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pivotCache/pivotCacheRecords1.xml" ContentType="application/vnd.openxmlformats-officedocument.spreadsheetml.pivotCacheRecord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Tables/pivotTable2.xml" ContentType="application/vnd.openxmlformats-officedocument.spreadsheetml.pivotTable+xml"/>
  <Override PartName="/xl/pivotTables/_rels/pivotTable2.xml.rels" ContentType="application/vnd.openxmlformats-package.relationships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tables/table6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1.xml.rels" ContentType="application/vnd.openxmlformats-package.relationships+xml"/>
  <Override PartName="/xl/externalLinks/_rels/externalLink2.xml.rels" ContentType="application/vnd.openxmlformats-package.relationships+xml"/>
  <Override PartName="/xl/externalLinks/externalLink2.xml" ContentType="application/vnd.openxmlformats-officedocument.spreadsheetml.externalLink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2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Data Drop" sheetId="1" state="visible" r:id="rId2"/>
    <sheet name="Pivot - to be refreshed" sheetId="2" state="visible" r:id="rId3"/>
    <sheet name="Final - copy &amp; paste values" sheetId="3" state="visible" r:id="rId4"/>
    <sheet name="Check" sheetId="4" state="visible" r:id="rId5"/>
    <sheet name="Key" sheetId="5" state="visible" r:id="rId6"/>
    <sheet name="Lookup Table" sheetId="6" state="visible" r:id="rId7"/>
    <sheet name="Appending" sheetId="7" state="hidden" r:id="rId8"/>
    <sheet name="AUS-appending" sheetId="8" state="hidden" r:id="rId9"/>
  </sheets>
  <externalReferences>
    <externalReference r:id="rId10"/>
    <externalReference r:id="rId11"/>
  </externalReferences>
  <definedNames>
    <definedName function="false" hidden="false" name="Slicer_Clean_Ad_Type" vbProcedure="false"/>
    <definedName function="false" hidden="false" name="Slicer_Clean_Market" vbProcedure="false"/>
    <definedName function="false" hidden="false" localSheetId="2" name="_xlnm._FilterDatabase" vbProcedure="false"/>
    <definedName function="false" hidden="false" localSheetId="4" name="_xlnm._FilterDatabase" vbProcedure="false"/>
    <definedName function="false" hidden="false" localSheetId="6" name="_xlnm._FilterDatabase" vbProcedure="false"/>
    <definedName function="false" hidden="false" localSheetId="7" name="_xlnm._FilterDatabase" vbProcedure="false"/>
  </definedNames>
  <calcPr iterateCount="100" refMode="A1" iterate="false" iterateDelta="0.001"/>
  <pivotCaches>
    <pivotCache cacheId="1" r:id="rId13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<sst xmlns="http://schemas.openxmlformats.org/spreadsheetml/2006/main" count="32563" uniqueCount="5440">
  <si>
    <t xml:space="preserve">Lookup Key 1</t>
  </si>
  <si>
    <t xml:space="preserve">Lookup Key 2</t>
  </si>
  <si>
    <t xml:space="preserve">Source</t>
  </si>
  <si>
    <t xml:space="preserve">Weekend Date</t>
  </si>
  <si>
    <t xml:space="preserve">Clean Market</t>
  </si>
  <si>
    <t xml:space="preserve">Clean Ad Type</t>
  </si>
  <si>
    <t xml:space="preserve">Campaign Name ID</t>
  </si>
  <si>
    <t xml:space="preserve">Campaign ID</t>
  </si>
  <si>
    <t xml:space="preserve">Campaign External ID</t>
  </si>
  <si>
    <t xml:space="preserve">Clean Publisher</t>
  </si>
  <si>
    <t xml:space="preserve">Site ID</t>
  </si>
  <si>
    <t xml:space="preserve">Creative Name</t>
  </si>
  <si>
    <t xml:space="preserve">Creative ID</t>
  </si>
  <si>
    <t xml:space="preserve">Channel</t>
  </si>
  <si>
    <t xml:space="preserve">Date</t>
  </si>
  <si>
    <t xml:space="preserve">DCM Campaign Name</t>
  </si>
  <si>
    <t xml:space="preserve">Market</t>
  </si>
  <si>
    <t xml:space="preserve">GEP</t>
  </si>
  <si>
    <t xml:space="preserve">KPI</t>
  </si>
  <si>
    <t xml:space="preserve">Site </t>
  </si>
  <si>
    <t xml:space="preserve">Ad Type</t>
  </si>
  <si>
    <t xml:space="preserve"> DCM Placement ID</t>
  </si>
  <si>
    <t xml:space="preserve">Placement Name</t>
  </si>
  <si>
    <t xml:space="preserve">Publisher Impressions</t>
  </si>
  <si>
    <t xml:space="preserve">Publisher Clicks</t>
  </si>
  <si>
    <t xml:space="preserve">Net Media Cost</t>
  </si>
  <si>
    <t xml:space="preserve">Currency</t>
  </si>
  <si>
    <t xml:space="preserve">Lead Form Ad Leads </t>
  </si>
  <si>
    <t xml:space="preserve">Appended from Pub-Facebook</t>
  </si>
  <si>
    <t xml:space="preserve">Social</t>
  </si>
  <si>
    <t xml:space="preserve">DEU_gaPMG_AZR_AZR_Q1_19_Trial-Social- 39684</t>
  </si>
  <si>
    <t xml:space="preserve">Germany</t>
  </si>
  <si>
    <t xml:space="preserve">AZR</t>
  </si>
  <si>
    <t xml:space="preserve">Trial</t>
  </si>
  <si>
    <t xml:space="preserve">Facebook</t>
  </si>
  <si>
    <t xml:space="preserve">Canvas Ad</t>
  </si>
  <si>
    <t xml:space="preserve">224009494</t>
  </si>
  <si>
    <t xml:space="preserve">Facebook»DEV-ITP-AZR-FB|CanvasAds|Interesttargeting»1x1»TextLink»CAN»DT»CPM»AUT»W»NA»SS»NA»39684020-11000</t>
  </si>
  <si>
    <t xml:space="preserve">EUR</t>
  </si>
  <si>
    <t xml:space="preserve">Link Ad</t>
  </si>
  <si>
    <t xml:space="preserve">224010415</t>
  </si>
  <si>
    <t xml:space="preserve">Facebook»DEV-ITP-AZR-FB|LinkAd|CustomerAudienceRetargeting»1x1»TextLink»LIA»DT»CPM»RT»W»NA»SS»NA»39684019-11000</t>
  </si>
  <si>
    <t xml:space="preserve">GBR_gaPMG_CE_AZR_Q1_19_Trial-Social</t>
  </si>
  <si>
    <t xml:space="preserve">UK</t>
  </si>
  <si>
    <t xml:space="preserve">Azure Direct</t>
  </si>
  <si>
    <t xml:space="preserve">Trials</t>
  </si>
  <si>
    <t xml:space="preserve">Link</t>
  </si>
  <si>
    <t xml:space="preserve">Facebook»Retargeting»1x1»SocialBan»LIA»DT»DYN»RT»W»NA»SS»NA»Free Account Retargeting Generic- Animated ChC</t>
  </si>
  <si>
    <t xml:space="preserve">GBP</t>
  </si>
  <si>
    <t xml:space="preserve">N/A</t>
  </si>
  <si>
    <t xml:space="preserve">Facebook»Retargeting»1x1»SocialBan»LIA»DT»DYN»RT»W»NA»SS»NA»Free Account Retargeting VM- On Demand ChE</t>
  </si>
  <si>
    <t xml:space="preserve">Facebook»Retargeting»1x1»SocialBan»LIA»DT»DYN»RT»W»NA»SS»NA»Free Account Retargeting VM- 750 Hrs ChD</t>
  </si>
  <si>
    <t xml:space="preserve">Facebook»Retargeting»1x1»SocialBan»LIA»DT»DYN»RT»W»NA»SS»NA»Free Account Retargeting OSS- Text ChF</t>
  </si>
  <si>
    <t xml:space="preserve">Facebook»Retargeting»1x1»SocialBan»LIA»DT»DYN»RT»W»NA»SS»NA»Free Account Retargeting OSS- Logos ChG</t>
  </si>
  <si>
    <t xml:space="preserve">Facebook»Retargeting»1x1»SocialBan»LIA»DT»DYN»RT»W»NA»SS»NA»Free Account Retargeting Generic- Global Alt ChB</t>
  </si>
  <si>
    <t xml:space="preserve">Facebook (Canvas Ads)</t>
  </si>
  <si>
    <t xml:space="preserve">Facebook»Audience &amp; Interest Targeting»1x1»SocialBan»LIA»DT»CPC»AUT»W»NA»SS»NA»Benefit 2 in Motion</t>
  </si>
  <si>
    <t xml:space="preserve">Facebook»Audience &amp; Interest Targeting»1x1»SocialBan»LIA»DT»CPC»AUT»W»NA»SS»NA»Basic Motion</t>
  </si>
  <si>
    <t xml:space="preserve">Facebook»Audience &amp; Interest Targeting»1x1»SocialBan»LIA»DT»CPC»AUT»W»NA»SS»NA»Brand in Motion</t>
  </si>
  <si>
    <t xml:space="preserve">Facebook»Audience &amp; Interest Targeting- Azure Trial Lookalikes»1x1»TextLink»CAN»MO»CPM»AUT»W»NA»SS»NA»Free Account IT Pro- Hybrid</t>
  </si>
  <si>
    <t xml:space="preserve">Facebook»Audience &amp; Interest Targeting- Azure Trial PayGo Lookalikes»1x1»TextLink»CAN»MO»CPM»AUT»W»NA»SS»NA»Free Account IT Pro- Hybrid</t>
  </si>
  <si>
    <t xml:space="preserve">Facebook»Audience &amp; Interest Targeting- Azure Trial Lookalikes»1x1»TextLink»CAN»MO»CPM»AUT»W»NA»SS»NA»Free Account IT Pro- Migration</t>
  </si>
  <si>
    <t xml:space="preserve">Facebook»Audience &amp; Interest Targeting- Azure Trial Lookalikes»1x1»TextLink»CAN»MO»CPM»AUT»W»NA»SS»NA»Free Account IT Pro- Secure</t>
  </si>
  <si>
    <t xml:space="preserve">Facebook»Audience &amp; Interest Targeting»1x1»SocialBan»LIA»DT»DYN»AUT»W»NA»SS»NA»Free Account Refresh- Illustration ChC</t>
  </si>
  <si>
    <t xml:space="preserve">CAN_gaPMG_AZR_AZR_Q1_19_Trial</t>
  </si>
  <si>
    <t xml:space="preserve">Canada</t>
  </si>
  <si>
    <t xml:space="preserve">OSS</t>
  </si>
  <si>
    <t xml:space="preserve">Facebook»AZR»1x1»NA»NA»ALL»DYN»AUT»D»All»SS»NA»Free Account Create to Convert FB - Canvas - Benefit - Start Free - FR</t>
  </si>
  <si>
    <t xml:space="preserve">CAD</t>
  </si>
  <si>
    <t xml:space="preserve">Facebook»AZR»1x1»NA»EGV»ALL»DYN»AUT»D»All»SS»NA»Free Acc CTC - T2 - FR</t>
  </si>
  <si>
    <t xml:space="preserve">Facebook»AZR»1x1»SocialBan»NA»ALL»DYN»RT»D»All»SS»NA» Free Account Retargeting OSS - T2 - EN</t>
  </si>
  <si>
    <t xml:space="preserve">Facebook»AZR»1x1»NA»SOC»ALL»DYN»PRO»D»All»SS»NA»Canvas - Buy Now - FR</t>
  </si>
  <si>
    <t xml:space="preserve">Facebook»AZR»1x1»SocialBan»NA»ALL»DYN»RT»D»All»SS»NA»Free Account Retargeting Generic - T3 - FR</t>
  </si>
  <si>
    <t xml:space="preserve">Facebook»AZR»1x1»SocialBan»NA»ALL»DYN»RT»D»All»SS»NA»Free Account Retargeting Generic - T2 - FR</t>
  </si>
  <si>
    <t xml:space="preserve">Facebook»AZR»1x1»SocialBan»NA»ALL»DYN»RT»D»All»SS»NA» Free Account Retargeting OSS - T2 - FR</t>
  </si>
  <si>
    <t xml:space="preserve">Facebook»AZR»1x1»SocialBan»NA»ALL»DYN»RT»D»All»SS»NA»Free Account Retargeting VM - T2 - FR</t>
  </si>
  <si>
    <t xml:space="preserve">Facebook»AZR»1x1»SocialBan»NA»ALL»DYN»RT»D»All»SS»NA»Free Account Retargeting VM - T1 - FR</t>
  </si>
  <si>
    <t xml:space="preserve">Facebook»AZR»1x1»NA»EGV»ALL»DYN»AUT»D»All»SS»NA»Free Acc CTC - T2 - EN</t>
  </si>
  <si>
    <t xml:space="preserve">Facebook»AZR»1x1»NA»NA»ALL»DYN»AUT»D»All»SS»NA»Free Account Create to Convert FB - Canvas - Brand - Start Free - FR</t>
  </si>
  <si>
    <t xml:space="preserve">Facebook»AZR»1x1»NA»EGV»ALL»DYN»AUT»D»All»SS»NA»Free Acc CTC - T1 - FR</t>
  </si>
  <si>
    <t xml:space="preserve">Facebook»AZR»1x1»SocialBan»NA»ALL»DYN»RT»D»All»SS»NA»Free Account Retargeting VM - T1 - EN</t>
  </si>
  <si>
    <t xml:space="preserve">Facebook»AZR»1x1»SocialBan»NA»ALL»DYN»RT»D»All»SS»NA» Free Account Retargeting OSS - T1 - FR</t>
  </si>
  <si>
    <t xml:space="preserve">Facebook»AZR»1x1»NA»SOC»ALL»DYN»PRO»D»All»SS»NA»Canvas - Buy Now - EN</t>
  </si>
  <si>
    <t xml:space="preserve">Facebook»AZR»1x1»NA»EGV»ALL»DYN»AUT»D»All»SS»NA»Free Acc CTC - T4 - EN</t>
  </si>
  <si>
    <t xml:space="preserve">Facebook»AZR»1x1»NA»EGV»ALL»DYN»AUT»D»All»SS»NA»Free Acc CTC - T1 - EN</t>
  </si>
  <si>
    <t xml:space="preserve">Facebook»AZR»1x1»NA»NA»ALL»DYN»AUT»D»All»SS»NA»Free Account Create to Convert FB - Canvas - Benefit - Start Free - EN</t>
  </si>
  <si>
    <t xml:space="preserve">Facebook»AZR»1x1»NA»NA»ALL»DYN»AUT»D»All»SS»NA»Free Account Create to Convert FB - Canvas - Brand - Start Free - EN</t>
  </si>
  <si>
    <t xml:space="preserve">Facebook»AZR»1x1»NA»EGV»ALL»DYN»AUT»D»All»SS»NA»Free Acc CTC - T4 - FR</t>
  </si>
  <si>
    <t xml:space="preserve">Facebook»AZR»1x1»SocialBan»NA»ALL»DYN»RT»D»All»SS»NA»Free Account Retargeting Generic - T2 - EN</t>
  </si>
  <si>
    <t xml:space="preserve">Facebook»AZR»1x1»SocialBan»NA»ALL»DYN»RT»D»All»SS»NA»Free Account Retargeting VM - T2 - EN</t>
  </si>
  <si>
    <t xml:space="preserve">Facebook»AZR»1x1»SocialBan»NA»ALL»DYN»RT»D»All»SS»NA»Free Account Retargeting Generic - T3 - EN</t>
  </si>
  <si>
    <t xml:space="preserve">Facebook»AZR»1x1»SocialBan»NA»ALL»DYN»RT»D»All»SS»NA» Free Account Retargeting OSS - T1 - EN</t>
  </si>
  <si>
    <t xml:space="preserve">Facebook»AZR»1x1»SocialBan»NA»ALL»DYN»AUT»D»All»SS»NA»Free Acc Refresh - T1 - FR</t>
  </si>
  <si>
    <t xml:space="preserve">Facebook»AZR»1x1»SocialBan»NA»ALL»DYN»AUT»D»All»SS»NA»Free Acc Refresh - T5 - EN</t>
  </si>
  <si>
    <t xml:space="preserve">Facebook»AZR»1x1»SocialBan»NA»ALL»DYN»AUT»D»All»SS»NA»Free Acc Refresh - T2 - EN</t>
  </si>
  <si>
    <t xml:space="preserve">Facebook»AZR»1x1»SocialBan»NA»ALL»DYN»AUT»D»All»SS»NA»Free Acc Refresh - T3 - EN</t>
  </si>
  <si>
    <t xml:space="preserve">Facebook»AZR»1x1»SocialBan»NA»ALL»DYN»AUT»D»All»SS»NA»Free Acc Refresh - T1 - EN</t>
  </si>
  <si>
    <t xml:space="preserve">Facebook»AZR»1x1»SocialBan»NA»ALL»DYN»AUT»D»All»SS»NA»Free Acc Refresh - T5 - FR</t>
  </si>
  <si>
    <t xml:space="preserve">Facebook»AZR»1x1»SocialBan»NA»ALL»DYN»AUT»D»All»SS»NA»Free Acc Refresh - T4 - EN</t>
  </si>
  <si>
    <t xml:space="preserve">Facebook»AZR»1x1»SocialBan»NA»ALL»DYN»AUT»D»All»SS»NA»Free Acc Refresh - T4 - FR</t>
  </si>
  <si>
    <t xml:space="preserve">Facebook»AZR»1x1»SocialBan»NA»ALL»DYN»AUT»D»All»SS»NA»Free Acc Refresh - T3 - FR</t>
  </si>
  <si>
    <t xml:space="preserve">Facebook»AZR»1x1»SocialBan»NA»ALL»DYN»AUT»D»All»SS»NA»Free Acc Refresh - T2 - FR</t>
  </si>
  <si>
    <t xml:space="preserve">FRA_gaPMG_AZR_AZR_Q1_19_AzureDirect-Trial-Social</t>
  </si>
  <si>
    <t xml:space="preserve">FRA</t>
  </si>
  <si>
    <t xml:space="preserve">Platform</t>
  </si>
  <si>
    <t xml:space="preserve">Facebook»Developers/ITPros-Azure Direct-Sponsored Post_Trial_PayGo-Link Ad-FreeAcctRetargetingFB-Animated-ChC CanvasOpener»1x1»SocialBan»SOC»ALL»CPC»LAL»D»UNK»SS»NA»Trials_ID</t>
  </si>
  <si>
    <t xml:space="preserve">Facebook»Developers/ITPros-Azure Direct-Sponsored Post_Trial_PayGo-Link Ad-FreeAcctRetargetingFB-GlobalAlt-ChB_RTG CanvasOpener»1x1»SocialBan»SOC»ALL»CPC»LAL»D»UNK»SS»NA»Trials_ID</t>
  </si>
  <si>
    <t xml:space="preserve">Facebook»Developers/ITPros-Azure Direct-Sponsored Post_Trial_PayGo-Link Ad-FreeAcctRetargetingOSSFB-Logos-ChG CanvasOpener»1x1»SocialBan»SOC»ALL»CPC»LAL»D»UNK»SS»NA»Trials_ID</t>
  </si>
  <si>
    <t xml:space="preserve">Facebook»Developers/ITPros-Azure Direct-Sponsored Post_Trial_PayGo-Link Ad-FreeAcctRetargetingOSSFB-Text-ChF CanvasOpener»1x1»SocialBan»SOC»ALL»CPC»LAL»D»UNK»SS»NA»Trials_ID</t>
  </si>
  <si>
    <t xml:space="preserve">Facebook»Developers/ITPros-Azure Direct-Sponsored Post_Trial_PayGo-Link Ad-FreeAcctRetargetingVMFB-750Hrs-ChD CanvasOpener»1x1»SocialBan»SOC»ALL»CPC»LAL»D»UNK»SS»NA»Trials_ID</t>
  </si>
  <si>
    <t xml:space="preserve">Facebook»Developers/ITPros-Azure Direct-Sponsored Post_Trial_PayGo-Link Ad-FreeAcctRetargetingVMFB-OnDemand-ChE CanvasOpener»1x1»SocialBan»SOC»ALL»CPC»LAL»D»UNK»SS»NA»Trials_ID</t>
  </si>
  <si>
    <t xml:space="preserve">Facebook»Developers/ITPros-Azure Direct-Sponsored Post_Trial-Link Ad-FreeAcctRetargetingFB-Animated-ChC CanvasOpener»1x1»SocialBan»SOC»ALL»CPC»LAL»D»UNK»SS»NA»Trials_ID</t>
  </si>
  <si>
    <t xml:space="preserve">Facebook»Developers/ITPros-Azure Direct-Sponsored Post_Trial-Link Ad-FreeAcctRetargetingFB-GlobalAlt-ChB_RTG CanvasOpener»1x1»SocialBan»SOC»ALL»CPC»LAL»D»UNK»SS»NA»Trials_ID</t>
  </si>
  <si>
    <t xml:space="preserve">Facebook»Developers/ITPros-Azure Direct-Sponsored Post_Trial-Link Ad-FreeAcctRetargetingOSSFB-Logos-ChG CanvasOpener»1x1»SocialBan»SOC»ALL»CPC»LAL»D»UNK»SS»NA»Trials_ID</t>
  </si>
  <si>
    <t xml:space="preserve">Facebook»Developers/ITPros-Azure Direct-Sponsored Post_Trial-Link Ad-FreeAcctRetargetingOSSFB-Text-ChF CanvasOpener»1x1»SocialBan»SOC»ALL»CPC»LAL»D»UNK»SS»NA»Trials_ID</t>
  </si>
  <si>
    <t xml:space="preserve">Facebook»Developers/ITPros-Azure Direct-Sponsored Post_Trial-Link Ad-FreeAcctRetargetingVMFB-750Hrs-ChD CanvasOpener»1x1»SocialBan»SOC»ALL»CPC»LAL»D»UNK»SS»NA»Trials_ID</t>
  </si>
  <si>
    <t xml:space="preserve">Facebook»Developers/ITPros-Azure Direct-Sponsored Post_Trial-Link Ad-FreeAcctRetargetingVMFB-OnDemand-ChE CanvasOpener»1x1»SocialBan»SOC»ALL»CPC»LAL»D»UNK»SS»NA»Trials_ID</t>
  </si>
  <si>
    <t xml:space="preserve">Facebook»Developers/ITPros-Azure Direct-Sponsored Post-Link Ad-FreeAcctAppsFACEBOOK12monthsChE»1x1»SocialBan»LIA»ALL»CPC»BT»X»UNK»SS»NA»Trials_ID</t>
  </si>
  <si>
    <t xml:space="preserve">Facebook»Developers/ITPros-Azure Direct-Sponsored Post-Link Ad-FreeAcctAppsFACEBOOK200CreditChD»1x1»SocialBan»LIA»ALL»CPC»BT»X»UNK»SS»NA»Trials_ID</t>
  </si>
  <si>
    <t xml:space="preserve">Facebook»Developers/ITPros-Azure Direct-Sponsored Post-Link Ad-FreeAcctAppsFACEBOOKDeviceChB»1x1»SocialBan»LIA»ALL»CPC»BT»X»UNK»SS»NA»Trials_ID</t>
  </si>
  <si>
    <t xml:space="preserve">Facebook»Developers/ITPros-Azure Direct-Sponsored Post-Link Ad-FreeAcctAppsFACEBOOKIllustrationChC»1x1»SocialBan»LIA»ALL»CPC»BT»X»UNK»SS»NA»Trials_ID</t>
  </si>
  <si>
    <t xml:space="preserve">Facebook»Developers/ITPros-Azure Direct-Sponsored Post-Link Ad-FreeAcctAppsFACEBOOKLifestyleChA»1x1»SocialBan»LIA»ALL»CPC»BT»X»UNK»SS»NA»Trials_ID</t>
  </si>
  <si>
    <t xml:space="preserve">Facebook»Developers/ITPros-Azure Direct-Sponsored Post-Link Ad-FreeAcctRetargetingFB-GlobalAlt-ChB»1x1»SocialBan»LIA»ALL»CPC»BT»X»UNK»SS»NA»Trials_ID</t>
  </si>
  <si>
    <t xml:space="preserve">Facebook»Developers/ITPros-Azure Direct-Sponsored Post-Link Ad-FreeAcctRetargetingOSSFB-Logos-ChG»1x1»SocialBan»LIA»ALL»CPC»BT»X»UNK»SS»NA»Trials_ID</t>
  </si>
  <si>
    <t xml:space="preserve">Facebook»Developers/ITPros-Azure Direct-Sponsored Post-Link Ad-FreeAcctRetargetingOSSFB-Text-ChF»1x1»SocialBan»LIA»ALL»CPC»BT»X»UNK»SS»NA»Trials_ID</t>
  </si>
  <si>
    <t xml:space="preserve">Facebook»Developers/ITPros-Azure Direct-Sponsored Post-Link Ad-FreeAcctRetargetingVMFB-750Hrs-ChD»1x1»SocialBan»LIA»ALL»CPC»BT»X»UNK»SS»NA»Trials_ID</t>
  </si>
  <si>
    <t xml:space="preserve">Facebook»Developers/ITPros-Azure Direct-Sponsored Post-Link Ad-FreeAcctRetargetingVMFB-OnDemand-ChE»1x1»SocialBan»LIA»ALL»CPC»BT»X»UNK»SS»NA»Trials_ID</t>
  </si>
  <si>
    <t xml:space="preserve">Video Canvas</t>
  </si>
  <si>
    <t xml:space="preserve">Facebook»Developers/ITPros-Azure Direct-Sponsored Post-Video Ad-FBCTCBasicMotion_FRA_10s_RTG Landing Page»1x1»10s»VIA»ALL»CPC»BT»X»UNK»SS»NA»Trials_ID</t>
  </si>
  <si>
    <t xml:space="preserve">Facebook»Developers/ITPros-Azure Direct-Sponsored Post-Video Ad-FBCTCBenefit2inMotion_FRA_14s_RTG Landing Page»1x1»14s»VIA»ALL»CPC»BT»X»UNK»SS»NA»Trials_ID</t>
  </si>
  <si>
    <t xml:space="preserve">Facebook»Developers/ITPros-Azure Direct-Sponsored Post-Video Ad-FBCTCBrandinMotion_FRA_12s_RTG Landing Page»1x1»12s»VIA»ALL»CPC»BT»X»UNK»SS»NA»Trials_ID</t>
  </si>
  <si>
    <t xml:space="preserve">Video Link Ad</t>
  </si>
  <si>
    <t xml:space="preserve">Facebook»Developers-Azure Direct-Sponsored Post_Trial_PayGo-Video Ad-Free Account Developer - AI»1x1»30s»SOC»ALL»CPC»LAL»D»UNK»SS»NA»Trials_ID</t>
  </si>
  <si>
    <t xml:space="preserve">Facebook»Developers-Azure Direct-Sponsored Post_Trial_PayGo-Video Ad-Free Account Developer - Generic»1x1»30s»SOC»ALL»CPC»LAL»D»UNK»SS»NA»Trials_ID</t>
  </si>
  <si>
    <t xml:space="preserve">Facebook»Developers-Azure Direct-Sponsored Post_Trial_PayGo-Video Ad-Free Account Developer - Intelligent Data»1x1»30s»SOC»ALL»CPC»LAL»D»UNK»SS»NA»Trials_ID</t>
  </si>
  <si>
    <t xml:space="preserve">Facebook»Developers-Azure Direct-Sponsored Post_Trial_PayGo-Video Ad-Free Account Developer - Open Source»1x1»30s»SOC»ALL»CPC»LAL»D»UNK»SS»NA»Trials_ID</t>
  </si>
  <si>
    <t xml:space="preserve">Facebook»Developers-Azure Direct-Sponsored Post_Trial-Video Ad-Free Account Developer - AI»1x1»30s»SOC»ALL»CPC»LAL»D»UNK»SS»NA»Trials_ID</t>
  </si>
  <si>
    <t xml:space="preserve">Facebook»Developers-Azure Direct-Sponsored Post_Trial-Video Ad-Free Account Developer - AI»1x1»30s»SOC»ALL»CPC»RT»D»UNK»SS»NA»Trials_ID</t>
  </si>
  <si>
    <t xml:space="preserve">Facebook»Developers-Azure Direct-Sponsored Post_Trial-Video Ad-Free Account Developer - Generic»1x1»30s»SOC»ALL»CPC»LAL»D»UNK»SS»NA»Trials_ID</t>
  </si>
  <si>
    <t xml:space="preserve">Facebook»Developers-Azure Direct-Sponsored Post_Trial-Video Ad-Free Account Developer - Generic»1x1»30s»SOC»ALL»CPC»RT»D»UNK»SS»NA»Trials_ID</t>
  </si>
  <si>
    <t xml:space="preserve">Facebook»Developers-Azure Direct-Sponsored Post_Trial-Video Ad-Free Account Developer - Intelligent Data»1x1»30s»SOC»ALL»CPC»LAL»D»UNK»SS»NA»Trials_ID</t>
  </si>
  <si>
    <t xml:space="preserve">Facebook»Developers-Azure Direct-Sponsored Post_Trial-Video Ad-Free Account Developer - Intelligent Data»1x1»30s»SOC»ALL»CPC»RT»D»UNK»SS»NA»Trials_ID</t>
  </si>
  <si>
    <t xml:space="preserve">Facebook»Developers-Azure Direct-Sponsored Post_Trial-Video Ad-Free Account Developer - Open Source»1x1»30s»SOC»ALL»CPC»RT»D»UNK»SS»NA»Trials_ID</t>
  </si>
  <si>
    <t xml:space="preserve">Facebook»Developers-Azure Direct-Sponsored Post-Video Ad-Free Account Developer - AI»1x1»30s»SOC»ALL»CPC»BT»D»UNK»SS»NA»Trials_ID</t>
  </si>
  <si>
    <t xml:space="preserve">Facebook»Developers-Azure Direct-Sponsored Post-Video Ad-Free Account Developer - Generic»1x1»30s»SOC»ALL»CPC»BT»D»UNK»SS»NA»Trials_ID</t>
  </si>
  <si>
    <t xml:space="preserve">Facebook»Developers-Azure Direct-Sponsored Post-Video Ad-Free Account Developer - Intelligent Data»1x1»30s»SOC»ALL»CPC»BT»D»UNK»SS»NA»Trials_ID</t>
  </si>
  <si>
    <t xml:space="preserve">Facebook»Developers-Azure Direct-Sponsored Post-Video Ad-Free Account Developer - Open Source»1x1»30s»SOC»ALL»CPC»BT»D»UNK»SS»NA»Trials_ID</t>
  </si>
  <si>
    <t xml:space="preserve">Facebook»ITPros-Azure Direct-Sponsored Post_Trial_PayGo-Video Ad-Free Account IT Pro - Hybrid»1x1»30s»SOC»ALL»CPC»LAL»D»UNK»SS»NA»Trials_ID</t>
  </si>
  <si>
    <t xml:space="preserve">Facebook»ITPros-Azure Direct-Sponsored Post_Trial_PayGo-Video Ad-Free Account IT Pro - Migration»1x1»30s»SOC»ALL»CPC»LAL»D»UNK»SS»NA»Trials_ID</t>
  </si>
  <si>
    <t xml:space="preserve">Facebook»ITPros-Azure Direct-Sponsored Post_Trial_PayGo-Video Ad-Free Account IT Pro - Secure»1x1»30s»SOC»ALL»CPC»LAL»D»UNK»SS»NA»Trials_ID</t>
  </si>
  <si>
    <t xml:space="preserve">Facebook»ITPros-Azure Direct-Sponsored Post_Trial-Video Ad-Free Account IT Pro - Hybrid»1x1»30s»SOC»ALL»CPC»LAL»D»UNK»SS»NA»Trials_ID</t>
  </si>
  <si>
    <t xml:space="preserve">Facebook»ITPros-Azure Direct-Sponsored Post_Trial-Video Ad-Free Account IT Pro - Hybrid»1x1»30s»SOC»ALL»CPC»RT»D»UNK»SS»NA»Trials_ID</t>
  </si>
  <si>
    <t xml:space="preserve">Facebook»ITPros-Azure Direct-Sponsored Post_Trial-Video Ad-Free Account IT Pro - Migration»1x1»30s»SOC»ALL»CPC»LAL»D»UNK»SS»NA»Trials_ID</t>
  </si>
  <si>
    <t xml:space="preserve">Facebook»ITPros-Azure Direct-Sponsored Post_Trial-Video Ad-Free Account IT Pro - Migration»1x1»30s»SOC»ALL»CPC»RT»D»UNK»SS»NA»Trials_ID</t>
  </si>
  <si>
    <t xml:space="preserve">Facebook»ITPros-Azure Direct-Sponsored Post_Trial-Video Ad-Free Account IT Pro - Secure»1x1»30s»SOC»ALL»CPC»LAL»D»UNK»SS»NA»Trials_ID</t>
  </si>
  <si>
    <t xml:space="preserve">Facebook»ITPros-Azure Direct-Sponsored Post_Trial-Video Ad-Free Account IT Pro - Secure»1x1»30s»SOC»ALL»CPC»RT»D»UNK»SS»NA»Trials_ID</t>
  </si>
  <si>
    <t xml:space="preserve">Facebook»ITPros-Azure Direct-Sponsored Post-Video Ad-Free Account IT Pro - hybrid»1x1»30s»SOC»ALL»CPC»AUT»D»UNK»SS»NA»Trials_ID</t>
  </si>
  <si>
    <t xml:space="preserve">Facebook»ITPros-Azure Direct-Sponsored Post-Video Ad-Free Account IT Pro - Migration»1x1»30s»SOC»ALL»CPC»AUT»D»UNK»SS»NA»Trials_ID</t>
  </si>
  <si>
    <t xml:space="preserve">Facebook»ITPros-Azure Direct-Sponsored Post-Video Ad-Free Account IT Pro - Secure»1x1»30s»SOC»ALL»CPC»AUT»D»UNK»SS»NA»Trials_ID</t>
  </si>
  <si>
    <t xml:space="preserve">JPN_gaPMG_AZR_AZR_Q1_19_Trial-Social</t>
  </si>
  <si>
    <t xml:space="preserve">JP</t>
  </si>
  <si>
    <t xml:space="preserve">AZP</t>
  </si>
  <si>
    <t xml:space="preserve">Facebook»AZP-Canvas-Look a Like-Trial»1x1»Canvas»OTH»MO»CPM»PRO»X»UNK»TP»OT»Canvas-Trial</t>
  </si>
  <si>
    <t xml:space="preserve">JPY</t>
  </si>
  <si>
    <t xml:space="preserve">Facebook»AZP-Canvas-Interest&amp;Role-Trial»1x1»Canvas»OTH»MO»CPM»PRO»X»UNK»TP»OT»Canvas-Trial</t>
  </si>
  <si>
    <t xml:space="preserve">Facebook»AZP-Canvas-Retargeting-Trial»1x1»Canvas»SOC»MO»CPM»PRO»W»UNK»SS»OT»Canvas-Trial</t>
  </si>
  <si>
    <t xml:space="preserve">Facebook»AZP-Canvas-iine-Trial»1x1»Canvas»SOC»MO»CPM»AUT»W»NA»SS»NA»Canvas-Trial</t>
  </si>
  <si>
    <t xml:space="preserve">Refresh pivot!</t>
  </si>
  <si>
    <t xml:space="preserve">Copy and paste value this pivot onto the next tab.</t>
  </si>
  <si>
    <t xml:space="preserve">Data</t>
  </si>
  <si>
    <t xml:space="preserve">Sum - Publisher Impressions</t>
  </si>
  <si>
    <t xml:space="preserve">Sum -  Net Media Cost </t>
  </si>
  <si>
    <t xml:space="preserve">43352224009494</t>
  </si>
  <si>
    <t xml:space="preserve">43352Facebook»DEV-ITP-AZR-FB|CanvasAds|Interesttargeting»1x1»TextLink»CAN»DT»CPM»AUT»W»NA»SS»NA»39684020-11000</t>
  </si>
  <si>
    <t xml:space="preserve">3654128</t>
  </si>
  <si>
    <t xml:space="preserve">AzurePlatform_FBCTCBasicMotion-BuyNow_DEU_10s_ISV_PLAT_DE_Trial_Standard_STAN_TN_T1_1</t>
  </si>
  <si>
    <t xml:space="preserve">43353224009494</t>
  </si>
  <si>
    <t xml:space="preserve">43353Facebook»DEV-ITP-AZR-FB|CanvasAds|Interesttargeting»1x1»TextLink»CAN»DT»CPM»AUT»W»NA»SS»NA»39684020-11000</t>
  </si>
  <si>
    <t xml:space="preserve">43354224009494</t>
  </si>
  <si>
    <t xml:space="preserve">43354Facebook»DEV-ITP-AZR-FB|CanvasAds|Interesttargeting»1x1»TextLink»CAN»DT»CPM»AUT»W»NA»SS»NA»39684020-11000</t>
  </si>
  <si>
    <t xml:space="preserve">43355224009494</t>
  </si>
  <si>
    <t xml:space="preserve">43355Facebook»DEV-ITP-AZR-FB|CanvasAds|Interesttargeting»1x1»TextLink»CAN»DT»CPM»AUT»W»NA»SS»NA»39684020-11000</t>
  </si>
  <si>
    <t xml:space="preserve">43356224009494</t>
  </si>
  <si>
    <t xml:space="preserve">43356Facebook»DEV-ITP-AZR-FB|CanvasAds|Interesttargeting»1x1»TextLink»CAN»DT»CPM»AUT»W»NA»SS»NA»39684020-11000</t>
  </si>
  <si>
    <t xml:space="preserve">43357224009494</t>
  </si>
  <si>
    <t xml:space="preserve">43357Facebook»DEV-ITP-AZR-FB|CanvasAds|Interesttargeting»1x1»TextLink»CAN»DT»CPM»AUT»W»NA»SS»NA»39684020-11000</t>
  </si>
  <si>
    <t xml:space="preserve">43358224009494</t>
  </si>
  <si>
    <t xml:space="preserve">43358Facebook»DEV-ITP-AZR-FB|CanvasAds|Interesttargeting»1x1»TextLink»CAN»DT»CPM»AUT»W»NA»SS»NA»39684020-11000</t>
  </si>
  <si>
    <t xml:space="preserve">43352224010415</t>
  </si>
  <si>
    <t xml:space="preserve">43352Facebook»DEV-ITP-AZR-FB|LinkAd|CustomerAudienceRetargeting»1x1»TextLink»LIA»DT»CPM»RT»W»NA»SS»NA»39684019-11000</t>
  </si>
  <si>
    <t xml:space="preserve">AzurePlatform_FreeAcctRetargetingFB-Animated-ChC_DEU_1200x628_SOC_Plat_DE_Free Account_Standard_ANI_SNU_T3_1</t>
  </si>
  <si>
    <t xml:space="preserve">43353224010415</t>
  </si>
  <si>
    <t xml:space="preserve">43353Facebook»DEV-ITP-AZR-FB|LinkAd|CustomerAudienceRetargeting»1x1»TextLink»LIA»DT»CPM»RT»W»NA»SS»NA»39684019-11000</t>
  </si>
  <si>
    <t xml:space="preserve">43354224010415</t>
  </si>
  <si>
    <t xml:space="preserve">43354Facebook»DEV-ITP-AZR-FB|LinkAd|CustomerAudienceRetargeting»1x1»TextLink»LIA»DT»CPM»RT»W»NA»SS»NA»39684019-11000</t>
  </si>
  <si>
    <t xml:space="preserve">43355224010415</t>
  </si>
  <si>
    <t xml:space="preserve">43355Facebook»DEV-ITP-AZR-FB|LinkAd|CustomerAudienceRetargeting»1x1»TextLink»LIA»DT»CPM»RT»W»NA»SS»NA»39684019-11000</t>
  </si>
  <si>
    <t xml:space="preserve">43356224010415</t>
  </si>
  <si>
    <t xml:space="preserve">43356Facebook»DEV-ITP-AZR-FB|LinkAd|CustomerAudienceRetargeting»1x1»TextLink»LIA»DT»CPM»RT»W»NA»SS»NA»39684019-11000</t>
  </si>
  <si>
    <t xml:space="preserve">43357224010415</t>
  </si>
  <si>
    <t xml:space="preserve">43357Facebook»DEV-ITP-AZR-FB|LinkAd|CustomerAudienceRetargeting»1x1»TextLink»LIA»DT»CPM»RT»W»NA»SS»NA»39684019-11000</t>
  </si>
  <si>
    <t xml:space="preserve">43358224010415</t>
  </si>
  <si>
    <t xml:space="preserve">43358Facebook»DEV-ITP-AZR-FB|LinkAd|CustomerAudienceRetargeting»1x1»TextLink»LIA»DT»CPM»RT»W»NA»SS»NA»39684019-11000</t>
  </si>
  <si>
    <t xml:space="preserve">43352223560299</t>
  </si>
  <si>
    <t xml:space="preserve">43352Facebook»Retargeting»1x1»SocialBan»LIA»DT»DYN»RT»W»NA»SS»NA»Free Account Retargeting Generic- Animated ChC</t>
  </si>
  <si>
    <t xml:space="preserve">AzurePlatform_FreeAcctRetargetingFB-Animated-ChC_GBR_1200x628_SOC_Plat_EN_Free Account_Standard_ANI_SU_T3_1</t>
  </si>
  <si>
    <t xml:space="preserve">43352223560332</t>
  </si>
  <si>
    <t xml:space="preserve">43352Facebook»Retargeting»1x1»SocialBan»LIA»DT»DYN»RT»W»NA»SS»NA»Free Account Retargeting VM- On Demand ChE</t>
  </si>
  <si>
    <t xml:space="preserve">AzurePlatform_FreeAcctRetargetingVMFB-OnDemand-ChE_GBR_1200x628_SOC_Plat_EN_Free Account_Standard_NA_SU_T2_1</t>
  </si>
  <si>
    <t xml:space="preserve">43352223560338</t>
  </si>
  <si>
    <t xml:space="preserve">43352Facebook»Retargeting»1x1»SocialBan»LIA»DT»DYN»RT»W»NA»SS»NA»Free Account Retargeting VM- 750 Hrs ChD</t>
  </si>
  <si>
    <t xml:space="preserve">AzurePlatform_FreeAcctRetargetingVMFB-750Hrs-ChD_GBR_1200x628_SOC_Plat_EN_Free Account_Standard_NA_SU_T1_1</t>
  </si>
  <si>
    <t xml:space="preserve">43352223560344</t>
  </si>
  <si>
    <t xml:space="preserve">43352Facebook»Retargeting»1x1»SocialBan»LIA»DT»DYN»RT»W»NA»SS»NA»Free Account Retargeting OSS- Text ChF</t>
  </si>
  <si>
    <t xml:space="preserve">AzurePlatform_FreeAcctRetargetingOSSFB-Text-ChF_GBR_1200x628_SOC_Plat_EN_Free Account_Standard_NA_SU_T1_1</t>
  </si>
  <si>
    <t xml:space="preserve">43352223560350</t>
  </si>
  <si>
    <t xml:space="preserve">43352Facebook»Retargeting»1x1»SocialBan»LIA»DT»DYN»RT»W»NA»SS»NA»Free Account Retargeting OSS- Logos ChG</t>
  </si>
  <si>
    <t xml:space="preserve">AzurePlatform_FreeAcctRetargetingOSSFB-Logos-ChG_GBR_1200x628_SOC_Plat_EN_Free Account_Standard_NA_SU_T2_1</t>
  </si>
  <si>
    <t xml:space="preserve">43352223560356</t>
  </si>
  <si>
    <t xml:space="preserve">43352Facebook»Retargeting»1x1»SocialBan»LIA»DT»DYN»RT»W»NA»SS»NA»Free Account Retargeting Generic- Global Alt ChB</t>
  </si>
  <si>
    <t xml:space="preserve">AzurePlatform_FreeAcctRetargetingFB-GlobalAlt-ChB_GBR_1200x628_SOC_Plat_EN_Free Account_Standard_NA_SU_T2_1</t>
  </si>
  <si>
    <t xml:space="preserve">43352224334170</t>
  </si>
  <si>
    <t xml:space="preserve">43352Facebook»Audience &amp; Interest Targeting»1x1»SocialBan»LIA»DT»CPC»AUT»W»NA»SS»NA»Benefit 2 in Motion</t>
  </si>
  <si>
    <t xml:space="preserve">AzurePlatform_FBCTCcanvaspage-BuyNowCTA-Img3_GBR_1080x162_SOC_Plat_English_NA_Standard_NA_BN_T3_1</t>
  </si>
  <si>
    <t xml:space="preserve">43352224399962</t>
  </si>
  <si>
    <t xml:space="preserve">43352Facebook»Audience &amp; Interest Targeting»1x1»SocialBan»LIA»DT»CPC»AUT»W»NA»SS»NA»Basic Motion</t>
  </si>
  <si>
    <t xml:space="preserve">43353223560299</t>
  </si>
  <si>
    <t xml:space="preserve">43353Facebook»Retargeting»1x1»SocialBan»LIA»DT»DYN»RT»W»NA»SS»NA»Free Account Retargeting Generic- Animated ChC</t>
  </si>
  <si>
    <t xml:space="preserve">43353223560332</t>
  </si>
  <si>
    <t xml:space="preserve">43353Facebook»Retargeting»1x1»SocialBan»LIA»DT»DYN»RT»W»NA»SS»NA»Free Account Retargeting VM- On Demand ChE</t>
  </si>
  <si>
    <t xml:space="preserve">43353223560338</t>
  </si>
  <si>
    <t xml:space="preserve">43353Facebook»Retargeting»1x1»SocialBan»LIA»DT»DYN»RT»W»NA»SS»NA»Free Account Retargeting VM- 750 Hrs ChD</t>
  </si>
  <si>
    <t xml:space="preserve">43353223560344</t>
  </si>
  <si>
    <t xml:space="preserve">43353Facebook»Retargeting»1x1»SocialBan»LIA»DT»DYN»RT»W»NA»SS»NA»Free Account Retargeting OSS- Text ChF</t>
  </si>
  <si>
    <t xml:space="preserve">43353223560356</t>
  </si>
  <si>
    <t xml:space="preserve">43353Facebook»Retargeting»1x1»SocialBan»LIA»DT»DYN»RT»W»NA»SS»NA»Free Account Retargeting Generic- Global Alt ChB</t>
  </si>
  <si>
    <t xml:space="preserve">43353224334170</t>
  </si>
  <si>
    <t xml:space="preserve">43353Facebook»Audience &amp; Interest Targeting»1x1»SocialBan»LIA»DT»CPC»AUT»W»NA»SS»NA»Benefit 2 in Motion</t>
  </si>
  <si>
    <t xml:space="preserve">43353224399962</t>
  </si>
  <si>
    <t xml:space="preserve">43353Facebook»Audience &amp; Interest Targeting»1x1»SocialBan»LIA»DT»CPC»AUT»W»NA»SS»NA»Basic Motion</t>
  </si>
  <si>
    <t xml:space="preserve">43353224549481</t>
  </si>
  <si>
    <t xml:space="preserve">43353Facebook»Audience &amp; Interest Targeting»1x1»SocialBan»LIA»DT»CPC»AUT»W»NA»SS»NA»Brand in Motion</t>
  </si>
  <si>
    <t xml:space="preserve">43353227035833</t>
  </si>
  <si>
    <t xml:space="preserve">43353Facebook»Audience &amp; Interest Targeting- Azure Trial Lookalikes»1x1»TextLink»CAN»MO»CPM»AUT»W»NA»SS»NA»Free Account IT Pro- Hybrid</t>
  </si>
  <si>
    <t xml:space="preserve">43354223560299</t>
  </si>
  <si>
    <t xml:space="preserve">43354Facebook»Retargeting»1x1»SocialBan»LIA»DT»DYN»RT»W»NA»SS»NA»Free Account Retargeting Generic- Animated ChC</t>
  </si>
  <si>
    <t xml:space="preserve">43354223560332</t>
  </si>
  <si>
    <t xml:space="preserve">43354Facebook»Retargeting»1x1»SocialBan»LIA»DT»DYN»RT»W»NA»SS»NA»Free Account Retargeting VM- On Demand ChE</t>
  </si>
  <si>
    <t xml:space="preserve">43354223560338</t>
  </si>
  <si>
    <t xml:space="preserve">43354Facebook»Retargeting»1x1»SocialBan»LIA»DT»DYN»RT»W»NA»SS»NA»Free Account Retargeting VM- 750 Hrs ChD</t>
  </si>
  <si>
    <t xml:space="preserve">43354223560344</t>
  </si>
  <si>
    <t xml:space="preserve">43354Facebook»Retargeting»1x1»SocialBan»LIA»DT»DYN»RT»W»NA»SS»NA»Free Account Retargeting OSS- Text ChF</t>
  </si>
  <si>
    <t xml:space="preserve">43354223560350</t>
  </si>
  <si>
    <t xml:space="preserve">43354Facebook»Retargeting»1x1»SocialBan»LIA»DT»DYN»RT»W»NA»SS»NA»Free Account Retargeting OSS- Logos ChG</t>
  </si>
  <si>
    <t xml:space="preserve">43354223560356</t>
  </si>
  <si>
    <t xml:space="preserve">43354Facebook»Retargeting»1x1»SocialBan»LIA»DT»DYN»RT»W»NA»SS»NA»Free Account Retargeting Generic- Global Alt ChB</t>
  </si>
  <si>
    <t xml:space="preserve">43354224334170</t>
  </si>
  <si>
    <t xml:space="preserve">43354Facebook»Audience &amp; Interest Targeting»1x1»SocialBan»LIA»DT»CPC»AUT»W»NA»SS»NA»Benefit 2 in Motion</t>
  </si>
  <si>
    <t xml:space="preserve">43354224399962</t>
  </si>
  <si>
    <t xml:space="preserve">43354Facebook»Audience &amp; Interest Targeting»1x1»SocialBan»LIA»DT»CPC»AUT»W»NA»SS»NA»Basic Motion</t>
  </si>
  <si>
    <t xml:space="preserve">43354226889143</t>
  </si>
  <si>
    <t xml:space="preserve">43354Facebook»Audience &amp; Interest Targeting- Azure Trial PayGo Lookalikes»1x1»TextLink»CAN»MO»CPM»AUT»W»NA»SS»NA»Free Account IT Pro- Hybrid</t>
  </si>
  <si>
    <t xml:space="preserve">AzurePlatform_FBCTCcanvaspage-StartFreeCTA-Img2_GBR_1080x143 _SOC_Plat_English_NA_Standard_NA_NA_T2_1</t>
  </si>
  <si>
    <t xml:space="preserve">43355223560299</t>
  </si>
  <si>
    <t xml:space="preserve">43355Facebook»Retargeting»1x1»SocialBan»LIA»DT»DYN»RT»W»NA»SS»NA»Free Account Retargeting Generic- Animated ChC</t>
  </si>
  <si>
    <t xml:space="preserve">43355223560332</t>
  </si>
  <si>
    <t xml:space="preserve">43355Facebook»Retargeting»1x1»SocialBan»LIA»DT»DYN»RT»W»NA»SS»NA»Free Account Retargeting VM- On Demand ChE</t>
  </si>
  <si>
    <t xml:space="preserve">43355223560338</t>
  </si>
  <si>
    <t xml:space="preserve">43355Facebook»Retargeting»1x1»SocialBan»LIA»DT»DYN»RT»W»NA»SS»NA»Free Account Retargeting VM- 750 Hrs ChD</t>
  </si>
  <si>
    <t xml:space="preserve">43355223560344</t>
  </si>
  <si>
    <t xml:space="preserve">43355Facebook»Retargeting»1x1»SocialBan»LIA»DT»DYN»RT»W»NA»SS»NA»Free Account Retargeting OSS- Text ChF</t>
  </si>
  <si>
    <t xml:space="preserve">43355223560350</t>
  </si>
  <si>
    <t xml:space="preserve">43355Facebook»Retargeting»1x1»SocialBan»LIA»DT»DYN»RT»W»NA»SS»NA»Free Account Retargeting OSS- Logos ChG</t>
  </si>
  <si>
    <t xml:space="preserve">43355224334170</t>
  </si>
  <si>
    <t xml:space="preserve">43355Facebook»Audience &amp; Interest Targeting»1x1»SocialBan»LIA»DT»CPC»AUT»W»NA»SS»NA»Benefit 2 in Motion</t>
  </si>
  <si>
    <t xml:space="preserve">43355224549481</t>
  </si>
  <si>
    <t xml:space="preserve">43355Facebook»Audience &amp; Interest Targeting»1x1»SocialBan»LIA»DT»CPC»AUT»W»NA»SS»NA»Brand in Motion</t>
  </si>
  <si>
    <t xml:space="preserve">43355227036847</t>
  </si>
  <si>
    <t xml:space="preserve">43355Facebook»Audience &amp; Interest Targeting- Azure Trial Lookalikes»1x1»TextLink»CAN»MO»CPM»AUT»W»NA»SS»NA»Free Account IT Pro- Migration</t>
  </si>
  <si>
    <t xml:space="preserve">43356223560299</t>
  </si>
  <si>
    <t xml:space="preserve">43356Facebook»Retargeting»1x1»SocialBan»LIA»DT»DYN»RT»W»NA»SS»NA»Free Account Retargeting Generic- Animated ChC</t>
  </si>
  <si>
    <t xml:space="preserve">43356223560344</t>
  </si>
  <si>
    <t xml:space="preserve">43356Facebook»Retargeting»1x1»SocialBan»LIA»DT»DYN»RT»W»NA»SS»NA»Free Account Retargeting OSS- Text ChF</t>
  </si>
  <si>
    <t xml:space="preserve">43356223560350</t>
  </si>
  <si>
    <t xml:space="preserve">43356Facebook»Retargeting»1x1»SocialBan»LIA»DT»DYN»RT»W»NA»SS»NA»Free Account Retargeting OSS- Logos ChG</t>
  </si>
  <si>
    <t xml:space="preserve">43356223560356</t>
  </si>
  <si>
    <t xml:space="preserve">43356Facebook»Retargeting»1x1»SocialBan»LIA»DT»DYN»RT»W»NA»SS»NA»Free Account Retargeting Generic- Global Alt ChB</t>
  </si>
  <si>
    <t xml:space="preserve">43356224334170</t>
  </si>
  <si>
    <t xml:space="preserve">43356Facebook»Audience &amp; Interest Targeting»1x1»SocialBan»LIA»DT»CPC»AUT»W»NA»SS»NA»Benefit 2 in Motion</t>
  </si>
  <si>
    <t xml:space="preserve">43356224399962</t>
  </si>
  <si>
    <t xml:space="preserve">43356Facebook»Audience &amp; Interest Targeting»1x1»SocialBan»LIA»DT»CPC»AUT»W»NA»SS»NA»Basic Motion</t>
  </si>
  <si>
    <t xml:space="preserve">43356226887148</t>
  </si>
  <si>
    <t xml:space="preserve">43356Facebook»Audience &amp; Interest Targeting- Azure Trial Lookalikes»1x1»TextLink»CAN»MO»CPM»AUT»W»NA»SS»NA»Free Account IT Pro- Secure</t>
  </si>
  <si>
    <t xml:space="preserve">43357223560299</t>
  </si>
  <si>
    <t xml:space="preserve">43357Facebook»Retargeting»1x1»SocialBan»LIA»DT»DYN»RT»W»NA»SS»NA»Free Account Retargeting Generic- Animated ChC</t>
  </si>
  <si>
    <t xml:space="preserve">43357223560332</t>
  </si>
  <si>
    <t xml:space="preserve">43357Facebook»Retargeting»1x1»SocialBan»LIA»DT»DYN»RT»W»NA»SS»NA»Free Account Retargeting VM- On Demand ChE</t>
  </si>
  <si>
    <t xml:space="preserve">43357223560338</t>
  </si>
  <si>
    <t xml:space="preserve">43357Facebook»Retargeting»1x1»SocialBan»LIA»DT»DYN»RT»W»NA»SS»NA»Free Account Retargeting VM- 750 Hrs ChD</t>
  </si>
  <si>
    <t xml:space="preserve">43357223560344</t>
  </si>
  <si>
    <t xml:space="preserve">43357Facebook»Retargeting»1x1»SocialBan»LIA»DT»DYN»RT»W»NA»SS»NA»Free Account Retargeting OSS- Text ChF</t>
  </si>
  <si>
    <t xml:space="preserve">43357223560356</t>
  </si>
  <si>
    <t xml:space="preserve">43357Facebook»Retargeting»1x1»SocialBan»LIA»DT»DYN»RT»W»NA»SS»NA»Free Account Retargeting Generic- Global Alt ChB</t>
  </si>
  <si>
    <t xml:space="preserve">43357224334170</t>
  </si>
  <si>
    <t xml:space="preserve">43357Facebook»Audience &amp; Interest Targeting»1x1»SocialBan»LIA»DT»CPC»AUT»W»NA»SS»NA»Benefit 2 in Motion</t>
  </si>
  <si>
    <t xml:space="preserve">43357224399962</t>
  </si>
  <si>
    <t xml:space="preserve">43357Facebook»Audience &amp; Interest Targeting»1x1»SocialBan»LIA»DT»CPC»AUT»W»NA»SS»NA»Basic Motion</t>
  </si>
  <si>
    <t xml:space="preserve">43358223560299</t>
  </si>
  <si>
    <t xml:space="preserve">43358Facebook»Retargeting»1x1»SocialBan»LIA»DT»DYN»RT»W»NA»SS»NA»Free Account Retargeting Generic- Animated ChC</t>
  </si>
  <si>
    <t xml:space="preserve">43358223560332</t>
  </si>
  <si>
    <t xml:space="preserve">43358Facebook»Retargeting»1x1»SocialBan»LIA»DT»DYN»RT»W»NA»SS»NA»Free Account Retargeting VM- On Demand ChE</t>
  </si>
  <si>
    <t xml:space="preserve">43358223560338</t>
  </si>
  <si>
    <t xml:space="preserve">43358Facebook»Retargeting»1x1»SocialBan»LIA»DT»DYN»RT»W»NA»SS»NA»Free Account Retargeting VM- 750 Hrs ChD</t>
  </si>
  <si>
    <t xml:space="preserve">43358223560344</t>
  </si>
  <si>
    <t xml:space="preserve">43358Facebook»Retargeting»1x1»SocialBan»LIA»DT»DYN»RT»W»NA»SS»NA»Free Account Retargeting OSS- Text ChF</t>
  </si>
  <si>
    <t xml:space="preserve">43358223560347</t>
  </si>
  <si>
    <t xml:space="preserve">43358Facebook»Audience &amp; Interest Targeting»1x1»SocialBan»LIA»DT»DYN»AUT»W»NA»SS»NA»Free Account Refresh- Illustration ChC</t>
  </si>
  <si>
    <t xml:space="preserve">AzurePlatform_FreeAcctAppsFACEBOOKIllustrationChC_GBR_1200x628_SOC_PLAT_EN_Trial_Standard_NA_SU_T3_1</t>
  </si>
  <si>
    <t xml:space="preserve">43358223560350</t>
  </si>
  <si>
    <t xml:space="preserve">43358Facebook»Retargeting»1x1»SocialBan»LIA»DT»DYN»RT»W»NA»SS»NA»Free Account Retargeting OSS- Logos ChG</t>
  </si>
  <si>
    <t xml:space="preserve">43358223560356</t>
  </si>
  <si>
    <t xml:space="preserve">43358Facebook»Retargeting»1x1»SocialBan»LIA»DT»DYN»RT»W»NA»SS»NA»Free Account Retargeting Generic- Global Alt ChB</t>
  </si>
  <si>
    <t xml:space="preserve">43358224334170</t>
  </si>
  <si>
    <t xml:space="preserve">43358Facebook»Audience &amp; Interest Targeting»1x1»SocialBan»LIA»DT»CPC»AUT»W»NA»SS»NA»Benefit 2 in Motion</t>
  </si>
  <si>
    <t xml:space="preserve">43358224399962</t>
  </si>
  <si>
    <t xml:space="preserve">43358Facebook»Audience &amp; Interest Targeting»1x1»SocialBan»LIA»DT»CPC»AUT»W»NA»SS»NA»Basic Motion</t>
  </si>
  <si>
    <t xml:space="preserve">43358224549481</t>
  </si>
  <si>
    <t xml:space="preserve">43358Facebook»Audience &amp; Interest Targeting»1x1»SocialBan»LIA»DT»CPC»AUT»W»NA»SS»NA»Brand in Motion</t>
  </si>
  <si>
    <t xml:space="preserve">43358227618695</t>
  </si>
  <si>
    <t xml:space="preserve">43358Facebook»AZR»1x1»NA»NA»ALL»DYN»AUT»D»All»SS»NA»Free Account Create to Convert FB - Canvas - Benefit - Start Free - FR</t>
  </si>
  <si>
    <t xml:space="preserve">AzurePlatform_FBCTCBenefit2inMotion_CAN_1080x1080_SOC_14s_ISV_FR_Standard_NA_FTR_T4_1</t>
  </si>
  <si>
    <t xml:space="preserve">43358223691798</t>
  </si>
  <si>
    <t xml:space="preserve">43358Facebook»AZR»1x1»NA»EGV»ALL»DYN»AUT»D»All»SS»NA»Free Acc CTC - T2 - FR</t>
  </si>
  <si>
    <t xml:space="preserve">AzurePlatform_FBCTCBrandinMotion_CAN_12s_ISV_PLAT_FR_Trial_Standard_STAN_TN_T2_1</t>
  </si>
  <si>
    <t xml:space="preserve">43358223691831</t>
  </si>
  <si>
    <t xml:space="preserve">43358Facebook»AZR»1x1»SocialBan»NA»ALL»DYN»RT»D»All»SS»NA» Free Account Retargeting OSS - T2 - EN</t>
  </si>
  <si>
    <t xml:space="preserve">AzurePlatform_FreeAcctRetargetingOSSFB-Logos-ChG_CAN_1200x628_SOC_Plat_EN_Free Account_Standard_NA_SU_T2_1</t>
  </si>
  <si>
    <t xml:space="preserve">43358225322324</t>
  </si>
  <si>
    <t xml:space="preserve">43358Facebook»AZR»1x1»NA»SOC»ALL»DYN»PRO»D»All»SS»NA»Canvas - Buy Now - FR</t>
  </si>
  <si>
    <t xml:space="preserve">AzurePlatform_FBCTCcanvaspage-BuyNowCTA-Img3_CAN_1080x162_SOC_Plat_French_NA_Standard_NA_BN_T3_1</t>
  </si>
  <si>
    <t xml:space="preserve">43358223691777</t>
  </si>
  <si>
    <t xml:space="preserve">43358Facebook»AZR»1x1»SocialBan»NA»ALL»DYN»RT»D»All»SS»NA»Free Account Retargeting Generic - T3 - FR</t>
  </si>
  <si>
    <t xml:space="preserve">AzurePlatform_FreeAcctRetargetingFB-Animated-ChC_CAN_1200x628_SOC_Plat_FR_Free Account_Standard_ANI_SU_T3_1</t>
  </si>
  <si>
    <t xml:space="preserve">43358223691792</t>
  </si>
  <si>
    <t xml:space="preserve">43358Facebook»AZR»1x1»SocialBan»NA»ALL»DYN»RT»D»All»SS»NA»Free Account Retargeting Generic - T2 - FR</t>
  </si>
  <si>
    <t xml:space="preserve">AzurePlatform_FreeAcctRetargetingFB-GlobalAlt-ChB_CAN_1200x628_SOC_Plat_FR_Free Account_Standard_NA_SU_T2_1</t>
  </si>
  <si>
    <t xml:space="preserve">43358223691789</t>
  </si>
  <si>
    <t xml:space="preserve">43358Facebook»AZR»1x1»SocialBan»NA»ALL»DYN»RT»D»All»SS»NA» Free Account Retargeting OSS - T2 - FR</t>
  </si>
  <si>
    <t xml:space="preserve">AzurePlatform_FreeAcctRetargetingOSSFB-Logos-ChG_CAN_1200x628_SOC_Plat_FR_Free Account_Standard_NA_SU_T2_1</t>
  </si>
  <si>
    <t xml:space="preserve">43358223691780</t>
  </si>
  <si>
    <t xml:space="preserve">43358Facebook»AZR»1x1»SocialBan»NA»ALL»DYN»RT»D»All»SS»NA»Free Account Retargeting VM - T2 - FR</t>
  </si>
  <si>
    <t xml:space="preserve">AzurePlatform_FreeAcctRetargetingVMFB-OnDemand-ChE_CAN_1200x628_SOC_Plat_FR_Free Account_Standard_NA_SU_T2_1</t>
  </si>
  <si>
    <t xml:space="preserve">43358223691783</t>
  </si>
  <si>
    <t xml:space="preserve">43358Facebook»AZR»1x1»SocialBan»NA»ALL»DYN»RT»D»All»SS»NA»Free Account Retargeting VM - T1 - FR</t>
  </si>
  <si>
    <t xml:space="preserve">AzurePlatform_FreeAcctRetargetingVMFB-750Hrs-ChD_CAN_1200x628_SOC_Plat_FR_Free Account_Standard_NA_SU_T1_1</t>
  </si>
  <si>
    <t xml:space="preserve">43358223691840</t>
  </si>
  <si>
    <t xml:space="preserve">43358Facebook»AZR»1x1»NA»EGV»ALL»DYN»AUT»D»All»SS»NA»Free Acc CTC - T2 - EN</t>
  </si>
  <si>
    <t xml:space="preserve">AzurePlatform_FBCTCBrandinMotion_CAN_12s_ISV_PLAT_English_Trial_Standard_STAN_TN_T2_1</t>
  </si>
  <si>
    <t xml:space="preserve">43358227522771</t>
  </si>
  <si>
    <t xml:space="preserve">43358Facebook»AZR»1x1»NA»NA»ALL»DYN»AUT»D»All»SS»NA»Free Account Create to Convert FB - Canvas - Brand - Start Free - FR</t>
  </si>
  <si>
    <t xml:space="preserve">AzurePlatform_FBCTCBrandinMotion_CAN_1080x1080_SOC_12s_ISV_FR_Standard_NA_FTR_T2_1</t>
  </si>
  <si>
    <t xml:space="preserve">43358223691801</t>
  </si>
  <si>
    <t xml:space="preserve">43358Facebook»AZR»1x1»NA»EGV»ALL»DYN»AUT»D»All»SS»NA»Free Acc CTC - T1 - FR</t>
  </si>
  <si>
    <t xml:space="preserve">AzurePlatform_FBCTCBasicMotion_CAN_10s_ISV_PLAT_FR_Trial_Standard_STAN_TN_T1_1</t>
  </si>
  <si>
    <t xml:space="preserve">43358223691825</t>
  </si>
  <si>
    <t xml:space="preserve">43358Facebook»AZR»1x1»SocialBan»NA»ALL»DYN»RT»D»All»SS»NA»Free Account Retargeting VM - T1 - EN</t>
  </si>
  <si>
    <t xml:space="preserve">AzurePlatform_FreeAcctRetargetingVMFB-750Hrs-ChD_CAN_1200x628_SOC_Plat_EN_Free Account_Standard_NA_SU_T1_1</t>
  </si>
  <si>
    <t xml:space="preserve">43358223691786</t>
  </si>
  <si>
    <t xml:space="preserve">43358Facebook»AZR»1x1»SocialBan»NA»ALL»DYN»RT»D»All»SS»NA» Free Account Retargeting OSS - T1 - FR</t>
  </si>
  <si>
    <t xml:space="preserve">AzurePlatform_FreeAcctRetargetingOSSFB-Text-ChF_CAN_1200x628_SOC_Plat_FR_Free Account_Standard_NA_SU_T1_1</t>
  </si>
  <si>
    <t xml:space="preserve">43358225322327</t>
  </si>
  <si>
    <t xml:space="preserve">43358Facebook»AZR»1x1»NA»SOC»ALL»DYN»PRO»D»All»SS»NA»Canvas - Buy Now - EN</t>
  </si>
  <si>
    <t xml:space="preserve">AzurePlatform_FBCTCcanvaspage-BuyNowCTA-Img3_CAN_1080x162_SOC_Plat_English_NA_Standard_NA_BN_T3_1</t>
  </si>
  <si>
    <t xml:space="preserve">43358223691837</t>
  </si>
  <si>
    <t xml:space="preserve">43358Facebook»AZR»1x1»NA»EGV»ALL»DYN»AUT»D»All»SS»NA»Free Acc CTC - T4 - EN</t>
  </si>
  <si>
    <t xml:space="preserve">AzurePlatform_FBCTCBenefit2inMotion_CAN_14s_ISV_PLAT_English_Trial_Standard_STAN_TN_T4_1</t>
  </si>
  <si>
    <t xml:space="preserve">43358223684451</t>
  </si>
  <si>
    <t xml:space="preserve">43358Facebook»AZR»1x1»NA»EGV»ALL»DYN»AUT»D»All»SS»NA»Free Acc CTC - T1 - EN</t>
  </si>
  <si>
    <t xml:space="preserve">AzurePlatform_FBCTCBasicMotion_CAN_10s_ISV_PLAT_English_Trial_Standard_STAN_TN_T1_1</t>
  </si>
  <si>
    <t xml:space="preserve">43358227525720</t>
  </si>
  <si>
    <t xml:space="preserve">43358Facebook»AZR»1x1»NA»NA»ALL»DYN»AUT»D»All»SS»NA»Free Account Create to Convert FB - Canvas - Benefit - Start Free - EN</t>
  </si>
  <si>
    <t xml:space="preserve">AzurePlatform_FBCTCBenefit2inMotion_CAN_1080x1080_SOC_14s_ISV_English_Standard_NA_FTR_T4_1</t>
  </si>
  <si>
    <t xml:space="preserve">43358227522762</t>
  </si>
  <si>
    <t xml:space="preserve">43358Facebook»AZR»1x1»NA»NA»ALL»DYN»AUT»D»All»SS»NA»Free Account Create to Convert FB - Canvas - Brand - Start Free - EN</t>
  </si>
  <si>
    <t xml:space="preserve">AzurePlatform_FBCTCBrandinMotion_CAN_1080x1080_SOC_12s_ISV_English_Standard_NA_FTR_T2_1</t>
  </si>
  <si>
    <t xml:space="preserve">43358223691795</t>
  </si>
  <si>
    <t xml:space="preserve">43358Facebook»AZR»1x1»NA»EGV»ALL»DYN»AUT»D»All»SS»NA»Free Acc CTC - T4 - FR</t>
  </si>
  <si>
    <t xml:space="preserve">AzurePlatform_FBCTCBenefit2inMotion_CAN_14s_ISV_PLAT_FR_Trial_Standard_STAN_TN_T4_1</t>
  </si>
  <si>
    <t xml:space="preserve">43358223691834</t>
  </si>
  <si>
    <t xml:space="preserve">43358Facebook»AZR»1x1»SocialBan»NA»ALL»DYN»RT»D»All»SS»NA»Free Account Retargeting Generic - T2 - EN</t>
  </si>
  <si>
    <t xml:space="preserve">AzurePlatform_FreeAcctRetargetingFB-GlobalAlt-ChB_CAN_1200x628_SOC_Plat_EN_Free Account_Standard_NA_SU_T2_1</t>
  </si>
  <si>
    <t xml:space="preserve">43358223691822</t>
  </si>
  <si>
    <t xml:space="preserve">43358Facebook»AZR»1x1»SocialBan»NA»ALL»DYN»RT»D»All»SS»NA»Free Account Retargeting VM - T2 - EN</t>
  </si>
  <si>
    <t xml:space="preserve">AzurePlatform_FreeAcctRetargetingVMFB-OnDemand-ChE_CAN_1200x628_SOC_Plat_EN_Free Account_Standard_NA_SU_T2_1</t>
  </si>
  <si>
    <t xml:space="preserve">43358223691819</t>
  </si>
  <si>
    <t xml:space="preserve">43358Facebook»AZR»1x1»SocialBan»NA»ALL»DYN»RT»D»All»SS»NA»Free Account Retargeting Generic - T3 - EN</t>
  </si>
  <si>
    <t xml:space="preserve">AzurePlatform_FreeAcctRetargetingFB-Animated-ChC_CAN_1200x628_SOC_Plat_EN_Free Account_Standard_ANI_SU_T3_1</t>
  </si>
  <si>
    <t xml:space="preserve">43358223691828</t>
  </si>
  <si>
    <t xml:space="preserve">43358Facebook»AZR»1x1»SocialBan»NA»ALL»DYN»RT»D»All»SS»NA» Free Account Retargeting OSS - T1 - EN</t>
  </si>
  <si>
    <t xml:space="preserve">AzurePlatform_FreeAcctRetargetingOSSFB-Text-ChF_CAN_1200x628_SOC_Plat_EN_Free Account_Standard_NA_SU_T1_1</t>
  </si>
  <si>
    <t xml:space="preserve">43357227522771</t>
  </si>
  <si>
    <t xml:space="preserve">43357Facebook»AZR»1x1»NA»NA»ALL»DYN»AUT»D»All»SS»NA»Free Account Create to Convert FB - Canvas - Brand - Start Free - FR</t>
  </si>
  <si>
    <t xml:space="preserve">43357225322327</t>
  </si>
  <si>
    <t xml:space="preserve">43357Facebook»AZR»1x1»NA»SOC»ALL»DYN»PRO»D»All»SS»NA»Canvas - Buy Now - EN</t>
  </si>
  <si>
    <t xml:space="preserve">43357223691792</t>
  </si>
  <si>
    <t xml:space="preserve">43357Facebook»AZR»1x1»SocialBan»NA»ALL»DYN»RT»D»All»SS»NA»Free Account Retargeting Generic - T2 - FR</t>
  </si>
  <si>
    <t xml:space="preserve">43357223691819</t>
  </si>
  <si>
    <t xml:space="preserve">43357Facebook»AZR»1x1»SocialBan»NA»ALL»DYN»RT»D»All»SS»NA»Free Account Retargeting Generic - T3 - EN</t>
  </si>
  <si>
    <t xml:space="preserve">43357223691789</t>
  </si>
  <si>
    <t xml:space="preserve">43357Facebook»AZR»1x1»SocialBan»NA»ALL»DYN»RT»D»All»SS»NA» Free Account Retargeting OSS - T2 - FR</t>
  </si>
  <si>
    <t xml:space="preserve">43357227522762</t>
  </si>
  <si>
    <t xml:space="preserve">43357Facebook»AZR»1x1»NA»NA»ALL»DYN»AUT»D»All»SS»NA»Free Account Create to Convert FB - Canvas - Brand - Start Free - EN</t>
  </si>
  <si>
    <t xml:space="preserve">43357223691777</t>
  </si>
  <si>
    <t xml:space="preserve">43357Facebook»AZR»1x1»SocialBan»NA»ALL»DYN»RT»D»All»SS»NA»Free Account Retargeting Generic - T3 - FR</t>
  </si>
  <si>
    <t xml:space="preserve">43357223691780</t>
  </si>
  <si>
    <t xml:space="preserve">43357Facebook»AZR»1x1»SocialBan»NA»ALL»DYN»RT»D»All»SS»NA»Free Account Retargeting VM - T2 - FR</t>
  </si>
  <si>
    <t xml:space="preserve">43357223691834</t>
  </si>
  <si>
    <t xml:space="preserve">43357Facebook»AZR»1x1»SocialBan»NA»ALL»DYN»RT»D»All»SS»NA»Free Account Retargeting Generic - T2 - EN</t>
  </si>
  <si>
    <t xml:space="preserve">43357223691837</t>
  </si>
  <si>
    <t xml:space="preserve">43357Facebook»AZR»1x1»NA»EGV»ALL»DYN»AUT»D»All»SS»NA»Free Acc CTC - T4 - EN</t>
  </si>
  <si>
    <t xml:space="preserve">43357223691783</t>
  </si>
  <si>
    <t xml:space="preserve">43357Facebook»AZR»1x1»SocialBan»NA»ALL»DYN»RT»D»All»SS»NA»Free Account Retargeting VM - T1 - FR</t>
  </si>
  <si>
    <t xml:space="preserve">43357227618695</t>
  </si>
  <si>
    <t xml:space="preserve">43357Facebook»AZR»1x1»NA»NA»ALL»DYN»AUT»D»All»SS»NA»Free Account Create to Convert FB - Canvas - Benefit - Start Free - FR</t>
  </si>
  <si>
    <t xml:space="preserve">43357225322324</t>
  </si>
  <si>
    <t xml:space="preserve">43357Facebook»AZR»1x1»NA»SOC»ALL»DYN»PRO»D»All»SS»NA»Canvas - Buy Now - FR</t>
  </si>
  <si>
    <t xml:space="preserve">43357223691840</t>
  </si>
  <si>
    <t xml:space="preserve">43357Facebook»AZR»1x1»NA»EGV»ALL»DYN»AUT»D»All»SS»NA»Free Acc CTC - T2 - EN</t>
  </si>
  <si>
    <t xml:space="preserve">43357223691798</t>
  </si>
  <si>
    <t xml:space="preserve">43357Facebook»AZR»1x1»NA»EGV»ALL»DYN»AUT»D»All»SS»NA»Free Acc CTC - T2 - FR</t>
  </si>
  <si>
    <t xml:space="preserve">43357223691801</t>
  </si>
  <si>
    <t xml:space="preserve">43357Facebook»AZR»1x1»NA»EGV»ALL»DYN»AUT»D»All»SS»NA»Free Acc CTC - T1 - FR</t>
  </si>
  <si>
    <t xml:space="preserve">43357223691828</t>
  </si>
  <si>
    <t xml:space="preserve">43357Facebook»AZR»1x1»SocialBan»NA»ALL»DYN»RT»D»All»SS»NA» Free Account Retargeting OSS - T1 - EN</t>
  </si>
  <si>
    <t xml:space="preserve">43357223691825</t>
  </si>
  <si>
    <t xml:space="preserve">43357Facebook»AZR»1x1»SocialBan»NA»ALL»DYN»RT»D»All»SS»NA»Free Account Retargeting VM - T1 - EN</t>
  </si>
  <si>
    <t xml:space="preserve">43357223691786</t>
  </si>
  <si>
    <t xml:space="preserve">43357Facebook»AZR»1x1»SocialBan»NA»ALL»DYN»RT»D»All»SS»NA» Free Account Retargeting OSS - T1 - FR</t>
  </si>
  <si>
    <t xml:space="preserve">43357223691795</t>
  </si>
  <si>
    <t xml:space="preserve">43357Facebook»AZR»1x1»NA»EGV»ALL»DYN»AUT»D»All»SS»NA»Free Acc CTC - T4 - FR</t>
  </si>
  <si>
    <t xml:space="preserve">43357227525720</t>
  </si>
  <si>
    <t xml:space="preserve">43357Facebook»AZR»1x1»NA»NA»ALL»DYN»AUT»D»All»SS»NA»Free Account Create to Convert FB - Canvas - Benefit - Start Free - EN</t>
  </si>
  <si>
    <t xml:space="preserve">43357223691831</t>
  </si>
  <si>
    <t xml:space="preserve">43357Facebook»AZR»1x1»SocialBan»NA»ALL»DYN»RT»D»All»SS»NA» Free Account Retargeting OSS - T2 - EN</t>
  </si>
  <si>
    <t xml:space="preserve">43357223684451</t>
  </si>
  <si>
    <t xml:space="preserve">43357Facebook»AZR»1x1»NA»EGV»ALL»DYN»AUT»D»All»SS»NA»Free Acc CTC - T1 - EN</t>
  </si>
  <si>
    <t xml:space="preserve">43357223691822</t>
  </si>
  <si>
    <t xml:space="preserve">43357Facebook»AZR»1x1»SocialBan»NA»ALL»DYN»RT»D»All»SS»NA»Free Account Retargeting VM - T2 - EN</t>
  </si>
  <si>
    <t xml:space="preserve">43356223691834</t>
  </si>
  <si>
    <t xml:space="preserve">43356Facebook»AZR»1x1»SocialBan»NA»ALL»DYN»RT»D»All»SS»NA»Free Account Retargeting Generic - T2 - EN</t>
  </si>
  <si>
    <t xml:space="preserve">43356223691840</t>
  </si>
  <si>
    <t xml:space="preserve">43356Facebook»AZR»1x1»NA»EGV»ALL»DYN»AUT»D»All»SS»NA»Free Acc CTC - T2 - EN</t>
  </si>
  <si>
    <t xml:space="preserve">43356223691786</t>
  </si>
  <si>
    <t xml:space="preserve">43356Facebook»AZR»1x1»SocialBan»NA»ALL»DYN»RT»D»All»SS»NA» Free Account Retargeting OSS - T1 - FR</t>
  </si>
  <si>
    <t xml:space="preserve">43356223691828</t>
  </si>
  <si>
    <t xml:space="preserve">43356Facebook»AZR»1x1»SocialBan»NA»ALL»DYN»RT»D»All»SS»NA» Free Account Retargeting OSS - T1 - EN</t>
  </si>
  <si>
    <t xml:space="preserve">43356223691801</t>
  </si>
  <si>
    <t xml:space="preserve">43356Facebook»AZR»1x1»NA»EGV»ALL»DYN»AUT»D»All»SS»NA»Free Acc CTC - T1 - FR</t>
  </si>
  <si>
    <t xml:space="preserve">43356223691798</t>
  </si>
  <si>
    <t xml:space="preserve">43356Facebook»AZR»1x1»NA»EGV»ALL»DYN»AUT»D»All»SS»NA»Free Acc CTC - T2 - FR</t>
  </si>
  <si>
    <t xml:space="preserve">43356227618695</t>
  </si>
  <si>
    <t xml:space="preserve">43356Facebook»AZR»1x1»NA»NA»ALL»DYN»AUT»D»All»SS»NA»Free Account Create to Convert FB - Canvas - Benefit - Start Free - FR</t>
  </si>
  <si>
    <t xml:space="preserve">43356227522771</t>
  </si>
  <si>
    <t xml:space="preserve">43356Facebook»AZR»1x1»NA»NA»ALL»DYN»AUT»D»All»SS»NA»Free Account Create to Convert FB - Canvas - Brand - Start Free - FR</t>
  </si>
  <si>
    <t xml:space="preserve">43356225322327</t>
  </si>
  <si>
    <t xml:space="preserve">43356Facebook»AZR»1x1»NA»SOC»ALL»DYN»PRO»D»All»SS»NA»Canvas - Buy Now - EN</t>
  </si>
  <si>
    <t xml:space="preserve">43356227522762</t>
  </si>
  <si>
    <t xml:space="preserve">43356Facebook»AZR»1x1»NA»NA»ALL»DYN»AUT»D»All»SS»NA»Free Account Create to Convert FB - Canvas - Brand - Start Free - EN</t>
  </si>
  <si>
    <t xml:space="preserve">43356223684451</t>
  </si>
  <si>
    <t xml:space="preserve">43356Facebook»AZR»1x1»NA»EGV»ALL»DYN»AUT»D»All»SS»NA»Free Acc CTC - T1 - EN</t>
  </si>
  <si>
    <t xml:space="preserve">43356223691831</t>
  </si>
  <si>
    <t xml:space="preserve">43356Facebook»AZR»1x1»SocialBan»NA»ALL»DYN»RT»D»All»SS»NA» Free Account Retargeting OSS - T2 - EN</t>
  </si>
  <si>
    <t xml:space="preserve">43356223691789</t>
  </si>
  <si>
    <t xml:space="preserve">43356Facebook»AZR»1x1»SocialBan»NA»ALL»DYN»RT»D»All»SS»NA» Free Account Retargeting OSS - T2 - FR</t>
  </si>
  <si>
    <t xml:space="preserve">43356223691819</t>
  </si>
  <si>
    <t xml:space="preserve">43356Facebook»AZR»1x1»SocialBan»NA»ALL»DYN»RT»D»All»SS»NA»Free Account Retargeting Generic - T3 - EN</t>
  </si>
  <si>
    <t xml:space="preserve">43356223691780</t>
  </si>
  <si>
    <t xml:space="preserve">43356Facebook»AZR»1x1»SocialBan»NA»ALL»DYN»RT»D»All»SS»NA»Free Account Retargeting VM - T2 - FR</t>
  </si>
  <si>
    <t xml:space="preserve">43356223691777</t>
  </si>
  <si>
    <t xml:space="preserve">43356Facebook»AZR»1x1»SocialBan»NA»ALL»DYN»RT»D»All»SS»NA»Free Account Retargeting Generic - T3 - FR</t>
  </si>
  <si>
    <t xml:space="preserve">43356227525720</t>
  </si>
  <si>
    <t xml:space="preserve">43356Facebook»AZR»1x1»NA»NA»ALL»DYN»AUT»D»All»SS»NA»Free Account Create to Convert FB - Canvas - Benefit - Start Free - EN</t>
  </si>
  <si>
    <t xml:space="preserve">43356223691795</t>
  </si>
  <si>
    <t xml:space="preserve">43356Facebook»AZR»1x1»NA»EGV»ALL»DYN»AUT»D»All»SS»NA»Free Acc CTC - T4 - FR</t>
  </si>
  <si>
    <t xml:space="preserve">43356223691783</t>
  </si>
  <si>
    <t xml:space="preserve">43356Facebook»AZR»1x1»SocialBan»NA»ALL»DYN»RT»D»All»SS»NA»Free Account Retargeting VM - T1 - FR</t>
  </si>
  <si>
    <t xml:space="preserve">43356225322324</t>
  </si>
  <si>
    <t xml:space="preserve">43356Facebook»AZR»1x1»NA»SOC»ALL»DYN»PRO»D»All»SS»NA»Canvas - Buy Now - FR</t>
  </si>
  <si>
    <t xml:space="preserve">43356223691822</t>
  </si>
  <si>
    <t xml:space="preserve">43356Facebook»AZR»1x1»SocialBan»NA»ALL»DYN»RT»D»All»SS»NA»Free Account Retargeting VM - T2 - EN</t>
  </si>
  <si>
    <t xml:space="preserve">43356223691837</t>
  </si>
  <si>
    <t xml:space="preserve">43356Facebook»AZR»1x1»NA»EGV»ALL»DYN»AUT»D»All»SS»NA»Free Acc CTC - T4 - EN</t>
  </si>
  <si>
    <t xml:space="preserve">43356223691792</t>
  </si>
  <si>
    <t xml:space="preserve">43356Facebook»AZR»1x1»SocialBan»NA»ALL»DYN»RT»D»All»SS»NA»Free Account Retargeting Generic - T2 - FR</t>
  </si>
  <si>
    <t xml:space="preserve">43356223691825</t>
  </si>
  <si>
    <t xml:space="preserve">43356Facebook»AZR»1x1»SocialBan»NA»ALL»DYN»RT»D»All»SS»NA»Free Account Retargeting VM - T1 - EN</t>
  </si>
  <si>
    <t xml:space="preserve">43355227522771</t>
  </si>
  <si>
    <t xml:space="preserve">43355Facebook»AZR»1x1»NA»NA»ALL»DYN»AUT»D»All»SS»NA»Free Account Create to Convert FB - Canvas - Brand - Start Free - FR</t>
  </si>
  <si>
    <t xml:space="preserve">43355223691777</t>
  </si>
  <si>
    <t xml:space="preserve">43355Facebook»AZR»1x1»SocialBan»NA»ALL»DYN»RT»D»All»SS»NA»Free Account Retargeting Generic - T3 - FR</t>
  </si>
  <si>
    <t xml:space="preserve">43355223691798</t>
  </si>
  <si>
    <t xml:space="preserve">43355Facebook»AZR»1x1»NA»EGV»ALL»DYN»AUT»D»All»SS»NA»Free Acc CTC - T2 - FR</t>
  </si>
  <si>
    <t xml:space="preserve">43355223691840</t>
  </si>
  <si>
    <t xml:space="preserve">43355Facebook»AZR»1x1»NA»EGV»ALL»DYN»AUT»D»All»SS»NA»Free Acc CTC - T2 - EN</t>
  </si>
  <si>
    <t xml:space="preserve">43355223691801</t>
  </si>
  <si>
    <t xml:space="preserve">43355Facebook»AZR»1x1»NA»EGV»ALL»DYN»AUT»D»All»SS»NA»Free Acc CTC - T1 - FR</t>
  </si>
  <si>
    <t xml:space="preserve">43355223691831</t>
  </si>
  <si>
    <t xml:space="preserve">43355Facebook»AZR»1x1»SocialBan»NA»ALL»DYN»RT»D»All»SS»NA» Free Account Retargeting OSS - T2 - EN</t>
  </si>
  <si>
    <t xml:space="preserve">43355223691825</t>
  </si>
  <si>
    <t xml:space="preserve">43355Facebook»AZR»1x1»SocialBan»NA»ALL»DYN»RT»D»All»SS»NA»Free Account Retargeting VM - T1 - EN</t>
  </si>
  <si>
    <t xml:space="preserve">43355223691828</t>
  </si>
  <si>
    <t xml:space="preserve">43355Facebook»AZR»1x1»SocialBan»NA»ALL»DYN»RT»D»All»SS»NA» Free Account Retargeting OSS - T1 - EN</t>
  </si>
  <si>
    <t xml:space="preserve">43355227525720</t>
  </si>
  <si>
    <t xml:space="preserve">43355Facebook»AZR»1x1»NA»NA»ALL»DYN»AUT»D»All»SS»NA»Free Account Create to Convert FB - Canvas - Benefit - Start Free - EN</t>
  </si>
  <si>
    <t xml:space="preserve">43355223691795</t>
  </si>
  <si>
    <t xml:space="preserve">43355Facebook»AZR»1x1»NA»EGV»ALL»DYN»AUT»D»All»SS»NA»Free Acc CTC - T4 - FR</t>
  </si>
  <si>
    <t xml:space="preserve">43355223691819</t>
  </si>
  <si>
    <t xml:space="preserve">43355Facebook»AZR»1x1»SocialBan»NA»ALL»DYN»RT»D»All»SS»NA»Free Account Retargeting Generic - T3 - EN</t>
  </si>
  <si>
    <t xml:space="preserve">43355223691786</t>
  </si>
  <si>
    <t xml:space="preserve">43355Facebook»AZR»1x1»SocialBan»NA»ALL»DYN»RT»D»All»SS»NA» Free Account Retargeting OSS - T1 - FR</t>
  </si>
  <si>
    <t xml:space="preserve">43355227522762</t>
  </si>
  <si>
    <t xml:space="preserve">43355Facebook»AZR»1x1»NA»NA»ALL»DYN»AUT»D»All»SS»NA»Free Account Create to Convert FB - Canvas - Brand - Start Free - EN</t>
  </si>
  <si>
    <t xml:space="preserve">43355223684451</t>
  </si>
  <si>
    <t xml:space="preserve">43355Facebook»AZR»1x1»NA»EGV»ALL»DYN»AUT»D»All»SS»NA»Free Acc CTC - T1 - EN</t>
  </si>
  <si>
    <t xml:space="preserve">43355225322324</t>
  </si>
  <si>
    <t xml:space="preserve">43355Facebook»AZR»1x1»NA»SOC»ALL»DYN»PRO»D»All»SS»NA»Canvas - Buy Now - FR</t>
  </si>
  <si>
    <t xml:space="preserve">43355223691837</t>
  </si>
  <si>
    <t xml:space="preserve">43355Facebook»AZR»1x1»NA»EGV»ALL»DYN»AUT»D»All»SS»NA»Free Acc CTC - T4 - EN</t>
  </si>
  <si>
    <t xml:space="preserve">43355225322327</t>
  </si>
  <si>
    <t xml:space="preserve">43355Facebook»AZR»1x1»NA»SOC»ALL»DYN»PRO»D»All»SS»NA»Canvas - Buy Now - EN</t>
  </si>
  <si>
    <t xml:space="preserve">43355227618695</t>
  </si>
  <si>
    <t xml:space="preserve">43355Facebook»AZR»1x1»NA»NA»ALL»DYN»AUT»D»All»SS»NA»Free Account Create to Convert FB - Canvas - Benefit - Start Free - FR</t>
  </si>
  <si>
    <t xml:space="preserve">43355223691783</t>
  </si>
  <si>
    <t xml:space="preserve">43355Facebook»AZR»1x1»SocialBan»NA»ALL»DYN»RT»D»All»SS»NA»Free Account Retargeting VM - T1 - FR</t>
  </si>
  <si>
    <t xml:space="preserve">43355223691780</t>
  </si>
  <si>
    <t xml:space="preserve">43355Facebook»AZR»1x1»SocialBan»NA»ALL»DYN»RT»D»All»SS»NA»Free Account Retargeting VM - T2 - FR</t>
  </si>
  <si>
    <t xml:space="preserve">43355223691822</t>
  </si>
  <si>
    <t xml:space="preserve">43355Facebook»AZR»1x1»SocialBan»NA»ALL»DYN»RT»D»All»SS»NA»Free Account Retargeting VM - T2 - EN</t>
  </si>
  <si>
    <t xml:space="preserve">43355223691789</t>
  </si>
  <si>
    <t xml:space="preserve">43355Facebook»AZR»1x1»SocialBan»NA»ALL»DYN»RT»D»All»SS»NA» Free Account Retargeting OSS - T2 - FR</t>
  </si>
  <si>
    <t xml:space="preserve">43355223691792</t>
  </si>
  <si>
    <t xml:space="preserve">43355Facebook»AZR»1x1»SocialBan»NA»ALL»DYN»RT»D»All»SS»NA»Free Account Retargeting Generic - T2 - FR</t>
  </si>
  <si>
    <t xml:space="preserve">43355223691834</t>
  </si>
  <si>
    <t xml:space="preserve">43355Facebook»AZR»1x1»SocialBan»NA»ALL»DYN»RT»D»All»SS»NA»Free Account Retargeting Generic - T2 - EN</t>
  </si>
  <si>
    <t xml:space="preserve">43354227522762</t>
  </si>
  <si>
    <t xml:space="preserve">43354Facebook»AZR»1x1»NA»NA»ALL»DYN»AUT»D»All»SS»NA»Free Account Create to Convert FB - Canvas - Brand - Start Free - EN</t>
  </si>
  <si>
    <t xml:space="preserve">43354223691819</t>
  </si>
  <si>
    <t xml:space="preserve">43354Facebook»AZR»1x1»SocialBan»NA»ALL»DYN»RT»D»All»SS»NA»Free Account Retargeting Generic - T3 - EN</t>
  </si>
  <si>
    <t xml:space="preserve">43354223691828</t>
  </si>
  <si>
    <t xml:space="preserve">43354Facebook»AZR»1x1»SocialBan»NA»ALL»DYN»RT»D»All»SS»NA» Free Account Retargeting OSS - T1 - EN</t>
  </si>
  <si>
    <t xml:space="preserve">43354223684451</t>
  </si>
  <si>
    <t xml:space="preserve">43354Facebook»AZR»1x1»NA»EGV»ALL»DYN»AUT»D»All»SS»NA»Free Acc CTC - T1 - EN</t>
  </si>
  <si>
    <t xml:space="preserve">43354223691837</t>
  </si>
  <si>
    <t xml:space="preserve">43354Facebook»AZR»1x1»NA»EGV»ALL»DYN»AUT»D»All»SS»NA»Free Acc CTC - T4 - EN</t>
  </si>
  <si>
    <t xml:space="preserve">43354227525720</t>
  </si>
  <si>
    <t xml:space="preserve">43354Facebook»AZR»1x1»NA»NA»ALL»DYN»AUT»D»All»SS»NA»Free Account Create to Convert FB - Canvas - Benefit - Start Free - EN</t>
  </si>
  <si>
    <t xml:space="preserve">43354225322327</t>
  </si>
  <si>
    <t xml:space="preserve">43354Facebook»AZR»1x1»NA»SOC»ALL»DYN»PRO»D»All»SS»NA»Canvas - Buy Now - EN</t>
  </si>
  <si>
    <t xml:space="preserve">43354223691825</t>
  </si>
  <si>
    <t xml:space="preserve">43354Facebook»AZR»1x1»SocialBan»NA»ALL»DYN»RT»D»All»SS»NA»Free Account Retargeting VM - T1 - EN</t>
  </si>
  <si>
    <t xml:space="preserve">43354225322324</t>
  </si>
  <si>
    <t xml:space="preserve">43354Facebook»AZR»1x1»NA»SOC»ALL»DYN»PRO»D»All»SS»NA»Canvas - Buy Now - FR</t>
  </si>
  <si>
    <t xml:space="preserve">43354223691777</t>
  </si>
  <si>
    <t xml:space="preserve">43354Facebook»AZR»1x1»SocialBan»NA»ALL»DYN»RT»D»All»SS»NA»Free Account Retargeting Generic - T3 - FR</t>
  </si>
  <si>
    <t xml:space="preserve">43354223691780</t>
  </si>
  <si>
    <t xml:space="preserve">43354Facebook»AZR»1x1»SocialBan»NA»ALL»DYN»RT»D»All»SS»NA»Free Account Retargeting VM - T2 - FR</t>
  </si>
  <si>
    <t xml:space="preserve">43354223691834</t>
  </si>
  <si>
    <t xml:space="preserve">43354Facebook»AZR»1x1»SocialBan»NA»ALL»DYN»RT»D»All»SS»NA»Free Account Retargeting Generic - T2 - EN</t>
  </si>
  <si>
    <t xml:space="preserve">43354223691831</t>
  </si>
  <si>
    <t xml:space="preserve">43354Facebook»AZR»1x1»SocialBan»NA»ALL»DYN»RT»D»All»SS»NA» Free Account Retargeting OSS - T2 - EN</t>
  </si>
  <si>
    <t xml:space="preserve">43354223691840</t>
  </si>
  <si>
    <t xml:space="preserve">43354Facebook»AZR»1x1»NA»EGV»ALL»DYN»AUT»D»All»SS»NA»Free Acc CTC - T2 - EN</t>
  </si>
  <si>
    <t xml:space="preserve">43354223691798</t>
  </si>
  <si>
    <t xml:space="preserve">43354Facebook»AZR»1x1»NA»EGV»ALL»DYN»AUT»D»All»SS»NA»Free Acc CTC - T2 - FR</t>
  </si>
  <si>
    <t xml:space="preserve">43354227618695</t>
  </si>
  <si>
    <t xml:space="preserve">43354Facebook»AZR»1x1»NA»NA»ALL»DYN»AUT»D»All»SS»NA»Free Account Create to Convert FB - Canvas - Benefit - Start Free - FR</t>
  </si>
  <si>
    <t xml:space="preserve">43354223691795</t>
  </si>
  <si>
    <t xml:space="preserve">43354Facebook»AZR»1x1»NA»EGV»ALL»DYN»AUT»D»All»SS»NA»Free Acc CTC - T4 - FR</t>
  </si>
  <si>
    <t xml:space="preserve">43354223691801</t>
  </si>
  <si>
    <t xml:space="preserve">43354Facebook»AZR»1x1»NA»EGV»ALL»DYN»AUT»D»All»SS»NA»Free Acc CTC - T1 - FR</t>
  </si>
  <si>
    <t xml:space="preserve">43354227522771</t>
  </si>
  <si>
    <t xml:space="preserve">43354Facebook»AZR»1x1»NA»NA»ALL»DYN»AUT»D»All»SS»NA»Free Account Create to Convert FB - Canvas - Brand - Start Free - FR</t>
  </si>
  <si>
    <t xml:space="preserve">43354223691789</t>
  </si>
  <si>
    <t xml:space="preserve">43354Facebook»AZR»1x1»SocialBan»NA»ALL»DYN»RT»D»All»SS»NA» Free Account Retargeting OSS - T2 - FR</t>
  </si>
  <si>
    <t xml:space="preserve">43354223691822</t>
  </si>
  <si>
    <t xml:space="preserve">43354Facebook»AZR»1x1»SocialBan»NA»ALL»DYN»RT»D»All»SS»NA»Free Account Retargeting VM - T2 - EN</t>
  </si>
  <si>
    <t xml:space="preserve">43354223691783</t>
  </si>
  <si>
    <t xml:space="preserve">43354Facebook»AZR»1x1»SocialBan»NA»ALL»DYN»RT»D»All»SS»NA»Free Account Retargeting VM - T1 - FR</t>
  </si>
  <si>
    <t xml:space="preserve">43354223691786</t>
  </si>
  <si>
    <t xml:space="preserve">43354Facebook»AZR»1x1»SocialBan»NA»ALL»DYN»RT»D»All»SS»NA» Free Account Retargeting OSS - T1 - FR</t>
  </si>
  <si>
    <t xml:space="preserve">43354223691792</t>
  </si>
  <si>
    <t xml:space="preserve">43354Facebook»AZR»1x1»SocialBan»NA»ALL»DYN»RT»D»All»SS»NA»Free Account Retargeting Generic - T2 - FR</t>
  </si>
  <si>
    <t xml:space="preserve">43353225322327</t>
  </si>
  <si>
    <t xml:space="preserve">43353Facebook»AZR»1x1»NA»SOC»ALL»DYN»PRO»D»All»SS»NA»Canvas - Buy Now - EN</t>
  </si>
  <si>
    <t xml:space="preserve">43353223691780</t>
  </si>
  <si>
    <t xml:space="preserve">43353Facebook»AZR»1x1»SocialBan»NA»ALL»DYN»RT»D»All»SS»NA»Free Account Retargeting VM - T2 - FR</t>
  </si>
  <si>
    <t xml:space="preserve">43353223684451</t>
  </si>
  <si>
    <t xml:space="preserve">43353Facebook»AZR»1x1»NA»EGV»ALL»DYN»AUT»D»All»SS»NA»Free Acc CTC - T1 - EN</t>
  </si>
  <si>
    <t xml:space="preserve">43353223691762</t>
  </si>
  <si>
    <t xml:space="preserve">43353Facebook»AZR»1x1»SocialBan»NA»ALL»DYN»AUT»D»All»SS»NA»Free Acc Refresh - T1 - FR</t>
  </si>
  <si>
    <t xml:space="preserve">AzurePlatform_FreeAcctAppsFACEBOOKLifestyleChA_CAN_1200x628_SOC_PLAT_FR_Trial_Standard_NA_SU_T1_1.png</t>
  </si>
  <si>
    <t xml:space="preserve">43353223691789</t>
  </si>
  <si>
    <t xml:space="preserve">43353Facebook»AZR»1x1»SocialBan»NA»ALL»DYN»RT»D»All»SS»NA» Free Account Retargeting OSS - T2 - FR</t>
  </si>
  <si>
    <t xml:space="preserve">43353223691792</t>
  </si>
  <si>
    <t xml:space="preserve">43353Facebook»AZR»1x1»SocialBan»NA»ALL»DYN»RT»D»All»SS»NA»Free Account Retargeting Generic - T2 - FR</t>
  </si>
  <si>
    <t xml:space="preserve">43353223691777</t>
  </si>
  <si>
    <t xml:space="preserve">43353Facebook»AZR»1x1»SocialBan»NA»ALL»DYN»RT»D»All»SS»NA»Free Account Retargeting Generic - T3 - FR</t>
  </si>
  <si>
    <t xml:space="preserve">43353223691831</t>
  </si>
  <si>
    <t xml:space="preserve">43353Facebook»AZR»1x1»SocialBan»NA»ALL»DYN»RT»D»All»SS»NA» Free Account Retargeting OSS - T2 - EN</t>
  </si>
  <si>
    <t xml:space="preserve">43353223691795</t>
  </si>
  <si>
    <t xml:space="preserve">43353Facebook»AZR»1x1»NA»EGV»ALL»DYN»AUT»D»All»SS»NA»Free Acc CTC - T4 - FR</t>
  </si>
  <si>
    <t xml:space="preserve">43353227522762</t>
  </si>
  <si>
    <t xml:space="preserve">43353Facebook»AZR»1x1»NA»NA»ALL»DYN»AUT»D»All»SS»NA»Free Account Create to Convert FB - Canvas - Brand - Start Free - EN</t>
  </si>
  <si>
    <t xml:space="preserve">43353227618695</t>
  </si>
  <si>
    <t xml:space="preserve">43353Facebook»AZR»1x1»NA»NA»ALL»DYN»AUT»D»All»SS»NA»Free Account Create to Convert FB - Canvas - Benefit - Start Free - FR</t>
  </si>
  <si>
    <t xml:space="preserve">43353223691825</t>
  </si>
  <si>
    <t xml:space="preserve">43353Facebook»AZR»1x1»SocialBan»NA»ALL»DYN»RT»D»All»SS»NA»Free Account Retargeting VM - T1 - EN</t>
  </si>
  <si>
    <t xml:space="preserve">43353227525720</t>
  </si>
  <si>
    <t xml:space="preserve">43353Facebook»AZR»1x1»NA»NA»ALL»DYN»AUT»D»All»SS»NA»Free Account Create to Convert FB - Canvas - Benefit - Start Free - EN</t>
  </si>
  <si>
    <t xml:space="preserve">43353223691840</t>
  </si>
  <si>
    <t xml:space="preserve">43353Facebook»AZR»1x1»NA»EGV»ALL»DYN»AUT»D»All»SS»NA»Free Acc CTC - T2 - EN</t>
  </si>
  <si>
    <t xml:space="preserve">43353223691822</t>
  </si>
  <si>
    <t xml:space="preserve">43353Facebook»AZR»1x1»SocialBan»NA»ALL»DYN»RT»D»All»SS»NA»Free Account Retargeting VM - T2 - EN</t>
  </si>
  <si>
    <t xml:space="preserve">43353223691816</t>
  </si>
  <si>
    <t xml:space="preserve">43353Facebook»AZR»1x1»SocialBan»NA»ALL»DYN»AUT»D»All»SS»NA»Free Acc Refresh - T5 - EN</t>
  </si>
  <si>
    <t xml:space="preserve">AzurePlatform_FreeAcctAppsFACEBOOK12monthsChE_CAN_1200x628_SOC_PLAT_EN_Trial_Standard_NA_SU_T5_1.png</t>
  </si>
  <si>
    <t xml:space="preserve">43353223691786</t>
  </si>
  <si>
    <t xml:space="preserve">43353Facebook»AZR»1x1»SocialBan»NA»ALL»DYN»RT»D»All»SS»NA» Free Account Retargeting OSS - T1 - FR</t>
  </si>
  <si>
    <t xml:space="preserve">43353227522771</t>
  </si>
  <si>
    <t xml:space="preserve">43353Facebook»AZR»1x1»NA»NA»ALL»DYN»AUT»D»All»SS»NA»Free Account Create to Convert FB - Canvas - Brand - Start Free - FR</t>
  </si>
  <si>
    <t xml:space="preserve">43353223691810</t>
  </si>
  <si>
    <t xml:space="preserve">43353Facebook»AZR»1x1»SocialBan»NA»ALL»DYN»AUT»D»All»SS»NA»Free Acc Refresh - T2 - EN</t>
  </si>
  <si>
    <t xml:space="preserve">AzurePlatform_FreeAcctAppsFACEBOOKDeviceChB_CAN_1200x628_SOC_PLAT_EN_Trial_Standard_NA_SU_T2_1.png</t>
  </si>
  <si>
    <t xml:space="preserve">43353223691807</t>
  </si>
  <si>
    <t xml:space="preserve">43353Facebook»AZR»1x1»SocialBan»NA»ALL»DYN»AUT»D»All»SS»NA»Free Acc Refresh - T3 - EN</t>
  </si>
  <si>
    <t xml:space="preserve">AzurePlatform_FreeAcctAppsFACEBOOKIllustrationChC_CAN_1200x628_SOC_PLAT_EN_Trial_Standard_NA_SU_T3_1.png</t>
  </si>
  <si>
    <t xml:space="preserve">43353223691801</t>
  </si>
  <si>
    <t xml:space="preserve">43353Facebook»AZR»1x1»NA»EGV»ALL»DYN»AUT»D»All»SS»NA»Free Acc CTC - T1 - FR</t>
  </si>
  <si>
    <t xml:space="preserve">43353223691834</t>
  </si>
  <si>
    <t xml:space="preserve">43353Facebook»AZR»1x1»SocialBan»NA»ALL»DYN»RT»D»All»SS»NA»Free Account Retargeting Generic - T2 - EN</t>
  </si>
  <si>
    <t xml:space="preserve">43353223691804</t>
  </si>
  <si>
    <t xml:space="preserve">43353Facebook»AZR»1x1»SocialBan»NA»ALL»DYN»AUT»D»All»SS»NA»Free Acc Refresh - T1 - EN</t>
  </si>
  <si>
    <t xml:space="preserve">AzurePlatform_FreeAcctAppsFACEBOOKLifestyleChA_CAN_1200x628_SOC_PLAT_EN_Trial_Standard_NA_SU_T1_1.png</t>
  </si>
  <si>
    <t xml:space="preserve">43353223691798</t>
  </si>
  <si>
    <t xml:space="preserve">43353Facebook»AZR»1x1»NA»EGV»ALL»DYN»AUT»D»All»SS»NA»Free Acc CTC - T2 - FR</t>
  </si>
  <si>
    <t xml:space="preserve">43353223691774</t>
  </si>
  <si>
    <t xml:space="preserve">43353Facebook»AZR»1x1»SocialBan»NA»ALL»DYN»AUT»D»All»SS»NA»Free Acc Refresh - T5 - FR</t>
  </si>
  <si>
    <t xml:space="preserve">AzurePlatform_FreeAcctAppsFACEBOOK12monthsChE_CAN_1200x628_SOC_PLAT_FR_Trial_Standard_NA_SU_T5_1.png</t>
  </si>
  <si>
    <t xml:space="preserve">43353223691819</t>
  </si>
  <si>
    <t xml:space="preserve">43353Facebook»AZR»1x1»SocialBan»NA»ALL»DYN»RT»D»All»SS»NA»Free Account Retargeting Generic - T3 - EN</t>
  </si>
  <si>
    <t xml:space="preserve">43353223691828</t>
  </si>
  <si>
    <t xml:space="preserve">43353Facebook»AZR»1x1»SocialBan»NA»ALL»DYN»RT»D»All»SS»NA» Free Account Retargeting OSS - T1 - EN</t>
  </si>
  <si>
    <t xml:space="preserve">43353223691813</t>
  </si>
  <si>
    <t xml:space="preserve">43353Facebook»AZR»1x1»SocialBan»NA»ALL»DYN»AUT»D»All»SS»NA»Free Acc Refresh - T4 - EN</t>
  </si>
  <si>
    <t xml:space="preserve">AzurePlatform_FreeAcctAppsFACEBOOK200CreditChD_CAN_1200x628_SOC_PLAT_EN_Trial_Standard_NA_SU_T4_1.png</t>
  </si>
  <si>
    <t xml:space="preserve">43353223691771</t>
  </si>
  <si>
    <t xml:space="preserve">43353Facebook»AZR»1x1»SocialBan»NA»ALL»DYN»AUT»D»All»SS»NA»Free Acc Refresh - T4 - FR</t>
  </si>
  <si>
    <t xml:space="preserve">AzurePlatform_FreeAcctAppsFACEBOOK200CreditChD_CAN_1200x628_SOC_PLAT_FR_Trial_Standard_NA_SU_T4_1.png</t>
  </si>
  <si>
    <t xml:space="preserve">43353223691765</t>
  </si>
  <si>
    <t xml:space="preserve">43353Facebook»AZR»1x1»SocialBan»NA»ALL»DYN»AUT»D»All»SS»NA»Free Acc Refresh - T3 - FR</t>
  </si>
  <si>
    <t xml:space="preserve">AzurePlatform_FreeAcctAppsFACEBOOKIllustrationChC_CAN_1200x628_SOC_PLAT_FR_Trial_Standard_NA_SU_T3_1.png</t>
  </si>
  <si>
    <t xml:space="preserve">43353223691768</t>
  </si>
  <si>
    <t xml:space="preserve">43353Facebook»AZR»1x1»SocialBan»NA»ALL»DYN»AUT»D»All»SS»NA»Free Acc Refresh - T2 - FR</t>
  </si>
  <si>
    <t xml:space="preserve">AzurePlatform_FreeAcctAppsFACEBOOKDeviceChB_CAN_1200x628_SOC_PLAT_FR_Trial_Standard_NA_SU_T2_1.png</t>
  </si>
  <si>
    <t xml:space="preserve">43353223691837</t>
  </si>
  <si>
    <t xml:space="preserve">43353Facebook»AZR»1x1»NA»EGV»ALL»DYN»AUT»D»All»SS»NA»Free Acc CTC - T4 - EN</t>
  </si>
  <si>
    <t xml:space="preserve">43353225322324</t>
  </si>
  <si>
    <t xml:space="preserve">43353Facebook»AZR»1x1»NA»SOC»ALL»DYN»PRO»D»All»SS»NA»Canvas - Buy Now - FR</t>
  </si>
  <si>
    <t xml:space="preserve">43353223691783</t>
  </si>
  <si>
    <t xml:space="preserve">43353Facebook»AZR»1x1»SocialBan»NA»ALL»DYN»RT»D»All»SS»NA»Free Account Retargeting VM - T1 - FR</t>
  </si>
  <si>
    <t xml:space="preserve">43352227618695</t>
  </si>
  <si>
    <t xml:space="preserve">43352Facebook»AZR»1x1»NA»NA»ALL»DYN»AUT»D»All»SS»NA»Free Account Create to Convert FB - Canvas - Benefit - Start Free - FR</t>
  </si>
  <si>
    <t xml:space="preserve">43352225322324</t>
  </si>
  <si>
    <t xml:space="preserve">43352Facebook»AZR»1x1»NA»SOC»ALL»DYN»PRO»D»All»SS»NA»Canvas - Buy Now - FR</t>
  </si>
  <si>
    <t xml:space="preserve">43352227522771</t>
  </si>
  <si>
    <t xml:space="preserve">43352Facebook»AZR»1x1»NA»NA»ALL»DYN»AUT»D»All»SS»NA»Free Account Create to Convert FB - Canvas - Brand - Start Free - FR</t>
  </si>
  <si>
    <t xml:space="preserve">43352225322327</t>
  </si>
  <si>
    <t xml:space="preserve">43352Facebook»AZR»1x1»NA»SOC»ALL»DYN»PRO»D»All»SS»NA»Canvas - Buy Now - EN</t>
  </si>
  <si>
    <t xml:space="preserve">43352223691819</t>
  </si>
  <si>
    <t xml:space="preserve">43352Facebook»AZR»1x1»SocialBan»NA»ALL»DYN»RT»D»All»SS»NA»Free Account Retargeting Generic - T3 - EN</t>
  </si>
  <si>
    <t xml:space="preserve">43352227522762</t>
  </si>
  <si>
    <t xml:space="preserve">43352Facebook»AZR»1x1»NA»NA»ALL»DYN»AUT»D»All»SS»NA»Free Account Create to Convert FB - Canvas - Brand - Start Free - EN</t>
  </si>
  <si>
    <t xml:space="preserve">43352223691768</t>
  </si>
  <si>
    <t xml:space="preserve">43352Facebook»AZR»1x1»SocialBan»NA»ALL»DYN»AUT»D»All»SS»NA»Free Acc Refresh - T2 - FR</t>
  </si>
  <si>
    <t xml:space="preserve">43352223691828</t>
  </si>
  <si>
    <t xml:space="preserve">43352Facebook»AZR»1x1»SocialBan»NA»ALL»DYN»RT»D»All»SS»NA» Free Account Retargeting OSS - T1 - EN</t>
  </si>
  <si>
    <t xml:space="preserve">43352223691834</t>
  </si>
  <si>
    <t xml:space="preserve">43352Facebook»AZR»1x1»SocialBan»NA»ALL»DYN»RT»D»All»SS»NA»Free Account Retargeting Generic - T2 - EN</t>
  </si>
  <si>
    <t xml:space="preserve">43352223691822</t>
  </si>
  <si>
    <t xml:space="preserve">43352Facebook»AZR»1x1»SocialBan»NA»ALL»DYN»RT»D»All»SS»NA»Free Account Retargeting VM - T2 - EN</t>
  </si>
  <si>
    <t xml:space="preserve">43352223691825</t>
  </si>
  <si>
    <t xml:space="preserve">43352Facebook»AZR»1x1»SocialBan»NA»ALL»DYN»RT»D»All»SS»NA»Free Account Retargeting VM - T1 - EN</t>
  </si>
  <si>
    <t xml:space="preserve">43352223691795</t>
  </si>
  <si>
    <t xml:space="preserve">43352Facebook»AZR»1x1»NA»EGV»ALL»DYN»AUT»D»All»SS»NA»Free Acc CTC - T4 - FR</t>
  </si>
  <si>
    <t xml:space="preserve">43352223691831</t>
  </si>
  <si>
    <t xml:space="preserve">43352Facebook»AZR»1x1»SocialBan»NA»ALL»DYN»RT»D»All»SS»NA» Free Account Retargeting OSS - T2 - EN</t>
  </si>
  <si>
    <t xml:space="preserve">43352223691777</t>
  </si>
  <si>
    <t xml:space="preserve">43352Facebook»AZR»1x1»SocialBan»NA»ALL»DYN»RT»D»All»SS»NA»Free Account Retargeting Generic - T3 - FR</t>
  </si>
  <si>
    <t xml:space="preserve">43352223691792</t>
  </si>
  <si>
    <t xml:space="preserve">43352Facebook»AZR»1x1»SocialBan»NA»ALL»DYN»RT»D»All»SS»NA»Free Account Retargeting Generic - T2 - FR</t>
  </si>
  <si>
    <t xml:space="preserve">43352223691789</t>
  </si>
  <si>
    <t xml:space="preserve">43352Facebook»AZR»1x1»SocialBan»NA»ALL»DYN»RT»D»All»SS»NA» Free Account Retargeting OSS - T2 - FR</t>
  </si>
  <si>
    <t xml:space="preserve">43352223691780</t>
  </si>
  <si>
    <t xml:space="preserve">43352Facebook»AZR»1x1»SocialBan»NA»ALL»DYN»RT»D»All»SS»NA»Free Account Retargeting VM - T2 - FR</t>
  </si>
  <si>
    <t xml:space="preserve">43352223691783</t>
  </si>
  <si>
    <t xml:space="preserve">43352Facebook»AZR»1x1»SocialBan»NA»ALL»DYN»RT»D»All»SS»NA»Free Account Retargeting VM - T1 - FR</t>
  </si>
  <si>
    <t xml:space="preserve">43352223691840</t>
  </si>
  <si>
    <t xml:space="preserve">43352Facebook»AZR»1x1»NA»EGV»ALL»DYN»AUT»D»All»SS»NA»Free Acc CTC - T2 - EN</t>
  </si>
  <si>
    <t xml:space="preserve">43352223691765</t>
  </si>
  <si>
    <t xml:space="preserve">43352Facebook»AZR»1x1»SocialBan»NA»ALL»DYN»AUT»D»All»SS»NA»Free Acc Refresh - T3 - FR</t>
  </si>
  <si>
    <t xml:space="preserve">43352227525720</t>
  </si>
  <si>
    <t xml:space="preserve">43352Facebook»AZR»1x1»NA»NA»ALL»DYN»AUT»D»All»SS»NA»Free Account Create to Convert FB - Canvas - Benefit - Start Free - EN</t>
  </si>
  <si>
    <t xml:space="preserve">43352223691771</t>
  </si>
  <si>
    <t xml:space="preserve">43352Facebook»AZR»1x1»SocialBan»NA»ALL»DYN»AUT»D»All»SS»NA»Free Acc Refresh - T4 - FR</t>
  </si>
  <si>
    <t xml:space="preserve">43352223691774</t>
  </si>
  <si>
    <t xml:space="preserve">43352Facebook»AZR»1x1»SocialBan»NA»ALL»DYN»AUT»D»All»SS»NA»Free Acc Refresh - T5 - FR</t>
  </si>
  <si>
    <t xml:space="preserve">43352223691801</t>
  </si>
  <si>
    <t xml:space="preserve">43352Facebook»AZR»1x1»NA»EGV»ALL»DYN»AUT»D»All»SS»NA»Free Acc CTC - T1 - FR</t>
  </si>
  <si>
    <t xml:space="preserve">43352223691807</t>
  </si>
  <si>
    <t xml:space="preserve">43352Facebook»AZR»1x1»SocialBan»NA»ALL»DYN»AUT»D»All»SS»NA»Free Acc Refresh - T3 - EN</t>
  </si>
  <si>
    <t xml:space="preserve">43352223691786</t>
  </si>
  <si>
    <t xml:space="preserve">43352Facebook»AZR»1x1»SocialBan»NA»ALL»DYN»RT»D»All»SS»NA» Free Account Retargeting OSS - T1 - FR</t>
  </si>
  <si>
    <t xml:space="preserve">43352223691762</t>
  </si>
  <si>
    <t xml:space="preserve">43352Facebook»AZR»1x1»SocialBan»NA»ALL»DYN»AUT»D»All»SS»NA»Free Acc Refresh - T1 - FR</t>
  </si>
  <si>
    <t xml:space="preserve">43352223691810</t>
  </si>
  <si>
    <t xml:space="preserve">43352Facebook»AZR»1x1»SocialBan»NA»ALL»DYN»AUT»D»All»SS»NA»Free Acc Refresh - T2 - EN</t>
  </si>
  <si>
    <t xml:space="preserve">43352223691804</t>
  </si>
  <si>
    <t xml:space="preserve">43352Facebook»AZR»1x1»SocialBan»NA»ALL»DYN»AUT»D»All»SS»NA»Free Acc Refresh - T1 - EN</t>
  </si>
  <si>
    <t xml:space="preserve">43352223691813</t>
  </si>
  <si>
    <t xml:space="preserve">43352Facebook»AZR»1x1»SocialBan»NA»ALL»DYN»AUT»D»All»SS»NA»Free Acc Refresh - T4 - EN</t>
  </si>
  <si>
    <t xml:space="preserve">43352223691837</t>
  </si>
  <si>
    <t xml:space="preserve">43352Facebook»AZR»1x1»NA»EGV»ALL»DYN»AUT»D»All»SS»NA»Free Acc CTC - T4 - EN</t>
  </si>
  <si>
    <t xml:space="preserve">43352223691816</t>
  </si>
  <si>
    <t xml:space="preserve">43352Facebook»AZR»1x1»SocialBan»NA»ALL»DYN»AUT»D»All»SS»NA»Free Acc Refresh - T5 - EN</t>
  </si>
  <si>
    <t xml:space="preserve">43352223684451</t>
  </si>
  <si>
    <t xml:space="preserve">43352Facebook»AZR»1x1»NA»EGV»ALL»DYN»AUT»D»All»SS»NA»Free Acc CTC - T1 - EN</t>
  </si>
  <si>
    <t xml:space="preserve">43352223691798</t>
  </si>
  <si>
    <t xml:space="preserve">43352Facebook»AZR»1x1»NA»EGV»ALL»DYN»AUT»D»All»SS»NA»Free Acc CTC - T2 - FR</t>
  </si>
  <si>
    <t xml:space="preserve">43358226359956</t>
  </si>
  <si>
    <t xml:space="preserve">43358Facebook»Developers/ITPros-Azure Direct-Sponsored Post_Trial_PayGo-Link Ad-FreeAcctRetargetingFB-Animated-ChC CanvasOpener»1x1»SocialBan»SOC»ALL»CPC»LAL»D»UNK»SS»NA»Trials_ID</t>
  </si>
  <si>
    <t xml:space="preserve">AZR_reeAcctRetargetingFB-Animated-ChC_FRA_1200x628_SOC_AZRDirect_French_NA_Facebook_SBAN_SINU_T3_1</t>
  </si>
  <si>
    <t xml:space="preserve">43357226359956</t>
  </si>
  <si>
    <t xml:space="preserve">43357Facebook»Developers/ITPros-Azure Direct-Sponsored Post_Trial_PayGo-Link Ad-FreeAcctRetargetingFB-Animated-ChC CanvasOpener»1x1»SocialBan»SOC»ALL»CPC»LAL»D»UNK»SS»NA»Trials_ID</t>
  </si>
  <si>
    <t xml:space="preserve">43356226359956</t>
  </si>
  <si>
    <t xml:space="preserve">43356Facebook»Developers/ITPros-Azure Direct-Sponsored Post_Trial_PayGo-Link Ad-FreeAcctRetargetingFB-Animated-ChC CanvasOpener»1x1»SocialBan»SOC»ALL»CPC»LAL»D»UNK»SS»NA»Trials_ID</t>
  </si>
  <si>
    <t xml:space="preserve">43355226359956</t>
  </si>
  <si>
    <t xml:space="preserve">43355Facebook»Developers/ITPros-Azure Direct-Sponsored Post_Trial_PayGo-Link Ad-FreeAcctRetargetingFB-Animated-ChC CanvasOpener»1x1»SocialBan»SOC»ALL»CPC»LAL»D»UNK»SS»NA»Trials_ID</t>
  </si>
  <si>
    <t xml:space="preserve">43354226359956</t>
  </si>
  <si>
    <t xml:space="preserve">43354Facebook»Developers/ITPros-Azure Direct-Sponsored Post_Trial_PayGo-Link Ad-FreeAcctRetargetingFB-Animated-ChC CanvasOpener»1x1»SocialBan»SOC»ALL»CPC»LAL»D»UNK»SS»NA»Trials_ID</t>
  </si>
  <si>
    <t xml:space="preserve">43353226359956</t>
  </si>
  <si>
    <t xml:space="preserve">43353Facebook»Developers/ITPros-Azure Direct-Sponsored Post_Trial_PayGo-Link Ad-FreeAcctRetargetingFB-Animated-ChC CanvasOpener»1x1»SocialBan»SOC»ALL»CPC»LAL»D»UNK»SS»NA»Trials_ID</t>
  </si>
  <si>
    <t xml:space="preserve">43352226359956</t>
  </si>
  <si>
    <t xml:space="preserve">43352Facebook»Developers/ITPros-Azure Direct-Sponsored Post_Trial_PayGo-Link Ad-FreeAcctRetargetingFB-Animated-ChC CanvasOpener»1x1»SocialBan»SOC»ALL»CPC»LAL»D»UNK»SS»NA»Trials_ID</t>
  </si>
  <si>
    <t xml:space="preserve">43358226359971</t>
  </si>
  <si>
    <t xml:space="preserve">43358Facebook»Developers/ITPros-Azure Direct-Sponsored Post_Trial_PayGo-Link Ad-FreeAcctRetargetingFB-GlobalAlt-ChB_RTG CanvasOpener»1x1»SocialBan»SOC»ALL»CPC»LAL»D»UNK»SS»NA»Trials_ID</t>
  </si>
  <si>
    <t xml:space="preserve">AZR_FreeAcctRetargetingFB-GlobalAlt-ChB_FRA_1200x628_SOC_AZRDirect_French_NA_Facebook_SBAN_SINU_T2_1</t>
  </si>
  <si>
    <t xml:space="preserve">43357226359971</t>
  </si>
  <si>
    <t xml:space="preserve">43357Facebook»Developers/ITPros-Azure Direct-Sponsored Post_Trial_PayGo-Link Ad-FreeAcctRetargetingFB-GlobalAlt-ChB_RTG CanvasOpener»1x1»SocialBan»SOC»ALL»CPC»LAL»D»UNK»SS»NA»Trials_ID</t>
  </si>
  <si>
    <t xml:space="preserve">43356226359971</t>
  </si>
  <si>
    <t xml:space="preserve">43356Facebook»Developers/ITPros-Azure Direct-Sponsored Post_Trial_PayGo-Link Ad-FreeAcctRetargetingFB-GlobalAlt-ChB_RTG CanvasOpener»1x1»SocialBan»SOC»ALL»CPC»LAL»D»UNK»SS»NA»Trials_ID</t>
  </si>
  <si>
    <t xml:space="preserve">43355226359971</t>
  </si>
  <si>
    <t xml:space="preserve">43355Facebook»Developers/ITPros-Azure Direct-Sponsored Post_Trial_PayGo-Link Ad-FreeAcctRetargetingFB-GlobalAlt-ChB_RTG CanvasOpener»1x1»SocialBan»SOC»ALL»CPC»LAL»D»UNK»SS»NA»Trials_ID</t>
  </si>
  <si>
    <t xml:space="preserve">43354226359971</t>
  </si>
  <si>
    <t xml:space="preserve">43354Facebook»Developers/ITPros-Azure Direct-Sponsored Post_Trial_PayGo-Link Ad-FreeAcctRetargetingFB-GlobalAlt-ChB_RTG CanvasOpener»1x1»SocialBan»SOC»ALL»CPC»LAL»D»UNK»SS»NA»Trials_ID</t>
  </si>
  <si>
    <t xml:space="preserve">43353226359971</t>
  </si>
  <si>
    <t xml:space="preserve">43353Facebook»Developers/ITPros-Azure Direct-Sponsored Post_Trial_PayGo-Link Ad-FreeAcctRetargetingFB-GlobalAlt-ChB_RTG CanvasOpener»1x1»SocialBan»SOC»ALL»CPC»LAL»D»UNK»SS»NA»Trials_ID</t>
  </si>
  <si>
    <t xml:space="preserve">43352226359971</t>
  </si>
  <si>
    <t xml:space="preserve">43352Facebook»Developers/ITPros-Azure Direct-Sponsored Post_Trial_PayGo-Link Ad-FreeAcctRetargetingFB-GlobalAlt-ChB_RTG CanvasOpener»1x1»SocialBan»SOC»ALL»CPC»LAL»D»UNK»SS»NA»Trials_ID</t>
  </si>
  <si>
    <t xml:space="preserve">43358226359968</t>
  </si>
  <si>
    <t xml:space="preserve">43358Facebook»Developers/ITPros-Azure Direct-Sponsored Post_Trial_PayGo-Link Ad-FreeAcctRetargetingOSSFB-Logos-ChG CanvasOpener»1x1»SocialBan»SOC»ALL»CPC»LAL»D»UNK»SS»NA»Trials_ID</t>
  </si>
  <si>
    <t xml:space="preserve">AZR_FreeAcctRetargetingOSSFB-Logos-ChG_FRA_1200x628_SOC_AZRDirect_French_NA_Facebook_SBAN_SINU_T2_1</t>
  </si>
  <si>
    <t xml:space="preserve">43357226359968</t>
  </si>
  <si>
    <t xml:space="preserve">43357Facebook»Developers/ITPros-Azure Direct-Sponsored Post_Trial_PayGo-Link Ad-FreeAcctRetargetingOSSFB-Logos-ChG CanvasOpener»1x1»SocialBan»SOC»ALL»CPC»LAL»D»UNK»SS»NA»Trials_ID</t>
  </si>
  <si>
    <t xml:space="preserve">43356226359968</t>
  </si>
  <si>
    <t xml:space="preserve">43356Facebook»Developers/ITPros-Azure Direct-Sponsored Post_Trial_PayGo-Link Ad-FreeAcctRetargetingOSSFB-Logos-ChG CanvasOpener»1x1»SocialBan»SOC»ALL»CPC»LAL»D»UNK»SS»NA»Trials_ID</t>
  </si>
  <si>
    <t xml:space="preserve">43355226359968</t>
  </si>
  <si>
    <t xml:space="preserve">43355Facebook»Developers/ITPros-Azure Direct-Sponsored Post_Trial_PayGo-Link Ad-FreeAcctRetargetingOSSFB-Logos-ChG CanvasOpener»1x1»SocialBan»SOC»ALL»CPC»LAL»D»UNK»SS»NA»Trials_ID</t>
  </si>
  <si>
    <t xml:space="preserve">43354226359968</t>
  </si>
  <si>
    <t xml:space="preserve">43354Facebook»Developers/ITPros-Azure Direct-Sponsored Post_Trial_PayGo-Link Ad-FreeAcctRetargetingOSSFB-Logos-ChG CanvasOpener»1x1»SocialBan»SOC»ALL»CPC»LAL»D»UNK»SS»NA»Trials_ID</t>
  </si>
  <si>
    <t xml:space="preserve">43353226359968</t>
  </si>
  <si>
    <t xml:space="preserve">43353Facebook»Developers/ITPros-Azure Direct-Sponsored Post_Trial_PayGo-Link Ad-FreeAcctRetargetingOSSFB-Logos-ChG CanvasOpener»1x1»SocialBan»SOC»ALL»CPC»LAL»D»UNK»SS»NA»Trials_ID</t>
  </si>
  <si>
    <t xml:space="preserve">43352226359968</t>
  </si>
  <si>
    <t xml:space="preserve">43352Facebook»Developers/ITPros-Azure Direct-Sponsored Post_Trial_PayGo-Link Ad-FreeAcctRetargetingOSSFB-Logos-ChG CanvasOpener»1x1»SocialBan»SOC»ALL»CPC»LAL»D»UNK»SS»NA»Trials_ID</t>
  </si>
  <si>
    <t xml:space="preserve">43358226359965</t>
  </si>
  <si>
    <t xml:space="preserve">43358Facebook»Developers/ITPros-Azure Direct-Sponsored Post_Trial_PayGo-Link Ad-FreeAcctRetargetingOSSFB-Text-ChF CanvasOpener»1x1»SocialBan»SOC»ALL»CPC»LAL»D»UNK»SS»NA»Trials_ID</t>
  </si>
  <si>
    <t xml:space="preserve">AZR_FreeAcctRetargetingOSSFB-Text-ChF_FRA_1200x628_SOC_AZRDirect_French_NA_Facebook_SBAN_SINU_T1_1</t>
  </si>
  <si>
    <t xml:space="preserve">43357226359965</t>
  </si>
  <si>
    <t xml:space="preserve">43357Facebook»Developers/ITPros-Azure Direct-Sponsored Post_Trial_PayGo-Link Ad-FreeAcctRetargetingOSSFB-Text-ChF CanvasOpener»1x1»SocialBan»SOC»ALL»CPC»LAL»D»UNK»SS»NA»Trials_ID</t>
  </si>
  <si>
    <t xml:space="preserve">43356226359965</t>
  </si>
  <si>
    <t xml:space="preserve">43356Facebook»Developers/ITPros-Azure Direct-Sponsored Post_Trial_PayGo-Link Ad-FreeAcctRetargetingOSSFB-Text-ChF CanvasOpener»1x1»SocialBan»SOC»ALL»CPC»LAL»D»UNK»SS»NA»Trials_ID</t>
  </si>
  <si>
    <t xml:space="preserve">43355226359965</t>
  </si>
  <si>
    <t xml:space="preserve">43355Facebook»Developers/ITPros-Azure Direct-Sponsored Post_Trial_PayGo-Link Ad-FreeAcctRetargetingOSSFB-Text-ChF CanvasOpener»1x1»SocialBan»SOC»ALL»CPC»LAL»D»UNK»SS»NA»Trials_ID</t>
  </si>
  <si>
    <t xml:space="preserve">43354226359965</t>
  </si>
  <si>
    <t xml:space="preserve">43354Facebook»Developers/ITPros-Azure Direct-Sponsored Post_Trial_PayGo-Link Ad-FreeAcctRetargetingOSSFB-Text-ChF CanvasOpener»1x1»SocialBan»SOC»ALL»CPC»LAL»D»UNK»SS»NA»Trials_ID</t>
  </si>
  <si>
    <t xml:space="preserve">43353226359965</t>
  </si>
  <si>
    <t xml:space="preserve">43353Facebook»Developers/ITPros-Azure Direct-Sponsored Post_Trial_PayGo-Link Ad-FreeAcctRetargetingOSSFB-Text-ChF CanvasOpener»1x1»SocialBan»SOC»ALL»CPC»LAL»D»UNK»SS»NA»Trials_ID</t>
  </si>
  <si>
    <t xml:space="preserve">43352226359965</t>
  </si>
  <si>
    <t xml:space="preserve">43352Facebook»Developers/ITPros-Azure Direct-Sponsored Post_Trial_PayGo-Link Ad-FreeAcctRetargetingOSSFB-Text-ChF CanvasOpener»1x1»SocialBan»SOC»ALL»CPC»LAL»D»UNK»SS»NA»Trials_ID</t>
  </si>
  <si>
    <t xml:space="preserve">43358226359962</t>
  </si>
  <si>
    <t xml:space="preserve">43358Facebook»Developers/ITPros-Azure Direct-Sponsored Post_Trial_PayGo-Link Ad-FreeAcctRetargetingVMFB-750Hrs-ChD CanvasOpener»1x1»SocialBan»SOC»ALL»CPC»LAL»D»UNK»SS»NA»Trials_ID</t>
  </si>
  <si>
    <t xml:space="preserve">AZR_FreeAcctRetargetingVMFB-750Hrs-ChD_FRA_1200x628_SOC_AZRDirect_French_NA_Facebook_SBAN_SINU_T1_1</t>
  </si>
  <si>
    <t xml:space="preserve">43357226359962</t>
  </si>
  <si>
    <t xml:space="preserve">43357Facebook»Developers/ITPros-Azure Direct-Sponsored Post_Trial_PayGo-Link Ad-FreeAcctRetargetingVMFB-750Hrs-ChD CanvasOpener»1x1»SocialBan»SOC»ALL»CPC»LAL»D»UNK»SS»NA»Trials_ID</t>
  </si>
  <si>
    <t xml:space="preserve">43356226359962</t>
  </si>
  <si>
    <t xml:space="preserve">43356Facebook»Developers/ITPros-Azure Direct-Sponsored Post_Trial_PayGo-Link Ad-FreeAcctRetargetingVMFB-750Hrs-ChD CanvasOpener»1x1»SocialBan»SOC»ALL»CPC»LAL»D»UNK»SS»NA»Trials_ID</t>
  </si>
  <si>
    <t xml:space="preserve">43355226359962</t>
  </si>
  <si>
    <t xml:space="preserve">43355Facebook»Developers/ITPros-Azure Direct-Sponsored Post_Trial_PayGo-Link Ad-FreeAcctRetargetingVMFB-750Hrs-ChD CanvasOpener»1x1»SocialBan»SOC»ALL»CPC»LAL»D»UNK»SS»NA»Trials_ID</t>
  </si>
  <si>
    <t xml:space="preserve">43354226359962</t>
  </si>
  <si>
    <t xml:space="preserve">43354Facebook»Developers/ITPros-Azure Direct-Sponsored Post_Trial_PayGo-Link Ad-FreeAcctRetargetingVMFB-750Hrs-ChD CanvasOpener»1x1»SocialBan»SOC»ALL»CPC»LAL»D»UNK»SS»NA»Trials_ID</t>
  </si>
  <si>
    <t xml:space="preserve">43353226359962</t>
  </si>
  <si>
    <t xml:space="preserve">43353Facebook»Developers/ITPros-Azure Direct-Sponsored Post_Trial_PayGo-Link Ad-FreeAcctRetargetingVMFB-750Hrs-ChD CanvasOpener»1x1»SocialBan»SOC»ALL»CPC»LAL»D»UNK»SS»NA»Trials_ID</t>
  </si>
  <si>
    <t xml:space="preserve">43352226359962</t>
  </si>
  <si>
    <t xml:space="preserve">43352Facebook»Developers/ITPros-Azure Direct-Sponsored Post_Trial_PayGo-Link Ad-FreeAcctRetargetingVMFB-750Hrs-ChD CanvasOpener»1x1»SocialBan»SOC»ALL»CPC»LAL»D»UNK»SS»NA»Trials_ID</t>
  </si>
  <si>
    <t xml:space="preserve">43358226359959</t>
  </si>
  <si>
    <t xml:space="preserve">43358Facebook»Developers/ITPros-Azure Direct-Sponsored Post_Trial_PayGo-Link Ad-FreeAcctRetargetingVMFB-OnDemand-ChE CanvasOpener»1x1»SocialBan»SOC»ALL»CPC»LAL»D»UNK»SS»NA»Trials_ID</t>
  </si>
  <si>
    <t xml:space="preserve">AZR_FreeAcctRetargetingVMFB-OnDemand-ChE_FRA_1200x628_SOC_AZRDirect_French_NA_Facebook_SBAN_SINU_T2_1</t>
  </si>
  <si>
    <t xml:space="preserve">43357226359959</t>
  </si>
  <si>
    <t xml:space="preserve">43357Facebook»Developers/ITPros-Azure Direct-Sponsored Post_Trial_PayGo-Link Ad-FreeAcctRetargetingVMFB-OnDemand-ChE CanvasOpener»1x1»SocialBan»SOC»ALL»CPC»LAL»D»UNK»SS»NA»Trials_ID</t>
  </si>
  <si>
    <t xml:space="preserve">43356226359959</t>
  </si>
  <si>
    <t xml:space="preserve">43356Facebook»Developers/ITPros-Azure Direct-Sponsored Post_Trial_PayGo-Link Ad-FreeAcctRetargetingVMFB-OnDemand-ChE CanvasOpener»1x1»SocialBan»SOC»ALL»CPC»LAL»D»UNK»SS»NA»Trials_ID</t>
  </si>
  <si>
    <t xml:space="preserve">43355226359959</t>
  </si>
  <si>
    <t xml:space="preserve">43355Facebook»Developers/ITPros-Azure Direct-Sponsored Post_Trial_PayGo-Link Ad-FreeAcctRetargetingVMFB-OnDemand-ChE CanvasOpener»1x1»SocialBan»SOC»ALL»CPC»LAL»D»UNK»SS»NA»Trials_ID</t>
  </si>
  <si>
    <t xml:space="preserve">43354226359959</t>
  </si>
  <si>
    <t xml:space="preserve">43354Facebook»Developers/ITPros-Azure Direct-Sponsored Post_Trial_PayGo-Link Ad-FreeAcctRetargetingVMFB-OnDemand-ChE CanvasOpener»1x1»SocialBan»SOC»ALL»CPC»LAL»D»UNK»SS»NA»Trials_ID</t>
  </si>
  <si>
    <t xml:space="preserve">43353226359959</t>
  </si>
  <si>
    <t xml:space="preserve">43353Facebook»Developers/ITPros-Azure Direct-Sponsored Post_Trial_PayGo-Link Ad-FreeAcctRetargetingVMFB-OnDemand-ChE CanvasOpener»1x1»SocialBan»SOC»ALL»CPC»LAL»D»UNK»SS»NA»Trials_ID</t>
  </si>
  <si>
    <t xml:space="preserve">43352226359959</t>
  </si>
  <si>
    <t xml:space="preserve">43352Facebook»Developers/ITPros-Azure Direct-Sponsored Post_Trial_PayGo-Link Ad-FreeAcctRetargetingVMFB-OnDemand-ChE CanvasOpener»1x1»SocialBan»SOC»ALL»CPC»LAL»D»UNK»SS»NA»Trials_ID</t>
  </si>
  <si>
    <t xml:space="preserve">43358226360037</t>
  </si>
  <si>
    <t xml:space="preserve">43358Facebook»Developers/ITPros-Azure Direct-Sponsored Post_Trial-Link Ad-FreeAcctRetargetingFB-Animated-ChC CanvasOpener»1x1»SocialBan»SOC»ALL»CPC»LAL»D»UNK»SS»NA»Trials_ID</t>
  </si>
  <si>
    <t xml:space="preserve">43357226360037</t>
  </si>
  <si>
    <t xml:space="preserve">43357Facebook»Developers/ITPros-Azure Direct-Sponsored Post_Trial-Link Ad-FreeAcctRetargetingFB-Animated-ChC CanvasOpener»1x1»SocialBan»SOC»ALL»CPC»LAL»D»UNK»SS»NA»Trials_ID</t>
  </si>
  <si>
    <t xml:space="preserve">43356226360037</t>
  </si>
  <si>
    <t xml:space="preserve">43356Facebook»Developers/ITPros-Azure Direct-Sponsored Post_Trial-Link Ad-FreeAcctRetargetingFB-Animated-ChC CanvasOpener»1x1»SocialBan»SOC»ALL»CPC»LAL»D»UNK»SS»NA»Trials_ID</t>
  </si>
  <si>
    <t xml:space="preserve">43355226360037</t>
  </si>
  <si>
    <t xml:space="preserve">43355Facebook»Developers/ITPros-Azure Direct-Sponsored Post_Trial-Link Ad-FreeAcctRetargetingFB-Animated-ChC CanvasOpener»1x1»SocialBan»SOC»ALL»CPC»LAL»D»UNK»SS»NA»Trials_ID</t>
  </si>
  <si>
    <t xml:space="preserve">43354226360037</t>
  </si>
  <si>
    <t xml:space="preserve">43354Facebook»Developers/ITPros-Azure Direct-Sponsored Post_Trial-Link Ad-FreeAcctRetargetingFB-Animated-ChC CanvasOpener»1x1»SocialBan»SOC»ALL»CPC»LAL»D»UNK»SS»NA»Trials_ID</t>
  </si>
  <si>
    <t xml:space="preserve">43353226360037</t>
  </si>
  <si>
    <t xml:space="preserve">43353Facebook»Developers/ITPros-Azure Direct-Sponsored Post_Trial-Link Ad-FreeAcctRetargetingFB-Animated-ChC CanvasOpener»1x1»SocialBan»SOC»ALL»CPC»LAL»D»UNK»SS»NA»Trials_ID</t>
  </si>
  <si>
    <t xml:space="preserve">43352226360037</t>
  </si>
  <si>
    <t xml:space="preserve">43352Facebook»Developers/ITPros-Azure Direct-Sponsored Post_Trial-Link Ad-FreeAcctRetargetingFB-Animated-ChC CanvasOpener»1x1»SocialBan»SOC»ALL»CPC»LAL»D»UNK»SS»NA»Trials_ID</t>
  </si>
  <si>
    <t xml:space="preserve">43358226496107</t>
  </si>
  <si>
    <t xml:space="preserve">43358Facebook»Developers/ITPros-Azure Direct-Sponsored Post_Trial-Link Ad-FreeAcctRetargetingFB-GlobalAlt-ChB_RTG CanvasOpener»1x1»SocialBan»SOC»ALL»CPC»LAL»D»UNK»SS»NA»Trials_ID</t>
  </si>
  <si>
    <t xml:space="preserve">43357226496107</t>
  </si>
  <si>
    <t xml:space="preserve">43357Facebook»Developers/ITPros-Azure Direct-Sponsored Post_Trial-Link Ad-FreeAcctRetargetingFB-GlobalAlt-ChB_RTG CanvasOpener»1x1»SocialBan»SOC»ALL»CPC»LAL»D»UNK»SS»NA»Trials_ID</t>
  </si>
  <si>
    <t xml:space="preserve">43356226496107</t>
  </si>
  <si>
    <t xml:space="preserve">43356Facebook»Developers/ITPros-Azure Direct-Sponsored Post_Trial-Link Ad-FreeAcctRetargetingFB-GlobalAlt-ChB_RTG CanvasOpener»1x1»SocialBan»SOC»ALL»CPC»LAL»D»UNK»SS»NA»Trials_ID</t>
  </si>
  <si>
    <t xml:space="preserve">43355226496107</t>
  </si>
  <si>
    <t xml:space="preserve">43355Facebook»Developers/ITPros-Azure Direct-Sponsored Post_Trial-Link Ad-FreeAcctRetargetingFB-GlobalAlt-ChB_RTG CanvasOpener»1x1»SocialBan»SOC»ALL»CPC»LAL»D»UNK»SS»NA»Trials_ID</t>
  </si>
  <si>
    <t xml:space="preserve">43354226496107</t>
  </si>
  <si>
    <t xml:space="preserve">43354Facebook»Developers/ITPros-Azure Direct-Sponsored Post_Trial-Link Ad-FreeAcctRetargetingFB-GlobalAlt-ChB_RTG CanvasOpener»1x1»SocialBan»SOC»ALL»CPC»LAL»D»UNK»SS»NA»Trials_ID</t>
  </si>
  <si>
    <t xml:space="preserve">43353226496107</t>
  </si>
  <si>
    <t xml:space="preserve">43353Facebook»Developers/ITPros-Azure Direct-Sponsored Post_Trial-Link Ad-FreeAcctRetargetingFB-GlobalAlt-ChB_RTG CanvasOpener»1x1»SocialBan»SOC»ALL»CPC»LAL»D»UNK»SS»NA»Trials_ID</t>
  </si>
  <si>
    <t xml:space="preserve">43352226496107</t>
  </si>
  <si>
    <t xml:space="preserve">43352Facebook»Developers/ITPros-Azure Direct-Sponsored Post_Trial-Link Ad-FreeAcctRetargetingFB-GlobalAlt-ChB_RTG CanvasOpener»1x1»SocialBan»SOC»ALL»CPC»LAL»D»UNK»SS»NA»Trials_ID</t>
  </si>
  <si>
    <t xml:space="preserve">43358226496104</t>
  </si>
  <si>
    <t xml:space="preserve">43358Facebook»Developers/ITPros-Azure Direct-Sponsored Post_Trial-Link Ad-FreeAcctRetargetingOSSFB-Logos-ChG CanvasOpener»1x1»SocialBan»SOC»ALL»CPC»LAL»D»UNK»SS»NA»Trials_ID</t>
  </si>
  <si>
    <t xml:space="preserve">43357226496104</t>
  </si>
  <si>
    <t xml:space="preserve">43357Facebook»Developers/ITPros-Azure Direct-Sponsored Post_Trial-Link Ad-FreeAcctRetargetingOSSFB-Logos-ChG CanvasOpener»1x1»SocialBan»SOC»ALL»CPC»LAL»D»UNK»SS»NA»Trials_ID</t>
  </si>
  <si>
    <t xml:space="preserve">43356226496104</t>
  </si>
  <si>
    <t xml:space="preserve">43356Facebook»Developers/ITPros-Azure Direct-Sponsored Post_Trial-Link Ad-FreeAcctRetargetingOSSFB-Logos-ChG CanvasOpener»1x1»SocialBan»SOC»ALL»CPC»LAL»D»UNK»SS»NA»Trials_ID</t>
  </si>
  <si>
    <t xml:space="preserve">43355226496104</t>
  </si>
  <si>
    <t xml:space="preserve">43355Facebook»Developers/ITPros-Azure Direct-Sponsored Post_Trial-Link Ad-FreeAcctRetargetingOSSFB-Logos-ChG CanvasOpener»1x1»SocialBan»SOC»ALL»CPC»LAL»D»UNK»SS»NA»Trials_ID</t>
  </si>
  <si>
    <t xml:space="preserve">43354226496104</t>
  </si>
  <si>
    <t xml:space="preserve">43354Facebook»Developers/ITPros-Azure Direct-Sponsored Post_Trial-Link Ad-FreeAcctRetargetingOSSFB-Logos-ChG CanvasOpener»1x1»SocialBan»SOC»ALL»CPC»LAL»D»UNK»SS»NA»Trials_ID</t>
  </si>
  <si>
    <t xml:space="preserve">43353226496104</t>
  </si>
  <si>
    <t xml:space="preserve">43353Facebook»Developers/ITPros-Azure Direct-Sponsored Post_Trial-Link Ad-FreeAcctRetargetingOSSFB-Logos-ChG CanvasOpener»1x1»SocialBan»SOC»ALL»CPC»LAL»D»UNK»SS»NA»Trials_ID</t>
  </si>
  <si>
    <t xml:space="preserve">43352226496104</t>
  </si>
  <si>
    <t xml:space="preserve">43352Facebook»Developers/ITPros-Azure Direct-Sponsored Post_Trial-Link Ad-FreeAcctRetargetingOSSFB-Logos-ChG CanvasOpener»1x1»SocialBan»SOC»ALL»CPC»LAL»D»UNK»SS»NA»Trials_ID</t>
  </si>
  <si>
    <t xml:space="preserve">43358226496101</t>
  </si>
  <si>
    <t xml:space="preserve">43358Facebook»Developers/ITPros-Azure Direct-Sponsored Post_Trial-Link Ad-FreeAcctRetargetingOSSFB-Text-ChF CanvasOpener»1x1»SocialBan»SOC»ALL»CPC»LAL»D»UNK»SS»NA»Trials_ID</t>
  </si>
  <si>
    <t xml:space="preserve">43357226496101</t>
  </si>
  <si>
    <t xml:space="preserve">43357Facebook»Developers/ITPros-Azure Direct-Sponsored Post_Trial-Link Ad-FreeAcctRetargetingOSSFB-Text-ChF CanvasOpener»1x1»SocialBan»SOC»ALL»CPC»LAL»D»UNK»SS»NA»Trials_ID</t>
  </si>
  <si>
    <t xml:space="preserve">43356226496101</t>
  </si>
  <si>
    <t xml:space="preserve">43356Facebook»Developers/ITPros-Azure Direct-Sponsored Post_Trial-Link Ad-FreeAcctRetargetingOSSFB-Text-ChF CanvasOpener»1x1»SocialBan»SOC»ALL»CPC»LAL»D»UNK»SS»NA»Trials_ID</t>
  </si>
  <si>
    <t xml:space="preserve">43355226496101</t>
  </si>
  <si>
    <t xml:space="preserve">43355Facebook»Developers/ITPros-Azure Direct-Sponsored Post_Trial-Link Ad-FreeAcctRetargetingOSSFB-Text-ChF CanvasOpener»1x1»SocialBan»SOC»ALL»CPC»LAL»D»UNK»SS»NA»Trials_ID</t>
  </si>
  <si>
    <t xml:space="preserve">43354226496101</t>
  </si>
  <si>
    <t xml:space="preserve">43354Facebook»Developers/ITPros-Azure Direct-Sponsored Post_Trial-Link Ad-FreeAcctRetargetingOSSFB-Text-ChF CanvasOpener»1x1»SocialBan»SOC»ALL»CPC»LAL»D»UNK»SS»NA»Trials_ID</t>
  </si>
  <si>
    <t xml:space="preserve">43353226496101</t>
  </si>
  <si>
    <t xml:space="preserve">43353Facebook»Developers/ITPros-Azure Direct-Sponsored Post_Trial-Link Ad-FreeAcctRetargetingOSSFB-Text-ChF CanvasOpener»1x1»SocialBan»SOC»ALL»CPC»LAL»D»UNK»SS»NA»Trials_ID</t>
  </si>
  <si>
    <t xml:space="preserve">43352226496101</t>
  </si>
  <si>
    <t xml:space="preserve">43352Facebook»Developers/ITPros-Azure Direct-Sponsored Post_Trial-Link Ad-FreeAcctRetargetingOSSFB-Text-ChF CanvasOpener»1x1»SocialBan»SOC»ALL»CPC»LAL»D»UNK»SS»NA»Trials_ID</t>
  </si>
  <si>
    <t xml:space="preserve">43358226496098</t>
  </si>
  <si>
    <t xml:space="preserve">43358Facebook»Developers/ITPros-Azure Direct-Sponsored Post_Trial-Link Ad-FreeAcctRetargetingVMFB-750Hrs-ChD CanvasOpener»1x1»SocialBan»SOC»ALL»CPC»LAL»D»UNK»SS»NA»Trials_ID</t>
  </si>
  <si>
    <t xml:space="preserve">void</t>
  </si>
  <si>
    <t xml:space="preserve">43357226496098</t>
  </si>
  <si>
    <t xml:space="preserve">43357Facebook»Developers/ITPros-Azure Direct-Sponsored Post_Trial-Link Ad-FreeAcctRetargetingVMFB-750Hrs-ChD CanvasOpener»1x1»SocialBan»SOC»ALL»CPC»LAL»D»UNK»SS»NA»Trials_ID</t>
  </si>
  <si>
    <t xml:space="preserve">43356226496098</t>
  </si>
  <si>
    <t xml:space="preserve">43356Facebook»Developers/ITPros-Azure Direct-Sponsored Post_Trial-Link Ad-FreeAcctRetargetingVMFB-750Hrs-ChD CanvasOpener»1x1»SocialBan»SOC»ALL»CPC»LAL»D»UNK»SS»NA»Trials_ID</t>
  </si>
  <si>
    <t xml:space="preserve">43355226496098</t>
  </si>
  <si>
    <t xml:space="preserve">43355Facebook»Developers/ITPros-Azure Direct-Sponsored Post_Trial-Link Ad-FreeAcctRetargetingVMFB-750Hrs-ChD CanvasOpener»1x1»SocialBan»SOC»ALL»CPC»LAL»D»UNK»SS»NA»Trials_ID</t>
  </si>
  <si>
    <t xml:space="preserve">43354226496098</t>
  </si>
  <si>
    <t xml:space="preserve">43354Facebook»Developers/ITPros-Azure Direct-Sponsored Post_Trial-Link Ad-FreeAcctRetargetingVMFB-750Hrs-ChD CanvasOpener»1x1»SocialBan»SOC»ALL»CPC»LAL»D»UNK»SS»NA»Trials_ID</t>
  </si>
  <si>
    <t xml:space="preserve">43353226496098</t>
  </si>
  <si>
    <t xml:space="preserve">43353Facebook»Developers/ITPros-Azure Direct-Sponsored Post_Trial-Link Ad-FreeAcctRetargetingVMFB-750Hrs-ChD CanvasOpener»1x1»SocialBan»SOC»ALL»CPC»LAL»D»UNK»SS»NA»Trials_ID</t>
  </si>
  <si>
    <t xml:space="preserve">43352226496098</t>
  </si>
  <si>
    <t xml:space="preserve">43352Facebook»Developers/ITPros-Azure Direct-Sponsored Post_Trial-Link Ad-FreeAcctRetargetingVMFB-750Hrs-ChD CanvasOpener»1x1»SocialBan»SOC»ALL»CPC»LAL»D»UNK»SS»NA»Trials_ID</t>
  </si>
  <si>
    <t xml:space="preserve">43358226496095</t>
  </si>
  <si>
    <t xml:space="preserve">43358Facebook»Developers/ITPros-Azure Direct-Sponsored Post_Trial-Link Ad-FreeAcctRetargetingVMFB-OnDemand-ChE CanvasOpener»1x1»SocialBan»SOC»ALL»CPC»LAL»D»UNK»SS»NA»Trials_ID</t>
  </si>
  <si>
    <t xml:space="preserve">43357226496095</t>
  </si>
  <si>
    <t xml:space="preserve">43357Facebook»Developers/ITPros-Azure Direct-Sponsored Post_Trial-Link Ad-FreeAcctRetargetingVMFB-OnDemand-ChE CanvasOpener»1x1»SocialBan»SOC»ALL»CPC»LAL»D»UNK»SS»NA»Trials_ID</t>
  </si>
  <si>
    <t xml:space="preserve">43356226496095</t>
  </si>
  <si>
    <t xml:space="preserve">43356Facebook»Developers/ITPros-Azure Direct-Sponsored Post_Trial-Link Ad-FreeAcctRetargetingVMFB-OnDemand-ChE CanvasOpener»1x1»SocialBan»SOC»ALL»CPC»LAL»D»UNK»SS»NA»Trials_ID</t>
  </si>
  <si>
    <t xml:space="preserve">43355226496095</t>
  </si>
  <si>
    <t xml:space="preserve">43355Facebook»Developers/ITPros-Azure Direct-Sponsored Post_Trial-Link Ad-FreeAcctRetargetingVMFB-OnDemand-ChE CanvasOpener»1x1»SocialBan»SOC»ALL»CPC»LAL»D»UNK»SS»NA»Trials_ID</t>
  </si>
  <si>
    <t xml:space="preserve">43354226496095</t>
  </si>
  <si>
    <t xml:space="preserve">43354Facebook»Developers/ITPros-Azure Direct-Sponsored Post_Trial-Link Ad-FreeAcctRetargetingVMFB-OnDemand-ChE CanvasOpener»1x1»SocialBan»SOC»ALL»CPC»LAL»D»UNK»SS»NA»Trials_ID</t>
  </si>
  <si>
    <t xml:space="preserve">43353226496095</t>
  </si>
  <si>
    <t xml:space="preserve">43353Facebook»Developers/ITPros-Azure Direct-Sponsored Post_Trial-Link Ad-FreeAcctRetargetingVMFB-OnDemand-ChE CanvasOpener»1x1»SocialBan»SOC»ALL»CPC»LAL»D»UNK»SS»NA»Trials_ID</t>
  </si>
  <si>
    <t xml:space="preserve">43352226496095</t>
  </si>
  <si>
    <t xml:space="preserve">43352Facebook»Developers/ITPros-Azure Direct-Sponsored Post_Trial-Link Ad-FreeAcctRetargetingVMFB-OnDemand-ChE CanvasOpener»1x1»SocialBan»SOC»ALL»CPC»LAL»D»UNK»SS»NA»Trials_ID</t>
  </si>
  <si>
    <t xml:space="preserve">43358224560866</t>
  </si>
  <si>
    <t xml:space="preserve">43358Facebook»Developers/ITPros-Azure Direct-Sponsored Post-Link Ad-FreeAcctAppsFACEBOOK12monthsChE»1x1»SocialBan»LIA»ALL»CPC»BT»X»UNK»SS»NA»Trials_ID</t>
  </si>
  <si>
    <t xml:space="preserve">AZR_FreeAcctAppsFACEBOOK12monthsChE_FRA_1200x628_SOC_PLAT_FR_Trial_Standard_NA_SINU_T5_1</t>
  </si>
  <si>
    <t xml:space="preserve">43357224560866</t>
  </si>
  <si>
    <t xml:space="preserve">43357Facebook»Developers/ITPros-Azure Direct-Sponsored Post-Link Ad-FreeAcctAppsFACEBOOK12monthsChE»1x1»SocialBan»LIA»ALL»CPC»BT»X»UNK»SS»NA»Trials_ID</t>
  </si>
  <si>
    <t xml:space="preserve">43356224560866</t>
  </si>
  <si>
    <t xml:space="preserve">43356Facebook»Developers/ITPros-Azure Direct-Sponsored Post-Link Ad-FreeAcctAppsFACEBOOK12monthsChE»1x1»SocialBan»LIA»ALL»CPC»BT»X»UNK»SS»NA»Trials_ID</t>
  </si>
  <si>
    <t xml:space="preserve">43355224560866</t>
  </si>
  <si>
    <t xml:space="preserve">43355Facebook»Developers/ITPros-Azure Direct-Sponsored Post-Link Ad-FreeAcctAppsFACEBOOK12monthsChE»1x1»SocialBan»LIA»ALL»CPC»BT»X»UNK»SS»NA»Trials_ID</t>
  </si>
  <si>
    <t xml:space="preserve">43354224560866</t>
  </si>
  <si>
    <t xml:space="preserve">43354Facebook»Developers/ITPros-Azure Direct-Sponsored Post-Link Ad-FreeAcctAppsFACEBOOK12monthsChE»1x1»SocialBan»LIA»ALL»CPC»BT»X»UNK»SS»NA»Trials_ID</t>
  </si>
  <si>
    <t xml:space="preserve">43353224560866</t>
  </si>
  <si>
    <t xml:space="preserve">43353Facebook»Developers/ITPros-Azure Direct-Sponsored Post-Link Ad-FreeAcctAppsFACEBOOK12monthsChE»1x1»SocialBan»LIA»ALL»CPC»BT»X»UNK»SS»NA»Trials_ID</t>
  </si>
  <si>
    <t xml:space="preserve">43352224560866</t>
  </si>
  <si>
    <t xml:space="preserve">43352Facebook»Developers/ITPros-Azure Direct-Sponsored Post-Link Ad-FreeAcctAppsFACEBOOK12monthsChE»1x1»SocialBan»LIA»ALL»CPC»BT»X»UNK»SS»NA»Trials_ID</t>
  </si>
  <si>
    <t xml:space="preserve">43358224560860</t>
  </si>
  <si>
    <t xml:space="preserve">43358Facebook»Developers/ITPros-Azure Direct-Sponsored Post-Link Ad-FreeAcctAppsFACEBOOK200CreditChD»1x1»SocialBan»LIA»ALL»CPC»BT»X»UNK»SS»NA»Trials_ID</t>
  </si>
  <si>
    <t xml:space="preserve">AZR_FreeAcctAppsFACEBOOK200CreditChD_FRA_1200x628_SOC_PLAT_FR_Trial_Standard_NA_SINU_T4_1</t>
  </si>
  <si>
    <t xml:space="preserve">43357224560860</t>
  </si>
  <si>
    <t xml:space="preserve">43357Facebook»Developers/ITPros-Azure Direct-Sponsored Post-Link Ad-FreeAcctAppsFACEBOOK200CreditChD»1x1»SocialBan»LIA»ALL»CPC»BT»X»UNK»SS»NA»Trials_ID</t>
  </si>
  <si>
    <t xml:space="preserve">43356224560860</t>
  </si>
  <si>
    <t xml:space="preserve">43356Facebook»Developers/ITPros-Azure Direct-Sponsored Post-Link Ad-FreeAcctAppsFACEBOOK200CreditChD»1x1»SocialBan»LIA»ALL»CPC»BT»X»UNK»SS»NA»Trials_ID</t>
  </si>
  <si>
    <t xml:space="preserve">43355224560860</t>
  </si>
  <si>
    <t xml:space="preserve">43355Facebook»Developers/ITPros-Azure Direct-Sponsored Post-Link Ad-FreeAcctAppsFACEBOOK200CreditChD»1x1»SocialBan»LIA»ALL»CPC»BT»X»UNK»SS»NA»Trials_ID</t>
  </si>
  <si>
    <t xml:space="preserve">43354224560860</t>
  </si>
  <si>
    <t xml:space="preserve">43354Facebook»Developers/ITPros-Azure Direct-Sponsored Post-Link Ad-FreeAcctAppsFACEBOOK200CreditChD»1x1»SocialBan»LIA»ALL»CPC»BT»X»UNK»SS»NA»Trials_ID</t>
  </si>
  <si>
    <t xml:space="preserve">43353224560860</t>
  </si>
  <si>
    <t xml:space="preserve">43353Facebook»Developers/ITPros-Azure Direct-Sponsored Post-Link Ad-FreeAcctAppsFACEBOOK200CreditChD»1x1»SocialBan»LIA»ALL»CPC»BT»X»UNK»SS»NA»Trials_ID</t>
  </si>
  <si>
    <t xml:space="preserve">43352224560860</t>
  </si>
  <si>
    <t xml:space="preserve">43352Facebook»Developers/ITPros-Azure Direct-Sponsored Post-Link Ad-FreeAcctAppsFACEBOOK200CreditChD»1x1»SocialBan»LIA»ALL»CPC»BT»X»UNK»SS»NA»Trials_ID</t>
  </si>
  <si>
    <t xml:space="preserve">43358224560857</t>
  </si>
  <si>
    <t xml:space="preserve">43358Facebook»Developers/ITPros-Azure Direct-Sponsored Post-Link Ad-FreeAcctAppsFACEBOOKDeviceChB»1x1»SocialBan»LIA»ALL»CPC»BT»X»UNK»SS»NA»Trials_ID</t>
  </si>
  <si>
    <t xml:space="preserve">AZR_FreeAcctAppsFACEBOOKDeviceChB_FRA_1200x628_SOC_PLAT_FR_Trial_Standard_NA_SINU_T2_1</t>
  </si>
  <si>
    <t xml:space="preserve">43357224560857</t>
  </si>
  <si>
    <t xml:space="preserve">43357Facebook»Developers/ITPros-Azure Direct-Sponsored Post-Link Ad-FreeAcctAppsFACEBOOKDeviceChB»1x1»SocialBan»LIA»ALL»CPC»BT»X»UNK»SS»NA»Trials_ID</t>
  </si>
  <si>
    <t xml:space="preserve">43356224560857</t>
  </si>
  <si>
    <t xml:space="preserve">43356Facebook»Developers/ITPros-Azure Direct-Sponsored Post-Link Ad-FreeAcctAppsFACEBOOKDeviceChB»1x1»SocialBan»LIA»ALL»CPC»BT»X»UNK»SS»NA»Trials_ID</t>
  </si>
  <si>
    <t xml:space="preserve">43355224560857</t>
  </si>
  <si>
    <t xml:space="preserve">43355Facebook»Developers/ITPros-Azure Direct-Sponsored Post-Link Ad-FreeAcctAppsFACEBOOKDeviceChB»1x1»SocialBan»LIA»ALL»CPC»BT»X»UNK»SS»NA»Trials_ID</t>
  </si>
  <si>
    <t xml:space="preserve">43354224560857</t>
  </si>
  <si>
    <t xml:space="preserve">43354Facebook»Developers/ITPros-Azure Direct-Sponsored Post-Link Ad-FreeAcctAppsFACEBOOKDeviceChB»1x1»SocialBan»LIA»ALL»CPC»BT»X»UNK»SS»NA»Trials_ID</t>
  </si>
  <si>
    <t xml:space="preserve">43353224560857</t>
  </si>
  <si>
    <t xml:space="preserve">43353Facebook»Developers/ITPros-Azure Direct-Sponsored Post-Link Ad-FreeAcctAppsFACEBOOKDeviceChB»1x1»SocialBan»LIA»ALL»CPC»BT»X»UNK»SS»NA»Trials_ID</t>
  </si>
  <si>
    <t xml:space="preserve">43352224560857</t>
  </si>
  <si>
    <t xml:space="preserve">43352Facebook»Developers/ITPros-Azure Direct-Sponsored Post-Link Ad-FreeAcctAppsFACEBOOKDeviceChB»1x1»SocialBan»LIA»ALL»CPC»BT»X»UNK»SS»NA»Trials_ID</t>
  </si>
  <si>
    <t xml:space="preserve">43358224560854</t>
  </si>
  <si>
    <t xml:space="preserve">43358Facebook»Developers/ITPros-Azure Direct-Sponsored Post-Link Ad-FreeAcctAppsFACEBOOKIllustrationChC»1x1»SocialBan»LIA»ALL»CPC»BT»X»UNK»SS»NA»Trials_ID</t>
  </si>
  <si>
    <t xml:space="preserve">AZR_FreeAcctAppsFACEBOOKIllustrationChC_FRA_1200x628_SOC_PLAT_FR_Trial_Standard_NA_SINU_T3_1</t>
  </si>
  <si>
    <t xml:space="preserve">43357224560854</t>
  </si>
  <si>
    <t xml:space="preserve">43357Facebook»Developers/ITPros-Azure Direct-Sponsored Post-Link Ad-FreeAcctAppsFACEBOOKIllustrationChC»1x1»SocialBan»LIA»ALL»CPC»BT»X»UNK»SS»NA»Trials_ID</t>
  </si>
  <si>
    <t xml:space="preserve">43356224560854</t>
  </si>
  <si>
    <t xml:space="preserve">43356Facebook»Developers/ITPros-Azure Direct-Sponsored Post-Link Ad-FreeAcctAppsFACEBOOKIllustrationChC»1x1»SocialBan»LIA»ALL»CPC»BT»X»UNK»SS»NA»Trials_ID</t>
  </si>
  <si>
    <t xml:space="preserve">43355224560854</t>
  </si>
  <si>
    <t xml:space="preserve">43355Facebook»Developers/ITPros-Azure Direct-Sponsored Post-Link Ad-FreeAcctAppsFACEBOOKIllustrationChC»1x1»SocialBan»LIA»ALL»CPC»BT»X»UNK»SS»NA»Trials_ID</t>
  </si>
  <si>
    <t xml:space="preserve">43354224560854</t>
  </si>
  <si>
    <t xml:space="preserve">43354Facebook»Developers/ITPros-Azure Direct-Sponsored Post-Link Ad-FreeAcctAppsFACEBOOKIllustrationChC»1x1»SocialBan»LIA»ALL»CPC»BT»X»UNK»SS»NA»Trials_ID</t>
  </si>
  <si>
    <t xml:space="preserve">43353224560854</t>
  </si>
  <si>
    <t xml:space="preserve">43353Facebook»Developers/ITPros-Azure Direct-Sponsored Post-Link Ad-FreeAcctAppsFACEBOOKIllustrationChC»1x1»SocialBan»LIA»ALL»CPC»BT»X»UNK»SS»NA»Trials_ID</t>
  </si>
  <si>
    <t xml:space="preserve">43352224560854</t>
  </si>
  <si>
    <t xml:space="preserve">43352Facebook»Developers/ITPros-Azure Direct-Sponsored Post-Link Ad-FreeAcctAppsFACEBOOKIllustrationChC»1x1»SocialBan»LIA»ALL»CPC»BT»X»UNK»SS»NA»Trials_ID</t>
  </si>
  <si>
    <t xml:space="preserve">43358224560851</t>
  </si>
  <si>
    <t xml:space="preserve">43358Facebook»Developers/ITPros-Azure Direct-Sponsored Post-Link Ad-FreeAcctAppsFACEBOOKLifestyleChA»1x1»SocialBan»LIA»ALL»CPC»BT»X»UNK»SS»NA»Trials_ID</t>
  </si>
  <si>
    <t xml:space="preserve">AZR_FreeAcctAppsFACEBOOKLifestyleChA_FRA_1200x628_SOC_PLAT_FR_Trial_Standard_NA_SINU_T1_1</t>
  </si>
  <si>
    <t xml:space="preserve">43357224560851</t>
  </si>
  <si>
    <t xml:space="preserve">43357Facebook»Developers/ITPros-Azure Direct-Sponsored Post-Link Ad-FreeAcctAppsFACEBOOKLifestyleChA»1x1»SocialBan»LIA»ALL»CPC»BT»X»UNK»SS»NA»Trials_ID</t>
  </si>
  <si>
    <t xml:space="preserve">43356224560851</t>
  </si>
  <si>
    <t xml:space="preserve">43356Facebook»Developers/ITPros-Azure Direct-Sponsored Post-Link Ad-FreeAcctAppsFACEBOOKLifestyleChA»1x1»SocialBan»LIA»ALL»CPC»BT»X»UNK»SS»NA»Trials_ID</t>
  </si>
  <si>
    <t xml:space="preserve">43355224560851</t>
  </si>
  <si>
    <t xml:space="preserve">43355Facebook»Developers/ITPros-Azure Direct-Sponsored Post-Link Ad-FreeAcctAppsFACEBOOKLifestyleChA»1x1»SocialBan»LIA»ALL»CPC»BT»X»UNK»SS»NA»Trials_ID</t>
  </si>
  <si>
    <t xml:space="preserve">43354224560851</t>
  </si>
  <si>
    <t xml:space="preserve">43354Facebook»Developers/ITPros-Azure Direct-Sponsored Post-Link Ad-FreeAcctAppsFACEBOOKLifestyleChA»1x1»SocialBan»LIA»ALL»CPC»BT»X»UNK»SS»NA»Trials_ID</t>
  </si>
  <si>
    <t xml:space="preserve">43353224560851</t>
  </si>
  <si>
    <t xml:space="preserve">43353Facebook»Developers/ITPros-Azure Direct-Sponsored Post-Link Ad-FreeAcctAppsFACEBOOKLifestyleChA»1x1»SocialBan»LIA»ALL»CPC»BT»X»UNK»SS»NA»Trials_ID</t>
  </si>
  <si>
    <t xml:space="preserve">43352224560851</t>
  </si>
  <si>
    <t xml:space="preserve">43352Facebook»Developers/ITPros-Azure Direct-Sponsored Post-Link Ad-FreeAcctAppsFACEBOOKLifestyleChA»1x1»SocialBan»LIA»ALL»CPC»BT»X»UNK»SS»NA»Trials_ID</t>
  </si>
  <si>
    <t xml:space="preserve">43358224560845</t>
  </si>
  <si>
    <t xml:space="preserve">43358Facebook»Developers/ITPros-Azure Direct-Sponsored Post-Link Ad-FreeAcctRetargetingFB-GlobalAlt-ChB»1x1»SocialBan»LIA»ALL»CPC»BT»X»UNK»SS»NA»Trials_ID</t>
  </si>
  <si>
    <t xml:space="preserve">43357224560845</t>
  </si>
  <si>
    <t xml:space="preserve">43357Facebook»Developers/ITPros-Azure Direct-Sponsored Post-Link Ad-FreeAcctRetargetingFB-GlobalAlt-ChB»1x1»SocialBan»LIA»ALL»CPC»BT»X»UNK»SS»NA»Trials_ID</t>
  </si>
  <si>
    <t xml:space="preserve">43356224560845</t>
  </si>
  <si>
    <t xml:space="preserve">43356Facebook»Developers/ITPros-Azure Direct-Sponsored Post-Link Ad-FreeAcctRetargetingFB-GlobalAlt-ChB»1x1»SocialBan»LIA»ALL»CPC»BT»X»UNK»SS»NA»Trials_ID</t>
  </si>
  <si>
    <t xml:space="preserve">43355224560845</t>
  </si>
  <si>
    <t xml:space="preserve">43355Facebook»Developers/ITPros-Azure Direct-Sponsored Post-Link Ad-FreeAcctRetargetingFB-GlobalAlt-ChB»1x1»SocialBan»LIA»ALL»CPC»BT»X»UNK»SS»NA»Trials_ID</t>
  </si>
  <si>
    <t xml:space="preserve">43354224560845</t>
  </si>
  <si>
    <t xml:space="preserve">43354Facebook»Developers/ITPros-Azure Direct-Sponsored Post-Link Ad-FreeAcctRetargetingFB-GlobalAlt-ChB»1x1»SocialBan»LIA»ALL»CPC»BT»X»UNK»SS»NA»Trials_ID</t>
  </si>
  <si>
    <t xml:space="preserve">43353224560845</t>
  </si>
  <si>
    <t xml:space="preserve">43353Facebook»Developers/ITPros-Azure Direct-Sponsored Post-Link Ad-FreeAcctRetargetingFB-GlobalAlt-ChB»1x1»SocialBan»LIA»ALL»CPC»BT»X»UNK»SS»NA»Trials_ID</t>
  </si>
  <si>
    <t xml:space="preserve">43352224560845</t>
  </si>
  <si>
    <t xml:space="preserve">43352Facebook»Developers/ITPros-Azure Direct-Sponsored Post-Link Ad-FreeAcctRetargetingFB-GlobalAlt-ChB»1x1»SocialBan»LIA»ALL»CPC»BT»X»UNK»SS»NA»Trials_ID</t>
  </si>
  <si>
    <t xml:space="preserve">43358224560842</t>
  </si>
  <si>
    <t xml:space="preserve">43358Facebook»Developers/ITPros-Azure Direct-Sponsored Post-Link Ad-FreeAcctRetargetingOSSFB-Logos-ChG»1x1»SocialBan»LIA»ALL»CPC»BT»X»UNK»SS»NA»Trials_ID</t>
  </si>
  <si>
    <t xml:space="preserve">43357224560842</t>
  </si>
  <si>
    <t xml:space="preserve">43357Facebook»Developers/ITPros-Azure Direct-Sponsored Post-Link Ad-FreeAcctRetargetingOSSFB-Logos-ChG»1x1»SocialBan»LIA»ALL»CPC»BT»X»UNK»SS»NA»Trials_ID</t>
  </si>
  <si>
    <t xml:space="preserve">43356224560842</t>
  </si>
  <si>
    <t xml:space="preserve">43356Facebook»Developers/ITPros-Azure Direct-Sponsored Post-Link Ad-FreeAcctRetargetingOSSFB-Logos-ChG»1x1»SocialBan»LIA»ALL»CPC»BT»X»UNK»SS»NA»Trials_ID</t>
  </si>
  <si>
    <t xml:space="preserve">43355224560842</t>
  </si>
  <si>
    <t xml:space="preserve">43355Facebook»Developers/ITPros-Azure Direct-Sponsored Post-Link Ad-FreeAcctRetargetingOSSFB-Logos-ChG»1x1»SocialBan»LIA»ALL»CPC»BT»X»UNK»SS»NA»Trials_ID</t>
  </si>
  <si>
    <t xml:space="preserve">43354224560842</t>
  </si>
  <si>
    <t xml:space="preserve">43354Facebook»Developers/ITPros-Azure Direct-Sponsored Post-Link Ad-FreeAcctRetargetingOSSFB-Logos-ChG»1x1»SocialBan»LIA»ALL»CPC»BT»X»UNK»SS»NA»Trials_ID</t>
  </si>
  <si>
    <t xml:space="preserve">43353224560842</t>
  </si>
  <si>
    <t xml:space="preserve">43353Facebook»Developers/ITPros-Azure Direct-Sponsored Post-Link Ad-FreeAcctRetargetingOSSFB-Logos-ChG»1x1»SocialBan»LIA»ALL»CPC»BT»X»UNK»SS»NA»Trials_ID</t>
  </si>
  <si>
    <t xml:space="preserve">43352224560842</t>
  </si>
  <si>
    <t xml:space="preserve">43352Facebook»Developers/ITPros-Azure Direct-Sponsored Post-Link Ad-FreeAcctRetargetingOSSFB-Logos-ChG»1x1»SocialBan»LIA»ALL»CPC»BT»X»UNK»SS»NA»Trials_ID</t>
  </si>
  <si>
    <t xml:space="preserve">43358224560839</t>
  </si>
  <si>
    <t xml:space="preserve">43358Facebook»Developers/ITPros-Azure Direct-Sponsored Post-Link Ad-FreeAcctRetargetingOSSFB-Text-ChF»1x1»SocialBan»LIA»ALL»CPC»BT»X»UNK»SS»NA»Trials_ID</t>
  </si>
  <si>
    <t xml:space="preserve">43357224560839</t>
  </si>
  <si>
    <t xml:space="preserve">43357Facebook»Developers/ITPros-Azure Direct-Sponsored Post-Link Ad-FreeAcctRetargetingOSSFB-Text-ChF»1x1»SocialBan»LIA»ALL»CPC»BT»X»UNK»SS»NA»Trials_ID</t>
  </si>
  <si>
    <t xml:space="preserve">43356224560839</t>
  </si>
  <si>
    <t xml:space="preserve">43356Facebook»Developers/ITPros-Azure Direct-Sponsored Post-Link Ad-FreeAcctRetargetingOSSFB-Text-ChF»1x1»SocialBan»LIA»ALL»CPC»BT»X»UNK»SS»NA»Trials_ID</t>
  </si>
  <si>
    <t xml:space="preserve">43355224560839</t>
  </si>
  <si>
    <t xml:space="preserve">43355Facebook»Developers/ITPros-Azure Direct-Sponsored Post-Link Ad-FreeAcctRetargetingOSSFB-Text-ChF»1x1»SocialBan»LIA»ALL»CPC»BT»X»UNK»SS»NA»Trials_ID</t>
  </si>
  <si>
    <t xml:space="preserve">43354224560839</t>
  </si>
  <si>
    <t xml:space="preserve">43354Facebook»Developers/ITPros-Azure Direct-Sponsored Post-Link Ad-FreeAcctRetargetingOSSFB-Text-ChF»1x1»SocialBan»LIA»ALL»CPC»BT»X»UNK»SS»NA»Trials_ID</t>
  </si>
  <si>
    <t xml:space="preserve">43353224560839</t>
  </si>
  <si>
    <t xml:space="preserve">43353Facebook»Developers/ITPros-Azure Direct-Sponsored Post-Link Ad-FreeAcctRetargetingOSSFB-Text-ChF»1x1»SocialBan»LIA»ALL»CPC»BT»X»UNK»SS»NA»Trials_ID</t>
  </si>
  <si>
    <t xml:space="preserve">43352224560839</t>
  </si>
  <si>
    <t xml:space="preserve">43352Facebook»Developers/ITPros-Azure Direct-Sponsored Post-Link Ad-FreeAcctRetargetingOSSFB-Text-ChF»1x1»SocialBan»LIA»ALL»CPC»BT»X»UNK»SS»NA»Trials_ID</t>
  </si>
  <si>
    <t xml:space="preserve">43358224560836</t>
  </si>
  <si>
    <t xml:space="preserve">43358Facebook»Developers/ITPros-Azure Direct-Sponsored Post-Link Ad-FreeAcctRetargetingVMFB-750Hrs-ChD»1x1»SocialBan»LIA»ALL»CPC»BT»X»UNK»SS»NA»Trials_ID</t>
  </si>
  <si>
    <t xml:space="preserve">43357224560836</t>
  </si>
  <si>
    <t xml:space="preserve">43357Facebook»Developers/ITPros-Azure Direct-Sponsored Post-Link Ad-FreeAcctRetargetingVMFB-750Hrs-ChD»1x1»SocialBan»LIA»ALL»CPC»BT»X»UNK»SS»NA»Trials_ID</t>
  </si>
  <si>
    <t xml:space="preserve">43356224560836</t>
  </si>
  <si>
    <t xml:space="preserve">43356Facebook»Developers/ITPros-Azure Direct-Sponsored Post-Link Ad-FreeAcctRetargetingVMFB-750Hrs-ChD»1x1»SocialBan»LIA»ALL»CPC»BT»X»UNK»SS»NA»Trials_ID</t>
  </si>
  <si>
    <t xml:space="preserve">43355224560836</t>
  </si>
  <si>
    <t xml:space="preserve">43355Facebook»Developers/ITPros-Azure Direct-Sponsored Post-Link Ad-FreeAcctRetargetingVMFB-750Hrs-ChD»1x1»SocialBan»LIA»ALL»CPC»BT»X»UNK»SS»NA»Trials_ID</t>
  </si>
  <si>
    <t xml:space="preserve">43354224560836</t>
  </si>
  <si>
    <t xml:space="preserve">43354Facebook»Developers/ITPros-Azure Direct-Sponsored Post-Link Ad-FreeAcctRetargetingVMFB-750Hrs-ChD»1x1»SocialBan»LIA»ALL»CPC»BT»X»UNK»SS»NA»Trials_ID</t>
  </si>
  <si>
    <t xml:space="preserve">43353224560836</t>
  </si>
  <si>
    <t xml:space="preserve">43353Facebook»Developers/ITPros-Azure Direct-Sponsored Post-Link Ad-FreeAcctRetargetingVMFB-750Hrs-ChD»1x1»SocialBan»LIA»ALL»CPC»BT»X»UNK»SS»NA»Trials_ID</t>
  </si>
  <si>
    <t xml:space="preserve">43352224560836</t>
  </si>
  <si>
    <t xml:space="preserve">43352Facebook»Developers/ITPros-Azure Direct-Sponsored Post-Link Ad-FreeAcctRetargetingVMFB-750Hrs-ChD»1x1»SocialBan»LIA»ALL»CPC»BT»X»UNK»SS»NA»Trials_ID</t>
  </si>
  <si>
    <t xml:space="preserve">43358224560833</t>
  </si>
  <si>
    <t xml:space="preserve">43358Facebook»Developers/ITPros-Azure Direct-Sponsored Post-Link Ad-FreeAcctRetargetingVMFB-OnDemand-ChE»1x1»SocialBan»LIA»ALL»CPC»BT»X»UNK»SS»NA»Trials_ID</t>
  </si>
  <si>
    <t xml:space="preserve">43357224560833</t>
  </si>
  <si>
    <t xml:space="preserve">43357Facebook»Developers/ITPros-Azure Direct-Sponsored Post-Link Ad-FreeAcctRetargetingVMFB-OnDemand-ChE»1x1»SocialBan»LIA»ALL»CPC»BT»X»UNK»SS»NA»Trials_ID</t>
  </si>
  <si>
    <t xml:space="preserve">43356224560833</t>
  </si>
  <si>
    <t xml:space="preserve">43356Facebook»Developers/ITPros-Azure Direct-Sponsored Post-Link Ad-FreeAcctRetargetingVMFB-OnDemand-ChE»1x1»SocialBan»LIA»ALL»CPC»BT»X»UNK»SS»NA»Trials_ID</t>
  </si>
  <si>
    <t xml:space="preserve">43355224560833</t>
  </si>
  <si>
    <t xml:space="preserve">43355Facebook»Developers/ITPros-Azure Direct-Sponsored Post-Link Ad-FreeAcctRetargetingVMFB-OnDemand-ChE»1x1»SocialBan»LIA»ALL»CPC»BT»X»UNK»SS»NA»Trials_ID</t>
  </si>
  <si>
    <t xml:space="preserve">43354224560833</t>
  </si>
  <si>
    <t xml:space="preserve">43354Facebook»Developers/ITPros-Azure Direct-Sponsored Post-Link Ad-FreeAcctRetargetingVMFB-OnDemand-ChE»1x1»SocialBan»LIA»ALL»CPC»BT»X»UNK»SS»NA»Trials_ID</t>
  </si>
  <si>
    <t xml:space="preserve">43353224560833</t>
  </si>
  <si>
    <t xml:space="preserve">43353Facebook»Developers/ITPros-Azure Direct-Sponsored Post-Link Ad-FreeAcctRetargetingVMFB-OnDemand-ChE»1x1»SocialBan»LIA»ALL»CPC»BT»X»UNK»SS»NA»Trials_ID</t>
  </si>
  <si>
    <t xml:space="preserve">43352224560833</t>
  </si>
  <si>
    <t xml:space="preserve">43352Facebook»Developers/ITPros-Azure Direct-Sponsored Post-Link Ad-FreeAcctRetargetingVMFB-OnDemand-ChE»1x1»SocialBan»LIA»ALL»CPC»BT»X»UNK»SS»NA»Trials_ID</t>
  </si>
  <si>
    <t xml:space="preserve">43358224416915</t>
  </si>
  <si>
    <t xml:space="preserve">43358Facebook»Developers/ITPros-Azure Direct-Sponsored Post-Video Ad-FBCTCBasicMotion_FRA_10s_RTG Landing Page»1x1»10s»VIA»ALL»CPC»BT»X»UNK»SS»NA»Trials_ID</t>
  </si>
  <si>
    <t xml:space="preserve">AZR_FBCTCBasicMotion_FRA_10s_VIA_AZRDirect_French_NA_Facebook_STAN_TIN_T1_1</t>
  </si>
  <si>
    <t xml:space="preserve">43357224416915</t>
  </si>
  <si>
    <t xml:space="preserve">43357Facebook»Developers/ITPros-Azure Direct-Sponsored Post-Video Ad-FBCTCBasicMotion_FRA_10s_RTG Landing Page»1x1»10s»VIA»ALL»CPC»BT»X»UNK»SS»NA»Trials_ID</t>
  </si>
  <si>
    <t xml:space="preserve">43356224416915</t>
  </si>
  <si>
    <t xml:space="preserve">43356Facebook»Developers/ITPros-Azure Direct-Sponsored Post-Video Ad-FBCTCBasicMotion_FRA_10s_RTG Landing Page»1x1»10s»VIA»ALL»CPC»BT»X»UNK»SS»NA»Trials_ID</t>
  </si>
  <si>
    <t xml:space="preserve">43355224416915</t>
  </si>
  <si>
    <t xml:space="preserve">43355Facebook»Developers/ITPros-Azure Direct-Sponsored Post-Video Ad-FBCTCBasicMotion_FRA_10s_RTG Landing Page»1x1»10s»VIA»ALL»CPC»BT»X»UNK»SS»NA»Trials_ID</t>
  </si>
  <si>
    <t xml:space="preserve">43354224416915</t>
  </si>
  <si>
    <t xml:space="preserve">43354Facebook»Developers/ITPros-Azure Direct-Sponsored Post-Video Ad-FBCTCBasicMotion_FRA_10s_RTG Landing Page»1x1»10s»VIA»ALL»CPC»BT»X»UNK»SS»NA»Trials_ID</t>
  </si>
  <si>
    <t xml:space="preserve">43353224416915</t>
  </si>
  <si>
    <t xml:space="preserve">43353Facebook»Developers/ITPros-Azure Direct-Sponsored Post-Video Ad-FBCTCBasicMotion_FRA_10s_RTG Landing Page»1x1»10s»VIA»ALL»CPC»BT»X»UNK»SS»NA»Trials_ID</t>
  </si>
  <si>
    <t xml:space="preserve">43352224416915</t>
  </si>
  <si>
    <t xml:space="preserve">43352Facebook»Developers/ITPros-Azure Direct-Sponsored Post-Video Ad-FBCTCBasicMotion_FRA_10s_RTG Landing Page»1x1»10s»VIA»ALL»CPC»BT»X»UNK»SS»NA»Trials_ID</t>
  </si>
  <si>
    <t xml:space="preserve">43358224560875</t>
  </si>
  <si>
    <t xml:space="preserve">43358Facebook»Developers/ITPros-Azure Direct-Sponsored Post-Video Ad-FBCTCBenefit2inMotion_FRA_14s_RTG Landing Page»1x1»14s»VIA»ALL»CPC»BT»X»UNK»SS»NA»Trials_ID</t>
  </si>
  <si>
    <t xml:space="preserve">AZR_FBCTCBenefit2inMotion_FRA_14s_VIA_AZRDirect_French_NA_Facebook_STAN_TIN_T4_1</t>
  </si>
  <si>
    <t xml:space="preserve">43357224560875</t>
  </si>
  <si>
    <t xml:space="preserve">43357Facebook»Developers/ITPros-Azure Direct-Sponsored Post-Video Ad-FBCTCBenefit2inMotion_FRA_14s_RTG Landing Page»1x1»14s»VIA»ALL»CPC»BT»X»UNK»SS»NA»Trials_ID</t>
  </si>
  <si>
    <t xml:space="preserve">43356224560875</t>
  </si>
  <si>
    <t xml:space="preserve">43356Facebook»Developers/ITPros-Azure Direct-Sponsored Post-Video Ad-FBCTCBenefit2inMotion_FRA_14s_RTG Landing Page»1x1»14s»VIA»ALL»CPC»BT»X»UNK»SS»NA»Trials_ID</t>
  </si>
  <si>
    <t xml:space="preserve">43355224560875</t>
  </si>
  <si>
    <t xml:space="preserve">43355Facebook»Developers/ITPros-Azure Direct-Sponsored Post-Video Ad-FBCTCBenefit2inMotion_FRA_14s_RTG Landing Page»1x1»14s»VIA»ALL»CPC»BT»X»UNK»SS»NA»Trials_ID</t>
  </si>
  <si>
    <t xml:space="preserve">43354224560875</t>
  </si>
  <si>
    <t xml:space="preserve">43354Facebook»Developers/ITPros-Azure Direct-Sponsored Post-Video Ad-FBCTCBenefit2inMotion_FRA_14s_RTG Landing Page»1x1»14s»VIA»ALL»CPC»BT»X»UNK»SS»NA»Trials_ID</t>
  </si>
  <si>
    <t xml:space="preserve">43353224560875</t>
  </si>
  <si>
    <t xml:space="preserve">43353Facebook»Developers/ITPros-Azure Direct-Sponsored Post-Video Ad-FBCTCBenefit2inMotion_FRA_14s_RTG Landing Page»1x1»14s»VIA»ALL»CPC»BT»X»UNK»SS»NA»Trials_ID</t>
  </si>
  <si>
    <t xml:space="preserve">43352224560875</t>
  </si>
  <si>
    <t xml:space="preserve">43352Facebook»Developers/ITPros-Azure Direct-Sponsored Post-Video Ad-FBCTCBenefit2inMotion_FRA_14s_RTG Landing Page»1x1»14s»VIA»ALL»CPC»BT»X»UNK»SS»NA»Trials_ID</t>
  </si>
  <si>
    <t xml:space="preserve">43358224560863</t>
  </si>
  <si>
    <t xml:space="preserve">43358Facebook»Developers/ITPros-Azure Direct-Sponsored Post-Video Ad-FBCTCBrandinMotion_FRA_12s_RTG Landing Page»1x1»12s»VIA»ALL»CPC»BT»X»UNK»SS»NA»Trials_ID</t>
  </si>
  <si>
    <t xml:space="preserve">AZR_FBCTCBrandinMotion_FRA_12s_VIA_AZRDirect_French_NA_Facebook_STAN_TIN_T2_1</t>
  </si>
  <si>
    <t xml:space="preserve">43357224560863</t>
  </si>
  <si>
    <t xml:space="preserve">43357Facebook»Developers/ITPros-Azure Direct-Sponsored Post-Video Ad-FBCTCBrandinMotion_FRA_12s_RTG Landing Page»1x1»12s»VIA»ALL»CPC»BT»X»UNK»SS»NA»Trials_ID</t>
  </si>
  <si>
    <t xml:space="preserve">43356224560863</t>
  </si>
  <si>
    <t xml:space="preserve">43356Facebook»Developers/ITPros-Azure Direct-Sponsored Post-Video Ad-FBCTCBrandinMotion_FRA_12s_RTG Landing Page»1x1»12s»VIA»ALL»CPC»BT»X»UNK»SS»NA»Trials_ID</t>
  </si>
  <si>
    <t xml:space="preserve">43355224560863</t>
  </si>
  <si>
    <t xml:space="preserve">43355Facebook»Developers/ITPros-Azure Direct-Sponsored Post-Video Ad-FBCTCBrandinMotion_FRA_12s_RTG Landing Page»1x1»12s»VIA»ALL»CPC»BT»X»UNK»SS»NA»Trials_ID</t>
  </si>
  <si>
    <t xml:space="preserve">43354224560863</t>
  </si>
  <si>
    <t xml:space="preserve">43354Facebook»Developers/ITPros-Azure Direct-Sponsored Post-Video Ad-FBCTCBrandinMotion_FRA_12s_RTG Landing Page»1x1»12s»VIA»ALL»CPC»BT»X»UNK»SS»NA»Trials_ID</t>
  </si>
  <si>
    <t xml:space="preserve">43353224560863</t>
  </si>
  <si>
    <t xml:space="preserve">43353Facebook»Developers/ITPros-Azure Direct-Sponsored Post-Video Ad-FBCTCBrandinMotion_FRA_12s_RTG Landing Page»1x1»12s»VIA»ALL»CPC»BT»X»UNK»SS»NA»Trials_ID</t>
  </si>
  <si>
    <t xml:space="preserve">43352224560863</t>
  </si>
  <si>
    <t xml:space="preserve">43352Facebook»Developers/ITPros-Azure Direct-Sponsored Post-Video Ad-FBCTCBrandinMotion_FRA_12s_RTG Landing Page»1x1»12s»VIA»ALL»CPC»BT»X»UNK»SS»NA»Trials_ID</t>
  </si>
  <si>
    <t xml:space="preserve">43358226359947</t>
  </si>
  <si>
    <t xml:space="preserve">43358Facebook»Developers-Azure Direct-Sponsored Post_Trial_PayGo-Video Ad-Free Account Developer - AI»1x1»30s»SOC»ALL»CPC»LAL»D»UNK»SS»NA»Trials_ID</t>
  </si>
  <si>
    <t xml:space="preserve">AZR_FreeAcctDeveloperFB-AnimatedAI-Ch3_FRA_1200x1200_VIA_AZRDirect_French_NA_Facebook_STAN_LEA_T3_1</t>
  </si>
  <si>
    <t xml:space="preserve">43357226359947</t>
  </si>
  <si>
    <t xml:space="preserve">43357Facebook»Developers-Azure Direct-Sponsored Post_Trial_PayGo-Video Ad-Free Account Developer - AI»1x1»30s»SOC»ALL»CPC»LAL»D»UNK»SS»NA»Trials_ID</t>
  </si>
  <si>
    <t xml:space="preserve">43356226359947</t>
  </si>
  <si>
    <t xml:space="preserve">43356Facebook»Developers-Azure Direct-Sponsored Post_Trial_PayGo-Video Ad-Free Account Developer - AI»1x1»30s»SOC»ALL»CPC»LAL»D»UNK»SS»NA»Trials_ID</t>
  </si>
  <si>
    <t xml:space="preserve">43355226359947</t>
  </si>
  <si>
    <t xml:space="preserve">43355Facebook»Developers-Azure Direct-Sponsored Post_Trial_PayGo-Video Ad-Free Account Developer - AI»1x1»30s»SOC»ALL»CPC»LAL»D»UNK»SS»NA»Trials_ID</t>
  </si>
  <si>
    <t xml:space="preserve">43354226359947</t>
  </si>
  <si>
    <t xml:space="preserve">43354Facebook»Developers-Azure Direct-Sponsored Post_Trial_PayGo-Video Ad-Free Account Developer - AI»1x1»30s»SOC»ALL»CPC»LAL»D»UNK»SS»NA»Trials_ID</t>
  </si>
  <si>
    <t xml:space="preserve">43353226359947</t>
  </si>
  <si>
    <t xml:space="preserve">43353Facebook»Developers-Azure Direct-Sponsored Post_Trial_PayGo-Video Ad-Free Account Developer - AI»1x1»30s»SOC»ALL»CPC»LAL»D»UNK»SS»NA»Trials_ID</t>
  </si>
  <si>
    <t xml:space="preserve">43352226359947</t>
  </si>
  <si>
    <t xml:space="preserve">43352Facebook»Developers-Azure Direct-Sponsored Post_Trial_PayGo-Video Ad-Free Account Developer - AI»1x1»30s»SOC»ALL»CPC»LAL»D»UNK»SS»NA»Trials_ID</t>
  </si>
  <si>
    <t xml:space="preserve">43358226359953</t>
  </si>
  <si>
    <t xml:space="preserve">43358Facebook»Developers-Azure Direct-Sponsored Post_Trial_PayGo-Video Ad-Free Account Developer - Generic»1x1»30s»SOC»ALL»CPC»LAL»D»UNK»SS»NA»Trials_ID</t>
  </si>
  <si>
    <t xml:space="preserve">AZR_FreeAcctDeveloperFB-AnimatedGeneric-Ch1_FRA_1200x1200_VIA_AZRDirect_French_NA_Facebook_STAN_LEA_T1_1</t>
  </si>
  <si>
    <t xml:space="preserve">43357226359953</t>
  </si>
  <si>
    <t xml:space="preserve">43357Facebook»Developers-Azure Direct-Sponsored Post_Trial_PayGo-Video Ad-Free Account Developer - Generic»1x1»30s»SOC»ALL»CPC»LAL»D»UNK»SS»NA»Trials_ID</t>
  </si>
  <si>
    <t xml:space="preserve">43356226359953</t>
  </si>
  <si>
    <t xml:space="preserve">43356Facebook»Developers-Azure Direct-Sponsored Post_Trial_PayGo-Video Ad-Free Account Developer - Generic»1x1»30s»SOC»ALL»CPC»LAL»D»UNK»SS»NA»Trials_ID</t>
  </si>
  <si>
    <t xml:space="preserve">43355226359953</t>
  </si>
  <si>
    <t xml:space="preserve">43355Facebook»Developers-Azure Direct-Sponsored Post_Trial_PayGo-Video Ad-Free Account Developer - Generic»1x1»30s»SOC»ALL»CPC»LAL»D»UNK»SS»NA»Trials_ID</t>
  </si>
  <si>
    <t xml:space="preserve">43354226359953</t>
  </si>
  <si>
    <t xml:space="preserve">43354Facebook»Developers-Azure Direct-Sponsored Post_Trial_PayGo-Video Ad-Free Account Developer - Generic»1x1»30s»SOC»ALL»CPC»LAL»D»UNK»SS»NA»Trials_ID</t>
  </si>
  <si>
    <t xml:space="preserve">43353226359953</t>
  </si>
  <si>
    <t xml:space="preserve">43353Facebook»Developers-Azure Direct-Sponsored Post_Trial_PayGo-Video Ad-Free Account Developer - Generic»1x1»30s»SOC»ALL»CPC»LAL»D»UNK»SS»NA»Trials_ID</t>
  </si>
  <si>
    <t xml:space="preserve">43352226359953</t>
  </si>
  <si>
    <t xml:space="preserve">43352Facebook»Developers-Azure Direct-Sponsored Post_Trial_PayGo-Video Ad-Free Account Developer - Generic»1x1»30s»SOC»ALL»CPC»LAL»D»UNK»SS»NA»Trials_ID</t>
  </si>
  <si>
    <t xml:space="preserve">43358226359944</t>
  </si>
  <si>
    <t xml:space="preserve">43358Facebook»Developers-Azure Direct-Sponsored Post_Trial_PayGo-Video Ad-Free Account Developer - Intelligent Data»1x1»30s»SOC»ALL»CPC»LAL»D»UNK»SS»NA»Trials_ID</t>
  </si>
  <si>
    <t xml:space="preserve">AZR_FreeAcctDeveloperFB-AnimatedData-Ch4_FRA_1200x1200_VIA_AZRDirect_French_NA_Facebook_STAN_LEA_T4_1</t>
  </si>
  <si>
    <t xml:space="preserve">43357226359944</t>
  </si>
  <si>
    <t xml:space="preserve">43357Facebook»Developers-Azure Direct-Sponsored Post_Trial_PayGo-Video Ad-Free Account Developer - Intelligent Data»1x1»30s»SOC»ALL»CPC»LAL»D»UNK»SS»NA»Trials_ID</t>
  </si>
  <si>
    <t xml:space="preserve">43356226359944</t>
  </si>
  <si>
    <t xml:space="preserve">43356Facebook»Developers-Azure Direct-Sponsored Post_Trial_PayGo-Video Ad-Free Account Developer - Intelligent Data»1x1»30s»SOC»ALL»CPC»LAL»D»UNK»SS»NA»Trials_ID</t>
  </si>
  <si>
    <t xml:space="preserve">43355226359944</t>
  </si>
  <si>
    <t xml:space="preserve">43355Facebook»Developers-Azure Direct-Sponsored Post_Trial_PayGo-Video Ad-Free Account Developer - Intelligent Data»1x1»30s»SOC»ALL»CPC»LAL»D»UNK»SS»NA»Trials_ID</t>
  </si>
  <si>
    <t xml:space="preserve">43354226359944</t>
  </si>
  <si>
    <t xml:space="preserve">43354Facebook»Developers-Azure Direct-Sponsored Post_Trial_PayGo-Video Ad-Free Account Developer - Intelligent Data»1x1»30s»SOC»ALL»CPC»LAL»D»UNK»SS»NA»Trials_ID</t>
  </si>
  <si>
    <t xml:space="preserve">43353226359944</t>
  </si>
  <si>
    <t xml:space="preserve">43353Facebook»Developers-Azure Direct-Sponsored Post_Trial_PayGo-Video Ad-Free Account Developer - Intelligent Data»1x1»30s»SOC»ALL»CPC»LAL»D»UNK»SS»NA»Trials_ID</t>
  </si>
  <si>
    <t xml:space="preserve">43352226359944</t>
  </si>
  <si>
    <t xml:space="preserve">43352Facebook»Developers-Azure Direct-Sponsored Post_Trial_PayGo-Video Ad-Free Account Developer - Intelligent Data»1x1»30s»SOC»ALL»CPC»LAL»D»UNK»SS»NA»Trials_ID</t>
  </si>
  <si>
    <t xml:space="preserve">43358226359950</t>
  </si>
  <si>
    <t xml:space="preserve">43358Facebook»Developers-Azure Direct-Sponsored Post_Trial_PayGo-Video Ad-Free Account Developer - Open Source»1x1»30s»SOC»ALL»CPC»LAL»D»UNK»SS»NA»Trials_ID</t>
  </si>
  <si>
    <t xml:space="preserve">AZR_FreeAcctDeveloperFB-AnimatedOpenSource-Ch2_FRA_1200x1200_VIA_AZRDirect_French_NA_Facebook_STAN_LEA_T2_1</t>
  </si>
  <si>
    <t xml:space="preserve">43357226359950</t>
  </si>
  <si>
    <t xml:space="preserve">43357Facebook»Developers-Azure Direct-Sponsored Post_Trial_PayGo-Video Ad-Free Account Developer - Open Source»1x1»30s»SOC»ALL»CPC»LAL»D»UNK»SS»NA»Trials_ID</t>
  </si>
  <si>
    <t xml:space="preserve">43356226359950</t>
  </si>
  <si>
    <t xml:space="preserve">43356Facebook»Developers-Azure Direct-Sponsored Post_Trial_PayGo-Video Ad-Free Account Developer - Open Source»1x1»30s»SOC»ALL»CPC»LAL»D»UNK»SS»NA»Trials_ID</t>
  </si>
  <si>
    <t xml:space="preserve">43355226359950</t>
  </si>
  <si>
    <t xml:space="preserve">43355Facebook»Developers-Azure Direct-Sponsored Post_Trial_PayGo-Video Ad-Free Account Developer - Open Source»1x1»30s»SOC»ALL»CPC»LAL»D»UNK»SS»NA»Trials_ID</t>
  </si>
  <si>
    <t xml:space="preserve">43354226359950</t>
  </si>
  <si>
    <t xml:space="preserve">43354Facebook»Developers-Azure Direct-Sponsored Post_Trial_PayGo-Video Ad-Free Account Developer - Open Source»1x1»30s»SOC»ALL»CPC»LAL»D»UNK»SS»NA»Trials_ID</t>
  </si>
  <si>
    <t xml:space="preserve">43353226359950</t>
  </si>
  <si>
    <t xml:space="preserve">43353Facebook»Developers-Azure Direct-Sponsored Post_Trial_PayGo-Video Ad-Free Account Developer - Open Source»1x1»30s»SOC»ALL»CPC»LAL»D»UNK»SS»NA»Trials_ID</t>
  </si>
  <si>
    <t xml:space="preserve">43352226359950</t>
  </si>
  <si>
    <t xml:space="preserve">43352Facebook»Developers-Azure Direct-Sponsored Post_Trial_PayGo-Video Ad-Free Account Developer - Open Source»1x1»30s»SOC»ALL»CPC»LAL»D»UNK»SS»NA»Trials_ID</t>
  </si>
  <si>
    <t xml:space="preserve">43358226360019</t>
  </si>
  <si>
    <t xml:space="preserve">43358Facebook»Developers-Azure Direct-Sponsored Post_Trial-Video Ad-Free Account Developer - AI»1x1»30s»SOC»ALL»CPC»LAL»D»UNK»SS»NA»Trials_ID</t>
  </si>
  <si>
    <t xml:space="preserve">43357226360019</t>
  </si>
  <si>
    <t xml:space="preserve">43357Facebook»Developers-Azure Direct-Sponsored Post_Trial-Video Ad-Free Account Developer - AI»1x1»30s»SOC»ALL»CPC»LAL»D»UNK»SS»NA»Trials_ID</t>
  </si>
  <si>
    <t xml:space="preserve">43356226360019</t>
  </si>
  <si>
    <t xml:space="preserve">43356Facebook»Developers-Azure Direct-Sponsored Post_Trial-Video Ad-Free Account Developer - AI»1x1»30s»SOC»ALL»CPC»LAL»D»UNK»SS»NA»Trials_ID</t>
  </si>
  <si>
    <t xml:space="preserve">43355226360019</t>
  </si>
  <si>
    <t xml:space="preserve">43355Facebook»Developers-Azure Direct-Sponsored Post_Trial-Video Ad-Free Account Developer - AI»1x1»30s»SOC»ALL»CPC»LAL»D»UNK»SS»NA»Trials_ID</t>
  </si>
  <si>
    <t xml:space="preserve">43354226360019</t>
  </si>
  <si>
    <t xml:space="preserve">43354Facebook»Developers-Azure Direct-Sponsored Post_Trial-Video Ad-Free Account Developer - AI»1x1»30s»SOC»ALL»CPC»LAL»D»UNK»SS»NA»Trials_ID</t>
  </si>
  <si>
    <t xml:space="preserve">43353226360019</t>
  </si>
  <si>
    <t xml:space="preserve">43353Facebook»Developers-Azure Direct-Sponsored Post_Trial-Video Ad-Free Account Developer - AI»1x1»30s»SOC»ALL»CPC»LAL»D»UNK»SS»NA»Trials_ID</t>
  </si>
  <si>
    <t xml:space="preserve">43352226360019</t>
  </si>
  <si>
    <t xml:space="preserve">43352Facebook»Developers-Azure Direct-Sponsored Post_Trial-Video Ad-Free Account Developer - AI»1x1»30s»SOC»ALL»CPC»LAL»D»UNK»SS»NA»Trials_ID</t>
  </si>
  <si>
    <t xml:space="preserve">43358226359881</t>
  </si>
  <si>
    <t xml:space="preserve">43358Facebook»Developers-Azure Direct-Sponsored Post_Trial-Video Ad-Free Account Developer - AI»1x1»30s»SOC»ALL»CPC»RT»D»UNK»SS»NA»Trials_ID</t>
  </si>
  <si>
    <t xml:space="preserve">43357226359881</t>
  </si>
  <si>
    <t xml:space="preserve">43357Facebook»Developers-Azure Direct-Sponsored Post_Trial-Video Ad-Free Account Developer - AI»1x1»30s»SOC»ALL»CPC»RT»D»UNK»SS»NA»Trials_ID</t>
  </si>
  <si>
    <t xml:space="preserve">43356226359881</t>
  </si>
  <si>
    <t xml:space="preserve">43356Facebook»Developers-Azure Direct-Sponsored Post_Trial-Video Ad-Free Account Developer - AI»1x1»30s»SOC»ALL»CPC»RT»D»UNK»SS»NA»Trials_ID</t>
  </si>
  <si>
    <t xml:space="preserve">43355226359881</t>
  </si>
  <si>
    <t xml:space="preserve">43355Facebook»Developers-Azure Direct-Sponsored Post_Trial-Video Ad-Free Account Developer - AI»1x1»30s»SOC»ALL»CPC»RT»D»UNK»SS»NA»Trials_ID</t>
  </si>
  <si>
    <t xml:space="preserve">43354226359881</t>
  </si>
  <si>
    <t xml:space="preserve">43354Facebook»Developers-Azure Direct-Sponsored Post_Trial-Video Ad-Free Account Developer - AI»1x1»30s»SOC»ALL»CPC»RT»D»UNK»SS»NA»Trials_ID</t>
  </si>
  <si>
    <t xml:space="preserve">43353226359881</t>
  </si>
  <si>
    <t xml:space="preserve">43353Facebook»Developers-Azure Direct-Sponsored Post_Trial-Video Ad-Free Account Developer - AI»1x1»30s»SOC»ALL»CPC»RT»D»UNK»SS»NA»Trials_ID</t>
  </si>
  <si>
    <t xml:space="preserve">43352226359881</t>
  </si>
  <si>
    <t xml:space="preserve">43352Facebook»Developers-Azure Direct-Sponsored Post_Trial-Video Ad-Free Account Developer - AI»1x1»30s»SOC»ALL»CPC»RT»D»UNK»SS»NA»Trials_ID</t>
  </si>
  <si>
    <t xml:space="preserve">43358226360031</t>
  </si>
  <si>
    <t xml:space="preserve">43358Facebook»Developers-Azure Direct-Sponsored Post_Trial-Video Ad-Free Account Developer - Generic»1x1»30s»SOC»ALL»CPC»LAL»D»UNK»SS»NA»Trials_ID</t>
  </si>
  <si>
    <t xml:space="preserve">43357226360031</t>
  </si>
  <si>
    <t xml:space="preserve">43357Facebook»Developers-Azure Direct-Sponsored Post_Trial-Video Ad-Free Account Developer - Generic»1x1»30s»SOC»ALL»CPC»LAL»D»UNK»SS»NA»Trials_ID</t>
  </si>
  <si>
    <t xml:space="preserve">43356226360031</t>
  </si>
  <si>
    <t xml:space="preserve">43356Facebook»Developers-Azure Direct-Sponsored Post_Trial-Video Ad-Free Account Developer - Generic»1x1»30s»SOC»ALL»CPC»LAL»D»UNK»SS»NA»Trials_ID</t>
  </si>
  <si>
    <t xml:space="preserve">43355226360031</t>
  </si>
  <si>
    <t xml:space="preserve">43355Facebook»Developers-Azure Direct-Sponsored Post_Trial-Video Ad-Free Account Developer - Generic»1x1»30s»SOC»ALL»CPC»LAL»D»UNK»SS»NA»Trials_ID</t>
  </si>
  <si>
    <t xml:space="preserve">43354226360031</t>
  </si>
  <si>
    <t xml:space="preserve">43354Facebook»Developers-Azure Direct-Sponsored Post_Trial-Video Ad-Free Account Developer - Generic»1x1»30s»SOC»ALL»CPC»LAL»D»UNK»SS»NA»Trials_ID</t>
  </si>
  <si>
    <t xml:space="preserve">43353226360031</t>
  </si>
  <si>
    <t xml:space="preserve">43353Facebook»Developers-Azure Direct-Sponsored Post_Trial-Video Ad-Free Account Developer - Generic»1x1»30s»SOC»ALL»CPC»LAL»D»UNK»SS»NA»Trials_ID</t>
  </si>
  <si>
    <t xml:space="preserve">43352226360031</t>
  </si>
  <si>
    <t xml:space="preserve">43352Facebook»Developers-Azure Direct-Sponsored Post_Trial-Video Ad-Free Account Developer - Generic»1x1»30s»SOC»ALL»CPC»LAL»D»UNK»SS»NA»Trials_ID</t>
  </si>
  <si>
    <t xml:space="preserve">43358226359887</t>
  </si>
  <si>
    <t xml:space="preserve">43358Facebook»Developers-Azure Direct-Sponsored Post_Trial-Video Ad-Free Account Developer - Generic»1x1»30s»SOC»ALL»CPC»RT»D»UNK»SS»NA»Trials_ID</t>
  </si>
  <si>
    <t xml:space="preserve">43357226359887</t>
  </si>
  <si>
    <t xml:space="preserve">43357Facebook»Developers-Azure Direct-Sponsored Post_Trial-Video Ad-Free Account Developer - Generic»1x1»30s»SOC»ALL»CPC»RT»D»UNK»SS»NA»Trials_ID</t>
  </si>
  <si>
    <t xml:space="preserve">43356226359887</t>
  </si>
  <si>
    <t xml:space="preserve">43356Facebook»Developers-Azure Direct-Sponsored Post_Trial-Video Ad-Free Account Developer - Generic»1x1»30s»SOC»ALL»CPC»RT»D»UNK»SS»NA»Trials_ID</t>
  </si>
  <si>
    <t xml:space="preserve">43355226359887</t>
  </si>
  <si>
    <t xml:space="preserve">43355Facebook»Developers-Azure Direct-Sponsored Post_Trial-Video Ad-Free Account Developer - Generic»1x1»30s»SOC»ALL»CPC»RT»D»UNK»SS»NA»Trials_ID</t>
  </si>
  <si>
    <t xml:space="preserve">43354226359887</t>
  </si>
  <si>
    <t xml:space="preserve">43354Facebook»Developers-Azure Direct-Sponsored Post_Trial-Video Ad-Free Account Developer - Generic»1x1»30s»SOC»ALL»CPC»RT»D»UNK»SS»NA»Trials_ID</t>
  </si>
  <si>
    <t xml:space="preserve">43353226359887</t>
  </si>
  <si>
    <t xml:space="preserve">43353Facebook»Developers-Azure Direct-Sponsored Post_Trial-Video Ad-Free Account Developer - Generic»1x1»30s»SOC»ALL»CPC»RT»D»UNK»SS»NA»Trials_ID</t>
  </si>
  <si>
    <t xml:space="preserve">43352226359887</t>
  </si>
  <si>
    <t xml:space="preserve">43352Facebook»Developers-Azure Direct-Sponsored Post_Trial-Video Ad-Free Account Developer - Generic»1x1»30s»SOC»ALL»CPC»RT»D»UNK»SS»NA»Trials_ID</t>
  </si>
  <si>
    <t xml:space="preserve">43358226360013</t>
  </si>
  <si>
    <t xml:space="preserve">43358Facebook»Developers-Azure Direct-Sponsored Post_Trial-Video Ad-Free Account Developer - Intelligent Data»1x1»30s»SOC»ALL»CPC»LAL»D»UNK»SS»NA»Trials_ID</t>
  </si>
  <si>
    <t xml:space="preserve">43357226360013</t>
  </si>
  <si>
    <t xml:space="preserve">43357Facebook»Developers-Azure Direct-Sponsored Post_Trial-Video Ad-Free Account Developer - Intelligent Data»1x1»30s»SOC»ALL»CPC»LAL»D»UNK»SS»NA»Trials_ID</t>
  </si>
  <si>
    <t xml:space="preserve">43356226360013</t>
  </si>
  <si>
    <t xml:space="preserve">43356Facebook»Developers-Azure Direct-Sponsored Post_Trial-Video Ad-Free Account Developer - Intelligent Data»1x1»30s»SOC»ALL»CPC»LAL»D»UNK»SS»NA»Trials_ID</t>
  </si>
  <si>
    <t xml:space="preserve">43355226360013</t>
  </si>
  <si>
    <t xml:space="preserve">43355Facebook»Developers-Azure Direct-Sponsored Post_Trial-Video Ad-Free Account Developer - Intelligent Data»1x1»30s»SOC»ALL»CPC»LAL»D»UNK»SS»NA»Trials_ID</t>
  </si>
  <si>
    <t xml:space="preserve">43354226360013</t>
  </si>
  <si>
    <t xml:space="preserve">43354Facebook»Developers-Azure Direct-Sponsored Post_Trial-Video Ad-Free Account Developer - Intelligent Data»1x1»30s»SOC»ALL»CPC»LAL»D»UNK»SS»NA»Trials_ID</t>
  </si>
  <si>
    <t xml:space="preserve">43353226360013</t>
  </si>
  <si>
    <t xml:space="preserve">43353Facebook»Developers-Azure Direct-Sponsored Post_Trial-Video Ad-Free Account Developer - Intelligent Data»1x1»30s»SOC»ALL»CPC»LAL»D»UNK»SS»NA»Trials_ID</t>
  </si>
  <si>
    <t xml:space="preserve">43352226360013</t>
  </si>
  <si>
    <t xml:space="preserve">43352Facebook»Developers-Azure Direct-Sponsored Post_Trial-Video Ad-Free Account Developer - Intelligent Data»1x1»30s»SOC»ALL»CPC»LAL»D»UNK»SS»NA»Trials_ID</t>
  </si>
  <si>
    <t xml:space="preserve">43358226496146</t>
  </si>
  <si>
    <t xml:space="preserve">43358Facebook»Developers-Azure Direct-Sponsored Post_Trial-Video Ad-Free Account Developer - Intelligent Data»1x1»30s»SOC»ALL»CPC»RT»D»UNK»SS»NA»Trials_ID</t>
  </si>
  <si>
    <t xml:space="preserve">43357226496146</t>
  </si>
  <si>
    <t xml:space="preserve">43357Facebook»Developers-Azure Direct-Sponsored Post_Trial-Video Ad-Free Account Developer - Intelligent Data»1x1»30s»SOC»ALL»CPC»RT»D»UNK»SS»NA»Trials_ID</t>
  </si>
  <si>
    <t xml:space="preserve">43356226496146</t>
  </si>
  <si>
    <t xml:space="preserve">43356Facebook»Developers-Azure Direct-Sponsored Post_Trial-Video Ad-Free Account Developer - Intelligent Data»1x1»30s»SOC»ALL»CPC»RT»D»UNK»SS»NA»Trials_ID</t>
  </si>
  <si>
    <t xml:space="preserve">43355226496146</t>
  </si>
  <si>
    <t xml:space="preserve">43355Facebook»Developers-Azure Direct-Sponsored Post_Trial-Video Ad-Free Account Developer - Intelligent Data»1x1»30s»SOC»ALL»CPC»RT»D»UNK»SS»NA»Trials_ID</t>
  </si>
  <si>
    <t xml:space="preserve">43354226496146</t>
  </si>
  <si>
    <t xml:space="preserve">43354Facebook»Developers-Azure Direct-Sponsored Post_Trial-Video Ad-Free Account Developer - Intelligent Data»1x1»30s»SOC»ALL»CPC»RT»D»UNK»SS»NA»Trials_ID</t>
  </si>
  <si>
    <t xml:space="preserve">43353226496146</t>
  </si>
  <si>
    <t xml:space="preserve">43353Facebook»Developers-Azure Direct-Sponsored Post_Trial-Video Ad-Free Account Developer - Intelligent Data»1x1»30s»SOC»ALL»CPC»RT»D»UNK»SS»NA»Trials_ID</t>
  </si>
  <si>
    <t xml:space="preserve">43352226496146</t>
  </si>
  <si>
    <t xml:space="preserve">43352Facebook»Developers-Azure Direct-Sponsored Post_Trial-Video Ad-Free Account Developer - Intelligent Data»1x1»30s»SOC»ALL»CPC»RT»D»UNK»SS»NA»Trials_ID</t>
  </si>
  <si>
    <t xml:space="preserve">43358226359884</t>
  </si>
  <si>
    <t xml:space="preserve">43358Facebook»Developers-Azure Direct-Sponsored Post_Trial-Video Ad-Free Account Developer - Open Source»1x1»30s»SOC»ALL»CPC»RT»D»UNK»SS»NA»Trials_ID</t>
  </si>
  <si>
    <t xml:space="preserve">43357226359884</t>
  </si>
  <si>
    <t xml:space="preserve">43357Facebook»Developers-Azure Direct-Sponsored Post_Trial-Video Ad-Free Account Developer - Open Source»1x1»30s»SOC»ALL»CPC»RT»D»UNK»SS»NA»Trials_ID</t>
  </si>
  <si>
    <t xml:space="preserve">43356226359884</t>
  </si>
  <si>
    <t xml:space="preserve">43356Facebook»Developers-Azure Direct-Sponsored Post_Trial-Video Ad-Free Account Developer - Open Source»1x1»30s»SOC»ALL»CPC»RT»D»UNK»SS»NA»Trials_ID</t>
  </si>
  <si>
    <t xml:space="preserve">43355226359884</t>
  </si>
  <si>
    <t xml:space="preserve">43355Facebook»Developers-Azure Direct-Sponsored Post_Trial-Video Ad-Free Account Developer - Open Source»1x1»30s»SOC»ALL»CPC»RT»D»UNK»SS»NA»Trials_ID</t>
  </si>
  <si>
    <t xml:space="preserve">43354226359884</t>
  </si>
  <si>
    <t xml:space="preserve">43354Facebook»Developers-Azure Direct-Sponsored Post_Trial-Video Ad-Free Account Developer - Open Source»1x1»30s»SOC»ALL»CPC»RT»D»UNK»SS»NA»Trials_ID</t>
  </si>
  <si>
    <t xml:space="preserve">43353226359884</t>
  </si>
  <si>
    <t xml:space="preserve">43353Facebook»Developers-Azure Direct-Sponsored Post_Trial-Video Ad-Free Account Developer - Open Source»1x1»30s»SOC»ALL»CPC»RT»D»UNK»SS»NA»Trials_ID</t>
  </si>
  <si>
    <t xml:space="preserve">43352226359884</t>
  </si>
  <si>
    <t xml:space="preserve">43352Facebook»Developers-Azure Direct-Sponsored Post_Trial-Video Ad-Free Account Developer - Open Source»1x1»30s»SOC»ALL»CPC»RT»D»UNK»SS»NA»Trials_ID</t>
  </si>
  <si>
    <t xml:space="preserve">43358226360034</t>
  </si>
  <si>
    <t xml:space="preserve">43358Facebook»Developers-Azure Direct-Sponsored Post-Video Ad-Free Account Developer - AI»1x1»30s»SOC»ALL»CPC»BT»D»UNK»SS»NA»Trials_ID</t>
  </si>
  <si>
    <t xml:space="preserve">43357226360034</t>
  </si>
  <si>
    <t xml:space="preserve">43357Facebook»Developers-Azure Direct-Sponsored Post-Video Ad-Free Account Developer - AI»1x1»30s»SOC»ALL»CPC»BT»D»UNK»SS»NA»Trials_ID</t>
  </si>
  <si>
    <t xml:space="preserve">43356226360034</t>
  </si>
  <si>
    <t xml:space="preserve">43356Facebook»Developers-Azure Direct-Sponsored Post-Video Ad-Free Account Developer - AI»1x1»30s»SOC»ALL»CPC»BT»D»UNK»SS»NA»Trials_ID</t>
  </si>
  <si>
    <t xml:space="preserve">43355226360034</t>
  </si>
  <si>
    <t xml:space="preserve">43355Facebook»Developers-Azure Direct-Sponsored Post-Video Ad-Free Account Developer - AI»1x1»30s»SOC»ALL»CPC»BT»D»UNK»SS»NA»Trials_ID</t>
  </si>
  <si>
    <t xml:space="preserve">43354226360034</t>
  </si>
  <si>
    <t xml:space="preserve">43354Facebook»Developers-Azure Direct-Sponsored Post-Video Ad-Free Account Developer - AI»1x1»30s»SOC»ALL»CPC»BT»D»UNK»SS»NA»Trials_ID</t>
  </si>
  <si>
    <t xml:space="preserve">43353226360034</t>
  </si>
  <si>
    <t xml:space="preserve">43353Facebook»Developers-Azure Direct-Sponsored Post-Video Ad-Free Account Developer - AI»1x1»30s»SOC»ALL»CPC»BT»D»UNK»SS»NA»Trials_ID</t>
  </si>
  <si>
    <t xml:space="preserve">43352226360034</t>
  </si>
  <si>
    <t xml:space="preserve">43352Facebook»Developers-Azure Direct-Sponsored Post-Video Ad-Free Account Developer - AI»1x1»30s»SOC»ALL»CPC»BT»D»UNK»SS»NA»Trials_ID</t>
  </si>
  <si>
    <t xml:space="preserve">43358226420298</t>
  </si>
  <si>
    <t xml:space="preserve">43358Facebook»Developers-Azure Direct-Sponsored Post-Video Ad-Free Account Developer - Generic»1x1»30s»SOC»ALL»CPC»BT»D»UNK»SS»NA»Trials_ID</t>
  </si>
  <si>
    <t xml:space="preserve">43357226420298</t>
  </si>
  <si>
    <t xml:space="preserve">43357Facebook»Developers-Azure Direct-Sponsored Post-Video Ad-Free Account Developer - Generic»1x1»30s»SOC»ALL»CPC»BT»D»UNK»SS»NA»Trials_ID</t>
  </si>
  <si>
    <t xml:space="preserve">43356226420298</t>
  </si>
  <si>
    <t xml:space="preserve">43356Facebook»Developers-Azure Direct-Sponsored Post-Video Ad-Free Account Developer - Generic»1x1»30s»SOC»ALL»CPC»BT»D»UNK»SS»NA»Trials_ID</t>
  </si>
  <si>
    <t xml:space="preserve">43355226420298</t>
  </si>
  <si>
    <t xml:space="preserve">43355Facebook»Developers-Azure Direct-Sponsored Post-Video Ad-Free Account Developer - Generic»1x1»30s»SOC»ALL»CPC»BT»D»UNK»SS»NA»Trials_ID</t>
  </si>
  <si>
    <t xml:space="preserve">43354226420298</t>
  </si>
  <si>
    <t xml:space="preserve">43354Facebook»Developers-Azure Direct-Sponsored Post-Video Ad-Free Account Developer - Generic»1x1»30s»SOC»ALL»CPC»BT»D»UNK»SS»NA»Trials_ID</t>
  </si>
  <si>
    <t xml:space="preserve">43353226420298</t>
  </si>
  <si>
    <t xml:space="preserve">43353Facebook»Developers-Azure Direct-Sponsored Post-Video Ad-Free Account Developer - Generic»1x1»30s»SOC»ALL»CPC»BT»D»UNK»SS»NA»Trials_ID</t>
  </si>
  <si>
    <t xml:space="preserve">43352226420298</t>
  </si>
  <si>
    <t xml:space="preserve">43352Facebook»Developers-Azure Direct-Sponsored Post-Video Ad-Free Account Developer - Generic»1x1»30s»SOC»ALL»CPC»BT»D»UNK»SS»NA»Trials_ID</t>
  </si>
  <si>
    <t xml:space="preserve">43358226360028</t>
  </si>
  <si>
    <t xml:space="preserve">43358Facebook»Developers-Azure Direct-Sponsored Post-Video Ad-Free Account Developer - Intelligent Data»1x1»30s»SOC»ALL»CPC»BT»D»UNK»SS»NA»Trials_ID</t>
  </si>
  <si>
    <t xml:space="preserve">43357226360028</t>
  </si>
  <si>
    <t xml:space="preserve">43357Facebook»Developers-Azure Direct-Sponsored Post-Video Ad-Free Account Developer - Intelligent Data»1x1»30s»SOC»ALL»CPC»BT»D»UNK»SS»NA»Trials_ID</t>
  </si>
  <si>
    <t xml:space="preserve">43356226360028</t>
  </si>
  <si>
    <t xml:space="preserve">43356Facebook»Developers-Azure Direct-Sponsored Post-Video Ad-Free Account Developer - Intelligent Data»1x1»30s»SOC»ALL»CPC»BT»D»UNK»SS»NA»Trials_ID</t>
  </si>
  <si>
    <t xml:space="preserve">43355226360028</t>
  </si>
  <si>
    <t xml:space="preserve">43355Facebook»Developers-Azure Direct-Sponsored Post-Video Ad-Free Account Developer - Intelligent Data»1x1»30s»SOC»ALL»CPC»BT»D»UNK»SS»NA»Trials_ID</t>
  </si>
  <si>
    <t xml:space="preserve">43354226360028</t>
  </si>
  <si>
    <t xml:space="preserve">43354Facebook»Developers-Azure Direct-Sponsored Post-Video Ad-Free Account Developer - Intelligent Data»1x1»30s»SOC»ALL»CPC»BT»D»UNK»SS»NA»Trials_ID</t>
  </si>
  <si>
    <t xml:space="preserve">43353226360028</t>
  </si>
  <si>
    <t xml:space="preserve">43353Facebook»Developers-Azure Direct-Sponsored Post-Video Ad-Free Account Developer - Intelligent Data»1x1»30s»SOC»ALL»CPC»BT»D»UNK»SS»NA»Trials_ID</t>
  </si>
  <si>
    <t xml:space="preserve">43352226360028</t>
  </si>
  <si>
    <t xml:space="preserve">43352Facebook»Developers-Azure Direct-Sponsored Post-Video Ad-Free Account Developer - Intelligent Data»1x1»30s»SOC»ALL»CPC»BT»D»UNK»SS»NA»Trials_ID</t>
  </si>
  <si>
    <t xml:space="preserve">43358226360040</t>
  </si>
  <si>
    <t xml:space="preserve">43358Facebook»Developers-Azure Direct-Sponsored Post-Video Ad-Free Account Developer - Open Source»1x1»30s»SOC»ALL»CPC»BT»D»UNK»SS»NA»Trials_ID</t>
  </si>
  <si>
    <t xml:space="preserve">43357226360040</t>
  </si>
  <si>
    <t xml:space="preserve">43357Facebook»Developers-Azure Direct-Sponsored Post-Video Ad-Free Account Developer - Open Source»1x1»30s»SOC»ALL»CPC»BT»D»UNK»SS»NA»Trials_ID</t>
  </si>
  <si>
    <t xml:space="preserve">43356226360040</t>
  </si>
  <si>
    <t xml:space="preserve">43356Facebook»Developers-Azure Direct-Sponsored Post-Video Ad-Free Account Developer - Open Source»1x1»30s»SOC»ALL»CPC»BT»D»UNK»SS»NA»Trials_ID</t>
  </si>
  <si>
    <t xml:space="preserve">43355226360040</t>
  </si>
  <si>
    <t xml:space="preserve">43355Facebook»Developers-Azure Direct-Sponsored Post-Video Ad-Free Account Developer - Open Source»1x1»30s»SOC»ALL»CPC»BT»D»UNK»SS»NA»Trials_ID</t>
  </si>
  <si>
    <t xml:space="preserve">43354226360040</t>
  </si>
  <si>
    <t xml:space="preserve">43354Facebook»Developers-Azure Direct-Sponsored Post-Video Ad-Free Account Developer - Open Source»1x1»30s»SOC»ALL»CPC»BT»D»UNK»SS»NA»Trials_ID</t>
  </si>
  <si>
    <t xml:space="preserve">43353226360040</t>
  </si>
  <si>
    <t xml:space="preserve">43353Facebook»Developers-Azure Direct-Sponsored Post-Video Ad-Free Account Developer - Open Source»1x1»30s»SOC»ALL»CPC»BT»D»UNK»SS»NA»Trials_ID</t>
  </si>
  <si>
    <t xml:space="preserve">43352226360040</t>
  </si>
  <si>
    <t xml:space="preserve">43352Facebook»Developers-Azure Direct-Sponsored Post-Video Ad-Free Account Developer - Open Source»1x1»30s»SOC»ALL»CPC»BT»D»UNK»SS»NA»Trials_ID</t>
  </si>
  <si>
    <t xml:space="preserve">43358226359938</t>
  </si>
  <si>
    <t xml:space="preserve">43358Facebook»ITPros-Azure Direct-Sponsored Post_Trial_PayGo-Video Ad-Free Account IT Pro - Hybrid»1x1»30s»SOC»ALL»CPC»LAL»D»UNK»SS»NA»Trials_ID</t>
  </si>
  <si>
    <t xml:space="preserve">AZR_FreeAcctITProFB-AnimatedHybrid-Ch2_FRA_1200x1200_VIA_AZRDirect_French_NA_Facebook_STAN_LEA_T2_1</t>
  </si>
  <si>
    <t xml:space="preserve">43357226359938</t>
  </si>
  <si>
    <t xml:space="preserve">43357Facebook»ITPros-Azure Direct-Sponsored Post_Trial_PayGo-Video Ad-Free Account IT Pro - Hybrid»1x1»30s»SOC»ALL»CPC»LAL»D»UNK»SS»NA»Trials_ID</t>
  </si>
  <si>
    <t xml:space="preserve">43356226359938</t>
  </si>
  <si>
    <t xml:space="preserve">43356Facebook»ITPros-Azure Direct-Sponsored Post_Trial_PayGo-Video Ad-Free Account IT Pro - Hybrid»1x1»30s»SOC»ALL»CPC»LAL»D»UNK»SS»NA»Trials_ID</t>
  </si>
  <si>
    <t xml:space="preserve">43355226359938</t>
  </si>
  <si>
    <t xml:space="preserve">43355Facebook»ITPros-Azure Direct-Sponsored Post_Trial_PayGo-Video Ad-Free Account IT Pro - Hybrid»1x1»30s»SOC»ALL»CPC»LAL»D»UNK»SS»NA»Trials_ID</t>
  </si>
  <si>
    <t xml:space="preserve">43354226359938</t>
  </si>
  <si>
    <t xml:space="preserve">43354Facebook»ITPros-Azure Direct-Sponsored Post_Trial_PayGo-Video Ad-Free Account IT Pro - Hybrid»1x1»30s»SOC»ALL»CPC»LAL»D»UNK»SS»NA»Trials_ID</t>
  </si>
  <si>
    <t xml:space="preserve">43353226359938</t>
  </si>
  <si>
    <t xml:space="preserve">43353Facebook»ITPros-Azure Direct-Sponsored Post_Trial_PayGo-Video Ad-Free Account IT Pro - Hybrid»1x1»30s»SOC»ALL»CPC»LAL»D»UNK»SS»NA»Trials_ID</t>
  </si>
  <si>
    <t xml:space="preserve">43352226359938</t>
  </si>
  <si>
    <t xml:space="preserve">43352Facebook»ITPros-Azure Direct-Sponsored Post_Trial_PayGo-Video Ad-Free Account IT Pro - Hybrid»1x1»30s»SOC»ALL»CPC»LAL»D»UNK»SS»NA»Trials_ID</t>
  </si>
  <si>
    <t xml:space="preserve">43358226359935</t>
  </si>
  <si>
    <t xml:space="preserve">43358Facebook»ITPros-Azure Direct-Sponsored Post_Trial_PayGo-Video Ad-Free Account IT Pro - Migration»1x1»30s»SOC»ALL»CPC»LAL»D»UNK»SS»NA»Trials_ID</t>
  </si>
  <si>
    <t xml:space="preserve">AZR_FreeAcctITProFB-AnimatedMigration-Ch3_FRA_1200x1200_VIA_AZRDirect_French_NA_Facebook_STAN_LEA_T3_1</t>
  </si>
  <si>
    <t xml:space="preserve">43357226359935</t>
  </si>
  <si>
    <t xml:space="preserve">43357Facebook»ITPros-Azure Direct-Sponsored Post_Trial_PayGo-Video Ad-Free Account IT Pro - Migration»1x1»30s»SOC»ALL»CPC»LAL»D»UNK»SS»NA»Trials_ID</t>
  </si>
  <si>
    <t xml:space="preserve">43356226359935</t>
  </si>
  <si>
    <t xml:space="preserve">43356Facebook»ITPros-Azure Direct-Sponsored Post_Trial_PayGo-Video Ad-Free Account IT Pro - Migration»1x1»30s»SOC»ALL»CPC»LAL»D»UNK»SS»NA»Trials_ID</t>
  </si>
  <si>
    <t xml:space="preserve">43355226359935</t>
  </si>
  <si>
    <t xml:space="preserve">43355Facebook»ITPros-Azure Direct-Sponsored Post_Trial_PayGo-Video Ad-Free Account IT Pro - Migration»1x1»30s»SOC»ALL»CPC»LAL»D»UNK»SS»NA»Trials_ID</t>
  </si>
  <si>
    <t xml:space="preserve">43354226359935</t>
  </si>
  <si>
    <t xml:space="preserve">43354Facebook»ITPros-Azure Direct-Sponsored Post_Trial_PayGo-Video Ad-Free Account IT Pro - Migration»1x1»30s»SOC»ALL»CPC»LAL»D»UNK»SS»NA»Trials_ID</t>
  </si>
  <si>
    <t xml:space="preserve">43353226359935</t>
  </si>
  <si>
    <t xml:space="preserve">43353Facebook»ITPros-Azure Direct-Sponsored Post_Trial_PayGo-Video Ad-Free Account IT Pro - Migration»1x1»30s»SOC»ALL»CPC»LAL»D»UNK»SS»NA»Trials_ID</t>
  </si>
  <si>
    <t xml:space="preserve">43352226359935</t>
  </si>
  <si>
    <t xml:space="preserve">43352Facebook»ITPros-Azure Direct-Sponsored Post_Trial_PayGo-Video Ad-Free Account IT Pro - Migration»1x1»30s»SOC»ALL»CPC»LAL»D»UNK»SS»NA»Trials_ID</t>
  </si>
  <si>
    <t xml:space="preserve">43358226359941</t>
  </si>
  <si>
    <t xml:space="preserve">43358Facebook»ITPros-Azure Direct-Sponsored Post_Trial_PayGo-Video Ad-Free Account IT Pro - Secure»1x1»30s»SOC»ALL»CPC»LAL»D»UNK»SS»NA»Trials_ID</t>
  </si>
  <si>
    <t xml:space="preserve">AZR_FreeAcctITProFB-AnimatedSecureMngd-Ch1_FRA_1200x1200_VIA_AZRDirect_French_NA_Facebook_STAN_LEA_T1_1</t>
  </si>
  <si>
    <t xml:space="preserve">43357226359941</t>
  </si>
  <si>
    <t xml:space="preserve">43357Facebook»ITPros-Azure Direct-Sponsored Post_Trial_PayGo-Video Ad-Free Account IT Pro - Secure»1x1»30s»SOC»ALL»CPC»LAL»D»UNK»SS»NA»Trials_ID</t>
  </si>
  <si>
    <t xml:space="preserve">43356226359941</t>
  </si>
  <si>
    <t xml:space="preserve">43356Facebook»ITPros-Azure Direct-Sponsored Post_Trial_PayGo-Video Ad-Free Account IT Pro - Secure»1x1»30s»SOC»ALL»CPC»LAL»D»UNK»SS»NA»Trials_ID</t>
  </si>
  <si>
    <t xml:space="preserve">43355226359941</t>
  </si>
  <si>
    <t xml:space="preserve">43355Facebook»ITPros-Azure Direct-Sponsored Post_Trial_PayGo-Video Ad-Free Account IT Pro - Secure»1x1»30s»SOC»ALL»CPC»LAL»D»UNK»SS»NA»Trials_ID</t>
  </si>
  <si>
    <t xml:space="preserve">43354226359941</t>
  </si>
  <si>
    <t xml:space="preserve">43354Facebook»ITPros-Azure Direct-Sponsored Post_Trial_PayGo-Video Ad-Free Account IT Pro - Secure»1x1»30s»SOC»ALL»CPC»LAL»D»UNK»SS»NA»Trials_ID</t>
  </si>
  <si>
    <t xml:space="preserve">43353226359941</t>
  </si>
  <si>
    <t xml:space="preserve">43353Facebook»ITPros-Azure Direct-Sponsored Post_Trial_PayGo-Video Ad-Free Account IT Pro - Secure»1x1»30s»SOC»ALL»CPC»LAL»D»UNK»SS»NA»Trials_ID</t>
  </si>
  <si>
    <t xml:space="preserve">43352226359941</t>
  </si>
  <si>
    <t xml:space="preserve">43352Facebook»ITPros-Azure Direct-Sponsored Post_Trial_PayGo-Video Ad-Free Account IT Pro - Secure»1x1»30s»SOC»ALL»CPC»LAL»D»UNK»SS»NA»Trials_ID</t>
  </si>
  <si>
    <t xml:space="preserve">43358226360001</t>
  </si>
  <si>
    <t xml:space="preserve">43358Facebook»ITPros-Azure Direct-Sponsored Post_Trial-Video Ad-Free Account IT Pro - Hybrid»1x1»30s»SOC»ALL»CPC»LAL»D»UNK»SS»NA»Trials_ID</t>
  </si>
  <si>
    <t xml:space="preserve">43357226360001</t>
  </si>
  <si>
    <t xml:space="preserve">43357Facebook»ITPros-Azure Direct-Sponsored Post_Trial-Video Ad-Free Account IT Pro - Hybrid»1x1»30s»SOC»ALL»CPC»LAL»D»UNK»SS»NA»Trials_ID</t>
  </si>
  <si>
    <t xml:space="preserve">43356226360001</t>
  </si>
  <si>
    <t xml:space="preserve">43356Facebook»ITPros-Azure Direct-Sponsored Post_Trial-Video Ad-Free Account IT Pro - Hybrid»1x1»30s»SOC»ALL»CPC»LAL»D»UNK»SS»NA»Trials_ID</t>
  </si>
  <si>
    <t xml:space="preserve">43355226360001</t>
  </si>
  <si>
    <t xml:space="preserve">43355Facebook»ITPros-Azure Direct-Sponsored Post_Trial-Video Ad-Free Account IT Pro - Hybrid»1x1»30s»SOC»ALL»CPC»LAL»D»UNK»SS»NA»Trials_ID</t>
  </si>
  <si>
    <t xml:space="preserve">43354226360001</t>
  </si>
  <si>
    <t xml:space="preserve">43354Facebook»ITPros-Azure Direct-Sponsored Post_Trial-Video Ad-Free Account IT Pro - Hybrid»1x1»30s»SOC»ALL»CPC»LAL»D»UNK»SS»NA»Trials_ID</t>
  </si>
  <si>
    <t xml:space="preserve">43353226360001</t>
  </si>
  <si>
    <t xml:space="preserve">43353Facebook»ITPros-Azure Direct-Sponsored Post_Trial-Video Ad-Free Account IT Pro - Hybrid»1x1»30s»SOC»ALL»CPC»LAL»D»UNK»SS»NA»Trials_ID</t>
  </si>
  <si>
    <t xml:space="preserve">43352226360001</t>
  </si>
  <si>
    <t xml:space="preserve">43352Facebook»ITPros-Azure Direct-Sponsored Post_Trial-Video Ad-Free Account IT Pro - Hybrid»1x1»30s»SOC»ALL»CPC»LAL»D»UNK»SS»NA»Trials_ID</t>
  </si>
  <si>
    <t xml:space="preserve">43358226496140</t>
  </si>
  <si>
    <t xml:space="preserve">43358Facebook»ITPros-Azure Direct-Sponsored Post_Trial-Video Ad-Free Account IT Pro - Hybrid»1x1»30s»SOC»ALL»CPC»RT»D»UNK»SS»NA»Trials_ID</t>
  </si>
  <si>
    <t xml:space="preserve">43357226496140</t>
  </si>
  <si>
    <t xml:space="preserve">43357Facebook»ITPros-Azure Direct-Sponsored Post_Trial-Video Ad-Free Account IT Pro - Hybrid»1x1»30s»SOC»ALL»CPC»RT»D»UNK»SS»NA»Trials_ID</t>
  </si>
  <si>
    <t xml:space="preserve">43356226496140</t>
  </si>
  <si>
    <t xml:space="preserve">43356Facebook»ITPros-Azure Direct-Sponsored Post_Trial-Video Ad-Free Account IT Pro - Hybrid»1x1»30s»SOC»ALL»CPC»RT»D»UNK»SS»NA»Trials_ID</t>
  </si>
  <si>
    <t xml:space="preserve">43355226496140</t>
  </si>
  <si>
    <t xml:space="preserve">43355Facebook»ITPros-Azure Direct-Sponsored Post_Trial-Video Ad-Free Account IT Pro - Hybrid»1x1»30s»SOC»ALL»CPC»RT»D»UNK»SS»NA»Trials_ID</t>
  </si>
  <si>
    <t xml:space="preserve">43354226496140</t>
  </si>
  <si>
    <t xml:space="preserve">43354Facebook»ITPros-Azure Direct-Sponsored Post_Trial-Video Ad-Free Account IT Pro - Hybrid»1x1»30s»SOC»ALL»CPC»RT»D»UNK»SS»NA»Trials_ID</t>
  </si>
  <si>
    <t xml:space="preserve">43353226496140</t>
  </si>
  <si>
    <t xml:space="preserve">43353Facebook»ITPros-Azure Direct-Sponsored Post_Trial-Video Ad-Free Account IT Pro - Hybrid»1x1»30s»SOC»ALL»CPC»RT»D»UNK»SS»NA»Trials_ID</t>
  </si>
  <si>
    <t xml:space="preserve">43352226496140</t>
  </si>
  <si>
    <t xml:space="preserve">43352Facebook»ITPros-Azure Direct-Sponsored Post_Trial-Video Ad-Free Account IT Pro - Hybrid»1x1»30s»SOC»ALL»CPC»RT»D»UNK»SS»NA»Trials_ID</t>
  </si>
  <si>
    <t xml:space="preserve">43358226359995</t>
  </si>
  <si>
    <t xml:space="preserve">43358Facebook»ITPros-Azure Direct-Sponsored Post_Trial-Video Ad-Free Account IT Pro - Migration»1x1»30s»SOC»ALL»CPC»LAL»D»UNK»SS»NA»Trials_ID</t>
  </si>
  <si>
    <t xml:space="preserve">43357226359995</t>
  </si>
  <si>
    <t xml:space="preserve">43357Facebook»ITPros-Azure Direct-Sponsored Post_Trial-Video Ad-Free Account IT Pro - Migration»1x1»30s»SOC»ALL»CPC»LAL»D»UNK»SS»NA»Trials_ID</t>
  </si>
  <si>
    <t xml:space="preserve">43356226359995</t>
  </si>
  <si>
    <t xml:space="preserve">43356Facebook»ITPros-Azure Direct-Sponsored Post_Trial-Video Ad-Free Account IT Pro - Migration»1x1»30s»SOC»ALL»CPC»LAL»D»UNK»SS»NA»Trials_ID</t>
  </si>
  <si>
    <t xml:space="preserve">43355226359995</t>
  </si>
  <si>
    <t xml:space="preserve">43355Facebook»ITPros-Azure Direct-Sponsored Post_Trial-Video Ad-Free Account IT Pro - Migration»1x1»30s»SOC»ALL»CPC»LAL»D»UNK»SS»NA»Trials_ID</t>
  </si>
  <si>
    <t xml:space="preserve">43354226359995</t>
  </si>
  <si>
    <t xml:space="preserve">43354Facebook»ITPros-Azure Direct-Sponsored Post_Trial-Video Ad-Free Account IT Pro - Migration»1x1»30s»SOC»ALL»CPC»LAL»D»UNK»SS»NA»Trials_ID</t>
  </si>
  <si>
    <t xml:space="preserve">43353226359995</t>
  </si>
  <si>
    <t xml:space="preserve">43353Facebook»ITPros-Azure Direct-Sponsored Post_Trial-Video Ad-Free Account IT Pro - Migration»1x1»30s»SOC»ALL»CPC»LAL»D»UNK»SS»NA»Trials_ID</t>
  </si>
  <si>
    <t xml:space="preserve">43352226359995</t>
  </si>
  <si>
    <t xml:space="preserve">43352Facebook»ITPros-Azure Direct-Sponsored Post_Trial-Video Ad-Free Account IT Pro - Migration»1x1»30s»SOC»ALL»CPC»LAL»D»UNK»SS»NA»Trials_ID</t>
  </si>
  <si>
    <t xml:space="preserve">43358226496137</t>
  </si>
  <si>
    <t xml:space="preserve">43358Facebook»ITPros-Azure Direct-Sponsored Post_Trial-Video Ad-Free Account IT Pro - Migration»1x1»30s»SOC»ALL»CPC»RT»D»UNK»SS»NA»Trials_ID</t>
  </si>
  <si>
    <t xml:space="preserve">43357226496137</t>
  </si>
  <si>
    <t xml:space="preserve">43357Facebook»ITPros-Azure Direct-Sponsored Post_Trial-Video Ad-Free Account IT Pro - Migration»1x1»30s»SOC»ALL»CPC»RT»D»UNK»SS»NA»Trials_ID</t>
  </si>
  <si>
    <t xml:space="preserve">43356226496137</t>
  </si>
  <si>
    <t xml:space="preserve">43356Facebook»ITPros-Azure Direct-Sponsored Post_Trial-Video Ad-Free Account IT Pro - Migration»1x1»30s»SOC»ALL»CPC»RT»D»UNK»SS»NA»Trials_ID</t>
  </si>
  <si>
    <t xml:space="preserve">43355226496137</t>
  </si>
  <si>
    <t xml:space="preserve">43355Facebook»ITPros-Azure Direct-Sponsored Post_Trial-Video Ad-Free Account IT Pro - Migration»1x1»30s»SOC»ALL»CPC»RT»D»UNK»SS»NA»Trials_ID</t>
  </si>
  <si>
    <t xml:space="preserve">43354226496137</t>
  </si>
  <si>
    <t xml:space="preserve">43354Facebook»ITPros-Azure Direct-Sponsored Post_Trial-Video Ad-Free Account IT Pro - Migration»1x1»30s»SOC»ALL»CPC»RT»D»UNK»SS»NA»Trials_ID</t>
  </si>
  <si>
    <t xml:space="preserve">43353226496137</t>
  </si>
  <si>
    <t xml:space="preserve">43353Facebook»ITPros-Azure Direct-Sponsored Post_Trial-Video Ad-Free Account IT Pro - Migration»1x1»30s»SOC»ALL»CPC»RT»D»UNK»SS»NA»Trials_ID</t>
  </si>
  <si>
    <t xml:space="preserve">43352226496137</t>
  </si>
  <si>
    <t xml:space="preserve">43352Facebook»ITPros-Azure Direct-Sponsored Post_Trial-Video Ad-Free Account IT Pro - Migration»1x1»30s»SOC»ALL»CPC»RT»D»UNK»SS»NA»Trials_ID</t>
  </si>
  <si>
    <t xml:space="preserve">43358226360007</t>
  </si>
  <si>
    <t xml:space="preserve">43358Facebook»ITPros-Azure Direct-Sponsored Post_Trial-Video Ad-Free Account IT Pro - Secure»1x1»30s»SOC»ALL»CPC»LAL»D»UNK»SS»NA»Trials_ID</t>
  </si>
  <si>
    <t xml:space="preserve">43357226360007</t>
  </si>
  <si>
    <t xml:space="preserve">43357Facebook»ITPros-Azure Direct-Sponsored Post_Trial-Video Ad-Free Account IT Pro - Secure»1x1»30s»SOC»ALL»CPC»LAL»D»UNK»SS»NA»Trials_ID</t>
  </si>
  <si>
    <t xml:space="preserve">43356226360007</t>
  </si>
  <si>
    <t xml:space="preserve">43356Facebook»ITPros-Azure Direct-Sponsored Post_Trial-Video Ad-Free Account IT Pro - Secure»1x1»30s»SOC»ALL»CPC»LAL»D»UNK»SS»NA»Trials_ID</t>
  </si>
  <si>
    <t xml:space="preserve">43355226360007</t>
  </si>
  <si>
    <t xml:space="preserve">43355Facebook»ITPros-Azure Direct-Sponsored Post_Trial-Video Ad-Free Account IT Pro - Secure»1x1»30s»SOC»ALL»CPC»LAL»D»UNK»SS»NA»Trials_ID</t>
  </si>
  <si>
    <t xml:space="preserve">43354226360007</t>
  </si>
  <si>
    <t xml:space="preserve">43354Facebook»ITPros-Azure Direct-Sponsored Post_Trial-Video Ad-Free Account IT Pro - Secure»1x1»30s»SOC»ALL»CPC»LAL»D»UNK»SS»NA»Trials_ID</t>
  </si>
  <si>
    <t xml:space="preserve">43353226360007</t>
  </si>
  <si>
    <t xml:space="preserve">43353Facebook»ITPros-Azure Direct-Sponsored Post_Trial-Video Ad-Free Account IT Pro - Secure»1x1»30s»SOC»ALL»CPC»LAL»D»UNK»SS»NA»Trials_ID</t>
  </si>
  <si>
    <t xml:space="preserve">43352226360007</t>
  </si>
  <si>
    <t xml:space="preserve">43352Facebook»ITPros-Azure Direct-Sponsored Post_Trial-Video Ad-Free Account IT Pro - Secure»1x1»30s»SOC»ALL»CPC»LAL»D»UNK»SS»NA»Trials_ID</t>
  </si>
  <si>
    <t xml:space="preserve">43358226496143</t>
  </si>
  <si>
    <t xml:space="preserve">43358Facebook»ITPros-Azure Direct-Sponsored Post_Trial-Video Ad-Free Account IT Pro - Secure»1x1»30s»SOC»ALL»CPC»RT»D»UNK»SS»NA»Trials_ID</t>
  </si>
  <si>
    <t xml:space="preserve">43357226496143</t>
  </si>
  <si>
    <t xml:space="preserve">43357Facebook»ITPros-Azure Direct-Sponsored Post_Trial-Video Ad-Free Account IT Pro - Secure»1x1»30s»SOC»ALL»CPC»RT»D»UNK»SS»NA»Trials_ID</t>
  </si>
  <si>
    <t xml:space="preserve">43356226496143</t>
  </si>
  <si>
    <t xml:space="preserve">43356Facebook»ITPros-Azure Direct-Sponsored Post_Trial-Video Ad-Free Account IT Pro - Secure»1x1»30s»SOC»ALL»CPC»RT»D»UNK»SS»NA»Trials_ID</t>
  </si>
  <si>
    <t xml:space="preserve">43355226496143</t>
  </si>
  <si>
    <t xml:space="preserve">43355Facebook»ITPros-Azure Direct-Sponsored Post_Trial-Video Ad-Free Account IT Pro - Secure»1x1»30s»SOC»ALL»CPC»RT»D»UNK»SS»NA»Trials_ID</t>
  </si>
  <si>
    <t xml:space="preserve">43354226496143</t>
  </si>
  <si>
    <t xml:space="preserve">43354Facebook»ITPros-Azure Direct-Sponsored Post_Trial-Video Ad-Free Account IT Pro - Secure»1x1»30s»SOC»ALL»CPC»RT»D»UNK»SS»NA»Trials_ID</t>
  </si>
  <si>
    <t xml:space="preserve">43353226496143</t>
  </si>
  <si>
    <t xml:space="preserve">43353Facebook»ITPros-Azure Direct-Sponsored Post_Trial-Video Ad-Free Account IT Pro - Secure»1x1»30s»SOC»ALL»CPC»RT»D»UNK»SS»NA»Trials_ID</t>
  </si>
  <si>
    <t xml:space="preserve">43352226496143</t>
  </si>
  <si>
    <t xml:space="preserve">43352Facebook»ITPros-Azure Direct-Sponsored Post_Trial-Video Ad-Free Account IT Pro - Secure»1x1»30s»SOC»ALL»CPC»RT»D»UNK»SS»NA»Trials_ID</t>
  </si>
  <si>
    <t xml:space="preserve">43358226360016</t>
  </si>
  <si>
    <t xml:space="preserve">43358Facebook»ITPros-Azure Direct-Sponsored Post-Video Ad-Free Account IT Pro - hybrid»1x1»30s»SOC»ALL»CPC»AUT»D»UNK»SS»NA»Trials_ID</t>
  </si>
  <si>
    <t xml:space="preserve">43357226360016</t>
  </si>
  <si>
    <t xml:space="preserve">43357Facebook»ITPros-Azure Direct-Sponsored Post-Video Ad-Free Account IT Pro - hybrid»1x1»30s»SOC»ALL»CPC»AUT»D»UNK»SS»NA»Trials_ID</t>
  </si>
  <si>
    <t xml:space="preserve">43356226360016</t>
  </si>
  <si>
    <t xml:space="preserve">43356Facebook»ITPros-Azure Direct-Sponsored Post-Video Ad-Free Account IT Pro - hybrid»1x1»30s»SOC»ALL»CPC»AUT»D»UNK»SS»NA»Trials_ID</t>
  </si>
  <si>
    <t xml:space="preserve">43355226360016</t>
  </si>
  <si>
    <t xml:space="preserve">43355Facebook»ITPros-Azure Direct-Sponsored Post-Video Ad-Free Account IT Pro - hybrid»1x1»30s»SOC»ALL»CPC»AUT»D»UNK»SS»NA»Trials_ID</t>
  </si>
  <si>
    <t xml:space="preserve">43354226360016</t>
  </si>
  <si>
    <t xml:space="preserve">43354Facebook»ITPros-Azure Direct-Sponsored Post-Video Ad-Free Account IT Pro - hybrid»1x1»30s»SOC»ALL»CPC»AUT»D»UNK»SS»NA»Trials_ID</t>
  </si>
  <si>
    <t xml:space="preserve">43353226360016</t>
  </si>
  <si>
    <t xml:space="preserve">43353Facebook»ITPros-Azure Direct-Sponsored Post-Video Ad-Free Account IT Pro - hybrid»1x1»30s»SOC»ALL»CPC»AUT»D»UNK»SS»NA»Trials_ID</t>
  </si>
  <si>
    <t xml:space="preserve">43352226360016</t>
  </si>
  <si>
    <t xml:space="preserve">43352Facebook»ITPros-Azure Direct-Sponsored Post-Video Ad-Free Account IT Pro - hybrid»1x1»30s»SOC»ALL»CPC»AUT»D»UNK»SS»NA»Trials_ID</t>
  </si>
  <si>
    <t xml:space="preserve">43358226360010</t>
  </si>
  <si>
    <t xml:space="preserve">43358Facebook»ITPros-Azure Direct-Sponsored Post-Video Ad-Free Account IT Pro - Migration»1x1»30s»SOC»ALL»CPC»AUT»D»UNK»SS»NA»Trials_ID</t>
  </si>
  <si>
    <t xml:space="preserve">43357226360010</t>
  </si>
  <si>
    <t xml:space="preserve">43357Facebook»ITPros-Azure Direct-Sponsored Post-Video Ad-Free Account IT Pro - Migration»1x1»30s»SOC»ALL»CPC»AUT»D»UNK»SS»NA»Trials_ID</t>
  </si>
  <si>
    <t xml:space="preserve">43356226360010</t>
  </si>
  <si>
    <t xml:space="preserve">43356Facebook»ITPros-Azure Direct-Sponsored Post-Video Ad-Free Account IT Pro - Migration»1x1»30s»SOC»ALL»CPC»AUT»D»UNK»SS»NA»Trials_ID</t>
  </si>
  <si>
    <t xml:space="preserve">43355226360010</t>
  </si>
  <si>
    <t xml:space="preserve">43355Facebook»ITPros-Azure Direct-Sponsored Post-Video Ad-Free Account IT Pro - Migration»1x1»30s»SOC»ALL»CPC»AUT»D»UNK»SS»NA»Trials_ID</t>
  </si>
  <si>
    <t xml:space="preserve">43354226360010</t>
  </si>
  <si>
    <t xml:space="preserve">43354Facebook»ITPros-Azure Direct-Sponsored Post-Video Ad-Free Account IT Pro - Migration»1x1»30s»SOC»ALL»CPC»AUT»D»UNK»SS»NA»Trials_ID</t>
  </si>
  <si>
    <t xml:space="preserve">43353226360010</t>
  </si>
  <si>
    <t xml:space="preserve">43353Facebook»ITPros-Azure Direct-Sponsored Post-Video Ad-Free Account IT Pro - Migration»1x1»30s»SOC»ALL»CPC»AUT»D»UNK»SS»NA»Trials_ID</t>
  </si>
  <si>
    <t xml:space="preserve">43352226360010</t>
  </si>
  <si>
    <t xml:space="preserve">43352Facebook»ITPros-Azure Direct-Sponsored Post-Video Ad-Free Account IT Pro - Migration»1x1»30s»SOC»ALL»CPC»AUT»D»UNK»SS»NA»Trials_ID</t>
  </si>
  <si>
    <t xml:space="preserve">43358226360022</t>
  </si>
  <si>
    <t xml:space="preserve">43358Facebook»ITPros-Azure Direct-Sponsored Post-Video Ad-Free Account IT Pro - Secure»1x1»30s»SOC»ALL»CPC»AUT»D»UNK»SS»NA»Trials_ID</t>
  </si>
  <si>
    <t xml:space="preserve">43357226360022</t>
  </si>
  <si>
    <t xml:space="preserve">43357Facebook»ITPros-Azure Direct-Sponsored Post-Video Ad-Free Account IT Pro - Secure»1x1»30s»SOC»ALL»CPC»AUT»D»UNK»SS»NA»Trials_ID</t>
  </si>
  <si>
    <t xml:space="preserve">43356226360022</t>
  </si>
  <si>
    <t xml:space="preserve">43356Facebook»ITPros-Azure Direct-Sponsored Post-Video Ad-Free Account IT Pro - Secure»1x1»30s»SOC»ALL»CPC»AUT»D»UNK»SS»NA»Trials_ID</t>
  </si>
  <si>
    <t xml:space="preserve">43355226360022</t>
  </si>
  <si>
    <t xml:space="preserve">43355Facebook»ITPros-Azure Direct-Sponsored Post-Video Ad-Free Account IT Pro - Secure»1x1»30s»SOC»ALL»CPC»AUT»D»UNK»SS»NA»Trials_ID</t>
  </si>
  <si>
    <t xml:space="preserve">43354226360022</t>
  </si>
  <si>
    <t xml:space="preserve">43354Facebook»ITPros-Azure Direct-Sponsored Post-Video Ad-Free Account IT Pro - Secure»1x1»30s»SOC»ALL»CPC»AUT»D»UNK»SS»NA»Trials_ID</t>
  </si>
  <si>
    <t xml:space="preserve">43353226360022</t>
  </si>
  <si>
    <t xml:space="preserve">43353Facebook»ITPros-Azure Direct-Sponsored Post-Video Ad-Free Account IT Pro - Secure»1x1»30s»SOC»ALL»CPC»AUT»D»UNK»SS»NA»Trials_ID</t>
  </si>
  <si>
    <t xml:space="preserve">43352226360022</t>
  </si>
  <si>
    <t xml:space="preserve">43352Facebook»ITPros-Azure Direct-Sponsored Post-Video Ad-Free Account IT Pro - Secure»1x1»30s»SOC»ALL»CPC»AUT»D»UNK»SS»NA»Trials_ID</t>
  </si>
  <si>
    <t xml:space="preserve">43352223297413</t>
  </si>
  <si>
    <t xml:space="preserve">43352Facebook»AZP-Canvas-Look a Like-Trial»1x1»Canvas»OTH»MO»CPM»PRO»X»UNK»TP»OT»Canvas-Trial</t>
  </si>
  <si>
    <t xml:space="preserve">AzurePlatform_FBCTCcanvaspage-StartFreeCTA-Img2_JPN_1080x143 _SOC_Plat_Japanese_NA_Standard_NA_NA_T2_1</t>
  </si>
  <si>
    <t xml:space="preserve">43352223298805</t>
  </si>
  <si>
    <t xml:space="preserve">43352Facebook»AZP-Canvas-Interest&amp;Role-Trial»1x1»Canvas»OTH»MO»CPM»PRO»X»UNK»TP»OT»Canvas-Trial</t>
  </si>
  <si>
    <t xml:space="preserve">AzurePlatform_FBCTCcanvaspage-BuyNowCTA-Img3_JPN_1080x162_SOC_Plat_Japanese_NA_Standard_NA_BN_T3_1</t>
  </si>
  <si>
    <t xml:space="preserve">43352226269941</t>
  </si>
  <si>
    <t xml:space="preserve">43352Facebook»AZP-Canvas-Retargeting-Trial»1x1»Canvas»SOC»MO»CPM»PRO»W»UNK»SS»OT»Canvas-Trial</t>
  </si>
  <si>
    <t xml:space="preserve">AZR_FBCTCcanvaspage-BuyNowCTA-Img3_JPN_1080x162_SOC_Plat_Japanese_NA_Standard_NA_BN_T3_1</t>
  </si>
  <si>
    <t xml:space="preserve">43352227208508</t>
  </si>
  <si>
    <t xml:space="preserve">43352Facebook»AZP-Canvas-iine-Trial»1x1»Canvas»SOC»MO»CPM»AUT»W»NA»SS»NA»Canvas-Trial</t>
  </si>
  <si>
    <t xml:space="preserve">43353223297413</t>
  </si>
  <si>
    <t xml:space="preserve">43353Facebook»AZP-Canvas-Look a Like-Trial»1x1»Canvas»OTH»MO»CPM»PRO»X»UNK»TP»OT»Canvas-Trial</t>
  </si>
  <si>
    <t xml:space="preserve">43353223298805</t>
  </si>
  <si>
    <t xml:space="preserve">43353Facebook»AZP-Canvas-Interest&amp;Role-Trial»1x1»Canvas»OTH»MO»CPM»PRO»X»UNK»TP»OT»Canvas-Trial</t>
  </si>
  <si>
    <t xml:space="preserve">43353226269941</t>
  </si>
  <si>
    <t xml:space="preserve">43353Facebook»AZP-Canvas-Retargeting-Trial»1x1»Canvas»SOC»MO»CPM»PRO»W»UNK»SS»OT»Canvas-Trial</t>
  </si>
  <si>
    <t xml:space="preserve">43353227208508</t>
  </si>
  <si>
    <t xml:space="preserve">43353Facebook»AZP-Canvas-iine-Trial»1x1»Canvas»SOC»MO»CPM»AUT»W»NA»SS»NA»Canvas-Trial</t>
  </si>
  <si>
    <t xml:space="preserve">43354223297413</t>
  </si>
  <si>
    <t xml:space="preserve">43354Facebook»AZP-Canvas-Look a Like-Trial»1x1»Canvas»OTH»MO»CPM»PRO»X»UNK»TP»OT»Canvas-Trial</t>
  </si>
  <si>
    <t xml:space="preserve">43354223298805</t>
  </si>
  <si>
    <t xml:space="preserve">43354Facebook»AZP-Canvas-Interest&amp;Role-Trial»1x1»Canvas»OTH»MO»CPM»PRO»X»UNK»TP»OT»Canvas-Trial</t>
  </si>
  <si>
    <t xml:space="preserve">43354226269941</t>
  </si>
  <si>
    <t xml:space="preserve">43354Facebook»AZP-Canvas-Retargeting-Trial»1x1»Canvas»SOC»MO»CPM»PRO»W»UNK»SS»OT»Canvas-Trial</t>
  </si>
  <si>
    <t xml:space="preserve">43354227208508</t>
  </si>
  <si>
    <t xml:space="preserve">43354Facebook»AZP-Canvas-iine-Trial»1x1»Canvas»SOC»MO»CPM»AUT»W»NA»SS»NA»Canvas-Trial</t>
  </si>
  <si>
    <t xml:space="preserve">43355223297413</t>
  </si>
  <si>
    <t xml:space="preserve">43355Facebook»AZP-Canvas-Look a Like-Trial»1x1»Canvas»OTH»MO»CPM»PRO»X»UNK»TP»OT»Canvas-Trial</t>
  </si>
  <si>
    <t xml:space="preserve">43355223298805</t>
  </si>
  <si>
    <t xml:space="preserve">43355Facebook»AZP-Canvas-Interest&amp;Role-Trial»1x1»Canvas»OTH»MO»CPM»PRO»X»UNK»TP»OT»Canvas-Trial</t>
  </si>
  <si>
    <t xml:space="preserve">43355226269941</t>
  </si>
  <si>
    <t xml:space="preserve">43355Facebook»AZP-Canvas-Retargeting-Trial»1x1»Canvas»SOC»MO»CPM»PRO»W»UNK»SS»OT»Canvas-Trial</t>
  </si>
  <si>
    <t xml:space="preserve">43355227208508</t>
  </si>
  <si>
    <t xml:space="preserve">43355Facebook»AZP-Canvas-iine-Trial»1x1»Canvas»SOC»MO»CPM»AUT»W»NA»SS»NA»Canvas-Trial</t>
  </si>
  <si>
    <t xml:space="preserve">43356223297413</t>
  </si>
  <si>
    <t xml:space="preserve">43356Facebook»AZP-Canvas-Look a Like-Trial»1x1»Canvas»OTH»MO»CPM»PRO»X»UNK»TP»OT»Canvas-Trial</t>
  </si>
  <si>
    <t xml:space="preserve">43356223298805</t>
  </si>
  <si>
    <t xml:space="preserve">43356Facebook»AZP-Canvas-Interest&amp;Role-Trial»1x1»Canvas»OTH»MO»CPM»PRO»X»UNK»TP»OT»Canvas-Trial</t>
  </si>
  <si>
    <t xml:space="preserve">43356226269941</t>
  </si>
  <si>
    <t xml:space="preserve">43356Facebook»AZP-Canvas-Retargeting-Trial»1x1»Canvas»SOC»MO»CPM»PRO»W»UNK»SS»OT»Canvas-Trial</t>
  </si>
  <si>
    <t xml:space="preserve">43356227208508</t>
  </si>
  <si>
    <t xml:space="preserve">43356Facebook»AZP-Canvas-iine-Trial»1x1»Canvas»SOC»MO»CPM»AUT»W»NA»SS»NA»Canvas-Trial</t>
  </si>
  <si>
    <t xml:space="preserve">43357223297413</t>
  </si>
  <si>
    <t xml:space="preserve">43357Facebook»AZP-Canvas-Look a Like-Trial»1x1»Canvas»OTH»MO»CPM»PRO»X»UNK»TP»OT»Canvas-Trial</t>
  </si>
  <si>
    <t xml:space="preserve">43357223298805</t>
  </si>
  <si>
    <t xml:space="preserve">43357Facebook»AZP-Canvas-Interest&amp;Role-Trial»1x1»Canvas»OTH»MO»CPM»PRO»X»UNK»TP»OT»Canvas-Trial</t>
  </si>
  <si>
    <t xml:space="preserve">43357226269941</t>
  </si>
  <si>
    <t xml:space="preserve">43357Facebook»AZP-Canvas-Retargeting-Trial»1x1»Canvas»SOC»MO»CPM»PRO»W»UNK»SS»OT»Canvas-Trial</t>
  </si>
  <si>
    <t xml:space="preserve">43357227208508</t>
  </si>
  <si>
    <t xml:space="preserve">43357Facebook»AZP-Canvas-iine-Trial»1x1»Canvas»SOC»MO»CPM»AUT»W»NA»SS»NA»Canvas-Trial</t>
  </si>
  <si>
    <t xml:space="preserve">43358223297413</t>
  </si>
  <si>
    <t xml:space="preserve">43358Facebook»AZP-Canvas-Look a Like-Trial»1x1»Canvas»OTH»MO»CPM»PRO»X»UNK»TP»OT»Canvas-Trial</t>
  </si>
  <si>
    <t xml:space="preserve">43358223298805</t>
  </si>
  <si>
    <t xml:space="preserve">43358Facebook»AZP-Canvas-Interest&amp;Role-Trial»1x1»Canvas»OTH»MO»CPM»PRO»X»UNK»TP»OT»Canvas-Trial</t>
  </si>
  <si>
    <t xml:space="preserve">43358226269941</t>
  </si>
  <si>
    <t xml:space="preserve">43358Facebook»AZP-Canvas-Retargeting-Trial»1x1»Canvas»SOC»MO»CPM»PRO»W»UNK»SS»OT»Canvas-Trial</t>
  </si>
  <si>
    <t xml:space="preserve">43358227208508</t>
  </si>
  <si>
    <t xml:space="preserve">43358Facebook»AZP-Canvas-iine-Trial»1x1»Canvas»SOC»MO»CPM»AUT»W»NA»SS»NA»Canvas-Trial</t>
  </si>
  <si>
    <t xml:space="preserve">Cost correct using the Lookup Key 2 on the left to match placements and pull in Impressions and Spend. (Lookup Key 1 as backup)</t>
  </si>
  <si>
    <t xml:space="preserve">Use the Check tab to QA numbers against what was matching in cost-correction.
If there is greater than 5% discrepancy in spend, then append.</t>
  </si>
  <si>
    <t xml:space="preserve">Key</t>
  </si>
  <si>
    <t xml:space="preserve">Sum of Publisher Impressions</t>
  </si>
  <si>
    <t xml:space="preserve">Sum of Net Media Cost</t>
  </si>
  <si>
    <t xml:space="preserve">43352223684451102901882</t>
  </si>
  <si>
    <t xml:space="preserve">43352223691840102902950</t>
  </si>
  <si>
    <t xml:space="preserve">43352223691798102916347</t>
  </si>
  <si>
    <t xml:space="preserve">43352223691837103053314</t>
  </si>
  <si>
    <t xml:space="preserve">43352227792313105216995</t>
  </si>
  <si>
    <t xml:space="preserve">43352227522759105130122</t>
  </si>
  <si>
    <t xml:space="preserve">43352227619001105130125</t>
  </si>
  <si>
    <t xml:space="preserve">43352227522762105216992</t>
  </si>
  <si>
    <t xml:space="preserve">43352223691804103058717</t>
  </si>
  <si>
    <t xml:space="preserve">43352223691762102902974</t>
  </si>
  <si>
    <t xml:space="preserve">43352223691810103058711</t>
  </si>
  <si>
    <t xml:space="preserve">43352223691768102902971</t>
  </si>
  <si>
    <t xml:space="preserve">43352223691807102900685</t>
  </si>
  <si>
    <t xml:space="preserve">43352223691813103053320</t>
  </si>
  <si>
    <t xml:space="preserve">43352223691816102916341</t>
  </si>
  <si>
    <t xml:space="preserve">43352223691774102916356</t>
  </si>
  <si>
    <t xml:space="preserve">43352223691828102902956</t>
  </si>
  <si>
    <t xml:space="preserve">43352223691786103058720</t>
  </si>
  <si>
    <t xml:space="preserve">43352223691831102913800</t>
  </si>
  <si>
    <t xml:space="preserve">43352223691789102900691</t>
  </si>
  <si>
    <t xml:space="preserve">43352223691834102902953</t>
  </si>
  <si>
    <t xml:space="preserve">43352223691819102900682</t>
  </si>
  <si>
    <t xml:space="preserve">43352223691777102900697</t>
  </si>
  <si>
    <t xml:space="preserve">43352223691825102916338</t>
  </si>
  <si>
    <t xml:space="preserve">43352223691783103058723</t>
  </si>
  <si>
    <t xml:space="preserve">43352223691822103058708</t>
  </si>
  <si>
    <t xml:space="preserve">43352223691780103058726</t>
  </si>
  <si>
    <t xml:space="preserve">43352224009494103236186</t>
  </si>
  <si>
    <t xml:space="preserve">43352224009494103236189</t>
  </si>
  <si>
    <t xml:space="preserve">43352224009494103237290</t>
  </si>
  <si>
    <t xml:space="preserve">43352224009494103237293</t>
  </si>
  <si>
    <t xml:space="preserve">43352224010415103040320</t>
  </si>
  <si>
    <t xml:space="preserve">43352224010415103043329</t>
  </si>
  <si>
    <t xml:space="preserve">43352224010415103055394</t>
  </si>
  <si>
    <t xml:space="preserve">43352224010415103043341</t>
  </si>
  <si>
    <t xml:space="preserve">43352224010415103043338</t>
  </si>
  <si>
    <t xml:space="preserve">43352226360031104537129</t>
  </si>
  <si>
    <t xml:space="preserve">43352226360025104537132</t>
  </si>
  <si>
    <t xml:space="preserve">43352224416915103376981</t>
  </si>
  <si>
    <t xml:space="preserve">43352224560875103259766</t>
  </si>
  <si>
    <t xml:space="preserve">43352224560863103256577</t>
  </si>
  <si>
    <t xml:space="preserve">43352226360016104456278</t>
  </si>
  <si>
    <t xml:space="preserve">43352226360010104458003</t>
  </si>
  <si>
    <t xml:space="preserve">43352226360022104455906</t>
  </si>
  <si>
    <t xml:space="preserve">43352226360001104456278</t>
  </si>
  <si>
    <t xml:space="preserve">43352226359938104456278</t>
  </si>
  <si>
    <t xml:space="preserve">43352226359941104455906</t>
  </si>
  <si>
    <t xml:space="preserve">43352224399962103235146</t>
  </si>
  <si>
    <t xml:space="preserve">43352224334170103235146</t>
  </si>
  <si>
    <t xml:space="preserve">43352224334170103230847</t>
  </si>
  <si>
    <t xml:space="preserve">43352223560299102854019</t>
  </si>
  <si>
    <t xml:space="preserve">43352223560356102854016</t>
  </si>
  <si>
    <t xml:space="preserve">43352223560350103006547</t>
  </si>
  <si>
    <t xml:space="preserve">43352223560344102861246</t>
  </si>
  <si>
    <t xml:space="preserve">43352223560338102853603</t>
  </si>
  <si>
    <t xml:space="preserve">43352223560332102854037</t>
  </si>
  <si>
    <t xml:space="preserve">43352223298805102630373</t>
  </si>
  <si>
    <t xml:space="preserve">43352223298805102609621</t>
  </si>
  <si>
    <t xml:space="preserve">43352226269941104061321</t>
  </si>
  <si>
    <t xml:space="preserve">43352227208508102609621</t>
  </si>
  <si>
    <t xml:space="preserve">43353223684451102901882</t>
  </si>
  <si>
    <t xml:space="preserve">43353223691840102902950</t>
  </si>
  <si>
    <t xml:space="preserve">43353223691798102916347</t>
  </si>
  <si>
    <t xml:space="preserve">43353223691837103053314</t>
  </si>
  <si>
    <t xml:space="preserve">43353227792313105216995</t>
  </si>
  <si>
    <t xml:space="preserve">43353223691804103058717</t>
  </si>
  <si>
    <t xml:space="preserve">43353223691762102902974</t>
  </si>
  <si>
    <t xml:space="preserve">43353223691810103058711</t>
  </si>
  <si>
    <t xml:space="preserve">43353223691768102902971</t>
  </si>
  <si>
    <t xml:space="preserve">43353223691813103053320</t>
  </si>
  <si>
    <t xml:space="preserve">43353223691816102916341</t>
  </si>
  <si>
    <t xml:space="preserve">43353223691774102916356</t>
  </si>
  <si>
    <t xml:space="preserve">43353223691786103058720</t>
  </si>
  <si>
    <t xml:space="preserve">43353223691831102913800</t>
  </si>
  <si>
    <t xml:space="preserve">43353223691789102900691</t>
  </si>
  <si>
    <t xml:space="preserve">43353223691819102900682</t>
  </si>
  <si>
    <t xml:space="preserve">43353223691777102900697</t>
  </si>
  <si>
    <t xml:space="preserve">43353223691825102916338</t>
  </si>
  <si>
    <t xml:space="preserve">43353223691783103058723</t>
  </si>
  <si>
    <t xml:space="preserve">43353223691822103058708</t>
  </si>
  <si>
    <t xml:space="preserve">43353223691780103058726</t>
  </si>
  <si>
    <t xml:space="preserve">43353223691801103053323</t>
  </si>
  <si>
    <t xml:space="preserve">43353223691795102900688</t>
  </si>
  <si>
    <t xml:space="preserve">43353227525720105130125</t>
  </si>
  <si>
    <t xml:space="preserve">43353227522771105130128</t>
  </si>
  <si>
    <t xml:space="preserve">43353223691765103053332</t>
  </si>
  <si>
    <t xml:space="preserve">43353223691771102902968</t>
  </si>
  <si>
    <t xml:space="preserve">43353224009494103236186</t>
  </si>
  <si>
    <t xml:space="preserve">43353224009494103236189</t>
  </si>
  <si>
    <t xml:space="preserve">43353224009494103237290</t>
  </si>
  <si>
    <t xml:space="preserve">43353224009494103237293</t>
  </si>
  <si>
    <t xml:space="preserve">43353224009494103235787</t>
  </si>
  <si>
    <t xml:space="preserve">43353224009494103350059</t>
  </si>
  <si>
    <t xml:space="preserve">43353224010415103040320</t>
  </si>
  <si>
    <t xml:space="preserve">43353224010415103055394</t>
  </si>
  <si>
    <t xml:space="preserve">43353224010415103043341</t>
  </si>
  <si>
    <t xml:space="preserve">43353224010415103043338</t>
  </si>
  <si>
    <t xml:space="preserve">43353224010415103048548</t>
  </si>
  <si>
    <t xml:space="preserve">43353226360031104537129</t>
  </si>
  <si>
    <t xml:space="preserve">43353226360025104537132</t>
  </si>
  <si>
    <t xml:space="preserve">43353224416915103376981</t>
  </si>
  <si>
    <t xml:space="preserve">43353224560875103259766</t>
  </si>
  <si>
    <t xml:space="preserve">43353224560863103256577</t>
  </si>
  <si>
    <t xml:space="preserve">43353226360016104456278</t>
  </si>
  <si>
    <t xml:space="preserve">43353226360010104458003</t>
  </si>
  <si>
    <t xml:space="preserve">43353226360022104455906</t>
  </si>
  <si>
    <t xml:space="preserve">43353226360001104456278</t>
  </si>
  <si>
    <t xml:space="preserve">43353226359938104456278</t>
  </si>
  <si>
    <t xml:space="preserve">43353224369893103256571</t>
  </si>
  <si>
    <t xml:space="preserve">43353224416918103256571</t>
  </si>
  <si>
    <t xml:space="preserve">43353224560884103259958</t>
  </si>
  <si>
    <t xml:space="preserve">43353224560872103259958</t>
  </si>
  <si>
    <t xml:space="preserve">43353224560866103259784</t>
  </si>
  <si>
    <t xml:space="preserve">43353224560860103377773</t>
  </si>
  <si>
    <t xml:space="preserve">43353224560857103377002</t>
  </si>
  <si>
    <t xml:space="preserve">43353224399962103235146</t>
  </si>
  <si>
    <t xml:space="preserve">43353224334170103235146</t>
  </si>
  <si>
    <t xml:space="preserve">43353223560299102854019</t>
  </si>
  <si>
    <t xml:space="preserve">43353223560356102854016</t>
  </si>
  <si>
    <t xml:space="preserve">43353223560344102861246</t>
  </si>
  <si>
    <t xml:space="preserve">43353223560338102853603</t>
  </si>
  <si>
    <t xml:space="preserve">43353223560332102854037</t>
  </si>
  <si>
    <t xml:space="preserve">43353227035833103235146</t>
  </si>
  <si>
    <t xml:space="preserve">43353227035833103230847</t>
  </si>
  <si>
    <t xml:space="preserve">43353224549481103235146</t>
  </si>
  <si>
    <t xml:space="preserve">43353223298805102609621</t>
  </si>
  <si>
    <t xml:space="preserve">43353226269941104061321</t>
  </si>
  <si>
    <t xml:space="preserve">43353226269941104060547</t>
  </si>
  <si>
    <t xml:space="preserve">43353227208508102609621</t>
  </si>
  <si>
    <t xml:space="preserve">43353223297413102609621</t>
  </si>
  <si>
    <t xml:space="preserve">43354223684451102901882</t>
  </si>
  <si>
    <t xml:space="preserve">43354223691840102902950</t>
  </si>
  <si>
    <t xml:space="preserve">43354223691798102916347</t>
  </si>
  <si>
    <t xml:space="preserve">43354223691837103053314</t>
  </si>
  <si>
    <t xml:space="preserve">43354223691810103058711</t>
  </si>
  <si>
    <t xml:space="preserve">43354223691828102902956</t>
  </si>
  <si>
    <t xml:space="preserve">43354223691831102913800</t>
  </si>
  <si>
    <t xml:space="preserve">43354223691789102900691</t>
  </si>
  <si>
    <t xml:space="preserve">43354223691834102902953</t>
  </si>
  <si>
    <t xml:space="preserve">43354223691777102900697</t>
  </si>
  <si>
    <t xml:space="preserve">43354223691825102916338</t>
  </si>
  <si>
    <t xml:space="preserve">43354223691822103058708</t>
  </si>
  <si>
    <t xml:space="preserve">43354227525720105130125</t>
  </si>
  <si>
    <t xml:space="preserve">43354223691792102901894</t>
  </si>
  <si>
    <t xml:space="preserve">43354224009494103236186</t>
  </si>
  <si>
    <t xml:space="preserve">43354224009494103236189</t>
  </si>
  <si>
    <t xml:space="preserve">43354224009494103237290</t>
  </si>
  <si>
    <t xml:space="preserve">43354224009494103237293</t>
  </si>
  <si>
    <t xml:space="preserve">43354224009494103350059</t>
  </si>
  <si>
    <t xml:space="preserve">43354224010415103040320</t>
  </si>
  <si>
    <t xml:space="preserve">43354224010415103055394</t>
  </si>
  <si>
    <t xml:space="preserve">43354224010415103043341</t>
  </si>
  <si>
    <t xml:space="preserve">43354224010415103043338</t>
  </si>
  <si>
    <t xml:space="preserve">43354224010415103048548</t>
  </si>
  <si>
    <t xml:space="preserve">43354224416915103376981</t>
  </si>
  <si>
    <t xml:space="preserve">43354224560875103259766</t>
  </si>
  <si>
    <t xml:space="preserve">43354226360001104456278</t>
  </si>
  <si>
    <t xml:space="preserve">43354226359938104456278</t>
  </si>
  <si>
    <t xml:space="preserve">43354224369893103256571</t>
  </si>
  <si>
    <t xml:space="preserve">43354224416918103256571</t>
  </si>
  <si>
    <t xml:space="preserve">43354224560884103259958</t>
  </si>
  <si>
    <t xml:space="preserve">43354224560872103259958</t>
  </si>
  <si>
    <t xml:space="preserve">43354226359947104537813</t>
  </si>
  <si>
    <t xml:space="preserve">43354224399962103235146</t>
  </si>
  <si>
    <t xml:space="preserve">43354224399962103230847</t>
  </si>
  <si>
    <t xml:space="preserve">43354224334170103235146</t>
  </si>
  <si>
    <t xml:space="preserve">43354223560299102854019</t>
  </si>
  <si>
    <t xml:space="preserve">43354223560356102854016</t>
  </si>
  <si>
    <t xml:space="preserve">43354223560350103006547</t>
  </si>
  <si>
    <t xml:space="preserve">43354223560344102861246</t>
  </si>
  <si>
    <t xml:space="preserve">43354223560338102853603</t>
  </si>
  <si>
    <t xml:space="preserve">43354223560332102854037</t>
  </si>
  <si>
    <t xml:space="preserve">43354226889143103230847</t>
  </si>
  <si>
    <t xml:space="preserve">43354223298805102630373</t>
  </si>
  <si>
    <t xml:space="preserve">43354223298805102609621</t>
  </si>
  <si>
    <t xml:space="preserve">43354226269941104061321</t>
  </si>
  <si>
    <t xml:space="preserve">43354227208508102609621</t>
  </si>
  <si>
    <t xml:space="preserve">43354223297413102609621</t>
  </si>
  <si>
    <t xml:space="preserve">43355223684451102901882</t>
  </si>
  <si>
    <t xml:space="preserve">43355223691840102902950</t>
  </si>
  <si>
    <t xml:space="preserve">43355223691798102916347</t>
  </si>
  <si>
    <t xml:space="preserve">43355223691837103053314</t>
  </si>
  <si>
    <t xml:space="preserve">43355227792313105216995</t>
  </si>
  <si>
    <t xml:space="preserve">43355227522759105130122</t>
  </si>
  <si>
    <t xml:space="preserve">43355227619001105130125</t>
  </si>
  <si>
    <t xml:space="preserve">43355223691828102902956</t>
  </si>
  <si>
    <t xml:space="preserve">43355223691831102913800</t>
  </si>
  <si>
    <t xml:space="preserve">43355223691789102900691</t>
  </si>
  <si>
    <t xml:space="preserve">43355223691834102902953</t>
  </si>
  <si>
    <t xml:space="preserve">43355223691819102900682</t>
  </si>
  <si>
    <t xml:space="preserve">43355223691777102900697</t>
  </si>
  <si>
    <t xml:space="preserve">43355223691825102916338</t>
  </si>
  <si>
    <t xml:space="preserve">43355223691822103058708</t>
  </si>
  <si>
    <t xml:space="preserve">43355223691780103058726</t>
  </si>
  <si>
    <t xml:space="preserve">43355223691801103053323</t>
  </si>
  <si>
    <t xml:space="preserve">43355223691795102900688</t>
  </si>
  <si>
    <t xml:space="preserve">43355227525720105130125</t>
  </si>
  <si>
    <t xml:space="preserve">43355227522768105216995</t>
  </si>
  <si>
    <t xml:space="preserve">43355224009494103236186</t>
  </si>
  <si>
    <t xml:space="preserve">43355224009494103237290</t>
  </si>
  <si>
    <t xml:space="preserve">43355224009494103237293</t>
  </si>
  <si>
    <t xml:space="preserve">43355224010415103040320</t>
  </si>
  <si>
    <t xml:space="preserve">43355224010415103055394</t>
  </si>
  <si>
    <t xml:space="preserve">43355224010415103043341</t>
  </si>
  <si>
    <t xml:space="preserve">43355224010415103043338</t>
  </si>
  <si>
    <t xml:space="preserve">43355224010415103048548</t>
  </si>
  <si>
    <t xml:space="preserve">43355224416915103376981</t>
  </si>
  <si>
    <t xml:space="preserve">43355224560875103259766</t>
  </si>
  <si>
    <t xml:space="preserve">43355226360001104456278</t>
  </si>
  <si>
    <t xml:space="preserve">43355226359938104456278</t>
  </si>
  <si>
    <t xml:space="preserve">43355224369893103256571</t>
  </si>
  <si>
    <t xml:space="preserve">43355224416918103256571</t>
  </si>
  <si>
    <t xml:space="preserve">43355224560884103259958</t>
  </si>
  <si>
    <t xml:space="preserve">43355224560872103259958</t>
  </si>
  <si>
    <t xml:space="preserve">43355226359947104537813</t>
  </si>
  <si>
    <t xml:space="preserve">43355224334170103235146</t>
  </si>
  <si>
    <t xml:space="preserve">43355223560299102854019</t>
  </si>
  <si>
    <t xml:space="preserve">43355223560350103006547</t>
  </si>
  <si>
    <t xml:space="preserve">43355223560344102861246</t>
  </si>
  <si>
    <t xml:space="preserve">43355223560338102853603</t>
  </si>
  <si>
    <t xml:space="preserve">43355223560332102854037</t>
  </si>
  <si>
    <t xml:space="preserve">43355224549481103235146</t>
  </si>
  <si>
    <t xml:space="preserve">43355227036847103230847</t>
  </si>
  <si>
    <t xml:space="preserve">43355223298805102630373</t>
  </si>
  <si>
    <t xml:space="preserve">43355223298805102609621</t>
  </si>
  <si>
    <t xml:space="preserve">43355226269941104061321</t>
  </si>
  <si>
    <t xml:space="preserve">43355223297413102630373</t>
  </si>
  <si>
    <t xml:space="preserve">43355223297413102609621</t>
  </si>
  <si>
    <t xml:space="preserve">43356223684451102901882</t>
  </si>
  <si>
    <t xml:space="preserve">43356223691840102902950</t>
  </si>
  <si>
    <t xml:space="preserve">43356223691798102916347</t>
  </si>
  <si>
    <t xml:space="preserve">43356223691837103053314</t>
  </si>
  <si>
    <t xml:space="preserve">43356227619001105130125</t>
  </si>
  <si>
    <t xml:space="preserve">43356223691786103058720</t>
  </si>
  <si>
    <t xml:space="preserve">43356223691831102913800</t>
  </si>
  <si>
    <t xml:space="preserve">43356223691789102900691</t>
  </si>
  <si>
    <t xml:space="preserve">43356223691819102900682</t>
  </si>
  <si>
    <t xml:space="preserve">43356223691777102900697</t>
  </si>
  <si>
    <t xml:space="preserve">43356223691825102916338</t>
  </si>
  <si>
    <t xml:space="preserve">43356223691822103058708</t>
  </si>
  <si>
    <t xml:space="preserve">43356223691795102900688</t>
  </si>
  <si>
    <t xml:space="preserve">43356227525720105130125</t>
  </si>
  <si>
    <t xml:space="preserve">43356223691792102901894</t>
  </si>
  <si>
    <t xml:space="preserve">43356224009494103236186</t>
  </si>
  <si>
    <t xml:space="preserve">43356224009494103237290</t>
  </si>
  <si>
    <t xml:space="preserve">43356224009494103237293</t>
  </si>
  <si>
    <t xml:space="preserve">43356224009494103235787</t>
  </si>
  <si>
    <t xml:space="preserve">43356224009494103350059</t>
  </si>
  <si>
    <t xml:space="preserve">43356224009494105965903</t>
  </si>
  <si>
    <t xml:space="preserve">43356224009494105920898</t>
  </si>
  <si>
    <t xml:space="preserve">43356224010415103040320</t>
  </si>
  <si>
    <t xml:space="preserve">43356224010415103055394</t>
  </si>
  <si>
    <t xml:space="preserve">43356224010415103043341</t>
  </si>
  <si>
    <t xml:space="preserve">43356224010415103043338</t>
  </si>
  <si>
    <t xml:space="preserve">43356224010415103048548</t>
  </si>
  <si>
    <t xml:space="preserve">43356224010415105961454</t>
  </si>
  <si>
    <t xml:space="preserve">43356224010415105965912</t>
  </si>
  <si>
    <t xml:space="preserve">43356224010415105965909</t>
  </si>
  <si>
    <t xml:space="preserve">43356226360025104537132</t>
  </si>
  <si>
    <t xml:space="preserve">43356224416915103376981</t>
  </si>
  <si>
    <t xml:space="preserve">43356224560875103259766</t>
  </si>
  <si>
    <t xml:space="preserve">43356226360001104456278</t>
  </si>
  <si>
    <t xml:space="preserve">43356226359938104456278</t>
  </si>
  <si>
    <t xml:space="preserve">43356224369893103256571</t>
  </si>
  <si>
    <t xml:space="preserve">43356224560884103259958</t>
  </si>
  <si>
    <t xml:space="preserve">43356224560872103259958</t>
  </si>
  <si>
    <t xml:space="preserve">43356226359947104537813</t>
  </si>
  <si>
    <t xml:space="preserve">43356224399962103235146</t>
  </si>
  <si>
    <t xml:space="preserve">43356224334170103235146</t>
  </si>
  <si>
    <t xml:space="preserve">43356223560299102854019</t>
  </si>
  <si>
    <t xml:space="preserve">43356223560356102854016</t>
  </si>
  <si>
    <t xml:space="preserve">43356223560350103006547</t>
  </si>
  <si>
    <t xml:space="preserve">43356223560344102861246</t>
  </si>
  <si>
    <t xml:space="preserve">43356226887148103235146</t>
  </si>
  <si>
    <t xml:space="preserve">43356223298805102630373</t>
  </si>
  <si>
    <t xml:space="preserve">43356223298805102609621</t>
  </si>
  <si>
    <t xml:space="preserve">43356226269941104061321</t>
  </si>
  <si>
    <t xml:space="preserve">43356226269941104060547</t>
  </si>
  <si>
    <t xml:space="preserve">43356227208508102630373</t>
  </si>
  <si>
    <t xml:space="preserve">43356227208508102609621</t>
  </si>
  <si>
    <t xml:space="preserve">43356223297413102609621</t>
  </si>
  <si>
    <t xml:space="preserve">43357223684451102901882</t>
  </si>
  <si>
    <t xml:space="preserve">43357223691840102902950</t>
  </si>
  <si>
    <t xml:space="preserve">43357223691798102916347</t>
  </si>
  <si>
    <t xml:space="preserve">43357223691837103053314</t>
  </si>
  <si>
    <t xml:space="preserve">43357227522762105216992</t>
  </si>
  <si>
    <t xml:space="preserve">43357223691831102913800</t>
  </si>
  <si>
    <t xml:space="preserve">43357223691789102900691</t>
  </si>
  <si>
    <t xml:space="preserve">43357223691834102902953</t>
  </si>
  <si>
    <t xml:space="preserve">43357223691819102900682</t>
  </si>
  <si>
    <t xml:space="preserve">43357223691825102916338</t>
  </si>
  <si>
    <t xml:space="preserve">43357223691822103058708</t>
  </si>
  <si>
    <t xml:space="preserve">43357223691780103058726</t>
  </si>
  <si>
    <t xml:space="preserve">43357223691795102900688</t>
  </si>
  <si>
    <t xml:space="preserve">43357223691792102901894</t>
  </si>
  <si>
    <t xml:space="preserve">43357227524946105216992</t>
  </si>
  <si>
    <t xml:space="preserve">43357224009494103236186</t>
  </si>
  <si>
    <t xml:space="preserve">43357224009494103237290</t>
  </si>
  <si>
    <t xml:space="preserve">43357224009494103237293</t>
  </si>
  <si>
    <t xml:space="preserve">43357224009494103350059</t>
  </si>
  <si>
    <t xml:space="preserve">43357224010415103040320</t>
  </si>
  <si>
    <t xml:space="preserve">43357224010415103043329</t>
  </si>
  <si>
    <t xml:space="preserve">43357224010415103055394</t>
  </si>
  <si>
    <t xml:space="preserve">43357224010415103043341</t>
  </si>
  <si>
    <t xml:space="preserve">43357224010415103043338</t>
  </si>
  <si>
    <t xml:space="preserve">43357224010415103048548</t>
  </si>
  <si>
    <t xml:space="preserve">43357224010415105961622</t>
  </si>
  <si>
    <t xml:space="preserve">43357226360025104537132</t>
  </si>
  <si>
    <t xml:space="preserve">43357224416915103376981</t>
  </si>
  <si>
    <t xml:space="preserve">43357224560875103259766</t>
  </si>
  <si>
    <t xml:space="preserve">43357226360001104456278</t>
  </si>
  <si>
    <t xml:space="preserve">43357226359938104456278</t>
  </si>
  <si>
    <t xml:space="preserve">43357224369893103256571</t>
  </si>
  <si>
    <t xml:space="preserve">43357224560884103259958</t>
  </si>
  <si>
    <t xml:space="preserve">43357224560872103259958</t>
  </si>
  <si>
    <t xml:space="preserve">43357226359947104537813</t>
  </si>
  <si>
    <t xml:space="preserve">43357224399962103235146</t>
  </si>
  <si>
    <t xml:space="preserve">43357224399962103230847</t>
  </si>
  <si>
    <t xml:space="preserve">43357224334170103235146</t>
  </si>
  <si>
    <t xml:space="preserve">43357223560299102854019</t>
  </si>
  <si>
    <t xml:space="preserve">43357223560356102854016</t>
  </si>
  <si>
    <t xml:space="preserve">43357223560344102861246</t>
  </si>
  <si>
    <t xml:space="preserve">43357223560338102853603</t>
  </si>
  <si>
    <t xml:space="preserve">43357223560332102854037</t>
  </si>
  <si>
    <t xml:space="preserve">43357223298805102630373</t>
  </si>
  <si>
    <t xml:space="preserve">43357223298805102609621</t>
  </si>
  <si>
    <t xml:space="preserve">43357226269941104061321</t>
  </si>
  <si>
    <t xml:space="preserve">43357227208508102609621</t>
  </si>
  <si>
    <t xml:space="preserve">43358223684451102901882</t>
  </si>
  <si>
    <t xml:space="preserve">43358223691840102902950</t>
  </si>
  <si>
    <t xml:space="preserve">43358223691798102916347</t>
  </si>
  <si>
    <t xml:space="preserve">43358223691837103053314</t>
  </si>
  <si>
    <t xml:space="preserve">43358227522759105130122</t>
  </si>
  <si>
    <t xml:space="preserve">43358227522762105216992</t>
  </si>
  <si>
    <t xml:space="preserve">43358223691831102913800</t>
  </si>
  <si>
    <t xml:space="preserve">43358223691789102900691</t>
  </si>
  <si>
    <t xml:space="preserve">43358223691834102902953</t>
  </si>
  <si>
    <t xml:space="preserve">43358223691819102900682</t>
  </si>
  <si>
    <t xml:space="preserve">43358223691825102916338</t>
  </si>
  <si>
    <t xml:space="preserve">43358223691780103058726</t>
  </si>
  <si>
    <t xml:space="preserve">43358223691801103053323</t>
  </si>
  <si>
    <t xml:space="preserve">43358223691795102900688</t>
  </si>
  <si>
    <t xml:space="preserve">43358223691792102901894</t>
  </si>
  <si>
    <t xml:space="preserve">43358227524946105216992</t>
  </si>
  <si>
    <t xml:space="preserve">43358227792310105130122</t>
  </si>
  <si>
    <t xml:space="preserve">43358224009494103236186</t>
  </si>
  <si>
    <t xml:space="preserve">43358224009494103236189</t>
  </si>
  <si>
    <t xml:space="preserve">43358224009494103237290</t>
  </si>
  <si>
    <t xml:space="preserve">43358224009494103237293</t>
  </si>
  <si>
    <t xml:space="preserve">43358224010415103040320</t>
  </si>
  <si>
    <t xml:space="preserve">43358224010415103055394</t>
  </si>
  <si>
    <t xml:space="preserve">43358224010415103043341</t>
  </si>
  <si>
    <t xml:space="preserve">43358224010415103043338</t>
  </si>
  <si>
    <t xml:space="preserve">43358224416915103376981</t>
  </si>
  <si>
    <t xml:space="preserve">43358224560875103259766</t>
  </si>
  <si>
    <t xml:space="preserve">43358226360001104456278</t>
  </si>
  <si>
    <t xml:space="preserve">43358226359938104456278</t>
  </si>
  <si>
    <t xml:space="preserve">43358224369893103256571</t>
  </si>
  <si>
    <t xml:space="preserve">43358224560884103259958</t>
  </si>
  <si>
    <t xml:space="preserve">43358226359947104537813</t>
  </si>
  <si>
    <t xml:space="preserve">43358226359953104537129</t>
  </si>
  <si>
    <t xml:space="preserve">43358224399962103235146</t>
  </si>
  <si>
    <t xml:space="preserve">43358224334170103235146</t>
  </si>
  <si>
    <t xml:space="preserve">43358224334170103230847</t>
  </si>
  <si>
    <t xml:space="preserve">43358223560299102854019</t>
  </si>
  <si>
    <t xml:space="preserve">43358223560356102854016</t>
  </si>
  <si>
    <t xml:space="preserve">43358223560350103006547</t>
  </si>
  <si>
    <t xml:space="preserve">43358223560344102861246</t>
  </si>
  <si>
    <t xml:space="preserve">43358223560338102853603</t>
  </si>
  <si>
    <t xml:space="preserve">43358223560332102854037</t>
  </si>
  <si>
    <t xml:space="preserve">43358224549481103235146</t>
  </si>
  <si>
    <t xml:space="preserve">43358223560347102857037</t>
  </si>
  <si>
    <t xml:space="preserve">43358223298805102609621</t>
  </si>
  <si>
    <t xml:space="preserve">43358226269941104061321</t>
  </si>
  <si>
    <t xml:space="preserve">43358227208508102609621</t>
  </si>
  <si>
    <t xml:space="preserve">43358223297413102609621</t>
  </si>
  <si>
    <t xml:space="preserve">Make sure to refresh this pivot!</t>
  </si>
  <si>
    <t xml:space="preserve">Compare these numbers to cost correction. Are they more than 5% off?</t>
  </si>
  <si>
    <t xml:space="preserve">- all -</t>
  </si>
  <si>
    <t xml:space="preserve">Sum - Publisher Clicks</t>
  </si>
  <si>
    <t xml:space="preserve">United Kingdom</t>
  </si>
  <si>
    <t xml:space="preserve">France</t>
  </si>
  <si>
    <t xml:space="preserve">Japan</t>
  </si>
  <si>
    <t xml:space="preserve">Total Result</t>
  </si>
  <si>
    <t xml:space="preserve">*If there any #N/As in the Data Drop, please add them and categorize below!</t>
  </si>
  <si>
    <t xml:space="preserve">Insert here</t>
  </si>
  <si>
    <t xml:space="preserve">Fill in</t>
  </si>
  <si>
    <t xml:space="preserve">Region</t>
  </si>
  <si>
    <t xml:space="preserve">Clean KPI</t>
  </si>
  <si>
    <t xml:space="preserve">Site</t>
  </si>
  <si>
    <t xml:space="preserve">AU</t>
  </si>
  <si>
    <t xml:space="preserve">Australia</t>
  </si>
  <si>
    <t xml:space="preserve">APAC</t>
  </si>
  <si>
    <t xml:space="preserve">Leads</t>
  </si>
  <si>
    <t xml:space="preserve">Lead</t>
  </si>
  <si>
    <t xml:space="preserve">LinkedIn</t>
  </si>
  <si>
    <t xml:space="preserve">AUS</t>
  </si>
  <si>
    <t xml:space="preserve">CPC</t>
  </si>
  <si>
    <t xml:space="preserve">Link Ads</t>
  </si>
  <si>
    <t xml:space="preserve">Facebook Inc</t>
  </si>
  <si>
    <t xml:space="preserve">CA</t>
  </si>
  <si>
    <t xml:space="preserve">North America</t>
  </si>
  <si>
    <t xml:space="preserve">Facebook Lead Form</t>
  </si>
  <si>
    <t xml:space="preserve">CAN</t>
  </si>
  <si>
    <t xml:space="preserve">Lead Ad</t>
  </si>
  <si>
    <t xml:space="preserve">Lead Ads</t>
  </si>
  <si>
    <t xml:space="preserve">FR</t>
  </si>
  <si>
    <t xml:space="preserve">EMEA</t>
  </si>
  <si>
    <t xml:space="preserve">Sponsored Content</t>
  </si>
  <si>
    <t xml:space="preserve">DE</t>
  </si>
  <si>
    <t xml:space="preserve">DEU</t>
  </si>
  <si>
    <t xml:space="preserve">JPN</t>
  </si>
  <si>
    <t xml:space="preserve">GBR</t>
  </si>
  <si>
    <t xml:space="preserve">Placement ID</t>
  </si>
  <si>
    <t xml:space="preserve">Campaign Name</t>
  </si>
  <si>
    <t xml:space="preserve">Publisher</t>
  </si>
  <si>
    <t xml:space="preserve">Facebook»Audience &amp; Interest Targeting»1x1»Canvas»OTH»DT»DYN»AUT»W»NA»SS»NA»FBCTCcanvaspage-StartFreeCTA_FBCTCcanvaspage-BuyNowCTA</t>
  </si>
  <si>
    <t xml:space="preserve">AUS_gaPMG_AZR_AZR_Q1_19_Trial-Social</t>
  </si>
  <si>
    <t xml:space="preserve">AzurePlatform_FBCTCcanvaspage-BuyNowCTA-Img3_AUS_1080x162_SOC_Plat_English_NA_Standard_NA_BN_T3_1</t>
  </si>
  <si>
    <t xml:space="preserve">AzurePlatform_FBCTCcanvaspage-StartFreeCTA-Img2_AUS_1080x143 _SOC_Plat_English_NA_Standard_NA_NA_T2_1</t>
  </si>
  <si>
    <t xml:space="preserve">Facebook»Audience &amp; Interest Targeting»1x1»TextLink»OTH»DT»DYN»AUT»W»NA»SS»NA»Free Account Refresh- 12 months ChE</t>
  </si>
  <si>
    <t xml:space="preserve">AzurePlatform_FreeAcctAppsFACEBOOK12monthsChE_AUS_1200x628_SOC_PLAT_EN_Trial_Standard_NA_SNU_T5_1</t>
  </si>
  <si>
    <t xml:space="preserve">Facebook»Audience &amp; Interest Targeting»1x1»TextLink»OTH»DT»DYN»AUT»W»NA»SS»NA»Free Account Refresh- 200 Credit ChD</t>
  </si>
  <si>
    <t xml:space="preserve">AzurePlatform_FreeAcctAppsFACEBOOK200CreditChD_AUS_1200x628_SOC_PLAT_EN_Trial_Standard_NA_SNU_T4_1</t>
  </si>
  <si>
    <t xml:space="preserve">Facebook»Audience &amp; Interest Targeting»1x1»TextLink»OTH»DT»DYN»AUT»W»NA»SS»NA»Free Account Refresh- Device ChB</t>
  </si>
  <si>
    <t xml:space="preserve">AzurePlatform_FreeAcctAppsFACEBOOKDeviceChB_AUS_1200x628_SOC_PLAT_EN_Trial_Standard_NA_SNU_T2_1</t>
  </si>
  <si>
    <t xml:space="preserve">Facebook»Audience &amp; Interest Targeting»1x1»TextLink»OTH»DT»DYN»AUT»W»NA»SS»NA»Free Account Refresh- Illustration ChC</t>
  </si>
  <si>
    <t xml:space="preserve">AzurePlatform_FreeAcctAppsFACEBOOKIllustrationChC_AUS_1200x628_SOC_PLAT_EN_Trial_Standard_NA_SNU_T3_1</t>
  </si>
  <si>
    <t xml:space="preserve">Facebook»Audience &amp; Interest Targeting»1x1»TextLink»OTH»DT»DYN»AUT»W»NA»SS»NA»Free Account Refresh- Lifestyle ChA</t>
  </si>
  <si>
    <t xml:space="preserve">AzurePlatform_FreeAcctAppsFACEBOOKLifestyleChA_AUS_1200x628_SOC_PLAT_EN_Trial_Standard_NA_SNU_T1_1</t>
  </si>
  <si>
    <t xml:space="preserve">Facebook»LAL»1x1»Canvas»OTH»DT»DYN»LAL»W»NA»SS»NA»FBCTCcanvaspage-StartFreeCTA_FBCTCcanvaspage-BuyNowCTA</t>
  </si>
  <si>
    <t xml:space="preserve">AzurePlatform_FBCTCBasicMotion-StartFreeCT_DEU_10s_ISV_PLAT_DE_Trial_Standard_STAN_TN_T1_1</t>
  </si>
  <si>
    <t xml:space="preserve">AzurePlatform_FBCTCBenefit2inMotion-BuyNow_DEU_14s_ISV_PLAT_DE_Trial_Standard_STAN_TN_T4_1</t>
  </si>
  <si>
    <t xml:space="preserve">AzurePlatform_FBCTCBenefit2inMotion-StartFreeCT_DEU_14s_ISV_PLAT_DE_Trial_Standard_STAN_TN_T4_1</t>
  </si>
  <si>
    <t xml:space="preserve">AzurePlatform_FBCTCBrandinMotion-BuyNow_DEU_12s_ISV_PLAT_DE_Trial_Standard_STAN_TN_T2_1</t>
  </si>
  <si>
    <t xml:space="preserve">AzurePlatform_FBCTCBrandinMotion-StartFreeCT_DEU_12s_ISV_PLAT_DE_Trial_Standard_STAN_TN_T2_1</t>
  </si>
  <si>
    <t xml:space="preserve">AzurePlatform_FreeAcctRetargetingFB-GlobalAlt-ChB_DEU_1200x628_SOC_Plat_DE_Free Account_Standard_NA_SNU_T2_1</t>
  </si>
  <si>
    <t xml:space="preserve">AzurePlatform_FreeAcctRetargetingOSSFB-Logos-ChG_DEU_1200x628_SOC_Plat_DE_Free Account_Standard_NA_SNU_T2_1</t>
  </si>
  <si>
    <t xml:space="preserve">AzurePlatform_FreeAcctRetargetingOSSFB-Text-ChF_DEU_1200x628_SOC_Plat_DE_Free Account_Standard_NA_SNU_T1_1</t>
  </si>
  <si>
    <t xml:space="preserve">AzurePlatform_FreeAcctRetargetingVMFB-750Hrs-ChD_DEU_1200x628_SOC_Plat_DE_Free Account_Standard_NA_SNU_T1_1</t>
  </si>
  <si>
    <t xml:space="preserve">AzurePlatform_FreeAcctRetargetingVMFB-OnDemand-ChE_DEU_1200x628_SOC_Plat_DE_Free Account_Standard_NA_SNU_T2_1</t>
  </si>
  <si>
    <t xml:space="preserve">Facebook»Developers/ITPros-Azure Direct-Sponsored Post-Canvas-FBCTCcanvaspage-BuyNowCTA-Img3_FBCTCBasicMotion_FRA_10sec»1x1»Canvas»SOC»ALL»CPC»BT»D»UNK»SS»NA»Trials</t>
  </si>
  <si>
    <t xml:space="preserve">AZR_FBCTCcanvaspage-BuyNowCTA-Img3_FRA_1080x162_SOC_AZRDirect_French_NA_Facebook_SBAN_BN_T3_1</t>
  </si>
  <si>
    <t xml:space="preserve">Facebook»Developers/ITPros-Azure Direct-Sponsored Post-Canvas-FBCTCcanvaspage-BuyNowCTA-Img3_FBCTCBrandinMotion_FRA_14sec»1x1»Canvas»SOC»ALL»CPC»BT»D»UNK»SS»NA»Trials</t>
  </si>
  <si>
    <t xml:space="preserve">Facebook»Developers/ITPros-Azure Direct-Sponsored Post-Canvas-FBCTCcanvaspage-StartFreeCTA-Img2_FBCTCBrandinMotion_FRA_12sec»1x1»Canvas»SOC»ALL»CPC»BT»D»UNK»SS»NA»Trials</t>
  </si>
  <si>
    <t xml:space="preserve">AZR_FBCTCcanvaspage-StartFreeCTA-Img2_FRA_1080x143_SOC_AZRDirect_French_NA_Facebook_SBAN_BN_T2_1</t>
  </si>
  <si>
    <t xml:space="preserve">Facebook»Developers/ITPros-Azure Direct-Sponsored Post-Canvas-FBCTCcanvaspage-StartFreeCTA-Img2_FBCTCBrandinMotion_FRA_14sec»1x1»Canvas»SOC»ALL»CPC»BT»D»UNK»SS»NA»Trials</t>
  </si>
  <si>
    <t xml:space="preserve">Facebook»Developers/ITPros-Azure Direct-Sponsored Post-Video Ad-FBCTCBasicMotion_FRA_10s_RTG Landing Page»1x1»05s»SOC»ALL»CPC»BT»D»UNK»SS»NA»Trials</t>
  </si>
  <si>
    <t xml:space="preserve">Facebook»Developers/ITPros-Azure Direct-Sponsored Post-Video Ad-FBCTCBenefit2inMotion_FRA_14s_RTG Landing Page»1x1»06s»SOC»ALL»CPC»BT»D»UNK»SS»NA»Trials</t>
  </si>
  <si>
    <t xml:space="preserve">Facebook»Developers/ITPros-Azure Direct-Sponsored Post-Video Ad-FBCTCBrandinMotion_FRA_12s_RTG Landing Page»1x1»05s»SOC»ALL»CPC»BT»D»UNK»SS»NA»Trials</t>
  </si>
  <si>
    <t xml:space="preserve">Facebook»Developers/ITPros-Azure Direct-Sponsored Post-Canvas-FBCTCcanvaspage-BuyNowCTA-Img3_FBCTCBrandinMotion_FRA_12sec»1x1»Canvas»SOC»ALL»CPC»BT»D»UNK»SS»NA»Trials</t>
  </si>
  <si>
    <t xml:space="preserve">Facebook»Audience &amp; Interest Targeting»1x1»SocialBan»LIA»DT»DYN»AUT»W»NA»SS»NA»Free Account Refresh- 12 months ChE</t>
  </si>
  <si>
    <t xml:space="preserve">AzurePlatform_FreeAcctAppsFACEBOOK12monthsChE_GBR_1200x628_SOC_PLAT_EN_Trial_Standard_NA_SU_T5_1</t>
  </si>
  <si>
    <t xml:space="preserve">Facebook»Audience &amp; Interest Targeting»1x1»SocialBan»LIA»DT»DYN»AUT»W»NA»SS»NA»Free Account Refresh- 200 Credit ChD</t>
  </si>
  <si>
    <t xml:space="preserve">AzurePlatform_FreeAcctAppsFACEBOOK200CreditChD_GBR_1200x628_SOC_PLAT_EN_Trial_Standard_NA_SU_T4_1</t>
  </si>
  <si>
    <t xml:space="preserve">Facebook»Audience &amp; Interest Targeting»1x1»SocialBan»LIA»DT»DYN»AUT»W»NA»SS»NA»Free Account Refresh- Device ChB</t>
  </si>
  <si>
    <t xml:space="preserve">AzurePlatform_FreeAcctAppsFACEBOOKDeviceChB_GBR_1200x628_SOC_PLAT_EN_Trial_Standard_NA_SU_T2_1</t>
  </si>
  <si>
    <t xml:space="preserve">Facebook»Audience &amp; Interest Targeting»1x1»SocialBan»LIA»DT»DYN»AUT»W»NA»SS»NA»Free Account Refresh- Lifestyle ChA</t>
  </si>
  <si>
    <t xml:space="preserve">AzurePlatform_FreeAcctAppsFACEBOOKLifestyleChA_GBR_1200x628_SOC_PLAT_EN_Trial_Standard_NA_SU_T1_1</t>
  </si>
  <si>
    <t xml:space="preserve">Facebook»AZP-Retargeting»1x1»Ban»LIA»ALL»CPM»RT»X»All»TP»OT»Free Account Retargeting Generic-ChB</t>
  </si>
  <si>
    <t xml:space="preserve">AzurePlatform_FreeAcctRetargetingFB-GlobalAlt-ChB_JPN_1200x628_SOC_Plat_JA_Free Account_Standard_NA_SU_T2_1</t>
  </si>
  <si>
    <t xml:space="preserve">Facebook»AZP-Retargeting»1x1»Ban»LIA»ALL»CPM»RT»X»All»TP»OT»Free Account Retargeting OSS-ChF</t>
  </si>
  <si>
    <t xml:space="preserve">AzurePlatform_FreeAcctRetargetingOSSFB-Text-ChF_JPN_1200x628_SOC_Plat_JA_Free Account_Standard_NA_SU_T1_1</t>
  </si>
  <si>
    <t xml:space="preserve">Facebook»AZP-Retargeting»1x1»Ban»LIA»ALL»CPM»RT»X»All»TP»OT»Free Account Retargeting VM-ChD</t>
  </si>
  <si>
    <t xml:space="preserve">AzurePlatform_FreeAcctRetargetingVMFB-750Hrs-ChD_JPN_1200x628_SOC_Plat_JA_Free Account_Standard_NA_SU_T1_1</t>
  </si>
  <si>
    <t xml:space="preserve">Facebook»AZP-Retargeting»1x1»Ban»LIA»ALL»CPM»RT»X»All»TP»OT»Free Account Retargeting Generic-ChC</t>
  </si>
  <si>
    <t xml:space="preserve">AzurePlatform_FreeAcctRetargetingFB-Animated-ChC_JPN_1200x628_SOC_Plat_JA_Free Account_Standard_ANI_SU_T3_1</t>
  </si>
  <si>
    <t xml:space="preserve">Facebook»AZP-Retargeting»1x1»Canvas»OTH»MO»CPM»RT»W»UNK»TP»OT»Trial-BrandinMotion</t>
  </si>
  <si>
    <t xml:space="preserve">AzurePlatform_FBCTCBrandinMotion_JPN_12sec_ISV_PLAT_JA_Trial_Standard_STAN_TN_T2_1</t>
  </si>
  <si>
    <t xml:space="preserve">CAN_gaPMG_AZR_AZR_Q1_19_Trial-Social</t>
  </si>
  <si>
    <t xml:space="preserve">Facebook»Developers/ITPros-Azure Direct-Sponsored Post-Canvas-FBCTCcanvaspage-StartFreeCTA-Img2_FBCTCBasicMotion_FRA_10sec»1x1»Canvas»SOC»ALL»CPC»BT»D»UNK»SS»NA»Trials</t>
  </si>
  <si>
    <t xml:space="preserve">Facebook»AZP-Retargeting»1x1»Canvas»OTH»MO»CPM»RT»W»UNK»TP»OT»Trial-Basicmotion</t>
  </si>
  <si>
    <t xml:space="preserve">AzurePlatform_FBCTCBasicMotion_JPN_10sec_ISV_PLAT_JA_Trial_Standard_STAN_TN_T1_1</t>
  </si>
  <si>
    <t xml:space="preserve">Facebook»AZP-Retargeting»1x1»Canvas»OTH»MO»CPM»RT»W»UNK»TP»OT»Trial-Benefit2inMotion</t>
  </si>
  <si>
    <t xml:space="preserve">AzurePlatform_FBCTCBenefit2inMotion_JPN_14sec_ISV_PLAT_JA_Trial_Standard_STAN_TN_T4_1</t>
  </si>
  <si>
    <t xml:space="preserve">Facebook»Developers/ITPros-Azure Direct-Sponsored Post-Link Ad-FreeAcctRetargetingFB-GlobalAlt-ChB»1x1»SocialBan»SOC»ALL»CPC»BT»D»UNK»SS»NA»Trials</t>
  </si>
  <si>
    <t xml:space="preserve">Facebook»Developers/ITPros-Azure Direct-Sponsored Post-Link Ad-FreeAcctRetargetingOSSFB-Text-ChF»1x1»SocialBan»SOC»ALL»CPC»BT»D»UNK»SS»NA»Trials</t>
  </si>
  <si>
    <t xml:space="preserve">Facebook»Developers/ITPros-Azure Direct-Sponsored Post-Link Ad-FreeAcctRetargetingVMFB-750Hrs-ChD»1x1»SocialBan»SOC»ALL»CPC»BT»D»UNK»SS»NA»Trials</t>
  </si>
  <si>
    <t xml:space="preserve">Facebook»Developers/ITPros-Azure Direct-Sponsored Post-Link Ad-FreeAcctAppsFACEBOOK12monthsChE»1x1»SocialBan»SOC»ALL»CPC»BT»D»UNK»SS»NA»Trials</t>
  </si>
  <si>
    <t xml:space="preserve">Facebook»Developers/ITPros-Azure Direct-Sponsored Post-Link Ad-FreeAcctAppsFACEBOOK200CreditChD»1x1»SocialBan»SOC»ALL»CPC»BT»D»UNK»SS»NA»Trials</t>
  </si>
  <si>
    <t xml:space="preserve">Facebook»Developers/ITPros-Azure Direct-Sponsored Post-Link Ad-FreeAcctAppsFACEBOOKDeviceChB»1x1»SocialBan»SOC»ALL»CPC»AUT»D»UNK»SS»NA»Trials</t>
  </si>
  <si>
    <t xml:space="preserve">Facebook»Developers/ITPros-Azure Direct-Sponsored Post-Link Ad-FreeAcctAppsFACEBOOKIllustrationChC»1x1»SocialBan»SOC»ALL»CPC»AUT»D»UNK»SS»NA»Trials</t>
  </si>
  <si>
    <t xml:space="preserve">Facebook»Developers/ITPros-Azure Direct-Sponsored Post-Link Ad-FreeAcctAppsFACEBOOKLifestyleChA»1x1»SocialBan»SOC»ALL»CPC»AUT»D»UNK»SS»NA»Trials</t>
  </si>
  <si>
    <t xml:space="preserve">Facebook»Developers/ITPros-Azure Direct-Sponsored Post-Link Ad-FreeAcctRetargetingFB-Animated-ChC»1x1»SocialBan»SOC»ALL»CPC»BT»D»UNK»SS»NA»Trials</t>
  </si>
  <si>
    <t xml:space="preserve">Facebook»Developers/ITPros-Azure Direct-Sponsored Post-Link Ad-FreeAcctRetargetingOSSFB-Logos-ChG»1x1»SocialBan»SOC»ALL»CPC»BT»D»UNK»SS»NA»Trials</t>
  </si>
  <si>
    <t xml:space="preserve">Facebook»Developers/ITPros-Azure Direct-Sponsored Post-Link Ad-FreeAcctRetargetingVMFB-OnDemand-ChE»1x1»SocialBan»SOC»ALL»CPC»BT»D»UNK»SS»NA»Trials</t>
  </si>
  <si>
    <t xml:space="preserve">Facebook»AZP-Retargeting»1x1»Ban»LIA»ALL»CPM»RT»X»All»TP»OT»Free Account Retargeting OSS-ChG</t>
  </si>
  <si>
    <t xml:space="preserve">AzurePlatform_FreeAcctRetargetingOSSFB-Logos-ChG_JPN_1200x628_SOC_Plat_JA_Free Account_Standard_NA_SU_T2_1</t>
  </si>
  <si>
    <t xml:space="preserve">Facebook»AZP-Retargeting»1x1»Ban»LIA»ALL»CPM»RT»X»All»TP»OT»Free Account Retargeting VM-ChE</t>
  </si>
  <si>
    <t xml:space="preserve">AzurePlatform_FreeAcctRetargetingVMFB-OnDemand-ChE_JPN_1200x628_SOC_Plat_JA_Free Account_Standard_NA_SU_T2_1</t>
  </si>
  <si>
    <t xml:space="preserve">Facebook»AZR»1x1»NA»SOC»ALL»DYN»PRO»D»All»SS»NA»Canvas - Start Free - EN</t>
  </si>
  <si>
    <t xml:space="preserve">AzurePlatform_FBCTCcanvaspage-StartFreeCTA-Img2_CAN_1080x143 _SOC_Plat_English_NA_Standard_NA_NA_T2_1</t>
  </si>
  <si>
    <t xml:space="preserve">Facebook»AZR»1x1»NA»SOC»ALL»DYN»PRO»D»All»SS»NA»Canvas - Start Free - FR</t>
  </si>
  <si>
    <t xml:space="preserve">AzurePlatform_FBCTCcanvaspage-StartFreeCTA-Img2_CAN_1080x143 _SOC_Plat_French_NA_Standard_NA_NA_T2_1</t>
  </si>
  <si>
    <t xml:space="preserve">Facebook»AZP-Retargeting»1x1»Newsfeed»LIA»ALL»CPM»RT»X»UNK»SS»NA»Developer-Generic</t>
  </si>
  <si>
    <t xml:space="preserve">AZR_FreeAcctDeveloperFB-AnimatedGeneric-Ch1_JPN_1200x1200_SOC_Direct_JA_Trial_Standard_ANI_LEA_T1_1</t>
  </si>
  <si>
    <t xml:space="preserve">Facebook»AZP-Retargeting»1x1»Newsfeed»LIA»ALL»CPM»RT»X»UNK»SS»NA»Developer-Open Source</t>
  </si>
  <si>
    <t xml:space="preserve">AZR_FreeAcctDeveloperFB-AnimatedOpenSource-Ch2_JPN_1200x1200_SOC_Direct_JA_Trial_Standard_ANI_LEA_T2_1</t>
  </si>
  <si>
    <t xml:space="preserve">Facebook»AZP-Canvas-Interest&amp;Role-Trial»1x1»Canvas»CAN»ALL»CPM»PRO»X»UNK»SS»NA»Developer-Intelligent Data</t>
  </si>
  <si>
    <t xml:space="preserve">Facebook»AZP-Canvas-Look a Like-Trial»1x1»Canvas»CAN»ALL»CPM»LAL»X»UNK»SS»NA»Developer-AI</t>
  </si>
  <si>
    <t xml:space="preserve">AZR_FBCTCcanvaspage-StartFreeCTA-Img2_JPN_1080x143 _SOC_Plat_Japanese_NA_Standard_NA_NA_T2_1</t>
  </si>
  <si>
    <t xml:space="preserve">Facebook»AZP-Canvas-Look a Like-Trial»1x1»Canvas»CAN»ALL»CPM»LAL»X»UNK»SS»NA»Developer-Generic</t>
  </si>
  <si>
    <t xml:space="preserve">Facebook»AZP-Retargeting»1x1»Newsfeed»LIA»ALL»CPM»RT»X»UNK»SS»NA»Developer-Intelligent Data</t>
  </si>
  <si>
    <t xml:space="preserve">AZR_FreeAcctDeveloperFB-AnimatedData-Ch4_JPN_1200x1200_SOC_Direct_JA_Trial_Standard_ANI_LEA_T4_1</t>
  </si>
  <si>
    <t xml:space="preserve">Facebook»AZP-Retargeting»1x1»Newsfeed»LIA»ALL»CPM»RT»X»UNK»SS»NA»Developer-AI</t>
  </si>
  <si>
    <t xml:space="preserve">AZR_FreeAcctDeveloperFB-AnimatedAI-Ch3_JPN_1200x1200_SOC_Direct_JA_Trial_Standard_ANI_LEA_T3_1</t>
  </si>
  <si>
    <t xml:space="preserve">Facebook»AZP-Retargeting»1x1»Newsfeed»LIA»ALL»CPM»RT»X»UNK»SS»NA»IT Pro-Hybrid</t>
  </si>
  <si>
    <t xml:space="preserve">AZR_FreeAcctITProFB-AnimatedHybrid-Ch2_JPN_1200x1200_SOC_Direct_JA_Trial_Standard_ANI_LEA_T2_1</t>
  </si>
  <si>
    <t xml:space="preserve">Facebook»AZP-Retargeting»1x1»Newsfeed»LIA»ALL»CPM»RT»X»UNK»SS»NA»IT Pro-Migration</t>
  </si>
  <si>
    <t xml:space="preserve">AZR_FreeAcctITProFB-AnimatedMigration-Ch3_JPN_1200x1200_SOC_Direct_JA_Trial_Standard_ANI_LEA_T3_1</t>
  </si>
  <si>
    <t xml:space="preserve">Facebook»AZP-Retargeting»1x1»Newsfeed»LIA»ALL»CPM»RT»X»UNK»SS»NA»IT Pro-Secure</t>
  </si>
  <si>
    <t xml:space="preserve">AZR_FreeAcctITProFB-AnimatedSecureMngd-Ch1_JPN_1200x1200_SOC_Direct_JA_Trial_Standard_ANI_LEA_T1_1</t>
  </si>
  <si>
    <t xml:space="preserve">Facebook»LAL»1x1»TextLink»SOC»DT»DYN»LAL»W»NA»SS»NA»Free Account Refresh- 200 Credit ChD</t>
  </si>
  <si>
    <t xml:space="preserve">AzurePlatform_FreeAcctRetargetingOSSFB-Logos-ChG_AUS_1200x628_SOC_Plat_EN_Free Account_Standard_NA_SNU_T2_1</t>
  </si>
  <si>
    <t xml:space="preserve">Facebook»LAL»1x1»TextLink»SOC»DT»DYN»LAL»W»NA»SS»NA»Free Account Refresh- Device ChB</t>
  </si>
  <si>
    <t xml:space="preserve">AzurePlatform_FreeAcctRetargetingOSSFB-Text-ChF_AUS_1200x628_SOC_Plat_EN_Free Account_Standard_NA_SNU_T1_1</t>
  </si>
  <si>
    <t xml:space="preserve">Facebook»LAL»1x1»TextLink»SOC»DT»DYN»LAL»W»NA»SS»NA»Free Account Refresh- Illustration ChC</t>
  </si>
  <si>
    <t xml:space="preserve">AzurePlatform_FreeAcctRetargetingVMFB-750Hrs-ChD_AUS_1200x628_SOC_Plat_EN_Free Account_Standard_NA_SNU_T1_1</t>
  </si>
  <si>
    <t xml:space="preserve">Facebook»LAL»1x1»TextLink»SOC»DT»DYN»LAL»W»NA»SS»NA»Free Account Refresh- Lifestyle ChA</t>
  </si>
  <si>
    <t xml:space="preserve">AzurePlatform_FreeAcctRetargetingVMFB-OnDemand-ChE_AUS_1200x628_SOC_Plat_EN_Free Account_Standard_NA_SNU_T2_1</t>
  </si>
  <si>
    <t xml:space="preserve">Facebook»Retargeting»1x1»TextLink»SOC»DT»DYN»RT»W»NA»SS»NA»Free Account Refresh- 200 Credit ChD</t>
  </si>
  <si>
    <t xml:space="preserve">Facebook»Retargeting»1x1»TextLink»SOC»DT»DYN»RT»W»NA»SS»NA»Free Account Refresh- Device ChB</t>
  </si>
  <si>
    <t xml:space="preserve">Facebook»Retargeting»1x1»TextLink»SOC»DT»DYN»RT»W»NA»SS»NA»Free Account Refresh- Illustration ChC</t>
  </si>
  <si>
    <t xml:space="preserve">Facebook»Retargeting»1x1»TextLink»SOC»DT»DYN»RT»W»NA»SS»NA»Free Account Refresh- Lifestyle ChA</t>
  </si>
  <si>
    <t xml:space="preserve">Facebook»Developers-Azure Direct-Sponsored Post_Trial-Video Ad-Free Account Developer - AI»1x1»30s»SOC»ALL»CPC»RT»D»UNK»SS»NA»Trials</t>
  </si>
  <si>
    <t xml:space="preserve">Facebook»Developers-Azure Direct-Sponsored Post_Trial-Video Ad-Free Account Developer - Open Source»1x1»30s»SOC»ALL»CPC»RT»D»UNK»SS»NA»Trials</t>
  </si>
  <si>
    <t xml:space="preserve">Facebook»Developers-Azure Direct-Sponsored Post_Trial_PayGo-Video Ad-Free Account Developer - Generic»1x1»30s»SOC»ALL»CPC»LAL»D»UNK»SS»NA»Trials</t>
  </si>
  <si>
    <t xml:space="preserve">Facebook»Developers/ITPros-Azure Direct-Sponsored Post_Trial-Link Ad-FreeAcctRetargetingVMFB-750Hrs-ChD CanvasOpener»1x1»SocialBan»SOC»ALL»CPC»LAL»D»UNK»SS»NA»Trials</t>
  </si>
  <si>
    <t xml:space="preserve">Facebook»ITPros-Azure Direct-Sponsored Post-Video Ad-Free Account IT Pro - Migration»1x1»30s»SOC»ALL»CPC»AUT»D»UNK»SS»NA»Trials</t>
  </si>
  <si>
    <t xml:space="preserve">Facebook»ITPros-Azure Direct-Sponsored Post_Trial-Video Ad-Free Account IT Pro - Migration»1x1»30s»SOC»ALL»CPC»RT»D»UNK»SS»NA»Trials</t>
  </si>
  <si>
    <t xml:space="preserve">Facebook»ITPros-Azure Direct-Sponsored Post_Trial_PayGo-Video Ad-Free Account IT Pro - Hybrid»1x1»30s»SOC»ALL»CPC»LAL»D»UNK»SS»NA»Trials</t>
  </si>
  <si>
    <t xml:space="preserve">Facebook»Developers-Azure Direct-Sponsored Post_Trial-Video Ad-Free Account Developer - Intelligent Data»1x1»30s»SOC»ALL»CPC»RT»D»UNK»SS»NA»Trials</t>
  </si>
  <si>
    <t xml:space="preserve">Facebook»Developers/ITPros-Azure Direct-Sponsored Post_Trial-Canvas-FBCTCcanvaspage-StartFreeCTA-Img2_FBCTCBasicMotion_FRA_10sec»1x1»Canvas»SOC»ALL»CPC»RT»D»UNK»SS»NA»Trials</t>
  </si>
  <si>
    <t xml:space="preserve">Facebook»Developers/ITPros-Azure Direct-Sponsored Post_Trial_PayGo-Canvas-FBCTCcanvaspage-BuyNowCTA-Img3_FBCTCBrandinMotion_FRA_14sec»1x1»Canvas»SOC»ALL»CPC»LAL»D»UNK»SS»NA»Trials</t>
  </si>
  <si>
    <t xml:space="preserve">Facebook»Developers-Azure Direct-Sponsored Post-Video Ad-Free Account Developer - AI»1x1»30s»SOC»ALL»CPC»BT»D»UNK»SS»NA»Trials</t>
  </si>
  <si>
    <t xml:space="preserve">Facebook»Developers-Azure Direct-Sponsored Post-Video Ad-Free Account Developer - Generic»1x1»30s»SOC»ALL»CPC»BT»D»UNK»SS»NA»Trials</t>
  </si>
  <si>
    <t xml:space="preserve">Facebook»Developers-Azure Direct-Sponsored Post-Video Ad-Free Account Developer - Intelligent Data»1x1»30s»SOC»ALL»CPC»BT»D»UNK»SS»NA»Trials</t>
  </si>
  <si>
    <t xml:space="preserve">Facebook»Developers-Azure Direct-Sponsored Post-Video Ad-Free Account Developer - Open Source»1x1»30s»SOC»ALL»CPC»BT»D»UNK»SS»NA»Trials</t>
  </si>
  <si>
    <t xml:space="preserve">Facebook»Developers-Azure Direct-Sponsored Post_Trial-Video Ad-Free Account Developer - AI»1x1»30s»SOC»ALL»CPC»LAL»D»UNK»SS»NA»Trials</t>
  </si>
  <si>
    <t xml:space="preserve">Facebook»Developers-Azure Direct-Sponsored Post_Trial-Video Ad-Free Account Developer - Generic»1x1»30s»SOC»ALL»CPC»LAL»D»UNK»SS»NA»Trials</t>
  </si>
  <si>
    <t xml:space="preserve">Facebook»Developers-Azure Direct-Sponsored Post_Trial-Video Ad-Free Account Developer - Generic»1x1»30s»SOC»ALL»CPC»RT»D»UNK»SS»NA»Trials</t>
  </si>
  <si>
    <t xml:space="preserve">Facebook»Developers-Azure Direct-Sponsored Post_Trial-Video Ad-Free Account Developer - Intelligent Data»1x1»30s»SOC»ALL»CPC»LAL»D»UNK»SS»NA»Trials</t>
  </si>
  <si>
    <t xml:space="preserve">Facebook»Developers-Azure Direct-Sponsored Post_Trial-Video Ad-Free Account Developer - Open Source»1x1»30s»SOC»ALL»CPC»LAL»D»UNK»SS»NA»Trials</t>
  </si>
  <si>
    <t xml:space="preserve">Facebook»Developers-Azure Direct-Sponsored Post_Trial_PayGo-Video Ad-Free Account Developer - AI»1x1»30s»SOC»ALL»CPC»LAL»D»UNK»SS»NA»Trials</t>
  </si>
  <si>
    <t xml:space="preserve">Facebook»Developers-Azure Direct-Sponsored Post_Trial_PayGo-Video Ad-Free Account Developer - Intelligent Data»1x1»30s»SOC»ALL»CPC»LAL»D»UNK»SS»NA»Trials</t>
  </si>
  <si>
    <t xml:space="preserve">Facebook»Developers-Azure Direct-Sponsored Post_Trial_PayGo-Video Ad-Free Account Developer - Open Source»1x1»30s»SOC»ALL»CPC»LAL»D»UNK»SS»NA»Trials</t>
  </si>
  <si>
    <t xml:space="preserve">Facebook»Developers/ITPros-Azure Direct-Sponsored Post_Trial-Link Ad-FreeAcctRetargetingFB-Animated-ChC CanvasOpener»1x1»SocialBan»SOC»ALL»CPC»LAL»D»UNK»SS»NA»Trials</t>
  </si>
  <si>
    <t xml:space="preserve">Facebook»Developers/ITPros-Azure Direct-Sponsored Post_Trial-Link Ad-FreeAcctRetargetingFB-GlobalAlt-ChB_RTG CanvasOpener»1x1»SocialBan»SOC»ALL»CPC»LAL»D»UNK»SS»NA»Trials</t>
  </si>
  <si>
    <t xml:space="preserve">Facebook»Developers/ITPros-Azure Direct-Sponsored Post_Trial-Link Ad-FreeAcctRetargetingOSSFB-Logos-ChG CanvasOpener»1x1»SocialBan»SOC»ALL»CPC»LAL»D»UNK»SS»NA»Trials</t>
  </si>
  <si>
    <t xml:space="preserve">Facebook»Developers/ITPros-Azure Direct-Sponsored Post_Trial-Link Ad-FreeAcctRetargetingOSSFB-Text-ChF CanvasOpener»1x1»SocialBan»SOC»ALL»CPC»LAL»D»UNK»SS»NA»Trials</t>
  </si>
  <si>
    <t xml:space="preserve">Facebook»Developers/ITPros-Azure Direct-Sponsored Post_Trial_PayGo-Link Ad-FreeAcctRetargetingFB-Animated-ChC CanvasOpener»1x1»SocialBan»SOC»ALL»CPC»LAL»D»UNK»SS»NA»Trials</t>
  </si>
  <si>
    <t xml:space="preserve">Facebook»Developers/ITPros-Azure Direct-Sponsored Post_Trial_PayGo-Link Ad-FreeAcctRetargetingFB-GlobalAlt-ChB_RTG CanvasOpener»1x1»SocialBan»SOC»ALL»CPC»LAL»D»UNK»SS»NA»Trials</t>
  </si>
  <si>
    <t xml:space="preserve">Facebook»Developers/ITPros-Azure Direct-Sponsored Post_Trial_PayGo-Link Ad-FreeAcctRetargetingOSSFB-Logos-ChG CanvasOpener»1x1»SocialBan»SOC»ALL»CPC»LAL»D»UNK»SS»NA»Trials</t>
  </si>
  <si>
    <t xml:space="preserve">Facebook»Developers/ITPros-Azure Direct-Sponsored Post_Trial_PayGo-Link Ad-FreeAcctRetargetingOSSFB-Text-ChF CanvasOpener»1x1»SocialBan»SOC»ALL»CPC»LAL»D»UNK»SS»NA»Trials</t>
  </si>
  <si>
    <t xml:space="preserve">Facebook»Developers/ITPros-Azure Direct-Sponsored Post_Trial_PayGo-Link Ad-FreeAcctRetargetingVMFB-750Hrs-ChD CanvasOpener»1x1»SocialBan»SOC»ALL»CPC»LAL»D»UNK»SS»NA»Trials</t>
  </si>
  <si>
    <t xml:space="preserve">Facebook»Developers/ITPros-Azure Direct-Sponsored Post_Trial_PayGo-Link Ad-FreeAcctRetargetingVMFB-OnDemand-ChE CanvasOpener»1x1»SocialBan»SOC»ALL»CPC»LAL»D»UNK»SS»NA»Trials</t>
  </si>
  <si>
    <t xml:space="preserve">Facebook»ITPros-Azure Direct-Sponsored Post-Video Ad-Free Account IT Pro - Hybrid»1x1»30s»SOC»ALL»CPC»AUT»D»UNK»SS»NA»Trials</t>
  </si>
  <si>
    <t xml:space="preserve">Facebook»ITPros-Azure Direct-Sponsored Post-Video Ad-Free Account IT Pro - Secure»1x1»30s»SOC»ALL»CPC»AUT»D»UNK»SS»NA»Trials</t>
  </si>
  <si>
    <t xml:space="preserve">Facebook»ITPros-Azure Direct-Sponsored Post_Trial-Video Ad-Free Account IT Pro - Hybrid»1x1»30s»SOC»ALL»CPC»LAL»D»UNK»SS»NA»Trials</t>
  </si>
  <si>
    <t xml:space="preserve">Facebook»ITPros-Azure Direct-Sponsored Post_Trial-Video Ad-Free Account IT Pro - Hybrid»1x1»30s»SOC»ALL»CPC»RT»D»UNK»SS»NA»Trials</t>
  </si>
  <si>
    <t xml:space="preserve">Facebook»ITPros-Azure Direct-Sponsored Post_Trial-Video Ad-Free Account IT Pro - Migration»1x1»30s»SOC»ALL»CPC»LAL»D»UNK»SS»NA»Trials</t>
  </si>
  <si>
    <t xml:space="preserve">Facebook»ITPros-Azure Direct-Sponsored Post_Trial-Video Ad-Free Account IT Pro - Secure»1x1»30s»SOC»ALL»CPC»LAL»D»UNK»SS»NA»Trials</t>
  </si>
  <si>
    <t xml:space="preserve">Facebook»ITPros-Azure Direct-Sponsored Post_Trial-Video Ad-Free Account IT Pro - Secure»1x1»30s»SOC»ALL»CPC»RT»D»UNK»SS»NA»Trials</t>
  </si>
  <si>
    <t xml:space="preserve">Facebook»ITPros-Azure Direct-Sponsored Post_Trial_PayGo-Video Ad-Free Account IT Pro - Migration»1x1»30s»SOC»ALL»CPC»LAL»D»UNK»SS»NA»Trials</t>
  </si>
  <si>
    <t xml:space="preserve">Facebook»ITPros-Azure Direct-Sponsored Post_Trial_PayGo-Video Ad-Free Account IT Pro - Secure»1x1»30s»SOC»ALL»CPC»LAL»D»UNK»SS»NA»Trials</t>
  </si>
  <si>
    <t xml:space="preserve">Facebook»Audience &amp; Interest Targeting- Azure Trial Lookalikes»1x1»TextLink»CAN»MO»CPM»AUT»W»NA»SS»NA»Free Account Developer- Generic</t>
  </si>
  <si>
    <t xml:space="preserve">Facebook»Audience &amp; Interest Targeting- Azure Trial PayGo Lookalikes»1x1»TextLink»CAN»MO»CPM»AUT»W»NA»SS»NA»Free Account Developer- Generic</t>
  </si>
  <si>
    <t xml:space="preserve">Facebook»Audience &amp; Interest Targeting- Azure Trial PayGo Lookalikes»1x1»TextLink»CAN»MO»CPM»AUT»W»NA»SS»NA»Free Account Developer- Open Source</t>
  </si>
  <si>
    <t xml:space="preserve">Facebook»Retargeting»1x1»TextLink»CAN»MO»CPM»AUT»W»NA»SS»NA»Free Account Retargeting Generic- Animated</t>
  </si>
  <si>
    <t xml:space="preserve">Facebook»Retargeting»1x1»TextLink»CAN»MO»CPM»AUT»W»NA»SS»NA»Free Account Retargeting Generic- Global Alt</t>
  </si>
  <si>
    <t xml:space="preserve">Facebook»Retargeting»1x1»TextLink»CAN»MO»CPM»AUT»W»NA»SS»NA»Free Account Retargeting OSS- Logos</t>
  </si>
  <si>
    <t xml:space="preserve">Facebook»Retargeting»1x1»TextLink»CAN»MO»CPM»AUT»W»NA»SS»NA»Free Account Retargeting OSS- Text</t>
  </si>
  <si>
    <t xml:space="preserve">Facebook»Developers/ITPros-Azure Direct-Sponsored Post_Trial-Link Ad-FreeAcctRetargetingVMFB-OnDemand-ChE CanvasOpener»1x1»SocialBan»SOC»ALL»CPC»LAL»D»UNK»SS»NA»Trials</t>
  </si>
  <si>
    <t xml:space="preserve">Facebook»Audience &amp; Interest Targeting- Azure Trial Lookalikes»1x1»TextLink»CAN»MO»CPM»AUT»W»NA»SS»NA»Free Account Developer- Open Source</t>
  </si>
  <si>
    <t xml:space="preserve">Facebook»Audience &amp; Interest Targeting- Azure Trial Lookalikes»1x1»TextLink»CAN»MO»CPM»AUT»W»NA»SS»NA»Free Account Developer- AI</t>
  </si>
  <si>
    <t xml:space="preserve">Facebook»Audience &amp; Interest Targeting- Azure Trial PayGo Lookalikes»1x1»TextLink»CAN»MO»CPM»AUT»W»NA»SS»NA»Free Account Developer- AI</t>
  </si>
  <si>
    <t xml:space="preserve">Facebook»Audience &amp; Interest Targeting- Azure Trial PayGo Lookalikes»1x1»TextLink»CAN»MO»CPM»AUT»W»NA»SS»NA»Free Account Developer- Intelligent Data</t>
  </si>
  <si>
    <t xml:space="preserve">Facebook»Audience &amp; Interest Targeting- Azure Trial Lookalikes»1x1»TextLink»CAN»MO»CPM»AUT»W»NA»SS»NA»Free Account Developer- Intelligent Data</t>
  </si>
  <si>
    <t xml:space="preserve">Facebook»AZR»1x1»NA»NA»ALL»DYN»AUT»D»All»SS»NA»Free Account Create to Convert FB - Canvas - Basic - Buy Now -EN</t>
  </si>
  <si>
    <t xml:space="preserve">AzurePlatform_FBCTCBasicMotion_CAN_1080x1080_SOC_10s_ISV_English_Standard_NA_FTR_T1_1</t>
  </si>
  <si>
    <t xml:space="preserve">Facebook»AZR»1x1»NA»NA»ALL»DYN»AUT»D»All»SS»NA»Free Account Create to Convert FB - Canvas - Basic - Start Free -EN</t>
  </si>
  <si>
    <t xml:space="preserve">Facebook»AZR»1x1»NA»NA»ALL»DYN»AUT»D»All»SS»NA»Free Account Create to Convert FB - Canvas - Benefit - Buy Now - EN</t>
  </si>
  <si>
    <t xml:space="preserve">Facebook»AZR»1x1»NA»NA»ALL»DYN»AUT»D»All»SS»NA»Free Account Create to Convert FB - Canvas - Benefit - Buy Now - FR</t>
  </si>
  <si>
    <t xml:space="preserve">Facebook»AZR»1x1»NA»NA»ALL»DYN»AUT»D»All»SS»NA»Free Account Create to Convert FB - Canvas - Brand - Buy Now - EN</t>
  </si>
  <si>
    <t xml:space="preserve">Facebook»AZR»1x1»NA»NA»ALL»DYN»AUT»D»All»SS»NA»Free Account Create to Convert FB - Canvas - Brand - Buy Now - FR</t>
  </si>
  <si>
    <t xml:space="preserve">FACEBOOK»USA-Trial-ITD-Interest Prospecting-AZR-AZR»1 x 1»SocialBan»CAN»ALL»CPA»PRO»X»NA»SS»NA»FBCTCBenefit2inMotion»PRC1SW</t>
  </si>
  <si>
    <t xml:space="preserve">USA_gaPMG_AZR_AZR_Q1_19_Direct-Social</t>
  </si>
  <si>
    <t xml:space="preserve">AzurePlatform_FBCTCBenefit2inMotion_USA_10s_CAN_PLATFORM_English_Trial_Standard_STAN_TIN_T4_1</t>
  </si>
  <si>
    <t xml:space="preserve">AzurePlatform_FBCTCBenefit2inMotion_USA_10s_CAN_PLATFORM_English_Trial_Standard_STAN_TIN_T4_2</t>
  </si>
  <si>
    <t xml:space="preserve">FACEBOOK»USA-Trial-ITD-Interest Prospecting-AZR-AZR»1 x 1»SocialBan»CAN»ALL»CPA»PRO»X»NA»SS»NA»FBCTCBrandinMotion»PRC1SY</t>
  </si>
  <si>
    <t xml:space="preserve">AzurePlatform_FBCTCBrandinMotion_USA_10s_CAN_PLATFORM_English_Trial_Standard_STAN_TIN_T2_1</t>
  </si>
  <si>
    <t xml:space="preserve">FACEBOOK»USA-Trial-ITD-Interest Prospecting-AZR-AZR»1 x 1»SocialBan»CAN»ALL»CPA»PRO»X»NA»SS»NA»FreeAcctDeveloperFB-AnimatedAI-Ch3»PS78J8</t>
  </si>
  <si>
    <t xml:space="preserve">AZR_FreeAcctDeveloperFB-AnimatedAI-Ch3_USA_1200x1200_CAN_Direct_EN_Trial_Standard_ANI_LEA_T3_1</t>
  </si>
  <si>
    <t xml:space="preserve">AZR_FreeAcctDeveloperFB-AnimatedAI-Ch3_USA_1200x1200_CAN_Direct_EN_Trial_Standard_ANI_LEA_T3_2</t>
  </si>
  <si>
    <t xml:space="preserve">FACEBOOK»USA-Trial-ITD-Interest Prospecting-AZR-AZR»1 x 1»SocialBan»CAN»ALL»CPA»PRO»X»NA»SS»NA»FreeAcctDeveloperFB-AnimatedData-Ch4»PS78JC</t>
  </si>
  <si>
    <t xml:space="preserve">AZR_FreeAcctDeveloperFB-AnimatedData-Ch4_USA_1200x1200_CAN_Direct_EN_Trial_Standard_ANI_LEA_T4_1</t>
  </si>
  <si>
    <t xml:space="preserve">FACEBOOK»USA-Trial-ITD-Interest Prospecting-AZR-AZR»1 x 1»SocialBan»CAN»ALL»CPA»PRO»X»NA»SS»NA»FreeAcctDeveloperFB-AnimatedGeneric-Ch1»PS78J5</t>
  </si>
  <si>
    <t xml:space="preserve">AZR_FreeAcctDeveloperFB-AnimatedGeneric-Ch1_USA_1200x1200_CAN_Direct_EN_Trial_Standard_ANI_LEA_T1_1</t>
  </si>
  <si>
    <t xml:space="preserve">AZR_FreeAcctDeveloperFB-AnimatedGeneric-Ch1_USA_1200x1200_CAN_Direct_EN_Trial_Standard_ANI_LEA_T1_2</t>
  </si>
  <si>
    <t xml:space="preserve">FACEBOOK»USA-Trial-ITD-Interest Prospecting-AZR-AZR»1 x 1»SocialBan»CAN»ALL»CPA»PRO»X»NA»SS»NA»FreeAcctDeveloperFB-AnimatedGeneric-Ch1»PS78J6</t>
  </si>
  <si>
    <t xml:space="preserve">FACEBOOK»USA-Trial-ITD-Interest Prospecting-AZR-AZR»1 x 1»SocialBan»CCA»ALL»CPA»PRO»X»NA»SS»NA»Azure Developer Facebook Collections»PRSGV0</t>
  </si>
  <si>
    <t xml:space="preserve">AZR_FBCollections-AITryAzureFreeCTA-Img2_USA_1200x182_SOC_Plat_EN_NA_Standard_NA_TIN_T1_2</t>
  </si>
  <si>
    <t xml:space="preserve">AZR_FBCollections-TryAzureFreeCTA-Img1_USA_1200x182_SOC_Plat_EN_NA_Standard_NA_TIN_T1_1</t>
  </si>
  <si>
    <t xml:space="preserve">FACEBOOK»USA-Trial-ITD-Interest Prospecting-AZR-AZR»1 x 1»SocialBan»LIA»ALL»CPA»PRO»X»NA»SS»NA»FreeAcctDeveloperFB-AnimatedGeneric-Ch1»PRC1SZ</t>
  </si>
  <si>
    <t xml:space="preserve">AZR_FreeAcctDeveloperFB-AnimatedGeneric-Ch1_USA_1200x1200_CAN_Direct_English_Trial_Standard_ANI_LEA_T1_2</t>
  </si>
  <si>
    <t xml:space="preserve">FACEBOOK»USA-Trial-ITD-Interest Prospecting-AZR-AZR»1 x 1»SocialBan»LIA»ALL»CPA»PRO»X»NA»SS»NA»FreeAcctDeveloperFB-AnimatedOpenSource-Ch2»PRC1T1</t>
  </si>
  <si>
    <t xml:space="preserve">AZR_FreeAcctDeveloperFB-AnimatedOpenSource-Ch2_USA_1200x1200_CAN_Direct_English_Trial_Standard_ANI_LEA_T2_1</t>
  </si>
  <si>
    <t xml:space="preserve">FACEBOOK»USA-Trial-ITD-Interest Prospecting-AZR-AZR»1 x 1»SocialBan»LIA»ALL»CPA»PRO»X»NA»SS»NA»FreeAcctITProFB-AnimatedSecureMngd-Ch1»PRC1T4</t>
  </si>
  <si>
    <t xml:space="preserve">AZR_FreeAcctITProFB-AnimatedSecureMngd-Ch1_USA_1200x1200_CAN_Direct_English_Trial_Standard_ANI_LEA_T1_1</t>
  </si>
  <si>
    <t xml:space="preserve">FACEBOOK»USA-Trial-ITD-Lead Completes Lookalike-AZR-AZR»1 x 1»SocialBan»CAN»ALL»CPA»LAL»X»NA»SS»NA»FBCTCBasicMotion»PRX721</t>
  </si>
  <si>
    <t xml:space="preserve">AZR_FBCTCBasicMotion_USA_10s_CAN_PLATFORM_English_Trial_Standard_STAN_TIN_T1_1</t>
  </si>
  <si>
    <t xml:space="preserve">AZR_FBCTCBasicMotion_USA_10s_CAN_PLATFORM_English_Trial_Standard_STAN_TIN_T1_2</t>
  </si>
  <si>
    <t xml:space="preserve">FACEBOOK»USA-Trial-ITD-Lead Completes Lookalike-AZR-AZR»1 x 1»SocialBan»CAN»ALL»CPA»LAL»X»NA»SS»NA»FBCTCBenefit2inMotion»PRX722</t>
  </si>
  <si>
    <t xml:space="preserve">AZR_FBCTCBenefit2inMotion_USA_10s_CAN_PLATFORM_English_Trial_Standard_STAN_TIN_T4_1</t>
  </si>
  <si>
    <t xml:space="preserve">FACEBOOK»USA-Trial-ITD-Lead Completes Lookalike-AZR-AZR»1 x 1»SocialBan»CAN»ALL»CPA»LAL»X»NA»SS»NA»FBCTCBenefitinMotion»PRX723</t>
  </si>
  <si>
    <t xml:space="preserve">AZR_FBCTCBenefitinMotion_USA_10s_CAN_PLATFORM_English_Trial_Standard_STAN_TIN_T3_1</t>
  </si>
  <si>
    <t xml:space="preserve">AZR_FBCTCBenefitinMotion_USA_10s_CAN_PLATFORM_English_Trial_Standard_STAN_TIN_T3_2</t>
  </si>
  <si>
    <t xml:space="preserve">FACEBOOK»USA-Trial-ITD-Lead Completes Lookalike-AZR-AZR»1 x 1»SocialBan»CAN»ALL»CPA»LAL»X»NA»SS»NA»FreeAcctDeveloperFB-AnimatedAI-Ch3»PS79G3</t>
  </si>
  <si>
    <t xml:space="preserve">FACEBOOK»USA-Trial-ITD-Lead Completes Lookalike-AZR-AZR»1 x 1»SocialBan»CAN»ALL»CPA»LAL»X»NA»SS»NA»FreeAcctDeveloperFB-AnimatedGeneric-Ch1»PS79FX</t>
  </si>
  <si>
    <t xml:space="preserve">FACEBOOK»USA-Trial-ITD-Lead Completes Lookalike-AZR-AZR»1 x 1»SocialBan»CAN»ALL»CPA»LAL»X»NA»SS»NA»FreeAcctITProFB-AnimatedHybrid-Ch2»PS7DLN</t>
  </si>
  <si>
    <t xml:space="preserve">AZR_FreeAcctITProFB-AnimatedHybrid-Ch2_USA_1200x1200_CAN_Direct_EN_Trial_Standard_ANI_LEA_T2_1</t>
  </si>
  <si>
    <t xml:space="preserve">FACEBOOK»USA-Trial-ITD-Lead Completes Lookalike-AZR-AZR»1 x 1»SocialBan»CCA»ALL»CPA»LAL»X»NA»SS»NA»Azure Developer Facebook Collections»PRX71S</t>
  </si>
  <si>
    <t xml:space="preserve">AZR_FBCollections-AITryAzureFreeCTA-Img2_USA_1200x182_CCA_Plat_EN_NA_Standard_NA_TIN_T1_2</t>
  </si>
  <si>
    <t xml:space="preserve">AZR_FBCollections-FreeStuffTryAzureFreeCTA-Img5_USA_1200x182_CCA_Plat_EN_NA_Standard_NA_TIN_T1_5</t>
  </si>
  <si>
    <t xml:space="preserve">AZR_FBCollections-OSSTryAzureFreeCTA-Img3_USA_1200x182_CCA_Plat_EN_NA_Standard_NA_TIN_T1_3</t>
  </si>
  <si>
    <t xml:space="preserve">AZR_FBCollections-SmartDataTryAzureFreeCTA-Img4_USA_1200x182_CCA_Plat_EN_NA_Standard_NA_TIN_T1_4</t>
  </si>
  <si>
    <t xml:space="preserve">AZR_FBCollections-TryAzureFreeCTA-Img1_USA_1200x182_CCA_Plat_EN_NA_Standard_NA_TIN_T1_1</t>
  </si>
  <si>
    <t xml:space="preserve">FACEBOOK»USA-Trial-ITD-Retargeting-AZR-AZR»1 x 1»SocialBan»CAN»ALL»CPA»RT»X»NA»SS»NA»FreeAcctDeveloperFB-AnimatedAI-Ch3»PS79T7</t>
  </si>
  <si>
    <t xml:space="preserve">FACEBOOK»USA-Trial-ITD-Retargeting-AZR-AZR»1 x 1»SocialBan»CAN»ALL»CPA»RT»X»NA»SS»NA»FreeAcctDeveloperFB-AnimatedData-Ch4»PS79TJ</t>
  </si>
  <si>
    <t xml:space="preserve">FACEBOOK»USA-Trial-ITD-Retargeting-AZR-AZR»1 x 1»SocialBan»CAN»ALL»CPA»RT»X»NA»SS»NA»FreeAcctRetargetingFB-Credit-ChA»PS79S1</t>
  </si>
  <si>
    <t xml:space="preserve">AZR_FreeAcctRetargetingFB-Credit-ChA_USA_1200x628_CAN_Plat_English_Free Account_Standard_NA_SINU_T1_2</t>
  </si>
  <si>
    <t xml:space="preserve">FACEBOOK»USA-Trial-ITD-Retargeting-AZR-AZR»1 x 1»SocialBan»CAN»ALL»CPA»RT»X»NA»SS»NA»FreeAcctRetargetingFB-GlobalAlt-ChB»PS79SS</t>
  </si>
  <si>
    <t xml:space="preserve">AZR_FreeAcctRetargetingFB-GlobalAlt-ChB_USA_1200x628_CAN_Plat_English_Free Account_Standard_NA_SINU_T2_1</t>
  </si>
  <si>
    <t xml:space="preserve">FACEBOOK»USA-Trial-ITD-Retargeting-AZR-AZR»1 x 1»SocialBan»CAN»ALL»CPA»RT»X»NA»SS»NA»FreeAcctRetargetingOSSFB-Logos-ChG»PS79T1</t>
  </si>
  <si>
    <t xml:space="preserve">AZR_FreeAcctRetargetingOSSFB-Logos-ChG_USA_1200x628_CAN_Plat_English_Free Account_Standard_NA_SINU_T2_2</t>
  </si>
  <si>
    <t xml:space="preserve">FACEBOOK»USA-Trial-ITD-Retargeting-AZR-AZR»1 x 1»SocialBan»LIA»ALL»CPA»RT»X»NA»SS»NA»FreeAcctITProFB-AnimatedMigration-Ch3»PRC26P</t>
  </si>
  <si>
    <t xml:space="preserve">AZR_FreeAcctITProFB-AnimatedMigration-Ch3_USA_1200x1200_CAN_Direct_English_Trial_Standard_ANI_LEA_T3_1</t>
  </si>
  <si>
    <t xml:space="preserve">FACEBOOK»USA-Trial-ITD-Retargeting-AZR-AZR»1 x 1»SocialBan»LIA»ALL»CPA»RT»X»NA»SS»NA»FreeAcctRetargetingFB-GlobalAlt-ChB»PRC1RW</t>
  </si>
  <si>
    <t xml:space="preserve">AzurePlatform_FreeAcctRetargetingFB-GlobalAlt-ChB_USA_1200x628_CAN_PLATFORM_English_Free Account_Standard_NA_SINU_T2_1</t>
  </si>
  <si>
    <t xml:space="preserve">FACEBOOK»USA-Trial-ITD-Retargeting-AZR-AZR»1 x 1»SocialBan»LIA»ALL»CPA»RT»X»NA»SS»NA»FreeAcctRetargetingVMFB-750Hrs-ChD»PRC1RY</t>
  </si>
  <si>
    <t xml:space="preserve">AzurePlatform_FreeAcctRetargetingVMFB-750Hrs-ChD_USA_1200x628_CAN_PLATFORM_English_Free Account_Standard_NA_SINU_T1_1</t>
  </si>
  <si>
    <t xml:space="preserve">FACEBOOK»USA-Trial-ITD-Retargeting-AZR-AZR»1 x 1»SocialBan»LIA»ALL»CPA»RT»X»NA»SS»NA»FreeAcctRetargetingVMFB-OnDemand-ChE»PRC1S0</t>
  </si>
  <si>
    <t xml:space="preserve">AzurePlatform_FreeAcctRetargetingVMFB-OnDemand-ChE_USA_1200x628_CAN_PLATFORM_English_Free Account_Standard_NA_SINU_T2_1</t>
  </si>
  <si>
    <t xml:space="preserve">FACEBOOK»USA-Trial-ITD-Trial Lookalike-AZR-AZR»1 x 1»SocialBan»CAN»ALL»CPA»LAL»X»NA»SS»NA»FBCTCBenefitinMotion»PRC1M2</t>
  </si>
  <si>
    <t xml:space="preserve">AzurePlatform_FBCTCBenefitinMotion_USA_10s_CAN_PLATFORM_English_Trial_Standard_STAN_TIN_T3_1</t>
  </si>
  <si>
    <t xml:space="preserve">FACEBOOK»USA-Trial-ITD-Trial Lookalike-AZR-AZR»1 x 1»SocialBan»CAN»ALL»CPA»LAL»X»NA»SS»NA»FreeAcctDeveloperFB-AnimatedAI-Ch3»PS7B50</t>
  </si>
  <si>
    <t xml:space="preserve">FACEBOOK»USA-Trial-ITD-Trial Lookalike-AZR-AZR»1 x 1»SocialBan»CAN»ALL»CPA»LAL»X»NA»SS»NA»FreeAcctDeveloperFB-AnimatedGeneric-Ch1»PS7B4W</t>
  </si>
  <si>
    <t xml:space="preserve">FACEBOOK»USA-Trial-ITD-Trial Lookalike-AZR-AZR»1 x 1»SocialBan»CAN»ALL»CPA»LAL»X»NA»SS»NA»FreeAcctITProFB-AnimatedHybrid-Ch2»PS7B54</t>
  </si>
  <si>
    <t xml:space="preserve">AZR_FreeAcctITProFB-AnimatedHybrid-Ch2_USA_1200x1200_CAN_Direct_EN_Trial_Standard_ANI_LEA_T2_2</t>
  </si>
  <si>
    <t xml:space="preserve">FACEBOOK»USA-Trial-ITD-Trial Lookalike-AZR-AZR»1 x 1»SocialBan»CAN»ALL»CPA»LAL»X»NA»SS»NA»FreeAcctITProFB-AnimatedMigration-Ch3»PS7B55</t>
  </si>
  <si>
    <t xml:space="preserve">AZR_FreeAcctITProFB-AnimatedMigration-Ch3_USA_1200x1200_CAN_Direct_EN_Trial_Standard_ANI_LEA_T3_2</t>
  </si>
  <si>
    <t xml:space="preserve">FACEBOOK»USA-Trial-ITD-Trial Lookalike-AZR-AZR»1 x 1»SocialBan»CCA»ALL»CPA»LAL»X»NA»SS»NA»Azure Developer Facebook Collections»PRSH0N</t>
  </si>
  <si>
    <t xml:space="preserve">AZR_FBCollections-FreeStuffTryAzureFreeCTA-Img5_USA_1200x182_SOC_Plat_EN_NA_Standard_NA_TIN_T1_5</t>
  </si>
  <si>
    <t xml:space="preserve">AZR_FBCollections-OSSTryAzureFreeCTA-Img3_USA_1200x182_SOC_Plat_EN_NA_Standard_NA_TIN_T1_3</t>
  </si>
  <si>
    <t xml:space="preserve">AZR_FBCollections-SmartDataTryAzureFreeCTA-Img4_USA_1200x182_SOC_Plat_EN_NA_Standard_NA_TIN_T1_4</t>
  </si>
  <si>
    <t xml:space="preserve">FACEBOOK»USA-Trial-ITD-Trial Lookalike-AZR-AZR»1 x 1»SocialBan»LIA»ALL»CPA»LAL»X»NA»SS»NA»FreeAcctDeveloperFB-AnimatedData-Ch4»PRC1M8</t>
  </si>
  <si>
    <t xml:space="preserve">AZR_FreeAcctDeveloperFB-AnimatedData-Ch4_USA_1200x1200_CAN_Direct_English_Trial_Standard_ANI_LEA_T4_2</t>
  </si>
  <si>
    <t xml:space="preserve">FACEBOOK»USA-Trial-ITD-Trial PayGo Lookalike-AZR-AZR»1 x 1»SocialBan»CAN»ALL»CPA»LAL»X»NA»SS»NA»FBCTCBasicMotion»PRC1Q0</t>
  </si>
  <si>
    <t xml:space="preserve">AzurePlatform_FBCTCBasicMotion_USA_10s_CAN_PLATFORM_English_Trial_Standard_STAN_TIN_T1_1</t>
  </si>
  <si>
    <t xml:space="preserve">AzurePlatform_FBCTCBasicMotion_USA_10s_CAN_PLATFORM_English_Trial_Standard_STAN_TIN_T1_2</t>
  </si>
  <si>
    <t xml:space="preserve">FACEBOOK»USA-Trial-ITD-Trial PayGo Lookalike-AZR-AZR»1 x 1»SocialBan»CAN»ALL»CPA»LAL»X»NA»SS»NA»FBCTCBenefit2inMotion»PRC1Q1</t>
  </si>
  <si>
    <t xml:space="preserve">FACEBOOK»USA-Trial-ITD-Trial PayGo Lookalike-AZR-AZR»1 x 1»SocialBan»CAN»ALL»CPA»LAL»X»NA»SS»NA»FBCTCBenefitinMotion»PRC1Q2</t>
  </si>
  <si>
    <t xml:space="preserve">FACEBOOK»USA-Trial-ITD-Trial PayGo Lookalike-AZR-AZR»1 x 1»SocialBan»CAN»ALL»CPA»LAL»X»NA»SS»NA»FBCTCBrandinMotion»PRC1Q3</t>
  </si>
  <si>
    <t xml:space="preserve">FACEBOOK»USA-Trial-ITD-Trial PayGo Lookalike-AZR-AZR»1 x 1»SocialBan»CAN»ALL»CPA»LAL»X»NA»SS»NA»FreeAcctDeveloperFB-AnimatedAI-Ch3»PS7B5S</t>
  </si>
  <si>
    <t xml:space="preserve">FACEBOOK»USA-Trial-ITD-Trial PayGo Lookalike-AZR-AZR»1 x 1»SocialBan»CAN»ALL»CPA»LAL»X»NA»SS»NA»FreeAcctDeveloperFB-AnimatedGeneric-Ch1»PS7B5P</t>
  </si>
  <si>
    <t xml:space="preserve">FACEBOOK»USA-Trial-ITD-Trial PayGo Lookalike-AZR-AZR»1 x 1»SocialBan»CAN»ALL»CPA»LAL»X»NA»SS»NA»FreeAcctDeveloperFB-AnimatedGeneric-Ch1»PS7B5Q</t>
  </si>
  <si>
    <t xml:space="preserve">FACEBOOK»USA-Trial-ITD-Trial PayGo Lookalike-AZR-AZR»1 x 1»SocialBan»CCA»ALL»CPA»LAL»X»NA»SS»NA»Azure Developer Facebook Collections»PRSH6K</t>
  </si>
  <si>
    <t xml:space="preserve">FACEBOOK»USA-Trial-ITD-Trial PayGo Lookalike-AZR-AZR»1 x 1»SocialBan»LIA»ALL»CPA»LAL»X»NA»SS»NA»FreeAcctDeveloperFB-AnimatedGeneric-Ch1»PRC1Q5</t>
  </si>
  <si>
    <t xml:space="preserve">FACEBOOK»USA-Trial-ITD-Trial PayGo Lookalike-AZR-AZR»1 x 1»SocialBan»LIA»ALL»CPA»LAL»X»NA»SS»NA»FreeAcctDeveloperFB-AnimatedGeneric-Ch1»PRC1Q6</t>
  </si>
  <si>
    <t xml:space="preserve">LINKEDIN»USA-Trial-ITD-Bing Retargeting LAL-AZR-AZR»1 x 1»SocialBan»LIA»ALL»CPA»RT»D»All»SS»NA»FreeAcctRetargetingLI-Credit-ChA»PS7BSZ</t>
  </si>
  <si>
    <t xml:space="preserve">Linkedin</t>
  </si>
  <si>
    <t xml:space="preserve">AZR_FreeAcctRetargetingLI-Credit-ChA_USA_1200x627_LIA_Plat_English_Free Account_Standard_NA_SINU_T1_1</t>
  </si>
  <si>
    <t xml:space="preserve">LINKEDIN»USA-Trial-ITD-Bing Retargeting LAL-AZR-AZR»1 x 1»SocialBan»LIA»ALL»CPA»RT»D»All»SS»NA»FreeAcctRetargetingLI-GlobalAlt-ChB»PS7BT3</t>
  </si>
  <si>
    <t xml:space="preserve">AZR_FreeAcctRetargetingLI-GlobalAlt-ChB_USA_1200x627_LIA_Plat_English_Free Account_Standard_NA_SINU_T2_1</t>
  </si>
  <si>
    <t xml:space="preserve">LINKEDIN»USA-Trial-ITD-Bing Retargeting LAL-AZR-AZR»1 x 1»SocialBan»LIA»ALL»CPA»RT»D»All»SS»NA»FreeAcctRetargetingVMLI-OnDemand-ChE»PS7BSX</t>
  </si>
  <si>
    <t xml:space="preserve">AZR_FreeAcctRetargetingVMLI-OnDemand-ChE_USA_1200x627_LIA_Plat_English_Free Account_Standard_NA_SINU_T2_1</t>
  </si>
  <si>
    <t xml:space="preserve">LINKEDIN»USA-Trial-ITD-Bing Retargeting-AZR-AZR»1 x 1»SocialBan»LIA»ALL»CPA»RT»D»All»SS»NA»FreeAcctRetargetingLI-Credit-ChA»PS7BTJ</t>
  </si>
  <si>
    <t xml:space="preserve">LINKEDIN»USA-Trial-ITD-Bing Retargeting-AZR-AZR»1 x 1»SocialBan»LIA»ALL»CPA»RT»D»All»SS»NA»FreeAcctRetargetingLI-GlobalAlt-ChB»PS7BTN</t>
  </si>
  <si>
    <t xml:space="preserve">LINKEDIN»USA-Trial-ITD-Bing Retargeting-AZR-AZR»1 x 1»SocialBan»LIA»ALL»CPA»RT»D»All»SS»NA»FreeAcctRetargetingVMLI-750Hrs-ChD»PS7BTF</t>
  </si>
  <si>
    <t xml:space="preserve">AZR_FreeAcctRetargetingVMLI-750Hrs-ChD_USA_1200x627_LIA_Plat_English_Free Account_Standard_NA_SINU_T1_1</t>
  </si>
  <si>
    <t xml:space="preserve">LINKEDIN»USA-Trial-ITD-Bing Retargeting-AZR-AZR»1 x 1»SocialBan»LIA»ALL»CPA»RT»D»All»SS»NA»FreeAcctRetargetingVMLI-OnDemand-ChE»PS7BTG</t>
  </si>
  <si>
    <t xml:space="preserve">LINKEDIN»USA-Trial-ITD-Bing Retargeting-AZR-AZR»1 x 1»SocialBan»VLA»ALL»CPA»RT»D»All»SS»NA»FreeAcctDeveloperLI-AnimatedAI-Ch3»PS7BTR</t>
  </si>
  <si>
    <t xml:space="preserve">AZR_FreeAcctDeveloperLI-AnimatedAI-Ch3_USA_1920x1080_VLA_Direct_EN_Trial_Standard_ANI_LEA_T3_1</t>
  </si>
  <si>
    <t xml:space="preserve">LINKEDIN»USA-Trial-ITD-Bing Retargeting-AZR-AZR»1 x 1»SocialBan»VLA»ALL»CPA»RT»D»All»SS»NA»FreeAcctDeveloperLI-AnimatedData-Ch4»PS7BTS</t>
  </si>
  <si>
    <t xml:space="preserve">AZR_FreeAcctDeveloperLI-AnimatedData-Ch4_USA_1920x1080_VLA_Direct_EN_Trial_Standard_ANI_LEA_T4_1</t>
  </si>
  <si>
    <t xml:space="preserve">LINKEDIN»USA-Trial-ITD-Bing Retargeting-AZR-AZR»1 x 1»SocialBan»VLA»ALL»CPA»RT»D»All»SS»NA»FreeAcctDeveloperLI-AnimatedGeneric-Ch1»PS7BTL</t>
  </si>
  <si>
    <t xml:space="preserve">AZR_FreeAcctDeveloperLI-AnimatedGeneric-Ch1_USA_1920x1080_VLA_Direct_EN_Trial_Standard_ANI_LEA_T1_1</t>
  </si>
  <si>
    <t xml:space="preserve">LINKEDIN»USA-Trial-ITD-Bing Retargeting-AZR-AZR»1 x 1»SocialBan»VLA»ALL»CPA»RT»D»All»SS»NA»FreeAcctDeveloperLI-AnimatedGeneric-Ch1»PS7BTM</t>
  </si>
  <si>
    <t xml:space="preserve">LINKEDIN»USA-Trial-ITD-Bing Retargeting-AZR-AZR»1 x 1»SocialBan»VLA»ALL»CPA»RT»D»All»SS»NA»FreeAcctITProLI-AnimatedHybrid-Ch2»PS7BTV</t>
  </si>
  <si>
    <t xml:space="preserve">AZR_FreeAcctITProLI-AnimatedHybrid-Ch2_USA_1920x1080_VLA_Direct_EN_Trial_Standard_ANI_LEA_T2_1</t>
  </si>
  <si>
    <t xml:space="preserve">LINKEDIN»USA-Trial-ITD-Bing Retargeting-AZR-AZR»1 x 1»SocialBan»VLA»ALL»CPA»RT»D»All»SS»NA»FreeAcctITProLI-AnimatedMigration-Ch3»PS7BTP</t>
  </si>
  <si>
    <t xml:space="preserve">AZR_FreeAcctITProLI-AnimatedMigration-Ch3_USA_1920x1080_VLA_Direct_EN_Trial_Standard_ANI_LEA_T3_1</t>
  </si>
  <si>
    <t xml:space="preserve">LINKEDIN»USA-Trial-ITD-Bing Retargeting-AZR-AZR»1 x 1»SocialBan»VLA»ALL»CPA»RT»D»All»SS»NA»FreeAcctITProLI-AnimatedSecureWellMngd-Ch1»PS7BTT</t>
  </si>
  <si>
    <t xml:space="preserve">AZR_FreeAcctITProLI-AnimatedSecureWellMngd-Ch1_USA_1920x1080_VLA_Direct_EN_Trial_Standard_ANI_LEA_T1_1</t>
  </si>
  <si>
    <t xml:space="preserve">LINKEDIN»USA-Trial-ITD-Groups Prospecting-AZR-AZR»1 x 1»SocialBan»LIA»ALL»CPA»PRO»D»All»SS»NA»FreeAcctRetargetingVMLI-750Hrs-ChD»PS7BRT</t>
  </si>
  <si>
    <t xml:space="preserve">LINKEDIN»USA-Trial-ITD-Groups Prospecting-AZR-AZR»1 x 1»SocialBan»LIA»ALL»CPA»PRO»D»All»SS»NA»FreeAcctRetargetingVMLI-OnDemand-ChE»PS7BRV</t>
  </si>
  <si>
    <t xml:space="preserve">LINKEDIN»USA-Trial-ITD-Groups Prospecting-AZR-AZR»1 x 1»SocialBan»VLA»ALL»CPA»PRO»D»All»SS»NA»FreeAcctDeveloperLI-AnimatedAI-Ch3»PS7BS4</t>
  </si>
  <si>
    <t xml:space="preserve">LINKEDIN»USA-Trial-ITD-Groups Prospecting-AZR-AZR»1 x 1»SocialBan»VLA»ALL»CPA»PRO»D»All»SS»NA»FreeAcctDeveloperLI-AnimatedData-Ch4»PS7BS5</t>
  </si>
  <si>
    <t xml:space="preserve">LINKEDIN»USA-Trial-ITD-Groups Prospecting-AZR-AZR»1 x 1»SocialBan»VLA»ALL»CPA»PRO»D»All»SS»NA»FreeAcctDeveloperLI-AnimatedGeneric-Ch1»PS7BRZ</t>
  </si>
  <si>
    <t xml:space="preserve">LINKEDIN»USA-Trial-ITD-Groups Prospecting-AZR-AZR»1 x 1»SocialBan»VLA»ALL»CPA»PRO»D»All»SS»NA»FreeAcctDeveloperLI-AnimatedGeneric-Ch1»PS7BS0</t>
  </si>
  <si>
    <t xml:space="preserve">LINKEDIN»USA-Trial-ITD-Groups Prospecting-AZR-AZR»1 x 1»SocialBan»VLA»ALL»CPA»PRO»D»All»SS»NA»FreeAcctITProLI-AnimatedHybrid-Ch2»PS7BS7</t>
  </si>
  <si>
    <t xml:space="preserve">LINKEDIN»USA-Trial-ITD-Groups Prospecting-AZR-AZR»1 x 1»SocialBan»VLA»ALL»CPA»PRO»D»All»SS»NA»FreeAcctITProLI-AnimatedMigration-Ch3»PS7BS2</t>
  </si>
  <si>
    <t xml:space="preserve">LINKEDIN»USA-Trial-ITD-Groups Prospecting-AZR-AZR»1 x 1»SocialBan»VLA»ALL»CPA»PRO»D»All»SS»NA»FreeAcctITProLI-AnimatedSecureWellMngd-Ch1»PS7BS6</t>
  </si>
  <si>
    <t xml:space="preserve">LINKEDIN»USA-Trial-ITD-Job Functions Prospecting-AZR-AZR»1 x 1»SocialBan»LIA»ALL»CPA»PRO»D»All»SS»NA»FreeAcctRetargetingLI-Animated-ChC»PS7BS9</t>
  </si>
  <si>
    <t xml:space="preserve">AZR_FreeAcctRetargetingLI-Animated-ChC_USA_1200x627_LIA_Plat_English_Free Account_Standard_ANI_SINU_T3_1</t>
  </si>
  <si>
    <t xml:space="preserve">LINKEDIN»USA-Trial-ITD-Job Functions Prospecting-AZR-AZR»1 x 1»SocialBan»LIA»ALL»CPA»PRO»D»All»SS»NA»FreeAcctRetargetingLI-Credit-ChA»PS7BSG</t>
  </si>
  <si>
    <t xml:space="preserve">LINKEDIN»USA-Trial-ITD-Job Functions Prospecting-AZR-AZR»1 x 1»SocialBan»LIA»ALL»CPA»PRO»D»All»SS»NA»FreeAcctRetargetingLI-GlobalAlt-ChB»PS7BSL</t>
  </si>
  <si>
    <t xml:space="preserve">LINKEDIN»USA-Trial-ITD-Job Functions Prospecting-AZR-AZR»1 x 1»SocialBan»LIA»ALL»CPA»PRO»D»All»SS»NA»FreeAcctRetargetingVMLI-750Hrs-ChD»PS7BSC</t>
  </si>
  <si>
    <t xml:space="preserve">LINKEDIN»USA-Trial-ITD-Job Functions Prospecting-AZR-AZR»1 x 1»SocialBan»LIA»ALL»CPA»PRO»D»All»SS»NA»FreeAcctRetargetingVMLI-OnDemand-ChE»PS7BSD</t>
  </si>
  <si>
    <t xml:space="preserve">LINKEDIN»USA-Trial-ITD-Job Functions Prospecting-AZR-AZR»1 x 1»SocialBan»VLA»ALL»CPA»PRO»D»All»SS»NA»FreeAcctDeveloperLI-AnimatedAI-Ch3»PS7BSP</t>
  </si>
  <si>
    <t xml:space="preserve">LINKEDIN»USA-Trial-ITD-Job Functions Prospecting-AZR-AZR»1 x 1»SocialBan»VLA»ALL»CPA»PRO»D»All»SS»NA»FreeAcctDeveloperLI-AnimatedData-Ch4»PS7BSQ</t>
  </si>
  <si>
    <t xml:space="preserve">LINKEDIN»USA-Trial-ITD-Job Functions Prospecting-AZR-AZR»1 x 1»SocialBan»VLA»ALL»CPA»PRO»D»All»SS»NA»FreeAcctDeveloperLI-AnimatedGeneric-Ch1»PS7BSJ</t>
  </si>
  <si>
    <t xml:space="preserve">LINKEDIN»USA-Trial-ITD-Job Functions Prospecting-AZR-AZR»1 x 1»SocialBan»VLA»ALL»CPA»PRO»D»All»SS»NA»FreeAcctDeveloperLI-AnimatedGeneric-Ch1»PS7BSK</t>
  </si>
  <si>
    <t xml:space="preserve">LINKEDIN»USA-Trial-ITD-Job Functions Prospecting-AZR-AZR»1 x 1»SocialBan»VLA»ALL»CPA»PRO»D»All»SS»NA»FreeAcctITProLI-AnimatedHybrid-Ch2»PS7BSS</t>
  </si>
  <si>
    <t xml:space="preserve">LINKEDIN»USA-Trial-ITD-Job Functions Prospecting-AZR-AZR»1 x 1»SocialBan»VLA»ALL»CPA»PRO»D»All»SS»NA»FreeAcctITProLI-AnimatedMigration-Ch3»PS7BSM</t>
  </si>
  <si>
    <t xml:space="preserve">LINKEDIN»USA-Trial-ITD-Job Functions Prospecting-AZR-AZR»1 x 1»SocialBan»VLA»ALL»CPA»PRO»D»All»SS»NA»FreeAcctITProLI-AnimatedSecureWellMngd-Ch1»PS7BSR</t>
  </si>
  <si>
    <t xml:space="preserve">LINKEDIN»USA-Trial-ITD-Job Titles Prospecting-AZR-AZR»1 x 1»SocialBan»LIA»ALL»CPA»PRO»D»All»SS»NA»FreeAcctRetargetingLI-Credit-ChA»PS78T2</t>
  </si>
  <si>
    <t xml:space="preserve">LINKEDIN»USA-Trial-ITD-Job Titles Prospecting-AZR-AZR»1 x 1»SocialBan»LIA»ALL»CPA»PRO»D»All»SS»NA»FreeAcctRetargetingLI-GlobalAlt-ChB»PS7B68</t>
  </si>
  <si>
    <t xml:space="preserve">LINKEDIN»USA-Trial-ITD-Job Titles Prospecting-AZR-AZR»1 x 1»SocialBan»LIA»ALL»CPA»PRO»D»All»SS»NA»FreeAcctRetargetingVMLI-750Hrs-ChD»PS7B6D</t>
  </si>
  <si>
    <t xml:space="preserve">LINKEDIN»USA-Trial-ITD-Job Titles Prospecting-AZR-AZR»1 x 1»SocialBan»LIA»ALL»CPA»PRO»D»All»SS»NA»FreeAcctRetargetingVMLI-OnDemand-ChE»PS7B6F</t>
  </si>
  <si>
    <t xml:space="preserve">LINKEDIN»USA-Trial-ITD-Job Titles Prospecting-AZR-AZR»1 x 1»SocialBan»VLA»ALL»CPA»PRO»D»All»SS»NA»FreeAcctDeveloperLI-AnimatedAI-Ch3»PS7B6N</t>
  </si>
  <si>
    <t xml:space="preserve">LINKEDIN»USA-Trial-ITD-Job Titles Prospecting-AZR-AZR»1 x 1»SocialBan»VLA»ALL»CPA»PRO»D»All»SS»NA»FreeAcctDeveloperLI-AnimatedData-Ch4»PS7B6P</t>
  </si>
  <si>
    <t xml:space="preserve">LINKEDIN»USA-Trial-ITD-Job Titles Prospecting-AZR-AZR»1 x 1»SocialBan»VLA»ALL»CPA»PRO»D»All»SS»NA»FreeAcctDeveloperLI-AnimatedGeneric-Ch1»PS7B6J</t>
  </si>
  <si>
    <t xml:space="preserve">LINKEDIN»USA-Trial-ITD-Job Titles Prospecting-AZR-AZR»1 x 1»SocialBan»VLA»ALL»CPA»PRO»D»All»SS»NA»FreeAcctDeveloperLI-AnimatedGeneric-Ch1»PS7B6K</t>
  </si>
  <si>
    <t xml:space="preserve">LINKEDIN»USA-Trial-ITD-Job Titles Prospecting-AZR-AZR»1 x 1»SocialBan»VLA»ALL»CPA»PRO»D»All»SS»NA»FreeAcctITProLI-AnimatedHybrid-Ch2»PS7B6R</t>
  </si>
  <si>
    <t xml:space="preserve">LINKEDIN»USA-Trial-ITD-Job Titles Prospecting-AZR-AZR»1 x 1»SocialBan»VLA»ALL»CPA»PRO»D»All»SS»NA»FreeAcctITProLI-AnimatedMigration-Ch3»PS7B6Z</t>
  </si>
  <si>
    <t xml:space="preserve">LINKEDIN»USA-Trial-ITD-Job Titles Prospecting-AZR-AZR»1 x 1»SocialBan»VLA»ALL»CPA»PRO»D»All»SS»NA»FreeAcctITProLI-AnimatedSecureWellMngd-Ch1»PS7B6Q</t>
  </si>
  <si>
    <t xml:space="preserve">LINKEDIN»USA-Trial-ITD-Skills Prospecting-AZR-AZR»1 x 1»SocialBan»LIA»ALL»CPA»PRO»D»All»SS»NA»FreeAcctRetargetingLI-Credit-ChA»PS7BV2</t>
  </si>
  <si>
    <t xml:space="preserve">LINKEDIN»USA-Trial-ITD-Skills Prospecting-AZR-AZR»1 x 1»SocialBan»LIA»ALL»CPA»PRO»D»All»SS»NA»FreeAcctRetargetingLI-GlobalAlt-ChB»PS7BV6</t>
  </si>
  <si>
    <t xml:space="preserve">LINKEDIN»USA-Trial-ITD-Skills Prospecting-AZR-AZR»1 x 1»SocialBan»LIA»ALL»CPA»PRO»D»All»SS»NA»FreeAcctRetargetingVMLI-750Hrs-ChD»PS7BTZ</t>
  </si>
  <si>
    <t xml:space="preserve">LINKEDIN»USA-Trial-ITD-Skills Prospecting-AZR-AZR»1 x 1»SocialBan»LIA»ALL»CPA»PRO»D»All»SS»NA»FreeAcctRetargetingVMLI-OnDemand-ChE»PS7BV0</t>
  </si>
  <si>
    <t xml:space="preserve">LINKEDIN»USA-Trial-ITD-Skills Prospecting-AZR-AZR»1 x 1»SocialBan»VLA»ALL»CPA»PRO»D»All»SS»NA»FreeAcctDeveloperLI-AnimatedAI-Ch3»PS7BV9</t>
  </si>
  <si>
    <t xml:space="preserve">LINKEDIN»USA-Trial-ITD-Skills Prospecting-AZR-AZR»1 x 1»SocialBan»VLA»ALL»CPA»PRO»D»All»SS»NA»FreeAcctDeveloperLI-AnimatedData-Ch4»PS7BVB</t>
  </si>
  <si>
    <t xml:space="preserve">LINKEDIN»USA-Trial-ITD-Skills Prospecting-AZR-AZR»1 x 1»SocialBan»VLA»ALL»CPA»PRO»D»All»SS»NA»FreeAcctDeveloperLI-AnimatedGeneric-Ch1»PS7BV4</t>
  </si>
  <si>
    <t xml:space="preserve">LINKEDIN»USA-Trial-ITD-Skills Prospecting-AZR-AZR»1 x 1»SocialBan»VLA»ALL»CPA»PRO»D»All»SS»NA»FreeAcctDeveloperLI-AnimatedGeneric-Ch1»PS7BV5</t>
  </si>
  <si>
    <t xml:space="preserve">LINKEDIN»USA-Trial-ITD-Skills Prospecting-AZR-AZR»1 x 1»SocialBan»VLA»ALL»CPA»PRO»D»All»SS»NA»FreeAcctITProLI-AnimatedHybrid-Ch2»PS7BVD</t>
  </si>
  <si>
    <t xml:space="preserve">LINKEDIN»USA-Trial-ITD-Skills Prospecting-AZR-AZR»1 x 1»SocialBan»VLA»ALL»CPA»PRO»D»All»SS»NA»FreeAcctITProLI-AnimatedMigration-Ch3»PS7BV7</t>
  </si>
  <si>
    <t xml:space="preserve">LINKEDIN»USA-Trial-ITD-Skills Prospecting-AZR-AZR»1 x 1»SocialBan»VLA»ALL»CPA»PRO»D»All»SS»NA»FreeAcctITProLI-AnimatedSecureWellMngd-Ch1»PS7BVC</t>
  </si>
  <si>
    <t xml:space="preserve">LINKEDIN»USA-Trial-ITD-Website Retargeting-AZR-AZR»1 x 1»SocialBan»LIA»ALL»CPA»RT»D»All»SS»NA»FreeAcctRetargetingLI-Credit-ChA»PS7BVM</t>
  </si>
  <si>
    <t xml:space="preserve">LINKEDIN»USA-Trial-ITD-Website Retargeting-AZR-AZR»1 x 1»SocialBan»LIA»ALL»CPA»RT»D»All»SS»NA»FreeAcctRetargetingLI-GlobalAlt-ChB»PS7BVR</t>
  </si>
  <si>
    <t xml:space="preserve">LINKEDIN»USA-Trial-ITD-Website Retargeting-AZR-AZR»1 x 1»SocialBan»LIA»ALL»CPA»RT»D»All»SS»NA»FreeAcctRetargetingOSSLI-Logos-ChG»PS7BVN</t>
  </si>
  <si>
    <t xml:space="preserve">AZR_FreeAcctRetargetingOSSLI-Logos-ChG_USA_1200x627_LIA_Plat_English_Free Account_Standard_NA_SINU_T2_1</t>
  </si>
  <si>
    <t xml:space="preserve">LINKEDIN»USA-Trial-ITD-Website Retargeting-AZR-AZR»1 x 1»SocialBan»LIA»ALL»CPA»RT»D»All»SS»NA»FreeAcctRetargetingVMLI-750Hrs-ChD»PS7BVJ</t>
  </si>
  <si>
    <t xml:space="preserve">LINKEDIN»USA-Trial-ITD-Website Retargeting-AZR-AZR»1 x 1»SocialBan»LIA»ALL»CPA»RT»D»All»SS»NA»FreeAcctRetargetingVMLI-OnDemand-ChE»PS7BVK</t>
  </si>
  <si>
    <t xml:space="preserve">LINKEDIN»USA-Trial-ITD-Website Retargeting-AZR-AZR»1 x 1»SocialBan»VLA»ALL»CPA»RT»D»All»SS»NA»FreeAcctDeveloperLI-AnimatedAI-Ch3»PS7BVV</t>
  </si>
  <si>
    <t xml:space="preserve">LINKEDIN»USA-Trial-ITD-Website Retargeting-AZR-AZR»1 x 1»SocialBan»VLA»ALL»CPA»RT»D»All»SS»NA»FreeAcctDeveloperLI-AnimatedData-Ch4»PS7BVW</t>
  </si>
  <si>
    <t xml:space="preserve">LINKEDIN»USA-Trial-ITD-Website Retargeting-AZR-AZR»1 x 1»SocialBan»VLA»ALL»CPA»RT»D»All»SS»NA»FreeAcctDeveloperLI-AnimatedGeneric-Ch1»PS7BVP</t>
  </si>
  <si>
    <t xml:space="preserve">LINKEDIN»USA-Trial-ITD-Website Retargeting-AZR-AZR»1 x 1»SocialBan»VLA»ALL»CPA»RT»D»All»SS»NA»FreeAcctDeveloperLI-AnimatedGeneric-Ch1»PS7BVQ</t>
  </si>
  <si>
    <t xml:space="preserve">LINKEDIN»USA-Trial-ITD-Website Retargeting-AZR-AZR»1 x 1»SocialBan»VLA»ALL»CPA»RT»D»All»SS»NA»FreeAcctDeveloperLI-AnimatedOpenSource-Ch2»PS7BVT</t>
  </si>
  <si>
    <t xml:space="preserve">AZR_FreeAcctDeveloperLI-AnimatedOpenSource-Ch2_USA_1920x1080_VLA_Direct_EN_Trial_Standard_ANI_LEA_T2_1</t>
  </si>
  <si>
    <t xml:space="preserve">LINKEDIN»USA-Trial-ITD-Website Retargeting-AZR-AZR»1 x 1»SocialBan»VLA»ALL»CPA»RT»D»All»SS»NA»FreeAcctITProLI-AnimatedHybrid-Ch2»PS7BVY</t>
  </si>
  <si>
    <t xml:space="preserve">LINKEDIN»USA-Trial-ITD-Website Retargeting-AZR-AZR»1 x 1»SocialBan»VLA»ALL»CPA»RT»D»All»SS»NA»FreeAcctITProLI-AnimatedMigration-Ch3»PS7BVS</t>
  </si>
  <si>
    <t xml:space="preserve">LINKEDIN»USA-Trial-ITD-Website Retargeting-AZR-AZR»1 x 1»SocialBan»VLA»ALL»CPA»RT»D»All»SS»NA»FreeAcctITProLI-AnimatedSecureWellMngd-Ch1»PS7BVX</t>
  </si>
  <si>
    <t xml:space="preserve">AzurePlatform_FBCTCBenefitinMotion_USA_10s_CAN_PLATFORM_English_Trial_Standard_STAN_TIN_T3_2</t>
  </si>
  <si>
    <t xml:space="preserve">AzurePlatform_FBCTCBrandinMotion_USA_10s_CAN_PLATFORM_English_Trial_Standard_STAN_TIN_T2_2</t>
  </si>
  <si>
    <t xml:space="preserve">FACEBOOK»USA-Trial-ITD-Interest Prospecting-AZR-AZR»1 x 1»SocialBan»CAN»ALL»CPA»PRO»X»NA»SS»NA»FreeAcctITProFB-AnimatedSecureMngd-Ch1»PS78JD</t>
  </si>
  <si>
    <t xml:space="preserve">AZR_FreeAcctITProFB-AnimatedSecureMngd-Ch1_USA_1200x1200_CAN_Direct_EN_Trial_Standard_ANI_LEA_T1_1</t>
  </si>
  <si>
    <t xml:space="preserve">FACEBOOK»USA-Trial-ITD-Retargeting-AZR-AZR»1 x 1»SocialBan»CAN»ALL»CPA»RT»X»NA»SS»NA»FreeAcctRetargetingVMFB-750Hrs-ChD»PS79SW</t>
  </si>
  <si>
    <t xml:space="preserve">AZR_FreeAcctRetargetingVMFB-750Hrs-ChD_USA_1200x628_CAN_Plat_English_Free Account_Standard_NA_SINU_T1_2</t>
  </si>
  <si>
    <t xml:space="preserve">FACEBOOK»USA-Trial-ITD-Retargeting-AZR-AZR»1 x 1»SocialBan»CAN»ALL»CPA»RT»X»NA»SS»NA»FreeAcctRetargetingVMFB-OnDemand-ChE»PS79SY</t>
  </si>
  <si>
    <t xml:space="preserve">AZR_FreeAcctRetargetingVMFB-OnDemand-ChE_USA_1200x628_CAN_Plat_English_Free Account_Standard_NA_SINU_T2_1</t>
  </si>
  <si>
    <t xml:space="preserve">FACEBOOK»USA-Trial-ITD-Retargeting-AZR-AZR»1 x 1»SocialBan»CCA»ALL»CPA»RT»X»NA»SS»NA»Azure Developer Facebook Collections»PRSGY7</t>
  </si>
  <si>
    <t xml:space="preserve">FACEBOOK»USA-Trial-ITD-Trial PayGo Lookalike-AZR-AZR»1 x 1»SocialBan»CAN»ALL»CPA»LAL»X»NA»SS»NA»FreeAcctDeveloperFB-AnimatedData-Ch4»PS7B5V</t>
  </si>
  <si>
    <t xml:space="preserve">LINKEDIN»USA-Trial-ITD-Groups Prospecting-AZR-AZR»1 x 1»SocialBan»LIA»ALL»CPA»PRO»D»All»SS»NA»FreeAcctRetargetingLI-Credit-ChA»PS7BRX</t>
  </si>
  <si>
    <t xml:space="preserve">LINKEDIN»USA-Trial-ITD-Groups Prospecting-AZR-AZR»1 x 1»SocialBan»LIA»ALL»CPA»PRO»D»All»SS»NA»FreeAcctRetargetingLI-GlobalAlt-ChB»PS7BS1</t>
  </si>
  <si>
    <t xml:space="preserve">AZR_FreeAcctDeveloperFB-AnimatedData-Ch4_USA_1200x1200_CAN_Direct_EN_Trial_Standard_ANI_LEA_T4_2</t>
  </si>
  <si>
    <t xml:space="preserve">FACEBOOK»USA-Trial-ITD-Lead Completes Lookalike-AZR-AZR»1 x 1»SocialBan»LIA»ALL»CPA»LAL»X»NA»SS»NA»FreeAcctITProFB-AnimatedHybrid-Ch2»PRX71W</t>
  </si>
  <si>
    <t xml:space="preserve">AZR_FreeAcctITProFB-AnimatedHybrid-Ch2_USA_1200x1200_LIA_Direct_English_Trial_Standard_ANI_LEA_T2_1</t>
  </si>
  <si>
    <t xml:space="preserve">FACEBOOK»USA-Trial-ITD-M1 Trial-AZR-AZR»1 x 1»SocialBan»LIA»ALL»CPA»PRO»X»NA»SS»NA»FreeAcctDeveloperFB-AnimatedOpenSource-Ch2»PRC1VB</t>
  </si>
  <si>
    <t xml:space="preserve">FACEBOOK»USA-Trial-ITD-Retargeting-AZR-AZR»1 x 1»SocialBan»CAN»ALL»CPA»RT»X»NA»SS»NA»FBCTCBenefit2inMotion»PRC1RR</t>
  </si>
  <si>
    <t xml:space="preserve">FACEBOOK»USA-Trial-ITD-Trial PayGo Lookalike-AZR-AZR»1 x 1»SocialBan»LIA»ALL»CPA»LAL»X»NA»SS»NA»FreeAcctITProFB-AnimatedMigration-Ch3»PRC23Y</t>
  </si>
  <si>
    <t xml:space="preserve">AZR_FreeAcctITProFB-AnimatedMigration-Ch3_USA_1200x1200_CAN_Direct_English_Trial_Standard_ANI_LEA_T3_2</t>
  </si>
  <si>
    <t xml:space="preserve">INSTAGRAM»USA-Trial-ITD-Interest Prospecting-AZR-AZR»1 x 1»SocialBan»CAN»ALL»CPA»PRO»X»NA»SS»NA»IGCTCBenefit2inMotion»PRC2PD</t>
  </si>
  <si>
    <t xml:space="preserve">Facebook - Instagram</t>
  </si>
  <si>
    <t xml:space="preserve">AzurePlatform_IGCTCBrandinMotion_USA_10s_CAN_PLATFORM_English_Trial_Standard_STAN_TIN_T2_1</t>
  </si>
  <si>
    <t xml:space="preserve">LINKEDIN»USA-Trial-ITD-Bing Retargeting LAL-AZR-AZR»1 x 1»SocialBan»LIA»ALL»CPA»RT»D»All»SS»NA»FreeAcctRetargetingLI-Animated-ChC»PS7BST</t>
  </si>
  <si>
    <t xml:space="preserve">LINKEDIN»USA-Trial-ITD-Website Retargeting-AZR-AZR»1 x 1»SocialBan»LIA»ALL»CPA»RT»D»All»SS»NA»FreeAcctRetargetingOSSLI-Text-ChF»PS7BVL</t>
  </si>
  <si>
    <t xml:space="preserve">AZR_FreeAcctRetargetingOSSLI-Text-ChF_USA_1200x627_LIA_Plat_English_Free Account_Standard_NA_SINU_T1_1</t>
  </si>
  <si>
    <t xml:space="preserve">Facebook»Audience &amp; Interest Targeting- Azure Trial PayGo Lookalikes»1x1»TextLink»CAN»MO»CPM»AUT»W»NA»SS»NA»Free Account IT Pro- Secure</t>
  </si>
  <si>
    <t xml:space="preserve">FACEBOOK»USA-Trial-ITD-Lead Completes Lookalike-AZR-AZR»1 x 1»SocialBan»CAN»ALL»CPA»LAL»X»NA»SS»NA»FBCTCBrandinMotion»PRX724</t>
  </si>
  <si>
    <t xml:space="preserve">AZR_FBCTCBrandinMotion_USA_10s_CAN_PLATFORM_English_Trial_Standard_STAN_TIN_T2_1</t>
  </si>
  <si>
    <t xml:space="preserve">FACEBOOK»USA-Trial-ITD-Lead Completes Lookalike-AZR-AZR»1 x 1»SocialBan»CAN»ALL»CPA»LAL»X»NA»SS»NA»FreeAcctDeveloperFB-AnimatedData-Ch4»PS79G1</t>
  </si>
  <si>
    <t xml:space="preserve">FACEBOOK»USA-Trial-ITD-Retargeting-AZR-AZR»1 x 1»SocialBan»CAN»ALL»CPA»RT»X»NA»SS»NA»FreeAcctITProFB-AnimatedSecureMngd-Ch1»PS79TK</t>
  </si>
  <si>
    <t xml:space="preserve">AZR_FreeAcctITProFB-AnimatedSecureMngd-Ch1_USA_1200x1200_CAN_Direct_EN_Trial_Standard_ANI_LEA_T1_2</t>
  </si>
  <si>
    <t xml:space="preserve">AZR_FBCTCBenefit2inMotion_USA_10s_CAN_PLATFORM_English_Trial_Standard_STAN_TIN_T4_2</t>
  </si>
  <si>
    <t xml:space="preserve">AZR_FreeAcctRetargetingOSSFB-Logos-ChG_USA_1200x628_CAN_Plat_English_Free Account_Standard_NA_SINU_T2_1</t>
  </si>
  <si>
    <t xml:space="preserve">FACEBOOK»USA-Trial-ITD-Interest Prospecting-AZR-AZR»1 x 1»SocialBan»CAN»ALL»CPA»PRO»X»NA»SS»NA»FreeAcctDeveloperFB-AnimatedOpenSource-Ch2»PS78J7</t>
  </si>
  <si>
    <t xml:space="preserve">AZR_FreeAcctDeveloperFB-AnimatedOpenSource-Ch2_USA_1200x1200_CAN_Direct_EN_Trial_Standard_ANI_LEA_T2_2</t>
  </si>
  <si>
    <t xml:space="preserve">FACEBOOK»USA-Trial-ITD-Trial Lookalike-AZR-AZR»1 x 1»SocialBan»CAN»ALL»CPA»LAL»X»NA»SS»NA»FBCTCBrandinMotion»PRC1M3</t>
  </si>
  <si>
    <t xml:space="preserve">FACEBOOK»USA-Trial-ITD-Trial Lookalike-AZR-AZR»1 x 1»SocialBan»CAN»ALL»CPA»LAL»X»NA»SS»NA»FreeAcctDeveloperFB-AnimatedOpenSource-Ch2»PS7B4Z</t>
  </si>
  <si>
    <t xml:space="preserve">FACEBOOK»USA-Trial-ITD-Interest Prospecting-AZR-AZR»1 x 1»SocialBan»CAN»ALL»CPA»PRO»X»NA»SS»NA»FBCTCBenefitinMotion»PRC1SX</t>
  </si>
  <si>
    <t xml:space="preserve">FACEBOOK»USA-Trial-ITD-Interest Prospecting-AZR-AZR»1 x 1»SocialBan»LIA»ALL»CPA»PRO»X»NA»SS»NA»FreeAcctDeveloperFB-AnimatedAI-Ch3»PRC1T2</t>
  </si>
  <si>
    <t xml:space="preserve">AZR_FreeAcctDeveloperFB-AnimatedAI-Ch3_USA_1200x1200_CAN_Direct_English_Trial_Standard_ANI_LEA_T3_1</t>
  </si>
  <si>
    <t xml:space="preserve">FACEBOOK»USA-Trial-ITD-Interest Prospecting-AZR-AZR»1 x 1»SocialBan»LIA»ALL»CPA»PRO»X»NA»SS»NA»FreeAcctDeveloperFB-AnimatedData-Ch4»PRC1T3</t>
  </si>
  <si>
    <t xml:space="preserve">FACEBOOK»USA-Trial-ITD-Interest Prospecting-AZR-AZR»1 x 1»SocialBan»LIA»ALL»CPA»PRO»X»NA»SS»NA»FreeAcctDeveloperFB-AnimatedGeneric-Ch1»PRC1T0</t>
  </si>
  <si>
    <t xml:space="preserve">FACEBOOK»USA-Trial-ITD-Interest Prospecting-AZR-AZR»1 x 1»SocialBan»LIA»ALL»CPA»PRO»X»NA»SS»NA»FreeAcctITProFB-AnimatedHybrid-Ch2»PRC1T5</t>
  </si>
  <si>
    <t xml:space="preserve">AZR_FreeAcctITProFB-AnimatedHybrid-Ch2_USA_1200x1200_CAN_Direct_English_Trial_Standard_ANI_LEA_T2_2</t>
  </si>
  <si>
    <t xml:space="preserve">FACEBOOK»USA-Trial-ITD-Interest Prospecting-AZR-AZR»1 x 1»SocialBan»LIA»ALL»CPA»PRO»X»NA»SS»NA»FreeAcctITProFB-AnimatedMigration-Ch3»PRC1X2</t>
  </si>
  <si>
    <t xml:space="preserve">FACEBOOK»USA-Trial-ITD-Lead Completes Lookalike-AZR-AZR»1 x 1»SocialBan»CAN»ALL»CPA»LAL»X»NA»SS»NA»FreeAcctDeveloperFB-AnimatedOpenSource-Ch2»PS79G4</t>
  </si>
  <si>
    <t xml:space="preserve">AZR_FreeAcctDeveloperFB-AnimatedOpenSource-Ch2_USA_1200x1200_CAN_Direct_EN_Trial_Standard_ANI_LEA_T2_1</t>
  </si>
  <si>
    <t xml:space="preserve">FACEBOOK»USA-Trial-ITD-Retargeting-AZR-AZR»1 x 1»SocialBan»CAN»ALL»CPA»RT»X»NA»SS»NA»FreeAcctDeveloperFB-AnimatedGeneric-Ch1»PS79T5</t>
  </si>
  <si>
    <t xml:space="preserve">FACEBOOK»USA-Trial-ITD-Retargeting-AZR-AZR»1 x 1»SocialBan»LIA»ALL»CPA»RT»X»NA»SS»NA»FreeAcctDeveloperFB-AnimatedAI-Ch3»PRC26H</t>
  </si>
  <si>
    <t xml:space="preserve">FACEBOOK»USA-Trial-ITD-Retargeting-AZR-AZR»1 x 1»SocialBan»LIA»ALL»CPA»RT»X»NA»SS»NA»FreeAcctRetargetingFB-Animated-ChC»PRC1RX</t>
  </si>
  <si>
    <t xml:space="preserve">AzurePlatform_FreeAcctRetargetingFB-Animated-ChC_USA_1200x628_CAN_PLATFORM_English_Free Account_Standard_ANI_SINU_T3_2</t>
  </si>
  <si>
    <t xml:space="preserve">FACEBOOK»USA-Trial-ITD-Retargeting-AZR-AZR»1 x 1»SocialBan»LIA»ALL»CPA»RT»X»NA»SS»NA»FreeAcctRetargetingOSSFB-Logos-ChG»PRC1S2</t>
  </si>
  <si>
    <t xml:space="preserve">AzurePlatform_FreeAcctRetargetingOSSFB-Logos-ChG_USA_1200x628_CAN_PLATFORM_English_Free Account_Standard_NA_SINU_T2_1</t>
  </si>
  <si>
    <t xml:space="preserve">FACEBOOK»USA-Trial-ITD-Retargeting-AZR-AZR»1 x 1»SocialBan»LIA»ALL»CPA»RT»X»NA»SS»NA»FreeAcctRetargetingOSSFB-Text-ChF»PRC1S1</t>
  </si>
  <si>
    <t xml:space="preserve">AzurePlatform_FreeAcctRetargetingOSSFB-Text-ChF_USA_1200x628_CAN_PLATFORM_English_Free Account_Standard_NA_SINU_T1_2</t>
  </si>
  <si>
    <t xml:space="preserve">FACEBOOK»USA-Trial-ITD-Trial Lookalike-AZR-AZR»1 x 1»SocialBan»CAN»ALL»CPA»LAL»X»NA»SS»NA»FBCTCBasicMotion»PRC1LZ</t>
  </si>
  <si>
    <t xml:space="preserve">FACEBOOK»USA-Trial-ITD-Trial Lookalike-AZR-AZR»1 x 1»SocialBan»CAN»ALL»CPA»LAL»X»NA»SS»NA»FreeAcctDeveloperFB-AnimatedData-Ch4»PS7B52</t>
  </si>
  <si>
    <t xml:space="preserve">FACEBOOK»USA-Trial-ITD-Trial Lookalike-AZR-AZR»1 x 1»SocialBan»LIA»ALL»CPA»LAL»X»NA»SS»NA»FreeAcctDeveloperFB-AnimatedAI-Ch3»PRC1M7</t>
  </si>
  <si>
    <t xml:space="preserve">FACEBOOK»USA-Trial-ITD-Trial Lookalike-AZR-AZR»1 x 1»SocialBan»LIA»ALL»CPA»LAL»X»NA»SS»NA»FreeAcctDeveloperFB-AnimatedGeneric-Ch1»PRC1M4</t>
  </si>
  <si>
    <t xml:space="preserve">FACEBOOK»USA-Trial-ITD-Trial Lookalike-AZR-AZR»1 x 1»SocialBan»LIA»ALL»CPA»LAL»X»NA»SS»NA»FreeAcctDeveloperFB-AnimatedGeneric-Ch1»PRC1M5</t>
  </si>
  <si>
    <t xml:space="preserve">FACEBOOK»USA-Trial-ITD-Trial Lookalike-AZR-AZR»1 x 1»SocialBan»LIA»ALL»CPA»LAL»X»NA»SS»NA»FreeAcctITProFB-AnimatedHybrid-Ch2»PRC1MC</t>
  </si>
  <si>
    <t xml:space="preserve">FACEBOOK»USA-Trial-ITD-Trial Lookalike-AZR-AZR»1 x 1»SocialBan»LIA»ALL»CPA»LAL»X»NA»SS»NA»FreeAcctITProFB-AnimatedMigration-Ch3»PRC23N</t>
  </si>
  <si>
    <t xml:space="preserve">FACEBOOK»USA-Trial-ITD-Trial Lookalike-AZR-AZR»1 x 1»SocialBan»LIA»ALL»CPA»LAL»X»NA»SS»NA»FreeAcctITProFB-AnimatedSecureMngd-Ch1»PRC1M9</t>
  </si>
  <si>
    <t xml:space="preserve">FACEBOOK»USA-Trial-ITD-Trial PayGo Lookalike-AZR-AZR»1 x 1»SocialBan»LIA»ALL»CPA»LAL»X»NA»SS»NA»FreeAcctDeveloperFB-AnimatedAI-Ch3»PRC1Q8</t>
  </si>
  <si>
    <t xml:space="preserve">FACEBOOK»USA-Trial-ITD-Trial PayGo Lookalike-AZR-AZR»1 x 1»SocialBan»LIA»ALL»CPA»LAL»X»NA»SS»NA»FreeAcctDeveloperFB-AnimatedData-Ch4»PRC1Q9</t>
  </si>
  <si>
    <t xml:space="preserve">FACEBOOK»USA-Trial-ITD-Trial PayGo Lookalike-AZR-AZR»1 x 1»SocialBan»LIA»ALL»CPA»LAL»X»NA»SS»NA»FreeAcctITProFB-AnimatedHybrid-Ch2»PRC1QC</t>
  </si>
  <si>
    <t xml:space="preserve">FACEBOOK»USA-Trial-ITD-Trial PayGo Lookalike-AZR-AZR»1 x 1»SocialBan»LIA»ALL»CPA»LAL»X»NA»SS»NA»FreeAcctITProFB-AnimatedSecureMngd-Ch1»PRC1QB</t>
  </si>
  <si>
    <t xml:space="preserve">LINKEDIN»USA-Trial-ITD-Bing Retargeting-AZR-AZR»1 x 1»SocialBan»LIA»ALL»CPA»RT»D»All»SS»NA»FreeAcctRetargetingOSSLI-Logos-ChG»PS7BTK</t>
  </si>
  <si>
    <t xml:space="preserve">Copy and paste values the data for the market that needs appending.</t>
  </si>
  <si>
    <t xml:space="preserve">Copy the list of Lookup Keys (whatever was used to map in step 5) from the cost-correction file. 
Paste as values below the Lookup Keys in this table, in the same column.</t>
  </si>
  <si>
    <r>
      <rPr>
        <b val="true"/>
        <sz val="11"/>
        <color rgb="FF000000"/>
        <rFont val="Calibri"/>
        <family val="2"/>
      </rPr>
      <t xml:space="preserve">Select the entire Lookup Key column, and press 
</t>
    </r>
    <r>
      <rPr>
        <sz val="11"/>
        <color rgb="FF000000"/>
        <rFont val="Calibri"/>
        <family val="2"/>
      </rPr>
      <t xml:space="preserve">Conditional Formatting &gt; Highlight Cell Rules &gt; Duplicate Values &gt; OK. 
</t>
    </r>
    <r>
      <rPr>
        <b val="true"/>
        <sz val="11"/>
        <color rgb="FF000000"/>
        <rFont val="Calibri"/>
        <family val="2"/>
      </rPr>
      <t xml:space="preserve">The column should now have duplicate values highlighted red and unique values highlighted white.</t>
    </r>
  </si>
  <si>
    <t xml:space="preserve">Filter the Lookup Key column by color, for white colored cells. 
These cells are your unique placements that exist in you Facebook data but not in the cost-correction file. 
You need to APPEND THESE for this market.</t>
  </si>
  <si>
    <t xml:space="preserve">43337224160735103048479</t>
  </si>
  <si>
    <t xml:space="preserve">43337224160735</t>
  </si>
  <si>
    <t xml:space="preserve">43337Facebook»Audience &amp; Interest Targeting»1x1»TextLink»SOC»DT»DYN»RT»W»NA»SS»NA»Free Account Refresh- Device ChB</t>
  </si>
  <si>
    <t xml:space="preserve">AUS_gaPMG_AZR_AZR_Q1_19_Trial-Social </t>
  </si>
  <si>
    <t xml:space="preserve">Facebook»Audience &amp; Interest Targeting»1x1»TextLink»SOC»DT»DYN»RT»W»NA»SS»NA»Free Account Refresh- Device ChB</t>
  </si>
  <si>
    <t xml:space="preserve">43337224160717103048485</t>
  </si>
  <si>
    <t xml:space="preserve">43337224160717</t>
  </si>
  <si>
    <t xml:space="preserve">43337Facebook»LAL»1x1»TextLink»SOC»DT»DYN»LAL»W»NA»SS»NA»Free Account Refresh- Device ChB</t>
  </si>
  <si>
    <t xml:space="preserve">(blank)</t>
  </si>
  <si>
    <t xml:space="preserve">43337224160729103048488</t>
  </si>
  <si>
    <t xml:space="preserve">43337224160729</t>
  </si>
  <si>
    <t xml:space="preserve">43337Facebook»Audience &amp; Interest Targeting»1x1»TextLink»SOC»DT»DYN»RT»W»NA»SS»NA»Free Account Refresh- Lifestyle ChA</t>
  </si>
  <si>
    <t xml:space="preserve">Facebook»Audience &amp; Interest Targeting»1x1»TextLink»SOC»DT»DYN»RT»W»NA»SS»NA»Free Account Refresh- Lifestyle ChA</t>
  </si>
  <si>
    <t xml:space="preserve">43337224639151103316832</t>
  </si>
  <si>
    <t xml:space="preserve">43337224639151</t>
  </si>
  <si>
    <t xml:space="preserve">43337FACEBOOK»AZR-TRIAL-CANVAS-Prospecting»NA»PKG»ALL»CPL»AUD»D»All»SS»NA»FBCTCBrandinMotion_AUS_12sec</t>
  </si>
  <si>
    <t xml:space="preserve">FACEBOOK»AZR-TRIAL-CANVAS-Prospecting»NA»PKG»ALL»CPL»AUD»D»All»SS»NA»FBCTCBrandinMotion_AUS_12sec</t>
  </si>
  <si>
    <t xml:space="preserve">43337FACEBOOK»AZR-TRIAL-CANVAS-Prospecting»NA»PKG»ALL»CPL»AUD»D»All»SS»NA»FBCTCBenefit2inMotion_AUS_14sec</t>
  </si>
  <si>
    <t xml:space="preserve">FACEBOOK»AZR-TRIAL-CANVAS-Prospecting»NA»PKG»ALL»CPL»AUD»D»All»SS»NA»FBCTCBenefit2inMotion_AUS_14sec</t>
  </si>
  <si>
    <t xml:space="preserve">43337FACEBOOK»AZR-TRIAL-CANVAS-Prospecting»NA»PKG»ALL»CPL»AUD»D»All»SS»NA»FBCTCBasicMotion_AUS_10sec</t>
  </si>
  <si>
    <t xml:space="preserve">FACEBOOK»AZR-TRIAL-CANVAS-Prospecting»NA»PKG»ALL»CPL»AUD»D»All»SS»NA»FBCTCBasicMotion_AUS_10sec</t>
  </si>
  <si>
    <t xml:space="preserve">43337224160783103051614</t>
  </si>
  <si>
    <t xml:space="preserve">43337224160783</t>
  </si>
  <si>
    <t xml:space="preserve">43337FACEBOOK»TRIAL-AZR-Audience»1 x 1»NA»SOC»ALL»CPL»AUD»D»All»SS»NA»FreeAcctAppsFACEBOOK12monthsChE</t>
  </si>
  <si>
    <t xml:space="preserve">FACEBOOK»TRIAL-AZR-Audience»1 x 1»NA»SOC»ALL»CPL»AUD»D»All»SS»NA»FreeAcctAppsFACEBOOK12monthsChE</t>
  </si>
  <si>
    <t xml:space="preserve">43337224160774103186910</t>
  </si>
  <si>
    <t xml:space="preserve">43337224160774</t>
  </si>
  <si>
    <t xml:space="preserve">43337Facebook»Audience &amp; Interest Targeting»1x1»TextLink»SOC»DT»DYN»AUT»W»NA»SS»NA»Free Account Refresh- Illustration ChC</t>
  </si>
  <si>
    <t xml:space="preserve">Facebook»Audience &amp; Interest Targeting»1x1»TextLink»SOC»DT»DYN»AUT»W»NA»SS»NA»Free Account Refresh- Illustration ChC</t>
  </si>
  <si>
    <t xml:space="preserve">43337224160714103186916</t>
  </si>
  <si>
    <t xml:space="preserve">43337224160714</t>
  </si>
  <si>
    <t xml:space="preserve">43337Facebook»LAL»1x1»TextLink»SOC»DT»DYN»LAL»W»NA»SS»NA»Free Account Refresh- Illustration ChC</t>
  </si>
  <si>
    <t xml:space="preserve">43337224160777103048479</t>
  </si>
  <si>
    <t xml:space="preserve">43337224160777</t>
  </si>
  <si>
    <t xml:space="preserve">43337Facebook»Audience &amp; Interest Targeting»1x1»TextLink»SOC»DT»DYN»AUT»W»NA»SS»NA»Free Account Refresh- Device ChB</t>
  </si>
  <si>
    <t xml:space="preserve">Facebook»Audience &amp; Interest Targeting»1x1»TextLink»SOC»DT»DYN»AUT»W»NA»SS»NA»Free Account Refresh- Device ChB</t>
  </si>
  <si>
    <t xml:space="preserve">43337224160732103186910</t>
  </si>
  <si>
    <t xml:space="preserve">43337224160732</t>
  </si>
  <si>
    <t xml:space="preserve">43337Facebook»Audience &amp; Interest Targeting»1x1»TextLink»SOC»DT»DYN»RT»W»NA»SS»NA»Free Account Refresh- Illustration ChC</t>
  </si>
  <si>
    <t xml:space="preserve">Facebook»Audience &amp; Interest Targeting»1x1»TextLink»SOC»DT»DYN»RT»W»NA»SS»NA»Free Account Refresh- Illustration ChC</t>
  </si>
  <si>
    <t xml:space="preserve">43337224160771103048488</t>
  </si>
  <si>
    <t xml:space="preserve">43337224160771</t>
  </si>
  <si>
    <t xml:space="preserve">43337Facebook»Audience &amp; Interest Targeting»1x1»TextLink»SOC»DT»DYN»AUT»W»NA»SS»NA»Free Account Refresh- Lifestyle ChA</t>
  </si>
  <si>
    <t xml:space="preserve">Facebook»Audience &amp; Interest Targeting»1x1»TextLink»SOC»DT»DYN»AUT»W»NA»SS»NA»Free Account Refresh- Lifestyle ChA</t>
  </si>
  <si>
    <t xml:space="preserve">43337224160711</t>
  </si>
  <si>
    <t xml:space="preserve">43337Facebook»LAL»1x1»TextLink»SOC»DT»DYN»LAL»W»NA»SS»NA»Free Account Refresh- Lifestyle ChA</t>
  </si>
  <si>
    <t xml:space="preserve">43337224160720103186907</t>
  </si>
  <si>
    <t xml:space="preserve">43337224160720</t>
  </si>
  <si>
    <t xml:space="preserve">43337Facebook»LAL»1x1»TextLink»SOC»DT»DYN»LAL»W»NA»SS»NA»Free Account Refresh- 200 Credit ChD</t>
  </si>
  <si>
    <t xml:space="preserve">43337224160738103186904</t>
  </si>
  <si>
    <t xml:space="preserve">43337224160738</t>
  </si>
  <si>
    <t xml:space="preserve">43337Facebook»Audience &amp; Interest Targeting»1x1»TextLink»SOC»DT»DYN»RT»W»NA»SS»NA»Free Account Refresh- 200 Credit ChD</t>
  </si>
  <si>
    <t xml:space="preserve">Facebook»Audience &amp; Interest Targeting»1x1»TextLink»SOC»DT»DYN»RT»W»NA»SS»NA»Free Account Refresh- 200 Credit ChD</t>
  </si>
  <si>
    <t xml:space="preserve">43337224160780103186904</t>
  </si>
  <si>
    <t xml:space="preserve">43337224160780</t>
  </si>
  <si>
    <t xml:space="preserve">43337Facebook»Audience &amp; Interest Targeting»1x1»TextLink»SOC»DT»DYN»AUT»W»NA»SS»NA»Free Account Refresh- 200 Credit ChD</t>
  </si>
  <si>
    <t xml:space="preserve">Facebook»Audience &amp; Interest Targeting»1x1»TextLink»SOC»DT»DYN»AUT»W»NA»SS»NA»Free Account Refresh- 200 Credit ChD</t>
  </si>
  <si>
    <t xml:space="preserve">43336224160771103048488</t>
  </si>
  <si>
    <t xml:space="preserve">43336224160771</t>
  </si>
  <si>
    <t xml:space="preserve">43336Facebook»Audience &amp; Interest Targeting»1x1»TextLink»SOC»DT»DYN»AUT»W»NA»SS»NA»Free Account Refresh- Lifestyle ChA</t>
  </si>
  <si>
    <t xml:space="preserve">43336224639151103316832</t>
  </si>
  <si>
    <t xml:space="preserve">43336224639151</t>
  </si>
  <si>
    <t xml:space="preserve">43336FACEBOOK»AZR-TRIAL-CANVAS-Prospecting»NA»PKG»ALL»CPL»AUD»D»All»SS»NA»FBCTCBrandinMotion_AUS_12sec</t>
  </si>
  <si>
    <t xml:space="preserve">43336FACEBOOK»AZR-TRIAL-CANVAS-Prospecting»NA»PKG»ALL»CPL»AUD»D»All»SS»NA»FBCTCBasicMotion_AUS_10sec</t>
  </si>
  <si>
    <t xml:space="preserve">43336FACEBOOK»AZR-TRIAL-CANVAS-Prospecting»NA»PKG»ALL»CPL»AUD»D»All»SS»NA»FBCTCBenefit2inMotion_AUS_14sec</t>
  </si>
  <si>
    <t xml:space="preserve">43336224160717103048485</t>
  </si>
  <si>
    <t xml:space="preserve">43336224160717</t>
  </si>
  <si>
    <t xml:space="preserve">43336Facebook»LAL»1x1»TextLink»SOC»DT»DYN»LAL»W»NA»SS»NA»Free Account Refresh- Device ChB</t>
  </si>
  <si>
    <t xml:space="preserve">43336224160738103186904</t>
  </si>
  <si>
    <t xml:space="preserve">43336224160738</t>
  </si>
  <si>
    <t xml:space="preserve">43336Facebook»Audience &amp; Interest Targeting»1x1»TextLink»SOC»DT»DYN»RT»W»NA»SS»NA»Free Account Refresh- 200 Credit ChD</t>
  </si>
  <si>
    <t xml:space="preserve">43336224160732103186910</t>
  </si>
  <si>
    <t xml:space="preserve">43336224160732</t>
  </si>
  <si>
    <t xml:space="preserve">43336Facebook»Audience &amp; Interest Targeting»1x1»TextLink»SOC»DT»DYN»RT»W»NA»SS»NA»Free Account Refresh- Illustration ChC</t>
  </si>
  <si>
    <t xml:space="preserve">43336224160774103186910</t>
  </si>
  <si>
    <t xml:space="preserve">43336224160774</t>
  </si>
  <si>
    <t xml:space="preserve">43336Facebook»Audience &amp; Interest Targeting»1x1»TextLink»SOC»DT»DYN»AUT»W»NA»SS»NA»Free Account Refresh- Illustration ChC</t>
  </si>
  <si>
    <t xml:space="preserve">43336224160714103186916</t>
  </si>
  <si>
    <t xml:space="preserve">43336224160714</t>
  </si>
  <si>
    <t xml:space="preserve">43336Facebook»LAL»1x1»TextLink»SOC»DT»DYN»LAL»W»NA»SS»NA»Free Account Refresh- Illustration ChC</t>
  </si>
  <si>
    <t xml:space="preserve">43336224160780103186904</t>
  </si>
  <si>
    <t xml:space="preserve">43336224160780</t>
  </si>
  <si>
    <t xml:space="preserve">43336Facebook»Audience &amp; Interest Targeting»1x1»TextLink»SOC»DT»DYN»AUT»W»NA»SS»NA»Free Account Refresh- 200 Credit ChD</t>
  </si>
  <si>
    <t xml:space="preserve">43336224160711103048491</t>
  </si>
  <si>
    <t xml:space="preserve">43336224160711</t>
  </si>
  <si>
    <t xml:space="preserve">43336Facebook»LAL»1x1»TextLink»SOC»DT»DYN»LAL»W»NA»SS»NA»Free Account Refresh- Lifestyle ChA</t>
  </si>
  <si>
    <t xml:space="preserve">43336224160783103051614</t>
  </si>
  <si>
    <t xml:space="preserve">43336224160783</t>
  </si>
  <si>
    <t xml:space="preserve">43336FACEBOOK»TRIAL-AZR-Audience»1 x 1»NA»SOC»ALL»CPL»AUD»D»All»SS»NA»FreeAcctAppsFACEBOOK12monthsChE</t>
  </si>
  <si>
    <t xml:space="preserve">43336224160729103048488</t>
  </si>
  <si>
    <t xml:space="preserve">43336224160729</t>
  </si>
  <si>
    <t xml:space="preserve">43336Facebook»Audience &amp; Interest Targeting»1x1»TextLink»SOC»DT»DYN»RT»W»NA»SS»NA»Free Account Refresh- Lifestyle ChA</t>
  </si>
  <si>
    <t xml:space="preserve">43336224160735103048479</t>
  </si>
  <si>
    <t xml:space="preserve">43336224160735</t>
  </si>
  <si>
    <t xml:space="preserve">43336Facebook»Audience &amp; Interest Targeting»1x1»TextLink»SOC»DT»DYN»RT»W»NA»SS»NA»Free Account Refresh- Device ChB</t>
  </si>
  <si>
    <t xml:space="preserve">43336224160720</t>
  </si>
  <si>
    <t xml:space="preserve">43336Facebook»LAL»1x1»TextLink»SOC»DT»DYN»LAL»W»NA»SS»NA»Free Account Refresh- 200 Credit ChD</t>
  </si>
  <si>
    <t xml:space="preserve">43336224160777103048479</t>
  </si>
  <si>
    <t xml:space="preserve">43336224160777</t>
  </si>
  <si>
    <t xml:space="preserve">43336Facebook»Audience &amp; Interest Targeting»1x1»TextLink»SOC»DT»DYN»AUT»W»NA»SS»NA»Free Account Refresh- Device ChB</t>
  </si>
  <si>
    <t xml:space="preserve">43335224160720</t>
  </si>
  <si>
    <t xml:space="preserve">43335Facebook»LAL»1x1»TextLink»SOC»DT»DYN»LAL»W»NA»SS»NA»Free Account Refresh- 200 Credit ChD</t>
  </si>
  <si>
    <t xml:space="preserve">43335224160729103048488</t>
  </si>
  <si>
    <t xml:space="preserve">43335224160729</t>
  </si>
  <si>
    <t xml:space="preserve">43335Facebook»Audience &amp; Interest Targeting»1x1»TextLink»SOC»DT»DYN»RT»W»NA»SS»NA»Free Account Refresh- Lifestyle ChA</t>
  </si>
  <si>
    <t xml:space="preserve">43335224160783103051614</t>
  </si>
  <si>
    <t xml:space="preserve">43335224160783</t>
  </si>
  <si>
    <t xml:space="preserve">43335FACEBOOK»TRIAL-AZR-Audience»1 x 1»NA»SOC»ALL»CPL»AUD»D»All»SS»NA»FreeAcctAppsFACEBOOK12monthsChE</t>
  </si>
  <si>
    <t xml:space="preserve">43335224160732103186910</t>
  </si>
  <si>
    <t xml:space="preserve">43335224160732</t>
  </si>
  <si>
    <t xml:space="preserve">43335Facebook»Audience &amp; Interest Targeting»1x1»TextLink»SOC»DT»DYN»RT»W»NA»SS»NA»Free Account Refresh- Illustration ChC</t>
  </si>
  <si>
    <t xml:space="preserve">43335224160717</t>
  </si>
  <si>
    <t xml:space="preserve">43335Facebook»LAL»1x1»TextLink»SOC»DT»DYN»LAL»W»NA»SS»NA»Free Account Refresh- Device ChB</t>
  </si>
  <si>
    <t xml:space="preserve">43335224160735103048479</t>
  </si>
  <si>
    <t xml:space="preserve">43335224160735</t>
  </si>
  <si>
    <t xml:space="preserve">43335Facebook»Audience &amp; Interest Targeting»1x1»TextLink»SOC»DT»DYN»RT»W»NA»SS»NA»Free Account Refresh- Device ChB</t>
  </si>
  <si>
    <t xml:space="preserve">43335224160711</t>
  </si>
  <si>
    <t xml:space="preserve">43335Facebook»LAL»1x1»TextLink»SOC»DT»DYN»LAL»W»NA»SS»NA»Free Account Refresh- Lifestyle ChA</t>
  </si>
  <si>
    <t xml:space="preserve">43335224639151103316832</t>
  </si>
  <si>
    <t xml:space="preserve">43335224639151</t>
  </si>
  <si>
    <t xml:space="preserve">43335FACEBOOK»AZR-TRIAL-CANVAS-Prospecting»NA»PKG»ALL»CPL»AUD»D»All»SS»NA»FBCTCBrandinMotion_AUS_12sec</t>
  </si>
  <si>
    <t xml:space="preserve">43335FACEBOOK»AZR-TRIAL-CANVAS-Prospecting»NA»PKG»ALL»CPL»AUD»D»All»SS»NA»FBCTCBasicMotion_AUS_10sec</t>
  </si>
  <si>
    <t xml:space="preserve">43335FACEBOOK»AZR-TRIAL-CANVAS-Prospecting»NA»PKG»ALL»CPL»AUD»D»All»SS»NA»FBCTCBenefit2inMotion_AUS_14sec</t>
  </si>
  <si>
    <t xml:space="preserve">43335224160774103186910</t>
  </si>
  <si>
    <t xml:space="preserve">43335224160774</t>
  </si>
  <si>
    <t xml:space="preserve">43335Facebook»Audience &amp; Interest Targeting»1x1»TextLink»SOC»DT»DYN»AUT»W»NA»SS»NA»Free Account Refresh- Illustration ChC</t>
  </si>
  <si>
    <t xml:space="preserve">43335224160777103048479</t>
  </si>
  <si>
    <t xml:space="preserve">43335224160777</t>
  </si>
  <si>
    <t xml:space="preserve">43335Facebook»Audience &amp; Interest Targeting»1x1»TextLink»SOC»DT»DYN»AUT»W»NA»SS»NA»Free Account Refresh- Device ChB</t>
  </si>
  <si>
    <t xml:space="preserve">43335224160780103186904</t>
  </si>
  <si>
    <t xml:space="preserve">43335224160780</t>
  </si>
  <si>
    <t xml:space="preserve">43335Facebook»Audience &amp; Interest Targeting»1x1»TextLink»SOC»DT»DYN»AUT»W»NA»SS»NA»Free Account Refresh- 200 Credit ChD</t>
  </si>
  <si>
    <t xml:space="preserve">43335224160714103186916</t>
  </si>
  <si>
    <t xml:space="preserve">43335224160714</t>
  </si>
  <si>
    <t xml:space="preserve">43335Facebook»LAL»1x1»TextLink»SOC»DT»DYN»LAL»W»NA»SS»NA»Free Account Refresh- Illustration ChC</t>
  </si>
  <si>
    <t xml:space="preserve">43335224160771103048488</t>
  </si>
  <si>
    <t xml:space="preserve">43335224160771</t>
  </si>
  <si>
    <t xml:space="preserve">43335Facebook»Audience &amp; Interest Targeting»1x1»TextLink»SOC»DT»DYN»AUT»W»NA»SS»NA»Free Account Refresh- Lifestyle ChA</t>
  </si>
  <si>
    <t xml:space="preserve">43335224160738</t>
  </si>
  <si>
    <t xml:space="preserve">43335Facebook»Audience &amp; Interest Targeting»1x1»TextLink»SOC»DT»DYN»RT»W»NA»SS»NA»Free Account Refresh- 200 Credit ChD</t>
  </si>
  <si>
    <t xml:space="preserve">43334224639151103316832</t>
  </si>
  <si>
    <t xml:space="preserve">43334224639151</t>
  </si>
  <si>
    <t xml:space="preserve">43334FACEBOOK»AZR-TRIAL-CANVAS-Prospecting»NA»PKG»ALL»CPL»AUD»D»All»SS»NA»FBCTCBrandinMotion_AUS_12sec</t>
  </si>
  <si>
    <t xml:space="preserve">43334FACEBOOK»AZR-TRIAL-CANVAS-Prospecting»NA»PKG»ALL»CPL»AUD»D»All»SS»NA»FBCTCBenefit2inMotion_AUS_14sec</t>
  </si>
  <si>
    <t xml:space="preserve">43334FACEBOOK»AZR-TRIAL-CANVAS-Prospecting»NA»PKG»ALL»CPL»AUD»D»All»SS»NA»FBCTCBasicMotion_AUS_10sec</t>
  </si>
  <si>
    <t xml:space="preserve">43334224160735103048479</t>
  </si>
  <si>
    <t xml:space="preserve">43334224160735</t>
  </si>
  <si>
    <t xml:space="preserve">43334Facebook»Audience &amp; Interest Targeting»1x1»TextLink»SOC»DT»DYN»RT»W»NA»SS»NA»Free Account Refresh- Device ChB</t>
  </si>
  <si>
    <t xml:space="preserve">43334224160738</t>
  </si>
  <si>
    <t xml:space="preserve">43334Facebook»Audience &amp; Interest Targeting»1x1»TextLink»SOC»DT»DYN»RT»W»NA»SS»NA»Free Account Refresh- 200 Credit ChD</t>
  </si>
  <si>
    <t xml:space="preserve">43334224160720</t>
  </si>
  <si>
    <t xml:space="preserve">43334Facebook»LAL»1x1»TextLink»SOC»DT»DYN»LAL»W»NA»SS»NA»Free Account Refresh- 200 Credit ChD</t>
  </si>
  <si>
    <t xml:space="preserve">43334224160783103051614</t>
  </si>
  <si>
    <t xml:space="preserve">43334224160783</t>
  </si>
  <si>
    <t xml:space="preserve">43334FACEBOOK»TRIAL-AZR-Audience»1 x 1»NA»SOC»ALL»CPL»AUD»D»All»SS»NA»FreeAcctAppsFACEBOOK12monthsChE</t>
  </si>
  <si>
    <t xml:space="preserve">43334224160777103048479</t>
  </si>
  <si>
    <t xml:space="preserve">43334224160777</t>
  </si>
  <si>
    <t xml:space="preserve">43334Facebook»Audience &amp; Interest Targeting»1x1»TextLink»SOC»DT»DYN»AUT»W»NA»SS»NA»Free Account Refresh- Device ChB</t>
  </si>
  <si>
    <t xml:space="preserve">43334224160780103186904</t>
  </si>
  <si>
    <t xml:space="preserve">43334224160780</t>
  </si>
  <si>
    <t xml:space="preserve">43334Facebook»Audience &amp; Interest Targeting»1x1»TextLink»SOC»DT»DYN»AUT»W»NA»SS»NA»Free Account Refresh- 200 Credit ChD</t>
  </si>
  <si>
    <t xml:space="preserve">43334224160732103186910</t>
  </si>
  <si>
    <t xml:space="preserve">43334224160732</t>
  </si>
  <si>
    <t xml:space="preserve">43334Facebook»Audience &amp; Interest Targeting»1x1»TextLink»SOC»DT»DYN»RT»W»NA»SS»NA»Free Account Refresh- Illustration ChC</t>
  </si>
  <si>
    <t xml:space="preserve">43334224160717</t>
  </si>
  <si>
    <t xml:space="preserve">43334Facebook»LAL»1x1»TextLink»SOC»DT»DYN»LAL»W»NA»SS»NA»Free Account Refresh- Device ChB</t>
  </si>
  <si>
    <t xml:space="preserve">43334224160714103186916</t>
  </si>
  <si>
    <t xml:space="preserve">43334224160714</t>
  </si>
  <si>
    <t xml:space="preserve">43334Facebook»LAL»1x1»TextLink»SOC»DT»DYN»LAL»W»NA»SS»NA»Free Account Refresh- Illustration ChC</t>
  </si>
  <si>
    <t xml:space="preserve">43334224160729103048488</t>
  </si>
  <si>
    <t xml:space="preserve">43334224160729</t>
  </si>
  <si>
    <t xml:space="preserve">43334Facebook»Audience &amp; Interest Targeting»1x1»TextLink»SOC»DT»DYN»RT»W»NA»SS»NA»Free Account Refresh- Lifestyle ChA</t>
  </si>
  <si>
    <t xml:space="preserve">43334224160774103186910</t>
  </si>
  <si>
    <t xml:space="preserve">43334224160774</t>
  </si>
  <si>
    <t xml:space="preserve">43334Facebook»Audience &amp; Interest Targeting»1x1»TextLink»SOC»DT»DYN»AUT»W»NA»SS»NA»Free Account Refresh- Illustration ChC</t>
  </si>
  <si>
    <t xml:space="preserve">43334224160771103048488</t>
  </si>
  <si>
    <t xml:space="preserve">43334224160771</t>
  </si>
  <si>
    <t xml:space="preserve">43334Facebook»Audience &amp; Interest Targeting»1x1»TextLink»SOC»DT»DYN»AUT»W»NA»SS»NA»Free Account Refresh- Lifestyle ChA</t>
  </si>
  <si>
    <t xml:space="preserve">43334224160711103048491</t>
  </si>
  <si>
    <t xml:space="preserve">43334224160711</t>
  </si>
  <si>
    <t xml:space="preserve">43334Facebook»LAL»1x1»TextLink»SOC»DT»DYN»LAL»W»NA»SS»NA»Free Account Refresh- Lifestyle ChA</t>
  </si>
  <si>
    <t xml:space="preserve">43333224160738</t>
  </si>
  <si>
    <t xml:space="preserve">43333Facebook»Audience &amp; Interest Targeting»1x1»TextLink»SOC»DT»DYN»RT»W»NA»SS»NA»Free Account Refresh- 200 Credit ChD</t>
  </si>
  <si>
    <t xml:space="preserve">43333224160711103048491</t>
  </si>
  <si>
    <t xml:space="preserve">43333224160711</t>
  </si>
  <si>
    <t xml:space="preserve">43333Facebook»LAL»1x1»TextLink»SOC»DT»DYN»LAL»W»NA»SS»NA»Free Account Refresh- Lifestyle ChA</t>
  </si>
  <si>
    <t xml:space="preserve">43333224160777103048479</t>
  </si>
  <si>
    <t xml:space="preserve">43333224160777</t>
  </si>
  <si>
    <t xml:space="preserve">43333Facebook»Audience &amp; Interest Targeting»1x1»TextLink»SOC»DT»DYN»AUT»W»NA»SS»NA»Free Account Refresh- Device ChB</t>
  </si>
  <si>
    <t xml:space="preserve">43333224160720103186907</t>
  </si>
  <si>
    <t xml:space="preserve">43333224160720</t>
  </si>
  <si>
    <t xml:space="preserve">43333Facebook»LAL»1x1»TextLink»SOC»DT»DYN»LAL»W»NA»SS»NA»Free Account Refresh- 200 Credit ChD</t>
  </si>
  <si>
    <t xml:space="preserve">43333224160771103048488</t>
  </si>
  <si>
    <t xml:space="preserve">43333224160771</t>
  </si>
  <si>
    <t xml:space="preserve">43333Facebook»Audience &amp; Interest Targeting»1x1»TextLink»SOC»DT»DYN»AUT»W»NA»SS»NA»Free Account Refresh- Lifestyle ChA</t>
  </si>
  <si>
    <t xml:space="preserve">43333224160774103186910</t>
  </si>
  <si>
    <t xml:space="preserve">43333224160774</t>
  </si>
  <si>
    <t xml:space="preserve">43333Facebook»Audience &amp; Interest Targeting»1x1»TextLink»SOC»DT»DYN»AUT»W»NA»SS»NA»Free Account Refresh- Illustration ChC</t>
  </si>
  <si>
    <t xml:space="preserve">43333224160729103048488</t>
  </si>
  <si>
    <t xml:space="preserve">43333224160729</t>
  </si>
  <si>
    <t xml:space="preserve">43333Facebook»Audience &amp; Interest Targeting»1x1»TextLink»SOC»DT»DYN»RT»W»NA»SS»NA»Free Account Refresh- Lifestyle ChA</t>
  </si>
  <si>
    <t xml:space="preserve">43333224160780</t>
  </si>
  <si>
    <t xml:space="preserve">43333Facebook»Audience &amp; Interest Targeting»1x1»TextLink»SOC»DT»DYN»AUT»W»NA»SS»NA»Free Account Refresh- 200 Credit ChD</t>
  </si>
  <si>
    <t xml:space="preserve">43333224160735103048479</t>
  </si>
  <si>
    <t xml:space="preserve">43333224160735</t>
  </si>
  <si>
    <t xml:space="preserve">43333Facebook»Audience &amp; Interest Targeting»1x1»TextLink»SOC»DT»DYN»RT»W»NA»SS»NA»Free Account Refresh- Device ChB</t>
  </si>
  <si>
    <t xml:space="preserve">43333224639151103316832</t>
  </si>
  <si>
    <t xml:space="preserve">43333224639151</t>
  </si>
  <si>
    <t xml:space="preserve">43333FACEBOOK»AZR-TRIAL-CANVAS-Prospecting»NA»PKG»ALL»CPL»AUD»D»All»SS»NA»FBCTCBrandinMotion_AUS_12sec</t>
  </si>
  <si>
    <t xml:space="preserve">43333FACEBOOK»AZR-TRIAL-CANVAS-Prospecting»NA»PKG»ALL»CPL»AUD»D»All»SS»NA»FBCTCBenefit2inMotion_AUS_14sec</t>
  </si>
  <si>
    <t xml:space="preserve">43333FACEBOOK»AZR-TRIAL-CANVAS-Prospecting»NA»PKG»ALL»CPL»AUD»D»All»SS»NA»FBCTCBasicMotion_AUS_10sec</t>
  </si>
  <si>
    <t xml:space="preserve">43333224160732103186910</t>
  </si>
  <si>
    <t xml:space="preserve">43333224160732</t>
  </si>
  <si>
    <t xml:space="preserve">43333Facebook»Audience &amp; Interest Targeting»1x1»TextLink»SOC»DT»DYN»RT»W»NA»SS»NA»Free Account Refresh- Illustration ChC</t>
  </si>
  <si>
    <t xml:space="preserve">43333224160783103051614</t>
  </si>
  <si>
    <t xml:space="preserve">43333224160783</t>
  </si>
  <si>
    <t xml:space="preserve">43333FACEBOOK»TRIAL-AZR-Audience»1 x 1»NA»SOC»ALL»CPL»AUD»D»All»SS»NA»FreeAcctAppsFACEBOOK12monthsChE</t>
  </si>
  <si>
    <t xml:space="preserve">43333224160714103186916</t>
  </si>
  <si>
    <t xml:space="preserve">43333224160714</t>
  </si>
  <si>
    <t xml:space="preserve">43333Facebook»LAL»1x1»TextLink»SOC»DT»DYN»LAL»W»NA»SS»NA»Free Account Refresh- Illustration ChC</t>
  </si>
  <si>
    <t xml:space="preserve">43333224160717103048485</t>
  </si>
  <si>
    <t xml:space="preserve">43333224160717</t>
  </si>
  <si>
    <t xml:space="preserve">43333Facebook»LAL»1x1»TextLink»SOC»DT»DYN»LAL»W»NA»SS»NA»Free Account Refresh- Device ChB</t>
  </si>
  <si>
    <t xml:space="preserve">43332224160735103048479</t>
  </si>
  <si>
    <t xml:space="preserve">43332224160735</t>
  </si>
  <si>
    <t xml:space="preserve">43332Facebook»Audience &amp; Interest Targeting»1x1»TextLink»SOC»DT»DYN»RT»W»NA»SS»NA»Free Account Refresh- Device ChB</t>
  </si>
  <si>
    <t xml:space="preserve">43332224160777103048479</t>
  </si>
  <si>
    <t xml:space="preserve">43332224160777</t>
  </si>
  <si>
    <t xml:space="preserve">43332Facebook»Audience &amp; Interest Targeting»1x1»TextLink»SOC»DT»DYN»AUT»W»NA»SS»NA»Free Account Refresh- Device ChB</t>
  </si>
  <si>
    <t xml:space="preserve">43332224160774103186910</t>
  </si>
  <si>
    <t xml:space="preserve">43332224160774</t>
  </si>
  <si>
    <t xml:space="preserve">43332Facebook»Audience &amp; Interest Targeting»1x1»TextLink»SOC»DT»DYN»AUT»W»NA»SS»NA»Free Account Refresh- Illustration ChC</t>
  </si>
  <si>
    <t xml:space="preserve">43332224160780</t>
  </si>
  <si>
    <t xml:space="preserve">43332Facebook»Audience &amp; Interest Targeting»1x1»TextLink»SOC»DT»DYN»AUT»W»NA»SS»NA»Free Account Refresh- 200 Credit ChD</t>
  </si>
  <si>
    <t xml:space="preserve">43332224639151103316832</t>
  </si>
  <si>
    <t xml:space="preserve">43332224639151</t>
  </si>
  <si>
    <t xml:space="preserve">43332FACEBOOK»AZR-TRIAL-CANVAS-Prospecting»NA»PKG»ALL»CPL»AUD»D»All»SS»NA»FBCTCBasicMotion_AUS_10sec</t>
  </si>
  <si>
    <t xml:space="preserve">43332FACEBOOK»AZR-TRIAL-CANVAS-Prospecting»NA»PKG»ALL»CPL»AUD»D»All»SS»NA»FBCTCBrandinMotion_AUS_12sec</t>
  </si>
  <si>
    <t xml:space="preserve">43332FACEBOOK»AZR-TRIAL-CANVAS-Prospecting»NA»PKG»ALL»CPL»AUD»D»All»SS»NA»FBCTCBenefit2inMotion_AUS_14sec</t>
  </si>
  <si>
    <t xml:space="preserve">43332224160720103186907</t>
  </si>
  <si>
    <t xml:space="preserve">43332224160720</t>
  </si>
  <si>
    <t xml:space="preserve">43332Facebook»LAL»1x1»TextLink»SOC»DT»DYN»LAL»W»NA»SS»NA»Free Account Refresh- 200 Credit ChD</t>
  </si>
  <si>
    <t xml:space="preserve">43332224160717103048485</t>
  </si>
  <si>
    <t xml:space="preserve">43332224160717</t>
  </si>
  <si>
    <t xml:space="preserve">43332Facebook»LAL»1x1»TextLink»SOC»DT»DYN»LAL»W»NA»SS»NA»Free Account Refresh- Device ChB</t>
  </si>
  <si>
    <t xml:space="preserve">43332224160771103048488</t>
  </si>
  <si>
    <t xml:space="preserve">43332224160771</t>
  </si>
  <si>
    <t xml:space="preserve">43332Facebook»Audience &amp; Interest Targeting»1x1»TextLink»SOC»DT»DYN»AUT»W»NA»SS»NA»Free Account Refresh- Lifestyle ChA</t>
  </si>
  <si>
    <t xml:space="preserve">43332224160732103186910</t>
  </si>
  <si>
    <t xml:space="preserve">43332224160732</t>
  </si>
  <si>
    <t xml:space="preserve">43332Facebook»Audience &amp; Interest Targeting»1x1»TextLink»SOC»DT»DYN»RT»W»NA»SS»NA»Free Account Refresh- Illustration ChC</t>
  </si>
  <si>
    <t xml:space="preserve">43332224160783103051614</t>
  </si>
  <si>
    <t xml:space="preserve">43332224160783</t>
  </si>
  <si>
    <t xml:space="preserve">43332FACEBOOK»TRIAL-AZR-Audience»1 x 1»NA»SOC»ALL»CPL»AUD»D»All»SS»NA»FreeAcctAppsFACEBOOK12monthsChE</t>
  </si>
  <si>
    <t xml:space="preserve">43332224160729103048488</t>
  </si>
  <si>
    <t xml:space="preserve">43332224160729</t>
  </si>
  <si>
    <t xml:space="preserve">43332Facebook»Audience &amp; Interest Targeting»1x1»TextLink»SOC»DT»DYN»RT»W»NA»SS»NA»Free Account Refresh- Lifestyle ChA</t>
  </si>
  <si>
    <t xml:space="preserve">43332224160738103186904</t>
  </si>
  <si>
    <t xml:space="preserve">43332224160738</t>
  </si>
  <si>
    <t xml:space="preserve">43332Facebook»Audience &amp; Interest Targeting»1x1»TextLink»SOC»DT»DYN»RT»W»NA»SS»NA»Free Account Refresh- 200 Credit ChD</t>
  </si>
  <si>
    <t xml:space="preserve">43332224160711103048491</t>
  </si>
  <si>
    <t xml:space="preserve">43332224160711</t>
  </si>
  <si>
    <t xml:space="preserve">43332Facebook»LAL»1x1»TextLink»SOC»DT»DYN»LAL»W»NA»SS»NA»Free Account Refresh- Lifestyle ChA</t>
  </si>
  <si>
    <t xml:space="preserve">43332224160714103186916</t>
  </si>
  <si>
    <t xml:space="preserve">43332224160714</t>
  </si>
  <si>
    <t xml:space="preserve">43332Facebook»LAL»1x1»TextLink»SOC»DT»DYN»LAL»W»NA»SS»NA»Free Account Refresh- Illustration ChC</t>
  </si>
  <si>
    <t xml:space="preserve">43331224160717</t>
  </si>
  <si>
    <t xml:space="preserve">43331Facebook»LAL»1x1»TextLink»SOC»DT»DYN»LAL»W»NA»SS»NA»Free Account Refresh- Device ChB</t>
  </si>
  <si>
    <t xml:space="preserve">43331224160735103048479</t>
  </si>
  <si>
    <t xml:space="preserve">43331224160735</t>
  </si>
  <si>
    <t xml:space="preserve">43331Facebook»Audience &amp; Interest Targeting»1x1»TextLink»SOC»DT»DYN»RT»W»NA»SS»NA»Free Account Refresh- Device ChB</t>
  </si>
  <si>
    <t xml:space="preserve">43331224160780103186904</t>
  </si>
  <si>
    <t xml:space="preserve">43331224160780</t>
  </si>
  <si>
    <t xml:space="preserve">43331Facebook»Audience &amp; Interest Targeting»1x1»TextLink»SOC»DT»DYN»AUT»W»NA»SS»NA»Free Account Refresh- 200 Credit ChD</t>
  </si>
  <si>
    <t xml:space="preserve">43331224639151103316832</t>
  </si>
  <si>
    <t xml:space="preserve">43331224639151</t>
  </si>
  <si>
    <t xml:space="preserve">43331FACEBOOK»AZR-TRIAL-CANVAS-Prospecting»NA»PKG»ALL»CPL»AUD»D»All»SS»NA»FBCTCBasicMotion_AUS_10sec</t>
  </si>
  <si>
    <t xml:space="preserve">43331FACEBOOK»AZR-TRIAL-CANVAS-Prospecting»NA»PKG»ALL»CPL»AUD»D»All»SS»NA»FBCTCBenefit2inMotion_AUS_14sec</t>
  </si>
  <si>
    <t xml:space="preserve">43331FACEBOOK»AZR-TRIAL-CANVAS-Prospecting»NA»PKG»ALL»CPL»AUD»D»All»SS»NA»FBCTCBrandinMotion_AUS_12sec</t>
  </si>
  <si>
    <t xml:space="preserve">43331224160720103186907</t>
  </si>
  <si>
    <t xml:space="preserve">43331224160720</t>
  </si>
  <si>
    <t xml:space="preserve">43331Facebook»LAL»1x1»TextLink»SOC»DT»DYN»LAL»W»NA»SS»NA»Free Account Refresh- 200 Credit ChD</t>
  </si>
  <si>
    <t xml:space="preserve">43331224160711</t>
  </si>
  <si>
    <t xml:space="preserve">43331Facebook»LAL»1x1»TextLink»SOC»DT»DYN»LAL»W»NA»SS»NA»Free Account Refresh- Lifestyle ChA</t>
  </si>
  <si>
    <t xml:space="preserve">43331224160738103186904</t>
  </si>
  <si>
    <t xml:space="preserve">43331224160738</t>
  </si>
  <si>
    <t xml:space="preserve">43331Facebook»Audience &amp; Interest Targeting»1x1»TextLink»SOC»DT»DYN»RT»W»NA»SS»NA»Free Account Refresh- 200 Credit ChD</t>
  </si>
  <si>
    <t xml:space="preserve">43331224160774103186910</t>
  </si>
  <si>
    <t xml:space="preserve">43331224160774</t>
  </si>
  <si>
    <t xml:space="preserve">43331Facebook»Audience &amp; Interest Targeting»1x1»TextLink»SOC»DT»DYN»AUT»W»NA»SS»NA»Free Account Refresh- Illustration ChC</t>
  </si>
  <si>
    <t xml:space="preserve">43331224160777103048479</t>
  </si>
  <si>
    <t xml:space="preserve">43331224160777</t>
  </si>
  <si>
    <t xml:space="preserve">43331Facebook»Audience &amp; Interest Targeting»1x1»TextLink»SOC»DT»DYN»AUT»W»NA»SS»NA»Free Account Refresh- Device ChB</t>
  </si>
  <si>
    <t xml:space="preserve">43331224160771103048488</t>
  </si>
  <si>
    <t xml:space="preserve">43331224160771</t>
  </si>
  <si>
    <t xml:space="preserve">43331Facebook»Audience &amp; Interest Targeting»1x1»TextLink»SOC»DT»DYN»AUT»W»NA»SS»NA»Free Account Refresh- Lifestyle ChA</t>
  </si>
  <si>
    <t xml:space="preserve">43331224160714103186916</t>
  </si>
  <si>
    <t xml:space="preserve">43331224160714</t>
  </si>
  <si>
    <t xml:space="preserve">43331Facebook»LAL»1x1»TextLink»SOC»DT»DYN»LAL»W»NA»SS»NA»Free Account Refresh- Illustration ChC</t>
  </si>
  <si>
    <t xml:space="preserve">43331224160732103186910</t>
  </si>
  <si>
    <t xml:space="preserve">43331224160732</t>
  </si>
  <si>
    <t xml:space="preserve">43331Facebook»Audience &amp; Interest Targeting»1x1»TextLink»SOC»DT»DYN»RT»W»NA»SS»NA»Free Account Refresh- Illustration ChC</t>
  </si>
  <si>
    <t xml:space="preserve">43331224160729103048488</t>
  </si>
  <si>
    <t xml:space="preserve">43331224160729</t>
  </si>
  <si>
    <t xml:space="preserve">43331Facebook»Audience &amp; Interest Targeting»1x1»TextLink»SOC»DT»DYN»RT»W»NA»SS»NA»Free Account Refresh- Lifestyle ChA</t>
  </si>
  <si>
    <t xml:space="preserve">43331224160783103051614</t>
  </si>
  <si>
    <t xml:space="preserve">43331224160783</t>
  </si>
  <si>
    <t xml:space="preserve">43331FACEBOOK»TRIAL-AZR-Audience»1 x 1»NA»SOC»ALL»CPL»AUD»D»All»SS»NA»FreeAcctAppsFACEBOOK12monthsChE</t>
  </si>
  <si>
    <t xml:space="preserve">43337227618695105127638</t>
  </si>
  <si>
    <t xml:space="preserve">43337227618695</t>
  </si>
  <si>
    <t xml:space="preserve">43337Facebook»AZR»1x1»NA»NA»ALL»DYN»AUT»D»All»SS»NA»Free Account Create to Convert FB - Canvas - Benefit - Start Free - FR</t>
  </si>
  <si>
    <t xml:space="preserve">43337223691810103058711</t>
  </si>
  <si>
    <t xml:space="preserve">43337223691810</t>
  </si>
  <si>
    <t xml:space="preserve">43337Facebook»AZR»1x1»SocialBan»NA»ALL»DYN»AUT»D»All»SS»NA»Free Acc Refresh - T2 - EN</t>
  </si>
  <si>
    <t xml:space="preserve">43337223691762102902974</t>
  </si>
  <si>
    <t xml:space="preserve">43337223691762</t>
  </si>
  <si>
    <t xml:space="preserve">43337Facebook»AZR»1x1»SocialBan»NA»ALL»DYN»AUT»D»All»SS»NA»Free Acc Refresh - T1 - FR</t>
  </si>
  <si>
    <t xml:space="preserve">43337227522771105130128</t>
  </si>
  <si>
    <t xml:space="preserve">43337227522771</t>
  </si>
  <si>
    <t xml:space="preserve">43337Facebook»AZR»1x1»NA»NA»ALL»DYN»AUT»D»All»SS»NA»Free Account Create to Convert FB - Canvas - Brand - Start Free - FR</t>
  </si>
  <si>
    <t xml:space="preserve">43337223691792102901894</t>
  </si>
  <si>
    <t xml:space="preserve">43337223691792</t>
  </si>
  <si>
    <t xml:space="preserve">43337Facebook»AZR»1x1»SocialBan»NA»ALL»DYN»RT»D»All»SS»NA»Free Account Retargeting Generic - T2 - FR</t>
  </si>
  <si>
    <t xml:space="preserve">43337223691771102902968</t>
  </si>
  <si>
    <t xml:space="preserve">43337223691771</t>
  </si>
  <si>
    <t xml:space="preserve">43337Facebook»AZR»1x1»SocialBan»NA»ALL»DYN»AUT»D»All»SS»NA»Free Acc Refresh - T4 - FR</t>
  </si>
  <si>
    <t xml:space="preserve">43337225322324</t>
  </si>
  <si>
    <t xml:space="preserve">43337Facebook»AZR»1x1»NA»SOC»ALL»DYN»PRO»D»All»SS»NA»Canvas - Buy Now - FR</t>
  </si>
  <si>
    <t xml:space="preserve">43337223691840102902950</t>
  </si>
  <si>
    <t xml:space="preserve">43337223691840</t>
  </si>
  <si>
    <t xml:space="preserve">43337Facebook»AZR»1x1»NA»EGV»ALL»DYN»AUT»D»All»SS»NA»Free Acc CTC - T2 - EN</t>
  </si>
  <si>
    <t xml:space="preserve">43337223691807102900685</t>
  </si>
  <si>
    <t xml:space="preserve">43337223691807</t>
  </si>
  <si>
    <t xml:space="preserve">43337Facebook»AZR»1x1»SocialBan»NA»ALL»DYN»AUT»D»All»SS»NA»Free Acc Refresh - T3 - EN</t>
  </si>
  <si>
    <t xml:space="preserve">43337223691801103053323</t>
  </si>
  <si>
    <t xml:space="preserve">43337223691801</t>
  </si>
  <si>
    <t xml:space="preserve">43337Facebook»AZR»1x1»NA»EGV»ALL»DYN»AUT»D»All»SS»NA»Free Acc CTC - T1 - FR</t>
  </si>
  <si>
    <t xml:space="preserve">43337223691774</t>
  </si>
  <si>
    <t xml:space="preserve">43337Facebook»AZR»1x1»SocialBan»NA»ALL»DYN»AUT»D»All»SS»NA»Free Acc Refresh - T5 - FR</t>
  </si>
  <si>
    <t xml:space="preserve">43337227522762105216992</t>
  </si>
  <si>
    <t xml:space="preserve">43337227522762</t>
  </si>
  <si>
    <t xml:space="preserve">43337Facebook»AZR»1x1»NA»NA»ALL»DYN»AUT»D»All»SS»NA»Free Account Create to Convert FB - Canvas - Brand - Start Free - EN</t>
  </si>
  <si>
    <t xml:space="preserve">43337223691798102916347</t>
  </si>
  <si>
    <t xml:space="preserve">43337223691798</t>
  </si>
  <si>
    <t xml:space="preserve">43337Facebook»AZR»1x1»NA»EGV»ALL»DYN»AUT»D»All»SS»NA»Free Acc CTC - T2 - FR</t>
  </si>
  <si>
    <t xml:space="preserve">43337223684451102901882</t>
  </si>
  <si>
    <t xml:space="preserve">43337223684451</t>
  </si>
  <si>
    <t xml:space="preserve">43337Facebook»AZR»1x1»NA»EGV»ALL»DYN»AUT»D»All»SS»NA»Free Acc CTC - T1 - EN</t>
  </si>
  <si>
    <t xml:space="preserve">43337223691765103053332</t>
  </si>
  <si>
    <t xml:space="preserve">43337223691765</t>
  </si>
  <si>
    <t xml:space="preserve">43337Facebook»AZR»1x1»SocialBan»NA»ALL»DYN»AUT»D»All»SS»NA»Free Acc Refresh - T3 - FR</t>
  </si>
  <si>
    <t xml:space="preserve">43337223691783</t>
  </si>
  <si>
    <t xml:space="preserve">43337Facebook»AZR»1x1»SocialBan»NA»ALL»DYN»RT»D»All»SS»NA»Free Account Retargeting VM - T1 - FR</t>
  </si>
  <si>
    <t xml:space="preserve">43337223691837103053314</t>
  </si>
  <si>
    <t xml:space="preserve">43337223691837</t>
  </si>
  <si>
    <t xml:space="preserve">43337Facebook»AZR»1x1»NA»EGV»ALL»DYN»AUT»D»All»SS»NA»Free Acc CTC - T4 - EN</t>
  </si>
  <si>
    <t xml:space="preserve">43337223691813</t>
  </si>
  <si>
    <t xml:space="preserve">43337Facebook»AZR»1x1»SocialBan»NA»ALL»DYN»AUT»D»All»SS»NA»Free Acc Refresh - T4 - EN</t>
  </si>
  <si>
    <t xml:space="preserve">43337225322327</t>
  </si>
  <si>
    <t xml:space="preserve">43337Facebook»AZR»1x1»NA»SOC»ALL»DYN»PRO»D»All»SS»NA»Canvas - Buy Now - EN</t>
  </si>
  <si>
    <t xml:space="preserve">43337227525720105130125</t>
  </si>
  <si>
    <t xml:space="preserve">43337227525720</t>
  </si>
  <si>
    <t xml:space="preserve">43337Facebook»AZR»1x1»NA»NA»ALL»DYN»AUT»D»All»SS»NA»Free Account Create to Convert FB - Canvas - Benefit - Start Free - EN</t>
  </si>
  <si>
    <t xml:space="preserve">43337223691816</t>
  </si>
  <si>
    <t xml:space="preserve">43337Facebook»AZR»1x1»SocialBan»NA»ALL»DYN»AUT»D»All»SS»NA»Free Acc Refresh - T5 - EN</t>
  </si>
  <si>
    <t xml:space="preserve">43337223691804103058717</t>
  </si>
  <si>
    <t xml:space="preserve">43337223691804</t>
  </si>
  <si>
    <t xml:space="preserve">43337Facebook»AZR»1x1»SocialBan»NA»ALL»DYN»AUT»D»All»SS»NA»Free Acc Refresh - T1 - EN</t>
  </si>
  <si>
    <t xml:space="preserve">43337223691828102902956</t>
  </si>
  <si>
    <t xml:space="preserve">43337223691828</t>
  </si>
  <si>
    <t xml:space="preserve">43337Facebook»AZR»1x1»SocialBan»NA»ALL»DYN»RT»D»All»SS»NA» Free Account Retargeting OSS - T1 - EN</t>
  </si>
  <si>
    <t xml:space="preserve">43337223691825102916338</t>
  </si>
  <si>
    <t xml:space="preserve">43337223691825</t>
  </si>
  <si>
    <t xml:space="preserve">43337Facebook»AZR»1x1»SocialBan»NA»ALL»DYN»RT»D»All»SS»NA»Free Account Retargeting VM - T1 - EN</t>
  </si>
  <si>
    <t xml:space="preserve">43337223691834102902953</t>
  </si>
  <si>
    <t xml:space="preserve">43337223691834</t>
  </si>
  <si>
    <t xml:space="preserve">43337Facebook»AZR»1x1»SocialBan»NA»ALL»DYN»RT»D»All»SS»NA»Free Account Retargeting Generic - T2 - EN</t>
  </si>
  <si>
    <t xml:space="preserve">43337223691822103058708</t>
  </si>
  <si>
    <t xml:space="preserve">43337223691822</t>
  </si>
  <si>
    <t xml:space="preserve">43337Facebook»AZR»1x1»SocialBan»NA»ALL»DYN»RT»D»All»SS»NA»Free Account Retargeting VM - T2 - EN</t>
  </si>
  <si>
    <t xml:space="preserve">43337223691831102913800</t>
  </si>
  <si>
    <t xml:space="preserve">43337223691831</t>
  </si>
  <si>
    <t xml:space="preserve">43337Facebook»AZR»1x1»SocialBan»NA»ALL»DYN»RT»D»All»SS»NA» Free Account Retargeting OSS - T2 - EN</t>
  </si>
  <si>
    <t xml:space="preserve">43337223691819102900682</t>
  </si>
  <si>
    <t xml:space="preserve">43337223691819</t>
  </si>
  <si>
    <t xml:space="preserve">43337Facebook»AZR»1x1»SocialBan»NA»ALL»DYN»RT»D»All»SS»NA»Free Account Retargeting Generic - T3 - EN</t>
  </si>
  <si>
    <t xml:space="preserve">43337223691795102900688</t>
  </si>
  <si>
    <t xml:space="preserve">43337223691795</t>
  </si>
  <si>
    <t xml:space="preserve">43337Facebook»AZR»1x1»NA»EGV»ALL»DYN»AUT»D»All»SS»NA»Free Acc CTC - T4 - FR</t>
  </si>
  <si>
    <t xml:space="preserve">43337223691768</t>
  </si>
  <si>
    <t xml:space="preserve">43337Facebook»AZR»1x1»SocialBan»NA»ALL»DYN»AUT»D»All»SS»NA»Free Acc Refresh - T2 - FR</t>
  </si>
  <si>
    <t xml:space="preserve">43337223691789</t>
  </si>
  <si>
    <t xml:space="preserve">43337Facebook»AZR»1x1»SocialBan»NA»ALL»DYN»RT»D»All»SS»NA» Free Account Retargeting OSS - T2 - FR</t>
  </si>
  <si>
    <t xml:space="preserve">43337223691780103058726</t>
  </si>
  <si>
    <t xml:space="preserve">43337223691780</t>
  </si>
  <si>
    <t xml:space="preserve">43337Facebook»AZR»1x1»SocialBan»NA»ALL»DYN»RT»D»All»SS»NA»Free Account Retargeting VM - T2 - FR</t>
  </si>
  <si>
    <t xml:space="preserve">43337223691786103058720</t>
  </si>
  <si>
    <t xml:space="preserve">43337223691786</t>
  </si>
  <si>
    <t xml:space="preserve">43337Facebook»AZR»1x1»SocialBan»NA»ALL»DYN»RT»D»All»SS»NA» Free Account Retargeting OSS - T1 - FR</t>
  </si>
  <si>
    <t xml:space="preserve">43337223691777102900697</t>
  </si>
  <si>
    <t xml:space="preserve">43337223691777</t>
  </si>
  <si>
    <t xml:space="preserve">43337Facebook»AZR»1x1»SocialBan»NA»ALL»DYN»RT»D»All»SS»NA»Free Account Retargeting Generic - T3 - FR</t>
  </si>
  <si>
    <t xml:space="preserve">43336227522762105216992</t>
  </si>
  <si>
    <t xml:space="preserve">43336227522762</t>
  </si>
  <si>
    <t xml:space="preserve">43336Facebook»AZR»1x1»NA»NA»ALL»DYN»AUT»D»All»SS»NA»Free Account Create to Convert FB - Canvas - Brand - Start Free - EN</t>
  </si>
  <si>
    <t xml:space="preserve">43336227525720105130125</t>
  </si>
  <si>
    <t xml:space="preserve">43336227525720</t>
  </si>
  <si>
    <t xml:space="preserve">43336Facebook»AZR»1x1»NA»NA»ALL»DYN»AUT»D»All»SS»NA»Free Account Create to Convert FB - Canvas - Benefit - Start Free - EN</t>
  </si>
  <si>
    <t xml:space="preserve">43336223691771102902968</t>
  </si>
  <si>
    <t xml:space="preserve">43336223691771</t>
  </si>
  <si>
    <t xml:space="preserve">43336Facebook»AZR»1x1»SocialBan»NA»ALL»DYN»AUT»D»All»SS»NA»Free Acc Refresh - T4 - FR</t>
  </si>
  <si>
    <t xml:space="preserve">43336223691804</t>
  </si>
  <si>
    <t xml:space="preserve">43336Facebook»AZR»1x1»SocialBan»NA»ALL»DYN»AUT»D»All»SS»NA»Free Acc Refresh - T1 - EN</t>
  </si>
  <si>
    <t xml:space="preserve">43336223691798102916347</t>
  </si>
  <si>
    <t xml:space="preserve">43336223691798</t>
  </si>
  <si>
    <t xml:space="preserve">43336Facebook»AZR»1x1»NA»EGV»ALL»DYN»AUT»D»All»SS»NA»Free Acc CTC - T2 - FR</t>
  </si>
  <si>
    <t xml:space="preserve">43336223691786</t>
  </si>
  <si>
    <t xml:space="preserve">43336Facebook»AZR»1x1»SocialBan»NA»ALL»DYN»RT»D»All»SS»NA» Free Account Retargeting OSS - T1 - FR</t>
  </si>
  <si>
    <t xml:space="preserve">43336225322324</t>
  </si>
  <si>
    <t xml:space="preserve">43336Facebook»AZR»1x1»NA»SOC»ALL»DYN»PRO»D»All»SS»NA»Canvas - Buy Now - FR</t>
  </si>
  <si>
    <t xml:space="preserve">43336223691834102902953</t>
  </si>
  <si>
    <t xml:space="preserve">43336223691834</t>
  </si>
  <si>
    <t xml:space="preserve">43336Facebook»AZR»1x1»SocialBan»NA»ALL»DYN»RT»D»All»SS»NA»Free Account Retargeting Generic - T2 - EN</t>
  </si>
  <si>
    <t xml:space="preserve">43336223691768102902971</t>
  </si>
  <si>
    <t xml:space="preserve">43336223691768</t>
  </si>
  <si>
    <t xml:space="preserve">43336Facebook»AZR»1x1»SocialBan»NA»ALL»DYN»AUT»D»All»SS»NA»Free Acc Refresh - T2 - FR</t>
  </si>
  <si>
    <t xml:space="preserve">43336223691819102900682</t>
  </si>
  <si>
    <t xml:space="preserve">43336223691819</t>
  </si>
  <si>
    <t xml:space="preserve">43336Facebook»AZR»1x1»SocialBan»NA»ALL»DYN»RT»D»All»SS»NA»Free Account Retargeting Generic - T3 - EN</t>
  </si>
  <si>
    <t xml:space="preserve">43336223691792</t>
  </si>
  <si>
    <t xml:space="preserve">43336Facebook»AZR»1x1»SocialBan»NA»ALL»DYN»RT»D»All»SS»NA»Free Account Retargeting Generic - T2 - FR</t>
  </si>
  <si>
    <t xml:space="preserve">43336223691840102902950</t>
  </si>
  <si>
    <t xml:space="preserve">43336223691840</t>
  </si>
  <si>
    <t xml:space="preserve">43336Facebook»AZR»1x1»NA»EGV»ALL»DYN»AUT»D»All»SS»NA»Free Acc CTC - T2 - EN</t>
  </si>
  <si>
    <t xml:space="preserve">43336223691789102900691</t>
  </si>
  <si>
    <t xml:space="preserve">43336223691789</t>
  </si>
  <si>
    <t xml:space="preserve">43336Facebook»AZR»1x1»SocialBan»NA»ALL»DYN»RT»D»All»SS»NA» Free Account Retargeting OSS - T2 - FR</t>
  </si>
  <si>
    <t xml:space="preserve">43336223691825102916338</t>
  </si>
  <si>
    <t xml:space="preserve">43336223691825</t>
  </si>
  <si>
    <t xml:space="preserve">43336Facebook»AZR»1x1»SocialBan»NA»ALL»DYN»RT»D»All»SS»NA»Free Account Retargeting VM - T1 - EN</t>
  </si>
  <si>
    <t xml:space="preserve">43336223691774102916356</t>
  </si>
  <si>
    <t xml:space="preserve">43336223691774</t>
  </si>
  <si>
    <t xml:space="preserve">43336Facebook»AZR»1x1»SocialBan»NA»ALL»DYN»AUT»D»All»SS»NA»Free Acc Refresh - T5 - FR</t>
  </si>
  <si>
    <t xml:space="preserve">43336223691807102900685</t>
  </si>
  <si>
    <t xml:space="preserve">43336223691807</t>
  </si>
  <si>
    <t xml:space="preserve">43336Facebook»AZR»1x1»SocialBan»NA»ALL»DYN»AUT»D»All»SS»NA»Free Acc Refresh - T3 - EN</t>
  </si>
  <si>
    <t xml:space="preserve">43336223691828102902956</t>
  </si>
  <si>
    <t xml:space="preserve">43336223691828</t>
  </si>
  <si>
    <t xml:space="preserve">43336Facebook»AZR»1x1»SocialBan»NA»ALL»DYN»RT»D»All»SS»NA» Free Account Retargeting OSS - T1 - EN</t>
  </si>
  <si>
    <t xml:space="preserve">43336227618695105127638</t>
  </si>
  <si>
    <t xml:space="preserve">43336227618695</t>
  </si>
  <si>
    <t xml:space="preserve">43336Facebook»AZR»1x1»NA»NA»ALL»DYN»AUT»D»All»SS»NA»Free Account Create to Convert FB - Canvas - Benefit - Start Free - FR</t>
  </si>
  <si>
    <t xml:space="preserve">43336227522771</t>
  </si>
  <si>
    <t xml:space="preserve">43336Facebook»AZR»1x1»NA»NA»ALL»DYN»AUT»D»All»SS»NA»Free Account Create to Convert FB - Canvas - Brand - Start Free - FR</t>
  </si>
  <si>
    <t xml:space="preserve">43336223691801103053323</t>
  </si>
  <si>
    <t xml:space="preserve">43336223691801</t>
  </si>
  <si>
    <t xml:space="preserve">43336Facebook»AZR»1x1»NA»EGV»ALL»DYN»AUT»D»All»SS»NA»Free Acc CTC - T1 - FR</t>
  </si>
  <si>
    <t xml:space="preserve">43336223691810103058711</t>
  </si>
  <si>
    <t xml:space="preserve">43336223691810</t>
  </si>
  <si>
    <t xml:space="preserve">43336Facebook»AZR»1x1»SocialBan»NA»ALL»DYN»AUT»D»All»SS»NA»Free Acc Refresh - T2 - EN</t>
  </si>
  <si>
    <t xml:space="preserve">43336223691765103053332</t>
  </si>
  <si>
    <t xml:space="preserve">43336223691765</t>
  </si>
  <si>
    <t xml:space="preserve">43336Facebook»AZR»1x1»SocialBan»NA»ALL»DYN»AUT»D»All»SS»NA»Free Acc Refresh - T3 - FR</t>
  </si>
  <si>
    <t xml:space="preserve">43336223691777102900697</t>
  </si>
  <si>
    <t xml:space="preserve">43336223691777</t>
  </si>
  <si>
    <t xml:space="preserve">43336Facebook»AZR»1x1»SocialBan»NA»ALL»DYN»RT»D»All»SS»NA»Free Account Retargeting Generic - T3 - FR</t>
  </si>
  <si>
    <t xml:space="preserve">43336223691783</t>
  </si>
  <si>
    <t xml:space="preserve">43336Facebook»AZR»1x1»SocialBan»NA»ALL»DYN»RT»D»All»SS»NA»Free Account Retargeting VM - T1 - FR</t>
  </si>
  <si>
    <t xml:space="preserve">43336223691813</t>
  </si>
  <si>
    <t xml:space="preserve">43336Facebook»AZR»1x1»SocialBan»NA»ALL»DYN»AUT»D»All»SS»NA»Free Acc Refresh - T4 - EN</t>
  </si>
  <si>
    <t xml:space="preserve">43336225322327</t>
  </si>
  <si>
    <t xml:space="preserve">43336Facebook»AZR»1x1»NA»SOC»ALL»DYN»PRO»D»All»SS»NA»Canvas - Buy Now - EN</t>
  </si>
  <si>
    <t xml:space="preserve">43336223691795102900688</t>
  </si>
  <si>
    <t xml:space="preserve">43336223691795</t>
  </si>
  <si>
    <t xml:space="preserve">43336Facebook»AZR»1x1»NA»EGV»ALL»DYN»AUT»D»All»SS»NA»Free Acc CTC - T4 - FR</t>
  </si>
  <si>
    <t xml:space="preserve">43336223691831102913800</t>
  </si>
  <si>
    <t xml:space="preserve">43336223691831</t>
  </si>
  <si>
    <t xml:space="preserve">43336Facebook»AZR»1x1»SocialBan»NA»ALL»DYN»RT»D»All»SS»NA» Free Account Retargeting OSS - T2 - EN</t>
  </si>
  <si>
    <t xml:space="preserve">43336223691837103053314</t>
  </si>
  <si>
    <t xml:space="preserve">43336223691837</t>
  </si>
  <si>
    <t xml:space="preserve">43336Facebook»AZR»1x1»NA»EGV»ALL»DYN»AUT»D»All»SS»NA»Free Acc CTC - T4 - EN</t>
  </si>
  <si>
    <t xml:space="preserve">43336223684451102901882</t>
  </si>
  <si>
    <t xml:space="preserve">43336223684451</t>
  </si>
  <si>
    <t xml:space="preserve">43336Facebook»AZR»1x1»NA»EGV»ALL»DYN»AUT»D»All»SS»NA»Free Acc CTC - T1 - EN</t>
  </si>
  <si>
    <t xml:space="preserve">43336223691762</t>
  </si>
  <si>
    <t xml:space="preserve">43336Facebook»AZR»1x1»SocialBan»NA»ALL»DYN»AUT»D»All»SS»NA»Free Acc Refresh - T1 - FR</t>
  </si>
  <si>
    <t xml:space="preserve">43336223691816102916341</t>
  </si>
  <si>
    <t xml:space="preserve">43336223691816</t>
  </si>
  <si>
    <t xml:space="preserve">43336Facebook»AZR»1x1»SocialBan»NA»ALL»DYN»AUT»D»All»SS»NA»Free Acc Refresh - T5 - EN</t>
  </si>
  <si>
    <t xml:space="preserve">43336223691822103058708</t>
  </si>
  <si>
    <t xml:space="preserve">43336223691822</t>
  </si>
  <si>
    <t xml:space="preserve">43336Facebook»AZR»1x1»SocialBan»NA»ALL»DYN»RT»D»All»SS»NA»Free Account Retargeting VM - T2 - EN</t>
  </si>
  <si>
    <t xml:space="preserve">43336223691780103058726</t>
  </si>
  <si>
    <t xml:space="preserve">43336223691780</t>
  </si>
  <si>
    <t xml:space="preserve">43336Facebook»AZR»1x1»SocialBan»NA»ALL»DYN»RT»D»All»SS»NA»Free Account Retargeting VM - T2 - FR</t>
  </si>
  <si>
    <t xml:space="preserve">43335223691789</t>
  </si>
  <si>
    <t xml:space="preserve">43335Facebook»AZR»1x1»SocialBan»NA»ALL»DYN»RT»D»All»SS»NA» Free Account Retargeting OSS - T2 - FR</t>
  </si>
  <si>
    <t xml:space="preserve">43335223691801</t>
  </si>
  <si>
    <t xml:space="preserve">43335Facebook»AZR»1x1»NA»EGV»ALL»DYN»AUT»D»All»SS»NA»Free Acc CTC - T1 - FR</t>
  </si>
  <si>
    <t xml:space="preserve">43335223691774</t>
  </si>
  <si>
    <t xml:space="preserve">43335Facebook»AZR»1x1»SocialBan»NA»ALL»DYN»AUT»D»All»SS»NA»Free Acc Refresh - T5 - FR</t>
  </si>
  <si>
    <t xml:space="preserve">43335223691813103053320</t>
  </si>
  <si>
    <t xml:space="preserve">43335223691813</t>
  </si>
  <si>
    <t xml:space="preserve">43335Facebook»AZR»1x1»SocialBan»NA»ALL»DYN»AUT»D»All»SS»NA»Free Acc Refresh - T4 - EN</t>
  </si>
  <si>
    <t xml:space="preserve">43335225322327</t>
  </si>
  <si>
    <t xml:space="preserve">43335Facebook»AZR»1x1»NA»SOC»ALL»DYN»PRO»D»All»SS»NA»Canvas - Buy Now - EN</t>
  </si>
  <si>
    <t xml:space="preserve">43335223684451102901882</t>
  </si>
  <si>
    <t xml:space="preserve">43335223684451</t>
  </si>
  <si>
    <t xml:space="preserve">43335Facebook»AZR»1x1»NA»EGV»ALL»DYN»AUT»D»All»SS»NA»Free Acc CTC - T1 - EN</t>
  </si>
  <si>
    <t xml:space="preserve">43335223691777102900697</t>
  </si>
  <si>
    <t xml:space="preserve">43335223691777</t>
  </si>
  <si>
    <t xml:space="preserve">43335Facebook»AZR»1x1»SocialBan»NA»ALL»DYN»RT»D»All»SS»NA»Free Account Retargeting Generic - T3 - FR</t>
  </si>
  <si>
    <t xml:space="preserve">43335223691804</t>
  </si>
  <si>
    <t xml:space="preserve">43335Facebook»AZR»1x1»SocialBan»NA»ALL»DYN»AUT»D»All»SS»NA»Free Acc Refresh - T1 - EN</t>
  </si>
  <si>
    <t xml:space="preserve">43335223691765103053332</t>
  </si>
  <si>
    <t xml:space="preserve">43335223691765</t>
  </si>
  <si>
    <t xml:space="preserve">43335Facebook»AZR»1x1»SocialBan»NA»ALL»DYN»AUT»D»All»SS»NA»Free Acc Refresh - T3 - FR</t>
  </si>
  <si>
    <t xml:space="preserve">43335223691828102902956</t>
  </si>
  <si>
    <t xml:space="preserve">43335223691828</t>
  </si>
  <si>
    <t xml:space="preserve">43335Facebook»AZR»1x1»SocialBan»NA»ALL»DYN»RT»D»All»SS»NA» Free Account Retargeting OSS - T1 - EN</t>
  </si>
  <si>
    <t xml:space="preserve">43335223691768102902971</t>
  </si>
  <si>
    <t xml:space="preserve">43335223691768</t>
  </si>
  <si>
    <t xml:space="preserve">43335Facebook»AZR»1x1»SocialBan»NA»ALL»DYN»AUT»D»All»SS»NA»Free Acc Refresh - T2 - FR</t>
  </si>
  <si>
    <t xml:space="preserve">43335223691816102916341</t>
  </si>
  <si>
    <t xml:space="preserve">43335223691816</t>
  </si>
  <si>
    <t xml:space="preserve">43335Facebook»AZR»1x1»SocialBan»NA»ALL»DYN»AUT»D»All»SS»NA»Free Acc Refresh - T5 - EN</t>
  </si>
  <si>
    <t xml:space="preserve">43335223691810103058711</t>
  </si>
  <si>
    <t xml:space="preserve">43335223691810</t>
  </si>
  <si>
    <t xml:space="preserve">43335Facebook»AZR»1x1»SocialBan»NA»ALL»DYN»AUT»D»All»SS»NA»Free Acc Refresh - T2 - EN</t>
  </si>
  <si>
    <t xml:space="preserve">43335227618695</t>
  </si>
  <si>
    <t xml:space="preserve">43335Facebook»AZR»1x1»NA»NA»ALL»DYN»AUT»D»All»SS»NA»Free Account Create to Convert FB - Canvas - Benefit - Start Free - FR</t>
  </si>
  <si>
    <t xml:space="preserve">43335Facebook»AZR»1x1»NA»NA»ALL»DYN»AUT»D»All»SS»NA»Free Account Create to Convert FB - Canvas - Benefit - Start Free - EN</t>
  </si>
  <si>
    <t xml:space="preserve">43335227522762105216992</t>
  </si>
  <si>
    <t xml:space="preserve">43335227522762</t>
  </si>
  <si>
    <t xml:space="preserve">43335Facebook»AZR»1x1»NA»NA»ALL»DYN»AUT»D»All»SS»NA»Free Account Create to Convert FB - Canvas - Brand - Start Free - EN</t>
  </si>
  <si>
    <t xml:space="preserve">43335223691798102916347</t>
  </si>
  <si>
    <t xml:space="preserve">43335223691798</t>
  </si>
  <si>
    <t xml:space="preserve">43335Facebook»AZR»1x1»NA»EGV»ALL»DYN»AUT»D»All»SS»NA»Free Acc CTC - T2 - FR</t>
  </si>
  <si>
    <t xml:space="preserve">43335223691837103053314</t>
  </si>
  <si>
    <t xml:space="preserve">43335223691837</t>
  </si>
  <si>
    <t xml:space="preserve">43335Facebook»AZR»1x1»NA»EGV»ALL»DYN»AUT»D»All»SS»NA»Free Acc CTC - T4 - EN</t>
  </si>
  <si>
    <t xml:space="preserve">43335223691819102900682</t>
  </si>
  <si>
    <t xml:space="preserve">43335223691819</t>
  </si>
  <si>
    <t xml:space="preserve">43335Facebook»AZR»1x1»SocialBan»NA»ALL»DYN»RT»D»All»SS»NA»Free Account Retargeting Generic - T3 - EN</t>
  </si>
  <si>
    <t xml:space="preserve">43335223691822</t>
  </si>
  <si>
    <t xml:space="preserve">43335Facebook»AZR»1x1»SocialBan»NA»ALL»DYN»RT»D»All»SS»NA»Free Account Retargeting VM - T2 - EN</t>
  </si>
  <si>
    <t xml:space="preserve">43335223691762102902974</t>
  </si>
  <si>
    <t xml:space="preserve">43335223691762</t>
  </si>
  <si>
    <t xml:space="preserve">43335Facebook»AZR»1x1»SocialBan»NA»ALL»DYN»AUT»D»All»SS»NA»Free Acc Refresh - T1 - FR</t>
  </si>
  <si>
    <t xml:space="preserve">43335225322324103789915</t>
  </si>
  <si>
    <t xml:space="preserve">43335225322324</t>
  </si>
  <si>
    <t xml:space="preserve">43335Facebook»AZR»1x1»NA»SOC»ALL»DYN»PRO»D»All»SS»NA»Canvas - Buy Now - FR</t>
  </si>
  <si>
    <t xml:space="preserve">43335223691786</t>
  </si>
  <si>
    <t xml:space="preserve">43335Facebook»AZR»1x1»SocialBan»NA»ALL»DYN»RT»D»All»SS»NA» Free Account Retargeting OSS - T1 - FR</t>
  </si>
  <si>
    <t xml:space="preserve">43335223691840</t>
  </si>
  <si>
    <t xml:space="preserve">43335Facebook»AZR»1x1»NA»EGV»ALL»DYN»AUT»D»All»SS»NA»Free Acc CTC - T2 - EN</t>
  </si>
  <si>
    <t xml:space="preserve">43335223691792102901894</t>
  </si>
  <si>
    <t xml:space="preserve">43335223691792</t>
  </si>
  <si>
    <t xml:space="preserve">43335Facebook»AZR»1x1»SocialBan»NA»ALL»DYN»RT»D»All»SS»NA»Free Account Retargeting Generic - T2 - FR</t>
  </si>
  <si>
    <t xml:space="preserve">43335223691831102913800</t>
  </si>
  <si>
    <t xml:space="preserve">43335223691831</t>
  </si>
  <si>
    <t xml:space="preserve">43335Facebook»AZR»1x1»SocialBan»NA»ALL»DYN»RT»D»All»SS»NA» Free Account Retargeting OSS - T2 - EN</t>
  </si>
  <si>
    <t xml:space="preserve">43335223691795102900688</t>
  </si>
  <si>
    <t xml:space="preserve">43335223691795</t>
  </si>
  <si>
    <t xml:space="preserve">43335Facebook»AZR»1x1»NA»EGV»ALL»DYN»AUT»D»All»SS»NA»Free Acc CTC - T4 - FR</t>
  </si>
  <si>
    <t xml:space="preserve">43335223691807102900685</t>
  </si>
  <si>
    <t xml:space="preserve">43335223691807</t>
  </si>
  <si>
    <t xml:space="preserve">43335Facebook»AZR»1x1»SocialBan»NA»ALL»DYN»AUT»D»All»SS»NA»Free Acc Refresh - T3 - EN</t>
  </si>
  <si>
    <t xml:space="preserve">43335227522771</t>
  </si>
  <si>
    <t xml:space="preserve">43335Facebook»AZR»1x1»NA»NA»ALL»DYN»AUT»D»All»SS»NA»Free Account Create to Convert FB - Canvas - Brand - Start Free - FR</t>
  </si>
  <si>
    <t xml:space="preserve">43335223691780</t>
  </si>
  <si>
    <t xml:space="preserve">43335Facebook»AZR»1x1»SocialBan»NA»ALL»DYN»RT»D»All»SS»NA»Free Account Retargeting VM - T2 - FR</t>
  </si>
  <si>
    <t xml:space="preserve">43335223691825102916338</t>
  </si>
  <si>
    <t xml:space="preserve">43335223691825</t>
  </si>
  <si>
    <t xml:space="preserve">43335Facebook»AZR»1x1»SocialBan»NA»ALL»DYN»RT»D»All»SS»NA»Free Account Retargeting VM - T1 - EN</t>
  </si>
  <si>
    <t xml:space="preserve">43335223691771102902968</t>
  </si>
  <si>
    <t xml:space="preserve">43335223691771</t>
  </si>
  <si>
    <t xml:space="preserve">43335Facebook»AZR»1x1»SocialBan»NA»ALL»DYN»AUT»D»All»SS»NA»Free Acc Refresh - T4 - FR</t>
  </si>
  <si>
    <t xml:space="preserve">43335223691783</t>
  </si>
  <si>
    <t xml:space="preserve">43335Facebook»AZR»1x1»SocialBan»NA»ALL»DYN»RT»D»All»SS»NA»Free Account Retargeting VM - T1 - FR</t>
  </si>
  <si>
    <t xml:space="preserve">43335223691834102902953</t>
  </si>
  <si>
    <t xml:space="preserve">43335223691834</t>
  </si>
  <si>
    <t xml:space="preserve">43335Facebook»AZR»1x1»SocialBan»NA»ALL»DYN»RT»D»All»SS»NA»Free Account Retargeting Generic - T2 - EN</t>
  </si>
  <si>
    <t xml:space="preserve">43334223691792</t>
  </si>
  <si>
    <t xml:space="preserve">43334Facebook»AZR»1x1»SocialBan»NA»ALL»DYN»RT»D»All»SS»NA»Free Account Retargeting Generic - T2 - FR</t>
  </si>
  <si>
    <t xml:space="preserve">43334223691810</t>
  </si>
  <si>
    <t xml:space="preserve">43334Facebook»AZR»1x1»SocialBan»NA»ALL»DYN»AUT»D»All»SS»NA»Free Acc Refresh - T2 - EN</t>
  </si>
  <si>
    <t xml:space="preserve">43334223691801103053323</t>
  </si>
  <si>
    <t xml:space="preserve">43334223691801</t>
  </si>
  <si>
    <t xml:space="preserve">43334Facebook»AZR»1x1»NA»EGV»ALL»DYN»AUT»D»All»SS»NA»Free Acc CTC - T1 - FR</t>
  </si>
  <si>
    <t xml:space="preserve">43334223691765103053332</t>
  </si>
  <si>
    <t xml:space="preserve">43334223691765</t>
  </si>
  <si>
    <t xml:space="preserve">43334Facebook»AZR»1x1»SocialBan»NA»ALL»DYN»AUT»D»All»SS»NA»Free Acc Refresh - T3 - FR</t>
  </si>
  <si>
    <t xml:space="preserve">43334223691762</t>
  </si>
  <si>
    <t xml:space="preserve">43334Facebook»AZR»1x1»SocialBan»NA»ALL»DYN»AUT»D»All»SS»NA»Free Acc Refresh - T1 - FR</t>
  </si>
  <si>
    <t xml:space="preserve">43334223691783</t>
  </si>
  <si>
    <t xml:space="preserve">43334Facebook»AZR»1x1»SocialBan»NA»ALL»DYN»RT»D»All»SS»NA»Free Account Retargeting VM - T1 - FR</t>
  </si>
  <si>
    <t xml:space="preserve">43334223691777102900697</t>
  </si>
  <si>
    <t xml:space="preserve">43334223691777</t>
  </si>
  <si>
    <t xml:space="preserve">43334Facebook»AZR»1x1»SocialBan»NA»ALL»DYN»RT»D»All»SS»NA»Free Account Retargeting Generic - T3 - FR</t>
  </si>
  <si>
    <t xml:space="preserve">43334223691837103053314</t>
  </si>
  <si>
    <t xml:space="preserve">43334223691837</t>
  </si>
  <si>
    <t xml:space="preserve">43334Facebook»AZR»1x1»NA»EGV»ALL»DYN»AUT»D»All»SS»NA»Free Acc CTC - T4 - EN</t>
  </si>
  <si>
    <t xml:space="preserve">43334223691831102913800</t>
  </si>
  <si>
    <t xml:space="preserve">43334223691831</t>
  </si>
  <si>
    <t xml:space="preserve">43334Facebook»AZR»1x1»SocialBan»NA»ALL»DYN»RT»D»All»SS»NA» Free Account Retargeting OSS - T2 - EN</t>
  </si>
  <si>
    <t xml:space="preserve">43334223691795102900688</t>
  </si>
  <si>
    <t xml:space="preserve">43334223691795</t>
  </si>
  <si>
    <t xml:space="preserve">43334Facebook»AZR»1x1»NA»EGV»ALL»DYN»AUT»D»All»SS»NA»Free Acc CTC - T4 - FR</t>
  </si>
  <si>
    <t xml:space="preserve">43334223691786103058720</t>
  </si>
  <si>
    <t xml:space="preserve">43334223691786</t>
  </si>
  <si>
    <t xml:space="preserve">43334Facebook»AZR»1x1»SocialBan»NA»ALL»DYN»RT»D»All»SS»NA» Free Account Retargeting OSS - T1 - FR</t>
  </si>
  <si>
    <t xml:space="preserve">43334223691813103053320</t>
  </si>
  <si>
    <t xml:space="preserve">43334223691813</t>
  </si>
  <si>
    <t xml:space="preserve">43334Facebook»AZR»1x1»SocialBan»NA»ALL»DYN»AUT»D»All»SS»NA»Free Acc Refresh - T4 - EN</t>
  </si>
  <si>
    <t xml:space="preserve">43334223691819102900682</t>
  </si>
  <si>
    <t xml:space="preserve">43334223691819</t>
  </si>
  <si>
    <t xml:space="preserve">43334Facebook»AZR»1x1»SocialBan»NA»ALL»DYN»RT»D»All»SS»NA»Free Account Retargeting Generic - T3 - EN</t>
  </si>
  <si>
    <t xml:space="preserve">43334223691816102916341</t>
  </si>
  <si>
    <t xml:space="preserve">43334223691816</t>
  </si>
  <si>
    <t xml:space="preserve">43334Facebook»AZR»1x1»SocialBan»NA»ALL»DYN»AUT»D»All»SS»NA»Free Acc Refresh - T5 - EN</t>
  </si>
  <si>
    <t xml:space="preserve">43334223691822103058708</t>
  </si>
  <si>
    <t xml:space="preserve">43334223691822</t>
  </si>
  <si>
    <t xml:space="preserve">43334Facebook»AZR»1x1»SocialBan»NA»ALL»DYN»RT»D»All»SS»NA»Free Account Retargeting VM - T2 - EN</t>
  </si>
  <si>
    <t xml:space="preserve">43334223691804</t>
  </si>
  <si>
    <t xml:space="preserve">43334Facebook»AZR»1x1»SocialBan»NA»ALL»DYN»AUT»D»All»SS»NA»Free Acc Refresh - T1 - EN</t>
  </si>
  <si>
    <t xml:space="preserve">43334223691825102916338</t>
  </si>
  <si>
    <t xml:space="preserve">43334223691825</t>
  </si>
  <si>
    <t xml:space="preserve">43334Facebook»AZR»1x1»SocialBan»NA»ALL»DYN»RT»D»All»SS»NA»Free Account Retargeting VM - T1 - EN</t>
  </si>
  <si>
    <t xml:space="preserve">43334223691774102916356</t>
  </si>
  <si>
    <t xml:space="preserve">43334223691774</t>
  </si>
  <si>
    <t xml:space="preserve">43334Facebook»AZR»1x1»SocialBan»NA»ALL»DYN»AUT»D»All»SS»NA»Free Acc Refresh - T5 - FR</t>
  </si>
  <si>
    <t xml:space="preserve">43334223691807</t>
  </si>
  <si>
    <t xml:space="preserve">43334Facebook»AZR»1x1»SocialBan»NA»ALL»DYN»AUT»D»All»SS»NA»Free Acc Refresh - T3 - EN</t>
  </si>
  <si>
    <t xml:space="preserve">43334223691828102902956</t>
  </si>
  <si>
    <t xml:space="preserve">43334223691828</t>
  </si>
  <si>
    <t xml:space="preserve">43334Facebook»AZR»1x1»SocialBan»NA»ALL»DYN»RT»D»All»SS»NA» Free Account Retargeting OSS - T1 - EN</t>
  </si>
  <si>
    <t xml:space="preserve">43334223691768102902971</t>
  </si>
  <si>
    <t xml:space="preserve">43334223691768</t>
  </si>
  <si>
    <t xml:space="preserve">43334Facebook»AZR»1x1»SocialBan»NA»ALL»DYN»AUT»D»All»SS»NA»Free Acc Refresh - T2 - FR</t>
  </si>
  <si>
    <t xml:space="preserve">43334223691834102902953</t>
  </si>
  <si>
    <t xml:space="preserve">43334223691834</t>
  </si>
  <si>
    <t xml:space="preserve">43334Facebook»AZR»1x1»SocialBan»NA»ALL»DYN»RT»D»All»SS»NA»Free Account Retargeting Generic - T2 - EN</t>
  </si>
  <si>
    <t xml:space="preserve">43334223691840102902950</t>
  </si>
  <si>
    <t xml:space="preserve">43334223691840</t>
  </si>
  <si>
    <t xml:space="preserve">43334Facebook»AZR»1x1»NA»EGV»ALL»DYN»AUT»D»All»SS»NA»Free Acc CTC - T2 - EN</t>
  </si>
  <si>
    <t xml:space="preserve">43334225322327103902287</t>
  </si>
  <si>
    <t xml:space="preserve">43334225322327</t>
  </si>
  <si>
    <t xml:space="preserve">43334Facebook»AZR»1x1»NA»SOC»ALL»DYN»PRO»D»All»SS»NA»Canvas - Buy Now - EN</t>
  </si>
  <si>
    <t xml:space="preserve">43334223691780103058726</t>
  </si>
  <si>
    <t xml:space="preserve">43334223691780</t>
  </si>
  <si>
    <t xml:space="preserve">43334Facebook»AZR»1x1»SocialBan»NA»ALL»DYN»RT»D»All»SS»NA»Free Account Retargeting VM - T2 - FR</t>
  </si>
  <si>
    <t xml:space="preserve">43334225322324</t>
  </si>
  <si>
    <t xml:space="preserve">43334Facebook»AZR»1x1»NA»SOC»ALL»DYN»PRO»D»All»SS»NA»Canvas - Buy Now - FR</t>
  </si>
  <si>
    <t xml:space="preserve">43334223691771102902968</t>
  </si>
  <si>
    <t xml:space="preserve">43334223691771</t>
  </si>
  <si>
    <t xml:space="preserve">43334Facebook»AZR»1x1»SocialBan»NA»ALL»DYN»AUT»D»All»SS»NA»Free Acc Refresh - T4 - FR</t>
  </si>
  <si>
    <t xml:space="preserve">43334223684451102901882</t>
  </si>
  <si>
    <t xml:space="preserve">43334223684451</t>
  </si>
  <si>
    <t xml:space="preserve">43334Facebook»AZR»1x1»NA»EGV»ALL»DYN»AUT»D»All»SS»NA»Free Acc CTC - T1 - EN</t>
  </si>
  <si>
    <t xml:space="preserve">43334223691798102916347</t>
  </si>
  <si>
    <t xml:space="preserve">43334223691798</t>
  </si>
  <si>
    <t xml:space="preserve">43334Facebook»AZR»1x1»NA»EGV»ALL»DYN»AUT»D»All»SS»NA»Free Acc CTC - T2 - FR</t>
  </si>
  <si>
    <t xml:space="preserve">43334223691789102900691</t>
  </si>
  <si>
    <t xml:space="preserve">43334223691789</t>
  </si>
  <si>
    <t xml:space="preserve">43334Facebook»AZR»1x1»SocialBan»NA»ALL»DYN»RT»D»All»SS»NA» Free Account Retargeting OSS - T2 - FR</t>
  </si>
  <si>
    <t xml:space="preserve">43333225322327103902287</t>
  </si>
  <si>
    <t xml:space="preserve">43333225322327</t>
  </si>
  <si>
    <t xml:space="preserve">43333Facebook»AZR»1x1»NA»SOC»ALL»DYN»PRO»D»All»SS»NA»Canvas - Buy Now - EN</t>
  </si>
  <si>
    <t xml:space="preserve">43333223691804103058717</t>
  </si>
  <si>
    <t xml:space="preserve">43333223691804</t>
  </si>
  <si>
    <t xml:space="preserve">43333Facebook»AZR»1x1»SocialBan»NA»ALL»DYN»AUT»D»All»SS»NA»Free Acc Refresh - T1 - EN</t>
  </si>
  <si>
    <t xml:space="preserve">43333223691819102900682</t>
  </si>
  <si>
    <t xml:space="preserve">43333223691819</t>
  </si>
  <si>
    <t xml:space="preserve">43333Facebook»AZR»1x1»SocialBan»NA»ALL»DYN»RT»D»All»SS»NA»Free Account Retargeting Generic - T3 - EN</t>
  </si>
  <si>
    <t xml:space="preserve">43333223691786103058720</t>
  </si>
  <si>
    <t xml:space="preserve">43333223691786</t>
  </si>
  <si>
    <t xml:space="preserve">43333Facebook»AZR»1x1»SocialBan»NA»ALL»DYN»RT»D»All»SS»NA» Free Account Retargeting OSS - T1 - FR</t>
  </si>
  <si>
    <t xml:space="preserve">43333223691828102902956</t>
  </si>
  <si>
    <t xml:space="preserve">43333223691828</t>
  </si>
  <si>
    <t xml:space="preserve">43333Facebook»AZR»1x1»SocialBan»NA»ALL»DYN»RT»D»All»SS»NA» Free Account Retargeting OSS - T1 - EN</t>
  </si>
  <si>
    <t xml:space="preserve">43333223691834102902953</t>
  </si>
  <si>
    <t xml:space="preserve">43333223691834</t>
  </si>
  <si>
    <t xml:space="preserve">43333Facebook»AZR»1x1»SocialBan»NA»ALL»DYN»RT»D»All»SS»NA»Free Account Retargeting Generic - T2 - EN</t>
  </si>
  <si>
    <t xml:space="preserve">43333223691777102900697</t>
  </si>
  <si>
    <t xml:space="preserve">43333223691777</t>
  </si>
  <si>
    <t xml:space="preserve">43333Facebook»AZR»1x1»SocialBan»NA»ALL»DYN»RT»D»All»SS»NA»Free Account Retargeting Generic - T3 - FR</t>
  </si>
  <si>
    <t xml:space="preserve">43333223691822103058708</t>
  </si>
  <si>
    <t xml:space="preserve">43333223691822</t>
  </si>
  <si>
    <t xml:space="preserve">43333Facebook»AZR»1x1»SocialBan»NA»ALL»DYN»RT»D»All»SS»NA»Free Account Retargeting VM - T2 - EN</t>
  </si>
  <si>
    <t xml:space="preserve">43333223691816102916341</t>
  </si>
  <si>
    <t xml:space="preserve">43333223691816</t>
  </si>
  <si>
    <t xml:space="preserve">43333Facebook»AZR»1x1»SocialBan»NA»ALL»DYN»AUT»D»All»SS»NA»Free Acc Refresh - T5 - EN</t>
  </si>
  <si>
    <t xml:space="preserve">43333223691825102916338</t>
  </si>
  <si>
    <t xml:space="preserve">43333223691825</t>
  </si>
  <si>
    <t xml:space="preserve">43333Facebook»AZR»1x1»SocialBan»NA»ALL»DYN»RT»D»All»SS»NA»Free Account Retargeting VM - T1 - EN</t>
  </si>
  <si>
    <t xml:space="preserve">43333223691831102913800</t>
  </si>
  <si>
    <t xml:space="preserve">43333223691831</t>
  </si>
  <si>
    <t xml:space="preserve">43333Facebook»AZR»1x1»SocialBan»NA»ALL»DYN»RT»D»All»SS»NA» Free Account Retargeting OSS - T2 - EN</t>
  </si>
  <si>
    <t xml:space="preserve">43333223691783</t>
  </si>
  <si>
    <t xml:space="preserve">43333Facebook»AZR»1x1»SocialBan»NA»ALL»DYN»RT»D»All»SS»NA»Free Account Retargeting VM - T1 - FR</t>
  </si>
  <si>
    <t xml:space="preserve">43333223691774102916356</t>
  </si>
  <si>
    <t xml:space="preserve">43333223691774</t>
  </si>
  <si>
    <t xml:space="preserve">43333Facebook»AZR»1x1»SocialBan»NA»ALL»DYN»AUT»D»All»SS»NA»Free Acc Refresh - T5 - FR</t>
  </si>
  <si>
    <t xml:space="preserve">43333223691768102902971</t>
  </si>
  <si>
    <t xml:space="preserve">43333223691768</t>
  </si>
  <si>
    <t xml:space="preserve">43333Facebook»AZR»1x1»SocialBan»NA»ALL»DYN»AUT»D»All»SS»NA»Free Acc Refresh - T2 - FR</t>
  </si>
  <si>
    <t xml:space="preserve">43333223691792</t>
  </si>
  <si>
    <t xml:space="preserve">43333Facebook»AZR»1x1»SocialBan»NA»ALL»DYN»RT»D»All»SS»NA»Free Account Retargeting Generic - T2 - FR</t>
  </si>
  <si>
    <t xml:space="preserve">43333223691798102916347</t>
  </si>
  <si>
    <t xml:space="preserve">43333223691798</t>
  </si>
  <si>
    <t xml:space="preserve">43333Facebook»AZR»1x1»NA»EGV»ALL»DYN»AUT»D»All»SS»NA»Free Acc CTC - T2 - FR</t>
  </si>
  <si>
    <t xml:space="preserve">43333223691840102902950</t>
  </si>
  <si>
    <t xml:space="preserve">43333223691840</t>
  </si>
  <si>
    <t xml:space="preserve">43333Facebook»AZR»1x1»NA»EGV»ALL»DYN»AUT»D»All»SS»NA»Free Acc CTC - T2 - EN</t>
  </si>
  <si>
    <t xml:space="preserve">43333223684451102901882</t>
  </si>
  <si>
    <t xml:space="preserve">43333223684451</t>
  </si>
  <si>
    <t xml:space="preserve">43333Facebook»AZR»1x1»NA»EGV»ALL»DYN»AUT»D»All»SS»NA»Free Acc CTC - T1 - EN</t>
  </si>
  <si>
    <t xml:space="preserve">43333223691789102900691</t>
  </si>
  <si>
    <t xml:space="preserve">43333223691789</t>
  </si>
  <si>
    <t xml:space="preserve">43333Facebook»AZR»1x1»SocialBan»NA»ALL»DYN»RT»D»All»SS»NA» Free Account Retargeting OSS - T2 - FR</t>
  </si>
  <si>
    <t xml:space="preserve">43333223691762</t>
  </si>
  <si>
    <t xml:space="preserve">43333Facebook»AZR»1x1»SocialBan»NA»ALL»DYN»AUT»D»All»SS»NA»Free Acc Refresh - T1 - FR</t>
  </si>
  <si>
    <t xml:space="preserve">43333223691801103053323</t>
  </si>
  <si>
    <t xml:space="preserve">43333223691801</t>
  </si>
  <si>
    <t xml:space="preserve">43333Facebook»AZR»1x1»NA»EGV»ALL»DYN»AUT»D»All»SS»NA»Free Acc CTC - T1 - FR</t>
  </si>
  <si>
    <t xml:space="preserve">43333223691810103058711</t>
  </si>
  <si>
    <t xml:space="preserve">43333223691810</t>
  </si>
  <si>
    <t xml:space="preserve">43333Facebook»AZR»1x1»SocialBan»NA»ALL»DYN»AUT»D»All»SS»NA»Free Acc Refresh - T2 - EN</t>
  </si>
  <si>
    <t xml:space="preserve">43333223691795</t>
  </si>
  <si>
    <t xml:space="preserve">43333Facebook»AZR»1x1»NA»EGV»ALL»DYN»AUT»D»All»SS»NA»Free Acc CTC - T4 - FR</t>
  </si>
  <si>
    <t xml:space="preserve">43333223691765</t>
  </si>
  <si>
    <t xml:space="preserve">43333Facebook»AZR»1x1»SocialBan»NA»ALL»DYN»AUT»D»All»SS»NA»Free Acc Refresh - T3 - FR</t>
  </si>
  <si>
    <t xml:space="preserve">43333225322324103789915</t>
  </si>
  <si>
    <t xml:space="preserve">43333225322324</t>
  </si>
  <si>
    <t xml:space="preserve">43333Facebook»AZR»1x1»NA»SOC»ALL»DYN»PRO»D»All»SS»NA»Canvas - Buy Now - FR</t>
  </si>
  <si>
    <t xml:space="preserve">43333223691780103058726</t>
  </si>
  <si>
    <t xml:space="preserve">43333223691780</t>
  </si>
  <si>
    <t xml:space="preserve">43333Facebook»AZR»1x1»SocialBan»NA»ALL»DYN»RT»D»All»SS»NA»Free Account Retargeting VM - T2 - FR</t>
  </si>
  <si>
    <t xml:space="preserve">43333223691837103053314</t>
  </si>
  <si>
    <t xml:space="preserve">43333223691837</t>
  </si>
  <si>
    <t xml:space="preserve">43333Facebook»AZR»1x1»NA»EGV»ALL»DYN»AUT»D»All»SS»NA»Free Acc CTC - T4 - EN</t>
  </si>
  <si>
    <t xml:space="preserve">43333223691807102900685</t>
  </si>
  <si>
    <t xml:space="preserve">43333223691807</t>
  </si>
  <si>
    <t xml:space="preserve">43333Facebook»AZR»1x1»SocialBan»NA»ALL»DYN»AUT»D»All»SS»NA»Free Acc Refresh - T3 - EN</t>
  </si>
  <si>
    <t xml:space="preserve">43333223691813103053320</t>
  </si>
  <si>
    <t xml:space="preserve">43333223691813</t>
  </si>
  <si>
    <t xml:space="preserve">43333Facebook»AZR»1x1»SocialBan»NA»ALL»DYN»AUT»D»All»SS»NA»Free Acc Refresh - T4 - EN</t>
  </si>
  <si>
    <t xml:space="preserve">43333223691771102902968</t>
  </si>
  <si>
    <t xml:space="preserve">43333223691771</t>
  </si>
  <si>
    <t xml:space="preserve">43333Facebook»AZR»1x1»SocialBan»NA»ALL»DYN»AUT»D»All»SS»NA»Free Acc Refresh - T4 - FR</t>
  </si>
  <si>
    <t xml:space="preserve">43332223691840102902950</t>
  </si>
  <si>
    <t xml:space="preserve">43332223691840</t>
  </si>
  <si>
    <t xml:space="preserve">43332Facebook»AZR»1x1»NA»EGV»ALL»DYN»AUT»D»All»SS»NA»Free Acc CTC - T2 - EN</t>
  </si>
  <si>
    <t xml:space="preserve">43332223691822103058708</t>
  </si>
  <si>
    <t xml:space="preserve">43332223691822</t>
  </si>
  <si>
    <t xml:space="preserve">43332Facebook»AZR»1x1»SocialBan»NA»ALL»DYN»RT»D»All»SS»NA»Free Account Retargeting VM - T2 - EN</t>
  </si>
  <si>
    <t xml:space="preserve">43332225322327103902287</t>
  </si>
  <si>
    <t xml:space="preserve">43332225322327</t>
  </si>
  <si>
    <t xml:space="preserve">43332Facebook»AZR»1x1»NA»SOC»ALL»DYN»PRO»D»All»SS»NA»Canvas - Buy Now - EN</t>
  </si>
  <si>
    <t xml:space="preserve">43332225322324103789915</t>
  </si>
  <si>
    <t xml:space="preserve">43332225322324</t>
  </si>
  <si>
    <t xml:space="preserve">43332Facebook»AZR»1x1»NA»SOC»ALL»DYN»PRO»D»All»SS»NA»Canvas - Buy Now - FR</t>
  </si>
  <si>
    <t xml:space="preserve">43332223691771</t>
  </si>
  <si>
    <t xml:space="preserve">43332Facebook»AZR»1x1»SocialBan»NA»ALL»DYN»AUT»D»All»SS»NA»Free Acc Refresh - T4 - FR</t>
  </si>
  <si>
    <t xml:space="preserve">43332223691792</t>
  </si>
  <si>
    <t xml:space="preserve">43332Facebook»AZR»1x1»SocialBan»NA»ALL»DYN»RT»D»All»SS»NA»Free Account Retargeting Generic - T2 - FR</t>
  </si>
  <si>
    <t xml:space="preserve">43332223691762102902974</t>
  </si>
  <si>
    <t xml:space="preserve">43332223691762</t>
  </si>
  <si>
    <t xml:space="preserve">43332Facebook»AZR»1x1»SocialBan»NA»ALL»DYN»AUT»D»All»SS»NA»Free Acc Refresh - T1 - FR</t>
  </si>
  <si>
    <t xml:space="preserve">43332223691795</t>
  </si>
  <si>
    <t xml:space="preserve">43332Facebook»AZR»1x1»NA»EGV»ALL»DYN»AUT»D»All»SS»NA»Free Acc CTC - T4 - FR</t>
  </si>
  <si>
    <t xml:space="preserve">43332223691819102900682</t>
  </si>
  <si>
    <t xml:space="preserve">43332223691819</t>
  </si>
  <si>
    <t xml:space="preserve">43332Facebook»AZR»1x1»SocialBan»NA»ALL»DYN»RT»D»All»SS»NA»Free Account Retargeting Generic - T3 - EN</t>
  </si>
  <si>
    <t xml:space="preserve">43332223691783</t>
  </si>
  <si>
    <t xml:space="preserve">43332Facebook»AZR»1x1»SocialBan»NA»ALL»DYN»RT»D»All»SS»NA»Free Account Retargeting VM - T1 - FR</t>
  </si>
  <si>
    <t xml:space="preserve">43332223691831102913800</t>
  </si>
  <si>
    <t xml:space="preserve">43332223691831</t>
  </si>
  <si>
    <t xml:space="preserve">43332Facebook»AZR»1x1»SocialBan»NA»ALL»DYN»RT»D»All»SS»NA» Free Account Retargeting OSS - T2 - EN</t>
  </si>
  <si>
    <t xml:space="preserve">43332223691801103053323</t>
  </si>
  <si>
    <t xml:space="preserve">43332223691801</t>
  </si>
  <si>
    <t xml:space="preserve">43332Facebook»AZR»1x1»NA»EGV»ALL»DYN»AUT»D»All»SS»NA»Free Acc CTC - T1 - FR</t>
  </si>
  <si>
    <t xml:space="preserve">43332223691780</t>
  </si>
  <si>
    <t xml:space="preserve">43332Facebook»AZR»1x1»SocialBan»NA»ALL»DYN»RT»D»All»SS»NA»Free Account Retargeting VM - T2 - FR</t>
  </si>
  <si>
    <t xml:space="preserve">43332223691834102902953</t>
  </si>
  <si>
    <t xml:space="preserve">43332223691834</t>
  </si>
  <si>
    <t xml:space="preserve">43332Facebook»AZR»1x1»SocialBan»NA»ALL»DYN»RT»D»All»SS»NA»Free Account Retargeting Generic - T2 - EN</t>
  </si>
  <si>
    <t xml:space="preserve">43332223691813</t>
  </si>
  <si>
    <t xml:space="preserve">43332Facebook»AZR»1x1»SocialBan»NA»ALL»DYN»AUT»D»All»SS»NA»Free Acc Refresh - T4 - EN</t>
  </si>
  <si>
    <t xml:space="preserve">43332223691816102916341</t>
  </si>
  <si>
    <t xml:space="preserve">43332223691816</t>
  </si>
  <si>
    <t xml:space="preserve">43332Facebook»AZR»1x1»SocialBan»NA»ALL»DYN»AUT»D»All»SS»NA»Free Acc Refresh - T5 - EN</t>
  </si>
  <si>
    <t xml:space="preserve">43332223691837103053314</t>
  </si>
  <si>
    <t xml:space="preserve">43332223691837</t>
  </si>
  <si>
    <t xml:space="preserve">43332Facebook»AZR»1x1»NA»EGV»ALL»DYN»AUT»D»All»SS»NA»Free Acc CTC - T4 - EN</t>
  </si>
  <si>
    <t xml:space="preserve">43332223691765103053332</t>
  </si>
  <si>
    <t xml:space="preserve">43332223691765</t>
  </si>
  <si>
    <t xml:space="preserve">43332Facebook»AZR»1x1»SocialBan»NA»ALL»DYN»AUT»D»All»SS»NA»Free Acc Refresh - T3 - FR</t>
  </si>
  <si>
    <t xml:space="preserve">43332223691789102900691</t>
  </si>
  <si>
    <t xml:space="preserve">43332223691789</t>
  </si>
  <si>
    <t xml:space="preserve">43332Facebook»AZR»1x1»SocialBan»NA»ALL»DYN»RT»D»All»SS»NA» Free Account Retargeting OSS - T2 - FR</t>
  </si>
  <si>
    <t xml:space="preserve">43332223691804103058717</t>
  </si>
  <si>
    <t xml:space="preserve">43332223691804</t>
  </si>
  <si>
    <t xml:space="preserve">43332Facebook»AZR»1x1»SocialBan»NA»ALL»DYN»AUT»D»All»SS»NA»Free Acc Refresh - T1 - EN</t>
  </si>
  <si>
    <t xml:space="preserve">43332223691810103058711</t>
  </si>
  <si>
    <t xml:space="preserve">43332223691810</t>
  </si>
  <si>
    <t xml:space="preserve">43332Facebook»AZR»1x1»SocialBan»NA»ALL»DYN»AUT»D»All»SS»NA»Free Acc Refresh - T2 - EN</t>
  </si>
  <si>
    <t xml:space="preserve">43332223684451102901882</t>
  </si>
  <si>
    <t xml:space="preserve">43332223684451</t>
  </si>
  <si>
    <t xml:space="preserve">43332Facebook»AZR»1x1»NA»EGV»ALL»DYN»AUT»D»All»SS»NA»Free Acc CTC - T1 - EN</t>
  </si>
  <si>
    <t xml:space="preserve">43332223691786</t>
  </si>
  <si>
    <t xml:space="preserve">43332Facebook»AZR»1x1»SocialBan»NA»ALL»DYN»RT»D»All»SS»NA» Free Account Retargeting OSS - T1 - FR</t>
  </si>
  <si>
    <t xml:space="preserve">43332223691777102900697</t>
  </si>
  <si>
    <t xml:space="preserve">43332223691777</t>
  </si>
  <si>
    <t xml:space="preserve">43332Facebook»AZR»1x1»SocialBan»NA»ALL»DYN»RT»D»All»SS»NA»Free Account Retargeting Generic - T3 - FR</t>
  </si>
  <si>
    <t xml:space="preserve">43332223691828102902956</t>
  </si>
  <si>
    <t xml:space="preserve">43332223691828</t>
  </si>
  <si>
    <t xml:space="preserve">43332Facebook»AZR»1x1»SocialBan»NA»ALL»DYN»RT»D»All»SS»NA» Free Account Retargeting OSS - T1 - EN</t>
  </si>
  <si>
    <t xml:space="preserve">43332223691798102916347</t>
  </si>
  <si>
    <t xml:space="preserve">43332223691798</t>
  </si>
  <si>
    <t xml:space="preserve">43332Facebook»AZR»1x1»NA»EGV»ALL»DYN»AUT»D»All»SS»NA»Free Acc CTC - T2 - FR</t>
  </si>
  <si>
    <t xml:space="preserve">43332223691768102902971</t>
  </si>
  <si>
    <t xml:space="preserve">43332223691768</t>
  </si>
  <si>
    <t xml:space="preserve">43332Facebook»AZR»1x1»SocialBan»NA»ALL»DYN»AUT»D»All»SS»NA»Free Acc Refresh - T2 - FR</t>
  </si>
  <si>
    <t xml:space="preserve">43332223691774</t>
  </si>
  <si>
    <t xml:space="preserve">43332Facebook»AZR»1x1»SocialBan»NA»ALL»DYN»AUT»D»All»SS»NA»Free Acc Refresh - T5 - FR</t>
  </si>
  <si>
    <t xml:space="preserve">43332223691825102916338</t>
  </si>
  <si>
    <t xml:space="preserve">43332223691825</t>
  </si>
  <si>
    <t xml:space="preserve">43332Facebook»AZR»1x1»SocialBan»NA»ALL»DYN»RT»D»All»SS»NA»Free Account Retargeting VM - T1 - EN</t>
  </si>
  <si>
    <t xml:space="preserve">43332223691807102900685</t>
  </si>
  <si>
    <t xml:space="preserve">43332223691807</t>
  </si>
  <si>
    <t xml:space="preserve">43332Facebook»AZR»1x1»SocialBan»NA»ALL»DYN»AUT»D»All»SS»NA»Free Acc Refresh - T3 - EN</t>
  </si>
  <si>
    <t xml:space="preserve">43331223691786</t>
  </si>
  <si>
    <t xml:space="preserve">43331Facebook»AZR»1x1»SocialBan»NA»ALL»DYN»RT»D»All»SS»NA» Free Account Retargeting OSS - T1 - FR</t>
  </si>
  <si>
    <t xml:space="preserve">43331223691819102900682</t>
  </si>
  <si>
    <t xml:space="preserve">43331223691819</t>
  </si>
  <si>
    <t xml:space="preserve">43331Facebook»AZR»1x1»SocialBan»NA»ALL»DYN»RT»D»All»SS»NA»Free Account Retargeting Generic - T3 - EN</t>
  </si>
  <si>
    <t xml:space="preserve">43331223691774</t>
  </si>
  <si>
    <t xml:space="preserve">43331Facebook»AZR»1x1»SocialBan»NA»ALL»DYN»AUT»D»All»SS»NA»Free Acc Refresh - T5 - FR</t>
  </si>
  <si>
    <t xml:space="preserve">43331223691777102900697</t>
  </si>
  <si>
    <t xml:space="preserve">43331223691777</t>
  </si>
  <si>
    <t xml:space="preserve">43331Facebook»AZR»1x1»SocialBan»NA»ALL»DYN»RT»D»All»SS»NA»Free Account Retargeting Generic - T3 - FR</t>
  </si>
  <si>
    <t xml:space="preserve">43331223691789</t>
  </si>
  <si>
    <t xml:space="preserve">43331Facebook»AZR»1x1»SocialBan»NA»ALL»DYN»RT»D»All»SS»NA» Free Account Retargeting OSS - T2 - FR</t>
  </si>
  <si>
    <t xml:space="preserve">43331223691780</t>
  </si>
  <si>
    <t xml:space="preserve">43331Facebook»AZR»1x1»SocialBan»NA»ALL»DYN»RT»D»All»SS»NA»Free Account Retargeting VM - T2 - FR</t>
  </si>
  <si>
    <t xml:space="preserve">43331223691783103058723</t>
  </si>
  <si>
    <t xml:space="preserve">43331223691783</t>
  </si>
  <si>
    <t xml:space="preserve">43331Facebook»AZR»1x1»SocialBan»NA»ALL»DYN»RT»D»All»SS»NA»Free Account Retargeting VM - T1 - FR</t>
  </si>
  <si>
    <t xml:space="preserve">43331223691795</t>
  </si>
  <si>
    <t xml:space="preserve">43331Facebook»AZR»1x1»NA»EGV»ALL»DYN»AUT»D»All»SS»NA»Free Acc CTC - T4 - FR</t>
  </si>
  <si>
    <t xml:space="preserve">43331223691762</t>
  </si>
  <si>
    <t xml:space="preserve">43331Facebook»AZR»1x1»SocialBan»NA»ALL»DYN»AUT»D»All»SS»NA»Free Acc Refresh - T1 - FR</t>
  </si>
  <si>
    <t xml:space="preserve">43331223691792</t>
  </si>
  <si>
    <t xml:space="preserve">43331Facebook»AZR»1x1»SocialBan»NA»ALL»DYN»RT»D»All»SS»NA»Free Account Retargeting Generic - T2 - FR</t>
  </si>
  <si>
    <t xml:space="preserve">43331223691771102902968</t>
  </si>
  <si>
    <t xml:space="preserve">43331223691771</t>
  </si>
  <si>
    <t xml:space="preserve">43331Facebook»AZR»1x1»SocialBan»NA»ALL»DYN»AUT»D»All»SS»NA»Free Acc Refresh - T4 - FR</t>
  </si>
  <si>
    <t xml:space="preserve">43331225322324</t>
  </si>
  <si>
    <t xml:space="preserve">43331Facebook»AZR»1x1»NA»SOC»ALL»DYN»PRO»D»All»SS»NA»Canvas - Buy Now - FR</t>
  </si>
  <si>
    <t xml:space="preserve">43331223691840102902950</t>
  </si>
  <si>
    <t xml:space="preserve">43331223691840</t>
  </si>
  <si>
    <t xml:space="preserve">43331Facebook»AZR»1x1»NA»EGV»ALL»DYN»AUT»D»All»SS»NA»Free Acc CTC - T2 - EN</t>
  </si>
  <si>
    <t xml:space="preserve">43331223691807102900685</t>
  </si>
  <si>
    <t xml:space="preserve">43331223691807</t>
  </si>
  <si>
    <t xml:space="preserve">43331Facebook»AZR»1x1»SocialBan»NA»ALL»DYN»AUT»D»All»SS»NA»Free Acc Refresh - T3 - EN</t>
  </si>
  <si>
    <t xml:space="preserve">43331223691801103053323</t>
  </si>
  <si>
    <t xml:space="preserve">43331223691801</t>
  </si>
  <si>
    <t xml:space="preserve">43331Facebook»AZR»1x1»NA»EGV»ALL»DYN»AUT»D»All»SS»NA»Free Acc CTC - T1 - FR</t>
  </si>
  <si>
    <t xml:space="preserve">43331223691768102902971</t>
  </si>
  <si>
    <t xml:space="preserve">43331223691768</t>
  </si>
  <si>
    <t xml:space="preserve">43331Facebook»AZR»1x1»SocialBan»NA»ALL»DYN»AUT»D»All»SS»NA»Free Acc Refresh - T2 - FR</t>
  </si>
  <si>
    <t xml:space="preserve">43331223691831102913800</t>
  </si>
  <si>
    <t xml:space="preserve">43331223691831</t>
  </si>
  <si>
    <t xml:space="preserve">43331Facebook»AZR»1x1»SocialBan»NA»ALL»DYN»RT»D»All»SS»NA» Free Account Retargeting OSS - T2 - EN</t>
  </si>
  <si>
    <t xml:space="preserve">43331223691798</t>
  </si>
  <si>
    <t xml:space="preserve">43331Facebook»AZR»1x1»NA»EGV»ALL»DYN»AUT»D»All»SS»NA»Free Acc CTC - T2 - FR</t>
  </si>
  <si>
    <t xml:space="preserve">43331223684451102901882</t>
  </si>
  <si>
    <t xml:space="preserve">43331223684451</t>
  </si>
  <si>
    <t xml:space="preserve">43331Facebook»AZR»1x1»NA»EGV»ALL»DYN»AUT»D»All»SS»NA»Free Acc CTC - T1 - EN</t>
  </si>
  <si>
    <t xml:space="preserve">43331223691765</t>
  </si>
  <si>
    <t xml:space="preserve">43331Facebook»AZR»1x1»SocialBan»NA»ALL»DYN»AUT»D»All»SS»NA»Free Acc Refresh - T3 - FR</t>
  </si>
  <si>
    <t xml:space="preserve">43331223691837103053314</t>
  </si>
  <si>
    <t xml:space="preserve">43331223691837</t>
  </si>
  <si>
    <t xml:space="preserve">43331Facebook»AZR»1x1»NA»EGV»ALL»DYN»AUT»D»All»SS»NA»Free Acc CTC - T4 - EN</t>
  </si>
  <si>
    <t xml:space="preserve">43331223691813103053320</t>
  </si>
  <si>
    <t xml:space="preserve">43331223691813</t>
  </si>
  <si>
    <t xml:space="preserve">43331Facebook»AZR»1x1»SocialBan»NA»ALL»DYN»AUT»D»All»SS»NA»Free Acc Refresh - T4 - EN</t>
  </si>
  <si>
    <t xml:space="preserve">43331225322327103902287</t>
  </si>
  <si>
    <t xml:space="preserve">43331225322327</t>
  </si>
  <si>
    <t xml:space="preserve">43331Facebook»AZR»1x1»NA»SOC»ALL»DYN»PRO»D»All»SS»NA»Canvas - Buy Now - EN</t>
  </si>
  <si>
    <t xml:space="preserve">43331223691816102916341</t>
  </si>
  <si>
    <t xml:space="preserve">43331223691816</t>
  </si>
  <si>
    <t xml:space="preserve">43331Facebook»AZR»1x1»SocialBan»NA»ALL»DYN»AUT»D»All»SS»NA»Free Acc Refresh - T5 - EN</t>
  </si>
  <si>
    <t xml:space="preserve">43331223691804103058717</t>
  </si>
  <si>
    <t xml:space="preserve">43331223691804</t>
  </si>
  <si>
    <t xml:space="preserve">43331Facebook»AZR»1x1»SocialBan»NA»ALL»DYN»AUT»D»All»SS»NA»Free Acc Refresh - T1 - EN</t>
  </si>
  <si>
    <t xml:space="preserve">43331223691828102902956</t>
  </si>
  <si>
    <t xml:space="preserve">43331223691828</t>
  </si>
  <si>
    <t xml:space="preserve">43331Facebook»AZR»1x1»SocialBan»NA»ALL»DYN»RT»D»All»SS»NA» Free Account Retargeting OSS - T1 - EN</t>
  </si>
  <si>
    <t xml:space="preserve">43331223691825102916338</t>
  </si>
  <si>
    <t xml:space="preserve">43331223691825</t>
  </si>
  <si>
    <t xml:space="preserve">43331Facebook»AZR»1x1»SocialBan»NA»ALL»DYN»RT»D»All»SS»NA»Free Account Retargeting VM - T1 - EN</t>
  </si>
  <si>
    <t xml:space="preserve">43331223691834102902953</t>
  </si>
  <si>
    <t xml:space="preserve">43331223691834</t>
  </si>
  <si>
    <t xml:space="preserve">43331Facebook»AZR»1x1»SocialBan»NA»ALL»DYN»RT»D»All»SS»NA»Free Account Retargeting Generic - T2 - EN</t>
  </si>
  <si>
    <t xml:space="preserve">43331223691822103058708</t>
  </si>
  <si>
    <t xml:space="preserve">43331223691822</t>
  </si>
  <si>
    <t xml:space="preserve">43331Facebook»AZR»1x1»SocialBan»NA»ALL»DYN»RT»D»All»SS»NA»Free Account Retargeting VM - T2 - EN</t>
  </si>
  <si>
    <t xml:space="preserve">43331223691810103058711</t>
  </si>
  <si>
    <t xml:space="preserve">43331223691810</t>
  </si>
  <si>
    <t xml:space="preserve">43331Facebook»AZR»1x1»SocialBan»NA»ALL»DYN»AUT»D»All»SS»NA»Free Acc Refresh - T2 - EN</t>
  </si>
  <si>
    <t xml:space="preserve">43331224009494103236186</t>
  </si>
  <si>
    <t xml:space="preserve">43331224009494</t>
  </si>
  <si>
    <t xml:space="preserve">43331Facebook»DEV-ITP-AZR-FB|CanvasAds|Interesttargeting»1x1»TextLink»CAN»DT»CPM»AUT»W»NA»SS»NA»39684020-11000</t>
  </si>
  <si>
    <t xml:space="preserve">43332224009494103236186</t>
  </si>
  <si>
    <t xml:space="preserve">43332224009494</t>
  </si>
  <si>
    <t xml:space="preserve">43332Facebook»DEV-ITP-AZR-FB|CanvasAds|Interesttargeting»1x1»TextLink»CAN»DT»CPM»AUT»W»NA»SS»NA»39684020-11000</t>
  </si>
  <si>
    <t xml:space="preserve">43333224009494103236186</t>
  </si>
  <si>
    <t xml:space="preserve">43333224009494</t>
  </si>
  <si>
    <t xml:space="preserve">43333Facebook»DEV-ITP-AZR-FB|CanvasAds|Interesttargeting»1x1»TextLink»CAN»DT»CPM»AUT»W»NA»SS»NA»39684020-11000</t>
  </si>
  <si>
    <t xml:space="preserve">43334224009494103236186</t>
  </si>
  <si>
    <t xml:space="preserve">43334224009494</t>
  </si>
  <si>
    <t xml:space="preserve">43334Facebook»DEV-ITP-AZR-FB|CanvasAds|Interesttargeting»1x1»TextLink»CAN»DT»CPM»AUT»W»NA»SS»NA»39684020-11000</t>
  </si>
  <si>
    <t xml:space="preserve">43335224009494103236186</t>
  </si>
  <si>
    <t xml:space="preserve">43335224009494</t>
  </si>
  <si>
    <t xml:space="preserve">43335Facebook»DEV-ITP-AZR-FB|CanvasAds|Interesttargeting»1x1»TextLink»CAN»DT»CPM»AUT»W»NA»SS»NA»39684020-11000</t>
  </si>
  <si>
    <t xml:space="preserve">43336224009494103236186</t>
  </si>
  <si>
    <t xml:space="preserve">43336224009494</t>
  </si>
  <si>
    <t xml:space="preserve">43336Facebook»DEV-ITP-AZR-FB|CanvasAds|Interesttargeting»1x1»TextLink»CAN»DT»CPM»AUT»W»NA»SS»NA»39684020-11000</t>
  </si>
  <si>
    <t xml:space="preserve">43337224009494103236186</t>
  </si>
  <si>
    <t xml:space="preserve">43337224009494</t>
  </si>
  <si>
    <t xml:space="preserve">43337Facebook»DEV-ITP-AZR-FB|CanvasAds|Interesttargeting»1x1»TextLink»CAN»DT»CPM»AUT»W»NA»SS»NA»39684020-11000</t>
  </si>
  <si>
    <t xml:space="preserve">43331224010415103048548</t>
  </si>
  <si>
    <t xml:space="preserve">43331224010415</t>
  </si>
  <si>
    <t xml:space="preserve">43331Facebook»DEV-ITP-AZR-FB|LinkAd|CustomerAudienceRetargeting»1x1»TextLink»LIA»DT»CPM»RT»W»NA»SS»NA»39684019-11000</t>
  </si>
  <si>
    <t xml:space="preserve">43332224010415103048548</t>
  </si>
  <si>
    <t xml:space="preserve">43332224010415</t>
  </si>
  <si>
    <t xml:space="preserve">43332Facebook»DEV-ITP-AZR-FB|LinkAd|CustomerAudienceRetargeting»1x1»TextLink»LIA»DT»CPM»RT»W»NA»SS»NA»39684019-11000</t>
  </si>
  <si>
    <t xml:space="preserve">43333224010415103040320</t>
  </si>
  <si>
    <t xml:space="preserve">43333224010415</t>
  </si>
  <si>
    <t xml:space="preserve">43333Facebook»DEV-ITP-AZR-FB|LinkAd|CustomerAudienceRetargeting»1x1»TextLink»LIA»DT»CPM»RT»W»NA»SS»NA»39684019-11000</t>
  </si>
  <si>
    <t xml:space="preserve">43334224010415103048548</t>
  </si>
  <si>
    <t xml:space="preserve">43334224010415</t>
  </si>
  <si>
    <t xml:space="preserve">43334Facebook»DEV-ITP-AZR-FB|LinkAd|CustomerAudienceRetargeting»1x1»TextLink»LIA»DT»CPM»RT»W»NA»SS»NA»39684019-11000</t>
  </si>
  <si>
    <t xml:space="preserve">43335224010415103048548</t>
  </si>
  <si>
    <t xml:space="preserve">43335224010415</t>
  </si>
  <si>
    <t xml:space="preserve">43335Facebook»DEV-ITP-AZR-FB|LinkAd|CustomerAudienceRetargeting»1x1»TextLink»LIA»DT»CPM»RT»W»NA»SS»NA»39684019-11000</t>
  </si>
  <si>
    <t xml:space="preserve">43336224010415103048548</t>
  </si>
  <si>
    <t xml:space="preserve">43336224010415</t>
  </si>
  <si>
    <t xml:space="preserve">43336Facebook»DEV-ITP-AZR-FB|LinkAd|CustomerAudienceRetargeting»1x1»TextLink»LIA»DT»CPM»RT»W»NA»SS»NA»39684019-11000</t>
  </si>
  <si>
    <t xml:space="preserve">43337224010415103048548</t>
  </si>
  <si>
    <t xml:space="preserve">43337224010415</t>
  </si>
  <si>
    <t xml:space="preserve">43337Facebook»DEV-ITP-AZR-FB|LinkAd|CustomerAudienceRetargeting»1x1»TextLink»LIA»DT»CPM»RT»W»NA»SS»NA»39684019-11000</t>
  </si>
  <si>
    <t xml:space="preserve">43337226359956</t>
  </si>
  <si>
    <t xml:space="preserve">43337Facebook»Developers/ITPros-Azure Direct-Sponsored Post_Trial_PayGo-Link Ad-FreeAcctRetargetingFB-Animated-ChC CanvasOpener»1x1»SocialBan»SOC»ALL»CPC»LAL»D»UNK»SS»NA»Trials_ID</t>
  </si>
  <si>
    <t xml:space="preserve">43336226359956</t>
  </si>
  <si>
    <t xml:space="preserve">43336Facebook»Developers/ITPros-Azure Direct-Sponsored Post_Trial_PayGo-Link Ad-FreeAcctRetargetingFB-Animated-ChC CanvasOpener»1x1»SocialBan»SOC»ALL»CPC»LAL»D»UNK»SS»NA»Trials_ID</t>
  </si>
  <si>
    <t xml:space="preserve">43335226359956</t>
  </si>
  <si>
    <t xml:space="preserve">43335Facebook»Developers/ITPros-Azure Direct-Sponsored Post_Trial_PayGo-Link Ad-FreeAcctRetargetingFB-Animated-ChC CanvasOpener»1x1»SocialBan»SOC»ALL»CPC»LAL»D»UNK»SS»NA»Trials_ID</t>
  </si>
  <si>
    <t xml:space="preserve">43334226359956</t>
  </si>
  <si>
    <t xml:space="preserve">43334Facebook»Developers/ITPros-Azure Direct-Sponsored Post_Trial_PayGo-Link Ad-FreeAcctRetargetingFB-Animated-ChC CanvasOpener»1x1»SocialBan»SOC»ALL»CPC»LAL»D»UNK»SS»NA»Trials_ID</t>
  </si>
  <si>
    <t xml:space="preserve">43333226359956</t>
  </si>
  <si>
    <t xml:space="preserve">43333Facebook»Developers/ITPros-Azure Direct-Sponsored Post_Trial_PayGo-Link Ad-FreeAcctRetargetingFB-Animated-ChC CanvasOpener»1x1»SocialBan»SOC»ALL»CPC»LAL»D»UNK»SS»NA»Trials_ID</t>
  </si>
  <si>
    <t xml:space="preserve">43332226359956</t>
  </si>
  <si>
    <t xml:space="preserve">43332Facebook»Developers/ITPros-Azure Direct-Sponsored Post_Trial_PayGo-Link Ad-FreeAcctRetargetingFB-Animated-ChC CanvasOpener»1x1»SocialBan»SOC»ALL»CPC»LAL»D»UNK»SS»NA»Trials_ID</t>
  </si>
  <si>
    <t xml:space="preserve">43331226359956</t>
  </si>
  <si>
    <t xml:space="preserve">43331Facebook»Developers/ITPros-Azure Direct-Sponsored Post_Trial_PayGo-Link Ad-FreeAcctRetargetingFB-Animated-ChC CanvasOpener»1x1»SocialBan»SOC»ALL»CPC»LAL»D»UNK»SS»NA»Trials_ID</t>
  </si>
  <si>
    <t xml:space="preserve">43337226359971</t>
  </si>
  <si>
    <t xml:space="preserve">43337Facebook»Developers/ITPros-Azure Direct-Sponsored Post_Trial_PayGo-Link Ad-FreeAcctRetargetingFB-GlobalAlt-ChB_RTG CanvasOpener»1x1»SocialBan»SOC»ALL»CPC»LAL»D»UNK»SS»NA»Trials_ID</t>
  </si>
  <si>
    <t xml:space="preserve">43336226359971</t>
  </si>
  <si>
    <t xml:space="preserve">43336Facebook»Developers/ITPros-Azure Direct-Sponsored Post_Trial_PayGo-Link Ad-FreeAcctRetargetingFB-GlobalAlt-ChB_RTG CanvasOpener»1x1»SocialBan»SOC»ALL»CPC»LAL»D»UNK»SS»NA»Trials_ID</t>
  </si>
  <si>
    <t xml:space="preserve">43335226359971</t>
  </si>
  <si>
    <t xml:space="preserve">43335Facebook»Developers/ITPros-Azure Direct-Sponsored Post_Trial_PayGo-Link Ad-FreeAcctRetargetingFB-GlobalAlt-ChB_RTG CanvasOpener»1x1»SocialBan»SOC»ALL»CPC»LAL»D»UNK»SS»NA»Trials_ID</t>
  </si>
  <si>
    <t xml:space="preserve">43334226359971</t>
  </si>
  <si>
    <t xml:space="preserve">43334Facebook»Developers/ITPros-Azure Direct-Sponsored Post_Trial_PayGo-Link Ad-FreeAcctRetargetingFB-GlobalAlt-ChB_RTG CanvasOpener»1x1»SocialBan»SOC»ALL»CPC»LAL»D»UNK»SS»NA»Trials_ID</t>
  </si>
  <si>
    <t xml:space="preserve">43333226359971</t>
  </si>
  <si>
    <t xml:space="preserve">43333Facebook»Developers/ITPros-Azure Direct-Sponsored Post_Trial_PayGo-Link Ad-FreeAcctRetargetingFB-GlobalAlt-ChB_RTG CanvasOpener»1x1»SocialBan»SOC»ALL»CPC»LAL»D»UNK»SS»NA»Trials_ID</t>
  </si>
  <si>
    <t xml:space="preserve">43332226359971</t>
  </si>
  <si>
    <t xml:space="preserve">43332Facebook»Developers/ITPros-Azure Direct-Sponsored Post_Trial_PayGo-Link Ad-FreeAcctRetargetingFB-GlobalAlt-ChB_RTG CanvasOpener»1x1»SocialBan»SOC»ALL»CPC»LAL»D»UNK»SS»NA»Trials_ID</t>
  </si>
  <si>
    <t xml:space="preserve">43331226359971</t>
  </si>
  <si>
    <t xml:space="preserve">43331Facebook»Developers/ITPros-Azure Direct-Sponsored Post_Trial_PayGo-Link Ad-FreeAcctRetargetingFB-GlobalAlt-ChB_RTG CanvasOpener»1x1»SocialBan»SOC»ALL»CPC»LAL»D»UNK»SS»NA»Trials_ID</t>
  </si>
  <si>
    <t xml:space="preserve">43337226359968</t>
  </si>
  <si>
    <t xml:space="preserve">43337Facebook»Developers/ITPros-Azure Direct-Sponsored Post_Trial_PayGo-Link Ad-FreeAcctRetargetingOSSFB-Logos-ChG CanvasOpener»1x1»SocialBan»SOC»ALL»CPC»LAL»D»UNK»SS»NA»Trials_ID</t>
  </si>
  <si>
    <t xml:space="preserve">43336226359968</t>
  </si>
  <si>
    <t xml:space="preserve">43336Facebook»Developers/ITPros-Azure Direct-Sponsored Post_Trial_PayGo-Link Ad-FreeAcctRetargetingOSSFB-Logos-ChG CanvasOpener»1x1»SocialBan»SOC»ALL»CPC»LAL»D»UNK»SS»NA»Trials_ID</t>
  </si>
  <si>
    <t xml:space="preserve">43335226359968</t>
  </si>
  <si>
    <t xml:space="preserve">43335Facebook»Developers/ITPros-Azure Direct-Sponsored Post_Trial_PayGo-Link Ad-FreeAcctRetargetingOSSFB-Logos-ChG CanvasOpener»1x1»SocialBan»SOC»ALL»CPC»LAL»D»UNK»SS»NA»Trials_ID</t>
  </si>
  <si>
    <t xml:space="preserve">43334226359968</t>
  </si>
  <si>
    <t xml:space="preserve">43334Facebook»Developers/ITPros-Azure Direct-Sponsored Post_Trial_PayGo-Link Ad-FreeAcctRetargetingOSSFB-Logos-ChG CanvasOpener»1x1»SocialBan»SOC»ALL»CPC»LAL»D»UNK»SS»NA»Trials_ID</t>
  </si>
  <si>
    <t xml:space="preserve">43333226359968</t>
  </si>
  <si>
    <t xml:space="preserve">43333Facebook»Developers/ITPros-Azure Direct-Sponsored Post_Trial_PayGo-Link Ad-FreeAcctRetargetingOSSFB-Logos-ChG CanvasOpener»1x1»SocialBan»SOC»ALL»CPC»LAL»D»UNK»SS»NA»Trials_ID</t>
  </si>
  <si>
    <t xml:space="preserve">43332226359968</t>
  </si>
  <si>
    <t xml:space="preserve">43332Facebook»Developers/ITPros-Azure Direct-Sponsored Post_Trial_PayGo-Link Ad-FreeAcctRetargetingOSSFB-Logos-ChG CanvasOpener»1x1»SocialBan»SOC»ALL»CPC»LAL»D»UNK»SS»NA»Trials_ID</t>
  </si>
  <si>
    <t xml:space="preserve">43331226359968</t>
  </si>
  <si>
    <t xml:space="preserve">43331Facebook»Developers/ITPros-Azure Direct-Sponsored Post_Trial_PayGo-Link Ad-FreeAcctRetargetingOSSFB-Logos-ChG CanvasOpener»1x1»SocialBan»SOC»ALL»CPC»LAL»D»UNK»SS»NA»Trials_ID</t>
  </si>
  <si>
    <t xml:space="preserve">43337226359965</t>
  </si>
  <si>
    <t xml:space="preserve">43337Facebook»Developers/ITPros-Azure Direct-Sponsored Post_Trial_PayGo-Link Ad-FreeAcctRetargetingOSSFB-Text-ChF CanvasOpener»1x1»SocialBan»SOC»ALL»CPC»LAL»D»UNK»SS»NA»Trials_ID</t>
  </si>
  <si>
    <t xml:space="preserve">43336226359965</t>
  </si>
  <si>
    <t xml:space="preserve">43336Facebook»Developers/ITPros-Azure Direct-Sponsored Post_Trial_PayGo-Link Ad-FreeAcctRetargetingOSSFB-Text-ChF CanvasOpener»1x1»SocialBan»SOC»ALL»CPC»LAL»D»UNK»SS»NA»Trials_ID</t>
  </si>
  <si>
    <t xml:space="preserve">43335226359965</t>
  </si>
  <si>
    <t xml:space="preserve">43335Facebook»Developers/ITPros-Azure Direct-Sponsored Post_Trial_PayGo-Link Ad-FreeAcctRetargetingOSSFB-Text-ChF CanvasOpener»1x1»SocialBan»SOC»ALL»CPC»LAL»D»UNK»SS»NA»Trials_ID</t>
  </si>
  <si>
    <t xml:space="preserve">43334226359965</t>
  </si>
  <si>
    <t xml:space="preserve">43334Facebook»Developers/ITPros-Azure Direct-Sponsored Post_Trial_PayGo-Link Ad-FreeAcctRetargetingOSSFB-Text-ChF CanvasOpener»1x1»SocialBan»SOC»ALL»CPC»LAL»D»UNK»SS»NA»Trials_ID</t>
  </si>
  <si>
    <t xml:space="preserve">43333226359965</t>
  </si>
  <si>
    <t xml:space="preserve">43333Facebook»Developers/ITPros-Azure Direct-Sponsored Post_Trial_PayGo-Link Ad-FreeAcctRetargetingOSSFB-Text-ChF CanvasOpener»1x1»SocialBan»SOC»ALL»CPC»LAL»D»UNK»SS»NA»Trials_ID</t>
  </si>
  <si>
    <t xml:space="preserve">43332226359965</t>
  </si>
  <si>
    <t xml:space="preserve">43332Facebook»Developers/ITPros-Azure Direct-Sponsored Post_Trial_PayGo-Link Ad-FreeAcctRetargetingOSSFB-Text-ChF CanvasOpener»1x1»SocialBan»SOC»ALL»CPC»LAL»D»UNK»SS»NA»Trials_ID</t>
  </si>
  <si>
    <t xml:space="preserve">43331226359965</t>
  </si>
  <si>
    <t xml:space="preserve">43331Facebook»Developers/ITPros-Azure Direct-Sponsored Post_Trial_PayGo-Link Ad-FreeAcctRetargetingOSSFB-Text-ChF CanvasOpener»1x1»SocialBan»SOC»ALL»CPC»LAL»D»UNK»SS»NA»Trials_ID</t>
  </si>
  <si>
    <t xml:space="preserve">43337226359962</t>
  </si>
  <si>
    <t xml:space="preserve">43337Facebook»Developers/ITPros-Azure Direct-Sponsored Post_Trial_PayGo-Link Ad-FreeAcctRetargetingVMFB-750Hrs-ChD CanvasOpener»1x1»SocialBan»SOC»ALL»CPC»LAL»D»UNK»SS»NA»Trials_ID</t>
  </si>
  <si>
    <t xml:space="preserve">43336226359962</t>
  </si>
  <si>
    <t xml:space="preserve">43336Facebook»Developers/ITPros-Azure Direct-Sponsored Post_Trial_PayGo-Link Ad-FreeAcctRetargetingVMFB-750Hrs-ChD CanvasOpener»1x1»SocialBan»SOC»ALL»CPC»LAL»D»UNK»SS»NA»Trials_ID</t>
  </si>
  <si>
    <t xml:space="preserve">43335226359962</t>
  </si>
  <si>
    <t xml:space="preserve">43335Facebook»Developers/ITPros-Azure Direct-Sponsored Post_Trial_PayGo-Link Ad-FreeAcctRetargetingVMFB-750Hrs-ChD CanvasOpener»1x1»SocialBan»SOC»ALL»CPC»LAL»D»UNK»SS»NA»Trials_ID</t>
  </si>
  <si>
    <t xml:space="preserve">43334226359962</t>
  </si>
  <si>
    <t xml:space="preserve">43334Facebook»Developers/ITPros-Azure Direct-Sponsored Post_Trial_PayGo-Link Ad-FreeAcctRetargetingVMFB-750Hrs-ChD CanvasOpener»1x1»SocialBan»SOC»ALL»CPC»LAL»D»UNK»SS»NA»Trials_ID</t>
  </si>
  <si>
    <t xml:space="preserve">43333226359962</t>
  </si>
  <si>
    <t xml:space="preserve">43333Facebook»Developers/ITPros-Azure Direct-Sponsored Post_Trial_PayGo-Link Ad-FreeAcctRetargetingVMFB-750Hrs-ChD CanvasOpener»1x1»SocialBan»SOC»ALL»CPC»LAL»D»UNK»SS»NA»Trials_ID</t>
  </si>
  <si>
    <t xml:space="preserve">43332226359962</t>
  </si>
  <si>
    <t xml:space="preserve">43332Facebook»Developers/ITPros-Azure Direct-Sponsored Post_Trial_PayGo-Link Ad-FreeAcctRetargetingVMFB-750Hrs-ChD CanvasOpener»1x1»SocialBan»SOC»ALL»CPC»LAL»D»UNK»SS»NA»Trials_ID</t>
  </si>
  <si>
    <t xml:space="preserve">43331226359962</t>
  </si>
  <si>
    <t xml:space="preserve">43331Facebook»Developers/ITPros-Azure Direct-Sponsored Post_Trial_PayGo-Link Ad-FreeAcctRetargetingVMFB-750Hrs-ChD CanvasOpener»1x1»SocialBan»SOC»ALL»CPC»LAL»D»UNK»SS»NA»Trials_ID</t>
  </si>
  <si>
    <t xml:space="preserve">43337226359959</t>
  </si>
  <si>
    <t xml:space="preserve">43337Facebook»Developers/ITPros-Azure Direct-Sponsored Post_Trial_PayGo-Link Ad-FreeAcctRetargetingVMFB-OnDemand-ChE CanvasOpener»1x1»SocialBan»SOC»ALL»CPC»LAL»D»UNK»SS»NA»Trials_ID</t>
  </si>
  <si>
    <t xml:space="preserve">43336226359959</t>
  </si>
  <si>
    <t xml:space="preserve">43336Facebook»Developers/ITPros-Azure Direct-Sponsored Post_Trial_PayGo-Link Ad-FreeAcctRetargetingVMFB-OnDemand-ChE CanvasOpener»1x1»SocialBan»SOC»ALL»CPC»LAL»D»UNK»SS»NA»Trials_ID</t>
  </si>
  <si>
    <t xml:space="preserve">43335226359959</t>
  </si>
  <si>
    <t xml:space="preserve">43335Facebook»Developers/ITPros-Azure Direct-Sponsored Post_Trial_PayGo-Link Ad-FreeAcctRetargetingVMFB-OnDemand-ChE CanvasOpener»1x1»SocialBan»SOC»ALL»CPC»LAL»D»UNK»SS»NA»Trials_ID</t>
  </si>
  <si>
    <t xml:space="preserve">43334226359959</t>
  </si>
  <si>
    <t xml:space="preserve">43334Facebook»Developers/ITPros-Azure Direct-Sponsored Post_Trial_PayGo-Link Ad-FreeAcctRetargetingVMFB-OnDemand-ChE CanvasOpener»1x1»SocialBan»SOC»ALL»CPC»LAL»D»UNK»SS»NA»Trials_ID</t>
  </si>
  <si>
    <t xml:space="preserve">43333226359959</t>
  </si>
  <si>
    <t xml:space="preserve">43333Facebook»Developers/ITPros-Azure Direct-Sponsored Post_Trial_PayGo-Link Ad-FreeAcctRetargetingVMFB-OnDemand-ChE CanvasOpener»1x1»SocialBan»SOC»ALL»CPC»LAL»D»UNK»SS»NA»Trials_ID</t>
  </si>
  <si>
    <t xml:space="preserve">43332226359959</t>
  </si>
  <si>
    <t xml:space="preserve">43332Facebook»Developers/ITPros-Azure Direct-Sponsored Post_Trial_PayGo-Link Ad-FreeAcctRetargetingVMFB-OnDemand-ChE CanvasOpener»1x1»SocialBan»SOC»ALL»CPC»LAL»D»UNK»SS»NA»Trials_ID</t>
  </si>
  <si>
    <t xml:space="preserve">43331226359959</t>
  </si>
  <si>
    <t xml:space="preserve">43331Facebook»Developers/ITPros-Azure Direct-Sponsored Post_Trial_PayGo-Link Ad-FreeAcctRetargetingVMFB-OnDemand-ChE CanvasOpener»1x1»SocialBan»SOC»ALL»CPC»LAL»D»UNK»SS»NA»Trials_ID</t>
  </si>
  <si>
    <t xml:space="preserve">43337226360037</t>
  </si>
  <si>
    <t xml:space="preserve">43337Facebook»Developers/ITPros-Azure Direct-Sponsored Post_Trial-Link Ad-FreeAcctRetargetingFB-Animated-ChC CanvasOpener»1x1»SocialBan»SOC»ALL»CPC»LAL»D»UNK»SS»NA»Trials_ID</t>
  </si>
  <si>
    <t xml:space="preserve">43336226360037</t>
  </si>
  <si>
    <t xml:space="preserve">43336Facebook»Developers/ITPros-Azure Direct-Sponsored Post_Trial-Link Ad-FreeAcctRetargetingFB-Animated-ChC CanvasOpener»1x1»SocialBan»SOC»ALL»CPC»LAL»D»UNK»SS»NA»Trials_ID</t>
  </si>
  <si>
    <t xml:space="preserve">43335226360037</t>
  </si>
  <si>
    <t xml:space="preserve">43335Facebook»Developers/ITPros-Azure Direct-Sponsored Post_Trial-Link Ad-FreeAcctRetargetingFB-Animated-ChC CanvasOpener»1x1»SocialBan»SOC»ALL»CPC»LAL»D»UNK»SS»NA»Trials_ID</t>
  </si>
  <si>
    <t xml:space="preserve">43334226360037</t>
  </si>
  <si>
    <t xml:space="preserve">43334Facebook»Developers/ITPros-Azure Direct-Sponsored Post_Trial-Link Ad-FreeAcctRetargetingFB-Animated-ChC CanvasOpener»1x1»SocialBan»SOC»ALL»CPC»LAL»D»UNK»SS»NA»Trials_ID</t>
  </si>
  <si>
    <t xml:space="preserve">43333226360037</t>
  </si>
  <si>
    <t xml:space="preserve">43333Facebook»Developers/ITPros-Azure Direct-Sponsored Post_Trial-Link Ad-FreeAcctRetargetingFB-Animated-ChC CanvasOpener»1x1»SocialBan»SOC»ALL»CPC»LAL»D»UNK»SS»NA»Trials_ID</t>
  </si>
  <si>
    <t xml:space="preserve">43332226360037</t>
  </si>
  <si>
    <t xml:space="preserve">43332Facebook»Developers/ITPros-Azure Direct-Sponsored Post_Trial-Link Ad-FreeAcctRetargetingFB-Animated-ChC CanvasOpener»1x1»SocialBan»SOC»ALL»CPC»LAL»D»UNK»SS»NA»Trials_ID</t>
  </si>
  <si>
    <t xml:space="preserve">43331226360037</t>
  </si>
  <si>
    <t xml:space="preserve">43331Facebook»Developers/ITPros-Azure Direct-Sponsored Post_Trial-Link Ad-FreeAcctRetargetingFB-Animated-ChC CanvasOpener»1x1»SocialBan»SOC»ALL»CPC»LAL»D»UNK»SS»NA»Trials_ID</t>
  </si>
  <si>
    <t xml:space="preserve">43337226496107</t>
  </si>
  <si>
    <t xml:space="preserve">43337Facebook»Developers/ITPros-Azure Direct-Sponsored Post_Trial-Link Ad-FreeAcctRetargetingFB-GlobalAlt-ChB_RTG CanvasOpener»1x1»SocialBan»SOC»ALL»CPC»LAL»D»UNK»SS»NA»Trials_ID</t>
  </si>
  <si>
    <t xml:space="preserve">43336226496107</t>
  </si>
  <si>
    <t xml:space="preserve">43336Facebook»Developers/ITPros-Azure Direct-Sponsored Post_Trial-Link Ad-FreeAcctRetargetingFB-GlobalAlt-ChB_RTG CanvasOpener»1x1»SocialBan»SOC»ALL»CPC»LAL»D»UNK»SS»NA»Trials_ID</t>
  </si>
  <si>
    <t xml:space="preserve">43335226496107</t>
  </si>
  <si>
    <t xml:space="preserve">43335Facebook»Developers/ITPros-Azure Direct-Sponsored Post_Trial-Link Ad-FreeAcctRetargetingFB-GlobalAlt-ChB_RTG CanvasOpener»1x1»SocialBan»SOC»ALL»CPC»LAL»D»UNK»SS»NA»Trials_ID</t>
  </si>
  <si>
    <t xml:space="preserve">43334226496107</t>
  </si>
  <si>
    <t xml:space="preserve">43334Facebook»Developers/ITPros-Azure Direct-Sponsored Post_Trial-Link Ad-FreeAcctRetargetingFB-GlobalAlt-ChB_RTG CanvasOpener»1x1»SocialBan»SOC»ALL»CPC»LAL»D»UNK»SS»NA»Trials_ID</t>
  </si>
  <si>
    <t xml:space="preserve">43333226496107</t>
  </si>
  <si>
    <t xml:space="preserve">43333Facebook»Developers/ITPros-Azure Direct-Sponsored Post_Trial-Link Ad-FreeAcctRetargetingFB-GlobalAlt-ChB_RTG CanvasOpener»1x1»SocialBan»SOC»ALL»CPC»LAL»D»UNK»SS»NA»Trials_ID</t>
  </si>
  <si>
    <t xml:space="preserve">43332226496107</t>
  </si>
  <si>
    <t xml:space="preserve">43332Facebook»Developers/ITPros-Azure Direct-Sponsored Post_Trial-Link Ad-FreeAcctRetargetingFB-GlobalAlt-ChB_RTG CanvasOpener»1x1»SocialBan»SOC»ALL»CPC»LAL»D»UNK»SS»NA»Trials_ID</t>
  </si>
  <si>
    <t xml:space="preserve">43331226496107</t>
  </si>
  <si>
    <t xml:space="preserve">43331Facebook»Developers/ITPros-Azure Direct-Sponsored Post_Trial-Link Ad-FreeAcctRetargetingFB-GlobalAlt-ChB_RTG CanvasOpener»1x1»SocialBan»SOC»ALL»CPC»LAL»D»UNK»SS»NA»Trials_ID</t>
  </si>
  <si>
    <t xml:space="preserve">43337226496104</t>
  </si>
  <si>
    <t xml:space="preserve">43337Facebook»Developers/ITPros-Azure Direct-Sponsored Post_Trial-Link Ad-FreeAcctRetargetingOSSFB-Logos-ChG CanvasOpener»1x1»SocialBan»SOC»ALL»CPC»LAL»D»UNK»SS»NA»Trials_ID</t>
  </si>
  <si>
    <t xml:space="preserve">43336226496104</t>
  </si>
  <si>
    <t xml:space="preserve">43336Facebook»Developers/ITPros-Azure Direct-Sponsored Post_Trial-Link Ad-FreeAcctRetargetingOSSFB-Logos-ChG CanvasOpener»1x1»SocialBan»SOC»ALL»CPC»LAL»D»UNK»SS»NA»Trials_ID</t>
  </si>
  <si>
    <t xml:space="preserve">43335226496104</t>
  </si>
  <si>
    <t xml:space="preserve">43335Facebook»Developers/ITPros-Azure Direct-Sponsored Post_Trial-Link Ad-FreeAcctRetargetingOSSFB-Logos-ChG CanvasOpener»1x1»SocialBan»SOC»ALL»CPC»LAL»D»UNK»SS»NA»Trials_ID</t>
  </si>
  <si>
    <t xml:space="preserve">43334226496104</t>
  </si>
  <si>
    <t xml:space="preserve">43334Facebook»Developers/ITPros-Azure Direct-Sponsored Post_Trial-Link Ad-FreeAcctRetargetingOSSFB-Logos-ChG CanvasOpener»1x1»SocialBan»SOC»ALL»CPC»LAL»D»UNK»SS»NA»Trials_ID</t>
  </si>
  <si>
    <t xml:space="preserve">43333226496104</t>
  </si>
  <si>
    <t xml:space="preserve">43333Facebook»Developers/ITPros-Azure Direct-Sponsored Post_Trial-Link Ad-FreeAcctRetargetingOSSFB-Logos-ChG CanvasOpener»1x1»SocialBan»SOC»ALL»CPC»LAL»D»UNK»SS»NA»Trials_ID</t>
  </si>
  <si>
    <t xml:space="preserve">43332226496104</t>
  </si>
  <si>
    <t xml:space="preserve">43332Facebook»Developers/ITPros-Azure Direct-Sponsored Post_Trial-Link Ad-FreeAcctRetargetingOSSFB-Logos-ChG CanvasOpener»1x1»SocialBan»SOC»ALL»CPC»LAL»D»UNK»SS»NA»Trials_ID</t>
  </si>
  <si>
    <t xml:space="preserve">43331226496104</t>
  </si>
  <si>
    <t xml:space="preserve">43331Facebook»Developers/ITPros-Azure Direct-Sponsored Post_Trial-Link Ad-FreeAcctRetargetingOSSFB-Logos-ChG CanvasOpener»1x1»SocialBan»SOC»ALL»CPC»LAL»D»UNK»SS»NA»Trials_ID</t>
  </si>
  <si>
    <t xml:space="preserve">43337226496101</t>
  </si>
  <si>
    <t xml:space="preserve">43337Facebook»Developers/ITPros-Azure Direct-Sponsored Post_Trial-Link Ad-FreeAcctRetargetingOSSFB-Text-ChF CanvasOpener»1x1»SocialBan»SOC»ALL»CPC»LAL»D»UNK»SS»NA»Trials_ID</t>
  </si>
  <si>
    <t xml:space="preserve">43336226496101</t>
  </si>
  <si>
    <t xml:space="preserve">43336Facebook»Developers/ITPros-Azure Direct-Sponsored Post_Trial-Link Ad-FreeAcctRetargetingOSSFB-Text-ChF CanvasOpener»1x1»SocialBan»SOC»ALL»CPC»LAL»D»UNK»SS»NA»Trials_ID</t>
  </si>
  <si>
    <t xml:space="preserve">43335226496101</t>
  </si>
  <si>
    <t xml:space="preserve">43335Facebook»Developers/ITPros-Azure Direct-Sponsored Post_Trial-Link Ad-FreeAcctRetargetingOSSFB-Text-ChF CanvasOpener»1x1»SocialBan»SOC»ALL»CPC»LAL»D»UNK»SS»NA»Trials_ID</t>
  </si>
  <si>
    <t xml:space="preserve">43334226496101</t>
  </si>
  <si>
    <t xml:space="preserve">43334Facebook»Developers/ITPros-Azure Direct-Sponsored Post_Trial-Link Ad-FreeAcctRetargetingOSSFB-Text-ChF CanvasOpener»1x1»SocialBan»SOC»ALL»CPC»LAL»D»UNK»SS»NA»Trials_ID</t>
  </si>
  <si>
    <t xml:space="preserve">43333226496101</t>
  </si>
  <si>
    <t xml:space="preserve">43333Facebook»Developers/ITPros-Azure Direct-Sponsored Post_Trial-Link Ad-FreeAcctRetargetingOSSFB-Text-ChF CanvasOpener»1x1»SocialBan»SOC»ALL»CPC»LAL»D»UNK»SS»NA»Trials_ID</t>
  </si>
  <si>
    <t xml:space="preserve">43332226496101</t>
  </si>
  <si>
    <t xml:space="preserve">43332Facebook»Developers/ITPros-Azure Direct-Sponsored Post_Trial-Link Ad-FreeAcctRetargetingOSSFB-Text-ChF CanvasOpener»1x1»SocialBan»SOC»ALL»CPC»LAL»D»UNK»SS»NA»Trials_ID</t>
  </si>
  <si>
    <t xml:space="preserve">43331226496101</t>
  </si>
  <si>
    <t xml:space="preserve">43331Facebook»Developers/ITPros-Azure Direct-Sponsored Post_Trial-Link Ad-FreeAcctRetargetingOSSFB-Text-ChF CanvasOpener»1x1»SocialBan»SOC»ALL»CPC»LAL»D»UNK»SS»NA»Trials_ID</t>
  </si>
  <si>
    <t xml:space="preserve">43337226496098</t>
  </si>
  <si>
    <t xml:space="preserve">43337Facebook»Developers/ITPros-Azure Direct-Sponsored Post_Trial-Link Ad-FreeAcctRetargetingVMFB-750Hrs-ChD CanvasOpener»1x1»SocialBan»SOC»ALL»CPC»LAL»D»UNK»SS»NA»Trials_ID</t>
  </si>
  <si>
    <t xml:space="preserve">43336226496098</t>
  </si>
  <si>
    <t xml:space="preserve">43336Facebook»Developers/ITPros-Azure Direct-Sponsored Post_Trial-Link Ad-FreeAcctRetargetingVMFB-750Hrs-ChD CanvasOpener»1x1»SocialBan»SOC»ALL»CPC»LAL»D»UNK»SS»NA»Trials_ID</t>
  </si>
  <si>
    <t xml:space="preserve">43335226496098</t>
  </si>
  <si>
    <t xml:space="preserve">43335Facebook»Developers/ITPros-Azure Direct-Sponsored Post_Trial-Link Ad-FreeAcctRetargetingVMFB-750Hrs-ChD CanvasOpener»1x1»SocialBan»SOC»ALL»CPC»LAL»D»UNK»SS»NA»Trials_ID</t>
  </si>
  <si>
    <t xml:space="preserve">43334226496098</t>
  </si>
  <si>
    <t xml:space="preserve">43334Facebook»Developers/ITPros-Azure Direct-Sponsored Post_Trial-Link Ad-FreeAcctRetargetingVMFB-750Hrs-ChD CanvasOpener»1x1»SocialBan»SOC»ALL»CPC»LAL»D»UNK»SS»NA»Trials_ID</t>
  </si>
  <si>
    <t xml:space="preserve">43333226496098</t>
  </si>
  <si>
    <t xml:space="preserve">43333Facebook»Developers/ITPros-Azure Direct-Sponsored Post_Trial-Link Ad-FreeAcctRetargetingVMFB-750Hrs-ChD CanvasOpener»1x1»SocialBan»SOC»ALL»CPC»LAL»D»UNK»SS»NA»Trials_ID</t>
  </si>
  <si>
    <t xml:space="preserve">43332226496098</t>
  </si>
  <si>
    <t xml:space="preserve">43332Facebook»Developers/ITPros-Azure Direct-Sponsored Post_Trial-Link Ad-FreeAcctRetargetingVMFB-750Hrs-ChD CanvasOpener»1x1»SocialBan»SOC»ALL»CPC»LAL»D»UNK»SS»NA»Trials_ID</t>
  </si>
  <si>
    <t xml:space="preserve">43331226496098</t>
  </si>
  <si>
    <t xml:space="preserve">43331Facebook»Developers/ITPros-Azure Direct-Sponsored Post_Trial-Link Ad-FreeAcctRetargetingVMFB-750Hrs-ChD CanvasOpener»1x1»SocialBan»SOC»ALL»CPC»LAL»D»UNK»SS»NA»Trials_ID</t>
  </si>
  <si>
    <t xml:space="preserve">43337226496095</t>
  </si>
  <si>
    <t xml:space="preserve">43337Facebook»Developers/ITPros-Azure Direct-Sponsored Post_Trial-Link Ad-FreeAcctRetargetingVMFB-OnDemand-ChE CanvasOpener»1x1»SocialBan»SOC»ALL»CPC»LAL»D»UNK»SS»NA»Trials_ID</t>
  </si>
  <si>
    <t xml:space="preserve">43336226496095</t>
  </si>
  <si>
    <t xml:space="preserve">43336Facebook»Developers/ITPros-Azure Direct-Sponsored Post_Trial-Link Ad-FreeAcctRetargetingVMFB-OnDemand-ChE CanvasOpener»1x1»SocialBan»SOC»ALL»CPC»LAL»D»UNK»SS»NA»Trials_ID</t>
  </si>
  <si>
    <t xml:space="preserve">43335226496095</t>
  </si>
  <si>
    <t xml:space="preserve">43335Facebook»Developers/ITPros-Azure Direct-Sponsored Post_Trial-Link Ad-FreeAcctRetargetingVMFB-OnDemand-ChE CanvasOpener»1x1»SocialBan»SOC»ALL»CPC»LAL»D»UNK»SS»NA»Trials_ID</t>
  </si>
  <si>
    <t xml:space="preserve">43334226496095</t>
  </si>
  <si>
    <t xml:space="preserve">43334Facebook»Developers/ITPros-Azure Direct-Sponsored Post_Trial-Link Ad-FreeAcctRetargetingVMFB-OnDemand-ChE CanvasOpener»1x1»SocialBan»SOC»ALL»CPC»LAL»D»UNK»SS»NA»Trials_ID</t>
  </si>
  <si>
    <t xml:space="preserve">43333226496095</t>
  </si>
  <si>
    <t xml:space="preserve">43333Facebook»Developers/ITPros-Azure Direct-Sponsored Post_Trial-Link Ad-FreeAcctRetargetingVMFB-OnDemand-ChE CanvasOpener»1x1»SocialBan»SOC»ALL»CPC»LAL»D»UNK»SS»NA»Trials_ID</t>
  </si>
  <si>
    <t xml:space="preserve">43332226496095</t>
  </si>
  <si>
    <t xml:space="preserve">43332Facebook»Developers/ITPros-Azure Direct-Sponsored Post_Trial-Link Ad-FreeAcctRetargetingVMFB-OnDemand-ChE CanvasOpener»1x1»SocialBan»SOC»ALL»CPC»LAL»D»UNK»SS»NA»Trials_ID</t>
  </si>
  <si>
    <t xml:space="preserve">43331226496095</t>
  </si>
  <si>
    <t xml:space="preserve">43331Facebook»Developers/ITPros-Azure Direct-Sponsored Post_Trial-Link Ad-FreeAcctRetargetingVMFB-OnDemand-ChE CanvasOpener»1x1»SocialBan»SOC»ALL»CPC»LAL»D»UNK»SS»NA»Trials_ID</t>
  </si>
  <si>
    <t xml:space="preserve">43337224560866</t>
  </si>
  <si>
    <t xml:space="preserve">43337Facebook»Developers/ITPros-Azure Direct-Sponsored Post-Link Ad-FreeAcctAppsFACEBOOK12monthsChE»1x1»SocialBan»LIA»ALL»CPC»BT»X»UNK»SS»NA»Trials_ID</t>
  </si>
  <si>
    <t xml:space="preserve">43336224560866</t>
  </si>
  <si>
    <t xml:space="preserve">43336Facebook»Developers/ITPros-Azure Direct-Sponsored Post-Link Ad-FreeAcctAppsFACEBOOK12monthsChE»1x1»SocialBan»LIA»ALL»CPC»BT»X»UNK»SS»NA»Trials_ID</t>
  </si>
  <si>
    <t xml:space="preserve">43335224560866</t>
  </si>
  <si>
    <t xml:space="preserve">43335Facebook»Developers/ITPros-Azure Direct-Sponsored Post-Link Ad-FreeAcctAppsFACEBOOK12monthsChE»1x1»SocialBan»LIA»ALL»CPC»BT»X»UNK»SS»NA»Trials_ID</t>
  </si>
  <si>
    <t xml:space="preserve">43334224560866</t>
  </si>
  <si>
    <t xml:space="preserve">43334Facebook»Developers/ITPros-Azure Direct-Sponsored Post-Link Ad-FreeAcctAppsFACEBOOK12monthsChE»1x1»SocialBan»LIA»ALL»CPC»BT»X»UNK»SS»NA»Trials_ID</t>
  </si>
  <si>
    <t xml:space="preserve">43333224560866</t>
  </si>
  <si>
    <t xml:space="preserve">43333Facebook»Developers/ITPros-Azure Direct-Sponsored Post-Link Ad-FreeAcctAppsFACEBOOK12monthsChE»1x1»SocialBan»LIA»ALL»CPC»BT»X»UNK»SS»NA»Trials_ID</t>
  </si>
  <si>
    <t xml:space="preserve">43332224560866</t>
  </si>
  <si>
    <t xml:space="preserve">43332Facebook»Developers/ITPros-Azure Direct-Sponsored Post-Link Ad-FreeAcctAppsFACEBOOK12monthsChE»1x1»SocialBan»LIA»ALL»CPC»BT»X»UNK»SS»NA»Trials_ID</t>
  </si>
  <si>
    <t xml:space="preserve">43331224560866</t>
  </si>
  <si>
    <t xml:space="preserve">43331Facebook»Developers/ITPros-Azure Direct-Sponsored Post-Link Ad-FreeAcctAppsFACEBOOK12monthsChE»1x1»SocialBan»LIA»ALL»CPC»BT»X»UNK»SS»NA»Trials_ID</t>
  </si>
  <si>
    <t xml:space="preserve">43337224560860</t>
  </si>
  <si>
    <t xml:space="preserve">43337Facebook»Developers/ITPros-Azure Direct-Sponsored Post-Link Ad-FreeAcctAppsFACEBOOK200CreditChD»1x1»SocialBan»LIA»ALL»CPC»BT»X»UNK»SS»NA»Trials_ID</t>
  </si>
  <si>
    <t xml:space="preserve">43336224560860</t>
  </si>
  <si>
    <t xml:space="preserve">43336Facebook»Developers/ITPros-Azure Direct-Sponsored Post-Link Ad-FreeAcctAppsFACEBOOK200CreditChD»1x1»SocialBan»LIA»ALL»CPC»BT»X»UNK»SS»NA»Trials_ID</t>
  </si>
  <si>
    <t xml:space="preserve">43335224560860</t>
  </si>
  <si>
    <t xml:space="preserve">43335Facebook»Developers/ITPros-Azure Direct-Sponsored Post-Link Ad-FreeAcctAppsFACEBOOK200CreditChD»1x1»SocialBan»LIA»ALL»CPC»BT»X»UNK»SS»NA»Trials_ID</t>
  </si>
  <si>
    <t xml:space="preserve">43334224560860</t>
  </si>
  <si>
    <t xml:space="preserve">43334Facebook»Developers/ITPros-Azure Direct-Sponsored Post-Link Ad-FreeAcctAppsFACEBOOK200CreditChD»1x1»SocialBan»LIA»ALL»CPC»BT»X»UNK»SS»NA»Trials_ID</t>
  </si>
  <si>
    <t xml:space="preserve">43333224560860</t>
  </si>
  <si>
    <t xml:space="preserve">43333Facebook»Developers/ITPros-Azure Direct-Sponsored Post-Link Ad-FreeAcctAppsFACEBOOK200CreditChD»1x1»SocialBan»LIA»ALL»CPC»BT»X»UNK»SS»NA»Trials_ID</t>
  </si>
  <si>
    <t xml:space="preserve">43332224560860</t>
  </si>
  <si>
    <t xml:space="preserve">43332Facebook»Developers/ITPros-Azure Direct-Sponsored Post-Link Ad-FreeAcctAppsFACEBOOK200CreditChD»1x1»SocialBan»LIA»ALL»CPC»BT»X»UNK»SS»NA»Trials_ID</t>
  </si>
  <si>
    <t xml:space="preserve">43331224560860</t>
  </si>
  <si>
    <t xml:space="preserve">43331Facebook»Developers/ITPros-Azure Direct-Sponsored Post-Link Ad-FreeAcctAppsFACEBOOK200CreditChD»1x1»SocialBan»LIA»ALL»CPC»BT»X»UNK»SS»NA»Trials_ID</t>
  </si>
  <si>
    <t xml:space="preserve">43337224560857</t>
  </si>
  <si>
    <t xml:space="preserve">43337Facebook»Developers/ITPros-Azure Direct-Sponsored Post-Link Ad-FreeAcctAppsFACEBOOKDeviceChB»1x1»SocialBan»LIA»ALL»CPC»BT»X»UNK»SS»NA»Trials_ID</t>
  </si>
  <si>
    <t xml:space="preserve">43336224560857</t>
  </si>
  <si>
    <t xml:space="preserve">43336Facebook»Developers/ITPros-Azure Direct-Sponsored Post-Link Ad-FreeAcctAppsFACEBOOKDeviceChB»1x1»SocialBan»LIA»ALL»CPC»BT»X»UNK»SS»NA»Trials_ID</t>
  </si>
  <si>
    <t xml:space="preserve">43335224560857</t>
  </si>
  <si>
    <t xml:space="preserve">43335Facebook»Developers/ITPros-Azure Direct-Sponsored Post-Link Ad-FreeAcctAppsFACEBOOKDeviceChB»1x1»SocialBan»LIA»ALL»CPC»BT»X»UNK»SS»NA»Trials_ID</t>
  </si>
  <si>
    <t xml:space="preserve">43334224560857</t>
  </si>
  <si>
    <t xml:space="preserve">43334Facebook»Developers/ITPros-Azure Direct-Sponsored Post-Link Ad-FreeAcctAppsFACEBOOKDeviceChB»1x1»SocialBan»LIA»ALL»CPC»BT»X»UNK»SS»NA»Trials_ID</t>
  </si>
  <si>
    <t xml:space="preserve">43333224560857</t>
  </si>
  <si>
    <t xml:space="preserve">43333Facebook»Developers/ITPros-Azure Direct-Sponsored Post-Link Ad-FreeAcctAppsFACEBOOKDeviceChB»1x1»SocialBan»LIA»ALL»CPC»BT»X»UNK»SS»NA»Trials_ID</t>
  </si>
  <si>
    <t xml:space="preserve">43332224560857</t>
  </si>
  <si>
    <t xml:space="preserve">43332Facebook»Developers/ITPros-Azure Direct-Sponsored Post-Link Ad-FreeAcctAppsFACEBOOKDeviceChB»1x1»SocialBan»LIA»ALL»CPC»BT»X»UNK»SS»NA»Trials_ID</t>
  </si>
  <si>
    <t xml:space="preserve">43331224560857</t>
  </si>
  <si>
    <t xml:space="preserve">43331Facebook»Developers/ITPros-Azure Direct-Sponsored Post-Link Ad-FreeAcctAppsFACEBOOKDeviceChB»1x1»SocialBan»LIA»ALL»CPC»BT»X»UNK»SS»NA»Trials_ID</t>
  </si>
  <si>
    <t xml:space="preserve">43337224560854</t>
  </si>
  <si>
    <t xml:space="preserve">43337Facebook»Developers/ITPros-Azure Direct-Sponsored Post-Link Ad-FreeAcctAppsFACEBOOKIllustrationChC»1x1»SocialBan»LIA»ALL»CPC»BT»X»UNK»SS»NA»Trials_ID</t>
  </si>
  <si>
    <t xml:space="preserve">43336224560854</t>
  </si>
  <si>
    <t xml:space="preserve">43336Facebook»Developers/ITPros-Azure Direct-Sponsored Post-Link Ad-FreeAcctAppsFACEBOOKIllustrationChC»1x1»SocialBan»LIA»ALL»CPC»BT»X»UNK»SS»NA»Trials_ID</t>
  </si>
  <si>
    <t xml:space="preserve">43335224560854</t>
  </si>
  <si>
    <t xml:space="preserve">43335Facebook»Developers/ITPros-Azure Direct-Sponsored Post-Link Ad-FreeAcctAppsFACEBOOKIllustrationChC»1x1»SocialBan»LIA»ALL»CPC»BT»X»UNK»SS»NA»Trials_ID</t>
  </si>
  <si>
    <t xml:space="preserve">43334224560854</t>
  </si>
  <si>
    <t xml:space="preserve">43334Facebook»Developers/ITPros-Azure Direct-Sponsored Post-Link Ad-FreeAcctAppsFACEBOOKIllustrationChC»1x1»SocialBan»LIA»ALL»CPC»BT»X»UNK»SS»NA»Trials_ID</t>
  </si>
  <si>
    <t xml:space="preserve">43333224560854</t>
  </si>
  <si>
    <t xml:space="preserve">43333Facebook»Developers/ITPros-Azure Direct-Sponsored Post-Link Ad-FreeAcctAppsFACEBOOKIllustrationChC»1x1»SocialBan»LIA»ALL»CPC»BT»X»UNK»SS»NA»Trials_ID</t>
  </si>
  <si>
    <t xml:space="preserve">43332224560854</t>
  </si>
  <si>
    <t xml:space="preserve">43332Facebook»Developers/ITPros-Azure Direct-Sponsored Post-Link Ad-FreeAcctAppsFACEBOOKIllustrationChC»1x1»SocialBan»LIA»ALL»CPC»BT»X»UNK»SS»NA»Trials_ID</t>
  </si>
  <si>
    <t xml:space="preserve">43331224560854</t>
  </si>
  <si>
    <t xml:space="preserve">43331Facebook»Developers/ITPros-Azure Direct-Sponsored Post-Link Ad-FreeAcctAppsFACEBOOKIllustrationChC»1x1»SocialBan»LIA»ALL»CPC»BT»X»UNK»SS»NA»Trials_ID</t>
  </si>
  <si>
    <t xml:space="preserve">43337224560851</t>
  </si>
  <si>
    <t xml:space="preserve">43337Facebook»Developers/ITPros-Azure Direct-Sponsored Post-Link Ad-FreeAcctAppsFACEBOOKLifestyleChA»1x1»SocialBan»LIA»ALL»CPC»BT»X»UNK»SS»NA»Trials_ID</t>
  </si>
  <si>
    <t xml:space="preserve">43336224560851</t>
  </si>
  <si>
    <t xml:space="preserve">43336Facebook»Developers/ITPros-Azure Direct-Sponsored Post-Link Ad-FreeAcctAppsFACEBOOKLifestyleChA»1x1»SocialBan»LIA»ALL»CPC»BT»X»UNK»SS»NA»Trials_ID</t>
  </si>
  <si>
    <t xml:space="preserve">43335224560851</t>
  </si>
  <si>
    <t xml:space="preserve">43335Facebook»Developers/ITPros-Azure Direct-Sponsored Post-Link Ad-FreeAcctAppsFACEBOOKLifestyleChA»1x1»SocialBan»LIA»ALL»CPC»BT»X»UNK»SS»NA»Trials_ID</t>
  </si>
  <si>
    <t xml:space="preserve">43334224560851</t>
  </si>
  <si>
    <t xml:space="preserve">43334Facebook»Developers/ITPros-Azure Direct-Sponsored Post-Link Ad-FreeAcctAppsFACEBOOKLifestyleChA»1x1»SocialBan»LIA»ALL»CPC»BT»X»UNK»SS»NA»Trials_ID</t>
  </si>
  <si>
    <t xml:space="preserve">43333224560851</t>
  </si>
  <si>
    <t xml:space="preserve">43333Facebook»Developers/ITPros-Azure Direct-Sponsored Post-Link Ad-FreeAcctAppsFACEBOOKLifestyleChA»1x1»SocialBan»LIA»ALL»CPC»BT»X»UNK»SS»NA»Trials_ID</t>
  </si>
  <si>
    <t xml:space="preserve">43332224560851</t>
  </si>
  <si>
    <t xml:space="preserve">43332Facebook»Developers/ITPros-Azure Direct-Sponsored Post-Link Ad-FreeAcctAppsFACEBOOKLifestyleChA»1x1»SocialBan»LIA»ALL»CPC»BT»X»UNK»SS»NA»Trials_ID</t>
  </si>
  <si>
    <t xml:space="preserve">43331224560851</t>
  </si>
  <si>
    <t xml:space="preserve">43331Facebook»Developers/ITPros-Azure Direct-Sponsored Post-Link Ad-FreeAcctAppsFACEBOOKLifestyleChA»1x1»SocialBan»LIA»ALL»CPC»BT»X»UNK»SS»NA»Trials_ID</t>
  </si>
  <si>
    <t xml:space="preserve">43337224560845103259520</t>
  </si>
  <si>
    <t xml:space="preserve">43337224560845</t>
  </si>
  <si>
    <t xml:space="preserve">43337Facebook»Developers/ITPros-Azure Direct-Sponsored Post-Link Ad-FreeAcctRetargetingFB-GlobalAlt-ChB»1x1»SocialBan»LIA»ALL»CPC»BT»X»UNK»SS»NA»Trials_ID</t>
  </si>
  <si>
    <t xml:space="preserve">43336224560845103259520</t>
  </si>
  <si>
    <t xml:space="preserve">43336224560845</t>
  </si>
  <si>
    <t xml:space="preserve">43336Facebook»Developers/ITPros-Azure Direct-Sponsored Post-Link Ad-FreeAcctRetargetingFB-GlobalAlt-ChB»1x1»SocialBan»LIA»ALL»CPC»BT»X»UNK»SS»NA»Trials_ID</t>
  </si>
  <si>
    <t xml:space="preserve">43335224560845103259520</t>
  </si>
  <si>
    <t xml:space="preserve">43335224560845</t>
  </si>
  <si>
    <t xml:space="preserve">43335Facebook»Developers/ITPros-Azure Direct-Sponsored Post-Link Ad-FreeAcctRetargetingFB-GlobalAlt-ChB»1x1»SocialBan»LIA»ALL»CPC»BT»X»UNK»SS»NA»Trials_ID</t>
  </si>
  <si>
    <t xml:space="preserve">43334224560845103259520</t>
  </si>
  <si>
    <t xml:space="preserve">43334224560845</t>
  </si>
  <si>
    <t xml:space="preserve">43334Facebook»Developers/ITPros-Azure Direct-Sponsored Post-Link Ad-FreeAcctRetargetingFB-GlobalAlt-ChB»1x1»SocialBan»LIA»ALL»CPC»BT»X»UNK»SS»NA»Trials_ID</t>
  </si>
  <si>
    <t xml:space="preserve">43333224560845103259520</t>
  </si>
  <si>
    <t xml:space="preserve">43333224560845</t>
  </si>
  <si>
    <t xml:space="preserve">43333Facebook»Developers/ITPros-Azure Direct-Sponsored Post-Link Ad-FreeAcctRetargetingFB-GlobalAlt-ChB»1x1»SocialBan»LIA»ALL»CPC»BT»X»UNK»SS»NA»Trials_ID</t>
  </si>
  <si>
    <t xml:space="preserve">43332224560845103259520</t>
  </si>
  <si>
    <t xml:space="preserve">43332224560845</t>
  </si>
  <si>
    <t xml:space="preserve">43332Facebook»Developers/ITPros-Azure Direct-Sponsored Post-Link Ad-FreeAcctRetargetingFB-GlobalAlt-ChB»1x1»SocialBan»LIA»ALL»CPC»BT»X»UNK»SS»NA»Trials_ID</t>
  </si>
  <si>
    <t xml:space="preserve">43331224560845103259520</t>
  </si>
  <si>
    <t xml:space="preserve">43331224560845</t>
  </si>
  <si>
    <t xml:space="preserve">43331Facebook»Developers/ITPros-Azure Direct-Sponsored Post-Link Ad-FreeAcctRetargetingFB-GlobalAlt-ChB»1x1»SocialBan»LIA»ALL»CPC»BT»X»UNK»SS»NA»Trials_ID</t>
  </si>
  <si>
    <t xml:space="preserve">43337224560842</t>
  </si>
  <si>
    <t xml:space="preserve">43337Facebook»Developers/ITPros-Azure Direct-Sponsored Post-Link Ad-FreeAcctRetargetingOSSFB-Logos-ChG»1x1»SocialBan»LIA»ALL»CPC»BT»X»UNK»SS»NA»Trials_ID</t>
  </si>
  <si>
    <t xml:space="preserve">43336224560842</t>
  </si>
  <si>
    <t xml:space="preserve">43336Facebook»Developers/ITPros-Azure Direct-Sponsored Post-Link Ad-FreeAcctRetargetingOSSFB-Logos-ChG»1x1»SocialBan»LIA»ALL»CPC»BT»X»UNK»SS»NA»Trials_ID</t>
  </si>
  <si>
    <t xml:space="preserve">43335224560842</t>
  </si>
  <si>
    <t xml:space="preserve">43335Facebook»Developers/ITPros-Azure Direct-Sponsored Post-Link Ad-FreeAcctRetargetingOSSFB-Logos-ChG»1x1»SocialBan»LIA»ALL»CPC»BT»X»UNK»SS»NA»Trials_ID</t>
  </si>
  <si>
    <t xml:space="preserve">43334224560842</t>
  </si>
  <si>
    <t xml:space="preserve">43334Facebook»Developers/ITPros-Azure Direct-Sponsored Post-Link Ad-FreeAcctRetargetingOSSFB-Logos-ChG»1x1»SocialBan»LIA»ALL»CPC»BT»X»UNK»SS»NA»Trials_ID</t>
  </si>
  <si>
    <t xml:space="preserve">43333224560842</t>
  </si>
  <si>
    <t xml:space="preserve">43333Facebook»Developers/ITPros-Azure Direct-Sponsored Post-Link Ad-FreeAcctRetargetingOSSFB-Logos-ChG»1x1»SocialBan»LIA»ALL»CPC»BT»X»UNK»SS»NA»Trials_ID</t>
  </si>
  <si>
    <t xml:space="preserve">43332224560842</t>
  </si>
  <si>
    <t xml:space="preserve">43332Facebook»Developers/ITPros-Azure Direct-Sponsored Post-Link Ad-FreeAcctRetargetingOSSFB-Logos-ChG»1x1»SocialBan»LIA»ALL»CPC»BT»X»UNK»SS»NA»Trials_ID</t>
  </si>
  <si>
    <t xml:space="preserve">43331224560842</t>
  </si>
  <si>
    <t xml:space="preserve">43331Facebook»Developers/ITPros-Azure Direct-Sponsored Post-Link Ad-FreeAcctRetargetingOSSFB-Logos-ChG»1x1»SocialBan»LIA»ALL»CPC»BT»X»UNK»SS»NA»Trials_ID</t>
  </si>
  <si>
    <t xml:space="preserve">43337224560839</t>
  </si>
  <si>
    <t xml:space="preserve">43337Facebook»Developers/ITPros-Azure Direct-Sponsored Post-Link Ad-FreeAcctRetargetingOSSFB-Text-ChF»1x1»SocialBan»LIA»ALL»CPC»BT»X»UNK»SS»NA»Trials_ID</t>
  </si>
  <si>
    <t xml:space="preserve">43336224560839</t>
  </si>
  <si>
    <t xml:space="preserve">43336Facebook»Developers/ITPros-Azure Direct-Sponsored Post-Link Ad-FreeAcctRetargetingOSSFB-Text-ChF»1x1»SocialBan»LIA»ALL»CPC»BT»X»UNK»SS»NA»Trials_ID</t>
  </si>
  <si>
    <t xml:space="preserve">43335224560839</t>
  </si>
  <si>
    <t xml:space="preserve">43335Facebook»Developers/ITPros-Azure Direct-Sponsored Post-Link Ad-FreeAcctRetargetingOSSFB-Text-ChF»1x1»SocialBan»LIA»ALL»CPC»BT»X»UNK»SS»NA»Trials_ID</t>
  </si>
  <si>
    <t xml:space="preserve">43334224560839</t>
  </si>
  <si>
    <t xml:space="preserve">43334Facebook»Developers/ITPros-Azure Direct-Sponsored Post-Link Ad-FreeAcctRetargetingOSSFB-Text-ChF»1x1»SocialBan»LIA»ALL»CPC»BT»X»UNK»SS»NA»Trials_ID</t>
  </si>
  <si>
    <t xml:space="preserve">43333224560839</t>
  </si>
  <si>
    <t xml:space="preserve">43333Facebook»Developers/ITPros-Azure Direct-Sponsored Post-Link Ad-FreeAcctRetargetingOSSFB-Text-ChF»1x1»SocialBan»LIA»ALL»CPC»BT»X»UNK»SS»NA»Trials_ID</t>
  </si>
  <si>
    <t xml:space="preserve">43332224560839</t>
  </si>
  <si>
    <t xml:space="preserve">43332Facebook»Developers/ITPros-Azure Direct-Sponsored Post-Link Ad-FreeAcctRetargetingOSSFB-Text-ChF»1x1»SocialBan»LIA»ALL»CPC»BT»X»UNK»SS»NA»Trials_ID</t>
  </si>
  <si>
    <t xml:space="preserve">43331224560839</t>
  </si>
  <si>
    <t xml:space="preserve">43331Facebook»Developers/ITPros-Azure Direct-Sponsored Post-Link Ad-FreeAcctRetargetingOSSFB-Text-ChF»1x1»SocialBan»LIA»ALL»CPC»BT»X»UNK»SS»NA»Trials_ID</t>
  </si>
  <si>
    <t xml:space="preserve">43337224560836</t>
  </si>
  <si>
    <t xml:space="preserve">43337Facebook»Developers/ITPros-Azure Direct-Sponsored Post-Link Ad-FreeAcctRetargetingVMFB-750Hrs-ChD»1x1»SocialBan»LIA»ALL»CPC»BT»X»UNK»SS»NA»Trials_ID</t>
  </si>
  <si>
    <t xml:space="preserve">43336224560836</t>
  </si>
  <si>
    <t xml:space="preserve">43336Facebook»Developers/ITPros-Azure Direct-Sponsored Post-Link Ad-FreeAcctRetargetingVMFB-750Hrs-ChD»1x1»SocialBan»LIA»ALL»CPC»BT»X»UNK»SS»NA»Trials_ID</t>
  </si>
  <si>
    <t xml:space="preserve">43335224560836</t>
  </si>
  <si>
    <t xml:space="preserve">43335Facebook»Developers/ITPros-Azure Direct-Sponsored Post-Link Ad-FreeAcctRetargetingVMFB-750Hrs-ChD»1x1»SocialBan»LIA»ALL»CPC»BT»X»UNK»SS»NA»Trials_ID</t>
  </si>
  <si>
    <t xml:space="preserve">43334224560836</t>
  </si>
  <si>
    <t xml:space="preserve">43334Facebook»Developers/ITPros-Azure Direct-Sponsored Post-Link Ad-FreeAcctRetargetingVMFB-750Hrs-ChD»1x1»SocialBan»LIA»ALL»CPC»BT»X»UNK»SS»NA»Trials_ID</t>
  </si>
  <si>
    <t xml:space="preserve">43333224560836</t>
  </si>
  <si>
    <t xml:space="preserve">43333Facebook»Developers/ITPros-Azure Direct-Sponsored Post-Link Ad-FreeAcctRetargetingVMFB-750Hrs-ChD»1x1»SocialBan»LIA»ALL»CPC»BT»X»UNK»SS»NA»Trials_ID</t>
  </si>
  <si>
    <t xml:space="preserve">43332224560836</t>
  </si>
  <si>
    <t xml:space="preserve">43332Facebook»Developers/ITPros-Azure Direct-Sponsored Post-Link Ad-FreeAcctRetargetingVMFB-750Hrs-ChD»1x1»SocialBan»LIA»ALL»CPC»BT»X»UNK»SS»NA»Trials_ID</t>
  </si>
  <si>
    <t xml:space="preserve">43331224560836</t>
  </si>
  <si>
    <t xml:space="preserve">43331Facebook»Developers/ITPros-Azure Direct-Sponsored Post-Link Ad-FreeAcctRetargetingVMFB-750Hrs-ChD»1x1»SocialBan»LIA»ALL»CPC»BT»X»UNK»SS»NA»Trials_ID</t>
  </si>
  <si>
    <t xml:space="preserve">43337224560833</t>
  </si>
  <si>
    <t xml:space="preserve">43337Facebook»Developers/ITPros-Azure Direct-Sponsored Post-Link Ad-FreeAcctRetargetingVMFB-OnDemand-ChE»1x1»SocialBan»LIA»ALL»CPC»BT»X»UNK»SS»NA»Trials_ID</t>
  </si>
  <si>
    <t xml:space="preserve">43336224560833</t>
  </si>
  <si>
    <t xml:space="preserve">43336Facebook»Developers/ITPros-Azure Direct-Sponsored Post-Link Ad-FreeAcctRetargetingVMFB-OnDemand-ChE»1x1»SocialBan»LIA»ALL»CPC»BT»X»UNK»SS»NA»Trials_ID</t>
  </si>
  <si>
    <t xml:space="preserve">43335224560833</t>
  </si>
  <si>
    <t xml:space="preserve">43335Facebook»Developers/ITPros-Azure Direct-Sponsored Post-Link Ad-FreeAcctRetargetingVMFB-OnDemand-ChE»1x1»SocialBan»LIA»ALL»CPC»BT»X»UNK»SS»NA»Trials_ID</t>
  </si>
  <si>
    <t xml:space="preserve">43334224560833</t>
  </si>
  <si>
    <t xml:space="preserve">43334Facebook»Developers/ITPros-Azure Direct-Sponsored Post-Link Ad-FreeAcctRetargetingVMFB-OnDemand-ChE»1x1»SocialBan»LIA»ALL»CPC»BT»X»UNK»SS»NA»Trials_ID</t>
  </si>
  <si>
    <t xml:space="preserve">43333224560833</t>
  </si>
  <si>
    <t xml:space="preserve">43333Facebook»Developers/ITPros-Azure Direct-Sponsored Post-Link Ad-FreeAcctRetargetingVMFB-OnDemand-ChE»1x1»SocialBan»LIA»ALL»CPC»BT»X»UNK»SS»NA»Trials_ID</t>
  </si>
  <si>
    <t xml:space="preserve">43332224560833</t>
  </si>
  <si>
    <t xml:space="preserve">43332Facebook»Developers/ITPros-Azure Direct-Sponsored Post-Link Ad-FreeAcctRetargetingVMFB-OnDemand-ChE»1x1»SocialBan»LIA»ALL»CPC»BT»X»UNK»SS»NA»Trials_ID</t>
  </si>
  <si>
    <t xml:space="preserve">43331224560833</t>
  </si>
  <si>
    <t xml:space="preserve">43331Facebook»Developers/ITPros-Azure Direct-Sponsored Post-Link Ad-FreeAcctRetargetingVMFB-OnDemand-ChE»1x1»SocialBan»LIA»ALL»CPC»BT»X»UNK»SS»NA»Trials_ID</t>
  </si>
  <si>
    <t xml:space="preserve">43337224416915103376981</t>
  </si>
  <si>
    <t xml:space="preserve">43337224416915</t>
  </si>
  <si>
    <t xml:space="preserve">43337Facebook»Developers/ITPros-Azure Direct-Sponsored Post-Video Ad-FBCTCBasicMotion_FRA_10s_RTG Landing Page»1x1»10s»VIA»ALL»CPC»BT»X»UNK»SS»NA»Trials_ID</t>
  </si>
  <si>
    <t xml:space="preserve">43336224416915103376981</t>
  </si>
  <si>
    <t xml:space="preserve">43336224416915</t>
  </si>
  <si>
    <t xml:space="preserve">43336Facebook»Developers/ITPros-Azure Direct-Sponsored Post-Video Ad-FBCTCBasicMotion_FRA_10s_RTG Landing Page»1x1»10s»VIA»ALL»CPC»BT»X»UNK»SS»NA»Trials_ID</t>
  </si>
  <si>
    <t xml:space="preserve">43335224416915103376981</t>
  </si>
  <si>
    <t xml:space="preserve">43335224416915</t>
  </si>
  <si>
    <t xml:space="preserve">43335Facebook»Developers/ITPros-Azure Direct-Sponsored Post-Video Ad-FBCTCBasicMotion_FRA_10s_RTG Landing Page»1x1»10s»VIA»ALL»CPC»BT»X»UNK»SS»NA»Trials_ID</t>
  </si>
  <si>
    <t xml:space="preserve">43334224416915103376981</t>
  </si>
  <si>
    <t xml:space="preserve">43334224416915</t>
  </si>
  <si>
    <t xml:space="preserve">43334Facebook»Developers/ITPros-Azure Direct-Sponsored Post-Video Ad-FBCTCBasicMotion_FRA_10s_RTG Landing Page»1x1»10s»VIA»ALL»CPC»BT»X»UNK»SS»NA»Trials_ID</t>
  </si>
  <si>
    <t xml:space="preserve">43333224416915103376981</t>
  </si>
  <si>
    <t xml:space="preserve">43333224416915</t>
  </si>
  <si>
    <t xml:space="preserve">43333Facebook»Developers/ITPros-Azure Direct-Sponsored Post-Video Ad-FBCTCBasicMotion_FRA_10s_RTG Landing Page»1x1»10s»VIA»ALL»CPC»BT»X»UNK»SS»NA»Trials_ID</t>
  </si>
  <si>
    <t xml:space="preserve">43332224416915103376981</t>
  </si>
  <si>
    <t xml:space="preserve">43332224416915</t>
  </si>
  <si>
    <t xml:space="preserve">43332Facebook»Developers/ITPros-Azure Direct-Sponsored Post-Video Ad-FBCTCBasicMotion_FRA_10s_RTG Landing Page»1x1»10s»VIA»ALL»CPC»BT»X»UNK»SS»NA»Trials_ID</t>
  </si>
  <si>
    <t xml:space="preserve">43331224416915103376981</t>
  </si>
  <si>
    <t xml:space="preserve">43331224416915</t>
  </si>
  <si>
    <t xml:space="preserve">43331Facebook»Developers/ITPros-Azure Direct-Sponsored Post-Video Ad-FBCTCBasicMotion_FRA_10s_RTG Landing Page»1x1»10s»VIA»ALL»CPC»BT»X»UNK»SS»NA»Trials_ID</t>
  </si>
  <si>
    <t xml:space="preserve">43337224560875103259766</t>
  </si>
  <si>
    <t xml:space="preserve">43337224560875</t>
  </si>
  <si>
    <t xml:space="preserve">43337Facebook»Developers/ITPros-Azure Direct-Sponsored Post-Video Ad-FBCTCBenefit2inMotion_FRA_14s_RTG Landing Page»1x1»14s»VIA»ALL»CPC»BT»X»UNK»SS»NA»Trials_ID</t>
  </si>
  <si>
    <t xml:space="preserve">43336224560875103259766</t>
  </si>
  <si>
    <t xml:space="preserve">43336224560875</t>
  </si>
  <si>
    <t xml:space="preserve">43336Facebook»Developers/ITPros-Azure Direct-Sponsored Post-Video Ad-FBCTCBenefit2inMotion_FRA_14s_RTG Landing Page»1x1»14s»VIA»ALL»CPC»BT»X»UNK»SS»NA»Trials_ID</t>
  </si>
  <si>
    <t xml:space="preserve">43335224560875103259766</t>
  </si>
  <si>
    <t xml:space="preserve">43335224560875</t>
  </si>
  <si>
    <t xml:space="preserve">43335Facebook»Developers/ITPros-Azure Direct-Sponsored Post-Video Ad-FBCTCBenefit2inMotion_FRA_14s_RTG Landing Page»1x1»14s»VIA»ALL»CPC»BT»X»UNK»SS»NA»Trials_ID</t>
  </si>
  <si>
    <t xml:space="preserve">43334224560875103259766</t>
  </si>
  <si>
    <t xml:space="preserve">43334224560875</t>
  </si>
  <si>
    <t xml:space="preserve">43334Facebook»Developers/ITPros-Azure Direct-Sponsored Post-Video Ad-FBCTCBenefit2inMotion_FRA_14s_RTG Landing Page»1x1»14s»VIA»ALL»CPC»BT»X»UNK»SS»NA»Trials_ID</t>
  </si>
  <si>
    <t xml:space="preserve">43333224560875103259766</t>
  </si>
  <si>
    <t xml:space="preserve">43333224560875</t>
  </si>
  <si>
    <t xml:space="preserve">43333Facebook»Developers/ITPros-Azure Direct-Sponsored Post-Video Ad-FBCTCBenefit2inMotion_FRA_14s_RTG Landing Page»1x1»14s»VIA»ALL»CPC»BT»X»UNK»SS»NA»Trials_ID</t>
  </si>
  <si>
    <t xml:space="preserve">43332224560875103259766</t>
  </si>
  <si>
    <t xml:space="preserve">43332224560875</t>
  </si>
  <si>
    <t xml:space="preserve">43332Facebook»Developers/ITPros-Azure Direct-Sponsored Post-Video Ad-FBCTCBenefit2inMotion_FRA_14s_RTG Landing Page»1x1»14s»VIA»ALL»CPC»BT»X»UNK»SS»NA»Trials_ID</t>
  </si>
  <si>
    <t xml:space="preserve">43331224560875103259766</t>
  </si>
  <si>
    <t xml:space="preserve">43331224560875</t>
  </si>
  <si>
    <t xml:space="preserve">43331Facebook»Developers/ITPros-Azure Direct-Sponsored Post-Video Ad-FBCTCBenefit2inMotion_FRA_14s_RTG Landing Page»1x1»14s»VIA»ALL»CPC»BT»X»UNK»SS»NA»Trials_ID</t>
  </si>
  <si>
    <t xml:space="preserve">43337224560863103256577</t>
  </si>
  <si>
    <t xml:space="preserve">43337224560863</t>
  </si>
  <si>
    <t xml:space="preserve">43337Facebook»Developers/ITPros-Azure Direct-Sponsored Post-Video Ad-FBCTCBrandinMotion_FRA_12s_RTG Landing Page»1x1»12s»VIA»ALL»CPC»BT»X»UNK»SS»NA»Trials_ID</t>
  </si>
  <si>
    <t xml:space="preserve">43336224560863103256577</t>
  </si>
  <si>
    <t xml:space="preserve">43336224560863</t>
  </si>
  <si>
    <t xml:space="preserve">43336Facebook»Developers/ITPros-Azure Direct-Sponsored Post-Video Ad-FBCTCBrandinMotion_FRA_12s_RTG Landing Page»1x1»12s»VIA»ALL»CPC»BT»X»UNK»SS»NA»Trials_ID</t>
  </si>
  <si>
    <t xml:space="preserve">43335224560863103256577</t>
  </si>
  <si>
    <t xml:space="preserve">43335224560863</t>
  </si>
  <si>
    <t xml:space="preserve">43335Facebook»Developers/ITPros-Azure Direct-Sponsored Post-Video Ad-FBCTCBrandinMotion_FRA_12s_RTG Landing Page»1x1»12s»VIA»ALL»CPC»BT»X»UNK»SS»NA»Trials_ID</t>
  </si>
  <si>
    <t xml:space="preserve">43334224560863103256577</t>
  </si>
  <si>
    <t xml:space="preserve">43334224560863</t>
  </si>
  <si>
    <t xml:space="preserve">43334Facebook»Developers/ITPros-Azure Direct-Sponsored Post-Video Ad-FBCTCBrandinMotion_FRA_12s_RTG Landing Page»1x1»12s»VIA»ALL»CPC»BT»X»UNK»SS»NA»Trials_ID</t>
  </si>
  <si>
    <t xml:space="preserve">43333224560863103256577</t>
  </si>
  <si>
    <t xml:space="preserve">43333224560863</t>
  </si>
  <si>
    <t xml:space="preserve">43333Facebook»Developers/ITPros-Azure Direct-Sponsored Post-Video Ad-FBCTCBrandinMotion_FRA_12s_RTG Landing Page»1x1»12s»VIA»ALL»CPC»BT»X»UNK»SS»NA»Trials_ID</t>
  </si>
  <si>
    <t xml:space="preserve">43332224560863103256577</t>
  </si>
  <si>
    <t xml:space="preserve">43332224560863</t>
  </si>
  <si>
    <t xml:space="preserve">43332Facebook»Developers/ITPros-Azure Direct-Sponsored Post-Video Ad-FBCTCBrandinMotion_FRA_12s_RTG Landing Page»1x1»12s»VIA»ALL»CPC»BT»X»UNK»SS»NA»Trials_ID</t>
  </si>
  <si>
    <t xml:space="preserve">43331224560863103256577</t>
  </si>
  <si>
    <t xml:space="preserve">43331224560863</t>
  </si>
  <si>
    <t xml:space="preserve">43331Facebook»Developers/ITPros-Azure Direct-Sponsored Post-Video Ad-FBCTCBrandinMotion_FRA_12s_RTG Landing Page»1x1»12s»VIA»ALL»CPC»BT»X»UNK»SS»NA»Trials_ID</t>
  </si>
  <si>
    <t xml:space="preserve">43337226359947</t>
  </si>
  <si>
    <t xml:space="preserve">43337Facebook»Developers-Azure Direct-Sponsored Post_Trial_PayGo-Video Ad-Free Account Developer - AI»1x1»30s»SOC»ALL»CPC»LAL»D»UNK»SS»NA»Trials_ID</t>
  </si>
  <si>
    <t xml:space="preserve">43336226359947104537813</t>
  </si>
  <si>
    <t xml:space="preserve">43336226359947</t>
  </si>
  <si>
    <t xml:space="preserve">43336Facebook»Developers-Azure Direct-Sponsored Post_Trial_PayGo-Video Ad-Free Account Developer - AI»1x1»30s»SOC»ALL»CPC»LAL»D»UNK»SS»NA»Trials_ID</t>
  </si>
  <si>
    <t xml:space="preserve">43335226359947104537813</t>
  </si>
  <si>
    <t xml:space="preserve">43335226359947</t>
  </si>
  <si>
    <t xml:space="preserve">43335Facebook»Developers-Azure Direct-Sponsored Post_Trial_PayGo-Video Ad-Free Account Developer - AI»1x1»30s»SOC»ALL»CPC»LAL»D»UNK»SS»NA»Trials_ID</t>
  </si>
  <si>
    <t xml:space="preserve">43334226359947104537813</t>
  </si>
  <si>
    <t xml:space="preserve">43334226359947</t>
  </si>
  <si>
    <t xml:space="preserve">43334Facebook»Developers-Azure Direct-Sponsored Post_Trial_PayGo-Video Ad-Free Account Developer - AI»1x1»30s»SOC»ALL»CPC»LAL»D»UNK»SS»NA»Trials_ID</t>
  </si>
  <si>
    <t xml:space="preserve">43333226359947104537813</t>
  </si>
  <si>
    <t xml:space="preserve">43333226359947</t>
  </si>
  <si>
    <t xml:space="preserve">43333Facebook»Developers-Azure Direct-Sponsored Post_Trial_PayGo-Video Ad-Free Account Developer - AI»1x1»30s»SOC»ALL»CPC»LAL»D»UNK»SS»NA»Trials_ID</t>
  </si>
  <si>
    <t xml:space="preserve">43332226359947104537813</t>
  </si>
  <si>
    <t xml:space="preserve">43332226359947</t>
  </si>
  <si>
    <t xml:space="preserve">43332Facebook»Developers-Azure Direct-Sponsored Post_Trial_PayGo-Video Ad-Free Account Developer - AI»1x1»30s»SOC»ALL»CPC»LAL»D»UNK»SS»NA»Trials_ID</t>
  </si>
  <si>
    <t xml:space="preserve">43331226359947104537813</t>
  </si>
  <si>
    <t xml:space="preserve">43331226359947</t>
  </si>
  <si>
    <t xml:space="preserve">43331Facebook»Developers-Azure Direct-Sponsored Post_Trial_PayGo-Video Ad-Free Account Developer - AI»1x1»30s»SOC»ALL»CPC»LAL»D»UNK»SS»NA»Trials_ID</t>
  </si>
  <si>
    <t xml:space="preserve">43337226359953104537129</t>
  </si>
  <si>
    <t xml:space="preserve">43337226359953</t>
  </si>
  <si>
    <t xml:space="preserve">43337Facebook»Developers-Azure Direct-Sponsored Post_Trial_PayGo-Video Ad-Free Account Developer - Generic»1x1»30s»SOC»ALL»CPC»LAL»D»UNK»SS»NA»Trials_ID</t>
  </si>
  <si>
    <t xml:space="preserve">43336226359953104537129</t>
  </si>
  <si>
    <t xml:space="preserve">43336226359953</t>
  </si>
  <si>
    <t xml:space="preserve">43336Facebook»Developers-Azure Direct-Sponsored Post_Trial_PayGo-Video Ad-Free Account Developer - Generic»1x1»30s»SOC»ALL»CPC»LAL»D»UNK»SS»NA»Trials_ID</t>
  </si>
  <si>
    <t xml:space="preserve">43335226359953104537129</t>
  </si>
  <si>
    <t xml:space="preserve">43335226359953</t>
  </si>
  <si>
    <t xml:space="preserve">43335Facebook»Developers-Azure Direct-Sponsored Post_Trial_PayGo-Video Ad-Free Account Developer - Generic»1x1»30s»SOC»ALL»CPC»LAL»D»UNK»SS»NA»Trials_ID</t>
  </si>
  <si>
    <t xml:space="preserve">43334226359953104537129</t>
  </si>
  <si>
    <t xml:space="preserve">43334226359953</t>
  </si>
  <si>
    <t xml:space="preserve">43334Facebook»Developers-Azure Direct-Sponsored Post_Trial_PayGo-Video Ad-Free Account Developer - Generic»1x1»30s»SOC»ALL»CPC»LAL»D»UNK»SS»NA»Trials_ID</t>
  </si>
  <si>
    <t xml:space="preserve">43333226359953104537129</t>
  </si>
  <si>
    <t xml:space="preserve">43333226359953</t>
  </si>
  <si>
    <t xml:space="preserve">43333Facebook»Developers-Azure Direct-Sponsored Post_Trial_PayGo-Video Ad-Free Account Developer - Generic»1x1»30s»SOC»ALL»CPC»LAL»D»UNK»SS»NA»Trials_ID</t>
  </si>
  <si>
    <t xml:space="preserve">43332226359953</t>
  </si>
  <si>
    <t xml:space="preserve">43332Facebook»Developers-Azure Direct-Sponsored Post_Trial_PayGo-Video Ad-Free Account Developer - Generic»1x1»30s»SOC»ALL»CPC»LAL»D»UNK»SS»NA»Trials_ID</t>
  </si>
  <si>
    <t xml:space="preserve">43331226359953104537129</t>
  </si>
  <si>
    <t xml:space="preserve">43331226359953</t>
  </si>
  <si>
    <t xml:space="preserve">43331Facebook»Developers-Azure Direct-Sponsored Post_Trial_PayGo-Video Ad-Free Account Developer - Generic»1x1»30s»SOC»ALL»CPC»LAL»D»UNK»SS»NA»Trials_ID</t>
  </si>
  <si>
    <t xml:space="preserve">43337226359944</t>
  </si>
  <si>
    <t xml:space="preserve">43337Facebook»Developers-Azure Direct-Sponsored Post_Trial_PayGo-Video Ad-Free Account Developer - Intelligent Data»1x1»30s»SOC»ALL»CPC»LAL»D»UNK»SS»NA»Trials_ID</t>
  </si>
  <si>
    <t xml:space="preserve">43336226359944</t>
  </si>
  <si>
    <t xml:space="preserve">43336Facebook»Developers-Azure Direct-Sponsored Post_Trial_PayGo-Video Ad-Free Account Developer - Intelligent Data»1x1»30s»SOC»ALL»CPC»LAL»D»UNK»SS»NA»Trials_ID</t>
  </si>
  <si>
    <t xml:space="preserve">43335226359944</t>
  </si>
  <si>
    <t xml:space="preserve">43335Facebook»Developers-Azure Direct-Sponsored Post_Trial_PayGo-Video Ad-Free Account Developer - Intelligent Data»1x1»30s»SOC»ALL»CPC»LAL»D»UNK»SS»NA»Trials_ID</t>
  </si>
  <si>
    <t xml:space="preserve">43334226359944</t>
  </si>
  <si>
    <t xml:space="preserve">43334Facebook»Developers-Azure Direct-Sponsored Post_Trial_PayGo-Video Ad-Free Account Developer - Intelligent Data»1x1»30s»SOC»ALL»CPC»LAL»D»UNK»SS»NA»Trials_ID</t>
  </si>
  <si>
    <t xml:space="preserve">43333226359944</t>
  </si>
  <si>
    <t xml:space="preserve">43333Facebook»Developers-Azure Direct-Sponsored Post_Trial_PayGo-Video Ad-Free Account Developer - Intelligent Data»1x1»30s»SOC»ALL»CPC»LAL»D»UNK»SS»NA»Trials_ID</t>
  </si>
  <si>
    <t xml:space="preserve">43332226359944</t>
  </si>
  <si>
    <t xml:space="preserve">43332Facebook»Developers-Azure Direct-Sponsored Post_Trial_PayGo-Video Ad-Free Account Developer - Intelligent Data»1x1»30s»SOC»ALL»CPC»LAL»D»UNK»SS»NA»Trials_ID</t>
  </si>
  <si>
    <t xml:space="preserve">43331226359944</t>
  </si>
  <si>
    <t xml:space="preserve">43331Facebook»Developers-Azure Direct-Sponsored Post_Trial_PayGo-Video Ad-Free Account Developer - Intelligent Data»1x1»30s»SOC»ALL»CPC»LAL»D»UNK»SS»NA»Trials_ID</t>
  </si>
  <si>
    <t xml:space="preserve">43337226359950</t>
  </si>
  <si>
    <t xml:space="preserve">43337Facebook»Developers-Azure Direct-Sponsored Post_Trial_PayGo-Video Ad-Free Account Developer - Open Source»1x1»30s»SOC»ALL»CPC»LAL»D»UNK»SS»NA»Trials_ID</t>
  </si>
  <si>
    <t xml:space="preserve">43336226359950</t>
  </si>
  <si>
    <t xml:space="preserve">43336Facebook»Developers-Azure Direct-Sponsored Post_Trial_PayGo-Video Ad-Free Account Developer - Open Source»1x1»30s»SOC»ALL»CPC»LAL»D»UNK»SS»NA»Trials_ID</t>
  </si>
  <si>
    <t xml:space="preserve">43335226359950</t>
  </si>
  <si>
    <t xml:space="preserve">43335Facebook»Developers-Azure Direct-Sponsored Post_Trial_PayGo-Video Ad-Free Account Developer - Open Source»1x1»30s»SOC»ALL»CPC»LAL»D»UNK»SS»NA»Trials_ID</t>
  </si>
  <si>
    <t xml:space="preserve">43334226359950</t>
  </si>
  <si>
    <t xml:space="preserve">43334Facebook»Developers-Azure Direct-Sponsored Post_Trial_PayGo-Video Ad-Free Account Developer - Open Source»1x1»30s»SOC»ALL»CPC»LAL»D»UNK»SS»NA»Trials_ID</t>
  </si>
  <si>
    <t xml:space="preserve">43333226359950</t>
  </si>
  <si>
    <t xml:space="preserve">43333Facebook»Developers-Azure Direct-Sponsored Post_Trial_PayGo-Video Ad-Free Account Developer - Open Source»1x1»30s»SOC»ALL»CPC»LAL»D»UNK»SS»NA»Trials_ID</t>
  </si>
  <si>
    <t xml:space="preserve">43332226359950104537132</t>
  </si>
  <si>
    <t xml:space="preserve">43332226359950</t>
  </si>
  <si>
    <t xml:space="preserve">43332Facebook»Developers-Azure Direct-Sponsored Post_Trial_PayGo-Video Ad-Free Account Developer - Open Source»1x1»30s»SOC»ALL»CPC»LAL»D»UNK»SS»NA»Trials_ID</t>
  </si>
  <si>
    <t xml:space="preserve">43331226359950104537132</t>
  </si>
  <si>
    <t xml:space="preserve">43331226359950</t>
  </si>
  <si>
    <t xml:space="preserve">43331Facebook»Developers-Azure Direct-Sponsored Post_Trial_PayGo-Video Ad-Free Account Developer - Open Source»1x1»30s»SOC»ALL»CPC»LAL»D»UNK»SS»NA»Trials_ID</t>
  </si>
  <si>
    <t xml:space="preserve">43337226360019104537813</t>
  </si>
  <si>
    <t xml:space="preserve">43337226360019</t>
  </si>
  <si>
    <t xml:space="preserve">43337Facebook»Developers-Azure Direct-Sponsored Post_Trial-Video Ad-Free Account Developer - AI»1x1»30s»SOC»ALL»CPC»LAL»D»UNK»SS»NA»Trials_ID</t>
  </si>
  <si>
    <t xml:space="preserve">43336226360019104537813</t>
  </si>
  <si>
    <t xml:space="preserve">43336226360019</t>
  </si>
  <si>
    <t xml:space="preserve">43336Facebook»Developers-Azure Direct-Sponsored Post_Trial-Video Ad-Free Account Developer - AI»1x1»30s»SOC»ALL»CPC»LAL»D»UNK»SS»NA»Trials_ID</t>
  </si>
  <si>
    <t xml:space="preserve">43335226360019104537813</t>
  </si>
  <si>
    <t xml:space="preserve">43335226360019</t>
  </si>
  <si>
    <t xml:space="preserve">43335Facebook»Developers-Azure Direct-Sponsored Post_Trial-Video Ad-Free Account Developer - AI»1x1»30s»SOC»ALL»CPC»LAL»D»UNK»SS»NA»Trials_ID</t>
  </si>
  <si>
    <t xml:space="preserve">43334226360019104537813</t>
  </si>
  <si>
    <t xml:space="preserve">43334226360019</t>
  </si>
  <si>
    <t xml:space="preserve">43334Facebook»Developers-Azure Direct-Sponsored Post_Trial-Video Ad-Free Account Developer - AI»1x1»30s»SOC»ALL»CPC»LAL»D»UNK»SS»NA»Trials_ID</t>
  </si>
  <si>
    <t xml:space="preserve">43333226360019104537813</t>
  </si>
  <si>
    <t xml:space="preserve">43333226360019</t>
  </si>
  <si>
    <t xml:space="preserve">43333Facebook»Developers-Azure Direct-Sponsored Post_Trial-Video Ad-Free Account Developer - AI»1x1»30s»SOC»ALL»CPC»LAL»D»UNK»SS»NA»Trials_ID</t>
  </si>
  <si>
    <t xml:space="preserve">43332226360019104537813</t>
  </si>
  <si>
    <t xml:space="preserve">43332226360019</t>
  </si>
  <si>
    <t xml:space="preserve">43332Facebook»Developers-Azure Direct-Sponsored Post_Trial-Video Ad-Free Account Developer - AI»1x1»30s»SOC»ALL»CPC»LAL»D»UNK»SS»NA»Trials_ID</t>
  </si>
  <si>
    <t xml:space="preserve">43331226360019104537813</t>
  </si>
  <si>
    <t xml:space="preserve">43331226360019</t>
  </si>
  <si>
    <t xml:space="preserve">43331Facebook»Developers-Azure Direct-Sponsored Post_Trial-Video Ad-Free Account Developer - AI»1x1»30s»SOC»ALL»CPC»LAL»D»UNK»SS»NA»Trials_ID</t>
  </si>
  <si>
    <t xml:space="preserve">43337226359881</t>
  </si>
  <si>
    <t xml:space="preserve">43337Facebook»Developers-Azure Direct-Sponsored Post_Trial-Video Ad-Free Account Developer - AI»1x1»30s»SOC»ALL»CPC»RT»D»UNK»SS»NA»Trials_ID</t>
  </si>
  <si>
    <t xml:space="preserve">43336226359881</t>
  </si>
  <si>
    <t xml:space="preserve">43336Facebook»Developers-Azure Direct-Sponsored Post_Trial-Video Ad-Free Account Developer - AI»1x1»30s»SOC»ALL»CPC»RT»D»UNK»SS»NA»Trials_ID</t>
  </si>
  <si>
    <t xml:space="preserve">43335226359881</t>
  </si>
  <si>
    <t xml:space="preserve">43335Facebook»Developers-Azure Direct-Sponsored Post_Trial-Video Ad-Free Account Developer - AI»1x1»30s»SOC»ALL»CPC»RT»D»UNK»SS»NA»Trials_ID</t>
  </si>
  <si>
    <t xml:space="preserve">43334226359881</t>
  </si>
  <si>
    <t xml:space="preserve">43334Facebook»Developers-Azure Direct-Sponsored Post_Trial-Video Ad-Free Account Developer - AI»1x1»30s»SOC»ALL»CPC»RT»D»UNK»SS»NA»Trials_ID</t>
  </si>
  <si>
    <t xml:space="preserve">43333226359881</t>
  </si>
  <si>
    <t xml:space="preserve">43333Facebook»Developers-Azure Direct-Sponsored Post_Trial-Video Ad-Free Account Developer - AI»1x1»30s»SOC»ALL»CPC»RT»D»UNK»SS»NA»Trials_ID</t>
  </si>
  <si>
    <t xml:space="preserve">43332226359881</t>
  </si>
  <si>
    <t xml:space="preserve">43332Facebook»Developers-Azure Direct-Sponsored Post_Trial-Video Ad-Free Account Developer - AI»1x1»30s»SOC»ALL»CPC»RT»D»UNK»SS»NA»Trials_ID</t>
  </si>
  <si>
    <t xml:space="preserve">43331226359881</t>
  </si>
  <si>
    <t xml:space="preserve">43331Facebook»Developers-Azure Direct-Sponsored Post_Trial-Video Ad-Free Account Developer - AI»1x1»30s»SOC»ALL»CPC»RT»D»UNK»SS»NA»Trials_ID</t>
  </si>
  <si>
    <t xml:space="preserve">43337226360031</t>
  </si>
  <si>
    <t xml:space="preserve">43337Facebook»Developers-Azure Direct-Sponsored Post_Trial-Video Ad-Free Account Developer - Generic»1x1»30s»SOC»ALL»CPC»LAL»D»UNK»SS»NA»Trials_ID</t>
  </si>
  <si>
    <t xml:space="preserve">43336226360031</t>
  </si>
  <si>
    <t xml:space="preserve">43336Facebook»Developers-Azure Direct-Sponsored Post_Trial-Video Ad-Free Account Developer - Generic»1x1»30s»SOC»ALL»CPC»LAL»D»UNK»SS»NA»Trials_ID</t>
  </si>
  <si>
    <t xml:space="preserve">43335226360031</t>
  </si>
  <si>
    <t xml:space="preserve">43335Facebook»Developers-Azure Direct-Sponsored Post_Trial-Video Ad-Free Account Developer - Generic»1x1»30s»SOC»ALL»CPC»LAL»D»UNK»SS»NA»Trials_ID</t>
  </si>
  <si>
    <t xml:space="preserve">43334226360031104537129</t>
  </si>
  <si>
    <t xml:space="preserve">43334226360031</t>
  </si>
  <si>
    <t xml:space="preserve">43334Facebook»Developers-Azure Direct-Sponsored Post_Trial-Video Ad-Free Account Developer - Generic»1x1»30s»SOC»ALL»CPC»LAL»D»UNK»SS»NA»Trials_ID</t>
  </si>
  <si>
    <t xml:space="preserve">43333226360031104537129</t>
  </si>
  <si>
    <t xml:space="preserve">43333226360031</t>
  </si>
  <si>
    <t xml:space="preserve">43333Facebook»Developers-Azure Direct-Sponsored Post_Trial-Video Ad-Free Account Developer - Generic»1x1»30s»SOC»ALL»CPC»LAL»D»UNK»SS»NA»Trials_ID</t>
  </si>
  <si>
    <t xml:space="preserve">43332226360031104537129</t>
  </si>
  <si>
    <t xml:space="preserve">43332226360031</t>
  </si>
  <si>
    <t xml:space="preserve">43332Facebook»Developers-Azure Direct-Sponsored Post_Trial-Video Ad-Free Account Developer - Generic»1x1»30s»SOC»ALL»CPC»LAL»D»UNK»SS»NA»Trials_ID</t>
  </si>
  <si>
    <t xml:space="preserve">43331226360031104537129</t>
  </si>
  <si>
    <t xml:space="preserve">43331226360031</t>
  </si>
  <si>
    <t xml:space="preserve">43331Facebook»Developers-Azure Direct-Sponsored Post_Trial-Video Ad-Free Account Developer - Generic»1x1»30s»SOC»ALL»CPC»LAL»D»UNK»SS»NA»Trials_ID</t>
  </si>
  <si>
    <t xml:space="preserve">43337226359887</t>
  </si>
  <si>
    <t xml:space="preserve">43337Facebook»Developers-Azure Direct-Sponsored Post_Trial-Video Ad-Free Account Developer - Generic»1x1»30s»SOC»ALL»CPC»RT»D»UNK»SS»NA»Trials_ID</t>
  </si>
  <si>
    <t xml:space="preserve">43336226359887</t>
  </si>
  <si>
    <t xml:space="preserve">43336Facebook»Developers-Azure Direct-Sponsored Post_Trial-Video Ad-Free Account Developer - Generic»1x1»30s»SOC»ALL»CPC»RT»D»UNK»SS»NA»Trials_ID</t>
  </si>
  <si>
    <t xml:space="preserve">43335226359887</t>
  </si>
  <si>
    <t xml:space="preserve">43335Facebook»Developers-Azure Direct-Sponsored Post_Trial-Video Ad-Free Account Developer - Generic»1x1»30s»SOC»ALL»CPC»RT»D»UNK»SS»NA»Trials_ID</t>
  </si>
  <si>
    <t xml:space="preserve">43334226359887</t>
  </si>
  <si>
    <t xml:space="preserve">43334Facebook»Developers-Azure Direct-Sponsored Post_Trial-Video Ad-Free Account Developer - Generic»1x1»30s»SOC»ALL»CPC»RT»D»UNK»SS»NA»Trials_ID</t>
  </si>
  <si>
    <t xml:space="preserve">43333226359887</t>
  </si>
  <si>
    <t xml:space="preserve">43333Facebook»Developers-Azure Direct-Sponsored Post_Trial-Video Ad-Free Account Developer - Generic»1x1»30s»SOC»ALL»CPC»RT»D»UNK»SS»NA»Trials_ID</t>
  </si>
  <si>
    <t xml:space="preserve">43332226359887</t>
  </si>
  <si>
    <t xml:space="preserve">43332Facebook»Developers-Azure Direct-Sponsored Post_Trial-Video Ad-Free Account Developer - Generic»1x1»30s»SOC»ALL»CPC»RT»D»UNK»SS»NA»Trials_ID</t>
  </si>
  <si>
    <t xml:space="preserve">43331226359887</t>
  </si>
  <si>
    <t xml:space="preserve">43331Facebook»Developers-Azure Direct-Sponsored Post_Trial-Video Ad-Free Account Developer - Generic»1x1»30s»SOC»ALL»CPC»RT»D»UNK»SS»NA»Trials_ID</t>
  </si>
  <si>
    <t xml:space="preserve">43337226360013</t>
  </si>
  <si>
    <t xml:space="preserve">43337Facebook»Developers-Azure Direct-Sponsored Post_Trial-Video Ad-Free Account Developer - Intelligent Data»1x1»30s»SOC»ALL»CPC»LAL»D»UNK»SS»NA»Trials_ID</t>
  </si>
  <si>
    <t xml:space="preserve">43336226360013</t>
  </si>
  <si>
    <t xml:space="preserve">43336Facebook»Developers-Azure Direct-Sponsored Post_Trial-Video Ad-Free Account Developer - Intelligent Data»1x1»30s»SOC»ALL»CPC»LAL»D»UNK»SS»NA»Trials_ID</t>
  </si>
  <si>
    <t xml:space="preserve">43335226360013</t>
  </si>
  <si>
    <t xml:space="preserve">43335Facebook»Developers-Azure Direct-Sponsored Post_Trial-Video Ad-Free Account Developer - Intelligent Data»1x1»30s»SOC»ALL»CPC»LAL»D»UNK»SS»NA»Trials_ID</t>
  </si>
  <si>
    <t xml:space="preserve">43334226360013</t>
  </si>
  <si>
    <t xml:space="preserve">43334Facebook»Developers-Azure Direct-Sponsored Post_Trial-Video Ad-Free Account Developer - Intelligent Data»1x1»30s»SOC»ALL»CPC»LAL»D»UNK»SS»NA»Trials_ID</t>
  </si>
  <si>
    <t xml:space="preserve">43333226360013</t>
  </si>
  <si>
    <t xml:space="preserve">43333Facebook»Developers-Azure Direct-Sponsored Post_Trial-Video Ad-Free Account Developer - Intelligent Data»1x1»30s»SOC»ALL»CPC»LAL»D»UNK»SS»NA»Trials_ID</t>
  </si>
  <si>
    <t xml:space="preserve">43332226360013</t>
  </si>
  <si>
    <t xml:space="preserve">43332Facebook»Developers-Azure Direct-Sponsored Post_Trial-Video Ad-Free Account Developer - Intelligent Data»1x1»30s»SOC»ALL»CPC»LAL»D»UNK»SS»NA»Trials_ID</t>
  </si>
  <si>
    <t xml:space="preserve">43331226360013</t>
  </si>
  <si>
    <t xml:space="preserve">43331Facebook»Developers-Azure Direct-Sponsored Post_Trial-Video Ad-Free Account Developer - Intelligent Data»1x1»30s»SOC»ALL»CPC»LAL»D»UNK»SS»NA»Trials_ID</t>
  </si>
  <si>
    <t xml:space="preserve">43337226496146</t>
  </si>
  <si>
    <t xml:space="preserve">43337Facebook»Developers-Azure Direct-Sponsored Post_Trial-Video Ad-Free Account Developer - Intelligent Data»1x1»30s»SOC»ALL»CPC»RT»D»UNK»SS»NA»Trials_ID</t>
  </si>
  <si>
    <t xml:space="preserve">43336226496146</t>
  </si>
  <si>
    <t xml:space="preserve">43336Facebook»Developers-Azure Direct-Sponsored Post_Trial-Video Ad-Free Account Developer - Intelligent Data»1x1»30s»SOC»ALL»CPC»RT»D»UNK»SS»NA»Trials_ID</t>
  </si>
  <si>
    <t xml:space="preserve">43335226496146</t>
  </si>
  <si>
    <t xml:space="preserve">43335Facebook»Developers-Azure Direct-Sponsored Post_Trial-Video Ad-Free Account Developer - Intelligent Data»1x1»30s»SOC»ALL»CPC»RT»D»UNK»SS»NA»Trials_ID</t>
  </si>
  <si>
    <t xml:space="preserve">43334226496146</t>
  </si>
  <si>
    <t xml:space="preserve">43334Facebook»Developers-Azure Direct-Sponsored Post_Trial-Video Ad-Free Account Developer - Intelligent Data»1x1»30s»SOC»ALL»CPC»RT»D»UNK»SS»NA»Trials_ID</t>
  </si>
  <si>
    <t xml:space="preserve">43333226496146</t>
  </si>
  <si>
    <t xml:space="preserve">43333Facebook»Developers-Azure Direct-Sponsored Post_Trial-Video Ad-Free Account Developer - Intelligent Data»1x1»30s»SOC»ALL»CPC»RT»D»UNK»SS»NA»Trials_ID</t>
  </si>
  <si>
    <t xml:space="preserve">43332226496146</t>
  </si>
  <si>
    <t xml:space="preserve">43332Facebook»Developers-Azure Direct-Sponsored Post_Trial-Video Ad-Free Account Developer - Intelligent Data»1x1»30s»SOC»ALL»CPC»RT»D»UNK»SS»NA»Trials_ID</t>
  </si>
  <si>
    <t xml:space="preserve">43331226496146</t>
  </si>
  <si>
    <t xml:space="preserve">43331Facebook»Developers-Azure Direct-Sponsored Post_Trial-Video Ad-Free Account Developer - Intelligent Data»1x1»30s»SOC»ALL»CPC»RT»D»UNK»SS»NA»Trials_ID</t>
  </si>
  <si>
    <t xml:space="preserve">43337226359884</t>
  </si>
  <si>
    <t xml:space="preserve">43337Facebook»Developers-Azure Direct-Sponsored Post_Trial-Video Ad-Free Account Developer - Open Source»1x1»30s»SOC»ALL»CPC»RT»D»UNK»SS»NA»Trials_ID</t>
  </si>
  <si>
    <t xml:space="preserve">43336226359884</t>
  </si>
  <si>
    <t xml:space="preserve">43336Facebook»Developers-Azure Direct-Sponsored Post_Trial-Video Ad-Free Account Developer - Open Source»1x1»30s»SOC»ALL»CPC»RT»D»UNK»SS»NA»Trials_ID</t>
  </si>
  <si>
    <t xml:space="preserve">43335226359884</t>
  </si>
  <si>
    <t xml:space="preserve">43335Facebook»Developers-Azure Direct-Sponsored Post_Trial-Video Ad-Free Account Developer - Open Source»1x1»30s»SOC»ALL»CPC»RT»D»UNK»SS»NA»Trials_ID</t>
  </si>
  <si>
    <t xml:space="preserve">43334226359884</t>
  </si>
  <si>
    <t xml:space="preserve">43334Facebook»Developers-Azure Direct-Sponsored Post_Trial-Video Ad-Free Account Developer - Open Source»1x1»30s»SOC»ALL»CPC»RT»D»UNK»SS»NA»Trials_ID</t>
  </si>
  <si>
    <t xml:space="preserve">43333226359884</t>
  </si>
  <si>
    <t xml:space="preserve">43333Facebook»Developers-Azure Direct-Sponsored Post_Trial-Video Ad-Free Account Developer - Open Source»1x1»30s»SOC»ALL»CPC»RT»D»UNK»SS»NA»Trials_ID</t>
  </si>
  <si>
    <t xml:space="preserve">43332226359884</t>
  </si>
  <si>
    <t xml:space="preserve">43332Facebook»Developers-Azure Direct-Sponsored Post_Trial-Video Ad-Free Account Developer - Open Source»1x1»30s»SOC»ALL»CPC»RT»D»UNK»SS»NA»Trials_ID</t>
  </si>
  <si>
    <t xml:space="preserve">43331226359884</t>
  </si>
  <si>
    <t xml:space="preserve">43331Facebook»Developers-Azure Direct-Sponsored Post_Trial-Video Ad-Free Account Developer - Open Source»1x1»30s»SOC»ALL»CPC»RT»D»UNK»SS»NA»Trials_ID</t>
  </si>
  <si>
    <t xml:space="preserve">43337226360034104537813</t>
  </si>
  <si>
    <t xml:space="preserve">43337226360034</t>
  </si>
  <si>
    <t xml:space="preserve">43337Facebook»Developers-Azure Direct-Sponsored Post-Video Ad-Free Account Developer - AI»1x1»30s»SOC»ALL»CPC»BT»D»UNK»SS»NA»Trials_ID</t>
  </si>
  <si>
    <t xml:space="preserve">43336226360034104537813</t>
  </si>
  <si>
    <t xml:space="preserve">43336226360034</t>
  </si>
  <si>
    <t xml:space="preserve">43336Facebook»Developers-Azure Direct-Sponsored Post-Video Ad-Free Account Developer - AI»1x1»30s»SOC»ALL»CPC»BT»D»UNK»SS»NA»Trials_ID</t>
  </si>
  <si>
    <t xml:space="preserve">43335226360034104537813</t>
  </si>
  <si>
    <t xml:space="preserve">43335226360034</t>
  </si>
  <si>
    <t xml:space="preserve">43335Facebook»Developers-Azure Direct-Sponsored Post-Video Ad-Free Account Developer - AI»1x1»30s»SOC»ALL»CPC»BT»D»UNK»SS»NA»Trials_ID</t>
  </si>
  <si>
    <t xml:space="preserve">43334226360034104537813</t>
  </si>
  <si>
    <t xml:space="preserve">43334226360034</t>
  </si>
  <si>
    <t xml:space="preserve">43334Facebook»Developers-Azure Direct-Sponsored Post-Video Ad-Free Account Developer - AI»1x1»30s»SOC»ALL»CPC»BT»D»UNK»SS»NA»Trials_ID</t>
  </si>
  <si>
    <t xml:space="preserve">43333226360034104537813</t>
  </si>
  <si>
    <t xml:space="preserve">43333226360034</t>
  </si>
  <si>
    <t xml:space="preserve">43333Facebook»Developers-Azure Direct-Sponsored Post-Video Ad-Free Account Developer - AI»1x1»30s»SOC»ALL»CPC»BT»D»UNK»SS»NA»Trials_ID</t>
  </si>
  <si>
    <t xml:space="preserve">43332226360034104537813</t>
  </si>
  <si>
    <t xml:space="preserve">43332226360034</t>
  </si>
  <si>
    <t xml:space="preserve">43332Facebook»Developers-Azure Direct-Sponsored Post-Video Ad-Free Account Developer - AI»1x1»30s»SOC»ALL»CPC»BT»D»UNK»SS»NA»Trials_ID</t>
  </si>
  <si>
    <t xml:space="preserve">43331226360034104537813</t>
  </si>
  <si>
    <t xml:space="preserve">43331226360034</t>
  </si>
  <si>
    <t xml:space="preserve">43331Facebook»Developers-Azure Direct-Sponsored Post-Video Ad-Free Account Developer - AI»1x1»30s»SOC»ALL»CPC»BT»D»UNK»SS»NA»Trials_ID</t>
  </si>
  <si>
    <t xml:space="preserve">43337226420298104537129</t>
  </si>
  <si>
    <t xml:space="preserve">43337226420298</t>
  </si>
  <si>
    <t xml:space="preserve">43337Facebook»Developers-Azure Direct-Sponsored Post-Video Ad-Free Account Developer - Generic»1x1»30s»SOC»ALL»CPC»BT»D»UNK»SS»NA»Trials_ID</t>
  </si>
  <si>
    <t xml:space="preserve">43336226420298104537129</t>
  </si>
  <si>
    <t xml:space="preserve">43336226420298</t>
  </si>
  <si>
    <t xml:space="preserve">43336Facebook»Developers-Azure Direct-Sponsored Post-Video Ad-Free Account Developer - Generic»1x1»30s»SOC»ALL»CPC»BT»D»UNK»SS»NA»Trials_ID</t>
  </si>
  <si>
    <t xml:space="preserve">43335226420298104537129</t>
  </si>
  <si>
    <t xml:space="preserve">43335226420298</t>
  </si>
  <si>
    <t xml:space="preserve">43335Facebook»Developers-Azure Direct-Sponsored Post-Video Ad-Free Account Developer - Generic»1x1»30s»SOC»ALL»CPC»BT»D»UNK»SS»NA»Trials_ID</t>
  </si>
  <si>
    <t xml:space="preserve">43334226420298104537129</t>
  </si>
  <si>
    <t xml:space="preserve">43334226420298</t>
  </si>
  <si>
    <t xml:space="preserve">43334Facebook»Developers-Azure Direct-Sponsored Post-Video Ad-Free Account Developer - Generic»1x1»30s»SOC»ALL»CPC»BT»D»UNK»SS»NA»Trials_ID</t>
  </si>
  <si>
    <t xml:space="preserve">43333226420298104537129</t>
  </si>
  <si>
    <t xml:space="preserve">43333226420298</t>
  </si>
  <si>
    <t xml:space="preserve">43333Facebook»Developers-Azure Direct-Sponsored Post-Video Ad-Free Account Developer - Generic»1x1»30s»SOC»ALL»CPC»BT»D»UNK»SS»NA»Trials_ID</t>
  </si>
  <si>
    <t xml:space="preserve">43332226420298104537129</t>
  </si>
  <si>
    <t xml:space="preserve">43332226420298</t>
  </si>
  <si>
    <t xml:space="preserve">43332Facebook»Developers-Azure Direct-Sponsored Post-Video Ad-Free Account Developer - Generic»1x1»30s»SOC»ALL»CPC»BT»D»UNK»SS»NA»Trials_ID</t>
  </si>
  <si>
    <t xml:space="preserve">43331226420298104537129</t>
  </si>
  <si>
    <t xml:space="preserve">43331226420298</t>
  </si>
  <si>
    <t xml:space="preserve">43331Facebook»Developers-Azure Direct-Sponsored Post-Video Ad-Free Account Developer - Generic»1x1»30s»SOC»ALL»CPC»BT»D»UNK»SS»NA»Trials_ID</t>
  </si>
  <si>
    <t xml:space="preserve">43337226360028104537816</t>
  </si>
  <si>
    <t xml:space="preserve">43337226360028</t>
  </si>
  <si>
    <t xml:space="preserve">43337Facebook»Developers-Azure Direct-Sponsored Post-Video Ad-Free Account Developer - Intelligent Data»1x1»30s»SOC»ALL»CPC»BT»D»UNK»SS»NA»Trials_ID</t>
  </si>
  <si>
    <t xml:space="preserve">43336226360028104537816</t>
  </si>
  <si>
    <t xml:space="preserve">43336226360028</t>
  </si>
  <si>
    <t xml:space="preserve">43336Facebook»Developers-Azure Direct-Sponsored Post-Video Ad-Free Account Developer - Intelligent Data»1x1»30s»SOC»ALL»CPC»BT»D»UNK»SS»NA»Trials_ID</t>
  </si>
  <si>
    <t xml:space="preserve">43335226360028104537816</t>
  </si>
  <si>
    <t xml:space="preserve">43335226360028</t>
  </si>
  <si>
    <t xml:space="preserve">43335Facebook»Developers-Azure Direct-Sponsored Post-Video Ad-Free Account Developer - Intelligent Data»1x1»30s»SOC»ALL»CPC»BT»D»UNK»SS»NA»Trials_ID</t>
  </si>
  <si>
    <t xml:space="preserve">43334226360028104537816</t>
  </si>
  <si>
    <t xml:space="preserve">43334226360028</t>
  </si>
  <si>
    <t xml:space="preserve">43334Facebook»Developers-Azure Direct-Sponsored Post-Video Ad-Free Account Developer - Intelligent Data»1x1»30s»SOC»ALL»CPC»BT»D»UNK»SS»NA»Trials_ID</t>
  </si>
  <si>
    <t xml:space="preserve">43333226360028104537816</t>
  </si>
  <si>
    <t xml:space="preserve">43333226360028</t>
  </si>
  <si>
    <t xml:space="preserve">43333Facebook»Developers-Azure Direct-Sponsored Post-Video Ad-Free Account Developer - Intelligent Data»1x1»30s»SOC»ALL»CPC»BT»D»UNK»SS»NA»Trials_ID</t>
  </si>
  <si>
    <t xml:space="preserve">43332226360028104537816</t>
  </si>
  <si>
    <t xml:space="preserve">43332226360028</t>
  </si>
  <si>
    <t xml:space="preserve">43332Facebook»Developers-Azure Direct-Sponsored Post-Video Ad-Free Account Developer - Intelligent Data»1x1»30s»SOC»ALL»CPC»BT»D»UNK»SS»NA»Trials_ID</t>
  </si>
  <si>
    <t xml:space="preserve">43331226360028104537816</t>
  </si>
  <si>
    <t xml:space="preserve">43331226360028</t>
  </si>
  <si>
    <t xml:space="preserve">43331Facebook»Developers-Azure Direct-Sponsored Post-Video Ad-Free Account Developer - Intelligent Data»1x1»30s»SOC»ALL»CPC»BT»D»UNK»SS»NA»Trials_ID</t>
  </si>
  <si>
    <t xml:space="preserve">43337226360040104537132</t>
  </si>
  <si>
    <t xml:space="preserve">43337226360040</t>
  </si>
  <si>
    <t xml:space="preserve">43337Facebook»Developers-Azure Direct-Sponsored Post-Video Ad-Free Account Developer - Open Source»1x1»30s»SOC»ALL»CPC»BT»D»UNK»SS»NA»Trials_ID</t>
  </si>
  <si>
    <t xml:space="preserve">43336226360040104537132</t>
  </si>
  <si>
    <t xml:space="preserve">43336226360040</t>
  </si>
  <si>
    <t xml:space="preserve">43336Facebook»Developers-Azure Direct-Sponsored Post-Video Ad-Free Account Developer - Open Source»1x1»30s»SOC»ALL»CPC»BT»D»UNK»SS»NA»Trials_ID</t>
  </si>
  <si>
    <t xml:space="preserve">43335226360040104537132</t>
  </si>
  <si>
    <t xml:space="preserve">43335226360040</t>
  </si>
  <si>
    <t xml:space="preserve">43335Facebook»Developers-Azure Direct-Sponsored Post-Video Ad-Free Account Developer - Open Source»1x1»30s»SOC»ALL»CPC»BT»D»UNK»SS»NA»Trials_ID</t>
  </si>
  <si>
    <t xml:space="preserve">43334226360040104537132</t>
  </si>
  <si>
    <t xml:space="preserve">43334226360040</t>
  </si>
  <si>
    <t xml:space="preserve">43334Facebook»Developers-Azure Direct-Sponsored Post-Video Ad-Free Account Developer - Open Source»1x1»30s»SOC»ALL»CPC»BT»D»UNK»SS»NA»Trials_ID</t>
  </si>
  <si>
    <t xml:space="preserve">43333226360040104537132</t>
  </si>
  <si>
    <t xml:space="preserve">43333226360040</t>
  </si>
  <si>
    <t xml:space="preserve">43333Facebook»Developers-Azure Direct-Sponsored Post-Video Ad-Free Account Developer - Open Source»1x1»30s»SOC»ALL»CPC»BT»D»UNK»SS»NA»Trials_ID</t>
  </si>
  <si>
    <t xml:space="preserve">43332226360040104537132</t>
  </si>
  <si>
    <t xml:space="preserve">43332226360040</t>
  </si>
  <si>
    <t xml:space="preserve">43332Facebook»Developers-Azure Direct-Sponsored Post-Video Ad-Free Account Developer - Open Source»1x1»30s»SOC»ALL»CPC»BT»D»UNK»SS»NA»Trials_ID</t>
  </si>
  <si>
    <t xml:space="preserve">43331226360040104537132</t>
  </si>
  <si>
    <t xml:space="preserve">43331226360040</t>
  </si>
  <si>
    <t xml:space="preserve">43331Facebook»Developers-Azure Direct-Sponsored Post-Video Ad-Free Account Developer - Open Source»1x1»30s»SOC»ALL»CPC»BT»D»UNK»SS»NA»Trials_ID</t>
  </si>
  <si>
    <t xml:space="preserve">43337226359938104456278</t>
  </si>
  <si>
    <t xml:space="preserve">43337226359938</t>
  </si>
  <si>
    <t xml:space="preserve">43337Facebook»ITPros-Azure Direct-Sponsored Post_Trial_PayGo-Video Ad-Free Account IT Pro - Hybrid»1x1»30s»SOC»ALL»CPC»LAL»D»UNK»SS»NA»Trials_ID</t>
  </si>
  <si>
    <t xml:space="preserve">43336226359938104456278</t>
  </si>
  <si>
    <t xml:space="preserve">43336226359938</t>
  </si>
  <si>
    <t xml:space="preserve">43336Facebook»ITPros-Azure Direct-Sponsored Post_Trial_PayGo-Video Ad-Free Account IT Pro - Hybrid»1x1»30s»SOC»ALL»CPC»LAL»D»UNK»SS»NA»Trials_ID</t>
  </si>
  <si>
    <t xml:space="preserve">43335226359938104456278</t>
  </si>
  <si>
    <t xml:space="preserve">43335226359938</t>
  </si>
  <si>
    <t xml:space="preserve">43335Facebook»ITPros-Azure Direct-Sponsored Post_Trial_PayGo-Video Ad-Free Account IT Pro - Hybrid»1x1»30s»SOC»ALL»CPC»LAL»D»UNK»SS»NA»Trials_ID</t>
  </si>
  <si>
    <t xml:space="preserve">43334226359938104456278</t>
  </si>
  <si>
    <t xml:space="preserve">43334226359938</t>
  </si>
  <si>
    <t xml:space="preserve">43334Facebook»ITPros-Azure Direct-Sponsored Post_Trial_PayGo-Video Ad-Free Account IT Pro - Hybrid»1x1»30s»SOC»ALL»CPC»LAL»D»UNK»SS»NA»Trials_ID</t>
  </si>
  <si>
    <t xml:space="preserve">43333226359938104456278</t>
  </si>
  <si>
    <t xml:space="preserve">43333226359938</t>
  </si>
  <si>
    <t xml:space="preserve">43333Facebook»ITPros-Azure Direct-Sponsored Post_Trial_PayGo-Video Ad-Free Account IT Pro - Hybrid»1x1»30s»SOC»ALL»CPC»LAL»D»UNK»SS»NA»Trials_ID</t>
  </si>
  <si>
    <t xml:space="preserve">43332226359938104456278</t>
  </si>
  <si>
    <t xml:space="preserve">43332226359938</t>
  </si>
  <si>
    <t xml:space="preserve">43332Facebook»ITPros-Azure Direct-Sponsored Post_Trial_PayGo-Video Ad-Free Account IT Pro - Hybrid»1x1»30s»SOC»ALL»CPC»LAL»D»UNK»SS»NA»Trials_ID</t>
  </si>
  <si>
    <t xml:space="preserve">43331226359938104456278</t>
  </si>
  <si>
    <t xml:space="preserve">43331226359938</t>
  </si>
  <si>
    <t xml:space="preserve">43331Facebook»ITPros-Azure Direct-Sponsored Post_Trial_PayGo-Video Ad-Free Account IT Pro - Hybrid»1x1»30s»SOC»ALL»CPC»LAL»D»UNK»SS»NA»Trials_ID</t>
  </si>
  <si>
    <t xml:space="preserve">43337226359935</t>
  </si>
  <si>
    <t xml:space="preserve">43337Facebook»ITPros-Azure Direct-Sponsored Post_Trial_PayGo-Video Ad-Free Account IT Pro - Migration»1x1»30s»SOC»ALL»CPC»LAL»D»UNK»SS»NA»Trials_ID</t>
  </si>
  <si>
    <t xml:space="preserve">43336226359935</t>
  </si>
  <si>
    <t xml:space="preserve">43336Facebook»ITPros-Azure Direct-Sponsored Post_Trial_PayGo-Video Ad-Free Account IT Pro - Migration»1x1»30s»SOC»ALL»CPC»LAL»D»UNK»SS»NA»Trials_ID</t>
  </si>
  <si>
    <t xml:space="preserve">43335226359935</t>
  </si>
  <si>
    <t xml:space="preserve">43335Facebook»ITPros-Azure Direct-Sponsored Post_Trial_PayGo-Video Ad-Free Account IT Pro - Migration»1x1»30s»SOC»ALL»CPC»LAL»D»UNK»SS»NA»Trials_ID</t>
  </si>
  <si>
    <t xml:space="preserve">43334226359935</t>
  </si>
  <si>
    <t xml:space="preserve">43334Facebook»ITPros-Azure Direct-Sponsored Post_Trial_PayGo-Video Ad-Free Account IT Pro - Migration»1x1»30s»SOC»ALL»CPC»LAL»D»UNK»SS»NA»Trials_ID</t>
  </si>
  <si>
    <t xml:space="preserve">43333226359935</t>
  </si>
  <si>
    <t xml:space="preserve">43333Facebook»ITPros-Azure Direct-Sponsored Post_Trial_PayGo-Video Ad-Free Account IT Pro - Migration»1x1»30s»SOC»ALL»CPC»LAL»D»UNK»SS»NA»Trials_ID</t>
  </si>
  <si>
    <t xml:space="preserve">43332226359935</t>
  </si>
  <si>
    <t xml:space="preserve">43332Facebook»ITPros-Azure Direct-Sponsored Post_Trial_PayGo-Video Ad-Free Account IT Pro - Migration»1x1»30s»SOC»ALL»CPC»LAL»D»UNK»SS»NA»Trials_ID</t>
  </si>
  <si>
    <t xml:space="preserve">43331226359935</t>
  </si>
  <si>
    <t xml:space="preserve">43331Facebook»ITPros-Azure Direct-Sponsored Post_Trial_PayGo-Video Ad-Free Account IT Pro - Migration»1x1»30s»SOC»ALL»CPC»LAL»D»UNK»SS»NA»Trials_ID</t>
  </si>
  <si>
    <t xml:space="preserve">43337226359941</t>
  </si>
  <si>
    <t xml:space="preserve">43337Facebook»ITPros-Azure Direct-Sponsored Post_Trial_PayGo-Video Ad-Free Account IT Pro - Secure»1x1»30s»SOC»ALL»CPC»LAL»D»UNK»SS»NA»Trials_ID</t>
  </si>
  <si>
    <t xml:space="preserve">43336226359941</t>
  </si>
  <si>
    <t xml:space="preserve">43336Facebook»ITPros-Azure Direct-Sponsored Post_Trial_PayGo-Video Ad-Free Account IT Pro - Secure»1x1»30s»SOC»ALL»CPC»LAL»D»UNK»SS»NA»Trials_ID</t>
  </si>
  <si>
    <t xml:space="preserve">43335226359941</t>
  </si>
  <si>
    <t xml:space="preserve">43335Facebook»ITPros-Azure Direct-Sponsored Post_Trial_PayGo-Video Ad-Free Account IT Pro - Secure»1x1»30s»SOC»ALL»CPC»LAL»D»UNK»SS»NA»Trials_ID</t>
  </si>
  <si>
    <t xml:space="preserve">43334226359941</t>
  </si>
  <si>
    <t xml:space="preserve">43334Facebook»ITPros-Azure Direct-Sponsored Post_Trial_PayGo-Video Ad-Free Account IT Pro - Secure»1x1»30s»SOC»ALL»CPC»LAL»D»UNK»SS»NA»Trials_ID</t>
  </si>
  <si>
    <t xml:space="preserve">43333226359941</t>
  </si>
  <si>
    <t xml:space="preserve">43333Facebook»ITPros-Azure Direct-Sponsored Post_Trial_PayGo-Video Ad-Free Account IT Pro - Secure»1x1»30s»SOC»ALL»CPC»LAL»D»UNK»SS»NA»Trials_ID</t>
  </si>
  <si>
    <t xml:space="preserve">43332226359941</t>
  </si>
  <si>
    <t xml:space="preserve">43332Facebook»ITPros-Azure Direct-Sponsored Post_Trial_PayGo-Video Ad-Free Account IT Pro - Secure»1x1»30s»SOC»ALL»CPC»LAL»D»UNK»SS»NA»Trials_ID</t>
  </si>
  <si>
    <t xml:space="preserve">43331226359941</t>
  </si>
  <si>
    <t xml:space="preserve">43331Facebook»ITPros-Azure Direct-Sponsored Post_Trial_PayGo-Video Ad-Free Account IT Pro - Secure»1x1»30s»SOC»ALL»CPC»LAL»D»UNK»SS»NA»Trials_ID</t>
  </si>
  <si>
    <t xml:space="preserve">43337226360001104456278</t>
  </si>
  <si>
    <t xml:space="preserve">43337226360001</t>
  </si>
  <si>
    <t xml:space="preserve">43337Facebook»ITPros-Azure Direct-Sponsored Post_Trial-Video Ad-Free Account IT Pro - Hybrid»1x1»30s»SOC»ALL»CPC»LAL»D»UNK»SS»NA»Trials_ID</t>
  </si>
  <si>
    <t xml:space="preserve">43336226360001104456278</t>
  </si>
  <si>
    <t xml:space="preserve">43336226360001</t>
  </si>
  <si>
    <t xml:space="preserve">43336Facebook»ITPros-Azure Direct-Sponsored Post_Trial-Video Ad-Free Account IT Pro - Hybrid»1x1»30s»SOC»ALL»CPC»LAL»D»UNK»SS»NA»Trials_ID</t>
  </si>
  <si>
    <t xml:space="preserve">43335226360001104456278</t>
  </si>
  <si>
    <t xml:space="preserve">43335226360001</t>
  </si>
  <si>
    <t xml:space="preserve">43335Facebook»ITPros-Azure Direct-Sponsored Post_Trial-Video Ad-Free Account IT Pro - Hybrid»1x1»30s»SOC»ALL»CPC»LAL»D»UNK»SS»NA»Trials_ID</t>
  </si>
  <si>
    <t xml:space="preserve">43334226360001104456278</t>
  </si>
  <si>
    <t xml:space="preserve">43334226360001</t>
  </si>
  <si>
    <t xml:space="preserve">43334Facebook»ITPros-Azure Direct-Sponsored Post_Trial-Video Ad-Free Account IT Pro - Hybrid»1x1»30s»SOC»ALL»CPC»LAL»D»UNK»SS»NA»Trials_ID</t>
  </si>
  <si>
    <t xml:space="preserve">43333226360001104456278</t>
  </si>
  <si>
    <t xml:space="preserve">43333226360001</t>
  </si>
  <si>
    <t xml:space="preserve">43333Facebook»ITPros-Azure Direct-Sponsored Post_Trial-Video Ad-Free Account IT Pro - Hybrid»1x1»30s»SOC»ALL»CPC»LAL»D»UNK»SS»NA»Trials_ID</t>
  </si>
  <si>
    <t xml:space="preserve">43332226360001104456278</t>
  </si>
  <si>
    <t xml:space="preserve">43332226360001</t>
  </si>
  <si>
    <t xml:space="preserve">43332Facebook»ITPros-Azure Direct-Sponsored Post_Trial-Video Ad-Free Account IT Pro - Hybrid»1x1»30s»SOC»ALL»CPC»LAL»D»UNK»SS»NA»Trials_ID</t>
  </si>
  <si>
    <t xml:space="preserve">43331226360001104456278</t>
  </si>
  <si>
    <t xml:space="preserve">43331226360001</t>
  </si>
  <si>
    <t xml:space="preserve">43331Facebook»ITPros-Azure Direct-Sponsored Post_Trial-Video Ad-Free Account IT Pro - Hybrid»1x1»30s»SOC»ALL»CPC»LAL»D»UNK»SS»NA»Trials_ID</t>
  </si>
  <si>
    <t xml:space="preserve">43337226496140</t>
  </si>
  <si>
    <t xml:space="preserve">43337Facebook»ITPros-Azure Direct-Sponsored Post_Trial-Video Ad-Free Account IT Pro - Hybrid»1x1»30s»SOC»ALL»CPC»RT»D»UNK»SS»NA»Trials_ID</t>
  </si>
  <si>
    <t xml:space="preserve">43336226496140</t>
  </si>
  <si>
    <t xml:space="preserve">43336Facebook»ITPros-Azure Direct-Sponsored Post_Trial-Video Ad-Free Account IT Pro - Hybrid»1x1»30s»SOC»ALL»CPC»RT»D»UNK»SS»NA»Trials_ID</t>
  </si>
  <si>
    <t xml:space="preserve">43335226496140</t>
  </si>
  <si>
    <t xml:space="preserve">43335Facebook»ITPros-Azure Direct-Sponsored Post_Trial-Video Ad-Free Account IT Pro - Hybrid»1x1»30s»SOC»ALL»CPC»RT»D»UNK»SS»NA»Trials_ID</t>
  </si>
  <si>
    <t xml:space="preserve">43334226496140</t>
  </si>
  <si>
    <t xml:space="preserve">43334Facebook»ITPros-Azure Direct-Sponsored Post_Trial-Video Ad-Free Account IT Pro - Hybrid»1x1»30s»SOC»ALL»CPC»RT»D»UNK»SS»NA»Trials_ID</t>
  </si>
  <si>
    <t xml:space="preserve">43333226496140</t>
  </si>
  <si>
    <t xml:space="preserve">43333Facebook»ITPros-Azure Direct-Sponsored Post_Trial-Video Ad-Free Account IT Pro - Hybrid»1x1»30s»SOC»ALL»CPC»RT»D»UNK»SS»NA»Trials_ID</t>
  </si>
  <si>
    <t xml:space="preserve">43332226496140</t>
  </si>
  <si>
    <t xml:space="preserve">43332Facebook»ITPros-Azure Direct-Sponsored Post_Trial-Video Ad-Free Account IT Pro - Hybrid»1x1»30s»SOC»ALL»CPC»RT»D»UNK»SS»NA»Trials_ID</t>
  </si>
  <si>
    <t xml:space="preserve">43331226496140</t>
  </si>
  <si>
    <t xml:space="preserve">43331Facebook»ITPros-Azure Direct-Sponsored Post_Trial-Video Ad-Free Account IT Pro - Hybrid»1x1»30s»SOC»ALL»CPC»RT»D»UNK»SS»NA»Trials_ID</t>
  </si>
  <si>
    <t xml:space="preserve">43337226359995</t>
  </si>
  <si>
    <t xml:space="preserve">43337Facebook»ITPros-Azure Direct-Sponsored Post_Trial-Video Ad-Free Account IT Pro - Migration»1x1»30s»SOC»ALL»CPC»LAL»D»UNK»SS»NA»Trials_ID</t>
  </si>
  <si>
    <t xml:space="preserve">43336226359995</t>
  </si>
  <si>
    <t xml:space="preserve">43336Facebook»ITPros-Azure Direct-Sponsored Post_Trial-Video Ad-Free Account IT Pro - Migration»1x1»30s»SOC»ALL»CPC»LAL»D»UNK»SS»NA»Trials_ID</t>
  </si>
  <si>
    <t xml:space="preserve">43335226359995</t>
  </si>
  <si>
    <t xml:space="preserve">43335Facebook»ITPros-Azure Direct-Sponsored Post_Trial-Video Ad-Free Account IT Pro - Migration»1x1»30s»SOC»ALL»CPC»LAL»D»UNK»SS»NA»Trials_ID</t>
  </si>
  <si>
    <t xml:space="preserve">43334226359995</t>
  </si>
  <si>
    <t xml:space="preserve">43334Facebook»ITPros-Azure Direct-Sponsored Post_Trial-Video Ad-Free Account IT Pro - Migration»1x1»30s»SOC»ALL»CPC»LAL»D»UNK»SS»NA»Trials_ID</t>
  </si>
  <si>
    <t xml:space="preserve">43333226359995</t>
  </si>
  <si>
    <t xml:space="preserve">43333Facebook»ITPros-Azure Direct-Sponsored Post_Trial-Video Ad-Free Account IT Pro - Migration»1x1»30s»SOC»ALL»CPC»LAL»D»UNK»SS»NA»Trials_ID</t>
  </si>
  <si>
    <t xml:space="preserve">43332226359995104458003</t>
  </si>
  <si>
    <t xml:space="preserve">43332226359995</t>
  </si>
  <si>
    <t xml:space="preserve">43332Facebook»ITPros-Azure Direct-Sponsored Post_Trial-Video Ad-Free Account IT Pro - Migration»1x1»30s»SOC»ALL»CPC»LAL»D»UNK»SS»NA»Trials_ID</t>
  </si>
  <si>
    <t xml:space="preserve">43331226359995104458003</t>
  </si>
  <si>
    <t xml:space="preserve">43331226359995</t>
  </si>
  <si>
    <t xml:space="preserve">43331Facebook»ITPros-Azure Direct-Sponsored Post_Trial-Video Ad-Free Account IT Pro - Migration»1x1»30s»SOC»ALL»CPC»LAL»D»UNK»SS»NA»Trials_ID</t>
  </si>
  <si>
    <t xml:space="preserve">43337226496137</t>
  </si>
  <si>
    <t xml:space="preserve">43337Facebook»ITPros-Azure Direct-Sponsored Post_Trial-Video Ad-Free Account IT Pro - Migration»1x1»30s»SOC»ALL»CPC»RT»D»UNK»SS»NA»Trials_ID</t>
  </si>
  <si>
    <t xml:space="preserve">43336226496137</t>
  </si>
  <si>
    <t xml:space="preserve">43336Facebook»ITPros-Azure Direct-Sponsored Post_Trial-Video Ad-Free Account IT Pro - Migration»1x1»30s»SOC»ALL»CPC»RT»D»UNK»SS»NA»Trials_ID</t>
  </si>
  <si>
    <t xml:space="preserve">43335226496137</t>
  </si>
  <si>
    <t xml:space="preserve">43335Facebook»ITPros-Azure Direct-Sponsored Post_Trial-Video Ad-Free Account IT Pro - Migration»1x1»30s»SOC»ALL»CPC»RT»D»UNK»SS»NA»Trials_ID</t>
  </si>
  <si>
    <t xml:space="preserve">43334226496137</t>
  </si>
  <si>
    <t xml:space="preserve">43334Facebook»ITPros-Azure Direct-Sponsored Post_Trial-Video Ad-Free Account IT Pro - Migration»1x1»30s»SOC»ALL»CPC»RT»D»UNK»SS»NA»Trials_ID</t>
  </si>
  <si>
    <t xml:space="preserve">43333226496137</t>
  </si>
  <si>
    <t xml:space="preserve">43333Facebook»ITPros-Azure Direct-Sponsored Post_Trial-Video Ad-Free Account IT Pro - Migration»1x1»30s»SOC»ALL»CPC»RT»D»UNK»SS»NA»Trials_ID</t>
  </si>
  <si>
    <t xml:space="preserve">43332226496137</t>
  </si>
  <si>
    <t xml:space="preserve">43332Facebook»ITPros-Azure Direct-Sponsored Post_Trial-Video Ad-Free Account IT Pro - Migration»1x1»30s»SOC»ALL»CPC»RT»D»UNK»SS»NA»Trials_ID</t>
  </si>
  <si>
    <t xml:space="preserve">43331226496137</t>
  </si>
  <si>
    <t xml:space="preserve">43331Facebook»ITPros-Azure Direct-Sponsored Post_Trial-Video Ad-Free Account IT Pro - Migration»1x1»30s»SOC»ALL»CPC»RT»D»UNK»SS»NA»Trials_ID</t>
  </si>
  <si>
    <t xml:space="preserve">43337226360007</t>
  </si>
  <si>
    <t xml:space="preserve">43337Facebook»ITPros-Azure Direct-Sponsored Post_Trial-Video Ad-Free Account IT Pro - Secure»1x1»30s»SOC»ALL»CPC»LAL»D»UNK»SS»NA»Trials_ID</t>
  </si>
  <si>
    <t xml:space="preserve">43336226360007</t>
  </si>
  <si>
    <t xml:space="preserve">43336Facebook»ITPros-Azure Direct-Sponsored Post_Trial-Video Ad-Free Account IT Pro - Secure»1x1»30s»SOC»ALL»CPC»LAL»D»UNK»SS»NA»Trials_ID</t>
  </si>
  <si>
    <t xml:space="preserve">43335226360007</t>
  </si>
  <si>
    <t xml:space="preserve">43335Facebook»ITPros-Azure Direct-Sponsored Post_Trial-Video Ad-Free Account IT Pro - Secure»1x1»30s»SOC»ALL»CPC»LAL»D»UNK»SS»NA»Trials_ID</t>
  </si>
  <si>
    <t xml:space="preserve">43334226360007</t>
  </si>
  <si>
    <t xml:space="preserve">43334Facebook»ITPros-Azure Direct-Sponsored Post_Trial-Video Ad-Free Account IT Pro - Secure»1x1»30s»SOC»ALL»CPC»LAL»D»UNK»SS»NA»Trials_ID</t>
  </si>
  <si>
    <t xml:space="preserve">43333226360007</t>
  </si>
  <si>
    <t xml:space="preserve">43333Facebook»ITPros-Azure Direct-Sponsored Post_Trial-Video Ad-Free Account IT Pro - Secure»1x1»30s»SOC»ALL»CPC»LAL»D»UNK»SS»NA»Trials_ID</t>
  </si>
  <si>
    <t xml:space="preserve">43332226360007</t>
  </si>
  <si>
    <t xml:space="preserve">43332Facebook»ITPros-Azure Direct-Sponsored Post_Trial-Video Ad-Free Account IT Pro - Secure»1x1»30s»SOC»ALL»CPC»LAL»D»UNK»SS»NA»Trials_ID</t>
  </si>
  <si>
    <t xml:space="preserve">43331226360007</t>
  </si>
  <si>
    <t xml:space="preserve">43331Facebook»ITPros-Azure Direct-Sponsored Post_Trial-Video Ad-Free Account IT Pro - Secure»1x1»30s»SOC»ALL»CPC»LAL»D»UNK»SS»NA»Trials_ID</t>
  </si>
  <si>
    <t xml:space="preserve">43337226496143</t>
  </si>
  <si>
    <t xml:space="preserve">43337Facebook»ITPros-Azure Direct-Sponsored Post_Trial-Video Ad-Free Account IT Pro - Secure»1x1»30s»SOC»ALL»CPC»RT»D»UNK»SS»NA»Trials_ID</t>
  </si>
  <si>
    <t xml:space="preserve">43336226496143</t>
  </si>
  <si>
    <t xml:space="preserve">43336Facebook»ITPros-Azure Direct-Sponsored Post_Trial-Video Ad-Free Account IT Pro - Secure»1x1»30s»SOC»ALL»CPC»RT»D»UNK»SS»NA»Trials_ID</t>
  </si>
  <si>
    <t xml:space="preserve">43335226496143</t>
  </si>
  <si>
    <t xml:space="preserve">43335Facebook»ITPros-Azure Direct-Sponsored Post_Trial-Video Ad-Free Account IT Pro - Secure»1x1»30s»SOC»ALL»CPC»RT»D»UNK»SS»NA»Trials_ID</t>
  </si>
  <si>
    <t xml:space="preserve">43334226496143</t>
  </si>
  <si>
    <t xml:space="preserve">43334Facebook»ITPros-Azure Direct-Sponsored Post_Trial-Video Ad-Free Account IT Pro - Secure»1x1»30s»SOC»ALL»CPC»RT»D»UNK»SS»NA»Trials_ID</t>
  </si>
  <si>
    <t xml:space="preserve">43333226496143</t>
  </si>
  <si>
    <t xml:space="preserve">43333Facebook»ITPros-Azure Direct-Sponsored Post_Trial-Video Ad-Free Account IT Pro - Secure»1x1»30s»SOC»ALL»CPC»RT»D»UNK»SS»NA»Trials_ID</t>
  </si>
  <si>
    <t xml:space="preserve">43332226496143</t>
  </si>
  <si>
    <t xml:space="preserve">43332Facebook»ITPros-Azure Direct-Sponsored Post_Trial-Video Ad-Free Account IT Pro - Secure»1x1»30s»SOC»ALL»CPC»RT»D»UNK»SS»NA»Trials_ID</t>
  </si>
  <si>
    <t xml:space="preserve">43331226496143</t>
  </si>
  <si>
    <t xml:space="preserve">43331Facebook»ITPros-Azure Direct-Sponsored Post_Trial-Video Ad-Free Account IT Pro - Secure»1x1»30s»SOC»ALL»CPC»RT»D»UNK»SS»NA»Trials_ID</t>
  </si>
  <si>
    <t xml:space="preserve">43337226360016104456278</t>
  </si>
  <si>
    <t xml:space="preserve">43337226360016</t>
  </si>
  <si>
    <t xml:space="preserve">43337Facebook»ITPros-Azure Direct-Sponsored Post-Video Ad-Free Account IT Pro - hybrid»1x1»30s»SOC»ALL»CPC»AUT»D»UNK»SS»NA»Trials_ID</t>
  </si>
  <si>
    <t xml:space="preserve">43336226360016104456278</t>
  </si>
  <si>
    <t xml:space="preserve">43336226360016</t>
  </si>
  <si>
    <t xml:space="preserve">43336Facebook»ITPros-Azure Direct-Sponsored Post-Video Ad-Free Account IT Pro - hybrid»1x1»30s»SOC»ALL»CPC»AUT»D»UNK»SS»NA»Trials_ID</t>
  </si>
  <si>
    <t xml:space="preserve">43335226360016104456278</t>
  </si>
  <si>
    <t xml:space="preserve">43335226360016</t>
  </si>
  <si>
    <t xml:space="preserve">43335Facebook»ITPros-Azure Direct-Sponsored Post-Video Ad-Free Account IT Pro - hybrid»1x1»30s»SOC»ALL»CPC»AUT»D»UNK»SS»NA»Trials_ID</t>
  </si>
  <si>
    <t xml:space="preserve">43334226360016104456278</t>
  </si>
  <si>
    <t xml:space="preserve">43334226360016</t>
  </si>
  <si>
    <t xml:space="preserve">43334Facebook»ITPros-Azure Direct-Sponsored Post-Video Ad-Free Account IT Pro - hybrid»1x1»30s»SOC»ALL»CPC»AUT»D»UNK»SS»NA»Trials_ID</t>
  </si>
  <si>
    <t xml:space="preserve">43333226360016104456278</t>
  </si>
  <si>
    <t xml:space="preserve">43333226360016</t>
  </si>
  <si>
    <t xml:space="preserve">43333Facebook»ITPros-Azure Direct-Sponsored Post-Video Ad-Free Account IT Pro - hybrid»1x1»30s»SOC»ALL»CPC»AUT»D»UNK»SS»NA»Trials_ID</t>
  </si>
  <si>
    <t xml:space="preserve">43332226360016104456278</t>
  </si>
  <si>
    <t xml:space="preserve">43332226360016</t>
  </si>
  <si>
    <t xml:space="preserve">43332Facebook»ITPros-Azure Direct-Sponsored Post-Video Ad-Free Account IT Pro - hybrid»1x1»30s»SOC»ALL»CPC»AUT»D»UNK»SS»NA»Trials_ID</t>
  </si>
  <si>
    <t xml:space="preserve">43331226360016104456278</t>
  </si>
  <si>
    <t xml:space="preserve">43331226360016</t>
  </si>
  <si>
    <t xml:space="preserve">43331Facebook»ITPros-Azure Direct-Sponsored Post-Video Ad-Free Account IT Pro - hybrid»1x1»30s»SOC»ALL»CPC»AUT»D»UNK»SS»NA»Trials_ID</t>
  </si>
  <si>
    <t xml:space="preserve">43337226360010104458003</t>
  </si>
  <si>
    <t xml:space="preserve">43337226360010</t>
  </si>
  <si>
    <t xml:space="preserve">43337Facebook»ITPros-Azure Direct-Sponsored Post-Video Ad-Free Account IT Pro - Migration»1x1»30s»SOC»ALL»CPC»AUT»D»UNK»SS»NA»Trials_ID</t>
  </si>
  <si>
    <t xml:space="preserve">43336226360010104458003</t>
  </si>
  <si>
    <t xml:space="preserve">43336226360010</t>
  </si>
  <si>
    <t xml:space="preserve">43336Facebook»ITPros-Azure Direct-Sponsored Post-Video Ad-Free Account IT Pro - Migration»1x1»30s»SOC»ALL»CPC»AUT»D»UNK»SS»NA»Trials_ID</t>
  </si>
  <si>
    <t xml:space="preserve">43335226360010</t>
  </si>
  <si>
    <t xml:space="preserve">43335Facebook»ITPros-Azure Direct-Sponsored Post-Video Ad-Free Account IT Pro - Migration»1x1»30s»SOC»ALL»CPC»AUT»D»UNK»SS»NA»Trials_ID</t>
  </si>
  <si>
    <t xml:space="preserve">43334226360010104458003</t>
  </si>
  <si>
    <t xml:space="preserve">43334226360010</t>
  </si>
  <si>
    <t xml:space="preserve">43334Facebook»ITPros-Azure Direct-Sponsored Post-Video Ad-Free Account IT Pro - Migration»1x1»30s»SOC»ALL»CPC»AUT»D»UNK»SS»NA»Trials_ID</t>
  </si>
  <si>
    <t xml:space="preserve">43333226360010104458003</t>
  </si>
  <si>
    <t xml:space="preserve">43333226360010</t>
  </si>
  <si>
    <t xml:space="preserve">43333Facebook»ITPros-Azure Direct-Sponsored Post-Video Ad-Free Account IT Pro - Migration»1x1»30s»SOC»ALL»CPC»AUT»D»UNK»SS»NA»Trials_ID</t>
  </si>
  <si>
    <t xml:space="preserve">43332226360010104458003</t>
  </si>
  <si>
    <t xml:space="preserve">43332226360010</t>
  </si>
  <si>
    <t xml:space="preserve">43332Facebook»ITPros-Azure Direct-Sponsored Post-Video Ad-Free Account IT Pro - Migration»1x1»30s»SOC»ALL»CPC»AUT»D»UNK»SS»NA»Trials_ID</t>
  </si>
  <si>
    <t xml:space="preserve">43331226360010</t>
  </si>
  <si>
    <t xml:space="preserve">43331Facebook»ITPros-Azure Direct-Sponsored Post-Video Ad-Free Account IT Pro - Migration»1x1»30s»SOC»ALL»CPC»AUT»D»UNK»SS»NA»Trials_ID</t>
  </si>
  <si>
    <t xml:space="preserve">43337226360022104455906</t>
  </si>
  <si>
    <t xml:space="preserve">43337226360022</t>
  </si>
  <si>
    <t xml:space="preserve">43337Facebook»ITPros-Azure Direct-Sponsored Post-Video Ad-Free Account IT Pro - Secure»1x1»30s»SOC»ALL»CPC»AUT»D»UNK»SS»NA»Trials_ID</t>
  </si>
  <si>
    <t xml:space="preserve">43336226360022104455906</t>
  </si>
  <si>
    <t xml:space="preserve">43336226360022</t>
  </si>
  <si>
    <t xml:space="preserve">43336Facebook»ITPros-Azure Direct-Sponsored Post-Video Ad-Free Account IT Pro - Secure»1x1»30s»SOC»ALL»CPC»AUT»D»UNK»SS»NA»Trials_ID</t>
  </si>
  <si>
    <t xml:space="preserve">43335226360022104455906</t>
  </si>
  <si>
    <t xml:space="preserve">43335226360022</t>
  </si>
  <si>
    <t xml:space="preserve">43335Facebook»ITPros-Azure Direct-Sponsored Post-Video Ad-Free Account IT Pro - Secure»1x1»30s»SOC»ALL»CPC»AUT»D»UNK»SS»NA»Trials_ID</t>
  </si>
  <si>
    <t xml:space="preserve">43334226360022104455906</t>
  </si>
  <si>
    <t xml:space="preserve">43334226360022</t>
  </si>
  <si>
    <t xml:space="preserve">43334Facebook»ITPros-Azure Direct-Sponsored Post-Video Ad-Free Account IT Pro - Secure»1x1»30s»SOC»ALL»CPC»AUT»D»UNK»SS»NA»Trials_ID</t>
  </si>
  <si>
    <t xml:space="preserve">43333226360022104455906</t>
  </si>
  <si>
    <t xml:space="preserve">43333226360022</t>
  </si>
  <si>
    <t xml:space="preserve">43333Facebook»ITPros-Azure Direct-Sponsored Post-Video Ad-Free Account IT Pro - Secure»1x1»30s»SOC»ALL»CPC»AUT»D»UNK»SS»NA»Trials_ID</t>
  </si>
  <si>
    <t xml:space="preserve">43332226360022104455906</t>
  </si>
  <si>
    <t xml:space="preserve">43332226360022</t>
  </si>
  <si>
    <t xml:space="preserve">43332Facebook»ITPros-Azure Direct-Sponsored Post-Video Ad-Free Account IT Pro - Secure»1x1»30s»SOC»ALL»CPC»AUT»D»UNK»SS»NA»Trials_ID</t>
  </si>
  <si>
    <t xml:space="preserve">43331226360022104455906</t>
  </si>
  <si>
    <t xml:space="preserve">43331226360022</t>
  </si>
  <si>
    <t xml:space="preserve">43331Facebook»ITPros-Azure Direct-Sponsored Post-Video Ad-Free Account IT Pro - Secure»1x1»30s»SOC»ALL»CPC»AUT»D»UNK»SS»NA»Trials_ID</t>
  </si>
  <si>
    <t xml:space="preserve">43331223297413102630373</t>
  </si>
  <si>
    <t xml:space="preserve">43331223297413</t>
  </si>
  <si>
    <t xml:space="preserve">43331Facebook»AZP-Canvas-Look a Like-Trial»1x1»Canvas»OTH»MO»CPM»PRO»X»UNK»TP»OT»Canvas-Trial</t>
  </si>
  <si>
    <t xml:space="preserve">43331223298805102630373</t>
  </si>
  <si>
    <t xml:space="preserve">43331223298805</t>
  </si>
  <si>
    <t xml:space="preserve">43331Facebook»AZP-Canvas-Interest&amp;Role-Trial»1x1»Canvas»OTH»MO»CPM»PRO»X»UNK»TP»OT»Canvas-Trial</t>
  </si>
  <si>
    <t xml:space="preserve">43331226269941104061321</t>
  </si>
  <si>
    <t xml:space="preserve">43331226269941</t>
  </si>
  <si>
    <t xml:space="preserve">43331Facebook»AZP-Canvas-Retargeting-Trial»1x1»Canvas»SOC»MO»CPM»PRO»W»UNK»SS»OT»Canvas-Trial</t>
  </si>
  <si>
    <t xml:space="preserve">43332223297413</t>
  </si>
  <si>
    <t xml:space="preserve">43332Facebook»AZP-Canvas-Look a Like-Trial»1x1»Canvas»OTH»MO»CPM»PRO»X»UNK»TP»OT»Canvas-Trial</t>
  </si>
  <si>
    <t xml:space="preserve">43332223298805102609621</t>
  </si>
  <si>
    <t xml:space="preserve">43332223298805</t>
  </si>
  <si>
    <t xml:space="preserve">43332Facebook»AZP-Canvas-Interest&amp;Role-Trial»1x1»Canvas»OTH»MO»CPM»PRO»X»UNK»TP»OT»Canvas-Trial</t>
  </si>
  <si>
    <t xml:space="preserve">43332226269941104061321</t>
  </si>
  <si>
    <t xml:space="preserve">43332226269941</t>
  </si>
  <si>
    <t xml:space="preserve">43332Facebook»AZP-Canvas-Retargeting-Trial»1x1»Canvas»SOC»MO»CPM»PRO»W»UNK»SS»OT»Canvas-Trial</t>
  </si>
  <si>
    <t xml:space="preserve">43332227208508102630373</t>
  </si>
  <si>
    <t xml:space="preserve">43332227208508</t>
  </si>
  <si>
    <t xml:space="preserve">43332Facebook»AZP-Canvas-iine-Trial»1x1»Canvas»SOC»MO»CPM»AUT»W»NA»SS»NA»Canvas-Trial</t>
  </si>
  <si>
    <t xml:space="preserve">43333223297413102609621</t>
  </si>
  <si>
    <t xml:space="preserve">43333223297413</t>
  </si>
  <si>
    <t xml:space="preserve">43333Facebook»AZP-Canvas-Look a Like-Trial»1x1»Canvas»OTH»MO»CPM»PRO»X»UNK»TP»OT»Canvas-Trial</t>
  </si>
  <si>
    <t xml:space="preserve">43333223298805102609621</t>
  </si>
  <si>
    <t xml:space="preserve">43333223298805</t>
  </si>
  <si>
    <t xml:space="preserve">43333Facebook»AZP-Canvas-Interest&amp;Role-Trial»1x1»Canvas»OTH»MO»CPM»PRO»X»UNK»TP»OT»Canvas-Trial</t>
  </si>
  <si>
    <t xml:space="preserve">43333226269941104061321</t>
  </si>
  <si>
    <t xml:space="preserve">43333226269941</t>
  </si>
  <si>
    <t xml:space="preserve">43333Facebook»AZP-Canvas-Retargeting-Trial»1x1»Canvas»SOC»MO»CPM»PRO»W»UNK»SS»OT»Canvas-Trial</t>
  </si>
  <si>
    <t xml:space="preserve">43333227208508</t>
  </si>
  <si>
    <t xml:space="preserve">43333Facebook»AZP-Canvas-iine-Trial»1x1»Canvas»SOC»MO»CPM»AUT»W»NA»SS»NA»Canvas-Trial</t>
  </si>
  <si>
    <t xml:space="preserve">43334223297413102609621</t>
  </si>
  <si>
    <t xml:space="preserve">43334223297413</t>
  </si>
  <si>
    <t xml:space="preserve">43334Facebook»AZP-Canvas-Look a Like-Trial»1x1»Canvas»OTH»MO»CPM»PRO»X»UNK»TP»OT»Canvas-Trial</t>
  </si>
  <si>
    <t xml:space="preserve">43334223298805102630373</t>
  </si>
  <si>
    <t xml:space="preserve">43334223298805</t>
  </si>
  <si>
    <t xml:space="preserve">43334Facebook»AZP-Canvas-Interest&amp;Role-Trial»1x1»Canvas»OTH»MO»CPM»PRO»X»UNK»TP»OT»Canvas-Trial</t>
  </si>
  <si>
    <t xml:space="preserve">43334226269941104061321</t>
  </si>
  <si>
    <t xml:space="preserve">43334226269941</t>
  </si>
  <si>
    <t xml:space="preserve">43334Facebook»AZP-Canvas-Retargeting-Trial»1x1»Canvas»SOC»MO»CPM»PRO»W»UNK»SS»OT»Canvas-Trial</t>
  </si>
  <si>
    <t xml:space="preserve">43334227208508102609621</t>
  </si>
  <si>
    <t xml:space="preserve">43334227208508</t>
  </si>
  <si>
    <t xml:space="preserve">43334Facebook»AZP-Canvas-iine-Trial»1x1»Canvas»SOC»MO»CPM»AUT»W»NA»SS»NA»Canvas-Trial</t>
  </si>
  <si>
    <t xml:space="preserve">43335223297413102609621</t>
  </si>
  <si>
    <t xml:space="preserve">43335223297413</t>
  </si>
  <si>
    <t xml:space="preserve">43335Facebook»AZP-Canvas-Look a Like-Trial»1x1»Canvas»OTH»MO»CPM»PRO»X»UNK»TP»OT»Canvas-Trial</t>
  </si>
  <si>
    <t xml:space="preserve">43335223298805102630373</t>
  </si>
  <si>
    <t xml:space="preserve">43335223298805</t>
  </si>
  <si>
    <t xml:space="preserve">43335Facebook»AZP-Canvas-Interest&amp;Role-Trial»1x1»Canvas»OTH»MO»CPM»PRO»X»UNK»TP»OT»Canvas-Trial</t>
  </si>
  <si>
    <t xml:space="preserve">43335226269941104060547</t>
  </si>
  <si>
    <t xml:space="preserve">43335226269941</t>
  </si>
  <si>
    <t xml:space="preserve">43335Facebook»AZP-Canvas-Retargeting-Trial»1x1»Canvas»SOC»MO»CPM»PRO»W»UNK»SS»OT»Canvas-Trial</t>
  </si>
  <si>
    <t xml:space="preserve">43335227208508102630373</t>
  </si>
  <si>
    <t xml:space="preserve">43335227208508</t>
  </si>
  <si>
    <t xml:space="preserve">43335Facebook»AZP-Canvas-iine-Trial»1x1»Canvas»SOC»MO»CPM»AUT»W»NA»SS»NA»Canvas-Trial</t>
  </si>
  <si>
    <t xml:space="preserve">43336223297413102609621</t>
  </si>
  <si>
    <t xml:space="preserve">43336223297413</t>
  </si>
  <si>
    <t xml:space="preserve">43336Facebook»AZP-Canvas-Look a Like-Trial»1x1»Canvas»OTH»MO»CPM»PRO»X»UNK»TP»OT»Canvas-Trial</t>
  </si>
  <si>
    <t xml:space="preserve">43336223298805102630373</t>
  </si>
  <si>
    <t xml:space="preserve">43336223298805</t>
  </si>
  <si>
    <t xml:space="preserve">43336Facebook»AZP-Canvas-Interest&amp;Role-Trial»1x1»Canvas»OTH»MO»CPM»PRO»X»UNK»TP»OT»Canvas-Trial</t>
  </si>
  <si>
    <t xml:space="preserve">43336226269941104061321</t>
  </si>
  <si>
    <t xml:space="preserve">43336226269941</t>
  </si>
  <si>
    <t xml:space="preserve">43336Facebook»AZP-Canvas-Retargeting-Trial»1x1»Canvas»SOC»MO»CPM»PRO»W»UNK»SS»OT»Canvas-Trial</t>
  </si>
  <si>
    <t xml:space="preserve">43336227208508</t>
  </si>
  <si>
    <t xml:space="preserve">43336Facebook»AZP-Canvas-iine-Trial»1x1»Canvas»SOC»MO»CPM»AUT»W»NA»SS»NA»Canvas-Trial</t>
  </si>
  <si>
    <t xml:space="preserve">43337223297413102630373</t>
  </si>
  <si>
    <t xml:space="preserve">43337223297413</t>
  </si>
  <si>
    <t xml:space="preserve">43337Facebook»AZP-Canvas-Look a Like-Trial»1x1»Canvas»OTH»MO»CPM»PRO»X»UNK»TP»OT»Canvas-Trial</t>
  </si>
  <si>
    <t xml:space="preserve">43337223298805102609621</t>
  </si>
  <si>
    <t xml:space="preserve">43337223298805</t>
  </si>
  <si>
    <t xml:space="preserve">43337Facebook»AZP-Canvas-Interest&amp;Role-Trial»1x1»Canvas»OTH»MO»CPM»PRO»X»UNK»TP»OT»Canvas-Trial</t>
  </si>
  <si>
    <t xml:space="preserve">43337226269941104061321</t>
  </si>
  <si>
    <t xml:space="preserve">43337226269941</t>
  </si>
  <si>
    <t xml:space="preserve">43337Facebook»AZP-Canvas-Retargeting-Trial»1x1»Canvas»SOC»MO»CPM»PRO»W»UNK»SS»OT»Canvas-Trial</t>
  </si>
  <si>
    <t xml:space="preserve">43337227208508</t>
  </si>
  <si>
    <t xml:space="preserve">43337Facebook»AZP-Canvas-iine-Trial»1x1»Canvas»SOC»MO»CPM»AUT»W»NA»SS»NA»Canvas-Trial</t>
  </si>
  <si>
    <t xml:space="preserve">43331223560299102854019</t>
  </si>
  <si>
    <t xml:space="preserve">43331223560299</t>
  </si>
  <si>
    <t xml:space="preserve">43331Facebook»Retargeting»1x1»SocialBan»LIA»DT»DYN»RT»W»NA»SS»NA»Free Account Retargeting Generic- Animated ChC</t>
  </si>
  <si>
    <t xml:space="preserve">43331223560332102854037</t>
  </si>
  <si>
    <t xml:space="preserve">43331223560332</t>
  </si>
  <si>
    <t xml:space="preserve">43331Facebook»Retargeting»1x1»SocialBan»LIA»DT»DYN»RT»W»NA»SS»NA»Free Account Retargeting VM- On Demand ChE</t>
  </si>
  <si>
    <t xml:space="preserve">43331223560338102853603</t>
  </si>
  <si>
    <t xml:space="preserve">43331223560338</t>
  </si>
  <si>
    <t xml:space="preserve">43331Facebook»Retargeting»1x1»SocialBan»LIA»DT»DYN»RT»W»NA»SS»NA»Free Account Retargeting VM- 750 Hrs ChD</t>
  </si>
  <si>
    <t xml:space="preserve">43331223560344102861246</t>
  </si>
  <si>
    <t xml:space="preserve">43331223560344</t>
  </si>
  <si>
    <t xml:space="preserve">43331Facebook»Retargeting»1x1»SocialBan»LIA»DT»DYN»RT»W»NA»SS»NA»Free Account Retargeting OSS- Text ChF</t>
  </si>
  <si>
    <t xml:space="preserve">43331223560350103006547</t>
  </si>
  <si>
    <t xml:space="preserve">43331223560350</t>
  </si>
  <si>
    <t xml:space="preserve">43331Facebook»Retargeting»1x1»SocialBan»LIA»DT»DYN»RT»W»NA»SS»NA»Free Account Retargeting OSS- Logos ChG</t>
  </si>
  <si>
    <t xml:space="preserve">43331223560356102854016</t>
  </si>
  <si>
    <t xml:space="preserve">43331223560356</t>
  </si>
  <si>
    <t xml:space="preserve">43331Facebook»Retargeting»1x1»SocialBan»LIA»DT»DYN»RT»W»NA»SS»NA»Free Account Retargeting Generic- Global Alt ChB</t>
  </si>
  <si>
    <t xml:space="preserve">43331224334170103230847</t>
  </si>
  <si>
    <t xml:space="preserve">43331224334170</t>
  </si>
  <si>
    <t xml:space="preserve">43331Facebook»Audience &amp; Interest Targeting»1x1»SocialBan»LIA»DT»CPC»AUT»W»NA»SS»NA»Benefit 2 in Motion</t>
  </si>
  <si>
    <t xml:space="preserve">43331224399962103235146</t>
  </si>
  <si>
    <t xml:space="preserve">43331224399962</t>
  </si>
  <si>
    <t xml:space="preserve">43331Facebook»Audience &amp; Interest Targeting»1x1»SocialBan»LIA»DT»CPC»AUT»W»NA»SS»NA»Basic Motion</t>
  </si>
  <si>
    <t xml:space="preserve">43331224549481103235146</t>
  </si>
  <si>
    <t xml:space="preserve">43331224549481</t>
  </si>
  <si>
    <t xml:space="preserve">43331Facebook»Audience &amp; Interest Targeting»1x1»SocialBan»LIA»DT»CPC»AUT»W»NA»SS»NA»Brand in Motion</t>
  </si>
  <si>
    <t xml:space="preserve">43331226887139103235146</t>
  </si>
  <si>
    <t xml:space="preserve">43331226887139</t>
  </si>
  <si>
    <t xml:space="preserve">43331Facebook»Audience &amp; Interest Targeting- Azure Trial Lookalikes»1x1»TextLink»CAN»MO»CPM»AUT»W»NA»SS»NA»Free Account Developer- AI</t>
  </si>
  <si>
    <t xml:space="preserve">43331226887145103235146</t>
  </si>
  <si>
    <t xml:space="preserve">43331226887145</t>
  </si>
  <si>
    <t xml:space="preserve">43331Facebook»Audience &amp; Interest Targeting- Azure Trial Lookalikes»1x1»TextLink»CAN»MO»CPM»AUT»W»NA»SS»NA»Free Account Developer- Intelligent Data</t>
  </si>
  <si>
    <t xml:space="preserve">43331226887154103235146</t>
  </si>
  <si>
    <t xml:space="preserve">43331226887154</t>
  </si>
  <si>
    <t xml:space="preserve">43331Facebook»Audience &amp; Interest Targeting- Azure Trial PayGo Lookalikes»1x1»TextLink»CAN»MO»CPM»AUT»W»NA»SS»NA»Free Account Developer- Generic</t>
  </si>
  <si>
    <t xml:space="preserve">43331226889134103230847</t>
  </si>
  <si>
    <t xml:space="preserve">43331226889134</t>
  </si>
  <si>
    <t xml:space="preserve">43331Facebook»Audience &amp; Interest Targeting- Azure Trial PayGo Lookalikes»1x1»TextLink»CAN»MO»CPM»AUT»W»NA»SS»NA»Free Account Developer- Open Source</t>
  </si>
  <si>
    <t xml:space="preserve">43331227035821103230847</t>
  </si>
  <si>
    <t xml:space="preserve">43331227035821</t>
  </si>
  <si>
    <t xml:space="preserve">43331Facebook»Audience &amp; Interest Targeting- Azure Trial Lookalikes»1x1»TextLink»CAN»MO»CPM»AUT»W»NA»SS»NA»Free Account Developer- Open Source</t>
  </si>
  <si>
    <t xml:space="preserve">43332223560332102854037</t>
  </si>
  <si>
    <t xml:space="preserve">43332223560332</t>
  </si>
  <si>
    <t xml:space="preserve">43332Facebook»Retargeting»1x1»SocialBan»LIA»DT»DYN»RT»W»NA»SS»NA»Free Account Retargeting VM- On Demand ChE</t>
  </si>
  <si>
    <t xml:space="preserve">43332223560338102853603</t>
  </si>
  <si>
    <t xml:space="preserve">43332223560338</t>
  </si>
  <si>
    <t xml:space="preserve">43332Facebook»Retargeting»1x1»SocialBan»LIA»DT»DYN»RT»W»NA»SS»NA»Free Account Retargeting VM- 750 Hrs ChD</t>
  </si>
  <si>
    <t xml:space="preserve">43332223560344102861246</t>
  </si>
  <si>
    <t xml:space="preserve">43332223560344</t>
  </si>
  <si>
    <t xml:space="preserve">43332Facebook»Retargeting»1x1»SocialBan»LIA»DT»DYN»RT»W»NA»SS»NA»Free Account Retargeting OSS- Text ChF</t>
  </si>
  <si>
    <t xml:space="preserve">43332223560350103006547</t>
  </si>
  <si>
    <t xml:space="preserve">43332223560350</t>
  </si>
  <si>
    <t xml:space="preserve">43332Facebook»Retargeting»1x1»SocialBan»LIA»DT»DYN»RT»W»NA»SS»NA»Free Account Retargeting OSS- Logos ChG</t>
  </si>
  <si>
    <t xml:space="preserve">43332224399962103235146</t>
  </si>
  <si>
    <t xml:space="preserve">43332224399962</t>
  </si>
  <si>
    <t xml:space="preserve">43332Facebook»Audience &amp; Interest Targeting»1x1»SocialBan»LIA»DT»CPC»AUT»W»NA»SS»NA»Basic Motion</t>
  </si>
  <si>
    <t xml:space="preserve">43332226887145103235146</t>
  </si>
  <si>
    <t xml:space="preserve">43332226887145</t>
  </si>
  <si>
    <t xml:space="preserve">43332Facebook»Audience &amp; Interest Targeting- Azure Trial Lookalikes»1x1»TextLink»CAN»MO»CPM»AUT»W»NA»SS»NA»Free Account Developer- Intelligent Data</t>
  </si>
  <si>
    <t xml:space="preserve">43332226889134103230847</t>
  </si>
  <si>
    <t xml:space="preserve">43332226889134</t>
  </si>
  <si>
    <t xml:space="preserve">43332Facebook»Audience &amp; Interest Targeting- Azure Trial PayGo Lookalikes»1x1»TextLink»CAN»MO»CPM»AUT»W»NA»SS»NA»Free Account Developer- Open Source</t>
  </si>
  <si>
    <t xml:space="preserve">43332227035821103235146</t>
  </si>
  <si>
    <t xml:space="preserve">43332227035821</t>
  </si>
  <si>
    <t xml:space="preserve">43332Facebook»Audience &amp; Interest Targeting- Azure Trial Lookalikes»1x1»TextLink»CAN»MO»CPM»AUT»W»NA»SS»NA»Free Account Developer- Open Source</t>
  </si>
  <si>
    <t xml:space="preserve">43332227035845103235146</t>
  </si>
  <si>
    <t xml:space="preserve">43332227035845</t>
  </si>
  <si>
    <t xml:space="preserve">43332Facebook»Audience &amp; Interest Targeting- Azure Trial PayGo Lookalikes»1x1»TextLink»CAN»MO»CPM»AUT»W»NA»SS»NA»Free Account Developer- Intelligent Data</t>
  </si>
  <si>
    <t xml:space="preserve">43333223560299102854019</t>
  </si>
  <si>
    <t xml:space="preserve">43333223560299</t>
  </si>
  <si>
    <t xml:space="preserve">43333Facebook»Retargeting»1x1»SocialBan»LIA»DT»DYN»RT»W»NA»SS»NA»Free Account Retargeting Generic- Animated ChC</t>
  </si>
  <si>
    <t xml:space="preserve">43333223560332102854037</t>
  </si>
  <si>
    <t xml:space="preserve">43333223560332</t>
  </si>
  <si>
    <t xml:space="preserve">43333Facebook»Retargeting»1x1»SocialBan»LIA»DT»DYN»RT»W»NA»SS»NA»Free Account Retargeting VM- On Demand ChE</t>
  </si>
  <si>
    <t xml:space="preserve">43333223560338102853603</t>
  </si>
  <si>
    <t xml:space="preserve">43333223560338</t>
  </si>
  <si>
    <t xml:space="preserve">43333Facebook»Retargeting»1x1»SocialBan»LIA»DT»DYN»RT»W»NA»SS»NA»Free Account Retargeting VM- 750 Hrs ChD</t>
  </si>
  <si>
    <t xml:space="preserve">43333223560350103006547</t>
  </si>
  <si>
    <t xml:space="preserve">43333223560350</t>
  </si>
  <si>
    <t xml:space="preserve">43333Facebook»Retargeting»1x1»SocialBan»LIA»DT»DYN»RT»W»NA»SS»NA»Free Account Retargeting OSS- Logos ChG</t>
  </si>
  <si>
    <t xml:space="preserve">43333223560356102854016</t>
  </si>
  <si>
    <t xml:space="preserve">43333223560356</t>
  </si>
  <si>
    <t xml:space="preserve">43333Facebook»Retargeting»1x1»SocialBan»LIA»DT»DYN»RT»W»NA»SS»NA»Free Account Retargeting Generic- Global Alt ChB</t>
  </si>
  <si>
    <t xml:space="preserve">43333224334170103235146</t>
  </si>
  <si>
    <t xml:space="preserve">43333224334170</t>
  </si>
  <si>
    <t xml:space="preserve">43333Facebook»Audience &amp; Interest Targeting»1x1»SocialBan»LIA»DT»CPC»AUT»W»NA»SS»NA»Benefit 2 in Motion</t>
  </si>
  <si>
    <t xml:space="preserve">43333224399962103230847</t>
  </si>
  <si>
    <t xml:space="preserve">43333224399962</t>
  </si>
  <si>
    <t xml:space="preserve">43333Facebook»Audience &amp; Interest Targeting»1x1»SocialBan»LIA»DT»CPC»AUT»W»NA»SS»NA»Basic Motion</t>
  </si>
  <si>
    <t xml:space="preserve">43333226887139103230847</t>
  </si>
  <si>
    <t xml:space="preserve">43333226887139</t>
  </si>
  <si>
    <t xml:space="preserve">43333Facebook»Audience &amp; Interest Targeting- Azure Trial Lookalikes»1x1»TextLink»CAN»MO»CPM»AUT»W»NA»SS»NA»Free Account Developer- AI</t>
  </si>
  <si>
    <t xml:space="preserve">43333226889134103230847</t>
  </si>
  <si>
    <t xml:space="preserve">43333226889134</t>
  </si>
  <si>
    <t xml:space="preserve">43333Facebook»Audience &amp; Interest Targeting- Azure Trial PayGo Lookalikes»1x1»TextLink»CAN»MO»CPM»AUT»W»NA»SS»NA»Free Account Developer- Open Source</t>
  </si>
  <si>
    <t xml:space="preserve">43333227035821103230847</t>
  </si>
  <si>
    <t xml:space="preserve">43333227035821</t>
  </si>
  <si>
    <t xml:space="preserve">43333Facebook»Audience &amp; Interest Targeting- Azure Trial Lookalikes»1x1»TextLink»CAN»MO»CPM»AUT»W»NA»SS»NA»Free Account Developer- Open Source</t>
  </si>
  <si>
    <t xml:space="preserve">43334223560299102854019</t>
  </si>
  <si>
    <t xml:space="preserve">43334223560299</t>
  </si>
  <si>
    <t xml:space="preserve">43334Facebook»Retargeting»1x1»SocialBan»LIA»DT»DYN»RT»W»NA»SS»NA»Free Account Retargeting Generic- Animated ChC</t>
  </si>
  <si>
    <t xml:space="preserve">43334223560332102854037</t>
  </si>
  <si>
    <t xml:space="preserve">43334223560332</t>
  </si>
  <si>
    <t xml:space="preserve">43334Facebook»Retargeting»1x1»SocialBan»LIA»DT»DYN»RT»W»NA»SS»NA»Free Account Retargeting VM- On Demand ChE</t>
  </si>
  <si>
    <t xml:space="preserve">43334223560338102853603</t>
  </si>
  <si>
    <t xml:space="preserve">43334223560338</t>
  </si>
  <si>
    <t xml:space="preserve">43334Facebook»Retargeting»1x1»SocialBan»LIA»DT»DYN»RT»W»NA»SS»NA»Free Account Retargeting VM- 750 Hrs ChD</t>
  </si>
  <si>
    <t xml:space="preserve">43334223560344102861246</t>
  </si>
  <si>
    <t xml:space="preserve">43334223560344</t>
  </si>
  <si>
    <t xml:space="preserve">43334Facebook»Retargeting»1x1»SocialBan»LIA»DT»DYN»RT»W»NA»SS»NA»Free Account Retargeting OSS- Text ChF</t>
  </si>
  <si>
    <t xml:space="preserve">43334223560350103006547</t>
  </si>
  <si>
    <t xml:space="preserve">43334223560350</t>
  </si>
  <si>
    <t xml:space="preserve">43334Facebook»Retargeting»1x1»SocialBan»LIA»DT»DYN»RT»W»NA»SS»NA»Free Account Retargeting OSS- Logos ChG</t>
  </si>
  <si>
    <t xml:space="preserve">43334223560353102854010</t>
  </si>
  <si>
    <t xml:space="preserve">43334223560353</t>
  </si>
  <si>
    <t xml:space="preserve">43334Facebook»Audience &amp; Interest Targeting»1x1»SocialBan»LIA»DT»DYN»AUT»W»NA»SS»NA»Free Account Refresh- Device ChB</t>
  </si>
  <si>
    <t xml:space="preserve">43334223560356102854016</t>
  </si>
  <si>
    <t xml:space="preserve">43334223560356</t>
  </si>
  <si>
    <t xml:space="preserve">43334Facebook»Retargeting»1x1»SocialBan»LIA»DT»DYN»RT»W»NA»SS»NA»Free Account Retargeting Generic- Global Alt ChB</t>
  </si>
  <si>
    <t xml:space="preserve">43334224399962103230847</t>
  </si>
  <si>
    <t xml:space="preserve">43334224399962</t>
  </si>
  <si>
    <t xml:space="preserve">43334Facebook»Audience &amp; Interest Targeting»1x1»SocialBan»LIA»DT»CPC»AUT»W»NA»SS»NA»Basic Motion</t>
  </si>
  <si>
    <t xml:space="preserve">43334226796675103230847</t>
  </si>
  <si>
    <t xml:space="preserve">43334226796675</t>
  </si>
  <si>
    <t xml:space="preserve">43334Facebook»Audience &amp; Interest Targeting- Azure Trial PayGo Lookalikes»1x1»TextLink»CAN»MO»CPM»AUT»W»NA»SS»NA»Free Account Developer- AI</t>
  </si>
  <si>
    <t xml:space="preserve">43334226887139103235146</t>
  </si>
  <si>
    <t xml:space="preserve">43334226887139</t>
  </si>
  <si>
    <t xml:space="preserve">43334Facebook»Audience &amp; Interest Targeting- Azure Trial Lookalikes»1x1»TextLink»CAN»MO»CPM»AUT»W»NA»SS»NA»Free Account Developer- AI</t>
  </si>
  <si>
    <t xml:space="preserve">43334226887148103235146</t>
  </si>
  <si>
    <t xml:space="preserve">43334226887148</t>
  </si>
  <si>
    <t xml:space="preserve">43334Facebook»Audience &amp; Interest Targeting- Azure Trial Lookalikes»1x1»TextLink»CAN»MO»CPM»AUT»W»NA»SS»NA»Free Account IT Pro- Secure</t>
  </si>
  <si>
    <t xml:space="preserve">43334227035821103230847</t>
  </si>
  <si>
    <t xml:space="preserve">43334227035821</t>
  </si>
  <si>
    <t xml:space="preserve">43334Facebook»Audience &amp; Interest Targeting- Azure Trial Lookalikes»1x1»TextLink»CAN»MO»CPM»AUT»W»NA»SS»NA»Free Account Developer- Open Source</t>
  </si>
  <si>
    <t xml:space="preserve">43334227035845103230847</t>
  </si>
  <si>
    <t xml:space="preserve">43334227035845</t>
  </si>
  <si>
    <t xml:space="preserve">43334Facebook»Audience &amp; Interest Targeting- Azure Trial PayGo Lookalikes»1x1»TextLink»CAN»MO»CPM»AUT»W»NA»SS»NA»Free Account Developer- Intelligent Data</t>
  </si>
  <si>
    <t xml:space="preserve">43335223560299102854019</t>
  </si>
  <si>
    <t xml:space="preserve">43335223560299</t>
  </si>
  <si>
    <t xml:space="preserve">43335Facebook»Retargeting»1x1»SocialBan»LIA»DT»DYN»RT»W»NA»SS»NA»Free Account Retargeting Generic- Animated ChC</t>
  </si>
  <si>
    <t xml:space="preserve">43335223560332102854037</t>
  </si>
  <si>
    <t xml:space="preserve">43335223560332</t>
  </si>
  <si>
    <t xml:space="preserve">43335Facebook»Retargeting»1x1»SocialBan»LIA»DT»DYN»RT»W»NA»SS»NA»Free Account Retargeting VM- On Demand ChE</t>
  </si>
  <si>
    <t xml:space="preserve">43335223560338102853603</t>
  </si>
  <si>
    <t xml:space="preserve">43335223560338</t>
  </si>
  <si>
    <t xml:space="preserve">43335Facebook»Retargeting»1x1»SocialBan»LIA»DT»DYN»RT»W»NA»SS»NA»Free Account Retargeting VM- 750 Hrs ChD</t>
  </si>
  <si>
    <t xml:space="preserve">43335223560344102861246</t>
  </si>
  <si>
    <t xml:space="preserve">43335223560344</t>
  </si>
  <si>
    <t xml:space="preserve">43335Facebook»Retargeting»1x1»SocialBan»LIA»DT»DYN»RT»W»NA»SS»NA»Free Account Retargeting OSS- Text ChF</t>
  </si>
  <si>
    <t xml:space="preserve">43335223560350103006547</t>
  </si>
  <si>
    <t xml:space="preserve">43335223560350</t>
  </si>
  <si>
    <t xml:space="preserve">43335Facebook»Retargeting»1x1»SocialBan»LIA»DT»DYN»RT»W»NA»SS»NA»Free Account Retargeting OSS- Logos ChG</t>
  </si>
  <si>
    <t xml:space="preserve">43335223560356102854016</t>
  </si>
  <si>
    <t xml:space="preserve">43335223560356</t>
  </si>
  <si>
    <t xml:space="preserve">43335Facebook»Retargeting»1x1»SocialBan»LIA»DT»DYN»RT»W»NA»SS»NA»Free Account Retargeting Generic- Global Alt ChB</t>
  </si>
  <si>
    <t xml:space="preserve">43335224334170103235146</t>
  </si>
  <si>
    <t xml:space="preserve">43335224334170</t>
  </si>
  <si>
    <t xml:space="preserve">43335Facebook»Audience &amp; Interest Targeting»1x1»SocialBan»LIA»DT»CPC»AUT»W»NA»SS»NA»Benefit 2 in Motion</t>
  </si>
  <si>
    <t xml:space="preserve">43335226796675103230847</t>
  </si>
  <si>
    <t xml:space="preserve">43335226796675</t>
  </si>
  <si>
    <t xml:space="preserve">43335Facebook»Audience &amp; Interest Targeting- Azure Trial PayGo Lookalikes»1x1»TextLink»CAN»MO»CPM»AUT»W»NA»SS»NA»Free Account Developer- AI</t>
  </si>
  <si>
    <t xml:space="preserve">43335226887139103235146</t>
  </si>
  <si>
    <t xml:space="preserve">43335226887139</t>
  </si>
  <si>
    <t xml:space="preserve">43335Facebook»Audience &amp; Interest Targeting- Azure Trial Lookalikes»1x1»TextLink»CAN»MO»CPM»AUT»W»NA»SS»NA»Free Account Developer- AI</t>
  </si>
  <si>
    <t xml:space="preserve">43335227036847103230847</t>
  </si>
  <si>
    <t xml:space="preserve">43335227036847</t>
  </si>
  <si>
    <t xml:space="preserve">43335Facebook»Audience &amp; Interest Targeting- Azure Trial Lookalikes»1x1»TextLink»CAN»MO»CPM»AUT»W»NA»SS»NA»Free Account IT Pro- Migration</t>
  </si>
  <si>
    <t xml:space="preserve">43336223560299102854019</t>
  </si>
  <si>
    <t xml:space="preserve">43336223560299</t>
  </si>
  <si>
    <t xml:space="preserve">43336Facebook»Retargeting»1x1»SocialBan»LIA»DT»DYN»RT»W»NA»SS»NA»Free Account Retargeting Generic- Animated ChC</t>
  </si>
  <si>
    <t xml:space="preserve">43336223560332102854037</t>
  </si>
  <si>
    <t xml:space="preserve">43336223560332</t>
  </si>
  <si>
    <t xml:space="preserve">43336Facebook»Retargeting»1x1»SocialBan»LIA»DT»DYN»RT»W»NA»SS»NA»Free Account Retargeting VM- On Demand ChE</t>
  </si>
  <si>
    <t xml:space="preserve">43336223560356102854016</t>
  </si>
  <si>
    <t xml:space="preserve">43336223560356</t>
  </si>
  <si>
    <t xml:space="preserve">43336Facebook»Retargeting»1x1»SocialBan»LIA»DT»DYN»RT»W»NA»SS»NA»Free Account Retargeting Generic- Global Alt ChB</t>
  </si>
  <si>
    <t xml:space="preserve">43336224399962103230847</t>
  </si>
  <si>
    <t xml:space="preserve">43336224399962</t>
  </si>
  <si>
    <t xml:space="preserve">43336Facebook»Audience &amp; Interest Targeting»1x1»SocialBan»LIA»DT»CPC»AUT»W»NA»SS»NA»Basic Motion</t>
  </si>
  <si>
    <t xml:space="preserve">43336224549481103235146</t>
  </si>
  <si>
    <t xml:space="preserve">43336224549481</t>
  </si>
  <si>
    <t xml:space="preserve">43336Facebook»Audience &amp; Interest Targeting»1x1»SocialBan»LIA»DT»CPC»AUT»W»NA»SS»NA»Brand in Motion</t>
  </si>
  <si>
    <t xml:space="preserve">43336226796675103230847</t>
  </si>
  <si>
    <t xml:space="preserve">43336226796675</t>
  </si>
  <si>
    <t xml:space="preserve">43336Facebook»Audience &amp; Interest Targeting- Azure Trial PayGo Lookalikes»1x1»TextLink»CAN»MO»CPM»AUT»W»NA»SS»NA»Free Account Developer- AI</t>
  </si>
  <si>
    <t xml:space="preserve">43336226887139103230847</t>
  </si>
  <si>
    <t xml:space="preserve">43336226887139</t>
  </si>
  <si>
    <t xml:space="preserve">43336Facebook»Audience &amp; Interest Targeting- Azure Trial Lookalikes»1x1»TextLink»CAN»MO»CPM»AUT»W»NA»SS»NA»Free Account Developer- AI</t>
  </si>
  <si>
    <t xml:space="preserve">43336226887148103235146</t>
  </si>
  <si>
    <t xml:space="preserve">43336226887148</t>
  </si>
  <si>
    <t xml:space="preserve">43336Facebook»Audience &amp; Interest Targeting- Azure Trial Lookalikes»1x1»TextLink»CAN»MO»CPM»AUT»W»NA»SS»NA»Free Account IT Pro- Secure</t>
  </si>
  <si>
    <t xml:space="preserve">43336227035833103235146</t>
  </si>
  <si>
    <t xml:space="preserve">43336227035833</t>
  </si>
  <si>
    <t xml:space="preserve">43336Facebook»Audience &amp; Interest Targeting- Azure Trial Lookalikes»1x1»TextLink»CAN»MO»CPM»AUT»W»NA»SS»NA»Free Account IT Pro- Hybrid</t>
  </si>
  <si>
    <t xml:space="preserve">43336227035845103230847</t>
  </si>
  <si>
    <t xml:space="preserve">43336227035845</t>
  </si>
  <si>
    <t xml:space="preserve">43336Facebook»Audience &amp; Interest Targeting- Azure Trial PayGo Lookalikes»1x1»TextLink»CAN»MO»CPM»AUT»W»NA»SS»NA»Free Account Developer- Intelligent Data</t>
  </si>
  <si>
    <t xml:space="preserve">43336227036847103230847</t>
  </si>
  <si>
    <t xml:space="preserve">43336227036847</t>
  </si>
  <si>
    <t xml:space="preserve">43336Facebook»Audience &amp; Interest Targeting- Azure Trial Lookalikes»1x1»TextLink»CAN»MO»CPM»AUT»W»NA»SS»NA»Free Account IT Pro- Migration</t>
  </si>
  <si>
    <t xml:space="preserve">43337223560299102854019</t>
  </si>
  <si>
    <t xml:space="preserve">43337223560299</t>
  </si>
  <si>
    <t xml:space="preserve">43337Facebook»Retargeting»1x1»SocialBan»LIA»DT»DYN»RT»W»NA»SS»NA»Free Account Retargeting Generic- Animated ChC</t>
  </si>
  <si>
    <t xml:space="preserve">43337223560332102854037</t>
  </si>
  <si>
    <t xml:space="preserve">43337223560332</t>
  </si>
  <si>
    <t xml:space="preserve">43337Facebook»Retargeting»1x1»SocialBan»LIA»DT»DYN»RT»W»NA»SS»NA»Free Account Retargeting VM- On Demand ChE</t>
  </si>
  <si>
    <t xml:space="preserve">43337223560338102853603</t>
  </si>
  <si>
    <t xml:space="preserve">43337223560338</t>
  </si>
  <si>
    <t xml:space="preserve">43337Facebook»Retargeting»1x1»SocialBan»LIA»DT»DYN»RT»W»NA»SS»NA»Free Account Retargeting VM- 750 Hrs ChD</t>
  </si>
  <si>
    <t xml:space="preserve">43337223560350103006547</t>
  </si>
  <si>
    <t xml:space="preserve">43337223560350</t>
  </si>
  <si>
    <t xml:space="preserve">43337Facebook»Retargeting»1x1»SocialBan»LIA»DT»DYN»RT»W»NA»SS»NA»Free Account Retargeting OSS- Logos ChG</t>
  </si>
  <si>
    <t xml:space="preserve">43337223560356102854016</t>
  </si>
  <si>
    <t xml:space="preserve">43337223560356</t>
  </si>
  <si>
    <t xml:space="preserve">43337Facebook»Retargeting»1x1»SocialBan»LIA»DT»DYN»RT»W»NA»SS»NA»Free Account Retargeting Generic- Global Alt ChB</t>
  </si>
  <si>
    <t xml:space="preserve">43337224334170103235146</t>
  </si>
  <si>
    <t xml:space="preserve">43337224334170</t>
  </si>
  <si>
    <t xml:space="preserve">43337Facebook»Audience &amp; Interest Targeting»1x1»SocialBan»LIA»DT»CPC»AUT»W»NA»SS»NA»Benefit 2 in Motion</t>
  </si>
  <si>
    <t xml:space="preserve">43337224549481103235146</t>
  </si>
  <si>
    <t xml:space="preserve">43337224549481</t>
  </si>
  <si>
    <t xml:space="preserve">43337Facebook»Audience &amp; Interest Targeting»1x1»SocialBan»LIA»DT»CPC»AUT»W»NA»SS»NA»Brand in Motion</t>
  </si>
  <si>
    <t xml:space="preserve">43337226794002103230847</t>
  </si>
  <si>
    <t xml:space="preserve">43337226794002</t>
  </si>
  <si>
    <t xml:space="preserve">43337Facebook»Audience &amp; Interest Targeting- Azure Trial Lookalikes»1x1»TextLink»CAN»MO»CPM»AUT»W»NA»SS»NA»Free Account Developer- Generic</t>
  </si>
  <si>
    <t xml:space="preserve">43337226887139103230847</t>
  </si>
  <si>
    <t xml:space="preserve">43337226887139</t>
  </si>
  <si>
    <t xml:space="preserve">43337Facebook»Audience &amp; Interest Targeting- Azure Trial Lookalikes»1x1»TextLink»CAN»MO»CPM»AUT»W»NA»SS»NA»Free Account Developer- AI</t>
  </si>
  <si>
    <t xml:space="preserve">43337226887148103230847</t>
  </si>
  <si>
    <t xml:space="preserve">43337226887148</t>
  </si>
  <si>
    <t xml:space="preserve">43337Facebook»Audience &amp; Interest Targeting- Azure Trial Lookalikes»1x1»TextLink»CAN»MO»CPM»AUT»W»NA»SS»NA»Free Account IT Pro- Secure</t>
  </si>
  <si>
    <t xml:space="preserve">43337226889134103230847</t>
  </si>
  <si>
    <t xml:space="preserve">43337226889134</t>
  </si>
  <si>
    <t xml:space="preserve">43337Facebook»Audience &amp; Interest Targeting- Azure Trial PayGo Lookalikes»1x1»TextLink»CAN»MO»CPM»AUT»W»NA»SS»NA»Free Account Developer- Open Source</t>
  </si>
  <si>
    <t xml:space="preserve">43337227036847103235146</t>
  </si>
  <si>
    <t xml:space="preserve">43337227036847</t>
  </si>
  <si>
    <t xml:space="preserve">43337Facebook»Audience &amp; Interest Targeting- Azure Trial Lookalikes»1x1»TextLink»CAN»MO»CPM»AUT»W»NA»SS»NA»Free Account IT Pro- Migration</t>
  </si>
  <si>
    <t xml:space="preserve">43285224160774</t>
  </si>
  <si>
    <t xml:space="preserve">43285Facebook»Audience &amp; Interest Targeting»1x1»TextLink»SOC»DT»DYN»AUT»W»NA»SS»NA»Free Account Refresh- Illustration ChC</t>
  </si>
  <si>
    <t xml:space="preserve">43288224160780</t>
  </si>
  <si>
    <t xml:space="preserve">43288Facebook»Audience &amp; Interest Targeting»1x1»TextLink»SOC»DT»DYN»AUT»W»NA»SS»NA»Free Account Refresh- 200 Credit ChD</t>
  </si>
  <si>
    <t xml:space="preserve">43288224160777</t>
  </si>
  <si>
    <t xml:space="preserve">43288Facebook»Audience &amp; Interest Targeting»1x1»TextLink»SOC»DT»DYN»AUT»W»NA»SS»NA»Free Account Refresh- Device ChB</t>
  </si>
  <si>
    <t xml:space="preserve">43288NA</t>
  </si>
  <si>
    <t xml:space="preserve">43288FACEBOOK»AZR-TRIAL-CANVAS-Prospecting»NA»PKG»ALL»CPL»AUD»D»All»SS»NA»FBCTCBenefit2inMotion_AUS_14sec</t>
  </si>
  <si>
    <t xml:space="preserve">43288FACEBOOK»AZR-TRIAL-CANVAS-Prospecting»NA»PKG»ALL»CPL»AUD»D»All»SS»NA»FBCTCBrandinMotion_AUS_12sec</t>
  </si>
  <si>
    <t xml:space="preserve">43288FACEBOOK»AZR-TRIAL-CANVAS-Prospecting»NA»PKG»ALL»CPL»AUD»D»All»SS»NA»FBCTCBasicMotion_AUS_10sec</t>
  </si>
  <si>
    <t xml:space="preserve">43288224160771</t>
  </si>
  <si>
    <t xml:space="preserve">43288Facebook»Audience &amp; Interest Targeting»1x1»TextLink»SOC»DT»DYN»AUT»W»NA»SS»NA»Free Account Refresh- Lifestyle ChA</t>
  </si>
  <si>
    <t xml:space="preserve">43286224160783</t>
  </si>
  <si>
    <t xml:space="preserve">43286FACEBOOK»TRIAL-AZR-Audience»1 x 1»NA»SOC»ALL»CPL»AUD»D»All»SS»NA»FreeAcctAppsFACEBOOK12monthsChE</t>
  </si>
  <si>
    <t xml:space="preserve">43286224160774</t>
  </si>
  <si>
    <t xml:space="preserve">43286Facebook»Audience &amp; Interest Targeting»1x1»TextLink»SOC»DT»DYN»AUT»W»NA»SS»NA»Free Account Refresh- Illustration ChC</t>
  </si>
  <si>
    <t xml:space="preserve">43284224160780</t>
  </si>
  <si>
    <t xml:space="preserve">43284Facebook»Audience &amp; Interest Targeting»1x1»TextLink»SOC»DT»DYN»AUT»W»NA»SS»NA»Free Account Refresh- 200 Credit ChD</t>
  </si>
  <si>
    <t xml:space="preserve">43284224160777</t>
  </si>
  <si>
    <t xml:space="preserve">43284Facebook»Audience &amp; Interest Targeting»1x1»TextLink»SOC»DT»DYN»AUT»W»NA»SS»NA»Free Account Refresh- Device ChB</t>
  </si>
  <si>
    <t xml:space="preserve">43287224160783</t>
  </si>
  <si>
    <t xml:space="preserve">43287FACEBOOK»TRIAL-AZR-Audience»1 x 1»NA»SOC»ALL»CPL»AUD»D»All»SS»NA»FreeAcctAppsFACEBOOK12monthsChE</t>
  </si>
  <si>
    <t xml:space="preserve">43284NA</t>
  </si>
  <si>
    <t xml:space="preserve">43284FACEBOOK»AZR-TRIAL-CANVAS-Prospecting»NA»PKG»ALL»CPL»AUD»D»All»SS»NA»FBCTCBenefit2inMotion_AUS_14sec</t>
  </si>
  <si>
    <t xml:space="preserve">43284FACEBOOK»AZR-TRIAL-CANVAS-Prospecting»NA»PKG»ALL»CPL»AUD»D»All»SS»NA»FBCTCBrandinMotion_AUS_12sec</t>
  </si>
  <si>
    <t xml:space="preserve">43284FACEBOOK»AZR-TRIAL-CANVAS-Prospecting»NA»PKG»ALL»CPL»AUD»D»All»SS»NA»FBCTCBasicMotion_AUS_10sec</t>
  </si>
  <si>
    <t xml:space="preserve">43284224160771</t>
  </si>
  <si>
    <t xml:space="preserve">43284Facebook»Audience &amp; Interest Targeting»1x1»TextLink»SOC»DT»DYN»AUT»W»NA»SS»NA»Free Account Refresh- Lifestyle ChA</t>
  </si>
  <si>
    <t xml:space="preserve">43287224160774</t>
  </si>
  <si>
    <t xml:space="preserve">43287Facebook»Audience &amp; Interest Targeting»1x1»TextLink»SOC»DT»DYN»AUT»W»NA»SS»NA»Free Account Refresh- Illustration ChC</t>
  </si>
  <si>
    <t xml:space="preserve">43285224160780</t>
  </si>
  <si>
    <t xml:space="preserve">43285Facebook»Audience &amp; Interest Targeting»1x1»TextLink»SOC»DT»DYN»AUT»W»NA»SS»NA»Free Account Refresh- 200 Credit ChD</t>
  </si>
  <si>
    <t xml:space="preserve">43285224160777</t>
  </si>
  <si>
    <t xml:space="preserve">43285Facebook»Audience &amp; Interest Targeting»1x1»TextLink»SOC»DT»DYN»AUT»W»NA»SS»NA»Free Account Refresh- Device ChB</t>
  </si>
  <si>
    <t xml:space="preserve">43288224160783</t>
  </si>
  <si>
    <t xml:space="preserve">43288FACEBOOK»TRIAL-AZR-Audience»1 x 1»NA»SOC»ALL»CPL»AUD»D»All»SS»NA»FreeAcctAppsFACEBOOK12monthsChE</t>
  </si>
  <si>
    <t xml:space="preserve">43285NA</t>
  </si>
  <si>
    <t xml:space="preserve">43285FACEBOOK»AZR-TRIAL-CANVAS-Prospecting»NA»PKG»ALL»CPL»AUD»D»All»SS»NA»FBCTCBenefit2inMotion_AUS_14sec</t>
  </si>
  <si>
    <t xml:space="preserve">43285FACEBOOK»AZR-TRIAL-CANVAS-Prospecting»NA»PKG»ALL»CPL»AUD»D»All»SS»NA»FBCTCBrandinMotion_AUS_12sec</t>
  </si>
  <si>
    <t xml:space="preserve">43285FACEBOOK»AZR-TRIAL-CANVAS-Prospecting»NA»PKG»ALL»CPL»AUD»D»All»SS»NA»FBCTCBasicMotion_AUS_10sec</t>
  </si>
  <si>
    <t xml:space="preserve">43285224160771</t>
  </si>
  <si>
    <t xml:space="preserve">43285Facebook»Audience &amp; Interest Targeting»1x1»TextLink»SOC»DT»DYN»AUT»W»NA»SS»NA»Free Account Refresh- Lifestyle ChA</t>
  </si>
  <si>
    <t xml:space="preserve">43288224160774</t>
  </si>
  <si>
    <t xml:space="preserve">43288Facebook»Audience &amp; Interest Targeting»1x1»TextLink»SOC»DT»DYN»AUT»W»NA»SS»NA»Free Account Refresh- Illustration ChC</t>
  </si>
  <si>
    <t xml:space="preserve">43286224160780</t>
  </si>
  <si>
    <t xml:space="preserve">43286Facebook»Audience &amp; Interest Targeting»1x1»TextLink»SOC»DT»DYN»AUT»W»NA»SS»NA»Free Account Refresh- 200 Credit ChD</t>
  </si>
  <si>
    <t xml:space="preserve">43286224160777</t>
  </si>
  <si>
    <t xml:space="preserve">43286Facebook»Audience &amp; Interest Targeting»1x1»TextLink»SOC»DT»DYN»AUT»W»NA»SS»NA»Free Account Refresh- Device ChB</t>
  </si>
  <si>
    <t xml:space="preserve">43286NA</t>
  </si>
  <si>
    <t xml:space="preserve">43286FACEBOOK»AZR-TRIAL-CANVAS-Prospecting»NA»PKG»ALL»CPL»AUD»D»All»SS»NA»FBCTCBasicMotion_AUS_10sec</t>
  </si>
  <si>
    <t xml:space="preserve">43286FACEBOOK»AZR-TRIAL-CANVAS-Prospecting»NA»PKG»ALL»CPL»AUD»D»All»SS»NA»FBCTCBenefit2inMotion_AUS_14sec</t>
  </si>
  <si>
    <t xml:space="preserve">43286FACEBOOK»AZR-TRIAL-CANVAS-Prospecting»NA»PKG»ALL»CPL»AUD»D»All»SS»NA»FBCTCBrandinMotion_AUS_12sec</t>
  </si>
  <si>
    <t xml:space="preserve">43286224160771</t>
  </si>
  <si>
    <t xml:space="preserve">43286Facebook»Audience &amp; Interest Targeting»1x1»TextLink»SOC»DT»DYN»AUT»W»NA»SS»NA»Free Account Refresh- Lifestyle ChA</t>
  </si>
  <si>
    <t xml:space="preserve">43284224160783</t>
  </si>
  <si>
    <t xml:space="preserve">43284FACEBOOK»TRIAL-AZR-Audience»1 x 1»NA»SOC»ALL»CPL»AUD»D»All»SS»NA»FreeAcctAppsFACEBOOK12monthsChE</t>
  </si>
  <si>
    <t xml:space="preserve">43284224160774</t>
  </si>
  <si>
    <t xml:space="preserve">43284Facebook»Audience &amp; Interest Targeting»1x1»TextLink»SOC»DT»DYN»AUT»W»NA»SS»NA»Free Account Refresh- Illustration ChC</t>
  </si>
  <si>
    <t xml:space="preserve">43287224160780</t>
  </si>
  <si>
    <t xml:space="preserve">43287Facebook»Audience &amp; Interest Targeting»1x1»TextLink»SOC»DT»DYN»AUT»W»NA»SS»NA»Free Account Refresh- 200 Credit ChD</t>
  </si>
  <si>
    <t xml:space="preserve">43287224160777</t>
  </si>
  <si>
    <t xml:space="preserve">43287Facebook»Audience &amp; Interest Targeting»1x1»TextLink»SOC»DT»DYN»AUT»W»NA»SS»NA»Free Account Refresh- Device ChB</t>
  </si>
  <si>
    <t xml:space="preserve">43287NA</t>
  </si>
  <si>
    <t xml:space="preserve">43287FACEBOOK»AZR-TRIAL-CANVAS-Prospecting»NA»PKG»ALL»CPL»AUD»D»All»SS»NA»FBCTCBasicMotion_AUS_10sec</t>
  </si>
  <si>
    <t xml:space="preserve">43287FACEBOOK»AZR-TRIAL-CANVAS-Prospecting»NA»PKG»ALL»CPL»AUD»D»All»SS»NA»FBCTCBenefit2inMotion_AUS_14sec</t>
  </si>
  <si>
    <t xml:space="preserve">43287FACEBOOK»AZR-TRIAL-CANVAS-Prospecting»NA»PKG»ALL»CPL»AUD»D»All»SS»NA»FBCTCBrandinMotion_AUS_12sec</t>
  </si>
  <si>
    <t xml:space="preserve">43287224160771</t>
  </si>
  <si>
    <t xml:space="preserve">43287Facebook»Audience &amp; Interest Targeting»1x1»TextLink»SOC»DT»DYN»AUT»W»NA»SS»NA»Free Account Refresh- Lifestyle ChA</t>
  </si>
  <si>
    <t xml:space="preserve">43285224160783</t>
  </si>
  <si>
    <t xml:space="preserve">43285FACEBOOK»TRIAL-AZR-Audience»1 x 1»NA»SOC»ALL»CPL»AUD»D»All»SS»NA»FreeAcctAppsFACEBOOK12monthsChE</t>
  </si>
  <si>
    <t xml:space="preserve">43289224160780</t>
  </si>
  <si>
    <t xml:space="preserve">43289Facebook»Audience &amp; Interest Targeting»1x1»TextLink»SOC»DT»DYN»AUT»W»NA»SS»NA»Free Account Refresh- 200 Credit ChD</t>
  </si>
  <si>
    <t xml:space="preserve">43289224160783</t>
  </si>
  <si>
    <t xml:space="preserve">43289FACEBOOK»TRIAL-AZR-Audience»1 x 1»NA»SOC»ALL»CPL»AUD»D»All»SS»NA»FreeAcctAppsFACEBOOK12monthsChE</t>
  </si>
  <si>
    <t xml:space="preserve">43289NA</t>
  </si>
  <si>
    <t xml:space="preserve">43289FACEBOOK»AZR-TRIAL-CANVAS-Prospecting»NA»PKG»ALL»CPL»AUD»D»All»SS»NA»FBCTCBenefit2inMotion_AUS_14sec</t>
  </si>
  <si>
    <t xml:space="preserve">43289FACEBOOK»AZR-TRIAL-CANVAS-Prospecting»NA»PKG»ALL»CPL»AUD»D»All»SS»NA»FBCTCBrandinMotion_AUS_12sec</t>
  </si>
  <si>
    <t xml:space="preserve">43289FACEBOOK»AZR-TRIAL-CANVAS-Prospecting»NA»PKG»ALL»CPL»AUD»D»All»SS»NA»FBCTCBasicMotion_AUS_10sec</t>
  </si>
  <si>
    <t xml:space="preserve">43289224160771</t>
  </si>
  <si>
    <t xml:space="preserve">43289Facebook»Audience &amp; Interest Targeting»1x1»TextLink»SOC»DT»DYN»AUT»W»NA»SS»NA»Free Account Refresh- Lifestyle ChA</t>
  </si>
  <si>
    <t xml:space="preserve">43289224160777</t>
  </si>
  <si>
    <t xml:space="preserve">43289Facebook»Audience &amp; Interest Targeting»1x1»TextLink»SOC»DT»DYN»AUT»W»NA»SS»NA»Free Account Refresh- Device ChB</t>
  </si>
  <si>
    <t xml:space="preserve">43289224160774</t>
  </si>
  <si>
    <t xml:space="preserve">43289Facebook»Audience &amp; Interest Targeting»1x1»TextLink»SOC»DT»DYN»AUT»W»NA»SS»NA»Free Account Refresh- Illustration ChC</t>
  </si>
  <si>
    <t xml:space="preserve">43290NA</t>
  </si>
  <si>
    <t xml:space="preserve">43290FACEBOOK»AZR-TRIAL-CANVAS-Prospecting»NA»PKG»ALL»CPL»AUD»D»All»SS»NA»FBCTCBenefit2inMotion_AUS_14sec</t>
  </si>
  <si>
    <t xml:space="preserve">43290FACEBOOK»AZR-TRIAL-CANVAS-Prospecting»NA»PKG»ALL»CPL»AUD»D»All»SS»NA»FBCTCBrandinMotion_AUS_12sec</t>
  </si>
  <si>
    <t xml:space="preserve">43290FACEBOOK»AZR-TRIAL-CANVAS-Prospecting»NA»PKG»ALL»CPL»AUD»D»All»SS»NA»FBCTCBasicMotion_AUS_10sec</t>
  </si>
  <si>
    <t xml:space="preserve">43290224160783</t>
  </si>
  <si>
    <t xml:space="preserve">43290FACEBOOK»TRIAL-AZR-Audience»1 x 1»NA»SOC»ALL»CPL»AUD»D»All»SS»NA»FreeAcctAppsFACEBOOK12monthsChE</t>
  </si>
  <si>
    <t xml:space="preserve">43290224160774</t>
  </si>
  <si>
    <t xml:space="preserve">43290Facebook»Audience &amp; Interest Targeting»1x1»TextLink»SOC»DT»DYN»AUT»W»NA»SS»NA»Free Account Refresh- Illustration ChC</t>
  </si>
  <si>
    <t xml:space="preserve">43290224160780</t>
  </si>
  <si>
    <t xml:space="preserve">43290Facebook»Audience &amp; Interest Targeting»1x1»TextLink»SOC»DT»DYN»AUT»W»NA»SS»NA»Free Account Refresh- 200 Credit ChD</t>
  </si>
  <si>
    <t xml:space="preserve">43290224160777</t>
  </si>
  <si>
    <t xml:space="preserve">43290Facebook»Audience &amp; Interest Targeting»1x1»TextLink»SOC»DT»DYN»AUT»W»NA»SS»NA»Free Account Refresh- Device ChB</t>
  </si>
  <si>
    <t xml:space="preserve">43290224160771</t>
  </si>
  <si>
    <t xml:space="preserve">43290Facebook»Audience &amp; Interest Targeting»1x1»TextLink»SOC»DT»DYN»AUT»W»NA»SS»NA»Free Account Refresh- Lifestyle ChA</t>
  </si>
  <si>
    <t xml:space="preserve">43291224160783</t>
  </si>
  <si>
    <t xml:space="preserve">43291FACEBOOK»TRIAL-AZR-Audience»1 x 1»NA»SOC»ALL»CPL»AUD»D»All»SS»NA»FreeAcctAppsFACEBOOK12monthsChE</t>
  </si>
  <si>
    <t xml:space="preserve">43291NA</t>
  </si>
  <si>
    <t xml:space="preserve">43291FACEBOOK»AZR-TRIAL-CANVAS-Prospecting»NA»PKG»ALL»CPL»AUD»D»All»SS»NA»FBCTCBrandinMotion_AUS_12sec</t>
  </si>
  <si>
    <t xml:space="preserve">43291FACEBOOK»AZR-TRIAL-CANVAS-Prospecting»NA»PKG»ALL»CPL»AUD»D»All»SS»NA»FBCTCBasicMotion_AUS_10sec</t>
  </si>
  <si>
    <t xml:space="preserve">43291FACEBOOK»AZR-TRIAL-CANVAS-Prospecting»NA»PKG»ALL»CPL»AUD»D»All»SS»NA»FBCTCBenefit2inMotion_AUS_14sec</t>
  </si>
  <si>
    <t xml:space="preserve">43291224160780</t>
  </si>
  <si>
    <t xml:space="preserve">43291Facebook»Audience &amp; Interest Targeting»1x1»TextLink»SOC»DT»DYN»AUT»W»NA»SS»NA»Free Account Refresh- 200 Credit ChD</t>
  </si>
  <si>
    <t xml:space="preserve">43291224160777</t>
  </si>
  <si>
    <t xml:space="preserve">43291Facebook»Audience &amp; Interest Targeting»1x1»TextLink»SOC»DT»DYN»AUT»W»NA»SS»NA»Free Account Refresh- Device ChB</t>
  </si>
  <si>
    <t xml:space="preserve">43291224160774</t>
  </si>
  <si>
    <t xml:space="preserve">43291Facebook»Audience &amp; Interest Targeting»1x1»TextLink»SOC»DT»DYN»AUT»W»NA»SS»NA»Free Account Refresh- Illustration ChC</t>
  </si>
  <si>
    <t xml:space="preserve">43291224160771</t>
  </si>
  <si>
    <t xml:space="preserve">43291Facebook»Audience &amp; Interest Targeting»1x1»TextLink»SOC»DT»DYN»AUT»W»NA»SS»NA»Free Account Refresh- Lifestyle ChA</t>
  </si>
  <si>
    <t xml:space="preserve">43292224160783</t>
  </si>
  <si>
    <t xml:space="preserve">43292FACEBOOK»TRIAL-AZR-Audience»1 x 1»NA»SOC»ALL»CPL»AUD»D»All»SS»NA»FreeAcctAppsFACEBOOK12monthsChE</t>
  </si>
  <si>
    <t xml:space="preserve">43292NA</t>
  </si>
  <si>
    <t xml:space="preserve">43292FACEBOOK»AZR-TRIAL-CANVAS-Prospecting»NA»PKG»ALL»CPL»AUD»D»All»SS»NA»FBCTCBrandinMotion_AUS_12sec</t>
  </si>
  <si>
    <t xml:space="preserve">43292FACEBOOK»AZR-TRIAL-CANVAS-Prospecting»NA»PKG»ALL»CPL»AUD»D»All»SS»NA»FBCTCBasicMotion_AUS_10sec</t>
  </si>
  <si>
    <t xml:space="preserve">43292FACEBOOK»AZR-TRIAL-CANVAS-Prospecting»NA»PKG»ALL»CPL»AUD»D»All»SS»NA»FBCTCBenefit2inMotion_AUS_14sec</t>
  </si>
  <si>
    <t xml:space="preserve">43292224160771</t>
  </si>
  <si>
    <t xml:space="preserve">43292Facebook»Audience &amp; Interest Targeting»1x1»TextLink»SOC»DT»DYN»AUT»W»NA»SS»NA»Free Account Refresh- Lifestyle ChA</t>
  </si>
  <si>
    <t xml:space="preserve">43292224160774</t>
  </si>
  <si>
    <t xml:space="preserve">43292Facebook»Audience &amp; Interest Targeting»1x1»TextLink»SOC»DT»DYN»AUT»W»NA»SS»NA»Free Account Refresh- Illustration ChC</t>
  </si>
  <si>
    <t xml:space="preserve">43292224160780</t>
  </si>
  <si>
    <t xml:space="preserve">43292Facebook»Audience &amp; Interest Targeting»1x1»TextLink»SOC»DT»DYN»AUT»W»NA»SS»NA»Free Account Refresh- 200 Credit ChD</t>
  </si>
  <si>
    <t xml:space="preserve">43292224160777</t>
  </si>
  <si>
    <t xml:space="preserve">43292Facebook»Audience &amp; Interest Targeting»1x1»TextLink»SOC»DT»DYN»AUT»W»NA»SS»NA»Free Account Refresh- Device ChB</t>
  </si>
  <si>
    <t xml:space="preserve">43293NA</t>
  </si>
  <si>
    <t xml:space="preserve">43293FACEBOOK»AZR-TRIAL-CANVAS-Prospecting»NA»PKG»ALL»CPL»AUD»D»All»SS»NA»FBCTCBrandinMotion_AUS_12sec</t>
  </si>
  <si>
    <t xml:space="preserve">43293FACEBOOK»AZR-TRIAL-CANVAS-Prospecting»NA»PKG»ALL»CPL»AUD»D»All»SS»NA»FBCTCBasicMotion_AUS_10sec</t>
  </si>
  <si>
    <t xml:space="preserve">43293FACEBOOK»AZR-TRIAL-CANVAS-Prospecting»NA»PKG»ALL»CPL»AUD»D»All»SS»NA»FBCTCBenefit2inMotion_AUS_14sec</t>
  </si>
  <si>
    <t xml:space="preserve">43293224160777</t>
  </si>
  <si>
    <t xml:space="preserve">43293Facebook»Audience &amp; Interest Targeting»1x1»TextLink»SOC»DT»DYN»AUT»W»NA»SS»NA»Free Account Refresh- Device ChB</t>
  </si>
  <si>
    <t xml:space="preserve">43293224160783</t>
  </si>
  <si>
    <t xml:space="preserve">43293FACEBOOK»TRIAL-AZR-Audience»1 x 1»NA»SOC»ALL»CPL»AUD»D»All»SS»NA»FreeAcctAppsFACEBOOK12monthsChE</t>
  </si>
  <si>
    <t xml:space="preserve">43293224160774</t>
  </si>
  <si>
    <t xml:space="preserve">43293Facebook»Audience &amp; Interest Targeting»1x1»TextLink»SOC»DT»DYN»AUT»W»NA»SS»NA»Free Account Refresh- Illustration ChC</t>
  </si>
  <si>
    <t xml:space="preserve">43293224160771</t>
  </si>
  <si>
    <t xml:space="preserve">43293Facebook»Audience &amp; Interest Targeting»1x1»TextLink»SOC»DT»DYN»AUT»W»NA»SS»NA»Free Account Refresh- Lifestyle ChA</t>
  </si>
  <si>
    <t xml:space="preserve">43293224160780</t>
  </si>
  <si>
    <t xml:space="preserve">43293Facebook»Audience &amp; Interest Targeting»1x1»TextLink»SOC»DT»DYN»AUT»W»NA»SS»NA»Free Account Refresh- 200 Credit ChD</t>
  </si>
  <si>
    <t xml:space="preserve">43294224160774</t>
  </si>
  <si>
    <t xml:space="preserve">43294Facebook»Audience &amp; Interest Targeting»1x1»TextLink»SOC»DT»DYN»AUT»W»NA»SS»NA»Free Account Refresh- Illustration ChC</t>
  </si>
  <si>
    <t xml:space="preserve">43294224160777</t>
  </si>
  <si>
    <t xml:space="preserve">43294Facebook»Audience &amp; Interest Targeting»1x1»TextLink»SOC»DT»DYN»AUT»W»NA»SS»NA»Free Account Refresh- Device ChB</t>
  </si>
  <si>
    <t xml:space="preserve">43294224160771</t>
  </si>
  <si>
    <t xml:space="preserve">43294Facebook»Audience &amp; Interest Targeting»1x1»TextLink»SOC»DT»DYN»AUT»W»NA»SS»NA»Free Account Refresh- Lifestyle ChA</t>
  </si>
  <si>
    <t xml:space="preserve">43294224160780</t>
  </si>
  <si>
    <t xml:space="preserve">43294Facebook»Audience &amp; Interest Targeting»1x1»TextLink»SOC»DT»DYN»AUT»W»NA»SS»NA»Free Account Refresh- 200 Credit ChD</t>
  </si>
  <si>
    <t xml:space="preserve">43294NA</t>
  </si>
  <si>
    <t xml:space="preserve">43294FACEBOOK»AZR-TRIAL-CANVAS-Prospecting»NA»PKG»ALL»CPL»AUD»D»All»SS»NA»FBCTCBasicMotion_AUS_10sec</t>
  </si>
  <si>
    <t xml:space="preserve">43294FACEBOOK»AZR-TRIAL-CANVAS-Prospecting»NA»PKG»ALL»CPL»AUD»D»All»SS»NA»FBCTCBenefit2inMotion_AUS_14sec</t>
  </si>
  <si>
    <t xml:space="preserve">43294FACEBOOK»AZR-TRIAL-CANVAS-Prospecting»NA»PKG»ALL»CPL»AUD»D»All»SS»NA»FBCTCBrandinMotion_AUS_12sec</t>
  </si>
  <si>
    <t xml:space="preserve">43294224160783</t>
  </si>
  <si>
    <t xml:space="preserve">43294FACEBOOK»TRIAL-AZR-Audience»1 x 1»NA»SOC»ALL»CPL»AUD»D»All»SS»NA»FreeAcctAppsFACEBOOK12monthsChE</t>
  </si>
  <si>
    <t xml:space="preserve">43295224160783</t>
  </si>
  <si>
    <t xml:space="preserve">43295FACEBOOK»TRIAL-AZR-Audience»1 x 1»NA»SOC»ALL»CPL»AUD»D»All»SS»NA»FreeAcctAppsFACEBOOK12monthsChE</t>
  </si>
  <si>
    <t xml:space="preserve">43295224160774</t>
  </si>
  <si>
    <t xml:space="preserve">43295Facebook»Audience &amp; Interest Targeting»1x1»TextLink»SOC»DT»DYN»AUT»W»NA»SS»NA»Free Account Refresh- Illustration ChC</t>
  </si>
  <si>
    <t xml:space="preserve">43295NA</t>
  </si>
  <si>
    <t xml:space="preserve">43295FACEBOOK»AZR-TRIAL-CANVAS-Prospecting»NA»PKG»ALL»CPL»AUD»D»All»SS»NA»FBCTCBenefit2inMotion_AUS_14sec</t>
  </si>
  <si>
    <t xml:space="preserve">43295FACEBOOK»AZR-TRIAL-CANVAS-Prospecting»NA»PKG»ALL»CPL»AUD»D»All»SS»NA»FBCTCBrandinMotion_AUS_12sec</t>
  </si>
  <si>
    <t xml:space="preserve">43295FACEBOOK»AZR-TRIAL-CANVAS-Prospecting»NA»PKG»ALL»CPL»AUD»D»All»SS»NA»FBCTCBasicMotion_AUS_10sec</t>
  </si>
  <si>
    <t xml:space="preserve">43295224160780</t>
  </si>
  <si>
    <t xml:space="preserve">43295Facebook»Audience &amp; Interest Targeting»1x1»TextLink»SOC»DT»DYN»AUT»W»NA»SS»NA»Free Account Refresh- 200 Credit ChD</t>
  </si>
  <si>
    <t xml:space="preserve">43295224160777</t>
  </si>
  <si>
    <t xml:space="preserve">43295Facebook»Audience &amp; Interest Targeting»1x1»TextLink»SOC»DT»DYN»AUT»W»NA»SS»NA»Free Account Refresh- Device ChB</t>
  </si>
  <si>
    <t xml:space="preserve">43295224160771</t>
  </si>
  <si>
    <t xml:space="preserve">43295Facebook»Audience &amp; Interest Targeting»1x1»TextLink»SOC»DT»DYN»AUT»W»NA»SS»NA»Free Account Refresh- Lifestyle ChA</t>
  </si>
  <si>
    <t xml:space="preserve">43296224160783</t>
  </si>
  <si>
    <t xml:space="preserve">43296FACEBOOK»TRIAL-AZR-Audience»1 x 1»NA»SOC»ALL»CPL»AUD»D»All»SS»NA»FreeAcctAppsFACEBOOK12monthsChE</t>
  </si>
  <si>
    <t xml:space="preserve">43296224160774</t>
  </si>
  <si>
    <t xml:space="preserve">43296Facebook»Audience &amp; Interest Targeting»1x1»TextLink»SOC»DT»DYN»AUT»W»NA»SS»NA»Free Account Refresh- Illustration ChC</t>
  </si>
  <si>
    <t xml:space="preserve">43296NA</t>
  </si>
  <si>
    <t xml:space="preserve">43296FACEBOOK»AZR-TRIAL-CANVAS-Prospecting»NA»PKG»ALL»CPL»AUD»D»All»SS»NA»FBCTCBasicMotion_AUS_10sec</t>
  </si>
  <si>
    <t xml:space="preserve">43296FACEBOOK»AZR-TRIAL-CANVAS-Prospecting»NA»PKG»ALL»CPL»AUD»D»All»SS»NA»FBCTCBenefit2inMotion_AUS_14sec</t>
  </si>
  <si>
    <t xml:space="preserve">43296FACEBOOK»AZR-TRIAL-CANVAS-Prospecting»NA»PKG»ALL»CPL»AUD»D»All»SS»NA»FBCTCBrandinMotion_AUS_12sec</t>
  </si>
  <si>
    <t xml:space="preserve">43296224160777</t>
  </si>
  <si>
    <t xml:space="preserve">43296Facebook»Audience &amp; Interest Targeting»1x1»TextLink»SOC»DT»DYN»AUT»W»NA»SS»NA»Free Account Refresh- Device ChB</t>
  </si>
  <si>
    <t xml:space="preserve">43296224160771</t>
  </si>
  <si>
    <t xml:space="preserve">43296Facebook»Audience &amp; Interest Targeting»1x1»TextLink»SOC»DT»DYN»AUT»W»NA»SS»NA»Free Account Refresh- Lifestyle ChA</t>
  </si>
  <si>
    <t xml:space="preserve">43296224160780</t>
  </si>
  <si>
    <t xml:space="preserve">43296Facebook»Audience &amp; Interest Targeting»1x1»TextLink»SOC»DT»DYN»AUT»W»NA»SS»NA»Free Account Refresh- 200 Credit ChD</t>
  </si>
  <si>
    <t xml:space="preserve">43297224160783</t>
  </si>
  <si>
    <t xml:space="preserve">43297FACEBOOK»TRIAL-AZR-Audience»1 x 1»NA»SOC»ALL»CPL»AUD»D»All»SS»NA»FreeAcctAppsFACEBOOK12monthsChE</t>
  </si>
  <si>
    <t xml:space="preserve">43297NA</t>
  </si>
  <si>
    <t xml:space="preserve">43297FACEBOOK»AZR-TRIAL-CANVAS-Prospecting»NA»PKG»ALL»CPL»AUD»D»All»SS»NA»FBCTCBrandinMotion_AUS_12sec</t>
  </si>
  <si>
    <t xml:space="preserve">43297FACEBOOK»AZR-TRIAL-CANVAS-Prospecting»NA»PKG»ALL»CPL»AUD»D»All»SS»NA»FBCTCBasicMotion_AUS_10sec</t>
  </si>
  <si>
    <t xml:space="preserve">43297FACEBOOK»AZR-TRIAL-CANVAS-Prospecting»NA»PKG»ALL»CPL»AUD»D»All»SS»NA»FBCTCBenefit2inMotion_AUS_14sec</t>
  </si>
  <si>
    <t xml:space="preserve">43297224160771</t>
  </si>
  <si>
    <t xml:space="preserve">43297Facebook»Audience &amp; Interest Targeting»1x1»TextLink»SOC»DT»DYN»AUT»W»NA»SS»NA»Free Account Refresh- Lifestyle ChA</t>
  </si>
  <si>
    <t xml:space="preserve">43297224160774</t>
  </si>
  <si>
    <t xml:space="preserve">43297Facebook»Audience &amp; Interest Targeting»1x1»TextLink»SOC»DT»DYN»AUT»W»NA»SS»NA»Free Account Refresh- Illustration ChC</t>
  </si>
  <si>
    <t xml:space="preserve">43297224160780</t>
  </si>
  <si>
    <t xml:space="preserve">43297Facebook»Audience &amp; Interest Targeting»1x1»TextLink»SOC»DT»DYN»AUT»W»NA»SS»NA»Free Account Refresh- 200 Credit ChD</t>
  </si>
  <si>
    <t xml:space="preserve">43297224160777</t>
  </si>
  <si>
    <t xml:space="preserve">43297Facebook»Audience &amp; Interest Targeting»1x1»TextLink»SOC»DT»DYN»AUT»W»NA»SS»NA»Free Account Refresh- Device ChB</t>
  </si>
  <si>
    <t xml:space="preserve">43298224160783</t>
  </si>
  <si>
    <t xml:space="preserve">43298FACEBOOK»TRIAL-AZR-Audience»1 x 1»NA»SOC»ALL»CPL»AUD»D»All»SS»NA»FreeAcctAppsFACEBOOK12monthsChE</t>
  </si>
  <si>
    <t xml:space="preserve">43298224160774</t>
  </si>
  <si>
    <t xml:space="preserve">43298Facebook»Audience &amp; Interest Targeting»1x1»TextLink»SOC»DT»DYN»AUT»W»NA»SS»NA»Free Account Refresh- Illustration ChC</t>
  </si>
  <si>
    <t xml:space="preserve">43298224160777</t>
  </si>
  <si>
    <t xml:space="preserve">43298Facebook»Audience &amp; Interest Targeting»1x1»TextLink»SOC»DT»DYN»AUT»W»NA»SS»NA»Free Account Refresh- Device ChB</t>
  </si>
  <si>
    <t xml:space="preserve">43298NA</t>
  </si>
  <si>
    <t xml:space="preserve">43298FACEBOOK»AZR-TRIAL-CANVAS-Prospecting»NA»PKG»ALL»CPL»AUD»D»All»SS»NA»FBCTCBrandinMotion_AUS_12sec</t>
  </si>
  <si>
    <t xml:space="preserve">43298FACEBOOK»AZR-TRIAL-CANVAS-Prospecting»NA»PKG»ALL»CPL»AUD»D»All»SS»NA»FBCTCBenefit2inMotion_AUS_14sec</t>
  </si>
  <si>
    <t xml:space="preserve">43298FACEBOOK»AZR-TRIAL-CANVAS-Prospecting»NA»PKG»ALL»CPL»AUD»D»All»SS»NA»FBCTCBasicMotion_AUS_10sec</t>
  </si>
  <si>
    <t xml:space="preserve">43298224160771</t>
  </si>
  <si>
    <t xml:space="preserve">43298Facebook»Audience &amp; Interest Targeting»1x1»TextLink»SOC»DT»DYN»AUT»W»NA»SS»NA»Free Account Refresh- Lifestyle ChA</t>
  </si>
  <si>
    <t xml:space="preserve">43298224160780</t>
  </si>
  <si>
    <t xml:space="preserve">43298Facebook»Audience &amp; Interest Targeting»1x1»TextLink»SOC»DT»DYN»AUT»W»NA»SS»NA»Free Account Refresh- 200 Credit ChD</t>
  </si>
  <si>
    <t xml:space="preserve">43299224160771</t>
  </si>
  <si>
    <t xml:space="preserve">43299Facebook»Audience &amp; Interest Targeting»1x1»TextLink»SOC»DT»DYN»AUT»W»NA»SS»NA»Free Account Refresh- Lifestyle ChA</t>
  </si>
  <si>
    <t xml:space="preserve">43299NA</t>
  </si>
  <si>
    <t xml:space="preserve">43299FACEBOOK»AZR-TRIAL-CANVAS-Prospecting»NA»PKG»ALL»CPL»AUD»D»All»SS»NA»FBCTCBrandinMotion_AUS_12sec</t>
  </si>
  <si>
    <t xml:space="preserve">43299FACEBOOK»AZR-TRIAL-CANVAS-Prospecting»NA»PKG»ALL»CPL»AUD»D»All»SS»NA»FBCTCBasicMotion_AUS_10sec</t>
  </si>
  <si>
    <t xml:space="preserve">43299FACEBOOK»AZR-TRIAL-CANVAS-Prospecting»NA»PKG»ALL»CPL»AUD»D»All»SS»NA»FBCTCBenefit2inMotion_AUS_14sec</t>
  </si>
  <si>
    <t xml:space="preserve">43299224160774</t>
  </si>
  <si>
    <t xml:space="preserve">43299Facebook»Audience &amp; Interest Targeting»1x1»TextLink»SOC»DT»DYN»AUT»W»NA»SS»NA»Free Account Refresh- Illustration ChC</t>
  </si>
  <si>
    <t xml:space="preserve">43299224160780</t>
  </si>
  <si>
    <t xml:space="preserve">43299Facebook»Audience &amp; Interest Targeting»1x1»TextLink»SOC»DT»DYN»AUT»W»NA»SS»NA»Free Account Refresh- 200 Credit ChD</t>
  </si>
  <si>
    <t xml:space="preserve">43299224160777</t>
  </si>
  <si>
    <t xml:space="preserve">43299Facebook»Audience &amp; Interest Targeting»1x1»TextLink»SOC»DT»DYN»AUT»W»NA»SS»NA»Free Account Refresh- Device ChB</t>
  </si>
  <si>
    <t xml:space="preserve">43299224160783</t>
  </si>
  <si>
    <t xml:space="preserve">43299FACEBOOK»TRIAL-AZR-Audience»1 x 1»NA»SOC»ALL»CPL»AUD»D»All»SS»NA»FreeAcctAppsFACEBOOK12monthsChE</t>
  </si>
  <si>
    <t xml:space="preserve">43300224160777</t>
  </si>
  <si>
    <t xml:space="preserve">43300Facebook»Audience &amp; Interest Targeting»1x1»TextLink»SOC»DT»DYN»AUT»W»NA»SS»NA»Free Account Refresh- Device ChB</t>
  </si>
  <si>
    <t xml:space="preserve">43300NA</t>
  </si>
  <si>
    <t xml:space="preserve">43300FACEBOOK»AZR-TRIAL-CANVAS-Prospecting»NA»PKG»ALL»CPL»AUD»D»All»SS»NA»FBCTCBasicMotion_AUS_10sec</t>
  </si>
  <si>
    <t xml:space="preserve">43300FACEBOOK»AZR-TRIAL-CANVAS-Prospecting»NA»PKG»ALL»CPL»AUD»D»All»SS»NA»FBCTCBenefit2inMotion_AUS_14sec</t>
  </si>
  <si>
    <t xml:space="preserve">43300FACEBOOK»AZR-TRIAL-CANVAS-Prospecting»NA»PKG»ALL»CPL»AUD»D»All»SS»NA»FBCTCBrandinMotion_AUS_12sec</t>
  </si>
  <si>
    <t xml:space="preserve">43300224160783</t>
  </si>
  <si>
    <t xml:space="preserve">43300FACEBOOK»TRIAL-AZR-Audience»1 x 1»NA»SOC»ALL»CPL»AUD»D»All»SS»NA»FreeAcctAppsFACEBOOK12monthsChE</t>
  </si>
  <si>
    <t xml:space="preserve">43300224160771</t>
  </si>
  <si>
    <t xml:space="preserve">43300Facebook»Audience &amp; Interest Targeting»1x1»TextLink»SOC»DT»DYN»AUT»W»NA»SS»NA»Free Account Refresh- Lifestyle ChA</t>
  </si>
  <si>
    <t xml:space="preserve">43300224160780</t>
  </si>
  <si>
    <t xml:space="preserve">43300Facebook»Audience &amp; Interest Targeting»1x1»TextLink»SOC»DT»DYN»AUT»W»NA»SS»NA»Free Account Refresh- 200 Credit ChD</t>
  </si>
  <si>
    <t xml:space="preserve">43300224160774</t>
  </si>
  <si>
    <t xml:space="preserve">43300Facebook»Audience &amp; Interest Targeting»1x1»TextLink»SOC»DT»DYN»AUT»W»NA»SS»NA»Free Account Refresh- Illustration ChC</t>
  </si>
  <si>
    <t xml:space="preserve">43301NA</t>
  </si>
  <si>
    <t xml:space="preserve">43301FACEBOOK»AZR-TRIAL-CANVAS-Prospecting»NA»PKG»ALL»CPL»AUD»D»All»SS»NA»FBCTCBasicMotion_AUS_10sec</t>
  </si>
  <si>
    <t xml:space="preserve">43301FACEBOOK»AZR-TRIAL-CANVAS-Prospecting»NA»PKG»ALL»CPL»AUD»D»All»SS»NA»FBCTCBenefit2inMotion_AUS_14sec</t>
  </si>
  <si>
    <t xml:space="preserve">43301FACEBOOK»AZR-TRIAL-CANVAS-Prospecting»NA»PKG»ALL»CPL»AUD»D»All»SS»NA»FBCTCBrandinMotion_AUS_12sec</t>
  </si>
  <si>
    <t xml:space="preserve">43301224160774</t>
  </si>
  <si>
    <t xml:space="preserve">43301Facebook»Audience &amp; Interest Targeting»1x1»TextLink»SOC»DT»DYN»AUT»W»NA»SS»NA»Free Account Refresh- Illustration ChC</t>
  </si>
  <si>
    <t xml:space="preserve">43301224160777</t>
  </si>
  <si>
    <t xml:space="preserve">43301Facebook»Audience &amp; Interest Targeting»1x1»TextLink»SOC»DT»DYN»AUT»W»NA»SS»NA»Free Account Refresh- Device ChB</t>
  </si>
  <si>
    <t xml:space="preserve">43301224160780</t>
  </si>
  <si>
    <t xml:space="preserve">43301Facebook»Audience &amp; Interest Targeting»1x1»TextLink»SOC»DT»DYN»AUT»W»NA»SS»NA»Free Account Refresh- 200 Credit ChD</t>
  </si>
  <si>
    <t xml:space="preserve">43301224160771</t>
  </si>
  <si>
    <t xml:space="preserve">43301Facebook»Audience &amp; Interest Targeting»1x1»TextLink»SOC»DT»DYN»AUT»W»NA»SS»NA»Free Account Refresh- Lifestyle ChA</t>
  </si>
  <si>
    <t xml:space="preserve">43301224160783</t>
  </si>
  <si>
    <t xml:space="preserve">43301FACEBOOK»TRIAL-AZR-Audience»1 x 1»NA»SOC»ALL»CPL»AUD»D»All»SS»NA»FreeAcctAppsFACEBOOK12monthsChE</t>
  </si>
  <si>
    <t xml:space="preserve">43302224160783</t>
  </si>
  <si>
    <t xml:space="preserve">43302FACEBOOK»TRIAL-AZR-Audience»1 x 1»NA»SOC»ALL»CPL»AUD»D»All»SS»NA»FreeAcctAppsFACEBOOK12monthsChE</t>
  </si>
  <si>
    <t xml:space="preserve">43302224160774</t>
  </si>
  <si>
    <t xml:space="preserve">43302Facebook»Audience &amp; Interest Targeting»1x1»TextLink»SOC»DT»DYN»AUT»W»NA»SS»NA»Free Account Refresh- Illustration ChC</t>
  </si>
  <si>
    <t xml:space="preserve">43302224160777</t>
  </si>
  <si>
    <t xml:space="preserve">43302Facebook»Audience &amp; Interest Targeting»1x1»TextLink»SOC»DT»DYN»AUT»W»NA»SS»NA»Free Account Refresh- Device ChB</t>
  </si>
  <si>
    <t xml:space="preserve">43302NA</t>
  </si>
  <si>
    <t xml:space="preserve">43302FACEBOOK»AZR-TRIAL-CANVAS-Prospecting»NA»PKG»ALL»CPL»AUD»D»All»SS»NA»FBCTCBrandinMotion_AUS_12sec</t>
  </si>
  <si>
    <t xml:space="preserve">43302FACEBOOK»AZR-TRIAL-CANVAS-Prospecting»NA»PKG»ALL»CPL»AUD»D»All»SS»NA»FBCTCBasicMotion_AUS_10sec</t>
  </si>
  <si>
    <t xml:space="preserve">43302FACEBOOK»AZR-TRIAL-CANVAS-Prospecting»NA»PKG»ALL»CPL»AUD»D»All»SS»NA»FBCTCBenefit2inMotion_AUS_14sec</t>
  </si>
  <si>
    <t xml:space="preserve">43302224160780</t>
  </si>
  <si>
    <t xml:space="preserve">43302Facebook»Audience &amp; Interest Targeting»1x1»TextLink»SOC»DT»DYN»AUT»W»NA»SS»NA»Free Account Refresh- 200 Credit ChD</t>
  </si>
  <si>
    <t xml:space="preserve">43302224160771</t>
  </si>
  <si>
    <t xml:space="preserve">43302Facebook»Audience &amp; Interest Targeting»1x1»TextLink»SOC»DT»DYN»AUT»W»NA»SS»NA»Free Account Refresh- Lifestyle ChA</t>
  </si>
  <si>
    <t xml:space="preserve">43303NA</t>
  </si>
  <si>
    <t xml:space="preserve">43303FACEBOOK»AZR-TRIAL-CANVAS-Prospecting»NA»PKG»ALL»CPL»AUD»D»All»SS»NA»FBCTCBrandinMotion_AUS_12sec</t>
  </si>
  <si>
    <t xml:space="preserve">43303FACEBOOK»AZR-TRIAL-CANVAS-Prospecting»NA»PKG»ALL»CPL»AUD»D»All»SS»NA»FBCTCBasicMotion_AUS_10sec</t>
  </si>
  <si>
    <t xml:space="preserve">43303FACEBOOK»AZR-TRIAL-CANVAS-Prospecting»NA»PKG»ALL»CPL»AUD»D»All»SS»NA»FBCTCBenefit2inMotion_AUS_14sec</t>
  </si>
  <si>
    <t xml:space="preserve">43303224160783</t>
  </si>
  <si>
    <t xml:space="preserve">43303FACEBOOK»TRIAL-AZR-Audience»1 x 1»NA»SOC»ALL»CPL»AUD»D»All»SS»NA»FreeAcctAppsFACEBOOK12monthsChE</t>
  </si>
  <si>
    <t xml:space="preserve">43303224160771</t>
  </si>
  <si>
    <t xml:space="preserve">43303Facebook»Audience &amp; Interest Targeting»1x1»TextLink»SOC»DT»DYN»AUT»W»NA»SS»NA»Free Account Refresh- Lifestyle ChA</t>
  </si>
  <si>
    <t xml:space="preserve">43303224160774</t>
  </si>
  <si>
    <t xml:space="preserve">43303Facebook»Audience &amp; Interest Targeting»1x1»TextLink»SOC»DT»DYN»AUT»W»NA»SS»NA»Free Account Refresh- Illustration ChC</t>
  </si>
  <si>
    <t xml:space="preserve">43303224160780</t>
  </si>
  <si>
    <t xml:space="preserve">43303Facebook»Audience &amp; Interest Targeting»1x1»TextLink»SOC»DT»DYN»AUT»W»NA»SS»NA»Free Account Refresh- 200 Credit ChD</t>
  </si>
  <si>
    <t xml:space="preserve">43303224160777</t>
  </si>
  <si>
    <t xml:space="preserve">43303Facebook»Audience &amp; Interest Targeting»1x1»TextLink»SOC»DT»DYN»AUT»W»NA»SS»NA»Free Account Refresh- Device ChB</t>
  </si>
  <si>
    <t xml:space="preserve">43304224160774</t>
  </si>
  <si>
    <t xml:space="preserve">43304Facebook»Audience &amp; Interest Targeting»1x1»TextLink»SOC»DT»DYN»AUT»W»NA»SS»NA»Free Account Refresh- Illustration ChC</t>
  </si>
  <si>
    <t xml:space="preserve">43304NA</t>
  </si>
  <si>
    <t xml:space="preserve">43304FACEBOOK»AZR-TRIAL-CANVAS-Prospecting»NA»PKG»ALL»CPL»AUD»D»All»SS»NA»FBCTCBrandinMotion_AUS_12sec</t>
  </si>
  <si>
    <t xml:space="preserve">43304FACEBOOK»AZR-TRIAL-CANVAS-Prospecting»NA»PKG»ALL»CPL»AUD»D»All»SS»NA»FBCTCBenefit2inMotion_AUS_14sec</t>
  </si>
  <si>
    <t xml:space="preserve">43304FACEBOOK»AZR-TRIAL-CANVAS-Prospecting»NA»PKG»ALL»CPL»AUD»D»All»SS»NA»FBCTCBasicMotion_AUS_10sec</t>
  </si>
  <si>
    <t xml:space="preserve">43304224160780</t>
  </si>
  <si>
    <t xml:space="preserve">43304Facebook»Audience &amp; Interest Targeting»1x1»TextLink»SOC»DT»DYN»AUT»W»NA»SS»NA»Free Account Refresh- 200 Credit ChD</t>
  </si>
  <si>
    <t xml:space="preserve">43304224160783</t>
  </si>
  <si>
    <t xml:space="preserve">43304FACEBOOK»TRIAL-AZR-Audience»1 x 1»NA»SOC»ALL»CPL»AUD»D»All»SS»NA»FreeAcctAppsFACEBOOK12monthsChE</t>
  </si>
  <si>
    <t xml:space="preserve">43304224160771</t>
  </si>
  <si>
    <t xml:space="preserve">43304Facebook»Audience &amp; Interest Targeting»1x1»TextLink»SOC»DT»DYN»AUT»W»NA»SS»NA»Free Account Refresh- Lifestyle ChA</t>
  </si>
  <si>
    <t xml:space="preserve">43304224160777</t>
  </si>
  <si>
    <t xml:space="preserve">43304Facebook»Audience &amp; Interest Targeting»1x1»TextLink»SOC»DT»DYN»AUT»W»NA»SS»NA»Free Account Refresh- Device ChB</t>
  </si>
  <si>
    <t xml:space="preserve">43305224160774</t>
  </si>
  <si>
    <t xml:space="preserve">43305Facebook»Audience &amp; Interest Targeting»1x1»TextLink»SOC»DT»DYN»AUT»W»NA»SS»NA»Free Account Refresh- Illustration ChC</t>
  </si>
  <si>
    <t xml:space="preserve">43305NA</t>
  </si>
  <si>
    <t xml:space="preserve">43305FACEBOOK»AZR-TRIAL-CANVAS-Prospecting»NA»PKG»ALL»CPL»AUD»D»All»SS»NA»FBCTCBasicMotion_AUS_10sec</t>
  </si>
  <si>
    <t xml:space="preserve">43305FACEBOOK»AZR-TRIAL-CANVAS-Prospecting»NA»PKG»ALL»CPL»AUD»D»All»SS»NA»FBCTCBrandinMotion_AUS_12sec</t>
  </si>
  <si>
    <t xml:space="preserve">43305FACEBOOK»AZR-TRIAL-CANVAS-Prospecting»NA»PKG»ALL»CPL»AUD»D»All»SS»NA»FBCTCBenefit2inMotion_AUS_14sec</t>
  </si>
  <si>
    <t xml:space="preserve">43305224160771</t>
  </si>
  <si>
    <t xml:space="preserve">43305Facebook»Audience &amp; Interest Targeting»1x1»TextLink»SOC»DT»DYN»AUT»W»NA»SS»NA»Free Account Refresh- Lifestyle ChA</t>
  </si>
  <si>
    <t xml:space="preserve">43305224160777</t>
  </si>
  <si>
    <t xml:space="preserve">43305Facebook»Audience &amp; Interest Targeting»1x1»TextLink»SOC»DT»DYN»AUT»W»NA»SS»NA»Free Account Refresh- Device ChB</t>
  </si>
  <si>
    <t xml:space="preserve">43305224160783</t>
  </si>
  <si>
    <t xml:space="preserve">43305FACEBOOK»TRIAL-AZR-Audience»1 x 1»NA»SOC»ALL»CPL»AUD»D»All»SS»NA»FreeAcctAppsFACEBOOK12monthsChE</t>
  </si>
  <si>
    <t xml:space="preserve">43305224160780</t>
  </si>
  <si>
    <t xml:space="preserve">43305Facebook»Audience &amp; Interest Targeting»1x1»TextLink»SOC»DT»DYN»AUT»W»NA»SS»NA»Free Account Refresh- 200 Credit ChD</t>
  </si>
  <si>
    <t xml:space="preserve">43306224160771</t>
  </si>
  <si>
    <t xml:space="preserve">43306Facebook»Audience &amp; Interest Targeting»1x1»TextLink»SOC»DT»DYN»AUT»W»NA»SS»NA»Free Account Refresh- Lifestyle ChA</t>
  </si>
  <si>
    <t xml:space="preserve">43306NA</t>
  </si>
  <si>
    <t xml:space="preserve">43306FACEBOOK»AZR-TRIAL-CANVAS-Prospecting»NA»PKG»ALL»CPL»AUD»D»All»SS»NA»FBCTCBrandinMotion_AUS_12sec</t>
  </si>
  <si>
    <t xml:space="preserve">43306FACEBOOK»AZR-TRIAL-CANVAS-Prospecting»NA»PKG»ALL»CPL»AUD»D»All»SS»NA»FBCTCBasicMotion_AUS_10sec</t>
  </si>
  <si>
    <t xml:space="preserve">43306FACEBOOK»AZR-TRIAL-CANVAS-Prospecting»NA»PKG»ALL»CPL»AUD»D»All»SS»NA»FBCTCBenefit2inMotion_AUS_14sec</t>
  </si>
  <si>
    <t xml:space="preserve">43306224160774</t>
  </si>
  <si>
    <t xml:space="preserve">43306Facebook»Audience &amp; Interest Targeting»1x1»TextLink»SOC»DT»DYN»AUT»W»NA»SS»NA»Free Account Refresh- Illustration ChC</t>
  </si>
  <si>
    <t xml:space="preserve">43306224160777</t>
  </si>
  <si>
    <t xml:space="preserve">43306Facebook»Audience &amp; Interest Targeting»1x1»TextLink»SOC»DT»DYN»AUT»W»NA»SS»NA»Free Account Refresh- Device ChB</t>
  </si>
  <si>
    <t xml:space="preserve">43306224160780</t>
  </si>
  <si>
    <t xml:space="preserve">43306Facebook»Audience &amp; Interest Targeting»1x1»TextLink»SOC»DT»DYN»AUT»W»NA»SS»NA»Free Account Refresh- 200 Credit ChD</t>
  </si>
  <si>
    <t xml:space="preserve">43306224160783</t>
  </si>
  <si>
    <t xml:space="preserve">43306FACEBOOK»TRIAL-AZR-Audience»1 x 1»NA»SOC»ALL»CPL»AUD»D»All»SS»NA»FreeAcctAppsFACEBOOK12monthsChE</t>
  </si>
  <si>
    <t xml:space="preserve">43307224160783</t>
  </si>
  <si>
    <t xml:space="preserve">43307FACEBOOK»TRIAL-AZR-Audience»1 x 1»NA»SOC»ALL»CPL»AUD»D»All»SS»NA»FreeAcctAppsFACEBOOK12monthsChE</t>
  </si>
  <si>
    <t xml:space="preserve">43307224160771</t>
  </si>
  <si>
    <t xml:space="preserve">43307Facebook»Audience &amp; Interest Targeting»1x1»TextLink»SOC»DT»DYN»AUT»W»NA»SS»NA»Free Account Refresh- Lifestyle ChA</t>
  </si>
  <si>
    <t xml:space="preserve">43307NA</t>
  </si>
  <si>
    <t xml:space="preserve">43307FACEBOOK»AZR-TRIAL-CANVAS-Prospecting»NA»PKG»ALL»CPL»AUD»D»All»SS»NA»FBCTCBasicMotion_AUS_10sec</t>
  </si>
  <si>
    <t xml:space="preserve">43307FACEBOOK»AZR-TRIAL-CANVAS-Prospecting»NA»PKG»ALL»CPL»AUD»D»All»SS»NA»FBCTCBenefit2inMotion_AUS_14sec</t>
  </si>
  <si>
    <t xml:space="preserve">43307FACEBOOK»AZR-TRIAL-CANVAS-Prospecting»NA»PKG»ALL»CPL»AUD»D»All»SS»NA»FBCTCBrandinMotion_AUS_12sec</t>
  </si>
  <si>
    <t xml:space="preserve">43307224160774</t>
  </si>
  <si>
    <t xml:space="preserve">43307Facebook»Audience &amp; Interest Targeting»1x1»TextLink»SOC»DT»DYN»AUT»W»NA»SS»NA»Free Account Refresh- Illustration ChC</t>
  </si>
  <si>
    <t xml:space="preserve">43307224160777</t>
  </si>
  <si>
    <t xml:space="preserve">43307Facebook»Audience &amp; Interest Targeting»1x1»TextLink»SOC»DT»DYN»AUT»W»NA»SS»NA»Free Account Refresh- Device ChB</t>
  </si>
  <si>
    <t xml:space="preserve">43307224160780</t>
  </si>
  <si>
    <t xml:space="preserve">43307Facebook»Audience &amp; Interest Targeting»1x1»TextLink»SOC»DT»DYN»AUT»W»NA»SS»NA»Free Account Refresh- 200 Credit ChD</t>
  </si>
  <si>
    <t xml:space="preserve">43308224160774</t>
  </si>
  <si>
    <t xml:space="preserve">43308Facebook»Audience &amp; Interest Targeting»1x1»TextLink»SOC»DT»DYN»AUT»W»NA»SS»NA»Free Account Refresh- Illustration ChC</t>
  </si>
  <si>
    <t xml:space="preserve">43308224160777</t>
  </si>
  <si>
    <t xml:space="preserve">43308Facebook»Audience &amp; Interest Targeting»1x1»TextLink»SOC»DT»DYN»AUT»W»NA»SS»NA»Free Account Refresh- Device ChB</t>
  </si>
  <si>
    <t xml:space="preserve">43308224160780</t>
  </si>
  <si>
    <t xml:space="preserve">43308Facebook»Audience &amp; Interest Targeting»1x1»TextLink»SOC»DT»DYN»AUT»W»NA»SS»NA»Free Account Refresh- 200 Credit ChD</t>
  </si>
  <si>
    <t xml:space="preserve">43308NA</t>
  </si>
  <si>
    <t xml:space="preserve">43308FACEBOOK»AZR-TRIAL-CANVAS-Prospecting»NA»PKG»ALL»CPL»AUD»D»All»SS»NA»FBCTCBasicMotion_AUS_10sec</t>
  </si>
  <si>
    <t xml:space="preserve">43308FACEBOOK»AZR-TRIAL-CANVAS-Prospecting»NA»PKG»ALL»CPL»AUD»D»All»SS»NA»FBCTCBenefit2inMotion_AUS_14sec</t>
  </si>
  <si>
    <t xml:space="preserve">43308FACEBOOK»AZR-TRIAL-CANVAS-Prospecting»NA»PKG»ALL»CPL»AUD»D»All»SS»NA»FBCTCBrandinMotion_AUS_12sec</t>
  </si>
  <si>
    <t xml:space="preserve">43308224160771</t>
  </si>
  <si>
    <t xml:space="preserve">43308Facebook»Audience &amp; Interest Targeting»1x1»TextLink»SOC»DT»DYN»AUT»W»NA»SS»NA»Free Account Refresh- Lifestyle ChA</t>
  </si>
  <si>
    <t xml:space="preserve">43308224160783</t>
  </si>
  <si>
    <t xml:space="preserve">43308FACEBOOK»TRIAL-AZR-Audience»1 x 1»NA»SOC»ALL»CPL»AUD»D»All»SS»NA»FreeAcctAppsFACEBOOK12monthsChE</t>
  </si>
  <si>
    <t xml:space="preserve">43309224160783</t>
  </si>
  <si>
    <t xml:space="preserve">43309FACEBOOK»TRIAL-AZR-Audience»1 x 1»NA»SOC»ALL»CPL»AUD»D»All»SS»NA»FreeAcctAppsFACEBOOK12monthsChE</t>
  </si>
  <si>
    <t xml:space="preserve">43309NA</t>
  </si>
  <si>
    <t xml:space="preserve">43309FACEBOOK»AZR-TRIAL-CANVAS-Prospecting»NA»PKG»ALL»CPL»AUD»D»All»SS»NA»FBCTCBenefit2inMotion_AUS_14sec</t>
  </si>
  <si>
    <t xml:space="preserve">43309FACEBOOK»AZR-TRIAL-CANVAS-Prospecting»NA»PKG»ALL»CPL»AUD»D»All»SS»NA»FBCTCBrandinMotion_AUS_12sec</t>
  </si>
  <si>
    <t xml:space="preserve">43309FACEBOOK»AZR-TRIAL-CANVAS-Prospecting»NA»PKG»ALL»CPL»AUD»D»All»SS»NA»FBCTCBasicMotion_AUS_10sec</t>
  </si>
  <si>
    <t xml:space="preserve">43309224160774</t>
  </si>
  <si>
    <t xml:space="preserve">43309Facebook»Audience &amp; Interest Targeting»1x1»TextLink»SOC»DT»DYN»AUT»W»NA»SS»NA»Free Account Refresh- Illustration ChC</t>
  </si>
  <si>
    <t xml:space="preserve">43309224160777</t>
  </si>
  <si>
    <t xml:space="preserve">43309Facebook»Audience &amp; Interest Targeting»1x1»TextLink»SOC»DT»DYN»AUT»W»NA»SS»NA»Free Account Refresh- Device ChB</t>
  </si>
  <si>
    <t xml:space="preserve">43309224160780</t>
  </si>
  <si>
    <t xml:space="preserve">43309Facebook»Audience &amp; Interest Targeting»1x1»TextLink»SOC»DT»DYN»AUT»W»NA»SS»NA»Free Account Refresh- 200 Credit ChD</t>
  </si>
  <si>
    <t xml:space="preserve">43309224160771</t>
  </si>
  <si>
    <t xml:space="preserve">43309Facebook»Audience &amp; Interest Targeting»1x1»TextLink»SOC»DT»DYN»AUT»W»NA»SS»NA»Free Account Refresh- Lifestyle ChA</t>
  </si>
  <si>
    <t xml:space="preserve">43310224160783</t>
  </si>
  <si>
    <t xml:space="preserve">43310FACEBOOK»TRIAL-AZR-Audience»1 x 1»NA»SOC»ALL»CPL»AUD»D»All»SS»NA»FreeAcctAppsFACEBOOK12monthsChE</t>
  </si>
  <si>
    <t xml:space="preserve">43310224160771</t>
  </si>
  <si>
    <t xml:space="preserve">43310Facebook»Audience &amp; Interest Targeting»1x1»TextLink»SOC»DT»DYN»AUT»W»NA»SS»NA»Free Account Refresh- Lifestyle ChA</t>
  </si>
  <si>
    <t xml:space="preserve">43310224160774</t>
  </si>
  <si>
    <t xml:space="preserve">43310Facebook»Audience &amp; Interest Targeting»1x1»TextLink»SOC»DT»DYN»AUT»W»NA»SS»NA»Free Account Refresh- Illustration ChC</t>
  </si>
  <si>
    <t xml:space="preserve">43310224160777</t>
  </si>
  <si>
    <t xml:space="preserve">43310Facebook»Audience &amp; Interest Targeting»1x1»TextLink»SOC»DT»DYN»AUT»W»NA»SS»NA»Free Account Refresh- Device ChB</t>
  </si>
  <si>
    <t xml:space="preserve">43310224160780</t>
  </si>
  <si>
    <t xml:space="preserve">43310Facebook»Audience &amp; Interest Targeting»1x1»TextLink»SOC»DT»DYN»AUT»W»NA»SS»NA»Free Account Refresh- 200 Credit ChD</t>
  </si>
  <si>
    <t xml:space="preserve">43310NA</t>
  </si>
  <si>
    <t xml:space="preserve">43310FACEBOOK»AZR-TRIAL-CANVAS-Prospecting»NA»PKG»ALL»CPL»AUD»D»All»SS»NA»FBCTCBasicMotion_AUS_10sec</t>
  </si>
  <si>
    <t xml:space="preserve">43310FACEBOOK»AZR-TRIAL-CANVAS-Prospecting»NA»PKG»ALL»CPL»AUD»D»All»SS»NA»FBCTCBenefit2inMotion_AUS_14sec</t>
  </si>
  <si>
    <t xml:space="preserve">43310FACEBOOK»AZR-TRIAL-CANVAS-Prospecting»NA»PKG»ALL»CPL»AUD»D»All»SS»NA»FBCTCBrandinMotion_AUS_12sec</t>
  </si>
  <si>
    <t xml:space="preserve">43311224160777</t>
  </si>
  <si>
    <t xml:space="preserve">43311Facebook»Audience &amp; Interest Targeting»1x1»TextLink»SOC»DT»DYN»AUT»W»NA»SS»NA»Free Account Refresh- Device ChB</t>
  </si>
  <si>
    <t xml:space="preserve">43311224160771</t>
  </si>
  <si>
    <t xml:space="preserve">43311Facebook»Audience &amp; Interest Targeting»1x1»TextLink»SOC»DT»DYN»AUT»W»NA»SS»NA»Free Account Refresh- Lifestyle ChA</t>
  </si>
  <si>
    <t xml:space="preserve">43311224160774</t>
  </si>
  <si>
    <t xml:space="preserve">43311Facebook»Audience &amp; Interest Targeting»1x1»TextLink»SOC»DT»DYN»AUT»W»NA»SS»NA»Free Account Refresh- Illustration ChC</t>
  </si>
  <si>
    <t xml:space="preserve">43311224160780</t>
  </si>
  <si>
    <t xml:space="preserve">43311Facebook»Audience &amp; Interest Targeting»1x1»TextLink»SOC»DT»DYN»AUT»W»NA»SS»NA»Free Account Refresh- 200 Credit ChD</t>
  </si>
  <si>
    <t xml:space="preserve">43311NA</t>
  </si>
  <si>
    <t xml:space="preserve">43311FACEBOOK»AZR-TRIAL-CANVAS-Prospecting»NA»PKG»ALL»CPL»AUD»D»All»SS»NA»FBCTCBasicMotion_AUS_10sec</t>
  </si>
  <si>
    <t xml:space="preserve">43311FACEBOOK»AZR-TRIAL-CANVAS-Prospecting»NA»PKG»ALL»CPL»AUD»D»All»SS»NA»FBCTCBenefit2inMotion_AUS_14sec</t>
  </si>
  <si>
    <t xml:space="preserve">43311FACEBOOK»AZR-TRIAL-CANVAS-Prospecting»NA»PKG»ALL»CPL»AUD»D»All»SS»NA»FBCTCBrandinMotion_AUS_12sec</t>
  </si>
  <si>
    <t xml:space="preserve">43311224160783</t>
  </si>
  <si>
    <t xml:space="preserve">43311FACEBOOK»TRIAL-AZR-Audience»1 x 1»NA»SOC»ALL»CPL»AUD»D»All»SS»NA»FreeAcctAppsFACEBOOK12monthsChE</t>
  </si>
  <si>
    <t xml:space="preserve">43312224160783</t>
  </si>
  <si>
    <t xml:space="preserve">43312FACEBOOK»TRIAL-AZR-Audience»1 x 1»NA»SOC»ALL»CPL»AUD»D»All»SS»NA»FreeAcctAppsFACEBOOK12monthsChE</t>
  </si>
  <si>
    <t xml:space="preserve">43312224160771</t>
  </si>
  <si>
    <t xml:space="preserve">43312Facebook»Audience &amp; Interest Targeting»1x1»TextLink»SOC»DT»DYN»AUT»W»NA»SS»NA»Free Account Refresh- Lifestyle ChA</t>
  </si>
  <si>
    <t xml:space="preserve">43312Facebook»Audience &amp; Interest Targeting»1x1»TextLink»SOC»DT»DYN»RT»W»NA»SS»NA»Free Account Refresh- Lifestyle ChA</t>
  </si>
  <si>
    <t xml:space="preserve">43312224160780</t>
  </si>
  <si>
    <t xml:space="preserve">43312Facebook»Audience &amp; Interest Targeting»1x1»TextLink»SOC»DT»DYN»AUT»W»NA»SS»NA»Free Account Refresh- 200 Credit ChD</t>
  </si>
  <si>
    <t xml:space="preserve">43312Facebook»Audience &amp; Interest Targeting»1x1»TextLink»SOC»DT»DYN»RT»W»NA»SS»NA»Free Account Refresh- 200 Credit ChD</t>
  </si>
  <si>
    <t xml:space="preserve">43312NA</t>
  </si>
  <si>
    <t xml:space="preserve">43312FACEBOOK»AZR-TRIAL-CANVAS-Prospecting»NA»PKG»ALL»CPL»AUD»D»All»SS»NA»FBCTCBasicMotion_AUS_10sec</t>
  </si>
  <si>
    <t xml:space="preserve">43312FACEBOOK»AZR-TRIAL-CANVAS-Prospecting»NA»PKG»ALL»CPL»AUD»D»All»SS»NA»FBCTCBenefit2inMotion_AUS_14sec</t>
  </si>
  <si>
    <t xml:space="preserve">43312FACEBOOK»AZR-TRIAL-CANVAS-Prospecting»NA»PKG»ALL»CPL»AUD»D»All»SS»NA»FBCTCBrandinMotion_AUS_12sec</t>
  </si>
  <si>
    <t xml:space="preserve">43312224160774</t>
  </si>
  <si>
    <t xml:space="preserve">43312Facebook»Audience &amp; Interest Targeting»1x1»TextLink»SOC»DT»DYN»RT»W»NA»SS»NA»Free Account Refresh- Illustration ChC</t>
  </si>
  <si>
    <t xml:space="preserve">43312Facebook»Audience &amp; Interest Targeting»1x1»TextLink»SOC»DT»DYN»AUT»W»NA»SS»NA»Free Account Refresh- Illustration ChC</t>
  </si>
  <si>
    <t xml:space="preserve">43312224160777</t>
  </si>
  <si>
    <t xml:space="preserve">43312Facebook»Audience &amp; Interest Targeting»1x1»TextLink»SOC»DT»DYN»RT»W»NA»SS»NA»Free Account Refresh- Device ChB</t>
  </si>
  <si>
    <t xml:space="preserve">43312Facebook»Audience &amp; Interest Targeting»1x1»TextLink»SOC»DT»DYN»AUT»W»NA»SS»NA»Free Account Refresh- Device ChB</t>
  </si>
  <si>
    <t xml:space="preserve">43312224160720</t>
  </si>
  <si>
    <t xml:space="preserve">43312Facebook»LAL»1x1»TextLink»SOC»DT»DYN»LAL»W»NA»SS»NA»Free Account Refresh- 200 Credit ChD</t>
  </si>
  <si>
    <t xml:space="preserve">43312224160717</t>
  </si>
  <si>
    <t xml:space="preserve">43312Facebook»LAL»1x1»TextLink»SOC»DT»DYN»LAL»W»NA»SS»NA»Free Account Refresh- Device ChB</t>
  </si>
  <si>
    <t xml:space="preserve">43312224160714</t>
  </si>
  <si>
    <t xml:space="preserve">43312Facebook»LAL»1x1»TextLink»SOC»DT»DYN»LAL»W»NA»SS»NA»Free Account Refresh- Illustration ChC</t>
  </si>
  <si>
    <t xml:space="preserve">43312224160711</t>
  </si>
  <si>
    <t xml:space="preserve">43312Facebook»LAL»1x1»TextLink»SOC»DT»DYN»LAL»W»NA»SS»NA»Free Account Refresh- Lifestyle ChA</t>
  </si>
  <si>
    <t xml:space="preserve">43313224160717</t>
  </si>
  <si>
    <t xml:space="preserve">43313Facebook»LAL»1x1»TextLink»SOC»DT»DYN»LAL»W»NA»SS»NA»Free Account Refresh- Device ChB</t>
  </si>
  <si>
    <t xml:space="preserve">43313224160777</t>
  </si>
  <si>
    <t xml:space="preserve">43313Facebook»Audience &amp; Interest Targeting»1x1»TextLink»SOC»DT»DYN»AUT»W»NA»SS»NA»Free Account Refresh- Device ChB</t>
  </si>
  <si>
    <t xml:space="preserve">43313Facebook»Audience &amp; Interest Targeting»1x1»TextLink»SOC»DT»DYN»RT»W»NA»SS»NA»Free Account Refresh- Device ChB</t>
  </si>
  <si>
    <t xml:space="preserve">43313NA</t>
  </si>
  <si>
    <t xml:space="preserve">43313FACEBOOK»AZR-TRIAL-CANVAS-Prospecting»NA»PKG»ALL»CPL»AUD»D»All»SS»NA»FBCTCBenefit2inMotion_AUS_14sec</t>
  </si>
  <si>
    <t xml:space="preserve">43313FACEBOOK»AZR-TRIAL-CANVAS-Prospecting»NA»PKG»ALL»CPL»AUD»D»All»SS»NA»FBCTCBasicMotion_AUS_10sec</t>
  </si>
  <si>
    <t xml:space="preserve">43313FACEBOOK»AZR-TRIAL-CANVAS-Prospecting»NA»PKG»ALL»CPL»AUD»D»All»SS»NA»FBCTCBrandinMotion_AUS_12sec</t>
  </si>
  <si>
    <t xml:space="preserve">43313224160774</t>
  </si>
  <si>
    <t xml:space="preserve">43313Facebook»Audience &amp; Interest Targeting»1x1»TextLink»SOC»DT»DYN»RT»W»NA»SS»NA»Free Account Refresh- Illustration ChC</t>
  </si>
  <si>
    <t xml:space="preserve">43313Facebook»Audience &amp; Interest Targeting»1x1»TextLink»SOC»DT»DYN»AUT»W»NA»SS»NA»Free Account Refresh- Illustration ChC</t>
  </si>
  <si>
    <t xml:space="preserve">43313224160720</t>
  </si>
  <si>
    <t xml:space="preserve">43313Facebook»LAL»1x1»TextLink»SOC»DT»DYN»LAL»W»NA»SS»NA»Free Account Refresh- 200 Credit ChD</t>
  </si>
  <si>
    <t xml:space="preserve">43313224160714</t>
  </si>
  <si>
    <t xml:space="preserve">43313Facebook»LAL»1x1»TextLink»SOC»DT»DYN»LAL»W»NA»SS»NA»Free Account Refresh- Illustration ChC</t>
  </si>
  <si>
    <t xml:space="preserve">43313224160783</t>
  </si>
  <si>
    <t xml:space="preserve">43313FACEBOOK»TRIAL-AZR-Audience»1 x 1»NA»SOC»ALL»CPL»AUD»D»All»SS»NA»FreeAcctAppsFACEBOOK12monthsChE</t>
  </si>
  <si>
    <t xml:space="preserve">43313224160711</t>
  </si>
  <si>
    <t xml:space="preserve">43313Facebook»LAL»1x1»TextLink»SOC»DT»DYN»LAL»W»NA»SS»NA»Free Account Refresh- Lifestyle ChA</t>
  </si>
  <si>
    <t xml:space="preserve">43313224160780</t>
  </si>
  <si>
    <t xml:space="preserve">43313Facebook»Audience &amp; Interest Targeting»1x1»TextLink»SOC»DT»DYN»RT»W»NA»SS»NA»Free Account Refresh- 200 Credit ChD</t>
  </si>
  <si>
    <t xml:space="preserve">43313Facebook»Audience &amp; Interest Targeting»1x1»TextLink»SOC»DT»DYN»AUT»W»NA»SS»NA»Free Account Refresh- 200 Credit ChD</t>
  </si>
  <si>
    <t xml:space="preserve">43313224160771</t>
  </si>
  <si>
    <t xml:space="preserve">43313Facebook»Audience &amp; Interest Targeting»1x1»TextLink»SOC»DT»DYN»AUT»W»NA»SS»NA»Free Account Refresh- Lifestyle ChA</t>
  </si>
  <si>
    <t xml:space="preserve">43313Facebook»Audience &amp; Interest Targeting»1x1»TextLink»SOC»DT»DYN»RT»W»NA»SS»NA»Free Account Refresh- Lifestyle ChA</t>
  </si>
  <si>
    <t xml:space="preserve">43314224160783</t>
  </si>
  <si>
    <t xml:space="preserve">43314FACEBOOK»TRIAL-AZR-Audience»1 x 1»NA»SOC»ALL»CPL»AUD»D»All»SS»NA»FreeAcctAppsFACEBOOK12monthsChE</t>
  </si>
  <si>
    <t xml:space="preserve">43314224160774</t>
  </si>
  <si>
    <t xml:space="preserve">43314Facebook»Audience &amp; Interest Targeting»1x1»TextLink»SOC»DT»DYN»RT»W»NA»SS»NA»Free Account Refresh- Illustration ChC</t>
  </si>
  <si>
    <t xml:space="preserve">43314Facebook»Audience &amp; Interest Targeting»1x1»TextLink»SOC»DT»DYN»AUT»W»NA»SS»NA»Free Account Refresh- Illustration ChC</t>
  </si>
  <si>
    <t xml:space="preserve">43314224160780</t>
  </si>
  <si>
    <t xml:space="preserve">43314Facebook»Audience &amp; Interest Targeting»1x1»TextLink»SOC»DT»DYN»AUT»W»NA»SS»NA»Free Account Refresh- 200 Credit ChD</t>
  </si>
  <si>
    <t xml:space="preserve">43314Facebook»Audience &amp; Interest Targeting»1x1»TextLink»SOC»DT»DYN»RT»W»NA»SS»NA»Free Account Refresh- 200 Credit ChD</t>
  </si>
  <si>
    <t xml:space="preserve">43314224160714</t>
  </si>
  <si>
    <t xml:space="preserve">43314Facebook»LAL»1x1»TextLink»SOC»DT»DYN»LAL»W»NA»SS»NA»Free Account Refresh- Illustration ChC</t>
  </si>
  <si>
    <t xml:space="preserve">43314224160717</t>
  </si>
  <si>
    <t xml:space="preserve">43314Facebook»LAL»1x1»TextLink»SOC»DT»DYN»LAL»W»NA»SS»NA»Free Account Refresh- Device ChB</t>
  </si>
  <si>
    <t xml:space="preserve">43314NA</t>
  </si>
  <si>
    <t xml:space="preserve">43314FACEBOOK»AZR-TRIAL-CANVAS-Prospecting»NA»PKG»ALL»CPL»AUD»D»All»SS»NA»FBCTCBasicMotion_AUS_10sec</t>
  </si>
  <si>
    <t xml:space="preserve">43314FACEBOOK»AZR-TRIAL-CANVAS-Prospecting»NA»PKG»ALL»CPL»AUD»D»All»SS»NA»FBCTCBenefit2inMotion_AUS_14sec</t>
  </si>
  <si>
    <t xml:space="preserve">43314FACEBOOK»AZR-TRIAL-CANVAS-Prospecting»NA»PKG»ALL»CPL»AUD»D»All»SS»NA»FBCTCBrandinMotion_AUS_12sec</t>
  </si>
  <si>
    <t xml:space="preserve">43314224160771</t>
  </si>
  <si>
    <t xml:space="preserve">43314Facebook»Audience &amp; Interest Targeting»1x1»TextLink»SOC»DT»DYN»AUT»W»NA»SS»NA»Free Account Refresh- Lifestyle ChA</t>
  </si>
  <si>
    <t xml:space="preserve">43314Facebook»Audience &amp; Interest Targeting»1x1»TextLink»SOC»DT»DYN»RT»W»NA»SS»NA»Free Account Refresh- Lifestyle ChA</t>
  </si>
  <si>
    <t xml:space="preserve">43314224160720</t>
  </si>
  <si>
    <t xml:space="preserve">43314Facebook»LAL»1x1»TextLink»SOC»DT»DYN»LAL»W»NA»SS»NA»Free Account Refresh- 200 Credit ChD</t>
  </si>
  <si>
    <t xml:space="preserve">43314224160777</t>
  </si>
  <si>
    <t xml:space="preserve">43314Facebook»Audience &amp; Interest Targeting»1x1»TextLink»SOC»DT»DYN»AUT»W»NA»SS»NA»Free Account Refresh- Device ChB</t>
  </si>
  <si>
    <t xml:space="preserve">43314Facebook»Audience &amp; Interest Targeting»1x1»TextLink»SOC»DT»DYN»RT»W»NA»SS»NA»Free Account Refresh- Device ChB</t>
  </si>
  <si>
    <t xml:space="preserve">43314224160711</t>
  </si>
  <si>
    <t xml:space="preserve">43314Facebook»LAL»1x1»TextLink»SOC»DT»DYN»LAL»W»NA»SS»NA»Free Account Refresh- Lifestyle ChA</t>
  </si>
  <si>
    <t xml:space="preserve">43315224160783</t>
  </si>
  <si>
    <t xml:space="preserve">43315FACEBOOK»TRIAL-AZR-Audience»1 x 1»NA»SOC»ALL»CPL»AUD»D»All»SS»NA»FreeAcctAppsFACEBOOK12monthsChE</t>
  </si>
  <si>
    <t xml:space="preserve">43315224160771</t>
  </si>
  <si>
    <t xml:space="preserve">43315Facebook»Audience &amp; Interest Targeting»1x1»TextLink»SOC»DT»DYN»RT»W»NA»SS»NA»Free Account Refresh- Lifestyle ChA</t>
  </si>
  <si>
    <t xml:space="preserve">43315Facebook»Audience &amp; Interest Targeting»1x1»TextLink»SOC»DT»DYN»AUT»W»NA»SS»NA»Free Account Refresh- Lifestyle ChA</t>
  </si>
  <si>
    <t xml:space="preserve">43315224160777</t>
  </si>
  <si>
    <t xml:space="preserve">43315Facebook»Audience &amp; Interest Targeting»1x1»TextLink»SOC»DT»DYN»AUT»W»NA»SS»NA»Free Account Refresh- Device ChB</t>
  </si>
  <si>
    <t xml:space="preserve">43315Facebook»Audience &amp; Interest Targeting»1x1»TextLink»SOC»DT»DYN»RT»W»NA»SS»NA»Free Account Refresh- Device ChB</t>
  </si>
  <si>
    <t xml:space="preserve">43315224160780</t>
  </si>
  <si>
    <t xml:space="preserve">43315Facebook»Audience &amp; Interest Targeting»1x1»TextLink»SOC»DT»DYN»AUT»W»NA»SS»NA»Free Account Refresh- 200 Credit ChD</t>
  </si>
  <si>
    <t xml:space="preserve">43315Facebook»Audience &amp; Interest Targeting»1x1»TextLink»SOC»DT»DYN»RT»W»NA»SS»NA»Free Account Refresh- 200 Credit ChD</t>
  </si>
  <si>
    <t xml:space="preserve">43315NA</t>
  </si>
  <si>
    <t xml:space="preserve">43315FACEBOOK»AZR-TRIAL-CANVAS-Prospecting»NA»PKG»ALL»CPL»AUD»D»All»SS»NA»FBCTCBasicMotion_AUS_10sec</t>
  </si>
  <si>
    <t xml:space="preserve">43315FACEBOOK»AZR-TRIAL-CANVAS-Prospecting»NA»PKG»ALL»CPL»AUD»D»All»SS»NA»FBCTCBenefit2inMotion_AUS_14sec</t>
  </si>
  <si>
    <t xml:space="preserve">43315FACEBOOK»AZR-TRIAL-CANVAS-Prospecting»NA»PKG»ALL»CPL»AUD»D»All»SS»NA»FBCTCBrandinMotion_AUS_12sec</t>
  </si>
  <si>
    <t xml:space="preserve">43315224160714</t>
  </si>
  <si>
    <t xml:space="preserve">43315Facebook»LAL»1x1»TextLink»SOC»DT»DYN»LAL»W»NA»SS»NA»Free Account Refresh- Illustration ChC</t>
  </si>
  <si>
    <t xml:space="preserve">43315224160774</t>
  </si>
  <si>
    <t xml:space="preserve">43315Facebook»Audience &amp; Interest Targeting»1x1»TextLink»SOC»DT»DYN»RT»W»NA»SS»NA»Free Account Refresh- Illustration ChC</t>
  </si>
  <si>
    <t xml:space="preserve">43315Facebook»Audience &amp; Interest Targeting»1x1»TextLink»SOC»DT»DYN»AUT»W»NA»SS»NA»Free Account Refresh- Illustration ChC</t>
  </si>
  <si>
    <t xml:space="preserve">43315224160717</t>
  </si>
  <si>
    <t xml:space="preserve">43315Facebook»LAL»1x1»TextLink»SOC»DT»DYN»LAL»W»NA»SS»NA»Free Account Refresh- Device ChB</t>
  </si>
  <si>
    <t xml:space="preserve">43315224160711</t>
  </si>
  <si>
    <t xml:space="preserve">43315Facebook»LAL»1x1»TextLink»SOC»DT»DYN»LAL»W»NA»SS»NA»Free Account Refresh- Lifestyle ChA</t>
  </si>
  <si>
    <t xml:space="preserve">43315224160720</t>
  </si>
  <si>
    <t xml:space="preserve">43315Facebook»LAL»1x1»TextLink»SOC»DT»DYN»LAL»W»NA»SS»NA»Free Account Refresh- 200 Credit ChD</t>
  </si>
  <si>
    <t xml:space="preserve">43316224160783</t>
  </si>
  <si>
    <t xml:space="preserve">43316FACEBOOK»TRIAL-AZR-Audience»1 x 1»NA»SOC»ALL»CPL»AUD»D»All»SS»NA»FreeAcctAppsFACEBOOK12monthsChE</t>
  </si>
  <si>
    <t xml:space="preserve">43316224160717</t>
  </si>
  <si>
    <t xml:space="preserve">43316Facebook»LAL»1x1»TextLink»SOC»DT»DYN»LAL»W»NA»SS»NA»Free Account Refresh- Device ChB</t>
  </si>
  <si>
    <t xml:space="preserve">43316224160777</t>
  </si>
  <si>
    <t xml:space="preserve">43316Facebook»Audience &amp; Interest Targeting»1x1»TextLink»SOC»DT»DYN»AUT»W»NA»SS»NA»Free Account Refresh- Device ChB</t>
  </si>
  <si>
    <t xml:space="preserve">43316Facebook»Audience &amp; Interest Targeting»1x1»TextLink»SOC»DT»DYN»RT»W»NA»SS»NA»Free Account Refresh- Device ChB</t>
  </si>
  <si>
    <t xml:space="preserve">43316224160780</t>
  </si>
  <si>
    <t xml:space="preserve">43316Facebook»Audience &amp; Interest Targeting»1x1»TextLink»SOC»DT»DYN»AUT»W»NA»SS»NA»Free Account Refresh- 200 Credit ChD</t>
  </si>
  <si>
    <t xml:space="preserve">43316Facebook»Audience &amp; Interest Targeting»1x1»TextLink»SOC»DT»DYN»RT»W»NA»SS»NA»Free Account Refresh- 200 Credit ChD</t>
  </si>
  <si>
    <t xml:space="preserve">43316NA</t>
  </si>
  <si>
    <t xml:space="preserve">43316FACEBOOK»AZR-TRIAL-CANVAS-Prospecting»NA»PKG»ALL»CPL»AUD»D»All»SS»NA»FBCTCBasicMotion_AUS_10sec</t>
  </si>
  <si>
    <t xml:space="preserve">43316FACEBOOK»AZR-TRIAL-CANVAS-Prospecting»NA»PKG»ALL»CPL»AUD»D»All»SS»NA»FBCTCBenefit2inMotion_AUS_14sec</t>
  </si>
  <si>
    <t xml:space="preserve">43316FACEBOOK»AZR-TRIAL-CANVAS-Prospecting»NA»PKG»ALL»CPL»AUD»D»All»SS»NA»FBCTCBrandinMotion_AUS_12sec</t>
  </si>
  <si>
    <t xml:space="preserve">43316224160771</t>
  </si>
  <si>
    <t xml:space="preserve">43316Facebook»Audience &amp; Interest Targeting»1x1»TextLink»SOC»DT»DYN»AUT»W»NA»SS»NA»Free Account Refresh- Lifestyle ChA</t>
  </si>
  <si>
    <t xml:space="preserve">43316Facebook»Audience &amp; Interest Targeting»1x1»TextLink»SOC»DT»DYN»RT»W»NA»SS»NA»Free Account Refresh- Lifestyle ChA</t>
  </si>
  <si>
    <t xml:space="preserve">43316224160774</t>
  </si>
  <si>
    <t xml:space="preserve">43316Facebook»Audience &amp; Interest Targeting»1x1»TextLink»SOC»DT»DYN»AUT»W»NA»SS»NA»Free Account Refresh- Illustration ChC</t>
  </si>
  <si>
    <t xml:space="preserve">43316Facebook»Audience &amp; Interest Targeting»1x1»TextLink»SOC»DT»DYN»RT»W»NA»SS»NA»Free Account Refresh- Illustration ChC</t>
  </si>
  <si>
    <t xml:space="preserve">43316224160720</t>
  </si>
  <si>
    <t xml:space="preserve">43316Facebook»LAL»1x1»TextLink»SOC»DT»DYN»LAL»W»NA»SS»NA»Free Account Refresh- 200 Credit ChD</t>
  </si>
  <si>
    <t xml:space="preserve">43316224160711</t>
  </si>
  <si>
    <t xml:space="preserve">43316Facebook»LAL»1x1»TextLink»SOC»DT»DYN»LAL»W»NA»SS»NA»Free Account Refresh- Lifestyle ChA</t>
  </si>
  <si>
    <t xml:space="preserve">43316224160714</t>
  </si>
  <si>
    <t xml:space="preserve">43316Facebook»LAL»1x1»TextLink»SOC»DT»DYN»LAL»W»NA»SS»NA»Free Account Refresh- Illustration ChC</t>
  </si>
  <si>
    <t xml:space="preserve">43323224160783</t>
  </si>
  <si>
    <t xml:space="preserve">43323FACEBOOK»TRIAL-AZR-Audience»1 x 1»NA»SOC»ALL»CPL»AUD»D»All»SS»NA»FreeAcctAppsFACEBOOK12monthsChE</t>
  </si>
  <si>
    <t xml:space="preserve">43323224160777</t>
  </si>
  <si>
    <t xml:space="preserve">43323Facebook»Audience &amp; Interest Targeting»1x1»TextLink»SOC»DT»DYN»AUT»W»NA»SS»NA»Free Account Refresh- Device ChB</t>
  </si>
  <si>
    <t xml:space="preserve">43323Facebook»Audience &amp; Interest Targeting»1x1»TextLink»SOC»DT»DYN»RT»W»NA»SS»NA»Free Account Refresh- Device ChB</t>
  </si>
  <si>
    <t xml:space="preserve">43323224160774</t>
  </si>
  <si>
    <t xml:space="preserve">43323Facebook»Audience &amp; Interest Targeting»1x1»TextLink»SOC»DT»DYN»RT»W»NA»SS»NA»Free Account Refresh- Illustration ChC</t>
  </si>
  <si>
    <t xml:space="preserve">43323Facebook»Audience &amp; Interest Targeting»1x1»TextLink»SOC»DT»DYN»AUT»W»NA»SS»NA»Free Account Refresh- Illustration ChC</t>
  </si>
  <si>
    <t xml:space="preserve">43323224160780</t>
  </si>
  <si>
    <t xml:space="preserve">43323Facebook»Audience &amp; Interest Targeting»1x1»TextLink»SOC»DT»DYN»RT»W»NA»SS»NA»Free Account Refresh- 200 Credit ChD</t>
  </si>
  <si>
    <t xml:space="preserve">43323Facebook»Audience &amp; Interest Targeting»1x1»TextLink»SOC»DT»DYN»AUT»W»NA»SS»NA»Free Account Refresh- 200 Credit ChD</t>
  </si>
  <si>
    <t xml:space="preserve">43323224160771</t>
  </si>
  <si>
    <t xml:space="preserve">43323Facebook»Audience &amp; Interest Targeting»1x1»TextLink»SOC»DT»DYN»RT»W»NA»SS»NA»Free Account Refresh- Lifestyle ChA</t>
  </si>
  <si>
    <t xml:space="preserve">43323Facebook»Audience &amp; Interest Targeting»1x1»TextLink»SOC»DT»DYN»AUT»W»NA»SS»NA»Free Account Refresh- Lifestyle ChA</t>
  </si>
  <si>
    <t xml:space="preserve">43323NA</t>
  </si>
  <si>
    <t xml:space="preserve">43323FACEBOOK»AZR-TRIAL-CANVAS-Prospecting»NA»PKG»ALL»CPL»AUD»D»All»SS»NA»FBCTCBrandinMotion_AUS_12sec</t>
  </si>
  <si>
    <t xml:space="preserve">43323FACEBOOK»AZR-TRIAL-CANVAS-Prospecting»NA»PKG»ALL»CPL»AUD»D»All»SS»NA»FBCTCBenefit2inMotion_AUS_14sec</t>
  </si>
  <si>
    <t xml:space="preserve">43323FACEBOOK»AZR-TRIAL-CANVAS-Prospecting»NA»PKG»ALL»CPL»AUD»D»All»SS»NA»FBCTCBasicMotion_AUS_10sec</t>
  </si>
  <si>
    <t xml:space="preserve">43323224160720</t>
  </si>
  <si>
    <t xml:space="preserve">43323Facebook»LAL»1x1»TextLink»SOC»DT»DYN»LAL»W»NA»SS»NA»Free Account Refresh- 200 Credit ChD</t>
  </si>
  <si>
    <t xml:space="preserve">43323224160717</t>
  </si>
  <si>
    <t xml:space="preserve">43323Facebook»LAL»1x1»TextLink»SOC»DT»DYN»LAL»W»NA»SS»NA»Free Account Refresh- Device ChB</t>
  </si>
  <si>
    <t xml:space="preserve">43323224160711</t>
  </si>
  <si>
    <t xml:space="preserve">43323Facebook»LAL»1x1»TextLink»SOC»DT»DYN»LAL»W»NA»SS»NA»Free Account Refresh- Lifestyle ChA</t>
  </si>
  <si>
    <t xml:space="preserve">43323224160714</t>
  </si>
  <si>
    <t xml:space="preserve">43323Facebook»LAL»1x1»TextLink»SOC»DT»DYN»LAL»W»NA»SS»NA»Free Account Refresh- Illustration ChC</t>
  </si>
  <si>
    <t xml:space="preserve">43322224160771</t>
  </si>
  <si>
    <t xml:space="preserve">43322Facebook»Audience &amp; Interest Targeting»1x1»TextLink»SOC»DT»DYN»AUT»W»NA»SS»NA»Free Account Refresh- Lifestyle ChA</t>
  </si>
  <si>
    <t xml:space="preserve">43322Facebook»Audience &amp; Interest Targeting»1x1»TextLink»SOC»DT»DYN»RT»W»NA»SS»NA»Free Account Refresh- Lifestyle ChA</t>
  </si>
  <si>
    <t xml:space="preserve">43322224160717</t>
  </si>
  <si>
    <t xml:space="preserve">43322Facebook»LAL»1x1»TextLink»SOC»DT»DYN»LAL»W»NA»SS»NA»Free Account Refresh- Device ChB</t>
  </si>
  <si>
    <t xml:space="preserve">43322224160774</t>
  </si>
  <si>
    <t xml:space="preserve">43322Facebook»Audience &amp; Interest Targeting»1x1»TextLink»SOC»DT»DYN»RT»W»NA»SS»NA»Free Account Refresh- Illustration ChC</t>
  </si>
  <si>
    <t xml:space="preserve">43322Facebook»Audience &amp; Interest Targeting»1x1»TextLink»SOC»DT»DYN»AUT»W»NA»SS»NA»Free Account Refresh- Illustration ChC</t>
  </si>
  <si>
    <t xml:space="preserve">43322224160777</t>
  </si>
  <si>
    <t xml:space="preserve">43322Facebook»Audience &amp; Interest Targeting»1x1»TextLink»SOC»DT»DYN»RT»W»NA»SS»NA»Free Account Refresh- Device ChB</t>
  </si>
  <si>
    <t xml:space="preserve">43322Facebook»Audience &amp; Interest Targeting»1x1»TextLink»SOC»DT»DYN»AUT»W»NA»SS»NA»Free Account Refresh- Device ChB</t>
  </si>
  <si>
    <t xml:space="preserve">43322224160780</t>
  </si>
  <si>
    <t xml:space="preserve">43322Facebook»Audience &amp; Interest Targeting»1x1»TextLink»SOC»DT»DYN»RT»W»NA»SS»NA»Free Account Refresh- 200 Credit ChD</t>
  </si>
  <si>
    <t xml:space="preserve">43322Facebook»Audience &amp; Interest Targeting»1x1»TextLink»SOC»DT»DYN»AUT»W»NA»SS»NA»Free Account Refresh- 200 Credit ChD</t>
  </si>
  <si>
    <t xml:space="preserve">43322NA</t>
  </si>
  <si>
    <t xml:space="preserve">43322FACEBOOK»AZR-TRIAL-CANVAS-Prospecting»NA»PKG»ALL»CPL»AUD»D»All»SS»NA»FBCTCBrandinMotion_AUS_12sec</t>
  </si>
  <si>
    <t xml:space="preserve">43322FACEBOOK»AZR-TRIAL-CANVAS-Prospecting»NA»PKG»ALL»CPL»AUD»D»All»SS»NA»FBCTCBenefit2inMotion_AUS_14sec</t>
  </si>
  <si>
    <t xml:space="preserve">43322FACEBOOK»AZR-TRIAL-CANVAS-Prospecting»NA»PKG»ALL»CPL»AUD»D»All»SS»NA»FBCTCBasicMotion_AUS_10sec</t>
  </si>
  <si>
    <t xml:space="preserve">43322224160714</t>
  </si>
  <si>
    <t xml:space="preserve">43322Facebook»LAL»1x1»TextLink»SOC»DT»DYN»LAL»W»NA»SS»NA»Free Account Refresh- Illustration ChC</t>
  </si>
  <si>
    <t xml:space="preserve">43322224160720</t>
  </si>
  <si>
    <t xml:space="preserve">43322Facebook»LAL»1x1»TextLink»SOC»DT»DYN»LAL»W»NA»SS»NA»Free Account Refresh- 200 Credit ChD</t>
  </si>
  <si>
    <t xml:space="preserve">43322224160711</t>
  </si>
  <si>
    <t xml:space="preserve">43322Facebook»LAL»1x1»TextLink»SOC»DT»DYN»LAL»W»NA»SS»NA»Free Account Refresh- Lifestyle ChA</t>
  </si>
  <si>
    <t xml:space="preserve">43322224160783</t>
  </si>
  <si>
    <t xml:space="preserve">43322FACEBOOK»TRIAL-AZR-Audience»1 x 1»NA»SOC»ALL»CPL»AUD»D»All»SS»NA»FreeAcctAppsFACEBOOK12monthsChE</t>
  </si>
  <si>
    <t xml:space="preserve">43321224160783</t>
  </si>
  <si>
    <t xml:space="preserve">43321FACEBOOK»TRIAL-AZR-Audience»1 x 1»NA»SOC»ALL»CPL»AUD»D»All»SS»NA»FreeAcctAppsFACEBOOK12monthsChE</t>
  </si>
  <si>
    <t xml:space="preserve">43321NA</t>
  </si>
  <si>
    <t xml:space="preserve">43321FACEBOOK»AZR-TRIAL-CANVAS-Prospecting»NA»PKG»ALL»CPL»AUD»D»All»SS»NA»FBCTCBenefit2inMotion_AUS_14sec</t>
  </si>
  <si>
    <t xml:space="preserve">43321FACEBOOK»AZR-TRIAL-CANVAS-Prospecting»NA»PKG»ALL»CPL»AUD»D»All»SS»NA»FBCTCBrandinMotion_AUS_12sec</t>
  </si>
  <si>
    <t xml:space="preserve">43321FACEBOOK»AZR-TRIAL-CANVAS-Prospecting»NA»PKG»ALL»CPL»AUD»D»All»SS»NA»FBCTCBasicMotion_AUS_10sec</t>
  </si>
  <si>
    <t xml:space="preserve">43321224160777</t>
  </si>
  <si>
    <t xml:space="preserve">43321Facebook»Audience &amp; Interest Targeting»1x1»TextLink»SOC»DT»DYN»AUT»W»NA»SS»NA»Free Account Refresh- Device ChB</t>
  </si>
  <si>
    <t xml:space="preserve">43321Facebook»Audience &amp; Interest Targeting»1x1»TextLink»SOC»DT»DYN»RT»W»NA»SS»NA»Free Account Refresh- Device ChB</t>
  </si>
  <si>
    <t xml:space="preserve">43321224160771</t>
  </si>
  <si>
    <t xml:space="preserve">43321Facebook»Audience &amp; Interest Targeting»1x1»TextLink»SOC»DT»DYN»AUT»W»NA»SS»NA»Free Account Refresh- Lifestyle ChA</t>
  </si>
  <si>
    <t xml:space="preserve">43321Facebook»Audience &amp; Interest Targeting»1x1»TextLink»SOC»DT»DYN»RT»W»NA»SS»NA»Free Account Refresh- Lifestyle ChA</t>
  </si>
  <si>
    <t xml:space="preserve">43321224160780</t>
  </si>
  <si>
    <t xml:space="preserve">43321Facebook»Audience &amp; Interest Targeting»1x1»TextLink»SOC»DT»DYN»RT»W»NA»SS»NA»Free Account Refresh- 200 Credit ChD</t>
  </si>
  <si>
    <t xml:space="preserve">43321Facebook»Audience &amp; Interest Targeting»1x1»TextLink»SOC»DT»DYN»AUT»W»NA»SS»NA»Free Account Refresh- 200 Credit ChD</t>
  </si>
  <si>
    <t xml:space="preserve">43321224160711</t>
  </si>
  <si>
    <t xml:space="preserve">43321Facebook»LAL»1x1»TextLink»SOC»DT»DYN»LAL»W»NA»SS»NA»Free Account Refresh- Lifestyle ChA</t>
  </si>
  <si>
    <t xml:space="preserve">43321224160774</t>
  </si>
  <si>
    <t xml:space="preserve">43321Facebook»Audience &amp; Interest Targeting»1x1»TextLink»SOC»DT»DYN»AUT»W»NA»SS»NA»Free Account Refresh- Illustration ChC</t>
  </si>
  <si>
    <t xml:space="preserve">43321Facebook»Audience &amp; Interest Targeting»1x1»TextLink»SOC»DT»DYN»RT»W»NA»SS»NA»Free Account Refresh- Illustration ChC</t>
  </si>
  <si>
    <t xml:space="preserve">43321224160717</t>
  </si>
  <si>
    <t xml:space="preserve">43321Facebook»LAL»1x1»TextLink»SOC»DT»DYN»LAL»W»NA»SS»NA»Free Account Refresh- Device ChB</t>
  </si>
  <si>
    <t xml:space="preserve">43321224160714</t>
  </si>
  <si>
    <t xml:space="preserve">43321Facebook»LAL»1x1»TextLink»SOC»DT»DYN»LAL»W»NA»SS»NA»Free Account Refresh- Illustration ChC</t>
  </si>
  <si>
    <t xml:space="preserve">43321224160720</t>
  </si>
  <si>
    <t xml:space="preserve">43321Facebook»LAL»1x1»TextLink»SOC»DT»DYN»LAL»W»NA»SS»NA»Free Account Refresh- 200 Credit ChD</t>
  </si>
  <si>
    <t xml:space="preserve">43320224160714</t>
  </si>
  <si>
    <t xml:space="preserve">43320Facebook»LAL»1x1»TextLink»SOC»DT»DYN»LAL»W»NA»SS»NA»Free Account Refresh- Illustration ChC</t>
  </si>
  <si>
    <t xml:space="preserve">43320224160780</t>
  </si>
  <si>
    <t xml:space="preserve">43320Facebook»Audience &amp; Interest Targeting»1x1»TextLink»SOC»DT»DYN»AUT»W»NA»SS»NA»Free Account Refresh- 200 Credit ChD</t>
  </si>
  <si>
    <t xml:space="preserve">43320Facebook»Audience &amp; Interest Targeting»1x1»TextLink»SOC»DT»DYN»RT»W»NA»SS»NA»Free Account Refresh- 200 Credit ChD</t>
  </si>
  <si>
    <t xml:space="preserve">43320224160771</t>
  </si>
  <si>
    <t xml:space="preserve">43320Facebook»Audience &amp; Interest Targeting»1x1»TextLink»SOC»DT»DYN»AUT»W»NA»SS»NA»Free Account Refresh- Lifestyle ChA</t>
  </si>
  <si>
    <t xml:space="preserve">43320Facebook»Audience &amp; Interest Targeting»1x1»TextLink»SOC»DT»DYN»RT»W»NA»SS»NA»Free Account Refresh- Lifestyle ChA</t>
  </si>
  <si>
    <t xml:space="preserve">43320224160777</t>
  </si>
  <si>
    <t xml:space="preserve">43320Facebook»Audience &amp; Interest Targeting»1x1»TextLink»SOC»DT»DYN»AUT»W»NA»SS»NA»Free Account Refresh- Device ChB</t>
  </si>
  <si>
    <t xml:space="preserve">43320Facebook»Audience &amp; Interest Targeting»1x1»TextLink»SOC»DT»DYN»RT»W»NA»SS»NA»Free Account Refresh- Device ChB</t>
  </si>
  <si>
    <t xml:space="preserve">43320224160711</t>
  </si>
  <si>
    <t xml:space="preserve">43320Facebook»LAL»1x1»TextLink»SOC»DT»DYN»LAL»W»NA»SS»NA»Free Account Refresh- Lifestyle ChA</t>
  </si>
  <si>
    <t xml:space="preserve">43320224160783</t>
  </si>
  <si>
    <t xml:space="preserve">43320FACEBOOK»TRIAL-AZR-Audience»1 x 1»NA»SOC»ALL»CPL»AUD»D»All»SS»NA»FreeAcctAppsFACEBOOK12monthsChE</t>
  </si>
  <si>
    <t xml:space="preserve">43320224160774</t>
  </si>
  <si>
    <t xml:space="preserve">43320Facebook»Audience &amp; Interest Targeting»1x1»TextLink»SOC»DT»DYN»RT»W»NA»SS»NA»Free Account Refresh- Illustration ChC</t>
  </si>
  <si>
    <t xml:space="preserve">43320Facebook»Audience &amp; Interest Targeting»1x1»TextLink»SOC»DT»DYN»AUT»W»NA»SS»NA»Free Account Refresh- Illustration ChC</t>
  </si>
  <si>
    <t xml:space="preserve">43320224160717</t>
  </si>
  <si>
    <t xml:space="preserve">43320Facebook»LAL»1x1»TextLink»SOC»DT»DYN»LAL»W»NA»SS»NA»Free Account Refresh- Device ChB</t>
  </si>
  <si>
    <t xml:space="preserve">43320NA</t>
  </si>
  <si>
    <t xml:space="preserve">43320FACEBOOK»AZR-TRIAL-CANVAS-Prospecting»NA»PKG»ALL»CPL»AUD»D»All»SS»NA»FBCTCBrandinMotion_AUS_12sec</t>
  </si>
  <si>
    <t xml:space="preserve">43320FACEBOOK»AZR-TRIAL-CANVAS-Prospecting»NA»PKG»ALL»CPL»AUD»D»All»SS»NA»FBCTCBasicMotion_AUS_10sec</t>
  </si>
  <si>
    <t xml:space="preserve">43320FACEBOOK»AZR-TRIAL-CANVAS-Prospecting»NA»PKG»ALL»CPL»AUD»D»All»SS»NA»FBCTCBenefit2inMotion_AUS_14sec</t>
  </si>
  <si>
    <t xml:space="preserve">43320224160720</t>
  </si>
  <si>
    <t xml:space="preserve">43320Facebook»LAL»1x1»TextLink»SOC»DT»DYN»LAL»W»NA»SS»NA»Free Account Refresh- 200 Credit ChD</t>
  </si>
  <si>
    <t xml:space="preserve">43319224160777</t>
  </si>
  <si>
    <t xml:space="preserve">43319Facebook»Audience &amp; Interest Targeting»1x1»TextLink»SOC»DT»DYN»AUT»W»NA»SS»NA»Free Account Refresh- Device ChB</t>
  </si>
  <si>
    <t xml:space="preserve">43319Facebook»Audience &amp; Interest Targeting»1x1»TextLink»SOC»DT»DYN»RT»W»NA»SS»NA»Free Account Refresh- Device ChB</t>
  </si>
  <si>
    <t xml:space="preserve">43319224160780</t>
  </si>
  <si>
    <t xml:space="preserve">43319Facebook»Audience &amp; Interest Targeting»1x1»TextLink»SOC»DT»DYN»AUT»W»NA»SS»NA»Free Account Refresh- 200 Credit ChD</t>
  </si>
  <si>
    <t xml:space="preserve">43319Facebook»Audience &amp; Interest Targeting»1x1»TextLink»SOC»DT»DYN»RT»W»NA»SS»NA»Free Account Refresh- 200 Credit ChD</t>
  </si>
  <si>
    <t xml:space="preserve">43319NA</t>
  </si>
  <si>
    <t xml:space="preserve">43319FACEBOOK»AZR-TRIAL-CANVAS-Prospecting»NA»PKG»ALL»CPL»AUD»D»All»SS»NA»FBCTCBasicMotion_AUS_10sec</t>
  </si>
  <si>
    <t xml:space="preserve">43319FACEBOOK»AZR-TRIAL-CANVAS-Prospecting»NA»PKG»ALL»CPL»AUD»D»All»SS»NA»FBCTCBenefit2inMotion_AUS_14sec</t>
  </si>
  <si>
    <t xml:space="preserve">43319FACEBOOK»AZR-TRIAL-CANVAS-Prospecting»NA»PKG»ALL»CPL»AUD»D»All»SS»NA»FBCTCBrandinMotion_AUS_12sec</t>
  </si>
  <si>
    <t xml:space="preserve">43319224160774</t>
  </si>
  <si>
    <t xml:space="preserve">43319Facebook»Audience &amp; Interest Targeting»1x1»TextLink»SOC»DT»DYN»AUT»W»NA»SS»NA»Free Account Refresh- Illustration ChC</t>
  </si>
  <si>
    <t xml:space="preserve">43319Facebook»Audience &amp; Interest Targeting»1x1»TextLink»SOC»DT»DYN»RT»W»NA»SS»NA»Free Account Refresh- Illustration ChC</t>
  </si>
  <si>
    <t xml:space="preserve">43319224160771</t>
  </si>
  <si>
    <t xml:space="preserve">43319Facebook»Audience &amp; Interest Targeting»1x1»TextLink»SOC»DT»DYN»AUT»W»NA»SS»NA»Free Account Refresh- Lifestyle ChA</t>
  </si>
  <si>
    <t xml:space="preserve">43319Facebook»Audience &amp; Interest Targeting»1x1»TextLink»SOC»DT»DYN»RT»W»NA»SS»NA»Free Account Refresh- Lifestyle ChA</t>
  </si>
  <si>
    <t xml:space="preserve">43319224160714</t>
  </si>
  <si>
    <t xml:space="preserve">43319Facebook»LAL»1x1»TextLink»SOC»DT»DYN»LAL»W»NA»SS»NA»Free Account Refresh- Illustration ChC</t>
  </si>
  <si>
    <t xml:space="preserve">43319224160711</t>
  </si>
  <si>
    <t xml:space="preserve">43319Facebook»LAL»1x1»TextLink»SOC»DT»DYN»LAL»W»NA»SS»NA»Free Account Refresh- Lifestyle ChA</t>
  </si>
  <si>
    <t xml:space="preserve">43319224160717</t>
  </si>
  <si>
    <t xml:space="preserve">43319Facebook»LAL»1x1»TextLink»SOC»DT»DYN»LAL»W»NA»SS»NA»Free Account Refresh- Device ChB</t>
  </si>
  <si>
    <t xml:space="preserve">43319224160783</t>
  </si>
  <si>
    <t xml:space="preserve">43319FACEBOOK»TRIAL-AZR-Audience»1 x 1»NA»SOC»ALL»CPL»AUD»D»All»SS»NA»FreeAcctAppsFACEBOOK12monthsChE</t>
  </si>
  <si>
    <t xml:space="preserve">43319224160720</t>
  </si>
  <si>
    <t xml:space="preserve">43319Facebook»LAL»1x1»TextLink»SOC»DT»DYN»LAL»W»NA»SS»NA»Free Account Refresh- 200 Credit ChD</t>
  </si>
  <si>
    <t xml:space="preserve">43318224160771</t>
  </si>
  <si>
    <t xml:space="preserve">43318Facebook»Audience &amp; Interest Targeting»1x1»TextLink»SOC»DT»DYN»RT»W»NA»SS»NA»Free Account Refresh- Lifestyle ChA</t>
  </si>
  <si>
    <t xml:space="preserve">43318Facebook»Audience &amp; Interest Targeting»1x1»TextLink»SOC»DT»DYN»AUT»W»NA»SS»NA»Free Account Refresh- Lifestyle ChA</t>
  </si>
  <si>
    <t xml:space="preserve">43318NA</t>
  </si>
  <si>
    <t xml:space="preserve">43318FACEBOOK»AZR-TRIAL-CANVAS-Prospecting»NA»PKG»ALL»CPL»AUD»D»All»SS»NA»FBCTCBrandinMotion_AUS_12sec</t>
  </si>
  <si>
    <t xml:space="preserve">43318FACEBOOK»AZR-TRIAL-CANVAS-Prospecting»NA»PKG»ALL»CPL»AUD»D»All»SS»NA»FBCTCBasicMotion_AUS_10sec</t>
  </si>
  <si>
    <t xml:space="preserve">43318FACEBOOK»AZR-TRIAL-CANVAS-Prospecting»NA»PKG»ALL»CPL»AUD»D»All»SS»NA»FBCTCBenefit2inMotion_AUS_14sec</t>
  </si>
  <si>
    <t xml:space="preserve">43318224160711</t>
  </si>
  <si>
    <t xml:space="preserve">43318Facebook»LAL»1x1»TextLink»SOC»DT»DYN»LAL»W»NA»SS»NA»Free Account Refresh- Lifestyle ChA</t>
  </si>
  <si>
    <t xml:space="preserve">43318224160774</t>
  </si>
  <si>
    <t xml:space="preserve">43318Facebook»Audience &amp; Interest Targeting»1x1»TextLink»SOC»DT»DYN»AUT»W»NA»SS»NA»Free Account Refresh- Illustration ChC</t>
  </si>
  <si>
    <t xml:space="preserve">43318Facebook»Audience &amp; Interest Targeting»1x1»TextLink»SOC»DT»DYN»RT»W»NA»SS»NA»Free Account Refresh- Illustration ChC</t>
  </si>
  <si>
    <t xml:space="preserve">43318224160714</t>
  </si>
  <si>
    <t xml:space="preserve">43318Facebook»LAL»1x1»TextLink»SOC»DT»DYN»LAL»W»NA»SS»NA»Free Account Refresh- Illustration ChC</t>
  </si>
  <si>
    <t xml:space="preserve">43318224160720</t>
  </si>
  <si>
    <t xml:space="preserve">43318Facebook»LAL»1x1»TextLink»SOC»DT»DYN»LAL»W»NA»SS»NA»Free Account Refresh- 200 Credit ChD</t>
  </si>
  <si>
    <t xml:space="preserve">43318224160783</t>
  </si>
  <si>
    <t xml:space="preserve">43318FACEBOOK»TRIAL-AZR-Audience»1 x 1»NA»SOC»ALL»CPL»AUD»D»All»SS»NA»FreeAcctAppsFACEBOOK12monthsChE</t>
  </si>
  <si>
    <t xml:space="preserve">43318224160780</t>
  </si>
  <si>
    <t xml:space="preserve">43318Facebook»Audience &amp; Interest Targeting»1x1»TextLink»SOC»DT»DYN»AUT»W»NA»SS»NA»Free Account Refresh- 200 Credit ChD</t>
  </si>
  <si>
    <t xml:space="preserve">43318Facebook»Audience &amp; Interest Targeting»1x1»TextLink»SOC»DT»DYN»RT»W»NA»SS»NA»Free Account Refresh- 200 Credit ChD</t>
  </si>
  <si>
    <t xml:space="preserve">43318224160777</t>
  </si>
  <si>
    <t xml:space="preserve">43318Facebook»Audience &amp; Interest Targeting»1x1»TextLink»SOC»DT»DYN»AUT»W»NA»SS»NA»Free Account Refresh- Device ChB</t>
  </si>
  <si>
    <t xml:space="preserve">43318Facebook»Audience &amp; Interest Targeting»1x1»TextLink»SOC»DT»DYN»RT»W»NA»SS»NA»Free Account Refresh- Device ChB</t>
  </si>
  <si>
    <t xml:space="preserve">43318224160717</t>
  </si>
  <si>
    <t xml:space="preserve">43318Facebook»LAL»1x1»TextLink»SOC»DT»DYN»LAL»W»NA»SS»NA»Free Account Refresh- Device ChB</t>
  </si>
  <si>
    <t xml:space="preserve">43317224160771</t>
  </si>
  <si>
    <t xml:space="preserve">43317Facebook»Audience &amp; Interest Targeting»1x1»TextLink»SOC»DT»DYN»RT»W»NA»SS»NA»Free Account Refresh- Lifestyle ChA</t>
  </si>
  <si>
    <t xml:space="preserve">43317Facebook»Audience &amp; Interest Targeting»1x1»TextLink»SOC»DT»DYN»AUT»W»NA»SS»NA»Free Account Refresh- Lifestyle ChA</t>
  </si>
  <si>
    <t xml:space="preserve">43317NA</t>
  </si>
  <si>
    <t xml:space="preserve">43317FACEBOOK»AZR-TRIAL-CANVAS-Prospecting»NA»PKG»ALL»CPL»AUD»D»All»SS»NA»FBCTCBasicMotion_AUS_10sec</t>
  </si>
  <si>
    <t xml:space="preserve">43317FACEBOOK»AZR-TRIAL-CANVAS-Prospecting»NA»PKG»ALL»CPL»AUD»D»All»SS»NA»FBCTCBrandinMotion_AUS_12sec</t>
  </si>
  <si>
    <t xml:space="preserve">43317FACEBOOK»AZR-TRIAL-CANVAS-Prospecting»NA»PKG»ALL»CPL»AUD»D»All»SS»NA»FBCTCBenefit2inMotion_AUS_14sec</t>
  </si>
  <si>
    <t xml:space="preserve">43317224160720</t>
  </si>
  <si>
    <t xml:space="preserve">43317Facebook»LAL»1x1»TextLink»SOC»DT»DYN»LAL»W»NA»SS»NA»Free Account Refresh- 200 Credit ChD</t>
  </si>
  <si>
    <t xml:space="preserve">43317224160780</t>
  </si>
  <si>
    <t xml:space="preserve">43317Facebook»Audience &amp; Interest Targeting»1x1»TextLink»SOC»DT»DYN»RT»W»NA»SS»NA»Free Account Refresh- 200 Credit ChD</t>
  </si>
  <si>
    <t xml:space="preserve">43317Facebook»Audience &amp; Interest Targeting»1x1»TextLink»SOC»DT»DYN»AUT»W»NA»SS»NA»Free Account Refresh- 200 Credit ChD</t>
  </si>
  <si>
    <t xml:space="preserve">43317224160711</t>
  </si>
  <si>
    <t xml:space="preserve">43317Facebook»LAL»1x1»TextLink»SOC»DT»DYN»LAL»W»NA»SS»NA»Free Account Refresh- Lifestyle ChA</t>
  </si>
  <si>
    <t xml:space="preserve">43317224160783</t>
  </si>
  <si>
    <t xml:space="preserve">43317FACEBOOK»TRIAL-AZR-Audience»1 x 1»NA»SOC»ALL»CPL»AUD»D»All»SS»NA»FreeAcctAppsFACEBOOK12monthsChE</t>
  </si>
  <si>
    <t xml:space="preserve">43317224160774</t>
  </si>
  <si>
    <t xml:space="preserve">43317Facebook»Audience &amp; Interest Targeting»1x1»TextLink»SOC»DT»DYN»AUT»W»NA»SS»NA»Free Account Refresh- Illustration ChC</t>
  </si>
  <si>
    <t xml:space="preserve">43317Facebook»Audience &amp; Interest Targeting»1x1»TextLink»SOC»DT»DYN»RT»W»NA»SS»NA»Free Account Refresh- Illustration ChC</t>
  </si>
  <si>
    <t xml:space="preserve">43317224160777</t>
  </si>
  <si>
    <t xml:space="preserve">43317Facebook»Audience &amp; Interest Targeting»1x1»TextLink»SOC»DT»DYN»AUT»W»NA»SS»NA»Free Account Refresh- Device ChB</t>
  </si>
  <si>
    <t xml:space="preserve">43317Facebook»Audience &amp; Interest Targeting»1x1»TextLink»SOC»DT»DYN»RT»W»NA»SS»NA»Free Account Refresh- Device ChB</t>
  </si>
  <si>
    <t xml:space="preserve">43317224160714</t>
  </si>
  <si>
    <t xml:space="preserve">43317Facebook»LAL»1x1»TextLink»SOC»DT»DYN»LAL»W»NA»SS»NA»Free Account Refresh- Illustration ChC</t>
  </si>
  <si>
    <t xml:space="preserve">43317224160717</t>
  </si>
  <si>
    <t xml:space="preserve">43317Facebook»LAL»1x1»TextLink»SOC»DT»DYN»LAL»W»NA»SS»NA»Free Account Refresh- Device ChB</t>
  </si>
  <si>
    <t xml:space="preserve">43330224160783</t>
  </si>
  <si>
    <t xml:space="preserve">43330FACEBOOK»TRIAL-AZR-Audience»1 x 1»NA»SOC»ALL»CPL»AUD»D»All»SS»NA»FreeAcctAppsFACEBOOK12monthsChE</t>
  </si>
  <si>
    <t xml:space="preserve">43330224160717</t>
  </si>
  <si>
    <t xml:space="preserve">43330Facebook»LAL»1x1»TextLink»SOC»DT»DYN»LAL»W»NA»SS»NA»Free Account Refresh- Device ChB</t>
  </si>
  <si>
    <t xml:space="preserve">43330224160777</t>
  </si>
  <si>
    <t xml:space="preserve">43330Facebook»Audience &amp; Interest Targeting»1x1»TextLink»SOC»DT»DYN»AUT»W»NA»SS»NA»Free Account Refresh- Device ChB</t>
  </si>
  <si>
    <t xml:space="preserve">43330Facebook»Audience &amp; Interest Targeting»1x1»TextLink»SOC»DT»DYN»RT»W»NA»SS»NA»Free Account Refresh- Device ChB</t>
  </si>
  <si>
    <t xml:space="preserve">43330224160780</t>
  </si>
  <si>
    <t xml:space="preserve">43330Facebook»Audience &amp; Interest Targeting»1x1»TextLink»SOC»DT»DYN»AUT»W»NA»SS»NA»Free Account Refresh- 200 Credit ChD</t>
  </si>
  <si>
    <t xml:space="preserve">43330Facebook»Audience &amp; Interest Targeting»1x1»TextLink»SOC»DT»DYN»RT»W»NA»SS»NA»Free Account Refresh- 200 Credit ChD</t>
  </si>
  <si>
    <t xml:space="preserve">43330NA</t>
  </si>
  <si>
    <t xml:space="preserve">43330FACEBOOK»AZR-TRIAL-CANVAS-Prospecting»NA»PKG»ALL»CPL»AUD»D»All»SS»NA»FBCTCBasicMotion_AUS_10sec</t>
  </si>
  <si>
    <t xml:space="preserve">43330FACEBOOK»AZR-TRIAL-CANVAS-Prospecting»NA»PKG»ALL»CPL»AUD»D»All»SS»NA»FBCTCBenefit2inMotion_AUS_14sec</t>
  </si>
  <si>
    <t xml:space="preserve">43330FACEBOOK»AZR-TRIAL-CANVAS-Prospecting»NA»PKG»ALL»CPL»AUD»D»All»SS»NA»FBCTCBrandinMotion_AUS_12sec</t>
  </si>
  <si>
    <t xml:space="preserve">43330224160771</t>
  </si>
  <si>
    <t xml:space="preserve">43330Facebook»Audience &amp; Interest Targeting»1x1»TextLink»SOC»DT»DYN»AUT»W»NA»SS»NA»Free Account Refresh- Lifestyle ChA</t>
  </si>
  <si>
    <t xml:space="preserve">43330Facebook»Audience &amp; Interest Targeting»1x1»TextLink»SOC»DT»DYN»RT»W»NA»SS»NA»Free Account Refresh- Lifestyle ChA</t>
  </si>
  <si>
    <t xml:space="preserve">43330224160774</t>
  </si>
  <si>
    <t xml:space="preserve">43330Facebook»Audience &amp; Interest Targeting»1x1»TextLink»SOC»DT»DYN»AUT»W»NA»SS»NA»Free Account Refresh- Illustration ChC</t>
  </si>
  <si>
    <t xml:space="preserve">43330Facebook»Audience &amp; Interest Targeting»1x1»TextLink»SOC»DT»DYN»RT»W»NA»SS»NA»Free Account Refresh- Illustration ChC</t>
  </si>
  <si>
    <t xml:space="preserve">43330224160720</t>
  </si>
  <si>
    <t xml:space="preserve">43330Facebook»LAL»1x1»TextLink»SOC»DT»DYN»LAL»W»NA»SS»NA»Free Account Refresh- 200 Credit ChD</t>
  </si>
  <si>
    <t xml:space="preserve">43330224160711</t>
  </si>
  <si>
    <t xml:space="preserve">43330Facebook»LAL»1x1»TextLink»SOC»DT»DYN»LAL»W»NA»SS»NA»Free Account Refresh- Lifestyle ChA</t>
  </si>
  <si>
    <t xml:space="preserve">43330224160714</t>
  </si>
  <si>
    <t xml:space="preserve">43330Facebook»LAL»1x1»TextLink»SOC»DT»DYN»LAL»W»NA»SS»NA»Free Account Refresh- Illustration ChC</t>
  </si>
  <si>
    <t xml:space="preserve">43329224160783</t>
  </si>
  <si>
    <t xml:space="preserve">43329FACEBOOK»TRIAL-AZR-Audience»1 x 1»NA»SOC»ALL»CPL»AUD»D»All»SS»NA»FreeAcctAppsFACEBOOK12monthsChE</t>
  </si>
  <si>
    <t xml:space="preserve">43329224160771</t>
  </si>
  <si>
    <t xml:space="preserve">43329Facebook»Audience &amp; Interest Targeting»1x1»TextLink»SOC»DT»DYN»RT»W»NA»SS»NA»Free Account Refresh- Lifestyle ChA</t>
  </si>
  <si>
    <t xml:space="preserve">43329Facebook»Audience &amp; Interest Targeting»1x1»TextLink»SOC»DT»DYN»AUT»W»NA»SS»NA»Free Account Refresh- Lifestyle ChA</t>
  </si>
  <si>
    <t xml:space="preserve">43329224160777</t>
  </si>
  <si>
    <t xml:space="preserve">43329Facebook»Audience &amp; Interest Targeting»1x1»TextLink»SOC»DT»DYN»AUT»W»NA»SS»NA»Free Account Refresh- Device ChB</t>
  </si>
  <si>
    <t xml:space="preserve">43329Facebook»Audience &amp; Interest Targeting»1x1»TextLink»SOC»DT»DYN»RT»W»NA»SS»NA»Free Account Refresh- Device ChB</t>
  </si>
  <si>
    <t xml:space="preserve">43329224160780</t>
  </si>
  <si>
    <t xml:space="preserve">43329Facebook»Audience &amp; Interest Targeting»1x1»TextLink»SOC»DT»DYN»AUT»W»NA»SS»NA»Free Account Refresh- 200 Credit ChD</t>
  </si>
  <si>
    <t xml:space="preserve">43329Facebook»Audience &amp; Interest Targeting»1x1»TextLink»SOC»DT»DYN»RT»W»NA»SS»NA»Free Account Refresh- 200 Credit ChD</t>
  </si>
  <si>
    <t xml:space="preserve">43329NA</t>
  </si>
  <si>
    <t xml:space="preserve">43329FACEBOOK»AZR-TRIAL-CANVAS-Prospecting»NA»PKG»ALL»CPL»AUD»D»All»SS»NA»FBCTCBasicMotion_AUS_10sec</t>
  </si>
  <si>
    <t xml:space="preserve">43329FACEBOOK»AZR-TRIAL-CANVAS-Prospecting»NA»PKG»ALL»CPL»AUD»D»All»SS»NA»FBCTCBenefit2inMotion_AUS_14sec</t>
  </si>
  <si>
    <t xml:space="preserve">43329FACEBOOK»AZR-TRIAL-CANVAS-Prospecting»NA»PKG»ALL»CPL»AUD»D»All»SS»NA»FBCTCBrandinMotion_AUS_12sec</t>
  </si>
  <si>
    <t xml:space="preserve">43329224160714</t>
  </si>
  <si>
    <t xml:space="preserve">43329Facebook»LAL»1x1»TextLink»SOC»DT»DYN»LAL»W»NA»SS»NA»Free Account Refresh- Illustration ChC</t>
  </si>
  <si>
    <t xml:space="preserve">43329224160774</t>
  </si>
  <si>
    <t xml:space="preserve">43329Facebook»Audience &amp; Interest Targeting»1x1»TextLink»SOC»DT»DYN»RT»W»NA»SS»NA»Free Account Refresh- Illustration ChC</t>
  </si>
  <si>
    <t xml:space="preserve">43329Facebook»Audience &amp; Interest Targeting»1x1»TextLink»SOC»DT»DYN»AUT»W»NA»SS»NA»Free Account Refresh- Illustration ChC</t>
  </si>
  <si>
    <t xml:space="preserve">43329224160717</t>
  </si>
  <si>
    <t xml:space="preserve">43329Facebook»LAL»1x1»TextLink»SOC»DT»DYN»LAL»W»NA»SS»NA»Free Account Refresh- Device ChB</t>
  </si>
  <si>
    <t xml:space="preserve">43329224160711</t>
  </si>
  <si>
    <t xml:space="preserve">43329Facebook»LAL»1x1»TextLink»SOC»DT»DYN»LAL»W»NA»SS»NA»Free Account Refresh- Lifestyle ChA</t>
  </si>
  <si>
    <t xml:space="preserve">43329224160720</t>
  </si>
  <si>
    <t xml:space="preserve">43329Facebook»LAL»1x1»TextLink»SOC»DT»DYN»LAL»W»NA»SS»NA»Free Account Refresh- 200 Credit ChD</t>
  </si>
  <si>
    <t xml:space="preserve">43328224160783</t>
  </si>
  <si>
    <t xml:space="preserve">43328FACEBOOK»TRIAL-AZR-Audience»1 x 1»NA»SOC»ALL»CPL»AUD»D»All»SS»NA»FreeAcctAppsFACEBOOK12monthsChE</t>
  </si>
  <si>
    <t xml:space="preserve">43328224160774</t>
  </si>
  <si>
    <t xml:space="preserve">43328Facebook»Audience &amp; Interest Targeting»1x1»TextLink»SOC»DT»DYN»RT»W»NA»SS»NA»Free Account Refresh- Illustration ChC</t>
  </si>
  <si>
    <t xml:space="preserve">43328Facebook»Audience &amp; Interest Targeting»1x1»TextLink»SOC»DT»DYN»AUT»W»NA»SS»NA»Free Account Refresh- Illustration ChC</t>
  </si>
  <si>
    <t xml:space="preserve">43328224160780</t>
  </si>
  <si>
    <t xml:space="preserve">43328Facebook»Audience &amp; Interest Targeting»1x1»TextLink»SOC»DT»DYN»AUT»W»NA»SS»NA»Free Account Refresh- 200 Credit ChD</t>
  </si>
  <si>
    <t xml:space="preserve">43328Facebook»Audience &amp; Interest Targeting»1x1»TextLink»SOC»DT»DYN»RT»W»NA»SS»NA»Free Account Refresh- 200 Credit ChD</t>
  </si>
  <si>
    <t xml:space="preserve">43328224160714</t>
  </si>
  <si>
    <t xml:space="preserve">43328Facebook»LAL»1x1»TextLink»SOC»DT»DYN»LAL»W»NA»SS»NA»Free Account Refresh- Illustration ChC</t>
  </si>
  <si>
    <t xml:space="preserve">43328224160717</t>
  </si>
  <si>
    <t xml:space="preserve">43328Facebook»LAL»1x1»TextLink»SOC»DT»DYN»LAL»W»NA»SS»NA»Free Account Refresh- Device ChB</t>
  </si>
  <si>
    <t xml:space="preserve">43328NA</t>
  </si>
  <si>
    <t xml:space="preserve">43328FACEBOOK»AZR-TRIAL-CANVAS-Prospecting»NA»PKG»ALL»CPL»AUD»D»All»SS»NA»FBCTCBasicMotion_AUS_10sec</t>
  </si>
  <si>
    <t xml:space="preserve">43328FACEBOOK»AZR-TRIAL-CANVAS-Prospecting»NA»PKG»ALL»CPL»AUD»D»All»SS»NA»FBCTCBenefit2inMotion_AUS_14sec</t>
  </si>
  <si>
    <t xml:space="preserve">43328FACEBOOK»AZR-TRIAL-CANVAS-Prospecting»NA»PKG»ALL»CPL»AUD»D»All»SS»NA»FBCTCBrandinMotion_AUS_12sec</t>
  </si>
  <si>
    <t xml:space="preserve">43328224160771</t>
  </si>
  <si>
    <t xml:space="preserve">43328Facebook»Audience &amp; Interest Targeting»1x1»TextLink»SOC»DT»DYN»AUT»W»NA»SS»NA»Free Account Refresh- Lifestyle ChA</t>
  </si>
  <si>
    <t xml:space="preserve">43328Facebook»Audience &amp; Interest Targeting»1x1»TextLink»SOC»DT»DYN»RT»W»NA»SS»NA»Free Account Refresh- Lifestyle ChA</t>
  </si>
  <si>
    <t xml:space="preserve">43328224160720</t>
  </si>
  <si>
    <t xml:space="preserve">43328Facebook»LAL»1x1»TextLink»SOC»DT»DYN»LAL»W»NA»SS»NA»Free Account Refresh- 200 Credit ChD</t>
  </si>
  <si>
    <t xml:space="preserve">43328224160777</t>
  </si>
  <si>
    <t xml:space="preserve">43328Facebook»Audience &amp; Interest Targeting»1x1»TextLink»SOC»DT»DYN»AUT»W»NA»SS»NA»Free Account Refresh- Device ChB</t>
  </si>
  <si>
    <t xml:space="preserve">43328Facebook»Audience &amp; Interest Targeting»1x1»TextLink»SOC»DT»DYN»RT»W»NA»SS»NA»Free Account Refresh- Device ChB</t>
  </si>
  <si>
    <t xml:space="preserve">43328224160711</t>
  </si>
  <si>
    <t xml:space="preserve">43328Facebook»LAL»1x1»TextLink»SOC»DT»DYN»LAL»W»NA»SS»NA»Free Account Refresh- Lifestyle ChA</t>
  </si>
  <si>
    <t xml:space="preserve">43327224160717</t>
  </si>
  <si>
    <t xml:space="preserve">43327Facebook»LAL»1x1»TextLink»SOC»DT»DYN»LAL»W»NA»SS»NA»Free Account Refresh- Device ChB</t>
  </si>
  <si>
    <t xml:space="preserve">43327224160777</t>
  </si>
  <si>
    <t xml:space="preserve">43327Facebook»Audience &amp; Interest Targeting»1x1»TextLink»SOC»DT»DYN»AUT»W»NA»SS»NA»Free Account Refresh- Device ChB</t>
  </si>
  <si>
    <t xml:space="preserve">43327Facebook»Audience &amp; Interest Targeting»1x1»TextLink»SOC»DT»DYN»RT»W»NA»SS»NA»Free Account Refresh- Device ChB</t>
  </si>
  <si>
    <t xml:space="preserve">43327NA</t>
  </si>
  <si>
    <t xml:space="preserve">43327FACEBOOK»AZR-TRIAL-CANVAS-Prospecting»NA»PKG»ALL»CPL»AUD»D»All»SS»NA»FBCTCBenefit2inMotion_AUS_14sec</t>
  </si>
  <si>
    <t xml:space="preserve">43327FACEBOOK»AZR-TRIAL-CANVAS-Prospecting»NA»PKG»ALL»CPL»AUD»D»All»SS»NA»FBCTCBasicMotion_AUS_10sec</t>
  </si>
  <si>
    <t xml:space="preserve">43327FACEBOOK»AZR-TRIAL-CANVAS-Prospecting»NA»PKG»ALL»CPL»AUD»D»All»SS»NA»FBCTCBrandinMotion_AUS_12sec</t>
  </si>
  <si>
    <t xml:space="preserve">43327224160774</t>
  </si>
  <si>
    <t xml:space="preserve">43327Facebook»Audience &amp; Interest Targeting»1x1»TextLink»SOC»DT»DYN»RT»W»NA»SS»NA»Free Account Refresh- Illustration ChC</t>
  </si>
  <si>
    <t xml:space="preserve">43327Facebook»Audience &amp; Interest Targeting»1x1»TextLink»SOC»DT»DYN»AUT»W»NA»SS»NA»Free Account Refresh- Illustration ChC</t>
  </si>
  <si>
    <t xml:space="preserve">43327224160720</t>
  </si>
  <si>
    <t xml:space="preserve">43327Facebook»LAL»1x1»TextLink»SOC»DT»DYN»LAL»W»NA»SS»NA»Free Account Refresh- 200 Credit ChD</t>
  </si>
  <si>
    <t xml:space="preserve">43327224160714</t>
  </si>
  <si>
    <t xml:space="preserve">43327Facebook»LAL»1x1»TextLink»SOC»DT»DYN»LAL»W»NA»SS»NA»Free Account Refresh- Illustration ChC</t>
  </si>
  <si>
    <t xml:space="preserve">43327224160783</t>
  </si>
  <si>
    <t xml:space="preserve">43327FACEBOOK»TRIAL-AZR-Audience»1 x 1»NA»SOC»ALL»CPL»AUD»D»All»SS»NA»FreeAcctAppsFACEBOOK12monthsChE</t>
  </si>
  <si>
    <t xml:space="preserve">43327224160711</t>
  </si>
  <si>
    <t xml:space="preserve">43327Facebook»LAL»1x1»TextLink»SOC»DT»DYN»LAL»W»NA»SS»NA»Free Account Refresh- Lifestyle ChA</t>
  </si>
  <si>
    <t xml:space="preserve">43327224160780</t>
  </si>
  <si>
    <t xml:space="preserve">43327Facebook»Audience &amp; Interest Targeting»1x1»TextLink»SOC»DT»DYN»RT»W»NA»SS»NA»Free Account Refresh- 200 Credit ChD</t>
  </si>
  <si>
    <t xml:space="preserve">43327Facebook»Audience &amp; Interest Targeting»1x1»TextLink»SOC»DT»DYN»AUT»W»NA»SS»NA»Free Account Refresh- 200 Credit ChD</t>
  </si>
  <si>
    <t xml:space="preserve">43327224160771</t>
  </si>
  <si>
    <t xml:space="preserve">43327Facebook»Audience &amp; Interest Targeting»1x1»TextLink»SOC»DT»DYN»AUT»W»NA»SS»NA»Free Account Refresh- Lifestyle ChA</t>
  </si>
  <si>
    <t xml:space="preserve">43327Facebook»Audience &amp; Interest Targeting»1x1»TextLink»SOC»DT»DYN»RT»W»NA»SS»NA»Free Account Refresh- Lifestyle ChA</t>
  </si>
  <si>
    <t xml:space="preserve">43326224160783</t>
  </si>
  <si>
    <t xml:space="preserve">43326FACEBOOK»TRIAL-AZR-Audience»1 x 1»NA»SOC»ALL»CPL»AUD»D»All»SS»NA»FreeAcctAppsFACEBOOK12monthsChE</t>
  </si>
  <si>
    <t xml:space="preserve">43326224160771</t>
  </si>
  <si>
    <t xml:space="preserve">43326Facebook»Audience &amp; Interest Targeting»1x1»TextLink»SOC»DT»DYN»AUT»W»NA»SS»NA»Free Account Refresh- Lifestyle ChA</t>
  </si>
  <si>
    <t xml:space="preserve">43326Facebook»Audience &amp; Interest Targeting»1x1»TextLink»SOC»DT»DYN»RT»W»NA»SS»NA»Free Account Refresh- Lifestyle ChA</t>
  </si>
  <si>
    <t xml:space="preserve">43326224160780</t>
  </si>
  <si>
    <t xml:space="preserve">43326Facebook»Audience &amp; Interest Targeting»1x1»TextLink»SOC»DT»DYN»AUT»W»NA»SS»NA»Free Account Refresh- 200 Credit ChD</t>
  </si>
  <si>
    <t xml:space="preserve">43326Facebook»Audience &amp; Interest Targeting»1x1»TextLink»SOC»DT»DYN»RT»W»NA»SS»NA»Free Account Refresh- 200 Credit ChD</t>
  </si>
  <si>
    <t xml:space="preserve">43326NA</t>
  </si>
  <si>
    <t xml:space="preserve">43326FACEBOOK»AZR-TRIAL-CANVAS-Prospecting»NA»PKG»ALL»CPL»AUD»D»All»SS»NA»FBCTCBasicMotion_AUS_10sec</t>
  </si>
  <si>
    <t xml:space="preserve">43326FACEBOOK»AZR-TRIAL-CANVAS-Prospecting»NA»PKG»ALL»CPL»AUD»D»All»SS»NA»FBCTCBenefit2inMotion_AUS_14sec</t>
  </si>
  <si>
    <t xml:space="preserve">43326FACEBOOK»AZR-TRIAL-CANVAS-Prospecting»NA»PKG»ALL»CPL»AUD»D»All»SS»NA»FBCTCBrandinMotion_AUS_12sec</t>
  </si>
  <si>
    <t xml:space="preserve">43326224160774</t>
  </si>
  <si>
    <t xml:space="preserve">43326Facebook»Audience &amp; Interest Targeting»1x1»TextLink»SOC»DT»DYN»RT»W»NA»SS»NA»Free Account Refresh- Illustration ChC</t>
  </si>
  <si>
    <t xml:space="preserve">43326Facebook»Audience &amp; Interest Targeting»1x1»TextLink»SOC»DT»DYN»AUT»W»NA»SS»NA»Free Account Refresh- Illustration ChC</t>
  </si>
  <si>
    <t xml:space="preserve">43326224160777</t>
  </si>
  <si>
    <t xml:space="preserve">43326Facebook»Audience &amp; Interest Targeting»1x1»TextLink»SOC»DT»DYN»RT»W»NA»SS»NA»Free Account Refresh- Device ChB</t>
  </si>
  <si>
    <t xml:space="preserve">43326Facebook»Audience &amp; Interest Targeting»1x1»TextLink»SOC»DT»DYN»AUT»W»NA»SS»NA»Free Account Refresh- Device ChB</t>
  </si>
  <si>
    <t xml:space="preserve">43326224160720</t>
  </si>
  <si>
    <t xml:space="preserve">43326Facebook»LAL»1x1»TextLink»SOC»DT»DYN»LAL»W»NA»SS»NA»Free Account Refresh- 200 Credit ChD</t>
  </si>
  <si>
    <t xml:space="preserve">43326224160717</t>
  </si>
  <si>
    <t xml:space="preserve">43326Facebook»LAL»1x1»TextLink»SOC»DT»DYN»LAL»W»NA»SS»NA»Free Account Refresh- Device ChB</t>
  </si>
  <si>
    <t xml:space="preserve">43326224160714</t>
  </si>
  <si>
    <t xml:space="preserve">43326Facebook»LAL»1x1»TextLink»SOC»DT»DYN»LAL»W»NA»SS»NA»Free Account Refresh- Illustration ChC</t>
  </si>
  <si>
    <t xml:space="preserve">43326224160711</t>
  </si>
  <si>
    <t xml:space="preserve">43326Facebook»LAL»1x1»TextLink»SOC»DT»DYN»LAL»W»NA»SS»NA»Free Account Refresh- Lifestyle ChA</t>
  </si>
  <si>
    <t xml:space="preserve">43325224160777</t>
  </si>
  <si>
    <t xml:space="preserve">43325Facebook»Audience &amp; Interest Targeting»1x1»TextLink»SOC»DT»DYN»AUT»W»NA»SS»NA»Free Account Refresh- Device ChB</t>
  </si>
  <si>
    <t xml:space="preserve">43325Facebook»Audience &amp; Interest Targeting»1x1»TextLink»SOC»DT»DYN»RT»W»NA»SS»NA»Free Account Refresh- Device ChB</t>
  </si>
  <si>
    <t xml:space="preserve">43325224160771</t>
  </si>
  <si>
    <t xml:space="preserve">43325Facebook»Audience &amp; Interest Targeting»1x1»TextLink»SOC»DT»DYN»AUT»W»NA»SS»NA»Free Account Refresh- Lifestyle ChA</t>
  </si>
  <si>
    <t xml:space="preserve">43325Facebook»Audience &amp; Interest Targeting»1x1»TextLink»SOC»DT»DYN»RT»W»NA»SS»NA»Free Account Refresh- Lifestyle ChA</t>
  </si>
  <si>
    <t xml:space="preserve">43325224160774</t>
  </si>
  <si>
    <t xml:space="preserve">43325Facebook»Audience &amp; Interest Targeting»1x1»TextLink»SOC»DT»DYN»AUT»W»NA»SS»NA»Free Account Refresh- Illustration ChC</t>
  </si>
  <si>
    <t xml:space="preserve">43325Facebook»Audience &amp; Interest Targeting»1x1»TextLink»SOC»DT»DYN»RT»W»NA»SS»NA»Free Account Refresh- Illustration ChC</t>
  </si>
  <si>
    <t xml:space="preserve">43325224160780</t>
  </si>
  <si>
    <t xml:space="preserve">43325Facebook»Audience &amp; Interest Targeting»1x1»TextLink»SOC»DT»DYN»AUT»W»NA»SS»NA»Free Account Refresh- 200 Credit ChD</t>
  </si>
  <si>
    <t xml:space="preserve">43325Facebook»Audience &amp; Interest Targeting»1x1»TextLink»SOC»DT»DYN»RT»W»NA»SS»NA»Free Account Refresh- 200 Credit ChD</t>
  </si>
  <si>
    <t xml:space="preserve">43325NA</t>
  </si>
  <si>
    <t xml:space="preserve">43325FACEBOOK»AZR-TRIAL-CANVAS-Prospecting»NA»PKG»ALL»CPL»AUD»D»All»SS»NA»FBCTCBasicMotion_AUS_10sec</t>
  </si>
  <si>
    <t xml:space="preserve">43325FACEBOOK»AZR-TRIAL-CANVAS-Prospecting»NA»PKG»ALL»CPL»AUD»D»All»SS»NA»FBCTCBenefit2inMotion_AUS_14sec</t>
  </si>
  <si>
    <t xml:space="preserve">43325FACEBOOK»AZR-TRIAL-CANVAS-Prospecting»NA»PKG»ALL»CPL»AUD»D»All»SS»NA»FBCTCBrandinMotion_AUS_12sec</t>
  </si>
  <si>
    <t xml:space="preserve">43325224160714</t>
  </si>
  <si>
    <t xml:space="preserve">43325Facebook»LAL»1x1»TextLink»SOC»DT»DYN»LAL»W»NA»SS»NA»Free Account Refresh- Illustration ChC</t>
  </si>
  <si>
    <t xml:space="preserve">43325224160717</t>
  </si>
  <si>
    <t xml:space="preserve">43325Facebook»LAL»1x1»TextLink»SOC»DT»DYN»LAL»W»NA»SS»NA»Free Account Refresh- Device ChB</t>
  </si>
  <si>
    <t xml:space="preserve">43325224160711</t>
  </si>
  <si>
    <t xml:space="preserve">43325Facebook»LAL»1x1»TextLink»SOC»DT»DYN»LAL»W»NA»SS»NA»Free Account Refresh- Lifestyle ChA</t>
  </si>
  <si>
    <t xml:space="preserve">43325224160783</t>
  </si>
  <si>
    <t xml:space="preserve">43325FACEBOOK»TRIAL-AZR-Audience»1 x 1»NA»SOC»ALL»CPL»AUD»D»All»SS»NA»FreeAcctAppsFACEBOOK12monthsChE</t>
  </si>
  <si>
    <t xml:space="preserve">43325224160720</t>
  </si>
  <si>
    <t xml:space="preserve">43325Facebook»LAL»1x1»TextLink»SOC»DT»DYN»LAL»W»NA»SS»NA»Free Account Refresh- 200 Credit ChD</t>
  </si>
  <si>
    <t xml:space="preserve">43324224160783</t>
  </si>
  <si>
    <t xml:space="preserve">43324FACEBOOK»TRIAL-AZR-Audience»1 x 1»NA»SOC»ALL»CPL»AUD»D»All»SS»NA»FreeAcctAppsFACEBOOK12monthsChE</t>
  </si>
  <si>
    <t xml:space="preserve">43324224160714</t>
  </si>
  <si>
    <t xml:space="preserve">43324Facebook»LAL»1x1»TextLink»SOC»DT»DYN»LAL»W»NA»SS»NA»Free Account Refresh- Illustration ChC</t>
  </si>
  <si>
    <t xml:space="preserve">43324224160771</t>
  </si>
  <si>
    <t xml:space="preserve">43324Facebook»Audience &amp; Interest Targeting»1x1»TextLink»SOC»DT»DYN»AUT»W»NA»SS»NA»Free Account Refresh- Lifestyle ChA</t>
  </si>
  <si>
    <t xml:space="preserve">43324Facebook»Audience &amp; Interest Targeting»1x1»TextLink»SOC»DT»DYN»RT»W»NA»SS»NA»Free Account Refresh- Lifestyle ChA</t>
  </si>
  <si>
    <t xml:space="preserve">43324224160774</t>
  </si>
  <si>
    <t xml:space="preserve">43324Facebook»Audience &amp; Interest Targeting»1x1»TextLink»SOC»DT»DYN»AUT»W»NA»SS»NA»Free Account Refresh- Illustration ChC</t>
  </si>
  <si>
    <t xml:space="preserve">43324Facebook»Audience &amp; Interest Targeting»1x1»TextLink»SOC»DT»DYN»RT»W»NA»SS»NA»Free Account Refresh- Illustration ChC</t>
  </si>
  <si>
    <t xml:space="preserve">43324224160777</t>
  </si>
  <si>
    <t xml:space="preserve">43324Facebook»Audience &amp; Interest Targeting»1x1»TextLink»SOC»DT»DYN»AUT»W»NA»SS»NA»Free Account Refresh- Device ChB</t>
  </si>
  <si>
    <t xml:space="preserve">43324Facebook»Audience &amp; Interest Targeting»1x1»TextLink»SOC»DT»DYN»RT»W»NA»SS»NA»Free Account Refresh- Device ChB</t>
  </si>
  <si>
    <t xml:space="preserve">43324224160780</t>
  </si>
  <si>
    <t xml:space="preserve">43324Facebook»Audience &amp; Interest Targeting»1x1»TextLink»SOC»DT»DYN»AUT»W»NA»SS»NA»Free Account Refresh- 200 Credit ChD</t>
  </si>
  <si>
    <t xml:space="preserve">43324Facebook»Audience &amp; Interest Targeting»1x1»TextLink»SOC»DT»DYN»RT»W»NA»SS»NA»Free Account Refresh- 200 Credit ChD</t>
  </si>
  <si>
    <t xml:space="preserve">43324NA</t>
  </si>
  <si>
    <t xml:space="preserve">43324FACEBOOK»AZR-TRIAL-CANVAS-Prospecting»NA»PKG»ALL»CPL»AUD»D»All»SS»NA»FBCTCBasicMotion_AUS_10sec</t>
  </si>
  <si>
    <t xml:space="preserve">43324FACEBOOK»AZR-TRIAL-CANVAS-Prospecting»NA»PKG»ALL»CPL»AUD»D»All»SS»NA»FBCTCBenefit2inMotion_AUS_14sec</t>
  </si>
  <si>
    <t xml:space="preserve">43324FACEBOOK»AZR-TRIAL-CANVAS-Prospecting»NA»PKG»ALL»CPL»AUD»D»All»SS»NA»FBCTCBrandinMotion_AUS_12sec</t>
  </si>
  <si>
    <t xml:space="preserve">43324224160720</t>
  </si>
  <si>
    <t xml:space="preserve">43324Facebook»LAL»1x1»TextLink»SOC»DT»DYN»LAL»W»NA»SS»NA»Free Account Refresh- 200 Credit ChD</t>
  </si>
  <si>
    <t xml:space="preserve">43324224160717</t>
  </si>
  <si>
    <t xml:space="preserve">43324Facebook»LAL»1x1»TextLink»SOC»DT»DYN»LAL»W»NA»SS»NA»Free Account Refresh- Device ChB</t>
  </si>
  <si>
    <t xml:space="preserve">43324224160711</t>
  </si>
  <si>
    <t xml:space="preserve">43324Facebook»LAL»1x1»TextLink»SOC»DT»DYN»LAL»W»NA»SS»NA»Free Account Refresh- Lifestyle ChA</t>
  </si>
  <si>
    <t xml:space="preserve">43312Facebook»LAL»1x1»TextLink»SOC»DT»DYN»LAL»W»NA»SS»NA»Free Account Refresh- 200 Credit ChD103186907</t>
  </si>
  <si>
    <t xml:space="preserve">43312Facebook»LAL»1x1»TextLink»SOC»DT»DYN»LAL»W»NA»SS»NA»Free Account Refresh- Device ChB103048485</t>
  </si>
  <si>
    <t xml:space="preserve">43312Facebook»LAL»1x1»TextLink»SOC»DT»DYN»LAL»W»NA»SS»NA»Free Account Refresh- Lifestyle ChA103048491</t>
  </si>
  <si>
    <t xml:space="preserve">43313Facebook»LAL»1x1»TextLink»SOC»DT»DYN»LAL»W»NA»SS»NA»Free Account Refresh- 200 Credit ChD103186907</t>
  </si>
  <si>
    <t xml:space="preserve">43313Facebook»LAL»1x1»TextLink»SOC»DT»DYN»LAL»W»NA»SS»NA»Free Account Refresh- Device ChB103048485</t>
  </si>
  <si>
    <t xml:space="preserve">43313Facebook»LAL»1x1»TextLink»SOC»DT»DYN»LAL»W»NA»SS»NA»Free Account Refresh- Illustration ChC103186916</t>
  </si>
  <si>
    <t xml:space="preserve">43313Facebook»LAL»1x1»TextLink»SOC»DT»DYN»LAL»W»NA»SS»NA»Free Account Refresh- Lifestyle ChA103048491</t>
  </si>
  <si>
    <t xml:space="preserve">43314Facebook»LAL»1x1»TextLink»SOC»DT»DYN»LAL»W»NA»SS»NA»Free Account Refresh- 200 Credit ChD103186907</t>
  </si>
  <si>
    <t xml:space="preserve">43314Facebook»LAL»1x1»TextLink»SOC»DT»DYN»LAL»W»NA»SS»NA»Free Account Refresh- Device ChB103048485</t>
  </si>
  <si>
    <t xml:space="preserve">43314Facebook»LAL»1x1»TextLink»SOC»DT»DYN»LAL»W»NA»SS»NA»Free Account Refresh- Illustration ChC103186916</t>
  </si>
  <si>
    <t xml:space="preserve">43314Facebook»LAL»1x1»TextLink»SOC»DT»DYN»LAL»W»NA»SS»NA»Free Account Refresh- Lifestyle ChA103048491</t>
  </si>
  <si>
    <t xml:space="preserve">43315Facebook»LAL»1x1»TextLink»SOC»DT»DYN»LAL»W»NA»SS»NA»Free Account Refresh- 200 Credit ChD103186907</t>
  </si>
  <si>
    <t xml:space="preserve">43315Facebook»LAL»1x1»TextLink»SOC»DT»DYN»LAL»W»NA»SS»NA»Free Account Refresh- Device ChB103048485</t>
  </si>
  <si>
    <t xml:space="preserve">43315Facebook»LAL»1x1»TextLink»SOC»DT»DYN»LAL»W»NA»SS»NA»Free Account Refresh- Illustration ChC103186916</t>
  </si>
  <si>
    <t xml:space="preserve">43315Facebook»LAL»1x1»TextLink»SOC»DT»DYN»LAL»W»NA»SS»NA»Free Account Refresh- Lifestyle ChA103048491</t>
  </si>
  <si>
    <t xml:space="preserve">43316Facebook»LAL»1x1»TextLink»SOC»DT»DYN»LAL»W»NA»SS»NA»Free Account Refresh- 200 Credit ChD103186907</t>
  </si>
  <si>
    <t xml:space="preserve">43316Facebook»LAL»1x1»TextLink»SOC»DT»DYN»LAL»W»NA»SS»NA»Free Account Refresh- Device ChB103048485</t>
  </si>
  <si>
    <t xml:space="preserve">43316Facebook»LAL»1x1»TextLink»SOC»DT»DYN»LAL»W»NA»SS»NA»Free Account Refresh- Illustration ChC103186916</t>
  </si>
  <si>
    <t xml:space="preserve">43316Facebook»LAL»1x1»TextLink»SOC»DT»DYN»LAL»W»NA»SS»NA»Free Account Refresh- Lifestyle ChA103048491</t>
  </si>
  <si>
    <t xml:space="preserve">43317Facebook»LAL»1x1»TextLink»SOC»DT»DYN»LAL»W»NA»SS»NA»Free Account Refresh- 200 Credit ChD103186907</t>
  </si>
  <si>
    <t xml:space="preserve">43317Facebook»LAL»1x1»TextLink»SOC»DT»DYN»LAL»W»NA»SS»NA»Free Account Refresh- Device ChB103048485</t>
  </si>
  <si>
    <t xml:space="preserve">43317Facebook»LAL»1x1»TextLink»SOC»DT»DYN»LAL»W»NA»SS»NA»Free Account Refresh- Illustration ChC103186916</t>
  </si>
  <si>
    <t xml:space="preserve">43317Facebook»LAL»1x1»TextLink»SOC»DT»DYN»LAL»W»NA»SS»NA»Free Account Refresh- Lifestyle ChA103048491</t>
  </si>
  <si>
    <t xml:space="preserve">43318Facebook»LAL»1x1»TextLink»SOC»DT»DYN»LAL»W»NA»SS»NA»Free Account Refresh- 200 Credit ChD103186907</t>
  </si>
  <si>
    <t xml:space="preserve">43318Facebook»LAL»1x1»TextLink»SOC»DT»DYN»LAL»W»NA»SS»NA»Free Account Refresh- Device ChB103048485</t>
  </si>
  <si>
    <t xml:space="preserve">43318Facebook»LAL»1x1»TextLink»SOC»DT»DYN»LAL»W»NA»SS»NA»Free Account Refresh- Illustration ChC103186916</t>
  </si>
  <si>
    <t xml:space="preserve">43318Facebook»LAL»1x1»TextLink»SOC»DT»DYN»LAL»W»NA»SS»NA»Free Account Refresh- Lifestyle ChA103048491</t>
  </si>
  <si>
    <t xml:space="preserve">43319Facebook»LAL»1x1»TextLink»SOC»DT»DYN»LAL»W»NA»SS»NA»Free Account Refresh- 200 Credit ChD103186907</t>
  </si>
  <si>
    <t xml:space="preserve">43319Facebook»LAL»1x1»TextLink»SOC»DT»DYN»LAL»W»NA»SS»NA»Free Account Refresh- Device ChB103048485</t>
  </si>
  <si>
    <t xml:space="preserve">43319Facebook»LAL»1x1»TextLink»SOC»DT»DYN»LAL»W»NA»SS»NA»Free Account Refresh- Illustration ChC103186916</t>
  </si>
  <si>
    <t xml:space="preserve">43319Facebook»LAL»1x1»TextLink»SOC»DT»DYN»LAL»W»NA»SS»NA»Free Account Refresh- Lifestyle ChA103048491</t>
  </si>
  <si>
    <t xml:space="preserve">43320Facebook»LAL»1x1»TextLink»SOC»DT»DYN»LAL»W»NA»SS»NA»Free Account Refresh- Device ChB103048485</t>
  </si>
  <si>
    <t xml:space="preserve">43320Facebook»LAL»1x1»TextLink»SOC»DT»DYN»LAL»W»NA»SS»NA»Free Account Refresh- Illustration ChC103186916</t>
  </si>
  <si>
    <t xml:space="preserve">43321Facebook»LAL»1x1»TextLink»SOC»DT»DYN»LAL»W»NA»SS»NA»Free Account Refresh- 200 Credit ChD103186907</t>
  </si>
  <si>
    <t xml:space="preserve">43321Facebook»LAL»1x1»TextLink»SOC»DT»DYN»LAL»W»NA»SS»NA»Free Account Refresh- Device ChB103048485</t>
  </si>
  <si>
    <t xml:space="preserve">43321Facebook»LAL»1x1»TextLink»SOC»DT»DYN»LAL»W»NA»SS»NA»Free Account Refresh- Illustration ChC103186916</t>
  </si>
  <si>
    <t xml:space="preserve">43321Facebook»LAL»1x1»TextLink»SOC»DT»DYN»LAL»W»NA»SS»NA»Free Account Refresh- Lifestyle ChA103048491</t>
  </si>
  <si>
    <t xml:space="preserve">43322Facebook»LAL»1x1»TextLink»SOC»DT»DYN»LAL»W»NA»SS»NA»Free Account Refresh- 200 Credit ChD103186907</t>
  </si>
  <si>
    <t xml:space="preserve">43322Facebook»LAL»1x1»TextLink»SOC»DT»DYN»LAL»W»NA»SS»NA»Free Account Refresh- Device ChB103048485</t>
  </si>
  <si>
    <t xml:space="preserve">43322Facebook»LAL»1x1»TextLink»SOC»DT»DYN»LAL»W»NA»SS»NA»Free Account Refresh- Illustration ChC103186916</t>
  </si>
  <si>
    <t xml:space="preserve">43322Facebook»LAL»1x1»TextLink»SOC»DT»DYN»LAL»W»NA»SS»NA»Free Account Refresh- Lifestyle ChA103048491</t>
  </si>
  <si>
    <t xml:space="preserve">43323Facebook»LAL»1x1»TextLink»SOC»DT»DYN»LAL»W»NA»SS»NA»Free Account Refresh- Device ChB103048485</t>
  </si>
  <si>
    <t xml:space="preserve">43323Facebook»LAL»1x1»TextLink»SOC»DT»DYN»LAL»W»NA»SS»NA»Free Account Refresh- Lifestyle ChA103048491</t>
  </si>
  <si>
    <t xml:space="preserve">43324Facebook»LAL»1x1»TextLink»SOC»DT»DYN»LAL»W»NA»SS»NA»Free Account Refresh- Device ChB103048485</t>
  </si>
  <si>
    <t xml:space="preserve">43324Facebook»LAL»1x1»TextLink»SOC»DT»DYN»LAL»W»NA»SS»NA»Free Account Refresh- Illustration ChC103186916</t>
  </si>
  <si>
    <t xml:space="preserve">43325Facebook»LAL»1x1»TextLink»SOC»DT»DYN»LAL»W»NA»SS»NA»Free Account Refresh- 200 Credit ChD103186907</t>
  </si>
  <si>
    <t xml:space="preserve">43325Facebook»LAL»1x1»TextLink»SOC»DT»DYN»LAL»W»NA»SS»NA»Free Account Refresh- Device ChB103048485</t>
  </si>
  <si>
    <t xml:space="preserve">43325Facebook»LAL»1x1»TextLink»SOC»DT»DYN»LAL»W»NA»SS»NA»Free Account Refresh- Lifestyle ChA103048491</t>
  </si>
  <si>
    <t xml:space="preserve">43326Facebook»LAL»1x1»TextLink»SOC»DT»DYN»LAL»W»NA»SS»NA»Free Account Refresh- 200 Credit ChD103186907</t>
  </si>
  <si>
    <t xml:space="preserve">43326Facebook»LAL»1x1»TextLink»SOC»DT»DYN»LAL»W»NA»SS»NA»Free Account Refresh- Device ChB103048485</t>
  </si>
  <si>
    <t xml:space="preserve">43326Facebook»LAL»1x1»TextLink»SOC»DT»DYN»LAL»W»NA»SS»NA»Free Account Refresh- Illustration ChC103186916</t>
  </si>
  <si>
    <t xml:space="preserve">43326Facebook»LAL»1x1»TextLink»SOC»DT»DYN»LAL»W»NA»SS»NA»Free Account Refresh- Lifestyle ChA103048491</t>
  </si>
  <si>
    <t xml:space="preserve">43327Facebook»LAL»1x1»TextLink»SOC»DT»DYN»LAL»W»NA»SS»NA»Free Account Refresh- Device ChB103048485</t>
  </si>
  <si>
    <t xml:space="preserve">43328Facebook»LAL»1x1»TextLink»SOC»DT»DYN»LAL»W»NA»SS»NA»Free Account Refresh- 200 Credit ChD103186907</t>
  </si>
  <si>
    <t xml:space="preserve">43328Facebook»LAL»1x1»TextLink»SOC»DT»DYN»LAL»W»NA»SS»NA»Free Account Refresh- Device ChB103048485</t>
  </si>
  <si>
    <t xml:space="preserve">43328Facebook»LAL»1x1»TextLink»SOC»DT»DYN»LAL»W»NA»SS»NA»Free Account Refresh- Illustration ChC103186916</t>
  </si>
  <si>
    <t xml:space="preserve">43328Facebook»LAL»1x1»TextLink»SOC»DT»DYN»LAL»W»NA»SS»NA»Free Account Refresh- Lifestyle ChA103048491</t>
  </si>
  <si>
    <t xml:space="preserve">43329Facebook»LAL»1x1»TextLink»SOC»DT»DYN»LAL»W»NA»SS»NA»Free Account Refresh- 200 Credit ChD103186907</t>
  </si>
  <si>
    <t xml:space="preserve">43329Facebook»LAL»1x1»TextLink»SOC»DT»DYN»LAL»W»NA»SS»NA»Free Account Refresh- Device ChB103048485</t>
  </si>
  <si>
    <t xml:space="preserve">43329Facebook»LAL»1x1»TextLink»SOC»DT»DYN»LAL»W»NA»SS»NA»Free Account Refresh- Illustration ChC103186916</t>
  </si>
  <si>
    <t xml:space="preserve">43329Facebook»LAL»1x1»TextLink»SOC»DT»DYN»LAL»W»NA»SS»NA»Free Account Refresh- Lifestyle ChA103048491</t>
  </si>
  <si>
    <t xml:space="preserve">43330Facebook»LAL»1x1»TextLink»SOC»DT»DYN»LAL»W»NA»SS»NA»Free Account Refresh- 200 Credit ChD103186907</t>
  </si>
  <si>
    <t xml:space="preserve">43330Facebook»LAL»1x1»TextLink»SOC»DT»DYN»LAL»W»NA»SS»NA»Free Account Refresh- Device ChB103048485</t>
  </si>
  <si>
    <t xml:space="preserve">43330Facebook»LAL»1x1»TextLink»SOC»DT»DYN»LAL»W»NA»SS»NA»Free Account Refresh- Illustration ChC103186916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</si>
</sst>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DD/MM/YYYY"/>
    <numFmt numFmtId="166" formatCode="@"/>
    <numFmt numFmtId="167" formatCode="_(* #,##0.00_);_(* \(#,##0.00\);_(* \-??_);_(@_)"/>
    <numFmt numFmtId="168" formatCode="0"/>
    <numFmt numFmtId="169" formatCode="0.00"/>
  </numFmts>
  <fonts count="11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</font>
    <font>
      <b val="true"/>
      <sz val="11"/>
      <color rgb="FFFFFFFF"/>
      <name val="Calibri"/>
      <family val="2"/>
    </font>
    <font>
      <b val="true"/>
      <sz val="24"/>
      <color rgb="FF000000"/>
      <name val="Calibri"/>
      <family val="2"/>
    </font>
    <font>
      <sz val="11"/>
      <name val="Times New Roman"/>
      <family val="1"/>
    </font>
    <font>
      <b val="true"/>
      <sz val="14"/>
      <color rgb="FF000000"/>
      <name val="Calibri"/>
      <family val="2"/>
    </font>
    <font>
      <sz val="11"/>
      <color rgb="FFFFFFFF"/>
      <name val="Calibri"/>
      <family val="2"/>
    </font>
    <font>
      <i val="true"/>
      <sz val="11"/>
      <color rgb="FF00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A5A5A5"/>
        <bgColor rgb="FF8FAADC"/>
      </patternFill>
    </fill>
    <fill>
      <patternFill patternType="solid">
        <fgColor rgb="FFEFF6FB"/>
        <bgColor rgb="FFFFFFFF"/>
      </patternFill>
    </fill>
    <fill>
      <patternFill patternType="solid">
        <fgColor rgb="FF9DC3E6"/>
        <bgColor rgb="FF8FAADC"/>
      </patternFill>
    </fill>
    <fill>
      <patternFill patternType="solid">
        <fgColor rgb="FFED7D31"/>
        <bgColor rgb="FFFF8080"/>
      </patternFill>
    </fill>
    <fill>
      <patternFill patternType="solid">
        <fgColor rgb="FFFFFFFF"/>
        <bgColor rgb="FFEFF6FB"/>
      </patternFill>
    </fill>
    <fill>
      <patternFill patternType="solid">
        <fgColor rgb="FF70AD47"/>
        <bgColor rgb="FF548235"/>
      </patternFill>
    </fill>
    <fill>
      <patternFill patternType="solid">
        <fgColor rgb="FF000000"/>
        <bgColor rgb="FF003300"/>
      </patternFill>
    </fill>
    <fill>
      <patternFill patternType="solid">
        <fgColor rgb="FF595959"/>
        <bgColor rgb="FF3F3F3F"/>
      </patternFill>
    </fill>
    <fill>
      <patternFill patternType="solid">
        <fgColor rgb="FF548235"/>
        <bgColor rgb="FF595959"/>
      </patternFill>
    </fill>
    <fill>
      <patternFill patternType="solid">
        <fgColor rgb="FFC00000"/>
        <bgColor rgb="FF800000"/>
      </patternFill>
    </fill>
    <fill>
      <patternFill patternType="solid">
        <fgColor rgb="FFFFF2CC"/>
        <bgColor rgb="FFE2F0D9"/>
      </patternFill>
    </fill>
    <fill>
      <patternFill patternType="solid">
        <fgColor rgb="FFDEEBF7"/>
        <bgColor rgb="FFE2F0D9"/>
      </patternFill>
    </fill>
    <fill>
      <patternFill patternType="solid">
        <fgColor rgb="FFE2F0D9"/>
        <bgColor rgb="FFDEEBF7"/>
      </patternFill>
    </fill>
  </fills>
  <borders count="32">
    <border diagonalUp="false" diagonalDown="false">
      <left/>
      <right/>
      <top/>
      <bottom/>
      <diagonal/>
    </border>
    <border diagonalUp="false" diagonalDown="false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/>
      <right/>
      <top/>
      <bottom style="thin">
        <color rgb="FF8FAADC"/>
      </bottom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 style="thin"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2" borderId="1" applyFont="true" applyBorder="true" applyAlignment="true" applyProtection="false">
      <alignment horizontal="general" vertical="bottom" textRotation="0" wrapText="false" indent="0" shrinkToFit="false"/>
    </xf>
  </cellStyleXfs>
  <cellXfs count="8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3" xfId="26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5" fillId="5" borderId="4" xfId="26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5" borderId="4" xfId="26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5" fillId="5" borderId="4" xfId="26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5" borderId="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5" fillId="5" borderId="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6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7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1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11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9" fontId="0" fillId="0" borderId="1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7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7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17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9" fontId="0" fillId="0" borderId="1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7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9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9" fontId="0" fillId="0" borderId="2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5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6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9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2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0" xfId="0" applyFont="true" applyBorder="true" applyAlignment="true" applyProtection="false">
      <alignment horizontal="left" vertical="center" textRotation="0" wrapText="true" indent="4" shrinkToFit="false"/>
      <protection locked="true" hidden="false"/>
    </xf>
    <xf numFmtId="164" fontId="4" fillId="12" borderId="0" xfId="0" applyFont="true" applyBorder="true" applyAlignment="true" applyProtection="false">
      <alignment horizontal="left" vertical="center" textRotation="0" wrapText="true" indent="7" shrinkToFit="false"/>
      <protection locked="true" hidden="false"/>
    </xf>
    <xf numFmtId="164" fontId="4" fillId="12" borderId="0" xfId="0" applyFont="true" applyBorder="true" applyAlignment="true" applyProtection="false">
      <alignment horizontal="left" vertical="center" textRotation="0" wrapText="true" indent="2" shrinkToFit="false"/>
      <protection locked="true" hidden="false"/>
    </xf>
    <xf numFmtId="164" fontId="4" fillId="12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Pivot Table Corner" xfId="20" builtinId="53" customBuiltin="true"/>
    <cellStyle name="Pivot Table Value" xfId="21" builtinId="53" customBuiltin="true"/>
    <cellStyle name="Pivot Table Field" xfId="22" builtinId="53" customBuiltin="true"/>
    <cellStyle name="Pivot Table Category" xfId="23" builtinId="53" customBuiltin="true"/>
    <cellStyle name="Pivot Table Title" xfId="24" builtinId="53" customBuiltin="true"/>
    <cellStyle name="Pivot Table Result" xfId="25" builtinId="53" customBuiltin="true"/>
    <cellStyle name="Excel Built-in Check Cell" xfId="26" builtinId="53" customBuiltin="true"/>
  </cellStyle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C5E0B4"/>
      <rgbColor rgb="FF5B9BD5"/>
      <rgbColor rgb="FF8FAADC"/>
      <rgbColor rgb="FF993366"/>
      <rgbColor rgb="FFFFF2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FF6FB"/>
      <rgbColor rgb="FFE2F0D9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ED7D31"/>
      <rgbColor rgb="FF595959"/>
      <rgbColor rgb="FFA5A5A5"/>
      <rgbColor rgb="FF003366"/>
      <rgbColor rgb="FF70AD47"/>
      <rgbColor rgb="FF003300"/>
      <rgbColor rgb="FF333300"/>
      <rgbColor rgb="FF993300"/>
      <rgbColor rgb="FF993366"/>
      <rgbColor rgb="FF333399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2.xml"/><Relationship Id="rId11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13" Type="http://schemas.openxmlformats.org/officeDocument/2006/relationships/pivotCacheDefinition" Target="pivotCache/pivotCacheDefinition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742680</xdr:colOff>
      <xdr:row>1</xdr:row>
      <xdr:rowOff>7560</xdr:rowOff>
    </xdr:to>
    <xdr:sp>
      <xdr:nvSpPr>
        <xdr:cNvPr id="0" name="CustomShape 1"/>
        <xdr:cNvSpPr/>
      </xdr:nvSpPr>
      <xdr:spPr>
        <a:xfrm>
          <a:off x="0" y="0"/>
          <a:ext cx="2199960" cy="940680"/>
        </a:xfrm>
        <a:prstGeom prst="rect">
          <a:avLst/>
        </a:prstGeom>
        <a:solidFill>
          <a:srgbClr val="ffffff"/>
        </a:solidFill>
        <a:ln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b="0" lang="en-IN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This shape represents a slicer. Slicers are supported in Excel 2010 or later.</a:t>
          </a:r>
          <a:endParaRPr b="0" lang="en-IN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IN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IN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the shape was modified in an earlier version of Excel, or if the workbook was saved in Excel 2003 or earlier, the slicer cannot be used.</a:t>
          </a:r>
          <a:endParaRPr b="0" lang="en-IN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</xdr:col>
      <xdr:colOff>733320</xdr:colOff>
      <xdr:row>0</xdr:row>
      <xdr:rowOff>0</xdr:rowOff>
    </xdr:from>
    <xdr:to>
      <xdr:col>3</xdr:col>
      <xdr:colOff>914040</xdr:colOff>
      <xdr:row>0</xdr:row>
      <xdr:rowOff>932760</xdr:rowOff>
    </xdr:to>
    <xdr:sp>
      <xdr:nvSpPr>
        <xdr:cNvPr id="1" name="CustomShape 1"/>
        <xdr:cNvSpPr/>
      </xdr:nvSpPr>
      <xdr:spPr>
        <a:xfrm>
          <a:off x="2190600" y="0"/>
          <a:ext cx="2590560" cy="932760"/>
        </a:xfrm>
        <a:prstGeom prst="rect">
          <a:avLst/>
        </a:prstGeom>
        <a:solidFill>
          <a:srgbClr val="ffffff"/>
        </a:solidFill>
        <a:ln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b="0" lang="en-IN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This shape represents a slicer. Slicers are supported in Excel 2010 or later.</a:t>
          </a:r>
          <a:endParaRPr b="0" lang="en-IN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IN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IN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the shape was modified in an earlier version of Excel, or if the workbook was saved in Excel 2003 or earlier, the slicer cannot be used.</a:t>
          </a:r>
          <a:endParaRPr b="0" lang="en-IN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1390680</xdr:colOff>
      <xdr:row>0</xdr:row>
      <xdr:rowOff>57240</xdr:rowOff>
    </xdr:from>
    <xdr:to>
      <xdr:col>8</xdr:col>
      <xdr:colOff>837720</xdr:colOff>
      <xdr:row>0</xdr:row>
      <xdr:rowOff>998280</xdr:rowOff>
    </xdr:to>
    <xdr:sp>
      <xdr:nvSpPr>
        <xdr:cNvPr id="2" name="CustomShape 1"/>
        <xdr:cNvSpPr/>
      </xdr:nvSpPr>
      <xdr:spPr>
        <a:xfrm>
          <a:off x="10801080" y="57240"/>
          <a:ext cx="2638080" cy="941040"/>
        </a:xfrm>
        <a:prstGeom prst="rect">
          <a:avLst/>
        </a:prstGeom>
        <a:solidFill>
          <a:srgbClr val="ffffff"/>
        </a:solidFill>
        <a:ln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b="0" lang="en-IN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This shape represents a slicer. Slicers are supported in Excel 2010 or later.</a:t>
          </a:r>
          <a:endParaRPr b="0" lang="en-IN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IN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IN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the shape was modified in an earlier version of Excel, or if the workbook was saved in Excel 2003 or earlier, the slicer cannot be used.</a:t>
          </a:r>
          <a:endParaRPr b="0" lang="en-IN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Empower/Analytics/C&amp;E/FY19_Analytics&amp;Reporting/Scoped_Reports/Azure_Direct_Weekly_CREATIVE_Reports/Cost_Correction/AzureDirectCreative_Cost_Correction_8.18-Social.xlsb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Empower/Analytics/C&amp;E/FY19_Analytics&amp;Reporting/Scoped_Reports/Azure_Direct_Weekly_CREATIVE_Reports/9.15_AzureDirect_Creative/Cost_Correction/AzureDirectCreative_Cost_Correction_9.15_SOCIAL.XLSB" TargetMode="External"/>
</Relationships>
</file>

<file path=xl/externalLinks/externalLink1.xml><?xml version="1.0" encoding="UTF-8" standalone="yes"?>
<externalLink xmlns="http://schemas.openxmlformats.org/spreadsheetml/2006/main"><externalBook xmlns:r="http://schemas.openxmlformats.org/officeDocument/2006/relationships" r:id="rId1"><sheetNames><sheetName val="Check"/><sheetName val="Cost Correction"/><sheetName val="Campaign Key"/><sheetName val="Tactic + Media Format"/><sheetName val="Exchange Rates"/><sheetName val="Market-Tier-Region"/><sheetName val="Update-Ebook Mapping Sent 7.9"/><sheetName val="Creative"/><sheetName val="Source Validation&amp;AllocadiaID"/></sheetNames><sheetDataSet><sheetData sheetId="0"></sheetData><sheetData sheetId="1"><row r="6"><cell r="C6" t="str"><v>43283Facebook»Audience & Interest Targeting»1x1»Canvas»OTH»DT»DYN»AUT»W»NA»SS»NA»FBCTCcanvaspage-StartFreeCTA_FBCTCcanvaspage-BuyNowCTA</v></cell><cell r="D6" t="str"><v>43283224639151</v></cell><cell r="E6" t="str"><v>43283103316832NowCTA</v></cell><cell r="F6" t="str"><v>DCM</v></cell><cell r="G6" t="str"><v>https://azure.microsoft.com/en-au/pricing/purchase-options/</v></cell></row><row r="6"><cell r="K6" t="str"><v>July</v></cell><cell r="L6"><v>43288</v></cell><cell r="M6" t="str"><v>Tier 1</v></cell><cell r="N6" t="str"><v>APAC</v></cell><cell r="O6" t="str"><v>Australia</v></cell><cell r="P6" t="str"><v>Trial</v></cell><cell r="Q6" t="str"><v>Social</v></cell><cell r="R6" t="str"><v>Azure</v></cell><cell r="S6" t="str"><v>Apps & Infra</v></cell><cell r="T6" t="str"><v>Developers & ITI's</v></cell><cell r="U6" t="str"><v>Audience & Interest Targeting</v></cell><cell r="V6" t="str"><v>Audience Targeting</v></cell><cell r="W6" t="str"><v>Other</v></cell><cell r="X6" t="str"><v>1x1</v></cell></row><row r="6"><cell r="AA6"><v>43283</v></cell><cell r="AB6" t="str"><v>AUS_gaPMG_AZR_AZR_Q1_19_Trial-Social</v></cell><cell r="AC6"><v>21358568</v></cell><cell r="AD6"><v>720191</v></cell><cell r="AE6" t="str"><v>Facebook</v></cell><cell r="AF6"><v>3654128</v></cell><cell r="AG6" t="str"><v>Facebook»Audience & Interest Targeting»1x1»Canvas»OTH»DT»DYN»AUT»W»NA»SS»NA»FBCTCcanvaspage-StartFreeCTA_FBCTCcanvaspage-BuyNowCTA</v></cell><cell r="AH6"><v>224639151</v></cell><cell r="AI6" t="str"><v>AzurePlatform_FBCTCcanvaspage-BuyNowCTA-Img3_AUS_1080x162_SOC_Plat_English_NA_Standard_NA_BN_T3_1</v></cell><cell r="AJ6"><v>103316832</v></cell></row><row r="7"><cell r="C7" t="str"><v>43283Facebook»Audience & Interest Targeting»1x1»Canvas»OTH»DT»DYN»AUT»W»NA»SS»NA»FBCTCcanvaspage-StartFreeCTA_FBCTCcanvaspage-BuyNowCTA</v></cell><cell r="D7" t="str"><v>43283224639151</v></cell><cell r="E7" t="str"><v>43283103316829NowCTA</v></cell><cell r="F7" t="str"><v>DCM</v></cell><cell r="G7" t="str"><v>https://signup.azure.com/signup?offer=ms-azr-0044p&appId=102&ref=paidmedia-social-fb&redirectURL=https%3a%2f%2fazure.microsoft.com%2fen-au%2fget-started%2fwelcome-to-azure%2f&l=en-au&correlationId=ead86c34-1f10-49dd-a72b-6918462a2cbf</v></cell></row><row r="7"><cell r="K7" t="str"><v>July</v></cell><cell r="L7"><v>43288</v></cell><cell r="M7" t="str"><v>Tier 1</v></cell><cell r="N7" t="str"><v>APAC</v></cell><cell r="O7" t="str"><v>Australia</v></cell><cell r="P7" t="str"><v>Trial</v></cell><cell r="Q7" t="str"><v>Social</v></cell><cell r="R7" t="str"><v>Azure</v></cell><cell r="S7" t="str"><v>Apps & Infra</v></cell><cell r="T7" t="str"><v>Developers & ITI's</v></cell><cell r="U7" t="str"><v>Audience & Interest Targeting</v></cell><cell r="V7" t="str"><v>Audience Targeting</v></cell><cell r="W7" t="str"><v>Other</v></cell><cell r="X7" t="str"><v>1x1</v></cell></row><row r="7"><cell r="AA7"><v>43283</v></cell><cell r="AB7" t="str"><v>AUS_gaPMG_AZR_AZR_Q1_19_Trial-Social</v></cell><cell r="AC7"><v>21358568</v></cell><cell r="AD7"><v>720191</v></cell><cell r="AE7" t="str"><v>Facebook</v></cell><cell r="AF7"><v>3654128</v></cell><cell r="AG7" t="str"><v>Facebook»Audience & Interest Targeting»1x1»Canvas»OTH»DT»DYN»AUT»W»NA»SS»NA»FBCTCcanvaspage-StartFreeCTA_FBCTCcanvaspage-BuyNowCTA</v></cell><cell r="AH7"><v>224639151</v></cell><cell r="AI7" t="str"><v>AzurePlatform_FBCTCcanvaspage-StartFreeCTA-Img2_AUS_1080x143 _SOC_Plat_English_NA_Standard_NA_NA_T2_1</v></cell><cell r="AJ7"><v>103316829</v></cell></row><row r="8"><cell r="C8" t="str"><v>43283Facebook»Audience & Interest Targeting»1x1»TextLink»OTH»DT»DYN»AUT»W»NA»SS»NA»Free Account Refresh- 12 months ChE</v></cell><cell r="D8" t="str"><v>43283224160783</v></cell><cell r="E8" t="str"><v>43283103051614hs ChE</v></cell><cell r="F8" t="str"><v>DCM</v></cell></row><row r="8"><cell r="K8" t="str"><v>July</v></cell><cell r="L8"><v>43288</v></cell><cell r="M8" t="str"><v>Tier 1</v></cell><cell r="N8" t="str"><v>APAC</v></cell><cell r="O8" t="str"><v>Australia</v></cell><cell r="P8" t="str"><v>Trial</v></cell><cell r="Q8" t="str"><v>Social</v></cell><cell r="R8" t="str"><v>Azure</v></cell><cell r="S8" t="str"><v>Apps & Infra</v></cell><cell r="T8" t="str"><v>Developers & ITI's</v></cell><cell r="U8" t="str"><v>Audience & Interest Targeting</v></cell><cell r="V8" t="str"><v>Audience Targeting</v></cell><cell r="W8" t="str"><v>Other</v></cell><cell r="X8" t="str"><v>1x1</v></cell></row><row r="8"><cell r="AA8"><v>43283</v></cell><cell r="AB8" t="str"><v>AUS_gaPMG_AZR_AZR_Q1_19_Trial-Social</v></cell><cell r="AC8"><v>21358568</v></cell><cell r="AD8"><v>720191</v></cell><cell r="AE8" t="str"><v>Facebook</v></cell><cell r="AF8"><v>3654128</v></cell><cell r="AG8" t="str"><v>Facebook»Audience & Interest Targeting»1x1»TextLink»OTH»DT»DYN»AUT»W»NA»SS»NA»Free Account Refresh- 12 months ChE</v></cell><cell r="AH8"><v>224160783</v></cell><cell r="AI8" t="str"><v>AzurePlatform_FreeAcctAppsFACEBOOK12monthsChE_AUS_1200x628_SOC_PLAT_EN_Trial_Standard_NA_SNU_T5_1</v></cell><cell r="AJ8"><v>103051614</v></cell></row><row r="9"><cell r="C9" t="str"><v>43283Facebook»Audience & Interest Targeting»1x1»TextLink»OTH»DT»DYN»AUT»W»NA»SS»NA»Free Account Refresh- 200 Credit ChD</v></cell><cell r="D9" t="str"><v>43283224160780</v></cell><cell r="E9" t="str"><v>43283103186904it ChD</v></cell><cell r="F9" t="str"><v>DCM</v></cell></row><row r="9"><cell r="K9" t="str"><v>July</v></cell><cell r="L9"><v>43288</v></cell><cell r="M9" t="str"><v>Tier 1</v></cell><cell r="N9" t="str"><v>APAC</v></cell><cell r="O9" t="str"><v>Australia</v></cell><cell r="P9" t="str"><v>Trial</v></cell><cell r="Q9" t="str"><v>Social</v></cell><cell r="R9" t="str"><v>Azure</v></cell><cell r="S9" t="str"><v>Apps & Infra</v></cell><cell r="T9" t="str"><v>Developers & ITI's</v></cell><cell r="U9" t="str"><v>Audience & Interest Targeting</v></cell><cell r="V9" t="str"><v>Audience Targeting</v></cell><cell r="W9" t="str"><v>Other</v></cell><cell r="X9" t="str"><v>1x1</v></cell></row><row r="9"><cell r="AA9"><v>43283</v></cell><cell r="AB9" t="str"><v>AUS_gaPMG_AZR_AZR_Q1_19_Trial-Social</v></cell><cell r="AC9"><v>21358568</v></cell><cell r="AD9"><v>720191</v></cell><cell r="AE9" t="str"><v>Facebook</v></cell><cell r="AF9"><v>3654128</v></cell><cell r="AG9" t="str"><v>Facebook»Audience & Interest Targeting»1x1»TextLink»OTH»DT»DYN»AUT»W»NA»SS»NA»Free Account Refresh- 200 Credit ChD</v></cell><cell r="AH9"><v>224160780</v></cell><cell r="AI9" t="str"><v>AzurePlatform_FreeAcctAppsFACEBOOK200CreditChD_AUS_1200x628_SOC_PLAT_EN_Trial_Standard_NA_SNU_T4_1</v></cell><cell r="AJ9"><v>103186904</v></cell></row><row r="10"><cell r="C10" t="str"><v>43283Facebook»Audience & Interest Targeting»1x1»TextLink»OTH»DT»DYN»AUT»W»NA»SS»NA»Free Account Refresh- Device ChB</v></cell><cell r="D10" t="str"><v>43283224160777</v></cell><cell r="E10" t="str"><v>43283103048479ce ChB</v></cell><cell r="F10" t="str"><v>DCM</v></cell></row><row r="10"><cell r="K10" t="str"><v>July</v></cell><cell r="L10"><v>43288</v></cell><cell r="M10" t="str"><v>Tier 1</v></cell><cell r="N10" t="str"><v>APAC</v></cell><cell r="O10" t="str"><v>Australia</v></cell><cell r="P10" t="str"><v>Trial</v></cell><cell r="Q10" t="str"><v>Social</v></cell><cell r="R10" t="str"><v>Azure</v></cell><cell r="S10" t="str"><v>Apps & Infra</v></cell><cell r="T10" t="str"><v>Developers & ITI's</v></cell><cell r="U10" t="str"><v>Audience & Interest Targeting</v></cell><cell r="V10" t="str"><v>Audience Targeting</v></cell><cell r="W10" t="str"><v>Other</v></cell><cell r="X10" t="str"><v>1x1</v></cell></row><row r="10"><cell r="AA10"><v>43283</v></cell><cell r="AB10" t="str"><v>AUS_gaPMG_AZR_AZR_Q1_19_Trial-Social</v></cell><cell r="AC10"><v>21358568</v></cell><cell r="AD10"><v>720191</v></cell><cell r="AE10" t="str"><v>Facebook</v></cell><cell r="AF10"><v>3654128</v></cell><cell r="AG10" t="str"><v>Facebook»Audience & Interest Targeting»1x1»TextLink»OTH»DT»DYN»AUT»W»NA»SS»NA»Free Account Refresh- Device ChB</v></cell><cell r="AH10"><v>224160777</v></cell><cell r="AI10" t="str"><v>AzurePlatform_FreeAcctAppsFACEBOOKDeviceChB_AUS_1200x628_SOC_PLAT_EN_Trial_Standard_NA_SNU_T2_1</v></cell><cell r="AJ10"><v>103048479</v></cell></row><row r="11"><cell r="C11" t="str"><v>43283Facebook»Audience & Interest Targeting»1x1»TextLink»OTH»DT»DYN»AUT»W»NA»SS»NA»Free Account Refresh- Illustration ChC</v></cell><cell r="D11" t="str"><v>43283224160774</v></cell><cell r="E11" t="str"><v>43283103186910on ChC</v></cell><cell r="F11" t="str"><v>DCM</v></cell></row><row r="11"><cell r="K11" t="str"><v>July</v></cell><cell r="L11"><v>43288</v></cell><cell r="M11" t="str"><v>Tier 1</v></cell><cell r="N11" t="str"><v>APAC</v></cell><cell r="O11" t="str"><v>Australia</v></cell><cell r="P11" t="str"><v>Trial</v></cell><cell r="Q11" t="str"><v>Social</v></cell><cell r="R11" t="str"><v>Azure</v></cell><cell r="S11" t="str"><v>Apps & Infra</v></cell><cell r="T11" t="str"><v>Developers & ITI's</v></cell><cell r="U11" t="str"><v>Audience & Interest Targeting</v></cell><cell r="V11" t="str"><v>Audience Targeting</v></cell><cell r="W11" t="str"><v>Other</v></cell><cell r="X11" t="str"><v>1x1</v></cell></row><row r="11"><cell r="AA11"><v>43283</v></cell><cell r="AB11" t="str"><v>AUS_gaPMG_AZR_AZR_Q1_19_Trial-Social</v></cell><cell r="AC11"><v>21358568</v></cell><cell r="AD11"><v>720191</v></cell><cell r="AE11" t="str"><v>Facebook</v></cell><cell r="AF11"><v>3654128</v></cell><cell r="AG11" t="str"><v>Facebook»Audience & Interest Targeting»1x1»TextLink»OTH»DT»DYN»AUT»W»NA»SS»NA»Free Account Refresh- Illustration ChC</v></cell><cell r="AH11"><v>224160774</v></cell><cell r="AI11" t="str"><v>AzurePlatform_FreeAcctAppsFACEBOOKIllustrationChC_AUS_1200x628_SOC_PLAT_EN_Trial_Standard_NA_SNU_T3_1</v></cell><cell r="AJ11"><v>103186910</v></cell></row><row r="12"><cell r="C12" t="str"><v>43283Facebook»Audience & Interest Targeting»1x1»TextLink»OTH»DT»DYN»AUT»W»NA»SS»NA»Free Account Refresh- Lifestyle ChA</v></cell><cell r="D12" t="str"><v>43283224160771</v></cell><cell r="E12" t="str"><v>43283103048488le ChA</v></cell><cell r="F12" t="str"><v>DCM</v></cell></row><row r="12"><cell r="K12" t="str"><v>July</v></cell><cell r="L12"><v>43288</v></cell><cell r="M12" t="str"><v>Tier 1</v></cell><cell r="N12" t="str"><v>APAC</v></cell><cell r="O12" t="str"><v>Australia</v></cell><cell r="P12" t="str"><v>Trial</v></cell><cell r="Q12" t="str"><v>Social</v></cell><cell r="R12" t="str"><v>Azure</v></cell><cell r="S12" t="str"><v>Apps & Infra</v></cell><cell r="T12" t="str"><v>Developers & ITI's</v></cell><cell r="U12" t="str"><v>Audience & Interest Targeting</v></cell><cell r="V12" t="str"><v>Audience Targeting</v></cell><cell r="W12" t="str"><v>Other</v></cell><cell r="X12" t="str"><v>1x1</v></cell></row><row r="12"><cell r="AA12"><v>43283</v></cell><cell r="AB12" t="str"><v>AUS_gaPMG_AZR_AZR_Q1_19_Trial-Social</v></cell><cell r="AC12"><v>21358568</v></cell><cell r="AD12"><v>720191</v></cell><cell r="AE12" t="str"><v>Facebook</v></cell><cell r="AF12"><v>3654128</v></cell><cell r="AG12" t="str"><v>Facebook»Audience & Interest Targeting»1x1»TextLink»OTH»DT»DYN»AUT»W»NA»SS»NA»Free Account Refresh- Lifestyle ChA</v></cell><cell r="AH12"><v>224160771</v></cell><cell r="AI12" t="str"><v>AzurePlatform_FreeAcctAppsFACEBOOKLifestyleChA_AUS_1200x628_SOC_PLAT_EN_Trial_Standard_NA_SNU_T1_1</v></cell><cell r="AJ12"><v>103048488</v></cell></row><row r="13"><cell r="C13" t="str"><v>43283Facebook»LAL»1x1»Canvas»OTH»DT»DYN»LAL»W»NA»SS»NA»FBCTCcanvaspage-StartFreeCTA_FBCTCcanvaspage-BuyNowCTA</v></cell><cell r="D13" t="str"><v>43283224493001</v></cell><cell r="E13" t="str"><v>43283103316832NowCTA</v></cell><cell r="F13" t="str"><v>DCM</v></cell><cell r="G13" t="str"><v>https://azure.microsoft.com/en-au/pricing/purchase-options/</v></cell></row><row r="13"><cell r="K13" t="str"><v>July</v></cell><cell r="L13"><v>43288</v></cell><cell r="M13" t="str"><v>Tier 1</v></cell><cell r="N13" t="str"><v>APAC</v></cell><cell r="O13" t="str"><v>Australia</v></cell><cell r="P13" t="str"><v>Trial</v></cell><cell r="Q13" t="str"><v>Social</v></cell><cell r="R13" t="str"><v>Azure</v></cell><cell r="S13" t="str"><v>Apps & Infra</v></cell><cell r="T13" t="str"><v>Developers & ITI's</v></cell><cell r="U13" t="str"><v>LAL</v></cell><cell r="V13" t="str"><v>Lookalike Targeting</v></cell><cell r="W13" t="str"><v>Other</v></cell><cell r="X13" t="str"><v>1x1</v></cell></row><row r="13"><cell r="AA13"><v>43283</v></cell><cell r="AB13" t="str"><v>AUS_gaPMG_AZR_AZR_Q1_19_Trial-Social</v></cell><cell r="AC13"><v>21358568</v></cell><cell r="AD13"><v>720191</v></cell><cell r="AE13" t="str"><v>Facebook</v></cell><cell r="AF13"><v>3654128</v></cell><cell r="AG13" t="str"><v>Facebook»LAL»1x1»Canvas»OTH»DT»DYN»LAL»W»NA»SS»NA»FBCTCcanvaspage-StartFreeCTA_FBCTCcanvaspage-BuyNowCTA</v></cell><cell r="AH13"><v>224493001</v></cell><cell r="AI13" t="str"><v>AzurePlatform_FBCTCcanvaspage-BuyNowCTA-Img3_AUS_1080x162_SOC_Plat_English_NA_Standard_NA_BN_T3_1</v></cell><cell r="AJ13"><v>103316832</v></cell></row><row r="14"><cell r="C14" t="str"><v>43283Facebook»LAL»1x1»Canvas»OTH»DT»DYN»LAL»W»NA»SS»NA»FBCTCcanvaspage-StartFreeCTA_FBCTCcanvaspage-BuyNowCTA</v></cell><cell r="D14" t="str"><v>43283224493001</v></cell><cell r="E14" t="str"><v>43283103316829NowCTA</v></cell><cell r="F14" t="str"><v>DCM</v></cell><cell r="G14" t="str"><v>https://signup.azure.com/signup?offer=ms-azr-0044p&appId=102&ref=paidmedia-social-fb&redirectURL=https%3a%2f%2fazure.microsoft.com%2fen-au%2fget-started%2fwelcome-to-azure%2f&l=en-au&correlationId=ead86c34-1f10-49dd-a72b-6918462a2cbf</v></cell></row><row r="14"><cell r="K14" t="str"><v>July</v></cell><cell r="L14"><v>43288</v></cell><cell r="M14" t="str"><v>Tier 1</v></cell><cell r="N14" t="str"><v>APAC</v></cell><cell r="O14" t="str"><v>Australia</v></cell><cell r="P14" t="str"><v>Trial</v></cell><cell r="Q14" t="str"><v>Social</v></cell><cell r="R14" t="str"><v>Azure</v></cell><cell r="S14" t="str"><v>Apps & Infra</v></cell><cell r="T14" t="str"><v>Developers & ITI's</v></cell><cell r="U14" t="str"><v>LAL</v></cell><cell r="V14" t="str"><v>Lookalike Targeting</v></cell><cell r="W14" t="str"><v>Other</v></cell><cell r="X14" t="str"><v>1x1</v></cell></row><row r="14"><cell r="AA14"><v>43283</v></cell><cell r="AB14" t="str"><v>AUS_gaPMG_AZR_AZR_Q1_19_Trial-Social</v></cell><cell r="AC14"><v>21358568</v></cell><cell r="AD14"><v>720191</v></cell><cell r="AE14" t="str"><v>Facebook</v></cell><cell r="AF14"><v>3654128</v></cell><cell r="AG14" t="str"><v>Facebook»LAL»1x1»Canvas»OTH»DT»DYN»LAL»W»NA»SS»NA»FBCTCcanvaspage-StartFreeCTA_FBCTCcanvaspage-BuyNowCTA</v></cell><cell r="AH14"><v>224493001</v></cell><cell r="AI14" t="str"><v>AzurePlatform_FBCTCcanvaspage-StartFreeCTA-Img2_AUS_1080x143 _SOC_Plat_English_NA_Standard_NA_NA_T2_1</v></cell><cell r="AJ14"><v>103316829</v></cell></row><row r="15"><cell r="C15" t="str"><v>43283Facebook»DEV-ITP-AZR-FB|CanvasAds|Interesttargeting»1x1»TextLink»CAN»DT»CPM»AUT»W»NA»SS»NA»39684020-11000</v></cell><cell r="D15" t="str"><v>43283224009494</v></cell><cell r="E15" t="str"><v>43283103235787-11000</v></cell><cell r="F15" t="str"><v>DCM</v></cell><cell r="G15" t="str"><v>https://azure.microsoft.com/de-de/pricing/purchase-options/</v></cell></row><row r="15"><cell r="K15" t="str"><v>July</v></cell><cell r="L15"><v>43288</v></cell><cell r="M15" t="str"><v>Tier 1</v></cell><cell r="N15" t="str"><v>EMEA</v></cell><cell r="O15" t="str"><v>Germany</v></cell><cell r="P15" t="str"><v>Trial</v></cell><cell r="Q15" t="str"><v>Social</v></cell><cell r="R15" t="str"><v>Azure</v></cell><cell r="S15" t="str"><v>Apps & Infra</v></cell><cell r="T15" t="str"><v>Developers & ITI's</v></cell><cell r="U15" t="str"><v>DEV-ITP-AZR-FB|CanvasAds|Interesttargeting</v></cell><cell r="V15" t="str"><v>Audience Targeting</v></cell><cell r="W15" t="str"><v>Canvas Ad</v></cell><cell r="X15" t="str"><v>1x1</v></cell></row><row r="15"><cell r="AA15"><v>43283</v></cell><cell r="AB15" t="str"><v>DEU_gaPMG_AZR_AZR_Q1_19_Trial-Social- 39684</v></cell><cell r="AC15"><v>21359477</v></cell><cell r="AD15"><v>720194</v></cell><cell r="AE15" t="str"><v>Facebook</v></cell><cell r="AF15"><v>3654128</v></cell><cell r="AG15" t="str"><v>Facebook»DEV-ITP-AZR-FB|CanvasAds|Interesttargeting»1x1»TextLink»CAN»DT»CPM»AUT»W»NA»SS»NA»39684020-11000</v></cell><cell r="AH15"><v>224009494</v></cell><cell r="AI15" t="str"><v>AzurePlatform_FBCTCBasicMotion-BuyNow_DEU_10s_ISV_PLAT_DE_Trial_Standard_STAN_TN_T1_1</v></cell><cell r="AJ15"><v>103235787</v></cell></row><row r="16"><cell r="C16" t="str"><v>43283Facebook»DEV-ITP-AZR-FB|CanvasAds|Interesttargeting»1x1»TextLink»CAN»DT»CPM»AUT»W»NA»SS»NA»39684020-11000</v></cell><cell r="D16" t="str"><v>43283224009494</v></cell><cell r="E16" t="str"><v>43283103236186-11000</v></cell><cell r="F16" t="str"><v>DCM</v></cell><cell r="G16" t="str"><v>https://signup.azure.com/signup?offer=ms-azr-0044p&appId=102&ref=paidmedia-social-fb&redirectURL=https%3a%2f%2fazure.microsoft.com%2fde-de%2fget-started%2fwelcome-to-azure%2f&l=de-de&correlationId=ead86c34-1f10-49dd-a72b-6918462a2cbf</v></cell></row><row r="16"><cell r="K16" t="str"><v>July</v></cell><cell r="L16"><v>43288</v></cell><cell r="M16" t="str"><v>Tier 1</v></cell><cell r="N16" t="str"><v>EMEA</v></cell><cell r="O16" t="str"><v>Germany</v></cell><cell r="P16" t="str"><v>Trial</v></cell><cell r="Q16" t="str"><v>Social</v></cell><cell r="R16" t="str"><v>Azure</v></cell><cell r="S16" t="str"><v>Apps & Infra</v></cell><cell r="T16" t="str"><v>Developers & ITI's</v></cell><cell r="U16" t="str"><v>DEV-ITP-AZR-FB|CanvasAds|Interesttargeting</v></cell><cell r="V16" t="str"><v>Audience Targeting</v></cell><cell r="W16" t="str"><v>Canvas Ad</v></cell><cell r="X16" t="str"><v>1x1</v></cell></row><row r="16"><cell r="AA16"><v>43283</v></cell><cell r="AB16" t="str"><v>DEU_gaPMG_AZR_AZR_Q1_19_Trial-Social- 39684</v></cell><cell r="AC16"><v>21359477</v></cell><cell r="AD16"><v>720194</v></cell><cell r="AE16" t="str"><v>Facebook</v></cell><cell r="AF16"><v>3654128</v></cell><cell r="AG16" t="str"><v>Facebook»DEV-ITP-AZR-FB|CanvasAds|Interesttargeting»1x1»TextLink»CAN»DT»CPM»AUT»W»NA»SS»NA»39684020-11000</v></cell><cell r="AH16"><v>224009494</v></cell><cell r="AI16" t="str"><v>AzurePlatform_FBCTCBasicMotion-StartFreeCT_DEU_10s_ISV_PLAT_DE_Trial_Standard_STAN_TN_T1_1</v></cell><cell r="AJ16"><v>103236186</v></cell></row><row r="17"><cell r="C17" t="str"><v>43283Facebook»DEV-ITP-AZR-FB|CanvasAds|Interesttargeting»1x1»TextLink»CAN»DT»CPM»AUT»W»NA»SS»NA»39684020-11000</v></cell><cell r="D17" t="str"><v>43283224009494</v></cell><cell r="E17" t="str"><v>43283103236189-11000</v></cell><cell r="F17" t="str"><v>DCM</v></cell><cell r="G17" t="str"><v>https://azure.microsoft.com/de-de/pricing/purchase-options/</v></cell></row><row r="17"><cell r="K17" t="str"><v>July</v></cell><cell r="L17"><v>43288</v></cell><cell r="M17" t="str"><v>Tier 1</v></cell><cell r="N17" t="str"><v>EMEA</v></cell><cell r="O17" t="str"><v>Germany</v></cell><cell r="P17" t="str"><v>Trial</v></cell><cell r="Q17" t="str"><v>Social</v></cell><cell r="R17" t="str"><v>Azure</v></cell><cell r="S17" t="str"><v>Apps & Infra</v></cell><cell r="T17" t="str"><v>Developers & ITI's</v></cell><cell r="U17" t="str"><v>DEV-ITP-AZR-FB|CanvasAds|Interesttargeting</v></cell><cell r="V17" t="str"><v>Audience Targeting</v></cell><cell r="W17" t="str"><v>Canvas Ad</v></cell><cell r="X17" t="str"><v>1x1</v></cell></row><row r="17"><cell r="AA17"><v>43283</v></cell><cell r="AB17" t="str"><v>DEU_gaPMG_AZR_AZR_Q1_19_Trial-Social- 39684</v></cell><cell r="AC17"><v>21359477</v></cell><cell r="AD17"><v>720194</v></cell><cell r="AE17" t="str"><v>Facebook</v></cell><cell r="AF17"><v>3654128</v></cell><cell r="AG17" t="str"><v>Facebook»DEV-ITP-AZR-FB|CanvasAds|Interesttargeting»1x1»TextLink»CAN»DT»CPM»AUT»W»NA»SS»NA»39684020-11000</v></cell><cell r="AH17"><v>224009494</v></cell><cell r="AI17" t="str"><v>AzurePlatform_FBCTCBenefit2inMotion-BuyNow_DEU_14s_ISV_PLAT_DE_Trial_Standard_STAN_TN_T4_1</v></cell><cell r="AJ17"><v>103236189</v></cell></row><row r="18"><cell r="C18" t="str"><v>43283Facebook»DEV-ITP-AZR-FB|CanvasAds|Interesttargeting»1x1»TextLink»CAN»DT»CPM»AUT»W»NA»SS»NA»39684020-11000</v></cell><cell r="D18" t="str"><v>43283224009494</v></cell><cell r="E18" t="str"><v>43283103237290-11000</v></cell><cell r="F18" t="str"><v>DCM</v></cell><cell r="G18" t="str"><v>https://signup.azure.com/signup?offer=ms-azr-0044p&appId=102&ref=paidmedia-social-fb&redirectURL=https%3a%2f%2fazure.microsoft.com%2fde-de%2fget-started%2fwelcome-to-azure%2f&l=de-de&correlationId=ead86c34-1f10-49dd-a72b-6918462a2cbf</v></cell></row><row r="18"><cell r="K18" t="str"><v>July</v></cell><cell r="L18"><v>43288</v></cell><cell r="M18" t="str"><v>Tier 1</v></cell><cell r="N18" t="str"><v>EMEA</v></cell><cell r="O18" t="str"><v>Germany</v></cell><cell r="P18" t="str"><v>Trial</v></cell><cell r="Q18" t="str"><v>Social</v></cell><cell r="R18" t="str"><v>Azure</v></cell><cell r="S18" t="str"><v>Apps & Infra</v></cell><cell r="T18" t="str"><v>Developers & ITI's</v></cell><cell r="U18" t="str"><v>DEV-ITP-AZR-FB|CanvasAds|Interesttargeting</v></cell><cell r="V18" t="str"><v>Audience Targeting</v></cell><cell r="W18" t="str"><v>Canvas Ad</v></cell><cell r="X18" t="str"><v>1x1</v></cell></row><row r="18"><cell r="AA18"><v>43283</v></cell><cell r="AB18" t="str"><v>DEU_gaPMG_AZR_AZR_Q1_19_Trial-Social- 39684</v></cell><cell r="AC18"><v>21359477</v></cell><cell r="AD18"><v>720194</v></cell><cell r="AE18" t="str"><v>Facebook</v></cell><cell r="AF18"><v>3654128</v></cell><cell r="AG18" t="str"><v>Facebook»DEV-ITP-AZR-FB|CanvasAds|Interesttargeting»1x1»TextLink»CAN»DT»CPM»AUT»W»NA»SS»NA»39684020-11000</v></cell><cell r="AH18"><v>224009494</v></cell><cell r="AI18" t="str"><v>AzurePlatform_FBCTCBenefit2inMotion-StartFreeCT_DEU_14s_ISV_PLAT_DE_Trial_Standard_STAN_TN_T4_1</v></cell><cell r="AJ18"><v>103237290</v></cell></row><row r="19"><cell r="C19" t="str"><v>43283Facebook»DEV-ITP-AZR-FB|CanvasAds|Interesttargeting»1x1»TextLink»CAN»DT»CPM»AUT»W»NA»SS»NA»39684020-11000</v></cell><cell r="D19" t="str"><v>43283224009494</v></cell><cell r="E19" t="str"><v>43283103350059-11000</v></cell><cell r="F19" t="str"><v>DCM</v></cell><cell r="G19" t="str"><v>https://azure.microsoft.com/de-de/pricing/purchase-options/</v></cell></row><row r="19"><cell r="K19" t="str"><v>July</v></cell><cell r="L19"><v>43288</v></cell><cell r="M19" t="str"><v>Tier 1</v></cell><cell r="N19" t="str"><v>EMEA</v></cell><cell r="O19" t="str"><v>Germany</v></cell><cell r="P19" t="str"><v>Trial</v></cell><cell r="Q19" t="str"><v>Social</v></cell><cell r="R19" t="str"><v>Azure</v></cell><cell r="S19" t="str"><v>Apps & Infra</v></cell><cell r="T19" t="str"><v>Developers & ITI's</v></cell><cell r="U19" t="str"><v>DEV-ITP-AZR-FB|CanvasAds|Interesttargeting</v></cell><cell r="V19" t="str"><v>Audience Targeting</v></cell><cell r="W19" t="str"><v>Canvas Ad</v></cell><cell r="X19" t="str"><v>1x1</v></cell></row><row r="19"><cell r="AA19"><v>43283</v></cell><cell r="AB19" t="str"><v>DEU_gaPMG_AZR_AZR_Q1_19_Trial-Social- 39684</v></cell><cell r="AC19"><v>21359477</v></cell><cell r="AD19"><v>720194</v></cell><cell r="AE19" t="str"><v>Facebook</v></cell><cell r="AF19"><v>3654128</v></cell><cell r="AG19" t="str"><v>Facebook»DEV-ITP-AZR-FB|CanvasAds|Interesttargeting»1x1»TextLink»CAN»DT»CPM»AUT»W»NA»SS»NA»39684020-11000</v></cell><cell r="AH19"><v>224009494</v></cell><cell r="AI19" t="str"><v>AzurePlatform_FBCTCBrandinMotion-BuyNow_DEU_12s_ISV_PLAT_DE_Trial_Standard_STAN_TN_T2_1</v></cell><cell r="AJ19"><v>103350059</v></cell></row><row r="20"><cell r="C20" t="str"><v>43283Facebook»DEV-ITP-AZR-FB|CanvasAds|Interesttargeting»1x1»TextLink»CAN»DT»CPM»AUT»W»NA»SS»NA»39684020-11000</v></cell><cell r="D20" t="str"><v>43283224009494</v></cell><cell r="E20" t="str"><v>43283103237293-11000</v></cell><cell r="F20" t="str"><v>DCM</v></cell><cell r="G20" t="str"><v>https://signup.azure.com/signup?offer=ms-azr-0044p&appId=102&ref=paidmedia-social-fb&redirectURL=https%3a%2f%2fazure.microsoft.com%2fde-de%2fget-started%2fwelcome-to-azure%2f&l=de-de&correlationId=ead86c34-1f10-49dd-a72b-6918462a2cbf</v></cell></row><row r="20"><cell r="K20" t="str"><v>July</v></cell><cell r="L20"><v>43288</v></cell><cell r="M20" t="str"><v>Tier 1</v></cell><cell r="N20" t="str"><v>EMEA</v></cell><cell r="O20" t="str"><v>Germany</v></cell><cell r="P20" t="str"><v>Trial</v></cell><cell r="Q20" t="str"><v>Social</v></cell><cell r="R20" t="str"><v>Azure</v></cell><cell r="S20" t="str"><v>Apps & Infra</v></cell><cell r="T20" t="str"><v>Developers & ITI's</v></cell><cell r="U20" t="str"><v>DEV-ITP-AZR-FB|CanvasAds|Interesttargeting</v></cell><cell r="V20" t="str"><v>Audience Targeting</v></cell><cell r="W20" t="str"><v>Canvas Ad</v></cell><cell r="X20" t="str"><v>1x1</v></cell></row><row r="20"><cell r="AA20"><v>43283</v></cell><cell r="AB20" t="str"><v>DEU_gaPMG_AZR_AZR_Q1_19_Trial-Social- 39684</v></cell><cell r="AC20"><v>21359477</v></cell><cell r="AD20"><v>720194</v></cell><cell r="AE20" t="str"><v>Facebook</v></cell><cell r="AF20"><v>3654128</v></cell><cell r="AG20" t="str"><v>Facebook»DEV-ITP-AZR-FB|CanvasAds|Interesttargeting»1x1»TextLink»CAN»DT»CPM»AUT»W»NA»SS»NA»39684020-11000</v></cell><cell r="AH20"><v>224009494</v></cell><cell r="AI20" t="str"><v>AzurePlatform_FBCTCBrandinMotion-StartFreeCT_DEU_12s_ISV_PLAT_DE_Trial_Standard_STAN_TN_T2_1</v></cell><cell r="AJ20"><v>103237293</v></cell></row><row r="21"><cell r="C21" t="str"><v>43283Facebook»DEV-ITP-AZR-FB|LinkAd|CustomerAudienceRetargeting»1x1»TextLink»LIA»DT»CPM»RT»W»NA»SS»NA»39684019-11000</v></cell><cell r="D21" t="str"><v>43283224010415</v></cell><cell r="E21" t="str"><v>43283103048548-11000</v></cell><cell r="F21" t="str"><v>DCM</v></cell><cell r="G21" t="str"><v>https://azure.microsoft.com/de-de/free/search/</v></cell></row><row r="21"><cell r="K21" t="str"><v>July</v></cell><cell r="L21"><v>43288</v></cell><cell r="M21" t="str"><v>Tier 1</v></cell><cell r="N21" t="str"><v>EMEA</v></cell><cell r="O21" t="str"><v>Germany</v></cell><cell r="P21" t="str"><v>Trial</v></cell><cell r="Q21" t="str"><v>Social</v></cell><cell r="R21" t="str"><v>Azure</v></cell><cell r="S21" t="str"><v>Apps & Infra</v></cell><cell r="T21" t="str"><v>Developers & ITI's</v></cell><cell r="U21" t="str"><v>DEV-ITP-AZR-FB|LinkAd|CustomerAudienceRetargeting</v></cell><cell r="V21" t="str"><v>Retargeting</v></cell><cell r="W21" t="str"><v>Link Ad</v></cell><cell r="X21" t="str"><v>1x1</v></cell></row><row r="21"><cell r="AA21"><v>43283</v></cell><cell r="AB21" t="str"><v>DEU_gaPMG_AZR_AZR_Q1_19_Trial-Social- 39684</v></cell><cell r="AC21"><v>21359477</v></cell><cell r="AD21"><v>720194</v></cell><cell r="AE21" t="str"><v>Facebook</v></cell><cell r="AF21"><v>3654128</v></cell><cell r="AG21" t="str"><v>Facebook»DEV-ITP-AZR-FB|LinkAd|CustomerAudienceRetargeting»1x1»TextLink»LIA»DT»CPM»RT»W»NA»SS»NA»39684019-11000</v></cell><cell r="AH21"><v>224010415</v></cell><cell r="AI21" t="str"><v>AzurePlatform_FreeAcctRetargetingFB-Animated-ChC_DEU_1200x628_SOC_Plat_DE_Free Account_Standard_ANI_SNU_T3_1</v></cell><cell r="AJ21"><v>103048548</v></cell></row><row r="22"><cell r="C22" t="str"><v>43283Facebook»DEV-ITP-AZR-FB|LinkAd|CustomerAudienceRetargeting»1x1»TextLink»LIA»DT»CPM»RT»W»NA»SS»NA»39684019-11000</v></cell><cell r="D22" t="str"><v>43283224010415</v></cell><cell r="E22" t="str"><v>43283103040320-11000</v></cell><cell r="F22" t="str"><v>DCM</v></cell><cell r="G22" t="str"><v>https://azure.microsoft.com/de-de/free/search/</v></cell></row><row r="22"><cell r="K22" t="str"><v>July</v></cell><cell r="L22"><v>43288</v></cell><cell r="M22" t="str"><v>Tier 1</v></cell><cell r="N22" t="str"><v>EMEA</v></cell><cell r="O22" t="str"><v>Germany</v></cell><cell r="P22" t="str"><v>Trial</v></cell><cell r="Q22" t="str"><v>Social</v></cell><cell r="R22" t="str"><v>Azure</v></cell><cell r="S22" t="str"><v>Apps & Infra</v></cell><cell r="T22" t="str"><v>Developers & ITI's</v></cell><cell r="U22" t="str"><v>DEV-ITP-AZR-FB|LinkAd|CustomerAudienceRetargeting</v></cell><cell r="V22" t="str"><v>Retargeting</v></cell><cell r="W22" t="str"><v>Link Ad</v></cell><cell r="X22" t="str"><v>1x1</v></cell></row><row r="22"><cell r="AA22"><v>43283</v></cell><cell r="AB22" t="str"><v>DEU_gaPMG_AZR_AZR_Q1_19_Trial-Social- 39684</v></cell><cell r="AC22"><v>21359477</v></cell><cell r="AD22"><v>720194</v></cell><cell r="AE22" t="str"><v>Facebook</v></cell><cell r="AF22"><v>3654128</v></cell><cell r="AG22" t="str"><v>Facebook»DEV-ITP-AZR-FB|LinkAd|CustomerAudienceRetargeting»1x1»TextLink»LIA»DT»CPM»RT»W»NA»SS»NA»39684019-11000</v></cell><cell r="AH22"><v>224010415</v></cell><cell r="AI22" t="str"><v>AzurePlatform_FreeAcctRetargetingFB-GlobalAlt-ChB_DEU_1200x628_SOC_Plat_DE_Free Account_Standard_NA_SNU_T2_1</v></cell><cell r="AJ22"><v>103040320</v></cell></row><row r="23"><cell r="C23" t="str"><v>43283Facebook»DEV-ITP-AZR-FB|LinkAd|CustomerAudienceRetargeting»1x1»TextLink»LIA»DT»CPM»RT»W»NA»SS»NA»39684019-11000</v></cell><cell r="D23" t="str"><v>43283224010415</v></cell><cell r="E23" t="str"><v>43283103043329-11000</v></cell><cell r="F23" t="str"><v>DCM</v></cell><cell r="G23" t="str"><v>https://azure.microsoft.com/de-de/free/open-source/search/</v></cell></row><row r="23"><cell r="K23" t="str"><v>July</v></cell><cell r="L23"><v>43288</v></cell><cell r="M23" t="str"><v>Tier 1</v></cell><cell r="N23" t="str"><v>EMEA</v></cell><cell r="O23" t="str"><v>Germany</v></cell><cell r="P23" t="str"><v>Trial</v></cell><cell r="Q23" t="str"><v>Social</v></cell><cell r="R23" t="str"><v>Azure</v></cell><cell r="S23" t="str"><v>Apps & Infra</v></cell><cell r="T23" t="str"><v>Developers & ITI's</v></cell><cell r="U23" t="str"><v>DEV-ITP-AZR-FB|LinkAd|CustomerAudienceRetargeting</v></cell><cell r="V23" t="str"><v>Retargeting</v></cell><cell r="W23" t="str"><v>Link Ad</v></cell><cell r="X23" t="str"><v>1x1</v></cell></row><row r="23"><cell r="AA23"><v>43283</v></cell><cell r="AB23" t="str"><v>DEU_gaPMG_AZR_AZR_Q1_19_Trial-Social- 39684</v></cell><cell r="AC23"><v>21359477</v></cell><cell r="AD23"><v>720194</v></cell><cell r="AE23" t="str"><v>Facebook</v></cell><cell r="AF23"><v>3654128</v></cell><cell r="AG23" t="str"><v>Facebook»DEV-ITP-AZR-FB|LinkAd|CustomerAudienceRetargeting»1x1»TextLink»LIA»DT»CPM»RT»W»NA»SS»NA»39684019-11000</v></cell><cell r="AH23"><v>224010415</v></cell><cell r="AI23" t="str"><v>AzurePlatform_FreeAcctRetargetingOSSFB-Logos-ChG_DEU_1200x628_SOC_Plat_DE_Free Account_Standard_NA_SNU_T2_1</v></cell><cell r="AJ23"><v>103043329</v></cell></row><row r="24"><cell r="C24" t="str"><v>43283Facebook»DEV-ITP-AZR-FB|LinkAd|CustomerAudienceRetargeting»1x1»TextLink»LIA»DT»CPM»RT»W»NA»SS»NA»39684019-11000</v></cell><cell r="D24" t="str"><v>43283224010415</v></cell><cell r="E24" t="str"><v>43283103055394-11000</v></cell><cell r="F24" t="str"><v>DCM</v></cell><cell r="G24" t="str"><v>https://azure.microsoft.com/de-de/free/open-source/search/</v></cell></row><row r="24"><cell r="K24" t="str"><v>July</v></cell><cell r="L24"><v>43288</v></cell><cell r="M24" t="str"><v>Tier 1</v></cell><cell r="N24" t="str"><v>EMEA</v></cell><cell r="O24" t="str"><v>Germany</v></cell><cell r="P24" t="str"><v>Trial</v></cell><cell r="Q24" t="str"><v>Social</v></cell><cell r="R24" t="str"><v>Azure</v></cell><cell r="S24" t="str"><v>Apps & Infra</v></cell><cell r="T24" t="str"><v>Developers & ITI's</v></cell><cell r="U24" t="str"><v>DEV-ITP-AZR-FB|LinkAd|CustomerAudienceRetargeting</v></cell><cell r="V24" t="str"><v>Retargeting</v></cell><cell r="W24" t="str"><v>Link Ad</v></cell><cell r="X24" t="str"><v>1x1</v></cell></row><row r="24"><cell r="AA24"><v>43283</v></cell><cell r="AB24" t="str"><v>DEU_gaPMG_AZR_AZR_Q1_19_Trial-Social- 39684</v></cell><cell r="AC24"><v>21359477</v></cell><cell r="AD24"><v>720194</v></cell><cell r="AE24" t="str"><v>Facebook</v></cell><cell r="AF24"><v>3654128</v></cell><cell r="AG24" t="str"><v>Facebook»DEV-ITP-AZR-FB|LinkAd|CustomerAudienceRetargeting»1x1»TextLink»LIA»DT»CPM»RT»W»NA»SS»NA»39684019-11000</v></cell><cell r="AH24"><v>224010415</v></cell><cell r="AI24" t="str"><v>AzurePlatform_FreeAcctRetargetingOSSFB-Text-ChF_DEU_1200x628_SOC_Plat_DE_Free Account_Standard_NA_SNU_T1_1</v></cell><cell r="AJ24"><v>103055394</v></cell></row><row r="25"><cell r="C25" t="str"><v>43283Facebook»DEV-ITP-AZR-FB|LinkAd|CustomerAudienceRetargeting»1x1»TextLink»LIA»DT»CPM»RT»W»NA»SS»NA»39684019-11000</v></cell><cell r="D25" t="str"><v>43283224010415</v></cell><cell r="E25" t="str"><v>43283103043341-11000</v></cell><cell r="F25" t="str"><v>DCM</v></cell><cell r="G25" t="str"><v>https://azure.microsoft.com/de-de/free/virtual-machines/search/</v></cell></row><row r="25"><cell r="K25" t="str"><v>July</v></cell><cell r="L25"><v>43288</v></cell><cell r="M25" t="str"><v>Tier 1</v></cell><cell r="N25" t="str"><v>EMEA</v></cell><cell r="O25" t="str"><v>Germany</v></cell><cell r="P25" t="str"><v>Trial</v></cell><cell r="Q25" t="str"><v>Social</v></cell><cell r="R25" t="str"><v>Azure</v></cell><cell r="S25" t="str"><v>Apps & Infra</v></cell><cell r="T25" t="str"><v>Developers & ITI's</v></cell><cell r="U25" t="str"><v>DEV-ITP-AZR-FB|LinkAd|CustomerAudienceRetargeting</v></cell><cell r="V25" t="str"><v>Retargeting</v></cell><cell r="W25" t="str"><v>Link Ad</v></cell><cell r="X25" t="str"><v>1x1</v></cell></row><row r="25"><cell r="AA25"><v>43283</v></cell><cell r="AB25" t="str"><v>DEU_gaPMG_AZR_AZR_Q1_19_Trial-Social- 39684</v></cell><cell r="AC25"><v>21359477</v></cell><cell r="AD25"><v>720194</v></cell><cell r="AE25" t="str"><v>Facebook</v></cell><cell r="AF25"><v>3654128</v></cell><cell r="AG25" t="str"><v>Facebook»DEV-ITP-AZR-FB|LinkAd|CustomerAudienceRetargeting»1x1»TextLink»LIA»DT»CPM»RT»W»NA»SS»NA»39684019-11000</v></cell><cell r="AH25"><v>224010415</v></cell><cell r="AI25" t="str"><v>AzurePlatform_FreeAcctRetargetingVMFB-750Hrs-ChD_DEU_1200x628_SOC_Plat_DE_Free Account_Standard_NA_SNU_T1_1</v></cell><cell r="AJ25"><v>103043341</v></cell></row><row r="26"><cell r="C26" t="str"><v>43283Facebook»DEV-ITP-AZR-FB|LinkAd|CustomerAudienceRetargeting»1x1»TextLink»LIA»DT»CPM»RT»W»NA»SS»NA»39684019-11000</v></cell><cell r="D26" t="str"><v>43283224010415</v></cell><cell r="E26" t="str"><v>43283103043338-11000</v></cell><cell r="F26" t="str"><v>DCM</v></cell><cell r="G26" t="str"><v>https://azure.microsoft.com/de-de/free/virtual-machines/search/</v></cell></row><row r="26"><cell r="K26" t="str"><v>July</v></cell><cell r="L26"><v>43288</v></cell><cell r="M26" t="str"><v>Tier 1</v></cell><cell r="N26" t="str"><v>EMEA</v></cell><cell r="O26" t="str"><v>Germany</v></cell><cell r="P26" t="str"><v>Trial</v></cell><cell r="Q26" t="str"><v>Social</v></cell><cell r="R26" t="str"><v>Azure</v></cell><cell r="S26" t="str"><v>Apps & Infra</v></cell><cell r="T26" t="str"><v>Developers & ITI's</v></cell><cell r="U26" t="str"><v>DEV-ITP-AZR-FB|LinkAd|CustomerAudienceRetargeting</v></cell><cell r="V26" t="str"><v>Retargeting</v></cell><cell r="W26" t="str"><v>Link Ad</v></cell><cell r="X26" t="str"><v>1x1</v></cell></row><row r="26"><cell r="AA26"><v>43283</v></cell><cell r="AB26" t="str"><v>DEU_gaPMG_AZR_AZR_Q1_19_Trial-Social- 39684</v></cell><cell r="AC26"><v>21359477</v></cell><cell r="AD26"><v>720194</v></cell><cell r="AE26" t="str"><v>Facebook</v></cell><cell r="AF26"><v>3654128</v></cell><cell r="AG26" t="str"><v>Facebook»DEV-ITP-AZR-FB|LinkAd|CustomerAudienceRetargeting»1x1»TextLink»LIA»DT»CPM»RT»W»NA»SS»NA»39684019-11000</v></cell><cell r="AH26"><v>224010415</v></cell><cell r="AI26" t="str"><v>AzurePlatform_FreeAcctRetargetingVMFB-OnDemand-ChE_DEU_1200x628_SOC_Plat_DE_Free Account_Standard_NA_SNU_T2_1</v></cell><cell r="AJ26"><v>103043338</v></cell></row><row r="27"><cell r="C27" t="str"><v>43283Facebook»Developers/ITPros-Azure Direct-Sponsored Post-Canvas-FBCTCcanvaspage-BuyNowCTA-Img3_FBCTCBasicMotion_FRA_10sec»1x1»Canvas»SOC»ALL»CPC»BT»D»UNK»SS»NA»Trials</v></cell><cell r="D27" t="str"><v>43283224369893</v></cell><cell r="E27" t="str"><v>43283103256571Trials</v></cell><cell r="F27" t="str"><v>DCM</v></cell><cell r="G27" t="str"><v>https://azure.microsoft.com/fr-fr/pricing/purchase-options/</v></cell></row><row r="27"><cell r="K27" t="str"><v>July</v></cell><cell r="L27"><v>43288</v></cell><cell r="M27" t="str"><v>Tier 1</v></cell><cell r="N27" t="str"><v>EMEA</v></cell><cell r="O27" t="str"><v>France</v></cell><cell r="P27" t="str"><v>Trial</v></cell><cell r="Q27" t="str"><v>Social</v></cell><cell r="R27" t="str"><v>Azure</v></cell><cell r="S27" t="str"><v>Apps & Infra</v></cell><cell r="T27" t="str"><v>Developers & ITI's</v></cell><cell r="U27" t="str"><v>Developers/ITPros-Azure Direct-Sponsored Post-Canvas-FBCTCcanvaspage-BuyNowCTA-Img3_FBCTCBasicMotion_FRA_10sec</v></cell><cell r="V27" t="str"><v>Behavioral Targeting</v></cell><cell r="W27" t="str"><v>Social</v></cell><cell r="X27" t="str"><v>1x1</v></cell></row><row r="27"><cell r="AA27"><v>43283</v></cell><cell r="AB27" t="str"><v>FRA_gaPMG_AZR_AZR_Q1_19_AzureDirect-Trial-Social</v></cell><cell r="AC27"><v>21356941</v></cell><cell r="AD27"><v>720193</v></cell><cell r="AE27" t="str"><v>Facebook</v></cell><cell r="AF27"><v>3654128</v></cell><cell r="AG27" t="str"><v>Facebook»Developers/ITPros-Azure Direct-Sponsored Post-Canvas-FBCTCcanvaspage-BuyNowCTA-Img3_FBCTCBasicMotion_FRA_10sec»1x1»Canvas»SOC»ALL»CPC»BT»D»UNK»SS»NA»Trials</v></cell><cell r="AH27"><v>224369893</v></cell><cell r="AI27" t="str"><v>AZR_FBCTCcanvaspage-BuyNowCTA-Img3_FRA_1080x162_SOC_AZRDirect_French_NA_Facebook_SBAN_BN_T3_1</v></cell><cell r="AJ27"><v>103256571</v></cell></row><row r="28"><cell r="C28" t="str"><v>43283Facebook»Developers/ITPros-Azure Direct-Sponsored Post-Canvas-FBCTCcanvaspage-BuyNowCTA-Img3_FBCTCBrandinMotion_FRA_14sec»1x1»Canvas»SOC»ALL»CPC»BT»D»UNK»SS»NA»Trials</v></cell><cell r="D28" t="str"><v>43283224416918</v></cell><cell r="E28" t="str"><v>43283103256571Trials</v></cell><cell r="F28" t="str"><v>DCM</v></cell><cell r="G28" t="str"><v>https://azure.microsoft.com/fr-fr/pricing/purchase-options/</v></cell></row><row r="28"><cell r="K28" t="str"><v>July</v></cell><cell r="L28"><v>43288</v></cell><cell r="M28" t="str"><v>Tier 1</v></cell><cell r="N28" t="str"><v>EMEA</v></cell><cell r="O28" t="str"><v>France</v></cell><cell r="P28" t="str"><v>Trial</v></cell><cell r="Q28" t="str"><v>Social</v></cell><cell r="R28" t="str"><v>Azure</v></cell><cell r="S28" t="str"><v>Apps & Infra</v></cell><cell r="T28" t="str"><v>Developers & ITI's</v></cell><cell r="U28" t="str"><v>Developers/ITPros-Azure Direct-Sponsored Post-Canvas-FBCTCcanvaspage-BuyNowCTA-Img3_FBCTCBrandinMotion_FRA_14sec</v></cell><cell r="V28" t="str"><v>Behavioral Targeting</v></cell><cell r="W28" t="str"><v>Social</v></cell><cell r="X28" t="str"><v>1x1</v></cell></row><row r="28"><cell r="AA28"><v>43283</v></cell><cell r="AB28" t="str"><v>FRA_gaPMG_AZR_AZR_Q1_19_AzureDirect-Trial-Social</v></cell><cell r="AC28"><v>21356941</v></cell><cell r="AD28"><v>720193</v></cell><cell r="AE28" t="str"><v>Facebook</v></cell><cell r="AF28"><v>3654128</v></cell><cell r="AG28" t="str"><v>Facebook»Developers/ITPros-Azure Direct-Sponsored Post-Canvas-FBCTCcanvaspage-BuyNowCTA-Img3_FBCTCBrandinMotion_FRA_14sec»1x1»Canvas»SOC»ALL»CPC»BT»D»UNK»SS»NA»Trials</v></cell><cell r="AH28"><v>224416918</v></cell><cell r="AI28" t="str"><v>AZR_FBCTCcanvaspage-BuyNowCTA-Img3_FRA_1080x162_SOC_AZRDirect_French_NA_Facebook_SBAN_BN_T3_1</v></cell><cell r="AJ28"><v>103256571</v></cell></row><row r="29"><cell r="C29" t="str"><v>43283Facebook»Developers/ITPros-Azure Direct-Sponsored Post-Canvas-FBCTCcanvaspage-StartFreeCTA-Img2_FBCTCBrandinMotion_FRA_12sec»1x1»Canvas»SOC»ALL»CPC»BT»D»UNK»SS»NA»Trials</v></cell><cell r="D29" t="str"><v>43283224560878</v></cell><cell r="E29" t="str"><v>43283103259958Trials</v></cell><cell r="F29" t="str"><v>DCM</v></cell><cell r="G29" t="str"><v>https://signup.azure.com/signup?offer=ms-azr-0044p&appId=102&ref=paidmedia-social-fb&redirectURL=https%3a%2f%2fazure.microsoft.com%2ffr-fr%2fget-started%2fwelcome-to-azure%2f&l=fr-fr&correlationId=ead86c34-1f10-49dd-a72b-6918462a2cbf</v></cell></row><row r="29"><cell r="K29" t="str"><v>July</v></cell><cell r="L29"><v>43288</v></cell><cell r="M29" t="str"><v>Tier 1</v></cell><cell r="N29" t="str"><v>EMEA</v></cell><cell r="O29" t="str"><v>France</v></cell><cell r="P29" t="str"><v>Trial</v></cell><cell r="Q29" t="str"><v>Social</v></cell><cell r="R29" t="str"><v>Azure</v></cell><cell r="S29" t="str"><v>Apps & Infra</v></cell><cell r="T29" t="str"><v>Developers & ITI's</v></cell><cell r="U29" t="str"><v>Developers/ITPros-Azure Direct-Sponsored Post-Canvas-FBCTCcanvaspage-StartFreeCTA-Img2_FBCTCBrandinMotion_FRA_12sec</v></cell><cell r="V29" t="str"><v>Behavioral Targeting</v></cell><cell r="W29" t="str"><v>Social</v></cell><cell r="X29" t="str"><v>1x1</v></cell></row><row r="29"><cell r="AA29"><v>43283</v></cell><cell r="AB29" t="str"><v>FRA_gaPMG_AZR_AZR_Q1_19_AzureDirect-Trial-Social</v></cell><cell r="AC29"><v>21356941</v></cell><cell r="AD29"><v>720193</v></cell><cell r="AE29" t="str"><v>Facebook</v></cell><cell r="AF29"><v>3654128</v></cell><cell r="AG29" t="str"><v>Facebook»Developers/ITPros-Azure Direct-Sponsored Post-Canvas-FBCTCcanvaspage-StartFreeCTA-Img2_FBCTCBrandinMotion_FRA_12sec»1x1»Canvas»SOC»ALL»CPC»BT»D»UNK»SS»NA»Trials</v></cell><cell r="AH29"><v>224560878</v></cell><cell r="AI29" t="str"><v>AZR_FBCTCcanvaspage-StartFreeCTA-Img2_FRA_1080x143_SOC_AZRDirect_French_NA_Facebook_SBAN_BN_T2_1</v></cell><cell r="AJ29"><v>103259958</v></cell></row><row r="30"><cell r="C30" t="str"><v>43283Facebook»Developers/ITPros-Azure Direct-Sponsored Post-Canvas-FBCTCcanvaspage-StartFreeCTA-Img2_FBCTCBrandinMotion_FRA_14sec»1x1»Canvas»SOC»ALL»CPC»BT»D»UNK»SS»NA»Trials</v></cell><cell r="D30" t="str"><v>43283224560872</v></cell><cell r="E30" t="str"><v>43283103259958Trials</v></cell><cell r="F30" t="str"><v>DCM</v></cell><cell r="G30" t="str"><v>https://signup.azure.com/signup?offer=ms-azr-0044p&appId=102&ref=paidmedia-social-fb&redirectURL=https%3a%2f%2fazure.microsoft.com%2ffr-fr%2fget-started%2fwelcome-to-azure%2f&l=fr-fr&correlationId=ead86c34-1f10-49dd-a72b-6918462a2cbf</v></cell></row><row r="30"><cell r="K30" t="str"><v>July</v></cell><cell r="L30"><v>43288</v></cell><cell r="M30" t="str"><v>Tier 1</v></cell><cell r="N30" t="str"><v>EMEA</v></cell><cell r="O30" t="str"><v>France</v></cell><cell r="P30" t="str"><v>Trial</v></cell><cell r="Q30" t="str"><v>Social</v></cell><cell r="R30" t="str"><v>Azure</v></cell><cell r="S30" t="str"><v>Apps & Infra</v></cell><cell r="T30" t="str"><v>Developers & ITI's</v></cell><cell r="U30" t="str"><v>Developers/ITPros-Azure Direct-Sponsored Post-Canvas-FBCTCcanvaspage-StartFreeCTA-Img2_FBCTCBrandinMotion_FRA_14sec</v></cell><cell r="V30" t="str"><v>Behavioral Targeting</v></cell><cell r="W30" t="str"><v>Social</v></cell><cell r="X30" t="str"><v>1x1</v></cell></row><row r="30"><cell r="AA30"><v>43283</v></cell><cell r="AB30" t="str"><v>FRA_gaPMG_AZR_AZR_Q1_19_AzureDirect-Trial-Social</v></cell><cell r="AC30"><v>21356941</v></cell><cell r="AD30"><v>720193</v></cell><cell r="AE30" t="str"><v>Facebook</v></cell><cell r="AF30"><v>3654128</v></cell><cell r="AG30" t="str"><v>Facebook»Developers/ITPros-Azure Direct-Sponsored Post-Canvas-FBCTCcanvaspage-StartFreeCTA-Img2_FBCTCBrandinMotion_FRA_14sec»1x1»Canvas»SOC»ALL»CPC»BT»D»UNK»SS»NA»Trials</v></cell><cell r="AH30"><v>224560872</v></cell><cell r="AI30" t="str"><v>AZR_FBCTCcanvaspage-StartFreeCTA-Img2_FRA_1080x143_SOC_AZRDirect_French_NA_Facebook_SBAN_BN_T2_1</v></cell><cell r="AJ30"><v>103259958</v></cell></row><row r="31"><cell r="C31" t="str"><v>43283Facebook»Developers/ITPros-Azure Direct-Sponsored Post-Video Ad-FBCTCBasicMotion_FRA_10s_RTG Landing Page»1x1»05s»SOC»ALL»CPC»BT»D»UNK»SS»NA»Trials</v></cell><cell r="D31" t="str"><v>43283224416915</v></cell><cell r="E31" t="str"><v>43283103376981Trials</v></cell><cell r="F31" t="str"><v>DCM</v></cell></row><row r="31"><cell r="K31" t="str"><v>July</v></cell><cell r="L31"><v>43288</v></cell><cell r="M31" t="str"><v>Tier 1</v></cell><cell r="N31" t="str"><v>EMEA</v></cell><cell r="O31" t="str"><v>France</v></cell><cell r="P31" t="str"><v>Trial</v></cell><cell r="Q31" t="str"><v>Social</v></cell><cell r="R31" t="str"><v>Azure</v></cell><cell r="S31" t="str"><v>Apps & Infra</v></cell><cell r="T31" t="str"><v>Developers & ITI's</v></cell><cell r="U31" t="str"><v>Developers/ITPros-Azure Direct-Sponsored Post-Video Ad-FBCTCBasicMotion_FRA_10s_RTG Landing Page</v></cell><cell r="V31" t="str"><v>Behavioral Targeting</v></cell><cell r="W31" t="str"><v>Social</v></cell><cell r="X31" t="str"><v>1x1</v></cell></row><row r="31"><cell r="AA31"><v>43283</v></cell><cell r="AB31" t="str"><v>FRA_gaPMG_AZR_AZR_Q1_19_AzureDirect-Trial-Social</v></cell><cell r="AC31"><v>21356941</v></cell><cell r="AD31"><v>720193</v></cell><cell r="AE31" t="str"><v>Facebook</v></cell><cell r="AF31"><v>3654128</v></cell><cell r="AG31" t="str"><v>Facebook»Developers/ITPros-Azure Direct-Sponsored Post-Video Ad-FBCTCBasicMotion_FRA_10s_RTG Landing Page»1x1»05s»SOC»ALL»CPC»BT»D»UNK»SS»NA»Trials</v></cell><cell r="AH31"><v>224416915</v></cell><cell r="AI31" t="str"><v>AZR_FBCTCBasicMotion_FRA_10s_VIA_AZRDirect_French_NA_Facebook_STAN_TIN_T1_1</v></cell><cell r="AJ31"><v>103376981</v></cell></row><row r="32"><cell r="C32" t="str"><v>43283Facebook»Developers/ITPros-Azure Direct-Sponsored Post-Video Ad-FBCTCBenefit2inMotion_FRA_14s_RTG Landing Page»1x1»06s»SOC»ALL»CPC»BT»D»UNK»SS»NA»Trials</v></cell><cell r="D32" t="str"><v>43283224560875</v></cell><cell r="E32" t="str"><v>43283103259766Trials</v></cell><cell r="F32" t="str"><v>DCM</v></cell><cell r="G32" t="str"><v>https://signup.azure.com/signup?offer=ms-azr-0044p&appId=102&ref=paidmedia-social-fb&redirectURL=https:%2F%2Fazure.microsoft.com%2Ffr-fr%2Fget-started%2Fwelcome-to-azure%2F&l=fr-fr&correlationId=ead86c34-1f10-49dd-a72b-6918462a2cbf</v></cell></row><row r="32"><cell r="K32" t="str"><v>July</v></cell><cell r="L32"><v>43288</v></cell><cell r="M32" t="str"><v>Tier 1</v></cell><cell r="N32" t="str"><v>EMEA</v></cell><cell r="O32" t="str"><v>France</v></cell><cell r="P32" t="str"><v>Trial</v></cell><cell r="Q32" t="str"><v>Social</v></cell><cell r="R32" t="str"><v>Azure</v></cell><cell r="S32" t="str"><v>Apps & Infra</v></cell><cell r="T32" t="str"><v>Developers & ITI's</v></cell><cell r="U32" t="str"><v>Developers/ITPros-Azure Direct-Sponsored Post-Video Ad-FBCTCBenefit2inMotion_FRA_14s_RTG Landing Page</v></cell><cell r="V32" t="str"><v>Behavioral Targeting</v></cell><cell r="W32" t="str"><v>Social</v></cell><cell r="X32" t="str"><v>1x1</v></cell></row><row r="32"><cell r="AA32"><v>43283</v></cell><cell r="AB32" t="str"><v>FRA_gaPMG_AZR_AZR_Q1_19_AzureDirect-Trial-Social</v></cell><cell r="AC32"><v>21356941</v></cell><cell r="AD32"><v>720193</v></cell><cell r="AE32" t="str"><v>Facebook</v></cell><cell r="AF32"><v>3654128</v></cell><cell r="AG32" t="str"><v>Facebook»Developers/ITPros-Azure Direct-Sponsored Post-Video Ad-FBCTCBenefit2inMotion_FRA_14s_RTG Landing Page»1x1»06s»SOC»ALL»CPC»BT»D»UNK»SS»NA»Trials</v></cell><cell r="AH32"><v>224560875</v></cell><cell r="AI32" t="str"><v>AZR_FBCTCBenefit2inMotion_FRA_14s_VIA_AZRDirect_French_NA_Facebook_STAN_TIN_T4_1</v></cell><cell r="AJ32"><v>103259766</v></cell></row><row r="33"><cell r="C33" t="str"><v>43283Facebook»Developers/ITPros-Azure Direct-Sponsored Post-Video Ad-FBCTCBrandinMotion_FRA_12s_RTG Landing Page»1x1»05s»SOC»ALL»CPC»BT»D»UNK»SS»NA»Trials</v></cell><cell r="D33" t="str"><v>43283224560863</v></cell><cell r="E33" t="str"><v>43283103256577Trials</v></cell><cell r="F33" t="str"><v>DCM</v></cell></row><row r="33"><cell r="K33" t="str"><v>July</v></cell><cell r="L33"><v>43288</v></cell><cell r="M33" t="str"><v>Tier 1</v></cell><cell r="N33" t="str"><v>EMEA</v></cell><cell r="O33" t="str"><v>France</v></cell><cell r="P33" t="str"><v>Trial</v></cell><cell r="Q33" t="str"><v>Social</v></cell><cell r="R33" t="str"><v>Azure</v></cell><cell r="S33" t="str"><v>Apps & Infra</v></cell><cell r="T33" t="str"><v>Developers & ITI's</v></cell><cell r="U33" t="str"><v>Developers/ITPros-Azure Direct-Sponsored Post-Video Ad-FBCTCBrandinMotion_FRA_12s_RTG Landing Page</v></cell><cell r="V33" t="str"><v>Behavioral Targeting</v></cell><cell r="W33" t="str"><v>Social</v></cell><cell r="X33" t="str"><v>1x1</v></cell></row><row r="33"><cell r="AA33"><v>43283</v></cell><cell r="AB33" t="str"><v>FRA_gaPMG_AZR_AZR_Q1_19_AzureDirect-Trial-Social</v></cell><cell r="AC33"><v>21356941</v></cell><cell r="AD33"><v>720193</v></cell><cell r="AE33" t="str"><v>Facebook</v></cell><cell r="AF33"><v>3654128</v></cell><cell r="AG33" t="str"><v>Facebook»Developers/ITPros-Azure Direct-Sponsored Post-Video Ad-FBCTCBrandinMotion_FRA_12s_RTG Landing Page»1x1»05s»SOC»ALL»CPC»BT»D»UNK»SS»NA»Trials</v></cell><cell r="AH33"><v>224560863</v></cell><cell r="AI33" t="str"><v>AZR_FBCTCBrandinMotion_FRA_12s_VIA_AZRDirect_French_NA_Facebook_STAN_TIN_T2_1</v></cell><cell r="AJ33"><v>103256577</v></cell></row><row r="34"><cell r="C34" t="str"><v>43283Facebook»Developers/ITPros-Azure Direct-Sponsored Post-Canvas-FBCTCcanvaspage-BuyNowCTA-Img3_FBCTCBrandinMotion_FRA_12sec»1x1»Canvas»SOC»ALL»CPC»BT»D»UNK»SS»NA»Trials</v></cell><cell r="D34" t="str"><v>43283224416924</v></cell><cell r="E34" t="str"><v>43283103256571Trials</v></cell><cell r="F34" t="str"><v>DCM</v></cell><cell r="G34" t="str"><v>https://azure.microsoft.com/fr-fr/pricing/purchase-options/</v></cell></row><row r="34"><cell r="K34" t="str"><v>July</v></cell><cell r="L34"><v>43288</v></cell><cell r="M34" t="str"><v>Tier 1</v></cell><cell r="N34" t="str"><v>EMEA</v></cell><cell r="O34" t="str"><v>France</v></cell><cell r="P34" t="str"><v>Trial</v></cell><cell r="Q34" t="str"><v>Social</v></cell><cell r="R34" t="str"><v>Azure</v></cell><cell r="S34" t="str"><v>Apps & Infra</v></cell><cell r="T34" t="str"><v>Developers & ITI's</v></cell><cell r="U34" t="str"><v>Developers/ITPros-Azure Direct-Sponsored Post-Canvas-FBCTCcanvaspage-BuyNowCTA-Img3_FBCTCBrandinMotion_FRA_12sec</v></cell><cell r="V34" t="str"><v>Behavioral Targeting</v></cell><cell r="W34" t="str"><v>Social</v></cell><cell r="X34" t="str"><v>1x1</v></cell></row><row r="34"><cell r="AA34"><v>43283</v></cell><cell r="AB34" t="str"><v>FRA_gaPMG_AZR_AZR_Q1_19_AzureDirect-Trial-Social</v></cell><cell r="AC34"><v>21356941</v></cell><cell r="AD34"><v>720193</v></cell><cell r="AE34" t="str"><v>Facebook</v></cell><cell r="AF34"><v>3654128</v></cell><cell r="AG34" t="str"><v>Facebook»Developers/ITPros-Azure Direct-Sponsored Post-Canvas-FBCTCcanvaspage-BuyNowCTA-Img3_FBCTCBrandinMotion_FRA_12sec»1x1»Canvas»SOC»ALL»CPC»BT»D»UNK»SS»NA»Trials</v></cell><cell r="AH34"><v>224416924</v></cell><cell r="AI34" t="str"><v>AZR_FBCTCcanvaspage-BuyNowCTA-Img3_FRA_1080x162_SOC_AZRDirect_French_NA_Facebook_SBAN_BN_T3_1</v></cell><cell r="AJ34"><v>103256571</v></cell></row><row r="35"><cell r="C35" t="str"><v>43283Facebook»Audience & Interest Targeting»1x1»SocialBan»LIA»DT»DYN»AUT»W»NA»SS»NA»Free Account Refresh- 12 months ChE</v></cell><cell r="D35" t="str"><v>43283223567691</v></cell><cell r="E35" t="str"><v>43283102854007hs ChE</v></cell><cell r="F35" t="str"><v>DCM</v></cell><cell r="G35" t="str"><v>https://azure.microsoft.com/en-gb/free/search/</v></cell></row><row r="35"><cell r="K35" t="str"><v>July</v></cell><cell r="L35"><v>43288</v></cell><cell r="M35" t="str"><v>Tier 1</v></cell><cell r="N35" t="str"><v>EMEA</v></cell><cell r="O35" t="str"><v>United Kingdom</v></cell><cell r="P35" t="str"><v>Trial</v></cell><cell r="Q35" t="str"><v>Social</v></cell><cell r="R35" t="str"><v>Azure</v></cell><cell r="S35" t="str"><v>Apps & Infra</v></cell><cell r="T35" t="str"><v>Developers & ITI's</v></cell><cell r="U35" t="str"><v>Audience & Interest Targeting</v></cell><cell r="V35" t="str"><v>Audience Targeting</v></cell><cell r="W35" t="str"><v>Link Ad</v></cell><cell r="X35" t="str"><v>1x1</v></cell></row><row r="35"><cell r="AA35"><v>43283</v></cell><cell r="AB35" t="str"><v>GBR_gaPMG_CE_AZR_Q1_19_Trial-Social</v></cell><cell r="AC35"><v>21337013</v></cell><cell r="AD35"><v>720196</v></cell><cell r="AE35" t="str"><v>Facebook</v></cell><cell r="AF35"><v>3654128</v></cell><cell r="AG35" t="str"><v>Facebook»Audience & Interest Targeting»1x1»SocialBan»LIA»DT»DYN»AUT»W»NA»SS»NA»Free Account Refresh- 12 months ChE</v></cell><cell r="AH35"><v>223567691</v></cell><cell r="AI35" t="str"><v>AzurePlatform_FreeAcctAppsFACEBOOK12monthsChE_GBR_1200x628_SOC_PLAT_EN_Trial_Standard_NA_SU_T5_1</v></cell><cell r="AJ35"><v>102854007</v></cell></row><row r="36"><cell r="C36" t="str"><v>43283Facebook»Audience & Interest Targeting»1x1»SocialBan»LIA»DT»DYN»AUT»W»NA»SS»NA»Free Account Refresh- 200 Credit ChD</v></cell><cell r="D36" t="str"><v>43283223560359</v></cell><cell r="E36" t="str"><v>43283103005662it ChD</v></cell><cell r="F36" t="str"><v>DCM</v></cell><cell r="G36" t="str"><v>https://azure.microsoft.com/en-gb/free/search/</v></cell></row><row r="36"><cell r="K36" t="str"><v>July</v></cell><cell r="L36"><v>43288</v></cell><cell r="M36" t="str"><v>Tier 1</v></cell><cell r="N36" t="str"><v>EMEA</v></cell><cell r="O36" t="str"><v>United Kingdom</v></cell><cell r="P36" t="str"><v>Trial</v></cell><cell r="Q36" t="str"><v>Social</v></cell><cell r="R36" t="str"><v>Azure</v></cell><cell r="S36" t="str"><v>Apps & Infra</v></cell><cell r="T36" t="str"><v>Developers & ITI's</v></cell><cell r="U36" t="str"><v>Audience & Interest Targeting</v></cell><cell r="V36" t="str"><v>Audience Targeting</v></cell><cell r="W36" t="str"><v>Link Ad</v></cell><cell r="X36" t="str"><v>1x1</v></cell></row><row r="36"><cell r="AA36"><v>43283</v></cell><cell r="AB36" t="str"><v>GBR_gaPMG_CE_AZR_Q1_19_Trial-Social</v></cell><cell r="AC36"><v>21337013</v></cell><cell r="AD36"><v>720196</v></cell><cell r="AE36" t="str"><v>Facebook</v></cell><cell r="AF36"><v>3654128</v></cell><cell r="AG36" t="str"><v>Facebook»Audience & Interest Targeting»1x1»SocialBan»LIA»DT»DYN»AUT»W»NA»SS»NA»Free Account Refresh- 200 Credit ChD</v></cell><cell r="AH36"><v>223560359</v></cell><cell r="AI36" t="str"><v>AzurePlatform_FreeAcctAppsFACEBOOK200CreditChD_GBR_1200x628_SOC_PLAT_EN_Trial_Standard_NA_SU_T4_1</v></cell><cell r="AJ36"><v>103005662</v></cell></row><row r="37"><cell r="C37" t="str"><v>43283Facebook»Audience & Interest Targeting»1x1»SocialBan»LIA»DT»DYN»AUT»W»NA»SS»NA»Free Account Refresh- Device ChB</v></cell><cell r="D37" t="str"><v>43283223560353</v></cell><cell r="E37" t="str"><v>43283102854010ce ChB</v></cell><cell r="F37" t="str"><v>DCM</v></cell><cell r="G37" t="str"><v>https://azure.microsoft.com/en-gb/free/search/</v></cell></row><row r="37"><cell r="K37" t="str"><v>July</v></cell><cell r="L37"><v>43288</v></cell><cell r="M37" t="str"><v>Tier 1</v></cell><cell r="N37" t="str"><v>EMEA</v></cell><cell r="O37" t="str"><v>United Kingdom</v></cell><cell r="P37" t="str"><v>Trial</v></cell><cell r="Q37" t="str"><v>Social</v></cell><cell r="R37" t="str"><v>Azure</v></cell><cell r="S37" t="str"><v>Apps & Infra</v></cell><cell r="T37" t="str"><v>Developers & ITI's</v></cell><cell r="U37" t="str"><v>Audience & Interest Targeting</v></cell><cell r="V37" t="str"><v>Audience Targeting</v></cell><cell r="W37" t="str"><v>Link Ad</v></cell><cell r="X37" t="str"><v>1x1</v></cell></row><row r="37"><cell r="AA37"><v>43283</v></cell><cell r="AB37" t="str"><v>GBR_gaPMG_CE_AZR_Q1_19_Trial-Social</v></cell><cell r="AC37"><v>21337013</v></cell><cell r="AD37"><v>720196</v></cell><cell r="AE37" t="str"><v>Facebook</v></cell><cell r="AF37"><v>3654128</v></cell><cell r="AG37" t="str"><v>Facebook»Audience & Interest Targeting»1x1»SocialBan»LIA»DT»DYN»AUT»W»NA»SS»NA»Free Account Refresh- Device ChB</v></cell><cell r="AH37"><v>223560353</v></cell><cell r="AI37" t="str"><v>AzurePlatform_FreeAcctAppsFACEBOOKDeviceChB_GBR_1200x628_SOC_PLAT_EN_Trial_Standard_NA_SU_T2_1</v></cell><cell r="AJ37"><v>102854010</v></cell></row><row r="38"><cell r="C38" t="str"><v>43283Facebook»Audience & Interest Targeting»1x1»SocialBan»LIA»DT»DYN»AUT»W»NA»SS»NA»Free Account Refresh- Illustration ChC</v></cell><cell r="D38" t="str"><v>43283223560347</v></cell><cell r="E38" t="str"><v>43283102857037on ChC</v></cell><cell r="F38" t="str"><v>DCM</v></cell><cell r="G38" t="str"><v>https://azure.microsoft.com/en-gb/free/search/</v></cell></row><row r="38"><cell r="K38" t="str"><v>July</v></cell><cell r="L38"><v>43288</v></cell><cell r="M38" t="str"><v>Tier 1</v></cell><cell r="N38" t="str"><v>EMEA</v></cell><cell r="O38" t="str"><v>United Kingdom</v></cell><cell r="P38" t="str"><v>Trial</v></cell><cell r="Q38" t="str"><v>Social</v></cell><cell r="R38" t="str"><v>Azure</v></cell><cell r="S38" t="str"><v>Apps & Infra</v></cell><cell r="T38" t="str"><v>Developers & ITI's</v></cell><cell r="U38" t="str"><v>Audience & Interest Targeting</v></cell><cell r="V38" t="str"><v>Audience Targeting</v></cell><cell r="W38" t="str"><v>Link Ad</v></cell><cell r="X38" t="str"><v>1x1</v></cell></row><row r="38"><cell r="AA38"><v>43283</v></cell><cell r="AB38" t="str"><v>GBR_gaPMG_CE_AZR_Q1_19_Trial-Social</v></cell><cell r="AC38"><v>21337013</v></cell><cell r="AD38"><v>720196</v></cell><cell r="AE38" t="str"><v>Facebook</v></cell><cell r="AF38"><v>3654128</v></cell><cell r="AG38" t="str"><v>Facebook»Audience & Interest Targeting»1x1»SocialBan»LIA»DT»DYN»AUT»W»NA»SS»NA»Free Account Refresh- Illustration ChC</v></cell><cell r="AH38"><v>223560347</v></cell><cell r="AI38" t="str"><v>AzurePlatform_FreeAcctAppsFACEBOOKIllustrationChC_GBR_1200x628_SOC_PLAT_EN_Trial_Standard_NA_SU_T3_1</v></cell><cell r="AJ38"><v>102857037</v></cell></row><row r="39"><cell r="C39" t="str"><v>43283Facebook»Audience & Interest Targeting»1x1»SocialBan»LIA»DT»DYN»AUT»W»NA»SS»NA»Free Account Refresh- Lifestyle ChA</v></cell><cell r="D39" t="str"><v>43283223560341</v></cell><cell r="E39" t="str"><v>43283102853597le ChA</v></cell><cell r="F39" t="str"><v>DCM</v></cell><cell r="G39" t="str"><v>https://azure.microsoft.com/en-gb/free/search/</v></cell></row><row r="39"><cell r="K39" t="str"><v>July</v></cell><cell r="L39"><v>43288</v></cell><cell r="M39" t="str"><v>Tier 1</v></cell><cell r="N39" t="str"><v>EMEA</v></cell><cell r="O39" t="str"><v>United Kingdom</v></cell><cell r="P39" t="str"><v>Trial</v></cell><cell r="Q39" t="str"><v>Social</v></cell><cell r="R39" t="str"><v>Azure</v></cell><cell r="S39" t="str"><v>Apps & Infra</v></cell><cell r="T39" t="str"><v>Developers & ITI's</v></cell><cell r="U39" t="str"><v>Audience & Interest Targeting</v></cell><cell r="V39" t="str"><v>Audience Targeting</v></cell><cell r="W39" t="str"><v>Link Ad</v></cell><cell r="X39" t="str"><v>1x1</v></cell></row><row r="39"><cell r="AA39"><v>43283</v></cell><cell r="AB39" t="str"><v>GBR_gaPMG_CE_AZR_Q1_19_Trial-Social</v></cell><cell r="AC39"><v>21337013</v></cell><cell r="AD39"><v>720196</v></cell><cell r="AE39" t="str"><v>Facebook</v></cell><cell r="AF39"><v>3654128</v></cell><cell r="AG39" t="str"><v>Facebook»Audience & Interest Targeting»1x1»SocialBan»LIA»DT»DYN»AUT»W»NA»SS»NA»Free Account Refresh- Lifestyle ChA</v></cell><cell r="AH39"><v>223560341</v></cell><cell r="AI39" t="str"><v>AzurePlatform_FreeAcctAppsFACEBOOKLifestyleChA_GBR_1200x628_SOC_PLAT_EN_Trial_Standard_NA_SU_T1_1</v></cell><cell r="AJ39"><v>102853597</v></cell></row><row r="40"><cell r="C40" t="str"><v>43283Facebook»Retargeting»1x1»SocialBan»LIA»DT»DYN»RT»W»NA»SS»NA»Free Account Retargeting Generic- Animated ChC</v></cell><cell r="D40" t="str"><v>43283223560299</v></cell><cell r="E40" t="str"><v>43283102854019ed ChC</v></cell><cell r="F40" t="str"><v>DCM</v></cell><cell r="G40" t="str"><v>https://azure.microsoft.com/en-gb/free/search/</v></cell></row><row r="40"><cell r="K40" t="str"><v>July</v></cell><cell r="L40"><v>43288</v></cell><cell r="M40" t="str"><v>Tier 1</v></cell><cell r="N40" t="str"><v>EMEA</v></cell><cell r="O40" t="str"><v>United Kingdom</v></cell><cell r="P40" t="str"><v>Trial</v></cell><cell r="Q40" t="str"><v>Social</v></cell><cell r="R40" t="str"><v>Azure</v></cell><cell r="S40" t="str"><v>Apps & Infra</v></cell><cell r="T40" t="str"><v>Developers & ITI's</v></cell><cell r="U40" t="str"><v>Retargeting</v></cell><cell r="V40" t="str"><v>Retargeting</v></cell><cell r="W40" t="str"><v>Link Ad</v></cell><cell r="X40" t="str"><v>1x1</v></cell></row><row r="40"><cell r="AA40"><v>43283</v></cell><cell r="AB40" t="str"><v>GBR_gaPMG_CE_AZR_Q1_19_Trial-Social</v></cell><cell r="AC40"><v>21337013</v></cell><cell r="AD40"><v>720196</v></cell><cell r="AE40" t="str"><v>Facebook</v></cell><cell r="AF40"><v>3654128</v></cell><cell r="AG40" t="str"><v>Facebook»Retargeting»1x1»SocialBan»LIA»DT»DYN»RT»W»NA»SS»NA»Free Account Retargeting Generic- Animated ChC</v></cell><cell r="AH40"><v>223560299</v></cell><cell r="AI40" t="str"><v>AzurePlatform_FreeAcctRetargetingFB-Animated-ChC_GBR_1200x628_SOC_Plat_EN_Free Account_Standard_ANI_SU_T3_1</v></cell><cell r="AJ40"><v>102854019</v></cell></row><row r="41"><cell r="C41" t="str"><v>43283Facebook»Retargeting»1x1»SocialBan»LIA»DT»DYN»RT»W»NA»SS»NA»Free Account Retargeting Generic- Global Alt ChB</v></cell><cell r="D41" t="str"><v>43283223560356</v></cell><cell r="E41" t="str"><v>43283102854016lt ChB</v></cell><cell r="F41" t="str"><v>DCM</v></cell><cell r="G41" t="str"><v>https://azure.microsoft.com/en-gb/free/search/</v></cell></row><row r="41"><cell r="K41" t="str"><v>July</v></cell><cell r="L41"><v>43288</v></cell><cell r="M41" t="str"><v>Tier 1</v></cell><cell r="N41" t="str"><v>EMEA</v></cell><cell r="O41" t="str"><v>United Kingdom</v></cell><cell r="P41" t="str"><v>Trial</v></cell><cell r="Q41" t="str"><v>Social</v></cell><cell r="R41" t="str"><v>Azure</v></cell><cell r="S41" t="str"><v>Apps & Infra</v></cell><cell r="T41" t="str"><v>Developers & ITI's</v></cell><cell r="U41" t="str"><v>Retargeting</v></cell><cell r="V41" t="str"><v>Retargeting</v></cell><cell r="W41" t="str"><v>Link Ad</v></cell><cell r="X41" t="str"><v>1x1</v></cell></row><row r="41"><cell r="AA41"><v>43283</v></cell><cell r="AB41" t="str"><v>GBR_gaPMG_CE_AZR_Q1_19_Trial-Social</v></cell><cell r="AC41"><v>21337013</v></cell><cell r="AD41"><v>720196</v></cell><cell r="AE41" t="str"><v>Facebook</v></cell><cell r="AF41"><v>3654128</v></cell><cell r="AG41" t="str"><v>Facebook»Retargeting»1x1»SocialBan»LIA»DT»DYN»RT»W»NA»SS»NA»Free Account Retargeting Generic- Global Alt ChB</v></cell><cell r="AH41"><v>223560356</v></cell><cell r="AI41" t="str"><v>AzurePlatform_FreeAcctRetargetingFB-GlobalAlt-ChB_GBR_1200x628_SOC_Plat_EN_Free Account_Standard_NA_SU_T2_1</v></cell><cell r="AJ41"><v>102854016</v></cell></row><row r="42"><cell r="C42" t="str"><v>43283Facebook»Retargeting»1x1»SocialBan»LIA»DT»DYN»RT»W»NA»SS»NA»Free Account Retargeting OSS- Logos ChG</v></cell><cell r="D42" t="str"><v>43283223560350</v></cell><cell r="E42" t="str"><v>43283103006547os ChG</v></cell><cell r="F42" t="str"><v>DCM</v></cell><cell r="G42" t="str"><v>https://azure.microsoft.com/en-gb/free/open-source/search/</v></cell></row><row r="42"><cell r="K42" t="str"><v>July</v></cell><cell r="L42"><v>43288</v></cell><cell r="M42" t="str"><v>Tier 1</v></cell><cell r="N42" t="str"><v>EMEA</v></cell><cell r="O42" t="str"><v>United Kingdom</v></cell><cell r="P42" t="str"><v>Trial</v></cell><cell r="Q42" t="str"><v>Social</v></cell><cell r="R42" t="str"><v>Azure</v></cell><cell r="S42" t="str"><v>Apps & Infra</v></cell><cell r="T42" t="str"><v>Developers & ITI's</v></cell><cell r="U42" t="str"><v>Retargeting</v></cell><cell r="V42" t="str"><v>Retargeting</v></cell><cell r="W42" t="str"><v>Link Ad</v></cell><cell r="X42" t="str"><v>1x1</v></cell></row><row r="42"><cell r="AA42"><v>43283</v></cell><cell r="AB42" t="str"><v>GBR_gaPMG_CE_AZR_Q1_19_Trial-Social</v></cell><cell r="AC42"><v>21337013</v></cell><cell r="AD42"><v>720196</v></cell><cell r="AE42" t="str"><v>Facebook</v></cell><cell r="AF42"><v>3654128</v></cell><cell r="AG42" t="str"><v>Facebook»Retargeting»1x1»SocialBan»LIA»DT»DYN»RT»W»NA»SS»NA»Free Account Retargeting OSS- Logos ChG</v></cell><cell r="AH42"><v>223560350</v></cell><cell r="AI42" t="str"><v>AzurePlatform_FreeAcctRetargetingOSSFB-Logos-ChG_GBR_1200x628_SOC_Plat_EN_Free Account_Standard_NA_SU_T2_1</v></cell><cell r="AJ42"><v>103006547</v></cell></row><row r="43"><cell r="C43" t="str"><v>43283Facebook»Retargeting»1x1»SocialBan»LIA»DT»DYN»RT»W»NA»SS»NA»Free Account Retargeting OSS- Text ChF</v></cell><cell r="D43" t="str"><v>43283223560344</v></cell><cell r="E43" t="str"><v>43283102861246xt ChF</v></cell><cell r="F43" t="str"><v>DCM</v></cell><cell r="G43" t="str"><v>https://azure.microsoft.com/en-gb/free/open-source/search/</v></cell></row><row r="43"><cell r="K43" t="str"><v>July</v></cell><cell r="L43"><v>43288</v></cell><cell r="M43" t="str"><v>Tier 1</v></cell><cell r="N43" t="str"><v>EMEA</v></cell><cell r="O43" t="str"><v>United Kingdom</v></cell><cell r="P43" t="str"><v>Trial</v></cell><cell r="Q43" t="str"><v>Social</v></cell><cell r="R43" t="str"><v>Azure</v></cell><cell r="S43" t="str"><v>Apps & Infra</v></cell><cell r="T43" t="str"><v>Developers & ITI's</v></cell><cell r="U43" t="str"><v>Retargeting</v></cell><cell r="V43" t="str"><v>Retargeting</v></cell><cell r="W43" t="str"><v>Link Ad</v></cell><cell r="X43" t="str"><v>1x1</v></cell></row><row r="43"><cell r="AA43"><v>43283</v></cell><cell r="AB43" t="str"><v>GBR_gaPMG_CE_AZR_Q1_19_Trial-Social</v></cell><cell r="AC43"><v>21337013</v></cell><cell r="AD43"><v>720196</v></cell><cell r="AE43" t="str"><v>Facebook</v></cell><cell r="AF43"><v>3654128</v></cell><cell r="AG43" t="str"><v>Facebook»Retargeting»1x1»SocialBan»LIA»DT»DYN»RT»W»NA»SS»NA»Free Account Retargeting OSS- Text ChF</v></cell><cell r="AH43"><v>223560344</v></cell><cell r="AI43" t="str"><v>AzurePlatform_FreeAcctRetargetingOSSFB-Text-ChF_GBR_1200x628_SOC_Plat_EN_Free Account_Standard_NA_SU_T1_1</v></cell><cell r="AJ43"><v>102861246</v></cell></row><row r="44"><cell r="C44" t="str"><v>43283Facebook»Retargeting»1x1»SocialBan»LIA»DT»DYN»RT»W»NA»SS»NA»Free Account Retargeting VM- 750 Hrs ChD</v></cell><cell r="D44" t="str"><v>43283223560338</v></cell><cell r="E44" t="str"><v>43283102853603rs ChD</v></cell><cell r="F44" t="str"><v>DCM</v></cell><cell r="G44" t="str"><v>https://azure.microsoft.com/en-gb/free/virtual-machines/search/</v></cell></row><row r="44"><cell r="K44" t="str"><v>July</v></cell><cell r="L44"><v>43288</v></cell><cell r="M44" t="str"><v>Tier 1</v></cell><cell r="N44" t="str"><v>EMEA</v></cell><cell r="O44" t="str"><v>United Kingdom</v></cell><cell r="P44" t="str"><v>Trial</v></cell><cell r="Q44" t="str"><v>Social</v></cell><cell r="R44" t="str"><v>Azure</v></cell><cell r="S44" t="str"><v>Apps & Infra</v></cell><cell r="T44" t="str"><v>Developers & ITI's</v></cell><cell r="U44" t="str"><v>Retargeting</v></cell><cell r="V44" t="str"><v>Retargeting</v></cell><cell r="W44" t="str"><v>Link Ad</v></cell><cell r="X44" t="str"><v>1x1</v></cell></row><row r="44"><cell r="AA44"><v>43283</v></cell><cell r="AB44" t="str"><v>GBR_gaPMG_CE_AZR_Q1_19_Trial-Social</v></cell><cell r="AC44"><v>21337013</v></cell><cell r="AD44"><v>720196</v></cell><cell r="AE44" t="str"><v>Facebook</v></cell><cell r="AF44"><v>3654128</v></cell><cell r="AG44" t="str"><v>Facebook»Retargeting»1x1»SocialBan»LIA»DT»DYN»RT»W»NA»SS»NA»Free Account Retargeting VM- 750 Hrs ChD</v></cell><cell r="AH44"><v>223560338</v></cell><cell r="AI44" t="str"><v>AzurePlatform_FreeAcctRetargetingVMFB-750Hrs-ChD_GBR_1200x628_SOC_Plat_EN_Free Account_Standard_NA_SU_T1_1</v></cell><cell r="AJ44"><v>102853603</v></cell></row><row r="45"><cell r="C45" t="str"><v>43283Facebook»AZP-Canvas-Interest&Role-Trial»1x1»Canvas»OTH»MO»CPM»PRO»X»UNK»TP»OT»Canvas-Trial</v></cell><cell r="D45" t="str"><v>43283223298805</v></cell><cell r="E45" t="str"><v>43283102630373-Trial</v></cell><cell r="F45" t="str"><v>DCM</v></cell><cell r="G45" t="str"><v>https://azure.microsoft.com/ja-jp/pricing/purchase-options/</v></cell></row><row r="45"><cell r="K45" t="str"><v>July</v></cell><cell r="L45"><v>43288</v></cell><cell r="M45" t="str"><v>Tier 1</v></cell><cell r="N45" t="str"><v>APAC</v></cell><cell r="O45" t="str"><v>Japan</v></cell><cell r="P45" t="str"><v>Trial</v></cell><cell r="Q45" t="str"><v>Social</v></cell><cell r="R45" t="str"><v>Azure</v></cell><cell r="S45" t="str"><v>Apps & Infra</v></cell><cell r="T45" t="str"><v>Developers & ITI's</v></cell><cell r="U45" t="str"><v>AZP-Canvas-Interest&Role-Trial</v></cell><cell r="V45" t="str"><v>Prospecting</v></cell><cell r="W45" t="str"><v>Other</v></cell><cell r="X45" t="str"><v>1x1</v></cell></row><row r="45"><cell r="AA45"><v>43283</v></cell><cell r="AB45" t="str"><v>JPN_gaPMG_AZR_AZR_Q1_19_Trial-Social</v></cell><cell r="AC45"><v>21276694</v></cell><cell r="AD45"><v>720195</v></cell><cell r="AE45" t="str"><v>Facebook</v></cell><cell r="AF45"><v>3654128</v></cell><cell r="AG45" t="str"><v>Facebook»AZP-Canvas-Interest&Role-Trial»1x1»Canvas»OTH»MO»CPM»PRO»X»UNK»TP»OT»Canvas-Trial</v></cell><cell r="AH45"><v>223298805</v></cell><cell r="AI45" t="str"><v>AzurePlatform_FBCTCcanvaspage-BuyNowCTA-Img3_JPN_1080x162_SOC_Plat_Japanese_NA_Standard_NA_BN_T3_1</v></cell><cell r="AJ45"><v>102630373</v></cell></row><row r="46"><cell r="C46" t="str"><v>43283Facebook»AZP-Canvas-Interest&Role-Trial»1x1»Canvas»OTH»MO»CPM»PRO»X»UNK»TP»OT»Canvas-Trial</v></cell><cell r="D46" t="str"><v>43283223298805</v></cell><cell r="E46" t="str"><v>43283102609621-Trial</v></cell><cell r="F46" t="str"><v>DCM</v></cell><cell r="G46" t="str"><v>https://signup.azure.com/signup?offer=ms-azr-0044p&appId=102&ref=paidmedia-social-fb&redirectURL=https%3a%2f%2fazure.microsoft.com%2fja-jp%2fget-started%2fwelcome-to-azure%2f&l=ja-jp&correlationId=ead86c34-1f10-49dd-a72b-6918462a2cbf</v></cell></row><row r="46"><cell r="K46" t="str"><v>July</v></cell><cell r="L46"><v>43288</v></cell><cell r="M46" t="str"><v>Tier 1</v></cell><cell r="N46" t="str"><v>APAC</v></cell><cell r="O46" t="str"><v>Japan</v></cell><cell r="P46" t="str"><v>Trial</v></cell><cell r="Q46" t="str"><v>Social</v></cell><cell r="R46" t="str"><v>Azure</v></cell><cell r="S46" t="str"><v>Apps & Infra</v></cell><cell r="T46" t="str"><v>Developers & ITI's</v></cell><cell r="U46" t="str"><v>AZP-Canvas-Interest&Role-Trial</v></cell><cell r="V46" t="str"><v>Prospecting</v></cell><cell r="W46" t="str"><v>Other</v></cell><cell r="X46" t="str"><v>1x1</v></cell></row><row r="46"><cell r="AA46"><v>43283</v></cell><cell r="AB46" t="str"><v>JPN_gaPMG_AZR_AZR_Q1_19_Trial-Social</v></cell><cell r="AC46"><v>21276694</v></cell><cell r="AD46"><v>720195</v></cell><cell r="AE46" t="str"><v>Facebook</v></cell><cell r="AF46"><v>3654128</v></cell><cell r="AG46" t="str"><v>Facebook»AZP-Canvas-Interest&Role-Trial»1x1»Canvas»OTH»MO»CPM»PRO»X»UNK»TP»OT»Canvas-Trial</v></cell><cell r="AH46"><v>223298805</v></cell><cell r="AI46" t="str"><v>AzurePlatform_FBCTCcanvaspage-StartFreeCTA-Img2_JPN_1080x143 _SOC_Plat_Japanese_NA_Standard_NA_NA_T2_1</v></cell><cell r="AJ46"><v>102609621</v></cell></row><row r="47"><cell r="C47" t="str"><v>43283Facebook»AZP-Canvas-Look a Like-Trial»1x1»Canvas»OTH»MO»CPM»PRO»X»UNK»TP»OT»Canvas-Trial</v></cell><cell r="D47" t="str"><v>43283223297413</v></cell><cell r="E47" t="str"><v>43283102630373-Trial</v></cell><cell r="F47" t="str"><v>DCM</v></cell><cell r="G47" t="str"><v>https://azure.microsoft.com/ja-jp/pricing/purchase-options/</v></cell></row><row r="47"><cell r="K47" t="str"><v>July</v></cell><cell r="L47"><v>43288</v></cell><cell r="M47" t="str"><v>Tier 1</v></cell><cell r="N47" t="str"><v>APAC</v></cell><cell r="O47" t="str"><v>Japan</v></cell><cell r="P47" t="str"><v>Trial</v></cell><cell r="Q47" t="str"><v>Social</v></cell><cell r="R47" t="str"><v>Azure</v></cell><cell r="S47" t="str"><v>Apps & Infra</v></cell><cell r="T47" t="str"><v>Developers & ITI's</v></cell><cell r="U47" t="str"><v>AZP-Canvas-Look a Like-Trial</v></cell><cell r="V47" t="str"><v>Prospecting</v></cell><cell r="W47" t="str"><v>Other</v></cell><cell r="X47" t="str"><v>1x1</v></cell></row><row r="47"><cell r="AA47"><v>43283</v></cell><cell r="AB47" t="str"><v>JPN_gaPMG_AZR_AZR_Q1_19_Trial-Social</v></cell><cell r="AC47"><v>21276694</v></cell><cell r="AD47"><v>720195</v></cell><cell r="AE47" t="str"><v>Facebook</v></cell><cell r="AF47"><v>3654128</v></cell><cell r="AG47" t="str"><v>Facebook»AZP-Canvas-Look a Like-Trial»1x1»Canvas»OTH»MO»CPM»PRO»X»UNK»TP»OT»Canvas-Trial</v></cell><cell r="AH47"><v>223297413</v></cell><cell r="AI47" t="str"><v>AzurePlatform_FBCTCcanvaspage-BuyNowCTA-Img3_JPN_1080x162_SOC_Plat_Japanese_NA_Standard_NA_BN_T3_1</v></cell><cell r="AJ47"><v>102630373</v></cell></row><row r="48"><cell r="C48" t="str"><v>43283Facebook»AZP-Canvas-Look a Like-Trial»1x1»Canvas»OTH»MO»CPM»PRO»X»UNK»TP»OT»Canvas-Trial</v></cell><cell r="D48" t="str"><v>43283223297413</v></cell><cell r="E48" t="str"><v>43283102609621-Trial</v></cell><cell r="F48" t="str"><v>DCM</v></cell><cell r="G48" t="str"><v>https://signup.azure.com/signup?offer=ms-azr-0044p&appId=102&ref=paidmedia-social-fb&redirectURL=https%3a%2f%2fazure.microsoft.com%2fja-jp%2fget-started%2fwelcome-to-azure%2f&l=ja-jp&correlationId=ead86c34-1f10-49dd-a72b-6918462a2cbf</v></cell></row><row r="48"><cell r="K48" t="str"><v>July</v></cell><cell r="L48"><v>43288</v></cell><cell r="M48" t="str"><v>Tier 1</v></cell><cell r="N48" t="str"><v>APAC</v></cell><cell r="O48" t="str"><v>Japan</v></cell><cell r="P48" t="str"><v>Trial</v></cell><cell r="Q48" t="str"><v>Social</v></cell><cell r="R48" t="str"><v>Azure</v></cell><cell r="S48" t="str"><v>Apps & Infra</v></cell><cell r="T48" t="str"><v>Developers & ITI's</v></cell><cell r="U48" t="str"><v>AZP-Canvas-Look a Like-Trial</v></cell><cell r="V48" t="str"><v>Prospecting</v></cell><cell r="W48" t="str"><v>Other</v></cell><cell r="X48" t="str"><v>1x1</v></cell></row><row r="48"><cell r="AA48"><v>43283</v></cell><cell r="AB48" t="str"><v>JPN_gaPMG_AZR_AZR_Q1_19_Trial-Social</v></cell><cell r="AC48"><v>21276694</v></cell><cell r="AD48"><v>720195</v></cell><cell r="AE48" t="str"><v>Facebook</v></cell><cell r="AF48"><v>3654128</v></cell><cell r="AG48" t="str"><v>Facebook»AZP-Canvas-Look a Like-Trial»1x1»Canvas»OTH»MO»CPM»PRO»X»UNK»TP»OT»Canvas-Trial</v></cell><cell r="AH48"><v>223297413</v></cell><cell r="AI48" t="str"><v>AzurePlatform_FBCTCcanvaspage-StartFreeCTA-Img2_JPN_1080x143 _SOC_Plat_Japanese_NA_Standard_NA_NA_T2_1</v></cell><cell r="AJ48"><v>102609621</v></cell></row><row r="49"><cell r="C49" t="str"><v>43283Facebook»AZP-Retargeting»1x1»Ban»LIA»ALL»CPM»RT»X»All»TP»OT»Free Account Retargeting Generic-ChB</v></cell><cell r="D49" t="str"><v>43283223726377</v></cell><cell r="E49" t="str"><v>43283102977720ic-ChB</v></cell><cell r="F49" t="str"><v>DCM</v></cell><cell r="G49" t="str"><v>https://azure.microsoft.com/ja-jp/free/search/</v></cell></row><row r="49"><cell r="K49" t="str"><v>July</v></cell><cell r="L49"><v>43288</v></cell><cell r="M49" t="str"><v>Tier 1</v></cell><cell r="N49" t="str"><v>APAC</v></cell><cell r="O49" t="str"><v>Japan</v></cell><cell r="P49" t="str"><v>Trial</v></cell><cell r="Q49" t="str"><v>Social</v></cell><cell r="R49" t="str"><v>Azure</v></cell><cell r="S49" t="str"><v>Apps & Infra</v></cell><cell r="T49" t="str"><v>Developers & ITI's</v></cell><cell r="U49" t="str"><v>AZP-Retargeting</v></cell><cell r="V49" t="str"><v>Retargeting</v></cell><cell r="W49" t="str"><v>Link Ad</v></cell><cell r="X49" t="str"><v>1x1</v></cell></row><row r="49"><cell r="AA49"><v>43283</v></cell><cell r="AB49" t="str"><v>JPN_gaPMG_AZR_AZR_Q1_19_Trial-Social</v></cell><cell r="AC49"><v>21276694</v></cell><cell r="AD49"><v>720195</v></cell><cell r="AE49" t="str"><v>Facebook</v></cell><cell r="AF49"><v>3654128</v></cell><cell r="AG49" t="str"><v>Facebook»AZP-Retargeting»1x1»Ban»LIA»ALL»CPM»RT»X»All»TP»OT»Free Account Retargeting Generic-ChB</v></cell><cell r="AH49"><v>223726377</v></cell><cell r="AI49" t="str"><v>AzurePlatform_FreeAcctRetargetingFB-GlobalAlt-ChB_JPN_1200x628_SOC_Plat_JA_Free Account_Standard_NA_SU_T2_1</v></cell><cell r="AJ49"><v>102977720</v></cell></row><row r="50"><cell r="C50" t="str"><v>43283Facebook»AZP-Retargeting»1x1»Ban»LIA»ALL»CPM»RT»X»All»TP»OT»Free Account Retargeting OSS-ChF</v></cell><cell r="D50" t="str"><v>43283223726368</v></cell><cell r="E50" t="str"><v>43283102974750SS-ChF</v></cell><cell r="F50" t="str"><v>DCM</v></cell><cell r="G50" t="str"><v>https://azure.microsoft.com/ja-jp/free/open-source/search/</v></cell></row><row r="50"><cell r="K50" t="str"><v>July</v></cell><cell r="L50"><v>43288</v></cell><cell r="M50" t="str"><v>Tier 1</v></cell><cell r="N50" t="str"><v>APAC</v></cell><cell r="O50" t="str"><v>Japan</v></cell><cell r="P50" t="str"><v>Trial</v></cell><cell r="Q50" t="str"><v>Social</v></cell><cell r="R50" t="str"><v>Azure</v></cell><cell r="S50" t="str"><v>Apps & Infra</v></cell><cell r="T50" t="str"><v>Developers & ITI's</v></cell><cell r="U50" t="str"><v>AZP-Retargeting</v></cell><cell r="V50" t="str"><v>Retargeting</v></cell><cell r="W50" t="str"><v>Link Ad</v></cell><cell r="X50" t="str"><v>1x1</v></cell></row><row r="50"><cell r="AA50"><v>43283</v></cell><cell r="AB50" t="str"><v>JPN_gaPMG_AZR_AZR_Q1_19_Trial-Social</v></cell><cell r="AC50"><v>21276694</v></cell><cell r="AD50"><v>720195</v></cell><cell r="AE50" t="str"><v>Facebook</v></cell><cell r="AF50"><v>3654128</v></cell><cell r="AG50" t="str"><v>Facebook»AZP-Retargeting»1x1»Ban»LIA»ALL»CPM»RT»X»All»TP»OT»Free Account Retargeting OSS-ChF</v></cell><cell r="AH50"><v>223726368</v></cell><cell r="AI50" t="str"><v>AzurePlatform_FreeAcctRetargetingOSSFB-Text-ChF_JPN_1200x628_SOC_Plat_JA_Free Account_Standard_NA_SU_T1_1</v></cell><cell r="AJ50"><v>102974750</v></cell></row><row r="51"><cell r="C51" t="str"><v>43283Facebook»AZP-Retargeting»1x1»Ban»LIA»ALL»CPM»RT»X»All»TP»OT»Free Account Retargeting VM-ChD</v></cell><cell r="D51" t="str"><v>43283223726374</v></cell><cell r="E51" t="str"><v>43283102971306VM-ChD</v></cell><cell r="F51" t="str"><v>DCM</v></cell><cell r="G51" t="str"><v>https://azure.microsoft.com/ja-jp/free/virtual-machines/search/</v></cell></row><row r="51"><cell r="K51" t="str"><v>July</v></cell><cell r="L51"><v>43288</v></cell><cell r="M51" t="str"><v>Tier 1</v></cell><cell r="N51" t="str"><v>APAC</v></cell><cell r="O51" t="str"><v>Japan</v></cell><cell r="P51" t="str"><v>Trial</v></cell><cell r="Q51" t="str"><v>Social</v></cell><cell r="R51" t="str"><v>Azure</v></cell><cell r="S51" t="str"><v>Apps & Infra</v></cell><cell r="T51" t="str"><v>Developers & ITI's</v></cell><cell r="U51" t="str"><v>AZP-Retargeting</v></cell><cell r="V51" t="str"><v>Retargeting</v></cell><cell r="W51" t="str"><v>Link Ad</v></cell><cell r="X51" t="str"><v>1x1</v></cell></row><row r="51"><cell r="AA51"><v>43283</v></cell><cell r="AB51" t="str"><v>JPN_gaPMG_AZR_AZR_Q1_19_Trial-Social</v></cell><cell r="AC51"><v>21276694</v></cell><cell r="AD51"><v>720195</v></cell><cell r="AE51" t="str"><v>Facebook</v></cell><cell r="AF51"><v>3654128</v></cell><cell r="AG51" t="str"><v>Facebook»AZP-Retargeting»1x1»Ban»LIA»ALL»CPM»RT»X»All»TP»OT»Free Account Retargeting VM-ChD</v></cell><cell r="AH51"><v>223726374</v></cell><cell r="AI51" t="str"><v>AzurePlatform_FreeAcctRetargetingVMFB-750Hrs-ChD_JPN_1200x628_SOC_Plat_JA_Free Account_Standard_NA_SU_T1_1</v></cell><cell r="AJ51"><v>102971306</v></cell></row><row r="52"><cell r="C52" t="str"><v>43283Facebook»AZP-Retargeting»1x1»Ban»LIA»ALL»CPM»RT»X»All»TP»OT»Free Account Retargeting Generic-ChC</v></cell><cell r="D52" t="str"><v>43283223726362</v></cell><cell r="E52" t="str"><v>43283102826788ic-ChC</v></cell><cell r="F52" t="str"><v>DCM</v></cell><cell r="G52" t="str"><v>https://azure.microsoft.com/ja-jp/free/search/</v></cell></row><row r="52"><cell r="K52" t="str"><v>July</v></cell><cell r="L52"><v>43288</v></cell><cell r="M52" t="str"><v>Tier 1</v></cell><cell r="N52" t="str"><v>APAC</v></cell><cell r="O52" t="str"><v>Japan</v></cell><cell r="P52" t="str"><v>Trial</v></cell><cell r="Q52" t="str"><v>Social</v></cell><cell r="R52" t="str"><v>Azure</v></cell><cell r="S52" t="str"><v>Apps & Infra</v></cell><cell r="T52" t="str"><v>Developers & ITI's</v></cell><cell r="U52" t="str"><v>AZP-Retargeting</v></cell><cell r="V52" t="str"><v>Retargeting</v></cell><cell r="W52" t="str"><v>Link Ad</v></cell><cell r="X52" t="str"><v>1x1</v></cell></row><row r="52"><cell r="AA52"><v>43283</v></cell><cell r="AB52" t="str"><v>JPN_gaPMG_AZR_AZR_Q1_19_Trial-Social</v></cell><cell r="AC52"><v>21276694</v></cell><cell r="AD52"><v>720195</v></cell><cell r="AE52" t="str"><v>Facebook</v></cell><cell r="AF52"><v>3654128</v></cell><cell r="AG52" t="str"><v>Facebook»AZP-Retargeting»1x1»Ban»LIA»ALL»CPM»RT»X»All»TP»OT»Free Account Retargeting Generic-ChC</v></cell><cell r="AH52"><v>223726362</v></cell><cell r="AI52" t="str"><v>AzurePlatform_FreeAcctRetargetingFB-Animated-ChC_JPN_1200x628_SOC_Plat_JA_Free Account_Standard_ANI_SU_T3_1</v></cell><cell r="AJ52"><v>102826788</v></cell></row><row r="53"><cell r="C53" t="str"><v>43283Facebook»AZP-Retargeting»1x1»Canvas»OTH»MO»CPM»RT»W»UNK»TP»OT»Trial-BrandinMotion</v></cell><cell r="D53" t="str"><v>43283223298823</v></cell><cell r="E53" t="str"><v>43283102612720Motion</v></cell><cell r="F53" t="str"><v>DCM</v></cell><cell r="G53" t="str"><v>https://azure.microsoft.com/ja-jp/free/search/</v></cell></row><row r="53"><cell r="K53" t="str"><v>July</v></cell><cell r="L53"><v>43288</v></cell><cell r="M53" t="str"><v>Tier 1</v></cell><cell r="N53" t="str"><v>APAC</v></cell><cell r="O53" t="str"><v>Japan</v></cell><cell r="P53" t="str"><v>Trial</v></cell><cell r="Q53" t="str"><v>Social</v></cell><cell r="R53" t="str"><v>Azure</v></cell><cell r="S53" t="str"><v>Apps & Infra</v></cell><cell r="T53" t="str"><v>Developers & ITI's</v></cell><cell r="U53" t="str"><v>AZP-Retargeting</v></cell><cell r="V53" t="str"><v>Retargeting</v></cell><cell r="W53" t="str"><v>Other</v></cell><cell r="X53" t="str"><v>1x1</v></cell></row><row r="53"><cell r="AA53"><v>43283</v></cell><cell r="AB53" t="str"><v>JPN_gaPMG_AZR_AZR_Q1_19_Trial-Social</v></cell><cell r="AC53"><v>21276694</v></cell><cell r="AD53"><v>720195</v></cell><cell r="AE53" t="str"><v>Facebook</v></cell><cell r="AF53"><v>3654128</v></cell><cell r="AG53" t="str"><v>Facebook»AZP-Retargeting»1x1»Canvas»OTH»MO»CPM»RT»W»UNK»TP»OT»Trial-BrandinMotion</v></cell><cell r="AH53"><v>223298823</v></cell><cell r="AI53" t="str"><v>AzurePlatform_FBCTCBrandinMotion_JPN_12sec_ISV_PLAT_JA_Trial_Standard_STAN_TN_T2_1</v></cell><cell r="AJ53"><v>102612720</v></cell></row><row r="54"><cell r="C54" t="str"><v>43283FACEBOOK»USA-Trial-ITD-Interest Prospecting-AZR-AZR»1 x 1»SocialBan»CAN»ALL»CPA»PRO»X»NA»SS»NA»FBCTCBasicMotion»PRC1SV</v></cell><cell r="D54" t="str"><v>43283223934062</v></cell><cell r="E54" t="str"><v>43283103043823PRC1SV</v></cell><cell r="F54" t="str"><v>DCM</v></cell><cell r="G54" t="str"><v>https://signup.azure.com/?OCID=AID%eexcid!_OLA_%ebuy!_%epid!_%ecid!</v></cell></row><row r="54"><cell r="K54" t="str"><v>July</v></cell><cell r="L54"><v>43288</v></cell><cell r="M54" t="str"><v>Tier 0</v></cell><cell r="N54" t="str"><v>North America</v></cell><cell r="O54" t="str"><v>United States</v></cell><cell r="P54" t="str"><v>Trial</v></cell><cell r="Q54" t="str"><v>Social</v></cell><cell r="R54" t="str"><v>Azure</v></cell><cell r="S54" t="str"><v>Apps & Infra</v></cell><cell r="T54" t="str"><v>Developers & ITI's</v></cell><cell r="U54" t="str"><v>USA-Trial-ITD-Interest Prospecting-AZR-AZR</v></cell><cell r="V54" t="str"><v>Prospecting</v></cell><cell r="W54" t="str"><v>Canvas Ad</v></cell><cell r="X54" t="str"><v>1x1</v></cell></row><row r="54"><cell r="AA54"><v>43283</v></cell><cell r="AB54" t="str"><v>USA_gaPMG_AZR_AZR_Q1_19_Direct-Social</v></cell><cell r="AC54"><v>21358715</v></cell><cell r="AD54"><v>720197</v></cell><cell r="AE54" t="str"><v>Facebook</v></cell><cell r="AF54"><v>3654128</v></cell><cell r="AG54" t="str"><v>FACEBOOK»USA-Trial-ITD-Interest Prospecting-AZR-AZR»1 x 1»SocialBan»CAN»ALL»CPA»PRO»X»NA»SS»NA»FBCTCBasicMotion»PRC1SV</v></cell><cell r="AH54"><v>223934062</v></cell><cell r="AI54" t="str"><v>AzurePlatform_FBCTCBasicMotion_USA_10s_CAN_PLATFORM_English_Trial_Standard_STAN_TIN_T1_1</v></cell><cell r="AJ54"><v>103043823</v></cell></row><row r="55"><cell r="C55" t="str"><v>43283FACEBOOK»USA-Trial-ITD-Interest Prospecting-AZR-AZR»1 x 1»SocialBan»CAN»ALL»CPA»PRO»X»NA»SS»NA»FBCTCBenefit2inMotion»PRC1SW</v></cell><cell r="D55" t="str"><v>43283223933138</v></cell><cell r="E55" t="str"><v>43283103178645PRC1SW</v></cell><cell r="F55" t="str"><v>DCM</v></cell><cell r="G55" t="str"><v>https://azure.microsoft.com/en-us/pricing/purchase-options/?v=18.19&OCID=AID%eexcid!_OLA_%ebuy!_%epid!_%ecid!</v></cell></row><row r="55"><cell r="K55" t="str"><v>July</v></cell><cell r="L55"><v>43288</v></cell><cell r="M55" t="str"><v>Tier 0</v></cell><cell r="N55" t="str"><v>North America</v></cell><cell r="O55" t="str"><v>United States</v></cell><cell r="P55" t="str"><v>Trial</v></cell><cell r="Q55" t="str"><v>Social</v></cell><cell r="R55" t="str"><v>Azure</v></cell><cell r="S55" t="str"><v>Apps & Infra</v></cell><cell r="T55" t="str"><v>Developers & ITI's</v></cell><cell r="U55" t="str"><v>USA-Trial-ITD-Interest Prospecting-AZR-AZR</v></cell><cell r="V55" t="str"><v>Prospecting</v></cell><cell r="W55" t="str"><v>Canvas Ad</v></cell><cell r="X55" t="str"><v>1x1</v></cell></row><row r="55"><cell r="AA55"><v>43283</v></cell><cell r="AB55" t="str"><v>USA_gaPMG_AZR_AZR_Q1_19_Direct-Social</v></cell><cell r="AC55"><v>21358715</v></cell><cell r="AD55"><v>720197</v></cell><cell r="AE55" t="str"><v>Facebook</v></cell><cell r="AF55"><v>3654128</v></cell><cell r="AG55" t="str"><v>FACEBOOK»USA-Trial-ITD-Interest Prospecting-AZR-AZR»1 x 1»SocialBan»CAN»ALL»CPA»PRO»X»NA»SS»NA»FBCTCBenefit2inMotion»PRC1SW</v></cell><cell r="AH55"><v>223933138</v></cell><cell r="AI55" t="str"><v>AzurePlatform_FBCTCBenefit2inMotion_USA_10s_CAN_PLATFORM_English_Trial_Standard_STAN_TIN_T4_2</v></cell><cell r="AJ55"><v>103178645</v></cell></row><row r="56"><cell r="C56" t="str"><v>43283FACEBOOK»USA-Trial-ITD-Interest Prospecting-AZR-AZR»1 x 1»SocialBan»CAN»ALL»CPA»PRO»X»NA»SS»NA»FBCTCBrandinMotion»PRC1SY</v></cell><cell r="D56" t="str"><v>43283224104929</v></cell><cell r="E56" t="str"><v>43283103176812PRC1SY</v></cell><cell r="F56" t="str"><v>DCM</v></cell><cell r="G56" t="str"><v>https://signup.azure.com/?OCID=AID%eexcid!_OLA_%ebuy!_%epid!_%ecid!</v></cell></row><row r="56"><cell r="K56" t="str"><v>July</v></cell><cell r="L56"><v>43288</v></cell><cell r="M56" t="str"><v>Tier 0</v></cell><cell r="N56" t="str"><v>North America</v></cell><cell r="O56" t="str"><v>United States</v></cell><cell r="P56" t="str"><v>Trial</v></cell><cell r="Q56" t="str"><v>Social</v></cell><cell r="R56" t="str"><v>Azure</v></cell><cell r="S56" t="str"><v>Apps & Infra</v></cell><cell r="T56" t="str"><v>Developers & ITI's</v></cell><cell r="U56" t="str"><v>USA-Trial-ITD-Interest Prospecting-AZR-AZR</v></cell><cell r="V56" t="str"><v>Prospecting</v></cell><cell r="W56" t="str"><v>Canvas Ad</v></cell><cell r="X56" t="str"><v>1x1</v></cell></row><row r="56"><cell r="AA56"><v>43283</v></cell><cell r="AB56" t="str"><v>USA_gaPMG_AZR_AZR_Q1_19_Direct-Social</v></cell><cell r="AC56"><v>21358715</v></cell><cell r="AD56"><v>720197</v></cell><cell r="AE56" t="str"><v>Facebook</v></cell><cell r="AF56"><v>3654128</v></cell><cell r="AG56" t="str"><v>FACEBOOK»USA-Trial-ITD-Interest Prospecting-AZR-AZR»1 x 1»SocialBan»CAN»ALL»CPA»PRO»X»NA»SS»NA»FBCTCBrandinMotion»PRC1SY</v></cell><cell r="AH56"><v>224104929</v></cell><cell r="AI56" t="str"><v>AzurePlatform_FBCTCBrandinMotion_USA_10s_CAN_PLATFORM_English_Trial_Standard_STAN_TIN_T2_1</v></cell><cell r="AJ56"><v>103176812</v></cell></row><row r="57"><cell r="C57" t="str"><v>43283FACEBOOK»USA-Trial-ITD-Interest Prospecting-AZR-AZR»1 x 1»SocialBan»LIA»ALL»CPA»PRO»X»NA»SS»NA»FreeAcctDeveloperFB-AnimatedGeneric-Ch1»PRC1SZ</v></cell><cell r="D57" t="str"><v>43283224104932</v></cell><cell r="E57" t="str"><v>43283103176851PRC1SZ</v></cell><cell r="F57" t="str"><v>DCM</v></cell><cell r="G57" t="str"><v>https://azure.microsoft.com/en-us/free/search/?OCID=AID%eexcid!_OLA_%ebuy!_%epid!_%ecid!</v></cell></row><row r="57"><cell r="K57" t="str"><v>July</v></cell><cell r="L57"><v>43288</v></cell><cell r="M57" t="str"><v>Tier 0</v></cell><cell r="N57" t="str"><v>North America</v></cell><cell r="O57" t="str"><v>United States</v></cell><cell r="P57" t="str"><v>Trial</v></cell><cell r="Q57" t="str"><v>Social</v></cell><cell r="R57" t="str"><v>Azure</v></cell><cell r="S57" t="str"><v>Apps & Infra</v></cell><cell r="T57" t="str"><v>Developers & ITI's</v></cell><cell r="U57" t="str"><v>USA-Trial-ITD-Interest Prospecting-AZR-AZR</v></cell><cell r="V57" t="str"><v>Prospecting</v></cell><cell r="W57" t="str"><v>Link Ad</v></cell><cell r="X57" t="str"><v>1x1</v></cell></row><row r="57"><cell r="AA57"><v>43283</v></cell><cell r="AB57" t="str"><v>USA_gaPMG_AZR_AZR_Q1_19_Direct-Social</v></cell><cell r="AC57"><v>21358715</v></cell><cell r="AD57"><v>720197</v></cell><cell r="AE57" t="str"><v>Facebook</v></cell><cell r="AF57"><v>3654128</v></cell><cell r="AG57" t="str"><v>FACEBOOK»USA-Trial-ITD-Interest Prospecting-AZR-AZR»1 x 1»SocialBan»LIA»ALL»CPA»PRO»X»NA»SS»NA»FreeAcctDeveloperFB-AnimatedGeneric-Ch1»PRC1SZ</v></cell><cell r="AH57"><v>224104932</v></cell><cell r="AI57" t="str"><v>AZR_FreeAcctDeveloperFB-AnimatedGeneric-Ch1_USA_1200x1200_CAN_Direct_English_Trial_Standard_ANI_LEA_T1_2</v></cell><cell r="AJ57"><v>103176851</v></cell></row><row r="58"><cell r="C58" t="str"><v>43283FACEBOOK»USA-Trial-ITD-Interest Prospecting-AZR-AZR»1 x 1»SocialBan»LIA»ALL»CPA»PRO»X»NA»SS»NA»FreeAcctDeveloperFB-AnimatedGeneric-Ch1»PRC1T0</v></cell><cell r="D58" t="str"><v>43283223934065</v></cell><cell r="E58" t="str"><v>43283103176851PRC1T0</v></cell><cell r="F58" t="str"><v>DCM</v></cell><cell r="G58" t="str"><v>https://azure.microsoft.com/en-us/free/search/?OCID=AID%eexcid!_OLA_%ebuy!_%epid!_%ecid!</v></cell></row><row r="58"><cell r="K58" t="str"><v>July</v></cell><cell r="L58"><v>43288</v></cell><cell r="M58" t="str"><v>Tier 0</v></cell><cell r="N58" t="str"><v>North America</v></cell><cell r="O58" t="str"><v>United States</v></cell><cell r="P58" t="str"><v>Trial</v></cell><cell r="Q58" t="str"><v>Social</v></cell><cell r="R58" t="str"><v>Azure</v></cell><cell r="S58" t="str"><v>Apps & Infra</v></cell><cell r="T58" t="str"><v>Developers & ITI's</v></cell><cell r="U58" t="str"><v>USA-Trial-ITD-Interest Prospecting-AZR-AZR</v></cell><cell r="V58" t="str"><v>Prospecting</v></cell><cell r="W58" t="str"><v>Link Ad</v></cell><cell r="X58" t="str"><v>1x1</v></cell></row><row r="58"><cell r="AA58"><v>43283</v></cell><cell r="AB58" t="str"><v>USA_gaPMG_AZR_AZR_Q1_19_Direct-Social</v></cell><cell r="AC58"><v>21358715</v></cell><cell r="AD58"><v>720197</v></cell><cell r="AE58" t="str"><v>Facebook</v></cell><cell r="AF58"><v>3654128</v></cell><cell r="AG58" t="str"><v>FACEBOOK»USA-Trial-ITD-Interest Prospecting-AZR-AZR»1 x 1»SocialBan»LIA»ALL»CPA»PRO»X»NA»SS»NA»FreeAcctDeveloperFB-AnimatedGeneric-Ch1»PRC1T0</v></cell><cell r="AH58"><v>223934065</v></cell><cell r="AI58" t="str"><v>AZR_FreeAcctDeveloperFB-AnimatedGeneric-Ch1_USA_1200x1200_CAN_Direct_English_Trial_Standard_ANI_LEA_T1_2</v></cell><cell r="AJ58"><v>103176851</v></cell></row><row r="59"><cell r="C59" t="str"><v>43283FACEBOOK»USA-Trial-ITD-Interest Prospecting-AZR-AZR»1 x 1»SocialBan»LIA»ALL»CPA»PRO»X»NA»SS»NA»FreeAcctITProFB-AnimatedHybrid-Ch2»PRC1T5</v></cell><cell r="D59" t="str"><v>43283223862882</v></cell><cell r="E59" t="str"><v>43283103180583PRC1T5</v></cell><cell r="F59" t="str"><v>DCM</v></cell></row><row r="59"><cell r="K59" t="str"><v>July</v></cell><cell r="L59"><v>43288</v></cell><cell r="M59" t="str"><v>Tier 0</v></cell><cell r="N59" t="str"><v>North America</v></cell><cell r="O59" t="str"><v>United States</v></cell><cell r="P59" t="str"><v>Trial</v></cell><cell r="Q59" t="str"><v>Social</v></cell><cell r="R59" t="str"><v>Azure</v></cell><cell r="S59" t="str"><v>Apps & Infra</v></cell><cell r="T59" t="str"><v>Developers & ITI's</v></cell><cell r="U59" t="str"><v>USA-Trial-ITD-Interest Prospecting-AZR-AZR</v></cell><cell r="V59" t="str"><v>Prospecting</v></cell><cell r="W59" t="str"><v>Link Ad</v></cell><cell r="X59" t="str"><v>1x1</v></cell></row><row r="59"><cell r="AA59"><v>43283</v></cell><cell r="AB59" t="str"><v>USA_gaPMG_AZR_AZR_Q1_19_Direct-Social</v></cell><cell r="AC59"><v>21358715</v></cell><cell r="AD59"><v>720197</v></cell><cell r="AE59" t="str"><v>Facebook</v></cell><cell r="AF59"><v>3654128</v></cell><cell r="AG59" t="str"><v>FACEBOOK»USA-Trial-ITD-Interest Prospecting-AZR-AZR»1 x 1»SocialBan»LIA»ALL»CPA»PRO»X»NA»SS»NA»FreeAcctITProFB-AnimatedHybrid-Ch2»PRC1T5</v></cell><cell r="AH59"><v>223862882</v></cell><cell r="AI59" t="str"><v>AZR_FreeAcctITProFB-AnimatedHybrid-Ch2_USA_1200x1200_CAN_Direct_English_Trial_Standard_ANI_LEA_T2_2</v></cell><cell r="AJ59"><v>103180583</v></cell></row><row r="60"><cell r="C60" t="str"><v>43283FACEBOOK»USA-Trial-ITD-Interest Prospecting-AZR-AZR»1 x 1»SocialBan»LIA»ALL»CPA»PRO»X»NA»SS»NA»FreeAcctITProFB-AnimatedSecureMngd-Ch1»PRC1T4</v></cell><cell r="D60" t="str"><v>43283224104914</v></cell><cell r="E60" t="str"><v>43283103176830PRC1T4</v></cell><cell r="F60" t="str"><v>DCM</v></cell></row><row r="60"><cell r="K60" t="str"><v>July</v></cell><cell r="L60"><v>43288</v></cell><cell r="M60" t="str"><v>Tier 0</v></cell><cell r="N60" t="str"><v>North America</v></cell><cell r="O60" t="str"><v>United States</v></cell><cell r="P60" t="str"><v>Trial</v></cell><cell r="Q60" t="str"><v>Social</v></cell><cell r="R60" t="str"><v>Azure</v></cell><cell r="S60" t="str"><v>Apps & Infra</v></cell><cell r="T60" t="str"><v>Developers & ITI's</v></cell><cell r="U60" t="str"><v>USA-Trial-ITD-Interest Prospecting-AZR-AZR</v></cell><cell r="V60" t="str"><v>Prospecting</v></cell><cell r="W60" t="str"><v>Link Ad</v></cell><cell r="X60" t="str"><v>1x1</v></cell></row><row r="60"><cell r="AA60"><v>43283</v></cell><cell r="AB60" t="str"><v>USA_gaPMG_AZR_AZR_Q1_19_Direct-Social</v></cell><cell r="AC60"><v>21358715</v></cell><cell r="AD60"><v>720197</v></cell><cell r="AE60" t="str"><v>Facebook</v></cell><cell r="AF60"><v>3654128</v></cell><cell r="AG60" t="str"><v>FACEBOOK»USA-Trial-ITD-Interest Prospecting-AZR-AZR»1 x 1»SocialBan»LIA»ALL»CPA»PRO»X»NA»SS»NA»FreeAcctITProFB-AnimatedSecureMngd-Ch1»PRC1T4</v></cell><cell r="AH60"><v>224104914</v></cell><cell r="AI60" t="str"><v>AZR_FreeAcctITProFB-AnimatedSecureMngd-Ch1_USA_1200x1200_CAN_Direct_English_Trial_Standard_ANI_LEA_T1_1</v></cell><cell r="AJ60"><v>103176830</v></cell></row><row r="61"><cell r="C61" t="str"><v>43283FACEBOOK»USA-Trial-ITD-Retargeting-AZR-AZR»1 x 1»SocialBan»LIA»ALL»CPA»RT»X»NA»SS»NA»FreeAcctDeveloperFB-AnimatedAI-Ch3»PRC26H</v></cell><cell r="D61" t="str"><v>43283223863371</v></cell><cell r="E61" t="str"><v>43283103032778PRC26H</v></cell><cell r="F61" t="str"><v>DCM</v></cell></row><row r="61"><cell r="K61" t="str"><v>July</v></cell><cell r="L61"><v>43288</v></cell><cell r="M61" t="str"><v>Tier 0</v></cell><cell r="N61" t="str"><v>North America</v></cell><cell r="O61" t="str"><v>United States</v></cell><cell r="P61" t="str"><v>Trial</v></cell><cell r="Q61" t="str"><v>Social</v></cell><cell r="R61" t="str"><v>Azure</v></cell><cell r="S61" t="str"><v>Apps & Infra</v></cell><cell r="T61" t="str"><v>Developers & ITI's</v></cell><cell r="U61" t="str"><v>USA-Trial-ITD-Retargeting-AZR-AZR</v></cell><cell r="V61" t="str"><v>Retargeting</v></cell><cell r="W61" t="str"><v>Link Ad</v></cell><cell r="X61" t="str"><v>1x1</v></cell></row><row r="61"><cell r="AA61"><v>43283</v></cell><cell r="AB61" t="str"><v>USA_gaPMG_AZR_AZR_Q1_19_Direct-Social</v></cell><cell r="AC61"><v>21358715</v></cell><cell r="AD61"><v>720197</v></cell><cell r="AE61" t="str"><v>Facebook</v></cell><cell r="AF61"><v>3654128</v></cell><cell r="AG61" t="str"><v>FACEBOOK»USA-Trial-ITD-Retargeting-AZR-AZR»1 x 1»SocialBan»LIA»ALL»CPA»RT»X»NA»SS»NA»FreeAcctDeveloperFB-AnimatedAI-Ch3»PRC26H</v></cell><cell r="AH61"><v>223863371</v></cell><cell r="AI61" t="str"><v>AZR_FreeAcctDeveloperFB-AnimatedAI-Ch3_USA_1200x1200_CAN_Direct_English_Trial_Standard_ANI_LEA_T3_1</v></cell><cell r="AJ61"><v>103032778</v></cell></row><row r="62"><cell r="C62" t="str"><v>43283FACEBOOK»USA-Trial-ITD-Retargeting-AZR-AZR»1 x 1»SocialBan»LIA»ALL»CPA»RT»X»NA»SS»NA»FreeAcctDeveloperFB-AnimatedData-Ch4»PRC26J</v></cell><cell r="D62" t="str"><v>43283224106078</v></cell><cell r="E62" t="str"><v>43283103037935PRC26J</v></cell><cell r="F62" t="str"><v>DCM</v></cell></row><row r="62"><cell r="K62" t="str"><v>July</v></cell><cell r="L62"><v>43288</v></cell><cell r="M62" t="str"><v>Tier 0</v></cell><cell r="N62" t="str"><v>North America</v></cell><cell r="O62" t="str"><v>United States</v></cell><cell r="P62" t="str"><v>Trial</v></cell><cell r="Q62" t="str"><v>Social</v></cell><cell r="R62" t="str"><v>Azure</v></cell><cell r="S62" t="str"><v>Apps & Infra</v></cell><cell r="T62" t="str"><v>Developers & ITI's</v></cell><cell r="U62" t="str"><v>USA-Trial-ITD-Retargeting-AZR-AZR</v></cell><cell r="V62" t="str"><v>Retargeting</v></cell><cell r="W62" t="str"><v>Link Ad</v></cell><cell r="X62" t="str"><v>1x1</v></cell></row><row r="62"><cell r="AA62"><v>43283</v></cell><cell r="AB62" t="str"><v>USA_gaPMG_AZR_AZR_Q1_19_Direct-Social</v></cell><cell r="AC62"><v>21358715</v></cell><cell r="AD62"><v>720197</v></cell><cell r="AE62" t="str"><v>Facebook</v></cell><cell r="AF62"><v>3654128</v></cell><cell r="AG62" t="str"><v>FACEBOOK»USA-Trial-ITD-Retargeting-AZR-AZR»1 x 1»SocialBan»LIA»ALL»CPA»RT»X»NA»SS»NA»FreeAcctDeveloperFB-AnimatedData-Ch4»PRC26J</v></cell><cell r="AH62"><v>224106078</v></cell><cell r="AI62" t="str"><v>AZR_FreeAcctDeveloperFB-AnimatedData-Ch4_USA_1200x1200_CAN_Direct_English_Trial_Standard_ANI_LEA_T4_2</v></cell><cell r="AJ62"><v>103037935</v></cell></row><row r="63"><cell r="C63" t="str"><v>43283FACEBOOK»USA-Trial-ITD-Retargeting-AZR-AZR»1 x 1»SocialBan»LIA»ALL»CPA»RT»X»NA»SS»NA»FreeAcctDeveloperFB-AnimatedGeneric-Ch1»PRC26F</v></cell><cell r="D63" t="str"><v>43283224105850</v></cell><cell r="E63" t="str"><v>43283103176851PRC26F</v></cell><cell r="F63" t="str"><v>DCM</v></cell><cell r="G63" t="str"><v>https://azure.microsoft.com/en-us/free/search/?OCID=AID%eexcid!_OLA_%ebuy!_%epid!_%ecid!</v></cell></row><row r="63"><cell r="K63" t="str"><v>July</v></cell><cell r="L63"><v>43288</v></cell><cell r="M63" t="str"><v>Tier 0</v></cell><cell r="N63" t="str"><v>North America</v></cell><cell r="O63" t="str"><v>United States</v></cell><cell r="P63" t="str"><v>Trial</v></cell><cell r="Q63" t="str"><v>Social</v></cell><cell r="R63" t="str"><v>Azure</v></cell><cell r="S63" t="str"><v>Apps & Infra</v></cell><cell r="T63" t="str"><v>Developers & ITI's</v></cell><cell r="U63" t="str"><v>USA-Trial-ITD-Retargeting-AZR-AZR</v></cell><cell r="V63" t="str"><v>Retargeting</v></cell><cell r="W63" t="str"><v>Link Ad</v></cell><cell r="X63" t="str"><v>1x1</v></cell></row><row r="63"><cell r="AA63"><v>43283</v></cell><cell r="AB63" t="str"><v>USA_gaPMG_AZR_AZR_Q1_19_Direct-Social</v></cell><cell r="AC63"><v>21358715</v></cell><cell r="AD63"><v>720197</v></cell><cell r="AE63" t="str"><v>Facebook</v></cell><cell r="AF63"><v>3654128</v></cell><cell r="AG63" t="str"><v>FACEBOOK»USA-Trial-ITD-Retargeting-AZR-AZR»1 x 1»SocialBan»LIA»ALL»CPA»RT»X»NA»SS»NA»FreeAcctDeveloperFB-AnimatedGeneric-Ch1»PRC26F</v></cell><cell r="AH63"><v>224105850</v></cell><cell r="AI63" t="str"><v>AZR_FreeAcctDeveloperFB-AnimatedGeneric-Ch1_USA_1200x1200_CAN_Direct_English_Trial_Standard_ANI_LEA_T1_2</v></cell><cell r="AJ63"><v>103176851</v></cell></row><row r="64"><cell r="C64" t="str"><v>43283FACEBOOK»USA-Trial-ITD-Retargeting-AZR-AZR»1 x 1»SocialBan»LIA»ALL»CPA»RT»X»NA»SS»NA»FreeAcctDeveloperFB-AnimatedOpenSource-Ch2»PRC26G</v></cell><cell r="D64" t="str"><v>43283223862873</v></cell><cell r="E64" t="str"><v>43283103048329PRC26G</v></cell><cell r="F64" t="str"><v>DCM</v></cell><cell r="G64" t="str"><v>https://azure.microsoft.com/en-us/free/open-source/search/?OCID=AID%eexcid!_OLA_%ebuy!_%epid!_%ecid!</v></cell></row><row r="64"><cell r="K64" t="str"><v>July</v></cell><cell r="L64"><v>43288</v></cell><cell r="M64" t="str"><v>Tier 0</v></cell><cell r="N64" t="str"><v>North America</v></cell><cell r="O64" t="str"><v>United States</v></cell><cell r="P64" t="str"><v>Trial</v></cell><cell r="Q64" t="str"><v>Social</v></cell><cell r="R64" t="str"><v>Azure</v></cell><cell r="S64" t="str"><v>Apps & Infra</v></cell><cell r="T64" t="str"><v>Developers & ITI's</v></cell><cell r="U64" t="str"><v>USA-Trial-ITD-Retargeting-AZR-AZR</v></cell><cell r="V64" t="str"><v>Retargeting</v></cell><cell r="W64" t="str"><v>Link Ad</v></cell><cell r="X64" t="str"><v>1x1</v></cell></row><row r="64"><cell r="AA64"><v>43283</v></cell><cell r="AB64" t="str"><v>USA_gaPMG_AZR_AZR_Q1_19_Direct-Social</v></cell><cell r="AC64"><v>21358715</v></cell><cell r="AD64"><v>720197</v></cell><cell r="AE64" t="str"><v>Facebook</v></cell><cell r="AF64"><v>3654128</v></cell><cell r="AG64" t="str"><v>FACEBOOK»USA-Trial-ITD-Retargeting-AZR-AZR»1 x 1»SocialBan»LIA»ALL»CPA»RT»X»NA»SS»NA»FreeAcctDeveloperFB-AnimatedOpenSource-Ch2»PRC26G</v></cell><cell r="AH64"><v>223862873</v></cell><cell r="AI64" t="str"><v>AZR_FreeAcctDeveloperFB-AnimatedOpenSource-Ch2_USA_1200x1200_CAN_Direct_English_Trial_Standard_ANI_LEA_T2_1</v></cell><cell r="AJ64"><v>103048329</v></cell></row><row r="65"><cell r="C65" t="str"><v>43283FACEBOOK»USA-Trial-ITD-Retargeting-AZR-AZR»1 x 1»SocialBan»LIA»ALL»CPA»RT»X»NA»SS»NA»FreeAcctITProFB-AnimatedHybrid-Ch2»PRC26N</v></cell><cell r="D65" t="str"><v>43283223934053</v></cell><cell r="E65" t="str"><v>43283103180583PRC26N</v></cell><cell r="F65" t="str"><v>DCM</v></cell></row><row r="65"><cell r="K65" t="str"><v>July</v></cell><cell r="L65"><v>43288</v></cell><cell r="M65" t="str"><v>Tier 0</v></cell><cell r="N65" t="str"><v>North America</v></cell><cell r="O65" t="str"><v>United States</v></cell><cell r="P65" t="str"><v>Trial</v></cell><cell r="Q65" t="str"><v>Social</v></cell><cell r="R65" t="str"><v>Azure</v></cell><cell r="S65" t="str"><v>Apps & Infra</v></cell><cell r="T65" t="str"><v>Developers & ITI's</v></cell><cell r="U65" t="str"><v>USA-Trial-ITD-Retargeting-AZR-AZR</v></cell><cell r="V65" t="str"><v>Retargeting</v></cell><cell r="W65" t="str"><v>Link Ad</v></cell><cell r="X65" t="str"><v>1x1</v></cell></row><row r="65"><cell r="AA65"><v>43283</v></cell><cell r="AB65" t="str"><v>USA_gaPMG_AZR_AZR_Q1_19_Direct-Social</v></cell><cell r="AC65"><v>21358715</v></cell><cell r="AD65"><v>720197</v></cell><cell r="AE65" t="str"><v>Facebook</v></cell><cell r="AF65"><v>3654128</v></cell><cell r="AG65" t="str"><v>FACEBOOK»USA-Trial-ITD-Retargeting-AZR-AZR»1 x 1»SocialBan»LIA»ALL»CPA»RT»X»NA»SS»NA»FreeAcctITProFB-AnimatedHybrid-Ch2»PRC26N</v></cell><cell r="AH65"><v>223934053</v></cell><cell r="AI65" t="str"><v>AZR_FreeAcctITProFB-AnimatedHybrid-Ch2_USA_1200x1200_CAN_Direct_English_Trial_Standard_ANI_LEA_T2_2</v></cell><cell r="AJ65"><v>103180583</v></cell></row><row r="66"><cell r="C66" t="str"><v>43283FACEBOOK»USA-Trial-ITD-Retargeting-AZR-AZR»1 x 1»SocialBan»LIA»ALL»CPA»RT»X»NA»SS»NA»FreeAcctITProFB-AnimatedMigration-Ch3»PRC26P</v></cell><cell r="D66" t="str"><v>43283223934056</v></cell><cell r="E66" t="str"><v>43283103176827PRC26P</v></cell><cell r="F66" t="str"><v>DCM</v></cell></row><row r="66"><cell r="K66" t="str"><v>July</v></cell><cell r="L66"><v>43288</v></cell><cell r="M66" t="str"><v>Tier 0</v></cell><cell r="N66" t="str"><v>North America</v></cell><cell r="O66" t="str"><v>United States</v></cell><cell r="P66" t="str"><v>Trial</v></cell><cell r="Q66" t="str"><v>Social</v></cell><cell r="R66" t="str"><v>Azure</v></cell><cell r="S66" t="str"><v>Apps & Infra</v></cell><cell r="T66" t="str"><v>Developers & ITI's</v></cell><cell r="U66" t="str"><v>USA-Trial-ITD-Retargeting-AZR-AZR</v></cell><cell r="V66" t="str"><v>Retargeting</v></cell><cell r="W66" t="str"><v>Link Ad</v></cell><cell r="X66" t="str"><v>1x1</v></cell></row><row r="66"><cell r="AA66"><v>43283</v></cell><cell r="AB66" t="str"><v>USA_gaPMG_AZR_AZR_Q1_19_Direct-Social</v></cell><cell r="AC66"><v>21358715</v></cell><cell r="AD66"><v>720197</v></cell><cell r="AE66" t="str"><v>Facebook</v></cell><cell r="AF66"><v>3654128</v></cell><cell r="AG66" t="str"><v>FACEBOOK»USA-Trial-ITD-Retargeting-AZR-AZR»1 x 1»SocialBan»LIA»ALL»CPA»RT»X»NA»SS»NA»FreeAcctITProFB-AnimatedMigration-Ch3»PRC26P</v></cell><cell r="AH66"><v>223934056</v></cell><cell r="AI66" t="str"><v>AZR_FreeAcctITProFB-AnimatedMigration-Ch3_USA_1200x1200_CAN_Direct_English_Trial_Standard_ANI_LEA_T3_1</v></cell><cell r="AJ66"><v>103176827</v></cell></row><row r="67"><cell r="C67" t="str"><v>43283FACEBOOK»USA-Trial-ITD-Retargeting-AZR-AZR»1 x 1»SocialBan»LIA»ALL»CPA»RT»X»NA»SS»NA»FreeAcctRetargetingFB-Animated-ChC»PRC1RX</v></cell><cell r="D67" t="str"><v>43283223862864</v></cell><cell r="E67" t="str"><v>43283103180880PRC1RX</v></cell><cell r="F67" t="str"><v>DCM</v></cell><cell r="G67" t="str"><v>https://azure.microsoft.com/en-us/free/search/?OCID=AID%eexcid!_OLA_%ebuy!_%epid!_%ecid!</v></cell></row><row r="67"><cell r="K67" t="str"><v>July</v></cell><cell r="L67"><v>43288</v></cell><cell r="M67" t="str"><v>Tier 0</v></cell><cell r="N67" t="str"><v>North America</v></cell><cell r="O67" t="str"><v>United States</v></cell><cell r="P67" t="str"><v>Trial</v></cell><cell r="Q67" t="str"><v>Social</v></cell><cell r="R67" t="str"><v>Azure</v></cell><cell r="S67" t="str"><v>Apps & Infra</v></cell><cell r="T67" t="str"><v>Developers & ITI's</v></cell><cell r="U67" t="str"><v>USA-Trial-ITD-Retargeting-AZR-AZR</v></cell><cell r="V67" t="str"><v>Retargeting</v></cell><cell r="W67" t="str"><v>Link Ad</v></cell><cell r="X67" t="str"><v>1x1</v></cell></row><row r="67"><cell r="AA67"><v>43283</v></cell><cell r="AB67" t="str"><v>USA_gaPMG_AZR_AZR_Q1_19_Direct-Social</v></cell><cell r="AC67"><v>21358715</v></cell><cell r="AD67"><v>720197</v></cell><cell r="AE67" t="str"><v>Facebook</v></cell><cell r="AF67"><v>3654128</v></cell><cell r="AG67" t="str"><v>FACEBOOK»USA-Trial-ITD-Retargeting-AZR-AZR»1 x 1»SocialBan»LIA»ALL»CPA»RT»X»NA»SS»NA»FreeAcctRetargetingFB-Animated-ChC»PRC1RX</v></cell><cell r="AH67"><v>223862864</v></cell><cell r="AI67" t="str"><v>AzurePlatform_FreeAcctRetargetingFB-Animated-ChC_USA_1200x628_CAN_PLATFORM_English_Free Account_Standard_ANI_SINU_T3_2</v></cell><cell r="AJ67"><v>103180880</v></cell></row><row r="68"><cell r="C68" t="str"><v>43283FACEBOOK»USA-Trial-ITD-Retargeting-AZR-AZR»1 x 1»SocialBan»LIA»ALL»CPA»RT»X»NA»SS»NA»FreeAcctRetargetingFB-Credit-ChA»PRC1RV</v></cell><cell r="D68" t="str"><v>43283224106075</v></cell><cell r="E68" t="str"><v>43283103034917PRC1RV</v></cell><cell r="F68" t="str"><v>DCM</v></cell><cell r="G68" t="str"><v>https://azure.microsoft.com/en-us/free/search/?OCID=AID%eexcid!_OLA_%ebuy!_%epid!_%ecid!</v></cell></row><row r="68"><cell r="K68" t="str"><v>July</v></cell><cell r="L68"><v>43288</v></cell><cell r="M68" t="str"><v>Tier 0</v></cell><cell r="N68" t="str"><v>North America</v></cell><cell r="O68" t="str"><v>United States</v></cell><cell r="P68" t="str"><v>Trial</v></cell><cell r="Q68" t="str"><v>Social</v></cell><cell r="R68" t="str"><v>Azure</v></cell><cell r="S68" t="str"><v>Apps & Infra</v></cell><cell r="T68" t="str"><v>Developers & ITI's</v></cell><cell r="U68" t="str"><v>USA-Trial-ITD-Retargeting-AZR-AZR</v></cell><cell r="V68" t="str"><v>Retargeting</v></cell><cell r="W68" t="str"><v>Link Ad</v></cell><cell r="X68" t="str"><v>1x1</v></cell></row><row r="68"><cell r="AA68"><v>43283</v></cell><cell r="AB68" t="str"><v>USA_gaPMG_AZR_AZR_Q1_19_Direct-Social</v></cell><cell r="AC68"><v>21358715</v></cell><cell r="AD68"><v>720197</v></cell><cell r="AE68" t="str"><v>Facebook</v></cell><cell r="AF68"><v>3654128</v></cell><cell r="AG68" t="str"><v>FACEBOOK»USA-Trial-ITD-Retargeting-AZR-AZR»1 x 1»SocialBan»LIA»ALL»CPA»RT»X»NA»SS»NA»FreeAcctRetargetingFB-Credit-ChA»PRC1RV</v></cell><cell r="AH68"><v>224106075</v></cell><cell r="AI68" t="str"><v>AzurePlatform_FreeAcctRetargetingFB-Credit-ChA_USA_1200x628_CAN_PLATFORM_English_Free Account_Standard_NA_SINU_T1_2</v></cell><cell r="AJ68"><v>103034917</v></cell></row><row r="69"><cell r="C69" t="str"><v>43283FACEBOOK»USA-Trial-ITD-Retargeting-AZR-AZR»1 x 1»SocialBan»LIA»ALL»CPA»RT»X»NA»SS»NA»FreeAcctRetargetingFB-GlobalAlt-ChB»PRC1RW</v></cell><cell r="D69" t="str"><v>43283223862756</v></cell><cell r="E69" t="str"><v>43283103180592PRC1RW</v></cell><cell r="F69" t="str"><v>DCM</v></cell><cell r="G69" t="str"><v>https://azure.microsoft.com/en-us/free/search/?OCID=AID%eexcid!_OLA_%ebuy!_%epid!_%ecid!</v></cell></row><row r="69"><cell r="K69" t="str"><v>July</v></cell><cell r="L69"><v>43288</v></cell><cell r="M69" t="str"><v>Tier 0</v></cell><cell r="N69" t="str"><v>North America</v></cell><cell r="O69" t="str"><v>United States</v></cell><cell r="P69" t="str"><v>Trial</v></cell><cell r="Q69" t="str"><v>Social</v></cell><cell r="R69" t="str"><v>Azure</v></cell><cell r="S69" t="str"><v>Apps & Infra</v></cell><cell r="T69" t="str"><v>Developers & ITI's</v></cell><cell r="U69" t="str"><v>USA-Trial-ITD-Retargeting-AZR-AZR</v></cell><cell r="V69" t="str"><v>Retargeting</v></cell><cell r="W69" t="str"><v>Link Ad</v></cell><cell r="X69" t="str"><v>1x1</v></cell></row><row r="69"><cell r="AA69"><v>43283</v></cell><cell r="AB69" t="str"><v>USA_gaPMG_AZR_AZR_Q1_19_Direct-Social</v></cell><cell r="AC69"><v>21358715</v></cell><cell r="AD69"><v>720197</v></cell><cell r="AE69" t="str"><v>Facebook</v></cell><cell r="AF69"><v>3654128</v></cell><cell r="AG69" t="str"><v>FACEBOOK»USA-Trial-ITD-Retargeting-AZR-AZR»1 x 1»SocialBan»LIA»ALL»CPA»RT»X»NA»SS»NA»FreeAcctRetargetingFB-GlobalAlt-ChB»PRC1RW</v></cell><cell r="AH69"><v>223862756</v></cell><cell r="AI69" t="str"><v>AzurePlatform_FreeAcctRetargetingFB-GlobalAlt-ChB_USA_1200x628_CAN_PLATFORM_English_Free Account_Standard_NA_SINU_T2_1</v></cell><cell r="AJ69"><v>103180592</v></cell></row><row r="70"><cell r="C70" t="str"><v>43283FACEBOOK»USA-Trial-ITD-Retargeting-AZR-AZR»1 x 1»SocialBan»LIA»ALL»CPA»RT»X»NA»SS»NA»FreeAcctRetargetingVMFB-750Hrs-ChD»PRC1RY</v></cell><cell r="D70" t="str"><v>43283223862747</v></cell><cell r="E70" t="str"><v>43283103034911PRC1RY</v></cell><cell r="F70" t="str"><v>DCM</v></cell><cell r="G70" t="str"><v>https://azure.microsoft.com/en-us/free/virtual-machines/search/?OCID=AID%eexcid!_OLA_%ebuy!_%epid!_%ecid!</v></cell></row><row r="70"><cell r="K70" t="str"><v>July</v></cell><cell r="L70"><v>43288</v></cell><cell r="M70" t="str"><v>Tier 0</v></cell><cell r="N70" t="str"><v>North America</v></cell><cell r="O70" t="str"><v>United States</v></cell><cell r="P70" t="str"><v>Trial</v></cell><cell r="Q70" t="str"><v>Social</v></cell><cell r="R70" t="str"><v>Azure</v></cell><cell r="S70" t="str"><v>Apps & Infra</v></cell><cell r="T70" t="str"><v>Developers & ITI's</v></cell><cell r="U70" t="str"><v>USA-Trial-ITD-Retargeting-AZR-AZR</v></cell><cell r="V70" t="str"><v>Retargeting</v></cell><cell r="W70" t="str"><v>Link Ad</v></cell><cell r="X70" t="str"><v>1x1</v></cell></row><row r="70"><cell r="AA70"><v>43283</v></cell><cell r="AB70" t="str"><v>USA_gaPMG_AZR_AZR_Q1_19_Direct-Social</v></cell><cell r="AC70"><v>21358715</v></cell><cell r="AD70"><v>720197</v></cell><cell r="AE70" t="str"><v>Facebook</v></cell><cell r="AF70"><v>3654128</v></cell><cell r="AG70" t="str"><v>FACEBOOK»USA-Trial-ITD-Retargeting-AZR-AZR»1 x 1»SocialBan»LIA»ALL»CPA»RT»X»NA»SS»NA»FreeAcctRetargetingVMFB-750Hrs-ChD»PRC1RY</v></cell><cell r="AH70"><v>223862747</v></cell><cell r="AI70" t="str"><v>AzurePlatform_FreeAcctRetargetingVMFB-750Hrs-ChD_USA_1200x628_CAN_PLATFORM_English_Free Account_Standard_NA_SINU_T1_1</v></cell><cell r="AJ70"><v>103034911</v></cell></row><row r="71"><cell r="C71" t="str"><v>43283FACEBOOK»USA-Trial-ITD-Retargeting-AZR-AZR»1 x 1»SocialBan»LIA»ALL»CPA»RT»X»NA»SS»NA»FreeAcctRetargetingVMFB-OnDemand-ChE»PRC1S0</v></cell><cell r="D71" t="str"><v>43283224104899</v></cell><cell r="E71" t="str"><v>43283103180610PRC1S0</v></cell><cell r="F71" t="str"><v>DCM</v></cell><cell r="G71" t="str"><v>https://azure.microsoft.com/en-us/free/virtual-machines/search/?OCID=AID%eexcid!_OLA_%ebuy!_%epid!_%ecid!</v></cell></row><row r="71"><cell r="K71" t="str"><v>July</v></cell><cell r="L71"><v>43288</v></cell><cell r="M71" t="str"><v>Tier 0</v></cell><cell r="N71" t="str"><v>North America</v></cell><cell r="O71" t="str"><v>United States</v></cell><cell r="P71" t="str"><v>Trial</v></cell><cell r="Q71" t="str"><v>Social</v></cell><cell r="R71" t="str"><v>Azure</v></cell><cell r="S71" t="str"><v>Apps & Infra</v></cell><cell r="T71" t="str"><v>Developers & ITI's</v></cell><cell r="U71" t="str"><v>USA-Trial-ITD-Retargeting-AZR-AZR</v></cell><cell r="V71" t="str"><v>Retargeting</v></cell><cell r="W71" t="str"><v>Link Ad</v></cell><cell r="X71" t="str"><v>1x1</v></cell></row><row r="71"><cell r="AA71"><v>43283</v></cell><cell r="AB71" t="str"><v>USA_gaPMG_AZR_AZR_Q1_19_Direct-Social</v></cell><cell r="AC71"><v>21358715</v></cell><cell r="AD71"><v>720197</v></cell><cell r="AE71" t="str"><v>Facebook</v></cell><cell r="AF71"><v>3654128</v></cell><cell r="AG71" t="str"><v>FACEBOOK»USA-Trial-ITD-Retargeting-AZR-AZR»1 x 1»SocialBan»LIA»ALL»CPA»RT»X»NA»SS»NA»FreeAcctRetargetingVMFB-OnDemand-ChE»PRC1S0</v></cell><cell r="AH71"><v>224104899</v></cell><cell r="AI71" t="str"><v>AzurePlatform_FreeAcctRetargetingVMFB-OnDemand-ChE_USA_1200x628_CAN_PLATFORM_English_Free Account_Standard_NA_SINU_T2_1</v></cell><cell r="AJ71"><v>103180610</v></cell></row><row r="72"><cell r="C72" t="str"><v>43283FACEBOOK»USA-Trial-ITD-Trial Lookalike-AZR-AZR»1 x 1»SocialBan»CAN»ALL»CPA»LAL»X»NA»SS»NA»FBCTCBenefit2inMotion»PRC1M0</v></cell><cell r="D72" t="str"><v>43283223862927</v></cell><cell r="E72" t="str"><v>43283103043835PRC1M0</v></cell><cell r="F72" t="str"><v>DCM</v></cell><cell r="G72" t="str"><v>https://signup.azure.com/?OCID=AID%eexcid!_OLA_%ebuy!_%epid!_%ecid!</v></cell></row><row r="72"><cell r="K72" t="str"><v>July</v></cell><cell r="L72"><v>43288</v></cell><cell r="M72" t="str"><v>Tier 0</v></cell><cell r="N72" t="str"><v>North America</v></cell><cell r="O72" t="str"><v>United States</v></cell><cell r="P72" t="str"><v>Trial</v></cell><cell r="Q72" t="str"><v>Social</v></cell><cell r="R72" t="str"><v>Azure</v></cell><cell r="S72" t="str"><v>Apps & Infra</v></cell><cell r="T72" t="str"><v>Developers & ITI's</v></cell><cell r="U72" t="str"><v>USA-Trial-ITD-Trial Lookalike-AZR-AZR</v></cell><cell r="V72" t="str"><v>Lookalike Targeting</v></cell><cell r="W72" t="str"><v>Canvas Ad</v></cell><cell r="X72" t="str"><v>1x1</v></cell></row><row r="72"><cell r="AA72"><v>43283</v></cell><cell r="AB72" t="str"><v>USA_gaPMG_AZR_AZR_Q1_19_Direct-Social</v></cell><cell r="AC72"><v>21358715</v></cell><cell r="AD72"><v>720197</v></cell><cell r="AE72" t="str"><v>Facebook</v></cell><cell r="AF72"><v>3654128</v></cell><cell r="AG72" t="str"><v>FACEBOOK»USA-Trial-ITD-Trial Lookalike-AZR-AZR»1 x 1»SocialBan»CAN»ALL»CPA»LAL»X»NA»SS»NA»FBCTCBenefit2inMotion»PRC1M0</v></cell><cell r="AH72"><v>223862927</v></cell><cell r="AI72" t="str"><v>AzurePlatform_FBCTCBenefit2inMotion_USA_10s_CAN_PLATFORM_English_Trial_Standard_STAN_TIN_T4_1</v></cell><cell r="AJ72"><v>103043835</v></cell></row><row r="73"><cell r="C73" t="str"><v>43283FACEBOOK»USA-Trial-ITD-Trial Lookalike-AZR-AZR»1 x 1»SocialBan»CAN»ALL»CPA»LAL»X»NA»SS»NA»FBCTCBenefit2inMotion»PRC1M0</v></cell><cell r="D73" t="str"><v>43283223862927</v></cell><cell r="E73" t="str"><v>43283103178645PRC1M0</v></cell><cell r="F73" t="str"><v>DCM</v></cell><cell r="G73" t="str"><v>https://azure.microsoft.com/en-us/pricing/purchase-options/?v=18.19&OCID=AID%eexcid!_OLA_%ebuy!_%epid!_%ecid!</v></cell></row><row r="73"><cell r="K73" t="str"><v>July</v></cell><cell r="L73"><v>43288</v></cell><cell r="M73" t="str"><v>Tier 0</v></cell><cell r="N73" t="str"><v>North America</v></cell><cell r="O73" t="str"><v>United States</v></cell><cell r="P73" t="str"><v>Trial</v></cell><cell r="Q73" t="str"><v>Social</v></cell><cell r="R73" t="str"><v>Azure</v></cell><cell r="S73" t="str"><v>Apps & Infra</v></cell><cell r="T73" t="str"><v>Developers & ITI's</v></cell><cell r="U73" t="str"><v>USA-Trial-ITD-Trial Lookalike-AZR-AZR</v></cell><cell r="V73" t="str"><v>Lookalike Targeting</v></cell><cell r="W73" t="str"><v>Canvas Ad</v></cell><cell r="X73" t="str"><v>1x1</v></cell></row><row r="73"><cell r="AA73"><v>43283</v></cell><cell r="AB73" t="str"><v>USA_gaPMG_AZR_AZR_Q1_19_Direct-Social</v></cell><cell r="AC73"><v>21358715</v></cell><cell r="AD73"><v>720197</v></cell><cell r="AE73" t="str"><v>Facebook</v></cell><cell r="AF73"><v>3654128</v></cell><cell r="AG73" t="str"><v>FACEBOOK»USA-Trial-ITD-Trial Lookalike-AZR-AZR»1 x 1»SocialBan»CAN»ALL»CPA»LAL»X»NA»SS»NA»FBCTCBenefit2inMotion»PRC1M0</v></cell><cell r="AH73"><v>223862927</v></cell><cell r="AI73" t="str"><v>AzurePlatform_FBCTCBenefit2inMotion_USA_10s_CAN_PLATFORM_English_Trial_Standard_STAN_TIN_T4_2</v></cell><cell r="AJ73"><v>103178645</v></cell></row><row r="74"><cell r="C74" t="str"><v>43283FACEBOOK»USA-Trial-ITD-Trial Lookalike-AZR-AZR»1 x 1»SocialBan»CAN»ALL»CPA»LAL»X»NA»SS»NA»FBCTCBenefitinMotion»PRC1M2</v></cell><cell r="D74" t="str"><v>43283223862897</v></cell><cell r="E74" t="str"><v>43283103032775PRC1M2</v></cell><cell r="F74" t="str"><v>DCM</v></cell><cell r="G74" t="str"><v>https://signup.azure.com/?OCID=AID%eexcid!_OLA_%ebuy!_%epid!_%ecid!</v></cell></row><row r="74"><cell r="K74" t="str"><v>July</v></cell><cell r="L74"><v>43288</v></cell><cell r="M74" t="str"><v>Tier 0</v></cell><cell r="N74" t="str"><v>North America</v></cell><cell r="O74" t="str"><v>United States</v></cell><cell r="P74" t="str"><v>Trial</v></cell><cell r="Q74" t="str"><v>Social</v></cell><cell r="R74" t="str"><v>Azure</v></cell><cell r="S74" t="str"><v>Apps & Infra</v></cell><cell r="T74" t="str"><v>Developers & ITI's</v></cell><cell r="U74" t="str"><v>USA-Trial-ITD-Trial Lookalike-AZR-AZR</v></cell><cell r="V74" t="str"><v>Lookalike Targeting</v></cell><cell r="W74" t="str"><v>Canvas Ad</v></cell><cell r="X74" t="str"><v>1x1</v></cell></row><row r="74"><cell r="AA74"><v>43283</v></cell><cell r="AB74" t="str"><v>USA_gaPMG_AZR_AZR_Q1_19_Direct-Social</v></cell><cell r="AC74"><v>21358715</v></cell><cell r="AD74"><v>720197</v></cell><cell r="AE74" t="str"><v>Facebook</v></cell><cell r="AF74"><v>3654128</v></cell><cell r="AG74" t="str"><v>FACEBOOK»USA-Trial-ITD-Trial Lookalike-AZR-AZR»1 x 1»SocialBan»CAN»ALL»CPA»LAL»X»NA»SS»NA»FBCTCBenefitinMotion»PRC1M2</v></cell><cell r="AH74"><v>223862897</v></cell><cell r="AI74" t="str"><v>AzurePlatform_FBCTCBenefitinMotion_USA_10s_CAN_PLATFORM_English_Trial_Standard_STAN_TIN_T3_1</v></cell><cell r="AJ74"><v>103032775</v></cell></row><row r="75"><cell r="C75" t="str"><v>43283FACEBOOK»USA-Trial-ITD-Trial Lookalike-AZR-AZR»1 x 1»SocialBan»LIA»ALL»CPA»LAL»X»NA»SS»NA»FreeAcctDeveloperFB-AnimatedAI-Ch3»PRC1M7</v></cell><cell r="D75" t="str"><v>43283223934104</v></cell><cell r="E75" t="str"><v>43283103032778PRC1M7</v></cell><cell r="F75" t="str"><v>DCM</v></cell></row><row r="75"><cell r="K75" t="str"><v>July</v></cell><cell r="L75"><v>43288</v></cell><cell r="M75" t="str"><v>Tier 0</v></cell><cell r="N75" t="str"><v>North America</v></cell><cell r="O75" t="str"><v>United States</v></cell><cell r="P75" t="str"><v>Trial</v></cell><cell r="Q75" t="str"><v>Social</v></cell><cell r="R75" t="str"><v>Azure</v></cell><cell r="S75" t="str"><v>Apps & Infra</v></cell><cell r="T75" t="str"><v>Developers & ITI's</v></cell><cell r="U75" t="str"><v>USA-Trial-ITD-Trial Lookalike-AZR-AZR</v></cell><cell r="V75" t="str"><v>Lookalike Targeting</v></cell><cell r="W75" t="str"><v>Link Ad</v></cell><cell r="X75" t="str"><v>1x1</v></cell></row><row r="75"><cell r="AA75"><v>43283</v></cell><cell r="AB75" t="str"><v>USA_gaPMG_AZR_AZR_Q1_19_Direct-Social</v></cell><cell r="AC75"><v>21358715</v></cell><cell r="AD75"><v>720197</v></cell><cell r="AE75" t="str"><v>Facebook</v></cell><cell r="AF75"><v>3654128</v></cell><cell r="AG75" t="str"><v>FACEBOOK»USA-Trial-ITD-Trial Lookalike-AZR-AZR»1 x 1»SocialBan»LIA»ALL»CPA»LAL»X»NA»SS»NA»FreeAcctDeveloperFB-AnimatedAI-Ch3»PRC1M7</v></cell><cell r="AH75"><v>223934104</v></cell><cell r="AI75" t="str"><v>AZR_FreeAcctDeveloperFB-AnimatedAI-Ch3_USA_1200x1200_CAN_Direct_English_Trial_Standard_ANI_LEA_T3_1</v></cell><cell r="AJ75"><v>103032778</v></cell></row><row r="76"><cell r="C76" t="str"><v>43283FACEBOOK»USA-Trial-ITD-Trial Lookalike-AZR-AZR»1 x 1»SocialBan»LIA»ALL»CPA»LAL»X»NA»SS»NA»FreeAcctDeveloperFB-AnimatedData-Ch4»PRC1M8</v></cell><cell r="D76" t="str"><v>43283223862933</v></cell><cell r="E76" t="str"><v>43283103037935PRC1M8</v></cell><cell r="F76" t="str"><v>DCM</v></cell></row><row r="76"><cell r="K76" t="str"><v>July</v></cell><cell r="L76"><v>43288</v></cell><cell r="M76" t="str"><v>Tier 0</v></cell><cell r="N76" t="str"><v>North America</v></cell><cell r="O76" t="str"><v>United States</v></cell><cell r="P76" t="str"><v>Trial</v></cell><cell r="Q76" t="str"><v>Social</v></cell><cell r="R76" t="str"><v>Azure</v></cell><cell r="S76" t="str"><v>Apps & Infra</v></cell><cell r="T76" t="str"><v>Developers & ITI's</v></cell><cell r="U76" t="str"><v>USA-Trial-ITD-Trial Lookalike-AZR-AZR</v></cell><cell r="V76" t="str"><v>Lookalike Targeting</v></cell><cell r="W76" t="str"><v>Link Ad</v></cell><cell r="X76" t="str"><v>1x1</v></cell></row><row r="76"><cell r="AA76"><v>43283</v></cell><cell r="AB76" t="str"><v>USA_gaPMG_AZR_AZR_Q1_19_Direct-Social</v></cell><cell r="AC76"><v>21358715</v></cell><cell r="AD76"><v>720197</v></cell><cell r="AE76" t="str"><v>Facebook</v></cell><cell r="AF76"><v>3654128</v></cell><cell r="AG76" t="str"><v>FACEBOOK»USA-Trial-ITD-Trial Lookalike-AZR-AZR»1 x 1»SocialBan»LIA»ALL»CPA»LAL»X»NA»SS»NA»FreeAcctDeveloperFB-AnimatedData-Ch4»PRC1M8</v></cell><cell r="AH76"><v>223862933</v></cell><cell r="AI76" t="str"><v>AZR_FreeAcctDeveloperFB-AnimatedData-Ch4_USA_1200x1200_CAN_Direct_English_Trial_Standard_ANI_LEA_T4_2</v></cell><cell r="AJ76"><v>103037935</v></cell></row><row r="77"><cell r="C77" t="str"><v>43283FACEBOOK»USA-Trial-ITD-Trial Lookalike-AZR-AZR»1 x 1»SocialBan»LIA»ALL»CPA»LAL»X»NA»SS»NA»FreeAcctITProFB-AnimatedHybrid-Ch2»PRC1MC</v></cell><cell r="D77" t="str"><v>43283224104956</v></cell><cell r="E77" t="str"><v>43283103180583PRC1MC</v></cell><cell r="F77" t="str"><v>DCM</v></cell></row><row r="77"><cell r="K77" t="str"><v>July</v></cell><cell r="L77"><v>43288</v></cell><cell r="M77" t="str"><v>Tier 0</v></cell><cell r="N77" t="str"><v>North America</v></cell><cell r="O77" t="str"><v>United States</v></cell><cell r="P77" t="str"><v>Trial</v></cell><cell r="Q77" t="str"><v>Social</v></cell><cell r="R77" t="str"><v>Azure</v></cell><cell r="S77" t="str"><v>Apps & Infra</v></cell><cell r="T77" t="str"><v>Developers & ITI's</v></cell><cell r="U77" t="str"><v>USA-Trial-ITD-Trial Lookalike-AZR-AZR</v></cell><cell r="V77" t="str"><v>Lookalike Targeting</v></cell><cell r="W77" t="str"><v>Link Ad</v></cell><cell r="X77" t="str"><v>1x1</v></cell></row><row r="77"><cell r="AA77"><v>43283</v></cell><cell r="AB77" t="str"><v>USA_gaPMG_AZR_AZR_Q1_19_Direct-Social</v></cell><cell r="AC77"><v>21358715</v></cell><cell r="AD77"><v>720197</v></cell><cell r="AE77" t="str"><v>Facebook</v></cell><cell r="AF77"><v>3654128</v></cell><cell r="AG77" t="str"><v>FACEBOOK»USA-Trial-ITD-Trial Lookalike-AZR-AZR»1 x 1»SocialBan»LIA»ALL»CPA»LAL»X»NA»SS»NA»FreeAcctITProFB-AnimatedHybrid-Ch2»PRC1MC</v></cell><cell r="AH77"><v>224104956</v></cell><cell r="AI77" t="str"><v>AZR_FreeAcctITProFB-AnimatedHybrid-Ch2_USA_1200x1200_CAN_Direct_English_Trial_Standard_ANI_LEA_T2_2</v></cell><cell r="AJ77"><v>103180583</v></cell></row><row r="78"><cell r="C78" t="str"><v>43283FACEBOOK»USA-Trial-ITD-Trial PayGo Lookalike-AZR-AZR»1 x 1»SocialBan»CAN»ALL»CPA»LAL»X»NA»SS»NA»FBCTCBenefit2inMotion»PRC1Q1</v></cell><cell r="D78" t="str"><v>43283224104986</v></cell><cell r="E78" t="str"><v>43283103043835PRC1Q1</v></cell><cell r="F78" t="str"><v>DCM</v></cell><cell r="G78" t="str"><v>https://signup.azure.com/?OCID=AID%eexcid!_OLA_%ebuy!_%epid!_%ecid!</v></cell></row><row r="78"><cell r="K78" t="str"><v>July</v></cell><cell r="L78"><v>43288</v></cell><cell r="M78" t="str"><v>Tier 0</v></cell><cell r="N78" t="str"><v>North America</v></cell><cell r="O78" t="str"><v>United States</v></cell><cell r="P78" t="str"><v>Trial</v></cell><cell r="Q78" t="str"><v>Social</v></cell><cell r="R78" t="str"><v>Azure</v></cell><cell r="S78" t="str"><v>Apps & Infra</v></cell><cell r="T78" t="str"><v>Developers & ITI's</v></cell><cell r="U78" t="str"><v>USA-Trial-ITD-Trial PayGo Lookalike-AZR-AZR</v></cell><cell r="V78" t="str"><v>Lookalike Targeting</v></cell><cell r="W78" t="str"><v>Canvas Ad</v></cell><cell r="X78" t="str"><v>1x1</v></cell></row><row r="78"><cell r="AA78"><v>43283</v></cell><cell r="AB78" t="str"><v>USA_gaPMG_AZR_AZR_Q1_19_Direct-Social</v></cell><cell r="AC78"><v>21358715</v></cell><cell r="AD78"><v>720197</v></cell><cell r="AE78" t="str"><v>Facebook</v></cell><cell r="AF78"><v>3654128</v></cell><cell r="AG78" t="str"><v>FACEBOOK»USA-Trial-ITD-Trial PayGo Lookalike-AZR-AZR»1 x 1»SocialBan»CAN»ALL»CPA»LAL»X»NA»SS»NA»FBCTCBenefit2inMotion»PRC1Q1</v></cell><cell r="AH78"><v>224104986</v></cell><cell r="AI78" t="str"><v>AzurePlatform_FBCTCBenefit2inMotion_USA_10s_CAN_PLATFORM_English_Trial_Standard_STAN_TIN_T4_1</v></cell><cell r="AJ78"><v>103043835</v></cell></row><row r="79"><cell r="C79" t="str"><v>43283FACEBOOK»USA-Trial-ITD-Trial PayGo Lookalike-AZR-AZR»1 x 1»SocialBan»CAN»ALL»CPA»LAL»X»NA»SS»NA»FBCTCBrandinMotion»PRC1Q3</v></cell><cell r="D79" t="str"><v>43283223935349</v></cell><cell r="E79" t="str"><v>43283103176812PRC1Q3</v></cell><cell r="F79" t="str"><v>DCM</v></cell><cell r="G79" t="str"><v>https://signup.azure.com/?OCID=AID%eexcid!_OLA_%ebuy!_%epid!_%ecid!</v></cell></row><row r="79"><cell r="K79" t="str"><v>July</v></cell><cell r="L79"><v>43288</v></cell><cell r="M79" t="str"><v>Tier 0</v></cell><cell r="N79" t="str"><v>North America</v></cell><cell r="O79" t="str"><v>United States</v></cell><cell r="P79" t="str"><v>Trial</v></cell><cell r="Q79" t="str"><v>Social</v></cell><cell r="R79" t="str"><v>Azure</v></cell><cell r="S79" t="str"><v>Apps & Infra</v></cell><cell r="T79" t="str"><v>Developers & ITI's</v></cell><cell r="U79" t="str"><v>USA-Trial-ITD-Trial PayGo Lookalike-AZR-AZR</v></cell><cell r="V79" t="str"><v>Lookalike Targeting</v></cell><cell r="W79" t="str"><v>Canvas Ad</v></cell><cell r="X79" t="str"><v>1x1</v></cell></row><row r="79"><cell r="AA79"><v>43283</v></cell><cell r="AB79" t="str"><v>USA_gaPMG_AZR_AZR_Q1_19_Direct-Social</v></cell><cell r="AC79"><v>21358715</v></cell><cell r="AD79"><v>720197</v></cell><cell r="AE79" t="str"><v>Facebook</v></cell><cell r="AF79"><v>3654128</v></cell><cell r="AG79" t="str"><v>FACEBOOK»USA-Trial-ITD-Trial PayGo Lookalike-AZR-AZR»1 x 1»SocialBan»CAN»ALL»CPA»LAL»X»NA»SS»NA»FBCTCBrandinMotion»PRC1Q3</v></cell><cell r="AH79"><v>223935349</v></cell><cell r="AI79" t="str"><v>AzurePlatform_FBCTCBrandinMotion_USA_10s_CAN_PLATFORM_English_Trial_Standard_STAN_TIN_T2_1</v></cell><cell r="AJ79"><v>103176812</v></cell></row><row r="80"><cell r="C80" t="str"><v>43283FACEBOOK»USA-Trial-ITD-Interest Prospecting-AZR-AZR»1 x 1»SocialBan»LIA»ALL»CPA»PRO»X»NA»SS»NA»FreeAcctDeveloperFB-AnimatedAI-Ch3»PRC1T2</v></cell><cell r="D80" t="str"><v>43283223862765</v></cell><cell r="E80" t="str"><v>43283103032778PRC1T2</v></cell><cell r="F80" t="str"><v>DCM</v></cell></row><row r="80"><cell r="K80" t="str"><v>July</v></cell><cell r="L80"><v>43288</v></cell><cell r="M80" t="str"><v>Tier 0</v></cell><cell r="N80" t="str"><v>North America</v></cell><cell r="O80" t="str"><v>United States</v></cell><cell r="P80" t="str"><v>Trial</v></cell><cell r="Q80" t="str"><v>Social</v></cell><cell r="R80" t="str"><v>Azure</v></cell><cell r="S80" t="str"><v>Apps & Infra</v></cell><cell r="T80" t="str"><v>Developers & ITI's</v></cell><cell r="U80" t="str"><v>USA-Trial-ITD-Interest Prospecting-AZR-AZR</v></cell><cell r="V80" t="str"><v>Prospecting</v></cell><cell r="W80" t="str"><v>Link Ad</v></cell><cell r="X80" t="str"><v>1x1</v></cell></row><row r="80"><cell r="AA80"><v>43283</v></cell><cell r="AB80" t="str"><v>USA_gaPMG_AZR_AZR_Q1_19_Direct-Social</v></cell><cell r="AC80"><v>21358715</v></cell><cell r="AD80"><v>720197</v></cell><cell r="AE80" t="str"><v>Facebook</v></cell><cell r="AF80"><v>3654128</v></cell><cell r="AG80" t="str"><v>FACEBOOK»USA-Trial-ITD-Interest Prospecting-AZR-AZR»1 x 1»SocialBan»LIA»ALL»CPA»PRO»X»NA»SS»NA»FreeAcctDeveloperFB-AnimatedAI-Ch3»PRC1T2</v></cell><cell r="AH80"><v>223862765</v></cell><cell r="AI80" t="str"><v>AZR_FreeAcctDeveloperFB-AnimatedAI-Ch3_USA_1200x1200_CAN_Direct_English_Trial_Standard_ANI_LEA_T3_1</v></cell><cell r="AJ80"><v>103032778</v></cell></row><row r="81"><cell r="C81" t="str"><v>43283FACEBOOK»USA-Trial-ITD-Interest Prospecting-AZR-AZR»1 x 1»SocialBan»LIA»ALL»CPA»PRO»X»NA»SS»NA»FreeAcctDeveloperFB-AnimatedData-Ch4»PRC1T3</v></cell><cell r="D81" t="str"><v>43283223863380</v></cell><cell r="E81" t="str"><v>43283103037935PRC1T3</v></cell><cell r="F81" t="str"><v>DCM</v></cell></row><row r="81"><cell r="K81" t="str"><v>July</v></cell><cell r="L81"><v>43288</v></cell><cell r="M81" t="str"><v>Tier 0</v></cell><cell r="N81" t="str"><v>North America</v></cell><cell r="O81" t="str"><v>United States</v></cell><cell r="P81" t="str"><v>Trial</v></cell><cell r="Q81" t="str"><v>Social</v></cell><cell r="R81" t="str"><v>Azure</v></cell><cell r="S81" t="str"><v>Apps & Infra</v></cell><cell r="T81" t="str"><v>Developers & ITI's</v></cell><cell r="U81" t="str"><v>USA-Trial-ITD-Interest Prospecting-AZR-AZR</v></cell><cell r="V81" t="str"><v>Prospecting</v></cell><cell r="W81" t="str"><v>Link Ad</v></cell><cell r="X81" t="str"><v>1x1</v></cell></row><row r="81"><cell r="AA81"><v>43283</v></cell><cell r="AB81" t="str"><v>USA_gaPMG_AZR_AZR_Q1_19_Direct-Social</v></cell><cell r="AC81"><v>21358715</v></cell><cell r="AD81"><v>720197</v></cell><cell r="AE81" t="str"><v>Facebook</v></cell><cell r="AF81"><v>3654128</v></cell><cell r="AG81" t="str"><v>FACEBOOK»USA-Trial-ITD-Interest Prospecting-AZR-AZR»1 x 1»SocialBan»LIA»ALL»CPA»PRO»X»NA»SS»NA»FreeAcctDeveloperFB-AnimatedData-Ch4»PRC1T3</v></cell><cell r="AH81"><v>223863380</v></cell><cell r="AI81" t="str"><v>AZR_FreeAcctDeveloperFB-AnimatedData-Ch4_USA_1200x1200_CAN_Direct_English_Trial_Standard_ANI_LEA_T4_2</v></cell><cell r="AJ81"><v>103037935</v></cell></row><row r="82"><cell r="C82" t="str"><v>43283FACEBOOK»USA-Trial-ITD-Interest Prospecting-AZR-AZR»1 x 1»SocialBan»LIA»ALL»CPA»PRO»X»NA»SS»NA»FreeAcctDeveloperFB-AnimatedOpenSource-Ch2»PRC1T1</v></cell><cell r="D82" t="str"><v>43283223862885</v></cell><cell r="E82" t="str"><v>43283103048329PRC1T1</v></cell><cell r="F82" t="str"><v>DCM</v></cell><cell r="G82" t="str"><v>https://azure.microsoft.com/en-us/free/open-source/search/?OCID=AID%eexcid!_OLA_%ebuy!_%epid!_%ecid!</v></cell></row><row r="82"><cell r="K82" t="str"><v>July</v></cell><cell r="L82"><v>43288</v></cell><cell r="M82" t="str"><v>Tier 0</v></cell><cell r="N82" t="str"><v>North America</v></cell><cell r="O82" t="str"><v>United States</v></cell><cell r="P82" t="str"><v>Trial</v></cell><cell r="Q82" t="str"><v>Social</v></cell><cell r="R82" t="str"><v>Azure</v></cell><cell r="S82" t="str"><v>Apps & Infra</v></cell><cell r="T82" t="str"><v>Developers & ITI's</v></cell><cell r="U82" t="str"><v>USA-Trial-ITD-Interest Prospecting-AZR-AZR</v></cell><cell r="V82" t="str"><v>Prospecting</v></cell><cell r="W82" t="str"><v>Link Ad</v></cell><cell r="X82" t="str"><v>1x1</v></cell></row><row r="82"><cell r="AA82"><v>43283</v></cell><cell r="AB82" t="str"><v>USA_gaPMG_AZR_AZR_Q1_19_Direct-Social</v></cell><cell r="AC82"><v>21358715</v></cell><cell r="AD82"><v>720197</v></cell><cell r="AE82" t="str"><v>Facebook</v></cell><cell r="AF82"><v>3654128</v></cell><cell r="AG82" t="str"><v>FACEBOOK»USA-Trial-ITD-Interest Prospecting-AZR-AZR»1 x 1»SocialBan»LIA»ALL»CPA»PRO»X»NA»SS»NA»FreeAcctDeveloperFB-AnimatedOpenSource-Ch2»PRC1T1</v></cell><cell r="AH82"><v>223862885</v></cell><cell r="AI82" t="str"><v>AZR_FreeAcctDeveloperFB-AnimatedOpenSource-Ch2_USA_1200x1200_CAN_Direct_English_Trial_Standard_ANI_LEA_T2_1</v></cell><cell r="AJ82"><v>103048329</v></cell></row><row r="83"><cell r="C83" t="str"><v>43283FACEBOOK»USA-Trial-ITD-Interest Prospecting-AZR-AZR»1 x 1»SocialBan»LIA»ALL»CPA»PRO»X»NA»SS»NA»FreeAcctITProFB-AnimatedMigration-Ch3»PRC1X2</v></cell><cell r="D83" t="str"><v>43283224106954</v></cell><cell r="E83" t="str"><v>43283103176827PRC1X2</v></cell><cell r="F83" t="str"><v>DCM</v></cell></row><row r="83"><cell r="K83" t="str"><v>July</v></cell><cell r="L83"><v>43288</v></cell><cell r="M83" t="str"><v>Tier 0</v></cell><cell r="N83" t="str"><v>North America</v></cell><cell r="O83" t="str"><v>United States</v></cell><cell r="P83" t="str"><v>Trial</v></cell><cell r="Q83" t="str"><v>Social</v></cell><cell r="R83" t="str"><v>Azure</v></cell><cell r="S83" t="str"><v>Apps & Infra</v></cell><cell r="T83" t="str"><v>Developers & ITI's</v></cell><cell r="U83" t="str"><v>USA-Trial-ITD-Interest Prospecting-AZR-AZR</v></cell><cell r="V83" t="str"><v>Prospecting</v></cell><cell r="W83" t="str"><v>Link Ad</v></cell><cell r="X83" t="str"><v>1x1</v></cell></row><row r="83"><cell r="AA83"><v>43283</v></cell><cell r="AB83" t="str"><v>USA_gaPMG_AZR_AZR_Q1_19_Direct-Social</v></cell><cell r="AC83"><v>21358715</v></cell><cell r="AD83"><v>720197</v></cell><cell r="AE83" t="str"><v>Facebook</v></cell><cell r="AF83"><v>3654128</v></cell><cell r="AG83" t="str"><v>FACEBOOK»USA-Trial-ITD-Interest Prospecting-AZR-AZR»1 x 1»SocialBan»LIA»ALL»CPA»PRO»X»NA»SS»NA»FreeAcctITProFB-AnimatedMigration-Ch3»PRC1X2</v></cell><cell r="AH83"><v>224106954</v></cell><cell r="AI83" t="str"><v>AZR_FreeAcctITProFB-AnimatedMigration-Ch3_USA_1200x1200_CAN_Direct_English_Trial_Standard_ANI_LEA_T3_1</v></cell><cell r="AJ83"><v>103176827</v></cell></row><row r="84"><cell r="C84" t="str"><v>43283FACEBOOK»USA-Trial-ITD-Lead Completes-AZR-AZR»1 x 1»SocialBan»CAN»ALL»CPA»PRO»X»NA»SS»NA»FBCTCBrandinMotion»PRC1VX</v></cell><cell r="D84" t="str"><v>43283223861547</v></cell><cell r="E84" t="str"><v>43283103176812PRC1VX</v></cell><cell r="F84" t="str"><v>DCM</v></cell><cell r="G84" t="str"><v>https://signup.azure.com/?OCID=AID%eexcid!_OLA_%ebuy!_%epid!_%ecid!</v></cell></row><row r="84"><cell r="K84" t="str"><v>July</v></cell><cell r="L84"><v>43288</v></cell><cell r="M84" t="str"><v>Tier 0</v></cell><cell r="N84" t="str"><v>North America</v></cell><cell r="O84" t="str"><v>United States</v></cell><cell r="P84" t="str"><v>Trial</v></cell><cell r="Q84" t="str"><v>Social</v></cell><cell r="R84" t="str"><v>Azure</v></cell><cell r="S84" t="str"><v>Apps & Infra</v></cell><cell r="T84" t="str"><v>Developers & ITI's</v></cell><cell r="U84" t="str"><v>USA-Trial-ITD-Lead Completes-AZR-AZR</v></cell><cell r="V84" t="str"><v>Prospecting</v></cell><cell r="W84" t="str"><v>Canvas Ad</v></cell><cell r="X84" t="str"><v>1x1</v></cell></row><row r="84"><cell r="AA84"><v>43283</v></cell><cell r="AB84" t="str"><v>USA_gaPMG_AZR_AZR_Q1_19_Direct-Social</v></cell><cell r="AC84"><v>21358715</v></cell><cell r="AD84"><v>720197</v></cell><cell r="AE84" t="str"><v>Facebook</v></cell><cell r="AF84"><v>3654128</v></cell><cell r="AG84" t="str"><v>FACEBOOK»USA-Trial-ITD-Lead Completes-AZR-AZR»1 x 1»SocialBan»CAN»ALL»CPA»PRO»X»NA»SS»NA»FBCTCBrandinMotion»PRC1VX</v></cell><cell r="AH84"><v>223861547</v></cell><cell r="AI84" t="str"><v>AzurePlatform_FBCTCBrandinMotion_USA_10s_CAN_PLATFORM_English_Trial_Standard_STAN_TIN_T2_1</v></cell><cell r="AJ84"><v>103176812</v></cell></row><row r="85"><cell r="C85" t="str"><v>43283FACEBOOK»USA-Trial-ITD-Lead Completes-AZR-AZR»1 x 1»SocialBan»LIA»ALL»CPA»PRO»X»NA»SS»NA»FreeAcctDeveloperFB-AnimatedAI-Ch3»PRC1W1</v></cell><cell r="D85" t="str"><v>43283223933096</v></cell><cell r="E85" t="str"><v>43283103032778PRC1W1</v></cell><cell r="F85" t="str"><v>DCM</v></cell></row><row r="85"><cell r="K85" t="str"><v>July</v></cell><cell r="L85"><v>43288</v></cell><cell r="M85" t="str"><v>Tier 0</v></cell><cell r="N85" t="str"><v>North America</v></cell><cell r="O85" t="str"><v>United States</v></cell><cell r="P85" t="str"><v>Trial</v></cell><cell r="Q85" t="str"><v>Social</v></cell><cell r="R85" t="str"><v>Azure</v></cell><cell r="S85" t="str"><v>Apps & Infra</v></cell><cell r="T85" t="str"><v>Developers & ITI's</v></cell><cell r="U85" t="str"><v>USA-Trial-ITD-Lead Completes-AZR-AZR</v></cell><cell r="V85" t="str"><v>Prospecting</v></cell><cell r="W85" t="str"><v>Link Ad</v></cell><cell r="X85" t="str"><v>1x1</v></cell></row><row r="85"><cell r="AA85"><v>43283</v></cell><cell r="AB85" t="str"><v>USA_gaPMG_AZR_AZR_Q1_19_Direct-Social</v></cell><cell r="AC85"><v>21358715</v></cell><cell r="AD85"><v>720197</v></cell><cell r="AE85" t="str"><v>Facebook</v></cell><cell r="AF85"><v>3654128</v></cell><cell r="AG85" t="str"><v>FACEBOOK»USA-Trial-ITD-Lead Completes-AZR-AZR»1 x 1»SocialBan»LIA»ALL»CPA»PRO»X»NA»SS»NA»FreeAcctDeveloperFB-AnimatedAI-Ch3»PRC1W1</v></cell><cell r="AH85"><v>223933096</v></cell><cell r="AI85" t="str"><v>AZR_FreeAcctDeveloperFB-AnimatedAI-Ch3_USA_1200x1200_CAN_Direct_English_Trial_Standard_ANI_LEA_T3_1</v></cell><cell r="AJ85"><v>103032778</v></cell></row><row r="86"><cell r="C86" t="str"><v>43283FACEBOOK»USA-Trial-ITD-Lead Completes-AZR-AZR»1 x 1»SocialBan»LIA»ALL»CPA»PRO»X»NA»SS»NA»FreeAcctDeveloperFB-AnimatedData-Ch4»PRC1W3</v></cell><cell r="D86" t="str"><v>43283223862711</v></cell><cell r="E86" t="str"><v>43283103037935PRC1W3</v></cell><cell r="F86" t="str"><v>DCM</v></cell></row><row r="86"><cell r="K86" t="str"><v>July</v></cell><cell r="L86"><v>43288</v></cell><cell r="M86" t="str"><v>Tier 0</v></cell><cell r="N86" t="str"><v>North America</v></cell><cell r="O86" t="str"><v>United States</v></cell><cell r="P86" t="str"><v>Trial</v></cell><cell r="Q86" t="str"><v>Social</v></cell><cell r="R86" t="str"><v>Azure</v></cell><cell r="S86" t="str"><v>Apps & Infra</v></cell><cell r="T86" t="str"><v>Developers & ITI's</v></cell><cell r="U86" t="str"><v>USA-Trial-ITD-Lead Completes-AZR-AZR</v></cell><cell r="V86" t="str"><v>Prospecting</v></cell><cell r="W86" t="str"><v>Link Ad</v></cell><cell r="X86" t="str"><v>1x1</v></cell></row><row r="86"><cell r="AA86"><v>43283</v></cell><cell r="AB86" t="str"><v>USA_gaPMG_AZR_AZR_Q1_19_Direct-Social</v></cell><cell r="AC86"><v>21358715</v></cell><cell r="AD86"><v>720197</v></cell><cell r="AE86" t="str"><v>Facebook</v></cell><cell r="AF86"><v>3654128</v></cell><cell r="AG86" t="str"><v>FACEBOOK»USA-Trial-ITD-Lead Completes-AZR-AZR»1 x 1»SocialBan»LIA»ALL»CPA»PRO»X»NA»SS»NA»FreeAcctDeveloperFB-AnimatedData-Ch4»PRC1W3</v></cell><cell r="AH86"><v>223862711</v></cell><cell r="AI86" t="str"><v>AZR_FreeAcctDeveloperFB-AnimatedData-Ch4_USA_1200x1200_CAN_Direct_English_Trial_Standard_ANI_LEA_T4_2</v></cell><cell r="AJ86"><v>103037935</v></cell></row><row r="87"><cell r="C87" t="str"><v>43283FACEBOOK»USA-Trial-ITD-Lead Completes-AZR-AZR»1 x 1»SocialBan»LIA»ALL»CPA»PRO»X»NA»SS»NA»FreeAcctDeveloperFB-AnimatedOpenSource-Ch2»PRC1W0</v></cell><cell r="D87" t="str"><v>43283223933108</v></cell><cell r="E87" t="str"><v>43283103048329PRC1W0</v></cell><cell r="F87" t="str"><v>DCM</v></cell><cell r="G87" t="str"><v>https://azure.microsoft.com/en-us/free/open-source/search/?OCID=AID%eexcid!_OLA_%ebuy!_%epid!_%ecid!</v></cell></row><row r="87"><cell r="K87" t="str"><v>July</v></cell><cell r="L87"><v>43288</v></cell><cell r="M87" t="str"><v>Tier 0</v></cell><cell r="N87" t="str"><v>North America</v></cell><cell r="O87" t="str"><v>United States</v></cell><cell r="P87" t="str"><v>Trial</v></cell><cell r="Q87" t="str"><v>Social</v></cell><cell r="R87" t="str"><v>Azure</v></cell><cell r="S87" t="str"><v>Apps & Infra</v></cell><cell r="T87" t="str"><v>Developers & ITI's</v></cell><cell r="U87" t="str"><v>USA-Trial-ITD-Lead Completes-AZR-AZR</v></cell><cell r="V87" t="str"><v>Prospecting</v></cell><cell r="W87" t="str"><v>Link Ad</v></cell><cell r="X87" t="str"><v>1x1</v></cell></row><row r="87"><cell r="AA87"><v>43283</v></cell><cell r="AB87" t="str"><v>USA_gaPMG_AZR_AZR_Q1_19_Direct-Social</v></cell><cell r="AC87"><v>21358715</v></cell><cell r="AD87"><v>720197</v></cell><cell r="AE87" t="str"><v>Facebook</v></cell><cell r="AF87"><v>3654128</v></cell><cell r="AG87" t="str"><v>FACEBOOK»USA-Trial-ITD-Lead Completes-AZR-AZR»1 x 1»SocialBan»LIA»ALL»CPA»PRO»X»NA»SS»NA»FreeAcctDeveloperFB-AnimatedOpenSource-Ch2»PRC1W0</v></cell><cell r="AH87"><v>223933108</v></cell><cell r="AI87" t="str"><v>AZR_FreeAcctDeveloperFB-AnimatedOpenSource-Ch2_USA_1200x1200_CAN_Direct_English_Trial_Standard_ANI_LEA_T2_1</v></cell><cell r="AJ87"><v>103048329</v></cell></row><row r="88"><cell r="C88" t="str"><v>43283FACEBOOK»USA-Trial-ITD-Lead Completes-AZR-AZR»1 x 1»SocialBan»LIA»ALL»CPA»PRO»X»NA»SS»NA»FreeAcctITProFB-AnimatedHybrid-Ch2»PRC1W5</v></cell><cell r="D88" t="str"><v>43283224106033</v></cell><cell r="E88" t="str"><v>43283103180583PRC1W5</v></cell><cell r="F88" t="str"><v>DCM</v></cell></row><row r="88"><cell r="K88" t="str"><v>July</v></cell><cell r="L88"><v>43288</v></cell><cell r="M88" t="str"><v>Tier 0</v></cell><cell r="N88" t="str"><v>North America</v></cell><cell r="O88" t="str"><v>United States</v></cell><cell r="P88" t="str"><v>Trial</v></cell><cell r="Q88" t="str"><v>Social</v></cell><cell r="R88" t="str"><v>Azure</v></cell><cell r="S88" t="str"><v>Apps & Infra</v></cell><cell r="T88" t="str"><v>Developers & ITI's</v></cell><cell r="U88" t="str"><v>USA-Trial-ITD-Lead Completes-AZR-AZR</v></cell><cell r="V88" t="str"><v>Prospecting</v></cell><cell r="W88" t="str"><v>Link Ad</v></cell><cell r="X88" t="str"><v>1x1</v></cell></row><row r="88"><cell r="AA88"><v>43283</v></cell><cell r="AB88" t="str"><v>USA_gaPMG_AZR_AZR_Q1_19_Direct-Social</v></cell><cell r="AC88"><v>21358715</v></cell><cell r="AD88"><v>720197</v></cell><cell r="AE88" t="str"><v>Facebook</v></cell><cell r="AF88"><v>3654128</v></cell><cell r="AG88" t="str"><v>FACEBOOK»USA-Trial-ITD-Lead Completes-AZR-AZR»1 x 1»SocialBan»LIA»ALL»CPA»PRO»X»NA»SS»NA»FreeAcctITProFB-AnimatedHybrid-Ch2»PRC1W5</v></cell><cell r="AH88"><v>224106033</v></cell><cell r="AI88" t="str"><v>AZR_FreeAcctITProFB-AnimatedHybrid-Ch2_USA_1200x1200_CAN_Direct_English_Trial_Standard_ANI_LEA_T2_2</v></cell><cell r="AJ88"><v>103180583</v></cell></row><row r="89"><cell r="C89" t="str"><v>43283FACEBOOK»USA-Trial-ITD-Lead Completes-AZR-AZR»1 x 1»SocialBan»LIA»ALL»CPA»PRO»X»NA»SS»NA»FreeAcctITProFB-AnimatedMigration-Ch3»PRC22N</v></cell><cell r="D89" t="str"><v>43283223933114</v></cell><cell r="E89" t="str"><v>43283103176827PRC22N</v></cell><cell r="F89" t="str"><v>DCM</v></cell></row><row r="89"><cell r="K89" t="str"><v>July</v></cell><cell r="L89"><v>43288</v></cell><cell r="M89" t="str"><v>Tier 0</v></cell><cell r="N89" t="str"><v>North America</v></cell><cell r="O89" t="str"><v>United States</v></cell><cell r="P89" t="str"><v>Trial</v></cell><cell r="Q89" t="str"><v>Social</v></cell><cell r="R89" t="str"><v>Azure</v></cell><cell r="S89" t="str"><v>Apps & Infra</v></cell><cell r="T89" t="str"><v>Developers & ITI's</v></cell><cell r="U89" t="str"><v>USA-Trial-ITD-Lead Completes-AZR-AZR</v></cell><cell r="V89" t="str"><v>Prospecting</v></cell><cell r="W89" t="str"><v>Link Ad</v></cell><cell r="X89" t="str"><v>1x1</v></cell></row><row r="89"><cell r="AA89"><v>43283</v></cell><cell r="AB89" t="str"><v>USA_gaPMG_AZR_AZR_Q1_19_Direct-Social</v></cell><cell r="AC89"><v>21358715</v></cell><cell r="AD89"><v>720197</v></cell><cell r="AE89" t="str"><v>Facebook</v></cell><cell r="AF89"><v>3654128</v></cell><cell r="AG89" t="str"><v>FACEBOOK»USA-Trial-ITD-Lead Completes-AZR-AZR»1 x 1»SocialBan»LIA»ALL»CPA»PRO»X»NA»SS»NA»FreeAcctITProFB-AnimatedMigration-Ch3»PRC22N</v></cell><cell r="AH89"><v>223933114</v></cell><cell r="AI89" t="str"><v>AZR_FreeAcctITProFB-AnimatedMigration-Ch3_USA_1200x1200_CAN_Direct_English_Trial_Standard_ANI_LEA_T3_1</v></cell><cell r="AJ89"><v>103176827</v></cell></row><row r="90"><cell r="C90" t="str"><v>43283FACEBOOK»USA-Trial-ITD-Lead Completes-AZR-AZR»1 x 1»SocialBan»LIA»ALL»CPA»PRO»X»NA»SS»NA»FreeAcctITProFB-AnimatedSecureMngd-Ch1»PRC1W4</v></cell><cell r="D90" t="str"><v>43283223862153</v></cell><cell r="E90" t="str"><v>43283103176830PRC1W4</v></cell><cell r="F90" t="str"><v>DCM</v></cell></row><row r="90"><cell r="K90" t="str"><v>July</v></cell><cell r="L90"><v>43288</v></cell><cell r="M90" t="str"><v>Tier 0</v></cell><cell r="N90" t="str"><v>North America</v></cell><cell r="O90" t="str"><v>United States</v></cell><cell r="P90" t="str"><v>Trial</v></cell><cell r="Q90" t="str"><v>Social</v></cell><cell r="R90" t="str"><v>Azure</v></cell><cell r="S90" t="str"><v>Apps & Infra</v></cell><cell r="T90" t="str"><v>Developers & ITI's</v></cell><cell r="U90" t="str"><v>USA-Trial-ITD-Lead Completes-AZR-AZR</v></cell><cell r="V90" t="str"><v>Prospecting</v></cell><cell r="W90" t="str"><v>Link Ad</v></cell><cell r="X90" t="str"><v>1x1</v></cell></row><row r="90"><cell r="AA90"><v>43283</v></cell><cell r="AB90" t="str"><v>USA_gaPMG_AZR_AZR_Q1_19_Direct-Social</v></cell><cell r="AC90"><v>21358715</v></cell><cell r="AD90"><v>720197</v></cell><cell r="AE90" t="str"><v>Facebook</v></cell><cell r="AF90"><v>3654128</v></cell><cell r="AG90" t="str"><v>FACEBOOK»USA-Trial-ITD-Lead Completes-AZR-AZR»1 x 1»SocialBan»LIA»ALL»CPA»PRO»X»NA»SS»NA»FreeAcctITProFB-AnimatedSecureMngd-Ch1»PRC1W4</v></cell><cell r="AH90"><v>223862153</v></cell><cell r="AI90" t="str"><v>AZR_FreeAcctITProFB-AnimatedSecureMngd-Ch1_USA_1200x1200_CAN_Direct_English_Trial_Standard_ANI_LEA_T1_1</v></cell><cell r="AJ90"><v>103176830</v></cell></row><row r="91"><cell r="C91" t="str"><v>43283FACEBOOK»USA-Trial-ITD-Retargeting-AZR-AZR»1 x 1»SocialBan»LIA»ALL»CPA»RT»X»NA»SS»NA»FreeAcctDeveloperFB-AnimatedGeneric-Ch1»PRC26D</v></cell><cell r="D91" t="str"><v>43283223862870</v></cell><cell r="E91" t="str"><v>43283103176851PRC26D</v></cell><cell r="F91" t="str"><v>DCM</v></cell><cell r="G91" t="str"><v>https://azure.microsoft.com/en-us/free/search/?OCID=AID%eexcid!_OLA_%ebuy!_%epid!_%ecid!</v></cell></row><row r="91"><cell r="K91" t="str"><v>July</v></cell><cell r="L91"><v>43288</v></cell><cell r="M91" t="str"><v>Tier 0</v></cell><cell r="N91" t="str"><v>North America</v></cell><cell r="O91" t="str"><v>United States</v></cell><cell r="P91" t="str"><v>Trial</v></cell><cell r="Q91" t="str"><v>Social</v></cell><cell r="R91" t="str"><v>Azure</v></cell><cell r="S91" t="str"><v>Apps & Infra</v></cell><cell r="T91" t="str"><v>Developers & ITI's</v></cell><cell r="U91" t="str"><v>USA-Trial-ITD-Retargeting-AZR-AZR</v></cell><cell r="V91" t="str"><v>Retargeting</v></cell><cell r="W91" t="str"><v>Link Ad</v></cell><cell r="X91" t="str"><v>1x1</v></cell></row><row r="91"><cell r="AA91"><v>43283</v></cell><cell r="AB91" t="str"><v>USA_gaPMG_AZR_AZR_Q1_19_Direct-Social</v></cell><cell r="AC91"><v>21358715</v></cell><cell r="AD91"><v>720197</v></cell><cell r="AE91" t="str"><v>Facebook</v></cell><cell r="AF91"><v>3654128</v></cell><cell r="AG91" t="str"><v>FACEBOOK»USA-Trial-ITD-Retargeting-AZR-AZR»1 x 1»SocialBan»LIA»ALL»CPA»RT»X»NA»SS»NA»FreeAcctDeveloperFB-AnimatedGeneric-Ch1»PRC26D</v></cell><cell r="AH91"><v>223862870</v></cell><cell r="AI91" t="str"><v>AZR_FreeAcctDeveloperFB-AnimatedGeneric-Ch1_USA_1200x1200_CAN_Direct_English_Trial_Standard_ANI_LEA_T1_2</v></cell><cell r="AJ91"><v>103176851</v></cell></row><row r="92"><cell r="C92" t="str"><v>43283FACEBOOK»USA-Trial-ITD-Retargeting-AZR-AZR»1 x 1»SocialBan»LIA»ALL»CPA»RT»X»NA»SS»NA»FreeAcctRetargetingOSSFB-Logos-ChG»PRC1S2</v></cell><cell r="D92" t="str"><v>43283224106063</v></cell><cell r="E92" t="str"><v>43283103176008PRC1S2</v></cell><cell r="F92" t="str"><v>DCM</v></cell><cell r="G92" t="str"><v>https://azure.microsoft.com/en-us/free/open-source/search/?OCID=AID%eexcid!_OLA_%ebuy!_%epid!_%ecid!</v></cell></row><row r="92"><cell r="K92" t="str"><v>July</v></cell><cell r="L92"><v>43288</v></cell><cell r="M92" t="str"><v>Tier 0</v></cell><cell r="N92" t="str"><v>North America</v></cell><cell r="O92" t="str"><v>United States</v></cell><cell r="P92" t="str"><v>Trial</v></cell><cell r="Q92" t="str"><v>Social</v></cell><cell r="R92" t="str"><v>Azure</v></cell><cell r="S92" t="str"><v>Apps & Infra</v></cell><cell r="T92" t="str"><v>Developers & ITI's</v></cell><cell r="U92" t="str"><v>USA-Trial-ITD-Retargeting-AZR-AZR</v></cell><cell r="V92" t="str"><v>Retargeting</v></cell><cell r="W92" t="str"><v>Link Ad</v></cell><cell r="X92" t="str"><v>1x1</v></cell></row><row r="92"><cell r="AA92"><v>43283</v></cell><cell r="AB92" t="str"><v>USA_gaPMG_AZR_AZR_Q1_19_Direct-Social</v></cell><cell r="AC92"><v>21358715</v></cell><cell r="AD92"><v>720197</v></cell><cell r="AE92" t="str"><v>Facebook</v></cell><cell r="AF92"><v>3654128</v></cell><cell r="AG92" t="str"><v>FACEBOOK»USA-Trial-ITD-Retargeting-AZR-AZR»1 x 1»SocialBan»LIA»ALL»CPA»RT»X»NA»SS»NA»FreeAcctRetargetingOSSFB-Logos-ChG»PRC1S2</v></cell><cell r="AH92"><v>224106063</v></cell><cell r="AI92" t="str"><v>AzurePlatform_FreeAcctRetargetingOSSFB-Logos-ChG_USA_1200x628_CAN_PLATFORM_English_Free Account_Standard_NA_SINU_T2_1</v></cell><cell r="AJ92"><v>103176008</v></cell></row><row r="93"><cell r="C93" t="str"><v>43283FACEBOOK»USA-Trial-ITD-Retargeting-AZR-AZR»1 x 1»SocialBan»LIA»ALL»CPA»RT»X»NA»SS»NA»FreeAcctRetargetingOSSFB-Text-ChF»PRC1S1</v></cell><cell r="D93" t="str"><v>43283223862753</v></cell><cell r="E93" t="str"><v>43283103176869PRC1S1</v></cell><cell r="F93" t="str"><v>DCM</v></cell><cell r="G93" t="str"><v>https://azure.microsoft.com/en-us/free/open-source/search/?OCID=AID%eexcid!_OLA_%ebuy!_%epid!_%ecid!</v></cell></row><row r="93"><cell r="K93" t="str"><v>July</v></cell><cell r="L93"><v>43288</v></cell><cell r="M93" t="str"><v>Tier 0</v></cell><cell r="N93" t="str"><v>North America</v></cell><cell r="O93" t="str"><v>United States</v></cell><cell r="P93" t="str"><v>Trial</v></cell><cell r="Q93" t="str"><v>Social</v></cell><cell r="R93" t="str"><v>Azure</v></cell><cell r="S93" t="str"><v>Apps & Infra</v></cell><cell r="T93" t="str"><v>Developers & ITI's</v></cell><cell r="U93" t="str"><v>USA-Trial-ITD-Retargeting-AZR-AZR</v></cell><cell r="V93" t="str"><v>Retargeting</v></cell><cell r="W93" t="str"><v>Link Ad</v></cell><cell r="X93" t="str"><v>1x1</v></cell></row><row r="93"><cell r="AA93"><v>43283</v></cell><cell r="AB93" t="str"><v>USA_gaPMG_AZR_AZR_Q1_19_Direct-Social</v></cell><cell r="AC93"><v>21358715</v></cell><cell r="AD93"><v>720197</v></cell><cell r="AE93" t="str"><v>Facebook</v></cell><cell r="AF93"><v>3654128</v></cell><cell r="AG93" t="str"><v>FACEBOOK»USA-Trial-ITD-Retargeting-AZR-AZR»1 x 1»SocialBan»LIA»ALL»CPA»RT»X»NA»SS»NA»FreeAcctRetargetingOSSFB-Text-ChF»PRC1S1</v></cell><cell r="AH93"><v>223862753</v></cell><cell r="AI93" t="str"><v>AzurePlatform_FreeAcctRetargetingOSSFB-Text-ChF_USA_1200x628_CAN_PLATFORM_English_Free Account_Standard_NA_SINU_T1_2</v></cell><cell r="AJ93"><v>103176869</v></cell></row><row r="94"><cell r="C94" t="str"><v>43283FACEBOOK»USA-Trial-ITD-Trial Lookalike-AZR-AZR»1 x 1»SocialBan»LIA»ALL»CPA»LAL»X»NA»SS»NA»FreeAcctDeveloperFB-AnimatedGeneric-Ch1»PRC1M4</v></cell><cell r="D94" t="str"><v>43283224104941</v></cell><cell r="E94" t="str"><v>43283103176851PRC1M4</v></cell><cell r="F94" t="str"><v>DCM</v></cell><cell r="G94" t="str"><v>https://azure.microsoft.com/en-us/free/search/?OCID=AID%eexcid!_OLA_%ebuy!_%epid!_%ecid!</v></cell></row><row r="94"><cell r="K94" t="str"><v>July</v></cell><cell r="L94"><v>43288</v></cell><cell r="M94" t="str"><v>Tier 0</v></cell><cell r="N94" t="str"><v>North America</v></cell><cell r="O94" t="str"><v>United States</v></cell><cell r="P94" t="str"><v>Trial</v></cell><cell r="Q94" t="str"><v>Social</v></cell><cell r="R94" t="str"><v>Azure</v></cell><cell r="S94" t="str"><v>Apps & Infra</v></cell><cell r="T94" t="str"><v>Developers & ITI's</v></cell><cell r="U94" t="str"><v>USA-Trial-ITD-Trial Lookalike-AZR-AZR</v></cell><cell r="V94" t="str"><v>Lookalike Targeting</v></cell><cell r="W94" t="str"><v>Link Ad</v></cell><cell r="X94" t="str"><v>1x1</v></cell></row><row r="94"><cell r="AA94"><v>43283</v></cell><cell r="AB94" t="str"><v>USA_gaPMG_AZR_AZR_Q1_19_Direct-Social</v></cell><cell r="AC94"><v>21358715</v></cell><cell r="AD94"><v>720197</v></cell><cell r="AE94" t="str"><v>Facebook</v></cell><cell r="AF94"><v>3654128</v></cell><cell r="AG94" t="str"><v>FACEBOOK»USA-Trial-ITD-Trial Lookalike-AZR-AZR»1 x 1»SocialBan»LIA»ALL»CPA»LAL»X»NA»SS»NA»FreeAcctDeveloperFB-AnimatedGeneric-Ch1»PRC1M4</v></cell><cell r="AH94"><v>224104941</v></cell><cell r="AI94" t="str"><v>AZR_FreeAcctDeveloperFB-AnimatedGeneric-Ch1_USA_1200x1200_CAN_Direct_English_Trial_Standard_ANI_LEA_T1_2</v></cell><cell r="AJ94"><v>103176851</v></cell></row><row r="95"><cell r="C95" t="str"><v>43283FACEBOOK»USA-Trial-ITD-Trial Lookalike-AZR-AZR»1 x 1»SocialBan»LIA»ALL»CPA»LAL»X»NA»SS»NA»FreeAcctDeveloperFB-AnimatedGeneric-Ch1»PRC1M5</v></cell><cell r="D95" t="str"><v>43283223934083</v></cell><cell r="E95" t="str"><v>43283103176851PRC1M5</v></cell><cell r="F95" t="str"><v>DCM</v></cell><cell r="G95" t="str"><v>https://azure.microsoft.com/en-us/free/search/?OCID=AID%eexcid!_OLA_%ebuy!_%epid!_%ecid!</v></cell></row><row r="95"><cell r="K95" t="str"><v>July</v></cell><cell r="L95"><v>43288</v></cell><cell r="M95" t="str"><v>Tier 0</v></cell><cell r="N95" t="str"><v>North America</v></cell><cell r="O95" t="str"><v>United States</v></cell><cell r="P95" t="str"><v>Trial</v></cell><cell r="Q95" t="str"><v>Social</v></cell><cell r="R95" t="str"><v>Azure</v></cell><cell r="S95" t="str"><v>Apps & Infra</v></cell><cell r="T95" t="str"><v>Developers & ITI's</v></cell><cell r="U95" t="str"><v>USA-Trial-ITD-Trial Lookalike-AZR-AZR</v></cell><cell r="V95" t="str"><v>Lookalike Targeting</v></cell><cell r="W95" t="str"><v>Link Ad</v></cell><cell r="X95" t="str"><v>1x1</v></cell></row><row r="95"><cell r="AA95"><v>43283</v></cell><cell r="AB95" t="str"><v>USA_gaPMG_AZR_AZR_Q1_19_Direct-Social</v></cell><cell r="AC95"><v>21358715</v></cell><cell r="AD95"><v>720197</v></cell><cell r="AE95" t="str"><v>Facebook</v></cell><cell r="AF95"><v>3654128</v></cell><cell r="AG95" t="str"><v>FACEBOOK»USA-Trial-ITD-Trial Lookalike-AZR-AZR»1 x 1»SocialBan»LIA»ALL»CPA»LAL»X»NA»SS»NA»FreeAcctDeveloperFB-AnimatedGeneric-Ch1»PRC1M5</v></cell><cell r="AH95"><v>223934083</v></cell><cell r="AI95" t="str"><v>AZR_FreeAcctDeveloperFB-AnimatedGeneric-Ch1_USA_1200x1200_CAN_Direct_English_Trial_Standard_ANI_LEA_T1_2</v></cell><cell r="AJ95"><v>103176851</v></cell></row><row r="96"><cell r="C96" t="str"><v>43283FACEBOOK»USA-Trial-ITD-Trial Lookalike-AZR-AZR»1 x 1»SocialBan»LIA»ALL»CPA»LAL»X»NA»SS»NA»FreeAcctDeveloperFB-AnimatedOpenSource-Ch2»PRC1M6</v></cell><cell r="D96" t="str"><v>43283223935628</v></cell><cell r="E96" t="str"><v>43283103048329PRC1M6</v></cell><cell r="F96" t="str"><v>DCM</v></cell><cell r="G96" t="str"><v>https://azure.microsoft.com/en-us/free/open-source/search/?OCID=AID%eexcid!_OLA_%ebuy!_%epid!_%ecid!</v></cell></row><row r="96"><cell r="K96" t="str"><v>July</v></cell><cell r="L96"><v>43288</v></cell><cell r="M96" t="str"><v>Tier 0</v></cell><cell r="N96" t="str"><v>North America</v></cell><cell r="O96" t="str"><v>United States</v></cell><cell r="P96" t="str"><v>Trial</v></cell><cell r="Q96" t="str"><v>Social</v></cell><cell r="R96" t="str"><v>Azure</v></cell><cell r="S96" t="str"><v>Apps & Infra</v></cell><cell r="T96" t="str"><v>Developers & ITI's</v></cell><cell r="U96" t="str"><v>USA-Trial-ITD-Trial Lookalike-AZR-AZR</v></cell><cell r="V96" t="str"><v>Lookalike Targeting</v></cell><cell r="W96" t="str"><v>Link Ad</v></cell><cell r="X96" t="str"><v>1x1</v></cell></row><row r="96"><cell r="AA96"><v>43283</v></cell><cell r="AB96" t="str"><v>USA_gaPMG_AZR_AZR_Q1_19_Direct-Social</v></cell><cell r="AC96"><v>21358715</v></cell><cell r="AD96"><v>720197</v></cell><cell r="AE96" t="str"><v>Facebook</v></cell><cell r="AF96"><v>3654128</v></cell><cell r="AG96" t="str"><v>FACEBOOK»USA-Trial-ITD-Trial Lookalike-AZR-AZR»1 x 1»SocialBan»LIA»ALL»CPA»LAL»X»NA»SS»NA»FreeAcctDeveloperFB-AnimatedOpenSource-Ch2»PRC1M6</v></cell><cell r="AH96"><v>223935628</v></cell><cell r="AI96" t="str"><v>AZR_FreeAcctDeveloperFB-AnimatedOpenSource-Ch2_USA_1200x1200_CAN_Direct_English_Trial_Standard_ANI_LEA_T2_1</v></cell><cell r="AJ96"><v>103048329</v></cell></row><row r="97"><cell r="C97" t="str"><v>43283FACEBOOK»USA-Trial-ITD-Trial Lookalike-AZR-AZR»1 x 1»SocialBan»LIA»ALL»CPA»LAL»X»NA»SS»NA»FreeAcctITProFB-AnimatedMigration-Ch3»PRC23N</v></cell><cell r="D97" t="str"><v>43283223935637</v></cell><cell r="E97" t="str"><v>43283103176827PRC23N</v></cell><cell r="F97" t="str"><v>DCM</v></cell></row><row r="97"><cell r="K97" t="str"><v>July</v></cell><cell r="L97"><v>43288</v></cell><cell r="M97" t="str"><v>Tier 0</v></cell><cell r="N97" t="str"><v>North America</v></cell><cell r="O97" t="str"><v>United States</v></cell><cell r="P97" t="str"><v>Trial</v></cell><cell r="Q97" t="str"><v>Social</v></cell><cell r="R97" t="str"><v>Azure</v></cell><cell r="S97" t="str"><v>Apps & Infra</v></cell><cell r="T97" t="str"><v>Developers & ITI's</v></cell><cell r="U97" t="str"><v>USA-Trial-ITD-Trial Lookalike-AZR-AZR</v></cell><cell r="V97" t="str"><v>Lookalike Targeting</v></cell><cell r="W97" t="str"><v>Link Ad</v></cell><cell r="X97" t="str"><v>1x1</v></cell></row><row r="97"><cell r="AA97"><v>43283</v></cell><cell r="AB97" t="str"><v>USA_gaPMG_AZR_AZR_Q1_19_Direct-Social</v></cell><cell r="AC97"><v>21358715</v></cell><cell r="AD97"><v>720197</v></cell><cell r="AE97" t="str"><v>Facebook</v></cell><cell r="AF97"><v>3654128</v></cell><cell r="AG97" t="str"><v>FACEBOOK»USA-Trial-ITD-Trial Lookalike-AZR-AZR»1 x 1»SocialBan»LIA»ALL»CPA»LAL»X»NA»SS»NA»FreeAcctITProFB-AnimatedMigration-Ch3»PRC23N</v></cell><cell r="AH97"><v>223935637</v></cell><cell r="AI97" t="str"><v>AZR_FreeAcctITProFB-AnimatedMigration-Ch3_USA_1200x1200_CAN_Direct_English_Trial_Standard_ANI_LEA_T3_1</v></cell><cell r="AJ97"><v>103176827</v></cell></row><row r="98"><cell r="C98" t="str"><v>43283FACEBOOK»USA-Trial-ITD-Trial Lookalike-AZR-AZR»1 x 1»SocialBan»LIA»ALL»CPA»LAL»X»NA»SS»NA»FreeAcctITProFB-AnimatedSecureMngd-Ch1»PRC1M9</v></cell><cell r="D98" t="str"><v>43283224104959</v></cell><cell r="E98" t="str"><v>43283103176830PRC1M9</v></cell><cell r="F98" t="str"><v>DCM</v></cell></row><row r="98"><cell r="K98" t="str"><v>July</v></cell><cell r="L98"><v>43288</v></cell><cell r="M98" t="str"><v>Tier 0</v></cell><cell r="N98" t="str"><v>North America</v></cell><cell r="O98" t="str"><v>United States</v></cell><cell r="P98" t="str"><v>Trial</v></cell><cell r="Q98" t="str"><v>Social</v></cell><cell r="R98" t="str"><v>Azure</v></cell><cell r="S98" t="str"><v>Apps & Infra</v></cell><cell r="T98" t="str"><v>Developers & ITI's</v></cell><cell r="U98" t="str"><v>USA-Trial-ITD-Trial Lookalike-AZR-AZR</v></cell><cell r="V98" t="str"><v>Lookalike Targeting</v></cell><cell r="W98" t="str"><v>Link Ad</v></cell><cell r="X98" t="str"><v>1x1</v></cell></row><row r="98"><cell r="AA98"><v>43283</v></cell><cell r="AB98" t="str"><v>USA_gaPMG_AZR_AZR_Q1_19_Direct-Social</v></cell><cell r="AC98"><v>21358715</v></cell><cell r="AD98"><v>720197</v></cell><cell r="AE98" t="str"><v>Facebook</v></cell><cell r="AF98"><v>3654128</v></cell><cell r="AG98" t="str"><v>FACEBOOK»USA-Trial-ITD-Trial Lookalike-AZR-AZR»1 x 1»SocialBan»LIA»ALL»CPA»LAL»X»NA»SS»NA»FreeAcctITProFB-AnimatedSecureMngd-Ch1»PRC1M9</v></cell><cell r="AH98"><v>224104959</v></cell><cell r="AI98" t="str"><v>AZR_FreeAcctITProFB-AnimatedSecureMngd-Ch1_USA_1200x1200_CAN_Direct_English_Trial_Standard_ANI_LEA_T1_1</v></cell><cell r="AJ98"><v>103176830</v></cell></row><row r="99"><cell r="C99" t="str"><v>43283FACEBOOK»USA-Trial-ITD-Trial PayGo Lookalike-AZR-AZR»1 x 1»SocialBan»CAN»ALL»CPA»LAL»X»NA»SS»NA»FBCTCBasicMotion»PRC1Q0</v></cell><cell r="D99" t="str"><v>43283223935664</v></cell><cell r="E99" t="str"><v>43283103043823PRC1Q0</v></cell><cell r="F99" t="str"><v>DCM</v></cell><cell r="G99" t="str"><v>https://signup.azure.com/?OCID=AID%eexcid!_OLA_%ebuy!_%epid!_%ecid!</v></cell></row><row r="99"><cell r="K99" t="str"><v>July</v></cell><cell r="L99"><v>43288</v></cell><cell r="M99" t="str"><v>Tier 0</v></cell><cell r="N99" t="str"><v>North America</v></cell><cell r="O99" t="str"><v>United States</v></cell><cell r="P99" t="str"><v>Trial</v></cell><cell r="Q99" t="str"><v>Social</v></cell><cell r="R99" t="str"><v>Azure</v></cell><cell r="S99" t="str"><v>Apps & Infra</v></cell><cell r="T99" t="str"><v>Developers & ITI's</v></cell><cell r="U99" t="str"><v>USA-Trial-ITD-Trial PayGo Lookalike-AZR-AZR</v></cell><cell r="V99" t="str"><v>Lookalike Targeting</v></cell><cell r="W99" t="str"><v>Canvas Ad</v></cell><cell r="X99" t="str"><v>1x1</v></cell></row><row r="99"><cell r="AA99"><v>43283</v></cell><cell r="AB99" t="str"><v>USA_gaPMG_AZR_AZR_Q1_19_Direct-Social</v></cell><cell r="AC99"><v>21358715</v></cell><cell r="AD99"><v>720197</v></cell><cell r="AE99" t="str"><v>Facebook</v></cell><cell r="AF99"><v>3654128</v></cell><cell r="AG99" t="str"><v>FACEBOOK»USA-Trial-ITD-Trial PayGo Lookalike-AZR-AZR»1 x 1»SocialBan»CAN»ALL»CPA»LAL»X»NA»SS»NA»FBCTCBasicMotion»PRC1Q0</v></cell><cell r="AH99"><v>223935664</v></cell><cell r="AI99" t="str"><v>AzurePlatform_FBCTCBasicMotion_USA_10s_CAN_PLATFORM_English_Trial_Standard_STAN_TIN_T1_1</v></cell><cell r="AJ99"><v>103043823</v></cell></row><row r="100"><cell r="C100" t="str"><v>43283FACEBOOK»USA-Trial-ITD-Trial PayGo Lookalike-AZR-AZR»1 x 1»SocialBan»CAN»ALL»CPA»LAL»X»NA»SS»NA»FBCTCBasicMotion»PRC1Q0</v></cell><cell r="D100" t="str"><v>43283223935664</v></cell><cell r="E100" t="str"><v>43283103175984PRC1Q0</v></cell><cell r="F100" t="str"><v>DCM</v></cell><cell r="G100" t="str"><v>https://azure.microsoft.com/en-us/pricing/purchase-options/?v=18.19&OCID=AID%eexcid!_OLA_%ebuy!_%epid!_%ecid!</v></cell></row><row r="100"><cell r="K100" t="str"><v>July</v></cell><cell r="L100"><v>43288</v></cell><cell r="M100" t="str"><v>Tier 0</v></cell><cell r="N100" t="str"><v>North America</v></cell><cell r="O100" t="str"><v>United States</v></cell><cell r="P100" t="str"><v>Trial</v></cell><cell r="Q100" t="str"><v>Social</v></cell><cell r="R100" t="str"><v>Azure</v></cell><cell r="S100" t="str"><v>Apps & Infra</v></cell><cell r="T100" t="str"><v>Developers & ITI's</v></cell><cell r="U100" t="str"><v>USA-Trial-ITD-Trial PayGo Lookalike-AZR-AZR</v></cell><cell r="V100" t="str"><v>Lookalike Targeting</v></cell><cell r="W100" t="str"><v>Canvas Ad</v></cell><cell r="X100" t="str"><v>1x1</v></cell></row><row r="100"><cell r="AA100"><v>43283</v></cell><cell r="AB100" t="str"><v>USA_gaPMG_AZR_AZR_Q1_19_Direct-Social</v></cell><cell r="AC100"><v>21358715</v></cell><cell r="AD100"><v>720197</v></cell><cell r="AE100" t="str"><v>Facebook</v></cell><cell r="AF100"><v>3654128</v></cell><cell r="AG100" t="str"><v>FACEBOOK»USA-Trial-ITD-Trial PayGo Lookalike-AZR-AZR»1 x 1»SocialBan»CAN»ALL»CPA»LAL»X»NA»SS»NA»FBCTCBasicMotion»PRC1Q0</v></cell><cell r="AH100"><v>223935664</v></cell><cell r="AI100" t="str"><v>AzurePlatform_FBCTCBasicMotion_USA_10s_CAN_PLATFORM_English_Trial_Standard_STAN_TIN_T1_2</v></cell><cell r="AJ100"><v>103175984</v></cell></row><row r="101"><cell r="C101" t="str"><v>43283FACEBOOK»USA-Trial-ITD-Trial PayGo Lookalike-AZR-AZR»1 x 1»SocialBan»LIA»ALL»CPA»LAL»X»NA»SS»NA»FreeAcctDeveloperFB-AnimatedAI-Ch3»PRC1Q8</v></cell><cell r="D101" t="str"><v>43283224104983</v></cell><cell r="E101" t="str"><v>43283103032778PRC1Q8</v></cell><cell r="F101" t="str"><v>DCM</v></cell></row><row r="101"><cell r="K101" t="str"><v>July</v></cell><cell r="L101"><v>43288</v></cell><cell r="M101" t="str"><v>Tier 0</v></cell><cell r="N101" t="str"><v>North America</v></cell><cell r="O101" t="str"><v>United States</v></cell><cell r="P101" t="str"><v>Trial</v></cell><cell r="Q101" t="str"><v>Social</v></cell><cell r="R101" t="str"><v>Azure</v></cell><cell r="S101" t="str"><v>Apps & Infra</v></cell><cell r="T101" t="str"><v>Developers & ITI's</v></cell><cell r="U101" t="str"><v>USA-Trial-ITD-Trial PayGo Lookalike-AZR-AZR</v></cell><cell r="V101" t="str"><v>Lookalike Targeting</v></cell><cell r="W101" t="str"><v>Link Ad</v></cell><cell r="X101" t="str"><v>1x1</v></cell></row><row r="101"><cell r="AA101"><v>43283</v></cell><cell r="AB101" t="str"><v>USA_gaPMG_AZR_AZR_Q1_19_Direct-Social</v></cell><cell r="AC101"><v>21358715</v></cell><cell r="AD101"><v>720197</v></cell><cell r="AE101" t="str"><v>Facebook</v></cell><cell r="AF101"><v>3654128</v></cell><cell r="AG101" t="str"><v>FACEBOOK»USA-Trial-ITD-Trial PayGo Lookalike-AZR-AZR»1 x 1»SocialBan»LIA»ALL»CPA»LAL»X»NA»SS»NA»FreeAcctDeveloperFB-AnimatedAI-Ch3»PRC1Q8</v></cell><cell r="AH101"><v>224104983</v></cell><cell r="AI101" t="str"><v>AZR_FreeAcctDeveloperFB-AnimatedAI-Ch3_USA_1200x1200_CAN_Direct_English_Trial_Standard_ANI_LEA_T3_1</v></cell><cell r="AJ101"><v>103032778</v></cell></row><row r="102"><cell r="C102" t="str"><v>43283FACEBOOK»USA-Trial-ITD-Trial PayGo Lookalike-AZR-AZR»1 x 1»SocialBan»LIA»ALL»CPA»LAL»X»NA»SS»NA»FreeAcctDeveloperFB-AnimatedData-Ch4»PRC1Q9</v></cell><cell r="D102" t="str"><v>43283224106990</v></cell><cell r="E102" t="str"><v>43283103037935PRC1Q9</v></cell><cell r="F102" t="str"><v>DCM</v></cell></row><row r="102"><cell r="K102" t="str"><v>July</v></cell><cell r="L102"><v>43288</v></cell><cell r="M102" t="str"><v>Tier 0</v></cell><cell r="N102" t="str"><v>North America</v></cell><cell r="O102" t="str"><v>United States</v></cell><cell r="P102" t="str"><v>Trial</v></cell><cell r="Q102" t="str"><v>Social</v></cell><cell r="R102" t="str"><v>Azure</v></cell><cell r="S102" t="str"><v>Apps & Infra</v></cell><cell r="T102" t="str"><v>Developers & ITI's</v></cell><cell r="U102" t="str"><v>USA-Trial-ITD-Trial PayGo Lookalike-AZR-AZR</v></cell><cell r="V102" t="str"><v>Lookalike Targeting</v></cell><cell r="W102" t="str"><v>Link Ad</v></cell><cell r="X102" t="str"><v>1x1</v></cell></row><row r="102"><cell r="AA102"><v>43283</v></cell><cell r="AB102" t="str"><v>USA_gaPMG_AZR_AZR_Q1_19_Direct-Social</v></cell><cell r="AC102"><v>21358715</v></cell><cell r="AD102"><v>720197</v></cell><cell r="AE102" t="str"><v>Facebook</v></cell><cell r="AF102"><v>3654128</v></cell><cell r="AG102" t="str"><v>FACEBOOK»USA-Trial-ITD-Trial PayGo Lookalike-AZR-AZR»1 x 1»SocialBan»LIA»ALL»CPA»LAL»X»NA»SS»NA»FreeAcctDeveloperFB-AnimatedData-Ch4»PRC1Q9</v></cell><cell r="AH102"><v>224106990</v></cell><cell r="AI102" t="str"><v>AZR_FreeAcctDeveloperFB-AnimatedData-Ch4_USA_1200x1200_CAN_Direct_English_Trial_Standard_ANI_LEA_T4_2</v></cell><cell r="AJ102"><v>103037935</v></cell></row><row r="103"><cell r="C103" t="str"><v>43283FACEBOOK»USA-Trial-ITD-Trial PayGo Lookalike-AZR-AZR»1 x 1»SocialBan»LIA»ALL»CPA»LAL»X»NA»SS»NA»FreeAcctDeveloperFB-AnimatedGeneric-Ch1»PRC1Q5</v></cell><cell r="D103" t="str"><v>43283224104092</v></cell><cell r="E103" t="str"><v>43283103176851PRC1Q5</v></cell><cell r="F103" t="str"><v>DCM</v></cell><cell r="G103" t="str"><v>https://azure.microsoft.com/en-us/free/search/?OCID=AID%eexcid!_OLA_%ebuy!_%epid!_%ecid!</v></cell></row><row r="103"><cell r="K103" t="str"><v>July</v></cell><cell r="L103"><v>43288</v></cell><cell r="M103" t="str"><v>Tier 0</v></cell><cell r="N103" t="str"><v>North America</v></cell><cell r="O103" t="str"><v>United States</v></cell><cell r="P103" t="str"><v>Trial</v></cell><cell r="Q103" t="str"><v>Social</v></cell><cell r="R103" t="str"><v>Azure</v></cell><cell r="S103" t="str"><v>Apps & Infra</v></cell><cell r="T103" t="str"><v>Developers & ITI's</v></cell><cell r="U103" t="str"><v>USA-Trial-ITD-Trial PayGo Lookalike-AZR-AZR</v></cell><cell r="V103" t="str"><v>Lookalike Targeting</v></cell><cell r="W103" t="str"><v>Link Ad</v></cell><cell r="X103" t="str"><v>1x1</v></cell></row><row r="103"><cell r="AA103"><v>43283</v></cell><cell r="AB103" t="str"><v>USA_gaPMG_AZR_AZR_Q1_19_Direct-Social</v></cell><cell r="AC103"><v>21358715</v></cell><cell r="AD103"><v>720197</v></cell><cell r="AE103" t="str"><v>Facebook</v></cell><cell r="AF103"><v>3654128</v></cell><cell r="AG103" t="str"><v>FACEBOOK»USA-Trial-ITD-Trial PayGo Lookalike-AZR-AZR»1 x 1»SocialBan»LIA»ALL»CPA»LAL»X»NA»SS»NA»FreeAcctDeveloperFB-AnimatedGeneric-Ch1»PRC1Q5</v></cell><cell r="AH103"><v>224104092</v></cell><cell r="AI103" t="str"><v>AZR_FreeAcctDeveloperFB-AnimatedGeneric-Ch1_USA_1200x1200_CAN_Direct_English_Trial_Standard_ANI_LEA_T1_2</v></cell><cell r="AJ103"><v>103176851</v></cell></row><row r="104"><cell r="C104" t="str"><v>43283FACEBOOK»USA-Trial-ITD-Trial PayGo Lookalike-AZR-AZR»1 x 1»SocialBan»LIA»ALL»CPA»LAL»X»NA»SS»NA»FreeAcctDeveloperFB-AnimatedOpenSource-Ch2»PRC1Q7</v></cell><cell r="D104" t="str"><v>43283223862951</v></cell><cell r="E104" t="str"><v>43283103048329PRC1Q7</v></cell><cell r="F104" t="str"><v>DCM</v></cell><cell r="G104" t="str"><v>https://azure.microsoft.com/en-us/free/open-source/search/?OCID=AID%eexcid!_OLA_%ebuy!_%epid!_%ecid!</v></cell></row><row r="104"><cell r="K104" t="str"><v>July</v></cell><cell r="L104"><v>43288</v></cell><cell r="M104" t="str"><v>Tier 0</v></cell><cell r="N104" t="str"><v>North America</v></cell><cell r="O104" t="str"><v>United States</v></cell><cell r="P104" t="str"><v>Trial</v></cell><cell r="Q104" t="str"><v>Social</v></cell><cell r="R104" t="str"><v>Azure</v></cell><cell r="S104" t="str"><v>Apps & Infra</v></cell><cell r="T104" t="str"><v>Developers & ITI's</v></cell><cell r="U104" t="str"><v>USA-Trial-ITD-Trial PayGo Lookalike-AZR-AZR</v></cell><cell r="V104" t="str"><v>Lookalike Targeting</v></cell><cell r="W104" t="str"><v>Link Ad</v></cell><cell r="X104" t="str"><v>1x1</v></cell></row><row r="104"><cell r="AA104"><v>43283</v></cell><cell r="AB104" t="str"><v>USA_gaPMG_AZR_AZR_Q1_19_Direct-Social</v></cell><cell r="AC104"><v>21358715</v></cell><cell r="AD104"><v>720197</v></cell><cell r="AE104" t="str"><v>Facebook</v></cell><cell r="AF104"><v>3654128</v></cell><cell r="AG104" t="str"><v>FACEBOOK»USA-Trial-ITD-Trial PayGo Lookalike-AZR-AZR»1 x 1»SocialBan»LIA»ALL»CPA»LAL»X»NA»SS»NA»FreeAcctDeveloperFB-AnimatedOpenSource-Ch2»PRC1Q7</v></cell><cell r="AH104"><v>223862951</v></cell><cell r="AI104" t="str"><v>AZR_FreeAcctDeveloperFB-AnimatedOpenSource-Ch2_USA_1200x1200_CAN_Direct_English_Trial_Standard_ANI_LEA_T2_1</v></cell><cell r="AJ104"><v>103048329</v></cell></row><row r="105"><cell r="C105" t="str"><v>43283FACEBOOK»USA-Trial-ITD-Trial PayGo Lookalike-AZR-AZR»1 x 1»SocialBan»LIA»ALL»CPA»LAL»X»NA»SS»NA»FreeAcctITProFB-AnimatedHybrid-Ch2»PRC1QC</v></cell><cell r="D105" t="str"><v>43283223933186</v></cell><cell r="E105" t="str"><v>43283103180583PRC1QC</v></cell><cell r="F105" t="str"><v>DCM</v></cell></row><row r="105"><cell r="K105" t="str"><v>July</v></cell><cell r="L105"><v>43288</v></cell><cell r="M105" t="str"><v>Tier 0</v></cell><cell r="N105" t="str"><v>North America</v></cell><cell r="O105" t="str"><v>United States</v></cell><cell r="P105" t="str"><v>Trial</v></cell><cell r="Q105" t="str"><v>Social</v></cell><cell r="R105" t="str"><v>Azure</v></cell><cell r="S105" t="str"><v>Apps & Infra</v></cell><cell r="T105" t="str"><v>Developers & ITI's</v></cell><cell r="U105" t="str"><v>USA-Trial-ITD-Trial PayGo Lookalike-AZR-AZR</v></cell><cell r="V105" t="str"><v>Lookalike Targeting</v></cell><cell r="W105" t="str"><v>Link Ad</v></cell><cell r="X105" t="str"><v>1x1</v></cell></row><row r="105"><cell r="AA105"><v>43283</v></cell><cell r="AB105" t="str"><v>USA_gaPMG_AZR_AZR_Q1_19_Direct-Social</v></cell><cell r="AC105"><v>21358715</v></cell><cell r="AD105"><v>720197</v></cell><cell r="AE105" t="str"><v>Facebook</v></cell><cell r="AF105"><v>3654128</v></cell><cell r="AG105" t="str"><v>FACEBOOK»USA-Trial-ITD-Trial PayGo Lookalike-AZR-AZR»1 x 1»SocialBan»LIA»ALL»CPA»LAL»X»NA»SS»NA»FreeAcctITProFB-AnimatedHybrid-Ch2»PRC1QC</v></cell><cell r="AH105"><v>223933186</v></cell><cell r="AI105" t="str"><v>AZR_FreeAcctITProFB-AnimatedHybrid-Ch2_USA_1200x1200_CAN_Direct_English_Trial_Standard_ANI_LEA_T2_2</v></cell><cell r="AJ105"><v>103180583</v></cell></row><row r="106"><cell r="C106" t="str"><v>43283FACEBOOK»USA-Trial-ITD-Trial PayGo Lookalike-AZR-AZR»1 x 1»SocialBan»LIA»ALL»CPA»LAL»X»NA»SS»NA»FreeAcctITProFB-AnimatedMigration-Ch3»PRC23Y</v></cell><cell r="D106" t="str"><v>43283224105904</v></cell><cell r="E106" t="str"><v>43283103176827PRC23Y</v></cell><cell r="F106" t="str"><v>DCM</v></cell></row><row r="106"><cell r="K106" t="str"><v>July</v></cell><cell r="L106"><v>43288</v></cell><cell r="M106" t="str"><v>Tier 0</v></cell><cell r="N106" t="str"><v>North America</v></cell><cell r="O106" t="str"><v>United States</v></cell><cell r="P106" t="str"><v>Trial</v></cell><cell r="Q106" t="str"><v>Social</v></cell><cell r="R106" t="str"><v>Azure</v></cell><cell r="S106" t="str"><v>Apps & Infra</v></cell><cell r="T106" t="str"><v>Developers & ITI's</v></cell><cell r="U106" t="str"><v>USA-Trial-ITD-Trial PayGo Lookalike-AZR-AZR</v></cell><cell r="V106" t="str"><v>Lookalike Targeting</v></cell><cell r="W106" t="str"><v>Link Ad</v></cell><cell r="X106" t="str"><v>1x1</v></cell></row><row r="106"><cell r="AA106"><v>43283</v></cell><cell r="AB106" t="str"><v>USA_gaPMG_AZR_AZR_Q1_19_Direct-Social</v></cell><cell r="AC106"><v>21358715</v></cell><cell r="AD106"><v>720197</v></cell><cell r="AE106" t="str"><v>Facebook</v></cell><cell r="AF106"><v>3654128</v></cell><cell r="AG106" t="str"><v>FACEBOOK»USA-Trial-ITD-Trial PayGo Lookalike-AZR-AZR»1 x 1»SocialBan»LIA»ALL»CPA»LAL»X»NA»SS»NA»FreeAcctITProFB-AnimatedMigration-Ch3»PRC23Y</v></cell><cell r="AH106"><v>224105904</v></cell><cell r="AI106" t="str"><v>AZR_FreeAcctITProFB-AnimatedMigration-Ch3_USA_1200x1200_CAN_Direct_English_Trial_Standard_ANI_LEA_T3_1</v></cell><cell r="AJ106"><v>103176827</v></cell></row><row r="107"><cell r="C107" t="str"><v>43283FACEBOOK»USA-Trial-ITD-Trial PayGo Lookalike-AZR-AZR»1 x 1»SocialBan»LIA»ALL»CPA»LAL»X»NA»SS»NA»FreeAcctITProFB-AnimatedSecureMngd-Ch1»PRC1QB</v></cell><cell r="D107" t="str"><v>43283223862945</v></cell><cell r="E107" t="str"><v>43283103176830PRC1QB</v></cell><cell r="F107" t="str"><v>DCM</v></cell></row><row r="107"><cell r="K107" t="str"><v>July</v></cell><cell r="L107"><v>43288</v></cell><cell r="M107" t="str"><v>Tier 0</v></cell><cell r="N107" t="str"><v>North America</v></cell><cell r="O107" t="str"><v>United States</v></cell><cell r="P107" t="str"><v>Trial</v></cell><cell r="Q107" t="str"><v>Social</v></cell><cell r="R107" t="str"><v>Azure</v></cell><cell r="S107" t="str"><v>Apps & Infra</v></cell><cell r="T107" t="str"><v>Developers & ITI's</v></cell><cell r="U107" t="str"><v>USA-Trial-ITD-Trial PayGo Lookalike-AZR-AZR</v></cell><cell r="V107" t="str"><v>Lookalike Targeting</v></cell><cell r="W107" t="str"><v>Link Ad</v></cell><cell r="X107" t="str"><v>1x1</v></cell></row><row r="107"><cell r="AA107"><v>43283</v></cell><cell r="AB107" t="str"><v>USA_gaPMG_AZR_AZR_Q1_19_Direct-Social</v></cell><cell r="AC107"><v>21358715</v></cell><cell r="AD107"><v>720197</v></cell><cell r="AE107" t="str"><v>Facebook</v></cell><cell r="AF107"><v>3654128</v></cell><cell r="AG107" t="str"><v>FACEBOOK»USA-Trial-ITD-Trial PayGo Lookalike-AZR-AZR»1 x 1»SocialBan»LIA»ALL»CPA»LAL»X»NA»SS»NA»FreeAcctITProFB-AnimatedSecureMngd-Ch1»PRC1QB</v></cell><cell r="AH107"><v>223862945</v></cell><cell r="AI107" t="str"><v>AZR_FreeAcctITProFB-AnimatedSecureMngd-Ch1_USA_1200x1200_CAN_Direct_English_Trial_Standard_ANI_LEA_T1_1</v></cell><cell r="AJ107"><v>103176830</v></cell></row><row r="108"><cell r="C108" t="str"><v>43283INSTAGRAM»USA-Trial-ITD-Interest Prospecting-AZR-AZR»1 x 1»SocialBan»CAN»ALL»CPA»PRO»X»NA»SS»NA»IGCTCBenefit2inMotion»PRC2PD</v></cell><cell r="D108" t="str"><v>43283223933084</v></cell><cell r="E108" t="str"><v>43283103180628PRC2PD</v></cell><cell r="F108" t="str"><v>DCM</v></cell><cell r="G108" t="str"><v>https://signup.azure.com/?OCID=AID%eexcid!_OLA_%ebuy!_%epid!_%ecid!</v></cell></row><row r="108"><cell r="K108" t="str"><v>July</v></cell><cell r="L108"><v>43288</v></cell><cell r="M108" t="str"><v>Tier 0</v></cell><cell r="N108" t="str"><v>North America</v></cell><cell r="O108" t="str"><v>United States</v></cell><cell r="P108" t="str"><v>Trial</v></cell><cell r="Q108" t="str"><v>Social</v></cell><cell r="R108" t="str"><v>Azure</v></cell><cell r="S108" t="str"><v>Apps & Infra</v></cell><cell r="T108" t="str"><v>Developers & ITI's</v></cell><cell r="U108" t="str"><v>USA-Trial-ITD-Interest Prospecting-AZR-AZR</v></cell><cell r="V108" t="str"><v>Prospecting</v></cell><cell r="W108" t="str"><v>Canvas Ad</v></cell><cell r="X108" t="str"><v>1x1</v></cell></row><row r="108"><cell r="AA108"><v>43283</v></cell><cell r="AB108" t="str"><v>USA_gaPMG_AZR_AZR_Q1_19_Direct-Social</v></cell><cell r="AC108"><v>21358715</v></cell><cell r="AD108"><v>720197</v></cell><cell r="AE108" t="str"><v>Facebook - Instagram</v></cell><cell r="AF108"><v>3654128</v></cell><cell r="AG108" t="str"><v>INSTAGRAM»USA-Trial-ITD-Interest Prospecting-AZR-AZR»1 x 1»SocialBan»CAN»ALL»CPA»PRO»X»NA»SS»NA»IGCTCBenefit2inMotion»PRC2PD</v></cell><cell r="AH108"><v>223933084</v></cell><cell r="AI108" t="str"><v>AzurePlatform_IGCTCBrandinMotion_USA_10s_CAN_PLATFORM_English_Trial_Standard_STAN_TIN_T2_1</v></cell><cell r="AJ108"><v>103180628</v></cell></row><row r="109"><cell r="C109" t="str"><v>43283INSTAGRAM»USA-Trial-ITD-Retargeting-AZR-AZR»1 x 1»SocialBan»CAN»ALL»CPA»RT»X»NA»SS»NA»IGCTCBrandinMotion»PRC2G3</v></cell><cell r="D109" t="str"><v>43283224107014</v></cell><cell r="E109" t="str"><v>43283103178714PRC2G3</v></cell><cell r="F109" t="str"><v>DCM</v></cell><cell r="G109" t="str"><v>https://azure.microsoft.com/en-us/pricing/purchase-options/?v=18.19&OCID=AID%eexcid!_OLA_%ebuy!_%epid!_%ecid!</v></cell></row><row r="109"><cell r="K109" t="str"><v>July</v></cell><cell r="L109"><v>43288</v></cell><cell r="M109" t="str"><v>Tier 0</v></cell><cell r="N109" t="str"><v>North America</v></cell><cell r="O109" t="str"><v>United States</v></cell><cell r="P109" t="str"><v>Trial</v></cell><cell r="Q109" t="str"><v>Social</v></cell><cell r="R109" t="str"><v>Azure</v></cell><cell r="S109" t="str"><v>Apps & Infra</v></cell><cell r="T109" t="str"><v>Developers & ITI's</v></cell><cell r="U109" t="str"><v>USA-Trial-ITD-Retargeting-AZR-AZR</v></cell><cell r="V109" t="str"><v>Retargeting</v></cell><cell r="W109" t="str"><v>Canvas Ad</v></cell><cell r="X109" t="str"><v>1x1</v></cell></row><row r="109"><cell r="AA109"><v>43283</v></cell><cell r="AB109" t="str"><v>USA_gaPMG_AZR_AZR_Q1_19_Direct-Social</v></cell><cell r="AC109"><v>21358715</v></cell><cell r="AD109"><v>720197</v></cell><cell r="AE109" t="str"><v>Facebook - Instagram</v></cell><cell r="AF109"><v>3654128</v></cell><cell r="AG109" t="str"><v>INSTAGRAM»USA-Trial-ITD-Retargeting-AZR-AZR»1 x 1»SocialBan»CAN»ALL»CPA»RT»X»NA»SS»NA»IGCTCBrandinMotion»PRC2G3</v></cell><cell r="AH109"><v>224107014</v></cell><cell r="AI109" t="str"><v>AzurePlatform_IGCTCBenefit2inMotion_USA_10s_CAN_PLATFORM_English_Trial_Standard_STAN_TIN_T4_2</v></cell><cell r="AJ109"><v>103178714</v></cell></row><row r="110"><cell r="C110" t="str"><v>43283INSTAGRAM»USA-Trial-ITD-Trial Lookalike-AZR-AZR»1 x 1»SocialBan»CAN»ALL»CPA»LAL»X»NA»SS»NA»IGCTCBenefit2inMotion»PRC2FL</v></cell><cell r="D110" t="str"><v>43283223935022</v></cell><cell r="E110" t="str"><v>43283103050786PRC2FL</v></cell><cell r="F110" t="str"><v>DCM</v></cell><cell r="G110" t="str"><v>https://azure.microsoft.com/en-us/pricing/purchase-options/?v=18.19&OCID=AID%eexcid!_OLA_%ebuy!_%epid!_%ecid!</v></cell></row><row r="110"><cell r="K110" t="str"><v>July</v></cell><cell r="L110"><v>43288</v></cell><cell r="M110" t="str"><v>Tier 0</v></cell><cell r="N110" t="str"><v>North America</v></cell><cell r="O110" t="str"><v>United States</v></cell><cell r="P110" t="str"><v>Trial</v></cell><cell r="Q110" t="str"><v>Social</v></cell><cell r="R110" t="str"><v>Azure</v></cell><cell r="S110" t="str"><v>Apps & Infra</v></cell><cell r="T110" t="str"><v>Developers & ITI's</v></cell><cell r="U110" t="str"><v>USA-Trial-ITD-Trial Lookalike-AZR-AZR</v></cell><cell r="V110" t="str"><v>Lookalike Targeting</v></cell><cell r="W110" t="str"><v>Canvas Ad</v></cell><cell r="X110" t="str"><v>1x1</v></cell></row><row r="110"><cell r="AA110"><v>43283</v></cell><cell r="AB110" t="str"><v>USA_gaPMG_AZR_AZR_Q1_19_Direct-Social</v></cell><cell r="AC110"><v>21358715</v></cell><cell r="AD110"><v>720197</v></cell><cell r="AE110" t="str"><v>Facebook - Instagram</v></cell><cell r="AF110"><v>3654128</v></cell><cell r="AG110" t="str"><v>INSTAGRAM»USA-Trial-ITD-Trial Lookalike-AZR-AZR»1 x 1»SocialBan»CAN»ALL»CPA»LAL»X»NA»SS»NA»IGCTCBenefit2inMotion»PRC2FL</v></cell><cell r="AH110"><v>223935022</v></cell><cell r="AI110" t="str"><v>AzurePlatform_IGCTCBrandinMotion_USA_10s_CAN_PLATFORM_English_Trial_Standard_STAN_TIN_T2_2</v></cell><cell r="AJ110"><v>103050786</v></cell></row><row r="111"><cell r="C111" t="str"><v>43283INSTAGRAM»USA-Trial-ITD-Interest Prospecting-AZR-AZR»1 x 1»SocialBan»CAN»ALL»CPA»PRO»X»NA»SS»NA»IGCTCBasicMotion»PRC2PF</v></cell><cell r="D111" t="str"><v>43283224106621</v></cell><cell r="E111" t="str"><v>43283103037968PRC2PF</v></cell><cell r="F111" t="str"><v>DCM</v></cell><cell r="G111" t="str"><v>https://signup.azure.com/?OCID=AID%eexcid!_OLA_%ebuy!_%epid!_%ecid!</v></cell></row><row r="111"><cell r="K111" t="str"><v>July</v></cell><cell r="L111"><v>43288</v></cell><cell r="M111" t="str"><v>Tier 0</v></cell><cell r="N111" t="str"><v>North America</v></cell><cell r="O111" t="str"><v>United States</v></cell><cell r="P111" t="str"><v>Trial</v></cell><cell r="Q111" t="str"><v>Social</v></cell><cell r="R111" t="str"><v>Azure</v></cell><cell r="S111" t="str"><v>Apps & Infra</v></cell><cell r="T111" t="str"><v>Developers & ITI's</v></cell><cell r="U111" t="str"><v>USA-Trial-ITD-Interest Prospecting-AZR-AZR</v></cell><cell r="V111" t="str"><v>Prospecting</v></cell><cell r="W111" t="str"><v>Canvas Ad</v></cell><cell r="X111" t="str"><v>1x1</v></cell></row><row r="111"><cell r="AA111"><v>43283</v></cell><cell r="AB111" t="str"><v>USA_gaPMG_AZR_AZR_Q1_19_Direct-Social</v></cell><cell r="AC111"><v>21358715</v></cell><cell r="AD111"><v>720197</v></cell><cell r="AE111" t="str"><v>Facebook - Instagram</v></cell><cell r="AF111"><v>3654128</v></cell><cell r="AG111" t="str"><v>INSTAGRAM»USA-Trial-ITD-Interest Prospecting-AZR-AZR»1 x 1»SocialBan»CAN»ALL»CPA»PRO»X»NA»SS»NA»IGCTCBasicMotion»PRC2PF</v></cell><cell r="AH111"><v>224106621</v></cell><cell r="AI111" t="str"><v>AzurePlatform_IGCTCBasicMotion_USA_10s_CAN_PLATFORM_English_Trial_Standard_STAN_TIN_T1_1</v></cell><cell r="AJ111"><v>103037968</v></cell></row><row r="112"><cell r="C112" t="str"><v>43284Facebook»Audience & Interest Targeting»1x1»Canvas»OTH»DT»DYN»AUT»W»NA»SS»NA»FBCTCcanvaspage-StartFreeCTA_FBCTCcanvaspage-BuyNowCTA</v></cell><cell r="D112" t="str"><v>43284224639151</v></cell><cell r="E112" t="str"><v>43284103316832NowCTA</v></cell><cell r="F112" t="str"><v>DCM</v></cell><cell r="G112" t="str"><v>https://azure.microsoft.com/en-au/pricing/purchase-options/</v></cell></row><row r="112"><cell r="K112" t="str"><v>July</v></cell><cell r="L112"><v>43288</v></cell><cell r="M112" t="str"><v>Tier 1</v></cell><cell r="N112" t="str"><v>APAC</v></cell><cell r="O112" t="str"><v>Australia</v></cell><cell r="P112" t="str"><v>Trial</v></cell><cell r="Q112" t="str"><v>Social</v></cell><cell r="R112" t="str"><v>Azure</v></cell><cell r="S112" t="str"><v>Apps & Infra</v></cell><cell r="T112" t="str"><v>Developers & ITI's</v></cell><cell r="U112" t="str"><v>Audience & Interest Targeting</v></cell><cell r="V112" t="str"><v>Audience Targeting</v></cell><cell r="W112" t="str"><v>Other</v></cell><cell r="X112" t="str"><v>1x1</v></cell></row><row r="112"><cell r="AA112"><v>43284</v></cell><cell r="AB112" t="str"><v>AUS_gaPMG_AZR_AZR_Q1_19_Trial-Social</v></cell><cell r="AC112"><v>21358568</v></cell><cell r="AD112"><v>720191</v></cell><cell r="AE112" t="str"><v>Facebook</v></cell><cell r="AF112"><v>3654128</v></cell><cell r="AG112" t="str"><v>Facebook»Audience & Interest Targeting»1x1»Canvas»OTH»DT»DYN»AUT»W»NA»SS»NA»FBCTCcanvaspage-StartFreeCTA_FBCTCcanvaspage-BuyNowCTA</v></cell><cell r="AH112"><v>224639151</v></cell><cell r="AI112" t="str"><v>AzurePlatform_FBCTCcanvaspage-BuyNowCTA-Img3_AUS_1080x162_SOC_Plat_English_NA_Standard_NA_BN_T3_1</v></cell><cell r="AJ112"><v>103316832</v></cell></row><row r="113"><cell r="C113" t="str"><v>43284Facebook»Audience & Interest Targeting»1x1»Canvas»OTH»DT»DYN»AUT»W»NA»SS»NA»FBCTCcanvaspage-StartFreeCTA_FBCTCcanvaspage-BuyNowCTA</v></cell><cell r="D113" t="str"><v>43284224639151</v></cell><cell r="E113" t="str"><v>43284103316829NowCTA</v></cell><cell r="F113" t="str"><v>DCM</v></cell><cell r="G113" t="str"><v>https://signup.azure.com/signup?offer=ms-azr-0044p&appId=102&ref=paidmedia-social-fb&redirectURL=https%3a%2f%2fazure.microsoft.com%2fen-au%2fget-started%2fwelcome-to-azure%2f&l=en-au&correlationId=ead86c34-1f10-49dd-a72b-6918462a2cbf</v></cell></row><row r="113"><cell r="K113" t="str"><v>July</v></cell><cell r="L113"><v>43288</v></cell><cell r="M113" t="str"><v>Tier 1</v></cell><cell r="N113" t="str"><v>APAC</v></cell><cell r="O113" t="str"><v>Australia</v></cell><cell r="P113" t="str"><v>Trial</v></cell><cell r="Q113" t="str"><v>Social</v></cell><cell r="R113" t="str"><v>Azure</v></cell><cell r="S113" t="str"><v>Apps & Infra</v></cell><cell r="T113" t="str"><v>Developers & ITI's</v></cell><cell r="U113" t="str"><v>Audience & Interest Targeting</v></cell><cell r="V113" t="str"><v>Audience Targeting</v></cell><cell r="W113" t="str"><v>Other</v></cell><cell r="X113" t="str"><v>1x1</v></cell></row><row r="113"><cell r="AA113"><v>43284</v></cell><cell r="AB113" t="str"><v>AUS_gaPMG_AZR_AZR_Q1_19_Trial-Social</v></cell><cell r="AC113"><v>21358568</v></cell><cell r="AD113"><v>720191</v></cell><cell r="AE113" t="str"><v>Facebook</v></cell><cell r="AF113"><v>3654128</v></cell><cell r="AG113" t="str"><v>Facebook»Audience & Interest Targeting»1x1»Canvas»OTH»DT»DYN»AUT»W»NA»SS»NA»FBCTCcanvaspage-StartFreeCTA_FBCTCcanvaspage-BuyNowCTA</v></cell><cell r="AH113"><v>224639151</v></cell><cell r="AI113" t="str"><v>AzurePlatform_FBCTCcanvaspage-StartFreeCTA-Img2_AUS_1080x143 _SOC_Plat_English_NA_Standard_NA_NA_T2_1</v></cell><cell r="AJ113"><v>103316829</v></cell></row><row r="114"><cell r="C114" t="str"><v>43284Facebook»Audience & Interest Targeting»1x1»TextLink»OTH»DT»DYN»AUT»W»NA»SS»NA»Free Account Refresh- 12 months ChE</v></cell><cell r="D114" t="str"><v>43284224160783</v></cell><cell r="E114" t="str"><v>43284103051614hs ChE</v></cell><cell r="F114" t="str"><v>DCM</v></cell></row><row r="114"><cell r="K114" t="str"><v>July</v></cell><cell r="L114"><v>43288</v></cell><cell r="M114" t="str"><v>Tier 1</v></cell><cell r="N114" t="str"><v>APAC</v></cell><cell r="O114" t="str"><v>Australia</v></cell><cell r="P114" t="str"><v>Trial</v></cell><cell r="Q114" t="str"><v>Social</v></cell><cell r="R114" t="str"><v>Azure</v></cell><cell r="S114" t="str"><v>Apps & Infra</v></cell><cell r="T114" t="str"><v>Developers & ITI's</v></cell><cell r="U114" t="str"><v>Audience & Interest Targeting</v></cell><cell r="V114" t="str"><v>Audience Targeting</v></cell><cell r="W114" t="str"><v>Other</v></cell><cell r="X114" t="str"><v>1x1</v></cell></row><row r="114"><cell r="AA114"><v>43284</v></cell><cell r="AB114" t="str"><v>AUS_gaPMG_AZR_AZR_Q1_19_Trial-Social</v></cell><cell r="AC114"><v>21358568</v></cell><cell r="AD114"><v>720191</v></cell><cell r="AE114" t="str"><v>Facebook</v></cell><cell r="AF114"><v>3654128</v></cell><cell r="AG114" t="str"><v>Facebook»Audience & Interest Targeting»1x1»TextLink»OTH»DT»DYN»AUT»W»NA»SS»NA»Free Account Refresh- 12 months ChE</v></cell><cell r="AH114"><v>224160783</v></cell><cell r="AI114" t="str"><v>AzurePlatform_FreeAcctAppsFACEBOOK12monthsChE_AUS_1200x628_SOC_PLAT_EN_Trial_Standard_NA_SNU_T5_1</v></cell><cell r="AJ114"><v>103051614</v></cell></row><row r="115"><cell r="C115" t="str"><v>43284Facebook»Audience & Interest Targeting»1x1»TextLink»OTH»DT»DYN»AUT»W»NA»SS»NA»Free Account Refresh- 200 Credit ChD</v></cell><cell r="D115" t="str"><v>43284224160780</v></cell><cell r="E115" t="str"><v>43284103186904it ChD</v></cell><cell r="F115" t="str"><v>DCM</v></cell></row><row r="115"><cell r="K115" t="str"><v>July</v></cell><cell r="L115"><v>43288</v></cell><cell r="M115" t="str"><v>Tier 1</v></cell><cell r="N115" t="str"><v>APAC</v></cell><cell r="O115" t="str"><v>Australia</v></cell><cell r="P115" t="str"><v>Trial</v></cell><cell r="Q115" t="str"><v>Social</v></cell><cell r="R115" t="str"><v>Azure</v></cell><cell r="S115" t="str"><v>Apps & Infra</v></cell><cell r="T115" t="str"><v>Developers & ITI's</v></cell><cell r="U115" t="str"><v>Audience & Interest Targeting</v></cell><cell r="V115" t="str"><v>Audience Targeting</v></cell><cell r="W115" t="str"><v>Other</v></cell><cell r="X115" t="str"><v>1x1</v></cell></row><row r="115"><cell r="AA115"><v>43284</v></cell><cell r="AB115" t="str"><v>AUS_gaPMG_AZR_AZR_Q1_19_Trial-Social</v></cell><cell r="AC115"><v>21358568</v></cell><cell r="AD115"><v>720191</v></cell><cell r="AE115" t="str"><v>Facebook</v></cell><cell r="AF115"><v>3654128</v></cell><cell r="AG115" t="str"><v>Facebook»Audience & Interest Targeting»1x1»TextLink»OTH»DT»DYN»AUT»W»NA»SS»NA»Free Account Refresh- 200 Credit ChD</v></cell><cell r="AH115"><v>224160780</v></cell><cell r="AI115" t="str"><v>AzurePlatform_FreeAcctAppsFACEBOOK200CreditChD_AUS_1200x628_SOC_PLAT_EN_Trial_Standard_NA_SNU_T4_1</v></cell><cell r="AJ115"><v>103186904</v></cell></row><row r="116"><cell r="C116" t="str"><v>43284Facebook»Audience & Interest Targeting»1x1»TextLink»OTH»DT»DYN»AUT»W»NA»SS»NA»Free Account Refresh- Device ChB</v></cell><cell r="D116" t="str"><v>43284224160777</v></cell><cell r="E116" t="str"><v>43284103048479ce ChB</v></cell><cell r="F116" t="str"><v>DCM</v></cell></row><row r="116"><cell r="K116" t="str"><v>July</v></cell><cell r="L116"><v>43288</v></cell><cell r="M116" t="str"><v>Tier 1</v></cell><cell r="N116" t="str"><v>APAC</v></cell><cell r="O116" t="str"><v>Australia</v></cell><cell r="P116" t="str"><v>Trial</v></cell><cell r="Q116" t="str"><v>Social</v></cell><cell r="R116" t="str"><v>Azure</v></cell><cell r="S116" t="str"><v>Apps & Infra</v></cell><cell r="T116" t="str"><v>Developers & ITI's</v></cell><cell r="U116" t="str"><v>Audience & Interest Targeting</v></cell><cell r="V116" t="str"><v>Audience Targeting</v></cell><cell r="W116" t="str"><v>Other</v></cell><cell r="X116" t="str"><v>1x1</v></cell></row><row r="116"><cell r="AA116"><v>43284</v></cell><cell r="AB116" t="str"><v>AUS_gaPMG_AZR_AZR_Q1_19_Trial-Social</v></cell><cell r="AC116"><v>21358568</v></cell><cell r="AD116"><v>720191</v></cell><cell r="AE116" t="str"><v>Facebook</v></cell><cell r="AF116"><v>3654128</v></cell><cell r="AG116" t="str"><v>Facebook»Audience & Interest Targeting»1x1»TextLink»OTH»DT»DYN»AUT»W»NA»SS»NA»Free Account Refresh- Device ChB</v></cell><cell r="AH116"><v>224160777</v></cell><cell r="AI116" t="str"><v>AzurePlatform_FreeAcctAppsFACEBOOKDeviceChB_AUS_1200x628_SOC_PLAT_EN_Trial_Standard_NA_SNU_T2_1</v></cell><cell r="AJ116"><v>103048479</v></cell></row><row r="117"><cell r="C117" t="str"><v>43284Facebook»Audience & Interest Targeting»1x1»TextLink»OTH»DT»DYN»AUT»W»NA»SS»NA»Free Account Refresh- Illustration ChC</v></cell><cell r="D117" t="str"><v>43284224160774</v></cell><cell r="E117" t="str"><v>43284103186910on ChC</v></cell><cell r="F117" t="str"><v>DCM</v></cell></row><row r="117"><cell r="K117" t="str"><v>July</v></cell><cell r="L117"><v>43288</v></cell><cell r="M117" t="str"><v>Tier 1</v></cell><cell r="N117" t="str"><v>APAC</v></cell><cell r="O117" t="str"><v>Australia</v></cell><cell r="P117" t="str"><v>Trial</v></cell><cell r="Q117" t="str"><v>Social</v></cell><cell r="R117" t="str"><v>Azure</v></cell><cell r="S117" t="str"><v>Apps & Infra</v></cell><cell r="T117" t="str"><v>Developers & ITI's</v></cell><cell r="U117" t="str"><v>Audience & Interest Targeting</v></cell><cell r="V117" t="str"><v>Audience Targeting</v></cell><cell r="W117" t="str"><v>Other</v></cell><cell r="X117" t="str"><v>1x1</v></cell></row><row r="117"><cell r="AA117"><v>43284</v></cell><cell r="AB117" t="str"><v>AUS_gaPMG_AZR_AZR_Q1_19_Trial-Social</v></cell><cell r="AC117"><v>21358568</v></cell><cell r="AD117"><v>720191</v></cell><cell r="AE117" t="str"><v>Facebook</v></cell><cell r="AF117"><v>3654128</v></cell><cell r="AG117" t="str"><v>Facebook»Audience & Interest Targeting»1x1»TextLink»OTH»DT»DYN»AUT»W»NA»SS»NA»Free Account Refresh- Illustration ChC</v></cell><cell r="AH117"><v>224160774</v></cell><cell r="AI117" t="str"><v>AzurePlatform_FreeAcctAppsFACEBOOKIllustrationChC_AUS_1200x628_SOC_PLAT_EN_Trial_Standard_NA_SNU_T3_1</v></cell><cell r="AJ117"><v>103186910</v></cell></row><row r="118"><cell r="C118" t="str"><v>43284Facebook»Audience & Interest Targeting»1x1»TextLink»OTH»DT»DYN»AUT»W»NA»SS»NA»Free Account Refresh- Lifestyle ChA</v></cell><cell r="D118" t="str"><v>43284224160771</v></cell><cell r="E118" t="str"><v>43284103048488le ChA</v></cell><cell r="F118" t="str"><v>DCM</v></cell></row><row r="118"><cell r="K118" t="str"><v>July</v></cell><cell r="L118"><v>43288</v></cell><cell r="M118" t="str"><v>Tier 1</v></cell><cell r="N118" t="str"><v>APAC</v></cell><cell r="O118" t="str"><v>Australia</v></cell><cell r="P118" t="str"><v>Trial</v></cell><cell r="Q118" t="str"><v>Social</v></cell><cell r="R118" t="str"><v>Azure</v></cell><cell r="S118" t="str"><v>Apps & Infra</v></cell><cell r="T118" t="str"><v>Developers & ITI's</v></cell><cell r="U118" t="str"><v>Audience & Interest Targeting</v></cell><cell r="V118" t="str"><v>Audience Targeting</v></cell><cell r="W118" t="str"><v>Other</v></cell><cell r="X118" t="str"><v>1x1</v></cell></row><row r="118"><cell r="AA118"><v>43284</v></cell><cell r="AB118" t="str"><v>AUS_gaPMG_AZR_AZR_Q1_19_Trial-Social</v></cell><cell r="AC118"><v>21358568</v></cell><cell r="AD118"><v>720191</v></cell><cell r="AE118" t="str"><v>Facebook</v></cell><cell r="AF118"><v>3654128</v></cell><cell r="AG118" t="str"><v>Facebook»Audience & Interest Targeting»1x1»TextLink»OTH»DT»DYN»AUT»W»NA»SS»NA»Free Account Refresh- Lifestyle ChA</v></cell><cell r="AH118"><v>224160771</v></cell><cell r="AI118" t="str"><v>AzurePlatform_FreeAcctAppsFACEBOOKLifestyleChA_AUS_1200x628_SOC_PLAT_EN_Trial_Standard_NA_SNU_T1_1</v></cell><cell r="AJ118"><v>103048488</v></cell></row><row r="119"><cell r="C119" t="str"><v>43284Facebook»AZR»1x1»NA»EGV»ALL»DYN»AUT»D»All»SS»NA»Free Acc CTC - T1 - EN</v></cell><cell r="D119" t="str"><v>43284223684451</v></cell><cell r="E119" t="str"><v>432841029018821 - EN</v></cell><cell r="F119" t="str"><v>DCM</v></cell><cell r="G119" t="str"><v>https://signup.azure.com/</v></cell></row><row r="119"><cell r="K119" t="str"><v>July</v></cell><cell r="L119"><v>43288</v></cell><cell r="M119" t="str"><v>Tier 1</v></cell><cell r="N119" t="str"><v>North America</v></cell><cell r="O119" t="str"><v>Canada</v></cell><cell r="P119" t="str"><v>Trial</v></cell><cell r="Q119" t="str"><v>Social</v></cell><cell r="R119" t="str"><v>Azure</v></cell><cell r="S119" t="str"><v>Apps & Infra</v></cell><cell r="T119" t="str"><v>Developers & ITI's</v></cell><cell r="U119" t="str"><v>AZR</v></cell><cell r="V119" t="str"><v>Audience Targeting</v></cell><cell r="W119" t="str"><v>Engagement Video</v></cell><cell r="X119" t="str"><v>1x1</v></cell></row><row r="119"><cell r="AA119"><v>43284</v></cell><cell r="AB119" t="str"><v>CAN_gaPMG_AZR_AZR_Q1_19_Trial-Social</v></cell><cell r="AC119"><v>21337220</v></cell><cell r="AD119"><v>720192</v></cell><cell r="AE119" t="str"><v>Facebook</v></cell><cell r="AF119"><v>3654128</v></cell><cell r="AG119" t="str"><v>Facebook»AZR»1x1»NA»EGV»ALL»DYN»AUT»D»All»SS»NA»Free Acc CTC - T1 - EN</v></cell><cell r="AH119"><v>223684451</v></cell><cell r="AI119" t="str"><v>AzurePlatform_FBCTCBasicMotion_CAN_10s_ISV_PLAT_English_Trial_Standard_STAN_TN_T1_1</v></cell><cell r="AJ119"><v>102901882</v></cell></row><row r="120"><cell r="C120" t="str"><v>43284Facebook»AZR»1x1»NA»EGV»ALL»DYN»AUT»D»All»SS»NA»Free Acc CTC - T2 - EN</v></cell><cell r="D120" t="str"><v>43284223691840</v></cell><cell r="E120" t="str"><v>432841029029502 - EN</v></cell><cell r="F120" t="str"><v>DCM</v></cell><cell r="G120" t="str"><v>https://signup.azure.com/</v></cell></row><row r="120"><cell r="K120" t="str"><v>July</v></cell><cell r="L120"><v>43288</v></cell><cell r="M120" t="str"><v>Tier 1</v></cell><cell r="N120" t="str"><v>North America</v></cell><cell r="O120" t="str"><v>Canada</v></cell><cell r="P120" t="str"><v>Trial</v></cell><cell r="Q120" t="str"><v>Social</v></cell><cell r="R120" t="str"><v>Azure</v></cell><cell r="S120" t="str"><v>Apps & Infra</v></cell><cell r="T120" t="str"><v>Developers & ITI's</v></cell><cell r="U120" t="str"><v>AZR</v></cell><cell r="V120" t="str"><v>Audience Targeting</v></cell><cell r="W120" t="str"><v>Engagement Video</v></cell><cell r="X120" t="str"><v>1x1</v></cell></row><row r="120"><cell r="AA120"><v>43284</v></cell><cell r="AB120" t="str"><v>CAN_gaPMG_AZR_AZR_Q1_19_Trial-Social</v></cell><cell r="AC120"><v>21337220</v></cell><cell r="AD120"><v>720192</v></cell><cell r="AE120" t="str"><v>Facebook</v></cell><cell r="AF120"><v>3654128</v></cell><cell r="AG120" t="str"><v>Facebook»AZR»1x1»NA»EGV»ALL»DYN»AUT»D»All»SS»NA»Free Acc CTC - T2 - EN</v></cell><cell r="AH120"><v>223691840</v></cell><cell r="AI120" t="str"><v>AzurePlatform_FBCTCBrandinMotion_CAN_12s_ISV_PLAT_English_Trial_Standard_STAN_TN_T2_1</v></cell><cell r="AJ120"><v>102902950</v></cell></row><row r="121"><cell r="C121" t="str"><v>43284Facebook»AZR»1x1»NA»EGV»ALL»DYN»AUT»D»All»SS»NA»Free Acc CTC - T2 - FR</v></cell><cell r="D121" t="str"><v>43284223691798</v></cell><cell r="E121" t="str"><v>432841029163472 - FR</v></cell><cell r="F121" t="str"><v>DCM</v></cell><cell r="G121" t="str"><v>https://signup.azure.com/</v></cell></row><row r="121"><cell r="K121" t="str"><v>July</v></cell><cell r="L121"><v>43288</v></cell><cell r="M121" t="str"><v>Tier 1</v></cell><cell r="N121" t="str"><v>North America</v></cell><cell r="O121" t="str"><v>Canada</v></cell><cell r="P121" t="str"><v>Trial</v></cell><cell r="Q121" t="str"><v>Social</v></cell><cell r="R121" t="str"><v>Azure</v></cell><cell r="S121" t="str"><v>Apps & Infra</v></cell><cell r="T121" t="str"><v>Developers & ITI's</v></cell><cell r="U121" t="str"><v>AZR</v></cell><cell r="V121" t="str"><v>Audience Targeting</v></cell><cell r="W121" t="str"><v>Engagement Video</v></cell><cell r="X121" t="str"><v>1x1</v></cell></row><row r="121"><cell r="AA121"><v>43284</v></cell><cell r="AB121" t="str"><v>CAN_gaPMG_AZR_AZR_Q1_19_Trial-Social</v></cell><cell r="AC121"><v>21337220</v></cell><cell r="AD121"><v>720192</v></cell><cell r="AE121" t="str"><v>Facebook</v></cell><cell r="AF121"><v>3654128</v></cell><cell r="AG121" t="str"><v>Facebook»AZR»1x1»NA»EGV»ALL»DYN»AUT»D»All»SS»NA»Free Acc CTC - T2 - FR</v></cell><cell r="AH121"><v>223691798</v></cell><cell r="AI121" t="str"><v>AzurePlatform_FBCTCBrandinMotion_CAN_12s_ISV_PLAT_FR_Trial_Standard_STAN_TN_T2_1</v></cell><cell r="AJ121"><v>102916347</v></cell></row><row r="122"><cell r="C122" t="str"><v>43284Facebook»AZR»1x1»NA»EGV»ALL»DYN»AUT»D»All»SS»NA»Free Acc CTC - T4 - EN</v></cell><cell r="D122" t="str"><v>43284223691837</v></cell><cell r="E122" t="str"><v>432841030533144 - EN</v></cell><cell r="F122" t="str"><v>DCM</v></cell><cell r="G122" t="str"><v>https://signup.azure.com/</v></cell></row><row r="122"><cell r="K122" t="str"><v>July</v></cell><cell r="L122"><v>43288</v></cell><cell r="M122" t="str"><v>Tier 1</v></cell><cell r="N122" t="str"><v>North America</v></cell><cell r="O122" t="str"><v>Canada</v></cell><cell r="P122" t="str"><v>Trial</v></cell><cell r="Q122" t="str"><v>Social</v></cell><cell r="R122" t="str"><v>Azure</v></cell><cell r="S122" t="str"><v>Apps & Infra</v></cell><cell r="T122" t="str"><v>Developers & ITI's</v></cell><cell r="U122" t="str"><v>AZR</v></cell><cell r="V122" t="str"><v>Audience Targeting</v></cell><cell r="W122" t="str"><v>Engagement Video</v></cell><cell r="X122" t="str"><v>1x1</v></cell></row><row r="122"><cell r="AA122"><v>43284</v></cell><cell r="AB122" t="str"><v>CAN_gaPMG_AZR_AZR_Q1_19_Trial-Social</v></cell><cell r="AC122"><v>21337220</v></cell><cell r="AD122"><v>720192</v></cell><cell r="AE122" t="str"><v>Facebook</v></cell><cell r="AF122"><v>3654128</v></cell><cell r="AG122" t="str"><v>Facebook»AZR»1x1»NA»EGV»ALL»DYN»AUT»D»All»SS»NA»Free Acc CTC - T4 - EN</v></cell><cell r="AH122"><v>223691837</v></cell><cell r="AI122" t="str"><v>AzurePlatform_FBCTCBenefit2inMotion_CAN_14s_ISV_PLAT_English_Trial_Standard_STAN_TN_T4_1</v></cell><cell r="AJ122"><v>103053314</v></cell></row><row r="123"><cell r="C123" t="str"><v>43284Facebook»AZR»1x1»NA»EGV»ALL»DYN»AUT»D»All»SS»NA»Free Acc CTC - T4 - FR</v></cell><cell r="D123" t="str"><v>43284223691795</v></cell><cell r="E123" t="str"><v>432841029006884 - FR</v></cell><cell r="F123" t="str"><v>DCM</v></cell><cell r="G123" t="str"><v>https://signup.azure.com/</v></cell></row><row r="123"><cell r="K123" t="str"><v>July</v></cell><cell r="L123"><v>43288</v></cell><cell r="M123" t="str"><v>Tier 1</v></cell><cell r="N123" t="str"><v>North America</v></cell><cell r="O123" t="str"><v>Canada</v></cell><cell r="P123" t="str"><v>Trial</v></cell><cell r="Q123" t="str"><v>Social</v></cell><cell r="R123" t="str"><v>Azure</v></cell><cell r="S123" t="str"><v>Apps & Infra</v></cell><cell r="T123" t="str"><v>Developers & ITI's</v></cell><cell r="U123" t="str"><v>AZR</v></cell><cell r="V123" t="str"><v>Audience Targeting</v></cell><cell r="W123" t="str"><v>Engagement Video</v></cell><cell r="X123" t="str"><v>1x1</v></cell></row><row r="123"><cell r="AA123"><v>43284</v></cell><cell r="AB123" t="str"><v>CAN_gaPMG_AZR_AZR_Q1_19_Trial-Social</v></cell><cell r="AC123"><v>21337220</v></cell><cell r="AD123"><v>720192</v></cell><cell r="AE123" t="str"><v>Facebook</v></cell><cell r="AF123"><v>3654128</v></cell><cell r="AG123" t="str"><v>Facebook»AZR»1x1»NA»EGV»ALL»DYN»AUT»D»All»SS»NA»Free Acc CTC - T4 - FR</v></cell><cell r="AH123"><v>223691795</v></cell><cell r="AI123" t="str"><v>AzurePlatform_FBCTCBenefit2inMotion_CAN_14s_ISV_PLAT_FR_Trial_Standard_STAN_TN_T4_1</v></cell><cell r="AJ123"><v>102900688</v></cell></row><row r="124"><cell r="C124" t="str"><v>43284Facebook»AZR»1x1»SocialBan»NA»ALL»DYN»AUT»D»All»SS»NA»Free Acc Refresh - T1 - EN</v></cell><cell r="D124" t="str"><v>43284223691804</v></cell><cell r="E124" t="str"><v>432841030587171 - EN</v></cell><cell r="F124" t="str"><v>DCM</v></cell><cell r="G124" t="str"><v>https://azure.microsoft.com/en-CA/free/search/</v></cell></row><row r="124"><cell r="K124" t="str"><v>July</v></cell><cell r="L124"><v>43288</v></cell><cell r="M124" t="str"><v>Tier 1</v></cell><cell r="N124" t="str"><v>North America</v></cell><cell r="O124" t="str"><v>Canada</v></cell><cell r="P124" t="str"><v>Trial</v></cell><cell r="Q124" t="str"><v>Social</v></cell><cell r="R124" t="str"><v>Azure</v></cell><cell r="S124" t="str"><v>Apps & Infra</v></cell><cell r="T124" t="str"><v>Developers & ITI's</v></cell><cell r="U124" t="str"><v>AZR</v></cell><cell r="V124" t="str"><v>Audience Targeting</v></cell><cell r="W124" t="str"><v>NotApplicable</v></cell><cell r="X124" t="str"><v>1x1</v></cell></row><row r="124"><cell r="AA124"><v>43284</v></cell><cell r="AB124" t="str"><v>CAN_gaPMG_AZR_AZR_Q1_19_Trial-Social</v></cell><cell r="AC124"><v>21337220</v></cell><cell r="AD124"><v>720192</v></cell><cell r="AE124" t="str"><v>Facebook</v></cell><cell r="AF124"><v>3654128</v></cell><cell r="AG124" t="str"><v>Facebook»AZR»1x1»SocialBan»NA»ALL»DYN»AUT»D»All»SS»NA»Free Acc Refresh - T1 - EN</v></cell><cell r="AH124"><v>223691804</v></cell><cell r="AI124" t="str"><v>AzurePlatform_FreeAcctAppsFACEBOOKLifestyleChA_CAN_1200x628_SOC_PLAT_EN_Trial_Standard_NA_SU_T1_1.png</v></cell><cell r="AJ124"><v>103058717</v></cell></row><row r="125"><cell r="C125" t="str"><v>43284Facebook»AZR»1x1»SocialBan»NA»ALL»DYN»AUT»D»All»SS»NA»Free Acc Refresh - T1 - FR</v></cell><cell r="D125" t="str"><v>43284223691762</v></cell><cell r="E125" t="str"><v>432841029029741 - FR</v></cell><cell r="F125" t="str"><v>DCM</v></cell><cell r="G125" t="str"><v>https://azure.microsoft.com/fr-ca/free/search/</v></cell></row><row r="125"><cell r="K125" t="str"><v>July</v></cell><cell r="L125"><v>43288</v></cell><cell r="M125" t="str"><v>Tier 1</v></cell><cell r="N125" t="str"><v>North America</v></cell><cell r="O125" t="str"><v>Canada</v></cell><cell r="P125" t="str"><v>Trial</v></cell><cell r="Q125" t="str"><v>Social</v></cell><cell r="R125" t="str"><v>Azure</v></cell><cell r="S125" t="str"><v>Apps & Infra</v></cell><cell r="T125" t="str"><v>Developers & ITI's</v></cell><cell r="U125" t="str"><v>AZR</v></cell><cell r="V125" t="str"><v>Audience Targeting</v></cell><cell r="W125" t="str"><v>NotApplicable</v></cell><cell r="X125" t="str"><v>1x1</v></cell></row><row r="125"><cell r="AA125"><v>43284</v></cell><cell r="AB125" t="str"><v>CAN_gaPMG_AZR_AZR_Q1_19_Trial-Social</v></cell><cell r="AC125"><v>21337220</v></cell><cell r="AD125"><v>720192</v></cell><cell r="AE125" t="str"><v>Facebook</v></cell><cell r="AF125"><v>3654128</v></cell><cell r="AG125" t="str"><v>Facebook»AZR»1x1»SocialBan»NA»ALL»DYN»AUT»D»All»SS»NA»Free Acc Refresh - T1 - FR</v></cell><cell r="AH125"><v>223691762</v></cell><cell r="AI125" t="str"><v>AzurePlatform_FreeAcctAppsFACEBOOKLifestyleChA_CAN_1200x628_SOC_PLAT_FR_Trial_Standard_NA_SU_T1_1.png</v></cell><cell r="AJ125"><v>102902974</v></cell></row><row r="126"><cell r="C126" t="str"><v>43284Facebook»AZR»1x1»SocialBan»NA»ALL»DYN»AUT»D»All»SS»NA»Free Acc Refresh - T2 - EN</v></cell><cell r="D126" t="str"><v>43284223691810</v></cell><cell r="E126" t="str"><v>432841030587112 - EN</v></cell><cell r="F126" t="str"><v>DCM</v></cell><cell r="G126" t="str"><v>https://azure.microsoft.com/en-CA/free/search/</v></cell></row><row r="126"><cell r="K126" t="str"><v>July</v></cell><cell r="L126"><v>43288</v></cell><cell r="M126" t="str"><v>Tier 1</v></cell><cell r="N126" t="str"><v>North America</v></cell><cell r="O126" t="str"><v>Canada</v></cell><cell r="P126" t="str"><v>Trial</v></cell><cell r="Q126" t="str"><v>Social</v></cell><cell r="R126" t="str"><v>Azure</v></cell><cell r="S126" t="str"><v>Apps & Infra</v></cell><cell r="T126" t="str"><v>Developers & ITI's</v></cell><cell r="U126" t="str"><v>AZR</v></cell><cell r="V126" t="str"><v>Audience Targeting</v></cell><cell r="W126" t="str"><v>NotApplicable</v></cell><cell r="X126" t="str"><v>1x1</v></cell></row><row r="126"><cell r="AA126"><v>43284</v></cell><cell r="AB126" t="str"><v>CAN_gaPMG_AZR_AZR_Q1_19_Trial-Social</v></cell><cell r="AC126"><v>21337220</v></cell><cell r="AD126"><v>720192</v></cell><cell r="AE126" t="str"><v>Facebook</v></cell><cell r="AF126"><v>3654128</v></cell><cell r="AG126" t="str"><v>Facebook»AZR»1x1»SocialBan»NA»ALL»DYN»AUT»D»All»SS»NA»Free Acc Refresh - T2 - EN</v></cell><cell r="AH126"><v>223691810</v></cell><cell r="AI126" t="str"><v>AzurePlatform_FreeAcctAppsFACEBOOKDeviceChB_CAN_1200x628_SOC_PLAT_EN_Trial_Standard_NA_SU_T2_1.png</v></cell><cell r="AJ126"><v>103058711</v></cell></row><row r="127"><cell r="C127" t="str"><v>43284Facebook»AZR»1x1»SocialBan»NA»ALL»DYN»AUT»D»All»SS»NA»Free Acc Refresh - T2 - FR</v></cell><cell r="D127" t="str"><v>43284223691768</v></cell><cell r="E127" t="str"><v>432841029029712 - FR</v></cell><cell r="F127" t="str"><v>DCM</v></cell><cell r="G127" t="str"><v>https://azure.microsoft.com/fr-ca/free/search/</v></cell></row><row r="127"><cell r="K127" t="str"><v>July</v></cell><cell r="L127"><v>43288</v></cell><cell r="M127" t="str"><v>Tier 1</v></cell><cell r="N127" t="str"><v>North America</v></cell><cell r="O127" t="str"><v>Canada</v></cell><cell r="P127" t="str"><v>Trial</v></cell><cell r="Q127" t="str"><v>Social</v></cell><cell r="R127" t="str"><v>Azure</v></cell><cell r="S127" t="str"><v>Apps & Infra</v></cell><cell r="T127" t="str"><v>Developers & ITI's</v></cell><cell r="U127" t="str"><v>AZR</v></cell><cell r="V127" t="str"><v>Audience Targeting</v></cell><cell r="W127" t="str"><v>NotApplicable</v></cell><cell r="X127" t="str"><v>1x1</v></cell></row><row r="127"><cell r="AA127"><v>43284</v></cell><cell r="AB127" t="str"><v>CAN_gaPMG_AZR_AZR_Q1_19_Trial-Social</v></cell><cell r="AC127"><v>21337220</v></cell><cell r="AD127"><v>720192</v></cell><cell r="AE127" t="str"><v>Facebook</v></cell><cell r="AF127"><v>3654128</v></cell><cell r="AG127" t="str"><v>Facebook»AZR»1x1»SocialBan»NA»ALL»DYN»AUT»D»All»SS»NA»Free Acc Refresh - T2 - FR</v></cell><cell r="AH127"><v>223691768</v></cell><cell r="AI127" t="str"><v>AzurePlatform_FreeAcctAppsFACEBOOKDeviceChB_CAN_1200x628_SOC_PLAT_FR_Trial_Standard_NA_SU_T2_1.png</v></cell><cell r="AJ127"><v>102902971</v></cell></row><row r="128"><cell r="C128" t="str"><v>43284Facebook»AZR»1x1»SocialBan»NA»ALL»DYN»AUT»D»All»SS»NA»Free Acc Refresh - T3 - EN</v></cell><cell r="D128" t="str"><v>43284223691807</v></cell><cell r="E128" t="str"><v>432841029006853 - EN</v></cell><cell r="F128" t="str"><v>DCM</v></cell><cell r="G128" t="str"><v>https://azure.microsoft.com/en-CA/free/search/</v></cell></row><row r="128"><cell r="K128" t="str"><v>July</v></cell><cell r="L128"><v>43288</v></cell><cell r="M128" t="str"><v>Tier 1</v></cell><cell r="N128" t="str"><v>North America</v></cell><cell r="O128" t="str"><v>Canada</v></cell><cell r="P128" t="str"><v>Trial</v></cell><cell r="Q128" t="str"><v>Social</v></cell><cell r="R128" t="str"><v>Azure</v></cell><cell r="S128" t="str"><v>Apps & Infra</v></cell><cell r="T128" t="str"><v>Developers & ITI's</v></cell><cell r="U128" t="str"><v>AZR</v></cell><cell r="V128" t="str"><v>Audience Targeting</v></cell><cell r="W128" t="str"><v>NotApplicable</v></cell><cell r="X128" t="str"><v>1x1</v></cell></row><row r="128"><cell r="AA128"><v>43284</v></cell><cell r="AB128" t="str"><v>CAN_gaPMG_AZR_AZR_Q1_19_Trial-Social</v></cell><cell r="AC128"><v>21337220</v></cell><cell r="AD128"><v>720192</v></cell><cell r="AE128" t="str"><v>Facebook</v></cell><cell r="AF128"><v>3654128</v></cell><cell r="AG128" t="str"><v>Facebook»AZR»1x1»SocialBan»NA»ALL»DYN»AUT»D»All»SS»NA»Free Acc Refresh - T3 - EN</v></cell><cell r="AH128"><v>223691807</v></cell><cell r="AI128" t="str"><v>AzurePlatform_FreeAcctAppsFACEBOOKIllustrationChC_CAN_1200x628_SOC_PLAT_EN_Trial_Standard_NA_SU_T3_1.png</v></cell><cell r="AJ128"><v>102900685</v></cell></row><row r="129"><cell r="C129" t="str"><v>43284Facebook»AZR»1x1»SocialBan»NA»ALL»DYN»AUT»D»All»SS»NA»Free Acc Refresh - T3 - FR</v></cell><cell r="D129" t="str"><v>43284223691765</v></cell><cell r="E129" t="str"><v>432841030533323 - FR</v></cell><cell r="F129" t="str"><v>DCM</v></cell><cell r="G129" t="str"><v>https://azure.microsoft.com/fr-ca/free/search/</v></cell></row><row r="129"><cell r="K129" t="str"><v>July</v></cell><cell r="L129"><v>43288</v></cell><cell r="M129" t="str"><v>Tier 1</v></cell><cell r="N129" t="str"><v>North America</v></cell><cell r="O129" t="str"><v>Canada</v></cell><cell r="P129" t="str"><v>Trial</v></cell><cell r="Q129" t="str"><v>Social</v></cell><cell r="R129" t="str"><v>Azure</v></cell><cell r="S129" t="str"><v>Apps & Infra</v></cell><cell r="T129" t="str"><v>Developers & ITI's</v></cell><cell r="U129" t="str"><v>AZR</v></cell><cell r="V129" t="str"><v>Audience Targeting</v></cell><cell r="W129" t="str"><v>NotApplicable</v></cell><cell r="X129" t="str"><v>1x1</v></cell></row><row r="129"><cell r="AA129"><v>43284</v></cell><cell r="AB129" t="str"><v>CAN_gaPMG_AZR_AZR_Q1_19_Trial-Social</v></cell><cell r="AC129"><v>21337220</v></cell><cell r="AD129"><v>720192</v></cell><cell r="AE129" t="str"><v>Facebook</v></cell><cell r="AF129"><v>3654128</v></cell><cell r="AG129" t="str"><v>Facebook»AZR»1x1»SocialBan»NA»ALL»DYN»AUT»D»All»SS»NA»Free Acc Refresh - T3 - FR</v></cell><cell r="AH129"><v>223691765</v></cell><cell r="AI129" t="str"><v>AzurePlatform_FreeAcctAppsFACEBOOKIllustrationChC_CAN_1200x628_SOC_PLAT_FR_Trial_Standard_NA_SU_T3_1.png</v></cell><cell r="AJ129"><v>103053332</v></cell></row><row r="130"><cell r="C130" t="str"><v>43284Facebook»AZR»1x1»SocialBan»NA»ALL»DYN»AUT»D»All»SS»NA»Free Acc Refresh - T4 - EN</v></cell><cell r="D130" t="str"><v>43284223691813</v></cell><cell r="E130" t="str"><v>432841030533204 - EN</v></cell><cell r="F130" t="str"><v>DCM</v></cell><cell r="G130" t="str"><v>https://azure.microsoft.com/en-CA/free/search/</v></cell></row><row r="130"><cell r="K130" t="str"><v>July</v></cell><cell r="L130"><v>43288</v></cell><cell r="M130" t="str"><v>Tier 1</v></cell><cell r="N130" t="str"><v>North America</v></cell><cell r="O130" t="str"><v>Canada</v></cell><cell r="P130" t="str"><v>Trial</v></cell><cell r="Q130" t="str"><v>Social</v></cell><cell r="R130" t="str"><v>Azure</v></cell><cell r="S130" t="str"><v>Apps & Infra</v></cell><cell r="T130" t="str"><v>Developers & ITI's</v></cell><cell r="U130" t="str"><v>AZR</v></cell><cell r="V130" t="str"><v>Audience Targeting</v></cell><cell r="W130" t="str"><v>NotApplicable</v></cell><cell r="X130" t="str"><v>1x1</v></cell></row><row r="130"><cell r="AA130"><v>43284</v></cell><cell r="AB130" t="str"><v>CAN_gaPMG_AZR_AZR_Q1_19_Trial-Social</v></cell><cell r="AC130"><v>21337220</v></cell><cell r="AD130"><v>720192</v></cell><cell r="AE130" t="str"><v>Facebook</v></cell><cell r="AF130"><v>3654128</v></cell><cell r="AG130" t="str"><v>Facebook»AZR»1x1»SocialBan»NA»ALL»DYN»AUT»D»All»SS»NA»Free Acc Refresh - T4 - EN</v></cell><cell r="AH130"><v>223691813</v></cell><cell r="AI130" t="str"><v>AzurePlatform_FreeAcctAppsFACEBOOK200CreditChD_CAN_1200x628_SOC_PLAT_EN_Trial_Standard_NA_SU_T4_1.png</v></cell><cell r="AJ130"><v>103053320</v></cell></row><row r="131"><cell r="C131" t="str"><v>43284Facebook»AZR»1x1»SocialBan»NA»ALL»DYN»AUT»D»All»SS»NA»Free Acc Refresh - T4 - FR</v></cell><cell r="D131" t="str"><v>43284223691771</v></cell><cell r="E131" t="str"><v>432841029029684 - FR</v></cell><cell r="F131" t="str"><v>DCM</v></cell><cell r="G131" t="str"><v>https://azure.microsoft.com/fr-ca/free/search/</v></cell></row><row r="131"><cell r="K131" t="str"><v>July</v></cell><cell r="L131"><v>43288</v></cell><cell r="M131" t="str"><v>Tier 1</v></cell><cell r="N131" t="str"><v>North America</v></cell><cell r="O131" t="str"><v>Canada</v></cell><cell r="P131" t="str"><v>Trial</v></cell><cell r="Q131" t="str"><v>Social</v></cell><cell r="R131" t="str"><v>Azure</v></cell><cell r="S131" t="str"><v>Apps & Infra</v></cell><cell r="T131" t="str"><v>Developers & ITI's</v></cell><cell r="U131" t="str"><v>AZR</v></cell><cell r="V131" t="str"><v>Audience Targeting</v></cell><cell r="W131" t="str"><v>NotApplicable</v></cell><cell r="X131" t="str"><v>1x1</v></cell></row><row r="131"><cell r="AA131"><v>43284</v></cell><cell r="AB131" t="str"><v>CAN_gaPMG_AZR_AZR_Q1_19_Trial-Social</v></cell><cell r="AC131"><v>21337220</v></cell><cell r="AD131"><v>720192</v></cell><cell r="AE131" t="str"><v>Facebook</v></cell><cell r="AF131"><v>3654128</v></cell><cell r="AG131" t="str"><v>Facebook»AZR»1x1»SocialBan»NA»ALL»DYN»AUT»D»All»SS»NA»Free Acc Refresh - T4 - FR</v></cell><cell r="AH131"><v>223691771</v></cell><cell r="AI131" t="str"><v>AzurePlatform_FreeAcctAppsFACEBOOK200CreditChD_CAN_1200x628_SOC_PLAT_FR_Trial_Standard_NA_SU_T4_1.png</v></cell><cell r="AJ131"><v>102902968</v></cell></row><row r="132"><cell r="C132" t="str"><v>43284Facebook»AZR»1x1»SocialBan»NA»ALL»DYN»AUT»D»All»SS»NA»Free Acc Refresh - T5 - EN</v></cell><cell r="D132" t="str"><v>43284223691816</v></cell><cell r="E132" t="str"><v>432841029163415 - EN</v></cell><cell r="F132" t="str"><v>DCM</v></cell><cell r="G132" t="str"><v>https://azure.microsoft.com/en-CA/free/search/</v></cell></row><row r="132"><cell r="K132" t="str"><v>July</v></cell><cell r="L132"><v>43288</v></cell><cell r="M132" t="str"><v>Tier 1</v></cell><cell r="N132" t="str"><v>North America</v></cell><cell r="O132" t="str"><v>Canada</v></cell><cell r="P132" t="str"><v>Trial</v></cell><cell r="Q132" t="str"><v>Social</v></cell><cell r="R132" t="str"><v>Azure</v></cell><cell r="S132" t="str"><v>Apps & Infra</v></cell><cell r="T132" t="str"><v>Developers & ITI's</v></cell><cell r="U132" t="str"><v>AZR</v></cell><cell r="V132" t="str"><v>Audience Targeting</v></cell><cell r="W132" t="str"><v>NotApplicable</v></cell><cell r="X132" t="str"><v>1x1</v></cell></row><row r="132"><cell r="AA132"><v>43284</v></cell><cell r="AB132" t="str"><v>CAN_gaPMG_AZR_AZR_Q1_19_Trial-Social</v></cell><cell r="AC132"><v>21337220</v></cell><cell r="AD132"><v>720192</v></cell><cell r="AE132" t="str"><v>Facebook</v></cell><cell r="AF132"><v>3654128</v></cell><cell r="AG132" t="str"><v>Facebook»AZR»1x1»SocialBan»NA»ALL»DYN»AUT»D»All»SS»NA»Free Acc Refresh - T5 - EN</v></cell><cell r="AH132"><v>223691816</v></cell><cell r="AI132" t="str"><v>AzurePlatform_FreeAcctAppsFACEBOOK12monthsChE_CAN_1200x628_SOC_PLAT_EN_Trial_Standard_NA_SU_T5_1.png</v></cell><cell r="AJ132"><v>102916341</v></cell></row><row r="133"><cell r="C133" t="str"><v>43284Facebook»AZR»1x1»SocialBan»NA»ALL»DYN»RT»D»All»SS»NA» Free Account Retargeting OSS - T1 - EN</v></cell><cell r="D133" t="str"><v>43284223691828</v></cell><cell r="E133" t="str"><v>432841029029561 - EN</v></cell><cell r="F133" t="str"><v>DCM</v></cell><cell r="G133" t="str"><v>https://azure.microsoft.com/en-ca/free/open-source/search/</v></cell></row><row r="133"><cell r="K133" t="str"><v>July</v></cell><cell r="L133"><v>43288</v></cell><cell r="M133" t="str"><v>Tier 1</v></cell><cell r="N133" t="str"><v>North America</v></cell><cell r="O133" t="str"><v>Canada</v></cell><cell r="P133" t="str"><v>Trial</v></cell><cell r="Q133" t="str"><v>Social</v></cell><cell r="R133" t="str"><v>Azure</v></cell><cell r="S133" t="str"><v>Apps & Infra</v></cell><cell r="T133" t="str"><v>Developers & ITI's</v></cell><cell r="U133" t="str"><v>AZR</v></cell><cell r="V133" t="str"><v>Retargeting</v></cell><cell r="W133" t="str"><v>NotApplicable</v></cell><cell r="X133" t="str"><v>1x1</v></cell></row><row r="133"><cell r="AA133"><v>43284</v></cell><cell r="AB133" t="str"><v>CAN_gaPMG_AZR_AZR_Q1_19_Trial-Social</v></cell><cell r="AC133"><v>21337220</v></cell><cell r="AD133"><v>720192</v></cell><cell r="AE133" t="str"><v>Facebook</v></cell><cell r="AF133"><v>3654128</v></cell><cell r="AG133" t="str"><v>Facebook»AZR»1x1»SocialBan»NA»ALL»DYN»RT»D»All»SS»NA» Free Account Retargeting OSS - T1 - EN</v></cell><cell r="AH133"><v>223691828</v></cell><cell r="AI133" t="str"><v>AzurePlatform_FreeAcctRetargetingOSSFB-Text-ChF_CAN_1200x628_SOC_Plat_EN_Free Account_Standard_NA_SU_T1_1</v></cell><cell r="AJ133"><v>102902956</v></cell></row><row r="134"><cell r="C134" t="str"><v>43284Facebook»AZR»1x1»SocialBan»NA»ALL»DYN»RT»D»All»SS»NA» Free Account Retargeting OSS - T2 - EN</v></cell><cell r="D134" t="str"><v>43284223691831</v></cell><cell r="E134" t="str"><v>432841029138002 - EN</v></cell><cell r="F134" t="str"><v>DCM</v></cell><cell r="G134" t="str"><v>https://azure.microsoft.com/en-ca/free/open-source/search/</v></cell></row><row r="134"><cell r="K134" t="str"><v>July</v></cell><cell r="L134"><v>43288</v></cell><cell r="M134" t="str"><v>Tier 1</v></cell><cell r="N134" t="str"><v>North America</v></cell><cell r="O134" t="str"><v>Canada</v></cell><cell r="P134" t="str"><v>Trial</v></cell><cell r="Q134" t="str"><v>Social</v></cell><cell r="R134" t="str"><v>Azure</v></cell><cell r="S134" t="str"><v>Apps & Infra</v></cell><cell r="T134" t="str"><v>Developers & ITI's</v></cell><cell r="U134" t="str"><v>AZR</v></cell><cell r="V134" t="str"><v>Retargeting</v></cell><cell r="W134" t="str"><v>NotApplicable</v></cell><cell r="X134" t="str"><v>1x1</v></cell></row><row r="134"><cell r="AA134"><v>43284</v></cell><cell r="AB134" t="str"><v>CAN_gaPMG_AZR_AZR_Q1_19_Trial-Social</v></cell><cell r="AC134"><v>21337220</v></cell><cell r="AD134"><v>720192</v></cell><cell r="AE134" t="str"><v>Facebook</v></cell><cell r="AF134"><v>3654128</v></cell><cell r="AG134" t="str"><v>Facebook»AZR»1x1»SocialBan»NA»ALL»DYN»RT»D»All»SS»NA» Free Account Retargeting OSS - T2 - EN</v></cell><cell r="AH134"><v>223691831</v></cell><cell r="AI134" t="str"><v>AzurePlatform_FreeAcctRetargetingOSSFB-Logos-ChG_CAN_1200x628_SOC_Plat_EN_Free Account_Standard_NA_SU_T2_1</v></cell><cell r="AJ134"><v>102913800</v></cell></row><row r="135"><cell r="C135" t="str"><v>43284Facebook»AZR»1x1»SocialBan»NA»ALL»DYN»RT»D»All»SS»NA» Free Account Retargeting OSS - T2 - FR</v></cell><cell r="D135" t="str"><v>43284223691789</v></cell><cell r="E135" t="str"><v>432841029006912 - FR</v></cell><cell r="F135" t="str"><v>DCM</v></cell><cell r="G135" t="str"><v>https://azure.microsoft.com/fr-ca/free/open-source/search/</v></cell></row><row r="135"><cell r="K135" t="str"><v>July</v></cell><cell r="L135"><v>43288</v></cell><cell r="M135" t="str"><v>Tier 1</v></cell><cell r="N135" t="str"><v>North America</v></cell><cell r="O135" t="str"><v>Canada</v></cell><cell r="P135" t="str"><v>Trial</v></cell><cell r="Q135" t="str"><v>Social</v></cell><cell r="R135" t="str"><v>Azure</v></cell><cell r="S135" t="str"><v>Apps & Infra</v></cell><cell r="T135" t="str"><v>Developers & ITI's</v></cell><cell r="U135" t="str"><v>AZR</v></cell><cell r="V135" t="str"><v>Retargeting</v></cell><cell r="W135" t="str"><v>NotApplicable</v></cell><cell r="X135" t="str"><v>1x1</v></cell></row><row r="135"><cell r="AA135"><v>43284</v></cell><cell r="AB135" t="str"><v>CAN_gaPMG_AZR_AZR_Q1_19_Trial-Social</v></cell><cell r="AC135"><v>21337220</v></cell><cell r="AD135"><v>720192</v></cell><cell r="AE135" t="str"><v>Facebook</v></cell><cell r="AF135"><v>3654128</v></cell><cell r="AG135" t="str"><v>Facebook»AZR»1x1»SocialBan»NA»ALL»DYN»RT»D»All»SS»NA» Free Account Retargeting OSS - T2 - FR</v></cell><cell r="AH135"><v>223691789</v></cell><cell r="AI135" t="str"><v>AzurePlatform_FreeAcctRetargetingOSSFB-Logos-ChG_CAN_1200x628_SOC_Plat_FR_Free Account_Standard_NA_SU_T2_1</v></cell><cell r="AJ135"><v>102900691</v></cell></row><row r="136"><cell r="C136" t="str"><v>43284Facebook»AZR»1x1»SocialBan»NA»ALL»DYN»RT»D»All»SS»NA»Free Account Retargeting Generic - T2 - EN</v></cell><cell r="D136" t="str"><v>43284223691834</v></cell><cell r="E136" t="str"><v>432841029029532 - EN</v></cell><cell r="F136" t="str"><v>DCM</v></cell><cell r="G136" t="str"><v>https://azure.microsoft.com/en-CA/free/search/</v></cell></row><row r="136"><cell r="K136" t="str"><v>July</v></cell><cell r="L136"><v>43288</v></cell><cell r="M136" t="str"><v>Tier 1</v></cell><cell r="N136" t="str"><v>North America</v></cell><cell r="O136" t="str"><v>Canada</v></cell><cell r="P136" t="str"><v>Trial</v></cell><cell r="Q136" t="str"><v>Social</v></cell><cell r="R136" t="str"><v>Azure</v></cell><cell r="S136" t="str"><v>Apps & Infra</v></cell><cell r="T136" t="str"><v>Developers & ITI's</v></cell><cell r="U136" t="str"><v>AZR</v></cell><cell r="V136" t="str"><v>Retargeting</v></cell><cell r="W136" t="str"><v>NotApplicable</v></cell><cell r="X136" t="str"><v>1x1</v></cell></row><row r="136"><cell r="AA136"><v>43284</v></cell><cell r="AB136" t="str"><v>CAN_gaPMG_AZR_AZR_Q1_19_Trial-Social</v></cell><cell r="AC136"><v>21337220</v></cell><cell r="AD136"><v>720192</v></cell><cell r="AE136" t="str"><v>Facebook</v></cell><cell r="AF136"><v>3654128</v></cell><cell r="AG136" t="str"><v>Facebook»AZR»1x1»SocialBan»NA»ALL»DYN»RT»D»All»SS»NA»Free Account Retargeting Generic - T2 - EN</v></cell><cell r="AH136"><v>223691834</v></cell><cell r="AI136" t="str"><v>AzurePlatform_FreeAcctRetargetingFB-GlobalAlt-ChB_CAN_1200x628_SOC_Plat_EN_Free Account_Standard_NA_SU_T2_1</v></cell><cell r="AJ136"><v>102902953</v></cell></row><row r="137"><cell r="C137" t="str"><v>43284Facebook»AZR»1x1»SocialBan»NA»ALL»DYN»RT»D»All»SS»NA»Free Account Retargeting Generic - T2 - FR</v></cell><cell r="D137" t="str"><v>43284223691792</v></cell><cell r="E137" t="str"><v>432841029018942 - FR</v></cell><cell r="F137" t="str"><v>DCM</v></cell><cell r="G137" t="str"><v>https://azure.microsoft.com/fr-ca/free/search/</v></cell></row><row r="137"><cell r="K137" t="str"><v>July</v></cell><cell r="L137"><v>43288</v></cell><cell r="M137" t="str"><v>Tier 1</v></cell><cell r="N137" t="str"><v>North America</v></cell><cell r="O137" t="str"><v>Canada</v></cell><cell r="P137" t="str"><v>Trial</v></cell><cell r="Q137" t="str"><v>Social</v></cell><cell r="R137" t="str"><v>Azure</v></cell><cell r="S137" t="str"><v>Apps & Infra</v></cell><cell r="T137" t="str"><v>Developers & ITI's</v></cell><cell r="U137" t="str"><v>AZR</v></cell><cell r="V137" t="str"><v>Retargeting</v></cell><cell r="W137" t="str"><v>NotApplicable</v></cell><cell r="X137" t="str"><v>1x1</v></cell></row><row r="137"><cell r="AA137"><v>43284</v></cell><cell r="AB137" t="str"><v>CAN_gaPMG_AZR_AZR_Q1_19_Trial-Social</v></cell><cell r="AC137"><v>21337220</v></cell><cell r="AD137"><v>720192</v></cell><cell r="AE137" t="str"><v>Facebook</v></cell><cell r="AF137"><v>3654128</v></cell><cell r="AG137" t="str"><v>Facebook»AZR»1x1»SocialBan»NA»ALL»DYN»RT»D»All»SS»NA»Free Account Retargeting Generic - T2 - FR</v></cell><cell r="AH137"><v>223691792</v></cell><cell r="AI137" t="str"><v>AzurePlatform_FreeAcctRetargetingFB-GlobalAlt-ChB_CAN_1200x628_SOC_Plat_FR_Free Account_Standard_NA_SU_T2_1</v></cell><cell r="AJ137"><v>102901894</v></cell></row><row r="138"><cell r="C138" t="str"><v>43284Facebook»AZR»1x1»SocialBan»NA»ALL»DYN»RT»D»All»SS»NA»Free Account Retargeting Generic - T3 - EN</v></cell><cell r="D138" t="str"><v>43284223691819</v></cell><cell r="E138" t="str"><v>432841029006823 - EN</v></cell><cell r="F138" t="str"><v>DCM</v></cell><cell r="G138" t="str"><v>https://azure.microsoft.com/en-CA/free/search/</v></cell></row><row r="138"><cell r="K138" t="str"><v>July</v></cell><cell r="L138"><v>43288</v></cell><cell r="M138" t="str"><v>Tier 1</v></cell><cell r="N138" t="str"><v>North America</v></cell><cell r="O138" t="str"><v>Canada</v></cell><cell r="P138" t="str"><v>Trial</v></cell><cell r="Q138" t="str"><v>Social</v></cell><cell r="R138" t="str"><v>Azure</v></cell><cell r="S138" t="str"><v>Apps & Infra</v></cell><cell r="T138" t="str"><v>Developers & ITI's</v></cell><cell r="U138" t="str"><v>AZR</v></cell><cell r="V138" t="str"><v>Retargeting</v></cell><cell r="W138" t="str"><v>NotApplicable</v></cell><cell r="X138" t="str"><v>1x1</v></cell></row><row r="138"><cell r="AA138"><v>43284</v></cell><cell r="AB138" t="str"><v>CAN_gaPMG_AZR_AZR_Q1_19_Trial-Social</v></cell><cell r="AC138"><v>21337220</v></cell><cell r="AD138"><v>720192</v></cell><cell r="AE138" t="str"><v>Facebook</v></cell><cell r="AF138"><v>3654128</v></cell><cell r="AG138" t="str"><v>Facebook»AZR»1x1»SocialBan»NA»ALL»DYN»RT»D»All»SS»NA»Free Account Retargeting Generic - T3 - EN</v></cell><cell r="AH138"><v>223691819</v></cell><cell r="AI138" t="str"><v>AzurePlatform_FreeAcctRetargetingFB-Animated-ChC_CAN_1200x628_SOC_Plat_EN_Free Account_Standard_ANI_SU_T3_1</v></cell><cell r="AJ138"><v>102900682</v></cell></row><row r="139"><cell r="C139" t="str"><v>43284Facebook»AZR»1x1»SocialBan»NA»ALL»DYN»RT»D»All»SS»NA»Free Account Retargeting Generic - T3 - FR</v></cell><cell r="D139" t="str"><v>43284223691777</v></cell><cell r="E139" t="str"><v>432841029006973 - FR</v></cell><cell r="F139" t="str"><v>DCM</v></cell><cell r="G139" t="str"><v>https://azure.microsoft.com/fr-ca/free/search/</v></cell></row><row r="139"><cell r="K139" t="str"><v>July</v></cell><cell r="L139"><v>43288</v></cell><cell r="M139" t="str"><v>Tier 1</v></cell><cell r="N139" t="str"><v>North America</v></cell><cell r="O139" t="str"><v>Canada</v></cell><cell r="P139" t="str"><v>Trial</v></cell><cell r="Q139" t="str"><v>Social</v></cell><cell r="R139" t="str"><v>Azure</v></cell><cell r="S139" t="str"><v>Apps & Infra</v></cell><cell r="T139" t="str"><v>Developers & ITI's</v></cell><cell r="U139" t="str"><v>AZR</v></cell><cell r="V139" t="str"><v>Retargeting</v></cell><cell r="W139" t="str"><v>NotApplicable</v></cell><cell r="X139" t="str"><v>1x1</v></cell></row><row r="139"><cell r="AA139"><v>43284</v></cell><cell r="AB139" t="str"><v>CAN_gaPMG_AZR_AZR_Q1_19_Trial-Social</v></cell><cell r="AC139"><v>21337220</v></cell><cell r="AD139"><v>720192</v></cell><cell r="AE139" t="str"><v>Facebook</v></cell><cell r="AF139"><v>3654128</v></cell><cell r="AG139" t="str"><v>Facebook»AZR»1x1»SocialBan»NA»ALL»DYN»RT»D»All»SS»NA»Free Account Retargeting Generic - T3 - FR</v></cell><cell r="AH139"><v>223691777</v></cell><cell r="AI139" t="str"><v>AzurePlatform_FreeAcctRetargetingFB-Animated-ChC_CAN_1200x628_SOC_Plat_FR_Free Account_Standard_ANI_SU_T3_1</v></cell><cell r="AJ139"><v>102900697</v></cell></row><row r="140"><cell r="C140" t="str"><v>43284Facebook»AZR»1x1»SocialBan»NA»ALL»DYN»RT»D»All»SS»NA»Free Account Retargeting VM - T1 - EN</v></cell><cell r="D140" t="str"><v>43284223691825</v></cell><cell r="E140" t="str"><v>432841029163381 - EN</v></cell><cell r="F140" t="str"><v>DCM</v></cell><cell r="G140" t="str"><v>https://azure.microsoft.com/en-ca/free/virtual-machines/search/</v></cell></row><row r="140"><cell r="K140" t="str"><v>July</v></cell><cell r="L140"><v>43288</v></cell><cell r="M140" t="str"><v>Tier 1</v></cell><cell r="N140" t="str"><v>North America</v></cell><cell r="O140" t="str"><v>Canada</v></cell><cell r="P140" t="str"><v>Trial</v></cell><cell r="Q140" t="str"><v>Social</v></cell><cell r="R140" t="str"><v>Azure</v></cell><cell r="S140" t="str"><v>Apps & Infra</v></cell><cell r="T140" t="str"><v>Developers & ITI's</v></cell><cell r="U140" t="str"><v>AZR</v></cell><cell r="V140" t="str"><v>Retargeting</v></cell><cell r="W140" t="str"><v>NotApplicable</v></cell><cell r="X140" t="str"><v>1x1</v></cell></row><row r="140"><cell r="AA140"><v>43284</v></cell><cell r="AB140" t="str"><v>CAN_gaPMG_AZR_AZR_Q1_19_Trial-Social</v></cell><cell r="AC140"><v>21337220</v></cell><cell r="AD140"><v>720192</v></cell><cell r="AE140" t="str"><v>Facebook</v></cell><cell r="AF140"><v>3654128</v></cell><cell r="AG140" t="str"><v>Facebook»AZR»1x1»SocialBan»NA»ALL»DYN»RT»D»All»SS»NA»Free Account Retargeting VM - T1 - EN</v></cell><cell r="AH140"><v>223691825</v></cell><cell r="AI140" t="str"><v>AzurePlatform_FreeAcctRetargetingVMFB-750Hrs-ChD_CAN_1200x628_SOC_Plat_EN_Free Account_Standard_NA_SU_T1_1</v></cell><cell r="AJ140"><v>102916338</v></cell></row><row r="141"><cell r="C141" t="str"><v>43284Facebook»AZR»1x1»SocialBan»NA»ALL»DYN»RT»D»All»SS»NA»Free Account Retargeting VM - T1 - FR</v></cell><cell r="D141" t="str"><v>43284223691783</v></cell><cell r="E141" t="str"><v>432841030587231 - FR</v></cell><cell r="F141" t="str"><v>DCM</v></cell><cell r="G141" t="str"><v>https://azure.microsoft.com/fr-ca/free/virtual-machines/search/</v></cell></row><row r="141"><cell r="K141" t="str"><v>July</v></cell><cell r="L141"><v>43288</v></cell><cell r="M141" t="str"><v>Tier 1</v></cell><cell r="N141" t="str"><v>North America</v></cell><cell r="O141" t="str"><v>Canada</v></cell><cell r="P141" t="str"><v>Trial</v></cell><cell r="Q141" t="str"><v>Social</v></cell><cell r="R141" t="str"><v>Azure</v></cell><cell r="S141" t="str"><v>Apps & Infra</v></cell><cell r="T141" t="str"><v>Developers & ITI's</v></cell><cell r="U141" t="str"><v>AZR</v></cell><cell r="V141" t="str"><v>Retargeting</v></cell><cell r="W141" t="str"><v>NotApplicable</v></cell><cell r="X141" t="str"><v>1x1</v></cell></row><row r="141"><cell r="AA141"><v>43284</v></cell><cell r="AB141" t="str"><v>CAN_gaPMG_AZR_AZR_Q1_19_Trial-Social</v></cell><cell r="AC141"><v>21337220</v></cell><cell r="AD141"><v>720192</v></cell><cell r="AE141" t="str"><v>Facebook</v></cell><cell r="AF141"><v>3654128</v></cell><cell r="AG141" t="str"><v>Facebook»AZR»1x1»SocialBan»NA»ALL»DYN»RT»D»All»SS»NA»Free Account Retargeting VM - T1 - FR</v></cell><cell r="AH141"><v>223691783</v></cell><cell r="AI141" t="str"><v>AzurePlatform_FreeAcctRetargetingVMFB-750Hrs-ChD_CAN_1200x628_SOC_Plat_FR_Free Account_Standard_NA_SU_T1_1</v></cell><cell r="AJ141"><v>103058723</v></cell></row><row r="142"><cell r="C142" t="str"><v>43284Facebook»AZR»1x1»SocialBan»NA»ALL»DYN»RT»D»All»SS»NA»Free Account Retargeting VM - T2 - EN</v></cell><cell r="D142" t="str"><v>43284223691822</v></cell><cell r="E142" t="str"><v>432841030587082 - EN</v></cell><cell r="F142" t="str"><v>DCM</v></cell><cell r="G142" t="str"><v>https://azure.microsoft.com/en-ca/free/virtual-machines/search/</v></cell></row><row r="142"><cell r="K142" t="str"><v>July</v></cell><cell r="L142"><v>43288</v></cell><cell r="M142" t="str"><v>Tier 1</v></cell><cell r="N142" t="str"><v>North America</v></cell><cell r="O142" t="str"><v>Canada</v></cell><cell r="P142" t="str"><v>Trial</v></cell><cell r="Q142" t="str"><v>Social</v></cell><cell r="R142" t="str"><v>Azure</v></cell><cell r="S142" t="str"><v>Apps & Infra</v></cell><cell r="T142" t="str"><v>Developers & ITI's</v></cell><cell r="U142" t="str"><v>AZR</v></cell><cell r="V142" t="str"><v>Retargeting</v></cell><cell r="W142" t="str"><v>NotApplicable</v></cell><cell r="X142" t="str"><v>1x1</v></cell></row><row r="142"><cell r="AA142"><v>43284</v></cell><cell r="AB142" t="str"><v>CAN_gaPMG_AZR_AZR_Q1_19_Trial-Social</v></cell><cell r="AC142"><v>21337220</v></cell><cell r="AD142"><v>720192</v></cell><cell r="AE142" t="str"><v>Facebook</v></cell><cell r="AF142"><v>3654128</v></cell><cell r="AG142" t="str"><v>Facebook»AZR»1x1»SocialBan»NA»ALL»DYN»RT»D»All»SS»NA»Free Account Retargeting VM - T2 - EN</v></cell><cell r="AH142"><v>223691822</v></cell><cell r="AI142" t="str"><v>AzurePlatform_FreeAcctRetargetingVMFB-OnDemand-ChE_CAN_1200x628_SOC_Plat_EN_Free Account_Standard_NA_SU_T2_1</v></cell><cell r="AJ142"><v>103058708</v></cell></row><row r="143"><cell r="C143" t="str"><v>43284Facebook»DEV-ITP-AZR-FB|CanvasAds|Interesttargeting»1x1»TextLink»CAN»DT»CPM»AUT»W»NA»SS»NA»39684020-11000</v></cell><cell r="D143" t="str"><v>43284224009494</v></cell><cell r="E143" t="str"><v>43284103236186-11000</v></cell><cell r="F143" t="str"><v>DCM</v></cell><cell r="G143" t="str"><v>https://signup.azure.com/signup?offer=ms-azr-0044p&appId=102&ref=paidmedia-social-fb&redirectURL=https%3a%2f%2fazure.microsoft.com%2fde-de%2fget-started%2fwelcome-to-azure%2f&l=de-de&correlationId=ead86c34-1f10-49dd-a72b-6918462a2cbf</v></cell></row><row r="143"><cell r="K143" t="str"><v>July</v></cell><cell r="L143"><v>43288</v></cell><cell r="M143" t="str"><v>Tier 1</v></cell><cell r="N143" t="str"><v>EMEA</v></cell><cell r="O143" t="str"><v>Germany</v></cell><cell r="P143" t="str"><v>Trial</v></cell><cell r="Q143" t="str"><v>Social</v></cell><cell r="R143" t="str"><v>Azure</v></cell><cell r="S143" t="str"><v>Apps & Infra</v></cell><cell r="T143" t="str"><v>Developers & ITI's</v></cell><cell r="U143" t="str"><v>DEV-ITP-AZR-FB|CanvasAds|Interesttargeting</v></cell><cell r="V143" t="str"><v>Audience Targeting</v></cell><cell r="W143" t="str"><v>Canvas Ad</v></cell><cell r="X143" t="str"><v>1x1</v></cell></row><row r="143"><cell r="AA143"><v>43284</v></cell><cell r="AB143" t="str"><v>DEU_gaPMG_AZR_AZR_Q1_19_Trial-Social- 39684</v></cell><cell r="AC143"><v>21359477</v></cell><cell r="AD143"><v>720194</v></cell><cell r="AE143" t="str"><v>Facebook</v></cell><cell r="AF143"><v>3654128</v></cell><cell r="AG143" t="str"><v>Facebook»DEV-ITP-AZR-FB|CanvasAds|Interesttargeting»1x1»TextLink»CAN»DT»CPM»AUT»W»NA»SS»NA»39684020-11000</v></cell><cell r="AH143"><v>224009494</v></cell><cell r="AI143" t="str"><v>AzurePlatform_FBCTCBasicMotion-StartFreeCT_DEU_10s_ISV_PLAT_DE_Trial_Standard_STAN_TN_T1_1</v></cell><cell r="AJ143"><v>103236186</v></cell></row><row r="144"><cell r="C144" t="str"><v>43284Facebook»DEV-ITP-AZR-FB|CanvasAds|Interesttargeting»1x1»TextLink»CAN»DT»CPM»AUT»W»NA»SS»NA»39684020-11000</v></cell><cell r="D144" t="str"><v>43284224009494</v></cell><cell r="E144" t="str"><v>43284103236189-11000</v></cell><cell r="F144" t="str"><v>DCM</v></cell><cell r="G144" t="str"><v>https://azure.microsoft.com/de-de/pricing/purchase-options/</v></cell></row><row r="144"><cell r="K144" t="str"><v>July</v></cell><cell r="L144"><v>43288</v></cell><cell r="M144" t="str"><v>Tier 1</v></cell><cell r="N144" t="str"><v>EMEA</v></cell><cell r="O144" t="str"><v>Germany</v></cell><cell r="P144" t="str"><v>Trial</v></cell><cell r="Q144" t="str"><v>Social</v></cell><cell r="R144" t="str"><v>Azure</v></cell><cell r="S144" t="str"><v>Apps & Infra</v></cell><cell r="T144" t="str"><v>Developers & ITI's</v></cell><cell r="U144" t="str"><v>DEV-ITP-AZR-FB|CanvasAds|Interesttargeting</v></cell><cell r="V144" t="str"><v>Audience Targeting</v></cell><cell r="W144" t="str"><v>Canvas Ad</v></cell><cell r="X144" t="str"><v>1x1</v></cell></row><row r="144"><cell r="AA144"><v>43284</v></cell><cell r="AB144" t="str"><v>DEU_gaPMG_AZR_AZR_Q1_19_Trial-Social- 39684</v></cell><cell r="AC144"><v>21359477</v></cell><cell r="AD144"><v>720194</v></cell><cell r="AE144" t="str"><v>Facebook</v></cell><cell r="AF144"><v>3654128</v></cell><cell r="AG144" t="str"><v>Facebook»DEV-ITP-AZR-FB|CanvasAds|Interesttargeting»1x1»TextLink»CAN»DT»CPM»AUT»W»NA»SS»NA»39684020-11000</v></cell><cell r="AH144"><v>224009494</v></cell><cell r="AI144" t="str"><v>AzurePlatform_FBCTCBenefit2inMotion-BuyNow_DEU_14s_ISV_PLAT_DE_Trial_Standard_STAN_TN_T4_1</v></cell><cell r="AJ144"><v>103236189</v></cell></row><row r="145"><cell r="C145" t="str"><v>43284Facebook»DEV-ITP-AZR-FB|CanvasAds|Interesttargeting»1x1»TextLink»CAN»DT»CPM»AUT»W»NA»SS»NA»39684020-11000</v></cell><cell r="D145" t="str"><v>43284224009494</v></cell><cell r="E145" t="str"><v>43284103237290-11000</v></cell><cell r="F145" t="str"><v>DCM</v></cell><cell r="G145" t="str"><v>https://signup.azure.com/signup?offer=ms-azr-0044p&appId=102&ref=paidmedia-social-fb&redirectURL=https%3a%2f%2fazure.microsoft.com%2fde-de%2fget-started%2fwelcome-to-azure%2f&l=de-de&correlationId=ead86c34-1f10-49dd-a72b-6918462a2cbf</v></cell></row><row r="145"><cell r="K145" t="str"><v>July</v></cell><cell r="L145"><v>43288</v></cell><cell r="M145" t="str"><v>Tier 1</v></cell><cell r="N145" t="str"><v>EMEA</v></cell><cell r="O145" t="str"><v>Germany</v></cell><cell r="P145" t="str"><v>Trial</v></cell><cell r="Q145" t="str"><v>Social</v></cell><cell r="R145" t="str"><v>Azure</v></cell><cell r="S145" t="str"><v>Apps & Infra</v></cell><cell r="T145" t="str"><v>Developers & ITI's</v></cell><cell r="U145" t="str"><v>DEV-ITP-AZR-FB|CanvasAds|Interesttargeting</v></cell><cell r="V145" t="str"><v>Audience Targeting</v></cell><cell r="W145" t="str"><v>Canvas Ad</v></cell><cell r="X145" t="str"><v>1x1</v></cell></row><row r="145"><cell r="AA145"><v>43284</v></cell><cell r="AB145" t="str"><v>DEU_gaPMG_AZR_AZR_Q1_19_Trial-Social- 39684</v></cell><cell r="AC145"><v>21359477</v></cell><cell r="AD145"><v>720194</v></cell><cell r="AE145" t="str"><v>Facebook</v></cell><cell r="AF145"><v>3654128</v></cell><cell r="AG145" t="str"><v>Facebook»DEV-ITP-AZR-FB|CanvasAds|Interesttargeting»1x1»TextLink»CAN»DT»CPM»AUT»W»NA»SS»NA»39684020-11000</v></cell><cell r="AH145"><v>224009494</v></cell><cell r="AI145" t="str"><v>AzurePlatform_FBCTCBenefit2inMotion-StartFreeCT_DEU_14s_ISV_PLAT_DE_Trial_Standard_STAN_TN_T4_1</v></cell><cell r="AJ145"><v>103237290</v></cell></row><row r="146"><cell r="C146" t="str"><v>43284Facebook»DEV-ITP-AZR-FB|CanvasAds|Interesttargeting»1x1»TextLink»CAN»DT»CPM»AUT»W»NA»SS»NA»39684020-11000</v></cell><cell r="D146" t="str"><v>43284224009494</v></cell><cell r="E146" t="str"><v>43284103237293-11000</v></cell><cell r="F146" t="str"><v>DCM</v></cell><cell r="G146" t="str"><v>https://signup.azure.com/signup?offer=ms-azr-0044p&appId=102&ref=paidmedia-social-fb&redirectURL=https%3a%2f%2fazure.microsoft.com%2fde-de%2fget-started%2fwelcome-to-azure%2f&l=de-de&correlationId=ead86c34-1f10-49dd-a72b-6918462a2cbf</v></cell></row><row r="146"><cell r="K146" t="str"><v>July</v></cell><cell r="L146"><v>43288</v></cell><cell r="M146" t="str"><v>Tier 1</v></cell><cell r="N146" t="str"><v>EMEA</v></cell><cell r="O146" t="str"><v>Germany</v></cell><cell r="P146" t="str"><v>Trial</v></cell><cell r="Q146" t="str"><v>Social</v></cell><cell r="R146" t="str"><v>Azure</v></cell><cell r="S146" t="str"><v>Apps & Infra</v></cell><cell r="T146" t="str"><v>Developers & ITI's</v></cell><cell r="U146" t="str"><v>DEV-ITP-AZR-FB|CanvasAds|Interesttargeting</v></cell><cell r="V146" t="str"><v>Audience Targeting</v></cell><cell r="W146" t="str"><v>Canvas Ad</v></cell><cell r="X146" t="str"><v>1x1</v></cell></row><row r="146"><cell r="AA146"><v>43284</v></cell><cell r="AB146" t="str"><v>DEU_gaPMG_AZR_AZR_Q1_19_Trial-Social- 39684</v></cell><cell r="AC146"><v>21359477</v></cell><cell r="AD146"><v>720194</v></cell><cell r="AE146" t="str"><v>Facebook</v></cell><cell r="AF146"><v>3654128</v></cell><cell r="AG146" t="str"><v>Facebook»DEV-ITP-AZR-FB|CanvasAds|Interesttargeting»1x1»TextLink»CAN»DT»CPM»AUT»W»NA»SS»NA»39684020-11000</v></cell><cell r="AH146"><v>224009494</v></cell><cell r="AI146" t="str"><v>AzurePlatform_FBCTCBrandinMotion-StartFreeCT_DEU_12s_ISV_PLAT_DE_Trial_Standard_STAN_TN_T2_1</v></cell><cell r="AJ146"><v>103237293</v></cell></row><row r="147"><cell r="C147" t="str"><v>43284Facebook»DEV-ITP-AZR-FB|LinkAd|CustomerAudienceRetargeting»1x1»TextLink»LIA»DT»CPM»RT»W»NA»SS»NA»39684019-11000</v></cell><cell r="D147" t="str"><v>43284224010415</v></cell><cell r="E147" t="str"><v>43284103040320-11000</v></cell><cell r="F147" t="str"><v>DCM</v></cell><cell r="G147" t="str"><v>https://azure.microsoft.com/de-de/free/search/</v></cell></row><row r="147"><cell r="K147" t="str"><v>July</v></cell><cell r="L147"><v>43288</v></cell><cell r="M147" t="str"><v>Tier 1</v></cell><cell r="N147" t="str"><v>EMEA</v></cell><cell r="O147" t="str"><v>Germany</v></cell><cell r="P147" t="str"><v>Trial</v></cell><cell r="Q147" t="str"><v>Social</v></cell><cell r="R147" t="str"><v>Azure</v></cell><cell r="S147" t="str"><v>Apps & Infra</v></cell><cell r="T147" t="str"><v>Developers & ITI's</v></cell><cell r="U147" t="str"><v>DEV-ITP-AZR-FB|LinkAd|CustomerAudienceRetargeting</v></cell><cell r="V147" t="str"><v>Retargeting</v></cell><cell r="W147" t="str"><v>Link Ad</v></cell><cell r="X147" t="str"><v>1x1</v></cell></row><row r="147"><cell r="AA147"><v>43284</v></cell><cell r="AB147" t="str"><v>DEU_gaPMG_AZR_AZR_Q1_19_Trial-Social- 39684</v></cell><cell r="AC147"><v>21359477</v></cell><cell r="AD147"><v>720194</v></cell><cell r="AE147" t="str"><v>Facebook</v></cell><cell r="AF147"><v>3654128</v></cell><cell r="AG147" t="str"><v>Facebook»DEV-ITP-AZR-FB|LinkAd|CustomerAudienceRetargeting»1x1»TextLink»LIA»DT»CPM»RT»W»NA»SS»NA»39684019-11000</v></cell><cell r="AH147"><v>224010415</v></cell><cell r="AI147" t="str"><v>AzurePlatform_FreeAcctRetargetingFB-GlobalAlt-ChB_DEU_1200x628_SOC_Plat_DE_Free Account_Standard_NA_SNU_T2_1</v></cell><cell r="AJ147"><v>103040320</v></cell></row><row r="148"><cell r="C148" t="str"><v>43284Facebook»DEV-ITP-AZR-FB|LinkAd|CustomerAudienceRetargeting»1x1»TextLink»LIA»DT»CPM»RT»W»NA»SS»NA»39684019-11000</v></cell><cell r="D148" t="str"><v>43284224010415</v></cell><cell r="E148" t="str"><v>43284103043329-11000</v></cell><cell r="F148" t="str"><v>DCM</v></cell><cell r="G148" t="str"><v>https://azure.microsoft.com/de-de/free/open-source/search/</v></cell></row><row r="148"><cell r="K148" t="str"><v>July</v></cell><cell r="L148"><v>43288</v></cell><cell r="M148" t="str"><v>Tier 1</v></cell><cell r="N148" t="str"><v>EMEA</v></cell><cell r="O148" t="str"><v>Germany</v></cell><cell r="P148" t="str"><v>Trial</v></cell><cell r="Q148" t="str"><v>Social</v></cell><cell r="R148" t="str"><v>Azure</v></cell><cell r="S148" t="str"><v>Apps & Infra</v></cell><cell r="T148" t="str"><v>Developers & ITI's</v></cell><cell r="U148" t="str"><v>DEV-ITP-AZR-FB|LinkAd|CustomerAudienceRetargeting</v></cell><cell r="V148" t="str"><v>Retargeting</v></cell><cell r="W148" t="str"><v>Link Ad</v></cell><cell r="X148" t="str"><v>1x1</v></cell></row><row r="148"><cell r="AA148"><v>43284</v></cell><cell r="AB148" t="str"><v>DEU_gaPMG_AZR_AZR_Q1_19_Trial-Social- 39684</v></cell><cell r="AC148"><v>21359477</v></cell><cell r="AD148"><v>720194</v></cell><cell r="AE148" t="str"><v>Facebook</v></cell><cell r="AF148"><v>3654128</v></cell><cell r="AG148" t="str"><v>Facebook»DEV-ITP-AZR-FB|LinkAd|CustomerAudienceRetargeting»1x1»TextLink»LIA»DT»CPM»RT»W»NA»SS»NA»39684019-11000</v></cell><cell r="AH148"><v>224010415</v></cell><cell r="AI148" t="str"><v>AzurePlatform_FreeAcctRetargetingOSSFB-Logos-ChG_DEU_1200x628_SOC_Plat_DE_Free Account_Standard_NA_SNU_T2_1</v></cell><cell r="AJ148"><v>103043329</v></cell></row><row r="149"><cell r="C149" t="str"><v>43284Facebook»DEV-ITP-AZR-FB|LinkAd|CustomerAudienceRetargeting»1x1»TextLink»LIA»DT»CPM»RT»W»NA»SS»NA»39684019-11000</v></cell><cell r="D149" t="str"><v>43284224010415</v></cell><cell r="E149" t="str"><v>43284103043338-11000</v></cell><cell r="F149" t="str"><v>DCM</v></cell><cell r="G149" t="str"><v>https://azure.microsoft.com/de-de/free/virtual-machines/search/</v></cell></row><row r="149"><cell r="K149" t="str"><v>July</v></cell><cell r="L149"><v>43288</v></cell><cell r="M149" t="str"><v>Tier 1</v></cell><cell r="N149" t="str"><v>EMEA</v></cell><cell r="O149" t="str"><v>Germany</v></cell><cell r="P149" t="str"><v>Trial</v></cell><cell r="Q149" t="str"><v>Social</v></cell><cell r="R149" t="str"><v>Azure</v></cell><cell r="S149" t="str"><v>Apps & Infra</v></cell><cell r="T149" t="str"><v>Developers & ITI's</v></cell><cell r="U149" t="str"><v>DEV-ITP-AZR-FB|LinkAd|CustomerAudienceRetargeting</v></cell><cell r="V149" t="str"><v>Retargeting</v></cell><cell r="W149" t="str"><v>Link Ad</v></cell><cell r="X149" t="str"><v>1x1</v></cell></row><row r="149"><cell r="AA149"><v>43284</v></cell><cell r="AB149" t="str"><v>DEU_gaPMG_AZR_AZR_Q1_19_Trial-Social- 39684</v></cell><cell r="AC149"><v>21359477</v></cell><cell r="AD149"><v>720194</v></cell><cell r="AE149" t="str"><v>Facebook</v></cell><cell r="AF149"><v>3654128</v></cell><cell r="AG149" t="str"><v>Facebook»DEV-ITP-AZR-FB|LinkAd|CustomerAudienceRetargeting»1x1»TextLink»LIA»DT»CPM»RT»W»NA»SS»NA»39684019-11000</v></cell><cell r="AH149"><v>224010415</v></cell><cell r="AI149" t="str"><v>AzurePlatform_FreeAcctRetargetingVMFB-OnDemand-ChE_DEU_1200x628_SOC_Plat_DE_Free Account_Standard_NA_SNU_T2_1</v></cell><cell r="AJ149"><v>103043338</v></cell></row><row r="150"><cell r="C150" t="str"><v>43284Facebook»Developers/ITPros-Azure Direct-Sponsored Post-Canvas-FBCTCcanvaspage-BuyNowCTA-Img3_FBCTCBrandinMotion_FRA_14sec»1x1»Canvas»SOC»ALL»CPC»BT»D»UNK»SS»NA»Trials</v></cell><cell r="D150" t="str"><v>43284224416918</v></cell><cell r="E150" t="str"><v>43284103256571Trials</v></cell><cell r="F150" t="str"><v>DCM</v></cell><cell r="G150" t="str"><v>https://azure.microsoft.com/fr-fr/pricing/purchase-options/</v></cell></row><row r="150"><cell r="K150" t="str"><v>July</v></cell><cell r="L150"><v>43288</v></cell><cell r="M150" t="str"><v>Tier 1</v></cell><cell r="N150" t="str"><v>EMEA</v></cell><cell r="O150" t="str"><v>France</v></cell><cell r="P150" t="str"><v>Trial</v></cell><cell r="Q150" t="str"><v>Social</v></cell><cell r="R150" t="str"><v>Azure</v></cell><cell r="S150" t="str"><v>Apps & Infra</v></cell><cell r="T150" t="str"><v>Developers & ITI's</v></cell><cell r="U150" t="str"><v>Developers/ITPros-Azure Direct-Sponsored Post-Canvas-FBCTCcanvaspage-BuyNowCTA-Img3_FBCTCBrandinMotion_FRA_14sec</v></cell><cell r="V150" t="str"><v>Behavioral Targeting</v></cell><cell r="W150" t="str"><v>Social</v></cell><cell r="X150" t="str"><v>1x1</v></cell></row><row r="150"><cell r="AA150"><v>43284</v></cell><cell r="AB150" t="str"><v>FRA_gaPMG_AZR_AZR_Q1_19_AzureDirect-Trial-Social</v></cell><cell r="AC150"><v>21356941</v></cell><cell r="AD150"><v>720193</v></cell><cell r="AE150" t="str"><v>Facebook</v></cell><cell r="AF150"><v>3654128</v></cell><cell r="AG150" t="str"><v>Facebook»Developers/ITPros-Azure Direct-Sponsored Post-Canvas-FBCTCcanvaspage-BuyNowCTA-Img3_FBCTCBrandinMotion_FRA_14sec»1x1»Canvas»SOC»ALL»CPC»BT»D»UNK»SS»NA»Trials</v></cell><cell r="AH150"><v>224416918</v></cell><cell r="AI150" t="str"><v>AZR_FBCTCcanvaspage-BuyNowCTA-Img3_FRA_1080x162_SOC_AZRDirect_French_NA_Facebook_SBAN_BN_T3_1</v></cell><cell r="AJ150"><v>103256571</v></cell></row><row r="151"><cell r="C151" t="str"><v>43284Facebook»Developers/ITPros-Azure Direct-Sponsored Post-Canvas-FBCTCcanvaspage-StartFreeCTA-Img2_FBCTCBasicMotion_FRA_10sec»1x1»Canvas»SOC»ALL»CPC»BT»D»UNK»SS»NA»Trials</v></cell><cell r="D151" t="str"><v>43284224560884</v></cell><cell r="E151" t="str"><v>43284103259958Trials</v></cell><cell r="F151" t="str"><v>DCM</v></cell><cell r="G151" t="str"><v>https://signup.azure.com/signup?offer=ms-azr-0044p&appId=102&ref=paidmedia-social-fb&redirectURL=https%3a%2f%2fazure.microsoft.com%2ffr-fr%2fget-started%2fwelcome-to-azure%2f&l=fr-fr&correlationId=ead86c34-1f10-49dd-a72b-6918462a2cbf</v></cell></row><row r="151"><cell r="K151" t="str"><v>July</v></cell><cell r="L151"><v>43288</v></cell><cell r="M151" t="str"><v>Tier 1</v></cell><cell r="N151" t="str"><v>EMEA</v></cell><cell r="O151" t="str"><v>France</v></cell><cell r="P151" t="str"><v>Trial</v></cell><cell r="Q151" t="str"><v>Social</v></cell><cell r="R151" t="str"><v>Azure</v></cell><cell r="S151" t="str"><v>Apps & Infra</v></cell><cell r="T151" t="str"><v>Developers & ITI's</v></cell><cell r="U151" t="str"><v>Developers/ITPros-Azure Direct-Sponsored Post-Canvas-FBCTCcanvaspage-StartFreeCTA-Img2_FBCTCBasicMotion_FRA_10sec</v></cell><cell r="V151" t="str"><v>Behavioral Targeting</v></cell><cell r="W151" t="str"><v>Social</v></cell><cell r="X151" t="str"><v>1x1</v></cell></row><row r="151"><cell r="AA151"><v>43284</v></cell><cell r="AB151" t="str"><v>FRA_gaPMG_AZR_AZR_Q1_19_AzureDirect-Trial-Social</v></cell><cell r="AC151"><v>21356941</v></cell><cell r="AD151"><v>720193</v></cell><cell r="AE151" t="str"><v>Facebook</v></cell><cell r="AF151"><v>3654128</v></cell><cell r="AG151" t="str"><v>Facebook»Developers/ITPros-Azure Direct-Sponsored Post-Canvas-FBCTCcanvaspage-StartFreeCTA-Img2_FBCTCBasicMotion_FRA_10sec»1x1»Canvas»SOC»ALL»CPC»BT»D»UNK»SS»NA»Trials</v></cell><cell r="AH151"><v>224560884</v></cell><cell r="AI151" t="str"><v>AZR_FBCTCcanvaspage-StartFreeCTA-Img2_FRA_1080x143_SOC_AZRDirect_French_NA_Facebook_SBAN_BN_T2_1</v></cell><cell r="AJ151"><v>103259958</v></cell></row><row r="152"><cell r="C152" t="str"><v>43284Facebook»Developers/ITPros-Azure Direct-Sponsored Post-Canvas-FBCTCcanvaspage-StartFreeCTA-Img2_FBCTCBrandinMotion_FRA_14sec»1x1»Canvas»SOC»ALL»CPC»BT»D»UNK»SS»NA»Trials</v></cell><cell r="D152" t="str"><v>43284224560872</v></cell><cell r="E152" t="str"><v>43284103259958Trials</v></cell><cell r="F152" t="str"><v>DCM</v></cell><cell r="G152" t="str"><v>https://signup.azure.com/signup?offer=ms-azr-0044p&appId=102&ref=paidmedia-social-fb&redirectURL=https%3a%2f%2fazure.microsoft.com%2ffr-fr%2fget-started%2fwelcome-to-azure%2f&l=fr-fr&correlationId=ead86c34-1f10-49dd-a72b-6918462a2cbf</v></cell></row><row r="152"><cell r="K152" t="str"><v>July</v></cell><cell r="L152"><v>43288</v></cell><cell r="M152" t="str"><v>Tier 1</v></cell><cell r="N152" t="str"><v>EMEA</v></cell><cell r="O152" t="str"><v>France</v></cell><cell r="P152" t="str"><v>Trial</v></cell><cell r="Q152" t="str"><v>Social</v></cell><cell r="R152" t="str"><v>Azure</v></cell><cell r="S152" t="str"><v>Apps & Infra</v></cell><cell r="T152" t="str"><v>Developers & ITI's</v></cell><cell r="U152" t="str"><v>Developers/ITPros-Azure Direct-Sponsored Post-Canvas-FBCTCcanvaspage-StartFreeCTA-Img2_FBCTCBrandinMotion_FRA_14sec</v></cell><cell r="V152" t="str"><v>Behavioral Targeting</v></cell><cell r="W152" t="str"><v>Social</v></cell><cell r="X152" t="str"><v>1x1</v></cell></row><row r="152"><cell r="AA152"><v>43284</v></cell><cell r="AB152" t="str"><v>FRA_gaPMG_AZR_AZR_Q1_19_AzureDirect-Trial-Social</v></cell><cell r="AC152"><v>21356941</v></cell><cell r="AD152"><v>720193</v></cell><cell r="AE152" t="str"><v>Facebook</v></cell><cell r="AF152"><v>3654128</v></cell><cell r="AG152" t="str"><v>Facebook»Developers/ITPros-Azure Direct-Sponsored Post-Canvas-FBCTCcanvaspage-StartFreeCTA-Img2_FBCTCBrandinMotion_FRA_14sec»1x1»Canvas»SOC»ALL»CPC»BT»D»UNK»SS»NA»Trials</v></cell><cell r="AH152"><v>224560872</v></cell><cell r="AI152" t="str"><v>AZR_FBCTCcanvaspage-StartFreeCTA-Img2_FRA_1080x143_SOC_AZRDirect_French_NA_Facebook_SBAN_BN_T2_1</v></cell><cell r="AJ152"><v>103259958</v></cell></row><row r="153"><cell r="C153" t="str"><v>43284Facebook»Developers/ITPros-Azure Direct-Sponsored Post-Video Ad-FBCTCBasicMotion_FRA_10s_RTG Landing Page»1x1»05s»SOC»ALL»CPC»BT»D»UNK»SS»NA»Trials</v></cell><cell r="D153" t="str"><v>43284224416915</v></cell><cell r="E153" t="str"><v>43284103376981Trials</v></cell><cell r="F153" t="str"><v>DCM</v></cell></row><row r="153"><cell r="K153" t="str"><v>July</v></cell><cell r="L153"><v>43288</v></cell><cell r="M153" t="str"><v>Tier 1</v></cell><cell r="N153" t="str"><v>EMEA</v></cell><cell r="O153" t="str"><v>France</v></cell><cell r="P153" t="str"><v>Trial</v></cell><cell r="Q153" t="str"><v>Social</v></cell><cell r="R153" t="str"><v>Azure</v></cell><cell r="S153" t="str"><v>Apps & Infra</v></cell><cell r="T153" t="str"><v>Developers & ITI's</v></cell><cell r="U153" t="str"><v>Developers/ITPros-Azure Direct-Sponsored Post-Video Ad-FBCTCBasicMotion_FRA_10s_RTG Landing Page</v></cell><cell r="V153" t="str"><v>Behavioral Targeting</v></cell><cell r="W153" t="str"><v>Social</v></cell><cell r="X153" t="str"><v>1x1</v></cell></row><row r="153"><cell r="AA153"><v>43284</v></cell><cell r="AB153" t="str"><v>FRA_gaPMG_AZR_AZR_Q1_19_AzureDirect-Trial-Social</v></cell><cell r="AC153"><v>21356941</v></cell><cell r="AD153"><v>720193</v></cell><cell r="AE153" t="str"><v>Facebook</v></cell><cell r="AF153"><v>3654128</v></cell><cell r="AG153" t="str"><v>Facebook»Developers/ITPros-Azure Direct-Sponsored Post-Video Ad-FBCTCBasicMotion_FRA_10s_RTG Landing Page»1x1»05s»SOC»ALL»CPC»BT»D»UNK»SS»NA»Trials</v></cell><cell r="AH153"><v>224416915</v></cell><cell r="AI153" t="str"><v>AZR_FBCTCBasicMotion_FRA_10s_VIA_AZRDirect_French_NA_Facebook_STAN_TIN_T1_1</v></cell><cell r="AJ153"><v>103376981</v></cell></row><row r="154"><cell r="C154" t="str"><v>43284Facebook»Developers/ITPros-Azure Direct-Sponsored Post-Video Ad-FBCTCBenefit2inMotion_FRA_14s_RTG Landing Page»1x1»06s»SOC»ALL»CPC»BT»D»UNK»SS»NA»Trials</v></cell><cell r="D154" t="str"><v>43284224560875</v></cell><cell r="E154" t="str"><v>43284103259766Trials</v></cell><cell r="F154" t="str"><v>DCM</v></cell><cell r="G154" t="str"><v>https://signup.azure.com/signup?offer=ms-azr-0044p&appId=102&ref=paidmedia-social-fb&redirectURL=https:%2F%2Fazure.microsoft.com%2Ffr-fr%2Fget-started%2Fwelcome-to-azure%2F&l=fr-fr&correlationId=ead86c34-1f10-49dd-a72b-6918462a2cbf</v></cell></row><row r="154"><cell r="K154" t="str"><v>July</v></cell><cell r="L154"><v>43288</v></cell><cell r="M154" t="str"><v>Tier 1</v></cell><cell r="N154" t="str"><v>EMEA</v></cell><cell r="O154" t="str"><v>France</v></cell><cell r="P154" t="str"><v>Trial</v></cell><cell r="Q154" t="str"><v>Social</v></cell><cell r="R154" t="str"><v>Azure</v></cell><cell r="S154" t="str"><v>Apps & Infra</v></cell><cell r="T154" t="str"><v>Developers & ITI's</v></cell><cell r="U154" t="str"><v>Developers/ITPros-Azure Direct-Sponsored Post-Video Ad-FBCTCBenefit2inMotion_FRA_14s_RTG Landing Page</v></cell><cell r="V154" t="str"><v>Behavioral Targeting</v></cell><cell r="W154" t="str"><v>Social</v></cell><cell r="X154" t="str"><v>1x1</v></cell></row><row r="154"><cell r="AA154"><v>43284</v></cell><cell r="AB154" t="str"><v>FRA_gaPMG_AZR_AZR_Q1_19_AzureDirect-Trial-Social</v></cell><cell r="AC154"><v>21356941</v></cell><cell r="AD154"><v>720193</v></cell><cell r="AE154" t="str"><v>Facebook</v></cell><cell r="AF154"><v>3654128</v></cell><cell r="AG154" t="str"><v>Facebook»Developers/ITPros-Azure Direct-Sponsored Post-Video Ad-FBCTCBenefit2inMotion_FRA_14s_RTG Landing Page»1x1»06s»SOC»ALL»CPC»BT»D»UNK»SS»NA»Trials</v></cell><cell r="AH154"><v>224560875</v></cell><cell r="AI154" t="str"><v>AZR_FBCTCBenefit2inMotion_FRA_14s_VIA_AZRDirect_French_NA_Facebook_STAN_TIN_T4_1</v></cell><cell r="AJ154"><v>103259766</v></cell></row><row r="155"><cell r="C155" t="str"><v>43284Facebook»Developers/ITPros-Azure Direct-Sponsored Post-Video Ad-FBCTCBrandinMotion_FRA_12s_RTG Landing Page»1x1»05s»SOC»ALL»CPC»BT»D»UNK»SS»NA»Trials</v></cell><cell r="D155" t="str"><v>43284224560863</v></cell><cell r="E155" t="str"><v>43284103256577Trials</v></cell><cell r="F155" t="str"><v>DCM</v></cell></row><row r="155"><cell r="K155" t="str"><v>July</v></cell><cell r="L155"><v>43288</v></cell><cell r="M155" t="str"><v>Tier 1</v></cell><cell r="N155" t="str"><v>EMEA</v></cell><cell r="O155" t="str"><v>France</v></cell><cell r="P155" t="str"><v>Trial</v></cell><cell r="Q155" t="str"><v>Social</v></cell><cell r="R155" t="str"><v>Azure</v></cell><cell r="S155" t="str"><v>Apps & Infra</v></cell><cell r="T155" t="str"><v>Developers & ITI's</v></cell><cell r="U155" t="str"><v>Developers/ITPros-Azure Direct-Sponsored Post-Video Ad-FBCTCBrandinMotion_FRA_12s_RTG Landing Page</v></cell><cell r="V155" t="str"><v>Behavioral Targeting</v></cell><cell r="W155" t="str"><v>Social</v></cell><cell r="X155" t="str"><v>1x1</v></cell></row><row r="155"><cell r="AA155"><v>43284</v></cell><cell r="AB155" t="str"><v>FRA_gaPMG_AZR_AZR_Q1_19_AzureDirect-Trial-Social</v></cell><cell r="AC155"><v>21356941</v></cell><cell r="AD155"><v>720193</v></cell><cell r="AE155" t="str"><v>Facebook</v></cell><cell r="AF155"><v>3654128</v></cell><cell r="AG155" t="str"><v>Facebook»Developers/ITPros-Azure Direct-Sponsored Post-Video Ad-FBCTCBrandinMotion_FRA_12s_RTG Landing Page»1x1»05s»SOC»ALL»CPC»BT»D»UNK»SS»NA»Trials</v></cell><cell r="AH155"><v>224560863</v></cell><cell r="AI155" t="str"><v>AZR_FBCTCBrandinMotion_FRA_12s_VIA_AZRDirect_French_NA_Facebook_STAN_TIN_T2_1</v></cell><cell r="AJ155"><v>103256577</v></cell></row><row r="156"><cell r="C156" t="str"><v>43284Facebook»Audience & Interest Targeting»1x1»SocialBan»LIA»DT»DYN»AUT»W»NA»SS»NA»Free Account Refresh- 12 months ChE</v></cell><cell r="D156" t="str"><v>43284223567691</v></cell><cell r="E156" t="str"><v>43284102854007hs ChE</v></cell><cell r="F156" t="str"><v>DCM</v></cell><cell r="G156" t="str"><v>https://azure.microsoft.com/en-gb/free/search/</v></cell></row><row r="156"><cell r="K156" t="str"><v>July</v></cell><cell r="L156"><v>43288</v></cell><cell r="M156" t="str"><v>Tier 1</v></cell><cell r="N156" t="str"><v>EMEA</v></cell><cell r="O156" t="str"><v>United Kingdom</v></cell><cell r="P156" t="str"><v>Trial</v></cell><cell r="Q156" t="str"><v>Social</v></cell><cell r="R156" t="str"><v>Azure</v></cell><cell r="S156" t="str"><v>Apps & Infra</v></cell><cell r="T156" t="str"><v>Developers & ITI's</v></cell><cell r="U156" t="str"><v>Audience & Interest Targeting</v></cell><cell r="V156" t="str"><v>Audience Targeting</v></cell><cell r="W156" t="str"><v>Link Ad</v></cell><cell r="X156" t="str"><v>1x1</v></cell></row><row r="156"><cell r="AA156"><v>43284</v></cell><cell r="AB156" t="str"><v>GBR_gaPMG_CE_AZR_Q1_19_Trial-Social</v></cell><cell r="AC156"><v>21337013</v></cell><cell r="AD156"><v>720196</v></cell><cell r="AE156" t="str"><v>Facebook</v></cell><cell r="AF156"><v>3654128</v></cell><cell r="AG156" t="str"><v>Facebook»Audience & Interest Targeting»1x1»SocialBan»LIA»DT»DYN»AUT»W»NA»SS»NA»Free Account Refresh- 12 months ChE</v></cell><cell r="AH156"><v>223567691</v></cell><cell r="AI156" t="str"><v>AzurePlatform_FreeAcctAppsFACEBOOK12monthsChE_GBR_1200x628_SOC_PLAT_EN_Trial_Standard_NA_SU_T5_1</v></cell><cell r="AJ156"><v>102854007</v></cell></row><row r="157"><cell r="C157" t="str"><v>43284Facebook»Audience & Interest Targeting»1x1»SocialBan»LIA»DT»DYN»AUT»W»NA»SS»NA»Free Account Refresh- 200 Credit ChD</v></cell><cell r="D157" t="str"><v>43284223560359</v></cell><cell r="E157" t="str"><v>43284103005662it ChD</v></cell><cell r="F157" t="str"><v>DCM</v></cell><cell r="G157" t="str"><v>https://azure.microsoft.com/en-gb/free/search/</v></cell></row><row r="157"><cell r="K157" t="str"><v>July</v></cell><cell r="L157"><v>43288</v></cell><cell r="M157" t="str"><v>Tier 1</v></cell><cell r="N157" t="str"><v>EMEA</v></cell><cell r="O157" t="str"><v>United Kingdom</v></cell><cell r="P157" t="str"><v>Trial</v></cell><cell r="Q157" t="str"><v>Social</v></cell><cell r="R157" t="str"><v>Azure</v></cell><cell r="S157" t="str"><v>Apps & Infra</v></cell><cell r="T157" t="str"><v>Developers & ITI's</v></cell><cell r="U157" t="str"><v>Audience & Interest Targeting</v></cell><cell r="V157" t="str"><v>Audience Targeting</v></cell><cell r="W157" t="str"><v>Link Ad</v></cell><cell r="X157" t="str"><v>1x1</v></cell></row><row r="157"><cell r="AA157"><v>43284</v></cell><cell r="AB157" t="str"><v>GBR_gaPMG_CE_AZR_Q1_19_Trial-Social</v></cell><cell r="AC157"><v>21337013</v></cell><cell r="AD157"><v>720196</v></cell><cell r="AE157" t="str"><v>Facebook</v></cell><cell r="AF157"><v>3654128</v></cell><cell r="AG157" t="str"><v>Facebook»Audience & Interest Targeting»1x1»SocialBan»LIA»DT»DYN»AUT»W»NA»SS»NA»Free Account Refresh- 200 Credit ChD</v></cell><cell r="AH157"><v>223560359</v></cell><cell r="AI157" t="str"><v>AzurePlatform_FreeAcctAppsFACEBOOK200CreditChD_GBR_1200x628_SOC_PLAT_EN_Trial_Standard_NA_SU_T4_1</v></cell><cell r="AJ157"><v>103005662</v></cell></row><row r="158"><cell r="C158" t="str"><v>43284Facebook»Audience & Interest Targeting»1x1»SocialBan»LIA»DT»DYN»AUT»W»NA»SS»NA»Free Account Refresh- Device ChB</v></cell><cell r="D158" t="str"><v>43284223560353</v></cell><cell r="E158" t="str"><v>43284102854010ce ChB</v></cell><cell r="F158" t="str"><v>DCM</v></cell><cell r="G158" t="str"><v>https://azure.microsoft.com/en-gb/free/search/</v></cell></row><row r="158"><cell r="K158" t="str"><v>July</v></cell><cell r="L158"><v>43288</v></cell><cell r="M158" t="str"><v>Tier 1</v></cell><cell r="N158" t="str"><v>EMEA</v></cell><cell r="O158" t="str"><v>United Kingdom</v></cell><cell r="P158" t="str"><v>Trial</v></cell><cell r="Q158" t="str"><v>Social</v></cell><cell r="R158" t="str"><v>Azure</v></cell><cell r="S158" t="str"><v>Apps & Infra</v></cell><cell r="T158" t="str"><v>Developers & ITI's</v></cell><cell r="U158" t="str"><v>Audience & Interest Targeting</v></cell><cell r="V158" t="str"><v>Audience Targeting</v></cell><cell r="W158" t="str"><v>Link Ad</v></cell><cell r="X158" t="str"><v>1x1</v></cell></row><row r="158"><cell r="AA158"><v>43284</v></cell><cell r="AB158" t="str"><v>GBR_gaPMG_CE_AZR_Q1_19_Trial-Social</v></cell><cell r="AC158"><v>21337013</v></cell><cell r="AD158"><v>720196</v></cell><cell r="AE158" t="str"><v>Facebook</v></cell><cell r="AF158"><v>3654128</v></cell><cell r="AG158" t="str"><v>Facebook»Audience & Interest Targeting»1x1»SocialBan»LIA»DT»DYN»AUT»W»NA»SS»NA»Free Account Refresh- Device ChB</v></cell><cell r="AH158"><v>223560353</v></cell><cell r="AI158" t="str"><v>AzurePlatform_FreeAcctAppsFACEBOOKDeviceChB_GBR_1200x628_SOC_PLAT_EN_Trial_Standard_NA_SU_T2_1</v></cell><cell r="AJ158"><v>102854010</v></cell></row><row r="159"><cell r="C159" t="str"><v>43284Facebook»Audience & Interest Targeting»1x1»SocialBan»LIA»DT»DYN»AUT»W»NA»SS»NA»Free Account Refresh- Illustration ChC</v></cell><cell r="D159" t="str"><v>43284223560347</v></cell><cell r="E159" t="str"><v>43284102857037on ChC</v></cell><cell r="F159" t="str"><v>DCM</v></cell><cell r="G159" t="str"><v>https://azure.microsoft.com/en-gb/free/search/</v></cell></row><row r="159"><cell r="K159" t="str"><v>July</v></cell><cell r="L159"><v>43288</v></cell><cell r="M159" t="str"><v>Tier 1</v></cell><cell r="N159" t="str"><v>EMEA</v></cell><cell r="O159" t="str"><v>United Kingdom</v></cell><cell r="P159" t="str"><v>Trial</v></cell><cell r="Q159" t="str"><v>Social</v></cell><cell r="R159" t="str"><v>Azure</v></cell><cell r="S159" t="str"><v>Apps & Infra</v></cell><cell r="T159" t="str"><v>Developers & ITI's</v></cell><cell r="U159" t="str"><v>Audience & Interest Targeting</v></cell><cell r="V159" t="str"><v>Audience Targeting</v></cell><cell r="W159" t="str"><v>Link Ad</v></cell><cell r="X159" t="str"><v>1x1</v></cell></row><row r="159"><cell r="AA159"><v>43284</v></cell><cell r="AB159" t="str"><v>GBR_gaPMG_CE_AZR_Q1_19_Trial-Social</v></cell><cell r="AC159"><v>21337013</v></cell><cell r="AD159"><v>720196</v></cell><cell r="AE159" t="str"><v>Facebook</v></cell><cell r="AF159"><v>3654128</v></cell><cell r="AG159" t="str"><v>Facebook»Audience & Interest Targeting»1x1»SocialBan»LIA»DT»DYN»AUT»W»NA»SS»NA»Free Account Refresh- Illustration ChC</v></cell><cell r="AH159"><v>223560347</v></cell><cell r="AI159" t="str"><v>AzurePlatform_FreeAcctAppsFACEBOOKIllustrationChC_GBR_1200x628_SOC_PLAT_EN_Trial_Standard_NA_SU_T3_1</v></cell><cell r="AJ159"><v>102857037</v></cell></row><row r="160"><cell r="C160" t="str"><v>43284Facebook»Audience & Interest Targeting»1x1»SocialBan»LIA»DT»DYN»AUT»W»NA»SS»NA»Free Account Refresh- Lifestyle ChA</v></cell><cell r="D160" t="str"><v>43284223560341</v></cell><cell r="E160" t="str"><v>43284102853597le ChA</v></cell><cell r="F160" t="str"><v>DCM</v></cell><cell r="G160" t="str"><v>https://azure.microsoft.com/en-gb/free/search/</v></cell></row><row r="160"><cell r="K160" t="str"><v>July</v></cell><cell r="L160"><v>43288</v></cell><cell r="M160" t="str"><v>Tier 1</v></cell><cell r="N160" t="str"><v>EMEA</v></cell><cell r="O160" t="str"><v>United Kingdom</v></cell><cell r="P160" t="str"><v>Trial</v></cell><cell r="Q160" t="str"><v>Social</v></cell><cell r="R160" t="str"><v>Azure</v></cell><cell r="S160" t="str"><v>Apps & Infra</v></cell><cell r="T160" t="str"><v>Developers & ITI's</v></cell><cell r="U160" t="str"><v>Audience & Interest Targeting</v></cell><cell r="V160" t="str"><v>Audience Targeting</v></cell><cell r="W160" t="str"><v>Link Ad</v></cell><cell r="X160" t="str"><v>1x1</v></cell></row><row r="160"><cell r="AA160"><v>43284</v></cell><cell r="AB160" t="str"><v>GBR_gaPMG_CE_AZR_Q1_19_Trial-Social</v></cell><cell r="AC160"><v>21337013</v></cell><cell r="AD160"><v>720196</v></cell><cell r="AE160" t="str"><v>Facebook</v></cell><cell r="AF160"><v>3654128</v></cell><cell r="AG160" t="str"><v>Facebook»Audience & Interest Targeting»1x1»SocialBan»LIA»DT»DYN»AUT»W»NA»SS»NA»Free Account Refresh- Lifestyle ChA</v></cell><cell r="AH160"><v>223560341</v></cell><cell r="AI160" t="str"><v>AzurePlatform_FreeAcctAppsFACEBOOKLifestyleChA_GBR_1200x628_SOC_PLAT_EN_Trial_Standard_NA_SU_T1_1</v></cell><cell r="AJ160"><v>102853597</v></cell></row><row r="161"><cell r="C161" t="str"><v>43284Facebook»Retargeting»1x1»SocialBan»LIA»DT»DYN»RT»W»NA»SS»NA»Free Account Retargeting Generic- Global Alt ChB</v></cell><cell r="D161" t="str"><v>43284223560356</v></cell><cell r="E161" t="str"><v>43284102854016lt ChB</v></cell><cell r="F161" t="str"><v>DCM</v></cell><cell r="G161" t="str"><v>https://azure.microsoft.com/en-gb/free/search/</v></cell></row><row r="161"><cell r="K161" t="str"><v>July</v></cell><cell r="L161"><v>43288</v></cell><cell r="M161" t="str"><v>Tier 1</v></cell><cell r="N161" t="str"><v>EMEA</v></cell><cell r="O161" t="str"><v>United Kingdom</v></cell><cell r="P161" t="str"><v>Trial</v></cell><cell r="Q161" t="str"><v>Social</v></cell><cell r="R161" t="str"><v>Azure</v></cell><cell r="S161" t="str"><v>Apps & Infra</v></cell><cell r="T161" t="str"><v>Developers & ITI's</v></cell><cell r="U161" t="str"><v>Retargeting</v></cell><cell r="V161" t="str"><v>Retargeting</v></cell><cell r="W161" t="str"><v>Link Ad</v></cell><cell r="X161" t="str"><v>1x1</v></cell></row><row r="161"><cell r="AA161"><v>43284</v></cell><cell r="AB161" t="str"><v>GBR_gaPMG_CE_AZR_Q1_19_Trial-Social</v></cell><cell r="AC161"><v>21337013</v></cell><cell r="AD161"><v>720196</v></cell><cell r="AE161" t="str"><v>Facebook</v></cell><cell r="AF161"><v>3654128</v></cell><cell r="AG161" t="str"><v>Facebook»Retargeting»1x1»SocialBan»LIA»DT»DYN»RT»W»NA»SS»NA»Free Account Retargeting Generic- Global Alt ChB</v></cell><cell r="AH161"><v>223560356</v></cell><cell r="AI161" t="str"><v>AzurePlatform_FreeAcctRetargetingFB-GlobalAlt-ChB_GBR_1200x628_SOC_Plat_EN_Free Account_Standard_NA_SU_T2_1</v></cell><cell r="AJ161"><v>102854016</v></cell></row><row r="162"><cell r="C162" t="str"><v>43284Facebook»Retargeting»1x1»SocialBan»LIA»DT»DYN»RT»W»NA»SS»NA»Free Account Retargeting OSS- Logos ChG</v></cell><cell r="D162" t="str"><v>43284223560350</v></cell><cell r="E162" t="str"><v>43284103006547os ChG</v></cell><cell r="F162" t="str"><v>DCM</v></cell><cell r="G162" t="str"><v>https://azure.microsoft.com/en-gb/free/open-source/search/</v></cell></row><row r="162"><cell r="K162" t="str"><v>July</v></cell><cell r="L162"><v>43288</v></cell><cell r="M162" t="str"><v>Tier 1</v></cell><cell r="N162" t="str"><v>EMEA</v></cell><cell r="O162" t="str"><v>United Kingdom</v></cell><cell r="P162" t="str"><v>Trial</v></cell><cell r="Q162" t="str"><v>Social</v></cell><cell r="R162" t="str"><v>Azure</v></cell><cell r="S162" t="str"><v>Apps & Infra</v></cell><cell r="T162" t="str"><v>Developers & ITI's</v></cell><cell r="U162" t="str"><v>Retargeting</v></cell><cell r="V162" t="str"><v>Retargeting</v></cell><cell r="W162" t="str"><v>Link Ad</v></cell><cell r="X162" t="str"><v>1x1</v></cell></row><row r="162"><cell r="AA162"><v>43284</v></cell><cell r="AB162" t="str"><v>GBR_gaPMG_CE_AZR_Q1_19_Trial-Social</v></cell><cell r="AC162"><v>21337013</v></cell><cell r="AD162"><v>720196</v></cell><cell r="AE162" t="str"><v>Facebook</v></cell><cell r="AF162"><v>3654128</v></cell><cell r="AG162" t="str"><v>Facebook»Retargeting»1x1»SocialBan»LIA»DT»DYN»RT»W»NA»SS»NA»Free Account Retargeting OSS- Logos ChG</v></cell><cell r="AH162"><v>223560350</v></cell><cell r="AI162" t="str"><v>AzurePlatform_FreeAcctRetargetingOSSFB-Logos-ChG_GBR_1200x628_SOC_Plat_EN_Free Account_Standard_NA_SU_T2_1</v></cell><cell r="AJ162"><v>103006547</v></cell></row><row r="163"><cell r="C163" t="str"><v>43284Facebook»Retargeting»1x1»SocialBan»LIA»DT»DYN»RT»W»NA»SS»NA»Free Account Retargeting VM- 750 Hrs ChD</v></cell><cell r="D163" t="str"><v>43284223560338</v></cell><cell r="E163" t="str"><v>43284102853603rs ChD</v></cell><cell r="F163" t="str"><v>DCM</v></cell><cell r="G163" t="str"><v>https://azure.microsoft.com/en-gb/free/virtual-machines/search/</v></cell></row><row r="163"><cell r="K163" t="str"><v>July</v></cell><cell r="L163"><v>43288</v></cell><cell r="M163" t="str"><v>Tier 1</v></cell><cell r="N163" t="str"><v>EMEA</v></cell><cell r="O163" t="str"><v>United Kingdom</v></cell><cell r="P163" t="str"><v>Trial</v></cell><cell r="Q163" t="str"><v>Social</v></cell><cell r="R163" t="str"><v>Azure</v></cell><cell r="S163" t="str"><v>Apps & Infra</v></cell><cell r="T163" t="str"><v>Developers & ITI's</v></cell><cell r="U163" t="str"><v>Retargeting</v></cell><cell r="V163" t="str"><v>Retargeting</v></cell><cell r="W163" t="str"><v>Link Ad</v></cell><cell r="X163" t="str"><v>1x1</v></cell></row><row r="163"><cell r="AA163"><v>43284</v></cell><cell r="AB163" t="str"><v>GBR_gaPMG_CE_AZR_Q1_19_Trial-Social</v></cell><cell r="AC163"><v>21337013</v></cell><cell r="AD163"><v>720196</v></cell><cell r="AE163" t="str"><v>Facebook</v></cell><cell r="AF163"><v>3654128</v></cell><cell r="AG163" t="str"><v>Facebook»Retargeting»1x1»SocialBan»LIA»DT»DYN»RT»W»NA»SS»NA»Free Account Retargeting VM- 750 Hrs ChD</v></cell><cell r="AH163"><v>223560338</v></cell><cell r="AI163" t="str"><v>AzurePlatform_FreeAcctRetargetingVMFB-750Hrs-ChD_GBR_1200x628_SOC_Plat_EN_Free Account_Standard_NA_SU_T1_1</v></cell><cell r="AJ163"><v>102853603</v></cell></row><row r="164"><cell r="C164" t="str"><v>43284Facebook»Retargeting»1x1»SocialBan»LIA»DT»DYN»RT»W»NA»SS»NA»Free Account Retargeting VM- On Demand ChE</v></cell><cell r="D164" t="str"><v>43284223560332</v></cell><cell r="E164" t="str"><v>43284102854037nd ChE</v></cell><cell r="F164" t="str"><v>DCM</v></cell><cell r="G164" t="str"><v>https://azure.microsoft.com/en-gb/free/virtual-machines/search/</v></cell></row><row r="164"><cell r="K164" t="str"><v>July</v></cell><cell r="L164"><v>43288</v></cell><cell r="M164" t="str"><v>Tier 1</v></cell><cell r="N164" t="str"><v>EMEA</v></cell><cell r="O164" t="str"><v>United Kingdom</v></cell><cell r="P164" t="str"><v>Trial</v></cell><cell r="Q164" t="str"><v>Social</v></cell><cell r="R164" t="str"><v>Azure</v></cell><cell r="S164" t="str"><v>Apps & Infra</v></cell><cell r="T164" t="str"><v>Developers & ITI's</v></cell><cell r="U164" t="str"><v>Retargeting</v></cell><cell r="V164" t="str"><v>Retargeting</v></cell><cell r="W164" t="str"><v>Link Ad</v></cell><cell r="X164" t="str"><v>1x1</v></cell></row><row r="164"><cell r="AA164"><v>43284</v></cell><cell r="AB164" t="str"><v>GBR_gaPMG_CE_AZR_Q1_19_Trial-Social</v></cell><cell r="AC164"><v>21337013</v></cell><cell r="AD164"><v>720196</v></cell><cell r="AE164" t="str"><v>Facebook</v></cell><cell r="AF164"><v>3654128</v></cell><cell r="AG164" t="str"><v>Facebook»Retargeting»1x1»SocialBan»LIA»DT»DYN»RT»W»NA»SS»NA»Free Account Retargeting VM- On Demand ChE</v></cell><cell r="AH164"><v>223560332</v></cell><cell r="AI164" t="str"><v>AzurePlatform_FreeAcctRetargetingVMFB-OnDemand-ChE_GBR_1200x628_SOC_Plat_EN_Free Account_Standard_NA_SU_T2_1</v></cell><cell r="AJ164"><v>102854037</v></cell></row><row r="165"><cell r="C165" t="str"><v>43284Facebook»AZP-Canvas-Interest&Role-Trial»1x1»Canvas»OTH»MO»CPM»PRO»X»UNK»TP»OT»Canvas-Trial</v></cell><cell r="D165" t="str"><v>43284223298805</v></cell><cell r="E165" t="str"><v>43284102630373-Trial</v></cell><cell r="F165" t="str"><v>DCM</v></cell><cell r="G165" t="str"><v>https://azure.microsoft.com/ja-jp/pricing/purchase-options/</v></cell></row><row r="165"><cell r="K165" t="str"><v>July</v></cell><cell r="L165"><v>43288</v></cell><cell r="M165" t="str"><v>Tier 1</v></cell><cell r="N165" t="str"><v>APAC</v></cell><cell r="O165" t="str"><v>Japan</v></cell><cell r="P165" t="str"><v>Trial</v></cell><cell r="Q165" t="str"><v>Social</v></cell><cell r="R165" t="str"><v>Azure</v></cell><cell r="S165" t="str"><v>Apps & Infra</v></cell><cell r="T165" t="str"><v>Developers & ITI's</v></cell><cell r="U165" t="str"><v>AZP-Canvas-Interest&Role-Trial</v></cell><cell r="V165" t="str"><v>Prospecting</v></cell><cell r="W165" t="str"><v>Other</v></cell><cell r="X165" t="str"><v>1x1</v></cell></row><row r="165"><cell r="AA165"><v>43284</v></cell><cell r="AB165" t="str"><v>JPN_gaPMG_AZR_AZR_Q1_19_Trial-Social</v></cell><cell r="AC165"><v>21276694</v></cell><cell r="AD165"><v>720195</v></cell><cell r="AE165" t="str"><v>Facebook</v></cell><cell r="AF165"><v>3654128</v></cell><cell r="AG165" t="str"><v>Facebook»AZP-Canvas-Interest&Role-Trial»1x1»Canvas»OTH»MO»CPM»PRO»X»UNK»TP»OT»Canvas-Trial</v></cell><cell r="AH165"><v>223298805</v></cell><cell r="AI165" t="str"><v>AzurePlatform_FBCTCcanvaspage-BuyNowCTA-Img3_JPN_1080x162_SOC_Plat_Japanese_NA_Standard_NA_BN_T3_1</v></cell><cell r="AJ165"><v>102630373</v></cell></row><row r="166"><cell r="C166" t="str"><v>43284Facebook»AZP-Canvas-Interest&Role-Trial»1x1»Canvas»OTH»MO»CPM»PRO»X»UNK»TP»OT»Canvas-Trial</v></cell><cell r="D166" t="str"><v>43284223298805</v></cell><cell r="E166" t="str"><v>43284102609621-Trial</v></cell><cell r="F166" t="str"><v>DCM</v></cell><cell r="G166" t="str"><v>https://signup.azure.com/signup?offer=ms-azr-0044p&appId=102&ref=paidmedia-social-fb&redirectURL=https%3a%2f%2fazure.microsoft.com%2fja-jp%2fget-started%2fwelcome-to-azure%2f&l=ja-jp&correlationId=ead86c34-1f10-49dd-a72b-6918462a2cbf</v></cell></row><row r="166"><cell r="K166" t="str"><v>July</v></cell><cell r="L166"><v>43288</v></cell><cell r="M166" t="str"><v>Tier 1</v></cell><cell r="N166" t="str"><v>APAC</v></cell><cell r="O166" t="str"><v>Japan</v></cell><cell r="P166" t="str"><v>Trial</v></cell><cell r="Q166" t="str"><v>Social</v></cell><cell r="R166" t="str"><v>Azure</v></cell><cell r="S166" t="str"><v>Apps & Infra</v></cell><cell r="T166" t="str"><v>Developers & ITI's</v></cell><cell r="U166" t="str"><v>AZP-Canvas-Interest&Role-Trial</v></cell><cell r="V166" t="str"><v>Prospecting</v></cell><cell r="W166" t="str"><v>Other</v></cell><cell r="X166" t="str"><v>1x1</v></cell></row><row r="166"><cell r="AA166"><v>43284</v></cell><cell r="AB166" t="str"><v>JPN_gaPMG_AZR_AZR_Q1_19_Trial-Social</v></cell><cell r="AC166"><v>21276694</v></cell><cell r="AD166"><v>720195</v></cell><cell r="AE166" t="str"><v>Facebook</v></cell><cell r="AF166"><v>3654128</v></cell><cell r="AG166" t="str"><v>Facebook»AZP-Canvas-Interest&Role-Trial»1x1»Canvas»OTH»MO»CPM»PRO»X»UNK»TP»OT»Canvas-Trial</v></cell><cell r="AH166"><v>223298805</v></cell><cell r="AI166" t="str"><v>AzurePlatform_FBCTCcanvaspage-StartFreeCTA-Img2_JPN_1080x143 _SOC_Plat_Japanese_NA_Standard_NA_NA_T2_1</v></cell><cell r="AJ166"><v>102609621</v></cell></row><row r="167"><cell r="C167" t="str"><v>43284Facebook»AZP-Canvas-Look a Like-Trial»1x1»Canvas»OTH»MO»CPM»PRO»X»UNK»TP»OT»Canvas-Trial</v></cell><cell r="D167" t="str"><v>43284223297413</v></cell><cell r="E167" t="str"><v>43284102630373-Trial</v></cell><cell r="F167" t="str"><v>DCM</v></cell><cell r="G167" t="str"><v>https://azure.microsoft.com/ja-jp/pricing/purchase-options/</v></cell></row><row r="167"><cell r="K167" t="str"><v>July</v></cell><cell r="L167"><v>43288</v></cell><cell r="M167" t="str"><v>Tier 1</v></cell><cell r="N167" t="str"><v>APAC</v></cell><cell r="O167" t="str"><v>Japan</v></cell><cell r="P167" t="str"><v>Trial</v></cell><cell r="Q167" t="str"><v>Social</v></cell><cell r="R167" t="str"><v>Azure</v></cell><cell r="S167" t="str"><v>Apps & Infra</v></cell><cell r="T167" t="str"><v>Developers & ITI's</v></cell><cell r="U167" t="str"><v>AZP-Canvas-Look a Like-Trial</v></cell><cell r="V167" t="str"><v>Prospecting</v></cell><cell r="W167" t="str"><v>Other</v></cell><cell r="X167" t="str"><v>1x1</v></cell></row><row r="167"><cell r="AA167"><v>43284</v></cell><cell r="AB167" t="str"><v>JPN_gaPMG_AZR_AZR_Q1_19_Trial-Social</v></cell><cell r="AC167"><v>21276694</v></cell><cell r="AD167"><v>720195</v></cell><cell r="AE167" t="str"><v>Facebook</v></cell><cell r="AF167"><v>3654128</v></cell><cell r="AG167" t="str"><v>Facebook»AZP-Canvas-Look a Like-Trial»1x1»Canvas»OTH»MO»CPM»PRO»X»UNK»TP»OT»Canvas-Trial</v></cell><cell r="AH167"><v>223297413</v></cell><cell r="AI167" t="str"><v>AzurePlatform_FBCTCcanvaspage-BuyNowCTA-Img3_JPN_1080x162_SOC_Plat_Japanese_NA_Standard_NA_BN_T3_1</v></cell><cell r="AJ167"><v>102630373</v></cell></row><row r="168"><cell r="C168" t="str"><v>43284Facebook»AZP-Canvas-Look a Like-Trial»1x1»Canvas»OTH»MO»CPM»PRO»X»UNK»TP»OT»Canvas-Trial</v></cell><cell r="D168" t="str"><v>43284223297413</v></cell><cell r="E168" t="str"><v>43284102609621-Trial</v></cell><cell r="F168" t="str"><v>DCM</v></cell><cell r="G168" t="str"><v>https://signup.azure.com/signup?offer=ms-azr-0044p&appId=102&ref=paidmedia-social-fb&redirectURL=https%3a%2f%2fazure.microsoft.com%2fja-jp%2fget-started%2fwelcome-to-azure%2f&l=ja-jp&correlationId=ead86c34-1f10-49dd-a72b-6918462a2cbf</v></cell></row><row r="168"><cell r="K168" t="str"><v>July</v></cell><cell r="L168"><v>43288</v></cell><cell r="M168" t="str"><v>Tier 1</v></cell><cell r="N168" t="str"><v>APAC</v></cell><cell r="O168" t="str"><v>Japan</v></cell><cell r="P168" t="str"><v>Trial</v></cell><cell r="Q168" t="str"><v>Social</v></cell><cell r="R168" t="str"><v>Azure</v></cell><cell r="S168" t="str"><v>Apps & Infra</v></cell><cell r="T168" t="str"><v>Developers & ITI's</v></cell><cell r="U168" t="str"><v>AZP-Canvas-Look a Like-Trial</v></cell><cell r="V168" t="str"><v>Prospecting</v></cell><cell r="W168" t="str"><v>Other</v></cell><cell r="X168" t="str"><v>1x1</v></cell></row><row r="168"><cell r="AA168"><v>43284</v></cell><cell r="AB168" t="str"><v>JPN_gaPMG_AZR_AZR_Q1_19_Trial-Social</v></cell><cell r="AC168"><v>21276694</v></cell><cell r="AD168"><v>720195</v></cell><cell r="AE168" t="str"><v>Facebook</v></cell><cell r="AF168"><v>3654128</v></cell><cell r="AG168" t="str"><v>Facebook»AZP-Canvas-Look a Like-Trial»1x1»Canvas»OTH»MO»CPM»PRO»X»UNK»TP»OT»Canvas-Trial</v></cell><cell r="AH168"><v>223297413</v></cell><cell r="AI168" t="str"><v>AzurePlatform_FBCTCcanvaspage-StartFreeCTA-Img2_JPN_1080x143 _SOC_Plat_Japanese_NA_Standard_NA_NA_T2_1</v></cell><cell r="AJ168"><v>102609621</v></cell></row><row r="169"><cell r="C169" t="str"><v>43284Facebook»AZP-Retargeting»1x1»Ban»LIA»ALL»CPM»RT»X»All»TP»OT»Free Account Retargeting Generic-ChB</v></cell><cell r="D169" t="str"><v>43284223726377</v></cell><cell r="E169" t="str"><v>43284102977720ic-ChB</v></cell><cell r="F169" t="str"><v>DCM</v></cell><cell r="G169" t="str"><v>https://azure.microsoft.com/ja-jp/free/search/</v></cell></row><row r="169"><cell r="K169" t="str"><v>July</v></cell><cell r="L169"><v>43288</v></cell><cell r="M169" t="str"><v>Tier 1</v></cell><cell r="N169" t="str"><v>APAC</v></cell><cell r="O169" t="str"><v>Japan</v></cell><cell r="P169" t="str"><v>Trial</v></cell><cell r="Q169" t="str"><v>Social</v></cell><cell r="R169" t="str"><v>Azure</v></cell><cell r="S169" t="str"><v>Apps & Infra</v></cell><cell r="T169" t="str"><v>Developers & ITI's</v></cell><cell r="U169" t="str"><v>AZP-Retargeting</v></cell><cell r="V169" t="str"><v>Retargeting</v></cell><cell r="W169" t="str"><v>Link Ad</v></cell><cell r="X169" t="str"><v>1x1</v></cell></row><row r="169"><cell r="AA169"><v>43284</v></cell><cell r="AB169" t="str"><v>JPN_gaPMG_AZR_AZR_Q1_19_Trial-Social</v></cell><cell r="AC169"><v>21276694</v></cell><cell r="AD169"><v>720195</v></cell><cell r="AE169" t="str"><v>Facebook</v></cell><cell r="AF169"><v>3654128</v></cell><cell r="AG169" t="str"><v>Facebook»AZP-Retargeting»1x1»Ban»LIA»ALL»CPM»RT»X»All»TP»OT»Free Account Retargeting Generic-ChB</v></cell><cell r="AH169"><v>223726377</v></cell><cell r="AI169" t="str"><v>AzurePlatform_FreeAcctRetargetingFB-GlobalAlt-ChB_JPN_1200x628_SOC_Plat_JA_Free Account_Standard_NA_SU_T2_1</v></cell><cell r="AJ169"><v>102977720</v></cell></row><row r="170"><cell r="C170" t="str"><v>43284Facebook»AZP-Retargeting»1x1»Ban»LIA»ALL»CPM»RT»X»All»TP»OT»Free Account Retargeting VM-ChD</v></cell><cell r="D170" t="str"><v>43284223726374</v></cell><cell r="E170" t="str"><v>43284102971306VM-ChD</v></cell><cell r="F170" t="str"><v>DCM</v></cell><cell r="G170" t="str"><v>https://azure.microsoft.com/ja-jp/free/virtual-machines/search/</v></cell></row><row r="170"><cell r="K170" t="str"><v>July</v></cell><cell r="L170"><v>43288</v></cell><cell r="M170" t="str"><v>Tier 1</v></cell><cell r="N170" t="str"><v>APAC</v></cell><cell r="O170" t="str"><v>Japan</v></cell><cell r="P170" t="str"><v>Trial</v></cell><cell r="Q170" t="str"><v>Social</v></cell><cell r="R170" t="str"><v>Azure</v></cell><cell r="S170" t="str"><v>Apps & Infra</v></cell><cell r="T170" t="str"><v>Developers & ITI's</v></cell><cell r="U170" t="str"><v>AZP-Retargeting</v></cell><cell r="V170" t="str"><v>Retargeting</v></cell><cell r="W170" t="str"><v>Link Ad</v></cell><cell r="X170" t="str"><v>1x1</v></cell></row><row r="170"><cell r="AA170"><v>43284</v></cell><cell r="AB170" t="str"><v>JPN_gaPMG_AZR_AZR_Q1_19_Trial-Social</v></cell><cell r="AC170"><v>21276694</v></cell><cell r="AD170"><v>720195</v></cell><cell r="AE170" t="str"><v>Facebook</v></cell><cell r="AF170"><v>3654128</v></cell><cell r="AG170" t="str"><v>Facebook»AZP-Retargeting»1x1»Ban»LIA»ALL»CPM»RT»X»All»TP»OT»Free Account Retargeting VM-ChD</v></cell><cell r="AH170"><v>223726374</v></cell><cell r="AI170" t="str"><v>AzurePlatform_FreeAcctRetargetingVMFB-750Hrs-ChD_JPN_1200x628_SOC_Plat_JA_Free Account_Standard_NA_SU_T1_1</v></cell><cell r="AJ170"><v>102971306</v></cell></row><row r="171"><cell r="C171" t="str"><v>43284Facebook»AZP-Retargeting»1x1»Canvas»OTH»MO»CPM»RT»W»UNK»TP»OT»Trial-Basicmotion</v></cell><cell r="D171" t="str"><v>43284223298811</v></cell><cell r="E171" t="str"><v>43284102773984motion</v></cell><cell r="F171" t="str"><v>DCM</v></cell><cell r="G171" t="str"><v>https://azure.microsoft.com/ja-jp/free/search/</v></cell></row><row r="171"><cell r="K171" t="str"><v>July</v></cell><cell r="L171"><v>43288</v></cell><cell r="M171" t="str"><v>Tier 1</v></cell><cell r="N171" t="str"><v>APAC</v></cell><cell r="O171" t="str"><v>Japan</v></cell><cell r="P171" t="str"><v>Trial</v></cell><cell r="Q171" t="str"><v>Social</v></cell><cell r="R171" t="str"><v>Azure</v></cell><cell r="S171" t="str"><v>Apps & Infra</v></cell><cell r="T171" t="str"><v>Developers & ITI's</v></cell><cell r="U171" t="str"><v>AZP-Retargeting</v></cell><cell r="V171" t="str"><v>Retargeting</v></cell><cell r="W171" t="str"><v>Other</v></cell><cell r="X171" t="str"><v>1x1</v></cell></row><row r="171"><cell r="AA171"><v>43284</v></cell><cell r="AB171" t="str"><v>JPN_gaPMG_AZR_AZR_Q1_19_Trial-Social</v></cell><cell r="AC171"><v>21276694</v></cell><cell r="AD171"><v>720195</v></cell><cell r="AE171" t="str"><v>Facebook</v></cell><cell r="AF171"><v>3654128</v></cell><cell r="AG171" t="str"><v>Facebook»AZP-Retargeting»1x1»Canvas»OTH»MO»CPM»RT»W»UNK»TP»OT»Trial-Basicmotion</v></cell><cell r="AH171"><v>223298811</v></cell><cell r="AI171" t="str"><v>AzurePlatform_FBCTCBasicMotion_JPN_10sec_ISV_PLAT_JA_Trial_Standard_STAN_TN_T1_1</v></cell><cell r="AJ171"><v>102773984</v></cell></row><row r="172"><cell r="C172" t="str"><v>43284Facebook»AZP-Retargeting»1x1»Canvas»OTH»MO»CPM»RT»W»UNK»TP»OT»Trial-Benefit2inMotion</v></cell><cell r="D172" t="str"><v>43284223298496</v></cell><cell r="E172" t="str"><v>43284102630376Motion</v></cell><cell r="F172" t="str"><v>DCM</v></cell><cell r="G172" t="str"><v>https://azure.microsoft.com/ja-jp/free/search/</v></cell></row><row r="172"><cell r="K172" t="str"><v>July</v></cell><cell r="L172"><v>43288</v></cell><cell r="M172" t="str"><v>Tier 1</v></cell><cell r="N172" t="str"><v>APAC</v></cell><cell r="O172" t="str"><v>Japan</v></cell><cell r="P172" t="str"><v>Trial</v></cell><cell r="Q172" t="str"><v>Social</v></cell><cell r="R172" t="str"><v>Azure</v></cell><cell r="S172" t="str"><v>Apps & Infra</v></cell><cell r="T172" t="str"><v>Developers & ITI's</v></cell><cell r="U172" t="str"><v>AZP-Retargeting</v></cell><cell r="V172" t="str"><v>Retargeting</v></cell><cell r="W172" t="str"><v>Other</v></cell><cell r="X172" t="str"><v>1x1</v></cell></row><row r="172"><cell r="AA172"><v>43284</v></cell><cell r="AB172" t="str"><v>JPN_gaPMG_AZR_AZR_Q1_19_Trial-Social</v></cell><cell r="AC172"><v>21276694</v></cell><cell r="AD172"><v>720195</v></cell><cell r="AE172" t="str"><v>Facebook</v></cell><cell r="AF172"><v>3654128</v></cell><cell r="AG172" t="str"><v>Facebook»AZP-Retargeting»1x1»Canvas»OTH»MO»CPM»RT»W»UNK»TP»OT»Trial-Benefit2inMotion</v></cell><cell r="AH172"><v>223298496</v></cell><cell r="AI172" t="str"><v>AzurePlatform_FBCTCBenefit2inMotion_JPN_14sec_ISV_PLAT_JA_Trial_Standard_STAN_TN_T4_1</v></cell><cell r="AJ172"><v>102630376</v></cell></row><row r="173"><cell r="C173" t="str"><v>43284Facebook»AZP-Retargeting»1x1»Canvas»OTH»MO»CPM»RT»W»UNK»TP»OT»Trial-BrandinMotion</v></cell><cell r="D173" t="str"><v>43284223298823</v></cell><cell r="E173" t="str"><v>43284102612720Motion</v></cell><cell r="F173" t="str"><v>DCM</v></cell><cell r="G173" t="str"><v>https://azure.microsoft.com/ja-jp/free/search/</v></cell></row><row r="173"><cell r="K173" t="str"><v>July</v></cell><cell r="L173"><v>43288</v></cell><cell r="M173" t="str"><v>Tier 1</v></cell><cell r="N173" t="str"><v>APAC</v></cell><cell r="O173" t="str"><v>Japan</v></cell><cell r="P173" t="str"><v>Trial</v></cell><cell r="Q173" t="str"><v>Social</v></cell><cell r="R173" t="str"><v>Azure</v></cell><cell r="S173" t="str"><v>Apps & Infra</v></cell><cell r="T173" t="str"><v>Developers & ITI's</v></cell><cell r="U173" t="str"><v>AZP-Retargeting</v></cell><cell r="V173" t="str"><v>Retargeting</v></cell><cell r="W173" t="str"><v>Other</v></cell><cell r="X173" t="str"><v>1x1</v></cell></row><row r="173"><cell r="AA173"><v>43284</v></cell><cell r="AB173" t="str"><v>JPN_gaPMG_AZR_AZR_Q1_19_Trial-Social</v></cell><cell r="AC173"><v>21276694</v></cell><cell r="AD173"><v>720195</v></cell><cell r="AE173" t="str"><v>Facebook</v></cell><cell r="AF173"><v>3654128</v></cell><cell r="AG173" t="str"><v>Facebook»AZP-Retargeting»1x1»Canvas»OTH»MO»CPM»RT»W»UNK»TP»OT»Trial-BrandinMotion</v></cell><cell r="AH173"><v>223298823</v></cell><cell r="AI173" t="str"><v>AzurePlatform_FBCTCBrandinMotion_JPN_12sec_ISV_PLAT_JA_Trial_Standard_STAN_TN_T2_1</v></cell><cell r="AJ173"><v>102612720</v></cell></row><row r="174"><cell r="C174" t="str"><v>43284FACEBOOK»USA-Trial-ITD-Interest Prospecting-AZR-AZR»1 x 1»SocialBan»CAN»ALL»CPA»PRO»X»NA»SS»NA»FBCTCBasicMotion»PRC1SV</v></cell><cell r="D174" t="str"><v>43284223934062</v></cell><cell r="E174" t="str"><v>43284103043823PRC1SV</v></cell><cell r="F174" t="str"><v>DCM</v></cell><cell r="G174" t="str"><v>https://signup.azure.com/?OCID=AID%eexcid!_OLA_%ebuy!_%epid!_%ecid!</v></cell></row><row r="174"><cell r="K174" t="str"><v>July</v></cell><cell r="L174"><v>43288</v></cell><cell r="M174" t="str"><v>Tier 0</v></cell><cell r="N174" t="str"><v>North America</v></cell><cell r="O174" t="str"><v>United States</v></cell><cell r="P174" t="str"><v>Trial</v></cell><cell r="Q174" t="str"><v>Social</v></cell><cell r="R174" t="str"><v>Azure</v></cell><cell r="S174" t="str"><v>Apps & Infra</v></cell><cell r="T174" t="str"><v>Developers & ITI's</v></cell><cell r="U174" t="str"><v>USA-Trial-ITD-Interest Prospecting-AZR-AZR</v></cell><cell r="V174" t="str"><v>Prospecting</v></cell><cell r="W174" t="str"><v>Canvas Ad</v></cell><cell r="X174" t="str"><v>1x1</v></cell></row><row r="174"><cell r="AA174"><v>43284</v></cell><cell r="AB174" t="str"><v>USA_gaPMG_AZR_AZR_Q1_19_Direct-Social</v></cell><cell r="AC174"><v>21358715</v></cell><cell r="AD174"><v>720197</v></cell><cell r="AE174" t="str"><v>Facebook</v></cell><cell r="AF174"><v>3654128</v></cell><cell r="AG174" t="str"><v>FACEBOOK»USA-Trial-ITD-Interest Prospecting-AZR-AZR»1 x 1»SocialBan»CAN»ALL»CPA»PRO»X»NA»SS»NA»FBCTCBasicMotion»PRC1SV</v></cell><cell r="AH174"><v>223934062</v></cell><cell r="AI174" t="str"><v>AzurePlatform_FBCTCBasicMotion_USA_10s_CAN_PLATFORM_English_Trial_Standard_STAN_TIN_T1_1</v></cell><cell r="AJ174"><v>103043823</v></cell></row><row r="175"><cell r="C175" t="str"><v>43284FACEBOOK»USA-Trial-ITD-Interest Prospecting-AZR-AZR»1 x 1»SocialBan»CAN»ALL»CPA»PRO»X»NA»SS»NA»FBCTCBasicMotion»PRC1SV</v></cell><cell r="D175" t="str"><v>43284223934062</v></cell><cell r="E175" t="str"><v>43284103175984PRC1SV</v></cell><cell r="F175" t="str"><v>DCM</v></cell><cell r="G175" t="str"><v>https://azure.microsoft.com/en-us/pricing/purchase-options/?v=18.19&OCID=AID%eexcid!_OLA_%ebuy!_%epid!_%ecid!</v></cell></row><row r="175"><cell r="K175" t="str"><v>July</v></cell><cell r="L175"><v>43288</v></cell><cell r="M175" t="str"><v>Tier 0</v></cell><cell r="N175" t="str"><v>North America</v></cell><cell r="O175" t="str"><v>United States</v></cell><cell r="P175" t="str"><v>Trial</v></cell><cell r="Q175" t="str"><v>Social</v></cell><cell r="R175" t="str"><v>Azure</v></cell><cell r="S175" t="str"><v>Apps & Infra</v></cell><cell r="T175" t="str"><v>Developers & ITI's</v></cell><cell r="U175" t="str"><v>USA-Trial-ITD-Interest Prospecting-AZR-AZR</v></cell><cell r="V175" t="str"><v>Prospecting</v></cell><cell r="W175" t="str"><v>Canvas Ad</v></cell><cell r="X175" t="str"><v>1x1</v></cell></row><row r="175"><cell r="AA175"><v>43284</v></cell><cell r="AB175" t="str"><v>USA_gaPMG_AZR_AZR_Q1_19_Direct-Social</v></cell><cell r="AC175"><v>21358715</v></cell><cell r="AD175"><v>720197</v></cell><cell r="AE175" t="str"><v>Facebook</v></cell><cell r="AF175"><v>3654128</v></cell><cell r="AG175" t="str"><v>FACEBOOK»USA-Trial-ITD-Interest Prospecting-AZR-AZR»1 x 1»SocialBan»CAN»ALL»CPA»PRO»X»NA»SS»NA»FBCTCBasicMotion»PRC1SV</v></cell><cell r="AH175"><v>223934062</v></cell><cell r="AI175" t="str"><v>AzurePlatform_FBCTCBasicMotion_USA_10s_CAN_PLATFORM_English_Trial_Standard_STAN_TIN_T1_2</v></cell><cell r="AJ175"><v>103175984</v></cell></row><row r="176"><cell r="C176" t="str"><v>43284FACEBOOK»USA-Trial-ITD-Interest Prospecting-AZR-AZR»1 x 1»SocialBan»CAN»ALL»CPA»PRO»X»NA»SS»NA»FBCTCBenefit2inMotion»PRC1SW</v></cell><cell r="D176" t="str"><v>43284223933138</v></cell><cell r="E176" t="str"><v>43284103043835PRC1SW</v></cell><cell r="F176" t="str"><v>DCM</v></cell><cell r="G176" t="str"><v>https://signup.azure.com/?OCID=AID%eexcid!_OLA_%ebuy!_%epid!_%ecid!</v></cell></row><row r="176"><cell r="K176" t="str"><v>July</v></cell><cell r="L176"><v>43288</v></cell><cell r="M176" t="str"><v>Tier 0</v></cell><cell r="N176" t="str"><v>North America</v></cell><cell r="O176" t="str"><v>United States</v></cell><cell r="P176" t="str"><v>Trial</v></cell><cell r="Q176" t="str"><v>Social</v></cell><cell r="R176" t="str"><v>Azure</v></cell><cell r="S176" t="str"><v>Apps & Infra</v></cell><cell r="T176" t="str"><v>Developers & ITI's</v></cell><cell r="U176" t="str"><v>USA-Trial-ITD-Interest Prospecting-AZR-AZR</v></cell><cell r="V176" t="str"><v>Prospecting</v></cell><cell r="W176" t="str"><v>Canvas Ad</v></cell><cell r="X176" t="str"><v>1x1</v></cell></row><row r="176"><cell r="AA176"><v>43284</v></cell><cell r="AB176" t="str"><v>USA_gaPMG_AZR_AZR_Q1_19_Direct-Social</v></cell><cell r="AC176"><v>21358715</v></cell><cell r="AD176"><v>720197</v></cell><cell r="AE176" t="str"><v>Facebook</v></cell><cell r="AF176"><v>3654128</v></cell><cell r="AG176" t="str"><v>FACEBOOK»USA-Trial-ITD-Interest Prospecting-AZR-AZR»1 x 1»SocialBan»CAN»ALL»CPA»PRO»X»NA»SS»NA»FBCTCBenefit2inMotion»PRC1SW</v></cell><cell r="AH176"><v>223933138</v></cell><cell r="AI176" t="str"><v>AzurePlatform_FBCTCBenefit2inMotion_USA_10s_CAN_PLATFORM_English_Trial_Standard_STAN_TIN_T4_1</v></cell><cell r="AJ176"><v>103043835</v></cell></row><row r="177"><cell r="C177" t="str"><v>43284FACEBOOK»USA-Trial-ITD-Interest Prospecting-AZR-AZR»1 x 1»SocialBan»CAN»ALL»CPA»PRO»X»NA»SS»NA»FBCTCBenefit2inMotion»PRC1SW</v></cell><cell r="D177" t="str"><v>43284223933138</v></cell><cell r="E177" t="str"><v>43284103178645PRC1SW</v></cell><cell r="F177" t="str"><v>DCM</v></cell><cell r="G177" t="str"><v>https://azure.microsoft.com/en-us/pricing/purchase-options/?v=18.19&OCID=AID%eexcid!_OLA_%ebuy!_%epid!_%ecid!</v></cell></row><row r="177"><cell r="K177" t="str"><v>July</v></cell><cell r="L177"><v>43288</v></cell><cell r="M177" t="str"><v>Tier 0</v></cell><cell r="N177" t="str"><v>North America</v></cell><cell r="O177" t="str"><v>United States</v></cell><cell r="P177" t="str"><v>Trial</v></cell><cell r="Q177" t="str"><v>Social</v></cell><cell r="R177" t="str"><v>Azure</v></cell><cell r="S177" t="str"><v>Apps & Infra</v></cell><cell r="T177" t="str"><v>Developers & ITI's</v></cell><cell r="U177" t="str"><v>USA-Trial-ITD-Interest Prospecting-AZR-AZR</v></cell><cell r="V177" t="str"><v>Prospecting</v></cell><cell r="W177" t="str"><v>Canvas Ad</v></cell><cell r="X177" t="str"><v>1x1</v></cell></row><row r="177"><cell r="AA177"><v>43284</v></cell><cell r="AB177" t="str"><v>USA_gaPMG_AZR_AZR_Q1_19_Direct-Social</v></cell><cell r="AC177"><v>21358715</v></cell><cell r="AD177"><v>720197</v></cell><cell r="AE177" t="str"><v>Facebook</v></cell><cell r="AF177"><v>3654128</v></cell><cell r="AG177" t="str"><v>FACEBOOK»USA-Trial-ITD-Interest Prospecting-AZR-AZR»1 x 1»SocialBan»CAN»ALL»CPA»PRO»X»NA»SS»NA»FBCTCBenefit2inMotion»PRC1SW</v></cell><cell r="AH177"><v>223933138</v></cell><cell r="AI177" t="str"><v>AzurePlatform_FBCTCBenefit2inMotion_USA_10s_CAN_PLATFORM_English_Trial_Standard_STAN_TIN_T4_2</v></cell><cell r="AJ177"><v>103178645</v></cell></row><row r="178"><cell r="C178" t="str"><v>43284FACEBOOK»USA-Trial-ITD-Interest Prospecting-AZR-AZR»1 x 1»SocialBan»CAN»ALL»CPA»PRO»X»NA»SS»NA»FBCTCBrandinMotion»PRC1SY</v></cell><cell r="D178" t="str"><v>43284224104929</v></cell><cell r="E178" t="str"><v>43284103176812PRC1SY</v></cell><cell r="F178" t="str"><v>DCM</v></cell><cell r="G178" t="str"><v>https://signup.azure.com/?OCID=AID%eexcid!_OLA_%ebuy!_%epid!_%ecid!</v></cell></row><row r="178"><cell r="K178" t="str"><v>July</v></cell><cell r="L178"><v>43288</v></cell><cell r="M178" t="str"><v>Tier 0</v></cell><cell r="N178" t="str"><v>North America</v></cell><cell r="O178" t="str"><v>United States</v></cell><cell r="P178" t="str"><v>Trial</v></cell><cell r="Q178" t="str"><v>Social</v></cell><cell r="R178" t="str"><v>Azure</v></cell><cell r="S178" t="str"><v>Apps & Infra</v></cell><cell r="T178" t="str"><v>Developers & ITI's</v></cell><cell r="U178" t="str"><v>USA-Trial-ITD-Interest Prospecting-AZR-AZR</v></cell><cell r="V178" t="str"><v>Prospecting</v></cell><cell r="W178" t="str"><v>Canvas Ad</v></cell><cell r="X178" t="str"><v>1x1</v></cell></row><row r="178"><cell r="AA178"><v>43284</v></cell><cell r="AB178" t="str"><v>USA_gaPMG_AZR_AZR_Q1_19_Direct-Social</v></cell><cell r="AC178"><v>21358715</v></cell><cell r="AD178"><v>720197</v></cell><cell r="AE178" t="str"><v>Facebook</v></cell><cell r="AF178"><v>3654128</v></cell><cell r="AG178" t="str"><v>FACEBOOK»USA-Trial-ITD-Interest Prospecting-AZR-AZR»1 x 1»SocialBan»CAN»ALL»CPA»PRO»X»NA»SS»NA»FBCTCBrandinMotion»PRC1SY</v></cell><cell r="AH178"><v>224104929</v></cell><cell r="AI178" t="str"><v>AzurePlatform_FBCTCBrandinMotion_USA_10s_CAN_PLATFORM_English_Trial_Standard_STAN_TIN_T2_1</v></cell><cell r="AJ178"><v>103176812</v></cell></row><row r="179"><cell r="C179" t="str"><v>43284FACEBOOK»USA-Trial-ITD-Interest Prospecting-AZR-AZR»1 x 1»SocialBan»CAN»ALL»CPA»PRO»X»NA»SS»NA»FBCTCBrandinMotion»PRC1SY</v></cell><cell r="D179" t="str"><v>43284224104929</v></cell><cell r="E179" t="str"><v>43284103032823PRC1SY</v></cell><cell r="F179" t="str"><v>DCM</v></cell><cell r="G179" t="str"><v>https://azure.microsoft.com/en-us/pricing/purchase-options/?v=18.19&OCID=AID%eexcid!_OLA_%ebuy!_%epid!_%ecid!</v></cell></row><row r="179"><cell r="K179" t="str"><v>July</v></cell><cell r="L179"><v>43288</v></cell><cell r="M179" t="str"><v>Tier 0</v></cell><cell r="N179" t="str"><v>North America</v></cell><cell r="O179" t="str"><v>United States</v></cell><cell r="P179" t="str"><v>Trial</v></cell><cell r="Q179" t="str"><v>Social</v></cell><cell r="R179" t="str"><v>Azure</v></cell><cell r="S179" t="str"><v>Apps & Infra</v></cell><cell r="T179" t="str"><v>Developers & ITI's</v></cell><cell r="U179" t="str"><v>USA-Trial-ITD-Interest Prospecting-AZR-AZR</v></cell><cell r="V179" t="str"><v>Prospecting</v></cell><cell r="W179" t="str"><v>Canvas Ad</v></cell><cell r="X179" t="str"><v>1x1</v></cell></row><row r="179"><cell r="AA179"><v>43284</v></cell><cell r="AB179" t="str"><v>USA_gaPMG_AZR_AZR_Q1_19_Direct-Social</v></cell><cell r="AC179"><v>21358715</v></cell><cell r="AD179"><v>720197</v></cell><cell r="AE179" t="str"><v>Facebook</v></cell><cell r="AF179"><v>3654128</v></cell><cell r="AG179" t="str"><v>FACEBOOK»USA-Trial-ITD-Interest Prospecting-AZR-AZR»1 x 1»SocialBan»CAN»ALL»CPA»PRO»X»NA»SS»NA»FBCTCBrandinMotion»PRC1SY</v></cell><cell r="AH179"><v>224104929</v></cell><cell r="AI179" t="str"><v>AzurePlatform_FBCTCBrandinMotion_USA_10s_CAN_PLATFORM_English_Trial_Standard_STAN_TIN_T2_2</v></cell><cell r="AJ179"><v>103032823</v></cell></row><row r="180"><cell r="C180" t="str"><v>43284FACEBOOK»USA-Trial-ITD-Interest Prospecting-AZR-AZR»1 x 1»SocialBan»LIA»ALL»CPA»PRO»X»NA»SS»NA»FreeAcctDeveloperFB-AnimatedGeneric-Ch1»PRC1SZ</v></cell><cell r="D180" t="str"><v>43284224104932</v></cell><cell r="E180" t="str"><v>43284103176851PRC1SZ</v></cell><cell r="F180" t="str"><v>DCM</v></cell><cell r="G180" t="str"><v>https://azure.microsoft.com/en-us/free/search/?OCID=AID%eexcid!_OLA_%ebuy!_%epid!_%ecid!</v></cell></row><row r="180"><cell r="K180" t="str"><v>July</v></cell><cell r="L180"><v>43288</v></cell><cell r="M180" t="str"><v>Tier 0</v></cell><cell r="N180" t="str"><v>North America</v></cell><cell r="O180" t="str"><v>United States</v></cell><cell r="P180" t="str"><v>Trial</v></cell><cell r="Q180" t="str"><v>Social</v></cell><cell r="R180" t="str"><v>Azure</v></cell><cell r="S180" t="str"><v>Apps & Infra</v></cell><cell r="T180" t="str"><v>Developers & ITI's</v></cell><cell r="U180" t="str"><v>USA-Trial-ITD-Interest Prospecting-AZR-AZR</v></cell><cell r="V180" t="str"><v>Prospecting</v></cell><cell r="W180" t="str"><v>Link Ad</v></cell><cell r="X180" t="str"><v>1x1</v></cell></row><row r="180"><cell r="AA180"><v>43284</v></cell><cell r="AB180" t="str"><v>USA_gaPMG_AZR_AZR_Q1_19_Direct-Social</v></cell><cell r="AC180"><v>21358715</v></cell><cell r="AD180"><v>720197</v></cell><cell r="AE180" t="str"><v>Facebook</v></cell><cell r="AF180"><v>3654128</v></cell><cell r="AG180" t="str"><v>FACEBOOK»USA-Trial-ITD-Interest Prospecting-AZR-AZR»1 x 1»SocialBan»LIA»ALL»CPA»PRO»X»NA»SS»NA»FreeAcctDeveloperFB-AnimatedGeneric-Ch1»PRC1SZ</v></cell><cell r="AH180"><v>224104932</v></cell><cell r="AI180" t="str"><v>AZR_FreeAcctDeveloperFB-AnimatedGeneric-Ch1_USA_1200x1200_CAN_Direct_English_Trial_Standard_ANI_LEA_T1_2</v></cell><cell r="AJ180"><v>103176851</v></cell></row><row r="181"><cell r="C181" t="str"><v>43284FACEBOOK»USA-Trial-ITD-Interest Prospecting-AZR-AZR»1 x 1»SocialBan»LIA»ALL»CPA»PRO»X»NA»SS»NA»FreeAcctDeveloperFB-AnimatedGeneric-Ch1»PRC1T0</v></cell><cell r="D181" t="str"><v>43284223934065</v></cell><cell r="E181" t="str"><v>43284103176851PRC1T0</v></cell><cell r="F181" t="str"><v>DCM</v></cell><cell r="G181" t="str"><v>https://azure.microsoft.com/en-us/free/search/?OCID=AID%eexcid!_OLA_%ebuy!_%epid!_%ecid!</v></cell></row><row r="181"><cell r="K181" t="str"><v>July</v></cell><cell r="L181"><v>43288</v></cell><cell r="M181" t="str"><v>Tier 0</v></cell><cell r="N181" t="str"><v>North America</v></cell><cell r="O181" t="str"><v>United States</v></cell><cell r="P181" t="str"><v>Trial</v></cell><cell r="Q181" t="str"><v>Social</v></cell><cell r="R181" t="str"><v>Azure</v></cell><cell r="S181" t="str"><v>Apps & Infra</v></cell><cell r="T181" t="str"><v>Developers & ITI's</v></cell><cell r="U181" t="str"><v>USA-Trial-ITD-Interest Prospecting-AZR-AZR</v></cell><cell r="V181" t="str"><v>Prospecting</v></cell><cell r="W181" t="str"><v>Link Ad</v></cell><cell r="X181" t="str"><v>1x1</v></cell></row><row r="181"><cell r="AA181"><v>43284</v></cell><cell r="AB181" t="str"><v>USA_gaPMG_AZR_AZR_Q1_19_Direct-Social</v></cell><cell r="AC181"><v>21358715</v></cell><cell r="AD181"><v>720197</v></cell><cell r="AE181" t="str"><v>Facebook</v></cell><cell r="AF181"><v>3654128</v></cell><cell r="AG181" t="str"><v>FACEBOOK»USA-Trial-ITD-Interest Prospecting-AZR-AZR»1 x 1»SocialBan»LIA»ALL»CPA»PRO»X»NA»SS»NA»FreeAcctDeveloperFB-AnimatedGeneric-Ch1»PRC1T0</v></cell><cell r="AH181"><v>223934065</v></cell><cell r="AI181" t="str"><v>AZR_FreeAcctDeveloperFB-AnimatedGeneric-Ch1_USA_1200x1200_CAN_Direct_English_Trial_Standard_ANI_LEA_T1_2</v></cell><cell r="AJ181"><v>103176851</v></cell></row><row r="182"><cell r="C182" t="str"><v>43284FACEBOOK»USA-Trial-ITD-Interest Prospecting-AZR-AZR»1 x 1»SocialBan»LIA»ALL»CPA»PRO»X»NA»SS»NA»FreeAcctITProFB-AnimatedHybrid-Ch2»PRC1T5</v></cell><cell r="D182" t="str"><v>43284223862882</v></cell><cell r="E182" t="str"><v>43284103180583PRC1T5</v></cell><cell r="F182" t="str"><v>DCM</v></cell></row><row r="182"><cell r="K182" t="str"><v>July</v></cell><cell r="L182"><v>43288</v></cell><cell r="M182" t="str"><v>Tier 0</v></cell><cell r="N182" t="str"><v>North America</v></cell><cell r="O182" t="str"><v>United States</v></cell><cell r="P182" t="str"><v>Trial</v></cell><cell r="Q182" t="str"><v>Social</v></cell><cell r="R182" t="str"><v>Azure</v></cell><cell r="S182" t="str"><v>Apps & Infra</v></cell><cell r="T182" t="str"><v>Developers & ITI's</v></cell><cell r="U182" t="str"><v>USA-Trial-ITD-Interest Prospecting-AZR-AZR</v></cell><cell r="V182" t="str"><v>Prospecting</v></cell><cell r="W182" t="str"><v>Link Ad</v></cell><cell r="X182" t="str"><v>1x1</v></cell></row><row r="182"><cell r="AA182"><v>43284</v></cell><cell r="AB182" t="str"><v>USA_gaPMG_AZR_AZR_Q1_19_Direct-Social</v></cell><cell r="AC182"><v>21358715</v></cell><cell r="AD182"><v>720197</v></cell><cell r="AE182" t="str"><v>Facebook</v></cell><cell r="AF182"><v>3654128</v></cell><cell r="AG182" t="str"><v>FACEBOOK»USA-Trial-ITD-Interest Prospecting-AZR-AZR»1 x 1»SocialBan»LIA»ALL»CPA»PRO»X»NA»SS»NA»FreeAcctITProFB-AnimatedHybrid-Ch2»PRC1T5</v></cell><cell r="AH182"><v>223862882</v></cell><cell r="AI182" t="str"><v>AZR_FreeAcctITProFB-AnimatedHybrid-Ch2_USA_1200x1200_CAN_Direct_English_Trial_Standard_ANI_LEA_T2_2</v></cell><cell r="AJ182"><v>103180583</v></cell></row><row r="183"><cell r="C183" t="str"><v>43284FACEBOOK»USA-Trial-ITD-Interest Prospecting-AZR-AZR»1 x 1»SocialBan»LIA»ALL»CPA»PRO»X»NA»SS»NA»FreeAcctITProFB-AnimatedSecureMngd-Ch1»PRC1T4</v></cell><cell r="D183" t="str"><v>43284224104914</v></cell><cell r="E183" t="str"><v>43284103176830PRC1T4</v></cell><cell r="F183" t="str"><v>DCM</v></cell></row><row r="183"><cell r="K183" t="str"><v>July</v></cell><cell r="L183"><v>43288</v></cell><cell r="M183" t="str"><v>Tier 0</v></cell><cell r="N183" t="str"><v>North America</v></cell><cell r="O183" t="str"><v>United States</v></cell><cell r="P183" t="str"><v>Trial</v></cell><cell r="Q183" t="str"><v>Social</v></cell><cell r="R183" t="str"><v>Azure</v></cell><cell r="S183" t="str"><v>Apps & Infra</v></cell><cell r="T183" t="str"><v>Developers & ITI's</v></cell><cell r="U183" t="str"><v>USA-Trial-ITD-Interest Prospecting-AZR-AZR</v></cell><cell r="V183" t="str"><v>Prospecting</v></cell><cell r="W183" t="str"><v>Link Ad</v></cell><cell r="X183" t="str"><v>1x1</v></cell></row><row r="183"><cell r="AA183"><v>43284</v></cell><cell r="AB183" t="str"><v>USA_gaPMG_AZR_AZR_Q1_19_Direct-Social</v></cell><cell r="AC183"><v>21358715</v></cell><cell r="AD183"><v>720197</v></cell><cell r="AE183" t="str"><v>Facebook</v></cell><cell r="AF183"><v>3654128</v></cell><cell r="AG183" t="str"><v>FACEBOOK»USA-Trial-ITD-Interest Prospecting-AZR-AZR»1 x 1»SocialBan»LIA»ALL»CPA»PRO»X»NA»SS»NA»FreeAcctITProFB-AnimatedSecureMngd-Ch1»PRC1T4</v></cell><cell r="AH183"><v>224104914</v></cell><cell r="AI183" t="str"><v>AZR_FreeAcctITProFB-AnimatedSecureMngd-Ch1_USA_1200x1200_CAN_Direct_English_Trial_Standard_ANI_LEA_T1_1</v></cell><cell r="AJ183"><v>103176830</v></cell></row><row r="184"><cell r="C184" t="str"><v>43284FACEBOOK»USA-Trial-ITD-Retargeting-AZR-AZR»1 x 1»SocialBan»LIA»ALL»CPA»RT»X»NA»SS»NA»FreeAcctDeveloperFB-AnimatedAI-Ch3»PRC26H</v></cell><cell r="D184" t="str"><v>43284223863371</v></cell><cell r="E184" t="str"><v>43284103032778PRC26H</v></cell><cell r="F184" t="str"><v>DCM</v></cell></row><row r="184"><cell r="K184" t="str"><v>July</v></cell><cell r="L184"><v>43288</v></cell><cell r="M184" t="str"><v>Tier 0</v></cell><cell r="N184" t="str"><v>North America</v></cell><cell r="O184" t="str"><v>United States</v></cell><cell r="P184" t="str"><v>Trial</v></cell><cell r="Q184" t="str"><v>Social</v></cell><cell r="R184" t="str"><v>Azure</v></cell><cell r="S184" t="str"><v>Apps & Infra</v></cell><cell r="T184" t="str"><v>Developers & ITI's</v></cell><cell r="U184" t="str"><v>USA-Trial-ITD-Retargeting-AZR-AZR</v></cell><cell r="V184" t="str"><v>Retargeting</v></cell><cell r="W184" t="str"><v>Link Ad</v></cell><cell r="X184" t="str"><v>1x1</v></cell></row><row r="184"><cell r="AA184"><v>43284</v></cell><cell r="AB184" t="str"><v>USA_gaPMG_AZR_AZR_Q1_19_Direct-Social</v></cell><cell r="AC184"><v>21358715</v></cell><cell r="AD184"><v>720197</v></cell><cell r="AE184" t="str"><v>Facebook</v></cell><cell r="AF184"><v>3654128</v></cell><cell r="AG184" t="str"><v>FACEBOOK»USA-Trial-ITD-Retargeting-AZR-AZR»1 x 1»SocialBan»LIA»ALL»CPA»RT»X»NA»SS»NA»FreeAcctDeveloperFB-AnimatedAI-Ch3»PRC26H</v></cell><cell r="AH184"><v>223863371</v></cell><cell r="AI184" t="str"><v>AZR_FreeAcctDeveloperFB-AnimatedAI-Ch3_USA_1200x1200_CAN_Direct_English_Trial_Standard_ANI_LEA_T3_1</v></cell><cell r="AJ184"><v>103032778</v></cell></row><row r="185"><cell r="C185" t="str"><v>43284FACEBOOK»USA-Trial-ITD-Retargeting-AZR-AZR»1 x 1»SocialBan»LIA»ALL»CPA»RT»X»NA»SS»NA»FreeAcctDeveloperFB-AnimatedData-Ch4»PRC26J</v></cell><cell r="D185" t="str"><v>43284224106078</v></cell><cell r="E185" t="str"><v>43284103037935PRC26J</v></cell><cell r="F185" t="str"><v>DCM</v></cell></row><row r="185"><cell r="K185" t="str"><v>July</v></cell><cell r="L185"><v>43288</v></cell><cell r="M185" t="str"><v>Tier 0</v></cell><cell r="N185" t="str"><v>North America</v></cell><cell r="O185" t="str"><v>United States</v></cell><cell r="P185" t="str"><v>Trial</v></cell><cell r="Q185" t="str"><v>Social</v></cell><cell r="R185" t="str"><v>Azure</v></cell><cell r="S185" t="str"><v>Apps & Infra</v></cell><cell r="T185" t="str"><v>Developers & ITI's</v></cell><cell r="U185" t="str"><v>USA-Trial-ITD-Retargeting-AZR-AZR</v></cell><cell r="V185" t="str"><v>Retargeting</v></cell><cell r="W185" t="str"><v>Link Ad</v></cell><cell r="X185" t="str"><v>1x1</v></cell></row><row r="185"><cell r="AA185"><v>43284</v></cell><cell r="AB185" t="str"><v>USA_gaPMG_AZR_AZR_Q1_19_Direct-Social</v></cell><cell r="AC185"><v>21358715</v></cell><cell r="AD185"><v>720197</v></cell><cell r="AE185" t="str"><v>Facebook</v></cell><cell r="AF185"><v>3654128</v></cell><cell r="AG185" t="str"><v>FACEBOOK»USA-Trial-ITD-Retargeting-AZR-AZR»1 x 1»SocialBan»LIA»ALL»CPA»RT»X»NA»SS»NA»FreeAcctDeveloperFB-AnimatedData-Ch4»PRC26J</v></cell><cell r="AH185"><v>224106078</v></cell><cell r="AI185" t="str"><v>AZR_FreeAcctDeveloperFB-AnimatedData-Ch4_USA_1200x1200_CAN_Direct_English_Trial_Standard_ANI_LEA_T4_2</v></cell><cell r="AJ185"><v>103037935</v></cell></row><row r="186"><cell r="C186" t="str"><v>43284FACEBOOK»USA-Trial-ITD-Retargeting-AZR-AZR»1 x 1»SocialBan»LIA»ALL»CPA»RT»X»NA»SS»NA»FreeAcctDeveloperFB-AnimatedGeneric-Ch1»PRC26F</v></cell><cell r="D186" t="str"><v>43284224105850</v></cell><cell r="E186" t="str"><v>43284103176851PRC26F</v></cell><cell r="F186" t="str"><v>DCM</v></cell><cell r="G186" t="str"><v>https://azure.microsoft.com/en-us/free/search/?OCID=AID%eexcid!_OLA_%ebuy!_%epid!_%ecid!</v></cell></row><row r="186"><cell r="K186" t="str"><v>July</v></cell><cell r="L186"><v>43288</v></cell><cell r="M186" t="str"><v>Tier 0</v></cell><cell r="N186" t="str"><v>North America</v></cell><cell r="O186" t="str"><v>United States</v></cell><cell r="P186" t="str"><v>Trial</v></cell><cell r="Q186" t="str"><v>Social</v></cell><cell r="R186" t="str"><v>Azure</v></cell><cell r="S186" t="str"><v>Apps & Infra</v></cell><cell r="T186" t="str"><v>Developers & ITI's</v></cell><cell r="U186" t="str"><v>USA-Trial-ITD-Retargeting-AZR-AZR</v></cell><cell r="V186" t="str"><v>Retargeting</v></cell><cell r="W186" t="str"><v>Link Ad</v></cell><cell r="X186" t="str"><v>1x1</v></cell></row><row r="186"><cell r="AA186"><v>43284</v></cell><cell r="AB186" t="str"><v>USA_gaPMG_AZR_AZR_Q1_19_Direct-Social</v></cell><cell r="AC186"><v>21358715</v></cell><cell r="AD186"><v>720197</v></cell><cell r="AE186" t="str"><v>Facebook</v></cell><cell r="AF186"><v>3654128</v></cell><cell r="AG186" t="str"><v>FACEBOOK»USA-Trial-ITD-Retargeting-AZR-AZR»1 x 1»SocialBan»LIA»ALL»CPA»RT»X»NA»SS»NA»FreeAcctDeveloperFB-AnimatedGeneric-Ch1»PRC26F</v></cell><cell r="AH186"><v>224105850</v></cell><cell r="AI186" t="str"><v>AZR_FreeAcctDeveloperFB-AnimatedGeneric-Ch1_USA_1200x1200_CAN_Direct_English_Trial_Standard_ANI_LEA_T1_2</v></cell><cell r="AJ186"><v>103176851</v></cell></row><row r="187"><cell r="C187" t="str"><v>43284FACEBOOK»USA-Trial-ITD-Retargeting-AZR-AZR»1 x 1»SocialBan»LIA»ALL»CPA»RT»X»NA»SS»NA»FreeAcctDeveloperFB-AnimatedOpenSource-Ch2»PRC26G</v></cell><cell r="D187" t="str"><v>43284223862873</v></cell><cell r="E187" t="str"><v>43284103048329PRC26G</v></cell><cell r="F187" t="str"><v>DCM</v></cell><cell r="G187" t="str"><v>https://azure.microsoft.com/en-us/free/open-source/search/?OCID=AID%eexcid!_OLA_%ebuy!_%epid!_%ecid!</v></cell></row><row r="187"><cell r="K187" t="str"><v>July</v></cell><cell r="L187"><v>43288</v></cell><cell r="M187" t="str"><v>Tier 0</v></cell><cell r="N187" t="str"><v>North America</v></cell><cell r="O187" t="str"><v>United States</v></cell><cell r="P187" t="str"><v>Trial</v></cell><cell r="Q187" t="str"><v>Social</v></cell><cell r="R187" t="str"><v>Azure</v></cell><cell r="S187" t="str"><v>Apps & Infra</v></cell><cell r="T187" t="str"><v>Developers & ITI's</v></cell><cell r="U187" t="str"><v>USA-Trial-ITD-Retargeting-AZR-AZR</v></cell><cell r="V187" t="str"><v>Retargeting</v></cell><cell r="W187" t="str"><v>Link Ad</v></cell><cell r="X187" t="str"><v>1x1</v></cell></row><row r="187"><cell r="AA187"><v>43284</v></cell><cell r="AB187" t="str"><v>USA_gaPMG_AZR_AZR_Q1_19_Direct-Social</v></cell><cell r="AC187"><v>21358715</v></cell><cell r="AD187"><v>720197</v></cell><cell r="AE187" t="str"><v>Facebook</v></cell><cell r="AF187"><v>3654128</v></cell><cell r="AG187" t="str"><v>FACEBOOK»USA-Trial-ITD-Retargeting-AZR-AZR»1 x 1»SocialBan»LIA»ALL»CPA»RT»X»NA»SS»NA»FreeAcctDeveloperFB-AnimatedOpenSource-Ch2»PRC26G</v></cell><cell r="AH187"><v>223862873</v></cell><cell r="AI187" t="str"><v>AZR_FreeAcctDeveloperFB-AnimatedOpenSource-Ch2_USA_1200x1200_CAN_Direct_English_Trial_Standard_ANI_LEA_T2_1</v></cell><cell r="AJ187"><v>103048329</v></cell></row><row r="188"><cell r="C188" t="str"><v>43284FACEBOOK»USA-Trial-ITD-Retargeting-AZR-AZR»1 x 1»SocialBan»LIA»ALL»CPA»RT»X»NA»SS»NA»FreeAcctITProFB-AnimatedHybrid-Ch2»PRC26N</v></cell><cell r="D188" t="str"><v>43284223934053</v></cell><cell r="E188" t="str"><v>43284103180583PRC26N</v></cell><cell r="F188" t="str"><v>DCM</v></cell></row><row r="188"><cell r="K188" t="str"><v>July</v></cell><cell r="L188"><v>43288</v></cell><cell r="M188" t="str"><v>Tier 0</v></cell><cell r="N188" t="str"><v>North America</v></cell><cell r="O188" t="str"><v>United States</v></cell><cell r="P188" t="str"><v>Trial</v></cell><cell r="Q188" t="str"><v>Social</v></cell><cell r="R188" t="str"><v>Azure</v></cell><cell r="S188" t="str"><v>Apps & Infra</v></cell><cell r="T188" t="str"><v>Developers & ITI's</v></cell><cell r="U188" t="str"><v>USA-Trial-ITD-Retargeting-AZR-AZR</v></cell><cell r="V188" t="str"><v>Retargeting</v></cell><cell r="W188" t="str"><v>Link Ad</v></cell><cell r="X188" t="str"><v>1x1</v></cell></row><row r="188"><cell r="AA188"><v>43284</v></cell><cell r="AB188" t="str"><v>USA_gaPMG_AZR_AZR_Q1_19_Direct-Social</v></cell><cell r="AC188"><v>21358715</v></cell><cell r="AD188"><v>720197</v></cell><cell r="AE188" t="str"><v>Facebook</v></cell><cell r="AF188"><v>3654128</v></cell><cell r="AG188" t="str"><v>FACEBOOK»USA-Trial-ITD-Retargeting-AZR-AZR»1 x 1»SocialBan»LIA»ALL»CPA»RT»X»NA»SS»NA»FreeAcctITProFB-AnimatedHybrid-Ch2»PRC26N</v></cell><cell r="AH188"><v>223934053</v></cell><cell r="AI188" t="str"><v>AZR_FreeAcctITProFB-AnimatedHybrid-Ch2_USA_1200x1200_CAN_Direct_English_Trial_Standard_ANI_LEA_T2_2</v></cell><cell r="AJ188"><v>103180583</v></cell></row><row r="189"><cell r="C189" t="str"><v>43284FACEBOOK»USA-Trial-ITD-Retargeting-AZR-AZR»1 x 1»SocialBan»LIA»ALL»CPA»RT»X»NA»SS»NA»FreeAcctITProFB-AnimatedMigration-Ch3»PRC26P</v></cell><cell r="D189" t="str"><v>43284223934056</v></cell><cell r="E189" t="str"><v>43284103176827PRC26P</v></cell><cell r="F189" t="str"><v>DCM</v></cell></row><row r="189"><cell r="K189" t="str"><v>July</v></cell><cell r="L189"><v>43288</v></cell><cell r="M189" t="str"><v>Tier 0</v></cell><cell r="N189" t="str"><v>North America</v></cell><cell r="O189" t="str"><v>United States</v></cell><cell r="P189" t="str"><v>Trial</v></cell><cell r="Q189" t="str"><v>Social</v></cell><cell r="R189" t="str"><v>Azure</v></cell><cell r="S189" t="str"><v>Apps & Infra</v></cell><cell r="T189" t="str"><v>Developers & ITI's</v></cell><cell r="U189" t="str"><v>USA-Trial-ITD-Retargeting-AZR-AZR</v></cell><cell r="V189" t="str"><v>Retargeting</v></cell><cell r="W189" t="str"><v>Link Ad</v></cell><cell r="X189" t="str"><v>1x1</v></cell></row><row r="189"><cell r="AA189"><v>43284</v></cell><cell r="AB189" t="str"><v>USA_gaPMG_AZR_AZR_Q1_19_Direct-Social</v></cell><cell r="AC189"><v>21358715</v></cell><cell r="AD189"><v>720197</v></cell><cell r="AE189" t="str"><v>Facebook</v></cell><cell r="AF189"><v>3654128</v></cell><cell r="AG189" t="str"><v>FACEBOOK»USA-Trial-ITD-Retargeting-AZR-AZR»1 x 1»SocialBan»LIA»ALL»CPA»RT»X»NA»SS»NA»FreeAcctITProFB-AnimatedMigration-Ch3»PRC26P</v></cell><cell r="AH189"><v>223934056</v></cell><cell r="AI189" t="str"><v>AZR_FreeAcctITProFB-AnimatedMigration-Ch3_USA_1200x1200_CAN_Direct_English_Trial_Standard_ANI_LEA_T3_1</v></cell><cell r="AJ189"><v>103176827</v></cell></row><row r="190"><cell r="C190" t="str"><v>43284FACEBOOK»USA-Trial-ITD-Retargeting-AZR-AZR»1 x 1»SocialBan»LIA»ALL»CPA»RT»X»NA»SS»NA»FreeAcctRetargetingFB-Animated-ChC»PRC1RX</v></cell><cell r="D190" t="str"><v>43284223862864</v></cell><cell r="E190" t="str"><v>43284103180880PRC1RX</v></cell><cell r="F190" t="str"><v>DCM</v></cell><cell r="G190" t="str"><v>https://azure.microsoft.com/en-us/free/search/?OCID=AID%eexcid!_OLA_%ebuy!_%epid!_%ecid!</v></cell></row><row r="190"><cell r="K190" t="str"><v>July</v></cell><cell r="L190"><v>43288</v></cell><cell r="M190" t="str"><v>Tier 0</v></cell><cell r="N190" t="str"><v>North America</v></cell><cell r="O190" t="str"><v>United States</v></cell><cell r="P190" t="str"><v>Trial</v></cell><cell r="Q190" t="str"><v>Social</v></cell><cell r="R190" t="str"><v>Azure</v></cell><cell r="S190" t="str"><v>Apps & Infra</v></cell><cell r="T190" t="str"><v>Developers & ITI's</v></cell><cell r="U190" t="str"><v>USA-Trial-ITD-Retargeting-AZR-AZR</v></cell><cell r="V190" t="str"><v>Retargeting</v></cell><cell r="W190" t="str"><v>Link Ad</v></cell><cell r="X190" t="str"><v>1x1</v></cell></row><row r="190"><cell r="AA190"><v>43284</v></cell><cell r="AB190" t="str"><v>USA_gaPMG_AZR_AZR_Q1_19_Direct-Social</v></cell><cell r="AC190"><v>21358715</v></cell><cell r="AD190"><v>720197</v></cell><cell r="AE190" t="str"><v>Facebook</v></cell><cell r="AF190"><v>3654128</v></cell><cell r="AG190" t="str"><v>FACEBOOK»USA-Trial-ITD-Retargeting-AZR-AZR»1 x 1»SocialBan»LIA»ALL»CPA»RT»X»NA»SS»NA»FreeAcctRetargetingFB-Animated-ChC»PRC1RX</v></cell><cell r="AH190"><v>223862864</v></cell><cell r="AI190" t="str"><v>AzurePlatform_FreeAcctRetargetingFB-Animated-ChC_USA_1200x628_CAN_PLATFORM_English_Free Account_Standard_ANI_SINU_T3_2</v></cell><cell r="AJ190"><v>103180880</v></cell></row><row r="191"><cell r="C191" t="str"><v>43284FACEBOOK»USA-Trial-ITD-Retargeting-AZR-AZR»1 x 1»SocialBan»LIA»ALL»CPA»RT»X»NA»SS»NA»FreeAcctRetargetingFB-Credit-ChA»PRC1RV</v></cell><cell r="D191" t="str"><v>43284224106075</v></cell><cell r="E191" t="str"><v>43284103034917PRC1RV</v></cell><cell r="F191" t="str"><v>DCM</v></cell><cell r="G191" t="str"><v>https://azure.microsoft.com/en-us/free/search/?OCID=AID%eexcid!_OLA_%ebuy!_%epid!_%ecid!</v></cell></row><row r="191"><cell r="K191" t="str"><v>July</v></cell><cell r="L191"><v>43288</v></cell><cell r="M191" t="str"><v>Tier 0</v></cell><cell r="N191" t="str"><v>North America</v></cell><cell r="O191" t="str"><v>United States</v></cell><cell r="P191" t="str"><v>Trial</v></cell><cell r="Q191" t="str"><v>Social</v></cell><cell r="R191" t="str"><v>Azure</v></cell><cell r="S191" t="str"><v>Apps & Infra</v></cell><cell r="T191" t="str"><v>Developers & ITI's</v></cell><cell r="U191" t="str"><v>USA-Trial-ITD-Retargeting-AZR-AZR</v></cell><cell r="V191" t="str"><v>Retargeting</v></cell><cell r="W191" t="str"><v>Link Ad</v></cell><cell r="X191" t="str"><v>1x1</v></cell></row><row r="191"><cell r="AA191"><v>43284</v></cell><cell r="AB191" t="str"><v>USA_gaPMG_AZR_AZR_Q1_19_Direct-Social</v></cell><cell r="AC191"><v>21358715</v></cell><cell r="AD191"><v>720197</v></cell><cell r="AE191" t="str"><v>Facebook</v></cell><cell r="AF191"><v>3654128</v></cell><cell r="AG191" t="str"><v>FACEBOOK»USA-Trial-ITD-Retargeting-AZR-AZR»1 x 1»SocialBan»LIA»ALL»CPA»RT»X»NA»SS»NA»FreeAcctRetargetingFB-Credit-ChA»PRC1RV</v></cell><cell r="AH191"><v>224106075</v></cell><cell r="AI191" t="str"><v>AzurePlatform_FreeAcctRetargetingFB-Credit-ChA_USA_1200x628_CAN_PLATFORM_English_Free Account_Standard_NA_SINU_T1_2</v></cell><cell r="AJ191"><v>103034917</v></cell></row><row r="192"><cell r="C192" t="str"><v>43284FACEBOOK»USA-Trial-ITD-Retargeting-AZR-AZR»1 x 1»SocialBan»LIA»ALL»CPA»RT»X»NA»SS»NA»FreeAcctRetargetingFB-GlobalAlt-ChB»PRC1RW</v></cell><cell r="D192" t="str"><v>43284223862756</v></cell><cell r="E192" t="str"><v>43284103180592PRC1RW</v></cell><cell r="F192" t="str"><v>DCM</v></cell><cell r="G192" t="str"><v>https://azure.microsoft.com/en-us/free/search/?OCID=AID%eexcid!_OLA_%ebuy!_%epid!_%ecid!</v></cell></row><row r="192"><cell r="K192" t="str"><v>July</v></cell><cell r="L192"><v>43288</v></cell><cell r="M192" t="str"><v>Tier 0</v></cell><cell r="N192" t="str"><v>North America</v></cell><cell r="O192" t="str"><v>United States</v></cell><cell r="P192" t="str"><v>Trial</v></cell><cell r="Q192" t="str"><v>Social</v></cell><cell r="R192" t="str"><v>Azure</v></cell><cell r="S192" t="str"><v>Apps & Infra</v></cell><cell r="T192" t="str"><v>Developers & ITI's</v></cell><cell r="U192" t="str"><v>USA-Trial-ITD-Retargeting-AZR-AZR</v></cell><cell r="V192" t="str"><v>Retargeting</v></cell><cell r="W192" t="str"><v>Link Ad</v></cell><cell r="X192" t="str"><v>1x1</v></cell></row><row r="192"><cell r="AA192"><v>43284</v></cell><cell r="AB192" t="str"><v>USA_gaPMG_AZR_AZR_Q1_19_Direct-Social</v></cell><cell r="AC192"><v>21358715</v></cell><cell r="AD192"><v>720197</v></cell><cell r="AE192" t="str"><v>Facebook</v></cell><cell r="AF192"><v>3654128</v></cell><cell r="AG192" t="str"><v>FACEBOOK»USA-Trial-ITD-Retargeting-AZR-AZR»1 x 1»SocialBan»LIA»ALL»CPA»RT»X»NA»SS»NA»FreeAcctRetargetingFB-GlobalAlt-ChB»PRC1RW</v></cell><cell r="AH192"><v>223862756</v></cell><cell r="AI192" t="str"><v>AzurePlatform_FreeAcctRetargetingFB-GlobalAlt-ChB_USA_1200x628_CAN_PLATFORM_English_Free Account_Standard_NA_SINU_T2_1</v></cell><cell r="AJ192"><v>103180592</v></cell></row><row r="193"><cell r="C193" t="str"><v>43284FACEBOOK»USA-Trial-ITD-Retargeting-AZR-AZR»1 x 1»SocialBan»LIA»ALL»CPA»RT»X»NA»SS»NA»FreeAcctRetargetingVMFB-750Hrs-ChD»PRC1RY</v></cell><cell r="D193" t="str"><v>43284223862747</v></cell><cell r="E193" t="str"><v>43284103034911PRC1RY</v></cell><cell r="F193" t="str"><v>DCM</v></cell><cell r="G193" t="str"><v>https://azure.microsoft.com/en-us/free/virtual-machines/search/?OCID=AID%eexcid!_OLA_%ebuy!_%epid!_%ecid!</v></cell></row><row r="193"><cell r="K193" t="str"><v>July</v></cell><cell r="L193"><v>43288</v></cell><cell r="M193" t="str"><v>Tier 0</v></cell><cell r="N193" t="str"><v>North America</v></cell><cell r="O193" t="str"><v>United States</v></cell><cell r="P193" t="str"><v>Trial</v></cell><cell r="Q193" t="str"><v>Social</v></cell><cell r="R193" t="str"><v>Azure</v></cell><cell r="S193" t="str"><v>Apps & Infra</v></cell><cell r="T193" t="str"><v>Developers & ITI's</v></cell><cell r="U193" t="str"><v>USA-Trial-ITD-Retargeting-AZR-AZR</v></cell><cell r="V193" t="str"><v>Retargeting</v></cell><cell r="W193" t="str"><v>Link Ad</v></cell><cell r="X193" t="str"><v>1x1</v></cell></row><row r="193"><cell r="AA193"><v>43284</v></cell><cell r="AB193" t="str"><v>USA_gaPMG_AZR_AZR_Q1_19_Direct-Social</v></cell><cell r="AC193"><v>21358715</v></cell><cell r="AD193"><v>720197</v></cell><cell r="AE193" t="str"><v>Facebook</v></cell><cell r="AF193"><v>3654128</v></cell><cell r="AG193" t="str"><v>FACEBOOK»USA-Trial-ITD-Retargeting-AZR-AZR»1 x 1»SocialBan»LIA»ALL»CPA»RT»X»NA»SS»NA»FreeAcctRetargetingVMFB-750Hrs-ChD»PRC1RY</v></cell><cell r="AH193"><v>223862747</v></cell><cell r="AI193" t="str"><v>AzurePlatform_FreeAcctRetargetingVMFB-750Hrs-ChD_USA_1200x628_CAN_PLATFORM_English_Free Account_Standard_NA_SINU_T1_1</v></cell><cell r="AJ193"><v>103034911</v></cell></row><row r="194"><cell r="C194" t="str"><v>43284FACEBOOK»USA-Trial-ITD-Retargeting-AZR-AZR»1 x 1»SocialBan»LIA»ALL»CPA»RT»X»NA»SS»NA»FreeAcctRetargetingVMFB-OnDemand-ChE»PRC1S0</v></cell><cell r="D194" t="str"><v>43284224104899</v></cell><cell r="E194" t="str"><v>43284103180610PRC1S0</v></cell><cell r="F194" t="str"><v>DCM</v></cell><cell r="G194" t="str"><v>https://azure.microsoft.com/en-us/free/virtual-machines/search/?OCID=AID%eexcid!_OLA_%ebuy!_%epid!_%ecid!</v></cell></row><row r="194"><cell r="K194" t="str"><v>July</v></cell><cell r="L194"><v>43288</v></cell><cell r="M194" t="str"><v>Tier 0</v></cell><cell r="N194" t="str"><v>North America</v></cell><cell r="O194" t="str"><v>United States</v></cell><cell r="P194" t="str"><v>Trial</v></cell><cell r="Q194" t="str"><v>Social</v></cell><cell r="R194" t="str"><v>Azure</v></cell><cell r="S194" t="str"><v>Apps & Infra</v></cell><cell r="T194" t="str"><v>Developers & ITI's</v></cell><cell r="U194" t="str"><v>USA-Trial-ITD-Retargeting-AZR-AZR</v></cell><cell r="V194" t="str"><v>Retargeting</v></cell><cell r="W194" t="str"><v>Link Ad</v></cell><cell r="X194" t="str"><v>1x1</v></cell></row><row r="194"><cell r="AA194"><v>43284</v></cell><cell r="AB194" t="str"><v>USA_gaPMG_AZR_AZR_Q1_19_Direct-Social</v></cell><cell r="AC194"><v>21358715</v></cell><cell r="AD194"><v>720197</v></cell><cell r="AE194" t="str"><v>Facebook</v></cell><cell r="AF194"><v>3654128</v></cell><cell r="AG194" t="str"><v>FACEBOOK»USA-Trial-ITD-Retargeting-AZR-AZR»1 x 1»SocialBan»LIA»ALL»CPA»RT»X»NA»SS»NA»FreeAcctRetargetingVMFB-OnDemand-ChE»PRC1S0</v></cell><cell r="AH194"><v>224104899</v></cell><cell r="AI194" t="str"><v>AzurePlatform_FreeAcctRetargetingVMFB-OnDemand-ChE_USA_1200x628_CAN_PLATFORM_English_Free Account_Standard_NA_SINU_T2_1</v></cell><cell r="AJ194"><v>103180610</v></cell></row><row r="195"><cell r="C195" t="str"><v>43284FACEBOOK»USA-Trial-ITD-Retargeting-AZR-AZR»1 x 1»SocialBan»CAN»ALL»CPA»RT»X»NA»SS»NA»FBCTCBenefit2inMotion»PRC1RR</v></cell><cell r="D195" t="str"><v>43284224104896</v></cell><cell r="E195" t="str"><v>43284103043835PRC1RR</v></cell><cell r="F195" t="str"><v>DCM</v></cell><cell r="G195" t="str"><v>https://signup.azure.com/?OCID=AID%eexcid!_OLA_%ebuy!_%epid!_%ecid!</v></cell></row><row r="195"><cell r="K195" t="str"><v>July</v></cell><cell r="L195"><v>43288</v></cell><cell r="M195" t="str"><v>Tier 0</v></cell><cell r="N195" t="str"><v>North America</v></cell><cell r="O195" t="str"><v>United States</v></cell><cell r="P195" t="str"><v>Trial</v></cell><cell r="Q195" t="str"><v>Social</v></cell><cell r="R195" t="str"><v>Azure</v></cell><cell r="S195" t="str"><v>Apps & Infra</v></cell><cell r="T195" t="str"><v>Developers & ITI's</v></cell><cell r="U195" t="str"><v>USA-Trial-ITD-Retargeting-AZR-AZR</v></cell><cell r="V195" t="str"><v>Retargeting</v></cell><cell r="W195" t="str"><v>Canvas Ad</v></cell><cell r="X195" t="str"><v>1x1</v></cell></row><row r="195"><cell r="AA195"><v>43284</v></cell><cell r="AB195" t="str"><v>USA_gaPMG_AZR_AZR_Q1_19_Direct-Social</v></cell><cell r="AC195"><v>21358715</v></cell><cell r="AD195"><v>720197</v></cell><cell r="AE195" t="str"><v>Facebook</v></cell><cell r="AF195"><v>3654128</v></cell><cell r="AG195" t="str"><v>FACEBOOK»USA-Trial-ITD-Retargeting-AZR-AZR»1 x 1»SocialBan»CAN»ALL»CPA»RT»X»NA»SS»NA»FBCTCBenefit2inMotion»PRC1RR</v></cell><cell r="AH195"><v>224104896</v></cell><cell r="AI195" t="str"><v>AzurePlatform_FBCTCBenefit2inMotion_USA_10s_CAN_PLATFORM_English_Trial_Standard_STAN_TIN_T4_1</v></cell><cell r="AJ195"><v>103043835</v></cell></row><row r="196"><cell r="C196" t="str"><v>43284FACEBOOK»USA-Trial-ITD-Retargeting-AZR-AZR»1 x 1»SocialBan»CAN»ALL»CPA»RT»X»NA»SS»NA»FBCTCBrandinMotion»PRC1RT</v></cell><cell r="D196" t="str"><v>43284224106069</v></cell><cell r="E196" t="str"><v>43284103176812PRC1RT</v></cell><cell r="F196" t="str"><v>DCM</v></cell><cell r="G196" t="str"><v>https://signup.azure.com/?OCID=AID%eexcid!_OLA_%ebuy!_%epid!_%ecid!</v></cell></row><row r="196"><cell r="K196" t="str"><v>July</v></cell><cell r="L196"><v>43288</v></cell><cell r="M196" t="str"><v>Tier 0</v></cell><cell r="N196" t="str"><v>North America</v></cell><cell r="O196" t="str"><v>United States</v></cell><cell r="P196" t="str"><v>Trial</v></cell><cell r="Q196" t="str"><v>Social</v></cell><cell r="R196" t="str"><v>Azure</v></cell><cell r="S196" t="str"><v>Apps & Infra</v></cell><cell r="T196" t="str"><v>Developers & ITI's</v></cell><cell r="U196" t="str"><v>USA-Trial-ITD-Retargeting-AZR-AZR</v></cell><cell r="V196" t="str"><v>Retargeting</v></cell><cell r="W196" t="str"><v>Canvas Ad</v></cell><cell r="X196" t="str"><v>1x1</v></cell></row><row r="196"><cell r="AA196"><v>43284</v></cell><cell r="AB196" t="str"><v>USA_gaPMG_AZR_AZR_Q1_19_Direct-Social</v></cell><cell r="AC196"><v>21358715</v></cell><cell r="AD196"><v>720197</v></cell><cell r="AE196" t="str"><v>Facebook</v></cell><cell r="AF196"><v>3654128</v></cell><cell r="AG196" t="str"><v>FACEBOOK»USA-Trial-ITD-Retargeting-AZR-AZR»1 x 1»SocialBan»CAN»ALL»CPA»RT»X»NA»SS»NA»FBCTCBrandinMotion»PRC1RT</v></cell><cell r="AH196"><v>224106069</v></cell><cell r="AI196" t="str"><v>AzurePlatform_FBCTCBrandinMotion_USA_10s_CAN_PLATFORM_English_Trial_Standard_STAN_TIN_T2_1</v></cell><cell r="AJ196"><v>103176812</v></cell></row><row r="197"><cell r="C197" t="str"><v>43284FACEBOOK»USA-Trial-ITD-Retargeting-AZR-AZR»1 x 1»SocialBan»CAN»ALL»CPA»RT»X»NA»SS»NA»FBCTCBrandinMotion»PRC1RT</v></cell><cell r="D197" t="str"><v>43284224106069</v></cell><cell r="E197" t="str"><v>43284103032823PRC1RT</v></cell><cell r="F197" t="str"><v>DCM</v></cell><cell r="G197" t="str"><v>https://azure.microsoft.com/en-us/pricing/purchase-options/?v=18.19&OCID=AID%eexcid!_OLA_%ebuy!_%epid!_%ecid!</v></cell></row><row r="197"><cell r="K197" t="str"><v>July</v></cell><cell r="L197"><v>43288</v></cell><cell r="M197" t="str"><v>Tier 0</v></cell><cell r="N197" t="str"><v>North America</v></cell><cell r="O197" t="str"><v>United States</v></cell><cell r="P197" t="str"><v>Trial</v></cell><cell r="Q197" t="str"><v>Social</v></cell><cell r="R197" t="str"><v>Azure</v></cell><cell r="S197" t="str"><v>Apps & Infra</v></cell><cell r="T197" t="str"><v>Developers & ITI's</v></cell><cell r="U197" t="str"><v>USA-Trial-ITD-Retargeting-AZR-AZR</v></cell><cell r="V197" t="str"><v>Retargeting</v></cell><cell r="W197" t="str"><v>Canvas Ad</v></cell><cell r="X197" t="str"><v>1x1</v></cell></row><row r="197"><cell r="AA197"><v>43284</v></cell><cell r="AB197" t="str"><v>USA_gaPMG_AZR_AZR_Q1_19_Direct-Social</v></cell><cell r="AC197"><v>21358715</v></cell><cell r="AD197"><v>720197</v></cell><cell r="AE197" t="str"><v>Facebook</v></cell><cell r="AF197"><v>3654128</v></cell><cell r="AG197" t="str"><v>FACEBOOK»USA-Trial-ITD-Retargeting-AZR-AZR»1 x 1»SocialBan»CAN»ALL»CPA»RT»X»NA»SS»NA»FBCTCBrandinMotion»PRC1RT</v></cell><cell r="AH197"><v>224106069</v></cell><cell r="AI197" t="str"><v>AzurePlatform_FBCTCBrandinMotion_USA_10s_CAN_PLATFORM_English_Trial_Standard_STAN_TIN_T2_2</v></cell><cell r="AJ197"><v>103032823</v></cell></row><row r="198"><cell r="C198" t="str"><v>43284FACEBOOK»USA-Trial-ITD-Trial Lookalike-AZR-AZR»1 x 1»SocialBan»CAN»ALL»CPA»LAL»X»NA»SS»NA»FBCTCBenefit2inMotion»PRC1M0</v></cell><cell r="D198" t="str"><v>43284223862927</v></cell><cell r="E198" t="str"><v>43284103043835PRC1M0</v></cell><cell r="F198" t="str"><v>DCM</v></cell><cell r="G198" t="str"><v>https://signup.azure.com/?OCID=AID%eexcid!_OLA_%ebuy!_%epid!_%ecid!</v></cell></row><row r="198"><cell r="K198" t="str"><v>July</v></cell><cell r="L198"><v>43288</v></cell><cell r="M198" t="str"><v>Tier 0</v></cell><cell r="N198" t="str"><v>North America</v></cell><cell r="O198" t="str"><v>United States</v></cell><cell r="P198" t="str"><v>Trial</v></cell><cell r="Q198" t="str"><v>Social</v></cell><cell r="R198" t="str"><v>Azure</v></cell><cell r="S198" t="str"><v>Apps & Infra</v></cell><cell r="T198" t="str"><v>Developers & ITI's</v></cell><cell r="U198" t="str"><v>USA-Trial-ITD-Trial Lookalike-AZR-AZR</v></cell><cell r="V198" t="str"><v>Lookalike Targeting</v></cell><cell r="W198" t="str"><v>Canvas Ad</v></cell><cell r="X198" t="str"><v>1x1</v></cell></row><row r="198"><cell r="AA198"><v>43284</v></cell><cell r="AB198" t="str"><v>USA_gaPMG_AZR_AZR_Q1_19_Direct-Social</v></cell><cell r="AC198"><v>21358715</v></cell><cell r="AD198"><v>720197</v></cell><cell r="AE198" t="str"><v>Facebook</v></cell><cell r="AF198"><v>3654128</v></cell><cell r="AG198" t="str"><v>FACEBOOK»USA-Trial-ITD-Trial Lookalike-AZR-AZR»1 x 1»SocialBan»CAN»ALL»CPA»LAL»X»NA»SS»NA»FBCTCBenefit2inMotion»PRC1M0</v></cell><cell r="AH198"><v>223862927</v></cell><cell r="AI198" t="str"><v>AzurePlatform_FBCTCBenefit2inMotion_USA_10s_CAN_PLATFORM_English_Trial_Standard_STAN_TIN_T4_1</v></cell><cell r="AJ198"><v>103043835</v></cell></row><row r="199"><cell r="C199" t="str"><v>43284FACEBOOK»USA-Trial-ITD-Trial Lookalike-AZR-AZR»1 x 1»SocialBan»CAN»ALL»CPA»LAL»X»NA»SS»NA»FBCTCBenefit2inMotion»PRC1M0</v></cell><cell r="D199" t="str"><v>43284223862927</v></cell><cell r="E199" t="str"><v>43284103178645PRC1M0</v></cell><cell r="F199" t="str"><v>DCM</v></cell><cell r="G199" t="str"><v>https://azure.microsoft.com/en-us/pricing/purchase-options/?v=18.19&OCID=AID%eexcid!_OLA_%ebuy!_%epid!_%ecid!</v></cell></row><row r="199"><cell r="K199" t="str"><v>July</v></cell><cell r="L199"><v>43288</v></cell><cell r="M199" t="str"><v>Tier 0</v></cell><cell r="N199" t="str"><v>North America</v></cell><cell r="O199" t="str"><v>United States</v></cell><cell r="P199" t="str"><v>Trial</v></cell><cell r="Q199" t="str"><v>Social</v></cell><cell r="R199" t="str"><v>Azure</v></cell><cell r="S199" t="str"><v>Apps & Infra</v></cell><cell r="T199" t="str"><v>Developers & ITI's</v></cell><cell r="U199" t="str"><v>USA-Trial-ITD-Trial Lookalike-AZR-AZR</v></cell><cell r="V199" t="str"><v>Lookalike Targeting</v></cell><cell r="W199" t="str"><v>Canvas Ad</v></cell><cell r="X199" t="str"><v>1x1</v></cell></row><row r="199"><cell r="AA199"><v>43284</v></cell><cell r="AB199" t="str"><v>USA_gaPMG_AZR_AZR_Q1_19_Direct-Social</v></cell><cell r="AC199"><v>21358715</v></cell><cell r="AD199"><v>720197</v></cell><cell r="AE199" t="str"><v>Facebook</v></cell><cell r="AF199"><v>3654128</v></cell><cell r="AG199" t="str"><v>FACEBOOK»USA-Trial-ITD-Trial Lookalike-AZR-AZR»1 x 1»SocialBan»CAN»ALL»CPA»LAL»X»NA»SS»NA»FBCTCBenefit2inMotion»PRC1M0</v></cell><cell r="AH199"><v>223862927</v></cell><cell r="AI199" t="str"><v>AzurePlatform_FBCTCBenefit2inMotion_USA_10s_CAN_PLATFORM_English_Trial_Standard_STAN_TIN_T4_2</v></cell><cell r="AJ199"><v>103178645</v></cell></row><row r="200"><cell r="C200" t="str"><v>43284FACEBOOK»USA-Trial-ITD-Trial Lookalike-AZR-AZR»1 x 1»SocialBan»LIA»ALL»CPA»LAL»X»NA»SS»NA»FreeAcctDeveloperFB-AnimatedAI-Ch3»PRC1M7</v></cell><cell r="D200" t="str"><v>43284223934104</v></cell><cell r="E200" t="str"><v>43284103032778PRC1M7</v></cell><cell r="F200" t="str"><v>DCM</v></cell></row><row r="200"><cell r="K200" t="str"><v>July</v></cell><cell r="L200"><v>43288</v></cell><cell r="M200" t="str"><v>Tier 0</v></cell><cell r="N200" t="str"><v>North America</v></cell><cell r="O200" t="str"><v>United States</v></cell><cell r="P200" t="str"><v>Trial</v></cell><cell r="Q200" t="str"><v>Social</v></cell><cell r="R200" t="str"><v>Azure</v></cell><cell r="S200" t="str"><v>Apps & Infra</v></cell><cell r="T200" t="str"><v>Developers & ITI's</v></cell><cell r="U200" t="str"><v>USA-Trial-ITD-Trial Lookalike-AZR-AZR</v></cell><cell r="V200" t="str"><v>Lookalike Targeting</v></cell><cell r="W200" t="str"><v>Link Ad</v></cell><cell r="X200" t="str"><v>1x1</v></cell></row><row r="200"><cell r="AA200"><v>43284</v></cell><cell r="AB200" t="str"><v>USA_gaPMG_AZR_AZR_Q1_19_Direct-Social</v></cell><cell r="AC200"><v>21358715</v></cell><cell r="AD200"><v>720197</v></cell><cell r="AE200" t="str"><v>Facebook</v></cell><cell r="AF200"><v>3654128</v></cell><cell r="AG200" t="str"><v>FACEBOOK»USA-Trial-ITD-Trial Lookalike-AZR-AZR»1 x 1»SocialBan»LIA»ALL»CPA»LAL»X»NA»SS»NA»FreeAcctDeveloperFB-AnimatedAI-Ch3»PRC1M7</v></cell><cell r="AH200"><v>223934104</v></cell><cell r="AI200" t="str"><v>AZR_FreeAcctDeveloperFB-AnimatedAI-Ch3_USA_1200x1200_CAN_Direct_English_Trial_Standard_ANI_LEA_T3_1</v></cell><cell r="AJ200"><v>103032778</v></cell></row><row r="201"><cell r="C201" t="str"><v>43284FACEBOOK»USA-Trial-ITD-Trial Lookalike-AZR-AZR»1 x 1»SocialBan»LIA»ALL»CPA»LAL»X»NA»SS»NA»FreeAcctDeveloperFB-AnimatedData-Ch4»PRC1M8</v></cell><cell r="D201" t="str"><v>43284223862933</v></cell><cell r="E201" t="str"><v>43284103037935PRC1M8</v></cell><cell r="F201" t="str"><v>DCM</v></cell></row><row r="201"><cell r="K201" t="str"><v>July</v></cell><cell r="L201"><v>43288</v></cell><cell r="M201" t="str"><v>Tier 0</v></cell><cell r="N201" t="str"><v>North America</v></cell><cell r="O201" t="str"><v>United States</v></cell><cell r="P201" t="str"><v>Trial</v></cell><cell r="Q201" t="str"><v>Social</v></cell><cell r="R201" t="str"><v>Azure</v></cell><cell r="S201" t="str"><v>Apps & Infra</v></cell><cell r="T201" t="str"><v>Developers & ITI's</v></cell><cell r="U201" t="str"><v>USA-Trial-ITD-Trial Lookalike-AZR-AZR</v></cell><cell r="V201" t="str"><v>Lookalike Targeting</v></cell><cell r="W201" t="str"><v>Link Ad</v></cell><cell r="X201" t="str"><v>1x1</v></cell></row><row r="201"><cell r="AA201"><v>43284</v></cell><cell r="AB201" t="str"><v>USA_gaPMG_AZR_AZR_Q1_19_Direct-Social</v></cell><cell r="AC201"><v>21358715</v></cell><cell r="AD201"><v>720197</v></cell><cell r="AE201" t="str"><v>Facebook</v></cell><cell r="AF201"><v>3654128</v></cell><cell r="AG201" t="str"><v>FACEBOOK»USA-Trial-ITD-Trial Lookalike-AZR-AZR»1 x 1»SocialBan»LIA»ALL»CPA»LAL»X»NA»SS»NA»FreeAcctDeveloperFB-AnimatedData-Ch4»PRC1M8</v></cell><cell r="AH201"><v>223862933</v></cell><cell r="AI201" t="str"><v>AZR_FreeAcctDeveloperFB-AnimatedData-Ch4_USA_1200x1200_CAN_Direct_English_Trial_Standard_ANI_LEA_T4_2</v></cell><cell r="AJ201"><v>103037935</v></cell></row><row r="202"><cell r="C202" t="str"><v>43284FACEBOOK»USA-Trial-ITD-Trial Lookalike-AZR-AZR»1 x 1»SocialBan»LIA»ALL»CPA»LAL»X»NA»SS»NA»FreeAcctITProFB-AnimatedHybrid-Ch2»PRC1MC</v></cell><cell r="D202" t="str"><v>43284224104956</v></cell><cell r="E202" t="str"><v>43284103180583PRC1MC</v></cell><cell r="F202" t="str"><v>DCM</v></cell></row><row r="202"><cell r="K202" t="str"><v>July</v></cell><cell r="L202"><v>43288</v></cell><cell r="M202" t="str"><v>Tier 0</v></cell><cell r="N202" t="str"><v>North America</v></cell><cell r="O202" t="str"><v>United States</v></cell><cell r="P202" t="str"><v>Trial</v></cell><cell r="Q202" t="str"><v>Social</v></cell><cell r="R202" t="str"><v>Azure</v></cell><cell r="S202" t="str"><v>Apps & Infra</v></cell><cell r="T202" t="str"><v>Developers & ITI's</v></cell><cell r="U202" t="str"><v>USA-Trial-ITD-Trial Lookalike-AZR-AZR</v></cell><cell r="V202" t="str"><v>Lookalike Targeting</v></cell><cell r="W202" t="str"><v>Link Ad</v></cell><cell r="X202" t="str"><v>1x1</v></cell></row><row r="202"><cell r="AA202"><v>43284</v></cell><cell r="AB202" t="str"><v>USA_gaPMG_AZR_AZR_Q1_19_Direct-Social</v></cell><cell r="AC202"><v>21358715</v></cell><cell r="AD202"><v>720197</v></cell><cell r="AE202" t="str"><v>Facebook</v></cell><cell r="AF202"><v>3654128</v></cell><cell r="AG202" t="str"><v>FACEBOOK»USA-Trial-ITD-Trial Lookalike-AZR-AZR»1 x 1»SocialBan»LIA»ALL»CPA»LAL»X»NA»SS»NA»FreeAcctITProFB-AnimatedHybrid-Ch2»PRC1MC</v></cell><cell r="AH202"><v>224104956</v></cell><cell r="AI202" t="str"><v>AZR_FreeAcctITProFB-AnimatedHybrid-Ch2_USA_1200x1200_CAN_Direct_English_Trial_Standard_ANI_LEA_T2_2</v></cell><cell r="AJ202"><v>103180583</v></cell></row><row r="203"><cell r="C203" t="str"><v>43284FACEBOOK»USA-Trial-ITD-Trial Lookalike-AZR-AZR»1 x 1»SocialBan»CAN»ALL»CPA»LAL»X»NA»SS»NA»FBCTCBrandinMotion»PRC1M3</v></cell><cell r="D203" t="str"><v>43284223862900</v></cell><cell r="E203" t="str"><v>43284103176812PRC1M3</v></cell><cell r="F203" t="str"><v>DCM</v></cell><cell r="G203" t="str"><v>https://signup.azure.com/?OCID=AID%eexcid!_OLA_%ebuy!_%epid!_%ecid!</v></cell></row><row r="203"><cell r="K203" t="str"><v>July</v></cell><cell r="L203"><v>43288</v></cell><cell r="M203" t="str"><v>Tier 0</v></cell><cell r="N203" t="str"><v>North America</v></cell><cell r="O203" t="str"><v>United States</v></cell><cell r="P203" t="str"><v>Trial</v></cell><cell r="Q203" t="str"><v>Social</v></cell><cell r="R203" t="str"><v>Azure</v></cell><cell r="S203" t="str"><v>Apps & Infra</v></cell><cell r="T203" t="str"><v>Developers & ITI's</v></cell><cell r="U203" t="str"><v>USA-Trial-ITD-Trial Lookalike-AZR-AZR</v></cell><cell r="V203" t="str"><v>Lookalike Targeting</v></cell><cell r="W203" t="str"><v>Canvas Ad</v></cell><cell r="X203" t="str"><v>1x1</v></cell></row><row r="203"><cell r="AA203"><v>43284</v></cell><cell r="AB203" t="str"><v>USA_gaPMG_AZR_AZR_Q1_19_Direct-Social</v></cell><cell r="AC203"><v>21358715</v></cell><cell r="AD203"><v>720197</v></cell><cell r="AE203" t="str"><v>Facebook</v></cell><cell r="AF203"><v>3654128</v></cell><cell r="AG203" t="str"><v>FACEBOOK»USA-Trial-ITD-Trial Lookalike-AZR-AZR»1 x 1»SocialBan»CAN»ALL»CPA»LAL»X»NA»SS»NA»FBCTCBrandinMotion»PRC1M3</v></cell><cell r="AH203"><v>223862900</v></cell><cell r="AI203" t="str"><v>AzurePlatform_FBCTCBrandinMotion_USA_10s_CAN_PLATFORM_English_Trial_Standard_STAN_TIN_T2_1</v></cell><cell r="AJ203"><v>103176812</v></cell></row><row r="204"><cell r="C204" t="str"><v>43284FACEBOOK»USA-Trial-ITD-Trial Lookalike-AZR-AZR»1 x 1»SocialBan»CAN»ALL»CPA»LAL»X»NA»SS»NA»FBCTCBrandinMotion»PRC1M3</v></cell><cell r="D204" t="str"><v>43284223862900</v></cell><cell r="E204" t="str"><v>43284103032823PRC1M3</v></cell><cell r="F204" t="str"><v>DCM</v></cell><cell r="G204" t="str"><v>https://azure.microsoft.com/en-us/pricing/purchase-options/?v=18.19&OCID=AID%eexcid!_OLA_%ebuy!_%epid!_%ecid!</v></cell></row><row r="204"><cell r="K204" t="str"><v>July</v></cell><cell r="L204"><v>43288</v></cell><cell r="M204" t="str"><v>Tier 0</v></cell><cell r="N204" t="str"><v>North America</v></cell><cell r="O204" t="str"><v>United States</v></cell><cell r="P204" t="str"><v>Trial</v></cell><cell r="Q204" t="str"><v>Social</v></cell><cell r="R204" t="str"><v>Azure</v></cell><cell r="S204" t="str"><v>Apps & Infra</v></cell><cell r="T204" t="str"><v>Developers & ITI's</v></cell><cell r="U204" t="str"><v>USA-Trial-ITD-Trial Lookalike-AZR-AZR</v></cell><cell r="V204" t="str"><v>Lookalike Targeting</v></cell><cell r="W204" t="str"><v>Canvas Ad</v></cell><cell r="X204" t="str"><v>1x1</v></cell></row><row r="204"><cell r="AA204"><v>43284</v></cell><cell r="AB204" t="str"><v>USA_gaPMG_AZR_AZR_Q1_19_Direct-Social</v></cell><cell r="AC204"><v>21358715</v></cell><cell r="AD204"><v>720197</v></cell><cell r="AE204" t="str"><v>Facebook</v></cell><cell r="AF204"><v>3654128</v></cell><cell r="AG204" t="str"><v>FACEBOOK»USA-Trial-ITD-Trial Lookalike-AZR-AZR»1 x 1»SocialBan»CAN»ALL»CPA»LAL»X»NA»SS»NA»FBCTCBrandinMotion»PRC1M3</v></cell><cell r="AH204"><v>223862900</v></cell><cell r="AI204" t="str"><v>AzurePlatform_FBCTCBrandinMotion_USA_10s_CAN_PLATFORM_English_Trial_Standard_STAN_TIN_T2_2</v></cell><cell r="AJ204"><v>103032823</v></cell></row><row r="205"><cell r="C205" t="str"><v>43284FACEBOOK»USA-Trial-ITD-Trial PayGo Lookalike-AZR-AZR»1 x 1»SocialBan»CAN»ALL»CPA»LAL»X»NA»SS»NA»FBCTCBrandinMotion»PRC1Q3</v></cell><cell r="D205" t="str"><v>43284223935349</v></cell><cell r="E205" t="str"><v>43284103176812PRC1Q3</v></cell><cell r="F205" t="str"><v>DCM</v></cell><cell r="G205" t="str"><v>https://signup.azure.com/?OCID=AID%eexcid!_OLA_%ebuy!_%epid!_%ecid!</v></cell></row><row r="205"><cell r="K205" t="str"><v>July</v></cell><cell r="L205"><v>43288</v></cell><cell r="M205" t="str"><v>Tier 0</v></cell><cell r="N205" t="str"><v>North America</v></cell><cell r="O205" t="str"><v>United States</v></cell><cell r="P205" t="str"><v>Trial</v></cell><cell r="Q205" t="str"><v>Social</v></cell><cell r="R205" t="str"><v>Azure</v></cell><cell r="S205" t="str"><v>Apps & Infra</v></cell><cell r="T205" t="str"><v>Developers & ITI's</v></cell><cell r="U205" t="str"><v>USA-Trial-ITD-Trial PayGo Lookalike-AZR-AZR</v></cell><cell r="V205" t="str"><v>Lookalike Targeting</v></cell><cell r="W205" t="str"><v>Canvas Ad</v></cell><cell r="X205" t="str"><v>1x1</v></cell></row><row r="205"><cell r="AA205"><v>43284</v></cell><cell r="AB205" t="str"><v>USA_gaPMG_AZR_AZR_Q1_19_Direct-Social</v></cell><cell r="AC205"><v>21358715</v></cell><cell r="AD205"><v>720197</v></cell><cell r="AE205" t="str"><v>Facebook</v></cell><cell r="AF205"><v>3654128</v></cell><cell r="AG205" t="str"><v>FACEBOOK»USA-Trial-ITD-Trial PayGo Lookalike-AZR-AZR»1 x 1»SocialBan»CAN»ALL»CPA»LAL»X»NA»SS»NA»FBCTCBrandinMotion»PRC1Q3</v></cell><cell r="AH205"><v>223935349</v></cell><cell r="AI205" t="str"><v>AzurePlatform_FBCTCBrandinMotion_USA_10s_CAN_PLATFORM_English_Trial_Standard_STAN_TIN_T2_1</v></cell><cell r="AJ205"><v>103176812</v></cell></row><row r="206"><cell r="C206" t="str"><v>43284FACEBOOK»USA-Trial-ITD-Trial PayGo Lookalike-AZR-AZR»1 x 1»SocialBan»CAN»ALL»CPA»LAL»X»NA»SS»NA»FBCTCBrandinMotion»PRC1Q3</v></cell><cell r="D206" t="str"><v>43284223935349</v></cell><cell r="E206" t="str"><v>43284103032823PRC1Q3</v></cell><cell r="F206" t="str"><v>DCM</v></cell><cell r="G206" t="str"><v>https://azure.microsoft.com/en-us/pricing/purchase-options/?v=18.19&OCID=AID%eexcid!_OLA_%ebuy!_%epid!_%ecid!</v></cell></row><row r="206"><cell r="K206" t="str"><v>July</v></cell><cell r="L206"><v>43288</v></cell><cell r="M206" t="str"><v>Tier 0</v></cell><cell r="N206" t="str"><v>North America</v></cell><cell r="O206" t="str"><v>United States</v></cell><cell r="P206" t="str"><v>Trial</v></cell><cell r="Q206" t="str"><v>Social</v></cell><cell r="R206" t="str"><v>Azure</v></cell><cell r="S206" t="str"><v>Apps & Infra</v></cell><cell r="T206" t="str"><v>Developers & ITI's</v></cell><cell r="U206" t="str"><v>USA-Trial-ITD-Trial PayGo Lookalike-AZR-AZR</v></cell><cell r="V206" t="str"><v>Lookalike Targeting</v></cell><cell r="W206" t="str"><v>Canvas Ad</v></cell><cell r="X206" t="str"><v>1x1</v></cell></row><row r="206"><cell r="AA206"><v>43284</v></cell><cell r="AB206" t="str"><v>USA_gaPMG_AZR_AZR_Q1_19_Direct-Social</v></cell><cell r="AC206"><v>21358715</v></cell><cell r="AD206"><v>720197</v></cell><cell r="AE206" t="str"><v>Facebook</v></cell><cell r="AF206"><v>3654128</v></cell><cell r="AG206" t="str"><v>FACEBOOK»USA-Trial-ITD-Trial PayGo Lookalike-AZR-AZR»1 x 1»SocialBan»CAN»ALL»CPA»LAL»X»NA»SS»NA»FBCTCBrandinMotion»PRC1Q3</v></cell><cell r="AH206"><v>223935349</v></cell><cell r="AI206" t="str"><v>AzurePlatform_FBCTCBrandinMotion_USA_10s_CAN_PLATFORM_English_Trial_Standard_STAN_TIN_T2_2</v></cell><cell r="AJ206"><v>103032823</v></cell></row><row r="207"><cell r="C207" t="str"><v>43284FACEBOOK»USA-Trial-ITD-Trial PayGo Lookalike-AZR-AZR»1 x 1»SocialBan»CAN»ALL»CPA»LAL»X»NA»SS»NA»FBCTCBenefitinMotion»PRC1Q2</v></cell><cell r="D207" t="str"><v>43284223862960</v></cell><cell r="E207" t="str"><v>43284103032775PRC1Q2</v></cell><cell r="F207" t="str"><v>DCM</v></cell><cell r="G207" t="str"><v>https://signup.azure.com/?OCID=AID%eexcid!_OLA_%ebuy!_%epid!_%ecid!</v></cell></row><row r="207"><cell r="K207" t="str"><v>July</v></cell><cell r="L207"><v>43288</v></cell><cell r="M207" t="str"><v>Tier 0</v></cell><cell r="N207" t="str"><v>North America</v></cell><cell r="O207" t="str"><v>United States</v></cell><cell r="P207" t="str"><v>Trial</v></cell><cell r="Q207" t="str"><v>Social</v></cell><cell r="R207" t="str"><v>Azure</v></cell><cell r="S207" t="str"><v>Apps & Infra</v></cell><cell r="T207" t="str"><v>Developers & ITI's</v></cell><cell r="U207" t="str"><v>USA-Trial-ITD-Trial PayGo Lookalike-AZR-AZR</v></cell><cell r="V207" t="str"><v>Lookalike Targeting</v></cell><cell r="W207" t="str"><v>Canvas Ad</v></cell><cell r="X207" t="str"><v>1x1</v></cell></row><row r="207"><cell r="AA207"><v>43284</v></cell><cell r="AB207" t="str"><v>USA_gaPMG_AZR_AZR_Q1_19_Direct-Social</v></cell><cell r="AC207"><v>21358715</v></cell><cell r="AD207"><v>720197</v></cell><cell r="AE207" t="str"><v>Facebook</v></cell><cell r="AF207"><v>3654128</v></cell><cell r="AG207" t="str"><v>FACEBOOK»USA-Trial-ITD-Trial PayGo Lookalike-AZR-AZR»1 x 1»SocialBan»CAN»ALL»CPA»LAL»X»NA»SS»NA»FBCTCBenefitinMotion»PRC1Q2</v></cell><cell r="AH207"><v>223862960</v></cell><cell r="AI207" t="str"><v>AzurePlatform_FBCTCBenefitinMotion_USA_10s_CAN_PLATFORM_English_Trial_Standard_STAN_TIN_T3_1</v></cell><cell r="AJ207"><v>103032775</v></cell></row><row r="208"><cell r="C208" t="str"><v>43284FACEBOOK»USA-Trial-ITD-Trial PayGo Lookalike-AZR-AZR»1 x 1»SocialBan»LIA»ALL»CPA»LAL»X»NA»SS»NA»FreeAcctDeveloperFB-AnimatedGeneric-Ch1»PRC1Q6</v></cell><cell r="D208" t="str"><v>43284224106129</v></cell><cell r="E208" t="str"><v>43284103176851PRC1Q6</v></cell><cell r="F208" t="str"><v>DCM</v></cell><cell r="G208" t="str"><v>https://azure.microsoft.com/en-us/free/search/?OCID=AID%eexcid!_OLA_%ebuy!_%epid!_%ecid!</v></cell></row><row r="208"><cell r="K208" t="str"><v>July</v></cell><cell r="L208"><v>43288</v></cell><cell r="M208" t="str"><v>Tier 0</v></cell><cell r="N208" t="str"><v>North America</v></cell><cell r="O208" t="str"><v>United States</v></cell><cell r="P208" t="str"><v>Trial</v></cell><cell r="Q208" t="str"><v>Social</v></cell><cell r="R208" t="str"><v>Azure</v></cell><cell r="S208" t="str"><v>Apps & Infra</v></cell><cell r="T208" t="str"><v>Developers & ITI's</v></cell><cell r="U208" t="str"><v>USA-Trial-ITD-Trial PayGo Lookalike-AZR-AZR</v></cell><cell r="V208" t="str"><v>Lookalike Targeting</v></cell><cell r="W208" t="str"><v>Link Ad</v></cell><cell r="X208" t="str"><v>1x1</v></cell></row><row r="208"><cell r="AA208"><v>43284</v></cell><cell r="AB208" t="str"><v>USA_gaPMG_AZR_AZR_Q1_19_Direct-Social</v></cell><cell r="AC208"><v>21358715</v></cell><cell r="AD208"><v>720197</v></cell><cell r="AE208" t="str"><v>Facebook</v></cell><cell r="AF208"><v>3654128</v></cell><cell r="AG208" t="str"><v>FACEBOOK»USA-Trial-ITD-Trial PayGo Lookalike-AZR-AZR»1 x 1»SocialBan»LIA»ALL»CPA»LAL»X»NA»SS»NA»FreeAcctDeveloperFB-AnimatedGeneric-Ch1»PRC1Q6</v></cell><cell r="AH208"><v>224106129</v></cell><cell r="AI208" t="str"><v>AZR_FreeAcctDeveloperFB-AnimatedGeneric-Ch1_USA_1200x1200_CAN_Direct_English_Trial_Standard_ANI_LEA_T1_2</v></cell><cell r="AJ208"><v>103176851</v></cell></row><row r="209"><cell r="C209" t="str"><v>43284FACEBOOK»USA-Trial-ITD-Interest Prospecting-AZR-AZR»1 x 1»SocialBan»LIA»ALL»CPA»PRO»X»NA»SS»NA»FreeAcctDeveloperFB-AnimatedAI-Ch3»PRC1T2</v></cell><cell r="D209" t="str"><v>43284223862765</v></cell><cell r="E209" t="str"><v>43284103032778PRC1T2</v></cell><cell r="F209" t="str"><v>DCM</v></cell></row><row r="209"><cell r="K209" t="str"><v>July</v></cell><cell r="L209"><v>43288</v></cell><cell r="M209" t="str"><v>Tier 0</v></cell><cell r="N209" t="str"><v>North America</v></cell><cell r="O209" t="str"><v>United States</v></cell><cell r="P209" t="str"><v>Trial</v></cell><cell r="Q209" t="str"><v>Social</v></cell><cell r="R209" t="str"><v>Azure</v></cell><cell r="S209" t="str"><v>Apps & Infra</v></cell><cell r="T209" t="str"><v>Developers & ITI's</v></cell><cell r="U209" t="str"><v>USA-Trial-ITD-Interest Prospecting-AZR-AZR</v></cell><cell r="V209" t="str"><v>Prospecting</v></cell><cell r="W209" t="str"><v>Link Ad</v></cell><cell r="X209" t="str"><v>1x1</v></cell></row><row r="209"><cell r="AA209"><v>43284</v></cell><cell r="AB209" t="str"><v>USA_gaPMG_AZR_AZR_Q1_19_Direct-Social</v></cell><cell r="AC209"><v>21358715</v></cell><cell r="AD209"><v>720197</v></cell><cell r="AE209" t="str"><v>Facebook</v></cell><cell r="AF209"><v>3654128</v></cell><cell r="AG209" t="str"><v>FACEBOOK»USA-Trial-ITD-Interest Prospecting-AZR-AZR»1 x 1»SocialBan»LIA»ALL»CPA»PRO»X»NA»SS»NA»FreeAcctDeveloperFB-AnimatedAI-Ch3»PRC1T2</v></cell><cell r="AH209"><v>223862765</v></cell><cell r="AI209" t="str"><v>AZR_FreeAcctDeveloperFB-AnimatedAI-Ch3_USA_1200x1200_CAN_Direct_English_Trial_Standard_ANI_LEA_T3_1</v></cell><cell r="AJ209"><v>103032778</v></cell></row><row r="210"><cell r="C210" t="str"><v>43284FACEBOOK»USA-Trial-ITD-Interest Prospecting-AZR-AZR»1 x 1»SocialBan»LIA»ALL»CPA»PRO»X»NA»SS»NA»FreeAcctDeveloperFB-AnimatedData-Ch4»PRC1T3</v></cell><cell r="D210" t="str"><v>43284223863380</v></cell><cell r="E210" t="str"><v>43284103037935PRC1T3</v></cell><cell r="F210" t="str"><v>DCM</v></cell></row><row r="210"><cell r="K210" t="str"><v>July</v></cell><cell r="L210"><v>43288</v></cell><cell r="M210" t="str"><v>Tier 0</v></cell><cell r="N210" t="str"><v>North America</v></cell><cell r="O210" t="str"><v>United States</v></cell><cell r="P210" t="str"><v>Trial</v></cell><cell r="Q210" t="str"><v>Social</v></cell><cell r="R210" t="str"><v>Azure</v></cell><cell r="S210" t="str"><v>Apps & Infra</v></cell><cell r="T210" t="str"><v>Developers & ITI's</v></cell><cell r="U210" t="str"><v>USA-Trial-ITD-Interest Prospecting-AZR-AZR</v></cell><cell r="V210" t="str"><v>Prospecting</v></cell><cell r="W210" t="str"><v>Link Ad</v></cell><cell r="X210" t="str"><v>1x1</v></cell></row><row r="210"><cell r="AA210"><v>43284</v></cell><cell r="AB210" t="str"><v>USA_gaPMG_AZR_AZR_Q1_19_Direct-Social</v></cell><cell r="AC210"><v>21358715</v></cell><cell r="AD210"><v>720197</v></cell><cell r="AE210" t="str"><v>Facebook</v></cell><cell r="AF210"><v>3654128</v></cell><cell r="AG210" t="str"><v>FACEBOOK»USA-Trial-ITD-Interest Prospecting-AZR-AZR»1 x 1»SocialBan»LIA»ALL»CPA»PRO»X»NA»SS»NA»FreeAcctDeveloperFB-AnimatedData-Ch4»PRC1T3</v></cell><cell r="AH210"><v>223863380</v></cell><cell r="AI210" t="str"><v>AZR_FreeAcctDeveloperFB-AnimatedData-Ch4_USA_1200x1200_CAN_Direct_English_Trial_Standard_ANI_LEA_T4_2</v></cell><cell r="AJ210"><v>103037935</v></cell></row><row r="211"><cell r="C211" t="str"><v>43284FACEBOOK»USA-Trial-ITD-Interest Prospecting-AZR-AZR»1 x 1»SocialBan»LIA»ALL»CPA»PRO»X»NA»SS»NA»FreeAcctDeveloperFB-AnimatedOpenSource-Ch2»PRC1T1</v></cell><cell r="D211" t="str"><v>43284223862885</v></cell><cell r="E211" t="str"><v>43284103048329PRC1T1</v></cell><cell r="F211" t="str"><v>DCM</v></cell><cell r="G211" t="str"><v>https://azure.microsoft.com/en-us/free/open-source/search/?OCID=AID%eexcid!_OLA_%ebuy!_%epid!_%ecid!</v></cell></row><row r="211"><cell r="K211" t="str"><v>July</v></cell><cell r="L211"><v>43288</v></cell><cell r="M211" t="str"><v>Tier 0</v></cell><cell r="N211" t="str"><v>North America</v></cell><cell r="O211" t="str"><v>United States</v></cell><cell r="P211" t="str"><v>Trial</v></cell><cell r="Q211" t="str"><v>Social</v></cell><cell r="R211" t="str"><v>Azure</v></cell><cell r="S211" t="str"><v>Apps & Infra</v></cell><cell r="T211" t="str"><v>Developers & ITI's</v></cell><cell r="U211" t="str"><v>USA-Trial-ITD-Interest Prospecting-AZR-AZR</v></cell><cell r="V211" t="str"><v>Prospecting</v></cell><cell r="W211" t="str"><v>Link Ad</v></cell><cell r="X211" t="str"><v>1x1</v></cell></row><row r="211"><cell r="AA211"><v>43284</v></cell><cell r="AB211" t="str"><v>USA_gaPMG_AZR_AZR_Q1_19_Direct-Social</v></cell><cell r="AC211"><v>21358715</v></cell><cell r="AD211"><v>720197</v></cell><cell r="AE211" t="str"><v>Facebook</v></cell><cell r="AF211"><v>3654128</v></cell><cell r="AG211" t="str"><v>FACEBOOK»USA-Trial-ITD-Interest Prospecting-AZR-AZR»1 x 1»SocialBan»LIA»ALL»CPA»PRO»X»NA»SS»NA»FreeAcctDeveloperFB-AnimatedOpenSource-Ch2»PRC1T1</v></cell><cell r="AH211"><v>223862885</v></cell><cell r="AI211" t="str"><v>AZR_FreeAcctDeveloperFB-AnimatedOpenSource-Ch2_USA_1200x1200_CAN_Direct_English_Trial_Standard_ANI_LEA_T2_1</v></cell><cell r="AJ211"><v>103048329</v></cell></row><row r="212"><cell r="C212" t="str"><v>43284FACEBOOK»USA-Trial-ITD-Interest Prospecting-AZR-AZR»1 x 1»SocialBan»LIA»ALL»CPA»PRO»X»NA»SS»NA»FreeAcctITProFB-AnimatedMigration-Ch3»PRC1X2</v></cell><cell r="D212" t="str"><v>43284224106954</v></cell><cell r="E212" t="str"><v>43284103176827PRC1X2</v></cell><cell r="F212" t="str"><v>DCM</v></cell></row><row r="212"><cell r="K212" t="str"><v>July</v></cell><cell r="L212"><v>43288</v></cell><cell r="M212" t="str"><v>Tier 0</v></cell><cell r="N212" t="str"><v>North America</v></cell><cell r="O212" t="str"><v>United States</v></cell><cell r="P212" t="str"><v>Trial</v></cell><cell r="Q212" t="str"><v>Social</v></cell><cell r="R212" t="str"><v>Azure</v></cell><cell r="S212" t="str"><v>Apps & Infra</v></cell><cell r="T212" t="str"><v>Developers & ITI's</v></cell><cell r="U212" t="str"><v>USA-Trial-ITD-Interest Prospecting-AZR-AZR</v></cell><cell r="V212" t="str"><v>Prospecting</v></cell><cell r="W212" t="str"><v>Link Ad</v></cell><cell r="X212" t="str"><v>1x1</v></cell></row><row r="212"><cell r="AA212"><v>43284</v></cell><cell r="AB212" t="str"><v>USA_gaPMG_AZR_AZR_Q1_19_Direct-Social</v></cell><cell r="AC212"><v>21358715</v></cell><cell r="AD212"><v>720197</v></cell><cell r="AE212" t="str"><v>Facebook</v></cell><cell r="AF212"><v>3654128</v></cell><cell r="AG212" t="str"><v>FACEBOOK»USA-Trial-ITD-Interest Prospecting-AZR-AZR»1 x 1»SocialBan»LIA»ALL»CPA»PRO»X»NA»SS»NA»FreeAcctITProFB-AnimatedMigration-Ch3»PRC1X2</v></cell><cell r="AH212"><v>224106954</v></cell><cell r="AI212" t="str"><v>AZR_FreeAcctITProFB-AnimatedMigration-Ch3_USA_1200x1200_CAN_Direct_English_Trial_Standard_ANI_LEA_T3_1</v></cell><cell r="AJ212"><v>103176827</v></cell></row><row r="213"><cell r="C213" t="str"><v>43284FACEBOOK»USA-Trial-ITD-Lead Completes-AZR-AZR»1 x 1»SocialBan»CAN»ALL»CPA»PRO»X»NA»SS»NA»FBCTCBrandinMotion»PRC1VX</v></cell><cell r="D213" t="str"><v>43284223861547</v></cell><cell r="E213" t="str"><v>43284103176812PRC1VX</v></cell><cell r="F213" t="str"><v>DCM</v></cell><cell r="G213" t="str"><v>https://signup.azure.com/?OCID=AID%eexcid!_OLA_%ebuy!_%epid!_%ecid!</v></cell></row><row r="213"><cell r="K213" t="str"><v>July</v></cell><cell r="L213"><v>43288</v></cell><cell r="M213" t="str"><v>Tier 0</v></cell><cell r="N213" t="str"><v>North America</v></cell><cell r="O213" t="str"><v>United States</v></cell><cell r="P213" t="str"><v>Trial</v></cell><cell r="Q213" t="str"><v>Social</v></cell><cell r="R213" t="str"><v>Azure</v></cell><cell r="S213" t="str"><v>Apps & Infra</v></cell><cell r="T213" t="str"><v>Developers & ITI's</v></cell><cell r="U213" t="str"><v>USA-Trial-ITD-Lead Completes-AZR-AZR</v></cell><cell r="V213" t="str"><v>Prospecting</v></cell><cell r="W213" t="str"><v>Canvas Ad</v></cell><cell r="X213" t="str"><v>1x1</v></cell></row><row r="213"><cell r="AA213"><v>43284</v></cell><cell r="AB213" t="str"><v>USA_gaPMG_AZR_AZR_Q1_19_Direct-Social</v></cell><cell r="AC213"><v>21358715</v></cell><cell r="AD213"><v>720197</v></cell><cell r="AE213" t="str"><v>Facebook</v></cell><cell r="AF213"><v>3654128</v></cell><cell r="AG213" t="str"><v>FACEBOOK»USA-Trial-ITD-Lead Completes-AZR-AZR»1 x 1»SocialBan»CAN»ALL»CPA»PRO»X»NA»SS»NA»FBCTCBrandinMotion»PRC1VX</v></cell><cell r="AH213"><v>223861547</v></cell><cell r="AI213" t="str"><v>AzurePlatform_FBCTCBrandinMotion_USA_10s_CAN_PLATFORM_English_Trial_Standard_STAN_TIN_T2_1</v></cell><cell r="AJ213"><v>103176812</v></cell></row><row r="214"><cell r="C214" t="str"><v>43284FACEBOOK»USA-Trial-ITD-Lead Completes-AZR-AZR»1 x 1»SocialBan»CAN»ALL»CPA»PRO»X»NA»SS»NA»FBCTCBrandinMotion»PRC1VX</v></cell><cell r="D214" t="str"><v>43284223861547</v></cell><cell r="E214" t="str"><v>43284103032823PRC1VX</v></cell><cell r="F214" t="str"><v>DCM</v></cell><cell r="G214" t="str"><v>https://azure.microsoft.com/en-us/pricing/purchase-options/?v=18.19&OCID=AID%eexcid!_OLA_%ebuy!_%epid!_%ecid!</v></cell></row><row r="214"><cell r="K214" t="str"><v>July</v></cell><cell r="L214"><v>43288</v></cell><cell r="M214" t="str"><v>Tier 0</v></cell><cell r="N214" t="str"><v>North America</v></cell><cell r="O214" t="str"><v>United States</v></cell><cell r="P214" t="str"><v>Trial</v></cell><cell r="Q214" t="str"><v>Social</v></cell><cell r="R214" t="str"><v>Azure</v></cell><cell r="S214" t="str"><v>Apps & Infra</v></cell><cell r="T214" t="str"><v>Developers & ITI's</v></cell><cell r="U214" t="str"><v>USA-Trial-ITD-Lead Completes-AZR-AZR</v></cell><cell r="V214" t="str"><v>Prospecting</v></cell><cell r="W214" t="str"><v>Canvas Ad</v></cell><cell r="X214" t="str"><v>1x1</v></cell></row><row r="214"><cell r="AA214"><v>43284</v></cell><cell r="AB214" t="str"><v>USA_gaPMG_AZR_AZR_Q1_19_Direct-Social</v></cell><cell r="AC214"><v>21358715</v></cell><cell r="AD214"><v>720197</v></cell><cell r="AE214" t="str"><v>Facebook</v></cell><cell r="AF214"><v>3654128</v></cell><cell r="AG214" t="str"><v>FACEBOOK»USA-Trial-ITD-Lead Completes-AZR-AZR»1 x 1»SocialBan»CAN»ALL»CPA»PRO»X»NA»SS»NA»FBCTCBrandinMotion»PRC1VX</v></cell><cell r="AH214"><v>223861547</v></cell><cell r="AI214" t="str"><v>AzurePlatform_FBCTCBrandinMotion_USA_10s_CAN_PLATFORM_English_Trial_Standard_STAN_TIN_T2_2</v></cell><cell r="AJ214"><v>103032823</v></cell></row><row r="215"><cell r="C215" t="str"><v>43284FACEBOOK»USA-Trial-ITD-Lead Completes-AZR-AZR»1 x 1»SocialBan»LIA»ALL»CPA»PRO»X»NA»SS»NA»FreeAcctDeveloperFB-AnimatedAI-Ch3»PRC1W1</v></cell><cell r="D215" t="str"><v>43284223933096</v></cell><cell r="E215" t="str"><v>43284103032778PRC1W1</v></cell><cell r="F215" t="str"><v>DCM</v></cell></row><row r="215"><cell r="K215" t="str"><v>July</v></cell><cell r="L215"><v>43288</v></cell><cell r="M215" t="str"><v>Tier 0</v></cell><cell r="N215" t="str"><v>North America</v></cell><cell r="O215" t="str"><v>United States</v></cell><cell r="P215" t="str"><v>Trial</v></cell><cell r="Q215" t="str"><v>Social</v></cell><cell r="R215" t="str"><v>Azure</v></cell><cell r="S215" t="str"><v>Apps & Infra</v></cell><cell r="T215" t="str"><v>Developers & ITI's</v></cell><cell r="U215" t="str"><v>USA-Trial-ITD-Lead Completes-AZR-AZR</v></cell><cell r="V215" t="str"><v>Prospecting</v></cell><cell r="W215" t="str"><v>Link Ad</v></cell><cell r="X215" t="str"><v>1x1</v></cell></row><row r="215"><cell r="AA215"><v>43284</v></cell><cell r="AB215" t="str"><v>USA_gaPMG_AZR_AZR_Q1_19_Direct-Social</v></cell><cell r="AC215"><v>21358715</v></cell><cell r="AD215"><v>720197</v></cell><cell r="AE215" t="str"><v>Facebook</v></cell><cell r="AF215"><v>3654128</v></cell><cell r="AG215" t="str"><v>FACEBOOK»USA-Trial-ITD-Lead Completes-AZR-AZR»1 x 1»SocialBan»LIA»ALL»CPA»PRO»X»NA»SS»NA»FreeAcctDeveloperFB-AnimatedAI-Ch3»PRC1W1</v></cell><cell r="AH215"><v>223933096</v></cell><cell r="AI215" t="str"><v>AZR_FreeAcctDeveloperFB-AnimatedAI-Ch3_USA_1200x1200_CAN_Direct_English_Trial_Standard_ANI_LEA_T3_1</v></cell><cell r="AJ215"><v>103032778</v></cell></row><row r="216"><cell r="C216" t="str"><v>43284FACEBOOK»USA-Trial-ITD-Lead Completes-AZR-AZR»1 x 1»SocialBan»LIA»ALL»CPA»PRO»X»NA»SS»NA»FreeAcctDeveloperFB-AnimatedData-Ch4»PRC1W3</v></cell><cell r="D216" t="str"><v>43284223862711</v></cell><cell r="E216" t="str"><v>43284103037935PRC1W3</v></cell><cell r="F216" t="str"><v>DCM</v></cell></row><row r="216"><cell r="K216" t="str"><v>July</v></cell><cell r="L216"><v>43288</v></cell><cell r="M216" t="str"><v>Tier 0</v></cell><cell r="N216" t="str"><v>North America</v></cell><cell r="O216" t="str"><v>United States</v></cell><cell r="P216" t="str"><v>Trial</v></cell><cell r="Q216" t="str"><v>Social</v></cell><cell r="R216" t="str"><v>Azure</v></cell><cell r="S216" t="str"><v>Apps & Infra</v></cell><cell r="T216" t="str"><v>Developers & ITI's</v></cell><cell r="U216" t="str"><v>USA-Trial-ITD-Lead Completes-AZR-AZR</v></cell><cell r="V216" t="str"><v>Prospecting</v></cell><cell r="W216" t="str"><v>Link Ad</v></cell><cell r="X216" t="str"><v>1x1</v></cell></row><row r="216"><cell r="AA216"><v>43284</v></cell><cell r="AB216" t="str"><v>USA_gaPMG_AZR_AZR_Q1_19_Direct-Social</v></cell><cell r="AC216"><v>21358715</v></cell><cell r="AD216"><v>720197</v></cell><cell r="AE216" t="str"><v>Facebook</v></cell><cell r="AF216"><v>3654128</v></cell><cell r="AG216" t="str"><v>FACEBOOK»USA-Trial-ITD-Lead Completes-AZR-AZR»1 x 1»SocialBan»LIA»ALL»CPA»PRO»X»NA»SS»NA»FreeAcctDeveloperFB-AnimatedData-Ch4»PRC1W3</v></cell><cell r="AH216"><v>223862711</v></cell><cell r="AI216" t="str"><v>AZR_FreeAcctDeveloperFB-AnimatedData-Ch4_USA_1200x1200_CAN_Direct_English_Trial_Standard_ANI_LEA_T4_2</v></cell><cell r="AJ216"><v>103037935</v></cell></row><row r="217"><cell r="C217" t="str"><v>43284FACEBOOK»USA-Trial-ITD-Lead Completes-AZR-AZR»1 x 1»SocialBan»LIA»ALL»CPA»PRO»X»NA»SS»NA»FreeAcctDeveloperFB-AnimatedOpenSource-Ch2»PRC1W0</v></cell><cell r="D217" t="str"><v>43284223933108</v></cell><cell r="E217" t="str"><v>43284103048329PRC1W0</v></cell><cell r="F217" t="str"><v>DCM</v></cell><cell r="G217" t="str"><v>https://azure.microsoft.com/en-us/free/open-source/search/?OCID=AID%eexcid!_OLA_%ebuy!_%epid!_%ecid!</v></cell></row><row r="217"><cell r="K217" t="str"><v>July</v></cell><cell r="L217"><v>43288</v></cell><cell r="M217" t="str"><v>Tier 0</v></cell><cell r="N217" t="str"><v>North America</v></cell><cell r="O217" t="str"><v>United States</v></cell><cell r="P217" t="str"><v>Trial</v></cell><cell r="Q217" t="str"><v>Social</v></cell><cell r="R217" t="str"><v>Azure</v></cell><cell r="S217" t="str"><v>Apps & Infra</v></cell><cell r="T217" t="str"><v>Developers & ITI's</v></cell><cell r="U217" t="str"><v>USA-Trial-ITD-Lead Completes-AZR-AZR</v></cell><cell r="V217" t="str"><v>Prospecting</v></cell><cell r="W217" t="str"><v>Link Ad</v></cell><cell r="X217" t="str"><v>1x1</v></cell></row><row r="217"><cell r="AA217"><v>43284</v></cell><cell r="AB217" t="str"><v>USA_gaPMG_AZR_AZR_Q1_19_Direct-Social</v></cell><cell r="AC217"><v>21358715</v></cell><cell r="AD217"><v>720197</v></cell><cell r="AE217" t="str"><v>Facebook</v></cell><cell r="AF217"><v>3654128</v></cell><cell r="AG217" t="str"><v>FACEBOOK»USA-Trial-ITD-Lead Completes-AZR-AZR»1 x 1»SocialBan»LIA»ALL»CPA»PRO»X»NA»SS»NA»FreeAcctDeveloperFB-AnimatedOpenSource-Ch2»PRC1W0</v></cell><cell r="AH217"><v>223933108</v></cell><cell r="AI217" t="str"><v>AZR_FreeAcctDeveloperFB-AnimatedOpenSource-Ch2_USA_1200x1200_CAN_Direct_English_Trial_Standard_ANI_LEA_T2_1</v></cell><cell r="AJ217"><v>103048329</v></cell></row><row r="218"><cell r="C218" t="str"><v>43284FACEBOOK»USA-Trial-ITD-Lead Completes-AZR-AZR»1 x 1»SocialBan»LIA»ALL»CPA»PRO»X»NA»SS»NA»FreeAcctITProFB-AnimatedHybrid-Ch2»PRC1W5</v></cell><cell r="D218" t="str"><v>43284224106033</v></cell><cell r="E218" t="str"><v>43284103180583PRC1W5</v></cell><cell r="F218" t="str"><v>DCM</v></cell></row><row r="218"><cell r="K218" t="str"><v>July</v></cell><cell r="L218"><v>43288</v></cell><cell r="M218" t="str"><v>Tier 0</v></cell><cell r="N218" t="str"><v>North America</v></cell><cell r="O218" t="str"><v>United States</v></cell><cell r="P218" t="str"><v>Trial</v></cell><cell r="Q218" t="str"><v>Social</v></cell><cell r="R218" t="str"><v>Azure</v></cell><cell r="S218" t="str"><v>Apps & Infra</v></cell><cell r="T218" t="str"><v>Developers & ITI's</v></cell><cell r="U218" t="str"><v>USA-Trial-ITD-Lead Completes-AZR-AZR</v></cell><cell r="V218" t="str"><v>Prospecting</v></cell><cell r="W218" t="str"><v>Link Ad</v></cell><cell r="X218" t="str"><v>1x1</v></cell></row><row r="218"><cell r="AA218"><v>43284</v></cell><cell r="AB218" t="str"><v>USA_gaPMG_AZR_AZR_Q1_19_Direct-Social</v></cell><cell r="AC218"><v>21358715</v></cell><cell r="AD218"><v>720197</v></cell><cell r="AE218" t="str"><v>Facebook</v></cell><cell r="AF218"><v>3654128</v></cell><cell r="AG218" t="str"><v>FACEBOOK»USA-Trial-ITD-Lead Completes-AZR-AZR»1 x 1»SocialBan»LIA»ALL»CPA»PRO»X»NA»SS»NA»FreeAcctITProFB-AnimatedHybrid-Ch2»PRC1W5</v></cell><cell r="AH218"><v>224106033</v></cell><cell r="AI218" t="str"><v>AZR_FreeAcctITProFB-AnimatedHybrid-Ch2_USA_1200x1200_CAN_Direct_English_Trial_Standard_ANI_LEA_T2_2</v></cell><cell r="AJ218"><v>103180583</v></cell></row><row r="219"><cell r="C219" t="str"><v>43284FACEBOOK»USA-Trial-ITD-Lead Completes-AZR-AZR»1 x 1»SocialBan»LIA»ALL»CPA»PRO»X»NA»SS»NA»FreeAcctITProFB-AnimatedMigration-Ch3»PRC22N</v></cell><cell r="D219" t="str"><v>43284223933114</v></cell><cell r="E219" t="str"><v>43284103176827PRC22N</v></cell><cell r="F219" t="str"><v>DCM</v></cell></row><row r="219"><cell r="K219" t="str"><v>July</v></cell><cell r="L219"><v>43288</v></cell><cell r="M219" t="str"><v>Tier 0</v></cell><cell r="N219" t="str"><v>North America</v></cell><cell r="O219" t="str"><v>United States</v></cell><cell r="P219" t="str"><v>Trial</v></cell><cell r="Q219" t="str"><v>Social</v></cell><cell r="R219" t="str"><v>Azure</v></cell><cell r="S219" t="str"><v>Apps & Infra</v></cell><cell r="T219" t="str"><v>Developers & ITI's</v></cell><cell r="U219" t="str"><v>USA-Trial-ITD-Lead Completes-AZR-AZR</v></cell><cell r="V219" t="str"><v>Prospecting</v></cell><cell r="W219" t="str"><v>Link Ad</v></cell><cell r="X219" t="str"><v>1x1</v></cell></row><row r="219"><cell r="AA219"><v>43284</v></cell><cell r="AB219" t="str"><v>USA_gaPMG_AZR_AZR_Q1_19_Direct-Social</v></cell><cell r="AC219"><v>21358715</v></cell><cell r="AD219"><v>720197</v></cell><cell r="AE219" t="str"><v>Facebook</v></cell><cell r="AF219"><v>3654128</v></cell><cell r="AG219" t="str"><v>FACEBOOK»USA-Trial-ITD-Lead Completes-AZR-AZR»1 x 1»SocialBan»LIA»ALL»CPA»PRO»X»NA»SS»NA»FreeAcctITProFB-AnimatedMigration-Ch3»PRC22N</v></cell><cell r="AH219"><v>223933114</v></cell><cell r="AI219" t="str"><v>AZR_FreeAcctITProFB-AnimatedMigration-Ch3_USA_1200x1200_CAN_Direct_English_Trial_Standard_ANI_LEA_T3_1</v></cell><cell r="AJ219"><v>103176827</v></cell></row><row r="220"><cell r="C220" t="str"><v>43284FACEBOOK»USA-Trial-ITD-Lead Completes-AZR-AZR»1 x 1»SocialBan»LIA»ALL»CPA»PRO»X»NA»SS»NA»FreeAcctITProFB-AnimatedSecureMngd-Ch1»PRC1W4</v></cell><cell r="D220" t="str"><v>43284223862153</v></cell><cell r="E220" t="str"><v>43284103176830PRC1W4</v></cell><cell r="F220" t="str"><v>DCM</v></cell></row><row r="220"><cell r="K220" t="str"><v>July</v></cell><cell r="L220"><v>43288</v></cell><cell r="M220" t="str"><v>Tier 0</v></cell><cell r="N220" t="str"><v>North America</v></cell><cell r="O220" t="str"><v>United States</v></cell><cell r="P220" t="str"><v>Trial</v></cell><cell r="Q220" t="str"><v>Social</v></cell><cell r="R220" t="str"><v>Azure</v></cell><cell r="S220" t="str"><v>Apps & Infra</v></cell><cell r="T220" t="str"><v>Developers & ITI's</v></cell><cell r="U220" t="str"><v>USA-Trial-ITD-Lead Completes-AZR-AZR</v></cell><cell r="V220" t="str"><v>Prospecting</v></cell><cell r="W220" t="str"><v>Link Ad</v></cell><cell r="X220" t="str"><v>1x1</v></cell></row><row r="220"><cell r="AA220"><v>43284</v></cell><cell r="AB220" t="str"><v>USA_gaPMG_AZR_AZR_Q1_19_Direct-Social</v></cell><cell r="AC220"><v>21358715</v></cell><cell r="AD220"><v>720197</v></cell><cell r="AE220" t="str"><v>Facebook</v></cell><cell r="AF220"><v>3654128</v></cell><cell r="AG220" t="str"><v>FACEBOOK»USA-Trial-ITD-Lead Completes-AZR-AZR»1 x 1»SocialBan»LIA»ALL»CPA»PRO»X»NA»SS»NA»FreeAcctITProFB-AnimatedSecureMngd-Ch1»PRC1W4</v></cell><cell r="AH220"><v>223862153</v></cell><cell r="AI220" t="str"><v>AZR_FreeAcctITProFB-AnimatedSecureMngd-Ch1_USA_1200x1200_CAN_Direct_English_Trial_Standard_ANI_LEA_T1_1</v></cell><cell r="AJ220"><v>103176830</v></cell></row><row r="221"><cell r="C221" t="str"><v>43284FACEBOOK»USA-Trial-ITD-Lead Completes-AZR-AZR»1 x 1»SocialBan»CAN»ALL»CPA»PRO»X»NA»SS»NA»FBCTCBasicMotion»PRC1VT</v></cell><cell r="D221" t="str"><v>43284224106900</v></cell><cell r="E221" t="str"><v>43284103043823PRC1VT</v></cell><cell r="F221" t="str"><v>DCM</v></cell><cell r="G221" t="str"><v>https://signup.azure.com/?OCID=AID%eexcid!_OLA_%ebuy!_%epid!_%ecid!</v></cell></row><row r="221"><cell r="K221" t="str"><v>July</v></cell><cell r="L221"><v>43288</v></cell><cell r="M221" t="str"><v>Tier 0</v></cell><cell r="N221" t="str"><v>North America</v></cell><cell r="O221" t="str"><v>United States</v></cell><cell r="P221" t="str"><v>Trial</v></cell><cell r="Q221" t="str"><v>Social</v></cell><cell r="R221" t="str"><v>Azure</v></cell><cell r="S221" t="str"><v>Apps & Infra</v></cell><cell r="T221" t="str"><v>Developers & ITI's</v></cell><cell r="U221" t="str"><v>USA-Trial-ITD-Lead Completes-AZR-AZR</v></cell><cell r="V221" t="str"><v>Prospecting</v></cell><cell r="W221" t="str"><v>Canvas Ad</v></cell><cell r="X221" t="str"><v>1x1</v></cell></row><row r="221"><cell r="AA221"><v>43284</v></cell><cell r="AB221" t="str"><v>USA_gaPMG_AZR_AZR_Q1_19_Direct-Social</v></cell><cell r="AC221"><v>21358715</v></cell><cell r="AD221"><v>720197</v></cell><cell r="AE221" t="str"><v>Facebook</v></cell><cell r="AF221"><v>3654128</v></cell><cell r="AG221" t="str"><v>FACEBOOK»USA-Trial-ITD-Lead Completes-AZR-AZR»1 x 1»SocialBan»CAN»ALL»CPA»PRO»X»NA»SS»NA»FBCTCBasicMotion»PRC1VT</v></cell><cell r="AH221"><v>224106900</v></cell><cell r="AI221" t="str"><v>AzurePlatform_FBCTCBasicMotion_USA_10s_CAN_PLATFORM_English_Trial_Standard_STAN_TIN_T1_1</v></cell><cell r="AJ221"><v>103043823</v></cell></row><row r="222"><cell r="C222" t="str"><v>43284FACEBOOK»USA-Trial-ITD-Lead Completes-AZR-AZR»1 x 1»SocialBan»CAN»ALL»CPA»PRO»X»NA»SS»NA»FBCTCBenefit2inMotion»PRC1VV</v></cell><cell r="D222" t="str"><v>43284224106909</v></cell><cell r="E222" t="str"><v>43284103043835PRC1VV</v></cell><cell r="F222" t="str"><v>DCM</v></cell><cell r="G222" t="str"><v>https://signup.azure.com/?OCID=AID%eexcid!_OLA_%ebuy!_%epid!_%ecid!</v></cell></row><row r="222"><cell r="K222" t="str"><v>July</v></cell><cell r="L222"><v>43288</v></cell><cell r="M222" t="str"><v>Tier 0</v></cell><cell r="N222" t="str"><v>North America</v></cell><cell r="O222" t="str"><v>United States</v></cell><cell r="P222" t="str"><v>Trial</v></cell><cell r="Q222" t="str"><v>Social</v></cell><cell r="R222" t="str"><v>Azure</v></cell><cell r="S222" t="str"><v>Apps & Infra</v></cell><cell r="T222" t="str"><v>Developers & ITI's</v></cell><cell r="U222" t="str"><v>USA-Trial-ITD-Lead Completes-AZR-AZR</v></cell><cell r="V222" t="str"><v>Prospecting</v></cell><cell r="W222" t="str"><v>Canvas Ad</v></cell><cell r="X222" t="str"><v>1x1</v></cell></row><row r="222"><cell r="AA222"><v>43284</v></cell><cell r="AB222" t="str"><v>USA_gaPMG_AZR_AZR_Q1_19_Direct-Social</v></cell><cell r="AC222"><v>21358715</v></cell><cell r="AD222"><v>720197</v></cell><cell r="AE222" t="str"><v>Facebook</v></cell><cell r="AF222"><v>3654128</v></cell><cell r="AG222" t="str"><v>FACEBOOK»USA-Trial-ITD-Lead Completes-AZR-AZR»1 x 1»SocialBan»CAN»ALL»CPA»PRO»X»NA»SS»NA»FBCTCBenefit2inMotion»PRC1VV</v></cell><cell r="AH222"><v>224106909</v></cell><cell r="AI222" t="str"><v>AzurePlatform_FBCTCBenefit2inMotion_USA_10s_CAN_PLATFORM_English_Trial_Standard_STAN_TIN_T4_1</v></cell><cell r="AJ222"><v>103043835</v></cell></row><row r="223"><cell r="C223" t="str"><v>43284FACEBOOK»USA-Trial-ITD-Lead Completes-AZR-AZR»1 x 1»SocialBan»CAN»ALL»CPA»PRO»X»NA»SS»NA»FBCTCBenefit2inMotion»PRC1VV</v></cell><cell r="D223" t="str"><v>43284224106909</v></cell><cell r="E223" t="str"><v>43284103178645PRC1VV</v></cell><cell r="F223" t="str"><v>DCM</v></cell><cell r="G223" t="str"><v>https://azure.microsoft.com/en-us/pricing/purchase-options/?v=18.19&OCID=AID%eexcid!_OLA_%ebuy!_%epid!_%ecid!</v></cell></row><row r="223"><cell r="K223" t="str"><v>July</v></cell><cell r="L223"><v>43288</v></cell><cell r="M223" t="str"><v>Tier 0</v></cell><cell r="N223" t="str"><v>North America</v></cell><cell r="O223" t="str"><v>United States</v></cell><cell r="P223" t="str"><v>Trial</v></cell><cell r="Q223" t="str"><v>Social</v></cell><cell r="R223" t="str"><v>Azure</v></cell><cell r="S223" t="str"><v>Apps & Infra</v></cell><cell r="T223" t="str"><v>Developers & ITI's</v></cell><cell r="U223" t="str"><v>USA-Trial-ITD-Lead Completes-AZR-AZR</v></cell><cell r="V223" t="str"><v>Prospecting</v></cell><cell r="W223" t="str"><v>Canvas Ad</v></cell><cell r="X223" t="str"><v>1x1</v></cell></row><row r="223"><cell r="AA223"><v>43284</v></cell><cell r="AB223" t="str"><v>USA_gaPMG_AZR_AZR_Q1_19_Direct-Social</v></cell><cell r="AC223"><v>21358715</v></cell><cell r="AD223"><v>720197</v></cell><cell r="AE223" t="str"><v>Facebook</v></cell><cell r="AF223"><v>3654128</v></cell><cell r="AG223" t="str"><v>FACEBOOK»USA-Trial-ITD-Lead Completes-AZR-AZR»1 x 1»SocialBan»CAN»ALL»CPA»PRO»X»NA»SS»NA»FBCTCBenefit2inMotion»PRC1VV</v></cell><cell r="AH223"><v>224106909</v></cell><cell r="AI223" t="str"><v>AzurePlatform_FBCTCBenefit2inMotion_USA_10s_CAN_PLATFORM_English_Trial_Standard_STAN_TIN_T4_2</v></cell><cell r="AJ223"><v>103178645</v></cell></row><row r="224"><cell r="C224" t="str"><v>43284FACEBOOK»USA-Trial-ITD-Lead Completes-AZR-AZR»1 x 1»SocialBan»CAN»ALL»CPA»PRO»X»NA»SS»NA»FBCTCBenefitinMotion»PRC1VW</v></cell><cell r="D224" t="str"><v>43284223862843</v></cell><cell r="E224" t="str"><v>43284103032775PRC1VW</v></cell><cell r="F224" t="str"><v>DCM</v></cell><cell r="G224" t="str"><v>https://signup.azure.com/?OCID=AID%eexcid!_OLA_%ebuy!_%epid!_%ecid!</v></cell></row><row r="224"><cell r="K224" t="str"><v>July</v></cell><cell r="L224"><v>43288</v></cell><cell r="M224" t="str"><v>Tier 0</v></cell><cell r="N224" t="str"><v>North America</v></cell><cell r="O224" t="str"><v>United States</v></cell><cell r="P224" t="str"><v>Trial</v></cell><cell r="Q224" t="str"><v>Social</v></cell><cell r="R224" t="str"><v>Azure</v></cell><cell r="S224" t="str"><v>Apps & Infra</v></cell><cell r="T224" t="str"><v>Developers & ITI's</v></cell><cell r="U224" t="str"><v>USA-Trial-ITD-Lead Completes-AZR-AZR</v></cell><cell r="V224" t="str"><v>Prospecting</v></cell><cell r="W224" t="str"><v>Canvas Ad</v></cell><cell r="X224" t="str"><v>1x1</v></cell></row><row r="224"><cell r="AA224"><v>43284</v></cell><cell r="AB224" t="str"><v>USA_gaPMG_AZR_AZR_Q1_19_Direct-Social</v></cell><cell r="AC224"><v>21358715</v></cell><cell r="AD224"><v>720197</v></cell><cell r="AE224" t="str"><v>Facebook</v></cell><cell r="AF224"><v>3654128</v></cell><cell r="AG224" t="str"><v>FACEBOOK»USA-Trial-ITD-Lead Completes-AZR-AZR»1 x 1»SocialBan»CAN»ALL»CPA»PRO»X»NA»SS»NA»FBCTCBenefitinMotion»PRC1VW</v></cell><cell r="AH224"><v>223862843</v></cell><cell r="AI224" t="str"><v>AzurePlatform_FBCTCBenefitinMotion_USA_10s_CAN_PLATFORM_English_Trial_Standard_STAN_TIN_T3_1</v></cell><cell r="AJ224"><v>103032775</v></cell></row><row r="225"><cell r="C225" t="str"><v>43284FACEBOOK»USA-Trial-ITD-Lead Completes-AZR-AZR»1 x 1»SocialBan»LIA»ALL»CPA»PRO»X»NA»SS»NA»FreeAcctDeveloperFB-AnimatedGeneric-Ch1»PRC1VY</v></cell><cell r="D225" t="str"><v>43284223862846</v></cell><cell r="E225" t="str"><v>43284103176851PRC1VY</v></cell><cell r="F225" t="str"><v>DCM</v></cell><cell r="G225" t="str"><v>https://azure.microsoft.com/en-us/free/search/?OCID=AID%eexcid!_OLA_%ebuy!_%epid!_%ecid!</v></cell></row><row r="225"><cell r="K225" t="str"><v>July</v></cell><cell r="L225"><v>43288</v></cell><cell r="M225" t="str"><v>Tier 0</v></cell><cell r="N225" t="str"><v>North America</v></cell><cell r="O225" t="str"><v>United States</v></cell><cell r="P225" t="str"><v>Trial</v></cell><cell r="Q225" t="str"><v>Social</v></cell><cell r="R225" t="str"><v>Azure</v></cell><cell r="S225" t="str"><v>Apps & Infra</v></cell><cell r="T225" t="str"><v>Developers & ITI's</v></cell><cell r="U225" t="str"><v>USA-Trial-ITD-Lead Completes-AZR-AZR</v></cell><cell r="V225" t="str"><v>Prospecting</v></cell><cell r="W225" t="str"><v>Link Ad</v></cell><cell r="X225" t="str"><v>1x1</v></cell></row><row r="225"><cell r="AA225"><v>43284</v></cell><cell r="AB225" t="str"><v>USA_gaPMG_AZR_AZR_Q1_19_Direct-Social</v></cell><cell r="AC225"><v>21358715</v></cell><cell r="AD225"><v>720197</v></cell><cell r="AE225" t="str"><v>Facebook</v></cell><cell r="AF225"><v>3654128</v></cell><cell r="AG225" t="str"><v>FACEBOOK»USA-Trial-ITD-Lead Completes-AZR-AZR»1 x 1»SocialBan»LIA»ALL»CPA»PRO»X»NA»SS»NA»FreeAcctDeveloperFB-AnimatedGeneric-Ch1»PRC1VY</v></cell><cell r="AH225"><v>223862846</v></cell><cell r="AI225" t="str"><v>AZR_FreeAcctDeveloperFB-AnimatedGeneric-Ch1_USA_1200x1200_CAN_Direct_English_Trial_Standard_ANI_LEA_T1_2</v></cell><cell r="AJ225"><v>103176851</v></cell></row><row r="226"><cell r="C226" t="str"><v>43284FACEBOOK»USA-Trial-ITD-Lead Completes-AZR-AZR»1 x 1»SocialBan»LIA»ALL»CPA»PRO»X»NA»SS»NA»FreeAcctDeveloperFB-AnimatedGeneric-Ch1»PRC1VZ</v></cell><cell r="D226" t="str"><v>43284223862852</v></cell><cell r="E226" t="str"><v>43284103176851PRC1VZ</v></cell><cell r="F226" t="str"><v>DCM</v></cell><cell r="G226" t="str"><v>https://azure.microsoft.com/en-us/free/search/?OCID=AID%eexcid!_OLA_%ebuy!_%epid!_%ecid!</v></cell></row><row r="226"><cell r="K226" t="str"><v>July</v></cell><cell r="L226"><v>43288</v></cell><cell r="M226" t="str"><v>Tier 0</v></cell><cell r="N226" t="str"><v>North America</v></cell><cell r="O226" t="str"><v>United States</v></cell><cell r="P226" t="str"><v>Trial</v></cell><cell r="Q226" t="str"><v>Social</v></cell><cell r="R226" t="str"><v>Azure</v></cell><cell r="S226" t="str"><v>Apps & Infra</v></cell><cell r="T226" t="str"><v>Developers & ITI's</v></cell><cell r="U226" t="str"><v>USA-Trial-ITD-Lead Completes-AZR-AZR</v></cell><cell r="V226" t="str"><v>Prospecting</v></cell><cell r="W226" t="str"><v>Link Ad</v></cell><cell r="X226" t="str"><v>1x1</v></cell></row><row r="226"><cell r="AA226"><v>43284</v></cell><cell r="AB226" t="str"><v>USA_gaPMG_AZR_AZR_Q1_19_Direct-Social</v></cell><cell r="AC226"><v>21358715</v></cell><cell r="AD226"><v>720197</v></cell><cell r="AE226" t="str"><v>Facebook</v></cell><cell r="AF226"><v>3654128</v></cell><cell r="AG226" t="str"><v>FACEBOOK»USA-Trial-ITD-Lead Completes-AZR-AZR»1 x 1»SocialBan»LIA»ALL»CPA»PRO»X»NA»SS»NA»FreeAcctDeveloperFB-AnimatedGeneric-Ch1»PRC1VZ</v></cell><cell r="AH226"><v>223862852</v></cell><cell r="AI226" t="str"><v>AZR_FreeAcctDeveloperFB-AnimatedGeneric-Ch1_USA_1200x1200_CAN_Direct_English_Trial_Standard_ANI_LEA_T1_2</v></cell><cell r="AJ226"><v>103176851</v></cell></row><row r="227"><cell r="C227" t="str"><v>43284FACEBOOK»USA-Trial-ITD-Retargeting-AZR-AZR»1 x 1»SocialBan»LIA»ALL»CPA»RT»X»NA»SS»NA»FreeAcctDeveloperFB-AnimatedGeneric-Ch1»PRC26D</v></cell><cell r="D227" t="str"><v>43284223862870</v></cell><cell r="E227" t="str"><v>43284103176851PRC26D</v></cell><cell r="F227" t="str"><v>DCM</v></cell><cell r="G227" t="str"><v>https://azure.microsoft.com/en-us/free/search/?OCID=AID%eexcid!_OLA_%ebuy!_%epid!_%ecid!</v></cell></row><row r="227"><cell r="K227" t="str"><v>July</v></cell><cell r="L227"><v>43288</v></cell><cell r="M227" t="str"><v>Tier 0</v></cell><cell r="N227" t="str"><v>North America</v></cell><cell r="O227" t="str"><v>United States</v></cell><cell r="P227" t="str"><v>Trial</v></cell><cell r="Q227" t="str"><v>Social</v></cell><cell r="R227" t="str"><v>Azure</v></cell><cell r="S227" t="str"><v>Apps & Infra</v></cell><cell r="T227" t="str"><v>Developers & ITI's</v></cell><cell r="U227" t="str"><v>USA-Trial-ITD-Retargeting-AZR-AZR</v></cell><cell r="V227" t="str"><v>Retargeting</v></cell><cell r="W227" t="str"><v>Link Ad</v></cell><cell r="X227" t="str"><v>1x1</v></cell></row><row r="227"><cell r="AA227"><v>43284</v></cell><cell r="AB227" t="str"><v>USA_gaPMG_AZR_AZR_Q1_19_Direct-Social</v></cell><cell r="AC227"><v>21358715</v></cell><cell r="AD227"><v>720197</v></cell><cell r="AE227" t="str"><v>Facebook</v></cell><cell r="AF227"><v>3654128</v></cell><cell r="AG227" t="str"><v>FACEBOOK»USA-Trial-ITD-Retargeting-AZR-AZR»1 x 1»SocialBan»LIA»ALL»CPA»RT»X»NA»SS»NA»FreeAcctDeveloperFB-AnimatedGeneric-Ch1»PRC26D</v></cell><cell r="AH227"><v>223862870</v></cell><cell r="AI227" t="str"><v>AZR_FreeAcctDeveloperFB-AnimatedGeneric-Ch1_USA_1200x1200_CAN_Direct_English_Trial_Standard_ANI_LEA_T1_2</v></cell><cell r="AJ227"><v>103176851</v></cell></row><row r="228"><cell r="C228" t="str"><v>43284FACEBOOK»USA-Trial-ITD-Retargeting-AZR-AZR»1 x 1»SocialBan»LIA»ALL»CPA»RT»X»NA»SS»NA»FreeAcctRetargetingOSSFB-Logos-ChG»PRC1S2</v></cell><cell r="D228" t="str"><v>43284224106063</v></cell><cell r="E228" t="str"><v>43284103176008PRC1S2</v></cell><cell r="F228" t="str"><v>DCM</v></cell><cell r="G228" t="str"><v>https://azure.microsoft.com/en-us/free/open-source/search/?OCID=AID%eexcid!_OLA_%ebuy!_%epid!_%ecid!</v></cell></row><row r="228"><cell r="K228" t="str"><v>July</v></cell><cell r="L228"><v>43288</v></cell><cell r="M228" t="str"><v>Tier 0</v></cell><cell r="N228" t="str"><v>North America</v></cell><cell r="O228" t="str"><v>United States</v></cell><cell r="P228" t="str"><v>Trial</v></cell><cell r="Q228" t="str"><v>Social</v></cell><cell r="R228" t="str"><v>Azure</v></cell><cell r="S228" t="str"><v>Apps & Infra</v></cell><cell r="T228" t="str"><v>Developers & ITI's</v></cell><cell r="U228" t="str"><v>USA-Trial-ITD-Retargeting-AZR-AZR</v></cell><cell r="V228" t="str"><v>Retargeting</v></cell><cell r="W228" t="str"><v>Link Ad</v></cell><cell r="X228" t="str"><v>1x1</v></cell></row><row r="228"><cell r="AA228"><v>43284</v></cell><cell r="AB228" t="str"><v>USA_gaPMG_AZR_AZR_Q1_19_Direct-Social</v></cell><cell r="AC228"><v>21358715</v></cell><cell r="AD228"><v>720197</v></cell><cell r="AE228" t="str"><v>Facebook</v></cell><cell r="AF228"><v>3654128</v></cell><cell r="AG228" t="str"><v>FACEBOOK»USA-Trial-ITD-Retargeting-AZR-AZR»1 x 1»SocialBan»LIA»ALL»CPA»RT»X»NA»SS»NA»FreeAcctRetargetingOSSFB-Logos-ChG»PRC1S2</v></cell><cell r="AH228"><v>224106063</v></cell><cell r="AI228" t="str"><v>AzurePlatform_FreeAcctRetargetingOSSFB-Logos-ChG_USA_1200x628_CAN_PLATFORM_English_Free Account_Standard_NA_SINU_T2_1</v></cell><cell r="AJ228"><v>103176008</v></cell></row><row r="229"><cell r="C229" t="str"><v>43284FACEBOOK»USA-Trial-ITD-Retargeting-AZR-AZR»1 x 1»SocialBan»LIA»ALL»CPA»RT»X»NA»SS»NA»FreeAcctRetargetingOSSFB-Text-ChF»PRC1S1</v></cell><cell r="D229" t="str"><v>43284223862753</v></cell><cell r="E229" t="str"><v>43284103176869PRC1S1</v></cell><cell r="F229" t="str"><v>DCM</v></cell><cell r="G229" t="str"><v>https://azure.microsoft.com/en-us/free/open-source/search/?OCID=AID%eexcid!_OLA_%ebuy!_%epid!_%ecid!</v></cell></row><row r="229"><cell r="K229" t="str"><v>July</v></cell><cell r="L229"><v>43288</v></cell><cell r="M229" t="str"><v>Tier 0</v></cell><cell r="N229" t="str"><v>North America</v></cell><cell r="O229" t="str"><v>United States</v></cell><cell r="P229" t="str"><v>Trial</v></cell><cell r="Q229" t="str"><v>Social</v></cell><cell r="R229" t="str"><v>Azure</v></cell><cell r="S229" t="str"><v>Apps & Infra</v></cell><cell r="T229" t="str"><v>Developers & ITI's</v></cell><cell r="U229" t="str"><v>USA-Trial-ITD-Retargeting-AZR-AZR</v></cell><cell r="V229" t="str"><v>Retargeting</v></cell><cell r="W229" t="str"><v>Link Ad</v></cell><cell r="X229" t="str"><v>1x1</v></cell></row><row r="229"><cell r="AA229"><v>43284</v></cell><cell r="AB229" t="str"><v>USA_gaPMG_AZR_AZR_Q1_19_Direct-Social</v></cell><cell r="AC229"><v>21358715</v></cell><cell r="AD229"><v>720197</v></cell><cell r="AE229" t="str"><v>Facebook</v></cell><cell r="AF229"><v>3654128</v></cell><cell r="AG229" t="str"><v>FACEBOOK»USA-Trial-ITD-Retargeting-AZR-AZR»1 x 1»SocialBan»LIA»ALL»CPA»RT»X»NA»SS»NA»FreeAcctRetargetingOSSFB-Text-ChF»PRC1S1</v></cell><cell r="AH229"><v>223862753</v></cell><cell r="AI229" t="str"><v>AzurePlatform_FreeAcctRetargetingOSSFB-Text-ChF_USA_1200x628_CAN_PLATFORM_English_Free Account_Standard_NA_SINU_T1_2</v></cell><cell r="AJ229"><v>103176869</v></cell></row><row r="230"><cell r="C230" t="str"><v>43284FACEBOOK»USA-Trial-ITD-Retargeting-AZR-AZR»1 x 1»SocialBan»CAN»ALL»CPA»RT»X»NA»SS»NA»FBCTCBasicMotion»PRC1RQ</v></cell><cell r="D230" t="str"><v>43284224106933</v></cell><cell r="E230" t="str"><v>43284103043823PRC1RQ</v></cell><cell r="F230" t="str"><v>DCM</v></cell><cell r="G230" t="str"><v>https://signup.azure.com/?OCID=AID%eexcid!_OLA_%ebuy!_%epid!_%ecid!</v></cell></row><row r="230"><cell r="K230" t="str"><v>July</v></cell><cell r="L230"><v>43288</v></cell><cell r="M230" t="str"><v>Tier 0</v></cell><cell r="N230" t="str"><v>North America</v></cell><cell r="O230" t="str"><v>United States</v></cell><cell r="P230" t="str"><v>Trial</v></cell><cell r="Q230" t="str"><v>Social</v></cell><cell r="R230" t="str"><v>Azure</v></cell><cell r="S230" t="str"><v>Apps & Infra</v></cell><cell r="T230" t="str"><v>Developers & ITI's</v></cell><cell r="U230" t="str"><v>USA-Trial-ITD-Retargeting-AZR-AZR</v></cell><cell r="V230" t="str"><v>Retargeting</v></cell><cell r="W230" t="str"><v>Canvas Ad</v></cell><cell r="X230" t="str"><v>1x1</v></cell></row><row r="230"><cell r="AA230"><v>43284</v></cell><cell r="AB230" t="str"><v>USA_gaPMG_AZR_AZR_Q1_19_Direct-Social</v></cell><cell r="AC230"><v>21358715</v></cell><cell r="AD230"><v>720197</v></cell><cell r="AE230" t="str"><v>Facebook</v></cell><cell r="AF230"><v>3654128</v></cell><cell r="AG230" t="str"><v>FACEBOOK»USA-Trial-ITD-Retargeting-AZR-AZR»1 x 1»SocialBan»CAN»ALL»CPA»RT»X»NA»SS»NA»FBCTCBasicMotion»PRC1RQ</v></cell><cell r="AH230"><v>224106933</v></cell><cell r="AI230" t="str"><v>AzurePlatform_FBCTCBasicMotion_USA_10s_CAN_PLATFORM_English_Trial_Standard_STAN_TIN_T1_1</v></cell><cell r="AJ230"><v>103043823</v></cell></row><row r="231"><cell r="C231" t="str"><v>43284FACEBOOK»USA-Trial-ITD-Retargeting-AZR-AZR»1 x 1»SocialBan»CAN»ALL»CPA»RT»X»NA»SS»NA»FBCTCBasicMotion»PRC1RQ</v></cell><cell r="D231" t="str"><v>43284224106933</v></cell><cell r="E231" t="str"><v>43284103175984PRC1RQ</v></cell><cell r="F231" t="str"><v>DCM</v></cell><cell r="G231" t="str"><v>https://azure.microsoft.com/en-us/pricing/purchase-options/?v=18.19&OCID=AID%eexcid!_OLA_%ebuy!_%epid!_%ecid!</v></cell></row><row r="231"><cell r="K231" t="str"><v>July</v></cell><cell r="L231"><v>43288</v></cell><cell r="M231" t="str"><v>Tier 0</v></cell><cell r="N231" t="str"><v>North America</v></cell><cell r="O231" t="str"><v>United States</v></cell><cell r="P231" t="str"><v>Trial</v></cell><cell r="Q231" t="str"><v>Social</v></cell><cell r="R231" t="str"><v>Azure</v></cell><cell r="S231" t="str"><v>Apps & Infra</v></cell><cell r="T231" t="str"><v>Developers & ITI's</v></cell><cell r="U231" t="str"><v>USA-Trial-ITD-Retargeting-AZR-AZR</v></cell><cell r="V231" t="str"><v>Retargeting</v></cell><cell r="W231" t="str"><v>Canvas Ad</v></cell><cell r="X231" t="str"><v>1x1</v></cell></row><row r="231"><cell r="AA231"><v>43284</v></cell><cell r="AB231" t="str"><v>USA_gaPMG_AZR_AZR_Q1_19_Direct-Social</v></cell><cell r="AC231"><v>21358715</v></cell><cell r="AD231"><v>720197</v></cell><cell r="AE231" t="str"><v>Facebook</v></cell><cell r="AF231"><v>3654128</v></cell><cell r="AG231" t="str"><v>FACEBOOK»USA-Trial-ITD-Retargeting-AZR-AZR»1 x 1»SocialBan»CAN»ALL»CPA»RT»X»NA»SS»NA»FBCTCBasicMotion»PRC1RQ</v></cell><cell r="AH231"><v>224106933</v></cell><cell r="AI231" t="str"><v>AzurePlatform_FBCTCBasicMotion_USA_10s_CAN_PLATFORM_English_Trial_Standard_STAN_TIN_T1_2</v></cell><cell r="AJ231"><v>103175984</v></cell></row><row r="232"><cell r="C232" t="str"><v>43284FACEBOOK»USA-Trial-ITD-Retargeting-AZR-AZR»1 x 1»SocialBan»LIA»ALL»CPA»RT»X»NA»SS»NA»FreeAcctITProFB-AnimatedSecureMngd-Ch1»PRC26K</v></cell><cell r="D232" t="str"><v>43284223862762</v></cell><cell r="E232" t="str"><v>43284103176830PRC26K</v></cell><cell r="F232" t="str"><v>DCM</v></cell></row><row r="232"><cell r="K232" t="str"><v>July</v></cell><cell r="L232"><v>43288</v></cell><cell r="M232" t="str"><v>Tier 0</v></cell><cell r="N232" t="str"><v>North America</v></cell><cell r="O232" t="str"><v>United States</v></cell><cell r="P232" t="str"><v>Trial</v></cell><cell r="Q232" t="str"><v>Social</v></cell><cell r="R232" t="str"><v>Azure</v></cell><cell r="S232" t="str"><v>Apps & Infra</v></cell><cell r="T232" t="str"><v>Developers & ITI's</v></cell><cell r="U232" t="str"><v>USA-Trial-ITD-Retargeting-AZR-AZR</v></cell><cell r="V232" t="str"><v>Retargeting</v></cell><cell r="W232" t="str"><v>Link Ad</v></cell><cell r="X232" t="str"><v>1x1</v></cell></row><row r="232"><cell r="AA232"><v>43284</v></cell><cell r="AB232" t="str"><v>USA_gaPMG_AZR_AZR_Q1_19_Direct-Social</v></cell><cell r="AC232"><v>21358715</v></cell><cell r="AD232"><v>720197</v></cell><cell r="AE232" t="str"><v>Facebook</v></cell><cell r="AF232"><v>3654128</v></cell><cell r="AG232" t="str"><v>FACEBOOK»USA-Trial-ITD-Retargeting-AZR-AZR»1 x 1»SocialBan»LIA»ALL»CPA»RT»X»NA»SS»NA»FreeAcctITProFB-AnimatedSecureMngd-Ch1»PRC26K</v></cell><cell r="AH232"><v>223862762</v></cell><cell r="AI232" t="str"><v>AZR_FreeAcctITProFB-AnimatedSecureMngd-Ch1_USA_1200x1200_CAN_Direct_English_Trial_Standard_ANI_LEA_T1_1</v></cell><cell r="AJ232"><v>103176830</v></cell></row><row r="233"><cell r="C233" t="str"><v>43284FACEBOOK»USA-Trial-ITD-Trial Lookalike-AZR-AZR»1 x 1»SocialBan»LIA»ALL»CPA»LAL»X»NA»SS»NA»FreeAcctDeveloperFB-AnimatedGeneric-Ch1»PRC1M4</v></cell><cell r="D233" t="str"><v>43284224104941</v></cell><cell r="E233" t="str"><v>43284103176851PRC1M4</v></cell><cell r="F233" t="str"><v>DCM</v></cell><cell r="G233" t="str"><v>https://azure.microsoft.com/en-us/free/search/?OCID=AID%eexcid!_OLA_%ebuy!_%epid!_%ecid!</v></cell></row><row r="233"><cell r="K233" t="str"><v>July</v></cell><cell r="L233"><v>43288</v></cell><cell r="M233" t="str"><v>Tier 0</v></cell><cell r="N233" t="str"><v>North America</v></cell><cell r="O233" t="str"><v>United States</v></cell><cell r="P233" t="str"><v>Trial</v></cell><cell r="Q233" t="str"><v>Social</v></cell><cell r="R233" t="str"><v>Azure</v></cell><cell r="S233" t="str"><v>Apps & Infra</v></cell><cell r="T233" t="str"><v>Developers & ITI's</v></cell><cell r="U233" t="str"><v>USA-Trial-ITD-Trial Lookalike-AZR-AZR</v></cell><cell r="V233" t="str"><v>Lookalike Targeting</v></cell><cell r="W233" t="str"><v>Link Ad</v></cell><cell r="X233" t="str"><v>1x1</v></cell></row><row r="233"><cell r="AA233"><v>43284</v></cell><cell r="AB233" t="str"><v>USA_gaPMG_AZR_AZR_Q1_19_Direct-Social</v></cell><cell r="AC233"><v>21358715</v></cell><cell r="AD233"><v>720197</v></cell><cell r="AE233" t="str"><v>Facebook</v></cell><cell r="AF233"><v>3654128</v></cell><cell r="AG233" t="str"><v>FACEBOOK»USA-Trial-ITD-Trial Lookalike-AZR-AZR»1 x 1»SocialBan»LIA»ALL»CPA»LAL»X»NA»SS»NA»FreeAcctDeveloperFB-AnimatedGeneric-Ch1»PRC1M4</v></cell><cell r="AH233"><v>224104941</v></cell><cell r="AI233" t="str"><v>AZR_FreeAcctDeveloperFB-AnimatedGeneric-Ch1_USA_1200x1200_CAN_Direct_English_Trial_Standard_ANI_LEA_T1_2</v></cell><cell r="AJ233"><v>103176851</v></cell></row><row r="234"><cell r="C234" t="str"><v>43284FACEBOOK»USA-Trial-ITD-Trial Lookalike-AZR-AZR»1 x 1»SocialBan»LIA»ALL»CPA»LAL»X»NA»SS»NA»FreeAcctDeveloperFB-AnimatedGeneric-Ch1»PRC1M5</v></cell><cell r="D234" t="str"><v>43284223934083</v></cell><cell r="E234" t="str"><v>43284103176851PRC1M5</v></cell><cell r="F234" t="str"><v>DCM</v></cell><cell r="G234" t="str"><v>https://azure.microsoft.com/en-us/free/search/?OCID=AID%eexcid!_OLA_%ebuy!_%epid!_%ecid!</v></cell></row><row r="234"><cell r="K234" t="str"><v>July</v></cell><cell r="L234"><v>43288</v></cell><cell r="M234" t="str"><v>Tier 0</v></cell><cell r="N234" t="str"><v>North America</v></cell><cell r="O234" t="str"><v>United States</v></cell><cell r="P234" t="str"><v>Trial</v></cell><cell r="Q234" t="str"><v>Social</v></cell><cell r="R234" t="str"><v>Azure</v></cell><cell r="S234" t="str"><v>Apps & Infra</v></cell><cell r="T234" t="str"><v>Developers & ITI's</v></cell><cell r="U234" t="str"><v>USA-Trial-ITD-Trial Lookalike-AZR-AZR</v></cell><cell r="V234" t="str"><v>Lookalike Targeting</v></cell><cell r="W234" t="str"><v>Link Ad</v></cell><cell r="X234" t="str"><v>1x1</v></cell></row><row r="234"><cell r="AA234"><v>43284</v></cell><cell r="AB234" t="str"><v>USA_gaPMG_AZR_AZR_Q1_19_Direct-Social</v></cell><cell r="AC234"><v>21358715</v></cell><cell r="AD234"><v>720197</v></cell><cell r="AE234" t="str"><v>Facebook</v></cell><cell r="AF234"><v>3654128</v></cell><cell r="AG234" t="str"><v>FACEBOOK»USA-Trial-ITD-Trial Lookalike-AZR-AZR»1 x 1»SocialBan»LIA»ALL»CPA»LAL»X»NA»SS»NA»FreeAcctDeveloperFB-AnimatedGeneric-Ch1»PRC1M5</v></cell><cell r="AH234"><v>223934083</v></cell><cell r="AI234" t="str"><v>AZR_FreeAcctDeveloperFB-AnimatedGeneric-Ch1_USA_1200x1200_CAN_Direct_English_Trial_Standard_ANI_LEA_T1_2</v></cell><cell r="AJ234"><v>103176851</v></cell></row><row r="235"><cell r="C235" t="str"><v>43284FACEBOOK»USA-Trial-ITD-Trial Lookalike-AZR-AZR»1 x 1»SocialBan»LIA»ALL»CPA»LAL»X»NA»SS»NA»FreeAcctDeveloperFB-AnimatedOpenSource-Ch2»PRC1M6</v></cell><cell r="D235" t="str"><v>43284223935628</v></cell><cell r="E235" t="str"><v>43284103048329PRC1M6</v></cell><cell r="F235" t="str"><v>DCM</v></cell><cell r="G235" t="str"><v>https://azure.microsoft.com/en-us/free/open-source/search/?OCID=AID%eexcid!_OLA_%ebuy!_%epid!_%ecid!</v></cell></row><row r="235"><cell r="K235" t="str"><v>July</v></cell><cell r="L235"><v>43288</v></cell><cell r="M235" t="str"><v>Tier 0</v></cell><cell r="N235" t="str"><v>North America</v></cell><cell r="O235" t="str"><v>United States</v></cell><cell r="P235" t="str"><v>Trial</v></cell><cell r="Q235" t="str"><v>Social</v></cell><cell r="R235" t="str"><v>Azure</v></cell><cell r="S235" t="str"><v>Apps & Infra</v></cell><cell r="T235" t="str"><v>Developers & ITI's</v></cell><cell r="U235" t="str"><v>USA-Trial-ITD-Trial Lookalike-AZR-AZR</v></cell><cell r="V235" t="str"><v>Lookalike Targeting</v></cell><cell r="W235" t="str"><v>Link Ad</v></cell><cell r="X235" t="str"><v>1x1</v></cell></row><row r="235"><cell r="AA235"><v>43284</v></cell><cell r="AB235" t="str"><v>USA_gaPMG_AZR_AZR_Q1_19_Direct-Social</v></cell><cell r="AC235"><v>21358715</v></cell><cell r="AD235"><v>720197</v></cell><cell r="AE235" t="str"><v>Facebook</v></cell><cell r="AF235"><v>3654128</v></cell><cell r="AG235" t="str"><v>FACEBOOK»USA-Trial-ITD-Trial Lookalike-AZR-AZR»1 x 1»SocialBan»LIA»ALL»CPA»LAL»X»NA»SS»NA»FreeAcctDeveloperFB-AnimatedOpenSource-Ch2»PRC1M6</v></cell><cell r="AH235"><v>223935628</v></cell><cell r="AI235" t="str"><v>AZR_FreeAcctDeveloperFB-AnimatedOpenSource-Ch2_USA_1200x1200_CAN_Direct_English_Trial_Standard_ANI_LEA_T2_1</v></cell><cell r="AJ235"><v>103048329</v></cell></row><row r="236"><cell r="C236" t="str"><v>43284FACEBOOK»USA-Trial-ITD-Trial Lookalike-AZR-AZR»1 x 1»SocialBan»LIA»ALL»CPA»LAL»X»NA»SS»NA»FreeAcctITProFB-AnimatedMigration-Ch3»PRC23N</v></cell><cell r="D236" t="str"><v>43284223935637</v></cell><cell r="E236" t="str"><v>43284103176827PRC23N</v></cell><cell r="F236" t="str"><v>DCM</v></cell></row><row r="236"><cell r="K236" t="str"><v>July</v></cell><cell r="L236"><v>43288</v></cell><cell r="M236" t="str"><v>Tier 0</v></cell><cell r="N236" t="str"><v>North America</v></cell><cell r="O236" t="str"><v>United States</v></cell><cell r="P236" t="str"><v>Trial</v></cell><cell r="Q236" t="str"><v>Social</v></cell><cell r="R236" t="str"><v>Azure</v></cell><cell r="S236" t="str"><v>Apps & Infra</v></cell><cell r="T236" t="str"><v>Developers & ITI's</v></cell><cell r="U236" t="str"><v>USA-Trial-ITD-Trial Lookalike-AZR-AZR</v></cell><cell r="V236" t="str"><v>Lookalike Targeting</v></cell><cell r="W236" t="str"><v>Link Ad</v></cell><cell r="X236" t="str"><v>1x1</v></cell></row><row r="236"><cell r="AA236"><v>43284</v></cell><cell r="AB236" t="str"><v>USA_gaPMG_AZR_AZR_Q1_19_Direct-Social</v></cell><cell r="AC236"><v>21358715</v></cell><cell r="AD236"><v>720197</v></cell><cell r="AE236" t="str"><v>Facebook</v></cell><cell r="AF236"><v>3654128</v></cell><cell r="AG236" t="str"><v>FACEBOOK»USA-Trial-ITD-Trial Lookalike-AZR-AZR»1 x 1»SocialBan»LIA»ALL»CPA»LAL»X»NA»SS»NA»FreeAcctITProFB-AnimatedMigration-Ch3»PRC23N</v></cell><cell r="AH236"><v>223935637</v></cell><cell r="AI236" t="str"><v>AZR_FreeAcctITProFB-AnimatedMigration-Ch3_USA_1200x1200_CAN_Direct_English_Trial_Standard_ANI_LEA_T3_1</v></cell><cell r="AJ236"><v>103176827</v></cell></row><row r="237"><cell r="C237" t="str"><v>43284FACEBOOK»USA-Trial-ITD-Trial Lookalike-AZR-AZR»1 x 1»SocialBan»LIA»ALL»CPA»LAL»X»NA»SS»NA»FreeAcctITProFB-AnimatedSecureMngd-Ch1»PRC1M9</v></cell><cell r="D237" t="str"><v>43284224104959</v></cell><cell r="E237" t="str"><v>43284103176830PRC1M9</v></cell><cell r="F237" t="str"><v>DCM</v></cell></row><row r="237"><cell r="K237" t="str"><v>July</v></cell><cell r="L237"><v>43288</v></cell><cell r="M237" t="str"><v>Tier 0</v></cell><cell r="N237" t="str"><v>North America</v></cell><cell r="O237" t="str"><v>United States</v></cell><cell r="P237" t="str"><v>Trial</v></cell><cell r="Q237" t="str"><v>Social</v></cell><cell r="R237" t="str"><v>Azure</v></cell><cell r="S237" t="str"><v>Apps & Infra</v></cell><cell r="T237" t="str"><v>Developers & ITI's</v></cell><cell r="U237" t="str"><v>USA-Trial-ITD-Trial Lookalike-AZR-AZR</v></cell><cell r="V237" t="str"><v>Lookalike Targeting</v></cell><cell r="W237" t="str"><v>Link Ad</v></cell><cell r="X237" t="str"><v>1x1</v></cell></row><row r="237"><cell r="AA237"><v>43284</v></cell><cell r="AB237" t="str"><v>USA_gaPMG_AZR_AZR_Q1_19_Direct-Social</v></cell><cell r="AC237"><v>21358715</v></cell><cell r="AD237"><v>720197</v></cell><cell r="AE237" t="str"><v>Facebook</v></cell><cell r="AF237"><v>3654128</v></cell><cell r="AG237" t="str"><v>FACEBOOK»USA-Trial-ITD-Trial Lookalike-AZR-AZR»1 x 1»SocialBan»LIA»ALL»CPA»LAL»X»NA»SS»NA»FreeAcctITProFB-AnimatedSecureMngd-Ch1»PRC1M9</v></cell><cell r="AH237"><v>224104959</v></cell><cell r="AI237" t="str"><v>AZR_FreeAcctITProFB-AnimatedSecureMngd-Ch1_USA_1200x1200_CAN_Direct_English_Trial_Standard_ANI_LEA_T1_1</v></cell><cell r="AJ237"><v>103176830</v></cell></row><row r="238"><cell r="C238" t="str"><v>43284FACEBOOK»USA-Trial-ITD-Trial PayGo Lookalike-AZR-AZR»1 x 1»SocialBan»CAN»ALL»CPA»LAL»X»NA»SS»NA»FBCTCBasicMotion»PRC1Q0</v></cell><cell r="D238" t="str"><v>43284223935664</v></cell><cell r="E238" t="str"><v>43284103043823PRC1Q0</v></cell><cell r="F238" t="str"><v>DCM</v></cell><cell r="G238" t="str"><v>https://signup.azure.com/?OCID=AID%eexcid!_OLA_%ebuy!_%epid!_%ecid!</v></cell></row><row r="238"><cell r="K238" t="str"><v>July</v></cell><cell r="L238"><v>43288</v></cell><cell r="M238" t="str"><v>Tier 0</v></cell><cell r="N238" t="str"><v>North America</v></cell><cell r="O238" t="str"><v>United States</v></cell><cell r="P238" t="str"><v>Trial</v></cell><cell r="Q238" t="str"><v>Social</v></cell><cell r="R238" t="str"><v>Azure</v></cell><cell r="S238" t="str"><v>Apps & Infra</v></cell><cell r="T238" t="str"><v>Developers & ITI's</v></cell><cell r="U238" t="str"><v>USA-Trial-ITD-Trial PayGo Lookalike-AZR-AZR</v></cell><cell r="V238" t="str"><v>Lookalike Targeting</v></cell><cell r="W238" t="str"><v>Canvas Ad</v></cell><cell r="X238" t="str"><v>1x1</v></cell></row><row r="238"><cell r="AA238"><v>43284</v></cell><cell r="AB238" t="str"><v>USA_gaPMG_AZR_AZR_Q1_19_Direct-Social</v></cell><cell r="AC238"><v>21358715</v></cell><cell r="AD238"><v>720197</v></cell><cell r="AE238" t="str"><v>Facebook</v></cell><cell r="AF238"><v>3654128</v></cell><cell r="AG238" t="str"><v>FACEBOOK»USA-Trial-ITD-Trial PayGo Lookalike-AZR-AZR»1 x 1»SocialBan»CAN»ALL»CPA»LAL»X»NA»SS»NA»FBCTCBasicMotion»PRC1Q0</v></cell><cell r="AH238"><v>223935664</v></cell><cell r="AI238" t="str"><v>AzurePlatform_FBCTCBasicMotion_USA_10s_CAN_PLATFORM_English_Trial_Standard_STAN_TIN_T1_1</v></cell><cell r="AJ238"><v>103043823</v></cell></row><row r="239"><cell r="C239" t="str"><v>43284FACEBOOK»USA-Trial-ITD-Trial PayGo Lookalike-AZR-AZR»1 x 1»SocialBan»CAN»ALL»CPA»LAL»X»NA»SS»NA»FBCTCBasicMotion»PRC1Q0</v></cell><cell r="D239" t="str"><v>43284223935664</v></cell><cell r="E239" t="str"><v>43284103175984PRC1Q0</v></cell><cell r="F239" t="str"><v>DCM</v></cell><cell r="G239" t="str"><v>https://azure.microsoft.com/en-us/pricing/purchase-options/?v=18.19&OCID=AID%eexcid!_OLA_%ebuy!_%epid!_%ecid!</v></cell></row><row r="239"><cell r="K239" t="str"><v>July</v></cell><cell r="L239"><v>43288</v></cell><cell r="M239" t="str"><v>Tier 0</v></cell><cell r="N239" t="str"><v>North America</v></cell><cell r="O239" t="str"><v>United States</v></cell><cell r="P239" t="str"><v>Trial</v></cell><cell r="Q239" t="str"><v>Social</v></cell><cell r="R239" t="str"><v>Azure</v></cell><cell r="S239" t="str"><v>Apps & Infra</v></cell><cell r="T239" t="str"><v>Developers & ITI's</v></cell><cell r="U239" t="str"><v>USA-Trial-ITD-Trial PayGo Lookalike-AZR-AZR</v></cell><cell r="V239" t="str"><v>Lookalike Targeting</v></cell><cell r="W239" t="str"><v>Canvas Ad</v></cell><cell r="X239" t="str"><v>1x1</v></cell></row><row r="239"><cell r="AA239"><v>43284</v></cell><cell r="AB239" t="str"><v>USA_gaPMG_AZR_AZR_Q1_19_Direct-Social</v></cell><cell r="AC239"><v>21358715</v></cell><cell r="AD239"><v>720197</v></cell><cell r="AE239" t="str"><v>Facebook</v></cell><cell r="AF239"><v>3654128</v></cell><cell r="AG239" t="str"><v>FACEBOOK»USA-Trial-ITD-Trial PayGo Lookalike-AZR-AZR»1 x 1»SocialBan»CAN»ALL»CPA»LAL»X»NA»SS»NA»FBCTCBasicMotion»PRC1Q0</v></cell><cell r="AH239"><v>223935664</v></cell><cell r="AI239" t="str"><v>AzurePlatform_FBCTCBasicMotion_USA_10s_CAN_PLATFORM_English_Trial_Standard_STAN_TIN_T1_2</v></cell><cell r="AJ239"><v>103175984</v></cell></row><row r="240"><cell r="C240" t="str"><v>43284FACEBOOK»USA-Trial-ITD-Trial PayGo Lookalike-AZR-AZR»1 x 1»SocialBan»LIA»ALL»CPA»LAL»X»NA»SS»NA»FreeAcctDeveloperFB-AnimatedAI-Ch3»PRC1Q8</v></cell><cell r="D240" t="str"><v>43284224104983</v></cell><cell r="E240" t="str"><v>43284103032778PRC1Q8</v></cell><cell r="F240" t="str"><v>DCM</v></cell></row><row r="240"><cell r="K240" t="str"><v>July</v></cell><cell r="L240"><v>43288</v></cell><cell r="M240" t="str"><v>Tier 0</v></cell><cell r="N240" t="str"><v>North America</v></cell><cell r="O240" t="str"><v>United States</v></cell><cell r="P240" t="str"><v>Trial</v></cell><cell r="Q240" t="str"><v>Social</v></cell><cell r="R240" t="str"><v>Azure</v></cell><cell r="S240" t="str"><v>Apps & Infra</v></cell><cell r="T240" t="str"><v>Developers & ITI's</v></cell><cell r="U240" t="str"><v>USA-Trial-ITD-Trial PayGo Lookalike-AZR-AZR</v></cell><cell r="V240" t="str"><v>Lookalike Targeting</v></cell><cell r="W240" t="str"><v>Link Ad</v></cell><cell r="X240" t="str"><v>1x1</v></cell></row><row r="240"><cell r="AA240"><v>43284</v></cell><cell r="AB240" t="str"><v>USA_gaPMG_AZR_AZR_Q1_19_Direct-Social</v></cell><cell r="AC240"><v>21358715</v></cell><cell r="AD240"><v>720197</v></cell><cell r="AE240" t="str"><v>Facebook</v></cell><cell r="AF240"><v>3654128</v></cell><cell r="AG240" t="str"><v>FACEBOOK»USA-Trial-ITD-Trial PayGo Lookalike-AZR-AZR»1 x 1»SocialBan»LIA»ALL»CPA»LAL»X»NA»SS»NA»FreeAcctDeveloperFB-AnimatedAI-Ch3»PRC1Q8</v></cell><cell r="AH240"><v>224104983</v></cell><cell r="AI240" t="str"><v>AZR_FreeAcctDeveloperFB-AnimatedAI-Ch3_USA_1200x1200_CAN_Direct_English_Trial_Standard_ANI_LEA_T3_1</v></cell><cell r="AJ240"><v>103032778</v></cell></row><row r="241"><cell r="C241" t="str"><v>43284FACEBOOK»USA-Trial-ITD-Trial PayGo Lookalike-AZR-AZR»1 x 1»SocialBan»LIA»ALL»CPA»LAL»X»NA»SS»NA»FreeAcctDeveloperFB-AnimatedData-Ch4»PRC1Q9</v></cell><cell r="D241" t="str"><v>43284224106990</v></cell><cell r="E241" t="str"><v>43284103037935PRC1Q9</v></cell><cell r="F241" t="str"><v>DCM</v></cell></row><row r="241"><cell r="K241" t="str"><v>July</v></cell><cell r="L241"><v>43288</v></cell><cell r="M241" t="str"><v>Tier 0</v></cell><cell r="N241" t="str"><v>North America</v></cell><cell r="O241" t="str"><v>United States</v></cell><cell r="P241" t="str"><v>Trial</v></cell><cell r="Q241" t="str"><v>Social</v></cell><cell r="R241" t="str"><v>Azure</v></cell><cell r="S241" t="str"><v>Apps & Infra</v></cell><cell r="T241" t="str"><v>Developers & ITI's</v></cell><cell r="U241" t="str"><v>USA-Trial-ITD-Trial PayGo Lookalike-AZR-AZR</v></cell><cell r="V241" t="str"><v>Lookalike Targeting</v></cell><cell r="W241" t="str"><v>Link Ad</v></cell><cell r="X241" t="str"><v>1x1</v></cell></row><row r="241"><cell r="AA241"><v>43284</v></cell><cell r="AB241" t="str"><v>USA_gaPMG_AZR_AZR_Q1_19_Direct-Social</v></cell><cell r="AC241"><v>21358715</v></cell><cell r="AD241"><v>720197</v></cell><cell r="AE241" t="str"><v>Facebook</v></cell><cell r="AF241"><v>3654128</v></cell><cell r="AG241" t="str"><v>FACEBOOK»USA-Trial-ITD-Trial PayGo Lookalike-AZR-AZR»1 x 1»SocialBan»LIA»ALL»CPA»LAL»X»NA»SS»NA»FreeAcctDeveloperFB-AnimatedData-Ch4»PRC1Q9</v></cell><cell r="AH241"><v>224106990</v></cell><cell r="AI241" t="str"><v>AZR_FreeAcctDeveloperFB-AnimatedData-Ch4_USA_1200x1200_CAN_Direct_English_Trial_Standard_ANI_LEA_T4_2</v></cell><cell r="AJ241"><v>103037935</v></cell></row><row r="242"><cell r="C242" t="str"><v>43284FACEBOOK»USA-Trial-ITD-Trial PayGo Lookalike-AZR-AZR»1 x 1»SocialBan»LIA»ALL»CPA»LAL»X»NA»SS»NA»FreeAcctDeveloperFB-AnimatedGeneric-Ch1»PRC1Q5</v></cell><cell r="D242" t="str"><v>43284224104092</v></cell><cell r="E242" t="str"><v>43284103176851PRC1Q5</v></cell><cell r="F242" t="str"><v>DCM</v></cell><cell r="G242" t="str"><v>https://azure.microsoft.com/en-us/free/search/?OCID=AID%eexcid!_OLA_%ebuy!_%epid!_%ecid!</v></cell></row><row r="242"><cell r="K242" t="str"><v>July</v></cell><cell r="L242"><v>43288</v></cell><cell r="M242" t="str"><v>Tier 0</v></cell><cell r="N242" t="str"><v>North America</v></cell><cell r="O242" t="str"><v>United States</v></cell><cell r="P242" t="str"><v>Trial</v></cell><cell r="Q242" t="str"><v>Social</v></cell><cell r="R242" t="str"><v>Azure</v></cell><cell r="S242" t="str"><v>Apps & Infra</v></cell><cell r="T242" t="str"><v>Developers & ITI's</v></cell><cell r="U242" t="str"><v>USA-Trial-ITD-Trial PayGo Lookalike-AZR-AZR</v></cell><cell r="V242" t="str"><v>Lookalike Targeting</v></cell><cell r="W242" t="str"><v>Link Ad</v></cell><cell r="X242" t="str"><v>1x1</v></cell></row><row r="242"><cell r="AA242"><v>43284</v></cell><cell r="AB242" t="str"><v>USA_gaPMG_AZR_AZR_Q1_19_Direct-Social</v></cell><cell r="AC242"><v>21358715</v></cell><cell r="AD242"><v>720197</v></cell><cell r="AE242" t="str"><v>Facebook</v></cell><cell r="AF242"><v>3654128</v></cell><cell r="AG242" t="str"><v>FACEBOOK»USA-Trial-ITD-Trial PayGo Lookalike-AZR-AZR»1 x 1»SocialBan»LIA»ALL»CPA»LAL»X»NA»SS»NA»FreeAcctDeveloperFB-AnimatedGeneric-Ch1»PRC1Q5</v></cell><cell r="AH242"><v>224104092</v></cell><cell r="AI242" t="str"><v>AZR_FreeAcctDeveloperFB-AnimatedGeneric-Ch1_USA_1200x1200_CAN_Direct_English_Trial_Standard_ANI_LEA_T1_2</v></cell><cell r="AJ242"><v>103176851</v></cell></row><row r="243"><cell r="C243" t="str"><v>43284FACEBOOK»USA-Trial-ITD-Trial PayGo Lookalike-AZR-AZR»1 x 1»SocialBan»LIA»ALL»CPA»LAL»X»NA»SS»NA»FreeAcctDeveloperFB-AnimatedOpenSource-Ch2»PRC1Q7</v></cell><cell r="D243" t="str"><v>43284223862951</v></cell><cell r="E243" t="str"><v>43284103048329PRC1Q7</v></cell><cell r="F243" t="str"><v>DCM</v></cell><cell r="G243" t="str"><v>https://azure.microsoft.com/en-us/free/open-source/search/?OCID=AID%eexcid!_OLA_%ebuy!_%epid!_%ecid!</v></cell></row><row r="243"><cell r="K243" t="str"><v>July</v></cell><cell r="L243"><v>43288</v></cell><cell r="M243" t="str"><v>Tier 0</v></cell><cell r="N243" t="str"><v>North America</v></cell><cell r="O243" t="str"><v>United States</v></cell><cell r="P243" t="str"><v>Trial</v></cell><cell r="Q243" t="str"><v>Social</v></cell><cell r="R243" t="str"><v>Azure</v></cell><cell r="S243" t="str"><v>Apps & Infra</v></cell><cell r="T243" t="str"><v>Developers & ITI's</v></cell><cell r="U243" t="str"><v>USA-Trial-ITD-Trial PayGo Lookalike-AZR-AZR</v></cell><cell r="V243" t="str"><v>Lookalike Targeting</v></cell><cell r="W243" t="str"><v>Link Ad</v></cell><cell r="X243" t="str"><v>1x1</v></cell></row><row r="243"><cell r="AA243"><v>43284</v></cell><cell r="AB243" t="str"><v>USA_gaPMG_AZR_AZR_Q1_19_Direct-Social</v></cell><cell r="AC243"><v>21358715</v></cell><cell r="AD243"><v>720197</v></cell><cell r="AE243" t="str"><v>Facebook</v></cell><cell r="AF243"><v>3654128</v></cell><cell r="AG243" t="str"><v>FACEBOOK»USA-Trial-ITD-Trial PayGo Lookalike-AZR-AZR»1 x 1»SocialBan»LIA»ALL»CPA»LAL»X»NA»SS»NA»FreeAcctDeveloperFB-AnimatedOpenSource-Ch2»PRC1Q7</v></cell><cell r="AH243"><v>223862951</v></cell><cell r="AI243" t="str"><v>AZR_FreeAcctDeveloperFB-AnimatedOpenSource-Ch2_USA_1200x1200_CAN_Direct_English_Trial_Standard_ANI_LEA_T2_1</v></cell><cell r="AJ243"><v>103048329</v></cell></row><row r="244"><cell r="C244" t="str"><v>43284FACEBOOK»USA-Trial-ITD-Trial PayGo Lookalike-AZR-AZR»1 x 1»SocialBan»LIA»ALL»CPA»LAL»X»NA»SS»NA»FreeAcctITProFB-AnimatedHybrid-Ch2»PRC1QC</v></cell><cell r="D244" t="str"><v>43284223933186</v></cell><cell r="E244" t="str"><v>43284103180583PRC1QC</v></cell><cell r="F244" t="str"><v>DCM</v></cell></row><row r="244"><cell r="K244" t="str"><v>July</v></cell><cell r="L244"><v>43288</v></cell><cell r="M244" t="str"><v>Tier 0</v></cell><cell r="N244" t="str"><v>North America</v></cell><cell r="O244" t="str"><v>United States</v></cell><cell r="P244" t="str"><v>Trial</v></cell><cell r="Q244" t="str"><v>Social</v></cell><cell r="R244" t="str"><v>Azure</v></cell><cell r="S244" t="str"><v>Apps & Infra</v></cell><cell r="T244" t="str"><v>Developers & ITI's</v></cell><cell r="U244" t="str"><v>USA-Trial-ITD-Trial PayGo Lookalike-AZR-AZR</v></cell><cell r="V244" t="str"><v>Lookalike Targeting</v></cell><cell r="W244" t="str"><v>Link Ad</v></cell><cell r="X244" t="str"><v>1x1</v></cell></row><row r="244"><cell r="AA244"><v>43284</v></cell><cell r="AB244" t="str"><v>USA_gaPMG_AZR_AZR_Q1_19_Direct-Social</v></cell><cell r="AC244"><v>21358715</v></cell><cell r="AD244"><v>720197</v></cell><cell r="AE244" t="str"><v>Facebook</v></cell><cell r="AF244"><v>3654128</v></cell><cell r="AG244" t="str"><v>FACEBOOK»USA-Trial-ITD-Trial PayGo Lookalike-AZR-AZR»1 x 1»SocialBan»LIA»ALL»CPA»LAL»X»NA»SS»NA»FreeAcctITProFB-AnimatedHybrid-Ch2»PRC1QC</v></cell><cell r="AH244"><v>223933186</v></cell><cell r="AI244" t="str"><v>AZR_FreeAcctITProFB-AnimatedHybrid-Ch2_USA_1200x1200_CAN_Direct_English_Trial_Standard_ANI_LEA_T2_2</v></cell><cell r="AJ244"><v>103180583</v></cell></row><row r="245"><cell r="C245" t="str"><v>43284FACEBOOK»USA-Trial-ITD-Trial PayGo Lookalike-AZR-AZR»1 x 1»SocialBan»LIA»ALL»CPA»LAL»X»NA»SS»NA»FreeAcctITProFB-AnimatedMigration-Ch3»PRC23Y</v></cell><cell r="D245" t="str"><v>43284224105904</v></cell><cell r="E245" t="str"><v>43284103176827PRC23Y</v></cell><cell r="F245" t="str"><v>DCM</v></cell></row><row r="245"><cell r="K245" t="str"><v>July</v></cell><cell r="L245"><v>43288</v></cell><cell r="M245" t="str"><v>Tier 0</v></cell><cell r="N245" t="str"><v>North America</v></cell><cell r="O245" t="str"><v>United States</v></cell><cell r="P245" t="str"><v>Trial</v></cell><cell r="Q245" t="str"><v>Social</v></cell><cell r="R245" t="str"><v>Azure</v></cell><cell r="S245" t="str"><v>Apps & Infra</v></cell><cell r="T245" t="str"><v>Developers & ITI's</v></cell><cell r="U245" t="str"><v>USA-Trial-ITD-Trial PayGo Lookalike-AZR-AZR</v></cell><cell r="V245" t="str"><v>Lookalike Targeting</v></cell><cell r="W245" t="str"><v>Link Ad</v></cell><cell r="X245" t="str"><v>1x1</v></cell></row><row r="245"><cell r="AA245"><v>43284</v></cell><cell r="AB245" t="str"><v>USA_gaPMG_AZR_AZR_Q1_19_Direct-Social</v></cell><cell r="AC245"><v>21358715</v></cell><cell r="AD245"><v>720197</v></cell><cell r="AE245" t="str"><v>Facebook</v></cell><cell r="AF245"><v>3654128</v></cell><cell r="AG245" t="str"><v>FACEBOOK»USA-Trial-ITD-Trial PayGo Lookalike-AZR-AZR»1 x 1»SocialBan»LIA»ALL»CPA»LAL»X»NA»SS»NA»FreeAcctITProFB-AnimatedMigration-Ch3»PRC23Y</v></cell><cell r="AH245"><v>224105904</v></cell><cell r="AI245" t="str"><v>AZR_FreeAcctITProFB-AnimatedMigration-Ch3_USA_1200x1200_CAN_Direct_English_Trial_Standard_ANI_LEA_T3_1</v></cell><cell r="AJ245"><v>103176827</v></cell></row><row r="246"><cell r="C246" t="str"><v>43284FACEBOOK»USA-Trial-ITD-Trial PayGo Lookalike-AZR-AZR»1 x 1»SocialBan»LIA»ALL»CPA»LAL»X»NA»SS»NA»FreeAcctITProFB-AnimatedSecureMngd-Ch1»PRC1QB</v></cell><cell r="D246" t="str"><v>43284223862945</v></cell><cell r="E246" t="str"><v>43284103176830PRC1QB</v></cell><cell r="F246" t="str"><v>DCM</v></cell></row><row r="246"><cell r="K246" t="str"><v>July</v></cell><cell r="L246"><v>43288</v></cell><cell r="M246" t="str"><v>Tier 0</v></cell><cell r="N246" t="str"><v>North America</v></cell><cell r="O246" t="str"><v>United States</v></cell><cell r="P246" t="str"><v>Trial</v></cell><cell r="Q246" t="str"><v>Social</v></cell><cell r="R246" t="str"><v>Azure</v></cell><cell r="S246" t="str"><v>Apps & Infra</v></cell><cell r="T246" t="str"><v>Developers & ITI's</v></cell><cell r="U246" t="str"><v>USA-Trial-ITD-Trial PayGo Lookalike-AZR-AZR</v></cell><cell r="V246" t="str"><v>Lookalike Targeting</v></cell><cell r="W246" t="str"><v>Link Ad</v></cell><cell r="X246" t="str"><v>1x1</v></cell></row><row r="246"><cell r="AA246"><v>43284</v></cell><cell r="AB246" t="str"><v>USA_gaPMG_AZR_AZR_Q1_19_Direct-Social</v></cell><cell r="AC246"><v>21358715</v></cell><cell r="AD246"><v>720197</v></cell><cell r="AE246" t="str"><v>Facebook</v></cell><cell r="AF246"><v>3654128</v></cell><cell r="AG246" t="str"><v>FACEBOOK»USA-Trial-ITD-Trial PayGo Lookalike-AZR-AZR»1 x 1»SocialBan»LIA»ALL»CPA»LAL»X»NA»SS»NA»FreeAcctITProFB-AnimatedSecureMngd-Ch1»PRC1QB</v></cell><cell r="AH246"><v>223862945</v></cell><cell r="AI246" t="str"><v>AZR_FreeAcctITProFB-AnimatedSecureMngd-Ch1_USA_1200x1200_CAN_Direct_English_Trial_Standard_ANI_LEA_T1_1</v></cell><cell r="AJ246"><v>103176830</v></cell></row><row r="247"><cell r="C247" t="str"><v>43284INSTAGRAM»USA-Trial-ITD-Interest Prospecting-AZR-AZR»1 x 1»SocialBan»CAN»ALL»CPA»PRO»X»NA»SS»NA»IGCTCBenefit2inMotion»PRC2PD</v></cell><cell r="D247" t="str"><v>43284223933084</v></cell><cell r="E247" t="str"><v>43284103180628PRC2PD</v></cell><cell r="F247" t="str"><v>DCM</v></cell><cell r="G247" t="str"><v>https://signup.azure.com/?OCID=AID%eexcid!_OLA_%ebuy!_%epid!_%ecid!</v></cell></row><row r="247"><cell r="K247" t="str"><v>July</v></cell><cell r="L247"><v>43288</v></cell><cell r="M247" t="str"><v>Tier 0</v></cell><cell r="N247" t="str"><v>North America</v></cell><cell r="O247" t="str"><v>United States</v></cell><cell r="P247" t="str"><v>Trial</v></cell><cell r="Q247" t="str"><v>Social</v></cell><cell r="R247" t="str"><v>Azure</v></cell><cell r="S247" t="str"><v>Apps & Infra</v></cell><cell r="T247" t="str"><v>Developers & ITI's</v></cell><cell r="U247" t="str"><v>USA-Trial-ITD-Interest Prospecting-AZR-AZR</v></cell><cell r="V247" t="str"><v>Prospecting</v></cell><cell r="W247" t="str"><v>Canvas Ad</v></cell><cell r="X247" t="str"><v>1x1</v></cell></row><row r="247"><cell r="AA247"><v>43284</v></cell><cell r="AB247" t="str"><v>USA_gaPMG_AZR_AZR_Q1_19_Direct-Social</v></cell><cell r="AC247"><v>21358715</v></cell><cell r="AD247"><v>720197</v></cell><cell r="AE247" t="str"><v>Facebook - Instagram</v></cell><cell r="AF247"><v>3654128</v></cell><cell r="AG247" t="str"><v>INSTAGRAM»USA-Trial-ITD-Interest Prospecting-AZR-AZR»1 x 1»SocialBan»CAN»ALL»CPA»PRO»X»NA»SS»NA»IGCTCBenefit2inMotion»PRC2PD</v></cell><cell r="AH247"><v>223933084</v></cell><cell r="AI247" t="str"><v>AzurePlatform_IGCTCBrandinMotion_USA_10s_CAN_PLATFORM_English_Trial_Standard_STAN_TIN_T2_1</v></cell><cell r="AJ247"><v>103180628</v></cell></row><row r="248"><cell r="C248" t="str"><v>43284INSTAGRAM»USA-Trial-ITD-Interest Prospecting-AZR-AZR»1 x 1»SocialBan»CAN»ALL»CPA»PRO»X»NA»SS»NA»IGCTCBenefit2inMotion»PRC2PD</v></cell><cell r="D248" t="str"><v>43284223933084</v></cell><cell r="E248" t="str"><v>43284103050786PRC2PD</v></cell><cell r="F248" t="str"><v>DCM</v></cell><cell r="G248" t="str"><v>https://azure.microsoft.com/en-us/pricing/purchase-options/?v=18.19&OCID=AID%eexcid!_OLA_%ebuy!_%epid!_%ecid!</v></cell></row><row r="248"><cell r="K248" t="str"><v>July</v></cell><cell r="L248"><v>43288</v></cell><cell r="M248" t="str"><v>Tier 0</v></cell><cell r="N248" t="str"><v>North America</v></cell><cell r="O248" t="str"><v>United States</v></cell><cell r="P248" t="str"><v>Trial</v></cell><cell r="Q248" t="str"><v>Social</v></cell><cell r="R248" t="str"><v>Azure</v></cell><cell r="S248" t="str"><v>Apps & Infra</v></cell><cell r="T248" t="str"><v>Developers & ITI's</v></cell><cell r="U248" t="str"><v>USA-Trial-ITD-Interest Prospecting-AZR-AZR</v></cell><cell r="V248" t="str"><v>Prospecting</v></cell><cell r="W248" t="str"><v>Canvas Ad</v></cell><cell r="X248" t="str"><v>1x1</v></cell></row><row r="248"><cell r="AA248"><v>43284</v></cell><cell r="AB248" t="str"><v>USA_gaPMG_AZR_AZR_Q1_19_Direct-Social</v></cell><cell r="AC248"><v>21358715</v></cell><cell r="AD248"><v>720197</v></cell><cell r="AE248" t="str"><v>Facebook - Instagram</v></cell><cell r="AF248"><v>3654128</v></cell><cell r="AG248" t="str"><v>INSTAGRAM»USA-Trial-ITD-Interest Prospecting-AZR-AZR»1 x 1»SocialBan»CAN»ALL»CPA»PRO»X»NA»SS»NA»IGCTCBenefit2inMotion»PRC2PD</v></cell><cell r="AH248"><v>223933084</v></cell><cell r="AI248" t="str"><v>AzurePlatform_IGCTCBrandinMotion_USA_10s_CAN_PLATFORM_English_Trial_Standard_STAN_TIN_T2_2</v></cell><cell r="AJ248"><v>103050786</v></cell></row><row r="249"><cell r="C249" t="str"><v>43284INSTAGRAM»USA-Trial-ITD-Interest Prospecting-AZR-AZR»1 x 1»SocialBan»CAN»ALL»CPA»PRO»X»NA»SS»NA»IGCTCBrandinMotion»PRC2PB</v></cell><cell r="D249" t="str"><v>43284223862690</v></cell><cell r="E249" t="str"><v>43284103050783PRC2PB</v></cell><cell r="F249" t="str"><v>DCM</v></cell><cell r="G249" t="str"><v>https://signup.azure.com/?OCID=AID%eexcid!_OLA_%ebuy!_%epid!_%ecid!</v></cell></row><row r="249"><cell r="K249" t="str"><v>July</v></cell><cell r="L249"><v>43288</v></cell><cell r="M249" t="str"><v>Tier 0</v></cell><cell r="N249" t="str"><v>North America</v></cell><cell r="O249" t="str"><v>United States</v></cell><cell r="P249" t="str"><v>Trial</v></cell><cell r="Q249" t="str"><v>Social</v></cell><cell r="R249" t="str"><v>Azure</v></cell><cell r="S249" t="str"><v>Apps & Infra</v></cell><cell r="T249" t="str"><v>Developers & ITI's</v></cell><cell r="U249" t="str"><v>USA-Trial-ITD-Interest Prospecting-AZR-AZR</v></cell><cell r="V249" t="str"><v>Prospecting</v></cell><cell r="W249" t="str"><v>Canvas Ad</v></cell><cell r="X249" t="str"><v>1x1</v></cell></row><row r="249"><cell r="AA249"><v>43284</v></cell><cell r="AB249" t="str"><v>USA_gaPMG_AZR_AZR_Q1_19_Direct-Social</v></cell><cell r="AC249"><v>21358715</v></cell><cell r="AD249"><v>720197</v></cell><cell r="AE249" t="str"><v>Facebook - Instagram</v></cell><cell r="AF249"><v>3654128</v></cell><cell r="AG249" t="str"><v>INSTAGRAM»USA-Trial-ITD-Interest Prospecting-AZR-AZR»1 x 1»SocialBan»CAN»ALL»CPA»PRO»X»NA»SS»NA»IGCTCBrandinMotion»PRC2PB</v></cell><cell r="AH249"><v>223862690</v></cell><cell r="AI249" t="str"><v>AzurePlatform_IGCTCBenefit2inMotion_USA_10s_CAN_PLATFORM_English_Trial_Standard_STAN_TIN_T4_1</v></cell><cell r="AJ249"><v>103050783</v></cell></row><row r="250"><cell r="C250" t="str"><v>43284INSTAGRAM»USA-Trial-ITD-Interest Prospecting-AZR-AZR»1 x 1»SocialBan»CAN»ALL»CPA»PRO»X»NA»SS»NA»IGCTCBrandinMotion»PRC2PB</v></cell><cell r="D250" t="str"><v>43284223862690</v></cell><cell r="E250" t="str"><v>43284103178714PRC2PB</v></cell><cell r="F250" t="str"><v>DCM</v></cell><cell r="G250" t="str"><v>https://azure.microsoft.com/en-us/pricing/purchase-options/?v=18.19&OCID=AID%eexcid!_OLA_%ebuy!_%epid!_%ecid!</v></cell></row><row r="250"><cell r="K250" t="str"><v>July</v></cell><cell r="L250"><v>43288</v></cell><cell r="M250" t="str"><v>Tier 0</v></cell><cell r="N250" t="str"><v>North America</v></cell><cell r="O250" t="str"><v>United States</v></cell><cell r="P250" t="str"><v>Trial</v></cell><cell r="Q250" t="str"><v>Social</v></cell><cell r="R250" t="str"><v>Azure</v></cell><cell r="S250" t="str"><v>Apps & Infra</v></cell><cell r="T250" t="str"><v>Developers & ITI's</v></cell><cell r="U250" t="str"><v>USA-Trial-ITD-Interest Prospecting-AZR-AZR</v></cell><cell r="V250" t="str"><v>Prospecting</v></cell><cell r="W250" t="str"><v>Canvas Ad</v></cell><cell r="X250" t="str"><v>1x1</v></cell></row><row r="250"><cell r="AA250"><v>43284</v></cell><cell r="AB250" t="str"><v>USA_gaPMG_AZR_AZR_Q1_19_Direct-Social</v></cell><cell r="AC250"><v>21358715</v></cell><cell r="AD250"><v>720197</v></cell><cell r="AE250" t="str"><v>Facebook - Instagram</v></cell><cell r="AF250"><v>3654128</v></cell><cell r="AG250" t="str"><v>INSTAGRAM»USA-Trial-ITD-Interest Prospecting-AZR-AZR»1 x 1»SocialBan»CAN»ALL»CPA»PRO»X»NA»SS»NA»IGCTCBrandinMotion»PRC2PB</v></cell><cell r="AH250"><v>223862690</v></cell><cell r="AI250" t="str"><v>AzurePlatform_IGCTCBenefit2inMotion_USA_10s_CAN_PLATFORM_English_Trial_Standard_STAN_TIN_T4_2</v></cell><cell r="AJ250"><v>103178714</v></cell></row><row r="251"><cell r="C251" t="str"><v>43284INSTAGRAM»USA-Trial-ITD-Retargeting-AZR-AZR»1 x 1»SocialBan»CAN»ALL»CPA»RT»X»NA»SS»NA»IGCTCBenefit2inMotion»PRC2G6</v></cell><cell r="D251" t="str"><v>43284224105001</v></cell><cell r="E251" t="str"><v>43284103180628PRC2G6</v></cell><cell r="F251" t="str"><v>DCM</v></cell><cell r="G251" t="str"><v>https://signup.azure.com/?OCID=AID%eexcid!_OLA_%ebuy!_%epid!_%ecid!</v></cell></row><row r="251"><cell r="K251" t="str"><v>July</v></cell><cell r="L251"><v>43288</v></cell><cell r="M251" t="str"><v>Tier 0</v></cell><cell r="N251" t="str"><v>North America</v></cell><cell r="O251" t="str"><v>United States</v></cell><cell r="P251" t="str"><v>Trial</v></cell><cell r="Q251" t="str"><v>Social</v></cell><cell r="R251" t="str"><v>Azure</v></cell><cell r="S251" t="str"><v>Apps & Infra</v></cell><cell r="T251" t="str"><v>Developers & ITI's</v></cell><cell r="U251" t="str"><v>USA-Trial-ITD-Retargeting-AZR-AZR</v></cell><cell r="V251" t="str"><v>Retargeting</v></cell><cell r="W251" t="str"><v>Canvas Ad</v></cell><cell r="X251" t="str"><v>1x1</v></cell></row><row r="251"><cell r="AA251"><v>43284</v></cell><cell r="AB251" t="str"><v>USA_gaPMG_AZR_AZR_Q1_19_Direct-Social</v></cell><cell r="AC251"><v>21358715</v></cell><cell r="AD251"><v>720197</v></cell><cell r="AE251" t="str"><v>Facebook - Instagram</v></cell><cell r="AF251"><v>3654128</v></cell><cell r="AG251" t="str"><v>INSTAGRAM»USA-Trial-ITD-Retargeting-AZR-AZR»1 x 1»SocialBan»CAN»ALL»CPA»RT»X»NA»SS»NA»IGCTCBenefit2inMotion»PRC2G6</v></cell><cell r="AH251"><v>224105001</v></cell><cell r="AI251" t="str"><v>AzurePlatform_IGCTCBrandinMotion_USA_10s_CAN_PLATFORM_English_Trial_Standard_STAN_TIN_T2_1</v></cell><cell r="AJ251"><v>103180628</v></cell></row><row r="252"><cell r="C252" t="str"><v>43284INSTAGRAM»USA-Trial-ITD-Trial Lookalike-AZR-AZR»1 x 1»SocialBan»CAN»ALL»CPA»LAL»X»NA»SS»NA»IGCTCBenefit2inMotion»PRC2FL</v></cell><cell r="D252" t="str"><v>43284223935022</v></cell><cell r="E252" t="str"><v>43284103180628PRC2FL</v></cell><cell r="F252" t="str"><v>DCM</v></cell><cell r="G252" t="str"><v>https://signup.azure.com/?OCID=AID%eexcid!_OLA_%ebuy!_%epid!_%ecid!</v></cell></row><row r="252"><cell r="K252" t="str"><v>July</v></cell><cell r="L252"><v>43288</v></cell><cell r="M252" t="str"><v>Tier 0</v></cell><cell r="N252" t="str"><v>North America</v></cell><cell r="O252" t="str"><v>United States</v></cell><cell r="P252" t="str"><v>Trial</v></cell><cell r="Q252" t="str"><v>Social</v></cell><cell r="R252" t="str"><v>Azure</v></cell><cell r="S252" t="str"><v>Apps & Infra</v></cell><cell r="T252" t="str"><v>Developers & ITI's</v></cell><cell r="U252" t="str"><v>USA-Trial-ITD-Trial Lookalike-AZR-AZR</v></cell><cell r="V252" t="str"><v>Lookalike Targeting</v></cell><cell r="W252" t="str"><v>Canvas Ad</v></cell><cell r="X252" t="str"><v>1x1</v></cell></row><row r="252"><cell r="AA252"><v>43284</v></cell><cell r="AB252" t="str"><v>USA_gaPMG_AZR_AZR_Q1_19_Direct-Social</v></cell><cell r="AC252"><v>21358715</v></cell><cell r="AD252"><v>720197</v></cell><cell r="AE252" t="str"><v>Facebook - Instagram</v></cell><cell r="AF252"><v>3654128</v></cell><cell r="AG252" t="str"><v>INSTAGRAM»USA-Trial-ITD-Trial Lookalike-AZR-AZR»1 x 1»SocialBan»CAN»ALL»CPA»LAL»X»NA»SS»NA»IGCTCBenefit2inMotion»PRC2FL</v></cell><cell r="AH252"><v>223935022</v></cell><cell r="AI252" t="str"><v>AzurePlatform_IGCTCBrandinMotion_USA_10s_CAN_PLATFORM_English_Trial_Standard_STAN_TIN_T2_1</v></cell><cell r="AJ252"><v>103180628</v></cell></row><row r="253"><cell r="C253" t="str"><v>43284INSTAGRAM»USA-Trial-ITD-Trial Lookalike-AZR-AZR»1 x 1»SocialBan»CAN»ALL»CPA»LAL»X»NA»SS»NA»IGCTCBrandinMotion»PRC2FH</v></cell><cell r="D253" t="str"><v>43284223935019</v></cell><cell r="E253" t="str"><v>43284103050783PRC2FH</v></cell><cell r="F253" t="str"><v>DCM</v></cell><cell r="G253" t="str"><v>https://signup.azure.com/?OCID=AID%eexcid!_OLA_%ebuy!_%epid!_%ecid!</v></cell></row><row r="253"><cell r="K253" t="str"><v>July</v></cell><cell r="L253"><v>43288</v></cell><cell r="M253" t="str"><v>Tier 0</v></cell><cell r="N253" t="str"><v>North America</v></cell><cell r="O253" t="str"><v>United States</v></cell><cell r="P253" t="str"><v>Trial</v></cell><cell r="Q253" t="str"><v>Social</v></cell><cell r="R253" t="str"><v>Azure</v></cell><cell r="S253" t="str"><v>Apps & Infra</v></cell><cell r="T253" t="str"><v>Developers & ITI's</v></cell><cell r="U253" t="str"><v>USA-Trial-ITD-Trial Lookalike-AZR-AZR</v></cell><cell r="V253" t="str"><v>Lookalike Targeting</v></cell><cell r="W253" t="str"><v>Canvas Ad</v></cell><cell r="X253" t="str"><v>1x1</v></cell></row><row r="253"><cell r="AA253"><v>43284</v></cell><cell r="AB253" t="str"><v>USA_gaPMG_AZR_AZR_Q1_19_Direct-Social</v></cell><cell r="AC253"><v>21358715</v></cell><cell r="AD253"><v>720197</v></cell><cell r="AE253" t="str"><v>Facebook - Instagram</v></cell><cell r="AF253"><v>3654128</v></cell><cell r="AG253" t="str"><v>INSTAGRAM»USA-Trial-ITD-Trial Lookalike-AZR-AZR»1 x 1»SocialBan»CAN»ALL»CPA»LAL»X»NA»SS»NA»IGCTCBrandinMotion»PRC2FH</v></cell><cell r="AH253"><v>223935019</v></cell><cell r="AI253" t="str"><v>AzurePlatform_IGCTCBenefit2inMotion_USA_10s_CAN_PLATFORM_English_Trial_Standard_STAN_TIN_T4_1</v></cell><cell r="AJ253"><v>103050783</v></cell></row><row r="254"><cell r="C254" t="str"><v>43284INSTAGRAM»USA-Trial-ITD-Trial Lookalike-AZR-AZR»1 x 1»SocialBan»CAN»ALL»CPA»LAL»X»NA»SS»NA»IGCTCBrandinMotion»PRC2FH</v></cell><cell r="D254" t="str"><v>43284223935019</v></cell><cell r="E254" t="str"><v>43284103178714PRC2FH</v></cell><cell r="F254" t="str"><v>DCM</v></cell><cell r="G254" t="str"><v>https://azure.microsoft.com/en-us/pricing/purchase-options/?v=18.19&OCID=AID%eexcid!_OLA_%ebuy!_%epid!_%ecid!</v></cell></row><row r="254"><cell r="K254" t="str"><v>July</v></cell><cell r="L254"><v>43288</v></cell><cell r="M254" t="str"><v>Tier 0</v></cell><cell r="N254" t="str"><v>North America</v></cell><cell r="O254" t="str"><v>United States</v></cell><cell r="P254" t="str"><v>Trial</v></cell><cell r="Q254" t="str"><v>Social</v></cell><cell r="R254" t="str"><v>Azure</v></cell><cell r="S254" t="str"><v>Apps & Infra</v></cell><cell r="T254" t="str"><v>Developers & ITI's</v></cell><cell r="U254" t="str"><v>USA-Trial-ITD-Trial Lookalike-AZR-AZR</v></cell><cell r="V254" t="str"><v>Lookalike Targeting</v></cell><cell r="W254" t="str"><v>Canvas Ad</v></cell><cell r="X254" t="str"><v>1x1</v></cell></row><row r="254"><cell r="AA254"><v>43284</v></cell><cell r="AB254" t="str"><v>USA_gaPMG_AZR_AZR_Q1_19_Direct-Social</v></cell><cell r="AC254"><v>21358715</v></cell><cell r="AD254"><v>720197</v></cell><cell r="AE254" t="str"><v>Facebook - Instagram</v></cell><cell r="AF254"><v>3654128</v></cell><cell r="AG254" t="str"><v>INSTAGRAM»USA-Trial-ITD-Trial Lookalike-AZR-AZR»1 x 1»SocialBan»CAN»ALL»CPA»LAL»X»NA»SS»NA»IGCTCBrandinMotion»PRC2FH</v></cell><cell r="AH254"><v>223935019</v></cell><cell r="AI254" t="str"><v>AzurePlatform_IGCTCBenefit2inMotion_USA_10s_CAN_PLATFORM_English_Trial_Standard_STAN_TIN_T4_2</v></cell><cell r="AJ254"><v>103178714</v></cell></row><row r="255"><cell r="C255" t="str"><v>43284INSTAGRAM»USA-Trial-ITD-Trial PayGo Lookalike-AZR-AZR»1 x 1»SocialBan»CAN»ALL»CPA»LAL»X»NA»SS»NA»IGCTCBrandinMotion»PRC2FW</v></cell><cell r="D255" t="str"><v>43284223862654</v></cell><cell r="E255" t="str"><v>43284103178714PRC2FW</v></cell><cell r="F255" t="str"><v>DCM</v></cell><cell r="G255" t="str"><v>https://azure.microsoft.com/en-us/pricing/purchase-options/?v=18.19&OCID=AID%eexcid!_OLA_%ebuy!_%epid!_%ecid!</v></cell></row><row r="255"><cell r="K255" t="str"><v>July</v></cell><cell r="L255"><v>43288</v></cell><cell r="M255" t="str"><v>Tier 0</v></cell><cell r="N255" t="str"><v>North America</v></cell><cell r="O255" t="str"><v>United States</v></cell><cell r="P255" t="str"><v>Trial</v></cell><cell r="Q255" t="str"><v>Social</v></cell><cell r="R255" t="str"><v>Azure</v></cell><cell r="S255" t="str"><v>Apps & Infra</v></cell><cell r="T255" t="str"><v>Developers & ITI's</v></cell><cell r="U255" t="str"><v>USA-Trial-ITD-Trial PayGo Lookalike-AZR-AZR</v></cell><cell r="V255" t="str"><v>Lookalike Targeting</v></cell><cell r="W255" t="str"><v>Canvas Ad</v></cell><cell r="X255" t="str"><v>1x1</v></cell></row><row r="255"><cell r="AA255"><v>43284</v></cell><cell r="AB255" t="str"><v>USA_gaPMG_AZR_AZR_Q1_19_Direct-Social</v></cell><cell r="AC255"><v>21358715</v></cell><cell r="AD255"><v>720197</v></cell><cell r="AE255" t="str"><v>Facebook - Instagram</v></cell><cell r="AF255"><v>3654128</v></cell><cell r="AG255" t="str"><v>INSTAGRAM»USA-Trial-ITD-Trial PayGo Lookalike-AZR-AZR»1 x 1»SocialBan»CAN»ALL»CPA»LAL»X»NA»SS»NA»IGCTCBrandinMotion»PRC2FW</v></cell><cell r="AH255"><v>223862654</v></cell><cell r="AI255" t="str"><v>AzurePlatform_IGCTCBenefit2inMotion_USA_10s_CAN_PLATFORM_English_Trial_Standard_STAN_TIN_T4_2</v></cell><cell r="AJ255"><v>103178714</v></cell></row><row r="256"><cell r="C256" t="str"><v>43284INSTAGRAM»USA-Trial-ITD-Interest Prospecting-AZR-AZR»1 x 1»SocialBan»CAN»ALL»CPA»PRO»X»NA»SS»NA»IGCTCBasicMotion»PRC2PF</v></cell><cell r="D256" t="str"><v>43284224106621</v></cell><cell r="E256" t="str"><v>43284103037968PRC2PF</v></cell><cell r="F256" t="str"><v>DCM</v></cell><cell r="G256" t="str"><v>https://signup.azure.com/?OCID=AID%eexcid!_OLA_%ebuy!_%epid!_%ecid!</v></cell></row><row r="256"><cell r="K256" t="str"><v>July</v></cell><cell r="L256"><v>43288</v></cell><cell r="M256" t="str"><v>Tier 0</v></cell><cell r="N256" t="str"><v>North America</v></cell><cell r="O256" t="str"><v>United States</v></cell><cell r="P256" t="str"><v>Trial</v></cell><cell r="Q256" t="str"><v>Social</v></cell><cell r="R256" t="str"><v>Azure</v></cell><cell r="S256" t="str"><v>Apps & Infra</v></cell><cell r="T256" t="str"><v>Developers & ITI's</v></cell><cell r="U256" t="str"><v>USA-Trial-ITD-Interest Prospecting-AZR-AZR</v></cell><cell r="V256" t="str"><v>Prospecting</v></cell><cell r="W256" t="str"><v>Canvas Ad</v></cell><cell r="X256" t="str"><v>1x1</v></cell></row><row r="256"><cell r="AA256"><v>43284</v></cell><cell r="AB256" t="str"><v>USA_gaPMG_AZR_AZR_Q1_19_Direct-Social</v></cell><cell r="AC256"><v>21358715</v></cell><cell r="AD256"><v>720197</v></cell><cell r="AE256" t="str"><v>Facebook - Instagram</v></cell><cell r="AF256"><v>3654128</v></cell><cell r="AG256" t="str"><v>INSTAGRAM»USA-Trial-ITD-Interest Prospecting-AZR-AZR»1 x 1»SocialBan»CAN»ALL»CPA»PRO»X»NA»SS»NA»IGCTCBasicMotion»PRC2PF</v></cell><cell r="AH256"><v>224106621</v></cell><cell r="AI256" t="str"><v>AzurePlatform_IGCTCBasicMotion_USA_10s_CAN_PLATFORM_English_Trial_Standard_STAN_TIN_T1_1</v></cell><cell r="AJ256"><v>103037968</v></cell></row><row r="257"><cell r="C257" t="str"><v>43284INSTAGRAM»USA-Trial-ITD-Interest Prospecting-AZR-AZR»1 x 1»SocialBan»CAN»ALL»CPA»PRO»X»NA»SS»NA»IGCTCBasicMotion»PRC2PF</v></cell><cell r="D257" t="str"><v>43284224106621</v></cell><cell r="E257" t="str"><v>43284103037974PRC2PF</v></cell><cell r="F257" t="str"><v>DCM</v></cell><cell r="G257" t="str"><v>https://azure.microsoft.com/en-us/pricing/purchase-options/?v=18.19&OCID=AID%eexcid!_OLA_%ebuy!_%epid!_%ecid!</v></cell></row><row r="257"><cell r="K257" t="str"><v>July</v></cell><cell r="L257"><v>43288</v></cell><cell r="M257" t="str"><v>Tier 0</v></cell><cell r="N257" t="str"><v>North America</v></cell><cell r="O257" t="str"><v>United States</v></cell><cell r="P257" t="str"><v>Trial</v></cell><cell r="Q257" t="str"><v>Social</v></cell><cell r="R257" t="str"><v>Azure</v></cell><cell r="S257" t="str"><v>Apps & Infra</v></cell><cell r="T257" t="str"><v>Developers & ITI's</v></cell><cell r="U257" t="str"><v>USA-Trial-ITD-Interest Prospecting-AZR-AZR</v></cell><cell r="V257" t="str"><v>Prospecting</v></cell><cell r="W257" t="str"><v>Canvas Ad</v></cell><cell r="X257" t="str"><v>1x1</v></cell></row><row r="257"><cell r="AA257"><v>43284</v></cell><cell r="AB257" t="str"><v>USA_gaPMG_AZR_AZR_Q1_19_Direct-Social</v></cell><cell r="AC257"><v>21358715</v></cell><cell r="AD257"><v>720197</v></cell><cell r="AE257" t="str"><v>Facebook - Instagram</v></cell><cell r="AF257"><v>3654128</v></cell><cell r="AG257" t="str"><v>INSTAGRAM»USA-Trial-ITD-Interest Prospecting-AZR-AZR»1 x 1»SocialBan»CAN»ALL»CPA»PRO»X»NA»SS»NA»IGCTCBasicMotion»PRC2PF</v></cell><cell r="AH257"><v>224106621</v></cell><cell r="AI257" t="str"><v>AzurePlatform_IGCTCBasicMotion_USA_10s_CAN_PLATFORM_English_Trial_Standard_STAN_TIN_T1_2</v></cell><cell r="AJ257"><v>103037974</v></cell></row><row r="258"><cell r="C258" t="str"><v>43284INSTAGRAM»USA-Trial-ITD-Interest Prospecting-AZR-AZR»1 x 1»SocialBan»CAN»ALL»CPA»PRO»X»NA»SS»NA»IGCTCBenefitinMotion»PRC2PC</v></cell><cell r="D258" t="str"><v>43284224104878</v></cell><cell r="E258" t="str"><v>43284103050780PRC2PC</v></cell><cell r="F258" t="str"><v>DCM</v></cell><cell r="G258" t="str"><v>https://signup.azure.com/?OCID=AID%eexcid!_OLA_%ebuy!_%epid!_%ecid!</v></cell></row><row r="258"><cell r="K258" t="str"><v>July</v></cell><cell r="L258"><v>43288</v></cell><cell r="M258" t="str"><v>Tier 0</v></cell><cell r="N258" t="str"><v>North America</v></cell><cell r="O258" t="str"><v>United States</v></cell><cell r="P258" t="str"><v>Trial</v></cell><cell r="Q258" t="str"><v>Social</v></cell><cell r="R258" t="str"><v>Azure</v></cell><cell r="S258" t="str"><v>Apps & Infra</v></cell><cell r="T258" t="str"><v>Developers & ITI's</v></cell><cell r="U258" t="str"><v>USA-Trial-ITD-Interest Prospecting-AZR-AZR</v></cell><cell r="V258" t="str"><v>Prospecting</v></cell><cell r="W258" t="str"><v>Canvas Ad</v></cell><cell r="X258" t="str"><v>1x1</v></cell></row><row r="258"><cell r="AA258"><v>43284</v></cell><cell r="AB258" t="str"><v>USA_gaPMG_AZR_AZR_Q1_19_Direct-Social</v></cell><cell r="AC258"><v>21358715</v></cell><cell r="AD258"><v>720197</v></cell><cell r="AE258" t="str"><v>Facebook - Instagram</v></cell><cell r="AF258"><v>3654128</v></cell><cell r="AG258" t="str"><v>INSTAGRAM»USA-Trial-ITD-Interest Prospecting-AZR-AZR»1 x 1»SocialBan»CAN»ALL»CPA»PRO»X»NA»SS»NA»IGCTCBenefitinMotion»PRC2PC</v></cell><cell r="AH258"><v>224104878</v></cell><cell r="AI258" t="str"><v>AzurePlatform_IGCTCBenefitinMotion_USA_10s_CAN_PLATFORM_English_Trial_Standard_STAN_TIN_T3_1</v></cell><cell r="AJ258"><v>103050780</v></cell></row><row r="259"><cell r="C259" t="str"><v>43284INSTAGRAM»USA-Trial-ITD-Trial Lookalike-AZR-AZR»1 x 1»SocialBan»CAN»ALL»CPA»LAL»X»NA»SS»NA»IGCTCBasicMotion»PRC0C2</v></cell><cell r="D259" t="str"><v>43284224107017</v></cell><cell r="E259" t="str"><v>43284103037968PRC0C2</v></cell><cell r="F259" t="str"><v>DCM</v></cell><cell r="G259" t="str"><v>https://signup.azure.com/?OCID=AID%eexcid!_OLA_%ebuy!_%epid!_%ecid!</v></cell></row><row r="259"><cell r="K259" t="str"><v>July</v></cell><cell r="L259"><v>43288</v></cell><cell r="M259" t="str"><v>Tier 0</v></cell><cell r="N259" t="str"><v>North America</v></cell><cell r="O259" t="str"><v>United States</v></cell><cell r="P259" t="str"><v>Trial</v></cell><cell r="Q259" t="str"><v>Social</v></cell><cell r="R259" t="str"><v>Azure</v></cell><cell r="S259" t="str"><v>Apps & Infra</v></cell><cell r="T259" t="str"><v>Developers & ITI's</v></cell><cell r="U259" t="str"><v>USA-Trial-ITD-Trial Lookalike-AZR-AZR</v></cell><cell r="V259" t="str"><v>Lookalike Targeting</v></cell><cell r="W259" t="str"><v>Canvas Ad</v></cell><cell r="X259" t="str"><v>1x1</v></cell></row><row r="259"><cell r="AA259"><v>43284</v></cell><cell r="AB259" t="str"><v>USA_gaPMG_AZR_AZR_Q1_19_Direct-Social</v></cell><cell r="AC259"><v>21358715</v></cell><cell r="AD259"><v>720197</v></cell><cell r="AE259" t="str"><v>Facebook - Instagram</v></cell><cell r="AF259"><v>3654128</v></cell><cell r="AG259" t="str"><v>INSTAGRAM»USA-Trial-ITD-Trial Lookalike-AZR-AZR»1 x 1»SocialBan»CAN»ALL»CPA»LAL»X»NA»SS»NA»IGCTCBasicMotion»PRC0C2</v></cell><cell r="AH259"><v>224107017</v></cell><cell r="AI259" t="str"><v>AzurePlatform_IGCTCBasicMotion_USA_10s_CAN_PLATFORM_English_Trial_Standard_STAN_TIN_T1_1</v></cell><cell r="AJ259"><v>103037968</v></cell></row><row r="260"><cell r="C260" t="str"><v>43284INSTAGRAM»USA-Trial-ITD-Trial Lookalike-AZR-AZR»1 x 1»SocialBan»CAN»ALL»CPA»LAL»X»NA»SS»NA»IGCTCBenefitinMotion»PRC2FK</v></cell><cell r="D260" t="str"><v>43284224107542</v></cell><cell r="E260" t="str"><v>43284103050780PRC2FK</v></cell><cell r="F260" t="str"><v>DCM</v></cell><cell r="G260" t="str"><v>https://signup.azure.com/?OCID=AID%eexcid!_OLA_%ebuy!_%epid!_%ecid!</v></cell></row><row r="260"><cell r="K260" t="str"><v>July</v></cell><cell r="L260"><v>43288</v></cell><cell r="M260" t="str"><v>Tier 0</v></cell><cell r="N260" t="str"><v>North America</v></cell><cell r="O260" t="str"><v>United States</v></cell><cell r="P260" t="str"><v>Trial</v></cell><cell r="Q260" t="str"><v>Social</v></cell><cell r="R260" t="str"><v>Azure</v></cell><cell r="S260" t="str"><v>Apps & Infra</v></cell><cell r="T260" t="str"><v>Developers & ITI's</v></cell><cell r="U260" t="str"><v>USA-Trial-ITD-Trial Lookalike-AZR-AZR</v></cell><cell r="V260" t="str"><v>Lookalike Targeting</v></cell><cell r="W260" t="str"><v>Canvas Ad</v></cell><cell r="X260" t="str"><v>1x1</v></cell></row><row r="260"><cell r="AA260"><v>43284</v></cell><cell r="AB260" t="str"><v>USA_gaPMG_AZR_AZR_Q1_19_Direct-Social</v></cell><cell r="AC260"><v>21358715</v></cell><cell r="AD260"><v>720197</v></cell><cell r="AE260" t="str"><v>Facebook - Instagram</v></cell><cell r="AF260"><v>3654128</v></cell><cell r="AG260" t="str"><v>INSTAGRAM»USA-Trial-ITD-Trial Lookalike-AZR-AZR»1 x 1»SocialBan»CAN»ALL»CPA»LAL»X»NA»SS»NA»IGCTCBenefitinMotion»PRC2FK</v></cell><cell r="AH260"><v>224107542</v></cell><cell r="AI260" t="str"><v>AzurePlatform_IGCTCBenefitinMotion_USA_10s_CAN_PLATFORM_English_Trial_Standard_STAN_TIN_T3_1</v></cell><cell r="AJ260"><v>103050780</v></cell></row><row r="261"><cell r="C261" t="str"><v>43284INSTAGRAM»USA-Trial-ITD-Trial Lookalike-AZR-AZR»1 x 1»SocialBan»CAN»ALL»CPA»LAL»X»NA»SS»NA»IGCTCBenefitinMotion»PRC2FK</v></cell><cell r="D261" t="str"><v>43284224107542</v></cell><cell r="E261" t="str"><v>43284103180637PRC2FK</v></cell><cell r="F261" t="str"><v>DCM</v></cell><cell r="G261" t="str"><v>https://azure.microsoft.com/en-us/pricing/purchase-options/?v=18.19&OCID=AID%eexcid!_OLA_%ebuy!_%epid!_%ecid!</v></cell></row><row r="261"><cell r="K261" t="str"><v>July</v></cell><cell r="L261"><v>43288</v></cell><cell r="M261" t="str"><v>Tier 0</v></cell><cell r="N261" t="str"><v>North America</v></cell><cell r="O261" t="str"><v>United States</v></cell><cell r="P261" t="str"><v>Trial</v></cell><cell r="Q261" t="str"><v>Social</v></cell><cell r="R261" t="str"><v>Azure</v></cell><cell r="S261" t="str"><v>Apps & Infra</v></cell><cell r="T261" t="str"><v>Developers & ITI's</v></cell><cell r="U261" t="str"><v>USA-Trial-ITD-Trial Lookalike-AZR-AZR</v></cell><cell r="V261" t="str"><v>Lookalike Targeting</v></cell><cell r="W261" t="str"><v>Canvas Ad</v></cell><cell r="X261" t="str"><v>1x1</v></cell></row><row r="261"><cell r="AA261"><v>43284</v></cell><cell r="AB261" t="str"><v>USA_gaPMG_AZR_AZR_Q1_19_Direct-Social</v></cell><cell r="AC261"><v>21358715</v></cell><cell r="AD261"><v>720197</v></cell><cell r="AE261" t="str"><v>Facebook - Instagram</v></cell><cell r="AF261"><v>3654128</v></cell><cell r="AG261" t="str"><v>INSTAGRAM»USA-Trial-ITD-Trial Lookalike-AZR-AZR»1 x 1»SocialBan»CAN»ALL»CPA»LAL»X»NA»SS»NA»IGCTCBenefitinMotion»PRC2FK</v></cell><cell r="AH261"><v>224107542</v></cell><cell r="AI261" t="str"><v>AzurePlatform_IGCTCBenefitinMotion_USA_10s_CAN_PLATFORM_English_Trial_Standard_STAN_TIN_T3_2</v></cell><cell r="AJ261"><v>103180637</v></cell></row><row r="262"><cell r="C262" t="str"><v>43284INSTAGRAM»USA-Trial-ITD-Trial PayGo Lookalike-AZR-AZR»1 x 1»SocialBan»CAN»ALL»CPA»LAL»X»NA»SS»NA»IGCTCBasicMotion»PRC2G0</v></cell><cell r="D262" t="str"><v>43284224106891</v></cell><cell r="E262" t="str"><v>43284103037968PRC2G0</v></cell><cell r="F262" t="str"><v>DCM</v></cell><cell r="G262" t="str"><v>https://signup.azure.com/?OCID=AID%eexcid!_OLA_%ebuy!_%epid!_%ecid!</v></cell></row><row r="262"><cell r="K262" t="str"><v>July</v></cell><cell r="L262"><v>43288</v></cell><cell r="M262" t="str"><v>Tier 0</v></cell><cell r="N262" t="str"><v>North America</v></cell><cell r="O262" t="str"><v>United States</v></cell><cell r="P262" t="str"><v>Trial</v></cell><cell r="Q262" t="str"><v>Social</v></cell><cell r="R262" t="str"><v>Azure</v></cell><cell r="S262" t="str"><v>Apps & Infra</v></cell><cell r="T262" t="str"><v>Developers & ITI's</v></cell><cell r="U262" t="str"><v>USA-Trial-ITD-Trial PayGo Lookalike-AZR-AZR</v></cell><cell r="V262" t="str"><v>Lookalike Targeting</v></cell><cell r="W262" t="str"><v>Canvas Ad</v></cell><cell r="X262" t="str"><v>1x1</v></cell></row><row r="262"><cell r="AA262"><v>43284</v></cell><cell r="AB262" t="str"><v>USA_gaPMG_AZR_AZR_Q1_19_Direct-Social</v></cell><cell r="AC262"><v>21358715</v></cell><cell r="AD262"><v>720197</v></cell><cell r="AE262" t="str"><v>Facebook - Instagram</v></cell><cell r="AF262"><v>3654128</v></cell><cell r="AG262" t="str"><v>INSTAGRAM»USA-Trial-ITD-Trial PayGo Lookalike-AZR-AZR»1 x 1»SocialBan»CAN»ALL»CPA»LAL»X»NA»SS»NA»IGCTCBasicMotion»PRC2G0</v></cell><cell r="AH262"><v>224106891</v></cell><cell r="AI262" t="str"><v>AzurePlatform_IGCTCBasicMotion_USA_10s_CAN_PLATFORM_English_Trial_Standard_STAN_TIN_T1_1</v></cell><cell r="AJ262"><v>103037968</v></cell></row><row r="263"><cell r="C263" t="str"><v>43284INSTAGRAM»USA-Trial-ITD-Trial PayGo Lookalike-AZR-AZR»1 x 1»SocialBan»CAN»ALL»CPA»LAL»X»NA»SS»NA»IGCTCBenefitinMotion»PRC2FX</v></cell><cell r="D263" t="str"><v>43284223933999</v></cell><cell r="E263" t="str"><v>43284103050780PRC2FX</v></cell><cell r="F263" t="str"><v>DCM</v></cell><cell r="G263" t="str"><v>https://signup.azure.com/?OCID=AID%eexcid!_OLA_%ebuy!_%epid!_%ecid!</v></cell></row><row r="263"><cell r="K263" t="str"><v>July</v></cell><cell r="L263"><v>43288</v></cell><cell r="M263" t="str"><v>Tier 0</v></cell><cell r="N263" t="str"><v>North America</v></cell><cell r="O263" t="str"><v>United States</v></cell><cell r="P263" t="str"><v>Trial</v></cell><cell r="Q263" t="str"><v>Social</v></cell><cell r="R263" t="str"><v>Azure</v></cell><cell r="S263" t="str"><v>Apps & Infra</v></cell><cell r="T263" t="str"><v>Developers & ITI's</v></cell><cell r="U263" t="str"><v>USA-Trial-ITD-Trial PayGo Lookalike-AZR-AZR</v></cell><cell r="V263" t="str"><v>Lookalike Targeting</v></cell><cell r="W263" t="str"><v>Canvas Ad</v></cell><cell r="X263" t="str"><v>1x1</v></cell></row><row r="263"><cell r="AA263"><v>43284</v></cell><cell r="AB263" t="str"><v>USA_gaPMG_AZR_AZR_Q1_19_Direct-Social</v></cell><cell r="AC263"><v>21358715</v></cell><cell r="AD263"><v>720197</v></cell><cell r="AE263" t="str"><v>Facebook - Instagram</v></cell><cell r="AF263"><v>3654128</v></cell><cell r="AG263" t="str"><v>INSTAGRAM»USA-Trial-ITD-Trial PayGo Lookalike-AZR-AZR»1 x 1»SocialBan»CAN»ALL»CPA»LAL»X»NA»SS»NA»IGCTCBenefitinMotion»PRC2FX</v></cell><cell r="AH263"><v>223933999</v></cell><cell r="AI263" t="str"><v>AzurePlatform_IGCTCBenefitinMotion_USA_10s_CAN_PLATFORM_English_Trial_Standard_STAN_TIN_T3_1</v></cell><cell r="AJ263"><v>103050780</v></cell></row><row r="264"><cell r="C264" t="str"><v>43284INSTAGRAM»USA-Trial-ITD-Trial PayGo Lookalike-AZR-AZR»1 x 1»SocialBan»CAN»ALL»CPA»LAL»X»NA»SS»NA»IGCTCBenefitinMotion»PRC2FX</v></cell><cell r="D264" t="str"><v>43284223933999</v></cell><cell r="E264" t="str"><v>43284103180637PRC2FX</v></cell><cell r="F264" t="str"><v>DCM</v></cell><cell r="G264" t="str"><v>https://azure.microsoft.com/en-us/pricing/purchase-options/?v=18.19&OCID=AID%eexcid!_OLA_%ebuy!_%epid!_%ecid!</v></cell></row><row r="264"><cell r="K264" t="str"><v>July</v></cell><cell r="L264"><v>43288</v></cell><cell r="M264" t="str"><v>Tier 0</v></cell><cell r="N264" t="str"><v>North America</v></cell><cell r="O264" t="str"><v>United States</v></cell><cell r="P264" t="str"><v>Trial</v></cell><cell r="Q264" t="str"><v>Social</v></cell><cell r="R264" t="str"><v>Azure</v></cell><cell r="S264" t="str"><v>Apps & Infra</v></cell><cell r="T264" t="str"><v>Developers & ITI's</v></cell><cell r="U264" t="str"><v>USA-Trial-ITD-Trial PayGo Lookalike-AZR-AZR</v></cell><cell r="V264" t="str"><v>Lookalike Targeting</v></cell><cell r="W264" t="str"><v>Canvas Ad</v></cell><cell r="X264" t="str"><v>1x1</v></cell></row><row r="264"><cell r="AA264"><v>43284</v></cell><cell r="AB264" t="str"><v>USA_gaPMG_AZR_AZR_Q1_19_Direct-Social</v></cell><cell r="AC264"><v>21358715</v></cell><cell r="AD264"><v>720197</v></cell><cell r="AE264" t="str"><v>Facebook - Instagram</v></cell><cell r="AF264"><v>3654128</v></cell><cell r="AG264" t="str"><v>INSTAGRAM»USA-Trial-ITD-Trial PayGo Lookalike-AZR-AZR»1 x 1»SocialBan»CAN»ALL»CPA»LAL»X»NA»SS»NA»IGCTCBenefitinMotion»PRC2FX</v></cell><cell r="AH264"><v>223933999</v></cell><cell r="AI264" t="str"><v>AzurePlatform_IGCTCBenefitinMotion_USA_10s_CAN_PLATFORM_English_Trial_Standard_STAN_TIN_T3_2</v></cell><cell r="AJ264"><v>103180637</v></cell></row><row r="265"><cell r="C265" t="str"><v>43285Facebook»Audience & Interest Targeting»1x1»Canvas»OTH»DT»DYN»AUT»W»NA»SS»NA»FBCTCcanvaspage-StartFreeCTA_FBCTCcanvaspage-BuyNowCTA</v></cell><cell r="D265" t="str"><v>43285224639151</v></cell><cell r="E265" t="str"><v>43285103316832NowCTA</v></cell><cell r="F265" t="str"><v>DCM</v></cell><cell r="G265" t="str"><v>https://azure.microsoft.com/en-au/pricing/purchase-options/</v></cell></row><row r="265"><cell r="K265" t="str"><v>July</v></cell><cell r="L265"><v>43288</v></cell><cell r="M265" t="str"><v>Tier 1</v></cell><cell r="N265" t="str"><v>APAC</v></cell><cell r="O265" t="str"><v>Australia</v></cell><cell r="P265" t="str"><v>Trial</v></cell><cell r="Q265" t="str"><v>Social</v></cell><cell r="R265" t="str"><v>Azure</v></cell><cell r="S265" t="str"><v>Apps & Infra</v></cell><cell r="T265" t="str"><v>Developers & ITI's</v></cell><cell r="U265" t="str"><v>Audience & Interest Targeting</v></cell><cell r="V265" t="str"><v>Audience Targeting</v></cell><cell r="W265" t="str"><v>Other</v></cell><cell r="X265" t="str"><v>1x1</v></cell></row><row r="265"><cell r="AA265"><v>43285</v></cell><cell r="AB265" t="str"><v>AUS_gaPMG_AZR_AZR_Q1_19_Trial-Social</v></cell><cell r="AC265"><v>21358568</v></cell><cell r="AD265"><v>720191</v></cell><cell r="AE265" t="str"><v>Facebook</v></cell><cell r="AF265"><v>3654128</v></cell><cell r="AG265" t="str"><v>Facebook»Audience & Interest Targeting»1x1»Canvas»OTH»DT»DYN»AUT»W»NA»SS»NA»FBCTCcanvaspage-StartFreeCTA_FBCTCcanvaspage-BuyNowCTA</v></cell><cell r="AH265"><v>224639151</v></cell><cell r="AI265" t="str"><v>AzurePlatform_FBCTCcanvaspage-BuyNowCTA-Img3_AUS_1080x162_SOC_Plat_English_NA_Standard_NA_BN_T3_1</v></cell><cell r="AJ265"><v>103316832</v></cell></row><row r="266"><cell r="C266" t="str"><v>43285Facebook»Audience & Interest Targeting»1x1»Canvas»OTH»DT»DYN»AUT»W»NA»SS»NA»FBCTCcanvaspage-StartFreeCTA_FBCTCcanvaspage-BuyNowCTA</v></cell><cell r="D266" t="str"><v>43285224639151</v></cell><cell r="E266" t="str"><v>43285103316829NowCTA</v></cell><cell r="F266" t="str"><v>DCM</v></cell><cell r="G266" t="str"><v>https://signup.azure.com/signup?offer=ms-azr-0044p&appId=102&ref=paidmedia-social-fb&redirectURL=https%3a%2f%2fazure.microsoft.com%2fen-au%2fget-started%2fwelcome-to-azure%2f&l=en-au&correlationId=ead86c34-1f10-49dd-a72b-6918462a2cbf</v></cell></row><row r="266"><cell r="K266" t="str"><v>July</v></cell><cell r="L266"><v>43288</v></cell><cell r="M266" t="str"><v>Tier 1</v></cell><cell r="N266" t="str"><v>APAC</v></cell><cell r="O266" t="str"><v>Australia</v></cell><cell r="P266" t="str"><v>Trial</v></cell><cell r="Q266" t="str"><v>Social</v></cell><cell r="R266" t="str"><v>Azure</v></cell><cell r="S266" t="str"><v>Apps & Infra</v></cell><cell r="T266" t="str"><v>Developers & ITI's</v></cell><cell r="U266" t="str"><v>Audience & Interest Targeting</v></cell><cell r="V266" t="str"><v>Audience Targeting</v></cell><cell r="W266" t="str"><v>Other</v></cell><cell r="X266" t="str"><v>1x1</v></cell></row><row r="266"><cell r="AA266"><v>43285</v></cell><cell r="AB266" t="str"><v>AUS_gaPMG_AZR_AZR_Q1_19_Trial-Social</v></cell><cell r="AC266"><v>21358568</v></cell><cell r="AD266"><v>720191</v></cell><cell r="AE266" t="str"><v>Facebook</v></cell><cell r="AF266"><v>3654128</v></cell><cell r="AG266" t="str"><v>Facebook»Audience & Interest Targeting»1x1»Canvas»OTH»DT»DYN»AUT»W»NA»SS»NA»FBCTCcanvaspage-StartFreeCTA_FBCTCcanvaspage-BuyNowCTA</v></cell><cell r="AH266"><v>224639151</v></cell><cell r="AI266" t="str"><v>AzurePlatform_FBCTCcanvaspage-StartFreeCTA-Img2_AUS_1080x143 _SOC_Plat_English_NA_Standard_NA_NA_T2_1</v></cell><cell r="AJ266"><v>103316829</v></cell></row><row r="267"><cell r="C267" t="str"><v>43285Facebook»Audience & Interest Targeting»1x1»TextLink»OTH»DT»DYN»AUT»W»NA»SS»NA»Free Account Refresh- 12 months ChE</v></cell><cell r="D267" t="str"><v>43285224160783</v></cell><cell r="E267" t="str"><v>43285103051614hs ChE</v></cell><cell r="F267" t="str"><v>DCM</v></cell></row><row r="267"><cell r="K267" t="str"><v>July</v></cell><cell r="L267"><v>43288</v></cell><cell r="M267" t="str"><v>Tier 1</v></cell><cell r="N267" t="str"><v>APAC</v></cell><cell r="O267" t="str"><v>Australia</v></cell><cell r="P267" t="str"><v>Trial</v></cell><cell r="Q267" t="str"><v>Social</v></cell><cell r="R267" t="str"><v>Azure</v></cell><cell r="S267" t="str"><v>Apps & Infra</v></cell><cell r="T267" t="str"><v>Developers & ITI's</v></cell><cell r="U267" t="str"><v>Audience & Interest Targeting</v></cell><cell r="V267" t="str"><v>Audience Targeting</v></cell><cell r="W267" t="str"><v>Other</v></cell><cell r="X267" t="str"><v>1x1</v></cell></row><row r="267"><cell r="AA267"><v>43285</v></cell><cell r="AB267" t="str"><v>AUS_gaPMG_AZR_AZR_Q1_19_Trial-Social</v></cell><cell r="AC267"><v>21358568</v></cell><cell r="AD267"><v>720191</v></cell><cell r="AE267" t="str"><v>Facebook</v></cell><cell r="AF267"><v>3654128</v></cell><cell r="AG267" t="str"><v>Facebook»Audience & Interest Targeting»1x1»TextLink»OTH»DT»DYN»AUT»W»NA»SS»NA»Free Account Refresh- 12 months ChE</v></cell><cell r="AH267"><v>224160783</v></cell><cell r="AI267" t="str"><v>AzurePlatform_FreeAcctAppsFACEBOOK12monthsChE_AUS_1200x628_SOC_PLAT_EN_Trial_Standard_NA_SNU_T5_1</v></cell><cell r="AJ267"><v>103051614</v></cell></row><row r="268"><cell r="C268" t="str"><v>43285Facebook»Audience & Interest Targeting»1x1»TextLink»OTH»DT»DYN»AUT»W»NA»SS»NA»Free Account Refresh- 200 Credit ChD</v></cell><cell r="D268" t="str"><v>43285224160780</v></cell><cell r="E268" t="str"><v>43285103186904it ChD</v></cell><cell r="F268" t="str"><v>DCM</v></cell></row><row r="268"><cell r="K268" t="str"><v>July</v></cell><cell r="L268"><v>43288</v></cell><cell r="M268" t="str"><v>Tier 1</v></cell><cell r="N268" t="str"><v>APAC</v></cell><cell r="O268" t="str"><v>Australia</v></cell><cell r="P268" t="str"><v>Trial</v></cell><cell r="Q268" t="str"><v>Social</v></cell><cell r="R268" t="str"><v>Azure</v></cell><cell r="S268" t="str"><v>Apps & Infra</v></cell><cell r="T268" t="str"><v>Developers & ITI's</v></cell><cell r="U268" t="str"><v>Audience & Interest Targeting</v></cell><cell r="V268" t="str"><v>Audience Targeting</v></cell><cell r="W268" t="str"><v>Other</v></cell><cell r="X268" t="str"><v>1x1</v></cell></row><row r="268"><cell r="AA268"><v>43285</v></cell><cell r="AB268" t="str"><v>AUS_gaPMG_AZR_AZR_Q1_19_Trial-Social</v></cell><cell r="AC268"><v>21358568</v></cell><cell r="AD268"><v>720191</v></cell><cell r="AE268" t="str"><v>Facebook</v></cell><cell r="AF268"><v>3654128</v></cell><cell r="AG268" t="str"><v>Facebook»Audience & Interest Targeting»1x1»TextLink»OTH»DT»DYN»AUT»W»NA»SS»NA»Free Account Refresh- 200 Credit ChD</v></cell><cell r="AH268"><v>224160780</v></cell><cell r="AI268" t="str"><v>AzurePlatform_FreeAcctAppsFACEBOOK200CreditChD_AUS_1200x628_SOC_PLAT_EN_Trial_Standard_NA_SNU_T4_1</v></cell><cell r="AJ268"><v>103186904</v></cell></row><row r="269"><cell r="C269" t="str"><v>43285Facebook»Audience & Interest Targeting»1x1»TextLink»OTH»DT»DYN»AUT»W»NA»SS»NA»Free Account Refresh- Device ChB</v></cell><cell r="D269" t="str"><v>43285224160777</v></cell><cell r="E269" t="str"><v>43285103048479ce ChB</v></cell><cell r="F269" t="str"><v>DCM</v></cell></row><row r="269"><cell r="K269" t="str"><v>July</v></cell><cell r="L269"><v>43288</v></cell><cell r="M269" t="str"><v>Tier 1</v></cell><cell r="N269" t="str"><v>APAC</v></cell><cell r="O269" t="str"><v>Australia</v></cell><cell r="P269" t="str"><v>Trial</v></cell><cell r="Q269" t="str"><v>Social</v></cell><cell r="R269" t="str"><v>Azure</v></cell><cell r="S269" t="str"><v>Apps & Infra</v></cell><cell r="T269" t="str"><v>Developers & ITI's</v></cell><cell r="U269" t="str"><v>Audience & Interest Targeting</v></cell><cell r="V269" t="str"><v>Audience Targeting</v></cell><cell r="W269" t="str"><v>Other</v></cell><cell r="X269" t="str"><v>1x1</v></cell></row><row r="269"><cell r="AA269"><v>43285</v></cell><cell r="AB269" t="str"><v>AUS_gaPMG_AZR_AZR_Q1_19_Trial-Social</v></cell><cell r="AC269"><v>21358568</v></cell><cell r="AD269"><v>720191</v></cell><cell r="AE269" t="str"><v>Facebook</v></cell><cell r="AF269"><v>3654128</v></cell><cell r="AG269" t="str"><v>Facebook»Audience & Interest Targeting»1x1»TextLink»OTH»DT»DYN»AUT»W»NA»SS»NA»Free Account Refresh- Device ChB</v></cell><cell r="AH269"><v>224160777</v></cell><cell r="AI269" t="str"><v>AzurePlatform_FreeAcctAppsFACEBOOKDeviceChB_AUS_1200x628_SOC_PLAT_EN_Trial_Standard_NA_SNU_T2_1</v></cell><cell r="AJ269"><v>103048479</v></cell></row><row r="270"><cell r="C270" t="str"><v>43285Facebook»Audience & Interest Targeting»1x1»TextLink»OTH»DT»DYN»AUT»W»NA»SS»NA»Free Account Refresh- Illustration ChC</v></cell><cell r="D270" t="str"><v>43285224160774</v></cell><cell r="E270" t="str"><v>43285103186910on ChC</v></cell><cell r="F270" t="str"><v>DCM</v></cell></row><row r="270"><cell r="K270" t="str"><v>July</v></cell><cell r="L270"><v>43288</v></cell><cell r="M270" t="str"><v>Tier 1</v></cell><cell r="N270" t="str"><v>APAC</v></cell><cell r="O270" t="str"><v>Australia</v></cell><cell r="P270" t="str"><v>Trial</v></cell><cell r="Q270" t="str"><v>Social</v></cell><cell r="R270" t="str"><v>Azure</v></cell><cell r="S270" t="str"><v>Apps & Infra</v></cell><cell r="T270" t="str"><v>Developers & ITI's</v></cell><cell r="U270" t="str"><v>Audience & Interest Targeting</v></cell><cell r="V270" t="str"><v>Audience Targeting</v></cell><cell r="W270" t="str"><v>Other</v></cell><cell r="X270" t="str"><v>1x1</v></cell></row><row r="270"><cell r="AA270"><v>43285</v></cell><cell r="AB270" t="str"><v>AUS_gaPMG_AZR_AZR_Q1_19_Trial-Social</v></cell><cell r="AC270"><v>21358568</v></cell><cell r="AD270"><v>720191</v></cell><cell r="AE270" t="str"><v>Facebook</v></cell><cell r="AF270"><v>3654128</v></cell><cell r="AG270" t="str"><v>Facebook»Audience & Interest Targeting»1x1»TextLink»OTH»DT»DYN»AUT»W»NA»SS»NA»Free Account Refresh- Illustration ChC</v></cell><cell r="AH270"><v>224160774</v></cell><cell r="AI270" t="str"><v>AzurePlatform_FreeAcctAppsFACEBOOKIllustrationChC_AUS_1200x628_SOC_PLAT_EN_Trial_Standard_NA_SNU_T3_1</v></cell><cell r="AJ270"><v>103186910</v></cell></row><row r="271"><cell r="C271" t="str"><v>43285Facebook»Audience & Interest Targeting»1x1»TextLink»OTH»DT»DYN»AUT»W»NA»SS»NA»Free Account Refresh- Lifestyle ChA</v></cell><cell r="D271" t="str"><v>43285224160771</v></cell><cell r="E271" t="str"><v>43285103048488le ChA</v></cell><cell r="F271" t="str"><v>DCM</v></cell></row><row r="271"><cell r="K271" t="str"><v>July</v></cell><cell r="L271"><v>43288</v></cell><cell r="M271" t="str"><v>Tier 1</v></cell><cell r="N271" t="str"><v>APAC</v></cell><cell r="O271" t="str"><v>Australia</v></cell><cell r="P271" t="str"><v>Trial</v></cell><cell r="Q271" t="str"><v>Social</v></cell><cell r="R271" t="str"><v>Azure</v></cell><cell r="S271" t="str"><v>Apps & Infra</v></cell><cell r="T271" t="str"><v>Developers & ITI's</v></cell><cell r="U271" t="str"><v>Audience & Interest Targeting</v></cell><cell r="V271" t="str"><v>Audience Targeting</v></cell><cell r="W271" t="str"><v>Other</v></cell><cell r="X271" t="str"><v>1x1</v></cell></row><row r="271"><cell r="AA271"><v>43285</v></cell><cell r="AB271" t="str"><v>AUS_gaPMG_AZR_AZR_Q1_19_Trial-Social</v></cell><cell r="AC271"><v>21358568</v></cell><cell r="AD271"><v>720191</v></cell><cell r="AE271" t="str"><v>Facebook</v></cell><cell r="AF271"><v>3654128</v></cell><cell r="AG271" t="str"><v>Facebook»Audience & Interest Targeting»1x1»TextLink»OTH»DT»DYN»AUT»W»NA»SS»NA»Free Account Refresh- Lifestyle ChA</v></cell><cell r="AH271"><v>224160771</v></cell><cell r="AI271" t="str"><v>AzurePlatform_FreeAcctAppsFACEBOOKLifestyleChA_AUS_1200x628_SOC_PLAT_EN_Trial_Standard_NA_SNU_T1_1</v></cell><cell r="AJ271"><v>103048488</v></cell></row><row r="272"><cell r="C272" t="str"><v>43285Facebook»AZR»1x1»NA»EGV»ALL»DYN»AUT»D»All»SS»NA»Free Acc CTC - T1 - EN</v></cell><cell r="D272" t="str"><v>43285223684451</v></cell><cell r="E272" t="str"><v>432851029018821 - EN</v></cell><cell r="F272" t="str"><v>DCM</v></cell><cell r="G272" t="str"><v>https://signup.azure.com/</v></cell></row><row r="272"><cell r="K272" t="str"><v>July</v></cell><cell r="L272"><v>43288</v></cell><cell r="M272" t="str"><v>Tier 1</v></cell><cell r="N272" t="str"><v>North America</v></cell><cell r="O272" t="str"><v>Canada</v></cell><cell r="P272" t="str"><v>Trial</v></cell><cell r="Q272" t="str"><v>Social</v></cell><cell r="R272" t="str"><v>Azure</v></cell><cell r="S272" t="str"><v>Apps & Infra</v></cell><cell r="T272" t="str"><v>Developers & ITI's</v></cell><cell r="U272" t="str"><v>AZR</v></cell><cell r="V272" t="str"><v>Audience Targeting</v></cell><cell r="W272" t="str"><v>Engagement Video</v></cell><cell r="X272" t="str"><v>1x1</v></cell></row><row r="272"><cell r="AA272"><v>43285</v></cell><cell r="AB272" t="str"><v>CAN_gaPMG_AZR_AZR_Q1_19_Trial-Social</v></cell><cell r="AC272"><v>21337220</v></cell><cell r="AD272"><v>720192</v></cell><cell r="AE272" t="str"><v>Facebook</v></cell><cell r="AF272"><v>3654128</v></cell><cell r="AG272" t="str"><v>Facebook»AZR»1x1»NA»EGV»ALL»DYN»AUT»D»All»SS»NA»Free Acc CTC - T1 - EN</v></cell><cell r="AH272"><v>223684451</v></cell><cell r="AI272" t="str"><v>AzurePlatform_FBCTCBasicMotion_CAN_10s_ISV_PLAT_English_Trial_Standard_STAN_TN_T1_1</v></cell><cell r="AJ272"><v>102901882</v></cell></row><row r="273"><cell r="C273" t="str"><v>43285Facebook»AZR»1x1»NA»EGV»ALL»DYN»AUT»D»All»SS»NA»Free Acc CTC - T1 - FR</v></cell><cell r="D273" t="str"><v>43285223691801</v></cell><cell r="E273" t="str"><v>432851030533231 - FR</v></cell><cell r="F273" t="str"><v>DCM</v></cell><cell r="G273" t="str"><v>https://signup.azure.com/</v></cell></row><row r="273"><cell r="K273" t="str"><v>July</v></cell><cell r="L273"><v>43288</v></cell><cell r="M273" t="str"><v>Tier 1</v></cell><cell r="N273" t="str"><v>North America</v></cell><cell r="O273" t="str"><v>Canada</v></cell><cell r="P273" t="str"><v>Trial</v></cell><cell r="Q273" t="str"><v>Social</v></cell><cell r="R273" t="str"><v>Azure</v></cell><cell r="S273" t="str"><v>Apps & Infra</v></cell><cell r="T273" t="str"><v>Developers & ITI's</v></cell><cell r="U273" t="str"><v>AZR</v></cell><cell r="V273" t="str"><v>Audience Targeting</v></cell><cell r="W273" t="str"><v>Engagement Video</v></cell><cell r="X273" t="str"><v>1x1</v></cell></row><row r="273"><cell r="AA273"><v>43285</v></cell><cell r="AB273" t="str"><v>CAN_gaPMG_AZR_AZR_Q1_19_Trial-Social</v></cell><cell r="AC273"><v>21337220</v></cell><cell r="AD273"><v>720192</v></cell><cell r="AE273" t="str"><v>Facebook</v></cell><cell r="AF273"><v>3654128</v></cell><cell r="AG273" t="str"><v>Facebook»AZR»1x1»NA»EGV»ALL»DYN»AUT»D»All»SS»NA»Free Acc CTC - T1 - FR</v></cell><cell r="AH273"><v>223691801</v></cell><cell r="AI273" t="str"><v>AzurePlatform_FBCTCBasicMotion_CAN_10s_ISV_PLAT_FR_Trial_Standard_STAN_TN_T1_1</v></cell><cell r="AJ273"><v>103053323</v></cell></row><row r="274"><cell r="C274" t="str"><v>43285Facebook»AZR»1x1»NA»EGV»ALL»DYN»AUT»D»All»SS»NA»Free Acc CTC - T2 - EN</v></cell><cell r="D274" t="str"><v>43285223691840</v></cell><cell r="E274" t="str"><v>432851029029502 - EN</v></cell><cell r="F274" t="str"><v>DCM</v></cell><cell r="G274" t="str"><v>https://signup.azure.com/</v></cell></row><row r="274"><cell r="K274" t="str"><v>July</v></cell><cell r="L274"><v>43288</v></cell><cell r="M274" t="str"><v>Tier 1</v></cell><cell r="N274" t="str"><v>North America</v></cell><cell r="O274" t="str"><v>Canada</v></cell><cell r="P274" t="str"><v>Trial</v></cell><cell r="Q274" t="str"><v>Social</v></cell><cell r="R274" t="str"><v>Azure</v></cell><cell r="S274" t="str"><v>Apps & Infra</v></cell><cell r="T274" t="str"><v>Developers & ITI's</v></cell><cell r="U274" t="str"><v>AZR</v></cell><cell r="V274" t="str"><v>Audience Targeting</v></cell><cell r="W274" t="str"><v>Engagement Video</v></cell><cell r="X274" t="str"><v>1x1</v></cell></row><row r="274"><cell r="AA274"><v>43285</v></cell><cell r="AB274" t="str"><v>CAN_gaPMG_AZR_AZR_Q1_19_Trial-Social</v></cell><cell r="AC274"><v>21337220</v></cell><cell r="AD274"><v>720192</v></cell><cell r="AE274" t="str"><v>Facebook</v></cell><cell r="AF274"><v>3654128</v></cell><cell r="AG274" t="str"><v>Facebook»AZR»1x1»NA»EGV»ALL»DYN»AUT»D»All»SS»NA»Free Acc CTC - T2 - EN</v></cell><cell r="AH274"><v>223691840</v></cell><cell r="AI274" t="str"><v>AzurePlatform_FBCTCBrandinMotion_CAN_12s_ISV_PLAT_English_Trial_Standard_STAN_TN_T2_1</v></cell><cell r="AJ274"><v>102902950</v></cell></row><row r="275"><cell r="C275" t="str"><v>43285Facebook»AZR»1x1»NA»EGV»ALL»DYN»AUT»D»All»SS»NA»Free Acc CTC - T2 - FR</v></cell><cell r="D275" t="str"><v>43285223691798</v></cell><cell r="E275" t="str"><v>432851029163472 - FR</v></cell><cell r="F275" t="str"><v>DCM</v></cell><cell r="G275" t="str"><v>https://signup.azure.com/</v></cell></row><row r="275"><cell r="K275" t="str"><v>July</v></cell><cell r="L275"><v>43288</v></cell><cell r="M275" t="str"><v>Tier 1</v></cell><cell r="N275" t="str"><v>North America</v></cell><cell r="O275" t="str"><v>Canada</v></cell><cell r="P275" t="str"><v>Trial</v></cell><cell r="Q275" t="str"><v>Social</v></cell><cell r="R275" t="str"><v>Azure</v></cell><cell r="S275" t="str"><v>Apps & Infra</v></cell><cell r="T275" t="str"><v>Developers & ITI's</v></cell><cell r="U275" t="str"><v>AZR</v></cell><cell r="V275" t="str"><v>Audience Targeting</v></cell><cell r="W275" t="str"><v>Engagement Video</v></cell><cell r="X275" t="str"><v>1x1</v></cell></row><row r="275"><cell r="AA275"><v>43285</v></cell><cell r="AB275" t="str"><v>CAN_gaPMG_AZR_AZR_Q1_19_Trial-Social</v></cell><cell r="AC275"><v>21337220</v></cell><cell r="AD275"><v>720192</v></cell><cell r="AE275" t="str"><v>Facebook</v></cell><cell r="AF275"><v>3654128</v></cell><cell r="AG275" t="str"><v>Facebook»AZR»1x1»NA»EGV»ALL»DYN»AUT»D»All»SS»NA»Free Acc CTC - T2 - FR</v></cell><cell r="AH275"><v>223691798</v></cell><cell r="AI275" t="str"><v>AzurePlatform_FBCTCBrandinMotion_CAN_12s_ISV_PLAT_FR_Trial_Standard_STAN_TN_T2_1</v></cell><cell r="AJ275"><v>102916347</v></cell></row><row r="276"><cell r="C276" t="str"><v>43285Facebook»AZR»1x1»NA»EGV»ALL»DYN»AUT»D»All»SS»NA»Free Acc CTC - T4 - EN</v></cell><cell r="D276" t="str"><v>43285223691837</v></cell><cell r="E276" t="str"><v>432851030533144 - EN</v></cell><cell r="F276" t="str"><v>DCM</v></cell><cell r="G276" t="str"><v>https://signup.azure.com/</v></cell></row><row r="276"><cell r="K276" t="str"><v>July</v></cell><cell r="L276"><v>43288</v></cell><cell r="M276" t="str"><v>Tier 1</v></cell><cell r="N276" t="str"><v>North America</v></cell><cell r="O276" t="str"><v>Canada</v></cell><cell r="P276" t="str"><v>Trial</v></cell><cell r="Q276" t="str"><v>Social</v></cell><cell r="R276" t="str"><v>Azure</v></cell><cell r="S276" t="str"><v>Apps & Infra</v></cell><cell r="T276" t="str"><v>Developers & ITI's</v></cell><cell r="U276" t="str"><v>AZR</v></cell><cell r="V276" t="str"><v>Audience Targeting</v></cell><cell r="W276" t="str"><v>Engagement Video</v></cell><cell r="X276" t="str"><v>1x1</v></cell></row><row r="276"><cell r="AA276"><v>43285</v></cell><cell r="AB276" t="str"><v>CAN_gaPMG_AZR_AZR_Q1_19_Trial-Social</v></cell><cell r="AC276"><v>21337220</v></cell><cell r="AD276"><v>720192</v></cell><cell r="AE276" t="str"><v>Facebook</v></cell><cell r="AF276"><v>3654128</v></cell><cell r="AG276" t="str"><v>Facebook»AZR»1x1»NA»EGV»ALL»DYN»AUT»D»All»SS»NA»Free Acc CTC - T4 - EN</v></cell><cell r="AH276"><v>223691837</v></cell><cell r="AI276" t="str"><v>AzurePlatform_FBCTCBenefit2inMotion_CAN_14s_ISV_PLAT_English_Trial_Standard_STAN_TN_T4_1</v></cell><cell r="AJ276"><v>103053314</v></cell></row><row r="277"><cell r="C277" t="str"><v>43285Facebook»AZR»1x1»NA»EGV»ALL»DYN»AUT»D»All»SS»NA»Free Acc CTC - T4 - FR</v></cell><cell r="D277" t="str"><v>43285223691795</v></cell><cell r="E277" t="str"><v>432851029006884 - FR</v></cell><cell r="F277" t="str"><v>DCM</v></cell><cell r="G277" t="str"><v>https://signup.azure.com/</v></cell></row><row r="277"><cell r="K277" t="str"><v>July</v></cell><cell r="L277"><v>43288</v></cell><cell r="M277" t="str"><v>Tier 1</v></cell><cell r="N277" t="str"><v>North America</v></cell><cell r="O277" t="str"><v>Canada</v></cell><cell r="P277" t="str"><v>Trial</v></cell><cell r="Q277" t="str"><v>Social</v></cell><cell r="R277" t="str"><v>Azure</v></cell><cell r="S277" t="str"><v>Apps & Infra</v></cell><cell r="T277" t="str"><v>Developers & ITI's</v></cell><cell r="U277" t="str"><v>AZR</v></cell><cell r="V277" t="str"><v>Audience Targeting</v></cell><cell r="W277" t="str"><v>Engagement Video</v></cell><cell r="X277" t="str"><v>1x1</v></cell></row><row r="277"><cell r="AA277"><v>43285</v></cell><cell r="AB277" t="str"><v>CAN_gaPMG_AZR_AZR_Q1_19_Trial-Social</v></cell><cell r="AC277"><v>21337220</v></cell><cell r="AD277"><v>720192</v></cell><cell r="AE277" t="str"><v>Facebook</v></cell><cell r="AF277"><v>3654128</v></cell><cell r="AG277" t="str"><v>Facebook»AZR»1x1»NA»EGV»ALL»DYN»AUT»D»All»SS»NA»Free Acc CTC - T4 - FR</v></cell><cell r="AH277"><v>223691795</v></cell><cell r="AI277" t="str"><v>AzurePlatform_FBCTCBenefit2inMotion_CAN_14s_ISV_PLAT_FR_Trial_Standard_STAN_TN_T4_1</v></cell><cell r="AJ277"><v>102900688</v></cell></row><row r="278"><cell r="C278" t="str"><v>43285Facebook»AZR»1x1»SocialBan»NA»ALL»DYN»AUT»D»All»SS»NA»Free Acc Refresh - T1 - EN</v></cell><cell r="D278" t="str"><v>43285223691804</v></cell><cell r="E278" t="str"><v>432851030587171 - EN</v></cell><cell r="F278" t="str"><v>DCM</v></cell><cell r="G278" t="str"><v>https://azure.microsoft.com/en-CA/free/search/</v></cell></row><row r="278"><cell r="K278" t="str"><v>July</v></cell><cell r="L278"><v>43288</v></cell><cell r="M278" t="str"><v>Tier 1</v></cell><cell r="N278" t="str"><v>North America</v></cell><cell r="O278" t="str"><v>Canada</v></cell><cell r="P278" t="str"><v>Trial</v></cell><cell r="Q278" t="str"><v>Social</v></cell><cell r="R278" t="str"><v>Azure</v></cell><cell r="S278" t="str"><v>Apps & Infra</v></cell><cell r="T278" t="str"><v>Developers & ITI's</v></cell><cell r="U278" t="str"><v>AZR</v></cell><cell r="V278" t="str"><v>Audience Targeting</v></cell><cell r="W278" t="str"><v>NotApplicable</v></cell><cell r="X278" t="str"><v>1x1</v></cell></row><row r="278"><cell r="AA278"><v>43285</v></cell><cell r="AB278" t="str"><v>CAN_gaPMG_AZR_AZR_Q1_19_Trial-Social</v></cell><cell r="AC278"><v>21337220</v></cell><cell r="AD278"><v>720192</v></cell><cell r="AE278" t="str"><v>Facebook</v></cell><cell r="AF278"><v>3654128</v></cell><cell r="AG278" t="str"><v>Facebook»AZR»1x1»SocialBan»NA»ALL»DYN»AUT»D»All»SS»NA»Free Acc Refresh - T1 - EN</v></cell><cell r="AH278"><v>223691804</v></cell><cell r="AI278" t="str"><v>AzurePlatform_FreeAcctAppsFACEBOOKLifestyleChA_CAN_1200x628_SOC_PLAT_EN_Trial_Standard_NA_SU_T1_1.png</v></cell><cell r="AJ278"><v>103058717</v></cell></row><row r="279"><cell r="C279" t="str"><v>43285Facebook»AZR»1x1»SocialBan»NA»ALL»DYN»AUT»D»All»SS»NA»Free Acc Refresh - T1 - FR</v></cell><cell r="D279" t="str"><v>43285223691762</v></cell><cell r="E279" t="str"><v>432851029029741 - FR</v></cell><cell r="F279" t="str"><v>DCM</v></cell><cell r="G279" t="str"><v>https://azure.microsoft.com/fr-ca/free/search/</v></cell></row><row r="279"><cell r="K279" t="str"><v>July</v></cell><cell r="L279"><v>43288</v></cell><cell r="M279" t="str"><v>Tier 1</v></cell><cell r="N279" t="str"><v>North America</v></cell><cell r="O279" t="str"><v>Canada</v></cell><cell r="P279" t="str"><v>Trial</v></cell><cell r="Q279" t="str"><v>Social</v></cell><cell r="R279" t="str"><v>Azure</v></cell><cell r="S279" t="str"><v>Apps & Infra</v></cell><cell r="T279" t="str"><v>Developers & ITI's</v></cell><cell r="U279" t="str"><v>AZR</v></cell><cell r="V279" t="str"><v>Audience Targeting</v></cell><cell r="W279" t="str"><v>NotApplicable</v></cell><cell r="X279" t="str"><v>1x1</v></cell></row><row r="279"><cell r="AA279"><v>43285</v></cell><cell r="AB279" t="str"><v>CAN_gaPMG_AZR_AZR_Q1_19_Trial-Social</v></cell><cell r="AC279"><v>21337220</v></cell><cell r="AD279"><v>720192</v></cell><cell r="AE279" t="str"><v>Facebook</v></cell><cell r="AF279"><v>3654128</v></cell><cell r="AG279" t="str"><v>Facebook»AZR»1x1»SocialBan»NA»ALL»DYN»AUT»D»All»SS»NA»Free Acc Refresh - T1 - FR</v></cell><cell r="AH279"><v>223691762</v></cell><cell r="AI279" t="str"><v>AzurePlatform_FreeAcctAppsFACEBOOKLifestyleChA_CAN_1200x628_SOC_PLAT_FR_Trial_Standard_NA_SU_T1_1.png</v></cell><cell r="AJ279"><v>102902974</v></cell></row><row r="280"><cell r="C280" t="str"><v>43285Facebook»AZR»1x1»SocialBan»NA»ALL»DYN»AUT»D»All»SS»NA»Free Acc Refresh - T2 - EN</v></cell><cell r="D280" t="str"><v>43285223691810</v></cell><cell r="E280" t="str"><v>432851030587112 - EN</v></cell><cell r="F280" t="str"><v>DCM</v></cell><cell r="G280" t="str"><v>https://azure.microsoft.com/en-CA/free/search/</v></cell></row><row r="280"><cell r="K280" t="str"><v>July</v></cell><cell r="L280"><v>43288</v></cell><cell r="M280" t="str"><v>Tier 1</v></cell><cell r="N280" t="str"><v>North America</v></cell><cell r="O280" t="str"><v>Canada</v></cell><cell r="P280" t="str"><v>Trial</v></cell><cell r="Q280" t="str"><v>Social</v></cell><cell r="R280" t="str"><v>Azure</v></cell><cell r="S280" t="str"><v>Apps & Infra</v></cell><cell r="T280" t="str"><v>Developers & ITI's</v></cell><cell r="U280" t="str"><v>AZR</v></cell><cell r="V280" t="str"><v>Audience Targeting</v></cell><cell r="W280" t="str"><v>NotApplicable</v></cell><cell r="X280" t="str"><v>1x1</v></cell></row><row r="280"><cell r="AA280"><v>43285</v></cell><cell r="AB280" t="str"><v>CAN_gaPMG_AZR_AZR_Q1_19_Trial-Social</v></cell><cell r="AC280"><v>21337220</v></cell><cell r="AD280"><v>720192</v></cell><cell r="AE280" t="str"><v>Facebook</v></cell><cell r="AF280"><v>3654128</v></cell><cell r="AG280" t="str"><v>Facebook»AZR»1x1»SocialBan»NA»ALL»DYN»AUT»D»All»SS»NA»Free Acc Refresh - T2 - EN</v></cell><cell r="AH280"><v>223691810</v></cell><cell r="AI280" t="str"><v>AzurePlatform_FreeAcctAppsFACEBOOKDeviceChB_CAN_1200x628_SOC_PLAT_EN_Trial_Standard_NA_SU_T2_1.png</v></cell><cell r="AJ280"><v>103058711</v></cell></row><row r="281"><cell r="C281" t="str"><v>43285Facebook»AZR»1x1»SocialBan»NA»ALL»DYN»AUT»D»All»SS»NA»Free Acc Refresh - T2 - FR</v></cell><cell r="D281" t="str"><v>43285223691768</v></cell><cell r="E281" t="str"><v>432851029029712 - FR</v></cell><cell r="F281" t="str"><v>DCM</v></cell><cell r="G281" t="str"><v>https://azure.microsoft.com/fr-ca/free/search/</v></cell></row><row r="281"><cell r="K281" t="str"><v>July</v></cell><cell r="L281"><v>43288</v></cell><cell r="M281" t="str"><v>Tier 1</v></cell><cell r="N281" t="str"><v>North America</v></cell><cell r="O281" t="str"><v>Canada</v></cell><cell r="P281" t="str"><v>Trial</v></cell><cell r="Q281" t="str"><v>Social</v></cell><cell r="R281" t="str"><v>Azure</v></cell><cell r="S281" t="str"><v>Apps & Infra</v></cell><cell r="T281" t="str"><v>Developers & ITI's</v></cell><cell r="U281" t="str"><v>AZR</v></cell><cell r="V281" t="str"><v>Audience Targeting</v></cell><cell r="W281" t="str"><v>NotApplicable</v></cell><cell r="X281" t="str"><v>1x1</v></cell></row><row r="281"><cell r="AA281"><v>43285</v></cell><cell r="AB281" t="str"><v>CAN_gaPMG_AZR_AZR_Q1_19_Trial-Social</v></cell><cell r="AC281"><v>21337220</v></cell><cell r="AD281"><v>720192</v></cell><cell r="AE281" t="str"><v>Facebook</v></cell><cell r="AF281"><v>3654128</v></cell><cell r="AG281" t="str"><v>Facebook»AZR»1x1»SocialBan»NA»ALL»DYN»AUT»D»All»SS»NA»Free Acc Refresh - T2 - FR</v></cell><cell r="AH281"><v>223691768</v></cell><cell r="AI281" t="str"><v>AzurePlatform_FreeAcctAppsFACEBOOKDeviceChB_CAN_1200x628_SOC_PLAT_FR_Trial_Standard_NA_SU_T2_1.png</v></cell><cell r="AJ281"><v>102902971</v></cell></row><row r="282"><cell r="C282" t="str"><v>43285Facebook»AZR»1x1»SocialBan»NA»ALL»DYN»AUT»D»All»SS»NA»Free Acc Refresh - T3 - EN</v></cell><cell r="D282" t="str"><v>43285223691807</v></cell><cell r="E282" t="str"><v>432851029006853 - EN</v></cell><cell r="F282" t="str"><v>DCM</v></cell><cell r="G282" t="str"><v>https://azure.microsoft.com/en-CA/free/search/</v></cell></row><row r="282"><cell r="K282" t="str"><v>July</v></cell><cell r="L282"><v>43288</v></cell><cell r="M282" t="str"><v>Tier 1</v></cell><cell r="N282" t="str"><v>North America</v></cell><cell r="O282" t="str"><v>Canada</v></cell><cell r="P282" t="str"><v>Trial</v></cell><cell r="Q282" t="str"><v>Social</v></cell><cell r="R282" t="str"><v>Azure</v></cell><cell r="S282" t="str"><v>Apps & Infra</v></cell><cell r="T282" t="str"><v>Developers & ITI's</v></cell><cell r="U282" t="str"><v>AZR</v></cell><cell r="V282" t="str"><v>Audience Targeting</v></cell><cell r="W282" t="str"><v>NotApplicable</v></cell><cell r="X282" t="str"><v>1x1</v></cell></row><row r="282"><cell r="AA282"><v>43285</v></cell><cell r="AB282" t="str"><v>CAN_gaPMG_AZR_AZR_Q1_19_Trial-Social</v></cell><cell r="AC282"><v>21337220</v></cell><cell r="AD282"><v>720192</v></cell><cell r="AE282" t="str"><v>Facebook</v></cell><cell r="AF282"><v>3654128</v></cell><cell r="AG282" t="str"><v>Facebook»AZR»1x1»SocialBan»NA»ALL»DYN»AUT»D»All»SS»NA»Free Acc Refresh - T3 - EN</v></cell><cell r="AH282"><v>223691807</v></cell><cell r="AI282" t="str"><v>AzurePlatform_FreeAcctAppsFACEBOOKIllustrationChC_CAN_1200x628_SOC_PLAT_EN_Trial_Standard_NA_SU_T3_1.png</v></cell><cell r="AJ282"><v>102900685</v></cell></row><row r="283"><cell r="C283" t="str"><v>43285Facebook»AZR»1x1»SocialBan»NA»ALL»DYN»AUT»D»All»SS»NA»Free Acc Refresh - T3 - FR</v></cell><cell r="D283" t="str"><v>43285223691765</v></cell><cell r="E283" t="str"><v>432851030533323 - FR</v></cell><cell r="F283" t="str"><v>DCM</v></cell><cell r="G283" t="str"><v>https://azure.microsoft.com/fr-ca/free/search/</v></cell></row><row r="283"><cell r="K283" t="str"><v>July</v></cell><cell r="L283"><v>43288</v></cell><cell r="M283" t="str"><v>Tier 1</v></cell><cell r="N283" t="str"><v>North America</v></cell><cell r="O283" t="str"><v>Canada</v></cell><cell r="P283" t="str"><v>Trial</v></cell><cell r="Q283" t="str"><v>Social</v></cell><cell r="R283" t="str"><v>Azure</v></cell><cell r="S283" t="str"><v>Apps & Infra</v></cell><cell r="T283" t="str"><v>Developers & ITI's</v></cell><cell r="U283" t="str"><v>AZR</v></cell><cell r="V283" t="str"><v>Audience Targeting</v></cell><cell r="W283" t="str"><v>NotApplicable</v></cell><cell r="X283" t="str"><v>1x1</v></cell></row><row r="283"><cell r="AA283"><v>43285</v></cell><cell r="AB283" t="str"><v>CAN_gaPMG_AZR_AZR_Q1_19_Trial-Social</v></cell><cell r="AC283"><v>21337220</v></cell><cell r="AD283"><v>720192</v></cell><cell r="AE283" t="str"><v>Facebook</v></cell><cell r="AF283"><v>3654128</v></cell><cell r="AG283" t="str"><v>Facebook»AZR»1x1»SocialBan»NA»ALL»DYN»AUT»D»All»SS»NA»Free Acc Refresh - T3 - FR</v></cell><cell r="AH283"><v>223691765</v></cell><cell r="AI283" t="str"><v>AzurePlatform_FreeAcctAppsFACEBOOKIllustrationChC_CAN_1200x628_SOC_PLAT_FR_Trial_Standard_NA_SU_T3_1.png</v></cell><cell r="AJ283"><v>103053332</v></cell></row><row r="284"><cell r="C284" t="str"><v>43285Facebook»AZR»1x1»SocialBan»NA»ALL»DYN»AUT»D»All»SS»NA»Free Acc Refresh - T4 - EN</v></cell><cell r="D284" t="str"><v>43285223691813</v></cell><cell r="E284" t="str"><v>432851030533204 - EN</v></cell><cell r="F284" t="str"><v>DCM</v></cell><cell r="G284" t="str"><v>https://azure.microsoft.com/en-CA/free/search/</v></cell></row><row r="284"><cell r="K284" t="str"><v>July</v></cell><cell r="L284"><v>43288</v></cell><cell r="M284" t="str"><v>Tier 1</v></cell><cell r="N284" t="str"><v>North America</v></cell><cell r="O284" t="str"><v>Canada</v></cell><cell r="P284" t="str"><v>Trial</v></cell><cell r="Q284" t="str"><v>Social</v></cell><cell r="R284" t="str"><v>Azure</v></cell><cell r="S284" t="str"><v>Apps & Infra</v></cell><cell r="T284" t="str"><v>Developers & ITI's</v></cell><cell r="U284" t="str"><v>AZR</v></cell><cell r="V284" t="str"><v>Audience Targeting</v></cell><cell r="W284" t="str"><v>NotApplicable</v></cell><cell r="X284" t="str"><v>1x1</v></cell></row><row r="284"><cell r="AA284"><v>43285</v></cell><cell r="AB284" t="str"><v>CAN_gaPMG_AZR_AZR_Q1_19_Trial-Social</v></cell><cell r="AC284"><v>21337220</v></cell><cell r="AD284"><v>720192</v></cell><cell r="AE284" t="str"><v>Facebook</v></cell><cell r="AF284"><v>3654128</v></cell><cell r="AG284" t="str"><v>Facebook»AZR»1x1»SocialBan»NA»ALL»DYN»AUT»D»All»SS»NA»Free Acc Refresh - T4 - EN</v></cell><cell r="AH284"><v>223691813</v></cell><cell r="AI284" t="str"><v>AzurePlatform_FreeAcctAppsFACEBOOK200CreditChD_CAN_1200x628_SOC_PLAT_EN_Trial_Standard_NA_SU_T4_1.png</v></cell><cell r="AJ284"><v>103053320</v></cell></row><row r="285"><cell r="C285" t="str"><v>43285Facebook»AZR»1x1»SocialBan»NA»ALL»DYN»AUT»D»All»SS»NA»Free Acc Refresh - T4 - FR</v></cell><cell r="D285" t="str"><v>43285223691771</v></cell><cell r="E285" t="str"><v>432851029029684 - FR</v></cell><cell r="F285" t="str"><v>DCM</v></cell><cell r="G285" t="str"><v>https://azure.microsoft.com/fr-ca/free/search/</v></cell></row><row r="285"><cell r="K285" t="str"><v>July</v></cell><cell r="L285"><v>43288</v></cell><cell r="M285" t="str"><v>Tier 1</v></cell><cell r="N285" t="str"><v>North America</v></cell><cell r="O285" t="str"><v>Canada</v></cell><cell r="P285" t="str"><v>Trial</v></cell><cell r="Q285" t="str"><v>Social</v></cell><cell r="R285" t="str"><v>Azure</v></cell><cell r="S285" t="str"><v>Apps & Infra</v></cell><cell r="T285" t="str"><v>Developers & ITI's</v></cell><cell r="U285" t="str"><v>AZR</v></cell><cell r="V285" t="str"><v>Audience Targeting</v></cell><cell r="W285" t="str"><v>NotApplicable</v></cell><cell r="X285" t="str"><v>1x1</v></cell></row><row r="285"><cell r="AA285"><v>43285</v></cell><cell r="AB285" t="str"><v>CAN_gaPMG_AZR_AZR_Q1_19_Trial-Social</v></cell><cell r="AC285"><v>21337220</v></cell><cell r="AD285"><v>720192</v></cell><cell r="AE285" t="str"><v>Facebook</v></cell><cell r="AF285"><v>3654128</v></cell><cell r="AG285" t="str"><v>Facebook»AZR»1x1»SocialBan»NA»ALL»DYN»AUT»D»All»SS»NA»Free Acc Refresh - T4 - FR</v></cell><cell r="AH285"><v>223691771</v></cell><cell r="AI285" t="str"><v>AzurePlatform_FreeAcctAppsFACEBOOK200CreditChD_CAN_1200x628_SOC_PLAT_FR_Trial_Standard_NA_SU_T4_1.png</v></cell><cell r="AJ285"><v>102902968</v></cell></row><row r="286"><cell r="C286" t="str"><v>43285Facebook»AZR»1x1»SocialBan»NA»ALL»DYN»AUT»D»All»SS»NA»Free Acc Refresh - T5 - EN</v></cell><cell r="D286" t="str"><v>43285223691816</v></cell><cell r="E286" t="str"><v>432851029163415 - EN</v></cell><cell r="F286" t="str"><v>DCM</v></cell><cell r="G286" t="str"><v>https://azure.microsoft.com/en-CA/free/search/</v></cell></row><row r="286"><cell r="K286" t="str"><v>July</v></cell><cell r="L286"><v>43288</v></cell><cell r="M286" t="str"><v>Tier 1</v></cell><cell r="N286" t="str"><v>North America</v></cell><cell r="O286" t="str"><v>Canada</v></cell><cell r="P286" t="str"><v>Trial</v></cell><cell r="Q286" t="str"><v>Social</v></cell><cell r="R286" t="str"><v>Azure</v></cell><cell r="S286" t="str"><v>Apps & Infra</v></cell><cell r="T286" t="str"><v>Developers & ITI's</v></cell><cell r="U286" t="str"><v>AZR</v></cell><cell r="V286" t="str"><v>Audience Targeting</v></cell><cell r="W286" t="str"><v>NotApplicable</v></cell><cell r="X286" t="str"><v>1x1</v></cell></row><row r="286"><cell r="AA286"><v>43285</v></cell><cell r="AB286" t="str"><v>CAN_gaPMG_AZR_AZR_Q1_19_Trial-Social</v></cell><cell r="AC286"><v>21337220</v></cell><cell r="AD286"><v>720192</v></cell><cell r="AE286" t="str"><v>Facebook</v></cell><cell r="AF286"><v>3654128</v></cell><cell r="AG286" t="str"><v>Facebook»AZR»1x1»SocialBan»NA»ALL»DYN»AUT»D»All»SS»NA»Free Acc Refresh - T5 - EN</v></cell><cell r="AH286"><v>223691816</v></cell><cell r="AI286" t="str"><v>AzurePlatform_FreeAcctAppsFACEBOOK12monthsChE_CAN_1200x628_SOC_PLAT_EN_Trial_Standard_NA_SU_T5_1.png</v></cell><cell r="AJ286"><v>102916341</v></cell></row><row r="287"><cell r="C287" t="str"><v>43285Facebook»AZR»1x1»SocialBan»NA»ALL»DYN»AUT»D»All»SS»NA»Free Acc Refresh - T5 - FR</v></cell><cell r="D287" t="str"><v>43285223691774</v></cell><cell r="E287" t="str"><v>432851029163565 - FR</v></cell><cell r="F287" t="str"><v>DCM</v></cell><cell r="G287" t="str"><v>https://azure.microsoft.com/fr-ca/free/search/</v></cell></row><row r="287"><cell r="K287" t="str"><v>July</v></cell><cell r="L287"><v>43288</v></cell><cell r="M287" t="str"><v>Tier 1</v></cell><cell r="N287" t="str"><v>North America</v></cell><cell r="O287" t="str"><v>Canada</v></cell><cell r="P287" t="str"><v>Trial</v></cell><cell r="Q287" t="str"><v>Social</v></cell><cell r="R287" t="str"><v>Azure</v></cell><cell r="S287" t="str"><v>Apps & Infra</v></cell><cell r="T287" t="str"><v>Developers & ITI's</v></cell><cell r="U287" t="str"><v>AZR</v></cell><cell r="V287" t="str"><v>Audience Targeting</v></cell><cell r="W287" t="str"><v>NotApplicable</v></cell><cell r="X287" t="str"><v>1x1</v></cell></row><row r="287"><cell r="AA287"><v>43285</v></cell><cell r="AB287" t="str"><v>CAN_gaPMG_AZR_AZR_Q1_19_Trial-Social</v></cell><cell r="AC287"><v>21337220</v></cell><cell r="AD287"><v>720192</v></cell><cell r="AE287" t="str"><v>Facebook</v></cell><cell r="AF287"><v>3654128</v></cell><cell r="AG287" t="str"><v>Facebook»AZR»1x1»SocialBan»NA»ALL»DYN»AUT»D»All»SS»NA»Free Acc Refresh - T5 - FR</v></cell><cell r="AH287"><v>223691774</v></cell><cell r="AI287" t="str"><v>AzurePlatform_FreeAcctAppsFACEBOOK12monthsChE_CAN_1200x628_SOC_PLAT_FR_Trial_Standard_NA_SU_T5_1.png</v></cell><cell r="AJ287"><v>102916356</v></cell></row><row r="288"><cell r="C288" t="str"><v>43285Facebook»AZR»1x1»SocialBan»NA»ALL»DYN»RT»D»All»SS»NA» Free Account Retargeting OSS - T1 - EN</v></cell><cell r="D288" t="str"><v>43285223691828</v></cell><cell r="E288" t="str"><v>432851029029561 - EN</v></cell><cell r="F288" t="str"><v>DCM</v></cell><cell r="G288" t="str"><v>https://azure.microsoft.com/en-ca/free/open-source/search/</v></cell></row><row r="288"><cell r="K288" t="str"><v>July</v></cell><cell r="L288"><v>43288</v></cell><cell r="M288" t="str"><v>Tier 1</v></cell><cell r="N288" t="str"><v>North America</v></cell><cell r="O288" t="str"><v>Canada</v></cell><cell r="P288" t="str"><v>Trial</v></cell><cell r="Q288" t="str"><v>Social</v></cell><cell r="R288" t="str"><v>Azure</v></cell><cell r="S288" t="str"><v>Apps & Infra</v></cell><cell r="T288" t="str"><v>Developers & ITI's</v></cell><cell r="U288" t="str"><v>AZR</v></cell><cell r="V288" t="str"><v>Retargeting</v></cell><cell r="W288" t="str"><v>NotApplicable</v></cell><cell r="X288" t="str"><v>1x1</v></cell></row><row r="288"><cell r="AA288"><v>43285</v></cell><cell r="AB288" t="str"><v>CAN_gaPMG_AZR_AZR_Q1_19_Trial-Social</v></cell><cell r="AC288"><v>21337220</v></cell><cell r="AD288"><v>720192</v></cell><cell r="AE288" t="str"><v>Facebook</v></cell><cell r="AF288"><v>3654128</v></cell><cell r="AG288" t="str"><v>Facebook»AZR»1x1»SocialBan»NA»ALL»DYN»RT»D»All»SS»NA» Free Account Retargeting OSS - T1 - EN</v></cell><cell r="AH288"><v>223691828</v></cell><cell r="AI288" t="str"><v>AzurePlatform_FreeAcctRetargetingOSSFB-Text-ChF_CAN_1200x628_SOC_Plat_EN_Free Account_Standard_NA_SU_T1_1</v></cell><cell r="AJ288"><v>102902956</v></cell></row><row r="289"><cell r="C289" t="str"><v>43285Facebook»AZR»1x1»SocialBan»NA»ALL»DYN»RT»D»All»SS»NA» Free Account Retargeting OSS - T1 - FR</v></cell><cell r="D289" t="str"><v>43285223691786</v></cell><cell r="E289" t="str"><v>432851030587201 - FR</v></cell><cell r="F289" t="str"><v>DCM</v></cell><cell r="G289" t="str"><v>https://azure.microsoft.com/fr-ca/free/open-source/search/</v></cell></row><row r="289"><cell r="K289" t="str"><v>July</v></cell><cell r="L289"><v>43288</v></cell><cell r="M289" t="str"><v>Tier 1</v></cell><cell r="N289" t="str"><v>North America</v></cell><cell r="O289" t="str"><v>Canada</v></cell><cell r="P289" t="str"><v>Trial</v></cell><cell r="Q289" t="str"><v>Social</v></cell><cell r="R289" t="str"><v>Azure</v></cell><cell r="S289" t="str"><v>Apps & Infra</v></cell><cell r="T289" t="str"><v>Developers & ITI's</v></cell><cell r="U289" t="str"><v>AZR</v></cell><cell r="V289" t="str"><v>Retargeting</v></cell><cell r="W289" t="str"><v>NotApplicable</v></cell><cell r="X289" t="str"><v>1x1</v></cell></row><row r="289"><cell r="AA289"><v>43285</v></cell><cell r="AB289" t="str"><v>CAN_gaPMG_AZR_AZR_Q1_19_Trial-Social</v></cell><cell r="AC289"><v>21337220</v></cell><cell r="AD289"><v>720192</v></cell><cell r="AE289" t="str"><v>Facebook</v></cell><cell r="AF289"><v>3654128</v></cell><cell r="AG289" t="str"><v>Facebook»AZR»1x1»SocialBan»NA»ALL»DYN»RT»D»All»SS»NA» Free Account Retargeting OSS - T1 - FR</v></cell><cell r="AH289"><v>223691786</v></cell><cell r="AI289" t="str"><v>AzurePlatform_FreeAcctRetargetingOSSFB-Text-ChF_CAN_1200x628_SOC_Plat_FR_Free Account_Standard_NA_SU_T1_1</v></cell><cell r="AJ289"><v>103058720</v></cell></row><row r="290"><cell r="C290" t="str"><v>43285Facebook»AZR»1x1»SocialBan»NA»ALL»DYN»RT»D»All»SS»NA» Free Account Retargeting OSS - T2 - EN</v></cell><cell r="D290" t="str"><v>43285223691831</v></cell><cell r="E290" t="str"><v>432851029138002 - EN</v></cell><cell r="F290" t="str"><v>DCM</v></cell><cell r="G290" t="str"><v>https://azure.microsoft.com/en-ca/free/open-source/search/</v></cell></row><row r="290"><cell r="K290" t="str"><v>July</v></cell><cell r="L290"><v>43288</v></cell><cell r="M290" t="str"><v>Tier 1</v></cell><cell r="N290" t="str"><v>North America</v></cell><cell r="O290" t="str"><v>Canada</v></cell><cell r="P290" t="str"><v>Trial</v></cell><cell r="Q290" t="str"><v>Social</v></cell><cell r="R290" t="str"><v>Azure</v></cell><cell r="S290" t="str"><v>Apps & Infra</v></cell><cell r="T290" t="str"><v>Developers & ITI's</v></cell><cell r="U290" t="str"><v>AZR</v></cell><cell r="V290" t="str"><v>Retargeting</v></cell><cell r="W290" t="str"><v>NotApplicable</v></cell><cell r="X290" t="str"><v>1x1</v></cell></row><row r="290"><cell r="AA290"><v>43285</v></cell><cell r="AB290" t="str"><v>CAN_gaPMG_AZR_AZR_Q1_19_Trial-Social</v></cell><cell r="AC290"><v>21337220</v></cell><cell r="AD290"><v>720192</v></cell><cell r="AE290" t="str"><v>Facebook</v></cell><cell r="AF290"><v>3654128</v></cell><cell r="AG290" t="str"><v>Facebook»AZR»1x1»SocialBan»NA»ALL»DYN»RT»D»All»SS»NA» Free Account Retargeting OSS - T2 - EN</v></cell><cell r="AH290"><v>223691831</v></cell><cell r="AI290" t="str"><v>AzurePlatform_FreeAcctRetargetingOSSFB-Logos-ChG_CAN_1200x628_SOC_Plat_EN_Free Account_Standard_NA_SU_T2_1</v></cell><cell r="AJ290"><v>102913800</v></cell></row><row r="291"><cell r="C291" t="str"><v>43285Facebook»AZR»1x1»SocialBan»NA»ALL»DYN»RT»D»All»SS»NA» Free Account Retargeting OSS - T2 - FR</v></cell><cell r="D291" t="str"><v>43285223691789</v></cell><cell r="E291" t="str"><v>432851029006912 - FR</v></cell><cell r="F291" t="str"><v>DCM</v></cell><cell r="G291" t="str"><v>https://azure.microsoft.com/fr-ca/free/open-source/search/</v></cell></row><row r="291"><cell r="K291" t="str"><v>July</v></cell><cell r="L291"><v>43288</v></cell><cell r="M291" t="str"><v>Tier 1</v></cell><cell r="N291" t="str"><v>North America</v></cell><cell r="O291" t="str"><v>Canada</v></cell><cell r="P291" t="str"><v>Trial</v></cell><cell r="Q291" t="str"><v>Social</v></cell><cell r="R291" t="str"><v>Azure</v></cell><cell r="S291" t="str"><v>Apps & Infra</v></cell><cell r="T291" t="str"><v>Developers & ITI's</v></cell><cell r="U291" t="str"><v>AZR</v></cell><cell r="V291" t="str"><v>Retargeting</v></cell><cell r="W291" t="str"><v>NotApplicable</v></cell><cell r="X291" t="str"><v>1x1</v></cell></row><row r="291"><cell r="AA291"><v>43285</v></cell><cell r="AB291" t="str"><v>CAN_gaPMG_AZR_AZR_Q1_19_Trial-Social</v></cell><cell r="AC291"><v>21337220</v></cell><cell r="AD291"><v>720192</v></cell><cell r="AE291" t="str"><v>Facebook</v></cell><cell r="AF291"><v>3654128</v></cell><cell r="AG291" t="str"><v>Facebook»AZR»1x1»SocialBan»NA»ALL»DYN»RT»D»All»SS»NA» Free Account Retargeting OSS - T2 - FR</v></cell><cell r="AH291"><v>223691789</v></cell><cell r="AI291" t="str"><v>AzurePlatform_FreeAcctRetargetingOSSFB-Logos-ChG_CAN_1200x628_SOC_Plat_FR_Free Account_Standard_NA_SU_T2_1</v></cell><cell r="AJ291"><v>102900691</v></cell></row><row r="292"><cell r="C292" t="str"><v>43285Facebook»AZR»1x1»SocialBan»NA»ALL»DYN»RT»D»All»SS»NA»Free Account Retargeting Generic - T2 - EN</v></cell><cell r="D292" t="str"><v>43285223691834</v></cell><cell r="E292" t="str"><v>432851029029532 - EN</v></cell><cell r="F292" t="str"><v>DCM</v></cell><cell r="G292" t="str"><v>https://azure.microsoft.com/en-CA/free/search/</v></cell></row><row r="292"><cell r="K292" t="str"><v>July</v></cell><cell r="L292"><v>43288</v></cell><cell r="M292" t="str"><v>Tier 1</v></cell><cell r="N292" t="str"><v>North America</v></cell><cell r="O292" t="str"><v>Canada</v></cell><cell r="P292" t="str"><v>Trial</v></cell><cell r="Q292" t="str"><v>Social</v></cell><cell r="R292" t="str"><v>Azure</v></cell><cell r="S292" t="str"><v>Apps & Infra</v></cell><cell r="T292" t="str"><v>Developers & ITI's</v></cell><cell r="U292" t="str"><v>AZR</v></cell><cell r="V292" t="str"><v>Retargeting</v></cell><cell r="W292" t="str"><v>NotApplicable</v></cell><cell r="X292" t="str"><v>1x1</v></cell></row><row r="292"><cell r="AA292"><v>43285</v></cell><cell r="AB292" t="str"><v>CAN_gaPMG_AZR_AZR_Q1_19_Trial-Social</v></cell><cell r="AC292"><v>21337220</v></cell><cell r="AD292"><v>720192</v></cell><cell r="AE292" t="str"><v>Facebook</v></cell><cell r="AF292"><v>3654128</v></cell><cell r="AG292" t="str"><v>Facebook»AZR»1x1»SocialBan»NA»ALL»DYN»RT»D»All»SS»NA»Free Account Retargeting Generic - T2 - EN</v></cell><cell r="AH292"><v>223691834</v></cell><cell r="AI292" t="str"><v>AzurePlatform_FreeAcctRetargetingFB-GlobalAlt-ChB_CAN_1200x628_SOC_Plat_EN_Free Account_Standard_NA_SU_T2_1</v></cell><cell r="AJ292"><v>102902953</v></cell></row><row r="293"><cell r="C293" t="str"><v>43285Facebook»AZR»1x1»SocialBan»NA»ALL»DYN»RT»D»All»SS»NA»Free Account Retargeting Generic - T2 - FR</v></cell><cell r="D293" t="str"><v>43285223691792</v></cell><cell r="E293" t="str"><v>432851029018942 - FR</v></cell><cell r="F293" t="str"><v>DCM</v></cell><cell r="G293" t="str"><v>https://azure.microsoft.com/fr-ca/free/search/</v></cell></row><row r="293"><cell r="K293" t="str"><v>July</v></cell><cell r="L293"><v>43288</v></cell><cell r="M293" t="str"><v>Tier 1</v></cell><cell r="N293" t="str"><v>North America</v></cell><cell r="O293" t="str"><v>Canada</v></cell><cell r="P293" t="str"><v>Trial</v></cell><cell r="Q293" t="str"><v>Social</v></cell><cell r="R293" t="str"><v>Azure</v></cell><cell r="S293" t="str"><v>Apps & Infra</v></cell><cell r="T293" t="str"><v>Developers & ITI's</v></cell><cell r="U293" t="str"><v>AZR</v></cell><cell r="V293" t="str"><v>Retargeting</v></cell><cell r="W293" t="str"><v>NotApplicable</v></cell><cell r="X293" t="str"><v>1x1</v></cell></row><row r="293"><cell r="AA293"><v>43285</v></cell><cell r="AB293" t="str"><v>CAN_gaPMG_AZR_AZR_Q1_19_Trial-Social</v></cell><cell r="AC293"><v>21337220</v></cell><cell r="AD293"><v>720192</v></cell><cell r="AE293" t="str"><v>Facebook</v></cell><cell r="AF293"><v>3654128</v></cell><cell r="AG293" t="str"><v>Facebook»AZR»1x1»SocialBan»NA»ALL»DYN»RT»D»All»SS»NA»Free Account Retargeting Generic - T2 - FR</v></cell><cell r="AH293"><v>223691792</v></cell><cell r="AI293" t="str"><v>AzurePlatform_FreeAcctRetargetingFB-GlobalAlt-ChB_CAN_1200x628_SOC_Plat_FR_Free Account_Standard_NA_SU_T2_1</v></cell><cell r="AJ293"><v>102901894</v></cell></row><row r="294"><cell r="C294" t="str"><v>43285Facebook»AZR»1x1»SocialBan»NA»ALL»DYN»RT»D»All»SS»NA»Free Account Retargeting Generic - T3 - EN</v></cell><cell r="D294" t="str"><v>43285223691819</v></cell><cell r="E294" t="str"><v>432851029006823 - EN</v></cell><cell r="F294" t="str"><v>DCM</v></cell><cell r="G294" t="str"><v>https://azure.microsoft.com/en-CA/free/search/</v></cell></row><row r="294"><cell r="K294" t="str"><v>July</v></cell><cell r="L294"><v>43288</v></cell><cell r="M294" t="str"><v>Tier 1</v></cell><cell r="N294" t="str"><v>North America</v></cell><cell r="O294" t="str"><v>Canada</v></cell><cell r="P294" t="str"><v>Trial</v></cell><cell r="Q294" t="str"><v>Social</v></cell><cell r="R294" t="str"><v>Azure</v></cell><cell r="S294" t="str"><v>Apps & Infra</v></cell><cell r="T294" t="str"><v>Developers & ITI's</v></cell><cell r="U294" t="str"><v>AZR</v></cell><cell r="V294" t="str"><v>Retargeting</v></cell><cell r="W294" t="str"><v>NotApplicable</v></cell><cell r="X294" t="str"><v>1x1</v></cell></row><row r="294"><cell r="AA294"><v>43285</v></cell><cell r="AB294" t="str"><v>CAN_gaPMG_AZR_AZR_Q1_19_Trial-Social</v></cell><cell r="AC294"><v>21337220</v></cell><cell r="AD294"><v>720192</v></cell><cell r="AE294" t="str"><v>Facebook</v></cell><cell r="AF294"><v>3654128</v></cell><cell r="AG294" t="str"><v>Facebook»AZR»1x1»SocialBan»NA»ALL»DYN»RT»D»All»SS»NA»Free Account Retargeting Generic - T3 - EN</v></cell><cell r="AH294"><v>223691819</v></cell><cell r="AI294" t="str"><v>AzurePlatform_FreeAcctRetargetingFB-Animated-ChC_CAN_1200x628_SOC_Plat_EN_Free Account_Standard_ANI_SU_T3_1</v></cell><cell r="AJ294"><v>102900682</v></cell></row><row r="295"><cell r="C295" t="str"><v>43285Facebook»AZR»1x1»SocialBan»NA»ALL»DYN»RT»D»All»SS»NA»Free Account Retargeting Generic - T3 - FR</v></cell><cell r="D295" t="str"><v>43285223691777</v></cell><cell r="E295" t="str"><v>432851029006973 - FR</v></cell><cell r="F295" t="str"><v>DCM</v></cell><cell r="G295" t="str"><v>https://azure.microsoft.com/fr-ca/free/search/</v></cell></row><row r="295"><cell r="K295" t="str"><v>July</v></cell><cell r="L295"><v>43288</v></cell><cell r="M295" t="str"><v>Tier 1</v></cell><cell r="N295" t="str"><v>North America</v></cell><cell r="O295" t="str"><v>Canada</v></cell><cell r="P295" t="str"><v>Trial</v></cell><cell r="Q295" t="str"><v>Social</v></cell><cell r="R295" t="str"><v>Azure</v></cell><cell r="S295" t="str"><v>Apps & Infra</v></cell><cell r="T295" t="str"><v>Developers & ITI's</v></cell><cell r="U295" t="str"><v>AZR</v></cell><cell r="V295" t="str"><v>Retargeting</v></cell><cell r="W295" t="str"><v>NotApplicable</v></cell><cell r="X295" t="str"><v>1x1</v></cell></row><row r="295"><cell r="AA295"><v>43285</v></cell><cell r="AB295" t="str"><v>CAN_gaPMG_AZR_AZR_Q1_19_Trial-Social</v></cell><cell r="AC295"><v>21337220</v></cell><cell r="AD295"><v>720192</v></cell><cell r="AE295" t="str"><v>Facebook</v></cell><cell r="AF295"><v>3654128</v></cell><cell r="AG295" t="str"><v>Facebook»AZR»1x1»SocialBan»NA»ALL»DYN»RT»D»All»SS»NA»Free Account Retargeting Generic - T3 - FR</v></cell><cell r="AH295"><v>223691777</v></cell><cell r="AI295" t="str"><v>AzurePlatform_FreeAcctRetargetingFB-Animated-ChC_CAN_1200x628_SOC_Plat_FR_Free Account_Standard_ANI_SU_T3_1</v></cell><cell r="AJ295"><v>102900697</v></cell></row><row r="296"><cell r="C296" t="str"><v>43285Facebook»AZR»1x1»SocialBan»NA»ALL»DYN»RT»D»All»SS»NA»Free Account Retargeting VM - T1 - EN</v></cell><cell r="D296" t="str"><v>43285223691825</v></cell><cell r="E296" t="str"><v>432851029163381 - EN</v></cell><cell r="F296" t="str"><v>DCM</v></cell><cell r="G296" t="str"><v>https://azure.microsoft.com/en-ca/free/virtual-machines/search/</v></cell></row><row r="296"><cell r="K296" t="str"><v>July</v></cell><cell r="L296"><v>43288</v></cell><cell r="M296" t="str"><v>Tier 1</v></cell><cell r="N296" t="str"><v>North America</v></cell><cell r="O296" t="str"><v>Canada</v></cell><cell r="P296" t="str"><v>Trial</v></cell><cell r="Q296" t="str"><v>Social</v></cell><cell r="R296" t="str"><v>Azure</v></cell><cell r="S296" t="str"><v>Apps & Infra</v></cell><cell r="T296" t="str"><v>Developers & ITI's</v></cell><cell r="U296" t="str"><v>AZR</v></cell><cell r="V296" t="str"><v>Retargeting</v></cell><cell r="W296" t="str"><v>NotApplicable</v></cell><cell r="X296" t="str"><v>1x1</v></cell></row><row r="296"><cell r="AA296"><v>43285</v></cell><cell r="AB296" t="str"><v>CAN_gaPMG_AZR_AZR_Q1_19_Trial-Social</v></cell><cell r="AC296"><v>21337220</v></cell><cell r="AD296"><v>720192</v></cell><cell r="AE296" t="str"><v>Facebook</v></cell><cell r="AF296"><v>3654128</v></cell><cell r="AG296" t="str"><v>Facebook»AZR»1x1»SocialBan»NA»ALL»DYN»RT»D»All»SS»NA»Free Account Retargeting VM - T1 - EN</v></cell><cell r="AH296"><v>223691825</v></cell><cell r="AI296" t="str"><v>AzurePlatform_FreeAcctRetargetingVMFB-750Hrs-ChD_CAN_1200x628_SOC_Plat_EN_Free Account_Standard_NA_SU_T1_1</v></cell><cell r="AJ296"><v>102916338</v></cell></row><row r="297"><cell r="C297" t="str"><v>43285Facebook»AZR»1x1»SocialBan»NA»ALL»DYN»RT»D»All»SS»NA»Free Account Retargeting VM - T1 - FR</v></cell><cell r="D297" t="str"><v>43285223691783</v></cell><cell r="E297" t="str"><v>432851030587231 - FR</v></cell><cell r="F297" t="str"><v>DCM</v></cell><cell r="G297" t="str"><v>https://azure.microsoft.com/fr-ca/free/virtual-machines/search/</v></cell></row><row r="297"><cell r="K297" t="str"><v>July</v></cell><cell r="L297"><v>43288</v></cell><cell r="M297" t="str"><v>Tier 1</v></cell><cell r="N297" t="str"><v>North America</v></cell><cell r="O297" t="str"><v>Canada</v></cell><cell r="P297" t="str"><v>Trial</v></cell><cell r="Q297" t="str"><v>Social</v></cell><cell r="R297" t="str"><v>Azure</v></cell><cell r="S297" t="str"><v>Apps & Infra</v></cell><cell r="T297" t="str"><v>Developers & ITI's</v></cell><cell r="U297" t="str"><v>AZR</v></cell><cell r="V297" t="str"><v>Retargeting</v></cell><cell r="W297" t="str"><v>NotApplicable</v></cell><cell r="X297" t="str"><v>1x1</v></cell></row><row r="297"><cell r="AA297"><v>43285</v></cell><cell r="AB297" t="str"><v>CAN_gaPMG_AZR_AZR_Q1_19_Trial-Social</v></cell><cell r="AC297"><v>21337220</v></cell><cell r="AD297"><v>720192</v></cell><cell r="AE297" t="str"><v>Facebook</v></cell><cell r="AF297"><v>3654128</v></cell><cell r="AG297" t="str"><v>Facebook»AZR»1x1»SocialBan»NA»ALL»DYN»RT»D»All»SS»NA»Free Account Retargeting VM - T1 - FR</v></cell><cell r="AH297"><v>223691783</v></cell><cell r="AI297" t="str"><v>AzurePlatform_FreeAcctRetargetingVMFB-750Hrs-ChD_CAN_1200x628_SOC_Plat_FR_Free Account_Standard_NA_SU_T1_1</v></cell><cell r="AJ297"><v>103058723</v></cell></row><row r="298"><cell r="C298" t="str"><v>43285Facebook»AZR»1x1»SocialBan»NA»ALL»DYN»RT»D»All»SS»NA»Free Account Retargeting VM - T2 - EN</v></cell><cell r="D298" t="str"><v>43285223691822</v></cell><cell r="E298" t="str"><v>432851030587082 - EN</v></cell><cell r="F298" t="str"><v>DCM</v></cell><cell r="G298" t="str"><v>https://azure.microsoft.com/en-ca/free/virtual-machines/search/</v></cell></row><row r="298"><cell r="K298" t="str"><v>July</v></cell><cell r="L298"><v>43288</v></cell><cell r="M298" t="str"><v>Tier 1</v></cell><cell r="N298" t="str"><v>North America</v></cell><cell r="O298" t="str"><v>Canada</v></cell><cell r="P298" t="str"><v>Trial</v></cell><cell r="Q298" t="str"><v>Social</v></cell><cell r="R298" t="str"><v>Azure</v></cell><cell r="S298" t="str"><v>Apps & Infra</v></cell><cell r="T298" t="str"><v>Developers & ITI's</v></cell><cell r="U298" t="str"><v>AZR</v></cell><cell r="V298" t="str"><v>Retargeting</v></cell><cell r="W298" t="str"><v>NotApplicable</v></cell><cell r="X298" t="str"><v>1x1</v></cell></row><row r="298"><cell r="AA298"><v>43285</v></cell><cell r="AB298" t="str"><v>CAN_gaPMG_AZR_AZR_Q1_19_Trial-Social</v></cell><cell r="AC298"><v>21337220</v></cell><cell r="AD298"><v>720192</v></cell><cell r="AE298" t="str"><v>Facebook</v></cell><cell r="AF298"><v>3654128</v></cell><cell r="AG298" t="str"><v>Facebook»AZR»1x1»SocialBan»NA»ALL»DYN»RT»D»All»SS»NA»Free Account Retargeting VM - T2 - EN</v></cell><cell r="AH298"><v>223691822</v></cell><cell r="AI298" t="str"><v>AzurePlatform_FreeAcctRetargetingVMFB-OnDemand-ChE_CAN_1200x628_SOC_Plat_EN_Free Account_Standard_NA_SU_T2_1</v></cell><cell r="AJ298"><v>103058708</v></cell></row><row r="299"><cell r="C299" t="str"><v>43285Facebook»AZR»1x1»SocialBan»NA»ALL»DYN»RT»D»All»SS»NA»Free Account Retargeting VM - T2 - FR</v></cell><cell r="D299" t="str"><v>43285223691780</v></cell><cell r="E299" t="str"><v>432851030587262 - FR</v></cell><cell r="F299" t="str"><v>DCM</v></cell><cell r="G299" t="str"><v>https://azure.microsoft.com/fr-ca/free/virtual-machines/search/</v></cell></row><row r="299"><cell r="K299" t="str"><v>July</v></cell><cell r="L299"><v>43288</v></cell><cell r="M299" t="str"><v>Tier 1</v></cell><cell r="N299" t="str"><v>North America</v></cell><cell r="O299" t="str"><v>Canada</v></cell><cell r="P299" t="str"><v>Trial</v></cell><cell r="Q299" t="str"><v>Social</v></cell><cell r="R299" t="str"><v>Azure</v></cell><cell r="S299" t="str"><v>Apps & Infra</v></cell><cell r="T299" t="str"><v>Developers & ITI's</v></cell><cell r="U299" t="str"><v>AZR</v></cell><cell r="V299" t="str"><v>Retargeting</v></cell><cell r="W299" t="str"><v>NotApplicable</v></cell><cell r="X299" t="str"><v>1x1</v></cell></row><row r="299"><cell r="AA299"><v>43285</v></cell><cell r="AB299" t="str"><v>CAN_gaPMG_AZR_AZR_Q1_19_Trial-Social</v></cell><cell r="AC299"><v>21337220</v></cell><cell r="AD299"><v>720192</v></cell><cell r="AE299" t="str"><v>Facebook</v></cell><cell r="AF299"><v>3654128</v></cell><cell r="AG299" t="str"><v>Facebook»AZR»1x1»SocialBan»NA»ALL»DYN»RT»D»All»SS»NA»Free Account Retargeting VM - T2 - FR</v></cell><cell r="AH299"><v>223691780</v></cell><cell r="AI299" t="str"><v>AzurePlatform_FreeAcctRetargetingVMFB-OnDemand-ChE_CAN_1200x628_SOC_Plat_FR_Free Account_Standard_NA_SU_T2_1</v></cell><cell r="AJ299"><v>103058726</v></cell></row><row r="300"><cell r="C300" t="str"><v>43285Facebook»DEV-ITP-AZR-FB|CanvasAds|Interesttargeting»1x1»TextLink»CAN»DT»CPM»AUT»W»NA»SS»NA»39684020-11000</v></cell><cell r="D300" t="str"><v>43285224009494</v></cell><cell r="E300" t="str"><v>43285103236186-11000</v></cell><cell r="F300" t="str"><v>DCM</v></cell><cell r="G300" t="str"><v>https://signup.azure.com/signup?offer=ms-azr-0044p&appId=102&ref=paidmedia-social-fb&redirectURL=https%3a%2f%2fazure.microsoft.com%2fde-de%2fget-started%2fwelcome-to-azure%2f&l=de-de&correlationId=ead86c34-1f10-49dd-a72b-6918462a2cbf</v></cell></row><row r="300"><cell r="K300" t="str"><v>July</v></cell><cell r="L300"><v>43288</v></cell><cell r="M300" t="str"><v>Tier 1</v></cell><cell r="N300" t="str"><v>EMEA</v></cell><cell r="O300" t="str"><v>Germany</v></cell><cell r="P300" t="str"><v>Trial</v></cell><cell r="Q300" t="str"><v>Social</v></cell><cell r="R300" t="str"><v>Azure</v></cell><cell r="S300" t="str"><v>Apps & Infra</v></cell><cell r="T300" t="str"><v>Developers & ITI's</v></cell><cell r="U300" t="str"><v>DEV-ITP-AZR-FB|CanvasAds|Interesttargeting</v></cell><cell r="V300" t="str"><v>Audience Targeting</v></cell><cell r="W300" t="str"><v>Canvas Ad</v></cell><cell r="X300" t="str"><v>1x1</v></cell></row><row r="300"><cell r="AA300"><v>43285</v></cell><cell r="AB300" t="str"><v>DEU_gaPMG_AZR_AZR_Q1_19_Trial-Social- 39684</v></cell><cell r="AC300"><v>21359477</v></cell><cell r="AD300"><v>720194</v></cell><cell r="AE300" t="str"><v>Facebook</v></cell><cell r="AF300"><v>3654128</v></cell><cell r="AG300" t="str"><v>Facebook»DEV-ITP-AZR-FB|CanvasAds|Interesttargeting»1x1»TextLink»CAN»DT»CPM»AUT»W»NA»SS»NA»39684020-11000</v></cell><cell r="AH300"><v>224009494</v></cell><cell r="AI300" t="str"><v>AzurePlatform_FBCTCBasicMotion-StartFreeCT_DEU_10s_ISV_PLAT_DE_Trial_Standard_STAN_TN_T1_1</v></cell><cell r="AJ300"><v>103236186</v></cell></row><row r="301"><cell r="C301" t="str"><v>43285Facebook»DEV-ITP-AZR-FB|CanvasAds|Interesttargeting»1x1»TextLink»CAN»DT»CPM»AUT»W»NA»SS»NA»39684020-11000</v></cell><cell r="D301" t="str"><v>43285224009494</v></cell><cell r="E301" t="str"><v>43285103237290-11000</v></cell><cell r="F301" t="str"><v>DCM</v></cell><cell r="G301" t="str"><v>https://signup.azure.com/signup?offer=ms-azr-0044p&appId=102&ref=paidmedia-social-fb&redirectURL=https%3a%2f%2fazure.microsoft.com%2fde-de%2fget-started%2fwelcome-to-azure%2f&l=de-de&correlationId=ead86c34-1f10-49dd-a72b-6918462a2cbf</v></cell></row><row r="301"><cell r="K301" t="str"><v>July</v></cell><cell r="L301"><v>43288</v></cell><cell r="M301" t="str"><v>Tier 1</v></cell><cell r="N301" t="str"><v>EMEA</v></cell><cell r="O301" t="str"><v>Germany</v></cell><cell r="P301" t="str"><v>Trial</v></cell><cell r="Q301" t="str"><v>Social</v></cell><cell r="R301" t="str"><v>Azure</v></cell><cell r="S301" t="str"><v>Apps & Infra</v></cell><cell r="T301" t="str"><v>Developers & ITI's</v></cell><cell r="U301" t="str"><v>DEV-ITP-AZR-FB|CanvasAds|Interesttargeting</v></cell><cell r="V301" t="str"><v>Audience Targeting</v></cell><cell r="W301" t="str"><v>Canvas Ad</v></cell><cell r="X301" t="str"><v>1x1</v></cell></row><row r="301"><cell r="AA301"><v>43285</v></cell><cell r="AB301" t="str"><v>DEU_gaPMG_AZR_AZR_Q1_19_Trial-Social- 39684</v></cell><cell r="AC301"><v>21359477</v></cell><cell r="AD301"><v>720194</v></cell><cell r="AE301" t="str"><v>Facebook</v></cell><cell r="AF301"><v>3654128</v></cell><cell r="AG301" t="str"><v>Facebook»DEV-ITP-AZR-FB|CanvasAds|Interesttargeting»1x1»TextLink»CAN»DT»CPM»AUT»W»NA»SS»NA»39684020-11000</v></cell><cell r="AH301"><v>224009494</v></cell><cell r="AI301" t="str"><v>AzurePlatform_FBCTCBenefit2inMotion-StartFreeCT_DEU_14s_ISV_PLAT_DE_Trial_Standard_STAN_TN_T4_1</v></cell><cell r="AJ301"><v>103237290</v></cell></row><row r="302"><cell r="C302" t="str"><v>43285Facebook»DEV-ITP-AZR-FB|CanvasAds|Interesttargeting»1x1»TextLink»CAN»DT»CPM»AUT»W»NA»SS»NA»39684020-11000</v></cell><cell r="D302" t="str"><v>43285224009494</v></cell><cell r="E302" t="str"><v>43285103350059-11000</v></cell><cell r="F302" t="str"><v>DCM</v></cell><cell r="G302" t="str"><v>https://azure.microsoft.com/de-de/pricing/purchase-options/</v></cell></row><row r="302"><cell r="K302" t="str"><v>July</v></cell><cell r="L302"><v>43288</v></cell><cell r="M302" t="str"><v>Tier 1</v></cell><cell r="N302" t="str"><v>EMEA</v></cell><cell r="O302" t="str"><v>Germany</v></cell><cell r="P302" t="str"><v>Trial</v></cell><cell r="Q302" t="str"><v>Social</v></cell><cell r="R302" t="str"><v>Azure</v></cell><cell r="S302" t="str"><v>Apps & Infra</v></cell><cell r="T302" t="str"><v>Developers & ITI's</v></cell><cell r="U302" t="str"><v>DEV-ITP-AZR-FB|CanvasAds|Interesttargeting</v></cell><cell r="V302" t="str"><v>Audience Targeting</v></cell><cell r="W302" t="str"><v>Canvas Ad</v></cell><cell r="X302" t="str"><v>1x1</v></cell></row><row r="302"><cell r="AA302"><v>43285</v></cell><cell r="AB302" t="str"><v>DEU_gaPMG_AZR_AZR_Q1_19_Trial-Social- 39684</v></cell><cell r="AC302"><v>21359477</v></cell><cell r="AD302"><v>720194</v></cell><cell r="AE302" t="str"><v>Facebook</v></cell><cell r="AF302"><v>3654128</v></cell><cell r="AG302" t="str"><v>Facebook»DEV-ITP-AZR-FB|CanvasAds|Interesttargeting»1x1»TextLink»CAN»DT»CPM»AUT»W»NA»SS»NA»39684020-11000</v></cell><cell r="AH302"><v>224009494</v></cell><cell r="AI302" t="str"><v>AzurePlatform_FBCTCBrandinMotion-BuyNow_DEU_12s_ISV_PLAT_DE_Trial_Standard_STAN_TN_T2_1</v></cell><cell r="AJ302"><v>103350059</v></cell></row><row r="303"><cell r="C303" t="str"><v>43285Facebook»DEV-ITP-AZR-FB|CanvasAds|Interesttargeting»1x1»TextLink»CAN»DT»CPM»AUT»W»NA»SS»NA»39684020-11000</v></cell><cell r="D303" t="str"><v>43285224009494</v></cell><cell r="E303" t="str"><v>43285103237293-11000</v></cell><cell r="F303" t="str"><v>DCM</v></cell><cell r="G303" t="str"><v>https://signup.azure.com/signup?offer=ms-azr-0044p&appId=102&ref=paidmedia-social-fb&redirectURL=https%3a%2f%2fazure.microsoft.com%2fde-de%2fget-started%2fwelcome-to-azure%2f&l=de-de&correlationId=ead86c34-1f10-49dd-a72b-6918462a2cbf</v></cell></row><row r="303"><cell r="K303" t="str"><v>July</v></cell><cell r="L303"><v>43288</v></cell><cell r="M303" t="str"><v>Tier 1</v></cell><cell r="N303" t="str"><v>EMEA</v></cell><cell r="O303" t="str"><v>Germany</v></cell><cell r="P303" t="str"><v>Trial</v></cell><cell r="Q303" t="str"><v>Social</v></cell><cell r="R303" t="str"><v>Azure</v></cell><cell r="S303" t="str"><v>Apps & Infra</v></cell><cell r="T303" t="str"><v>Developers & ITI's</v></cell><cell r="U303" t="str"><v>DEV-ITP-AZR-FB|CanvasAds|Interesttargeting</v></cell><cell r="V303" t="str"><v>Audience Targeting</v></cell><cell r="W303" t="str"><v>Canvas Ad</v></cell><cell r="X303" t="str"><v>1x1</v></cell></row><row r="303"><cell r="AA303"><v>43285</v></cell><cell r="AB303" t="str"><v>DEU_gaPMG_AZR_AZR_Q1_19_Trial-Social- 39684</v></cell><cell r="AC303"><v>21359477</v></cell><cell r="AD303"><v>720194</v></cell><cell r="AE303" t="str"><v>Facebook</v></cell><cell r="AF303"><v>3654128</v></cell><cell r="AG303" t="str"><v>Facebook»DEV-ITP-AZR-FB|CanvasAds|Interesttargeting»1x1»TextLink»CAN»DT»CPM»AUT»W»NA»SS»NA»39684020-11000</v></cell><cell r="AH303"><v>224009494</v></cell><cell r="AI303" t="str"><v>AzurePlatform_FBCTCBrandinMotion-StartFreeCT_DEU_12s_ISV_PLAT_DE_Trial_Standard_STAN_TN_T2_1</v></cell><cell r="AJ303"><v>103237293</v></cell></row><row r="304"><cell r="C304" t="str"><v>43285Facebook»DEV-ITP-AZR-FB|LinkAd|CustomerAudienceRetargeting»1x1»TextLink»LIA»DT»CPM»RT»W»NA»SS»NA»39684019-11000</v></cell><cell r="D304" t="str"><v>43285224010415</v></cell><cell r="E304" t="str"><v>43285103043341-11000</v></cell><cell r="F304" t="str"><v>DCM</v></cell><cell r="G304" t="str"><v>https://azure.microsoft.com/de-de/free/virtual-machines/search/</v></cell></row><row r="304"><cell r="K304" t="str"><v>July</v></cell><cell r="L304"><v>43288</v></cell><cell r="M304" t="str"><v>Tier 1</v></cell><cell r="N304" t="str"><v>EMEA</v></cell><cell r="O304" t="str"><v>Germany</v></cell><cell r="P304" t="str"><v>Trial</v></cell><cell r="Q304" t="str"><v>Social</v></cell><cell r="R304" t="str"><v>Azure</v></cell><cell r="S304" t="str"><v>Apps & Infra</v></cell><cell r="T304" t="str"><v>Developers & ITI's</v></cell><cell r="U304" t="str"><v>DEV-ITP-AZR-FB|LinkAd|CustomerAudienceRetargeting</v></cell><cell r="V304" t="str"><v>Retargeting</v></cell><cell r="W304" t="str"><v>Link Ad</v></cell><cell r="X304" t="str"><v>1x1</v></cell></row><row r="304"><cell r="AA304"><v>43285</v></cell><cell r="AB304" t="str"><v>DEU_gaPMG_AZR_AZR_Q1_19_Trial-Social- 39684</v></cell><cell r="AC304"><v>21359477</v></cell><cell r="AD304"><v>720194</v></cell><cell r="AE304" t="str"><v>Facebook</v></cell><cell r="AF304"><v>3654128</v></cell><cell r="AG304" t="str"><v>Facebook»DEV-ITP-AZR-FB|LinkAd|CustomerAudienceRetargeting»1x1»TextLink»LIA»DT»CPM»RT»W»NA»SS»NA»39684019-11000</v></cell><cell r="AH304"><v>224010415</v></cell><cell r="AI304" t="str"><v>AzurePlatform_FreeAcctRetargetingVMFB-750Hrs-ChD_DEU_1200x628_SOC_Plat_DE_Free Account_Standard_NA_SNU_T1_1</v></cell><cell r="AJ304"><v>103043341</v></cell></row><row r="305"><cell r="C305" t="str"><v>43285Facebook»Developers/ITPros-Azure Direct-Sponsored Post-Canvas-FBCTCcanvaspage-BuyNowCTA-Img3_FBCTCBasicMotion_FRA_10sec»1x1»Canvas»SOC»ALL»CPC»BT»D»UNK»SS»NA»Trials</v></cell><cell r="D305" t="str"><v>43285224369893</v></cell><cell r="E305" t="str"><v>43285103256571Trials</v></cell><cell r="F305" t="str"><v>DCM</v></cell><cell r="G305" t="str"><v>https://azure.microsoft.com/fr-fr/pricing/purchase-options/</v></cell></row><row r="305"><cell r="K305" t="str"><v>July</v></cell><cell r="L305"><v>43288</v></cell><cell r="M305" t="str"><v>Tier 1</v></cell><cell r="N305" t="str"><v>EMEA</v></cell><cell r="O305" t="str"><v>France</v></cell><cell r="P305" t="str"><v>Trial</v></cell><cell r="Q305" t="str"><v>Social</v></cell><cell r="R305" t="str"><v>Azure</v></cell><cell r="S305" t="str"><v>Apps & Infra</v></cell><cell r="T305" t="str"><v>Developers & ITI's</v></cell><cell r="U305" t="str"><v>Developers/ITPros-Azure Direct-Sponsored Post-Canvas-FBCTCcanvaspage-BuyNowCTA-Img3_FBCTCBasicMotion_FRA_10sec</v></cell><cell r="V305" t="str"><v>Behavioral Targeting</v></cell><cell r="W305" t="str"><v>Social</v></cell><cell r="X305" t="str"><v>1x1</v></cell></row><row r="305"><cell r="AA305"><v>43285</v></cell><cell r="AB305" t="str"><v>FRA_gaPMG_AZR_AZR_Q1_19_AzureDirect-Trial-Social</v></cell><cell r="AC305"><v>21356941</v></cell><cell r="AD305"><v>720193</v></cell><cell r="AE305" t="str"><v>Facebook</v></cell><cell r="AF305"><v>3654128</v></cell><cell r="AG305" t="str"><v>Facebook»Developers/ITPros-Azure Direct-Sponsored Post-Canvas-FBCTCcanvaspage-BuyNowCTA-Img3_FBCTCBasicMotion_FRA_10sec»1x1»Canvas»SOC»ALL»CPC»BT»D»UNK»SS»NA»Trials</v></cell><cell r="AH305"><v>224369893</v></cell><cell r="AI305" t="str"><v>AZR_FBCTCcanvaspage-BuyNowCTA-Img3_FRA_1080x162_SOC_AZRDirect_French_NA_Facebook_SBAN_BN_T3_1</v></cell><cell r="AJ305"><v>103256571</v></cell></row><row r="306"><cell r="C306" t="str"><v>43285Facebook»Developers/ITPros-Azure Direct-Sponsored Post-Canvas-FBCTCcanvaspage-StartFreeCTA-Img2_FBCTCBasicMotion_FRA_10sec»1x1»Canvas»SOC»ALL»CPC»BT»D»UNK»SS»NA»Trials</v></cell><cell r="D306" t="str"><v>43285224560884</v></cell><cell r="E306" t="str"><v>43285103259958Trials</v></cell><cell r="F306" t="str"><v>DCM</v></cell><cell r="G306" t="str"><v>https://signup.azure.com/signup?offer=ms-azr-0044p&appId=102&ref=paidmedia-social-fb&redirectURL=https%3a%2f%2fazure.microsoft.com%2ffr-fr%2fget-started%2fwelcome-to-azure%2f&l=fr-fr&correlationId=ead86c34-1f10-49dd-a72b-6918462a2cbf</v></cell></row><row r="306"><cell r="K306" t="str"><v>July</v></cell><cell r="L306"><v>43288</v></cell><cell r="M306" t="str"><v>Tier 1</v></cell><cell r="N306" t="str"><v>EMEA</v></cell><cell r="O306" t="str"><v>France</v></cell><cell r="P306" t="str"><v>Trial</v></cell><cell r="Q306" t="str"><v>Social</v></cell><cell r="R306" t="str"><v>Azure</v></cell><cell r="S306" t="str"><v>Apps & Infra</v></cell><cell r="T306" t="str"><v>Developers & ITI's</v></cell><cell r="U306" t="str"><v>Developers/ITPros-Azure Direct-Sponsored Post-Canvas-FBCTCcanvaspage-StartFreeCTA-Img2_FBCTCBasicMotion_FRA_10sec</v></cell><cell r="V306" t="str"><v>Behavioral Targeting</v></cell><cell r="W306" t="str"><v>Social</v></cell><cell r="X306" t="str"><v>1x1</v></cell></row><row r="306"><cell r="AA306"><v>43285</v></cell><cell r="AB306" t="str"><v>FRA_gaPMG_AZR_AZR_Q1_19_AzureDirect-Trial-Social</v></cell><cell r="AC306"><v>21356941</v></cell><cell r="AD306"><v>720193</v></cell><cell r="AE306" t="str"><v>Facebook</v></cell><cell r="AF306"><v>3654128</v></cell><cell r="AG306" t="str"><v>Facebook»Developers/ITPros-Azure Direct-Sponsored Post-Canvas-FBCTCcanvaspage-StartFreeCTA-Img2_FBCTCBasicMotion_FRA_10sec»1x1»Canvas»SOC»ALL»CPC»BT»D»UNK»SS»NA»Trials</v></cell><cell r="AH306"><v>224560884</v></cell><cell r="AI306" t="str"><v>AZR_FBCTCcanvaspage-StartFreeCTA-Img2_FRA_1080x143_SOC_AZRDirect_French_NA_Facebook_SBAN_BN_T2_1</v></cell><cell r="AJ306"><v>103259958</v></cell></row><row r="307"><cell r="C307" t="str"><v>43285Facebook»Developers/ITPros-Azure Direct-Sponsored Post-Canvas-FBCTCcanvaspage-StartFreeCTA-Img2_FBCTCBrandinMotion_FRA_12sec»1x1»Canvas»SOC»ALL»CPC»BT»D»UNK»SS»NA»Trials</v></cell><cell r="D307" t="str"><v>43285224560878</v></cell><cell r="E307" t="str"><v>43285103259958Trials</v></cell><cell r="F307" t="str"><v>DCM</v></cell><cell r="G307" t="str"><v>https://signup.azure.com/signup?offer=ms-azr-0044p&appId=102&ref=paidmedia-social-fb&redirectURL=https%3a%2f%2fazure.microsoft.com%2ffr-fr%2fget-started%2fwelcome-to-azure%2f&l=fr-fr&correlationId=ead86c34-1f10-49dd-a72b-6918462a2cbf</v></cell></row><row r="307"><cell r="K307" t="str"><v>July</v></cell><cell r="L307"><v>43288</v></cell><cell r="M307" t="str"><v>Tier 1</v></cell><cell r="N307" t="str"><v>EMEA</v></cell><cell r="O307" t="str"><v>France</v></cell><cell r="P307" t="str"><v>Trial</v></cell><cell r="Q307" t="str"><v>Social</v></cell><cell r="R307" t="str"><v>Azure</v></cell><cell r="S307" t="str"><v>Apps & Infra</v></cell><cell r="T307" t="str"><v>Developers & ITI's</v></cell><cell r="U307" t="str"><v>Developers/ITPros-Azure Direct-Sponsored Post-Canvas-FBCTCcanvaspage-StartFreeCTA-Img2_FBCTCBrandinMotion_FRA_12sec</v></cell><cell r="V307" t="str"><v>Behavioral Targeting</v></cell><cell r="W307" t="str"><v>Social</v></cell><cell r="X307" t="str"><v>1x1</v></cell></row><row r="307"><cell r="AA307"><v>43285</v></cell><cell r="AB307" t="str"><v>FRA_gaPMG_AZR_AZR_Q1_19_AzureDirect-Trial-Social</v></cell><cell r="AC307"><v>21356941</v></cell><cell r="AD307"><v>720193</v></cell><cell r="AE307" t="str"><v>Facebook</v></cell><cell r="AF307"><v>3654128</v></cell><cell r="AG307" t="str"><v>Facebook»Developers/ITPros-Azure Direct-Sponsored Post-Canvas-FBCTCcanvaspage-StartFreeCTA-Img2_FBCTCBrandinMotion_FRA_12sec»1x1»Canvas»SOC»ALL»CPC»BT»D»UNK»SS»NA»Trials</v></cell><cell r="AH307"><v>224560878</v></cell><cell r="AI307" t="str"><v>AZR_FBCTCcanvaspage-StartFreeCTA-Img2_FRA_1080x143_SOC_AZRDirect_French_NA_Facebook_SBAN_BN_T2_1</v></cell><cell r="AJ307"><v>103259958</v></cell></row><row r="308"><cell r="C308" t="str"><v>43285Facebook»Developers/ITPros-Azure Direct-Sponsored Post-Canvas-FBCTCcanvaspage-StartFreeCTA-Img2_FBCTCBrandinMotion_FRA_14sec»1x1»Canvas»SOC»ALL»CPC»BT»D»UNK»SS»NA»Trials</v></cell><cell r="D308" t="str"><v>43285224560872</v></cell><cell r="E308" t="str"><v>43285103259958Trials</v></cell><cell r="F308" t="str"><v>DCM</v></cell><cell r="G308" t="str"><v>https://signup.azure.com/signup?offer=ms-azr-0044p&appId=102&ref=paidmedia-social-fb&redirectURL=https%3a%2f%2fazure.microsoft.com%2ffr-fr%2fget-started%2fwelcome-to-azure%2f&l=fr-fr&correlationId=ead86c34-1f10-49dd-a72b-6918462a2cbf</v></cell></row><row r="308"><cell r="K308" t="str"><v>July</v></cell><cell r="L308"><v>43288</v></cell><cell r="M308" t="str"><v>Tier 1</v></cell><cell r="N308" t="str"><v>EMEA</v></cell><cell r="O308" t="str"><v>France</v></cell><cell r="P308" t="str"><v>Trial</v></cell><cell r="Q308" t="str"><v>Social</v></cell><cell r="R308" t="str"><v>Azure</v></cell><cell r="S308" t="str"><v>Apps & Infra</v></cell><cell r="T308" t="str"><v>Developers & ITI's</v></cell><cell r="U308" t="str"><v>Developers/ITPros-Azure Direct-Sponsored Post-Canvas-FBCTCcanvaspage-StartFreeCTA-Img2_FBCTCBrandinMotion_FRA_14sec</v></cell><cell r="V308" t="str"><v>Behavioral Targeting</v></cell><cell r="W308" t="str"><v>Social</v></cell><cell r="X308" t="str"><v>1x1</v></cell></row><row r="308"><cell r="AA308"><v>43285</v></cell><cell r="AB308" t="str"><v>FRA_gaPMG_AZR_AZR_Q1_19_AzureDirect-Trial-Social</v></cell><cell r="AC308"><v>21356941</v></cell><cell r="AD308"><v>720193</v></cell><cell r="AE308" t="str"><v>Facebook</v></cell><cell r="AF308"><v>3654128</v></cell><cell r="AG308" t="str"><v>Facebook»Developers/ITPros-Azure Direct-Sponsored Post-Canvas-FBCTCcanvaspage-StartFreeCTA-Img2_FBCTCBrandinMotion_FRA_14sec»1x1»Canvas»SOC»ALL»CPC»BT»D»UNK»SS»NA»Trials</v></cell><cell r="AH308"><v>224560872</v></cell><cell r="AI308" t="str"><v>AZR_FBCTCcanvaspage-StartFreeCTA-Img2_FRA_1080x143_SOC_AZRDirect_French_NA_Facebook_SBAN_BN_T2_1</v></cell><cell r="AJ308"><v>103259958</v></cell></row><row r="309"><cell r="C309" t="str"><v>43285Facebook»Developers/ITPros-Azure Direct-Sponsored Post-Link Ad-FreeAcctRetargetingFB-GlobalAlt-ChB»1x1»SocialBan»SOC»ALL»CPC»BT»D»UNK»SS»NA»Trials</v></cell><cell r="D309" t="str"><v>43285224560845</v></cell><cell r="E309" t="str"><v>43285103259520Trials</v></cell><cell r="F309" t="str"><v>DCM</v></cell><cell r="G309" t="str"><v>https://azure.microsoft.com/fr-fr/free/search/</v></cell></row><row r="309"><cell r="K309" t="str"><v>July</v></cell><cell r="L309"><v>43288</v></cell><cell r="M309" t="str"><v>Tier 1</v></cell><cell r="N309" t="str"><v>EMEA</v></cell><cell r="O309" t="str"><v>France</v></cell><cell r="P309" t="str"><v>Trial</v></cell><cell r="Q309" t="str"><v>Social</v></cell><cell r="R309" t="str"><v>Azure</v></cell><cell r="S309" t="str"><v>Apps & Infra</v></cell><cell r="T309" t="str"><v>Developers & ITI's</v></cell><cell r="U309" t="str"><v>Developers/ITPros-Azure Direct-Sponsored Post-Link Ad-FreeAcctRetargetingFB-GlobalAlt-ChB</v></cell><cell r="V309" t="str"><v>Behavioral Targeting</v></cell><cell r="W309" t="str"><v>Social</v></cell><cell r="X309" t="str"><v>1x1</v></cell></row><row r="309"><cell r="AA309"><v>43285</v></cell><cell r="AB309" t="str"><v>FRA_gaPMG_AZR_AZR_Q1_19_AzureDirect-Trial-Social</v></cell><cell r="AC309"><v>21356941</v></cell><cell r="AD309"><v>720193</v></cell><cell r="AE309" t="str"><v>Facebook</v></cell><cell r="AF309"><v>3654128</v></cell><cell r="AG309" t="str"><v>Facebook»Developers/ITPros-Azure Direct-Sponsored Post-Link Ad-FreeAcctRetargetingFB-GlobalAlt-ChB»1x1»SocialBan»SOC»ALL»CPC»BT»D»UNK»SS»NA»Trials</v></cell><cell r="AH309"><v>224560845</v></cell><cell r="AI309" t="str"><v>AZR_FreeAcctRetargetingFB-GlobalAlt-ChB_FRA_1200x628_SOC_AZRDirect_French_NA_Facebook_SBAN_SINU_T2_1</v></cell><cell r="AJ309"><v>103259520</v></cell></row><row r="310"><cell r="C310" t="str"><v>43285Facebook»Developers/ITPros-Azure Direct-Sponsored Post-Link Ad-FreeAcctRetargetingOSSFB-Text-ChF»1x1»SocialBan»SOC»ALL»CPC»BT»D»UNK»SS»NA»Trials</v></cell><cell r="D310" t="str"><v>43285224560839</v></cell><cell r="E310" t="str"><v>43285103257810Trials</v></cell><cell r="F310" t="str"><v>DCM</v></cell><cell r="G310" t="str"><v>https://azure.microsoft.com/fr-fr/free/open-source/search/</v></cell></row><row r="310"><cell r="K310" t="str"><v>July</v></cell><cell r="L310"><v>43288</v></cell><cell r="M310" t="str"><v>Tier 1</v></cell><cell r="N310" t="str"><v>EMEA</v></cell><cell r="O310" t="str"><v>France</v></cell><cell r="P310" t="str"><v>Trial</v></cell><cell r="Q310" t="str"><v>Social</v></cell><cell r="R310" t="str"><v>Azure</v></cell><cell r="S310" t="str"><v>Apps & Infra</v></cell><cell r="T310" t="str"><v>Developers & ITI's</v></cell><cell r="U310" t="str"><v>Developers/ITPros-Azure Direct-Sponsored Post-Link Ad-FreeAcctRetargetingOSSFB-Text-ChF</v></cell><cell r="V310" t="str"><v>Behavioral Targeting</v></cell><cell r="W310" t="str"><v>Social</v></cell><cell r="X310" t="str"><v>1x1</v></cell></row><row r="310"><cell r="AA310"><v>43285</v></cell><cell r="AB310" t="str"><v>FRA_gaPMG_AZR_AZR_Q1_19_AzureDirect-Trial-Social</v></cell><cell r="AC310"><v>21356941</v></cell><cell r="AD310"><v>720193</v></cell><cell r="AE310" t="str"><v>Facebook</v></cell><cell r="AF310"><v>3654128</v></cell><cell r="AG310" t="str"><v>Facebook»Developers/ITPros-Azure Direct-Sponsored Post-Link Ad-FreeAcctRetargetingOSSFB-Text-ChF»1x1»SocialBan»SOC»ALL»CPC»BT»D»UNK»SS»NA»Trials</v></cell><cell r="AH310"><v>224560839</v></cell><cell r="AI310" t="str"><v>AZR_FreeAcctRetargetingOSSFB-Text-ChF_FRA_1200x628_SOC_AZRDirect_French_NA_Facebook_SBAN_SINU_T1_1</v></cell><cell r="AJ310"><v>103257810</v></cell></row><row r="311"><cell r="C311" t="str"><v>43285Facebook»Developers/ITPros-Azure Direct-Sponsored Post-Link Ad-FreeAcctRetargetingVMFB-750Hrs-ChD»1x1»SocialBan»SOC»ALL»CPC»BT»D»UNK»SS»NA»Trials</v></cell><cell r="D311" t="str"><v>43285224560836</v></cell><cell r="E311" t="str"><v>43285103259010Trials</v></cell><cell r="F311" t="str"><v>DCM</v></cell><cell r="G311" t="str"><v>https://azure.microsoft.com/fr-fr/free/virtual-machines/search/</v></cell></row><row r="311"><cell r="K311" t="str"><v>July</v></cell><cell r="L311"><v>43288</v></cell><cell r="M311" t="str"><v>Tier 1</v></cell><cell r="N311" t="str"><v>EMEA</v></cell><cell r="O311" t="str"><v>France</v></cell><cell r="P311" t="str"><v>Trial</v></cell><cell r="Q311" t="str"><v>Social</v></cell><cell r="R311" t="str"><v>Azure</v></cell><cell r="S311" t="str"><v>Apps & Infra</v></cell><cell r="T311" t="str"><v>Developers & ITI's</v></cell><cell r="U311" t="str"><v>Developers/ITPros-Azure Direct-Sponsored Post-Link Ad-FreeAcctRetargetingVMFB-750Hrs-ChD</v></cell><cell r="V311" t="str"><v>Behavioral Targeting</v></cell><cell r="W311" t="str"><v>Social</v></cell><cell r="X311" t="str"><v>1x1</v></cell></row><row r="311"><cell r="AA311"><v>43285</v></cell><cell r="AB311" t="str"><v>FRA_gaPMG_AZR_AZR_Q1_19_AzureDirect-Trial-Social</v></cell><cell r="AC311"><v>21356941</v></cell><cell r="AD311"><v>720193</v></cell><cell r="AE311" t="str"><v>Facebook</v></cell><cell r="AF311"><v>3654128</v></cell><cell r="AG311" t="str"><v>Facebook»Developers/ITPros-Azure Direct-Sponsored Post-Link Ad-FreeAcctRetargetingVMFB-750Hrs-ChD»1x1»SocialBan»SOC»ALL»CPC»BT»D»UNK»SS»NA»Trials</v></cell><cell r="AH311"><v>224560836</v></cell><cell r="AI311" t="str"><v>AZR_FreeAcctRetargetingVMFB-750Hrs-ChD_FRA_1200x628_SOC_AZRDirect_French_NA_Facebook_SBAN_SINU_T1_1</v></cell><cell r="AJ311"><v>103259010</v></cell></row><row r="312"><cell r="C312" t="str"><v>43285Facebook»Developers/ITPros-Azure Direct-Sponsored Post-Video Ad-FBCTCBasicMotion_FRA_10s_RTG Landing Page»1x1»05s»SOC»ALL»CPC»BT»D»UNK»SS»NA»Trials</v></cell><cell r="D312" t="str"><v>43285224416915</v></cell><cell r="E312" t="str"><v>43285103376981Trials</v></cell><cell r="F312" t="str"><v>DCM</v></cell></row><row r="312"><cell r="K312" t="str"><v>July</v></cell><cell r="L312"><v>43288</v></cell><cell r="M312" t="str"><v>Tier 1</v></cell><cell r="N312" t="str"><v>EMEA</v></cell><cell r="O312" t="str"><v>France</v></cell><cell r="P312" t="str"><v>Trial</v></cell><cell r="Q312" t="str"><v>Social</v></cell><cell r="R312" t="str"><v>Azure</v></cell><cell r="S312" t="str"><v>Apps & Infra</v></cell><cell r="T312" t="str"><v>Developers & ITI's</v></cell><cell r="U312" t="str"><v>Developers/ITPros-Azure Direct-Sponsored Post-Video Ad-FBCTCBasicMotion_FRA_10s_RTG Landing Page</v></cell><cell r="V312" t="str"><v>Behavioral Targeting</v></cell><cell r="W312" t="str"><v>Social</v></cell><cell r="X312" t="str"><v>1x1</v></cell></row><row r="312"><cell r="AA312"><v>43285</v></cell><cell r="AB312" t="str"><v>FRA_gaPMG_AZR_AZR_Q1_19_AzureDirect-Trial-Social</v></cell><cell r="AC312"><v>21356941</v></cell><cell r="AD312"><v>720193</v></cell><cell r="AE312" t="str"><v>Facebook</v></cell><cell r="AF312"><v>3654128</v></cell><cell r="AG312" t="str"><v>Facebook»Developers/ITPros-Azure Direct-Sponsored Post-Video Ad-FBCTCBasicMotion_FRA_10s_RTG Landing Page»1x1»05s»SOC»ALL»CPC»BT»D»UNK»SS»NA»Trials</v></cell><cell r="AH312"><v>224416915</v></cell><cell r="AI312" t="str"><v>AZR_FBCTCBasicMotion_FRA_10s_VIA_AZRDirect_French_NA_Facebook_STAN_TIN_T1_1</v></cell><cell r="AJ312"><v>103376981</v></cell></row><row r="313"><cell r="C313" t="str"><v>43285Facebook»Developers/ITPros-Azure Direct-Sponsored Post-Video Ad-FBCTCBenefit2inMotion_FRA_14s_RTG Landing Page»1x1»06s»SOC»ALL»CPC»BT»D»UNK»SS»NA»Trials</v></cell><cell r="D313" t="str"><v>43285224560875</v></cell><cell r="E313" t="str"><v>43285103259766Trials</v></cell><cell r="F313" t="str"><v>DCM</v></cell><cell r="G313" t="str"><v>https://signup.azure.com/signup?offer=ms-azr-0044p&appId=102&ref=paidmedia-social-fb&redirectURL=https:%2F%2Fazure.microsoft.com%2Ffr-fr%2Fget-started%2Fwelcome-to-azure%2F&l=fr-fr&correlationId=ead86c34-1f10-49dd-a72b-6918462a2cbf</v></cell></row><row r="313"><cell r="K313" t="str"><v>July</v></cell><cell r="L313"><v>43288</v></cell><cell r="M313" t="str"><v>Tier 1</v></cell><cell r="N313" t="str"><v>EMEA</v></cell><cell r="O313" t="str"><v>France</v></cell><cell r="P313" t="str"><v>Trial</v></cell><cell r="Q313" t="str"><v>Social</v></cell><cell r="R313" t="str"><v>Azure</v></cell><cell r="S313" t="str"><v>Apps & Infra</v></cell><cell r="T313" t="str"><v>Developers & ITI's</v></cell><cell r="U313" t="str"><v>Developers/ITPros-Azure Direct-Sponsored Post-Video Ad-FBCTCBenefit2inMotion_FRA_14s_RTG Landing Page</v></cell><cell r="V313" t="str"><v>Behavioral Targeting</v></cell><cell r="W313" t="str"><v>Social</v></cell><cell r="X313" t="str"><v>1x1</v></cell></row><row r="313"><cell r="AA313"><v>43285</v></cell><cell r="AB313" t="str"><v>FRA_gaPMG_AZR_AZR_Q1_19_AzureDirect-Trial-Social</v></cell><cell r="AC313"><v>21356941</v></cell><cell r="AD313"><v>720193</v></cell><cell r="AE313" t="str"><v>Facebook</v></cell><cell r="AF313"><v>3654128</v></cell><cell r="AG313" t="str"><v>Facebook»Developers/ITPros-Azure Direct-Sponsored Post-Video Ad-FBCTCBenefit2inMotion_FRA_14s_RTG Landing Page»1x1»06s»SOC»ALL»CPC»BT»D»UNK»SS»NA»Trials</v></cell><cell r="AH313"><v>224560875</v></cell><cell r="AI313" t="str"><v>AZR_FBCTCBenefit2inMotion_FRA_14s_VIA_AZRDirect_French_NA_Facebook_STAN_TIN_T4_1</v></cell><cell r="AJ313"><v>103259766</v></cell></row><row r="314"><cell r="C314" t="str"><v>43285Facebook»Developers/ITPros-Azure Direct-Sponsored Post-Video Ad-FBCTCBrandinMotion_FRA_12s_RTG Landing Page»1x1»05s»SOC»ALL»CPC»BT»D»UNK»SS»NA»Trials</v></cell><cell r="D314" t="str"><v>43285224560863</v></cell><cell r="E314" t="str"><v>43285103256577Trials</v></cell><cell r="F314" t="str"><v>DCM</v></cell></row><row r="314"><cell r="K314" t="str"><v>July</v></cell><cell r="L314"><v>43288</v></cell><cell r="M314" t="str"><v>Tier 1</v></cell><cell r="N314" t="str"><v>EMEA</v></cell><cell r="O314" t="str"><v>France</v></cell><cell r="P314" t="str"><v>Trial</v></cell><cell r="Q314" t="str"><v>Social</v></cell><cell r="R314" t="str"><v>Azure</v></cell><cell r="S314" t="str"><v>Apps & Infra</v></cell><cell r="T314" t="str"><v>Developers & ITI's</v></cell><cell r="U314" t="str"><v>Developers/ITPros-Azure Direct-Sponsored Post-Video Ad-FBCTCBrandinMotion_FRA_12s_RTG Landing Page</v></cell><cell r="V314" t="str"><v>Behavioral Targeting</v></cell><cell r="W314" t="str"><v>Social</v></cell><cell r="X314" t="str"><v>1x1</v></cell></row><row r="314"><cell r="AA314"><v>43285</v></cell><cell r="AB314" t="str"><v>FRA_gaPMG_AZR_AZR_Q1_19_AzureDirect-Trial-Social</v></cell><cell r="AC314"><v>21356941</v></cell><cell r="AD314"><v>720193</v></cell><cell r="AE314" t="str"><v>Facebook</v></cell><cell r="AF314"><v>3654128</v></cell><cell r="AG314" t="str"><v>Facebook»Developers/ITPros-Azure Direct-Sponsored Post-Video Ad-FBCTCBrandinMotion_FRA_12s_RTG Landing Page»1x1»05s»SOC»ALL»CPC»BT»D»UNK»SS»NA»Trials</v></cell><cell r="AH314"><v>224560863</v></cell><cell r="AI314" t="str"><v>AZR_FBCTCBrandinMotion_FRA_12s_VIA_AZRDirect_French_NA_Facebook_STAN_TIN_T2_1</v></cell><cell r="AJ314"><v>103256577</v></cell></row><row r="315"><cell r="C315" t="str"><v>43285Facebook»Developers/ITPros-Azure Direct-Sponsored Post-Link Ad-FreeAcctAppsFACEBOOK12monthsChE»1x1»SocialBan»SOC»ALL»CPC»BT»D»UNK»SS»NA»Trials</v></cell><cell r="D315" t="str"><v>43285224560866</v></cell><cell r="E315" t="str"><v>43285103259784Trials</v></cell><cell r="F315" t="str"><v>DCM</v></cell><cell r="G315" t="str"><v>https://azure.microsoft.com/fr-fr/free/search/</v></cell></row><row r="315"><cell r="K315" t="str"><v>July</v></cell><cell r="L315"><v>43288</v></cell><cell r="M315" t="str"><v>Tier 1</v></cell><cell r="N315" t="str"><v>EMEA</v></cell><cell r="O315" t="str"><v>France</v></cell><cell r="P315" t="str"><v>Trial</v></cell><cell r="Q315" t="str"><v>Social</v></cell><cell r="R315" t="str"><v>Azure</v></cell><cell r="S315" t="str"><v>Apps & Infra</v></cell><cell r="T315" t="str"><v>Developers & ITI's</v></cell><cell r="U315" t="str"><v>Developers/ITPros-Azure Direct-Sponsored Post-Link Ad-FreeAcctAppsFACEBOOK12monthsChE</v></cell><cell r="V315" t="str"><v>Behavioral Targeting</v></cell><cell r="W315" t="str"><v>Social</v></cell><cell r="X315" t="str"><v>1x1</v></cell></row><row r="315"><cell r="AA315"><v>43285</v></cell><cell r="AB315" t="str"><v>FRA_gaPMG_AZR_AZR_Q1_19_AzureDirect-Trial-Social</v></cell><cell r="AC315"><v>21356941</v></cell><cell r="AD315"><v>720193</v></cell><cell r="AE315" t="str"><v>Facebook</v></cell><cell r="AF315"><v>3654128</v></cell><cell r="AG315" t="str"><v>Facebook»Developers/ITPros-Azure Direct-Sponsored Post-Link Ad-FreeAcctAppsFACEBOOK12monthsChE»1x1»SocialBan»SOC»ALL»CPC»BT»D»UNK»SS»NA»Trials</v></cell><cell r="AH315"><v>224560866</v></cell><cell r="AI315" t="str"><v>AZR_FreeAcctAppsFACEBOOK12monthsChE_FRA_1200x628_SOC_PLAT_FR_Trial_Standard_NA_SINU_T5_1</v></cell><cell r="AJ315"><v>103259784</v></cell></row><row r="316"><cell r="C316" t="str"><v>43285Facebook»Developers/ITPros-Azure Direct-Sponsored Post-Link Ad-FreeAcctAppsFACEBOOK200CreditChD»1x1»SocialBan»SOC»ALL»CPC»BT»D»UNK»SS»NA»Trials</v></cell><cell r="D316" t="str"><v>43285224560860</v></cell><cell r="E316" t="str"><v>43285103377773Trials</v></cell><cell r="F316" t="str"><v>DCM</v></cell><cell r="G316" t="str"><v>https://azure.microsoft.com/fr-fr/free/search/</v></cell></row><row r="316"><cell r="K316" t="str"><v>July</v></cell><cell r="L316"><v>43288</v></cell><cell r="M316" t="str"><v>Tier 1</v></cell><cell r="N316" t="str"><v>EMEA</v></cell><cell r="O316" t="str"><v>France</v></cell><cell r="P316" t="str"><v>Trial</v></cell><cell r="Q316" t="str"><v>Social</v></cell><cell r="R316" t="str"><v>Azure</v></cell><cell r="S316" t="str"><v>Apps & Infra</v></cell><cell r="T316" t="str"><v>Developers & ITI's</v></cell><cell r="U316" t="str"><v>Developers/ITPros-Azure Direct-Sponsored Post-Link Ad-FreeAcctAppsFACEBOOK200CreditChD</v></cell><cell r="V316" t="str"><v>Behavioral Targeting</v></cell><cell r="W316" t="str"><v>Social</v></cell><cell r="X316" t="str"><v>1x1</v></cell></row><row r="316"><cell r="AA316"><v>43285</v></cell><cell r="AB316" t="str"><v>FRA_gaPMG_AZR_AZR_Q1_19_AzureDirect-Trial-Social</v></cell><cell r="AC316"><v>21356941</v></cell><cell r="AD316"><v>720193</v></cell><cell r="AE316" t="str"><v>Facebook</v></cell><cell r="AF316"><v>3654128</v></cell><cell r="AG316" t="str"><v>Facebook»Developers/ITPros-Azure Direct-Sponsored Post-Link Ad-FreeAcctAppsFACEBOOK200CreditChD»1x1»SocialBan»SOC»ALL»CPC»BT»D»UNK»SS»NA»Trials</v></cell><cell r="AH316"><v>224560860</v></cell><cell r="AI316" t="str"><v>AZR_FreeAcctAppsFACEBOOK200CreditChD_FRA_1200x628_SOC_PLAT_FR_Trial_Standard_NA_SINU_T4_1</v></cell><cell r="AJ316"><v>103377773</v></cell></row><row r="317"><cell r="C317" t="str"><v>43285Facebook»Developers/ITPros-Azure Direct-Sponsored Post-Link Ad-FreeAcctAppsFACEBOOKDeviceChB»1x1»SocialBan»SOC»ALL»CPC»AUT»D»UNK»SS»NA»Trials</v></cell><cell r="D317" t="str"><v>43285224560857</v></cell><cell r="E317" t="str"><v>43285103377002Trials</v></cell><cell r="F317" t="str"><v>DCM</v></cell><cell r="G317" t="str"><v>https://azure.microsoft.com/fr-fr/free/search/</v></cell></row><row r="317"><cell r="K317" t="str"><v>July</v></cell><cell r="L317"><v>43288</v></cell><cell r="M317" t="str"><v>Tier 1</v></cell><cell r="N317" t="str"><v>EMEA</v></cell><cell r="O317" t="str"><v>France</v></cell><cell r="P317" t="str"><v>Trial</v></cell><cell r="Q317" t="str"><v>Social</v></cell><cell r="R317" t="str"><v>Azure</v></cell><cell r="S317" t="str"><v>Apps & Infra</v></cell><cell r="T317" t="str"><v>Developers & ITI's</v></cell><cell r="U317" t="str"><v>Developers/ITPros-Azure Direct-Sponsored Post-Link Ad-FreeAcctAppsFACEBOOKDeviceChB</v></cell><cell r="V317" t="str"><v>Audience Targeting</v></cell><cell r="W317" t="str"><v>Social</v></cell><cell r="X317" t="str"><v>1x1</v></cell></row><row r="317"><cell r="AA317"><v>43285</v></cell><cell r="AB317" t="str"><v>FRA_gaPMG_AZR_AZR_Q1_19_AzureDirect-Trial-Social</v></cell><cell r="AC317"><v>21356941</v></cell><cell r="AD317"><v>720193</v></cell><cell r="AE317" t="str"><v>Facebook</v></cell><cell r="AF317"><v>3654128</v></cell><cell r="AG317" t="str"><v>Facebook»Developers/ITPros-Azure Direct-Sponsored Post-Link Ad-FreeAcctAppsFACEBOOKDeviceChB»1x1»SocialBan»SOC»ALL»CPC»AUT»D»UNK»SS»NA»Trials</v></cell><cell r="AH317"><v>224560857</v></cell><cell r="AI317" t="str"><v>AZR_FreeAcctAppsFACEBOOKDeviceChB_FRA_1200x628_SOC_PLAT_FR_Trial_Standard_NA_SINU_T2_1</v></cell><cell r="AJ317"><v>103377002</v></cell></row><row r="318"><cell r="C318" t="str"><v>43285Facebook»Developers/ITPros-Azure Direct-Sponsored Post-Link Ad-FreeAcctAppsFACEBOOKIllustrationChC»1x1»SocialBan»SOC»ALL»CPC»AUT»D»UNK»SS»NA»Trials</v></cell><cell r="D318" t="str"><v>43285224560854</v></cell><cell r="E318" t="str"><v>43285103259550Trials</v></cell><cell r="F318" t="str"><v>DCM</v></cell><cell r="G318" t="str"><v>https://azure.microsoft.com/fr-fr/free/search/</v></cell></row><row r="318"><cell r="K318" t="str"><v>July</v></cell><cell r="L318"><v>43288</v></cell><cell r="M318" t="str"><v>Tier 1</v></cell><cell r="N318" t="str"><v>EMEA</v></cell><cell r="O318" t="str"><v>France</v></cell><cell r="P318" t="str"><v>Trial</v></cell><cell r="Q318" t="str"><v>Social</v></cell><cell r="R318" t="str"><v>Azure</v></cell><cell r="S318" t="str"><v>Apps & Infra</v></cell><cell r="T318" t="str"><v>Developers & ITI's</v></cell><cell r="U318" t="str"><v>Developers/ITPros-Azure Direct-Sponsored Post-Link Ad-FreeAcctAppsFACEBOOKIllustrationChC</v></cell><cell r="V318" t="str"><v>Audience Targeting</v></cell><cell r="W318" t="str"><v>Social</v></cell><cell r="X318" t="str"><v>1x1</v></cell></row><row r="318"><cell r="AA318"><v>43285</v></cell><cell r="AB318" t="str"><v>FRA_gaPMG_AZR_AZR_Q1_19_AzureDirect-Trial-Social</v></cell><cell r="AC318"><v>21356941</v></cell><cell r="AD318"><v>720193</v></cell><cell r="AE318" t="str"><v>Facebook</v></cell><cell r="AF318"><v>3654128</v></cell><cell r="AG318" t="str"><v>Facebook»Developers/ITPros-Azure Direct-Sponsored Post-Link Ad-FreeAcctAppsFACEBOOKIllustrationChC»1x1»SocialBan»SOC»ALL»CPC»AUT»D»UNK»SS»NA»Trials</v></cell><cell r="AH318"><v>224560854</v></cell><cell r="AI318" t="str"><v>AZR_FreeAcctAppsFACEBOOKIllustrationChC_FRA_1200x628_SOC_PLAT_FR_Trial_Standard_NA_SINU_T3_1</v></cell><cell r="AJ318"><v>103259550</v></cell></row><row r="319"><cell r="C319" t="str"><v>43285Facebook»Developers/ITPros-Azure Direct-Sponsored Post-Link Ad-FreeAcctAppsFACEBOOKLifestyleChA»1x1»SocialBan»SOC»ALL»CPC»AUT»D»UNK»SS»NA»Trials</v></cell><cell r="D319" t="str"><v>43285224560851</v></cell><cell r="E319" t="str"><v>43285103259562Trials</v></cell><cell r="F319" t="str"><v>DCM</v></cell><cell r="G319" t="str"><v>https://azure.microsoft.com/fr-fr/free/search/</v></cell></row><row r="319"><cell r="K319" t="str"><v>July</v></cell><cell r="L319"><v>43288</v></cell><cell r="M319" t="str"><v>Tier 1</v></cell><cell r="N319" t="str"><v>EMEA</v></cell><cell r="O319" t="str"><v>France</v></cell><cell r="P319" t="str"><v>Trial</v></cell><cell r="Q319" t="str"><v>Social</v></cell><cell r="R319" t="str"><v>Azure</v></cell><cell r="S319" t="str"><v>Apps & Infra</v></cell><cell r="T319" t="str"><v>Developers & ITI's</v></cell><cell r="U319" t="str"><v>Developers/ITPros-Azure Direct-Sponsored Post-Link Ad-FreeAcctAppsFACEBOOKLifestyleChA</v></cell><cell r="V319" t="str"><v>Audience Targeting</v></cell><cell r="W319" t="str"><v>Social</v></cell><cell r="X319" t="str"><v>1x1</v></cell></row><row r="319"><cell r="AA319"><v>43285</v></cell><cell r="AB319" t="str"><v>FRA_gaPMG_AZR_AZR_Q1_19_AzureDirect-Trial-Social</v></cell><cell r="AC319"><v>21356941</v></cell><cell r="AD319"><v>720193</v></cell><cell r="AE319" t="str"><v>Facebook</v></cell><cell r="AF319"><v>3654128</v></cell><cell r="AG319" t="str"><v>Facebook»Developers/ITPros-Azure Direct-Sponsored Post-Link Ad-FreeAcctAppsFACEBOOKLifestyleChA»1x1»SocialBan»SOC»ALL»CPC»AUT»D»UNK»SS»NA»Trials</v></cell><cell r="AH319"><v>224560851</v></cell><cell r="AI319" t="str"><v>AZR_FreeAcctAppsFACEBOOKLifestyleChA_FRA_1200x628_SOC_PLAT_FR_Trial_Standard_NA_SINU_T1_1</v></cell><cell r="AJ319"><v>103259562</v></cell></row><row r="320"><cell r="C320" t="str"><v>43285Facebook»Developers/ITPros-Azure Direct-Sponsored Post-Link Ad-FreeAcctRetargetingFB-Animated-ChC»1x1»SocialBan»SOC»ALL»CPC»BT»D»UNK»SS»NA»Trials</v></cell><cell r="D320" t="str"><v>43285224560848</v></cell><cell r="E320" t="str"><v>43285103259775Trials</v></cell><cell r="F320" t="str"><v>DCM</v></cell><cell r="G320" t="str"><v>https://azure.microsoft.com/fr-fr/free/search/</v></cell></row><row r="320"><cell r="K320" t="str"><v>July</v></cell><cell r="L320"><v>43288</v></cell><cell r="M320" t="str"><v>Tier 1</v></cell><cell r="N320" t="str"><v>EMEA</v></cell><cell r="O320" t="str"><v>France</v></cell><cell r="P320" t="str"><v>Trial</v></cell><cell r="Q320" t="str"><v>Social</v></cell><cell r="R320" t="str"><v>Azure</v></cell><cell r="S320" t="str"><v>Apps & Infra</v></cell><cell r="T320" t="str"><v>Developers & ITI's</v></cell><cell r="U320" t="str"><v>Developers/ITPros-Azure Direct-Sponsored Post-Link Ad-FreeAcctRetargetingFB-Animated-ChC</v></cell><cell r="V320" t="str"><v>Behavioral Targeting</v></cell><cell r="W320" t="str"><v>Social</v></cell><cell r="X320" t="str"><v>1x1</v></cell></row><row r="320"><cell r="AA320"><v>43285</v></cell><cell r="AB320" t="str"><v>FRA_gaPMG_AZR_AZR_Q1_19_AzureDirect-Trial-Social</v></cell><cell r="AC320"><v>21356941</v></cell><cell r="AD320"><v>720193</v></cell><cell r="AE320" t="str"><v>Facebook</v></cell><cell r="AF320"><v>3654128</v></cell><cell r="AG320" t="str"><v>Facebook»Developers/ITPros-Azure Direct-Sponsored Post-Link Ad-FreeAcctRetargetingFB-Animated-ChC»1x1»SocialBan»SOC»ALL»CPC»BT»D»UNK»SS»NA»Trials</v></cell><cell r="AH320"><v>224560848</v></cell><cell r="AI320" t="str"><v>AZR_reeAcctRetargetingFB-Animated-ChC_FRA_1200x628_SOC_AZRDirect_French_NA_Facebook_SBAN_SINU_T3_1</v></cell><cell r="AJ320"><v>103259775</v></cell></row><row r="321"><cell r="C321" t="str"><v>43285Facebook»Developers/ITPros-Azure Direct-Sponsored Post-Link Ad-FreeAcctRetargetingOSSFB-Logos-ChG»1x1»SocialBan»SOC»ALL»CPC»BT»D»UNK»SS»NA»Trials</v></cell><cell r="D321" t="str"><v>43285224560842</v></cell><cell r="E321" t="str"><v>43285103259769Trials</v></cell><cell r="F321" t="str"><v>DCM</v></cell><cell r="G321" t="str"><v>https://azure.microsoft.com/fr-fr/free/open-source/search/</v></cell></row><row r="321"><cell r="K321" t="str"><v>July</v></cell><cell r="L321"><v>43288</v></cell><cell r="M321" t="str"><v>Tier 1</v></cell><cell r="N321" t="str"><v>EMEA</v></cell><cell r="O321" t="str"><v>France</v></cell><cell r="P321" t="str"><v>Trial</v></cell><cell r="Q321" t="str"><v>Social</v></cell><cell r="R321" t="str"><v>Azure</v></cell><cell r="S321" t="str"><v>Apps & Infra</v></cell><cell r="T321" t="str"><v>Developers & ITI's</v></cell><cell r="U321" t="str"><v>Developers/ITPros-Azure Direct-Sponsored Post-Link Ad-FreeAcctRetargetingOSSFB-Logos-ChG</v></cell><cell r="V321" t="str"><v>Behavioral Targeting</v></cell><cell r="W321" t="str"><v>Social</v></cell><cell r="X321" t="str"><v>1x1</v></cell></row><row r="321"><cell r="AA321"><v>43285</v></cell><cell r="AB321" t="str"><v>FRA_gaPMG_AZR_AZR_Q1_19_AzureDirect-Trial-Social</v></cell><cell r="AC321"><v>21356941</v></cell><cell r="AD321"><v>720193</v></cell><cell r="AE321" t="str"><v>Facebook</v></cell><cell r="AF321"><v>3654128</v></cell><cell r="AG321" t="str"><v>Facebook»Developers/ITPros-Azure Direct-Sponsored Post-Link Ad-FreeAcctRetargetingOSSFB-Logos-ChG»1x1»SocialBan»SOC»ALL»CPC»BT»D»UNK»SS»NA»Trials</v></cell><cell r="AH321"><v>224560842</v></cell><cell r="AI321" t="str"><v>AZR_FreeAcctRetargetingOSSFB-Logos-ChG_FRA_1200x628_SOC_AZRDirect_French_NA_Facebook_SBAN_SINU_T2_1</v></cell><cell r="AJ321"><v>103259769</v></cell></row><row r="322"><cell r="C322" t="str"><v>43285Facebook»Developers/ITPros-Azure Direct-Sponsored Post-Link Ad-FreeAcctRetargetingVMFB-OnDemand-ChE»1x1»SocialBan»SOC»ALL»CPC»BT»D»UNK»SS»NA»Trials</v></cell><cell r="D322" t="str"><v>43285224560833</v></cell><cell r="E322" t="str"><v>43285103376990Trials</v></cell><cell r="F322" t="str"><v>DCM</v></cell><cell r="G322" t="str"><v>https://azure.microsoft.com/fr-fr/free/virtual-machines/search/</v></cell></row><row r="322"><cell r="K322" t="str"><v>July</v></cell><cell r="L322"><v>43288</v></cell><cell r="M322" t="str"><v>Tier 1</v></cell><cell r="N322" t="str"><v>EMEA</v></cell><cell r="O322" t="str"><v>France</v></cell><cell r="P322" t="str"><v>Trial</v></cell><cell r="Q322" t="str"><v>Social</v></cell><cell r="R322" t="str"><v>Azure</v></cell><cell r="S322" t="str"><v>Apps & Infra</v></cell><cell r="T322" t="str"><v>Developers & ITI's</v></cell><cell r="U322" t="str"><v>Developers/ITPros-Azure Direct-Sponsored Post-Link Ad-FreeAcctRetargetingVMFB-OnDemand-ChE</v></cell><cell r="V322" t="str"><v>Behavioral Targeting</v></cell><cell r="W322" t="str"><v>Social</v></cell><cell r="X322" t="str"><v>1x1</v></cell></row><row r="322"><cell r="AA322"><v>43285</v></cell><cell r="AB322" t="str"><v>FRA_gaPMG_AZR_AZR_Q1_19_AzureDirect-Trial-Social</v></cell><cell r="AC322"><v>21356941</v></cell><cell r="AD322"><v>720193</v></cell><cell r="AE322" t="str"><v>Facebook</v></cell><cell r="AF322"><v>3654128</v></cell><cell r="AG322" t="str"><v>Facebook»Developers/ITPros-Azure Direct-Sponsored Post-Link Ad-FreeAcctRetargetingVMFB-OnDemand-ChE»1x1»SocialBan»SOC»ALL»CPC»BT»D»UNK»SS»NA»Trials</v></cell><cell r="AH322"><v>224560833</v></cell><cell r="AI322" t="str"><v>AZR_FreeAcctRetargetingVMFB-OnDemand-ChE_FRA_1200x628_SOC_AZRDirect_French_NA_Facebook_SBAN_SINU_T2_1</v></cell><cell r="AJ322"><v>103376990</v></cell></row><row r="323"><cell r="C323" t="str"><v>43285Facebook»Audience & Interest Targeting»1x1»SocialBan»LIA»DT»CPC»AUT»W»NA»SS»NA»Basic Motion</v></cell><cell r="D323" t="str"><v>43285224399962</v></cell><cell r="E323" t="str"><v>43285103230847Motion</v></cell><cell r="F323" t="str"><v>DCM</v></cell><cell r="G323" t="str"><v>https://azure.microsoft.com/en-gb/pricing/purchase-options/</v></cell></row><row r="323"><cell r="K323" t="str"><v>July</v></cell><cell r="L323"><v>43288</v></cell><cell r="M323" t="str"><v>Tier 1</v></cell><cell r="N323" t="str"><v>EMEA</v></cell><cell r="O323" t="str"><v>United Kingdom</v></cell><cell r="P323" t="str"><v>Trial</v></cell><cell r="Q323" t="str"><v>Social</v></cell><cell r="R323" t="str"><v>Azure</v></cell><cell r="S323" t="str"><v>Apps & Infra</v></cell><cell r="T323" t="str"><v>Developers & ITI's</v></cell><cell r="U323" t="str"><v>Audience & Interest Targeting</v></cell><cell r="V323" t="str"><v>Audience Targeting</v></cell><cell r="W323" t="str"><v>Link Ad</v></cell><cell r="X323" t="str"><v>1x1</v></cell></row><row r="323"><cell r="AA323"><v>43285</v></cell><cell r="AB323" t="str"><v>GBR_gaPMG_CE_AZR_Q1_19_Trial-Social</v></cell><cell r="AC323"><v>21337013</v></cell><cell r="AD323"><v>720196</v></cell><cell r="AE323" t="str"><v>Facebook</v></cell><cell r="AF323"><v>3654128</v></cell><cell r="AG323" t="str"><v>Facebook»Audience & Interest Targeting»1x1»SocialBan»LIA»DT»CPC»AUT»W»NA»SS»NA»Basic Motion</v></cell><cell r="AH323"><v>224399962</v></cell><cell r="AI323" t="str"><v>AzurePlatform_FBCTCcanvaspage-BuyNowCTA-Img3_GBR_1080x162_SOC_Plat_English_NA_Standard_NA_BN_T3_1</v></cell><cell r="AJ323"><v>103230847</v></cell></row><row r="324"><cell r="C324" t="str"><v>43285Facebook»Audience & Interest Targeting»1x1»SocialBan»LIA»DT»CPC»AUT»W»NA»SS»NA»Basic Motion</v></cell><cell r="D324" t="str"><v>43285224399962</v></cell><cell r="E324" t="str"><v>43285103235146Motion</v></cell><cell r="F324" t="str"><v>DCM</v></cell><cell r="G324" t="str"><v>https://signup.azure.com/signup?offer=ms-azr-0044p&appId=102&ref=paidmedia-social-fb&redirectURL=https%3a%2f%2fazure.microsoft.com%2fen-gb%2fget-started%2fwelcome-to-azure%2f&l=en-gb&correlationId=ead86c34-1f10-49dd-a72b-6918462a2cbf</v></cell></row><row r="324"><cell r="K324" t="str"><v>July</v></cell><cell r="L324"><v>43288</v></cell><cell r="M324" t="str"><v>Tier 1</v></cell><cell r="N324" t="str"><v>EMEA</v></cell><cell r="O324" t="str"><v>United Kingdom</v></cell><cell r="P324" t="str"><v>Trial</v></cell><cell r="Q324" t="str"><v>Social</v></cell><cell r="R324" t="str"><v>Azure</v></cell><cell r="S324" t="str"><v>Apps & Infra</v></cell><cell r="T324" t="str"><v>Developers & ITI's</v></cell><cell r="U324" t="str"><v>Audience & Interest Targeting</v></cell><cell r="V324" t="str"><v>Audience Targeting</v></cell><cell r="W324" t="str"><v>Link Ad</v></cell><cell r="X324" t="str"><v>1x1</v></cell></row><row r="324"><cell r="AA324"><v>43285</v></cell><cell r="AB324" t="str"><v>GBR_gaPMG_CE_AZR_Q1_19_Trial-Social</v></cell><cell r="AC324"><v>21337013</v></cell><cell r="AD324"><v>720196</v></cell><cell r="AE324" t="str"><v>Facebook</v></cell><cell r="AF324"><v>3654128</v></cell><cell r="AG324" t="str"><v>Facebook»Audience & Interest Targeting»1x1»SocialBan»LIA»DT»CPC»AUT»W»NA»SS»NA»Basic Motion</v></cell><cell r="AH324"><v>224399962</v></cell><cell r="AI324" t="str"><v>AzurePlatform_FBCTCcanvaspage-StartFreeCTA-Img2_GBR_1080x143 _SOC_Plat_English_NA_Standard_NA_NA_T2_1</v></cell><cell r="AJ324"><v>103235146</v></cell></row><row r="325"><cell r="C325" t="str"><v>43285Facebook»Audience & Interest Targeting»1x1»SocialBan»LIA»DT»CPC»AUT»W»NA»SS»NA»Benefit 2 in Motion</v></cell><cell r="D325" t="str"><v>43285224334170</v></cell><cell r="E325" t="str"><v>43285103230847Motion</v></cell><cell r="F325" t="str"><v>DCM</v></cell><cell r="G325" t="str"><v>https://azure.microsoft.com/en-gb/pricing/purchase-options/</v></cell></row><row r="325"><cell r="K325" t="str"><v>July</v></cell><cell r="L325"><v>43288</v></cell><cell r="M325" t="str"><v>Tier 1</v></cell><cell r="N325" t="str"><v>EMEA</v></cell><cell r="O325" t="str"><v>United Kingdom</v></cell><cell r="P325" t="str"><v>Trial</v></cell><cell r="Q325" t="str"><v>Social</v></cell><cell r="R325" t="str"><v>Azure</v></cell><cell r="S325" t="str"><v>Apps & Infra</v></cell><cell r="T325" t="str"><v>Developers & ITI's</v></cell><cell r="U325" t="str"><v>Audience & Interest Targeting</v></cell><cell r="V325" t="str"><v>Audience Targeting</v></cell><cell r="W325" t="str"><v>Link Ad</v></cell><cell r="X325" t="str"><v>1x1</v></cell></row><row r="325"><cell r="AA325"><v>43285</v></cell><cell r="AB325" t="str"><v>GBR_gaPMG_CE_AZR_Q1_19_Trial-Social</v></cell><cell r="AC325"><v>21337013</v></cell><cell r="AD325"><v>720196</v></cell><cell r="AE325" t="str"><v>Facebook</v></cell><cell r="AF325"><v>3654128</v></cell><cell r="AG325" t="str"><v>Facebook»Audience & Interest Targeting»1x1»SocialBan»LIA»DT»CPC»AUT»W»NA»SS»NA»Benefit 2 in Motion</v></cell><cell r="AH325"><v>224334170</v></cell><cell r="AI325" t="str"><v>AzurePlatform_FBCTCcanvaspage-BuyNowCTA-Img3_GBR_1080x162_SOC_Plat_English_NA_Standard_NA_BN_T3_1</v></cell><cell r="AJ325"><v>103230847</v></cell></row><row r="326"><cell r="C326" t="str"><v>43285Facebook»Audience & Interest Targeting»1x1»SocialBan»LIA»DT»CPC»AUT»W»NA»SS»NA»Benefit 2 in Motion</v></cell><cell r="D326" t="str"><v>43285224334170</v></cell><cell r="E326" t="str"><v>43285103235146Motion</v></cell><cell r="F326" t="str"><v>DCM</v></cell><cell r="G326" t="str"><v>https://signup.azure.com/signup?offer=ms-azr-0044p&appId=102&ref=paidmedia-social-fb&redirectURL=https%3a%2f%2fazure.microsoft.com%2fen-gb%2fget-started%2fwelcome-to-azure%2f&l=en-gb&correlationId=ead86c34-1f10-49dd-a72b-6918462a2cbf</v></cell></row><row r="326"><cell r="K326" t="str"><v>July</v></cell><cell r="L326"><v>43288</v></cell><cell r="M326" t="str"><v>Tier 1</v></cell><cell r="N326" t="str"><v>EMEA</v></cell><cell r="O326" t="str"><v>United Kingdom</v></cell><cell r="P326" t="str"><v>Trial</v></cell><cell r="Q326" t="str"><v>Social</v></cell><cell r="R326" t="str"><v>Azure</v></cell><cell r="S326" t="str"><v>Apps & Infra</v></cell><cell r="T326" t="str"><v>Developers & ITI's</v></cell><cell r="U326" t="str"><v>Audience & Interest Targeting</v></cell><cell r="V326" t="str"><v>Audience Targeting</v></cell><cell r="W326" t="str"><v>Link Ad</v></cell><cell r="X326" t="str"><v>1x1</v></cell></row><row r="326"><cell r="AA326"><v>43285</v></cell><cell r="AB326" t="str"><v>GBR_gaPMG_CE_AZR_Q1_19_Trial-Social</v></cell><cell r="AC326"><v>21337013</v></cell><cell r="AD326"><v>720196</v></cell><cell r="AE326" t="str"><v>Facebook</v></cell><cell r="AF326"><v>3654128</v></cell><cell r="AG326" t="str"><v>Facebook»Audience & Interest Targeting»1x1»SocialBan»LIA»DT»CPC»AUT»W»NA»SS»NA»Benefit 2 in Motion</v></cell><cell r="AH326"><v>224334170</v></cell><cell r="AI326" t="str"><v>AzurePlatform_FBCTCcanvaspage-StartFreeCTA-Img2_GBR_1080x143 _SOC_Plat_English_NA_Standard_NA_NA_T2_1</v></cell><cell r="AJ326"><v>103235146</v></cell></row><row r="327"><cell r="C327" t="str"><v>43285Facebook»Audience & Interest Targeting»1x1»SocialBan»LIA»DT»CPC»AUT»W»NA»SS»NA»Brand in Motion</v></cell><cell r="D327" t="str"><v>43285224549481</v></cell><cell r="E327" t="str"><v>43285103230847Motion</v></cell><cell r="F327" t="str"><v>DCM</v></cell><cell r="G327" t="str"><v>https://azure.microsoft.com/en-gb/pricing/purchase-options/</v></cell></row><row r="327"><cell r="K327" t="str"><v>July</v></cell><cell r="L327"><v>43288</v></cell><cell r="M327" t="str"><v>Tier 1</v></cell><cell r="N327" t="str"><v>EMEA</v></cell><cell r="O327" t="str"><v>United Kingdom</v></cell><cell r="P327" t="str"><v>Trial</v></cell><cell r="Q327" t="str"><v>Social</v></cell><cell r="R327" t="str"><v>Azure</v></cell><cell r="S327" t="str"><v>Apps & Infra</v></cell><cell r="T327" t="str"><v>Developers & ITI's</v></cell><cell r="U327" t="str"><v>Audience & Interest Targeting</v></cell><cell r="V327" t="str"><v>Audience Targeting</v></cell><cell r="W327" t="str"><v>Link Ad</v></cell><cell r="X327" t="str"><v>1x1</v></cell></row><row r="327"><cell r="AA327"><v>43285</v></cell><cell r="AB327" t="str"><v>GBR_gaPMG_CE_AZR_Q1_19_Trial-Social</v></cell><cell r="AC327"><v>21337013</v></cell><cell r="AD327"><v>720196</v></cell><cell r="AE327" t="str"><v>Facebook</v></cell><cell r="AF327"><v>3654128</v></cell><cell r="AG327" t="str"><v>Facebook»Audience & Interest Targeting»1x1»SocialBan»LIA»DT»CPC»AUT»W»NA»SS»NA»Brand in Motion</v></cell><cell r="AH327"><v>224549481</v></cell><cell r="AI327" t="str"><v>AzurePlatform_FBCTCcanvaspage-BuyNowCTA-Img3_GBR_1080x162_SOC_Plat_English_NA_Standard_NA_BN_T3_1</v></cell><cell r="AJ327"><v>103230847</v></cell></row><row r="328"><cell r="C328" t="str"><v>43285Facebook»Audience & Interest Targeting»1x1»SocialBan»LIA»DT»CPC»AUT»W»NA»SS»NA»Brand in Motion</v></cell><cell r="D328" t="str"><v>43285224549481</v></cell><cell r="E328" t="str"><v>43285103235146Motion</v></cell><cell r="F328" t="str"><v>DCM</v></cell><cell r="G328" t="str"><v>https://signup.azure.com/signup?offer=ms-azr-0044p&appId=102&ref=paidmedia-social-fb&redirectURL=https%3a%2f%2fazure.microsoft.com%2fen-gb%2fget-started%2fwelcome-to-azure%2f&l=en-gb&correlationId=ead86c34-1f10-49dd-a72b-6918462a2cbf</v></cell></row><row r="328"><cell r="K328" t="str"><v>July</v></cell><cell r="L328"><v>43288</v></cell><cell r="M328" t="str"><v>Tier 1</v></cell><cell r="N328" t="str"><v>EMEA</v></cell><cell r="O328" t="str"><v>United Kingdom</v></cell><cell r="P328" t="str"><v>Trial</v></cell><cell r="Q328" t="str"><v>Social</v></cell><cell r="R328" t="str"><v>Azure</v></cell><cell r="S328" t="str"><v>Apps & Infra</v></cell><cell r="T328" t="str"><v>Developers & ITI's</v></cell><cell r="U328" t="str"><v>Audience & Interest Targeting</v></cell><cell r="V328" t="str"><v>Audience Targeting</v></cell><cell r="W328" t="str"><v>Link Ad</v></cell><cell r="X328" t="str"><v>1x1</v></cell></row><row r="328"><cell r="AA328"><v>43285</v></cell><cell r="AB328" t="str"><v>GBR_gaPMG_CE_AZR_Q1_19_Trial-Social</v></cell><cell r="AC328"><v>21337013</v></cell><cell r="AD328"><v>720196</v></cell><cell r="AE328" t="str"><v>Facebook</v></cell><cell r="AF328"><v>3654128</v></cell><cell r="AG328" t="str"><v>Facebook»Audience & Interest Targeting»1x1»SocialBan»LIA»DT»CPC»AUT»W»NA»SS»NA»Brand in Motion</v></cell><cell r="AH328"><v>224549481</v></cell><cell r="AI328" t="str"><v>AzurePlatform_FBCTCcanvaspage-StartFreeCTA-Img2_GBR_1080x143 _SOC_Plat_English_NA_Standard_NA_NA_T2_1</v></cell><cell r="AJ328"><v>103235146</v></cell></row><row r="329"><cell r="C329" t="str"><v>43285Facebook»Audience & Interest Targeting»1x1»SocialBan»LIA»DT»DYN»AUT»W»NA»SS»NA»Free Account Refresh- 12 months ChE</v></cell><cell r="D329" t="str"><v>43285223567691</v></cell><cell r="E329" t="str"><v>43285102854007hs ChE</v></cell><cell r="F329" t="str"><v>DCM</v></cell><cell r="G329" t="str"><v>https://azure.microsoft.com/en-gb/free/search/</v></cell></row><row r="329"><cell r="K329" t="str"><v>July</v></cell><cell r="L329"><v>43288</v></cell><cell r="M329" t="str"><v>Tier 1</v></cell><cell r="N329" t="str"><v>EMEA</v></cell><cell r="O329" t="str"><v>United Kingdom</v></cell><cell r="P329" t="str"><v>Trial</v></cell><cell r="Q329" t="str"><v>Social</v></cell><cell r="R329" t="str"><v>Azure</v></cell><cell r="S329" t="str"><v>Apps & Infra</v></cell><cell r="T329" t="str"><v>Developers & ITI's</v></cell><cell r="U329" t="str"><v>Audience & Interest Targeting</v></cell><cell r="V329" t="str"><v>Audience Targeting</v></cell><cell r="W329" t="str"><v>Link Ad</v></cell><cell r="X329" t="str"><v>1x1</v></cell></row><row r="329"><cell r="AA329"><v>43285</v></cell><cell r="AB329" t="str"><v>GBR_gaPMG_CE_AZR_Q1_19_Trial-Social</v></cell><cell r="AC329"><v>21337013</v></cell><cell r="AD329"><v>720196</v></cell><cell r="AE329" t="str"><v>Facebook</v></cell><cell r="AF329"><v>3654128</v></cell><cell r="AG329" t="str"><v>Facebook»Audience & Interest Targeting»1x1»SocialBan»LIA»DT»DYN»AUT»W»NA»SS»NA»Free Account Refresh- 12 months ChE</v></cell><cell r="AH329"><v>223567691</v></cell><cell r="AI329" t="str"><v>AzurePlatform_FreeAcctAppsFACEBOOK12monthsChE_GBR_1200x628_SOC_PLAT_EN_Trial_Standard_NA_SU_T5_1</v></cell><cell r="AJ329"><v>102854007</v></cell></row><row r="330"><cell r="C330" t="str"><v>43285Facebook»Audience & Interest Targeting»1x1»SocialBan»LIA»DT»DYN»AUT»W»NA»SS»NA»Free Account Refresh- 200 Credit ChD</v></cell><cell r="D330" t="str"><v>43285223560359</v></cell><cell r="E330" t="str"><v>43285103005662it ChD</v></cell><cell r="F330" t="str"><v>DCM</v></cell><cell r="G330" t="str"><v>https://azure.microsoft.com/en-gb/free/search/</v></cell></row><row r="330"><cell r="K330" t="str"><v>July</v></cell><cell r="L330"><v>43288</v></cell><cell r="M330" t="str"><v>Tier 1</v></cell><cell r="N330" t="str"><v>EMEA</v></cell><cell r="O330" t="str"><v>United Kingdom</v></cell><cell r="P330" t="str"><v>Trial</v></cell><cell r="Q330" t="str"><v>Social</v></cell><cell r="R330" t="str"><v>Azure</v></cell><cell r="S330" t="str"><v>Apps & Infra</v></cell><cell r="T330" t="str"><v>Developers & ITI's</v></cell><cell r="U330" t="str"><v>Audience & Interest Targeting</v></cell><cell r="V330" t="str"><v>Audience Targeting</v></cell><cell r="W330" t="str"><v>Link Ad</v></cell><cell r="X330" t="str"><v>1x1</v></cell></row><row r="330"><cell r="AA330"><v>43285</v></cell><cell r="AB330" t="str"><v>GBR_gaPMG_CE_AZR_Q1_19_Trial-Social</v></cell><cell r="AC330"><v>21337013</v></cell><cell r="AD330"><v>720196</v></cell><cell r="AE330" t="str"><v>Facebook</v></cell><cell r="AF330"><v>3654128</v></cell><cell r="AG330" t="str"><v>Facebook»Audience & Interest Targeting»1x1»SocialBan»LIA»DT»DYN»AUT»W»NA»SS»NA»Free Account Refresh- 200 Credit ChD</v></cell><cell r="AH330"><v>223560359</v></cell><cell r="AI330" t="str"><v>AzurePlatform_FreeAcctAppsFACEBOOK200CreditChD_GBR_1200x628_SOC_PLAT_EN_Trial_Standard_NA_SU_T4_1</v></cell><cell r="AJ330"><v>103005662</v></cell></row><row r="331"><cell r="C331" t="str"><v>43285Facebook»Audience & Interest Targeting»1x1»SocialBan»LIA»DT»DYN»AUT»W»NA»SS»NA»Free Account Refresh- Device ChB</v></cell><cell r="D331" t="str"><v>43285223560353</v></cell><cell r="E331" t="str"><v>43285102854010ce ChB</v></cell><cell r="F331" t="str"><v>DCM</v></cell><cell r="G331" t="str"><v>https://azure.microsoft.com/en-gb/free/search/</v></cell></row><row r="331"><cell r="K331" t="str"><v>July</v></cell><cell r="L331"><v>43288</v></cell><cell r="M331" t="str"><v>Tier 1</v></cell><cell r="N331" t="str"><v>EMEA</v></cell><cell r="O331" t="str"><v>United Kingdom</v></cell><cell r="P331" t="str"><v>Trial</v></cell><cell r="Q331" t="str"><v>Social</v></cell><cell r="R331" t="str"><v>Azure</v></cell><cell r="S331" t="str"><v>Apps & Infra</v></cell><cell r="T331" t="str"><v>Developers & ITI's</v></cell><cell r="U331" t="str"><v>Audience & Interest Targeting</v></cell><cell r="V331" t="str"><v>Audience Targeting</v></cell><cell r="W331" t="str"><v>Link Ad</v></cell><cell r="X331" t="str"><v>1x1</v></cell></row><row r="331"><cell r="AA331"><v>43285</v></cell><cell r="AB331" t="str"><v>GBR_gaPMG_CE_AZR_Q1_19_Trial-Social</v></cell><cell r="AC331"><v>21337013</v></cell><cell r="AD331"><v>720196</v></cell><cell r="AE331" t="str"><v>Facebook</v></cell><cell r="AF331"><v>3654128</v></cell><cell r="AG331" t="str"><v>Facebook»Audience & Interest Targeting»1x1»SocialBan»LIA»DT»DYN»AUT»W»NA»SS»NA»Free Account Refresh- Device ChB</v></cell><cell r="AH331"><v>223560353</v></cell><cell r="AI331" t="str"><v>AzurePlatform_FreeAcctAppsFACEBOOKDeviceChB_GBR_1200x628_SOC_PLAT_EN_Trial_Standard_NA_SU_T2_1</v></cell><cell r="AJ331"><v>102854010</v></cell></row><row r="332"><cell r="C332" t="str"><v>43285Facebook»Audience & Interest Targeting»1x1»SocialBan»LIA»DT»DYN»AUT»W»NA»SS»NA»Free Account Refresh- Illustration ChC</v></cell><cell r="D332" t="str"><v>43285223560347</v></cell><cell r="E332" t="str"><v>43285102857037on ChC</v></cell><cell r="F332" t="str"><v>DCM</v></cell><cell r="G332" t="str"><v>https://azure.microsoft.com/en-gb/free/search/</v></cell></row><row r="332"><cell r="K332" t="str"><v>July</v></cell><cell r="L332"><v>43288</v></cell><cell r="M332" t="str"><v>Tier 1</v></cell><cell r="N332" t="str"><v>EMEA</v></cell><cell r="O332" t="str"><v>United Kingdom</v></cell><cell r="P332" t="str"><v>Trial</v></cell><cell r="Q332" t="str"><v>Social</v></cell><cell r="R332" t="str"><v>Azure</v></cell><cell r="S332" t="str"><v>Apps & Infra</v></cell><cell r="T332" t="str"><v>Developers & ITI's</v></cell><cell r="U332" t="str"><v>Audience & Interest Targeting</v></cell><cell r="V332" t="str"><v>Audience Targeting</v></cell><cell r="W332" t="str"><v>Link Ad</v></cell><cell r="X332" t="str"><v>1x1</v></cell></row><row r="332"><cell r="AA332"><v>43285</v></cell><cell r="AB332" t="str"><v>GBR_gaPMG_CE_AZR_Q1_19_Trial-Social</v></cell><cell r="AC332"><v>21337013</v></cell><cell r="AD332"><v>720196</v></cell><cell r="AE332" t="str"><v>Facebook</v></cell><cell r="AF332"><v>3654128</v></cell><cell r="AG332" t="str"><v>Facebook»Audience & Interest Targeting»1x1»SocialBan»LIA»DT»DYN»AUT»W»NA»SS»NA»Free Account Refresh- Illustration ChC</v></cell><cell r="AH332"><v>223560347</v></cell><cell r="AI332" t="str"><v>AzurePlatform_FreeAcctAppsFACEBOOKIllustrationChC_GBR_1200x628_SOC_PLAT_EN_Trial_Standard_NA_SU_T3_1</v></cell><cell r="AJ332"><v>102857037</v></cell></row><row r="333"><cell r="C333" t="str"><v>43285Facebook»Audience & Interest Targeting»1x1»SocialBan»LIA»DT»DYN»AUT»W»NA»SS»NA»Free Account Refresh- Lifestyle ChA</v></cell><cell r="D333" t="str"><v>43285223560341</v></cell><cell r="E333" t="str"><v>43285102853597le ChA</v></cell><cell r="F333" t="str"><v>DCM</v></cell><cell r="G333" t="str"><v>https://azure.microsoft.com/en-gb/free/search/</v></cell></row><row r="333"><cell r="K333" t="str"><v>July</v></cell><cell r="L333"><v>43288</v></cell><cell r="M333" t="str"><v>Tier 1</v></cell><cell r="N333" t="str"><v>EMEA</v></cell><cell r="O333" t="str"><v>United Kingdom</v></cell><cell r="P333" t="str"><v>Trial</v></cell><cell r="Q333" t="str"><v>Social</v></cell><cell r="R333" t="str"><v>Azure</v></cell><cell r="S333" t="str"><v>Apps & Infra</v></cell><cell r="T333" t="str"><v>Developers & ITI's</v></cell><cell r="U333" t="str"><v>Audience & Interest Targeting</v></cell><cell r="V333" t="str"><v>Audience Targeting</v></cell><cell r="W333" t="str"><v>Link Ad</v></cell><cell r="X333" t="str"><v>1x1</v></cell></row><row r="333"><cell r="AA333"><v>43285</v></cell><cell r="AB333" t="str"><v>GBR_gaPMG_CE_AZR_Q1_19_Trial-Social</v></cell><cell r="AC333"><v>21337013</v></cell><cell r="AD333"><v>720196</v></cell><cell r="AE333" t="str"><v>Facebook</v></cell><cell r="AF333"><v>3654128</v></cell><cell r="AG333" t="str"><v>Facebook»Audience & Interest Targeting»1x1»SocialBan»LIA»DT»DYN»AUT»W»NA»SS»NA»Free Account Refresh- Lifestyle ChA</v></cell><cell r="AH333"><v>223560341</v></cell><cell r="AI333" t="str"><v>AzurePlatform_FreeAcctAppsFACEBOOKLifestyleChA_GBR_1200x628_SOC_PLAT_EN_Trial_Standard_NA_SU_T1_1</v></cell><cell r="AJ333"><v>102853597</v></cell></row><row r="334"><cell r="C334" t="str"><v>43285Facebook»Retargeting»1x1»SocialBan»LIA»DT»DYN»RT»W»NA»SS»NA»Free Account Retargeting Generic- Animated ChC</v></cell><cell r="D334" t="str"><v>43285223560299</v></cell><cell r="E334" t="str"><v>43285102854019ed ChC</v></cell><cell r="F334" t="str"><v>DCM</v></cell><cell r="G334" t="str"><v>https://azure.microsoft.com/en-gb/free/search/</v></cell></row><row r="334"><cell r="K334" t="str"><v>July</v></cell><cell r="L334"><v>43288</v></cell><cell r="M334" t="str"><v>Tier 1</v></cell><cell r="N334" t="str"><v>EMEA</v></cell><cell r="O334" t="str"><v>United Kingdom</v></cell><cell r="P334" t="str"><v>Trial</v></cell><cell r="Q334" t="str"><v>Social</v></cell><cell r="R334" t="str"><v>Azure</v></cell><cell r="S334" t="str"><v>Apps & Infra</v></cell><cell r="T334" t="str"><v>Developers & ITI's</v></cell><cell r="U334" t="str"><v>Retargeting</v></cell><cell r="V334" t="str"><v>Retargeting</v></cell><cell r="W334" t="str"><v>Link Ad</v></cell><cell r="X334" t="str"><v>1x1</v></cell></row><row r="334"><cell r="AA334"><v>43285</v></cell><cell r="AB334" t="str"><v>GBR_gaPMG_CE_AZR_Q1_19_Trial-Social</v></cell><cell r="AC334"><v>21337013</v></cell><cell r="AD334"><v>720196</v></cell><cell r="AE334" t="str"><v>Facebook</v></cell><cell r="AF334"><v>3654128</v></cell><cell r="AG334" t="str"><v>Facebook»Retargeting»1x1»SocialBan»LIA»DT»DYN»RT»W»NA»SS»NA»Free Account Retargeting Generic- Animated ChC</v></cell><cell r="AH334"><v>223560299</v></cell><cell r="AI334" t="str"><v>AzurePlatform_FreeAcctRetargetingFB-Animated-ChC_GBR_1200x628_SOC_Plat_EN_Free Account_Standard_ANI_SU_T3_1</v></cell><cell r="AJ334"><v>102854019</v></cell></row><row r="335"><cell r="C335" t="str"><v>43285Facebook»Retargeting»1x1»SocialBan»LIA»DT»DYN»RT»W»NA»SS»NA»Free Account Retargeting Generic- Global Alt ChB</v></cell><cell r="D335" t="str"><v>43285223560356</v></cell><cell r="E335" t="str"><v>43285102854016lt ChB</v></cell><cell r="F335" t="str"><v>DCM</v></cell><cell r="G335" t="str"><v>https://azure.microsoft.com/en-gb/free/search/</v></cell></row><row r="335"><cell r="K335" t="str"><v>July</v></cell><cell r="L335"><v>43288</v></cell><cell r="M335" t="str"><v>Tier 1</v></cell><cell r="N335" t="str"><v>EMEA</v></cell><cell r="O335" t="str"><v>United Kingdom</v></cell><cell r="P335" t="str"><v>Trial</v></cell><cell r="Q335" t="str"><v>Social</v></cell><cell r="R335" t="str"><v>Azure</v></cell><cell r="S335" t="str"><v>Apps & Infra</v></cell><cell r="T335" t="str"><v>Developers & ITI's</v></cell><cell r="U335" t="str"><v>Retargeting</v></cell><cell r="V335" t="str"><v>Retargeting</v></cell><cell r="W335" t="str"><v>Link Ad</v></cell><cell r="X335" t="str"><v>1x1</v></cell></row><row r="335"><cell r="AA335"><v>43285</v></cell><cell r="AB335" t="str"><v>GBR_gaPMG_CE_AZR_Q1_19_Trial-Social</v></cell><cell r="AC335"><v>21337013</v></cell><cell r="AD335"><v>720196</v></cell><cell r="AE335" t="str"><v>Facebook</v></cell><cell r="AF335"><v>3654128</v></cell><cell r="AG335" t="str"><v>Facebook»Retargeting»1x1»SocialBan»LIA»DT»DYN»RT»W»NA»SS»NA»Free Account Retargeting Generic- Global Alt ChB</v></cell><cell r="AH335"><v>223560356</v></cell><cell r="AI335" t="str"><v>AzurePlatform_FreeAcctRetargetingFB-GlobalAlt-ChB_GBR_1200x628_SOC_Plat_EN_Free Account_Standard_NA_SU_T2_1</v></cell><cell r="AJ335"><v>102854016</v></cell></row><row r="336"><cell r="C336" t="str"><v>43285Facebook»Retargeting»1x1»SocialBan»LIA»DT»DYN»RT»W»NA»SS»NA»Free Account Retargeting VM- 750 Hrs ChD</v></cell><cell r="D336" t="str"><v>43285223560338</v></cell><cell r="E336" t="str"><v>43285102853603rs ChD</v></cell><cell r="F336" t="str"><v>DCM</v></cell><cell r="G336" t="str"><v>https://azure.microsoft.com/en-gb/free/virtual-machines/search/</v></cell></row><row r="336"><cell r="K336" t="str"><v>July</v></cell><cell r="L336"><v>43288</v></cell><cell r="M336" t="str"><v>Tier 1</v></cell><cell r="N336" t="str"><v>EMEA</v></cell><cell r="O336" t="str"><v>United Kingdom</v></cell><cell r="P336" t="str"><v>Trial</v></cell><cell r="Q336" t="str"><v>Social</v></cell><cell r="R336" t="str"><v>Azure</v></cell><cell r="S336" t="str"><v>Apps & Infra</v></cell><cell r="T336" t="str"><v>Developers & ITI's</v></cell><cell r="U336" t="str"><v>Retargeting</v></cell><cell r="V336" t="str"><v>Retargeting</v></cell><cell r="W336" t="str"><v>Link Ad</v></cell><cell r="X336" t="str"><v>1x1</v></cell></row><row r="336"><cell r="AA336"><v>43285</v></cell><cell r="AB336" t="str"><v>GBR_gaPMG_CE_AZR_Q1_19_Trial-Social</v></cell><cell r="AC336"><v>21337013</v></cell><cell r="AD336"><v>720196</v></cell><cell r="AE336" t="str"><v>Facebook</v></cell><cell r="AF336"><v>3654128</v></cell><cell r="AG336" t="str"><v>Facebook»Retargeting»1x1»SocialBan»LIA»DT»DYN»RT»W»NA»SS»NA»Free Account Retargeting VM- 750 Hrs ChD</v></cell><cell r="AH336"><v>223560338</v></cell><cell r="AI336" t="str"><v>AzurePlatform_FreeAcctRetargetingVMFB-750Hrs-ChD_GBR_1200x628_SOC_Plat_EN_Free Account_Standard_NA_SU_T1_1</v></cell><cell r="AJ336"><v>102853603</v></cell></row><row r="337"><cell r="C337" t="str"><v>43285Facebook»AZP-Canvas-Interest&Role-Trial»1x1»Canvas»OTH»MO»CPM»PRO»X»UNK»TP»OT»Canvas-Trial</v></cell><cell r="D337" t="str"><v>43285223298805</v></cell><cell r="E337" t="str"><v>43285102630373-Trial</v></cell><cell r="F337" t="str"><v>DCM</v></cell><cell r="G337" t="str"><v>https://azure.microsoft.com/ja-jp/pricing/purchase-options/</v></cell></row><row r="337"><cell r="K337" t="str"><v>July</v></cell><cell r="L337"><v>43288</v></cell><cell r="M337" t="str"><v>Tier 1</v></cell><cell r="N337" t="str"><v>APAC</v></cell><cell r="O337" t="str"><v>Japan</v></cell><cell r="P337" t="str"><v>Trial</v></cell><cell r="Q337" t="str"><v>Social</v></cell><cell r="R337" t="str"><v>Azure</v></cell><cell r="S337" t="str"><v>Apps & Infra</v></cell><cell r="T337" t="str"><v>Developers & ITI's</v></cell><cell r="U337" t="str"><v>AZP-Canvas-Interest&Role-Trial</v></cell><cell r="V337" t="str"><v>Prospecting</v></cell><cell r="W337" t="str"><v>Other</v></cell><cell r="X337" t="str"><v>1x1</v></cell></row><row r="337"><cell r="AA337"><v>43285</v></cell><cell r="AB337" t="str"><v>JPN_gaPMG_AZR_AZR_Q1_19_Trial-Social</v></cell><cell r="AC337"><v>21276694</v></cell><cell r="AD337"><v>720195</v></cell><cell r="AE337" t="str"><v>Facebook</v></cell><cell r="AF337"><v>3654128</v></cell><cell r="AG337" t="str"><v>Facebook»AZP-Canvas-Interest&Role-Trial»1x1»Canvas»OTH»MO»CPM»PRO»X»UNK»TP»OT»Canvas-Trial</v></cell><cell r="AH337"><v>223298805</v></cell><cell r="AI337" t="str"><v>AzurePlatform_FBCTCcanvaspage-BuyNowCTA-Img3_JPN_1080x162_SOC_Plat_Japanese_NA_Standard_NA_BN_T3_1</v></cell><cell r="AJ337"><v>102630373</v></cell></row><row r="338"><cell r="C338" t="str"><v>43285Facebook»AZP-Canvas-Interest&Role-Trial»1x1»Canvas»OTH»MO»CPM»PRO»X»UNK»TP»OT»Canvas-Trial</v></cell><cell r="D338" t="str"><v>43285223298805</v></cell><cell r="E338" t="str"><v>43285102609621-Trial</v></cell><cell r="F338" t="str"><v>DCM</v></cell><cell r="G338" t="str"><v>https://signup.azure.com/signup?offer=ms-azr-0044p&appId=102&ref=paidmedia-social-fb&redirectURL=https%3a%2f%2fazure.microsoft.com%2fja-jp%2fget-started%2fwelcome-to-azure%2f&l=ja-jp&correlationId=ead86c34-1f10-49dd-a72b-6918462a2cbf</v></cell></row><row r="338"><cell r="K338" t="str"><v>July</v></cell><cell r="L338"><v>43288</v></cell><cell r="M338" t="str"><v>Tier 1</v></cell><cell r="N338" t="str"><v>APAC</v></cell><cell r="O338" t="str"><v>Japan</v></cell><cell r="P338" t="str"><v>Trial</v></cell><cell r="Q338" t="str"><v>Social</v></cell><cell r="R338" t="str"><v>Azure</v></cell><cell r="S338" t="str"><v>Apps & Infra</v></cell><cell r="T338" t="str"><v>Developers & ITI's</v></cell><cell r="U338" t="str"><v>AZP-Canvas-Interest&Role-Trial</v></cell><cell r="V338" t="str"><v>Prospecting</v></cell><cell r="W338" t="str"><v>Other</v></cell><cell r="X338" t="str"><v>1x1</v></cell></row><row r="338"><cell r="AA338"><v>43285</v></cell><cell r="AB338" t="str"><v>JPN_gaPMG_AZR_AZR_Q1_19_Trial-Social</v></cell><cell r="AC338"><v>21276694</v></cell><cell r="AD338"><v>720195</v></cell><cell r="AE338" t="str"><v>Facebook</v></cell><cell r="AF338"><v>3654128</v></cell><cell r="AG338" t="str"><v>Facebook»AZP-Canvas-Interest&Role-Trial»1x1»Canvas»OTH»MO»CPM»PRO»X»UNK»TP»OT»Canvas-Trial</v></cell><cell r="AH338"><v>223298805</v></cell><cell r="AI338" t="str"><v>AzurePlatform_FBCTCcanvaspage-StartFreeCTA-Img2_JPN_1080x143 _SOC_Plat_Japanese_NA_Standard_NA_NA_T2_1</v></cell><cell r="AJ338"><v>102609621</v></cell></row><row r="339"><cell r="C339" t="str"><v>43285Facebook»AZP-Canvas-Look a Like-Trial»1x1»Canvas»OTH»MO»CPM»PRO»X»UNK»TP»OT»Canvas-Trial</v></cell><cell r="D339" t="str"><v>43285223297413</v></cell><cell r="E339" t="str"><v>43285102630373-Trial</v></cell><cell r="F339" t="str"><v>DCM</v></cell><cell r="G339" t="str"><v>https://azure.microsoft.com/ja-jp/pricing/purchase-options/</v></cell></row><row r="339"><cell r="K339" t="str"><v>July</v></cell><cell r="L339"><v>43288</v></cell><cell r="M339" t="str"><v>Tier 1</v></cell><cell r="N339" t="str"><v>APAC</v></cell><cell r="O339" t="str"><v>Japan</v></cell><cell r="P339" t="str"><v>Trial</v></cell><cell r="Q339" t="str"><v>Social</v></cell><cell r="R339" t="str"><v>Azure</v></cell><cell r="S339" t="str"><v>Apps & Infra</v></cell><cell r="T339" t="str"><v>Developers & ITI's</v></cell><cell r="U339" t="str"><v>AZP-Canvas-Look a Like-Trial</v></cell><cell r="V339" t="str"><v>Prospecting</v></cell><cell r="W339" t="str"><v>Other</v></cell><cell r="X339" t="str"><v>1x1</v></cell></row><row r="339"><cell r="AA339"><v>43285</v></cell><cell r="AB339" t="str"><v>JPN_gaPMG_AZR_AZR_Q1_19_Trial-Social</v></cell><cell r="AC339"><v>21276694</v></cell><cell r="AD339"><v>720195</v></cell><cell r="AE339" t="str"><v>Facebook</v></cell><cell r="AF339"><v>3654128</v></cell><cell r="AG339" t="str"><v>Facebook»AZP-Canvas-Look a Like-Trial»1x1»Canvas»OTH»MO»CPM»PRO»X»UNK»TP»OT»Canvas-Trial</v></cell><cell r="AH339"><v>223297413</v></cell><cell r="AI339" t="str"><v>AzurePlatform_FBCTCcanvaspage-BuyNowCTA-Img3_JPN_1080x162_SOC_Plat_Japanese_NA_Standard_NA_BN_T3_1</v></cell><cell r="AJ339"><v>102630373</v></cell></row><row r="340"><cell r="C340" t="str"><v>43285Facebook»AZP-Canvas-Look a Like-Trial»1x1»Canvas»OTH»MO»CPM»PRO»X»UNK»TP»OT»Canvas-Trial</v></cell><cell r="D340" t="str"><v>43285223297413</v></cell><cell r="E340" t="str"><v>43285102609621-Trial</v></cell><cell r="F340" t="str"><v>DCM</v></cell><cell r="G340" t="str"><v>https://signup.azure.com/signup?offer=ms-azr-0044p&appId=102&ref=paidmedia-social-fb&redirectURL=https%3a%2f%2fazure.microsoft.com%2fja-jp%2fget-started%2fwelcome-to-azure%2f&l=ja-jp&correlationId=ead86c34-1f10-49dd-a72b-6918462a2cbf</v></cell></row><row r="340"><cell r="K340" t="str"><v>July</v></cell><cell r="L340"><v>43288</v></cell><cell r="M340" t="str"><v>Tier 1</v></cell><cell r="N340" t="str"><v>APAC</v></cell><cell r="O340" t="str"><v>Japan</v></cell><cell r="P340" t="str"><v>Trial</v></cell><cell r="Q340" t="str"><v>Social</v></cell><cell r="R340" t="str"><v>Azure</v></cell><cell r="S340" t="str"><v>Apps & Infra</v></cell><cell r="T340" t="str"><v>Developers & ITI's</v></cell><cell r="U340" t="str"><v>AZP-Canvas-Look a Like-Trial</v></cell><cell r="V340" t="str"><v>Prospecting</v></cell><cell r="W340" t="str"><v>Other</v></cell><cell r="X340" t="str"><v>1x1</v></cell></row><row r="340"><cell r="AA340"><v>43285</v></cell><cell r="AB340" t="str"><v>JPN_gaPMG_AZR_AZR_Q1_19_Trial-Social</v></cell><cell r="AC340"><v>21276694</v></cell><cell r="AD340"><v>720195</v></cell><cell r="AE340" t="str"><v>Facebook</v></cell><cell r="AF340"><v>3654128</v></cell><cell r="AG340" t="str"><v>Facebook»AZP-Canvas-Look a Like-Trial»1x1»Canvas»OTH»MO»CPM»PRO»X»UNK»TP»OT»Canvas-Trial</v></cell><cell r="AH340"><v>223297413</v></cell><cell r="AI340" t="str"><v>AzurePlatform_FBCTCcanvaspage-StartFreeCTA-Img2_JPN_1080x143 _SOC_Plat_Japanese_NA_Standard_NA_NA_T2_1</v></cell><cell r="AJ340"><v>102609621</v></cell></row><row r="341"><cell r="C341" t="str"><v>43285Facebook»AZP-Retargeting»1x1»Ban»LIA»ALL»CPM»RT»X»All»TP»OT»Free Account Retargeting VM-ChD</v></cell><cell r="D341" t="str"><v>43285223726374</v></cell><cell r="E341" t="str"><v>43285102971306VM-ChD</v></cell><cell r="F341" t="str"><v>DCM</v></cell><cell r="G341" t="str"><v>https://azure.microsoft.com/ja-jp/free/virtual-machines/search/</v></cell></row><row r="341"><cell r="K341" t="str"><v>July</v></cell><cell r="L341"><v>43288</v></cell><cell r="M341" t="str"><v>Tier 1</v></cell><cell r="N341" t="str"><v>APAC</v></cell><cell r="O341" t="str"><v>Japan</v></cell><cell r="P341" t="str"><v>Trial</v></cell><cell r="Q341" t="str"><v>Social</v></cell><cell r="R341" t="str"><v>Azure</v></cell><cell r="S341" t="str"><v>Apps & Infra</v></cell><cell r="T341" t="str"><v>Developers & ITI's</v></cell><cell r="U341" t="str"><v>AZP-Retargeting</v></cell><cell r="V341" t="str"><v>Retargeting</v></cell><cell r="W341" t="str"><v>Link Ad</v></cell><cell r="X341" t="str"><v>1x1</v></cell></row><row r="341"><cell r="AA341"><v>43285</v></cell><cell r="AB341" t="str"><v>JPN_gaPMG_AZR_AZR_Q1_19_Trial-Social</v></cell><cell r="AC341"><v>21276694</v></cell><cell r="AD341"><v>720195</v></cell><cell r="AE341" t="str"><v>Facebook</v></cell><cell r="AF341"><v>3654128</v></cell><cell r="AG341" t="str"><v>Facebook»AZP-Retargeting»1x1»Ban»LIA»ALL»CPM»RT»X»All»TP»OT»Free Account Retargeting VM-ChD</v></cell><cell r="AH341"><v>223726374</v></cell><cell r="AI341" t="str"><v>AzurePlatform_FreeAcctRetargetingVMFB-750Hrs-ChD_JPN_1200x628_SOC_Plat_JA_Free Account_Standard_NA_SU_T1_1</v></cell><cell r="AJ341"><v>102971306</v></cell></row><row r="342"><cell r="C342" t="str"><v>43285Facebook»AZP-Retargeting»1x1»Canvas»OTH»MO»CPM»RT»W»UNK»TP»OT»Trial-Basicmotion</v></cell><cell r="D342" t="str"><v>43285223298811</v></cell><cell r="E342" t="str"><v>43285102773984motion</v></cell><cell r="F342" t="str"><v>DCM</v></cell><cell r="G342" t="str"><v>https://azure.microsoft.com/ja-jp/free/search/</v></cell></row><row r="342"><cell r="K342" t="str"><v>July</v></cell><cell r="L342"><v>43288</v></cell><cell r="M342" t="str"><v>Tier 1</v></cell><cell r="N342" t="str"><v>APAC</v></cell><cell r="O342" t="str"><v>Japan</v></cell><cell r="P342" t="str"><v>Trial</v></cell><cell r="Q342" t="str"><v>Social</v></cell><cell r="R342" t="str"><v>Azure</v></cell><cell r="S342" t="str"><v>Apps & Infra</v></cell><cell r="T342" t="str"><v>Developers & ITI's</v></cell><cell r="U342" t="str"><v>AZP-Retargeting</v></cell><cell r="V342" t="str"><v>Retargeting</v></cell><cell r="W342" t="str"><v>Other</v></cell><cell r="X342" t="str"><v>1x1</v></cell></row><row r="342"><cell r="AA342"><v>43285</v></cell><cell r="AB342" t="str"><v>JPN_gaPMG_AZR_AZR_Q1_19_Trial-Social</v></cell><cell r="AC342"><v>21276694</v></cell><cell r="AD342"><v>720195</v></cell><cell r="AE342" t="str"><v>Facebook</v></cell><cell r="AF342"><v>3654128</v></cell><cell r="AG342" t="str"><v>Facebook»AZP-Retargeting»1x1»Canvas»OTH»MO»CPM»RT»W»UNK»TP»OT»Trial-Basicmotion</v></cell><cell r="AH342"><v>223298811</v></cell><cell r="AI342" t="str"><v>AzurePlatform_FBCTCBasicMotion_JPN_10sec_ISV_PLAT_JA_Trial_Standard_STAN_TN_T1_1</v></cell><cell r="AJ342"><v>102773984</v></cell></row><row r="343"><cell r="C343" t="str"><v>43285Facebook»AZP-Retargeting»1x1»Canvas»OTH»MO»CPM»RT»W»UNK»TP»OT»Trial-BrandinMotion</v></cell><cell r="D343" t="str"><v>43285223298823</v></cell><cell r="E343" t="str"><v>43285102612720Motion</v></cell><cell r="F343" t="str"><v>DCM</v></cell><cell r="G343" t="str"><v>https://azure.microsoft.com/ja-jp/free/search/</v></cell></row><row r="343"><cell r="K343" t="str"><v>July</v></cell><cell r="L343"><v>43288</v></cell><cell r="M343" t="str"><v>Tier 1</v></cell><cell r="N343" t="str"><v>APAC</v></cell><cell r="O343" t="str"><v>Japan</v></cell><cell r="P343" t="str"><v>Trial</v></cell><cell r="Q343" t="str"><v>Social</v></cell><cell r="R343" t="str"><v>Azure</v></cell><cell r="S343" t="str"><v>Apps & Infra</v></cell><cell r="T343" t="str"><v>Developers & ITI's</v></cell><cell r="U343" t="str"><v>AZP-Retargeting</v></cell><cell r="V343" t="str"><v>Retargeting</v></cell><cell r="W343" t="str"><v>Other</v></cell><cell r="X343" t="str"><v>1x1</v></cell></row><row r="343"><cell r="AA343"><v>43285</v></cell><cell r="AB343" t="str"><v>JPN_gaPMG_AZR_AZR_Q1_19_Trial-Social</v></cell><cell r="AC343"><v>21276694</v></cell><cell r="AD343"><v>720195</v></cell><cell r="AE343" t="str"><v>Facebook</v></cell><cell r="AF343"><v>3654128</v></cell><cell r="AG343" t="str"><v>Facebook»AZP-Retargeting»1x1»Canvas»OTH»MO»CPM»RT»W»UNK»TP»OT»Trial-BrandinMotion</v></cell><cell r="AH343"><v>223298823</v></cell><cell r="AI343" t="str"><v>AzurePlatform_FBCTCBrandinMotion_JPN_12sec_ISV_PLAT_JA_Trial_Standard_STAN_TN_T2_1</v></cell><cell r="AJ343"><v>102612720</v></cell></row><row r="344"><cell r="C344" t="str"><v>43285FACEBOOK»USA-Trial-ITD-Interest Prospecting-AZR-AZR»1 x 1»SocialBan»CAN»ALL»CPA»PRO»X»NA»SS»NA»FBCTCBenefit2inMotion»PRC1SW</v></cell><cell r="D344" t="str"><v>43285223933138</v></cell><cell r="E344" t="str"><v>43285103043835PRC1SW</v></cell><cell r="F344" t="str"><v>DCM</v></cell><cell r="G344" t="str"><v>https://signup.azure.com/?OCID=AID%eexcid!_OLA_%ebuy!_%epid!_%ecid!</v></cell></row><row r="344"><cell r="K344" t="str"><v>July</v></cell><cell r="L344"><v>43288</v></cell><cell r="M344" t="str"><v>Tier 0</v></cell><cell r="N344" t="str"><v>North America</v></cell><cell r="O344" t="str"><v>United States</v></cell><cell r="P344" t="str"><v>Trial</v></cell><cell r="Q344" t="str"><v>Social</v></cell><cell r="R344" t="str"><v>Azure</v></cell><cell r="S344" t="str"><v>Apps & Infra</v></cell><cell r="T344" t="str"><v>Developers & ITI's</v></cell><cell r="U344" t="str"><v>USA-Trial-ITD-Interest Prospecting-AZR-AZR</v></cell><cell r="V344" t="str"><v>Prospecting</v></cell><cell r="W344" t="str"><v>Canvas Ad</v></cell><cell r="X344" t="str"><v>1x1</v></cell></row><row r="344"><cell r="AA344"><v>43285</v></cell><cell r="AB344" t="str"><v>USA_gaPMG_AZR_AZR_Q1_19_Direct-Social</v></cell><cell r="AC344"><v>21358715</v></cell><cell r="AD344"><v>720197</v></cell><cell r="AE344" t="str"><v>Facebook</v></cell><cell r="AF344"><v>3654128</v></cell><cell r="AG344" t="str"><v>FACEBOOK»USA-Trial-ITD-Interest Prospecting-AZR-AZR»1 x 1»SocialBan»CAN»ALL»CPA»PRO»X»NA»SS»NA»FBCTCBenefit2inMotion»PRC1SW</v></cell><cell r="AH344"><v>223933138</v></cell><cell r="AI344" t="str"><v>AzurePlatform_FBCTCBenefit2inMotion_USA_10s_CAN_PLATFORM_English_Trial_Standard_STAN_TIN_T4_1</v></cell><cell r="AJ344"><v>103043835</v></cell></row><row r="345"><cell r="C345" t="str"><v>43285FACEBOOK»USA-Trial-ITD-Interest Prospecting-AZR-AZR»1 x 1»SocialBan»CAN»ALL»CPA»PRO»X»NA»SS»NA»FBCTCBrandinMotion»PRC1SY</v></cell><cell r="D345" t="str"><v>43285224104929</v></cell><cell r="E345" t="str"><v>43285103176812PRC1SY</v></cell><cell r="F345" t="str"><v>DCM</v></cell><cell r="G345" t="str"><v>https://signup.azure.com/?OCID=AID%eexcid!_OLA_%ebuy!_%epid!_%ecid!</v></cell></row><row r="345"><cell r="K345" t="str"><v>July</v></cell><cell r="L345"><v>43288</v></cell><cell r="M345" t="str"><v>Tier 0</v></cell><cell r="N345" t="str"><v>North America</v></cell><cell r="O345" t="str"><v>United States</v></cell><cell r="P345" t="str"><v>Trial</v></cell><cell r="Q345" t="str"><v>Social</v></cell><cell r="R345" t="str"><v>Azure</v></cell><cell r="S345" t="str"><v>Apps & Infra</v></cell><cell r="T345" t="str"><v>Developers & ITI's</v></cell><cell r="U345" t="str"><v>USA-Trial-ITD-Interest Prospecting-AZR-AZR</v></cell><cell r="V345" t="str"><v>Prospecting</v></cell><cell r="W345" t="str"><v>Canvas Ad</v></cell><cell r="X345" t="str"><v>1x1</v></cell></row><row r="345"><cell r="AA345"><v>43285</v></cell><cell r="AB345" t="str"><v>USA_gaPMG_AZR_AZR_Q1_19_Direct-Social</v></cell><cell r="AC345"><v>21358715</v></cell><cell r="AD345"><v>720197</v></cell><cell r="AE345" t="str"><v>Facebook</v></cell><cell r="AF345"><v>3654128</v></cell><cell r="AG345" t="str"><v>FACEBOOK»USA-Trial-ITD-Interest Prospecting-AZR-AZR»1 x 1»SocialBan»CAN»ALL»CPA»PRO»X»NA»SS»NA»FBCTCBrandinMotion»PRC1SY</v></cell><cell r="AH345"><v>224104929</v></cell><cell r="AI345" t="str"><v>AzurePlatform_FBCTCBrandinMotion_USA_10s_CAN_PLATFORM_English_Trial_Standard_STAN_TIN_T2_1</v></cell><cell r="AJ345"><v>103176812</v></cell></row><row r="346"><cell r="C346" t="str"><v>43285FACEBOOK»USA-Trial-ITD-Interest Prospecting-AZR-AZR»1 x 1»SocialBan»CAN»ALL»CPA»PRO»X»NA»SS»NA»FBCTCBrandinMotion»PRC1SY</v></cell><cell r="D346" t="str"><v>43285224104929</v></cell><cell r="E346" t="str"><v>43285103032823PRC1SY</v></cell><cell r="F346" t="str"><v>DCM</v></cell><cell r="G346" t="str"><v>https://azure.microsoft.com/en-us/pricing/purchase-options/?v=18.19&OCID=AID%eexcid!_OLA_%ebuy!_%epid!_%ecid!</v></cell></row><row r="346"><cell r="K346" t="str"><v>July</v></cell><cell r="L346"><v>43288</v></cell><cell r="M346" t="str"><v>Tier 0</v></cell><cell r="N346" t="str"><v>North America</v></cell><cell r="O346" t="str"><v>United States</v></cell><cell r="P346" t="str"><v>Trial</v></cell><cell r="Q346" t="str"><v>Social</v></cell><cell r="R346" t="str"><v>Azure</v></cell><cell r="S346" t="str"><v>Apps & Infra</v></cell><cell r="T346" t="str"><v>Developers & ITI's</v></cell><cell r="U346" t="str"><v>USA-Trial-ITD-Interest Prospecting-AZR-AZR</v></cell><cell r="V346" t="str"><v>Prospecting</v></cell><cell r="W346" t="str"><v>Canvas Ad</v></cell><cell r="X346" t="str"><v>1x1</v></cell></row><row r="346"><cell r="AA346"><v>43285</v></cell><cell r="AB346" t="str"><v>USA_gaPMG_AZR_AZR_Q1_19_Direct-Social</v></cell><cell r="AC346"><v>21358715</v></cell><cell r="AD346"><v>720197</v></cell><cell r="AE346" t="str"><v>Facebook</v></cell><cell r="AF346"><v>3654128</v></cell><cell r="AG346" t="str"><v>FACEBOOK»USA-Trial-ITD-Interest Prospecting-AZR-AZR»1 x 1»SocialBan»CAN»ALL»CPA»PRO»X»NA»SS»NA»FBCTCBrandinMotion»PRC1SY</v></cell><cell r="AH346"><v>224104929</v></cell><cell r="AI346" t="str"><v>AzurePlatform_FBCTCBrandinMotion_USA_10s_CAN_PLATFORM_English_Trial_Standard_STAN_TIN_T2_2</v></cell><cell r="AJ346"><v>103032823</v></cell></row><row r="347"><cell r="C347" t="str"><v>43285FACEBOOK»USA-Trial-ITD-Interest Prospecting-AZR-AZR»1 x 1»SocialBan»LIA»ALL»CPA»PRO»X»NA»SS»NA»FreeAcctDeveloperFB-AnimatedGeneric-Ch1»PRC1SZ</v></cell><cell r="D347" t="str"><v>43285224104932</v></cell><cell r="E347" t="str"><v>43285103176851PRC1SZ</v></cell><cell r="F347" t="str"><v>DCM</v></cell><cell r="G347" t="str"><v>https://azure.microsoft.com/en-us/free/search/?OCID=AID%eexcid!_OLA_%ebuy!_%epid!_%ecid!</v></cell></row><row r="347"><cell r="K347" t="str"><v>July</v></cell><cell r="L347"><v>43288</v></cell><cell r="M347" t="str"><v>Tier 0</v></cell><cell r="N347" t="str"><v>North America</v></cell><cell r="O347" t="str"><v>United States</v></cell><cell r="P347" t="str"><v>Trial</v></cell><cell r="Q347" t="str"><v>Social</v></cell><cell r="R347" t="str"><v>Azure</v></cell><cell r="S347" t="str"><v>Apps & Infra</v></cell><cell r="T347" t="str"><v>Developers & ITI's</v></cell><cell r="U347" t="str"><v>USA-Trial-ITD-Interest Prospecting-AZR-AZR</v></cell><cell r="V347" t="str"><v>Prospecting</v></cell><cell r="W347" t="str"><v>Link Ad</v></cell><cell r="X347" t="str"><v>1x1</v></cell></row><row r="347"><cell r="AA347"><v>43285</v></cell><cell r="AB347" t="str"><v>USA_gaPMG_AZR_AZR_Q1_19_Direct-Social</v></cell><cell r="AC347"><v>21358715</v></cell><cell r="AD347"><v>720197</v></cell><cell r="AE347" t="str"><v>Facebook</v></cell><cell r="AF347"><v>3654128</v></cell><cell r="AG347" t="str"><v>FACEBOOK»USA-Trial-ITD-Interest Prospecting-AZR-AZR»1 x 1»SocialBan»LIA»ALL»CPA»PRO»X»NA»SS»NA»FreeAcctDeveloperFB-AnimatedGeneric-Ch1»PRC1SZ</v></cell><cell r="AH347"><v>224104932</v></cell><cell r="AI347" t="str"><v>AZR_FreeAcctDeveloperFB-AnimatedGeneric-Ch1_USA_1200x1200_CAN_Direct_English_Trial_Standard_ANI_LEA_T1_2</v></cell><cell r="AJ347"><v>103176851</v></cell></row><row r="348"><cell r="C348" t="str"><v>43285FACEBOOK»USA-Trial-ITD-Interest Prospecting-AZR-AZR»1 x 1»SocialBan»LIA»ALL»CPA»PRO»X»NA»SS»NA»FreeAcctDeveloperFB-AnimatedGeneric-Ch1»PRC1T0</v></cell><cell r="D348" t="str"><v>43285223934065</v></cell><cell r="E348" t="str"><v>43285103176851PRC1T0</v></cell><cell r="F348" t="str"><v>DCM</v></cell><cell r="G348" t="str"><v>https://azure.microsoft.com/en-us/free/search/?OCID=AID%eexcid!_OLA_%ebuy!_%epid!_%ecid!</v></cell></row><row r="348"><cell r="K348" t="str"><v>July</v></cell><cell r="L348"><v>43288</v></cell><cell r="M348" t="str"><v>Tier 0</v></cell><cell r="N348" t="str"><v>North America</v></cell><cell r="O348" t="str"><v>United States</v></cell><cell r="P348" t="str"><v>Trial</v></cell><cell r="Q348" t="str"><v>Social</v></cell><cell r="R348" t="str"><v>Azure</v></cell><cell r="S348" t="str"><v>Apps & Infra</v></cell><cell r="T348" t="str"><v>Developers & ITI's</v></cell><cell r="U348" t="str"><v>USA-Trial-ITD-Interest Prospecting-AZR-AZR</v></cell><cell r="V348" t="str"><v>Prospecting</v></cell><cell r="W348" t="str"><v>Link Ad</v></cell><cell r="X348" t="str"><v>1x1</v></cell></row><row r="348"><cell r="AA348"><v>43285</v></cell><cell r="AB348" t="str"><v>USA_gaPMG_AZR_AZR_Q1_19_Direct-Social</v></cell><cell r="AC348"><v>21358715</v></cell><cell r="AD348"><v>720197</v></cell><cell r="AE348" t="str"><v>Facebook</v></cell><cell r="AF348"><v>3654128</v></cell><cell r="AG348" t="str"><v>FACEBOOK»USA-Trial-ITD-Interest Prospecting-AZR-AZR»1 x 1»SocialBan»LIA»ALL»CPA»PRO»X»NA»SS»NA»FreeAcctDeveloperFB-AnimatedGeneric-Ch1»PRC1T0</v></cell><cell r="AH348"><v>223934065</v></cell><cell r="AI348" t="str"><v>AZR_FreeAcctDeveloperFB-AnimatedGeneric-Ch1_USA_1200x1200_CAN_Direct_English_Trial_Standard_ANI_LEA_T1_2</v></cell><cell r="AJ348"><v>103176851</v></cell></row><row r="349"><cell r="C349" t="str"><v>43285FACEBOOK»USA-Trial-ITD-Interest Prospecting-AZR-AZR»1 x 1»SocialBan»LIA»ALL»CPA»PRO»X»NA»SS»NA»FreeAcctITProFB-AnimatedHybrid-Ch2»PRC1T5</v></cell><cell r="D349" t="str"><v>43285223862882</v></cell><cell r="E349" t="str"><v>43285103180583PRC1T5</v></cell><cell r="F349" t="str"><v>DCM</v></cell></row><row r="349"><cell r="K349" t="str"><v>July</v></cell><cell r="L349"><v>43288</v></cell><cell r="M349" t="str"><v>Tier 0</v></cell><cell r="N349" t="str"><v>North America</v></cell><cell r="O349" t="str"><v>United States</v></cell><cell r="P349" t="str"><v>Trial</v></cell><cell r="Q349" t="str"><v>Social</v></cell><cell r="R349" t="str"><v>Azure</v></cell><cell r="S349" t="str"><v>Apps & Infra</v></cell><cell r="T349" t="str"><v>Developers & ITI's</v></cell><cell r="U349" t="str"><v>USA-Trial-ITD-Interest Prospecting-AZR-AZR</v></cell><cell r="V349" t="str"><v>Prospecting</v></cell><cell r="W349" t="str"><v>Link Ad</v></cell><cell r="X349" t="str"><v>1x1</v></cell></row><row r="349"><cell r="AA349"><v>43285</v></cell><cell r="AB349" t="str"><v>USA_gaPMG_AZR_AZR_Q1_19_Direct-Social</v></cell><cell r="AC349"><v>21358715</v></cell><cell r="AD349"><v>720197</v></cell><cell r="AE349" t="str"><v>Facebook</v></cell><cell r="AF349"><v>3654128</v></cell><cell r="AG349" t="str"><v>FACEBOOK»USA-Trial-ITD-Interest Prospecting-AZR-AZR»1 x 1»SocialBan»LIA»ALL»CPA»PRO»X»NA»SS»NA»FreeAcctITProFB-AnimatedHybrid-Ch2»PRC1T5</v></cell><cell r="AH349"><v>223862882</v></cell><cell r="AI349" t="str"><v>AZR_FreeAcctITProFB-AnimatedHybrid-Ch2_USA_1200x1200_CAN_Direct_English_Trial_Standard_ANI_LEA_T2_2</v></cell><cell r="AJ349"><v>103180583</v></cell></row><row r="350"><cell r="C350" t="str"><v>43285FACEBOOK»USA-Trial-ITD-Interest Prospecting-AZR-AZR»1 x 1»SocialBan»LIA»ALL»CPA»PRO»X»NA»SS»NA»FreeAcctITProFB-AnimatedSecureMngd-Ch1»PRC1T4</v></cell><cell r="D350" t="str"><v>43285224104914</v></cell><cell r="E350" t="str"><v>43285103176830PRC1T4</v></cell><cell r="F350" t="str"><v>DCM</v></cell></row><row r="350"><cell r="K350" t="str"><v>July</v></cell><cell r="L350"><v>43288</v></cell><cell r="M350" t="str"><v>Tier 0</v></cell><cell r="N350" t="str"><v>North America</v></cell><cell r="O350" t="str"><v>United States</v></cell><cell r="P350" t="str"><v>Trial</v></cell><cell r="Q350" t="str"><v>Social</v></cell><cell r="R350" t="str"><v>Azure</v></cell><cell r="S350" t="str"><v>Apps & Infra</v></cell><cell r="T350" t="str"><v>Developers & ITI's</v></cell><cell r="U350" t="str"><v>USA-Trial-ITD-Interest Prospecting-AZR-AZR</v></cell><cell r="V350" t="str"><v>Prospecting</v></cell><cell r="W350" t="str"><v>Link Ad</v></cell><cell r="X350" t="str"><v>1x1</v></cell></row><row r="350"><cell r="AA350"><v>43285</v></cell><cell r="AB350" t="str"><v>USA_gaPMG_AZR_AZR_Q1_19_Direct-Social</v></cell><cell r="AC350"><v>21358715</v></cell><cell r="AD350"><v>720197</v></cell><cell r="AE350" t="str"><v>Facebook</v></cell><cell r="AF350"><v>3654128</v></cell><cell r="AG350" t="str"><v>FACEBOOK»USA-Trial-ITD-Interest Prospecting-AZR-AZR»1 x 1»SocialBan»LIA»ALL»CPA»PRO»X»NA»SS»NA»FreeAcctITProFB-AnimatedSecureMngd-Ch1»PRC1T4</v></cell><cell r="AH350"><v>224104914</v></cell><cell r="AI350" t="str"><v>AZR_FreeAcctITProFB-AnimatedSecureMngd-Ch1_USA_1200x1200_CAN_Direct_English_Trial_Standard_ANI_LEA_T1_1</v></cell><cell r="AJ350"><v>103176830</v></cell></row><row r="351"><cell r="C351" t="str"><v>43285FACEBOOK»USA-Trial-ITD-Retargeting-AZR-AZR»1 x 1»SocialBan»LIA»ALL»CPA»RT»X»NA»SS»NA»FreeAcctDeveloperFB-AnimatedAI-Ch3»PRC26H</v></cell><cell r="D351" t="str"><v>43285223863371</v></cell><cell r="E351" t="str"><v>43285103032778PRC26H</v></cell><cell r="F351" t="str"><v>DCM</v></cell></row><row r="351"><cell r="K351" t="str"><v>July</v></cell><cell r="L351"><v>43288</v></cell><cell r="M351" t="str"><v>Tier 0</v></cell><cell r="N351" t="str"><v>North America</v></cell><cell r="O351" t="str"><v>United States</v></cell><cell r="P351" t="str"><v>Trial</v></cell><cell r="Q351" t="str"><v>Social</v></cell><cell r="R351" t="str"><v>Azure</v></cell><cell r="S351" t="str"><v>Apps & Infra</v></cell><cell r="T351" t="str"><v>Developers & ITI's</v></cell><cell r="U351" t="str"><v>USA-Trial-ITD-Retargeting-AZR-AZR</v></cell><cell r="V351" t="str"><v>Retargeting</v></cell><cell r="W351" t="str"><v>Link Ad</v></cell><cell r="X351" t="str"><v>1x1</v></cell></row><row r="351"><cell r="AA351"><v>43285</v></cell><cell r="AB351" t="str"><v>USA_gaPMG_AZR_AZR_Q1_19_Direct-Social</v></cell><cell r="AC351"><v>21358715</v></cell><cell r="AD351"><v>720197</v></cell><cell r="AE351" t="str"><v>Facebook</v></cell><cell r="AF351"><v>3654128</v></cell><cell r="AG351" t="str"><v>FACEBOOK»USA-Trial-ITD-Retargeting-AZR-AZR»1 x 1»SocialBan»LIA»ALL»CPA»RT»X»NA»SS»NA»FreeAcctDeveloperFB-AnimatedAI-Ch3»PRC26H</v></cell><cell r="AH351"><v>223863371</v></cell><cell r="AI351" t="str"><v>AZR_FreeAcctDeveloperFB-AnimatedAI-Ch3_USA_1200x1200_CAN_Direct_English_Trial_Standard_ANI_LEA_T3_1</v></cell><cell r="AJ351"><v>103032778</v></cell></row><row r="352"><cell r="C352" t="str"><v>43285FACEBOOK»USA-Trial-ITD-Retargeting-AZR-AZR»1 x 1»SocialBan»LIA»ALL»CPA»RT»X»NA»SS»NA»FreeAcctDeveloperFB-AnimatedData-Ch4»PRC26J</v></cell><cell r="D352" t="str"><v>43285224106078</v></cell><cell r="E352" t="str"><v>43285103037935PRC26J</v></cell><cell r="F352" t="str"><v>DCM</v></cell></row><row r="352"><cell r="K352" t="str"><v>July</v></cell><cell r="L352"><v>43288</v></cell><cell r="M352" t="str"><v>Tier 0</v></cell><cell r="N352" t="str"><v>North America</v></cell><cell r="O352" t="str"><v>United States</v></cell><cell r="P352" t="str"><v>Trial</v></cell><cell r="Q352" t="str"><v>Social</v></cell><cell r="R352" t="str"><v>Azure</v></cell><cell r="S352" t="str"><v>Apps & Infra</v></cell><cell r="T352" t="str"><v>Developers & ITI's</v></cell><cell r="U352" t="str"><v>USA-Trial-ITD-Retargeting-AZR-AZR</v></cell><cell r="V352" t="str"><v>Retargeting</v></cell><cell r="W352" t="str"><v>Link Ad</v></cell><cell r="X352" t="str"><v>1x1</v></cell></row><row r="352"><cell r="AA352"><v>43285</v></cell><cell r="AB352" t="str"><v>USA_gaPMG_AZR_AZR_Q1_19_Direct-Social</v></cell><cell r="AC352"><v>21358715</v></cell><cell r="AD352"><v>720197</v></cell><cell r="AE352" t="str"><v>Facebook</v></cell><cell r="AF352"><v>3654128</v></cell><cell r="AG352" t="str"><v>FACEBOOK»USA-Trial-ITD-Retargeting-AZR-AZR»1 x 1»SocialBan»LIA»ALL»CPA»RT»X»NA»SS»NA»FreeAcctDeveloperFB-AnimatedData-Ch4»PRC26J</v></cell><cell r="AH352"><v>224106078</v></cell><cell r="AI352" t="str"><v>AZR_FreeAcctDeveloperFB-AnimatedData-Ch4_USA_1200x1200_CAN_Direct_English_Trial_Standard_ANI_LEA_T4_2</v></cell><cell r="AJ352"><v>103037935</v></cell></row><row r="353"><cell r="C353" t="str"><v>43285FACEBOOK»USA-Trial-ITD-Retargeting-AZR-AZR»1 x 1»SocialBan»LIA»ALL»CPA»RT»X»NA»SS»NA»FreeAcctDeveloperFB-AnimatedGeneric-Ch1»PRC26F</v></cell><cell r="D353" t="str"><v>43285224105850</v></cell><cell r="E353" t="str"><v>43285103176851PRC26F</v></cell><cell r="F353" t="str"><v>DCM</v></cell><cell r="G353" t="str"><v>https://azure.microsoft.com/en-us/free/search/?OCID=AID%eexcid!_OLA_%ebuy!_%epid!_%ecid!</v></cell></row><row r="353"><cell r="K353" t="str"><v>July</v></cell><cell r="L353"><v>43288</v></cell><cell r="M353" t="str"><v>Tier 0</v></cell><cell r="N353" t="str"><v>North America</v></cell><cell r="O353" t="str"><v>United States</v></cell><cell r="P353" t="str"><v>Trial</v></cell><cell r="Q353" t="str"><v>Social</v></cell><cell r="R353" t="str"><v>Azure</v></cell><cell r="S353" t="str"><v>Apps & Infra</v></cell><cell r="T353" t="str"><v>Developers & ITI's</v></cell><cell r="U353" t="str"><v>USA-Trial-ITD-Retargeting-AZR-AZR</v></cell><cell r="V353" t="str"><v>Retargeting</v></cell><cell r="W353" t="str"><v>Link Ad</v></cell><cell r="X353" t="str"><v>1x1</v></cell></row><row r="353"><cell r="AA353"><v>43285</v></cell><cell r="AB353" t="str"><v>USA_gaPMG_AZR_AZR_Q1_19_Direct-Social</v></cell><cell r="AC353"><v>21358715</v></cell><cell r="AD353"><v>720197</v></cell><cell r="AE353" t="str"><v>Facebook</v></cell><cell r="AF353"><v>3654128</v></cell><cell r="AG353" t="str"><v>FACEBOOK»USA-Trial-ITD-Retargeting-AZR-AZR»1 x 1»SocialBan»LIA»ALL»CPA»RT»X»NA»SS»NA»FreeAcctDeveloperFB-AnimatedGeneric-Ch1»PRC26F</v></cell><cell r="AH353"><v>224105850</v></cell><cell r="AI353" t="str"><v>AZR_FreeAcctDeveloperFB-AnimatedGeneric-Ch1_USA_1200x1200_CAN_Direct_English_Trial_Standard_ANI_LEA_T1_2</v></cell><cell r="AJ353"><v>103176851</v></cell></row><row r="354"><cell r="C354" t="str"><v>43285FACEBOOK»USA-Trial-ITD-Retargeting-AZR-AZR»1 x 1»SocialBan»LIA»ALL»CPA»RT»X»NA»SS»NA»FreeAcctDeveloperFB-AnimatedOpenSource-Ch2»PRC26G</v></cell><cell r="D354" t="str"><v>43285223862873</v></cell><cell r="E354" t="str"><v>43285103048329PRC26G</v></cell><cell r="F354" t="str"><v>DCM</v></cell><cell r="G354" t="str"><v>https://azure.microsoft.com/en-us/free/open-source/search/?OCID=AID%eexcid!_OLA_%ebuy!_%epid!_%ecid!</v></cell></row><row r="354"><cell r="K354" t="str"><v>July</v></cell><cell r="L354"><v>43288</v></cell><cell r="M354" t="str"><v>Tier 0</v></cell><cell r="N354" t="str"><v>North America</v></cell><cell r="O354" t="str"><v>United States</v></cell><cell r="P354" t="str"><v>Trial</v></cell><cell r="Q354" t="str"><v>Social</v></cell><cell r="R354" t="str"><v>Azure</v></cell><cell r="S354" t="str"><v>Apps & Infra</v></cell><cell r="T354" t="str"><v>Developers & ITI's</v></cell><cell r="U354" t="str"><v>USA-Trial-ITD-Retargeting-AZR-AZR</v></cell><cell r="V354" t="str"><v>Retargeting</v></cell><cell r="W354" t="str"><v>Link Ad</v></cell><cell r="X354" t="str"><v>1x1</v></cell></row><row r="354"><cell r="AA354"><v>43285</v></cell><cell r="AB354" t="str"><v>USA_gaPMG_AZR_AZR_Q1_19_Direct-Social</v></cell><cell r="AC354"><v>21358715</v></cell><cell r="AD354"><v>720197</v></cell><cell r="AE354" t="str"><v>Facebook</v></cell><cell r="AF354"><v>3654128</v></cell><cell r="AG354" t="str"><v>FACEBOOK»USA-Trial-ITD-Retargeting-AZR-AZR»1 x 1»SocialBan»LIA»ALL»CPA»RT»X»NA»SS»NA»FreeAcctDeveloperFB-AnimatedOpenSource-Ch2»PRC26G</v></cell><cell r="AH354"><v>223862873</v></cell><cell r="AI354" t="str"><v>AZR_FreeAcctDeveloperFB-AnimatedOpenSource-Ch2_USA_1200x1200_CAN_Direct_English_Trial_Standard_ANI_LEA_T2_1</v></cell><cell r="AJ354"><v>103048329</v></cell></row><row r="355"><cell r="C355" t="str"><v>43285FACEBOOK»USA-Trial-ITD-Retargeting-AZR-AZR»1 x 1»SocialBan»LIA»ALL»CPA»RT»X»NA»SS»NA»FreeAcctITProFB-AnimatedHybrid-Ch2»PRC26N</v></cell><cell r="D355" t="str"><v>43285223934053</v></cell><cell r="E355" t="str"><v>43285103180583PRC26N</v></cell><cell r="F355" t="str"><v>DCM</v></cell></row><row r="355"><cell r="K355" t="str"><v>July</v></cell><cell r="L355"><v>43288</v></cell><cell r="M355" t="str"><v>Tier 0</v></cell><cell r="N355" t="str"><v>North America</v></cell><cell r="O355" t="str"><v>United States</v></cell><cell r="P355" t="str"><v>Trial</v></cell><cell r="Q355" t="str"><v>Social</v></cell><cell r="R355" t="str"><v>Azure</v></cell><cell r="S355" t="str"><v>Apps & Infra</v></cell><cell r="T355" t="str"><v>Developers & ITI's</v></cell><cell r="U355" t="str"><v>USA-Trial-ITD-Retargeting-AZR-AZR</v></cell><cell r="V355" t="str"><v>Retargeting</v></cell><cell r="W355" t="str"><v>Link Ad</v></cell><cell r="X355" t="str"><v>1x1</v></cell></row><row r="355"><cell r="AA355"><v>43285</v></cell><cell r="AB355" t="str"><v>USA_gaPMG_AZR_AZR_Q1_19_Direct-Social</v></cell><cell r="AC355"><v>21358715</v></cell><cell r="AD355"><v>720197</v></cell><cell r="AE355" t="str"><v>Facebook</v></cell><cell r="AF355"><v>3654128</v></cell><cell r="AG355" t="str"><v>FACEBOOK»USA-Trial-ITD-Retargeting-AZR-AZR»1 x 1»SocialBan»LIA»ALL»CPA»RT»X»NA»SS»NA»FreeAcctITProFB-AnimatedHybrid-Ch2»PRC26N</v></cell><cell r="AH355"><v>223934053</v></cell><cell r="AI355" t="str"><v>AZR_FreeAcctITProFB-AnimatedHybrid-Ch2_USA_1200x1200_CAN_Direct_English_Trial_Standard_ANI_LEA_T2_2</v></cell><cell r="AJ355"><v>103180583</v></cell></row><row r="356"><cell r="C356" t="str"><v>43285FACEBOOK»USA-Trial-ITD-Retargeting-AZR-AZR»1 x 1»SocialBan»LIA»ALL»CPA»RT»X»NA»SS»NA»FreeAcctITProFB-AnimatedMigration-Ch3»PRC26P</v></cell><cell r="D356" t="str"><v>43285223934056</v></cell><cell r="E356" t="str"><v>43285103176827PRC26P</v></cell><cell r="F356" t="str"><v>DCM</v></cell></row><row r="356"><cell r="K356" t="str"><v>July</v></cell><cell r="L356"><v>43288</v></cell><cell r="M356" t="str"><v>Tier 0</v></cell><cell r="N356" t="str"><v>North America</v></cell><cell r="O356" t="str"><v>United States</v></cell><cell r="P356" t="str"><v>Trial</v></cell><cell r="Q356" t="str"><v>Social</v></cell><cell r="R356" t="str"><v>Azure</v></cell><cell r="S356" t="str"><v>Apps & Infra</v></cell><cell r="T356" t="str"><v>Developers & ITI's</v></cell><cell r="U356" t="str"><v>USA-Trial-ITD-Retargeting-AZR-AZR</v></cell><cell r="V356" t="str"><v>Retargeting</v></cell><cell r="W356" t="str"><v>Link Ad</v></cell><cell r="X356" t="str"><v>1x1</v></cell></row><row r="356"><cell r="AA356"><v>43285</v></cell><cell r="AB356" t="str"><v>USA_gaPMG_AZR_AZR_Q1_19_Direct-Social</v></cell><cell r="AC356"><v>21358715</v></cell><cell r="AD356"><v>720197</v></cell><cell r="AE356" t="str"><v>Facebook</v></cell><cell r="AF356"><v>3654128</v></cell><cell r="AG356" t="str"><v>FACEBOOK»USA-Trial-ITD-Retargeting-AZR-AZR»1 x 1»SocialBan»LIA»ALL»CPA»RT»X»NA»SS»NA»FreeAcctITProFB-AnimatedMigration-Ch3»PRC26P</v></cell><cell r="AH356"><v>223934056</v></cell><cell r="AI356" t="str"><v>AZR_FreeAcctITProFB-AnimatedMigration-Ch3_USA_1200x1200_CAN_Direct_English_Trial_Standard_ANI_LEA_T3_1</v></cell><cell r="AJ356"><v>103176827</v></cell></row><row r="357"><cell r="C357" t="str"><v>43285FACEBOOK»USA-Trial-ITD-Retargeting-AZR-AZR»1 x 1»SocialBan»LIA»ALL»CPA»RT»X»NA»SS»NA»FreeAcctRetargetingFB-Animated-ChC»PRC1RX</v></cell><cell r="D357" t="str"><v>43285223862864</v></cell><cell r="E357" t="str"><v>43285103180880PRC1RX</v></cell><cell r="F357" t="str"><v>DCM</v></cell><cell r="G357" t="str"><v>https://azure.microsoft.com/en-us/free/search/?OCID=AID%eexcid!_OLA_%ebuy!_%epid!_%ecid!</v></cell></row><row r="357"><cell r="K357" t="str"><v>July</v></cell><cell r="L357"><v>43288</v></cell><cell r="M357" t="str"><v>Tier 0</v></cell><cell r="N357" t="str"><v>North America</v></cell><cell r="O357" t="str"><v>United States</v></cell><cell r="P357" t="str"><v>Trial</v></cell><cell r="Q357" t="str"><v>Social</v></cell><cell r="R357" t="str"><v>Azure</v></cell><cell r="S357" t="str"><v>Apps & Infra</v></cell><cell r="T357" t="str"><v>Developers & ITI's</v></cell><cell r="U357" t="str"><v>USA-Trial-ITD-Retargeting-AZR-AZR</v></cell><cell r="V357" t="str"><v>Retargeting</v></cell><cell r="W357" t="str"><v>Link Ad</v></cell><cell r="X357" t="str"><v>1x1</v></cell></row><row r="357"><cell r="AA357"><v>43285</v></cell><cell r="AB357" t="str"><v>USA_gaPMG_AZR_AZR_Q1_19_Direct-Social</v></cell><cell r="AC357"><v>21358715</v></cell><cell r="AD357"><v>720197</v></cell><cell r="AE357" t="str"><v>Facebook</v></cell><cell r="AF357"><v>3654128</v></cell><cell r="AG357" t="str"><v>FACEBOOK»USA-Trial-ITD-Retargeting-AZR-AZR»1 x 1»SocialBan»LIA»ALL»CPA»RT»X»NA»SS»NA»FreeAcctRetargetingFB-Animated-ChC»PRC1RX</v></cell><cell r="AH357"><v>223862864</v></cell><cell r="AI357" t="str"><v>AzurePlatform_FreeAcctRetargetingFB-Animated-ChC_USA_1200x628_CAN_PLATFORM_English_Free Account_Standard_ANI_SINU_T3_2</v></cell><cell r="AJ357"><v>103180880</v></cell></row><row r="358"><cell r="C358" t="str"><v>43285FACEBOOK»USA-Trial-ITD-Retargeting-AZR-AZR»1 x 1»SocialBan»LIA»ALL»CPA»RT»X»NA»SS»NA»FreeAcctRetargetingFB-Credit-ChA»PRC1RV</v></cell><cell r="D358" t="str"><v>43285224106075</v></cell><cell r="E358" t="str"><v>43285103034917PRC1RV</v></cell><cell r="F358" t="str"><v>DCM</v></cell><cell r="G358" t="str"><v>https://azure.microsoft.com/en-us/free/search/?OCID=AID%eexcid!_OLA_%ebuy!_%epid!_%ecid!</v></cell></row><row r="358"><cell r="K358" t="str"><v>July</v></cell><cell r="L358"><v>43288</v></cell><cell r="M358" t="str"><v>Tier 0</v></cell><cell r="N358" t="str"><v>North America</v></cell><cell r="O358" t="str"><v>United States</v></cell><cell r="P358" t="str"><v>Trial</v></cell><cell r="Q358" t="str"><v>Social</v></cell><cell r="R358" t="str"><v>Azure</v></cell><cell r="S358" t="str"><v>Apps & Infra</v></cell><cell r="T358" t="str"><v>Developers & ITI's</v></cell><cell r="U358" t="str"><v>USA-Trial-ITD-Retargeting-AZR-AZR</v></cell><cell r="V358" t="str"><v>Retargeting</v></cell><cell r="W358" t="str"><v>Link Ad</v></cell><cell r="X358" t="str"><v>1x1</v></cell></row><row r="358"><cell r="AA358"><v>43285</v></cell><cell r="AB358" t="str"><v>USA_gaPMG_AZR_AZR_Q1_19_Direct-Social</v></cell><cell r="AC358"><v>21358715</v></cell><cell r="AD358"><v>720197</v></cell><cell r="AE358" t="str"><v>Facebook</v></cell><cell r="AF358"><v>3654128</v></cell><cell r="AG358" t="str"><v>FACEBOOK»USA-Trial-ITD-Retargeting-AZR-AZR»1 x 1»SocialBan»LIA»ALL»CPA»RT»X»NA»SS»NA»FreeAcctRetargetingFB-Credit-ChA»PRC1RV</v></cell><cell r="AH358"><v>224106075</v></cell><cell r="AI358" t="str"><v>AzurePlatform_FreeAcctRetargetingFB-Credit-ChA_USA_1200x628_CAN_PLATFORM_English_Free Account_Standard_NA_SINU_T1_2</v></cell><cell r="AJ358"><v>103034917</v></cell></row><row r="359"><cell r="C359" t="str"><v>43285FACEBOOK»USA-Trial-ITD-Retargeting-AZR-AZR»1 x 1»SocialBan»LIA»ALL»CPA»RT»X»NA»SS»NA»FreeAcctRetargetingFB-GlobalAlt-ChB»PRC1RW</v></cell><cell r="D359" t="str"><v>43285223862756</v></cell><cell r="E359" t="str"><v>43285103180592PRC1RW</v></cell><cell r="F359" t="str"><v>DCM</v></cell><cell r="G359" t="str"><v>https://azure.microsoft.com/en-us/free/search/?OCID=AID%eexcid!_OLA_%ebuy!_%epid!_%ecid!</v></cell></row><row r="359"><cell r="K359" t="str"><v>July</v></cell><cell r="L359"><v>43288</v></cell><cell r="M359" t="str"><v>Tier 0</v></cell><cell r="N359" t="str"><v>North America</v></cell><cell r="O359" t="str"><v>United States</v></cell><cell r="P359" t="str"><v>Trial</v></cell><cell r="Q359" t="str"><v>Social</v></cell><cell r="R359" t="str"><v>Azure</v></cell><cell r="S359" t="str"><v>Apps & Infra</v></cell><cell r="T359" t="str"><v>Developers & ITI's</v></cell><cell r="U359" t="str"><v>USA-Trial-ITD-Retargeting-AZR-AZR</v></cell><cell r="V359" t="str"><v>Retargeting</v></cell><cell r="W359" t="str"><v>Link Ad</v></cell><cell r="X359" t="str"><v>1x1</v></cell></row><row r="359"><cell r="AA359"><v>43285</v></cell><cell r="AB359" t="str"><v>USA_gaPMG_AZR_AZR_Q1_19_Direct-Social</v></cell><cell r="AC359"><v>21358715</v></cell><cell r="AD359"><v>720197</v></cell><cell r="AE359" t="str"><v>Facebook</v></cell><cell r="AF359"><v>3654128</v></cell><cell r="AG359" t="str"><v>FACEBOOK»USA-Trial-ITD-Retargeting-AZR-AZR»1 x 1»SocialBan»LIA»ALL»CPA»RT»X»NA»SS»NA»FreeAcctRetargetingFB-GlobalAlt-ChB»PRC1RW</v></cell><cell r="AH359"><v>223862756</v></cell><cell r="AI359" t="str"><v>AzurePlatform_FreeAcctRetargetingFB-GlobalAlt-ChB_USA_1200x628_CAN_PLATFORM_English_Free Account_Standard_NA_SINU_T2_1</v></cell><cell r="AJ359"><v>103180592</v></cell></row><row r="360"><cell r="C360" t="str"><v>43285FACEBOOK»USA-Trial-ITD-Retargeting-AZR-AZR»1 x 1»SocialBan»LIA»ALL»CPA»RT»X»NA»SS»NA»FreeAcctRetargetingVMFB-750Hrs-ChD»PRC1RY</v></cell><cell r="D360" t="str"><v>43285223862747</v></cell><cell r="E360" t="str"><v>43285103034911PRC1RY</v></cell><cell r="F360" t="str"><v>DCM</v></cell><cell r="G360" t="str"><v>https://azure.microsoft.com/en-us/free/virtual-machines/search/?OCID=AID%eexcid!_OLA_%ebuy!_%epid!_%ecid!</v></cell></row><row r="360"><cell r="K360" t="str"><v>July</v></cell><cell r="L360"><v>43288</v></cell><cell r="M360" t="str"><v>Tier 0</v></cell><cell r="N360" t="str"><v>North America</v></cell><cell r="O360" t="str"><v>United States</v></cell><cell r="P360" t="str"><v>Trial</v></cell><cell r="Q360" t="str"><v>Social</v></cell><cell r="R360" t="str"><v>Azure</v></cell><cell r="S360" t="str"><v>Apps & Infra</v></cell><cell r="T360" t="str"><v>Developers & ITI's</v></cell><cell r="U360" t="str"><v>USA-Trial-ITD-Retargeting-AZR-AZR</v></cell><cell r="V360" t="str"><v>Retargeting</v></cell><cell r="W360" t="str"><v>Link Ad</v></cell><cell r="X360" t="str"><v>1x1</v></cell></row><row r="360"><cell r="AA360"><v>43285</v></cell><cell r="AB360" t="str"><v>USA_gaPMG_AZR_AZR_Q1_19_Direct-Social</v></cell><cell r="AC360"><v>21358715</v></cell><cell r="AD360"><v>720197</v></cell><cell r="AE360" t="str"><v>Facebook</v></cell><cell r="AF360"><v>3654128</v></cell><cell r="AG360" t="str"><v>FACEBOOK»USA-Trial-ITD-Retargeting-AZR-AZR»1 x 1»SocialBan»LIA»ALL»CPA»RT»X»NA»SS»NA»FreeAcctRetargetingVMFB-750Hrs-ChD»PRC1RY</v></cell><cell r="AH360"><v>223862747</v></cell><cell r="AI360" t="str"><v>AzurePlatform_FreeAcctRetargetingVMFB-750Hrs-ChD_USA_1200x628_CAN_PLATFORM_English_Free Account_Standard_NA_SINU_T1_1</v></cell><cell r="AJ360"><v>103034911</v></cell></row><row r="361"><cell r="C361" t="str"><v>43285FACEBOOK»USA-Trial-ITD-Retargeting-AZR-AZR»1 x 1»SocialBan»LIA»ALL»CPA»RT»X»NA»SS»NA»FreeAcctRetargetingVMFB-OnDemand-ChE»PRC1S0</v></cell><cell r="D361" t="str"><v>43285224104899</v></cell><cell r="E361" t="str"><v>43285103180610PRC1S0</v></cell><cell r="F361" t="str"><v>DCM</v></cell><cell r="G361" t="str"><v>https://azure.microsoft.com/en-us/free/virtual-machines/search/?OCID=AID%eexcid!_OLA_%ebuy!_%epid!_%ecid!</v></cell></row><row r="361"><cell r="K361" t="str"><v>July</v></cell><cell r="L361"><v>43288</v></cell><cell r="M361" t="str"><v>Tier 0</v></cell><cell r="N361" t="str"><v>North America</v></cell><cell r="O361" t="str"><v>United States</v></cell><cell r="P361" t="str"><v>Trial</v></cell><cell r="Q361" t="str"><v>Social</v></cell><cell r="R361" t="str"><v>Azure</v></cell><cell r="S361" t="str"><v>Apps & Infra</v></cell><cell r="T361" t="str"><v>Developers & ITI's</v></cell><cell r="U361" t="str"><v>USA-Trial-ITD-Retargeting-AZR-AZR</v></cell><cell r="V361" t="str"><v>Retargeting</v></cell><cell r="W361" t="str"><v>Link Ad</v></cell><cell r="X361" t="str"><v>1x1</v></cell></row><row r="361"><cell r="AA361"><v>43285</v></cell><cell r="AB361" t="str"><v>USA_gaPMG_AZR_AZR_Q1_19_Direct-Social</v></cell><cell r="AC361"><v>21358715</v></cell><cell r="AD361"><v>720197</v></cell><cell r="AE361" t="str"><v>Facebook</v></cell><cell r="AF361"><v>3654128</v></cell><cell r="AG361" t="str"><v>FACEBOOK»USA-Trial-ITD-Retargeting-AZR-AZR»1 x 1»SocialBan»LIA»ALL»CPA»RT»X»NA»SS»NA»FreeAcctRetargetingVMFB-OnDemand-ChE»PRC1S0</v></cell><cell r="AH361"><v>224104899</v></cell><cell r="AI361" t="str"><v>AzurePlatform_FreeAcctRetargetingVMFB-OnDemand-ChE_USA_1200x628_CAN_PLATFORM_English_Free Account_Standard_NA_SINU_T2_1</v></cell><cell r="AJ361"><v>103180610</v></cell></row><row r="362"><cell r="C362" t="str"><v>43285FACEBOOK»USA-Trial-ITD-Retargeting-AZR-AZR»1 x 1»SocialBan»CAN»ALL»CPA»RT»X»NA»SS»NA»FBCTCBenefit2inMotion»PRC1RR</v></cell><cell r="D362" t="str"><v>43285224104896</v></cell><cell r="E362" t="str"><v>43285103043835PRC1RR</v></cell><cell r="F362" t="str"><v>DCM</v></cell><cell r="G362" t="str"><v>https://signup.azure.com/?OCID=AID%eexcid!_OLA_%ebuy!_%epid!_%ecid!</v></cell></row><row r="362"><cell r="K362" t="str"><v>July</v></cell><cell r="L362"><v>43288</v></cell><cell r="M362" t="str"><v>Tier 0</v></cell><cell r="N362" t="str"><v>North America</v></cell><cell r="O362" t="str"><v>United States</v></cell><cell r="P362" t="str"><v>Trial</v></cell><cell r="Q362" t="str"><v>Social</v></cell><cell r="R362" t="str"><v>Azure</v></cell><cell r="S362" t="str"><v>Apps & Infra</v></cell><cell r="T362" t="str"><v>Developers & ITI's</v></cell><cell r="U362" t="str"><v>USA-Trial-ITD-Retargeting-AZR-AZR</v></cell><cell r="V362" t="str"><v>Retargeting</v></cell><cell r="W362" t="str"><v>Canvas Ad</v></cell><cell r="X362" t="str"><v>1x1</v></cell></row><row r="362"><cell r="AA362"><v>43285</v></cell><cell r="AB362" t="str"><v>USA_gaPMG_AZR_AZR_Q1_19_Direct-Social</v></cell><cell r="AC362"><v>21358715</v></cell><cell r="AD362"><v>720197</v></cell><cell r="AE362" t="str"><v>Facebook</v></cell><cell r="AF362"><v>3654128</v></cell><cell r="AG362" t="str"><v>FACEBOOK»USA-Trial-ITD-Retargeting-AZR-AZR»1 x 1»SocialBan»CAN»ALL»CPA»RT»X»NA»SS»NA»FBCTCBenefit2inMotion»PRC1RR</v></cell><cell r="AH362"><v>224104896</v></cell><cell r="AI362" t="str"><v>AzurePlatform_FBCTCBenefit2inMotion_USA_10s_CAN_PLATFORM_English_Trial_Standard_STAN_TIN_T4_1</v></cell><cell r="AJ362"><v>103043835</v></cell></row><row r="363"><cell r="C363" t="str"><v>43285FACEBOOK»USA-Trial-ITD-Retargeting-AZR-AZR»1 x 1»SocialBan»CAN»ALL»CPA»RT»X»NA»SS»NA»FBCTCBrandinMotion»PRC1RT</v></cell><cell r="D363" t="str"><v>43285224106069</v></cell><cell r="E363" t="str"><v>43285103176812PRC1RT</v></cell><cell r="F363" t="str"><v>DCM</v></cell><cell r="G363" t="str"><v>https://signup.azure.com/?OCID=AID%eexcid!_OLA_%ebuy!_%epid!_%ecid!</v></cell></row><row r="363"><cell r="K363" t="str"><v>July</v></cell><cell r="L363"><v>43288</v></cell><cell r="M363" t="str"><v>Tier 0</v></cell><cell r="N363" t="str"><v>North America</v></cell><cell r="O363" t="str"><v>United States</v></cell><cell r="P363" t="str"><v>Trial</v></cell><cell r="Q363" t="str"><v>Social</v></cell><cell r="R363" t="str"><v>Azure</v></cell><cell r="S363" t="str"><v>Apps & Infra</v></cell><cell r="T363" t="str"><v>Developers & ITI's</v></cell><cell r="U363" t="str"><v>USA-Trial-ITD-Retargeting-AZR-AZR</v></cell><cell r="V363" t="str"><v>Retargeting</v></cell><cell r="W363" t="str"><v>Canvas Ad</v></cell><cell r="X363" t="str"><v>1x1</v></cell></row><row r="363"><cell r="AA363"><v>43285</v></cell><cell r="AB363" t="str"><v>USA_gaPMG_AZR_AZR_Q1_19_Direct-Social</v></cell><cell r="AC363"><v>21358715</v></cell><cell r="AD363"><v>720197</v></cell><cell r="AE363" t="str"><v>Facebook</v></cell><cell r="AF363"><v>3654128</v></cell><cell r="AG363" t="str"><v>FACEBOOK»USA-Trial-ITD-Retargeting-AZR-AZR»1 x 1»SocialBan»CAN»ALL»CPA»RT»X»NA»SS»NA»FBCTCBrandinMotion»PRC1RT</v></cell><cell r="AH363"><v>224106069</v></cell><cell r="AI363" t="str"><v>AzurePlatform_FBCTCBrandinMotion_USA_10s_CAN_PLATFORM_English_Trial_Standard_STAN_TIN_T2_1</v></cell><cell r="AJ363"><v>103176812</v></cell></row><row r="364"><cell r="C364" t="str"><v>43285FACEBOOK»USA-Trial-ITD-Retargeting-AZR-AZR»1 x 1»SocialBan»CAN»ALL»CPA»RT»X»NA»SS»NA»FBCTCBrandinMotion»PRC1RT</v></cell><cell r="D364" t="str"><v>43285224106069</v></cell><cell r="E364" t="str"><v>43285103032823PRC1RT</v></cell><cell r="F364" t="str"><v>DCM</v></cell><cell r="G364" t="str"><v>https://azure.microsoft.com/en-us/pricing/purchase-options/?v=18.19&OCID=AID%eexcid!_OLA_%ebuy!_%epid!_%ecid!</v></cell></row><row r="364"><cell r="K364" t="str"><v>July</v></cell><cell r="L364"><v>43288</v></cell><cell r="M364" t="str"><v>Tier 0</v></cell><cell r="N364" t="str"><v>North America</v></cell><cell r="O364" t="str"><v>United States</v></cell><cell r="P364" t="str"><v>Trial</v></cell><cell r="Q364" t="str"><v>Social</v></cell><cell r="R364" t="str"><v>Azure</v></cell><cell r="S364" t="str"><v>Apps & Infra</v></cell><cell r="T364" t="str"><v>Developers & ITI's</v></cell><cell r="U364" t="str"><v>USA-Trial-ITD-Retargeting-AZR-AZR</v></cell><cell r="V364" t="str"><v>Retargeting</v></cell><cell r="W364" t="str"><v>Canvas Ad</v></cell><cell r="X364" t="str"><v>1x1</v></cell></row><row r="364"><cell r="AA364"><v>43285</v></cell><cell r="AB364" t="str"><v>USA_gaPMG_AZR_AZR_Q1_19_Direct-Social</v></cell><cell r="AC364"><v>21358715</v></cell><cell r="AD364"><v>720197</v></cell><cell r="AE364" t="str"><v>Facebook</v></cell><cell r="AF364"><v>3654128</v></cell><cell r="AG364" t="str"><v>FACEBOOK»USA-Trial-ITD-Retargeting-AZR-AZR»1 x 1»SocialBan»CAN»ALL»CPA»RT»X»NA»SS»NA»FBCTCBrandinMotion»PRC1RT</v></cell><cell r="AH364"><v>224106069</v></cell><cell r="AI364" t="str"><v>AzurePlatform_FBCTCBrandinMotion_USA_10s_CAN_PLATFORM_English_Trial_Standard_STAN_TIN_T2_2</v></cell><cell r="AJ364"><v>103032823</v></cell></row><row r="365"><cell r="C365" t="str"><v>43285FACEBOOK»USA-Trial-ITD-Trial Lookalike-AZR-AZR»1 x 1»SocialBan»CAN»ALL»CPA»LAL»X»NA»SS»NA»FBCTCBenefit2inMotion»PRC1M0</v></cell><cell r="D365" t="str"><v>43285223862927</v></cell><cell r="E365" t="str"><v>43285103043835PRC1M0</v></cell><cell r="F365" t="str"><v>DCM</v></cell><cell r="G365" t="str"><v>https://signup.azure.com/?OCID=AID%eexcid!_OLA_%ebuy!_%epid!_%ecid!</v></cell></row><row r="365"><cell r="K365" t="str"><v>July</v></cell><cell r="L365"><v>43288</v></cell><cell r="M365" t="str"><v>Tier 0</v></cell><cell r="N365" t="str"><v>North America</v></cell><cell r="O365" t="str"><v>United States</v></cell><cell r="P365" t="str"><v>Trial</v></cell><cell r="Q365" t="str"><v>Social</v></cell><cell r="R365" t="str"><v>Azure</v></cell><cell r="S365" t="str"><v>Apps & Infra</v></cell><cell r="T365" t="str"><v>Developers & ITI's</v></cell><cell r="U365" t="str"><v>USA-Trial-ITD-Trial Lookalike-AZR-AZR</v></cell><cell r="V365" t="str"><v>Lookalike Targeting</v></cell><cell r="W365" t="str"><v>Canvas Ad</v></cell><cell r="X365" t="str"><v>1x1</v></cell></row><row r="365"><cell r="AA365"><v>43285</v></cell><cell r="AB365" t="str"><v>USA_gaPMG_AZR_AZR_Q1_19_Direct-Social</v></cell><cell r="AC365"><v>21358715</v></cell><cell r="AD365"><v>720197</v></cell><cell r="AE365" t="str"><v>Facebook</v></cell><cell r="AF365"><v>3654128</v></cell><cell r="AG365" t="str"><v>FACEBOOK»USA-Trial-ITD-Trial Lookalike-AZR-AZR»1 x 1»SocialBan»CAN»ALL»CPA»LAL»X»NA»SS»NA»FBCTCBenefit2inMotion»PRC1M0</v></cell><cell r="AH365"><v>223862927</v></cell><cell r="AI365" t="str"><v>AzurePlatform_FBCTCBenefit2inMotion_USA_10s_CAN_PLATFORM_English_Trial_Standard_STAN_TIN_T4_1</v></cell><cell r="AJ365"><v>103043835</v></cell></row><row r="366"><cell r="C366" t="str"><v>43285FACEBOOK»USA-Trial-ITD-Trial Lookalike-AZR-AZR»1 x 1»SocialBan»CAN»ALL»CPA»LAL»X»NA»SS»NA»FBCTCBenefit2inMotion»PRC1M0</v></cell><cell r="D366" t="str"><v>43285223862927</v></cell><cell r="E366" t="str"><v>43285103178645PRC1M0</v></cell><cell r="F366" t="str"><v>DCM</v></cell><cell r="G366" t="str"><v>https://azure.microsoft.com/en-us/pricing/purchase-options/?v=18.19&OCID=AID%eexcid!_OLA_%ebuy!_%epid!_%ecid!</v></cell></row><row r="366"><cell r="K366" t="str"><v>July</v></cell><cell r="L366"><v>43288</v></cell><cell r="M366" t="str"><v>Tier 0</v></cell><cell r="N366" t="str"><v>North America</v></cell><cell r="O366" t="str"><v>United States</v></cell><cell r="P366" t="str"><v>Trial</v></cell><cell r="Q366" t="str"><v>Social</v></cell><cell r="R366" t="str"><v>Azure</v></cell><cell r="S366" t="str"><v>Apps & Infra</v></cell><cell r="T366" t="str"><v>Developers & ITI's</v></cell><cell r="U366" t="str"><v>USA-Trial-ITD-Trial Lookalike-AZR-AZR</v></cell><cell r="V366" t="str"><v>Lookalike Targeting</v></cell><cell r="W366" t="str"><v>Canvas Ad</v></cell><cell r="X366" t="str"><v>1x1</v></cell></row><row r="366"><cell r="AA366"><v>43285</v></cell><cell r="AB366" t="str"><v>USA_gaPMG_AZR_AZR_Q1_19_Direct-Social</v></cell><cell r="AC366"><v>21358715</v></cell><cell r="AD366"><v>720197</v></cell><cell r="AE366" t="str"><v>Facebook</v></cell><cell r="AF366"><v>3654128</v></cell><cell r="AG366" t="str"><v>FACEBOOK»USA-Trial-ITD-Trial Lookalike-AZR-AZR»1 x 1»SocialBan»CAN»ALL»CPA»LAL»X»NA»SS»NA»FBCTCBenefit2inMotion»PRC1M0</v></cell><cell r="AH366"><v>223862927</v></cell><cell r="AI366" t="str"><v>AzurePlatform_FBCTCBenefit2inMotion_USA_10s_CAN_PLATFORM_English_Trial_Standard_STAN_TIN_T4_2</v></cell><cell r="AJ366"><v>103178645</v></cell></row><row r="367"><cell r="C367" t="str"><v>43285FACEBOOK»USA-Trial-ITD-Trial Lookalike-AZR-AZR»1 x 1»SocialBan»LIA»ALL»CPA»LAL»X»NA»SS»NA»FreeAcctDeveloperFB-AnimatedAI-Ch3»PRC1M7</v></cell><cell r="D367" t="str"><v>43285223934104</v></cell><cell r="E367" t="str"><v>43285103032778PRC1M7</v></cell><cell r="F367" t="str"><v>DCM</v></cell></row><row r="367"><cell r="K367" t="str"><v>July</v></cell><cell r="L367"><v>43288</v></cell><cell r="M367" t="str"><v>Tier 0</v></cell><cell r="N367" t="str"><v>North America</v></cell><cell r="O367" t="str"><v>United States</v></cell><cell r="P367" t="str"><v>Trial</v></cell><cell r="Q367" t="str"><v>Social</v></cell><cell r="R367" t="str"><v>Azure</v></cell><cell r="S367" t="str"><v>Apps & Infra</v></cell><cell r="T367" t="str"><v>Developers & ITI's</v></cell><cell r="U367" t="str"><v>USA-Trial-ITD-Trial Lookalike-AZR-AZR</v></cell><cell r="V367" t="str"><v>Lookalike Targeting</v></cell><cell r="W367" t="str"><v>Link Ad</v></cell><cell r="X367" t="str"><v>1x1</v></cell></row><row r="367"><cell r="AA367"><v>43285</v></cell><cell r="AB367" t="str"><v>USA_gaPMG_AZR_AZR_Q1_19_Direct-Social</v></cell><cell r="AC367"><v>21358715</v></cell><cell r="AD367"><v>720197</v></cell><cell r="AE367" t="str"><v>Facebook</v></cell><cell r="AF367"><v>3654128</v></cell><cell r="AG367" t="str"><v>FACEBOOK»USA-Trial-ITD-Trial Lookalike-AZR-AZR»1 x 1»SocialBan»LIA»ALL»CPA»LAL»X»NA»SS»NA»FreeAcctDeveloperFB-AnimatedAI-Ch3»PRC1M7</v></cell><cell r="AH367"><v>223934104</v></cell><cell r="AI367" t="str"><v>AZR_FreeAcctDeveloperFB-AnimatedAI-Ch3_USA_1200x1200_CAN_Direct_English_Trial_Standard_ANI_LEA_T3_1</v></cell><cell r="AJ367"><v>103032778</v></cell></row><row r="368"><cell r="C368" t="str"><v>43285FACEBOOK»USA-Trial-ITD-Trial Lookalike-AZR-AZR»1 x 1»SocialBan»LIA»ALL»CPA»LAL»X»NA»SS»NA»FreeAcctDeveloperFB-AnimatedData-Ch4»PRC1M8</v></cell><cell r="D368" t="str"><v>43285223862933</v></cell><cell r="E368" t="str"><v>43285103037935PRC1M8</v></cell><cell r="F368" t="str"><v>DCM</v></cell></row><row r="368"><cell r="K368" t="str"><v>July</v></cell><cell r="L368"><v>43288</v></cell><cell r="M368" t="str"><v>Tier 0</v></cell><cell r="N368" t="str"><v>North America</v></cell><cell r="O368" t="str"><v>United States</v></cell><cell r="P368" t="str"><v>Trial</v></cell><cell r="Q368" t="str"><v>Social</v></cell><cell r="R368" t="str"><v>Azure</v></cell><cell r="S368" t="str"><v>Apps & Infra</v></cell><cell r="T368" t="str"><v>Developers & ITI's</v></cell><cell r="U368" t="str"><v>USA-Trial-ITD-Trial Lookalike-AZR-AZR</v></cell><cell r="V368" t="str"><v>Lookalike Targeting</v></cell><cell r="W368" t="str"><v>Link Ad</v></cell><cell r="X368" t="str"><v>1x1</v></cell></row><row r="368"><cell r="AA368"><v>43285</v></cell><cell r="AB368" t="str"><v>USA_gaPMG_AZR_AZR_Q1_19_Direct-Social</v></cell><cell r="AC368"><v>21358715</v></cell><cell r="AD368"><v>720197</v></cell><cell r="AE368" t="str"><v>Facebook</v></cell><cell r="AF368"><v>3654128</v></cell><cell r="AG368" t="str"><v>FACEBOOK»USA-Trial-ITD-Trial Lookalike-AZR-AZR»1 x 1»SocialBan»LIA»ALL»CPA»LAL»X»NA»SS»NA»FreeAcctDeveloperFB-AnimatedData-Ch4»PRC1M8</v></cell><cell r="AH368"><v>223862933</v></cell><cell r="AI368" t="str"><v>AZR_FreeAcctDeveloperFB-AnimatedData-Ch4_USA_1200x1200_CAN_Direct_English_Trial_Standard_ANI_LEA_T4_2</v></cell><cell r="AJ368"><v>103037935</v></cell></row><row r="369"><cell r="C369" t="str"><v>43285FACEBOOK»USA-Trial-ITD-Trial Lookalike-AZR-AZR»1 x 1»SocialBan»LIA»ALL»CPA»LAL»X»NA»SS»NA»FreeAcctITProFB-AnimatedHybrid-Ch2»PRC1MC</v></cell><cell r="D369" t="str"><v>43285224104956</v></cell><cell r="E369" t="str"><v>43285103180583PRC1MC</v></cell><cell r="F369" t="str"><v>DCM</v></cell></row><row r="369"><cell r="K369" t="str"><v>July</v></cell><cell r="L369"><v>43288</v></cell><cell r="M369" t="str"><v>Tier 0</v></cell><cell r="N369" t="str"><v>North America</v></cell><cell r="O369" t="str"><v>United States</v></cell><cell r="P369" t="str"><v>Trial</v></cell><cell r="Q369" t="str"><v>Social</v></cell><cell r="R369" t="str"><v>Azure</v></cell><cell r="S369" t="str"><v>Apps & Infra</v></cell><cell r="T369" t="str"><v>Developers & ITI's</v></cell><cell r="U369" t="str"><v>USA-Trial-ITD-Trial Lookalike-AZR-AZR</v></cell><cell r="V369" t="str"><v>Lookalike Targeting</v></cell><cell r="W369" t="str"><v>Link Ad</v></cell><cell r="X369" t="str"><v>1x1</v></cell></row><row r="369"><cell r="AA369"><v>43285</v></cell><cell r="AB369" t="str"><v>USA_gaPMG_AZR_AZR_Q1_19_Direct-Social</v></cell><cell r="AC369"><v>21358715</v></cell><cell r="AD369"><v>720197</v></cell><cell r="AE369" t="str"><v>Facebook</v></cell><cell r="AF369"><v>3654128</v></cell><cell r="AG369" t="str"><v>FACEBOOK»USA-Trial-ITD-Trial Lookalike-AZR-AZR»1 x 1»SocialBan»LIA»ALL»CPA»LAL»X»NA»SS»NA»FreeAcctITProFB-AnimatedHybrid-Ch2»PRC1MC</v></cell><cell r="AH369"><v>224104956</v></cell><cell r="AI369" t="str"><v>AZR_FreeAcctITProFB-AnimatedHybrid-Ch2_USA_1200x1200_CAN_Direct_English_Trial_Standard_ANI_LEA_T2_2</v></cell><cell r="AJ369"><v>103180583</v></cell></row><row r="370"><cell r="C370" t="str"><v>43285FACEBOOK»USA-Trial-ITD-Trial Lookalike-AZR-AZR»1 x 1»SocialBan»CAN»ALL»CPA»LAL»X»NA»SS»NA»FBCTCBrandinMotion»PRC1M3</v></cell><cell r="D370" t="str"><v>43285223862900</v></cell><cell r="E370" t="str"><v>43285103176812PRC1M3</v></cell><cell r="F370" t="str"><v>DCM</v></cell><cell r="G370" t="str"><v>https://signup.azure.com/?OCID=AID%eexcid!_OLA_%ebuy!_%epid!_%ecid!</v></cell></row><row r="370"><cell r="K370" t="str"><v>July</v></cell><cell r="L370"><v>43288</v></cell><cell r="M370" t="str"><v>Tier 0</v></cell><cell r="N370" t="str"><v>North America</v></cell><cell r="O370" t="str"><v>United States</v></cell><cell r="P370" t="str"><v>Trial</v></cell><cell r="Q370" t="str"><v>Social</v></cell><cell r="R370" t="str"><v>Azure</v></cell><cell r="S370" t="str"><v>Apps & Infra</v></cell><cell r="T370" t="str"><v>Developers & ITI's</v></cell><cell r="U370" t="str"><v>USA-Trial-ITD-Trial Lookalike-AZR-AZR</v></cell><cell r="V370" t="str"><v>Lookalike Targeting</v></cell><cell r="W370" t="str"><v>Canvas Ad</v></cell><cell r="X370" t="str"><v>1x1</v></cell></row><row r="370"><cell r="AA370"><v>43285</v></cell><cell r="AB370" t="str"><v>USA_gaPMG_AZR_AZR_Q1_19_Direct-Social</v></cell><cell r="AC370"><v>21358715</v></cell><cell r="AD370"><v>720197</v></cell><cell r="AE370" t="str"><v>Facebook</v></cell><cell r="AF370"><v>3654128</v></cell><cell r="AG370" t="str"><v>FACEBOOK»USA-Trial-ITD-Trial Lookalike-AZR-AZR»1 x 1»SocialBan»CAN»ALL»CPA»LAL»X»NA»SS»NA»FBCTCBrandinMotion»PRC1M3</v></cell><cell r="AH370"><v>223862900</v></cell><cell r="AI370" t="str"><v>AzurePlatform_FBCTCBrandinMotion_USA_10s_CAN_PLATFORM_English_Trial_Standard_STAN_TIN_T2_1</v></cell><cell r="AJ370"><v>103176812</v></cell></row><row r="371"><cell r="C371" t="str"><v>43285FACEBOOK»USA-Trial-ITD-Trial Lookalike-AZR-AZR»1 x 1»SocialBan»CAN»ALL»CPA»LAL»X»NA»SS»NA»FBCTCBrandinMotion»PRC1M3</v></cell><cell r="D371" t="str"><v>43285223862900</v></cell><cell r="E371" t="str"><v>43285103032823PRC1M3</v></cell><cell r="F371" t="str"><v>DCM</v></cell><cell r="G371" t="str"><v>https://azure.microsoft.com/en-us/pricing/purchase-options/?v=18.19&OCID=AID%eexcid!_OLA_%ebuy!_%epid!_%ecid!</v></cell></row><row r="371"><cell r="K371" t="str"><v>July</v></cell><cell r="L371"><v>43288</v></cell><cell r="M371" t="str"><v>Tier 0</v></cell><cell r="N371" t="str"><v>North America</v></cell><cell r="O371" t="str"><v>United States</v></cell><cell r="P371" t="str"><v>Trial</v></cell><cell r="Q371" t="str"><v>Social</v></cell><cell r="R371" t="str"><v>Azure</v></cell><cell r="S371" t="str"><v>Apps & Infra</v></cell><cell r="T371" t="str"><v>Developers & ITI's</v></cell><cell r="U371" t="str"><v>USA-Trial-ITD-Trial Lookalike-AZR-AZR</v></cell><cell r="V371" t="str"><v>Lookalike Targeting</v></cell><cell r="W371" t="str"><v>Canvas Ad</v></cell><cell r="X371" t="str"><v>1x1</v></cell></row><row r="371"><cell r="AA371"><v>43285</v></cell><cell r="AB371" t="str"><v>USA_gaPMG_AZR_AZR_Q1_19_Direct-Social</v></cell><cell r="AC371"><v>21358715</v></cell><cell r="AD371"><v>720197</v></cell><cell r="AE371" t="str"><v>Facebook</v></cell><cell r="AF371"><v>3654128</v></cell><cell r="AG371" t="str"><v>FACEBOOK»USA-Trial-ITD-Trial Lookalike-AZR-AZR»1 x 1»SocialBan»CAN»ALL»CPA»LAL»X»NA»SS»NA»FBCTCBrandinMotion»PRC1M3</v></cell><cell r="AH371"><v>223862900</v></cell><cell r="AI371" t="str"><v>AzurePlatform_FBCTCBrandinMotion_USA_10s_CAN_PLATFORM_English_Trial_Standard_STAN_TIN_T2_2</v></cell><cell r="AJ371"><v>103032823</v></cell></row><row r="372"><cell r="C372" t="str"><v>43285FACEBOOK»USA-Trial-ITD-Trial PayGo Lookalike-AZR-AZR»1 x 1»SocialBan»CAN»ALL»CPA»LAL»X»NA»SS»NA»FBCTCBenefit2inMotion»PRC1Q1</v></cell><cell r="D372" t="str"><v>43285224104986</v></cell><cell r="E372" t="str"><v>43285103043835PRC1Q1</v></cell><cell r="F372" t="str"><v>DCM</v></cell><cell r="G372" t="str"><v>https://signup.azure.com/?OCID=AID%eexcid!_OLA_%ebuy!_%epid!_%ecid!</v></cell></row><row r="372"><cell r="K372" t="str"><v>July</v></cell><cell r="L372"><v>43288</v></cell><cell r="M372" t="str"><v>Tier 0</v></cell><cell r="N372" t="str"><v>North America</v></cell><cell r="O372" t="str"><v>United States</v></cell><cell r="P372" t="str"><v>Trial</v></cell><cell r="Q372" t="str"><v>Social</v></cell><cell r="R372" t="str"><v>Azure</v></cell><cell r="S372" t="str"><v>Apps & Infra</v></cell><cell r="T372" t="str"><v>Developers & ITI's</v></cell><cell r="U372" t="str"><v>USA-Trial-ITD-Trial PayGo Lookalike-AZR-AZR</v></cell><cell r="V372" t="str"><v>Lookalike Targeting</v></cell><cell r="W372" t="str"><v>Canvas Ad</v></cell><cell r="X372" t="str"><v>1x1</v></cell></row><row r="372"><cell r="AA372"><v>43285</v></cell><cell r="AB372" t="str"><v>USA_gaPMG_AZR_AZR_Q1_19_Direct-Social</v></cell><cell r="AC372"><v>21358715</v></cell><cell r="AD372"><v>720197</v></cell><cell r="AE372" t="str"><v>Facebook</v></cell><cell r="AF372"><v>3654128</v></cell><cell r="AG372" t="str"><v>FACEBOOK»USA-Trial-ITD-Trial PayGo Lookalike-AZR-AZR»1 x 1»SocialBan»CAN»ALL»CPA»LAL»X»NA»SS»NA»FBCTCBenefit2inMotion»PRC1Q1</v></cell><cell r="AH372"><v>224104986</v></cell><cell r="AI372" t="str"><v>AzurePlatform_FBCTCBenefit2inMotion_USA_10s_CAN_PLATFORM_English_Trial_Standard_STAN_TIN_T4_1</v></cell><cell r="AJ372"><v>103043835</v></cell></row><row r="373"><cell r="C373" t="str"><v>43285FACEBOOK»USA-Trial-ITD-Trial PayGo Lookalike-AZR-AZR»1 x 1»SocialBan»CAN»ALL»CPA»LAL»X»NA»SS»NA»FBCTCBenefit2inMotion»PRC1Q1</v></cell><cell r="D373" t="str"><v>43285224104986</v></cell><cell r="E373" t="str"><v>43285103178645PRC1Q1</v></cell><cell r="F373" t="str"><v>DCM</v></cell><cell r="G373" t="str"><v>https://azure.microsoft.com/en-us/pricing/purchase-options/?v=18.19&OCID=AID%eexcid!_OLA_%ebuy!_%epid!_%ecid!</v></cell></row><row r="373"><cell r="K373" t="str"><v>July</v></cell><cell r="L373"><v>43288</v></cell><cell r="M373" t="str"><v>Tier 0</v></cell><cell r="N373" t="str"><v>North America</v></cell><cell r="O373" t="str"><v>United States</v></cell><cell r="P373" t="str"><v>Trial</v></cell><cell r="Q373" t="str"><v>Social</v></cell><cell r="R373" t="str"><v>Azure</v></cell><cell r="S373" t="str"><v>Apps & Infra</v></cell><cell r="T373" t="str"><v>Developers & ITI's</v></cell><cell r="U373" t="str"><v>USA-Trial-ITD-Trial PayGo Lookalike-AZR-AZR</v></cell><cell r="V373" t="str"><v>Lookalike Targeting</v></cell><cell r="W373" t="str"><v>Canvas Ad</v></cell><cell r="X373" t="str"><v>1x1</v></cell></row><row r="373"><cell r="AA373"><v>43285</v></cell><cell r="AB373" t="str"><v>USA_gaPMG_AZR_AZR_Q1_19_Direct-Social</v></cell><cell r="AC373"><v>21358715</v></cell><cell r="AD373"><v>720197</v></cell><cell r="AE373" t="str"><v>Facebook</v></cell><cell r="AF373"><v>3654128</v></cell><cell r="AG373" t="str"><v>FACEBOOK»USA-Trial-ITD-Trial PayGo Lookalike-AZR-AZR»1 x 1»SocialBan»CAN»ALL»CPA»LAL»X»NA»SS»NA»FBCTCBenefit2inMotion»PRC1Q1</v></cell><cell r="AH373"><v>224104986</v></cell><cell r="AI373" t="str"><v>AzurePlatform_FBCTCBenefit2inMotion_USA_10s_CAN_PLATFORM_English_Trial_Standard_STAN_TIN_T4_2</v></cell><cell r="AJ373"><v>103178645</v></cell></row><row r="374"><cell r="C374" t="str"><v>43285FACEBOOK»USA-Trial-ITD-Trial PayGo Lookalike-AZR-AZR»1 x 1»SocialBan»CAN»ALL»CPA»LAL»X»NA»SS»NA»FBCTCBrandinMotion»PRC1Q3</v></cell><cell r="D374" t="str"><v>43285223935349</v></cell><cell r="E374" t="str"><v>43285103176812PRC1Q3</v></cell><cell r="F374" t="str"><v>DCM</v></cell><cell r="G374" t="str"><v>https://signup.azure.com/?OCID=AID%eexcid!_OLA_%ebuy!_%epid!_%ecid!</v></cell></row><row r="374"><cell r="K374" t="str"><v>July</v></cell><cell r="L374"><v>43288</v></cell><cell r="M374" t="str"><v>Tier 0</v></cell><cell r="N374" t="str"><v>North America</v></cell><cell r="O374" t="str"><v>United States</v></cell><cell r="P374" t="str"><v>Trial</v></cell><cell r="Q374" t="str"><v>Social</v></cell><cell r="R374" t="str"><v>Azure</v></cell><cell r="S374" t="str"><v>Apps & Infra</v></cell><cell r="T374" t="str"><v>Developers & ITI's</v></cell><cell r="U374" t="str"><v>USA-Trial-ITD-Trial PayGo Lookalike-AZR-AZR</v></cell><cell r="V374" t="str"><v>Lookalike Targeting</v></cell><cell r="W374" t="str"><v>Canvas Ad</v></cell><cell r="X374" t="str"><v>1x1</v></cell></row><row r="374"><cell r="AA374"><v>43285</v></cell><cell r="AB374" t="str"><v>USA_gaPMG_AZR_AZR_Q1_19_Direct-Social</v></cell><cell r="AC374"><v>21358715</v></cell><cell r="AD374"><v>720197</v></cell><cell r="AE374" t="str"><v>Facebook</v></cell><cell r="AF374"><v>3654128</v></cell><cell r="AG374" t="str"><v>FACEBOOK»USA-Trial-ITD-Trial PayGo Lookalike-AZR-AZR»1 x 1»SocialBan»CAN»ALL»CPA»LAL»X»NA»SS»NA»FBCTCBrandinMotion»PRC1Q3</v></cell><cell r="AH374"><v>223935349</v></cell><cell r="AI374" t="str"><v>AzurePlatform_FBCTCBrandinMotion_USA_10s_CAN_PLATFORM_English_Trial_Standard_STAN_TIN_T2_1</v></cell><cell r="AJ374"><v>103176812</v></cell></row><row r="375"><cell r="C375" t="str"><v>43285FACEBOOK»USA-Trial-ITD-Trial PayGo Lookalike-AZR-AZR»1 x 1»SocialBan»CAN»ALL»CPA»LAL»X»NA»SS»NA»FBCTCBrandinMotion»PRC1Q3</v></cell><cell r="D375" t="str"><v>43285223935349</v></cell><cell r="E375" t="str"><v>43285103032823PRC1Q3</v></cell><cell r="F375" t="str"><v>DCM</v></cell><cell r="G375" t="str"><v>https://azure.microsoft.com/en-us/pricing/purchase-options/?v=18.19&OCID=AID%eexcid!_OLA_%ebuy!_%epid!_%ecid!</v></cell></row><row r="375"><cell r="K375" t="str"><v>July</v></cell><cell r="L375"><v>43288</v></cell><cell r="M375" t="str"><v>Tier 0</v></cell><cell r="N375" t="str"><v>North America</v></cell><cell r="O375" t="str"><v>United States</v></cell><cell r="P375" t="str"><v>Trial</v></cell><cell r="Q375" t="str"><v>Social</v></cell><cell r="R375" t="str"><v>Azure</v></cell><cell r="S375" t="str"><v>Apps & Infra</v></cell><cell r="T375" t="str"><v>Developers & ITI's</v></cell><cell r="U375" t="str"><v>USA-Trial-ITD-Trial PayGo Lookalike-AZR-AZR</v></cell><cell r="V375" t="str"><v>Lookalike Targeting</v></cell><cell r="W375" t="str"><v>Canvas Ad</v></cell><cell r="X375" t="str"><v>1x1</v></cell></row><row r="375"><cell r="AA375"><v>43285</v></cell><cell r="AB375" t="str"><v>USA_gaPMG_AZR_AZR_Q1_19_Direct-Social</v></cell><cell r="AC375"><v>21358715</v></cell><cell r="AD375"><v>720197</v></cell><cell r="AE375" t="str"><v>Facebook</v></cell><cell r="AF375"><v>3654128</v></cell><cell r="AG375" t="str"><v>FACEBOOK»USA-Trial-ITD-Trial PayGo Lookalike-AZR-AZR»1 x 1»SocialBan»CAN»ALL»CPA»LAL»X»NA»SS»NA»FBCTCBrandinMotion»PRC1Q3</v></cell><cell r="AH375"><v>223935349</v></cell><cell r="AI375" t="str"><v>AzurePlatform_FBCTCBrandinMotion_USA_10s_CAN_PLATFORM_English_Trial_Standard_STAN_TIN_T2_2</v></cell><cell r="AJ375"><v>103032823</v></cell></row><row r="376"><cell r="C376" t="str"><v>43285FACEBOOK»USA-Trial-ITD-Trial PayGo Lookalike-AZR-AZR»1 x 1»SocialBan»CAN»ALL»CPA»LAL»X»NA»SS»NA»FBCTCBenefitinMotion»PRC1Q2</v></cell><cell r="D376" t="str"><v>43285223862960</v></cell><cell r="E376" t="str"><v>43285103032775PRC1Q2</v></cell><cell r="F376" t="str"><v>DCM</v></cell><cell r="G376" t="str"><v>https://signup.azure.com/?OCID=AID%eexcid!_OLA_%ebuy!_%epid!_%ecid!</v></cell></row><row r="376"><cell r="K376" t="str"><v>July</v></cell><cell r="L376"><v>43288</v></cell><cell r="M376" t="str"><v>Tier 0</v></cell><cell r="N376" t="str"><v>North America</v></cell><cell r="O376" t="str"><v>United States</v></cell><cell r="P376" t="str"><v>Trial</v></cell><cell r="Q376" t="str"><v>Social</v></cell><cell r="R376" t="str"><v>Azure</v></cell><cell r="S376" t="str"><v>Apps & Infra</v></cell><cell r="T376" t="str"><v>Developers & ITI's</v></cell><cell r="U376" t="str"><v>USA-Trial-ITD-Trial PayGo Lookalike-AZR-AZR</v></cell><cell r="V376" t="str"><v>Lookalike Targeting</v></cell><cell r="W376" t="str"><v>Canvas Ad</v></cell><cell r="X376" t="str"><v>1x1</v></cell></row><row r="376"><cell r="AA376"><v>43285</v></cell><cell r="AB376" t="str"><v>USA_gaPMG_AZR_AZR_Q1_19_Direct-Social</v></cell><cell r="AC376"><v>21358715</v></cell><cell r="AD376"><v>720197</v></cell><cell r="AE376" t="str"><v>Facebook</v></cell><cell r="AF376"><v>3654128</v></cell><cell r="AG376" t="str"><v>FACEBOOK»USA-Trial-ITD-Trial PayGo Lookalike-AZR-AZR»1 x 1»SocialBan»CAN»ALL»CPA»LAL»X»NA»SS»NA»FBCTCBenefitinMotion»PRC1Q2</v></cell><cell r="AH376"><v>223862960</v></cell><cell r="AI376" t="str"><v>AzurePlatform_FBCTCBenefitinMotion_USA_10s_CAN_PLATFORM_English_Trial_Standard_STAN_TIN_T3_1</v></cell><cell r="AJ376"><v>103032775</v></cell></row><row r="377"><cell r="C377" t="str"><v>43285FACEBOOK»USA-Trial-ITD-Trial PayGo Lookalike-AZR-AZR»1 x 1»SocialBan»LIA»ALL»CPA»LAL»X»NA»SS»NA»FreeAcctDeveloperFB-AnimatedGeneric-Ch1»PRC1Q6</v></cell><cell r="D377" t="str"><v>43285224106129</v></cell><cell r="E377" t="str"><v>43285103176851PRC1Q6</v></cell><cell r="F377" t="str"><v>DCM</v></cell><cell r="G377" t="str"><v>https://azure.microsoft.com/en-us/free/search/?OCID=AID%eexcid!_OLA_%ebuy!_%epid!_%ecid!</v></cell></row><row r="377"><cell r="K377" t="str"><v>July</v></cell><cell r="L377"><v>43288</v></cell><cell r="M377" t="str"><v>Tier 0</v></cell><cell r="N377" t="str"><v>North America</v></cell><cell r="O377" t="str"><v>United States</v></cell><cell r="P377" t="str"><v>Trial</v></cell><cell r="Q377" t="str"><v>Social</v></cell><cell r="R377" t="str"><v>Azure</v></cell><cell r="S377" t="str"><v>Apps & Infra</v></cell><cell r="T377" t="str"><v>Developers & ITI's</v></cell><cell r="U377" t="str"><v>USA-Trial-ITD-Trial PayGo Lookalike-AZR-AZR</v></cell><cell r="V377" t="str"><v>Lookalike Targeting</v></cell><cell r="W377" t="str"><v>Link Ad</v></cell><cell r="X377" t="str"><v>1x1</v></cell></row><row r="377"><cell r="AA377"><v>43285</v></cell><cell r="AB377" t="str"><v>USA_gaPMG_AZR_AZR_Q1_19_Direct-Social</v></cell><cell r="AC377"><v>21358715</v></cell><cell r="AD377"><v>720197</v></cell><cell r="AE377" t="str"><v>Facebook</v></cell><cell r="AF377"><v>3654128</v></cell><cell r="AG377" t="str"><v>FACEBOOK»USA-Trial-ITD-Trial PayGo Lookalike-AZR-AZR»1 x 1»SocialBan»LIA»ALL»CPA»LAL»X»NA»SS»NA»FreeAcctDeveloperFB-AnimatedGeneric-Ch1»PRC1Q6</v></cell><cell r="AH377"><v>224106129</v></cell><cell r="AI377" t="str"><v>AZR_FreeAcctDeveloperFB-AnimatedGeneric-Ch1_USA_1200x1200_CAN_Direct_English_Trial_Standard_ANI_LEA_T1_2</v></cell><cell r="AJ377"><v>103176851</v></cell></row><row r="378"><cell r="C378" t="str"><v>43285FACEBOOK»USA-Trial-ITD-Interest Prospecting-AZR-AZR»1 x 1»SocialBan»LIA»ALL»CPA»PRO»X»NA»SS»NA»FreeAcctDeveloperFB-AnimatedAI-Ch3»PRC1T2</v></cell><cell r="D378" t="str"><v>43285223862765</v></cell><cell r="E378" t="str"><v>43285103032778PRC1T2</v></cell><cell r="F378" t="str"><v>DCM</v></cell></row><row r="378"><cell r="K378" t="str"><v>July</v></cell><cell r="L378"><v>43288</v></cell><cell r="M378" t="str"><v>Tier 0</v></cell><cell r="N378" t="str"><v>North America</v></cell><cell r="O378" t="str"><v>United States</v></cell><cell r="P378" t="str"><v>Trial</v></cell><cell r="Q378" t="str"><v>Social</v></cell><cell r="R378" t="str"><v>Azure</v></cell><cell r="S378" t="str"><v>Apps & Infra</v></cell><cell r="T378" t="str"><v>Developers & ITI's</v></cell><cell r="U378" t="str"><v>USA-Trial-ITD-Interest Prospecting-AZR-AZR</v></cell><cell r="V378" t="str"><v>Prospecting</v></cell><cell r="W378" t="str"><v>Link Ad</v></cell><cell r="X378" t="str"><v>1x1</v></cell></row><row r="378"><cell r="AA378"><v>43285</v></cell><cell r="AB378" t="str"><v>USA_gaPMG_AZR_AZR_Q1_19_Direct-Social</v></cell><cell r="AC378"><v>21358715</v></cell><cell r="AD378"><v>720197</v></cell><cell r="AE378" t="str"><v>Facebook</v></cell><cell r="AF378"><v>3654128</v></cell><cell r="AG378" t="str"><v>FACEBOOK»USA-Trial-ITD-Interest Prospecting-AZR-AZR»1 x 1»SocialBan»LIA»ALL»CPA»PRO»X»NA»SS»NA»FreeAcctDeveloperFB-AnimatedAI-Ch3»PRC1T2</v></cell><cell r="AH378"><v>223862765</v></cell><cell r="AI378" t="str"><v>AZR_FreeAcctDeveloperFB-AnimatedAI-Ch3_USA_1200x1200_CAN_Direct_English_Trial_Standard_ANI_LEA_T3_1</v></cell><cell r="AJ378"><v>103032778</v></cell></row><row r="379"><cell r="C379" t="str"><v>43285FACEBOOK»USA-Trial-ITD-Interest Prospecting-AZR-AZR»1 x 1»SocialBan»LIA»ALL»CPA»PRO»X»NA»SS»NA»FreeAcctDeveloperFB-AnimatedData-Ch4»PRC1T3</v></cell><cell r="D379" t="str"><v>43285223863380</v></cell><cell r="E379" t="str"><v>43285103037935PRC1T3</v></cell><cell r="F379" t="str"><v>DCM</v></cell></row><row r="379"><cell r="K379" t="str"><v>July</v></cell><cell r="L379"><v>43288</v></cell><cell r="M379" t="str"><v>Tier 0</v></cell><cell r="N379" t="str"><v>North America</v></cell><cell r="O379" t="str"><v>United States</v></cell><cell r="P379" t="str"><v>Trial</v></cell><cell r="Q379" t="str"><v>Social</v></cell><cell r="R379" t="str"><v>Azure</v></cell><cell r="S379" t="str"><v>Apps & Infra</v></cell><cell r="T379" t="str"><v>Developers & ITI's</v></cell><cell r="U379" t="str"><v>USA-Trial-ITD-Interest Prospecting-AZR-AZR</v></cell><cell r="V379" t="str"><v>Prospecting</v></cell><cell r="W379" t="str"><v>Link Ad</v></cell><cell r="X379" t="str"><v>1x1</v></cell></row><row r="379"><cell r="AA379"><v>43285</v></cell><cell r="AB379" t="str"><v>USA_gaPMG_AZR_AZR_Q1_19_Direct-Social</v></cell><cell r="AC379"><v>21358715</v></cell><cell r="AD379"><v>720197</v></cell><cell r="AE379" t="str"><v>Facebook</v></cell><cell r="AF379"><v>3654128</v></cell><cell r="AG379" t="str"><v>FACEBOOK»USA-Trial-ITD-Interest Prospecting-AZR-AZR»1 x 1»SocialBan»LIA»ALL»CPA»PRO»X»NA»SS»NA»FreeAcctDeveloperFB-AnimatedData-Ch4»PRC1T3</v></cell><cell r="AH379"><v>223863380</v></cell><cell r="AI379" t="str"><v>AZR_FreeAcctDeveloperFB-AnimatedData-Ch4_USA_1200x1200_CAN_Direct_English_Trial_Standard_ANI_LEA_T4_2</v></cell><cell r="AJ379"><v>103037935</v></cell></row><row r="380"><cell r="C380" t="str"><v>43285FACEBOOK»USA-Trial-ITD-Interest Prospecting-AZR-AZR»1 x 1»SocialBan»LIA»ALL»CPA»PRO»X»NA»SS»NA»FreeAcctDeveloperFB-AnimatedOpenSource-Ch2»PRC1T1</v></cell><cell r="D380" t="str"><v>43285223862885</v></cell><cell r="E380" t="str"><v>43285103048329PRC1T1</v></cell><cell r="F380" t="str"><v>DCM</v></cell><cell r="G380" t="str"><v>https://azure.microsoft.com/en-us/free/open-source/search/?OCID=AID%eexcid!_OLA_%ebuy!_%epid!_%ecid!</v></cell></row><row r="380"><cell r="K380" t="str"><v>July</v></cell><cell r="L380"><v>43288</v></cell><cell r="M380" t="str"><v>Tier 0</v></cell><cell r="N380" t="str"><v>North America</v></cell><cell r="O380" t="str"><v>United States</v></cell><cell r="P380" t="str"><v>Trial</v></cell><cell r="Q380" t="str"><v>Social</v></cell><cell r="R380" t="str"><v>Azure</v></cell><cell r="S380" t="str"><v>Apps & Infra</v></cell><cell r="T380" t="str"><v>Developers & ITI's</v></cell><cell r="U380" t="str"><v>USA-Trial-ITD-Interest Prospecting-AZR-AZR</v></cell><cell r="V380" t="str"><v>Prospecting</v></cell><cell r="W380" t="str"><v>Link Ad</v></cell><cell r="X380" t="str"><v>1x1</v></cell></row><row r="380"><cell r="AA380"><v>43285</v></cell><cell r="AB380" t="str"><v>USA_gaPMG_AZR_AZR_Q1_19_Direct-Social</v></cell><cell r="AC380"><v>21358715</v></cell><cell r="AD380"><v>720197</v></cell><cell r="AE380" t="str"><v>Facebook</v></cell><cell r="AF380"><v>3654128</v></cell><cell r="AG380" t="str"><v>FACEBOOK»USA-Trial-ITD-Interest Prospecting-AZR-AZR»1 x 1»SocialBan»LIA»ALL»CPA»PRO»X»NA»SS»NA»FreeAcctDeveloperFB-AnimatedOpenSource-Ch2»PRC1T1</v></cell><cell r="AH380"><v>223862885</v></cell><cell r="AI380" t="str"><v>AZR_FreeAcctDeveloperFB-AnimatedOpenSource-Ch2_USA_1200x1200_CAN_Direct_English_Trial_Standard_ANI_LEA_T2_1</v></cell><cell r="AJ380"><v>103048329</v></cell></row><row r="381"><cell r="C381" t="str"><v>43285FACEBOOK»USA-Trial-ITD-Interest Prospecting-AZR-AZR»1 x 1»SocialBan»LIA»ALL»CPA»PRO»X»NA»SS»NA»FreeAcctITProFB-AnimatedMigration-Ch3»PRC1X2</v></cell><cell r="D381" t="str"><v>43285224106954</v></cell><cell r="E381" t="str"><v>43285103176827PRC1X2</v></cell><cell r="F381" t="str"><v>DCM</v></cell></row><row r="381"><cell r="K381" t="str"><v>July</v></cell><cell r="L381"><v>43288</v></cell><cell r="M381" t="str"><v>Tier 0</v></cell><cell r="N381" t="str"><v>North America</v></cell><cell r="O381" t="str"><v>United States</v></cell><cell r="P381" t="str"><v>Trial</v></cell><cell r="Q381" t="str"><v>Social</v></cell><cell r="R381" t="str"><v>Azure</v></cell><cell r="S381" t="str"><v>Apps & Infra</v></cell><cell r="T381" t="str"><v>Developers & ITI's</v></cell><cell r="U381" t="str"><v>USA-Trial-ITD-Interest Prospecting-AZR-AZR</v></cell><cell r="V381" t="str"><v>Prospecting</v></cell><cell r="W381" t="str"><v>Link Ad</v></cell><cell r="X381" t="str"><v>1x1</v></cell></row><row r="381"><cell r="AA381"><v>43285</v></cell><cell r="AB381" t="str"><v>USA_gaPMG_AZR_AZR_Q1_19_Direct-Social</v></cell><cell r="AC381"><v>21358715</v></cell><cell r="AD381"><v>720197</v></cell><cell r="AE381" t="str"><v>Facebook</v></cell><cell r="AF381"><v>3654128</v></cell><cell r="AG381" t="str"><v>FACEBOOK»USA-Trial-ITD-Interest Prospecting-AZR-AZR»1 x 1»SocialBan»LIA»ALL»CPA»PRO»X»NA»SS»NA»FreeAcctITProFB-AnimatedMigration-Ch3»PRC1X2</v></cell><cell r="AH381"><v>224106954</v></cell><cell r="AI381" t="str"><v>AZR_FreeAcctITProFB-AnimatedMigration-Ch3_USA_1200x1200_CAN_Direct_English_Trial_Standard_ANI_LEA_T3_1</v></cell><cell r="AJ381"><v>103176827</v></cell></row><row r="382"><cell r="C382" t="str"><v>43285FACEBOOK»USA-Trial-ITD-Lead Completes-AZR-AZR»1 x 1»SocialBan»CAN»ALL»CPA»PRO»X»NA»SS»NA»FBCTCBrandinMotion»PRC1VX</v></cell><cell r="D382" t="str"><v>43285223861547</v></cell><cell r="E382" t="str"><v>43285103176812PRC1VX</v></cell><cell r="F382" t="str"><v>DCM</v></cell><cell r="G382" t="str"><v>https://signup.azure.com/?OCID=AID%eexcid!_OLA_%ebuy!_%epid!_%ecid!</v></cell></row><row r="382"><cell r="K382" t="str"><v>July</v></cell><cell r="L382"><v>43288</v></cell><cell r="M382" t="str"><v>Tier 0</v></cell><cell r="N382" t="str"><v>North America</v></cell><cell r="O382" t="str"><v>United States</v></cell><cell r="P382" t="str"><v>Trial</v></cell><cell r="Q382" t="str"><v>Social</v></cell><cell r="R382" t="str"><v>Azure</v></cell><cell r="S382" t="str"><v>Apps & Infra</v></cell><cell r="T382" t="str"><v>Developers & ITI's</v></cell><cell r="U382" t="str"><v>USA-Trial-ITD-Lead Completes-AZR-AZR</v></cell><cell r="V382" t="str"><v>Prospecting</v></cell><cell r="W382" t="str"><v>Canvas Ad</v></cell><cell r="X382" t="str"><v>1x1</v></cell></row><row r="382"><cell r="AA382"><v>43285</v></cell><cell r="AB382" t="str"><v>USA_gaPMG_AZR_AZR_Q1_19_Direct-Social</v></cell><cell r="AC382"><v>21358715</v></cell><cell r="AD382"><v>720197</v></cell><cell r="AE382" t="str"><v>Facebook</v></cell><cell r="AF382"><v>3654128</v></cell><cell r="AG382" t="str"><v>FACEBOOK»USA-Trial-ITD-Lead Completes-AZR-AZR»1 x 1»SocialBan»CAN»ALL»CPA»PRO»X»NA»SS»NA»FBCTCBrandinMotion»PRC1VX</v></cell><cell r="AH382"><v>223861547</v></cell><cell r="AI382" t="str"><v>AzurePlatform_FBCTCBrandinMotion_USA_10s_CAN_PLATFORM_English_Trial_Standard_STAN_TIN_T2_1</v></cell><cell r="AJ382"><v>103176812</v></cell></row><row r="383"><cell r="C383" t="str"><v>43285FACEBOOK»USA-Trial-ITD-Lead Completes-AZR-AZR»1 x 1»SocialBan»LIA»ALL»CPA»PRO»X»NA»SS»NA»FreeAcctDeveloperFB-AnimatedAI-Ch3»PRC1W1</v></cell><cell r="D383" t="str"><v>43285223933096</v></cell><cell r="E383" t="str"><v>43285103032778PRC1W1</v></cell><cell r="F383" t="str"><v>DCM</v></cell></row><row r="383"><cell r="K383" t="str"><v>July</v></cell><cell r="L383"><v>43288</v></cell><cell r="M383" t="str"><v>Tier 0</v></cell><cell r="N383" t="str"><v>North America</v></cell><cell r="O383" t="str"><v>United States</v></cell><cell r="P383" t="str"><v>Trial</v></cell><cell r="Q383" t="str"><v>Social</v></cell><cell r="R383" t="str"><v>Azure</v></cell><cell r="S383" t="str"><v>Apps & Infra</v></cell><cell r="T383" t="str"><v>Developers & ITI's</v></cell><cell r="U383" t="str"><v>USA-Trial-ITD-Lead Completes-AZR-AZR</v></cell><cell r="V383" t="str"><v>Prospecting</v></cell><cell r="W383" t="str"><v>Link Ad</v></cell><cell r="X383" t="str"><v>1x1</v></cell></row><row r="383"><cell r="AA383"><v>43285</v></cell><cell r="AB383" t="str"><v>USA_gaPMG_AZR_AZR_Q1_19_Direct-Social</v></cell><cell r="AC383"><v>21358715</v></cell><cell r="AD383"><v>720197</v></cell><cell r="AE383" t="str"><v>Facebook</v></cell><cell r="AF383"><v>3654128</v></cell><cell r="AG383" t="str"><v>FACEBOOK»USA-Trial-ITD-Lead Completes-AZR-AZR»1 x 1»SocialBan»LIA»ALL»CPA»PRO»X»NA»SS»NA»FreeAcctDeveloperFB-AnimatedAI-Ch3»PRC1W1</v></cell><cell r="AH383"><v>223933096</v></cell><cell r="AI383" t="str"><v>AZR_FreeAcctDeveloperFB-AnimatedAI-Ch3_USA_1200x1200_CAN_Direct_English_Trial_Standard_ANI_LEA_T3_1</v></cell><cell r="AJ383"><v>103032778</v></cell></row><row r="384"><cell r="C384" t="str"><v>43285FACEBOOK»USA-Trial-ITD-Lead Completes-AZR-AZR»1 x 1»SocialBan»LIA»ALL»CPA»PRO»X»NA»SS»NA»FreeAcctDeveloperFB-AnimatedData-Ch4»PRC1W3</v></cell><cell r="D384" t="str"><v>43285223862711</v></cell><cell r="E384" t="str"><v>43285103037935PRC1W3</v></cell><cell r="F384" t="str"><v>DCM</v></cell></row><row r="384"><cell r="K384" t="str"><v>July</v></cell><cell r="L384"><v>43288</v></cell><cell r="M384" t="str"><v>Tier 0</v></cell><cell r="N384" t="str"><v>North America</v></cell><cell r="O384" t="str"><v>United States</v></cell><cell r="P384" t="str"><v>Trial</v></cell><cell r="Q384" t="str"><v>Social</v></cell><cell r="R384" t="str"><v>Azure</v></cell><cell r="S384" t="str"><v>Apps & Infra</v></cell><cell r="T384" t="str"><v>Developers & ITI's</v></cell><cell r="U384" t="str"><v>USA-Trial-ITD-Lead Completes-AZR-AZR</v></cell><cell r="V384" t="str"><v>Prospecting</v></cell><cell r="W384" t="str"><v>Link Ad</v></cell><cell r="X384" t="str"><v>1x1</v></cell></row><row r="384"><cell r="AA384"><v>43285</v></cell><cell r="AB384" t="str"><v>USA_gaPMG_AZR_AZR_Q1_19_Direct-Social</v></cell><cell r="AC384"><v>21358715</v></cell><cell r="AD384"><v>720197</v></cell><cell r="AE384" t="str"><v>Facebook</v></cell><cell r="AF384"><v>3654128</v></cell><cell r="AG384" t="str"><v>FACEBOOK»USA-Trial-ITD-Lead Completes-AZR-AZR»1 x 1»SocialBan»LIA»ALL»CPA»PRO»X»NA»SS»NA»FreeAcctDeveloperFB-AnimatedData-Ch4»PRC1W3</v></cell><cell r="AH384"><v>223862711</v></cell><cell r="AI384" t="str"><v>AZR_FreeAcctDeveloperFB-AnimatedData-Ch4_USA_1200x1200_CAN_Direct_English_Trial_Standard_ANI_LEA_T4_2</v></cell><cell r="AJ384"><v>103037935</v></cell></row><row r="385"><cell r="C385" t="str"><v>43285FACEBOOK»USA-Trial-ITD-Lead Completes-AZR-AZR»1 x 1»SocialBan»LIA»ALL»CPA»PRO»X»NA»SS»NA»FreeAcctDeveloperFB-AnimatedOpenSource-Ch2»PRC1W0</v></cell><cell r="D385" t="str"><v>43285223933108</v></cell><cell r="E385" t="str"><v>43285103048329PRC1W0</v></cell><cell r="F385" t="str"><v>DCM</v></cell><cell r="G385" t="str"><v>https://azure.microsoft.com/en-us/free/open-source/search/?OCID=AID%eexcid!_OLA_%ebuy!_%epid!_%ecid!</v></cell></row><row r="385"><cell r="K385" t="str"><v>July</v></cell><cell r="L385"><v>43288</v></cell><cell r="M385" t="str"><v>Tier 0</v></cell><cell r="N385" t="str"><v>North America</v></cell><cell r="O385" t="str"><v>United States</v></cell><cell r="P385" t="str"><v>Trial</v></cell><cell r="Q385" t="str"><v>Social</v></cell><cell r="R385" t="str"><v>Azure</v></cell><cell r="S385" t="str"><v>Apps & Infra</v></cell><cell r="T385" t="str"><v>Developers & ITI's</v></cell><cell r="U385" t="str"><v>USA-Trial-ITD-Lead Completes-AZR-AZR</v></cell><cell r="V385" t="str"><v>Prospecting</v></cell><cell r="W385" t="str"><v>Link Ad</v></cell><cell r="X385" t="str"><v>1x1</v></cell></row><row r="385"><cell r="AA385"><v>43285</v></cell><cell r="AB385" t="str"><v>USA_gaPMG_AZR_AZR_Q1_19_Direct-Social</v></cell><cell r="AC385"><v>21358715</v></cell><cell r="AD385"><v>720197</v></cell><cell r="AE385" t="str"><v>Facebook</v></cell><cell r="AF385"><v>3654128</v></cell><cell r="AG385" t="str"><v>FACEBOOK»USA-Trial-ITD-Lead Completes-AZR-AZR»1 x 1»SocialBan»LIA»ALL»CPA»PRO»X»NA»SS»NA»FreeAcctDeveloperFB-AnimatedOpenSource-Ch2»PRC1W0</v></cell><cell r="AH385"><v>223933108</v></cell><cell r="AI385" t="str"><v>AZR_FreeAcctDeveloperFB-AnimatedOpenSource-Ch2_USA_1200x1200_CAN_Direct_English_Trial_Standard_ANI_LEA_T2_1</v></cell><cell r="AJ385"><v>103048329</v></cell></row><row r="386"><cell r="C386" t="str"><v>43285FACEBOOK»USA-Trial-ITD-Lead Completes-AZR-AZR»1 x 1»SocialBan»LIA»ALL»CPA»PRO»X»NA»SS»NA»FreeAcctITProFB-AnimatedMigration-Ch3»PRC22N</v></cell><cell r="D386" t="str"><v>43285223933114</v></cell><cell r="E386" t="str"><v>43285103176827PRC22N</v></cell><cell r="F386" t="str"><v>DCM</v></cell></row><row r="386"><cell r="K386" t="str"><v>July</v></cell><cell r="L386"><v>43288</v></cell><cell r="M386" t="str"><v>Tier 0</v></cell><cell r="N386" t="str"><v>North America</v></cell><cell r="O386" t="str"><v>United States</v></cell><cell r="P386" t="str"><v>Trial</v></cell><cell r="Q386" t="str"><v>Social</v></cell><cell r="R386" t="str"><v>Azure</v></cell><cell r="S386" t="str"><v>Apps & Infra</v></cell><cell r="T386" t="str"><v>Developers & ITI's</v></cell><cell r="U386" t="str"><v>USA-Trial-ITD-Lead Completes-AZR-AZR</v></cell><cell r="V386" t="str"><v>Prospecting</v></cell><cell r="W386" t="str"><v>Link Ad</v></cell><cell r="X386" t="str"><v>1x1</v></cell></row><row r="386"><cell r="AA386"><v>43285</v></cell><cell r="AB386" t="str"><v>USA_gaPMG_AZR_AZR_Q1_19_Direct-Social</v></cell><cell r="AC386"><v>21358715</v></cell><cell r="AD386"><v>720197</v></cell><cell r="AE386" t="str"><v>Facebook</v></cell><cell r="AF386"><v>3654128</v></cell><cell r="AG386" t="str"><v>FACEBOOK»USA-Trial-ITD-Lead Completes-AZR-AZR»1 x 1»SocialBan»LIA»ALL»CPA»PRO»X»NA»SS»NA»FreeAcctITProFB-AnimatedMigration-Ch3»PRC22N</v></cell><cell r="AH386"><v>223933114</v></cell><cell r="AI386" t="str"><v>AZR_FreeAcctITProFB-AnimatedMigration-Ch3_USA_1200x1200_CAN_Direct_English_Trial_Standard_ANI_LEA_T3_1</v></cell><cell r="AJ386"><v>103176827</v></cell></row><row r="387"><cell r="C387" t="str"><v>43285FACEBOOK»USA-Trial-ITD-Lead Completes-AZR-AZR»1 x 1»SocialBan»CAN»ALL»CPA»PRO»X»NA»SS»NA»FBCTCBasicMotion»PRC1VT</v></cell><cell r="D387" t="str"><v>43285224106900</v></cell><cell r="E387" t="str"><v>43285103043823PRC1VT</v></cell><cell r="F387" t="str"><v>DCM</v></cell><cell r="G387" t="str"><v>https://signup.azure.com/?OCID=AID%eexcid!_OLA_%ebuy!_%epid!_%ecid!</v></cell></row><row r="387"><cell r="K387" t="str"><v>July</v></cell><cell r="L387"><v>43288</v></cell><cell r="M387" t="str"><v>Tier 0</v></cell><cell r="N387" t="str"><v>North America</v></cell><cell r="O387" t="str"><v>United States</v></cell><cell r="P387" t="str"><v>Trial</v></cell><cell r="Q387" t="str"><v>Social</v></cell><cell r="R387" t="str"><v>Azure</v></cell><cell r="S387" t="str"><v>Apps & Infra</v></cell><cell r="T387" t="str"><v>Developers & ITI's</v></cell><cell r="U387" t="str"><v>USA-Trial-ITD-Lead Completes-AZR-AZR</v></cell><cell r="V387" t="str"><v>Prospecting</v></cell><cell r="W387" t="str"><v>Canvas Ad</v></cell><cell r="X387" t="str"><v>1x1</v></cell></row><row r="387"><cell r="AA387"><v>43285</v></cell><cell r="AB387" t="str"><v>USA_gaPMG_AZR_AZR_Q1_19_Direct-Social</v></cell><cell r="AC387"><v>21358715</v></cell><cell r="AD387"><v>720197</v></cell><cell r="AE387" t="str"><v>Facebook</v></cell><cell r="AF387"><v>3654128</v></cell><cell r="AG387" t="str"><v>FACEBOOK»USA-Trial-ITD-Lead Completes-AZR-AZR»1 x 1»SocialBan»CAN»ALL»CPA»PRO»X»NA»SS»NA»FBCTCBasicMotion»PRC1VT</v></cell><cell r="AH387"><v>224106900</v></cell><cell r="AI387" t="str"><v>AzurePlatform_FBCTCBasicMotion_USA_10s_CAN_PLATFORM_English_Trial_Standard_STAN_TIN_T1_1</v></cell><cell r="AJ387"><v>103043823</v></cell></row><row r="388"><cell r="C388" t="str"><v>43285FACEBOOK»USA-Trial-ITD-Lead Completes-AZR-AZR»1 x 1»SocialBan»CAN»ALL»CPA»PRO»X»NA»SS»NA»FBCTCBenefit2inMotion»PRC1VV</v></cell><cell r="D388" t="str"><v>43285224106909</v></cell><cell r="E388" t="str"><v>43285103043835PRC1VV</v></cell><cell r="F388" t="str"><v>DCM</v></cell><cell r="G388" t="str"><v>https://signup.azure.com/?OCID=AID%eexcid!_OLA_%ebuy!_%epid!_%ecid!</v></cell></row><row r="388"><cell r="K388" t="str"><v>July</v></cell><cell r="L388"><v>43288</v></cell><cell r="M388" t="str"><v>Tier 0</v></cell><cell r="N388" t="str"><v>North America</v></cell><cell r="O388" t="str"><v>United States</v></cell><cell r="P388" t="str"><v>Trial</v></cell><cell r="Q388" t="str"><v>Social</v></cell><cell r="R388" t="str"><v>Azure</v></cell><cell r="S388" t="str"><v>Apps & Infra</v></cell><cell r="T388" t="str"><v>Developers & ITI's</v></cell><cell r="U388" t="str"><v>USA-Trial-ITD-Lead Completes-AZR-AZR</v></cell><cell r="V388" t="str"><v>Prospecting</v></cell><cell r="W388" t="str"><v>Canvas Ad</v></cell><cell r="X388" t="str"><v>1x1</v></cell></row><row r="388"><cell r="AA388"><v>43285</v></cell><cell r="AB388" t="str"><v>USA_gaPMG_AZR_AZR_Q1_19_Direct-Social</v></cell><cell r="AC388"><v>21358715</v></cell><cell r="AD388"><v>720197</v></cell><cell r="AE388" t="str"><v>Facebook</v></cell><cell r="AF388"><v>3654128</v></cell><cell r="AG388" t="str"><v>FACEBOOK»USA-Trial-ITD-Lead Completes-AZR-AZR»1 x 1»SocialBan»CAN»ALL»CPA»PRO»X»NA»SS»NA»FBCTCBenefit2inMotion»PRC1VV</v></cell><cell r="AH388"><v>224106909</v></cell><cell r="AI388" t="str"><v>AzurePlatform_FBCTCBenefit2inMotion_USA_10s_CAN_PLATFORM_English_Trial_Standard_STAN_TIN_T4_1</v></cell><cell r="AJ388"><v>103043835</v></cell></row><row r="389"><cell r="C389" t="str"><v>43285FACEBOOK»USA-Trial-ITD-Lead Completes-AZR-AZR»1 x 1»SocialBan»LIA»ALL»CPA»PRO»X»NA»SS»NA»FreeAcctDeveloperFB-AnimatedGeneric-Ch1»PRC1VY</v></cell><cell r="D389" t="str"><v>43285223862846</v></cell><cell r="E389" t="str"><v>43285103176851PRC1VY</v></cell><cell r="F389" t="str"><v>DCM</v></cell><cell r="G389" t="str"><v>https://azure.microsoft.com/en-us/free/search/?OCID=AID%eexcid!_OLA_%ebuy!_%epid!_%ecid!</v></cell></row><row r="389"><cell r="K389" t="str"><v>July</v></cell><cell r="L389"><v>43288</v></cell><cell r="M389" t="str"><v>Tier 0</v></cell><cell r="N389" t="str"><v>North America</v></cell><cell r="O389" t="str"><v>United States</v></cell><cell r="P389" t="str"><v>Trial</v></cell><cell r="Q389" t="str"><v>Social</v></cell><cell r="R389" t="str"><v>Azure</v></cell><cell r="S389" t="str"><v>Apps & Infra</v></cell><cell r="T389" t="str"><v>Developers & ITI's</v></cell><cell r="U389" t="str"><v>USA-Trial-ITD-Lead Completes-AZR-AZR</v></cell><cell r="V389" t="str"><v>Prospecting</v></cell><cell r="W389" t="str"><v>Link Ad</v></cell><cell r="X389" t="str"><v>1x1</v></cell></row><row r="389"><cell r="AA389"><v>43285</v></cell><cell r="AB389" t="str"><v>USA_gaPMG_AZR_AZR_Q1_19_Direct-Social</v></cell><cell r="AC389"><v>21358715</v></cell><cell r="AD389"><v>720197</v></cell><cell r="AE389" t="str"><v>Facebook</v></cell><cell r="AF389"><v>3654128</v></cell><cell r="AG389" t="str"><v>FACEBOOK»USA-Trial-ITD-Lead Completes-AZR-AZR»1 x 1»SocialBan»LIA»ALL»CPA»PRO»X»NA»SS»NA»FreeAcctDeveloperFB-AnimatedGeneric-Ch1»PRC1VY</v></cell><cell r="AH389"><v>223862846</v></cell><cell r="AI389" t="str"><v>AZR_FreeAcctDeveloperFB-AnimatedGeneric-Ch1_USA_1200x1200_CAN_Direct_English_Trial_Standard_ANI_LEA_T1_2</v></cell><cell r="AJ389"><v>103176851</v></cell></row><row r="390"><cell r="C390" t="str"><v>43285FACEBOOK»USA-Trial-ITD-Lead Completes-AZR-AZR»1 x 1»SocialBan»LIA»ALL»CPA»PRO»X»NA»SS»NA»FreeAcctDeveloperFB-AnimatedGeneric-Ch1»PRC1VZ</v></cell><cell r="D390" t="str"><v>43285223862852</v></cell><cell r="E390" t="str"><v>43285103176851PRC1VZ</v></cell><cell r="F390" t="str"><v>DCM</v></cell><cell r="G390" t="str"><v>https://azure.microsoft.com/en-us/free/search/?OCID=AID%eexcid!_OLA_%ebuy!_%epid!_%ecid!</v></cell></row><row r="390"><cell r="K390" t="str"><v>July</v></cell><cell r="L390"><v>43288</v></cell><cell r="M390" t="str"><v>Tier 0</v></cell><cell r="N390" t="str"><v>North America</v></cell><cell r="O390" t="str"><v>United States</v></cell><cell r="P390" t="str"><v>Trial</v></cell><cell r="Q390" t="str"><v>Social</v></cell><cell r="R390" t="str"><v>Azure</v></cell><cell r="S390" t="str"><v>Apps & Infra</v></cell><cell r="T390" t="str"><v>Developers & ITI's</v></cell><cell r="U390" t="str"><v>USA-Trial-ITD-Lead Completes-AZR-AZR</v></cell><cell r="V390" t="str"><v>Prospecting</v></cell><cell r="W390" t="str"><v>Link Ad</v></cell><cell r="X390" t="str"><v>1x1</v></cell></row><row r="390"><cell r="AA390"><v>43285</v></cell><cell r="AB390" t="str"><v>USA_gaPMG_AZR_AZR_Q1_19_Direct-Social</v></cell><cell r="AC390"><v>21358715</v></cell><cell r="AD390"><v>720197</v></cell><cell r="AE390" t="str"><v>Facebook</v></cell><cell r="AF390"><v>3654128</v></cell><cell r="AG390" t="str"><v>FACEBOOK»USA-Trial-ITD-Lead Completes-AZR-AZR»1 x 1»SocialBan»LIA»ALL»CPA»PRO»X»NA»SS»NA»FreeAcctDeveloperFB-AnimatedGeneric-Ch1»PRC1VZ</v></cell><cell r="AH390"><v>223862852</v></cell><cell r="AI390" t="str"><v>AZR_FreeAcctDeveloperFB-AnimatedGeneric-Ch1_USA_1200x1200_CAN_Direct_English_Trial_Standard_ANI_LEA_T1_2</v></cell><cell r="AJ390"><v>103176851</v></cell></row><row r="391"><cell r="C391" t="str"><v>43285FACEBOOK»USA-Trial-ITD-Retargeting-AZR-AZR»1 x 1»SocialBan»LIA»ALL»CPA»RT»X»NA»SS»NA»FreeAcctDeveloperFB-AnimatedGeneric-Ch1»PRC26D</v></cell><cell r="D391" t="str"><v>43285223862870</v></cell><cell r="E391" t="str"><v>43285103176851PRC26D</v></cell><cell r="F391" t="str"><v>DCM</v></cell><cell r="G391" t="str"><v>https://azure.microsoft.com/en-us/free/search/?OCID=AID%eexcid!_OLA_%ebuy!_%epid!_%ecid!</v></cell></row><row r="391"><cell r="K391" t="str"><v>July</v></cell><cell r="L391"><v>43288</v></cell><cell r="M391" t="str"><v>Tier 0</v></cell><cell r="N391" t="str"><v>North America</v></cell><cell r="O391" t="str"><v>United States</v></cell><cell r="P391" t="str"><v>Trial</v></cell><cell r="Q391" t="str"><v>Social</v></cell><cell r="R391" t="str"><v>Azure</v></cell><cell r="S391" t="str"><v>Apps & Infra</v></cell><cell r="T391" t="str"><v>Developers & ITI's</v></cell><cell r="U391" t="str"><v>USA-Trial-ITD-Retargeting-AZR-AZR</v></cell><cell r="V391" t="str"><v>Retargeting</v></cell><cell r="W391" t="str"><v>Link Ad</v></cell><cell r="X391" t="str"><v>1x1</v></cell></row><row r="391"><cell r="AA391"><v>43285</v></cell><cell r="AB391" t="str"><v>USA_gaPMG_AZR_AZR_Q1_19_Direct-Social</v></cell><cell r="AC391"><v>21358715</v></cell><cell r="AD391"><v>720197</v></cell><cell r="AE391" t="str"><v>Facebook</v></cell><cell r="AF391"><v>3654128</v></cell><cell r="AG391" t="str"><v>FACEBOOK»USA-Trial-ITD-Retargeting-AZR-AZR»1 x 1»SocialBan»LIA»ALL»CPA»RT»X»NA»SS»NA»FreeAcctDeveloperFB-AnimatedGeneric-Ch1»PRC26D</v></cell><cell r="AH391"><v>223862870</v></cell><cell r="AI391" t="str"><v>AZR_FreeAcctDeveloperFB-AnimatedGeneric-Ch1_USA_1200x1200_CAN_Direct_English_Trial_Standard_ANI_LEA_T1_2</v></cell><cell r="AJ391"><v>103176851</v></cell></row><row r="392"><cell r="C392" t="str"><v>43285FACEBOOK»USA-Trial-ITD-Retargeting-AZR-AZR»1 x 1»SocialBan»LIA»ALL»CPA»RT»X»NA»SS»NA»FreeAcctRetargetingOSSFB-Logos-ChG»PRC1S2</v></cell><cell r="D392" t="str"><v>43285224106063</v></cell><cell r="E392" t="str"><v>43285103176008PRC1S2</v></cell><cell r="F392" t="str"><v>DCM</v></cell><cell r="G392" t="str"><v>https://azure.microsoft.com/en-us/free/open-source/search/?OCID=AID%eexcid!_OLA_%ebuy!_%epid!_%ecid!</v></cell></row><row r="392"><cell r="K392" t="str"><v>July</v></cell><cell r="L392"><v>43288</v></cell><cell r="M392" t="str"><v>Tier 0</v></cell><cell r="N392" t="str"><v>North America</v></cell><cell r="O392" t="str"><v>United States</v></cell><cell r="P392" t="str"><v>Trial</v></cell><cell r="Q392" t="str"><v>Social</v></cell><cell r="R392" t="str"><v>Azure</v></cell><cell r="S392" t="str"><v>Apps & Infra</v></cell><cell r="T392" t="str"><v>Developers & ITI's</v></cell><cell r="U392" t="str"><v>USA-Trial-ITD-Retargeting-AZR-AZR</v></cell><cell r="V392" t="str"><v>Retargeting</v></cell><cell r="W392" t="str"><v>Link Ad</v></cell><cell r="X392" t="str"><v>1x1</v></cell></row><row r="392"><cell r="AA392"><v>43285</v></cell><cell r="AB392" t="str"><v>USA_gaPMG_AZR_AZR_Q1_19_Direct-Social</v></cell><cell r="AC392"><v>21358715</v></cell><cell r="AD392"><v>720197</v></cell><cell r="AE392" t="str"><v>Facebook</v></cell><cell r="AF392"><v>3654128</v></cell><cell r="AG392" t="str"><v>FACEBOOK»USA-Trial-ITD-Retargeting-AZR-AZR»1 x 1»SocialBan»LIA»ALL»CPA»RT»X»NA»SS»NA»FreeAcctRetargetingOSSFB-Logos-ChG»PRC1S2</v></cell><cell r="AH392"><v>224106063</v></cell><cell r="AI392" t="str"><v>AzurePlatform_FreeAcctRetargetingOSSFB-Logos-ChG_USA_1200x628_CAN_PLATFORM_English_Free Account_Standard_NA_SINU_T2_1</v></cell><cell r="AJ392"><v>103176008</v></cell></row><row r="393"><cell r="C393" t="str"><v>43285FACEBOOK»USA-Trial-ITD-Retargeting-AZR-AZR»1 x 1»SocialBan»LIA»ALL»CPA»RT»X»NA»SS»NA»FreeAcctRetargetingOSSFB-Text-ChF»PRC1S1</v></cell><cell r="D393" t="str"><v>43285223862753</v></cell><cell r="E393" t="str"><v>43285103176869PRC1S1</v></cell><cell r="F393" t="str"><v>DCM</v></cell><cell r="G393" t="str"><v>https://azure.microsoft.com/en-us/free/open-source/search/?OCID=AID%eexcid!_OLA_%ebuy!_%epid!_%ecid!</v></cell></row><row r="393"><cell r="K393" t="str"><v>July</v></cell><cell r="L393"><v>43288</v></cell><cell r="M393" t="str"><v>Tier 0</v></cell><cell r="N393" t="str"><v>North America</v></cell><cell r="O393" t="str"><v>United States</v></cell><cell r="P393" t="str"><v>Trial</v></cell><cell r="Q393" t="str"><v>Social</v></cell><cell r="R393" t="str"><v>Azure</v></cell><cell r="S393" t="str"><v>Apps & Infra</v></cell><cell r="T393" t="str"><v>Developers & ITI's</v></cell><cell r="U393" t="str"><v>USA-Trial-ITD-Retargeting-AZR-AZR</v></cell><cell r="V393" t="str"><v>Retargeting</v></cell><cell r="W393" t="str"><v>Link Ad</v></cell><cell r="X393" t="str"><v>1x1</v></cell></row><row r="393"><cell r="AA393"><v>43285</v></cell><cell r="AB393" t="str"><v>USA_gaPMG_AZR_AZR_Q1_19_Direct-Social</v></cell><cell r="AC393"><v>21358715</v></cell><cell r="AD393"><v>720197</v></cell><cell r="AE393" t="str"><v>Facebook</v></cell><cell r="AF393"><v>3654128</v></cell><cell r="AG393" t="str"><v>FACEBOOK»USA-Trial-ITD-Retargeting-AZR-AZR»1 x 1»SocialBan»LIA»ALL»CPA»RT»X»NA»SS»NA»FreeAcctRetargetingOSSFB-Text-ChF»PRC1S1</v></cell><cell r="AH393"><v>223862753</v></cell><cell r="AI393" t="str"><v>AzurePlatform_FreeAcctRetargetingOSSFB-Text-ChF_USA_1200x628_CAN_PLATFORM_English_Free Account_Standard_NA_SINU_T1_2</v></cell><cell r="AJ393"><v>103176869</v></cell></row><row r="394"><cell r="C394" t="str"><v>43285FACEBOOK»USA-Trial-ITD-Retargeting-AZR-AZR»1 x 1»SocialBan»CAN»ALL»CPA»RT»X»NA»SS»NA»FBCTCBasicMotion»PRC1RQ</v></cell><cell r="D394" t="str"><v>43285224106933</v></cell><cell r="E394" t="str"><v>43285103043823PRC1RQ</v></cell><cell r="F394" t="str"><v>DCM</v></cell><cell r="G394" t="str"><v>https://signup.azure.com/?OCID=AID%eexcid!_OLA_%ebuy!_%epid!_%ecid!</v></cell></row><row r="394"><cell r="K394" t="str"><v>July</v></cell><cell r="L394"><v>43288</v></cell><cell r="M394" t="str"><v>Tier 0</v></cell><cell r="N394" t="str"><v>North America</v></cell><cell r="O394" t="str"><v>United States</v></cell><cell r="P394" t="str"><v>Trial</v></cell><cell r="Q394" t="str"><v>Social</v></cell><cell r="R394" t="str"><v>Azure</v></cell><cell r="S394" t="str"><v>Apps & Infra</v></cell><cell r="T394" t="str"><v>Developers & ITI's</v></cell><cell r="U394" t="str"><v>USA-Trial-ITD-Retargeting-AZR-AZR</v></cell><cell r="V394" t="str"><v>Retargeting</v></cell><cell r="W394" t="str"><v>Canvas Ad</v></cell><cell r="X394" t="str"><v>1x1</v></cell></row><row r="394"><cell r="AA394"><v>43285</v></cell><cell r="AB394" t="str"><v>USA_gaPMG_AZR_AZR_Q1_19_Direct-Social</v></cell><cell r="AC394"><v>21358715</v></cell><cell r="AD394"><v>720197</v></cell><cell r="AE394" t="str"><v>Facebook</v></cell><cell r="AF394"><v>3654128</v></cell><cell r="AG394" t="str"><v>FACEBOOK»USA-Trial-ITD-Retargeting-AZR-AZR»1 x 1»SocialBan»CAN»ALL»CPA»RT»X»NA»SS»NA»FBCTCBasicMotion»PRC1RQ</v></cell><cell r="AH394"><v>224106933</v></cell><cell r="AI394" t="str"><v>AzurePlatform_FBCTCBasicMotion_USA_10s_CAN_PLATFORM_English_Trial_Standard_STAN_TIN_T1_1</v></cell><cell r="AJ394"><v>103043823</v></cell></row><row r="395"><cell r="C395" t="str"><v>43285FACEBOOK»USA-Trial-ITD-Retargeting-AZR-AZR»1 x 1»SocialBan»CAN»ALL»CPA»RT»X»NA»SS»NA»FBCTCBasicMotion»PRC1RQ</v></cell><cell r="D395" t="str"><v>43285224106933</v></cell><cell r="E395" t="str"><v>43285103175984PRC1RQ</v></cell><cell r="F395" t="str"><v>DCM</v></cell><cell r="G395" t="str"><v>https://azure.microsoft.com/en-us/pricing/purchase-options/?v=18.19&OCID=AID%eexcid!_OLA_%ebuy!_%epid!_%ecid!</v></cell></row><row r="395"><cell r="K395" t="str"><v>July</v></cell><cell r="L395"><v>43288</v></cell><cell r="M395" t="str"><v>Tier 0</v></cell><cell r="N395" t="str"><v>North America</v></cell><cell r="O395" t="str"><v>United States</v></cell><cell r="P395" t="str"><v>Trial</v></cell><cell r="Q395" t="str"><v>Social</v></cell><cell r="R395" t="str"><v>Azure</v></cell><cell r="S395" t="str"><v>Apps & Infra</v></cell><cell r="T395" t="str"><v>Developers & ITI's</v></cell><cell r="U395" t="str"><v>USA-Trial-ITD-Retargeting-AZR-AZR</v></cell><cell r="V395" t="str"><v>Retargeting</v></cell><cell r="W395" t="str"><v>Canvas Ad</v></cell><cell r="X395" t="str"><v>1x1</v></cell></row><row r="395"><cell r="AA395"><v>43285</v></cell><cell r="AB395" t="str"><v>USA_gaPMG_AZR_AZR_Q1_19_Direct-Social</v></cell><cell r="AC395"><v>21358715</v></cell><cell r="AD395"><v>720197</v></cell><cell r="AE395" t="str"><v>Facebook</v></cell><cell r="AF395"><v>3654128</v></cell><cell r="AG395" t="str"><v>FACEBOOK»USA-Trial-ITD-Retargeting-AZR-AZR»1 x 1»SocialBan»CAN»ALL»CPA»RT»X»NA»SS»NA»FBCTCBasicMotion»PRC1RQ</v></cell><cell r="AH395"><v>224106933</v></cell><cell r="AI395" t="str"><v>AzurePlatform_FBCTCBasicMotion_USA_10s_CAN_PLATFORM_English_Trial_Standard_STAN_TIN_T1_2</v></cell><cell r="AJ395"><v>103175984</v></cell></row><row r="396"><cell r="C396" t="str"><v>43285FACEBOOK»USA-Trial-ITD-Retargeting-AZR-AZR»1 x 1»SocialBan»LIA»ALL»CPA»RT»X»NA»SS»NA»FreeAcctITProFB-AnimatedSecureMngd-Ch1»PRC26K</v></cell><cell r="D396" t="str"><v>43285223862762</v></cell><cell r="E396" t="str"><v>43285103176830PRC26K</v></cell><cell r="F396" t="str"><v>DCM</v></cell></row><row r="396"><cell r="K396" t="str"><v>July</v></cell><cell r="L396"><v>43288</v></cell><cell r="M396" t="str"><v>Tier 0</v></cell><cell r="N396" t="str"><v>North America</v></cell><cell r="O396" t="str"><v>United States</v></cell><cell r="P396" t="str"><v>Trial</v></cell><cell r="Q396" t="str"><v>Social</v></cell><cell r="R396" t="str"><v>Azure</v></cell><cell r="S396" t="str"><v>Apps & Infra</v></cell><cell r="T396" t="str"><v>Developers & ITI's</v></cell><cell r="U396" t="str"><v>USA-Trial-ITD-Retargeting-AZR-AZR</v></cell><cell r="V396" t="str"><v>Retargeting</v></cell><cell r="W396" t="str"><v>Link Ad</v></cell><cell r="X396" t="str"><v>1x1</v></cell></row><row r="396"><cell r="AA396"><v>43285</v></cell><cell r="AB396" t="str"><v>USA_gaPMG_AZR_AZR_Q1_19_Direct-Social</v></cell><cell r="AC396"><v>21358715</v></cell><cell r="AD396"><v>720197</v></cell><cell r="AE396" t="str"><v>Facebook</v></cell><cell r="AF396"><v>3654128</v></cell><cell r="AG396" t="str"><v>FACEBOOK»USA-Trial-ITD-Retargeting-AZR-AZR»1 x 1»SocialBan»LIA»ALL»CPA»RT»X»NA»SS»NA»FreeAcctITProFB-AnimatedSecureMngd-Ch1»PRC26K</v></cell><cell r="AH396"><v>223862762</v></cell><cell r="AI396" t="str"><v>AZR_FreeAcctITProFB-AnimatedSecureMngd-Ch1_USA_1200x1200_CAN_Direct_English_Trial_Standard_ANI_LEA_T1_1</v></cell><cell r="AJ396"><v>103176830</v></cell></row><row r="397"><cell r="C397" t="str"><v>43285FACEBOOK»USA-Trial-ITD-Trial Lookalike-AZR-AZR»1 x 1»SocialBan»LIA»ALL»CPA»LAL»X»NA»SS»NA»FreeAcctDeveloperFB-AnimatedGeneric-Ch1»PRC1M4</v></cell><cell r="D397" t="str"><v>43285224104941</v></cell><cell r="E397" t="str"><v>43285103176851PRC1M4</v></cell><cell r="F397" t="str"><v>DCM</v></cell><cell r="G397" t="str"><v>https://azure.microsoft.com/en-us/free/search/?OCID=AID%eexcid!_OLA_%ebuy!_%epid!_%ecid!</v></cell></row><row r="397"><cell r="K397" t="str"><v>July</v></cell><cell r="L397"><v>43288</v></cell><cell r="M397" t="str"><v>Tier 0</v></cell><cell r="N397" t="str"><v>North America</v></cell><cell r="O397" t="str"><v>United States</v></cell><cell r="P397" t="str"><v>Trial</v></cell><cell r="Q397" t="str"><v>Social</v></cell><cell r="R397" t="str"><v>Azure</v></cell><cell r="S397" t="str"><v>Apps & Infra</v></cell><cell r="T397" t="str"><v>Developers & ITI's</v></cell><cell r="U397" t="str"><v>USA-Trial-ITD-Trial Lookalike-AZR-AZR</v></cell><cell r="V397" t="str"><v>Lookalike Targeting</v></cell><cell r="W397" t="str"><v>Link Ad</v></cell><cell r="X397" t="str"><v>1x1</v></cell></row><row r="397"><cell r="AA397"><v>43285</v></cell><cell r="AB397" t="str"><v>USA_gaPMG_AZR_AZR_Q1_19_Direct-Social</v></cell><cell r="AC397"><v>21358715</v></cell><cell r="AD397"><v>720197</v></cell><cell r="AE397" t="str"><v>Facebook</v></cell><cell r="AF397"><v>3654128</v></cell><cell r="AG397" t="str"><v>FACEBOOK»USA-Trial-ITD-Trial Lookalike-AZR-AZR»1 x 1»SocialBan»LIA»ALL»CPA»LAL»X»NA»SS»NA»FreeAcctDeveloperFB-AnimatedGeneric-Ch1»PRC1M4</v></cell><cell r="AH397"><v>224104941</v></cell><cell r="AI397" t="str"><v>AZR_FreeAcctDeveloperFB-AnimatedGeneric-Ch1_USA_1200x1200_CAN_Direct_English_Trial_Standard_ANI_LEA_T1_2</v></cell><cell r="AJ397"><v>103176851</v></cell></row><row r="398"><cell r="C398" t="str"><v>43285FACEBOOK»USA-Trial-ITD-Trial Lookalike-AZR-AZR»1 x 1»SocialBan»LIA»ALL»CPA»LAL»X»NA»SS»NA»FreeAcctDeveloperFB-AnimatedGeneric-Ch1»PRC1M5</v></cell><cell r="D398" t="str"><v>43285223934083</v></cell><cell r="E398" t="str"><v>43285103176851PRC1M5</v></cell><cell r="F398" t="str"><v>DCM</v></cell><cell r="G398" t="str"><v>https://azure.microsoft.com/en-us/free/search/?OCID=AID%eexcid!_OLA_%ebuy!_%epid!_%ecid!</v></cell></row><row r="398"><cell r="K398" t="str"><v>July</v></cell><cell r="L398"><v>43288</v></cell><cell r="M398" t="str"><v>Tier 0</v></cell><cell r="N398" t="str"><v>North America</v></cell><cell r="O398" t="str"><v>United States</v></cell><cell r="P398" t="str"><v>Trial</v></cell><cell r="Q398" t="str"><v>Social</v></cell><cell r="R398" t="str"><v>Azure</v></cell><cell r="S398" t="str"><v>Apps & Infra</v></cell><cell r="T398" t="str"><v>Developers & ITI's</v></cell><cell r="U398" t="str"><v>USA-Trial-ITD-Trial Lookalike-AZR-AZR</v></cell><cell r="V398" t="str"><v>Lookalike Targeting</v></cell><cell r="W398" t="str"><v>Link Ad</v></cell><cell r="X398" t="str"><v>1x1</v></cell></row><row r="398"><cell r="AA398"><v>43285</v></cell><cell r="AB398" t="str"><v>USA_gaPMG_AZR_AZR_Q1_19_Direct-Social</v></cell><cell r="AC398"><v>21358715</v></cell><cell r="AD398"><v>720197</v></cell><cell r="AE398" t="str"><v>Facebook</v></cell><cell r="AF398"><v>3654128</v></cell><cell r="AG398" t="str"><v>FACEBOOK»USA-Trial-ITD-Trial Lookalike-AZR-AZR»1 x 1»SocialBan»LIA»ALL»CPA»LAL»X»NA»SS»NA»FreeAcctDeveloperFB-AnimatedGeneric-Ch1»PRC1M5</v></cell><cell r="AH398"><v>223934083</v></cell><cell r="AI398" t="str"><v>AZR_FreeAcctDeveloperFB-AnimatedGeneric-Ch1_USA_1200x1200_CAN_Direct_English_Trial_Standard_ANI_LEA_T1_2</v></cell><cell r="AJ398"><v>103176851</v></cell></row><row r="399"><cell r="C399" t="str"><v>43285FACEBOOK»USA-Trial-ITD-Trial Lookalike-AZR-AZR»1 x 1»SocialBan»LIA»ALL»CPA»LAL»X»NA»SS»NA»FreeAcctDeveloperFB-AnimatedOpenSource-Ch2»PRC1M6</v></cell><cell r="D399" t="str"><v>43285223935628</v></cell><cell r="E399" t="str"><v>43285103048329PRC1M6</v></cell><cell r="F399" t="str"><v>DCM</v></cell><cell r="G399" t="str"><v>https://azure.microsoft.com/en-us/free/open-source/search/?OCID=AID%eexcid!_OLA_%ebuy!_%epid!_%ecid!</v></cell></row><row r="399"><cell r="K399" t="str"><v>July</v></cell><cell r="L399"><v>43288</v></cell><cell r="M399" t="str"><v>Tier 0</v></cell><cell r="N399" t="str"><v>North America</v></cell><cell r="O399" t="str"><v>United States</v></cell><cell r="P399" t="str"><v>Trial</v></cell><cell r="Q399" t="str"><v>Social</v></cell><cell r="R399" t="str"><v>Azure</v></cell><cell r="S399" t="str"><v>Apps & Infra</v></cell><cell r="T399" t="str"><v>Developers & ITI's</v></cell><cell r="U399" t="str"><v>USA-Trial-ITD-Trial Lookalike-AZR-AZR</v></cell><cell r="V399" t="str"><v>Lookalike Targeting</v></cell><cell r="W399" t="str"><v>Link Ad</v></cell><cell r="X399" t="str"><v>1x1</v></cell></row><row r="399"><cell r="AA399"><v>43285</v></cell><cell r="AB399" t="str"><v>USA_gaPMG_AZR_AZR_Q1_19_Direct-Social</v></cell><cell r="AC399"><v>21358715</v></cell><cell r="AD399"><v>720197</v></cell><cell r="AE399" t="str"><v>Facebook</v></cell><cell r="AF399"><v>3654128</v></cell><cell r="AG399" t="str"><v>FACEBOOK»USA-Trial-ITD-Trial Lookalike-AZR-AZR»1 x 1»SocialBan»LIA»ALL»CPA»LAL»X»NA»SS»NA»FreeAcctDeveloperFB-AnimatedOpenSource-Ch2»PRC1M6</v></cell><cell r="AH399"><v>223935628</v></cell><cell r="AI399" t="str"><v>AZR_FreeAcctDeveloperFB-AnimatedOpenSource-Ch2_USA_1200x1200_CAN_Direct_English_Trial_Standard_ANI_LEA_T2_1</v></cell><cell r="AJ399"><v>103048329</v></cell></row><row r="400"><cell r="C400" t="str"><v>43285FACEBOOK»USA-Trial-ITD-Trial Lookalike-AZR-AZR»1 x 1»SocialBan»LIA»ALL»CPA»LAL»X»NA»SS»NA»FreeAcctITProFB-AnimatedMigration-Ch3»PRC23N</v></cell><cell r="D400" t="str"><v>43285223935637</v></cell><cell r="E400" t="str"><v>43285103176827PRC23N</v></cell><cell r="F400" t="str"><v>DCM</v></cell></row><row r="400"><cell r="K400" t="str"><v>July</v></cell><cell r="L400"><v>43288</v></cell><cell r="M400" t="str"><v>Tier 0</v></cell><cell r="N400" t="str"><v>North America</v></cell><cell r="O400" t="str"><v>United States</v></cell><cell r="P400" t="str"><v>Trial</v></cell><cell r="Q400" t="str"><v>Social</v></cell><cell r="R400" t="str"><v>Azure</v></cell><cell r="S400" t="str"><v>Apps & Infra</v></cell><cell r="T400" t="str"><v>Developers & ITI's</v></cell><cell r="U400" t="str"><v>USA-Trial-ITD-Trial Lookalike-AZR-AZR</v></cell><cell r="V400" t="str"><v>Lookalike Targeting</v></cell><cell r="W400" t="str"><v>Link Ad</v></cell><cell r="X400" t="str"><v>1x1</v></cell></row><row r="400"><cell r="AA400"><v>43285</v></cell><cell r="AB400" t="str"><v>USA_gaPMG_AZR_AZR_Q1_19_Direct-Social</v></cell><cell r="AC400"><v>21358715</v></cell><cell r="AD400"><v>720197</v></cell><cell r="AE400" t="str"><v>Facebook</v></cell><cell r="AF400"><v>3654128</v></cell><cell r="AG400" t="str"><v>FACEBOOK»USA-Trial-ITD-Trial Lookalike-AZR-AZR»1 x 1»SocialBan»LIA»ALL»CPA»LAL»X»NA»SS»NA»FreeAcctITProFB-AnimatedMigration-Ch3»PRC23N</v></cell><cell r="AH400"><v>223935637</v></cell><cell r="AI400" t="str"><v>AZR_FreeAcctITProFB-AnimatedMigration-Ch3_USA_1200x1200_CAN_Direct_English_Trial_Standard_ANI_LEA_T3_1</v></cell><cell r="AJ400"><v>103176827</v></cell></row><row r="401"><cell r="C401" t="str"><v>43285FACEBOOK»USA-Trial-ITD-Trial Lookalike-AZR-AZR»1 x 1»SocialBan»LIA»ALL»CPA»LAL»X»NA»SS»NA»FreeAcctITProFB-AnimatedSecureMngd-Ch1»PRC1M9</v></cell><cell r="D401" t="str"><v>43285224104959</v></cell><cell r="E401" t="str"><v>43285103176830PRC1M9</v></cell><cell r="F401" t="str"><v>DCM</v></cell></row><row r="401"><cell r="K401" t="str"><v>July</v></cell><cell r="L401"><v>43288</v></cell><cell r="M401" t="str"><v>Tier 0</v></cell><cell r="N401" t="str"><v>North America</v></cell><cell r="O401" t="str"><v>United States</v></cell><cell r="P401" t="str"><v>Trial</v></cell><cell r="Q401" t="str"><v>Social</v></cell><cell r="R401" t="str"><v>Azure</v></cell><cell r="S401" t="str"><v>Apps & Infra</v></cell><cell r="T401" t="str"><v>Developers & ITI's</v></cell><cell r="U401" t="str"><v>USA-Trial-ITD-Trial Lookalike-AZR-AZR</v></cell><cell r="V401" t="str"><v>Lookalike Targeting</v></cell><cell r="W401" t="str"><v>Link Ad</v></cell><cell r="X401" t="str"><v>1x1</v></cell></row><row r="401"><cell r="AA401"><v>43285</v></cell><cell r="AB401" t="str"><v>USA_gaPMG_AZR_AZR_Q1_19_Direct-Social</v></cell><cell r="AC401"><v>21358715</v></cell><cell r="AD401"><v>720197</v></cell><cell r="AE401" t="str"><v>Facebook</v></cell><cell r="AF401"><v>3654128</v></cell><cell r="AG401" t="str"><v>FACEBOOK»USA-Trial-ITD-Trial Lookalike-AZR-AZR»1 x 1»SocialBan»LIA»ALL»CPA»LAL»X»NA»SS»NA»FreeAcctITProFB-AnimatedSecureMngd-Ch1»PRC1M9</v></cell><cell r="AH401"><v>224104959</v></cell><cell r="AI401" t="str"><v>AZR_FreeAcctITProFB-AnimatedSecureMngd-Ch1_USA_1200x1200_CAN_Direct_English_Trial_Standard_ANI_LEA_T1_1</v></cell><cell r="AJ401"><v>103176830</v></cell></row><row r="402"><cell r="C402" t="str"><v>43285FACEBOOK»USA-Trial-ITD-Trial Lookalike-AZR-AZR»1 x 1»SocialBan»CAN»ALL»CPA»LAL»X»NA»SS»NA»FBCTCBasicMotion»PRC1LZ</v></cell><cell r="D402" t="str"><v>43285223862915</v></cell><cell r="E402" t="str"><v>43285103043823PRC1LZ</v></cell><cell r="F402" t="str"><v>DCM</v></cell><cell r="G402" t="str"><v>https://signup.azure.com/?OCID=AID%eexcid!_OLA_%ebuy!_%epid!_%ecid!</v></cell></row><row r="402"><cell r="K402" t="str"><v>July</v></cell><cell r="L402"><v>43288</v></cell><cell r="M402" t="str"><v>Tier 0</v></cell><cell r="N402" t="str"><v>North America</v></cell><cell r="O402" t="str"><v>United States</v></cell><cell r="P402" t="str"><v>Trial</v></cell><cell r="Q402" t="str"><v>Social</v></cell><cell r="R402" t="str"><v>Azure</v></cell><cell r="S402" t="str"><v>Apps & Infra</v></cell><cell r="T402" t="str"><v>Developers & ITI's</v></cell><cell r="U402" t="str"><v>USA-Trial-ITD-Trial Lookalike-AZR-AZR</v></cell><cell r="V402" t="str"><v>Lookalike Targeting</v></cell><cell r="W402" t="str"><v>Canvas Ad</v></cell><cell r="X402" t="str"><v>1x1</v></cell></row><row r="402"><cell r="AA402"><v>43285</v></cell><cell r="AB402" t="str"><v>USA_gaPMG_AZR_AZR_Q1_19_Direct-Social</v></cell><cell r="AC402"><v>21358715</v></cell><cell r="AD402"><v>720197</v></cell><cell r="AE402" t="str"><v>Facebook</v></cell><cell r="AF402"><v>3654128</v></cell><cell r="AG402" t="str"><v>FACEBOOK»USA-Trial-ITD-Trial Lookalike-AZR-AZR»1 x 1»SocialBan»CAN»ALL»CPA»LAL»X»NA»SS»NA»FBCTCBasicMotion»PRC1LZ</v></cell><cell r="AH402"><v>223862915</v></cell><cell r="AI402" t="str"><v>AzurePlatform_FBCTCBasicMotion_USA_10s_CAN_PLATFORM_English_Trial_Standard_STAN_TIN_T1_1</v></cell><cell r="AJ402"><v>103043823</v></cell></row><row r="403"><cell r="C403" t="str"><v>43285FACEBOOK»USA-Trial-ITD-Trial PayGo Lookalike-AZR-AZR»1 x 1»SocialBan»CAN»ALL»CPA»LAL»X»NA»SS»NA»FBCTCBasicMotion»PRC1Q0</v></cell><cell r="D403" t="str"><v>43285223935664</v></cell><cell r="E403" t="str"><v>43285103043823PRC1Q0</v></cell><cell r="F403" t="str"><v>DCM</v></cell><cell r="G403" t="str"><v>https://signup.azure.com/?OCID=AID%eexcid!_OLA_%ebuy!_%epid!_%ecid!</v></cell></row><row r="403"><cell r="K403" t="str"><v>July</v></cell><cell r="L403"><v>43288</v></cell><cell r="M403" t="str"><v>Tier 0</v></cell><cell r="N403" t="str"><v>North America</v></cell><cell r="O403" t="str"><v>United States</v></cell><cell r="P403" t="str"><v>Trial</v></cell><cell r="Q403" t="str"><v>Social</v></cell><cell r="R403" t="str"><v>Azure</v></cell><cell r="S403" t="str"><v>Apps & Infra</v></cell><cell r="T403" t="str"><v>Developers & ITI's</v></cell><cell r="U403" t="str"><v>USA-Trial-ITD-Trial PayGo Lookalike-AZR-AZR</v></cell><cell r="V403" t="str"><v>Lookalike Targeting</v></cell><cell r="W403" t="str"><v>Canvas Ad</v></cell><cell r="X403" t="str"><v>1x1</v></cell></row><row r="403"><cell r="AA403"><v>43285</v></cell><cell r="AB403" t="str"><v>USA_gaPMG_AZR_AZR_Q1_19_Direct-Social</v></cell><cell r="AC403"><v>21358715</v></cell><cell r="AD403"><v>720197</v></cell><cell r="AE403" t="str"><v>Facebook</v></cell><cell r="AF403"><v>3654128</v></cell><cell r="AG403" t="str"><v>FACEBOOK»USA-Trial-ITD-Trial PayGo Lookalike-AZR-AZR»1 x 1»SocialBan»CAN»ALL»CPA»LAL»X»NA»SS»NA»FBCTCBasicMotion»PRC1Q0</v></cell><cell r="AH403"><v>223935664</v></cell><cell r="AI403" t="str"><v>AzurePlatform_FBCTCBasicMotion_USA_10s_CAN_PLATFORM_English_Trial_Standard_STAN_TIN_T1_1</v></cell><cell r="AJ403"><v>103043823</v></cell></row><row r="404"><cell r="C404" t="str"><v>43285FACEBOOK»USA-Trial-ITD-Trial PayGo Lookalike-AZR-AZR»1 x 1»SocialBan»CAN»ALL»CPA»LAL»X»NA»SS»NA»FBCTCBasicMotion»PRC1Q0</v></cell><cell r="D404" t="str"><v>43285223935664</v></cell><cell r="E404" t="str"><v>43285103175984PRC1Q0</v></cell><cell r="F404" t="str"><v>DCM</v></cell><cell r="G404" t="str"><v>https://azure.microsoft.com/en-us/pricing/purchase-options/?v=18.19&OCID=AID%eexcid!_OLA_%ebuy!_%epid!_%ecid!</v></cell></row><row r="404"><cell r="K404" t="str"><v>July</v></cell><cell r="L404"><v>43288</v></cell><cell r="M404" t="str"><v>Tier 0</v></cell><cell r="N404" t="str"><v>North America</v></cell><cell r="O404" t="str"><v>United States</v></cell><cell r="P404" t="str"><v>Trial</v></cell><cell r="Q404" t="str"><v>Social</v></cell><cell r="R404" t="str"><v>Azure</v></cell><cell r="S404" t="str"><v>Apps & Infra</v></cell><cell r="T404" t="str"><v>Developers & ITI's</v></cell><cell r="U404" t="str"><v>USA-Trial-ITD-Trial PayGo Lookalike-AZR-AZR</v></cell><cell r="V404" t="str"><v>Lookalike Targeting</v></cell><cell r="W404" t="str"><v>Canvas Ad</v></cell><cell r="X404" t="str"><v>1x1</v></cell></row><row r="404"><cell r="AA404"><v>43285</v></cell><cell r="AB404" t="str"><v>USA_gaPMG_AZR_AZR_Q1_19_Direct-Social</v></cell><cell r="AC404"><v>21358715</v></cell><cell r="AD404"><v>720197</v></cell><cell r="AE404" t="str"><v>Facebook</v></cell><cell r="AF404"><v>3654128</v></cell><cell r="AG404" t="str"><v>FACEBOOK»USA-Trial-ITD-Trial PayGo Lookalike-AZR-AZR»1 x 1»SocialBan»CAN»ALL»CPA»LAL»X»NA»SS»NA»FBCTCBasicMotion»PRC1Q0</v></cell><cell r="AH404"><v>223935664</v></cell><cell r="AI404" t="str"><v>AzurePlatform_FBCTCBasicMotion_USA_10s_CAN_PLATFORM_English_Trial_Standard_STAN_TIN_T1_2</v></cell><cell r="AJ404"><v>103175984</v></cell></row><row r="405"><cell r="C405" t="str"><v>43285FACEBOOK»USA-Trial-ITD-Trial PayGo Lookalike-AZR-AZR»1 x 1»SocialBan»LIA»ALL»CPA»LAL»X»NA»SS»NA»FreeAcctDeveloperFB-AnimatedAI-Ch3»PRC1Q8</v></cell><cell r="D405" t="str"><v>43285224104983</v></cell><cell r="E405" t="str"><v>43285103032778PRC1Q8</v></cell><cell r="F405" t="str"><v>DCM</v></cell></row><row r="405"><cell r="K405" t="str"><v>July</v></cell><cell r="L405"><v>43288</v></cell><cell r="M405" t="str"><v>Tier 0</v></cell><cell r="N405" t="str"><v>North America</v></cell><cell r="O405" t="str"><v>United States</v></cell><cell r="P405" t="str"><v>Trial</v></cell><cell r="Q405" t="str"><v>Social</v></cell><cell r="R405" t="str"><v>Azure</v></cell><cell r="S405" t="str"><v>Apps & Infra</v></cell><cell r="T405" t="str"><v>Developers & ITI's</v></cell><cell r="U405" t="str"><v>USA-Trial-ITD-Trial PayGo Lookalike-AZR-AZR</v></cell><cell r="V405" t="str"><v>Lookalike Targeting</v></cell><cell r="W405" t="str"><v>Link Ad</v></cell><cell r="X405" t="str"><v>1x1</v></cell></row><row r="405"><cell r="AA405"><v>43285</v></cell><cell r="AB405" t="str"><v>USA_gaPMG_AZR_AZR_Q1_19_Direct-Social</v></cell><cell r="AC405"><v>21358715</v></cell><cell r="AD405"><v>720197</v></cell><cell r="AE405" t="str"><v>Facebook</v></cell><cell r="AF405"><v>3654128</v></cell><cell r="AG405" t="str"><v>FACEBOOK»USA-Trial-ITD-Trial PayGo Lookalike-AZR-AZR»1 x 1»SocialBan»LIA»ALL»CPA»LAL»X»NA»SS»NA»FreeAcctDeveloperFB-AnimatedAI-Ch3»PRC1Q8</v></cell><cell r="AH405"><v>224104983</v></cell><cell r="AI405" t="str"><v>AZR_FreeAcctDeveloperFB-AnimatedAI-Ch3_USA_1200x1200_CAN_Direct_English_Trial_Standard_ANI_LEA_T3_1</v></cell><cell r="AJ405"><v>103032778</v></cell></row><row r="406"><cell r="C406" t="str"><v>43285FACEBOOK»USA-Trial-ITD-Trial PayGo Lookalike-AZR-AZR»1 x 1»SocialBan»LIA»ALL»CPA»LAL»X»NA»SS»NA»FreeAcctDeveloperFB-AnimatedData-Ch4»PRC1Q9</v></cell><cell r="D406" t="str"><v>43285224106990</v></cell><cell r="E406" t="str"><v>43285103037935PRC1Q9</v></cell><cell r="F406" t="str"><v>DCM</v></cell></row><row r="406"><cell r="K406" t="str"><v>July</v></cell><cell r="L406"><v>43288</v></cell><cell r="M406" t="str"><v>Tier 0</v></cell><cell r="N406" t="str"><v>North America</v></cell><cell r="O406" t="str"><v>United States</v></cell><cell r="P406" t="str"><v>Trial</v></cell><cell r="Q406" t="str"><v>Social</v></cell><cell r="R406" t="str"><v>Azure</v></cell><cell r="S406" t="str"><v>Apps & Infra</v></cell><cell r="T406" t="str"><v>Developers & ITI's</v></cell><cell r="U406" t="str"><v>USA-Trial-ITD-Trial PayGo Lookalike-AZR-AZR</v></cell><cell r="V406" t="str"><v>Lookalike Targeting</v></cell><cell r="W406" t="str"><v>Link Ad</v></cell><cell r="X406" t="str"><v>1x1</v></cell></row><row r="406"><cell r="AA406"><v>43285</v></cell><cell r="AB406" t="str"><v>USA_gaPMG_AZR_AZR_Q1_19_Direct-Social</v></cell><cell r="AC406"><v>21358715</v></cell><cell r="AD406"><v>720197</v></cell><cell r="AE406" t="str"><v>Facebook</v></cell><cell r="AF406"><v>3654128</v></cell><cell r="AG406" t="str"><v>FACEBOOK»USA-Trial-ITD-Trial PayGo Lookalike-AZR-AZR»1 x 1»SocialBan»LIA»ALL»CPA»LAL»X»NA»SS»NA»FreeAcctDeveloperFB-AnimatedData-Ch4»PRC1Q9</v></cell><cell r="AH406"><v>224106990</v></cell><cell r="AI406" t="str"><v>AZR_FreeAcctDeveloperFB-AnimatedData-Ch4_USA_1200x1200_CAN_Direct_English_Trial_Standard_ANI_LEA_T4_2</v></cell><cell r="AJ406"><v>103037935</v></cell></row><row r="407"><cell r="C407" t="str"><v>43285FACEBOOK»USA-Trial-ITD-Trial PayGo Lookalike-AZR-AZR»1 x 1»SocialBan»LIA»ALL»CPA»LAL»X»NA»SS»NA»FreeAcctDeveloperFB-AnimatedGeneric-Ch1»PRC1Q5</v></cell><cell r="D407" t="str"><v>43285224104092</v></cell><cell r="E407" t="str"><v>43285103176851PRC1Q5</v></cell><cell r="F407" t="str"><v>DCM</v></cell><cell r="G407" t="str"><v>https://azure.microsoft.com/en-us/free/search/?OCID=AID%eexcid!_OLA_%ebuy!_%epid!_%ecid!</v></cell></row><row r="407"><cell r="K407" t="str"><v>July</v></cell><cell r="L407"><v>43288</v></cell><cell r="M407" t="str"><v>Tier 0</v></cell><cell r="N407" t="str"><v>North America</v></cell><cell r="O407" t="str"><v>United States</v></cell><cell r="P407" t="str"><v>Trial</v></cell><cell r="Q407" t="str"><v>Social</v></cell><cell r="R407" t="str"><v>Azure</v></cell><cell r="S407" t="str"><v>Apps & Infra</v></cell><cell r="T407" t="str"><v>Developers & ITI's</v></cell><cell r="U407" t="str"><v>USA-Trial-ITD-Trial PayGo Lookalike-AZR-AZR</v></cell><cell r="V407" t="str"><v>Lookalike Targeting</v></cell><cell r="W407" t="str"><v>Link Ad</v></cell><cell r="X407" t="str"><v>1x1</v></cell></row><row r="407"><cell r="AA407"><v>43285</v></cell><cell r="AB407" t="str"><v>USA_gaPMG_AZR_AZR_Q1_19_Direct-Social</v></cell><cell r="AC407"><v>21358715</v></cell><cell r="AD407"><v>720197</v></cell><cell r="AE407" t="str"><v>Facebook</v></cell><cell r="AF407"><v>3654128</v></cell><cell r="AG407" t="str"><v>FACEBOOK»USA-Trial-ITD-Trial PayGo Lookalike-AZR-AZR»1 x 1»SocialBan»LIA»ALL»CPA»LAL»X»NA»SS»NA»FreeAcctDeveloperFB-AnimatedGeneric-Ch1»PRC1Q5</v></cell><cell r="AH407"><v>224104092</v></cell><cell r="AI407" t="str"><v>AZR_FreeAcctDeveloperFB-AnimatedGeneric-Ch1_USA_1200x1200_CAN_Direct_English_Trial_Standard_ANI_LEA_T1_2</v></cell><cell r="AJ407"><v>103176851</v></cell></row><row r="408"><cell r="C408" t="str"><v>43285FACEBOOK»USA-Trial-ITD-Trial PayGo Lookalike-AZR-AZR»1 x 1»SocialBan»LIA»ALL»CPA»LAL»X»NA»SS»NA»FreeAcctDeveloperFB-AnimatedOpenSource-Ch2»PRC1Q7</v></cell><cell r="D408" t="str"><v>43285223862951</v></cell><cell r="E408" t="str"><v>43285103048329PRC1Q7</v></cell><cell r="F408" t="str"><v>DCM</v></cell><cell r="G408" t="str"><v>https://azure.microsoft.com/en-us/free/open-source/search/?OCID=AID%eexcid!_OLA_%ebuy!_%epid!_%ecid!</v></cell></row><row r="408"><cell r="K408" t="str"><v>July</v></cell><cell r="L408"><v>43288</v></cell><cell r="M408" t="str"><v>Tier 0</v></cell><cell r="N408" t="str"><v>North America</v></cell><cell r="O408" t="str"><v>United States</v></cell><cell r="P408" t="str"><v>Trial</v></cell><cell r="Q408" t="str"><v>Social</v></cell><cell r="R408" t="str"><v>Azure</v></cell><cell r="S408" t="str"><v>Apps & Infra</v></cell><cell r="T408" t="str"><v>Developers & ITI's</v></cell><cell r="U408" t="str"><v>USA-Trial-ITD-Trial PayGo Lookalike-AZR-AZR</v></cell><cell r="V408" t="str"><v>Lookalike Targeting</v></cell><cell r="W408" t="str"><v>Link Ad</v></cell><cell r="X408" t="str"><v>1x1</v></cell></row><row r="408"><cell r="AA408"><v>43285</v></cell><cell r="AB408" t="str"><v>USA_gaPMG_AZR_AZR_Q1_19_Direct-Social</v></cell><cell r="AC408"><v>21358715</v></cell><cell r="AD408"><v>720197</v></cell><cell r="AE408" t="str"><v>Facebook</v></cell><cell r="AF408"><v>3654128</v></cell><cell r="AG408" t="str"><v>FACEBOOK»USA-Trial-ITD-Trial PayGo Lookalike-AZR-AZR»1 x 1»SocialBan»LIA»ALL»CPA»LAL»X»NA»SS»NA»FreeAcctDeveloperFB-AnimatedOpenSource-Ch2»PRC1Q7</v></cell><cell r="AH408"><v>223862951</v></cell><cell r="AI408" t="str"><v>AZR_FreeAcctDeveloperFB-AnimatedOpenSource-Ch2_USA_1200x1200_CAN_Direct_English_Trial_Standard_ANI_LEA_T2_1</v></cell><cell r="AJ408"><v>103048329</v></cell></row><row r="409"><cell r="C409" t="str"><v>43285FACEBOOK»USA-Trial-ITD-Trial PayGo Lookalike-AZR-AZR»1 x 1»SocialBan»LIA»ALL»CPA»LAL»X»NA»SS»NA»FreeAcctITProFB-AnimatedHybrid-Ch2»PRC1QC</v></cell><cell r="D409" t="str"><v>43285223933186</v></cell><cell r="E409" t="str"><v>43285103180583PRC1QC</v></cell><cell r="F409" t="str"><v>DCM</v></cell></row><row r="409"><cell r="K409" t="str"><v>July</v></cell><cell r="L409"><v>43288</v></cell><cell r="M409" t="str"><v>Tier 0</v></cell><cell r="N409" t="str"><v>North America</v></cell><cell r="O409" t="str"><v>United States</v></cell><cell r="P409" t="str"><v>Trial</v></cell><cell r="Q409" t="str"><v>Social</v></cell><cell r="R409" t="str"><v>Azure</v></cell><cell r="S409" t="str"><v>Apps & Infra</v></cell><cell r="T409" t="str"><v>Developers & ITI's</v></cell><cell r="U409" t="str"><v>USA-Trial-ITD-Trial PayGo Lookalike-AZR-AZR</v></cell><cell r="V409" t="str"><v>Lookalike Targeting</v></cell><cell r="W409" t="str"><v>Link Ad</v></cell><cell r="X409" t="str"><v>1x1</v></cell></row><row r="409"><cell r="AA409"><v>43285</v></cell><cell r="AB409" t="str"><v>USA_gaPMG_AZR_AZR_Q1_19_Direct-Social</v></cell><cell r="AC409"><v>21358715</v></cell><cell r="AD409"><v>720197</v></cell><cell r="AE409" t="str"><v>Facebook</v></cell><cell r="AF409"><v>3654128</v></cell><cell r="AG409" t="str"><v>FACEBOOK»USA-Trial-ITD-Trial PayGo Lookalike-AZR-AZR»1 x 1»SocialBan»LIA»ALL»CPA»LAL»X»NA»SS»NA»FreeAcctITProFB-AnimatedHybrid-Ch2»PRC1QC</v></cell><cell r="AH409"><v>223933186</v></cell><cell r="AI409" t="str"><v>AZR_FreeAcctITProFB-AnimatedHybrid-Ch2_USA_1200x1200_CAN_Direct_English_Trial_Standard_ANI_LEA_T2_2</v></cell><cell r="AJ409"><v>103180583</v></cell></row><row r="410"><cell r="C410" t="str"><v>43285FACEBOOK»USA-Trial-ITD-Trial PayGo Lookalike-AZR-AZR»1 x 1»SocialBan»LIA»ALL»CPA»LAL»X»NA»SS»NA»FreeAcctITProFB-AnimatedMigration-Ch3»PRC23Y</v></cell><cell r="D410" t="str"><v>43285224105904</v></cell><cell r="E410" t="str"><v>43285103176827PRC23Y</v></cell><cell r="F410" t="str"><v>DCM</v></cell></row><row r="410"><cell r="K410" t="str"><v>July</v></cell><cell r="L410"><v>43288</v></cell><cell r="M410" t="str"><v>Tier 0</v></cell><cell r="N410" t="str"><v>North America</v></cell><cell r="O410" t="str"><v>United States</v></cell><cell r="P410" t="str"><v>Trial</v></cell><cell r="Q410" t="str"><v>Social</v></cell><cell r="R410" t="str"><v>Azure</v></cell><cell r="S410" t="str"><v>Apps & Infra</v></cell><cell r="T410" t="str"><v>Developers & ITI's</v></cell><cell r="U410" t="str"><v>USA-Trial-ITD-Trial PayGo Lookalike-AZR-AZR</v></cell><cell r="V410" t="str"><v>Lookalike Targeting</v></cell><cell r="W410" t="str"><v>Link Ad</v></cell><cell r="X410" t="str"><v>1x1</v></cell></row><row r="410"><cell r="AA410"><v>43285</v></cell><cell r="AB410" t="str"><v>USA_gaPMG_AZR_AZR_Q1_19_Direct-Social</v></cell><cell r="AC410"><v>21358715</v></cell><cell r="AD410"><v>720197</v></cell><cell r="AE410" t="str"><v>Facebook</v></cell><cell r="AF410"><v>3654128</v></cell><cell r="AG410" t="str"><v>FACEBOOK»USA-Trial-ITD-Trial PayGo Lookalike-AZR-AZR»1 x 1»SocialBan»LIA»ALL»CPA»LAL»X»NA»SS»NA»FreeAcctITProFB-AnimatedMigration-Ch3»PRC23Y</v></cell><cell r="AH410"><v>224105904</v></cell><cell r="AI410" t="str"><v>AZR_FreeAcctITProFB-AnimatedMigration-Ch3_USA_1200x1200_CAN_Direct_English_Trial_Standard_ANI_LEA_T3_1</v></cell><cell r="AJ410"><v>103176827</v></cell></row><row r="411"><cell r="C411" t="str"><v>43285FACEBOOK»USA-Trial-ITD-Trial PayGo Lookalike-AZR-AZR»1 x 1»SocialBan»LIA»ALL»CPA»LAL»X»NA»SS»NA»FreeAcctITProFB-AnimatedSecureMngd-Ch1»PRC1QB</v></cell><cell r="D411" t="str"><v>43285223862945</v></cell><cell r="E411" t="str"><v>43285103176830PRC1QB</v></cell><cell r="F411" t="str"><v>DCM</v></cell></row><row r="411"><cell r="K411" t="str"><v>July</v></cell><cell r="L411"><v>43288</v></cell><cell r="M411" t="str"><v>Tier 0</v></cell><cell r="N411" t="str"><v>North America</v></cell><cell r="O411" t="str"><v>United States</v></cell><cell r="P411" t="str"><v>Trial</v></cell><cell r="Q411" t="str"><v>Social</v></cell><cell r="R411" t="str"><v>Azure</v></cell><cell r="S411" t="str"><v>Apps & Infra</v></cell><cell r="T411" t="str"><v>Developers & ITI's</v></cell><cell r="U411" t="str"><v>USA-Trial-ITD-Trial PayGo Lookalike-AZR-AZR</v></cell><cell r="V411" t="str"><v>Lookalike Targeting</v></cell><cell r="W411" t="str"><v>Link Ad</v></cell><cell r="X411" t="str"><v>1x1</v></cell></row><row r="411"><cell r="AA411"><v>43285</v></cell><cell r="AB411" t="str"><v>USA_gaPMG_AZR_AZR_Q1_19_Direct-Social</v></cell><cell r="AC411"><v>21358715</v></cell><cell r="AD411"><v>720197</v></cell><cell r="AE411" t="str"><v>Facebook</v></cell><cell r="AF411"><v>3654128</v></cell><cell r="AG411" t="str"><v>FACEBOOK»USA-Trial-ITD-Trial PayGo Lookalike-AZR-AZR»1 x 1»SocialBan»LIA»ALL»CPA»LAL»X»NA»SS»NA»FreeAcctITProFB-AnimatedSecureMngd-Ch1»PRC1QB</v></cell><cell r="AH411"><v>223862945</v></cell><cell r="AI411" t="str"><v>AZR_FreeAcctITProFB-AnimatedSecureMngd-Ch1_USA_1200x1200_CAN_Direct_English_Trial_Standard_ANI_LEA_T1_1</v></cell><cell r="AJ411"><v>103176830</v></cell></row><row r="412"><cell r="C412" t="str"><v>43285INSTAGRAM»USA-Trial-ITD-Interest Prospecting-AZR-AZR»1 x 1»SocialBan»CAN»ALL»CPA»PRO»X»NA»SS»NA»IGCTCBenefit2inMotion»PRC2PD</v></cell><cell r="D412" t="str"><v>43285223933084</v></cell><cell r="E412" t="str"><v>43285103180628PRC2PD</v></cell><cell r="F412" t="str"><v>DCM</v></cell><cell r="G412" t="str"><v>https://signup.azure.com/?OCID=AID%eexcid!_OLA_%ebuy!_%epid!_%ecid!</v></cell></row><row r="412"><cell r="K412" t="str"><v>July</v></cell><cell r="L412"><v>43288</v></cell><cell r="M412" t="str"><v>Tier 0</v></cell><cell r="N412" t="str"><v>North America</v></cell><cell r="O412" t="str"><v>United States</v></cell><cell r="P412" t="str"><v>Trial</v></cell><cell r="Q412" t="str"><v>Social</v></cell><cell r="R412" t="str"><v>Azure</v></cell><cell r="S412" t="str"><v>Apps & Infra</v></cell><cell r="T412" t="str"><v>Developers & ITI's</v></cell><cell r="U412" t="str"><v>USA-Trial-ITD-Interest Prospecting-AZR-AZR</v></cell><cell r="V412" t="str"><v>Prospecting</v></cell><cell r="W412" t="str"><v>Canvas Ad</v></cell><cell r="X412" t="str"><v>1x1</v></cell></row><row r="412"><cell r="AA412"><v>43285</v></cell><cell r="AB412" t="str"><v>USA_gaPMG_AZR_AZR_Q1_19_Direct-Social</v></cell><cell r="AC412"><v>21358715</v></cell><cell r="AD412"><v>720197</v></cell><cell r="AE412" t="str"><v>Facebook - Instagram</v></cell><cell r="AF412"><v>3654128</v></cell><cell r="AG412" t="str"><v>INSTAGRAM»USA-Trial-ITD-Interest Prospecting-AZR-AZR»1 x 1»SocialBan»CAN»ALL»CPA»PRO»X»NA»SS»NA»IGCTCBenefit2inMotion»PRC2PD</v></cell><cell r="AH412"><v>223933084</v></cell><cell r="AI412" t="str"><v>AzurePlatform_IGCTCBrandinMotion_USA_10s_CAN_PLATFORM_English_Trial_Standard_STAN_TIN_T2_1</v></cell><cell r="AJ412"><v>103180628</v></cell></row><row r="413"><cell r="C413" t="str"><v>43285INSTAGRAM»USA-Trial-ITD-Interest Prospecting-AZR-AZR»1 x 1»SocialBan»CAN»ALL»CPA»PRO»X»NA»SS»NA»IGCTCBenefit2inMotion»PRC2PD</v></cell><cell r="D413" t="str"><v>43285223933084</v></cell><cell r="E413" t="str"><v>43285103050786PRC2PD</v></cell><cell r="F413" t="str"><v>DCM</v></cell><cell r="G413" t="str"><v>https://azure.microsoft.com/en-us/pricing/purchase-options/?v=18.19&OCID=AID%eexcid!_OLA_%ebuy!_%epid!_%ecid!</v></cell></row><row r="413"><cell r="K413" t="str"><v>July</v></cell><cell r="L413"><v>43288</v></cell><cell r="M413" t="str"><v>Tier 0</v></cell><cell r="N413" t="str"><v>North America</v></cell><cell r="O413" t="str"><v>United States</v></cell><cell r="P413" t="str"><v>Trial</v></cell><cell r="Q413" t="str"><v>Social</v></cell><cell r="R413" t="str"><v>Azure</v></cell><cell r="S413" t="str"><v>Apps & Infra</v></cell><cell r="T413" t="str"><v>Developers & ITI's</v></cell><cell r="U413" t="str"><v>USA-Trial-ITD-Interest Prospecting-AZR-AZR</v></cell><cell r="V413" t="str"><v>Prospecting</v></cell><cell r="W413" t="str"><v>Canvas Ad</v></cell><cell r="X413" t="str"><v>1x1</v></cell></row><row r="413"><cell r="AA413"><v>43285</v></cell><cell r="AB413" t="str"><v>USA_gaPMG_AZR_AZR_Q1_19_Direct-Social</v></cell><cell r="AC413"><v>21358715</v></cell><cell r="AD413"><v>720197</v></cell><cell r="AE413" t="str"><v>Facebook - Instagram</v></cell><cell r="AF413"><v>3654128</v></cell><cell r="AG413" t="str"><v>INSTAGRAM»USA-Trial-ITD-Interest Prospecting-AZR-AZR»1 x 1»SocialBan»CAN»ALL»CPA»PRO»X»NA»SS»NA»IGCTCBenefit2inMotion»PRC2PD</v></cell><cell r="AH413"><v>223933084</v></cell><cell r="AI413" t="str"><v>AzurePlatform_IGCTCBrandinMotion_USA_10s_CAN_PLATFORM_English_Trial_Standard_STAN_TIN_T2_2</v></cell><cell r="AJ413"><v>103050786</v></cell></row><row r="414"><cell r="C414" t="str"><v>43285INSTAGRAM»USA-Trial-ITD-Retargeting-AZR-AZR»1 x 1»SocialBan»CAN»ALL»CPA»RT»X»NA»SS»NA»IGCTCBasicMotion»PRC2G7</v></cell><cell r="D414" t="str"><v>43285223935007</v></cell><cell r="E414" t="str"><v>43285103037974PRC2G7</v></cell><cell r="F414" t="str"><v>DCM</v></cell><cell r="G414" t="str"><v>https://azure.microsoft.com/en-us/pricing/purchase-options/?v=18.19&OCID=AID%eexcid!_OLA_%ebuy!_%epid!_%ecid!</v></cell></row><row r="414"><cell r="K414" t="str"><v>July</v></cell><cell r="L414"><v>43288</v></cell><cell r="M414" t="str"><v>Tier 0</v></cell><cell r="N414" t="str"><v>North America</v></cell><cell r="O414" t="str"><v>United States</v></cell><cell r="P414" t="str"><v>Trial</v></cell><cell r="Q414" t="str"><v>Social</v></cell><cell r="R414" t="str"><v>Azure</v></cell><cell r="S414" t="str"><v>Apps & Infra</v></cell><cell r="T414" t="str"><v>Developers & ITI's</v></cell><cell r="U414" t="str"><v>USA-Trial-ITD-Retargeting-AZR-AZR</v></cell><cell r="V414" t="str"><v>Retargeting</v></cell><cell r="W414" t="str"><v>Canvas Ad</v></cell><cell r="X414" t="str"><v>1x1</v></cell></row><row r="414"><cell r="AA414"><v>43285</v></cell><cell r="AB414" t="str"><v>USA_gaPMG_AZR_AZR_Q1_19_Direct-Social</v></cell><cell r="AC414"><v>21358715</v></cell><cell r="AD414"><v>720197</v></cell><cell r="AE414" t="str"><v>Facebook - Instagram</v></cell><cell r="AF414"><v>3654128</v></cell><cell r="AG414" t="str"><v>INSTAGRAM»USA-Trial-ITD-Retargeting-AZR-AZR»1 x 1»SocialBan»CAN»ALL»CPA»RT»X»NA»SS»NA»IGCTCBasicMotion»PRC2G7</v></cell><cell r="AH414"><v>223935007</v></cell><cell r="AI414" t="str"><v>AzurePlatform_IGCTCBasicMotion_USA_10s_CAN_PLATFORM_English_Trial_Standard_STAN_TIN_T1_2</v></cell><cell r="AJ414"><v>103037974</v></cell></row><row r="415"><cell r="C415" t="str"><v>43285INSTAGRAM»USA-Trial-ITD-Trial Lookalike-AZR-AZR»1 x 1»SocialBan»CAN»ALL»CPA»LAL»X»NA»SS»NA»IGCTCBenefit2inMotion»PRC2FL</v></cell><cell r="D415" t="str"><v>43285223935022</v></cell><cell r="E415" t="str"><v>43285103180628PRC2FL</v></cell><cell r="F415" t="str"><v>DCM</v></cell><cell r="G415" t="str"><v>https://signup.azure.com/?OCID=AID%eexcid!_OLA_%ebuy!_%epid!_%ecid!</v></cell></row><row r="415"><cell r="K415" t="str"><v>July</v></cell><cell r="L415"><v>43288</v></cell><cell r="M415" t="str"><v>Tier 0</v></cell><cell r="N415" t="str"><v>North America</v></cell><cell r="O415" t="str"><v>United States</v></cell><cell r="P415" t="str"><v>Trial</v></cell><cell r="Q415" t="str"><v>Social</v></cell><cell r="R415" t="str"><v>Azure</v></cell><cell r="S415" t="str"><v>Apps & Infra</v></cell><cell r="T415" t="str"><v>Developers & ITI's</v></cell><cell r="U415" t="str"><v>USA-Trial-ITD-Trial Lookalike-AZR-AZR</v></cell><cell r="V415" t="str"><v>Lookalike Targeting</v></cell><cell r="W415" t="str"><v>Canvas Ad</v></cell><cell r="X415" t="str"><v>1x1</v></cell></row><row r="415"><cell r="AA415"><v>43285</v></cell><cell r="AB415" t="str"><v>USA_gaPMG_AZR_AZR_Q1_19_Direct-Social</v></cell><cell r="AC415"><v>21358715</v></cell><cell r="AD415"><v>720197</v></cell><cell r="AE415" t="str"><v>Facebook - Instagram</v></cell><cell r="AF415"><v>3654128</v></cell><cell r="AG415" t="str"><v>INSTAGRAM»USA-Trial-ITD-Trial Lookalike-AZR-AZR»1 x 1»SocialBan»CAN»ALL»CPA»LAL»X»NA»SS»NA»IGCTCBenefit2inMotion»PRC2FL</v></cell><cell r="AH415"><v>223935022</v></cell><cell r="AI415" t="str"><v>AzurePlatform_IGCTCBrandinMotion_USA_10s_CAN_PLATFORM_English_Trial_Standard_STAN_TIN_T2_1</v></cell><cell r="AJ415"><v>103180628</v></cell></row><row r="416"><cell r="C416" t="str"><v>43285INSTAGRAM»USA-Trial-ITD-Trial Lookalike-AZR-AZR»1 x 1»SocialBan»CAN»ALL»CPA»LAL»X»NA»SS»NA»IGCTCBrandinMotion»PRC2FH</v></cell><cell r="D416" t="str"><v>43285223935019</v></cell><cell r="E416" t="str"><v>43285103050783PRC2FH</v></cell><cell r="F416" t="str"><v>DCM</v></cell><cell r="G416" t="str"><v>https://signup.azure.com/?OCID=AID%eexcid!_OLA_%ebuy!_%epid!_%ecid!</v></cell></row><row r="416"><cell r="K416" t="str"><v>July</v></cell><cell r="L416"><v>43288</v></cell><cell r="M416" t="str"><v>Tier 0</v></cell><cell r="N416" t="str"><v>North America</v></cell><cell r="O416" t="str"><v>United States</v></cell><cell r="P416" t="str"><v>Trial</v></cell><cell r="Q416" t="str"><v>Social</v></cell><cell r="R416" t="str"><v>Azure</v></cell><cell r="S416" t="str"><v>Apps & Infra</v></cell><cell r="T416" t="str"><v>Developers & ITI's</v></cell><cell r="U416" t="str"><v>USA-Trial-ITD-Trial Lookalike-AZR-AZR</v></cell><cell r="V416" t="str"><v>Lookalike Targeting</v></cell><cell r="W416" t="str"><v>Canvas Ad</v></cell><cell r="X416" t="str"><v>1x1</v></cell></row><row r="416"><cell r="AA416"><v>43285</v></cell><cell r="AB416" t="str"><v>USA_gaPMG_AZR_AZR_Q1_19_Direct-Social</v></cell><cell r="AC416"><v>21358715</v></cell><cell r="AD416"><v>720197</v></cell><cell r="AE416" t="str"><v>Facebook - Instagram</v></cell><cell r="AF416"><v>3654128</v></cell><cell r="AG416" t="str"><v>INSTAGRAM»USA-Trial-ITD-Trial Lookalike-AZR-AZR»1 x 1»SocialBan»CAN»ALL»CPA»LAL»X»NA»SS»NA»IGCTCBrandinMotion»PRC2FH</v></cell><cell r="AH416"><v>223935019</v></cell><cell r="AI416" t="str"><v>AzurePlatform_IGCTCBenefit2inMotion_USA_10s_CAN_PLATFORM_English_Trial_Standard_STAN_TIN_T4_1</v></cell><cell r="AJ416"><v>103050783</v></cell></row><row r="417"><cell r="C417" t="str"><v>43285INSTAGRAM»USA-Trial-ITD-Trial Lookalike-AZR-AZR»1 x 1»SocialBan»CAN»ALL»CPA»LAL»X»NA»SS»NA»IGCTCBrandinMotion»PRC2FH</v></cell><cell r="D417" t="str"><v>43285223935019</v></cell><cell r="E417" t="str"><v>43285103178714PRC2FH</v></cell><cell r="F417" t="str"><v>DCM</v></cell><cell r="G417" t="str"><v>https://azure.microsoft.com/en-us/pricing/purchase-options/?v=18.19&OCID=AID%eexcid!_OLA_%ebuy!_%epid!_%ecid!</v></cell></row><row r="417"><cell r="K417" t="str"><v>July</v></cell><cell r="L417"><v>43288</v></cell><cell r="M417" t="str"><v>Tier 0</v></cell><cell r="N417" t="str"><v>North America</v></cell><cell r="O417" t="str"><v>United States</v></cell><cell r="P417" t="str"><v>Trial</v></cell><cell r="Q417" t="str"><v>Social</v></cell><cell r="R417" t="str"><v>Azure</v></cell><cell r="S417" t="str"><v>Apps & Infra</v></cell><cell r="T417" t="str"><v>Developers & ITI's</v></cell><cell r="U417" t="str"><v>USA-Trial-ITD-Trial Lookalike-AZR-AZR</v></cell><cell r="V417" t="str"><v>Lookalike Targeting</v></cell><cell r="W417" t="str"><v>Canvas Ad</v></cell><cell r="X417" t="str"><v>1x1</v></cell></row><row r="417"><cell r="AA417"><v>43285</v></cell><cell r="AB417" t="str"><v>USA_gaPMG_AZR_AZR_Q1_19_Direct-Social</v></cell><cell r="AC417"><v>21358715</v></cell><cell r="AD417"><v>720197</v></cell><cell r="AE417" t="str"><v>Facebook - Instagram</v></cell><cell r="AF417"><v>3654128</v></cell><cell r="AG417" t="str"><v>INSTAGRAM»USA-Trial-ITD-Trial Lookalike-AZR-AZR»1 x 1»SocialBan»CAN»ALL»CPA»LAL»X»NA»SS»NA»IGCTCBrandinMotion»PRC2FH</v></cell><cell r="AH417"><v>223935019</v></cell><cell r="AI417" t="str"><v>AzurePlatform_IGCTCBenefit2inMotion_USA_10s_CAN_PLATFORM_English_Trial_Standard_STAN_TIN_T4_2</v></cell><cell r="AJ417"><v>103178714</v></cell></row><row r="418"><cell r="C418" t="str"><v>43285INSTAGRAM»USA-Trial-ITD-Trial PayGo Lookalike-AZR-AZR»1 x 1»SocialBan»CAN»ALL»CPA»LAL»X»NA»SS»NA»IGCTCBrandinMotion»PRC2FW</v></cell><cell r="D418" t="str"><v>43285223862654</v></cell><cell r="E418" t="str"><v>43285103178714PRC2FW</v></cell><cell r="F418" t="str"><v>DCM</v></cell><cell r="G418" t="str"><v>https://azure.microsoft.com/en-us/pricing/purchase-options/?v=18.19&OCID=AID%eexcid!_OLA_%ebuy!_%epid!_%ecid!</v></cell></row><row r="418"><cell r="K418" t="str"><v>July</v></cell><cell r="L418"><v>43288</v></cell><cell r="M418" t="str"><v>Tier 0</v></cell><cell r="N418" t="str"><v>North America</v></cell><cell r="O418" t="str"><v>United States</v></cell><cell r="P418" t="str"><v>Trial</v></cell><cell r="Q418" t="str"><v>Social</v></cell><cell r="R418" t="str"><v>Azure</v></cell><cell r="S418" t="str"><v>Apps & Infra</v></cell><cell r="T418" t="str"><v>Developers & ITI's</v></cell><cell r="U418" t="str"><v>USA-Trial-ITD-Trial PayGo Lookalike-AZR-AZR</v></cell><cell r="V418" t="str"><v>Lookalike Targeting</v></cell><cell r="W418" t="str"><v>Canvas Ad</v></cell><cell r="X418" t="str"><v>1x1</v></cell></row><row r="418"><cell r="AA418"><v>43285</v></cell><cell r="AB418" t="str"><v>USA_gaPMG_AZR_AZR_Q1_19_Direct-Social</v></cell><cell r="AC418"><v>21358715</v></cell><cell r="AD418"><v>720197</v></cell><cell r="AE418" t="str"><v>Facebook - Instagram</v></cell><cell r="AF418"><v>3654128</v></cell><cell r="AG418" t="str"><v>INSTAGRAM»USA-Trial-ITD-Trial PayGo Lookalike-AZR-AZR»1 x 1»SocialBan»CAN»ALL»CPA»LAL»X»NA»SS»NA»IGCTCBrandinMotion»PRC2FW</v></cell><cell r="AH418"><v>223862654</v></cell><cell r="AI418" t="str"><v>AzurePlatform_IGCTCBenefit2inMotion_USA_10s_CAN_PLATFORM_English_Trial_Standard_STAN_TIN_T4_2</v></cell><cell r="AJ418"><v>103178714</v></cell></row><row r="419"><cell r="C419" t="str"><v>43285INSTAGRAM»USA-Trial-ITD-Interest Prospecting-AZR-AZR»1 x 1»SocialBan»CAN»ALL»CPA»PRO»X»NA»SS»NA»IGCTCBasicMotion»PRC2PF</v></cell><cell r="D419" t="str"><v>43285224106621</v></cell><cell r="E419" t="str"><v>43285103037968PRC2PF</v></cell><cell r="F419" t="str"><v>DCM</v></cell><cell r="G419" t="str"><v>https://signup.azure.com/?OCID=AID%eexcid!_OLA_%ebuy!_%epid!_%ecid!</v></cell></row><row r="419"><cell r="K419" t="str"><v>July</v></cell><cell r="L419"><v>43288</v></cell><cell r="M419" t="str"><v>Tier 0</v></cell><cell r="N419" t="str"><v>North America</v></cell><cell r="O419" t="str"><v>United States</v></cell><cell r="P419" t="str"><v>Trial</v></cell><cell r="Q419" t="str"><v>Social</v></cell><cell r="R419" t="str"><v>Azure</v></cell><cell r="S419" t="str"><v>Apps & Infra</v></cell><cell r="T419" t="str"><v>Developers & ITI's</v></cell><cell r="U419" t="str"><v>USA-Trial-ITD-Interest Prospecting-AZR-AZR</v></cell><cell r="V419" t="str"><v>Prospecting</v></cell><cell r="W419" t="str"><v>Canvas Ad</v></cell><cell r="X419" t="str"><v>1x1</v></cell></row><row r="419"><cell r="AA419"><v>43285</v></cell><cell r="AB419" t="str"><v>USA_gaPMG_AZR_AZR_Q1_19_Direct-Social</v></cell><cell r="AC419"><v>21358715</v></cell><cell r="AD419"><v>720197</v></cell><cell r="AE419" t="str"><v>Facebook - Instagram</v></cell><cell r="AF419"><v>3654128</v></cell><cell r="AG419" t="str"><v>INSTAGRAM»USA-Trial-ITD-Interest Prospecting-AZR-AZR»1 x 1»SocialBan»CAN»ALL»CPA»PRO»X»NA»SS»NA»IGCTCBasicMotion»PRC2PF</v></cell><cell r="AH419"><v>224106621</v></cell><cell r="AI419" t="str"><v>AzurePlatform_IGCTCBasicMotion_USA_10s_CAN_PLATFORM_English_Trial_Standard_STAN_TIN_T1_1</v></cell><cell r="AJ419"><v>103037968</v></cell></row><row r="420"><cell r="C420" t="str"><v>43285INSTAGRAM»USA-Trial-ITD-Interest Prospecting-AZR-AZR»1 x 1»SocialBan»CAN»ALL»CPA»PRO»X»NA»SS»NA»IGCTCBasicMotion»PRC2PF</v></cell><cell r="D420" t="str"><v>43285224106621</v></cell><cell r="E420" t="str"><v>43285103037974PRC2PF</v></cell><cell r="F420" t="str"><v>DCM</v></cell><cell r="G420" t="str"><v>https://azure.microsoft.com/en-us/pricing/purchase-options/?v=18.19&OCID=AID%eexcid!_OLA_%ebuy!_%epid!_%ecid!</v></cell></row><row r="420"><cell r="K420" t="str"><v>July</v></cell><cell r="L420"><v>43288</v></cell><cell r="M420" t="str"><v>Tier 0</v></cell><cell r="N420" t="str"><v>North America</v></cell><cell r="O420" t="str"><v>United States</v></cell><cell r="P420" t="str"><v>Trial</v></cell><cell r="Q420" t="str"><v>Social</v></cell><cell r="R420" t="str"><v>Azure</v></cell><cell r="S420" t="str"><v>Apps & Infra</v></cell><cell r="T420" t="str"><v>Developers & ITI's</v></cell><cell r="U420" t="str"><v>USA-Trial-ITD-Interest Prospecting-AZR-AZR</v></cell><cell r="V420" t="str"><v>Prospecting</v></cell><cell r="W420" t="str"><v>Canvas Ad</v></cell><cell r="X420" t="str"><v>1x1</v></cell></row><row r="420"><cell r="AA420"><v>43285</v></cell><cell r="AB420" t="str"><v>USA_gaPMG_AZR_AZR_Q1_19_Direct-Social</v></cell><cell r="AC420"><v>21358715</v></cell><cell r="AD420"><v>720197</v></cell><cell r="AE420" t="str"><v>Facebook - Instagram</v></cell><cell r="AF420"><v>3654128</v></cell><cell r="AG420" t="str"><v>INSTAGRAM»USA-Trial-ITD-Interest Prospecting-AZR-AZR»1 x 1»SocialBan»CAN»ALL»CPA»PRO»X»NA»SS»NA»IGCTCBasicMotion»PRC2PF</v></cell><cell r="AH420"><v>224106621</v></cell><cell r="AI420" t="str"><v>AzurePlatform_IGCTCBasicMotion_USA_10s_CAN_PLATFORM_English_Trial_Standard_STAN_TIN_T1_2</v></cell><cell r="AJ420"><v>103037974</v></cell></row><row r="421"><cell r="C421" t="str"><v>43285INSTAGRAM»USA-Trial-ITD-Interest Prospecting-AZR-AZR»1 x 1»SocialBan»CAN»ALL»CPA»PRO»X»NA»SS»NA»IGCTCBenefitinMotion»PRC2PC</v></cell><cell r="D421" t="str"><v>43285224104878</v></cell><cell r="E421" t="str"><v>43285103050780PRC2PC</v></cell><cell r="F421" t="str"><v>DCM</v></cell><cell r="G421" t="str"><v>https://signup.azure.com/?OCID=AID%eexcid!_OLA_%ebuy!_%epid!_%ecid!</v></cell></row><row r="421"><cell r="K421" t="str"><v>July</v></cell><cell r="L421"><v>43288</v></cell><cell r="M421" t="str"><v>Tier 0</v></cell><cell r="N421" t="str"><v>North America</v></cell><cell r="O421" t="str"><v>United States</v></cell><cell r="P421" t="str"><v>Trial</v></cell><cell r="Q421" t="str"><v>Social</v></cell><cell r="R421" t="str"><v>Azure</v></cell><cell r="S421" t="str"><v>Apps & Infra</v></cell><cell r="T421" t="str"><v>Developers & ITI's</v></cell><cell r="U421" t="str"><v>USA-Trial-ITD-Interest Prospecting-AZR-AZR</v></cell><cell r="V421" t="str"><v>Prospecting</v></cell><cell r="W421" t="str"><v>Canvas Ad</v></cell><cell r="X421" t="str"><v>1x1</v></cell></row><row r="421"><cell r="AA421"><v>43285</v></cell><cell r="AB421" t="str"><v>USA_gaPMG_AZR_AZR_Q1_19_Direct-Social</v></cell><cell r="AC421"><v>21358715</v></cell><cell r="AD421"><v>720197</v></cell><cell r="AE421" t="str"><v>Facebook - Instagram</v></cell><cell r="AF421"><v>3654128</v></cell><cell r="AG421" t="str"><v>INSTAGRAM»USA-Trial-ITD-Interest Prospecting-AZR-AZR»1 x 1»SocialBan»CAN»ALL»CPA»PRO»X»NA»SS»NA»IGCTCBenefitinMotion»PRC2PC</v></cell><cell r="AH421"><v>224104878</v></cell><cell r="AI421" t="str"><v>AzurePlatform_IGCTCBenefitinMotion_USA_10s_CAN_PLATFORM_English_Trial_Standard_STAN_TIN_T3_1</v></cell><cell r="AJ421"><v>103050780</v></cell></row><row r="422"><cell r="C422" t="str"><v>43285INSTAGRAM»USA-Trial-ITD-Interest Prospecting-AZR-AZR»1 x 1»SocialBan»CAN»ALL»CPA»PRO»X»NA»SS»NA»IGCTCBenefitinMotion»PRC2PC</v></cell><cell r="D422" t="str"><v>43285224104878</v></cell><cell r="E422" t="str"><v>43285103180637PRC2PC</v></cell><cell r="F422" t="str"><v>DCM</v></cell><cell r="G422" t="str"><v>https://azure.microsoft.com/en-us/pricing/purchase-options/?v=18.19&OCID=AID%eexcid!_OLA_%ebuy!_%epid!_%ecid!</v></cell></row><row r="422"><cell r="K422" t="str"><v>July</v></cell><cell r="L422"><v>43288</v></cell><cell r="M422" t="str"><v>Tier 0</v></cell><cell r="N422" t="str"><v>North America</v></cell><cell r="O422" t="str"><v>United States</v></cell><cell r="P422" t="str"><v>Trial</v></cell><cell r="Q422" t="str"><v>Social</v></cell><cell r="R422" t="str"><v>Azure</v></cell><cell r="S422" t="str"><v>Apps & Infra</v></cell><cell r="T422" t="str"><v>Developers & ITI's</v></cell><cell r="U422" t="str"><v>USA-Trial-ITD-Interest Prospecting-AZR-AZR</v></cell><cell r="V422" t="str"><v>Prospecting</v></cell><cell r="W422" t="str"><v>Canvas Ad</v></cell><cell r="X422" t="str"><v>1x1</v></cell></row><row r="422"><cell r="AA422"><v>43285</v></cell><cell r="AB422" t="str"><v>USA_gaPMG_AZR_AZR_Q1_19_Direct-Social</v></cell><cell r="AC422"><v>21358715</v></cell><cell r="AD422"><v>720197</v></cell><cell r="AE422" t="str"><v>Facebook - Instagram</v></cell><cell r="AF422"><v>3654128</v></cell><cell r="AG422" t="str"><v>INSTAGRAM»USA-Trial-ITD-Interest Prospecting-AZR-AZR»1 x 1»SocialBan»CAN»ALL»CPA»PRO»X»NA»SS»NA»IGCTCBenefitinMotion»PRC2PC</v></cell><cell r="AH422"><v>224104878</v></cell><cell r="AI422" t="str"><v>AzurePlatform_IGCTCBenefitinMotion_USA_10s_CAN_PLATFORM_English_Trial_Standard_STAN_TIN_T3_2</v></cell><cell r="AJ422"><v>103180637</v></cell></row><row r="423"><cell r="C423" t="str"><v>43285INSTAGRAM»USA-Trial-ITD-Trial Lookalike-AZR-AZR»1 x 1»SocialBan»CAN»ALL»CPA»LAL»X»NA»SS»NA»IGCTCBasicMotion»PRC0C2</v></cell><cell r="D423" t="str"><v>43285224107017</v></cell><cell r="E423" t="str"><v>43285103037968PRC0C2</v></cell><cell r="F423" t="str"><v>DCM</v></cell><cell r="G423" t="str"><v>https://signup.azure.com/?OCID=AID%eexcid!_OLA_%ebuy!_%epid!_%ecid!</v></cell></row><row r="423"><cell r="K423" t="str"><v>July</v></cell><cell r="L423"><v>43288</v></cell><cell r="M423" t="str"><v>Tier 0</v></cell><cell r="N423" t="str"><v>North America</v></cell><cell r="O423" t="str"><v>United States</v></cell><cell r="P423" t="str"><v>Trial</v></cell><cell r="Q423" t="str"><v>Social</v></cell><cell r="R423" t="str"><v>Azure</v></cell><cell r="S423" t="str"><v>Apps & Infra</v></cell><cell r="T423" t="str"><v>Developers & ITI's</v></cell><cell r="U423" t="str"><v>USA-Trial-ITD-Trial Lookalike-AZR-AZR</v></cell><cell r="V423" t="str"><v>Lookalike Targeting</v></cell><cell r="W423" t="str"><v>Canvas Ad</v></cell><cell r="X423" t="str"><v>1x1</v></cell></row><row r="423"><cell r="AA423"><v>43285</v></cell><cell r="AB423" t="str"><v>USA_gaPMG_AZR_AZR_Q1_19_Direct-Social</v></cell><cell r="AC423"><v>21358715</v></cell><cell r="AD423"><v>720197</v></cell><cell r="AE423" t="str"><v>Facebook - Instagram</v></cell><cell r="AF423"><v>3654128</v></cell><cell r="AG423" t="str"><v>INSTAGRAM»USA-Trial-ITD-Trial Lookalike-AZR-AZR»1 x 1»SocialBan»CAN»ALL»CPA»LAL»X»NA»SS»NA»IGCTCBasicMotion»PRC0C2</v></cell><cell r="AH423"><v>224107017</v></cell><cell r="AI423" t="str"><v>AzurePlatform_IGCTCBasicMotion_USA_10s_CAN_PLATFORM_English_Trial_Standard_STAN_TIN_T1_1</v></cell><cell r="AJ423"><v>103037968</v></cell></row><row r="424"><cell r="C424" t="str"><v>43285INSTAGRAM»USA-Trial-ITD-Trial PayGo Lookalike-AZR-AZR»1 x 1»SocialBan»CAN»ALL»CPA»LAL»X»NA»SS»NA»IGCTCBasicMotion»PRC2G0</v></cell><cell r="D424" t="str"><v>43285224106891</v></cell><cell r="E424" t="str"><v>43285103037968PRC2G0</v></cell><cell r="F424" t="str"><v>DCM</v></cell><cell r="G424" t="str"><v>https://signup.azure.com/?OCID=AID%eexcid!_OLA_%ebuy!_%epid!_%ecid!</v></cell></row><row r="424"><cell r="K424" t="str"><v>July</v></cell><cell r="L424"><v>43288</v></cell><cell r="M424" t="str"><v>Tier 0</v></cell><cell r="N424" t="str"><v>North America</v></cell><cell r="O424" t="str"><v>United States</v></cell><cell r="P424" t="str"><v>Trial</v></cell><cell r="Q424" t="str"><v>Social</v></cell><cell r="R424" t="str"><v>Azure</v></cell><cell r="S424" t="str"><v>Apps & Infra</v></cell><cell r="T424" t="str"><v>Developers & ITI's</v></cell><cell r="U424" t="str"><v>USA-Trial-ITD-Trial PayGo Lookalike-AZR-AZR</v></cell><cell r="V424" t="str"><v>Lookalike Targeting</v></cell><cell r="W424" t="str"><v>Canvas Ad</v></cell><cell r="X424" t="str"><v>1x1</v></cell></row><row r="424"><cell r="AA424"><v>43285</v></cell><cell r="AB424" t="str"><v>USA_gaPMG_AZR_AZR_Q1_19_Direct-Social</v></cell><cell r="AC424"><v>21358715</v></cell><cell r="AD424"><v>720197</v></cell><cell r="AE424" t="str"><v>Facebook - Instagram</v></cell><cell r="AF424"><v>3654128</v></cell><cell r="AG424" t="str"><v>INSTAGRAM»USA-Trial-ITD-Trial PayGo Lookalike-AZR-AZR»1 x 1»SocialBan»CAN»ALL»CPA»LAL»X»NA»SS»NA»IGCTCBasicMotion»PRC2G0</v></cell><cell r="AH424"><v>224106891</v></cell><cell r="AI424" t="str"><v>AzurePlatform_IGCTCBasicMotion_USA_10s_CAN_PLATFORM_English_Trial_Standard_STAN_TIN_T1_1</v></cell><cell r="AJ424"><v>103037968</v></cell></row><row r="425"><cell r="C425" t="str"><v>43285INSTAGRAM»USA-Trial-ITD-Trial PayGo Lookalike-AZR-AZR»1 x 1»SocialBan»CAN»ALL»CPA»LAL»X»NA»SS»NA»IGCTCBasicMotion»PRC2G0</v></cell><cell r="D425" t="str"><v>43285224106891</v></cell><cell r="E425" t="str"><v>43285103037974PRC2G0</v></cell><cell r="F425" t="str"><v>DCM</v></cell><cell r="G425" t="str"><v>https://azure.microsoft.com/en-us/pricing/purchase-options/?v=18.19&OCID=AID%eexcid!_OLA_%ebuy!_%epid!_%ecid!</v></cell></row><row r="425"><cell r="K425" t="str"><v>July</v></cell><cell r="L425"><v>43288</v></cell><cell r="M425" t="str"><v>Tier 0</v></cell><cell r="N425" t="str"><v>North America</v></cell><cell r="O425" t="str"><v>United States</v></cell><cell r="P425" t="str"><v>Trial</v></cell><cell r="Q425" t="str"><v>Social</v></cell><cell r="R425" t="str"><v>Azure</v></cell><cell r="S425" t="str"><v>Apps & Infra</v></cell><cell r="T425" t="str"><v>Developers & ITI's</v></cell><cell r="U425" t="str"><v>USA-Trial-ITD-Trial PayGo Lookalike-AZR-AZR</v></cell><cell r="V425" t="str"><v>Lookalike Targeting</v></cell><cell r="W425" t="str"><v>Canvas Ad</v></cell><cell r="X425" t="str"><v>1x1</v></cell></row><row r="425"><cell r="AA425"><v>43285</v></cell><cell r="AB425" t="str"><v>USA_gaPMG_AZR_AZR_Q1_19_Direct-Social</v></cell><cell r="AC425"><v>21358715</v></cell><cell r="AD425"><v>720197</v></cell><cell r="AE425" t="str"><v>Facebook - Instagram</v></cell><cell r="AF425"><v>3654128</v></cell><cell r="AG425" t="str"><v>INSTAGRAM»USA-Trial-ITD-Trial PayGo Lookalike-AZR-AZR»1 x 1»SocialBan»CAN»ALL»CPA»LAL»X»NA»SS»NA»IGCTCBasicMotion»PRC2G0</v></cell><cell r="AH425"><v>224106891</v></cell><cell r="AI425" t="str"><v>AzurePlatform_IGCTCBasicMotion_USA_10s_CAN_PLATFORM_English_Trial_Standard_STAN_TIN_T1_2</v></cell><cell r="AJ425"><v>103037974</v></cell></row><row r="426"><cell r="C426" t="str"><v>43285INSTAGRAM»USA-Trial-ITD-Trial PayGo Lookalike-AZR-AZR»1 x 1»SocialBan»CAN»ALL»CPA»LAL»X»NA»SS»NA»IGCTCBenefitinMotion»PRC2FX</v></cell><cell r="D426" t="str"><v>43285223933999</v></cell><cell r="E426" t="str"><v>43285103050780PRC2FX</v></cell><cell r="F426" t="str"><v>DCM</v></cell><cell r="G426" t="str"><v>https://signup.azure.com/?OCID=AID%eexcid!_OLA_%ebuy!_%epid!_%ecid!</v></cell></row><row r="426"><cell r="K426" t="str"><v>July</v></cell><cell r="L426"><v>43288</v></cell><cell r="M426" t="str"><v>Tier 0</v></cell><cell r="N426" t="str"><v>North America</v></cell><cell r="O426" t="str"><v>United States</v></cell><cell r="P426" t="str"><v>Trial</v></cell><cell r="Q426" t="str"><v>Social</v></cell><cell r="R426" t="str"><v>Azure</v></cell><cell r="S426" t="str"><v>Apps & Infra</v></cell><cell r="T426" t="str"><v>Developers & ITI's</v></cell><cell r="U426" t="str"><v>USA-Trial-ITD-Trial PayGo Lookalike-AZR-AZR</v></cell><cell r="V426" t="str"><v>Lookalike Targeting</v></cell><cell r="W426" t="str"><v>Canvas Ad</v></cell><cell r="X426" t="str"><v>1x1</v></cell></row><row r="426"><cell r="AA426"><v>43285</v></cell><cell r="AB426" t="str"><v>USA_gaPMG_AZR_AZR_Q1_19_Direct-Social</v></cell><cell r="AC426"><v>21358715</v></cell><cell r="AD426"><v>720197</v></cell><cell r="AE426" t="str"><v>Facebook - Instagram</v></cell><cell r="AF426"><v>3654128</v></cell><cell r="AG426" t="str"><v>INSTAGRAM»USA-Trial-ITD-Trial PayGo Lookalike-AZR-AZR»1 x 1»SocialBan»CAN»ALL»CPA»LAL»X»NA»SS»NA»IGCTCBenefitinMotion»PRC2FX</v></cell><cell r="AH426"><v>223933999</v></cell><cell r="AI426" t="str"><v>AzurePlatform_IGCTCBenefitinMotion_USA_10s_CAN_PLATFORM_English_Trial_Standard_STAN_TIN_T3_1</v></cell><cell r="AJ426"><v>103050780</v></cell></row><row r="427"><cell r="C427" t="str"><v>43286Facebook»Audience & Interest Targeting»1x1»Canvas»OTH»DT»DYN»AUT»W»NA»SS»NA»FBCTCcanvaspage-StartFreeCTA_FBCTCcanvaspage-BuyNowCTA</v></cell><cell r="D427" t="str"><v>43286224639151</v></cell><cell r="E427" t="str"><v>43286103316832NowCTA</v></cell><cell r="F427" t="str"><v>DCM</v></cell><cell r="G427" t="str"><v>https://azure.microsoft.com/en-au/pricing/purchase-options/</v></cell></row><row r="427"><cell r="K427" t="str"><v>July</v></cell><cell r="L427"><v>43288</v></cell><cell r="M427" t="str"><v>Tier 1</v></cell><cell r="N427" t="str"><v>APAC</v></cell><cell r="O427" t="str"><v>Australia</v></cell><cell r="P427" t="str"><v>Trial</v></cell><cell r="Q427" t="str"><v>Social</v></cell><cell r="R427" t="str"><v>Azure</v></cell><cell r="S427" t="str"><v>Apps & Infra</v></cell><cell r="T427" t="str"><v>Developers & ITI's</v></cell><cell r="U427" t="str"><v>Audience & Interest Targeting</v></cell><cell r="V427" t="str"><v>Audience Targeting</v></cell><cell r="W427" t="str"><v>Other</v></cell><cell r="X427" t="str"><v>1x1</v></cell></row><row r="427"><cell r="AA427"><v>43286</v></cell><cell r="AB427" t="str"><v>AUS_gaPMG_AZR_AZR_Q1_19_Trial-Social</v></cell><cell r="AC427"><v>21358568</v></cell><cell r="AD427"><v>720191</v></cell><cell r="AE427" t="str"><v>Facebook</v></cell><cell r="AF427"><v>3654128</v></cell><cell r="AG427" t="str"><v>Facebook»Audience & Interest Targeting»1x1»Canvas»OTH»DT»DYN»AUT»W»NA»SS»NA»FBCTCcanvaspage-StartFreeCTA_FBCTCcanvaspage-BuyNowCTA</v></cell><cell r="AH427"><v>224639151</v></cell><cell r="AI427" t="str"><v>AzurePlatform_FBCTCcanvaspage-BuyNowCTA-Img3_AUS_1080x162_SOC_Plat_English_NA_Standard_NA_BN_T3_1</v></cell><cell r="AJ427"><v>103316832</v></cell></row><row r="428"><cell r="C428" t="str"><v>43286Facebook»Audience & Interest Targeting»1x1»Canvas»OTH»DT»DYN»AUT»W»NA»SS»NA»FBCTCcanvaspage-StartFreeCTA_FBCTCcanvaspage-BuyNowCTA</v></cell><cell r="D428" t="str"><v>43286224639151</v></cell><cell r="E428" t="str"><v>43286103316829NowCTA</v></cell><cell r="F428" t="str"><v>DCM</v></cell><cell r="G428" t="str"><v>https://signup.azure.com/signup?offer=ms-azr-0044p&appId=102&ref=paidmedia-social-fb&redirectURL=https%3a%2f%2fazure.microsoft.com%2fen-au%2fget-started%2fwelcome-to-azure%2f&l=en-au&correlationId=ead86c34-1f10-49dd-a72b-6918462a2cbf</v></cell></row><row r="428"><cell r="K428" t="str"><v>July</v></cell><cell r="L428"><v>43288</v></cell><cell r="M428" t="str"><v>Tier 1</v></cell><cell r="N428" t="str"><v>APAC</v></cell><cell r="O428" t="str"><v>Australia</v></cell><cell r="P428" t="str"><v>Trial</v></cell><cell r="Q428" t="str"><v>Social</v></cell><cell r="R428" t="str"><v>Azure</v></cell><cell r="S428" t="str"><v>Apps & Infra</v></cell><cell r="T428" t="str"><v>Developers & ITI's</v></cell><cell r="U428" t="str"><v>Audience & Interest Targeting</v></cell><cell r="V428" t="str"><v>Audience Targeting</v></cell><cell r="W428" t="str"><v>Other</v></cell><cell r="X428" t="str"><v>1x1</v></cell></row><row r="428"><cell r="AA428"><v>43286</v></cell><cell r="AB428" t="str"><v>AUS_gaPMG_AZR_AZR_Q1_19_Trial-Social</v></cell><cell r="AC428"><v>21358568</v></cell><cell r="AD428"><v>720191</v></cell><cell r="AE428" t="str"><v>Facebook</v></cell><cell r="AF428"><v>3654128</v></cell><cell r="AG428" t="str"><v>Facebook»Audience & Interest Targeting»1x1»Canvas»OTH»DT»DYN»AUT»W»NA»SS»NA»FBCTCcanvaspage-StartFreeCTA_FBCTCcanvaspage-BuyNowCTA</v></cell><cell r="AH428"><v>224639151</v></cell><cell r="AI428" t="str"><v>AzurePlatform_FBCTCcanvaspage-StartFreeCTA-Img2_AUS_1080x143 _SOC_Plat_English_NA_Standard_NA_NA_T2_1</v></cell><cell r="AJ428"><v>103316829</v></cell></row><row r="429"><cell r="C429" t="str"><v>43286Facebook»Audience & Interest Targeting»1x1»TextLink»OTH»DT»DYN»AUT»W»NA»SS»NA»Free Account Refresh- 12 months ChE</v></cell><cell r="D429" t="str"><v>43286224160783</v></cell><cell r="E429" t="str"><v>43286103051614hs ChE</v></cell><cell r="F429" t="str"><v>DCM</v></cell></row><row r="429"><cell r="K429" t="str"><v>July</v></cell><cell r="L429"><v>43288</v></cell><cell r="M429" t="str"><v>Tier 1</v></cell><cell r="N429" t="str"><v>APAC</v></cell><cell r="O429" t="str"><v>Australia</v></cell><cell r="P429" t="str"><v>Trial</v></cell><cell r="Q429" t="str"><v>Social</v></cell><cell r="R429" t="str"><v>Azure</v></cell><cell r="S429" t="str"><v>Apps & Infra</v></cell><cell r="T429" t="str"><v>Developers & ITI's</v></cell><cell r="U429" t="str"><v>Audience & Interest Targeting</v></cell><cell r="V429" t="str"><v>Audience Targeting</v></cell><cell r="W429" t="str"><v>Other</v></cell><cell r="X429" t="str"><v>1x1</v></cell></row><row r="429"><cell r="AA429"><v>43286</v></cell><cell r="AB429" t="str"><v>AUS_gaPMG_AZR_AZR_Q1_19_Trial-Social</v></cell><cell r="AC429"><v>21358568</v></cell><cell r="AD429"><v>720191</v></cell><cell r="AE429" t="str"><v>Facebook</v></cell><cell r="AF429"><v>3654128</v></cell><cell r="AG429" t="str"><v>Facebook»Audience & Interest Targeting»1x1»TextLink»OTH»DT»DYN»AUT»W»NA»SS»NA»Free Account Refresh- 12 months ChE</v></cell><cell r="AH429"><v>224160783</v></cell><cell r="AI429" t="str"><v>AzurePlatform_FreeAcctAppsFACEBOOK12monthsChE_AUS_1200x628_SOC_PLAT_EN_Trial_Standard_NA_SNU_T5_1</v></cell><cell r="AJ429"><v>103051614</v></cell></row><row r="430"><cell r="C430" t="str"><v>43286Facebook»Audience & Interest Targeting»1x1»TextLink»OTH»DT»DYN»AUT»W»NA»SS»NA»Free Account Refresh- 200 Credit ChD</v></cell><cell r="D430" t="str"><v>43286224160780</v></cell><cell r="E430" t="str"><v>43286103186904it ChD</v></cell><cell r="F430" t="str"><v>DCM</v></cell></row><row r="430"><cell r="K430" t="str"><v>July</v></cell><cell r="L430"><v>43288</v></cell><cell r="M430" t="str"><v>Tier 1</v></cell><cell r="N430" t="str"><v>APAC</v></cell><cell r="O430" t="str"><v>Australia</v></cell><cell r="P430" t="str"><v>Trial</v></cell><cell r="Q430" t="str"><v>Social</v></cell><cell r="R430" t="str"><v>Azure</v></cell><cell r="S430" t="str"><v>Apps & Infra</v></cell><cell r="T430" t="str"><v>Developers & ITI's</v></cell><cell r="U430" t="str"><v>Audience & Interest Targeting</v></cell><cell r="V430" t="str"><v>Audience Targeting</v></cell><cell r="W430" t="str"><v>Other</v></cell><cell r="X430" t="str"><v>1x1</v></cell></row><row r="430"><cell r="AA430"><v>43286</v></cell><cell r="AB430" t="str"><v>AUS_gaPMG_AZR_AZR_Q1_19_Trial-Social</v></cell><cell r="AC430"><v>21358568</v></cell><cell r="AD430"><v>720191</v></cell><cell r="AE430" t="str"><v>Facebook</v></cell><cell r="AF430"><v>3654128</v></cell><cell r="AG430" t="str"><v>Facebook»Audience & Interest Targeting»1x1»TextLink»OTH»DT»DYN»AUT»W»NA»SS»NA»Free Account Refresh- 200 Credit ChD</v></cell><cell r="AH430"><v>224160780</v></cell><cell r="AI430" t="str"><v>AzurePlatform_FreeAcctAppsFACEBOOK200CreditChD_AUS_1200x628_SOC_PLAT_EN_Trial_Standard_NA_SNU_T4_1</v></cell><cell r="AJ430"><v>103186904</v></cell></row><row r="431"><cell r="C431" t="str"><v>43286Facebook»Audience & Interest Targeting»1x1»TextLink»OTH»DT»DYN»AUT»W»NA»SS»NA»Free Account Refresh- Device ChB</v></cell><cell r="D431" t="str"><v>43286224160777</v></cell><cell r="E431" t="str"><v>43286103048479ce ChB</v></cell><cell r="F431" t="str"><v>DCM</v></cell></row><row r="431"><cell r="K431" t="str"><v>July</v></cell><cell r="L431"><v>43288</v></cell><cell r="M431" t="str"><v>Tier 1</v></cell><cell r="N431" t="str"><v>APAC</v></cell><cell r="O431" t="str"><v>Australia</v></cell><cell r="P431" t="str"><v>Trial</v></cell><cell r="Q431" t="str"><v>Social</v></cell><cell r="R431" t="str"><v>Azure</v></cell><cell r="S431" t="str"><v>Apps & Infra</v></cell><cell r="T431" t="str"><v>Developers & ITI's</v></cell><cell r="U431" t="str"><v>Audience & Interest Targeting</v></cell><cell r="V431" t="str"><v>Audience Targeting</v></cell><cell r="W431" t="str"><v>Other</v></cell><cell r="X431" t="str"><v>1x1</v></cell></row><row r="431"><cell r="AA431"><v>43286</v></cell><cell r="AB431" t="str"><v>AUS_gaPMG_AZR_AZR_Q1_19_Trial-Social</v></cell><cell r="AC431"><v>21358568</v></cell><cell r="AD431"><v>720191</v></cell><cell r="AE431" t="str"><v>Facebook</v></cell><cell r="AF431"><v>3654128</v></cell><cell r="AG431" t="str"><v>Facebook»Audience & Interest Targeting»1x1»TextLink»OTH»DT»DYN»AUT»W»NA»SS»NA»Free Account Refresh- Device ChB</v></cell><cell r="AH431"><v>224160777</v></cell><cell r="AI431" t="str"><v>AzurePlatform_FreeAcctAppsFACEBOOKDeviceChB_AUS_1200x628_SOC_PLAT_EN_Trial_Standard_NA_SNU_T2_1</v></cell><cell r="AJ431"><v>103048479</v></cell></row><row r="432"><cell r="C432" t="str"><v>43286Facebook»Audience & Interest Targeting»1x1»TextLink»OTH»DT»DYN»AUT»W»NA»SS»NA»Free Account Refresh- Illustration ChC</v></cell><cell r="D432" t="str"><v>43286224160774</v></cell><cell r="E432" t="str"><v>43286103186910on ChC</v></cell><cell r="F432" t="str"><v>DCM</v></cell></row><row r="432"><cell r="K432" t="str"><v>July</v></cell><cell r="L432"><v>43288</v></cell><cell r="M432" t="str"><v>Tier 1</v></cell><cell r="N432" t="str"><v>APAC</v></cell><cell r="O432" t="str"><v>Australia</v></cell><cell r="P432" t="str"><v>Trial</v></cell><cell r="Q432" t="str"><v>Social</v></cell><cell r="R432" t="str"><v>Azure</v></cell><cell r="S432" t="str"><v>Apps & Infra</v></cell><cell r="T432" t="str"><v>Developers & ITI's</v></cell><cell r="U432" t="str"><v>Audience & Interest Targeting</v></cell><cell r="V432" t="str"><v>Audience Targeting</v></cell><cell r="W432" t="str"><v>Other</v></cell><cell r="X432" t="str"><v>1x1</v></cell></row><row r="432"><cell r="AA432"><v>43286</v></cell><cell r="AB432" t="str"><v>AUS_gaPMG_AZR_AZR_Q1_19_Trial-Social</v></cell><cell r="AC432"><v>21358568</v></cell><cell r="AD432"><v>720191</v></cell><cell r="AE432" t="str"><v>Facebook</v></cell><cell r="AF432"><v>3654128</v></cell><cell r="AG432" t="str"><v>Facebook»Audience & Interest Targeting»1x1»TextLink»OTH»DT»DYN»AUT»W»NA»SS»NA»Free Account Refresh- Illustration ChC</v></cell><cell r="AH432"><v>224160774</v></cell><cell r="AI432" t="str"><v>AzurePlatform_FreeAcctAppsFACEBOOKIllustrationChC_AUS_1200x628_SOC_PLAT_EN_Trial_Standard_NA_SNU_T3_1</v></cell><cell r="AJ432"><v>103186910</v></cell></row><row r="433"><cell r="C433" t="str"><v>43286Facebook»Audience & Interest Targeting»1x1»TextLink»OTH»DT»DYN»AUT»W»NA»SS»NA»Free Account Refresh- Lifestyle ChA</v></cell><cell r="D433" t="str"><v>43286224160771</v></cell><cell r="E433" t="str"><v>43286103048488le ChA</v></cell><cell r="F433" t="str"><v>DCM</v></cell></row><row r="433"><cell r="K433" t="str"><v>July</v></cell><cell r="L433"><v>43288</v></cell><cell r="M433" t="str"><v>Tier 1</v></cell><cell r="N433" t="str"><v>APAC</v></cell><cell r="O433" t="str"><v>Australia</v></cell><cell r="P433" t="str"><v>Trial</v></cell><cell r="Q433" t="str"><v>Social</v></cell><cell r="R433" t="str"><v>Azure</v></cell><cell r="S433" t="str"><v>Apps & Infra</v></cell><cell r="T433" t="str"><v>Developers & ITI's</v></cell><cell r="U433" t="str"><v>Audience & Interest Targeting</v></cell><cell r="V433" t="str"><v>Audience Targeting</v></cell><cell r="W433" t="str"><v>Other</v></cell><cell r="X433" t="str"><v>1x1</v></cell></row><row r="433"><cell r="AA433"><v>43286</v></cell><cell r="AB433" t="str"><v>AUS_gaPMG_AZR_AZR_Q1_19_Trial-Social</v></cell><cell r="AC433"><v>21358568</v></cell><cell r="AD433"><v>720191</v></cell><cell r="AE433" t="str"><v>Facebook</v></cell><cell r="AF433"><v>3654128</v></cell><cell r="AG433" t="str"><v>Facebook»Audience & Interest Targeting»1x1»TextLink»OTH»DT»DYN»AUT»W»NA»SS»NA»Free Account Refresh- Lifestyle ChA</v></cell><cell r="AH433"><v>224160771</v></cell><cell r="AI433" t="str"><v>AzurePlatform_FreeAcctAppsFACEBOOKLifestyleChA_AUS_1200x628_SOC_PLAT_EN_Trial_Standard_NA_SNU_T1_1</v></cell><cell r="AJ433"><v>103048488</v></cell></row><row r="434"><cell r="C434" t="str"><v>43286Facebook»AZR»1x1»NA»EGV»ALL»DYN»AUT»D»All»SS»NA»Free Acc CTC - T1 - EN</v></cell><cell r="D434" t="str"><v>43286223684451</v></cell><cell r="E434" t="str"><v>432861029018821 - EN</v></cell><cell r="F434" t="str"><v>DCM</v></cell><cell r="G434" t="str"><v>https://signup.azure.com/</v></cell></row><row r="434"><cell r="K434" t="str"><v>July</v></cell><cell r="L434"><v>43288</v></cell><cell r="M434" t="str"><v>Tier 1</v></cell><cell r="N434" t="str"><v>North America</v></cell><cell r="O434" t="str"><v>Canada</v></cell><cell r="P434" t="str"><v>Trial</v></cell><cell r="Q434" t="str"><v>Social</v></cell><cell r="R434" t="str"><v>Azure</v></cell><cell r="S434" t="str"><v>Apps & Infra</v></cell><cell r="T434" t="str"><v>Developers & ITI's</v></cell><cell r="U434" t="str"><v>AZR</v></cell><cell r="V434" t="str"><v>Audience Targeting</v></cell><cell r="W434" t="str"><v>Engagement Video</v></cell><cell r="X434" t="str"><v>1x1</v></cell></row><row r="434"><cell r="AA434"><v>43286</v></cell><cell r="AB434" t="str"><v>CAN_gaPMG_AZR_AZR_Q1_19_Trial-Social</v></cell><cell r="AC434"><v>21337220</v></cell><cell r="AD434"><v>720192</v></cell><cell r="AE434" t="str"><v>Facebook</v></cell><cell r="AF434"><v>3654128</v></cell><cell r="AG434" t="str"><v>Facebook»AZR»1x1»NA»EGV»ALL»DYN»AUT»D»All»SS»NA»Free Acc CTC - T1 - EN</v></cell><cell r="AH434"><v>223684451</v></cell><cell r="AI434" t="str"><v>AzurePlatform_FBCTCBasicMotion_CAN_10s_ISV_PLAT_English_Trial_Standard_STAN_TN_T1_1</v></cell><cell r="AJ434"><v>102901882</v></cell></row><row r="435"><cell r="C435" t="str"><v>43286Facebook»AZR»1x1»NA»EGV»ALL»DYN»AUT»D»All»SS»NA»Free Acc CTC - T1 - FR</v></cell><cell r="D435" t="str"><v>43286223691801</v></cell><cell r="E435" t="str"><v>432861030533231 - FR</v></cell><cell r="F435" t="str"><v>DCM</v></cell><cell r="G435" t="str"><v>https://signup.azure.com/</v></cell></row><row r="435"><cell r="K435" t="str"><v>July</v></cell><cell r="L435"><v>43288</v></cell><cell r="M435" t="str"><v>Tier 1</v></cell><cell r="N435" t="str"><v>North America</v></cell><cell r="O435" t="str"><v>Canada</v></cell><cell r="P435" t="str"><v>Trial</v></cell><cell r="Q435" t="str"><v>Social</v></cell><cell r="R435" t="str"><v>Azure</v></cell><cell r="S435" t="str"><v>Apps & Infra</v></cell><cell r="T435" t="str"><v>Developers & ITI's</v></cell><cell r="U435" t="str"><v>AZR</v></cell><cell r="V435" t="str"><v>Audience Targeting</v></cell><cell r="W435" t="str"><v>Engagement Video</v></cell><cell r="X435" t="str"><v>1x1</v></cell></row><row r="435"><cell r="AA435"><v>43286</v></cell><cell r="AB435" t="str"><v>CAN_gaPMG_AZR_AZR_Q1_19_Trial-Social</v></cell><cell r="AC435"><v>21337220</v></cell><cell r="AD435"><v>720192</v></cell><cell r="AE435" t="str"><v>Facebook</v></cell><cell r="AF435"><v>3654128</v></cell><cell r="AG435" t="str"><v>Facebook»AZR»1x1»NA»EGV»ALL»DYN»AUT»D»All»SS»NA»Free Acc CTC - T1 - FR</v></cell><cell r="AH435"><v>223691801</v></cell><cell r="AI435" t="str"><v>AzurePlatform_FBCTCBasicMotion_CAN_10s_ISV_PLAT_FR_Trial_Standard_STAN_TN_T1_1</v></cell><cell r="AJ435"><v>103053323</v></cell></row><row r="436"><cell r="C436" t="str"><v>43286Facebook»AZR»1x1»NA»EGV»ALL»DYN»AUT»D»All»SS»NA»Free Acc CTC - T2 - EN</v></cell><cell r="D436" t="str"><v>43286223691840</v></cell><cell r="E436" t="str"><v>432861029029502 - EN</v></cell><cell r="F436" t="str"><v>DCM</v></cell><cell r="G436" t="str"><v>https://signup.azure.com/</v></cell></row><row r="436"><cell r="K436" t="str"><v>July</v></cell><cell r="L436"><v>43288</v></cell><cell r="M436" t="str"><v>Tier 1</v></cell><cell r="N436" t="str"><v>North America</v></cell><cell r="O436" t="str"><v>Canada</v></cell><cell r="P436" t="str"><v>Trial</v></cell><cell r="Q436" t="str"><v>Social</v></cell><cell r="R436" t="str"><v>Azure</v></cell><cell r="S436" t="str"><v>Apps & Infra</v></cell><cell r="T436" t="str"><v>Developers & ITI's</v></cell><cell r="U436" t="str"><v>AZR</v></cell><cell r="V436" t="str"><v>Audience Targeting</v></cell><cell r="W436" t="str"><v>Engagement Video</v></cell><cell r="X436" t="str"><v>1x1</v></cell></row><row r="436"><cell r="AA436"><v>43286</v></cell><cell r="AB436" t="str"><v>CAN_gaPMG_AZR_AZR_Q1_19_Trial-Social</v></cell><cell r="AC436"><v>21337220</v></cell><cell r="AD436"><v>720192</v></cell><cell r="AE436" t="str"><v>Facebook</v></cell><cell r="AF436"><v>3654128</v></cell><cell r="AG436" t="str"><v>Facebook»AZR»1x1»NA»EGV»ALL»DYN»AUT»D»All»SS»NA»Free Acc CTC - T2 - EN</v></cell><cell r="AH436"><v>223691840</v></cell><cell r="AI436" t="str"><v>AzurePlatform_FBCTCBrandinMotion_CAN_12s_ISV_PLAT_English_Trial_Standard_STAN_TN_T2_1</v></cell><cell r="AJ436"><v>102902950</v></cell></row><row r="437"><cell r="C437" t="str"><v>43286Facebook»AZR»1x1»NA»EGV»ALL»DYN»AUT»D»All»SS»NA»Free Acc CTC - T2 - FR</v></cell><cell r="D437" t="str"><v>43286223691798</v></cell><cell r="E437" t="str"><v>432861029163472 - FR</v></cell><cell r="F437" t="str"><v>DCM</v></cell><cell r="G437" t="str"><v>https://signup.azure.com/</v></cell></row><row r="437"><cell r="K437" t="str"><v>July</v></cell><cell r="L437"><v>43288</v></cell><cell r="M437" t="str"><v>Tier 1</v></cell><cell r="N437" t="str"><v>North America</v></cell><cell r="O437" t="str"><v>Canada</v></cell><cell r="P437" t="str"><v>Trial</v></cell><cell r="Q437" t="str"><v>Social</v></cell><cell r="R437" t="str"><v>Azure</v></cell><cell r="S437" t="str"><v>Apps & Infra</v></cell><cell r="T437" t="str"><v>Developers & ITI's</v></cell><cell r="U437" t="str"><v>AZR</v></cell><cell r="V437" t="str"><v>Audience Targeting</v></cell><cell r="W437" t="str"><v>Engagement Video</v></cell><cell r="X437" t="str"><v>1x1</v></cell></row><row r="437"><cell r="AA437"><v>43286</v></cell><cell r="AB437" t="str"><v>CAN_gaPMG_AZR_AZR_Q1_19_Trial-Social</v></cell><cell r="AC437"><v>21337220</v></cell><cell r="AD437"><v>720192</v></cell><cell r="AE437" t="str"><v>Facebook</v></cell><cell r="AF437"><v>3654128</v></cell><cell r="AG437" t="str"><v>Facebook»AZR»1x1»NA»EGV»ALL»DYN»AUT»D»All»SS»NA»Free Acc CTC - T2 - FR</v></cell><cell r="AH437"><v>223691798</v></cell><cell r="AI437" t="str"><v>AzurePlatform_FBCTCBrandinMotion_CAN_12s_ISV_PLAT_FR_Trial_Standard_STAN_TN_T2_1</v></cell><cell r="AJ437"><v>102916347</v></cell></row><row r="438"><cell r="C438" t="str"><v>43286Facebook»AZR»1x1»NA»EGV»ALL»DYN»AUT»D»All»SS»NA»Free Acc CTC - T4 - EN</v></cell><cell r="D438" t="str"><v>43286223691837</v></cell><cell r="E438" t="str"><v>432861030533144 - EN</v></cell><cell r="F438" t="str"><v>DCM</v></cell><cell r="G438" t="str"><v>https://signup.azure.com/</v></cell></row><row r="438"><cell r="K438" t="str"><v>July</v></cell><cell r="L438"><v>43288</v></cell><cell r="M438" t="str"><v>Tier 1</v></cell><cell r="N438" t="str"><v>North America</v></cell><cell r="O438" t="str"><v>Canada</v></cell><cell r="P438" t="str"><v>Trial</v></cell><cell r="Q438" t="str"><v>Social</v></cell><cell r="R438" t="str"><v>Azure</v></cell><cell r="S438" t="str"><v>Apps & Infra</v></cell><cell r="T438" t="str"><v>Developers & ITI's</v></cell><cell r="U438" t="str"><v>AZR</v></cell><cell r="V438" t="str"><v>Audience Targeting</v></cell><cell r="W438" t="str"><v>Engagement Video</v></cell><cell r="X438" t="str"><v>1x1</v></cell></row><row r="438"><cell r="AA438"><v>43286</v></cell><cell r="AB438" t="str"><v>CAN_gaPMG_AZR_AZR_Q1_19_Trial-Social</v></cell><cell r="AC438"><v>21337220</v></cell><cell r="AD438"><v>720192</v></cell><cell r="AE438" t="str"><v>Facebook</v></cell><cell r="AF438"><v>3654128</v></cell><cell r="AG438" t="str"><v>Facebook»AZR»1x1»NA»EGV»ALL»DYN»AUT»D»All»SS»NA»Free Acc CTC - T4 - EN</v></cell><cell r="AH438"><v>223691837</v></cell><cell r="AI438" t="str"><v>AzurePlatform_FBCTCBenefit2inMotion_CAN_14s_ISV_PLAT_English_Trial_Standard_STAN_TN_T4_1</v></cell><cell r="AJ438"><v>103053314</v></cell></row><row r="439"><cell r="C439" t="str"><v>43286Facebook»AZR»1x1»NA»EGV»ALL»DYN»AUT»D»All»SS»NA»Free Acc CTC - T4 - FR</v></cell><cell r="D439" t="str"><v>43286223691795</v></cell><cell r="E439" t="str"><v>432861029006884 - FR</v></cell><cell r="F439" t="str"><v>DCM</v></cell><cell r="G439" t="str"><v>https://signup.azure.com/</v></cell></row><row r="439"><cell r="K439" t="str"><v>July</v></cell><cell r="L439"><v>43288</v></cell><cell r="M439" t="str"><v>Tier 1</v></cell><cell r="N439" t="str"><v>North America</v></cell><cell r="O439" t="str"><v>Canada</v></cell><cell r="P439" t="str"><v>Trial</v></cell><cell r="Q439" t="str"><v>Social</v></cell><cell r="R439" t="str"><v>Azure</v></cell><cell r="S439" t="str"><v>Apps & Infra</v></cell><cell r="T439" t="str"><v>Developers & ITI's</v></cell><cell r="U439" t="str"><v>AZR</v></cell><cell r="V439" t="str"><v>Audience Targeting</v></cell><cell r="W439" t="str"><v>Engagement Video</v></cell><cell r="X439" t="str"><v>1x1</v></cell></row><row r="439"><cell r="AA439"><v>43286</v></cell><cell r="AB439" t="str"><v>CAN_gaPMG_AZR_AZR_Q1_19_Trial-Social</v></cell><cell r="AC439"><v>21337220</v></cell><cell r="AD439"><v>720192</v></cell><cell r="AE439" t="str"><v>Facebook</v></cell><cell r="AF439"><v>3654128</v></cell><cell r="AG439" t="str"><v>Facebook»AZR»1x1»NA»EGV»ALL»DYN»AUT»D»All»SS»NA»Free Acc CTC - T4 - FR</v></cell><cell r="AH439"><v>223691795</v></cell><cell r="AI439" t="str"><v>AzurePlatform_FBCTCBenefit2inMotion_CAN_14s_ISV_PLAT_FR_Trial_Standard_STAN_TN_T4_1</v></cell><cell r="AJ439"><v>102900688</v></cell></row><row r="440"><cell r="C440" t="str"><v>43286Facebook»AZR»1x1»SocialBan»NA»ALL»DYN»AUT»D»All»SS»NA»Free Acc Refresh - T1 - EN</v></cell><cell r="D440" t="str"><v>43286223691804</v></cell><cell r="E440" t="str"><v>432861030587171 - EN</v></cell><cell r="F440" t="str"><v>DCM</v></cell><cell r="G440" t="str"><v>https://azure.microsoft.com/en-CA/free/search/</v></cell></row><row r="440"><cell r="K440" t="str"><v>July</v></cell><cell r="L440"><v>43288</v></cell><cell r="M440" t="str"><v>Tier 1</v></cell><cell r="N440" t="str"><v>North America</v></cell><cell r="O440" t="str"><v>Canada</v></cell><cell r="P440" t="str"><v>Trial</v></cell><cell r="Q440" t="str"><v>Social</v></cell><cell r="R440" t="str"><v>Azure</v></cell><cell r="S440" t="str"><v>Apps & Infra</v></cell><cell r="T440" t="str"><v>Developers & ITI's</v></cell><cell r="U440" t="str"><v>AZR</v></cell><cell r="V440" t="str"><v>Audience Targeting</v></cell><cell r="W440" t="str"><v>NotApplicable</v></cell><cell r="X440" t="str"><v>1x1</v></cell></row><row r="440"><cell r="AA440"><v>43286</v></cell><cell r="AB440" t="str"><v>CAN_gaPMG_AZR_AZR_Q1_19_Trial-Social</v></cell><cell r="AC440"><v>21337220</v></cell><cell r="AD440"><v>720192</v></cell><cell r="AE440" t="str"><v>Facebook</v></cell><cell r="AF440"><v>3654128</v></cell><cell r="AG440" t="str"><v>Facebook»AZR»1x1»SocialBan»NA»ALL»DYN»AUT»D»All»SS»NA»Free Acc Refresh - T1 - EN</v></cell><cell r="AH440"><v>223691804</v></cell><cell r="AI440" t="str"><v>AzurePlatform_FreeAcctAppsFACEBOOKLifestyleChA_CAN_1200x628_SOC_PLAT_EN_Trial_Standard_NA_SU_T1_1.png</v></cell><cell r="AJ440"><v>103058717</v></cell></row><row r="441"><cell r="C441" t="str"><v>43286Facebook»AZR»1x1»SocialBan»NA»ALL»DYN»AUT»D»All»SS»NA»Free Acc Refresh - T1 - FR</v></cell><cell r="D441" t="str"><v>43286223691762</v></cell><cell r="E441" t="str"><v>432861029029741 - FR</v></cell><cell r="F441" t="str"><v>DCM</v></cell><cell r="G441" t="str"><v>https://azure.microsoft.com/fr-ca/free/search/</v></cell></row><row r="441"><cell r="K441" t="str"><v>July</v></cell><cell r="L441"><v>43288</v></cell><cell r="M441" t="str"><v>Tier 1</v></cell><cell r="N441" t="str"><v>North America</v></cell><cell r="O441" t="str"><v>Canada</v></cell><cell r="P441" t="str"><v>Trial</v></cell><cell r="Q441" t="str"><v>Social</v></cell><cell r="R441" t="str"><v>Azure</v></cell><cell r="S441" t="str"><v>Apps & Infra</v></cell><cell r="T441" t="str"><v>Developers & ITI's</v></cell><cell r="U441" t="str"><v>AZR</v></cell><cell r="V441" t="str"><v>Audience Targeting</v></cell><cell r="W441" t="str"><v>NotApplicable</v></cell><cell r="X441" t="str"><v>1x1</v></cell></row><row r="441"><cell r="AA441"><v>43286</v></cell><cell r="AB441" t="str"><v>CAN_gaPMG_AZR_AZR_Q1_19_Trial-Social</v></cell><cell r="AC441"><v>21337220</v></cell><cell r="AD441"><v>720192</v></cell><cell r="AE441" t="str"><v>Facebook</v></cell><cell r="AF441"><v>3654128</v></cell><cell r="AG441" t="str"><v>Facebook»AZR»1x1»SocialBan»NA»ALL»DYN»AUT»D»All»SS»NA»Free Acc Refresh - T1 - FR</v></cell><cell r="AH441"><v>223691762</v></cell><cell r="AI441" t="str"><v>AzurePlatform_FreeAcctAppsFACEBOOKLifestyleChA_CAN_1200x628_SOC_PLAT_FR_Trial_Standard_NA_SU_T1_1.png</v></cell><cell r="AJ441"><v>102902974</v></cell></row><row r="442"><cell r="C442" t="str"><v>43286Facebook»AZR»1x1»SocialBan»NA»ALL»DYN»AUT»D»All»SS»NA»Free Acc Refresh - T2 - EN</v></cell><cell r="D442" t="str"><v>43286223691810</v></cell><cell r="E442" t="str"><v>432861030587112 - EN</v></cell><cell r="F442" t="str"><v>DCM</v></cell><cell r="G442" t="str"><v>https://azure.microsoft.com/en-CA/free/search/</v></cell></row><row r="442"><cell r="K442" t="str"><v>July</v></cell><cell r="L442"><v>43288</v></cell><cell r="M442" t="str"><v>Tier 1</v></cell><cell r="N442" t="str"><v>North America</v></cell><cell r="O442" t="str"><v>Canada</v></cell><cell r="P442" t="str"><v>Trial</v></cell><cell r="Q442" t="str"><v>Social</v></cell><cell r="R442" t="str"><v>Azure</v></cell><cell r="S442" t="str"><v>Apps & Infra</v></cell><cell r="T442" t="str"><v>Developers & ITI's</v></cell><cell r="U442" t="str"><v>AZR</v></cell><cell r="V442" t="str"><v>Audience Targeting</v></cell><cell r="W442" t="str"><v>NotApplicable</v></cell><cell r="X442" t="str"><v>1x1</v></cell></row><row r="442"><cell r="AA442"><v>43286</v></cell><cell r="AB442" t="str"><v>CAN_gaPMG_AZR_AZR_Q1_19_Trial-Social</v></cell><cell r="AC442"><v>21337220</v></cell><cell r="AD442"><v>720192</v></cell><cell r="AE442" t="str"><v>Facebook</v></cell><cell r="AF442"><v>3654128</v></cell><cell r="AG442" t="str"><v>Facebook»AZR»1x1»SocialBan»NA»ALL»DYN»AUT»D»All»SS»NA»Free Acc Refresh - T2 - EN</v></cell><cell r="AH442"><v>223691810</v></cell><cell r="AI442" t="str"><v>AzurePlatform_FreeAcctAppsFACEBOOKDeviceChB_CAN_1200x628_SOC_PLAT_EN_Trial_Standard_NA_SU_T2_1.png</v></cell><cell r="AJ442"><v>103058711</v></cell></row><row r="443"><cell r="C443" t="str"><v>43286Facebook»AZR»1x1»SocialBan»NA»ALL»DYN»AUT»D»All»SS»NA»Free Acc Refresh - T2 - FR</v></cell><cell r="D443" t="str"><v>43286223691768</v></cell><cell r="E443" t="str"><v>432861029029712 - FR</v></cell><cell r="F443" t="str"><v>DCM</v></cell><cell r="G443" t="str"><v>https://azure.microsoft.com/fr-ca/free/search/</v></cell></row><row r="443"><cell r="K443" t="str"><v>July</v></cell><cell r="L443"><v>43288</v></cell><cell r="M443" t="str"><v>Tier 1</v></cell><cell r="N443" t="str"><v>North America</v></cell><cell r="O443" t="str"><v>Canada</v></cell><cell r="P443" t="str"><v>Trial</v></cell><cell r="Q443" t="str"><v>Social</v></cell><cell r="R443" t="str"><v>Azure</v></cell><cell r="S443" t="str"><v>Apps & Infra</v></cell><cell r="T443" t="str"><v>Developers & ITI's</v></cell><cell r="U443" t="str"><v>AZR</v></cell><cell r="V443" t="str"><v>Audience Targeting</v></cell><cell r="W443" t="str"><v>NotApplicable</v></cell><cell r="X443" t="str"><v>1x1</v></cell></row><row r="443"><cell r="AA443"><v>43286</v></cell><cell r="AB443" t="str"><v>CAN_gaPMG_AZR_AZR_Q1_19_Trial-Social</v></cell><cell r="AC443"><v>21337220</v></cell><cell r="AD443"><v>720192</v></cell><cell r="AE443" t="str"><v>Facebook</v></cell><cell r="AF443"><v>3654128</v></cell><cell r="AG443" t="str"><v>Facebook»AZR»1x1»SocialBan»NA»ALL»DYN»AUT»D»All»SS»NA»Free Acc Refresh - T2 - FR</v></cell><cell r="AH443"><v>223691768</v></cell><cell r="AI443" t="str"><v>AzurePlatform_FreeAcctAppsFACEBOOKDeviceChB_CAN_1200x628_SOC_PLAT_FR_Trial_Standard_NA_SU_T2_1.png</v></cell><cell r="AJ443"><v>102902971</v></cell></row><row r="444"><cell r="C444" t="str"><v>43286Facebook»AZR»1x1»SocialBan»NA»ALL»DYN»AUT»D»All»SS»NA»Free Acc Refresh - T3 - EN</v></cell><cell r="D444" t="str"><v>43286223691807</v></cell><cell r="E444" t="str"><v>432861029006853 - EN</v></cell><cell r="F444" t="str"><v>DCM</v></cell><cell r="G444" t="str"><v>https://azure.microsoft.com/en-CA/free/search/</v></cell></row><row r="444"><cell r="K444" t="str"><v>July</v></cell><cell r="L444"><v>43288</v></cell><cell r="M444" t="str"><v>Tier 1</v></cell><cell r="N444" t="str"><v>North America</v></cell><cell r="O444" t="str"><v>Canada</v></cell><cell r="P444" t="str"><v>Trial</v></cell><cell r="Q444" t="str"><v>Social</v></cell><cell r="R444" t="str"><v>Azure</v></cell><cell r="S444" t="str"><v>Apps & Infra</v></cell><cell r="T444" t="str"><v>Developers & ITI's</v></cell><cell r="U444" t="str"><v>AZR</v></cell><cell r="V444" t="str"><v>Audience Targeting</v></cell><cell r="W444" t="str"><v>NotApplicable</v></cell><cell r="X444" t="str"><v>1x1</v></cell></row><row r="444"><cell r="AA444"><v>43286</v></cell><cell r="AB444" t="str"><v>CAN_gaPMG_AZR_AZR_Q1_19_Trial-Social</v></cell><cell r="AC444"><v>21337220</v></cell><cell r="AD444"><v>720192</v></cell><cell r="AE444" t="str"><v>Facebook</v></cell><cell r="AF444"><v>3654128</v></cell><cell r="AG444" t="str"><v>Facebook»AZR»1x1»SocialBan»NA»ALL»DYN»AUT»D»All»SS»NA»Free Acc Refresh - T3 - EN</v></cell><cell r="AH444"><v>223691807</v></cell><cell r="AI444" t="str"><v>AzurePlatform_FreeAcctAppsFACEBOOKIllustrationChC_CAN_1200x628_SOC_PLAT_EN_Trial_Standard_NA_SU_T3_1.png</v></cell><cell r="AJ444"><v>102900685</v></cell></row><row r="445"><cell r="C445" t="str"><v>43286Facebook»AZR»1x1»SocialBan»NA»ALL»DYN»AUT»D»All»SS»NA»Free Acc Refresh - T3 - FR</v></cell><cell r="D445" t="str"><v>43286223691765</v></cell><cell r="E445" t="str"><v>432861030533323 - FR</v></cell><cell r="F445" t="str"><v>DCM</v></cell><cell r="G445" t="str"><v>https://azure.microsoft.com/fr-ca/free/search/</v></cell></row><row r="445"><cell r="K445" t="str"><v>July</v></cell><cell r="L445"><v>43288</v></cell><cell r="M445" t="str"><v>Tier 1</v></cell><cell r="N445" t="str"><v>North America</v></cell><cell r="O445" t="str"><v>Canada</v></cell><cell r="P445" t="str"><v>Trial</v></cell><cell r="Q445" t="str"><v>Social</v></cell><cell r="R445" t="str"><v>Azure</v></cell><cell r="S445" t="str"><v>Apps & Infra</v></cell><cell r="T445" t="str"><v>Developers & ITI's</v></cell><cell r="U445" t="str"><v>AZR</v></cell><cell r="V445" t="str"><v>Audience Targeting</v></cell><cell r="W445" t="str"><v>NotApplicable</v></cell><cell r="X445" t="str"><v>1x1</v></cell></row><row r="445"><cell r="AA445"><v>43286</v></cell><cell r="AB445" t="str"><v>CAN_gaPMG_AZR_AZR_Q1_19_Trial-Social</v></cell><cell r="AC445"><v>21337220</v></cell><cell r="AD445"><v>720192</v></cell><cell r="AE445" t="str"><v>Facebook</v></cell><cell r="AF445"><v>3654128</v></cell><cell r="AG445" t="str"><v>Facebook»AZR»1x1»SocialBan»NA»ALL»DYN»AUT»D»All»SS»NA»Free Acc Refresh - T3 - FR</v></cell><cell r="AH445"><v>223691765</v></cell><cell r="AI445" t="str"><v>AzurePlatform_FreeAcctAppsFACEBOOKIllustrationChC_CAN_1200x628_SOC_PLAT_FR_Trial_Standard_NA_SU_T3_1.png</v></cell><cell r="AJ445"><v>103053332</v></cell></row><row r="446"><cell r="C446" t="str"><v>43286Facebook»AZR»1x1»SocialBan»NA»ALL»DYN»AUT»D»All»SS»NA»Free Acc Refresh - T4 - EN</v></cell><cell r="D446" t="str"><v>43286223691813</v></cell><cell r="E446" t="str"><v>432861030533204 - EN</v></cell><cell r="F446" t="str"><v>DCM</v></cell><cell r="G446" t="str"><v>https://azure.microsoft.com/en-CA/free/search/</v></cell></row><row r="446"><cell r="K446" t="str"><v>July</v></cell><cell r="L446"><v>43288</v></cell><cell r="M446" t="str"><v>Tier 1</v></cell><cell r="N446" t="str"><v>North America</v></cell><cell r="O446" t="str"><v>Canada</v></cell><cell r="P446" t="str"><v>Trial</v></cell><cell r="Q446" t="str"><v>Social</v></cell><cell r="R446" t="str"><v>Azure</v></cell><cell r="S446" t="str"><v>Apps & Infra</v></cell><cell r="T446" t="str"><v>Developers & ITI's</v></cell><cell r="U446" t="str"><v>AZR</v></cell><cell r="V446" t="str"><v>Audience Targeting</v></cell><cell r="W446" t="str"><v>NotApplicable</v></cell><cell r="X446" t="str"><v>1x1</v></cell></row><row r="446"><cell r="AA446"><v>43286</v></cell><cell r="AB446" t="str"><v>CAN_gaPMG_AZR_AZR_Q1_19_Trial-Social</v></cell><cell r="AC446"><v>21337220</v></cell><cell r="AD446"><v>720192</v></cell><cell r="AE446" t="str"><v>Facebook</v></cell><cell r="AF446"><v>3654128</v></cell><cell r="AG446" t="str"><v>Facebook»AZR»1x1»SocialBan»NA»ALL»DYN»AUT»D»All»SS»NA»Free Acc Refresh - T4 - EN</v></cell><cell r="AH446"><v>223691813</v></cell><cell r="AI446" t="str"><v>AzurePlatform_FreeAcctAppsFACEBOOK200CreditChD_CAN_1200x628_SOC_PLAT_EN_Trial_Standard_NA_SU_T4_1.png</v></cell><cell r="AJ446"><v>103053320</v></cell></row><row r="447"><cell r="C447" t="str"><v>43286Facebook»AZR»1x1»SocialBan»NA»ALL»DYN»AUT»D»All»SS»NA»Free Acc Refresh - T4 - FR</v></cell><cell r="D447" t="str"><v>43286223691771</v></cell><cell r="E447" t="str"><v>432861029029684 - FR</v></cell><cell r="F447" t="str"><v>DCM</v></cell><cell r="G447" t="str"><v>https://azure.microsoft.com/fr-ca/free/search/</v></cell></row><row r="447"><cell r="K447" t="str"><v>July</v></cell><cell r="L447"><v>43288</v></cell><cell r="M447" t="str"><v>Tier 1</v></cell><cell r="N447" t="str"><v>North America</v></cell><cell r="O447" t="str"><v>Canada</v></cell><cell r="P447" t="str"><v>Trial</v></cell><cell r="Q447" t="str"><v>Social</v></cell><cell r="R447" t="str"><v>Azure</v></cell><cell r="S447" t="str"><v>Apps & Infra</v></cell><cell r="T447" t="str"><v>Developers & ITI's</v></cell><cell r="U447" t="str"><v>AZR</v></cell><cell r="V447" t="str"><v>Audience Targeting</v></cell><cell r="W447" t="str"><v>NotApplicable</v></cell><cell r="X447" t="str"><v>1x1</v></cell></row><row r="447"><cell r="AA447"><v>43286</v></cell><cell r="AB447" t="str"><v>CAN_gaPMG_AZR_AZR_Q1_19_Trial-Social</v></cell><cell r="AC447"><v>21337220</v></cell><cell r="AD447"><v>720192</v></cell><cell r="AE447" t="str"><v>Facebook</v></cell><cell r="AF447"><v>3654128</v></cell><cell r="AG447" t="str"><v>Facebook»AZR»1x1»SocialBan»NA»ALL»DYN»AUT»D»All»SS»NA»Free Acc Refresh - T4 - FR</v></cell><cell r="AH447"><v>223691771</v></cell><cell r="AI447" t="str"><v>AzurePlatform_FreeAcctAppsFACEBOOK200CreditChD_CAN_1200x628_SOC_PLAT_FR_Trial_Standard_NA_SU_T4_1.png</v></cell><cell r="AJ447"><v>102902968</v></cell></row><row r="448"><cell r="C448" t="str"><v>43286Facebook»AZR»1x1»SocialBan»NA»ALL»DYN»AUT»D»All»SS»NA»Free Acc Refresh - T5 - EN</v></cell><cell r="D448" t="str"><v>43286223691816</v></cell><cell r="E448" t="str"><v>432861029163415 - EN</v></cell><cell r="F448" t="str"><v>DCM</v></cell><cell r="G448" t="str"><v>https://azure.microsoft.com/en-CA/free/search/</v></cell></row><row r="448"><cell r="K448" t="str"><v>July</v></cell><cell r="L448"><v>43288</v></cell><cell r="M448" t="str"><v>Tier 1</v></cell><cell r="N448" t="str"><v>North America</v></cell><cell r="O448" t="str"><v>Canada</v></cell><cell r="P448" t="str"><v>Trial</v></cell><cell r="Q448" t="str"><v>Social</v></cell><cell r="R448" t="str"><v>Azure</v></cell><cell r="S448" t="str"><v>Apps & Infra</v></cell><cell r="T448" t="str"><v>Developers & ITI's</v></cell><cell r="U448" t="str"><v>AZR</v></cell><cell r="V448" t="str"><v>Audience Targeting</v></cell><cell r="W448" t="str"><v>NotApplicable</v></cell><cell r="X448" t="str"><v>1x1</v></cell></row><row r="448"><cell r="AA448"><v>43286</v></cell><cell r="AB448" t="str"><v>CAN_gaPMG_AZR_AZR_Q1_19_Trial-Social</v></cell><cell r="AC448"><v>21337220</v></cell><cell r="AD448"><v>720192</v></cell><cell r="AE448" t="str"><v>Facebook</v></cell><cell r="AF448"><v>3654128</v></cell><cell r="AG448" t="str"><v>Facebook»AZR»1x1»SocialBan»NA»ALL»DYN»AUT»D»All»SS»NA»Free Acc Refresh - T5 - EN</v></cell><cell r="AH448"><v>223691816</v></cell><cell r="AI448" t="str"><v>AzurePlatform_FreeAcctAppsFACEBOOK12monthsChE_CAN_1200x628_SOC_PLAT_EN_Trial_Standard_NA_SU_T5_1.png</v></cell><cell r="AJ448"><v>102916341</v></cell></row><row r="449"><cell r="C449" t="str"><v>43286Facebook»AZR»1x1»SocialBan»NA»ALL»DYN»AUT»D»All»SS»NA»Free Acc Refresh - T5 - FR</v></cell><cell r="D449" t="str"><v>43286223691774</v></cell><cell r="E449" t="str"><v>432861029163565 - FR</v></cell><cell r="F449" t="str"><v>DCM</v></cell><cell r="G449" t="str"><v>https://azure.microsoft.com/fr-ca/free/search/</v></cell></row><row r="449"><cell r="K449" t="str"><v>July</v></cell><cell r="L449"><v>43288</v></cell><cell r="M449" t="str"><v>Tier 1</v></cell><cell r="N449" t="str"><v>North America</v></cell><cell r="O449" t="str"><v>Canada</v></cell><cell r="P449" t="str"><v>Trial</v></cell><cell r="Q449" t="str"><v>Social</v></cell><cell r="R449" t="str"><v>Azure</v></cell><cell r="S449" t="str"><v>Apps & Infra</v></cell><cell r="T449" t="str"><v>Developers & ITI's</v></cell><cell r="U449" t="str"><v>AZR</v></cell><cell r="V449" t="str"><v>Audience Targeting</v></cell><cell r="W449" t="str"><v>NotApplicable</v></cell><cell r="X449" t="str"><v>1x1</v></cell></row><row r="449"><cell r="AA449"><v>43286</v></cell><cell r="AB449" t="str"><v>CAN_gaPMG_AZR_AZR_Q1_19_Trial-Social</v></cell><cell r="AC449"><v>21337220</v></cell><cell r="AD449"><v>720192</v></cell><cell r="AE449" t="str"><v>Facebook</v></cell><cell r="AF449"><v>3654128</v></cell><cell r="AG449" t="str"><v>Facebook»AZR»1x1»SocialBan»NA»ALL»DYN»AUT»D»All»SS»NA»Free Acc Refresh - T5 - FR</v></cell><cell r="AH449"><v>223691774</v></cell><cell r="AI449" t="str"><v>AzurePlatform_FreeAcctAppsFACEBOOK12monthsChE_CAN_1200x628_SOC_PLAT_FR_Trial_Standard_NA_SU_T5_1.png</v></cell><cell r="AJ449"><v>102916356</v></cell></row><row r="450"><cell r="C450" t="str"><v>43286Facebook»AZR»1x1»SocialBan»NA»ALL»DYN»RT»D»All»SS»NA» Free Account Retargeting OSS - T1 - EN</v></cell><cell r="D450" t="str"><v>43286223691828</v></cell><cell r="E450" t="str"><v>432861029029561 - EN</v></cell><cell r="F450" t="str"><v>DCM</v></cell><cell r="G450" t="str"><v>https://azure.microsoft.com/en-ca/free/open-source/search/</v></cell></row><row r="450"><cell r="K450" t="str"><v>July</v></cell><cell r="L450"><v>43288</v></cell><cell r="M450" t="str"><v>Tier 1</v></cell><cell r="N450" t="str"><v>North America</v></cell><cell r="O450" t="str"><v>Canada</v></cell><cell r="P450" t="str"><v>Trial</v></cell><cell r="Q450" t="str"><v>Social</v></cell><cell r="R450" t="str"><v>Azure</v></cell><cell r="S450" t="str"><v>Apps & Infra</v></cell><cell r="T450" t="str"><v>Developers & ITI's</v></cell><cell r="U450" t="str"><v>AZR</v></cell><cell r="V450" t="str"><v>Retargeting</v></cell><cell r="W450" t="str"><v>NotApplicable</v></cell><cell r="X450" t="str"><v>1x1</v></cell></row><row r="450"><cell r="AA450"><v>43286</v></cell><cell r="AB450" t="str"><v>CAN_gaPMG_AZR_AZR_Q1_19_Trial-Social</v></cell><cell r="AC450"><v>21337220</v></cell><cell r="AD450"><v>720192</v></cell><cell r="AE450" t="str"><v>Facebook</v></cell><cell r="AF450"><v>3654128</v></cell><cell r="AG450" t="str"><v>Facebook»AZR»1x1»SocialBan»NA»ALL»DYN»RT»D»All»SS»NA» Free Account Retargeting OSS - T1 - EN</v></cell><cell r="AH450"><v>223691828</v></cell><cell r="AI450" t="str"><v>AzurePlatform_FreeAcctRetargetingOSSFB-Text-ChF_CAN_1200x628_SOC_Plat_EN_Free Account_Standard_NA_SU_T1_1</v></cell><cell r="AJ450"><v>102902956</v></cell></row><row r="451"><cell r="C451" t="str"><v>43286Facebook»AZR»1x1»SocialBan»NA»ALL»DYN»RT»D»All»SS»NA» Free Account Retargeting OSS - T2 - EN</v></cell><cell r="D451" t="str"><v>43286223691831</v></cell><cell r="E451" t="str"><v>432861029138002 - EN</v></cell><cell r="F451" t="str"><v>DCM</v></cell><cell r="G451" t="str"><v>https://azure.microsoft.com/en-ca/free/open-source/search/</v></cell></row><row r="451"><cell r="K451" t="str"><v>July</v></cell><cell r="L451"><v>43288</v></cell><cell r="M451" t="str"><v>Tier 1</v></cell><cell r="N451" t="str"><v>North America</v></cell><cell r="O451" t="str"><v>Canada</v></cell><cell r="P451" t="str"><v>Trial</v></cell><cell r="Q451" t="str"><v>Social</v></cell><cell r="R451" t="str"><v>Azure</v></cell><cell r="S451" t="str"><v>Apps & Infra</v></cell><cell r="T451" t="str"><v>Developers & ITI's</v></cell><cell r="U451" t="str"><v>AZR</v></cell><cell r="V451" t="str"><v>Retargeting</v></cell><cell r="W451" t="str"><v>NotApplicable</v></cell><cell r="X451" t="str"><v>1x1</v></cell></row><row r="451"><cell r="AA451"><v>43286</v></cell><cell r="AB451" t="str"><v>CAN_gaPMG_AZR_AZR_Q1_19_Trial-Social</v></cell><cell r="AC451"><v>21337220</v></cell><cell r="AD451"><v>720192</v></cell><cell r="AE451" t="str"><v>Facebook</v></cell><cell r="AF451"><v>3654128</v></cell><cell r="AG451" t="str"><v>Facebook»AZR»1x1»SocialBan»NA»ALL»DYN»RT»D»All»SS»NA» Free Account Retargeting OSS - T2 - EN</v></cell><cell r="AH451"><v>223691831</v></cell><cell r="AI451" t="str"><v>AzurePlatform_FreeAcctRetargetingOSSFB-Logos-ChG_CAN_1200x628_SOC_Plat_EN_Free Account_Standard_NA_SU_T2_1</v></cell><cell r="AJ451"><v>102913800</v></cell></row><row r="452"><cell r="C452" t="str"><v>43286Facebook»AZR»1x1»SocialBan»NA»ALL»DYN»RT»D»All»SS»NA» Free Account Retargeting OSS - T2 - FR</v></cell><cell r="D452" t="str"><v>43286223691789</v></cell><cell r="E452" t="str"><v>432861029006912 - FR</v></cell><cell r="F452" t="str"><v>DCM</v></cell><cell r="G452" t="str"><v>https://azure.microsoft.com/fr-ca/free/open-source/search/</v></cell></row><row r="452"><cell r="K452" t="str"><v>July</v></cell><cell r="L452"><v>43288</v></cell><cell r="M452" t="str"><v>Tier 1</v></cell><cell r="N452" t="str"><v>North America</v></cell><cell r="O452" t="str"><v>Canada</v></cell><cell r="P452" t="str"><v>Trial</v></cell><cell r="Q452" t="str"><v>Social</v></cell><cell r="R452" t="str"><v>Azure</v></cell><cell r="S452" t="str"><v>Apps & Infra</v></cell><cell r="T452" t="str"><v>Developers & ITI's</v></cell><cell r="U452" t="str"><v>AZR</v></cell><cell r="V452" t="str"><v>Retargeting</v></cell><cell r="W452" t="str"><v>NotApplicable</v></cell><cell r="X452" t="str"><v>1x1</v></cell></row><row r="452"><cell r="AA452"><v>43286</v></cell><cell r="AB452" t="str"><v>CAN_gaPMG_AZR_AZR_Q1_19_Trial-Social</v></cell><cell r="AC452"><v>21337220</v></cell><cell r="AD452"><v>720192</v></cell><cell r="AE452" t="str"><v>Facebook</v></cell><cell r="AF452"><v>3654128</v></cell><cell r="AG452" t="str"><v>Facebook»AZR»1x1»SocialBan»NA»ALL»DYN»RT»D»All»SS»NA» Free Account Retargeting OSS - T2 - FR</v></cell><cell r="AH452"><v>223691789</v></cell><cell r="AI452" t="str"><v>AzurePlatform_FreeAcctRetargetingOSSFB-Logos-ChG_CAN_1200x628_SOC_Plat_FR_Free Account_Standard_NA_SU_T2_1</v></cell><cell r="AJ452"><v>102900691</v></cell></row><row r="453"><cell r="C453" t="str"><v>43286Facebook»AZR»1x1»SocialBan»NA»ALL»DYN»RT»D»All»SS»NA»Free Account Retargeting Generic - T2 - EN</v></cell><cell r="D453" t="str"><v>43286223691834</v></cell><cell r="E453" t="str"><v>432861029029532 - EN</v></cell><cell r="F453" t="str"><v>DCM</v></cell><cell r="G453" t="str"><v>https://azure.microsoft.com/en-CA/free/search/</v></cell></row><row r="453"><cell r="K453" t="str"><v>July</v></cell><cell r="L453"><v>43288</v></cell><cell r="M453" t="str"><v>Tier 1</v></cell><cell r="N453" t="str"><v>North America</v></cell><cell r="O453" t="str"><v>Canada</v></cell><cell r="P453" t="str"><v>Trial</v></cell><cell r="Q453" t="str"><v>Social</v></cell><cell r="R453" t="str"><v>Azure</v></cell><cell r="S453" t="str"><v>Apps & Infra</v></cell><cell r="T453" t="str"><v>Developers & ITI's</v></cell><cell r="U453" t="str"><v>AZR</v></cell><cell r="V453" t="str"><v>Retargeting</v></cell><cell r="W453" t="str"><v>NotApplicable</v></cell><cell r="X453" t="str"><v>1x1</v></cell></row><row r="453"><cell r="AA453"><v>43286</v></cell><cell r="AB453" t="str"><v>CAN_gaPMG_AZR_AZR_Q1_19_Trial-Social</v></cell><cell r="AC453"><v>21337220</v></cell><cell r="AD453"><v>720192</v></cell><cell r="AE453" t="str"><v>Facebook</v></cell><cell r="AF453"><v>3654128</v></cell><cell r="AG453" t="str"><v>Facebook»AZR»1x1»SocialBan»NA»ALL»DYN»RT»D»All»SS»NA»Free Account Retargeting Generic - T2 - EN</v></cell><cell r="AH453"><v>223691834</v></cell><cell r="AI453" t="str"><v>AzurePlatform_FreeAcctRetargetingFB-GlobalAlt-ChB_CAN_1200x628_SOC_Plat_EN_Free Account_Standard_NA_SU_T2_1</v></cell><cell r="AJ453"><v>102902953</v></cell></row><row r="454"><cell r="C454" t="str"><v>43286Facebook»AZR»1x1»SocialBan»NA»ALL»DYN»RT»D»All»SS»NA»Free Account Retargeting Generic - T2 - FR</v></cell><cell r="D454" t="str"><v>43286223691792</v></cell><cell r="E454" t="str"><v>432861029018942 - FR</v></cell><cell r="F454" t="str"><v>DCM</v></cell><cell r="G454" t="str"><v>https://azure.microsoft.com/fr-ca/free/search/</v></cell></row><row r="454"><cell r="K454" t="str"><v>July</v></cell><cell r="L454"><v>43288</v></cell><cell r="M454" t="str"><v>Tier 1</v></cell><cell r="N454" t="str"><v>North America</v></cell><cell r="O454" t="str"><v>Canada</v></cell><cell r="P454" t="str"><v>Trial</v></cell><cell r="Q454" t="str"><v>Social</v></cell><cell r="R454" t="str"><v>Azure</v></cell><cell r="S454" t="str"><v>Apps & Infra</v></cell><cell r="T454" t="str"><v>Developers & ITI's</v></cell><cell r="U454" t="str"><v>AZR</v></cell><cell r="V454" t="str"><v>Retargeting</v></cell><cell r="W454" t="str"><v>NotApplicable</v></cell><cell r="X454" t="str"><v>1x1</v></cell></row><row r="454"><cell r="AA454"><v>43286</v></cell><cell r="AB454" t="str"><v>CAN_gaPMG_AZR_AZR_Q1_19_Trial-Social</v></cell><cell r="AC454"><v>21337220</v></cell><cell r="AD454"><v>720192</v></cell><cell r="AE454" t="str"><v>Facebook</v></cell><cell r="AF454"><v>3654128</v></cell><cell r="AG454" t="str"><v>Facebook»AZR»1x1»SocialBan»NA»ALL»DYN»RT»D»All»SS»NA»Free Account Retargeting Generic - T2 - FR</v></cell><cell r="AH454"><v>223691792</v></cell><cell r="AI454" t="str"><v>AzurePlatform_FreeAcctRetargetingFB-GlobalAlt-ChB_CAN_1200x628_SOC_Plat_FR_Free Account_Standard_NA_SU_T2_1</v></cell><cell r="AJ454"><v>102901894</v></cell></row><row r="455"><cell r="C455" t="str"><v>43286Facebook»AZR»1x1»SocialBan»NA»ALL»DYN»RT»D»All»SS»NA»Free Account Retargeting Generic - T3 - EN</v></cell><cell r="D455" t="str"><v>43286223691819</v></cell><cell r="E455" t="str"><v>432861029006823 - EN</v></cell><cell r="F455" t="str"><v>DCM</v></cell><cell r="G455" t="str"><v>https://azure.microsoft.com/en-CA/free/search/</v></cell></row><row r="455"><cell r="K455" t="str"><v>July</v></cell><cell r="L455"><v>43288</v></cell><cell r="M455" t="str"><v>Tier 1</v></cell><cell r="N455" t="str"><v>North America</v></cell><cell r="O455" t="str"><v>Canada</v></cell><cell r="P455" t="str"><v>Trial</v></cell><cell r="Q455" t="str"><v>Social</v></cell><cell r="R455" t="str"><v>Azure</v></cell><cell r="S455" t="str"><v>Apps & Infra</v></cell><cell r="T455" t="str"><v>Developers & ITI's</v></cell><cell r="U455" t="str"><v>AZR</v></cell><cell r="V455" t="str"><v>Retargeting</v></cell><cell r="W455" t="str"><v>NotApplicable</v></cell><cell r="X455" t="str"><v>1x1</v></cell></row><row r="455"><cell r="AA455"><v>43286</v></cell><cell r="AB455" t="str"><v>CAN_gaPMG_AZR_AZR_Q1_19_Trial-Social</v></cell><cell r="AC455"><v>21337220</v></cell><cell r="AD455"><v>720192</v></cell><cell r="AE455" t="str"><v>Facebook</v></cell><cell r="AF455"><v>3654128</v></cell><cell r="AG455" t="str"><v>Facebook»AZR»1x1»SocialBan»NA»ALL»DYN»RT»D»All»SS»NA»Free Account Retargeting Generic - T3 - EN</v></cell><cell r="AH455"><v>223691819</v></cell><cell r="AI455" t="str"><v>AzurePlatform_FreeAcctRetargetingFB-Animated-ChC_CAN_1200x628_SOC_Plat_EN_Free Account_Standard_ANI_SU_T3_1</v></cell><cell r="AJ455"><v>102900682</v></cell></row><row r="456"><cell r="C456" t="str"><v>43286Facebook»AZR»1x1»SocialBan»NA»ALL»DYN»RT»D»All»SS»NA»Free Account Retargeting Generic - T3 - FR</v></cell><cell r="D456" t="str"><v>43286223691777</v></cell><cell r="E456" t="str"><v>432861029006973 - FR</v></cell><cell r="F456" t="str"><v>DCM</v></cell><cell r="G456" t="str"><v>https://azure.microsoft.com/fr-ca/free/search/</v></cell></row><row r="456"><cell r="K456" t="str"><v>July</v></cell><cell r="L456"><v>43288</v></cell><cell r="M456" t="str"><v>Tier 1</v></cell><cell r="N456" t="str"><v>North America</v></cell><cell r="O456" t="str"><v>Canada</v></cell><cell r="P456" t="str"><v>Trial</v></cell><cell r="Q456" t="str"><v>Social</v></cell><cell r="R456" t="str"><v>Azure</v></cell><cell r="S456" t="str"><v>Apps & Infra</v></cell><cell r="T456" t="str"><v>Developers & ITI's</v></cell><cell r="U456" t="str"><v>AZR</v></cell><cell r="V456" t="str"><v>Retargeting</v></cell><cell r="W456" t="str"><v>NotApplicable</v></cell><cell r="X456" t="str"><v>1x1</v></cell></row><row r="456"><cell r="AA456"><v>43286</v></cell><cell r="AB456" t="str"><v>CAN_gaPMG_AZR_AZR_Q1_19_Trial-Social</v></cell><cell r="AC456"><v>21337220</v></cell><cell r="AD456"><v>720192</v></cell><cell r="AE456" t="str"><v>Facebook</v></cell><cell r="AF456"><v>3654128</v></cell><cell r="AG456" t="str"><v>Facebook»AZR»1x1»SocialBan»NA»ALL»DYN»RT»D»All»SS»NA»Free Account Retargeting Generic - T3 - FR</v></cell><cell r="AH456"><v>223691777</v></cell><cell r="AI456" t="str"><v>AzurePlatform_FreeAcctRetargetingFB-Animated-ChC_CAN_1200x628_SOC_Plat_FR_Free Account_Standard_ANI_SU_T3_1</v></cell><cell r="AJ456"><v>102900697</v></cell></row><row r="457"><cell r="C457" t="str"><v>43286Facebook»AZR»1x1»SocialBan»NA»ALL»DYN»RT»D»All»SS»NA»Free Account Retargeting VM - T1 - EN</v></cell><cell r="D457" t="str"><v>43286223691825</v></cell><cell r="E457" t="str"><v>432861029163381 - EN</v></cell><cell r="F457" t="str"><v>DCM</v></cell><cell r="G457" t="str"><v>https://azure.microsoft.com/en-ca/free/virtual-machines/search/</v></cell></row><row r="457"><cell r="K457" t="str"><v>July</v></cell><cell r="L457"><v>43288</v></cell><cell r="M457" t="str"><v>Tier 1</v></cell><cell r="N457" t="str"><v>North America</v></cell><cell r="O457" t="str"><v>Canada</v></cell><cell r="P457" t="str"><v>Trial</v></cell><cell r="Q457" t="str"><v>Social</v></cell><cell r="R457" t="str"><v>Azure</v></cell><cell r="S457" t="str"><v>Apps & Infra</v></cell><cell r="T457" t="str"><v>Developers & ITI's</v></cell><cell r="U457" t="str"><v>AZR</v></cell><cell r="V457" t="str"><v>Retargeting</v></cell><cell r="W457" t="str"><v>NotApplicable</v></cell><cell r="X457" t="str"><v>1x1</v></cell></row><row r="457"><cell r="AA457"><v>43286</v></cell><cell r="AB457" t="str"><v>CAN_gaPMG_AZR_AZR_Q1_19_Trial-Social</v></cell><cell r="AC457"><v>21337220</v></cell><cell r="AD457"><v>720192</v></cell><cell r="AE457" t="str"><v>Facebook</v></cell><cell r="AF457"><v>3654128</v></cell><cell r="AG457" t="str"><v>Facebook»AZR»1x1»SocialBan»NA»ALL»DYN»RT»D»All»SS»NA»Free Account Retargeting VM - T1 - EN</v></cell><cell r="AH457"><v>223691825</v></cell><cell r="AI457" t="str"><v>AzurePlatform_FreeAcctRetargetingVMFB-750Hrs-ChD_CAN_1200x628_SOC_Plat_EN_Free Account_Standard_NA_SU_T1_1</v></cell><cell r="AJ457"><v>102916338</v></cell></row><row r="458"><cell r="C458" t="str"><v>43286Facebook»AZR»1x1»SocialBan»NA»ALL»DYN»RT»D»All»SS»NA»Free Account Retargeting VM - T1 - FR</v></cell><cell r="D458" t="str"><v>43286223691783</v></cell><cell r="E458" t="str"><v>432861030587231 - FR</v></cell><cell r="F458" t="str"><v>DCM</v></cell><cell r="G458" t="str"><v>https://azure.microsoft.com/fr-ca/free/virtual-machines/search/</v></cell></row><row r="458"><cell r="K458" t="str"><v>July</v></cell><cell r="L458"><v>43288</v></cell><cell r="M458" t="str"><v>Tier 1</v></cell><cell r="N458" t="str"><v>North America</v></cell><cell r="O458" t="str"><v>Canada</v></cell><cell r="P458" t="str"><v>Trial</v></cell><cell r="Q458" t="str"><v>Social</v></cell><cell r="R458" t="str"><v>Azure</v></cell><cell r="S458" t="str"><v>Apps & Infra</v></cell><cell r="T458" t="str"><v>Developers & ITI's</v></cell><cell r="U458" t="str"><v>AZR</v></cell><cell r="V458" t="str"><v>Retargeting</v></cell><cell r="W458" t="str"><v>NotApplicable</v></cell><cell r="X458" t="str"><v>1x1</v></cell></row><row r="458"><cell r="AA458"><v>43286</v></cell><cell r="AB458" t="str"><v>CAN_gaPMG_AZR_AZR_Q1_19_Trial-Social</v></cell><cell r="AC458"><v>21337220</v></cell><cell r="AD458"><v>720192</v></cell><cell r="AE458" t="str"><v>Facebook</v></cell><cell r="AF458"><v>3654128</v></cell><cell r="AG458" t="str"><v>Facebook»AZR»1x1»SocialBan»NA»ALL»DYN»RT»D»All»SS»NA»Free Account Retargeting VM - T1 - FR</v></cell><cell r="AH458"><v>223691783</v></cell><cell r="AI458" t="str"><v>AzurePlatform_FreeAcctRetargetingVMFB-750Hrs-ChD_CAN_1200x628_SOC_Plat_FR_Free Account_Standard_NA_SU_T1_1</v></cell><cell r="AJ458"><v>103058723</v></cell></row><row r="459"><cell r="C459" t="str"><v>43286Facebook»AZR»1x1»SocialBan»NA»ALL»DYN»RT»D»All»SS»NA»Free Account Retargeting VM - T2 - EN</v></cell><cell r="D459" t="str"><v>43286223691822</v></cell><cell r="E459" t="str"><v>432861030587082 - EN</v></cell><cell r="F459" t="str"><v>DCM</v></cell><cell r="G459" t="str"><v>https://azure.microsoft.com/en-ca/free/virtual-machines/search/</v></cell></row><row r="459"><cell r="K459" t="str"><v>July</v></cell><cell r="L459"><v>43288</v></cell><cell r="M459" t="str"><v>Tier 1</v></cell><cell r="N459" t="str"><v>North America</v></cell><cell r="O459" t="str"><v>Canada</v></cell><cell r="P459" t="str"><v>Trial</v></cell><cell r="Q459" t="str"><v>Social</v></cell><cell r="R459" t="str"><v>Azure</v></cell><cell r="S459" t="str"><v>Apps & Infra</v></cell><cell r="T459" t="str"><v>Developers & ITI's</v></cell><cell r="U459" t="str"><v>AZR</v></cell><cell r="V459" t="str"><v>Retargeting</v></cell><cell r="W459" t="str"><v>NotApplicable</v></cell><cell r="X459" t="str"><v>1x1</v></cell></row><row r="459"><cell r="AA459"><v>43286</v></cell><cell r="AB459" t="str"><v>CAN_gaPMG_AZR_AZR_Q1_19_Trial-Social</v></cell><cell r="AC459"><v>21337220</v></cell><cell r="AD459"><v>720192</v></cell><cell r="AE459" t="str"><v>Facebook</v></cell><cell r="AF459"><v>3654128</v></cell><cell r="AG459" t="str"><v>Facebook»AZR»1x1»SocialBan»NA»ALL»DYN»RT»D»All»SS»NA»Free Account Retargeting VM - T2 - EN</v></cell><cell r="AH459"><v>223691822</v></cell><cell r="AI459" t="str"><v>AzurePlatform_FreeAcctRetargetingVMFB-OnDemand-ChE_CAN_1200x628_SOC_Plat_EN_Free Account_Standard_NA_SU_T2_1</v></cell><cell r="AJ459"><v>103058708</v></cell></row><row r="460"><cell r="C460" t="str"><v>43286Facebook»AZR»1x1»SocialBan»NA»ALL»DYN»RT»D»All»SS»NA»Free Account Retargeting VM - T2 - FR</v></cell><cell r="D460" t="str"><v>43286223691780</v></cell><cell r="E460" t="str"><v>432861030587262 - FR</v></cell><cell r="F460" t="str"><v>DCM</v></cell><cell r="G460" t="str"><v>https://azure.microsoft.com/fr-ca/free/virtual-machines/search/</v></cell></row><row r="460"><cell r="K460" t="str"><v>July</v></cell><cell r="L460"><v>43288</v></cell><cell r="M460" t="str"><v>Tier 1</v></cell><cell r="N460" t="str"><v>North America</v></cell><cell r="O460" t="str"><v>Canada</v></cell><cell r="P460" t="str"><v>Trial</v></cell><cell r="Q460" t="str"><v>Social</v></cell><cell r="R460" t="str"><v>Azure</v></cell><cell r="S460" t="str"><v>Apps & Infra</v></cell><cell r="T460" t="str"><v>Developers & ITI's</v></cell><cell r="U460" t="str"><v>AZR</v></cell><cell r="V460" t="str"><v>Retargeting</v></cell><cell r="W460" t="str"><v>NotApplicable</v></cell><cell r="X460" t="str"><v>1x1</v></cell></row><row r="460"><cell r="AA460"><v>43286</v></cell><cell r="AB460" t="str"><v>CAN_gaPMG_AZR_AZR_Q1_19_Trial-Social</v></cell><cell r="AC460"><v>21337220</v></cell><cell r="AD460"><v>720192</v></cell><cell r="AE460" t="str"><v>Facebook</v></cell><cell r="AF460"><v>3654128</v></cell><cell r="AG460" t="str"><v>Facebook»AZR»1x1»SocialBan»NA»ALL»DYN»RT»D»All»SS»NA»Free Account Retargeting VM - T2 - FR</v></cell><cell r="AH460"><v>223691780</v></cell><cell r="AI460" t="str"><v>AzurePlatform_FreeAcctRetargetingVMFB-OnDemand-ChE_CAN_1200x628_SOC_Plat_FR_Free Account_Standard_NA_SU_T2_1</v></cell><cell r="AJ460"><v>103058726</v></cell></row><row r="461"><cell r="C461" t="str"><v>43286Facebook»DEV-ITP-AZR-FB|CanvasAds|Interesttargeting»1x1»TextLink»CAN»DT»CPM»AUT»W»NA»SS»NA»39684020-11000</v></cell><cell r="D461" t="str"><v>43286224009494</v></cell><cell r="E461" t="str"><v>43286103235787-11000</v></cell><cell r="F461" t="str"><v>DCM</v></cell><cell r="G461" t="str"><v>https://azure.microsoft.com/de-de/pricing/purchase-options/</v></cell></row><row r="461"><cell r="K461" t="str"><v>July</v></cell><cell r="L461"><v>43288</v></cell><cell r="M461" t="str"><v>Tier 1</v></cell><cell r="N461" t="str"><v>EMEA</v></cell><cell r="O461" t="str"><v>Germany</v></cell><cell r="P461" t="str"><v>Trial</v></cell><cell r="Q461" t="str"><v>Social</v></cell><cell r="R461" t="str"><v>Azure</v></cell><cell r="S461" t="str"><v>Apps & Infra</v></cell><cell r="T461" t="str"><v>Developers & ITI's</v></cell><cell r="U461" t="str"><v>DEV-ITP-AZR-FB|CanvasAds|Interesttargeting</v></cell><cell r="V461" t="str"><v>Audience Targeting</v></cell><cell r="W461" t="str"><v>Canvas Ad</v></cell><cell r="X461" t="str"><v>1x1</v></cell></row><row r="461"><cell r="AA461"><v>43286</v></cell><cell r="AB461" t="str"><v>DEU_gaPMG_AZR_AZR_Q1_19_Trial-Social- 39684</v></cell><cell r="AC461"><v>21359477</v></cell><cell r="AD461"><v>720194</v></cell><cell r="AE461" t="str"><v>Facebook</v></cell><cell r="AF461"><v>3654128</v></cell><cell r="AG461" t="str"><v>Facebook»DEV-ITP-AZR-FB|CanvasAds|Interesttargeting»1x1»TextLink»CAN»DT»CPM»AUT»W»NA»SS»NA»39684020-11000</v></cell><cell r="AH461"><v>224009494</v></cell><cell r="AI461" t="str"><v>AzurePlatform_FBCTCBasicMotion-BuyNow_DEU_10s_ISV_PLAT_DE_Trial_Standard_STAN_TN_T1_1</v></cell><cell r="AJ461"><v>103235787</v></cell></row><row r="462"><cell r="C462" t="str"><v>43286Facebook»DEV-ITP-AZR-FB|CanvasAds|Interesttargeting»1x1»TextLink»CAN»DT»CPM»AUT»W»NA»SS»NA»39684020-11000</v></cell><cell r="D462" t="str"><v>43286224009494</v></cell><cell r="E462" t="str"><v>43286103236186-11000</v></cell><cell r="F462" t="str"><v>DCM</v></cell><cell r="G462" t="str"><v>https://signup.azure.com/signup?offer=ms-azr-0044p&appId=102&ref=paidmedia-social-fb&redirectURL=https%3a%2f%2fazure.microsoft.com%2fde-de%2fget-started%2fwelcome-to-azure%2f&l=de-de&correlationId=ead86c34-1f10-49dd-a72b-6918462a2cbf</v></cell></row><row r="462"><cell r="K462" t="str"><v>July</v></cell><cell r="L462"><v>43288</v></cell><cell r="M462" t="str"><v>Tier 1</v></cell><cell r="N462" t="str"><v>EMEA</v></cell><cell r="O462" t="str"><v>Germany</v></cell><cell r="P462" t="str"><v>Trial</v></cell><cell r="Q462" t="str"><v>Social</v></cell><cell r="R462" t="str"><v>Azure</v></cell><cell r="S462" t="str"><v>Apps & Infra</v></cell><cell r="T462" t="str"><v>Developers & ITI's</v></cell><cell r="U462" t="str"><v>DEV-ITP-AZR-FB|CanvasAds|Interesttargeting</v></cell><cell r="V462" t="str"><v>Audience Targeting</v></cell><cell r="W462" t="str"><v>Canvas Ad</v></cell><cell r="X462" t="str"><v>1x1</v></cell></row><row r="462"><cell r="AA462"><v>43286</v></cell><cell r="AB462" t="str"><v>DEU_gaPMG_AZR_AZR_Q1_19_Trial-Social- 39684</v></cell><cell r="AC462"><v>21359477</v></cell><cell r="AD462"><v>720194</v></cell><cell r="AE462" t="str"><v>Facebook</v></cell><cell r="AF462"><v>3654128</v></cell><cell r="AG462" t="str"><v>Facebook»DEV-ITP-AZR-FB|CanvasAds|Interesttargeting»1x1»TextLink»CAN»DT»CPM»AUT»W»NA»SS»NA»39684020-11000</v></cell><cell r="AH462"><v>224009494</v></cell><cell r="AI462" t="str"><v>AzurePlatform_FBCTCBasicMotion-StartFreeCT_DEU_10s_ISV_PLAT_DE_Trial_Standard_STAN_TN_T1_1</v></cell><cell r="AJ462"><v>103236186</v></cell></row><row r="463"><cell r="C463" t="str"><v>43286Facebook»DEV-ITP-AZR-FB|CanvasAds|Interesttargeting»1x1»TextLink»CAN»DT»CPM»AUT»W»NA»SS»NA»39684020-11000</v></cell><cell r="D463" t="str"><v>43286224009494</v></cell><cell r="E463" t="str"><v>43286103236189-11000</v></cell><cell r="F463" t="str"><v>DCM</v></cell><cell r="G463" t="str"><v>https://azure.microsoft.com/de-de/pricing/purchase-options/</v></cell></row><row r="463"><cell r="K463" t="str"><v>July</v></cell><cell r="L463"><v>43288</v></cell><cell r="M463" t="str"><v>Tier 1</v></cell><cell r="N463" t="str"><v>EMEA</v></cell><cell r="O463" t="str"><v>Germany</v></cell><cell r="P463" t="str"><v>Trial</v></cell><cell r="Q463" t="str"><v>Social</v></cell><cell r="R463" t="str"><v>Azure</v></cell><cell r="S463" t="str"><v>Apps & Infra</v></cell><cell r="T463" t="str"><v>Developers & ITI's</v></cell><cell r="U463" t="str"><v>DEV-ITP-AZR-FB|CanvasAds|Interesttargeting</v></cell><cell r="V463" t="str"><v>Audience Targeting</v></cell><cell r="W463" t="str"><v>Canvas Ad</v></cell><cell r="X463" t="str"><v>1x1</v></cell></row><row r="463"><cell r="AA463"><v>43286</v></cell><cell r="AB463" t="str"><v>DEU_gaPMG_AZR_AZR_Q1_19_Trial-Social- 39684</v></cell><cell r="AC463"><v>21359477</v></cell><cell r="AD463"><v>720194</v></cell><cell r="AE463" t="str"><v>Facebook</v></cell><cell r="AF463"><v>3654128</v></cell><cell r="AG463" t="str"><v>Facebook»DEV-ITP-AZR-FB|CanvasAds|Interesttargeting»1x1»TextLink»CAN»DT»CPM»AUT»W»NA»SS»NA»39684020-11000</v></cell><cell r="AH463"><v>224009494</v></cell><cell r="AI463" t="str"><v>AzurePlatform_FBCTCBenefit2inMotion-BuyNow_DEU_14s_ISV_PLAT_DE_Trial_Standard_STAN_TN_T4_1</v></cell><cell r="AJ463"><v>103236189</v></cell></row><row r="464"><cell r="C464" t="str"><v>43286Facebook»DEV-ITP-AZR-FB|CanvasAds|Interesttargeting»1x1»TextLink»CAN»DT»CPM»AUT»W»NA»SS»NA»39684020-11000</v></cell><cell r="D464" t="str"><v>43286224009494</v></cell><cell r="E464" t="str"><v>43286103237290-11000</v></cell><cell r="F464" t="str"><v>DCM</v></cell><cell r="G464" t="str"><v>https://signup.azure.com/signup?offer=ms-azr-0044p&appId=102&ref=paidmedia-social-fb&redirectURL=https%3a%2f%2fazure.microsoft.com%2fde-de%2fget-started%2fwelcome-to-azure%2f&l=de-de&correlationId=ead86c34-1f10-49dd-a72b-6918462a2cbf</v></cell></row><row r="464"><cell r="K464" t="str"><v>July</v></cell><cell r="L464"><v>43288</v></cell><cell r="M464" t="str"><v>Tier 1</v></cell><cell r="N464" t="str"><v>EMEA</v></cell><cell r="O464" t="str"><v>Germany</v></cell><cell r="P464" t="str"><v>Trial</v></cell><cell r="Q464" t="str"><v>Social</v></cell><cell r="R464" t="str"><v>Azure</v></cell><cell r="S464" t="str"><v>Apps & Infra</v></cell><cell r="T464" t="str"><v>Developers & ITI's</v></cell><cell r="U464" t="str"><v>DEV-ITP-AZR-FB|CanvasAds|Interesttargeting</v></cell><cell r="V464" t="str"><v>Audience Targeting</v></cell><cell r="W464" t="str"><v>Canvas Ad</v></cell><cell r="X464" t="str"><v>1x1</v></cell></row><row r="464"><cell r="AA464"><v>43286</v></cell><cell r="AB464" t="str"><v>DEU_gaPMG_AZR_AZR_Q1_19_Trial-Social- 39684</v></cell><cell r="AC464"><v>21359477</v></cell><cell r="AD464"><v>720194</v></cell><cell r="AE464" t="str"><v>Facebook</v></cell><cell r="AF464"><v>3654128</v></cell><cell r="AG464" t="str"><v>Facebook»DEV-ITP-AZR-FB|CanvasAds|Interesttargeting»1x1»TextLink»CAN»DT»CPM»AUT»W»NA»SS»NA»39684020-11000</v></cell><cell r="AH464"><v>224009494</v></cell><cell r="AI464" t="str"><v>AzurePlatform_FBCTCBenefit2inMotion-StartFreeCT_DEU_14s_ISV_PLAT_DE_Trial_Standard_STAN_TN_T4_1</v></cell><cell r="AJ464"><v>103237290</v></cell></row><row r="465"><cell r="C465" t="str"><v>43286Facebook»DEV-ITP-AZR-FB|CanvasAds|Interesttargeting»1x1»TextLink»CAN»DT»CPM»AUT»W»NA»SS»NA»39684020-11000</v></cell><cell r="D465" t="str"><v>43286224009494</v></cell><cell r="E465" t="str"><v>43286103350059-11000</v></cell><cell r="F465" t="str"><v>DCM</v></cell><cell r="G465" t="str"><v>https://azure.microsoft.com/de-de/pricing/purchase-options/</v></cell></row><row r="465"><cell r="K465" t="str"><v>July</v></cell><cell r="L465"><v>43288</v></cell><cell r="M465" t="str"><v>Tier 1</v></cell><cell r="N465" t="str"><v>EMEA</v></cell><cell r="O465" t="str"><v>Germany</v></cell><cell r="P465" t="str"><v>Trial</v></cell><cell r="Q465" t="str"><v>Social</v></cell><cell r="R465" t="str"><v>Azure</v></cell><cell r="S465" t="str"><v>Apps & Infra</v></cell><cell r="T465" t="str"><v>Developers & ITI's</v></cell><cell r="U465" t="str"><v>DEV-ITP-AZR-FB|CanvasAds|Interesttargeting</v></cell><cell r="V465" t="str"><v>Audience Targeting</v></cell><cell r="W465" t="str"><v>Canvas Ad</v></cell><cell r="X465" t="str"><v>1x1</v></cell></row><row r="465"><cell r="AA465"><v>43286</v></cell><cell r="AB465" t="str"><v>DEU_gaPMG_AZR_AZR_Q1_19_Trial-Social- 39684</v></cell><cell r="AC465"><v>21359477</v></cell><cell r="AD465"><v>720194</v></cell><cell r="AE465" t="str"><v>Facebook</v></cell><cell r="AF465"><v>3654128</v></cell><cell r="AG465" t="str"><v>Facebook»DEV-ITP-AZR-FB|CanvasAds|Interesttargeting»1x1»TextLink»CAN»DT»CPM»AUT»W»NA»SS»NA»39684020-11000</v></cell><cell r="AH465"><v>224009494</v></cell><cell r="AI465" t="str"><v>AzurePlatform_FBCTCBrandinMotion-BuyNow_DEU_12s_ISV_PLAT_DE_Trial_Standard_STAN_TN_T2_1</v></cell><cell r="AJ465"><v>103350059</v></cell></row><row r="466"><cell r="C466" t="str"><v>43286Facebook»DEV-ITP-AZR-FB|CanvasAds|Interesttargeting»1x1»TextLink»CAN»DT»CPM»AUT»W»NA»SS»NA»39684020-11000</v></cell><cell r="D466" t="str"><v>43286224009494</v></cell><cell r="E466" t="str"><v>43286103237293-11000</v></cell><cell r="F466" t="str"><v>DCM</v></cell><cell r="G466" t="str"><v>https://signup.azure.com/signup?offer=ms-azr-0044p&appId=102&ref=paidmedia-social-fb&redirectURL=https%3a%2f%2fazure.microsoft.com%2fde-de%2fget-started%2fwelcome-to-azure%2f&l=de-de&correlationId=ead86c34-1f10-49dd-a72b-6918462a2cbf</v></cell></row><row r="466"><cell r="K466" t="str"><v>July</v></cell><cell r="L466"><v>43288</v></cell><cell r="M466" t="str"><v>Tier 1</v></cell><cell r="N466" t="str"><v>EMEA</v></cell><cell r="O466" t="str"><v>Germany</v></cell><cell r="P466" t="str"><v>Trial</v></cell><cell r="Q466" t="str"><v>Social</v></cell><cell r="R466" t="str"><v>Azure</v></cell><cell r="S466" t="str"><v>Apps & Infra</v></cell><cell r="T466" t="str"><v>Developers & ITI's</v></cell><cell r="U466" t="str"><v>DEV-ITP-AZR-FB|CanvasAds|Interesttargeting</v></cell><cell r="V466" t="str"><v>Audience Targeting</v></cell><cell r="W466" t="str"><v>Canvas Ad</v></cell><cell r="X466" t="str"><v>1x1</v></cell></row><row r="466"><cell r="AA466"><v>43286</v></cell><cell r="AB466" t="str"><v>DEU_gaPMG_AZR_AZR_Q1_19_Trial-Social- 39684</v></cell><cell r="AC466"><v>21359477</v></cell><cell r="AD466"><v>720194</v></cell><cell r="AE466" t="str"><v>Facebook</v></cell><cell r="AF466"><v>3654128</v></cell><cell r="AG466" t="str"><v>Facebook»DEV-ITP-AZR-FB|CanvasAds|Interesttargeting»1x1»TextLink»CAN»DT»CPM»AUT»W»NA»SS»NA»39684020-11000</v></cell><cell r="AH466"><v>224009494</v></cell><cell r="AI466" t="str"><v>AzurePlatform_FBCTCBrandinMotion-StartFreeCT_DEU_12s_ISV_PLAT_DE_Trial_Standard_STAN_TN_T2_1</v></cell><cell r="AJ466"><v>103237293</v></cell></row><row r="467"><cell r="C467" t="str"><v>43286Facebook»DEV-ITP-AZR-FB|LinkAd|CustomerAudienceRetargeting»1x1»TextLink»LIA»DT»CPM»RT»W»NA»SS»NA»39684019-11000</v></cell><cell r="D467" t="str"><v>43286224010415</v></cell><cell r="E467" t="str"><v>43286103040320-11000</v></cell><cell r="F467" t="str"><v>DCM</v></cell><cell r="G467" t="str"><v>https://azure.microsoft.com/de-de/free/search/</v></cell></row><row r="467"><cell r="K467" t="str"><v>July</v></cell><cell r="L467"><v>43288</v></cell><cell r="M467" t="str"><v>Tier 1</v></cell><cell r="N467" t="str"><v>EMEA</v></cell><cell r="O467" t="str"><v>Germany</v></cell><cell r="P467" t="str"><v>Trial</v></cell><cell r="Q467" t="str"><v>Social</v></cell><cell r="R467" t="str"><v>Azure</v></cell><cell r="S467" t="str"><v>Apps & Infra</v></cell><cell r="T467" t="str"><v>Developers & ITI's</v></cell><cell r="U467" t="str"><v>DEV-ITP-AZR-FB|LinkAd|CustomerAudienceRetargeting</v></cell><cell r="V467" t="str"><v>Retargeting</v></cell><cell r="W467" t="str"><v>Link Ad</v></cell><cell r="X467" t="str"><v>1x1</v></cell></row><row r="467"><cell r="AA467"><v>43286</v></cell><cell r="AB467" t="str"><v>DEU_gaPMG_AZR_AZR_Q1_19_Trial-Social- 39684</v></cell><cell r="AC467"><v>21359477</v></cell><cell r="AD467"><v>720194</v></cell><cell r="AE467" t="str"><v>Facebook</v></cell><cell r="AF467"><v>3654128</v></cell><cell r="AG467" t="str"><v>Facebook»DEV-ITP-AZR-FB|LinkAd|CustomerAudienceRetargeting»1x1»TextLink»LIA»DT»CPM»RT»W»NA»SS»NA»39684019-11000</v></cell><cell r="AH467"><v>224010415</v></cell><cell r="AI467" t="str"><v>AzurePlatform_FreeAcctRetargetingFB-GlobalAlt-ChB_DEU_1200x628_SOC_Plat_DE_Free Account_Standard_NA_SNU_T2_1</v></cell><cell r="AJ467"><v>103040320</v></cell></row><row r="468"><cell r="C468" t="str"><v>43286Facebook»DEV-ITP-AZR-FB|LinkAd|CustomerAudienceRetargeting»1x1»TextLink»LIA»DT»CPM»RT»W»NA»SS»NA»39684019-11000</v></cell><cell r="D468" t="str"><v>43286224010415</v></cell><cell r="E468" t="str"><v>43286103055394-11000</v></cell><cell r="F468" t="str"><v>DCM</v></cell><cell r="G468" t="str"><v>https://azure.microsoft.com/de-de/free/open-source/search/</v></cell></row><row r="468"><cell r="K468" t="str"><v>July</v></cell><cell r="L468"><v>43288</v></cell><cell r="M468" t="str"><v>Tier 1</v></cell><cell r="N468" t="str"><v>EMEA</v></cell><cell r="O468" t="str"><v>Germany</v></cell><cell r="P468" t="str"><v>Trial</v></cell><cell r="Q468" t="str"><v>Social</v></cell><cell r="R468" t="str"><v>Azure</v></cell><cell r="S468" t="str"><v>Apps & Infra</v></cell><cell r="T468" t="str"><v>Developers & ITI's</v></cell><cell r="U468" t="str"><v>DEV-ITP-AZR-FB|LinkAd|CustomerAudienceRetargeting</v></cell><cell r="V468" t="str"><v>Retargeting</v></cell><cell r="W468" t="str"><v>Link Ad</v></cell><cell r="X468" t="str"><v>1x1</v></cell></row><row r="468"><cell r="AA468"><v>43286</v></cell><cell r="AB468" t="str"><v>DEU_gaPMG_AZR_AZR_Q1_19_Trial-Social- 39684</v></cell><cell r="AC468"><v>21359477</v></cell><cell r="AD468"><v>720194</v></cell><cell r="AE468" t="str"><v>Facebook</v></cell><cell r="AF468"><v>3654128</v></cell><cell r="AG468" t="str"><v>Facebook»DEV-ITP-AZR-FB|LinkAd|CustomerAudienceRetargeting»1x1»TextLink»LIA»DT»CPM»RT»W»NA»SS»NA»39684019-11000</v></cell><cell r="AH468"><v>224010415</v></cell><cell r="AI468" t="str"><v>AzurePlatform_FreeAcctRetargetingOSSFB-Text-ChF_DEU_1200x628_SOC_Plat_DE_Free Account_Standard_NA_SNU_T1_1</v></cell><cell r="AJ468"><v>103055394</v></cell></row><row r="469"><cell r="C469" t="str"><v>43286Facebook»DEV-ITP-AZR-FB|LinkAd|CustomerAudienceRetargeting»1x1»TextLink»LIA»DT»CPM»RT»W»NA»SS»NA»39684019-11000</v></cell><cell r="D469" t="str"><v>43286224010415</v></cell><cell r="E469" t="str"><v>43286103043341-11000</v></cell><cell r="F469" t="str"><v>DCM</v></cell><cell r="G469" t="str"><v>https://azure.microsoft.com/de-de/free/virtual-machines/search/</v></cell></row><row r="469"><cell r="K469" t="str"><v>July</v></cell><cell r="L469"><v>43288</v></cell><cell r="M469" t="str"><v>Tier 1</v></cell><cell r="N469" t="str"><v>EMEA</v></cell><cell r="O469" t="str"><v>Germany</v></cell><cell r="P469" t="str"><v>Trial</v></cell><cell r="Q469" t="str"><v>Social</v></cell><cell r="R469" t="str"><v>Azure</v></cell><cell r="S469" t="str"><v>Apps & Infra</v></cell><cell r="T469" t="str"><v>Developers & ITI's</v></cell><cell r="U469" t="str"><v>DEV-ITP-AZR-FB|LinkAd|CustomerAudienceRetargeting</v></cell><cell r="V469" t="str"><v>Retargeting</v></cell><cell r="W469" t="str"><v>Link Ad</v></cell><cell r="X469" t="str"><v>1x1</v></cell></row><row r="469"><cell r="AA469"><v>43286</v></cell><cell r="AB469" t="str"><v>DEU_gaPMG_AZR_AZR_Q1_19_Trial-Social- 39684</v></cell><cell r="AC469"><v>21359477</v></cell><cell r="AD469"><v>720194</v></cell><cell r="AE469" t="str"><v>Facebook</v></cell><cell r="AF469"><v>3654128</v></cell><cell r="AG469" t="str"><v>Facebook»DEV-ITP-AZR-FB|LinkAd|CustomerAudienceRetargeting»1x1»TextLink»LIA»DT»CPM»RT»W»NA»SS»NA»39684019-11000</v></cell><cell r="AH469"><v>224010415</v></cell><cell r="AI469" t="str"><v>AzurePlatform_FreeAcctRetargetingVMFB-750Hrs-ChD_DEU_1200x628_SOC_Plat_DE_Free Account_Standard_NA_SNU_T1_1</v></cell><cell r="AJ469"><v>103043341</v></cell></row><row r="470"><cell r="C470" t="str"><v>43286Facebook»DEV-ITP-AZR-FB|LinkAd|CustomerAudienceRetargeting»1x1»TextLink»LIA»DT»CPM»RT»W»NA»SS»NA»39684019-11000</v></cell><cell r="D470" t="str"><v>43286224010415</v></cell><cell r="E470" t="str"><v>43286103043338-11000</v></cell><cell r="F470" t="str"><v>DCM</v></cell><cell r="G470" t="str"><v>https://azure.microsoft.com/de-de/free/virtual-machines/search/</v></cell></row><row r="470"><cell r="K470" t="str"><v>July</v></cell><cell r="L470"><v>43288</v></cell><cell r="M470" t="str"><v>Tier 1</v></cell><cell r="N470" t="str"><v>EMEA</v></cell><cell r="O470" t="str"><v>Germany</v></cell><cell r="P470" t="str"><v>Trial</v></cell><cell r="Q470" t="str"><v>Social</v></cell><cell r="R470" t="str"><v>Azure</v></cell><cell r="S470" t="str"><v>Apps & Infra</v></cell><cell r="T470" t="str"><v>Developers & ITI's</v></cell><cell r="U470" t="str"><v>DEV-ITP-AZR-FB|LinkAd|CustomerAudienceRetargeting</v></cell><cell r="V470" t="str"><v>Retargeting</v></cell><cell r="W470" t="str"><v>Link Ad</v></cell><cell r="X470" t="str"><v>1x1</v></cell></row><row r="470"><cell r="AA470"><v>43286</v></cell><cell r="AB470" t="str"><v>DEU_gaPMG_AZR_AZR_Q1_19_Trial-Social- 39684</v></cell><cell r="AC470"><v>21359477</v></cell><cell r="AD470"><v>720194</v></cell><cell r="AE470" t="str"><v>Facebook</v></cell><cell r="AF470"><v>3654128</v></cell><cell r="AG470" t="str"><v>Facebook»DEV-ITP-AZR-FB|LinkAd|CustomerAudienceRetargeting»1x1»TextLink»LIA»DT»CPM»RT»W»NA»SS»NA»39684019-11000</v></cell><cell r="AH470"><v>224010415</v></cell><cell r="AI470" t="str"><v>AzurePlatform_FreeAcctRetargetingVMFB-OnDemand-ChE_DEU_1200x628_SOC_Plat_DE_Free Account_Standard_NA_SNU_T2_1</v></cell><cell r="AJ470"><v>103043338</v></cell></row><row r="471"><cell r="C471" t="str"><v>43286Facebook»Developers/ITPros-Azure Direct-Sponsored Post-Canvas-FBCTCcanvaspage-BuyNowCTA-Img3_FBCTCBasicMotion_FRA_10sec»1x1»Canvas»SOC»ALL»CPC»BT»D»UNK»SS»NA»Trials</v></cell><cell r="D471" t="str"><v>43286224369893</v></cell><cell r="E471" t="str"><v>43286103256571Trials</v></cell><cell r="F471" t="str"><v>DCM</v></cell><cell r="G471" t="str"><v>https://azure.microsoft.com/fr-fr/pricing/purchase-options/</v></cell></row><row r="471"><cell r="K471" t="str"><v>July</v></cell><cell r="L471"><v>43288</v></cell><cell r="M471" t="str"><v>Tier 1</v></cell><cell r="N471" t="str"><v>EMEA</v></cell><cell r="O471" t="str"><v>France</v></cell><cell r="P471" t="str"><v>Trial</v></cell><cell r="Q471" t="str"><v>Social</v></cell><cell r="R471" t="str"><v>Azure</v></cell><cell r="S471" t="str"><v>Apps & Infra</v></cell><cell r="T471" t="str"><v>Developers & ITI's</v></cell><cell r="U471" t="str"><v>Developers/ITPros-Azure Direct-Sponsored Post-Canvas-FBCTCcanvaspage-BuyNowCTA-Img3_FBCTCBasicMotion_FRA_10sec</v></cell><cell r="V471" t="str"><v>Behavioral Targeting</v></cell><cell r="W471" t="str"><v>Social</v></cell><cell r="X471" t="str"><v>1x1</v></cell></row><row r="471"><cell r="AA471"><v>43286</v></cell><cell r="AB471" t="str"><v>FRA_gaPMG_AZR_AZR_Q1_19_AzureDirect-Trial-Social</v></cell><cell r="AC471"><v>21356941</v></cell><cell r="AD471"><v>720193</v></cell><cell r="AE471" t="str"><v>Facebook</v></cell><cell r="AF471"><v>3654128</v></cell><cell r="AG471" t="str"><v>Facebook»Developers/ITPros-Azure Direct-Sponsored Post-Canvas-FBCTCcanvaspage-BuyNowCTA-Img3_FBCTCBasicMotion_FRA_10sec»1x1»Canvas»SOC»ALL»CPC»BT»D»UNK»SS»NA»Trials</v></cell><cell r="AH471"><v>224369893</v></cell><cell r="AI471" t="str"><v>AZR_FBCTCcanvaspage-BuyNowCTA-Img3_FRA_1080x162_SOC_AZRDirect_French_NA_Facebook_SBAN_BN_T3_1</v></cell><cell r="AJ471"><v>103256571</v></cell></row><row r="472"><cell r="C472" t="str"><v>43286Facebook»Developers/ITPros-Azure Direct-Sponsored Post-Canvas-FBCTCcanvaspage-StartFreeCTA-Img2_FBCTCBasicMotion_FRA_10sec»1x1»Canvas»SOC»ALL»CPC»BT»D»UNK»SS»NA»Trials</v></cell><cell r="D472" t="str"><v>43286224560884</v></cell><cell r="E472" t="str"><v>43286103259958Trials</v></cell><cell r="F472" t="str"><v>DCM</v></cell><cell r="G472" t="str"><v>https://signup.azure.com/signup?offer=ms-azr-0044p&appId=102&ref=paidmedia-social-fb&redirectURL=https%3a%2f%2fazure.microsoft.com%2ffr-fr%2fget-started%2fwelcome-to-azure%2f&l=fr-fr&correlationId=ead86c34-1f10-49dd-a72b-6918462a2cbf</v></cell></row><row r="472"><cell r="K472" t="str"><v>July</v></cell><cell r="L472"><v>43288</v></cell><cell r="M472" t="str"><v>Tier 1</v></cell><cell r="N472" t="str"><v>EMEA</v></cell><cell r="O472" t="str"><v>France</v></cell><cell r="P472" t="str"><v>Trial</v></cell><cell r="Q472" t="str"><v>Social</v></cell><cell r="R472" t="str"><v>Azure</v></cell><cell r="S472" t="str"><v>Apps & Infra</v></cell><cell r="T472" t="str"><v>Developers & ITI's</v></cell><cell r="U472" t="str"><v>Developers/ITPros-Azure Direct-Sponsored Post-Canvas-FBCTCcanvaspage-StartFreeCTA-Img2_FBCTCBasicMotion_FRA_10sec</v></cell><cell r="V472" t="str"><v>Behavioral Targeting</v></cell><cell r="W472" t="str"><v>Social</v></cell><cell r="X472" t="str"><v>1x1</v></cell></row><row r="472"><cell r="AA472"><v>43286</v></cell><cell r="AB472" t="str"><v>FRA_gaPMG_AZR_AZR_Q1_19_AzureDirect-Trial-Social</v></cell><cell r="AC472"><v>21356941</v></cell><cell r="AD472"><v>720193</v></cell><cell r="AE472" t="str"><v>Facebook</v></cell><cell r="AF472"><v>3654128</v></cell><cell r="AG472" t="str"><v>Facebook»Developers/ITPros-Azure Direct-Sponsored Post-Canvas-FBCTCcanvaspage-StartFreeCTA-Img2_FBCTCBasicMotion_FRA_10sec»1x1»Canvas»SOC»ALL»CPC»BT»D»UNK»SS»NA»Trials</v></cell><cell r="AH472"><v>224560884</v></cell><cell r="AI472" t="str"><v>AZR_FBCTCcanvaspage-StartFreeCTA-Img2_FRA_1080x143_SOC_AZRDirect_French_NA_Facebook_SBAN_BN_T2_1</v></cell><cell r="AJ472"><v>103259958</v></cell></row><row r="473"><cell r="C473" t="str"><v>43286Facebook»Developers/ITPros-Azure Direct-Sponsored Post-Canvas-FBCTCcanvaspage-StartFreeCTA-Img2_FBCTCBrandinMotion_FRA_12sec»1x1»Canvas»SOC»ALL»CPC»BT»D»UNK»SS»NA»Trials</v></cell><cell r="D473" t="str"><v>43286224560878</v></cell><cell r="E473" t="str"><v>43286103259958Trials</v></cell><cell r="F473" t="str"><v>DCM</v></cell><cell r="G473" t="str"><v>https://signup.azure.com/signup?offer=ms-azr-0044p&appId=102&ref=paidmedia-social-fb&redirectURL=https%3a%2f%2fazure.microsoft.com%2ffr-fr%2fget-started%2fwelcome-to-azure%2f&l=fr-fr&correlationId=ead86c34-1f10-49dd-a72b-6918462a2cbf</v></cell></row><row r="473"><cell r="K473" t="str"><v>July</v></cell><cell r="L473"><v>43288</v></cell><cell r="M473" t="str"><v>Tier 1</v></cell><cell r="N473" t="str"><v>EMEA</v></cell><cell r="O473" t="str"><v>France</v></cell><cell r="P473" t="str"><v>Trial</v></cell><cell r="Q473" t="str"><v>Social</v></cell><cell r="R473" t="str"><v>Azure</v></cell><cell r="S473" t="str"><v>Apps & Infra</v></cell><cell r="T473" t="str"><v>Developers & ITI's</v></cell><cell r="U473" t="str"><v>Developers/ITPros-Azure Direct-Sponsored Post-Canvas-FBCTCcanvaspage-StartFreeCTA-Img2_FBCTCBrandinMotion_FRA_12sec</v></cell><cell r="V473" t="str"><v>Behavioral Targeting</v></cell><cell r="W473" t="str"><v>Social</v></cell><cell r="X473" t="str"><v>1x1</v></cell></row><row r="473"><cell r="AA473"><v>43286</v></cell><cell r="AB473" t="str"><v>FRA_gaPMG_AZR_AZR_Q1_19_AzureDirect-Trial-Social</v></cell><cell r="AC473"><v>21356941</v></cell><cell r="AD473"><v>720193</v></cell><cell r="AE473" t="str"><v>Facebook</v></cell><cell r="AF473"><v>3654128</v></cell><cell r="AG473" t="str"><v>Facebook»Developers/ITPros-Azure Direct-Sponsored Post-Canvas-FBCTCcanvaspage-StartFreeCTA-Img2_FBCTCBrandinMotion_FRA_12sec»1x1»Canvas»SOC»ALL»CPC»BT»D»UNK»SS»NA»Trials</v></cell><cell r="AH473"><v>224560878</v></cell><cell r="AI473" t="str"><v>AZR_FBCTCcanvaspage-StartFreeCTA-Img2_FRA_1080x143_SOC_AZRDirect_French_NA_Facebook_SBAN_BN_T2_1</v></cell><cell r="AJ473"><v>103259958</v></cell></row><row r="474"><cell r="C474" t="str"><v>43286Facebook»Developers/ITPros-Azure Direct-Sponsored Post-Canvas-FBCTCcanvaspage-StartFreeCTA-Img2_FBCTCBrandinMotion_FRA_14sec»1x1»Canvas»SOC»ALL»CPC»BT»D»UNK»SS»NA»Trials</v></cell><cell r="D474" t="str"><v>43286224560872</v></cell><cell r="E474" t="str"><v>43286103259958Trials</v></cell><cell r="F474" t="str"><v>DCM</v></cell><cell r="G474" t="str"><v>https://signup.azure.com/signup?offer=ms-azr-0044p&appId=102&ref=paidmedia-social-fb&redirectURL=https%3a%2f%2fazure.microsoft.com%2ffr-fr%2fget-started%2fwelcome-to-azure%2f&l=fr-fr&correlationId=ead86c34-1f10-49dd-a72b-6918462a2cbf</v></cell></row><row r="474"><cell r="K474" t="str"><v>July</v></cell><cell r="L474"><v>43288</v></cell><cell r="M474" t="str"><v>Tier 1</v></cell><cell r="N474" t="str"><v>EMEA</v></cell><cell r="O474" t="str"><v>France</v></cell><cell r="P474" t="str"><v>Trial</v></cell><cell r="Q474" t="str"><v>Social</v></cell><cell r="R474" t="str"><v>Azure</v></cell><cell r="S474" t="str"><v>Apps & Infra</v></cell><cell r="T474" t="str"><v>Developers & ITI's</v></cell><cell r="U474" t="str"><v>Developers/ITPros-Azure Direct-Sponsored Post-Canvas-FBCTCcanvaspage-StartFreeCTA-Img2_FBCTCBrandinMotion_FRA_14sec</v></cell><cell r="V474" t="str"><v>Behavioral Targeting</v></cell><cell r="W474" t="str"><v>Social</v></cell><cell r="X474" t="str"><v>1x1</v></cell></row><row r="474"><cell r="AA474"><v>43286</v></cell><cell r="AB474" t="str"><v>FRA_gaPMG_AZR_AZR_Q1_19_AzureDirect-Trial-Social</v></cell><cell r="AC474"><v>21356941</v></cell><cell r="AD474"><v>720193</v></cell><cell r="AE474" t="str"><v>Facebook</v></cell><cell r="AF474"><v>3654128</v></cell><cell r="AG474" t="str"><v>Facebook»Developers/ITPros-Azure Direct-Sponsored Post-Canvas-FBCTCcanvaspage-StartFreeCTA-Img2_FBCTCBrandinMotion_FRA_14sec»1x1»Canvas»SOC»ALL»CPC»BT»D»UNK»SS»NA»Trials</v></cell><cell r="AH474"><v>224560872</v></cell><cell r="AI474" t="str"><v>AZR_FBCTCcanvaspage-StartFreeCTA-Img2_FRA_1080x143_SOC_AZRDirect_French_NA_Facebook_SBAN_BN_T2_1</v></cell><cell r="AJ474"><v>103259958</v></cell></row><row r="475"><cell r="C475" t="str"><v>43286Facebook»Developers/ITPros-Azure Direct-Sponsored Post-Link Ad-FreeAcctRetargetingFB-GlobalAlt-ChB»1x1»SocialBan»SOC»ALL»CPC»BT»D»UNK»SS»NA»Trials</v></cell><cell r="D475" t="str"><v>43286224560845</v></cell><cell r="E475" t="str"><v>43286103259520Trials</v></cell><cell r="F475" t="str"><v>DCM</v></cell><cell r="G475" t="str"><v>https://azure.microsoft.com/fr-fr/free/search/</v></cell></row><row r="475"><cell r="K475" t="str"><v>July</v></cell><cell r="L475"><v>43288</v></cell><cell r="M475" t="str"><v>Tier 1</v></cell><cell r="N475" t="str"><v>EMEA</v></cell><cell r="O475" t="str"><v>France</v></cell><cell r="P475" t="str"><v>Trial</v></cell><cell r="Q475" t="str"><v>Social</v></cell><cell r="R475" t="str"><v>Azure</v></cell><cell r="S475" t="str"><v>Apps & Infra</v></cell><cell r="T475" t="str"><v>Developers & ITI's</v></cell><cell r="U475" t="str"><v>Developers/ITPros-Azure Direct-Sponsored Post-Link Ad-FreeAcctRetargetingFB-GlobalAlt-ChB</v></cell><cell r="V475" t="str"><v>Behavioral Targeting</v></cell><cell r="W475" t="str"><v>Social</v></cell><cell r="X475" t="str"><v>1x1</v></cell></row><row r="475"><cell r="AA475"><v>43286</v></cell><cell r="AB475" t="str"><v>FRA_gaPMG_AZR_AZR_Q1_19_AzureDirect-Trial-Social</v></cell><cell r="AC475"><v>21356941</v></cell><cell r="AD475"><v>720193</v></cell><cell r="AE475" t="str"><v>Facebook</v></cell><cell r="AF475"><v>3654128</v></cell><cell r="AG475" t="str"><v>Facebook»Developers/ITPros-Azure Direct-Sponsored Post-Link Ad-FreeAcctRetargetingFB-GlobalAlt-ChB»1x1»SocialBan»SOC»ALL»CPC»BT»D»UNK»SS»NA»Trials</v></cell><cell r="AH475"><v>224560845</v></cell><cell r="AI475" t="str"><v>AZR_FreeAcctRetargetingFB-GlobalAlt-ChB_FRA_1200x628_SOC_AZRDirect_French_NA_Facebook_SBAN_SINU_T2_1</v></cell><cell r="AJ475"><v>103259520</v></cell></row><row r="476"><cell r="C476" t="str"><v>43286Facebook»Developers/ITPros-Azure Direct-Sponsored Post-Link Ad-FreeAcctRetargetingVMFB-750Hrs-ChD»1x1»SocialBan»SOC»ALL»CPC»BT»D»UNK»SS»NA»Trials</v></cell><cell r="D476" t="str"><v>43286224560836</v></cell><cell r="E476" t="str"><v>43286103259010Trials</v></cell><cell r="F476" t="str"><v>DCM</v></cell><cell r="G476" t="str"><v>https://azure.microsoft.com/fr-fr/free/virtual-machines/search/</v></cell></row><row r="476"><cell r="K476" t="str"><v>July</v></cell><cell r="L476"><v>43288</v></cell><cell r="M476" t="str"><v>Tier 1</v></cell><cell r="N476" t="str"><v>EMEA</v></cell><cell r="O476" t="str"><v>France</v></cell><cell r="P476" t="str"><v>Trial</v></cell><cell r="Q476" t="str"><v>Social</v></cell><cell r="R476" t="str"><v>Azure</v></cell><cell r="S476" t="str"><v>Apps & Infra</v></cell><cell r="T476" t="str"><v>Developers & ITI's</v></cell><cell r="U476" t="str"><v>Developers/ITPros-Azure Direct-Sponsored Post-Link Ad-FreeAcctRetargetingVMFB-750Hrs-ChD</v></cell><cell r="V476" t="str"><v>Behavioral Targeting</v></cell><cell r="W476" t="str"><v>Social</v></cell><cell r="X476" t="str"><v>1x1</v></cell></row><row r="476"><cell r="AA476"><v>43286</v></cell><cell r="AB476" t="str"><v>FRA_gaPMG_AZR_AZR_Q1_19_AzureDirect-Trial-Social</v></cell><cell r="AC476"><v>21356941</v></cell><cell r="AD476"><v>720193</v></cell><cell r="AE476" t="str"><v>Facebook</v></cell><cell r="AF476"><v>3654128</v></cell><cell r="AG476" t="str"><v>Facebook»Developers/ITPros-Azure Direct-Sponsored Post-Link Ad-FreeAcctRetargetingVMFB-750Hrs-ChD»1x1»SocialBan»SOC»ALL»CPC»BT»D»UNK»SS»NA»Trials</v></cell><cell r="AH476"><v>224560836</v></cell><cell r="AI476" t="str"><v>AZR_FreeAcctRetargetingVMFB-750Hrs-ChD_FRA_1200x628_SOC_AZRDirect_French_NA_Facebook_SBAN_SINU_T1_1</v></cell><cell r="AJ476"><v>103259010</v></cell></row><row r="477"><cell r="C477" t="str"><v>43286Facebook»Developers/ITPros-Azure Direct-Sponsored Post-Video Ad-FBCTCBasicMotion_FRA_10s_RTG Landing Page»1x1»05s»SOC»ALL»CPC»BT»D»UNK»SS»NA»Trials</v></cell><cell r="D477" t="str"><v>43286224416915</v></cell><cell r="E477" t="str"><v>43286103376981Trials</v></cell><cell r="F477" t="str"><v>DCM</v></cell></row><row r="477"><cell r="K477" t="str"><v>July</v></cell><cell r="L477"><v>43288</v></cell><cell r="M477" t="str"><v>Tier 1</v></cell><cell r="N477" t="str"><v>EMEA</v></cell><cell r="O477" t="str"><v>France</v></cell><cell r="P477" t="str"><v>Trial</v></cell><cell r="Q477" t="str"><v>Social</v></cell><cell r="R477" t="str"><v>Azure</v></cell><cell r="S477" t="str"><v>Apps & Infra</v></cell><cell r="T477" t="str"><v>Developers & ITI's</v></cell><cell r="U477" t="str"><v>Developers/ITPros-Azure Direct-Sponsored Post-Video Ad-FBCTCBasicMotion_FRA_10s_RTG Landing Page</v></cell><cell r="V477" t="str"><v>Behavioral Targeting</v></cell><cell r="W477" t="str"><v>Social</v></cell><cell r="X477" t="str"><v>1x1</v></cell></row><row r="477"><cell r="AA477"><v>43286</v></cell><cell r="AB477" t="str"><v>FRA_gaPMG_AZR_AZR_Q1_19_AzureDirect-Trial-Social</v></cell><cell r="AC477"><v>21356941</v></cell><cell r="AD477"><v>720193</v></cell><cell r="AE477" t="str"><v>Facebook</v></cell><cell r="AF477"><v>3654128</v></cell><cell r="AG477" t="str"><v>Facebook»Developers/ITPros-Azure Direct-Sponsored Post-Video Ad-FBCTCBasicMotion_FRA_10s_RTG Landing Page»1x1»05s»SOC»ALL»CPC»BT»D»UNK»SS»NA»Trials</v></cell><cell r="AH477"><v>224416915</v></cell><cell r="AI477" t="str"><v>AZR_FBCTCBasicMotion_FRA_10s_VIA_AZRDirect_French_NA_Facebook_STAN_TIN_T1_1</v></cell><cell r="AJ477"><v>103376981</v></cell></row><row r="478"><cell r="C478" t="str"><v>43286Facebook»Developers/ITPros-Azure Direct-Sponsored Post-Video Ad-FBCTCBenefit2inMotion_FRA_14s_RTG Landing Page»1x1»06s»SOC»ALL»CPC»BT»D»UNK»SS»NA»Trials</v></cell><cell r="D478" t="str"><v>43286224560875</v></cell><cell r="E478" t="str"><v>43286103259766Trials</v></cell><cell r="F478" t="str"><v>DCM</v></cell><cell r="G478" t="str"><v>https://signup.azure.com/signup?offer=ms-azr-0044p&appId=102&ref=paidmedia-social-fb&redirectURL=https:%2F%2Fazure.microsoft.com%2Ffr-fr%2Fget-started%2Fwelcome-to-azure%2F&l=fr-fr&correlationId=ead86c34-1f10-49dd-a72b-6918462a2cbf</v></cell></row><row r="478"><cell r="K478" t="str"><v>July</v></cell><cell r="L478"><v>43288</v></cell><cell r="M478" t="str"><v>Tier 1</v></cell><cell r="N478" t="str"><v>EMEA</v></cell><cell r="O478" t="str"><v>France</v></cell><cell r="P478" t="str"><v>Trial</v></cell><cell r="Q478" t="str"><v>Social</v></cell><cell r="R478" t="str"><v>Azure</v></cell><cell r="S478" t="str"><v>Apps & Infra</v></cell><cell r="T478" t="str"><v>Developers & ITI's</v></cell><cell r="U478" t="str"><v>Developers/ITPros-Azure Direct-Sponsored Post-Video Ad-FBCTCBenefit2inMotion_FRA_14s_RTG Landing Page</v></cell><cell r="V478" t="str"><v>Behavioral Targeting</v></cell><cell r="W478" t="str"><v>Social</v></cell><cell r="X478" t="str"><v>1x1</v></cell></row><row r="478"><cell r="AA478"><v>43286</v></cell><cell r="AB478" t="str"><v>FRA_gaPMG_AZR_AZR_Q1_19_AzureDirect-Trial-Social</v></cell><cell r="AC478"><v>21356941</v></cell><cell r="AD478"><v>720193</v></cell><cell r="AE478" t="str"><v>Facebook</v></cell><cell r="AF478"><v>3654128</v></cell><cell r="AG478" t="str"><v>Facebook»Developers/ITPros-Azure Direct-Sponsored Post-Video Ad-FBCTCBenefit2inMotion_FRA_14s_RTG Landing Page»1x1»06s»SOC»ALL»CPC»BT»D»UNK»SS»NA»Trials</v></cell><cell r="AH478"><v>224560875</v></cell><cell r="AI478" t="str"><v>AZR_FBCTCBenefit2inMotion_FRA_14s_VIA_AZRDirect_French_NA_Facebook_STAN_TIN_T4_1</v></cell><cell r="AJ478"><v>103259766</v></cell></row><row r="479"><cell r="C479" t="str"><v>43286Facebook»Developers/ITPros-Azure Direct-Sponsored Post-Video Ad-FBCTCBrandinMotion_FRA_12s_RTG Landing Page»1x1»05s»SOC»ALL»CPC»BT»D»UNK»SS»NA»Trials</v></cell><cell r="D479" t="str"><v>43286224560863</v></cell><cell r="E479" t="str"><v>43286103256577Trials</v></cell><cell r="F479" t="str"><v>DCM</v></cell></row><row r="479"><cell r="K479" t="str"><v>July</v></cell><cell r="L479"><v>43288</v></cell><cell r="M479" t="str"><v>Tier 1</v></cell><cell r="N479" t="str"><v>EMEA</v></cell><cell r="O479" t="str"><v>France</v></cell><cell r="P479" t="str"><v>Trial</v></cell><cell r="Q479" t="str"><v>Social</v></cell><cell r="R479" t="str"><v>Azure</v></cell><cell r="S479" t="str"><v>Apps & Infra</v></cell><cell r="T479" t="str"><v>Developers & ITI's</v></cell><cell r="U479" t="str"><v>Developers/ITPros-Azure Direct-Sponsored Post-Video Ad-FBCTCBrandinMotion_FRA_12s_RTG Landing Page</v></cell><cell r="V479" t="str"><v>Behavioral Targeting</v></cell><cell r="W479" t="str"><v>Social</v></cell><cell r="X479" t="str"><v>1x1</v></cell></row><row r="479"><cell r="AA479"><v>43286</v></cell><cell r="AB479" t="str"><v>FRA_gaPMG_AZR_AZR_Q1_19_AzureDirect-Trial-Social</v></cell><cell r="AC479"><v>21356941</v></cell><cell r="AD479"><v>720193</v></cell><cell r="AE479" t="str"><v>Facebook</v></cell><cell r="AF479"><v>3654128</v></cell><cell r="AG479" t="str"><v>Facebook»Developers/ITPros-Azure Direct-Sponsored Post-Video Ad-FBCTCBrandinMotion_FRA_12s_RTG Landing Page»1x1»05s»SOC»ALL»CPC»BT»D»UNK»SS»NA»Trials</v></cell><cell r="AH479"><v>224560863</v></cell><cell r="AI479" t="str"><v>AZR_FBCTCBrandinMotion_FRA_12s_VIA_AZRDirect_French_NA_Facebook_STAN_TIN_T2_1</v></cell><cell r="AJ479"><v>103256577</v></cell></row><row r="480"><cell r="C480" t="str"><v>43286Facebook»Developers/ITPros-Azure Direct-Sponsored Post-Canvas-FBCTCcanvaspage-BuyNowCTA-Img3_FBCTCBrandinMotion_FRA_12sec»1x1»Canvas»SOC»ALL»CPC»BT»D»UNK»SS»NA»Trials</v></cell><cell r="D480" t="str"><v>43286224416924</v></cell><cell r="E480" t="str"><v>43286103256571Trials</v></cell><cell r="F480" t="str"><v>DCM</v></cell><cell r="G480" t="str"><v>https://azure.microsoft.com/fr-fr/pricing/purchase-options/</v></cell></row><row r="480"><cell r="K480" t="str"><v>July</v></cell><cell r="L480"><v>43288</v></cell><cell r="M480" t="str"><v>Tier 1</v></cell><cell r="N480" t="str"><v>EMEA</v></cell><cell r="O480" t="str"><v>France</v></cell><cell r="P480" t="str"><v>Trial</v></cell><cell r="Q480" t="str"><v>Social</v></cell><cell r="R480" t="str"><v>Azure</v></cell><cell r="S480" t="str"><v>Apps & Infra</v></cell><cell r="T480" t="str"><v>Developers & ITI's</v></cell><cell r="U480" t="str"><v>Developers/ITPros-Azure Direct-Sponsored Post-Canvas-FBCTCcanvaspage-BuyNowCTA-Img3_FBCTCBrandinMotion_FRA_12sec</v></cell><cell r="V480" t="str"><v>Behavioral Targeting</v></cell><cell r="W480" t="str"><v>Social</v></cell><cell r="X480" t="str"><v>1x1</v></cell></row><row r="480"><cell r="AA480"><v>43286</v></cell><cell r="AB480" t="str"><v>FRA_gaPMG_AZR_AZR_Q1_19_AzureDirect-Trial-Social</v></cell><cell r="AC480"><v>21356941</v></cell><cell r="AD480"><v>720193</v></cell><cell r="AE480" t="str"><v>Facebook</v></cell><cell r="AF480"><v>3654128</v></cell><cell r="AG480" t="str"><v>Facebook»Developers/ITPros-Azure Direct-Sponsored Post-Canvas-FBCTCcanvaspage-BuyNowCTA-Img3_FBCTCBrandinMotion_FRA_12sec»1x1»Canvas»SOC»ALL»CPC»BT»D»UNK»SS»NA»Trials</v></cell><cell r="AH480"><v>224416924</v></cell><cell r="AI480" t="str"><v>AZR_FBCTCcanvaspage-BuyNowCTA-Img3_FRA_1080x162_SOC_AZRDirect_French_NA_Facebook_SBAN_BN_T3_1</v></cell><cell r="AJ480"><v>103256571</v></cell></row><row r="481"><cell r="C481" t="str"><v>43286Facebook»Developers/ITPros-Azure Direct-Sponsored Post-Link Ad-FreeAcctAppsFACEBOOK12monthsChE»1x1»SocialBan»SOC»ALL»CPC»BT»D»UNK»SS»NA»Trials</v></cell><cell r="D481" t="str"><v>43286224560866</v></cell><cell r="E481" t="str"><v>43286103259784Trials</v></cell><cell r="F481" t="str"><v>DCM</v></cell><cell r="G481" t="str"><v>https://azure.microsoft.com/fr-fr/free/search/</v></cell></row><row r="481"><cell r="K481" t="str"><v>July</v></cell><cell r="L481"><v>43288</v></cell><cell r="M481" t="str"><v>Tier 1</v></cell><cell r="N481" t="str"><v>EMEA</v></cell><cell r="O481" t="str"><v>France</v></cell><cell r="P481" t="str"><v>Trial</v></cell><cell r="Q481" t="str"><v>Social</v></cell><cell r="R481" t="str"><v>Azure</v></cell><cell r="S481" t="str"><v>Apps & Infra</v></cell><cell r="T481" t="str"><v>Developers & ITI's</v></cell><cell r="U481" t="str"><v>Developers/ITPros-Azure Direct-Sponsored Post-Link Ad-FreeAcctAppsFACEBOOK12monthsChE</v></cell><cell r="V481" t="str"><v>Behavioral Targeting</v></cell><cell r="W481" t="str"><v>Social</v></cell><cell r="X481" t="str"><v>1x1</v></cell></row><row r="481"><cell r="AA481"><v>43286</v></cell><cell r="AB481" t="str"><v>FRA_gaPMG_AZR_AZR_Q1_19_AzureDirect-Trial-Social</v></cell><cell r="AC481"><v>21356941</v></cell><cell r="AD481"><v>720193</v></cell><cell r="AE481" t="str"><v>Facebook</v></cell><cell r="AF481"><v>3654128</v></cell><cell r="AG481" t="str"><v>Facebook»Developers/ITPros-Azure Direct-Sponsored Post-Link Ad-FreeAcctAppsFACEBOOK12monthsChE»1x1»SocialBan»SOC»ALL»CPC»BT»D»UNK»SS»NA»Trials</v></cell><cell r="AH481"><v>224560866</v></cell><cell r="AI481" t="str"><v>AZR_FreeAcctAppsFACEBOOK12monthsChE_FRA_1200x628_SOC_PLAT_FR_Trial_Standard_NA_SINU_T5_1</v></cell><cell r="AJ481"><v>103259784</v></cell></row><row r="482"><cell r="C482" t="str"><v>43286Facebook»Developers/ITPros-Azure Direct-Sponsored Post-Link Ad-FreeAcctAppsFACEBOOK200CreditChD»1x1»SocialBan»SOC»ALL»CPC»BT»D»UNK»SS»NA»Trials</v></cell><cell r="D482" t="str"><v>43286224560860</v></cell><cell r="E482" t="str"><v>43286103377773Trials</v></cell><cell r="F482" t="str"><v>DCM</v></cell><cell r="G482" t="str"><v>https://azure.microsoft.com/fr-fr/free/search/</v></cell></row><row r="482"><cell r="K482" t="str"><v>July</v></cell><cell r="L482"><v>43288</v></cell><cell r="M482" t="str"><v>Tier 1</v></cell><cell r="N482" t="str"><v>EMEA</v></cell><cell r="O482" t="str"><v>France</v></cell><cell r="P482" t="str"><v>Trial</v></cell><cell r="Q482" t="str"><v>Social</v></cell><cell r="R482" t="str"><v>Azure</v></cell><cell r="S482" t="str"><v>Apps & Infra</v></cell><cell r="T482" t="str"><v>Developers & ITI's</v></cell><cell r="U482" t="str"><v>Developers/ITPros-Azure Direct-Sponsored Post-Link Ad-FreeAcctAppsFACEBOOK200CreditChD</v></cell><cell r="V482" t="str"><v>Behavioral Targeting</v></cell><cell r="W482" t="str"><v>Social</v></cell><cell r="X482" t="str"><v>1x1</v></cell></row><row r="482"><cell r="AA482"><v>43286</v></cell><cell r="AB482" t="str"><v>FRA_gaPMG_AZR_AZR_Q1_19_AzureDirect-Trial-Social</v></cell><cell r="AC482"><v>21356941</v></cell><cell r="AD482"><v>720193</v></cell><cell r="AE482" t="str"><v>Facebook</v></cell><cell r="AF482"><v>3654128</v></cell><cell r="AG482" t="str"><v>Facebook»Developers/ITPros-Azure Direct-Sponsored Post-Link Ad-FreeAcctAppsFACEBOOK200CreditChD»1x1»SocialBan»SOC»ALL»CPC»BT»D»UNK»SS»NA»Trials</v></cell><cell r="AH482"><v>224560860</v></cell><cell r="AI482" t="str"><v>AZR_FreeAcctAppsFACEBOOK200CreditChD_FRA_1200x628_SOC_PLAT_FR_Trial_Standard_NA_SINU_T4_1</v></cell><cell r="AJ482"><v>103377773</v></cell></row><row r="483"><cell r="C483" t="str"><v>43286Facebook»Developers/ITPros-Azure Direct-Sponsored Post-Link Ad-FreeAcctAppsFACEBOOKDeviceChB»1x1»SocialBan»SOC»ALL»CPC»AUT»D»UNK»SS»NA»Trials</v></cell><cell r="D483" t="str"><v>43286224560857</v></cell><cell r="E483" t="str"><v>43286103377002Trials</v></cell><cell r="F483" t="str"><v>DCM</v></cell><cell r="G483" t="str"><v>https://azure.microsoft.com/fr-fr/free/search/</v></cell></row><row r="483"><cell r="K483" t="str"><v>July</v></cell><cell r="L483"><v>43288</v></cell><cell r="M483" t="str"><v>Tier 1</v></cell><cell r="N483" t="str"><v>EMEA</v></cell><cell r="O483" t="str"><v>France</v></cell><cell r="P483" t="str"><v>Trial</v></cell><cell r="Q483" t="str"><v>Social</v></cell><cell r="R483" t="str"><v>Azure</v></cell><cell r="S483" t="str"><v>Apps & Infra</v></cell><cell r="T483" t="str"><v>Developers & ITI's</v></cell><cell r="U483" t="str"><v>Developers/ITPros-Azure Direct-Sponsored Post-Link Ad-FreeAcctAppsFACEBOOKDeviceChB</v></cell><cell r="V483" t="str"><v>Audience Targeting</v></cell><cell r="W483" t="str"><v>Social</v></cell><cell r="X483" t="str"><v>1x1</v></cell></row><row r="483"><cell r="AA483"><v>43286</v></cell><cell r="AB483" t="str"><v>FRA_gaPMG_AZR_AZR_Q1_19_AzureDirect-Trial-Social</v></cell><cell r="AC483"><v>21356941</v></cell><cell r="AD483"><v>720193</v></cell><cell r="AE483" t="str"><v>Facebook</v></cell><cell r="AF483"><v>3654128</v></cell><cell r="AG483" t="str"><v>Facebook»Developers/ITPros-Azure Direct-Sponsored Post-Link Ad-FreeAcctAppsFACEBOOKDeviceChB»1x1»SocialBan»SOC»ALL»CPC»AUT»D»UNK»SS»NA»Trials</v></cell><cell r="AH483"><v>224560857</v></cell><cell r="AI483" t="str"><v>AZR_FreeAcctAppsFACEBOOKDeviceChB_FRA_1200x628_SOC_PLAT_FR_Trial_Standard_NA_SINU_T2_1</v></cell><cell r="AJ483"><v>103377002</v></cell></row><row r="484"><cell r="C484" t="str"><v>43286Facebook»Developers/ITPros-Azure Direct-Sponsored Post-Link Ad-FreeAcctAppsFACEBOOKIllustrationChC»1x1»SocialBan»SOC»ALL»CPC»AUT»D»UNK»SS»NA»Trials</v></cell><cell r="D484" t="str"><v>43286224560854</v></cell><cell r="E484" t="str"><v>43286103259550Trials</v></cell><cell r="F484" t="str"><v>DCM</v></cell><cell r="G484" t="str"><v>https://azure.microsoft.com/fr-fr/free/search/</v></cell></row><row r="484"><cell r="K484" t="str"><v>July</v></cell><cell r="L484"><v>43288</v></cell><cell r="M484" t="str"><v>Tier 1</v></cell><cell r="N484" t="str"><v>EMEA</v></cell><cell r="O484" t="str"><v>France</v></cell><cell r="P484" t="str"><v>Trial</v></cell><cell r="Q484" t="str"><v>Social</v></cell><cell r="R484" t="str"><v>Azure</v></cell><cell r="S484" t="str"><v>Apps & Infra</v></cell><cell r="T484" t="str"><v>Developers & ITI's</v></cell><cell r="U484" t="str"><v>Developers/ITPros-Azure Direct-Sponsored Post-Link Ad-FreeAcctAppsFACEBOOKIllustrationChC</v></cell><cell r="V484" t="str"><v>Audience Targeting</v></cell><cell r="W484" t="str"><v>Social</v></cell><cell r="X484" t="str"><v>1x1</v></cell></row><row r="484"><cell r="AA484"><v>43286</v></cell><cell r="AB484" t="str"><v>FRA_gaPMG_AZR_AZR_Q1_19_AzureDirect-Trial-Social</v></cell><cell r="AC484"><v>21356941</v></cell><cell r="AD484"><v>720193</v></cell><cell r="AE484" t="str"><v>Facebook</v></cell><cell r="AF484"><v>3654128</v></cell><cell r="AG484" t="str"><v>Facebook»Developers/ITPros-Azure Direct-Sponsored Post-Link Ad-FreeAcctAppsFACEBOOKIllustrationChC»1x1»SocialBan»SOC»ALL»CPC»AUT»D»UNK»SS»NA»Trials</v></cell><cell r="AH484"><v>224560854</v></cell><cell r="AI484" t="str"><v>AZR_FreeAcctAppsFACEBOOKIllustrationChC_FRA_1200x628_SOC_PLAT_FR_Trial_Standard_NA_SINU_T3_1</v></cell><cell r="AJ484"><v>103259550</v></cell></row><row r="485"><cell r="C485" t="str"><v>43286Facebook»Developers/ITPros-Azure Direct-Sponsored Post-Link Ad-FreeAcctAppsFACEBOOKLifestyleChA»1x1»SocialBan»SOC»ALL»CPC»AUT»D»UNK»SS»NA»Trials</v></cell><cell r="D485" t="str"><v>43286224560851</v></cell><cell r="E485" t="str"><v>43286103259562Trials</v></cell><cell r="F485" t="str"><v>DCM</v></cell><cell r="G485" t="str"><v>https://azure.microsoft.com/fr-fr/free/search/</v></cell></row><row r="485"><cell r="K485" t="str"><v>July</v></cell><cell r="L485"><v>43288</v></cell><cell r="M485" t="str"><v>Tier 1</v></cell><cell r="N485" t="str"><v>EMEA</v></cell><cell r="O485" t="str"><v>France</v></cell><cell r="P485" t="str"><v>Trial</v></cell><cell r="Q485" t="str"><v>Social</v></cell><cell r="R485" t="str"><v>Azure</v></cell><cell r="S485" t="str"><v>Apps & Infra</v></cell><cell r="T485" t="str"><v>Developers & ITI's</v></cell><cell r="U485" t="str"><v>Developers/ITPros-Azure Direct-Sponsored Post-Link Ad-FreeAcctAppsFACEBOOKLifestyleChA</v></cell><cell r="V485" t="str"><v>Audience Targeting</v></cell><cell r="W485" t="str"><v>Social</v></cell><cell r="X485" t="str"><v>1x1</v></cell></row><row r="485"><cell r="AA485"><v>43286</v></cell><cell r="AB485" t="str"><v>FRA_gaPMG_AZR_AZR_Q1_19_AzureDirect-Trial-Social</v></cell><cell r="AC485"><v>21356941</v></cell><cell r="AD485"><v>720193</v></cell><cell r="AE485" t="str"><v>Facebook</v></cell><cell r="AF485"><v>3654128</v></cell><cell r="AG485" t="str"><v>Facebook»Developers/ITPros-Azure Direct-Sponsored Post-Link Ad-FreeAcctAppsFACEBOOKLifestyleChA»1x1»SocialBan»SOC»ALL»CPC»AUT»D»UNK»SS»NA»Trials</v></cell><cell r="AH485"><v>224560851</v></cell><cell r="AI485" t="str"><v>AZR_FreeAcctAppsFACEBOOKLifestyleChA_FRA_1200x628_SOC_PLAT_FR_Trial_Standard_NA_SINU_T1_1</v></cell><cell r="AJ485"><v>103259562</v></cell></row><row r="486"><cell r="C486" t="str"><v>43286Facebook»Developers/ITPros-Azure Direct-Sponsored Post-Link Ad-FreeAcctRetargetingFB-Animated-ChC»1x1»SocialBan»SOC»ALL»CPC»BT»D»UNK»SS»NA»Trials</v></cell><cell r="D486" t="str"><v>43286224560848</v></cell><cell r="E486" t="str"><v>43286103259775Trials</v></cell><cell r="F486" t="str"><v>DCM</v></cell><cell r="G486" t="str"><v>https://azure.microsoft.com/fr-fr/free/search/</v></cell></row><row r="486"><cell r="K486" t="str"><v>July</v></cell><cell r="L486"><v>43288</v></cell><cell r="M486" t="str"><v>Tier 1</v></cell><cell r="N486" t="str"><v>EMEA</v></cell><cell r="O486" t="str"><v>France</v></cell><cell r="P486" t="str"><v>Trial</v></cell><cell r="Q486" t="str"><v>Social</v></cell><cell r="R486" t="str"><v>Azure</v></cell><cell r="S486" t="str"><v>Apps & Infra</v></cell><cell r="T486" t="str"><v>Developers & ITI's</v></cell><cell r="U486" t="str"><v>Developers/ITPros-Azure Direct-Sponsored Post-Link Ad-FreeAcctRetargetingFB-Animated-ChC</v></cell><cell r="V486" t="str"><v>Behavioral Targeting</v></cell><cell r="W486" t="str"><v>Social</v></cell><cell r="X486" t="str"><v>1x1</v></cell></row><row r="486"><cell r="AA486"><v>43286</v></cell><cell r="AB486" t="str"><v>FRA_gaPMG_AZR_AZR_Q1_19_AzureDirect-Trial-Social</v></cell><cell r="AC486"><v>21356941</v></cell><cell r="AD486"><v>720193</v></cell><cell r="AE486" t="str"><v>Facebook</v></cell><cell r="AF486"><v>3654128</v></cell><cell r="AG486" t="str"><v>Facebook»Developers/ITPros-Azure Direct-Sponsored Post-Link Ad-FreeAcctRetargetingFB-Animated-ChC»1x1»SocialBan»SOC»ALL»CPC»BT»D»UNK»SS»NA»Trials</v></cell><cell r="AH486"><v>224560848</v></cell><cell r="AI486" t="str"><v>AZR_reeAcctRetargetingFB-Animated-ChC_FRA_1200x628_SOC_AZRDirect_French_NA_Facebook_SBAN_SINU_T3_1</v></cell><cell r="AJ486"><v>103259775</v></cell></row><row r="487"><cell r="C487" t="str"><v>43286Facebook»Developers/ITPros-Azure Direct-Sponsored Post-Link Ad-FreeAcctRetargetingVMFB-OnDemand-ChE»1x1»SocialBan»SOC»ALL»CPC»BT»D»UNK»SS»NA»Trials</v></cell><cell r="D487" t="str"><v>43286224560833</v></cell><cell r="E487" t="str"><v>43286103376990Trials</v></cell><cell r="F487" t="str"><v>DCM</v></cell><cell r="G487" t="str"><v>https://azure.microsoft.com/fr-fr/free/virtual-machines/search/</v></cell></row><row r="487"><cell r="K487" t="str"><v>July</v></cell><cell r="L487"><v>43288</v></cell><cell r="M487" t="str"><v>Tier 1</v></cell><cell r="N487" t="str"><v>EMEA</v></cell><cell r="O487" t="str"><v>France</v></cell><cell r="P487" t="str"><v>Trial</v></cell><cell r="Q487" t="str"><v>Social</v></cell><cell r="R487" t="str"><v>Azure</v></cell><cell r="S487" t="str"><v>Apps & Infra</v></cell><cell r="T487" t="str"><v>Developers & ITI's</v></cell><cell r="U487" t="str"><v>Developers/ITPros-Azure Direct-Sponsored Post-Link Ad-FreeAcctRetargetingVMFB-OnDemand-ChE</v></cell><cell r="V487" t="str"><v>Behavioral Targeting</v></cell><cell r="W487" t="str"><v>Social</v></cell><cell r="X487" t="str"><v>1x1</v></cell></row><row r="487"><cell r="AA487"><v>43286</v></cell><cell r="AB487" t="str"><v>FRA_gaPMG_AZR_AZR_Q1_19_AzureDirect-Trial-Social</v></cell><cell r="AC487"><v>21356941</v></cell><cell r="AD487"><v>720193</v></cell><cell r="AE487" t="str"><v>Facebook</v></cell><cell r="AF487"><v>3654128</v></cell><cell r="AG487" t="str"><v>Facebook»Developers/ITPros-Azure Direct-Sponsored Post-Link Ad-FreeAcctRetargetingVMFB-OnDemand-ChE»1x1»SocialBan»SOC»ALL»CPC»BT»D»UNK»SS»NA»Trials</v></cell><cell r="AH487"><v>224560833</v></cell><cell r="AI487" t="str"><v>AZR_FreeAcctRetargetingVMFB-OnDemand-ChE_FRA_1200x628_SOC_AZRDirect_French_NA_Facebook_SBAN_SINU_T2_1</v></cell><cell r="AJ487"><v>103376990</v></cell></row><row r="488"><cell r="C488" t="str"><v>43286Facebook»Audience & Interest Targeting»1x1»SocialBan»LIA»DT»CPC»AUT»W»NA»SS»NA»Basic Motion</v></cell><cell r="D488" t="str"><v>43286224399962</v></cell><cell r="E488" t="str"><v>43286103235146Motion</v></cell><cell r="F488" t="str"><v>DCM</v></cell><cell r="G488" t="str"><v>https://signup.azure.com/signup?offer=ms-azr-0044p&appId=102&ref=paidmedia-social-fb&redirectURL=https%3a%2f%2fazure.microsoft.com%2fen-gb%2fget-started%2fwelcome-to-azure%2f&l=en-gb&correlationId=ead86c34-1f10-49dd-a72b-6918462a2cbf</v></cell></row><row r="488"><cell r="K488" t="str"><v>July</v></cell><cell r="L488"><v>43288</v></cell><cell r="M488" t="str"><v>Tier 1</v></cell><cell r="N488" t="str"><v>EMEA</v></cell><cell r="O488" t="str"><v>United Kingdom</v></cell><cell r="P488" t="str"><v>Trial</v></cell><cell r="Q488" t="str"><v>Social</v></cell><cell r="R488" t="str"><v>Azure</v></cell><cell r="S488" t="str"><v>Apps & Infra</v></cell><cell r="T488" t="str"><v>Developers & ITI's</v></cell><cell r="U488" t="str"><v>Audience & Interest Targeting</v></cell><cell r="V488" t="str"><v>Audience Targeting</v></cell><cell r="W488" t="str"><v>Link Ad</v></cell><cell r="X488" t="str"><v>1x1</v></cell></row><row r="488"><cell r="AA488"><v>43286</v></cell><cell r="AB488" t="str"><v>GBR_gaPMG_CE_AZR_Q1_19_Trial-Social</v></cell><cell r="AC488"><v>21337013</v></cell><cell r="AD488"><v>720196</v></cell><cell r="AE488" t="str"><v>Facebook</v></cell><cell r="AF488"><v>3654128</v></cell><cell r="AG488" t="str"><v>Facebook»Audience & Interest Targeting»1x1»SocialBan»LIA»DT»CPC»AUT»W»NA»SS»NA»Basic Motion</v></cell><cell r="AH488"><v>224399962</v></cell><cell r="AI488" t="str"><v>AzurePlatform_FBCTCcanvaspage-StartFreeCTA-Img2_GBR_1080x143 _SOC_Plat_English_NA_Standard_NA_NA_T2_1</v></cell><cell r="AJ488"><v>103235146</v></cell></row><row r="489"><cell r="C489" t="str"><v>43286Facebook»Audience & Interest Targeting»1x1»SocialBan»LIA»DT»CPC»AUT»W»NA»SS»NA»Benefit 2 in Motion</v></cell><cell r="D489" t="str"><v>43286224334170</v></cell><cell r="E489" t="str"><v>43286103235146Motion</v></cell><cell r="F489" t="str"><v>DCM</v></cell><cell r="G489" t="str"><v>https://signup.azure.com/signup?offer=ms-azr-0044p&appId=102&ref=paidmedia-social-fb&redirectURL=https%3a%2f%2fazure.microsoft.com%2fen-gb%2fget-started%2fwelcome-to-azure%2f&l=en-gb&correlationId=ead86c34-1f10-49dd-a72b-6918462a2cbf</v></cell></row><row r="489"><cell r="K489" t="str"><v>July</v></cell><cell r="L489"><v>43288</v></cell><cell r="M489" t="str"><v>Tier 1</v></cell><cell r="N489" t="str"><v>EMEA</v></cell><cell r="O489" t="str"><v>United Kingdom</v></cell><cell r="P489" t="str"><v>Trial</v></cell><cell r="Q489" t="str"><v>Social</v></cell><cell r="R489" t="str"><v>Azure</v></cell><cell r="S489" t="str"><v>Apps & Infra</v></cell><cell r="T489" t="str"><v>Developers & ITI's</v></cell><cell r="U489" t="str"><v>Audience & Interest Targeting</v></cell><cell r="V489" t="str"><v>Audience Targeting</v></cell><cell r="W489" t="str"><v>Link Ad</v></cell><cell r="X489" t="str"><v>1x1</v></cell></row><row r="489"><cell r="AA489"><v>43286</v></cell><cell r="AB489" t="str"><v>GBR_gaPMG_CE_AZR_Q1_19_Trial-Social</v></cell><cell r="AC489"><v>21337013</v></cell><cell r="AD489"><v>720196</v></cell><cell r="AE489" t="str"><v>Facebook</v></cell><cell r="AF489"><v>3654128</v></cell><cell r="AG489" t="str"><v>Facebook»Audience & Interest Targeting»1x1»SocialBan»LIA»DT»CPC»AUT»W»NA»SS»NA»Benefit 2 in Motion</v></cell><cell r="AH489"><v>224334170</v></cell><cell r="AI489" t="str"><v>AzurePlatform_FBCTCcanvaspage-StartFreeCTA-Img2_GBR_1080x143 _SOC_Plat_English_NA_Standard_NA_NA_T2_1</v></cell><cell r="AJ489"><v>103235146</v></cell></row><row r="490"><cell r="C490" t="str"><v>43286Facebook»Audience & Interest Targeting»1x1»SocialBan»LIA»DT»CPC»AUT»W»NA»SS»NA»Brand in Motion</v></cell><cell r="D490" t="str"><v>43286224549481</v></cell><cell r="E490" t="str"><v>43286103230847Motion</v></cell><cell r="F490" t="str"><v>DCM</v></cell><cell r="G490" t="str"><v>https://azure.microsoft.com/en-gb/pricing/purchase-options/</v></cell></row><row r="490"><cell r="K490" t="str"><v>July</v></cell><cell r="L490"><v>43288</v></cell><cell r="M490" t="str"><v>Tier 1</v></cell><cell r="N490" t="str"><v>EMEA</v></cell><cell r="O490" t="str"><v>United Kingdom</v></cell><cell r="P490" t="str"><v>Trial</v></cell><cell r="Q490" t="str"><v>Social</v></cell><cell r="R490" t="str"><v>Azure</v></cell><cell r="S490" t="str"><v>Apps & Infra</v></cell><cell r="T490" t="str"><v>Developers & ITI's</v></cell><cell r="U490" t="str"><v>Audience & Interest Targeting</v></cell><cell r="V490" t="str"><v>Audience Targeting</v></cell><cell r="W490" t="str"><v>Link Ad</v></cell><cell r="X490" t="str"><v>1x1</v></cell></row><row r="490"><cell r="AA490"><v>43286</v></cell><cell r="AB490" t="str"><v>GBR_gaPMG_CE_AZR_Q1_19_Trial-Social</v></cell><cell r="AC490"><v>21337013</v></cell><cell r="AD490"><v>720196</v></cell><cell r="AE490" t="str"><v>Facebook</v></cell><cell r="AF490"><v>3654128</v></cell><cell r="AG490" t="str"><v>Facebook»Audience & Interest Targeting»1x1»SocialBan»LIA»DT»CPC»AUT»W»NA»SS»NA»Brand in Motion</v></cell><cell r="AH490"><v>224549481</v></cell><cell r="AI490" t="str"><v>AzurePlatform_FBCTCcanvaspage-BuyNowCTA-Img3_GBR_1080x162_SOC_Plat_English_NA_Standard_NA_BN_T3_1</v></cell><cell r="AJ490"><v>103230847</v></cell></row><row r="491"><cell r="C491" t="str"><v>43286Facebook»Audience & Interest Targeting»1x1»SocialBan»LIA»DT»CPC»AUT»W»NA»SS»NA»Brand in Motion</v></cell><cell r="D491" t="str"><v>43286224549481</v></cell><cell r="E491" t="str"><v>43286103235146Motion</v></cell><cell r="F491" t="str"><v>DCM</v></cell><cell r="G491" t="str"><v>https://signup.azure.com/signup?offer=ms-azr-0044p&appId=102&ref=paidmedia-social-fb&redirectURL=https%3a%2f%2fazure.microsoft.com%2fen-gb%2fget-started%2fwelcome-to-azure%2f&l=en-gb&correlationId=ead86c34-1f10-49dd-a72b-6918462a2cbf</v></cell></row><row r="491"><cell r="K491" t="str"><v>July</v></cell><cell r="L491"><v>43288</v></cell><cell r="M491" t="str"><v>Tier 1</v></cell><cell r="N491" t="str"><v>EMEA</v></cell><cell r="O491" t="str"><v>United Kingdom</v></cell><cell r="P491" t="str"><v>Trial</v></cell><cell r="Q491" t="str"><v>Social</v></cell><cell r="R491" t="str"><v>Azure</v></cell><cell r="S491" t="str"><v>Apps & Infra</v></cell><cell r="T491" t="str"><v>Developers & ITI's</v></cell><cell r="U491" t="str"><v>Audience & Interest Targeting</v></cell><cell r="V491" t="str"><v>Audience Targeting</v></cell><cell r="W491" t="str"><v>Link Ad</v></cell><cell r="X491" t="str"><v>1x1</v></cell></row><row r="491"><cell r="AA491"><v>43286</v></cell><cell r="AB491" t="str"><v>GBR_gaPMG_CE_AZR_Q1_19_Trial-Social</v></cell><cell r="AC491"><v>21337013</v></cell><cell r="AD491"><v>720196</v></cell><cell r="AE491" t="str"><v>Facebook</v></cell><cell r="AF491"><v>3654128</v></cell><cell r="AG491" t="str"><v>Facebook»Audience & Interest Targeting»1x1»SocialBan»LIA»DT»CPC»AUT»W»NA»SS»NA»Brand in Motion</v></cell><cell r="AH491"><v>224549481</v></cell><cell r="AI491" t="str"><v>AzurePlatform_FBCTCcanvaspage-StartFreeCTA-Img2_GBR_1080x143 _SOC_Plat_English_NA_Standard_NA_NA_T2_1</v></cell><cell r="AJ491"><v>103235146</v></cell></row><row r="492"><cell r="C492" t="str"><v>43286Facebook»Audience & Interest Targeting»1x1»SocialBan»LIA»DT»DYN»AUT»W»NA»SS»NA»Free Account Refresh- 12 months ChE</v></cell><cell r="D492" t="str"><v>43286223567691</v></cell><cell r="E492" t="str"><v>43286102854007hs ChE</v></cell><cell r="F492" t="str"><v>DCM</v></cell><cell r="G492" t="str"><v>https://azure.microsoft.com/en-gb/free/search/</v></cell></row><row r="492"><cell r="K492" t="str"><v>July</v></cell><cell r="L492"><v>43288</v></cell><cell r="M492" t="str"><v>Tier 1</v></cell><cell r="N492" t="str"><v>EMEA</v></cell><cell r="O492" t="str"><v>United Kingdom</v></cell><cell r="P492" t="str"><v>Trial</v></cell><cell r="Q492" t="str"><v>Social</v></cell><cell r="R492" t="str"><v>Azure</v></cell><cell r="S492" t="str"><v>Apps & Infra</v></cell><cell r="T492" t="str"><v>Developers & ITI's</v></cell><cell r="U492" t="str"><v>Audience & Interest Targeting</v></cell><cell r="V492" t="str"><v>Audience Targeting</v></cell><cell r="W492" t="str"><v>Link Ad</v></cell><cell r="X492" t="str"><v>1x1</v></cell></row><row r="492"><cell r="AA492"><v>43286</v></cell><cell r="AB492" t="str"><v>GBR_gaPMG_CE_AZR_Q1_19_Trial-Social</v></cell><cell r="AC492"><v>21337013</v></cell><cell r="AD492"><v>720196</v></cell><cell r="AE492" t="str"><v>Facebook</v></cell><cell r="AF492"><v>3654128</v></cell><cell r="AG492" t="str"><v>Facebook»Audience & Interest Targeting»1x1»SocialBan»LIA»DT»DYN»AUT»W»NA»SS»NA»Free Account Refresh- 12 months ChE</v></cell><cell r="AH492"><v>223567691</v></cell><cell r="AI492" t="str"><v>AzurePlatform_FreeAcctAppsFACEBOOK12monthsChE_GBR_1200x628_SOC_PLAT_EN_Trial_Standard_NA_SU_T5_1</v></cell><cell r="AJ492"><v>102854007</v></cell></row><row r="493"><cell r="C493" t="str"><v>43286Facebook»Audience & Interest Targeting»1x1»SocialBan»LIA»DT»DYN»AUT»W»NA»SS»NA»Free Account Refresh- Device ChB</v></cell><cell r="D493" t="str"><v>43286223560353</v></cell><cell r="E493" t="str"><v>43286102854010ce ChB</v></cell><cell r="F493" t="str"><v>DCM</v></cell><cell r="G493" t="str"><v>https://azure.microsoft.com/en-gb/free/search/</v></cell></row><row r="493"><cell r="K493" t="str"><v>July</v></cell><cell r="L493"><v>43288</v></cell><cell r="M493" t="str"><v>Tier 1</v></cell><cell r="N493" t="str"><v>EMEA</v></cell><cell r="O493" t="str"><v>United Kingdom</v></cell><cell r="P493" t="str"><v>Trial</v></cell><cell r="Q493" t="str"><v>Social</v></cell><cell r="R493" t="str"><v>Azure</v></cell><cell r="S493" t="str"><v>Apps & Infra</v></cell><cell r="T493" t="str"><v>Developers & ITI's</v></cell><cell r="U493" t="str"><v>Audience & Interest Targeting</v></cell><cell r="V493" t="str"><v>Audience Targeting</v></cell><cell r="W493" t="str"><v>Link Ad</v></cell><cell r="X493" t="str"><v>1x1</v></cell></row><row r="493"><cell r="AA493"><v>43286</v></cell><cell r="AB493" t="str"><v>GBR_gaPMG_CE_AZR_Q1_19_Trial-Social</v></cell><cell r="AC493"><v>21337013</v></cell><cell r="AD493"><v>720196</v></cell><cell r="AE493" t="str"><v>Facebook</v></cell><cell r="AF493"><v>3654128</v></cell><cell r="AG493" t="str"><v>Facebook»Audience & Interest Targeting»1x1»SocialBan»LIA»DT»DYN»AUT»W»NA»SS»NA»Free Account Refresh- Device ChB</v></cell><cell r="AH493"><v>223560353</v></cell><cell r="AI493" t="str"><v>AzurePlatform_FreeAcctAppsFACEBOOKDeviceChB_GBR_1200x628_SOC_PLAT_EN_Trial_Standard_NA_SU_T2_1</v></cell><cell r="AJ493"><v>102854010</v></cell></row><row r="494"><cell r="C494" t="str"><v>43286Facebook»Retargeting»1x1»SocialBan»LIA»DT»DYN»RT»W»NA»SS»NA»Free Account Retargeting VM- 750 Hrs ChD</v></cell><cell r="D494" t="str"><v>43286223560338</v></cell><cell r="E494" t="str"><v>43286102853603rs ChD</v></cell><cell r="F494" t="str"><v>DCM</v></cell><cell r="G494" t="str"><v>https://azure.microsoft.com/en-gb/free/virtual-machines/search/</v></cell></row><row r="494"><cell r="K494" t="str"><v>July</v></cell><cell r="L494"><v>43288</v></cell><cell r="M494" t="str"><v>Tier 1</v></cell><cell r="N494" t="str"><v>EMEA</v></cell><cell r="O494" t="str"><v>United Kingdom</v></cell><cell r="P494" t="str"><v>Trial</v></cell><cell r="Q494" t="str"><v>Social</v></cell><cell r="R494" t="str"><v>Azure</v></cell><cell r="S494" t="str"><v>Apps & Infra</v></cell><cell r="T494" t="str"><v>Developers & ITI's</v></cell><cell r="U494" t="str"><v>Retargeting</v></cell><cell r="V494" t="str"><v>Retargeting</v></cell><cell r="W494" t="str"><v>Link Ad</v></cell><cell r="X494" t="str"><v>1x1</v></cell></row><row r="494"><cell r="AA494"><v>43286</v></cell><cell r="AB494" t="str"><v>GBR_gaPMG_CE_AZR_Q1_19_Trial-Social</v></cell><cell r="AC494"><v>21337013</v></cell><cell r="AD494"><v>720196</v></cell><cell r="AE494" t="str"><v>Facebook</v></cell><cell r="AF494"><v>3654128</v></cell><cell r="AG494" t="str"><v>Facebook»Retargeting»1x1»SocialBan»LIA»DT»DYN»RT»W»NA»SS»NA»Free Account Retargeting VM- 750 Hrs ChD</v></cell><cell r="AH494"><v>223560338</v></cell><cell r="AI494" t="str"><v>AzurePlatform_FreeAcctRetargetingVMFB-750Hrs-ChD_GBR_1200x628_SOC_Plat_EN_Free Account_Standard_NA_SU_T1_1</v></cell><cell r="AJ494"><v>102853603</v></cell></row><row r="495"><cell r="C495" t="str"><v>43286Facebook»Retargeting»1x1»SocialBan»LIA»DT»DYN»RT»W»NA»SS»NA»Free Account Retargeting VM- On Demand ChE</v></cell><cell r="D495" t="str"><v>43286223560332</v></cell><cell r="E495" t="str"><v>43286102854037nd ChE</v></cell><cell r="F495" t="str"><v>DCM</v></cell><cell r="G495" t="str"><v>https://azure.microsoft.com/en-gb/free/virtual-machines/search/</v></cell></row><row r="495"><cell r="K495" t="str"><v>July</v></cell><cell r="L495"><v>43288</v></cell><cell r="M495" t="str"><v>Tier 1</v></cell><cell r="N495" t="str"><v>EMEA</v></cell><cell r="O495" t="str"><v>United Kingdom</v></cell><cell r="P495" t="str"><v>Trial</v></cell><cell r="Q495" t="str"><v>Social</v></cell><cell r="R495" t="str"><v>Azure</v></cell><cell r="S495" t="str"><v>Apps & Infra</v></cell><cell r="T495" t="str"><v>Developers & ITI's</v></cell><cell r="U495" t="str"><v>Retargeting</v></cell><cell r="V495" t="str"><v>Retargeting</v></cell><cell r="W495" t="str"><v>Link Ad</v></cell><cell r="X495" t="str"><v>1x1</v></cell></row><row r="495"><cell r="AA495"><v>43286</v></cell><cell r="AB495" t="str"><v>GBR_gaPMG_CE_AZR_Q1_19_Trial-Social</v></cell><cell r="AC495"><v>21337013</v></cell><cell r="AD495"><v>720196</v></cell><cell r="AE495" t="str"><v>Facebook</v></cell><cell r="AF495"><v>3654128</v></cell><cell r="AG495" t="str"><v>Facebook»Retargeting»1x1»SocialBan»LIA»DT»DYN»RT»W»NA»SS»NA»Free Account Retargeting VM- On Demand ChE</v></cell><cell r="AH495"><v>223560332</v></cell><cell r="AI495" t="str"><v>AzurePlatform_FreeAcctRetargetingVMFB-OnDemand-ChE_GBR_1200x628_SOC_Plat_EN_Free Account_Standard_NA_SU_T2_1</v></cell><cell r="AJ495"><v>102854037</v></cell></row><row r="496"><cell r="C496" t="str"><v>43286Facebook»AZP-Canvas-Interest&Role-Trial»1x1»Canvas»OTH»MO»CPM»PRO»X»UNK»TP»OT»Canvas-Trial</v></cell><cell r="D496" t="str"><v>43286223298805</v></cell><cell r="E496" t="str"><v>43286102630373-Trial</v></cell><cell r="F496" t="str"><v>DCM</v></cell><cell r="G496" t="str"><v>https://azure.microsoft.com/ja-jp/pricing/purchase-options/</v></cell></row><row r="496"><cell r="K496" t="str"><v>July</v></cell><cell r="L496"><v>43288</v></cell><cell r="M496" t="str"><v>Tier 1</v></cell><cell r="N496" t="str"><v>APAC</v></cell><cell r="O496" t="str"><v>Japan</v></cell><cell r="P496" t="str"><v>Trial</v></cell><cell r="Q496" t="str"><v>Social</v></cell><cell r="R496" t="str"><v>Azure</v></cell><cell r="S496" t="str"><v>Apps & Infra</v></cell><cell r="T496" t="str"><v>Developers & ITI's</v></cell><cell r="U496" t="str"><v>AZP-Canvas-Interest&Role-Trial</v></cell><cell r="V496" t="str"><v>Prospecting</v></cell><cell r="W496" t="str"><v>Other</v></cell><cell r="X496" t="str"><v>1x1</v></cell></row><row r="496"><cell r="AA496"><v>43286</v></cell><cell r="AB496" t="str"><v>JPN_gaPMG_AZR_AZR_Q1_19_Trial-Social</v></cell><cell r="AC496"><v>21276694</v></cell><cell r="AD496"><v>720195</v></cell><cell r="AE496" t="str"><v>Facebook</v></cell><cell r="AF496"><v>3654128</v></cell><cell r="AG496" t="str"><v>Facebook»AZP-Canvas-Interest&Role-Trial»1x1»Canvas»OTH»MO»CPM»PRO»X»UNK»TP»OT»Canvas-Trial</v></cell><cell r="AH496"><v>223298805</v></cell><cell r="AI496" t="str"><v>AzurePlatform_FBCTCcanvaspage-BuyNowCTA-Img3_JPN_1080x162_SOC_Plat_Japanese_NA_Standard_NA_BN_T3_1</v></cell><cell r="AJ496"><v>102630373</v></cell></row><row r="497"><cell r="C497" t="str"><v>43286Facebook»AZP-Canvas-Interest&Role-Trial»1x1»Canvas»OTH»MO»CPM»PRO»X»UNK»TP»OT»Canvas-Trial</v></cell><cell r="D497" t="str"><v>43286223298805</v></cell><cell r="E497" t="str"><v>43286102609621-Trial</v></cell><cell r="F497" t="str"><v>DCM</v></cell><cell r="G497" t="str"><v>https://signup.azure.com/signup?offer=ms-azr-0044p&appId=102&ref=paidmedia-social-fb&redirectURL=https%3a%2f%2fazure.microsoft.com%2fja-jp%2fget-started%2fwelcome-to-azure%2f&l=ja-jp&correlationId=ead86c34-1f10-49dd-a72b-6918462a2cbf</v></cell></row><row r="497"><cell r="K497" t="str"><v>July</v></cell><cell r="L497"><v>43288</v></cell><cell r="M497" t="str"><v>Tier 1</v></cell><cell r="N497" t="str"><v>APAC</v></cell><cell r="O497" t="str"><v>Japan</v></cell><cell r="P497" t="str"><v>Trial</v></cell><cell r="Q497" t="str"><v>Social</v></cell><cell r="R497" t="str"><v>Azure</v></cell><cell r="S497" t="str"><v>Apps & Infra</v></cell><cell r="T497" t="str"><v>Developers & ITI's</v></cell><cell r="U497" t="str"><v>AZP-Canvas-Interest&Role-Trial</v></cell><cell r="V497" t="str"><v>Prospecting</v></cell><cell r="W497" t="str"><v>Other</v></cell><cell r="X497" t="str"><v>1x1</v></cell></row><row r="497"><cell r="AA497"><v>43286</v></cell><cell r="AB497" t="str"><v>JPN_gaPMG_AZR_AZR_Q1_19_Trial-Social</v></cell><cell r="AC497"><v>21276694</v></cell><cell r="AD497"><v>720195</v></cell><cell r="AE497" t="str"><v>Facebook</v></cell><cell r="AF497"><v>3654128</v></cell><cell r="AG497" t="str"><v>Facebook»AZP-Canvas-Interest&Role-Trial»1x1»Canvas»OTH»MO»CPM»PRO»X»UNK»TP»OT»Canvas-Trial</v></cell><cell r="AH497"><v>223298805</v></cell><cell r="AI497" t="str"><v>AzurePlatform_FBCTCcanvaspage-StartFreeCTA-Img2_JPN_1080x143 _SOC_Plat_Japanese_NA_Standard_NA_NA_T2_1</v></cell><cell r="AJ497"><v>102609621</v></cell></row><row r="498"><cell r="C498" t="str"><v>43286Facebook»AZP-Canvas-Look a Like-Trial»1x1»Canvas»OTH»MO»CPM»PRO»X»UNK»TP»OT»Canvas-Trial</v></cell><cell r="D498" t="str"><v>43286223297413</v></cell><cell r="E498" t="str"><v>43286102630373-Trial</v></cell><cell r="F498" t="str"><v>DCM</v></cell><cell r="G498" t="str"><v>https://azure.microsoft.com/ja-jp/pricing/purchase-options/</v></cell></row><row r="498"><cell r="K498" t="str"><v>July</v></cell><cell r="L498"><v>43288</v></cell><cell r="M498" t="str"><v>Tier 1</v></cell><cell r="N498" t="str"><v>APAC</v></cell><cell r="O498" t="str"><v>Japan</v></cell><cell r="P498" t="str"><v>Trial</v></cell><cell r="Q498" t="str"><v>Social</v></cell><cell r="R498" t="str"><v>Azure</v></cell><cell r="S498" t="str"><v>Apps & Infra</v></cell><cell r="T498" t="str"><v>Developers & ITI's</v></cell><cell r="U498" t="str"><v>AZP-Canvas-Look a Like-Trial</v></cell><cell r="V498" t="str"><v>Prospecting</v></cell><cell r="W498" t="str"><v>Other</v></cell><cell r="X498" t="str"><v>1x1</v></cell></row><row r="498"><cell r="AA498"><v>43286</v></cell><cell r="AB498" t="str"><v>JPN_gaPMG_AZR_AZR_Q1_19_Trial-Social</v></cell><cell r="AC498"><v>21276694</v></cell><cell r="AD498"><v>720195</v></cell><cell r="AE498" t="str"><v>Facebook</v></cell><cell r="AF498"><v>3654128</v></cell><cell r="AG498" t="str"><v>Facebook»AZP-Canvas-Look a Like-Trial»1x1»Canvas»OTH»MO»CPM»PRO»X»UNK»TP»OT»Canvas-Trial</v></cell><cell r="AH498"><v>223297413</v></cell><cell r="AI498" t="str"><v>AzurePlatform_FBCTCcanvaspage-BuyNowCTA-Img3_JPN_1080x162_SOC_Plat_Japanese_NA_Standard_NA_BN_T3_1</v></cell><cell r="AJ498"><v>102630373</v></cell></row><row r="499"><cell r="C499" t="str"><v>43286Facebook»AZP-Canvas-Look a Like-Trial»1x1»Canvas»OTH»MO»CPM»PRO»X»UNK»TP»OT»Canvas-Trial</v></cell><cell r="D499" t="str"><v>43286223297413</v></cell><cell r="E499" t="str"><v>43286102609621-Trial</v></cell><cell r="F499" t="str"><v>DCM</v></cell><cell r="G499" t="str"><v>https://signup.azure.com/signup?offer=ms-azr-0044p&appId=102&ref=paidmedia-social-fb&redirectURL=https%3a%2f%2fazure.microsoft.com%2fja-jp%2fget-started%2fwelcome-to-azure%2f&l=ja-jp&correlationId=ead86c34-1f10-49dd-a72b-6918462a2cbf</v></cell></row><row r="499"><cell r="K499" t="str"><v>July</v></cell><cell r="L499"><v>43288</v></cell><cell r="M499" t="str"><v>Tier 1</v></cell><cell r="N499" t="str"><v>APAC</v></cell><cell r="O499" t="str"><v>Japan</v></cell><cell r="P499" t="str"><v>Trial</v></cell><cell r="Q499" t="str"><v>Social</v></cell><cell r="R499" t="str"><v>Azure</v></cell><cell r="S499" t="str"><v>Apps & Infra</v></cell><cell r="T499" t="str"><v>Developers & ITI's</v></cell><cell r="U499" t="str"><v>AZP-Canvas-Look a Like-Trial</v></cell><cell r="V499" t="str"><v>Prospecting</v></cell><cell r="W499" t="str"><v>Other</v></cell><cell r="X499" t="str"><v>1x1</v></cell></row><row r="499"><cell r="AA499"><v>43286</v></cell><cell r="AB499" t="str"><v>JPN_gaPMG_AZR_AZR_Q1_19_Trial-Social</v></cell><cell r="AC499"><v>21276694</v></cell><cell r="AD499"><v>720195</v></cell><cell r="AE499" t="str"><v>Facebook</v></cell><cell r="AF499"><v>3654128</v></cell><cell r="AG499" t="str"><v>Facebook»AZP-Canvas-Look a Like-Trial»1x1»Canvas»OTH»MO»CPM»PRO»X»UNK»TP»OT»Canvas-Trial</v></cell><cell r="AH499"><v>223297413</v></cell><cell r="AI499" t="str"><v>AzurePlatform_FBCTCcanvaspage-StartFreeCTA-Img2_JPN_1080x143 _SOC_Plat_Japanese_NA_Standard_NA_NA_T2_1</v></cell><cell r="AJ499"><v>102609621</v></cell></row><row r="500"><cell r="C500" t="str"><v>43286Facebook»AZP-Retargeting»1x1»Ban»LIA»ALL»CPM»RT»X»All»TP»OT»Free Account Retargeting OSS-ChG</v></cell><cell r="D500" t="str"><v>43286223726365</v></cell><cell r="E500" t="str"><v>43286102976850SS-ChG</v></cell><cell r="F500" t="str"><v>DCM</v></cell><cell r="G500" t="str"><v>https://azure.microsoft.com/ja-jp/free/open-source/search/</v></cell></row><row r="500"><cell r="K500" t="str"><v>July</v></cell><cell r="L500"><v>43288</v></cell><cell r="M500" t="str"><v>Tier 1</v></cell><cell r="N500" t="str"><v>APAC</v></cell><cell r="O500" t="str"><v>Japan</v></cell><cell r="P500" t="str"><v>Trial</v></cell><cell r="Q500" t="str"><v>Social</v></cell><cell r="R500" t="str"><v>Azure</v></cell><cell r="S500" t="str"><v>Apps & Infra</v></cell><cell r="T500" t="str"><v>Developers & ITI's</v></cell><cell r="U500" t="str"><v>AZP-Retargeting</v></cell><cell r="V500" t="str"><v>Retargeting</v></cell><cell r="W500" t="str"><v>Link Ad</v></cell><cell r="X500" t="str"><v>1x1</v></cell></row><row r="500"><cell r="AA500"><v>43286</v></cell><cell r="AB500" t="str"><v>JPN_gaPMG_AZR_AZR_Q1_19_Trial-Social</v></cell><cell r="AC500"><v>21276694</v></cell><cell r="AD500"><v>720195</v></cell><cell r="AE500" t="str"><v>Facebook</v></cell><cell r="AF500"><v>3654128</v></cell><cell r="AG500" t="str"><v>Facebook»AZP-Retargeting»1x1»Ban»LIA»ALL»CPM»RT»X»All»TP»OT»Free Account Retargeting OSS-ChG</v></cell><cell r="AH500"><v>223726365</v></cell><cell r="AI500" t="str"><v>AzurePlatform_FreeAcctRetargetingOSSFB-Logos-ChG_JPN_1200x628_SOC_Plat_JA_Free Account_Standard_NA_SU_T2_1</v></cell><cell r="AJ500"><v>102976850</v></cell></row><row r="501"><cell r="C501" t="str"><v>43286Facebook»AZP-Retargeting»1x1»Ban»LIA»ALL»CPM»RT»X»All»TP»OT»Free Account Retargeting VM-ChD</v></cell><cell r="D501" t="str"><v>43286223726374</v></cell><cell r="E501" t="str"><v>43286102971306VM-ChD</v></cell><cell r="F501" t="str"><v>DCM</v></cell><cell r="G501" t="str"><v>https://azure.microsoft.com/ja-jp/free/virtual-machines/search/</v></cell></row><row r="501"><cell r="K501" t="str"><v>July</v></cell><cell r="L501"><v>43288</v></cell><cell r="M501" t="str"><v>Tier 1</v></cell><cell r="N501" t="str"><v>APAC</v></cell><cell r="O501" t="str"><v>Japan</v></cell><cell r="P501" t="str"><v>Trial</v></cell><cell r="Q501" t="str"><v>Social</v></cell><cell r="R501" t="str"><v>Azure</v></cell><cell r="S501" t="str"><v>Apps & Infra</v></cell><cell r="T501" t="str"><v>Developers & ITI's</v></cell><cell r="U501" t="str"><v>AZP-Retargeting</v></cell><cell r="V501" t="str"><v>Retargeting</v></cell><cell r="W501" t="str"><v>Link Ad</v></cell><cell r="X501" t="str"><v>1x1</v></cell></row><row r="501"><cell r="AA501"><v>43286</v></cell><cell r="AB501" t="str"><v>JPN_gaPMG_AZR_AZR_Q1_19_Trial-Social</v></cell><cell r="AC501"><v>21276694</v></cell><cell r="AD501"><v>720195</v></cell><cell r="AE501" t="str"><v>Facebook</v></cell><cell r="AF501"><v>3654128</v></cell><cell r="AG501" t="str"><v>Facebook»AZP-Retargeting»1x1»Ban»LIA»ALL»CPM»RT»X»All»TP»OT»Free Account Retargeting VM-ChD</v></cell><cell r="AH501"><v>223726374</v></cell><cell r="AI501" t="str"><v>AzurePlatform_FreeAcctRetargetingVMFB-750Hrs-ChD_JPN_1200x628_SOC_Plat_JA_Free Account_Standard_NA_SU_T1_1</v></cell><cell r="AJ501"><v>102971306</v></cell></row><row r="502"><cell r="C502" t="str"><v>43286Facebook»AZP-Retargeting»1x1»Canvas»OTH»MO»CPM»RT»W»UNK»TP»OT»Trial-Benefit2inMotion</v></cell><cell r="D502" t="str"><v>43286223298496</v></cell><cell r="E502" t="str"><v>43286102630376Motion</v></cell><cell r="F502" t="str"><v>DCM</v></cell><cell r="G502" t="str"><v>https://azure.microsoft.com/ja-jp/free/search/</v></cell></row><row r="502"><cell r="K502" t="str"><v>July</v></cell><cell r="L502"><v>43288</v></cell><cell r="M502" t="str"><v>Tier 1</v></cell><cell r="N502" t="str"><v>APAC</v></cell><cell r="O502" t="str"><v>Japan</v></cell><cell r="P502" t="str"><v>Trial</v></cell><cell r="Q502" t="str"><v>Social</v></cell><cell r="R502" t="str"><v>Azure</v></cell><cell r="S502" t="str"><v>Apps & Infra</v></cell><cell r="T502" t="str"><v>Developers & ITI's</v></cell><cell r="U502" t="str"><v>AZP-Retargeting</v></cell><cell r="V502" t="str"><v>Retargeting</v></cell><cell r="W502" t="str"><v>Other</v></cell><cell r="X502" t="str"><v>1x1</v></cell></row><row r="502"><cell r="AA502"><v>43286</v></cell><cell r="AB502" t="str"><v>JPN_gaPMG_AZR_AZR_Q1_19_Trial-Social</v></cell><cell r="AC502"><v>21276694</v></cell><cell r="AD502"><v>720195</v></cell><cell r="AE502" t="str"><v>Facebook</v></cell><cell r="AF502"><v>3654128</v></cell><cell r="AG502" t="str"><v>Facebook»AZP-Retargeting»1x1»Canvas»OTH»MO»CPM»RT»W»UNK»TP»OT»Trial-Benefit2inMotion</v></cell><cell r="AH502"><v>223298496</v></cell><cell r="AI502" t="str"><v>AzurePlatform_FBCTCBenefit2inMotion_JPN_14sec_ISV_PLAT_JA_Trial_Standard_STAN_TN_T4_1</v></cell><cell r="AJ502"><v>102630376</v></cell></row><row r="503"><cell r="C503" t="str"><v>43286Facebook»AZP-Retargeting»1x1»Canvas»OTH»MO»CPM»RT»W»UNK»TP»OT»Trial-BrandinMotion</v></cell><cell r="D503" t="str"><v>43286223298823</v></cell><cell r="E503" t="str"><v>43286102612720Motion</v></cell><cell r="F503" t="str"><v>DCM</v></cell><cell r="G503" t="str"><v>https://azure.microsoft.com/ja-jp/free/search/</v></cell></row><row r="503"><cell r="K503" t="str"><v>July</v></cell><cell r="L503"><v>43288</v></cell><cell r="M503" t="str"><v>Tier 1</v></cell><cell r="N503" t="str"><v>APAC</v></cell><cell r="O503" t="str"><v>Japan</v></cell><cell r="P503" t="str"><v>Trial</v></cell><cell r="Q503" t="str"><v>Social</v></cell><cell r="R503" t="str"><v>Azure</v></cell><cell r="S503" t="str"><v>Apps & Infra</v></cell><cell r="T503" t="str"><v>Developers & ITI's</v></cell><cell r="U503" t="str"><v>AZP-Retargeting</v></cell><cell r="V503" t="str"><v>Retargeting</v></cell><cell r="W503" t="str"><v>Other</v></cell><cell r="X503" t="str"><v>1x1</v></cell></row><row r="503"><cell r="AA503"><v>43286</v></cell><cell r="AB503" t="str"><v>JPN_gaPMG_AZR_AZR_Q1_19_Trial-Social</v></cell><cell r="AC503"><v>21276694</v></cell><cell r="AD503"><v>720195</v></cell><cell r="AE503" t="str"><v>Facebook</v></cell><cell r="AF503"><v>3654128</v></cell><cell r="AG503" t="str"><v>Facebook»AZP-Retargeting»1x1»Canvas»OTH»MO»CPM»RT»W»UNK»TP»OT»Trial-BrandinMotion</v></cell><cell r="AH503"><v>223298823</v></cell><cell r="AI503" t="str"><v>AzurePlatform_FBCTCBrandinMotion_JPN_12sec_ISV_PLAT_JA_Trial_Standard_STAN_TN_T2_1</v></cell><cell r="AJ503"><v>102612720</v></cell></row><row r="504"><cell r="C504" t="str"><v>43286FACEBOOK»USA-Trial-ITD-Interest Prospecting-AZR-AZR»1 x 1»SocialBan»CAN»ALL»CPA»PRO»X»NA»SS»NA»FBCTCBasicMotion»PRC1SV</v></cell><cell r="D504" t="str"><v>43286223934062</v></cell><cell r="E504" t="str"><v>43286103043823PRC1SV</v></cell><cell r="F504" t="str"><v>DCM</v></cell><cell r="G504" t="str"><v>https://signup.azure.com/?OCID=AID%eexcid!_OLA_%ebuy!_%epid!_%ecid!</v></cell></row><row r="504"><cell r="K504" t="str"><v>July</v></cell><cell r="L504"><v>43288</v></cell><cell r="M504" t="str"><v>Tier 0</v></cell><cell r="N504" t="str"><v>North America</v></cell><cell r="O504" t="str"><v>United States</v></cell><cell r="P504" t="str"><v>Trial</v></cell><cell r="Q504" t="str"><v>Social</v></cell><cell r="R504" t="str"><v>Azure</v></cell><cell r="S504" t="str"><v>Apps & Infra</v></cell><cell r="T504" t="str"><v>Developers & ITI's</v></cell><cell r="U504" t="str"><v>USA-Trial-ITD-Interest Prospecting-AZR-AZR</v></cell><cell r="V504" t="str"><v>Prospecting</v></cell><cell r="W504" t="str"><v>Canvas Ad</v></cell><cell r="X504" t="str"><v>1x1</v></cell></row><row r="504"><cell r="AA504"><v>43286</v></cell><cell r="AB504" t="str"><v>USA_gaPMG_AZR_AZR_Q1_19_Direct-Social</v></cell><cell r="AC504"><v>21358715</v></cell><cell r="AD504"><v>720197</v></cell><cell r="AE504" t="str"><v>Facebook</v></cell><cell r="AF504"><v>3654128</v></cell><cell r="AG504" t="str"><v>FACEBOOK»USA-Trial-ITD-Interest Prospecting-AZR-AZR»1 x 1»SocialBan»CAN»ALL»CPA»PRO»X»NA»SS»NA»FBCTCBasicMotion»PRC1SV</v></cell><cell r="AH504"><v>223934062</v></cell><cell r="AI504" t="str"><v>AzurePlatform_FBCTCBasicMotion_USA_10s_CAN_PLATFORM_English_Trial_Standard_STAN_TIN_T1_1</v></cell><cell r="AJ504"><v>103043823</v></cell></row><row r="505"><cell r="C505" t="str"><v>43286FACEBOOK»USA-Trial-ITD-Interest Prospecting-AZR-AZR»1 x 1»SocialBan»CAN»ALL»CPA»PRO»X»NA»SS»NA»FBCTCBenefit2inMotion»PRC1SW</v></cell><cell r="D505" t="str"><v>43286223933138</v></cell><cell r="E505" t="str"><v>43286103043835PRC1SW</v></cell><cell r="F505" t="str"><v>DCM</v></cell><cell r="G505" t="str"><v>https://signup.azure.com/?OCID=AID%eexcid!_OLA_%ebuy!_%epid!_%ecid!</v></cell></row><row r="505"><cell r="K505" t="str"><v>July</v></cell><cell r="L505"><v>43288</v></cell><cell r="M505" t="str"><v>Tier 0</v></cell><cell r="N505" t="str"><v>North America</v></cell><cell r="O505" t="str"><v>United States</v></cell><cell r="P505" t="str"><v>Trial</v></cell><cell r="Q505" t="str"><v>Social</v></cell><cell r="R505" t="str"><v>Azure</v></cell><cell r="S505" t="str"><v>Apps & Infra</v></cell><cell r="T505" t="str"><v>Developers & ITI's</v></cell><cell r="U505" t="str"><v>USA-Trial-ITD-Interest Prospecting-AZR-AZR</v></cell><cell r="V505" t="str"><v>Prospecting</v></cell><cell r="W505" t="str"><v>Canvas Ad</v></cell><cell r="X505" t="str"><v>1x1</v></cell></row><row r="505"><cell r="AA505"><v>43286</v></cell><cell r="AB505" t="str"><v>USA_gaPMG_AZR_AZR_Q1_19_Direct-Social</v></cell><cell r="AC505"><v>21358715</v></cell><cell r="AD505"><v>720197</v></cell><cell r="AE505" t="str"><v>Facebook</v></cell><cell r="AF505"><v>3654128</v></cell><cell r="AG505" t="str"><v>FACEBOOK»USA-Trial-ITD-Interest Prospecting-AZR-AZR»1 x 1»SocialBan»CAN»ALL»CPA»PRO»X»NA»SS»NA»FBCTCBenefit2inMotion»PRC1SW</v></cell><cell r="AH505"><v>223933138</v></cell><cell r="AI505" t="str"><v>AzurePlatform_FBCTCBenefit2inMotion_USA_10s_CAN_PLATFORM_English_Trial_Standard_STAN_TIN_T4_1</v></cell><cell r="AJ505"><v>103043835</v></cell></row><row r="506"><cell r="C506" t="str"><v>43286FACEBOOK»USA-Trial-ITD-Interest Prospecting-AZR-AZR»1 x 1»SocialBan»CAN»ALL»CPA»PRO»X»NA»SS»NA»FBCTCBenefit2inMotion»PRC1SW</v></cell><cell r="D506" t="str"><v>43286223933138</v></cell><cell r="E506" t="str"><v>43286103178645PRC1SW</v></cell><cell r="F506" t="str"><v>DCM</v></cell><cell r="G506" t="str"><v>https://azure.microsoft.com/en-us/pricing/purchase-options/?v=18.19&OCID=AID%eexcid!_OLA_%ebuy!_%epid!_%ecid!</v></cell></row><row r="506"><cell r="K506" t="str"><v>July</v></cell><cell r="L506"><v>43288</v></cell><cell r="M506" t="str"><v>Tier 0</v></cell><cell r="N506" t="str"><v>North America</v></cell><cell r="O506" t="str"><v>United States</v></cell><cell r="P506" t="str"><v>Trial</v></cell><cell r="Q506" t="str"><v>Social</v></cell><cell r="R506" t="str"><v>Azure</v></cell><cell r="S506" t="str"><v>Apps & Infra</v></cell><cell r="T506" t="str"><v>Developers & ITI's</v></cell><cell r="U506" t="str"><v>USA-Trial-ITD-Interest Prospecting-AZR-AZR</v></cell><cell r="V506" t="str"><v>Prospecting</v></cell><cell r="W506" t="str"><v>Canvas Ad</v></cell><cell r="X506" t="str"><v>1x1</v></cell></row><row r="506"><cell r="AA506"><v>43286</v></cell><cell r="AB506" t="str"><v>USA_gaPMG_AZR_AZR_Q1_19_Direct-Social</v></cell><cell r="AC506"><v>21358715</v></cell><cell r="AD506"><v>720197</v></cell><cell r="AE506" t="str"><v>Facebook</v></cell><cell r="AF506"><v>3654128</v></cell><cell r="AG506" t="str"><v>FACEBOOK»USA-Trial-ITD-Interest Prospecting-AZR-AZR»1 x 1»SocialBan»CAN»ALL»CPA»PRO»X»NA»SS»NA»FBCTCBenefit2inMotion»PRC1SW</v></cell><cell r="AH506"><v>223933138</v></cell><cell r="AI506" t="str"><v>AzurePlatform_FBCTCBenefit2inMotion_USA_10s_CAN_PLATFORM_English_Trial_Standard_STAN_TIN_T4_2</v></cell><cell r="AJ506"><v>103178645</v></cell></row><row r="507"><cell r="C507" t="str"><v>43286FACEBOOK»USA-Trial-ITD-Interest Prospecting-AZR-AZR»1 x 1»SocialBan»CAN»ALL»CPA»PRO»X»NA»SS»NA»FBCTCBrandinMotion»PRC1SY</v></cell><cell r="D507" t="str"><v>43286224104929</v></cell><cell r="E507" t="str"><v>43286103176812PRC1SY</v></cell><cell r="F507" t="str"><v>DCM</v></cell><cell r="G507" t="str"><v>https://signup.azure.com/?OCID=AID%eexcid!_OLA_%ebuy!_%epid!_%ecid!</v></cell></row><row r="507"><cell r="K507" t="str"><v>July</v></cell><cell r="L507"><v>43288</v></cell><cell r="M507" t="str"><v>Tier 0</v></cell><cell r="N507" t="str"><v>North America</v></cell><cell r="O507" t="str"><v>United States</v></cell><cell r="P507" t="str"><v>Trial</v></cell><cell r="Q507" t="str"><v>Social</v></cell><cell r="R507" t="str"><v>Azure</v></cell><cell r="S507" t="str"><v>Apps & Infra</v></cell><cell r="T507" t="str"><v>Developers & ITI's</v></cell><cell r="U507" t="str"><v>USA-Trial-ITD-Interest Prospecting-AZR-AZR</v></cell><cell r="V507" t="str"><v>Prospecting</v></cell><cell r="W507" t="str"><v>Canvas Ad</v></cell><cell r="X507" t="str"><v>1x1</v></cell></row><row r="507"><cell r="AA507"><v>43286</v></cell><cell r="AB507" t="str"><v>USA_gaPMG_AZR_AZR_Q1_19_Direct-Social</v></cell><cell r="AC507"><v>21358715</v></cell><cell r="AD507"><v>720197</v></cell><cell r="AE507" t="str"><v>Facebook</v></cell><cell r="AF507"><v>3654128</v></cell><cell r="AG507" t="str"><v>FACEBOOK»USA-Trial-ITD-Interest Prospecting-AZR-AZR»1 x 1»SocialBan»CAN»ALL»CPA»PRO»X»NA»SS»NA»FBCTCBrandinMotion»PRC1SY</v></cell><cell r="AH507"><v>224104929</v></cell><cell r="AI507" t="str"><v>AzurePlatform_FBCTCBrandinMotion_USA_10s_CAN_PLATFORM_English_Trial_Standard_STAN_TIN_T2_1</v></cell><cell r="AJ507"><v>103176812</v></cell></row><row r="508"><cell r="C508" t="str"><v>43286FACEBOOK»USA-Trial-ITD-Interest Prospecting-AZR-AZR»1 x 1»SocialBan»CAN»ALL»CPA»PRO»X»NA»SS»NA»FBCTCBrandinMotion»PRC1SY</v></cell><cell r="D508" t="str"><v>43286224104929</v></cell><cell r="E508" t="str"><v>43286103032823PRC1SY</v></cell><cell r="F508" t="str"><v>DCM</v></cell><cell r="G508" t="str"><v>https://azure.microsoft.com/en-us/pricing/purchase-options/?v=18.19&OCID=AID%eexcid!_OLA_%ebuy!_%epid!_%ecid!</v></cell></row><row r="508"><cell r="K508" t="str"><v>July</v></cell><cell r="L508"><v>43288</v></cell><cell r="M508" t="str"><v>Tier 0</v></cell><cell r="N508" t="str"><v>North America</v></cell><cell r="O508" t="str"><v>United States</v></cell><cell r="P508" t="str"><v>Trial</v></cell><cell r="Q508" t="str"><v>Social</v></cell><cell r="R508" t="str"><v>Azure</v></cell><cell r="S508" t="str"><v>Apps & Infra</v></cell><cell r="T508" t="str"><v>Developers & ITI's</v></cell><cell r="U508" t="str"><v>USA-Trial-ITD-Interest Prospecting-AZR-AZR</v></cell><cell r="V508" t="str"><v>Prospecting</v></cell><cell r="W508" t="str"><v>Canvas Ad</v></cell><cell r="X508" t="str"><v>1x1</v></cell></row><row r="508"><cell r="AA508"><v>43286</v></cell><cell r="AB508" t="str"><v>USA_gaPMG_AZR_AZR_Q1_19_Direct-Social</v></cell><cell r="AC508"><v>21358715</v></cell><cell r="AD508"><v>720197</v></cell><cell r="AE508" t="str"><v>Facebook</v></cell><cell r="AF508"><v>3654128</v></cell><cell r="AG508" t="str"><v>FACEBOOK»USA-Trial-ITD-Interest Prospecting-AZR-AZR»1 x 1»SocialBan»CAN»ALL»CPA»PRO»X»NA»SS»NA»FBCTCBrandinMotion»PRC1SY</v></cell><cell r="AH508"><v>224104929</v></cell><cell r="AI508" t="str"><v>AzurePlatform_FBCTCBrandinMotion_USA_10s_CAN_PLATFORM_English_Trial_Standard_STAN_TIN_T2_2</v></cell><cell r="AJ508"><v>103032823</v></cell></row><row r="509"><cell r="C509" t="str"><v>43286FACEBOOK»USA-Trial-ITD-Interest Prospecting-AZR-AZR»1 x 1»SocialBan»LIA»ALL»CPA»PRO»X»NA»SS»NA»FreeAcctDeveloperFB-AnimatedGeneric-Ch1»PRC1SZ</v></cell><cell r="D509" t="str"><v>43286224104932</v></cell><cell r="E509" t="str"><v>43286103176851PRC1SZ</v></cell><cell r="F509" t="str"><v>DCM</v></cell><cell r="G509" t="str"><v>https://azure.microsoft.com/en-us/free/search/?OCID=AID%eexcid!_OLA_%ebuy!_%epid!_%ecid!</v></cell></row><row r="509"><cell r="K509" t="str"><v>July</v></cell><cell r="L509"><v>43288</v></cell><cell r="M509" t="str"><v>Tier 0</v></cell><cell r="N509" t="str"><v>North America</v></cell><cell r="O509" t="str"><v>United States</v></cell><cell r="P509" t="str"><v>Trial</v></cell><cell r="Q509" t="str"><v>Social</v></cell><cell r="R509" t="str"><v>Azure</v></cell><cell r="S509" t="str"><v>Apps & Infra</v></cell><cell r="T509" t="str"><v>Developers & ITI's</v></cell><cell r="U509" t="str"><v>USA-Trial-ITD-Interest Prospecting-AZR-AZR</v></cell><cell r="V509" t="str"><v>Prospecting</v></cell><cell r="W509" t="str"><v>Link Ad</v></cell><cell r="X509" t="str"><v>1x1</v></cell></row><row r="509"><cell r="AA509"><v>43286</v></cell><cell r="AB509" t="str"><v>USA_gaPMG_AZR_AZR_Q1_19_Direct-Social</v></cell><cell r="AC509"><v>21358715</v></cell><cell r="AD509"><v>720197</v></cell><cell r="AE509" t="str"><v>Facebook</v></cell><cell r="AF509"><v>3654128</v></cell><cell r="AG509" t="str"><v>FACEBOOK»USA-Trial-ITD-Interest Prospecting-AZR-AZR»1 x 1»SocialBan»LIA»ALL»CPA»PRO»X»NA»SS»NA»FreeAcctDeveloperFB-AnimatedGeneric-Ch1»PRC1SZ</v></cell><cell r="AH509"><v>224104932</v></cell><cell r="AI509" t="str"><v>AZR_FreeAcctDeveloperFB-AnimatedGeneric-Ch1_USA_1200x1200_CAN_Direct_English_Trial_Standard_ANI_LEA_T1_2</v></cell><cell r="AJ509"><v>103176851</v></cell></row><row r="510"><cell r="C510" t="str"><v>43286FACEBOOK»USA-Trial-ITD-Interest Prospecting-AZR-AZR»1 x 1»SocialBan»LIA»ALL»CPA»PRO»X»NA»SS»NA»FreeAcctDeveloperFB-AnimatedGeneric-Ch1»PRC1T0</v></cell><cell r="D510" t="str"><v>43286223934065</v></cell><cell r="E510" t="str"><v>43286103176851PRC1T0</v></cell><cell r="F510" t="str"><v>DCM</v></cell><cell r="G510" t="str"><v>https://azure.microsoft.com/en-us/free/search/?OCID=AID%eexcid!_OLA_%ebuy!_%epid!_%ecid!</v></cell></row><row r="510"><cell r="K510" t="str"><v>July</v></cell><cell r="L510"><v>43288</v></cell><cell r="M510" t="str"><v>Tier 0</v></cell><cell r="N510" t="str"><v>North America</v></cell><cell r="O510" t="str"><v>United States</v></cell><cell r="P510" t="str"><v>Trial</v></cell><cell r="Q510" t="str"><v>Social</v></cell><cell r="R510" t="str"><v>Azure</v></cell><cell r="S510" t="str"><v>Apps & Infra</v></cell><cell r="T510" t="str"><v>Developers & ITI's</v></cell><cell r="U510" t="str"><v>USA-Trial-ITD-Interest Prospecting-AZR-AZR</v></cell><cell r="V510" t="str"><v>Prospecting</v></cell><cell r="W510" t="str"><v>Link Ad</v></cell><cell r="X510" t="str"><v>1x1</v></cell></row><row r="510"><cell r="AA510"><v>43286</v></cell><cell r="AB510" t="str"><v>USA_gaPMG_AZR_AZR_Q1_19_Direct-Social</v></cell><cell r="AC510"><v>21358715</v></cell><cell r="AD510"><v>720197</v></cell><cell r="AE510" t="str"><v>Facebook</v></cell><cell r="AF510"><v>3654128</v></cell><cell r="AG510" t="str"><v>FACEBOOK»USA-Trial-ITD-Interest Prospecting-AZR-AZR»1 x 1»SocialBan»LIA»ALL»CPA»PRO»X»NA»SS»NA»FreeAcctDeveloperFB-AnimatedGeneric-Ch1»PRC1T0</v></cell><cell r="AH510"><v>223934065</v></cell><cell r="AI510" t="str"><v>AZR_FreeAcctDeveloperFB-AnimatedGeneric-Ch1_USA_1200x1200_CAN_Direct_English_Trial_Standard_ANI_LEA_T1_2</v></cell><cell r="AJ510"><v>103176851</v></cell></row><row r="511"><cell r="C511" t="str"><v>43286FACEBOOK»USA-Trial-ITD-Interest Prospecting-AZR-AZR»1 x 1»SocialBan»LIA»ALL»CPA»PRO»X»NA»SS»NA»FreeAcctITProFB-AnimatedHybrid-Ch2»PRC1T5</v></cell><cell r="D511" t="str"><v>43286223862882</v></cell><cell r="E511" t="str"><v>43286103180583PRC1T5</v></cell><cell r="F511" t="str"><v>DCM</v></cell></row><row r="511"><cell r="K511" t="str"><v>July</v></cell><cell r="L511"><v>43288</v></cell><cell r="M511" t="str"><v>Tier 0</v></cell><cell r="N511" t="str"><v>North America</v></cell><cell r="O511" t="str"><v>United States</v></cell><cell r="P511" t="str"><v>Trial</v></cell><cell r="Q511" t="str"><v>Social</v></cell><cell r="R511" t="str"><v>Azure</v></cell><cell r="S511" t="str"><v>Apps & Infra</v></cell><cell r="T511" t="str"><v>Developers & ITI's</v></cell><cell r="U511" t="str"><v>USA-Trial-ITD-Interest Prospecting-AZR-AZR</v></cell><cell r="V511" t="str"><v>Prospecting</v></cell><cell r="W511" t="str"><v>Link Ad</v></cell><cell r="X511" t="str"><v>1x1</v></cell></row><row r="511"><cell r="AA511"><v>43286</v></cell><cell r="AB511" t="str"><v>USA_gaPMG_AZR_AZR_Q1_19_Direct-Social</v></cell><cell r="AC511"><v>21358715</v></cell><cell r="AD511"><v>720197</v></cell><cell r="AE511" t="str"><v>Facebook</v></cell><cell r="AF511"><v>3654128</v></cell><cell r="AG511" t="str"><v>FACEBOOK»USA-Trial-ITD-Interest Prospecting-AZR-AZR»1 x 1»SocialBan»LIA»ALL»CPA»PRO»X»NA»SS»NA»FreeAcctITProFB-AnimatedHybrid-Ch2»PRC1T5</v></cell><cell r="AH511"><v>223862882</v></cell><cell r="AI511" t="str"><v>AZR_FreeAcctITProFB-AnimatedHybrid-Ch2_USA_1200x1200_CAN_Direct_English_Trial_Standard_ANI_LEA_T2_2</v></cell><cell r="AJ511"><v>103180583</v></cell></row><row r="512"><cell r="C512" t="str"><v>43286FACEBOOK»USA-Trial-ITD-Interest Prospecting-AZR-AZR»1 x 1»SocialBan»LIA»ALL»CPA»PRO»X»NA»SS»NA»FreeAcctITProFB-AnimatedSecureMngd-Ch1»PRC1T4</v></cell><cell r="D512" t="str"><v>43286224104914</v></cell><cell r="E512" t="str"><v>43286103176830PRC1T4</v></cell><cell r="F512" t="str"><v>DCM</v></cell></row><row r="512"><cell r="K512" t="str"><v>July</v></cell><cell r="L512"><v>43288</v></cell><cell r="M512" t="str"><v>Tier 0</v></cell><cell r="N512" t="str"><v>North America</v></cell><cell r="O512" t="str"><v>United States</v></cell><cell r="P512" t="str"><v>Trial</v></cell><cell r="Q512" t="str"><v>Social</v></cell><cell r="R512" t="str"><v>Azure</v></cell><cell r="S512" t="str"><v>Apps & Infra</v></cell><cell r="T512" t="str"><v>Developers & ITI's</v></cell><cell r="U512" t="str"><v>USA-Trial-ITD-Interest Prospecting-AZR-AZR</v></cell><cell r="V512" t="str"><v>Prospecting</v></cell><cell r="W512" t="str"><v>Link Ad</v></cell><cell r="X512" t="str"><v>1x1</v></cell></row><row r="512"><cell r="AA512"><v>43286</v></cell><cell r="AB512" t="str"><v>USA_gaPMG_AZR_AZR_Q1_19_Direct-Social</v></cell><cell r="AC512"><v>21358715</v></cell><cell r="AD512"><v>720197</v></cell><cell r="AE512" t="str"><v>Facebook</v></cell><cell r="AF512"><v>3654128</v></cell><cell r="AG512" t="str"><v>FACEBOOK»USA-Trial-ITD-Interest Prospecting-AZR-AZR»1 x 1»SocialBan»LIA»ALL»CPA»PRO»X»NA»SS»NA»FreeAcctITProFB-AnimatedSecureMngd-Ch1»PRC1T4</v></cell><cell r="AH512"><v>224104914</v></cell><cell r="AI512" t="str"><v>AZR_FreeAcctITProFB-AnimatedSecureMngd-Ch1_USA_1200x1200_CAN_Direct_English_Trial_Standard_ANI_LEA_T1_1</v></cell><cell r="AJ512"><v>103176830</v></cell></row><row r="513"><cell r="C513" t="str"><v>43286FACEBOOK»USA-Trial-ITD-Interest Prospecting-AZR-AZR»1 x 1»SocialBan»CAN»ALL»CPA»PRO»X»NA»SS»NA»FBCTCBenefitinMotion»PRC1SX</v></cell><cell r="D513" t="str"><v>43286224104077</v></cell><cell r="E513" t="str"><v>43286103032775PRC1SX</v></cell><cell r="F513" t="str"><v>DCM</v></cell><cell r="G513" t="str"><v>https://signup.azure.com/?OCID=AID%eexcid!_OLA_%ebuy!_%epid!_%ecid!</v></cell></row><row r="513"><cell r="K513" t="str"><v>July</v></cell><cell r="L513"><v>43288</v></cell><cell r="M513" t="str"><v>Tier 0</v></cell><cell r="N513" t="str"><v>North America</v></cell><cell r="O513" t="str"><v>United States</v></cell><cell r="P513" t="str"><v>Trial</v></cell><cell r="Q513" t="str"><v>Social</v></cell><cell r="R513" t="str"><v>Azure</v></cell><cell r="S513" t="str"><v>Apps & Infra</v></cell><cell r="T513" t="str"><v>Developers & ITI's</v></cell><cell r="U513" t="str"><v>USA-Trial-ITD-Interest Prospecting-AZR-AZR</v></cell><cell r="V513" t="str"><v>Prospecting</v></cell><cell r="W513" t="str"><v>Canvas Ad</v></cell><cell r="X513" t="str"><v>1x1</v></cell></row><row r="513"><cell r="AA513"><v>43286</v></cell><cell r="AB513" t="str"><v>USA_gaPMG_AZR_AZR_Q1_19_Direct-Social</v></cell><cell r="AC513"><v>21358715</v></cell><cell r="AD513"><v>720197</v></cell><cell r="AE513" t="str"><v>Facebook</v></cell><cell r="AF513"><v>3654128</v></cell><cell r="AG513" t="str"><v>FACEBOOK»USA-Trial-ITD-Interest Prospecting-AZR-AZR»1 x 1»SocialBan»CAN»ALL»CPA»PRO»X»NA»SS»NA»FBCTCBenefitinMotion»PRC1SX</v></cell><cell r="AH513"><v>224104077</v></cell><cell r="AI513" t="str"><v>AzurePlatform_FBCTCBenefitinMotion_USA_10s_CAN_PLATFORM_English_Trial_Standard_STAN_TIN_T3_1</v></cell><cell r="AJ513"><v>103032775</v></cell></row><row r="514"><cell r="C514" t="str"><v>43286FACEBOOK»USA-Trial-ITD-Retargeting-AZR-AZR»1 x 1»SocialBan»LIA»ALL»CPA»RT»X»NA»SS»NA»FreeAcctDeveloperFB-AnimatedAI-Ch3»PRC26H</v></cell><cell r="D514" t="str"><v>43286223863371</v></cell><cell r="E514" t="str"><v>43286103032778PRC26H</v></cell><cell r="F514" t="str"><v>DCM</v></cell></row><row r="514"><cell r="K514" t="str"><v>July</v></cell><cell r="L514"><v>43288</v></cell><cell r="M514" t="str"><v>Tier 0</v></cell><cell r="N514" t="str"><v>North America</v></cell><cell r="O514" t="str"><v>United States</v></cell><cell r="P514" t="str"><v>Trial</v></cell><cell r="Q514" t="str"><v>Social</v></cell><cell r="R514" t="str"><v>Azure</v></cell><cell r="S514" t="str"><v>Apps & Infra</v></cell><cell r="T514" t="str"><v>Developers & ITI's</v></cell><cell r="U514" t="str"><v>USA-Trial-ITD-Retargeting-AZR-AZR</v></cell><cell r="V514" t="str"><v>Retargeting</v></cell><cell r="W514" t="str"><v>Link Ad</v></cell><cell r="X514" t="str"><v>1x1</v></cell></row><row r="514"><cell r="AA514"><v>43286</v></cell><cell r="AB514" t="str"><v>USA_gaPMG_AZR_AZR_Q1_19_Direct-Social</v></cell><cell r="AC514"><v>21358715</v></cell><cell r="AD514"><v>720197</v></cell><cell r="AE514" t="str"><v>Facebook</v></cell><cell r="AF514"><v>3654128</v></cell><cell r="AG514" t="str"><v>FACEBOOK»USA-Trial-ITD-Retargeting-AZR-AZR»1 x 1»SocialBan»LIA»ALL»CPA»RT»X»NA»SS»NA»FreeAcctDeveloperFB-AnimatedAI-Ch3»PRC26H</v></cell><cell r="AH514"><v>223863371</v></cell><cell r="AI514" t="str"><v>AZR_FreeAcctDeveloperFB-AnimatedAI-Ch3_USA_1200x1200_CAN_Direct_English_Trial_Standard_ANI_LEA_T3_1</v></cell><cell r="AJ514"><v>103032778</v></cell></row><row r="515"><cell r="C515" t="str"><v>43286FACEBOOK»USA-Trial-ITD-Retargeting-AZR-AZR»1 x 1»SocialBan»LIA»ALL»CPA»RT»X»NA»SS»NA»FreeAcctDeveloperFB-AnimatedData-Ch4»PRC26J</v></cell><cell r="D515" t="str"><v>43286224106078</v></cell><cell r="E515" t="str"><v>43286103037935PRC26J</v></cell><cell r="F515" t="str"><v>DCM</v></cell></row><row r="515"><cell r="K515" t="str"><v>July</v></cell><cell r="L515"><v>43288</v></cell><cell r="M515" t="str"><v>Tier 0</v></cell><cell r="N515" t="str"><v>North America</v></cell><cell r="O515" t="str"><v>United States</v></cell><cell r="P515" t="str"><v>Trial</v></cell><cell r="Q515" t="str"><v>Social</v></cell><cell r="R515" t="str"><v>Azure</v></cell><cell r="S515" t="str"><v>Apps & Infra</v></cell><cell r="T515" t="str"><v>Developers & ITI's</v></cell><cell r="U515" t="str"><v>USA-Trial-ITD-Retargeting-AZR-AZR</v></cell><cell r="V515" t="str"><v>Retargeting</v></cell><cell r="W515" t="str"><v>Link Ad</v></cell><cell r="X515" t="str"><v>1x1</v></cell></row><row r="515"><cell r="AA515"><v>43286</v></cell><cell r="AB515" t="str"><v>USA_gaPMG_AZR_AZR_Q1_19_Direct-Social</v></cell><cell r="AC515"><v>21358715</v></cell><cell r="AD515"><v>720197</v></cell><cell r="AE515" t="str"><v>Facebook</v></cell><cell r="AF515"><v>3654128</v></cell><cell r="AG515" t="str"><v>FACEBOOK»USA-Trial-ITD-Retargeting-AZR-AZR»1 x 1»SocialBan»LIA»ALL»CPA»RT»X»NA»SS»NA»FreeAcctDeveloperFB-AnimatedData-Ch4»PRC26J</v></cell><cell r="AH515"><v>224106078</v></cell><cell r="AI515" t="str"><v>AZR_FreeAcctDeveloperFB-AnimatedData-Ch4_USA_1200x1200_CAN_Direct_English_Trial_Standard_ANI_LEA_T4_2</v></cell><cell r="AJ515"><v>103037935</v></cell></row><row r="516"><cell r="C516" t="str"><v>43286FACEBOOK»USA-Trial-ITD-Retargeting-AZR-AZR»1 x 1»SocialBan»LIA»ALL»CPA»RT»X»NA»SS»NA»FreeAcctDeveloperFB-AnimatedGeneric-Ch1»PRC26F</v></cell><cell r="D516" t="str"><v>43286224105850</v></cell><cell r="E516" t="str"><v>43286103176851PRC26F</v></cell><cell r="F516" t="str"><v>DCM</v></cell><cell r="G516" t="str"><v>https://azure.microsoft.com/en-us/free/search/?OCID=AID%eexcid!_OLA_%ebuy!_%epid!_%ecid!</v></cell></row><row r="516"><cell r="K516" t="str"><v>July</v></cell><cell r="L516"><v>43288</v></cell><cell r="M516" t="str"><v>Tier 0</v></cell><cell r="N516" t="str"><v>North America</v></cell><cell r="O516" t="str"><v>United States</v></cell><cell r="P516" t="str"><v>Trial</v></cell><cell r="Q516" t="str"><v>Social</v></cell><cell r="R516" t="str"><v>Azure</v></cell><cell r="S516" t="str"><v>Apps & Infra</v></cell><cell r="T516" t="str"><v>Developers & ITI's</v></cell><cell r="U516" t="str"><v>USA-Trial-ITD-Retargeting-AZR-AZR</v></cell><cell r="V516" t="str"><v>Retargeting</v></cell><cell r="W516" t="str"><v>Link Ad</v></cell><cell r="X516" t="str"><v>1x1</v></cell></row><row r="516"><cell r="AA516"><v>43286</v></cell><cell r="AB516" t="str"><v>USA_gaPMG_AZR_AZR_Q1_19_Direct-Social</v></cell><cell r="AC516"><v>21358715</v></cell><cell r="AD516"><v>720197</v></cell><cell r="AE516" t="str"><v>Facebook</v></cell><cell r="AF516"><v>3654128</v></cell><cell r="AG516" t="str"><v>FACEBOOK»USA-Trial-ITD-Retargeting-AZR-AZR»1 x 1»SocialBan»LIA»ALL»CPA»RT»X»NA»SS»NA»FreeAcctDeveloperFB-AnimatedGeneric-Ch1»PRC26F</v></cell><cell r="AH516"><v>224105850</v></cell><cell r="AI516" t="str"><v>AZR_FreeAcctDeveloperFB-AnimatedGeneric-Ch1_USA_1200x1200_CAN_Direct_English_Trial_Standard_ANI_LEA_T1_2</v></cell><cell r="AJ516"><v>103176851</v></cell></row><row r="517"><cell r="C517" t="str"><v>43286FACEBOOK»USA-Trial-ITD-Retargeting-AZR-AZR»1 x 1»SocialBan»LIA»ALL»CPA»RT»X»NA»SS»NA»FreeAcctDeveloperFB-AnimatedOpenSource-Ch2»PRC26G</v></cell><cell r="D517" t="str"><v>43286223862873</v></cell><cell r="E517" t="str"><v>43286103048329PRC26G</v></cell><cell r="F517" t="str"><v>DCM</v></cell><cell r="G517" t="str"><v>https://azure.microsoft.com/en-us/free/open-source/search/?OCID=AID%eexcid!_OLA_%ebuy!_%epid!_%ecid!</v></cell></row><row r="517"><cell r="K517" t="str"><v>July</v></cell><cell r="L517"><v>43288</v></cell><cell r="M517" t="str"><v>Tier 0</v></cell><cell r="N517" t="str"><v>North America</v></cell><cell r="O517" t="str"><v>United States</v></cell><cell r="P517" t="str"><v>Trial</v></cell><cell r="Q517" t="str"><v>Social</v></cell><cell r="R517" t="str"><v>Azure</v></cell><cell r="S517" t="str"><v>Apps & Infra</v></cell><cell r="T517" t="str"><v>Developers & ITI's</v></cell><cell r="U517" t="str"><v>USA-Trial-ITD-Retargeting-AZR-AZR</v></cell><cell r="V517" t="str"><v>Retargeting</v></cell><cell r="W517" t="str"><v>Link Ad</v></cell><cell r="X517" t="str"><v>1x1</v></cell></row><row r="517"><cell r="AA517"><v>43286</v></cell><cell r="AB517" t="str"><v>USA_gaPMG_AZR_AZR_Q1_19_Direct-Social</v></cell><cell r="AC517"><v>21358715</v></cell><cell r="AD517"><v>720197</v></cell><cell r="AE517" t="str"><v>Facebook</v></cell><cell r="AF517"><v>3654128</v></cell><cell r="AG517" t="str"><v>FACEBOOK»USA-Trial-ITD-Retargeting-AZR-AZR»1 x 1»SocialBan»LIA»ALL»CPA»RT»X»NA»SS»NA»FreeAcctDeveloperFB-AnimatedOpenSource-Ch2»PRC26G</v></cell><cell r="AH517"><v>223862873</v></cell><cell r="AI517" t="str"><v>AZR_FreeAcctDeveloperFB-AnimatedOpenSource-Ch2_USA_1200x1200_CAN_Direct_English_Trial_Standard_ANI_LEA_T2_1</v></cell><cell r="AJ517"><v>103048329</v></cell></row><row r="518"><cell r="C518" t="str"><v>43286FACEBOOK»USA-Trial-ITD-Retargeting-AZR-AZR»1 x 1»SocialBan»LIA»ALL»CPA»RT»X»NA»SS»NA»FreeAcctITProFB-AnimatedHybrid-Ch2»PRC26N</v></cell><cell r="D518" t="str"><v>43286223934053</v></cell><cell r="E518" t="str"><v>43286103180583PRC26N</v></cell><cell r="F518" t="str"><v>DCM</v></cell></row><row r="518"><cell r="K518" t="str"><v>July</v></cell><cell r="L518"><v>43288</v></cell><cell r="M518" t="str"><v>Tier 0</v></cell><cell r="N518" t="str"><v>North America</v></cell><cell r="O518" t="str"><v>United States</v></cell><cell r="P518" t="str"><v>Trial</v></cell><cell r="Q518" t="str"><v>Social</v></cell><cell r="R518" t="str"><v>Azure</v></cell><cell r="S518" t="str"><v>Apps & Infra</v></cell><cell r="T518" t="str"><v>Developers & ITI's</v></cell><cell r="U518" t="str"><v>USA-Trial-ITD-Retargeting-AZR-AZR</v></cell><cell r="V518" t="str"><v>Retargeting</v></cell><cell r="W518" t="str"><v>Link Ad</v></cell><cell r="X518" t="str"><v>1x1</v></cell></row><row r="518"><cell r="AA518"><v>43286</v></cell><cell r="AB518" t="str"><v>USA_gaPMG_AZR_AZR_Q1_19_Direct-Social</v></cell><cell r="AC518"><v>21358715</v></cell><cell r="AD518"><v>720197</v></cell><cell r="AE518" t="str"><v>Facebook</v></cell><cell r="AF518"><v>3654128</v></cell><cell r="AG518" t="str"><v>FACEBOOK»USA-Trial-ITD-Retargeting-AZR-AZR»1 x 1»SocialBan»LIA»ALL»CPA»RT»X»NA»SS»NA»FreeAcctITProFB-AnimatedHybrid-Ch2»PRC26N</v></cell><cell r="AH518"><v>223934053</v></cell><cell r="AI518" t="str"><v>AZR_FreeAcctITProFB-AnimatedHybrid-Ch2_USA_1200x1200_CAN_Direct_English_Trial_Standard_ANI_LEA_T2_2</v></cell><cell r="AJ518"><v>103180583</v></cell></row><row r="519"><cell r="C519" t="str"><v>43286FACEBOOK»USA-Trial-ITD-Retargeting-AZR-AZR»1 x 1»SocialBan»LIA»ALL»CPA»RT»X»NA»SS»NA»FreeAcctITProFB-AnimatedMigration-Ch3»PRC26P</v></cell><cell r="D519" t="str"><v>43286223934056</v></cell><cell r="E519" t="str"><v>43286103176827PRC26P</v></cell><cell r="F519" t="str"><v>DCM</v></cell></row><row r="519"><cell r="K519" t="str"><v>July</v></cell><cell r="L519"><v>43288</v></cell><cell r="M519" t="str"><v>Tier 0</v></cell><cell r="N519" t="str"><v>North America</v></cell><cell r="O519" t="str"><v>United States</v></cell><cell r="P519" t="str"><v>Trial</v></cell><cell r="Q519" t="str"><v>Social</v></cell><cell r="R519" t="str"><v>Azure</v></cell><cell r="S519" t="str"><v>Apps & Infra</v></cell><cell r="T519" t="str"><v>Developers & ITI's</v></cell><cell r="U519" t="str"><v>USA-Trial-ITD-Retargeting-AZR-AZR</v></cell><cell r="V519" t="str"><v>Retargeting</v></cell><cell r="W519" t="str"><v>Link Ad</v></cell><cell r="X519" t="str"><v>1x1</v></cell></row><row r="519"><cell r="AA519"><v>43286</v></cell><cell r="AB519" t="str"><v>USA_gaPMG_AZR_AZR_Q1_19_Direct-Social</v></cell><cell r="AC519"><v>21358715</v></cell><cell r="AD519"><v>720197</v></cell><cell r="AE519" t="str"><v>Facebook</v></cell><cell r="AF519"><v>3654128</v></cell><cell r="AG519" t="str"><v>FACEBOOK»USA-Trial-ITD-Retargeting-AZR-AZR»1 x 1»SocialBan»LIA»ALL»CPA»RT»X»NA»SS»NA»FreeAcctITProFB-AnimatedMigration-Ch3»PRC26P</v></cell><cell r="AH519"><v>223934056</v></cell><cell r="AI519" t="str"><v>AZR_FreeAcctITProFB-AnimatedMigration-Ch3_USA_1200x1200_CAN_Direct_English_Trial_Standard_ANI_LEA_T3_1</v></cell><cell r="AJ519"><v>103176827</v></cell></row><row r="520"><cell r="C520" t="str"><v>43286FACEBOOK»USA-Trial-ITD-Retargeting-AZR-AZR»1 x 1»SocialBan»LIA»ALL»CPA»RT»X»NA»SS»NA»FreeAcctRetargetingFB-Animated-ChC»PRC1RX</v></cell><cell r="D520" t="str"><v>43286223862864</v></cell><cell r="E520" t="str"><v>43286103180880PRC1RX</v></cell><cell r="F520" t="str"><v>DCM</v></cell><cell r="G520" t="str"><v>https://azure.microsoft.com/en-us/free/search/?OCID=AID%eexcid!_OLA_%ebuy!_%epid!_%ecid!</v></cell></row><row r="520"><cell r="K520" t="str"><v>July</v></cell><cell r="L520"><v>43288</v></cell><cell r="M520" t="str"><v>Tier 0</v></cell><cell r="N520" t="str"><v>North America</v></cell><cell r="O520" t="str"><v>United States</v></cell><cell r="P520" t="str"><v>Trial</v></cell><cell r="Q520" t="str"><v>Social</v></cell><cell r="R520" t="str"><v>Azure</v></cell><cell r="S520" t="str"><v>Apps & Infra</v></cell><cell r="T520" t="str"><v>Developers & ITI's</v></cell><cell r="U520" t="str"><v>USA-Trial-ITD-Retargeting-AZR-AZR</v></cell><cell r="V520" t="str"><v>Retargeting</v></cell><cell r="W520" t="str"><v>Link Ad</v></cell><cell r="X520" t="str"><v>1x1</v></cell></row><row r="520"><cell r="AA520"><v>43286</v></cell><cell r="AB520" t="str"><v>USA_gaPMG_AZR_AZR_Q1_19_Direct-Social</v></cell><cell r="AC520"><v>21358715</v></cell><cell r="AD520"><v>720197</v></cell><cell r="AE520" t="str"><v>Facebook</v></cell><cell r="AF520"><v>3654128</v></cell><cell r="AG520" t="str"><v>FACEBOOK»USA-Trial-ITD-Retargeting-AZR-AZR»1 x 1»SocialBan»LIA»ALL»CPA»RT»X»NA»SS»NA»FreeAcctRetargetingFB-Animated-ChC»PRC1RX</v></cell><cell r="AH520"><v>223862864</v></cell><cell r="AI520" t="str"><v>AzurePlatform_FreeAcctRetargetingFB-Animated-ChC_USA_1200x628_CAN_PLATFORM_English_Free Account_Standard_ANI_SINU_T3_2</v></cell><cell r="AJ520"><v>103180880</v></cell></row><row r="521"><cell r="C521" t="str"><v>43286FACEBOOK»USA-Trial-ITD-Retargeting-AZR-AZR»1 x 1»SocialBan»LIA»ALL»CPA»RT»X»NA»SS»NA»FreeAcctRetargetingFB-Credit-ChA»PRC1RV</v></cell><cell r="D521" t="str"><v>43286224106075</v></cell><cell r="E521" t="str"><v>43286103034917PRC1RV</v></cell><cell r="F521" t="str"><v>DCM</v></cell><cell r="G521" t="str"><v>https://azure.microsoft.com/en-us/free/search/?OCID=AID%eexcid!_OLA_%ebuy!_%epid!_%ecid!</v></cell></row><row r="521"><cell r="K521" t="str"><v>July</v></cell><cell r="L521"><v>43288</v></cell><cell r="M521" t="str"><v>Tier 0</v></cell><cell r="N521" t="str"><v>North America</v></cell><cell r="O521" t="str"><v>United States</v></cell><cell r="P521" t="str"><v>Trial</v></cell><cell r="Q521" t="str"><v>Social</v></cell><cell r="R521" t="str"><v>Azure</v></cell><cell r="S521" t="str"><v>Apps & Infra</v></cell><cell r="T521" t="str"><v>Developers & ITI's</v></cell><cell r="U521" t="str"><v>USA-Trial-ITD-Retargeting-AZR-AZR</v></cell><cell r="V521" t="str"><v>Retargeting</v></cell><cell r="W521" t="str"><v>Link Ad</v></cell><cell r="X521" t="str"><v>1x1</v></cell></row><row r="521"><cell r="AA521"><v>43286</v></cell><cell r="AB521" t="str"><v>USA_gaPMG_AZR_AZR_Q1_19_Direct-Social</v></cell><cell r="AC521"><v>21358715</v></cell><cell r="AD521"><v>720197</v></cell><cell r="AE521" t="str"><v>Facebook</v></cell><cell r="AF521"><v>3654128</v></cell><cell r="AG521" t="str"><v>FACEBOOK»USA-Trial-ITD-Retargeting-AZR-AZR»1 x 1»SocialBan»LIA»ALL»CPA»RT»X»NA»SS»NA»FreeAcctRetargetingFB-Credit-ChA»PRC1RV</v></cell><cell r="AH521"><v>224106075</v></cell><cell r="AI521" t="str"><v>AzurePlatform_FreeAcctRetargetingFB-Credit-ChA_USA_1200x628_CAN_PLATFORM_English_Free Account_Standard_NA_SINU_T1_2</v></cell><cell r="AJ521"><v>103034917</v></cell></row><row r="522"><cell r="C522" t="str"><v>43286FACEBOOK»USA-Trial-ITD-Retargeting-AZR-AZR»1 x 1»SocialBan»LIA»ALL»CPA»RT»X»NA»SS»NA»FreeAcctRetargetingFB-GlobalAlt-ChB»PRC1RW</v></cell><cell r="D522" t="str"><v>43286223862756</v></cell><cell r="E522" t="str"><v>43286103180592PRC1RW</v></cell><cell r="F522" t="str"><v>DCM</v></cell><cell r="G522" t="str"><v>https://azure.microsoft.com/en-us/free/search/?OCID=AID%eexcid!_OLA_%ebuy!_%epid!_%ecid!</v></cell></row><row r="522"><cell r="K522" t="str"><v>July</v></cell><cell r="L522"><v>43288</v></cell><cell r="M522" t="str"><v>Tier 0</v></cell><cell r="N522" t="str"><v>North America</v></cell><cell r="O522" t="str"><v>United States</v></cell><cell r="P522" t="str"><v>Trial</v></cell><cell r="Q522" t="str"><v>Social</v></cell><cell r="R522" t="str"><v>Azure</v></cell><cell r="S522" t="str"><v>Apps & Infra</v></cell><cell r="T522" t="str"><v>Developers & ITI's</v></cell><cell r="U522" t="str"><v>USA-Trial-ITD-Retargeting-AZR-AZR</v></cell><cell r="V522" t="str"><v>Retargeting</v></cell><cell r="W522" t="str"><v>Link Ad</v></cell><cell r="X522" t="str"><v>1x1</v></cell></row><row r="522"><cell r="AA522"><v>43286</v></cell><cell r="AB522" t="str"><v>USA_gaPMG_AZR_AZR_Q1_19_Direct-Social</v></cell><cell r="AC522"><v>21358715</v></cell><cell r="AD522"><v>720197</v></cell><cell r="AE522" t="str"><v>Facebook</v></cell><cell r="AF522"><v>3654128</v></cell><cell r="AG522" t="str"><v>FACEBOOK»USA-Trial-ITD-Retargeting-AZR-AZR»1 x 1»SocialBan»LIA»ALL»CPA»RT»X»NA»SS»NA»FreeAcctRetargetingFB-GlobalAlt-ChB»PRC1RW</v></cell><cell r="AH522"><v>223862756</v></cell><cell r="AI522" t="str"><v>AzurePlatform_FreeAcctRetargetingFB-GlobalAlt-ChB_USA_1200x628_CAN_PLATFORM_English_Free Account_Standard_NA_SINU_T2_1</v></cell><cell r="AJ522"><v>103180592</v></cell></row><row r="523"><cell r="C523" t="str"><v>43286FACEBOOK»USA-Trial-ITD-Retargeting-AZR-AZR»1 x 1»SocialBan»LIA»ALL»CPA»RT»X»NA»SS»NA»FreeAcctRetargetingVMFB-OnDemand-ChE»PRC1S0</v></cell><cell r="D523" t="str"><v>43286224104899</v></cell><cell r="E523" t="str"><v>43286103180610PRC1S0</v></cell><cell r="F523" t="str"><v>DCM</v></cell><cell r="G523" t="str"><v>https://azure.microsoft.com/en-us/free/virtual-machines/search/?OCID=AID%eexcid!_OLA_%ebuy!_%epid!_%ecid!</v></cell></row><row r="523"><cell r="K523" t="str"><v>July</v></cell><cell r="L523"><v>43288</v></cell><cell r="M523" t="str"><v>Tier 0</v></cell><cell r="N523" t="str"><v>North America</v></cell><cell r="O523" t="str"><v>United States</v></cell><cell r="P523" t="str"><v>Trial</v></cell><cell r="Q523" t="str"><v>Social</v></cell><cell r="R523" t="str"><v>Azure</v></cell><cell r="S523" t="str"><v>Apps & Infra</v></cell><cell r="T523" t="str"><v>Developers & ITI's</v></cell><cell r="U523" t="str"><v>USA-Trial-ITD-Retargeting-AZR-AZR</v></cell><cell r="V523" t="str"><v>Retargeting</v></cell><cell r="W523" t="str"><v>Link Ad</v></cell><cell r="X523" t="str"><v>1x1</v></cell></row><row r="523"><cell r="AA523"><v>43286</v></cell><cell r="AB523" t="str"><v>USA_gaPMG_AZR_AZR_Q1_19_Direct-Social</v></cell><cell r="AC523"><v>21358715</v></cell><cell r="AD523"><v>720197</v></cell><cell r="AE523" t="str"><v>Facebook</v></cell><cell r="AF523"><v>3654128</v></cell><cell r="AG523" t="str"><v>FACEBOOK»USA-Trial-ITD-Retargeting-AZR-AZR»1 x 1»SocialBan»LIA»ALL»CPA»RT»X»NA»SS»NA»FreeAcctRetargetingVMFB-OnDemand-ChE»PRC1S0</v></cell><cell r="AH523"><v>224104899</v></cell><cell r="AI523" t="str"><v>AzurePlatform_FreeAcctRetargetingVMFB-OnDemand-ChE_USA_1200x628_CAN_PLATFORM_English_Free Account_Standard_NA_SINU_T2_1</v></cell><cell r="AJ523"><v>103180610</v></cell></row><row r="524"><cell r="C524" t="str"><v>43286FACEBOOK»USA-Trial-ITD-Retargeting-AZR-AZR»1 x 1»SocialBan»CAN»ALL»CPA»RT»X»NA»SS»NA»FBCTCBenefit2inMotion»PRC1RR</v></cell><cell r="D524" t="str"><v>43286224104896</v></cell><cell r="E524" t="str"><v>43286103043835PRC1RR</v></cell><cell r="F524" t="str"><v>DCM</v></cell><cell r="G524" t="str"><v>https://signup.azure.com/?OCID=AID%eexcid!_OLA_%ebuy!_%epid!_%ecid!</v></cell></row><row r="524"><cell r="K524" t="str"><v>July</v></cell><cell r="L524"><v>43288</v></cell><cell r="M524" t="str"><v>Tier 0</v></cell><cell r="N524" t="str"><v>North America</v></cell><cell r="O524" t="str"><v>United States</v></cell><cell r="P524" t="str"><v>Trial</v></cell><cell r="Q524" t="str"><v>Social</v></cell><cell r="R524" t="str"><v>Azure</v></cell><cell r="S524" t="str"><v>Apps & Infra</v></cell><cell r="T524" t="str"><v>Developers & ITI's</v></cell><cell r="U524" t="str"><v>USA-Trial-ITD-Retargeting-AZR-AZR</v></cell><cell r="V524" t="str"><v>Retargeting</v></cell><cell r="W524" t="str"><v>Canvas Ad</v></cell><cell r="X524" t="str"><v>1x1</v></cell></row><row r="524"><cell r="AA524"><v>43286</v></cell><cell r="AB524" t="str"><v>USA_gaPMG_AZR_AZR_Q1_19_Direct-Social</v></cell><cell r="AC524"><v>21358715</v></cell><cell r="AD524"><v>720197</v></cell><cell r="AE524" t="str"><v>Facebook</v></cell><cell r="AF524"><v>3654128</v></cell><cell r="AG524" t="str"><v>FACEBOOK»USA-Trial-ITD-Retargeting-AZR-AZR»1 x 1»SocialBan»CAN»ALL»CPA»RT»X»NA»SS»NA»FBCTCBenefit2inMotion»PRC1RR</v></cell><cell r="AH524"><v>224104896</v></cell><cell r="AI524" t="str"><v>AzurePlatform_FBCTCBenefit2inMotion_USA_10s_CAN_PLATFORM_English_Trial_Standard_STAN_TIN_T4_1</v></cell><cell r="AJ524"><v>103043835</v></cell></row><row r="525"><cell r="C525" t="str"><v>43286FACEBOOK»USA-Trial-ITD-Retargeting-AZR-AZR»1 x 1»SocialBan»CAN»ALL»CPA»RT»X»NA»SS»NA»FBCTCBenefit2inMotion»PRC1RR</v></cell><cell r="D525" t="str"><v>43286224104896</v></cell><cell r="E525" t="str"><v>43286103178645PRC1RR</v></cell><cell r="F525" t="str"><v>DCM</v></cell><cell r="G525" t="str"><v>https://azure.microsoft.com/en-us/pricing/purchase-options/?v=18.19&OCID=AID%eexcid!_OLA_%ebuy!_%epid!_%ecid!</v></cell></row><row r="525"><cell r="K525" t="str"><v>July</v></cell><cell r="L525"><v>43288</v></cell><cell r="M525" t="str"><v>Tier 0</v></cell><cell r="N525" t="str"><v>North America</v></cell><cell r="O525" t="str"><v>United States</v></cell><cell r="P525" t="str"><v>Trial</v></cell><cell r="Q525" t="str"><v>Social</v></cell><cell r="R525" t="str"><v>Azure</v></cell><cell r="S525" t="str"><v>Apps & Infra</v></cell><cell r="T525" t="str"><v>Developers & ITI's</v></cell><cell r="U525" t="str"><v>USA-Trial-ITD-Retargeting-AZR-AZR</v></cell><cell r="V525" t="str"><v>Retargeting</v></cell><cell r="W525" t="str"><v>Canvas Ad</v></cell><cell r="X525" t="str"><v>1x1</v></cell></row><row r="525"><cell r="AA525"><v>43286</v></cell><cell r="AB525" t="str"><v>USA_gaPMG_AZR_AZR_Q1_19_Direct-Social</v></cell><cell r="AC525"><v>21358715</v></cell><cell r="AD525"><v>720197</v></cell><cell r="AE525" t="str"><v>Facebook</v></cell><cell r="AF525"><v>3654128</v></cell><cell r="AG525" t="str"><v>FACEBOOK»USA-Trial-ITD-Retargeting-AZR-AZR»1 x 1»SocialBan»CAN»ALL»CPA»RT»X»NA»SS»NA»FBCTCBenefit2inMotion»PRC1RR</v></cell><cell r="AH525"><v>224104896</v></cell><cell r="AI525" t="str"><v>AzurePlatform_FBCTCBenefit2inMotion_USA_10s_CAN_PLATFORM_English_Trial_Standard_STAN_TIN_T4_2</v></cell><cell r="AJ525"><v>103178645</v></cell></row><row r="526"><cell r="C526" t="str"><v>43286FACEBOOK»USA-Trial-ITD-Retargeting-AZR-AZR»1 x 1»SocialBan»CAN»ALL»CPA»RT»X»NA»SS»NA»FBCTCBrandinMotion»PRC1RT</v></cell><cell r="D526" t="str"><v>43286224106069</v></cell><cell r="E526" t="str"><v>43286103176812PRC1RT</v></cell><cell r="F526" t="str"><v>DCM</v></cell><cell r="G526" t="str"><v>https://signup.azure.com/?OCID=AID%eexcid!_OLA_%ebuy!_%epid!_%ecid!</v></cell></row><row r="526"><cell r="K526" t="str"><v>July</v></cell><cell r="L526"><v>43288</v></cell><cell r="M526" t="str"><v>Tier 0</v></cell><cell r="N526" t="str"><v>North America</v></cell><cell r="O526" t="str"><v>United States</v></cell><cell r="P526" t="str"><v>Trial</v></cell><cell r="Q526" t="str"><v>Social</v></cell><cell r="R526" t="str"><v>Azure</v></cell><cell r="S526" t="str"><v>Apps & Infra</v></cell><cell r="T526" t="str"><v>Developers & ITI's</v></cell><cell r="U526" t="str"><v>USA-Trial-ITD-Retargeting-AZR-AZR</v></cell><cell r="V526" t="str"><v>Retargeting</v></cell><cell r="W526" t="str"><v>Canvas Ad</v></cell><cell r="X526" t="str"><v>1x1</v></cell></row><row r="526"><cell r="AA526"><v>43286</v></cell><cell r="AB526" t="str"><v>USA_gaPMG_AZR_AZR_Q1_19_Direct-Social</v></cell><cell r="AC526"><v>21358715</v></cell><cell r="AD526"><v>720197</v></cell><cell r="AE526" t="str"><v>Facebook</v></cell><cell r="AF526"><v>3654128</v></cell><cell r="AG526" t="str"><v>FACEBOOK»USA-Trial-ITD-Retargeting-AZR-AZR»1 x 1»SocialBan»CAN»ALL»CPA»RT»X»NA»SS»NA»FBCTCBrandinMotion»PRC1RT</v></cell><cell r="AH526"><v>224106069</v></cell><cell r="AI526" t="str"><v>AzurePlatform_FBCTCBrandinMotion_USA_10s_CAN_PLATFORM_English_Trial_Standard_STAN_TIN_T2_1</v></cell><cell r="AJ526"><v>103176812</v></cell></row><row r="527"><cell r="C527" t="str"><v>43286FACEBOOK»USA-Trial-ITD-Retargeting-AZR-AZR»1 x 1»SocialBan»CAN»ALL»CPA»RT»X»NA»SS»NA»FBCTCBrandinMotion»PRC1RT</v></cell><cell r="D527" t="str"><v>43286224106069</v></cell><cell r="E527" t="str"><v>43286103032823PRC1RT</v></cell><cell r="F527" t="str"><v>DCM</v></cell><cell r="G527" t="str"><v>https://azure.microsoft.com/en-us/pricing/purchase-options/?v=18.19&OCID=AID%eexcid!_OLA_%ebuy!_%epid!_%ecid!</v></cell></row><row r="527"><cell r="K527" t="str"><v>July</v></cell><cell r="L527"><v>43288</v></cell><cell r="M527" t="str"><v>Tier 0</v></cell><cell r="N527" t="str"><v>North America</v></cell><cell r="O527" t="str"><v>United States</v></cell><cell r="P527" t="str"><v>Trial</v></cell><cell r="Q527" t="str"><v>Social</v></cell><cell r="R527" t="str"><v>Azure</v></cell><cell r="S527" t="str"><v>Apps & Infra</v></cell><cell r="T527" t="str"><v>Developers & ITI's</v></cell><cell r="U527" t="str"><v>USA-Trial-ITD-Retargeting-AZR-AZR</v></cell><cell r="V527" t="str"><v>Retargeting</v></cell><cell r="W527" t="str"><v>Canvas Ad</v></cell><cell r="X527" t="str"><v>1x1</v></cell></row><row r="527"><cell r="AA527"><v>43286</v></cell><cell r="AB527" t="str"><v>USA_gaPMG_AZR_AZR_Q1_19_Direct-Social</v></cell><cell r="AC527"><v>21358715</v></cell><cell r="AD527"><v>720197</v></cell><cell r="AE527" t="str"><v>Facebook</v></cell><cell r="AF527"><v>3654128</v></cell><cell r="AG527" t="str"><v>FACEBOOK»USA-Trial-ITD-Retargeting-AZR-AZR»1 x 1»SocialBan»CAN»ALL»CPA»RT»X»NA»SS»NA»FBCTCBrandinMotion»PRC1RT</v></cell><cell r="AH527"><v>224106069</v></cell><cell r="AI527" t="str"><v>AzurePlatform_FBCTCBrandinMotion_USA_10s_CAN_PLATFORM_English_Trial_Standard_STAN_TIN_T2_2</v></cell><cell r="AJ527"><v>103032823</v></cell></row><row r="528"><cell r="C528" t="str"><v>43286FACEBOOK»USA-Trial-ITD-Trial Lookalike-AZR-AZR»1 x 1»SocialBan»CAN»ALL»CPA»LAL»X»NA»SS»NA»FBCTCBenefit2inMotion»PRC1M0</v></cell><cell r="D528" t="str"><v>43286223862927</v></cell><cell r="E528" t="str"><v>43286103043835PRC1M0</v></cell><cell r="F528" t="str"><v>DCM</v></cell><cell r="G528" t="str"><v>https://signup.azure.com/?OCID=AID%eexcid!_OLA_%ebuy!_%epid!_%ecid!</v></cell></row><row r="528"><cell r="K528" t="str"><v>July</v></cell><cell r="L528"><v>43288</v></cell><cell r="M528" t="str"><v>Tier 0</v></cell><cell r="N528" t="str"><v>North America</v></cell><cell r="O528" t="str"><v>United States</v></cell><cell r="P528" t="str"><v>Trial</v></cell><cell r="Q528" t="str"><v>Social</v></cell><cell r="R528" t="str"><v>Azure</v></cell><cell r="S528" t="str"><v>Apps & Infra</v></cell><cell r="T528" t="str"><v>Developers & ITI's</v></cell><cell r="U528" t="str"><v>USA-Trial-ITD-Trial Lookalike-AZR-AZR</v></cell><cell r="V528" t="str"><v>Lookalike Targeting</v></cell><cell r="W528" t="str"><v>Canvas Ad</v></cell><cell r="X528" t="str"><v>1x1</v></cell></row><row r="528"><cell r="AA528"><v>43286</v></cell><cell r="AB528" t="str"><v>USA_gaPMG_AZR_AZR_Q1_19_Direct-Social</v></cell><cell r="AC528"><v>21358715</v></cell><cell r="AD528"><v>720197</v></cell><cell r="AE528" t="str"><v>Facebook</v></cell><cell r="AF528"><v>3654128</v></cell><cell r="AG528" t="str"><v>FACEBOOK»USA-Trial-ITD-Trial Lookalike-AZR-AZR»1 x 1»SocialBan»CAN»ALL»CPA»LAL»X»NA»SS»NA»FBCTCBenefit2inMotion»PRC1M0</v></cell><cell r="AH528"><v>223862927</v></cell><cell r="AI528" t="str"><v>AzurePlatform_FBCTCBenefit2inMotion_USA_10s_CAN_PLATFORM_English_Trial_Standard_STAN_TIN_T4_1</v></cell><cell r="AJ528"><v>103043835</v></cell></row><row r="529"><cell r="C529" t="str"><v>43286FACEBOOK»USA-Trial-ITD-Trial Lookalike-AZR-AZR»1 x 1»SocialBan»CAN»ALL»CPA»LAL»X»NA»SS»NA»FBCTCBenefit2inMotion»PRC1M0</v></cell><cell r="D529" t="str"><v>43286223862927</v></cell><cell r="E529" t="str"><v>43286103178645PRC1M0</v></cell><cell r="F529" t="str"><v>DCM</v></cell><cell r="G529" t="str"><v>https://azure.microsoft.com/en-us/pricing/purchase-options/?v=18.19&OCID=AID%eexcid!_OLA_%ebuy!_%epid!_%ecid!</v></cell></row><row r="529"><cell r="K529" t="str"><v>July</v></cell><cell r="L529"><v>43288</v></cell><cell r="M529" t="str"><v>Tier 0</v></cell><cell r="N529" t="str"><v>North America</v></cell><cell r="O529" t="str"><v>United States</v></cell><cell r="P529" t="str"><v>Trial</v></cell><cell r="Q529" t="str"><v>Social</v></cell><cell r="R529" t="str"><v>Azure</v></cell><cell r="S529" t="str"><v>Apps & Infra</v></cell><cell r="T529" t="str"><v>Developers & ITI's</v></cell><cell r="U529" t="str"><v>USA-Trial-ITD-Trial Lookalike-AZR-AZR</v></cell><cell r="V529" t="str"><v>Lookalike Targeting</v></cell><cell r="W529" t="str"><v>Canvas Ad</v></cell><cell r="X529" t="str"><v>1x1</v></cell></row><row r="529"><cell r="AA529"><v>43286</v></cell><cell r="AB529" t="str"><v>USA_gaPMG_AZR_AZR_Q1_19_Direct-Social</v></cell><cell r="AC529"><v>21358715</v></cell><cell r="AD529"><v>720197</v></cell><cell r="AE529" t="str"><v>Facebook</v></cell><cell r="AF529"><v>3654128</v></cell><cell r="AG529" t="str"><v>FACEBOOK»USA-Trial-ITD-Trial Lookalike-AZR-AZR»1 x 1»SocialBan»CAN»ALL»CPA»LAL»X»NA»SS»NA»FBCTCBenefit2inMotion»PRC1M0</v></cell><cell r="AH529"><v>223862927</v></cell><cell r="AI529" t="str"><v>AzurePlatform_FBCTCBenefit2inMotion_USA_10s_CAN_PLATFORM_English_Trial_Standard_STAN_TIN_T4_2</v></cell><cell r="AJ529"><v>103178645</v></cell></row><row r="530"><cell r="C530" t="str"><v>43286FACEBOOK»USA-Trial-ITD-Trial Lookalike-AZR-AZR»1 x 1»SocialBan»LIA»ALL»CPA»LAL»X»NA»SS»NA»FreeAcctDeveloperFB-AnimatedAI-Ch3»PRC1M7</v></cell><cell r="D530" t="str"><v>43286223934104</v></cell><cell r="E530" t="str"><v>43286103032778PRC1M7</v></cell><cell r="F530" t="str"><v>DCM</v></cell></row><row r="530"><cell r="K530" t="str"><v>July</v></cell><cell r="L530"><v>43288</v></cell><cell r="M530" t="str"><v>Tier 0</v></cell><cell r="N530" t="str"><v>North America</v></cell><cell r="O530" t="str"><v>United States</v></cell><cell r="P530" t="str"><v>Trial</v></cell><cell r="Q530" t="str"><v>Social</v></cell><cell r="R530" t="str"><v>Azure</v></cell><cell r="S530" t="str"><v>Apps & Infra</v></cell><cell r="T530" t="str"><v>Developers & ITI's</v></cell><cell r="U530" t="str"><v>USA-Trial-ITD-Trial Lookalike-AZR-AZR</v></cell><cell r="V530" t="str"><v>Lookalike Targeting</v></cell><cell r="W530" t="str"><v>Link Ad</v></cell><cell r="X530" t="str"><v>1x1</v></cell></row><row r="530"><cell r="AA530"><v>43286</v></cell><cell r="AB530" t="str"><v>USA_gaPMG_AZR_AZR_Q1_19_Direct-Social</v></cell><cell r="AC530"><v>21358715</v></cell><cell r="AD530"><v>720197</v></cell><cell r="AE530" t="str"><v>Facebook</v></cell><cell r="AF530"><v>3654128</v></cell><cell r="AG530" t="str"><v>FACEBOOK»USA-Trial-ITD-Trial Lookalike-AZR-AZR»1 x 1»SocialBan»LIA»ALL»CPA»LAL»X»NA»SS»NA»FreeAcctDeveloperFB-AnimatedAI-Ch3»PRC1M7</v></cell><cell r="AH530"><v>223934104</v></cell><cell r="AI530" t="str"><v>AZR_FreeAcctDeveloperFB-AnimatedAI-Ch3_USA_1200x1200_CAN_Direct_English_Trial_Standard_ANI_LEA_T3_1</v></cell><cell r="AJ530"><v>103032778</v></cell></row><row r="531"><cell r="C531" t="str"><v>43286FACEBOOK»USA-Trial-ITD-Trial Lookalike-AZR-AZR»1 x 1»SocialBan»LIA»ALL»CPA»LAL»X»NA»SS»NA»FreeAcctDeveloperFB-AnimatedData-Ch4»PRC1M8</v></cell><cell r="D531" t="str"><v>43286223862933</v></cell><cell r="E531" t="str"><v>43286103037935PRC1M8</v></cell><cell r="F531" t="str"><v>DCM</v></cell></row><row r="531"><cell r="K531" t="str"><v>July</v></cell><cell r="L531"><v>43288</v></cell><cell r="M531" t="str"><v>Tier 0</v></cell><cell r="N531" t="str"><v>North America</v></cell><cell r="O531" t="str"><v>United States</v></cell><cell r="P531" t="str"><v>Trial</v></cell><cell r="Q531" t="str"><v>Social</v></cell><cell r="R531" t="str"><v>Azure</v></cell><cell r="S531" t="str"><v>Apps & Infra</v></cell><cell r="T531" t="str"><v>Developers & ITI's</v></cell><cell r="U531" t="str"><v>USA-Trial-ITD-Trial Lookalike-AZR-AZR</v></cell><cell r="V531" t="str"><v>Lookalike Targeting</v></cell><cell r="W531" t="str"><v>Link Ad</v></cell><cell r="X531" t="str"><v>1x1</v></cell></row><row r="531"><cell r="AA531"><v>43286</v></cell><cell r="AB531" t="str"><v>USA_gaPMG_AZR_AZR_Q1_19_Direct-Social</v></cell><cell r="AC531"><v>21358715</v></cell><cell r="AD531"><v>720197</v></cell><cell r="AE531" t="str"><v>Facebook</v></cell><cell r="AF531"><v>3654128</v></cell><cell r="AG531" t="str"><v>FACEBOOK»USA-Trial-ITD-Trial Lookalike-AZR-AZR»1 x 1»SocialBan»LIA»ALL»CPA»LAL»X»NA»SS»NA»FreeAcctDeveloperFB-AnimatedData-Ch4»PRC1M8</v></cell><cell r="AH531"><v>223862933</v></cell><cell r="AI531" t="str"><v>AZR_FreeAcctDeveloperFB-AnimatedData-Ch4_USA_1200x1200_CAN_Direct_English_Trial_Standard_ANI_LEA_T4_2</v></cell><cell r="AJ531"><v>103037935</v></cell></row><row r="532"><cell r="C532" t="str"><v>43286FACEBOOK»USA-Trial-ITD-Trial Lookalike-AZR-AZR»1 x 1»SocialBan»LIA»ALL»CPA»LAL»X»NA»SS»NA»FreeAcctITProFB-AnimatedHybrid-Ch2»PRC1MC</v></cell><cell r="D532" t="str"><v>43286224104956</v></cell><cell r="E532" t="str"><v>43286103180583PRC1MC</v></cell><cell r="F532" t="str"><v>DCM</v></cell></row><row r="532"><cell r="K532" t="str"><v>July</v></cell><cell r="L532"><v>43288</v></cell><cell r="M532" t="str"><v>Tier 0</v></cell><cell r="N532" t="str"><v>North America</v></cell><cell r="O532" t="str"><v>United States</v></cell><cell r="P532" t="str"><v>Trial</v></cell><cell r="Q532" t="str"><v>Social</v></cell><cell r="R532" t="str"><v>Azure</v></cell><cell r="S532" t="str"><v>Apps & Infra</v></cell><cell r="T532" t="str"><v>Developers & ITI's</v></cell><cell r="U532" t="str"><v>USA-Trial-ITD-Trial Lookalike-AZR-AZR</v></cell><cell r="V532" t="str"><v>Lookalike Targeting</v></cell><cell r="W532" t="str"><v>Link Ad</v></cell><cell r="X532" t="str"><v>1x1</v></cell></row><row r="532"><cell r="AA532"><v>43286</v></cell><cell r="AB532" t="str"><v>USA_gaPMG_AZR_AZR_Q1_19_Direct-Social</v></cell><cell r="AC532"><v>21358715</v></cell><cell r="AD532"><v>720197</v></cell><cell r="AE532" t="str"><v>Facebook</v></cell><cell r="AF532"><v>3654128</v></cell><cell r="AG532" t="str"><v>FACEBOOK»USA-Trial-ITD-Trial Lookalike-AZR-AZR»1 x 1»SocialBan»LIA»ALL»CPA»LAL»X»NA»SS»NA»FreeAcctITProFB-AnimatedHybrid-Ch2»PRC1MC</v></cell><cell r="AH532"><v>224104956</v></cell><cell r="AI532" t="str"><v>AZR_FreeAcctITProFB-AnimatedHybrid-Ch2_USA_1200x1200_CAN_Direct_English_Trial_Standard_ANI_LEA_T2_2</v></cell><cell r="AJ532"><v>103180583</v></cell></row><row r="533"><cell r="C533" t="str"><v>43286FACEBOOK»USA-Trial-ITD-Trial Lookalike-AZR-AZR»1 x 1»SocialBan»CAN»ALL»CPA»LAL»X»NA»SS»NA»FBCTCBrandinMotion»PRC1M3</v></cell><cell r="D533" t="str"><v>43286223862900</v></cell><cell r="E533" t="str"><v>43286103176812PRC1M3</v></cell><cell r="F533" t="str"><v>DCM</v></cell><cell r="G533" t="str"><v>https://signup.azure.com/?OCID=AID%eexcid!_OLA_%ebuy!_%epid!_%ecid!</v></cell></row><row r="533"><cell r="K533" t="str"><v>July</v></cell><cell r="L533"><v>43288</v></cell><cell r="M533" t="str"><v>Tier 0</v></cell><cell r="N533" t="str"><v>North America</v></cell><cell r="O533" t="str"><v>United States</v></cell><cell r="P533" t="str"><v>Trial</v></cell><cell r="Q533" t="str"><v>Social</v></cell><cell r="R533" t="str"><v>Azure</v></cell><cell r="S533" t="str"><v>Apps & Infra</v></cell><cell r="T533" t="str"><v>Developers & ITI's</v></cell><cell r="U533" t="str"><v>USA-Trial-ITD-Trial Lookalike-AZR-AZR</v></cell><cell r="V533" t="str"><v>Lookalike Targeting</v></cell><cell r="W533" t="str"><v>Canvas Ad</v></cell><cell r="X533" t="str"><v>1x1</v></cell></row><row r="533"><cell r="AA533"><v>43286</v></cell><cell r="AB533" t="str"><v>USA_gaPMG_AZR_AZR_Q1_19_Direct-Social</v></cell><cell r="AC533"><v>21358715</v></cell><cell r="AD533"><v>720197</v></cell><cell r="AE533" t="str"><v>Facebook</v></cell><cell r="AF533"><v>3654128</v></cell><cell r="AG533" t="str"><v>FACEBOOK»USA-Trial-ITD-Trial Lookalike-AZR-AZR»1 x 1»SocialBan»CAN»ALL»CPA»LAL»X»NA»SS»NA»FBCTCBrandinMotion»PRC1M3</v></cell><cell r="AH533"><v>223862900</v></cell><cell r="AI533" t="str"><v>AzurePlatform_FBCTCBrandinMotion_USA_10s_CAN_PLATFORM_English_Trial_Standard_STAN_TIN_T2_1</v></cell><cell r="AJ533"><v>103176812</v></cell></row><row r="534"><cell r="C534" t="str"><v>43286FACEBOOK»USA-Trial-ITD-Trial Lookalike-AZR-AZR»1 x 1»SocialBan»CAN»ALL»CPA»LAL»X»NA»SS»NA»FBCTCBrandinMotion»PRC1M3</v></cell><cell r="D534" t="str"><v>43286223862900</v></cell><cell r="E534" t="str"><v>43286103032823PRC1M3</v></cell><cell r="F534" t="str"><v>DCM</v></cell><cell r="G534" t="str"><v>https://azure.microsoft.com/en-us/pricing/purchase-options/?v=18.19&OCID=AID%eexcid!_OLA_%ebuy!_%epid!_%ecid!</v></cell></row><row r="534"><cell r="K534" t="str"><v>July</v></cell><cell r="L534"><v>43288</v></cell><cell r="M534" t="str"><v>Tier 0</v></cell><cell r="N534" t="str"><v>North America</v></cell><cell r="O534" t="str"><v>United States</v></cell><cell r="P534" t="str"><v>Trial</v></cell><cell r="Q534" t="str"><v>Social</v></cell><cell r="R534" t="str"><v>Azure</v></cell><cell r="S534" t="str"><v>Apps & Infra</v></cell><cell r="T534" t="str"><v>Developers & ITI's</v></cell><cell r="U534" t="str"><v>USA-Trial-ITD-Trial Lookalike-AZR-AZR</v></cell><cell r="V534" t="str"><v>Lookalike Targeting</v></cell><cell r="W534" t="str"><v>Canvas Ad</v></cell><cell r="X534" t="str"><v>1x1</v></cell></row><row r="534"><cell r="AA534"><v>43286</v></cell><cell r="AB534" t="str"><v>USA_gaPMG_AZR_AZR_Q1_19_Direct-Social</v></cell><cell r="AC534"><v>21358715</v></cell><cell r="AD534"><v>720197</v></cell><cell r="AE534" t="str"><v>Facebook</v></cell><cell r="AF534"><v>3654128</v></cell><cell r="AG534" t="str"><v>FACEBOOK»USA-Trial-ITD-Trial Lookalike-AZR-AZR»1 x 1»SocialBan»CAN»ALL»CPA»LAL»X»NA»SS»NA»FBCTCBrandinMotion»PRC1M3</v></cell><cell r="AH534"><v>223862900</v></cell><cell r="AI534" t="str"><v>AzurePlatform_FBCTCBrandinMotion_USA_10s_CAN_PLATFORM_English_Trial_Standard_STAN_TIN_T2_2</v></cell><cell r="AJ534"><v>103032823</v></cell></row><row r="535"><cell r="C535" t="str"><v>43286FACEBOOK»USA-Trial-ITD-Trial PayGo Lookalike-AZR-AZR»1 x 1»SocialBan»CAN»ALL»CPA»LAL»X»NA»SS»NA»FBCTCBenefit2inMotion»PRC1Q1</v></cell><cell r="D535" t="str"><v>43286224104986</v></cell><cell r="E535" t="str"><v>43286103043835PRC1Q1</v></cell><cell r="F535" t="str"><v>DCM</v></cell><cell r="G535" t="str"><v>https://signup.azure.com/?OCID=AID%eexcid!_OLA_%ebuy!_%epid!_%ecid!</v></cell></row><row r="535"><cell r="K535" t="str"><v>July</v></cell><cell r="L535"><v>43288</v></cell><cell r="M535" t="str"><v>Tier 0</v></cell><cell r="N535" t="str"><v>North America</v></cell><cell r="O535" t="str"><v>United States</v></cell><cell r="P535" t="str"><v>Trial</v></cell><cell r="Q535" t="str"><v>Social</v></cell><cell r="R535" t="str"><v>Azure</v></cell><cell r="S535" t="str"><v>Apps & Infra</v></cell><cell r="T535" t="str"><v>Developers & ITI's</v></cell><cell r="U535" t="str"><v>USA-Trial-ITD-Trial PayGo Lookalike-AZR-AZR</v></cell><cell r="V535" t="str"><v>Lookalike Targeting</v></cell><cell r="W535" t="str"><v>Canvas Ad</v></cell><cell r="X535" t="str"><v>1x1</v></cell></row><row r="535"><cell r="AA535"><v>43286</v></cell><cell r="AB535" t="str"><v>USA_gaPMG_AZR_AZR_Q1_19_Direct-Social</v></cell><cell r="AC535"><v>21358715</v></cell><cell r="AD535"><v>720197</v></cell><cell r="AE535" t="str"><v>Facebook</v></cell><cell r="AF535"><v>3654128</v></cell><cell r="AG535" t="str"><v>FACEBOOK»USA-Trial-ITD-Trial PayGo Lookalike-AZR-AZR»1 x 1»SocialBan»CAN»ALL»CPA»LAL»X»NA»SS»NA»FBCTCBenefit2inMotion»PRC1Q1</v></cell><cell r="AH535"><v>224104986</v></cell><cell r="AI535" t="str"><v>AzurePlatform_FBCTCBenefit2inMotion_USA_10s_CAN_PLATFORM_English_Trial_Standard_STAN_TIN_T4_1</v></cell><cell r="AJ535"><v>103043835</v></cell></row><row r="536"><cell r="C536" t="str"><v>43286FACEBOOK»USA-Trial-ITD-Trial PayGo Lookalike-AZR-AZR»1 x 1»SocialBan»CAN»ALL»CPA»LAL»X»NA»SS»NA»FBCTCBenefit2inMotion»PRC1Q1</v></cell><cell r="D536" t="str"><v>43286224104986</v></cell><cell r="E536" t="str"><v>43286103178645PRC1Q1</v></cell><cell r="F536" t="str"><v>DCM</v></cell><cell r="G536" t="str"><v>https://azure.microsoft.com/en-us/pricing/purchase-options/?v=18.19&OCID=AID%eexcid!_OLA_%ebuy!_%epid!_%ecid!</v></cell></row><row r="536"><cell r="K536" t="str"><v>July</v></cell><cell r="L536"><v>43288</v></cell><cell r="M536" t="str"><v>Tier 0</v></cell><cell r="N536" t="str"><v>North America</v></cell><cell r="O536" t="str"><v>United States</v></cell><cell r="P536" t="str"><v>Trial</v></cell><cell r="Q536" t="str"><v>Social</v></cell><cell r="R536" t="str"><v>Azure</v></cell><cell r="S536" t="str"><v>Apps & Infra</v></cell><cell r="T536" t="str"><v>Developers & ITI's</v></cell><cell r="U536" t="str"><v>USA-Trial-ITD-Trial PayGo Lookalike-AZR-AZR</v></cell><cell r="V536" t="str"><v>Lookalike Targeting</v></cell><cell r="W536" t="str"><v>Canvas Ad</v></cell><cell r="X536" t="str"><v>1x1</v></cell></row><row r="536"><cell r="AA536"><v>43286</v></cell><cell r="AB536" t="str"><v>USA_gaPMG_AZR_AZR_Q1_19_Direct-Social</v></cell><cell r="AC536"><v>21358715</v></cell><cell r="AD536"><v>720197</v></cell><cell r="AE536" t="str"><v>Facebook</v></cell><cell r="AF536"><v>3654128</v></cell><cell r="AG536" t="str"><v>FACEBOOK»USA-Trial-ITD-Trial PayGo Lookalike-AZR-AZR»1 x 1»SocialBan»CAN»ALL»CPA»LAL»X»NA»SS»NA»FBCTCBenefit2inMotion»PRC1Q1</v></cell><cell r="AH536"><v>224104986</v></cell><cell r="AI536" t="str"><v>AzurePlatform_FBCTCBenefit2inMotion_USA_10s_CAN_PLATFORM_English_Trial_Standard_STAN_TIN_T4_2</v></cell><cell r="AJ536"><v>103178645</v></cell></row><row r="537"><cell r="C537" t="str"><v>43286FACEBOOK»USA-Trial-ITD-Trial PayGo Lookalike-AZR-AZR»1 x 1»SocialBan»CAN»ALL»CPA»LAL»X»NA»SS»NA»FBCTCBrandinMotion»PRC1Q3</v></cell><cell r="D537" t="str"><v>43286223935349</v></cell><cell r="E537" t="str"><v>43286103176812PRC1Q3</v></cell><cell r="F537" t="str"><v>DCM</v></cell><cell r="G537" t="str"><v>https://signup.azure.com/?OCID=AID%eexcid!_OLA_%ebuy!_%epid!_%ecid!</v></cell></row><row r="537"><cell r="K537" t="str"><v>July</v></cell><cell r="L537"><v>43288</v></cell><cell r="M537" t="str"><v>Tier 0</v></cell><cell r="N537" t="str"><v>North America</v></cell><cell r="O537" t="str"><v>United States</v></cell><cell r="P537" t="str"><v>Trial</v></cell><cell r="Q537" t="str"><v>Social</v></cell><cell r="R537" t="str"><v>Azure</v></cell><cell r="S537" t="str"><v>Apps & Infra</v></cell><cell r="T537" t="str"><v>Developers & ITI's</v></cell><cell r="U537" t="str"><v>USA-Trial-ITD-Trial PayGo Lookalike-AZR-AZR</v></cell><cell r="V537" t="str"><v>Lookalike Targeting</v></cell><cell r="W537" t="str"><v>Canvas Ad</v></cell><cell r="X537" t="str"><v>1x1</v></cell></row><row r="537"><cell r="AA537"><v>43286</v></cell><cell r="AB537" t="str"><v>USA_gaPMG_AZR_AZR_Q1_19_Direct-Social</v></cell><cell r="AC537"><v>21358715</v></cell><cell r="AD537"><v>720197</v></cell><cell r="AE537" t="str"><v>Facebook</v></cell><cell r="AF537"><v>3654128</v></cell><cell r="AG537" t="str"><v>FACEBOOK»USA-Trial-ITD-Trial PayGo Lookalike-AZR-AZR»1 x 1»SocialBan»CAN»ALL»CPA»LAL»X»NA»SS»NA»FBCTCBrandinMotion»PRC1Q3</v></cell><cell r="AH537"><v>223935349</v></cell><cell r="AI537" t="str"><v>AzurePlatform_FBCTCBrandinMotion_USA_10s_CAN_PLATFORM_English_Trial_Standard_STAN_TIN_T2_1</v></cell><cell r="AJ537"><v>103176812</v></cell></row><row r="538"><cell r="C538" t="str"><v>43286FACEBOOK»USA-Trial-ITD-Trial PayGo Lookalike-AZR-AZR»1 x 1»SocialBan»CAN»ALL»CPA»LAL»X»NA»SS»NA»FBCTCBrandinMotion»PRC1Q3</v></cell><cell r="D538" t="str"><v>43286223935349</v></cell><cell r="E538" t="str"><v>43286103032823PRC1Q3</v></cell><cell r="F538" t="str"><v>DCM</v></cell><cell r="G538" t="str"><v>https://azure.microsoft.com/en-us/pricing/purchase-options/?v=18.19&OCID=AID%eexcid!_OLA_%ebuy!_%epid!_%ecid!</v></cell></row><row r="538"><cell r="K538" t="str"><v>July</v></cell><cell r="L538"><v>43288</v></cell><cell r="M538" t="str"><v>Tier 0</v></cell><cell r="N538" t="str"><v>North America</v></cell><cell r="O538" t="str"><v>United States</v></cell><cell r="P538" t="str"><v>Trial</v></cell><cell r="Q538" t="str"><v>Social</v></cell><cell r="R538" t="str"><v>Azure</v></cell><cell r="S538" t="str"><v>Apps & Infra</v></cell><cell r="T538" t="str"><v>Developers & ITI's</v></cell><cell r="U538" t="str"><v>USA-Trial-ITD-Trial PayGo Lookalike-AZR-AZR</v></cell><cell r="V538" t="str"><v>Lookalike Targeting</v></cell><cell r="W538" t="str"><v>Canvas Ad</v></cell><cell r="X538" t="str"><v>1x1</v></cell></row><row r="538"><cell r="AA538"><v>43286</v></cell><cell r="AB538" t="str"><v>USA_gaPMG_AZR_AZR_Q1_19_Direct-Social</v></cell><cell r="AC538"><v>21358715</v></cell><cell r="AD538"><v>720197</v></cell><cell r="AE538" t="str"><v>Facebook</v></cell><cell r="AF538"><v>3654128</v></cell><cell r="AG538" t="str"><v>FACEBOOK»USA-Trial-ITD-Trial PayGo Lookalike-AZR-AZR»1 x 1»SocialBan»CAN»ALL»CPA»LAL»X»NA»SS»NA»FBCTCBrandinMotion»PRC1Q3</v></cell><cell r="AH538"><v>223935349</v></cell><cell r="AI538" t="str"><v>AzurePlatform_FBCTCBrandinMotion_USA_10s_CAN_PLATFORM_English_Trial_Standard_STAN_TIN_T2_2</v></cell><cell r="AJ538"><v>103032823</v></cell></row><row r="539"><cell r="C539" t="str"><v>43286FACEBOOK»USA-Trial-ITD-Trial PayGo Lookalike-AZR-AZR»1 x 1»SocialBan»CAN»ALL»CPA»LAL»X»NA»SS»NA»FBCTCBenefitinMotion»PRC1Q2</v></cell><cell r="D539" t="str"><v>43286223862960</v></cell><cell r="E539" t="str"><v>43286103032775PRC1Q2</v></cell><cell r="F539" t="str"><v>DCM</v></cell><cell r="G539" t="str"><v>https://signup.azure.com/?OCID=AID%eexcid!_OLA_%ebuy!_%epid!_%ecid!</v></cell></row><row r="539"><cell r="K539" t="str"><v>July</v></cell><cell r="L539"><v>43288</v></cell><cell r="M539" t="str"><v>Tier 0</v></cell><cell r="N539" t="str"><v>North America</v></cell><cell r="O539" t="str"><v>United States</v></cell><cell r="P539" t="str"><v>Trial</v></cell><cell r="Q539" t="str"><v>Social</v></cell><cell r="R539" t="str"><v>Azure</v></cell><cell r="S539" t="str"><v>Apps & Infra</v></cell><cell r="T539" t="str"><v>Developers & ITI's</v></cell><cell r="U539" t="str"><v>USA-Trial-ITD-Trial PayGo Lookalike-AZR-AZR</v></cell><cell r="V539" t="str"><v>Lookalike Targeting</v></cell><cell r="W539" t="str"><v>Canvas Ad</v></cell><cell r="X539" t="str"><v>1x1</v></cell></row><row r="539"><cell r="AA539"><v>43286</v></cell><cell r="AB539" t="str"><v>USA_gaPMG_AZR_AZR_Q1_19_Direct-Social</v></cell><cell r="AC539"><v>21358715</v></cell><cell r="AD539"><v>720197</v></cell><cell r="AE539" t="str"><v>Facebook</v></cell><cell r="AF539"><v>3654128</v></cell><cell r="AG539" t="str"><v>FACEBOOK»USA-Trial-ITD-Trial PayGo Lookalike-AZR-AZR»1 x 1»SocialBan»CAN»ALL»CPA»LAL»X»NA»SS»NA»FBCTCBenefitinMotion»PRC1Q2</v></cell><cell r="AH539"><v>223862960</v></cell><cell r="AI539" t="str"><v>AzurePlatform_FBCTCBenefitinMotion_USA_10s_CAN_PLATFORM_English_Trial_Standard_STAN_TIN_T3_1</v></cell><cell r="AJ539"><v>103032775</v></cell></row><row r="540"><cell r="C540" t="str"><v>43286FACEBOOK»USA-Trial-ITD-Trial PayGo Lookalike-AZR-AZR»1 x 1»SocialBan»CAN»ALL»CPA»LAL»X»NA»SS»NA»FBCTCBenefitinMotion»PRC1Q2</v></cell><cell r="D540" t="str"><v>43286223862960</v></cell><cell r="E540" t="str"><v>43286103176836PRC1Q2</v></cell><cell r="F540" t="str"><v>DCM</v></cell><cell r="G540" t="str"><v>https://azure.microsoft.com/en-us/pricing/purchase-options/?v=18.19&OCID=AID%eexcid!_OLA_%ebuy!_%epid!_%ecid!</v></cell></row><row r="540"><cell r="K540" t="str"><v>July</v></cell><cell r="L540"><v>43288</v></cell><cell r="M540" t="str"><v>Tier 0</v></cell><cell r="N540" t="str"><v>North America</v></cell><cell r="O540" t="str"><v>United States</v></cell><cell r="P540" t="str"><v>Trial</v></cell><cell r="Q540" t="str"><v>Social</v></cell><cell r="R540" t="str"><v>Azure</v></cell><cell r="S540" t="str"><v>Apps & Infra</v></cell><cell r="T540" t="str"><v>Developers & ITI's</v></cell><cell r="U540" t="str"><v>USA-Trial-ITD-Trial PayGo Lookalike-AZR-AZR</v></cell><cell r="V540" t="str"><v>Lookalike Targeting</v></cell><cell r="W540" t="str"><v>Canvas Ad</v></cell><cell r="X540" t="str"><v>1x1</v></cell></row><row r="540"><cell r="AA540"><v>43286</v></cell><cell r="AB540" t="str"><v>USA_gaPMG_AZR_AZR_Q1_19_Direct-Social</v></cell><cell r="AC540"><v>21358715</v></cell><cell r="AD540"><v>720197</v></cell><cell r="AE540" t="str"><v>Facebook</v></cell><cell r="AF540"><v>3654128</v></cell><cell r="AG540" t="str"><v>FACEBOOK»USA-Trial-ITD-Trial PayGo Lookalike-AZR-AZR»1 x 1»SocialBan»CAN»ALL»CPA»LAL»X»NA»SS»NA»FBCTCBenefitinMotion»PRC1Q2</v></cell><cell r="AH540"><v>223862960</v></cell><cell r="AI540" t="str"><v>AzurePlatform_FBCTCBenefitinMotion_USA_10s_CAN_PLATFORM_English_Trial_Standard_STAN_TIN_T3_2</v></cell><cell r="AJ540"><v>103176836</v></cell></row><row r="541"><cell r="C541" t="str"><v>43286FACEBOOK»USA-Trial-ITD-Trial PayGo Lookalike-AZR-AZR»1 x 1»SocialBan»LIA»ALL»CPA»LAL»X»NA»SS»NA»FreeAcctDeveloperFB-AnimatedGeneric-Ch1»PRC1Q6</v></cell><cell r="D541" t="str"><v>43286224106129</v></cell><cell r="E541" t="str"><v>43286103176851PRC1Q6</v></cell><cell r="F541" t="str"><v>DCM</v></cell><cell r="G541" t="str"><v>https://azure.microsoft.com/en-us/free/search/?OCID=AID%eexcid!_OLA_%ebuy!_%epid!_%ecid!</v></cell></row><row r="541"><cell r="K541" t="str"><v>July</v></cell><cell r="L541"><v>43288</v></cell><cell r="M541" t="str"><v>Tier 0</v></cell><cell r="N541" t="str"><v>North America</v></cell><cell r="O541" t="str"><v>United States</v></cell><cell r="P541" t="str"><v>Trial</v></cell><cell r="Q541" t="str"><v>Social</v></cell><cell r="R541" t="str"><v>Azure</v></cell><cell r="S541" t="str"><v>Apps & Infra</v></cell><cell r="T541" t="str"><v>Developers & ITI's</v></cell><cell r="U541" t="str"><v>USA-Trial-ITD-Trial PayGo Lookalike-AZR-AZR</v></cell><cell r="V541" t="str"><v>Lookalike Targeting</v></cell><cell r="W541" t="str"><v>Link Ad</v></cell><cell r="X541" t="str"><v>1x1</v></cell></row><row r="541"><cell r="AA541"><v>43286</v></cell><cell r="AB541" t="str"><v>USA_gaPMG_AZR_AZR_Q1_19_Direct-Social</v></cell><cell r="AC541"><v>21358715</v></cell><cell r="AD541"><v>720197</v></cell><cell r="AE541" t="str"><v>Facebook</v></cell><cell r="AF541"><v>3654128</v></cell><cell r="AG541" t="str"><v>FACEBOOK»USA-Trial-ITD-Trial PayGo Lookalike-AZR-AZR»1 x 1»SocialBan»LIA»ALL»CPA»LAL»X»NA»SS»NA»FreeAcctDeveloperFB-AnimatedGeneric-Ch1»PRC1Q6</v></cell><cell r="AH541"><v>224106129</v></cell><cell r="AI541" t="str"><v>AZR_FreeAcctDeveloperFB-AnimatedGeneric-Ch1_USA_1200x1200_CAN_Direct_English_Trial_Standard_ANI_LEA_T1_2</v></cell><cell r="AJ541"><v>103176851</v></cell></row><row r="542"><cell r="C542" t="str"><v>43286FACEBOOK»USA-Trial-ITD-Interest Prospecting-AZR-AZR»1 x 1»SocialBan»LIA»ALL»CPA»PRO»X»NA»SS»NA»FreeAcctDeveloperFB-AnimatedAI-Ch3»PRC1T2</v></cell><cell r="D542" t="str"><v>43286223862765</v></cell><cell r="E542" t="str"><v>43286103032778PRC1T2</v></cell><cell r="F542" t="str"><v>DCM</v></cell></row><row r="542"><cell r="K542" t="str"><v>July</v></cell><cell r="L542"><v>43288</v></cell><cell r="M542" t="str"><v>Tier 0</v></cell><cell r="N542" t="str"><v>North America</v></cell><cell r="O542" t="str"><v>United States</v></cell><cell r="P542" t="str"><v>Trial</v></cell><cell r="Q542" t="str"><v>Social</v></cell><cell r="R542" t="str"><v>Azure</v></cell><cell r="S542" t="str"><v>Apps & Infra</v></cell><cell r="T542" t="str"><v>Developers & ITI's</v></cell><cell r="U542" t="str"><v>USA-Trial-ITD-Interest Prospecting-AZR-AZR</v></cell><cell r="V542" t="str"><v>Prospecting</v></cell><cell r="W542" t="str"><v>Link Ad</v></cell><cell r="X542" t="str"><v>1x1</v></cell></row><row r="542"><cell r="AA542"><v>43286</v></cell><cell r="AB542" t="str"><v>USA_gaPMG_AZR_AZR_Q1_19_Direct-Social</v></cell><cell r="AC542"><v>21358715</v></cell><cell r="AD542"><v>720197</v></cell><cell r="AE542" t="str"><v>Facebook</v></cell><cell r="AF542"><v>3654128</v></cell><cell r="AG542" t="str"><v>FACEBOOK»USA-Trial-ITD-Interest Prospecting-AZR-AZR»1 x 1»SocialBan»LIA»ALL»CPA»PRO»X»NA»SS»NA»FreeAcctDeveloperFB-AnimatedAI-Ch3»PRC1T2</v></cell><cell r="AH542"><v>223862765</v></cell><cell r="AI542" t="str"><v>AZR_FreeAcctDeveloperFB-AnimatedAI-Ch3_USA_1200x1200_CAN_Direct_English_Trial_Standard_ANI_LEA_T3_1</v></cell><cell r="AJ542"><v>103032778</v></cell></row><row r="543"><cell r="C543" t="str"><v>43286FACEBOOK»USA-Trial-ITD-Interest Prospecting-AZR-AZR»1 x 1»SocialBan»LIA»ALL»CPA»PRO»X»NA»SS»NA»FreeAcctDeveloperFB-AnimatedData-Ch4»PRC1T3</v></cell><cell r="D543" t="str"><v>43286223863380</v></cell><cell r="E543" t="str"><v>43286103037935PRC1T3</v></cell><cell r="F543" t="str"><v>DCM</v></cell></row><row r="543"><cell r="K543" t="str"><v>July</v></cell><cell r="L543"><v>43288</v></cell><cell r="M543" t="str"><v>Tier 0</v></cell><cell r="N543" t="str"><v>North America</v></cell><cell r="O543" t="str"><v>United States</v></cell><cell r="P543" t="str"><v>Trial</v></cell><cell r="Q543" t="str"><v>Social</v></cell><cell r="R543" t="str"><v>Azure</v></cell><cell r="S543" t="str"><v>Apps & Infra</v></cell><cell r="T543" t="str"><v>Developers & ITI's</v></cell><cell r="U543" t="str"><v>USA-Trial-ITD-Interest Prospecting-AZR-AZR</v></cell><cell r="V543" t="str"><v>Prospecting</v></cell><cell r="W543" t="str"><v>Link Ad</v></cell><cell r="X543" t="str"><v>1x1</v></cell></row><row r="543"><cell r="AA543"><v>43286</v></cell><cell r="AB543" t="str"><v>USA_gaPMG_AZR_AZR_Q1_19_Direct-Social</v></cell><cell r="AC543"><v>21358715</v></cell><cell r="AD543"><v>720197</v></cell><cell r="AE543" t="str"><v>Facebook</v></cell><cell r="AF543"><v>3654128</v></cell><cell r="AG543" t="str"><v>FACEBOOK»USA-Trial-ITD-Interest Prospecting-AZR-AZR»1 x 1»SocialBan»LIA»ALL»CPA»PRO»X»NA»SS»NA»FreeAcctDeveloperFB-AnimatedData-Ch4»PRC1T3</v></cell><cell r="AH543"><v>223863380</v></cell><cell r="AI543" t="str"><v>AZR_FreeAcctDeveloperFB-AnimatedData-Ch4_USA_1200x1200_CAN_Direct_English_Trial_Standard_ANI_LEA_T4_2</v></cell><cell r="AJ543"><v>103037935</v></cell></row><row r="544"><cell r="C544" t="str"><v>43286FACEBOOK»USA-Trial-ITD-Interest Prospecting-AZR-AZR»1 x 1»SocialBan»LIA»ALL»CPA»PRO»X»NA»SS»NA»FreeAcctDeveloperFB-AnimatedOpenSource-Ch2»PRC1T1</v></cell><cell r="D544" t="str"><v>43286223862885</v></cell><cell r="E544" t="str"><v>43286103048329PRC1T1</v></cell><cell r="F544" t="str"><v>DCM</v></cell><cell r="G544" t="str"><v>https://azure.microsoft.com/en-us/free/open-source/search/?OCID=AID%eexcid!_OLA_%ebuy!_%epid!_%ecid!</v></cell></row><row r="544"><cell r="K544" t="str"><v>July</v></cell><cell r="L544"><v>43288</v></cell><cell r="M544" t="str"><v>Tier 0</v></cell><cell r="N544" t="str"><v>North America</v></cell><cell r="O544" t="str"><v>United States</v></cell><cell r="P544" t="str"><v>Trial</v></cell><cell r="Q544" t="str"><v>Social</v></cell><cell r="R544" t="str"><v>Azure</v></cell><cell r="S544" t="str"><v>Apps & Infra</v></cell><cell r="T544" t="str"><v>Developers & ITI's</v></cell><cell r="U544" t="str"><v>USA-Trial-ITD-Interest Prospecting-AZR-AZR</v></cell><cell r="V544" t="str"><v>Prospecting</v></cell><cell r="W544" t="str"><v>Link Ad</v></cell><cell r="X544" t="str"><v>1x1</v></cell></row><row r="544"><cell r="AA544"><v>43286</v></cell><cell r="AB544" t="str"><v>USA_gaPMG_AZR_AZR_Q1_19_Direct-Social</v></cell><cell r="AC544"><v>21358715</v></cell><cell r="AD544"><v>720197</v></cell><cell r="AE544" t="str"><v>Facebook</v></cell><cell r="AF544"><v>3654128</v></cell><cell r="AG544" t="str"><v>FACEBOOK»USA-Trial-ITD-Interest Prospecting-AZR-AZR»1 x 1»SocialBan»LIA»ALL»CPA»PRO»X»NA»SS»NA»FreeAcctDeveloperFB-AnimatedOpenSource-Ch2»PRC1T1</v></cell><cell r="AH544"><v>223862885</v></cell><cell r="AI544" t="str"><v>AZR_FreeAcctDeveloperFB-AnimatedOpenSource-Ch2_USA_1200x1200_CAN_Direct_English_Trial_Standard_ANI_LEA_T2_1</v></cell><cell r="AJ544"><v>103048329</v></cell></row><row r="545"><cell r="C545" t="str"><v>43286FACEBOOK»USA-Trial-ITD-Interest Prospecting-AZR-AZR»1 x 1»SocialBan»LIA»ALL»CPA»PRO»X»NA»SS»NA»FreeAcctITProFB-AnimatedMigration-Ch3»PRC1X2</v></cell><cell r="D545" t="str"><v>43286224106954</v></cell><cell r="E545" t="str"><v>43286103176827PRC1X2</v></cell><cell r="F545" t="str"><v>DCM</v></cell></row><row r="545"><cell r="K545" t="str"><v>July</v></cell><cell r="L545"><v>43288</v></cell><cell r="M545" t="str"><v>Tier 0</v></cell><cell r="N545" t="str"><v>North America</v></cell><cell r="O545" t="str"><v>United States</v></cell><cell r="P545" t="str"><v>Trial</v></cell><cell r="Q545" t="str"><v>Social</v></cell><cell r="R545" t="str"><v>Azure</v></cell><cell r="S545" t="str"><v>Apps & Infra</v></cell><cell r="T545" t="str"><v>Developers & ITI's</v></cell><cell r="U545" t="str"><v>USA-Trial-ITD-Interest Prospecting-AZR-AZR</v></cell><cell r="V545" t="str"><v>Prospecting</v></cell><cell r="W545" t="str"><v>Link Ad</v></cell><cell r="X545" t="str"><v>1x1</v></cell></row><row r="545"><cell r="AA545"><v>43286</v></cell><cell r="AB545" t="str"><v>USA_gaPMG_AZR_AZR_Q1_19_Direct-Social</v></cell><cell r="AC545"><v>21358715</v></cell><cell r="AD545"><v>720197</v></cell><cell r="AE545" t="str"><v>Facebook</v></cell><cell r="AF545"><v>3654128</v></cell><cell r="AG545" t="str"><v>FACEBOOK»USA-Trial-ITD-Interest Prospecting-AZR-AZR»1 x 1»SocialBan»LIA»ALL»CPA»PRO»X»NA»SS»NA»FreeAcctITProFB-AnimatedMigration-Ch3»PRC1X2</v></cell><cell r="AH545"><v>224106954</v></cell><cell r="AI545" t="str"><v>AZR_FreeAcctITProFB-AnimatedMigration-Ch3_USA_1200x1200_CAN_Direct_English_Trial_Standard_ANI_LEA_T3_1</v></cell><cell r="AJ545"><v>103176827</v></cell></row><row r="546"><cell r="C546" t="str"><v>43286FACEBOOK»USA-Trial-ITD-Lead Completes-AZR-AZR»1 x 1»SocialBan»CAN»ALL»CPA»PRO»X»NA»SS»NA»FBCTCBrandinMotion»PRC1VX</v></cell><cell r="D546" t="str"><v>43286223861547</v></cell><cell r="E546" t="str"><v>43286103176812PRC1VX</v></cell><cell r="F546" t="str"><v>DCM</v></cell><cell r="G546" t="str"><v>https://signup.azure.com/?OCID=AID%eexcid!_OLA_%ebuy!_%epid!_%ecid!</v></cell></row><row r="546"><cell r="K546" t="str"><v>July</v></cell><cell r="L546"><v>43288</v></cell><cell r="M546" t="str"><v>Tier 0</v></cell><cell r="N546" t="str"><v>North America</v></cell><cell r="O546" t="str"><v>United States</v></cell><cell r="P546" t="str"><v>Trial</v></cell><cell r="Q546" t="str"><v>Social</v></cell><cell r="R546" t="str"><v>Azure</v></cell><cell r="S546" t="str"><v>Apps & Infra</v></cell><cell r="T546" t="str"><v>Developers & ITI's</v></cell><cell r="U546" t="str"><v>USA-Trial-ITD-Lead Completes-AZR-AZR</v></cell><cell r="V546" t="str"><v>Prospecting</v></cell><cell r="W546" t="str"><v>Canvas Ad</v></cell><cell r="X546" t="str"><v>1x1</v></cell></row><row r="546"><cell r="AA546"><v>43286</v></cell><cell r="AB546" t="str"><v>USA_gaPMG_AZR_AZR_Q1_19_Direct-Social</v></cell><cell r="AC546"><v>21358715</v></cell><cell r="AD546"><v>720197</v></cell><cell r="AE546" t="str"><v>Facebook</v></cell><cell r="AF546"><v>3654128</v></cell><cell r="AG546" t="str"><v>FACEBOOK»USA-Trial-ITD-Lead Completes-AZR-AZR»1 x 1»SocialBan»CAN»ALL»CPA»PRO»X»NA»SS»NA»FBCTCBrandinMotion»PRC1VX</v></cell><cell r="AH546"><v>223861547</v></cell><cell r="AI546" t="str"><v>AzurePlatform_FBCTCBrandinMotion_USA_10s_CAN_PLATFORM_English_Trial_Standard_STAN_TIN_T2_1</v></cell><cell r="AJ546"><v>103176812</v></cell></row><row r="547"><cell r="C547" t="str"><v>43286FACEBOOK»USA-Trial-ITD-Lead Completes-AZR-AZR»1 x 1»SocialBan»LIA»ALL»CPA»PRO»X»NA»SS»NA»FreeAcctDeveloperFB-AnimatedAI-Ch3»PRC1W1</v></cell><cell r="D547" t="str"><v>43286223933096</v></cell><cell r="E547" t="str"><v>43286103032778PRC1W1</v></cell><cell r="F547" t="str"><v>DCM</v></cell></row><row r="547"><cell r="K547" t="str"><v>July</v></cell><cell r="L547"><v>43288</v></cell><cell r="M547" t="str"><v>Tier 0</v></cell><cell r="N547" t="str"><v>North America</v></cell><cell r="O547" t="str"><v>United States</v></cell><cell r="P547" t="str"><v>Trial</v></cell><cell r="Q547" t="str"><v>Social</v></cell><cell r="R547" t="str"><v>Azure</v></cell><cell r="S547" t="str"><v>Apps & Infra</v></cell><cell r="T547" t="str"><v>Developers & ITI's</v></cell><cell r="U547" t="str"><v>USA-Trial-ITD-Lead Completes-AZR-AZR</v></cell><cell r="V547" t="str"><v>Prospecting</v></cell><cell r="W547" t="str"><v>Link Ad</v></cell><cell r="X547" t="str"><v>1x1</v></cell></row><row r="547"><cell r="AA547"><v>43286</v></cell><cell r="AB547" t="str"><v>USA_gaPMG_AZR_AZR_Q1_19_Direct-Social</v></cell><cell r="AC547"><v>21358715</v></cell><cell r="AD547"><v>720197</v></cell><cell r="AE547" t="str"><v>Facebook</v></cell><cell r="AF547"><v>3654128</v></cell><cell r="AG547" t="str"><v>FACEBOOK»USA-Trial-ITD-Lead Completes-AZR-AZR»1 x 1»SocialBan»LIA»ALL»CPA»PRO»X»NA»SS»NA»FreeAcctDeveloperFB-AnimatedAI-Ch3»PRC1W1</v></cell><cell r="AH547"><v>223933096</v></cell><cell r="AI547" t="str"><v>AZR_FreeAcctDeveloperFB-AnimatedAI-Ch3_USA_1200x1200_CAN_Direct_English_Trial_Standard_ANI_LEA_T3_1</v></cell><cell r="AJ547"><v>103032778</v></cell></row><row r="548"><cell r="C548" t="str"><v>43286FACEBOOK»USA-Trial-ITD-Lead Completes-AZR-AZR»1 x 1»SocialBan»LIA»ALL»CPA»PRO»X»NA»SS»NA»FreeAcctDeveloperFB-AnimatedData-Ch4»PRC1W3</v></cell><cell r="D548" t="str"><v>43286223862711</v></cell><cell r="E548" t="str"><v>43286103037935PRC1W3</v></cell><cell r="F548" t="str"><v>DCM</v></cell></row><row r="548"><cell r="K548" t="str"><v>July</v></cell><cell r="L548"><v>43288</v></cell><cell r="M548" t="str"><v>Tier 0</v></cell><cell r="N548" t="str"><v>North America</v></cell><cell r="O548" t="str"><v>United States</v></cell><cell r="P548" t="str"><v>Trial</v></cell><cell r="Q548" t="str"><v>Social</v></cell><cell r="R548" t="str"><v>Azure</v></cell><cell r="S548" t="str"><v>Apps & Infra</v></cell><cell r="T548" t="str"><v>Developers & ITI's</v></cell><cell r="U548" t="str"><v>USA-Trial-ITD-Lead Completes-AZR-AZR</v></cell><cell r="V548" t="str"><v>Prospecting</v></cell><cell r="W548" t="str"><v>Link Ad</v></cell><cell r="X548" t="str"><v>1x1</v></cell></row><row r="548"><cell r="AA548"><v>43286</v></cell><cell r="AB548" t="str"><v>USA_gaPMG_AZR_AZR_Q1_19_Direct-Social</v></cell><cell r="AC548"><v>21358715</v></cell><cell r="AD548"><v>720197</v></cell><cell r="AE548" t="str"><v>Facebook</v></cell><cell r="AF548"><v>3654128</v></cell><cell r="AG548" t="str"><v>FACEBOOK»USA-Trial-ITD-Lead Completes-AZR-AZR»1 x 1»SocialBan»LIA»ALL»CPA»PRO»X»NA»SS»NA»FreeAcctDeveloperFB-AnimatedData-Ch4»PRC1W3</v></cell><cell r="AH548"><v>223862711</v></cell><cell r="AI548" t="str"><v>AZR_FreeAcctDeveloperFB-AnimatedData-Ch4_USA_1200x1200_CAN_Direct_English_Trial_Standard_ANI_LEA_T4_2</v></cell><cell r="AJ548"><v>103037935</v></cell></row><row r="549"><cell r="C549" t="str"><v>43286FACEBOOK»USA-Trial-ITD-Lead Completes-AZR-AZR»1 x 1»SocialBan»LIA»ALL»CPA»PRO»X»NA»SS»NA»FreeAcctDeveloperFB-AnimatedOpenSource-Ch2»PRC1W0</v></cell><cell r="D549" t="str"><v>43286223933108</v></cell><cell r="E549" t="str"><v>43286103048329PRC1W0</v></cell><cell r="F549" t="str"><v>DCM</v></cell><cell r="G549" t="str"><v>https://azure.microsoft.com/en-us/free/open-source/search/?OCID=AID%eexcid!_OLA_%ebuy!_%epid!_%ecid!</v></cell></row><row r="549"><cell r="K549" t="str"><v>July</v></cell><cell r="L549"><v>43288</v></cell><cell r="M549" t="str"><v>Tier 0</v></cell><cell r="N549" t="str"><v>North America</v></cell><cell r="O549" t="str"><v>United States</v></cell><cell r="P549" t="str"><v>Trial</v></cell><cell r="Q549" t="str"><v>Social</v></cell><cell r="R549" t="str"><v>Azure</v></cell><cell r="S549" t="str"><v>Apps & Infra</v></cell><cell r="T549" t="str"><v>Developers & ITI's</v></cell><cell r="U549" t="str"><v>USA-Trial-ITD-Lead Completes-AZR-AZR</v></cell><cell r="V549" t="str"><v>Prospecting</v></cell><cell r="W549" t="str"><v>Link Ad</v></cell><cell r="X549" t="str"><v>1x1</v></cell></row><row r="549"><cell r="AA549"><v>43286</v></cell><cell r="AB549" t="str"><v>USA_gaPMG_AZR_AZR_Q1_19_Direct-Social</v></cell><cell r="AC549"><v>21358715</v></cell><cell r="AD549"><v>720197</v></cell><cell r="AE549" t="str"><v>Facebook</v></cell><cell r="AF549"><v>3654128</v></cell><cell r="AG549" t="str"><v>FACEBOOK»USA-Trial-ITD-Lead Completes-AZR-AZR»1 x 1»SocialBan»LIA»ALL»CPA»PRO»X»NA»SS»NA»FreeAcctDeveloperFB-AnimatedOpenSource-Ch2»PRC1W0</v></cell><cell r="AH549"><v>223933108</v></cell><cell r="AI549" t="str"><v>AZR_FreeAcctDeveloperFB-AnimatedOpenSource-Ch2_USA_1200x1200_CAN_Direct_English_Trial_Standard_ANI_LEA_T2_1</v></cell><cell r="AJ549"><v>103048329</v></cell></row><row r="550"><cell r="C550" t="str"><v>43286FACEBOOK»USA-Trial-ITD-Lead Completes-AZR-AZR»1 x 1»SocialBan»LIA»ALL»CPA»PRO»X»NA»SS»NA»FreeAcctITProFB-AnimatedHybrid-Ch2»PRC1W5</v></cell><cell r="D550" t="str"><v>43286224106033</v></cell><cell r="E550" t="str"><v>43286103180583PRC1W5</v></cell><cell r="F550" t="str"><v>DCM</v></cell></row><row r="550"><cell r="K550" t="str"><v>July</v></cell><cell r="L550"><v>43288</v></cell><cell r="M550" t="str"><v>Tier 0</v></cell><cell r="N550" t="str"><v>North America</v></cell><cell r="O550" t="str"><v>United States</v></cell><cell r="P550" t="str"><v>Trial</v></cell><cell r="Q550" t="str"><v>Social</v></cell><cell r="R550" t="str"><v>Azure</v></cell><cell r="S550" t="str"><v>Apps & Infra</v></cell><cell r="T550" t="str"><v>Developers & ITI's</v></cell><cell r="U550" t="str"><v>USA-Trial-ITD-Lead Completes-AZR-AZR</v></cell><cell r="V550" t="str"><v>Prospecting</v></cell><cell r="W550" t="str"><v>Link Ad</v></cell><cell r="X550" t="str"><v>1x1</v></cell></row><row r="550"><cell r="AA550"><v>43286</v></cell><cell r="AB550" t="str"><v>USA_gaPMG_AZR_AZR_Q1_19_Direct-Social</v></cell><cell r="AC550"><v>21358715</v></cell><cell r="AD550"><v>720197</v></cell><cell r="AE550" t="str"><v>Facebook</v></cell><cell r="AF550"><v>3654128</v></cell><cell r="AG550" t="str"><v>FACEBOOK»USA-Trial-ITD-Lead Completes-AZR-AZR»1 x 1»SocialBan»LIA»ALL»CPA»PRO»X»NA»SS»NA»FreeAcctITProFB-AnimatedHybrid-Ch2»PRC1W5</v></cell><cell r="AH550"><v>224106033</v></cell><cell r="AI550" t="str"><v>AZR_FreeAcctITProFB-AnimatedHybrid-Ch2_USA_1200x1200_CAN_Direct_English_Trial_Standard_ANI_LEA_T2_2</v></cell><cell r="AJ550"><v>103180583</v></cell></row><row r="551"><cell r="C551" t="str"><v>43286FACEBOOK»USA-Trial-ITD-Lead Completes-AZR-AZR»1 x 1»SocialBan»LIA»ALL»CPA»PRO»X»NA»SS»NA»FreeAcctITProFB-AnimatedMigration-Ch3»PRC22N</v></cell><cell r="D551" t="str"><v>43286223933114</v></cell><cell r="E551" t="str"><v>43286103176827PRC22N</v></cell><cell r="F551" t="str"><v>DCM</v></cell></row><row r="551"><cell r="K551" t="str"><v>July</v></cell><cell r="L551"><v>43288</v></cell><cell r="M551" t="str"><v>Tier 0</v></cell><cell r="N551" t="str"><v>North America</v></cell><cell r="O551" t="str"><v>United States</v></cell><cell r="P551" t="str"><v>Trial</v></cell><cell r="Q551" t="str"><v>Social</v></cell><cell r="R551" t="str"><v>Azure</v></cell><cell r="S551" t="str"><v>Apps & Infra</v></cell><cell r="T551" t="str"><v>Developers & ITI's</v></cell><cell r="U551" t="str"><v>USA-Trial-ITD-Lead Completes-AZR-AZR</v></cell><cell r="V551" t="str"><v>Prospecting</v></cell><cell r="W551" t="str"><v>Link Ad</v></cell><cell r="X551" t="str"><v>1x1</v></cell></row><row r="551"><cell r="AA551"><v>43286</v></cell><cell r="AB551" t="str"><v>USA_gaPMG_AZR_AZR_Q1_19_Direct-Social</v></cell><cell r="AC551"><v>21358715</v></cell><cell r="AD551"><v>720197</v></cell><cell r="AE551" t="str"><v>Facebook</v></cell><cell r="AF551"><v>3654128</v></cell><cell r="AG551" t="str"><v>FACEBOOK»USA-Trial-ITD-Lead Completes-AZR-AZR»1 x 1»SocialBan»LIA»ALL»CPA»PRO»X»NA»SS»NA»FreeAcctITProFB-AnimatedMigration-Ch3»PRC22N</v></cell><cell r="AH551"><v>223933114</v></cell><cell r="AI551" t="str"><v>AZR_FreeAcctITProFB-AnimatedMigration-Ch3_USA_1200x1200_CAN_Direct_English_Trial_Standard_ANI_LEA_T3_1</v></cell><cell r="AJ551"><v>103176827</v></cell></row><row r="552"><cell r="C552" t="str"><v>43286FACEBOOK»USA-Trial-ITD-Lead Completes-AZR-AZR»1 x 1»SocialBan»LIA»ALL»CPA»PRO»X»NA»SS»NA»FreeAcctITProFB-AnimatedSecureMngd-Ch1»PRC1W4</v></cell><cell r="D552" t="str"><v>43286223862153</v></cell><cell r="E552" t="str"><v>43286103176830PRC1W4</v></cell><cell r="F552" t="str"><v>DCM</v></cell></row><row r="552"><cell r="K552" t="str"><v>July</v></cell><cell r="L552"><v>43288</v></cell><cell r="M552" t="str"><v>Tier 0</v></cell><cell r="N552" t="str"><v>North America</v></cell><cell r="O552" t="str"><v>United States</v></cell><cell r="P552" t="str"><v>Trial</v></cell><cell r="Q552" t="str"><v>Social</v></cell><cell r="R552" t="str"><v>Azure</v></cell><cell r="S552" t="str"><v>Apps & Infra</v></cell><cell r="T552" t="str"><v>Developers & ITI's</v></cell><cell r="U552" t="str"><v>USA-Trial-ITD-Lead Completes-AZR-AZR</v></cell><cell r="V552" t="str"><v>Prospecting</v></cell><cell r="W552" t="str"><v>Link Ad</v></cell><cell r="X552" t="str"><v>1x1</v></cell></row><row r="552"><cell r="AA552"><v>43286</v></cell><cell r="AB552" t="str"><v>USA_gaPMG_AZR_AZR_Q1_19_Direct-Social</v></cell><cell r="AC552"><v>21358715</v></cell><cell r="AD552"><v>720197</v></cell><cell r="AE552" t="str"><v>Facebook</v></cell><cell r="AF552"><v>3654128</v></cell><cell r="AG552" t="str"><v>FACEBOOK»USA-Trial-ITD-Lead Completes-AZR-AZR»1 x 1»SocialBan»LIA»ALL»CPA»PRO»X»NA»SS»NA»FreeAcctITProFB-AnimatedSecureMngd-Ch1»PRC1W4</v></cell><cell r="AH552"><v>223862153</v></cell><cell r="AI552" t="str"><v>AZR_FreeAcctITProFB-AnimatedSecureMngd-Ch1_USA_1200x1200_CAN_Direct_English_Trial_Standard_ANI_LEA_T1_1</v></cell><cell r="AJ552"><v>103176830</v></cell></row><row r="553"><cell r="C553" t="str"><v>43286FACEBOOK»USA-Trial-ITD-Lead Completes-AZR-AZR»1 x 1»SocialBan»CAN»ALL»CPA»PRO»X»NA»SS»NA»FBCTCBasicMotion»PRC1VT</v></cell><cell r="D553" t="str"><v>43286224106900</v></cell><cell r="E553" t="str"><v>43286103043823PRC1VT</v></cell><cell r="F553" t="str"><v>DCM</v></cell><cell r="G553" t="str"><v>https://signup.azure.com/?OCID=AID%eexcid!_OLA_%ebuy!_%epid!_%ecid!</v></cell></row><row r="553"><cell r="K553" t="str"><v>July</v></cell><cell r="L553"><v>43288</v></cell><cell r="M553" t="str"><v>Tier 0</v></cell><cell r="N553" t="str"><v>North America</v></cell><cell r="O553" t="str"><v>United States</v></cell><cell r="P553" t="str"><v>Trial</v></cell><cell r="Q553" t="str"><v>Social</v></cell><cell r="R553" t="str"><v>Azure</v></cell><cell r="S553" t="str"><v>Apps & Infra</v></cell><cell r="T553" t="str"><v>Developers & ITI's</v></cell><cell r="U553" t="str"><v>USA-Trial-ITD-Lead Completes-AZR-AZR</v></cell><cell r="V553" t="str"><v>Prospecting</v></cell><cell r="W553" t="str"><v>Canvas Ad</v></cell><cell r="X553" t="str"><v>1x1</v></cell></row><row r="553"><cell r="AA553"><v>43286</v></cell><cell r="AB553" t="str"><v>USA_gaPMG_AZR_AZR_Q1_19_Direct-Social</v></cell><cell r="AC553"><v>21358715</v></cell><cell r="AD553"><v>720197</v></cell><cell r="AE553" t="str"><v>Facebook</v></cell><cell r="AF553"><v>3654128</v></cell><cell r="AG553" t="str"><v>FACEBOOK»USA-Trial-ITD-Lead Completes-AZR-AZR»1 x 1»SocialBan»CAN»ALL»CPA»PRO»X»NA»SS»NA»FBCTCBasicMotion»PRC1VT</v></cell><cell r="AH553"><v>224106900</v></cell><cell r="AI553" t="str"><v>AzurePlatform_FBCTCBasicMotion_USA_10s_CAN_PLATFORM_English_Trial_Standard_STAN_TIN_T1_1</v></cell><cell r="AJ553"><v>103043823</v></cell></row><row r="554"><cell r="C554" t="str"><v>43286FACEBOOK»USA-Trial-ITD-Lead Completes-AZR-AZR»1 x 1»SocialBan»CAN»ALL»CPA»PRO»X»NA»SS»NA»FBCTCBenefit2inMotion»PRC1VV</v></cell><cell r="D554" t="str"><v>43286224106909</v></cell><cell r="E554" t="str"><v>43286103043835PRC1VV</v></cell><cell r="F554" t="str"><v>DCM</v></cell><cell r="G554" t="str"><v>https://signup.azure.com/?OCID=AID%eexcid!_OLA_%ebuy!_%epid!_%ecid!</v></cell></row><row r="554"><cell r="K554" t="str"><v>July</v></cell><cell r="L554"><v>43288</v></cell><cell r="M554" t="str"><v>Tier 0</v></cell><cell r="N554" t="str"><v>North America</v></cell><cell r="O554" t="str"><v>United States</v></cell><cell r="P554" t="str"><v>Trial</v></cell><cell r="Q554" t="str"><v>Social</v></cell><cell r="R554" t="str"><v>Azure</v></cell><cell r="S554" t="str"><v>Apps & Infra</v></cell><cell r="T554" t="str"><v>Developers & ITI's</v></cell><cell r="U554" t="str"><v>USA-Trial-ITD-Lead Completes-AZR-AZR</v></cell><cell r="V554" t="str"><v>Prospecting</v></cell><cell r="W554" t="str"><v>Canvas Ad</v></cell><cell r="X554" t="str"><v>1x1</v></cell></row><row r="554"><cell r="AA554"><v>43286</v></cell><cell r="AB554" t="str"><v>USA_gaPMG_AZR_AZR_Q1_19_Direct-Social</v></cell><cell r="AC554"><v>21358715</v></cell><cell r="AD554"><v>720197</v></cell><cell r="AE554" t="str"><v>Facebook</v></cell><cell r="AF554"><v>3654128</v></cell><cell r="AG554" t="str"><v>FACEBOOK»USA-Trial-ITD-Lead Completes-AZR-AZR»1 x 1»SocialBan»CAN»ALL»CPA»PRO»X»NA»SS»NA»FBCTCBenefit2inMotion»PRC1VV</v></cell><cell r="AH554"><v>224106909</v></cell><cell r="AI554" t="str"><v>AzurePlatform_FBCTCBenefit2inMotion_USA_10s_CAN_PLATFORM_English_Trial_Standard_STAN_TIN_T4_1</v></cell><cell r="AJ554"><v>103043835</v></cell></row><row r="555"><cell r="C555" t="str"><v>43286FACEBOOK»USA-Trial-ITD-Lead Completes-AZR-AZR»1 x 1»SocialBan»LIA»ALL»CPA»PRO»X»NA»SS»NA»FreeAcctDeveloperFB-AnimatedGeneric-Ch1»PRC1VZ</v></cell><cell r="D555" t="str"><v>43286223862852</v></cell><cell r="E555" t="str"><v>43286103176851PRC1VZ</v></cell><cell r="F555" t="str"><v>DCM</v></cell><cell r="G555" t="str"><v>https://azure.microsoft.com/en-us/free/search/?OCID=AID%eexcid!_OLA_%ebuy!_%epid!_%ecid!</v></cell></row><row r="555"><cell r="K555" t="str"><v>July</v></cell><cell r="L555"><v>43288</v></cell><cell r="M555" t="str"><v>Tier 0</v></cell><cell r="N555" t="str"><v>North America</v></cell><cell r="O555" t="str"><v>United States</v></cell><cell r="P555" t="str"><v>Trial</v></cell><cell r="Q555" t="str"><v>Social</v></cell><cell r="R555" t="str"><v>Azure</v></cell><cell r="S555" t="str"><v>Apps & Infra</v></cell><cell r="T555" t="str"><v>Developers & ITI's</v></cell><cell r="U555" t="str"><v>USA-Trial-ITD-Lead Completes-AZR-AZR</v></cell><cell r="V555" t="str"><v>Prospecting</v></cell><cell r="W555" t="str"><v>Link Ad</v></cell><cell r="X555" t="str"><v>1x1</v></cell></row><row r="555"><cell r="AA555"><v>43286</v></cell><cell r="AB555" t="str"><v>USA_gaPMG_AZR_AZR_Q1_19_Direct-Social</v></cell><cell r="AC555"><v>21358715</v></cell><cell r="AD555"><v>720197</v></cell><cell r="AE555" t="str"><v>Facebook</v></cell><cell r="AF555"><v>3654128</v></cell><cell r="AG555" t="str"><v>FACEBOOK»USA-Trial-ITD-Lead Completes-AZR-AZR»1 x 1»SocialBan»LIA»ALL»CPA»PRO»X»NA»SS»NA»FreeAcctDeveloperFB-AnimatedGeneric-Ch1»PRC1VZ</v></cell><cell r="AH555"><v>223862852</v></cell><cell r="AI555" t="str"><v>AZR_FreeAcctDeveloperFB-AnimatedGeneric-Ch1_USA_1200x1200_CAN_Direct_English_Trial_Standard_ANI_LEA_T1_2</v></cell><cell r="AJ555"><v>103176851</v></cell></row><row r="556"><cell r="C556" t="str"><v>43286FACEBOOK»USA-Trial-ITD-Retargeting-AZR-AZR»1 x 1»SocialBan»LIA»ALL»CPA»RT»X»NA»SS»NA»FreeAcctDeveloperFB-AnimatedGeneric-Ch1»PRC26D</v></cell><cell r="D556" t="str"><v>43286223862870</v></cell><cell r="E556" t="str"><v>43286103176851PRC26D</v></cell><cell r="F556" t="str"><v>DCM</v></cell><cell r="G556" t="str"><v>https://azure.microsoft.com/en-us/free/search/?OCID=AID%eexcid!_OLA_%ebuy!_%epid!_%ecid!</v></cell></row><row r="556"><cell r="K556" t="str"><v>July</v></cell><cell r="L556"><v>43288</v></cell><cell r="M556" t="str"><v>Tier 0</v></cell><cell r="N556" t="str"><v>North America</v></cell><cell r="O556" t="str"><v>United States</v></cell><cell r="P556" t="str"><v>Trial</v></cell><cell r="Q556" t="str"><v>Social</v></cell><cell r="R556" t="str"><v>Azure</v></cell><cell r="S556" t="str"><v>Apps & Infra</v></cell><cell r="T556" t="str"><v>Developers & ITI's</v></cell><cell r="U556" t="str"><v>USA-Trial-ITD-Retargeting-AZR-AZR</v></cell><cell r="V556" t="str"><v>Retargeting</v></cell><cell r="W556" t="str"><v>Link Ad</v></cell><cell r="X556" t="str"><v>1x1</v></cell></row><row r="556"><cell r="AA556"><v>43286</v></cell><cell r="AB556" t="str"><v>USA_gaPMG_AZR_AZR_Q1_19_Direct-Social</v></cell><cell r="AC556"><v>21358715</v></cell><cell r="AD556"><v>720197</v></cell><cell r="AE556" t="str"><v>Facebook</v></cell><cell r="AF556"><v>3654128</v></cell><cell r="AG556" t="str"><v>FACEBOOK»USA-Trial-ITD-Retargeting-AZR-AZR»1 x 1»SocialBan»LIA»ALL»CPA»RT»X»NA»SS»NA»FreeAcctDeveloperFB-AnimatedGeneric-Ch1»PRC26D</v></cell><cell r="AH556"><v>223862870</v></cell><cell r="AI556" t="str"><v>AZR_FreeAcctDeveloperFB-AnimatedGeneric-Ch1_USA_1200x1200_CAN_Direct_English_Trial_Standard_ANI_LEA_T1_2</v></cell><cell r="AJ556"><v>103176851</v></cell></row><row r="557"><cell r="C557" t="str"><v>43286FACEBOOK»USA-Trial-ITD-Retargeting-AZR-AZR»1 x 1»SocialBan»LIA»ALL»CPA»RT»X»NA»SS»NA»FreeAcctRetargetingOSSFB-Logos-ChG»PRC1S2</v></cell><cell r="D557" t="str"><v>43286224106063</v></cell><cell r="E557" t="str"><v>43286103176008PRC1S2</v></cell><cell r="F557" t="str"><v>DCM</v></cell><cell r="G557" t="str"><v>https://azure.microsoft.com/en-us/free/open-source/search/?OCID=AID%eexcid!_OLA_%ebuy!_%epid!_%ecid!</v></cell></row><row r="557"><cell r="K557" t="str"><v>July</v></cell><cell r="L557"><v>43288</v></cell><cell r="M557" t="str"><v>Tier 0</v></cell><cell r="N557" t="str"><v>North America</v></cell><cell r="O557" t="str"><v>United States</v></cell><cell r="P557" t="str"><v>Trial</v></cell><cell r="Q557" t="str"><v>Social</v></cell><cell r="R557" t="str"><v>Azure</v></cell><cell r="S557" t="str"><v>Apps & Infra</v></cell><cell r="T557" t="str"><v>Developers & ITI's</v></cell><cell r="U557" t="str"><v>USA-Trial-ITD-Retargeting-AZR-AZR</v></cell><cell r="V557" t="str"><v>Retargeting</v></cell><cell r="W557" t="str"><v>Link Ad</v></cell><cell r="X557" t="str"><v>1x1</v></cell></row><row r="557"><cell r="AA557"><v>43286</v></cell><cell r="AB557" t="str"><v>USA_gaPMG_AZR_AZR_Q1_19_Direct-Social</v></cell><cell r="AC557"><v>21358715</v></cell><cell r="AD557"><v>720197</v></cell><cell r="AE557" t="str"><v>Facebook</v></cell><cell r="AF557"><v>3654128</v></cell><cell r="AG557" t="str"><v>FACEBOOK»USA-Trial-ITD-Retargeting-AZR-AZR»1 x 1»SocialBan»LIA»ALL»CPA»RT»X»NA»SS»NA»FreeAcctRetargetingOSSFB-Logos-ChG»PRC1S2</v></cell><cell r="AH557"><v>224106063</v></cell><cell r="AI557" t="str"><v>AzurePlatform_FreeAcctRetargetingOSSFB-Logos-ChG_USA_1200x628_CAN_PLATFORM_English_Free Account_Standard_NA_SINU_T2_1</v></cell><cell r="AJ557"><v>103176008</v></cell></row><row r="558"><cell r="C558" t="str"><v>43286FACEBOOK»USA-Trial-ITD-Retargeting-AZR-AZR»1 x 1»SocialBan»LIA»ALL»CPA»RT»X»NA»SS»NA»FreeAcctRetargetingOSSFB-Text-ChF»PRC1S1</v></cell><cell r="D558" t="str"><v>43286223862753</v></cell><cell r="E558" t="str"><v>43286103176869PRC1S1</v></cell><cell r="F558" t="str"><v>DCM</v></cell><cell r="G558" t="str"><v>https://azure.microsoft.com/en-us/free/open-source/search/?OCID=AID%eexcid!_OLA_%ebuy!_%epid!_%ecid!</v></cell></row><row r="558"><cell r="K558" t="str"><v>July</v></cell><cell r="L558"><v>43288</v></cell><cell r="M558" t="str"><v>Tier 0</v></cell><cell r="N558" t="str"><v>North America</v></cell><cell r="O558" t="str"><v>United States</v></cell><cell r="P558" t="str"><v>Trial</v></cell><cell r="Q558" t="str"><v>Social</v></cell><cell r="R558" t="str"><v>Azure</v></cell><cell r="S558" t="str"><v>Apps & Infra</v></cell><cell r="T558" t="str"><v>Developers & ITI's</v></cell><cell r="U558" t="str"><v>USA-Trial-ITD-Retargeting-AZR-AZR</v></cell><cell r="V558" t="str"><v>Retargeting</v></cell><cell r="W558" t="str"><v>Link Ad</v></cell><cell r="X558" t="str"><v>1x1</v></cell></row><row r="558"><cell r="AA558"><v>43286</v></cell><cell r="AB558" t="str"><v>USA_gaPMG_AZR_AZR_Q1_19_Direct-Social</v></cell><cell r="AC558"><v>21358715</v></cell><cell r="AD558"><v>720197</v></cell><cell r="AE558" t="str"><v>Facebook</v></cell><cell r="AF558"><v>3654128</v></cell><cell r="AG558" t="str"><v>FACEBOOK»USA-Trial-ITD-Retargeting-AZR-AZR»1 x 1»SocialBan»LIA»ALL»CPA»RT»X»NA»SS»NA»FreeAcctRetargetingOSSFB-Text-ChF»PRC1S1</v></cell><cell r="AH558"><v>223862753</v></cell><cell r="AI558" t="str"><v>AzurePlatform_FreeAcctRetargetingOSSFB-Text-ChF_USA_1200x628_CAN_PLATFORM_English_Free Account_Standard_NA_SINU_T1_2</v></cell><cell r="AJ558"><v>103176869</v></cell></row><row r="559"><cell r="C559" t="str"><v>43286FACEBOOK»USA-Trial-ITD-Retargeting-AZR-AZR»1 x 1»SocialBan»CAN»ALL»CPA»RT»X»NA»SS»NA»FBCTCBasicMotion»PRC1RQ</v></cell><cell r="D559" t="str"><v>43286224106933</v></cell><cell r="E559" t="str"><v>43286103043823PRC1RQ</v></cell><cell r="F559" t="str"><v>DCM</v></cell><cell r="G559" t="str"><v>https://signup.azure.com/?OCID=AID%eexcid!_OLA_%ebuy!_%epid!_%ecid!</v></cell></row><row r="559"><cell r="K559" t="str"><v>July</v></cell><cell r="L559"><v>43288</v></cell><cell r="M559" t="str"><v>Tier 0</v></cell><cell r="N559" t="str"><v>North America</v></cell><cell r="O559" t="str"><v>United States</v></cell><cell r="P559" t="str"><v>Trial</v></cell><cell r="Q559" t="str"><v>Social</v></cell><cell r="R559" t="str"><v>Azure</v></cell><cell r="S559" t="str"><v>Apps & Infra</v></cell><cell r="T559" t="str"><v>Developers & ITI's</v></cell><cell r="U559" t="str"><v>USA-Trial-ITD-Retargeting-AZR-AZR</v></cell><cell r="V559" t="str"><v>Retargeting</v></cell><cell r="W559" t="str"><v>Canvas Ad</v></cell><cell r="X559" t="str"><v>1x1</v></cell></row><row r="559"><cell r="AA559"><v>43286</v></cell><cell r="AB559" t="str"><v>USA_gaPMG_AZR_AZR_Q1_19_Direct-Social</v></cell><cell r="AC559"><v>21358715</v></cell><cell r="AD559"><v>720197</v></cell><cell r="AE559" t="str"><v>Facebook</v></cell><cell r="AF559"><v>3654128</v></cell><cell r="AG559" t="str"><v>FACEBOOK»USA-Trial-ITD-Retargeting-AZR-AZR»1 x 1»SocialBan»CAN»ALL»CPA»RT»X»NA»SS»NA»FBCTCBasicMotion»PRC1RQ</v></cell><cell r="AH559"><v>224106933</v></cell><cell r="AI559" t="str"><v>AzurePlatform_FBCTCBasicMotion_USA_10s_CAN_PLATFORM_English_Trial_Standard_STAN_TIN_T1_1</v></cell><cell r="AJ559"><v>103043823</v></cell></row><row r="560"><cell r="C560" t="str"><v>43286FACEBOOK»USA-Trial-ITD-Retargeting-AZR-AZR»1 x 1»SocialBan»LIA»ALL»CPA»RT»X»NA»SS»NA»FreeAcctITProFB-AnimatedSecureMngd-Ch1»PRC26K</v></cell><cell r="D560" t="str"><v>43286223862762</v></cell><cell r="E560" t="str"><v>43286103176830PRC26K</v></cell><cell r="F560" t="str"><v>DCM</v></cell></row><row r="560"><cell r="K560" t="str"><v>July</v></cell><cell r="L560"><v>43288</v></cell><cell r="M560" t="str"><v>Tier 0</v></cell><cell r="N560" t="str"><v>North America</v></cell><cell r="O560" t="str"><v>United States</v></cell><cell r="P560" t="str"><v>Trial</v></cell><cell r="Q560" t="str"><v>Social</v></cell><cell r="R560" t="str"><v>Azure</v></cell><cell r="S560" t="str"><v>Apps & Infra</v></cell><cell r="T560" t="str"><v>Developers & ITI's</v></cell><cell r="U560" t="str"><v>USA-Trial-ITD-Retargeting-AZR-AZR</v></cell><cell r="V560" t="str"><v>Retargeting</v></cell><cell r="W560" t="str"><v>Link Ad</v></cell><cell r="X560" t="str"><v>1x1</v></cell></row><row r="560"><cell r="AA560"><v>43286</v></cell><cell r="AB560" t="str"><v>USA_gaPMG_AZR_AZR_Q1_19_Direct-Social</v></cell><cell r="AC560"><v>21358715</v></cell><cell r="AD560"><v>720197</v></cell><cell r="AE560" t="str"><v>Facebook</v></cell><cell r="AF560"><v>3654128</v></cell><cell r="AG560" t="str"><v>FACEBOOK»USA-Trial-ITD-Retargeting-AZR-AZR»1 x 1»SocialBan»LIA»ALL»CPA»RT»X»NA»SS»NA»FreeAcctITProFB-AnimatedSecureMngd-Ch1»PRC26K</v></cell><cell r="AH560"><v>223862762</v></cell><cell r="AI560" t="str"><v>AZR_FreeAcctITProFB-AnimatedSecureMngd-Ch1_USA_1200x1200_CAN_Direct_English_Trial_Standard_ANI_LEA_T1_1</v></cell><cell r="AJ560"><v>103176830</v></cell></row><row r="561"><cell r="C561" t="str"><v>43286FACEBOOK»USA-Trial-ITD-Trial Lookalike-AZR-AZR»1 x 1»SocialBan»LIA»ALL»CPA»LAL»X»NA»SS»NA»FreeAcctDeveloperFB-AnimatedGeneric-Ch1»PRC1M4</v></cell><cell r="D561" t="str"><v>43286224104941</v></cell><cell r="E561" t="str"><v>43286103176851PRC1M4</v></cell><cell r="F561" t="str"><v>DCM</v></cell><cell r="G561" t="str"><v>https://azure.microsoft.com/en-us/free/search/?OCID=AID%eexcid!_OLA_%ebuy!_%epid!_%ecid!</v></cell></row><row r="561"><cell r="K561" t="str"><v>July</v></cell><cell r="L561"><v>43288</v></cell><cell r="M561" t="str"><v>Tier 0</v></cell><cell r="N561" t="str"><v>North America</v></cell><cell r="O561" t="str"><v>United States</v></cell><cell r="P561" t="str"><v>Trial</v></cell><cell r="Q561" t="str"><v>Social</v></cell><cell r="R561" t="str"><v>Azure</v></cell><cell r="S561" t="str"><v>Apps & Infra</v></cell><cell r="T561" t="str"><v>Developers & ITI's</v></cell><cell r="U561" t="str"><v>USA-Trial-ITD-Trial Lookalike-AZR-AZR</v></cell><cell r="V561" t="str"><v>Lookalike Targeting</v></cell><cell r="W561" t="str"><v>Link Ad</v></cell><cell r="X561" t="str"><v>1x1</v></cell></row><row r="561"><cell r="AA561"><v>43286</v></cell><cell r="AB561" t="str"><v>USA_gaPMG_AZR_AZR_Q1_19_Direct-Social</v></cell><cell r="AC561"><v>21358715</v></cell><cell r="AD561"><v>720197</v></cell><cell r="AE561" t="str"><v>Facebook</v></cell><cell r="AF561"><v>3654128</v></cell><cell r="AG561" t="str"><v>FACEBOOK»USA-Trial-ITD-Trial Lookalike-AZR-AZR»1 x 1»SocialBan»LIA»ALL»CPA»LAL»X»NA»SS»NA»FreeAcctDeveloperFB-AnimatedGeneric-Ch1»PRC1M4</v></cell><cell r="AH561"><v>224104941</v></cell><cell r="AI561" t="str"><v>AZR_FreeAcctDeveloperFB-AnimatedGeneric-Ch1_USA_1200x1200_CAN_Direct_English_Trial_Standard_ANI_LEA_T1_2</v></cell><cell r="AJ561"><v>103176851</v></cell></row><row r="562"><cell r="C562" t="str"><v>43286FACEBOOK»USA-Trial-ITD-Trial Lookalike-AZR-AZR»1 x 1»SocialBan»LIA»ALL»CPA»LAL»X»NA»SS»NA»FreeAcctDeveloperFB-AnimatedGeneric-Ch1»PRC1M5</v></cell><cell r="D562" t="str"><v>43286223934083</v></cell><cell r="E562" t="str"><v>43286103176851PRC1M5</v></cell><cell r="F562" t="str"><v>DCM</v></cell><cell r="G562" t="str"><v>https://azure.microsoft.com/en-us/free/search/?OCID=AID%eexcid!_OLA_%ebuy!_%epid!_%ecid!</v></cell></row><row r="562"><cell r="K562" t="str"><v>July</v></cell><cell r="L562"><v>43288</v></cell><cell r="M562" t="str"><v>Tier 0</v></cell><cell r="N562" t="str"><v>North America</v></cell><cell r="O562" t="str"><v>United States</v></cell><cell r="P562" t="str"><v>Trial</v></cell><cell r="Q562" t="str"><v>Social</v></cell><cell r="R562" t="str"><v>Azure</v></cell><cell r="S562" t="str"><v>Apps & Infra</v></cell><cell r="T562" t="str"><v>Developers & ITI's</v></cell><cell r="U562" t="str"><v>USA-Trial-ITD-Trial Lookalike-AZR-AZR</v></cell><cell r="V562" t="str"><v>Lookalike Targeting</v></cell><cell r="W562" t="str"><v>Link Ad</v></cell><cell r="X562" t="str"><v>1x1</v></cell></row><row r="562"><cell r="AA562"><v>43286</v></cell><cell r="AB562" t="str"><v>USA_gaPMG_AZR_AZR_Q1_19_Direct-Social</v></cell><cell r="AC562"><v>21358715</v></cell><cell r="AD562"><v>720197</v></cell><cell r="AE562" t="str"><v>Facebook</v></cell><cell r="AF562"><v>3654128</v></cell><cell r="AG562" t="str"><v>FACEBOOK»USA-Trial-ITD-Trial Lookalike-AZR-AZR»1 x 1»SocialBan»LIA»ALL»CPA»LAL»X»NA»SS»NA»FreeAcctDeveloperFB-AnimatedGeneric-Ch1»PRC1M5</v></cell><cell r="AH562"><v>223934083</v></cell><cell r="AI562" t="str"><v>AZR_FreeAcctDeveloperFB-AnimatedGeneric-Ch1_USA_1200x1200_CAN_Direct_English_Trial_Standard_ANI_LEA_T1_2</v></cell><cell r="AJ562"><v>103176851</v></cell></row><row r="563"><cell r="C563" t="str"><v>43286FACEBOOK»USA-Trial-ITD-Trial Lookalike-AZR-AZR»1 x 1»SocialBan»LIA»ALL»CPA»LAL»X»NA»SS»NA»FreeAcctDeveloperFB-AnimatedOpenSource-Ch2»PRC1M6</v></cell><cell r="D563" t="str"><v>43286223935628</v></cell><cell r="E563" t="str"><v>43286103048329PRC1M6</v></cell><cell r="F563" t="str"><v>DCM</v></cell><cell r="G563" t="str"><v>https://azure.microsoft.com/en-us/free/open-source/search/?OCID=AID%eexcid!_OLA_%ebuy!_%epid!_%ecid!</v></cell></row><row r="563"><cell r="K563" t="str"><v>July</v></cell><cell r="L563"><v>43288</v></cell><cell r="M563" t="str"><v>Tier 0</v></cell><cell r="N563" t="str"><v>North America</v></cell><cell r="O563" t="str"><v>United States</v></cell><cell r="P563" t="str"><v>Trial</v></cell><cell r="Q563" t="str"><v>Social</v></cell><cell r="R563" t="str"><v>Azure</v></cell><cell r="S563" t="str"><v>Apps & Infra</v></cell><cell r="T563" t="str"><v>Developers & ITI's</v></cell><cell r="U563" t="str"><v>USA-Trial-ITD-Trial Lookalike-AZR-AZR</v></cell><cell r="V563" t="str"><v>Lookalike Targeting</v></cell><cell r="W563" t="str"><v>Link Ad</v></cell><cell r="X563" t="str"><v>1x1</v></cell></row><row r="563"><cell r="AA563"><v>43286</v></cell><cell r="AB563" t="str"><v>USA_gaPMG_AZR_AZR_Q1_19_Direct-Social</v></cell><cell r="AC563"><v>21358715</v></cell><cell r="AD563"><v>720197</v></cell><cell r="AE563" t="str"><v>Facebook</v></cell><cell r="AF563"><v>3654128</v></cell><cell r="AG563" t="str"><v>FACEBOOK»USA-Trial-ITD-Trial Lookalike-AZR-AZR»1 x 1»SocialBan»LIA»ALL»CPA»LAL»X»NA»SS»NA»FreeAcctDeveloperFB-AnimatedOpenSource-Ch2»PRC1M6</v></cell><cell r="AH563"><v>223935628</v></cell><cell r="AI563" t="str"><v>AZR_FreeAcctDeveloperFB-AnimatedOpenSource-Ch2_USA_1200x1200_CAN_Direct_English_Trial_Standard_ANI_LEA_T2_1</v></cell><cell r="AJ563"><v>103048329</v></cell></row><row r="564"><cell r="C564" t="str"><v>43286FACEBOOK»USA-Trial-ITD-Trial Lookalike-AZR-AZR»1 x 1»SocialBan»LIA»ALL»CPA»LAL»X»NA»SS»NA»FreeAcctITProFB-AnimatedMigration-Ch3»PRC23N</v></cell><cell r="D564" t="str"><v>43286223935637</v></cell><cell r="E564" t="str"><v>43286103176827PRC23N</v></cell><cell r="F564" t="str"><v>DCM</v></cell></row><row r="564"><cell r="K564" t="str"><v>July</v></cell><cell r="L564"><v>43288</v></cell><cell r="M564" t="str"><v>Tier 0</v></cell><cell r="N564" t="str"><v>North America</v></cell><cell r="O564" t="str"><v>United States</v></cell><cell r="P564" t="str"><v>Trial</v></cell><cell r="Q564" t="str"><v>Social</v></cell><cell r="R564" t="str"><v>Azure</v></cell><cell r="S564" t="str"><v>Apps & Infra</v></cell><cell r="T564" t="str"><v>Developers & ITI's</v></cell><cell r="U564" t="str"><v>USA-Trial-ITD-Trial Lookalike-AZR-AZR</v></cell><cell r="V564" t="str"><v>Lookalike Targeting</v></cell><cell r="W564" t="str"><v>Link Ad</v></cell><cell r="X564" t="str"><v>1x1</v></cell></row><row r="564"><cell r="AA564"><v>43286</v></cell><cell r="AB564" t="str"><v>USA_gaPMG_AZR_AZR_Q1_19_Direct-Social</v></cell><cell r="AC564"><v>21358715</v></cell><cell r="AD564"><v>720197</v></cell><cell r="AE564" t="str"><v>Facebook</v></cell><cell r="AF564"><v>3654128</v></cell><cell r="AG564" t="str"><v>FACEBOOK»USA-Trial-ITD-Trial Lookalike-AZR-AZR»1 x 1»SocialBan»LIA»ALL»CPA»LAL»X»NA»SS»NA»FreeAcctITProFB-AnimatedMigration-Ch3»PRC23N</v></cell><cell r="AH564"><v>223935637</v></cell><cell r="AI564" t="str"><v>AZR_FreeAcctITProFB-AnimatedMigration-Ch3_USA_1200x1200_CAN_Direct_English_Trial_Standard_ANI_LEA_T3_1</v></cell><cell r="AJ564"><v>103176827</v></cell></row><row r="565"><cell r="C565" t="str"><v>43286FACEBOOK»USA-Trial-ITD-Trial Lookalike-AZR-AZR»1 x 1»SocialBan»LIA»ALL»CPA»LAL»X»NA»SS»NA»FreeAcctITProFB-AnimatedSecureMngd-Ch1»PRC1M9</v></cell><cell r="D565" t="str"><v>43286224104959</v></cell><cell r="E565" t="str"><v>43286103176830PRC1M9</v></cell><cell r="F565" t="str"><v>DCM</v></cell></row><row r="565"><cell r="K565" t="str"><v>July</v></cell><cell r="L565"><v>43288</v></cell><cell r="M565" t="str"><v>Tier 0</v></cell><cell r="N565" t="str"><v>North America</v></cell><cell r="O565" t="str"><v>United States</v></cell><cell r="P565" t="str"><v>Trial</v></cell><cell r="Q565" t="str"><v>Social</v></cell><cell r="R565" t="str"><v>Azure</v></cell><cell r="S565" t="str"><v>Apps & Infra</v></cell><cell r="T565" t="str"><v>Developers & ITI's</v></cell><cell r="U565" t="str"><v>USA-Trial-ITD-Trial Lookalike-AZR-AZR</v></cell><cell r="V565" t="str"><v>Lookalike Targeting</v></cell><cell r="W565" t="str"><v>Link Ad</v></cell><cell r="X565" t="str"><v>1x1</v></cell></row><row r="565"><cell r="AA565"><v>43286</v></cell><cell r="AB565" t="str"><v>USA_gaPMG_AZR_AZR_Q1_19_Direct-Social</v></cell><cell r="AC565"><v>21358715</v></cell><cell r="AD565"><v>720197</v></cell><cell r="AE565" t="str"><v>Facebook</v></cell><cell r="AF565"><v>3654128</v></cell><cell r="AG565" t="str"><v>FACEBOOK»USA-Trial-ITD-Trial Lookalike-AZR-AZR»1 x 1»SocialBan»LIA»ALL»CPA»LAL»X»NA»SS»NA»FreeAcctITProFB-AnimatedSecureMngd-Ch1»PRC1M9</v></cell><cell r="AH565"><v>224104959</v></cell><cell r="AI565" t="str"><v>AZR_FreeAcctITProFB-AnimatedSecureMngd-Ch1_USA_1200x1200_CAN_Direct_English_Trial_Standard_ANI_LEA_T1_1</v></cell><cell r="AJ565"><v>103176830</v></cell></row><row r="566"><cell r="C566" t="str"><v>43286FACEBOOK»USA-Trial-ITD-Trial PayGo Lookalike-AZR-AZR»1 x 1»SocialBan»CAN»ALL»CPA»LAL»X»NA»SS»NA»FBCTCBasicMotion»PRC1Q0</v></cell><cell r="D566" t="str"><v>43286223935664</v></cell><cell r="E566" t="str"><v>43286103043823PRC1Q0</v></cell><cell r="F566" t="str"><v>DCM</v></cell><cell r="G566" t="str"><v>https://signup.azure.com/?OCID=AID%eexcid!_OLA_%ebuy!_%epid!_%ecid!</v></cell></row><row r="566"><cell r="K566" t="str"><v>July</v></cell><cell r="L566"><v>43288</v></cell><cell r="M566" t="str"><v>Tier 0</v></cell><cell r="N566" t="str"><v>North America</v></cell><cell r="O566" t="str"><v>United States</v></cell><cell r="P566" t="str"><v>Trial</v></cell><cell r="Q566" t="str"><v>Social</v></cell><cell r="R566" t="str"><v>Azure</v></cell><cell r="S566" t="str"><v>Apps & Infra</v></cell><cell r="T566" t="str"><v>Developers & ITI's</v></cell><cell r="U566" t="str"><v>USA-Trial-ITD-Trial PayGo Lookalike-AZR-AZR</v></cell><cell r="V566" t="str"><v>Lookalike Targeting</v></cell><cell r="W566" t="str"><v>Canvas Ad</v></cell><cell r="X566" t="str"><v>1x1</v></cell></row><row r="566"><cell r="AA566"><v>43286</v></cell><cell r="AB566" t="str"><v>USA_gaPMG_AZR_AZR_Q1_19_Direct-Social</v></cell><cell r="AC566"><v>21358715</v></cell><cell r="AD566"><v>720197</v></cell><cell r="AE566" t="str"><v>Facebook</v></cell><cell r="AF566"><v>3654128</v></cell><cell r="AG566" t="str"><v>FACEBOOK»USA-Trial-ITD-Trial PayGo Lookalike-AZR-AZR»1 x 1»SocialBan»CAN»ALL»CPA»LAL»X»NA»SS»NA»FBCTCBasicMotion»PRC1Q0</v></cell><cell r="AH566"><v>223935664</v></cell><cell r="AI566" t="str"><v>AzurePlatform_FBCTCBasicMotion_USA_10s_CAN_PLATFORM_English_Trial_Standard_STAN_TIN_T1_1</v></cell><cell r="AJ566"><v>103043823</v></cell></row><row r="567"><cell r="C567" t="str"><v>43286FACEBOOK»USA-Trial-ITD-Trial PayGo Lookalike-AZR-AZR»1 x 1»SocialBan»LIA»ALL»CPA»LAL»X»NA»SS»NA»FreeAcctDeveloperFB-AnimatedAI-Ch3»PRC1Q8</v></cell><cell r="D567" t="str"><v>43286224104983</v></cell><cell r="E567" t="str"><v>43286103032778PRC1Q8</v></cell><cell r="F567" t="str"><v>DCM</v></cell></row><row r="567"><cell r="K567" t="str"><v>July</v></cell><cell r="L567"><v>43288</v></cell><cell r="M567" t="str"><v>Tier 0</v></cell><cell r="N567" t="str"><v>North America</v></cell><cell r="O567" t="str"><v>United States</v></cell><cell r="P567" t="str"><v>Trial</v></cell><cell r="Q567" t="str"><v>Social</v></cell><cell r="R567" t="str"><v>Azure</v></cell><cell r="S567" t="str"><v>Apps & Infra</v></cell><cell r="T567" t="str"><v>Developers & ITI's</v></cell><cell r="U567" t="str"><v>USA-Trial-ITD-Trial PayGo Lookalike-AZR-AZR</v></cell><cell r="V567" t="str"><v>Lookalike Targeting</v></cell><cell r="W567" t="str"><v>Link Ad</v></cell><cell r="X567" t="str"><v>1x1</v></cell></row><row r="567"><cell r="AA567"><v>43286</v></cell><cell r="AB567" t="str"><v>USA_gaPMG_AZR_AZR_Q1_19_Direct-Social</v></cell><cell r="AC567"><v>21358715</v></cell><cell r="AD567"><v>720197</v></cell><cell r="AE567" t="str"><v>Facebook</v></cell><cell r="AF567"><v>3654128</v></cell><cell r="AG567" t="str"><v>FACEBOOK»USA-Trial-ITD-Trial PayGo Lookalike-AZR-AZR»1 x 1»SocialBan»LIA»ALL»CPA»LAL»X»NA»SS»NA»FreeAcctDeveloperFB-AnimatedAI-Ch3»PRC1Q8</v></cell><cell r="AH567"><v>224104983</v></cell><cell r="AI567" t="str"><v>AZR_FreeAcctDeveloperFB-AnimatedAI-Ch3_USA_1200x1200_CAN_Direct_English_Trial_Standard_ANI_LEA_T3_1</v></cell><cell r="AJ567"><v>103032778</v></cell></row><row r="568"><cell r="C568" t="str"><v>43286FACEBOOK»USA-Trial-ITD-Trial PayGo Lookalike-AZR-AZR»1 x 1»SocialBan»LIA»ALL»CPA»LAL»X»NA»SS»NA»FreeAcctDeveloperFB-AnimatedData-Ch4»PRC1Q9</v></cell><cell r="D568" t="str"><v>43286224106990</v></cell><cell r="E568" t="str"><v>43286103037935PRC1Q9</v></cell><cell r="F568" t="str"><v>DCM</v></cell></row><row r="568"><cell r="K568" t="str"><v>July</v></cell><cell r="L568"><v>43288</v></cell><cell r="M568" t="str"><v>Tier 0</v></cell><cell r="N568" t="str"><v>North America</v></cell><cell r="O568" t="str"><v>United States</v></cell><cell r="P568" t="str"><v>Trial</v></cell><cell r="Q568" t="str"><v>Social</v></cell><cell r="R568" t="str"><v>Azure</v></cell><cell r="S568" t="str"><v>Apps & Infra</v></cell><cell r="T568" t="str"><v>Developers & ITI's</v></cell><cell r="U568" t="str"><v>USA-Trial-ITD-Trial PayGo Lookalike-AZR-AZR</v></cell><cell r="V568" t="str"><v>Lookalike Targeting</v></cell><cell r="W568" t="str"><v>Link Ad</v></cell><cell r="X568" t="str"><v>1x1</v></cell></row><row r="568"><cell r="AA568"><v>43286</v></cell><cell r="AB568" t="str"><v>USA_gaPMG_AZR_AZR_Q1_19_Direct-Social</v></cell><cell r="AC568"><v>21358715</v></cell><cell r="AD568"><v>720197</v></cell><cell r="AE568" t="str"><v>Facebook</v></cell><cell r="AF568"><v>3654128</v></cell><cell r="AG568" t="str"><v>FACEBOOK»USA-Trial-ITD-Trial PayGo Lookalike-AZR-AZR»1 x 1»SocialBan»LIA»ALL»CPA»LAL»X»NA»SS»NA»FreeAcctDeveloperFB-AnimatedData-Ch4»PRC1Q9</v></cell><cell r="AH568"><v>224106990</v></cell><cell r="AI568" t="str"><v>AZR_FreeAcctDeveloperFB-AnimatedData-Ch4_USA_1200x1200_CAN_Direct_English_Trial_Standard_ANI_LEA_T4_2</v></cell><cell r="AJ568"><v>103037935</v></cell></row><row r="569"><cell r="C569" t="str"><v>43286FACEBOOK»USA-Trial-ITD-Trial PayGo Lookalike-AZR-AZR»1 x 1»SocialBan»LIA»ALL»CPA»LAL»X»NA»SS»NA»FreeAcctDeveloperFB-AnimatedGeneric-Ch1»PRC1Q5</v></cell><cell r="D569" t="str"><v>43286224104092</v></cell><cell r="E569" t="str"><v>43286103176851PRC1Q5</v></cell><cell r="F569" t="str"><v>DCM</v></cell><cell r="G569" t="str"><v>https://azure.microsoft.com/en-us/free/search/?OCID=AID%eexcid!_OLA_%ebuy!_%epid!_%ecid!</v></cell></row><row r="569"><cell r="K569" t="str"><v>July</v></cell><cell r="L569"><v>43288</v></cell><cell r="M569" t="str"><v>Tier 0</v></cell><cell r="N569" t="str"><v>North America</v></cell><cell r="O569" t="str"><v>United States</v></cell><cell r="P569" t="str"><v>Trial</v></cell><cell r="Q569" t="str"><v>Social</v></cell><cell r="R569" t="str"><v>Azure</v></cell><cell r="S569" t="str"><v>Apps & Infra</v></cell><cell r="T569" t="str"><v>Developers & ITI's</v></cell><cell r="U569" t="str"><v>USA-Trial-ITD-Trial PayGo Lookalike-AZR-AZR</v></cell><cell r="V569" t="str"><v>Lookalike Targeting</v></cell><cell r="W569" t="str"><v>Link Ad</v></cell><cell r="X569" t="str"><v>1x1</v></cell></row><row r="569"><cell r="AA569"><v>43286</v></cell><cell r="AB569" t="str"><v>USA_gaPMG_AZR_AZR_Q1_19_Direct-Social</v></cell><cell r="AC569"><v>21358715</v></cell><cell r="AD569"><v>720197</v></cell><cell r="AE569" t="str"><v>Facebook</v></cell><cell r="AF569"><v>3654128</v></cell><cell r="AG569" t="str"><v>FACEBOOK»USA-Trial-ITD-Trial PayGo Lookalike-AZR-AZR»1 x 1»SocialBan»LIA»ALL»CPA»LAL»X»NA»SS»NA»FreeAcctDeveloperFB-AnimatedGeneric-Ch1»PRC1Q5</v></cell><cell r="AH569"><v>224104092</v></cell><cell r="AI569" t="str"><v>AZR_FreeAcctDeveloperFB-AnimatedGeneric-Ch1_USA_1200x1200_CAN_Direct_English_Trial_Standard_ANI_LEA_T1_2</v></cell><cell r="AJ569"><v>103176851</v></cell></row><row r="570"><cell r="C570" t="str"><v>43286FACEBOOK»USA-Trial-ITD-Trial PayGo Lookalike-AZR-AZR»1 x 1»SocialBan»LIA»ALL»CPA»LAL»X»NA»SS»NA»FreeAcctDeveloperFB-AnimatedOpenSource-Ch2»PRC1Q7</v></cell><cell r="D570" t="str"><v>43286223862951</v></cell><cell r="E570" t="str"><v>43286103048329PRC1Q7</v></cell><cell r="F570" t="str"><v>DCM</v></cell><cell r="G570" t="str"><v>https://azure.microsoft.com/en-us/free/open-source/search/?OCID=AID%eexcid!_OLA_%ebuy!_%epid!_%ecid!</v></cell></row><row r="570"><cell r="K570" t="str"><v>July</v></cell><cell r="L570"><v>43288</v></cell><cell r="M570" t="str"><v>Tier 0</v></cell><cell r="N570" t="str"><v>North America</v></cell><cell r="O570" t="str"><v>United States</v></cell><cell r="P570" t="str"><v>Trial</v></cell><cell r="Q570" t="str"><v>Social</v></cell><cell r="R570" t="str"><v>Azure</v></cell><cell r="S570" t="str"><v>Apps & Infra</v></cell><cell r="T570" t="str"><v>Developers & ITI's</v></cell><cell r="U570" t="str"><v>USA-Trial-ITD-Trial PayGo Lookalike-AZR-AZR</v></cell><cell r="V570" t="str"><v>Lookalike Targeting</v></cell><cell r="W570" t="str"><v>Link Ad</v></cell><cell r="X570" t="str"><v>1x1</v></cell></row><row r="570"><cell r="AA570"><v>43286</v></cell><cell r="AB570" t="str"><v>USA_gaPMG_AZR_AZR_Q1_19_Direct-Social</v></cell><cell r="AC570"><v>21358715</v></cell><cell r="AD570"><v>720197</v></cell><cell r="AE570" t="str"><v>Facebook</v></cell><cell r="AF570"><v>3654128</v></cell><cell r="AG570" t="str"><v>FACEBOOK»USA-Trial-ITD-Trial PayGo Lookalike-AZR-AZR»1 x 1»SocialBan»LIA»ALL»CPA»LAL»X»NA»SS»NA»FreeAcctDeveloperFB-AnimatedOpenSource-Ch2»PRC1Q7</v></cell><cell r="AH570"><v>223862951</v></cell><cell r="AI570" t="str"><v>AZR_FreeAcctDeveloperFB-AnimatedOpenSource-Ch2_USA_1200x1200_CAN_Direct_English_Trial_Standard_ANI_LEA_T2_1</v></cell><cell r="AJ570"><v>103048329</v></cell></row><row r="571"><cell r="C571" t="str"><v>43286FACEBOOK»USA-Trial-ITD-Trial PayGo Lookalike-AZR-AZR»1 x 1»SocialBan»LIA»ALL»CPA»LAL»X»NA»SS»NA»FreeAcctITProFB-AnimatedHybrid-Ch2»PRC1QC</v></cell><cell r="D571" t="str"><v>43286223933186</v></cell><cell r="E571" t="str"><v>43286103180583PRC1QC</v></cell><cell r="F571" t="str"><v>DCM</v></cell></row><row r="571"><cell r="K571" t="str"><v>July</v></cell><cell r="L571"><v>43288</v></cell><cell r="M571" t="str"><v>Tier 0</v></cell><cell r="N571" t="str"><v>North America</v></cell><cell r="O571" t="str"><v>United States</v></cell><cell r="P571" t="str"><v>Trial</v></cell><cell r="Q571" t="str"><v>Social</v></cell><cell r="R571" t="str"><v>Azure</v></cell><cell r="S571" t="str"><v>Apps & Infra</v></cell><cell r="T571" t="str"><v>Developers & ITI's</v></cell><cell r="U571" t="str"><v>USA-Trial-ITD-Trial PayGo Lookalike-AZR-AZR</v></cell><cell r="V571" t="str"><v>Lookalike Targeting</v></cell><cell r="W571" t="str"><v>Link Ad</v></cell><cell r="X571" t="str"><v>1x1</v></cell></row><row r="571"><cell r="AA571"><v>43286</v></cell><cell r="AB571" t="str"><v>USA_gaPMG_AZR_AZR_Q1_19_Direct-Social</v></cell><cell r="AC571"><v>21358715</v></cell><cell r="AD571"><v>720197</v></cell><cell r="AE571" t="str"><v>Facebook</v></cell><cell r="AF571"><v>3654128</v></cell><cell r="AG571" t="str"><v>FACEBOOK»USA-Trial-ITD-Trial PayGo Lookalike-AZR-AZR»1 x 1»SocialBan»LIA»ALL»CPA»LAL»X»NA»SS»NA»FreeAcctITProFB-AnimatedHybrid-Ch2»PRC1QC</v></cell><cell r="AH571"><v>223933186</v></cell><cell r="AI571" t="str"><v>AZR_FreeAcctITProFB-AnimatedHybrid-Ch2_USA_1200x1200_CAN_Direct_English_Trial_Standard_ANI_LEA_T2_2</v></cell><cell r="AJ571"><v>103180583</v></cell></row><row r="572"><cell r="C572" t="str"><v>43286FACEBOOK»USA-Trial-ITD-Trial PayGo Lookalike-AZR-AZR»1 x 1»SocialBan»LIA»ALL»CPA»LAL»X»NA»SS»NA»FreeAcctITProFB-AnimatedMigration-Ch3»PRC23Y</v></cell><cell r="D572" t="str"><v>43286224105904</v></cell><cell r="E572" t="str"><v>43286103176827PRC23Y</v></cell><cell r="F572" t="str"><v>DCM</v></cell></row><row r="572"><cell r="K572" t="str"><v>July</v></cell><cell r="L572"><v>43288</v></cell><cell r="M572" t="str"><v>Tier 0</v></cell><cell r="N572" t="str"><v>North America</v></cell><cell r="O572" t="str"><v>United States</v></cell><cell r="P572" t="str"><v>Trial</v></cell><cell r="Q572" t="str"><v>Social</v></cell><cell r="R572" t="str"><v>Azure</v></cell><cell r="S572" t="str"><v>Apps & Infra</v></cell><cell r="T572" t="str"><v>Developers & ITI's</v></cell><cell r="U572" t="str"><v>USA-Trial-ITD-Trial PayGo Lookalike-AZR-AZR</v></cell><cell r="V572" t="str"><v>Lookalike Targeting</v></cell><cell r="W572" t="str"><v>Link Ad</v></cell><cell r="X572" t="str"><v>1x1</v></cell></row><row r="572"><cell r="AA572"><v>43286</v></cell><cell r="AB572" t="str"><v>USA_gaPMG_AZR_AZR_Q1_19_Direct-Social</v></cell><cell r="AC572"><v>21358715</v></cell><cell r="AD572"><v>720197</v></cell><cell r="AE572" t="str"><v>Facebook</v></cell><cell r="AF572"><v>3654128</v></cell><cell r="AG572" t="str"><v>FACEBOOK»USA-Trial-ITD-Trial PayGo Lookalike-AZR-AZR»1 x 1»SocialBan»LIA»ALL»CPA»LAL»X»NA»SS»NA»FreeAcctITProFB-AnimatedMigration-Ch3»PRC23Y</v></cell><cell r="AH572"><v>224105904</v></cell><cell r="AI572" t="str"><v>AZR_FreeAcctITProFB-AnimatedMigration-Ch3_USA_1200x1200_CAN_Direct_English_Trial_Standard_ANI_LEA_T3_1</v></cell><cell r="AJ572"><v>103176827</v></cell></row><row r="573"><cell r="C573" t="str"><v>43286FACEBOOK»USA-Trial-ITD-Trial PayGo Lookalike-AZR-AZR»1 x 1»SocialBan»LIA»ALL»CPA»LAL»X»NA»SS»NA»FreeAcctITProFB-AnimatedSecureMngd-Ch1»PRC1QB</v></cell><cell r="D573" t="str"><v>43286223862945</v></cell><cell r="E573" t="str"><v>43286103176830PRC1QB</v></cell><cell r="F573" t="str"><v>DCM</v></cell></row><row r="573"><cell r="K573" t="str"><v>July</v></cell><cell r="L573"><v>43288</v></cell><cell r="M573" t="str"><v>Tier 0</v></cell><cell r="N573" t="str"><v>North America</v></cell><cell r="O573" t="str"><v>United States</v></cell><cell r="P573" t="str"><v>Trial</v></cell><cell r="Q573" t="str"><v>Social</v></cell><cell r="R573" t="str"><v>Azure</v></cell><cell r="S573" t="str"><v>Apps & Infra</v></cell><cell r="T573" t="str"><v>Developers & ITI's</v></cell><cell r="U573" t="str"><v>USA-Trial-ITD-Trial PayGo Lookalike-AZR-AZR</v></cell><cell r="V573" t="str"><v>Lookalike Targeting</v></cell><cell r="W573" t="str"><v>Link Ad</v></cell><cell r="X573" t="str"><v>1x1</v></cell></row><row r="573"><cell r="AA573"><v>43286</v></cell><cell r="AB573" t="str"><v>USA_gaPMG_AZR_AZR_Q1_19_Direct-Social</v></cell><cell r="AC573"><v>21358715</v></cell><cell r="AD573"><v>720197</v></cell><cell r="AE573" t="str"><v>Facebook</v></cell><cell r="AF573"><v>3654128</v></cell><cell r="AG573" t="str"><v>FACEBOOK»USA-Trial-ITD-Trial PayGo Lookalike-AZR-AZR»1 x 1»SocialBan»LIA»ALL»CPA»LAL»X»NA»SS»NA»FreeAcctITProFB-AnimatedSecureMngd-Ch1»PRC1QB</v></cell><cell r="AH573"><v>223862945</v></cell><cell r="AI573" t="str"><v>AZR_FreeAcctITProFB-AnimatedSecureMngd-Ch1_USA_1200x1200_CAN_Direct_English_Trial_Standard_ANI_LEA_T1_1</v></cell><cell r="AJ573"><v>103176830</v></cell></row><row r="574"><cell r="C574" t="str"><v>43286INSTAGRAM»USA-Trial-ITD-Retargeting-AZR-AZR»1 x 1»SocialBan»CAN»ALL»CPA»RT»X»NA»SS»NA»IGCTCBenefit2inMotion»PRC2G6</v></cell><cell r="D574" t="str"><v>43286224105001</v></cell><cell r="E574" t="str"><v>43286103180628PRC2G6</v></cell><cell r="F574" t="str"><v>DCM</v></cell><cell r="G574" t="str"><v>https://signup.azure.com/?OCID=AID%eexcid!_OLA_%ebuy!_%epid!_%ecid!</v></cell></row><row r="574"><cell r="K574" t="str"><v>July</v></cell><cell r="L574"><v>43288</v></cell><cell r="M574" t="str"><v>Tier 0</v></cell><cell r="N574" t="str"><v>North America</v></cell><cell r="O574" t="str"><v>United States</v></cell><cell r="P574" t="str"><v>Trial</v></cell><cell r="Q574" t="str"><v>Social</v></cell><cell r="R574" t="str"><v>Azure</v></cell><cell r="S574" t="str"><v>Apps & Infra</v></cell><cell r="T574" t="str"><v>Developers & ITI's</v></cell><cell r="U574" t="str"><v>USA-Trial-ITD-Retargeting-AZR-AZR</v></cell><cell r="V574" t="str"><v>Retargeting</v></cell><cell r="W574" t="str"><v>Canvas Ad</v></cell><cell r="X574" t="str"><v>1x1</v></cell></row><row r="574"><cell r="AA574"><v>43286</v></cell><cell r="AB574" t="str"><v>USA_gaPMG_AZR_AZR_Q1_19_Direct-Social</v></cell><cell r="AC574"><v>21358715</v></cell><cell r="AD574"><v>720197</v></cell><cell r="AE574" t="str"><v>Facebook - Instagram</v></cell><cell r="AF574"><v>3654128</v></cell><cell r="AG574" t="str"><v>INSTAGRAM»USA-Trial-ITD-Retargeting-AZR-AZR»1 x 1»SocialBan»CAN»ALL»CPA»RT»X»NA»SS»NA»IGCTCBenefit2inMotion»PRC2G6</v></cell><cell r="AH574"><v>224105001</v></cell><cell r="AI574" t="str"><v>AzurePlatform_IGCTCBrandinMotion_USA_10s_CAN_PLATFORM_English_Trial_Standard_STAN_TIN_T2_1</v></cell><cell r="AJ574"><v>103180628</v></cell></row><row r="575"><cell r="C575" t="str"><v>43286INSTAGRAM»USA-Trial-ITD-Trial Lookalike-AZR-AZR»1 x 1»SocialBan»CAN»ALL»CPA»LAL»X»NA»SS»NA»IGCTCBenefit2inMotion»PRC2FL</v></cell><cell r="D575" t="str"><v>43286223935022</v></cell><cell r="E575" t="str"><v>43286103180628PRC2FL</v></cell><cell r="F575" t="str"><v>DCM</v></cell><cell r="G575" t="str"><v>https://signup.azure.com/?OCID=AID%eexcid!_OLA_%ebuy!_%epid!_%ecid!</v></cell></row><row r="575"><cell r="K575" t="str"><v>July</v></cell><cell r="L575"><v>43288</v></cell><cell r="M575" t="str"><v>Tier 0</v></cell><cell r="N575" t="str"><v>North America</v></cell><cell r="O575" t="str"><v>United States</v></cell><cell r="P575" t="str"><v>Trial</v></cell><cell r="Q575" t="str"><v>Social</v></cell><cell r="R575" t="str"><v>Azure</v></cell><cell r="S575" t="str"><v>Apps & Infra</v></cell><cell r="T575" t="str"><v>Developers & ITI's</v></cell><cell r="U575" t="str"><v>USA-Trial-ITD-Trial Lookalike-AZR-AZR</v></cell><cell r="V575" t="str"><v>Lookalike Targeting</v></cell><cell r="W575" t="str"><v>Canvas Ad</v></cell><cell r="X575" t="str"><v>1x1</v></cell></row><row r="575"><cell r="AA575"><v>43286</v></cell><cell r="AB575" t="str"><v>USA_gaPMG_AZR_AZR_Q1_19_Direct-Social</v></cell><cell r="AC575"><v>21358715</v></cell><cell r="AD575"><v>720197</v></cell><cell r="AE575" t="str"><v>Facebook - Instagram</v></cell><cell r="AF575"><v>3654128</v></cell><cell r="AG575" t="str"><v>INSTAGRAM»USA-Trial-ITD-Trial Lookalike-AZR-AZR»1 x 1»SocialBan»CAN»ALL»CPA»LAL»X»NA»SS»NA»IGCTCBenefit2inMotion»PRC2FL</v></cell><cell r="AH575"><v>223935022</v></cell><cell r="AI575" t="str"><v>AzurePlatform_IGCTCBrandinMotion_USA_10s_CAN_PLATFORM_English_Trial_Standard_STAN_TIN_T2_1</v></cell><cell r="AJ575"><v>103180628</v></cell></row><row r="576"><cell r="C576" t="str"><v>43286INSTAGRAM»USA-Trial-ITD-Trial Lookalike-AZR-AZR»1 x 1»SocialBan»CAN»ALL»CPA»LAL»X»NA»SS»NA»IGCTCBrandinMotion»PRC2FH</v></cell><cell r="D576" t="str"><v>43286223935019</v></cell><cell r="E576" t="str"><v>43286103050783PRC2FH</v></cell><cell r="F576" t="str"><v>DCM</v></cell><cell r="G576" t="str"><v>https://signup.azure.com/?OCID=AID%eexcid!_OLA_%ebuy!_%epid!_%ecid!</v></cell></row><row r="576"><cell r="K576" t="str"><v>July</v></cell><cell r="L576"><v>43288</v></cell><cell r="M576" t="str"><v>Tier 0</v></cell><cell r="N576" t="str"><v>North America</v></cell><cell r="O576" t="str"><v>United States</v></cell><cell r="P576" t="str"><v>Trial</v></cell><cell r="Q576" t="str"><v>Social</v></cell><cell r="R576" t="str"><v>Azure</v></cell><cell r="S576" t="str"><v>Apps & Infra</v></cell><cell r="T576" t="str"><v>Developers & ITI's</v></cell><cell r="U576" t="str"><v>USA-Trial-ITD-Trial Lookalike-AZR-AZR</v></cell><cell r="V576" t="str"><v>Lookalike Targeting</v></cell><cell r="W576" t="str"><v>Canvas Ad</v></cell><cell r="X576" t="str"><v>1x1</v></cell></row><row r="576"><cell r="AA576"><v>43286</v></cell><cell r="AB576" t="str"><v>USA_gaPMG_AZR_AZR_Q1_19_Direct-Social</v></cell><cell r="AC576"><v>21358715</v></cell><cell r="AD576"><v>720197</v></cell><cell r="AE576" t="str"><v>Facebook - Instagram</v></cell><cell r="AF576"><v>3654128</v></cell><cell r="AG576" t="str"><v>INSTAGRAM»USA-Trial-ITD-Trial Lookalike-AZR-AZR»1 x 1»SocialBan»CAN»ALL»CPA»LAL»X»NA»SS»NA»IGCTCBrandinMotion»PRC2FH</v></cell><cell r="AH576"><v>223935019</v></cell><cell r="AI576" t="str"><v>AzurePlatform_IGCTCBenefit2inMotion_USA_10s_CAN_PLATFORM_English_Trial_Standard_STAN_TIN_T4_1</v></cell><cell r="AJ576"><v>103050783</v></cell></row><row r="577"><cell r="C577" t="str"><v>43286INSTAGRAM»USA-Trial-ITD-Trial PayGo Lookalike-AZR-AZR»1 x 1»SocialBan»CAN»ALL»CPA»LAL»X»NA»SS»NA»IGCTCBrandinMotion»PRC2FW</v></cell><cell r="D577" t="str"><v>43286223862654</v></cell><cell r="E577" t="str"><v>43286103050783PRC2FW</v></cell><cell r="F577" t="str"><v>DCM</v></cell><cell r="G577" t="str"><v>https://signup.azure.com/?OCID=AID%eexcid!_OLA_%ebuy!_%epid!_%ecid!</v></cell></row><row r="577"><cell r="K577" t="str"><v>July</v></cell><cell r="L577"><v>43288</v></cell><cell r="M577" t="str"><v>Tier 0</v></cell><cell r="N577" t="str"><v>North America</v></cell><cell r="O577" t="str"><v>United States</v></cell><cell r="P577" t="str"><v>Trial</v></cell><cell r="Q577" t="str"><v>Social</v></cell><cell r="R577" t="str"><v>Azure</v></cell><cell r="S577" t="str"><v>Apps & Infra</v></cell><cell r="T577" t="str"><v>Developers & ITI's</v></cell><cell r="U577" t="str"><v>USA-Trial-ITD-Trial PayGo Lookalike-AZR-AZR</v></cell><cell r="V577" t="str"><v>Lookalike Targeting</v></cell><cell r="W577" t="str"><v>Canvas Ad</v></cell><cell r="X577" t="str"><v>1x1</v></cell></row><row r="577"><cell r="AA577"><v>43286</v></cell><cell r="AB577" t="str"><v>USA_gaPMG_AZR_AZR_Q1_19_Direct-Social</v></cell><cell r="AC577"><v>21358715</v></cell><cell r="AD577"><v>720197</v></cell><cell r="AE577" t="str"><v>Facebook - Instagram</v></cell><cell r="AF577"><v>3654128</v></cell><cell r="AG577" t="str"><v>INSTAGRAM»USA-Trial-ITD-Trial PayGo Lookalike-AZR-AZR»1 x 1»SocialBan»CAN»ALL»CPA»LAL»X»NA»SS»NA»IGCTCBrandinMotion»PRC2FW</v></cell><cell r="AH577"><v>223862654</v></cell><cell r="AI577" t="str"><v>AzurePlatform_IGCTCBenefit2inMotion_USA_10s_CAN_PLATFORM_English_Trial_Standard_STAN_TIN_T4_1</v></cell><cell r="AJ577"><v>103050783</v></cell></row><row r="578"><cell r="C578" t="str"><v>43286INSTAGRAM»USA-Trial-ITD-Trial PayGo Lookalike-AZR-AZR»1 x 1»SocialBan»CAN»ALL»CPA»LAL»X»NA»SS»NA»IGCTCBrandinMotion»PRC2FW</v></cell><cell r="D578" t="str"><v>43286223862654</v></cell><cell r="E578" t="str"><v>43286103178714PRC2FW</v></cell><cell r="F578" t="str"><v>DCM</v></cell><cell r="G578" t="str"><v>https://azure.microsoft.com/en-us/pricing/purchase-options/?v=18.19&OCID=AID%eexcid!_OLA_%ebuy!_%epid!_%ecid!</v></cell></row><row r="578"><cell r="K578" t="str"><v>July</v></cell><cell r="L578"><v>43288</v></cell><cell r="M578" t="str"><v>Tier 0</v></cell><cell r="N578" t="str"><v>North America</v></cell><cell r="O578" t="str"><v>United States</v></cell><cell r="P578" t="str"><v>Trial</v></cell><cell r="Q578" t="str"><v>Social</v></cell><cell r="R578" t="str"><v>Azure</v></cell><cell r="S578" t="str"><v>Apps & Infra</v></cell><cell r="T578" t="str"><v>Developers & ITI's</v></cell><cell r="U578" t="str"><v>USA-Trial-ITD-Trial PayGo Lookalike-AZR-AZR</v></cell><cell r="V578" t="str"><v>Lookalike Targeting</v></cell><cell r="W578" t="str"><v>Canvas Ad</v></cell><cell r="X578" t="str"><v>1x1</v></cell></row><row r="578"><cell r="AA578"><v>43286</v></cell><cell r="AB578" t="str"><v>USA_gaPMG_AZR_AZR_Q1_19_Direct-Social</v></cell><cell r="AC578"><v>21358715</v></cell><cell r="AD578"><v>720197</v></cell><cell r="AE578" t="str"><v>Facebook - Instagram</v></cell><cell r="AF578"><v>3654128</v></cell><cell r="AG578" t="str"><v>INSTAGRAM»USA-Trial-ITD-Trial PayGo Lookalike-AZR-AZR»1 x 1»SocialBan»CAN»ALL»CPA»LAL»X»NA»SS»NA»IGCTCBrandinMotion»PRC2FW</v></cell><cell r="AH578"><v>223862654</v></cell><cell r="AI578" t="str"><v>AzurePlatform_IGCTCBenefit2inMotion_USA_10s_CAN_PLATFORM_English_Trial_Standard_STAN_TIN_T4_2</v></cell><cell r="AJ578"><v>103178714</v></cell></row><row r="579"><cell r="C579" t="str"><v>43286INSTAGRAM»USA-Trial-ITD-Interest Prospecting-AZR-AZR»1 x 1»SocialBan»CAN»ALL»CPA»PRO»X»NA»SS»NA»IGCTCBasicMotion»PRC2PF</v></cell><cell r="D579" t="str"><v>43286224106621</v></cell><cell r="E579" t="str"><v>43286103037968PRC2PF</v></cell><cell r="F579" t="str"><v>DCM</v></cell><cell r="G579" t="str"><v>https://signup.azure.com/?OCID=AID%eexcid!_OLA_%ebuy!_%epid!_%ecid!</v></cell></row><row r="579"><cell r="K579" t="str"><v>July</v></cell><cell r="L579"><v>43288</v></cell><cell r="M579" t="str"><v>Tier 0</v></cell><cell r="N579" t="str"><v>North America</v></cell><cell r="O579" t="str"><v>United States</v></cell><cell r="P579" t="str"><v>Trial</v></cell><cell r="Q579" t="str"><v>Social</v></cell><cell r="R579" t="str"><v>Azure</v></cell><cell r="S579" t="str"><v>Apps & Infra</v></cell><cell r="T579" t="str"><v>Developers & ITI's</v></cell><cell r="U579" t="str"><v>USA-Trial-ITD-Interest Prospecting-AZR-AZR</v></cell><cell r="V579" t="str"><v>Prospecting</v></cell><cell r="W579" t="str"><v>Canvas Ad</v></cell><cell r="X579" t="str"><v>1x1</v></cell></row><row r="579"><cell r="AA579"><v>43286</v></cell><cell r="AB579" t="str"><v>USA_gaPMG_AZR_AZR_Q1_19_Direct-Social</v></cell><cell r="AC579"><v>21358715</v></cell><cell r="AD579"><v>720197</v></cell><cell r="AE579" t="str"><v>Facebook - Instagram</v></cell><cell r="AF579"><v>3654128</v></cell><cell r="AG579" t="str"><v>INSTAGRAM»USA-Trial-ITD-Interest Prospecting-AZR-AZR»1 x 1»SocialBan»CAN»ALL»CPA»PRO»X»NA»SS»NA»IGCTCBasicMotion»PRC2PF</v></cell><cell r="AH579"><v>224106621</v></cell><cell r="AI579" t="str"><v>AzurePlatform_IGCTCBasicMotion_USA_10s_CAN_PLATFORM_English_Trial_Standard_STAN_TIN_T1_1</v></cell><cell r="AJ579"><v>103037968</v></cell></row><row r="580"><cell r="C580" t="str"><v>43286INSTAGRAM»USA-Trial-ITD-Interest Prospecting-AZR-AZR»1 x 1»SocialBan»CAN»ALL»CPA»PRO»X»NA»SS»NA»IGCTCBasicMotion»PRC2PF</v></cell><cell r="D580" t="str"><v>43286224106621</v></cell><cell r="E580" t="str"><v>43286103037974PRC2PF</v></cell><cell r="F580" t="str"><v>DCM</v></cell><cell r="G580" t="str"><v>https://azure.microsoft.com/en-us/pricing/purchase-options/?v=18.19&OCID=AID%eexcid!_OLA_%ebuy!_%epid!_%ecid!</v></cell></row><row r="580"><cell r="K580" t="str"><v>July</v></cell><cell r="L580"><v>43288</v></cell><cell r="M580" t="str"><v>Tier 0</v></cell><cell r="N580" t="str"><v>North America</v></cell><cell r="O580" t="str"><v>United States</v></cell><cell r="P580" t="str"><v>Trial</v></cell><cell r="Q580" t="str"><v>Social</v></cell><cell r="R580" t="str"><v>Azure</v></cell><cell r="S580" t="str"><v>Apps & Infra</v></cell><cell r="T580" t="str"><v>Developers & ITI's</v></cell><cell r="U580" t="str"><v>USA-Trial-ITD-Interest Prospecting-AZR-AZR</v></cell><cell r="V580" t="str"><v>Prospecting</v></cell><cell r="W580" t="str"><v>Canvas Ad</v></cell><cell r="X580" t="str"><v>1x1</v></cell></row><row r="580"><cell r="AA580"><v>43286</v></cell><cell r="AB580" t="str"><v>USA_gaPMG_AZR_AZR_Q1_19_Direct-Social</v></cell><cell r="AC580"><v>21358715</v></cell><cell r="AD580"><v>720197</v></cell><cell r="AE580" t="str"><v>Facebook - Instagram</v></cell><cell r="AF580"><v>3654128</v></cell><cell r="AG580" t="str"><v>INSTAGRAM»USA-Trial-ITD-Interest Prospecting-AZR-AZR»1 x 1»SocialBan»CAN»ALL»CPA»PRO»X»NA»SS»NA»IGCTCBasicMotion»PRC2PF</v></cell><cell r="AH580"><v>224106621</v></cell><cell r="AI580" t="str"><v>AzurePlatform_IGCTCBasicMotion_USA_10s_CAN_PLATFORM_English_Trial_Standard_STAN_TIN_T1_2</v></cell><cell r="AJ580"><v>103037974</v></cell></row><row r="581"><cell r="C581" t="str"><v>43286INSTAGRAM»USA-Trial-ITD-Interest Prospecting-AZR-AZR»1 x 1»SocialBan»CAN»ALL»CPA»PRO»X»NA»SS»NA»IGCTCBenefitinMotion»PRC2PC</v></cell><cell r="D581" t="str"><v>43286224104878</v></cell><cell r="E581" t="str"><v>43286103050780PRC2PC</v></cell><cell r="F581" t="str"><v>DCM</v></cell><cell r="G581" t="str"><v>https://signup.azure.com/?OCID=AID%eexcid!_OLA_%ebuy!_%epid!_%ecid!</v></cell></row><row r="581"><cell r="K581" t="str"><v>July</v></cell><cell r="L581"><v>43288</v></cell><cell r="M581" t="str"><v>Tier 0</v></cell><cell r="N581" t="str"><v>North America</v></cell><cell r="O581" t="str"><v>United States</v></cell><cell r="P581" t="str"><v>Trial</v></cell><cell r="Q581" t="str"><v>Social</v></cell><cell r="R581" t="str"><v>Azure</v></cell><cell r="S581" t="str"><v>Apps & Infra</v></cell><cell r="T581" t="str"><v>Developers & ITI's</v></cell><cell r="U581" t="str"><v>USA-Trial-ITD-Interest Prospecting-AZR-AZR</v></cell><cell r="V581" t="str"><v>Prospecting</v></cell><cell r="W581" t="str"><v>Canvas Ad</v></cell><cell r="X581" t="str"><v>1x1</v></cell></row><row r="581"><cell r="AA581"><v>43286</v></cell><cell r="AB581" t="str"><v>USA_gaPMG_AZR_AZR_Q1_19_Direct-Social</v></cell><cell r="AC581"><v>21358715</v></cell><cell r="AD581"><v>720197</v></cell><cell r="AE581" t="str"><v>Facebook - Instagram</v></cell><cell r="AF581"><v>3654128</v></cell><cell r="AG581" t="str"><v>INSTAGRAM»USA-Trial-ITD-Interest Prospecting-AZR-AZR»1 x 1»SocialBan»CAN»ALL»CPA»PRO»X»NA»SS»NA»IGCTCBenefitinMotion»PRC2PC</v></cell><cell r="AH581"><v>224104878</v></cell><cell r="AI581" t="str"><v>AzurePlatform_IGCTCBenefitinMotion_USA_10s_CAN_PLATFORM_English_Trial_Standard_STAN_TIN_T3_1</v></cell><cell r="AJ581"><v>103050780</v></cell></row><row r="582"><cell r="C582" t="str"><v>43286INSTAGRAM»USA-Trial-ITD-Trial Lookalike-AZR-AZR»1 x 1»SocialBan»CAN»ALL»CPA»LAL»X»NA»SS»NA»IGCTCBasicMotion»PRC0C2</v></cell><cell r="D582" t="str"><v>43286224107017</v></cell><cell r="E582" t="str"><v>43286103037968PRC0C2</v></cell><cell r="F582" t="str"><v>DCM</v></cell><cell r="G582" t="str"><v>https://signup.azure.com/?OCID=AID%eexcid!_OLA_%ebuy!_%epid!_%ecid!</v></cell></row><row r="582"><cell r="K582" t="str"><v>July</v></cell><cell r="L582"><v>43288</v></cell><cell r="M582" t="str"><v>Tier 0</v></cell><cell r="N582" t="str"><v>North America</v></cell><cell r="O582" t="str"><v>United States</v></cell><cell r="P582" t="str"><v>Trial</v></cell><cell r="Q582" t="str"><v>Social</v></cell><cell r="R582" t="str"><v>Azure</v></cell><cell r="S582" t="str"><v>Apps & Infra</v></cell><cell r="T582" t="str"><v>Developers & ITI's</v></cell><cell r="U582" t="str"><v>USA-Trial-ITD-Trial Lookalike-AZR-AZR</v></cell><cell r="V582" t="str"><v>Lookalike Targeting</v></cell><cell r="W582" t="str"><v>Canvas Ad</v></cell><cell r="X582" t="str"><v>1x1</v></cell></row><row r="582"><cell r="AA582"><v>43286</v></cell><cell r="AB582" t="str"><v>USA_gaPMG_AZR_AZR_Q1_19_Direct-Social</v></cell><cell r="AC582"><v>21358715</v></cell><cell r="AD582"><v>720197</v></cell><cell r="AE582" t="str"><v>Facebook - Instagram</v></cell><cell r="AF582"><v>3654128</v></cell><cell r="AG582" t="str"><v>INSTAGRAM»USA-Trial-ITD-Trial Lookalike-AZR-AZR»1 x 1»SocialBan»CAN»ALL»CPA»LAL»X»NA»SS»NA»IGCTCBasicMotion»PRC0C2</v></cell><cell r="AH582"><v>224107017</v></cell><cell r="AI582" t="str"><v>AzurePlatform_IGCTCBasicMotion_USA_10s_CAN_PLATFORM_English_Trial_Standard_STAN_TIN_T1_1</v></cell><cell r="AJ582"><v>103037968</v></cell></row><row r="583"><cell r="C583" t="str"><v>43286INSTAGRAM»USA-Trial-ITD-Trial PayGo Lookalike-AZR-AZR»1 x 1»SocialBan»CAN»ALL»CPA»LAL»X»NA»SS»NA»IGCTCBasicMotion»PRC2G0</v></cell><cell r="D583" t="str"><v>43286224106891</v></cell><cell r="E583" t="str"><v>43286103037968PRC2G0</v></cell><cell r="F583" t="str"><v>DCM</v></cell><cell r="G583" t="str"><v>https://signup.azure.com/?OCID=AID%eexcid!_OLA_%ebuy!_%epid!_%ecid!</v></cell></row><row r="583"><cell r="K583" t="str"><v>July</v></cell><cell r="L583"><v>43288</v></cell><cell r="M583" t="str"><v>Tier 0</v></cell><cell r="N583" t="str"><v>North America</v></cell><cell r="O583" t="str"><v>United States</v></cell><cell r="P583" t="str"><v>Trial</v></cell><cell r="Q583" t="str"><v>Social</v></cell><cell r="R583" t="str"><v>Azure</v></cell><cell r="S583" t="str"><v>Apps & Infra</v></cell><cell r="T583" t="str"><v>Developers & ITI's</v></cell><cell r="U583" t="str"><v>USA-Trial-ITD-Trial PayGo Lookalike-AZR-AZR</v></cell><cell r="V583" t="str"><v>Lookalike Targeting</v></cell><cell r="W583" t="str"><v>Canvas Ad</v></cell><cell r="X583" t="str"><v>1x1</v></cell></row><row r="583"><cell r="AA583"><v>43286</v></cell><cell r="AB583" t="str"><v>USA_gaPMG_AZR_AZR_Q1_19_Direct-Social</v></cell><cell r="AC583"><v>21358715</v></cell><cell r="AD583"><v>720197</v></cell><cell r="AE583" t="str"><v>Facebook - Instagram</v></cell><cell r="AF583"><v>3654128</v></cell><cell r="AG583" t="str"><v>INSTAGRAM»USA-Trial-ITD-Trial PayGo Lookalike-AZR-AZR»1 x 1»SocialBan»CAN»ALL»CPA»LAL»X»NA»SS»NA»IGCTCBasicMotion»PRC2G0</v></cell><cell r="AH583"><v>224106891</v></cell><cell r="AI583" t="str"><v>AzurePlatform_IGCTCBasicMotion_USA_10s_CAN_PLATFORM_English_Trial_Standard_STAN_TIN_T1_1</v></cell><cell r="AJ583"><v>103037968</v></cell></row><row r="584"><cell r="C584" t="str"><v>43286INSTAGRAM»USA-Trial-ITD-Trial PayGo Lookalike-AZR-AZR»1 x 1»SocialBan»CAN»ALL»CPA»LAL»X»NA»SS»NA»IGCTCBenefitinMotion»PRC2FX</v></cell><cell r="D584" t="str"><v>43286223933999</v></cell><cell r="E584" t="str"><v>43286103180637PRC2FX</v></cell><cell r="F584" t="str"><v>DCM</v></cell><cell r="G584" t="str"><v>https://azure.microsoft.com/en-us/pricing/purchase-options/?v=18.19&OCID=AID%eexcid!_OLA_%ebuy!_%epid!_%ecid!</v></cell></row><row r="584"><cell r="K584" t="str"><v>July</v></cell><cell r="L584"><v>43288</v></cell><cell r="M584" t="str"><v>Tier 0</v></cell><cell r="N584" t="str"><v>North America</v></cell><cell r="O584" t="str"><v>United States</v></cell><cell r="P584" t="str"><v>Trial</v></cell><cell r="Q584" t="str"><v>Social</v></cell><cell r="R584" t="str"><v>Azure</v></cell><cell r="S584" t="str"><v>Apps & Infra</v></cell><cell r="T584" t="str"><v>Developers & ITI's</v></cell><cell r="U584" t="str"><v>USA-Trial-ITD-Trial PayGo Lookalike-AZR-AZR</v></cell><cell r="V584" t="str"><v>Lookalike Targeting</v></cell><cell r="W584" t="str"><v>Canvas Ad</v></cell><cell r="X584" t="str"><v>1x1</v></cell></row><row r="584"><cell r="AA584"><v>43286</v></cell><cell r="AB584" t="str"><v>USA_gaPMG_AZR_AZR_Q1_19_Direct-Social</v></cell><cell r="AC584"><v>21358715</v></cell><cell r="AD584"><v>720197</v></cell><cell r="AE584" t="str"><v>Facebook - Instagram</v></cell><cell r="AF584"><v>3654128</v></cell><cell r="AG584" t="str"><v>INSTAGRAM»USA-Trial-ITD-Trial PayGo Lookalike-AZR-AZR»1 x 1»SocialBan»CAN»ALL»CPA»LAL»X»NA»SS»NA»IGCTCBenefitinMotion»PRC2FX</v></cell><cell r="AH584"><v>223933999</v></cell><cell r="AI584" t="str"><v>AzurePlatform_IGCTCBenefitinMotion_USA_10s_CAN_PLATFORM_English_Trial_Standard_STAN_TIN_T3_2</v></cell><cell r="AJ584"><v>103180637</v></cell></row><row r="585"><cell r="C585" t="str"><v>43287Facebook»Audience & Interest Targeting»1x1»Canvas»OTH»DT»DYN»AUT»W»NA»SS»NA»FBCTCcanvaspage-StartFreeCTA_FBCTCcanvaspage-BuyNowCTA</v></cell><cell r="D585" t="str"><v>43287224639151</v></cell><cell r="E585" t="str"><v>43287103316832NowCTA</v></cell><cell r="F585" t="str"><v>DCM</v></cell><cell r="G585" t="str"><v>https://azure.microsoft.com/en-au/pricing/purchase-options/</v></cell></row><row r="585"><cell r="K585" t="str"><v>July</v></cell><cell r="L585"><v>43288</v></cell><cell r="M585" t="str"><v>Tier 1</v></cell><cell r="N585" t="str"><v>APAC</v></cell><cell r="O585" t="str"><v>Australia</v></cell><cell r="P585" t="str"><v>Trial</v></cell><cell r="Q585" t="str"><v>Social</v></cell><cell r="R585" t="str"><v>Azure</v></cell><cell r="S585" t="str"><v>Apps & Infra</v></cell><cell r="T585" t="str"><v>Developers & ITI's</v></cell><cell r="U585" t="str"><v>Audience & Interest Targeting</v></cell><cell r="V585" t="str"><v>Audience Targeting</v></cell><cell r="W585" t="str"><v>Other</v></cell><cell r="X585" t="str"><v>1x1</v></cell></row><row r="585"><cell r="AA585"><v>43287</v></cell><cell r="AB585" t="str"><v>AUS_gaPMG_AZR_AZR_Q1_19_Trial-Social</v></cell><cell r="AC585"><v>21358568</v></cell><cell r="AD585"><v>720191</v></cell><cell r="AE585" t="str"><v>Facebook</v></cell><cell r="AF585"><v>3654128</v></cell><cell r="AG585" t="str"><v>Facebook»Audience & Interest Targeting»1x1»Canvas»OTH»DT»DYN»AUT»W»NA»SS»NA»FBCTCcanvaspage-StartFreeCTA_FBCTCcanvaspage-BuyNowCTA</v></cell><cell r="AH585"><v>224639151</v></cell><cell r="AI585" t="str"><v>AzurePlatform_FBCTCcanvaspage-BuyNowCTA-Img3_AUS_1080x162_SOC_Plat_English_NA_Standard_NA_BN_T3_1</v></cell><cell r="AJ585"><v>103316832</v></cell></row><row r="586"><cell r="C586" t="str"><v>43287Facebook»Audience & Interest Targeting»1x1»Canvas»OTH»DT»DYN»AUT»W»NA»SS»NA»FBCTCcanvaspage-StartFreeCTA_FBCTCcanvaspage-BuyNowCTA</v></cell><cell r="D586" t="str"><v>43287224639151</v></cell><cell r="E586" t="str"><v>43287103316829NowCTA</v></cell><cell r="F586" t="str"><v>DCM</v></cell><cell r="G586" t="str"><v>https://signup.azure.com/signup?offer=ms-azr-0044p&appId=102&ref=paidmedia-social-fb&redirectURL=https%3a%2f%2fazure.microsoft.com%2fen-au%2fget-started%2fwelcome-to-azure%2f&l=en-au&correlationId=ead86c34-1f10-49dd-a72b-6918462a2cbf</v></cell></row><row r="586"><cell r="K586" t="str"><v>July</v></cell><cell r="L586"><v>43288</v></cell><cell r="M586" t="str"><v>Tier 1</v></cell><cell r="N586" t="str"><v>APAC</v></cell><cell r="O586" t="str"><v>Australia</v></cell><cell r="P586" t="str"><v>Trial</v></cell><cell r="Q586" t="str"><v>Social</v></cell><cell r="R586" t="str"><v>Azure</v></cell><cell r="S586" t="str"><v>Apps & Infra</v></cell><cell r="T586" t="str"><v>Developers & ITI's</v></cell><cell r="U586" t="str"><v>Audience & Interest Targeting</v></cell><cell r="V586" t="str"><v>Audience Targeting</v></cell><cell r="W586" t="str"><v>Other</v></cell><cell r="X586" t="str"><v>1x1</v></cell></row><row r="586"><cell r="AA586"><v>43287</v></cell><cell r="AB586" t="str"><v>AUS_gaPMG_AZR_AZR_Q1_19_Trial-Social</v></cell><cell r="AC586"><v>21358568</v></cell><cell r="AD586"><v>720191</v></cell><cell r="AE586" t="str"><v>Facebook</v></cell><cell r="AF586"><v>3654128</v></cell><cell r="AG586" t="str"><v>Facebook»Audience & Interest Targeting»1x1»Canvas»OTH»DT»DYN»AUT»W»NA»SS»NA»FBCTCcanvaspage-StartFreeCTA_FBCTCcanvaspage-BuyNowCTA</v></cell><cell r="AH586"><v>224639151</v></cell><cell r="AI586" t="str"><v>AzurePlatform_FBCTCcanvaspage-StartFreeCTA-Img2_AUS_1080x143 _SOC_Plat_English_NA_Standard_NA_NA_T2_1</v></cell><cell r="AJ586"><v>103316829</v></cell></row><row r="587"><cell r="C587" t="str"><v>43287Facebook»Audience & Interest Targeting»1x1»TextLink»OTH»DT»DYN»AUT»W»NA»SS»NA»Free Account Refresh- 12 months ChE</v></cell><cell r="D587" t="str"><v>43287224160783</v></cell><cell r="E587" t="str"><v>43287103051614hs ChE</v></cell><cell r="F587" t="str"><v>DCM</v></cell></row><row r="587"><cell r="K587" t="str"><v>July</v></cell><cell r="L587"><v>43288</v></cell><cell r="M587" t="str"><v>Tier 1</v></cell><cell r="N587" t="str"><v>APAC</v></cell><cell r="O587" t="str"><v>Australia</v></cell><cell r="P587" t="str"><v>Trial</v></cell><cell r="Q587" t="str"><v>Social</v></cell><cell r="R587" t="str"><v>Azure</v></cell><cell r="S587" t="str"><v>Apps & Infra</v></cell><cell r="T587" t="str"><v>Developers & ITI's</v></cell><cell r="U587" t="str"><v>Audience & Interest Targeting</v></cell><cell r="V587" t="str"><v>Audience Targeting</v></cell><cell r="W587" t="str"><v>Other</v></cell><cell r="X587" t="str"><v>1x1</v></cell></row><row r="587"><cell r="AA587"><v>43287</v></cell><cell r="AB587" t="str"><v>AUS_gaPMG_AZR_AZR_Q1_19_Trial-Social</v></cell><cell r="AC587"><v>21358568</v></cell><cell r="AD587"><v>720191</v></cell><cell r="AE587" t="str"><v>Facebook</v></cell><cell r="AF587"><v>3654128</v></cell><cell r="AG587" t="str"><v>Facebook»Audience & Interest Targeting»1x1»TextLink»OTH»DT»DYN»AUT»W»NA»SS»NA»Free Account Refresh- 12 months ChE</v></cell><cell r="AH587"><v>224160783</v></cell><cell r="AI587" t="str"><v>AzurePlatform_FreeAcctAppsFACEBOOK12monthsChE_AUS_1200x628_SOC_PLAT_EN_Trial_Standard_NA_SNU_T5_1</v></cell><cell r="AJ587"><v>103051614</v></cell></row><row r="588"><cell r="C588" t="str"><v>43287Facebook»Audience & Interest Targeting»1x1»TextLink»OTH»DT»DYN»AUT»W»NA»SS»NA»Free Account Refresh- 200 Credit ChD</v></cell><cell r="D588" t="str"><v>43287224160780</v></cell><cell r="E588" t="str"><v>43287103186904it ChD</v></cell><cell r="F588" t="str"><v>DCM</v></cell></row><row r="588"><cell r="K588" t="str"><v>July</v></cell><cell r="L588"><v>43288</v></cell><cell r="M588" t="str"><v>Tier 1</v></cell><cell r="N588" t="str"><v>APAC</v></cell><cell r="O588" t="str"><v>Australia</v></cell><cell r="P588" t="str"><v>Trial</v></cell><cell r="Q588" t="str"><v>Social</v></cell><cell r="R588" t="str"><v>Azure</v></cell><cell r="S588" t="str"><v>Apps & Infra</v></cell><cell r="T588" t="str"><v>Developers & ITI's</v></cell><cell r="U588" t="str"><v>Audience & Interest Targeting</v></cell><cell r="V588" t="str"><v>Audience Targeting</v></cell><cell r="W588" t="str"><v>Other</v></cell><cell r="X588" t="str"><v>1x1</v></cell></row><row r="588"><cell r="AA588"><v>43287</v></cell><cell r="AB588" t="str"><v>AUS_gaPMG_AZR_AZR_Q1_19_Trial-Social</v></cell><cell r="AC588"><v>21358568</v></cell><cell r="AD588"><v>720191</v></cell><cell r="AE588" t="str"><v>Facebook</v></cell><cell r="AF588"><v>3654128</v></cell><cell r="AG588" t="str"><v>Facebook»Audience & Interest Targeting»1x1»TextLink»OTH»DT»DYN»AUT»W»NA»SS»NA»Free Account Refresh- 200 Credit ChD</v></cell><cell r="AH588"><v>224160780</v></cell><cell r="AI588" t="str"><v>AzurePlatform_FreeAcctAppsFACEBOOK200CreditChD_AUS_1200x628_SOC_PLAT_EN_Trial_Standard_NA_SNU_T4_1</v></cell><cell r="AJ588"><v>103186904</v></cell></row><row r="589"><cell r="C589" t="str"><v>43287Facebook»Audience & Interest Targeting»1x1»TextLink»OTH»DT»DYN»AUT»W»NA»SS»NA»Free Account Refresh- Device ChB</v></cell><cell r="D589" t="str"><v>43287224160777</v></cell><cell r="E589" t="str"><v>43287103048479ce ChB</v></cell><cell r="F589" t="str"><v>DCM</v></cell></row><row r="589"><cell r="K589" t="str"><v>July</v></cell><cell r="L589"><v>43288</v></cell><cell r="M589" t="str"><v>Tier 1</v></cell><cell r="N589" t="str"><v>APAC</v></cell><cell r="O589" t="str"><v>Australia</v></cell><cell r="P589" t="str"><v>Trial</v></cell><cell r="Q589" t="str"><v>Social</v></cell><cell r="R589" t="str"><v>Azure</v></cell><cell r="S589" t="str"><v>Apps & Infra</v></cell><cell r="T589" t="str"><v>Developers & ITI's</v></cell><cell r="U589" t="str"><v>Audience & Interest Targeting</v></cell><cell r="V589" t="str"><v>Audience Targeting</v></cell><cell r="W589" t="str"><v>Other</v></cell><cell r="X589" t="str"><v>1x1</v></cell></row><row r="589"><cell r="AA589"><v>43287</v></cell><cell r="AB589" t="str"><v>AUS_gaPMG_AZR_AZR_Q1_19_Trial-Social</v></cell><cell r="AC589"><v>21358568</v></cell><cell r="AD589"><v>720191</v></cell><cell r="AE589" t="str"><v>Facebook</v></cell><cell r="AF589"><v>3654128</v></cell><cell r="AG589" t="str"><v>Facebook»Audience & Interest Targeting»1x1»TextLink»OTH»DT»DYN»AUT»W»NA»SS»NA»Free Account Refresh- Device ChB</v></cell><cell r="AH589"><v>224160777</v></cell><cell r="AI589" t="str"><v>AzurePlatform_FreeAcctAppsFACEBOOKDeviceChB_AUS_1200x628_SOC_PLAT_EN_Trial_Standard_NA_SNU_T2_1</v></cell><cell r="AJ589"><v>103048479</v></cell></row><row r="590"><cell r="C590" t="str"><v>43287Facebook»Audience & Interest Targeting»1x1»TextLink»OTH»DT»DYN»AUT»W»NA»SS»NA»Free Account Refresh- Illustration ChC</v></cell><cell r="D590" t="str"><v>43287224160774</v></cell><cell r="E590" t="str"><v>43287103186910on ChC</v></cell><cell r="F590" t="str"><v>DCM</v></cell></row><row r="590"><cell r="K590" t="str"><v>July</v></cell><cell r="L590"><v>43288</v></cell><cell r="M590" t="str"><v>Tier 1</v></cell><cell r="N590" t="str"><v>APAC</v></cell><cell r="O590" t="str"><v>Australia</v></cell><cell r="P590" t="str"><v>Trial</v></cell><cell r="Q590" t="str"><v>Social</v></cell><cell r="R590" t="str"><v>Azure</v></cell><cell r="S590" t="str"><v>Apps & Infra</v></cell><cell r="T590" t="str"><v>Developers & ITI's</v></cell><cell r="U590" t="str"><v>Audience & Interest Targeting</v></cell><cell r="V590" t="str"><v>Audience Targeting</v></cell><cell r="W590" t="str"><v>Other</v></cell><cell r="X590" t="str"><v>1x1</v></cell></row><row r="590"><cell r="AA590"><v>43287</v></cell><cell r="AB590" t="str"><v>AUS_gaPMG_AZR_AZR_Q1_19_Trial-Social</v></cell><cell r="AC590"><v>21358568</v></cell><cell r="AD590"><v>720191</v></cell><cell r="AE590" t="str"><v>Facebook</v></cell><cell r="AF590"><v>3654128</v></cell><cell r="AG590" t="str"><v>Facebook»Audience & Interest Targeting»1x1»TextLink»OTH»DT»DYN»AUT»W»NA»SS»NA»Free Account Refresh- Illustration ChC</v></cell><cell r="AH590"><v>224160774</v></cell><cell r="AI590" t="str"><v>AzurePlatform_FreeAcctAppsFACEBOOKIllustrationChC_AUS_1200x628_SOC_PLAT_EN_Trial_Standard_NA_SNU_T3_1</v></cell><cell r="AJ590"><v>103186910</v></cell></row><row r="591"><cell r="C591" t="str"><v>43287Facebook»Audience & Interest Targeting»1x1»TextLink»OTH»DT»DYN»AUT»W»NA»SS»NA»Free Account Refresh- Lifestyle ChA</v></cell><cell r="D591" t="str"><v>43287224160771</v></cell><cell r="E591" t="str"><v>43287103048488le ChA</v></cell><cell r="F591" t="str"><v>DCM</v></cell></row><row r="591"><cell r="K591" t="str"><v>July</v></cell><cell r="L591"><v>43288</v></cell><cell r="M591" t="str"><v>Tier 1</v></cell><cell r="N591" t="str"><v>APAC</v></cell><cell r="O591" t="str"><v>Australia</v></cell><cell r="P591" t="str"><v>Trial</v></cell><cell r="Q591" t="str"><v>Social</v></cell><cell r="R591" t="str"><v>Azure</v></cell><cell r="S591" t="str"><v>Apps & Infra</v></cell><cell r="T591" t="str"><v>Developers & ITI's</v></cell><cell r="U591" t="str"><v>Audience & Interest Targeting</v></cell><cell r="V591" t="str"><v>Audience Targeting</v></cell><cell r="W591" t="str"><v>Other</v></cell><cell r="X591" t="str"><v>1x1</v></cell></row><row r="591"><cell r="AA591"><v>43287</v></cell><cell r="AB591" t="str"><v>AUS_gaPMG_AZR_AZR_Q1_19_Trial-Social</v></cell><cell r="AC591"><v>21358568</v></cell><cell r="AD591"><v>720191</v></cell><cell r="AE591" t="str"><v>Facebook</v></cell><cell r="AF591"><v>3654128</v></cell><cell r="AG591" t="str"><v>Facebook»Audience & Interest Targeting»1x1»TextLink»OTH»DT»DYN»AUT»W»NA»SS»NA»Free Account Refresh- Lifestyle ChA</v></cell><cell r="AH591"><v>224160771</v></cell><cell r="AI591" t="str"><v>AzurePlatform_FreeAcctAppsFACEBOOKLifestyleChA_AUS_1200x628_SOC_PLAT_EN_Trial_Standard_NA_SNU_T1_1</v></cell><cell r="AJ591"><v>103048488</v></cell></row><row r="592"><cell r="C592" t="str"><v>43287Facebook»AZR»1x1»NA»EGV»ALL»DYN»AUT»D»All»SS»NA»Free Acc CTC - T1 - EN</v></cell><cell r="D592" t="str"><v>43287223684451</v></cell><cell r="E592" t="str"><v>432871029018821 - EN</v></cell><cell r="F592" t="str"><v>DCM</v></cell><cell r="G592" t="str"><v>https://signup.azure.com/</v></cell></row><row r="592"><cell r="K592" t="str"><v>July</v></cell><cell r="L592"><v>43288</v></cell><cell r="M592" t="str"><v>Tier 1</v></cell><cell r="N592" t="str"><v>North America</v></cell><cell r="O592" t="str"><v>Canada</v></cell><cell r="P592" t="str"><v>Trial</v></cell><cell r="Q592" t="str"><v>Social</v></cell><cell r="R592" t="str"><v>Azure</v></cell><cell r="S592" t="str"><v>Apps & Infra</v></cell><cell r="T592" t="str"><v>Developers & ITI's</v></cell><cell r="U592" t="str"><v>AZR</v></cell><cell r="V592" t="str"><v>Audience Targeting</v></cell><cell r="W592" t="str"><v>Engagement Video</v></cell><cell r="X592" t="str"><v>1x1</v></cell></row><row r="592"><cell r="AA592"><v>43287</v></cell><cell r="AB592" t="str"><v>CAN_gaPMG_AZR_AZR_Q1_19_Trial-Social</v></cell><cell r="AC592"><v>21337220</v></cell><cell r="AD592"><v>720192</v></cell><cell r="AE592" t="str"><v>Facebook</v></cell><cell r="AF592"><v>3654128</v></cell><cell r="AG592" t="str"><v>Facebook»AZR»1x1»NA»EGV»ALL»DYN»AUT»D»All»SS»NA»Free Acc CTC - T1 - EN</v></cell><cell r="AH592"><v>223684451</v></cell><cell r="AI592" t="str"><v>AzurePlatform_FBCTCBasicMotion_CAN_10s_ISV_PLAT_English_Trial_Standard_STAN_TN_T1_1</v></cell><cell r="AJ592"><v>102901882</v></cell></row><row r="593"><cell r="C593" t="str"><v>43287Facebook»AZR»1x1»NA»EGV»ALL»DYN»AUT»D»All»SS»NA»Free Acc CTC - T1 - FR</v></cell><cell r="D593" t="str"><v>43287223691801</v></cell><cell r="E593" t="str"><v>432871030533231 - FR</v></cell><cell r="F593" t="str"><v>DCM</v></cell><cell r="G593" t="str"><v>https://signup.azure.com/</v></cell></row><row r="593"><cell r="K593" t="str"><v>July</v></cell><cell r="L593"><v>43288</v></cell><cell r="M593" t="str"><v>Tier 1</v></cell><cell r="N593" t="str"><v>North America</v></cell><cell r="O593" t="str"><v>Canada</v></cell><cell r="P593" t="str"><v>Trial</v></cell><cell r="Q593" t="str"><v>Social</v></cell><cell r="R593" t="str"><v>Azure</v></cell><cell r="S593" t="str"><v>Apps & Infra</v></cell><cell r="T593" t="str"><v>Developers & ITI's</v></cell><cell r="U593" t="str"><v>AZR</v></cell><cell r="V593" t="str"><v>Audience Targeting</v></cell><cell r="W593" t="str"><v>Engagement Video</v></cell><cell r="X593" t="str"><v>1x1</v></cell></row><row r="593"><cell r="AA593"><v>43287</v></cell><cell r="AB593" t="str"><v>CAN_gaPMG_AZR_AZR_Q1_19_Trial-Social</v></cell><cell r="AC593"><v>21337220</v></cell><cell r="AD593"><v>720192</v></cell><cell r="AE593" t="str"><v>Facebook</v></cell><cell r="AF593"><v>3654128</v></cell><cell r="AG593" t="str"><v>Facebook»AZR»1x1»NA»EGV»ALL»DYN»AUT»D»All»SS»NA»Free Acc CTC - T1 - FR</v></cell><cell r="AH593"><v>223691801</v></cell><cell r="AI593" t="str"><v>AzurePlatform_FBCTCBasicMotion_CAN_10s_ISV_PLAT_FR_Trial_Standard_STAN_TN_T1_1</v></cell><cell r="AJ593"><v>103053323</v></cell></row><row r="594"><cell r="C594" t="str"><v>43287Facebook»AZR»1x1»NA»EGV»ALL»DYN»AUT»D»All»SS»NA»Free Acc CTC - T2 - EN</v></cell><cell r="D594" t="str"><v>43287223691840</v></cell><cell r="E594" t="str"><v>432871029029502 - EN</v></cell><cell r="F594" t="str"><v>DCM</v></cell><cell r="G594" t="str"><v>https://signup.azure.com/</v></cell></row><row r="594"><cell r="K594" t="str"><v>July</v></cell><cell r="L594"><v>43288</v></cell><cell r="M594" t="str"><v>Tier 1</v></cell><cell r="N594" t="str"><v>North America</v></cell><cell r="O594" t="str"><v>Canada</v></cell><cell r="P594" t="str"><v>Trial</v></cell><cell r="Q594" t="str"><v>Social</v></cell><cell r="R594" t="str"><v>Azure</v></cell><cell r="S594" t="str"><v>Apps & Infra</v></cell><cell r="T594" t="str"><v>Developers & ITI's</v></cell><cell r="U594" t="str"><v>AZR</v></cell><cell r="V594" t="str"><v>Audience Targeting</v></cell><cell r="W594" t="str"><v>Engagement Video</v></cell><cell r="X594" t="str"><v>1x1</v></cell></row><row r="594"><cell r="AA594"><v>43287</v></cell><cell r="AB594" t="str"><v>CAN_gaPMG_AZR_AZR_Q1_19_Trial-Social</v></cell><cell r="AC594"><v>21337220</v></cell><cell r="AD594"><v>720192</v></cell><cell r="AE594" t="str"><v>Facebook</v></cell><cell r="AF594"><v>3654128</v></cell><cell r="AG594" t="str"><v>Facebook»AZR»1x1»NA»EGV»ALL»DYN»AUT»D»All»SS»NA»Free Acc CTC - T2 - EN</v></cell><cell r="AH594"><v>223691840</v></cell><cell r="AI594" t="str"><v>AzurePlatform_FBCTCBrandinMotion_CAN_12s_ISV_PLAT_English_Trial_Standard_STAN_TN_T2_1</v></cell><cell r="AJ594"><v>102902950</v></cell></row><row r="595"><cell r="C595" t="str"><v>43287Facebook»AZR»1x1»NA»EGV»ALL»DYN»AUT»D»All»SS»NA»Free Acc CTC - T2 - FR</v></cell><cell r="D595" t="str"><v>43287223691798</v></cell><cell r="E595" t="str"><v>432871029163472 - FR</v></cell><cell r="F595" t="str"><v>DCM</v></cell><cell r="G595" t="str"><v>https://signup.azure.com/</v></cell></row><row r="595"><cell r="K595" t="str"><v>July</v></cell><cell r="L595"><v>43288</v></cell><cell r="M595" t="str"><v>Tier 1</v></cell><cell r="N595" t="str"><v>North America</v></cell><cell r="O595" t="str"><v>Canada</v></cell><cell r="P595" t="str"><v>Trial</v></cell><cell r="Q595" t="str"><v>Social</v></cell><cell r="R595" t="str"><v>Azure</v></cell><cell r="S595" t="str"><v>Apps & Infra</v></cell><cell r="T595" t="str"><v>Developers & ITI's</v></cell><cell r="U595" t="str"><v>AZR</v></cell><cell r="V595" t="str"><v>Audience Targeting</v></cell><cell r="W595" t="str"><v>Engagement Video</v></cell><cell r="X595" t="str"><v>1x1</v></cell></row><row r="595"><cell r="AA595"><v>43287</v></cell><cell r="AB595" t="str"><v>CAN_gaPMG_AZR_AZR_Q1_19_Trial-Social</v></cell><cell r="AC595"><v>21337220</v></cell><cell r="AD595"><v>720192</v></cell><cell r="AE595" t="str"><v>Facebook</v></cell><cell r="AF595"><v>3654128</v></cell><cell r="AG595" t="str"><v>Facebook»AZR»1x1»NA»EGV»ALL»DYN»AUT»D»All»SS»NA»Free Acc CTC - T2 - FR</v></cell><cell r="AH595"><v>223691798</v></cell><cell r="AI595" t="str"><v>AzurePlatform_FBCTCBrandinMotion_CAN_12s_ISV_PLAT_FR_Trial_Standard_STAN_TN_T2_1</v></cell><cell r="AJ595"><v>102916347</v></cell></row><row r="596"><cell r="C596" t="str"><v>43287Facebook»AZR»1x1»NA»EGV»ALL»DYN»AUT»D»All»SS»NA»Free Acc CTC - T4 - EN</v></cell><cell r="D596" t="str"><v>43287223691837</v></cell><cell r="E596" t="str"><v>432871030533144 - EN</v></cell><cell r="F596" t="str"><v>DCM</v></cell><cell r="G596" t="str"><v>https://signup.azure.com/</v></cell></row><row r="596"><cell r="K596" t="str"><v>July</v></cell><cell r="L596"><v>43288</v></cell><cell r="M596" t="str"><v>Tier 1</v></cell><cell r="N596" t="str"><v>North America</v></cell><cell r="O596" t="str"><v>Canada</v></cell><cell r="P596" t="str"><v>Trial</v></cell><cell r="Q596" t="str"><v>Social</v></cell><cell r="R596" t="str"><v>Azure</v></cell><cell r="S596" t="str"><v>Apps & Infra</v></cell><cell r="T596" t="str"><v>Developers & ITI's</v></cell><cell r="U596" t="str"><v>AZR</v></cell><cell r="V596" t="str"><v>Audience Targeting</v></cell><cell r="W596" t="str"><v>Engagement Video</v></cell><cell r="X596" t="str"><v>1x1</v></cell></row><row r="596"><cell r="AA596"><v>43287</v></cell><cell r="AB596" t="str"><v>CAN_gaPMG_AZR_AZR_Q1_19_Trial-Social</v></cell><cell r="AC596"><v>21337220</v></cell><cell r="AD596"><v>720192</v></cell><cell r="AE596" t="str"><v>Facebook</v></cell><cell r="AF596"><v>3654128</v></cell><cell r="AG596" t="str"><v>Facebook»AZR»1x1»NA»EGV»ALL»DYN»AUT»D»All»SS»NA»Free Acc CTC - T4 - EN</v></cell><cell r="AH596"><v>223691837</v></cell><cell r="AI596" t="str"><v>AzurePlatform_FBCTCBenefit2inMotion_CAN_14s_ISV_PLAT_English_Trial_Standard_STAN_TN_T4_1</v></cell><cell r="AJ596"><v>103053314</v></cell></row><row r="597"><cell r="C597" t="str"><v>43287Facebook»AZR»1x1»NA»EGV»ALL»DYN»AUT»D»All»SS»NA»Free Acc CTC - T4 - FR</v></cell><cell r="D597" t="str"><v>43287223691795</v></cell><cell r="E597" t="str"><v>432871029006884 - FR</v></cell><cell r="F597" t="str"><v>DCM</v></cell><cell r="G597" t="str"><v>https://signup.azure.com/</v></cell></row><row r="597"><cell r="K597" t="str"><v>July</v></cell><cell r="L597"><v>43288</v></cell><cell r="M597" t="str"><v>Tier 1</v></cell><cell r="N597" t="str"><v>North America</v></cell><cell r="O597" t="str"><v>Canada</v></cell><cell r="P597" t="str"><v>Trial</v></cell><cell r="Q597" t="str"><v>Social</v></cell><cell r="R597" t="str"><v>Azure</v></cell><cell r="S597" t="str"><v>Apps & Infra</v></cell><cell r="T597" t="str"><v>Developers & ITI's</v></cell><cell r="U597" t="str"><v>AZR</v></cell><cell r="V597" t="str"><v>Audience Targeting</v></cell><cell r="W597" t="str"><v>Engagement Video</v></cell><cell r="X597" t="str"><v>1x1</v></cell></row><row r="597"><cell r="AA597"><v>43287</v></cell><cell r="AB597" t="str"><v>CAN_gaPMG_AZR_AZR_Q1_19_Trial-Social</v></cell><cell r="AC597"><v>21337220</v></cell><cell r="AD597"><v>720192</v></cell><cell r="AE597" t="str"><v>Facebook</v></cell><cell r="AF597"><v>3654128</v></cell><cell r="AG597" t="str"><v>Facebook»AZR»1x1»NA»EGV»ALL»DYN»AUT»D»All»SS»NA»Free Acc CTC - T4 - FR</v></cell><cell r="AH597"><v>223691795</v></cell><cell r="AI597" t="str"><v>AzurePlatform_FBCTCBenefit2inMotion_CAN_14s_ISV_PLAT_FR_Trial_Standard_STAN_TN_T4_1</v></cell><cell r="AJ597"><v>102900688</v></cell></row><row r="598"><cell r="C598" t="str"><v>43287Facebook»AZR»1x1»SocialBan»NA»ALL»DYN»AUT»D»All»SS»NA»Free Acc Refresh - T1 - EN</v></cell><cell r="D598" t="str"><v>43287223691804</v></cell><cell r="E598" t="str"><v>432871030587171 - EN</v></cell><cell r="F598" t="str"><v>DCM</v></cell><cell r="G598" t="str"><v>https://azure.microsoft.com/en-CA/free/search/</v></cell></row><row r="598"><cell r="K598" t="str"><v>July</v></cell><cell r="L598"><v>43288</v></cell><cell r="M598" t="str"><v>Tier 1</v></cell><cell r="N598" t="str"><v>North America</v></cell><cell r="O598" t="str"><v>Canada</v></cell><cell r="P598" t="str"><v>Trial</v></cell><cell r="Q598" t="str"><v>Social</v></cell><cell r="R598" t="str"><v>Azure</v></cell><cell r="S598" t="str"><v>Apps & Infra</v></cell><cell r="T598" t="str"><v>Developers & ITI's</v></cell><cell r="U598" t="str"><v>AZR</v></cell><cell r="V598" t="str"><v>Audience Targeting</v></cell><cell r="W598" t="str"><v>NotApplicable</v></cell><cell r="X598" t="str"><v>1x1</v></cell></row><row r="598"><cell r="AA598"><v>43287</v></cell><cell r="AB598" t="str"><v>CAN_gaPMG_AZR_AZR_Q1_19_Trial-Social</v></cell><cell r="AC598"><v>21337220</v></cell><cell r="AD598"><v>720192</v></cell><cell r="AE598" t="str"><v>Facebook</v></cell><cell r="AF598"><v>3654128</v></cell><cell r="AG598" t="str"><v>Facebook»AZR»1x1»SocialBan»NA»ALL»DYN»AUT»D»All»SS»NA»Free Acc Refresh - T1 - EN</v></cell><cell r="AH598"><v>223691804</v></cell><cell r="AI598" t="str"><v>AzurePlatform_FreeAcctAppsFACEBOOKLifestyleChA_CAN_1200x628_SOC_PLAT_EN_Trial_Standard_NA_SU_T1_1.png</v></cell><cell r="AJ598"><v>103058717</v></cell></row><row r="599"><cell r="C599" t="str"><v>43287Facebook»AZR»1x1»SocialBan»NA»ALL»DYN»AUT»D»All»SS»NA»Free Acc Refresh - T1 - FR</v></cell><cell r="D599" t="str"><v>43287223691762</v></cell><cell r="E599" t="str"><v>432871029029741 - FR</v></cell><cell r="F599" t="str"><v>DCM</v></cell><cell r="G599" t="str"><v>https://azure.microsoft.com/fr-ca/free/search/</v></cell></row><row r="599"><cell r="K599" t="str"><v>July</v></cell><cell r="L599"><v>43288</v></cell><cell r="M599" t="str"><v>Tier 1</v></cell><cell r="N599" t="str"><v>North America</v></cell><cell r="O599" t="str"><v>Canada</v></cell><cell r="P599" t="str"><v>Trial</v></cell><cell r="Q599" t="str"><v>Social</v></cell><cell r="R599" t="str"><v>Azure</v></cell><cell r="S599" t="str"><v>Apps & Infra</v></cell><cell r="T599" t="str"><v>Developers & ITI's</v></cell><cell r="U599" t="str"><v>AZR</v></cell><cell r="V599" t="str"><v>Audience Targeting</v></cell><cell r="W599" t="str"><v>NotApplicable</v></cell><cell r="X599" t="str"><v>1x1</v></cell></row><row r="599"><cell r="AA599"><v>43287</v></cell><cell r="AB599" t="str"><v>CAN_gaPMG_AZR_AZR_Q1_19_Trial-Social</v></cell><cell r="AC599"><v>21337220</v></cell><cell r="AD599"><v>720192</v></cell><cell r="AE599" t="str"><v>Facebook</v></cell><cell r="AF599"><v>3654128</v></cell><cell r="AG599" t="str"><v>Facebook»AZR»1x1»SocialBan»NA»ALL»DYN»AUT»D»All»SS»NA»Free Acc Refresh - T1 - FR</v></cell><cell r="AH599"><v>223691762</v></cell><cell r="AI599" t="str"><v>AzurePlatform_FreeAcctAppsFACEBOOKLifestyleChA_CAN_1200x628_SOC_PLAT_FR_Trial_Standard_NA_SU_T1_1.png</v></cell><cell r="AJ599"><v>102902974</v></cell></row><row r="600"><cell r="C600" t="str"><v>43287Facebook»AZR»1x1»SocialBan»NA»ALL»DYN»AUT»D»All»SS»NA»Free Acc Refresh - T2 - EN</v></cell><cell r="D600" t="str"><v>43287223691810</v></cell><cell r="E600" t="str"><v>432871030587112 - EN</v></cell><cell r="F600" t="str"><v>DCM</v></cell><cell r="G600" t="str"><v>https://azure.microsoft.com/en-CA/free/search/</v></cell></row><row r="600"><cell r="K600" t="str"><v>July</v></cell><cell r="L600"><v>43288</v></cell><cell r="M600" t="str"><v>Tier 1</v></cell><cell r="N600" t="str"><v>North America</v></cell><cell r="O600" t="str"><v>Canada</v></cell><cell r="P600" t="str"><v>Trial</v></cell><cell r="Q600" t="str"><v>Social</v></cell><cell r="R600" t="str"><v>Azure</v></cell><cell r="S600" t="str"><v>Apps & Infra</v></cell><cell r="T600" t="str"><v>Developers & ITI's</v></cell><cell r="U600" t="str"><v>AZR</v></cell><cell r="V600" t="str"><v>Audience Targeting</v></cell><cell r="W600" t="str"><v>NotApplicable</v></cell><cell r="X600" t="str"><v>1x1</v></cell></row><row r="600"><cell r="AA600"><v>43287</v></cell><cell r="AB600" t="str"><v>CAN_gaPMG_AZR_AZR_Q1_19_Trial-Social</v></cell><cell r="AC600"><v>21337220</v></cell><cell r="AD600"><v>720192</v></cell><cell r="AE600" t="str"><v>Facebook</v></cell><cell r="AF600"><v>3654128</v></cell><cell r="AG600" t="str"><v>Facebook»AZR»1x1»SocialBan»NA»ALL»DYN»AUT»D»All»SS»NA»Free Acc Refresh - T2 - EN</v></cell><cell r="AH600"><v>223691810</v></cell><cell r="AI600" t="str"><v>AzurePlatform_FreeAcctAppsFACEBOOKDeviceChB_CAN_1200x628_SOC_PLAT_EN_Trial_Standard_NA_SU_T2_1.png</v></cell><cell r="AJ600"><v>103058711</v></cell></row><row r="601"><cell r="C601" t="str"><v>43287Facebook»AZR»1x1»SocialBan»NA»ALL»DYN»AUT»D»All»SS»NA»Free Acc Refresh - T3 - EN</v></cell><cell r="D601" t="str"><v>43287223691807</v></cell><cell r="E601" t="str"><v>432871029006853 - EN</v></cell><cell r="F601" t="str"><v>DCM</v></cell><cell r="G601" t="str"><v>https://azure.microsoft.com/en-CA/free/search/</v></cell></row><row r="601"><cell r="K601" t="str"><v>July</v></cell><cell r="L601"><v>43288</v></cell><cell r="M601" t="str"><v>Tier 1</v></cell><cell r="N601" t="str"><v>North America</v></cell><cell r="O601" t="str"><v>Canada</v></cell><cell r="P601" t="str"><v>Trial</v></cell><cell r="Q601" t="str"><v>Social</v></cell><cell r="R601" t="str"><v>Azure</v></cell><cell r="S601" t="str"><v>Apps & Infra</v></cell><cell r="T601" t="str"><v>Developers & ITI's</v></cell><cell r="U601" t="str"><v>AZR</v></cell><cell r="V601" t="str"><v>Audience Targeting</v></cell><cell r="W601" t="str"><v>NotApplicable</v></cell><cell r="X601" t="str"><v>1x1</v></cell></row><row r="601"><cell r="AA601"><v>43287</v></cell><cell r="AB601" t="str"><v>CAN_gaPMG_AZR_AZR_Q1_19_Trial-Social</v></cell><cell r="AC601"><v>21337220</v></cell><cell r="AD601"><v>720192</v></cell><cell r="AE601" t="str"><v>Facebook</v></cell><cell r="AF601"><v>3654128</v></cell><cell r="AG601" t="str"><v>Facebook»AZR»1x1»SocialBan»NA»ALL»DYN»AUT»D»All»SS»NA»Free Acc Refresh - T3 - EN</v></cell><cell r="AH601"><v>223691807</v></cell><cell r="AI601" t="str"><v>AzurePlatform_FreeAcctAppsFACEBOOKIllustrationChC_CAN_1200x628_SOC_PLAT_EN_Trial_Standard_NA_SU_T3_1.png</v></cell><cell r="AJ601"><v>102900685</v></cell></row><row r="602"><cell r="C602" t="str"><v>43287Facebook»AZR»1x1»SocialBan»NA»ALL»DYN»AUT»D»All»SS»NA»Free Acc Refresh - T4 - EN</v></cell><cell r="D602" t="str"><v>43287223691813</v></cell><cell r="E602" t="str"><v>432871030533204 - EN</v></cell><cell r="F602" t="str"><v>DCM</v></cell><cell r="G602" t="str"><v>https://azure.microsoft.com/en-CA/free/search/</v></cell></row><row r="602"><cell r="K602" t="str"><v>July</v></cell><cell r="L602"><v>43288</v></cell><cell r="M602" t="str"><v>Tier 1</v></cell><cell r="N602" t="str"><v>North America</v></cell><cell r="O602" t="str"><v>Canada</v></cell><cell r="P602" t="str"><v>Trial</v></cell><cell r="Q602" t="str"><v>Social</v></cell><cell r="R602" t="str"><v>Azure</v></cell><cell r="S602" t="str"><v>Apps & Infra</v></cell><cell r="T602" t="str"><v>Developers & ITI's</v></cell><cell r="U602" t="str"><v>AZR</v></cell><cell r="V602" t="str"><v>Audience Targeting</v></cell><cell r="W602" t="str"><v>NotApplicable</v></cell><cell r="X602" t="str"><v>1x1</v></cell></row><row r="602"><cell r="AA602"><v>43287</v></cell><cell r="AB602" t="str"><v>CAN_gaPMG_AZR_AZR_Q1_19_Trial-Social</v></cell><cell r="AC602"><v>21337220</v></cell><cell r="AD602"><v>720192</v></cell><cell r="AE602" t="str"><v>Facebook</v></cell><cell r="AF602"><v>3654128</v></cell><cell r="AG602" t="str"><v>Facebook»AZR»1x1»SocialBan»NA»ALL»DYN»AUT»D»All»SS»NA»Free Acc Refresh - T4 - EN</v></cell><cell r="AH602"><v>223691813</v></cell><cell r="AI602" t="str"><v>AzurePlatform_FreeAcctAppsFACEBOOK200CreditChD_CAN_1200x628_SOC_PLAT_EN_Trial_Standard_NA_SU_T4_1.png</v></cell><cell r="AJ602"><v>103053320</v></cell></row><row r="603"><cell r="C603" t="str"><v>43287Facebook»AZR»1x1»SocialBan»NA»ALL»DYN»AUT»D»All»SS»NA»Free Acc Refresh - T5 - EN</v></cell><cell r="D603" t="str"><v>43287223691816</v></cell><cell r="E603" t="str"><v>432871029163415 - EN</v></cell><cell r="F603" t="str"><v>DCM</v></cell><cell r="G603" t="str"><v>https://azure.microsoft.com/en-CA/free/search/</v></cell></row><row r="603"><cell r="K603" t="str"><v>July</v></cell><cell r="L603"><v>43288</v></cell><cell r="M603" t="str"><v>Tier 1</v></cell><cell r="N603" t="str"><v>North America</v></cell><cell r="O603" t="str"><v>Canada</v></cell><cell r="P603" t="str"><v>Trial</v></cell><cell r="Q603" t="str"><v>Social</v></cell><cell r="R603" t="str"><v>Azure</v></cell><cell r="S603" t="str"><v>Apps & Infra</v></cell><cell r="T603" t="str"><v>Developers & ITI's</v></cell><cell r="U603" t="str"><v>AZR</v></cell><cell r="V603" t="str"><v>Audience Targeting</v></cell><cell r="W603" t="str"><v>NotApplicable</v></cell><cell r="X603" t="str"><v>1x1</v></cell></row><row r="603"><cell r="AA603"><v>43287</v></cell><cell r="AB603" t="str"><v>CAN_gaPMG_AZR_AZR_Q1_19_Trial-Social</v></cell><cell r="AC603"><v>21337220</v></cell><cell r="AD603"><v>720192</v></cell><cell r="AE603" t="str"><v>Facebook</v></cell><cell r="AF603"><v>3654128</v></cell><cell r="AG603" t="str"><v>Facebook»AZR»1x1»SocialBan»NA»ALL»DYN»AUT»D»All»SS»NA»Free Acc Refresh - T5 - EN</v></cell><cell r="AH603"><v>223691816</v></cell><cell r="AI603" t="str"><v>AzurePlatform_FreeAcctAppsFACEBOOK12monthsChE_CAN_1200x628_SOC_PLAT_EN_Trial_Standard_NA_SU_T5_1.png</v></cell><cell r="AJ603"><v>102916341</v></cell></row><row r="604"><cell r="C604" t="str"><v>43287Facebook»AZR»1x1»SocialBan»NA»ALL»DYN»RT»D»All»SS»NA» Free Account Retargeting OSS - T1 - EN</v></cell><cell r="D604" t="str"><v>43287223691828</v></cell><cell r="E604" t="str"><v>432871029029561 - EN</v></cell><cell r="F604" t="str"><v>DCM</v></cell><cell r="G604" t="str"><v>https://azure.microsoft.com/en-ca/free/open-source/search/</v></cell></row><row r="604"><cell r="K604" t="str"><v>July</v></cell><cell r="L604"><v>43288</v></cell><cell r="M604" t="str"><v>Tier 1</v></cell><cell r="N604" t="str"><v>North America</v></cell><cell r="O604" t="str"><v>Canada</v></cell><cell r="P604" t="str"><v>Trial</v></cell><cell r="Q604" t="str"><v>Social</v></cell><cell r="R604" t="str"><v>Azure</v></cell><cell r="S604" t="str"><v>Apps & Infra</v></cell><cell r="T604" t="str"><v>Developers & ITI's</v></cell><cell r="U604" t="str"><v>AZR</v></cell><cell r="V604" t="str"><v>Retargeting</v></cell><cell r="W604" t="str"><v>NotApplicable</v></cell><cell r="X604" t="str"><v>1x1</v></cell></row><row r="604"><cell r="AA604"><v>43287</v></cell><cell r="AB604" t="str"><v>CAN_gaPMG_AZR_AZR_Q1_19_Trial-Social</v></cell><cell r="AC604"><v>21337220</v></cell><cell r="AD604"><v>720192</v></cell><cell r="AE604" t="str"><v>Facebook</v></cell><cell r="AF604"><v>3654128</v></cell><cell r="AG604" t="str"><v>Facebook»AZR»1x1»SocialBan»NA»ALL»DYN»RT»D»All»SS»NA» Free Account Retargeting OSS - T1 - EN</v></cell><cell r="AH604"><v>223691828</v></cell><cell r="AI604" t="str"><v>AzurePlatform_FreeAcctRetargetingOSSFB-Text-ChF_CAN_1200x628_SOC_Plat_EN_Free Account_Standard_NA_SU_T1_1</v></cell><cell r="AJ604"><v>102902956</v></cell></row><row r="605"><cell r="C605" t="str"><v>43287Facebook»AZR»1x1»SocialBan»NA»ALL»DYN»RT»D»All»SS»NA» Free Account Retargeting OSS - T2 - EN</v></cell><cell r="D605" t="str"><v>43287223691831</v></cell><cell r="E605" t="str"><v>432871029138002 - EN</v></cell><cell r="F605" t="str"><v>DCM</v></cell><cell r="G605" t="str"><v>https://azure.microsoft.com/en-ca/free/open-source/search/</v></cell></row><row r="605"><cell r="K605" t="str"><v>July</v></cell><cell r="L605"><v>43288</v></cell><cell r="M605" t="str"><v>Tier 1</v></cell><cell r="N605" t="str"><v>North America</v></cell><cell r="O605" t="str"><v>Canada</v></cell><cell r="P605" t="str"><v>Trial</v></cell><cell r="Q605" t="str"><v>Social</v></cell><cell r="R605" t="str"><v>Azure</v></cell><cell r="S605" t="str"><v>Apps & Infra</v></cell><cell r="T605" t="str"><v>Developers & ITI's</v></cell><cell r="U605" t="str"><v>AZR</v></cell><cell r="V605" t="str"><v>Retargeting</v></cell><cell r="W605" t="str"><v>NotApplicable</v></cell><cell r="X605" t="str"><v>1x1</v></cell></row><row r="605"><cell r="AA605"><v>43287</v></cell><cell r="AB605" t="str"><v>CAN_gaPMG_AZR_AZR_Q1_19_Trial-Social</v></cell><cell r="AC605"><v>21337220</v></cell><cell r="AD605"><v>720192</v></cell><cell r="AE605" t="str"><v>Facebook</v></cell><cell r="AF605"><v>3654128</v></cell><cell r="AG605" t="str"><v>Facebook»AZR»1x1»SocialBan»NA»ALL»DYN»RT»D»All»SS»NA» Free Account Retargeting OSS - T2 - EN</v></cell><cell r="AH605"><v>223691831</v></cell><cell r="AI605" t="str"><v>AzurePlatform_FreeAcctRetargetingOSSFB-Logos-ChG_CAN_1200x628_SOC_Plat_EN_Free Account_Standard_NA_SU_T2_1</v></cell><cell r="AJ605"><v>102913800</v></cell></row><row r="606"><cell r="C606" t="str"><v>43287Facebook»AZR»1x1»SocialBan»NA»ALL»DYN»RT»D»All»SS»NA» Free Account Retargeting OSS - T2 - FR</v></cell><cell r="D606" t="str"><v>43287223691789</v></cell><cell r="E606" t="str"><v>432871029006912 - FR</v></cell><cell r="F606" t="str"><v>DCM</v></cell><cell r="G606" t="str"><v>https://azure.microsoft.com/fr-ca/free/open-source/search/</v></cell></row><row r="606"><cell r="K606" t="str"><v>July</v></cell><cell r="L606"><v>43288</v></cell><cell r="M606" t="str"><v>Tier 1</v></cell><cell r="N606" t="str"><v>North America</v></cell><cell r="O606" t="str"><v>Canada</v></cell><cell r="P606" t="str"><v>Trial</v></cell><cell r="Q606" t="str"><v>Social</v></cell><cell r="R606" t="str"><v>Azure</v></cell><cell r="S606" t="str"><v>Apps & Infra</v></cell><cell r="T606" t="str"><v>Developers & ITI's</v></cell><cell r="U606" t="str"><v>AZR</v></cell><cell r="V606" t="str"><v>Retargeting</v></cell><cell r="W606" t="str"><v>NotApplicable</v></cell><cell r="X606" t="str"><v>1x1</v></cell></row><row r="606"><cell r="AA606"><v>43287</v></cell><cell r="AB606" t="str"><v>CAN_gaPMG_AZR_AZR_Q1_19_Trial-Social</v></cell><cell r="AC606"><v>21337220</v></cell><cell r="AD606"><v>720192</v></cell><cell r="AE606" t="str"><v>Facebook</v></cell><cell r="AF606"><v>3654128</v></cell><cell r="AG606" t="str"><v>Facebook»AZR»1x1»SocialBan»NA»ALL»DYN»RT»D»All»SS»NA» Free Account Retargeting OSS - T2 - FR</v></cell><cell r="AH606"><v>223691789</v></cell><cell r="AI606" t="str"><v>AzurePlatform_FreeAcctRetargetingOSSFB-Logos-ChG_CAN_1200x628_SOC_Plat_FR_Free Account_Standard_NA_SU_T2_1</v></cell><cell r="AJ606"><v>102900691</v></cell></row><row r="607"><cell r="C607" t="str"><v>43287Facebook»AZR»1x1»SocialBan»NA»ALL»DYN»RT»D»All»SS»NA»Free Account Retargeting Generic - T2 - EN</v></cell><cell r="D607" t="str"><v>43287223691834</v></cell><cell r="E607" t="str"><v>432871029029532 - EN</v></cell><cell r="F607" t="str"><v>DCM</v></cell><cell r="G607" t="str"><v>https://azure.microsoft.com/en-CA/free/search/</v></cell></row><row r="607"><cell r="K607" t="str"><v>July</v></cell><cell r="L607"><v>43288</v></cell><cell r="M607" t="str"><v>Tier 1</v></cell><cell r="N607" t="str"><v>North America</v></cell><cell r="O607" t="str"><v>Canada</v></cell><cell r="P607" t="str"><v>Trial</v></cell><cell r="Q607" t="str"><v>Social</v></cell><cell r="R607" t="str"><v>Azure</v></cell><cell r="S607" t="str"><v>Apps & Infra</v></cell><cell r="T607" t="str"><v>Developers & ITI's</v></cell><cell r="U607" t="str"><v>AZR</v></cell><cell r="V607" t="str"><v>Retargeting</v></cell><cell r="W607" t="str"><v>NotApplicable</v></cell><cell r="X607" t="str"><v>1x1</v></cell></row><row r="607"><cell r="AA607"><v>43287</v></cell><cell r="AB607" t="str"><v>CAN_gaPMG_AZR_AZR_Q1_19_Trial-Social</v></cell><cell r="AC607"><v>21337220</v></cell><cell r="AD607"><v>720192</v></cell><cell r="AE607" t="str"><v>Facebook</v></cell><cell r="AF607"><v>3654128</v></cell><cell r="AG607" t="str"><v>Facebook»AZR»1x1»SocialBan»NA»ALL»DYN»RT»D»All»SS»NA»Free Account Retargeting Generic - T2 - EN</v></cell><cell r="AH607"><v>223691834</v></cell><cell r="AI607" t="str"><v>AzurePlatform_FreeAcctRetargetingFB-GlobalAlt-ChB_CAN_1200x628_SOC_Plat_EN_Free Account_Standard_NA_SU_T2_1</v></cell><cell r="AJ607"><v>102902953</v></cell></row><row r="608"><cell r="C608" t="str"><v>43287Facebook»AZR»1x1»SocialBan»NA»ALL»DYN»RT»D»All»SS»NA»Free Account Retargeting Generic - T2 - FR</v></cell><cell r="D608" t="str"><v>43287223691792</v></cell><cell r="E608" t="str"><v>432871029018942 - FR</v></cell><cell r="F608" t="str"><v>DCM</v></cell><cell r="G608" t="str"><v>https://azure.microsoft.com/fr-ca/free/search/</v></cell></row><row r="608"><cell r="K608" t="str"><v>July</v></cell><cell r="L608"><v>43288</v></cell><cell r="M608" t="str"><v>Tier 1</v></cell><cell r="N608" t="str"><v>North America</v></cell><cell r="O608" t="str"><v>Canada</v></cell><cell r="P608" t="str"><v>Trial</v></cell><cell r="Q608" t="str"><v>Social</v></cell><cell r="R608" t="str"><v>Azure</v></cell><cell r="S608" t="str"><v>Apps & Infra</v></cell><cell r="T608" t="str"><v>Developers & ITI's</v></cell><cell r="U608" t="str"><v>AZR</v></cell><cell r="V608" t="str"><v>Retargeting</v></cell><cell r="W608" t="str"><v>NotApplicable</v></cell><cell r="X608" t="str"><v>1x1</v></cell></row><row r="608"><cell r="AA608"><v>43287</v></cell><cell r="AB608" t="str"><v>CAN_gaPMG_AZR_AZR_Q1_19_Trial-Social</v></cell><cell r="AC608"><v>21337220</v></cell><cell r="AD608"><v>720192</v></cell><cell r="AE608" t="str"><v>Facebook</v></cell><cell r="AF608"><v>3654128</v></cell><cell r="AG608" t="str"><v>Facebook»AZR»1x1»SocialBan»NA»ALL»DYN»RT»D»All»SS»NA»Free Account Retargeting Generic - T2 - FR</v></cell><cell r="AH608"><v>223691792</v></cell><cell r="AI608" t="str"><v>AzurePlatform_FreeAcctRetargetingFB-GlobalAlt-ChB_CAN_1200x628_SOC_Plat_FR_Free Account_Standard_NA_SU_T2_1</v></cell><cell r="AJ608"><v>102901894</v></cell></row><row r="609"><cell r="C609" t="str"><v>43287Facebook»AZR»1x1»SocialBan»NA»ALL»DYN»RT»D»All»SS»NA»Free Account Retargeting Generic - T3 - EN</v></cell><cell r="D609" t="str"><v>43287223691819</v></cell><cell r="E609" t="str"><v>432871029006823 - EN</v></cell><cell r="F609" t="str"><v>DCM</v></cell><cell r="G609" t="str"><v>https://azure.microsoft.com/en-CA/free/search/</v></cell></row><row r="609"><cell r="K609" t="str"><v>July</v></cell><cell r="L609"><v>43288</v></cell><cell r="M609" t="str"><v>Tier 1</v></cell><cell r="N609" t="str"><v>North America</v></cell><cell r="O609" t="str"><v>Canada</v></cell><cell r="P609" t="str"><v>Trial</v></cell><cell r="Q609" t="str"><v>Social</v></cell><cell r="R609" t="str"><v>Azure</v></cell><cell r="S609" t="str"><v>Apps & Infra</v></cell><cell r="T609" t="str"><v>Developers & ITI's</v></cell><cell r="U609" t="str"><v>AZR</v></cell><cell r="V609" t="str"><v>Retargeting</v></cell><cell r="W609" t="str"><v>NotApplicable</v></cell><cell r="X609" t="str"><v>1x1</v></cell></row><row r="609"><cell r="AA609"><v>43287</v></cell><cell r="AB609" t="str"><v>CAN_gaPMG_AZR_AZR_Q1_19_Trial-Social</v></cell><cell r="AC609"><v>21337220</v></cell><cell r="AD609"><v>720192</v></cell><cell r="AE609" t="str"><v>Facebook</v></cell><cell r="AF609"><v>3654128</v></cell><cell r="AG609" t="str"><v>Facebook»AZR»1x1»SocialBan»NA»ALL»DYN»RT»D»All»SS»NA»Free Account Retargeting Generic - T3 - EN</v></cell><cell r="AH609"><v>223691819</v></cell><cell r="AI609" t="str"><v>AzurePlatform_FreeAcctRetargetingFB-Animated-ChC_CAN_1200x628_SOC_Plat_EN_Free Account_Standard_ANI_SU_T3_1</v></cell><cell r="AJ609"><v>102900682</v></cell></row><row r="610"><cell r="C610" t="str"><v>43287Facebook»AZR»1x1»SocialBan»NA»ALL»DYN»RT»D»All»SS»NA»Free Account Retargeting VM - T1 - EN</v></cell><cell r="D610" t="str"><v>43287223691825</v></cell><cell r="E610" t="str"><v>432871029163381 - EN</v></cell><cell r="F610" t="str"><v>DCM</v></cell><cell r="G610" t="str"><v>https://azure.microsoft.com/en-ca/free/virtual-machines/search/</v></cell></row><row r="610"><cell r="K610" t="str"><v>July</v></cell><cell r="L610"><v>43288</v></cell><cell r="M610" t="str"><v>Tier 1</v></cell><cell r="N610" t="str"><v>North America</v></cell><cell r="O610" t="str"><v>Canada</v></cell><cell r="P610" t="str"><v>Trial</v></cell><cell r="Q610" t="str"><v>Social</v></cell><cell r="R610" t="str"><v>Azure</v></cell><cell r="S610" t="str"><v>Apps & Infra</v></cell><cell r="T610" t="str"><v>Developers & ITI's</v></cell><cell r="U610" t="str"><v>AZR</v></cell><cell r="V610" t="str"><v>Retargeting</v></cell><cell r="W610" t="str"><v>NotApplicable</v></cell><cell r="X610" t="str"><v>1x1</v></cell></row><row r="610"><cell r="AA610"><v>43287</v></cell><cell r="AB610" t="str"><v>CAN_gaPMG_AZR_AZR_Q1_19_Trial-Social</v></cell><cell r="AC610"><v>21337220</v></cell><cell r="AD610"><v>720192</v></cell><cell r="AE610" t="str"><v>Facebook</v></cell><cell r="AF610"><v>3654128</v></cell><cell r="AG610" t="str"><v>Facebook»AZR»1x1»SocialBan»NA»ALL»DYN»RT»D»All»SS»NA»Free Account Retargeting VM - T1 - EN</v></cell><cell r="AH610"><v>223691825</v></cell><cell r="AI610" t="str"><v>AzurePlatform_FreeAcctRetargetingVMFB-750Hrs-ChD_CAN_1200x628_SOC_Plat_EN_Free Account_Standard_NA_SU_T1_1</v></cell><cell r="AJ610"><v>102916338</v></cell></row><row r="611"><cell r="C611" t="str"><v>43287Facebook»AZR»1x1»SocialBan»NA»ALL»DYN»RT»D»All»SS»NA»Free Account Retargeting VM - T2 - EN</v></cell><cell r="D611" t="str"><v>43287223691822</v></cell><cell r="E611" t="str"><v>432871030587082 - EN</v></cell><cell r="F611" t="str"><v>DCM</v></cell><cell r="G611" t="str"><v>https://azure.microsoft.com/en-ca/free/virtual-machines/search/</v></cell></row><row r="611"><cell r="K611" t="str"><v>July</v></cell><cell r="L611"><v>43288</v></cell><cell r="M611" t="str"><v>Tier 1</v></cell><cell r="N611" t="str"><v>North America</v></cell><cell r="O611" t="str"><v>Canada</v></cell><cell r="P611" t="str"><v>Trial</v></cell><cell r="Q611" t="str"><v>Social</v></cell><cell r="R611" t="str"><v>Azure</v></cell><cell r="S611" t="str"><v>Apps & Infra</v></cell><cell r="T611" t="str"><v>Developers & ITI's</v></cell><cell r="U611" t="str"><v>AZR</v></cell><cell r="V611" t="str"><v>Retargeting</v></cell><cell r="W611" t="str"><v>NotApplicable</v></cell><cell r="X611" t="str"><v>1x1</v></cell></row><row r="611"><cell r="AA611"><v>43287</v></cell><cell r="AB611" t="str"><v>CAN_gaPMG_AZR_AZR_Q1_19_Trial-Social</v></cell><cell r="AC611"><v>21337220</v></cell><cell r="AD611"><v>720192</v></cell><cell r="AE611" t="str"><v>Facebook</v></cell><cell r="AF611"><v>3654128</v></cell><cell r="AG611" t="str"><v>Facebook»AZR»1x1»SocialBan»NA»ALL»DYN»RT»D»All»SS»NA»Free Account Retargeting VM - T2 - EN</v></cell><cell r="AH611"><v>223691822</v></cell><cell r="AI611" t="str"><v>AzurePlatform_FreeAcctRetargetingVMFB-OnDemand-ChE_CAN_1200x628_SOC_Plat_EN_Free Account_Standard_NA_SU_T2_1</v></cell><cell r="AJ611"><v>103058708</v></cell></row><row r="612"><cell r="C612" t="str"><v>43287Facebook»AZR»1x1»SocialBan»NA»ALL»DYN»RT»D»All»SS»NA»Free Account Retargeting VM - T2 - FR</v></cell><cell r="D612" t="str"><v>43287223691780</v></cell><cell r="E612" t="str"><v>432871030587262 - FR</v></cell><cell r="F612" t="str"><v>DCM</v></cell><cell r="G612" t="str"><v>https://azure.microsoft.com/fr-ca/free/virtual-machines/search/</v></cell></row><row r="612"><cell r="K612" t="str"><v>July</v></cell><cell r="L612"><v>43288</v></cell><cell r="M612" t="str"><v>Tier 1</v></cell><cell r="N612" t="str"><v>North America</v></cell><cell r="O612" t="str"><v>Canada</v></cell><cell r="P612" t="str"><v>Trial</v></cell><cell r="Q612" t="str"><v>Social</v></cell><cell r="R612" t="str"><v>Azure</v></cell><cell r="S612" t="str"><v>Apps & Infra</v></cell><cell r="T612" t="str"><v>Developers & ITI's</v></cell><cell r="U612" t="str"><v>AZR</v></cell><cell r="V612" t="str"><v>Retargeting</v></cell><cell r="W612" t="str"><v>NotApplicable</v></cell><cell r="X612" t="str"><v>1x1</v></cell></row><row r="612"><cell r="AA612"><v>43287</v></cell><cell r="AB612" t="str"><v>CAN_gaPMG_AZR_AZR_Q1_19_Trial-Social</v></cell><cell r="AC612"><v>21337220</v></cell><cell r="AD612"><v>720192</v></cell><cell r="AE612" t="str"><v>Facebook</v></cell><cell r="AF612"><v>3654128</v></cell><cell r="AG612" t="str"><v>Facebook»AZR»1x1»SocialBan»NA»ALL»DYN»RT»D»All»SS»NA»Free Account Retargeting VM - T2 - FR</v></cell><cell r="AH612"><v>223691780</v></cell><cell r="AI612" t="str"><v>AzurePlatform_FreeAcctRetargetingVMFB-OnDemand-ChE_CAN_1200x628_SOC_Plat_FR_Free Account_Standard_NA_SU_T2_1</v></cell><cell r="AJ612"><v>103058726</v></cell></row><row r="613"><cell r="C613" t="str"><v>43287Facebook»DEV-ITP-AZR-FB|CanvasAds|Interesttargeting»1x1»TextLink»CAN»DT»CPM»AUT»W»NA»SS»NA»39684020-11000</v></cell><cell r="D613" t="str"><v>43287224009494</v></cell><cell r="E613" t="str"><v>43287103236186-11000</v></cell><cell r="F613" t="str"><v>DCM</v></cell><cell r="G613" t="str"><v>https://signup.azure.com/signup?offer=ms-azr-0044p&appId=102&ref=paidmedia-social-fb&redirectURL=https%3a%2f%2fazure.microsoft.com%2fde-de%2fget-started%2fwelcome-to-azure%2f&l=de-de&correlationId=ead86c34-1f10-49dd-a72b-6918462a2cbf</v></cell></row><row r="613"><cell r="K613" t="str"><v>July</v></cell><cell r="L613"><v>43288</v></cell><cell r="M613" t="str"><v>Tier 1</v></cell><cell r="N613" t="str"><v>EMEA</v></cell><cell r="O613" t="str"><v>Germany</v></cell><cell r="P613" t="str"><v>Trial</v></cell><cell r="Q613" t="str"><v>Social</v></cell><cell r="R613" t="str"><v>Azure</v></cell><cell r="S613" t="str"><v>Apps & Infra</v></cell><cell r="T613" t="str"><v>Developers & ITI's</v></cell><cell r="U613" t="str"><v>DEV-ITP-AZR-FB|CanvasAds|Interesttargeting</v></cell><cell r="V613" t="str"><v>Audience Targeting</v></cell><cell r="W613" t="str"><v>Canvas Ad</v></cell><cell r="X613" t="str"><v>1x1</v></cell></row><row r="613"><cell r="AA613"><v>43287</v></cell><cell r="AB613" t="str"><v>DEU_gaPMG_AZR_AZR_Q1_19_Trial-Social- 39684</v></cell><cell r="AC613"><v>21359477</v></cell><cell r="AD613"><v>720194</v></cell><cell r="AE613" t="str"><v>Facebook</v></cell><cell r="AF613"><v>3654128</v></cell><cell r="AG613" t="str"><v>Facebook»DEV-ITP-AZR-FB|CanvasAds|Interesttargeting»1x1»TextLink»CAN»DT»CPM»AUT»W»NA»SS»NA»39684020-11000</v></cell><cell r="AH613"><v>224009494</v></cell><cell r="AI613" t="str"><v>AzurePlatform_FBCTCBasicMotion-StartFreeCT_DEU_10s_ISV_PLAT_DE_Trial_Standard_STAN_TN_T1_1</v></cell><cell r="AJ613"><v>103236186</v></cell></row><row r="614"><cell r="C614" t="str"><v>43287Facebook»DEV-ITP-AZR-FB|CanvasAds|Interesttargeting»1x1»TextLink»CAN»DT»CPM»AUT»W»NA»SS»NA»39684020-11000</v></cell><cell r="D614" t="str"><v>43287224009494</v></cell><cell r="E614" t="str"><v>43287103237290-11000</v></cell><cell r="F614" t="str"><v>DCM</v></cell><cell r="G614" t="str"><v>https://signup.azure.com/signup?offer=ms-azr-0044p&appId=102&ref=paidmedia-social-fb&redirectURL=https%3a%2f%2fazure.microsoft.com%2fde-de%2fget-started%2fwelcome-to-azure%2f&l=de-de&correlationId=ead86c34-1f10-49dd-a72b-6918462a2cbf</v></cell></row><row r="614"><cell r="K614" t="str"><v>July</v></cell><cell r="L614"><v>43288</v></cell><cell r="M614" t="str"><v>Tier 1</v></cell><cell r="N614" t="str"><v>EMEA</v></cell><cell r="O614" t="str"><v>Germany</v></cell><cell r="P614" t="str"><v>Trial</v></cell><cell r="Q614" t="str"><v>Social</v></cell><cell r="R614" t="str"><v>Azure</v></cell><cell r="S614" t="str"><v>Apps & Infra</v></cell><cell r="T614" t="str"><v>Developers & ITI's</v></cell><cell r="U614" t="str"><v>DEV-ITP-AZR-FB|CanvasAds|Interesttargeting</v></cell><cell r="V614" t="str"><v>Audience Targeting</v></cell><cell r="W614" t="str"><v>Canvas Ad</v></cell><cell r="X614" t="str"><v>1x1</v></cell></row><row r="614"><cell r="AA614"><v>43287</v></cell><cell r="AB614" t="str"><v>DEU_gaPMG_AZR_AZR_Q1_19_Trial-Social- 39684</v></cell><cell r="AC614"><v>21359477</v></cell><cell r="AD614"><v>720194</v></cell><cell r="AE614" t="str"><v>Facebook</v></cell><cell r="AF614"><v>3654128</v></cell><cell r="AG614" t="str"><v>Facebook»DEV-ITP-AZR-FB|CanvasAds|Interesttargeting»1x1»TextLink»CAN»DT»CPM»AUT»W»NA»SS»NA»39684020-11000</v></cell><cell r="AH614"><v>224009494</v></cell><cell r="AI614" t="str"><v>AzurePlatform_FBCTCBenefit2inMotion-StartFreeCT_DEU_14s_ISV_PLAT_DE_Trial_Standard_STAN_TN_T4_1</v></cell><cell r="AJ614"><v>103237290</v></cell></row><row r="615"><cell r="C615" t="str"><v>43287Facebook»DEV-ITP-AZR-FB|CanvasAds|Interesttargeting»1x1»TextLink»CAN»DT»CPM»AUT»W»NA»SS»NA»39684020-11000</v></cell><cell r="D615" t="str"><v>43287224009494</v></cell><cell r="E615" t="str"><v>43287103237293-11000</v></cell><cell r="F615" t="str"><v>DCM</v></cell><cell r="G615" t="str"><v>https://signup.azure.com/signup?offer=ms-azr-0044p&appId=102&ref=paidmedia-social-fb&redirectURL=https%3a%2f%2fazure.microsoft.com%2fde-de%2fget-started%2fwelcome-to-azure%2f&l=de-de&correlationId=ead86c34-1f10-49dd-a72b-6918462a2cbf</v></cell></row><row r="615"><cell r="K615" t="str"><v>July</v></cell><cell r="L615"><v>43288</v></cell><cell r="M615" t="str"><v>Tier 1</v></cell><cell r="N615" t="str"><v>EMEA</v></cell><cell r="O615" t="str"><v>Germany</v></cell><cell r="P615" t="str"><v>Trial</v></cell><cell r="Q615" t="str"><v>Social</v></cell><cell r="R615" t="str"><v>Azure</v></cell><cell r="S615" t="str"><v>Apps & Infra</v></cell><cell r="T615" t="str"><v>Developers & ITI's</v></cell><cell r="U615" t="str"><v>DEV-ITP-AZR-FB|CanvasAds|Interesttargeting</v></cell><cell r="V615" t="str"><v>Audience Targeting</v></cell><cell r="W615" t="str"><v>Canvas Ad</v></cell><cell r="X615" t="str"><v>1x1</v></cell></row><row r="615"><cell r="AA615"><v>43287</v></cell><cell r="AB615" t="str"><v>DEU_gaPMG_AZR_AZR_Q1_19_Trial-Social- 39684</v></cell><cell r="AC615"><v>21359477</v></cell><cell r="AD615"><v>720194</v></cell><cell r="AE615" t="str"><v>Facebook</v></cell><cell r="AF615"><v>3654128</v></cell><cell r="AG615" t="str"><v>Facebook»DEV-ITP-AZR-FB|CanvasAds|Interesttargeting»1x1»TextLink»CAN»DT»CPM»AUT»W»NA»SS»NA»39684020-11000</v></cell><cell r="AH615"><v>224009494</v></cell><cell r="AI615" t="str"><v>AzurePlatform_FBCTCBrandinMotion-StartFreeCT_DEU_12s_ISV_PLAT_DE_Trial_Standard_STAN_TN_T2_1</v></cell><cell r="AJ615"><v>103237293</v></cell></row><row r="616"><cell r="C616" t="str"><v>43287Facebook»DEV-ITP-AZR-FB|LinkAd|CustomerAudienceRetargeting»1x1»TextLink»LIA»DT»CPM»RT»W»NA»SS»NA»39684019-11000</v></cell><cell r="D616" t="str"><v>43287224010415</v></cell><cell r="E616" t="str"><v>43287103048548-11000</v></cell><cell r="F616" t="str"><v>DCM</v></cell><cell r="G616" t="str"><v>https://azure.microsoft.com/de-de/free/search/</v></cell></row><row r="616"><cell r="K616" t="str"><v>July</v></cell><cell r="L616"><v>43288</v></cell><cell r="M616" t="str"><v>Tier 1</v></cell><cell r="N616" t="str"><v>EMEA</v></cell><cell r="O616" t="str"><v>Germany</v></cell><cell r="P616" t="str"><v>Trial</v></cell><cell r="Q616" t="str"><v>Social</v></cell><cell r="R616" t="str"><v>Azure</v></cell><cell r="S616" t="str"><v>Apps & Infra</v></cell><cell r="T616" t="str"><v>Developers & ITI's</v></cell><cell r="U616" t="str"><v>DEV-ITP-AZR-FB|LinkAd|CustomerAudienceRetargeting</v></cell><cell r="V616" t="str"><v>Retargeting</v></cell><cell r="W616" t="str"><v>Link Ad</v></cell><cell r="X616" t="str"><v>1x1</v></cell></row><row r="616"><cell r="AA616"><v>43287</v></cell><cell r="AB616" t="str"><v>DEU_gaPMG_AZR_AZR_Q1_19_Trial-Social- 39684</v></cell><cell r="AC616"><v>21359477</v></cell><cell r="AD616"><v>720194</v></cell><cell r="AE616" t="str"><v>Facebook</v></cell><cell r="AF616"><v>3654128</v></cell><cell r="AG616" t="str"><v>Facebook»DEV-ITP-AZR-FB|LinkAd|CustomerAudienceRetargeting»1x1»TextLink»LIA»DT»CPM»RT»W»NA»SS»NA»39684019-11000</v></cell><cell r="AH616"><v>224010415</v></cell><cell r="AI616" t="str"><v>AzurePlatform_FreeAcctRetargetingFB-Animated-ChC_DEU_1200x628_SOC_Plat_DE_Free Account_Standard_ANI_SNU_T3_1</v></cell><cell r="AJ616"><v>103048548</v></cell></row><row r="617"><cell r="C617" t="str"><v>43287Facebook»DEV-ITP-AZR-FB|LinkAd|CustomerAudienceRetargeting»1x1»TextLink»LIA»DT»CPM»RT»W»NA»SS»NA»39684019-11000</v></cell><cell r="D617" t="str"><v>43287224010415</v></cell><cell r="E617" t="str"><v>43287103043329-11000</v></cell><cell r="F617" t="str"><v>DCM</v></cell><cell r="G617" t="str"><v>https://azure.microsoft.com/de-de/free/open-source/search/</v></cell></row><row r="617"><cell r="K617" t="str"><v>July</v></cell><cell r="L617"><v>43288</v></cell><cell r="M617" t="str"><v>Tier 1</v></cell><cell r="N617" t="str"><v>EMEA</v></cell><cell r="O617" t="str"><v>Germany</v></cell><cell r="P617" t="str"><v>Trial</v></cell><cell r="Q617" t="str"><v>Social</v></cell><cell r="R617" t="str"><v>Azure</v></cell><cell r="S617" t="str"><v>Apps & Infra</v></cell><cell r="T617" t="str"><v>Developers & ITI's</v></cell><cell r="U617" t="str"><v>DEV-ITP-AZR-FB|LinkAd|CustomerAudienceRetargeting</v></cell><cell r="V617" t="str"><v>Retargeting</v></cell><cell r="W617" t="str"><v>Link Ad</v></cell><cell r="X617" t="str"><v>1x1</v></cell></row><row r="617"><cell r="AA617"><v>43287</v></cell><cell r="AB617" t="str"><v>DEU_gaPMG_AZR_AZR_Q1_19_Trial-Social- 39684</v></cell><cell r="AC617"><v>21359477</v></cell><cell r="AD617"><v>720194</v></cell><cell r="AE617" t="str"><v>Facebook</v></cell><cell r="AF617"><v>3654128</v></cell><cell r="AG617" t="str"><v>Facebook»DEV-ITP-AZR-FB|LinkAd|CustomerAudienceRetargeting»1x1»TextLink»LIA»DT»CPM»RT»W»NA»SS»NA»39684019-11000</v></cell><cell r="AH617"><v>224010415</v></cell><cell r="AI617" t="str"><v>AzurePlatform_FreeAcctRetargetingOSSFB-Logos-ChG_DEU_1200x628_SOC_Plat_DE_Free Account_Standard_NA_SNU_T2_1</v></cell><cell r="AJ617"><v>103043329</v></cell></row><row r="618"><cell r="C618" t="str"><v>43287Facebook»DEV-ITP-AZR-FB|LinkAd|CustomerAudienceRetargeting»1x1»TextLink»LIA»DT»CPM»RT»W»NA»SS»NA»39684019-11000</v></cell><cell r="D618" t="str"><v>43287224010415</v></cell><cell r="E618" t="str"><v>43287103043341-11000</v></cell><cell r="F618" t="str"><v>DCM</v></cell><cell r="G618" t="str"><v>https://azure.microsoft.com/de-de/free/virtual-machines/search/</v></cell></row><row r="618"><cell r="K618" t="str"><v>July</v></cell><cell r="L618"><v>43288</v></cell><cell r="M618" t="str"><v>Tier 1</v></cell><cell r="N618" t="str"><v>EMEA</v></cell><cell r="O618" t="str"><v>Germany</v></cell><cell r="P618" t="str"><v>Trial</v></cell><cell r="Q618" t="str"><v>Social</v></cell><cell r="R618" t="str"><v>Azure</v></cell><cell r="S618" t="str"><v>Apps & Infra</v></cell><cell r="T618" t="str"><v>Developers & ITI's</v></cell><cell r="U618" t="str"><v>DEV-ITP-AZR-FB|LinkAd|CustomerAudienceRetargeting</v></cell><cell r="V618" t="str"><v>Retargeting</v></cell><cell r="W618" t="str"><v>Link Ad</v></cell><cell r="X618" t="str"><v>1x1</v></cell></row><row r="618"><cell r="AA618"><v>43287</v></cell><cell r="AB618" t="str"><v>DEU_gaPMG_AZR_AZR_Q1_19_Trial-Social- 39684</v></cell><cell r="AC618"><v>21359477</v></cell><cell r="AD618"><v>720194</v></cell><cell r="AE618" t="str"><v>Facebook</v></cell><cell r="AF618"><v>3654128</v></cell><cell r="AG618" t="str"><v>Facebook»DEV-ITP-AZR-FB|LinkAd|CustomerAudienceRetargeting»1x1»TextLink»LIA»DT»CPM»RT»W»NA»SS»NA»39684019-11000</v></cell><cell r="AH618"><v>224010415</v></cell><cell r="AI618" t="str"><v>AzurePlatform_FreeAcctRetargetingVMFB-750Hrs-ChD_DEU_1200x628_SOC_Plat_DE_Free Account_Standard_NA_SNU_T1_1</v></cell><cell r="AJ618"><v>103043341</v></cell></row><row r="619"><cell r="C619" t="str"><v>43287Facebook»Developers/ITPros-Azure Direct-Sponsored Post-Canvas-FBCTCcanvaspage-BuyNowCTA-Img3_FBCTCBasicMotion_FRA_10sec»1x1»Canvas»SOC»ALL»CPC»BT»D»UNK»SS»NA»Trials</v></cell><cell r="D619" t="str"><v>43287224369893</v></cell><cell r="E619" t="str"><v>43287103256571Trials</v></cell><cell r="F619" t="str"><v>DCM</v></cell><cell r="G619" t="str"><v>https://azure.microsoft.com/fr-fr/pricing/purchase-options/</v></cell></row><row r="619"><cell r="K619" t="str"><v>July</v></cell><cell r="L619"><v>43288</v></cell><cell r="M619" t="str"><v>Tier 1</v></cell><cell r="N619" t="str"><v>EMEA</v></cell><cell r="O619" t="str"><v>France</v></cell><cell r="P619" t="str"><v>Trial</v></cell><cell r="Q619" t="str"><v>Social</v></cell><cell r="R619" t="str"><v>Azure</v></cell><cell r="S619" t="str"><v>Apps & Infra</v></cell><cell r="T619" t="str"><v>Developers & ITI's</v></cell><cell r="U619" t="str"><v>Developers/ITPros-Azure Direct-Sponsored Post-Canvas-FBCTCcanvaspage-BuyNowCTA-Img3_FBCTCBasicMotion_FRA_10sec</v></cell><cell r="V619" t="str"><v>Behavioral Targeting</v></cell><cell r="W619" t="str"><v>Social</v></cell><cell r="X619" t="str"><v>1x1</v></cell></row><row r="619"><cell r="AA619"><v>43287</v></cell><cell r="AB619" t="str"><v>FRA_gaPMG_AZR_AZR_Q1_19_AzureDirect-Trial-Social</v></cell><cell r="AC619"><v>21356941</v></cell><cell r="AD619"><v>720193</v></cell><cell r="AE619" t="str"><v>Facebook</v></cell><cell r="AF619"><v>3654128</v></cell><cell r="AG619" t="str"><v>Facebook»Developers/ITPros-Azure Direct-Sponsored Post-Canvas-FBCTCcanvaspage-BuyNowCTA-Img3_FBCTCBasicMotion_FRA_10sec»1x1»Canvas»SOC»ALL»CPC»BT»D»UNK»SS»NA»Trials</v></cell><cell r="AH619"><v>224369893</v></cell><cell r="AI619" t="str"><v>AZR_FBCTCcanvaspage-BuyNowCTA-Img3_FRA_1080x162_SOC_AZRDirect_French_NA_Facebook_SBAN_BN_T3_1</v></cell><cell r="AJ619"><v>103256571</v></cell></row><row r="620"><cell r="C620" t="str"><v>43287Facebook»Developers/ITPros-Azure Direct-Sponsored Post-Canvas-FBCTCcanvaspage-BuyNowCTA-Img3_FBCTCBrandinMotion_FRA_14sec»1x1»Canvas»SOC»ALL»CPC»BT»D»UNK»SS»NA»Trials</v></cell><cell r="D620" t="str"><v>43287224416918</v></cell><cell r="E620" t="str"><v>43287103256571Trials</v></cell><cell r="F620" t="str"><v>DCM</v></cell><cell r="G620" t="str"><v>https://azure.microsoft.com/fr-fr/pricing/purchase-options/</v></cell></row><row r="620"><cell r="K620" t="str"><v>July</v></cell><cell r="L620"><v>43288</v></cell><cell r="M620" t="str"><v>Tier 1</v></cell><cell r="N620" t="str"><v>EMEA</v></cell><cell r="O620" t="str"><v>France</v></cell><cell r="P620" t="str"><v>Trial</v></cell><cell r="Q620" t="str"><v>Social</v></cell><cell r="R620" t="str"><v>Azure</v></cell><cell r="S620" t="str"><v>Apps & Infra</v></cell><cell r="T620" t="str"><v>Developers & ITI's</v></cell><cell r="U620" t="str"><v>Developers/ITPros-Azure Direct-Sponsored Post-Canvas-FBCTCcanvaspage-BuyNowCTA-Img3_FBCTCBrandinMotion_FRA_14sec</v></cell><cell r="V620" t="str"><v>Behavioral Targeting</v></cell><cell r="W620" t="str"><v>Social</v></cell><cell r="X620" t="str"><v>1x1</v></cell></row><row r="620"><cell r="AA620"><v>43287</v></cell><cell r="AB620" t="str"><v>FRA_gaPMG_AZR_AZR_Q1_19_AzureDirect-Trial-Social</v></cell><cell r="AC620"><v>21356941</v></cell><cell r="AD620"><v>720193</v></cell><cell r="AE620" t="str"><v>Facebook</v></cell><cell r="AF620"><v>3654128</v></cell><cell r="AG620" t="str"><v>Facebook»Developers/ITPros-Azure Direct-Sponsored Post-Canvas-FBCTCcanvaspage-BuyNowCTA-Img3_FBCTCBrandinMotion_FRA_14sec»1x1»Canvas»SOC»ALL»CPC»BT»D»UNK»SS»NA»Trials</v></cell><cell r="AH620"><v>224416918</v></cell><cell r="AI620" t="str"><v>AZR_FBCTCcanvaspage-BuyNowCTA-Img3_FRA_1080x162_SOC_AZRDirect_French_NA_Facebook_SBAN_BN_T3_1</v></cell><cell r="AJ620"><v>103256571</v></cell></row><row r="621"><cell r="C621" t="str"><v>43287Facebook»Developers/ITPros-Azure Direct-Sponsored Post-Canvas-FBCTCcanvaspage-StartFreeCTA-Img2_FBCTCBasicMotion_FRA_10sec»1x1»Canvas»SOC»ALL»CPC»BT»D»UNK»SS»NA»Trials</v></cell><cell r="D621" t="str"><v>43287224560884</v></cell><cell r="E621" t="str"><v>43287103259958Trials</v></cell><cell r="F621" t="str"><v>DCM</v></cell><cell r="G621" t="str"><v>https://signup.azure.com/signup?offer=ms-azr-0044p&appId=102&ref=paidmedia-social-fb&redirectURL=https%3a%2f%2fazure.microsoft.com%2ffr-fr%2fget-started%2fwelcome-to-azure%2f&l=fr-fr&correlationId=ead86c34-1f10-49dd-a72b-6918462a2cbf</v></cell></row><row r="621"><cell r="K621" t="str"><v>July</v></cell><cell r="L621"><v>43288</v></cell><cell r="M621" t="str"><v>Tier 1</v></cell><cell r="N621" t="str"><v>EMEA</v></cell><cell r="O621" t="str"><v>France</v></cell><cell r="P621" t="str"><v>Trial</v></cell><cell r="Q621" t="str"><v>Social</v></cell><cell r="R621" t="str"><v>Azure</v></cell><cell r="S621" t="str"><v>Apps & Infra</v></cell><cell r="T621" t="str"><v>Developers & ITI's</v></cell><cell r="U621" t="str"><v>Developers/ITPros-Azure Direct-Sponsored Post-Canvas-FBCTCcanvaspage-StartFreeCTA-Img2_FBCTCBasicMotion_FRA_10sec</v></cell><cell r="V621" t="str"><v>Behavioral Targeting</v></cell><cell r="W621" t="str"><v>Social</v></cell><cell r="X621" t="str"><v>1x1</v></cell></row><row r="621"><cell r="AA621"><v>43287</v></cell><cell r="AB621" t="str"><v>FRA_gaPMG_AZR_AZR_Q1_19_AzureDirect-Trial-Social</v></cell><cell r="AC621"><v>21356941</v></cell><cell r="AD621"><v>720193</v></cell><cell r="AE621" t="str"><v>Facebook</v></cell><cell r="AF621"><v>3654128</v></cell><cell r="AG621" t="str"><v>Facebook»Developers/ITPros-Azure Direct-Sponsored Post-Canvas-FBCTCcanvaspage-StartFreeCTA-Img2_FBCTCBasicMotion_FRA_10sec»1x1»Canvas»SOC»ALL»CPC»BT»D»UNK»SS»NA»Trials</v></cell><cell r="AH621"><v>224560884</v></cell><cell r="AI621" t="str"><v>AZR_FBCTCcanvaspage-StartFreeCTA-Img2_FRA_1080x143_SOC_AZRDirect_French_NA_Facebook_SBAN_BN_T2_1</v></cell><cell r="AJ621"><v>103259958</v></cell></row><row r="622"><cell r="C622" t="str"><v>43287Facebook»Developers/ITPros-Azure Direct-Sponsored Post-Canvas-FBCTCcanvaspage-StartFreeCTA-Img2_FBCTCBrandinMotion_FRA_14sec»1x1»Canvas»SOC»ALL»CPC»BT»D»UNK»SS»NA»Trials</v></cell><cell r="D622" t="str"><v>43287224560872</v></cell><cell r="E622" t="str"><v>43287103259958Trials</v></cell><cell r="F622" t="str"><v>DCM</v></cell><cell r="G622" t="str"><v>https://signup.azure.com/signup?offer=ms-azr-0044p&appId=102&ref=paidmedia-social-fb&redirectURL=https%3a%2f%2fazure.microsoft.com%2ffr-fr%2fget-started%2fwelcome-to-azure%2f&l=fr-fr&correlationId=ead86c34-1f10-49dd-a72b-6918462a2cbf</v></cell></row><row r="622"><cell r="K622" t="str"><v>July</v></cell><cell r="L622"><v>43288</v></cell><cell r="M622" t="str"><v>Tier 1</v></cell><cell r="N622" t="str"><v>EMEA</v></cell><cell r="O622" t="str"><v>France</v></cell><cell r="P622" t="str"><v>Trial</v></cell><cell r="Q622" t="str"><v>Social</v></cell><cell r="R622" t="str"><v>Azure</v></cell><cell r="S622" t="str"><v>Apps & Infra</v></cell><cell r="T622" t="str"><v>Developers & ITI's</v></cell><cell r="U622" t="str"><v>Developers/ITPros-Azure Direct-Sponsored Post-Canvas-FBCTCcanvaspage-StartFreeCTA-Img2_FBCTCBrandinMotion_FRA_14sec</v></cell><cell r="V622" t="str"><v>Behavioral Targeting</v></cell><cell r="W622" t="str"><v>Social</v></cell><cell r="X622" t="str"><v>1x1</v></cell></row><row r="622"><cell r="AA622"><v>43287</v></cell><cell r="AB622" t="str"><v>FRA_gaPMG_AZR_AZR_Q1_19_AzureDirect-Trial-Social</v></cell><cell r="AC622"><v>21356941</v></cell><cell r="AD622"><v>720193</v></cell><cell r="AE622" t="str"><v>Facebook</v></cell><cell r="AF622"><v>3654128</v></cell><cell r="AG622" t="str"><v>Facebook»Developers/ITPros-Azure Direct-Sponsored Post-Canvas-FBCTCcanvaspage-StartFreeCTA-Img2_FBCTCBrandinMotion_FRA_14sec»1x1»Canvas»SOC»ALL»CPC»BT»D»UNK»SS»NA»Trials</v></cell><cell r="AH622"><v>224560872</v></cell><cell r="AI622" t="str"><v>AZR_FBCTCcanvaspage-StartFreeCTA-Img2_FRA_1080x143_SOC_AZRDirect_French_NA_Facebook_SBAN_BN_T2_1</v></cell><cell r="AJ622"><v>103259958</v></cell></row><row r="623"><cell r="C623" t="str"><v>43287Facebook»Developers/ITPros-Azure Direct-Sponsored Post-Link Ad-FreeAcctRetargetingFB-GlobalAlt-ChB»1x1»SocialBan»SOC»ALL»CPC»BT»D»UNK»SS»NA»Trials</v></cell><cell r="D623" t="str"><v>43287224560845</v></cell><cell r="E623" t="str"><v>43287103259520Trials</v></cell><cell r="F623" t="str"><v>DCM</v></cell><cell r="G623" t="str"><v>https://azure.microsoft.com/fr-fr/free/search/</v></cell></row><row r="623"><cell r="K623" t="str"><v>July</v></cell><cell r="L623"><v>43288</v></cell><cell r="M623" t="str"><v>Tier 1</v></cell><cell r="N623" t="str"><v>EMEA</v></cell><cell r="O623" t="str"><v>France</v></cell><cell r="P623" t="str"><v>Trial</v></cell><cell r="Q623" t="str"><v>Social</v></cell><cell r="R623" t="str"><v>Azure</v></cell><cell r="S623" t="str"><v>Apps & Infra</v></cell><cell r="T623" t="str"><v>Developers & ITI's</v></cell><cell r="U623" t="str"><v>Developers/ITPros-Azure Direct-Sponsored Post-Link Ad-FreeAcctRetargetingFB-GlobalAlt-ChB</v></cell><cell r="V623" t="str"><v>Behavioral Targeting</v></cell><cell r="W623" t="str"><v>Social</v></cell><cell r="X623" t="str"><v>1x1</v></cell></row><row r="623"><cell r="AA623"><v>43287</v></cell><cell r="AB623" t="str"><v>FRA_gaPMG_AZR_AZR_Q1_19_AzureDirect-Trial-Social</v></cell><cell r="AC623"><v>21356941</v></cell><cell r="AD623"><v>720193</v></cell><cell r="AE623" t="str"><v>Facebook</v></cell><cell r="AF623"><v>3654128</v></cell><cell r="AG623" t="str"><v>Facebook»Developers/ITPros-Azure Direct-Sponsored Post-Link Ad-FreeAcctRetargetingFB-GlobalAlt-ChB»1x1»SocialBan»SOC»ALL»CPC»BT»D»UNK»SS»NA»Trials</v></cell><cell r="AH623"><v>224560845</v></cell><cell r="AI623" t="str"><v>AZR_FreeAcctRetargetingFB-GlobalAlt-ChB_FRA_1200x628_SOC_AZRDirect_French_NA_Facebook_SBAN_SINU_T2_1</v></cell><cell r="AJ623"><v>103259520</v></cell></row><row r="624"><cell r="C624" t="str"><v>43287Facebook»Developers/ITPros-Azure Direct-Sponsored Post-Link Ad-FreeAcctRetargetingOSSFB-Text-ChF»1x1»SocialBan»SOC»ALL»CPC»BT»D»UNK»SS»NA»Trials</v></cell><cell r="D624" t="str"><v>43287224560839</v></cell><cell r="E624" t="str"><v>43287103257810Trials</v></cell><cell r="F624" t="str"><v>DCM</v></cell><cell r="G624" t="str"><v>https://azure.microsoft.com/fr-fr/free/open-source/search/</v></cell></row><row r="624"><cell r="K624" t="str"><v>July</v></cell><cell r="L624"><v>43288</v></cell><cell r="M624" t="str"><v>Tier 1</v></cell><cell r="N624" t="str"><v>EMEA</v></cell><cell r="O624" t="str"><v>France</v></cell><cell r="P624" t="str"><v>Trial</v></cell><cell r="Q624" t="str"><v>Social</v></cell><cell r="R624" t="str"><v>Azure</v></cell><cell r="S624" t="str"><v>Apps & Infra</v></cell><cell r="T624" t="str"><v>Developers & ITI's</v></cell><cell r="U624" t="str"><v>Developers/ITPros-Azure Direct-Sponsored Post-Link Ad-FreeAcctRetargetingOSSFB-Text-ChF</v></cell><cell r="V624" t="str"><v>Behavioral Targeting</v></cell><cell r="W624" t="str"><v>Social</v></cell><cell r="X624" t="str"><v>1x1</v></cell></row><row r="624"><cell r="AA624"><v>43287</v></cell><cell r="AB624" t="str"><v>FRA_gaPMG_AZR_AZR_Q1_19_AzureDirect-Trial-Social</v></cell><cell r="AC624"><v>21356941</v></cell><cell r="AD624"><v>720193</v></cell><cell r="AE624" t="str"><v>Facebook</v></cell><cell r="AF624"><v>3654128</v></cell><cell r="AG624" t="str"><v>Facebook»Developers/ITPros-Azure Direct-Sponsored Post-Link Ad-FreeAcctRetargetingOSSFB-Text-ChF»1x1»SocialBan»SOC»ALL»CPC»BT»D»UNK»SS»NA»Trials</v></cell><cell r="AH624"><v>224560839</v></cell><cell r="AI624" t="str"><v>AZR_FreeAcctRetargetingOSSFB-Text-ChF_FRA_1200x628_SOC_AZRDirect_French_NA_Facebook_SBAN_SINU_T1_1</v></cell><cell r="AJ624"><v>103257810</v></cell></row><row r="625"><cell r="C625" t="str"><v>43287Facebook»Developers/ITPros-Azure Direct-Sponsored Post-Link Ad-FreeAcctRetargetingVMFB-750Hrs-ChD»1x1»SocialBan»SOC»ALL»CPC»BT»D»UNK»SS»NA»Trials</v></cell><cell r="D625" t="str"><v>43287224560836</v></cell><cell r="E625" t="str"><v>43287103259010Trials</v></cell><cell r="F625" t="str"><v>DCM</v></cell><cell r="G625" t="str"><v>https://azure.microsoft.com/fr-fr/free/virtual-machines/search/</v></cell></row><row r="625"><cell r="K625" t="str"><v>July</v></cell><cell r="L625"><v>43288</v></cell><cell r="M625" t="str"><v>Tier 1</v></cell><cell r="N625" t="str"><v>EMEA</v></cell><cell r="O625" t="str"><v>France</v></cell><cell r="P625" t="str"><v>Trial</v></cell><cell r="Q625" t="str"><v>Social</v></cell><cell r="R625" t="str"><v>Azure</v></cell><cell r="S625" t="str"><v>Apps & Infra</v></cell><cell r="T625" t="str"><v>Developers & ITI's</v></cell><cell r="U625" t="str"><v>Developers/ITPros-Azure Direct-Sponsored Post-Link Ad-FreeAcctRetargetingVMFB-750Hrs-ChD</v></cell><cell r="V625" t="str"><v>Behavioral Targeting</v></cell><cell r="W625" t="str"><v>Social</v></cell><cell r="X625" t="str"><v>1x1</v></cell></row><row r="625"><cell r="AA625"><v>43287</v></cell><cell r="AB625" t="str"><v>FRA_gaPMG_AZR_AZR_Q1_19_AzureDirect-Trial-Social</v></cell><cell r="AC625"><v>21356941</v></cell><cell r="AD625"><v>720193</v></cell><cell r="AE625" t="str"><v>Facebook</v></cell><cell r="AF625"><v>3654128</v></cell><cell r="AG625" t="str"><v>Facebook»Developers/ITPros-Azure Direct-Sponsored Post-Link Ad-FreeAcctRetargetingVMFB-750Hrs-ChD»1x1»SocialBan»SOC»ALL»CPC»BT»D»UNK»SS»NA»Trials</v></cell><cell r="AH625"><v>224560836</v></cell><cell r="AI625" t="str"><v>AZR_FreeAcctRetargetingVMFB-750Hrs-ChD_FRA_1200x628_SOC_AZRDirect_French_NA_Facebook_SBAN_SINU_T1_1</v></cell><cell r="AJ625"><v>103259010</v></cell></row><row r="626"><cell r="C626" t="str"><v>43287Facebook»Developers/ITPros-Azure Direct-Sponsored Post-Video Ad-FBCTCBasicMotion_FRA_10s_RTG Landing Page»1x1»05s»SOC»ALL»CPC»BT»D»UNK»SS»NA»Trials</v></cell><cell r="D626" t="str"><v>43287224416915</v></cell><cell r="E626" t="str"><v>43287103376981Trials</v></cell><cell r="F626" t="str"><v>DCM</v></cell></row><row r="626"><cell r="K626" t="str"><v>July</v></cell><cell r="L626"><v>43288</v></cell><cell r="M626" t="str"><v>Tier 1</v></cell><cell r="N626" t="str"><v>EMEA</v></cell><cell r="O626" t="str"><v>France</v></cell><cell r="P626" t="str"><v>Trial</v></cell><cell r="Q626" t="str"><v>Social</v></cell><cell r="R626" t="str"><v>Azure</v></cell><cell r="S626" t="str"><v>Apps & Infra</v></cell><cell r="T626" t="str"><v>Developers & ITI's</v></cell><cell r="U626" t="str"><v>Developers/ITPros-Azure Direct-Sponsored Post-Video Ad-FBCTCBasicMotion_FRA_10s_RTG Landing Page</v></cell><cell r="V626" t="str"><v>Behavioral Targeting</v></cell><cell r="W626" t="str"><v>Social</v></cell><cell r="X626" t="str"><v>1x1</v></cell></row><row r="626"><cell r="AA626"><v>43287</v></cell><cell r="AB626" t="str"><v>FRA_gaPMG_AZR_AZR_Q1_19_AzureDirect-Trial-Social</v></cell><cell r="AC626"><v>21356941</v></cell><cell r="AD626"><v>720193</v></cell><cell r="AE626" t="str"><v>Facebook</v></cell><cell r="AF626"><v>3654128</v></cell><cell r="AG626" t="str"><v>Facebook»Developers/ITPros-Azure Direct-Sponsored Post-Video Ad-FBCTCBasicMotion_FRA_10s_RTG Landing Page»1x1»05s»SOC»ALL»CPC»BT»D»UNK»SS»NA»Trials</v></cell><cell r="AH626"><v>224416915</v></cell><cell r="AI626" t="str"><v>AZR_FBCTCBasicMotion_FRA_10s_VIA_AZRDirect_French_NA_Facebook_STAN_TIN_T1_1</v></cell><cell r="AJ626"><v>103376981</v></cell></row><row r="627"><cell r="C627" t="str"><v>43287Facebook»Developers/ITPros-Azure Direct-Sponsored Post-Video Ad-FBCTCBenefit2inMotion_FRA_14s_RTG Landing Page»1x1»06s»SOC»ALL»CPC»BT»D»UNK»SS»NA»Trials</v></cell><cell r="D627" t="str"><v>43287224560875</v></cell><cell r="E627" t="str"><v>43287103259766Trials</v></cell><cell r="F627" t="str"><v>DCM</v></cell><cell r="G627" t="str"><v>https://signup.azure.com/signup?offer=ms-azr-0044p&appId=102&ref=paidmedia-social-fb&redirectURL=https:%2F%2Fazure.microsoft.com%2Ffr-fr%2Fget-started%2Fwelcome-to-azure%2F&l=fr-fr&correlationId=ead86c34-1f10-49dd-a72b-6918462a2cbf</v></cell></row><row r="627"><cell r="K627" t="str"><v>July</v></cell><cell r="L627"><v>43288</v></cell><cell r="M627" t="str"><v>Tier 1</v></cell><cell r="N627" t="str"><v>EMEA</v></cell><cell r="O627" t="str"><v>France</v></cell><cell r="P627" t="str"><v>Trial</v></cell><cell r="Q627" t="str"><v>Social</v></cell><cell r="R627" t="str"><v>Azure</v></cell><cell r="S627" t="str"><v>Apps & Infra</v></cell><cell r="T627" t="str"><v>Developers & ITI's</v></cell><cell r="U627" t="str"><v>Developers/ITPros-Azure Direct-Sponsored Post-Video Ad-FBCTCBenefit2inMotion_FRA_14s_RTG Landing Page</v></cell><cell r="V627" t="str"><v>Behavioral Targeting</v></cell><cell r="W627" t="str"><v>Social</v></cell><cell r="X627" t="str"><v>1x1</v></cell></row><row r="627"><cell r="AA627"><v>43287</v></cell><cell r="AB627" t="str"><v>FRA_gaPMG_AZR_AZR_Q1_19_AzureDirect-Trial-Social</v></cell><cell r="AC627"><v>21356941</v></cell><cell r="AD627"><v>720193</v></cell><cell r="AE627" t="str"><v>Facebook</v></cell><cell r="AF627"><v>3654128</v></cell><cell r="AG627" t="str"><v>Facebook»Developers/ITPros-Azure Direct-Sponsored Post-Video Ad-FBCTCBenefit2inMotion_FRA_14s_RTG Landing Page»1x1»06s»SOC»ALL»CPC»BT»D»UNK»SS»NA»Trials</v></cell><cell r="AH627"><v>224560875</v></cell><cell r="AI627" t="str"><v>AZR_FBCTCBenefit2inMotion_FRA_14s_VIA_AZRDirect_French_NA_Facebook_STAN_TIN_T4_1</v></cell><cell r="AJ627"><v>103259766</v></cell></row><row r="628"><cell r="C628" t="str"><v>43287Facebook»Developers/ITPros-Azure Direct-Sponsored Post-Video Ad-FBCTCBrandinMotion_FRA_12s_RTG Landing Page»1x1»05s»SOC»ALL»CPC»BT»D»UNK»SS»NA»Trials</v></cell><cell r="D628" t="str"><v>43287224560863</v></cell><cell r="E628" t="str"><v>43287103256577Trials</v></cell><cell r="F628" t="str"><v>DCM</v></cell></row><row r="628"><cell r="K628" t="str"><v>July</v></cell><cell r="L628"><v>43288</v></cell><cell r="M628" t="str"><v>Tier 1</v></cell><cell r="N628" t="str"><v>EMEA</v></cell><cell r="O628" t="str"><v>France</v></cell><cell r="P628" t="str"><v>Trial</v></cell><cell r="Q628" t="str"><v>Social</v></cell><cell r="R628" t="str"><v>Azure</v></cell><cell r="S628" t="str"><v>Apps & Infra</v></cell><cell r="T628" t="str"><v>Developers & ITI's</v></cell><cell r="U628" t="str"><v>Developers/ITPros-Azure Direct-Sponsored Post-Video Ad-FBCTCBrandinMotion_FRA_12s_RTG Landing Page</v></cell><cell r="V628" t="str"><v>Behavioral Targeting</v></cell><cell r="W628" t="str"><v>Social</v></cell><cell r="X628" t="str"><v>1x1</v></cell></row><row r="628"><cell r="AA628"><v>43287</v></cell><cell r="AB628" t="str"><v>FRA_gaPMG_AZR_AZR_Q1_19_AzureDirect-Trial-Social</v></cell><cell r="AC628"><v>21356941</v></cell><cell r="AD628"><v>720193</v></cell><cell r="AE628" t="str"><v>Facebook</v></cell><cell r="AF628"><v>3654128</v></cell><cell r="AG628" t="str"><v>Facebook»Developers/ITPros-Azure Direct-Sponsored Post-Video Ad-FBCTCBrandinMotion_FRA_12s_RTG Landing Page»1x1»05s»SOC»ALL»CPC»BT»D»UNK»SS»NA»Trials</v></cell><cell r="AH628"><v>224560863</v></cell><cell r="AI628" t="str"><v>AZR_FBCTCBrandinMotion_FRA_12s_VIA_AZRDirect_French_NA_Facebook_STAN_TIN_T2_1</v></cell><cell r="AJ628"><v>103256577</v></cell></row><row r="629"><cell r="C629" t="str"><v>43287Facebook»Developers/ITPros-Azure Direct-Sponsored Post-Canvas-FBCTCcanvaspage-BuyNowCTA-Img3_FBCTCBrandinMotion_FRA_12sec»1x1»Canvas»SOC»ALL»CPC»BT»D»UNK»SS»NA»Trials</v></cell><cell r="D629" t="str"><v>43287224416924</v></cell><cell r="E629" t="str"><v>43287103256571Trials</v></cell><cell r="F629" t="str"><v>DCM</v></cell><cell r="G629" t="str"><v>https://azure.microsoft.com/fr-fr/pricing/purchase-options/</v></cell></row><row r="629"><cell r="K629" t="str"><v>July</v></cell><cell r="L629"><v>43288</v></cell><cell r="M629" t="str"><v>Tier 1</v></cell><cell r="N629" t="str"><v>EMEA</v></cell><cell r="O629" t="str"><v>France</v></cell><cell r="P629" t="str"><v>Trial</v></cell><cell r="Q629" t="str"><v>Social</v></cell><cell r="R629" t="str"><v>Azure</v></cell><cell r="S629" t="str"><v>Apps & Infra</v></cell><cell r="T629" t="str"><v>Developers & ITI's</v></cell><cell r="U629" t="str"><v>Developers/ITPros-Azure Direct-Sponsored Post-Canvas-FBCTCcanvaspage-BuyNowCTA-Img3_FBCTCBrandinMotion_FRA_12sec</v></cell><cell r="V629" t="str"><v>Behavioral Targeting</v></cell><cell r="W629" t="str"><v>Social</v></cell><cell r="X629" t="str"><v>1x1</v></cell></row><row r="629"><cell r="AA629"><v>43287</v></cell><cell r="AB629" t="str"><v>FRA_gaPMG_AZR_AZR_Q1_19_AzureDirect-Trial-Social</v></cell><cell r="AC629"><v>21356941</v></cell><cell r="AD629"><v>720193</v></cell><cell r="AE629" t="str"><v>Facebook</v></cell><cell r="AF629"><v>3654128</v></cell><cell r="AG629" t="str"><v>Facebook»Developers/ITPros-Azure Direct-Sponsored Post-Canvas-FBCTCcanvaspage-BuyNowCTA-Img3_FBCTCBrandinMotion_FRA_12sec»1x1»Canvas»SOC»ALL»CPC»BT»D»UNK»SS»NA»Trials</v></cell><cell r="AH629"><v>224416924</v></cell><cell r="AI629" t="str"><v>AZR_FBCTCcanvaspage-BuyNowCTA-Img3_FRA_1080x162_SOC_AZRDirect_French_NA_Facebook_SBAN_BN_T3_1</v></cell><cell r="AJ629"><v>103256571</v></cell></row><row r="630"><cell r="C630" t="str"><v>43287Facebook»Developers/ITPros-Azure Direct-Sponsored Post-Link Ad-FreeAcctAppsFACEBOOK12monthsChE»1x1»SocialBan»SOC»ALL»CPC»BT»D»UNK»SS»NA»Trials</v></cell><cell r="D630" t="str"><v>43287224560866</v></cell><cell r="E630" t="str"><v>43287103259784Trials</v></cell><cell r="F630" t="str"><v>DCM</v></cell><cell r="G630" t="str"><v>https://azure.microsoft.com/fr-fr/free/search/</v></cell></row><row r="630"><cell r="K630" t="str"><v>July</v></cell><cell r="L630"><v>43288</v></cell><cell r="M630" t="str"><v>Tier 1</v></cell><cell r="N630" t="str"><v>EMEA</v></cell><cell r="O630" t="str"><v>France</v></cell><cell r="P630" t="str"><v>Trial</v></cell><cell r="Q630" t="str"><v>Social</v></cell><cell r="R630" t="str"><v>Azure</v></cell><cell r="S630" t="str"><v>Apps & Infra</v></cell><cell r="T630" t="str"><v>Developers & ITI's</v></cell><cell r="U630" t="str"><v>Developers/ITPros-Azure Direct-Sponsored Post-Link Ad-FreeAcctAppsFACEBOOK12monthsChE</v></cell><cell r="V630" t="str"><v>Behavioral Targeting</v></cell><cell r="W630" t="str"><v>Social</v></cell><cell r="X630" t="str"><v>1x1</v></cell></row><row r="630"><cell r="AA630"><v>43287</v></cell><cell r="AB630" t="str"><v>FRA_gaPMG_AZR_AZR_Q1_19_AzureDirect-Trial-Social</v></cell><cell r="AC630"><v>21356941</v></cell><cell r="AD630"><v>720193</v></cell><cell r="AE630" t="str"><v>Facebook</v></cell><cell r="AF630"><v>3654128</v></cell><cell r="AG630" t="str"><v>Facebook»Developers/ITPros-Azure Direct-Sponsored Post-Link Ad-FreeAcctAppsFACEBOOK12monthsChE»1x1»SocialBan»SOC»ALL»CPC»BT»D»UNK»SS»NA»Trials</v></cell><cell r="AH630"><v>224560866</v></cell><cell r="AI630" t="str"><v>AZR_FreeAcctAppsFACEBOOK12monthsChE_FRA_1200x628_SOC_PLAT_FR_Trial_Standard_NA_SINU_T5_1</v></cell><cell r="AJ630"><v>103259784</v></cell></row><row r="631"><cell r="C631" t="str"><v>43287Facebook»Developers/ITPros-Azure Direct-Sponsored Post-Link Ad-FreeAcctAppsFACEBOOK200CreditChD»1x1»SocialBan»SOC»ALL»CPC»BT»D»UNK»SS»NA»Trials</v></cell><cell r="D631" t="str"><v>43287224560860</v></cell><cell r="E631" t="str"><v>43287103377773Trials</v></cell><cell r="F631" t="str"><v>DCM</v></cell><cell r="G631" t="str"><v>https://azure.microsoft.com/fr-fr/free/search/</v></cell></row><row r="631"><cell r="K631" t="str"><v>July</v></cell><cell r="L631"><v>43288</v></cell><cell r="M631" t="str"><v>Tier 1</v></cell><cell r="N631" t="str"><v>EMEA</v></cell><cell r="O631" t="str"><v>France</v></cell><cell r="P631" t="str"><v>Trial</v></cell><cell r="Q631" t="str"><v>Social</v></cell><cell r="R631" t="str"><v>Azure</v></cell><cell r="S631" t="str"><v>Apps & Infra</v></cell><cell r="T631" t="str"><v>Developers & ITI's</v></cell><cell r="U631" t="str"><v>Developers/ITPros-Azure Direct-Sponsored Post-Link Ad-FreeAcctAppsFACEBOOK200CreditChD</v></cell><cell r="V631" t="str"><v>Behavioral Targeting</v></cell><cell r="W631" t="str"><v>Social</v></cell><cell r="X631" t="str"><v>1x1</v></cell></row><row r="631"><cell r="AA631"><v>43287</v></cell><cell r="AB631" t="str"><v>FRA_gaPMG_AZR_AZR_Q1_19_AzureDirect-Trial-Social</v></cell><cell r="AC631"><v>21356941</v></cell><cell r="AD631"><v>720193</v></cell><cell r="AE631" t="str"><v>Facebook</v></cell><cell r="AF631"><v>3654128</v></cell><cell r="AG631" t="str"><v>Facebook»Developers/ITPros-Azure Direct-Sponsored Post-Link Ad-FreeAcctAppsFACEBOOK200CreditChD»1x1»SocialBan»SOC»ALL»CPC»BT»D»UNK»SS»NA»Trials</v></cell><cell r="AH631"><v>224560860</v></cell><cell r="AI631" t="str"><v>AZR_FreeAcctAppsFACEBOOK200CreditChD_FRA_1200x628_SOC_PLAT_FR_Trial_Standard_NA_SINU_T4_1</v></cell><cell r="AJ631"><v>103377773</v></cell></row><row r="632"><cell r="C632" t="str"><v>43287Facebook»Developers/ITPros-Azure Direct-Sponsored Post-Link Ad-FreeAcctAppsFACEBOOKDeviceChB»1x1»SocialBan»SOC»ALL»CPC»AUT»D»UNK»SS»NA»Trials</v></cell><cell r="D632" t="str"><v>43287224560857</v></cell><cell r="E632" t="str"><v>43287103377002Trials</v></cell><cell r="F632" t="str"><v>DCM</v></cell><cell r="G632" t="str"><v>https://azure.microsoft.com/fr-fr/free/search/</v></cell></row><row r="632"><cell r="K632" t="str"><v>July</v></cell><cell r="L632"><v>43288</v></cell><cell r="M632" t="str"><v>Tier 1</v></cell><cell r="N632" t="str"><v>EMEA</v></cell><cell r="O632" t="str"><v>France</v></cell><cell r="P632" t="str"><v>Trial</v></cell><cell r="Q632" t="str"><v>Social</v></cell><cell r="R632" t="str"><v>Azure</v></cell><cell r="S632" t="str"><v>Apps & Infra</v></cell><cell r="T632" t="str"><v>Developers & ITI's</v></cell><cell r="U632" t="str"><v>Developers/ITPros-Azure Direct-Sponsored Post-Link Ad-FreeAcctAppsFACEBOOKDeviceChB</v></cell><cell r="V632" t="str"><v>Audience Targeting</v></cell><cell r="W632" t="str"><v>Social</v></cell><cell r="X632" t="str"><v>1x1</v></cell></row><row r="632"><cell r="AA632"><v>43287</v></cell><cell r="AB632" t="str"><v>FRA_gaPMG_AZR_AZR_Q1_19_AzureDirect-Trial-Social</v></cell><cell r="AC632"><v>21356941</v></cell><cell r="AD632"><v>720193</v></cell><cell r="AE632" t="str"><v>Facebook</v></cell><cell r="AF632"><v>3654128</v></cell><cell r="AG632" t="str"><v>Facebook»Developers/ITPros-Azure Direct-Sponsored Post-Link Ad-FreeAcctAppsFACEBOOKDeviceChB»1x1»SocialBan»SOC»ALL»CPC»AUT»D»UNK»SS»NA»Trials</v></cell><cell r="AH632"><v>224560857</v></cell><cell r="AI632" t="str"><v>AZR_FreeAcctAppsFACEBOOKDeviceChB_FRA_1200x628_SOC_PLAT_FR_Trial_Standard_NA_SINU_T2_1</v></cell><cell r="AJ632"><v>103377002</v></cell></row><row r="633"><cell r="C633" t="str"><v>43287Facebook»Developers/ITPros-Azure Direct-Sponsored Post-Link Ad-FreeAcctAppsFACEBOOKIllustrationChC»1x1»SocialBan»SOC»ALL»CPC»AUT»D»UNK»SS»NA»Trials</v></cell><cell r="D633" t="str"><v>43287224560854</v></cell><cell r="E633" t="str"><v>43287103259550Trials</v></cell><cell r="F633" t="str"><v>DCM</v></cell><cell r="G633" t="str"><v>https://azure.microsoft.com/fr-fr/free/search/</v></cell></row><row r="633"><cell r="K633" t="str"><v>July</v></cell><cell r="L633"><v>43288</v></cell><cell r="M633" t="str"><v>Tier 1</v></cell><cell r="N633" t="str"><v>EMEA</v></cell><cell r="O633" t="str"><v>France</v></cell><cell r="P633" t="str"><v>Trial</v></cell><cell r="Q633" t="str"><v>Social</v></cell><cell r="R633" t="str"><v>Azure</v></cell><cell r="S633" t="str"><v>Apps & Infra</v></cell><cell r="T633" t="str"><v>Developers & ITI's</v></cell><cell r="U633" t="str"><v>Developers/ITPros-Azure Direct-Sponsored Post-Link Ad-FreeAcctAppsFACEBOOKIllustrationChC</v></cell><cell r="V633" t="str"><v>Audience Targeting</v></cell><cell r="W633" t="str"><v>Social</v></cell><cell r="X633" t="str"><v>1x1</v></cell></row><row r="633"><cell r="AA633"><v>43287</v></cell><cell r="AB633" t="str"><v>FRA_gaPMG_AZR_AZR_Q1_19_AzureDirect-Trial-Social</v></cell><cell r="AC633"><v>21356941</v></cell><cell r="AD633"><v>720193</v></cell><cell r="AE633" t="str"><v>Facebook</v></cell><cell r="AF633"><v>3654128</v></cell><cell r="AG633" t="str"><v>Facebook»Developers/ITPros-Azure Direct-Sponsored Post-Link Ad-FreeAcctAppsFACEBOOKIllustrationChC»1x1»SocialBan»SOC»ALL»CPC»AUT»D»UNK»SS»NA»Trials</v></cell><cell r="AH633"><v>224560854</v></cell><cell r="AI633" t="str"><v>AZR_FreeAcctAppsFACEBOOKIllustrationChC_FRA_1200x628_SOC_PLAT_FR_Trial_Standard_NA_SINU_T3_1</v></cell><cell r="AJ633"><v>103259550</v></cell></row><row r="634"><cell r="C634" t="str"><v>43287Facebook»Developers/ITPros-Azure Direct-Sponsored Post-Link Ad-FreeAcctAppsFACEBOOKLifestyleChA»1x1»SocialBan»SOC»ALL»CPC»AUT»D»UNK»SS»NA»Trials</v></cell><cell r="D634" t="str"><v>43287224560851</v></cell><cell r="E634" t="str"><v>43287103259562Trials</v></cell><cell r="F634" t="str"><v>DCM</v></cell><cell r="G634" t="str"><v>https://azure.microsoft.com/fr-fr/free/search/</v></cell></row><row r="634"><cell r="K634" t="str"><v>July</v></cell><cell r="L634"><v>43288</v></cell><cell r="M634" t="str"><v>Tier 1</v></cell><cell r="N634" t="str"><v>EMEA</v></cell><cell r="O634" t="str"><v>France</v></cell><cell r="P634" t="str"><v>Trial</v></cell><cell r="Q634" t="str"><v>Social</v></cell><cell r="R634" t="str"><v>Azure</v></cell><cell r="S634" t="str"><v>Apps & Infra</v></cell><cell r="T634" t="str"><v>Developers & ITI's</v></cell><cell r="U634" t="str"><v>Developers/ITPros-Azure Direct-Sponsored Post-Link Ad-FreeAcctAppsFACEBOOKLifestyleChA</v></cell><cell r="V634" t="str"><v>Audience Targeting</v></cell><cell r="W634" t="str"><v>Social</v></cell><cell r="X634" t="str"><v>1x1</v></cell></row><row r="634"><cell r="AA634"><v>43287</v></cell><cell r="AB634" t="str"><v>FRA_gaPMG_AZR_AZR_Q1_19_AzureDirect-Trial-Social</v></cell><cell r="AC634"><v>21356941</v></cell><cell r="AD634"><v>720193</v></cell><cell r="AE634" t="str"><v>Facebook</v></cell><cell r="AF634"><v>3654128</v></cell><cell r="AG634" t="str"><v>Facebook»Developers/ITPros-Azure Direct-Sponsored Post-Link Ad-FreeAcctAppsFACEBOOKLifestyleChA»1x1»SocialBan»SOC»ALL»CPC»AUT»D»UNK»SS»NA»Trials</v></cell><cell r="AH634"><v>224560851</v></cell><cell r="AI634" t="str"><v>AZR_FreeAcctAppsFACEBOOKLifestyleChA_FRA_1200x628_SOC_PLAT_FR_Trial_Standard_NA_SINU_T1_1</v></cell><cell r="AJ634"><v>103259562</v></cell></row><row r="635"><cell r="C635" t="str"><v>43287Facebook»Developers/ITPros-Azure Direct-Sponsored Post-Link Ad-FreeAcctRetargetingFB-Animated-ChC»1x1»SocialBan»SOC»ALL»CPC»BT»D»UNK»SS»NA»Trials</v></cell><cell r="D635" t="str"><v>43287224560848</v></cell><cell r="E635" t="str"><v>43287103259775Trials</v></cell><cell r="F635" t="str"><v>DCM</v></cell><cell r="G635" t="str"><v>https://azure.microsoft.com/fr-fr/free/search/</v></cell></row><row r="635"><cell r="K635" t="str"><v>July</v></cell><cell r="L635"><v>43288</v></cell><cell r="M635" t="str"><v>Tier 1</v></cell><cell r="N635" t="str"><v>EMEA</v></cell><cell r="O635" t="str"><v>France</v></cell><cell r="P635" t="str"><v>Trial</v></cell><cell r="Q635" t="str"><v>Social</v></cell><cell r="R635" t="str"><v>Azure</v></cell><cell r="S635" t="str"><v>Apps & Infra</v></cell><cell r="T635" t="str"><v>Developers & ITI's</v></cell><cell r="U635" t="str"><v>Developers/ITPros-Azure Direct-Sponsored Post-Link Ad-FreeAcctRetargetingFB-Animated-ChC</v></cell><cell r="V635" t="str"><v>Behavioral Targeting</v></cell><cell r="W635" t="str"><v>Social</v></cell><cell r="X635" t="str"><v>1x1</v></cell></row><row r="635"><cell r="AA635"><v>43287</v></cell><cell r="AB635" t="str"><v>FRA_gaPMG_AZR_AZR_Q1_19_AzureDirect-Trial-Social</v></cell><cell r="AC635"><v>21356941</v></cell><cell r="AD635"><v>720193</v></cell><cell r="AE635" t="str"><v>Facebook</v></cell><cell r="AF635"><v>3654128</v></cell><cell r="AG635" t="str"><v>Facebook»Developers/ITPros-Azure Direct-Sponsored Post-Link Ad-FreeAcctRetargetingFB-Animated-ChC»1x1»SocialBan»SOC»ALL»CPC»BT»D»UNK»SS»NA»Trials</v></cell><cell r="AH635"><v>224560848</v></cell><cell r="AI635" t="str"><v>AZR_reeAcctRetargetingFB-Animated-ChC_FRA_1200x628_SOC_AZRDirect_French_NA_Facebook_SBAN_SINU_T3_1</v></cell><cell r="AJ635"><v>103259775</v></cell></row><row r="636"><cell r="C636" t="str"><v>43287Facebook»Developers/ITPros-Azure Direct-Sponsored Post-Link Ad-FreeAcctRetargetingVMFB-OnDemand-ChE»1x1»SocialBan»SOC»ALL»CPC»BT»D»UNK»SS»NA»Trials</v></cell><cell r="D636" t="str"><v>43287224560833</v></cell><cell r="E636" t="str"><v>43287103376990Trials</v></cell><cell r="F636" t="str"><v>DCM</v></cell><cell r="G636" t="str"><v>https://azure.microsoft.com/fr-fr/free/virtual-machines/search/</v></cell></row><row r="636"><cell r="K636" t="str"><v>July</v></cell><cell r="L636"><v>43288</v></cell><cell r="M636" t="str"><v>Tier 1</v></cell><cell r="N636" t="str"><v>EMEA</v></cell><cell r="O636" t="str"><v>France</v></cell><cell r="P636" t="str"><v>Trial</v></cell><cell r="Q636" t="str"><v>Social</v></cell><cell r="R636" t="str"><v>Azure</v></cell><cell r="S636" t="str"><v>Apps & Infra</v></cell><cell r="T636" t="str"><v>Developers & ITI's</v></cell><cell r="U636" t="str"><v>Developers/ITPros-Azure Direct-Sponsored Post-Link Ad-FreeAcctRetargetingVMFB-OnDemand-ChE</v></cell><cell r="V636" t="str"><v>Behavioral Targeting</v></cell><cell r="W636" t="str"><v>Social</v></cell><cell r="X636" t="str"><v>1x1</v></cell></row><row r="636"><cell r="AA636"><v>43287</v></cell><cell r="AB636" t="str"><v>FRA_gaPMG_AZR_AZR_Q1_19_AzureDirect-Trial-Social</v></cell><cell r="AC636"><v>21356941</v></cell><cell r="AD636"><v>720193</v></cell><cell r="AE636" t="str"><v>Facebook</v></cell><cell r="AF636"><v>3654128</v></cell><cell r="AG636" t="str"><v>Facebook»Developers/ITPros-Azure Direct-Sponsored Post-Link Ad-FreeAcctRetargetingVMFB-OnDemand-ChE»1x1»SocialBan»SOC»ALL»CPC»BT»D»UNK»SS»NA»Trials</v></cell><cell r="AH636"><v>224560833</v></cell><cell r="AI636" t="str"><v>AZR_FreeAcctRetargetingVMFB-OnDemand-ChE_FRA_1200x628_SOC_AZRDirect_French_NA_Facebook_SBAN_SINU_T2_1</v></cell><cell r="AJ636"><v>103376990</v></cell></row><row r="637"><cell r="C637" t="str"><v>43287Facebook»Audience & Interest Targeting»1x1»SocialBan»LIA»DT»CPC»AUT»W»NA»SS»NA»Basic Motion</v></cell><cell r="D637" t="str"><v>43287224399962</v></cell><cell r="E637" t="str"><v>43287103230847Motion</v></cell><cell r="F637" t="str"><v>DCM</v></cell><cell r="G637" t="str"><v>https://azure.microsoft.com/en-gb/pricing/purchase-options/</v></cell></row><row r="637"><cell r="K637" t="str"><v>July</v></cell><cell r="L637"><v>43288</v></cell><cell r="M637" t="str"><v>Tier 1</v></cell><cell r="N637" t="str"><v>EMEA</v></cell><cell r="O637" t="str"><v>United Kingdom</v></cell><cell r="P637" t="str"><v>Trial</v></cell><cell r="Q637" t="str"><v>Social</v></cell><cell r="R637" t="str"><v>Azure</v></cell><cell r="S637" t="str"><v>Apps & Infra</v></cell><cell r="T637" t="str"><v>Developers & ITI's</v></cell><cell r="U637" t="str"><v>Audience & Interest Targeting</v></cell><cell r="V637" t="str"><v>Audience Targeting</v></cell><cell r="W637" t="str"><v>Link Ad</v></cell><cell r="X637" t="str"><v>1x1</v></cell></row><row r="637"><cell r="AA637"><v>43287</v></cell><cell r="AB637" t="str"><v>GBR_gaPMG_CE_AZR_Q1_19_Trial-Social</v></cell><cell r="AC637"><v>21337013</v></cell><cell r="AD637"><v>720196</v></cell><cell r="AE637" t="str"><v>Facebook</v></cell><cell r="AF637"><v>3654128</v></cell><cell r="AG637" t="str"><v>Facebook»Audience & Interest Targeting»1x1»SocialBan»LIA»DT»CPC»AUT»W»NA»SS»NA»Basic Motion</v></cell><cell r="AH637"><v>224399962</v></cell><cell r="AI637" t="str"><v>AzurePlatform_FBCTCcanvaspage-BuyNowCTA-Img3_GBR_1080x162_SOC_Plat_English_NA_Standard_NA_BN_T3_1</v></cell><cell r="AJ637"><v>103230847</v></cell></row><row r="638"><cell r="C638" t="str"><v>43287Facebook»Audience & Interest Targeting»1x1»SocialBan»LIA»DT»CPC»AUT»W»NA»SS»NA»Benefit 2 in Motion</v></cell><cell r="D638" t="str"><v>43287224334170</v></cell><cell r="E638" t="str"><v>43287103235146Motion</v></cell><cell r="F638" t="str"><v>DCM</v></cell><cell r="G638" t="str"><v>https://signup.azure.com/signup?offer=ms-azr-0044p&appId=102&ref=paidmedia-social-fb&redirectURL=https%3a%2f%2fazure.microsoft.com%2fen-gb%2fget-started%2fwelcome-to-azure%2f&l=en-gb&correlationId=ead86c34-1f10-49dd-a72b-6918462a2cbf</v></cell></row><row r="638"><cell r="K638" t="str"><v>July</v></cell><cell r="L638"><v>43288</v></cell><cell r="M638" t="str"><v>Tier 1</v></cell><cell r="N638" t="str"><v>EMEA</v></cell><cell r="O638" t="str"><v>United Kingdom</v></cell><cell r="P638" t="str"><v>Trial</v></cell><cell r="Q638" t="str"><v>Social</v></cell><cell r="R638" t="str"><v>Azure</v></cell><cell r="S638" t="str"><v>Apps & Infra</v></cell><cell r="T638" t="str"><v>Developers & ITI's</v></cell><cell r="U638" t="str"><v>Audience & Interest Targeting</v></cell><cell r="V638" t="str"><v>Audience Targeting</v></cell><cell r="W638" t="str"><v>Link Ad</v></cell><cell r="X638" t="str"><v>1x1</v></cell></row><row r="638"><cell r="AA638"><v>43287</v></cell><cell r="AB638" t="str"><v>GBR_gaPMG_CE_AZR_Q1_19_Trial-Social</v></cell><cell r="AC638"><v>21337013</v></cell><cell r="AD638"><v>720196</v></cell><cell r="AE638" t="str"><v>Facebook</v></cell><cell r="AF638"><v>3654128</v></cell><cell r="AG638" t="str"><v>Facebook»Audience & Interest Targeting»1x1»SocialBan»LIA»DT»CPC»AUT»W»NA»SS»NA»Benefit 2 in Motion</v></cell><cell r="AH638"><v>224334170</v></cell><cell r="AI638" t="str"><v>AzurePlatform_FBCTCcanvaspage-StartFreeCTA-Img2_GBR_1080x143 _SOC_Plat_English_NA_Standard_NA_NA_T2_1</v></cell><cell r="AJ638"><v>103235146</v></cell></row><row r="639"><cell r="C639" t="str"><v>43287Facebook»Audience & Interest Targeting»1x1»SocialBan»LIA»DT»CPC»AUT»W»NA»SS»NA»Brand in Motion</v></cell><cell r="D639" t="str"><v>43287224549481</v></cell><cell r="E639" t="str"><v>43287103230847Motion</v></cell><cell r="F639" t="str"><v>DCM</v></cell><cell r="G639" t="str"><v>https://azure.microsoft.com/en-gb/pricing/purchase-options/</v></cell></row><row r="639"><cell r="K639" t="str"><v>July</v></cell><cell r="L639"><v>43288</v></cell><cell r="M639" t="str"><v>Tier 1</v></cell><cell r="N639" t="str"><v>EMEA</v></cell><cell r="O639" t="str"><v>United Kingdom</v></cell><cell r="P639" t="str"><v>Trial</v></cell><cell r="Q639" t="str"><v>Social</v></cell><cell r="R639" t="str"><v>Azure</v></cell><cell r="S639" t="str"><v>Apps & Infra</v></cell><cell r="T639" t="str"><v>Developers & ITI's</v></cell><cell r="U639" t="str"><v>Audience & Interest Targeting</v></cell><cell r="V639" t="str"><v>Audience Targeting</v></cell><cell r="W639" t="str"><v>Link Ad</v></cell><cell r="X639" t="str"><v>1x1</v></cell></row><row r="639"><cell r="AA639"><v>43287</v></cell><cell r="AB639" t="str"><v>GBR_gaPMG_CE_AZR_Q1_19_Trial-Social</v></cell><cell r="AC639"><v>21337013</v></cell><cell r="AD639"><v>720196</v></cell><cell r="AE639" t="str"><v>Facebook</v></cell><cell r="AF639"><v>3654128</v></cell><cell r="AG639" t="str"><v>Facebook»Audience & Interest Targeting»1x1»SocialBan»LIA»DT»CPC»AUT»W»NA»SS»NA»Brand in Motion</v></cell><cell r="AH639"><v>224549481</v></cell><cell r="AI639" t="str"><v>AzurePlatform_FBCTCcanvaspage-BuyNowCTA-Img3_GBR_1080x162_SOC_Plat_English_NA_Standard_NA_BN_T3_1</v></cell><cell r="AJ639"><v>103230847</v></cell></row><row r="640"><cell r="C640" t="str"><v>43287Facebook»Audience & Interest Targeting»1x1»SocialBan»LIA»DT»CPC»AUT»W»NA»SS»NA»Brand in Motion</v></cell><cell r="D640" t="str"><v>43287224549481</v></cell><cell r="E640" t="str"><v>43287103235146Motion</v></cell><cell r="F640" t="str"><v>DCM</v></cell><cell r="G640" t="str"><v>https://signup.azure.com/signup?offer=ms-azr-0044p&appId=102&ref=paidmedia-social-fb&redirectURL=https%3a%2f%2fazure.microsoft.com%2fen-gb%2fget-started%2fwelcome-to-azure%2f&l=en-gb&correlationId=ead86c34-1f10-49dd-a72b-6918462a2cbf</v></cell></row><row r="640"><cell r="K640" t="str"><v>July</v></cell><cell r="L640"><v>43288</v></cell><cell r="M640" t="str"><v>Tier 1</v></cell><cell r="N640" t="str"><v>EMEA</v></cell><cell r="O640" t="str"><v>United Kingdom</v></cell><cell r="P640" t="str"><v>Trial</v></cell><cell r="Q640" t="str"><v>Social</v></cell><cell r="R640" t="str"><v>Azure</v></cell><cell r="S640" t="str"><v>Apps & Infra</v></cell><cell r="T640" t="str"><v>Developers & ITI's</v></cell><cell r="U640" t="str"><v>Audience & Interest Targeting</v></cell><cell r="V640" t="str"><v>Audience Targeting</v></cell><cell r="W640" t="str"><v>Link Ad</v></cell><cell r="X640" t="str"><v>1x1</v></cell></row><row r="640"><cell r="AA640"><v>43287</v></cell><cell r="AB640" t="str"><v>GBR_gaPMG_CE_AZR_Q1_19_Trial-Social</v></cell><cell r="AC640"><v>21337013</v></cell><cell r="AD640"><v>720196</v></cell><cell r="AE640" t="str"><v>Facebook</v></cell><cell r="AF640"><v>3654128</v></cell><cell r="AG640" t="str"><v>Facebook»Audience & Interest Targeting»1x1»SocialBan»LIA»DT»CPC»AUT»W»NA»SS»NA»Brand in Motion</v></cell><cell r="AH640"><v>224549481</v></cell><cell r="AI640" t="str"><v>AzurePlatform_FBCTCcanvaspage-StartFreeCTA-Img2_GBR_1080x143 _SOC_Plat_English_NA_Standard_NA_NA_T2_1</v></cell><cell r="AJ640"><v>103235146</v></cell></row><row r="641"><cell r="C641" t="str"><v>43287Facebook»Audience & Interest Targeting»1x1»SocialBan»LIA»DT»DYN»AUT»W»NA»SS»NA»Free Account Refresh- Device ChB</v></cell><cell r="D641" t="str"><v>43287223560353</v></cell><cell r="E641" t="str"><v>43287102854010ce ChB</v></cell><cell r="F641" t="str"><v>DCM</v></cell><cell r="G641" t="str"><v>https://azure.microsoft.com/en-gb/free/search/</v></cell></row><row r="641"><cell r="K641" t="str"><v>July</v></cell><cell r="L641"><v>43288</v></cell><cell r="M641" t="str"><v>Tier 1</v></cell><cell r="N641" t="str"><v>EMEA</v></cell><cell r="O641" t="str"><v>United Kingdom</v></cell><cell r="P641" t="str"><v>Trial</v></cell><cell r="Q641" t="str"><v>Social</v></cell><cell r="R641" t="str"><v>Azure</v></cell><cell r="S641" t="str"><v>Apps & Infra</v></cell><cell r="T641" t="str"><v>Developers & ITI's</v></cell><cell r="U641" t="str"><v>Audience & Interest Targeting</v></cell><cell r="V641" t="str"><v>Audience Targeting</v></cell><cell r="W641" t="str"><v>Link Ad</v></cell><cell r="X641" t="str"><v>1x1</v></cell></row><row r="641"><cell r="AA641"><v>43287</v></cell><cell r="AB641" t="str"><v>GBR_gaPMG_CE_AZR_Q1_19_Trial-Social</v></cell><cell r="AC641"><v>21337013</v></cell><cell r="AD641"><v>720196</v></cell><cell r="AE641" t="str"><v>Facebook</v></cell><cell r="AF641"><v>3654128</v></cell><cell r="AG641" t="str"><v>Facebook»Audience & Interest Targeting»1x1»SocialBan»LIA»DT»DYN»AUT»W»NA»SS»NA»Free Account Refresh- Device ChB</v></cell><cell r="AH641"><v>223560353</v></cell><cell r="AI641" t="str"><v>AzurePlatform_FreeAcctAppsFACEBOOKDeviceChB_GBR_1200x628_SOC_PLAT_EN_Trial_Standard_NA_SU_T2_1</v></cell><cell r="AJ641"><v>102854010</v></cell></row><row r="642"><cell r="C642" t="str"><v>43287Facebook»Audience & Interest Targeting»1x1»SocialBan»LIA»DT»DYN»AUT»W»NA»SS»NA»Free Account Refresh- Illustration ChC</v></cell><cell r="D642" t="str"><v>43287223560347</v></cell><cell r="E642" t="str"><v>43287102857037on ChC</v></cell><cell r="F642" t="str"><v>DCM</v></cell><cell r="G642" t="str"><v>https://azure.microsoft.com/en-gb/free/search/</v></cell></row><row r="642"><cell r="K642" t="str"><v>July</v></cell><cell r="L642"><v>43288</v></cell><cell r="M642" t="str"><v>Tier 1</v></cell><cell r="N642" t="str"><v>EMEA</v></cell><cell r="O642" t="str"><v>United Kingdom</v></cell><cell r="P642" t="str"><v>Trial</v></cell><cell r="Q642" t="str"><v>Social</v></cell><cell r="R642" t="str"><v>Azure</v></cell><cell r="S642" t="str"><v>Apps & Infra</v></cell><cell r="T642" t="str"><v>Developers & ITI's</v></cell><cell r="U642" t="str"><v>Audience & Interest Targeting</v></cell><cell r="V642" t="str"><v>Audience Targeting</v></cell><cell r="W642" t="str"><v>Link Ad</v></cell><cell r="X642" t="str"><v>1x1</v></cell></row><row r="642"><cell r="AA642"><v>43287</v></cell><cell r="AB642" t="str"><v>GBR_gaPMG_CE_AZR_Q1_19_Trial-Social</v></cell><cell r="AC642"><v>21337013</v></cell><cell r="AD642"><v>720196</v></cell><cell r="AE642" t="str"><v>Facebook</v></cell><cell r="AF642"><v>3654128</v></cell><cell r="AG642" t="str"><v>Facebook»Audience & Interest Targeting»1x1»SocialBan»LIA»DT»DYN»AUT»W»NA»SS»NA»Free Account Refresh- Illustration ChC</v></cell><cell r="AH642"><v>223560347</v></cell><cell r="AI642" t="str"><v>AzurePlatform_FreeAcctAppsFACEBOOKIllustrationChC_GBR_1200x628_SOC_PLAT_EN_Trial_Standard_NA_SU_T3_1</v></cell><cell r="AJ642"><v>102857037</v></cell></row><row r="643"><cell r="C643" t="str"><v>43287Facebook»Retargeting»1x1»SocialBan»LIA»DT»DYN»RT»W»NA»SS»NA»Free Account Retargeting VM- 750 Hrs ChD</v></cell><cell r="D643" t="str"><v>43287223560338</v></cell><cell r="E643" t="str"><v>43287102853603rs ChD</v></cell><cell r="F643" t="str"><v>DCM</v></cell><cell r="G643" t="str"><v>https://azure.microsoft.com/en-gb/free/virtual-machines/search/</v></cell></row><row r="643"><cell r="K643" t="str"><v>July</v></cell><cell r="L643"><v>43288</v></cell><cell r="M643" t="str"><v>Tier 1</v></cell><cell r="N643" t="str"><v>EMEA</v></cell><cell r="O643" t="str"><v>United Kingdom</v></cell><cell r="P643" t="str"><v>Trial</v></cell><cell r="Q643" t="str"><v>Social</v></cell><cell r="R643" t="str"><v>Azure</v></cell><cell r="S643" t="str"><v>Apps & Infra</v></cell><cell r="T643" t="str"><v>Developers & ITI's</v></cell><cell r="U643" t="str"><v>Retargeting</v></cell><cell r="V643" t="str"><v>Retargeting</v></cell><cell r="W643" t="str"><v>Link Ad</v></cell><cell r="X643" t="str"><v>1x1</v></cell></row><row r="643"><cell r="AA643"><v>43287</v></cell><cell r="AB643" t="str"><v>GBR_gaPMG_CE_AZR_Q1_19_Trial-Social</v></cell><cell r="AC643"><v>21337013</v></cell><cell r="AD643"><v>720196</v></cell><cell r="AE643" t="str"><v>Facebook</v></cell><cell r="AF643"><v>3654128</v></cell><cell r="AG643" t="str"><v>Facebook»Retargeting»1x1»SocialBan»LIA»DT»DYN»RT»W»NA»SS»NA»Free Account Retargeting VM- 750 Hrs ChD</v></cell><cell r="AH643"><v>223560338</v></cell><cell r="AI643" t="str"><v>AzurePlatform_FreeAcctRetargetingVMFB-750Hrs-ChD_GBR_1200x628_SOC_Plat_EN_Free Account_Standard_NA_SU_T1_1</v></cell><cell r="AJ643"><v>102853603</v></cell></row><row r="644"><cell r="C644" t="str"><v>43287Facebook»Retargeting»1x1»SocialBan»LIA»DT»DYN»RT»W»NA»SS»NA»Free Account Retargeting VM- On Demand ChE</v></cell><cell r="D644" t="str"><v>43287223560332</v></cell><cell r="E644" t="str"><v>43287102854037nd ChE</v></cell><cell r="F644" t="str"><v>DCM</v></cell><cell r="G644" t="str"><v>https://azure.microsoft.com/en-gb/free/virtual-machines/search/</v></cell></row><row r="644"><cell r="K644" t="str"><v>July</v></cell><cell r="L644"><v>43288</v></cell><cell r="M644" t="str"><v>Tier 1</v></cell><cell r="N644" t="str"><v>EMEA</v></cell><cell r="O644" t="str"><v>United Kingdom</v></cell><cell r="P644" t="str"><v>Trial</v></cell><cell r="Q644" t="str"><v>Social</v></cell><cell r="R644" t="str"><v>Azure</v></cell><cell r="S644" t="str"><v>Apps & Infra</v></cell><cell r="T644" t="str"><v>Developers & ITI's</v></cell><cell r="U644" t="str"><v>Retargeting</v></cell><cell r="V644" t="str"><v>Retargeting</v></cell><cell r="W644" t="str"><v>Link Ad</v></cell><cell r="X644" t="str"><v>1x1</v></cell></row><row r="644"><cell r="AA644"><v>43287</v></cell><cell r="AB644" t="str"><v>GBR_gaPMG_CE_AZR_Q1_19_Trial-Social</v></cell><cell r="AC644"><v>21337013</v></cell><cell r="AD644"><v>720196</v></cell><cell r="AE644" t="str"><v>Facebook</v></cell><cell r="AF644"><v>3654128</v></cell><cell r="AG644" t="str"><v>Facebook»Retargeting»1x1»SocialBan»LIA»DT»DYN»RT»W»NA»SS»NA»Free Account Retargeting VM- On Demand ChE</v></cell><cell r="AH644"><v>223560332</v></cell><cell r="AI644" t="str"><v>AzurePlatform_FreeAcctRetargetingVMFB-OnDemand-ChE_GBR_1200x628_SOC_Plat_EN_Free Account_Standard_NA_SU_T2_1</v></cell><cell r="AJ644"><v>102854037</v></cell></row><row r="645"><cell r="C645" t="str"><v>43287Facebook»AZP-Canvas-Interest&Role-Trial»1x1»Canvas»OTH»MO»CPM»PRO»X»UNK»TP»OT»Canvas-Trial</v></cell><cell r="D645" t="str"><v>43287223298805</v></cell><cell r="E645" t="str"><v>43287102630373-Trial</v></cell><cell r="F645" t="str"><v>DCM</v></cell><cell r="G645" t="str"><v>https://azure.microsoft.com/ja-jp/pricing/purchase-options/</v></cell></row><row r="645"><cell r="K645" t="str"><v>July</v></cell><cell r="L645"><v>43288</v></cell><cell r="M645" t="str"><v>Tier 1</v></cell><cell r="N645" t="str"><v>APAC</v></cell><cell r="O645" t="str"><v>Japan</v></cell><cell r="P645" t="str"><v>Trial</v></cell><cell r="Q645" t="str"><v>Social</v></cell><cell r="R645" t="str"><v>Azure</v></cell><cell r="S645" t="str"><v>Apps & Infra</v></cell><cell r="T645" t="str"><v>Developers & ITI's</v></cell><cell r="U645" t="str"><v>AZP-Canvas-Interest&Role-Trial</v></cell><cell r="V645" t="str"><v>Prospecting</v></cell><cell r="W645" t="str"><v>Other</v></cell><cell r="X645" t="str"><v>1x1</v></cell></row><row r="645"><cell r="AA645"><v>43287</v></cell><cell r="AB645" t="str"><v>JPN_gaPMG_AZR_AZR_Q1_19_Trial-Social</v></cell><cell r="AC645"><v>21276694</v></cell><cell r="AD645"><v>720195</v></cell><cell r="AE645" t="str"><v>Facebook</v></cell><cell r="AF645"><v>3654128</v></cell><cell r="AG645" t="str"><v>Facebook»AZP-Canvas-Interest&Role-Trial»1x1»Canvas»OTH»MO»CPM»PRO»X»UNK»TP»OT»Canvas-Trial</v></cell><cell r="AH645"><v>223298805</v></cell><cell r="AI645" t="str"><v>AzurePlatform_FBCTCcanvaspage-BuyNowCTA-Img3_JPN_1080x162_SOC_Plat_Japanese_NA_Standard_NA_BN_T3_1</v></cell><cell r="AJ645"><v>102630373</v></cell></row><row r="646"><cell r="C646" t="str"><v>43287Facebook»AZP-Canvas-Interest&Role-Trial»1x1»Canvas»OTH»MO»CPM»PRO»X»UNK»TP»OT»Canvas-Trial</v></cell><cell r="D646" t="str"><v>43287223298805</v></cell><cell r="E646" t="str"><v>43287102609621-Trial</v></cell><cell r="F646" t="str"><v>DCM</v></cell><cell r="G646" t="str"><v>https://signup.azure.com/signup?offer=ms-azr-0044p&appId=102&ref=paidmedia-social-fb&redirectURL=https%3a%2f%2fazure.microsoft.com%2fja-jp%2fget-started%2fwelcome-to-azure%2f&l=ja-jp&correlationId=ead86c34-1f10-49dd-a72b-6918462a2cbf</v></cell></row><row r="646"><cell r="K646" t="str"><v>July</v></cell><cell r="L646"><v>43288</v></cell><cell r="M646" t="str"><v>Tier 1</v></cell><cell r="N646" t="str"><v>APAC</v></cell><cell r="O646" t="str"><v>Japan</v></cell><cell r="P646" t="str"><v>Trial</v></cell><cell r="Q646" t="str"><v>Social</v></cell><cell r="R646" t="str"><v>Azure</v></cell><cell r="S646" t="str"><v>Apps & Infra</v></cell><cell r="T646" t="str"><v>Developers & ITI's</v></cell><cell r="U646" t="str"><v>AZP-Canvas-Interest&Role-Trial</v></cell><cell r="V646" t="str"><v>Prospecting</v></cell><cell r="W646" t="str"><v>Other</v></cell><cell r="X646" t="str"><v>1x1</v></cell></row><row r="646"><cell r="AA646"><v>43287</v></cell><cell r="AB646" t="str"><v>JPN_gaPMG_AZR_AZR_Q1_19_Trial-Social</v></cell><cell r="AC646"><v>21276694</v></cell><cell r="AD646"><v>720195</v></cell><cell r="AE646" t="str"><v>Facebook</v></cell><cell r="AF646"><v>3654128</v></cell><cell r="AG646" t="str"><v>Facebook»AZP-Canvas-Interest&Role-Trial»1x1»Canvas»OTH»MO»CPM»PRO»X»UNK»TP»OT»Canvas-Trial</v></cell><cell r="AH646"><v>223298805</v></cell><cell r="AI646" t="str"><v>AzurePlatform_FBCTCcanvaspage-StartFreeCTA-Img2_JPN_1080x143 _SOC_Plat_Japanese_NA_Standard_NA_NA_T2_1</v></cell><cell r="AJ646"><v>102609621</v></cell></row><row r="647"><cell r="C647" t="str"><v>43287Facebook»AZP-Canvas-Look a Like-Trial»1x1»Canvas»OTH»MO»CPM»PRO»X»UNK»TP»OT»Canvas-Trial</v></cell><cell r="D647" t="str"><v>43287223297413</v></cell><cell r="E647" t="str"><v>43287102630373-Trial</v></cell><cell r="F647" t="str"><v>DCM</v></cell><cell r="G647" t="str"><v>https://azure.microsoft.com/ja-jp/pricing/purchase-options/</v></cell></row><row r="647"><cell r="K647" t="str"><v>July</v></cell><cell r="L647"><v>43288</v></cell><cell r="M647" t="str"><v>Tier 1</v></cell><cell r="N647" t="str"><v>APAC</v></cell><cell r="O647" t="str"><v>Japan</v></cell><cell r="P647" t="str"><v>Trial</v></cell><cell r="Q647" t="str"><v>Social</v></cell><cell r="R647" t="str"><v>Azure</v></cell><cell r="S647" t="str"><v>Apps & Infra</v></cell><cell r="T647" t="str"><v>Developers & ITI's</v></cell><cell r="U647" t="str"><v>AZP-Canvas-Look a Like-Trial</v></cell><cell r="V647" t="str"><v>Prospecting</v></cell><cell r="W647" t="str"><v>Other</v></cell><cell r="X647" t="str"><v>1x1</v></cell></row><row r="647"><cell r="AA647"><v>43287</v></cell><cell r="AB647" t="str"><v>JPN_gaPMG_AZR_AZR_Q1_19_Trial-Social</v></cell><cell r="AC647"><v>21276694</v></cell><cell r="AD647"><v>720195</v></cell><cell r="AE647" t="str"><v>Facebook</v></cell><cell r="AF647"><v>3654128</v></cell><cell r="AG647" t="str"><v>Facebook»AZP-Canvas-Look a Like-Trial»1x1»Canvas»OTH»MO»CPM»PRO»X»UNK»TP»OT»Canvas-Trial</v></cell><cell r="AH647"><v>223297413</v></cell><cell r="AI647" t="str"><v>AzurePlatform_FBCTCcanvaspage-BuyNowCTA-Img3_JPN_1080x162_SOC_Plat_Japanese_NA_Standard_NA_BN_T3_1</v></cell><cell r="AJ647"><v>102630373</v></cell></row><row r="648"><cell r="C648" t="str"><v>43287Facebook»AZP-Canvas-Look a Like-Trial»1x1»Canvas»OTH»MO»CPM»PRO»X»UNK»TP»OT»Canvas-Trial</v></cell><cell r="D648" t="str"><v>43287223297413</v></cell><cell r="E648" t="str"><v>43287102609621-Trial</v></cell><cell r="F648" t="str"><v>DCM</v></cell><cell r="G648" t="str"><v>https://signup.azure.com/signup?offer=ms-azr-0044p&appId=102&ref=paidmedia-social-fb&redirectURL=https%3a%2f%2fazure.microsoft.com%2fja-jp%2fget-started%2fwelcome-to-azure%2f&l=ja-jp&correlationId=ead86c34-1f10-49dd-a72b-6918462a2cbf</v></cell></row><row r="648"><cell r="K648" t="str"><v>July</v></cell><cell r="L648"><v>43288</v></cell><cell r="M648" t="str"><v>Tier 1</v></cell><cell r="N648" t="str"><v>APAC</v></cell><cell r="O648" t="str"><v>Japan</v></cell><cell r="P648" t="str"><v>Trial</v></cell><cell r="Q648" t="str"><v>Social</v></cell><cell r="R648" t="str"><v>Azure</v></cell><cell r="S648" t="str"><v>Apps & Infra</v></cell><cell r="T648" t="str"><v>Developers & ITI's</v></cell><cell r="U648" t="str"><v>AZP-Canvas-Look a Like-Trial</v></cell><cell r="V648" t="str"><v>Prospecting</v></cell><cell r="W648" t="str"><v>Other</v></cell><cell r="X648" t="str"><v>1x1</v></cell></row><row r="648"><cell r="AA648"><v>43287</v></cell><cell r="AB648" t="str"><v>JPN_gaPMG_AZR_AZR_Q1_19_Trial-Social</v></cell><cell r="AC648"><v>21276694</v></cell><cell r="AD648"><v>720195</v></cell><cell r="AE648" t="str"><v>Facebook</v></cell><cell r="AF648"><v>3654128</v></cell><cell r="AG648" t="str"><v>Facebook»AZP-Canvas-Look a Like-Trial»1x1»Canvas»OTH»MO»CPM»PRO»X»UNK»TP»OT»Canvas-Trial</v></cell><cell r="AH648"><v>223297413</v></cell><cell r="AI648" t="str"><v>AzurePlatform_FBCTCcanvaspage-StartFreeCTA-Img2_JPN_1080x143 _SOC_Plat_Japanese_NA_Standard_NA_NA_T2_1</v></cell><cell r="AJ648"><v>102609621</v></cell></row><row r="649"><cell r="C649" t="str"><v>43287Facebook»AZP-Retargeting»1x1»Ban»LIA»ALL»CPM»RT»X»All»TP»OT»Free Account Retargeting Generic-ChB</v></cell><cell r="D649" t="str"><v>43287223726377</v></cell><cell r="E649" t="str"><v>43287102977720ic-ChB</v></cell><cell r="F649" t="str"><v>DCM</v></cell><cell r="G649" t="str"><v>https://azure.microsoft.com/ja-jp/free/search/</v></cell></row><row r="649"><cell r="K649" t="str"><v>July</v></cell><cell r="L649"><v>43288</v></cell><cell r="M649" t="str"><v>Tier 1</v></cell><cell r="N649" t="str"><v>APAC</v></cell><cell r="O649" t="str"><v>Japan</v></cell><cell r="P649" t="str"><v>Trial</v></cell><cell r="Q649" t="str"><v>Social</v></cell><cell r="R649" t="str"><v>Azure</v></cell><cell r="S649" t="str"><v>Apps & Infra</v></cell><cell r="T649" t="str"><v>Developers & ITI's</v></cell><cell r="U649" t="str"><v>AZP-Retargeting</v></cell><cell r="V649" t="str"><v>Retargeting</v></cell><cell r="W649" t="str"><v>Link Ad</v></cell><cell r="X649" t="str"><v>1x1</v></cell></row><row r="649"><cell r="AA649"><v>43287</v></cell><cell r="AB649" t="str"><v>JPN_gaPMG_AZR_AZR_Q1_19_Trial-Social</v></cell><cell r="AC649"><v>21276694</v></cell><cell r="AD649"><v>720195</v></cell><cell r="AE649" t="str"><v>Facebook</v></cell><cell r="AF649"><v>3654128</v></cell><cell r="AG649" t="str"><v>Facebook»AZP-Retargeting»1x1»Ban»LIA»ALL»CPM»RT»X»All»TP»OT»Free Account Retargeting Generic-ChB</v></cell><cell r="AH649"><v>223726377</v></cell><cell r="AI649" t="str"><v>AzurePlatform_FreeAcctRetargetingFB-GlobalAlt-ChB_JPN_1200x628_SOC_Plat_JA_Free Account_Standard_NA_SU_T2_1</v></cell><cell r="AJ649"><v>102977720</v></cell></row><row r="650"><cell r="C650" t="str"><v>43287Facebook»AZP-Retargeting»1x1»Ban»LIA»ALL»CPM»RT»X»All»TP»OT»Free Account Retargeting OSS-ChG</v></cell><cell r="D650" t="str"><v>43287223726365</v></cell><cell r="E650" t="str"><v>43287102976850SS-ChG</v></cell><cell r="F650" t="str"><v>DCM</v></cell><cell r="G650" t="str"><v>https://azure.microsoft.com/ja-jp/free/open-source/search/</v></cell></row><row r="650"><cell r="K650" t="str"><v>July</v></cell><cell r="L650"><v>43288</v></cell><cell r="M650" t="str"><v>Tier 1</v></cell><cell r="N650" t="str"><v>APAC</v></cell><cell r="O650" t="str"><v>Japan</v></cell><cell r="P650" t="str"><v>Trial</v></cell><cell r="Q650" t="str"><v>Social</v></cell><cell r="R650" t="str"><v>Azure</v></cell><cell r="S650" t="str"><v>Apps & Infra</v></cell><cell r="T650" t="str"><v>Developers & ITI's</v></cell><cell r="U650" t="str"><v>AZP-Retargeting</v></cell><cell r="V650" t="str"><v>Retargeting</v></cell><cell r="W650" t="str"><v>Link Ad</v></cell><cell r="X650" t="str"><v>1x1</v></cell></row><row r="650"><cell r="AA650"><v>43287</v></cell><cell r="AB650" t="str"><v>JPN_gaPMG_AZR_AZR_Q1_19_Trial-Social</v></cell><cell r="AC650"><v>21276694</v></cell><cell r="AD650"><v>720195</v></cell><cell r="AE650" t="str"><v>Facebook</v></cell><cell r="AF650"><v>3654128</v></cell><cell r="AG650" t="str"><v>Facebook»AZP-Retargeting»1x1»Ban»LIA»ALL»CPM»RT»X»All»TP»OT»Free Account Retargeting OSS-ChG</v></cell><cell r="AH650"><v>223726365</v></cell><cell r="AI650" t="str"><v>AzurePlatform_FreeAcctRetargetingOSSFB-Logos-ChG_JPN_1200x628_SOC_Plat_JA_Free Account_Standard_NA_SU_T2_1</v></cell><cell r="AJ650"><v>102976850</v></cell></row><row r="651"><cell r="C651" t="str"><v>43287Facebook»AZP-Retargeting»1x1»Canvas»OTH»MO»CPM»RT»W»UNK»TP»OT»Trial-Basicmotion</v></cell><cell r="D651" t="str"><v>43287223298811</v></cell><cell r="E651" t="str"><v>43287102773984motion</v></cell><cell r="F651" t="str"><v>DCM</v></cell><cell r="G651" t="str"><v>https://azure.microsoft.com/ja-jp/free/search/</v></cell></row><row r="651"><cell r="K651" t="str"><v>July</v></cell><cell r="L651"><v>43288</v></cell><cell r="M651" t="str"><v>Tier 1</v></cell><cell r="N651" t="str"><v>APAC</v></cell><cell r="O651" t="str"><v>Japan</v></cell><cell r="P651" t="str"><v>Trial</v></cell><cell r="Q651" t="str"><v>Social</v></cell><cell r="R651" t="str"><v>Azure</v></cell><cell r="S651" t="str"><v>Apps & Infra</v></cell><cell r="T651" t="str"><v>Developers & ITI's</v></cell><cell r="U651" t="str"><v>AZP-Retargeting</v></cell><cell r="V651" t="str"><v>Retargeting</v></cell><cell r="W651" t="str"><v>Other</v></cell><cell r="X651" t="str"><v>1x1</v></cell></row><row r="651"><cell r="AA651"><v>43287</v></cell><cell r="AB651" t="str"><v>JPN_gaPMG_AZR_AZR_Q1_19_Trial-Social</v></cell><cell r="AC651"><v>21276694</v></cell><cell r="AD651"><v>720195</v></cell><cell r="AE651" t="str"><v>Facebook</v></cell><cell r="AF651"><v>3654128</v></cell><cell r="AG651" t="str"><v>Facebook»AZP-Retargeting»1x1»Canvas»OTH»MO»CPM»RT»W»UNK»TP»OT»Trial-Basicmotion</v></cell><cell r="AH651"><v>223298811</v></cell><cell r="AI651" t="str"><v>AzurePlatform_FBCTCBasicMotion_JPN_10sec_ISV_PLAT_JA_Trial_Standard_STAN_TN_T1_1</v></cell><cell r="AJ651"><v>102773984</v></cell></row><row r="652"><cell r="C652" t="str"><v>43287Facebook»AZP-Retargeting»1x1»Canvas»OTH»MO»CPM»RT»W»UNK»TP»OT»Trial-Benefit2inMotion</v></cell><cell r="D652" t="str"><v>43287223298496</v></cell><cell r="E652" t="str"><v>43287102630376Motion</v></cell><cell r="F652" t="str"><v>DCM</v></cell><cell r="G652" t="str"><v>https://azure.microsoft.com/ja-jp/free/search/</v></cell></row><row r="652"><cell r="K652" t="str"><v>July</v></cell><cell r="L652"><v>43288</v></cell><cell r="M652" t="str"><v>Tier 1</v></cell><cell r="N652" t="str"><v>APAC</v></cell><cell r="O652" t="str"><v>Japan</v></cell><cell r="P652" t="str"><v>Trial</v></cell><cell r="Q652" t="str"><v>Social</v></cell><cell r="R652" t="str"><v>Azure</v></cell><cell r="S652" t="str"><v>Apps & Infra</v></cell><cell r="T652" t="str"><v>Developers & ITI's</v></cell><cell r="U652" t="str"><v>AZP-Retargeting</v></cell><cell r="V652" t="str"><v>Retargeting</v></cell><cell r="W652" t="str"><v>Other</v></cell><cell r="X652" t="str"><v>1x1</v></cell></row><row r="652"><cell r="AA652"><v>43287</v></cell><cell r="AB652" t="str"><v>JPN_gaPMG_AZR_AZR_Q1_19_Trial-Social</v></cell><cell r="AC652"><v>21276694</v></cell><cell r="AD652"><v>720195</v></cell><cell r="AE652" t="str"><v>Facebook</v></cell><cell r="AF652"><v>3654128</v></cell><cell r="AG652" t="str"><v>Facebook»AZP-Retargeting»1x1»Canvas»OTH»MO»CPM»RT»W»UNK»TP»OT»Trial-Benefit2inMotion</v></cell><cell r="AH652"><v>223298496</v></cell><cell r="AI652" t="str"><v>AzurePlatform_FBCTCBenefit2inMotion_JPN_14sec_ISV_PLAT_JA_Trial_Standard_STAN_TN_T4_1</v></cell><cell r="AJ652"><v>102630376</v></cell></row><row r="653"><cell r="C653" t="str"><v>43287Facebook»AZP-Retargeting»1x1»Canvas»OTH»MO»CPM»RT»W»UNK»TP»OT»Trial-BrandinMotion</v></cell><cell r="D653" t="str"><v>43287223298823</v></cell><cell r="E653" t="str"><v>43287102612720Motion</v></cell><cell r="F653" t="str"><v>DCM</v></cell><cell r="G653" t="str"><v>https://azure.microsoft.com/ja-jp/free/search/</v></cell></row><row r="653"><cell r="K653" t="str"><v>July</v></cell><cell r="L653"><v>43288</v></cell><cell r="M653" t="str"><v>Tier 1</v></cell><cell r="N653" t="str"><v>APAC</v></cell><cell r="O653" t="str"><v>Japan</v></cell><cell r="P653" t="str"><v>Trial</v></cell><cell r="Q653" t="str"><v>Social</v></cell><cell r="R653" t="str"><v>Azure</v></cell><cell r="S653" t="str"><v>Apps & Infra</v></cell><cell r="T653" t="str"><v>Developers & ITI's</v></cell><cell r="U653" t="str"><v>AZP-Retargeting</v></cell><cell r="V653" t="str"><v>Retargeting</v></cell><cell r="W653" t="str"><v>Other</v></cell><cell r="X653" t="str"><v>1x1</v></cell></row><row r="653"><cell r="AA653"><v>43287</v></cell><cell r="AB653" t="str"><v>JPN_gaPMG_AZR_AZR_Q1_19_Trial-Social</v></cell><cell r="AC653"><v>21276694</v></cell><cell r="AD653"><v>720195</v></cell><cell r="AE653" t="str"><v>Facebook</v></cell><cell r="AF653"><v>3654128</v></cell><cell r="AG653" t="str"><v>Facebook»AZP-Retargeting»1x1»Canvas»OTH»MO»CPM»RT»W»UNK»TP»OT»Trial-BrandinMotion</v></cell><cell r="AH653"><v>223298823</v></cell><cell r="AI653" t="str"><v>AzurePlatform_FBCTCBrandinMotion_JPN_12sec_ISV_PLAT_JA_Trial_Standard_STAN_TN_T2_1</v></cell><cell r="AJ653"><v>102612720</v></cell></row><row r="654"><cell r="C654" t="str"><v>43287FACEBOOK»USA-Trial-ITD-Interest Prospecting-AZR-AZR»1 x 1»SocialBan»CAN»ALL»CPA»PRO»X»NA»SS»NA»FBCTCBasicMotion»PRC1SV</v></cell><cell r="D654" t="str"><v>43287223934062</v></cell><cell r="E654" t="str"><v>43287103043823PRC1SV</v></cell><cell r="F654" t="str"><v>DCM</v></cell><cell r="G654" t="str"><v>https://signup.azure.com/?OCID=AID%eexcid!_OLA_%ebuy!_%epid!_%ecid!</v></cell></row><row r="654"><cell r="K654" t="str"><v>July</v></cell><cell r="L654"><v>43288</v></cell><cell r="M654" t="str"><v>Tier 0</v></cell><cell r="N654" t="str"><v>North America</v></cell><cell r="O654" t="str"><v>United States</v></cell><cell r="P654" t="str"><v>Trial</v></cell><cell r="Q654" t="str"><v>Social</v></cell><cell r="R654" t="str"><v>Azure</v></cell><cell r="S654" t="str"><v>Apps & Infra</v></cell><cell r="T654" t="str"><v>Developers & ITI's</v></cell><cell r="U654" t="str"><v>USA-Trial-ITD-Interest Prospecting-AZR-AZR</v></cell><cell r="V654" t="str"><v>Prospecting</v></cell><cell r="W654" t="str"><v>Canvas Ad</v></cell><cell r="X654" t="str"><v>1x1</v></cell></row><row r="654"><cell r="AA654"><v>43287</v></cell><cell r="AB654" t="str"><v>USA_gaPMG_AZR_AZR_Q1_19_Direct-Social</v></cell><cell r="AC654"><v>21358715</v></cell><cell r="AD654"><v>720197</v></cell><cell r="AE654" t="str"><v>Facebook</v></cell><cell r="AF654"><v>3654128</v></cell><cell r="AG654" t="str"><v>FACEBOOK»USA-Trial-ITD-Interest Prospecting-AZR-AZR»1 x 1»SocialBan»CAN»ALL»CPA»PRO»X»NA»SS»NA»FBCTCBasicMotion»PRC1SV</v></cell><cell r="AH654"><v>223934062</v></cell><cell r="AI654" t="str"><v>AzurePlatform_FBCTCBasicMotion_USA_10s_CAN_PLATFORM_English_Trial_Standard_STAN_TIN_T1_1</v></cell><cell r="AJ654"><v>103043823</v></cell></row><row r="655"><cell r="C655" t="str"><v>43287FACEBOOK»USA-Trial-ITD-Interest Prospecting-AZR-AZR»1 x 1»SocialBan»CAN»ALL»CPA»PRO»X»NA»SS»NA»FBCTCBenefit2inMotion»PRC1SW</v></cell><cell r="D655" t="str"><v>43287223933138</v></cell><cell r="E655" t="str"><v>43287103043835PRC1SW</v></cell><cell r="F655" t="str"><v>DCM</v></cell><cell r="G655" t="str"><v>https://signup.azure.com/?OCID=AID%eexcid!_OLA_%ebuy!_%epid!_%ecid!</v></cell></row><row r="655"><cell r="K655" t="str"><v>July</v></cell><cell r="L655"><v>43288</v></cell><cell r="M655" t="str"><v>Tier 0</v></cell><cell r="N655" t="str"><v>North America</v></cell><cell r="O655" t="str"><v>United States</v></cell><cell r="P655" t="str"><v>Trial</v></cell><cell r="Q655" t="str"><v>Social</v></cell><cell r="R655" t="str"><v>Azure</v></cell><cell r="S655" t="str"><v>Apps & Infra</v></cell><cell r="T655" t="str"><v>Developers & ITI's</v></cell><cell r="U655" t="str"><v>USA-Trial-ITD-Interest Prospecting-AZR-AZR</v></cell><cell r="V655" t="str"><v>Prospecting</v></cell><cell r="W655" t="str"><v>Canvas Ad</v></cell><cell r="X655" t="str"><v>1x1</v></cell></row><row r="655"><cell r="AA655"><v>43287</v></cell><cell r="AB655" t="str"><v>USA_gaPMG_AZR_AZR_Q1_19_Direct-Social</v></cell><cell r="AC655"><v>21358715</v></cell><cell r="AD655"><v>720197</v></cell><cell r="AE655" t="str"><v>Facebook</v></cell><cell r="AF655"><v>3654128</v></cell><cell r="AG655" t="str"><v>FACEBOOK»USA-Trial-ITD-Interest Prospecting-AZR-AZR»1 x 1»SocialBan»CAN»ALL»CPA»PRO»X»NA»SS»NA»FBCTCBenefit2inMotion»PRC1SW</v></cell><cell r="AH655"><v>223933138</v></cell><cell r="AI655" t="str"><v>AzurePlatform_FBCTCBenefit2inMotion_USA_10s_CAN_PLATFORM_English_Trial_Standard_STAN_TIN_T4_1</v></cell><cell r="AJ655"><v>103043835</v></cell></row><row r="656"><cell r="C656" t="str"><v>43287FACEBOOK»USA-Trial-ITD-Interest Prospecting-AZR-AZR»1 x 1»SocialBan»CAN»ALL»CPA»PRO»X»NA»SS»NA»FBCTCBenefit2inMotion»PRC1SW</v></cell><cell r="D656" t="str"><v>43287223933138</v></cell><cell r="E656" t="str"><v>43287103178645PRC1SW</v></cell><cell r="F656" t="str"><v>DCM</v></cell><cell r="G656" t="str"><v>https://azure.microsoft.com/en-us/pricing/purchase-options/?v=18.19&OCID=AID%eexcid!_OLA_%ebuy!_%epid!_%ecid!</v></cell></row><row r="656"><cell r="K656" t="str"><v>July</v></cell><cell r="L656"><v>43288</v></cell><cell r="M656" t="str"><v>Tier 0</v></cell><cell r="N656" t="str"><v>North America</v></cell><cell r="O656" t="str"><v>United States</v></cell><cell r="P656" t="str"><v>Trial</v></cell><cell r="Q656" t="str"><v>Social</v></cell><cell r="R656" t="str"><v>Azure</v></cell><cell r="S656" t="str"><v>Apps & Infra</v></cell><cell r="T656" t="str"><v>Developers & ITI's</v></cell><cell r="U656" t="str"><v>USA-Trial-ITD-Interest Prospecting-AZR-AZR</v></cell><cell r="V656" t="str"><v>Prospecting</v></cell><cell r="W656" t="str"><v>Canvas Ad</v></cell><cell r="X656" t="str"><v>1x1</v></cell></row><row r="656"><cell r="AA656"><v>43287</v></cell><cell r="AB656" t="str"><v>USA_gaPMG_AZR_AZR_Q1_19_Direct-Social</v></cell><cell r="AC656"><v>21358715</v></cell><cell r="AD656"><v>720197</v></cell><cell r="AE656" t="str"><v>Facebook</v></cell><cell r="AF656"><v>3654128</v></cell><cell r="AG656" t="str"><v>FACEBOOK»USA-Trial-ITD-Interest Prospecting-AZR-AZR»1 x 1»SocialBan»CAN»ALL»CPA»PRO»X»NA»SS»NA»FBCTCBenefit2inMotion»PRC1SW</v></cell><cell r="AH656"><v>223933138</v></cell><cell r="AI656" t="str"><v>AzurePlatform_FBCTCBenefit2inMotion_USA_10s_CAN_PLATFORM_English_Trial_Standard_STAN_TIN_T4_2</v></cell><cell r="AJ656"><v>103178645</v></cell></row><row r="657"><cell r="C657" t="str"><v>43287FACEBOOK»USA-Trial-ITD-Interest Prospecting-AZR-AZR»1 x 1»SocialBan»CAN»ALL»CPA»PRO»X»NA»SS»NA»FBCTCBrandinMotion»PRC1SY</v></cell><cell r="D657" t="str"><v>43287224104929</v></cell><cell r="E657" t="str"><v>43287103176812PRC1SY</v></cell><cell r="F657" t="str"><v>DCM</v></cell><cell r="G657" t="str"><v>https://signup.azure.com/?OCID=AID%eexcid!_OLA_%ebuy!_%epid!_%ecid!</v></cell></row><row r="657"><cell r="K657" t="str"><v>July</v></cell><cell r="L657"><v>43288</v></cell><cell r="M657" t="str"><v>Tier 0</v></cell><cell r="N657" t="str"><v>North America</v></cell><cell r="O657" t="str"><v>United States</v></cell><cell r="P657" t="str"><v>Trial</v></cell><cell r="Q657" t="str"><v>Social</v></cell><cell r="R657" t="str"><v>Azure</v></cell><cell r="S657" t="str"><v>Apps & Infra</v></cell><cell r="T657" t="str"><v>Developers & ITI's</v></cell><cell r="U657" t="str"><v>USA-Trial-ITD-Interest Prospecting-AZR-AZR</v></cell><cell r="V657" t="str"><v>Prospecting</v></cell><cell r="W657" t="str"><v>Canvas Ad</v></cell><cell r="X657" t="str"><v>1x1</v></cell></row><row r="657"><cell r="AA657"><v>43287</v></cell><cell r="AB657" t="str"><v>USA_gaPMG_AZR_AZR_Q1_19_Direct-Social</v></cell><cell r="AC657"><v>21358715</v></cell><cell r="AD657"><v>720197</v></cell><cell r="AE657" t="str"><v>Facebook</v></cell><cell r="AF657"><v>3654128</v></cell><cell r="AG657" t="str"><v>FACEBOOK»USA-Trial-ITD-Interest Prospecting-AZR-AZR»1 x 1»SocialBan»CAN»ALL»CPA»PRO»X»NA»SS»NA»FBCTCBrandinMotion»PRC1SY</v></cell><cell r="AH657"><v>224104929</v></cell><cell r="AI657" t="str"><v>AzurePlatform_FBCTCBrandinMotion_USA_10s_CAN_PLATFORM_English_Trial_Standard_STAN_TIN_T2_1</v></cell><cell r="AJ657"><v>103176812</v></cell></row><row r="658"><cell r="C658" t="str"><v>43287FACEBOOK»USA-Trial-ITD-Interest Prospecting-AZR-AZR»1 x 1»SocialBan»CAN»ALL»CPA»PRO»X»NA»SS»NA»FBCTCBrandinMotion»PRC1SY</v></cell><cell r="D658" t="str"><v>43287224104929</v></cell><cell r="E658" t="str"><v>43287103032823PRC1SY</v></cell><cell r="F658" t="str"><v>DCM</v></cell><cell r="G658" t="str"><v>https://azure.microsoft.com/en-us/pricing/purchase-options/?v=18.19&OCID=AID%eexcid!_OLA_%ebuy!_%epid!_%ecid!</v></cell></row><row r="658"><cell r="K658" t="str"><v>July</v></cell><cell r="L658"><v>43288</v></cell><cell r="M658" t="str"><v>Tier 0</v></cell><cell r="N658" t="str"><v>North America</v></cell><cell r="O658" t="str"><v>United States</v></cell><cell r="P658" t="str"><v>Trial</v></cell><cell r="Q658" t="str"><v>Social</v></cell><cell r="R658" t="str"><v>Azure</v></cell><cell r="S658" t="str"><v>Apps & Infra</v></cell><cell r="T658" t="str"><v>Developers & ITI's</v></cell><cell r="U658" t="str"><v>USA-Trial-ITD-Interest Prospecting-AZR-AZR</v></cell><cell r="V658" t="str"><v>Prospecting</v></cell><cell r="W658" t="str"><v>Canvas Ad</v></cell><cell r="X658" t="str"><v>1x1</v></cell></row><row r="658"><cell r="AA658"><v>43287</v></cell><cell r="AB658" t="str"><v>USA_gaPMG_AZR_AZR_Q1_19_Direct-Social</v></cell><cell r="AC658"><v>21358715</v></cell><cell r="AD658"><v>720197</v></cell><cell r="AE658" t="str"><v>Facebook</v></cell><cell r="AF658"><v>3654128</v></cell><cell r="AG658" t="str"><v>FACEBOOK»USA-Trial-ITD-Interest Prospecting-AZR-AZR»1 x 1»SocialBan»CAN»ALL»CPA»PRO»X»NA»SS»NA»FBCTCBrandinMotion»PRC1SY</v></cell><cell r="AH658"><v>224104929</v></cell><cell r="AI658" t="str"><v>AzurePlatform_FBCTCBrandinMotion_USA_10s_CAN_PLATFORM_English_Trial_Standard_STAN_TIN_T2_2</v></cell><cell r="AJ658"><v>103032823</v></cell></row><row r="659"><cell r="C659" t="str"><v>43287FACEBOOK»USA-Trial-ITD-Interest Prospecting-AZR-AZR»1 x 1»SocialBan»LIA»ALL»CPA»PRO»X»NA»SS»NA»FreeAcctDeveloperFB-AnimatedGeneric-Ch1»PRC1SZ</v></cell><cell r="D659" t="str"><v>43287224104932</v></cell><cell r="E659" t="str"><v>43287103176851PRC1SZ</v></cell><cell r="F659" t="str"><v>DCM</v></cell><cell r="G659" t="str"><v>https://azure.microsoft.com/en-us/free/search/?OCID=AID%eexcid!_OLA_%ebuy!_%epid!_%ecid!</v></cell></row><row r="659"><cell r="K659" t="str"><v>July</v></cell><cell r="L659"><v>43288</v></cell><cell r="M659" t="str"><v>Tier 0</v></cell><cell r="N659" t="str"><v>North America</v></cell><cell r="O659" t="str"><v>United States</v></cell><cell r="P659" t="str"><v>Trial</v></cell><cell r="Q659" t="str"><v>Social</v></cell><cell r="R659" t="str"><v>Azure</v></cell><cell r="S659" t="str"><v>Apps & Infra</v></cell><cell r="T659" t="str"><v>Developers & ITI's</v></cell><cell r="U659" t="str"><v>USA-Trial-ITD-Interest Prospecting-AZR-AZR</v></cell><cell r="V659" t="str"><v>Prospecting</v></cell><cell r="W659" t="str"><v>Link Ad</v></cell><cell r="X659" t="str"><v>1x1</v></cell></row><row r="659"><cell r="AA659"><v>43287</v></cell><cell r="AB659" t="str"><v>USA_gaPMG_AZR_AZR_Q1_19_Direct-Social</v></cell><cell r="AC659"><v>21358715</v></cell><cell r="AD659"><v>720197</v></cell><cell r="AE659" t="str"><v>Facebook</v></cell><cell r="AF659"><v>3654128</v></cell><cell r="AG659" t="str"><v>FACEBOOK»USA-Trial-ITD-Interest Prospecting-AZR-AZR»1 x 1»SocialBan»LIA»ALL»CPA»PRO»X»NA»SS»NA»FreeAcctDeveloperFB-AnimatedGeneric-Ch1»PRC1SZ</v></cell><cell r="AH659"><v>224104932</v></cell><cell r="AI659" t="str"><v>AZR_FreeAcctDeveloperFB-AnimatedGeneric-Ch1_USA_1200x1200_CAN_Direct_English_Trial_Standard_ANI_LEA_T1_2</v></cell><cell r="AJ659"><v>103176851</v></cell></row><row r="660"><cell r="C660" t="str"><v>43287FACEBOOK»USA-Trial-ITD-Interest Prospecting-AZR-AZR»1 x 1»SocialBan»LIA»ALL»CPA»PRO»X»NA»SS»NA»FreeAcctDeveloperFB-AnimatedGeneric-Ch1»PRC1T0</v></cell><cell r="D660" t="str"><v>43287223934065</v></cell><cell r="E660" t="str"><v>43287103176851PRC1T0</v></cell><cell r="F660" t="str"><v>DCM</v></cell><cell r="G660" t="str"><v>https://azure.microsoft.com/en-us/free/search/?OCID=AID%eexcid!_OLA_%ebuy!_%epid!_%ecid!</v></cell></row><row r="660"><cell r="K660" t="str"><v>July</v></cell><cell r="L660"><v>43288</v></cell><cell r="M660" t="str"><v>Tier 0</v></cell><cell r="N660" t="str"><v>North America</v></cell><cell r="O660" t="str"><v>United States</v></cell><cell r="P660" t="str"><v>Trial</v></cell><cell r="Q660" t="str"><v>Social</v></cell><cell r="R660" t="str"><v>Azure</v></cell><cell r="S660" t="str"><v>Apps & Infra</v></cell><cell r="T660" t="str"><v>Developers & ITI's</v></cell><cell r="U660" t="str"><v>USA-Trial-ITD-Interest Prospecting-AZR-AZR</v></cell><cell r="V660" t="str"><v>Prospecting</v></cell><cell r="W660" t="str"><v>Link Ad</v></cell><cell r="X660" t="str"><v>1x1</v></cell></row><row r="660"><cell r="AA660"><v>43287</v></cell><cell r="AB660" t="str"><v>USA_gaPMG_AZR_AZR_Q1_19_Direct-Social</v></cell><cell r="AC660"><v>21358715</v></cell><cell r="AD660"><v>720197</v></cell><cell r="AE660" t="str"><v>Facebook</v></cell><cell r="AF660"><v>3654128</v></cell><cell r="AG660" t="str"><v>FACEBOOK»USA-Trial-ITD-Interest Prospecting-AZR-AZR»1 x 1»SocialBan»LIA»ALL»CPA»PRO»X»NA»SS»NA»FreeAcctDeveloperFB-AnimatedGeneric-Ch1»PRC1T0</v></cell><cell r="AH660"><v>223934065</v></cell><cell r="AI660" t="str"><v>AZR_FreeAcctDeveloperFB-AnimatedGeneric-Ch1_USA_1200x1200_CAN_Direct_English_Trial_Standard_ANI_LEA_T1_2</v></cell><cell r="AJ660"><v>103176851</v></cell></row><row r="661"><cell r="C661" t="str"><v>43287FACEBOOK»USA-Trial-ITD-Interest Prospecting-AZR-AZR»1 x 1»SocialBan»LIA»ALL»CPA»PRO»X»NA»SS»NA»FreeAcctITProFB-AnimatedHybrid-Ch2»PRC1T5</v></cell><cell r="D661" t="str"><v>43287223862882</v></cell><cell r="E661" t="str"><v>43287103180583PRC1T5</v></cell><cell r="F661" t="str"><v>DCM</v></cell></row><row r="661"><cell r="K661" t="str"><v>July</v></cell><cell r="L661"><v>43288</v></cell><cell r="M661" t="str"><v>Tier 0</v></cell><cell r="N661" t="str"><v>North America</v></cell><cell r="O661" t="str"><v>United States</v></cell><cell r="P661" t="str"><v>Trial</v></cell><cell r="Q661" t="str"><v>Social</v></cell><cell r="R661" t="str"><v>Azure</v></cell><cell r="S661" t="str"><v>Apps & Infra</v></cell><cell r="T661" t="str"><v>Developers & ITI's</v></cell><cell r="U661" t="str"><v>USA-Trial-ITD-Interest Prospecting-AZR-AZR</v></cell><cell r="V661" t="str"><v>Prospecting</v></cell><cell r="W661" t="str"><v>Link Ad</v></cell><cell r="X661" t="str"><v>1x1</v></cell></row><row r="661"><cell r="AA661"><v>43287</v></cell><cell r="AB661" t="str"><v>USA_gaPMG_AZR_AZR_Q1_19_Direct-Social</v></cell><cell r="AC661"><v>21358715</v></cell><cell r="AD661"><v>720197</v></cell><cell r="AE661" t="str"><v>Facebook</v></cell><cell r="AF661"><v>3654128</v></cell><cell r="AG661" t="str"><v>FACEBOOK»USA-Trial-ITD-Interest Prospecting-AZR-AZR»1 x 1»SocialBan»LIA»ALL»CPA»PRO»X»NA»SS»NA»FreeAcctITProFB-AnimatedHybrid-Ch2»PRC1T5</v></cell><cell r="AH661"><v>223862882</v></cell><cell r="AI661" t="str"><v>AZR_FreeAcctITProFB-AnimatedHybrid-Ch2_USA_1200x1200_CAN_Direct_English_Trial_Standard_ANI_LEA_T2_2</v></cell><cell r="AJ661"><v>103180583</v></cell></row><row r="662"><cell r="C662" t="str"><v>43287FACEBOOK»USA-Trial-ITD-Interest Prospecting-AZR-AZR»1 x 1»SocialBan»LIA»ALL»CPA»PRO»X»NA»SS»NA»FreeAcctITProFB-AnimatedSecureMngd-Ch1»PRC1T4</v></cell><cell r="D662" t="str"><v>43287224104914</v></cell><cell r="E662" t="str"><v>43287103176830PRC1T4</v></cell><cell r="F662" t="str"><v>DCM</v></cell></row><row r="662"><cell r="K662" t="str"><v>July</v></cell><cell r="L662"><v>43288</v></cell><cell r="M662" t="str"><v>Tier 0</v></cell><cell r="N662" t="str"><v>North America</v></cell><cell r="O662" t="str"><v>United States</v></cell><cell r="P662" t="str"><v>Trial</v></cell><cell r="Q662" t="str"><v>Social</v></cell><cell r="R662" t="str"><v>Azure</v></cell><cell r="S662" t="str"><v>Apps & Infra</v></cell><cell r="T662" t="str"><v>Developers & ITI's</v></cell><cell r="U662" t="str"><v>USA-Trial-ITD-Interest Prospecting-AZR-AZR</v></cell><cell r="V662" t="str"><v>Prospecting</v></cell><cell r="W662" t="str"><v>Link Ad</v></cell><cell r="X662" t="str"><v>1x1</v></cell></row><row r="662"><cell r="AA662"><v>43287</v></cell><cell r="AB662" t="str"><v>USA_gaPMG_AZR_AZR_Q1_19_Direct-Social</v></cell><cell r="AC662"><v>21358715</v></cell><cell r="AD662"><v>720197</v></cell><cell r="AE662" t="str"><v>Facebook</v></cell><cell r="AF662"><v>3654128</v></cell><cell r="AG662" t="str"><v>FACEBOOK»USA-Trial-ITD-Interest Prospecting-AZR-AZR»1 x 1»SocialBan»LIA»ALL»CPA»PRO»X»NA»SS»NA»FreeAcctITProFB-AnimatedSecureMngd-Ch1»PRC1T4</v></cell><cell r="AH662"><v>224104914</v></cell><cell r="AI662" t="str"><v>AZR_FreeAcctITProFB-AnimatedSecureMngd-Ch1_USA_1200x1200_CAN_Direct_English_Trial_Standard_ANI_LEA_T1_1</v></cell><cell r="AJ662"><v>103176830</v></cell></row><row r="663"><cell r="C663" t="str"><v>43287FACEBOOK»USA-Trial-ITD-Retargeting-AZR-AZR»1 x 1»SocialBan»LIA»ALL»CPA»RT»X»NA»SS»NA»FreeAcctDeveloperFB-AnimatedAI-Ch3»PRC26H</v></cell><cell r="D663" t="str"><v>43287223863371</v></cell><cell r="E663" t="str"><v>43287103032778PRC26H</v></cell><cell r="F663" t="str"><v>DCM</v></cell></row><row r="663"><cell r="K663" t="str"><v>July</v></cell><cell r="L663"><v>43288</v></cell><cell r="M663" t="str"><v>Tier 0</v></cell><cell r="N663" t="str"><v>North America</v></cell><cell r="O663" t="str"><v>United States</v></cell><cell r="P663" t="str"><v>Trial</v></cell><cell r="Q663" t="str"><v>Social</v></cell><cell r="R663" t="str"><v>Azure</v></cell><cell r="S663" t="str"><v>Apps & Infra</v></cell><cell r="T663" t="str"><v>Developers & ITI's</v></cell><cell r="U663" t="str"><v>USA-Trial-ITD-Retargeting-AZR-AZR</v></cell><cell r="V663" t="str"><v>Retargeting</v></cell><cell r="W663" t="str"><v>Link Ad</v></cell><cell r="X663" t="str"><v>1x1</v></cell></row><row r="663"><cell r="AA663"><v>43287</v></cell><cell r="AB663" t="str"><v>USA_gaPMG_AZR_AZR_Q1_19_Direct-Social</v></cell><cell r="AC663"><v>21358715</v></cell><cell r="AD663"><v>720197</v></cell><cell r="AE663" t="str"><v>Facebook</v></cell><cell r="AF663"><v>3654128</v></cell><cell r="AG663" t="str"><v>FACEBOOK»USA-Trial-ITD-Retargeting-AZR-AZR»1 x 1»SocialBan»LIA»ALL»CPA»RT»X»NA»SS»NA»FreeAcctDeveloperFB-AnimatedAI-Ch3»PRC26H</v></cell><cell r="AH663"><v>223863371</v></cell><cell r="AI663" t="str"><v>AZR_FreeAcctDeveloperFB-AnimatedAI-Ch3_USA_1200x1200_CAN_Direct_English_Trial_Standard_ANI_LEA_T3_1</v></cell><cell r="AJ663"><v>103032778</v></cell></row><row r="664"><cell r="C664" t="str"><v>43287FACEBOOK»USA-Trial-ITD-Retargeting-AZR-AZR»1 x 1»SocialBan»LIA»ALL»CPA»RT»X»NA»SS»NA»FreeAcctDeveloperFB-AnimatedData-Ch4»PRC26J</v></cell><cell r="D664" t="str"><v>43287224106078</v></cell><cell r="E664" t="str"><v>43287103037935PRC26J</v></cell><cell r="F664" t="str"><v>DCM</v></cell></row><row r="664"><cell r="K664" t="str"><v>July</v></cell><cell r="L664"><v>43288</v></cell><cell r="M664" t="str"><v>Tier 0</v></cell><cell r="N664" t="str"><v>North America</v></cell><cell r="O664" t="str"><v>United States</v></cell><cell r="P664" t="str"><v>Trial</v></cell><cell r="Q664" t="str"><v>Social</v></cell><cell r="R664" t="str"><v>Azure</v></cell><cell r="S664" t="str"><v>Apps & Infra</v></cell><cell r="T664" t="str"><v>Developers & ITI's</v></cell><cell r="U664" t="str"><v>USA-Trial-ITD-Retargeting-AZR-AZR</v></cell><cell r="V664" t="str"><v>Retargeting</v></cell><cell r="W664" t="str"><v>Link Ad</v></cell><cell r="X664" t="str"><v>1x1</v></cell></row><row r="664"><cell r="AA664"><v>43287</v></cell><cell r="AB664" t="str"><v>USA_gaPMG_AZR_AZR_Q1_19_Direct-Social</v></cell><cell r="AC664"><v>21358715</v></cell><cell r="AD664"><v>720197</v></cell><cell r="AE664" t="str"><v>Facebook</v></cell><cell r="AF664"><v>3654128</v></cell><cell r="AG664" t="str"><v>FACEBOOK»USA-Trial-ITD-Retargeting-AZR-AZR»1 x 1»SocialBan»LIA»ALL»CPA»RT»X»NA»SS»NA»FreeAcctDeveloperFB-AnimatedData-Ch4»PRC26J</v></cell><cell r="AH664"><v>224106078</v></cell><cell r="AI664" t="str"><v>AZR_FreeAcctDeveloperFB-AnimatedData-Ch4_USA_1200x1200_CAN_Direct_English_Trial_Standard_ANI_LEA_T4_2</v></cell><cell r="AJ664"><v>103037935</v></cell></row><row r="665"><cell r="C665" t="str"><v>43287FACEBOOK»USA-Trial-ITD-Retargeting-AZR-AZR»1 x 1»SocialBan»LIA»ALL»CPA»RT»X»NA»SS»NA»FreeAcctDeveloperFB-AnimatedGeneric-Ch1»PRC26F</v></cell><cell r="D665" t="str"><v>43287224105850</v></cell><cell r="E665" t="str"><v>43287103176851PRC26F</v></cell><cell r="F665" t="str"><v>DCM</v></cell><cell r="G665" t="str"><v>https://azure.microsoft.com/en-us/free/search/?OCID=AID%eexcid!_OLA_%ebuy!_%epid!_%ecid!</v></cell></row><row r="665"><cell r="K665" t="str"><v>July</v></cell><cell r="L665"><v>43288</v></cell><cell r="M665" t="str"><v>Tier 0</v></cell><cell r="N665" t="str"><v>North America</v></cell><cell r="O665" t="str"><v>United States</v></cell><cell r="P665" t="str"><v>Trial</v></cell><cell r="Q665" t="str"><v>Social</v></cell><cell r="R665" t="str"><v>Azure</v></cell><cell r="S665" t="str"><v>Apps & Infra</v></cell><cell r="T665" t="str"><v>Developers & ITI's</v></cell><cell r="U665" t="str"><v>USA-Trial-ITD-Retargeting-AZR-AZR</v></cell><cell r="V665" t="str"><v>Retargeting</v></cell><cell r="W665" t="str"><v>Link Ad</v></cell><cell r="X665" t="str"><v>1x1</v></cell></row><row r="665"><cell r="AA665"><v>43287</v></cell><cell r="AB665" t="str"><v>USA_gaPMG_AZR_AZR_Q1_19_Direct-Social</v></cell><cell r="AC665"><v>21358715</v></cell><cell r="AD665"><v>720197</v></cell><cell r="AE665" t="str"><v>Facebook</v></cell><cell r="AF665"><v>3654128</v></cell><cell r="AG665" t="str"><v>FACEBOOK»USA-Trial-ITD-Retargeting-AZR-AZR»1 x 1»SocialBan»LIA»ALL»CPA»RT»X»NA»SS»NA»FreeAcctDeveloperFB-AnimatedGeneric-Ch1»PRC26F</v></cell><cell r="AH665"><v>224105850</v></cell><cell r="AI665" t="str"><v>AZR_FreeAcctDeveloperFB-AnimatedGeneric-Ch1_USA_1200x1200_CAN_Direct_English_Trial_Standard_ANI_LEA_T1_2</v></cell><cell r="AJ665"><v>103176851</v></cell></row><row r="666"><cell r="C666" t="str"><v>43287FACEBOOK»USA-Trial-ITD-Retargeting-AZR-AZR»1 x 1»SocialBan»LIA»ALL»CPA»RT»X»NA»SS»NA»FreeAcctDeveloperFB-AnimatedOpenSource-Ch2»PRC26G</v></cell><cell r="D666" t="str"><v>43287223862873</v></cell><cell r="E666" t="str"><v>43287103048329PRC26G</v></cell><cell r="F666" t="str"><v>DCM</v></cell><cell r="G666" t="str"><v>https://azure.microsoft.com/en-us/free/open-source/search/?OCID=AID%eexcid!_OLA_%ebuy!_%epid!_%ecid!</v></cell></row><row r="666"><cell r="K666" t="str"><v>July</v></cell><cell r="L666"><v>43288</v></cell><cell r="M666" t="str"><v>Tier 0</v></cell><cell r="N666" t="str"><v>North America</v></cell><cell r="O666" t="str"><v>United States</v></cell><cell r="P666" t="str"><v>Trial</v></cell><cell r="Q666" t="str"><v>Social</v></cell><cell r="R666" t="str"><v>Azure</v></cell><cell r="S666" t="str"><v>Apps & Infra</v></cell><cell r="T666" t="str"><v>Developers & ITI's</v></cell><cell r="U666" t="str"><v>USA-Trial-ITD-Retargeting-AZR-AZR</v></cell><cell r="V666" t="str"><v>Retargeting</v></cell><cell r="W666" t="str"><v>Link Ad</v></cell><cell r="X666" t="str"><v>1x1</v></cell></row><row r="666"><cell r="AA666"><v>43287</v></cell><cell r="AB666" t="str"><v>USA_gaPMG_AZR_AZR_Q1_19_Direct-Social</v></cell><cell r="AC666"><v>21358715</v></cell><cell r="AD666"><v>720197</v></cell><cell r="AE666" t="str"><v>Facebook</v></cell><cell r="AF666"><v>3654128</v></cell><cell r="AG666" t="str"><v>FACEBOOK»USA-Trial-ITD-Retargeting-AZR-AZR»1 x 1»SocialBan»LIA»ALL»CPA»RT»X»NA»SS»NA»FreeAcctDeveloperFB-AnimatedOpenSource-Ch2»PRC26G</v></cell><cell r="AH666"><v>223862873</v></cell><cell r="AI666" t="str"><v>AZR_FreeAcctDeveloperFB-AnimatedOpenSource-Ch2_USA_1200x1200_CAN_Direct_English_Trial_Standard_ANI_LEA_T2_1</v></cell><cell r="AJ666"><v>103048329</v></cell></row><row r="667"><cell r="C667" t="str"><v>43287FACEBOOK»USA-Trial-ITD-Retargeting-AZR-AZR»1 x 1»SocialBan»LIA»ALL»CPA»RT»X»NA»SS»NA»FreeAcctITProFB-AnimatedHybrid-Ch2»PRC26N</v></cell><cell r="D667" t="str"><v>43287223934053</v></cell><cell r="E667" t="str"><v>43287103180583PRC26N</v></cell><cell r="F667" t="str"><v>DCM</v></cell></row><row r="667"><cell r="K667" t="str"><v>July</v></cell><cell r="L667"><v>43288</v></cell><cell r="M667" t="str"><v>Tier 0</v></cell><cell r="N667" t="str"><v>North America</v></cell><cell r="O667" t="str"><v>United States</v></cell><cell r="P667" t="str"><v>Trial</v></cell><cell r="Q667" t="str"><v>Social</v></cell><cell r="R667" t="str"><v>Azure</v></cell><cell r="S667" t="str"><v>Apps & Infra</v></cell><cell r="T667" t="str"><v>Developers & ITI's</v></cell><cell r="U667" t="str"><v>USA-Trial-ITD-Retargeting-AZR-AZR</v></cell><cell r="V667" t="str"><v>Retargeting</v></cell><cell r="W667" t="str"><v>Link Ad</v></cell><cell r="X667" t="str"><v>1x1</v></cell></row><row r="667"><cell r="AA667"><v>43287</v></cell><cell r="AB667" t="str"><v>USA_gaPMG_AZR_AZR_Q1_19_Direct-Social</v></cell><cell r="AC667"><v>21358715</v></cell><cell r="AD667"><v>720197</v></cell><cell r="AE667" t="str"><v>Facebook</v></cell><cell r="AF667"><v>3654128</v></cell><cell r="AG667" t="str"><v>FACEBOOK»USA-Trial-ITD-Retargeting-AZR-AZR»1 x 1»SocialBan»LIA»ALL»CPA»RT»X»NA»SS»NA»FreeAcctITProFB-AnimatedHybrid-Ch2»PRC26N</v></cell><cell r="AH667"><v>223934053</v></cell><cell r="AI667" t="str"><v>AZR_FreeAcctITProFB-AnimatedHybrid-Ch2_USA_1200x1200_CAN_Direct_English_Trial_Standard_ANI_LEA_T2_2</v></cell><cell r="AJ667"><v>103180583</v></cell></row><row r="668"><cell r="C668" t="str"><v>43287FACEBOOK»USA-Trial-ITD-Retargeting-AZR-AZR»1 x 1»SocialBan»LIA»ALL»CPA»RT»X»NA»SS»NA»FreeAcctITProFB-AnimatedMigration-Ch3»PRC26P</v></cell><cell r="D668" t="str"><v>43287223934056</v></cell><cell r="E668" t="str"><v>43287103176827PRC26P</v></cell><cell r="F668" t="str"><v>DCM</v></cell></row><row r="668"><cell r="K668" t="str"><v>July</v></cell><cell r="L668"><v>43288</v></cell><cell r="M668" t="str"><v>Tier 0</v></cell><cell r="N668" t="str"><v>North America</v></cell><cell r="O668" t="str"><v>United States</v></cell><cell r="P668" t="str"><v>Trial</v></cell><cell r="Q668" t="str"><v>Social</v></cell><cell r="R668" t="str"><v>Azure</v></cell><cell r="S668" t="str"><v>Apps & Infra</v></cell><cell r="T668" t="str"><v>Developers & ITI's</v></cell><cell r="U668" t="str"><v>USA-Trial-ITD-Retargeting-AZR-AZR</v></cell><cell r="V668" t="str"><v>Retargeting</v></cell><cell r="W668" t="str"><v>Link Ad</v></cell><cell r="X668" t="str"><v>1x1</v></cell></row><row r="668"><cell r="AA668"><v>43287</v></cell><cell r="AB668" t="str"><v>USA_gaPMG_AZR_AZR_Q1_19_Direct-Social</v></cell><cell r="AC668"><v>21358715</v></cell><cell r="AD668"><v>720197</v></cell><cell r="AE668" t="str"><v>Facebook</v></cell><cell r="AF668"><v>3654128</v></cell><cell r="AG668" t="str"><v>FACEBOOK»USA-Trial-ITD-Retargeting-AZR-AZR»1 x 1»SocialBan»LIA»ALL»CPA»RT»X»NA»SS»NA»FreeAcctITProFB-AnimatedMigration-Ch3»PRC26P</v></cell><cell r="AH668"><v>223934056</v></cell><cell r="AI668" t="str"><v>AZR_FreeAcctITProFB-AnimatedMigration-Ch3_USA_1200x1200_CAN_Direct_English_Trial_Standard_ANI_LEA_T3_1</v></cell><cell r="AJ668"><v>103176827</v></cell></row><row r="669"><cell r="C669" t="str"><v>43287FACEBOOK»USA-Trial-ITD-Retargeting-AZR-AZR»1 x 1»SocialBan»LIA»ALL»CPA»RT»X»NA»SS»NA»FreeAcctRetargetingFB-Animated-ChC»PRC1RX</v></cell><cell r="D669" t="str"><v>43287223862864</v></cell><cell r="E669" t="str"><v>43287103180880PRC1RX</v></cell><cell r="F669" t="str"><v>DCM</v></cell><cell r="G669" t="str"><v>https://azure.microsoft.com/en-us/free/search/?OCID=AID%eexcid!_OLA_%ebuy!_%epid!_%ecid!</v></cell></row><row r="669"><cell r="K669" t="str"><v>July</v></cell><cell r="L669"><v>43288</v></cell><cell r="M669" t="str"><v>Tier 0</v></cell><cell r="N669" t="str"><v>North America</v></cell><cell r="O669" t="str"><v>United States</v></cell><cell r="P669" t="str"><v>Trial</v></cell><cell r="Q669" t="str"><v>Social</v></cell><cell r="R669" t="str"><v>Azure</v></cell><cell r="S669" t="str"><v>Apps & Infra</v></cell><cell r="T669" t="str"><v>Developers & ITI's</v></cell><cell r="U669" t="str"><v>USA-Trial-ITD-Retargeting-AZR-AZR</v></cell><cell r="V669" t="str"><v>Retargeting</v></cell><cell r="W669" t="str"><v>Link Ad</v></cell><cell r="X669" t="str"><v>1x1</v></cell></row><row r="669"><cell r="AA669"><v>43287</v></cell><cell r="AB669" t="str"><v>USA_gaPMG_AZR_AZR_Q1_19_Direct-Social</v></cell><cell r="AC669"><v>21358715</v></cell><cell r="AD669"><v>720197</v></cell><cell r="AE669" t="str"><v>Facebook</v></cell><cell r="AF669"><v>3654128</v></cell><cell r="AG669" t="str"><v>FACEBOOK»USA-Trial-ITD-Retargeting-AZR-AZR»1 x 1»SocialBan»LIA»ALL»CPA»RT»X»NA»SS»NA»FreeAcctRetargetingFB-Animated-ChC»PRC1RX</v></cell><cell r="AH669"><v>223862864</v></cell><cell r="AI669" t="str"><v>AzurePlatform_FreeAcctRetargetingFB-Animated-ChC_USA_1200x628_CAN_PLATFORM_English_Free Account_Standard_ANI_SINU_T3_2</v></cell><cell r="AJ669"><v>103180880</v></cell></row><row r="670"><cell r="C670" t="str"><v>43287FACEBOOK»USA-Trial-ITD-Retargeting-AZR-AZR»1 x 1»SocialBan»LIA»ALL»CPA»RT»X»NA»SS»NA»FreeAcctRetargetingFB-Credit-ChA»PRC1RV</v></cell><cell r="D670" t="str"><v>43287224106075</v></cell><cell r="E670" t="str"><v>43287103034917PRC1RV</v></cell><cell r="F670" t="str"><v>DCM</v></cell><cell r="G670" t="str"><v>https://azure.microsoft.com/en-us/free/search/?OCID=AID%eexcid!_OLA_%ebuy!_%epid!_%ecid!</v></cell></row><row r="670"><cell r="K670" t="str"><v>July</v></cell><cell r="L670"><v>43288</v></cell><cell r="M670" t="str"><v>Tier 0</v></cell><cell r="N670" t="str"><v>North America</v></cell><cell r="O670" t="str"><v>United States</v></cell><cell r="P670" t="str"><v>Trial</v></cell><cell r="Q670" t="str"><v>Social</v></cell><cell r="R670" t="str"><v>Azure</v></cell><cell r="S670" t="str"><v>Apps & Infra</v></cell><cell r="T670" t="str"><v>Developers & ITI's</v></cell><cell r="U670" t="str"><v>USA-Trial-ITD-Retargeting-AZR-AZR</v></cell><cell r="V670" t="str"><v>Retargeting</v></cell><cell r="W670" t="str"><v>Link Ad</v></cell><cell r="X670" t="str"><v>1x1</v></cell></row><row r="670"><cell r="AA670"><v>43287</v></cell><cell r="AB670" t="str"><v>USA_gaPMG_AZR_AZR_Q1_19_Direct-Social</v></cell><cell r="AC670"><v>21358715</v></cell><cell r="AD670"><v>720197</v></cell><cell r="AE670" t="str"><v>Facebook</v></cell><cell r="AF670"><v>3654128</v></cell><cell r="AG670" t="str"><v>FACEBOOK»USA-Trial-ITD-Retargeting-AZR-AZR»1 x 1»SocialBan»LIA»ALL»CPA»RT»X»NA»SS»NA»FreeAcctRetargetingFB-Credit-ChA»PRC1RV</v></cell><cell r="AH670"><v>224106075</v></cell><cell r="AI670" t="str"><v>AzurePlatform_FreeAcctRetargetingFB-Credit-ChA_USA_1200x628_CAN_PLATFORM_English_Free Account_Standard_NA_SINU_T1_2</v></cell><cell r="AJ670"><v>103034917</v></cell></row><row r="671"><cell r="C671" t="str"><v>43287FACEBOOK»USA-Trial-ITD-Retargeting-AZR-AZR»1 x 1»SocialBan»LIA»ALL»CPA»RT»X»NA»SS»NA»FreeAcctRetargetingFB-GlobalAlt-ChB»PRC1RW</v></cell><cell r="D671" t="str"><v>43287223862756</v></cell><cell r="E671" t="str"><v>43287103180592PRC1RW</v></cell><cell r="F671" t="str"><v>DCM</v></cell><cell r="G671" t="str"><v>https://azure.microsoft.com/en-us/free/search/?OCID=AID%eexcid!_OLA_%ebuy!_%epid!_%ecid!</v></cell></row><row r="671"><cell r="K671" t="str"><v>July</v></cell><cell r="L671"><v>43288</v></cell><cell r="M671" t="str"><v>Tier 0</v></cell><cell r="N671" t="str"><v>North America</v></cell><cell r="O671" t="str"><v>United States</v></cell><cell r="P671" t="str"><v>Trial</v></cell><cell r="Q671" t="str"><v>Social</v></cell><cell r="R671" t="str"><v>Azure</v></cell><cell r="S671" t="str"><v>Apps & Infra</v></cell><cell r="T671" t="str"><v>Developers & ITI's</v></cell><cell r="U671" t="str"><v>USA-Trial-ITD-Retargeting-AZR-AZR</v></cell><cell r="V671" t="str"><v>Retargeting</v></cell><cell r="W671" t="str"><v>Link Ad</v></cell><cell r="X671" t="str"><v>1x1</v></cell></row><row r="671"><cell r="AA671"><v>43287</v></cell><cell r="AB671" t="str"><v>USA_gaPMG_AZR_AZR_Q1_19_Direct-Social</v></cell><cell r="AC671"><v>21358715</v></cell><cell r="AD671"><v>720197</v></cell><cell r="AE671" t="str"><v>Facebook</v></cell><cell r="AF671"><v>3654128</v></cell><cell r="AG671" t="str"><v>FACEBOOK»USA-Trial-ITD-Retargeting-AZR-AZR»1 x 1»SocialBan»LIA»ALL»CPA»RT»X»NA»SS»NA»FreeAcctRetargetingFB-GlobalAlt-ChB»PRC1RW</v></cell><cell r="AH671"><v>223862756</v></cell><cell r="AI671" t="str"><v>AzurePlatform_FreeAcctRetargetingFB-GlobalAlt-ChB_USA_1200x628_CAN_PLATFORM_English_Free Account_Standard_NA_SINU_T2_1</v></cell><cell r="AJ671"><v>103180592</v></cell></row><row r="672"><cell r="C672" t="str"><v>43287FACEBOOK»USA-Trial-ITD-Retargeting-AZR-AZR»1 x 1»SocialBan»LIA»ALL»CPA»RT»X»NA»SS»NA»FreeAcctRetargetingVMFB-750Hrs-ChD»PRC1RY</v></cell><cell r="D672" t="str"><v>43287223862747</v></cell><cell r="E672" t="str"><v>43287103034911PRC1RY</v></cell><cell r="F672" t="str"><v>DCM</v></cell><cell r="G672" t="str"><v>https://azure.microsoft.com/en-us/free/virtual-machines/search/?OCID=AID%eexcid!_OLA_%ebuy!_%epid!_%ecid!</v></cell></row><row r="672"><cell r="K672" t="str"><v>July</v></cell><cell r="L672"><v>43288</v></cell><cell r="M672" t="str"><v>Tier 0</v></cell><cell r="N672" t="str"><v>North America</v></cell><cell r="O672" t="str"><v>United States</v></cell><cell r="P672" t="str"><v>Trial</v></cell><cell r="Q672" t="str"><v>Social</v></cell><cell r="R672" t="str"><v>Azure</v></cell><cell r="S672" t="str"><v>Apps & Infra</v></cell><cell r="T672" t="str"><v>Developers & ITI's</v></cell><cell r="U672" t="str"><v>USA-Trial-ITD-Retargeting-AZR-AZR</v></cell><cell r="V672" t="str"><v>Retargeting</v></cell><cell r="W672" t="str"><v>Link Ad</v></cell><cell r="X672" t="str"><v>1x1</v></cell></row><row r="672"><cell r="AA672"><v>43287</v></cell><cell r="AB672" t="str"><v>USA_gaPMG_AZR_AZR_Q1_19_Direct-Social</v></cell><cell r="AC672"><v>21358715</v></cell><cell r="AD672"><v>720197</v></cell><cell r="AE672" t="str"><v>Facebook</v></cell><cell r="AF672"><v>3654128</v></cell><cell r="AG672" t="str"><v>FACEBOOK»USA-Trial-ITD-Retargeting-AZR-AZR»1 x 1»SocialBan»LIA»ALL»CPA»RT»X»NA»SS»NA»FreeAcctRetargetingVMFB-750Hrs-ChD»PRC1RY</v></cell><cell r="AH672"><v>223862747</v></cell><cell r="AI672" t="str"><v>AzurePlatform_FreeAcctRetargetingVMFB-750Hrs-ChD_USA_1200x628_CAN_PLATFORM_English_Free Account_Standard_NA_SINU_T1_1</v></cell><cell r="AJ672"><v>103034911</v></cell></row><row r="673"><cell r="C673" t="str"><v>43287FACEBOOK»USA-Trial-ITD-Retargeting-AZR-AZR»1 x 1»SocialBan»LIA»ALL»CPA»RT»X»NA»SS»NA»FreeAcctRetargetingVMFB-OnDemand-ChE»PRC1S0</v></cell><cell r="D673" t="str"><v>43287224104899</v></cell><cell r="E673" t="str"><v>43287103180610PRC1S0</v></cell><cell r="F673" t="str"><v>DCM</v></cell><cell r="G673" t="str"><v>https://azure.microsoft.com/en-us/free/virtual-machines/search/?OCID=AID%eexcid!_OLA_%ebuy!_%epid!_%ecid!</v></cell></row><row r="673"><cell r="K673" t="str"><v>July</v></cell><cell r="L673"><v>43288</v></cell><cell r="M673" t="str"><v>Tier 0</v></cell><cell r="N673" t="str"><v>North America</v></cell><cell r="O673" t="str"><v>United States</v></cell><cell r="P673" t="str"><v>Trial</v></cell><cell r="Q673" t="str"><v>Social</v></cell><cell r="R673" t="str"><v>Azure</v></cell><cell r="S673" t="str"><v>Apps & Infra</v></cell><cell r="T673" t="str"><v>Developers & ITI's</v></cell><cell r="U673" t="str"><v>USA-Trial-ITD-Retargeting-AZR-AZR</v></cell><cell r="V673" t="str"><v>Retargeting</v></cell><cell r="W673" t="str"><v>Link Ad</v></cell><cell r="X673" t="str"><v>1x1</v></cell></row><row r="673"><cell r="AA673"><v>43287</v></cell><cell r="AB673" t="str"><v>USA_gaPMG_AZR_AZR_Q1_19_Direct-Social</v></cell><cell r="AC673"><v>21358715</v></cell><cell r="AD673"><v>720197</v></cell><cell r="AE673" t="str"><v>Facebook</v></cell><cell r="AF673"><v>3654128</v></cell><cell r="AG673" t="str"><v>FACEBOOK»USA-Trial-ITD-Retargeting-AZR-AZR»1 x 1»SocialBan»LIA»ALL»CPA»RT»X»NA»SS»NA»FreeAcctRetargetingVMFB-OnDemand-ChE»PRC1S0</v></cell><cell r="AH673"><v>224104899</v></cell><cell r="AI673" t="str"><v>AzurePlatform_FreeAcctRetargetingVMFB-OnDemand-ChE_USA_1200x628_CAN_PLATFORM_English_Free Account_Standard_NA_SINU_T2_1</v></cell><cell r="AJ673"><v>103180610</v></cell></row><row r="674"><cell r="C674" t="str"><v>43287FACEBOOK»USA-Trial-ITD-Retargeting-AZR-AZR»1 x 1»SocialBan»CAN»ALL»CPA»RT»X»NA»SS»NA»FBCTCBenefit2inMotion»PRC1RR</v></cell><cell r="D674" t="str"><v>43287224104896</v></cell><cell r="E674" t="str"><v>43287103043835PRC1RR</v></cell><cell r="F674" t="str"><v>DCM</v></cell><cell r="G674" t="str"><v>https://signup.azure.com/?OCID=AID%eexcid!_OLA_%ebuy!_%epid!_%ecid!</v></cell></row><row r="674"><cell r="K674" t="str"><v>July</v></cell><cell r="L674"><v>43288</v></cell><cell r="M674" t="str"><v>Tier 0</v></cell><cell r="N674" t="str"><v>North America</v></cell><cell r="O674" t="str"><v>United States</v></cell><cell r="P674" t="str"><v>Trial</v></cell><cell r="Q674" t="str"><v>Social</v></cell><cell r="R674" t="str"><v>Azure</v></cell><cell r="S674" t="str"><v>Apps & Infra</v></cell><cell r="T674" t="str"><v>Developers & ITI's</v></cell><cell r="U674" t="str"><v>USA-Trial-ITD-Retargeting-AZR-AZR</v></cell><cell r="V674" t="str"><v>Retargeting</v></cell><cell r="W674" t="str"><v>Canvas Ad</v></cell><cell r="X674" t="str"><v>1x1</v></cell></row><row r="674"><cell r="AA674"><v>43287</v></cell><cell r="AB674" t="str"><v>USA_gaPMG_AZR_AZR_Q1_19_Direct-Social</v></cell><cell r="AC674"><v>21358715</v></cell><cell r="AD674"><v>720197</v></cell><cell r="AE674" t="str"><v>Facebook</v></cell><cell r="AF674"><v>3654128</v></cell><cell r="AG674" t="str"><v>FACEBOOK»USA-Trial-ITD-Retargeting-AZR-AZR»1 x 1»SocialBan»CAN»ALL»CPA»RT»X»NA»SS»NA»FBCTCBenefit2inMotion»PRC1RR</v></cell><cell r="AH674"><v>224104896</v></cell><cell r="AI674" t="str"><v>AzurePlatform_FBCTCBenefit2inMotion_USA_10s_CAN_PLATFORM_English_Trial_Standard_STAN_TIN_T4_1</v></cell><cell r="AJ674"><v>103043835</v></cell></row><row r="675"><cell r="C675" t="str"><v>43287FACEBOOK»USA-Trial-ITD-Retargeting-AZR-AZR»1 x 1»SocialBan»CAN»ALL»CPA»RT»X»NA»SS»NA»FBCTCBrandinMotion»PRC1RT</v></cell><cell r="D675" t="str"><v>43287224106069</v></cell><cell r="E675" t="str"><v>43287103176812PRC1RT</v></cell><cell r="F675" t="str"><v>DCM</v></cell><cell r="G675" t="str"><v>https://signup.azure.com/?OCID=AID%eexcid!_OLA_%ebuy!_%epid!_%ecid!</v></cell></row><row r="675"><cell r="K675" t="str"><v>July</v></cell><cell r="L675"><v>43288</v></cell><cell r="M675" t="str"><v>Tier 0</v></cell><cell r="N675" t="str"><v>North America</v></cell><cell r="O675" t="str"><v>United States</v></cell><cell r="P675" t="str"><v>Trial</v></cell><cell r="Q675" t="str"><v>Social</v></cell><cell r="R675" t="str"><v>Azure</v></cell><cell r="S675" t="str"><v>Apps & Infra</v></cell><cell r="T675" t="str"><v>Developers & ITI's</v></cell><cell r="U675" t="str"><v>USA-Trial-ITD-Retargeting-AZR-AZR</v></cell><cell r="V675" t="str"><v>Retargeting</v></cell><cell r="W675" t="str"><v>Canvas Ad</v></cell><cell r="X675" t="str"><v>1x1</v></cell></row><row r="675"><cell r="AA675"><v>43287</v></cell><cell r="AB675" t="str"><v>USA_gaPMG_AZR_AZR_Q1_19_Direct-Social</v></cell><cell r="AC675"><v>21358715</v></cell><cell r="AD675"><v>720197</v></cell><cell r="AE675" t="str"><v>Facebook</v></cell><cell r="AF675"><v>3654128</v></cell><cell r="AG675" t="str"><v>FACEBOOK»USA-Trial-ITD-Retargeting-AZR-AZR»1 x 1»SocialBan»CAN»ALL»CPA»RT»X»NA»SS»NA»FBCTCBrandinMotion»PRC1RT</v></cell><cell r="AH675"><v>224106069</v></cell><cell r="AI675" t="str"><v>AzurePlatform_FBCTCBrandinMotion_USA_10s_CAN_PLATFORM_English_Trial_Standard_STAN_TIN_T2_1</v></cell><cell r="AJ675"><v>103176812</v></cell></row><row r="676"><cell r="C676" t="str"><v>43287FACEBOOK»USA-Trial-ITD-Retargeting-AZR-AZR»1 x 1»SocialBan»CAN»ALL»CPA»RT»X»NA»SS»NA»FBCTCBrandinMotion»PRC1RT</v></cell><cell r="D676" t="str"><v>43287224106069</v></cell><cell r="E676" t="str"><v>43287103032823PRC1RT</v></cell><cell r="F676" t="str"><v>DCM</v></cell><cell r="G676" t="str"><v>https://azure.microsoft.com/en-us/pricing/purchase-options/?v=18.19&OCID=AID%eexcid!_OLA_%ebuy!_%epid!_%ecid!</v></cell></row><row r="676"><cell r="K676" t="str"><v>July</v></cell><cell r="L676"><v>43288</v></cell><cell r="M676" t="str"><v>Tier 0</v></cell><cell r="N676" t="str"><v>North America</v></cell><cell r="O676" t="str"><v>United States</v></cell><cell r="P676" t="str"><v>Trial</v></cell><cell r="Q676" t="str"><v>Social</v></cell><cell r="R676" t="str"><v>Azure</v></cell><cell r="S676" t="str"><v>Apps & Infra</v></cell><cell r="T676" t="str"><v>Developers & ITI's</v></cell><cell r="U676" t="str"><v>USA-Trial-ITD-Retargeting-AZR-AZR</v></cell><cell r="V676" t="str"><v>Retargeting</v></cell><cell r="W676" t="str"><v>Canvas Ad</v></cell><cell r="X676" t="str"><v>1x1</v></cell></row><row r="676"><cell r="AA676"><v>43287</v></cell><cell r="AB676" t="str"><v>USA_gaPMG_AZR_AZR_Q1_19_Direct-Social</v></cell><cell r="AC676"><v>21358715</v></cell><cell r="AD676"><v>720197</v></cell><cell r="AE676" t="str"><v>Facebook</v></cell><cell r="AF676"><v>3654128</v></cell><cell r="AG676" t="str"><v>FACEBOOK»USA-Trial-ITD-Retargeting-AZR-AZR»1 x 1»SocialBan»CAN»ALL»CPA»RT»X»NA»SS»NA»FBCTCBrandinMotion»PRC1RT</v></cell><cell r="AH676"><v>224106069</v></cell><cell r="AI676" t="str"><v>AzurePlatform_FBCTCBrandinMotion_USA_10s_CAN_PLATFORM_English_Trial_Standard_STAN_TIN_T2_2</v></cell><cell r="AJ676"><v>103032823</v></cell></row><row r="677"><cell r="C677" t="str"><v>43287FACEBOOK»USA-Trial-ITD-Trial Lookalike-AZR-AZR»1 x 1»SocialBan»CAN»ALL»CPA»LAL»X»NA»SS»NA»FBCTCBenefit2inMotion»PRC1M0</v></cell><cell r="D677" t="str"><v>43287223862927</v></cell><cell r="E677" t="str"><v>43287103043835PRC1M0</v></cell><cell r="F677" t="str"><v>DCM</v></cell><cell r="G677" t="str"><v>https://signup.azure.com/?OCID=AID%eexcid!_OLA_%ebuy!_%epid!_%ecid!</v></cell></row><row r="677"><cell r="K677" t="str"><v>July</v></cell><cell r="L677"><v>43288</v></cell><cell r="M677" t="str"><v>Tier 0</v></cell><cell r="N677" t="str"><v>North America</v></cell><cell r="O677" t="str"><v>United States</v></cell><cell r="P677" t="str"><v>Trial</v></cell><cell r="Q677" t="str"><v>Social</v></cell><cell r="R677" t="str"><v>Azure</v></cell><cell r="S677" t="str"><v>Apps & Infra</v></cell><cell r="T677" t="str"><v>Developers & ITI's</v></cell><cell r="U677" t="str"><v>USA-Trial-ITD-Trial Lookalike-AZR-AZR</v></cell><cell r="V677" t="str"><v>Lookalike Targeting</v></cell><cell r="W677" t="str"><v>Canvas Ad</v></cell><cell r="X677" t="str"><v>1x1</v></cell></row><row r="677"><cell r="AA677"><v>43287</v></cell><cell r="AB677" t="str"><v>USA_gaPMG_AZR_AZR_Q1_19_Direct-Social</v></cell><cell r="AC677"><v>21358715</v></cell><cell r="AD677"><v>720197</v></cell><cell r="AE677" t="str"><v>Facebook</v></cell><cell r="AF677"><v>3654128</v></cell><cell r="AG677" t="str"><v>FACEBOOK»USA-Trial-ITD-Trial Lookalike-AZR-AZR»1 x 1»SocialBan»CAN»ALL»CPA»LAL»X»NA»SS»NA»FBCTCBenefit2inMotion»PRC1M0</v></cell><cell r="AH677"><v>223862927</v></cell><cell r="AI677" t="str"><v>AzurePlatform_FBCTCBenefit2inMotion_USA_10s_CAN_PLATFORM_English_Trial_Standard_STAN_TIN_T4_1</v></cell><cell r="AJ677"><v>103043835</v></cell></row><row r="678"><cell r="C678" t="str"><v>43287FACEBOOK»USA-Trial-ITD-Trial Lookalike-AZR-AZR»1 x 1»SocialBan»CAN»ALL»CPA»LAL»X»NA»SS»NA»FBCTCBenefit2inMotion»PRC1M0</v></cell><cell r="D678" t="str"><v>43287223862927</v></cell><cell r="E678" t="str"><v>43287103178645PRC1M0</v></cell><cell r="F678" t="str"><v>DCM</v></cell><cell r="G678" t="str"><v>https://azure.microsoft.com/en-us/pricing/purchase-options/?v=18.19&OCID=AID%eexcid!_OLA_%ebuy!_%epid!_%ecid!</v></cell></row><row r="678"><cell r="K678" t="str"><v>July</v></cell><cell r="L678"><v>43288</v></cell><cell r="M678" t="str"><v>Tier 0</v></cell><cell r="N678" t="str"><v>North America</v></cell><cell r="O678" t="str"><v>United States</v></cell><cell r="P678" t="str"><v>Trial</v></cell><cell r="Q678" t="str"><v>Social</v></cell><cell r="R678" t="str"><v>Azure</v></cell><cell r="S678" t="str"><v>Apps & Infra</v></cell><cell r="T678" t="str"><v>Developers & ITI's</v></cell><cell r="U678" t="str"><v>USA-Trial-ITD-Trial Lookalike-AZR-AZR</v></cell><cell r="V678" t="str"><v>Lookalike Targeting</v></cell><cell r="W678" t="str"><v>Canvas Ad</v></cell><cell r="X678" t="str"><v>1x1</v></cell></row><row r="678"><cell r="AA678"><v>43287</v></cell><cell r="AB678" t="str"><v>USA_gaPMG_AZR_AZR_Q1_19_Direct-Social</v></cell><cell r="AC678"><v>21358715</v></cell><cell r="AD678"><v>720197</v></cell><cell r="AE678" t="str"><v>Facebook</v></cell><cell r="AF678"><v>3654128</v></cell><cell r="AG678" t="str"><v>FACEBOOK»USA-Trial-ITD-Trial Lookalike-AZR-AZR»1 x 1»SocialBan»CAN»ALL»CPA»LAL»X»NA»SS»NA»FBCTCBenefit2inMotion»PRC1M0</v></cell><cell r="AH678"><v>223862927</v></cell><cell r="AI678" t="str"><v>AzurePlatform_FBCTCBenefit2inMotion_USA_10s_CAN_PLATFORM_English_Trial_Standard_STAN_TIN_T4_2</v></cell><cell r="AJ678"><v>103178645</v></cell></row><row r="679"><cell r="C679" t="str"><v>43287FACEBOOK»USA-Trial-ITD-Trial Lookalike-AZR-AZR»1 x 1»SocialBan»CAN»ALL»CPA»LAL»X»NA»SS»NA»FBCTCBenefitinMotion»PRC1M2</v></cell><cell r="D679" t="str"><v>43287223862897</v></cell><cell r="E679" t="str"><v>43287103032775PRC1M2</v></cell><cell r="F679" t="str"><v>DCM</v></cell><cell r="G679" t="str"><v>https://signup.azure.com/?OCID=AID%eexcid!_OLA_%ebuy!_%epid!_%ecid!</v></cell></row><row r="679"><cell r="K679" t="str"><v>July</v></cell><cell r="L679"><v>43288</v></cell><cell r="M679" t="str"><v>Tier 0</v></cell><cell r="N679" t="str"><v>North America</v></cell><cell r="O679" t="str"><v>United States</v></cell><cell r="P679" t="str"><v>Trial</v></cell><cell r="Q679" t="str"><v>Social</v></cell><cell r="R679" t="str"><v>Azure</v></cell><cell r="S679" t="str"><v>Apps & Infra</v></cell><cell r="T679" t="str"><v>Developers & ITI's</v></cell><cell r="U679" t="str"><v>USA-Trial-ITD-Trial Lookalike-AZR-AZR</v></cell><cell r="V679" t="str"><v>Lookalike Targeting</v></cell><cell r="W679" t="str"><v>Canvas Ad</v></cell><cell r="X679" t="str"><v>1x1</v></cell></row><row r="679"><cell r="AA679"><v>43287</v></cell><cell r="AB679" t="str"><v>USA_gaPMG_AZR_AZR_Q1_19_Direct-Social</v></cell><cell r="AC679"><v>21358715</v></cell><cell r="AD679"><v>720197</v></cell><cell r="AE679" t="str"><v>Facebook</v></cell><cell r="AF679"><v>3654128</v></cell><cell r="AG679" t="str"><v>FACEBOOK»USA-Trial-ITD-Trial Lookalike-AZR-AZR»1 x 1»SocialBan»CAN»ALL»CPA»LAL»X»NA»SS»NA»FBCTCBenefitinMotion»PRC1M2</v></cell><cell r="AH679"><v>223862897</v></cell><cell r="AI679" t="str"><v>AzurePlatform_FBCTCBenefitinMotion_USA_10s_CAN_PLATFORM_English_Trial_Standard_STAN_TIN_T3_1</v></cell><cell r="AJ679"><v>103032775</v></cell></row><row r="680"><cell r="C680" t="str"><v>43287FACEBOOK»USA-Trial-ITD-Trial Lookalike-AZR-AZR»1 x 1»SocialBan»LIA»ALL»CPA»LAL»X»NA»SS»NA»FreeAcctDeveloperFB-AnimatedAI-Ch3»PRC1M7</v></cell><cell r="D680" t="str"><v>43287223934104</v></cell><cell r="E680" t="str"><v>43287103032778PRC1M7</v></cell><cell r="F680" t="str"><v>DCM</v></cell></row><row r="680"><cell r="K680" t="str"><v>July</v></cell><cell r="L680"><v>43288</v></cell><cell r="M680" t="str"><v>Tier 0</v></cell><cell r="N680" t="str"><v>North America</v></cell><cell r="O680" t="str"><v>United States</v></cell><cell r="P680" t="str"><v>Trial</v></cell><cell r="Q680" t="str"><v>Social</v></cell><cell r="R680" t="str"><v>Azure</v></cell><cell r="S680" t="str"><v>Apps & Infra</v></cell><cell r="T680" t="str"><v>Developers & ITI's</v></cell><cell r="U680" t="str"><v>USA-Trial-ITD-Trial Lookalike-AZR-AZR</v></cell><cell r="V680" t="str"><v>Lookalike Targeting</v></cell><cell r="W680" t="str"><v>Link Ad</v></cell><cell r="X680" t="str"><v>1x1</v></cell></row><row r="680"><cell r="AA680"><v>43287</v></cell><cell r="AB680" t="str"><v>USA_gaPMG_AZR_AZR_Q1_19_Direct-Social</v></cell><cell r="AC680"><v>21358715</v></cell><cell r="AD680"><v>720197</v></cell><cell r="AE680" t="str"><v>Facebook</v></cell><cell r="AF680"><v>3654128</v></cell><cell r="AG680" t="str"><v>FACEBOOK»USA-Trial-ITD-Trial Lookalike-AZR-AZR»1 x 1»SocialBan»LIA»ALL»CPA»LAL»X»NA»SS»NA»FreeAcctDeveloperFB-AnimatedAI-Ch3»PRC1M7</v></cell><cell r="AH680"><v>223934104</v></cell><cell r="AI680" t="str"><v>AZR_FreeAcctDeveloperFB-AnimatedAI-Ch3_USA_1200x1200_CAN_Direct_English_Trial_Standard_ANI_LEA_T3_1</v></cell><cell r="AJ680"><v>103032778</v></cell></row><row r="681"><cell r="C681" t="str"><v>43287FACEBOOK»USA-Trial-ITD-Trial Lookalike-AZR-AZR»1 x 1»SocialBan»LIA»ALL»CPA»LAL»X»NA»SS»NA»FreeAcctDeveloperFB-AnimatedData-Ch4»PRC1M8</v></cell><cell r="D681" t="str"><v>43287223862933</v></cell><cell r="E681" t="str"><v>43287103037935PRC1M8</v></cell><cell r="F681" t="str"><v>DCM</v></cell></row><row r="681"><cell r="K681" t="str"><v>July</v></cell><cell r="L681"><v>43288</v></cell><cell r="M681" t="str"><v>Tier 0</v></cell><cell r="N681" t="str"><v>North America</v></cell><cell r="O681" t="str"><v>United States</v></cell><cell r="P681" t="str"><v>Trial</v></cell><cell r="Q681" t="str"><v>Social</v></cell><cell r="R681" t="str"><v>Azure</v></cell><cell r="S681" t="str"><v>Apps & Infra</v></cell><cell r="T681" t="str"><v>Developers & ITI's</v></cell><cell r="U681" t="str"><v>USA-Trial-ITD-Trial Lookalike-AZR-AZR</v></cell><cell r="V681" t="str"><v>Lookalike Targeting</v></cell><cell r="W681" t="str"><v>Link Ad</v></cell><cell r="X681" t="str"><v>1x1</v></cell></row><row r="681"><cell r="AA681"><v>43287</v></cell><cell r="AB681" t="str"><v>USA_gaPMG_AZR_AZR_Q1_19_Direct-Social</v></cell><cell r="AC681"><v>21358715</v></cell><cell r="AD681"><v>720197</v></cell><cell r="AE681" t="str"><v>Facebook</v></cell><cell r="AF681"><v>3654128</v></cell><cell r="AG681" t="str"><v>FACEBOOK»USA-Trial-ITD-Trial Lookalike-AZR-AZR»1 x 1»SocialBan»LIA»ALL»CPA»LAL»X»NA»SS»NA»FreeAcctDeveloperFB-AnimatedData-Ch4»PRC1M8</v></cell><cell r="AH681"><v>223862933</v></cell><cell r="AI681" t="str"><v>AZR_FreeAcctDeveloperFB-AnimatedData-Ch4_USA_1200x1200_CAN_Direct_English_Trial_Standard_ANI_LEA_T4_2</v></cell><cell r="AJ681"><v>103037935</v></cell></row><row r="682"><cell r="C682" t="str"><v>43287FACEBOOK»USA-Trial-ITD-Trial Lookalike-AZR-AZR»1 x 1»SocialBan»LIA»ALL»CPA»LAL»X»NA»SS»NA»FreeAcctITProFB-AnimatedHybrid-Ch2»PRC1MC</v></cell><cell r="D682" t="str"><v>43287224104956</v></cell><cell r="E682" t="str"><v>43287103180583PRC1MC</v></cell><cell r="F682" t="str"><v>DCM</v></cell></row><row r="682"><cell r="K682" t="str"><v>July</v></cell><cell r="L682"><v>43288</v></cell><cell r="M682" t="str"><v>Tier 0</v></cell><cell r="N682" t="str"><v>North America</v></cell><cell r="O682" t="str"><v>United States</v></cell><cell r="P682" t="str"><v>Trial</v></cell><cell r="Q682" t="str"><v>Social</v></cell><cell r="R682" t="str"><v>Azure</v></cell><cell r="S682" t="str"><v>Apps & Infra</v></cell><cell r="T682" t="str"><v>Developers & ITI's</v></cell><cell r="U682" t="str"><v>USA-Trial-ITD-Trial Lookalike-AZR-AZR</v></cell><cell r="V682" t="str"><v>Lookalike Targeting</v></cell><cell r="W682" t="str"><v>Link Ad</v></cell><cell r="X682" t="str"><v>1x1</v></cell></row><row r="682"><cell r="AA682"><v>43287</v></cell><cell r="AB682" t="str"><v>USA_gaPMG_AZR_AZR_Q1_19_Direct-Social</v></cell><cell r="AC682"><v>21358715</v></cell><cell r="AD682"><v>720197</v></cell><cell r="AE682" t="str"><v>Facebook</v></cell><cell r="AF682"><v>3654128</v></cell><cell r="AG682" t="str"><v>FACEBOOK»USA-Trial-ITD-Trial Lookalike-AZR-AZR»1 x 1»SocialBan»LIA»ALL»CPA»LAL»X»NA»SS»NA»FreeAcctITProFB-AnimatedHybrid-Ch2»PRC1MC</v></cell><cell r="AH682"><v>224104956</v></cell><cell r="AI682" t="str"><v>AZR_FreeAcctITProFB-AnimatedHybrid-Ch2_USA_1200x1200_CAN_Direct_English_Trial_Standard_ANI_LEA_T2_2</v></cell><cell r="AJ682"><v>103180583</v></cell></row><row r="683"><cell r="C683" t="str"><v>43287FACEBOOK»USA-Trial-ITD-Trial Lookalike-AZR-AZR»1 x 1»SocialBan»CAN»ALL»CPA»LAL»X»NA»SS»NA»FBCTCBrandinMotion»PRC1M3</v></cell><cell r="D683" t="str"><v>43287223862900</v></cell><cell r="E683" t="str"><v>43287103176812PRC1M3</v></cell><cell r="F683" t="str"><v>DCM</v></cell><cell r="G683" t="str"><v>https://signup.azure.com/?OCID=AID%eexcid!_OLA_%ebuy!_%epid!_%ecid!</v></cell></row><row r="683"><cell r="K683" t="str"><v>July</v></cell><cell r="L683"><v>43288</v></cell><cell r="M683" t="str"><v>Tier 0</v></cell><cell r="N683" t="str"><v>North America</v></cell><cell r="O683" t="str"><v>United States</v></cell><cell r="P683" t="str"><v>Trial</v></cell><cell r="Q683" t="str"><v>Social</v></cell><cell r="R683" t="str"><v>Azure</v></cell><cell r="S683" t="str"><v>Apps & Infra</v></cell><cell r="T683" t="str"><v>Developers & ITI's</v></cell><cell r="U683" t="str"><v>USA-Trial-ITD-Trial Lookalike-AZR-AZR</v></cell><cell r="V683" t="str"><v>Lookalike Targeting</v></cell><cell r="W683" t="str"><v>Canvas Ad</v></cell><cell r="X683" t="str"><v>1x1</v></cell></row><row r="683"><cell r="AA683"><v>43287</v></cell><cell r="AB683" t="str"><v>USA_gaPMG_AZR_AZR_Q1_19_Direct-Social</v></cell><cell r="AC683"><v>21358715</v></cell><cell r="AD683"><v>720197</v></cell><cell r="AE683" t="str"><v>Facebook</v></cell><cell r="AF683"><v>3654128</v></cell><cell r="AG683" t="str"><v>FACEBOOK»USA-Trial-ITD-Trial Lookalike-AZR-AZR»1 x 1»SocialBan»CAN»ALL»CPA»LAL»X»NA»SS»NA»FBCTCBrandinMotion»PRC1M3</v></cell><cell r="AH683"><v>223862900</v></cell><cell r="AI683" t="str"><v>AzurePlatform_FBCTCBrandinMotion_USA_10s_CAN_PLATFORM_English_Trial_Standard_STAN_TIN_T2_1</v></cell><cell r="AJ683"><v>103176812</v></cell></row><row r="684"><cell r="C684" t="str"><v>43287FACEBOOK»USA-Trial-ITD-Trial Lookalike-AZR-AZR»1 x 1»SocialBan»CAN»ALL»CPA»LAL»X»NA»SS»NA»FBCTCBrandinMotion»PRC1M3</v></cell><cell r="D684" t="str"><v>43287223862900</v></cell><cell r="E684" t="str"><v>43287103032823PRC1M3</v></cell><cell r="F684" t="str"><v>DCM</v></cell><cell r="G684" t="str"><v>https://azure.microsoft.com/en-us/pricing/purchase-options/?v=18.19&OCID=AID%eexcid!_OLA_%ebuy!_%epid!_%ecid!</v></cell></row><row r="684"><cell r="K684" t="str"><v>July</v></cell><cell r="L684"><v>43288</v></cell><cell r="M684" t="str"><v>Tier 0</v></cell><cell r="N684" t="str"><v>North America</v></cell><cell r="O684" t="str"><v>United States</v></cell><cell r="P684" t="str"><v>Trial</v></cell><cell r="Q684" t="str"><v>Social</v></cell><cell r="R684" t="str"><v>Azure</v></cell><cell r="S684" t="str"><v>Apps & Infra</v></cell><cell r="T684" t="str"><v>Developers & ITI's</v></cell><cell r="U684" t="str"><v>USA-Trial-ITD-Trial Lookalike-AZR-AZR</v></cell><cell r="V684" t="str"><v>Lookalike Targeting</v></cell><cell r="W684" t="str"><v>Canvas Ad</v></cell><cell r="X684" t="str"><v>1x1</v></cell></row><row r="684"><cell r="AA684"><v>43287</v></cell><cell r="AB684" t="str"><v>USA_gaPMG_AZR_AZR_Q1_19_Direct-Social</v></cell><cell r="AC684"><v>21358715</v></cell><cell r="AD684"><v>720197</v></cell><cell r="AE684" t="str"><v>Facebook</v></cell><cell r="AF684"><v>3654128</v></cell><cell r="AG684" t="str"><v>FACEBOOK»USA-Trial-ITD-Trial Lookalike-AZR-AZR»1 x 1»SocialBan»CAN»ALL»CPA»LAL»X»NA»SS»NA»FBCTCBrandinMotion»PRC1M3</v></cell><cell r="AH684"><v>223862900</v></cell><cell r="AI684" t="str"><v>AzurePlatform_FBCTCBrandinMotion_USA_10s_CAN_PLATFORM_English_Trial_Standard_STAN_TIN_T2_2</v></cell><cell r="AJ684"><v>103032823</v></cell></row><row r="685"><cell r="C685" t="str"><v>43287FACEBOOK»USA-Trial-ITD-Trial PayGo Lookalike-AZR-AZR»1 x 1»SocialBan»CAN»ALL»CPA»LAL»X»NA»SS»NA»FBCTCBenefit2inMotion»PRC1Q1</v></cell><cell r="D685" t="str"><v>43287224104986</v></cell><cell r="E685" t="str"><v>43287103043835PRC1Q1</v></cell><cell r="F685" t="str"><v>DCM</v></cell><cell r="G685" t="str"><v>https://signup.azure.com/?OCID=AID%eexcid!_OLA_%ebuy!_%epid!_%ecid!</v></cell></row><row r="685"><cell r="K685" t="str"><v>July</v></cell><cell r="L685"><v>43288</v></cell><cell r="M685" t="str"><v>Tier 0</v></cell><cell r="N685" t="str"><v>North America</v></cell><cell r="O685" t="str"><v>United States</v></cell><cell r="P685" t="str"><v>Trial</v></cell><cell r="Q685" t="str"><v>Social</v></cell><cell r="R685" t="str"><v>Azure</v></cell><cell r="S685" t="str"><v>Apps & Infra</v></cell><cell r="T685" t="str"><v>Developers & ITI's</v></cell><cell r="U685" t="str"><v>USA-Trial-ITD-Trial PayGo Lookalike-AZR-AZR</v></cell><cell r="V685" t="str"><v>Lookalike Targeting</v></cell><cell r="W685" t="str"><v>Canvas Ad</v></cell><cell r="X685" t="str"><v>1x1</v></cell></row><row r="685"><cell r="AA685"><v>43287</v></cell><cell r="AB685" t="str"><v>USA_gaPMG_AZR_AZR_Q1_19_Direct-Social</v></cell><cell r="AC685"><v>21358715</v></cell><cell r="AD685"><v>720197</v></cell><cell r="AE685" t="str"><v>Facebook</v></cell><cell r="AF685"><v>3654128</v></cell><cell r="AG685" t="str"><v>FACEBOOK»USA-Trial-ITD-Trial PayGo Lookalike-AZR-AZR»1 x 1»SocialBan»CAN»ALL»CPA»LAL»X»NA»SS»NA»FBCTCBenefit2inMotion»PRC1Q1</v></cell><cell r="AH685"><v>224104986</v></cell><cell r="AI685" t="str"><v>AzurePlatform_FBCTCBenefit2inMotion_USA_10s_CAN_PLATFORM_English_Trial_Standard_STAN_TIN_T4_1</v></cell><cell r="AJ685"><v>103043835</v></cell></row><row r="686"><cell r="C686" t="str"><v>43287FACEBOOK»USA-Trial-ITD-Trial PayGo Lookalike-AZR-AZR»1 x 1»SocialBan»CAN»ALL»CPA»LAL»X»NA»SS»NA»FBCTCBenefit2inMotion»PRC1Q1</v></cell><cell r="D686" t="str"><v>43287224104986</v></cell><cell r="E686" t="str"><v>43287103178645PRC1Q1</v></cell><cell r="F686" t="str"><v>DCM</v></cell><cell r="G686" t="str"><v>https://azure.microsoft.com/en-us/pricing/purchase-options/?v=18.19&OCID=AID%eexcid!_OLA_%ebuy!_%epid!_%ecid!</v></cell></row><row r="686"><cell r="K686" t="str"><v>July</v></cell><cell r="L686"><v>43288</v></cell><cell r="M686" t="str"><v>Tier 0</v></cell><cell r="N686" t="str"><v>North America</v></cell><cell r="O686" t="str"><v>United States</v></cell><cell r="P686" t="str"><v>Trial</v></cell><cell r="Q686" t="str"><v>Social</v></cell><cell r="R686" t="str"><v>Azure</v></cell><cell r="S686" t="str"><v>Apps & Infra</v></cell><cell r="T686" t="str"><v>Developers & ITI's</v></cell><cell r="U686" t="str"><v>USA-Trial-ITD-Trial PayGo Lookalike-AZR-AZR</v></cell><cell r="V686" t="str"><v>Lookalike Targeting</v></cell><cell r="W686" t="str"><v>Canvas Ad</v></cell><cell r="X686" t="str"><v>1x1</v></cell></row><row r="686"><cell r="AA686"><v>43287</v></cell><cell r="AB686" t="str"><v>USA_gaPMG_AZR_AZR_Q1_19_Direct-Social</v></cell><cell r="AC686"><v>21358715</v></cell><cell r="AD686"><v>720197</v></cell><cell r="AE686" t="str"><v>Facebook</v></cell><cell r="AF686"><v>3654128</v></cell><cell r="AG686" t="str"><v>FACEBOOK»USA-Trial-ITD-Trial PayGo Lookalike-AZR-AZR»1 x 1»SocialBan»CAN»ALL»CPA»LAL»X»NA»SS»NA»FBCTCBenefit2inMotion»PRC1Q1</v></cell><cell r="AH686"><v>224104986</v></cell><cell r="AI686" t="str"><v>AzurePlatform_FBCTCBenefit2inMotion_USA_10s_CAN_PLATFORM_English_Trial_Standard_STAN_TIN_T4_2</v></cell><cell r="AJ686"><v>103178645</v></cell></row><row r="687"><cell r="C687" t="str"><v>43287FACEBOOK»USA-Trial-ITD-Trial PayGo Lookalike-AZR-AZR»1 x 1»SocialBan»CAN»ALL»CPA»LAL»X»NA»SS»NA»FBCTCBrandinMotion»PRC1Q3</v></cell><cell r="D687" t="str"><v>43287223935349</v></cell><cell r="E687" t="str"><v>43287103176812PRC1Q3</v></cell><cell r="F687" t="str"><v>DCM</v></cell><cell r="G687" t="str"><v>https://signup.azure.com/?OCID=AID%eexcid!_OLA_%ebuy!_%epid!_%ecid!</v></cell></row><row r="687"><cell r="K687" t="str"><v>July</v></cell><cell r="L687"><v>43288</v></cell><cell r="M687" t="str"><v>Tier 0</v></cell><cell r="N687" t="str"><v>North America</v></cell><cell r="O687" t="str"><v>United States</v></cell><cell r="P687" t="str"><v>Trial</v></cell><cell r="Q687" t="str"><v>Social</v></cell><cell r="R687" t="str"><v>Azure</v></cell><cell r="S687" t="str"><v>Apps & Infra</v></cell><cell r="T687" t="str"><v>Developers & ITI's</v></cell><cell r="U687" t="str"><v>USA-Trial-ITD-Trial PayGo Lookalike-AZR-AZR</v></cell><cell r="V687" t="str"><v>Lookalike Targeting</v></cell><cell r="W687" t="str"><v>Canvas Ad</v></cell><cell r="X687" t="str"><v>1x1</v></cell></row><row r="687"><cell r="AA687"><v>43287</v></cell><cell r="AB687" t="str"><v>USA_gaPMG_AZR_AZR_Q1_19_Direct-Social</v></cell><cell r="AC687"><v>21358715</v></cell><cell r="AD687"><v>720197</v></cell><cell r="AE687" t="str"><v>Facebook</v></cell><cell r="AF687"><v>3654128</v></cell><cell r="AG687" t="str"><v>FACEBOOK»USA-Trial-ITD-Trial PayGo Lookalike-AZR-AZR»1 x 1»SocialBan»CAN»ALL»CPA»LAL»X»NA»SS»NA»FBCTCBrandinMotion»PRC1Q3</v></cell><cell r="AH687"><v>223935349</v></cell><cell r="AI687" t="str"><v>AzurePlatform_FBCTCBrandinMotion_USA_10s_CAN_PLATFORM_English_Trial_Standard_STAN_TIN_T2_1</v></cell><cell r="AJ687"><v>103176812</v></cell></row><row r="688"><cell r="C688" t="str"><v>43287FACEBOOK»USA-Trial-ITD-Trial PayGo Lookalike-AZR-AZR»1 x 1»SocialBan»CAN»ALL»CPA»LAL»X»NA»SS»NA»FBCTCBrandinMotion»PRC1Q3</v></cell><cell r="D688" t="str"><v>43287223935349</v></cell><cell r="E688" t="str"><v>43287103032823PRC1Q3</v></cell><cell r="F688" t="str"><v>DCM</v></cell><cell r="G688" t="str"><v>https://azure.microsoft.com/en-us/pricing/purchase-options/?v=18.19&OCID=AID%eexcid!_OLA_%ebuy!_%epid!_%ecid!</v></cell></row><row r="688"><cell r="K688" t="str"><v>July</v></cell><cell r="L688"><v>43288</v></cell><cell r="M688" t="str"><v>Tier 0</v></cell><cell r="N688" t="str"><v>North America</v></cell><cell r="O688" t="str"><v>United States</v></cell><cell r="P688" t="str"><v>Trial</v></cell><cell r="Q688" t="str"><v>Social</v></cell><cell r="R688" t="str"><v>Azure</v></cell><cell r="S688" t="str"><v>Apps & Infra</v></cell><cell r="T688" t="str"><v>Developers & ITI's</v></cell><cell r="U688" t="str"><v>USA-Trial-ITD-Trial PayGo Lookalike-AZR-AZR</v></cell><cell r="V688" t="str"><v>Lookalike Targeting</v></cell><cell r="W688" t="str"><v>Canvas Ad</v></cell><cell r="X688" t="str"><v>1x1</v></cell></row><row r="688"><cell r="AA688"><v>43287</v></cell><cell r="AB688" t="str"><v>USA_gaPMG_AZR_AZR_Q1_19_Direct-Social</v></cell><cell r="AC688"><v>21358715</v></cell><cell r="AD688"><v>720197</v></cell><cell r="AE688" t="str"><v>Facebook</v></cell><cell r="AF688"><v>3654128</v></cell><cell r="AG688" t="str"><v>FACEBOOK»USA-Trial-ITD-Trial PayGo Lookalike-AZR-AZR»1 x 1»SocialBan»CAN»ALL»CPA»LAL»X»NA»SS»NA»FBCTCBrandinMotion»PRC1Q3</v></cell><cell r="AH688"><v>223935349</v></cell><cell r="AI688" t="str"><v>AzurePlatform_FBCTCBrandinMotion_USA_10s_CAN_PLATFORM_English_Trial_Standard_STAN_TIN_T2_2</v></cell><cell r="AJ688"><v>103032823</v></cell></row><row r="689"><cell r="C689" t="str"><v>43287FACEBOOK»USA-Trial-ITD-Trial PayGo Lookalike-AZR-AZR»1 x 1»SocialBan»CAN»ALL»CPA»LAL»X»NA»SS»NA»FBCTCBenefitinMotion»PRC1Q2</v></cell><cell r="D689" t="str"><v>43287223862960</v></cell><cell r="E689" t="str"><v>43287103032775PRC1Q2</v></cell><cell r="F689" t="str"><v>DCM</v></cell><cell r="G689" t="str"><v>https://signup.azure.com/?OCID=AID%eexcid!_OLA_%ebuy!_%epid!_%ecid!</v></cell></row><row r="689"><cell r="K689" t="str"><v>July</v></cell><cell r="L689"><v>43288</v></cell><cell r="M689" t="str"><v>Tier 0</v></cell><cell r="N689" t="str"><v>North America</v></cell><cell r="O689" t="str"><v>United States</v></cell><cell r="P689" t="str"><v>Trial</v></cell><cell r="Q689" t="str"><v>Social</v></cell><cell r="R689" t="str"><v>Azure</v></cell><cell r="S689" t="str"><v>Apps & Infra</v></cell><cell r="T689" t="str"><v>Developers & ITI's</v></cell><cell r="U689" t="str"><v>USA-Trial-ITD-Trial PayGo Lookalike-AZR-AZR</v></cell><cell r="V689" t="str"><v>Lookalike Targeting</v></cell><cell r="W689" t="str"><v>Canvas Ad</v></cell><cell r="X689" t="str"><v>1x1</v></cell></row><row r="689"><cell r="AA689"><v>43287</v></cell><cell r="AB689" t="str"><v>USA_gaPMG_AZR_AZR_Q1_19_Direct-Social</v></cell><cell r="AC689"><v>21358715</v></cell><cell r="AD689"><v>720197</v></cell><cell r="AE689" t="str"><v>Facebook</v></cell><cell r="AF689"><v>3654128</v></cell><cell r="AG689" t="str"><v>FACEBOOK»USA-Trial-ITD-Trial PayGo Lookalike-AZR-AZR»1 x 1»SocialBan»CAN»ALL»CPA»LAL»X»NA»SS»NA»FBCTCBenefitinMotion»PRC1Q2</v></cell><cell r="AH689"><v>223862960</v></cell><cell r="AI689" t="str"><v>AzurePlatform_FBCTCBenefitinMotion_USA_10s_CAN_PLATFORM_English_Trial_Standard_STAN_TIN_T3_1</v></cell><cell r="AJ689"><v>103032775</v></cell></row><row r="690"><cell r="C690" t="str"><v>43287FACEBOOK»USA-Trial-ITD-Trial PayGo Lookalike-AZR-AZR»1 x 1»SocialBan»CAN»ALL»CPA»LAL»X»NA»SS»NA»FBCTCBenefitinMotion»PRC1Q2</v></cell><cell r="D690" t="str"><v>43287223862960</v></cell><cell r="E690" t="str"><v>43287103176836PRC1Q2</v></cell><cell r="F690" t="str"><v>DCM</v></cell><cell r="G690" t="str"><v>https://azure.microsoft.com/en-us/pricing/purchase-options/?v=18.19&OCID=AID%eexcid!_OLA_%ebuy!_%epid!_%ecid!</v></cell></row><row r="690"><cell r="K690" t="str"><v>July</v></cell><cell r="L690"><v>43288</v></cell><cell r="M690" t="str"><v>Tier 0</v></cell><cell r="N690" t="str"><v>North America</v></cell><cell r="O690" t="str"><v>United States</v></cell><cell r="P690" t="str"><v>Trial</v></cell><cell r="Q690" t="str"><v>Social</v></cell><cell r="R690" t="str"><v>Azure</v></cell><cell r="S690" t="str"><v>Apps & Infra</v></cell><cell r="T690" t="str"><v>Developers & ITI's</v></cell><cell r="U690" t="str"><v>USA-Trial-ITD-Trial PayGo Lookalike-AZR-AZR</v></cell><cell r="V690" t="str"><v>Lookalike Targeting</v></cell><cell r="W690" t="str"><v>Canvas Ad</v></cell><cell r="X690" t="str"><v>1x1</v></cell></row><row r="690"><cell r="AA690"><v>43287</v></cell><cell r="AB690" t="str"><v>USA_gaPMG_AZR_AZR_Q1_19_Direct-Social</v></cell><cell r="AC690"><v>21358715</v></cell><cell r="AD690"><v>720197</v></cell><cell r="AE690" t="str"><v>Facebook</v></cell><cell r="AF690"><v>3654128</v></cell><cell r="AG690" t="str"><v>FACEBOOK»USA-Trial-ITD-Trial PayGo Lookalike-AZR-AZR»1 x 1»SocialBan»CAN»ALL»CPA»LAL»X»NA»SS»NA»FBCTCBenefitinMotion»PRC1Q2</v></cell><cell r="AH690"><v>223862960</v></cell><cell r="AI690" t="str"><v>AzurePlatform_FBCTCBenefitinMotion_USA_10s_CAN_PLATFORM_English_Trial_Standard_STAN_TIN_T3_2</v></cell><cell r="AJ690"><v>103176836</v></cell></row><row r="691"><cell r="C691" t="str"><v>43287FACEBOOK»USA-Trial-ITD-Trial PayGo Lookalike-AZR-AZR»1 x 1»SocialBan»LIA»ALL»CPA»LAL»X»NA»SS»NA»FreeAcctDeveloperFB-AnimatedGeneric-Ch1»PRC1Q6</v></cell><cell r="D691" t="str"><v>43287224106129</v></cell><cell r="E691" t="str"><v>43287103176851PRC1Q6</v></cell><cell r="F691" t="str"><v>DCM</v></cell><cell r="G691" t="str"><v>https://azure.microsoft.com/en-us/free/search/?OCID=AID%eexcid!_OLA_%ebuy!_%epid!_%ecid!</v></cell></row><row r="691"><cell r="K691" t="str"><v>July</v></cell><cell r="L691"><v>43288</v></cell><cell r="M691" t="str"><v>Tier 0</v></cell><cell r="N691" t="str"><v>North America</v></cell><cell r="O691" t="str"><v>United States</v></cell><cell r="P691" t="str"><v>Trial</v></cell><cell r="Q691" t="str"><v>Social</v></cell><cell r="R691" t="str"><v>Azure</v></cell><cell r="S691" t="str"><v>Apps & Infra</v></cell><cell r="T691" t="str"><v>Developers & ITI's</v></cell><cell r="U691" t="str"><v>USA-Trial-ITD-Trial PayGo Lookalike-AZR-AZR</v></cell><cell r="V691" t="str"><v>Lookalike Targeting</v></cell><cell r="W691" t="str"><v>Link Ad</v></cell><cell r="X691" t="str"><v>1x1</v></cell></row><row r="691"><cell r="AA691"><v>43287</v></cell><cell r="AB691" t="str"><v>USA_gaPMG_AZR_AZR_Q1_19_Direct-Social</v></cell><cell r="AC691"><v>21358715</v></cell><cell r="AD691"><v>720197</v></cell><cell r="AE691" t="str"><v>Facebook</v></cell><cell r="AF691"><v>3654128</v></cell><cell r="AG691" t="str"><v>FACEBOOK»USA-Trial-ITD-Trial PayGo Lookalike-AZR-AZR»1 x 1»SocialBan»LIA»ALL»CPA»LAL»X»NA»SS»NA»FreeAcctDeveloperFB-AnimatedGeneric-Ch1»PRC1Q6</v></cell><cell r="AH691"><v>224106129</v></cell><cell r="AI691" t="str"><v>AZR_FreeAcctDeveloperFB-AnimatedGeneric-Ch1_USA_1200x1200_CAN_Direct_English_Trial_Standard_ANI_LEA_T1_2</v></cell><cell r="AJ691"><v>103176851</v></cell></row><row r="692"><cell r="C692" t="str"><v>43287FACEBOOK»USA-Trial-ITD-Interest Prospecting-AZR-AZR»1 x 1»SocialBan»LIA»ALL»CPA»PRO»X»NA»SS»NA»FreeAcctDeveloperFB-AnimatedAI-Ch3»PRC1T2</v></cell><cell r="D692" t="str"><v>43287223862765</v></cell><cell r="E692" t="str"><v>43287103032778PRC1T2</v></cell><cell r="F692" t="str"><v>DCM</v></cell></row><row r="692"><cell r="K692" t="str"><v>July</v></cell><cell r="L692"><v>43288</v></cell><cell r="M692" t="str"><v>Tier 0</v></cell><cell r="N692" t="str"><v>North America</v></cell><cell r="O692" t="str"><v>United States</v></cell><cell r="P692" t="str"><v>Trial</v></cell><cell r="Q692" t="str"><v>Social</v></cell><cell r="R692" t="str"><v>Azure</v></cell><cell r="S692" t="str"><v>Apps & Infra</v></cell><cell r="T692" t="str"><v>Developers & ITI's</v></cell><cell r="U692" t="str"><v>USA-Trial-ITD-Interest Prospecting-AZR-AZR</v></cell><cell r="V692" t="str"><v>Prospecting</v></cell><cell r="W692" t="str"><v>Link Ad</v></cell><cell r="X692" t="str"><v>1x1</v></cell></row><row r="692"><cell r="AA692"><v>43287</v></cell><cell r="AB692" t="str"><v>USA_gaPMG_AZR_AZR_Q1_19_Direct-Social</v></cell><cell r="AC692"><v>21358715</v></cell><cell r="AD692"><v>720197</v></cell><cell r="AE692" t="str"><v>Facebook</v></cell><cell r="AF692"><v>3654128</v></cell><cell r="AG692" t="str"><v>FACEBOOK»USA-Trial-ITD-Interest Prospecting-AZR-AZR»1 x 1»SocialBan»LIA»ALL»CPA»PRO»X»NA»SS»NA»FreeAcctDeveloperFB-AnimatedAI-Ch3»PRC1T2</v></cell><cell r="AH692"><v>223862765</v></cell><cell r="AI692" t="str"><v>AZR_FreeAcctDeveloperFB-AnimatedAI-Ch3_USA_1200x1200_CAN_Direct_English_Trial_Standard_ANI_LEA_T3_1</v></cell><cell r="AJ692"><v>103032778</v></cell></row><row r="693"><cell r="C693" t="str"><v>43287FACEBOOK»USA-Trial-ITD-Interest Prospecting-AZR-AZR»1 x 1»SocialBan»LIA»ALL»CPA»PRO»X»NA»SS»NA»FreeAcctDeveloperFB-AnimatedData-Ch4»PRC1T3</v></cell><cell r="D693" t="str"><v>43287223863380</v></cell><cell r="E693" t="str"><v>43287103037935PRC1T3</v></cell><cell r="F693" t="str"><v>DCM</v></cell></row><row r="693"><cell r="K693" t="str"><v>July</v></cell><cell r="L693"><v>43288</v></cell><cell r="M693" t="str"><v>Tier 0</v></cell><cell r="N693" t="str"><v>North America</v></cell><cell r="O693" t="str"><v>United States</v></cell><cell r="P693" t="str"><v>Trial</v></cell><cell r="Q693" t="str"><v>Social</v></cell><cell r="R693" t="str"><v>Azure</v></cell><cell r="S693" t="str"><v>Apps & Infra</v></cell><cell r="T693" t="str"><v>Developers & ITI's</v></cell><cell r="U693" t="str"><v>USA-Trial-ITD-Interest Prospecting-AZR-AZR</v></cell><cell r="V693" t="str"><v>Prospecting</v></cell><cell r="W693" t="str"><v>Link Ad</v></cell><cell r="X693" t="str"><v>1x1</v></cell></row><row r="693"><cell r="AA693"><v>43287</v></cell><cell r="AB693" t="str"><v>USA_gaPMG_AZR_AZR_Q1_19_Direct-Social</v></cell><cell r="AC693"><v>21358715</v></cell><cell r="AD693"><v>720197</v></cell><cell r="AE693" t="str"><v>Facebook</v></cell><cell r="AF693"><v>3654128</v></cell><cell r="AG693" t="str"><v>FACEBOOK»USA-Trial-ITD-Interest Prospecting-AZR-AZR»1 x 1»SocialBan»LIA»ALL»CPA»PRO»X»NA»SS»NA»FreeAcctDeveloperFB-AnimatedData-Ch4»PRC1T3</v></cell><cell r="AH693"><v>223863380</v></cell><cell r="AI693" t="str"><v>AZR_FreeAcctDeveloperFB-AnimatedData-Ch4_USA_1200x1200_CAN_Direct_English_Trial_Standard_ANI_LEA_T4_2</v></cell><cell r="AJ693"><v>103037935</v></cell></row><row r="694"><cell r="C694" t="str"><v>43287FACEBOOK»USA-Trial-ITD-Interest Prospecting-AZR-AZR»1 x 1»SocialBan»LIA»ALL»CPA»PRO»X»NA»SS»NA»FreeAcctDeveloperFB-AnimatedOpenSource-Ch2»PRC1T1</v></cell><cell r="D694" t="str"><v>43287223862885</v></cell><cell r="E694" t="str"><v>43287103048329PRC1T1</v></cell><cell r="F694" t="str"><v>DCM</v></cell><cell r="G694" t="str"><v>https://azure.microsoft.com/en-us/free/open-source/search/?OCID=AID%eexcid!_OLA_%ebuy!_%epid!_%ecid!</v></cell></row><row r="694"><cell r="K694" t="str"><v>July</v></cell><cell r="L694"><v>43288</v></cell><cell r="M694" t="str"><v>Tier 0</v></cell><cell r="N694" t="str"><v>North America</v></cell><cell r="O694" t="str"><v>United States</v></cell><cell r="P694" t="str"><v>Trial</v></cell><cell r="Q694" t="str"><v>Social</v></cell><cell r="R694" t="str"><v>Azure</v></cell><cell r="S694" t="str"><v>Apps & Infra</v></cell><cell r="T694" t="str"><v>Developers & ITI's</v></cell><cell r="U694" t="str"><v>USA-Trial-ITD-Interest Prospecting-AZR-AZR</v></cell><cell r="V694" t="str"><v>Prospecting</v></cell><cell r="W694" t="str"><v>Link Ad</v></cell><cell r="X694" t="str"><v>1x1</v></cell></row><row r="694"><cell r="AA694"><v>43287</v></cell><cell r="AB694" t="str"><v>USA_gaPMG_AZR_AZR_Q1_19_Direct-Social</v></cell><cell r="AC694"><v>21358715</v></cell><cell r="AD694"><v>720197</v></cell><cell r="AE694" t="str"><v>Facebook</v></cell><cell r="AF694"><v>3654128</v></cell><cell r="AG694" t="str"><v>FACEBOOK»USA-Trial-ITD-Interest Prospecting-AZR-AZR»1 x 1»SocialBan»LIA»ALL»CPA»PRO»X»NA»SS»NA»FreeAcctDeveloperFB-AnimatedOpenSource-Ch2»PRC1T1</v></cell><cell r="AH694"><v>223862885</v></cell><cell r="AI694" t="str"><v>AZR_FreeAcctDeveloperFB-AnimatedOpenSource-Ch2_USA_1200x1200_CAN_Direct_English_Trial_Standard_ANI_LEA_T2_1</v></cell><cell r="AJ694"><v>103048329</v></cell></row><row r="695"><cell r="C695" t="str"><v>43287FACEBOOK»USA-Trial-ITD-Interest Prospecting-AZR-AZR»1 x 1»SocialBan»LIA»ALL»CPA»PRO»X»NA»SS»NA»FreeAcctITProFB-AnimatedMigration-Ch3»PRC1X2</v></cell><cell r="D695" t="str"><v>43287224106954</v></cell><cell r="E695" t="str"><v>43287103176827PRC1X2</v></cell><cell r="F695" t="str"><v>DCM</v></cell></row><row r="695"><cell r="K695" t="str"><v>July</v></cell><cell r="L695"><v>43288</v></cell><cell r="M695" t="str"><v>Tier 0</v></cell><cell r="N695" t="str"><v>North America</v></cell><cell r="O695" t="str"><v>United States</v></cell><cell r="P695" t="str"><v>Trial</v></cell><cell r="Q695" t="str"><v>Social</v></cell><cell r="R695" t="str"><v>Azure</v></cell><cell r="S695" t="str"><v>Apps & Infra</v></cell><cell r="T695" t="str"><v>Developers & ITI's</v></cell><cell r="U695" t="str"><v>USA-Trial-ITD-Interest Prospecting-AZR-AZR</v></cell><cell r="V695" t="str"><v>Prospecting</v></cell><cell r="W695" t="str"><v>Link Ad</v></cell><cell r="X695" t="str"><v>1x1</v></cell></row><row r="695"><cell r="AA695"><v>43287</v></cell><cell r="AB695" t="str"><v>USA_gaPMG_AZR_AZR_Q1_19_Direct-Social</v></cell><cell r="AC695"><v>21358715</v></cell><cell r="AD695"><v>720197</v></cell><cell r="AE695" t="str"><v>Facebook</v></cell><cell r="AF695"><v>3654128</v></cell><cell r="AG695" t="str"><v>FACEBOOK»USA-Trial-ITD-Interest Prospecting-AZR-AZR»1 x 1»SocialBan»LIA»ALL»CPA»PRO»X»NA»SS»NA»FreeAcctITProFB-AnimatedMigration-Ch3»PRC1X2</v></cell><cell r="AH695"><v>224106954</v></cell><cell r="AI695" t="str"><v>AZR_FreeAcctITProFB-AnimatedMigration-Ch3_USA_1200x1200_CAN_Direct_English_Trial_Standard_ANI_LEA_T3_1</v></cell><cell r="AJ695"><v>103176827</v></cell></row><row r="696"><cell r="C696" t="str"><v>43287FACEBOOK»USA-Trial-ITD-Lead Completes-AZR-AZR»1 x 1»SocialBan»CAN»ALL»CPA»PRO»X»NA»SS»NA»FBCTCBrandinMotion»PRC1VX</v></cell><cell r="D696" t="str"><v>43287223861547</v></cell><cell r="E696" t="str"><v>43287103176812PRC1VX</v></cell><cell r="F696" t="str"><v>DCM</v></cell><cell r="G696" t="str"><v>https://signup.azure.com/?OCID=AID%eexcid!_OLA_%ebuy!_%epid!_%ecid!</v></cell></row><row r="696"><cell r="K696" t="str"><v>July</v></cell><cell r="L696"><v>43288</v></cell><cell r="M696" t="str"><v>Tier 0</v></cell><cell r="N696" t="str"><v>North America</v></cell><cell r="O696" t="str"><v>United States</v></cell><cell r="P696" t="str"><v>Trial</v></cell><cell r="Q696" t="str"><v>Social</v></cell><cell r="R696" t="str"><v>Azure</v></cell><cell r="S696" t="str"><v>Apps & Infra</v></cell><cell r="T696" t="str"><v>Developers & ITI's</v></cell><cell r="U696" t="str"><v>USA-Trial-ITD-Lead Completes-AZR-AZR</v></cell><cell r="V696" t="str"><v>Prospecting</v></cell><cell r="W696" t="str"><v>Canvas Ad</v></cell><cell r="X696" t="str"><v>1x1</v></cell></row><row r="696"><cell r="AA696"><v>43287</v></cell><cell r="AB696" t="str"><v>USA_gaPMG_AZR_AZR_Q1_19_Direct-Social</v></cell><cell r="AC696"><v>21358715</v></cell><cell r="AD696"><v>720197</v></cell><cell r="AE696" t="str"><v>Facebook</v></cell><cell r="AF696"><v>3654128</v></cell><cell r="AG696" t="str"><v>FACEBOOK»USA-Trial-ITD-Lead Completes-AZR-AZR»1 x 1»SocialBan»CAN»ALL»CPA»PRO»X»NA»SS»NA»FBCTCBrandinMotion»PRC1VX</v></cell><cell r="AH696"><v>223861547</v></cell><cell r="AI696" t="str"><v>AzurePlatform_FBCTCBrandinMotion_USA_10s_CAN_PLATFORM_English_Trial_Standard_STAN_TIN_T2_1</v></cell><cell r="AJ696"><v>103176812</v></cell></row><row r="697"><cell r="C697" t="str"><v>43287FACEBOOK»USA-Trial-ITD-Lead Completes-AZR-AZR»1 x 1»SocialBan»LIA»ALL»CPA»PRO»X»NA»SS»NA»FreeAcctDeveloperFB-AnimatedAI-Ch3»PRC1W1</v></cell><cell r="D697" t="str"><v>43287223933096</v></cell><cell r="E697" t="str"><v>43287103032778PRC1W1</v></cell><cell r="F697" t="str"><v>DCM</v></cell></row><row r="697"><cell r="K697" t="str"><v>July</v></cell><cell r="L697"><v>43288</v></cell><cell r="M697" t="str"><v>Tier 0</v></cell><cell r="N697" t="str"><v>North America</v></cell><cell r="O697" t="str"><v>United States</v></cell><cell r="P697" t="str"><v>Trial</v></cell><cell r="Q697" t="str"><v>Social</v></cell><cell r="R697" t="str"><v>Azure</v></cell><cell r="S697" t="str"><v>Apps & Infra</v></cell><cell r="T697" t="str"><v>Developers & ITI's</v></cell><cell r="U697" t="str"><v>USA-Trial-ITD-Lead Completes-AZR-AZR</v></cell><cell r="V697" t="str"><v>Prospecting</v></cell><cell r="W697" t="str"><v>Link Ad</v></cell><cell r="X697" t="str"><v>1x1</v></cell></row><row r="697"><cell r="AA697"><v>43287</v></cell><cell r="AB697" t="str"><v>USA_gaPMG_AZR_AZR_Q1_19_Direct-Social</v></cell><cell r="AC697"><v>21358715</v></cell><cell r="AD697"><v>720197</v></cell><cell r="AE697" t="str"><v>Facebook</v></cell><cell r="AF697"><v>3654128</v></cell><cell r="AG697" t="str"><v>FACEBOOK»USA-Trial-ITD-Lead Completes-AZR-AZR»1 x 1»SocialBan»LIA»ALL»CPA»PRO»X»NA»SS»NA»FreeAcctDeveloperFB-AnimatedAI-Ch3»PRC1W1</v></cell><cell r="AH697"><v>223933096</v></cell><cell r="AI697" t="str"><v>AZR_FreeAcctDeveloperFB-AnimatedAI-Ch3_USA_1200x1200_CAN_Direct_English_Trial_Standard_ANI_LEA_T3_1</v></cell><cell r="AJ697"><v>103032778</v></cell></row><row r="698"><cell r="C698" t="str"><v>43287FACEBOOK»USA-Trial-ITD-Lead Completes-AZR-AZR»1 x 1»SocialBan»LIA»ALL»CPA»PRO»X»NA»SS»NA»FreeAcctDeveloperFB-AnimatedData-Ch4»PRC1W3</v></cell><cell r="D698" t="str"><v>43287223862711</v></cell><cell r="E698" t="str"><v>43287103037935PRC1W3</v></cell><cell r="F698" t="str"><v>DCM</v></cell></row><row r="698"><cell r="K698" t="str"><v>July</v></cell><cell r="L698"><v>43288</v></cell><cell r="M698" t="str"><v>Tier 0</v></cell><cell r="N698" t="str"><v>North America</v></cell><cell r="O698" t="str"><v>United States</v></cell><cell r="P698" t="str"><v>Trial</v></cell><cell r="Q698" t="str"><v>Social</v></cell><cell r="R698" t="str"><v>Azure</v></cell><cell r="S698" t="str"><v>Apps & Infra</v></cell><cell r="T698" t="str"><v>Developers & ITI's</v></cell><cell r="U698" t="str"><v>USA-Trial-ITD-Lead Completes-AZR-AZR</v></cell><cell r="V698" t="str"><v>Prospecting</v></cell><cell r="W698" t="str"><v>Link Ad</v></cell><cell r="X698" t="str"><v>1x1</v></cell></row><row r="698"><cell r="AA698"><v>43287</v></cell><cell r="AB698" t="str"><v>USA_gaPMG_AZR_AZR_Q1_19_Direct-Social</v></cell><cell r="AC698"><v>21358715</v></cell><cell r="AD698"><v>720197</v></cell><cell r="AE698" t="str"><v>Facebook</v></cell><cell r="AF698"><v>3654128</v></cell><cell r="AG698" t="str"><v>FACEBOOK»USA-Trial-ITD-Lead Completes-AZR-AZR»1 x 1»SocialBan»LIA»ALL»CPA»PRO»X»NA»SS»NA»FreeAcctDeveloperFB-AnimatedData-Ch4»PRC1W3</v></cell><cell r="AH698"><v>223862711</v></cell><cell r="AI698" t="str"><v>AZR_FreeAcctDeveloperFB-AnimatedData-Ch4_USA_1200x1200_CAN_Direct_English_Trial_Standard_ANI_LEA_T4_2</v></cell><cell r="AJ698"><v>103037935</v></cell></row><row r="699"><cell r="C699" t="str"><v>43287FACEBOOK»USA-Trial-ITD-Lead Completes-AZR-AZR»1 x 1»SocialBan»LIA»ALL»CPA»PRO»X»NA»SS»NA»FreeAcctDeveloperFB-AnimatedOpenSource-Ch2»PRC1W0</v></cell><cell r="D699" t="str"><v>43287223933108</v></cell><cell r="E699" t="str"><v>43287103048329PRC1W0</v></cell><cell r="F699" t="str"><v>DCM</v></cell><cell r="G699" t="str"><v>https://azure.microsoft.com/en-us/free/open-source/search/?OCID=AID%eexcid!_OLA_%ebuy!_%epid!_%ecid!</v></cell></row><row r="699"><cell r="K699" t="str"><v>July</v></cell><cell r="L699"><v>43288</v></cell><cell r="M699" t="str"><v>Tier 0</v></cell><cell r="N699" t="str"><v>North America</v></cell><cell r="O699" t="str"><v>United States</v></cell><cell r="P699" t="str"><v>Trial</v></cell><cell r="Q699" t="str"><v>Social</v></cell><cell r="R699" t="str"><v>Azure</v></cell><cell r="S699" t="str"><v>Apps & Infra</v></cell><cell r="T699" t="str"><v>Developers & ITI's</v></cell><cell r="U699" t="str"><v>USA-Trial-ITD-Lead Completes-AZR-AZR</v></cell><cell r="V699" t="str"><v>Prospecting</v></cell><cell r="W699" t="str"><v>Link Ad</v></cell><cell r="X699" t="str"><v>1x1</v></cell></row><row r="699"><cell r="AA699"><v>43287</v></cell><cell r="AB699" t="str"><v>USA_gaPMG_AZR_AZR_Q1_19_Direct-Social</v></cell><cell r="AC699"><v>21358715</v></cell><cell r="AD699"><v>720197</v></cell><cell r="AE699" t="str"><v>Facebook</v></cell><cell r="AF699"><v>3654128</v></cell><cell r="AG699" t="str"><v>FACEBOOK»USA-Trial-ITD-Lead Completes-AZR-AZR»1 x 1»SocialBan»LIA»ALL»CPA»PRO»X»NA»SS»NA»FreeAcctDeveloperFB-AnimatedOpenSource-Ch2»PRC1W0</v></cell><cell r="AH699"><v>223933108</v></cell><cell r="AI699" t="str"><v>AZR_FreeAcctDeveloperFB-AnimatedOpenSource-Ch2_USA_1200x1200_CAN_Direct_English_Trial_Standard_ANI_LEA_T2_1</v></cell><cell r="AJ699"><v>103048329</v></cell></row><row r="700"><cell r="C700" t="str"><v>43287FACEBOOK»USA-Trial-ITD-Lead Completes-AZR-AZR»1 x 1»SocialBan»LIA»ALL»CPA»PRO»X»NA»SS»NA»FreeAcctITProFB-AnimatedMigration-Ch3»PRC22N</v></cell><cell r="D700" t="str"><v>43287223933114</v></cell><cell r="E700" t="str"><v>43287103176827PRC22N</v></cell><cell r="F700" t="str"><v>DCM</v></cell></row><row r="700"><cell r="K700" t="str"><v>July</v></cell><cell r="L700"><v>43288</v></cell><cell r="M700" t="str"><v>Tier 0</v></cell><cell r="N700" t="str"><v>North America</v></cell><cell r="O700" t="str"><v>United States</v></cell><cell r="P700" t="str"><v>Trial</v></cell><cell r="Q700" t="str"><v>Social</v></cell><cell r="R700" t="str"><v>Azure</v></cell><cell r="S700" t="str"><v>Apps & Infra</v></cell><cell r="T700" t="str"><v>Developers & ITI's</v></cell><cell r="U700" t="str"><v>USA-Trial-ITD-Lead Completes-AZR-AZR</v></cell><cell r="V700" t="str"><v>Prospecting</v></cell><cell r="W700" t="str"><v>Link Ad</v></cell><cell r="X700" t="str"><v>1x1</v></cell></row><row r="700"><cell r="AA700"><v>43287</v></cell><cell r="AB700" t="str"><v>USA_gaPMG_AZR_AZR_Q1_19_Direct-Social</v></cell><cell r="AC700"><v>21358715</v></cell><cell r="AD700"><v>720197</v></cell><cell r="AE700" t="str"><v>Facebook</v></cell><cell r="AF700"><v>3654128</v></cell><cell r="AG700" t="str"><v>FACEBOOK»USA-Trial-ITD-Lead Completes-AZR-AZR»1 x 1»SocialBan»LIA»ALL»CPA»PRO»X»NA»SS»NA»FreeAcctITProFB-AnimatedMigration-Ch3»PRC22N</v></cell><cell r="AH700"><v>223933114</v></cell><cell r="AI700" t="str"><v>AZR_FreeAcctITProFB-AnimatedMigration-Ch3_USA_1200x1200_CAN_Direct_English_Trial_Standard_ANI_LEA_T3_1</v></cell><cell r="AJ700"><v>103176827</v></cell></row><row r="701"><cell r="C701" t="str"><v>43287FACEBOOK»USA-Trial-ITD-Lead Completes-AZR-AZR»1 x 1»SocialBan»LIA»ALL»CPA»PRO»X»NA»SS»NA»FreeAcctITProFB-AnimatedSecureMngd-Ch1»PRC1W4</v></cell><cell r="D701" t="str"><v>43287223862153</v></cell><cell r="E701" t="str"><v>43287103176830PRC1W4</v></cell><cell r="F701" t="str"><v>DCM</v></cell></row><row r="701"><cell r="K701" t="str"><v>July</v></cell><cell r="L701"><v>43288</v></cell><cell r="M701" t="str"><v>Tier 0</v></cell><cell r="N701" t="str"><v>North America</v></cell><cell r="O701" t="str"><v>United States</v></cell><cell r="P701" t="str"><v>Trial</v></cell><cell r="Q701" t="str"><v>Social</v></cell><cell r="R701" t="str"><v>Azure</v></cell><cell r="S701" t="str"><v>Apps & Infra</v></cell><cell r="T701" t="str"><v>Developers & ITI's</v></cell><cell r="U701" t="str"><v>USA-Trial-ITD-Lead Completes-AZR-AZR</v></cell><cell r="V701" t="str"><v>Prospecting</v></cell><cell r="W701" t="str"><v>Link Ad</v></cell><cell r="X701" t="str"><v>1x1</v></cell></row><row r="701"><cell r="AA701"><v>43287</v></cell><cell r="AB701" t="str"><v>USA_gaPMG_AZR_AZR_Q1_19_Direct-Social</v></cell><cell r="AC701"><v>21358715</v></cell><cell r="AD701"><v>720197</v></cell><cell r="AE701" t="str"><v>Facebook</v></cell><cell r="AF701"><v>3654128</v></cell><cell r="AG701" t="str"><v>FACEBOOK»USA-Trial-ITD-Lead Completes-AZR-AZR»1 x 1»SocialBan»LIA»ALL»CPA»PRO»X»NA»SS»NA»FreeAcctITProFB-AnimatedSecureMngd-Ch1»PRC1W4</v></cell><cell r="AH701"><v>223862153</v></cell><cell r="AI701" t="str"><v>AZR_FreeAcctITProFB-AnimatedSecureMngd-Ch1_USA_1200x1200_CAN_Direct_English_Trial_Standard_ANI_LEA_T1_1</v></cell><cell r="AJ701"><v>103176830</v></cell></row><row r="702"><cell r="C702" t="str"><v>43287FACEBOOK»USA-Trial-ITD-Lead Completes-AZR-AZR»1 x 1»SocialBan»CAN»ALL»CPA»PRO»X»NA»SS»NA»FBCTCBenefit2inMotion»PRC1VV</v></cell><cell r="D702" t="str"><v>43287224106909</v></cell><cell r="E702" t="str"><v>43287103043835PRC1VV</v></cell><cell r="F702" t="str"><v>DCM</v></cell><cell r="G702" t="str"><v>https://signup.azure.com/?OCID=AID%eexcid!_OLA_%ebuy!_%epid!_%ecid!</v></cell></row><row r="702"><cell r="K702" t="str"><v>July</v></cell><cell r="L702"><v>43288</v></cell><cell r="M702" t="str"><v>Tier 0</v></cell><cell r="N702" t="str"><v>North America</v></cell><cell r="O702" t="str"><v>United States</v></cell><cell r="P702" t="str"><v>Trial</v></cell><cell r="Q702" t="str"><v>Social</v></cell><cell r="R702" t="str"><v>Azure</v></cell><cell r="S702" t="str"><v>Apps & Infra</v></cell><cell r="T702" t="str"><v>Developers & ITI's</v></cell><cell r="U702" t="str"><v>USA-Trial-ITD-Lead Completes-AZR-AZR</v></cell><cell r="V702" t="str"><v>Prospecting</v></cell><cell r="W702" t="str"><v>Canvas Ad</v></cell><cell r="X702" t="str"><v>1x1</v></cell></row><row r="702"><cell r="AA702"><v>43287</v></cell><cell r="AB702" t="str"><v>USA_gaPMG_AZR_AZR_Q1_19_Direct-Social</v></cell><cell r="AC702"><v>21358715</v></cell><cell r="AD702"><v>720197</v></cell><cell r="AE702" t="str"><v>Facebook</v></cell><cell r="AF702"><v>3654128</v></cell><cell r="AG702" t="str"><v>FACEBOOK»USA-Trial-ITD-Lead Completes-AZR-AZR»1 x 1»SocialBan»CAN»ALL»CPA»PRO»X»NA»SS»NA»FBCTCBenefit2inMotion»PRC1VV</v></cell><cell r="AH702"><v>224106909</v></cell><cell r="AI702" t="str"><v>AzurePlatform_FBCTCBenefit2inMotion_USA_10s_CAN_PLATFORM_English_Trial_Standard_STAN_TIN_T4_1</v></cell><cell r="AJ702"><v>103043835</v></cell></row><row r="703"><cell r="C703" t="str"><v>43287FACEBOOK»USA-Trial-ITD-Lead Completes-AZR-AZR»1 x 1»SocialBan»LIA»ALL»CPA»PRO»X»NA»SS»NA»FreeAcctDeveloperFB-AnimatedGeneric-Ch1»PRC1VY</v></cell><cell r="D703" t="str"><v>43287223862846</v></cell><cell r="E703" t="str"><v>43287103176851PRC1VY</v></cell><cell r="F703" t="str"><v>DCM</v></cell><cell r="G703" t="str"><v>https://azure.microsoft.com/en-us/free/search/?OCID=AID%eexcid!_OLA_%ebuy!_%epid!_%ecid!</v></cell></row><row r="703"><cell r="K703" t="str"><v>July</v></cell><cell r="L703"><v>43288</v></cell><cell r="M703" t="str"><v>Tier 0</v></cell><cell r="N703" t="str"><v>North America</v></cell><cell r="O703" t="str"><v>United States</v></cell><cell r="P703" t="str"><v>Trial</v></cell><cell r="Q703" t="str"><v>Social</v></cell><cell r="R703" t="str"><v>Azure</v></cell><cell r="S703" t="str"><v>Apps & Infra</v></cell><cell r="T703" t="str"><v>Developers & ITI's</v></cell><cell r="U703" t="str"><v>USA-Trial-ITD-Lead Completes-AZR-AZR</v></cell><cell r="V703" t="str"><v>Prospecting</v></cell><cell r="W703" t="str"><v>Link Ad</v></cell><cell r="X703" t="str"><v>1x1</v></cell></row><row r="703"><cell r="AA703"><v>43287</v></cell><cell r="AB703" t="str"><v>USA_gaPMG_AZR_AZR_Q1_19_Direct-Social</v></cell><cell r="AC703"><v>21358715</v></cell><cell r="AD703"><v>720197</v></cell><cell r="AE703" t="str"><v>Facebook</v></cell><cell r="AF703"><v>3654128</v></cell><cell r="AG703" t="str"><v>FACEBOOK»USA-Trial-ITD-Lead Completes-AZR-AZR»1 x 1»SocialBan»LIA»ALL»CPA»PRO»X»NA»SS»NA»FreeAcctDeveloperFB-AnimatedGeneric-Ch1»PRC1VY</v></cell><cell r="AH703"><v>223862846</v></cell><cell r="AI703" t="str"><v>AZR_FreeAcctDeveloperFB-AnimatedGeneric-Ch1_USA_1200x1200_CAN_Direct_English_Trial_Standard_ANI_LEA_T1_2</v></cell><cell r="AJ703"><v>103176851</v></cell></row><row r="704"><cell r="C704" t="str"><v>43287FACEBOOK»USA-Trial-ITD-Lead Completes-AZR-AZR»1 x 1»SocialBan»LIA»ALL»CPA»PRO»X»NA»SS»NA»FreeAcctDeveloperFB-AnimatedGeneric-Ch1»PRC1VZ</v></cell><cell r="D704" t="str"><v>43287223862852</v></cell><cell r="E704" t="str"><v>43287103176851PRC1VZ</v></cell><cell r="F704" t="str"><v>DCM</v></cell><cell r="G704" t="str"><v>https://azure.microsoft.com/en-us/free/search/?OCID=AID%eexcid!_OLA_%ebuy!_%epid!_%ecid!</v></cell></row><row r="704"><cell r="K704" t="str"><v>July</v></cell><cell r="L704"><v>43288</v></cell><cell r="M704" t="str"><v>Tier 0</v></cell><cell r="N704" t="str"><v>North America</v></cell><cell r="O704" t="str"><v>United States</v></cell><cell r="P704" t="str"><v>Trial</v></cell><cell r="Q704" t="str"><v>Social</v></cell><cell r="R704" t="str"><v>Azure</v></cell><cell r="S704" t="str"><v>Apps & Infra</v></cell><cell r="T704" t="str"><v>Developers & ITI's</v></cell><cell r="U704" t="str"><v>USA-Trial-ITD-Lead Completes-AZR-AZR</v></cell><cell r="V704" t="str"><v>Prospecting</v></cell><cell r="W704" t="str"><v>Link Ad</v></cell><cell r="X704" t="str"><v>1x1</v></cell></row><row r="704"><cell r="AA704"><v>43287</v></cell><cell r="AB704" t="str"><v>USA_gaPMG_AZR_AZR_Q1_19_Direct-Social</v></cell><cell r="AC704"><v>21358715</v></cell><cell r="AD704"><v>720197</v></cell><cell r="AE704" t="str"><v>Facebook</v></cell><cell r="AF704"><v>3654128</v></cell><cell r="AG704" t="str"><v>FACEBOOK»USA-Trial-ITD-Lead Completes-AZR-AZR»1 x 1»SocialBan»LIA»ALL»CPA»PRO»X»NA»SS»NA»FreeAcctDeveloperFB-AnimatedGeneric-Ch1»PRC1VZ</v></cell><cell r="AH704"><v>223862852</v></cell><cell r="AI704" t="str"><v>AZR_FreeAcctDeveloperFB-AnimatedGeneric-Ch1_USA_1200x1200_CAN_Direct_English_Trial_Standard_ANI_LEA_T1_2</v></cell><cell r="AJ704"><v>103176851</v></cell></row><row r="705"><cell r="C705" t="str"><v>43287FACEBOOK»USA-Trial-ITD-Retargeting-AZR-AZR»1 x 1»SocialBan»LIA»ALL»CPA»RT»X»NA»SS»NA»FreeAcctDeveloperFB-AnimatedGeneric-Ch1»PRC26D</v></cell><cell r="D705" t="str"><v>43287223862870</v></cell><cell r="E705" t="str"><v>43287103176851PRC26D</v></cell><cell r="F705" t="str"><v>DCM</v></cell><cell r="G705" t="str"><v>https://azure.microsoft.com/en-us/free/search/?OCID=AID%eexcid!_OLA_%ebuy!_%epid!_%ecid!</v></cell></row><row r="705"><cell r="K705" t="str"><v>July</v></cell><cell r="L705"><v>43288</v></cell><cell r="M705" t="str"><v>Tier 0</v></cell><cell r="N705" t="str"><v>North America</v></cell><cell r="O705" t="str"><v>United States</v></cell><cell r="P705" t="str"><v>Trial</v></cell><cell r="Q705" t="str"><v>Social</v></cell><cell r="R705" t="str"><v>Azure</v></cell><cell r="S705" t="str"><v>Apps & Infra</v></cell><cell r="T705" t="str"><v>Developers & ITI's</v></cell><cell r="U705" t="str"><v>USA-Trial-ITD-Retargeting-AZR-AZR</v></cell><cell r="V705" t="str"><v>Retargeting</v></cell><cell r="W705" t="str"><v>Link Ad</v></cell><cell r="X705" t="str"><v>1x1</v></cell></row><row r="705"><cell r="AA705"><v>43287</v></cell><cell r="AB705" t="str"><v>USA_gaPMG_AZR_AZR_Q1_19_Direct-Social</v></cell><cell r="AC705"><v>21358715</v></cell><cell r="AD705"><v>720197</v></cell><cell r="AE705" t="str"><v>Facebook</v></cell><cell r="AF705"><v>3654128</v></cell><cell r="AG705" t="str"><v>FACEBOOK»USA-Trial-ITD-Retargeting-AZR-AZR»1 x 1»SocialBan»LIA»ALL»CPA»RT»X»NA»SS»NA»FreeAcctDeveloperFB-AnimatedGeneric-Ch1»PRC26D</v></cell><cell r="AH705"><v>223862870</v></cell><cell r="AI705" t="str"><v>AZR_FreeAcctDeveloperFB-AnimatedGeneric-Ch1_USA_1200x1200_CAN_Direct_English_Trial_Standard_ANI_LEA_T1_2</v></cell><cell r="AJ705"><v>103176851</v></cell></row><row r="706"><cell r="C706" t="str"><v>43287FACEBOOK»USA-Trial-ITD-Retargeting-AZR-AZR»1 x 1»SocialBan»LIA»ALL»CPA»RT»X»NA»SS»NA»FreeAcctRetargetingOSSFB-Logos-ChG»PRC1S2</v></cell><cell r="D706" t="str"><v>43287224106063</v></cell><cell r="E706" t="str"><v>43287103176008PRC1S2</v></cell><cell r="F706" t="str"><v>DCM</v></cell><cell r="G706" t="str"><v>https://azure.microsoft.com/en-us/free/open-source/search/?OCID=AID%eexcid!_OLA_%ebuy!_%epid!_%ecid!</v></cell></row><row r="706"><cell r="K706" t="str"><v>July</v></cell><cell r="L706"><v>43288</v></cell><cell r="M706" t="str"><v>Tier 0</v></cell><cell r="N706" t="str"><v>North America</v></cell><cell r="O706" t="str"><v>United States</v></cell><cell r="P706" t="str"><v>Trial</v></cell><cell r="Q706" t="str"><v>Social</v></cell><cell r="R706" t="str"><v>Azure</v></cell><cell r="S706" t="str"><v>Apps & Infra</v></cell><cell r="T706" t="str"><v>Developers & ITI's</v></cell><cell r="U706" t="str"><v>USA-Trial-ITD-Retargeting-AZR-AZR</v></cell><cell r="V706" t="str"><v>Retargeting</v></cell><cell r="W706" t="str"><v>Link Ad</v></cell><cell r="X706" t="str"><v>1x1</v></cell></row><row r="706"><cell r="AA706"><v>43287</v></cell><cell r="AB706" t="str"><v>USA_gaPMG_AZR_AZR_Q1_19_Direct-Social</v></cell><cell r="AC706"><v>21358715</v></cell><cell r="AD706"><v>720197</v></cell><cell r="AE706" t="str"><v>Facebook</v></cell><cell r="AF706"><v>3654128</v></cell><cell r="AG706" t="str"><v>FACEBOOK»USA-Trial-ITD-Retargeting-AZR-AZR»1 x 1»SocialBan»LIA»ALL»CPA»RT»X»NA»SS»NA»FreeAcctRetargetingOSSFB-Logos-ChG»PRC1S2</v></cell><cell r="AH706"><v>224106063</v></cell><cell r="AI706" t="str"><v>AzurePlatform_FreeAcctRetargetingOSSFB-Logos-ChG_USA_1200x628_CAN_PLATFORM_English_Free Account_Standard_NA_SINU_T2_1</v></cell><cell r="AJ706"><v>103176008</v></cell></row><row r="707"><cell r="C707" t="str"><v>43287FACEBOOK»USA-Trial-ITD-Retargeting-AZR-AZR»1 x 1»SocialBan»LIA»ALL»CPA»RT»X»NA»SS»NA»FreeAcctRetargetingOSSFB-Text-ChF»PRC1S1</v></cell><cell r="D707" t="str"><v>43287223862753</v></cell><cell r="E707" t="str"><v>43287103176869PRC1S1</v></cell><cell r="F707" t="str"><v>DCM</v></cell><cell r="G707" t="str"><v>https://azure.microsoft.com/en-us/free/open-source/search/?OCID=AID%eexcid!_OLA_%ebuy!_%epid!_%ecid!</v></cell></row><row r="707"><cell r="K707" t="str"><v>July</v></cell><cell r="L707"><v>43288</v></cell><cell r="M707" t="str"><v>Tier 0</v></cell><cell r="N707" t="str"><v>North America</v></cell><cell r="O707" t="str"><v>United States</v></cell><cell r="P707" t="str"><v>Trial</v></cell><cell r="Q707" t="str"><v>Social</v></cell><cell r="R707" t="str"><v>Azure</v></cell><cell r="S707" t="str"><v>Apps & Infra</v></cell><cell r="T707" t="str"><v>Developers & ITI's</v></cell><cell r="U707" t="str"><v>USA-Trial-ITD-Retargeting-AZR-AZR</v></cell><cell r="V707" t="str"><v>Retargeting</v></cell><cell r="W707" t="str"><v>Link Ad</v></cell><cell r="X707" t="str"><v>1x1</v></cell></row><row r="707"><cell r="AA707"><v>43287</v></cell><cell r="AB707" t="str"><v>USA_gaPMG_AZR_AZR_Q1_19_Direct-Social</v></cell><cell r="AC707"><v>21358715</v></cell><cell r="AD707"><v>720197</v></cell><cell r="AE707" t="str"><v>Facebook</v></cell><cell r="AF707"><v>3654128</v></cell><cell r="AG707" t="str"><v>FACEBOOK»USA-Trial-ITD-Retargeting-AZR-AZR»1 x 1»SocialBan»LIA»ALL»CPA»RT»X»NA»SS»NA»FreeAcctRetargetingOSSFB-Text-ChF»PRC1S1</v></cell><cell r="AH707"><v>223862753</v></cell><cell r="AI707" t="str"><v>AzurePlatform_FreeAcctRetargetingOSSFB-Text-ChF_USA_1200x628_CAN_PLATFORM_English_Free Account_Standard_NA_SINU_T1_2</v></cell><cell r="AJ707"><v>103176869</v></cell></row><row r="708"><cell r="C708" t="str"><v>43287FACEBOOK»USA-Trial-ITD-Retargeting-AZR-AZR»1 x 1»SocialBan»CAN»ALL»CPA»RT»X»NA»SS»NA»FBCTCBasicMotion»PRC1RQ</v></cell><cell r="D708" t="str"><v>43287224106933</v></cell><cell r="E708" t="str"><v>43287103043823PRC1RQ</v></cell><cell r="F708" t="str"><v>DCM</v></cell><cell r="G708" t="str"><v>https://signup.azure.com/?OCID=AID%eexcid!_OLA_%ebuy!_%epid!_%ecid!</v></cell></row><row r="708"><cell r="K708" t="str"><v>July</v></cell><cell r="L708"><v>43288</v></cell><cell r="M708" t="str"><v>Tier 0</v></cell><cell r="N708" t="str"><v>North America</v></cell><cell r="O708" t="str"><v>United States</v></cell><cell r="P708" t="str"><v>Trial</v></cell><cell r="Q708" t="str"><v>Social</v></cell><cell r="R708" t="str"><v>Azure</v></cell><cell r="S708" t="str"><v>Apps & Infra</v></cell><cell r="T708" t="str"><v>Developers & ITI's</v></cell><cell r="U708" t="str"><v>USA-Trial-ITD-Retargeting-AZR-AZR</v></cell><cell r="V708" t="str"><v>Retargeting</v></cell><cell r="W708" t="str"><v>Canvas Ad</v></cell><cell r="X708" t="str"><v>1x1</v></cell></row><row r="708"><cell r="AA708"><v>43287</v></cell><cell r="AB708" t="str"><v>USA_gaPMG_AZR_AZR_Q1_19_Direct-Social</v></cell><cell r="AC708"><v>21358715</v></cell><cell r="AD708"><v>720197</v></cell><cell r="AE708" t="str"><v>Facebook</v></cell><cell r="AF708"><v>3654128</v></cell><cell r="AG708" t="str"><v>FACEBOOK»USA-Trial-ITD-Retargeting-AZR-AZR»1 x 1»SocialBan»CAN»ALL»CPA»RT»X»NA»SS»NA»FBCTCBasicMotion»PRC1RQ</v></cell><cell r="AH708"><v>224106933</v></cell><cell r="AI708" t="str"><v>AzurePlatform_FBCTCBasicMotion_USA_10s_CAN_PLATFORM_English_Trial_Standard_STAN_TIN_T1_1</v></cell><cell r="AJ708"><v>103043823</v></cell></row><row r="709"><cell r="C709" t="str"><v>43287FACEBOOK»USA-Trial-ITD-Retargeting-AZR-AZR»1 x 1»SocialBan»LIA»ALL»CPA»RT»X»NA»SS»NA»FreeAcctITProFB-AnimatedSecureMngd-Ch1»PRC26K</v></cell><cell r="D709" t="str"><v>43287223862762</v></cell><cell r="E709" t="str"><v>43287103176830PRC26K</v></cell><cell r="F709" t="str"><v>DCM</v></cell></row><row r="709"><cell r="K709" t="str"><v>July</v></cell><cell r="L709"><v>43288</v></cell><cell r="M709" t="str"><v>Tier 0</v></cell><cell r="N709" t="str"><v>North America</v></cell><cell r="O709" t="str"><v>United States</v></cell><cell r="P709" t="str"><v>Trial</v></cell><cell r="Q709" t="str"><v>Social</v></cell><cell r="R709" t="str"><v>Azure</v></cell><cell r="S709" t="str"><v>Apps & Infra</v></cell><cell r="T709" t="str"><v>Developers & ITI's</v></cell><cell r="U709" t="str"><v>USA-Trial-ITD-Retargeting-AZR-AZR</v></cell><cell r="V709" t="str"><v>Retargeting</v></cell><cell r="W709" t="str"><v>Link Ad</v></cell><cell r="X709" t="str"><v>1x1</v></cell></row><row r="709"><cell r="AA709"><v>43287</v></cell><cell r="AB709" t="str"><v>USA_gaPMG_AZR_AZR_Q1_19_Direct-Social</v></cell><cell r="AC709"><v>21358715</v></cell><cell r="AD709"><v>720197</v></cell><cell r="AE709" t="str"><v>Facebook</v></cell><cell r="AF709"><v>3654128</v></cell><cell r="AG709" t="str"><v>FACEBOOK»USA-Trial-ITD-Retargeting-AZR-AZR»1 x 1»SocialBan»LIA»ALL»CPA»RT»X»NA»SS»NA»FreeAcctITProFB-AnimatedSecureMngd-Ch1»PRC26K</v></cell><cell r="AH709"><v>223862762</v></cell><cell r="AI709" t="str"><v>AZR_FreeAcctITProFB-AnimatedSecureMngd-Ch1_USA_1200x1200_CAN_Direct_English_Trial_Standard_ANI_LEA_T1_1</v></cell><cell r="AJ709"><v>103176830</v></cell></row><row r="710"><cell r="C710" t="str"><v>43287FACEBOOK»USA-Trial-ITD-Trial Lookalike-AZR-AZR»1 x 1»SocialBan»LIA»ALL»CPA»LAL»X»NA»SS»NA»FreeAcctDeveloperFB-AnimatedGeneric-Ch1»PRC1M4</v></cell><cell r="D710" t="str"><v>43287224104941</v></cell><cell r="E710" t="str"><v>43287103176851PRC1M4</v></cell><cell r="F710" t="str"><v>DCM</v></cell><cell r="G710" t="str"><v>https://azure.microsoft.com/en-us/free/search/?OCID=AID%eexcid!_OLA_%ebuy!_%epid!_%ecid!</v></cell></row><row r="710"><cell r="K710" t="str"><v>July</v></cell><cell r="L710"><v>43288</v></cell><cell r="M710" t="str"><v>Tier 0</v></cell><cell r="N710" t="str"><v>North America</v></cell><cell r="O710" t="str"><v>United States</v></cell><cell r="P710" t="str"><v>Trial</v></cell><cell r="Q710" t="str"><v>Social</v></cell><cell r="R710" t="str"><v>Azure</v></cell><cell r="S710" t="str"><v>Apps & Infra</v></cell><cell r="T710" t="str"><v>Developers & ITI's</v></cell><cell r="U710" t="str"><v>USA-Trial-ITD-Trial Lookalike-AZR-AZR</v></cell><cell r="V710" t="str"><v>Lookalike Targeting</v></cell><cell r="W710" t="str"><v>Link Ad</v></cell><cell r="X710" t="str"><v>1x1</v></cell></row><row r="710"><cell r="AA710"><v>43287</v></cell><cell r="AB710" t="str"><v>USA_gaPMG_AZR_AZR_Q1_19_Direct-Social</v></cell><cell r="AC710"><v>21358715</v></cell><cell r="AD710"><v>720197</v></cell><cell r="AE710" t="str"><v>Facebook</v></cell><cell r="AF710"><v>3654128</v></cell><cell r="AG710" t="str"><v>FACEBOOK»USA-Trial-ITD-Trial Lookalike-AZR-AZR»1 x 1»SocialBan»LIA»ALL»CPA»LAL»X»NA»SS»NA»FreeAcctDeveloperFB-AnimatedGeneric-Ch1»PRC1M4</v></cell><cell r="AH710"><v>224104941</v></cell><cell r="AI710" t="str"><v>AZR_FreeAcctDeveloperFB-AnimatedGeneric-Ch1_USA_1200x1200_CAN_Direct_English_Trial_Standard_ANI_LEA_T1_2</v></cell><cell r="AJ710"><v>103176851</v></cell></row><row r="711"><cell r="C711" t="str"><v>43287FACEBOOK»USA-Trial-ITD-Trial Lookalike-AZR-AZR»1 x 1»SocialBan»LIA»ALL»CPA»LAL»X»NA»SS»NA»FreeAcctDeveloperFB-AnimatedGeneric-Ch1»PRC1M5</v></cell><cell r="D711" t="str"><v>43287223934083</v></cell><cell r="E711" t="str"><v>43287103176851PRC1M5</v></cell><cell r="F711" t="str"><v>DCM</v></cell><cell r="G711" t="str"><v>https://azure.microsoft.com/en-us/free/search/?OCID=AID%eexcid!_OLA_%ebuy!_%epid!_%ecid!</v></cell></row><row r="711"><cell r="K711" t="str"><v>July</v></cell><cell r="L711"><v>43288</v></cell><cell r="M711" t="str"><v>Tier 0</v></cell><cell r="N711" t="str"><v>North America</v></cell><cell r="O711" t="str"><v>United States</v></cell><cell r="P711" t="str"><v>Trial</v></cell><cell r="Q711" t="str"><v>Social</v></cell><cell r="R711" t="str"><v>Azure</v></cell><cell r="S711" t="str"><v>Apps & Infra</v></cell><cell r="T711" t="str"><v>Developers & ITI's</v></cell><cell r="U711" t="str"><v>USA-Trial-ITD-Trial Lookalike-AZR-AZR</v></cell><cell r="V711" t="str"><v>Lookalike Targeting</v></cell><cell r="W711" t="str"><v>Link Ad</v></cell><cell r="X711" t="str"><v>1x1</v></cell></row><row r="711"><cell r="AA711"><v>43287</v></cell><cell r="AB711" t="str"><v>USA_gaPMG_AZR_AZR_Q1_19_Direct-Social</v></cell><cell r="AC711"><v>21358715</v></cell><cell r="AD711"><v>720197</v></cell><cell r="AE711" t="str"><v>Facebook</v></cell><cell r="AF711"><v>3654128</v></cell><cell r="AG711" t="str"><v>FACEBOOK»USA-Trial-ITD-Trial Lookalike-AZR-AZR»1 x 1»SocialBan»LIA»ALL»CPA»LAL»X»NA»SS»NA»FreeAcctDeveloperFB-AnimatedGeneric-Ch1»PRC1M5</v></cell><cell r="AH711"><v>223934083</v></cell><cell r="AI711" t="str"><v>AZR_FreeAcctDeveloperFB-AnimatedGeneric-Ch1_USA_1200x1200_CAN_Direct_English_Trial_Standard_ANI_LEA_T1_2</v></cell><cell r="AJ711"><v>103176851</v></cell></row><row r="712"><cell r="C712" t="str"><v>43287FACEBOOK»USA-Trial-ITD-Trial Lookalike-AZR-AZR»1 x 1»SocialBan»LIA»ALL»CPA»LAL»X»NA»SS»NA»FreeAcctDeveloperFB-AnimatedOpenSource-Ch2»PRC1M6</v></cell><cell r="D712" t="str"><v>43287223935628</v></cell><cell r="E712" t="str"><v>43287103048329PRC1M6</v></cell><cell r="F712" t="str"><v>DCM</v></cell><cell r="G712" t="str"><v>https://azure.microsoft.com/en-us/free/open-source/search/?OCID=AID%eexcid!_OLA_%ebuy!_%epid!_%ecid!</v></cell></row><row r="712"><cell r="K712" t="str"><v>July</v></cell><cell r="L712"><v>43288</v></cell><cell r="M712" t="str"><v>Tier 0</v></cell><cell r="N712" t="str"><v>North America</v></cell><cell r="O712" t="str"><v>United States</v></cell><cell r="P712" t="str"><v>Trial</v></cell><cell r="Q712" t="str"><v>Social</v></cell><cell r="R712" t="str"><v>Azure</v></cell><cell r="S712" t="str"><v>Apps & Infra</v></cell><cell r="T712" t="str"><v>Developers & ITI's</v></cell><cell r="U712" t="str"><v>USA-Trial-ITD-Trial Lookalike-AZR-AZR</v></cell><cell r="V712" t="str"><v>Lookalike Targeting</v></cell><cell r="W712" t="str"><v>Link Ad</v></cell><cell r="X712" t="str"><v>1x1</v></cell></row><row r="712"><cell r="AA712"><v>43287</v></cell><cell r="AB712" t="str"><v>USA_gaPMG_AZR_AZR_Q1_19_Direct-Social</v></cell><cell r="AC712"><v>21358715</v></cell><cell r="AD712"><v>720197</v></cell><cell r="AE712" t="str"><v>Facebook</v></cell><cell r="AF712"><v>3654128</v></cell><cell r="AG712" t="str"><v>FACEBOOK»USA-Trial-ITD-Trial Lookalike-AZR-AZR»1 x 1»SocialBan»LIA»ALL»CPA»LAL»X»NA»SS»NA»FreeAcctDeveloperFB-AnimatedOpenSource-Ch2»PRC1M6</v></cell><cell r="AH712"><v>223935628</v></cell><cell r="AI712" t="str"><v>AZR_FreeAcctDeveloperFB-AnimatedOpenSource-Ch2_USA_1200x1200_CAN_Direct_English_Trial_Standard_ANI_LEA_T2_1</v></cell><cell r="AJ712"><v>103048329</v></cell></row><row r="713"><cell r="C713" t="str"><v>43287FACEBOOK»USA-Trial-ITD-Trial Lookalike-AZR-AZR»1 x 1»SocialBan»LIA»ALL»CPA»LAL»X»NA»SS»NA»FreeAcctITProFB-AnimatedMigration-Ch3»PRC23N</v></cell><cell r="D713" t="str"><v>43287223935637</v></cell><cell r="E713" t="str"><v>43287103176827PRC23N</v></cell><cell r="F713" t="str"><v>DCM</v></cell></row><row r="713"><cell r="K713" t="str"><v>July</v></cell><cell r="L713"><v>43288</v></cell><cell r="M713" t="str"><v>Tier 0</v></cell><cell r="N713" t="str"><v>North America</v></cell><cell r="O713" t="str"><v>United States</v></cell><cell r="P713" t="str"><v>Trial</v></cell><cell r="Q713" t="str"><v>Social</v></cell><cell r="R713" t="str"><v>Azure</v></cell><cell r="S713" t="str"><v>Apps & Infra</v></cell><cell r="T713" t="str"><v>Developers & ITI's</v></cell><cell r="U713" t="str"><v>USA-Trial-ITD-Trial Lookalike-AZR-AZR</v></cell><cell r="V713" t="str"><v>Lookalike Targeting</v></cell><cell r="W713" t="str"><v>Link Ad</v></cell><cell r="X713" t="str"><v>1x1</v></cell></row><row r="713"><cell r="AA713"><v>43287</v></cell><cell r="AB713" t="str"><v>USA_gaPMG_AZR_AZR_Q1_19_Direct-Social</v></cell><cell r="AC713"><v>21358715</v></cell><cell r="AD713"><v>720197</v></cell><cell r="AE713" t="str"><v>Facebook</v></cell><cell r="AF713"><v>3654128</v></cell><cell r="AG713" t="str"><v>FACEBOOK»USA-Trial-ITD-Trial Lookalike-AZR-AZR»1 x 1»SocialBan»LIA»ALL»CPA»LAL»X»NA»SS»NA»FreeAcctITProFB-AnimatedMigration-Ch3»PRC23N</v></cell><cell r="AH713"><v>223935637</v></cell><cell r="AI713" t="str"><v>AZR_FreeAcctITProFB-AnimatedMigration-Ch3_USA_1200x1200_CAN_Direct_English_Trial_Standard_ANI_LEA_T3_1</v></cell><cell r="AJ713"><v>103176827</v></cell></row><row r="714"><cell r="C714" t="str"><v>43287FACEBOOK»USA-Trial-ITD-Trial Lookalike-AZR-AZR»1 x 1»SocialBan»LIA»ALL»CPA»LAL»X»NA»SS»NA»FreeAcctITProFB-AnimatedSecureMngd-Ch1»PRC1M9</v></cell><cell r="D714" t="str"><v>43287224104959</v></cell><cell r="E714" t="str"><v>43287103176830PRC1M9</v></cell><cell r="F714" t="str"><v>DCM</v></cell></row><row r="714"><cell r="K714" t="str"><v>July</v></cell><cell r="L714"><v>43288</v></cell><cell r="M714" t="str"><v>Tier 0</v></cell><cell r="N714" t="str"><v>North America</v></cell><cell r="O714" t="str"><v>United States</v></cell><cell r="P714" t="str"><v>Trial</v></cell><cell r="Q714" t="str"><v>Social</v></cell><cell r="R714" t="str"><v>Azure</v></cell><cell r="S714" t="str"><v>Apps & Infra</v></cell><cell r="T714" t="str"><v>Developers & ITI's</v></cell><cell r="U714" t="str"><v>USA-Trial-ITD-Trial Lookalike-AZR-AZR</v></cell><cell r="V714" t="str"><v>Lookalike Targeting</v></cell><cell r="W714" t="str"><v>Link Ad</v></cell><cell r="X714" t="str"><v>1x1</v></cell></row><row r="714"><cell r="AA714"><v>43287</v></cell><cell r="AB714" t="str"><v>USA_gaPMG_AZR_AZR_Q1_19_Direct-Social</v></cell><cell r="AC714"><v>21358715</v></cell><cell r="AD714"><v>720197</v></cell><cell r="AE714" t="str"><v>Facebook</v></cell><cell r="AF714"><v>3654128</v></cell><cell r="AG714" t="str"><v>FACEBOOK»USA-Trial-ITD-Trial Lookalike-AZR-AZR»1 x 1»SocialBan»LIA»ALL»CPA»LAL»X»NA»SS»NA»FreeAcctITProFB-AnimatedSecureMngd-Ch1»PRC1M9</v></cell><cell r="AH714"><v>224104959</v></cell><cell r="AI714" t="str"><v>AZR_FreeAcctITProFB-AnimatedSecureMngd-Ch1_USA_1200x1200_CAN_Direct_English_Trial_Standard_ANI_LEA_T1_1</v></cell><cell r="AJ714"><v>103176830</v></cell></row><row r="715"><cell r="C715" t="str"><v>43287FACEBOOK»USA-Trial-ITD-Trial Lookalike-AZR-AZR»1 x 1»SocialBan»CAN»ALL»CPA»LAL»X»NA»SS»NA»FBCTCBasicMotion»PRC1LZ</v></cell><cell r="D715" t="str"><v>43287223862915</v></cell><cell r="E715" t="str"><v>43287103043823PRC1LZ</v></cell><cell r="F715" t="str"><v>DCM</v></cell><cell r="G715" t="str"><v>https://signup.azure.com/?OCID=AID%eexcid!_OLA_%ebuy!_%epid!_%ecid!</v></cell></row><row r="715"><cell r="K715" t="str"><v>July</v></cell><cell r="L715"><v>43288</v></cell><cell r="M715" t="str"><v>Tier 0</v></cell><cell r="N715" t="str"><v>North America</v></cell><cell r="O715" t="str"><v>United States</v></cell><cell r="P715" t="str"><v>Trial</v></cell><cell r="Q715" t="str"><v>Social</v></cell><cell r="R715" t="str"><v>Azure</v></cell><cell r="S715" t="str"><v>Apps & Infra</v></cell><cell r="T715" t="str"><v>Developers & ITI's</v></cell><cell r="U715" t="str"><v>USA-Trial-ITD-Trial Lookalike-AZR-AZR</v></cell><cell r="V715" t="str"><v>Lookalike Targeting</v></cell><cell r="W715" t="str"><v>Canvas Ad</v></cell><cell r="X715" t="str"><v>1x1</v></cell></row><row r="715"><cell r="AA715"><v>43287</v></cell><cell r="AB715" t="str"><v>USA_gaPMG_AZR_AZR_Q1_19_Direct-Social</v></cell><cell r="AC715"><v>21358715</v></cell><cell r="AD715"><v>720197</v></cell><cell r="AE715" t="str"><v>Facebook</v></cell><cell r="AF715"><v>3654128</v></cell><cell r="AG715" t="str"><v>FACEBOOK»USA-Trial-ITD-Trial Lookalike-AZR-AZR»1 x 1»SocialBan»CAN»ALL»CPA»LAL»X»NA»SS»NA»FBCTCBasicMotion»PRC1LZ</v></cell><cell r="AH715"><v>223862915</v></cell><cell r="AI715" t="str"><v>AzurePlatform_FBCTCBasicMotion_USA_10s_CAN_PLATFORM_English_Trial_Standard_STAN_TIN_T1_1</v></cell><cell r="AJ715"><v>103043823</v></cell></row><row r="716"><cell r="C716" t="str"><v>43287FACEBOOK»USA-Trial-ITD-Trial PayGo Lookalike-AZR-AZR»1 x 1»SocialBan»CAN»ALL»CPA»LAL»X»NA»SS»NA»FBCTCBasicMotion»PRC1Q0</v></cell><cell r="D716" t="str"><v>43287223935664</v></cell><cell r="E716" t="str"><v>43287103043823PRC1Q0</v></cell><cell r="F716" t="str"><v>DCM</v></cell><cell r="G716" t="str"><v>https://signup.azure.com/?OCID=AID%eexcid!_OLA_%ebuy!_%epid!_%ecid!</v></cell></row><row r="716"><cell r="K716" t="str"><v>July</v></cell><cell r="L716"><v>43288</v></cell><cell r="M716" t="str"><v>Tier 0</v></cell><cell r="N716" t="str"><v>North America</v></cell><cell r="O716" t="str"><v>United States</v></cell><cell r="P716" t="str"><v>Trial</v></cell><cell r="Q716" t="str"><v>Social</v></cell><cell r="R716" t="str"><v>Azure</v></cell><cell r="S716" t="str"><v>Apps & Infra</v></cell><cell r="T716" t="str"><v>Developers & ITI's</v></cell><cell r="U716" t="str"><v>USA-Trial-ITD-Trial PayGo Lookalike-AZR-AZR</v></cell><cell r="V716" t="str"><v>Lookalike Targeting</v></cell><cell r="W716" t="str"><v>Canvas Ad</v></cell><cell r="X716" t="str"><v>1x1</v></cell></row><row r="716"><cell r="AA716"><v>43287</v></cell><cell r="AB716" t="str"><v>USA_gaPMG_AZR_AZR_Q1_19_Direct-Social</v></cell><cell r="AC716"><v>21358715</v></cell><cell r="AD716"><v>720197</v></cell><cell r="AE716" t="str"><v>Facebook</v></cell><cell r="AF716"><v>3654128</v></cell><cell r="AG716" t="str"><v>FACEBOOK»USA-Trial-ITD-Trial PayGo Lookalike-AZR-AZR»1 x 1»SocialBan»CAN»ALL»CPA»LAL»X»NA»SS»NA»FBCTCBasicMotion»PRC1Q0</v></cell><cell r="AH716"><v>223935664</v></cell><cell r="AI716" t="str"><v>AzurePlatform_FBCTCBasicMotion_USA_10s_CAN_PLATFORM_English_Trial_Standard_STAN_TIN_T1_1</v></cell><cell r="AJ716"><v>103043823</v></cell></row><row r="717"><cell r="C717" t="str"><v>43287FACEBOOK»USA-Trial-ITD-Trial PayGo Lookalike-AZR-AZR»1 x 1»SocialBan»LIA»ALL»CPA»LAL»X»NA»SS»NA»FreeAcctDeveloperFB-AnimatedAI-Ch3»PRC1Q8</v></cell><cell r="D717" t="str"><v>43287224104983</v></cell><cell r="E717" t="str"><v>43287103032778PRC1Q8</v></cell><cell r="F717" t="str"><v>DCM</v></cell></row><row r="717"><cell r="K717" t="str"><v>July</v></cell><cell r="L717"><v>43288</v></cell><cell r="M717" t="str"><v>Tier 0</v></cell><cell r="N717" t="str"><v>North America</v></cell><cell r="O717" t="str"><v>United States</v></cell><cell r="P717" t="str"><v>Trial</v></cell><cell r="Q717" t="str"><v>Social</v></cell><cell r="R717" t="str"><v>Azure</v></cell><cell r="S717" t="str"><v>Apps & Infra</v></cell><cell r="T717" t="str"><v>Developers & ITI's</v></cell><cell r="U717" t="str"><v>USA-Trial-ITD-Trial PayGo Lookalike-AZR-AZR</v></cell><cell r="V717" t="str"><v>Lookalike Targeting</v></cell><cell r="W717" t="str"><v>Link Ad</v></cell><cell r="X717" t="str"><v>1x1</v></cell></row><row r="717"><cell r="AA717"><v>43287</v></cell><cell r="AB717" t="str"><v>USA_gaPMG_AZR_AZR_Q1_19_Direct-Social</v></cell><cell r="AC717"><v>21358715</v></cell><cell r="AD717"><v>720197</v></cell><cell r="AE717" t="str"><v>Facebook</v></cell><cell r="AF717"><v>3654128</v></cell><cell r="AG717" t="str"><v>FACEBOOK»USA-Trial-ITD-Trial PayGo Lookalike-AZR-AZR»1 x 1»SocialBan»LIA»ALL»CPA»LAL»X»NA»SS»NA»FreeAcctDeveloperFB-AnimatedAI-Ch3»PRC1Q8</v></cell><cell r="AH717"><v>224104983</v></cell><cell r="AI717" t="str"><v>AZR_FreeAcctDeveloperFB-AnimatedAI-Ch3_USA_1200x1200_CAN_Direct_English_Trial_Standard_ANI_LEA_T3_1</v></cell><cell r="AJ717"><v>103032778</v></cell></row><row r="718"><cell r="C718" t="str"><v>43287FACEBOOK»USA-Trial-ITD-Trial PayGo Lookalike-AZR-AZR»1 x 1»SocialBan»LIA»ALL»CPA»LAL»X»NA»SS»NA»FreeAcctDeveloperFB-AnimatedData-Ch4»PRC1Q9</v></cell><cell r="D718" t="str"><v>43287224106990</v></cell><cell r="E718" t="str"><v>43287103037935PRC1Q9</v></cell><cell r="F718" t="str"><v>DCM</v></cell></row><row r="718"><cell r="K718" t="str"><v>July</v></cell><cell r="L718"><v>43288</v></cell><cell r="M718" t="str"><v>Tier 0</v></cell><cell r="N718" t="str"><v>North America</v></cell><cell r="O718" t="str"><v>United States</v></cell><cell r="P718" t="str"><v>Trial</v></cell><cell r="Q718" t="str"><v>Social</v></cell><cell r="R718" t="str"><v>Azure</v></cell><cell r="S718" t="str"><v>Apps & Infra</v></cell><cell r="T718" t="str"><v>Developers & ITI's</v></cell><cell r="U718" t="str"><v>USA-Trial-ITD-Trial PayGo Lookalike-AZR-AZR</v></cell><cell r="V718" t="str"><v>Lookalike Targeting</v></cell><cell r="W718" t="str"><v>Link Ad</v></cell><cell r="X718" t="str"><v>1x1</v></cell></row><row r="718"><cell r="AA718"><v>43287</v></cell><cell r="AB718" t="str"><v>USA_gaPMG_AZR_AZR_Q1_19_Direct-Social</v></cell><cell r="AC718"><v>21358715</v></cell><cell r="AD718"><v>720197</v></cell><cell r="AE718" t="str"><v>Facebook</v></cell><cell r="AF718"><v>3654128</v></cell><cell r="AG718" t="str"><v>FACEBOOK»USA-Trial-ITD-Trial PayGo Lookalike-AZR-AZR»1 x 1»SocialBan»LIA»ALL»CPA»LAL»X»NA»SS»NA»FreeAcctDeveloperFB-AnimatedData-Ch4»PRC1Q9</v></cell><cell r="AH718"><v>224106990</v></cell><cell r="AI718" t="str"><v>AZR_FreeAcctDeveloperFB-AnimatedData-Ch4_USA_1200x1200_CAN_Direct_English_Trial_Standard_ANI_LEA_T4_2</v></cell><cell r="AJ718"><v>103037935</v></cell></row><row r="719"><cell r="C719" t="str"><v>43287FACEBOOK»USA-Trial-ITD-Trial PayGo Lookalike-AZR-AZR»1 x 1»SocialBan»LIA»ALL»CPA»LAL»X»NA»SS»NA»FreeAcctDeveloperFB-AnimatedGeneric-Ch1»PRC1Q5</v></cell><cell r="D719" t="str"><v>43287224104092</v></cell><cell r="E719" t="str"><v>43287103176851PRC1Q5</v></cell><cell r="F719" t="str"><v>DCM</v></cell><cell r="G719" t="str"><v>https://azure.microsoft.com/en-us/free/search/?OCID=AID%eexcid!_OLA_%ebuy!_%epid!_%ecid!</v></cell></row><row r="719"><cell r="K719" t="str"><v>July</v></cell><cell r="L719"><v>43288</v></cell><cell r="M719" t="str"><v>Tier 0</v></cell><cell r="N719" t="str"><v>North America</v></cell><cell r="O719" t="str"><v>United States</v></cell><cell r="P719" t="str"><v>Trial</v></cell><cell r="Q719" t="str"><v>Social</v></cell><cell r="R719" t="str"><v>Azure</v></cell><cell r="S719" t="str"><v>Apps & Infra</v></cell><cell r="T719" t="str"><v>Developers & ITI's</v></cell><cell r="U719" t="str"><v>USA-Trial-ITD-Trial PayGo Lookalike-AZR-AZR</v></cell><cell r="V719" t="str"><v>Lookalike Targeting</v></cell><cell r="W719" t="str"><v>Link Ad</v></cell><cell r="X719" t="str"><v>1x1</v></cell></row><row r="719"><cell r="AA719"><v>43287</v></cell><cell r="AB719" t="str"><v>USA_gaPMG_AZR_AZR_Q1_19_Direct-Social</v></cell><cell r="AC719"><v>21358715</v></cell><cell r="AD719"><v>720197</v></cell><cell r="AE719" t="str"><v>Facebook</v></cell><cell r="AF719"><v>3654128</v></cell><cell r="AG719" t="str"><v>FACEBOOK»USA-Trial-ITD-Trial PayGo Lookalike-AZR-AZR»1 x 1»SocialBan»LIA»ALL»CPA»LAL»X»NA»SS»NA»FreeAcctDeveloperFB-AnimatedGeneric-Ch1»PRC1Q5</v></cell><cell r="AH719"><v>224104092</v></cell><cell r="AI719" t="str"><v>AZR_FreeAcctDeveloperFB-AnimatedGeneric-Ch1_USA_1200x1200_CAN_Direct_English_Trial_Standard_ANI_LEA_T1_2</v></cell><cell r="AJ719"><v>103176851</v></cell></row><row r="720"><cell r="C720" t="str"><v>43287FACEBOOK»USA-Trial-ITD-Trial PayGo Lookalike-AZR-AZR»1 x 1»SocialBan»LIA»ALL»CPA»LAL»X»NA»SS»NA»FreeAcctDeveloperFB-AnimatedOpenSource-Ch2»PRC1Q7</v></cell><cell r="D720" t="str"><v>43287223862951</v></cell><cell r="E720" t="str"><v>43287103048329PRC1Q7</v></cell><cell r="F720" t="str"><v>DCM</v></cell><cell r="G720" t="str"><v>https://azure.microsoft.com/en-us/free/open-source/search/?OCID=AID%eexcid!_OLA_%ebuy!_%epid!_%ecid!</v></cell></row><row r="720"><cell r="K720" t="str"><v>July</v></cell><cell r="L720"><v>43288</v></cell><cell r="M720" t="str"><v>Tier 0</v></cell><cell r="N720" t="str"><v>North America</v></cell><cell r="O720" t="str"><v>United States</v></cell><cell r="P720" t="str"><v>Trial</v></cell><cell r="Q720" t="str"><v>Social</v></cell><cell r="R720" t="str"><v>Azure</v></cell><cell r="S720" t="str"><v>Apps & Infra</v></cell><cell r="T720" t="str"><v>Developers & ITI's</v></cell><cell r="U720" t="str"><v>USA-Trial-ITD-Trial PayGo Lookalike-AZR-AZR</v></cell><cell r="V720" t="str"><v>Lookalike Targeting</v></cell><cell r="W720" t="str"><v>Link Ad</v></cell><cell r="X720" t="str"><v>1x1</v></cell></row><row r="720"><cell r="AA720"><v>43287</v></cell><cell r="AB720" t="str"><v>USA_gaPMG_AZR_AZR_Q1_19_Direct-Social</v></cell><cell r="AC720"><v>21358715</v></cell><cell r="AD720"><v>720197</v></cell><cell r="AE720" t="str"><v>Facebook</v></cell><cell r="AF720"><v>3654128</v></cell><cell r="AG720" t="str"><v>FACEBOOK»USA-Trial-ITD-Trial PayGo Lookalike-AZR-AZR»1 x 1»SocialBan»LIA»ALL»CPA»LAL»X»NA»SS»NA»FreeAcctDeveloperFB-AnimatedOpenSource-Ch2»PRC1Q7</v></cell><cell r="AH720"><v>223862951</v></cell><cell r="AI720" t="str"><v>AZR_FreeAcctDeveloperFB-AnimatedOpenSource-Ch2_USA_1200x1200_CAN_Direct_English_Trial_Standard_ANI_LEA_T2_1</v></cell><cell r="AJ720"><v>103048329</v></cell></row><row r="721"><cell r="C721" t="str"><v>43287FACEBOOK»USA-Trial-ITD-Trial PayGo Lookalike-AZR-AZR»1 x 1»SocialBan»LIA»ALL»CPA»LAL»X»NA»SS»NA»FreeAcctITProFB-AnimatedHybrid-Ch2»PRC1QC</v></cell><cell r="D721" t="str"><v>43287223933186</v></cell><cell r="E721" t="str"><v>43287103180583PRC1QC</v></cell><cell r="F721" t="str"><v>DCM</v></cell></row><row r="721"><cell r="K721" t="str"><v>July</v></cell><cell r="L721"><v>43288</v></cell><cell r="M721" t="str"><v>Tier 0</v></cell><cell r="N721" t="str"><v>North America</v></cell><cell r="O721" t="str"><v>United States</v></cell><cell r="P721" t="str"><v>Trial</v></cell><cell r="Q721" t="str"><v>Social</v></cell><cell r="R721" t="str"><v>Azure</v></cell><cell r="S721" t="str"><v>Apps & Infra</v></cell><cell r="T721" t="str"><v>Developers & ITI's</v></cell><cell r="U721" t="str"><v>USA-Trial-ITD-Trial PayGo Lookalike-AZR-AZR</v></cell><cell r="V721" t="str"><v>Lookalike Targeting</v></cell><cell r="W721" t="str"><v>Link Ad</v></cell><cell r="X721" t="str"><v>1x1</v></cell></row><row r="721"><cell r="AA721"><v>43287</v></cell><cell r="AB721" t="str"><v>USA_gaPMG_AZR_AZR_Q1_19_Direct-Social</v></cell><cell r="AC721"><v>21358715</v></cell><cell r="AD721"><v>720197</v></cell><cell r="AE721" t="str"><v>Facebook</v></cell><cell r="AF721"><v>3654128</v></cell><cell r="AG721" t="str"><v>FACEBOOK»USA-Trial-ITD-Trial PayGo Lookalike-AZR-AZR»1 x 1»SocialBan»LIA»ALL»CPA»LAL»X»NA»SS»NA»FreeAcctITProFB-AnimatedHybrid-Ch2»PRC1QC</v></cell><cell r="AH721"><v>223933186</v></cell><cell r="AI721" t="str"><v>AZR_FreeAcctITProFB-AnimatedHybrid-Ch2_USA_1200x1200_CAN_Direct_English_Trial_Standard_ANI_LEA_T2_2</v></cell><cell r="AJ721"><v>103180583</v></cell></row><row r="722"><cell r="C722" t="str"><v>43287FACEBOOK»USA-Trial-ITD-Trial PayGo Lookalike-AZR-AZR»1 x 1»SocialBan»LIA»ALL»CPA»LAL»X»NA»SS»NA»FreeAcctITProFB-AnimatedMigration-Ch3»PRC23Y</v></cell><cell r="D722" t="str"><v>43287224105904</v></cell><cell r="E722" t="str"><v>43287103176827PRC23Y</v></cell><cell r="F722" t="str"><v>DCM</v></cell></row><row r="722"><cell r="K722" t="str"><v>July</v></cell><cell r="L722"><v>43288</v></cell><cell r="M722" t="str"><v>Tier 0</v></cell><cell r="N722" t="str"><v>North America</v></cell><cell r="O722" t="str"><v>United States</v></cell><cell r="P722" t="str"><v>Trial</v></cell><cell r="Q722" t="str"><v>Social</v></cell><cell r="R722" t="str"><v>Azure</v></cell><cell r="S722" t="str"><v>Apps & Infra</v></cell><cell r="T722" t="str"><v>Developers & ITI's</v></cell><cell r="U722" t="str"><v>USA-Trial-ITD-Trial PayGo Lookalike-AZR-AZR</v></cell><cell r="V722" t="str"><v>Lookalike Targeting</v></cell><cell r="W722" t="str"><v>Link Ad</v></cell><cell r="X722" t="str"><v>1x1</v></cell></row><row r="722"><cell r="AA722"><v>43287</v></cell><cell r="AB722" t="str"><v>USA_gaPMG_AZR_AZR_Q1_19_Direct-Social</v></cell><cell r="AC722"><v>21358715</v></cell><cell r="AD722"><v>720197</v></cell><cell r="AE722" t="str"><v>Facebook</v></cell><cell r="AF722"><v>3654128</v></cell><cell r="AG722" t="str"><v>FACEBOOK»USA-Trial-ITD-Trial PayGo Lookalike-AZR-AZR»1 x 1»SocialBan»LIA»ALL»CPA»LAL»X»NA»SS»NA»FreeAcctITProFB-AnimatedMigration-Ch3»PRC23Y</v></cell><cell r="AH722"><v>224105904</v></cell><cell r="AI722" t="str"><v>AZR_FreeAcctITProFB-AnimatedMigration-Ch3_USA_1200x1200_CAN_Direct_English_Trial_Standard_ANI_LEA_T3_1</v></cell><cell r="AJ722"><v>103176827</v></cell></row><row r="723"><cell r="C723" t="str"><v>43287FACEBOOK»USA-Trial-ITD-Trial PayGo Lookalike-AZR-AZR»1 x 1»SocialBan»LIA»ALL»CPA»LAL»X»NA»SS»NA»FreeAcctITProFB-AnimatedSecureMngd-Ch1»PRC1QB</v></cell><cell r="D723" t="str"><v>43287223862945</v></cell><cell r="E723" t="str"><v>43287103176830PRC1QB</v></cell><cell r="F723" t="str"><v>DCM</v></cell></row><row r="723"><cell r="K723" t="str"><v>July</v></cell><cell r="L723"><v>43288</v></cell><cell r="M723" t="str"><v>Tier 0</v></cell><cell r="N723" t="str"><v>North America</v></cell><cell r="O723" t="str"><v>United States</v></cell><cell r="P723" t="str"><v>Trial</v></cell><cell r="Q723" t="str"><v>Social</v></cell><cell r="R723" t="str"><v>Azure</v></cell><cell r="S723" t="str"><v>Apps & Infra</v></cell><cell r="T723" t="str"><v>Developers & ITI's</v></cell><cell r="U723" t="str"><v>USA-Trial-ITD-Trial PayGo Lookalike-AZR-AZR</v></cell><cell r="V723" t="str"><v>Lookalike Targeting</v></cell><cell r="W723" t="str"><v>Link Ad</v></cell><cell r="X723" t="str"><v>1x1</v></cell></row><row r="723"><cell r="AA723"><v>43287</v></cell><cell r="AB723" t="str"><v>USA_gaPMG_AZR_AZR_Q1_19_Direct-Social</v></cell><cell r="AC723"><v>21358715</v></cell><cell r="AD723"><v>720197</v></cell><cell r="AE723" t="str"><v>Facebook</v></cell><cell r="AF723"><v>3654128</v></cell><cell r="AG723" t="str"><v>FACEBOOK»USA-Trial-ITD-Trial PayGo Lookalike-AZR-AZR»1 x 1»SocialBan»LIA»ALL»CPA»LAL»X»NA»SS»NA»FreeAcctITProFB-AnimatedSecureMngd-Ch1»PRC1QB</v></cell><cell r="AH723"><v>223862945</v></cell><cell r="AI723" t="str"><v>AZR_FreeAcctITProFB-AnimatedSecureMngd-Ch1_USA_1200x1200_CAN_Direct_English_Trial_Standard_ANI_LEA_T1_1</v></cell><cell r="AJ723"><v>103176830</v></cell></row><row r="724"><cell r="C724" t="str"><v>43287INSTAGRAM»USA-Trial-ITD-Interest Prospecting-AZR-AZR»1 x 1»SocialBan»CAN»ALL»CPA»PRO»X»NA»SS»NA»IGCTCBenefit2inMotion»PRC2PD</v></cell><cell r="D724" t="str"><v>43287223933084</v></cell><cell r="E724" t="str"><v>43287103180628PRC2PD</v></cell><cell r="F724" t="str"><v>DCM</v></cell><cell r="G724" t="str"><v>https://signup.azure.com/?OCID=AID%eexcid!_OLA_%ebuy!_%epid!_%ecid!</v></cell></row><row r="724"><cell r="K724" t="str"><v>July</v></cell><cell r="L724"><v>43288</v></cell><cell r="M724" t="str"><v>Tier 0</v></cell><cell r="N724" t="str"><v>North America</v></cell><cell r="O724" t="str"><v>United States</v></cell><cell r="P724" t="str"><v>Trial</v></cell><cell r="Q724" t="str"><v>Social</v></cell><cell r="R724" t="str"><v>Azure</v></cell><cell r="S724" t="str"><v>Apps & Infra</v></cell><cell r="T724" t="str"><v>Developers & ITI's</v></cell><cell r="U724" t="str"><v>USA-Trial-ITD-Interest Prospecting-AZR-AZR</v></cell><cell r="V724" t="str"><v>Prospecting</v></cell><cell r="W724" t="str"><v>Canvas Ad</v></cell><cell r="X724" t="str"><v>1x1</v></cell></row><row r="724"><cell r="AA724"><v>43287</v></cell><cell r="AB724" t="str"><v>USA_gaPMG_AZR_AZR_Q1_19_Direct-Social</v></cell><cell r="AC724"><v>21358715</v></cell><cell r="AD724"><v>720197</v></cell><cell r="AE724" t="str"><v>Facebook - Instagram</v></cell><cell r="AF724"><v>3654128</v></cell><cell r="AG724" t="str"><v>INSTAGRAM»USA-Trial-ITD-Interest Prospecting-AZR-AZR»1 x 1»SocialBan»CAN»ALL»CPA»PRO»X»NA»SS»NA»IGCTCBenefit2inMotion»PRC2PD</v></cell><cell r="AH724"><v>223933084</v></cell><cell r="AI724" t="str"><v>AzurePlatform_IGCTCBrandinMotion_USA_10s_CAN_PLATFORM_English_Trial_Standard_STAN_TIN_T2_1</v></cell><cell r="AJ724"><v>103180628</v></cell></row><row r="725"><cell r="C725" t="str"><v>43287INSTAGRAM»USA-Trial-ITD-Interest Prospecting-AZR-AZR»1 x 1»SocialBan»CAN»ALL»CPA»PRO»X»NA»SS»NA»IGCTCBrandinMotion»PRC2PB</v></cell><cell r="D725" t="str"><v>43287223862690</v></cell><cell r="E725" t="str"><v>43287103050783PRC2PB</v></cell><cell r="F725" t="str"><v>DCM</v></cell><cell r="G725" t="str"><v>https://signup.azure.com/?OCID=AID%eexcid!_OLA_%ebuy!_%epid!_%ecid!</v></cell></row><row r="725"><cell r="K725" t="str"><v>July</v></cell><cell r="L725"><v>43288</v></cell><cell r="M725" t="str"><v>Tier 0</v></cell><cell r="N725" t="str"><v>North America</v></cell><cell r="O725" t="str"><v>United States</v></cell><cell r="P725" t="str"><v>Trial</v></cell><cell r="Q725" t="str"><v>Social</v></cell><cell r="R725" t="str"><v>Azure</v></cell><cell r="S725" t="str"><v>Apps & Infra</v></cell><cell r="T725" t="str"><v>Developers & ITI's</v></cell><cell r="U725" t="str"><v>USA-Trial-ITD-Interest Prospecting-AZR-AZR</v></cell><cell r="V725" t="str"><v>Prospecting</v></cell><cell r="W725" t="str"><v>Canvas Ad</v></cell><cell r="X725" t="str"><v>1x1</v></cell></row><row r="725"><cell r="AA725"><v>43287</v></cell><cell r="AB725" t="str"><v>USA_gaPMG_AZR_AZR_Q1_19_Direct-Social</v></cell><cell r="AC725"><v>21358715</v></cell><cell r="AD725"><v>720197</v></cell><cell r="AE725" t="str"><v>Facebook - Instagram</v></cell><cell r="AF725"><v>3654128</v></cell><cell r="AG725" t="str"><v>INSTAGRAM»USA-Trial-ITD-Interest Prospecting-AZR-AZR»1 x 1»SocialBan»CAN»ALL»CPA»PRO»X»NA»SS»NA»IGCTCBrandinMotion»PRC2PB</v></cell><cell r="AH725"><v>223862690</v></cell><cell r="AI725" t="str"><v>AzurePlatform_IGCTCBenefit2inMotion_USA_10s_CAN_PLATFORM_English_Trial_Standard_STAN_TIN_T4_1</v></cell><cell r="AJ725"><v>103050783</v></cell></row><row r="726"><cell r="C726" t="str"><v>43287INSTAGRAM»USA-Trial-ITD-Retargeting-AZR-AZR»1 x 1»SocialBan»CAN»ALL»CPA»RT»X»NA»SS»NA»IGCTCBrandinMotion»PRC2G3</v></cell><cell r="D726" t="str"><v>43287224107014</v></cell><cell r="E726" t="str"><v>43287103050783PRC2G3</v></cell><cell r="F726" t="str"><v>DCM</v></cell><cell r="G726" t="str"><v>https://signup.azure.com/?OCID=AID%eexcid!_OLA_%ebuy!_%epid!_%ecid!</v></cell></row><row r="726"><cell r="K726" t="str"><v>July</v></cell><cell r="L726"><v>43288</v></cell><cell r="M726" t="str"><v>Tier 0</v></cell><cell r="N726" t="str"><v>North America</v></cell><cell r="O726" t="str"><v>United States</v></cell><cell r="P726" t="str"><v>Trial</v></cell><cell r="Q726" t="str"><v>Social</v></cell><cell r="R726" t="str"><v>Azure</v></cell><cell r="S726" t="str"><v>Apps & Infra</v></cell><cell r="T726" t="str"><v>Developers & ITI's</v></cell><cell r="U726" t="str"><v>USA-Trial-ITD-Retargeting-AZR-AZR</v></cell><cell r="V726" t="str"><v>Retargeting</v></cell><cell r="W726" t="str"><v>Canvas Ad</v></cell><cell r="X726" t="str"><v>1x1</v></cell></row><row r="726"><cell r="AA726"><v>43287</v></cell><cell r="AB726" t="str"><v>USA_gaPMG_AZR_AZR_Q1_19_Direct-Social</v></cell><cell r="AC726"><v>21358715</v></cell><cell r="AD726"><v>720197</v></cell><cell r="AE726" t="str"><v>Facebook - Instagram</v></cell><cell r="AF726"><v>3654128</v></cell><cell r="AG726" t="str"><v>INSTAGRAM»USA-Trial-ITD-Retargeting-AZR-AZR»1 x 1»SocialBan»CAN»ALL»CPA»RT»X»NA»SS»NA»IGCTCBrandinMotion»PRC2G3</v></cell><cell r="AH726"><v>224107014</v></cell><cell r="AI726" t="str"><v>AzurePlatform_IGCTCBenefit2inMotion_USA_10s_CAN_PLATFORM_English_Trial_Standard_STAN_TIN_T4_1</v></cell><cell r="AJ726"><v>103050783</v></cell></row><row r="727"><cell r="C727" t="str"><v>43287INSTAGRAM»USA-Trial-ITD-Retargeting-AZR-AZR»1 x 1»SocialBan»CAN»ALL»CPA»RT»X»NA»SS»NA»IGCTCBenefit2inMotion»PRC2G6</v></cell><cell r="D727" t="str"><v>43287224105001</v></cell><cell r="E727" t="str"><v>43287103050786PRC2G6</v></cell><cell r="F727" t="str"><v>DCM</v></cell><cell r="G727" t="str"><v>https://azure.microsoft.com/en-us/pricing/purchase-options/?v=18.19&OCID=AID%eexcid!_OLA_%ebuy!_%epid!_%ecid!</v></cell></row><row r="727"><cell r="K727" t="str"><v>July</v></cell><cell r="L727"><v>43288</v></cell><cell r="M727" t="str"><v>Tier 0</v></cell><cell r="N727" t="str"><v>North America</v></cell><cell r="O727" t="str"><v>United States</v></cell><cell r="P727" t="str"><v>Trial</v></cell><cell r="Q727" t="str"><v>Social</v></cell><cell r="R727" t="str"><v>Azure</v></cell><cell r="S727" t="str"><v>Apps & Infra</v></cell><cell r="T727" t="str"><v>Developers & ITI's</v></cell><cell r="U727" t="str"><v>USA-Trial-ITD-Retargeting-AZR-AZR</v></cell><cell r="V727" t="str"><v>Retargeting</v></cell><cell r="W727" t="str"><v>Canvas Ad</v></cell><cell r="X727" t="str"><v>1x1</v></cell></row><row r="727"><cell r="AA727"><v>43287</v></cell><cell r="AB727" t="str"><v>USA_gaPMG_AZR_AZR_Q1_19_Direct-Social</v></cell><cell r="AC727"><v>21358715</v></cell><cell r="AD727"><v>720197</v></cell><cell r="AE727" t="str"><v>Facebook - Instagram</v></cell><cell r="AF727"><v>3654128</v></cell><cell r="AG727" t="str"><v>INSTAGRAM»USA-Trial-ITD-Retargeting-AZR-AZR»1 x 1»SocialBan»CAN»ALL»CPA»RT»X»NA»SS»NA»IGCTCBenefit2inMotion»PRC2G6</v></cell><cell r="AH727"><v>224105001</v></cell><cell r="AI727" t="str"><v>AzurePlatform_IGCTCBrandinMotion_USA_10s_CAN_PLATFORM_English_Trial_Standard_STAN_TIN_T2_2</v></cell><cell r="AJ727"><v>103050786</v></cell></row><row r="728"><cell r="C728" t="str"><v>43287INSTAGRAM»USA-Trial-ITD-Retargeting-AZR-AZR»1 x 1»SocialBan»CAN»ALL»CPA»RT»X»NA»SS»NA»IGCTCBenefitinMotion»PRC2G4</v></cell><cell r="D728" t="str"><v>43287224107536</v></cell><cell r="E728" t="str"><v>43287103050780PRC2G4</v></cell><cell r="F728" t="str"><v>DCM</v></cell><cell r="G728" t="str"><v>https://signup.azure.com/?OCID=AID%eexcid!_OLA_%ebuy!_%epid!_%ecid!</v></cell></row><row r="728"><cell r="K728" t="str"><v>July</v></cell><cell r="L728"><v>43288</v></cell><cell r="M728" t="str"><v>Tier 0</v></cell><cell r="N728" t="str"><v>North America</v></cell><cell r="O728" t="str"><v>United States</v></cell><cell r="P728" t="str"><v>Trial</v></cell><cell r="Q728" t="str"><v>Social</v></cell><cell r="R728" t="str"><v>Azure</v></cell><cell r="S728" t="str"><v>Apps & Infra</v></cell><cell r="T728" t="str"><v>Developers & ITI's</v></cell><cell r="U728" t="str"><v>USA-Trial-ITD-Retargeting-AZR-AZR</v></cell><cell r="V728" t="str"><v>Retargeting</v></cell><cell r="W728" t="str"><v>Canvas Ad</v></cell><cell r="X728" t="str"><v>1x1</v></cell></row><row r="728"><cell r="AA728"><v>43287</v></cell><cell r="AB728" t="str"><v>USA_gaPMG_AZR_AZR_Q1_19_Direct-Social</v></cell><cell r="AC728"><v>21358715</v></cell><cell r="AD728"><v>720197</v></cell><cell r="AE728" t="str"><v>Facebook - Instagram</v></cell><cell r="AF728"><v>3654128</v></cell><cell r="AG728" t="str"><v>INSTAGRAM»USA-Trial-ITD-Retargeting-AZR-AZR»1 x 1»SocialBan»CAN»ALL»CPA»RT»X»NA»SS»NA»IGCTCBenefitinMotion»PRC2G4</v></cell><cell r="AH728"><v>224107536</v></cell><cell r="AI728" t="str"><v>AzurePlatform_IGCTCBenefitinMotion_USA_10s_CAN_PLATFORM_English_Trial_Standard_STAN_TIN_T3_1</v></cell><cell r="AJ728"><v>103050780</v></cell></row><row r="729"><cell r="C729" t="str"><v>43287INSTAGRAM»USA-Trial-ITD-Trial Lookalike-AZR-AZR»1 x 1»SocialBan»CAN»ALL»CPA»LAL»X»NA»SS»NA»IGCTCBrandinMotion»PRC2FH</v></cell><cell r="D729" t="str"><v>43287223935019</v></cell><cell r="E729" t="str"><v>43287103050783PRC2FH</v></cell><cell r="F729" t="str"><v>DCM</v></cell><cell r="G729" t="str"><v>https://signup.azure.com/?OCID=AID%eexcid!_OLA_%ebuy!_%epid!_%ecid!</v></cell></row><row r="729"><cell r="K729" t="str"><v>July</v></cell><cell r="L729"><v>43288</v></cell><cell r="M729" t="str"><v>Tier 0</v></cell><cell r="N729" t="str"><v>North America</v></cell><cell r="O729" t="str"><v>United States</v></cell><cell r="P729" t="str"><v>Trial</v></cell><cell r="Q729" t="str"><v>Social</v></cell><cell r="R729" t="str"><v>Azure</v></cell><cell r="S729" t="str"><v>Apps & Infra</v></cell><cell r="T729" t="str"><v>Developers & ITI's</v></cell><cell r="U729" t="str"><v>USA-Trial-ITD-Trial Lookalike-AZR-AZR</v></cell><cell r="V729" t="str"><v>Lookalike Targeting</v></cell><cell r="W729" t="str"><v>Canvas Ad</v></cell><cell r="X729" t="str"><v>1x1</v></cell></row><row r="729"><cell r="AA729"><v>43287</v></cell><cell r="AB729" t="str"><v>USA_gaPMG_AZR_AZR_Q1_19_Direct-Social</v></cell><cell r="AC729"><v>21358715</v></cell><cell r="AD729"><v>720197</v></cell><cell r="AE729" t="str"><v>Facebook - Instagram</v></cell><cell r="AF729"><v>3654128</v></cell><cell r="AG729" t="str"><v>INSTAGRAM»USA-Trial-ITD-Trial Lookalike-AZR-AZR»1 x 1»SocialBan»CAN»ALL»CPA»LAL»X»NA»SS»NA»IGCTCBrandinMotion»PRC2FH</v></cell><cell r="AH729"><v>223935019</v></cell><cell r="AI729" t="str"><v>AzurePlatform_IGCTCBenefit2inMotion_USA_10s_CAN_PLATFORM_English_Trial_Standard_STAN_TIN_T4_1</v></cell><cell r="AJ729"><v>103050783</v></cell></row><row r="730"><cell r="C730" t="str"><v>43287INSTAGRAM»USA-Trial-ITD-Trial Lookalike-AZR-AZR»1 x 1»SocialBan»CAN»ALL»CPA»LAL»X»NA»SS»NA»IGCTCBrandinMotion»PRC2FH</v></cell><cell r="D730" t="str"><v>43287223935019</v></cell><cell r="E730" t="str"><v>43287103178714PRC2FH</v></cell><cell r="F730" t="str"><v>DCM</v></cell><cell r="G730" t="str"><v>https://azure.microsoft.com/en-us/pricing/purchase-options/?v=18.19&OCID=AID%eexcid!_OLA_%ebuy!_%epid!_%ecid!</v></cell></row><row r="730"><cell r="K730" t="str"><v>July</v></cell><cell r="L730"><v>43288</v></cell><cell r="M730" t="str"><v>Tier 0</v></cell><cell r="N730" t="str"><v>North America</v></cell><cell r="O730" t="str"><v>United States</v></cell><cell r="P730" t="str"><v>Trial</v></cell><cell r="Q730" t="str"><v>Social</v></cell><cell r="R730" t="str"><v>Azure</v></cell><cell r="S730" t="str"><v>Apps & Infra</v></cell><cell r="T730" t="str"><v>Developers & ITI's</v></cell><cell r="U730" t="str"><v>USA-Trial-ITD-Trial Lookalike-AZR-AZR</v></cell><cell r="V730" t="str"><v>Lookalike Targeting</v></cell><cell r="W730" t="str"><v>Canvas Ad</v></cell><cell r="X730" t="str"><v>1x1</v></cell></row><row r="730"><cell r="AA730"><v>43287</v></cell><cell r="AB730" t="str"><v>USA_gaPMG_AZR_AZR_Q1_19_Direct-Social</v></cell><cell r="AC730"><v>21358715</v></cell><cell r="AD730"><v>720197</v></cell><cell r="AE730" t="str"><v>Facebook - Instagram</v></cell><cell r="AF730"><v>3654128</v></cell><cell r="AG730" t="str"><v>INSTAGRAM»USA-Trial-ITD-Trial Lookalike-AZR-AZR»1 x 1»SocialBan»CAN»ALL»CPA»LAL»X»NA»SS»NA»IGCTCBrandinMotion»PRC2FH</v></cell><cell r="AH730"><v>223935019</v></cell><cell r="AI730" t="str"><v>AzurePlatform_IGCTCBenefit2inMotion_USA_10s_CAN_PLATFORM_English_Trial_Standard_STAN_TIN_T4_2</v></cell><cell r="AJ730"><v>103178714</v></cell></row><row r="731"><cell r="C731" t="str"><v>43287INSTAGRAM»USA-Trial-ITD-Trial PayGo Lookalike-AZR-AZR»1 x 1»SocialBan»CAN»ALL»CPA»LAL»X»NA»SS»NA»IGCTCBrandinMotion»PRC2FW</v></cell><cell r="D731" t="str"><v>43287223862654</v></cell><cell r="E731" t="str"><v>43287103050783PRC2FW</v></cell><cell r="F731" t="str"><v>DCM</v></cell><cell r="G731" t="str"><v>https://signup.azure.com/?OCID=AID%eexcid!_OLA_%ebuy!_%epid!_%ecid!</v></cell></row><row r="731"><cell r="K731" t="str"><v>July</v></cell><cell r="L731"><v>43288</v></cell><cell r="M731" t="str"><v>Tier 0</v></cell><cell r="N731" t="str"><v>North America</v></cell><cell r="O731" t="str"><v>United States</v></cell><cell r="P731" t="str"><v>Trial</v></cell><cell r="Q731" t="str"><v>Social</v></cell><cell r="R731" t="str"><v>Azure</v></cell><cell r="S731" t="str"><v>Apps & Infra</v></cell><cell r="T731" t="str"><v>Developers & ITI's</v></cell><cell r="U731" t="str"><v>USA-Trial-ITD-Trial PayGo Lookalike-AZR-AZR</v></cell><cell r="V731" t="str"><v>Lookalike Targeting</v></cell><cell r="W731" t="str"><v>Canvas Ad</v></cell><cell r="X731" t="str"><v>1x1</v></cell></row><row r="731"><cell r="AA731"><v>43287</v></cell><cell r="AB731" t="str"><v>USA_gaPMG_AZR_AZR_Q1_19_Direct-Social</v></cell><cell r="AC731"><v>21358715</v></cell><cell r="AD731"><v>720197</v></cell><cell r="AE731" t="str"><v>Facebook - Instagram</v></cell><cell r="AF731"><v>3654128</v></cell><cell r="AG731" t="str"><v>INSTAGRAM»USA-Trial-ITD-Trial PayGo Lookalike-AZR-AZR»1 x 1»SocialBan»CAN»ALL»CPA»LAL»X»NA»SS»NA»IGCTCBrandinMotion»PRC2FW</v></cell><cell r="AH731"><v>223862654</v></cell><cell r="AI731" t="str"><v>AzurePlatform_IGCTCBenefit2inMotion_USA_10s_CAN_PLATFORM_English_Trial_Standard_STAN_TIN_T4_1</v></cell><cell r="AJ731"><v>103050783</v></cell></row><row r="732"><cell r="C732" t="str"><v>43287INSTAGRAM»USA-Trial-ITD-Trial PayGo Lookalike-AZR-AZR»1 x 1»SocialBan»CAN»ALL»CPA»LAL»X»NA»SS»NA»IGCTCBenefit2inMotion»PRC2FZ</v></cell><cell r="D732" t="str"><v>43287223933075</v></cell><cell r="E732" t="str"><v>43287103180628PRC2FZ</v></cell><cell r="F732" t="str"><v>DCM</v></cell><cell r="G732" t="str"><v>https://signup.azure.com/?OCID=AID%eexcid!_OLA_%ebuy!_%epid!_%ecid!</v></cell></row><row r="732"><cell r="K732" t="str"><v>July</v></cell><cell r="L732"><v>43288</v></cell><cell r="M732" t="str"><v>Tier 0</v></cell><cell r="N732" t="str"><v>North America</v></cell><cell r="O732" t="str"><v>United States</v></cell><cell r="P732" t="str"><v>Trial</v></cell><cell r="Q732" t="str"><v>Social</v></cell><cell r="R732" t="str"><v>Azure</v></cell><cell r="S732" t="str"><v>Apps & Infra</v></cell><cell r="T732" t="str"><v>Developers & ITI's</v></cell><cell r="U732" t="str"><v>USA-Trial-ITD-Trial PayGo Lookalike-AZR-AZR</v></cell><cell r="V732" t="str"><v>Lookalike Targeting</v></cell><cell r="W732" t="str"><v>Canvas Ad</v></cell><cell r="X732" t="str"><v>1x1</v></cell></row><row r="732"><cell r="AA732"><v>43287</v></cell><cell r="AB732" t="str"><v>USA_gaPMG_AZR_AZR_Q1_19_Direct-Social</v></cell><cell r="AC732"><v>21358715</v></cell><cell r="AD732"><v>720197</v></cell><cell r="AE732" t="str"><v>Facebook - Instagram</v></cell><cell r="AF732"><v>3654128</v></cell><cell r="AG732" t="str"><v>INSTAGRAM»USA-Trial-ITD-Trial PayGo Lookalike-AZR-AZR»1 x 1»SocialBan»CAN»ALL»CPA»LAL»X»NA»SS»NA»IGCTCBenefit2inMotion»PRC2FZ</v></cell><cell r="AH732"><v>223933075</v></cell><cell r="AI732" t="str"><v>AzurePlatform_IGCTCBrandinMotion_USA_10s_CAN_PLATFORM_English_Trial_Standard_STAN_TIN_T2_1</v></cell><cell r="AJ732"><v>103180628</v></cell></row><row r="733"><cell r="C733" t="str"><v>43287INSTAGRAM»USA-Trial-ITD-Interest Prospecting-AZR-AZR»1 x 1»SocialBan»CAN»ALL»CPA»PRO»X»NA»SS»NA»IGCTCBasicMotion»PRC2PF</v></cell><cell r="D733" t="str"><v>43287224106621</v></cell><cell r="E733" t="str"><v>43287103037968PRC2PF</v></cell><cell r="F733" t="str"><v>DCM</v></cell><cell r="G733" t="str"><v>https://signup.azure.com/?OCID=AID%eexcid!_OLA_%ebuy!_%epid!_%ecid!</v></cell></row><row r="733"><cell r="K733" t="str"><v>July</v></cell><cell r="L733"><v>43288</v></cell><cell r="M733" t="str"><v>Tier 0</v></cell><cell r="N733" t="str"><v>North America</v></cell><cell r="O733" t="str"><v>United States</v></cell><cell r="P733" t="str"><v>Trial</v></cell><cell r="Q733" t="str"><v>Social</v></cell><cell r="R733" t="str"><v>Azure</v></cell><cell r="S733" t="str"><v>Apps & Infra</v></cell><cell r="T733" t="str"><v>Developers & ITI's</v></cell><cell r="U733" t="str"><v>USA-Trial-ITD-Interest Prospecting-AZR-AZR</v></cell><cell r="V733" t="str"><v>Prospecting</v></cell><cell r="W733" t="str"><v>Canvas Ad</v></cell><cell r="X733" t="str"><v>1x1</v></cell></row><row r="733"><cell r="AA733"><v>43287</v></cell><cell r="AB733" t="str"><v>USA_gaPMG_AZR_AZR_Q1_19_Direct-Social</v></cell><cell r="AC733"><v>21358715</v></cell><cell r="AD733"><v>720197</v></cell><cell r="AE733" t="str"><v>Facebook - Instagram</v></cell><cell r="AF733"><v>3654128</v></cell><cell r="AG733" t="str"><v>INSTAGRAM»USA-Trial-ITD-Interest Prospecting-AZR-AZR»1 x 1»SocialBan»CAN»ALL»CPA»PRO»X»NA»SS»NA»IGCTCBasicMotion»PRC2PF</v></cell><cell r="AH733"><v>224106621</v></cell><cell r="AI733" t="str"><v>AzurePlatform_IGCTCBasicMotion_USA_10s_CAN_PLATFORM_English_Trial_Standard_STAN_TIN_T1_1</v></cell><cell r="AJ733"><v>103037968</v></cell></row><row r="734"><cell r="C734" t="str"><v>43287INSTAGRAM»USA-Trial-ITD-Interest Prospecting-AZR-AZR»1 x 1»SocialBan»CAN»ALL»CPA»PRO»X»NA»SS»NA»IGCTCBenefitinMotion»PRC2PC</v></cell><cell r="D734" t="str"><v>43287224104878</v></cell><cell r="E734" t="str"><v>43287103050780PRC2PC</v></cell><cell r="F734" t="str"><v>DCM</v></cell><cell r="G734" t="str"><v>https://signup.azure.com/?OCID=AID%eexcid!_OLA_%ebuy!_%epid!_%ecid!</v></cell></row><row r="734"><cell r="K734" t="str"><v>July</v></cell><cell r="L734"><v>43288</v></cell><cell r="M734" t="str"><v>Tier 0</v></cell><cell r="N734" t="str"><v>North America</v></cell><cell r="O734" t="str"><v>United States</v></cell><cell r="P734" t="str"><v>Trial</v></cell><cell r="Q734" t="str"><v>Social</v></cell><cell r="R734" t="str"><v>Azure</v></cell><cell r="S734" t="str"><v>Apps & Infra</v></cell><cell r="T734" t="str"><v>Developers & ITI's</v></cell><cell r="U734" t="str"><v>USA-Trial-ITD-Interest Prospecting-AZR-AZR</v></cell><cell r="V734" t="str"><v>Prospecting</v></cell><cell r="W734" t="str"><v>Canvas Ad</v></cell><cell r="X734" t="str"><v>1x1</v></cell></row><row r="734"><cell r="AA734"><v>43287</v></cell><cell r="AB734" t="str"><v>USA_gaPMG_AZR_AZR_Q1_19_Direct-Social</v></cell><cell r="AC734"><v>21358715</v></cell><cell r="AD734"><v>720197</v></cell><cell r="AE734" t="str"><v>Facebook - Instagram</v></cell><cell r="AF734"><v>3654128</v></cell><cell r="AG734" t="str"><v>INSTAGRAM»USA-Trial-ITD-Interest Prospecting-AZR-AZR»1 x 1»SocialBan»CAN»ALL»CPA»PRO»X»NA»SS»NA»IGCTCBenefitinMotion»PRC2PC</v></cell><cell r="AH734"><v>224104878</v></cell><cell r="AI734" t="str"><v>AzurePlatform_IGCTCBenefitinMotion_USA_10s_CAN_PLATFORM_English_Trial_Standard_STAN_TIN_T3_1</v></cell><cell r="AJ734"><v>103050780</v></cell></row><row r="735"><cell r="C735" t="str"><v>43287INSTAGRAM»USA-Trial-ITD-Interest Prospecting-AZR-AZR»1 x 1»SocialBan»CAN»ALL»CPA»PRO»X»NA»SS»NA»IGCTCBenefitinMotion»PRC2PC</v></cell><cell r="D735" t="str"><v>43287224104878</v></cell><cell r="E735" t="str"><v>43287103180637PRC2PC</v></cell><cell r="F735" t="str"><v>DCM</v></cell><cell r="G735" t="str"><v>https://azure.microsoft.com/en-us/pricing/purchase-options/?v=18.19&OCID=AID%eexcid!_OLA_%ebuy!_%epid!_%ecid!</v></cell></row><row r="735"><cell r="K735" t="str"><v>July</v></cell><cell r="L735"><v>43288</v></cell><cell r="M735" t="str"><v>Tier 0</v></cell><cell r="N735" t="str"><v>North America</v></cell><cell r="O735" t="str"><v>United States</v></cell><cell r="P735" t="str"><v>Trial</v></cell><cell r="Q735" t="str"><v>Social</v></cell><cell r="R735" t="str"><v>Azure</v></cell><cell r="S735" t="str"><v>Apps & Infra</v></cell><cell r="T735" t="str"><v>Developers & ITI's</v></cell><cell r="U735" t="str"><v>USA-Trial-ITD-Interest Prospecting-AZR-AZR</v></cell><cell r="V735" t="str"><v>Prospecting</v></cell><cell r="W735" t="str"><v>Canvas Ad</v></cell><cell r="X735" t="str"><v>1x1</v></cell></row><row r="735"><cell r="AA735"><v>43287</v></cell><cell r="AB735" t="str"><v>USA_gaPMG_AZR_AZR_Q1_19_Direct-Social</v></cell><cell r="AC735"><v>21358715</v></cell><cell r="AD735"><v>720197</v></cell><cell r="AE735" t="str"><v>Facebook - Instagram</v></cell><cell r="AF735"><v>3654128</v></cell><cell r="AG735" t="str"><v>INSTAGRAM»USA-Trial-ITD-Interest Prospecting-AZR-AZR»1 x 1»SocialBan»CAN»ALL»CPA»PRO»X»NA»SS»NA»IGCTCBenefitinMotion»PRC2PC</v></cell><cell r="AH735"><v>224104878</v></cell><cell r="AI735" t="str"><v>AzurePlatform_IGCTCBenefitinMotion_USA_10s_CAN_PLATFORM_English_Trial_Standard_STAN_TIN_T3_2</v></cell><cell r="AJ735"><v>103180637</v></cell></row><row r="736"><cell r="C736" t="str"><v>43287INSTAGRAM»USA-Trial-ITD-Trial Lookalike-AZR-AZR»1 x 1»SocialBan»CAN»ALL»CPA»LAL»X»NA»SS»NA»IGCTCBasicMotion»PRC0C2</v></cell><cell r="D736" t="str"><v>43287224107017</v></cell><cell r="E736" t="str"><v>43287103037968PRC0C2</v></cell><cell r="F736" t="str"><v>DCM</v></cell><cell r="G736" t="str"><v>https://signup.azure.com/?OCID=AID%eexcid!_OLA_%ebuy!_%epid!_%ecid!</v></cell></row><row r="736"><cell r="K736" t="str"><v>July</v></cell><cell r="L736"><v>43288</v></cell><cell r="M736" t="str"><v>Tier 0</v></cell><cell r="N736" t="str"><v>North America</v></cell><cell r="O736" t="str"><v>United States</v></cell><cell r="P736" t="str"><v>Trial</v></cell><cell r="Q736" t="str"><v>Social</v></cell><cell r="R736" t="str"><v>Azure</v></cell><cell r="S736" t="str"><v>Apps & Infra</v></cell><cell r="T736" t="str"><v>Developers & ITI's</v></cell><cell r="U736" t="str"><v>USA-Trial-ITD-Trial Lookalike-AZR-AZR</v></cell><cell r="V736" t="str"><v>Lookalike Targeting</v></cell><cell r="W736" t="str"><v>Canvas Ad</v></cell><cell r="X736" t="str"><v>1x1</v></cell></row><row r="736"><cell r="AA736"><v>43287</v></cell><cell r="AB736" t="str"><v>USA_gaPMG_AZR_AZR_Q1_19_Direct-Social</v></cell><cell r="AC736"><v>21358715</v></cell><cell r="AD736"><v>720197</v></cell><cell r="AE736" t="str"><v>Facebook - Instagram</v></cell><cell r="AF736"><v>3654128</v></cell><cell r="AG736" t="str"><v>INSTAGRAM»USA-Trial-ITD-Trial Lookalike-AZR-AZR»1 x 1»SocialBan»CAN»ALL»CPA»LAL»X»NA»SS»NA»IGCTCBasicMotion»PRC0C2</v></cell><cell r="AH736"><v>224107017</v></cell><cell r="AI736" t="str"><v>AzurePlatform_IGCTCBasicMotion_USA_10s_CAN_PLATFORM_English_Trial_Standard_STAN_TIN_T1_1</v></cell><cell r="AJ736"><v>103037968</v></cell></row><row r="737"><cell r="C737" t="str"><v>43287INSTAGRAM»USA-Trial-ITD-Trial Lookalike-AZR-AZR»1 x 1»SocialBan»CAN»ALL»CPA»LAL»X»NA»SS»NA»IGCTCBasicMotion»PRC0C2</v></cell><cell r="D737" t="str"><v>43287224107017</v></cell><cell r="E737" t="str"><v>43287103037974PRC0C2</v></cell><cell r="F737" t="str"><v>DCM</v></cell><cell r="G737" t="str"><v>https://azure.microsoft.com/en-us/pricing/purchase-options/?v=18.19&OCID=AID%eexcid!_OLA_%ebuy!_%epid!_%ecid!</v></cell></row><row r="737"><cell r="K737" t="str"><v>July</v></cell><cell r="L737"><v>43288</v></cell><cell r="M737" t="str"><v>Tier 0</v></cell><cell r="N737" t="str"><v>North America</v></cell><cell r="O737" t="str"><v>United States</v></cell><cell r="P737" t="str"><v>Trial</v></cell><cell r="Q737" t="str"><v>Social</v></cell><cell r="R737" t="str"><v>Azure</v></cell><cell r="S737" t="str"><v>Apps & Infra</v></cell><cell r="T737" t="str"><v>Developers & ITI's</v></cell><cell r="U737" t="str"><v>USA-Trial-ITD-Trial Lookalike-AZR-AZR</v></cell><cell r="V737" t="str"><v>Lookalike Targeting</v></cell><cell r="W737" t="str"><v>Canvas Ad</v></cell><cell r="X737" t="str"><v>1x1</v></cell></row><row r="737"><cell r="AA737"><v>43287</v></cell><cell r="AB737" t="str"><v>USA_gaPMG_AZR_AZR_Q1_19_Direct-Social</v></cell><cell r="AC737"><v>21358715</v></cell><cell r="AD737"><v>720197</v></cell><cell r="AE737" t="str"><v>Facebook - Instagram</v></cell><cell r="AF737"><v>3654128</v></cell><cell r="AG737" t="str"><v>INSTAGRAM»USA-Trial-ITD-Trial Lookalike-AZR-AZR»1 x 1»SocialBan»CAN»ALL»CPA»LAL»X»NA»SS»NA»IGCTCBasicMotion»PRC0C2</v></cell><cell r="AH737"><v>224107017</v></cell><cell r="AI737" t="str"><v>AzurePlatform_IGCTCBasicMotion_USA_10s_CAN_PLATFORM_English_Trial_Standard_STAN_TIN_T1_2</v></cell><cell r="AJ737"><v>103037974</v></cell></row><row r="738"><cell r="C738" t="str"><v>43287INSTAGRAM»USA-Trial-ITD-Trial PayGo Lookalike-AZR-AZR»1 x 1»SocialBan»CAN»ALL»CPA»LAL»X»NA»SS»NA»IGCTCBasicMotion»PRC2G0</v></cell><cell r="D738" t="str"><v>43287224106891</v></cell><cell r="E738" t="str"><v>43287103037968PRC2G0</v></cell><cell r="F738" t="str"><v>DCM</v></cell><cell r="G738" t="str"><v>https://signup.azure.com/?OCID=AID%eexcid!_OLA_%ebuy!_%epid!_%ecid!</v></cell></row><row r="738"><cell r="K738" t="str"><v>July</v></cell><cell r="L738"><v>43288</v></cell><cell r="M738" t="str"><v>Tier 0</v></cell><cell r="N738" t="str"><v>North America</v></cell><cell r="O738" t="str"><v>United States</v></cell><cell r="P738" t="str"><v>Trial</v></cell><cell r="Q738" t="str"><v>Social</v></cell><cell r="R738" t="str"><v>Azure</v></cell><cell r="S738" t="str"><v>Apps & Infra</v></cell><cell r="T738" t="str"><v>Developers & ITI's</v></cell><cell r="U738" t="str"><v>USA-Trial-ITD-Trial PayGo Lookalike-AZR-AZR</v></cell><cell r="V738" t="str"><v>Lookalike Targeting</v></cell><cell r="W738" t="str"><v>Canvas Ad</v></cell><cell r="X738" t="str"><v>1x1</v></cell></row><row r="738"><cell r="AA738"><v>43287</v></cell><cell r="AB738" t="str"><v>USA_gaPMG_AZR_AZR_Q1_19_Direct-Social</v></cell><cell r="AC738"><v>21358715</v></cell><cell r="AD738"><v>720197</v></cell><cell r="AE738" t="str"><v>Facebook - Instagram</v></cell><cell r="AF738"><v>3654128</v></cell><cell r="AG738" t="str"><v>INSTAGRAM»USA-Trial-ITD-Trial PayGo Lookalike-AZR-AZR»1 x 1»SocialBan»CAN»ALL»CPA»LAL»X»NA»SS»NA»IGCTCBasicMotion»PRC2G0</v></cell><cell r="AH738"><v>224106891</v></cell><cell r="AI738" t="str"><v>AzurePlatform_IGCTCBasicMotion_USA_10s_CAN_PLATFORM_English_Trial_Standard_STAN_TIN_T1_1</v></cell><cell r="AJ738"><v>103037968</v></cell></row><row r="739"><cell r="C739" t="str"><v>43287INSTAGRAM»USA-Trial-ITD-Trial PayGo Lookalike-AZR-AZR»1 x 1»SocialBan»CAN»ALL»CPA»LAL»X»NA»SS»NA»IGCTCBasicMotion»PRC2G0</v></cell><cell r="D739" t="str"><v>43287224106891</v></cell><cell r="E739" t="str"><v>43287103037974PRC2G0</v></cell><cell r="F739" t="str"><v>DCM</v></cell><cell r="G739" t="str"><v>https://azure.microsoft.com/en-us/pricing/purchase-options/?v=18.19&OCID=AID%eexcid!_OLA_%ebuy!_%epid!_%ecid!</v></cell></row><row r="739"><cell r="K739" t="str"><v>July</v></cell><cell r="L739"><v>43288</v></cell><cell r="M739" t="str"><v>Tier 0</v></cell><cell r="N739" t="str"><v>North America</v></cell><cell r="O739" t="str"><v>United States</v></cell><cell r="P739" t="str"><v>Trial</v></cell><cell r="Q739" t="str"><v>Social</v></cell><cell r="R739" t="str"><v>Azure</v></cell><cell r="S739" t="str"><v>Apps & Infra</v></cell><cell r="T739" t="str"><v>Developers & ITI's</v></cell><cell r="U739" t="str"><v>USA-Trial-ITD-Trial PayGo Lookalike-AZR-AZR</v></cell><cell r="V739" t="str"><v>Lookalike Targeting</v></cell><cell r="W739" t="str"><v>Canvas Ad</v></cell><cell r="X739" t="str"><v>1x1</v></cell></row><row r="739"><cell r="AA739"><v>43287</v></cell><cell r="AB739" t="str"><v>USA_gaPMG_AZR_AZR_Q1_19_Direct-Social</v></cell><cell r="AC739"><v>21358715</v></cell><cell r="AD739"><v>720197</v></cell><cell r="AE739" t="str"><v>Facebook - Instagram</v></cell><cell r="AF739"><v>3654128</v></cell><cell r="AG739" t="str"><v>INSTAGRAM»USA-Trial-ITD-Trial PayGo Lookalike-AZR-AZR»1 x 1»SocialBan»CAN»ALL»CPA»LAL»X»NA»SS»NA»IGCTCBasicMotion»PRC2G0</v></cell><cell r="AH739"><v>224106891</v></cell><cell r="AI739" t="str"><v>AzurePlatform_IGCTCBasicMotion_USA_10s_CAN_PLATFORM_English_Trial_Standard_STAN_TIN_T1_2</v></cell><cell r="AJ739"><v>103037974</v></cell></row><row r="740"><cell r="C740" t="str"><v>43288Facebook»Audience & Interest Targeting»1x1»Canvas»OTH»DT»DYN»AUT»W»NA»SS»NA»FBCTCcanvaspage-StartFreeCTA_FBCTCcanvaspage-BuyNowCTA</v></cell><cell r="D740" t="str"><v>43288224639151</v></cell><cell r="E740" t="str"><v>43288103316832NowCTA</v></cell><cell r="F740" t="str"><v>DCM</v></cell><cell r="G740" t="str"><v>https://azure.microsoft.com/en-au/pricing/purchase-options/</v></cell></row><row r="740"><cell r="K740" t="str"><v>July</v></cell><cell r="L740"><v>43288</v></cell><cell r="M740" t="str"><v>Tier 1</v></cell><cell r="N740" t="str"><v>APAC</v></cell><cell r="O740" t="str"><v>Australia</v></cell><cell r="P740" t="str"><v>Trial</v></cell><cell r="Q740" t="str"><v>Social</v></cell><cell r="R740" t="str"><v>Azure</v></cell><cell r="S740" t="str"><v>Apps & Infra</v></cell><cell r="T740" t="str"><v>Developers & ITI's</v></cell><cell r="U740" t="str"><v>Audience & Interest Targeting</v></cell><cell r="V740" t="str"><v>Audience Targeting</v></cell><cell r="W740" t="str"><v>Other</v></cell><cell r="X740" t="str"><v>1x1</v></cell></row><row r="740"><cell r="AA740"><v>43288</v></cell><cell r="AB740" t="str"><v>AUS_gaPMG_AZR_AZR_Q1_19_Trial-Social</v></cell><cell r="AC740"><v>21358568</v></cell><cell r="AD740"><v>720191</v></cell><cell r="AE740" t="str"><v>Facebook</v></cell><cell r="AF740"><v>3654128</v></cell><cell r="AG740" t="str"><v>Facebook»Audience & Interest Targeting»1x1»Canvas»OTH»DT»DYN»AUT»W»NA»SS»NA»FBCTCcanvaspage-StartFreeCTA_FBCTCcanvaspage-BuyNowCTA</v></cell><cell r="AH740"><v>224639151</v></cell><cell r="AI740" t="str"><v>AzurePlatform_FBCTCcanvaspage-BuyNowCTA-Img3_AUS_1080x162_SOC_Plat_English_NA_Standard_NA_BN_T3_1</v></cell><cell r="AJ740"><v>103316832</v></cell></row><row r="741"><cell r="C741" t="str"><v>43288Facebook»Audience & Interest Targeting»1x1»Canvas»OTH»DT»DYN»AUT»W»NA»SS»NA»FBCTCcanvaspage-StartFreeCTA_FBCTCcanvaspage-BuyNowCTA</v></cell><cell r="D741" t="str"><v>43288224639151</v></cell><cell r="E741" t="str"><v>43288103316829NowCTA</v></cell><cell r="F741" t="str"><v>DCM</v></cell><cell r="G741" t="str"><v>https://signup.azure.com/signup?offer=ms-azr-0044p&appId=102&ref=paidmedia-social-fb&redirectURL=https%3a%2f%2fazure.microsoft.com%2fen-au%2fget-started%2fwelcome-to-azure%2f&l=en-au&correlationId=ead86c34-1f10-49dd-a72b-6918462a2cbf</v></cell></row><row r="741"><cell r="K741" t="str"><v>July</v></cell><cell r="L741"><v>43288</v></cell><cell r="M741" t="str"><v>Tier 1</v></cell><cell r="N741" t="str"><v>APAC</v></cell><cell r="O741" t="str"><v>Australia</v></cell><cell r="P741" t="str"><v>Trial</v></cell><cell r="Q741" t="str"><v>Social</v></cell><cell r="R741" t="str"><v>Azure</v></cell><cell r="S741" t="str"><v>Apps & Infra</v></cell><cell r="T741" t="str"><v>Developers & ITI's</v></cell><cell r="U741" t="str"><v>Audience & Interest Targeting</v></cell><cell r="V741" t="str"><v>Audience Targeting</v></cell><cell r="W741" t="str"><v>Other</v></cell><cell r="X741" t="str"><v>1x1</v></cell></row><row r="741"><cell r="AA741"><v>43288</v></cell><cell r="AB741" t="str"><v>AUS_gaPMG_AZR_AZR_Q1_19_Trial-Social</v></cell><cell r="AC741"><v>21358568</v></cell><cell r="AD741"><v>720191</v></cell><cell r="AE741" t="str"><v>Facebook</v></cell><cell r="AF741"><v>3654128</v></cell><cell r="AG741" t="str"><v>Facebook»Audience & Interest Targeting»1x1»Canvas»OTH»DT»DYN»AUT»W»NA»SS»NA»FBCTCcanvaspage-StartFreeCTA_FBCTCcanvaspage-BuyNowCTA</v></cell><cell r="AH741"><v>224639151</v></cell><cell r="AI741" t="str"><v>AzurePlatform_FBCTCcanvaspage-StartFreeCTA-Img2_AUS_1080x143 _SOC_Plat_English_NA_Standard_NA_NA_T2_1</v></cell><cell r="AJ741"><v>103316829</v></cell></row><row r="742"><cell r="C742" t="str"><v>43288Facebook»Audience & Interest Targeting»1x1»TextLink»OTH»DT»DYN»AUT»W»NA»SS»NA»Free Account Refresh- 12 months ChE</v></cell><cell r="D742" t="str"><v>43288224160783</v></cell><cell r="E742" t="str"><v>43288103051614hs ChE</v></cell><cell r="F742" t="str"><v>DCM</v></cell></row><row r="742"><cell r="K742" t="str"><v>July</v></cell><cell r="L742"><v>43288</v></cell><cell r="M742" t="str"><v>Tier 1</v></cell><cell r="N742" t="str"><v>APAC</v></cell><cell r="O742" t="str"><v>Australia</v></cell><cell r="P742" t="str"><v>Trial</v></cell><cell r="Q742" t="str"><v>Social</v></cell><cell r="R742" t="str"><v>Azure</v></cell><cell r="S742" t="str"><v>Apps & Infra</v></cell><cell r="T742" t="str"><v>Developers & ITI's</v></cell><cell r="U742" t="str"><v>Audience & Interest Targeting</v></cell><cell r="V742" t="str"><v>Audience Targeting</v></cell><cell r="W742" t="str"><v>Other</v></cell><cell r="X742" t="str"><v>1x1</v></cell></row><row r="742"><cell r="AA742"><v>43288</v></cell><cell r="AB742" t="str"><v>AUS_gaPMG_AZR_AZR_Q1_19_Trial-Social</v></cell><cell r="AC742"><v>21358568</v></cell><cell r="AD742"><v>720191</v></cell><cell r="AE742" t="str"><v>Facebook</v></cell><cell r="AF742"><v>3654128</v></cell><cell r="AG742" t="str"><v>Facebook»Audience & Interest Targeting»1x1»TextLink»OTH»DT»DYN»AUT»W»NA»SS»NA»Free Account Refresh- 12 months ChE</v></cell><cell r="AH742"><v>224160783</v></cell><cell r="AI742" t="str"><v>AzurePlatform_FreeAcctAppsFACEBOOK12monthsChE_AUS_1200x628_SOC_PLAT_EN_Trial_Standard_NA_SNU_T5_1</v></cell><cell r="AJ742"><v>103051614</v></cell></row><row r="743"><cell r="C743" t="str"><v>43288Facebook»Audience & Interest Targeting»1x1»TextLink»OTH»DT»DYN»AUT»W»NA»SS»NA»Free Account Refresh- 200 Credit ChD</v></cell><cell r="D743" t="str"><v>43288224160780</v></cell><cell r="E743" t="str"><v>43288103186904it ChD</v></cell><cell r="F743" t="str"><v>DCM</v></cell></row><row r="743"><cell r="K743" t="str"><v>July</v></cell><cell r="L743"><v>43288</v></cell><cell r="M743" t="str"><v>Tier 1</v></cell><cell r="N743" t="str"><v>APAC</v></cell><cell r="O743" t="str"><v>Australia</v></cell><cell r="P743" t="str"><v>Trial</v></cell><cell r="Q743" t="str"><v>Social</v></cell><cell r="R743" t="str"><v>Azure</v></cell><cell r="S743" t="str"><v>Apps & Infra</v></cell><cell r="T743" t="str"><v>Developers & ITI's</v></cell><cell r="U743" t="str"><v>Audience & Interest Targeting</v></cell><cell r="V743" t="str"><v>Audience Targeting</v></cell><cell r="W743" t="str"><v>Other</v></cell><cell r="X743" t="str"><v>1x1</v></cell></row><row r="743"><cell r="AA743"><v>43288</v></cell><cell r="AB743" t="str"><v>AUS_gaPMG_AZR_AZR_Q1_19_Trial-Social</v></cell><cell r="AC743"><v>21358568</v></cell><cell r="AD743"><v>720191</v></cell><cell r="AE743" t="str"><v>Facebook</v></cell><cell r="AF743"><v>3654128</v></cell><cell r="AG743" t="str"><v>Facebook»Audience & Interest Targeting»1x1»TextLink»OTH»DT»DYN»AUT»W»NA»SS»NA»Free Account Refresh- 200 Credit ChD</v></cell><cell r="AH743"><v>224160780</v></cell><cell r="AI743" t="str"><v>AzurePlatform_FreeAcctAppsFACEBOOK200CreditChD_AUS_1200x628_SOC_PLAT_EN_Trial_Standard_NA_SNU_T4_1</v></cell><cell r="AJ743"><v>103186904</v></cell></row><row r="744"><cell r="C744" t="str"><v>43288Facebook»Audience & Interest Targeting»1x1»TextLink»OTH»DT»DYN»AUT»W»NA»SS»NA»Free Account Refresh- Device ChB</v></cell><cell r="D744" t="str"><v>43288224160777</v></cell><cell r="E744" t="str"><v>43288103048479ce ChB</v></cell><cell r="F744" t="str"><v>DCM</v></cell></row><row r="744"><cell r="K744" t="str"><v>July</v></cell><cell r="L744"><v>43288</v></cell><cell r="M744" t="str"><v>Tier 1</v></cell><cell r="N744" t="str"><v>APAC</v></cell><cell r="O744" t="str"><v>Australia</v></cell><cell r="P744" t="str"><v>Trial</v></cell><cell r="Q744" t="str"><v>Social</v></cell><cell r="R744" t="str"><v>Azure</v></cell><cell r="S744" t="str"><v>Apps & Infra</v></cell><cell r="T744" t="str"><v>Developers & ITI's</v></cell><cell r="U744" t="str"><v>Audience & Interest Targeting</v></cell><cell r="V744" t="str"><v>Audience Targeting</v></cell><cell r="W744" t="str"><v>Other</v></cell><cell r="X744" t="str"><v>1x1</v></cell></row><row r="744"><cell r="AA744"><v>43288</v></cell><cell r="AB744" t="str"><v>AUS_gaPMG_AZR_AZR_Q1_19_Trial-Social</v></cell><cell r="AC744"><v>21358568</v></cell><cell r="AD744"><v>720191</v></cell><cell r="AE744" t="str"><v>Facebook</v></cell><cell r="AF744"><v>3654128</v></cell><cell r="AG744" t="str"><v>Facebook»Audience & Interest Targeting»1x1»TextLink»OTH»DT»DYN»AUT»W»NA»SS»NA»Free Account Refresh- Device ChB</v></cell><cell r="AH744"><v>224160777</v></cell><cell r="AI744" t="str"><v>AzurePlatform_FreeAcctAppsFACEBOOKDeviceChB_AUS_1200x628_SOC_PLAT_EN_Trial_Standard_NA_SNU_T2_1</v></cell><cell r="AJ744"><v>103048479</v></cell></row><row r="745"><cell r="C745" t="str"><v>43288Facebook»Audience & Interest Targeting»1x1»TextLink»OTH»DT»DYN»AUT»W»NA»SS»NA»Free Account Refresh- Illustration ChC</v></cell><cell r="D745" t="str"><v>43288224160774</v></cell><cell r="E745" t="str"><v>43288103186910on ChC</v></cell><cell r="F745" t="str"><v>DCM</v></cell></row><row r="745"><cell r="K745" t="str"><v>July</v></cell><cell r="L745"><v>43288</v></cell><cell r="M745" t="str"><v>Tier 1</v></cell><cell r="N745" t="str"><v>APAC</v></cell><cell r="O745" t="str"><v>Australia</v></cell><cell r="P745" t="str"><v>Trial</v></cell><cell r="Q745" t="str"><v>Social</v></cell><cell r="R745" t="str"><v>Azure</v></cell><cell r="S745" t="str"><v>Apps & Infra</v></cell><cell r="T745" t="str"><v>Developers & ITI's</v></cell><cell r="U745" t="str"><v>Audience & Interest Targeting</v></cell><cell r="V745" t="str"><v>Audience Targeting</v></cell><cell r="W745" t="str"><v>Other</v></cell><cell r="X745" t="str"><v>1x1</v></cell></row><row r="745"><cell r="AA745"><v>43288</v></cell><cell r="AB745" t="str"><v>AUS_gaPMG_AZR_AZR_Q1_19_Trial-Social</v></cell><cell r="AC745"><v>21358568</v></cell><cell r="AD745"><v>720191</v></cell><cell r="AE745" t="str"><v>Facebook</v></cell><cell r="AF745"><v>3654128</v></cell><cell r="AG745" t="str"><v>Facebook»Audience & Interest Targeting»1x1»TextLink»OTH»DT»DYN»AUT»W»NA»SS»NA»Free Account Refresh- Illustration ChC</v></cell><cell r="AH745"><v>224160774</v></cell><cell r="AI745" t="str"><v>AzurePlatform_FreeAcctAppsFACEBOOKIllustrationChC_AUS_1200x628_SOC_PLAT_EN_Trial_Standard_NA_SNU_T3_1</v></cell><cell r="AJ745"><v>103186910</v></cell></row><row r="746"><cell r="C746" t="str"><v>43288Facebook»Audience & Interest Targeting»1x1»TextLink»OTH»DT»DYN»AUT»W»NA»SS»NA»Free Account Refresh- Lifestyle ChA</v></cell><cell r="D746" t="str"><v>43288224160771</v></cell><cell r="E746" t="str"><v>43288103048488le ChA</v></cell><cell r="F746" t="str"><v>DCM</v></cell></row><row r="746"><cell r="K746" t="str"><v>July</v></cell><cell r="L746"><v>43288</v></cell><cell r="M746" t="str"><v>Tier 1</v></cell><cell r="N746" t="str"><v>APAC</v></cell><cell r="O746" t="str"><v>Australia</v></cell><cell r="P746" t="str"><v>Trial</v></cell><cell r="Q746" t="str"><v>Social</v></cell><cell r="R746" t="str"><v>Azure</v></cell><cell r="S746" t="str"><v>Apps & Infra</v></cell><cell r="T746" t="str"><v>Developers & ITI's</v></cell><cell r="U746" t="str"><v>Audience & Interest Targeting</v></cell><cell r="V746" t="str"><v>Audience Targeting</v></cell><cell r="W746" t="str"><v>Other</v></cell><cell r="X746" t="str"><v>1x1</v></cell></row><row r="746"><cell r="AA746"><v>43288</v></cell><cell r="AB746" t="str"><v>AUS_gaPMG_AZR_AZR_Q1_19_Trial-Social</v></cell><cell r="AC746"><v>21358568</v></cell><cell r="AD746"><v>720191</v></cell><cell r="AE746" t="str"><v>Facebook</v></cell><cell r="AF746"><v>3654128</v></cell><cell r="AG746" t="str"><v>Facebook»Audience & Interest Targeting»1x1»TextLink»OTH»DT»DYN»AUT»W»NA»SS»NA»Free Account Refresh- Lifestyle ChA</v></cell><cell r="AH746"><v>224160771</v></cell><cell r="AI746" t="str"><v>AzurePlatform_FreeAcctAppsFACEBOOKLifestyleChA_AUS_1200x628_SOC_PLAT_EN_Trial_Standard_NA_SNU_T1_1</v></cell><cell r="AJ746"><v>103048488</v></cell></row><row r="747"><cell r="C747" t="str"><v>43288Facebook»AZR»1x1»NA»EGV»ALL»DYN»AUT»D»All»SS»NA»Free Acc CTC - T1 - EN</v></cell><cell r="D747" t="str"><v>43288223684451</v></cell><cell r="E747" t="str"><v>432881029018821 - EN</v></cell><cell r="F747" t="str"><v>DCM</v></cell><cell r="G747" t="str"><v>https://signup.azure.com/</v></cell></row><row r="747"><cell r="K747" t="str"><v>July</v></cell><cell r="L747"><v>43288</v></cell><cell r="M747" t="str"><v>Tier 1</v></cell><cell r="N747" t="str"><v>North America</v></cell><cell r="O747" t="str"><v>Canada</v></cell><cell r="P747" t="str"><v>Trial</v></cell><cell r="Q747" t="str"><v>Social</v></cell><cell r="R747" t="str"><v>Azure</v></cell><cell r="S747" t="str"><v>Apps & Infra</v></cell><cell r="T747" t="str"><v>Developers & ITI's</v></cell><cell r="U747" t="str"><v>AZR</v></cell><cell r="V747" t="str"><v>Audience Targeting</v></cell><cell r="W747" t="str"><v>Engagement Video</v></cell><cell r="X747" t="str"><v>1x1</v></cell></row><row r="747"><cell r="AA747"><v>43288</v></cell><cell r="AB747" t="str"><v>CAN_gaPMG_AZR_AZR_Q1_19_Trial-Social</v></cell><cell r="AC747"><v>21337220</v></cell><cell r="AD747"><v>720192</v></cell><cell r="AE747" t="str"><v>Facebook</v></cell><cell r="AF747"><v>3654128</v></cell><cell r="AG747" t="str"><v>Facebook»AZR»1x1»NA»EGV»ALL»DYN»AUT»D»All»SS»NA»Free Acc CTC - T1 - EN</v></cell><cell r="AH747"><v>223684451</v></cell><cell r="AI747" t="str"><v>AzurePlatform_FBCTCBasicMotion_CAN_10s_ISV_PLAT_English_Trial_Standard_STAN_TN_T1_1</v></cell><cell r="AJ747"><v>102901882</v></cell></row><row r="748"><cell r="C748" t="str"><v>43288Facebook»AZR»1x1»NA»EGV»ALL»DYN»AUT»D»All»SS»NA»Free Acc CTC - T1 - FR</v></cell><cell r="D748" t="str"><v>43288223691801</v></cell><cell r="E748" t="str"><v>432881030533231 - FR</v></cell><cell r="F748" t="str"><v>DCM</v></cell><cell r="G748" t="str"><v>https://signup.azure.com/</v></cell></row><row r="748"><cell r="K748" t="str"><v>July</v></cell><cell r="L748"><v>43288</v></cell><cell r="M748" t="str"><v>Tier 1</v></cell><cell r="N748" t="str"><v>North America</v></cell><cell r="O748" t="str"><v>Canada</v></cell><cell r="P748" t="str"><v>Trial</v></cell><cell r="Q748" t="str"><v>Social</v></cell><cell r="R748" t="str"><v>Azure</v></cell><cell r="S748" t="str"><v>Apps & Infra</v></cell><cell r="T748" t="str"><v>Developers & ITI's</v></cell><cell r="U748" t="str"><v>AZR</v></cell><cell r="V748" t="str"><v>Audience Targeting</v></cell><cell r="W748" t="str"><v>Engagement Video</v></cell><cell r="X748" t="str"><v>1x1</v></cell></row><row r="748"><cell r="AA748"><v>43288</v></cell><cell r="AB748" t="str"><v>CAN_gaPMG_AZR_AZR_Q1_19_Trial-Social</v></cell><cell r="AC748"><v>21337220</v></cell><cell r="AD748"><v>720192</v></cell><cell r="AE748" t="str"><v>Facebook</v></cell><cell r="AF748"><v>3654128</v></cell><cell r="AG748" t="str"><v>Facebook»AZR»1x1»NA»EGV»ALL»DYN»AUT»D»All»SS»NA»Free Acc CTC - T1 - FR</v></cell><cell r="AH748"><v>223691801</v></cell><cell r="AI748" t="str"><v>AzurePlatform_FBCTCBasicMotion_CAN_10s_ISV_PLAT_FR_Trial_Standard_STAN_TN_T1_1</v></cell><cell r="AJ748"><v>103053323</v></cell></row><row r="749"><cell r="C749" t="str"><v>43288Facebook»AZR»1x1»NA»EGV»ALL»DYN»AUT»D»All»SS»NA»Free Acc CTC - T2 - EN</v></cell><cell r="D749" t="str"><v>43288223691840</v></cell><cell r="E749" t="str"><v>432881029029502 - EN</v></cell><cell r="F749" t="str"><v>DCM</v></cell><cell r="G749" t="str"><v>https://signup.azure.com/</v></cell></row><row r="749"><cell r="K749" t="str"><v>July</v></cell><cell r="L749"><v>43288</v></cell><cell r="M749" t="str"><v>Tier 1</v></cell><cell r="N749" t="str"><v>North America</v></cell><cell r="O749" t="str"><v>Canada</v></cell><cell r="P749" t="str"><v>Trial</v></cell><cell r="Q749" t="str"><v>Social</v></cell><cell r="R749" t="str"><v>Azure</v></cell><cell r="S749" t="str"><v>Apps & Infra</v></cell><cell r="T749" t="str"><v>Developers & ITI's</v></cell><cell r="U749" t="str"><v>AZR</v></cell><cell r="V749" t="str"><v>Audience Targeting</v></cell><cell r="W749" t="str"><v>Engagement Video</v></cell><cell r="X749" t="str"><v>1x1</v></cell></row><row r="749"><cell r="AA749"><v>43288</v></cell><cell r="AB749" t="str"><v>CAN_gaPMG_AZR_AZR_Q1_19_Trial-Social</v></cell><cell r="AC749"><v>21337220</v></cell><cell r="AD749"><v>720192</v></cell><cell r="AE749" t="str"><v>Facebook</v></cell><cell r="AF749"><v>3654128</v></cell><cell r="AG749" t="str"><v>Facebook»AZR»1x1»NA»EGV»ALL»DYN»AUT»D»All»SS»NA»Free Acc CTC - T2 - EN</v></cell><cell r="AH749"><v>223691840</v></cell><cell r="AI749" t="str"><v>AzurePlatform_FBCTCBrandinMotion_CAN_12s_ISV_PLAT_English_Trial_Standard_STAN_TN_T2_1</v></cell><cell r="AJ749"><v>102902950</v></cell></row><row r="750"><cell r="C750" t="str"><v>43288Facebook»AZR»1x1»NA»EGV»ALL»DYN»AUT»D»All»SS»NA»Free Acc CTC - T2 - FR</v></cell><cell r="D750" t="str"><v>43288223691798</v></cell><cell r="E750" t="str"><v>432881029163472 - FR</v></cell><cell r="F750" t="str"><v>DCM</v></cell><cell r="G750" t="str"><v>https://signup.azure.com/</v></cell></row><row r="750"><cell r="K750" t="str"><v>July</v></cell><cell r="L750"><v>43288</v></cell><cell r="M750" t="str"><v>Tier 1</v></cell><cell r="N750" t="str"><v>North America</v></cell><cell r="O750" t="str"><v>Canada</v></cell><cell r="P750" t="str"><v>Trial</v></cell><cell r="Q750" t="str"><v>Social</v></cell><cell r="R750" t="str"><v>Azure</v></cell><cell r="S750" t="str"><v>Apps & Infra</v></cell><cell r="T750" t="str"><v>Developers & ITI's</v></cell><cell r="U750" t="str"><v>AZR</v></cell><cell r="V750" t="str"><v>Audience Targeting</v></cell><cell r="W750" t="str"><v>Engagement Video</v></cell><cell r="X750" t="str"><v>1x1</v></cell></row><row r="750"><cell r="AA750"><v>43288</v></cell><cell r="AB750" t="str"><v>CAN_gaPMG_AZR_AZR_Q1_19_Trial-Social</v></cell><cell r="AC750"><v>21337220</v></cell><cell r="AD750"><v>720192</v></cell><cell r="AE750" t="str"><v>Facebook</v></cell><cell r="AF750"><v>3654128</v></cell><cell r="AG750" t="str"><v>Facebook»AZR»1x1»NA»EGV»ALL»DYN»AUT»D»All»SS»NA»Free Acc CTC - T2 - FR</v></cell><cell r="AH750"><v>223691798</v></cell><cell r="AI750" t="str"><v>AzurePlatform_FBCTCBrandinMotion_CAN_12s_ISV_PLAT_FR_Trial_Standard_STAN_TN_T2_1</v></cell><cell r="AJ750"><v>102916347</v></cell></row><row r="751"><cell r="C751" t="str"><v>43288Facebook»AZR»1x1»NA»EGV»ALL»DYN»AUT»D»All»SS»NA»Free Acc CTC - T4 - EN</v></cell><cell r="D751" t="str"><v>43288223691837</v></cell><cell r="E751" t="str"><v>432881030533144 - EN</v></cell><cell r="F751" t="str"><v>DCM</v></cell><cell r="G751" t="str"><v>https://signup.azure.com/</v></cell></row><row r="751"><cell r="K751" t="str"><v>July</v></cell><cell r="L751"><v>43288</v></cell><cell r="M751" t="str"><v>Tier 1</v></cell><cell r="N751" t="str"><v>North America</v></cell><cell r="O751" t="str"><v>Canada</v></cell><cell r="P751" t="str"><v>Trial</v></cell><cell r="Q751" t="str"><v>Social</v></cell><cell r="R751" t="str"><v>Azure</v></cell><cell r="S751" t="str"><v>Apps & Infra</v></cell><cell r="T751" t="str"><v>Developers & ITI's</v></cell><cell r="U751" t="str"><v>AZR</v></cell><cell r="V751" t="str"><v>Audience Targeting</v></cell><cell r="W751" t="str"><v>Engagement Video</v></cell><cell r="X751" t="str"><v>1x1</v></cell></row><row r="751"><cell r="AA751"><v>43288</v></cell><cell r="AB751" t="str"><v>CAN_gaPMG_AZR_AZR_Q1_19_Trial-Social</v></cell><cell r="AC751"><v>21337220</v></cell><cell r="AD751"><v>720192</v></cell><cell r="AE751" t="str"><v>Facebook</v></cell><cell r="AF751"><v>3654128</v></cell><cell r="AG751" t="str"><v>Facebook»AZR»1x1»NA»EGV»ALL»DYN»AUT»D»All»SS»NA»Free Acc CTC - T4 - EN</v></cell><cell r="AH751"><v>223691837</v></cell><cell r="AI751" t="str"><v>AzurePlatform_FBCTCBenefit2inMotion_CAN_14s_ISV_PLAT_English_Trial_Standard_STAN_TN_T4_1</v></cell><cell r="AJ751"><v>103053314</v></cell></row><row r="752"><cell r="C752" t="str"><v>43288Facebook»AZR»1x1»NA»EGV»ALL»DYN»AUT»D»All»SS»NA»Free Acc CTC - T4 - FR</v></cell><cell r="D752" t="str"><v>43288223691795</v></cell><cell r="E752" t="str"><v>432881029006884 - FR</v></cell><cell r="F752" t="str"><v>DCM</v></cell><cell r="G752" t="str"><v>https://signup.azure.com/</v></cell></row><row r="752"><cell r="K752" t="str"><v>July</v></cell><cell r="L752"><v>43288</v></cell><cell r="M752" t="str"><v>Tier 1</v></cell><cell r="N752" t="str"><v>North America</v></cell><cell r="O752" t="str"><v>Canada</v></cell><cell r="P752" t="str"><v>Trial</v></cell><cell r="Q752" t="str"><v>Social</v></cell><cell r="R752" t="str"><v>Azure</v></cell><cell r="S752" t="str"><v>Apps & Infra</v></cell><cell r="T752" t="str"><v>Developers & ITI's</v></cell><cell r="U752" t="str"><v>AZR</v></cell><cell r="V752" t="str"><v>Audience Targeting</v></cell><cell r="W752" t="str"><v>Engagement Video</v></cell><cell r="X752" t="str"><v>1x1</v></cell></row><row r="752"><cell r="AA752"><v>43288</v></cell><cell r="AB752" t="str"><v>CAN_gaPMG_AZR_AZR_Q1_19_Trial-Social</v></cell><cell r="AC752"><v>21337220</v></cell><cell r="AD752"><v>720192</v></cell><cell r="AE752" t="str"><v>Facebook</v></cell><cell r="AF752"><v>3654128</v></cell><cell r="AG752" t="str"><v>Facebook»AZR»1x1»NA»EGV»ALL»DYN»AUT»D»All»SS»NA»Free Acc CTC - T4 - FR</v></cell><cell r="AH752"><v>223691795</v></cell><cell r="AI752" t="str"><v>AzurePlatform_FBCTCBenefit2inMotion_CAN_14s_ISV_PLAT_FR_Trial_Standard_STAN_TN_T4_1</v></cell><cell r="AJ752"><v>102900688</v></cell></row><row r="753"><cell r="C753" t="str"><v>43288Facebook»AZR»1x1»SocialBan»NA»ALL»DYN»AUT»D»All»SS»NA»Free Acc Refresh - T1 - EN</v></cell><cell r="D753" t="str"><v>43288223691804</v></cell><cell r="E753" t="str"><v>432881030587171 - EN</v></cell><cell r="F753" t="str"><v>DCM</v></cell><cell r="G753" t="str"><v>https://azure.microsoft.com/en-CA/free/search/</v></cell></row><row r="753"><cell r="K753" t="str"><v>July</v></cell><cell r="L753"><v>43288</v></cell><cell r="M753" t="str"><v>Tier 1</v></cell><cell r="N753" t="str"><v>North America</v></cell><cell r="O753" t="str"><v>Canada</v></cell><cell r="P753" t="str"><v>Trial</v></cell><cell r="Q753" t="str"><v>Social</v></cell><cell r="R753" t="str"><v>Azure</v></cell><cell r="S753" t="str"><v>Apps & Infra</v></cell><cell r="T753" t="str"><v>Developers & ITI's</v></cell><cell r="U753" t="str"><v>AZR</v></cell><cell r="V753" t="str"><v>Audience Targeting</v></cell><cell r="W753" t="str"><v>NotApplicable</v></cell><cell r="X753" t="str"><v>1x1</v></cell></row><row r="753"><cell r="AA753"><v>43288</v></cell><cell r="AB753" t="str"><v>CAN_gaPMG_AZR_AZR_Q1_19_Trial-Social</v></cell><cell r="AC753"><v>21337220</v></cell><cell r="AD753"><v>720192</v></cell><cell r="AE753" t="str"><v>Facebook</v></cell><cell r="AF753"><v>3654128</v></cell><cell r="AG753" t="str"><v>Facebook»AZR»1x1»SocialBan»NA»ALL»DYN»AUT»D»All»SS»NA»Free Acc Refresh - T1 - EN</v></cell><cell r="AH753"><v>223691804</v></cell><cell r="AI753" t="str"><v>AzurePlatform_FreeAcctAppsFACEBOOKLifestyleChA_CAN_1200x628_SOC_PLAT_EN_Trial_Standard_NA_SU_T1_1.png</v></cell><cell r="AJ753"><v>103058717</v></cell></row><row r="754"><cell r="C754" t="str"><v>43288Facebook»AZR»1x1»SocialBan»NA»ALL»DYN»AUT»D»All»SS»NA»Free Acc Refresh - T1 - FR</v></cell><cell r="D754" t="str"><v>43288223691762</v></cell><cell r="E754" t="str"><v>432881029029741 - FR</v></cell><cell r="F754" t="str"><v>DCM</v></cell><cell r="G754" t="str"><v>https://azure.microsoft.com/fr-ca/free/search/</v></cell></row><row r="754"><cell r="K754" t="str"><v>July</v></cell><cell r="L754"><v>43288</v></cell><cell r="M754" t="str"><v>Tier 1</v></cell><cell r="N754" t="str"><v>North America</v></cell><cell r="O754" t="str"><v>Canada</v></cell><cell r="P754" t="str"><v>Trial</v></cell><cell r="Q754" t="str"><v>Social</v></cell><cell r="R754" t="str"><v>Azure</v></cell><cell r="S754" t="str"><v>Apps & Infra</v></cell><cell r="T754" t="str"><v>Developers & ITI's</v></cell><cell r="U754" t="str"><v>AZR</v></cell><cell r="V754" t="str"><v>Audience Targeting</v></cell><cell r="W754" t="str"><v>NotApplicable</v></cell><cell r="X754" t="str"><v>1x1</v></cell></row><row r="754"><cell r="AA754"><v>43288</v></cell><cell r="AB754" t="str"><v>CAN_gaPMG_AZR_AZR_Q1_19_Trial-Social</v></cell><cell r="AC754"><v>21337220</v></cell><cell r="AD754"><v>720192</v></cell><cell r="AE754" t="str"><v>Facebook</v></cell><cell r="AF754"><v>3654128</v></cell><cell r="AG754" t="str"><v>Facebook»AZR»1x1»SocialBan»NA»ALL»DYN»AUT»D»All»SS»NA»Free Acc Refresh - T1 - FR</v></cell><cell r="AH754"><v>223691762</v></cell><cell r="AI754" t="str"><v>AzurePlatform_FreeAcctAppsFACEBOOKLifestyleChA_CAN_1200x628_SOC_PLAT_FR_Trial_Standard_NA_SU_T1_1.png</v></cell><cell r="AJ754"><v>102902974</v></cell></row><row r="755"><cell r="C755" t="str"><v>43288Facebook»AZR»1x1»SocialBan»NA»ALL»DYN»AUT»D»All»SS»NA»Free Acc Refresh - T2 - EN</v></cell><cell r="D755" t="str"><v>43288223691810</v></cell><cell r="E755" t="str"><v>432881030587112 - EN</v></cell><cell r="F755" t="str"><v>DCM</v></cell><cell r="G755" t="str"><v>https://azure.microsoft.com/en-CA/free/search/</v></cell></row><row r="755"><cell r="K755" t="str"><v>July</v></cell><cell r="L755"><v>43288</v></cell><cell r="M755" t="str"><v>Tier 1</v></cell><cell r="N755" t="str"><v>North America</v></cell><cell r="O755" t="str"><v>Canada</v></cell><cell r="P755" t="str"><v>Trial</v></cell><cell r="Q755" t="str"><v>Social</v></cell><cell r="R755" t="str"><v>Azure</v></cell><cell r="S755" t="str"><v>Apps & Infra</v></cell><cell r="T755" t="str"><v>Developers & ITI's</v></cell><cell r="U755" t="str"><v>AZR</v></cell><cell r="V755" t="str"><v>Audience Targeting</v></cell><cell r="W755" t="str"><v>NotApplicable</v></cell><cell r="X755" t="str"><v>1x1</v></cell></row><row r="755"><cell r="AA755"><v>43288</v></cell><cell r="AB755" t="str"><v>CAN_gaPMG_AZR_AZR_Q1_19_Trial-Social</v></cell><cell r="AC755"><v>21337220</v></cell><cell r="AD755"><v>720192</v></cell><cell r="AE755" t="str"><v>Facebook</v></cell><cell r="AF755"><v>3654128</v></cell><cell r="AG755" t="str"><v>Facebook»AZR»1x1»SocialBan»NA»ALL»DYN»AUT»D»All»SS»NA»Free Acc Refresh - T2 - EN</v></cell><cell r="AH755"><v>223691810</v></cell><cell r="AI755" t="str"><v>AzurePlatform_FreeAcctAppsFACEBOOKDeviceChB_CAN_1200x628_SOC_PLAT_EN_Trial_Standard_NA_SU_T2_1.png</v></cell><cell r="AJ755"><v>103058711</v></cell></row><row r="756"><cell r="C756" t="str"><v>43288Facebook»AZR»1x1»SocialBan»NA»ALL»DYN»AUT»D»All»SS»NA»Free Acc Refresh - T3 - EN</v></cell><cell r="D756" t="str"><v>43288223691807</v></cell><cell r="E756" t="str"><v>432881029006853 - EN</v></cell><cell r="F756" t="str"><v>DCM</v></cell><cell r="G756" t="str"><v>https://azure.microsoft.com/en-CA/free/search/</v></cell></row><row r="756"><cell r="K756" t="str"><v>July</v></cell><cell r="L756"><v>43288</v></cell><cell r="M756" t="str"><v>Tier 1</v></cell><cell r="N756" t="str"><v>North America</v></cell><cell r="O756" t="str"><v>Canada</v></cell><cell r="P756" t="str"><v>Trial</v></cell><cell r="Q756" t="str"><v>Social</v></cell><cell r="R756" t="str"><v>Azure</v></cell><cell r="S756" t="str"><v>Apps & Infra</v></cell><cell r="T756" t="str"><v>Developers & ITI's</v></cell><cell r="U756" t="str"><v>AZR</v></cell><cell r="V756" t="str"><v>Audience Targeting</v></cell><cell r="W756" t="str"><v>NotApplicable</v></cell><cell r="X756" t="str"><v>1x1</v></cell></row><row r="756"><cell r="AA756"><v>43288</v></cell><cell r="AB756" t="str"><v>CAN_gaPMG_AZR_AZR_Q1_19_Trial-Social</v></cell><cell r="AC756"><v>21337220</v></cell><cell r="AD756"><v>720192</v></cell><cell r="AE756" t="str"><v>Facebook</v></cell><cell r="AF756"><v>3654128</v></cell><cell r="AG756" t="str"><v>Facebook»AZR»1x1»SocialBan»NA»ALL»DYN»AUT»D»All»SS»NA»Free Acc Refresh - T3 - EN</v></cell><cell r="AH756"><v>223691807</v></cell><cell r="AI756" t="str"><v>AzurePlatform_FreeAcctAppsFACEBOOKIllustrationChC_CAN_1200x628_SOC_PLAT_EN_Trial_Standard_NA_SU_T3_1.png</v></cell><cell r="AJ756"><v>102900685</v></cell></row><row r="757"><cell r="C757" t="str"><v>43288Facebook»AZR»1x1»SocialBan»NA»ALL»DYN»AUT»D»All»SS»NA»Free Acc Refresh - T3 - FR</v></cell><cell r="D757" t="str"><v>43288223691765</v></cell><cell r="E757" t="str"><v>432881030533323 - FR</v></cell><cell r="F757" t="str"><v>DCM</v></cell><cell r="G757" t="str"><v>https://azure.microsoft.com/fr-ca/free/search/</v></cell></row><row r="757"><cell r="K757" t="str"><v>July</v></cell><cell r="L757"><v>43288</v></cell><cell r="M757" t="str"><v>Tier 1</v></cell><cell r="N757" t="str"><v>North America</v></cell><cell r="O757" t="str"><v>Canada</v></cell><cell r="P757" t="str"><v>Trial</v></cell><cell r="Q757" t="str"><v>Social</v></cell><cell r="R757" t="str"><v>Azure</v></cell><cell r="S757" t="str"><v>Apps & Infra</v></cell><cell r="T757" t="str"><v>Developers & ITI's</v></cell><cell r="U757" t="str"><v>AZR</v></cell><cell r="V757" t="str"><v>Audience Targeting</v></cell><cell r="W757" t="str"><v>NotApplicable</v></cell><cell r="X757" t="str"><v>1x1</v></cell></row><row r="757"><cell r="AA757"><v>43288</v></cell><cell r="AB757" t="str"><v>CAN_gaPMG_AZR_AZR_Q1_19_Trial-Social</v></cell><cell r="AC757"><v>21337220</v></cell><cell r="AD757"><v>720192</v></cell><cell r="AE757" t="str"><v>Facebook</v></cell><cell r="AF757"><v>3654128</v></cell><cell r="AG757" t="str"><v>Facebook»AZR»1x1»SocialBan»NA»ALL»DYN»AUT»D»All»SS»NA»Free Acc Refresh - T3 - FR</v></cell><cell r="AH757"><v>223691765</v></cell><cell r="AI757" t="str"><v>AzurePlatform_FreeAcctAppsFACEBOOKIllustrationChC_CAN_1200x628_SOC_PLAT_FR_Trial_Standard_NA_SU_T3_1.png</v></cell><cell r="AJ757"><v>103053332</v></cell></row><row r="758"><cell r="C758" t="str"><v>43288Facebook»AZR»1x1»SocialBan»NA»ALL»DYN»AUT»D»All»SS»NA»Free Acc Refresh - T4 - EN</v></cell><cell r="D758" t="str"><v>43288223691813</v></cell><cell r="E758" t="str"><v>432881030533204 - EN</v></cell><cell r="F758" t="str"><v>DCM</v></cell><cell r="G758" t="str"><v>https://azure.microsoft.com/en-CA/free/search/</v></cell></row><row r="758"><cell r="K758" t="str"><v>July</v></cell><cell r="L758"><v>43288</v></cell><cell r="M758" t="str"><v>Tier 1</v></cell><cell r="N758" t="str"><v>North America</v></cell><cell r="O758" t="str"><v>Canada</v></cell><cell r="P758" t="str"><v>Trial</v></cell><cell r="Q758" t="str"><v>Social</v></cell><cell r="R758" t="str"><v>Azure</v></cell><cell r="S758" t="str"><v>Apps & Infra</v></cell><cell r="T758" t="str"><v>Developers & ITI's</v></cell><cell r="U758" t="str"><v>AZR</v></cell><cell r="V758" t="str"><v>Audience Targeting</v></cell><cell r="W758" t="str"><v>NotApplicable</v></cell><cell r="X758" t="str"><v>1x1</v></cell></row><row r="758"><cell r="AA758"><v>43288</v></cell><cell r="AB758" t="str"><v>CAN_gaPMG_AZR_AZR_Q1_19_Trial-Social</v></cell><cell r="AC758"><v>21337220</v></cell><cell r="AD758"><v>720192</v></cell><cell r="AE758" t="str"><v>Facebook</v></cell><cell r="AF758"><v>3654128</v></cell><cell r="AG758" t="str"><v>Facebook»AZR»1x1»SocialBan»NA»ALL»DYN»AUT»D»All»SS»NA»Free Acc Refresh - T4 - EN</v></cell><cell r="AH758"><v>223691813</v></cell><cell r="AI758" t="str"><v>AzurePlatform_FreeAcctAppsFACEBOOK200CreditChD_CAN_1200x628_SOC_PLAT_EN_Trial_Standard_NA_SU_T4_1.png</v></cell><cell r="AJ758"><v>103053320</v></cell></row><row r="759"><cell r="C759" t="str"><v>43288Facebook»AZR»1x1»SocialBan»NA»ALL»DYN»AUT»D»All»SS»NA»Free Acc Refresh - T4 - FR</v></cell><cell r="D759" t="str"><v>43288223691771</v></cell><cell r="E759" t="str"><v>432881029029684 - FR</v></cell><cell r="F759" t="str"><v>DCM</v></cell><cell r="G759" t="str"><v>https://azure.microsoft.com/fr-ca/free/search/</v></cell></row><row r="759"><cell r="K759" t="str"><v>July</v></cell><cell r="L759"><v>43288</v></cell><cell r="M759" t="str"><v>Tier 1</v></cell><cell r="N759" t="str"><v>North America</v></cell><cell r="O759" t="str"><v>Canada</v></cell><cell r="P759" t="str"><v>Trial</v></cell><cell r="Q759" t="str"><v>Social</v></cell><cell r="R759" t="str"><v>Azure</v></cell><cell r="S759" t="str"><v>Apps & Infra</v></cell><cell r="T759" t="str"><v>Developers & ITI's</v></cell><cell r="U759" t="str"><v>AZR</v></cell><cell r="V759" t="str"><v>Audience Targeting</v></cell><cell r="W759" t="str"><v>NotApplicable</v></cell><cell r="X759" t="str"><v>1x1</v></cell></row><row r="759"><cell r="AA759"><v>43288</v></cell><cell r="AB759" t="str"><v>CAN_gaPMG_AZR_AZR_Q1_19_Trial-Social</v></cell><cell r="AC759"><v>21337220</v></cell><cell r="AD759"><v>720192</v></cell><cell r="AE759" t="str"><v>Facebook</v></cell><cell r="AF759"><v>3654128</v></cell><cell r="AG759" t="str"><v>Facebook»AZR»1x1»SocialBan»NA»ALL»DYN»AUT»D»All»SS»NA»Free Acc Refresh - T4 - FR</v></cell><cell r="AH759"><v>223691771</v></cell><cell r="AI759" t="str"><v>AzurePlatform_FreeAcctAppsFACEBOOK200CreditChD_CAN_1200x628_SOC_PLAT_FR_Trial_Standard_NA_SU_T4_1.png</v></cell><cell r="AJ759"><v>102902968</v></cell></row><row r="760"><cell r="C760" t="str"><v>43288Facebook»AZR»1x1»SocialBan»NA»ALL»DYN»AUT»D»All»SS»NA»Free Acc Refresh - T5 - EN</v></cell><cell r="D760" t="str"><v>43288223691816</v></cell><cell r="E760" t="str"><v>432881029163415 - EN</v></cell><cell r="F760" t="str"><v>DCM</v></cell><cell r="G760" t="str"><v>https://azure.microsoft.com/en-CA/free/search/</v></cell></row><row r="760"><cell r="K760" t="str"><v>July</v></cell><cell r="L760"><v>43288</v></cell><cell r="M760" t="str"><v>Tier 1</v></cell><cell r="N760" t="str"><v>North America</v></cell><cell r="O760" t="str"><v>Canada</v></cell><cell r="P760" t="str"><v>Trial</v></cell><cell r="Q760" t="str"><v>Social</v></cell><cell r="R760" t="str"><v>Azure</v></cell><cell r="S760" t="str"><v>Apps & Infra</v></cell><cell r="T760" t="str"><v>Developers & ITI's</v></cell><cell r="U760" t="str"><v>AZR</v></cell><cell r="V760" t="str"><v>Audience Targeting</v></cell><cell r="W760" t="str"><v>NotApplicable</v></cell><cell r="X760" t="str"><v>1x1</v></cell></row><row r="760"><cell r="AA760"><v>43288</v></cell><cell r="AB760" t="str"><v>CAN_gaPMG_AZR_AZR_Q1_19_Trial-Social</v></cell><cell r="AC760"><v>21337220</v></cell><cell r="AD760"><v>720192</v></cell><cell r="AE760" t="str"><v>Facebook</v></cell><cell r="AF760"><v>3654128</v></cell><cell r="AG760" t="str"><v>Facebook»AZR»1x1»SocialBan»NA»ALL»DYN»AUT»D»All»SS»NA»Free Acc Refresh - T5 - EN</v></cell><cell r="AH760"><v>223691816</v></cell><cell r="AI760" t="str"><v>AzurePlatform_FreeAcctAppsFACEBOOK12monthsChE_CAN_1200x628_SOC_PLAT_EN_Trial_Standard_NA_SU_T5_1.png</v></cell><cell r="AJ760"><v>102916341</v></cell></row><row r="761"><cell r="C761" t="str"><v>43288Facebook»AZR»1x1»SocialBan»NA»ALL»DYN»RT»D»All»SS»NA» Free Account Retargeting OSS - T1 - EN</v></cell><cell r="D761" t="str"><v>43288223691828</v></cell><cell r="E761" t="str"><v>432881029029561 - EN</v></cell><cell r="F761" t="str"><v>DCM</v></cell><cell r="G761" t="str"><v>https://azure.microsoft.com/en-ca/free/open-source/search/</v></cell></row><row r="761"><cell r="K761" t="str"><v>July</v></cell><cell r="L761"><v>43288</v></cell><cell r="M761" t="str"><v>Tier 1</v></cell><cell r="N761" t="str"><v>North America</v></cell><cell r="O761" t="str"><v>Canada</v></cell><cell r="P761" t="str"><v>Trial</v></cell><cell r="Q761" t="str"><v>Social</v></cell><cell r="R761" t="str"><v>Azure</v></cell><cell r="S761" t="str"><v>Apps & Infra</v></cell><cell r="T761" t="str"><v>Developers & ITI's</v></cell><cell r="U761" t="str"><v>AZR</v></cell><cell r="V761" t="str"><v>Retargeting</v></cell><cell r="W761" t="str"><v>NotApplicable</v></cell><cell r="X761" t="str"><v>1x1</v></cell></row><row r="761"><cell r="AA761"><v>43288</v></cell><cell r="AB761" t="str"><v>CAN_gaPMG_AZR_AZR_Q1_19_Trial-Social</v></cell><cell r="AC761"><v>21337220</v></cell><cell r="AD761"><v>720192</v></cell><cell r="AE761" t="str"><v>Facebook</v></cell><cell r="AF761"><v>3654128</v></cell><cell r="AG761" t="str"><v>Facebook»AZR»1x1»SocialBan»NA»ALL»DYN»RT»D»All»SS»NA» Free Account Retargeting OSS - T1 - EN</v></cell><cell r="AH761"><v>223691828</v></cell><cell r="AI761" t="str"><v>AzurePlatform_FreeAcctRetargetingOSSFB-Text-ChF_CAN_1200x628_SOC_Plat_EN_Free Account_Standard_NA_SU_T1_1</v></cell><cell r="AJ761"><v>102902956</v></cell></row><row r="762"><cell r="C762" t="str"><v>43288Facebook»AZR»1x1»SocialBan»NA»ALL»DYN»RT»D»All»SS»NA» Free Account Retargeting OSS - T1 - FR</v></cell><cell r="D762" t="str"><v>43288223691786</v></cell><cell r="E762" t="str"><v>432881030587201 - FR</v></cell><cell r="F762" t="str"><v>DCM</v></cell><cell r="G762" t="str"><v>https://azure.microsoft.com/fr-ca/free/open-source/search/</v></cell></row><row r="762"><cell r="K762" t="str"><v>July</v></cell><cell r="L762"><v>43288</v></cell><cell r="M762" t="str"><v>Tier 1</v></cell><cell r="N762" t="str"><v>North America</v></cell><cell r="O762" t="str"><v>Canada</v></cell><cell r="P762" t="str"><v>Trial</v></cell><cell r="Q762" t="str"><v>Social</v></cell><cell r="R762" t="str"><v>Azure</v></cell><cell r="S762" t="str"><v>Apps & Infra</v></cell><cell r="T762" t="str"><v>Developers & ITI's</v></cell><cell r="U762" t="str"><v>AZR</v></cell><cell r="V762" t="str"><v>Retargeting</v></cell><cell r="W762" t="str"><v>NotApplicable</v></cell><cell r="X762" t="str"><v>1x1</v></cell></row><row r="762"><cell r="AA762"><v>43288</v></cell><cell r="AB762" t="str"><v>CAN_gaPMG_AZR_AZR_Q1_19_Trial-Social</v></cell><cell r="AC762"><v>21337220</v></cell><cell r="AD762"><v>720192</v></cell><cell r="AE762" t="str"><v>Facebook</v></cell><cell r="AF762"><v>3654128</v></cell><cell r="AG762" t="str"><v>Facebook»AZR»1x1»SocialBan»NA»ALL»DYN»RT»D»All»SS»NA» Free Account Retargeting OSS - T1 - FR</v></cell><cell r="AH762"><v>223691786</v></cell><cell r="AI762" t="str"><v>AzurePlatform_FreeAcctRetargetingOSSFB-Text-ChF_CAN_1200x628_SOC_Plat_FR_Free Account_Standard_NA_SU_T1_1</v></cell><cell r="AJ762"><v>103058720</v></cell></row><row r="763"><cell r="C763" t="str"><v>43288Facebook»AZR»1x1»SocialBan»NA»ALL»DYN»RT»D»All»SS»NA» Free Account Retargeting OSS - T2 - EN</v></cell><cell r="D763" t="str"><v>43288223691831</v></cell><cell r="E763" t="str"><v>432881029138002 - EN</v></cell><cell r="F763" t="str"><v>DCM</v></cell><cell r="G763" t="str"><v>https://azure.microsoft.com/en-ca/free/open-source/search/</v></cell></row><row r="763"><cell r="K763" t="str"><v>July</v></cell><cell r="L763"><v>43288</v></cell><cell r="M763" t="str"><v>Tier 1</v></cell><cell r="N763" t="str"><v>North America</v></cell><cell r="O763" t="str"><v>Canada</v></cell><cell r="P763" t="str"><v>Trial</v></cell><cell r="Q763" t="str"><v>Social</v></cell><cell r="R763" t="str"><v>Azure</v></cell><cell r="S763" t="str"><v>Apps & Infra</v></cell><cell r="T763" t="str"><v>Developers & ITI's</v></cell><cell r="U763" t="str"><v>AZR</v></cell><cell r="V763" t="str"><v>Retargeting</v></cell><cell r="W763" t="str"><v>NotApplicable</v></cell><cell r="X763" t="str"><v>1x1</v></cell></row><row r="763"><cell r="AA763"><v>43288</v></cell><cell r="AB763" t="str"><v>CAN_gaPMG_AZR_AZR_Q1_19_Trial-Social</v></cell><cell r="AC763"><v>21337220</v></cell><cell r="AD763"><v>720192</v></cell><cell r="AE763" t="str"><v>Facebook</v></cell><cell r="AF763"><v>3654128</v></cell><cell r="AG763" t="str"><v>Facebook»AZR»1x1»SocialBan»NA»ALL»DYN»RT»D»All»SS»NA» Free Account Retargeting OSS - T2 - EN</v></cell><cell r="AH763"><v>223691831</v></cell><cell r="AI763" t="str"><v>AzurePlatform_FreeAcctRetargetingOSSFB-Logos-ChG_CAN_1200x628_SOC_Plat_EN_Free Account_Standard_NA_SU_T2_1</v></cell><cell r="AJ763"><v>102913800</v></cell></row><row r="764"><cell r="C764" t="str"><v>43288Facebook»AZR»1x1»SocialBan»NA»ALL»DYN»RT»D»All»SS»NA» Free Account Retargeting OSS - T2 - FR</v></cell><cell r="D764" t="str"><v>43288223691789</v></cell><cell r="E764" t="str"><v>432881029006912 - FR</v></cell><cell r="F764" t="str"><v>DCM</v></cell><cell r="G764" t="str"><v>https://azure.microsoft.com/fr-ca/free/open-source/search/</v></cell></row><row r="764"><cell r="K764" t="str"><v>July</v></cell><cell r="L764"><v>43288</v></cell><cell r="M764" t="str"><v>Tier 1</v></cell><cell r="N764" t="str"><v>North America</v></cell><cell r="O764" t="str"><v>Canada</v></cell><cell r="P764" t="str"><v>Trial</v></cell><cell r="Q764" t="str"><v>Social</v></cell><cell r="R764" t="str"><v>Azure</v></cell><cell r="S764" t="str"><v>Apps & Infra</v></cell><cell r="T764" t="str"><v>Developers & ITI's</v></cell><cell r="U764" t="str"><v>AZR</v></cell><cell r="V764" t="str"><v>Retargeting</v></cell><cell r="W764" t="str"><v>NotApplicable</v></cell><cell r="X764" t="str"><v>1x1</v></cell></row><row r="764"><cell r="AA764"><v>43288</v></cell><cell r="AB764" t="str"><v>CAN_gaPMG_AZR_AZR_Q1_19_Trial-Social</v></cell><cell r="AC764"><v>21337220</v></cell><cell r="AD764"><v>720192</v></cell><cell r="AE764" t="str"><v>Facebook</v></cell><cell r="AF764"><v>3654128</v></cell><cell r="AG764" t="str"><v>Facebook»AZR»1x1»SocialBan»NA»ALL»DYN»RT»D»All»SS»NA» Free Account Retargeting OSS - T2 - FR</v></cell><cell r="AH764"><v>223691789</v></cell><cell r="AI764" t="str"><v>AzurePlatform_FreeAcctRetargetingOSSFB-Logos-ChG_CAN_1200x628_SOC_Plat_FR_Free Account_Standard_NA_SU_T2_1</v></cell><cell r="AJ764"><v>102900691</v></cell></row><row r="765"><cell r="C765" t="str"><v>43288Facebook»AZR»1x1»SocialBan»NA»ALL»DYN»RT»D»All»SS»NA»Free Account Retargeting Generic - T2 - EN</v></cell><cell r="D765" t="str"><v>43288223691834</v></cell><cell r="E765" t="str"><v>432881029029532 - EN</v></cell><cell r="F765" t="str"><v>DCM</v></cell><cell r="G765" t="str"><v>https://azure.microsoft.com/en-CA/free/search/</v></cell></row><row r="765"><cell r="K765" t="str"><v>July</v></cell><cell r="L765"><v>43288</v></cell><cell r="M765" t="str"><v>Tier 1</v></cell><cell r="N765" t="str"><v>North America</v></cell><cell r="O765" t="str"><v>Canada</v></cell><cell r="P765" t="str"><v>Trial</v></cell><cell r="Q765" t="str"><v>Social</v></cell><cell r="R765" t="str"><v>Azure</v></cell><cell r="S765" t="str"><v>Apps & Infra</v></cell><cell r="T765" t="str"><v>Developers & ITI's</v></cell><cell r="U765" t="str"><v>AZR</v></cell><cell r="V765" t="str"><v>Retargeting</v></cell><cell r="W765" t="str"><v>NotApplicable</v></cell><cell r="X765" t="str"><v>1x1</v></cell></row><row r="765"><cell r="AA765"><v>43288</v></cell><cell r="AB765" t="str"><v>CAN_gaPMG_AZR_AZR_Q1_19_Trial-Social</v></cell><cell r="AC765"><v>21337220</v></cell><cell r="AD765"><v>720192</v></cell><cell r="AE765" t="str"><v>Facebook</v></cell><cell r="AF765"><v>3654128</v></cell><cell r="AG765" t="str"><v>Facebook»AZR»1x1»SocialBan»NA»ALL»DYN»RT»D»All»SS»NA»Free Account Retargeting Generic - T2 - EN</v></cell><cell r="AH765"><v>223691834</v></cell><cell r="AI765" t="str"><v>AzurePlatform_FreeAcctRetargetingFB-GlobalAlt-ChB_CAN_1200x628_SOC_Plat_EN_Free Account_Standard_NA_SU_T2_1</v></cell><cell r="AJ765"><v>102902953</v></cell></row><row r="766"><cell r="C766" t="str"><v>43288Facebook»AZR»1x1»SocialBan»NA»ALL»DYN»RT»D»All»SS»NA»Free Account Retargeting Generic - T2 - FR</v></cell><cell r="D766" t="str"><v>43288223691792</v></cell><cell r="E766" t="str"><v>432881029018942 - FR</v></cell><cell r="F766" t="str"><v>DCM</v></cell><cell r="G766" t="str"><v>https://azure.microsoft.com/fr-ca/free/search/</v></cell></row><row r="766"><cell r="K766" t="str"><v>July</v></cell><cell r="L766"><v>43288</v></cell><cell r="M766" t="str"><v>Tier 1</v></cell><cell r="N766" t="str"><v>North America</v></cell><cell r="O766" t="str"><v>Canada</v></cell><cell r="P766" t="str"><v>Trial</v></cell><cell r="Q766" t="str"><v>Social</v></cell><cell r="R766" t="str"><v>Azure</v></cell><cell r="S766" t="str"><v>Apps & Infra</v></cell><cell r="T766" t="str"><v>Developers & ITI's</v></cell><cell r="U766" t="str"><v>AZR</v></cell><cell r="V766" t="str"><v>Retargeting</v></cell><cell r="W766" t="str"><v>NotApplicable</v></cell><cell r="X766" t="str"><v>1x1</v></cell></row><row r="766"><cell r="AA766"><v>43288</v></cell><cell r="AB766" t="str"><v>CAN_gaPMG_AZR_AZR_Q1_19_Trial-Social</v></cell><cell r="AC766"><v>21337220</v></cell><cell r="AD766"><v>720192</v></cell><cell r="AE766" t="str"><v>Facebook</v></cell><cell r="AF766"><v>3654128</v></cell><cell r="AG766" t="str"><v>Facebook»AZR»1x1»SocialBan»NA»ALL»DYN»RT»D»All»SS»NA»Free Account Retargeting Generic - T2 - FR</v></cell><cell r="AH766"><v>223691792</v></cell><cell r="AI766" t="str"><v>AzurePlatform_FreeAcctRetargetingFB-GlobalAlt-ChB_CAN_1200x628_SOC_Plat_FR_Free Account_Standard_NA_SU_T2_1</v></cell><cell r="AJ766"><v>102901894</v></cell></row><row r="767"><cell r="C767" t="str"><v>43288Facebook»AZR»1x1»SocialBan»NA»ALL»DYN»RT»D»All»SS»NA»Free Account Retargeting Generic - T3 - EN</v></cell><cell r="D767" t="str"><v>43288223691819</v></cell><cell r="E767" t="str"><v>432881029006823 - EN</v></cell><cell r="F767" t="str"><v>DCM</v></cell><cell r="G767" t="str"><v>https://azure.microsoft.com/en-CA/free/search/</v></cell></row><row r="767"><cell r="K767" t="str"><v>July</v></cell><cell r="L767"><v>43288</v></cell><cell r="M767" t="str"><v>Tier 1</v></cell><cell r="N767" t="str"><v>North America</v></cell><cell r="O767" t="str"><v>Canada</v></cell><cell r="P767" t="str"><v>Trial</v></cell><cell r="Q767" t="str"><v>Social</v></cell><cell r="R767" t="str"><v>Azure</v></cell><cell r="S767" t="str"><v>Apps & Infra</v></cell><cell r="T767" t="str"><v>Developers & ITI's</v></cell><cell r="U767" t="str"><v>AZR</v></cell><cell r="V767" t="str"><v>Retargeting</v></cell><cell r="W767" t="str"><v>NotApplicable</v></cell><cell r="X767" t="str"><v>1x1</v></cell></row><row r="767"><cell r="AA767"><v>43288</v></cell><cell r="AB767" t="str"><v>CAN_gaPMG_AZR_AZR_Q1_19_Trial-Social</v></cell><cell r="AC767"><v>21337220</v></cell><cell r="AD767"><v>720192</v></cell><cell r="AE767" t="str"><v>Facebook</v></cell><cell r="AF767"><v>3654128</v></cell><cell r="AG767" t="str"><v>Facebook»AZR»1x1»SocialBan»NA»ALL»DYN»RT»D»All»SS»NA»Free Account Retargeting Generic - T3 - EN</v></cell><cell r="AH767"><v>223691819</v></cell><cell r="AI767" t="str"><v>AzurePlatform_FreeAcctRetargetingFB-Animated-ChC_CAN_1200x628_SOC_Plat_EN_Free Account_Standard_ANI_SU_T3_1</v></cell><cell r="AJ767"><v>102900682</v></cell></row><row r="768"><cell r="C768" t="str"><v>43288Facebook»AZR»1x1»SocialBan»NA»ALL»DYN»RT»D»All»SS»NA»Free Account Retargeting Generic - T3 - FR</v></cell><cell r="D768" t="str"><v>43288223691777</v></cell><cell r="E768" t="str"><v>432881029006973 - FR</v></cell><cell r="F768" t="str"><v>DCM</v></cell><cell r="G768" t="str"><v>https://azure.microsoft.com/fr-ca/free/search/</v></cell></row><row r="768"><cell r="K768" t="str"><v>July</v></cell><cell r="L768"><v>43288</v></cell><cell r="M768" t="str"><v>Tier 1</v></cell><cell r="N768" t="str"><v>North America</v></cell><cell r="O768" t="str"><v>Canada</v></cell><cell r="P768" t="str"><v>Trial</v></cell><cell r="Q768" t="str"><v>Social</v></cell><cell r="R768" t="str"><v>Azure</v></cell><cell r="S768" t="str"><v>Apps & Infra</v></cell><cell r="T768" t="str"><v>Developers & ITI's</v></cell><cell r="U768" t="str"><v>AZR</v></cell><cell r="V768" t="str"><v>Retargeting</v></cell><cell r="W768" t="str"><v>NotApplicable</v></cell><cell r="X768" t="str"><v>1x1</v></cell></row><row r="768"><cell r="AA768"><v>43288</v></cell><cell r="AB768" t="str"><v>CAN_gaPMG_AZR_AZR_Q1_19_Trial-Social</v></cell><cell r="AC768"><v>21337220</v></cell><cell r="AD768"><v>720192</v></cell><cell r="AE768" t="str"><v>Facebook</v></cell><cell r="AF768"><v>3654128</v></cell><cell r="AG768" t="str"><v>Facebook»AZR»1x1»SocialBan»NA»ALL»DYN»RT»D»All»SS»NA»Free Account Retargeting Generic - T3 - FR</v></cell><cell r="AH768"><v>223691777</v></cell><cell r="AI768" t="str"><v>AzurePlatform_FreeAcctRetargetingFB-Animated-ChC_CAN_1200x628_SOC_Plat_FR_Free Account_Standard_ANI_SU_T3_1</v></cell><cell r="AJ768"><v>102900697</v></cell></row><row r="769"><cell r="C769" t="str"><v>43288Facebook»AZR»1x1»SocialBan»NA»ALL»DYN»RT»D»All»SS»NA»Free Account Retargeting VM - T1 - EN</v></cell><cell r="D769" t="str"><v>43288223691825</v></cell><cell r="E769" t="str"><v>432881029163381 - EN</v></cell><cell r="F769" t="str"><v>DCM</v></cell><cell r="G769" t="str"><v>https://azure.microsoft.com/en-ca/free/virtual-machines/search/</v></cell></row><row r="769"><cell r="K769" t="str"><v>July</v></cell><cell r="L769"><v>43288</v></cell><cell r="M769" t="str"><v>Tier 1</v></cell><cell r="N769" t="str"><v>North America</v></cell><cell r="O769" t="str"><v>Canada</v></cell><cell r="P769" t="str"><v>Trial</v></cell><cell r="Q769" t="str"><v>Social</v></cell><cell r="R769" t="str"><v>Azure</v></cell><cell r="S769" t="str"><v>Apps & Infra</v></cell><cell r="T769" t="str"><v>Developers & ITI's</v></cell><cell r="U769" t="str"><v>AZR</v></cell><cell r="V769" t="str"><v>Retargeting</v></cell><cell r="W769" t="str"><v>NotApplicable</v></cell><cell r="X769" t="str"><v>1x1</v></cell></row><row r="769"><cell r="AA769"><v>43288</v></cell><cell r="AB769" t="str"><v>CAN_gaPMG_AZR_AZR_Q1_19_Trial-Social</v></cell><cell r="AC769"><v>21337220</v></cell><cell r="AD769"><v>720192</v></cell><cell r="AE769" t="str"><v>Facebook</v></cell><cell r="AF769"><v>3654128</v></cell><cell r="AG769" t="str"><v>Facebook»AZR»1x1»SocialBan»NA»ALL»DYN»RT»D»All»SS»NA»Free Account Retargeting VM - T1 - EN</v></cell><cell r="AH769"><v>223691825</v></cell><cell r="AI769" t="str"><v>AzurePlatform_FreeAcctRetargetingVMFB-750Hrs-ChD_CAN_1200x628_SOC_Plat_EN_Free Account_Standard_NA_SU_T1_1</v></cell><cell r="AJ769"><v>102916338</v></cell></row><row r="770"><cell r="C770" t="str"><v>43288Facebook»AZR»1x1»SocialBan»NA»ALL»DYN»RT»D»All»SS»NA»Free Account Retargeting VM - T1 - FR</v></cell><cell r="D770" t="str"><v>43288223691783</v></cell><cell r="E770" t="str"><v>432881030587231 - FR</v></cell><cell r="F770" t="str"><v>DCM</v></cell><cell r="G770" t="str"><v>https://azure.microsoft.com/fr-ca/free/virtual-machines/search/</v></cell></row><row r="770"><cell r="K770" t="str"><v>July</v></cell><cell r="L770"><v>43288</v></cell><cell r="M770" t="str"><v>Tier 1</v></cell><cell r="N770" t="str"><v>North America</v></cell><cell r="O770" t="str"><v>Canada</v></cell><cell r="P770" t="str"><v>Trial</v></cell><cell r="Q770" t="str"><v>Social</v></cell><cell r="R770" t="str"><v>Azure</v></cell><cell r="S770" t="str"><v>Apps & Infra</v></cell><cell r="T770" t="str"><v>Developers & ITI's</v></cell><cell r="U770" t="str"><v>AZR</v></cell><cell r="V770" t="str"><v>Retargeting</v></cell><cell r="W770" t="str"><v>NotApplicable</v></cell><cell r="X770" t="str"><v>1x1</v></cell></row><row r="770"><cell r="AA770"><v>43288</v></cell><cell r="AB770" t="str"><v>CAN_gaPMG_AZR_AZR_Q1_19_Trial-Social</v></cell><cell r="AC770"><v>21337220</v></cell><cell r="AD770"><v>720192</v></cell><cell r="AE770" t="str"><v>Facebook</v></cell><cell r="AF770"><v>3654128</v></cell><cell r="AG770" t="str"><v>Facebook»AZR»1x1»SocialBan»NA»ALL»DYN»RT»D»All»SS»NA»Free Account Retargeting VM - T1 - FR</v></cell><cell r="AH770"><v>223691783</v></cell><cell r="AI770" t="str"><v>AzurePlatform_FreeAcctRetargetingVMFB-750Hrs-ChD_CAN_1200x628_SOC_Plat_FR_Free Account_Standard_NA_SU_T1_1</v></cell><cell r="AJ770"><v>103058723</v></cell></row><row r="771"><cell r="C771" t="str"><v>43288Facebook»AZR»1x1»SocialBan»NA»ALL»DYN»RT»D»All»SS»NA»Free Account Retargeting VM - T2 - FR</v></cell><cell r="D771" t="str"><v>43288223691780</v></cell><cell r="E771" t="str"><v>432881030587262 - FR</v></cell><cell r="F771" t="str"><v>DCM</v></cell><cell r="G771" t="str"><v>https://azure.microsoft.com/fr-ca/free/virtual-machines/search/</v></cell></row><row r="771"><cell r="K771" t="str"><v>July</v></cell><cell r="L771"><v>43288</v></cell><cell r="M771" t="str"><v>Tier 1</v></cell><cell r="N771" t="str"><v>North America</v></cell><cell r="O771" t="str"><v>Canada</v></cell><cell r="P771" t="str"><v>Trial</v></cell><cell r="Q771" t="str"><v>Social</v></cell><cell r="R771" t="str"><v>Azure</v></cell><cell r="S771" t="str"><v>Apps & Infra</v></cell><cell r="T771" t="str"><v>Developers & ITI's</v></cell><cell r="U771" t="str"><v>AZR</v></cell><cell r="V771" t="str"><v>Retargeting</v></cell><cell r="W771" t="str"><v>NotApplicable</v></cell><cell r="X771" t="str"><v>1x1</v></cell></row><row r="771"><cell r="AA771"><v>43288</v></cell><cell r="AB771" t="str"><v>CAN_gaPMG_AZR_AZR_Q1_19_Trial-Social</v></cell><cell r="AC771"><v>21337220</v></cell><cell r="AD771"><v>720192</v></cell><cell r="AE771" t="str"><v>Facebook</v></cell><cell r="AF771"><v>3654128</v></cell><cell r="AG771" t="str"><v>Facebook»AZR»1x1»SocialBan»NA»ALL»DYN»RT»D»All»SS»NA»Free Account Retargeting VM - T2 - FR</v></cell><cell r="AH771"><v>223691780</v></cell><cell r="AI771" t="str"><v>AzurePlatform_FreeAcctRetargetingVMFB-OnDemand-ChE_CAN_1200x628_SOC_Plat_FR_Free Account_Standard_NA_SU_T2_1</v></cell><cell r="AJ771"><v>103058726</v></cell></row><row r="772"><cell r="C772" t="str"><v>43288Facebook»DEV-ITP-AZR-FB|CanvasAds|Interesttargeting»1x1»TextLink»CAN»DT»CPM»AUT»W»NA»SS»NA»39684020-11000</v></cell><cell r="D772" t="str"><v>43288224009494</v></cell><cell r="E772" t="str"><v>43288103236186-11000</v></cell><cell r="F772" t="str"><v>DCM</v></cell><cell r="G772" t="str"><v>https://signup.azure.com/signup?offer=ms-azr-0044p&appId=102&ref=paidmedia-social-fb&redirectURL=https%3a%2f%2fazure.microsoft.com%2fde-de%2fget-started%2fwelcome-to-azure%2f&l=de-de&correlationId=ead86c34-1f10-49dd-a72b-6918462a2cbf</v></cell></row><row r="772"><cell r="K772" t="str"><v>July</v></cell><cell r="L772"><v>43288</v></cell><cell r="M772" t="str"><v>Tier 1</v></cell><cell r="N772" t="str"><v>EMEA</v></cell><cell r="O772" t="str"><v>Germany</v></cell><cell r="P772" t="str"><v>Trial</v></cell><cell r="Q772" t="str"><v>Social</v></cell><cell r="R772" t="str"><v>Azure</v></cell><cell r="S772" t="str"><v>Apps & Infra</v></cell><cell r="T772" t="str"><v>Developers & ITI's</v></cell><cell r="U772" t="str"><v>DEV-ITP-AZR-FB|CanvasAds|Interesttargeting</v></cell><cell r="V772" t="str"><v>Audience Targeting</v></cell><cell r="W772" t="str"><v>Canvas Ad</v></cell><cell r="X772" t="str"><v>1x1</v></cell></row><row r="772"><cell r="AA772"><v>43288</v></cell><cell r="AB772" t="str"><v>DEU_gaPMG_AZR_AZR_Q1_19_Trial-Social- 39684</v></cell><cell r="AC772"><v>21359477</v></cell><cell r="AD772"><v>720194</v></cell><cell r="AE772" t="str"><v>Facebook</v></cell><cell r="AF772"><v>3654128</v></cell><cell r="AG772" t="str"><v>Facebook»DEV-ITP-AZR-FB|CanvasAds|Interesttargeting»1x1»TextLink»CAN»DT»CPM»AUT»W»NA»SS»NA»39684020-11000</v></cell><cell r="AH772"><v>224009494</v></cell><cell r="AI772" t="str"><v>AzurePlatform_FBCTCBasicMotion-StartFreeCT_DEU_10s_ISV_PLAT_DE_Trial_Standard_STAN_TN_T1_1</v></cell><cell r="AJ772"><v>103236186</v></cell></row><row r="773"><cell r="C773" t="str"><v>43288Facebook»DEV-ITP-AZR-FB|CanvasAds|Interesttargeting»1x1»TextLink»CAN»DT»CPM»AUT»W»NA»SS»NA»39684020-11000</v></cell><cell r="D773" t="str"><v>43288224009494</v></cell><cell r="E773" t="str"><v>43288103236189-11000</v></cell><cell r="F773" t="str"><v>DCM</v></cell><cell r="G773" t="str"><v>https://azure.microsoft.com/de-de/pricing/purchase-options/</v></cell></row><row r="773"><cell r="K773" t="str"><v>July</v></cell><cell r="L773"><v>43288</v></cell><cell r="M773" t="str"><v>Tier 1</v></cell><cell r="N773" t="str"><v>EMEA</v></cell><cell r="O773" t="str"><v>Germany</v></cell><cell r="P773" t="str"><v>Trial</v></cell><cell r="Q773" t="str"><v>Social</v></cell><cell r="R773" t="str"><v>Azure</v></cell><cell r="S773" t="str"><v>Apps & Infra</v></cell><cell r="T773" t="str"><v>Developers & ITI's</v></cell><cell r="U773" t="str"><v>DEV-ITP-AZR-FB|CanvasAds|Interesttargeting</v></cell><cell r="V773" t="str"><v>Audience Targeting</v></cell><cell r="W773" t="str"><v>Canvas Ad</v></cell><cell r="X773" t="str"><v>1x1</v></cell></row><row r="773"><cell r="AA773"><v>43288</v></cell><cell r="AB773" t="str"><v>DEU_gaPMG_AZR_AZR_Q1_19_Trial-Social- 39684</v></cell><cell r="AC773"><v>21359477</v></cell><cell r="AD773"><v>720194</v></cell><cell r="AE773" t="str"><v>Facebook</v></cell><cell r="AF773"><v>3654128</v></cell><cell r="AG773" t="str"><v>Facebook»DEV-ITP-AZR-FB|CanvasAds|Interesttargeting»1x1»TextLink»CAN»DT»CPM»AUT»W»NA»SS»NA»39684020-11000</v></cell><cell r="AH773"><v>224009494</v></cell><cell r="AI773" t="str"><v>AzurePlatform_FBCTCBenefit2inMotion-BuyNow_DEU_14s_ISV_PLAT_DE_Trial_Standard_STAN_TN_T4_1</v></cell><cell r="AJ773"><v>103236189</v></cell></row><row r="774"><cell r="C774" t="str"><v>43288Facebook»DEV-ITP-AZR-FB|CanvasAds|Interesttargeting»1x1»TextLink»CAN»DT»CPM»AUT»W»NA»SS»NA»39684020-11000</v></cell><cell r="D774" t="str"><v>43288224009494</v></cell><cell r="E774" t="str"><v>43288103237290-11000</v></cell><cell r="F774" t="str"><v>DCM</v></cell><cell r="G774" t="str"><v>https://signup.azure.com/signup?offer=ms-azr-0044p&appId=102&ref=paidmedia-social-fb&redirectURL=https%3a%2f%2fazure.microsoft.com%2fde-de%2fget-started%2fwelcome-to-azure%2f&l=de-de&correlationId=ead86c34-1f10-49dd-a72b-6918462a2cbf</v></cell></row><row r="774"><cell r="K774" t="str"><v>July</v></cell><cell r="L774"><v>43288</v></cell><cell r="M774" t="str"><v>Tier 1</v></cell><cell r="N774" t="str"><v>EMEA</v></cell><cell r="O774" t="str"><v>Germany</v></cell><cell r="P774" t="str"><v>Trial</v></cell><cell r="Q774" t="str"><v>Social</v></cell><cell r="R774" t="str"><v>Azure</v></cell><cell r="S774" t="str"><v>Apps & Infra</v></cell><cell r="T774" t="str"><v>Developers & ITI's</v></cell><cell r="U774" t="str"><v>DEV-ITP-AZR-FB|CanvasAds|Interesttargeting</v></cell><cell r="V774" t="str"><v>Audience Targeting</v></cell><cell r="W774" t="str"><v>Canvas Ad</v></cell><cell r="X774" t="str"><v>1x1</v></cell></row><row r="774"><cell r="AA774"><v>43288</v></cell><cell r="AB774" t="str"><v>DEU_gaPMG_AZR_AZR_Q1_19_Trial-Social- 39684</v></cell><cell r="AC774"><v>21359477</v></cell><cell r="AD774"><v>720194</v></cell><cell r="AE774" t="str"><v>Facebook</v></cell><cell r="AF774"><v>3654128</v></cell><cell r="AG774" t="str"><v>Facebook»DEV-ITP-AZR-FB|CanvasAds|Interesttargeting»1x1»TextLink»CAN»DT»CPM»AUT»W»NA»SS»NA»39684020-11000</v></cell><cell r="AH774"><v>224009494</v></cell><cell r="AI774" t="str"><v>AzurePlatform_FBCTCBenefit2inMotion-StartFreeCT_DEU_14s_ISV_PLAT_DE_Trial_Standard_STAN_TN_T4_1</v></cell><cell r="AJ774"><v>103237290</v></cell></row><row r="775"><cell r="C775" t="str"><v>43288Facebook»DEV-ITP-AZR-FB|CanvasAds|Interesttargeting»1x1»TextLink»CAN»DT»CPM»AUT»W»NA»SS»NA»39684020-11000</v></cell><cell r="D775" t="str"><v>43288224009494</v></cell><cell r="E775" t="str"><v>43288103350059-11000</v></cell><cell r="F775" t="str"><v>DCM</v></cell><cell r="G775" t="str"><v>https://azure.microsoft.com/de-de/pricing/purchase-options/</v></cell></row><row r="775"><cell r="K775" t="str"><v>July</v></cell><cell r="L775"><v>43288</v></cell><cell r="M775" t="str"><v>Tier 1</v></cell><cell r="N775" t="str"><v>EMEA</v></cell><cell r="O775" t="str"><v>Germany</v></cell><cell r="P775" t="str"><v>Trial</v></cell><cell r="Q775" t="str"><v>Social</v></cell><cell r="R775" t="str"><v>Azure</v></cell><cell r="S775" t="str"><v>Apps & Infra</v></cell><cell r="T775" t="str"><v>Developers & ITI's</v></cell><cell r="U775" t="str"><v>DEV-ITP-AZR-FB|CanvasAds|Interesttargeting</v></cell><cell r="V775" t="str"><v>Audience Targeting</v></cell><cell r="W775" t="str"><v>Canvas Ad</v></cell><cell r="X775" t="str"><v>1x1</v></cell></row><row r="775"><cell r="AA775"><v>43288</v></cell><cell r="AB775" t="str"><v>DEU_gaPMG_AZR_AZR_Q1_19_Trial-Social- 39684</v></cell><cell r="AC775"><v>21359477</v></cell><cell r="AD775"><v>720194</v></cell><cell r="AE775" t="str"><v>Facebook</v></cell><cell r="AF775"><v>3654128</v></cell><cell r="AG775" t="str"><v>Facebook»DEV-ITP-AZR-FB|CanvasAds|Interesttargeting»1x1»TextLink»CAN»DT»CPM»AUT»W»NA»SS»NA»39684020-11000</v></cell><cell r="AH775"><v>224009494</v></cell><cell r="AI775" t="str"><v>AzurePlatform_FBCTCBrandinMotion-BuyNow_DEU_12s_ISV_PLAT_DE_Trial_Standard_STAN_TN_T2_1</v></cell><cell r="AJ775"><v>103350059</v></cell></row><row r="776"><cell r="C776" t="str"><v>43288Facebook»DEV-ITP-AZR-FB|CanvasAds|Interesttargeting»1x1»TextLink»CAN»DT»CPM»AUT»W»NA»SS»NA»39684020-11000</v></cell><cell r="D776" t="str"><v>43288224009494</v></cell><cell r="E776" t="str"><v>43288103237293-11000</v></cell><cell r="F776" t="str"><v>DCM</v></cell><cell r="G776" t="str"><v>https://signup.azure.com/signup?offer=ms-azr-0044p&appId=102&ref=paidmedia-social-fb&redirectURL=https%3a%2f%2fazure.microsoft.com%2fde-de%2fget-started%2fwelcome-to-azure%2f&l=de-de&correlationId=ead86c34-1f10-49dd-a72b-6918462a2cbf</v></cell></row><row r="776"><cell r="K776" t="str"><v>July</v></cell><cell r="L776"><v>43288</v></cell><cell r="M776" t="str"><v>Tier 1</v></cell><cell r="N776" t="str"><v>EMEA</v></cell><cell r="O776" t="str"><v>Germany</v></cell><cell r="P776" t="str"><v>Trial</v></cell><cell r="Q776" t="str"><v>Social</v></cell><cell r="R776" t="str"><v>Azure</v></cell><cell r="S776" t="str"><v>Apps & Infra</v></cell><cell r="T776" t="str"><v>Developers & ITI's</v></cell><cell r="U776" t="str"><v>DEV-ITP-AZR-FB|CanvasAds|Interesttargeting</v></cell><cell r="V776" t="str"><v>Audience Targeting</v></cell><cell r="W776" t="str"><v>Canvas Ad</v></cell><cell r="X776" t="str"><v>1x1</v></cell></row><row r="776"><cell r="AA776"><v>43288</v></cell><cell r="AB776" t="str"><v>DEU_gaPMG_AZR_AZR_Q1_19_Trial-Social- 39684</v></cell><cell r="AC776"><v>21359477</v></cell><cell r="AD776"><v>720194</v></cell><cell r="AE776" t="str"><v>Facebook</v></cell><cell r="AF776"><v>3654128</v></cell><cell r="AG776" t="str"><v>Facebook»DEV-ITP-AZR-FB|CanvasAds|Interesttargeting»1x1»TextLink»CAN»DT»CPM»AUT»W»NA»SS»NA»39684020-11000</v></cell><cell r="AH776"><v>224009494</v></cell><cell r="AI776" t="str"><v>AzurePlatform_FBCTCBrandinMotion-StartFreeCT_DEU_12s_ISV_PLAT_DE_Trial_Standard_STAN_TN_T2_1</v></cell><cell r="AJ776"><v>103237293</v></cell></row><row r="777"><cell r="C777" t="str"><v>43288Facebook»DEV-ITP-AZR-FB|LinkAd|CustomerAudienceRetargeting»1x1»TextLink»LIA»DT»CPM»RT»W»NA»SS»NA»39684019-11000</v></cell><cell r="D777" t="str"><v>43288224010415</v></cell><cell r="E777" t="str"><v>43288103055394-11000</v></cell><cell r="F777" t="str"><v>DCM</v></cell><cell r="G777" t="str"><v>https://azure.microsoft.com/de-de/free/open-source/search/</v></cell></row><row r="777"><cell r="K777" t="str"><v>July</v></cell><cell r="L777"><v>43288</v></cell><cell r="M777" t="str"><v>Tier 1</v></cell><cell r="N777" t="str"><v>EMEA</v></cell><cell r="O777" t="str"><v>Germany</v></cell><cell r="P777" t="str"><v>Trial</v></cell><cell r="Q777" t="str"><v>Social</v></cell><cell r="R777" t="str"><v>Azure</v></cell><cell r="S777" t="str"><v>Apps & Infra</v></cell><cell r="T777" t="str"><v>Developers & ITI's</v></cell><cell r="U777" t="str"><v>DEV-ITP-AZR-FB|LinkAd|CustomerAudienceRetargeting</v></cell><cell r="V777" t="str"><v>Retargeting</v></cell><cell r="W777" t="str"><v>Link Ad</v></cell><cell r="X777" t="str"><v>1x1</v></cell></row><row r="777"><cell r="AA777"><v>43288</v></cell><cell r="AB777" t="str"><v>DEU_gaPMG_AZR_AZR_Q1_19_Trial-Social- 39684</v></cell><cell r="AC777"><v>21359477</v></cell><cell r="AD777"><v>720194</v></cell><cell r="AE777" t="str"><v>Facebook</v></cell><cell r="AF777"><v>3654128</v></cell><cell r="AG777" t="str"><v>Facebook»DEV-ITP-AZR-FB|LinkAd|CustomerAudienceRetargeting»1x1»TextLink»LIA»DT»CPM»RT»W»NA»SS»NA»39684019-11000</v></cell><cell r="AH777"><v>224010415</v></cell><cell r="AI777" t="str"><v>AzurePlatform_FreeAcctRetargetingOSSFB-Text-ChF_DEU_1200x628_SOC_Plat_DE_Free Account_Standard_NA_SNU_T1_1</v></cell><cell r="AJ777"><v>103055394</v></cell></row><row r="778"><cell r="C778" t="str"><v>43288Facebook»DEV-ITP-AZR-FB|LinkAd|CustomerAudienceRetargeting»1x1»TextLink»LIA»DT»CPM»RT»W»NA»SS»NA»39684019-11000</v></cell><cell r="D778" t="str"><v>43288224010415</v></cell><cell r="E778" t="str"><v>43288103043338-11000</v></cell><cell r="F778" t="str"><v>DCM</v></cell><cell r="G778" t="str"><v>https://azure.microsoft.com/de-de/free/virtual-machines/search/</v></cell></row><row r="778"><cell r="K778" t="str"><v>July</v></cell><cell r="L778"><v>43288</v></cell><cell r="M778" t="str"><v>Tier 1</v></cell><cell r="N778" t="str"><v>EMEA</v></cell><cell r="O778" t="str"><v>Germany</v></cell><cell r="P778" t="str"><v>Trial</v></cell><cell r="Q778" t="str"><v>Social</v></cell><cell r="R778" t="str"><v>Azure</v></cell><cell r="S778" t="str"><v>Apps & Infra</v></cell><cell r="T778" t="str"><v>Developers & ITI's</v></cell><cell r="U778" t="str"><v>DEV-ITP-AZR-FB|LinkAd|CustomerAudienceRetargeting</v></cell><cell r="V778" t="str"><v>Retargeting</v></cell><cell r="W778" t="str"><v>Link Ad</v></cell><cell r="X778" t="str"><v>1x1</v></cell></row><row r="778"><cell r="AA778"><v>43288</v></cell><cell r="AB778" t="str"><v>DEU_gaPMG_AZR_AZR_Q1_19_Trial-Social- 39684</v></cell><cell r="AC778"><v>21359477</v></cell><cell r="AD778"><v>720194</v></cell><cell r="AE778" t="str"><v>Facebook</v></cell><cell r="AF778"><v>3654128</v></cell><cell r="AG778" t="str"><v>Facebook»DEV-ITP-AZR-FB|LinkAd|CustomerAudienceRetargeting»1x1»TextLink»LIA»DT»CPM»RT»W»NA»SS»NA»39684019-11000</v></cell><cell r="AH778"><v>224010415</v></cell><cell r="AI778" t="str"><v>AzurePlatform_FreeAcctRetargetingVMFB-OnDemand-ChE_DEU_1200x628_SOC_Plat_DE_Free Account_Standard_NA_SNU_T2_1</v></cell><cell r="AJ778"><v>103043338</v></cell></row><row r="779"><cell r="C779" t="str"><v>43288Facebook»Developers/ITPros-Azure Direct-Sponsored Post-Canvas-FBCTCcanvaspage-BuyNowCTA-Img3_FBCTCBrandinMotion_FRA_14sec»1x1»Canvas»SOC»ALL»CPC»BT»D»UNK»SS»NA»Trials</v></cell><cell r="D779" t="str"><v>43288224416918</v></cell><cell r="E779" t="str"><v>43288103256571Trials</v></cell><cell r="F779" t="str"><v>DCM</v></cell><cell r="G779" t="str"><v>https://azure.microsoft.com/fr-fr/pricing/purchase-options/</v></cell></row><row r="779"><cell r="K779" t="str"><v>July</v></cell><cell r="L779"><v>43288</v></cell><cell r="M779" t="str"><v>Tier 1</v></cell><cell r="N779" t="str"><v>EMEA</v></cell><cell r="O779" t="str"><v>France</v></cell><cell r="P779" t="str"><v>Trial</v></cell><cell r="Q779" t="str"><v>Social</v></cell><cell r="R779" t="str"><v>Azure</v></cell><cell r="S779" t="str"><v>Apps & Infra</v></cell><cell r="T779" t="str"><v>Developers & ITI's</v></cell><cell r="U779" t="str"><v>Developers/ITPros-Azure Direct-Sponsored Post-Canvas-FBCTCcanvaspage-BuyNowCTA-Img3_FBCTCBrandinMotion_FRA_14sec</v></cell><cell r="V779" t="str"><v>Behavioral Targeting</v></cell><cell r="W779" t="str"><v>Social</v></cell><cell r="X779" t="str"><v>1x1</v></cell></row><row r="779"><cell r="AA779"><v>43288</v></cell><cell r="AB779" t="str"><v>FRA_gaPMG_AZR_AZR_Q1_19_AzureDirect-Trial-Social</v></cell><cell r="AC779"><v>21356941</v></cell><cell r="AD779"><v>720193</v></cell><cell r="AE779" t="str"><v>Facebook</v></cell><cell r="AF779"><v>3654128</v></cell><cell r="AG779" t="str"><v>Facebook»Developers/ITPros-Azure Direct-Sponsored Post-Canvas-FBCTCcanvaspage-BuyNowCTA-Img3_FBCTCBrandinMotion_FRA_14sec»1x1»Canvas»SOC»ALL»CPC»BT»D»UNK»SS»NA»Trials</v></cell><cell r="AH779"><v>224416918</v></cell><cell r="AI779" t="str"><v>AZR_FBCTCcanvaspage-BuyNowCTA-Img3_FRA_1080x162_SOC_AZRDirect_French_NA_Facebook_SBAN_BN_T3_1</v></cell><cell r="AJ779"><v>103256571</v></cell></row><row r="780"><cell r="C780" t="str"><v>43288Facebook»Developers/ITPros-Azure Direct-Sponsored Post-Canvas-FBCTCcanvaspage-StartFreeCTA-Img2_FBCTCBasicMotion_FRA_10sec»1x1»Canvas»SOC»ALL»CPC»BT»D»UNK»SS»NA»Trials</v></cell><cell r="D780" t="str"><v>43288224560884</v></cell><cell r="E780" t="str"><v>43288103259958Trials</v></cell><cell r="F780" t="str"><v>DCM</v></cell><cell r="G780" t="str"><v>https://signup.azure.com/signup?offer=ms-azr-0044p&appId=102&ref=paidmedia-social-fb&redirectURL=https%3a%2f%2fazure.microsoft.com%2ffr-fr%2fget-started%2fwelcome-to-azure%2f&l=fr-fr&correlationId=ead86c34-1f10-49dd-a72b-6918462a2cbf</v></cell></row><row r="780"><cell r="K780" t="str"><v>July</v></cell><cell r="L780"><v>43288</v></cell><cell r="M780" t="str"><v>Tier 1</v></cell><cell r="N780" t="str"><v>EMEA</v></cell><cell r="O780" t="str"><v>France</v></cell><cell r="P780" t="str"><v>Trial</v></cell><cell r="Q780" t="str"><v>Social</v></cell><cell r="R780" t="str"><v>Azure</v></cell><cell r="S780" t="str"><v>Apps & Infra</v></cell><cell r="T780" t="str"><v>Developers & ITI's</v></cell><cell r="U780" t="str"><v>Developers/ITPros-Azure Direct-Sponsored Post-Canvas-FBCTCcanvaspage-StartFreeCTA-Img2_FBCTCBasicMotion_FRA_10sec</v></cell><cell r="V780" t="str"><v>Behavioral Targeting</v></cell><cell r="W780" t="str"><v>Social</v></cell><cell r="X780" t="str"><v>1x1</v></cell></row><row r="780"><cell r="AA780"><v>43288</v></cell><cell r="AB780" t="str"><v>FRA_gaPMG_AZR_AZR_Q1_19_AzureDirect-Trial-Social</v></cell><cell r="AC780"><v>21356941</v></cell><cell r="AD780"><v>720193</v></cell><cell r="AE780" t="str"><v>Facebook</v></cell><cell r="AF780"><v>3654128</v></cell><cell r="AG780" t="str"><v>Facebook»Developers/ITPros-Azure Direct-Sponsored Post-Canvas-FBCTCcanvaspage-StartFreeCTA-Img2_FBCTCBasicMotion_FRA_10sec»1x1»Canvas»SOC»ALL»CPC»BT»D»UNK»SS»NA»Trials</v></cell><cell r="AH780"><v>224560884</v></cell><cell r="AI780" t="str"><v>AZR_FBCTCcanvaspage-StartFreeCTA-Img2_FRA_1080x143_SOC_AZRDirect_French_NA_Facebook_SBAN_BN_T2_1</v></cell><cell r="AJ780"><v>103259958</v></cell></row><row r="781"><cell r="C781" t="str"><v>43288Facebook»Developers/ITPros-Azure Direct-Sponsored Post-Canvas-FBCTCcanvaspage-StartFreeCTA-Img2_FBCTCBrandinMotion_FRA_12sec»1x1»Canvas»SOC»ALL»CPC»BT»D»UNK»SS»NA»Trials</v></cell><cell r="D781" t="str"><v>43288224560878</v></cell><cell r="E781" t="str"><v>43288103259958Trials</v></cell><cell r="F781" t="str"><v>DCM</v></cell><cell r="G781" t="str"><v>https://signup.azure.com/signup?offer=ms-azr-0044p&appId=102&ref=paidmedia-social-fb&redirectURL=https%3a%2f%2fazure.microsoft.com%2ffr-fr%2fget-started%2fwelcome-to-azure%2f&l=fr-fr&correlationId=ead86c34-1f10-49dd-a72b-6918462a2cbf</v></cell></row><row r="781"><cell r="K781" t="str"><v>July</v></cell><cell r="L781"><v>43288</v></cell><cell r="M781" t="str"><v>Tier 1</v></cell><cell r="N781" t="str"><v>EMEA</v></cell><cell r="O781" t="str"><v>France</v></cell><cell r="P781" t="str"><v>Trial</v></cell><cell r="Q781" t="str"><v>Social</v></cell><cell r="R781" t="str"><v>Azure</v></cell><cell r="S781" t="str"><v>Apps & Infra</v></cell><cell r="T781" t="str"><v>Developers & ITI's</v></cell><cell r="U781" t="str"><v>Developers/ITPros-Azure Direct-Sponsored Post-Canvas-FBCTCcanvaspage-StartFreeCTA-Img2_FBCTCBrandinMotion_FRA_12sec</v></cell><cell r="V781" t="str"><v>Behavioral Targeting</v></cell><cell r="W781" t="str"><v>Social</v></cell><cell r="X781" t="str"><v>1x1</v></cell></row><row r="781"><cell r="AA781"><v>43288</v></cell><cell r="AB781" t="str"><v>FRA_gaPMG_AZR_AZR_Q1_19_AzureDirect-Trial-Social</v></cell><cell r="AC781"><v>21356941</v></cell><cell r="AD781"><v>720193</v></cell><cell r="AE781" t="str"><v>Facebook</v></cell><cell r="AF781"><v>3654128</v></cell><cell r="AG781" t="str"><v>Facebook»Developers/ITPros-Azure Direct-Sponsored Post-Canvas-FBCTCcanvaspage-StartFreeCTA-Img2_FBCTCBrandinMotion_FRA_12sec»1x1»Canvas»SOC»ALL»CPC»BT»D»UNK»SS»NA»Trials</v></cell><cell r="AH781"><v>224560878</v></cell><cell r="AI781" t="str"><v>AZR_FBCTCcanvaspage-StartFreeCTA-Img2_FRA_1080x143_SOC_AZRDirect_French_NA_Facebook_SBAN_BN_T2_1</v></cell><cell r="AJ781"><v>103259958</v></cell></row><row r="782"><cell r="C782" t="str"><v>43288Facebook»Developers/ITPros-Azure Direct-Sponsored Post-Canvas-FBCTCcanvaspage-StartFreeCTA-Img2_FBCTCBrandinMotion_FRA_14sec»1x1»Canvas»SOC»ALL»CPC»BT»D»UNK»SS»NA»Trials</v></cell><cell r="D782" t="str"><v>43288224560872</v></cell><cell r="E782" t="str"><v>43288103259958Trials</v></cell><cell r="F782" t="str"><v>DCM</v></cell><cell r="G782" t="str"><v>https://signup.azure.com/signup?offer=ms-azr-0044p&appId=102&ref=paidmedia-social-fb&redirectURL=https%3a%2f%2fazure.microsoft.com%2ffr-fr%2fget-started%2fwelcome-to-azure%2f&l=fr-fr&correlationId=ead86c34-1f10-49dd-a72b-6918462a2cbf</v></cell></row><row r="782"><cell r="K782" t="str"><v>July</v></cell><cell r="L782"><v>43288</v></cell><cell r="M782" t="str"><v>Tier 1</v></cell><cell r="N782" t="str"><v>EMEA</v></cell><cell r="O782" t="str"><v>France</v></cell><cell r="P782" t="str"><v>Trial</v></cell><cell r="Q782" t="str"><v>Social</v></cell><cell r="R782" t="str"><v>Azure</v></cell><cell r="S782" t="str"><v>Apps & Infra</v></cell><cell r="T782" t="str"><v>Developers & ITI's</v></cell><cell r="U782" t="str"><v>Developers/ITPros-Azure Direct-Sponsored Post-Canvas-FBCTCcanvaspage-StartFreeCTA-Img2_FBCTCBrandinMotion_FRA_14sec</v></cell><cell r="V782" t="str"><v>Behavioral Targeting</v></cell><cell r="W782" t="str"><v>Social</v></cell><cell r="X782" t="str"><v>1x1</v></cell></row><row r="782"><cell r="AA782"><v>43288</v></cell><cell r="AB782" t="str"><v>FRA_gaPMG_AZR_AZR_Q1_19_AzureDirect-Trial-Social</v></cell><cell r="AC782"><v>21356941</v></cell><cell r="AD782"><v>720193</v></cell><cell r="AE782" t="str"><v>Facebook</v></cell><cell r="AF782"><v>3654128</v></cell><cell r="AG782" t="str"><v>Facebook»Developers/ITPros-Azure Direct-Sponsored Post-Canvas-FBCTCcanvaspage-StartFreeCTA-Img2_FBCTCBrandinMotion_FRA_14sec»1x1»Canvas»SOC»ALL»CPC»BT»D»UNK»SS»NA»Trials</v></cell><cell r="AH782"><v>224560872</v></cell><cell r="AI782" t="str"><v>AZR_FBCTCcanvaspage-StartFreeCTA-Img2_FRA_1080x143_SOC_AZRDirect_French_NA_Facebook_SBAN_BN_T2_1</v></cell><cell r="AJ782"><v>103259958</v></cell></row><row r="783"><cell r="C783" t="str"><v>43288Facebook»Developers/ITPros-Azure Direct-Sponsored Post-Link Ad-FreeAcctRetargetingFB-GlobalAlt-ChB»1x1»SocialBan»SOC»ALL»CPC»BT»D»UNK»SS»NA»Trials</v></cell><cell r="D783" t="str"><v>43288224560845</v></cell><cell r="E783" t="str"><v>43288103259520Trials</v></cell><cell r="F783" t="str"><v>DCM</v></cell><cell r="G783" t="str"><v>https://azure.microsoft.com/fr-fr/free/search/</v></cell></row><row r="783"><cell r="K783" t="str"><v>July</v></cell><cell r="L783"><v>43288</v></cell><cell r="M783" t="str"><v>Tier 1</v></cell><cell r="N783" t="str"><v>EMEA</v></cell><cell r="O783" t="str"><v>France</v></cell><cell r="P783" t="str"><v>Trial</v></cell><cell r="Q783" t="str"><v>Social</v></cell><cell r="R783" t="str"><v>Azure</v></cell><cell r="S783" t="str"><v>Apps & Infra</v></cell><cell r="T783" t="str"><v>Developers & ITI's</v></cell><cell r="U783" t="str"><v>Developers/ITPros-Azure Direct-Sponsored Post-Link Ad-FreeAcctRetargetingFB-GlobalAlt-ChB</v></cell><cell r="V783" t="str"><v>Behavioral Targeting</v></cell><cell r="W783" t="str"><v>Social</v></cell><cell r="X783" t="str"><v>1x1</v></cell></row><row r="783"><cell r="AA783"><v>43288</v></cell><cell r="AB783" t="str"><v>FRA_gaPMG_AZR_AZR_Q1_19_AzureDirect-Trial-Social</v></cell><cell r="AC783"><v>21356941</v></cell><cell r="AD783"><v>720193</v></cell><cell r="AE783" t="str"><v>Facebook</v></cell><cell r="AF783"><v>3654128</v></cell><cell r="AG783" t="str"><v>Facebook»Developers/ITPros-Azure Direct-Sponsored Post-Link Ad-FreeAcctRetargetingFB-GlobalAlt-ChB»1x1»SocialBan»SOC»ALL»CPC»BT»D»UNK»SS»NA»Trials</v></cell><cell r="AH783"><v>224560845</v></cell><cell r="AI783" t="str"><v>AZR_FreeAcctRetargetingFB-GlobalAlt-ChB_FRA_1200x628_SOC_AZRDirect_French_NA_Facebook_SBAN_SINU_T2_1</v></cell><cell r="AJ783"><v>103259520</v></cell></row><row r="784"><cell r="C784" t="str"><v>43288Facebook»Developers/ITPros-Azure Direct-Sponsored Post-Link Ad-FreeAcctRetargetingOSSFB-Text-ChF»1x1»SocialBan»SOC»ALL»CPC»BT»D»UNK»SS»NA»Trials</v></cell><cell r="D784" t="str"><v>43288224560839</v></cell><cell r="E784" t="str"><v>43288103257810Trials</v></cell><cell r="F784" t="str"><v>DCM</v></cell><cell r="G784" t="str"><v>https://azure.microsoft.com/fr-fr/free/open-source/search/</v></cell></row><row r="784"><cell r="K784" t="str"><v>July</v></cell><cell r="L784"><v>43288</v></cell><cell r="M784" t="str"><v>Tier 1</v></cell><cell r="N784" t="str"><v>EMEA</v></cell><cell r="O784" t="str"><v>France</v></cell><cell r="P784" t="str"><v>Trial</v></cell><cell r="Q784" t="str"><v>Social</v></cell><cell r="R784" t="str"><v>Azure</v></cell><cell r="S784" t="str"><v>Apps & Infra</v></cell><cell r="T784" t="str"><v>Developers & ITI's</v></cell><cell r="U784" t="str"><v>Developers/ITPros-Azure Direct-Sponsored Post-Link Ad-FreeAcctRetargetingOSSFB-Text-ChF</v></cell><cell r="V784" t="str"><v>Behavioral Targeting</v></cell><cell r="W784" t="str"><v>Social</v></cell><cell r="X784" t="str"><v>1x1</v></cell></row><row r="784"><cell r="AA784"><v>43288</v></cell><cell r="AB784" t="str"><v>FRA_gaPMG_AZR_AZR_Q1_19_AzureDirect-Trial-Social</v></cell><cell r="AC784"><v>21356941</v></cell><cell r="AD784"><v>720193</v></cell><cell r="AE784" t="str"><v>Facebook</v></cell><cell r="AF784"><v>3654128</v></cell><cell r="AG784" t="str"><v>Facebook»Developers/ITPros-Azure Direct-Sponsored Post-Link Ad-FreeAcctRetargetingOSSFB-Text-ChF»1x1»SocialBan»SOC»ALL»CPC»BT»D»UNK»SS»NA»Trials</v></cell><cell r="AH784"><v>224560839</v></cell><cell r="AI784" t="str"><v>AZR_FreeAcctRetargetingOSSFB-Text-ChF_FRA_1200x628_SOC_AZRDirect_French_NA_Facebook_SBAN_SINU_T1_1</v></cell><cell r="AJ784"><v>103257810</v></cell></row><row r="785"><cell r="C785" t="str"><v>43288Facebook»Developers/ITPros-Azure Direct-Sponsored Post-Video Ad-FBCTCBasicMotion_FRA_10s_RTG Landing Page»1x1»05s»SOC»ALL»CPC»BT»D»UNK»SS»NA»Trials</v></cell><cell r="D785" t="str"><v>43288224416915</v></cell><cell r="E785" t="str"><v>43288103376981Trials</v></cell><cell r="F785" t="str"><v>DCM</v></cell></row><row r="785"><cell r="K785" t="str"><v>July</v></cell><cell r="L785"><v>43288</v></cell><cell r="M785" t="str"><v>Tier 1</v></cell><cell r="N785" t="str"><v>EMEA</v></cell><cell r="O785" t="str"><v>France</v></cell><cell r="P785" t="str"><v>Trial</v></cell><cell r="Q785" t="str"><v>Social</v></cell><cell r="R785" t="str"><v>Azure</v></cell><cell r="S785" t="str"><v>Apps & Infra</v></cell><cell r="T785" t="str"><v>Developers & ITI's</v></cell><cell r="U785" t="str"><v>Developers/ITPros-Azure Direct-Sponsored Post-Video Ad-FBCTCBasicMotion_FRA_10s_RTG Landing Page</v></cell><cell r="V785" t="str"><v>Behavioral Targeting</v></cell><cell r="W785" t="str"><v>Social</v></cell><cell r="X785" t="str"><v>1x1</v></cell></row><row r="785"><cell r="AA785"><v>43288</v></cell><cell r="AB785" t="str"><v>FRA_gaPMG_AZR_AZR_Q1_19_AzureDirect-Trial-Social</v></cell><cell r="AC785"><v>21356941</v></cell><cell r="AD785"><v>720193</v></cell><cell r="AE785" t="str"><v>Facebook</v></cell><cell r="AF785"><v>3654128</v></cell><cell r="AG785" t="str"><v>Facebook»Developers/ITPros-Azure Direct-Sponsored Post-Video Ad-FBCTCBasicMotion_FRA_10s_RTG Landing Page»1x1»05s»SOC»ALL»CPC»BT»D»UNK»SS»NA»Trials</v></cell><cell r="AH785"><v>224416915</v></cell><cell r="AI785" t="str"><v>AZR_FBCTCBasicMotion_FRA_10s_VIA_AZRDirect_French_NA_Facebook_STAN_TIN_T1_1</v></cell><cell r="AJ785"><v>103376981</v></cell></row><row r="786"><cell r="C786" t="str"><v>43288Facebook»Developers/ITPros-Azure Direct-Sponsored Post-Video Ad-FBCTCBenefit2inMotion_FRA_14s_RTG Landing Page»1x1»06s»SOC»ALL»CPC»BT»D»UNK»SS»NA»Trials</v></cell><cell r="D786" t="str"><v>43288224560875</v></cell><cell r="E786" t="str"><v>43288103259766Trials</v></cell><cell r="F786" t="str"><v>DCM</v></cell><cell r="G786" t="str"><v>https://signup.azure.com/signup?offer=ms-azr-0044p&appId=102&ref=paidmedia-social-fb&redirectURL=https:%2F%2Fazure.microsoft.com%2Ffr-fr%2Fget-started%2Fwelcome-to-azure%2F&l=fr-fr&correlationId=ead86c34-1f10-49dd-a72b-6918462a2cbf</v></cell></row><row r="786"><cell r="K786" t="str"><v>July</v></cell><cell r="L786"><v>43288</v></cell><cell r="M786" t="str"><v>Tier 1</v></cell><cell r="N786" t="str"><v>EMEA</v></cell><cell r="O786" t="str"><v>France</v></cell><cell r="P786" t="str"><v>Trial</v></cell><cell r="Q786" t="str"><v>Social</v></cell><cell r="R786" t="str"><v>Azure</v></cell><cell r="S786" t="str"><v>Apps & Infra</v></cell><cell r="T786" t="str"><v>Developers & ITI's</v></cell><cell r="U786" t="str"><v>Developers/ITPros-Azure Direct-Sponsored Post-Video Ad-FBCTCBenefit2inMotion_FRA_14s_RTG Landing Page</v></cell><cell r="V786" t="str"><v>Behavioral Targeting</v></cell><cell r="W786" t="str"><v>Social</v></cell><cell r="X786" t="str"><v>1x1</v></cell></row><row r="786"><cell r="AA786"><v>43288</v></cell><cell r="AB786" t="str"><v>FRA_gaPMG_AZR_AZR_Q1_19_AzureDirect-Trial-Social</v></cell><cell r="AC786"><v>21356941</v></cell><cell r="AD786"><v>720193</v></cell><cell r="AE786" t="str"><v>Facebook</v></cell><cell r="AF786"><v>3654128</v></cell><cell r="AG786" t="str"><v>Facebook»Developers/ITPros-Azure Direct-Sponsored Post-Video Ad-FBCTCBenefit2inMotion_FRA_14s_RTG Landing Page»1x1»06s»SOC»ALL»CPC»BT»D»UNK»SS»NA»Trials</v></cell><cell r="AH786"><v>224560875</v></cell><cell r="AI786" t="str"><v>AZR_FBCTCBenefit2inMotion_FRA_14s_VIA_AZRDirect_French_NA_Facebook_STAN_TIN_T4_1</v></cell><cell r="AJ786"><v>103259766</v></cell></row><row r="787"><cell r="C787" t="str"><v>43288Facebook»Developers/ITPros-Azure Direct-Sponsored Post-Video Ad-FBCTCBrandinMotion_FRA_12s_RTG Landing Page»1x1»05s»SOC»ALL»CPC»BT»D»UNK»SS»NA»Trials</v></cell><cell r="D787" t="str"><v>43288224560863</v></cell><cell r="E787" t="str"><v>43288103256577Trials</v></cell><cell r="F787" t="str"><v>DCM</v></cell></row><row r="787"><cell r="K787" t="str"><v>July</v></cell><cell r="L787"><v>43288</v></cell><cell r="M787" t="str"><v>Tier 1</v></cell><cell r="N787" t="str"><v>EMEA</v></cell><cell r="O787" t="str"><v>France</v></cell><cell r="P787" t="str"><v>Trial</v></cell><cell r="Q787" t="str"><v>Social</v></cell><cell r="R787" t="str"><v>Azure</v></cell><cell r="S787" t="str"><v>Apps & Infra</v></cell><cell r="T787" t="str"><v>Developers & ITI's</v></cell><cell r="U787" t="str"><v>Developers/ITPros-Azure Direct-Sponsored Post-Video Ad-FBCTCBrandinMotion_FRA_12s_RTG Landing Page</v></cell><cell r="V787" t="str"><v>Behavioral Targeting</v></cell><cell r="W787" t="str"><v>Social</v></cell><cell r="X787" t="str"><v>1x1</v></cell></row><row r="787"><cell r="AA787"><v>43288</v></cell><cell r="AB787" t="str"><v>FRA_gaPMG_AZR_AZR_Q1_19_AzureDirect-Trial-Social</v></cell><cell r="AC787"><v>21356941</v></cell><cell r="AD787"><v>720193</v></cell><cell r="AE787" t="str"><v>Facebook</v></cell><cell r="AF787"><v>3654128</v></cell><cell r="AG787" t="str"><v>Facebook»Developers/ITPros-Azure Direct-Sponsored Post-Video Ad-FBCTCBrandinMotion_FRA_12s_RTG Landing Page»1x1»05s»SOC»ALL»CPC»BT»D»UNK»SS»NA»Trials</v></cell><cell r="AH787"><v>224560863</v></cell><cell r="AI787" t="str"><v>AZR_FBCTCBrandinMotion_FRA_12s_VIA_AZRDirect_French_NA_Facebook_STAN_TIN_T2_1</v></cell><cell r="AJ787"><v>103256577</v></cell></row><row r="788"><cell r="C788" t="str"><v>43288Facebook»Developers/ITPros-Azure Direct-Sponsored Post-Link Ad-FreeAcctAppsFACEBOOK12monthsChE»1x1»SocialBan»SOC»ALL»CPC»BT»D»UNK»SS»NA»Trials</v></cell><cell r="D788" t="str"><v>43288224560866</v></cell><cell r="E788" t="str"><v>43288103259784Trials</v></cell><cell r="F788" t="str"><v>DCM</v></cell><cell r="G788" t="str"><v>https://azure.microsoft.com/fr-fr/free/search/</v></cell></row><row r="788"><cell r="K788" t="str"><v>July</v></cell><cell r="L788"><v>43288</v></cell><cell r="M788" t="str"><v>Tier 1</v></cell><cell r="N788" t="str"><v>EMEA</v></cell><cell r="O788" t="str"><v>France</v></cell><cell r="P788" t="str"><v>Trial</v></cell><cell r="Q788" t="str"><v>Social</v></cell><cell r="R788" t="str"><v>Azure</v></cell><cell r="S788" t="str"><v>Apps & Infra</v></cell><cell r="T788" t="str"><v>Developers & ITI's</v></cell><cell r="U788" t="str"><v>Developers/ITPros-Azure Direct-Sponsored Post-Link Ad-FreeAcctAppsFACEBOOK12monthsChE</v></cell><cell r="V788" t="str"><v>Behavioral Targeting</v></cell><cell r="W788" t="str"><v>Social</v></cell><cell r="X788" t="str"><v>1x1</v></cell></row><row r="788"><cell r="AA788"><v>43288</v></cell><cell r="AB788" t="str"><v>FRA_gaPMG_AZR_AZR_Q1_19_AzureDirect-Trial-Social</v></cell><cell r="AC788"><v>21356941</v></cell><cell r="AD788"><v>720193</v></cell><cell r="AE788" t="str"><v>Facebook</v></cell><cell r="AF788"><v>3654128</v></cell><cell r="AG788" t="str"><v>Facebook»Developers/ITPros-Azure Direct-Sponsored Post-Link Ad-FreeAcctAppsFACEBOOK12monthsChE»1x1»SocialBan»SOC»ALL»CPC»BT»D»UNK»SS»NA»Trials</v></cell><cell r="AH788"><v>224560866</v></cell><cell r="AI788" t="str"><v>AZR_FreeAcctAppsFACEBOOK12monthsChE_FRA_1200x628_SOC_PLAT_FR_Trial_Standard_NA_SINU_T5_1</v></cell><cell r="AJ788"><v>103259784</v></cell></row><row r="789"><cell r="C789" t="str"><v>43288Facebook»Developers/ITPros-Azure Direct-Sponsored Post-Link Ad-FreeAcctAppsFACEBOOK200CreditChD»1x1»SocialBan»SOC»ALL»CPC»BT»D»UNK»SS»NA»Trials</v></cell><cell r="D789" t="str"><v>43288224560860</v></cell><cell r="E789" t="str"><v>43288103377773Trials</v></cell><cell r="F789" t="str"><v>DCM</v></cell><cell r="G789" t="str"><v>https://azure.microsoft.com/fr-fr/free/search/</v></cell></row><row r="789"><cell r="K789" t="str"><v>July</v></cell><cell r="L789"><v>43288</v></cell><cell r="M789" t="str"><v>Tier 1</v></cell><cell r="N789" t="str"><v>EMEA</v></cell><cell r="O789" t="str"><v>France</v></cell><cell r="P789" t="str"><v>Trial</v></cell><cell r="Q789" t="str"><v>Social</v></cell><cell r="R789" t="str"><v>Azure</v></cell><cell r="S789" t="str"><v>Apps & Infra</v></cell><cell r="T789" t="str"><v>Developers & ITI's</v></cell><cell r="U789" t="str"><v>Developers/ITPros-Azure Direct-Sponsored Post-Link Ad-FreeAcctAppsFACEBOOK200CreditChD</v></cell><cell r="V789" t="str"><v>Behavioral Targeting</v></cell><cell r="W789" t="str"><v>Social</v></cell><cell r="X789" t="str"><v>1x1</v></cell></row><row r="789"><cell r="AA789"><v>43288</v></cell><cell r="AB789" t="str"><v>FRA_gaPMG_AZR_AZR_Q1_19_AzureDirect-Trial-Social</v></cell><cell r="AC789"><v>21356941</v></cell><cell r="AD789"><v>720193</v></cell><cell r="AE789" t="str"><v>Facebook</v></cell><cell r="AF789"><v>3654128</v></cell><cell r="AG789" t="str"><v>Facebook»Developers/ITPros-Azure Direct-Sponsored Post-Link Ad-FreeAcctAppsFACEBOOK200CreditChD»1x1»SocialBan»SOC»ALL»CPC»BT»D»UNK»SS»NA»Trials</v></cell><cell r="AH789"><v>224560860</v></cell><cell r="AI789" t="str"><v>AZR_FreeAcctAppsFACEBOOK200CreditChD_FRA_1200x628_SOC_PLAT_FR_Trial_Standard_NA_SINU_T4_1</v></cell><cell r="AJ789"><v>103377773</v></cell></row><row r="790"><cell r="C790" t="str"><v>43288Facebook»Developers/ITPros-Azure Direct-Sponsored Post-Link Ad-FreeAcctAppsFACEBOOKDeviceChB»1x1»SocialBan»SOC»ALL»CPC»AUT»D»UNK»SS»NA»Trials</v></cell><cell r="D790" t="str"><v>43288224560857</v></cell><cell r="E790" t="str"><v>43288103377002Trials</v></cell><cell r="F790" t="str"><v>DCM</v></cell><cell r="G790" t="str"><v>https://azure.microsoft.com/fr-fr/free/search/</v></cell></row><row r="790"><cell r="K790" t="str"><v>July</v></cell><cell r="L790"><v>43288</v></cell><cell r="M790" t="str"><v>Tier 1</v></cell><cell r="N790" t="str"><v>EMEA</v></cell><cell r="O790" t="str"><v>France</v></cell><cell r="P790" t="str"><v>Trial</v></cell><cell r="Q790" t="str"><v>Social</v></cell><cell r="R790" t="str"><v>Azure</v></cell><cell r="S790" t="str"><v>Apps & Infra</v></cell><cell r="T790" t="str"><v>Developers & ITI's</v></cell><cell r="U790" t="str"><v>Developers/ITPros-Azure Direct-Sponsored Post-Link Ad-FreeAcctAppsFACEBOOKDeviceChB</v></cell><cell r="V790" t="str"><v>Audience Targeting</v></cell><cell r="W790" t="str"><v>Social</v></cell><cell r="X790" t="str"><v>1x1</v></cell></row><row r="790"><cell r="AA790"><v>43288</v></cell><cell r="AB790" t="str"><v>FRA_gaPMG_AZR_AZR_Q1_19_AzureDirect-Trial-Social</v></cell><cell r="AC790"><v>21356941</v></cell><cell r="AD790"><v>720193</v></cell><cell r="AE790" t="str"><v>Facebook</v></cell><cell r="AF790"><v>3654128</v></cell><cell r="AG790" t="str"><v>Facebook»Developers/ITPros-Azure Direct-Sponsored Post-Link Ad-FreeAcctAppsFACEBOOKDeviceChB»1x1»SocialBan»SOC»ALL»CPC»AUT»D»UNK»SS»NA»Trials</v></cell><cell r="AH790"><v>224560857</v></cell><cell r="AI790" t="str"><v>AZR_FreeAcctAppsFACEBOOKDeviceChB_FRA_1200x628_SOC_PLAT_FR_Trial_Standard_NA_SINU_T2_1</v></cell><cell r="AJ790"><v>103377002</v></cell></row><row r="791"><cell r="C791" t="str"><v>43288Facebook»Developers/ITPros-Azure Direct-Sponsored Post-Link Ad-FreeAcctAppsFACEBOOKIllustrationChC»1x1»SocialBan»SOC»ALL»CPC»AUT»D»UNK»SS»NA»Trials</v></cell><cell r="D791" t="str"><v>43288224560854</v></cell><cell r="E791" t="str"><v>43288103259550Trials</v></cell><cell r="F791" t="str"><v>DCM</v></cell><cell r="G791" t="str"><v>https://azure.microsoft.com/fr-fr/free/search/</v></cell></row><row r="791"><cell r="K791" t="str"><v>July</v></cell><cell r="L791"><v>43288</v></cell><cell r="M791" t="str"><v>Tier 1</v></cell><cell r="N791" t="str"><v>EMEA</v></cell><cell r="O791" t="str"><v>France</v></cell><cell r="P791" t="str"><v>Trial</v></cell><cell r="Q791" t="str"><v>Social</v></cell><cell r="R791" t="str"><v>Azure</v></cell><cell r="S791" t="str"><v>Apps & Infra</v></cell><cell r="T791" t="str"><v>Developers & ITI's</v></cell><cell r="U791" t="str"><v>Developers/ITPros-Azure Direct-Sponsored Post-Link Ad-FreeAcctAppsFACEBOOKIllustrationChC</v></cell><cell r="V791" t="str"><v>Audience Targeting</v></cell><cell r="W791" t="str"><v>Social</v></cell><cell r="X791" t="str"><v>1x1</v></cell></row><row r="791"><cell r="AA791"><v>43288</v></cell><cell r="AB791" t="str"><v>FRA_gaPMG_AZR_AZR_Q1_19_AzureDirect-Trial-Social</v></cell><cell r="AC791"><v>21356941</v></cell><cell r="AD791"><v>720193</v></cell><cell r="AE791" t="str"><v>Facebook</v></cell><cell r="AF791"><v>3654128</v></cell><cell r="AG791" t="str"><v>Facebook»Developers/ITPros-Azure Direct-Sponsored Post-Link Ad-FreeAcctAppsFACEBOOKIllustrationChC»1x1»SocialBan»SOC»ALL»CPC»AUT»D»UNK»SS»NA»Trials</v></cell><cell r="AH791"><v>224560854</v></cell><cell r="AI791" t="str"><v>AZR_FreeAcctAppsFACEBOOKIllustrationChC_FRA_1200x628_SOC_PLAT_FR_Trial_Standard_NA_SINU_T3_1</v></cell><cell r="AJ791"><v>103259550</v></cell></row><row r="792"><cell r="C792" t="str"><v>43288Facebook»Developers/ITPros-Azure Direct-Sponsored Post-Link Ad-FreeAcctAppsFACEBOOKLifestyleChA»1x1»SocialBan»SOC»ALL»CPC»AUT»D»UNK»SS»NA»Trials</v></cell><cell r="D792" t="str"><v>43288224560851</v></cell><cell r="E792" t="str"><v>43288103259562Trials</v></cell><cell r="F792" t="str"><v>DCM</v></cell><cell r="G792" t="str"><v>https://azure.microsoft.com/fr-fr/free/search/</v></cell></row><row r="792"><cell r="K792" t="str"><v>July</v></cell><cell r="L792"><v>43288</v></cell><cell r="M792" t="str"><v>Tier 1</v></cell><cell r="N792" t="str"><v>EMEA</v></cell><cell r="O792" t="str"><v>France</v></cell><cell r="P792" t="str"><v>Trial</v></cell><cell r="Q792" t="str"><v>Social</v></cell><cell r="R792" t="str"><v>Azure</v></cell><cell r="S792" t="str"><v>Apps & Infra</v></cell><cell r="T792" t="str"><v>Developers & ITI's</v></cell><cell r="U792" t="str"><v>Developers/ITPros-Azure Direct-Sponsored Post-Link Ad-FreeAcctAppsFACEBOOKLifestyleChA</v></cell><cell r="V792" t="str"><v>Audience Targeting</v></cell><cell r="W792" t="str"><v>Social</v></cell><cell r="X792" t="str"><v>1x1</v></cell></row><row r="792"><cell r="AA792"><v>43288</v></cell><cell r="AB792" t="str"><v>FRA_gaPMG_AZR_AZR_Q1_19_AzureDirect-Trial-Social</v></cell><cell r="AC792"><v>21356941</v></cell><cell r="AD792"><v>720193</v></cell><cell r="AE792" t="str"><v>Facebook</v></cell><cell r="AF792"><v>3654128</v></cell><cell r="AG792" t="str"><v>Facebook»Developers/ITPros-Azure Direct-Sponsored Post-Link Ad-FreeAcctAppsFACEBOOKLifestyleChA»1x1»SocialBan»SOC»ALL»CPC»AUT»D»UNK»SS»NA»Trials</v></cell><cell r="AH792"><v>224560851</v></cell><cell r="AI792" t="str"><v>AZR_FreeAcctAppsFACEBOOKLifestyleChA_FRA_1200x628_SOC_PLAT_FR_Trial_Standard_NA_SINU_T1_1</v></cell><cell r="AJ792"><v>103259562</v></cell></row><row r="793"><cell r="C793" t="str"><v>43288Facebook»Developers/ITPros-Azure Direct-Sponsored Post-Link Ad-FreeAcctRetargetingFB-Animated-ChC»1x1»SocialBan»SOC»ALL»CPC»BT»D»UNK»SS»NA»Trials</v></cell><cell r="D793" t="str"><v>43288224560848</v></cell><cell r="E793" t="str"><v>43288103259775Trials</v></cell><cell r="F793" t="str"><v>DCM</v></cell><cell r="G793" t="str"><v>https://azure.microsoft.com/fr-fr/free/search/</v></cell></row><row r="793"><cell r="K793" t="str"><v>July</v></cell><cell r="L793"><v>43288</v></cell><cell r="M793" t="str"><v>Tier 1</v></cell><cell r="N793" t="str"><v>EMEA</v></cell><cell r="O793" t="str"><v>France</v></cell><cell r="P793" t="str"><v>Trial</v></cell><cell r="Q793" t="str"><v>Social</v></cell><cell r="R793" t="str"><v>Azure</v></cell><cell r="S793" t="str"><v>Apps & Infra</v></cell><cell r="T793" t="str"><v>Developers & ITI's</v></cell><cell r="U793" t="str"><v>Developers/ITPros-Azure Direct-Sponsored Post-Link Ad-FreeAcctRetargetingFB-Animated-ChC</v></cell><cell r="V793" t="str"><v>Behavioral Targeting</v></cell><cell r="W793" t="str"><v>Social</v></cell><cell r="X793" t="str"><v>1x1</v></cell></row><row r="793"><cell r="AA793"><v>43288</v></cell><cell r="AB793" t="str"><v>FRA_gaPMG_AZR_AZR_Q1_19_AzureDirect-Trial-Social</v></cell><cell r="AC793"><v>21356941</v></cell><cell r="AD793"><v>720193</v></cell><cell r="AE793" t="str"><v>Facebook</v></cell><cell r="AF793"><v>3654128</v></cell><cell r="AG793" t="str"><v>Facebook»Developers/ITPros-Azure Direct-Sponsored Post-Link Ad-FreeAcctRetargetingFB-Animated-ChC»1x1»SocialBan»SOC»ALL»CPC»BT»D»UNK»SS»NA»Trials</v></cell><cell r="AH793"><v>224560848</v></cell><cell r="AI793" t="str"><v>AZR_reeAcctRetargetingFB-Animated-ChC_FRA_1200x628_SOC_AZRDirect_French_NA_Facebook_SBAN_SINU_T3_1</v></cell><cell r="AJ793"><v>103259775</v></cell></row><row r="794"><cell r="C794" t="str"><v>43288Facebook»Developers/ITPros-Azure Direct-Sponsored Post-Link Ad-FreeAcctRetargetingOSSFB-Logos-ChG»1x1»SocialBan»SOC»ALL»CPC»BT»D»UNK»SS»NA»Trials</v></cell><cell r="D794" t="str"><v>43288224560842</v></cell><cell r="E794" t="str"><v>43288103259769Trials</v></cell><cell r="F794" t="str"><v>DCM</v></cell><cell r="G794" t="str"><v>https://azure.microsoft.com/fr-fr/free/open-source/search/</v></cell></row><row r="794"><cell r="K794" t="str"><v>July</v></cell><cell r="L794"><v>43288</v></cell><cell r="M794" t="str"><v>Tier 1</v></cell><cell r="N794" t="str"><v>EMEA</v></cell><cell r="O794" t="str"><v>France</v></cell><cell r="P794" t="str"><v>Trial</v></cell><cell r="Q794" t="str"><v>Social</v></cell><cell r="R794" t="str"><v>Azure</v></cell><cell r="S794" t="str"><v>Apps & Infra</v></cell><cell r="T794" t="str"><v>Developers & ITI's</v></cell><cell r="U794" t="str"><v>Developers/ITPros-Azure Direct-Sponsored Post-Link Ad-FreeAcctRetargetingOSSFB-Logos-ChG</v></cell><cell r="V794" t="str"><v>Behavioral Targeting</v></cell><cell r="W794" t="str"><v>Social</v></cell><cell r="X794" t="str"><v>1x1</v></cell></row><row r="794"><cell r="AA794"><v>43288</v></cell><cell r="AB794" t="str"><v>FRA_gaPMG_AZR_AZR_Q1_19_AzureDirect-Trial-Social</v></cell><cell r="AC794"><v>21356941</v></cell><cell r="AD794"><v>720193</v></cell><cell r="AE794" t="str"><v>Facebook</v></cell><cell r="AF794"><v>3654128</v></cell><cell r="AG794" t="str"><v>Facebook»Developers/ITPros-Azure Direct-Sponsored Post-Link Ad-FreeAcctRetargetingOSSFB-Logos-ChG»1x1»SocialBan»SOC»ALL»CPC»BT»D»UNK»SS»NA»Trials</v></cell><cell r="AH794"><v>224560842</v></cell><cell r="AI794" t="str"><v>AZR_FreeAcctRetargetingOSSFB-Logos-ChG_FRA_1200x628_SOC_AZRDirect_French_NA_Facebook_SBAN_SINU_T2_1</v></cell><cell r="AJ794"><v>103259769</v></cell></row><row r="795"><cell r="C795" t="str"><v>43288Facebook»Developers/ITPros-Azure Direct-Sponsored Post-Link Ad-FreeAcctRetargetingVMFB-OnDemand-ChE»1x1»SocialBan»SOC»ALL»CPC»BT»D»UNK»SS»NA»Trials</v></cell><cell r="D795" t="str"><v>43288224560833</v></cell><cell r="E795" t="str"><v>43288103376990Trials</v></cell><cell r="F795" t="str"><v>DCM</v></cell><cell r="G795" t="str"><v>https://azure.microsoft.com/fr-fr/free/virtual-machines/search/</v></cell></row><row r="795"><cell r="K795" t="str"><v>July</v></cell><cell r="L795"><v>43288</v></cell><cell r="M795" t="str"><v>Tier 1</v></cell><cell r="N795" t="str"><v>EMEA</v></cell><cell r="O795" t="str"><v>France</v></cell><cell r="P795" t="str"><v>Trial</v></cell><cell r="Q795" t="str"><v>Social</v></cell><cell r="R795" t="str"><v>Azure</v></cell><cell r="S795" t="str"><v>Apps & Infra</v></cell><cell r="T795" t="str"><v>Developers & ITI's</v></cell><cell r="U795" t="str"><v>Developers/ITPros-Azure Direct-Sponsored Post-Link Ad-FreeAcctRetargetingVMFB-OnDemand-ChE</v></cell><cell r="V795" t="str"><v>Behavioral Targeting</v></cell><cell r="W795" t="str"><v>Social</v></cell><cell r="X795" t="str"><v>1x1</v></cell></row><row r="795"><cell r="AA795"><v>43288</v></cell><cell r="AB795" t="str"><v>FRA_gaPMG_AZR_AZR_Q1_19_AzureDirect-Trial-Social</v></cell><cell r="AC795"><v>21356941</v></cell><cell r="AD795"><v>720193</v></cell><cell r="AE795" t="str"><v>Facebook</v></cell><cell r="AF795"><v>3654128</v></cell><cell r="AG795" t="str"><v>Facebook»Developers/ITPros-Azure Direct-Sponsored Post-Link Ad-FreeAcctRetargetingVMFB-OnDemand-ChE»1x1»SocialBan»SOC»ALL»CPC»BT»D»UNK»SS»NA»Trials</v></cell><cell r="AH795"><v>224560833</v></cell><cell r="AI795" t="str"><v>AZR_FreeAcctRetargetingVMFB-OnDemand-ChE_FRA_1200x628_SOC_AZRDirect_French_NA_Facebook_SBAN_SINU_T2_1</v></cell><cell r="AJ795"><v>103376990</v></cell></row><row r="796"><cell r="C796" t="str"><v>43288Facebook»Audience & Interest Targeting»1x1»SocialBan»LIA»DT»CPC»AUT»W»NA»SS»NA»Basic Motion</v></cell><cell r="D796" t="str"><v>43288224399962</v></cell><cell r="E796" t="str"><v>43288103230847Motion</v></cell><cell r="F796" t="str"><v>DCM</v></cell><cell r="G796" t="str"><v>https://azure.microsoft.com/en-gb/pricing/purchase-options/</v></cell></row><row r="796"><cell r="K796" t="str"><v>July</v></cell><cell r="L796"><v>43288</v></cell><cell r="M796" t="str"><v>Tier 1</v></cell><cell r="N796" t="str"><v>EMEA</v></cell><cell r="O796" t="str"><v>United Kingdom</v></cell><cell r="P796" t="str"><v>Trial</v></cell><cell r="Q796" t="str"><v>Social</v></cell><cell r="R796" t="str"><v>Azure</v></cell><cell r="S796" t="str"><v>Apps & Infra</v></cell><cell r="T796" t="str"><v>Developers & ITI's</v></cell><cell r="U796" t="str"><v>Audience & Interest Targeting</v></cell><cell r="V796" t="str"><v>Audience Targeting</v></cell><cell r="W796" t="str"><v>Link Ad</v></cell><cell r="X796" t="str"><v>1x1</v></cell></row><row r="796"><cell r="AA796"><v>43288</v></cell><cell r="AB796" t="str"><v>GBR_gaPMG_CE_AZR_Q1_19_Trial-Social</v></cell><cell r="AC796"><v>21337013</v></cell><cell r="AD796"><v>720196</v></cell><cell r="AE796" t="str"><v>Facebook</v></cell><cell r="AF796"><v>3654128</v></cell><cell r="AG796" t="str"><v>Facebook»Audience & Interest Targeting»1x1»SocialBan»LIA»DT»CPC»AUT»W»NA»SS»NA»Basic Motion</v></cell><cell r="AH796"><v>224399962</v></cell><cell r="AI796" t="str"><v>AzurePlatform_FBCTCcanvaspage-BuyNowCTA-Img3_GBR_1080x162_SOC_Plat_English_NA_Standard_NA_BN_T3_1</v></cell><cell r="AJ796"><v>103230847</v></cell></row><row r="797"><cell r="C797" t="str"><v>43288Facebook»Audience & Interest Targeting»1x1»SocialBan»LIA»DT»CPC»AUT»W»NA»SS»NA»Basic Motion</v></cell><cell r="D797" t="str"><v>43288224399962</v></cell><cell r="E797" t="str"><v>43288103235146Motion</v></cell><cell r="F797" t="str"><v>DCM</v></cell><cell r="G797" t="str"><v>https://signup.azure.com/signup?offer=ms-azr-0044p&appId=102&ref=paidmedia-social-fb&redirectURL=https%3a%2f%2fazure.microsoft.com%2fen-gb%2fget-started%2fwelcome-to-azure%2f&l=en-gb&correlationId=ead86c34-1f10-49dd-a72b-6918462a2cbf</v></cell></row><row r="797"><cell r="K797" t="str"><v>July</v></cell><cell r="L797"><v>43288</v></cell><cell r="M797" t="str"><v>Tier 1</v></cell><cell r="N797" t="str"><v>EMEA</v></cell><cell r="O797" t="str"><v>United Kingdom</v></cell><cell r="P797" t="str"><v>Trial</v></cell><cell r="Q797" t="str"><v>Social</v></cell><cell r="R797" t="str"><v>Azure</v></cell><cell r="S797" t="str"><v>Apps & Infra</v></cell><cell r="T797" t="str"><v>Developers & ITI's</v></cell><cell r="U797" t="str"><v>Audience & Interest Targeting</v></cell><cell r="V797" t="str"><v>Audience Targeting</v></cell><cell r="W797" t="str"><v>Link Ad</v></cell><cell r="X797" t="str"><v>1x1</v></cell></row><row r="797"><cell r="AA797"><v>43288</v></cell><cell r="AB797" t="str"><v>GBR_gaPMG_CE_AZR_Q1_19_Trial-Social</v></cell><cell r="AC797"><v>21337013</v></cell><cell r="AD797"><v>720196</v></cell><cell r="AE797" t="str"><v>Facebook</v></cell><cell r="AF797"><v>3654128</v></cell><cell r="AG797" t="str"><v>Facebook»Audience & Interest Targeting»1x1»SocialBan»LIA»DT»CPC»AUT»W»NA»SS»NA»Basic Motion</v></cell><cell r="AH797"><v>224399962</v></cell><cell r="AI797" t="str"><v>AzurePlatform_FBCTCcanvaspage-StartFreeCTA-Img2_GBR_1080x143 _SOC_Plat_English_NA_Standard_NA_NA_T2_1</v></cell><cell r="AJ797"><v>103235146</v></cell></row><row r="798"><cell r="C798" t="str"><v>43288Facebook»Audience & Interest Targeting»1x1»SocialBan»LIA»DT»CPC»AUT»W»NA»SS»NA»Benefit 2 in Motion</v></cell><cell r="D798" t="str"><v>43288224334170</v></cell><cell r="E798" t="str"><v>43288103235146Motion</v></cell><cell r="F798" t="str"><v>DCM</v></cell><cell r="G798" t="str"><v>https://signup.azure.com/signup?offer=ms-azr-0044p&appId=102&ref=paidmedia-social-fb&redirectURL=https%3a%2f%2fazure.microsoft.com%2fen-gb%2fget-started%2fwelcome-to-azure%2f&l=en-gb&correlationId=ead86c34-1f10-49dd-a72b-6918462a2cbf</v></cell></row><row r="798"><cell r="K798" t="str"><v>July</v></cell><cell r="L798"><v>43288</v></cell><cell r="M798" t="str"><v>Tier 1</v></cell><cell r="N798" t="str"><v>EMEA</v></cell><cell r="O798" t="str"><v>United Kingdom</v></cell><cell r="P798" t="str"><v>Trial</v></cell><cell r="Q798" t="str"><v>Social</v></cell><cell r="R798" t="str"><v>Azure</v></cell><cell r="S798" t="str"><v>Apps & Infra</v></cell><cell r="T798" t="str"><v>Developers & ITI's</v></cell><cell r="U798" t="str"><v>Audience & Interest Targeting</v></cell><cell r="V798" t="str"><v>Audience Targeting</v></cell><cell r="W798" t="str"><v>Link Ad</v></cell><cell r="X798" t="str"><v>1x1</v></cell></row><row r="798"><cell r="AA798"><v>43288</v></cell><cell r="AB798" t="str"><v>GBR_gaPMG_CE_AZR_Q1_19_Trial-Social</v></cell><cell r="AC798"><v>21337013</v></cell><cell r="AD798"><v>720196</v></cell><cell r="AE798" t="str"><v>Facebook</v></cell><cell r="AF798"><v>3654128</v></cell><cell r="AG798" t="str"><v>Facebook»Audience & Interest Targeting»1x1»SocialBan»LIA»DT»CPC»AUT»W»NA»SS»NA»Benefit 2 in Motion</v></cell><cell r="AH798"><v>224334170</v></cell><cell r="AI798" t="str"><v>AzurePlatform_FBCTCcanvaspage-StartFreeCTA-Img2_GBR_1080x143 _SOC_Plat_English_NA_Standard_NA_NA_T2_1</v></cell><cell r="AJ798"><v>103235146</v></cell></row><row r="799"><cell r="C799" t="str"><v>43288Facebook»Audience & Interest Targeting»1x1»SocialBan»LIA»DT»CPC»AUT»W»NA»SS»NA»Brand in Motion</v></cell><cell r="D799" t="str"><v>43288224549481</v></cell><cell r="E799" t="str"><v>43288103235146Motion</v></cell><cell r="F799" t="str"><v>DCM</v></cell><cell r="G799" t="str"><v>https://signup.azure.com/signup?offer=ms-azr-0044p&appId=102&ref=paidmedia-social-fb&redirectURL=https%3a%2f%2fazure.microsoft.com%2fen-gb%2fget-started%2fwelcome-to-azure%2f&l=en-gb&correlationId=ead86c34-1f10-49dd-a72b-6918462a2cbf</v></cell></row><row r="799"><cell r="K799" t="str"><v>July</v></cell><cell r="L799"><v>43288</v></cell><cell r="M799" t="str"><v>Tier 1</v></cell><cell r="N799" t="str"><v>EMEA</v></cell><cell r="O799" t="str"><v>United Kingdom</v></cell><cell r="P799" t="str"><v>Trial</v></cell><cell r="Q799" t="str"><v>Social</v></cell><cell r="R799" t="str"><v>Azure</v></cell><cell r="S799" t="str"><v>Apps & Infra</v></cell><cell r="T799" t="str"><v>Developers & ITI's</v></cell><cell r="U799" t="str"><v>Audience & Interest Targeting</v></cell><cell r="V799" t="str"><v>Audience Targeting</v></cell><cell r="W799" t="str"><v>Link Ad</v></cell><cell r="X799" t="str"><v>1x1</v></cell></row><row r="799"><cell r="AA799"><v>43288</v></cell><cell r="AB799" t="str"><v>GBR_gaPMG_CE_AZR_Q1_19_Trial-Social</v></cell><cell r="AC799"><v>21337013</v></cell><cell r="AD799"><v>720196</v></cell><cell r="AE799" t="str"><v>Facebook</v></cell><cell r="AF799"><v>3654128</v></cell><cell r="AG799" t="str"><v>Facebook»Audience & Interest Targeting»1x1»SocialBan»LIA»DT»CPC»AUT»W»NA»SS»NA»Brand in Motion</v></cell><cell r="AH799"><v>224549481</v></cell><cell r="AI799" t="str"><v>AzurePlatform_FBCTCcanvaspage-StartFreeCTA-Img2_GBR_1080x143 _SOC_Plat_English_NA_Standard_NA_NA_T2_1</v></cell><cell r="AJ799"><v>103235146</v></cell></row><row r="800"><cell r="C800" t="str"><v>43288Facebook»Audience & Interest Targeting»1x1»SocialBan»LIA»DT»DYN»AUT»W»NA»SS»NA»Free Account Refresh- 12 months ChE</v></cell><cell r="D800" t="str"><v>43288223567691</v></cell><cell r="E800" t="str"><v>43288102854007hs ChE</v></cell><cell r="F800" t="str"><v>DCM</v></cell><cell r="G800" t="str"><v>https://azure.microsoft.com/en-gb/free/search/</v></cell></row><row r="800"><cell r="K800" t="str"><v>July</v></cell><cell r="L800"><v>43288</v></cell><cell r="M800" t="str"><v>Tier 1</v></cell><cell r="N800" t="str"><v>EMEA</v></cell><cell r="O800" t="str"><v>United Kingdom</v></cell><cell r="P800" t="str"><v>Trial</v></cell><cell r="Q800" t="str"><v>Social</v></cell><cell r="R800" t="str"><v>Azure</v></cell><cell r="S800" t="str"><v>Apps & Infra</v></cell><cell r="T800" t="str"><v>Developers & ITI's</v></cell><cell r="U800" t="str"><v>Audience & Interest Targeting</v></cell><cell r="V800" t="str"><v>Audience Targeting</v></cell><cell r="W800" t="str"><v>Link Ad</v></cell><cell r="X800" t="str"><v>1x1</v></cell></row><row r="800"><cell r="AA800"><v>43288</v></cell><cell r="AB800" t="str"><v>GBR_gaPMG_CE_AZR_Q1_19_Trial-Social</v></cell><cell r="AC800"><v>21337013</v></cell><cell r="AD800"><v>720196</v></cell><cell r="AE800" t="str"><v>Facebook</v></cell><cell r="AF800"><v>3654128</v></cell><cell r="AG800" t="str"><v>Facebook»Audience & Interest Targeting»1x1»SocialBan»LIA»DT»DYN»AUT»W»NA»SS»NA»Free Account Refresh- 12 months ChE</v></cell><cell r="AH800"><v>223567691</v></cell><cell r="AI800" t="str"><v>AzurePlatform_FreeAcctAppsFACEBOOK12monthsChE_GBR_1200x628_SOC_PLAT_EN_Trial_Standard_NA_SU_T5_1</v></cell><cell r="AJ800"><v>102854007</v></cell></row><row r="801"><cell r="C801" t="str"><v>43288Facebook»Audience & Interest Targeting»1x1»SocialBan»LIA»DT»DYN»AUT»W»NA»SS»NA»Free Account Refresh- Device ChB</v></cell><cell r="D801" t="str"><v>43288223560353</v></cell><cell r="E801" t="str"><v>43288102854010ce ChB</v></cell><cell r="F801" t="str"><v>DCM</v></cell><cell r="G801" t="str"><v>https://azure.microsoft.com/en-gb/free/search/</v></cell></row><row r="801"><cell r="K801" t="str"><v>July</v></cell><cell r="L801"><v>43288</v></cell><cell r="M801" t="str"><v>Tier 1</v></cell><cell r="N801" t="str"><v>EMEA</v></cell><cell r="O801" t="str"><v>United Kingdom</v></cell><cell r="P801" t="str"><v>Trial</v></cell><cell r="Q801" t="str"><v>Social</v></cell><cell r="R801" t="str"><v>Azure</v></cell><cell r="S801" t="str"><v>Apps & Infra</v></cell><cell r="T801" t="str"><v>Developers & ITI's</v></cell><cell r="U801" t="str"><v>Audience & Interest Targeting</v></cell><cell r="V801" t="str"><v>Audience Targeting</v></cell><cell r="W801" t="str"><v>Link Ad</v></cell><cell r="X801" t="str"><v>1x1</v></cell></row><row r="801"><cell r="AA801"><v>43288</v></cell><cell r="AB801" t="str"><v>GBR_gaPMG_CE_AZR_Q1_19_Trial-Social</v></cell><cell r="AC801"><v>21337013</v></cell><cell r="AD801"><v>720196</v></cell><cell r="AE801" t="str"><v>Facebook</v></cell><cell r="AF801"><v>3654128</v></cell><cell r="AG801" t="str"><v>Facebook»Audience & Interest Targeting»1x1»SocialBan»LIA»DT»DYN»AUT»W»NA»SS»NA»Free Account Refresh- Device ChB</v></cell><cell r="AH801"><v>223560353</v></cell><cell r="AI801" t="str"><v>AzurePlatform_FreeAcctAppsFACEBOOKDeviceChB_GBR_1200x628_SOC_PLAT_EN_Trial_Standard_NA_SU_T2_1</v></cell><cell r="AJ801"><v>102854010</v></cell></row><row r="802"><cell r="C802" t="str"><v>43288Facebook»Audience & Interest Targeting»1x1»SocialBan»LIA»DT»DYN»AUT»W»NA»SS»NA»Free Account Refresh- Illustration ChC</v></cell><cell r="D802" t="str"><v>43288223560347</v></cell><cell r="E802" t="str"><v>43288102857037on ChC</v></cell><cell r="F802" t="str"><v>DCM</v></cell><cell r="G802" t="str"><v>https://azure.microsoft.com/en-gb/free/search/</v></cell></row><row r="802"><cell r="K802" t="str"><v>July</v></cell><cell r="L802"><v>43288</v></cell><cell r="M802" t="str"><v>Tier 1</v></cell><cell r="N802" t="str"><v>EMEA</v></cell><cell r="O802" t="str"><v>United Kingdom</v></cell><cell r="P802" t="str"><v>Trial</v></cell><cell r="Q802" t="str"><v>Social</v></cell><cell r="R802" t="str"><v>Azure</v></cell><cell r="S802" t="str"><v>Apps & Infra</v></cell><cell r="T802" t="str"><v>Developers & ITI's</v></cell><cell r="U802" t="str"><v>Audience & Interest Targeting</v></cell><cell r="V802" t="str"><v>Audience Targeting</v></cell><cell r="W802" t="str"><v>Link Ad</v></cell><cell r="X802" t="str"><v>1x1</v></cell></row><row r="802"><cell r="AA802"><v>43288</v></cell><cell r="AB802" t="str"><v>GBR_gaPMG_CE_AZR_Q1_19_Trial-Social</v></cell><cell r="AC802"><v>21337013</v></cell><cell r="AD802"><v>720196</v></cell><cell r="AE802" t="str"><v>Facebook</v></cell><cell r="AF802"><v>3654128</v></cell><cell r="AG802" t="str"><v>Facebook»Audience & Interest Targeting»1x1»SocialBan»LIA»DT»DYN»AUT»W»NA»SS»NA»Free Account Refresh- Illustration ChC</v></cell><cell r="AH802"><v>223560347</v></cell><cell r="AI802" t="str"><v>AzurePlatform_FreeAcctAppsFACEBOOKIllustrationChC_GBR_1200x628_SOC_PLAT_EN_Trial_Standard_NA_SU_T3_1</v></cell><cell r="AJ802"><v>102857037</v></cell></row><row r="803"><cell r="C803" t="str"><v>43288Facebook»Retargeting»1x1»SocialBan»LIA»DT»DYN»RT»W»NA»SS»NA»Free Account Retargeting OSS- Logos ChG</v></cell><cell r="D803" t="str"><v>43288223560350</v></cell><cell r="E803" t="str"><v>43288103006547os ChG</v></cell><cell r="F803" t="str"><v>DCM</v></cell><cell r="G803" t="str"><v>https://azure.microsoft.com/en-gb/free/open-source/search/</v></cell></row><row r="803"><cell r="K803" t="str"><v>July</v></cell><cell r="L803"><v>43288</v></cell><cell r="M803" t="str"><v>Tier 1</v></cell><cell r="N803" t="str"><v>EMEA</v></cell><cell r="O803" t="str"><v>United Kingdom</v></cell><cell r="P803" t="str"><v>Trial</v></cell><cell r="Q803" t="str"><v>Social</v></cell><cell r="R803" t="str"><v>Azure</v></cell><cell r="S803" t="str"><v>Apps & Infra</v></cell><cell r="T803" t="str"><v>Developers & ITI's</v></cell><cell r="U803" t="str"><v>Retargeting</v></cell><cell r="V803" t="str"><v>Retargeting</v></cell><cell r="W803" t="str"><v>Link Ad</v></cell><cell r="X803" t="str"><v>1x1</v></cell></row><row r="803"><cell r="AA803"><v>43288</v></cell><cell r="AB803" t="str"><v>GBR_gaPMG_CE_AZR_Q1_19_Trial-Social</v></cell><cell r="AC803"><v>21337013</v></cell><cell r="AD803"><v>720196</v></cell><cell r="AE803" t="str"><v>Facebook</v></cell><cell r="AF803"><v>3654128</v></cell><cell r="AG803" t="str"><v>Facebook»Retargeting»1x1»SocialBan»LIA»DT»DYN»RT»W»NA»SS»NA»Free Account Retargeting OSS- Logos ChG</v></cell><cell r="AH803"><v>223560350</v></cell><cell r="AI803" t="str"><v>AzurePlatform_FreeAcctRetargetingOSSFB-Logos-ChG_GBR_1200x628_SOC_Plat_EN_Free Account_Standard_NA_SU_T2_1</v></cell><cell r="AJ803"><v>103006547</v></cell></row><row r="804"><cell r="C804" t="str"><v>43288Facebook»Retargeting»1x1»SocialBan»LIA»DT»DYN»RT»W»NA»SS»NA»Free Account Retargeting VM- 750 Hrs ChD</v></cell><cell r="D804" t="str"><v>43288223560338</v></cell><cell r="E804" t="str"><v>43288102853603rs ChD</v></cell><cell r="F804" t="str"><v>DCM</v></cell><cell r="G804" t="str"><v>https://azure.microsoft.com/en-gb/free/virtual-machines/search/</v></cell></row><row r="804"><cell r="K804" t="str"><v>July</v></cell><cell r="L804"><v>43288</v></cell><cell r="M804" t="str"><v>Tier 1</v></cell><cell r="N804" t="str"><v>EMEA</v></cell><cell r="O804" t="str"><v>United Kingdom</v></cell><cell r="P804" t="str"><v>Trial</v></cell><cell r="Q804" t="str"><v>Social</v></cell><cell r="R804" t="str"><v>Azure</v></cell><cell r="S804" t="str"><v>Apps & Infra</v></cell><cell r="T804" t="str"><v>Developers & ITI's</v></cell><cell r="U804" t="str"><v>Retargeting</v></cell><cell r="V804" t="str"><v>Retargeting</v></cell><cell r="W804" t="str"><v>Link Ad</v></cell><cell r="X804" t="str"><v>1x1</v></cell></row><row r="804"><cell r="AA804"><v>43288</v></cell><cell r="AB804" t="str"><v>GBR_gaPMG_CE_AZR_Q1_19_Trial-Social</v></cell><cell r="AC804"><v>21337013</v></cell><cell r="AD804"><v>720196</v></cell><cell r="AE804" t="str"><v>Facebook</v></cell><cell r="AF804"><v>3654128</v></cell><cell r="AG804" t="str"><v>Facebook»Retargeting»1x1»SocialBan»LIA»DT»DYN»RT»W»NA»SS»NA»Free Account Retargeting VM- 750 Hrs ChD</v></cell><cell r="AH804"><v>223560338</v></cell><cell r="AI804" t="str"><v>AzurePlatform_FreeAcctRetargetingVMFB-750Hrs-ChD_GBR_1200x628_SOC_Plat_EN_Free Account_Standard_NA_SU_T1_1</v></cell><cell r="AJ804"><v>102853603</v></cell></row><row r="805"><cell r="C805" t="str"><v>43288Facebook»AZP-Canvas-Interest&Role-Trial»1x1»Canvas»OTH»MO»CPM»PRO»X»UNK»TP»OT»Canvas-Trial</v></cell><cell r="D805" t="str"><v>43288223298805</v></cell><cell r="E805" t="str"><v>43288102609621-Trial</v></cell><cell r="F805" t="str"><v>DCM</v></cell><cell r="G805" t="str"><v>https://signup.azure.com/signup?offer=ms-azr-0044p&appId=102&ref=paidmedia-social-fb&redirectURL=https%3a%2f%2fazure.microsoft.com%2fja-jp%2fget-started%2fwelcome-to-azure%2f&l=ja-jp&correlationId=ead86c34-1f10-49dd-a72b-6918462a2cbf</v></cell></row><row r="805"><cell r="K805" t="str"><v>July</v></cell><cell r="L805"><v>43288</v></cell><cell r="M805" t="str"><v>Tier 1</v></cell><cell r="N805" t="str"><v>APAC</v></cell><cell r="O805" t="str"><v>Japan</v></cell><cell r="P805" t="str"><v>Trial</v></cell><cell r="Q805" t="str"><v>Social</v></cell><cell r="R805" t="str"><v>Azure</v></cell><cell r="S805" t="str"><v>Apps & Infra</v></cell><cell r="T805" t="str"><v>Developers & ITI's</v></cell><cell r="U805" t="str"><v>AZP-Canvas-Interest&Role-Trial</v></cell><cell r="V805" t="str"><v>Prospecting</v></cell><cell r="W805" t="str"><v>Other</v></cell><cell r="X805" t="str"><v>1x1</v></cell></row><row r="805"><cell r="AA805"><v>43288</v></cell><cell r="AB805" t="str"><v>JPN_gaPMG_AZR_AZR_Q1_19_Trial-Social</v></cell><cell r="AC805"><v>21276694</v></cell><cell r="AD805"><v>720195</v></cell><cell r="AE805" t="str"><v>Facebook</v></cell><cell r="AF805"><v>3654128</v></cell><cell r="AG805" t="str"><v>Facebook»AZP-Canvas-Interest&Role-Trial»1x1»Canvas»OTH»MO»CPM»PRO»X»UNK»TP»OT»Canvas-Trial</v></cell><cell r="AH805"><v>223298805</v></cell><cell r="AI805" t="str"><v>AzurePlatform_FBCTCcanvaspage-StartFreeCTA-Img2_JPN_1080x143 _SOC_Plat_Japanese_NA_Standard_NA_NA_T2_1</v></cell><cell r="AJ805"><v>102609621</v></cell></row><row r="806"><cell r="C806" t="str"><v>43288Facebook»AZP-Canvas-Look a Like-Trial»1x1»Canvas»OTH»MO»CPM»PRO»X»UNK»TP»OT»Canvas-Trial</v></cell><cell r="D806" t="str"><v>43288223297413</v></cell><cell r="E806" t="str"><v>43288102630373-Trial</v></cell><cell r="F806" t="str"><v>DCM</v></cell><cell r="G806" t="str"><v>https://azure.microsoft.com/ja-jp/pricing/purchase-options/</v></cell></row><row r="806"><cell r="K806" t="str"><v>July</v></cell><cell r="L806"><v>43288</v></cell><cell r="M806" t="str"><v>Tier 1</v></cell><cell r="N806" t="str"><v>APAC</v></cell><cell r="O806" t="str"><v>Japan</v></cell><cell r="P806" t="str"><v>Trial</v></cell><cell r="Q806" t="str"><v>Social</v></cell><cell r="R806" t="str"><v>Azure</v></cell><cell r="S806" t="str"><v>Apps & Infra</v></cell><cell r="T806" t="str"><v>Developers & ITI's</v></cell><cell r="U806" t="str"><v>AZP-Canvas-Look a Like-Trial</v></cell><cell r="V806" t="str"><v>Prospecting</v></cell><cell r="W806" t="str"><v>Other</v></cell><cell r="X806" t="str"><v>1x1</v></cell></row><row r="806"><cell r="AA806"><v>43288</v></cell><cell r="AB806" t="str"><v>JPN_gaPMG_AZR_AZR_Q1_19_Trial-Social</v></cell><cell r="AC806"><v>21276694</v></cell><cell r="AD806"><v>720195</v></cell><cell r="AE806" t="str"><v>Facebook</v></cell><cell r="AF806"><v>3654128</v></cell><cell r="AG806" t="str"><v>Facebook»AZP-Canvas-Look a Like-Trial»1x1»Canvas»OTH»MO»CPM»PRO»X»UNK»TP»OT»Canvas-Trial</v></cell><cell r="AH806"><v>223297413</v></cell><cell r="AI806" t="str"><v>AzurePlatform_FBCTCcanvaspage-BuyNowCTA-Img3_JPN_1080x162_SOC_Plat_Japanese_NA_Standard_NA_BN_T3_1</v></cell><cell r="AJ806"><v>102630373</v></cell></row><row r="807"><cell r="C807" t="str"><v>43288Facebook»AZP-Canvas-Look a Like-Trial»1x1»Canvas»OTH»MO»CPM»PRO»X»UNK»TP»OT»Canvas-Trial</v></cell><cell r="D807" t="str"><v>43288223297413</v></cell><cell r="E807" t="str"><v>43288102609621-Trial</v></cell><cell r="F807" t="str"><v>DCM</v></cell><cell r="G807" t="str"><v>https://signup.azure.com/signup?offer=ms-azr-0044p&appId=102&ref=paidmedia-social-fb&redirectURL=https%3a%2f%2fazure.microsoft.com%2fja-jp%2fget-started%2fwelcome-to-azure%2f&l=ja-jp&correlationId=ead86c34-1f10-49dd-a72b-6918462a2cbf</v></cell></row><row r="807"><cell r="K807" t="str"><v>July</v></cell><cell r="L807"><v>43288</v></cell><cell r="M807" t="str"><v>Tier 1</v></cell><cell r="N807" t="str"><v>APAC</v></cell><cell r="O807" t="str"><v>Japan</v></cell><cell r="P807" t="str"><v>Trial</v></cell><cell r="Q807" t="str"><v>Social</v></cell><cell r="R807" t="str"><v>Azure</v></cell><cell r="S807" t="str"><v>Apps & Infra</v></cell><cell r="T807" t="str"><v>Developers & ITI's</v></cell><cell r="U807" t="str"><v>AZP-Canvas-Look a Like-Trial</v></cell><cell r="V807" t="str"><v>Prospecting</v></cell><cell r="W807" t="str"><v>Other</v></cell><cell r="X807" t="str"><v>1x1</v></cell></row><row r="807"><cell r="AA807"><v>43288</v></cell><cell r="AB807" t="str"><v>JPN_gaPMG_AZR_AZR_Q1_19_Trial-Social</v></cell><cell r="AC807"><v>21276694</v></cell><cell r="AD807"><v>720195</v></cell><cell r="AE807" t="str"><v>Facebook</v></cell><cell r="AF807"><v>3654128</v></cell><cell r="AG807" t="str"><v>Facebook»AZP-Canvas-Look a Like-Trial»1x1»Canvas»OTH»MO»CPM»PRO»X»UNK»TP»OT»Canvas-Trial</v></cell><cell r="AH807"><v>223297413</v></cell><cell r="AI807" t="str"><v>AzurePlatform_FBCTCcanvaspage-StartFreeCTA-Img2_JPN_1080x143 _SOC_Plat_Japanese_NA_Standard_NA_NA_T2_1</v></cell><cell r="AJ807"><v>102609621</v></cell></row><row r="808"><cell r="C808" t="str"><v>43288Facebook»AZP-Retargeting»1x1»Ban»LIA»ALL»CPM»RT»X»All»TP»OT»Free Account Retargeting Generic-ChB</v></cell><cell r="D808" t="str"><v>43288223726377</v></cell><cell r="E808" t="str"><v>43288102977720ic-ChB</v></cell><cell r="F808" t="str"><v>DCM</v></cell><cell r="G808" t="str"><v>https://azure.microsoft.com/ja-jp/free/search/</v></cell></row><row r="808"><cell r="K808" t="str"><v>July</v></cell><cell r="L808"><v>43288</v></cell><cell r="M808" t="str"><v>Tier 1</v></cell><cell r="N808" t="str"><v>APAC</v></cell><cell r="O808" t="str"><v>Japan</v></cell><cell r="P808" t="str"><v>Trial</v></cell><cell r="Q808" t="str"><v>Social</v></cell><cell r="R808" t="str"><v>Azure</v></cell><cell r="S808" t="str"><v>Apps & Infra</v></cell><cell r="T808" t="str"><v>Developers & ITI's</v></cell><cell r="U808" t="str"><v>AZP-Retargeting</v></cell><cell r="V808" t="str"><v>Retargeting</v></cell><cell r="W808" t="str"><v>Link Ad</v></cell><cell r="X808" t="str"><v>1x1</v></cell></row><row r="808"><cell r="AA808"><v>43288</v></cell><cell r="AB808" t="str"><v>JPN_gaPMG_AZR_AZR_Q1_19_Trial-Social</v></cell><cell r="AC808"><v>21276694</v></cell><cell r="AD808"><v>720195</v></cell><cell r="AE808" t="str"><v>Facebook</v></cell><cell r="AF808"><v>3654128</v></cell><cell r="AG808" t="str"><v>Facebook»AZP-Retargeting»1x1»Ban»LIA»ALL»CPM»RT»X»All»TP»OT»Free Account Retargeting Generic-ChB</v></cell><cell r="AH808"><v>223726377</v></cell><cell r="AI808" t="str"><v>AzurePlatform_FreeAcctRetargetingFB-GlobalAlt-ChB_JPN_1200x628_SOC_Plat_JA_Free Account_Standard_NA_SU_T2_1</v></cell><cell r="AJ808"><v>102977720</v></cell></row><row r="809"><cell r="C809" t="str"><v>43288Facebook»AZP-Retargeting»1x1»Ban»LIA»ALL»CPM»RT»X»All»TP»OT»Free Account Retargeting VM-ChD</v></cell><cell r="D809" t="str"><v>43288223726374</v></cell><cell r="E809" t="str"><v>43288102971306VM-ChD</v></cell><cell r="F809" t="str"><v>DCM</v></cell><cell r="G809" t="str"><v>https://azure.microsoft.com/ja-jp/free/virtual-machines/search/</v></cell></row><row r="809"><cell r="K809" t="str"><v>July</v></cell><cell r="L809"><v>43288</v></cell><cell r="M809" t="str"><v>Tier 1</v></cell><cell r="N809" t="str"><v>APAC</v></cell><cell r="O809" t="str"><v>Japan</v></cell><cell r="P809" t="str"><v>Trial</v></cell><cell r="Q809" t="str"><v>Social</v></cell><cell r="R809" t="str"><v>Azure</v></cell><cell r="S809" t="str"><v>Apps & Infra</v></cell><cell r="T809" t="str"><v>Developers & ITI's</v></cell><cell r="U809" t="str"><v>AZP-Retargeting</v></cell><cell r="V809" t="str"><v>Retargeting</v></cell><cell r="W809" t="str"><v>Link Ad</v></cell><cell r="X809" t="str"><v>1x1</v></cell></row><row r="809"><cell r="AA809"><v>43288</v></cell><cell r="AB809" t="str"><v>JPN_gaPMG_AZR_AZR_Q1_19_Trial-Social</v></cell><cell r="AC809"><v>21276694</v></cell><cell r="AD809"><v>720195</v></cell><cell r="AE809" t="str"><v>Facebook</v></cell><cell r="AF809"><v>3654128</v></cell><cell r="AG809" t="str"><v>Facebook»AZP-Retargeting»1x1»Ban»LIA»ALL»CPM»RT»X»All»TP»OT»Free Account Retargeting VM-ChD</v></cell><cell r="AH809"><v>223726374</v></cell><cell r="AI809" t="str"><v>AzurePlatform_FreeAcctRetargetingVMFB-750Hrs-ChD_JPN_1200x628_SOC_Plat_JA_Free Account_Standard_NA_SU_T1_1</v></cell><cell r="AJ809"><v>102971306</v></cell></row><row r="810"><cell r="C810" t="str"><v>43288Facebook»AZP-Retargeting»1x1»Canvas»OTH»MO»CPM»RT»W»UNK»TP»OT»Trial-Benefit2inMotion</v></cell><cell r="D810" t="str"><v>43288223298496</v></cell><cell r="E810" t="str"><v>43288102630376Motion</v></cell><cell r="F810" t="str"><v>DCM</v></cell><cell r="G810" t="str"><v>https://azure.microsoft.com/ja-jp/free/search/</v></cell></row><row r="810"><cell r="K810" t="str"><v>July</v></cell><cell r="L810"><v>43288</v></cell><cell r="M810" t="str"><v>Tier 1</v></cell><cell r="N810" t="str"><v>APAC</v></cell><cell r="O810" t="str"><v>Japan</v></cell><cell r="P810" t="str"><v>Trial</v></cell><cell r="Q810" t="str"><v>Social</v></cell><cell r="R810" t="str"><v>Azure</v></cell><cell r="S810" t="str"><v>Apps & Infra</v></cell><cell r="T810" t="str"><v>Developers & ITI's</v></cell><cell r="U810" t="str"><v>AZP-Retargeting</v></cell><cell r="V810" t="str"><v>Retargeting</v></cell><cell r="W810" t="str"><v>Other</v></cell><cell r="X810" t="str"><v>1x1</v></cell></row><row r="810"><cell r="AA810"><v>43288</v></cell><cell r="AB810" t="str"><v>JPN_gaPMG_AZR_AZR_Q1_19_Trial-Social</v></cell><cell r="AC810"><v>21276694</v></cell><cell r="AD810"><v>720195</v></cell><cell r="AE810" t="str"><v>Facebook</v></cell><cell r="AF810"><v>3654128</v></cell><cell r="AG810" t="str"><v>Facebook»AZP-Retargeting»1x1»Canvas»OTH»MO»CPM»RT»W»UNK»TP»OT»Trial-Benefit2inMotion</v></cell><cell r="AH810"><v>223298496</v></cell><cell r="AI810" t="str"><v>AzurePlatform_FBCTCBenefit2inMotion_JPN_14sec_ISV_PLAT_JA_Trial_Standard_STAN_TN_T4_1</v></cell><cell r="AJ810"><v>102630376</v></cell></row><row r="811"><cell r="C811" t="str"><v>43288Facebook»AZP-Retargeting»1x1»Canvas»OTH»MO»CPM»RT»W»UNK»TP»OT»Trial-BrandinMotion</v></cell><cell r="D811" t="str"><v>43288223298823</v></cell><cell r="E811" t="str"><v>43288102612720Motion</v></cell><cell r="F811" t="str"><v>DCM</v></cell><cell r="G811" t="str"><v>https://azure.microsoft.com/ja-jp/free/search/</v></cell></row><row r="811"><cell r="K811" t="str"><v>July</v></cell><cell r="L811"><v>43288</v></cell><cell r="M811" t="str"><v>Tier 1</v></cell><cell r="N811" t="str"><v>APAC</v></cell><cell r="O811" t="str"><v>Japan</v></cell><cell r="P811" t="str"><v>Trial</v></cell><cell r="Q811" t="str"><v>Social</v></cell><cell r="R811" t="str"><v>Azure</v></cell><cell r="S811" t="str"><v>Apps & Infra</v></cell><cell r="T811" t="str"><v>Developers & ITI's</v></cell><cell r="U811" t="str"><v>AZP-Retargeting</v></cell><cell r="V811" t="str"><v>Retargeting</v></cell><cell r="W811" t="str"><v>Other</v></cell><cell r="X811" t="str"><v>1x1</v></cell></row><row r="811"><cell r="AA811"><v>43288</v></cell><cell r="AB811" t="str"><v>JPN_gaPMG_AZR_AZR_Q1_19_Trial-Social</v></cell><cell r="AC811"><v>21276694</v></cell><cell r="AD811"><v>720195</v></cell><cell r="AE811" t="str"><v>Facebook</v></cell><cell r="AF811"><v>3654128</v></cell><cell r="AG811" t="str"><v>Facebook»AZP-Retargeting»1x1»Canvas»OTH»MO»CPM»RT»W»UNK»TP»OT»Trial-BrandinMotion</v></cell><cell r="AH811"><v>223298823</v></cell><cell r="AI811" t="str"><v>AzurePlatform_FBCTCBrandinMotion_JPN_12sec_ISV_PLAT_JA_Trial_Standard_STAN_TN_T2_1</v></cell><cell r="AJ811"><v>102612720</v></cell></row><row r="812"><cell r="C812" t="str"><v>43288FACEBOOK»USA-Trial-ITD-Interest Prospecting-AZR-AZR»1 x 1»SocialBan»CAN»ALL»CPA»PRO»X»NA»SS»NA»FBCTCBasicMotion»PRC1SV</v></cell><cell r="D812" t="str"><v>43288223934062</v></cell><cell r="E812" t="str"><v>43288103043823PRC1SV</v></cell><cell r="F812" t="str"><v>DCM</v></cell><cell r="G812" t="str"><v>https://signup.azure.com/?OCID=AID%eexcid!_OLA_%ebuy!_%epid!_%ecid!</v></cell></row><row r="812"><cell r="K812" t="str"><v>July</v></cell><cell r="L812"><v>43288</v></cell><cell r="M812" t="str"><v>Tier 0</v></cell><cell r="N812" t="str"><v>North America</v></cell><cell r="O812" t="str"><v>United States</v></cell><cell r="P812" t="str"><v>Trial</v></cell><cell r="Q812" t="str"><v>Social</v></cell><cell r="R812" t="str"><v>Azure</v></cell><cell r="S812" t="str"><v>Apps & Infra</v></cell><cell r="T812" t="str"><v>Developers & ITI's</v></cell><cell r="U812" t="str"><v>USA-Trial-ITD-Interest Prospecting-AZR-AZR</v></cell><cell r="V812" t="str"><v>Prospecting</v></cell><cell r="W812" t="str"><v>Canvas Ad</v></cell><cell r="X812" t="str"><v>1x1</v></cell></row><row r="812"><cell r="AA812"><v>43288</v></cell><cell r="AB812" t="str"><v>USA_gaPMG_AZR_AZR_Q1_19_Direct-Social</v></cell><cell r="AC812"><v>21358715</v></cell><cell r="AD812"><v>720197</v></cell><cell r="AE812" t="str"><v>Facebook</v></cell><cell r="AF812"><v>3654128</v></cell><cell r="AG812" t="str"><v>FACEBOOK»USA-Trial-ITD-Interest Prospecting-AZR-AZR»1 x 1»SocialBan»CAN»ALL»CPA»PRO»X»NA»SS»NA»FBCTCBasicMotion»PRC1SV</v></cell><cell r="AH812"><v>223934062</v></cell><cell r="AI812" t="str"><v>AzurePlatform_FBCTCBasicMotion_USA_10s_CAN_PLATFORM_English_Trial_Standard_STAN_TIN_T1_1</v></cell><cell r="AJ812"><v>103043823</v></cell></row><row r="813"><cell r="C813" t="str"><v>43288FACEBOOK»USA-Trial-ITD-Interest Prospecting-AZR-AZR»1 x 1»SocialBan»CAN»ALL»CPA»PRO»X»NA»SS»NA»FBCTCBenefit2inMotion»PRC1SW</v></cell><cell r="D813" t="str"><v>43288223933138</v></cell><cell r="E813" t="str"><v>43288103043835PRC1SW</v></cell><cell r="F813" t="str"><v>DCM</v></cell><cell r="G813" t="str"><v>https://signup.azure.com/?OCID=AID%eexcid!_OLA_%ebuy!_%epid!_%ecid!</v></cell></row><row r="813"><cell r="K813" t="str"><v>July</v></cell><cell r="L813"><v>43288</v></cell><cell r="M813" t="str"><v>Tier 0</v></cell><cell r="N813" t="str"><v>North America</v></cell><cell r="O813" t="str"><v>United States</v></cell><cell r="P813" t="str"><v>Trial</v></cell><cell r="Q813" t="str"><v>Social</v></cell><cell r="R813" t="str"><v>Azure</v></cell><cell r="S813" t="str"><v>Apps & Infra</v></cell><cell r="T813" t="str"><v>Developers & ITI's</v></cell><cell r="U813" t="str"><v>USA-Trial-ITD-Interest Prospecting-AZR-AZR</v></cell><cell r="V813" t="str"><v>Prospecting</v></cell><cell r="W813" t="str"><v>Canvas Ad</v></cell><cell r="X813" t="str"><v>1x1</v></cell></row><row r="813"><cell r="AA813"><v>43288</v></cell><cell r="AB813" t="str"><v>USA_gaPMG_AZR_AZR_Q1_19_Direct-Social</v></cell><cell r="AC813"><v>21358715</v></cell><cell r="AD813"><v>720197</v></cell><cell r="AE813" t="str"><v>Facebook</v></cell><cell r="AF813"><v>3654128</v></cell><cell r="AG813" t="str"><v>FACEBOOK»USA-Trial-ITD-Interest Prospecting-AZR-AZR»1 x 1»SocialBan»CAN»ALL»CPA»PRO»X»NA»SS»NA»FBCTCBenefit2inMotion»PRC1SW</v></cell><cell r="AH813"><v>223933138</v></cell><cell r="AI813" t="str"><v>AzurePlatform_FBCTCBenefit2inMotion_USA_10s_CAN_PLATFORM_English_Trial_Standard_STAN_TIN_T4_1</v></cell><cell r="AJ813"><v>103043835</v></cell></row><row r="814"><cell r="C814" t="str"><v>43288FACEBOOK»USA-Trial-ITD-Interest Prospecting-AZR-AZR»1 x 1»SocialBan»CAN»ALL»CPA»PRO»X»NA»SS»NA»FBCTCBenefit2inMotion»PRC1SW</v></cell><cell r="D814" t="str"><v>43288223933138</v></cell><cell r="E814" t="str"><v>43288103178645PRC1SW</v></cell><cell r="F814" t="str"><v>DCM</v></cell><cell r="G814" t="str"><v>https://azure.microsoft.com/en-us/pricing/purchase-options/?v=18.19&OCID=AID%eexcid!_OLA_%ebuy!_%epid!_%ecid!</v></cell></row><row r="814"><cell r="K814" t="str"><v>July</v></cell><cell r="L814"><v>43288</v></cell><cell r="M814" t="str"><v>Tier 0</v></cell><cell r="N814" t="str"><v>North America</v></cell><cell r="O814" t="str"><v>United States</v></cell><cell r="P814" t="str"><v>Trial</v></cell><cell r="Q814" t="str"><v>Social</v></cell><cell r="R814" t="str"><v>Azure</v></cell><cell r="S814" t="str"><v>Apps & Infra</v></cell><cell r="T814" t="str"><v>Developers & ITI's</v></cell><cell r="U814" t="str"><v>USA-Trial-ITD-Interest Prospecting-AZR-AZR</v></cell><cell r="V814" t="str"><v>Prospecting</v></cell><cell r="W814" t="str"><v>Canvas Ad</v></cell><cell r="X814" t="str"><v>1x1</v></cell></row><row r="814"><cell r="AA814"><v>43288</v></cell><cell r="AB814" t="str"><v>USA_gaPMG_AZR_AZR_Q1_19_Direct-Social</v></cell><cell r="AC814"><v>21358715</v></cell><cell r="AD814"><v>720197</v></cell><cell r="AE814" t="str"><v>Facebook</v></cell><cell r="AF814"><v>3654128</v></cell><cell r="AG814" t="str"><v>FACEBOOK»USA-Trial-ITD-Interest Prospecting-AZR-AZR»1 x 1»SocialBan»CAN»ALL»CPA»PRO»X»NA»SS»NA»FBCTCBenefit2inMotion»PRC1SW</v></cell><cell r="AH814"><v>223933138</v></cell><cell r="AI814" t="str"><v>AzurePlatform_FBCTCBenefit2inMotion_USA_10s_CAN_PLATFORM_English_Trial_Standard_STAN_TIN_T4_2</v></cell><cell r="AJ814"><v>103178645</v></cell></row><row r="815"><cell r="C815" t="str"><v>43288FACEBOOK»USA-Trial-ITD-Interest Prospecting-AZR-AZR»1 x 1»SocialBan»CAN»ALL»CPA»PRO»X»NA»SS»NA»FBCTCBrandinMotion»PRC1SY</v></cell><cell r="D815" t="str"><v>43288224104929</v></cell><cell r="E815" t="str"><v>43288103176812PRC1SY</v></cell><cell r="F815" t="str"><v>DCM</v></cell><cell r="G815" t="str"><v>https://signup.azure.com/?OCID=AID%eexcid!_OLA_%ebuy!_%epid!_%ecid!</v></cell></row><row r="815"><cell r="K815" t="str"><v>July</v></cell><cell r="L815"><v>43288</v></cell><cell r="M815" t="str"><v>Tier 0</v></cell><cell r="N815" t="str"><v>North America</v></cell><cell r="O815" t="str"><v>United States</v></cell><cell r="P815" t="str"><v>Trial</v></cell><cell r="Q815" t="str"><v>Social</v></cell><cell r="R815" t="str"><v>Azure</v></cell><cell r="S815" t="str"><v>Apps & Infra</v></cell><cell r="T815" t="str"><v>Developers & ITI's</v></cell><cell r="U815" t="str"><v>USA-Trial-ITD-Interest Prospecting-AZR-AZR</v></cell><cell r="V815" t="str"><v>Prospecting</v></cell><cell r="W815" t="str"><v>Canvas Ad</v></cell><cell r="X815" t="str"><v>1x1</v></cell></row><row r="815"><cell r="AA815"><v>43288</v></cell><cell r="AB815" t="str"><v>USA_gaPMG_AZR_AZR_Q1_19_Direct-Social</v></cell><cell r="AC815"><v>21358715</v></cell><cell r="AD815"><v>720197</v></cell><cell r="AE815" t="str"><v>Facebook</v></cell><cell r="AF815"><v>3654128</v></cell><cell r="AG815" t="str"><v>FACEBOOK»USA-Trial-ITD-Interest Prospecting-AZR-AZR»1 x 1»SocialBan»CAN»ALL»CPA»PRO»X»NA»SS»NA»FBCTCBrandinMotion»PRC1SY</v></cell><cell r="AH815"><v>224104929</v></cell><cell r="AI815" t="str"><v>AzurePlatform_FBCTCBrandinMotion_USA_10s_CAN_PLATFORM_English_Trial_Standard_STAN_TIN_T2_1</v></cell><cell r="AJ815"><v>103176812</v></cell></row><row r="816"><cell r="C816" t="str"><v>43288FACEBOOK»USA-Trial-ITD-Interest Prospecting-AZR-AZR»1 x 1»SocialBan»CAN»ALL»CPA»PRO»X»NA»SS»NA»FBCTCBrandinMotion»PRC1SY</v></cell><cell r="D816" t="str"><v>43288224104929</v></cell><cell r="E816" t="str"><v>43288103032823PRC1SY</v></cell><cell r="F816" t="str"><v>DCM</v></cell><cell r="G816" t="str"><v>https://azure.microsoft.com/en-us/pricing/purchase-options/?v=18.19&OCID=AID%eexcid!_OLA_%ebuy!_%epid!_%ecid!</v></cell></row><row r="816"><cell r="K816" t="str"><v>July</v></cell><cell r="L816"><v>43288</v></cell><cell r="M816" t="str"><v>Tier 0</v></cell><cell r="N816" t="str"><v>North America</v></cell><cell r="O816" t="str"><v>United States</v></cell><cell r="P816" t="str"><v>Trial</v></cell><cell r="Q816" t="str"><v>Social</v></cell><cell r="R816" t="str"><v>Azure</v></cell><cell r="S816" t="str"><v>Apps & Infra</v></cell><cell r="T816" t="str"><v>Developers & ITI's</v></cell><cell r="U816" t="str"><v>USA-Trial-ITD-Interest Prospecting-AZR-AZR</v></cell><cell r="V816" t="str"><v>Prospecting</v></cell><cell r="W816" t="str"><v>Canvas Ad</v></cell><cell r="X816" t="str"><v>1x1</v></cell></row><row r="816"><cell r="AA816"><v>43288</v></cell><cell r="AB816" t="str"><v>USA_gaPMG_AZR_AZR_Q1_19_Direct-Social</v></cell><cell r="AC816"><v>21358715</v></cell><cell r="AD816"><v>720197</v></cell><cell r="AE816" t="str"><v>Facebook</v></cell><cell r="AF816"><v>3654128</v></cell><cell r="AG816" t="str"><v>FACEBOOK»USA-Trial-ITD-Interest Prospecting-AZR-AZR»1 x 1»SocialBan»CAN»ALL»CPA»PRO»X»NA»SS»NA»FBCTCBrandinMotion»PRC1SY</v></cell><cell r="AH816"><v>224104929</v></cell><cell r="AI816" t="str"><v>AzurePlatform_FBCTCBrandinMotion_USA_10s_CAN_PLATFORM_English_Trial_Standard_STAN_TIN_T2_2</v></cell><cell r="AJ816"><v>103032823</v></cell></row><row r="817"><cell r="C817" t="str"><v>43288FACEBOOK»USA-Trial-ITD-Interest Prospecting-AZR-AZR»1 x 1»SocialBan»LIA»ALL»CPA»PRO»X»NA»SS»NA»FreeAcctDeveloperFB-AnimatedGeneric-Ch1»PRC1SZ</v></cell><cell r="D817" t="str"><v>43288224104932</v></cell><cell r="E817" t="str"><v>43288103176851PRC1SZ</v></cell><cell r="F817" t="str"><v>DCM</v></cell><cell r="G817" t="str"><v>https://azure.microsoft.com/en-us/free/search/?OCID=AID%eexcid!_OLA_%ebuy!_%epid!_%ecid!</v></cell></row><row r="817"><cell r="K817" t="str"><v>July</v></cell><cell r="L817"><v>43288</v></cell><cell r="M817" t="str"><v>Tier 0</v></cell><cell r="N817" t="str"><v>North America</v></cell><cell r="O817" t="str"><v>United States</v></cell><cell r="P817" t="str"><v>Trial</v></cell><cell r="Q817" t="str"><v>Social</v></cell><cell r="R817" t="str"><v>Azure</v></cell><cell r="S817" t="str"><v>Apps & Infra</v></cell><cell r="T817" t="str"><v>Developers & ITI's</v></cell><cell r="U817" t="str"><v>USA-Trial-ITD-Interest Prospecting-AZR-AZR</v></cell><cell r="V817" t="str"><v>Prospecting</v></cell><cell r="W817" t="str"><v>Link Ad</v></cell><cell r="X817" t="str"><v>1x1</v></cell></row><row r="817"><cell r="AA817"><v>43288</v></cell><cell r="AB817" t="str"><v>USA_gaPMG_AZR_AZR_Q1_19_Direct-Social</v></cell><cell r="AC817"><v>21358715</v></cell><cell r="AD817"><v>720197</v></cell><cell r="AE817" t="str"><v>Facebook</v></cell><cell r="AF817"><v>3654128</v></cell><cell r="AG817" t="str"><v>FACEBOOK»USA-Trial-ITD-Interest Prospecting-AZR-AZR»1 x 1»SocialBan»LIA»ALL»CPA»PRO»X»NA»SS»NA»FreeAcctDeveloperFB-AnimatedGeneric-Ch1»PRC1SZ</v></cell><cell r="AH817"><v>224104932</v></cell><cell r="AI817" t="str"><v>AZR_FreeAcctDeveloperFB-AnimatedGeneric-Ch1_USA_1200x1200_CAN_Direct_English_Trial_Standard_ANI_LEA_T1_2</v></cell><cell r="AJ817"><v>103176851</v></cell></row><row r="818"><cell r="C818" t="str"><v>43288FACEBOOK»USA-Trial-ITD-Interest Prospecting-AZR-AZR»1 x 1»SocialBan»LIA»ALL»CPA»PRO»X»NA»SS»NA»FreeAcctDeveloperFB-AnimatedGeneric-Ch1»PRC1T0</v></cell><cell r="D818" t="str"><v>43288223934065</v></cell><cell r="E818" t="str"><v>43288103176851PRC1T0</v></cell><cell r="F818" t="str"><v>DCM</v></cell><cell r="G818" t="str"><v>https://azure.microsoft.com/en-us/free/search/?OCID=AID%eexcid!_OLA_%ebuy!_%epid!_%ecid!</v></cell></row><row r="818"><cell r="K818" t="str"><v>July</v></cell><cell r="L818"><v>43288</v></cell><cell r="M818" t="str"><v>Tier 0</v></cell><cell r="N818" t="str"><v>North America</v></cell><cell r="O818" t="str"><v>United States</v></cell><cell r="P818" t="str"><v>Trial</v></cell><cell r="Q818" t="str"><v>Social</v></cell><cell r="R818" t="str"><v>Azure</v></cell><cell r="S818" t="str"><v>Apps & Infra</v></cell><cell r="T818" t="str"><v>Developers & ITI's</v></cell><cell r="U818" t="str"><v>USA-Trial-ITD-Interest Prospecting-AZR-AZR</v></cell><cell r="V818" t="str"><v>Prospecting</v></cell><cell r="W818" t="str"><v>Link Ad</v></cell><cell r="X818" t="str"><v>1x1</v></cell></row><row r="818"><cell r="AA818"><v>43288</v></cell><cell r="AB818" t="str"><v>USA_gaPMG_AZR_AZR_Q1_19_Direct-Social</v></cell><cell r="AC818"><v>21358715</v></cell><cell r="AD818"><v>720197</v></cell><cell r="AE818" t="str"><v>Facebook</v></cell><cell r="AF818"><v>3654128</v></cell><cell r="AG818" t="str"><v>FACEBOOK»USA-Trial-ITD-Interest Prospecting-AZR-AZR»1 x 1»SocialBan»LIA»ALL»CPA»PRO»X»NA»SS»NA»FreeAcctDeveloperFB-AnimatedGeneric-Ch1»PRC1T0</v></cell><cell r="AH818"><v>223934065</v></cell><cell r="AI818" t="str"><v>AZR_FreeAcctDeveloperFB-AnimatedGeneric-Ch1_USA_1200x1200_CAN_Direct_English_Trial_Standard_ANI_LEA_T1_2</v></cell><cell r="AJ818"><v>103176851</v></cell></row><row r="819"><cell r="C819" t="str"><v>43288FACEBOOK»USA-Trial-ITD-Interest Prospecting-AZR-AZR»1 x 1»SocialBan»LIA»ALL»CPA»PRO»X»NA»SS»NA»FreeAcctITProFB-AnimatedHybrid-Ch2»PRC1T5</v></cell><cell r="D819" t="str"><v>43288223862882</v></cell><cell r="E819" t="str"><v>43288103180583PRC1T5</v></cell><cell r="F819" t="str"><v>DCM</v></cell></row><row r="819"><cell r="K819" t="str"><v>July</v></cell><cell r="L819"><v>43288</v></cell><cell r="M819" t="str"><v>Tier 0</v></cell><cell r="N819" t="str"><v>North America</v></cell><cell r="O819" t="str"><v>United States</v></cell><cell r="P819" t="str"><v>Trial</v></cell><cell r="Q819" t="str"><v>Social</v></cell><cell r="R819" t="str"><v>Azure</v></cell><cell r="S819" t="str"><v>Apps & Infra</v></cell><cell r="T819" t="str"><v>Developers & ITI's</v></cell><cell r="U819" t="str"><v>USA-Trial-ITD-Interest Prospecting-AZR-AZR</v></cell><cell r="V819" t="str"><v>Prospecting</v></cell><cell r="W819" t="str"><v>Link Ad</v></cell><cell r="X819" t="str"><v>1x1</v></cell></row><row r="819"><cell r="AA819"><v>43288</v></cell><cell r="AB819" t="str"><v>USA_gaPMG_AZR_AZR_Q1_19_Direct-Social</v></cell><cell r="AC819"><v>21358715</v></cell><cell r="AD819"><v>720197</v></cell><cell r="AE819" t="str"><v>Facebook</v></cell><cell r="AF819"><v>3654128</v></cell><cell r="AG819" t="str"><v>FACEBOOK»USA-Trial-ITD-Interest Prospecting-AZR-AZR»1 x 1»SocialBan»LIA»ALL»CPA»PRO»X»NA»SS»NA»FreeAcctITProFB-AnimatedHybrid-Ch2»PRC1T5</v></cell><cell r="AH819"><v>223862882</v></cell><cell r="AI819" t="str"><v>AZR_FreeAcctITProFB-AnimatedHybrid-Ch2_USA_1200x1200_CAN_Direct_English_Trial_Standard_ANI_LEA_T2_2</v></cell><cell r="AJ819"><v>103180583</v></cell></row><row r="820"><cell r="C820" t="str"><v>43288FACEBOOK»USA-Trial-ITD-Interest Prospecting-AZR-AZR»1 x 1»SocialBan»LIA»ALL»CPA»PRO»X»NA»SS»NA»FreeAcctITProFB-AnimatedSecureMngd-Ch1»PRC1T4</v></cell><cell r="D820" t="str"><v>43288224104914</v></cell><cell r="E820" t="str"><v>43288103176830PRC1T4</v></cell><cell r="F820" t="str"><v>DCM</v></cell></row><row r="820"><cell r="K820" t="str"><v>July</v></cell><cell r="L820"><v>43288</v></cell><cell r="M820" t="str"><v>Tier 0</v></cell><cell r="N820" t="str"><v>North America</v></cell><cell r="O820" t="str"><v>United States</v></cell><cell r="P820" t="str"><v>Trial</v></cell><cell r="Q820" t="str"><v>Social</v></cell><cell r="R820" t="str"><v>Azure</v></cell><cell r="S820" t="str"><v>Apps & Infra</v></cell><cell r="T820" t="str"><v>Developers & ITI's</v></cell><cell r="U820" t="str"><v>USA-Trial-ITD-Interest Prospecting-AZR-AZR</v></cell><cell r="V820" t="str"><v>Prospecting</v></cell><cell r="W820" t="str"><v>Link Ad</v></cell><cell r="X820" t="str"><v>1x1</v></cell></row><row r="820"><cell r="AA820"><v>43288</v></cell><cell r="AB820" t="str"><v>USA_gaPMG_AZR_AZR_Q1_19_Direct-Social</v></cell><cell r="AC820"><v>21358715</v></cell><cell r="AD820"><v>720197</v></cell><cell r="AE820" t="str"><v>Facebook</v></cell><cell r="AF820"><v>3654128</v></cell><cell r="AG820" t="str"><v>FACEBOOK»USA-Trial-ITD-Interest Prospecting-AZR-AZR»1 x 1»SocialBan»LIA»ALL»CPA»PRO»X»NA»SS»NA»FreeAcctITProFB-AnimatedSecureMngd-Ch1»PRC1T4</v></cell><cell r="AH820"><v>224104914</v></cell><cell r="AI820" t="str"><v>AZR_FreeAcctITProFB-AnimatedSecureMngd-Ch1_USA_1200x1200_CAN_Direct_English_Trial_Standard_ANI_LEA_T1_1</v></cell><cell r="AJ820"><v>103176830</v></cell></row><row r="821"><cell r="C821" t="str"><v>43288FACEBOOK»USA-Trial-ITD-Retargeting-AZR-AZR»1 x 1»SocialBan»LIA»ALL»CPA»RT»X»NA»SS»NA»FreeAcctDeveloperFB-AnimatedAI-Ch3»PRC26H</v></cell><cell r="D821" t="str"><v>43288223863371</v></cell><cell r="E821" t="str"><v>43288103032778PRC26H</v></cell><cell r="F821" t="str"><v>DCM</v></cell></row><row r="821"><cell r="K821" t="str"><v>July</v></cell><cell r="L821"><v>43288</v></cell><cell r="M821" t="str"><v>Tier 0</v></cell><cell r="N821" t="str"><v>North America</v></cell><cell r="O821" t="str"><v>United States</v></cell><cell r="P821" t="str"><v>Trial</v></cell><cell r="Q821" t="str"><v>Social</v></cell><cell r="R821" t="str"><v>Azure</v></cell><cell r="S821" t="str"><v>Apps & Infra</v></cell><cell r="T821" t="str"><v>Developers & ITI's</v></cell><cell r="U821" t="str"><v>USA-Trial-ITD-Retargeting-AZR-AZR</v></cell><cell r="V821" t="str"><v>Retargeting</v></cell><cell r="W821" t="str"><v>Link Ad</v></cell><cell r="X821" t="str"><v>1x1</v></cell></row><row r="821"><cell r="AA821"><v>43288</v></cell><cell r="AB821" t="str"><v>USA_gaPMG_AZR_AZR_Q1_19_Direct-Social</v></cell><cell r="AC821"><v>21358715</v></cell><cell r="AD821"><v>720197</v></cell><cell r="AE821" t="str"><v>Facebook</v></cell><cell r="AF821"><v>3654128</v></cell><cell r="AG821" t="str"><v>FACEBOOK»USA-Trial-ITD-Retargeting-AZR-AZR»1 x 1»SocialBan»LIA»ALL»CPA»RT»X»NA»SS»NA»FreeAcctDeveloperFB-AnimatedAI-Ch3»PRC26H</v></cell><cell r="AH821"><v>223863371</v></cell><cell r="AI821" t="str"><v>AZR_FreeAcctDeveloperFB-AnimatedAI-Ch3_USA_1200x1200_CAN_Direct_English_Trial_Standard_ANI_LEA_T3_1</v></cell><cell r="AJ821"><v>103032778</v></cell></row><row r="822"><cell r="C822" t="str"><v>43288FACEBOOK»USA-Trial-ITD-Retargeting-AZR-AZR»1 x 1»SocialBan»LIA»ALL»CPA»RT»X»NA»SS»NA»FreeAcctDeveloperFB-AnimatedData-Ch4»PRC26J</v></cell><cell r="D822" t="str"><v>43288224106078</v></cell><cell r="E822" t="str"><v>43288103037935PRC26J</v></cell><cell r="F822" t="str"><v>DCM</v></cell></row><row r="822"><cell r="K822" t="str"><v>July</v></cell><cell r="L822"><v>43288</v></cell><cell r="M822" t="str"><v>Tier 0</v></cell><cell r="N822" t="str"><v>North America</v></cell><cell r="O822" t="str"><v>United States</v></cell><cell r="P822" t="str"><v>Trial</v></cell><cell r="Q822" t="str"><v>Social</v></cell><cell r="R822" t="str"><v>Azure</v></cell><cell r="S822" t="str"><v>Apps & Infra</v></cell><cell r="T822" t="str"><v>Developers & ITI's</v></cell><cell r="U822" t="str"><v>USA-Trial-ITD-Retargeting-AZR-AZR</v></cell><cell r="V822" t="str"><v>Retargeting</v></cell><cell r="W822" t="str"><v>Link Ad</v></cell><cell r="X822" t="str"><v>1x1</v></cell></row><row r="822"><cell r="AA822"><v>43288</v></cell><cell r="AB822" t="str"><v>USA_gaPMG_AZR_AZR_Q1_19_Direct-Social</v></cell><cell r="AC822"><v>21358715</v></cell><cell r="AD822"><v>720197</v></cell><cell r="AE822" t="str"><v>Facebook</v></cell><cell r="AF822"><v>3654128</v></cell><cell r="AG822" t="str"><v>FACEBOOK»USA-Trial-ITD-Retargeting-AZR-AZR»1 x 1»SocialBan»LIA»ALL»CPA»RT»X»NA»SS»NA»FreeAcctDeveloperFB-AnimatedData-Ch4»PRC26J</v></cell><cell r="AH822"><v>224106078</v></cell><cell r="AI822" t="str"><v>AZR_FreeAcctDeveloperFB-AnimatedData-Ch4_USA_1200x1200_CAN_Direct_English_Trial_Standard_ANI_LEA_T4_2</v></cell><cell r="AJ822"><v>103037935</v></cell></row><row r="823"><cell r="C823" t="str"><v>43288FACEBOOK»USA-Trial-ITD-Retargeting-AZR-AZR»1 x 1»SocialBan»LIA»ALL»CPA»RT»X»NA»SS»NA»FreeAcctDeveloperFB-AnimatedGeneric-Ch1»PRC26F</v></cell><cell r="D823" t="str"><v>43288224105850</v></cell><cell r="E823" t="str"><v>43288103176851PRC26F</v></cell><cell r="F823" t="str"><v>DCM</v></cell><cell r="G823" t="str"><v>https://azure.microsoft.com/en-us/free/search/?OCID=AID%eexcid!_OLA_%ebuy!_%epid!_%ecid!</v></cell></row><row r="823"><cell r="K823" t="str"><v>July</v></cell><cell r="L823"><v>43288</v></cell><cell r="M823" t="str"><v>Tier 0</v></cell><cell r="N823" t="str"><v>North America</v></cell><cell r="O823" t="str"><v>United States</v></cell><cell r="P823" t="str"><v>Trial</v></cell><cell r="Q823" t="str"><v>Social</v></cell><cell r="R823" t="str"><v>Azure</v></cell><cell r="S823" t="str"><v>Apps & Infra</v></cell><cell r="T823" t="str"><v>Developers & ITI's</v></cell><cell r="U823" t="str"><v>USA-Trial-ITD-Retargeting-AZR-AZR</v></cell><cell r="V823" t="str"><v>Retargeting</v></cell><cell r="W823" t="str"><v>Link Ad</v></cell><cell r="X823" t="str"><v>1x1</v></cell></row><row r="823"><cell r="AA823"><v>43288</v></cell><cell r="AB823" t="str"><v>USA_gaPMG_AZR_AZR_Q1_19_Direct-Social</v></cell><cell r="AC823"><v>21358715</v></cell><cell r="AD823"><v>720197</v></cell><cell r="AE823" t="str"><v>Facebook</v></cell><cell r="AF823"><v>3654128</v></cell><cell r="AG823" t="str"><v>FACEBOOK»USA-Trial-ITD-Retargeting-AZR-AZR»1 x 1»SocialBan»LIA»ALL»CPA»RT»X»NA»SS»NA»FreeAcctDeveloperFB-AnimatedGeneric-Ch1»PRC26F</v></cell><cell r="AH823"><v>224105850</v></cell><cell r="AI823" t="str"><v>AZR_FreeAcctDeveloperFB-AnimatedGeneric-Ch1_USA_1200x1200_CAN_Direct_English_Trial_Standard_ANI_LEA_T1_2</v></cell><cell r="AJ823"><v>103176851</v></cell></row><row r="824"><cell r="C824" t="str"><v>43288FACEBOOK»USA-Trial-ITD-Retargeting-AZR-AZR»1 x 1»SocialBan»LIA»ALL»CPA»RT»X»NA»SS»NA»FreeAcctDeveloperFB-AnimatedOpenSource-Ch2»PRC26G</v></cell><cell r="D824" t="str"><v>43288223862873</v></cell><cell r="E824" t="str"><v>43288103048329PRC26G</v></cell><cell r="F824" t="str"><v>DCM</v></cell><cell r="G824" t="str"><v>https://azure.microsoft.com/en-us/free/open-source/search/?OCID=AID%eexcid!_OLA_%ebuy!_%epid!_%ecid!</v></cell></row><row r="824"><cell r="K824" t="str"><v>July</v></cell><cell r="L824"><v>43288</v></cell><cell r="M824" t="str"><v>Tier 0</v></cell><cell r="N824" t="str"><v>North America</v></cell><cell r="O824" t="str"><v>United States</v></cell><cell r="P824" t="str"><v>Trial</v></cell><cell r="Q824" t="str"><v>Social</v></cell><cell r="R824" t="str"><v>Azure</v></cell><cell r="S824" t="str"><v>Apps & Infra</v></cell><cell r="T824" t="str"><v>Developers & ITI's</v></cell><cell r="U824" t="str"><v>USA-Trial-ITD-Retargeting-AZR-AZR</v></cell><cell r="V824" t="str"><v>Retargeting</v></cell><cell r="W824" t="str"><v>Link Ad</v></cell><cell r="X824" t="str"><v>1x1</v></cell></row><row r="824"><cell r="AA824"><v>43288</v></cell><cell r="AB824" t="str"><v>USA_gaPMG_AZR_AZR_Q1_19_Direct-Social</v></cell><cell r="AC824"><v>21358715</v></cell><cell r="AD824"><v>720197</v></cell><cell r="AE824" t="str"><v>Facebook</v></cell><cell r="AF824"><v>3654128</v></cell><cell r="AG824" t="str"><v>FACEBOOK»USA-Trial-ITD-Retargeting-AZR-AZR»1 x 1»SocialBan»LIA»ALL»CPA»RT»X»NA»SS»NA»FreeAcctDeveloperFB-AnimatedOpenSource-Ch2»PRC26G</v></cell><cell r="AH824"><v>223862873</v></cell><cell r="AI824" t="str"><v>AZR_FreeAcctDeveloperFB-AnimatedOpenSource-Ch2_USA_1200x1200_CAN_Direct_English_Trial_Standard_ANI_LEA_T2_1</v></cell><cell r="AJ824"><v>103048329</v></cell></row><row r="825"><cell r="C825" t="str"><v>43288FACEBOOK»USA-Trial-ITD-Retargeting-AZR-AZR»1 x 1»SocialBan»LIA»ALL»CPA»RT»X»NA»SS»NA»FreeAcctITProFB-AnimatedHybrid-Ch2»PRC26N</v></cell><cell r="D825" t="str"><v>43288223934053</v></cell><cell r="E825" t="str"><v>43288103180583PRC26N</v></cell><cell r="F825" t="str"><v>DCM</v></cell></row><row r="825"><cell r="K825" t="str"><v>July</v></cell><cell r="L825"><v>43288</v></cell><cell r="M825" t="str"><v>Tier 0</v></cell><cell r="N825" t="str"><v>North America</v></cell><cell r="O825" t="str"><v>United States</v></cell><cell r="P825" t="str"><v>Trial</v></cell><cell r="Q825" t="str"><v>Social</v></cell><cell r="R825" t="str"><v>Azure</v></cell><cell r="S825" t="str"><v>Apps & Infra</v></cell><cell r="T825" t="str"><v>Developers & ITI's</v></cell><cell r="U825" t="str"><v>USA-Trial-ITD-Retargeting-AZR-AZR</v></cell><cell r="V825" t="str"><v>Retargeting</v></cell><cell r="W825" t="str"><v>Link Ad</v></cell><cell r="X825" t="str"><v>1x1</v></cell></row><row r="825"><cell r="AA825"><v>43288</v></cell><cell r="AB825" t="str"><v>USA_gaPMG_AZR_AZR_Q1_19_Direct-Social</v></cell><cell r="AC825"><v>21358715</v></cell><cell r="AD825"><v>720197</v></cell><cell r="AE825" t="str"><v>Facebook</v></cell><cell r="AF825"><v>3654128</v></cell><cell r="AG825" t="str"><v>FACEBOOK»USA-Trial-ITD-Retargeting-AZR-AZR»1 x 1»SocialBan»LIA»ALL»CPA»RT»X»NA»SS»NA»FreeAcctITProFB-AnimatedHybrid-Ch2»PRC26N</v></cell><cell r="AH825"><v>223934053</v></cell><cell r="AI825" t="str"><v>AZR_FreeAcctITProFB-AnimatedHybrid-Ch2_USA_1200x1200_CAN_Direct_English_Trial_Standard_ANI_LEA_T2_2</v></cell><cell r="AJ825"><v>103180583</v></cell></row><row r="826"><cell r="C826" t="str"><v>43288FACEBOOK»USA-Trial-ITD-Retargeting-AZR-AZR»1 x 1»SocialBan»LIA»ALL»CPA»RT»X»NA»SS»NA»FreeAcctITProFB-AnimatedMigration-Ch3»PRC26P</v></cell><cell r="D826" t="str"><v>43288223934056</v></cell><cell r="E826" t="str"><v>43288103176827PRC26P</v></cell><cell r="F826" t="str"><v>DCM</v></cell></row><row r="826"><cell r="K826" t="str"><v>July</v></cell><cell r="L826"><v>43288</v></cell><cell r="M826" t="str"><v>Tier 0</v></cell><cell r="N826" t="str"><v>North America</v></cell><cell r="O826" t="str"><v>United States</v></cell><cell r="P826" t="str"><v>Trial</v></cell><cell r="Q826" t="str"><v>Social</v></cell><cell r="R826" t="str"><v>Azure</v></cell><cell r="S826" t="str"><v>Apps & Infra</v></cell><cell r="T826" t="str"><v>Developers & ITI's</v></cell><cell r="U826" t="str"><v>USA-Trial-ITD-Retargeting-AZR-AZR</v></cell><cell r="V826" t="str"><v>Retargeting</v></cell><cell r="W826" t="str"><v>Link Ad</v></cell><cell r="X826" t="str"><v>1x1</v></cell></row><row r="826"><cell r="AA826"><v>43288</v></cell><cell r="AB826" t="str"><v>USA_gaPMG_AZR_AZR_Q1_19_Direct-Social</v></cell><cell r="AC826"><v>21358715</v></cell><cell r="AD826"><v>720197</v></cell><cell r="AE826" t="str"><v>Facebook</v></cell><cell r="AF826"><v>3654128</v></cell><cell r="AG826" t="str"><v>FACEBOOK»USA-Trial-ITD-Retargeting-AZR-AZR»1 x 1»SocialBan»LIA»ALL»CPA»RT»X»NA»SS»NA»FreeAcctITProFB-AnimatedMigration-Ch3»PRC26P</v></cell><cell r="AH826"><v>223934056</v></cell><cell r="AI826" t="str"><v>AZR_FreeAcctITProFB-AnimatedMigration-Ch3_USA_1200x1200_CAN_Direct_English_Trial_Standard_ANI_LEA_T3_1</v></cell><cell r="AJ826"><v>103176827</v></cell></row><row r="827"><cell r="C827" t="str"><v>43288FACEBOOK»USA-Trial-ITD-Retargeting-AZR-AZR»1 x 1»SocialBan»LIA»ALL»CPA»RT»X»NA»SS»NA»FreeAcctRetargetingFB-Credit-ChA»PRC1RV</v></cell><cell r="D827" t="str"><v>43288224106075</v></cell><cell r="E827" t="str"><v>43288103034917PRC1RV</v></cell><cell r="F827" t="str"><v>DCM</v></cell><cell r="G827" t="str"><v>https://azure.microsoft.com/en-us/free/search/?OCID=AID%eexcid!_OLA_%ebuy!_%epid!_%ecid!</v></cell></row><row r="827"><cell r="K827" t="str"><v>July</v></cell><cell r="L827"><v>43288</v></cell><cell r="M827" t="str"><v>Tier 0</v></cell><cell r="N827" t="str"><v>North America</v></cell><cell r="O827" t="str"><v>United States</v></cell><cell r="P827" t="str"><v>Trial</v></cell><cell r="Q827" t="str"><v>Social</v></cell><cell r="R827" t="str"><v>Azure</v></cell><cell r="S827" t="str"><v>Apps & Infra</v></cell><cell r="T827" t="str"><v>Developers & ITI's</v></cell><cell r="U827" t="str"><v>USA-Trial-ITD-Retargeting-AZR-AZR</v></cell><cell r="V827" t="str"><v>Retargeting</v></cell><cell r="W827" t="str"><v>Link Ad</v></cell><cell r="X827" t="str"><v>1x1</v></cell></row><row r="827"><cell r="AA827"><v>43288</v></cell><cell r="AB827" t="str"><v>USA_gaPMG_AZR_AZR_Q1_19_Direct-Social</v></cell><cell r="AC827"><v>21358715</v></cell><cell r="AD827"><v>720197</v></cell><cell r="AE827" t="str"><v>Facebook</v></cell><cell r="AF827"><v>3654128</v></cell><cell r="AG827" t="str"><v>FACEBOOK»USA-Trial-ITD-Retargeting-AZR-AZR»1 x 1»SocialBan»LIA»ALL»CPA»RT»X»NA»SS»NA»FreeAcctRetargetingFB-Credit-ChA»PRC1RV</v></cell><cell r="AH827"><v>224106075</v></cell><cell r="AI827" t="str"><v>AzurePlatform_FreeAcctRetargetingFB-Credit-ChA_USA_1200x628_CAN_PLATFORM_English_Free Account_Standard_NA_SINU_T1_2</v></cell><cell r="AJ827"><v>103034917</v></cell></row><row r="828"><cell r="C828" t="str"><v>43288FACEBOOK»USA-Trial-ITD-Retargeting-AZR-AZR»1 x 1»SocialBan»LIA»ALL»CPA»RT»X»NA»SS»NA»FreeAcctRetargetingFB-GlobalAlt-ChB»PRC1RW</v></cell><cell r="D828" t="str"><v>43288223862756</v></cell><cell r="E828" t="str"><v>43288103180592PRC1RW</v></cell><cell r="F828" t="str"><v>DCM</v></cell><cell r="G828" t="str"><v>https://azure.microsoft.com/en-us/free/search/?OCID=AID%eexcid!_OLA_%ebuy!_%epid!_%ecid!</v></cell></row><row r="828"><cell r="K828" t="str"><v>July</v></cell><cell r="L828"><v>43288</v></cell><cell r="M828" t="str"><v>Tier 0</v></cell><cell r="N828" t="str"><v>North America</v></cell><cell r="O828" t="str"><v>United States</v></cell><cell r="P828" t="str"><v>Trial</v></cell><cell r="Q828" t="str"><v>Social</v></cell><cell r="R828" t="str"><v>Azure</v></cell><cell r="S828" t="str"><v>Apps & Infra</v></cell><cell r="T828" t="str"><v>Developers & ITI's</v></cell><cell r="U828" t="str"><v>USA-Trial-ITD-Retargeting-AZR-AZR</v></cell><cell r="V828" t="str"><v>Retargeting</v></cell><cell r="W828" t="str"><v>Link Ad</v></cell><cell r="X828" t="str"><v>1x1</v></cell></row><row r="828"><cell r="AA828"><v>43288</v></cell><cell r="AB828" t="str"><v>USA_gaPMG_AZR_AZR_Q1_19_Direct-Social</v></cell><cell r="AC828"><v>21358715</v></cell><cell r="AD828"><v>720197</v></cell><cell r="AE828" t="str"><v>Facebook</v></cell><cell r="AF828"><v>3654128</v></cell><cell r="AG828" t="str"><v>FACEBOOK»USA-Trial-ITD-Retargeting-AZR-AZR»1 x 1»SocialBan»LIA»ALL»CPA»RT»X»NA»SS»NA»FreeAcctRetargetingFB-GlobalAlt-ChB»PRC1RW</v></cell><cell r="AH828"><v>223862756</v></cell><cell r="AI828" t="str"><v>AzurePlatform_FreeAcctRetargetingFB-GlobalAlt-ChB_USA_1200x628_CAN_PLATFORM_English_Free Account_Standard_NA_SINU_T2_1</v></cell><cell r="AJ828"><v>103180592</v></cell></row><row r="829"><cell r="C829" t="str"><v>43288FACEBOOK»USA-Trial-ITD-Retargeting-AZR-AZR»1 x 1»SocialBan»LIA»ALL»CPA»RT»X»NA»SS»NA»FreeAcctRetargetingVMFB-750Hrs-ChD»PRC1RY</v></cell><cell r="D829" t="str"><v>43288223862747</v></cell><cell r="E829" t="str"><v>43288103034911PRC1RY</v></cell><cell r="F829" t="str"><v>DCM</v></cell><cell r="G829" t="str"><v>https://azure.microsoft.com/en-us/free/virtual-machines/search/?OCID=AID%eexcid!_OLA_%ebuy!_%epid!_%ecid!</v></cell></row><row r="829"><cell r="K829" t="str"><v>July</v></cell><cell r="L829"><v>43288</v></cell><cell r="M829" t="str"><v>Tier 0</v></cell><cell r="N829" t="str"><v>North America</v></cell><cell r="O829" t="str"><v>United States</v></cell><cell r="P829" t="str"><v>Trial</v></cell><cell r="Q829" t="str"><v>Social</v></cell><cell r="R829" t="str"><v>Azure</v></cell><cell r="S829" t="str"><v>Apps & Infra</v></cell><cell r="T829" t="str"><v>Developers & ITI's</v></cell><cell r="U829" t="str"><v>USA-Trial-ITD-Retargeting-AZR-AZR</v></cell><cell r="V829" t="str"><v>Retargeting</v></cell><cell r="W829" t="str"><v>Link Ad</v></cell><cell r="X829" t="str"><v>1x1</v></cell></row><row r="829"><cell r="AA829"><v>43288</v></cell><cell r="AB829" t="str"><v>USA_gaPMG_AZR_AZR_Q1_19_Direct-Social</v></cell><cell r="AC829"><v>21358715</v></cell><cell r="AD829"><v>720197</v></cell><cell r="AE829" t="str"><v>Facebook</v></cell><cell r="AF829"><v>3654128</v></cell><cell r="AG829" t="str"><v>FACEBOOK»USA-Trial-ITD-Retargeting-AZR-AZR»1 x 1»SocialBan»LIA»ALL»CPA»RT»X»NA»SS»NA»FreeAcctRetargetingVMFB-750Hrs-ChD»PRC1RY</v></cell><cell r="AH829"><v>223862747</v></cell><cell r="AI829" t="str"><v>AzurePlatform_FreeAcctRetargetingVMFB-750Hrs-ChD_USA_1200x628_CAN_PLATFORM_English_Free Account_Standard_NA_SINU_T1_1</v></cell><cell r="AJ829"><v>103034911</v></cell></row><row r="830"><cell r="C830" t="str"><v>43288FACEBOOK»USA-Trial-ITD-Retargeting-AZR-AZR»1 x 1»SocialBan»LIA»ALL»CPA»RT»X»NA»SS»NA»FreeAcctRetargetingVMFB-OnDemand-ChE»PRC1S0</v></cell><cell r="D830" t="str"><v>43288224104899</v></cell><cell r="E830" t="str"><v>43288103180610PRC1S0</v></cell><cell r="F830" t="str"><v>DCM</v></cell><cell r="G830" t="str"><v>https://azure.microsoft.com/en-us/free/virtual-machines/search/?OCID=AID%eexcid!_OLA_%ebuy!_%epid!_%ecid!</v></cell></row><row r="830"><cell r="K830" t="str"><v>July</v></cell><cell r="L830"><v>43288</v></cell><cell r="M830" t="str"><v>Tier 0</v></cell><cell r="N830" t="str"><v>North America</v></cell><cell r="O830" t="str"><v>United States</v></cell><cell r="P830" t="str"><v>Trial</v></cell><cell r="Q830" t="str"><v>Social</v></cell><cell r="R830" t="str"><v>Azure</v></cell><cell r="S830" t="str"><v>Apps & Infra</v></cell><cell r="T830" t="str"><v>Developers & ITI's</v></cell><cell r="U830" t="str"><v>USA-Trial-ITD-Retargeting-AZR-AZR</v></cell><cell r="V830" t="str"><v>Retargeting</v></cell><cell r="W830" t="str"><v>Link Ad</v></cell><cell r="X830" t="str"><v>1x1</v></cell></row><row r="830"><cell r="AA830"><v>43288</v></cell><cell r="AB830" t="str"><v>USA_gaPMG_AZR_AZR_Q1_19_Direct-Social</v></cell><cell r="AC830"><v>21358715</v></cell><cell r="AD830"><v>720197</v></cell><cell r="AE830" t="str"><v>Facebook</v></cell><cell r="AF830"><v>3654128</v></cell><cell r="AG830" t="str"><v>FACEBOOK»USA-Trial-ITD-Retargeting-AZR-AZR»1 x 1»SocialBan»LIA»ALL»CPA»RT»X»NA»SS»NA»FreeAcctRetargetingVMFB-OnDemand-ChE»PRC1S0</v></cell><cell r="AH830"><v>224104899</v></cell><cell r="AI830" t="str"><v>AzurePlatform_FreeAcctRetargetingVMFB-OnDemand-ChE_USA_1200x628_CAN_PLATFORM_English_Free Account_Standard_NA_SINU_T2_1</v></cell><cell r="AJ830"><v>103180610</v></cell></row><row r="831"><cell r="C831" t="str"><v>43288FACEBOOK»USA-Trial-ITD-Retargeting-AZR-AZR»1 x 1»SocialBan»CAN»ALL»CPA»RT»X»NA»SS»NA»FBCTCBenefit2inMotion»PRC1RR</v></cell><cell r="D831" t="str"><v>43288224104896</v></cell><cell r="E831" t="str"><v>43288103043835PRC1RR</v></cell><cell r="F831" t="str"><v>DCM</v></cell><cell r="G831" t="str"><v>https://signup.azure.com/?OCID=AID%eexcid!_OLA_%ebuy!_%epid!_%ecid!</v></cell></row><row r="831"><cell r="K831" t="str"><v>July</v></cell><cell r="L831"><v>43288</v></cell><cell r="M831" t="str"><v>Tier 0</v></cell><cell r="N831" t="str"><v>North America</v></cell><cell r="O831" t="str"><v>United States</v></cell><cell r="P831" t="str"><v>Trial</v></cell><cell r="Q831" t="str"><v>Social</v></cell><cell r="R831" t="str"><v>Azure</v></cell><cell r="S831" t="str"><v>Apps & Infra</v></cell><cell r="T831" t="str"><v>Developers & ITI's</v></cell><cell r="U831" t="str"><v>USA-Trial-ITD-Retargeting-AZR-AZR</v></cell><cell r="V831" t="str"><v>Retargeting</v></cell><cell r="W831" t="str"><v>Canvas Ad</v></cell><cell r="X831" t="str"><v>1x1</v></cell></row><row r="831"><cell r="AA831"><v>43288</v></cell><cell r="AB831" t="str"><v>USA_gaPMG_AZR_AZR_Q1_19_Direct-Social</v></cell><cell r="AC831"><v>21358715</v></cell><cell r="AD831"><v>720197</v></cell><cell r="AE831" t="str"><v>Facebook</v></cell><cell r="AF831"><v>3654128</v></cell><cell r="AG831" t="str"><v>FACEBOOK»USA-Trial-ITD-Retargeting-AZR-AZR»1 x 1»SocialBan»CAN»ALL»CPA»RT»X»NA»SS»NA»FBCTCBenefit2inMotion»PRC1RR</v></cell><cell r="AH831"><v>224104896</v></cell><cell r="AI831" t="str"><v>AzurePlatform_FBCTCBenefit2inMotion_USA_10s_CAN_PLATFORM_English_Trial_Standard_STAN_TIN_T4_1</v></cell><cell r="AJ831"><v>103043835</v></cell></row><row r="832"><cell r="C832" t="str"><v>43288FACEBOOK»USA-Trial-ITD-Retargeting-AZR-AZR»1 x 1»SocialBan»CAN»ALL»CPA»RT»X»NA»SS»NA»FBCTCBenefit2inMotion»PRC1RR</v></cell><cell r="D832" t="str"><v>43288224104896</v></cell><cell r="E832" t="str"><v>43288103178645PRC1RR</v></cell><cell r="F832" t="str"><v>DCM</v></cell><cell r="G832" t="str"><v>https://azure.microsoft.com/en-us/pricing/purchase-options/?v=18.19&OCID=AID%eexcid!_OLA_%ebuy!_%epid!_%ecid!</v></cell></row><row r="832"><cell r="K832" t="str"><v>July</v></cell><cell r="L832"><v>43288</v></cell><cell r="M832" t="str"><v>Tier 0</v></cell><cell r="N832" t="str"><v>North America</v></cell><cell r="O832" t="str"><v>United States</v></cell><cell r="P832" t="str"><v>Trial</v></cell><cell r="Q832" t="str"><v>Social</v></cell><cell r="R832" t="str"><v>Azure</v></cell><cell r="S832" t="str"><v>Apps & Infra</v></cell><cell r="T832" t="str"><v>Developers & ITI's</v></cell><cell r="U832" t="str"><v>USA-Trial-ITD-Retargeting-AZR-AZR</v></cell><cell r="V832" t="str"><v>Retargeting</v></cell><cell r="W832" t="str"><v>Canvas Ad</v></cell><cell r="X832" t="str"><v>1x1</v></cell></row><row r="832"><cell r="AA832"><v>43288</v></cell><cell r="AB832" t="str"><v>USA_gaPMG_AZR_AZR_Q1_19_Direct-Social</v></cell><cell r="AC832"><v>21358715</v></cell><cell r="AD832"><v>720197</v></cell><cell r="AE832" t="str"><v>Facebook</v></cell><cell r="AF832"><v>3654128</v></cell><cell r="AG832" t="str"><v>FACEBOOK»USA-Trial-ITD-Retargeting-AZR-AZR»1 x 1»SocialBan»CAN»ALL»CPA»RT»X»NA»SS»NA»FBCTCBenefit2inMotion»PRC1RR</v></cell><cell r="AH832"><v>224104896</v></cell><cell r="AI832" t="str"><v>AzurePlatform_FBCTCBenefit2inMotion_USA_10s_CAN_PLATFORM_English_Trial_Standard_STAN_TIN_T4_2</v></cell><cell r="AJ832"><v>103178645</v></cell></row><row r="833"><cell r="C833" t="str"><v>43288FACEBOOK»USA-Trial-ITD-Retargeting-AZR-AZR»1 x 1»SocialBan»CAN»ALL»CPA»RT»X»NA»SS»NA»FBCTCBrandinMotion»PRC1RT</v></cell><cell r="D833" t="str"><v>43288224106069</v></cell><cell r="E833" t="str"><v>43288103176812PRC1RT</v></cell><cell r="F833" t="str"><v>DCM</v></cell><cell r="G833" t="str"><v>https://signup.azure.com/?OCID=AID%eexcid!_OLA_%ebuy!_%epid!_%ecid!</v></cell></row><row r="833"><cell r="K833" t="str"><v>July</v></cell><cell r="L833"><v>43288</v></cell><cell r="M833" t="str"><v>Tier 0</v></cell><cell r="N833" t="str"><v>North America</v></cell><cell r="O833" t="str"><v>United States</v></cell><cell r="P833" t="str"><v>Trial</v></cell><cell r="Q833" t="str"><v>Social</v></cell><cell r="R833" t="str"><v>Azure</v></cell><cell r="S833" t="str"><v>Apps & Infra</v></cell><cell r="T833" t="str"><v>Developers & ITI's</v></cell><cell r="U833" t="str"><v>USA-Trial-ITD-Retargeting-AZR-AZR</v></cell><cell r="V833" t="str"><v>Retargeting</v></cell><cell r="W833" t="str"><v>Canvas Ad</v></cell><cell r="X833" t="str"><v>1x1</v></cell></row><row r="833"><cell r="AA833"><v>43288</v></cell><cell r="AB833" t="str"><v>USA_gaPMG_AZR_AZR_Q1_19_Direct-Social</v></cell><cell r="AC833"><v>21358715</v></cell><cell r="AD833"><v>720197</v></cell><cell r="AE833" t="str"><v>Facebook</v></cell><cell r="AF833"><v>3654128</v></cell><cell r="AG833" t="str"><v>FACEBOOK»USA-Trial-ITD-Retargeting-AZR-AZR»1 x 1»SocialBan»CAN»ALL»CPA»RT»X»NA»SS»NA»FBCTCBrandinMotion»PRC1RT</v></cell><cell r="AH833"><v>224106069</v></cell><cell r="AI833" t="str"><v>AzurePlatform_FBCTCBrandinMotion_USA_10s_CAN_PLATFORM_English_Trial_Standard_STAN_TIN_T2_1</v></cell><cell r="AJ833"><v>103176812</v></cell></row><row r="834"><cell r="C834" t="str"><v>43288FACEBOOK»USA-Trial-ITD-Retargeting-AZR-AZR»1 x 1»SocialBan»CAN»ALL»CPA»RT»X»NA»SS»NA»FBCTCBrandinMotion»PRC1RT</v></cell><cell r="D834" t="str"><v>43288224106069</v></cell><cell r="E834" t="str"><v>43288103032823PRC1RT</v></cell><cell r="F834" t="str"><v>DCM</v></cell><cell r="G834" t="str"><v>https://azure.microsoft.com/en-us/pricing/purchase-options/?v=18.19&OCID=AID%eexcid!_OLA_%ebuy!_%epid!_%ecid!</v></cell></row><row r="834"><cell r="K834" t="str"><v>July</v></cell><cell r="L834"><v>43288</v></cell><cell r="M834" t="str"><v>Tier 0</v></cell><cell r="N834" t="str"><v>North America</v></cell><cell r="O834" t="str"><v>United States</v></cell><cell r="P834" t="str"><v>Trial</v></cell><cell r="Q834" t="str"><v>Social</v></cell><cell r="R834" t="str"><v>Azure</v></cell><cell r="S834" t="str"><v>Apps & Infra</v></cell><cell r="T834" t="str"><v>Developers & ITI's</v></cell><cell r="U834" t="str"><v>USA-Trial-ITD-Retargeting-AZR-AZR</v></cell><cell r="V834" t="str"><v>Retargeting</v></cell><cell r="W834" t="str"><v>Canvas Ad</v></cell><cell r="X834" t="str"><v>1x1</v></cell></row><row r="834"><cell r="AA834"><v>43288</v></cell><cell r="AB834" t="str"><v>USA_gaPMG_AZR_AZR_Q1_19_Direct-Social</v></cell><cell r="AC834"><v>21358715</v></cell><cell r="AD834"><v>720197</v></cell><cell r="AE834" t="str"><v>Facebook</v></cell><cell r="AF834"><v>3654128</v></cell><cell r="AG834" t="str"><v>FACEBOOK»USA-Trial-ITD-Retargeting-AZR-AZR»1 x 1»SocialBan»CAN»ALL»CPA»RT»X»NA»SS»NA»FBCTCBrandinMotion»PRC1RT</v></cell><cell r="AH834"><v>224106069</v></cell><cell r="AI834" t="str"><v>AzurePlatform_FBCTCBrandinMotion_USA_10s_CAN_PLATFORM_English_Trial_Standard_STAN_TIN_T2_2</v></cell><cell r="AJ834"><v>103032823</v></cell></row><row r="835"><cell r="C835" t="str"><v>43288FACEBOOK»USA-Trial-ITD-Trial Lookalike-AZR-AZR»1 x 1»SocialBan»CAN»ALL»CPA»LAL»X»NA»SS»NA»FBCTCBenefit2inMotion»PRC1M0</v></cell><cell r="D835" t="str"><v>43288223862927</v></cell><cell r="E835" t="str"><v>43288103043835PRC1M0</v></cell><cell r="F835" t="str"><v>DCM</v></cell><cell r="G835" t="str"><v>https://signup.azure.com/?OCID=AID%eexcid!_OLA_%ebuy!_%epid!_%ecid!</v></cell></row><row r="835"><cell r="K835" t="str"><v>July</v></cell><cell r="L835"><v>43288</v></cell><cell r="M835" t="str"><v>Tier 0</v></cell><cell r="N835" t="str"><v>North America</v></cell><cell r="O835" t="str"><v>United States</v></cell><cell r="P835" t="str"><v>Trial</v></cell><cell r="Q835" t="str"><v>Social</v></cell><cell r="R835" t="str"><v>Azure</v></cell><cell r="S835" t="str"><v>Apps & Infra</v></cell><cell r="T835" t="str"><v>Developers & ITI's</v></cell><cell r="U835" t="str"><v>USA-Trial-ITD-Trial Lookalike-AZR-AZR</v></cell><cell r="V835" t="str"><v>Lookalike Targeting</v></cell><cell r="W835" t="str"><v>Canvas Ad</v></cell><cell r="X835" t="str"><v>1x1</v></cell></row><row r="835"><cell r="AA835"><v>43288</v></cell><cell r="AB835" t="str"><v>USA_gaPMG_AZR_AZR_Q1_19_Direct-Social</v></cell><cell r="AC835"><v>21358715</v></cell><cell r="AD835"><v>720197</v></cell><cell r="AE835" t="str"><v>Facebook</v></cell><cell r="AF835"><v>3654128</v></cell><cell r="AG835" t="str"><v>FACEBOOK»USA-Trial-ITD-Trial Lookalike-AZR-AZR»1 x 1»SocialBan»CAN»ALL»CPA»LAL»X»NA»SS»NA»FBCTCBenefit2inMotion»PRC1M0</v></cell><cell r="AH835"><v>223862927</v></cell><cell r="AI835" t="str"><v>AzurePlatform_FBCTCBenefit2inMotion_USA_10s_CAN_PLATFORM_English_Trial_Standard_STAN_TIN_T4_1</v></cell><cell r="AJ835"><v>103043835</v></cell></row><row r="836"><cell r="C836" t="str"><v>43288FACEBOOK»USA-Trial-ITD-Trial Lookalike-AZR-AZR»1 x 1»SocialBan»CAN»ALL»CPA»LAL»X»NA»SS»NA»FBCTCBenefit2inMotion»PRC1M0</v></cell><cell r="D836" t="str"><v>43288223862927</v></cell><cell r="E836" t="str"><v>43288103178645PRC1M0</v></cell><cell r="F836" t="str"><v>DCM</v></cell><cell r="G836" t="str"><v>https://azure.microsoft.com/en-us/pricing/purchase-options/?v=18.19&OCID=AID%eexcid!_OLA_%ebuy!_%epid!_%ecid!</v></cell></row><row r="836"><cell r="K836" t="str"><v>July</v></cell><cell r="L836"><v>43288</v></cell><cell r="M836" t="str"><v>Tier 0</v></cell><cell r="N836" t="str"><v>North America</v></cell><cell r="O836" t="str"><v>United States</v></cell><cell r="P836" t="str"><v>Trial</v></cell><cell r="Q836" t="str"><v>Social</v></cell><cell r="R836" t="str"><v>Azure</v></cell><cell r="S836" t="str"><v>Apps & Infra</v></cell><cell r="T836" t="str"><v>Developers & ITI's</v></cell><cell r="U836" t="str"><v>USA-Trial-ITD-Trial Lookalike-AZR-AZR</v></cell><cell r="V836" t="str"><v>Lookalike Targeting</v></cell><cell r="W836" t="str"><v>Canvas Ad</v></cell><cell r="X836" t="str"><v>1x1</v></cell></row><row r="836"><cell r="AA836"><v>43288</v></cell><cell r="AB836" t="str"><v>USA_gaPMG_AZR_AZR_Q1_19_Direct-Social</v></cell><cell r="AC836"><v>21358715</v></cell><cell r="AD836"><v>720197</v></cell><cell r="AE836" t="str"><v>Facebook</v></cell><cell r="AF836"><v>3654128</v></cell><cell r="AG836" t="str"><v>FACEBOOK»USA-Trial-ITD-Trial Lookalike-AZR-AZR»1 x 1»SocialBan»CAN»ALL»CPA»LAL»X»NA»SS»NA»FBCTCBenefit2inMotion»PRC1M0</v></cell><cell r="AH836"><v>223862927</v></cell><cell r="AI836" t="str"><v>AzurePlatform_FBCTCBenefit2inMotion_USA_10s_CAN_PLATFORM_English_Trial_Standard_STAN_TIN_T4_2</v></cell><cell r="AJ836"><v>103178645</v></cell></row><row r="837"><cell r="C837" t="str"><v>43288FACEBOOK»USA-Trial-ITD-Trial Lookalike-AZR-AZR»1 x 1»SocialBan»CAN»ALL»CPA»LAL»X»NA»SS»NA»FBCTCBenefitinMotion»PRC1M2</v></cell><cell r="D837" t="str"><v>43288223862897</v></cell><cell r="E837" t="str"><v>43288103176836PRC1M2</v></cell><cell r="F837" t="str"><v>DCM</v></cell><cell r="G837" t="str"><v>https://azure.microsoft.com/en-us/pricing/purchase-options/?v=18.19&OCID=AID%eexcid!_OLA_%ebuy!_%epid!_%ecid!</v></cell></row><row r="837"><cell r="K837" t="str"><v>July</v></cell><cell r="L837"><v>43288</v></cell><cell r="M837" t="str"><v>Tier 0</v></cell><cell r="N837" t="str"><v>North America</v></cell><cell r="O837" t="str"><v>United States</v></cell><cell r="P837" t="str"><v>Trial</v></cell><cell r="Q837" t="str"><v>Social</v></cell><cell r="R837" t="str"><v>Azure</v></cell><cell r="S837" t="str"><v>Apps & Infra</v></cell><cell r="T837" t="str"><v>Developers & ITI's</v></cell><cell r="U837" t="str"><v>USA-Trial-ITD-Trial Lookalike-AZR-AZR</v></cell><cell r="V837" t="str"><v>Lookalike Targeting</v></cell><cell r="W837" t="str"><v>Canvas Ad</v></cell><cell r="X837" t="str"><v>1x1</v></cell></row><row r="837"><cell r="AA837"><v>43288</v></cell><cell r="AB837" t="str"><v>USA_gaPMG_AZR_AZR_Q1_19_Direct-Social</v></cell><cell r="AC837"><v>21358715</v></cell><cell r="AD837"><v>720197</v></cell><cell r="AE837" t="str"><v>Facebook</v></cell><cell r="AF837"><v>3654128</v></cell><cell r="AG837" t="str"><v>FACEBOOK»USA-Trial-ITD-Trial Lookalike-AZR-AZR»1 x 1»SocialBan»CAN»ALL»CPA»LAL»X»NA»SS»NA»FBCTCBenefitinMotion»PRC1M2</v></cell><cell r="AH837"><v>223862897</v></cell><cell r="AI837" t="str"><v>AzurePlatform_FBCTCBenefitinMotion_USA_10s_CAN_PLATFORM_English_Trial_Standard_STAN_TIN_T3_2</v></cell><cell r="AJ837"><v>103176836</v></cell></row><row r="838"><cell r="C838" t="str"><v>43288FACEBOOK»USA-Trial-ITD-Trial Lookalike-AZR-AZR»1 x 1»SocialBan»LIA»ALL»CPA»LAL»X»NA»SS»NA»FreeAcctDeveloperFB-AnimatedAI-Ch3»PRC1M7</v></cell><cell r="D838" t="str"><v>43288223934104</v></cell><cell r="E838" t="str"><v>43288103032778PRC1M7</v></cell><cell r="F838" t="str"><v>DCM</v></cell></row><row r="838"><cell r="K838" t="str"><v>July</v></cell><cell r="L838"><v>43288</v></cell><cell r="M838" t="str"><v>Tier 0</v></cell><cell r="N838" t="str"><v>North America</v></cell><cell r="O838" t="str"><v>United States</v></cell><cell r="P838" t="str"><v>Trial</v></cell><cell r="Q838" t="str"><v>Social</v></cell><cell r="R838" t="str"><v>Azure</v></cell><cell r="S838" t="str"><v>Apps & Infra</v></cell><cell r="T838" t="str"><v>Developers & ITI's</v></cell><cell r="U838" t="str"><v>USA-Trial-ITD-Trial Lookalike-AZR-AZR</v></cell><cell r="V838" t="str"><v>Lookalike Targeting</v></cell><cell r="W838" t="str"><v>Link Ad</v></cell><cell r="X838" t="str"><v>1x1</v></cell></row><row r="838"><cell r="AA838"><v>43288</v></cell><cell r="AB838" t="str"><v>USA_gaPMG_AZR_AZR_Q1_19_Direct-Social</v></cell><cell r="AC838"><v>21358715</v></cell><cell r="AD838"><v>720197</v></cell><cell r="AE838" t="str"><v>Facebook</v></cell><cell r="AF838"><v>3654128</v></cell><cell r="AG838" t="str"><v>FACEBOOK»USA-Trial-ITD-Trial Lookalike-AZR-AZR»1 x 1»SocialBan»LIA»ALL»CPA»LAL»X»NA»SS»NA»FreeAcctDeveloperFB-AnimatedAI-Ch3»PRC1M7</v></cell><cell r="AH838"><v>223934104</v></cell><cell r="AI838" t="str"><v>AZR_FreeAcctDeveloperFB-AnimatedAI-Ch3_USA_1200x1200_CAN_Direct_English_Trial_Standard_ANI_LEA_T3_1</v></cell><cell r="AJ838"><v>103032778</v></cell></row><row r="839"><cell r="C839" t="str"><v>43288FACEBOOK»USA-Trial-ITD-Trial Lookalike-AZR-AZR»1 x 1»SocialBan»LIA»ALL»CPA»LAL»X»NA»SS»NA»FreeAcctDeveloperFB-AnimatedData-Ch4»PRC1M8</v></cell><cell r="D839" t="str"><v>43288223862933</v></cell><cell r="E839" t="str"><v>43288103037935PRC1M8</v></cell><cell r="F839" t="str"><v>DCM</v></cell></row><row r="839"><cell r="K839" t="str"><v>July</v></cell><cell r="L839"><v>43288</v></cell><cell r="M839" t="str"><v>Tier 0</v></cell><cell r="N839" t="str"><v>North America</v></cell><cell r="O839" t="str"><v>United States</v></cell><cell r="P839" t="str"><v>Trial</v></cell><cell r="Q839" t="str"><v>Social</v></cell><cell r="R839" t="str"><v>Azure</v></cell><cell r="S839" t="str"><v>Apps & Infra</v></cell><cell r="T839" t="str"><v>Developers & ITI's</v></cell><cell r="U839" t="str"><v>USA-Trial-ITD-Trial Lookalike-AZR-AZR</v></cell><cell r="V839" t="str"><v>Lookalike Targeting</v></cell><cell r="W839" t="str"><v>Link Ad</v></cell><cell r="X839" t="str"><v>1x1</v></cell></row><row r="839"><cell r="AA839"><v>43288</v></cell><cell r="AB839" t="str"><v>USA_gaPMG_AZR_AZR_Q1_19_Direct-Social</v></cell><cell r="AC839"><v>21358715</v></cell><cell r="AD839"><v>720197</v></cell><cell r="AE839" t="str"><v>Facebook</v></cell><cell r="AF839"><v>3654128</v></cell><cell r="AG839" t="str"><v>FACEBOOK»USA-Trial-ITD-Trial Lookalike-AZR-AZR»1 x 1»SocialBan»LIA»ALL»CPA»LAL»X»NA»SS»NA»FreeAcctDeveloperFB-AnimatedData-Ch4»PRC1M8</v></cell><cell r="AH839"><v>223862933</v></cell><cell r="AI839" t="str"><v>AZR_FreeAcctDeveloperFB-AnimatedData-Ch4_USA_1200x1200_CAN_Direct_English_Trial_Standard_ANI_LEA_T4_2</v></cell><cell r="AJ839"><v>103037935</v></cell></row><row r="840"><cell r="C840" t="str"><v>43288FACEBOOK»USA-Trial-ITD-Trial Lookalike-AZR-AZR»1 x 1»SocialBan»LIA»ALL»CPA»LAL»X»NA»SS»NA»FreeAcctITProFB-AnimatedHybrid-Ch2»PRC1MC</v></cell><cell r="D840" t="str"><v>43288224104956</v></cell><cell r="E840" t="str"><v>43288103180583PRC1MC</v></cell><cell r="F840" t="str"><v>DCM</v></cell></row><row r="840"><cell r="K840" t="str"><v>July</v></cell><cell r="L840"><v>43288</v></cell><cell r="M840" t="str"><v>Tier 0</v></cell><cell r="N840" t="str"><v>North America</v></cell><cell r="O840" t="str"><v>United States</v></cell><cell r="P840" t="str"><v>Trial</v></cell><cell r="Q840" t="str"><v>Social</v></cell><cell r="R840" t="str"><v>Azure</v></cell><cell r="S840" t="str"><v>Apps & Infra</v></cell><cell r="T840" t="str"><v>Developers & ITI's</v></cell><cell r="U840" t="str"><v>USA-Trial-ITD-Trial Lookalike-AZR-AZR</v></cell><cell r="V840" t="str"><v>Lookalike Targeting</v></cell><cell r="W840" t="str"><v>Link Ad</v></cell><cell r="X840" t="str"><v>1x1</v></cell></row><row r="840"><cell r="AA840"><v>43288</v></cell><cell r="AB840" t="str"><v>USA_gaPMG_AZR_AZR_Q1_19_Direct-Social</v></cell><cell r="AC840"><v>21358715</v></cell><cell r="AD840"><v>720197</v></cell><cell r="AE840" t="str"><v>Facebook</v></cell><cell r="AF840"><v>3654128</v></cell><cell r="AG840" t="str"><v>FACEBOOK»USA-Trial-ITD-Trial Lookalike-AZR-AZR»1 x 1»SocialBan»LIA»ALL»CPA»LAL»X»NA»SS»NA»FreeAcctITProFB-AnimatedHybrid-Ch2»PRC1MC</v></cell><cell r="AH840"><v>224104956</v></cell><cell r="AI840" t="str"><v>AZR_FreeAcctITProFB-AnimatedHybrid-Ch2_USA_1200x1200_CAN_Direct_English_Trial_Standard_ANI_LEA_T2_2</v></cell><cell r="AJ840"><v>103180583</v></cell></row><row r="841"><cell r="C841" t="str"><v>43288FACEBOOK»USA-Trial-ITD-Trial Lookalike-AZR-AZR»1 x 1»SocialBan»CAN»ALL»CPA»LAL»X»NA»SS»NA»FBCTCBrandinMotion»PRC1M3</v></cell><cell r="D841" t="str"><v>43288223862900</v></cell><cell r="E841" t="str"><v>43288103176812PRC1M3</v></cell><cell r="F841" t="str"><v>DCM</v></cell><cell r="G841" t="str"><v>https://signup.azure.com/?OCID=AID%eexcid!_OLA_%ebuy!_%epid!_%ecid!</v></cell></row><row r="841"><cell r="K841" t="str"><v>July</v></cell><cell r="L841"><v>43288</v></cell><cell r="M841" t="str"><v>Tier 0</v></cell><cell r="N841" t="str"><v>North America</v></cell><cell r="O841" t="str"><v>United States</v></cell><cell r="P841" t="str"><v>Trial</v></cell><cell r="Q841" t="str"><v>Social</v></cell><cell r="R841" t="str"><v>Azure</v></cell><cell r="S841" t="str"><v>Apps & Infra</v></cell><cell r="T841" t="str"><v>Developers & ITI's</v></cell><cell r="U841" t="str"><v>USA-Trial-ITD-Trial Lookalike-AZR-AZR</v></cell><cell r="V841" t="str"><v>Lookalike Targeting</v></cell><cell r="W841" t="str"><v>Canvas Ad</v></cell><cell r="X841" t="str"><v>1x1</v></cell></row><row r="841"><cell r="AA841"><v>43288</v></cell><cell r="AB841" t="str"><v>USA_gaPMG_AZR_AZR_Q1_19_Direct-Social</v></cell><cell r="AC841"><v>21358715</v></cell><cell r="AD841"><v>720197</v></cell><cell r="AE841" t="str"><v>Facebook</v></cell><cell r="AF841"><v>3654128</v></cell><cell r="AG841" t="str"><v>FACEBOOK»USA-Trial-ITD-Trial Lookalike-AZR-AZR»1 x 1»SocialBan»CAN»ALL»CPA»LAL»X»NA»SS»NA»FBCTCBrandinMotion»PRC1M3</v></cell><cell r="AH841"><v>223862900</v></cell><cell r="AI841" t="str"><v>AzurePlatform_FBCTCBrandinMotion_USA_10s_CAN_PLATFORM_English_Trial_Standard_STAN_TIN_T2_1</v></cell><cell r="AJ841"><v>103176812</v></cell></row><row r="842"><cell r="C842" t="str"><v>43288FACEBOOK»USA-Trial-ITD-Trial Lookalike-AZR-AZR»1 x 1»SocialBan»CAN»ALL»CPA»LAL»X»NA»SS»NA»FBCTCBrandinMotion»PRC1M3</v></cell><cell r="D842" t="str"><v>43288223862900</v></cell><cell r="E842" t="str"><v>43288103032823PRC1M3</v></cell><cell r="F842" t="str"><v>DCM</v></cell><cell r="G842" t="str"><v>https://azure.microsoft.com/en-us/pricing/purchase-options/?v=18.19&OCID=AID%eexcid!_OLA_%ebuy!_%epid!_%ecid!</v></cell></row><row r="842"><cell r="K842" t="str"><v>July</v></cell><cell r="L842"><v>43288</v></cell><cell r="M842" t="str"><v>Tier 0</v></cell><cell r="N842" t="str"><v>North America</v></cell><cell r="O842" t="str"><v>United States</v></cell><cell r="P842" t="str"><v>Trial</v></cell><cell r="Q842" t="str"><v>Social</v></cell><cell r="R842" t="str"><v>Azure</v></cell><cell r="S842" t="str"><v>Apps & Infra</v></cell><cell r="T842" t="str"><v>Developers & ITI's</v></cell><cell r="U842" t="str"><v>USA-Trial-ITD-Trial Lookalike-AZR-AZR</v></cell><cell r="V842" t="str"><v>Lookalike Targeting</v></cell><cell r="W842" t="str"><v>Canvas Ad</v></cell><cell r="X842" t="str"><v>1x1</v></cell></row><row r="842"><cell r="AA842"><v>43288</v></cell><cell r="AB842" t="str"><v>USA_gaPMG_AZR_AZR_Q1_19_Direct-Social</v></cell><cell r="AC842"><v>21358715</v></cell><cell r="AD842"><v>720197</v></cell><cell r="AE842" t="str"><v>Facebook</v></cell><cell r="AF842"><v>3654128</v></cell><cell r="AG842" t="str"><v>FACEBOOK»USA-Trial-ITD-Trial Lookalike-AZR-AZR»1 x 1»SocialBan»CAN»ALL»CPA»LAL»X»NA»SS»NA»FBCTCBrandinMotion»PRC1M3</v></cell><cell r="AH842"><v>223862900</v></cell><cell r="AI842" t="str"><v>AzurePlatform_FBCTCBrandinMotion_USA_10s_CAN_PLATFORM_English_Trial_Standard_STAN_TIN_T2_2</v></cell><cell r="AJ842"><v>103032823</v></cell></row><row r="843"><cell r="C843" t="str"><v>43288FACEBOOK»USA-Trial-ITD-Trial PayGo Lookalike-AZR-AZR»1 x 1»SocialBan»CAN»ALL»CPA»LAL»X»NA»SS»NA»FBCTCBenefit2inMotion»PRC1Q1</v></cell><cell r="D843" t="str"><v>43288224104986</v></cell><cell r="E843" t="str"><v>43288103043835PRC1Q1</v></cell><cell r="F843" t="str"><v>DCM</v></cell><cell r="G843" t="str"><v>https://signup.azure.com/?OCID=AID%eexcid!_OLA_%ebuy!_%epid!_%ecid!</v></cell></row><row r="843"><cell r="K843" t="str"><v>July</v></cell><cell r="L843"><v>43288</v></cell><cell r="M843" t="str"><v>Tier 0</v></cell><cell r="N843" t="str"><v>North America</v></cell><cell r="O843" t="str"><v>United States</v></cell><cell r="P843" t="str"><v>Trial</v></cell><cell r="Q843" t="str"><v>Social</v></cell><cell r="R843" t="str"><v>Azure</v></cell><cell r="S843" t="str"><v>Apps & Infra</v></cell><cell r="T843" t="str"><v>Developers & ITI's</v></cell><cell r="U843" t="str"><v>USA-Trial-ITD-Trial PayGo Lookalike-AZR-AZR</v></cell><cell r="V843" t="str"><v>Lookalike Targeting</v></cell><cell r="W843" t="str"><v>Canvas Ad</v></cell><cell r="X843" t="str"><v>1x1</v></cell></row><row r="843"><cell r="AA843"><v>43288</v></cell><cell r="AB843" t="str"><v>USA_gaPMG_AZR_AZR_Q1_19_Direct-Social</v></cell><cell r="AC843"><v>21358715</v></cell><cell r="AD843"><v>720197</v></cell><cell r="AE843" t="str"><v>Facebook</v></cell><cell r="AF843"><v>3654128</v></cell><cell r="AG843" t="str"><v>FACEBOOK»USA-Trial-ITD-Trial PayGo Lookalike-AZR-AZR»1 x 1»SocialBan»CAN»ALL»CPA»LAL»X»NA»SS»NA»FBCTCBenefit2inMotion»PRC1Q1</v></cell><cell r="AH843"><v>224104986</v></cell><cell r="AI843" t="str"><v>AzurePlatform_FBCTCBenefit2inMotion_USA_10s_CAN_PLATFORM_English_Trial_Standard_STAN_TIN_T4_1</v></cell><cell r="AJ843"><v>103043835</v></cell></row><row r="844"><cell r="C844" t="str"><v>43288FACEBOOK»USA-Trial-ITD-Trial PayGo Lookalike-AZR-AZR»1 x 1»SocialBan»CAN»ALL»CPA»LAL»X»NA»SS»NA»FBCTCBenefit2inMotion»PRC1Q1</v></cell><cell r="D844" t="str"><v>43288224104986</v></cell><cell r="E844" t="str"><v>43288103178645PRC1Q1</v></cell><cell r="F844" t="str"><v>DCM</v></cell><cell r="G844" t="str"><v>https://azure.microsoft.com/en-us/pricing/purchase-options/?v=18.19&OCID=AID%eexcid!_OLA_%ebuy!_%epid!_%ecid!</v></cell></row><row r="844"><cell r="K844" t="str"><v>July</v></cell><cell r="L844"><v>43288</v></cell><cell r="M844" t="str"><v>Tier 0</v></cell><cell r="N844" t="str"><v>North America</v></cell><cell r="O844" t="str"><v>United States</v></cell><cell r="P844" t="str"><v>Trial</v></cell><cell r="Q844" t="str"><v>Social</v></cell><cell r="R844" t="str"><v>Azure</v></cell><cell r="S844" t="str"><v>Apps & Infra</v></cell><cell r="T844" t="str"><v>Developers & ITI's</v></cell><cell r="U844" t="str"><v>USA-Trial-ITD-Trial PayGo Lookalike-AZR-AZR</v></cell><cell r="V844" t="str"><v>Lookalike Targeting</v></cell><cell r="W844" t="str"><v>Canvas Ad</v></cell><cell r="X844" t="str"><v>1x1</v></cell></row><row r="844"><cell r="AA844"><v>43288</v></cell><cell r="AB844" t="str"><v>USA_gaPMG_AZR_AZR_Q1_19_Direct-Social</v></cell><cell r="AC844"><v>21358715</v></cell><cell r="AD844"><v>720197</v></cell><cell r="AE844" t="str"><v>Facebook</v></cell><cell r="AF844"><v>3654128</v></cell><cell r="AG844" t="str"><v>FACEBOOK»USA-Trial-ITD-Trial PayGo Lookalike-AZR-AZR»1 x 1»SocialBan»CAN»ALL»CPA»LAL»X»NA»SS»NA»FBCTCBenefit2inMotion»PRC1Q1</v></cell><cell r="AH844"><v>224104986</v></cell><cell r="AI844" t="str"><v>AzurePlatform_FBCTCBenefit2inMotion_USA_10s_CAN_PLATFORM_English_Trial_Standard_STAN_TIN_T4_2</v></cell><cell r="AJ844"><v>103178645</v></cell></row><row r="845"><cell r="C845" t="str"><v>43288FACEBOOK»USA-Trial-ITD-Trial PayGo Lookalike-AZR-AZR»1 x 1»SocialBan»CAN»ALL»CPA»LAL»X»NA»SS»NA»FBCTCBrandinMotion»PRC1Q3</v></cell><cell r="D845" t="str"><v>43288223935349</v></cell><cell r="E845" t="str"><v>43288103176812PRC1Q3</v></cell><cell r="F845" t="str"><v>DCM</v></cell><cell r="G845" t="str"><v>https://signup.azure.com/?OCID=AID%eexcid!_OLA_%ebuy!_%epid!_%ecid!</v></cell></row><row r="845"><cell r="K845" t="str"><v>July</v></cell><cell r="L845"><v>43288</v></cell><cell r="M845" t="str"><v>Tier 0</v></cell><cell r="N845" t="str"><v>North America</v></cell><cell r="O845" t="str"><v>United States</v></cell><cell r="P845" t="str"><v>Trial</v></cell><cell r="Q845" t="str"><v>Social</v></cell><cell r="R845" t="str"><v>Azure</v></cell><cell r="S845" t="str"><v>Apps & Infra</v></cell><cell r="T845" t="str"><v>Developers & ITI's</v></cell><cell r="U845" t="str"><v>USA-Trial-ITD-Trial PayGo Lookalike-AZR-AZR</v></cell><cell r="V845" t="str"><v>Lookalike Targeting</v></cell><cell r="W845" t="str"><v>Canvas Ad</v></cell><cell r="X845" t="str"><v>1x1</v></cell></row><row r="845"><cell r="AA845"><v>43288</v></cell><cell r="AB845" t="str"><v>USA_gaPMG_AZR_AZR_Q1_19_Direct-Social</v></cell><cell r="AC845"><v>21358715</v></cell><cell r="AD845"><v>720197</v></cell><cell r="AE845" t="str"><v>Facebook</v></cell><cell r="AF845"><v>3654128</v></cell><cell r="AG845" t="str"><v>FACEBOOK»USA-Trial-ITD-Trial PayGo Lookalike-AZR-AZR»1 x 1»SocialBan»CAN»ALL»CPA»LAL»X»NA»SS»NA»FBCTCBrandinMotion»PRC1Q3</v></cell><cell r="AH845"><v>223935349</v></cell><cell r="AI845" t="str"><v>AzurePlatform_FBCTCBrandinMotion_USA_10s_CAN_PLATFORM_English_Trial_Standard_STAN_TIN_T2_1</v></cell><cell r="AJ845"><v>103176812</v></cell></row><row r="846"><cell r="C846" t="str"><v>43288FACEBOOK»USA-Trial-ITD-Trial PayGo Lookalike-AZR-AZR»1 x 1»SocialBan»CAN»ALL»CPA»LAL»X»NA»SS»NA»FBCTCBrandinMotion»PRC1Q3</v></cell><cell r="D846" t="str"><v>43288223935349</v></cell><cell r="E846" t="str"><v>43288103032823PRC1Q3</v></cell><cell r="F846" t="str"><v>DCM</v></cell><cell r="G846" t="str"><v>https://azure.microsoft.com/en-us/pricing/purchase-options/?v=18.19&OCID=AID%eexcid!_OLA_%ebuy!_%epid!_%ecid!</v></cell></row><row r="846"><cell r="K846" t="str"><v>July</v></cell><cell r="L846"><v>43288</v></cell><cell r="M846" t="str"><v>Tier 0</v></cell><cell r="N846" t="str"><v>North America</v></cell><cell r="O846" t="str"><v>United States</v></cell><cell r="P846" t="str"><v>Trial</v></cell><cell r="Q846" t="str"><v>Social</v></cell><cell r="R846" t="str"><v>Azure</v></cell><cell r="S846" t="str"><v>Apps & Infra</v></cell><cell r="T846" t="str"><v>Developers & ITI's</v></cell><cell r="U846" t="str"><v>USA-Trial-ITD-Trial PayGo Lookalike-AZR-AZR</v></cell><cell r="V846" t="str"><v>Lookalike Targeting</v></cell><cell r="W846" t="str"><v>Canvas Ad</v></cell><cell r="X846" t="str"><v>1x1</v></cell></row><row r="846"><cell r="AA846"><v>43288</v></cell><cell r="AB846" t="str"><v>USA_gaPMG_AZR_AZR_Q1_19_Direct-Social</v></cell><cell r="AC846"><v>21358715</v></cell><cell r="AD846"><v>720197</v></cell><cell r="AE846" t="str"><v>Facebook</v></cell><cell r="AF846"><v>3654128</v></cell><cell r="AG846" t="str"><v>FACEBOOK»USA-Trial-ITD-Trial PayGo Lookalike-AZR-AZR»1 x 1»SocialBan»CAN»ALL»CPA»LAL»X»NA»SS»NA»FBCTCBrandinMotion»PRC1Q3</v></cell><cell r="AH846"><v>223935349</v></cell><cell r="AI846" t="str"><v>AzurePlatform_FBCTCBrandinMotion_USA_10s_CAN_PLATFORM_English_Trial_Standard_STAN_TIN_T2_2</v></cell><cell r="AJ846"><v>103032823</v></cell></row><row r="847"><cell r="C847" t="str"><v>43288FACEBOOK»USA-Trial-ITD-Trial PayGo Lookalike-AZR-AZR»1 x 1»SocialBan»CAN»ALL»CPA»LAL»X»NA»SS»NA»FBCTCBenefitinMotion»PRC1Q2</v></cell><cell r="D847" t="str"><v>43288223862960</v></cell><cell r="E847" t="str"><v>43288103032775PRC1Q2</v></cell><cell r="F847" t="str"><v>DCM</v></cell><cell r="G847" t="str"><v>https://signup.azure.com/?OCID=AID%eexcid!_OLA_%ebuy!_%epid!_%ecid!</v></cell></row><row r="847"><cell r="K847" t="str"><v>July</v></cell><cell r="L847"><v>43288</v></cell><cell r="M847" t="str"><v>Tier 0</v></cell><cell r="N847" t="str"><v>North America</v></cell><cell r="O847" t="str"><v>United States</v></cell><cell r="P847" t="str"><v>Trial</v></cell><cell r="Q847" t="str"><v>Social</v></cell><cell r="R847" t="str"><v>Azure</v></cell><cell r="S847" t="str"><v>Apps & Infra</v></cell><cell r="T847" t="str"><v>Developers & ITI's</v></cell><cell r="U847" t="str"><v>USA-Trial-ITD-Trial PayGo Lookalike-AZR-AZR</v></cell><cell r="V847" t="str"><v>Lookalike Targeting</v></cell><cell r="W847" t="str"><v>Canvas Ad</v></cell><cell r="X847" t="str"><v>1x1</v></cell></row><row r="847"><cell r="AA847"><v>43288</v></cell><cell r="AB847" t="str"><v>USA_gaPMG_AZR_AZR_Q1_19_Direct-Social</v></cell><cell r="AC847"><v>21358715</v></cell><cell r="AD847"><v>720197</v></cell><cell r="AE847" t="str"><v>Facebook</v></cell><cell r="AF847"><v>3654128</v></cell><cell r="AG847" t="str"><v>FACEBOOK»USA-Trial-ITD-Trial PayGo Lookalike-AZR-AZR»1 x 1»SocialBan»CAN»ALL»CPA»LAL»X»NA»SS»NA»FBCTCBenefitinMotion»PRC1Q2</v></cell><cell r="AH847"><v>223862960</v></cell><cell r="AI847" t="str"><v>AzurePlatform_FBCTCBenefitinMotion_USA_10s_CAN_PLATFORM_English_Trial_Standard_STAN_TIN_T3_1</v></cell><cell r="AJ847"><v>103032775</v></cell></row><row r="848"><cell r="C848" t="str"><v>43288FACEBOOK»USA-Trial-ITD-Trial PayGo Lookalike-AZR-AZR»1 x 1»SocialBan»LIA»ALL»CPA»LAL»X»NA»SS»NA»FreeAcctDeveloperFB-AnimatedGeneric-Ch1»PRC1Q6</v></cell><cell r="D848" t="str"><v>43288224106129</v></cell><cell r="E848" t="str"><v>43288103176851PRC1Q6</v></cell><cell r="F848" t="str"><v>DCM</v></cell><cell r="G848" t="str"><v>https://azure.microsoft.com/en-us/free/search/?OCID=AID%eexcid!_OLA_%ebuy!_%epid!_%ecid!</v></cell></row><row r="848"><cell r="K848" t="str"><v>July</v></cell><cell r="L848"><v>43288</v></cell><cell r="M848" t="str"><v>Tier 0</v></cell><cell r="N848" t="str"><v>North America</v></cell><cell r="O848" t="str"><v>United States</v></cell><cell r="P848" t="str"><v>Trial</v></cell><cell r="Q848" t="str"><v>Social</v></cell><cell r="R848" t="str"><v>Azure</v></cell><cell r="S848" t="str"><v>Apps & Infra</v></cell><cell r="T848" t="str"><v>Developers & ITI's</v></cell><cell r="U848" t="str"><v>USA-Trial-ITD-Trial PayGo Lookalike-AZR-AZR</v></cell><cell r="V848" t="str"><v>Lookalike Targeting</v></cell><cell r="W848" t="str"><v>Link Ad</v></cell><cell r="X848" t="str"><v>1x1</v></cell></row><row r="848"><cell r="AA848"><v>43288</v></cell><cell r="AB848" t="str"><v>USA_gaPMG_AZR_AZR_Q1_19_Direct-Social</v></cell><cell r="AC848"><v>21358715</v></cell><cell r="AD848"><v>720197</v></cell><cell r="AE848" t="str"><v>Facebook</v></cell><cell r="AF848"><v>3654128</v></cell><cell r="AG848" t="str"><v>FACEBOOK»USA-Trial-ITD-Trial PayGo Lookalike-AZR-AZR»1 x 1»SocialBan»LIA»ALL»CPA»LAL»X»NA»SS»NA»FreeAcctDeveloperFB-AnimatedGeneric-Ch1»PRC1Q6</v></cell><cell r="AH848"><v>224106129</v></cell><cell r="AI848" t="str"><v>AZR_FreeAcctDeveloperFB-AnimatedGeneric-Ch1_USA_1200x1200_CAN_Direct_English_Trial_Standard_ANI_LEA_T1_2</v></cell><cell r="AJ848"><v>103176851</v></cell></row><row r="849"><cell r="C849" t="str"><v>43288FACEBOOK»USA-Trial-ITD-Interest Prospecting-AZR-AZR»1 x 1»SocialBan»LIA»ALL»CPA»PRO»X»NA»SS»NA»FreeAcctDeveloperFB-AnimatedAI-Ch3»PRC1T2</v></cell><cell r="D849" t="str"><v>43288223862765</v></cell><cell r="E849" t="str"><v>43288103032778PRC1T2</v></cell><cell r="F849" t="str"><v>DCM</v></cell></row><row r="849"><cell r="K849" t="str"><v>July</v></cell><cell r="L849"><v>43288</v></cell><cell r="M849" t="str"><v>Tier 0</v></cell><cell r="N849" t="str"><v>North America</v></cell><cell r="O849" t="str"><v>United States</v></cell><cell r="P849" t="str"><v>Trial</v></cell><cell r="Q849" t="str"><v>Social</v></cell><cell r="R849" t="str"><v>Azure</v></cell><cell r="S849" t="str"><v>Apps & Infra</v></cell><cell r="T849" t="str"><v>Developers & ITI's</v></cell><cell r="U849" t="str"><v>USA-Trial-ITD-Interest Prospecting-AZR-AZR</v></cell><cell r="V849" t="str"><v>Prospecting</v></cell><cell r="W849" t="str"><v>Link Ad</v></cell><cell r="X849" t="str"><v>1x1</v></cell></row><row r="849"><cell r="AA849"><v>43288</v></cell><cell r="AB849" t="str"><v>USA_gaPMG_AZR_AZR_Q1_19_Direct-Social</v></cell><cell r="AC849"><v>21358715</v></cell><cell r="AD849"><v>720197</v></cell><cell r="AE849" t="str"><v>Facebook</v></cell><cell r="AF849"><v>3654128</v></cell><cell r="AG849" t="str"><v>FACEBOOK»USA-Trial-ITD-Interest Prospecting-AZR-AZR»1 x 1»SocialBan»LIA»ALL»CPA»PRO»X»NA»SS»NA»FreeAcctDeveloperFB-AnimatedAI-Ch3»PRC1T2</v></cell><cell r="AH849"><v>223862765</v></cell><cell r="AI849" t="str"><v>AZR_FreeAcctDeveloperFB-AnimatedAI-Ch3_USA_1200x1200_CAN_Direct_English_Trial_Standard_ANI_LEA_T3_1</v></cell><cell r="AJ849"><v>103032778</v></cell></row><row r="850"><cell r="C850" t="str"><v>43288FACEBOOK»USA-Trial-ITD-Interest Prospecting-AZR-AZR»1 x 1»SocialBan»LIA»ALL»CPA»PRO»X»NA»SS»NA»FreeAcctDeveloperFB-AnimatedData-Ch4»PRC1T3</v></cell><cell r="D850" t="str"><v>43288223863380</v></cell><cell r="E850" t="str"><v>43288103037935PRC1T3</v></cell><cell r="F850" t="str"><v>DCM</v></cell></row><row r="850"><cell r="K850" t="str"><v>July</v></cell><cell r="L850"><v>43288</v></cell><cell r="M850" t="str"><v>Tier 0</v></cell><cell r="N850" t="str"><v>North America</v></cell><cell r="O850" t="str"><v>United States</v></cell><cell r="P850" t="str"><v>Trial</v></cell><cell r="Q850" t="str"><v>Social</v></cell><cell r="R850" t="str"><v>Azure</v></cell><cell r="S850" t="str"><v>Apps & Infra</v></cell><cell r="T850" t="str"><v>Developers & ITI's</v></cell><cell r="U850" t="str"><v>USA-Trial-ITD-Interest Prospecting-AZR-AZR</v></cell><cell r="V850" t="str"><v>Prospecting</v></cell><cell r="W850" t="str"><v>Link Ad</v></cell><cell r="X850" t="str"><v>1x1</v></cell></row><row r="850"><cell r="AA850"><v>43288</v></cell><cell r="AB850" t="str"><v>USA_gaPMG_AZR_AZR_Q1_19_Direct-Social</v></cell><cell r="AC850"><v>21358715</v></cell><cell r="AD850"><v>720197</v></cell><cell r="AE850" t="str"><v>Facebook</v></cell><cell r="AF850"><v>3654128</v></cell><cell r="AG850" t="str"><v>FACEBOOK»USA-Trial-ITD-Interest Prospecting-AZR-AZR»1 x 1»SocialBan»LIA»ALL»CPA»PRO»X»NA»SS»NA»FreeAcctDeveloperFB-AnimatedData-Ch4»PRC1T3</v></cell><cell r="AH850"><v>223863380</v></cell><cell r="AI850" t="str"><v>AZR_FreeAcctDeveloperFB-AnimatedData-Ch4_USA_1200x1200_CAN_Direct_English_Trial_Standard_ANI_LEA_T4_2</v></cell><cell r="AJ850"><v>103037935</v></cell></row><row r="851"><cell r="C851" t="str"><v>43288FACEBOOK»USA-Trial-ITD-Interest Prospecting-AZR-AZR»1 x 1»SocialBan»LIA»ALL»CPA»PRO»X»NA»SS»NA»FreeAcctDeveloperFB-AnimatedOpenSource-Ch2»PRC1T1</v></cell><cell r="D851" t="str"><v>43288223862885</v></cell><cell r="E851" t="str"><v>43288103048329PRC1T1</v></cell><cell r="F851" t="str"><v>DCM</v></cell><cell r="G851" t="str"><v>https://azure.microsoft.com/en-us/free/open-source/search/?OCID=AID%eexcid!_OLA_%ebuy!_%epid!_%ecid!</v></cell></row><row r="851"><cell r="K851" t="str"><v>July</v></cell><cell r="L851"><v>43288</v></cell><cell r="M851" t="str"><v>Tier 0</v></cell><cell r="N851" t="str"><v>North America</v></cell><cell r="O851" t="str"><v>United States</v></cell><cell r="P851" t="str"><v>Trial</v></cell><cell r="Q851" t="str"><v>Social</v></cell><cell r="R851" t="str"><v>Azure</v></cell><cell r="S851" t="str"><v>Apps & Infra</v></cell><cell r="T851" t="str"><v>Developers & ITI's</v></cell><cell r="U851" t="str"><v>USA-Trial-ITD-Interest Prospecting-AZR-AZR</v></cell><cell r="V851" t="str"><v>Prospecting</v></cell><cell r="W851" t="str"><v>Link Ad</v></cell><cell r="X851" t="str"><v>1x1</v></cell></row><row r="851"><cell r="AA851"><v>43288</v></cell><cell r="AB851" t="str"><v>USA_gaPMG_AZR_AZR_Q1_19_Direct-Social</v></cell><cell r="AC851"><v>21358715</v></cell><cell r="AD851"><v>720197</v></cell><cell r="AE851" t="str"><v>Facebook</v></cell><cell r="AF851"><v>3654128</v></cell><cell r="AG851" t="str"><v>FACEBOOK»USA-Trial-ITD-Interest Prospecting-AZR-AZR»1 x 1»SocialBan»LIA»ALL»CPA»PRO»X»NA»SS»NA»FreeAcctDeveloperFB-AnimatedOpenSource-Ch2»PRC1T1</v></cell><cell r="AH851"><v>223862885</v></cell><cell r="AI851" t="str"><v>AZR_FreeAcctDeveloperFB-AnimatedOpenSource-Ch2_USA_1200x1200_CAN_Direct_English_Trial_Standard_ANI_LEA_T2_1</v></cell><cell r="AJ851"><v>103048329</v></cell></row><row r="852"><cell r="C852" t="str"><v>43288FACEBOOK»USA-Trial-ITD-Interest Prospecting-AZR-AZR»1 x 1»SocialBan»LIA»ALL»CPA»PRO»X»NA»SS»NA»FreeAcctITProFB-AnimatedMigration-Ch3»PRC1X2</v></cell><cell r="D852" t="str"><v>43288224106954</v></cell><cell r="E852" t="str"><v>43288103176827PRC1X2</v></cell><cell r="F852" t="str"><v>DCM</v></cell></row><row r="852"><cell r="K852" t="str"><v>July</v></cell><cell r="L852"><v>43288</v></cell><cell r="M852" t="str"><v>Tier 0</v></cell><cell r="N852" t="str"><v>North America</v></cell><cell r="O852" t="str"><v>United States</v></cell><cell r="P852" t="str"><v>Trial</v></cell><cell r="Q852" t="str"><v>Social</v></cell><cell r="R852" t="str"><v>Azure</v></cell><cell r="S852" t="str"><v>Apps & Infra</v></cell><cell r="T852" t="str"><v>Developers & ITI's</v></cell><cell r="U852" t="str"><v>USA-Trial-ITD-Interest Prospecting-AZR-AZR</v></cell><cell r="V852" t="str"><v>Prospecting</v></cell><cell r="W852" t="str"><v>Link Ad</v></cell><cell r="X852" t="str"><v>1x1</v></cell></row><row r="852"><cell r="AA852"><v>43288</v></cell><cell r="AB852" t="str"><v>USA_gaPMG_AZR_AZR_Q1_19_Direct-Social</v></cell><cell r="AC852"><v>21358715</v></cell><cell r="AD852"><v>720197</v></cell><cell r="AE852" t="str"><v>Facebook</v></cell><cell r="AF852"><v>3654128</v></cell><cell r="AG852" t="str"><v>FACEBOOK»USA-Trial-ITD-Interest Prospecting-AZR-AZR»1 x 1»SocialBan»LIA»ALL»CPA»PRO»X»NA»SS»NA»FreeAcctITProFB-AnimatedMigration-Ch3»PRC1X2</v></cell><cell r="AH852"><v>224106954</v></cell><cell r="AI852" t="str"><v>AZR_FreeAcctITProFB-AnimatedMigration-Ch3_USA_1200x1200_CAN_Direct_English_Trial_Standard_ANI_LEA_T3_1</v></cell><cell r="AJ852"><v>103176827</v></cell></row><row r="853"><cell r="C853" t="str"><v>43288FACEBOOK»USA-Trial-ITD-Lead Completes-AZR-AZR»1 x 1»SocialBan»LIA»ALL»CPA»PRO»X»NA»SS»NA»FreeAcctDeveloperFB-AnimatedAI-Ch3»PRC1W1</v></cell><cell r="D853" t="str"><v>43288223933096</v></cell><cell r="E853" t="str"><v>43288103032778PRC1W1</v></cell><cell r="F853" t="str"><v>DCM</v></cell></row><row r="853"><cell r="K853" t="str"><v>July</v></cell><cell r="L853"><v>43288</v></cell><cell r="M853" t="str"><v>Tier 0</v></cell><cell r="N853" t="str"><v>North America</v></cell><cell r="O853" t="str"><v>United States</v></cell><cell r="P853" t="str"><v>Trial</v></cell><cell r="Q853" t="str"><v>Social</v></cell><cell r="R853" t="str"><v>Azure</v></cell><cell r="S853" t="str"><v>Apps & Infra</v></cell><cell r="T853" t="str"><v>Developers & ITI's</v></cell><cell r="U853" t="str"><v>USA-Trial-ITD-Lead Completes-AZR-AZR</v></cell><cell r="V853" t="str"><v>Prospecting</v></cell><cell r="W853" t="str"><v>Link Ad</v></cell><cell r="X853" t="str"><v>1x1</v></cell></row><row r="853"><cell r="AA853"><v>43288</v></cell><cell r="AB853" t="str"><v>USA_gaPMG_AZR_AZR_Q1_19_Direct-Social</v></cell><cell r="AC853"><v>21358715</v></cell><cell r="AD853"><v>720197</v></cell><cell r="AE853" t="str"><v>Facebook</v></cell><cell r="AF853"><v>3654128</v></cell><cell r="AG853" t="str"><v>FACEBOOK»USA-Trial-ITD-Lead Completes-AZR-AZR»1 x 1»SocialBan»LIA»ALL»CPA»PRO»X»NA»SS»NA»FreeAcctDeveloperFB-AnimatedAI-Ch3»PRC1W1</v></cell><cell r="AH853"><v>223933096</v></cell><cell r="AI853" t="str"><v>AZR_FreeAcctDeveloperFB-AnimatedAI-Ch3_USA_1200x1200_CAN_Direct_English_Trial_Standard_ANI_LEA_T3_1</v></cell><cell r="AJ853"><v>103032778</v></cell></row><row r="854"><cell r="C854" t="str"><v>43288FACEBOOK»USA-Trial-ITD-Lead Completes-AZR-AZR»1 x 1»SocialBan»LIA»ALL»CPA»PRO»X»NA»SS»NA»FreeAcctDeveloperFB-AnimatedData-Ch4»PRC1W3</v></cell><cell r="D854" t="str"><v>43288223862711</v></cell><cell r="E854" t="str"><v>43288103037935PRC1W3</v></cell><cell r="F854" t="str"><v>DCM</v></cell></row><row r="854"><cell r="K854" t="str"><v>July</v></cell><cell r="L854"><v>43288</v></cell><cell r="M854" t="str"><v>Tier 0</v></cell><cell r="N854" t="str"><v>North America</v></cell><cell r="O854" t="str"><v>United States</v></cell><cell r="P854" t="str"><v>Trial</v></cell><cell r="Q854" t="str"><v>Social</v></cell><cell r="R854" t="str"><v>Azure</v></cell><cell r="S854" t="str"><v>Apps & Infra</v></cell><cell r="T854" t="str"><v>Developers & ITI's</v></cell><cell r="U854" t="str"><v>USA-Trial-ITD-Lead Completes-AZR-AZR</v></cell><cell r="V854" t="str"><v>Prospecting</v></cell><cell r="W854" t="str"><v>Link Ad</v></cell><cell r="X854" t="str"><v>1x1</v></cell></row><row r="854"><cell r="AA854"><v>43288</v></cell><cell r="AB854" t="str"><v>USA_gaPMG_AZR_AZR_Q1_19_Direct-Social</v></cell><cell r="AC854"><v>21358715</v></cell><cell r="AD854"><v>720197</v></cell><cell r="AE854" t="str"><v>Facebook</v></cell><cell r="AF854"><v>3654128</v></cell><cell r="AG854" t="str"><v>FACEBOOK»USA-Trial-ITD-Lead Completes-AZR-AZR»1 x 1»SocialBan»LIA»ALL»CPA»PRO»X»NA»SS»NA»FreeAcctDeveloperFB-AnimatedData-Ch4»PRC1W3</v></cell><cell r="AH854"><v>223862711</v></cell><cell r="AI854" t="str"><v>AZR_FreeAcctDeveloperFB-AnimatedData-Ch4_USA_1200x1200_CAN_Direct_English_Trial_Standard_ANI_LEA_T4_2</v></cell><cell r="AJ854"><v>103037935</v></cell></row><row r="855"><cell r="C855" t="str"><v>43288FACEBOOK»USA-Trial-ITD-Lead Completes-AZR-AZR»1 x 1»SocialBan»LIA»ALL»CPA»PRO»X»NA»SS»NA»FreeAcctDeveloperFB-AnimatedOpenSource-Ch2»PRC1W0</v></cell><cell r="D855" t="str"><v>43288223933108</v></cell><cell r="E855" t="str"><v>43288103048329PRC1W0</v></cell><cell r="F855" t="str"><v>DCM</v></cell><cell r="G855" t="str"><v>https://azure.microsoft.com/en-us/free/open-source/search/?OCID=AID%eexcid!_OLA_%ebuy!_%epid!_%ecid!</v></cell></row><row r="855"><cell r="K855" t="str"><v>July</v></cell><cell r="L855"><v>43288</v></cell><cell r="M855" t="str"><v>Tier 0</v></cell><cell r="N855" t="str"><v>North America</v></cell><cell r="O855" t="str"><v>United States</v></cell><cell r="P855" t="str"><v>Trial</v></cell><cell r="Q855" t="str"><v>Social</v></cell><cell r="R855" t="str"><v>Azure</v></cell><cell r="S855" t="str"><v>Apps & Infra</v></cell><cell r="T855" t="str"><v>Developers & ITI's</v></cell><cell r="U855" t="str"><v>USA-Trial-ITD-Lead Completes-AZR-AZR</v></cell><cell r="V855" t="str"><v>Prospecting</v></cell><cell r="W855" t="str"><v>Link Ad</v></cell><cell r="X855" t="str"><v>1x1</v></cell></row><row r="855"><cell r="AA855"><v>43288</v></cell><cell r="AB855" t="str"><v>USA_gaPMG_AZR_AZR_Q1_19_Direct-Social</v></cell><cell r="AC855"><v>21358715</v></cell><cell r="AD855"><v>720197</v></cell><cell r="AE855" t="str"><v>Facebook</v></cell><cell r="AF855"><v>3654128</v></cell><cell r="AG855" t="str"><v>FACEBOOK»USA-Trial-ITD-Lead Completes-AZR-AZR»1 x 1»SocialBan»LIA»ALL»CPA»PRO»X»NA»SS»NA»FreeAcctDeveloperFB-AnimatedOpenSource-Ch2»PRC1W0</v></cell><cell r="AH855"><v>223933108</v></cell><cell r="AI855" t="str"><v>AZR_FreeAcctDeveloperFB-AnimatedOpenSource-Ch2_USA_1200x1200_CAN_Direct_English_Trial_Standard_ANI_LEA_T2_1</v></cell><cell r="AJ855"><v>103048329</v></cell></row><row r="856"><cell r="C856" t="str"><v>43288FACEBOOK»USA-Trial-ITD-Lead Completes-AZR-AZR»1 x 1»SocialBan»LIA»ALL»CPA»PRO»X»NA»SS»NA»FreeAcctITProFB-AnimatedHybrid-Ch2»PRC1W5</v></cell><cell r="D856" t="str"><v>43288224106033</v></cell><cell r="E856" t="str"><v>43288103180583PRC1W5</v></cell><cell r="F856" t="str"><v>DCM</v></cell></row><row r="856"><cell r="K856" t="str"><v>July</v></cell><cell r="L856"><v>43288</v></cell><cell r="M856" t="str"><v>Tier 0</v></cell><cell r="N856" t="str"><v>North America</v></cell><cell r="O856" t="str"><v>United States</v></cell><cell r="P856" t="str"><v>Trial</v></cell><cell r="Q856" t="str"><v>Social</v></cell><cell r="R856" t="str"><v>Azure</v></cell><cell r="S856" t="str"><v>Apps & Infra</v></cell><cell r="T856" t="str"><v>Developers & ITI's</v></cell><cell r="U856" t="str"><v>USA-Trial-ITD-Lead Completes-AZR-AZR</v></cell><cell r="V856" t="str"><v>Prospecting</v></cell><cell r="W856" t="str"><v>Link Ad</v></cell><cell r="X856" t="str"><v>1x1</v></cell></row><row r="856"><cell r="AA856"><v>43288</v></cell><cell r="AB856" t="str"><v>USA_gaPMG_AZR_AZR_Q1_19_Direct-Social</v></cell><cell r="AC856"><v>21358715</v></cell><cell r="AD856"><v>720197</v></cell><cell r="AE856" t="str"><v>Facebook</v></cell><cell r="AF856"><v>3654128</v></cell><cell r="AG856" t="str"><v>FACEBOOK»USA-Trial-ITD-Lead Completes-AZR-AZR»1 x 1»SocialBan»LIA»ALL»CPA»PRO»X»NA»SS»NA»FreeAcctITProFB-AnimatedHybrid-Ch2»PRC1W5</v></cell><cell r="AH856"><v>224106033</v></cell><cell r="AI856" t="str"><v>AZR_FreeAcctITProFB-AnimatedHybrid-Ch2_USA_1200x1200_CAN_Direct_English_Trial_Standard_ANI_LEA_T2_2</v></cell><cell r="AJ856"><v>103180583</v></cell></row><row r="857"><cell r="C857" t="str"><v>43288FACEBOOK»USA-Trial-ITD-Lead Completes-AZR-AZR»1 x 1»SocialBan»LIA»ALL»CPA»PRO»X»NA»SS»NA»FreeAcctITProFB-AnimatedMigration-Ch3»PRC22N</v></cell><cell r="D857" t="str"><v>43288223933114</v></cell><cell r="E857" t="str"><v>43288103176827PRC22N</v></cell><cell r="F857" t="str"><v>DCM</v></cell></row><row r="857"><cell r="K857" t="str"><v>July</v></cell><cell r="L857"><v>43288</v></cell><cell r="M857" t="str"><v>Tier 0</v></cell><cell r="N857" t="str"><v>North America</v></cell><cell r="O857" t="str"><v>United States</v></cell><cell r="P857" t="str"><v>Trial</v></cell><cell r="Q857" t="str"><v>Social</v></cell><cell r="R857" t="str"><v>Azure</v></cell><cell r="S857" t="str"><v>Apps & Infra</v></cell><cell r="T857" t="str"><v>Developers & ITI's</v></cell><cell r="U857" t="str"><v>USA-Trial-ITD-Lead Completes-AZR-AZR</v></cell><cell r="V857" t="str"><v>Prospecting</v></cell><cell r="W857" t="str"><v>Link Ad</v></cell><cell r="X857" t="str"><v>1x1</v></cell></row><row r="857"><cell r="AA857"><v>43288</v></cell><cell r="AB857" t="str"><v>USA_gaPMG_AZR_AZR_Q1_19_Direct-Social</v></cell><cell r="AC857"><v>21358715</v></cell><cell r="AD857"><v>720197</v></cell><cell r="AE857" t="str"><v>Facebook</v></cell><cell r="AF857"><v>3654128</v></cell><cell r="AG857" t="str"><v>FACEBOOK»USA-Trial-ITD-Lead Completes-AZR-AZR»1 x 1»SocialBan»LIA»ALL»CPA»PRO»X»NA»SS»NA»FreeAcctITProFB-AnimatedMigration-Ch3»PRC22N</v></cell><cell r="AH857"><v>223933114</v></cell><cell r="AI857" t="str"><v>AZR_FreeAcctITProFB-AnimatedMigration-Ch3_USA_1200x1200_CAN_Direct_English_Trial_Standard_ANI_LEA_T3_1</v></cell><cell r="AJ857"><v>103176827</v></cell></row><row r="858"><cell r="C858" t="str"><v>43288FACEBOOK»USA-Trial-ITD-Lead Completes-AZR-AZR»1 x 1»SocialBan»CAN»ALL»CPA»PRO»X»NA»SS»NA»FBCTCBenefit2inMotion»PRC1VV</v></cell><cell r="D858" t="str"><v>43288224106909</v></cell><cell r="E858" t="str"><v>43288103043835PRC1VV</v></cell><cell r="F858" t="str"><v>DCM</v></cell><cell r="G858" t="str"><v>https://signup.azure.com/?OCID=AID%eexcid!_OLA_%ebuy!_%epid!_%ecid!</v></cell></row><row r="858"><cell r="K858" t="str"><v>July</v></cell><cell r="L858"><v>43288</v></cell><cell r="M858" t="str"><v>Tier 0</v></cell><cell r="N858" t="str"><v>North America</v></cell><cell r="O858" t="str"><v>United States</v></cell><cell r="P858" t="str"><v>Trial</v></cell><cell r="Q858" t="str"><v>Social</v></cell><cell r="R858" t="str"><v>Azure</v></cell><cell r="S858" t="str"><v>Apps & Infra</v></cell><cell r="T858" t="str"><v>Developers & ITI's</v></cell><cell r="U858" t="str"><v>USA-Trial-ITD-Lead Completes-AZR-AZR</v></cell><cell r="V858" t="str"><v>Prospecting</v></cell><cell r="W858" t="str"><v>Canvas Ad</v></cell><cell r="X858" t="str"><v>1x1</v></cell></row><row r="858"><cell r="AA858"><v>43288</v></cell><cell r="AB858" t="str"><v>USA_gaPMG_AZR_AZR_Q1_19_Direct-Social</v></cell><cell r="AC858"><v>21358715</v></cell><cell r="AD858"><v>720197</v></cell><cell r="AE858" t="str"><v>Facebook</v></cell><cell r="AF858"><v>3654128</v></cell><cell r="AG858" t="str"><v>FACEBOOK»USA-Trial-ITD-Lead Completes-AZR-AZR»1 x 1»SocialBan»CAN»ALL»CPA»PRO»X»NA»SS»NA»FBCTCBenefit2inMotion»PRC1VV</v></cell><cell r="AH858"><v>224106909</v></cell><cell r="AI858" t="str"><v>AzurePlatform_FBCTCBenefit2inMotion_USA_10s_CAN_PLATFORM_English_Trial_Standard_STAN_TIN_T4_1</v></cell><cell r="AJ858"><v>103043835</v></cell></row><row r="859"><cell r="C859" t="str"><v>43288FACEBOOK»USA-Trial-ITD-Lead Completes-AZR-AZR»1 x 1»SocialBan»CAN»ALL»CPA»PRO»X»NA»SS»NA»FBCTCBenefit2inMotion»PRC1VV</v></cell><cell r="D859" t="str"><v>43288224106909</v></cell><cell r="E859" t="str"><v>43288103178645PRC1VV</v></cell><cell r="F859" t="str"><v>DCM</v></cell><cell r="G859" t="str"><v>https://azure.microsoft.com/en-us/pricing/purchase-options/?v=18.19&OCID=AID%eexcid!_OLA_%ebuy!_%epid!_%ecid!</v></cell></row><row r="859"><cell r="K859" t="str"><v>July</v></cell><cell r="L859"><v>43288</v></cell><cell r="M859" t="str"><v>Tier 0</v></cell><cell r="N859" t="str"><v>North America</v></cell><cell r="O859" t="str"><v>United States</v></cell><cell r="P859" t="str"><v>Trial</v></cell><cell r="Q859" t="str"><v>Social</v></cell><cell r="R859" t="str"><v>Azure</v></cell><cell r="S859" t="str"><v>Apps & Infra</v></cell><cell r="T859" t="str"><v>Developers & ITI's</v></cell><cell r="U859" t="str"><v>USA-Trial-ITD-Lead Completes-AZR-AZR</v></cell><cell r="V859" t="str"><v>Prospecting</v></cell><cell r="W859" t="str"><v>Canvas Ad</v></cell><cell r="X859" t="str"><v>1x1</v></cell></row><row r="859"><cell r="AA859"><v>43288</v></cell><cell r="AB859" t="str"><v>USA_gaPMG_AZR_AZR_Q1_19_Direct-Social</v></cell><cell r="AC859"><v>21358715</v></cell><cell r="AD859"><v>720197</v></cell><cell r="AE859" t="str"><v>Facebook</v></cell><cell r="AF859"><v>3654128</v></cell><cell r="AG859" t="str"><v>FACEBOOK»USA-Trial-ITD-Lead Completes-AZR-AZR»1 x 1»SocialBan»CAN»ALL»CPA»PRO»X»NA»SS»NA»FBCTCBenefit2inMotion»PRC1VV</v></cell><cell r="AH859"><v>224106909</v></cell><cell r="AI859" t="str"><v>AzurePlatform_FBCTCBenefit2inMotion_USA_10s_CAN_PLATFORM_English_Trial_Standard_STAN_TIN_T4_2</v></cell><cell r="AJ859"><v>103178645</v></cell></row><row r="860"><cell r="C860" t="str"><v>43288FACEBOOK»USA-Trial-ITD-Lead Completes-AZR-AZR»1 x 1»SocialBan»LIA»ALL»CPA»PRO»X»NA»SS»NA»FreeAcctDeveloperFB-AnimatedGeneric-Ch1»PRC1VY</v></cell><cell r="D860" t="str"><v>43288223862846</v></cell><cell r="E860" t="str"><v>43288103176851PRC1VY</v></cell><cell r="F860" t="str"><v>DCM</v></cell><cell r="G860" t="str"><v>https://azure.microsoft.com/en-us/free/search/?OCID=AID%eexcid!_OLA_%ebuy!_%epid!_%ecid!</v></cell></row><row r="860"><cell r="K860" t="str"><v>July</v></cell><cell r="L860"><v>43288</v></cell><cell r="M860" t="str"><v>Tier 0</v></cell><cell r="N860" t="str"><v>North America</v></cell><cell r="O860" t="str"><v>United States</v></cell><cell r="P860" t="str"><v>Trial</v></cell><cell r="Q860" t="str"><v>Social</v></cell><cell r="R860" t="str"><v>Azure</v></cell><cell r="S860" t="str"><v>Apps & Infra</v></cell><cell r="T860" t="str"><v>Developers & ITI's</v></cell><cell r="U860" t="str"><v>USA-Trial-ITD-Lead Completes-AZR-AZR</v></cell><cell r="V860" t="str"><v>Prospecting</v></cell><cell r="W860" t="str"><v>Link Ad</v></cell><cell r="X860" t="str"><v>1x1</v></cell></row><row r="860"><cell r="AA860"><v>43288</v></cell><cell r="AB860" t="str"><v>USA_gaPMG_AZR_AZR_Q1_19_Direct-Social</v></cell><cell r="AC860"><v>21358715</v></cell><cell r="AD860"><v>720197</v></cell><cell r="AE860" t="str"><v>Facebook</v></cell><cell r="AF860"><v>3654128</v></cell><cell r="AG860" t="str"><v>FACEBOOK»USA-Trial-ITD-Lead Completes-AZR-AZR»1 x 1»SocialBan»LIA»ALL»CPA»PRO»X»NA»SS»NA»FreeAcctDeveloperFB-AnimatedGeneric-Ch1»PRC1VY</v></cell><cell r="AH860"><v>223862846</v></cell><cell r="AI860" t="str"><v>AZR_FreeAcctDeveloperFB-AnimatedGeneric-Ch1_USA_1200x1200_CAN_Direct_English_Trial_Standard_ANI_LEA_T1_2</v></cell><cell r="AJ860"><v>103176851</v></cell></row><row r="861"><cell r="C861" t="str"><v>43288FACEBOOK»USA-Trial-ITD-Retargeting-AZR-AZR»1 x 1»SocialBan»LIA»ALL»CPA»RT»X»NA»SS»NA»FreeAcctRetargetingOSSFB-Logos-ChG»PRC1S2</v></cell><cell r="D861" t="str"><v>43288224106063</v></cell><cell r="E861" t="str"><v>43288103176008PRC1S2</v></cell><cell r="F861" t="str"><v>DCM</v></cell><cell r="G861" t="str"><v>https://azure.microsoft.com/en-us/free/open-source/search/?OCID=AID%eexcid!_OLA_%ebuy!_%epid!_%ecid!</v></cell></row><row r="861"><cell r="K861" t="str"><v>July</v></cell><cell r="L861"><v>43288</v></cell><cell r="M861" t="str"><v>Tier 0</v></cell><cell r="N861" t="str"><v>North America</v></cell><cell r="O861" t="str"><v>United States</v></cell><cell r="P861" t="str"><v>Trial</v></cell><cell r="Q861" t="str"><v>Social</v></cell><cell r="R861" t="str"><v>Azure</v></cell><cell r="S861" t="str"><v>Apps & Infra</v></cell><cell r="T861" t="str"><v>Developers & ITI's</v></cell><cell r="U861" t="str"><v>USA-Trial-ITD-Retargeting-AZR-AZR</v></cell><cell r="V861" t="str"><v>Retargeting</v></cell><cell r="W861" t="str"><v>Link Ad</v></cell><cell r="X861" t="str"><v>1x1</v></cell></row><row r="861"><cell r="AA861"><v>43288</v></cell><cell r="AB861" t="str"><v>USA_gaPMG_AZR_AZR_Q1_19_Direct-Social</v></cell><cell r="AC861"><v>21358715</v></cell><cell r="AD861"><v>720197</v></cell><cell r="AE861" t="str"><v>Facebook</v></cell><cell r="AF861"><v>3654128</v></cell><cell r="AG861" t="str"><v>FACEBOOK»USA-Trial-ITD-Retargeting-AZR-AZR»1 x 1»SocialBan»LIA»ALL»CPA»RT»X»NA»SS»NA»FreeAcctRetargetingOSSFB-Logos-ChG»PRC1S2</v></cell><cell r="AH861"><v>224106063</v></cell><cell r="AI861" t="str"><v>AzurePlatform_FreeAcctRetargetingOSSFB-Logos-ChG_USA_1200x628_CAN_PLATFORM_English_Free Account_Standard_NA_SINU_T2_1</v></cell><cell r="AJ861"><v>103176008</v></cell></row><row r="862"><cell r="C862" t="str"><v>43288FACEBOOK»USA-Trial-ITD-Retargeting-AZR-AZR»1 x 1»SocialBan»LIA»ALL»CPA»RT»X»NA»SS»NA»FreeAcctRetargetingOSSFB-Text-ChF»PRC1S1</v></cell><cell r="D862" t="str"><v>43288223862753</v></cell><cell r="E862" t="str"><v>43288103176869PRC1S1</v></cell><cell r="F862" t="str"><v>DCM</v></cell><cell r="G862" t="str"><v>https://azure.microsoft.com/en-us/free/open-source/search/?OCID=AID%eexcid!_OLA_%ebuy!_%epid!_%ecid!</v></cell></row><row r="862"><cell r="K862" t="str"><v>July</v></cell><cell r="L862"><v>43288</v></cell><cell r="M862" t="str"><v>Tier 0</v></cell><cell r="N862" t="str"><v>North America</v></cell><cell r="O862" t="str"><v>United States</v></cell><cell r="P862" t="str"><v>Trial</v></cell><cell r="Q862" t="str"><v>Social</v></cell><cell r="R862" t="str"><v>Azure</v></cell><cell r="S862" t="str"><v>Apps & Infra</v></cell><cell r="T862" t="str"><v>Developers & ITI's</v></cell><cell r="U862" t="str"><v>USA-Trial-ITD-Retargeting-AZR-AZR</v></cell><cell r="V862" t="str"><v>Retargeting</v></cell><cell r="W862" t="str"><v>Link Ad</v></cell><cell r="X862" t="str"><v>1x1</v></cell></row><row r="862"><cell r="AA862"><v>43288</v></cell><cell r="AB862" t="str"><v>USA_gaPMG_AZR_AZR_Q1_19_Direct-Social</v></cell><cell r="AC862"><v>21358715</v></cell><cell r="AD862"><v>720197</v></cell><cell r="AE862" t="str"><v>Facebook</v></cell><cell r="AF862"><v>3654128</v></cell><cell r="AG862" t="str"><v>FACEBOOK»USA-Trial-ITD-Retargeting-AZR-AZR»1 x 1»SocialBan»LIA»ALL»CPA»RT»X»NA»SS»NA»FreeAcctRetargetingOSSFB-Text-ChF»PRC1S1</v></cell><cell r="AH862"><v>223862753</v></cell><cell r="AI862" t="str"><v>AzurePlatform_FreeAcctRetargetingOSSFB-Text-ChF_USA_1200x628_CAN_PLATFORM_English_Free Account_Standard_NA_SINU_T1_2</v></cell><cell r="AJ862"><v>103176869</v></cell></row><row r="863"><cell r="C863" t="str"><v>43288FACEBOOK»USA-Trial-ITD-Retargeting-AZR-AZR»1 x 1»SocialBan»CAN»ALL»CPA»RT»X»NA»SS»NA»FBCTCBasicMotion»PRC1RQ</v></cell><cell r="D863" t="str"><v>43288224106933</v></cell><cell r="E863" t="str"><v>43288103175984PRC1RQ</v></cell><cell r="F863" t="str"><v>DCM</v></cell><cell r="G863" t="str"><v>https://azure.microsoft.com/en-us/pricing/purchase-options/?v=18.19&OCID=AID%eexcid!_OLA_%ebuy!_%epid!_%ecid!</v></cell></row><row r="863"><cell r="K863" t="str"><v>July</v></cell><cell r="L863"><v>43288</v></cell><cell r="M863" t="str"><v>Tier 0</v></cell><cell r="N863" t="str"><v>North America</v></cell><cell r="O863" t="str"><v>United States</v></cell><cell r="P863" t="str"><v>Trial</v></cell><cell r="Q863" t="str"><v>Social</v></cell><cell r="R863" t="str"><v>Azure</v></cell><cell r="S863" t="str"><v>Apps & Infra</v></cell><cell r="T863" t="str"><v>Developers & ITI's</v></cell><cell r="U863" t="str"><v>USA-Trial-ITD-Retargeting-AZR-AZR</v></cell><cell r="V863" t="str"><v>Retargeting</v></cell><cell r="W863" t="str"><v>Canvas Ad</v></cell><cell r="X863" t="str"><v>1x1</v></cell></row><row r="863"><cell r="AA863"><v>43288</v></cell><cell r="AB863" t="str"><v>USA_gaPMG_AZR_AZR_Q1_19_Direct-Social</v></cell><cell r="AC863"><v>21358715</v></cell><cell r="AD863"><v>720197</v></cell><cell r="AE863" t="str"><v>Facebook</v></cell><cell r="AF863"><v>3654128</v></cell><cell r="AG863" t="str"><v>FACEBOOK»USA-Trial-ITD-Retargeting-AZR-AZR»1 x 1»SocialBan»CAN»ALL»CPA»RT»X»NA»SS»NA»FBCTCBasicMotion»PRC1RQ</v></cell><cell r="AH863"><v>224106933</v></cell><cell r="AI863" t="str"><v>AzurePlatform_FBCTCBasicMotion_USA_10s_CAN_PLATFORM_English_Trial_Standard_STAN_TIN_T1_2</v></cell><cell r="AJ863"><v>103175984</v></cell></row><row r="864"><cell r="C864" t="str"><v>43288FACEBOOK»USA-Trial-ITD-Retargeting-AZR-AZR»1 x 1»SocialBan»LIA»ALL»CPA»RT»X»NA»SS»NA»FreeAcctITProFB-AnimatedSecureMngd-Ch1»PRC26K</v></cell><cell r="D864" t="str"><v>43288223862762</v></cell><cell r="E864" t="str"><v>43288103176830PRC26K</v></cell><cell r="F864" t="str"><v>DCM</v></cell></row><row r="864"><cell r="K864" t="str"><v>July</v></cell><cell r="L864"><v>43288</v></cell><cell r="M864" t="str"><v>Tier 0</v></cell><cell r="N864" t="str"><v>North America</v></cell><cell r="O864" t="str"><v>United States</v></cell><cell r="P864" t="str"><v>Trial</v></cell><cell r="Q864" t="str"><v>Social</v></cell><cell r="R864" t="str"><v>Azure</v></cell><cell r="S864" t="str"><v>Apps & Infra</v></cell><cell r="T864" t="str"><v>Developers & ITI's</v></cell><cell r="U864" t="str"><v>USA-Trial-ITD-Retargeting-AZR-AZR</v></cell><cell r="V864" t="str"><v>Retargeting</v></cell><cell r="W864" t="str"><v>Link Ad</v></cell><cell r="X864" t="str"><v>1x1</v></cell></row><row r="864"><cell r="AA864"><v>43288</v></cell><cell r="AB864" t="str"><v>USA_gaPMG_AZR_AZR_Q1_19_Direct-Social</v></cell><cell r="AC864"><v>21358715</v></cell><cell r="AD864"><v>720197</v></cell><cell r="AE864" t="str"><v>Facebook</v></cell><cell r="AF864"><v>3654128</v></cell><cell r="AG864" t="str"><v>FACEBOOK»USA-Trial-ITD-Retargeting-AZR-AZR»1 x 1»SocialBan»LIA»ALL»CPA»RT»X»NA»SS»NA»FreeAcctITProFB-AnimatedSecureMngd-Ch1»PRC26K</v></cell><cell r="AH864"><v>223862762</v></cell><cell r="AI864" t="str"><v>AZR_FreeAcctITProFB-AnimatedSecureMngd-Ch1_USA_1200x1200_CAN_Direct_English_Trial_Standard_ANI_LEA_T1_1</v></cell><cell r="AJ864"><v>103176830</v></cell></row><row r="865"><cell r="C865" t="str"><v>43288FACEBOOK»USA-Trial-ITD-Trial Lookalike-AZR-AZR»1 x 1»SocialBan»LIA»ALL»CPA»LAL»X»NA»SS»NA»FreeAcctDeveloperFB-AnimatedGeneric-Ch1»PRC1M4</v></cell><cell r="D865" t="str"><v>43288224104941</v></cell><cell r="E865" t="str"><v>43288103176851PRC1M4</v></cell><cell r="F865" t="str"><v>DCM</v></cell><cell r="G865" t="str"><v>https://azure.microsoft.com/en-us/free/search/?OCID=AID%eexcid!_OLA_%ebuy!_%epid!_%ecid!</v></cell></row><row r="865"><cell r="K865" t="str"><v>July</v></cell><cell r="L865"><v>43288</v></cell><cell r="M865" t="str"><v>Tier 0</v></cell><cell r="N865" t="str"><v>North America</v></cell><cell r="O865" t="str"><v>United States</v></cell><cell r="P865" t="str"><v>Trial</v></cell><cell r="Q865" t="str"><v>Social</v></cell><cell r="R865" t="str"><v>Azure</v></cell><cell r="S865" t="str"><v>Apps & Infra</v></cell><cell r="T865" t="str"><v>Developers & ITI's</v></cell><cell r="U865" t="str"><v>USA-Trial-ITD-Trial Lookalike-AZR-AZR</v></cell><cell r="V865" t="str"><v>Lookalike Targeting</v></cell><cell r="W865" t="str"><v>Link Ad</v></cell><cell r="X865" t="str"><v>1x1</v></cell></row><row r="865"><cell r="AA865"><v>43288</v></cell><cell r="AB865" t="str"><v>USA_gaPMG_AZR_AZR_Q1_19_Direct-Social</v></cell><cell r="AC865"><v>21358715</v></cell><cell r="AD865"><v>720197</v></cell><cell r="AE865" t="str"><v>Facebook</v></cell><cell r="AF865"><v>3654128</v></cell><cell r="AG865" t="str"><v>FACEBOOK»USA-Trial-ITD-Trial Lookalike-AZR-AZR»1 x 1»SocialBan»LIA»ALL»CPA»LAL»X»NA»SS»NA»FreeAcctDeveloperFB-AnimatedGeneric-Ch1»PRC1M4</v></cell><cell r="AH865"><v>224104941</v></cell><cell r="AI865" t="str"><v>AZR_FreeAcctDeveloperFB-AnimatedGeneric-Ch1_USA_1200x1200_CAN_Direct_English_Trial_Standard_ANI_LEA_T1_2</v></cell><cell r="AJ865"><v>103176851</v></cell></row><row r="866"><cell r="C866" t="str"><v>43288FACEBOOK»USA-Trial-ITD-Trial Lookalike-AZR-AZR»1 x 1»SocialBan»LIA»ALL»CPA»LAL»X»NA»SS»NA»FreeAcctDeveloperFB-AnimatedGeneric-Ch1»PRC1M5</v></cell><cell r="D866" t="str"><v>43288223934083</v></cell><cell r="E866" t="str"><v>43288103176851PRC1M5</v></cell><cell r="F866" t="str"><v>DCM</v></cell><cell r="G866" t="str"><v>https://azure.microsoft.com/en-us/free/search/?OCID=AID%eexcid!_OLA_%ebuy!_%epid!_%ecid!</v></cell></row><row r="866"><cell r="K866" t="str"><v>July</v></cell><cell r="L866"><v>43288</v></cell><cell r="M866" t="str"><v>Tier 0</v></cell><cell r="N866" t="str"><v>North America</v></cell><cell r="O866" t="str"><v>United States</v></cell><cell r="P866" t="str"><v>Trial</v></cell><cell r="Q866" t="str"><v>Social</v></cell><cell r="R866" t="str"><v>Azure</v></cell><cell r="S866" t="str"><v>Apps & Infra</v></cell><cell r="T866" t="str"><v>Developers & ITI's</v></cell><cell r="U866" t="str"><v>USA-Trial-ITD-Trial Lookalike-AZR-AZR</v></cell><cell r="V866" t="str"><v>Lookalike Targeting</v></cell><cell r="W866" t="str"><v>Link Ad</v></cell><cell r="X866" t="str"><v>1x1</v></cell></row><row r="866"><cell r="AA866"><v>43288</v></cell><cell r="AB866" t="str"><v>USA_gaPMG_AZR_AZR_Q1_19_Direct-Social</v></cell><cell r="AC866"><v>21358715</v></cell><cell r="AD866"><v>720197</v></cell><cell r="AE866" t="str"><v>Facebook</v></cell><cell r="AF866"><v>3654128</v></cell><cell r="AG866" t="str"><v>FACEBOOK»USA-Trial-ITD-Trial Lookalike-AZR-AZR»1 x 1»SocialBan»LIA»ALL»CPA»LAL»X»NA»SS»NA»FreeAcctDeveloperFB-AnimatedGeneric-Ch1»PRC1M5</v></cell><cell r="AH866"><v>223934083</v></cell><cell r="AI866" t="str"><v>AZR_FreeAcctDeveloperFB-AnimatedGeneric-Ch1_USA_1200x1200_CAN_Direct_English_Trial_Standard_ANI_LEA_T1_2</v></cell><cell r="AJ866"><v>103176851</v></cell></row><row r="867"><cell r="C867" t="str"><v>43288FACEBOOK»USA-Trial-ITD-Trial Lookalike-AZR-AZR»1 x 1»SocialBan»LIA»ALL»CPA»LAL»X»NA»SS»NA»FreeAcctDeveloperFB-AnimatedOpenSource-Ch2»PRC1M6</v></cell><cell r="D867" t="str"><v>43288223935628</v></cell><cell r="E867" t="str"><v>43288103048329PRC1M6</v></cell><cell r="F867" t="str"><v>DCM</v></cell><cell r="G867" t="str"><v>https://azure.microsoft.com/en-us/free/open-source/search/?OCID=AID%eexcid!_OLA_%ebuy!_%epid!_%ecid!</v></cell></row><row r="867"><cell r="K867" t="str"><v>July</v></cell><cell r="L867"><v>43288</v></cell><cell r="M867" t="str"><v>Tier 0</v></cell><cell r="N867" t="str"><v>North America</v></cell><cell r="O867" t="str"><v>United States</v></cell><cell r="P867" t="str"><v>Trial</v></cell><cell r="Q867" t="str"><v>Social</v></cell><cell r="R867" t="str"><v>Azure</v></cell><cell r="S867" t="str"><v>Apps & Infra</v></cell><cell r="T867" t="str"><v>Developers & ITI's</v></cell><cell r="U867" t="str"><v>USA-Trial-ITD-Trial Lookalike-AZR-AZR</v></cell><cell r="V867" t="str"><v>Lookalike Targeting</v></cell><cell r="W867" t="str"><v>Link Ad</v></cell><cell r="X867" t="str"><v>1x1</v></cell></row><row r="867"><cell r="AA867"><v>43288</v></cell><cell r="AB867" t="str"><v>USA_gaPMG_AZR_AZR_Q1_19_Direct-Social</v></cell><cell r="AC867"><v>21358715</v></cell><cell r="AD867"><v>720197</v></cell><cell r="AE867" t="str"><v>Facebook</v></cell><cell r="AF867"><v>3654128</v></cell><cell r="AG867" t="str"><v>FACEBOOK»USA-Trial-ITD-Trial Lookalike-AZR-AZR»1 x 1»SocialBan»LIA»ALL»CPA»LAL»X»NA»SS»NA»FreeAcctDeveloperFB-AnimatedOpenSource-Ch2»PRC1M6</v></cell><cell r="AH867"><v>223935628</v></cell><cell r="AI867" t="str"><v>AZR_FreeAcctDeveloperFB-AnimatedOpenSource-Ch2_USA_1200x1200_CAN_Direct_English_Trial_Standard_ANI_LEA_T2_1</v></cell><cell r="AJ867"><v>103048329</v></cell></row><row r="868"><cell r="C868" t="str"><v>43288FACEBOOK»USA-Trial-ITD-Trial Lookalike-AZR-AZR»1 x 1»SocialBan»LIA»ALL»CPA»LAL»X»NA»SS»NA»FreeAcctITProFB-AnimatedMigration-Ch3»PRC23N</v></cell><cell r="D868" t="str"><v>43288223935637</v></cell><cell r="E868" t="str"><v>43288103176827PRC23N</v></cell><cell r="F868" t="str"><v>DCM</v></cell></row><row r="868"><cell r="K868" t="str"><v>July</v></cell><cell r="L868"><v>43288</v></cell><cell r="M868" t="str"><v>Tier 0</v></cell><cell r="N868" t="str"><v>North America</v></cell><cell r="O868" t="str"><v>United States</v></cell><cell r="P868" t="str"><v>Trial</v></cell><cell r="Q868" t="str"><v>Social</v></cell><cell r="R868" t="str"><v>Azure</v></cell><cell r="S868" t="str"><v>Apps & Infra</v></cell><cell r="T868" t="str"><v>Developers & ITI's</v></cell><cell r="U868" t="str"><v>USA-Trial-ITD-Trial Lookalike-AZR-AZR</v></cell><cell r="V868" t="str"><v>Lookalike Targeting</v></cell><cell r="W868" t="str"><v>Link Ad</v></cell><cell r="X868" t="str"><v>1x1</v></cell></row><row r="868"><cell r="AA868"><v>43288</v></cell><cell r="AB868" t="str"><v>USA_gaPMG_AZR_AZR_Q1_19_Direct-Social</v></cell><cell r="AC868"><v>21358715</v></cell><cell r="AD868"><v>720197</v></cell><cell r="AE868" t="str"><v>Facebook</v></cell><cell r="AF868"><v>3654128</v></cell><cell r="AG868" t="str"><v>FACEBOOK»USA-Trial-ITD-Trial Lookalike-AZR-AZR»1 x 1»SocialBan»LIA»ALL»CPA»LAL»X»NA»SS»NA»FreeAcctITProFB-AnimatedMigration-Ch3»PRC23N</v></cell><cell r="AH868"><v>223935637</v></cell><cell r="AI868" t="str"><v>AZR_FreeAcctITProFB-AnimatedMigration-Ch3_USA_1200x1200_CAN_Direct_English_Trial_Standard_ANI_LEA_T3_1</v></cell><cell r="AJ868"><v>103176827</v></cell></row><row r="869"><cell r="C869" t="str"><v>43288FACEBOOK»USA-Trial-ITD-Trial Lookalike-AZR-AZR»1 x 1»SocialBan»LIA»ALL»CPA»LAL»X»NA»SS»NA»FreeAcctITProFB-AnimatedSecureMngd-Ch1»PRC1M9</v></cell><cell r="D869" t="str"><v>43288224104959</v></cell><cell r="E869" t="str"><v>43288103176830PRC1M9</v></cell><cell r="F869" t="str"><v>DCM</v></cell></row><row r="869"><cell r="K869" t="str"><v>July</v></cell><cell r="L869"><v>43288</v></cell><cell r="M869" t="str"><v>Tier 0</v></cell><cell r="N869" t="str"><v>North America</v></cell><cell r="O869" t="str"><v>United States</v></cell><cell r="P869" t="str"><v>Trial</v></cell><cell r="Q869" t="str"><v>Social</v></cell><cell r="R869" t="str"><v>Azure</v></cell><cell r="S869" t="str"><v>Apps & Infra</v></cell><cell r="T869" t="str"><v>Developers & ITI's</v></cell><cell r="U869" t="str"><v>USA-Trial-ITD-Trial Lookalike-AZR-AZR</v></cell><cell r="V869" t="str"><v>Lookalike Targeting</v></cell><cell r="W869" t="str"><v>Link Ad</v></cell><cell r="X869" t="str"><v>1x1</v></cell></row><row r="869"><cell r="AA869"><v>43288</v></cell><cell r="AB869" t="str"><v>USA_gaPMG_AZR_AZR_Q1_19_Direct-Social</v></cell><cell r="AC869"><v>21358715</v></cell><cell r="AD869"><v>720197</v></cell><cell r="AE869" t="str"><v>Facebook</v></cell><cell r="AF869"><v>3654128</v></cell><cell r="AG869" t="str"><v>FACEBOOK»USA-Trial-ITD-Trial Lookalike-AZR-AZR»1 x 1»SocialBan»LIA»ALL»CPA»LAL»X»NA»SS»NA»FreeAcctITProFB-AnimatedSecureMngd-Ch1»PRC1M9</v></cell><cell r="AH869"><v>224104959</v></cell><cell r="AI869" t="str"><v>AZR_FreeAcctITProFB-AnimatedSecureMngd-Ch1_USA_1200x1200_CAN_Direct_English_Trial_Standard_ANI_LEA_T1_1</v></cell><cell r="AJ869"><v>103176830</v></cell></row><row r="870"><cell r="C870" t="str"><v>43288FACEBOOK»USA-Trial-ITD-Trial Lookalike-AZR-AZR»1 x 1»SocialBan»CAN»ALL»CPA»LAL»X»NA»SS»NA»FBCTCBasicMotion»PRC1LZ</v></cell><cell r="D870" t="str"><v>43288223862915</v></cell><cell r="E870" t="str"><v>43288103043823PRC1LZ</v></cell><cell r="F870" t="str"><v>DCM</v></cell><cell r="G870" t="str"><v>https://signup.azure.com/?OCID=AID%eexcid!_OLA_%ebuy!_%epid!_%ecid!</v></cell></row><row r="870"><cell r="K870" t="str"><v>July</v></cell><cell r="L870"><v>43288</v></cell><cell r="M870" t="str"><v>Tier 0</v></cell><cell r="N870" t="str"><v>North America</v></cell><cell r="O870" t="str"><v>United States</v></cell><cell r="P870" t="str"><v>Trial</v></cell><cell r="Q870" t="str"><v>Social</v></cell><cell r="R870" t="str"><v>Azure</v></cell><cell r="S870" t="str"><v>Apps & Infra</v></cell><cell r="T870" t="str"><v>Developers & ITI's</v></cell><cell r="U870" t="str"><v>USA-Trial-ITD-Trial Lookalike-AZR-AZR</v></cell><cell r="V870" t="str"><v>Lookalike Targeting</v></cell><cell r="W870" t="str"><v>Canvas Ad</v></cell><cell r="X870" t="str"><v>1x1</v></cell></row><row r="870"><cell r="AA870"><v>43288</v></cell><cell r="AB870" t="str"><v>USA_gaPMG_AZR_AZR_Q1_19_Direct-Social</v></cell><cell r="AC870"><v>21358715</v></cell><cell r="AD870"><v>720197</v></cell><cell r="AE870" t="str"><v>Facebook</v></cell><cell r="AF870"><v>3654128</v></cell><cell r="AG870" t="str"><v>FACEBOOK»USA-Trial-ITD-Trial Lookalike-AZR-AZR»1 x 1»SocialBan»CAN»ALL»CPA»LAL»X»NA»SS»NA»FBCTCBasicMotion»PRC1LZ</v></cell><cell r="AH870"><v>223862915</v></cell><cell r="AI870" t="str"><v>AzurePlatform_FBCTCBasicMotion_USA_10s_CAN_PLATFORM_English_Trial_Standard_STAN_TIN_T1_1</v></cell><cell r="AJ870"><v>103043823</v></cell></row><row r="871"><cell r="C871" t="str"><v>43288FACEBOOK»USA-Trial-ITD-Trial PayGo Lookalike-AZR-AZR»1 x 1»SocialBan»CAN»ALL»CPA»LAL»X»NA»SS»NA»FBCTCBasicMotion»PRC1Q0</v></cell><cell r="D871" t="str"><v>43288223935664</v></cell><cell r="E871" t="str"><v>43288103043823PRC1Q0</v></cell><cell r="F871" t="str"><v>DCM</v></cell><cell r="G871" t="str"><v>https://signup.azure.com/?OCID=AID%eexcid!_OLA_%ebuy!_%epid!_%ecid!</v></cell></row><row r="871"><cell r="K871" t="str"><v>July</v></cell><cell r="L871"><v>43288</v></cell><cell r="M871" t="str"><v>Tier 0</v></cell><cell r="N871" t="str"><v>North America</v></cell><cell r="O871" t="str"><v>United States</v></cell><cell r="P871" t="str"><v>Trial</v></cell><cell r="Q871" t="str"><v>Social</v></cell><cell r="R871" t="str"><v>Azure</v></cell><cell r="S871" t="str"><v>Apps & Infra</v></cell><cell r="T871" t="str"><v>Developers & ITI's</v></cell><cell r="U871" t="str"><v>USA-Trial-ITD-Trial PayGo Lookalike-AZR-AZR</v></cell><cell r="V871" t="str"><v>Lookalike Targeting</v></cell><cell r="W871" t="str"><v>Canvas Ad</v></cell><cell r="X871" t="str"><v>1x1</v></cell></row><row r="871"><cell r="AA871"><v>43288</v></cell><cell r="AB871" t="str"><v>USA_gaPMG_AZR_AZR_Q1_19_Direct-Social</v></cell><cell r="AC871"><v>21358715</v></cell><cell r="AD871"><v>720197</v></cell><cell r="AE871" t="str"><v>Facebook</v></cell><cell r="AF871"><v>3654128</v></cell><cell r="AG871" t="str"><v>FACEBOOK»USA-Trial-ITD-Trial PayGo Lookalike-AZR-AZR»1 x 1»SocialBan»CAN»ALL»CPA»LAL»X»NA»SS»NA»FBCTCBasicMotion»PRC1Q0</v></cell><cell r="AH871"><v>223935664</v></cell><cell r="AI871" t="str"><v>AzurePlatform_FBCTCBasicMotion_USA_10s_CAN_PLATFORM_English_Trial_Standard_STAN_TIN_T1_1</v></cell><cell r="AJ871"><v>103043823</v></cell></row><row r="872"><cell r="C872" t="str"><v>43288FACEBOOK»USA-Trial-ITD-Trial PayGo Lookalike-AZR-AZR»1 x 1»SocialBan»CAN»ALL»CPA»LAL»X»NA»SS»NA»FBCTCBasicMotion»PRC1Q0</v></cell><cell r="D872" t="str"><v>43288223935664</v></cell><cell r="E872" t="str"><v>43288103175984PRC1Q0</v></cell><cell r="F872" t="str"><v>DCM</v></cell><cell r="G872" t="str"><v>https://azure.microsoft.com/en-us/pricing/purchase-options/?v=18.19&OCID=AID%eexcid!_OLA_%ebuy!_%epid!_%ecid!</v></cell></row><row r="872"><cell r="K872" t="str"><v>July</v></cell><cell r="L872"><v>43288</v></cell><cell r="M872" t="str"><v>Tier 0</v></cell><cell r="N872" t="str"><v>North America</v></cell><cell r="O872" t="str"><v>United States</v></cell><cell r="P872" t="str"><v>Trial</v></cell><cell r="Q872" t="str"><v>Social</v></cell><cell r="R872" t="str"><v>Azure</v></cell><cell r="S872" t="str"><v>Apps & Infra</v></cell><cell r="T872" t="str"><v>Developers & ITI's</v></cell><cell r="U872" t="str"><v>USA-Trial-ITD-Trial PayGo Lookalike-AZR-AZR</v></cell><cell r="V872" t="str"><v>Lookalike Targeting</v></cell><cell r="W872" t="str"><v>Canvas Ad</v></cell><cell r="X872" t="str"><v>1x1</v></cell></row><row r="872"><cell r="AA872"><v>43288</v></cell><cell r="AB872" t="str"><v>USA_gaPMG_AZR_AZR_Q1_19_Direct-Social</v></cell><cell r="AC872"><v>21358715</v></cell><cell r="AD872"><v>720197</v></cell><cell r="AE872" t="str"><v>Facebook</v></cell><cell r="AF872"><v>3654128</v></cell><cell r="AG872" t="str"><v>FACEBOOK»USA-Trial-ITD-Trial PayGo Lookalike-AZR-AZR»1 x 1»SocialBan»CAN»ALL»CPA»LAL»X»NA»SS»NA»FBCTCBasicMotion»PRC1Q0</v></cell><cell r="AH872"><v>223935664</v></cell><cell r="AI872" t="str"><v>AzurePlatform_FBCTCBasicMotion_USA_10s_CAN_PLATFORM_English_Trial_Standard_STAN_TIN_T1_2</v></cell><cell r="AJ872"><v>103175984</v></cell></row><row r="873"><cell r="C873" t="str"><v>43288FACEBOOK»USA-Trial-ITD-Trial PayGo Lookalike-AZR-AZR»1 x 1»SocialBan»LIA»ALL»CPA»LAL»X»NA»SS»NA»FreeAcctDeveloperFB-AnimatedAI-Ch3»PRC1Q8</v></cell><cell r="D873" t="str"><v>43288224104983</v></cell><cell r="E873" t="str"><v>43288103032778PRC1Q8</v></cell><cell r="F873" t="str"><v>DCM</v></cell></row><row r="873"><cell r="K873" t="str"><v>July</v></cell><cell r="L873"><v>43288</v></cell><cell r="M873" t="str"><v>Tier 0</v></cell><cell r="N873" t="str"><v>North America</v></cell><cell r="O873" t="str"><v>United States</v></cell><cell r="P873" t="str"><v>Trial</v></cell><cell r="Q873" t="str"><v>Social</v></cell><cell r="R873" t="str"><v>Azure</v></cell><cell r="S873" t="str"><v>Apps & Infra</v></cell><cell r="T873" t="str"><v>Developers & ITI's</v></cell><cell r="U873" t="str"><v>USA-Trial-ITD-Trial PayGo Lookalike-AZR-AZR</v></cell><cell r="V873" t="str"><v>Lookalike Targeting</v></cell><cell r="W873" t="str"><v>Link Ad</v></cell><cell r="X873" t="str"><v>1x1</v></cell></row><row r="873"><cell r="AA873"><v>43288</v></cell><cell r="AB873" t="str"><v>USA_gaPMG_AZR_AZR_Q1_19_Direct-Social</v></cell><cell r="AC873"><v>21358715</v></cell><cell r="AD873"><v>720197</v></cell><cell r="AE873" t="str"><v>Facebook</v></cell><cell r="AF873"><v>3654128</v></cell><cell r="AG873" t="str"><v>FACEBOOK»USA-Trial-ITD-Trial PayGo Lookalike-AZR-AZR»1 x 1»SocialBan»LIA»ALL»CPA»LAL»X»NA»SS»NA»FreeAcctDeveloperFB-AnimatedAI-Ch3»PRC1Q8</v></cell><cell r="AH873"><v>224104983</v></cell><cell r="AI873" t="str"><v>AZR_FreeAcctDeveloperFB-AnimatedAI-Ch3_USA_1200x1200_CAN_Direct_English_Trial_Standard_ANI_LEA_T3_1</v></cell><cell r="AJ873"><v>103032778</v></cell></row><row r="874"><cell r="C874" t="str"><v>43288FACEBOOK»USA-Trial-ITD-Trial PayGo Lookalike-AZR-AZR»1 x 1»SocialBan»LIA»ALL»CPA»LAL»X»NA»SS»NA»FreeAcctDeveloperFB-AnimatedData-Ch4»PRC1Q9</v></cell><cell r="D874" t="str"><v>43288224106990</v></cell><cell r="E874" t="str"><v>43288103037935PRC1Q9</v></cell><cell r="F874" t="str"><v>DCM</v></cell></row><row r="874"><cell r="K874" t="str"><v>July</v></cell><cell r="L874"><v>43288</v></cell><cell r="M874" t="str"><v>Tier 0</v></cell><cell r="N874" t="str"><v>North America</v></cell><cell r="O874" t="str"><v>United States</v></cell><cell r="P874" t="str"><v>Trial</v></cell><cell r="Q874" t="str"><v>Social</v></cell><cell r="R874" t="str"><v>Azure</v></cell><cell r="S874" t="str"><v>Apps & Infra</v></cell><cell r="T874" t="str"><v>Developers & ITI's</v></cell><cell r="U874" t="str"><v>USA-Trial-ITD-Trial PayGo Lookalike-AZR-AZR</v></cell><cell r="V874" t="str"><v>Lookalike Targeting</v></cell><cell r="W874" t="str"><v>Link Ad</v></cell><cell r="X874" t="str"><v>1x1</v></cell></row><row r="874"><cell r="AA874"><v>43288</v></cell><cell r="AB874" t="str"><v>USA_gaPMG_AZR_AZR_Q1_19_Direct-Social</v></cell><cell r="AC874"><v>21358715</v></cell><cell r="AD874"><v>720197</v></cell><cell r="AE874" t="str"><v>Facebook</v></cell><cell r="AF874"><v>3654128</v></cell><cell r="AG874" t="str"><v>FACEBOOK»USA-Trial-ITD-Trial PayGo Lookalike-AZR-AZR»1 x 1»SocialBan»LIA»ALL»CPA»LAL»X»NA»SS»NA»FreeAcctDeveloperFB-AnimatedData-Ch4»PRC1Q9</v></cell><cell r="AH874"><v>224106990</v></cell><cell r="AI874" t="str"><v>AZR_FreeAcctDeveloperFB-AnimatedData-Ch4_USA_1200x1200_CAN_Direct_English_Trial_Standard_ANI_LEA_T4_2</v></cell><cell r="AJ874"><v>103037935</v></cell></row><row r="875"><cell r="C875" t="str"><v>43288FACEBOOK»USA-Trial-ITD-Trial PayGo Lookalike-AZR-AZR»1 x 1»SocialBan»LIA»ALL»CPA»LAL»X»NA»SS»NA»FreeAcctDeveloperFB-AnimatedGeneric-Ch1»PRC1Q5</v></cell><cell r="D875" t="str"><v>43288224104092</v></cell><cell r="E875" t="str"><v>43288103176851PRC1Q5</v></cell><cell r="F875" t="str"><v>DCM</v></cell><cell r="G875" t="str"><v>https://azure.microsoft.com/en-us/free/search/?OCID=AID%eexcid!_OLA_%ebuy!_%epid!_%ecid!</v></cell></row><row r="875"><cell r="K875" t="str"><v>July</v></cell><cell r="L875"><v>43288</v></cell><cell r="M875" t="str"><v>Tier 0</v></cell><cell r="N875" t="str"><v>North America</v></cell><cell r="O875" t="str"><v>United States</v></cell><cell r="P875" t="str"><v>Trial</v></cell><cell r="Q875" t="str"><v>Social</v></cell><cell r="R875" t="str"><v>Azure</v></cell><cell r="S875" t="str"><v>Apps & Infra</v></cell><cell r="T875" t="str"><v>Developers & ITI's</v></cell><cell r="U875" t="str"><v>USA-Trial-ITD-Trial PayGo Lookalike-AZR-AZR</v></cell><cell r="V875" t="str"><v>Lookalike Targeting</v></cell><cell r="W875" t="str"><v>Link Ad</v></cell><cell r="X875" t="str"><v>1x1</v></cell></row><row r="875"><cell r="AA875"><v>43288</v></cell><cell r="AB875" t="str"><v>USA_gaPMG_AZR_AZR_Q1_19_Direct-Social</v></cell><cell r="AC875"><v>21358715</v></cell><cell r="AD875"><v>720197</v></cell><cell r="AE875" t="str"><v>Facebook</v></cell><cell r="AF875"><v>3654128</v></cell><cell r="AG875" t="str"><v>FACEBOOK»USA-Trial-ITD-Trial PayGo Lookalike-AZR-AZR»1 x 1»SocialBan»LIA»ALL»CPA»LAL»X»NA»SS»NA»FreeAcctDeveloperFB-AnimatedGeneric-Ch1»PRC1Q5</v></cell><cell r="AH875"><v>224104092</v></cell><cell r="AI875" t="str"><v>AZR_FreeAcctDeveloperFB-AnimatedGeneric-Ch1_USA_1200x1200_CAN_Direct_English_Trial_Standard_ANI_LEA_T1_2</v></cell><cell r="AJ875"><v>103176851</v></cell></row><row r="876"><cell r="C876" t="str"><v>43288FACEBOOK»USA-Trial-ITD-Trial PayGo Lookalike-AZR-AZR»1 x 1»SocialBan»LIA»ALL»CPA»LAL»X»NA»SS»NA»FreeAcctDeveloperFB-AnimatedOpenSource-Ch2»PRC1Q7</v></cell><cell r="D876" t="str"><v>43288223862951</v></cell><cell r="E876" t="str"><v>43288103048329PRC1Q7</v></cell><cell r="F876" t="str"><v>DCM</v></cell><cell r="G876" t="str"><v>https://azure.microsoft.com/en-us/free/open-source/search/?OCID=AID%eexcid!_OLA_%ebuy!_%epid!_%ecid!</v></cell></row><row r="876"><cell r="K876" t="str"><v>July</v></cell><cell r="L876"><v>43288</v></cell><cell r="M876" t="str"><v>Tier 0</v></cell><cell r="N876" t="str"><v>North America</v></cell><cell r="O876" t="str"><v>United States</v></cell><cell r="P876" t="str"><v>Trial</v></cell><cell r="Q876" t="str"><v>Social</v></cell><cell r="R876" t="str"><v>Azure</v></cell><cell r="S876" t="str"><v>Apps & Infra</v></cell><cell r="T876" t="str"><v>Developers & ITI's</v></cell><cell r="U876" t="str"><v>USA-Trial-ITD-Trial PayGo Lookalike-AZR-AZR</v></cell><cell r="V876" t="str"><v>Lookalike Targeting</v></cell><cell r="W876" t="str"><v>Link Ad</v></cell><cell r="X876" t="str"><v>1x1</v></cell></row><row r="876"><cell r="AA876"><v>43288</v></cell><cell r="AB876" t="str"><v>USA_gaPMG_AZR_AZR_Q1_19_Direct-Social</v></cell><cell r="AC876"><v>21358715</v></cell><cell r="AD876"><v>720197</v></cell><cell r="AE876" t="str"><v>Facebook</v></cell><cell r="AF876"><v>3654128</v></cell><cell r="AG876" t="str"><v>FACEBOOK»USA-Trial-ITD-Trial PayGo Lookalike-AZR-AZR»1 x 1»SocialBan»LIA»ALL»CPA»LAL»X»NA»SS»NA»FreeAcctDeveloperFB-AnimatedOpenSource-Ch2»PRC1Q7</v></cell><cell r="AH876"><v>223862951</v></cell><cell r="AI876" t="str"><v>AZR_FreeAcctDeveloperFB-AnimatedOpenSource-Ch2_USA_1200x1200_CAN_Direct_English_Trial_Standard_ANI_LEA_T2_1</v></cell><cell r="AJ876"><v>103048329</v></cell></row><row r="877"><cell r="C877" t="str"><v>43288FACEBOOK»USA-Trial-ITD-Trial PayGo Lookalike-AZR-AZR»1 x 1»SocialBan»LIA»ALL»CPA»LAL»X»NA»SS»NA»FreeAcctITProFB-AnimatedHybrid-Ch2»PRC1QC</v></cell><cell r="D877" t="str"><v>43288223933186</v></cell><cell r="E877" t="str"><v>43288103180583PRC1QC</v></cell><cell r="F877" t="str"><v>DCM</v></cell></row><row r="877"><cell r="K877" t="str"><v>July</v></cell><cell r="L877"><v>43288</v></cell><cell r="M877" t="str"><v>Tier 0</v></cell><cell r="N877" t="str"><v>North America</v></cell><cell r="O877" t="str"><v>United States</v></cell><cell r="P877" t="str"><v>Trial</v></cell><cell r="Q877" t="str"><v>Social</v></cell><cell r="R877" t="str"><v>Azure</v></cell><cell r="S877" t="str"><v>Apps & Infra</v></cell><cell r="T877" t="str"><v>Developers & ITI's</v></cell><cell r="U877" t="str"><v>USA-Trial-ITD-Trial PayGo Lookalike-AZR-AZR</v></cell><cell r="V877" t="str"><v>Lookalike Targeting</v></cell><cell r="W877" t="str"><v>Link Ad</v></cell><cell r="X877" t="str"><v>1x1</v></cell></row><row r="877"><cell r="AA877"><v>43288</v></cell><cell r="AB877" t="str"><v>USA_gaPMG_AZR_AZR_Q1_19_Direct-Social</v></cell><cell r="AC877"><v>21358715</v></cell><cell r="AD877"><v>720197</v></cell><cell r="AE877" t="str"><v>Facebook</v></cell><cell r="AF877"><v>3654128</v></cell><cell r="AG877" t="str"><v>FACEBOOK»USA-Trial-ITD-Trial PayGo Lookalike-AZR-AZR»1 x 1»SocialBan»LIA»ALL»CPA»LAL»X»NA»SS»NA»FreeAcctITProFB-AnimatedHybrid-Ch2»PRC1QC</v></cell><cell r="AH877"><v>223933186</v></cell><cell r="AI877" t="str"><v>AZR_FreeAcctITProFB-AnimatedHybrid-Ch2_USA_1200x1200_CAN_Direct_English_Trial_Standard_ANI_LEA_T2_2</v></cell><cell r="AJ877"><v>103180583</v></cell></row><row r="878"><cell r="C878" t="str"><v>43288FACEBOOK»USA-Trial-ITD-Trial PayGo Lookalike-AZR-AZR»1 x 1»SocialBan»LIA»ALL»CPA»LAL»X»NA»SS»NA»FreeAcctITProFB-AnimatedMigration-Ch3»PRC23Y</v></cell><cell r="D878" t="str"><v>43288224105904</v></cell><cell r="E878" t="str"><v>43288103176827PRC23Y</v></cell><cell r="F878" t="str"><v>DCM</v></cell></row><row r="878"><cell r="K878" t="str"><v>July</v></cell><cell r="L878"><v>43288</v></cell><cell r="M878" t="str"><v>Tier 0</v></cell><cell r="N878" t="str"><v>North America</v></cell><cell r="O878" t="str"><v>United States</v></cell><cell r="P878" t="str"><v>Trial</v></cell><cell r="Q878" t="str"><v>Social</v></cell><cell r="R878" t="str"><v>Azure</v></cell><cell r="S878" t="str"><v>Apps & Infra</v></cell><cell r="T878" t="str"><v>Developers & ITI's</v></cell><cell r="U878" t="str"><v>USA-Trial-ITD-Trial PayGo Lookalike-AZR-AZR</v></cell><cell r="V878" t="str"><v>Lookalike Targeting</v></cell><cell r="W878" t="str"><v>Link Ad</v></cell><cell r="X878" t="str"><v>1x1</v></cell></row><row r="878"><cell r="AA878"><v>43288</v></cell><cell r="AB878" t="str"><v>USA_gaPMG_AZR_AZR_Q1_19_Direct-Social</v></cell><cell r="AC878"><v>21358715</v></cell><cell r="AD878"><v>720197</v></cell><cell r="AE878" t="str"><v>Facebook</v></cell><cell r="AF878"><v>3654128</v></cell><cell r="AG878" t="str"><v>FACEBOOK»USA-Trial-ITD-Trial PayGo Lookalike-AZR-AZR»1 x 1»SocialBan»LIA»ALL»CPA»LAL»X»NA»SS»NA»FreeAcctITProFB-AnimatedMigration-Ch3»PRC23Y</v></cell><cell r="AH878"><v>224105904</v></cell><cell r="AI878" t="str"><v>AZR_FreeAcctITProFB-AnimatedMigration-Ch3_USA_1200x1200_CAN_Direct_English_Trial_Standard_ANI_LEA_T3_1</v></cell><cell r="AJ878"><v>103176827</v></cell></row><row r="879"><cell r="C879" t="str"><v>43288FACEBOOK»USA-Trial-ITD-Trial PayGo Lookalike-AZR-AZR»1 x 1»SocialBan»LIA»ALL»CPA»LAL»X»NA»SS»NA»FreeAcctITProFB-AnimatedSecureMngd-Ch1»PRC1QB</v></cell><cell r="D879" t="str"><v>43288223862945</v></cell><cell r="E879" t="str"><v>43288103176830PRC1QB</v></cell><cell r="F879" t="str"><v>DCM</v></cell></row><row r="879"><cell r="K879" t="str"><v>July</v></cell><cell r="L879"><v>43288</v></cell><cell r="M879" t="str"><v>Tier 0</v></cell><cell r="N879" t="str"><v>North America</v></cell><cell r="O879" t="str"><v>United States</v></cell><cell r="P879" t="str"><v>Trial</v></cell><cell r="Q879" t="str"><v>Social</v></cell><cell r="R879" t="str"><v>Azure</v></cell><cell r="S879" t="str"><v>Apps & Infra</v></cell><cell r="T879" t="str"><v>Developers & ITI's</v></cell><cell r="U879" t="str"><v>USA-Trial-ITD-Trial PayGo Lookalike-AZR-AZR</v></cell><cell r="V879" t="str"><v>Lookalike Targeting</v></cell><cell r="W879" t="str"><v>Link Ad</v></cell><cell r="X879" t="str"><v>1x1</v></cell></row><row r="879"><cell r="AA879"><v>43288</v></cell><cell r="AB879" t="str"><v>USA_gaPMG_AZR_AZR_Q1_19_Direct-Social</v></cell><cell r="AC879"><v>21358715</v></cell><cell r="AD879"><v>720197</v></cell><cell r="AE879" t="str"><v>Facebook</v></cell><cell r="AF879"><v>3654128</v></cell><cell r="AG879" t="str"><v>FACEBOOK»USA-Trial-ITD-Trial PayGo Lookalike-AZR-AZR»1 x 1»SocialBan»LIA»ALL»CPA»LAL»X»NA»SS»NA»FreeAcctITProFB-AnimatedSecureMngd-Ch1»PRC1QB</v></cell><cell r="AH879"><v>223862945</v></cell><cell r="AI879" t="str"><v>AZR_FreeAcctITProFB-AnimatedSecureMngd-Ch1_USA_1200x1200_CAN_Direct_English_Trial_Standard_ANI_LEA_T1_1</v></cell><cell r="AJ879"><v>103176830</v></cell></row><row r="880"><cell r="C880" t="str"><v>43288INSTAGRAM»USA-Trial-ITD-Interest Prospecting-AZR-AZR»1 x 1»SocialBan»CAN»ALL»CPA»PRO»X»NA»SS»NA»IGCTCBrandinMotion»PRC2PB</v></cell><cell r="D880" t="str"><v>43288223862690</v></cell><cell r="E880" t="str"><v>43288103050783PRC2PB</v></cell><cell r="F880" t="str"><v>DCM</v></cell><cell r="G880" t="str"><v>https://signup.azure.com/?OCID=AID%eexcid!_OLA_%ebuy!_%epid!_%ecid!</v></cell></row><row r="880"><cell r="K880" t="str"><v>July</v></cell><cell r="L880"><v>43288</v></cell><cell r="M880" t="str"><v>Tier 0</v></cell><cell r="N880" t="str"><v>North America</v></cell><cell r="O880" t="str"><v>United States</v></cell><cell r="P880" t="str"><v>Trial</v></cell><cell r="Q880" t="str"><v>Social</v></cell><cell r="R880" t="str"><v>Azure</v></cell><cell r="S880" t="str"><v>Apps & Infra</v></cell><cell r="T880" t="str"><v>Developers & ITI's</v></cell><cell r="U880" t="str"><v>USA-Trial-ITD-Interest Prospecting-AZR-AZR</v></cell><cell r="V880" t="str"><v>Prospecting</v></cell><cell r="W880" t="str"><v>Canvas Ad</v></cell><cell r="X880" t="str"><v>1x1</v></cell></row><row r="880"><cell r="AA880"><v>43288</v></cell><cell r="AB880" t="str"><v>USA_gaPMG_AZR_AZR_Q1_19_Direct-Social</v></cell><cell r="AC880"><v>21358715</v></cell><cell r="AD880"><v>720197</v></cell><cell r="AE880" t="str"><v>Facebook - Instagram</v></cell><cell r="AF880"><v>3654128</v></cell><cell r="AG880" t="str"><v>INSTAGRAM»USA-Trial-ITD-Interest Prospecting-AZR-AZR»1 x 1»SocialBan»CAN»ALL»CPA»PRO»X»NA»SS»NA»IGCTCBrandinMotion»PRC2PB</v></cell><cell r="AH880"><v>223862690</v></cell><cell r="AI880" t="str"><v>AzurePlatform_IGCTCBenefit2inMotion_USA_10s_CAN_PLATFORM_English_Trial_Standard_STAN_TIN_T4_1</v></cell><cell r="AJ880"><v>103050783</v></cell></row><row r="881"><cell r="C881" t="str"><v>43288INSTAGRAM»USA-Trial-ITD-Interest Prospecting-AZR-AZR»1 x 1»SocialBan»CAN»ALL»CPA»PRO»X»NA»SS»NA»IGCTCBrandinMotion»PRC2PB</v></cell><cell r="D881" t="str"><v>43288223862690</v></cell><cell r="E881" t="str"><v>43288103178714PRC2PB</v></cell><cell r="F881" t="str"><v>DCM</v></cell><cell r="G881" t="str"><v>https://azure.microsoft.com/en-us/pricing/purchase-options/?v=18.19&OCID=AID%eexcid!_OLA_%ebuy!_%epid!_%ecid!</v></cell></row><row r="881"><cell r="K881" t="str"><v>July</v></cell><cell r="L881"><v>43288</v></cell><cell r="M881" t="str"><v>Tier 0</v></cell><cell r="N881" t="str"><v>North America</v></cell><cell r="O881" t="str"><v>United States</v></cell><cell r="P881" t="str"><v>Trial</v></cell><cell r="Q881" t="str"><v>Social</v></cell><cell r="R881" t="str"><v>Azure</v></cell><cell r="S881" t="str"><v>Apps & Infra</v></cell><cell r="T881" t="str"><v>Developers & ITI's</v></cell><cell r="U881" t="str"><v>USA-Trial-ITD-Interest Prospecting-AZR-AZR</v></cell><cell r="V881" t="str"><v>Prospecting</v></cell><cell r="W881" t="str"><v>Canvas Ad</v></cell><cell r="X881" t="str"><v>1x1</v></cell></row><row r="881"><cell r="AA881"><v>43288</v></cell><cell r="AB881" t="str"><v>USA_gaPMG_AZR_AZR_Q1_19_Direct-Social</v></cell><cell r="AC881"><v>21358715</v></cell><cell r="AD881"><v>720197</v></cell><cell r="AE881" t="str"><v>Facebook - Instagram</v></cell><cell r="AF881"><v>3654128</v></cell><cell r="AG881" t="str"><v>INSTAGRAM»USA-Trial-ITD-Interest Prospecting-AZR-AZR»1 x 1»SocialBan»CAN»ALL»CPA»PRO»X»NA»SS»NA»IGCTCBrandinMotion»PRC2PB</v></cell><cell r="AH881"><v>223862690</v></cell><cell r="AI881" t="str"><v>AzurePlatform_IGCTCBenefit2inMotion_USA_10s_CAN_PLATFORM_English_Trial_Standard_STAN_TIN_T4_2</v></cell><cell r="AJ881"><v>103178714</v></cell></row><row r="882"><cell r="C882" t="str"><v>43288INSTAGRAM»USA-Trial-ITD-Retargeting-AZR-AZR»1 x 1»SocialBan»CAN»ALL»CPA»RT»X»NA»SS»NA»IGCTCBenefit2inMotion»PRC2G6</v></cell><cell r="D882" t="str"><v>43288224105001</v></cell><cell r="E882" t="str"><v>43288103050786PRC2G6</v></cell><cell r="F882" t="str"><v>DCM</v></cell><cell r="G882" t="str"><v>https://azure.microsoft.com/en-us/pricing/purchase-options/?v=18.19&OCID=AID%eexcid!_OLA_%ebuy!_%epid!_%ecid!</v></cell></row><row r="882"><cell r="K882" t="str"><v>July</v></cell><cell r="L882"><v>43288</v></cell><cell r="M882" t="str"><v>Tier 0</v></cell><cell r="N882" t="str"><v>North America</v></cell><cell r="O882" t="str"><v>United States</v></cell><cell r="P882" t="str"><v>Trial</v></cell><cell r="Q882" t="str"><v>Social</v></cell><cell r="R882" t="str"><v>Azure</v></cell><cell r="S882" t="str"><v>Apps & Infra</v></cell><cell r="T882" t="str"><v>Developers & ITI's</v></cell><cell r="U882" t="str"><v>USA-Trial-ITD-Retargeting-AZR-AZR</v></cell><cell r="V882" t="str"><v>Retargeting</v></cell><cell r="W882" t="str"><v>Canvas Ad</v></cell><cell r="X882" t="str"><v>1x1</v></cell></row><row r="882"><cell r="AA882"><v>43288</v></cell><cell r="AB882" t="str"><v>USA_gaPMG_AZR_AZR_Q1_19_Direct-Social</v></cell><cell r="AC882"><v>21358715</v></cell><cell r="AD882"><v>720197</v></cell><cell r="AE882" t="str"><v>Facebook - Instagram</v></cell><cell r="AF882"><v>3654128</v></cell><cell r="AG882" t="str"><v>INSTAGRAM»USA-Trial-ITD-Retargeting-AZR-AZR»1 x 1»SocialBan»CAN»ALL»CPA»RT»X»NA»SS»NA»IGCTCBenefit2inMotion»PRC2G6</v></cell><cell r="AH882"><v>224105001</v></cell><cell r="AI882" t="str"><v>AzurePlatform_IGCTCBrandinMotion_USA_10s_CAN_PLATFORM_English_Trial_Standard_STAN_TIN_T2_2</v></cell><cell r="AJ882"><v>103050786</v></cell></row><row r="883"><cell r="C883" t="str"><v>43288INSTAGRAM»USA-Trial-ITD-Retargeting-AZR-AZR»1 x 1»SocialBan»CAN»ALL»CPA»RT»X»NA»SS»NA»IGCTCBenefitinMotion»PRC2G4</v></cell><cell r="D883" t="str"><v>43288224107536</v></cell><cell r="E883" t="str"><v>43288103050780PRC2G4</v></cell><cell r="F883" t="str"><v>DCM</v></cell><cell r="G883" t="str"><v>https://signup.azure.com/?OCID=AID%eexcid!_OLA_%ebuy!_%epid!_%ecid!</v></cell></row><row r="883"><cell r="K883" t="str"><v>July</v></cell><cell r="L883"><v>43288</v></cell><cell r="M883" t="str"><v>Tier 0</v></cell><cell r="N883" t="str"><v>North America</v></cell><cell r="O883" t="str"><v>United States</v></cell><cell r="P883" t="str"><v>Trial</v></cell><cell r="Q883" t="str"><v>Social</v></cell><cell r="R883" t="str"><v>Azure</v></cell><cell r="S883" t="str"><v>Apps & Infra</v></cell><cell r="T883" t="str"><v>Developers & ITI's</v></cell><cell r="U883" t="str"><v>USA-Trial-ITD-Retargeting-AZR-AZR</v></cell><cell r="V883" t="str"><v>Retargeting</v></cell><cell r="W883" t="str"><v>Canvas Ad</v></cell><cell r="X883" t="str"><v>1x1</v></cell></row><row r="883"><cell r="AA883"><v>43288</v></cell><cell r="AB883" t="str"><v>USA_gaPMG_AZR_AZR_Q1_19_Direct-Social</v></cell><cell r="AC883"><v>21358715</v></cell><cell r="AD883"><v>720197</v></cell><cell r="AE883" t="str"><v>Facebook - Instagram</v></cell><cell r="AF883"><v>3654128</v></cell><cell r="AG883" t="str"><v>INSTAGRAM»USA-Trial-ITD-Retargeting-AZR-AZR»1 x 1»SocialBan»CAN»ALL»CPA»RT»X»NA»SS»NA»IGCTCBenefitinMotion»PRC2G4</v></cell><cell r="AH883"><v>224107536</v></cell><cell r="AI883" t="str"><v>AzurePlatform_IGCTCBenefitinMotion_USA_10s_CAN_PLATFORM_English_Trial_Standard_STAN_TIN_T3_1</v></cell><cell r="AJ883"><v>103050780</v></cell></row><row r="884"><cell r="C884" t="str"><v>43288INSTAGRAM»USA-Trial-ITD-Retargeting-AZR-AZR»1 x 1»SocialBan»CAN»ALL»CPA»RT»X»NA»SS»NA»IGCTCBenefitinMotion»PRC2G4</v></cell><cell r="D884" t="str"><v>43288224107536</v></cell><cell r="E884" t="str"><v>43288103180637PRC2G4</v></cell><cell r="F884" t="str"><v>DCM</v></cell><cell r="G884" t="str"><v>https://azure.microsoft.com/en-us/pricing/purchase-options/?v=18.19&OCID=AID%eexcid!_OLA_%ebuy!_%epid!_%ecid!</v></cell></row><row r="884"><cell r="K884" t="str"><v>July</v></cell><cell r="L884"><v>43288</v></cell><cell r="M884" t="str"><v>Tier 0</v></cell><cell r="N884" t="str"><v>North America</v></cell><cell r="O884" t="str"><v>United States</v></cell><cell r="P884" t="str"><v>Trial</v></cell><cell r="Q884" t="str"><v>Social</v></cell><cell r="R884" t="str"><v>Azure</v></cell><cell r="S884" t="str"><v>Apps & Infra</v></cell><cell r="T884" t="str"><v>Developers & ITI's</v></cell><cell r="U884" t="str"><v>USA-Trial-ITD-Retargeting-AZR-AZR</v></cell><cell r="V884" t="str"><v>Retargeting</v></cell><cell r="W884" t="str"><v>Canvas Ad</v></cell><cell r="X884" t="str"><v>1x1</v></cell></row><row r="884"><cell r="AA884"><v>43288</v></cell><cell r="AB884" t="str"><v>USA_gaPMG_AZR_AZR_Q1_19_Direct-Social</v></cell><cell r="AC884"><v>21358715</v></cell><cell r="AD884"><v>720197</v></cell><cell r="AE884" t="str"><v>Facebook - Instagram</v></cell><cell r="AF884"><v>3654128</v></cell><cell r="AG884" t="str"><v>INSTAGRAM»USA-Trial-ITD-Retargeting-AZR-AZR»1 x 1»SocialBan»CAN»ALL»CPA»RT»X»NA»SS»NA»IGCTCBenefitinMotion»PRC2G4</v></cell><cell r="AH884"><v>224107536</v></cell><cell r="AI884" t="str"><v>AzurePlatform_IGCTCBenefitinMotion_USA_10s_CAN_PLATFORM_English_Trial_Standard_STAN_TIN_T3_2</v></cell><cell r="AJ884"><v>103180637</v></cell></row><row r="885"><cell r="C885" t="str"><v>43288INSTAGRAM»USA-Trial-ITD-Trial Lookalike-AZR-AZR»1 x 1»SocialBan»CAN»ALL»CPA»LAL»X»NA»SS»NA»IGCTCBenefit2inMotion»PRC2FL</v></cell><cell r="D885" t="str"><v>43288223935022</v></cell><cell r="E885" t="str"><v>43288103180628PRC2FL</v></cell><cell r="F885" t="str"><v>DCM</v></cell><cell r="G885" t="str"><v>https://signup.azure.com/?OCID=AID%eexcid!_OLA_%ebuy!_%epid!_%ecid!</v></cell></row><row r="885"><cell r="K885" t="str"><v>July</v></cell><cell r="L885"><v>43288</v></cell><cell r="M885" t="str"><v>Tier 0</v></cell><cell r="N885" t="str"><v>North America</v></cell><cell r="O885" t="str"><v>United States</v></cell><cell r="P885" t="str"><v>Trial</v></cell><cell r="Q885" t="str"><v>Social</v></cell><cell r="R885" t="str"><v>Azure</v></cell><cell r="S885" t="str"><v>Apps & Infra</v></cell><cell r="T885" t="str"><v>Developers & ITI's</v></cell><cell r="U885" t="str"><v>USA-Trial-ITD-Trial Lookalike-AZR-AZR</v></cell><cell r="V885" t="str"><v>Lookalike Targeting</v></cell><cell r="W885" t="str"><v>Canvas Ad</v></cell><cell r="X885" t="str"><v>1x1</v></cell></row><row r="885"><cell r="AA885"><v>43288</v></cell><cell r="AB885" t="str"><v>USA_gaPMG_AZR_AZR_Q1_19_Direct-Social</v></cell><cell r="AC885"><v>21358715</v></cell><cell r="AD885"><v>720197</v></cell><cell r="AE885" t="str"><v>Facebook - Instagram</v></cell><cell r="AF885"><v>3654128</v></cell><cell r="AG885" t="str"><v>INSTAGRAM»USA-Trial-ITD-Trial Lookalike-AZR-AZR»1 x 1»SocialBan»CAN»ALL»CPA»LAL»X»NA»SS»NA»IGCTCBenefit2inMotion»PRC2FL</v></cell><cell r="AH885"><v>223935022</v></cell><cell r="AI885" t="str"><v>AzurePlatform_IGCTCBrandinMotion_USA_10s_CAN_PLATFORM_English_Trial_Standard_STAN_TIN_T2_1</v></cell><cell r="AJ885"><v>103180628</v></cell></row><row r="886"><cell r="C886" t="str"><v>43288INSTAGRAM»USA-Trial-ITD-Trial Lookalike-AZR-AZR»1 x 1»SocialBan»CAN»ALL»CPA»LAL»X»NA»SS»NA»IGCTCBenefit2inMotion»PRC2FL</v></cell><cell r="D886" t="str"><v>43288223935022</v></cell><cell r="E886" t="str"><v>43288103050786PRC2FL</v></cell><cell r="F886" t="str"><v>DCM</v></cell><cell r="G886" t="str"><v>https://azure.microsoft.com/en-us/pricing/purchase-options/?v=18.19&OCID=AID%eexcid!_OLA_%ebuy!_%epid!_%ecid!</v></cell></row><row r="886"><cell r="K886" t="str"><v>July</v></cell><cell r="L886"><v>43288</v></cell><cell r="M886" t="str"><v>Tier 0</v></cell><cell r="N886" t="str"><v>North America</v></cell><cell r="O886" t="str"><v>United States</v></cell><cell r="P886" t="str"><v>Trial</v></cell><cell r="Q886" t="str"><v>Social</v></cell><cell r="R886" t="str"><v>Azure</v></cell><cell r="S886" t="str"><v>Apps & Infra</v></cell><cell r="T886" t="str"><v>Developers & ITI's</v></cell><cell r="U886" t="str"><v>USA-Trial-ITD-Trial Lookalike-AZR-AZR</v></cell><cell r="V886" t="str"><v>Lookalike Targeting</v></cell><cell r="W886" t="str"><v>Canvas Ad</v></cell><cell r="X886" t="str"><v>1x1</v></cell></row><row r="886"><cell r="AA886"><v>43288</v></cell><cell r="AB886" t="str"><v>USA_gaPMG_AZR_AZR_Q1_19_Direct-Social</v></cell><cell r="AC886"><v>21358715</v></cell><cell r="AD886"><v>720197</v></cell><cell r="AE886" t="str"><v>Facebook - Instagram</v></cell><cell r="AF886"><v>3654128</v></cell><cell r="AG886" t="str"><v>INSTAGRAM»USA-Trial-ITD-Trial Lookalike-AZR-AZR»1 x 1»SocialBan»CAN»ALL»CPA»LAL»X»NA»SS»NA»IGCTCBenefit2inMotion»PRC2FL</v></cell><cell r="AH886"><v>223935022</v></cell><cell r="AI886" t="str"><v>AzurePlatform_IGCTCBrandinMotion_USA_10s_CAN_PLATFORM_English_Trial_Standard_STAN_TIN_T2_2</v></cell><cell r="AJ886"><v>103050786</v></cell></row><row r="887"><cell r="C887" t="str"><v>43288INSTAGRAM»USA-Trial-ITD-Trial Lookalike-AZR-AZR»1 x 1»SocialBan»CAN»ALL»CPA»LAL»X»NA»SS»NA»IGCTCBrandinMotion»PRC2FH</v></cell><cell r="D887" t="str"><v>43288223935019</v></cell><cell r="E887" t="str"><v>43288103050783PRC2FH</v></cell><cell r="F887" t="str"><v>DCM</v></cell><cell r="G887" t="str"><v>https://signup.azure.com/?OCID=AID%eexcid!_OLA_%ebuy!_%epid!_%ecid!</v></cell></row><row r="887"><cell r="K887" t="str"><v>July</v></cell><cell r="L887"><v>43288</v></cell><cell r="M887" t="str"><v>Tier 0</v></cell><cell r="N887" t="str"><v>North America</v></cell><cell r="O887" t="str"><v>United States</v></cell><cell r="P887" t="str"><v>Trial</v></cell><cell r="Q887" t="str"><v>Social</v></cell><cell r="R887" t="str"><v>Azure</v></cell><cell r="S887" t="str"><v>Apps & Infra</v></cell><cell r="T887" t="str"><v>Developers & ITI's</v></cell><cell r="U887" t="str"><v>USA-Trial-ITD-Trial Lookalike-AZR-AZR</v></cell><cell r="V887" t="str"><v>Lookalike Targeting</v></cell><cell r="W887" t="str"><v>Canvas Ad</v></cell><cell r="X887" t="str"><v>1x1</v></cell></row><row r="887"><cell r="AA887"><v>43288</v></cell><cell r="AB887" t="str"><v>USA_gaPMG_AZR_AZR_Q1_19_Direct-Social</v></cell><cell r="AC887"><v>21358715</v></cell><cell r="AD887"><v>720197</v></cell><cell r="AE887" t="str"><v>Facebook - Instagram</v></cell><cell r="AF887"><v>3654128</v></cell><cell r="AG887" t="str"><v>INSTAGRAM»USA-Trial-ITD-Trial Lookalike-AZR-AZR»1 x 1»SocialBan»CAN»ALL»CPA»LAL»X»NA»SS»NA»IGCTCBrandinMotion»PRC2FH</v></cell><cell r="AH887"><v>223935019</v></cell><cell r="AI887" t="str"><v>AzurePlatform_IGCTCBenefit2inMotion_USA_10s_CAN_PLATFORM_English_Trial_Standard_STAN_TIN_T4_1</v></cell><cell r="AJ887"><v>103050783</v></cell></row><row r="888"><cell r="C888" t="str"><v>43288INSTAGRAM»USA-Trial-ITD-Trial Lookalike-AZR-AZR»1 x 1»SocialBan»CAN»ALL»CPA»LAL»X»NA»SS»NA»IGCTCBrandinMotion»PRC2FH</v></cell><cell r="D888" t="str"><v>43288223935019</v></cell><cell r="E888" t="str"><v>43288103178714PRC2FH</v></cell><cell r="F888" t="str"><v>DCM</v></cell><cell r="G888" t="str"><v>https://azure.microsoft.com/en-us/pricing/purchase-options/?v=18.19&OCID=AID%eexcid!_OLA_%ebuy!_%epid!_%ecid!</v></cell></row><row r="888"><cell r="K888" t="str"><v>July</v></cell><cell r="L888"><v>43288</v></cell><cell r="M888" t="str"><v>Tier 0</v></cell><cell r="N888" t="str"><v>North America</v></cell><cell r="O888" t="str"><v>United States</v></cell><cell r="P888" t="str"><v>Trial</v></cell><cell r="Q888" t="str"><v>Social</v></cell><cell r="R888" t="str"><v>Azure</v></cell><cell r="S888" t="str"><v>Apps & Infra</v></cell><cell r="T888" t="str"><v>Developers & ITI's</v></cell><cell r="U888" t="str"><v>USA-Trial-ITD-Trial Lookalike-AZR-AZR</v></cell><cell r="V888" t="str"><v>Lookalike Targeting</v></cell><cell r="W888" t="str"><v>Canvas Ad</v></cell><cell r="X888" t="str"><v>1x1</v></cell></row><row r="888"><cell r="AA888"><v>43288</v></cell><cell r="AB888" t="str"><v>USA_gaPMG_AZR_AZR_Q1_19_Direct-Social</v></cell><cell r="AC888"><v>21358715</v></cell><cell r="AD888"><v>720197</v></cell><cell r="AE888" t="str"><v>Facebook - Instagram</v></cell><cell r="AF888"><v>3654128</v></cell><cell r="AG888" t="str"><v>INSTAGRAM»USA-Trial-ITD-Trial Lookalike-AZR-AZR»1 x 1»SocialBan»CAN»ALL»CPA»LAL»X»NA»SS»NA»IGCTCBrandinMotion»PRC2FH</v></cell><cell r="AH888"><v>223935019</v></cell><cell r="AI888" t="str"><v>AzurePlatform_IGCTCBenefit2inMotion_USA_10s_CAN_PLATFORM_English_Trial_Standard_STAN_TIN_T4_2</v></cell><cell r="AJ888"><v>103178714</v></cell></row><row r="889"><cell r="C889" t="str"><v>43288INSTAGRAM»USA-Trial-ITD-Trial PayGo Lookalike-AZR-AZR»1 x 1»SocialBan»CAN»ALL»CPA»LAL»X»NA»SS»NA»IGCTCBrandinMotion»PRC2FW</v></cell><cell r="D889" t="str"><v>43288223862654</v></cell><cell r="E889" t="str"><v>43288103050783PRC2FW</v></cell><cell r="F889" t="str"><v>DCM</v></cell><cell r="G889" t="str"><v>https://signup.azure.com/?OCID=AID%eexcid!_OLA_%ebuy!_%epid!_%ecid!</v></cell></row><row r="889"><cell r="K889" t="str"><v>July</v></cell><cell r="L889"><v>43288</v></cell><cell r="M889" t="str"><v>Tier 0</v></cell><cell r="N889" t="str"><v>North America</v></cell><cell r="O889" t="str"><v>United States</v></cell><cell r="P889" t="str"><v>Trial</v></cell><cell r="Q889" t="str"><v>Social</v></cell><cell r="R889" t="str"><v>Azure</v></cell><cell r="S889" t="str"><v>Apps & Infra</v></cell><cell r="T889" t="str"><v>Developers & ITI's</v></cell><cell r="U889" t="str"><v>USA-Trial-ITD-Trial PayGo Lookalike-AZR-AZR</v></cell><cell r="V889" t="str"><v>Lookalike Targeting</v></cell><cell r="W889" t="str"><v>Canvas Ad</v></cell><cell r="X889" t="str"><v>1x1</v></cell></row><row r="889"><cell r="AA889"><v>43288</v></cell><cell r="AB889" t="str"><v>USA_gaPMG_AZR_AZR_Q1_19_Direct-Social</v></cell><cell r="AC889"><v>21358715</v></cell><cell r="AD889"><v>720197</v></cell><cell r="AE889" t="str"><v>Facebook - Instagram</v></cell><cell r="AF889"><v>3654128</v></cell><cell r="AG889" t="str"><v>INSTAGRAM»USA-Trial-ITD-Trial PayGo Lookalike-AZR-AZR»1 x 1»SocialBan»CAN»ALL»CPA»LAL»X»NA»SS»NA»IGCTCBrandinMotion»PRC2FW</v></cell><cell r="AH889"><v>223862654</v></cell><cell r="AI889" t="str"><v>AzurePlatform_IGCTCBenefit2inMotion_USA_10s_CAN_PLATFORM_English_Trial_Standard_STAN_TIN_T4_1</v></cell><cell r="AJ889"><v>103050783</v></cell></row><row r="890"><cell r="C890" t="str"><v>43288INSTAGRAM»USA-Trial-ITD-Trial PayGo Lookalike-AZR-AZR»1 x 1»SocialBan»CAN»ALL»CPA»LAL»X»NA»SS»NA»IGCTCBenefit2inMotion»PRC2FZ</v></cell><cell r="D890" t="str"><v>43288223933075</v></cell><cell r="E890" t="str"><v>43288103180628PRC2FZ</v></cell><cell r="F890" t="str"><v>DCM</v></cell><cell r="G890" t="str"><v>https://signup.azure.com/?OCID=AID%eexcid!_OLA_%ebuy!_%epid!_%ecid!</v></cell></row><row r="890"><cell r="K890" t="str"><v>July</v></cell><cell r="L890"><v>43288</v></cell><cell r="M890" t="str"><v>Tier 0</v></cell><cell r="N890" t="str"><v>North America</v></cell><cell r="O890" t="str"><v>United States</v></cell><cell r="P890" t="str"><v>Trial</v></cell><cell r="Q890" t="str"><v>Social</v></cell><cell r="R890" t="str"><v>Azure</v></cell><cell r="S890" t="str"><v>Apps & Infra</v></cell><cell r="T890" t="str"><v>Developers & ITI's</v></cell><cell r="U890" t="str"><v>USA-Trial-ITD-Trial PayGo Lookalike-AZR-AZR</v></cell><cell r="V890" t="str"><v>Lookalike Targeting</v></cell><cell r="W890" t="str"><v>Canvas Ad</v></cell><cell r="X890" t="str"><v>1x1</v></cell></row><row r="890"><cell r="AA890"><v>43288</v></cell><cell r="AB890" t="str"><v>USA_gaPMG_AZR_AZR_Q1_19_Direct-Social</v></cell><cell r="AC890"><v>21358715</v></cell><cell r="AD890"><v>720197</v></cell><cell r="AE890" t="str"><v>Facebook - Instagram</v></cell><cell r="AF890"><v>3654128</v></cell><cell r="AG890" t="str"><v>INSTAGRAM»USA-Trial-ITD-Trial PayGo Lookalike-AZR-AZR»1 x 1»SocialBan»CAN»ALL»CPA»LAL»X»NA»SS»NA»IGCTCBenefit2inMotion»PRC2FZ</v></cell><cell r="AH890"><v>223933075</v></cell><cell r="AI890" t="str"><v>AzurePlatform_IGCTCBrandinMotion_USA_10s_CAN_PLATFORM_English_Trial_Standard_STAN_TIN_T2_1</v></cell><cell r="AJ890"><v>103180628</v></cell></row><row r="891"><cell r="C891" t="str"><v>43288INSTAGRAM»USA-Trial-ITD-Trial PayGo Lookalike-AZR-AZR»1 x 1»SocialBan»CAN»ALL»CPA»LAL»X»NA»SS»NA»IGCTCBenefit2inMotion»PRC2FZ</v></cell><cell r="D891" t="str"><v>43288223933075</v></cell><cell r="E891" t="str"><v>43288103050786PRC2FZ</v></cell><cell r="F891" t="str"><v>DCM</v></cell><cell r="G891" t="str"><v>https://azure.microsoft.com/en-us/pricing/purchase-options/?v=18.19&OCID=AID%eexcid!_OLA_%ebuy!_%epid!_%ecid!</v></cell></row><row r="891"><cell r="K891" t="str"><v>July</v></cell><cell r="L891"><v>43288</v></cell><cell r="M891" t="str"><v>Tier 0</v></cell><cell r="N891" t="str"><v>North America</v></cell><cell r="O891" t="str"><v>United States</v></cell><cell r="P891" t="str"><v>Trial</v></cell><cell r="Q891" t="str"><v>Social</v></cell><cell r="R891" t="str"><v>Azure</v></cell><cell r="S891" t="str"><v>Apps & Infra</v></cell><cell r="T891" t="str"><v>Developers & ITI's</v></cell><cell r="U891" t="str"><v>USA-Trial-ITD-Trial PayGo Lookalike-AZR-AZR</v></cell><cell r="V891" t="str"><v>Lookalike Targeting</v></cell><cell r="W891" t="str"><v>Canvas Ad</v></cell><cell r="X891" t="str"><v>1x1</v></cell></row><row r="891"><cell r="AA891"><v>43288</v></cell><cell r="AB891" t="str"><v>USA_gaPMG_AZR_AZR_Q1_19_Direct-Social</v></cell><cell r="AC891"><v>21358715</v></cell><cell r="AD891"><v>720197</v></cell><cell r="AE891" t="str"><v>Facebook - Instagram</v></cell><cell r="AF891"><v>3654128</v></cell><cell r="AG891" t="str"><v>INSTAGRAM»USA-Trial-ITD-Trial PayGo Lookalike-AZR-AZR»1 x 1»SocialBan»CAN»ALL»CPA»LAL»X»NA»SS»NA»IGCTCBenefit2inMotion»PRC2FZ</v></cell><cell r="AH891"><v>223933075</v></cell><cell r="AI891" t="str"><v>AzurePlatform_IGCTCBrandinMotion_USA_10s_CAN_PLATFORM_English_Trial_Standard_STAN_TIN_T2_2</v></cell><cell r="AJ891"><v>103050786</v></cell></row><row r="892"><cell r="C892" t="str"><v>43288INSTAGRAM»USA-Trial-ITD-Interest Prospecting-AZR-AZR»1 x 1»SocialBan»CAN»ALL»CPA»PRO»X»NA»SS»NA»IGCTCBasicMotion»PRC2PF</v></cell><cell r="D892" t="str"><v>43288224106621</v></cell><cell r="E892" t="str"><v>43288103037968PRC2PF</v></cell><cell r="F892" t="str"><v>DCM</v></cell><cell r="G892" t="str"><v>https://signup.azure.com/?OCID=AID%eexcid!_OLA_%ebuy!_%epid!_%ecid!</v></cell></row><row r="892"><cell r="K892" t="str"><v>July</v></cell><cell r="L892"><v>43288</v></cell><cell r="M892" t="str"><v>Tier 0</v></cell><cell r="N892" t="str"><v>North America</v></cell><cell r="O892" t="str"><v>United States</v></cell><cell r="P892" t="str"><v>Trial</v></cell><cell r="Q892" t="str"><v>Social</v></cell><cell r="R892" t="str"><v>Azure</v></cell><cell r="S892" t="str"><v>Apps & Infra</v></cell><cell r="T892" t="str"><v>Developers & ITI's</v></cell><cell r="U892" t="str"><v>USA-Trial-ITD-Interest Prospecting-AZR-AZR</v></cell><cell r="V892" t="str"><v>Prospecting</v></cell><cell r="W892" t="str"><v>Canvas Ad</v></cell><cell r="X892" t="str"><v>1x1</v></cell></row><row r="892"><cell r="AA892"><v>43288</v></cell><cell r="AB892" t="str"><v>USA_gaPMG_AZR_AZR_Q1_19_Direct-Social</v></cell><cell r="AC892"><v>21358715</v></cell><cell r="AD892"><v>720197</v></cell><cell r="AE892" t="str"><v>Facebook - Instagram</v></cell><cell r="AF892"><v>3654128</v></cell><cell r="AG892" t="str"><v>INSTAGRAM»USA-Trial-ITD-Interest Prospecting-AZR-AZR»1 x 1»SocialBan»CAN»ALL»CPA»PRO»X»NA»SS»NA»IGCTCBasicMotion»PRC2PF</v></cell><cell r="AH892"><v>224106621</v></cell><cell r="AI892" t="str"><v>AzurePlatform_IGCTCBasicMotion_USA_10s_CAN_PLATFORM_English_Trial_Standard_STAN_TIN_T1_1</v></cell><cell r="AJ892"><v>103037968</v></cell></row><row r="893"><cell r="C893" t="str"><v>43288INSTAGRAM»USA-Trial-ITD-Interest Prospecting-AZR-AZR»1 x 1»SocialBan»CAN»ALL»CPA»PRO»X»NA»SS»NA»IGCTCBasicMotion»PRC2PF</v></cell><cell r="D893" t="str"><v>43288224106621</v></cell><cell r="E893" t="str"><v>43288103037974PRC2PF</v></cell><cell r="F893" t="str"><v>DCM</v></cell><cell r="G893" t="str"><v>https://azure.microsoft.com/en-us/pricing/purchase-options/?v=18.19&OCID=AID%eexcid!_OLA_%ebuy!_%epid!_%ecid!</v></cell></row><row r="893"><cell r="K893" t="str"><v>July</v></cell><cell r="L893"><v>43288</v></cell><cell r="M893" t="str"><v>Tier 0</v></cell><cell r="N893" t="str"><v>North America</v></cell><cell r="O893" t="str"><v>United States</v></cell><cell r="P893" t="str"><v>Trial</v></cell><cell r="Q893" t="str"><v>Social</v></cell><cell r="R893" t="str"><v>Azure</v></cell><cell r="S893" t="str"><v>Apps & Infra</v></cell><cell r="T893" t="str"><v>Developers & ITI's</v></cell><cell r="U893" t="str"><v>USA-Trial-ITD-Interest Prospecting-AZR-AZR</v></cell><cell r="V893" t="str"><v>Prospecting</v></cell><cell r="W893" t="str"><v>Canvas Ad</v></cell><cell r="X893" t="str"><v>1x1</v></cell></row><row r="893"><cell r="AA893"><v>43288</v></cell><cell r="AB893" t="str"><v>USA_gaPMG_AZR_AZR_Q1_19_Direct-Social</v></cell><cell r="AC893"><v>21358715</v></cell><cell r="AD893"><v>720197</v></cell><cell r="AE893" t="str"><v>Facebook - Instagram</v></cell><cell r="AF893"><v>3654128</v></cell><cell r="AG893" t="str"><v>INSTAGRAM»USA-Trial-ITD-Interest Prospecting-AZR-AZR»1 x 1»SocialBan»CAN»ALL»CPA»PRO»X»NA»SS»NA»IGCTCBasicMotion»PRC2PF</v></cell><cell r="AH893"><v>224106621</v></cell><cell r="AI893" t="str"><v>AzurePlatform_IGCTCBasicMotion_USA_10s_CAN_PLATFORM_English_Trial_Standard_STAN_TIN_T1_2</v></cell><cell r="AJ893"><v>103037974</v></cell></row><row r="894"><cell r="C894" t="str"><v>43288INSTAGRAM»USA-Trial-ITD-Interest Prospecting-AZR-AZR»1 x 1»SocialBan»CAN»ALL»CPA»PRO»X»NA»SS»NA»IGCTCBenefitinMotion»PRC2PC</v></cell><cell r="D894" t="str"><v>43288224104878</v></cell><cell r="E894" t="str"><v>43288103050780PRC2PC</v></cell><cell r="F894" t="str"><v>DCM</v></cell><cell r="G894" t="str"><v>https://signup.azure.com/?OCID=AID%eexcid!_OLA_%ebuy!_%epid!_%ecid!</v></cell></row><row r="894"><cell r="K894" t="str"><v>July</v></cell><cell r="L894"><v>43288</v></cell><cell r="M894" t="str"><v>Tier 0</v></cell><cell r="N894" t="str"><v>North America</v></cell><cell r="O894" t="str"><v>United States</v></cell><cell r="P894" t="str"><v>Trial</v></cell><cell r="Q894" t="str"><v>Social</v></cell><cell r="R894" t="str"><v>Azure</v></cell><cell r="S894" t="str"><v>Apps & Infra</v></cell><cell r="T894" t="str"><v>Developers & ITI's</v></cell><cell r="U894" t="str"><v>USA-Trial-ITD-Interest Prospecting-AZR-AZR</v></cell><cell r="V894" t="str"><v>Prospecting</v></cell><cell r="W894" t="str"><v>Canvas Ad</v></cell><cell r="X894" t="str"><v>1x1</v></cell></row><row r="894"><cell r="AA894"><v>43288</v></cell><cell r="AB894" t="str"><v>USA_gaPMG_AZR_AZR_Q1_19_Direct-Social</v></cell><cell r="AC894"><v>21358715</v></cell><cell r="AD894"><v>720197</v></cell><cell r="AE894" t="str"><v>Facebook - Instagram</v></cell><cell r="AF894"><v>3654128</v></cell><cell r="AG894" t="str"><v>INSTAGRAM»USA-Trial-ITD-Interest Prospecting-AZR-AZR»1 x 1»SocialBan»CAN»ALL»CPA»PRO»X»NA»SS»NA»IGCTCBenefitinMotion»PRC2PC</v></cell><cell r="AH894"><v>224104878</v></cell><cell r="AI894" t="str"><v>AzurePlatform_IGCTCBenefitinMotion_USA_10s_CAN_PLATFORM_English_Trial_Standard_STAN_TIN_T3_1</v></cell><cell r="AJ894"><v>103050780</v></cell></row><row r="895"><cell r="C895" t="str"><v>43288INSTAGRAM»USA-Trial-ITD-Interest Prospecting-AZR-AZR»1 x 1»SocialBan»CAN»ALL»CPA»PRO»X»NA»SS»NA»IGCTCBenefitinMotion»PRC2PC</v></cell><cell r="D895" t="str"><v>43288224104878</v></cell><cell r="E895" t="str"><v>43288103180637PRC2PC</v></cell><cell r="F895" t="str"><v>DCM</v></cell><cell r="G895" t="str"><v>https://azure.microsoft.com/en-us/pricing/purchase-options/?v=18.19&OCID=AID%eexcid!_OLA_%ebuy!_%epid!_%ecid!</v></cell></row><row r="895"><cell r="K895" t="str"><v>July</v></cell><cell r="L895"><v>43288</v></cell><cell r="M895" t="str"><v>Tier 0</v></cell><cell r="N895" t="str"><v>North America</v></cell><cell r="O895" t="str"><v>United States</v></cell><cell r="P895" t="str"><v>Trial</v></cell><cell r="Q895" t="str"><v>Social</v></cell><cell r="R895" t="str"><v>Azure</v></cell><cell r="S895" t="str"><v>Apps & Infra</v></cell><cell r="T895" t="str"><v>Developers & ITI's</v></cell><cell r="U895" t="str"><v>USA-Trial-ITD-Interest Prospecting-AZR-AZR</v></cell><cell r="V895" t="str"><v>Prospecting</v></cell><cell r="W895" t="str"><v>Canvas Ad</v></cell><cell r="X895" t="str"><v>1x1</v></cell></row><row r="895"><cell r="AA895"><v>43288</v></cell><cell r="AB895" t="str"><v>USA_gaPMG_AZR_AZR_Q1_19_Direct-Social</v></cell><cell r="AC895"><v>21358715</v></cell><cell r="AD895"><v>720197</v></cell><cell r="AE895" t="str"><v>Facebook - Instagram</v></cell><cell r="AF895"><v>3654128</v></cell><cell r="AG895" t="str"><v>INSTAGRAM»USA-Trial-ITD-Interest Prospecting-AZR-AZR»1 x 1»SocialBan»CAN»ALL»CPA»PRO»X»NA»SS»NA»IGCTCBenefitinMotion»PRC2PC</v></cell><cell r="AH895"><v>224104878</v></cell><cell r="AI895" t="str"><v>AzurePlatform_IGCTCBenefitinMotion_USA_10s_CAN_PLATFORM_English_Trial_Standard_STAN_TIN_T3_2</v></cell><cell r="AJ895"><v>103180637</v></cell></row><row r="896"><cell r="C896" t="str"><v>43288INSTAGRAM»USA-Trial-ITD-Trial Lookalike-AZR-AZR»1 x 1»SocialBan»CAN»ALL»CPA»LAL»X»NA»SS»NA»IGCTCBasicMotion»PRC0C2</v></cell><cell r="D896" t="str"><v>43288224107017</v></cell><cell r="E896" t="str"><v>43288103037968PRC0C2</v></cell><cell r="F896" t="str"><v>DCM</v></cell><cell r="G896" t="str"><v>https://signup.azure.com/?OCID=AID%eexcid!_OLA_%ebuy!_%epid!_%ecid!</v></cell></row><row r="896"><cell r="K896" t="str"><v>July</v></cell><cell r="L896"><v>43288</v></cell><cell r="M896" t="str"><v>Tier 0</v></cell><cell r="N896" t="str"><v>North America</v></cell><cell r="O896" t="str"><v>United States</v></cell><cell r="P896" t="str"><v>Trial</v></cell><cell r="Q896" t="str"><v>Social</v></cell><cell r="R896" t="str"><v>Azure</v></cell><cell r="S896" t="str"><v>Apps & Infra</v></cell><cell r="T896" t="str"><v>Developers & ITI's</v></cell><cell r="U896" t="str"><v>USA-Trial-ITD-Trial Lookalike-AZR-AZR</v></cell><cell r="V896" t="str"><v>Lookalike Targeting</v></cell><cell r="W896" t="str"><v>Canvas Ad</v></cell><cell r="X896" t="str"><v>1x1</v></cell></row><row r="896"><cell r="AA896"><v>43288</v></cell><cell r="AB896" t="str"><v>USA_gaPMG_AZR_AZR_Q1_19_Direct-Social</v></cell><cell r="AC896"><v>21358715</v></cell><cell r="AD896"><v>720197</v></cell><cell r="AE896" t="str"><v>Facebook - Instagram</v></cell><cell r="AF896"><v>3654128</v></cell><cell r="AG896" t="str"><v>INSTAGRAM»USA-Trial-ITD-Trial Lookalike-AZR-AZR»1 x 1»SocialBan»CAN»ALL»CPA»LAL»X»NA»SS»NA»IGCTCBasicMotion»PRC0C2</v></cell><cell r="AH896"><v>224107017</v></cell><cell r="AI896" t="str"><v>AzurePlatform_IGCTCBasicMotion_USA_10s_CAN_PLATFORM_English_Trial_Standard_STAN_TIN_T1_1</v></cell><cell r="AJ896"><v>103037968</v></cell></row><row r="897"><cell r="C897" t="str"><v>43288INSTAGRAM»USA-Trial-ITD-Trial Lookalike-AZR-AZR»1 x 1»SocialBan»CAN»ALL»CPA»LAL»X»NA»SS»NA»IGCTCBenefitinMotion»PRC2FK</v></cell><cell r="D897" t="str"><v>43288224107542</v></cell><cell r="E897" t="str"><v>43288103050780PRC2FK</v></cell><cell r="F897" t="str"><v>DCM</v></cell><cell r="G897" t="str"><v>https://signup.azure.com/?OCID=AID%eexcid!_OLA_%ebuy!_%epid!_%ecid!</v></cell></row><row r="897"><cell r="K897" t="str"><v>July</v></cell><cell r="L897"><v>43288</v></cell><cell r="M897" t="str"><v>Tier 0</v></cell><cell r="N897" t="str"><v>North America</v></cell><cell r="O897" t="str"><v>United States</v></cell><cell r="P897" t="str"><v>Trial</v></cell><cell r="Q897" t="str"><v>Social</v></cell><cell r="R897" t="str"><v>Azure</v></cell><cell r="S897" t="str"><v>Apps & Infra</v></cell><cell r="T897" t="str"><v>Developers & ITI's</v></cell><cell r="U897" t="str"><v>USA-Trial-ITD-Trial Lookalike-AZR-AZR</v></cell><cell r="V897" t="str"><v>Lookalike Targeting</v></cell><cell r="W897" t="str"><v>Canvas Ad</v></cell><cell r="X897" t="str"><v>1x1</v></cell></row><row r="897"><cell r="AA897"><v>43288</v></cell><cell r="AB897" t="str"><v>USA_gaPMG_AZR_AZR_Q1_19_Direct-Social</v></cell><cell r="AC897"><v>21358715</v></cell><cell r="AD897"><v>720197</v></cell><cell r="AE897" t="str"><v>Facebook - Instagram</v></cell><cell r="AF897"><v>3654128</v></cell><cell r="AG897" t="str"><v>INSTAGRAM»USA-Trial-ITD-Trial Lookalike-AZR-AZR»1 x 1»SocialBan»CAN»ALL»CPA»LAL»X»NA»SS»NA»IGCTCBenefitinMotion»PRC2FK</v></cell><cell r="AH897"><v>224107542</v></cell><cell r="AI897" t="str"><v>AzurePlatform_IGCTCBenefitinMotion_USA_10s_CAN_PLATFORM_English_Trial_Standard_STAN_TIN_T3_1</v></cell><cell r="AJ897"><v>103050780</v></cell></row><row r="898"><cell r="C898" t="str"><v>43288INSTAGRAM»USA-Trial-ITD-Trial PayGo Lookalike-AZR-AZR»1 x 1»SocialBan»CAN»ALL»CPA»LAL»X»NA»SS»NA»IGCTCBasicMotion»PRC2G0</v></cell><cell r="D898" t="str"><v>43288224106891</v></cell><cell r="E898" t="str"><v>43288103037968PRC2G0</v></cell><cell r="F898" t="str"><v>DCM</v></cell><cell r="G898" t="str"><v>https://signup.azure.com/?OCID=AID%eexcid!_OLA_%ebuy!_%epid!_%ecid!</v></cell></row><row r="898"><cell r="K898" t="str"><v>July</v></cell><cell r="L898"><v>43288</v></cell><cell r="M898" t="str"><v>Tier 0</v></cell><cell r="N898" t="str"><v>North America</v></cell><cell r="O898" t="str"><v>United States</v></cell><cell r="P898" t="str"><v>Trial</v></cell><cell r="Q898" t="str"><v>Social</v></cell><cell r="R898" t="str"><v>Azure</v></cell><cell r="S898" t="str"><v>Apps & Infra</v></cell><cell r="T898" t="str"><v>Developers & ITI's</v></cell><cell r="U898" t="str"><v>USA-Trial-ITD-Trial PayGo Lookalike-AZR-AZR</v></cell><cell r="V898" t="str"><v>Lookalike Targeting</v></cell><cell r="W898" t="str"><v>Canvas Ad</v></cell><cell r="X898" t="str"><v>1x1</v></cell></row><row r="898"><cell r="AA898"><v>43288</v></cell><cell r="AB898" t="str"><v>USA_gaPMG_AZR_AZR_Q1_19_Direct-Social</v></cell><cell r="AC898"><v>21358715</v></cell><cell r="AD898"><v>720197</v></cell><cell r="AE898" t="str"><v>Facebook - Instagram</v></cell><cell r="AF898"><v>3654128</v></cell><cell r="AG898" t="str"><v>INSTAGRAM»USA-Trial-ITD-Trial PayGo Lookalike-AZR-AZR»1 x 1»SocialBan»CAN»ALL»CPA»LAL»X»NA»SS»NA»IGCTCBasicMotion»PRC2G0</v></cell><cell r="AH898"><v>224106891</v></cell><cell r="AI898" t="str"><v>AzurePlatform_IGCTCBasicMotion_USA_10s_CAN_PLATFORM_English_Trial_Standard_STAN_TIN_T1_1</v></cell><cell r="AJ898"><v>103037968</v></cell></row><row r="899"><cell r="C899" t="str"><v>43288INSTAGRAM»USA-Trial-ITD-Trial PayGo Lookalike-AZR-AZR»1 x 1»SocialBan»CAN»ALL»CPA»LAL»X»NA»SS»NA»IGCTCBasicMotion»PRC2G0</v></cell><cell r="D899" t="str"><v>43288224106891</v></cell><cell r="E899" t="str"><v>43288103037974PRC2G0</v></cell><cell r="F899" t="str"><v>DCM</v></cell><cell r="G899" t="str"><v>https://azure.microsoft.com/en-us/pricing/purchase-options/?v=18.19&OCID=AID%eexcid!_OLA_%ebuy!_%epid!_%ecid!</v></cell></row><row r="899"><cell r="K899" t="str"><v>July</v></cell><cell r="L899"><v>43288</v></cell><cell r="M899" t="str"><v>Tier 0</v></cell><cell r="N899" t="str"><v>North America</v></cell><cell r="O899" t="str"><v>United States</v></cell><cell r="P899" t="str"><v>Trial</v></cell><cell r="Q899" t="str"><v>Social</v></cell><cell r="R899" t="str"><v>Azure</v></cell><cell r="S899" t="str"><v>Apps & Infra</v></cell><cell r="T899" t="str"><v>Developers & ITI's</v></cell><cell r="U899" t="str"><v>USA-Trial-ITD-Trial PayGo Lookalike-AZR-AZR</v></cell><cell r="V899" t="str"><v>Lookalike Targeting</v></cell><cell r="W899" t="str"><v>Canvas Ad</v></cell><cell r="X899" t="str"><v>1x1</v></cell></row><row r="899"><cell r="AA899"><v>43288</v></cell><cell r="AB899" t="str"><v>USA_gaPMG_AZR_AZR_Q1_19_Direct-Social</v></cell><cell r="AC899"><v>21358715</v></cell><cell r="AD899"><v>720197</v></cell><cell r="AE899" t="str"><v>Facebook - Instagram</v></cell><cell r="AF899"><v>3654128</v></cell><cell r="AG899" t="str"><v>INSTAGRAM»USA-Trial-ITD-Trial PayGo Lookalike-AZR-AZR»1 x 1»SocialBan»CAN»ALL»CPA»LAL»X»NA»SS»NA»IGCTCBasicMotion»PRC2G0</v></cell><cell r="AH899"><v>224106891</v></cell><cell r="AI899" t="str"><v>AzurePlatform_IGCTCBasicMotion_USA_10s_CAN_PLATFORM_English_Trial_Standard_STAN_TIN_T1_2</v></cell><cell r="AJ899"><v>103037974</v></cell></row><row r="900"><cell r="C900" t="str"><v>43289Facebook»Audience & Interest Targeting»1x1»Canvas»OTH»DT»DYN»AUT»W»NA»SS»NA»FBCTCcanvaspage-StartFreeCTA_FBCTCcanvaspage-BuyNowCTA</v></cell><cell r="D900" t="str"><v>43289224639151</v></cell><cell r="E900" t="str"><v>43289103316832NowCTA</v></cell><cell r="F900" t="str"><v>DCM</v></cell><cell r="G900" t="str"><v>https://azure.microsoft.com/en-au/pricing/purchase-options/</v></cell></row><row r="900"><cell r="K900" t="str"><v>July</v></cell><cell r="L900"><v>43295</v></cell><cell r="M900" t="str"><v>Tier 1</v></cell><cell r="N900" t="str"><v>APAC</v></cell><cell r="O900" t="str"><v>Australia</v></cell><cell r="P900" t="str"><v>Trial</v></cell><cell r="Q900" t="str"><v>Social</v></cell><cell r="R900" t="str"><v>Azure</v></cell><cell r="S900" t="str"><v>Apps & Infra</v></cell><cell r="T900" t="str"><v>Developers & ITI's</v></cell><cell r="U900" t="str"><v>Audience & Interest Targeting</v></cell><cell r="V900" t="str"><v>Audience Targeting</v></cell><cell r="W900" t="str"><v>Other</v></cell><cell r="X900" t="str"><v>1x1</v></cell></row><row r="900"><cell r="AA900"><v>43289</v></cell><cell r="AB900" t="str"><v>AUS_gaPMG_AZR_AZR_Q1_19_Trial-Social</v></cell><cell r="AC900"><v>21358568</v></cell><cell r="AD900"><v>720191</v></cell><cell r="AE900" t="str"><v>Facebook</v></cell><cell r="AF900"><v>3654128</v></cell><cell r="AG900" t="str"><v>Facebook»Audience & Interest Targeting»1x1»Canvas»OTH»DT»DYN»AUT»W»NA»SS»NA»FBCTCcanvaspage-StartFreeCTA_FBCTCcanvaspage-BuyNowCTA</v></cell><cell r="AH900"><v>224639151</v></cell><cell r="AI900" t="str"><v>AzurePlatform_FBCTCcanvaspage-BuyNowCTA-Img3_AUS_1080x162_SOC_Plat_English_NA_Standard_NA_BN_T3_1</v></cell><cell r="AJ900"><v>103316832</v></cell></row><row r="901"><cell r="C901" t="str"><v>43289Facebook»Audience & Interest Targeting»1x1»Canvas»OTH»DT»DYN»AUT»W»NA»SS»NA»FBCTCcanvaspage-StartFreeCTA_FBCTCcanvaspage-BuyNowCTA</v></cell><cell r="D901" t="str"><v>43289224639151</v></cell><cell r="E901" t="str"><v>43289103316829NowCTA</v></cell><cell r="F901" t="str"><v>DCM</v></cell><cell r="G901" t="str"><v>https://signup.azure.com/signup?offer=ms-azr-0044p&appId=102&ref=paidmedia-social-fb&redirectURL=https%3a%2f%2fazure.microsoft.com%2fen-au%2fget-started%2fwelcome-to-azure%2f&l=en-au&correlationId=ead86c34-1f10-49dd-a72b-6918462a2cbf</v></cell></row><row r="901"><cell r="K901" t="str"><v>July</v></cell><cell r="L901"><v>43295</v></cell><cell r="M901" t="str"><v>Tier 1</v></cell><cell r="N901" t="str"><v>APAC</v></cell><cell r="O901" t="str"><v>Australia</v></cell><cell r="P901" t="str"><v>Trial</v></cell><cell r="Q901" t="str"><v>Social</v></cell><cell r="R901" t="str"><v>Azure</v></cell><cell r="S901" t="str"><v>Apps & Infra</v></cell><cell r="T901" t="str"><v>Developers & ITI's</v></cell><cell r="U901" t="str"><v>Audience & Interest Targeting</v></cell><cell r="V901" t="str"><v>Audience Targeting</v></cell><cell r="W901" t="str"><v>Other</v></cell><cell r="X901" t="str"><v>1x1</v></cell></row><row r="901"><cell r="AA901"><v>43289</v></cell><cell r="AB901" t="str"><v>AUS_gaPMG_AZR_AZR_Q1_19_Trial-Social</v></cell><cell r="AC901"><v>21358568</v></cell><cell r="AD901"><v>720191</v></cell><cell r="AE901" t="str"><v>Facebook</v></cell><cell r="AF901"><v>3654128</v></cell><cell r="AG901" t="str"><v>Facebook»Audience & Interest Targeting»1x1»Canvas»OTH»DT»DYN»AUT»W»NA»SS»NA»FBCTCcanvaspage-StartFreeCTA_FBCTCcanvaspage-BuyNowCTA</v></cell><cell r="AH901"><v>224639151</v></cell><cell r="AI901" t="str"><v>AzurePlatform_FBCTCcanvaspage-StartFreeCTA-Img2_AUS_1080x143 _SOC_Plat_English_NA_Standard_NA_NA_T2_1</v></cell><cell r="AJ901"><v>103316829</v></cell></row><row r="902"><cell r="C902" t="str"><v>43289Facebook»Audience & Interest Targeting»1x1»TextLink»OTH»DT»DYN»AUT»W»NA»SS»NA»Free Account Refresh- 12 months ChE</v></cell><cell r="D902" t="str"><v>43289224160783</v></cell><cell r="E902" t="str"><v>43289103051614hs ChE</v></cell><cell r="F902" t="str"><v>DCM</v></cell></row><row r="902"><cell r="K902" t="str"><v>July</v></cell><cell r="L902"><v>43295</v></cell><cell r="M902" t="str"><v>Tier 1</v></cell><cell r="N902" t="str"><v>APAC</v></cell><cell r="O902" t="str"><v>Australia</v></cell><cell r="P902" t="str"><v>Trial</v></cell><cell r="Q902" t="str"><v>Social</v></cell><cell r="R902" t="str"><v>Azure</v></cell><cell r="S902" t="str"><v>Apps & Infra</v></cell><cell r="T902" t="str"><v>Developers & ITI's</v></cell><cell r="U902" t="str"><v>Audience & Interest Targeting</v></cell><cell r="V902" t="str"><v>Audience Targeting</v></cell><cell r="W902" t="str"><v>Other</v></cell><cell r="X902" t="str"><v>1x1</v></cell></row><row r="902"><cell r="AA902"><v>43289</v></cell><cell r="AB902" t="str"><v>AUS_gaPMG_AZR_AZR_Q1_19_Trial-Social</v></cell><cell r="AC902"><v>21358568</v></cell><cell r="AD902"><v>720191</v></cell><cell r="AE902" t="str"><v>Facebook</v></cell><cell r="AF902"><v>3654128</v></cell><cell r="AG902" t="str"><v>Facebook»Audience & Interest Targeting»1x1»TextLink»OTH»DT»DYN»AUT»W»NA»SS»NA»Free Account Refresh- 12 months ChE</v></cell><cell r="AH902"><v>224160783</v></cell><cell r="AI902" t="str"><v>AzurePlatform_FreeAcctAppsFACEBOOK12monthsChE_AUS_1200x628_SOC_PLAT_EN_Trial_Standard_NA_SNU_T5_1</v></cell><cell r="AJ902"><v>103051614</v></cell></row><row r="903"><cell r="C903" t="str"><v>43289Facebook»Audience & Interest Targeting»1x1»TextLink»OTH»DT»DYN»AUT»W»NA»SS»NA»Free Account Refresh- 200 Credit ChD</v></cell><cell r="D903" t="str"><v>43289224160780</v></cell><cell r="E903" t="str"><v>43289103186904it ChD</v></cell><cell r="F903" t="str"><v>DCM</v></cell></row><row r="903"><cell r="K903" t="str"><v>July</v></cell><cell r="L903"><v>43295</v></cell><cell r="M903" t="str"><v>Tier 1</v></cell><cell r="N903" t="str"><v>APAC</v></cell><cell r="O903" t="str"><v>Australia</v></cell><cell r="P903" t="str"><v>Trial</v></cell><cell r="Q903" t="str"><v>Social</v></cell><cell r="R903" t="str"><v>Azure</v></cell><cell r="S903" t="str"><v>Apps & Infra</v></cell><cell r="T903" t="str"><v>Developers & ITI's</v></cell><cell r="U903" t="str"><v>Audience & Interest Targeting</v></cell><cell r="V903" t="str"><v>Audience Targeting</v></cell><cell r="W903" t="str"><v>Other</v></cell><cell r="X903" t="str"><v>1x1</v></cell></row><row r="903"><cell r="AA903"><v>43289</v></cell><cell r="AB903" t="str"><v>AUS_gaPMG_AZR_AZR_Q1_19_Trial-Social</v></cell><cell r="AC903"><v>21358568</v></cell><cell r="AD903"><v>720191</v></cell><cell r="AE903" t="str"><v>Facebook</v></cell><cell r="AF903"><v>3654128</v></cell><cell r="AG903" t="str"><v>Facebook»Audience & Interest Targeting»1x1»TextLink»OTH»DT»DYN»AUT»W»NA»SS»NA»Free Account Refresh- 200 Credit ChD</v></cell><cell r="AH903"><v>224160780</v></cell><cell r="AI903" t="str"><v>AzurePlatform_FreeAcctAppsFACEBOOK200CreditChD_AUS_1200x628_SOC_PLAT_EN_Trial_Standard_NA_SNU_T4_1</v></cell><cell r="AJ903"><v>103186904</v></cell></row><row r="904"><cell r="C904" t="str"><v>43289Facebook»Audience & Interest Targeting»1x1»TextLink»OTH»DT»DYN»AUT»W»NA»SS»NA»Free Account Refresh- Device ChB</v></cell><cell r="D904" t="str"><v>43289224160777</v></cell><cell r="E904" t="str"><v>43289103048479ce ChB</v></cell><cell r="F904" t="str"><v>DCM</v></cell></row><row r="904"><cell r="K904" t="str"><v>July</v></cell><cell r="L904"><v>43295</v></cell><cell r="M904" t="str"><v>Tier 1</v></cell><cell r="N904" t="str"><v>APAC</v></cell><cell r="O904" t="str"><v>Australia</v></cell><cell r="P904" t="str"><v>Trial</v></cell><cell r="Q904" t="str"><v>Social</v></cell><cell r="R904" t="str"><v>Azure</v></cell><cell r="S904" t="str"><v>Apps & Infra</v></cell><cell r="T904" t="str"><v>Developers & ITI's</v></cell><cell r="U904" t="str"><v>Audience & Interest Targeting</v></cell><cell r="V904" t="str"><v>Audience Targeting</v></cell><cell r="W904" t="str"><v>Other</v></cell><cell r="X904" t="str"><v>1x1</v></cell></row><row r="904"><cell r="AA904"><v>43289</v></cell><cell r="AB904" t="str"><v>AUS_gaPMG_AZR_AZR_Q1_19_Trial-Social</v></cell><cell r="AC904"><v>21358568</v></cell><cell r="AD904"><v>720191</v></cell><cell r="AE904" t="str"><v>Facebook</v></cell><cell r="AF904"><v>3654128</v></cell><cell r="AG904" t="str"><v>Facebook»Audience & Interest Targeting»1x1»TextLink»OTH»DT»DYN»AUT»W»NA»SS»NA»Free Account Refresh- Device ChB</v></cell><cell r="AH904"><v>224160777</v></cell><cell r="AI904" t="str"><v>AzurePlatform_FreeAcctAppsFACEBOOKDeviceChB_AUS_1200x628_SOC_PLAT_EN_Trial_Standard_NA_SNU_T2_1</v></cell><cell r="AJ904"><v>103048479</v></cell></row><row r="905"><cell r="C905" t="str"><v>43289Facebook»Audience & Interest Targeting»1x1»TextLink»OTH»DT»DYN»AUT»W»NA»SS»NA»Free Account Refresh- Illustration ChC</v></cell><cell r="D905" t="str"><v>43289224160774</v></cell><cell r="E905" t="str"><v>43289103186910on ChC</v></cell><cell r="F905" t="str"><v>DCM</v></cell></row><row r="905"><cell r="K905" t="str"><v>July</v></cell><cell r="L905"><v>43295</v></cell><cell r="M905" t="str"><v>Tier 1</v></cell><cell r="N905" t="str"><v>APAC</v></cell><cell r="O905" t="str"><v>Australia</v></cell><cell r="P905" t="str"><v>Trial</v></cell><cell r="Q905" t="str"><v>Social</v></cell><cell r="R905" t="str"><v>Azure</v></cell><cell r="S905" t="str"><v>Apps & Infra</v></cell><cell r="T905" t="str"><v>Developers & ITI's</v></cell><cell r="U905" t="str"><v>Audience & Interest Targeting</v></cell><cell r="V905" t="str"><v>Audience Targeting</v></cell><cell r="W905" t="str"><v>Other</v></cell><cell r="X905" t="str"><v>1x1</v></cell></row><row r="905"><cell r="AA905"><v>43289</v></cell><cell r="AB905" t="str"><v>AUS_gaPMG_AZR_AZR_Q1_19_Trial-Social</v></cell><cell r="AC905"><v>21358568</v></cell><cell r="AD905"><v>720191</v></cell><cell r="AE905" t="str"><v>Facebook</v></cell><cell r="AF905"><v>3654128</v></cell><cell r="AG905" t="str"><v>Facebook»Audience & Interest Targeting»1x1»TextLink»OTH»DT»DYN»AUT»W»NA»SS»NA»Free Account Refresh- Illustration ChC</v></cell><cell r="AH905"><v>224160774</v></cell><cell r="AI905" t="str"><v>AzurePlatform_FreeAcctAppsFACEBOOKIllustrationChC_AUS_1200x628_SOC_PLAT_EN_Trial_Standard_NA_SNU_T3_1</v></cell><cell r="AJ905"><v>103186910</v></cell></row><row r="906"><cell r="C906" t="str"><v>43289Facebook»Audience & Interest Targeting»1x1»TextLink»OTH»DT»DYN»AUT»W»NA»SS»NA»Free Account Refresh- Lifestyle ChA</v></cell><cell r="D906" t="str"><v>43289224160771</v></cell><cell r="E906" t="str"><v>43289103048488le ChA</v></cell><cell r="F906" t="str"><v>DCM</v></cell></row><row r="906"><cell r="K906" t="str"><v>July</v></cell><cell r="L906"><v>43295</v></cell><cell r="M906" t="str"><v>Tier 1</v></cell><cell r="N906" t="str"><v>APAC</v></cell><cell r="O906" t="str"><v>Australia</v></cell><cell r="P906" t="str"><v>Trial</v></cell><cell r="Q906" t="str"><v>Social</v></cell><cell r="R906" t="str"><v>Azure</v></cell><cell r="S906" t="str"><v>Apps & Infra</v></cell><cell r="T906" t="str"><v>Developers & ITI's</v></cell><cell r="U906" t="str"><v>Audience & Interest Targeting</v></cell><cell r="V906" t="str"><v>Audience Targeting</v></cell><cell r="W906" t="str"><v>Other</v></cell><cell r="X906" t="str"><v>1x1</v></cell></row><row r="906"><cell r="AA906"><v>43289</v></cell><cell r="AB906" t="str"><v>AUS_gaPMG_AZR_AZR_Q1_19_Trial-Social</v></cell><cell r="AC906"><v>21358568</v></cell><cell r="AD906"><v>720191</v></cell><cell r="AE906" t="str"><v>Facebook</v></cell><cell r="AF906"><v>3654128</v></cell><cell r="AG906" t="str"><v>Facebook»Audience & Interest Targeting»1x1»TextLink»OTH»DT»DYN»AUT»W»NA»SS»NA»Free Account Refresh- Lifestyle ChA</v></cell><cell r="AH906"><v>224160771</v></cell><cell r="AI906" t="str"><v>AzurePlatform_FreeAcctAppsFACEBOOKLifestyleChA_AUS_1200x628_SOC_PLAT_EN_Trial_Standard_NA_SNU_T1_1</v></cell><cell r="AJ906"><v>103048488</v></cell></row><row r="907"><cell r="C907" t="str"><v>43289Facebook»AZR»1x1»NA»EGV»ALL»DYN»AUT»D»All»SS»NA»Free Acc CTC - T1 - EN</v></cell><cell r="D907" t="str"><v>43289223684451</v></cell><cell r="E907" t="str"><v>432891029018821 - EN</v></cell><cell r="F907" t="str"><v>DCM</v></cell><cell r="G907" t="str"><v>https://signup.azure.com/</v></cell></row><row r="907"><cell r="K907" t="str"><v>July</v></cell><cell r="L907"><v>43295</v></cell><cell r="M907" t="str"><v>Tier 1</v></cell><cell r="N907" t="str"><v>North America</v></cell><cell r="O907" t="str"><v>Canada</v></cell><cell r="P907" t="str"><v>Trial</v></cell><cell r="Q907" t="str"><v>Social</v></cell><cell r="R907" t="str"><v>Azure</v></cell><cell r="S907" t="str"><v>Apps & Infra</v></cell><cell r="T907" t="str"><v>Developers & ITI's</v></cell><cell r="U907" t="str"><v>AZR</v></cell><cell r="V907" t="str"><v>Audience Targeting</v></cell><cell r="W907" t="str"><v>Engagement Video</v></cell><cell r="X907" t="str"><v>1x1</v></cell></row><row r="907"><cell r="AA907"><v>43289</v></cell><cell r="AB907" t="str"><v>CAN_gaPMG_AZR_AZR_Q1_19_Trial-Social</v></cell><cell r="AC907"><v>21337220</v></cell><cell r="AD907"><v>720192</v></cell><cell r="AE907" t="str"><v>Facebook</v></cell><cell r="AF907"><v>3654128</v></cell><cell r="AG907" t="str"><v>Facebook»AZR»1x1»NA»EGV»ALL»DYN»AUT»D»All»SS»NA»Free Acc CTC - T1 - EN</v></cell><cell r="AH907"><v>223684451</v></cell><cell r="AI907" t="str"><v>AzurePlatform_FBCTCBasicMotion_CAN_10s_ISV_PLAT_English_Trial_Standard_STAN_TN_T1_1</v></cell><cell r="AJ907"><v>102901882</v></cell></row><row r="908"><cell r="C908" t="str"><v>43289Facebook»AZR»1x1»NA»EGV»ALL»DYN»AUT»D»All»SS»NA»Free Acc CTC - T1 - FR</v></cell><cell r="D908" t="str"><v>43289223691801</v></cell><cell r="E908" t="str"><v>432891030533231 - FR</v></cell><cell r="F908" t="str"><v>DCM</v></cell><cell r="G908" t="str"><v>https://signup.azure.com/</v></cell></row><row r="908"><cell r="K908" t="str"><v>July</v></cell><cell r="L908"><v>43295</v></cell><cell r="M908" t="str"><v>Tier 1</v></cell><cell r="N908" t="str"><v>North America</v></cell><cell r="O908" t="str"><v>Canada</v></cell><cell r="P908" t="str"><v>Trial</v></cell><cell r="Q908" t="str"><v>Social</v></cell><cell r="R908" t="str"><v>Azure</v></cell><cell r="S908" t="str"><v>Apps & Infra</v></cell><cell r="T908" t="str"><v>Developers & ITI's</v></cell><cell r="U908" t="str"><v>AZR</v></cell><cell r="V908" t="str"><v>Audience Targeting</v></cell><cell r="W908" t="str"><v>Engagement Video</v></cell><cell r="X908" t="str"><v>1x1</v></cell></row><row r="908"><cell r="AA908"><v>43289</v></cell><cell r="AB908" t="str"><v>CAN_gaPMG_AZR_AZR_Q1_19_Trial-Social</v></cell><cell r="AC908"><v>21337220</v></cell><cell r="AD908"><v>720192</v></cell><cell r="AE908" t="str"><v>Facebook</v></cell><cell r="AF908"><v>3654128</v></cell><cell r="AG908" t="str"><v>Facebook»AZR»1x1»NA»EGV»ALL»DYN»AUT»D»All»SS»NA»Free Acc CTC - T1 - FR</v></cell><cell r="AH908"><v>223691801</v></cell><cell r="AI908" t="str"><v>AzurePlatform_FBCTCBasicMotion_CAN_10s_ISV_PLAT_FR_Trial_Standard_STAN_TN_T1_1</v></cell><cell r="AJ908"><v>103053323</v></cell></row><row r="909"><cell r="C909" t="str"><v>43289Facebook»AZR»1x1»NA»EGV»ALL»DYN»AUT»D»All»SS»NA»Free Acc CTC - T2 - EN</v></cell><cell r="D909" t="str"><v>43289223691840</v></cell><cell r="E909" t="str"><v>432891029029502 - EN</v></cell><cell r="F909" t="str"><v>DCM</v></cell><cell r="G909" t="str"><v>https://signup.azure.com/</v></cell></row><row r="909"><cell r="K909" t="str"><v>July</v></cell><cell r="L909"><v>43295</v></cell><cell r="M909" t="str"><v>Tier 1</v></cell><cell r="N909" t="str"><v>North America</v></cell><cell r="O909" t="str"><v>Canada</v></cell><cell r="P909" t="str"><v>Trial</v></cell><cell r="Q909" t="str"><v>Social</v></cell><cell r="R909" t="str"><v>Azure</v></cell><cell r="S909" t="str"><v>Apps & Infra</v></cell><cell r="T909" t="str"><v>Developers & ITI's</v></cell><cell r="U909" t="str"><v>AZR</v></cell><cell r="V909" t="str"><v>Audience Targeting</v></cell><cell r="W909" t="str"><v>Engagement Video</v></cell><cell r="X909" t="str"><v>1x1</v></cell></row><row r="909"><cell r="AA909"><v>43289</v></cell><cell r="AB909" t="str"><v>CAN_gaPMG_AZR_AZR_Q1_19_Trial-Social</v></cell><cell r="AC909"><v>21337220</v></cell><cell r="AD909"><v>720192</v></cell><cell r="AE909" t="str"><v>Facebook</v></cell><cell r="AF909"><v>3654128</v></cell><cell r="AG909" t="str"><v>Facebook»AZR»1x1»NA»EGV»ALL»DYN»AUT»D»All»SS»NA»Free Acc CTC - T2 - EN</v></cell><cell r="AH909"><v>223691840</v></cell><cell r="AI909" t="str"><v>AzurePlatform_FBCTCBrandinMotion_CAN_12s_ISV_PLAT_English_Trial_Standard_STAN_TN_T2_1</v></cell><cell r="AJ909"><v>102902950</v></cell></row><row r="910"><cell r="C910" t="str"><v>43289Facebook»AZR»1x1»NA»EGV»ALL»DYN»AUT»D»All»SS»NA»Free Acc CTC - T2 - FR</v></cell><cell r="D910" t="str"><v>43289223691798</v></cell><cell r="E910" t="str"><v>432891029163472 - FR</v></cell><cell r="F910" t="str"><v>DCM</v></cell><cell r="G910" t="str"><v>https://signup.azure.com/</v></cell></row><row r="910"><cell r="K910" t="str"><v>July</v></cell><cell r="L910"><v>43295</v></cell><cell r="M910" t="str"><v>Tier 1</v></cell><cell r="N910" t="str"><v>North America</v></cell><cell r="O910" t="str"><v>Canada</v></cell><cell r="P910" t="str"><v>Trial</v></cell><cell r="Q910" t="str"><v>Social</v></cell><cell r="R910" t="str"><v>Azure</v></cell><cell r="S910" t="str"><v>Apps & Infra</v></cell><cell r="T910" t="str"><v>Developers & ITI's</v></cell><cell r="U910" t="str"><v>AZR</v></cell><cell r="V910" t="str"><v>Audience Targeting</v></cell><cell r="W910" t="str"><v>Engagement Video</v></cell><cell r="X910" t="str"><v>1x1</v></cell></row><row r="910"><cell r="AA910"><v>43289</v></cell><cell r="AB910" t="str"><v>CAN_gaPMG_AZR_AZR_Q1_19_Trial-Social</v></cell><cell r="AC910"><v>21337220</v></cell><cell r="AD910"><v>720192</v></cell><cell r="AE910" t="str"><v>Facebook</v></cell><cell r="AF910"><v>3654128</v></cell><cell r="AG910" t="str"><v>Facebook»AZR»1x1»NA»EGV»ALL»DYN»AUT»D»All»SS»NA»Free Acc CTC - T2 - FR</v></cell><cell r="AH910"><v>223691798</v></cell><cell r="AI910" t="str"><v>AzurePlatform_FBCTCBrandinMotion_CAN_12s_ISV_PLAT_FR_Trial_Standard_STAN_TN_T2_1</v></cell><cell r="AJ910"><v>102916347</v></cell></row><row r="911"><cell r="C911" t="str"><v>43289Facebook»AZR»1x1»NA»EGV»ALL»DYN»AUT»D»All»SS»NA»Free Acc CTC - T4 - EN</v></cell><cell r="D911" t="str"><v>43289223691837</v></cell><cell r="E911" t="str"><v>432891030533144 - EN</v></cell><cell r="F911" t="str"><v>DCM</v></cell><cell r="G911" t="str"><v>https://signup.azure.com/</v></cell></row><row r="911"><cell r="K911" t="str"><v>July</v></cell><cell r="L911"><v>43295</v></cell><cell r="M911" t="str"><v>Tier 1</v></cell><cell r="N911" t="str"><v>North America</v></cell><cell r="O911" t="str"><v>Canada</v></cell><cell r="P911" t="str"><v>Trial</v></cell><cell r="Q911" t="str"><v>Social</v></cell><cell r="R911" t="str"><v>Azure</v></cell><cell r="S911" t="str"><v>Apps & Infra</v></cell><cell r="T911" t="str"><v>Developers & ITI's</v></cell><cell r="U911" t="str"><v>AZR</v></cell><cell r="V911" t="str"><v>Audience Targeting</v></cell><cell r="W911" t="str"><v>Engagement Video</v></cell><cell r="X911" t="str"><v>1x1</v></cell></row><row r="911"><cell r="AA911"><v>43289</v></cell><cell r="AB911" t="str"><v>CAN_gaPMG_AZR_AZR_Q1_19_Trial-Social</v></cell><cell r="AC911"><v>21337220</v></cell><cell r="AD911"><v>720192</v></cell><cell r="AE911" t="str"><v>Facebook</v></cell><cell r="AF911"><v>3654128</v></cell><cell r="AG911" t="str"><v>Facebook»AZR»1x1»NA»EGV»ALL»DYN»AUT»D»All»SS»NA»Free Acc CTC - T4 - EN</v></cell><cell r="AH911"><v>223691837</v></cell><cell r="AI911" t="str"><v>AzurePlatform_FBCTCBenefit2inMotion_CAN_14s_ISV_PLAT_English_Trial_Standard_STAN_TN_T4_1</v></cell><cell r="AJ911"><v>103053314</v></cell></row><row r="912"><cell r="C912" t="str"><v>43289Facebook»AZR»1x1»NA»EGV»ALL»DYN»AUT»D»All»SS»NA»Free Acc CTC - T4 - FR</v></cell><cell r="D912" t="str"><v>43289223691795</v></cell><cell r="E912" t="str"><v>432891029006884 - FR</v></cell><cell r="F912" t="str"><v>DCM</v></cell><cell r="G912" t="str"><v>https://signup.azure.com/</v></cell></row><row r="912"><cell r="K912" t="str"><v>July</v></cell><cell r="L912"><v>43295</v></cell><cell r="M912" t="str"><v>Tier 1</v></cell><cell r="N912" t="str"><v>North America</v></cell><cell r="O912" t="str"><v>Canada</v></cell><cell r="P912" t="str"><v>Trial</v></cell><cell r="Q912" t="str"><v>Social</v></cell><cell r="R912" t="str"><v>Azure</v></cell><cell r="S912" t="str"><v>Apps & Infra</v></cell><cell r="T912" t="str"><v>Developers & ITI's</v></cell><cell r="U912" t="str"><v>AZR</v></cell><cell r="V912" t="str"><v>Audience Targeting</v></cell><cell r="W912" t="str"><v>Engagement Video</v></cell><cell r="X912" t="str"><v>1x1</v></cell></row><row r="912"><cell r="AA912"><v>43289</v></cell><cell r="AB912" t="str"><v>CAN_gaPMG_AZR_AZR_Q1_19_Trial-Social</v></cell><cell r="AC912"><v>21337220</v></cell><cell r="AD912"><v>720192</v></cell><cell r="AE912" t="str"><v>Facebook</v></cell><cell r="AF912"><v>3654128</v></cell><cell r="AG912" t="str"><v>Facebook»AZR»1x1»NA»EGV»ALL»DYN»AUT»D»All»SS»NA»Free Acc CTC - T4 - FR</v></cell><cell r="AH912"><v>223691795</v></cell><cell r="AI912" t="str"><v>AzurePlatform_FBCTCBenefit2inMotion_CAN_14s_ISV_PLAT_FR_Trial_Standard_STAN_TN_T4_1</v></cell><cell r="AJ912"><v>102900688</v></cell></row><row r="913"><cell r="C913" t="str"><v>43289Facebook»AZR»1x1»SocialBan»NA»ALL»DYN»AUT»D»All»SS»NA»Free Acc Refresh - T1 - EN</v></cell><cell r="D913" t="str"><v>43289223691804</v></cell><cell r="E913" t="str"><v>432891030587171 - EN</v></cell><cell r="F913" t="str"><v>DCM</v></cell><cell r="G913" t="str"><v>https://azure.microsoft.com/en-CA/free/search/</v></cell></row><row r="913"><cell r="K913" t="str"><v>July</v></cell><cell r="L913"><v>43295</v></cell><cell r="M913" t="str"><v>Tier 1</v></cell><cell r="N913" t="str"><v>North America</v></cell><cell r="O913" t="str"><v>Canada</v></cell><cell r="P913" t="str"><v>Trial</v></cell><cell r="Q913" t="str"><v>Social</v></cell><cell r="R913" t="str"><v>Azure</v></cell><cell r="S913" t="str"><v>Apps & Infra</v></cell><cell r="T913" t="str"><v>Developers & ITI's</v></cell><cell r="U913" t="str"><v>AZR</v></cell><cell r="V913" t="str"><v>Audience Targeting</v></cell><cell r="W913" t="str"><v>NotApplicable</v></cell><cell r="X913" t="str"><v>1x1</v></cell></row><row r="913"><cell r="AA913"><v>43289</v></cell><cell r="AB913" t="str"><v>CAN_gaPMG_AZR_AZR_Q1_19_Trial-Social</v></cell><cell r="AC913"><v>21337220</v></cell><cell r="AD913"><v>720192</v></cell><cell r="AE913" t="str"><v>Facebook</v></cell><cell r="AF913"><v>3654128</v></cell><cell r="AG913" t="str"><v>Facebook»AZR»1x1»SocialBan»NA»ALL»DYN»AUT»D»All»SS»NA»Free Acc Refresh - T1 - EN</v></cell><cell r="AH913"><v>223691804</v></cell><cell r="AI913" t="str"><v>AzurePlatform_FreeAcctAppsFACEBOOKLifestyleChA_CAN_1200x628_SOC_PLAT_EN_Trial_Standard_NA_SU_T1_1.png</v></cell><cell r="AJ913"><v>103058717</v></cell></row><row r="914"><cell r="C914" t="str"><v>43289Facebook»AZR»1x1»SocialBan»NA»ALL»DYN»AUT»D»All»SS»NA»Free Acc Refresh - T1 - FR</v></cell><cell r="D914" t="str"><v>43289223691762</v></cell><cell r="E914" t="str"><v>432891029029741 - FR</v></cell><cell r="F914" t="str"><v>DCM</v></cell><cell r="G914" t="str"><v>https://azure.microsoft.com/fr-ca/free/search/</v></cell></row><row r="914"><cell r="K914" t="str"><v>July</v></cell><cell r="L914"><v>43295</v></cell><cell r="M914" t="str"><v>Tier 1</v></cell><cell r="N914" t="str"><v>North America</v></cell><cell r="O914" t="str"><v>Canada</v></cell><cell r="P914" t="str"><v>Trial</v></cell><cell r="Q914" t="str"><v>Social</v></cell><cell r="R914" t="str"><v>Azure</v></cell><cell r="S914" t="str"><v>Apps & Infra</v></cell><cell r="T914" t="str"><v>Developers & ITI's</v></cell><cell r="U914" t="str"><v>AZR</v></cell><cell r="V914" t="str"><v>Audience Targeting</v></cell><cell r="W914" t="str"><v>NotApplicable</v></cell><cell r="X914" t="str"><v>1x1</v></cell></row><row r="914"><cell r="AA914"><v>43289</v></cell><cell r="AB914" t="str"><v>CAN_gaPMG_AZR_AZR_Q1_19_Trial-Social</v></cell><cell r="AC914"><v>21337220</v></cell><cell r="AD914"><v>720192</v></cell><cell r="AE914" t="str"><v>Facebook</v></cell><cell r="AF914"><v>3654128</v></cell><cell r="AG914" t="str"><v>Facebook»AZR»1x1»SocialBan»NA»ALL»DYN»AUT»D»All»SS»NA»Free Acc Refresh - T1 - FR</v></cell><cell r="AH914"><v>223691762</v></cell><cell r="AI914" t="str"><v>AzurePlatform_FreeAcctAppsFACEBOOKLifestyleChA_CAN_1200x628_SOC_PLAT_FR_Trial_Standard_NA_SU_T1_1.png</v></cell><cell r="AJ914"><v>102902974</v></cell></row><row r="915"><cell r="C915" t="str"><v>43289Facebook»AZR»1x1»SocialBan»NA»ALL»DYN»AUT»D»All»SS»NA»Free Acc Refresh - T2 - EN</v></cell><cell r="D915" t="str"><v>43289223691810</v></cell><cell r="E915" t="str"><v>432891030587112 - EN</v></cell><cell r="F915" t="str"><v>DCM</v></cell><cell r="G915" t="str"><v>https://azure.microsoft.com/en-CA/free/search/</v></cell></row><row r="915"><cell r="K915" t="str"><v>July</v></cell><cell r="L915"><v>43295</v></cell><cell r="M915" t="str"><v>Tier 1</v></cell><cell r="N915" t="str"><v>North America</v></cell><cell r="O915" t="str"><v>Canada</v></cell><cell r="P915" t="str"><v>Trial</v></cell><cell r="Q915" t="str"><v>Social</v></cell><cell r="R915" t="str"><v>Azure</v></cell><cell r="S915" t="str"><v>Apps & Infra</v></cell><cell r="T915" t="str"><v>Developers & ITI's</v></cell><cell r="U915" t="str"><v>AZR</v></cell><cell r="V915" t="str"><v>Audience Targeting</v></cell><cell r="W915" t="str"><v>NotApplicable</v></cell><cell r="X915" t="str"><v>1x1</v></cell></row><row r="915"><cell r="AA915"><v>43289</v></cell><cell r="AB915" t="str"><v>CAN_gaPMG_AZR_AZR_Q1_19_Trial-Social</v></cell><cell r="AC915"><v>21337220</v></cell><cell r="AD915"><v>720192</v></cell><cell r="AE915" t="str"><v>Facebook</v></cell><cell r="AF915"><v>3654128</v></cell><cell r="AG915" t="str"><v>Facebook»AZR»1x1»SocialBan»NA»ALL»DYN»AUT»D»All»SS»NA»Free Acc Refresh - T2 - EN</v></cell><cell r="AH915"><v>223691810</v></cell><cell r="AI915" t="str"><v>AzurePlatform_FreeAcctAppsFACEBOOKDeviceChB_CAN_1200x628_SOC_PLAT_EN_Trial_Standard_NA_SU_T2_1.png</v></cell><cell r="AJ915"><v>103058711</v></cell></row><row r="916"><cell r="C916" t="str"><v>43289Facebook»AZR»1x1»SocialBan»NA»ALL»DYN»AUT»D»All»SS»NA»Free Acc Refresh - T3 - EN</v></cell><cell r="D916" t="str"><v>43289223691807</v></cell><cell r="E916" t="str"><v>432891029006853 - EN</v></cell><cell r="F916" t="str"><v>DCM</v></cell><cell r="G916" t="str"><v>https://azure.microsoft.com/en-CA/free/search/</v></cell></row><row r="916"><cell r="K916" t="str"><v>July</v></cell><cell r="L916"><v>43295</v></cell><cell r="M916" t="str"><v>Tier 1</v></cell><cell r="N916" t="str"><v>North America</v></cell><cell r="O916" t="str"><v>Canada</v></cell><cell r="P916" t="str"><v>Trial</v></cell><cell r="Q916" t="str"><v>Social</v></cell><cell r="R916" t="str"><v>Azure</v></cell><cell r="S916" t="str"><v>Apps & Infra</v></cell><cell r="T916" t="str"><v>Developers & ITI's</v></cell><cell r="U916" t="str"><v>AZR</v></cell><cell r="V916" t="str"><v>Audience Targeting</v></cell><cell r="W916" t="str"><v>NotApplicable</v></cell><cell r="X916" t="str"><v>1x1</v></cell></row><row r="916"><cell r="AA916"><v>43289</v></cell><cell r="AB916" t="str"><v>CAN_gaPMG_AZR_AZR_Q1_19_Trial-Social</v></cell><cell r="AC916"><v>21337220</v></cell><cell r="AD916"><v>720192</v></cell><cell r="AE916" t="str"><v>Facebook</v></cell><cell r="AF916"><v>3654128</v></cell><cell r="AG916" t="str"><v>Facebook»AZR»1x1»SocialBan»NA»ALL»DYN»AUT»D»All»SS»NA»Free Acc Refresh - T3 - EN</v></cell><cell r="AH916"><v>223691807</v></cell><cell r="AI916" t="str"><v>AzurePlatform_FreeAcctAppsFACEBOOKIllustrationChC_CAN_1200x628_SOC_PLAT_EN_Trial_Standard_NA_SU_T3_1.png</v></cell><cell r="AJ916"><v>102900685</v></cell></row><row r="917"><cell r="C917" t="str"><v>43289Facebook»AZR»1x1»SocialBan»NA»ALL»DYN»AUT»D»All»SS»NA»Free Acc Refresh - T4 - EN</v></cell><cell r="D917" t="str"><v>43289223691813</v></cell><cell r="E917" t="str"><v>432891030533204 - EN</v></cell><cell r="F917" t="str"><v>DCM</v></cell><cell r="G917" t="str"><v>https://azure.microsoft.com/en-CA/free/search/</v></cell></row><row r="917"><cell r="K917" t="str"><v>July</v></cell><cell r="L917"><v>43295</v></cell><cell r="M917" t="str"><v>Tier 1</v></cell><cell r="N917" t="str"><v>North America</v></cell><cell r="O917" t="str"><v>Canada</v></cell><cell r="P917" t="str"><v>Trial</v></cell><cell r="Q917" t="str"><v>Social</v></cell><cell r="R917" t="str"><v>Azure</v></cell><cell r="S917" t="str"><v>Apps & Infra</v></cell><cell r="T917" t="str"><v>Developers & ITI's</v></cell><cell r="U917" t="str"><v>AZR</v></cell><cell r="V917" t="str"><v>Audience Targeting</v></cell><cell r="W917" t="str"><v>NotApplicable</v></cell><cell r="X917" t="str"><v>1x1</v></cell></row><row r="917"><cell r="AA917"><v>43289</v></cell><cell r="AB917" t="str"><v>CAN_gaPMG_AZR_AZR_Q1_19_Trial-Social</v></cell><cell r="AC917"><v>21337220</v></cell><cell r="AD917"><v>720192</v></cell><cell r="AE917" t="str"><v>Facebook</v></cell><cell r="AF917"><v>3654128</v></cell><cell r="AG917" t="str"><v>Facebook»AZR»1x1»SocialBan»NA»ALL»DYN»AUT»D»All»SS»NA»Free Acc Refresh - T4 - EN</v></cell><cell r="AH917"><v>223691813</v></cell><cell r="AI917" t="str"><v>AzurePlatform_FreeAcctAppsFACEBOOK200CreditChD_CAN_1200x628_SOC_PLAT_EN_Trial_Standard_NA_SU_T4_1.png</v></cell><cell r="AJ917"><v>103053320</v></cell></row><row r="918"><cell r="C918" t="str"><v>43289Facebook»AZR»1x1»SocialBan»NA»ALL»DYN»AUT»D»All»SS»NA»Free Acc Refresh - T5 - EN</v></cell><cell r="D918" t="str"><v>43289223691816</v></cell><cell r="E918" t="str"><v>432891029163415 - EN</v></cell><cell r="F918" t="str"><v>DCM</v></cell><cell r="G918" t="str"><v>https://azure.microsoft.com/en-CA/free/search/</v></cell></row><row r="918"><cell r="K918" t="str"><v>July</v></cell><cell r="L918"><v>43295</v></cell><cell r="M918" t="str"><v>Tier 1</v></cell><cell r="N918" t="str"><v>North America</v></cell><cell r="O918" t="str"><v>Canada</v></cell><cell r="P918" t="str"><v>Trial</v></cell><cell r="Q918" t="str"><v>Social</v></cell><cell r="R918" t="str"><v>Azure</v></cell><cell r="S918" t="str"><v>Apps & Infra</v></cell><cell r="T918" t="str"><v>Developers & ITI's</v></cell><cell r="U918" t="str"><v>AZR</v></cell><cell r="V918" t="str"><v>Audience Targeting</v></cell><cell r="W918" t="str"><v>NotApplicable</v></cell><cell r="X918" t="str"><v>1x1</v></cell></row><row r="918"><cell r="AA918"><v>43289</v></cell><cell r="AB918" t="str"><v>CAN_gaPMG_AZR_AZR_Q1_19_Trial-Social</v></cell><cell r="AC918"><v>21337220</v></cell><cell r="AD918"><v>720192</v></cell><cell r="AE918" t="str"><v>Facebook</v></cell><cell r="AF918"><v>3654128</v></cell><cell r="AG918" t="str"><v>Facebook»AZR»1x1»SocialBan»NA»ALL»DYN»AUT»D»All»SS»NA»Free Acc Refresh - T5 - EN</v></cell><cell r="AH918"><v>223691816</v></cell><cell r="AI918" t="str"><v>AzurePlatform_FreeAcctAppsFACEBOOK12monthsChE_CAN_1200x628_SOC_PLAT_EN_Trial_Standard_NA_SU_T5_1.png</v></cell><cell r="AJ918"><v>102916341</v></cell></row><row r="919"><cell r="C919" t="str"><v>43289Facebook»AZR»1x1»SocialBan»NA»ALL»DYN»RT»D»All»SS»NA» Free Account Retargeting OSS - T1 - EN</v></cell><cell r="D919" t="str"><v>43289223691828</v></cell><cell r="E919" t="str"><v>432891029029561 - EN</v></cell><cell r="F919" t="str"><v>DCM</v></cell><cell r="G919" t="str"><v>https://azure.microsoft.com/en-ca/free/open-source/search/</v></cell></row><row r="919"><cell r="K919" t="str"><v>July</v></cell><cell r="L919"><v>43295</v></cell><cell r="M919" t="str"><v>Tier 1</v></cell><cell r="N919" t="str"><v>North America</v></cell><cell r="O919" t="str"><v>Canada</v></cell><cell r="P919" t="str"><v>Trial</v></cell><cell r="Q919" t="str"><v>Social</v></cell><cell r="R919" t="str"><v>Azure</v></cell><cell r="S919" t="str"><v>Apps & Infra</v></cell><cell r="T919" t="str"><v>Developers & ITI's</v></cell><cell r="U919" t="str"><v>AZR</v></cell><cell r="V919" t="str"><v>Retargeting</v></cell><cell r="W919" t="str"><v>NotApplicable</v></cell><cell r="X919" t="str"><v>1x1</v></cell></row><row r="919"><cell r="AA919"><v>43289</v></cell><cell r="AB919" t="str"><v>CAN_gaPMG_AZR_AZR_Q1_19_Trial-Social</v></cell><cell r="AC919"><v>21337220</v></cell><cell r="AD919"><v>720192</v></cell><cell r="AE919" t="str"><v>Facebook</v></cell><cell r="AF919"><v>3654128</v></cell><cell r="AG919" t="str"><v>Facebook»AZR»1x1»SocialBan»NA»ALL»DYN»RT»D»All»SS»NA» Free Account Retargeting OSS - T1 - EN</v></cell><cell r="AH919"><v>223691828</v></cell><cell r="AI919" t="str"><v>AzurePlatform_FreeAcctRetargetingOSSFB-Text-ChF_CAN_1200x628_SOC_Plat_EN_Free Account_Standard_NA_SU_T1_1</v></cell><cell r="AJ919"><v>102902956</v></cell></row><row r="920"><cell r="C920" t="str"><v>43289Facebook»AZR»1x1»SocialBan»NA»ALL»DYN»RT»D»All»SS»NA» Free Account Retargeting OSS - T2 - EN</v></cell><cell r="D920" t="str"><v>43289223691831</v></cell><cell r="E920" t="str"><v>432891029138002 - EN</v></cell><cell r="F920" t="str"><v>DCM</v></cell><cell r="G920" t="str"><v>https://azure.microsoft.com/en-ca/free/open-source/search/</v></cell></row><row r="920"><cell r="K920" t="str"><v>July</v></cell><cell r="L920"><v>43295</v></cell><cell r="M920" t="str"><v>Tier 1</v></cell><cell r="N920" t="str"><v>North America</v></cell><cell r="O920" t="str"><v>Canada</v></cell><cell r="P920" t="str"><v>Trial</v></cell><cell r="Q920" t="str"><v>Social</v></cell><cell r="R920" t="str"><v>Azure</v></cell><cell r="S920" t="str"><v>Apps & Infra</v></cell><cell r="T920" t="str"><v>Developers & ITI's</v></cell><cell r="U920" t="str"><v>AZR</v></cell><cell r="V920" t="str"><v>Retargeting</v></cell><cell r="W920" t="str"><v>NotApplicable</v></cell><cell r="X920" t="str"><v>1x1</v></cell></row><row r="920"><cell r="AA920"><v>43289</v></cell><cell r="AB920" t="str"><v>CAN_gaPMG_AZR_AZR_Q1_19_Trial-Social</v></cell><cell r="AC920"><v>21337220</v></cell><cell r="AD920"><v>720192</v></cell><cell r="AE920" t="str"><v>Facebook</v></cell><cell r="AF920"><v>3654128</v></cell><cell r="AG920" t="str"><v>Facebook»AZR»1x1»SocialBan»NA»ALL»DYN»RT»D»All»SS»NA» Free Account Retargeting OSS - T2 - EN</v></cell><cell r="AH920"><v>223691831</v></cell><cell r="AI920" t="str"><v>AzurePlatform_FreeAcctRetargetingOSSFB-Logos-ChG_CAN_1200x628_SOC_Plat_EN_Free Account_Standard_NA_SU_T2_1</v></cell><cell r="AJ920"><v>102913800</v></cell></row><row r="921"><cell r="C921" t="str"><v>43289Facebook»AZR»1x1»SocialBan»NA»ALL»DYN»RT»D»All»SS»NA» Free Account Retargeting OSS - T2 - FR</v></cell><cell r="D921" t="str"><v>43289223691789</v></cell><cell r="E921" t="str"><v>432891029006912 - FR</v></cell><cell r="F921" t="str"><v>DCM</v></cell><cell r="G921" t="str"><v>https://azure.microsoft.com/fr-ca/free/open-source/search/</v></cell></row><row r="921"><cell r="K921" t="str"><v>July</v></cell><cell r="L921"><v>43295</v></cell><cell r="M921" t="str"><v>Tier 1</v></cell><cell r="N921" t="str"><v>North America</v></cell><cell r="O921" t="str"><v>Canada</v></cell><cell r="P921" t="str"><v>Trial</v></cell><cell r="Q921" t="str"><v>Social</v></cell><cell r="R921" t="str"><v>Azure</v></cell><cell r="S921" t="str"><v>Apps & Infra</v></cell><cell r="T921" t="str"><v>Developers & ITI's</v></cell><cell r="U921" t="str"><v>AZR</v></cell><cell r="V921" t="str"><v>Retargeting</v></cell><cell r="W921" t="str"><v>NotApplicable</v></cell><cell r="X921" t="str"><v>1x1</v></cell></row><row r="921"><cell r="AA921"><v>43289</v></cell><cell r="AB921" t="str"><v>CAN_gaPMG_AZR_AZR_Q1_19_Trial-Social</v></cell><cell r="AC921"><v>21337220</v></cell><cell r="AD921"><v>720192</v></cell><cell r="AE921" t="str"><v>Facebook</v></cell><cell r="AF921"><v>3654128</v></cell><cell r="AG921" t="str"><v>Facebook»AZR»1x1»SocialBan»NA»ALL»DYN»RT»D»All»SS»NA» Free Account Retargeting OSS - T2 - FR</v></cell><cell r="AH921"><v>223691789</v></cell><cell r="AI921" t="str"><v>AzurePlatform_FreeAcctRetargetingOSSFB-Logos-ChG_CAN_1200x628_SOC_Plat_FR_Free Account_Standard_NA_SU_T2_1</v></cell><cell r="AJ921"><v>102900691</v></cell></row><row r="922"><cell r="C922" t="str"><v>43289Facebook»AZR»1x1»SocialBan»NA»ALL»DYN»RT»D»All»SS»NA»Free Account Retargeting Generic - T2 - EN</v></cell><cell r="D922" t="str"><v>43289223691834</v></cell><cell r="E922" t="str"><v>432891029029532 - EN</v></cell><cell r="F922" t="str"><v>DCM</v></cell><cell r="G922" t="str"><v>https://azure.microsoft.com/en-CA/free/search/</v></cell></row><row r="922"><cell r="K922" t="str"><v>July</v></cell><cell r="L922"><v>43295</v></cell><cell r="M922" t="str"><v>Tier 1</v></cell><cell r="N922" t="str"><v>North America</v></cell><cell r="O922" t="str"><v>Canada</v></cell><cell r="P922" t="str"><v>Trial</v></cell><cell r="Q922" t="str"><v>Social</v></cell><cell r="R922" t="str"><v>Azure</v></cell><cell r="S922" t="str"><v>Apps & Infra</v></cell><cell r="T922" t="str"><v>Developers & ITI's</v></cell><cell r="U922" t="str"><v>AZR</v></cell><cell r="V922" t="str"><v>Retargeting</v></cell><cell r="W922" t="str"><v>NotApplicable</v></cell><cell r="X922" t="str"><v>1x1</v></cell></row><row r="922"><cell r="AA922"><v>43289</v></cell><cell r="AB922" t="str"><v>CAN_gaPMG_AZR_AZR_Q1_19_Trial-Social</v></cell><cell r="AC922"><v>21337220</v></cell><cell r="AD922"><v>720192</v></cell><cell r="AE922" t="str"><v>Facebook</v></cell><cell r="AF922"><v>3654128</v></cell><cell r="AG922" t="str"><v>Facebook»AZR»1x1»SocialBan»NA»ALL»DYN»RT»D»All»SS»NA»Free Account Retargeting Generic - T2 - EN</v></cell><cell r="AH922"><v>223691834</v></cell><cell r="AI922" t="str"><v>AzurePlatform_FreeAcctRetargetingFB-GlobalAlt-ChB_CAN_1200x628_SOC_Plat_EN_Free Account_Standard_NA_SU_T2_1</v></cell><cell r="AJ922"><v>102902953</v></cell></row><row r="923"><cell r="C923" t="str"><v>43289Facebook»AZR»1x1»SocialBan»NA»ALL»DYN»RT»D»All»SS»NA»Free Account Retargeting Generic - T2 - FR</v></cell><cell r="D923" t="str"><v>43289223691792</v></cell><cell r="E923" t="str"><v>432891029018942 - FR</v></cell><cell r="F923" t="str"><v>DCM</v></cell><cell r="G923" t="str"><v>https://azure.microsoft.com/fr-ca/free/search/</v></cell></row><row r="923"><cell r="K923" t="str"><v>July</v></cell><cell r="L923"><v>43295</v></cell><cell r="M923" t="str"><v>Tier 1</v></cell><cell r="N923" t="str"><v>North America</v></cell><cell r="O923" t="str"><v>Canada</v></cell><cell r="P923" t="str"><v>Trial</v></cell><cell r="Q923" t="str"><v>Social</v></cell><cell r="R923" t="str"><v>Azure</v></cell><cell r="S923" t="str"><v>Apps & Infra</v></cell><cell r="T923" t="str"><v>Developers & ITI's</v></cell><cell r="U923" t="str"><v>AZR</v></cell><cell r="V923" t="str"><v>Retargeting</v></cell><cell r="W923" t="str"><v>NotApplicable</v></cell><cell r="X923" t="str"><v>1x1</v></cell></row><row r="923"><cell r="AA923"><v>43289</v></cell><cell r="AB923" t="str"><v>CAN_gaPMG_AZR_AZR_Q1_19_Trial-Social</v></cell><cell r="AC923"><v>21337220</v></cell><cell r="AD923"><v>720192</v></cell><cell r="AE923" t="str"><v>Facebook</v></cell><cell r="AF923"><v>3654128</v></cell><cell r="AG923" t="str"><v>Facebook»AZR»1x1»SocialBan»NA»ALL»DYN»RT»D»All»SS»NA»Free Account Retargeting Generic - T2 - FR</v></cell><cell r="AH923"><v>223691792</v></cell><cell r="AI923" t="str"><v>AzurePlatform_FreeAcctRetargetingFB-GlobalAlt-ChB_CAN_1200x628_SOC_Plat_FR_Free Account_Standard_NA_SU_T2_1</v></cell><cell r="AJ923"><v>102901894</v></cell></row><row r="924"><cell r="C924" t="str"><v>43289Facebook»AZR»1x1»SocialBan»NA»ALL»DYN»RT»D»All»SS»NA»Free Account Retargeting Generic - T3 - EN</v></cell><cell r="D924" t="str"><v>43289223691819</v></cell><cell r="E924" t="str"><v>432891029006823 - EN</v></cell><cell r="F924" t="str"><v>DCM</v></cell><cell r="G924" t="str"><v>https://azure.microsoft.com/en-CA/free/search/</v></cell></row><row r="924"><cell r="K924" t="str"><v>July</v></cell><cell r="L924"><v>43295</v></cell><cell r="M924" t="str"><v>Tier 1</v></cell><cell r="N924" t="str"><v>North America</v></cell><cell r="O924" t="str"><v>Canada</v></cell><cell r="P924" t="str"><v>Trial</v></cell><cell r="Q924" t="str"><v>Social</v></cell><cell r="R924" t="str"><v>Azure</v></cell><cell r="S924" t="str"><v>Apps & Infra</v></cell><cell r="T924" t="str"><v>Developers & ITI's</v></cell><cell r="U924" t="str"><v>AZR</v></cell><cell r="V924" t="str"><v>Retargeting</v></cell><cell r="W924" t="str"><v>NotApplicable</v></cell><cell r="X924" t="str"><v>1x1</v></cell></row><row r="924"><cell r="AA924"><v>43289</v></cell><cell r="AB924" t="str"><v>CAN_gaPMG_AZR_AZR_Q1_19_Trial-Social</v></cell><cell r="AC924"><v>21337220</v></cell><cell r="AD924"><v>720192</v></cell><cell r="AE924" t="str"><v>Facebook</v></cell><cell r="AF924"><v>3654128</v></cell><cell r="AG924" t="str"><v>Facebook»AZR»1x1»SocialBan»NA»ALL»DYN»RT»D»All»SS»NA»Free Account Retargeting Generic - T3 - EN</v></cell><cell r="AH924"><v>223691819</v></cell><cell r="AI924" t="str"><v>AzurePlatform_FreeAcctRetargetingFB-Animated-ChC_CAN_1200x628_SOC_Plat_EN_Free Account_Standard_ANI_SU_T3_1</v></cell><cell r="AJ924"><v>102900682</v></cell></row><row r="925"><cell r="C925" t="str"><v>43289Facebook»AZR»1x1»SocialBan»NA»ALL»DYN»RT»D»All»SS»NA»Free Account Retargeting Generic - T3 - FR</v></cell><cell r="D925" t="str"><v>43289223691777</v></cell><cell r="E925" t="str"><v>432891029006973 - FR</v></cell><cell r="F925" t="str"><v>DCM</v></cell><cell r="G925" t="str"><v>https://azure.microsoft.com/fr-ca/free/search/</v></cell></row><row r="925"><cell r="K925" t="str"><v>July</v></cell><cell r="L925"><v>43295</v></cell><cell r="M925" t="str"><v>Tier 1</v></cell><cell r="N925" t="str"><v>North America</v></cell><cell r="O925" t="str"><v>Canada</v></cell><cell r="P925" t="str"><v>Trial</v></cell><cell r="Q925" t="str"><v>Social</v></cell><cell r="R925" t="str"><v>Azure</v></cell><cell r="S925" t="str"><v>Apps & Infra</v></cell><cell r="T925" t="str"><v>Developers & ITI's</v></cell><cell r="U925" t="str"><v>AZR</v></cell><cell r="V925" t="str"><v>Retargeting</v></cell><cell r="W925" t="str"><v>NotApplicable</v></cell><cell r="X925" t="str"><v>1x1</v></cell></row><row r="925"><cell r="AA925"><v>43289</v></cell><cell r="AB925" t="str"><v>CAN_gaPMG_AZR_AZR_Q1_19_Trial-Social</v></cell><cell r="AC925"><v>21337220</v></cell><cell r="AD925"><v>720192</v></cell><cell r="AE925" t="str"><v>Facebook</v></cell><cell r="AF925"><v>3654128</v></cell><cell r="AG925" t="str"><v>Facebook»AZR»1x1»SocialBan»NA»ALL»DYN»RT»D»All»SS»NA»Free Account Retargeting Generic - T3 - FR</v></cell><cell r="AH925"><v>223691777</v></cell><cell r="AI925" t="str"><v>AzurePlatform_FreeAcctRetargetingFB-Animated-ChC_CAN_1200x628_SOC_Plat_FR_Free Account_Standard_ANI_SU_T3_1</v></cell><cell r="AJ925"><v>102900697</v></cell></row><row r="926"><cell r="C926" t="str"><v>43289Facebook»AZR»1x1»SocialBan»NA»ALL»DYN»RT»D»All»SS»NA»Free Account Retargeting VM - T1 - EN</v></cell><cell r="D926" t="str"><v>43289223691825</v></cell><cell r="E926" t="str"><v>432891029163381 - EN</v></cell><cell r="F926" t="str"><v>DCM</v></cell><cell r="G926" t="str"><v>https://azure.microsoft.com/en-ca/free/virtual-machines/search/</v></cell></row><row r="926"><cell r="K926" t="str"><v>July</v></cell><cell r="L926"><v>43295</v></cell><cell r="M926" t="str"><v>Tier 1</v></cell><cell r="N926" t="str"><v>North America</v></cell><cell r="O926" t="str"><v>Canada</v></cell><cell r="P926" t="str"><v>Trial</v></cell><cell r="Q926" t="str"><v>Social</v></cell><cell r="R926" t="str"><v>Azure</v></cell><cell r="S926" t="str"><v>Apps & Infra</v></cell><cell r="T926" t="str"><v>Developers & ITI's</v></cell><cell r="U926" t="str"><v>AZR</v></cell><cell r="V926" t="str"><v>Retargeting</v></cell><cell r="W926" t="str"><v>NotApplicable</v></cell><cell r="X926" t="str"><v>1x1</v></cell></row><row r="926"><cell r="AA926"><v>43289</v></cell><cell r="AB926" t="str"><v>CAN_gaPMG_AZR_AZR_Q1_19_Trial-Social</v></cell><cell r="AC926"><v>21337220</v></cell><cell r="AD926"><v>720192</v></cell><cell r="AE926" t="str"><v>Facebook</v></cell><cell r="AF926"><v>3654128</v></cell><cell r="AG926" t="str"><v>Facebook»AZR»1x1»SocialBan»NA»ALL»DYN»RT»D»All»SS»NA»Free Account Retargeting VM - T1 - EN</v></cell><cell r="AH926"><v>223691825</v></cell><cell r="AI926" t="str"><v>AzurePlatform_FreeAcctRetargetingVMFB-750Hrs-ChD_CAN_1200x628_SOC_Plat_EN_Free Account_Standard_NA_SU_T1_1</v></cell><cell r="AJ926"><v>102916338</v></cell></row><row r="927"><cell r="C927" t="str"><v>43289Facebook»AZR»1x1»SocialBan»NA»ALL»DYN»RT»D»All»SS»NA»Free Account Retargeting VM - T2 - EN</v></cell><cell r="D927" t="str"><v>43289223691822</v></cell><cell r="E927" t="str"><v>432891030587082 - EN</v></cell><cell r="F927" t="str"><v>DCM</v></cell><cell r="G927" t="str"><v>https://azure.microsoft.com/en-ca/free/virtual-machines/search/</v></cell></row><row r="927"><cell r="K927" t="str"><v>July</v></cell><cell r="L927"><v>43295</v></cell><cell r="M927" t="str"><v>Tier 1</v></cell><cell r="N927" t="str"><v>North America</v></cell><cell r="O927" t="str"><v>Canada</v></cell><cell r="P927" t="str"><v>Trial</v></cell><cell r="Q927" t="str"><v>Social</v></cell><cell r="R927" t="str"><v>Azure</v></cell><cell r="S927" t="str"><v>Apps & Infra</v></cell><cell r="T927" t="str"><v>Developers & ITI's</v></cell><cell r="U927" t="str"><v>AZR</v></cell><cell r="V927" t="str"><v>Retargeting</v></cell><cell r="W927" t="str"><v>NotApplicable</v></cell><cell r="X927" t="str"><v>1x1</v></cell></row><row r="927"><cell r="AA927"><v>43289</v></cell><cell r="AB927" t="str"><v>CAN_gaPMG_AZR_AZR_Q1_19_Trial-Social</v></cell><cell r="AC927"><v>21337220</v></cell><cell r="AD927"><v>720192</v></cell><cell r="AE927" t="str"><v>Facebook</v></cell><cell r="AF927"><v>3654128</v></cell><cell r="AG927" t="str"><v>Facebook»AZR»1x1»SocialBan»NA»ALL»DYN»RT»D»All»SS»NA»Free Account Retargeting VM - T2 - EN</v></cell><cell r="AH927"><v>223691822</v></cell><cell r="AI927" t="str"><v>AzurePlatform_FreeAcctRetargetingVMFB-OnDemand-ChE_CAN_1200x628_SOC_Plat_EN_Free Account_Standard_NA_SU_T2_1</v></cell><cell r="AJ927"><v>103058708</v></cell></row><row r="928"><cell r="C928" t="str"><v>43289Facebook»AZR»1x1»SocialBan»NA»ALL»DYN»RT»D»All»SS»NA»Free Account Retargeting VM - T2 - FR</v></cell><cell r="D928" t="str"><v>43289223691780</v></cell><cell r="E928" t="str"><v>432891030587262 - FR</v></cell><cell r="F928" t="str"><v>DCM</v></cell><cell r="G928" t="str"><v>https://azure.microsoft.com/fr-ca/free/virtual-machines/search/</v></cell></row><row r="928"><cell r="K928" t="str"><v>July</v></cell><cell r="L928"><v>43295</v></cell><cell r="M928" t="str"><v>Tier 1</v></cell><cell r="N928" t="str"><v>North America</v></cell><cell r="O928" t="str"><v>Canada</v></cell><cell r="P928" t="str"><v>Trial</v></cell><cell r="Q928" t="str"><v>Social</v></cell><cell r="R928" t="str"><v>Azure</v></cell><cell r="S928" t="str"><v>Apps & Infra</v></cell><cell r="T928" t="str"><v>Developers & ITI's</v></cell><cell r="U928" t="str"><v>AZR</v></cell><cell r="V928" t="str"><v>Retargeting</v></cell><cell r="W928" t="str"><v>NotApplicable</v></cell><cell r="X928" t="str"><v>1x1</v></cell></row><row r="928"><cell r="AA928"><v>43289</v></cell><cell r="AB928" t="str"><v>CAN_gaPMG_AZR_AZR_Q1_19_Trial-Social</v></cell><cell r="AC928"><v>21337220</v></cell><cell r="AD928"><v>720192</v></cell><cell r="AE928" t="str"><v>Facebook</v></cell><cell r="AF928"><v>3654128</v></cell><cell r="AG928" t="str"><v>Facebook»AZR»1x1»SocialBan»NA»ALL»DYN»RT»D»All»SS»NA»Free Account Retargeting VM - T2 - FR</v></cell><cell r="AH928"><v>223691780</v></cell><cell r="AI928" t="str"><v>AzurePlatform_FreeAcctRetargetingVMFB-OnDemand-ChE_CAN_1200x628_SOC_Plat_FR_Free Account_Standard_NA_SU_T2_1</v></cell><cell r="AJ928"><v>103058726</v></cell></row><row r="929"><cell r="C929" t="str"><v>43289Facebook»DEV-ITP-AZR-FB|CanvasAds|Interesttargeting»1x1»TextLink»CAN»DT»CPM»AUT»W»NA»SS»NA»39684020-11000</v></cell><cell r="D929" t="str"><v>43289224009494</v></cell><cell r="E929" t="str"><v>43289103236186-11000</v></cell><cell r="F929" t="str"><v>DCM</v></cell><cell r="G929" t="str"><v>https://signup.azure.com/signup?offer=ms-azr-0044p&appId=102&ref=paidmedia-social-fb&redirectURL=https%3a%2f%2fazure.microsoft.com%2fde-de%2fget-started%2fwelcome-to-azure%2f&l=de-de&correlationId=ead86c34-1f10-49dd-a72b-6918462a2cbf</v></cell></row><row r="929"><cell r="K929" t="str"><v>July</v></cell><cell r="L929"><v>43295</v></cell><cell r="M929" t="str"><v>Tier 1</v></cell><cell r="N929" t="str"><v>EMEA</v></cell><cell r="O929" t="str"><v>Germany</v></cell><cell r="P929" t="str"><v>Trial</v></cell><cell r="Q929" t="str"><v>Social</v></cell><cell r="R929" t="str"><v>Azure</v></cell><cell r="S929" t="str"><v>Apps & Infra</v></cell><cell r="T929" t="str"><v>Developers & ITI's</v></cell><cell r="U929" t="str"><v>DEV-ITP-AZR-FB|CanvasAds|Interesttargeting</v></cell><cell r="V929" t="str"><v>Audience Targeting</v></cell><cell r="W929" t="str"><v>Canvas Ad</v></cell><cell r="X929" t="str"><v>1x1</v></cell></row><row r="929"><cell r="AA929"><v>43289</v></cell><cell r="AB929" t="str"><v>DEU_gaPMG_AZR_AZR_Q1_19_Trial-Social- 39684</v></cell><cell r="AC929"><v>21359477</v></cell><cell r="AD929"><v>720194</v></cell><cell r="AE929" t="str"><v>Facebook</v></cell><cell r="AF929"><v>3654128</v></cell><cell r="AG929" t="str"><v>Facebook»DEV-ITP-AZR-FB|CanvasAds|Interesttargeting»1x1»TextLink»CAN»DT»CPM»AUT»W»NA»SS»NA»39684020-11000</v></cell><cell r="AH929"><v>224009494</v></cell><cell r="AI929" t="str"><v>AzurePlatform_FBCTCBasicMotion-StartFreeCT_DEU_10s_ISV_PLAT_DE_Trial_Standard_STAN_TN_T1_1</v></cell><cell r="AJ929"><v>103236186</v></cell></row><row r="930"><cell r="C930" t="str"><v>43289Facebook»DEV-ITP-AZR-FB|CanvasAds|Interesttargeting»1x1»TextLink»CAN»DT»CPM»AUT»W»NA»SS»NA»39684020-11000</v></cell><cell r="D930" t="str"><v>43289224009494</v></cell><cell r="E930" t="str"><v>43289103237290-11000</v></cell><cell r="F930" t="str"><v>DCM</v></cell><cell r="G930" t="str"><v>https://signup.azure.com/signup?offer=ms-azr-0044p&appId=102&ref=paidmedia-social-fb&redirectURL=https%3a%2f%2fazure.microsoft.com%2fde-de%2fget-started%2fwelcome-to-azure%2f&l=de-de&correlationId=ead86c34-1f10-49dd-a72b-6918462a2cbf</v></cell></row><row r="930"><cell r="K930" t="str"><v>July</v></cell><cell r="L930"><v>43295</v></cell><cell r="M930" t="str"><v>Tier 1</v></cell><cell r="N930" t="str"><v>EMEA</v></cell><cell r="O930" t="str"><v>Germany</v></cell><cell r="P930" t="str"><v>Trial</v></cell><cell r="Q930" t="str"><v>Social</v></cell><cell r="R930" t="str"><v>Azure</v></cell><cell r="S930" t="str"><v>Apps & Infra</v></cell><cell r="T930" t="str"><v>Developers & ITI's</v></cell><cell r="U930" t="str"><v>DEV-ITP-AZR-FB|CanvasAds|Interesttargeting</v></cell><cell r="V930" t="str"><v>Audience Targeting</v></cell><cell r="W930" t="str"><v>Canvas Ad</v></cell><cell r="X930" t="str"><v>1x1</v></cell></row><row r="930"><cell r="AA930"><v>43289</v></cell><cell r="AB930" t="str"><v>DEU_gaPMG_AZR_AZR_Q1_19_Trial-Social- 39684</v></cell><cell r="AC930"><v>21359477</v></cell><cell r="AD930"><v>720194</v></cell><cell r="AE930" t="str"><v>Facebook</v></cell><cell r="AF930"><v>3654128</v></cell><cell r="AG930" t="str"><v>Facebook»DEV-ITP-AZR-FB|CanvasAds|Interesttargeting»1x1»TextLink»CAN»DT»CPM»AUT»W»NA»SS»NA»39684020-11000</v></cell><cell r="AH930"><v>224009494</v></cell><cell r="AI930" t="str"><v>AzurePlatform_FBCTCBenefit2inMotion-StartFreeCT_DEU_14s_ISV_PLAT_DE_Trial_Standard_STAN_TN_T4_1</v></cell><cell r="AJ930"><v>103237290</v></cell></row><row r="931"><cell r="C931" t="str"><v>43289Facebook»DEV-ITP-AZR-FB|CanvasAds|Interesttargeting»1x1»TextLink»CAN»DT»CPM»AUT»W»NA»SS»NA»39684020-11000</v></cell><cell r="D931" t="str"><v>43289224009494</v></cell><cell r="E931" t="str"><v>43289103350059-11000</v></cell><cell r="F931" t="str"><v>DCM</v></cell><cell r="G931" t="str"><v>https://azure.microsoft.com/de-de/pricing/purchase-options/</v></cell></row><row r="931"><cell r="K931" t="str"><v>July</v></cell><cell r="L931"><v>43295</v></cell><cell r="M931" t="str"><v>Tier 1</v></cell><cell r="N931" t="str"><v>EMEA</v></cell><cell r="O931" t="str"><v>Germany</v></cell><cell r="P931" t="str"><v>Trial</v></cell><cell r="Q931" t="str"><v>Social</v></cell><cell r="R931" t="str"><v>Azure</v></cell><cell r="S931" t="str"><v>Apps & Infra</v></cell><cell r="T931" t="str"><v>Developers & ITI's</v></cell><cell r="U931" t="str"><v>DEV-ITP-AZR-FB|CanvasAds|Interesttargeting</v></cell><cell r="V931" t="str"><v>Audience Targeting</v></cell><cell r="W931" t="str"><v>Canvas Ad</v></cell><cell r="X931" t="str"><v>1x1</v></cell></row><row r="931"><cell r="AA931"><v>43289</v></cell><cell r="AB931" t="str"><v>DEU_gaPMG_AZR_AZR_Q1_19_Trial-Social- 39684</v></cell><cell r="AC931"><v>21359477</v></cell><cell r="AD931"><v>720194</v></cell><cell r="AE931" t="str"><v>Facebook</v></cell><cell r="AF931"><v>3654128</v></cell><cell r="AG931" t="str"><v>Facebook»DEV-ITP-AZR-FB|CanvasAds|Interesttargeting»1x1»TextLink»CAN»DT»CPM»AUT»W»NA»SS»NA»39684020-11000</v></cell><cell r="AH931"><v>224009494</v></cell><cell r="AI931" t="str"><v>AzurePlatform_FBCTCBrandinMotion-BuyNow_DEU_12s_ISV_PLAT_DE_Trial_Standard_STAN_TN_T2_1</v></cell><cell r="AJ931"><v>103350059</v></cell></row><row r="932"><cell r="C932" t="str"><v>43289Facebook»DEV-ITP-AZR-FB|CanvasAds|Interesttargeting»1x1»TextLink»CAN»DT»CPM»AUT»W»NA»SS»NA»39684020-11000</v></cell><cell r="D932" t="str"><v>43289224009494</v></cell><cell r="E932" t="str"><v>43289103237293-11000</v></cell><cell r="F932" t="str"><v>DCM</v></cell><cell r="G932" t="str"><v>https://signup.azure.com/signup?offer=ms-azr-0044p&appId=102&ref=paidmedia-social-fb&redirectURL=https%3a%2f%2fazure.microsoft.com%2fde-de%2fget-started%2fwelcome-to-azure%2f&l=de-de&correlationId=ead86c34-1f10-49dd-a72b-6918462a2cbf</v></cell></row><row r="932"><cell r="K932" t="str"><v>July</v></cell><cell r="L932"><v>43295</v></cell><cell r="M932" t="str"><v>Tier 1</v></cell><cell r="N932" t="str"><v>EMEA</v></cell><cell r="O932" t="str"><v>Germany</v></cell><cell r="P932" t="str"><v>Trial</v></cell><cell r="Q932" t="str"><v>Social</v></cell><cell r="R932" t="str"><v>Azure</v></cell><cell r="S932" t="str"><v>Apps & Infra</v></cell><cell r="T932" t="str"><v>Developers & ITI's</v></cell><cell r="U932" t="str"><v>DEV-ITP-AZR-FB|CanvasAds|Interesttargeting</v></cell><cell r="V932" t="str"><v>Audience Targeting</v></cell><cell r="W932" t="str"><v>Canvas Ad</v></cell><cell r="X932" t="str"><v>1x1</v></cell></row><row r="932"><cell r="AA932"><v>43289</v></cell><cell r="AB932" t="str"><v>DEU_gaPMG_AZR_AZR_Q1_19_Trial-Social- 39684</v></cell><cell r="AC932"><v>21359477</v></cell><cell r="AD932"><v>720194</v></cell><cell r="AE932" t="str"><v>Facebook</v></cell><cell r="AF932"><v>3654128</v></cell><cell r="AG932" t="str"><v>Facebook»DEV-ITP-AZR-FB|CanvasAds|Interesttargeting»1x1»TextLink»CAN»DT»CPM»AUT»W»NA»SS»NA»39684020-11000</v></cell><cell r="AH932"><v>224009494</v></cell><cell r="AI932" t="str"><v>AzurePlatform_FBCTCBrandinMotion-StartFreeCT_DEU_12s_ISV_PLAT_DE_Trial_Standard_STAN_TN_T2_1</v></cell><cell r="AJ932"><v>103237293</v></cell></row><row r="933"><cell r="C933" t="str"><v>43289Facebook»DEV-ITP-AZR-FB|LinkAd|CustomerAudienceRetargeting»1x1»TextLink»LIA»DT»CPM»RT»W»NA»SS»NA»39684019-11000</v></cell><cell r="D933" t="str"><v>43289224010415</v></cell><cell r="E933" t="str"><v>43289103040320-11000</v></cell><cell r="F933" t="str"><v>DCM</v></cell><cell r="G933" t="str"><v>https://azure.microsoft.com/de-de/free/search/</v></cell></row><row r="933"><cell r="K933" t="str"><v>July</v></cell><cell r="L933"><v>43295</v></cell><cell r="M933" t="str"><v>Tier 1</v></cell><cell r="N933" t="str"><v>EMEA</v></cell><cell r="O933" t="str"><v>Germany</v></cell><cell r="P933" t="str"><v>Trial</v></cell><cell r="Q933" t="str"><v>Social</v></cell><cell r="R933" t="str"><v>Azure</v></cell><cell r="S933" t="str"><v>Apps & Infra</v></cell><cell r="T933" t="str"><v>Developers & ITI's</v></cell><cell r="U933" t="str"><v>DEV-ITP-AZR-FB|LinkAd|CustomerAudienceRetargeting</v></cell><cell r="V933" t="str"><v>Retargeting</v></cell><cell r="W933" t="str"><v>Link Ad</v></cell><cell r="X933" t="str"><v>1x1</v></cell></row><row r="933"><cell r="AA933"><v>43289</v></cell><cell r="AB933" t="str"><v>DEU_gaPMG_AZR_AZR_Q1_19_Trial-Social- 39684</v></cell><cell r="AC933"><v>21359477</v></cell><cell r="AD933"><v>720194</v></cell><cell r="AE933" t="str"><v>Facebook</v></cell><cell r="AF933"><v>3654128</v></cell><cell r="AG933" t="str"><v>Facebook»DEV-ITP-AZR-FB|LinkAd|CustomerAudienceRetargeting»1x1»TextLink»LIA»DT»CPM»RT»W»NA»SS»NA»39684019-11000</v></cell><cell r="AH933"><v>224010415</v></cell><cell r="AI933" t="str"><v>AzurePlatform_FreeAcctRetargetingFB-GlobalAlt-ChB_DEU_1200x628_SOC_Plat_DE_Free Account_Standard_NA_SNU_T2_1</v></cell><cell r="AJ933"><v>103040320</v></cell></row><row r="934"><cell r="C934" t="str"><v>43289Facebook»DEV-ITP-AZR-FB|LinkAd|CustomerAudienceRetargeting»1x1»TextLink»LIA»DT»CPM»RT»W»NA»SS»NA»39684019-11000</v></cell><cell r="D934" t="str"><v>43289224010415</v></cell><cell r="E934" t="str"><v>43289103043329-11000</v></cell><cell r="F934" t="str"><v>DCM</v></cell><cell r="G934" t="str"><v>https://azure.microsoft.com/de-de/free/open-source/search/</v></cell></row><row r="934"><cell r="K934" t="str"><v>July</v></cell><cell r="L934"><v>43295</v></cell><cell r="M934" t="str"><v>Tier 1</v></cell><cell r="N934" t="str"><v>EMEA</v></cell><cell r="O934" t="str"><v>Germany</v></cell><cell r="P934" t="str"><v>Trial</v></cell><cell r="Q934" t="str"><v>Social</v></cell><cell r="R934" t="str"><v>Azure</v></cell><cell r="S934" t="str"><v>Apps & Infra</v></cell><cell r="T934" t="str"><v>Developers & ITI's</v></cell><cell r="U934" t="str"><v>DEV-ITP-AZR-FB|LinkAd|CustomerAudienceRetargeting</v></cell><cell r="V934" t="str"><v>Retargeting</v></cell><cell r="W934" t="str"><v>Link Ad</v></cell><cell r="X934" t="str"><v>1x1</v></cell></row><row r="934"><cell r="AA934"><v>43289</v></cell><cell r="AB934" t="str"><v>DEU_gaPMG_AZR_AZR_Q1_19_Trial-Social- 39684</v></cell><cell r="AC934"><v>21359477</v></cell><cell r="AD934"><v>720194</v></cell><cell r="AE934" t="str"><v>Facebook</v></cell><cell r="AF934"><v>3654128</v></cell><cell r="AG934" t="str"><v>Facebook»DEV-ITP-AZR-FB|LinkAd|CustomerAudienceRetargeting»1x1»TextLink»LIA»DT»CPM»RT»W»NA»SS»NA»39684019-11000</v></cell><cell r="AH934"><v>224010415</v></cell><cell r="AI934" t="str"><v>AzurePlatform_FreeAcctRetargetingOSSFB-Logos-ChG_DEU_1200x628_SOC_Plat_DE_Free Account_Standard_NA_SNU_T2_1</v></cell><cell r="AJ934"><v>103043329</v></cell></row><row r="935"><cell r="C935" t="str"><v>43289Facebook»DEV-ITP-AZR-FB|LinkAd|CustomerAudienceRetargeting»1x1»TextLink»LIA»DT»CPM»RT»W»NA»SS»NA»39684019-11000</v></cell><cell r="D935" t="str"><v>43289224010415</v></cell><cell r="E935" t="str"><v>43289103055394-11000</v></cell><cell r="F935" t="str"><v>DCM</v></cell><cell r="G935" t="str"><v>https://azure.microsoft.com/de-de/free/open-source/search/</v></cell></row><row r="935"><cell r="K935" t="str"><v>July</v></cell><cell r="L935"><v>43295</v></cell><cell r="M935" t="str"><v>Tier 1</v></cell><cell r="N935" t="str"><v>EMEA</v></cell><cell r="O935" t="str"><v>Germany</v></cell><cell r="P935" t="str"><v>Trial</v></cell><cell r="Q935" t="str"><v>Social</v></cell><cell r="R935" t="str"><v>Azure</v></cell><cell r="S935" t="str"><v>Apps & Infra</v></cell><cell r="T935" t="str"><v>Developers & ITI's</v></cell><cell r="U935" t="str"><v>DEV-ITP-AZR-FB|LinkAd|CustomerAudienceRetargeting</v></cell><cell r="V935" t="str"><v>Retargeting</v></cell><cell r="W935" t="str"><v>Link Ad</v></cell><cell r="X935" t="str"><v>1x1</v></cell></row><row r="935"><cell r="AA935"><v>43289</v></cell><cell r="AB935" t="str"><v>DEU_gaPMG_AZR_AZR_Q1_19_Trial-Social- 39684</v></cell><cell r="AC935"><v>21359477</v></cell><cell r="AD935"><v>720194</v></cell><cell r="AE935" t="str"><v>Facebook</v></cell><cell r="AF935"><v>3654128</v></cell><cell r="AG935" t="str"><v>Facebook»DEV-ITP-AZR-FB|LinkAd|CustomerAudienceRetargeting»1x1»TextLink»LIA»DT»CPM»RT»W»NA»SS»NA»39684019-11000</v></cell><cell r="AH935"><v>224010415</v></cell><cell r="AI935" t="str"><v>AzurePlatform_FreeAcctRetargetingOSSFB-Text-ChF_DEU_1200x628_SOC_Plat_DE_Free Account_Standard_NA_SNU_T1_1</v></cell><cell r="AJ935"><v>103055394</v></cell></row><row r="936"><cell r="C936" t="str"><v>43289Facebook»DEV-ITP-AZR-FB|LinkAd|CustomerAudienceRetargeting»1x1»TextLink»LIA»DT»CPM»RT»W»NA»SS»NA»39684019-11000</v></cell><cell r="D936" t="str"><v>43289224010415</v></cell><cell r="E936" t="str"><v>43289103043341-11000</v></cell><cell r="F936" t="str"><v>DCM</v></cell><cell r="G936" t="str"><v>https://azure.microsoft.com/de-de/free/virtual-machines/search/</v></cell></row><row r="936"><cell r="K936" t="str"><v>July</v></cell><cell r="L936"><v>43295</v></cell><cell r="M936" t="str"><v>Tier 1</v></cell><cell r="N936" t="str"><v>EMEA</v></cell><cell r="O936" t="str"><v>Germany</v></cell><cell r="P936" t="str"><v>Trial</v></cell><cell r="Q936" t="str"><v>Social</v></cell><cell r="R936" t="str"><v>Azure</v></cell><cell r="S936" t="str"><v>Apps & Infra</v></cell><cell r="T936" t="str"><v>Developers & ITI's</v></cell><cell r="U936" t="str"><v>DEV-ITP-AZR-FB|LinkAd|CustomerAudienceRetargeting</v></cell><cell r="V936" t="str"><v>Retargeting</v></cell><cell r="W936" t="str"><v>Link Ad</v></cell><cell r="X936" t="str"><v>1x1</v></cell></row><row r="936"><cell r="AA936"><v>43289</v></cell><cell r="AB936" t="str"><v>DEU_gaPMG_AZR_AZR_Q1_19_Trial-Social- 39684</v></cell><cell r="AC936"><v>21359477</v></cell><cell r="AD936"><v>720194</v></cell><cell r="AE936" t="str"><v>Facebook</v></cell><cell r="AF936"><v>3654128</v></cell><cell r="AG936" t="str"><v>Facebook»DEV-ITP-AZR-FB|LinkAd|CustomerAudienceRetargeting»1x1»TextLink»LIA»DT»CPM»RT»W»NA»SS»NA»39684019-11000</v></cell><cell r="AH936"><v>224010415</v></cell><cell r="AI936" t="str"><v>AzurePlatform_FreeAcctRetargetingVMFB-750Hrs-ChD_DEU_1200x628_SOC_Plat_DE_Free Account_Standard_NA_SNU_T1_1</v></cell><cell r="AJ936"><v>103043341</v></cell></row><row r="937"><cell r="C937" t="str"><v>43289Facebook»DEV-ITP-AZR-FB|LinkAd|CustomerAudienceRetargeting»1x1»TextLink»LIA»DT»CPM»RT»W»NA»SS»NA»39684019-11000</v></cell><cell r="D937" t="str"><v>43289224010415</v></cell><cell r="E937" t="str"><v>43289103043338-11000</v></cell><cell r="F937" t="str"><v>DCM</v></cell><cell r="G937" t="str"><v>https://azure.microsoft.com/de-de/free/virtual-machines/search/</v></cell></row><row r="937"><cell r="K937" t="str"><v>July</v></cell><cell r="L937"><v>43295</v></cell><cell r="M937" t="str"><v>Tier 1</v></cell><cell r="N937" t="str"><v>EMEA</v></cell><cell r="O937" t="str"><v>Germany</v></cell><cell r="P937" t="str"><v>Trial</v></cell><cell r="Q937" t="str"><v>Social</v></cell><cell r="R937" t="str"><v>Azure</v></cell><cell r="S937" t="str"><v>Apps & Infra</v></cell><cell r="T937" t="str"><v>Developers & ITI's</v></cell><cell r="U937" t="str"><v>DEV-ITP-AZR-FB|LinkAd|CustomerAudienceRetargeting</v></cell><cell r="V937" t="str"><v>Retargeting</v></cell><cell r="W937" t="str"><v>Link Ad</v></cell><cell r="X937" t="str"><v>1x1</v></cell></row><row r="937"><cell r="AA937"><v>43289</v></cell><cell r="AB937" t="str"><v>DEU_gaPMG_AZR_AZR_Q1_19_Trial-Social- 39684</v></cell><cell r="AC937"><v>21359477</v></cell><cell r="AD937"><v>720194</v></cell><cell r="AE937" t="str"><v>Facebook</v></cell><cell r="AF937"><v>3654128</v></cell><cell r="AG937" t="str"><v>Facebook»DEV-ITP-AZR-FB|LinkAd|CustomerAudienceRetargeting»1x1»TextLink»LIA»DT»CPM»RT»W»NA»SS»NA»39684019-11000</v></cell><cell r="AH937"><v>224010415</v></cell><cell r="AI937" t="str"><v>AzurePlatform_FreeAcctRetargetingVMFB-OnDemand-ChE_DEU_1200x628_SOC_Plat_DE_Free Account_Standard_NA_SNU_T2_1</v></cell><cell r="AJ937"><v>103043338</v></cell></row><row r="938"><cell r="C938" t="str"><v>43289Facebook»Developers/ITPros-Azure Direct-Sponsored Post-Canvas-FBCTCcanvaspage-BuyNowCTA-Img3_FBCTCBasicMotion_FRA_10sec»1x1»Canvas»SOC»ALL»CPC»BT»D»UNK»SS»NA»Trials</v></cell><cell r="D938" t="str"><v>43289224369893</v></cell><cell r="E938" t="str"><v>43289103256571Trials</v></cell><cell r="F938" t="str"><v>DCM</v></cell><cell r="G938" t="str"><v>https://azure.microsoft.com/fr-fr/pricing/purchase-options/</v></cell></row><row r="938"><cell r="K938" t="str"><v>July</v></cell><cell r="L938"><v>43295</v></cell><cell r="M938" t="str"><v>Tier 1</v></cell><cell r="N938" t="str"><v>EMEA</v></cell><cell r="O938" t="str"><v>France</v></cell><cell r="P938" t="str"><v>Trial</v></cell><cell r="Q938" t="str"><v>Social</v></cell><cell r="R938" t="str"><v>Azure</v></cell><cell r="S938" t="str"><v>Apps & Infra</v></cell><cell r="T938" t="str"><v>Developers & ITI's</v></cell><cell r="U938" t="str"><v>Developers/ITPros-Azure Direct-Sponsored Post-Canvas-FBCTCcanvaspage-BuyNowCTA-Img3_FBCTCBasicMotion_FRA_10sec</v></cell><cell r="V938" t="str"><v>Behavioral Targeting</v></cell><cell r="W938" t="str"><v>Social</v></cell><cell r="X938" t="str"><v>1x1</v></cell></row><row r="938"><cell r="AA938"><v>43289</v></cell><cell r="AB938" t="str"><v>FRA_gaPMG_AZR_AZR_Q1_19_AzureDirect-Trial-Social</v></cell><cell r="AC938"><v>21356941</v></cell><cell r="AD938"><v>720193</v></cell><cell r="AE938" t="str"><v>Facebook</v></cell><cell r="AF938"><v>3654128</v></cell><cell r="AG938" t="str"><v>Facebook»Developers/ITPros-Azure Direct-Sponsored Post-Canvas-FBCTCcanvaspage-BuyNowCTA-Img3_FBCTCBasicMotion_FRA_10sec»1x1»Canvas»SOC»ALL»CPC»BT»D»UNK»SS»NA»Trials</v></cell><cell r="AH938"><v>224369893</v></cell><cell r="AI938" t="str"><v>AZR_FBCTCcanvaspage-BuyNowCTA-Img3_FRA_1080x162_SOC_AZRDirect_French_NA_Facebook_SBAN_BN_T3_1</v></cell><cell r="AJ938"><v>103256571</v></cell></row><row r="939"><cell r="C939" t="str"><v>43289Facebook»Developers/ITPros-Azure Direct-Sponsored Post-Canvas-FBCTCcanvaspage-BuyNowCTA-Img3_FBCTCBrandinMotion_FRA_14sec»1x1»Canvas»SOC»ALL»CPC»BT»D»UNK»SS»NA»Trials</v></cell><cell r="D939" t="str"><v>43289224416918</v></cell><cell r="E939" t="str"><v>43289103256571Trials</v></cell><cell r="F939" t="str"><v>DCM</v></cell><cell r="G939" t="str"><v>https://azure.microsoft.com/fr-fr/pricing/purchase-options/</v></cell></row><row r="939"><cell r="K939" t="str"><v>July</v></cell><cell r="L939"><v>43295</v></cell><cell r="M939" t="str"><v>Tier 1</v></cell><cell r="N939" t="str"><v>EMEA</v></cell><cell r="O939" t="str"><v>France</v></cell><cell r="P939" t="str"><v>Trial</v></cell><cell r="Q939" t="str"><v>Social</v></cell><cell r="R939" t="str"><v>Azure</v></cell><cell r="S939" t="str"><v>Apps & Infra</v></cell><cell r="T939" t="str"><v>Developers & ITI's</v></cell><cell r="U939" t="str"><v>Developers/ITPros-Azure Direct-Sponsored Post-Canvas-FBCTCcanvaspage-BuyNowCTA-Img3_FBCTCBrandinMotion_FRA_14sec</v></cell><cell r="V939" t="str"><v>Behavioral Targeting</v></cell><cell r="W939" t="str"><v>Social</v></cell><cell r="X939" t="str"><v>1x1</v></cell></row><row r="939"><cell r="AA939"><v>43289</v></cell><cell r="AB939" t="str"><v>FRA_gaPMG_AZR_AZR_Q1_19_AzureDirect-Trial-Social</v></cell><cell r="AC939"><v>21356941</v></cell><cell r="AD939"><v>720193</v></cell><cell r="AE939" t="str"><v>Facebook</v></cell><cell r="AF939"><v>3654128</v></cell><cell r="AG939" t="str"><v>Facebook»Developers/ITPros-Azure Direct-Sponsored Post-Canvas-FBCTCcanvaspage-BuyNowCTA-Img3_FBCTCBrandinMotion_FRA_14sec»1x1»Canvas»SOC»ALL»CPC»BT»D»UNK»SS»NA»Trials</v></cell><cell r="AH939"><v>224416918</v></cell><cell r="AI939" t="str"><v>AZR_FBCTCcanvaspage-BuyNowCTA-Img3_FRA_1080x162_SOC_AZRDirect_French_NA_Facebook_SBAN_BN_T3_1</v></cell><cell r="AJ939"><v>103256571</v></cell></row><row r="940"><cell r="C940" t="str"><v>43289Facebook»Developers/ITPros-Azure Direct-Sponsored Post-Canvas-FBCTCcanvaspage-StartFreeCTA-Img2_FBCTCBasicMotion_FRA_10sec»1x1»Canvas»SOC»ALL»CPC»BT»D»UNK»SS»NA»Trials</v></cell><cell r="D940" t="str"><v>43289224560884</v></cell><cell r="E940" t="str"><v>43289103259958Trials</v></cell><cell r="F940" t="str"><v>DCM</v></cell><cell r="G940" t="str"><v>https://signup.azure.com/signup?offer=ms-azr-0044p&appId=102&ref=paidmedia-social-fb&redirectURL=https%3a%2f%2fazure.microsoft.com%2ffr-fr%2fget-started%2fwelcome-to-azure%2f&l=fr-fr&correlationId=ead86c34-1f10-49dd-a72b-6918462a2cbf</v></cell></row><row r="940"><cell r="K940" t="str"><v>July</v></cell><cell r="L940"><v>43295</v></cell><cell r="M940" t="str"><v>Tier 1</v></cell><cell r="N940" t="str"><v>EMEA</v></cell><cell r="O940" t="str"><v>France</v></cell><cell r="P940" t="str"><v>Trial</v></cell><cell r="Q940" t="str"><v>Social</v></cell><cell r="R940" t="str"><v>Azure</v></cell><cell r="S940" t="str"><v>Apps & Infra</v></cell><cell r="T940" t="str"><v>Developers & ITI's</v></cell><cell r="U940" t="str"><v>Developers/ITPros-Azure Direct-Sponsored Post-Canvas-FBCTCcanvaspage-StartFreeCTA-Img2_FBCTCBasicMotion_FRA_10sec</v></cell><cell r="V940" t="str"><v>Behavioral Targeting</v></cell><cell r="W940" t="str"><v>Social</v></cell><cell r="X940" t="str"><v>1x1</v></cell></row><row r="940"><cell r="AA940"><v>43289</v></cell><cell r="AB940" t="str"><v>FRA_gaPMG_AZR_AZR_Q1_19_AzureDirect-Trial-Social</v></cell><cell r="AC940"><v>21356941</v></cell><cell r="AD940"><v>720193</v></cell><cell r="AE940" t="str"><v>Facebook</v></cell><cell r="AF940"><v>3654128</v></cell><cell r="AG940" t="str"><v>Facebook»Developers/ITPros-Azure Direct-Sponsored Post-Canvas-FBCTCcanvaspage-StartFreeCTA-Img2_FBCTCBasicMotion_FRA_10sec»1x1»Canvas»SOC»ALL»CPC»BT»D»UNK»SS»NA»Trials</v></cell><cell r="AH940"><v>224560884</v></cell><cell r="AI940" t="str"><v>AZR_FBCTCcanvaspage-StartFreeCTA-Img2_FRA_1080x143_SOC_AZRDirect_French_NA_Facebook_SBAN_BN_T2_1</v></cell><cell r="AJ940"><v>103259958</v></cell></row><row r="941"><cell r="C941" t="str"><v>43289Facebook»Developers/ITPros-Azure Direct-Sponsored Post-Canvas-FBCTCcanvaspage-StartFreeCTA-Img2_FBCTCBrandinMotion_FRA_14sec»1x1»Canvas»SOC»ALL»CPC»BT»D»UNK»SS»NA»Trials</v></cell><cell r="D941" t="str"><v>43289224560872</v></cell><cell r="E941" t="str"><v>43289103259958Trials</v></cell><cell r="F941" t="str"><v>DCM</v></cell><cell r="G941" t="str"><v>https://signup.azure.com/signup?offer=ms-azr-0044p&appId=102&ref=paidmedia-social-fb&redirectURL=https%3a%2f%2fazure.microsoft.com%2ffr-fr%2fget-started%2fwelcome-to-azure%2f&l=fr-fr&correlationId=ead86c34-1f10-49dd-a72b-6918462a2cbf</v></cell></row><row r="941"><cell r="K941" t="str"><v>July</v></cell><cell r="L941"><v>43295</v></cell><cell r="M941" t="str"><v>Tier 1</v></cell><cell r="N941" t="str"><v>EMEA</v></cell><cell r="O941" t="str"><v>France</v></cell><cell r="P941" t="str"><v>Trial</v></cell><cell r="Q941" t="str"><v>Social</v></cell><cell r="R941" t="str"><v>Azure</v></cell><cell r="S941" t="str"><v>Apps & Infra</v></cell><cell r="T941" t="str"><v>Developers & ITI's</v></cell><cell r="U941" t="str"><v>Developers/ITPros-Azure Direct-Sponsored Post-Canvas-FBCTCcanvaspage-StartFreeCTA-Img2_FBCTCBrandinMotion_FRA_14sec</v></cell><cell r="V941" t="str"><v>Behavioral Targeting</v></cell><cell r="W941" t="str"><v>Social</v></cell><cell r="X941" t="str"><v>1x1</v></cell></row><row r="941"><cell r="AA941"><v>43289</v></cell><cell r="AB941" t="str"><v>FRA_gaPMG_AZR_AZR_Q1_19_AzureDirect-Trial-Social</v></cell><cell r="AC941"><v>21356941</v></cell><cell r="AD941"><v>720193</v></cell><cell r="AE941" t="str"><v>Facebook</v></cell><cell r="AF941"><v>3654128</v></cell><cell r="AG941" t="str"><v>Facebook»Developers/ITPros-Azure Direct-Sponsored Post-Canvas-FBCTCcanvaspage-StartFreeCTA-Img2_FBCTCBrandinMotion_FRA_14sec»1x1»Canvas»SOC»ALL»CPC»BT»D»UNK»SS»NA»Trials</v></cell><cell r="AH941"><v>224560872</v></cell><cell r="AI941" t="str"><v>AZR_FBCTCcanvaspage-StartFreeCTA-Img2_FRA_1080x143_SOC_AZRDirect_French_NA_Facebook_SBAN_BN_T2_1</v></cell><cell r="AJ941"><v>103259958</v></cell></row><row r="942"><cell r="C942" t="str"><v>43289Facebook»Developers/ITPros-Azure Direct-Sponsored Post-Link Ad-FreeAcctRetargetingFB-GlobalAlt-ChB»1x1»SocialBan»SOC»ALL»CPC»BT»D»UNK»SS»NA»Trials</v></cell><cell r="D942" t="str"><v>43289224560845</v></cell><cell r="E942" t="str"><v>43289103259520Trials</v></cell><cell r="F942" t="str"><v>DCM</v></cell><cell r="G942" t="str"><v>https://azure.microsoft.com/fr-fr/free/search/</v></cell></row><row r="942"><cell r="K942" t="str"><v>July</v></cell><cell r="L942"><v>43295</v></cell><cell r="M942" t="str"><v>Tier 1</v></cell><cell r="N942" t="str"><v>EMEA</v></cell><cell r="O942" t="str"><v>France</v></cell><cell r="P942" t="str"><v>Trial</v></cell><cell r="Q942" t="str"><v>Social</v></cell><cell r="R942" t="str"><v>Azure</v></cell><cell r="S942" t="str"><v>Apps & Infra</v></cell><cell r="T942" t="str"><v>Developers & ITI's</v></cell><cell r="U942" t="str"><v>Developers/ITPros-Azure Direct-Sponsored Post-Link Ad-FreeAcctRetargetingFB-GlobalAlt-ChB</v></cell><cell r="V942" t="str"><v>Behavioral Targeting</v></cell><cell r="W942" t="str"><v>Social</v></cell><cell r="X942" t="str"><v>1x1</v></cell></row><row r="942"><cell r="AA942"><v>43289</v></cell><cell r="AB942" t="str"><v>FRA_gaPMG_AZR_AZR_Q1_19_AzureDirect-Trial-Social</v></cell><cell r="AC942"><v>21356941</v></cell><cell r="AD942"><v>720193</v></cell><cell r="AE942" t="str"><v>Facebook</v></cell><cell r="AF942"><v>3654128</v></cell><cell r="AG942" t="str"><v>Facebook»Developers/ITPros-Azure Direct-Sponsored Post-Link Ad-FreeAcctRetargetingFB-GlobalAlt-ChB»1x1»SocialBan»SOC»ALL»CPC»BT»D»UNK»SS»NA»Trials</v></cell><cell r="AH942"><v>224560845</v></cell><cell r="AI942" t="str"><v>AZR_FreeAcctRetargetingFB-GlobalAlt-ChB_FRA_1200x628_SOC_AZRDirect_French_NA_Facebook_SBAN_SINU_T2_1</v></cell><cell r="AJ942"><v>103259520</v></cell></row><row r="943"><cell r="C943" t="str"><v>43289Facebook»Developers/ITPros-Azure Direct-Sponsored Post-Video Ad-FBCTCBasicMotion_FRA_10s_RTG Landing Page»1x1»05s»SOC»ALL»CPC»BT»D»UNK»SS»NA»Trials</v></cell><cell r="D943" t="str"><v>43289224416915</v></cell><cell r="E943" t="str"><v>43289103376981Trials</v></cell><cell r="F943" t="str"><v>DCM</v></cell></row><row r="943"><cell r="K943" t="str"><v>July</v></cell><cell r="L943"><v>43295</v></cell><cell r="M943" t="str"><v>Tier 1</v></cell><cell r="N943" t="str"><v>EMEA</v></cell><cell r="O943" t="str"><v>France</v></cell><cell r="P943" t="str"><v>Trial</v></cell><cell r="Q943" t="str"><v>Social</v></cell><cell r="R943" t="str"><v>Azure</v></cell><cell r="S943" t="str"><v>Apps & Infra</v></cell><cell r="T943" t="str"><v>Developers & ITI's</v></cell><cell r="U943" t="str"><v>Developers/ITPros-Azure Direct-Sponsored Post-Video Ad-FBCTCBasicMotion_FRA_10s_RTG Landing Page</v></cell><cell r="V943" t="str"><v>Behavioral Targeting</v></cell><cell r="W943" t="str"><v>Social</v></cell><cell r="X943" t="str"><v>1x1</v></cell></row><row r="943"><cell r="AA943"><v>43289</v></cell><cell r="AB943" t="str"><v>FRA_gaPMG_AZR_AZR_Q1_19_AzureDirect-Trial-Social</v></cell><cell r="AC943"><v>21356941</v></cell><cell r="AD943"><v>720193</v></cell><cell r="AE943" t="str"><v>Facebook</v></cell><cell r="AF943"><v>3654128</v></cell><cell r="AG943" t="str"><v>Facebook»Developers/ITPros-Azure Direct-Sponsored Post-Video Ad-FBCTCBasicMotion_FRA_10s_RTG Landing Page»1x1»05s»SOC»ALL»CPC»BT»D»UNK»SS»NA»Trials</v></cell><cell r="AH943"><v>224416915</v></cell><cell r="AI943" t="str"><v>AZR_FBCTCBasicMotion_FRA_10s_VIA_AZRDirect_French_NA_Facebook_STAN_TIN_T1_1</v></cell><cell r="AJ943"><v>103376981</v></cell></row><row r="944"><cell r="C944" t="str"><v>43289Facebook»Developers/ITPros-Azure Direct-Sponsored Post-Video Ad-FBCTCBenefit2inMotion_FRA_14s_RTG Landing Page»1x1»06s»SOC»ALL»CPC»BT»D»UNK»SS»NA»Trials</v></cell><cell r="D944" t="str"><v>43289224560875</v></cell><cell r="E944" t="str"><v>43289103259766Trials</v></cell><cell r="F944" t="str"><v>DCM</v></cell><cell r="G944" t="str"><v>https://signup.azure.com/signup?offer=ms-azr-0044p&appId=102&ref=paidmedia-social-fb&redirectURL=https:%2F%2Fazure.microsoft.com%2Ffr-fr%2Fget-started%2Fwelcome-to-azure%2F&l=fr-fr&correlationId=ead86c34-1f10-49dd-a72b-6918462a2cbf</v></cell></row><row r="944"><cell r="K944" t="str"><v>July</v></cell><cell r="L944"><v>43295</v></cell><cell r="M944" t="str"><v>Tier 1</v></cell><cell r="N944" t="str"><v>EMEA</v></cell><cell r="O944" t="str"><v>France</v></cell><cell r="P944" t="str"><v>Trial</v></cell><cell r="Q944" t="str"><v>Social</v></cell><cell r="R944" t="str"><v>Azure</v></cell><cell r="S944" t="str"><v>Apps & Infra</v></cell><cell r="T944" t="str"><v>Developers & ITI's</v></cell><cell r="U944" t="str"><v>Developers/ITPros-Azure Direct-Sponsored Post-Video Ad-FBCTCBenefit2inMotion_FRA_14s_RTG Landing Page</v></cell><cell r="V944" t="str"><v>Behavioral Targeting</v></cell><cell r="W944" t="str"><v>Social</v></cell><cell r="X944" t="str"><v>1x1</v></cell></row><row r="944"><cell r="AA944"><v>43289</v></cell><cell r="AB944" t="str"><v>FRA_gaPMG_AZR_AZR_Q1_19_AzureDirect-Trial-Social</v></cell><cell r="AC944"><v>21356941</v></cell><cell r="AD944"><v>720193</v></cell><cell r="AE944" t="str"><v>Facebook</v></cell><cell r="AF944"><v>3654128</v></cell><cell r="AG944" t="str"><v>Facebook»Developers/ITPros-Azure Direct-Sponsored Post-Video Ad-FBCTCBenefit2inMotion_FRA_14s_RTG Landing Page»1x1»06s»SOC»ALL»CPC»BT»D»UNK»SS»NA»Trials</v></cell><cell r="AH944"><v>224560875</v></cell><cell r="AI944" t="str"><v>AZR_FBCTCBenefit2inMotion_FRA_14s_VIA_AZRDirect_French_NA_Facebook_STAN_TIN_T4_1</v></cell><cell r="AJ944"><v>103259766</v></cell></row><row r="945"><cell r="C945" t="str"><v>43289Facebook»Developers/ITPros-Azure Direct-Sponsored Post-Video Ad-FBCTCBrandinMotion_FRA_12s_RTG Landing Page»1x1»05s»SOC»ALL»CPC»BT»D»UNK»SS»NA»Trials</v></cell><cell r="D945" t="str"><v>43289224560863</v></cell><cell r="E945" t="str"><v>43289103256577Trials</v></cell><cell r="F945" t="str"><v>DCM</v></cell></row><row r="945"><cell r="K945" t="str"><v>July</v></cell><cell r="L945"><v>43295</v></cell><cell r="M945" t="str"><v>Tier 1</v></cell><cell r="N945" t="str"><v>EMEA</v></cell><cell r="O945" t="str"><v>France</v></cell><cell r="P945" t="str"><v>Trial</v></cell><cell r="Q945" t="str"><v>Social</v></cell><cell r="R945" t="str"><v>Azure</v></cell><cell r="S945" t="str"><v>Apps & Infra</v></cell><cell r="T945" t="str"><v>Developers & ITI's</v></cell><cell r="U945" t="str"><v>Developers/ITPros-Azure Direct-Sponsored Post-Video Ad-FBCTCBrandinMotion_FRA_12s_RTG Landing Page</v></cell><cell r="V945" t="str"><v>Behavioral Targeting</v></cell><cell r="W945" t="str"><v>Social</v></cell><cell r="X945" t="str"><v>1x1</v></cell></row><row r="945"><cell r="AA945"><v>43289</v></cell><cell r="AB945" t="str"><v>FRA_gaPMG_AZR_AZR_Q1_19_AzureDirect-Trial-Social</v></cell><cell r="AC945"><v>21356941</v></cell><cell r="AD945"><v>720193</v></cell><cell r="AE945" t="str"><v>Facebook</v></cell><cell r="AF945"><v>3654128</v></cell><cell r="AG945" t="str"><v>Facebook»Developers/ITPros-Azure Direct-Sponsored Post-Video Ad-FBCTCBrandinMotion_FRA_12s_RTG Landing Page»1x1»05s»SOC»ALL»CPC»BT»D»UNK»SS»NA»Trials</v></cell><cell r="AH945"><v>224560863</v></cell><cell r="AI945" t="str"><v>AZR_FBCTCBrandinMotion_FRA_12s_VIA_AZRDirect_French_NA_Facebook_STAN_TIN_T2_1</v></cell><cell r="AJ945"><v>103256577</v></cell></row><row r="946"><cell r="C946" t="str"><v>43289Facebook»Developers/ITPros-Azure Direct-Sponsored Post-Link Ad-FreeAcctAppsFACEBOOK12monthsChE»1x1»SocialBan»SOC»ALL»CPC»BT»D»UNK»SS»NA»Trials</v></cell><cell r="D946" t="str"><v>43289224560866</v></cell><cell r="E946" t="str"><v>43289103259784Trials</v></cell><cell r="F946" t="str"><v>DCM</v></cell><cell r="G946" t="str"><v>https://azure.microsoft.com/fr-fr/free/search/</v></cell></row><row r="946"><cell r="K946" t="str"><v>July</v></cell><cell r="L946"><v>43295</v></cell><cell r="M946" t="str"><v>Tier 1</v></cell><cell r="N946" t="str"><v>EMEA</v></cell><cell r="O946" t="str"><v>France</v></cell><cell r="P946" t="str"><v>Trial</v></cell><cell r="Q946" t="str"><v>Social</v></cell><cell r="R946" t="str"><v>Azure</v></cell><cell r="S946" t="str"><v>Apps & Infra</v></cell><cell r="T946" t="str"><v>Developers & ITI's</v></cell><cell r="U946" t="str"><v>Developers/ITPros-Azure Direct-Sponsored Post-Link Ad-FreeAcctAppsFACEBOOK12monthsChE</v></cell><cell r="V946" t="str"><v>Behavioral Targeting</v></cell><cell r="W946" t="str"><v>Social</v></cell><cell r="X946" t="str"><v>1x1</v></cell></row><row r="946"><cell r="AA946"><v>43289</v></cell><cell r="AB946" t="str"><v>FRA_gaPMG_AZR_AZR_Q1_19_AzureDirect-Trial-Social</v></cell><cell r="AC946"><v>21356941</v></cell><cell r="AD946"><v>720193</v></cell><cell r="AE946" t="str"><v>Facebook</v></cell><cell r="AF946"><v>3654128</v></cell><cell r="AG946" t="str"><v>Facebook»Developers/ITPros-Azure Direct-Sponsored Post-Link Ad-FreeAcctAppsFACEBOOK12monthsChE»1x1»SocialBan»SOC»ALL»CPC»BT»D»UNK»SS»NA»Trials</v></cell><cell r="AH946"><v>224560866</v></cell><cell r="AI946" t="str"><v>AZR_FreeAcctAppsFACEBOOK12monthsChE_FRA_1200x628_SOC_PLAT_FR_Trial_Standard_NA_SINU_T5_1</v></cell><cell r="AJ946"><v>103259784</v></cell></row><row r="947"><cell r="C947" t="str"><v>43289Facebook»Developers/ITPros-Azure Direct-Sponsored Post-Link Ad-FreeAcctAppsFACEBOOK200CreditChD»1x1»SocialBan»SOC»ALL»CPC»BT»D»UNK»SS»NA»Trials</v></cell><cell r="D947" t="str"><v>43289224560860</v></cell><cell r="E947" t="str"><v>43289103377773Trials</v></cell><cell r="F947" t="str"><v>DCM</v></cell><cell r="G947" t="str"><v>https://azure.microsoft.com/fr-fr/free/search/</v></cell></row><row r="947"><cell r="K947" t="str"><v>July</v></cell><cell r="L947"><v>43295</v></cell><cell r="M947" t="str"><v>Tier 1</v></cell><cell r="N947" t="str"><v>EMEA</v></cell><cell r="O947" t="str"><v>France</v></cell><cell r="P947" t="str"><v>Trial</v></cell><cell r="Q947" t="str"><v>Social</v></cell><cell r="R947" t="str"><v>Azure</v></cell><cell r="S947" t="str"><v>Apps & Infra</v></cell><cell r="T947" t="str"><v>Developers & ITI's</v></cell><cell r="U947" t="str"><v>Developers/ITPros-Azure Direct-Sponsored Post-Link Ad-FreeAcctAppsFACEBOOK200CreditChD</v></cell><cell r="V947" t="str"><v>Behavioral Targeting</v></cell><cell r="W947" t="str"><v>Social</v></cell><cell r="X947" t="str"><v>1x1</v></cell></row><row r="947"><cell r="AA947"><v>43289</v></cell><cell r="AB947" t="str"><v>FRA_gaPMG_AZR_AZR_Q1_19_AzureDirect-Trial-Social</v></cell><cell r="AC947"><v>21356941</v></cell><cell r="AD947"><v>720193</v></cell><cell r="AE947" t="str"><v>Facebook</v></cell><cell r="AF947"><v>3654128</v></cell><cell r="AG947" t="str"><v>Facebook»Developers/ITPros-Azure Direct-Sponsored Post-Link Ad-FreeAcctAppsFACEBOOK200CreditChD»1x1»SocialBan»SOC»ALL»CPC»BT»D»UNK»SS»NA»Trials</v></cell><cell r="AH947"><v>224560860</v></cell><cell r="AI947" t="str"><v>AZR_FreeAcctAppsFACEBOOK200CreditChD_FRA_1200x628_SOC_PLAT_FR_Trial_Standard_NA_SINU_T4_1</v></cell><cell r="AJ947"><v>103377773</v></cell></row><row r="948"><cell r="C948" t="str"><v>43289Facebook»Developers/ITPros-Azure Direct-Sponsored Post-Link Ad-FreeAcctAppsFACEBOOKDeviceChB»1x1»SocialBan»SOC»ALL»CPC»AUT»D»UNK»SS»NA»Trials</v></cell><cell r="D948" t="str"><v>43289224560857</v></cell><cell r="E948" t="str"><v>43289103377002Trials</v></cell><cell r="F948" t="str"><v>DCM</v></cell><cell r="G948" t="str"><v>https://azure.microsoft.com/fr-fr/free/search/</v></cell></row><row r="948"><cell r="K948" t="str"><v>July</v></cell><cell r="L948"><v>43295</v></cell><cell r="M948" t="str"><v>Tier 1</v></cell><cell r="N948" t="str"><v>EMEA</v></cell><cell r="O948" t="str"><v>France</v></cell><cell r="P948" t="str"><v>Trial</v></cell><cell r="Q948" t="str"><v>Social</v></cell><cell r="R948" t="str"><v>Azure</v></cell><cell r="S948" t="str"><v>Apps & Infra</v></cell><cell r="T948" t="str"><v>Developers & ITI's</v></cell><cell r="U948" t="str"><v>Developers/ITPros-Azure Direct-Sponsored Post-Link Ad-FreeAcctAppsFACEBOOKDeviceChB</v></cell><cell r="V948" t="str"><v>Audience Targeting</v></cell><cell r="W948" t="str"><v>Social</v></cell><cell r="X948" t="str"><v>1x1</v></cell></row><row r="948"><cell r="AA948"><v>43289</v></cell><cell r="AB948" t="str"><v>FRA_gaPMG_AZR_AZR_Q1_19_AzureDirect-Trial-Social</v></cell><cell r="AC948"><v>21356941</v></cell><cell r="AD948"><v>720193</v></cell><cell r="AE948" t="str"><v>Facebook</v></cell><cell r="AF948"><v>3654128</v></cell><cell r="AG948" t="str"><v>Facebook»Developers/ITPros-Azure Direct-Sponsored Post-Link Ad-FreeAcctAppsFACEBOOKDeviceChB»1x1»SocialBan»SOC»ALL»CPC»AUT»D»UNK»SS»NA»Trials</v></cell><cell r="AH948"><v>224560857</v></cell><cell r="AI948" t="str"><v>AZR_FreeAcctAppsFACEBOOKDeviceChB_FRA_1200x628_SOC_PLAT_FR_Trial_Standard_NA_SINU_T2_1</v></cell><cell r="AJ948"><v>103377002</v></cell></row><row r="949"><cell r="C949" t="str"><v>43289Facebook»Developers/ITPros-Azure Direct-Sponsored Post-Link Ad-FreeAcctAppsFACEBOOKIllustrationChC»1x1»SocialBan»SOC»ALL»CPC»AUT»D»UNK»SS»NA»Trials</v></cell><cell r="D949" t="str"><v>43289224560854</v></cell><cell r="E949" t="str"><v>43289103259550Trials</v></cell><cell r="F949" t="str"><v>DCM</v></cell><cell r="G949" t="str"><v>https://azure.microsoft.com/fr-fr/free/search/</v></cell></row><row r="949"><cell r="K949" t="str"><v>July</v></cell><cell r="L949"><v>43295</v></cell><cell r="M949" t="str"><v>Tier 1</v></cell><cell r="N949" t="str"><v>EMEA</v></cell><cell r="O949" t="str"><v>France</v></cell><cell r="P949" t="str"><v>Trial</v></cell><cell r="Q949" t="str"><v>Social</v></cell><cell r="R949" t="str"><v>Azure</v></cell><cell r="S949" t="str"><v>Apps & Infra</v></cell><cell r="T949" t="str"><v>Developers & ITI's</v></cell><cell r="U949" t="str"><v>Developers/ITPros-Azure Direct-Sponsored Post-Link Ad-FreeAcctAppsFACEBOOKIllustrationChC</v></cell><cell r="V949" t="str"><v>Audience Targeting</v></cell><cell r="W949" t="str"><v>Social</v></cell><cell r="X949" t="str"><v>1x1</v></cell></row><row r="949"><cell r="AA949"><v>43289</v></cell><cell r="AB949" t="str"><v>FRA_gaPMG_AZR_AZR_Q1_19_AzureDirect-Trial-Social</v></cell><cell r="AC949"><v>21356941</v></cell><cell r="AD949"><v>720193</v></cell><cell r="AE949" t="str"><v>Facebook</v></cell><cell r="AF949"><v>3654128</v></cell><cell r="AG949" t="str"><v>Facebook»Developers/ITPros-Azure Direct-Sponsored Post-Link Ad-FreeAcctAppsFACEBOOKIllustrationChC»1x1»SocialBan»SOC»ALL»CPC»AUT»D»UNK»SS»NA»Trials</v></cell><cell r="AH949"><v>224560854</v></cell><cell r="AI949" t="str"><v>AZR_FreeAcctAppsFACEBOOKIllustrationChC_FRA_1200x628_SOC_PLAT_FR_Trial_Standard_NA_SINU_T3_1</v></cell><cell r="AJ949"><v>103259550</v></cell></row><row r="950"><cell r="C950" t="str"><v>43289Facebook»Developers/ITPros-Azure Direct-Sponsored Post-Link Ad-FreeAcctAppsFACEBOOKLifestyleChA»1x1»SocialBan»SOC»ALL»CPC»AUT»D»UNK»SS»NA»Trials</v></cell><cell r="D950" t="str"><v>43289224560851</v></cell><cell r="E950" t="str"><v>43289103259562Trials</v></cell><cell r="F950" t="str"><v>DCM</v></cell><cell r="G950" t="str"><v>https://azure.microsoft.com/fr-fr/free/search/</v></cell></row><row r="950"><cell r="K950" t="str"><v>July</v></cell><cell r="L950"><v>43295</v></cell><cell r="M950" t="str"><v>Tier 1</v></cell><cell r="N950" t="str"><v>EMEA</v></cell><cell r="O950" t="str"><v>France</v></cell><cell r="P950" t="str"><v>Trial</v></cell><cell r="Q950" t="str"><v>Social</v></cell><cell r="R950" t="str"><v>Azure</v></cell><cell r="S950" t="str"><v>Apps & Infra</v></cell><cell r="T950" t="str"><v>Developers & ITI's</v></cell><cell r="U950" t="str"><v>Developers/ITPros-Azure Direct-Sponsored Post-Link Ad-FreeAcctAppsFACEBOOKLifestyleChA</v></cell><cell r="V950" t="str"><v>Audience Targeting</v></cell><cell r="W950" t="str"><v>Social</v></cell><cell r="X950" t="str"><v>1x1</v></cell></row><row r="950"><cell r="AA950"><v>43289</v></cell><cell r="AB950" t="str"><v>FRA_gaPMG_AZR_AZR_Q1_19_AzureDirect-Trial-Social</v></cell><cell r="AC950"><v>21356941</v></cell><cell r="AD950"><v>720193</v></cell><cell r="AE950" t="str"><v>Facebook</v></cell><cell r="AF950"><v>3654128</v></cell><cell r="AG950" t="str"><v>Facebook»Developers/ITPros-Azure Direct-Sponsored Post-Link Ad-FreeAcctAppsFACEBOOKLifestyleChA»1x1»SocialBan»SOC»ALL»CPC»AUT»D»UNK»SS»NA»Trials</v></cell><cell r="AH950"><v>224560851</v></cell><cell r="AI950" t="str"><v>AZR_FreeAcctAppsFACEBOOKLifestyleChA_FRA_1200x628_SOC_PLAT_FR_Trial_Standard_NA_SINU_T1_1</v></cell><cell r="AJ950"><v>103259562</v></cell></row><row r="951"><cell r="C951" t="str"><v>43289Facebook»Developers/ITPros-Azure Direct-Sponsored Post-Link Ad-FreeAcctRetargetingFB-Animated-ChC»1x1»SocialBan»SOC»ALL»CPC»BT»D»UNK»SS»NA»Trials</v></cell><cell r="D951" t="str"><v>43289224560848</v></cell><cell r="E951" t="str"><v>43289103259775Trials</v></cell><cell r="F951" t="str"><v>DCM</v></cell><cell r="G951" t="str"><v>https://azure.microsoft.com/fr-fr/free/search/</v></cell></row><row r="951"><cell r="K951" t="str"><v>July</v></cell><cell r="L951"><v>43295</v></cell><cell r="M951" t="str"><v>Tier 1</v></cell><cell r="N951" t="str"><v>EMEA</v></cell><cell r="O951" t="str"><v>France</v></cell><cell r="P951" t="str"><v>Trial</v></cell><cell r="Q951" t="str"><v>Social</v></cell><cell r="R951" t="str"><v>Azure</v></cell><cell r="S951" t="str"><v>Apps & Infra</v></cell><cell r="T951" t="str"><v>Developers & ITI's</v></cell><cell r="U951" t="str"><v>Developers/ITPros-Azure Direct-Sponsored Post-Link Ad-FreeAcctRetargetingFB-Animated-ChC</v></cell><cell r="V951" t="str"><v>Behavioral Targeting</v></cell><cell r="W951" t="str"><v>Social</v></cell><cell r="X951" t="str"><v>1x1</v></cell></row><row r="951"><cell r="AA951"><v>43289</v></cell><cell r="AB951" t="str"><v>FRA_gaPMG_AZR_AZR_Q1_19_AzureDirect-Trial-Social</v></cell><cell r="AC951"><v>21356941</v></cell><cell r="AD951"><v>720193</v></cell><cell r="AE951" t="str"><v>Facebook</v></cell><cell r="AF951"><v>3654128</v></cell><cell r="AG951" t="str"><v>Facebook»Developers/ITPros-Azure Direct-Sponsored Post-Link Ad-FreeAcctRetargetingFB-Animated-ChC»1x1»SocialBan»SOC»ALL»CPC»BT»D»UNK»SS»NA»Trials</v></cell><cell r="AH951"><v>224560848</v></cell><cell r="AI951" t="str"><v>AZR_reeAcctRetargetingFB-Animated-ChC_FRA_1200x628_SOC_AZRDirect_French_NA_Facebook_SBAN_SINU_T3_1</v></cell><cell r="AJ951"><v>103259775</v></cell></row><row r="952"><cell r="C952" t="str"><v>43289Facebook»Developers/ITPros-Azure Direct-Sponsored Post-Link Ad-FreeAcctRetargetingVMFB-OnDemand-ChE»1x1»SocialBan»SOC»ALL»CPC»BT»D»UNK»SS»NA»Trials</v></cell><cell r="D952" t="str"><v>43289224560833</v></cell><cell r="E952" t="str"><v>43289103376990Trials</v></cell><cell r="F952" t="str"><v>DCM</v></cell><cell r="G952" t="str"><v>https://azure.microsoft.com/fr-fr/free/virtual-machines/search/</v></cell></row><row r="952"><cell r="K952" t="str"><v>July</v></cell><cell r="L952"><v>43295</v></cell><cell r="M952" t="str"><v>Tier 1</v></cell><cell r="N952" t="str"><v>EMEA</v></cell><cell r="O952" t="str"><v>France</v></cell><cell r="P952" t="str"><v>Trial</v></cell><cell r="Q952" t="str"><v>Social</v></cell><cell r="R952" t="str"><v>Azure</v></cell><cell r="S952" t="str"><v>Apps & Infra</v></cell><cell r="T952" t="str"><v>Developers & ITI's</v></cell><cell r="U952" t="str"><v>Developers/ITPros-Azure Direct-Sponsored Post-Link Ad-FreeAcctRetargetingVMFB-OnDemand-ChE</v></cell><cell r="V952" t="str"><v>Behavioral Targeting</v></cell><cell r="W952" t="str"><v>Social</v></cell><cell r="X952" t="str"><v>1x1</v></cell></row><row r="952"><cell r="AA952"><v>43289</v></cell><cell r="AB952" t="str"><v>FRA_gaPMG_AZR_AZR_Q1_19_AzureDirect-Trial-Social</v></cell><cell r="AC952"><v>21356941</v></cell><cell r="AD952"><v>720193</v></cell><cell r="AE952" t="str"><v>Facebook</v></cell><cell r="AF952"><v>3654128</v></cell><cell r="AG952" t="str"><v>Facebook»Developers/ITPros-Azure Direct-Sponsored Post-Link Ad-FreeAcctRetargetingVMFB-OnDemand-ChE»1x1»SocialBan»SOC»ALL»CPC»BT»D»UNK»SS»NA»Trials</v></cell><cell r="AH952"><v>224560833</v></cell><cell r="AI952" t="str"><v>AZR_FreeAcctRetargetingVMFB-OnDemand-ChE_FRA_1200x628_SOC_AZRDirect_French_NA_Facebook_SBAN_SINU_T2_1</v></cell><cell r="AJ952"><v>103376990</v></cell></row><row r="953"><cell r="C953" t="str"><v>43289Facebook»Audience & Interest Targeting»1x1»SocialBan»LIA»DT»CPC»AUT»W»NA»SS»NA»Basic Motion</v></cell><cell r="D953" t="str"><v>43289224399962</v></cell><cell r="E953" t="str"><v>43289103230847Motion</v></cell><cell r="F953" t="str"><v>DCM</v></cell><cell r="G953" t="str"><v>https://azure.microsoft.com/en-gb/pricing/purchase-options/</v></cell></row><row r="953"><cell r="K953" t="str"><v>July</v></cell><cell r="L953"><v>43295</v></cell><cell r="M953" t="str"><v>Tier 1</v></cell><cell r="N953" t="str"><v>EMEA</v></cell><cell r="O953" t="str"><v>United Kingdom</v></cell><cell r="P953" t="str"><v>Trial</v></cell><cell r="Q953" t="str"><v>Social</v></cell><cell r="R953" t="str"><v>Azure</v></cell><cell r="S953" t="str"><v>Apps & Infra</v></cell><cell r="T953" t="str"><v>Developers & ITI's</v></cell><cell r="U953" t="str"><v>Audience & Interest Targeting</v></cell><cell r="V953" t="str"><v>Audience Targeting</v></cell><cell r="W953" t="str"><v>Link Ad</v></cell><cell r="X953" t="str"><v>1x1</v></cell></row><row r="953"><cell r="AA953"><v>43289</v></cell><cell r="AB953" t="str"><v>GBR_gaPMG_CE_AZR_Q1_19_Trial-Social</v></cell><cell r="AC953"><v>21337013</v></cell><cell r="AD953"><v>720196</v></cell><cell r="AE953" t="str"><v>Facebook</v></cell><cell r="AF953"><v>3654128</v></cell><cell r="AG953" t="str"><v>Facebook»Audience & Interest Targeting»1x1»SocialBan»LIA»DT»CPC»AUT»W»NA»SS»NA»Basic Motion</v></cell><cell r="AH953"><v>224399962</v></cell><cell r="AI953" t="str"><v>AzurePlatform_FBCTCcanvaspage-BuyNowCTA-Img3_GBR_1080x162_SOC_Plat_English_NA_Standard_NA_BN_T3_1</v></cell><cell r="AJ953"><v>103230847</v></cell></row><row r="954"><cell r="C954" t="str"><v>43289Facebook»Audience & Interest Targeting»1x1»SocialBan»LIA»DT»CPC»AUT»W»NA»SS»NA»Basic Motion</v></cell><cell r="D954" t="str"><v>43289224399962</v></cell><cell r="E954" t="str"><v>43289103235146Motion</v></cell><cell r="F954" t="str"><v>DCM</v></cell><cell r="G954" t="str"><v>https://signup.azure.com/signup?offer=ms-azr-0044p&appId=102&ref=paidmedia-social-fb&redirectURL=https%3a%2f%2fazure.microsoft.com%2fen-gb%2fget-started%2fwelcome-to-azure%2f&l=en-gb&correlationId=ead86c34-1f10-49dd-a72b-6918462a2cbf</v></cell></row><row r="954"><cell r="K954" t="str"><v>July</v></cell><cell r="L954"><v>43295</v></cell><cell r="M954" t="str"><v>Tier 1</v></cell><cell r="N954" t="str"><v>EMEA</v></cell><cell r="O954" t="str"><v>United Kingdom</v></cell><cell r="P954" t="str"><v>Trial</v></cell><cell r="Q954" t="str"><v>Social</v></cell><cell r="R954" t="str"><v>Azure</v></cell><cell r="S954" t="str"><v>Apps & Infra</v></cell><cell r="T954" t="str"><v>Developers & ITI's</v></cell><cell r="U954" t="str"><v>Audience & Interest Targeting</v></cell><cell r="V954" t="str"><v>Audience Targeting</v></cell><cell r="W954" t="str"><v>Link Ad</v></cell><cell r="X954" t="str"><v>1x1</v></cell></row><row r="954"><cell r="AA954"><v>43289</v></cell><cell r="AB954" t="str"><v>GBR_gaPMG_CE_AZR_Q1_19_Trial-Social</v></cell><cell r="AC954"><v>21337013</v></cell><cell r="AD954"><v>720196</v></cell><cell r="AE954" t="str"><v>Facebook</v></cell><cell r="AF954"><v>3654128</v></cell><cell r="AG954" t="str"><v>Facebook»Audience & Interest Targeting»1x1»SocialBan»LIA»DT»CPC»AUT»W»NA»SS»NA»Basic Motion</v></cell><cell r="AH954"><v>224399962</v></cell><cell r="AI954" t="str"><v>AzurePlatform_FBCTCcanvaspage-StartFreeCTA-Img2_GBR_1080x143 _SOC_Plat_English_NA_Standard_NA_NA_T2_1</v></cell><cell r="AJ954"><v>103235146</v></cell></row><row r="955"><cell r="C955" t="str"><v>43289Facebook»Audience & Interest Targeting»1x1»SocialBan»LIA»DT»CPC»AUT»W»NA»SS»NA»Brand in Motion</v></cell><cell r="D955" t="str"><v>43289224549481</v></cell><cell r="E955" t="str"><v>43289103235146Motion</v></cell><cell r="F955" t="str"><v>DCM</v></cell><cell r="G955" t="str"><v>https://signup.azure.com/signup?offer=ms-azr-0044p&appId=102&ref=paidmedia-social-fb&redirectURL=https%3a%2f%2fazure.microsoft.com%2fen-gb%2fget-started%2fwelcome-to-azure%2f&l=en-gb&correlationId=ead86c34-1f10-49dd-a72b-6918462a2cbf</v></cell></row><row r="955"><cell r="K955" t="str"><v>July</v></cell><cell r="L955"><v>43295</v></cell><cell r="M955" t="str"><v>Tier 1</v></cell><cell r="N955" t="str"><v>EMEA</v></cell><cell r="O955" t="str"><v>United Kingdom</v></cell><cell r="P955" t="str"><v>Trial</v></cell><cell r="Q955" t="str"><v>Social</v></cell><cell r="R955" t="str"><v>Azure</v></cell><cell r="S955" t="str"><v>Apps & Infra</v></cell><cell r="T955" t="str"><v>Developers & ITI's</v></cell><cell r="U955" t="str"><v>Audience & Interest Targeting</v></cell><cell r="V955" t="str"><v>Audience Targeting</v></cell><cell r="W955" t="str"><v>Link Ad</v></cell><cell r="X955" t="str"><v>1x1</v></cell></row><row r="955"><cell r="AA955"><v>43289</v></cell><cell r="AB955" t="str"><v>GBR_gaPMG_CE_AZR_Q1_19_Trial-Social</v></cell><cell r="AC955"><v>21337013</v></cell><cell r="AD955"><v>720196</v></cell><cell r="AE955" t="str"><v>Facebook</v></cell><cell r="AF955"><v>3654128</v></cell><cell r="AG955" t="str"><v>Facebook»Audience & Interest Targeting»1x1»SocialBan»LIA»DT»CPC»AUT»W»NA»SS»NA»Brand in Motion</v></cell><cell r="AH955"><v>224549481</v></cell><cell r="AI955" t="str"><v>AzurePlatform_FBCTCcanvaspage-StartFreeCTA-Img2_GBR_1080x143 _SOC_Plat_English_NA_Standard_NA_NA_T2_1</v></cell><cell r="AJ955"><v>103235146</v></cell></row><row r="956"><cell r="C956" t="str"><v>43289Facebook»Audience & Interest Targeting»1x1»SocialBan»LIA»DT»DYN»AUT»W»NA»SS»NA»Free Account Refresh- 12 months ChE</v></cell><cell r="D956" t="str"><v>43289223567691</v></cell><cell r="E956" t="str"><v>43289102854007hs ChE</v></cell><cell r="F956" t="str"><v>DCM</v></cell><cell r="G956" t="str"><v>https://azure.microsoft.com/en-gb/free/search/</v></cell></row><row r="956"><cell r="K956" t="str"><v>July</v></cell><cell r="L956"><v>43295</v></cell><cell r="M956" t="str"><v>Tier 1</v></cell><cell r="N956" t="str"><v>EMEA</v></cell><cell r="O956" t="str"><v>United Kingdom</v></cell><cell r="P956" t="str"><v>Trial</v></cell><cell r="Q956" t="str"><v>Social</v></cell><cell r="R956" t="str"><v>Azure</v></cell><cell r="S956" t="str"><v>Apps & Infra</v></cell><cell r="T956" t="str"><v>Developers & ITI's</v></cell><cell r="U956" t="str"><v>Audience & Interest Targeting</v></cell><cell r="V956" t="str"><v>Audience Targeting</v></cell><cell r="W956" t="str"><v>Link Ad</v></cell><cell r="X956" t="str"><v>1x1</v></cell></row><row r="956"><cell r="AA956"><v>43289</v></cell><cell r="AB956" t="str"><v>GBR_gaPMG_CE_AZR_Q1_19_Trial-Social</v></cell><cell r="AC956"><v>21337013</v></cell><cell r="AD956"><v>720196</v></cell><cell r="AE956" t="str"><v>Facebook</v></cell><cell r="AF956"><v>3654128</v></cell><cell r="AG956" t="str"><v>Facebook»Audience & Interest Targeting»1x1»SocialBan»LIA»DT»DYN»AUT»W»NA»SS»NA»Free Account Refresh- 12 months ChE</v></cell><cell r="AH956"><v>223567691</v></cell><cell r="AI956" t="str"><v>AzurePlatform_FreeAcctAppsFACEBOOK12monthsChE_GBR_1200x628_SOC_PLAT_EN_Trial_Standard_NA_SU_T5_1</v></cell><cell r="AJ956"><v>102854007</v></cell></row><row r="957"><cell r="C957" t="str"><v>43289Facebook»Audience & Interest Targeting»1x1»SocialBan»LIA»DT»DYN»AUT»W»NA»SS»NA»Free Account Refresh- 200 Credit ChD</v></cell><cell r="D957" t="str"><v>43289223560359</v></cell><cell r="E957" t="str"><v>43289103005662it ChD</v></cell><cell r="F957" t="str"><v>DCM</v></cell><cell r="G957" t="str"><v>https://azure.microsoft.com/en-gb/free/search/</v></cell></row><row r="957"><cell r="K957" t="str"><v>July</v></cell><cell r="L957"><v>43295</v></cell><cell r="M957" t="str"><v>Tier 1</v></cell><cell r="N957" t="str"><v>EMEA</v></cell><cell r="O957" t="str"><v>United Kingdom</v></cell><cell r="P957" t="str"><v>Trial</v></cell><cell r="Q957" t="str"><v>Social</v></cell><cell r="R957" t="str"><v>Azure</v></cell><cell r="S957" t="str"><v>Apps & Infra</v></cell><cell r="T957" t="str"><v>Developers & ITI's</v></cell><cell r="U957" t="str"><v>Audience & Interest Targeting</v></cell><cell r="V957" t="str"><v>Audience Targeting</v></cell><cell r="W957" t="str"><v>Link Ad</v></cell><cell r="X957" t="str"><v>1x1</v></cell></row><row r="957"><cell r="AA957"><v>43289</v></cell><cell r="AB957" t="str"><v>GBR_gaPMG_CE_AZR_Q1_19_Trial-Social</v></cell><cell r="AC957"><v>21337013</v></cell><cell r="AD957"><v>720196</v></cell><cell r="AE957" t="str"><v>Facebook</v></cell><cell r="AF957"><v>3654128</v></cell><cell r="AG957" t="str"><v>Facebook»Audience & Interest Targeting»1x1»SocialBan»LIA»DT»DYN»AUT»W»NA»SS»NA»Free Account Refresh- 200 Credit ChD</v></cell><cell r="AH957"><v>223560359</v></cell><cell r="AI957" t="str"><v>AzurePlatform_FreeAcctAppsFACEBOOK200CreditChD_GBR_1200x628_SOC_PLAT_EN_Trial_Standard_NA_SU_T4_1</v></cell><cell r="AJ957"><v>103005662</v></cell></row><row r="958"><cell r="C958" t="str"><v>43289Facebook»Audience & Interest Targeting»1x1»SocialBan»LIA»DT»DYN»AUT»W»NA»SS»NA»Free Account Refresh- Device ChB</v></cell><cell r="D958" t="str"><v>43289223560353</v></cell><cell r="E958" t="str"><v>43289102854010ce ChB</v></cell><cell r="F958" t="str"><v>DCM</v></cell><cell r="G958" t="str"><v>https://azure.microsoft.com/en-gb/free/search/</v></cell></row><row r="958"><cell r="K958" t="str"><v>July</v></cell><cell r="L958"><v>43295</v></cell><cell r="M958" t="str"><v>Tier 1</v></cell><cell r="N958" t="str"><v>EMEA</v></cell><cell r="O958" t="str"><v>United Kingdom</v></cell><cell r="P958" t="str"><v>Trial</v></cell><cell r="Q958" t="str"><v>Social</v></cell><cell r="R958" t="str"><v>Azure</v></cell><cell r="S958" t="str"><v>Apps & Infra</v></cell><cell r="T958" t="str"><v>Developers & ITI's</v></cell><cell r="U958" t="str"><v>Audience & Interest Targeting</v></cell><cell r="V958" t="str"><v>Audience Targeting</v></cell><cell r="W958" t="str"><v>Link Ad</v></cell><cell r="X958" t="str"><v>1x1</v></cell></row><row r="958"><cell r="AA958"><v>43289</v></cell><cell r="AB958" t="str"><v>GBR_gaPMG_CE_AZR_Q1_19_Trial-Social</v></cell><cell r="AC958"><v>21337013</v></cell><cell r="AD958"><v>720196</v></cell><cell r="AE958" t="str"><v>Facebook</v></cell><cell r="AF958"><v>3654128</v></cell><cell r="AG958" t="str"><v>Facebook»Audience & Interest Targeting»1x1»SocialBan»LIA»DT»DYN»AUT»W»NA»SS»NA»Free Account Refresh- Device ChB</v></cell><cell r="AH958"><v>223560353</v></cell><cell r="AI958" t="str"><v>AzurePlatform_FreeAcctAppsFACEBOOKDeviceChB_GBR_1200x628_SOC_PLAT_EN_Trial_Standard_NA_SU_T2_1</v></cell><cell r="AJ958"><v>102854010</v></cell></row><row r="959"><cell r="C959" t="str"><v>43289Facebook»Audience & Interest Targeting»1x1»SocialBan»LIA»DT»DYN»AUT»W»NA»SS»NA»Free Account Refresh- Illustration ChC</v></cell><cell r="D959" t="str"><v>43289223560347</v></cell><cell r="E959" t="str"><v>43289102857037on ChC</v></cell><cell r="F959" t="str"><v>DCM</v></cell><cell r="G959" t="str"><v>https://azure.microsoft.com/en-gb/free/search/</v></cell></row><row r="959"><cell r="K959" t="str"><v>July</v></cell><cell r="L959"><v>43295</v></cell><cell r="M959" t="str"><v>Tier 1</v></cell><cell r="N959" t="str"><v>EMEA</v></cell><cell r="O959" t="str"><v>United Kingdom</v></cell><cell r="P959" t="str"><v>Trial</v></cell><cell r="Q959" t="str"><v>Social</v></cell><cell r="R959" t="str"><v>Azure</v></cell><cell r="S959" t="str"><v>Apps & Infra</v></cell><cell r="T959" t="str"><v>Developers & ITI's</v></cell><cell r="U959" t="str"><v>Audience & Interest Targeting</v></cell><cell r="V959" t="str"><v>Audience Targeting</v></cell><cell r="W959" t="str"><v>Link Ad</v></cell><cell r="X959" t="str"><v>1x1</v></cell></row><row r="959"><cell r="AA959"><v>43289</v></cell><cell r="AB959" t="str"><v>GBR_gaPMG_CE_AZR_Q1_19_Trial-Social</v></cell><cell r="AC959"><v>21337013</v></cell><cell r="AD959"><v>720196</v></cell><cell r="AE959" t="str"><v>Facebook</v></cell><cell r="AF959"><v>3654128</v></cell><cell r="AG959" t="str"><v>Facebook»Audience & Interest Targeting»1x1»SocialBan»LIA»DT»DYN»AUT»W»NA»SS»NA»Free Account Refresh- Illustration ChC</v></cell><cell r="AH959"><v>223560347</v></cell><cell r="AI959" t="str"><v>AzurePlatform_FreeAcctAppsFACEBOOKIllustrationChC_GBR_1200x628_SOC_PLAT_EN_Trial_Standard_NA_SU_T3_1</v></cell><cell r="AJ959"><v>102857037</v></cell></row><row r="960"><cell r="C960" t="str"><v>43289Facebook»Audience & Interest Targeting»1x1»SocialBan»LIA»DT»DYN»AUT»W»NA»SS»NA»Free Account Refresh- Lifestyle ChA</v></cell><cell r="D960" t="str"><v>43289223560341</v></cell><cell r="E960" t="str"><v>43289102853597le ChA</v></cell><cell r="F960" t="str"><v>DCM</v></cell><cell r="G960" t="str"><v>https://azure.microsoft.com/en-gb/free/search/</v></cell></row><row r="960"><cell r="K960" t="str"><v>July</v></cell><cell r="L960"><v>43295</v></cell><cell r="M960" t="str"><v>Tier 1</v></cell><cell r="N960" t="str"><v>EMEA</v></cell><cell r="O960" t="str"><v>United Kingdom</v></cell><cell r="P960" t="str"><v>Trial</v></cell><cell r="Q960" t="str"><v>Social</v></cell><cell r="R960" t="str"><v>Azure</v></cell><cell r="S960" t="str"><v>Apps & Infra</v></cell><cell r="T960" t="str"><v>Developers & ITI's</v></cell><cell r="U960" t="str"><v>Audience & Interest Targeting</v></cell><cell r="V960" t="str"><v>Audience Targeting</v></cell><cell r="W960" t="str"><v>Link Ad</v></cell><cell r="X960" t="str"><v>1x1</v></cell></row><row r="960"><cell r="AA960"><v>43289</v></cell><cell r="AB960" t="str"><v>GBR_gaPMG_CE_AZR_Q1_19_Trial-Social</v></cell><cell r="AC960"><v>21337013</v></cell><cell r="AD960"><v>720196</v></cell><cell r="AE960" t="str"><v>Facebook</v></cell><cell r="AF960"><v>3654128</v></cell><cell r="AG960" t="str"><v>Facebook»Audience & Interest Targeting»1x1»SocialBan»LIA»DT»DYN»AUT»W»NA»SS»NA»Free Account Refresh- Lifestyle ChA</v></cell><cell r="AH960"><v>223560341</v></cell><cell r="AI960" t="str"><v>AzurePlatform_FreeAcctAppsFACEBOOKLifestyleChA_GBR_1200x628_SOC_PLAT_EN_Trial_Standard_NA_SU_T1_1</v></cell><cell r="AJ960"><v>102853597</v></cell></row><row r="961"><cell r="C961" t="str"><v>43289Facebook»Retargeting»1x1»SocialBan»LIA»DT»DYN»RT»W»NA»SS»NA»Free Account Retargeting Generic- Animated ChC</v></cell><cell r="D961" t="str"><v>43289223560299</v></cell><cell r="E961" t="str"><v>43289102854019ed ChC</v></cell><cell r="F961" t="str"><v>DCM</v></cell><cell r="G961" t="str"><v>https://azure.microsoft.com/en-gb/free/search/</v></cell></row><row r="961"><cell r="K961" t="str"><v>July</v></cell><cell r="L961"><v>43295</v></cell><cell r="M961" t="str"><v>Tier 1</v></cell><cell r="N961" t="str"><v>EMEA</v></cell><cell r="O961" t="str"><v>United Kingdom</v></cell><cell r="P961" t="str"><v>Trial</v></cell><cell r="Q961" t="str"><v>Social</v></cell><cell r="R961" t="str"><v>Azure</v></cell><cell r="S961" t="str"><v>Apps & Infra</v></cell><cell r="T961" t="str"><v>Developers & ITI's</v></cell><cell r="U961" t="str"><v>Retargeting</v></cell><cell r="V961" t="str"><v>Retargeting</v></cell><cell r="W961" t="str"><v>Link Ad</v></cell><cell r="X961" t="str"><v>1x1</v></cell></row><row r="961"><cell r="AA961"><v>43289</v></cell><cell r="AB961" t="str"><v>GBR_gaPMG_CE_AZR_Q1_19_Trial-Social</v></cell><cell r="AC961"><v>21337013</v></cell><cell r="AD961"><v>720196</v></cell><cell r="AE961" t="str"><v>Facebook</v></cell><cell r="AF961"><v>3654128</v></cell><cell r="AG961" t="str"><v>Facebook»Retargeting»1x1»SocialBan»LIA»DT»DYN»RT»W»NA»SS»NA»Free Account Retargeting Generic- Animated ChC</v></cell><cell r="AH961"><v>223560299</v></cell><cell r="AI961" t="str"><v>AzurePlatform_FreeAcctRetargetingFB-Animated-ChC_GBR_1200x628_SOC_Plat_EN_Free Account_Standard_ANI_SU_T3_1</v></cell><cell r="AJ961"><v>102854019</v></cell></row><row r="962"><cell r="C962" t="str"><v>43289Facebook»Retargeting»1x1»SocialBan»LIA»DT»DYN»RT»W»NA»SS»NA»Free Account Retargeting OSS- Logos ChG</v></cell><cell r="D962" t="str"><v>43289223560350</v></cell><cell r="E962" t="str"><v>43289103006547os ChG</v></cell><cell r="F962" t="str"><v>DCM</v></cell><cell r="G962" t="str"><v>https://azure.microsoft.com/en-gb/free/open-source/search/</v></cell></row><row r="962"><cell r="K962" t="str"><v>July</v></cell><cell r="L962"><v>43295</v></cell><cell r="M962" t="str"><v>Tier 1</v></cell><cell r="N962" t="str"><v>EMEA</v></cell><cell r="O962" t="str"><v>United Kingdom</v></cell><cell r="P962" t="str"><v>Trial</v></cell><cell r="Q962" t="str"><v>Social</v></cell><cell r="R962" t="str"><v>Azure</v></cell><cell r="S962" t="str"><v>Apps & Infra</v></cell><cell r="T962" t="str"><v>Developers & ITI's</v></cell><cell r="U962" t="str"><v>Retargeting</v></cell><cell r="V962" t="str"><v>Retargeting</v></cell><cell r="W962" t="str"><v>Link Ad</v></cell><cell r="X962" t="str"><v>1x1</v></cell></row><row r="962"><cell r="AA962"><v>43289</v></cell><cell r="AB962" t="str"><v>GBR_gaPMG_CE_AZR_Q1_19_Trial-Social</v></cell><cell r="AC962"><v>21337013</v></cell><cell r="AD962"><v>720196</v></cell><cell r="AE962" t="str"><v>Facebook</v></cell><cell r="AF962"><v>3654128</v></cell><cell r="AG962" t="str"><v>Facebook»Retargeting»1x1»SocialBan»LIA»DT»DYN»RT»W»NA»SS»NA»Free Account Retargeting OSS- Logos ChG</v></cell><cell r="AH962"><v>223560350</v></cell><cell r="AI962" t="str"><v>AzurePlatform_FreeAcctRetargetingOSSFB-Logos-ChG_GBR_1200x628_SOC_Plat_EN_Free Account_Standard_NA_SU_T2_1</v></cell><cell r="AJ962"><v>103006547</v></cell></row><row r="963"><cell r="C963" t="str"><v>43289Facebook»Retargeting»1x1»SocialBan»LIA»DT»DYN»RT»W»NA»SS»NA»Free Account Retargeting OSS- Text ChF</v></cell><cell r="D963" t="str"><v>43289223560344</v></cell><cell r="E963" t="str"><v>43289102861246xt ChF</v></cell><cell r="F963" t="str"><v>DCM</v></cell><cell r="G963" t="str"><v>https://azure.microsoft.com/en-gb/free/open-source/search/</v></cell></row><row r="963"><cell r="K963" t="str"><v>July</v></cell><cell r="L963"><v>43295</v></cell><cell r="M963" t="str"><v>Tier 1</v></cell><cell r="N963" t="str"><v>EMEA</v></cell><cell r="O963" t="str"><v>United Kingdom</v></cell><cell r="P963" t="str"><v>Trial</v></cell><cell r="Q963" t="str"><v>Social</v></cell><cell r="R963" t="str"><v>Azure</v></cell><cell r="S963" t="str"><v>Apps & Infra</v></cell><cell r="T963" t="str"><v>Developers & ITI's</v></cell><cell r="U963" t="str"><v>Retargeting</v></cell><cell r="V963" t="str"><v>Retargeting</v></cell><cell r="W963" t="str"><v>Link Ad</v></cell><cell r="X963" t="str"><v>1x1</v></cell></row><row r="963"><cell r="AA963"><v>43289</v></cell><cell r="AB963" t="str"><v>GBR_gaPMG_CE_AZR_Q1_19_Trial-Social</v></cell><cell r="AC963"><v>21337013</v></cell><cell r="AD963"><v>720196</v></cell><cell r="AE963" t="str"><v>Facebook</v></cell><cell r="AF963"><v>3654128</v></cell><cell r="AG963" t="str"><v>Facebook»Retargeting»1x1»SocialBan»LIA»DT»DYN»RT»W»NA»SS»NA»Free Account Retargeting OSS- Text ChF</v></cell><cell r="AH963"><v>223560344</v></cell><cell r="AI963" t="str"><v>AzurePlatform_FreeAcctRetargetingOSSFB-Text-ChF_GBR_1200x628_SOC_Plat_EN_Free Account_Standard_NA_SU_T1_1</v></cell><cell r="AJ963"><v>102861246</v></cell></row><row r="964"><cell r="C964" t="str"><v>43289Facebook»Retargeting»1x1»SocialBan»LIA»DT»DYN»RT»W»NA»SS»NA»Free Account Retargeting VM- 750 Hrs ChD</v></cell><cell r="D964" t="str"><v>43289223560338</v></cell><cell r="E964" t="str"><v>43289102853603rs ChD</v></cell><cell r="F964" t="str"><v>DCM</v></cell><cell r="G964" t="str"><v>https://azure.microsoft.com/en-gb/free/virtual-machines/search/</v></cell></row><row r="964"><cell r="K964" t="str"><v>July</v></cell><cell r="L964"><v>43295</v></cell><cell r="M964" t="str"><v>Tier 1</v></cell><cell r="N964" t="str"><v>EMEA</v></cell><cell r="O964" t="str"><v>United Kingdom</v></cell><cell r="P964" t="str"><v>Trial</v></cell><cell r="Q964" t="str"><v>Social</v></cell><cell r="R964" t="str"><v>Azure</v></cell><cell r="S964" t="str"><v>Apps & Infra</v></cell><cell r="T964" t="str"><v>Developers & ITI's</v></cell><cell r="U964" t="str"><v>Retargeting</v></cell><cell r="V964" t="str"><v>Retargeting</v></cell><cell r="W964" t="str"><v>Link Ad</v></cell><cell r="X964" t="str"><v>1x1</v></cell></row><row r="964"><cell r="AA964"><v>43289</v></cell><cell r="AB964" t="str"><v>GBR_gaPMG_CE_AZR_Q1_19_Trial-Social</v></cell><cell r="AC964"><v>21337013</v></cell><cell r="AD964"><v>720196</v></cell><cell r="AE964" t="str"><v>Facebook</v></cell><cell r="AF964"><v>3654128</v></cell><cell r="AG964" t="str"><v>Facebook»Retargeting»1x1»SocialBan»LIA»DT»DYN»RT»W»NA»SS»NA»Free Account Retargeting VM- 750 Hrs ChD</v></cell><cell r="AH964"><v>223560338</v></cell><cell r="AI964" t="str"><v>AzurePlatform_FreeAcctRetargetingVMFB-750Hrs-ChD_GBR_1200x628_SOC_Plat_EN_Free Account_Standard_NA_SU_T1_1</v></cell><cell r="AJ964"><v>102853603</v></cell></row><row r="965"><cell r="C965" t="str"><v>43289Facebook»Retargeting»1x1»SocialBan»LIA»DT»DYN»RT»W»NA»SS»NA»Free Account Retargeting VM- On Demand ChE</v></cell><cell r="D965" t="str"><v>43289223560332</v></cell><cell r="E965" t="str"><v>43289102854037nd ChE</v></cell><cell r="F965" t="str"><v>DCM</v></cell><cell r="G965" t="str"><v>https://azure.microsoft.com/en-gb/free/virtual-machines/search/</v></cell></row><row r="965"><cell r="K965" t="str"><v>July</v></cell><cell r="L965"><v>43295</v></cell><cell r="M965" t="str"><v>Tier 1</v></cell><cell r="N965" t="str"><v>EMEA</v></cell><cell r="O965" t="str"><v>United Kingdom</v></cell><cell r="P965" t="str"><v>Trial</v></cell><cell r="Q965" t="str"><v>Social</v></cell><cell r="R965" t="str"><v>Azure</v></cell><cell r="S965" t="str"><v>Apps & Infra</v></cell><cell r="T965" t="str"><v>Developers & ITI's</v></cell><cell r="U965" t="str"><v>Retargeting</v></cell><cell r="V965" t="str"><v>Retargeting</v></cell><cell r="W965" t="str"><v>Link Ad</v></cell><cell r="X965" t="str"><v>1x1</v></cell></row><row r="965"><cell r="AA965"><v>43289</v></cell><cell r="AB965" t="str"><v>GBR_gaPMG_CE_AZR_Q1_19_Trial-Social</v></cell><cell r="AC965"><v>21337013</v></cell><cell r="AD965"><v>720196</v></cell><cell r="AE965" t="str"><v>Facebook</v></cell><cell r="AF965"><v>3654128</v></cell><cell r="AG965" t="str"><v>Facebook»Retargeting»1x1»SocialBan»LIA»DT»DYN»RT»W»NA»SS»NA»Free Account Retargeting VM- On Demand ChE</v></cell><cell r="AH965"><v>223560332</v></cell><cell r="AI965" t="str"><v>AzurePlatform_FreeAcctRetargetingVMFB-OnDemand-ChE_GBR_1200x628_SOC_Plat_EN_Free Account_Standard_NA_SU_T2_1</v></cell><cell r="AJ965"><v>102854037</v></cell></row><row r="966"><cell r="C966" t="str"><v>43289Facebook»AZP-Canvas-Interest&Role-Trial»1x1»Canvas»OTH»MO»CPM»PRO»X»UNK»TP»OT»Canvas-Trial</v></cell><cell r="D966" t="str"><v>43289223298805</v></cell><cell r="E966" t="str"><v>43289102630373-Trial</v></cell><cell r="F966" t="str"><v>DCM</v></cell><cell r="G966" t="str"><v>https://azure.microsoft.com/ja-jp/pricing/purchase-options/</v></cell></row><row r="966"><cell r="K966" t="str"><v>July</v></cell><cell r="L966"><v>43295</v></cell><cell r="M966" t="str"><v>Tier 1</v></cell><cell r="N966" t="str"><v>APAC</v></cell><cell r="O966" t="str"><v>Japan</v></cell><cell r="P966" t="str"><v>Trial</v></cell><cell r="Q966" t="str"><v>Social</v></cell><cell r="R966" t="str"><v>Azure</v></cell><cell r="S966" t="str"><v>Apps & Infra</v></cell><cell r="T966" t="str"><v>Developers & ITI's</v></cell><cell r="U966" t="str"><v>AZP-Canvas-Interest&Role-Trial</v></cell><cell r="V966" t="str"><v>Prospecting</v></cell><cell r="W966" t="str"><v>Other</v></cell><cell r="X966" t="str"><v>1x1</v></cell></row><row r="966"><cell r="AA966"><v>43289</v></cell><cell r="AB966" t="str"><v>JPN_gaPMG_AZR_AZR_Q1_19_Trial-Social</v></cell><cell r="AC966"><v>21276694</v></cell><cell r="AD966"><v>720195</v></cell><cell r="AE966" t="str"><v>Facebook</v></cell><cell r="AF966"><v>3654128</v></cell><cell r="AG966" t="str"><v>Facebook»AZP-Canvas-Interest&Role-Trial»1x1»Canvas»OTH»MO»CPM»PRO»X»UNK»TP»OT»Canvas-Trial</v></cell><cell r="AH966"><v>223298805</v></cell><cell r="AI966" t="str"><v>AzurePlatform_FBCTCcanvaspage-BuyNowCTA-Img3_JPN_1080x162_SOC_Plat_Japanese_NA_Standard_NA_BN_T3_1</v></cell><cell r="AJ966"><v>102630373</v></cell></row><row r="967"><cell r="C967" t="str"><v>43289Facebook»AZP-Canvas-Interest&Role-Trial»1x1»Canvas»OTH»MO»CPM»PRO»X»UNK»TP»OT»Canvas-Trial</v></cell><cell r="D967" t="str"><v>43289223298805</v></cell><cell r="E967" t="str"><v>43289102609621-Trial</v></cell><cell r="F967" t="str"><v>DCM</v></cell><cell r="G967" t="str"><v>https://signup.azure.com/signup?offer=ms-azr-0044p&appId=102&ref=paidmedia-social-fb&redirectURL=https%3a%2f%2fazure.microsoft.com%2fja-jp%2fget-started%2fwelcome-to-azure%2f&l=ja-jp&correlationId=ead86c34-1f10-49dd-a72b-6918462a2cbf</v></cell></row><row r="967"><cell r="K967" t="str"><v>July</v></cell><cell r="L967"><v>43295</v></cell><cell r="M967" t="str"><v>Tier 1</v></cell><cell r="N967" t="str"><v>APAC</v></cell><cell r="O967" t="str"><v>Japan</v></cell><cell r="P967" t="str"><v>Trial</v></cell><cell r="Q967" t="str"><v>Social</v></cell><cell r="R967" t="str"><v>Azure</v></cell><cell r="S967" t="str"><v>Apps & Infra</v></cell><cell r="T967" t="str"><v>Developers & ITI's</v></cell><cell r="U967" t="str"><v>AZP-Canvas-Interest&Role-Trial</v></cell><cell r="V967" t="str"><v>Prospecting</v></cell><cell r="W967" t="str"><v>Other</v></cell><cell r="X967" t="str"><v>1x1</v></cell></row><row r="967"><cell r="AA967"><v>43289</v></cell><cell r="AB967" t="str"><v>JPN_gaPMG_AZR_AZR_Q1_19_Trial-Social</v></cell><cell r="AC967"><v>21276694</v></cell><cell r="AD967"><v>720195</v></cell><cell r="AE967" t="str"><v>Facebook</v></cell><cell r="AF967"><v>3654128</v></cell><cell r="AG967" t="str"><v>Facebook»AZP-Canvas-Interest&Role-Trial»1x1»Canvas»OTH»MO»CPM»PRO»X»UNK»TP»OT»Canvas-Trial</v></cell><cell r="AH967"><v>223298805</v></cell><cell r="AI967" t="str"><v>AzurePlatform_FBCTCcanvaspage-StartFreeCTA-Img2_JPN_1080x143 _SOC_Plat_Japanese_NA_Standard_NA_NA_T2_1</v></cell><cell r="AJ967"><v>102609621</v></cell></row><row r="968"><cell r="C968" t="str"><v>43289Facebook»AZP-Canvas-Look a Like-Trial»1x1»Canvas»OTH»MO»CPM»PRO»X»UNK»TP»OT»Canvas-Trial</v></cell><cell r="D968" t="str"><v>43289223297413</v></cell><cell r="E968" t="str"><v>43289102630373-Trial</v></cell><cell r="F968" t="str"><v>DCM</v></cell><cell r="G968" t="str"><v>https://azure.microsoft.com/ja-jp/pricing/purchase-options/</v></cell></row><row r="968"><cell r="K968" t="str"><v>July</v></cell><cell r="L968"><v>43295</v></cell><cell r="M968" t="str"><v>Tier 1</v></cell><cell r="N968" t="str"><v>APAC</v></cell><cell r="O968" t="str"><v>Japan</v></cell><cell r="P968" t="str"><v>Trial</v></cell><cell r="Q968" t="str"><v>Social</v></cell><cell r="R968" t="str"><v>Azure</v></cell><cell r="S968" t="str"><v>Apps & Infra</v></cell><cell r="T968" t="str"><v>Developers & ITI's</v></cell><cell r="U968" t="str"><v>AZP-Canvas-Look a Like-Trial</v></cell><cell r="V968" t="str"><v>Prospecting</v></cell><cell r="W968" t="str"><v>Other</v></cell><cell r="X968" t="str"><v>1x1</v></cell></row><row r="968"><cell r="AA968"><v>43289</v></cell><cell r="AB968" t="str"><v>JPN_gaPMG_AZR_AZR_Q1_19_Trial-Social</v></cell><cell r="AC968"><v>21276694</v></cell><cell r="AD968"><v>720195</v></cell><cell r="AE968" t="str"><v>Facebook</v></cell><cell r="AF968"><v>3654128</v></cell><cell r="AG968" t="str"><v>Facebook»AZP-Canvas-Look a Like-Trial»1x1»Canvas»OTH»MO»CPM»PRO»X»UNK»TP»OT»Canvas-Trial</v></cell><cell r="AH968"><v>223297413</v></cell><cell r="AI968" t="str"><v>AzurePlatform_FBCTCcanvaspage-BuyNowCTA-Img3_JPN_1080x162_SOC_Plat_Japanese_NA_Standard_NA_BN_T3_1</v></cell><cell r="AJ968"><v>102630373</v></cell></row><row r="969"><cell r="C969" t="str"><v>43289Facebook»AZP-Canvas-Look a Like-Trial»1x1»Canvas»OTH»MO»CPM»PRO»X»UNK»TP»OT»Canvas-Trial</v></cell><cell r="D969" t="str"><v>43289223297413</v></cell><cell r="E969" t="str"><v>43289102609621-Trial</v></cell><cell r="F969" t="str"><v>DCM</v></cell><cell r="G969" t="str"><v>https://signup.azure.com/signup?offer=ms-azr-0044p&appId=102&ref=paidmedia-social-fb&redirectURL=https%3a%2f%2fazure.microsoft.com%2fja-jp%2fget-started%2fwelcome-to-azure%2f&l=ja-jp&correlationId=ead86c34-1f10-49dd-a72b-6918462a2cbf</v></cell></row><row r="969"><cell r="K969" t="str"><v>July</v></cell><cell r="L969"><v>43295</v></cell><cell r="M969" t="str"><v>Tier 1</v></cell><cell r="N969" t="str"><v>APAC</v></cell><cell r="O969" t="str"><v>Japan</v></cell><cell r="P969" t="str"><v>Trial</v></cell><cell r="Q969" t="str"><v>Social</v></cell><cell r="R969" t="str"><v>Azure</v></cell><cell r="S969" t="str"><v>Apps & Infra</v></cell><cell r="T969" t="str"><v>Developers & ITI's</v></cell><cell r="U969" t="str"><v>AZP-Canvas-Look a Like-Trial</v></cell><cell r="V969" t="str"><v>Prospecting</v></cell><cell r="W969" t="str"><v>Other</v></cell><cell r="X969" t="str"><v>1x1</v></cell></row><row r="969"><cell r="AA969"><v>43289</v></cell><cell r="AB969" t="str"><v>JPN_gaPMG_AZR_AZR_Q1_19_Trial-Social</v></cell><cell r="AC969"><v>21276694</v></cell><cell r="AD969"><v>720195</v></cell><cell r="AE969" t="str"><v>Facebook</v></cell><cell r="AF969"><v>3654128</v></cell><cell r="AG969" t="str"><v>Facebook»AZP-Canvas-Look a Like-Trial»1x1»Canvas»OTH»MO»CPM»PRO»X»UNK»TP»OT»Canvas-Trial</v></cell><cell r="AH969"><v>223297413</v></cell><cell r="AI969" t="str"><v>AzurePlatform_FBCTCcanvaspage-StartFreeCTA-Img2_JPN_1080x143 _SOC_Plat_Japanese_NA_Standard_NA_NA_T2_1</v></cell><cell r="AJ969"><v>102609621</v></cell></row><row r="970"><cell r="C970" t="str"><v>43289Facebook»AZP-Retargeting»1x1»Ban»LIA»ALL»CPM»RT»X»All»TP»OT»Free Account Retargeting OSS-ChG</v></cell><cell r="D970" t="str"><v>43289223726365</v></cell><cell r="E970" t="str"><v>43289102976850SS-ChG</v></cell><cell r="F970" t="str"><v>DCM</v></cell><cell r="G970" t="str"><v>https://azure.microsoft.com/ja-jp/free/open-source/search/</v></cell></row><row r="970"><cell r="K970" t="str"><v>July</v></cell><cell r="L970"><v>43295</v></cell><cell r="M970" t="str"><v>Tier 1</v></cell><cell r="N970" t="str"><v>APAC</v></cell><cell r="O970" t="str"><v>Japan</v></cell><cell r="P970" t="str"><v>Trial</v></cell><cell r="Q970" t="str"><v>Social</v></cell><cell r="R970" t="str"><v>Azure</v></cell><cell r="S970" t="str"><v>Apps & Infra</v></cell><cell r="T970" t="str"><v>Developers & ITI's</v></cell><cell r="U970" t="str"><v>AZP-Retargeting</v></cell><cell r="V970" t="str"><v>Retargeting</v></cell><cell r="W970" t="str"><v>Link Ad</v></cell><cell r="X970" t="str"><v>1x1</v></cell></row><row r="970"><cell r="AA970"><v>43289</v></cell><cell r="AB970" t="str"><v>JPN_gaPMG_AZR_AZR_Q1_19_Trial-Social</v></cell><cell r="AC970"><v>21276694</v></cell><cell r="AD970"><v>720195</v></cell><cell r="AE970" t="str"><v>Facebook</v></cell><cell r="AF970"><v>3654128</v></cell><cell r="AG970" t="str"><v>Facebook»AZP-Retargeting»1x1»Ban»LIA»ALL»CPM»RT»X»All»TP»OT»Free Account Retargeting OSS-ChG</v></cell><cell r="AH970"><v>223726365</v></cell><cell r="AI970" t="str"><v>AzurePlatform_FreeAcctRetargetingOSSFB-Logos-ChG_JPN_1200x628_SOC_Plat_JA_Free Account_Standard_NA_SU_T2_1</v></cell><cell r="AJ970"><v>102976850</v></cell></row><row r="971"><cell r="C971" t="str"><v>43289Facebook»AZP-Retargeting»1x1»Ban»LIA»ALL»CPM»RT»X»All»TP»OT»Free Account Retargeting VM-ChD</v></cell><cell r="D971" t="str"><v>43289223726374</v></cell><cell r="E971" t="str"><v>43289102971306VM-ChD</v></cell><cell r="F971" t="str"><v>DCM</v></cell><cell r="G971" t="str"><v>https://azure.microsoft.com/ja-jp/free/virtual-machines/search/</v></cell></row><row r="971"><cell r="K971" t="str"><v>July</v></cell><cell r="L971"><v>43295</v></cell><cell r="M971" t="str"><v>Tier 1</v></cell><cell r="N971" t="str"><v>APAC</v></cell><cell r="O971" t="str"><v>Japan</v></cell><cell r="P971" t="str"><v>Trial</v></cell><cell r="Q971" t="str"><v>Social</v></cell><cell r="R971" t="str"><v>Azure</v></cell><cell r="S971" t="str"><v>Apps & Infra</v></cell><cell r="T971" t="str"><v>Developers & ITI's</v></cell><cell r="U971" t="str"><v>AZP-Retargeting</v></cell><cell r="V971" t="str"><v>Retargeting</v></cell><cell r="W971" t="str"><v>Link Ad</v></cell><cell r="X971" t="str"><v>1x1</v></cell></row><row r="971"><cell r="AA971"><v>43289</v></cell><cell r="AB971" t="str"><v>JPN_gaPMG_AZR_AZR_Q1_19_Trial-Social</v></cell><cell r="AC971"><v>21276694</v></cell><cell r="AD971"><v>720195</v></cell><cell r="AE971" t="str"><v>Facebook</v></cell><cell r="AF971"><v>3654128</v></cell><cell r="AG971" t="str"><v>Facebook»AZP-Retargeting»1x1»Ban»LIA»ALL»CPM»RT»X»All»TP»OT»Free Account Retargeting VM-ChD</v></cell><cell r="AH971"><v>223726374</v></cell><cell r="AI971" t="str"><v>AzurePlatform_FreeAcctRetargetingVMFB-750Hrs-ChD_JPN_1200x628_SOC_Plat_JA_Free Account_Standard_NA_SU_T1_1</v></cell><cell r="AJ971"><v>102971306</v></cell></row><row r="972"><cell r="C972" t="str"><v>43289Facebook»AZP-Retargeting»1x1»Canvas»OTH»MO»CPM»RT»W»UNK»TP»OT»Trial-Basicmotion</v></cell><cell r="D972" t="str"><v>43289223298811</v></cell><cell r="E972" t="str"><v>43289102773984motion</v></cell><cell r="F972" t="str"><v>DCM</v></cell><cell r="G972" t="str"><v>https://azure.microsoft.com/ja-jp/free/search/</v></cell></row><row r="972"><cell r="K972" t="str"><v>July</v></cell><cell r="L972"><v>43295</v></cell><cell r="M972" t="str"><v>Tier 1</v></cell><cell r="N972" t="str"><v>APAC</v></cell><cell r="O972" t="str"><v>Japan</v></cell><cell r="P972" t="str"><v>Trial</v></cell><cell r="Q972" t="str"><v>Social</v></cell><cell r="R972" t="str"><v>Azure</v></cell><cell r="S972" t="str"><v>Apps & Infra</v></cell><cell r="T972" t="str"><v>Developers & ITI's</v></cell><cell r="U972" t="str"><v>AZP-Retargeting</v></cell><cell r="V972" t="str"><v>Retargeting</v></cell><cell r="W972" t="str"><v>Other</v></cell><cell r="X972" t="str"><v>1x1</v></cell></row><row r="972"><cell r="AA972"><v>43289</v></cell><cell r="AB972" t="str"><v>JPN_gaPMG_AZR_AZR_Q1_19_Trial-Social</v></cell><cell r="AC972"><v>21276694</v></cell><cell r="AD972"><v>720195</v></cell><cell r="AE972" t="str"><v>Facebook</v></cell><cell r="AF972"><v>3654128</v></cell><cell r="AG972" t="str"><v>Facebook»AZP-Retargeting»1x1»Canvas»OTH»MO»CPM»RT»W»UNK»TP»OT»Trial-Basicmotion</v></cell><cell r="AH972"><v>223298811</v></cell><cell r="AI972" t="str"><v>AzurePlatform_FBCTCBasicMotion_JPN_10sec_ISV_PLAT_JA_Trial_Standard_STAN_TN_T1_1</v></cell><cell r="AJ972"><v>102773984</v></cell></row><row r="973"><cell r="C973" t="str"><v>43289Facebook»AZP-Retargeting»1x1»Canvas»OTH»MO»CPM»RT»W»UNK»TP»OT»Trial-BrandinMotion</v></cell><cell r="D973" t="str"><v>43289223298823</v></cell><cell r="E973" t="str"><v>43289102612720Motion</v></cell><cell r="F973" t="str"><v>DCM</v></cell><cell r="G973" t="str"><v>https://azure.microsoft.com/ja-jp/free/search/</v></cell></row><row r="973"><cell r="K973" t="str"><v>July</v></cell><cell r="L973"><v>43295</v></cell><cell r="M973" t="str"><v>Tier 1</v></cell><cell r="N973" t="str"><v>APAC</v></cell><cell r="O973" t="str"><v>Japan</v></cell><cell r="P973" t="str"><v>Trial</v></cell><cell r="Q973" t="str"><v>Social</v></cell><cell r="R973" t="str"><v>Azure</v></cell><cell r="S973" t="str"><v>Apps & Infra</v></cell><cell r="T973" t="str"><v>Developers & ITI's</v></cell><cell r="U973" t="str"><v>AZP-Retargeting</v></cell><cell r="V973" t="str"><v>Retargeting</v></cell><cell r="W973" t="str"><v>Other</v></cell><cell r="X973" t="str"><v>1x1</v></cell></row><row r="973"><cell r="AA973"><v>43289</v></cell><cell r="AB973" t="str"><v>JPN_gaPMG_AZR_AZR_Q1_19_Trial-Social</v></cell><cell r="AC973"><v>21276694</v></cell><cell r="AD973"><v>720195</v></cell><cell r="AE973" t="str"><v>Facebook</v></cell><cell r="AF973"><v>3654128</v></cell><cell r="AG973" t="str"><v>Facebook»AZP-Retargeting»1x1»Canvas»OTH»MO»CPM»RT»W»UNK»TP»OT»Trial-BrandinMotion</v></cell><cell r="AH973"><v>223298823</v></cell><cell r="AI973" t="str"><v>AzurePlatform_FBCTCBrandinMotion_JPN_12sec_ISV_PLAT_JA_Trial_Standard_STAN_TN_T2_1</v></cell><cell r="AJ973"><v>102612720</v></cell></row><row r="974"><cell r="C974" t="str"><v>43289FACEBOOK»USA-Trial-ITD-Interest Prospecting-AZR-AZR»1 x 1»SocialBan»CAN»ALL»CPA»PRO»X»NA»SS»NA»FBCTCBasicMotion»PRC1SV</v></cell><cell r="D974" t="str"><v>43289223934062</v></cell><cell r="E974" t="str"><v>43289103043823PRC1SV</v></cell><cell r="F974" t="str"><v>DCM</v></cell><cell r="G974" t="str"><v>https://signup.azure.com/?OCID=AID%eexcid!_OLA_%ebuy!_%epid!_%ecid!</v></cell></row><row r="974"><cell r="K974" t="str"><v>July</v></cell><cell r="L974"><v>43295</v></cell><cell r="M974" t="str"><v>Tier 0</v></cell><cell r="N974" t="str"><v>North America</v></cell><cell r="O974" t="str"><v>United States</v></cell><cell r="P974" t="str"><v>Trial</v></cell><cell r="Q974" t="str"><v>Social</v></cell><cell r="R974" t="str"><v>Azure</v></cell><cell r="S974" t="str"><v>Apps & Infra</v></cell><cell r="T974" t="str"><v>Developers & ITI's</v></cell><cell r="U974" t="str"><v>USA-Trial-ITD-Interest Prospecting-AZR-AZR</v></cell><cell r="V974" t="str"><v>Prospecting</v></cell><cell r="W974" t="str"><v>Canvas Ad</v></cell><cell r="X974" t="str"><v>1x1</v></cell></row><row r="974"><cell r="AA974"><v>43289</v></cell><cell r="AB974" t="str"><v>USA_gaPMG_AZR_AZR_Q1_19_Direct-Social</v></cell><cell r="AC974"><v>21358715</v></cell><cell r="AD974"><v>720197</v></cell><cell r="AE974" t="str"><v>Facebook</v></cell><cell r="AF974"><v>3654128</v></cell><cell r="AG974" t="str"><v>FACEBOOK»USA-Trial-ITD-Interest Prospecting-AZR-AZR»1 x 1»SocialBan»CAN»ALL»CPA»PRO»X»NA»SS»NA»FBCTCBasicMotion»PRC1SV</v></cell><cell r="AH974"><v>223934062</v></cell><cell r="AI974" t="str"><v>AzurePlatform_FBCTCBasicMotion_USA_10s_CAN_PLATFORM_English_Trial_Standard_STAN_TIN_T1_1</v></cell><cell r="AJ974"><v>103043823</v></cell></row><row r="975"><cell r="C975" t="str"><v>43289FACEBOOK»USA-Trial-ITD-Interest Prospecting-AZR-AZR»1 x 1»SocialBan»CAN»ALL»CPA»PRO»X»NA»SS»NA»FBCTCBasicMotion»PRC1SV</v></cell><cell r="D975" t="str"><v>43289223934062</v></cell><cell r="E975" t="str"><v>43289103175984PRC1SV</v></cell><cell r="F975" t="str"><v>DCM</v></cell><cell r="G975" t="str"><v>https://azure.microsoft.com/en-us/pricing/purchase-options/?v=18.19&OCID=AID%eexcid!_OLA_%ebuy!_%epid!_%ecid!</v></cell></row><row r="975"><cell r="K975" t="str"><v>July</v></cell><cell r="L975"><v>43295</v></cell><cell r="M975" t="str"><v>Tier 0</v></cell><cell r="N975" t="str"><v>North America</v></cell><cell r="O975" t="str"><v>United States</v></cell><cell r="P975" t="str"><v>Trial</v></cell><cell r="Q975" t="str"><v>Social</v></cell><cell r="R975" t="str"><v>Azure</v></cell><cell r="S975" t="str"><v>Apps & Infra</v></cell><cell r="T975" t="str"><v>Developers & ITI's</v></cell><cell r="U975" t="str"><v>USA-Trial-ITD-Interest Prospecting-AZR-AZR</v></cell><cell r="V975" t="str"><v>Prospecting</v></cell><cell r="W975" t="str"><v>Canvas Ad</v></cell><cell r="X975" t="str"><v>1x1</v></cell></row><row r="975"><cell r="AA975"><v>43289</v></cell><cell r="AB975" t="str"><v>USA_gaPMG_AZR_AZR_Q1_19_Direct-Social</v></cell><cell r="AC975"><v>21358715</v></cell><cell r="AD975"><v>720197</v></cell><cell r="AE975" t="str"><v>Facebook</v></cell><cell r="AF975"><v>3654128</v></cell><cell r="AG975" t="str"><v>FACEBOOK»USA-Trial-ITD-Interest Prospecting-AZR-AZR»1 x 1»SocialBan»CAN»ALL»CPA»PRO»X»NA»SS»NA»FBCTCBasicMotion»PRC1SV</v></cell><cell r="AH975"><v>223934062</v></cell><cell r="AI975" t="str"><v>AzurePlatform_FBCTCBasicMotion_USA_10s_CAN_PLATFORM_English_Trial_Standard_STAN_TIN_T1_2</v></cell><cell r="AJ975"><v>103175984</v></cell></row><row r="976"><cell r="C976" t="str"><v>43289FACEBOOK»USA-Trial-ITD-Interest Prospecting-AZR-AZR»1 x 1»SocialBan»CAN»ALL»CPA»PRO»X»NA»SS»NA»FBCTCBrandinMotion»PRC1SY</v></cell><cell r="D976" t="str"><v>43289224104929</v></cell><cell r="E976" t="str"><v>43289103176812PRC1SY</v></cell><cell r="F976" t="str"><v>DCM</v></cell><cell r="G976" t="str"><v>https://signup.azure.com/?OCID=AID%eexcid!_OLA_%ebuy!_%epid!_%ecid!</v></cell></row><row r="976"><cell r="K976" t="str"><v>July</v></cell><cell r="L976"><v>43295</v></cell><cell r="M976" t="str"><v>Tier 0</v></cell><cell r="N976" t="str"><v>North America</v></cell><cell r="O976" t="str"><v>United States</v></cell><cell r="P976" t="str"><v>Trial</v></cell><cell r="Q976" t="str"><v>Social</v></cell><cell r="R976" t="str"><v>Azure</v></cell><cell r="S976" t="str"><v>Apps & Infra</v></cell><cell r="T976" t="str"><v>Developers & ITI's</v></cell><cell r="U976" t="str"><v>USA-Trial-ITD-Interest Prospecting-AZR-AZR</v></cell><cell r="V976" t="str"><v>Prospecting</v></cell><cell r="W976" t="str"><v>Canvas Ad</v></cell><cell r="X976" t="str"><v>1x1</v></cell></row><row r="976"><cell r="AA976"><v>43289</v></cell><cell r="AB976" t="str"><v>USA_gaPMG_AZR_AZR_Q1_19_Direct-Social</v></cell><cell r="AC976"><v>21358715</v></cell><cell r="AD976"><v>720197</v></cell><cell r="AE976" t="str"><v>Facebook</v></cell><cell r="AF976"><v>3654128</v></cell><cell r="AG976" t="str"><v>FACEBOOK»USA-Trial-ITD-Interest Prospecting-AZR-AZR»1 x 1»SocialBan»CAN»ALL»CPA»PRO»X»NA»SS»NA»FBCTCBrandinMotion»PRC1SY</v></cell><cell r="AH976"><v>224104929</v></cell><cell r="AI976" t="str"><v>AzurePlatform_FBCTCBrandinMotion_USA_10s_CAN_PLATFORM_English_Trial_Standard_STAN_TIN_T2_1</v></cell><cell r="AJ976"><v>103176812</v></cell></row><row r="977"><cell r="C977" t="str"><v>43289FACEBOOK»USA-Trial-ITD-Interest Prospecting-AZR-AZR»1 x 1»SocialBan»CAN»ALL»CPA»PRO»X»NA»SS»NA»FBCTCBrandinMotion»PRC1SY</v></cell><cell r="D977" t="str"><v>43289224104929</v></cell><cell r="E977" t="str"><v>43289103032823PRC1SY</v></cell><cell r="F977" t="str"><v>DCM</v></cell><cell r="G977" t="str"><v>https://azure.microsoft.com/en-us/pricing/purchase-options/?v=18.19&OCID=AID%eexcid!_OLA_%ebuy!_%epid!_%ecid!</v></cell></row><row r="977"><cell r="K977" t="str"><v>July</v></cell><cell r="L977"><v>43295</v></cell><cell r="M977" t="str"><v>Tier 0</v></cell><cell r="N977" t="str"><v>North America</v></cell><cell r="O977" t="str"><v>United States</v></cell><cell r="P977" t="str"><v>Trial</v></cell><cell r="Q977" t="str"><v>Social</v></cell><cell r="R977" t="str"><v>Azure</v></cell><cell r="S977" t="str"><v>Apps & Infra</v></cell><cell r="T977" t="str"><v>Developers & ITI's</v></cell><cell r="U977" t="str"><v>USA-Trial-ITD-Interest Prospecting-AZR-AZR</v></cell><cell r="V977" t="str"><v>Prospecting</v></cell><cell r="W977" t="str"><v>Canvas Ad</v></cell><cell r="X977" t="str"><v>1x1</v></cell></row><row r="977"><cell r="AA977"><v>43289</v></cell><cell r="AB977" t="str"><v>USA_gaPMG_AZR_AZR_Q1_19_Direct-Social</v></cell><cell r="AC977"><v>21358715</v></cell><cell r="AD977"><v>720197</v></cell><cell r="AE977" t="str"><v>Facebook</v></cell><cell r="AF977"><v>3654128</v></cell><cell r="AG977" t="str"><v>FACEBOOK»USA-Trial-ITD-Interest Prospecting-AZR-AZR»1 x 1»SocialBan»CAN»ALL»CPA»PRO»X»NA»SS»NA»FBCTCBrandinMotion»PRC1SY</v></cell><cell r="AH977"><v>224104929</v></cell><cell r="AI977" t="str"><v>AzurePlatform_FBCTCBrandinMotion_USA_10s_CAN_PLATFORM_English_Trial_Standard_STAN_TIN_T2_2</v></cell><cell r="AJ977"><v>103032823</v></cell></row><row r="978"><cell r="C978" t="str"><v>43289FACEBOOK»USA-Trial-ITD-Interest Prospecting-AZR-AZR»1 x 1»SocialBan»LIA»ALL»CPA»PRO»X»NA»SS»NA»FreeAcctDeveloperFB-AnimatedGeneric-Ch1»PRC1SZ</v></cell><cell r="D978" t="str"><v>43289224104932</v></cell><cell r="E978" t="str"><v>43289103176851PRC1SZ</v></cell><cell r="F978" t="str"><v>DCM</v></cell><cell r="G978" t="str"><v>https://azure.microsoft.com/en-us/free/search/?OCID=AID%eexcid!_OLA_%ebuy!_%epid!_%ecid!</v></cell></row><row r="978"><cell r="K978" t="str"><v>July</v></cell><cell r="L978"><v>43295</v></cell><cell r="M978" t="str"><v>Tier 0</v></cell><cell r="N978" t="str"><v>North America</v></cell><cell r="O978" t="str"><v>United States</v></cell><cell r="P978" t="str"><v>Trial</v></cell><cell r="Q978" t="str"><v>Social</v></cell><cell r="R978" t="str"><v>Azure</v></cell><cell r="S978" t="str"><v>Apps & Infra</v></cell><cell r="T978" t="str"><v>Developers & ITI's</v></cell><cell r="U978" t="str"><v>USA-Trial-ITD-Interest Prospecting-AZR-AZR</v></cell><cell r="V978" t="str"><v>Prospecting</v></cell><cell r="W978" t="str"><v>Link Ad</v></cell><cell r="X978" t="str"><v>1x1</v></cell></row><row r="978"><cell r="AA978"><v>43289</v></cell><cell r="AB978" t="str"><v>USA_gaPMG_AZR_AZR_Q1_19_Direct-Social</v></cell><cell r="AC978"><v>21358715</v></cell><cell r="AD978"><v>720197</v></cell><cell r="AE978" t="str"><v>Facebook</v></cell><cell r="AF978"><v>3654128</v></cell><cell r="AG978" t="str"><v>FACEBOOK»USA-Trial-ITD-Interest Prospecting-AZR-AZR»1 x 1»SocialBan»LIA»ALL»CPA»PRO»X»NA»SS»NA»FreeAcctDeveloperFB-AnimatedGeneric-Ch1»PRC1SZ</v></cell><cell r="AH978"><v>224104932</v></cell><cell r="AI978" t="str"><v>AZR_FreeAcctDeveloperFB-AnimatedGeneric-Ch1_USA_1200x1200_CAN_Direct_English_Trial_Standard_ANI_LEA_T1_2</v></cell><cell r="AJ978"><v>103176851</v></cell></row><row r="979"><cell r="C979" t="str"><v>43289FACEBOOK»USA-Trial-ITD-Interest Prospecting-AZR-AZR»1 x 1»SocialBan»LIA»ALL»CPA»PRO»X»NA»SS»NA»FreeAcctDeveloperFB-AnimatedGeneric-Ch1»PRC1T0</v></cell><cell r="D979" t="str"><v>43289223934065</v></cell><cell r="E979" t="str"><v>43289103176851PRC1T0</v></cell><cell r="F979" t="str"><v>DCM</v></cell><cell r="G979" t="str"><v>https://azure.microsoft.com/en-us/free/search/?OCID=AID%eexcid!_OLA_%ebuy!_%epid!_%ecid!</v></cell></row><row r="979"><cell r="K979" t="str"><v>July</v></cell><cell r="L979"><v>43295</v></cell><cell r="M979" t="str"><v>Tier 0</v></cell><cell r="N979" t="str"><v>North America</v></cell><cell r="O979" t="str"><v>United States</v></cell><cell r="P979" t="str"><v>Trial</v></cell><cell r="Q979" t="str"><v>Social</v></cell><cell r="R979" t="str"><v>Azure</v></cell><cell r="S979" t="str"><v>Apps & Infra</v></cell><cell r="T979" t="str"><v>Developers & ITI's</v></cell><cell r="U979" t="str"><v>USA-Trial-ITD-Interest Prospecting-AZR-AZR</v></cell><cell r="V979" t="str"><v>Prospecting</v></cell><cell r="W979" t="str"><v>Link Ad</v></cell><cell r="X979" t="str"><v>1x1</v></cell></row><row r="979"><cell r="AA979"><v>43289</v></cell><cell r="AB979" t="str"><v>USA_gaPMG_AZR_AZR_Q1_19_Direct-Social</v></cell><cell r="AC979"><v>21358715</v></cell><cell r="AD979"><v>720197</v></cell><cell r="AE979" t="str"><v>Facebook</v></cell><cell r="AF979"><v>3654128</v></cell><cell r="AG979" t="str"><v>FACEBOOK»USA-Trial-ITD-Interest Prospecting-AZR-AZR»1 x 1»SocialBan»LIA»ALL»CPA»PRO»X»NA»SS»NA»FreeAcctDeveloperFB-AnimatedGeneric-Ch1»PRC1T0</v></cell><cell r="AH979"><v>223934065</v></cell><cell r="AI979" t="str"><v>AZR_FreeAcctDeveloperFB-AnimatedGeneric-Ch1_USA_1200x1200_CAN_Direct_English_Trial_Standard_ANI_LEA_T1_2</v></cell><cell r="AJ979"><v>103176851</v></cell></row><row r="980"><cell r="C980" t="str"><v>43289FACEBOOK»USA-Trial-ITD-Interest Prospecting-AZR-AZR»1 x 1»SocialBan»LIA»ALL»CPA»PRO»X»NA»SS»NA»FreeAcctITProFB-AnimatedHybrid-Ch2»PRC1T5</v></cell><cell r="D980" t="str"><v>43289223862882</v></cell><cell r="E980" t="str"><v>43289103180583PRC1T5</v></cell><cell r="F980" t="str"><v>DCM</v></cell></row><row r="980"><cell r="K980" t="str"><v>July</v></cell><cell r="L980"><v>43295</v></cell><cell r="M980" t="str"><v>Tier 0</v></cell><cell r="N980" t="str"><v>North America</v></cell><cell r="O980" t="str"><v>United States</v></cell><cell r="P980" t="str"><v>Trial</v></cell><cell r="Q980" t="str"><v>Social</v></cell><cell r="R980" t="str"><v>Azure</v></cell><cell r="S980" t="str"><v>Apps & Infra</v></cell><cell r="T980" t="str"><v>Developers & ITI's</v></cell><cell r="U980" t="str"><v>USA-Trial-ITD-Interest Prospecting-AZR-AZR</v></cell><cell r="V980" t="str"><v>Prospecting</v></cell><cell r="W980" t="str"><v>Link Ad</v></cell><cell r="X980" t="str"><v>1x1</v></cell></row><row r="980"><cell r="AA980"><v>43289</v></cell><cell r="AB980" t="str"><v>USA_gaPMG_AZR_AZR_Q1_19_Direct-Social</v></cell><cell r="AC980"><v>21358715</v></cell><cell r="AD980"><v>720197</v></cell><cell r="AE980" t="str"><v>Facebook</v></cell><cell r="AF980"><v>3654128</v></cell><cell r="AG980" t="str"><v>FACEBOOK»USA-Trial-ITD-Interest Prospecting-AZR-AZR»1 x 1»SocialBan»LIA»ALL»CPA»PRO»X»NA»SS»NA»FreeAcctITProFB-AnimatedHybrid-Ch2»PRC1T5</v></cell><cell r="AH980"><v>223862882</v></cell><cell r="AI980" t="str"><v>AZR_FreeAcctITProFB-AnimatedHybrid-Ch2_USA_1200x1200_CAN_Direct_English_Trial_Standard_ANI_LEA_T2_2</v></cell><cell r="AJ980"><v>103180583</v></cell></row><row r="981"><cell r="C981" t="str"><v>43289FACEBOOK»USA-Trial-ITD-Interest Prospecting-AZR-AZR»1 x 1»SocialBan»LIA»ALL»CPA»PRO»X»NA»SS»NA»FreeAcctITProFB-AnimatedSecureMngd-Ch1»PRC1T4</v></cell><cell r="D981" t="str"><v>43289224104914</v></cell><cell r="E981" t="str"><v>43289103176830PRC1T4</v></cell><cell r="F981" t="str"><v>DCM</v></cell></row><row r="981"><cell r="K981" t="str"><v>July</v></cell><cell r="L981"><v>43295</v></cell><cell r="M981" t="str"><v>Tier 0</v></cell><cell r="N981" t="str"><v>North America</v></cell><cell r="O981" t="str"><v>United States</v></cell><cell r="P981" t="str"><v>Trial</v></cell><cell r="Q981" t="str"><v>Social</v></cell><cell r="R981" t="str"><v>Azure</v></cell><cell r="S981" t="str"><v>Apps & Infra</v></cell><cell r="T981" t="str"><v>Developers & ITI's</v></cell><cell r="U981" t="str"><v>USA-Trial-ITD-Interest Prospecting-AZR-AZR</v></cell><cell r="V981" t="str"><v>Prospecting</v></cell><cell r="W981" t="str"><v>Link Ad</v></cell><cell r="X981" t="str"><v>1x1</v></cell></row><row r="981"><cell r="AA981"><v>43289</v></cell><cell r="AB981" t="str"><v>USA_gaPMG_AZR_AZR_Q1_19_Direct-Social</v></cell><cell r="AC981"><v>21358715</v></cell><cell r="AD981"><v>720197</v></cell><cell r="AE981" t="str"><v>Facebook</v></cell><cell r="AF981"><v>3654128</v></cell><cell r="AG981" t="str"><v>FACEBOOK»USA-Trial-ITD-Interest Prospecting-AZR-AZR»1 x 1»SocialBan»LIA»ALL»CPA»PRO»X»NA»SS»NA»FreeAcctITProFB-AnimatedSecureMngd-Ch1»PRC1T4</v></cell><cell r="AH981"><v>224104914</v></cell><cell r="AI981" t="str"><v>AZR_FreeAcctITProFB-AnimatedSecureMngd-Ch1_USA_1200x1200_CAN_Direct_English_Trial_Standard_ANI_LEA_T1_1</v></cell><cell r="AJ981"><v>103176830</v></cell></row><row r="982"><cell r="C982" t="str"><v>43289FACEBOOK»USA-Trial-ITD-Retargeting-AZR-AZR»1 x 1»SocialBan»LIA»ALL»CPA»RT»X»NA»SS»NA»FreeAcctDeveloperFB-AnimatedAI-Ch3»PRC26H</v></cell><cell r="D982" t="str"><v>43289223863371</v></cell><cell r="E982" t="str"><v>43289103032778PRC26H</v></cell><cell r="F982" t="str"><v>DCM</v></cell></row><row r="982"><cell r="K982" t="str"><v>July</v></cell><cell r="L982"><v>43295</v></cell><cell r="M982" t="str"><v>Tier 0</v></cell><cell r="N982" t="str"><v>North America</v></cell><cell r="O982" t="str"><v>United States</v></cell><cell r="P982" t="str"><v>Trial</v></cell><cell r="Q982" t="str"><v>Social</v></cell><cell r="R982" t="str"><v>Azure</v></cell><cell r="S982" t="str"><v>Apps & Infra</v></cell><cell r="T982" t="str"><v>Developers & ITI's</v></cell><cell r="U982" t="str"><v>USA-Trial-ITD-Retargeting-AZR-AZR</v></cell><cell r="V982" t="str"><v>Retargeting</v></cell><cell r="W982" t="str"><v>Link Ad</v></cell><cell r="X982" t="str"><v>1x1</v></cell></row><row r="982"><cell r="AA982"><v>43289</v></cell><cell r="AB982" t="str"><v>USA_gaPMG_AZR_AZR_Q1_19_Direct-Social</v></cell><cell r="AC982"><v>21358715</v></cell><cell r="AD982"><v>720197</v></cell><cell r="AE982" t="str"><v>Facebook</v></cell><cell r="AF982"><v>3654128</v></cell><cell r="AG982" t="str"><v>FACEBOOK»USA-Trial-ITD-Retargeting-AZR-AZR»1 x 1»SocialBan»LIA»ALL»CPA»RT»X»NA»SS»NA»FreeAcctDeveloperFB-AnimatedAI-Ch3»PRC26H</v></cell><cell r="AH982"><v>223863371</v></cell><cell r="AI982" t="str"><v>AZR_FreeAcctDeveloperFB-AnimatedAI-Ch3_USA_1200x1200_CAN_Direct_English_Trial_Standard_ANI_LEA_T3_1</v></cell><cell r="AJ982"><v>103032778</v></cell></row><row r="983"><cell r="C983" t="str"><v>43289FACEBOOK»USA-Trial-ITD-Retargeting-AZR-AZR»1 x 1»SocialBan»LIA»ALL»CPA»RT»X»NA»SS»NA»FreeAcctDeveloperFB-AnimatedData-Ch4»PRC26J</v></cell><cell r="D983" t="str"><v>43289224106078</v></cell><cell r="E983" t="str"><v>43289103037935PRC26J</v></cell><cell r="F983" t="str"><v>DCM</v></cell></row><row r="983"><cell r="K983" t="str"><v>July</v></cell><cell r="L983"><v>43295</v></cell><cell r="M983" t="str"><v>Tier 0</v></cell><cell r="N983" t="str"><v>North America</v></cell><cell r="O983" t="str"><v>United States</v></cell><cell r="P983" t="str"><v>Trial</v></cell><cell r="Q983" t="str"><v>Social</v></cell><cell r="R983" t="str"><v>Azure</v></cell><cell r="S983" t="str"><v>Apps & Infra</v></cell><cell r="T983" t="str"><v>Developers & ITI's</v></cell><cell r="U983" t="str"><v>USA-Trial-ITD-Retargeting-AZR-AZR</v></cell><cell r="V983" t="str"><v>Retargeting</v></cell><cell r="W983" t="str"><v>Link Ad</v></cell><cell r="X983" t="str"><v>1x1</v></cell></row><row r="983"><cell r="AA983"><v>43289</v></cell><cell r="AB983" t="str"><v>USA_gaPMG_AZR_AZR_Q1_19_Direct-Social</v></cell><cell r="AC983"><v>21358715</v></cell><cell r="AD983"><v>720197</v></cell><cell r="AE983" t="str"><v>Facebook</v></cell><cell r="AF983"><v>3654128</v></cell><cell r="AG983" t="str"><v>FACEBOOK»USA-Trial-ITD-Retargeting-AZR-AZR»1 x 1»SocialBan»LIA»ALL»CPA»RT»X»NA»SS»NA»FreeAcctDeveloperFB-AnimatedData-Ch4»PRC26J</v></cell><cell r="AH983"><v>224106078</v></cell><cell r="AI983" t="str"><v>AZR_FreeAcctDeveloperFB-AnimatedData-Ch4_USA_1200x1200_CAN_Direct_English_Trial_Standard_ANI_LEA_T4_2</v></cell><cell r="AJ983"><v>103037935</v></cell></row><row r="984"><cell r="C984" t="str"><v>43289FACEBOOK»USA-Trial-ITD-Retargeting-AZR-AZR»1 x 1»SocialBan»LIA»ALL»CPA»RT»X»NA»SS»NA»FreeAcctDeveloperFB-AnimatedOpenSource-Ch2»PRC26G</v></cell><cell r="D984" t="str"><v>43289223862873</v></cell><cell r="E984" t="str"><v>43289103048329PRC26G</v></cell><cell r="F984" t="str"><v>DCM</v></cell><cell r="G984" t="str"><v>https://azure.microsoft.com/en-us/free/open-source/search/?OCID=AID%eexcid!_OLA_%ebuy!_%epid!_%ecid!</v></cell></row><row r="984"><cell r="K984" t="str"><v>July</v></cell><cell r="L984"><v>43295</v></cell><cell r="M984" t="str"><v>Tier 0</v></cell><cell r="N984" t="str"><v>North America</v></cell><cell r="O984" t="str"><v>United States</v></cell><cell r="P984" t="str"><v>Trial</v></cell><cell r="Q984" t="str"><v>Social</v></cell><cell r="R984" t="str"><v>Azure</v></cell><cell r="S984" t="str"><v>Apps & Infra</v></cell><cell r="T984" t="str"><v>Developers & ITI's</v></cell><cell r="U984" t="str"><v>USA-Trial-ITD-Retargeting-AZR-AZR</v></cell><cell r="V984" t="str"><v>Retargeting</v></cell><cell r="W984" t="str"><v>Link Ad</v></cell><cell r="X984" t="str"><v>1x1</v></cell></row><row r="984"><cell r="AA984"><v>43289</v></cell><cell r="AB984" t="str"><v>USA_gaPMG_AZR_AZR_Q1_19_Direct-Social</v></cell><cell r="AC984"><v>21358715</v></cell><cell r="AD984"><v>720197</v></cell><cell r="AE984" t="str"><v>Facebook</v></cell><cell r="AF984"><v>3654128</v></cell><cell r="AG984" t="str"><v>FACEBOOK»USA-Trial-ITD-Retargeting-AZR-AZR»1 x 1»SocialBan»LIA»ALL»CPA»RT»X»NA»SS»NA»FreeAcctDeveloperFB-AnimatedOpenSource-Ch2»PRC26G</v></cell><cell r="AH984"><v>223862873</v></cell><cell r="AI984" t="str"><v>AZR_FreeAcctDeveloperFB-AnimatedOpenSource-Ch2_USA_1200x1200_CAN_Direct_English_Trial_Standard_ANI_LEA_T2_1</v></cell><cell r="AJ984"><v>103048329</v></cell></row><row r="985"><cell r="C985" t="str"><v>43289FACEBOOK»USA-Trial-ITD-Retargeting-AZR-AZR»1 x 1»SocialBan»LIA»ALL»CPA»RT»X»NA»SS»NA»FreeAcctITProFB-AnimatedMigration-Ch3»PRC26P</v></cell><cell r="D985" t="str"><v>43289223934056</v></cell><cell r="E985" t="str"><v>43289103176827PRC26P</v></cell><cell r="F985" t="str"><v>DCM</v></cell></row><row r="985"><cell r="K985" t="str"><v>July</v></cell><cell r="L985"><v>43295</v></cell><cell r="M985" t="str"><v>Tier 0</v></cell><cell r="N985" t="str"><v>North America</v></cell><cell r="O985" t="str"><v>United States</v></cell><cell r="P985" t="str"><v>Trial</v></cell><cell r="Q985" t="str"><v>Social</v></cell><cell r="R985" t="str"><v>Azure</v></cell><cell r="S985" t="str"><v>Apps & Infra</v></cell><cell r="T985" t="str"><v>Developers & ITI's</v></cell><cell r="U985" t="str"><v>USA-Trial-ITD-Retargeting-AZR-AZR</v></cell><cell r="V985" t="str"><v>Retargeting</v></cell><cell r="W985" t="str"><v>Link Ad</v></cell><cell r="X985" t="str"><v>1x1</v></cell></row><row r="985"><cell r="AA985"><v>43289</v></cell><cell r="AB985" t="str"><v>USA_gaPMG_AZR_AZR_Q1_19_Direct-Social</v></cell><cell r="AC985"><v>21358715</v></cell><cell r="AD985"><v>720197</v></cell><cell r="AE985" t="str"><v>Facebook</v></cell><cell r="AF985"><v>3654128</v></cell><cell r="AG985" t="str"><v>FACEBOOK»USA-Trial-ITD-Retargeting-AZR-AZR»1 x 1»SocialBan»LIA»ALL»CPA»RT»X»NA»SS»NA»FreeAcctITProFB-AnimatedMigration-Ch3»PRC26P</v></cell><cell r="AH985"><v>223934056</v></cell><cell r="AI985" t="str"><v>AZR_FreeAcctITProFB-AnimatedMigration-Ch3_USA_1200x1200_CAN_Direct_English_Trial_Standard_ANI_LEA_T3_1</v></cell><cell r="AJ985"><v>103176827</v></cell></row><row r="986"><cell r="C986" t="str"><v>43289FACEBOOK»USA-Trial-ITD-Retargeting-AZR-AZR»1 x 1»SocialBan»LIA»ALL»CPA»RT»X»NA»SS»NA»FreeAcctRetargetingFB-Credit-ChA»PRC1RV</v></cell><cell r="D986" t="str"><v>43289224106075</v></cell><cell r="E986" t="str"><v>43289103034917PRC1RV</v></cell><cell r="F986" t="str"><v>DCM</v></cell><cell r="G986" t="str"><v>https://azure.microsoft.com/en-us/free/search/?OCID=AID%eexcid!_OLA_%ebuy!_%epid!_%ecid!</v></cell></row><row r="986"><cell r="K986" t="str"><v>July</v></cell><cell r="L986"><v>43295</v></cell><cell r="M986" t="str"><v>Tier 0</v></cell><cell r="N986" t="str"><v>North America</v></cell><cell r="O986" t="str"><v>United States</v></cell><cell r="P986" t="str"><v>Trial</v></cell><cell r="Q986" t="str"><v>Social</v></cell><cell r="R986" t="str"><v>Azure</v></cell><cell r="S986" t="str"><v>Apps & Infra</v></cell><cell r="T986" t="str"><v>Developers & ITI's</v></cell><cell r="U986" t="str"><v>USA-Trial-ITD-Retargeting-AZR-AZR</v></cell><cell r="V986" t="str"><v>Retargeting</v></cell><cell r="W986" t="str"><v>Link Ad</v></cell><cell r="X986" t="str"><v>1x1</v></cell></row><row r="986"><cell r="AA986"><v>43289</v></cell><cell r="AB986" t="str"><v>USA_gaPMG_AZR_AZR_Q1_19_Direct-Social</v></cell><cell r="AC986"><v>21358715</v></cell><cell r="AD986"><v>720197</v></cell><cell r="AE986" t="str"><v>Facebook</v></cell><cell r="AF986"><v>3654128</v></cell><cell r="AG986" t="str"><v>FACEBOOK»USA-Trial-ITD-Retargeting-AZR-AZR»1 x 1»SocialBan»LIA»ALL»CPA»RT»X»NA»SS»NA»FreeAcctRetargetingFB-Credit-ChA»PRC1RV</v></cell><cell r="AH986"><v>224106075</v></cell><cell r="AI986" t="str"><v>AzurePlatform_FreeAcctRetargetingFB-Credit-ChA_USA_1200x628_CAN_PLATFORM_English_Free Account_Standard_NA_SINU_T1_2</v></cell><cell r="AJ986"><v>103034917</v></cell></row><row r="987"><cell r="C987" t="str"><v>43289FACEBOOK»USA-Trial-ITD-Retargeting-AZR-AZR»1 x 1»SocialBan»LIA»ALL»CPA»RT»X»NA»SS»NA»FreeAcctRetargetingFB-GlobalAlt-ChB»PRC1RW</v></cell><cell r="D987" t="str"><v>43289223862756</v></cell><cell r="E987" t="str"><v>43289103180592PRC1RW</v></cell><cell r="F987" t="str"><v>DCM</v></cell><cell r="G987" t="str"><v>https://azure.microsoft.com/en-us/free/search/?OCID=AID%eexcid!_OLA_%ebuy!_%epid!_%ecid!</v></cell></row><row r="987"><cell r="K987" t="str"><v>July</v></cell><cell r="L987"><v>43295</v></cell><cell r="M987" t="str"><v>Tier 0</v></cell><cell r="N987" t="str"><v>North America</v></cell><cell r="O987" t="str"><v>United States</v></cell><cell r="P987" t="str"><v>Trial</v></cell><cell r="Q987" t="str"><v>Social</v></cell><cell r="R987" t="str"><v>Azure</v></cell><cell r="S987" t="str"><v>Apps & Infra</v></cell><cell r="T987" t="str"><v>Developers & ITI's</v></cell><cell r="U987" t="str"><v>USA-Trial-ITD-Retargeting-AZR-AZR</v></cell><cell r="V987" t="str"><v>Retargeting</v></cell><cell r="W987" t="str"><v>Link Ad</v></cell><cell r="X987" t="str"><v>1x1</v></cell></row><row r="987"><cell r="AA987"><v>43289</v></cell><cell r="AB987" t="str"><v>USA_gaPMG_AZR_AZR_Q1_19_Direct-Social</v></cell><cell r="AC987"><v>21358715</v></cell><cell r="AD987"><v>720197</v></cell><cell r="AE987" t="str"><v>Facebook</v></cell><cell r="AF987"><v>3654128</v></cell><cell r="AG987" t="str"><v>FACEBOOK»USA-Trial-ITD-Retargeting-AZR-AZR»1 x 1»SocialBan»LIA»ALL»CPA»RT»X»NA»SS»NA»FreeAcctRetargetingFB-GlobalAlt-ChB»PRC1RW</v></cell><cell r="AH987"><v>223862756</v></cell><cell r="AI987" t="str"><v>AzurePlatform_FreeAcctRetargetingFB-GlobalAlt-ChB_USA_1200x628_CAN_PLATFORM_English_Free Account_Standard_NA_SINU_T2_1</v></cell><cell r="AJ987"><v>103180592</v></cell></row><row r="988"><cell r="C988" t="str"><v>43289FACEBOOK»USA-Trial-ITD-Retargeting-AZR-AZR»1 x 1»SocialBan»LIA»ALL»CPA»RT»X»NA»SS»NA»FreeAcctRetargetingVMFB-750Hrs-ChD»PRC1RY</v></cell><cell r="D988" t="str"><v>43289223862747</v></cell><cell r="E988" t="str"><v>43289103034911PRC1RY</v></cell><cell r="F988" t="str"><v>DCM</v></cell><cell r="G988" t="str"><v>https://azure.microsoft.com/en-us/free/virtual-machines/search/?OCID=AID%eexcid!_OLA_%ebuy!_%epid!_%ecid!</v></cell></row><row r="988"><cell r="K988" t="str"><v>July</v></cell><cell r="L988"><v>43295</v></cell><cell r="M988" t="str"><v>Tier 0</v></cell><cell r="N988" t="str"><v>North America</v></cell><cell r="O988" t="str"><v>United States</v></cell><cell r="P988" t="str"><v>Trial</v></cell><cell r="Q988" t="str"><v>Social</v></cell><cell r="R988" t="str"><v>Azure</v></cell><cell r="S988" t="str"><v>Apps & Infra</v></cell><cell r="T988" t="str"><v>Developers & ITI's</v></cell><cell r="U988" t="str"><v>USA-Trial-ITD-Retargeting-AZR-AZR</v></cell><cell r="V988" t="str"><v>Retargeting</v></cell><cell r="W988" t="str"><v>Link Ad</v></cell><cell r="X988" t="str"><v>1x1</v></cell></row><row r="988"><cell r="AA988"><v>43289</v></cell><cell r="AB988" t="str"><v>USA_gaPMG_AZR_AZR_Q1_19_Direct-Social</v></cell><cell r="AC988"><v>21358715</v></cell><cell r="AD988"><v>720197</v></cell><cell r="AE988" t="str"><v>Facebook</v></cell><cell r="AF988"><v>3654128</v></cell><cell r="AG988" t="str"><v>FACEBOOK»USA-Trial-ITD-Retargeting-AZR-AZR»1 x 1»SocialBan»LIA»ALL»CPA»RT»X»NA»SS»NA»FreeAcctRetargetingVMFB-750Hrs-ChD»PRC1RY</v></cell><cell r="AH988"><v>223862747</v></cell><cell r="AI988" t="str"><v>AzurePlatform_FreeAcctRetargetingVMFB-750Hrs-ChD_USA_1200x628_CAN_PLATFORM_English_Free Account_Standard_NA_SINU_T1_1</v></cell><cell r="AJ988"><v>103034911</v></cell></row><row r="989"><cell r="C989" t="str"><v>43289FACEBOOK»USA-Trial-ITD-Retargeting-AZR-AZR»1 x 1»SocialBan»CAN»ALL»CPA»RT»X»NA»SS»NA»FBCTCBenefit2inMotion»PRC1RR</v></cell><cell r="D989" t="str"><v>43289224104896</v></cell><cell r="E989" t="str"><v>43289103043835PRC1RR</v></cell><cell r="F989" t="str"><v>DCM</v></cell><cell r="G989" t="str"><v>https://signup.azure.com/?OCID=AID%eexcid!_OLA_%ebuy!_%epid!_%ecid!</v></cell></row><row r="989"><cell r="K989" t="str"><v>July</v></cell><cell r="L989"><v>43295</v></cell><cell r="M989" t="str"><v>Tier 0</v></cell><cell r="N989" t="str"><v>North America</v></cell><cell r="O989" t="str"><v>United States</v></cell><cell r="P989" t="str"><v>Trial</v></cell><cell r="Q989" t="str"><v>Social</v></cell><cell r="R989" t="str"><v>Azure</v></cell><cell r="S989" t="str"><v>Apps & Infra</v></cell><cell r="T989" t="str"><v>Developers & ITI's</v></cell><cell r="U989" t="str"><v>USA-Trial-ITD-Retargeting-AZR-AZR</v></cell><cell r="V989" t="str"><v>Retargeting</v></cell><cell r="W989" t="str"><v>Canvas Ad</v></cell><cell r="X989" t="str"><v>1x1</v></cell></row><row r="989"><cell r="AA989"><v>43289</v></cell><cell r="AB989" t="str"><v>USA_gaPMG_AZR_AZR_Q1_19_Direct-Social</v></cell><cell r="AC989"><v>21358715</v></cell><cell r="AD989"><v>720197</v></cell><cell r="AE989" t="str"><v>Facebook</v></cell><cell r="AF989"><v>3654128</v></cell><cell r="AG989" t="str"><v>FACEBOOK»USA-Trial-ITD-Retargeting-AZR-AZR»1 x 1»SocialBan»CAN»ALL»CPA»RT»X»NA»SS»NA»FBCTCBenefit2inMotion»PRC1RR</v></cell><cell r="AH989"><v>224104896</v></cell><cell r="AI989" t="str"><v>AzurePlatform_FBCTCBenefit2inMotion_USA_10s_CAN_PLATFORM_English_Trial_Standard_STAN_TIN_T4_1</v></cell><cell r="AJ989"><v>103043835</v></cell></row><row r="990"><cell r="C990" t="str"><v>43289FACEBOOK»USA-Trial-ITD-Retargeting-AZR-AZR»1 x 1»SocialBan»CAN»ALL»CPA»RT»X»NA»SS»NA»FBCTCBenefit2inMotion»PRC1RR</v></cell><cell r="D990" t="str"><v>43289224104896</v></cell><cell r="E990" t="str"><v>43289103178645PRC1RR</v></cell><cell r="F990" t="str"><v>DCM</v></cell><cell r="G990" t="str"><v>https://azure.microsoft.com/en-us/pricing/purchase-options/?v=18.19&OCID=AID%eexcid!_OLA_%ebuy!_%epid!_%ecid!</v></cell></row><row r="990"><cell r="K990" t="str"><v>July</v></cell><cell r="L990"><v>43295</v></cell><cell r="M990" t="str"><v>Tier 0</v></cell><cell r="N990" t="str"><v>North America</v></cell><cell r="O990" t="str"><v>United States</v></cell><cell r="P990" t="str"><v>Trial</v></cell><cell r="Q990" t="str"><v>Social</v></cell><cell r="R990" t="str"><v>Azure</v></cell><cell r="S990" t="str"><v>Apps & Infra</v></cell><cell r="T990" t="str"><v>Developers & ITI's</v></cell><cell r="U990" t="str"><v>USA-Trial-ITD-Retargeting-AZR-AZR</v></cell><cell r="V990" t="str"><v>Retargeting</v></cell><cell r="W990" t="str"><v>Canvas Ad</v></cell><cell r="X990" t="str"><v>1x1</v></cell></row><row r="990"><cell r="AA990"><v>43289</v></cell><cell r="AB990" t="str"><v>USA_gaPMG_AZR_AZR_Q1_19_Direct-Social</v></cell><cell r="AC990"><v>21358715</v></cell><cell r="AD990"><v>720197</v></cell><cell r="AE990" t="str"><v>Facebook</v></cell><cell r="AF990"><v>3654128</v></cell><cell r="AG990" t="str"><v>FACEBOOK»USA-Trial-ITD-Retargeting-AZR-AZR»1 x 1»SocialBan»CAN»ALL»CPA»RT»X»NA»SS»NA»FBCTCBenefit2inMotion»PRC1RR</v></cell><cell r="AH990"><v>224104896</v></cell><cell r="AI990" t="str"><v>AzurePlatform_FBCTCBenefit2inMotion_USA_10s_CAN_PLATFORM_English_Trial_Standard_STAN_TIN_T4_2</v></cell><cell r="AJ990"><v>103178645</v></cell></row><row r="991"><cell r="C991" t="str"><v>43289FACEBOOK»USA-Trial-ITD-Retargeting-AZR-AZR»1 x 1»SocialBan»CAN»ALL»CPA»RT»X»NA»SS»NA»FBCTCBrandinMotion»PRC1RT</v></cell><cell r="D991" t="str"><v>43289224106069</v></cell><cell r="E991" t="str"><v>43289103176812PRC1RT</v></cell><cell r="F991" t="str"><v>DCM</v></cell><cell r="G991" t="str"><v>https://signup.azure.com/?OCID=AID%eexcid!_OLA_%ebuy!_%epid!_%ecid!</v></cell></row><row r="991"><cell r="K991" t="str"><v>July</v></cell><cell r="L991"><v>43295</v></cell><cell r="M991" t="str"><v>Tier 0</v></cell><cell r="N991" t="str"><v>North America</v></cell><cell r="O991" t="str"><v>United States</v></cell><cell r="P991" t="str"><v>Trial</v></cell><cell r="Q991" t="str"><v>Social</v></cell><cell r="R991" t="str"><v>Azure</v></cell><cell r="S991" t="str"><v>Apps & Infra</v></cell><cell r="T991" t="str"><v>Developers & ITI's</v></cell><cell r="U991" t="str"><v>USA-Trial-ITD-Retargeting-AZR-AZR</v></cell><cell r="V991" t="str"><v>Retargeting</v></cell><cell r="W991" t="str"><v>Canvas Ad</v></cell><cell r="X991" t="str"><v>1x1</v></cell></row><row r="991"><cell r="AA991"><v>43289</v></cell><cell r="AB991" t="str"><v>USA_gaPMG_AZR_AZR_Q1_19_Direct-Social</v></cell><cell r="AC991"><v>21358715</v></cell><cell r="AD991"><v>720197</v></cell><cell r="AE991" t="str"><v>Facebook</v></cell><cell r="AF991"><v>3654128</v></cell><cell r="AG991" t="str"><v>FACEBOOK»USA-Trial-ITD-Retargeting-AZR-AZR»1 x 1»SocialBan»CAN»ALL»CPA»RT»X»NA»SS»NA»FBCTCBrandinMotion»PRC1RT</v></cell><cell r="AH991"><v>224106069</v></cell><cell r="AI991" t="str"><v>AzurePlatform_FBCTCBrandinMotion_USA_10s_CAN_PLATFORM_English_Trial_Standard_STAN_TIN_T2_1</v></cell><cell r="AJ991"><v>103176812</v></cell></row><row r="992"><cell r="C992" t="str"><v>43289FACEBOOK»USA-Trial-ITD-Retargeting-AZR-AZR»1 x 1»SocialBan»CAN»ALL»CPA»RT»X»NA»SS»NA»FBCTCBrandinMotion»PRC1RT</v></cell><cell r="D992" t="str"><v>43289224106069</v></cell><cell r="E992" t="str"><v>43289103032823PRC1RT</v></cell><cell r="F992" t="str"><v>DCM</v></cell><cell r="G992" t="str"><v>https://azure.microsoft.com/en-us/pricing/purchase-options/?v=18.19&OCID=AID%eexcid!_OLA_%ebuy!_%epid!_%ecid!</v></cell></row><row r="992"><cell r="K992" t="str"><v>July</v></cell><cell r="L992"><v>43295</v></cell><cell r="M992" t="str"><v>Tier 0</v></cell><cell r="N992" t="str"><v>North America</v></cell><cell r="O992" t="str"><v>United States</v></cell><cell r="P992" t="str"><v>Trial</v></cell><cell r="Q992" t="str"><v>Social</v></cell><cell r="R992" t="str"><v>Azure</v></cell><cell r="S992" t="str"><v>Apps & Infra</v></cell><cell r="T992" t="str"><v>Developers & ITI's</v></cell><cell r="U992" t="str"><v>USA-Trial-ITD-Retargeting-AZR-AZR</v></cell><cell r="V992" t="str"><v>Retargeting</v></cell><cell r="W992" t="str"><v>Canvas Ad</v></cell><cell r="X992" t="str"><v>1x1</v></cell></row><row r="992"><cell r="AA992"><v>43289</v></cell><cell r="AB992" t="str"><v>USA_gaPMG_AZR_AZR_Q1_19_Direct-Social</v></cell><cell r="AC992"><v>21358715</v></cell><cell r="AD992"><v>720197</v></cell><cell r="AE992" t="str"><v>Facebook</v></cell><cell r="AF992"><v>3654128</v></cell><cell r="AG992" t="str"><v>FACEBOOK»USA-Trial-ITD-Retargeting-AZR-AZR»1 x 1»SocialBan»CAN»ALL»CPA»RT»X»NA»SS»NA»FBCTCBrandinMotion»PRC1RT</v></cell><cell r="AH992"><v>224106069</v></cell><cell r="AI992" t="str"><v>AzurePlatform_FBCTCBrandinMotion_USA_10s_CAN_PLATFORM_English_Trial_Standard_STAN_TIN_T2_2</v></cell><cell r="AJ992"><v>103032823</v></cell></row><row r="993"><cell r="C993" t="str"><v>43289FACEBOOK»USA-Trial-ITD-Trial Lookalike-AZR-AZR»1 x 1»SocialBan»CAN»ALL»CPA»LAL»X»NA»SS»NA»FBCTCBenefit2inMotion»PRC1M0</v></cell><cell r="D993" t="str"><v>43289223862927</v></cell><cell r="E993" t="str"><v>43289103043835PRC1M0</v></cell><cell r="F993" t="str"><v>DCM</v></cell><cell r="G993" t="str"><v>https://signup.azure.com/?OCID=AID%eexcid!_OLA_%ebuy!_%epid!_%ecid!</v></cell></row><row r="993"><cell r="K993" t="str"><v>July</v></cell><cell r="L993"><v>43295</v></cell><cell r="M993" t="str"><v>Tier 0</v></cell><cell r="N993" t="str"><v>North America</v></cell><cell r="O993" t="str"><v>United States</v></cell><cell r="P993" t="str"><v>Trial</v></cell><cell r="Q993" t="str"><v>Social</v></cell><cell r="R993" t="str"><v>Azure</v></cell><cell r="S993" t="str"><v>Apps & Infra</v></cell><cell r="T993" t="str"><v>Developers & ITI's</v></cell><cell r="U993" t="str"><v>USA-Trial-ITD-Trial Lookalike-AZR-AZR</v></cell><cell r="V993" t="str"><v>Lookalike Targeting</v></cell><cell r="W993" t="str"><v>Canvas Ad</v></cell><cell r="X993" t="str"><v>1x1</v></cell></row><row r="993"><cell r="AA993"><v>43289</v></cell><cell r="AB993" t="str"><v>USA_gaPMG_AZR_AZR_Q1_19_Direct-Social</v></cell><cell r="AC993"><v>21358715</v></cell><cell r="AD993"><v>720197</v></cell><cell r="AE993" t="str"><v>Facebook</v></cell><cell r="AF993"><v>3654128</v></cell><cell r="AG993" t="str"><v>FACEBOOK»USA-Trial-ITD-Trial Lookalike-AZR-AZR»1 x 1»SocialBan»CAN»ALL»CPA»LAL»X»NA»SS»NA»FBCTCBenefit2inMotion»PRC1M0</v></cell><cell r="AH993"><v>223862927</v></cell><cell r="AI993" t="str"><v>AzurePlatform_FBCTCBenefit2inMotion_USA_10s_CAN_PLATFORM_English_Trial_Standard_STAN_TIN_T4_1</v></cell><cell r="AJ993"><v>103043835</v></cell></row><row r="994"><cell r="C994" t="str"><v>43289FACEBOOK»USA-Trial-ITD-Trial Lookalike-AZR-AZR»1 x 1»SocialBan»CAN»ALL»CPA»LAL»X»NA»SS»NA»FBCTCBenefit2inMotion»PRC1M0</v></cell><cell r="D994" t="str"><v>43289223862927</v></cell><cell r="E994" t="str"><v>43289103178645PRC1M0</v></cell><cell r="F994" t="str"><v>DCM</v></cell><cell r="G994" t="str"><v>https://azure.microsoft.com/en-us/pricing/purchase-options/?v=18.19&OCID=AID%eexcid!_OLA_%ebuy!_%epid!_%ecid!</v></cell></row><row r="994"><cell r="K994" t="str"><v>July</v></cell><cell r="L994"><v>43295</v></cell><cell r="M994" t="str"><v>Tier 0</v></cell><cell r="N994" t="str"><v>North America</v></cell><cell r="O994" t="str"><v>United States</v></cell><cell r="P994" t="str"><v>Trial</v></cell><cell r="Q994" t="str"><v>Social</v></cell><cell r="R994" t="str"><v>Azure</v></cell><cell r="S994" t="str"><v>Apps & Infra</v></cell><cell r="T994" t="str"><v>Developers & ITI's</v></cell><cell r="U994" t="str"><v>USA-Trial-ITD-Trial Lookalike-AZR-AZR</v></cell><cell r="V994" t="str"><v>Lookalike Targeting</v></cell><cell r="W994" t="str"><v>Canvas Ad</v></cell><cell r="X994" t="str"><v>1x1</v></cell></row><row r="994"><cell r="AA994"><v>43289</v></cell><cell r="AB994" t="str"><v>USA_gaPMG_AZR_AZR_Q1_19_Direct-Social</v></cell><cell r="AC994"><v>21358715</v></cell><cell r="AD994"><v>720197</v></cell><cell r="AE994" t="str"><v>Facebook</v></cell><cell r="AF994"><v>3654128</v></cell><cell r="AG994" t="str"><v>FACEBOOK»USA-Trial-ITD-Trial Lookalike-AZR-AZR»1 x 1»SocialBan»CAN»ALL»CPA»LAL»X»NA»SS»NA»FBCTCBenefit2inMotion»PRC1M0</v></cell><cell r="AH994"><v>223862927</v></cell><cell r="AI994" t="str"><v>AzurePlatform_FBCTCBenefit2inMotion_USA_10s_CAN_PLATFORM_English_Trial_Standard_STAN_TIN_T4_2</v></cell><cell r="AJ994"><v>103178645</v></cell></row><row r="995"><cell r="C995" t="str"><v>43289FACEBOOK»USA-Trial-ITD-Trial Lookalike-AZR-AZR»1 x 1»SocialBan»LIA»ALL»CPA»LAL»X»NA»SS»NA»FreeAcctDeveloperFB-AnimatedAI-Ch3»PRC1M7</v></cell><cell r="D995" t="str"><v>43289223934104</v></cell><cell r="E995" t="str"><v>43289103032778PRC1M7</v></cell><cell r="F995" t="str"><v>DCM</v></cell></row><row r="995"><cell r="K995" t="str"><v>July</v></cell><cell r="L995"><v>43295</v></cell><cell r="M995" t="str"><v>Tier 0</v></cell><cell r="N995" t="str"><v>North America</v></cell><cell r="O995" t="str"><v>United States</v></cell><cell r="P995" t="str"><v>Trial</v></cell><cell r="Q995" t="str"><v>Social</v></cell><cell r="R995" t="str"><v>Azure</v></cell><cell r="S995" t="str"><v>Apps & Infra</v></cell><cell r="T995" t="str"><v>Developers & ITI's</v></cell><cell r="U995" t="str"><v>USA-Trial-ITD-Trial Lookalike-AZR-AZR</v></cell><cell r="V995" t="str"><v>Lookalike Targeting</v></cell><cell r="W995" t="str"><v>Link Ad</v></cell><cell r="X995" t="str"><v>1x1</v></cell></row><row r="995"><cell r="AA995"><v>43289</v></cell><cell r="AB995" t="str"><v>USA_gaPMG_AZR_AZR_Q1_19_Direct-Social</v></cell><cell r="AC995"><v>21358715</v></cell><cell r="AD995"><v>720197</v></cell><cell r="AE995" t="str"><v>Facebook</v></cell><cell r="AF995"><v>3654128</v></cell><cell r="AG995" t="str"><v>FACEBOOK»USA-Trial-ITD-Trial Lookalike-AZR-AZR»1 x 1»SocialBan»LIA»ALL»CPA»LAL»X»NA»SS»NA»FreeAcctDeveloperFB-AnimatedAI-Ch3»PRC1M7</v></cell><cell r="AH995"><v>223934104</v></cell><cell r="AI995" t="str"><v>AZR_FreeAcctDeveloperFB-AnimatedAI-Ch3_USA_1200x1200_CAN_Direct_English_Trial_Standard_ANI_LEA_T3_1</v></cell><cell r="AJ995"><v>103032778</v></cell></row><row r="996"><cell r="C996" t="str"><v>43289FACEBOOK»USA-Trial-ITD-Trial Lookalike-AZR-AZR»1 x 1»SocialBan»LIA»ALL»CPA»LAL»X»NA»SS»NA»FreeAcctDeveloperFB-AnimatedData-Ch4»PRC1M8</v></cell><cell r="D996" t="str"><v>43289223862933</v></cell><cell r="E996" t="str"><v>43289103037935PRC1M8</v></cell><cell r="F996" t="str"><v>DCM</v></cell></row><row r="996"><cell r="K996" t="str"><v>July</v></cell><cell r="L996"><v>43295</v></cell><cell r="M996" t="str"><v>Tier 0</v></cell><cell r="N996" t="str"><v>North America</v></cell><cell r="O996" t="str"><v>United States</v></cell><cell r="P996" t="str"><v>Trial</v></cell><cell r="Q996" t="str"><v>Social</v></cell><cell r="R996" t="str"><v>Azure</v></cell><cell r="S996" t="str"><v>Apps & Infra</v></cell><cell r="T996" t="str"><v>Developers & ITI's</v></cell><cell r="U996" t="str"><v>USA-Trial-ITD-Trial Lookalike-AZR-AZR</v></cell><cell r="V996" t="str"><v>Lookalike Targeting</v></cell><cell r="W996" t="str"><v>Link Ad</v></cell><cell r="X996" t="str"><v>1x1</v></cell></row><row r="996"><cell r="AA996"><v>43289</v></cell><cell r="AB996" t="str"><v>USA_gaPMG_AZR_AZR_Q1_19_Direct-Social</v></cell><cell r="AC996"><v>21358715</v></cell><cell r="AD996"><v>720197</v></cell><cell r="AE996" t="str"><v>Facebook</v></cell><cell r="AF996"><v>3654128</v></cell><cell r="AG996" t="str"><v>FACEBOOK»USA-Trial-ITD-Trial Lookalike-AZR-AZR»1 x 1»SocialBan»LIA»ALL»CPA»LAL»X»NA»SS»NA»FreeAcctDeveloperFB-AnimatedData-Ch4»PRC1M8</v></cell><cell r="AH996"><v>223862933</v></cell><cell r="AI996" t="str"><v>AZR_FreeAcctDeveloperFB-AnimatedData-Ch4_USA_1200x1200_CAN_Direct_English_Trial_Standard_ANI_LEA_T4_2</v></cell><cell r="AJ996"><v>103037935</v></cell></row><row r="997"><cell r="C997" t="str"><v>43289FACEBOOK»USA-Trial-ITD-Trial Lookalike-AZR-AZR»1 x 1»SocialBan»LIA»ALL»CPA»LAL»X»NA»SS»NA»FreeAcctITProFB-AnimatedHybrid-Ch2»PRC1MC</v></cell><cell r="D997" t="str"><v>43289224104956</v></cell><cell r="E997" t="str"><v>43289103180583PRC1MC</v></cell><cell r="F997" t="str"><v>DCM</v></cell></row><row r="997"><cell r="K997" t="str"><v>July</v></cell><cell r="L997"><v>43295</v></cell><cell r="M997" t="str"><v>Tier 0</v></cell><cell r="N997" t="str"><v>North America</v></cell><cell r="O997" t="str"><v>United States</v></cell><cell r="P997" t="str"><v>Trial</v></cell><cell r="Q997" t="str"><v>Social</v></cell><cell r="R997" t="str"><v>Azure</v></cell><cell r="S997" t="str"><v>Apps & Infra</v></cell><cell r="T997" t="str"><v>Developers & ITI's</v></cell><cell r="U997" t="str"><v>USA-Trial-ITD-Trial Lookalike-AZR-AZR</v></cell><cell r="V997" t="str"><v>Lookalike Targeting</v></cell><cell r="W997" t="str"><v>Link Ad</v></cell><cell r="X997" t="str"><v>1x1</v></cell></row><row r="997"><cell r="AA997"><v>43289</v></cell><cell r="AB997" t="str"><v>USA_gaPMG_AZR_AZR_Q1_19_Direct-Social</v></cell><cell r="AC997"><v>21358715</v></cell><cell r="AD997"><v>720197</v></cell><cell r="AE997" t="str"><v>Facebook</v></cell><cell r="AF997"><v>3654128</v></cell><cell r="AG997" t="str"><v>FACEBOOK»USA-Trial-ITD-Trial Lookalike-AZR-AZR»1 x 1»SocialBan»LIA»ALL»CPA»LAL»X»NA»SS»NA»FreeAcctITProFB-AnimatedHybrid-Ch2»PRC1MC</v></cell><cell r="AH997"><v>224104956</v></cell><cell r="AI997" t="str"><v>AZR_FreeAcctITProFB-AnimatedHybrid-Ch2_USA_1200x1200_CAN_Direct_English_Trial_Standard_ANI_LEA_T2_2</v></cell><cell r="AJ997"><v>103180583</v></cell></row><row r="998"><cell r="C998" t="str"><v>43289FACEBOOK»USA-Trial-ITD-Trial Lookalike-AZR-AZR»1 x 1»SocialBan»CAN»ALL»CPA»LAL»X»NA»SS»NA»FBCTCBrandinMotion»PRC1M3</v></cell><cell r="D998" t="str"><v>43289223862900</v></cell><cell r="E998" t="str"><v>43289103176812PRC1M3</v></cell><cell r="F998" t="str"><v>DCM</v></cell><cell r="G998" t="str"><v>https://signup.azure.com/?OCID=AID%eexcid!_OLA_%ebuy!_%epid!_%ecid!</v></cell></row><row r="998"><cell r="K998" t="str"><v>July</v></cell><cell r="L998"><v>43295</v></cell><cell r="M998" t="str"><v>Tier 0</v></cell><cell r="N998" t="str"><v>North America</v></cell><cell r="O998" t="str"><v>United States</v></cell><cell r="P998" t="str"><v>Trial</v></cell><cell r="Q998" t="str"><v>Social</v></cell><cell r="R998" t="str"><v>Azure</v></cell><cell r="S998" t="str"><v>Apps & Infra</v></cell><cell r="T998" t="str"><v>Developers & ITI's</v></cell><cell r="U998" t="str"><v>USA-Trial-ITD-Trial Lookalike-AZR-AZR</v></cell><cell r="V998" t="str"><v>Lookalike Targeting</v></cell><cell r="W998" t="str"><v>Canvas Ad</v></cell><cell r="X998" t="str"><v>1x1</v></cell></row><row r="998"><cell r="AA998"><v>43289</v></cell><cell r="AB998" t="str"><v>USA_gaPMG_AZR_AZR_Q1_19_Direct-Social</v></cell><cell r="AC998"><v>21358715</v></cell><cell r="AD998"><v>720197</v></cell><cell r="AE998" t="str"><v>Facebook</v></cell><cell r="AF998"><v>3654128</v></cell><cell r="AG998" t="str"><v>FACEBOOK»USA-Trial-ITD-Trial Lookalike-AZR-AZR»1 x 1»SocialBan»CAN»ALL»CPA»LAL»X»NA»SS»NA»FBCTCBrandinMotion»PRC1M3</v></cell><cell r="AH998"><v>223862900</v></cell><cell r="AI998" t="str"><v>AzurePlatform_FBCTCBrandinMotion_USA_10s_CAN_PLATFORM_English_Trial_Standard_STAN_TIN_T2_1</v></cell><cell r="AJ998"><v>103176812</v></cell></row><row r="999"><cell r="C999" t="str"><v>43289FACEBOOK»USA-Trial-ITD-Trial Lookalike-AZR-AZR»1 x 1»SocialBan»CAN»ALL»CPA»LAL»X»NA»SS»NA»FBCTCBrandinMotion»PRC1M3</v></cell><cell r="D999" t="str"><v>43289223862900</v></cell><cell r="E999" t="str"><v>43289103032823PRC1M3</v></cell><cell r="F999" t="str"><v>DCM</v></cell><cell r="G999" t="str"><v>https://azure.microsoft.com/en-us/pricing/purchase-options/?v=18.19&OCID=AID%eexcid!_OLA_%ebuy!_%epid!_%ecid!</v></cell></row><row r="999"><cell r="K999" t="str"><v>July</v></cell><cell r="L999"><v>43295</v></cell><cell r="M999" t="str"><v>Tier 0</v></cell><cell r="N999" t="str"><v>North America</v></cell><cell r="O999" t="str"><v>United States</v></cell><cell r="P999" t="str"><v>Trial</v></cell><cell r="Q999" t="str"><v>Social</v></cell><cell r="R999" t="str"><v>Azure</v></cell><cell r="S999" t="str"><v>Apps & Infra</v></cell><cell r="T999" t="str"><v>Developers & ITI's</v></cell><cell r="U999" t="str"><v>USA-Trial-ITD-Trial Lookalike-AZR-AZR</v></cell><cell r="V999" t="str"><v>Lookalike Targeting</v></cell><cell r="W999" t="str"><v>Canvas Ad</v></cell><cell r="X999" t="str"><v>1x1</v></cell></row><row r="999"><cell r="AA999"><v>43289</v></cell><cell r="AB999" t="str"><v>USA_gaPMG_AZR_AZR_Q1_19_Direct-Social</v></cell><cell r="AC999"><v>21358715</v></cell><cell r="AD999"><v>720197</v></cell><cell r="AE999" t="str"><v>Facebook</v></cell><cell r="AF999"><v>3654128</v></cell><cell r="AG999" t="str"><v>FACEBOOK»USA-Trial-ITD-Trial Lookalike-AZR-AZR»1 x 1»SocialBan»CAN»ALL»CPA»LAL»X»NA»SS»NA»FBCTCBrandinMotion»PRC1M3</v></cell><cell r="AH999"><v>223862900</v></cell><cell r="AI999" t="str"><v>AzurePlatform_FBCTCBrandinMotion_USA_10s_CAN_PLATFORM_English_Trial_Standard_STAN_TIN_T2_2</v></cell><cell r="AJ999"><v>103032823</v></cell></row><row r="1000"><cell r="C1000" t="str"><v>43289FACEBOOK»USA-Trial-ITD-Trial PayGo Lookalike-AZR-AZR»1 x 1»SocialBan»CAN»ALL»CPA»LAL»X»NA»SS»NA»FBCTCBenefit2inMotion»PRC1Q1</v></cell><cell r="D1000" t="str"><v>43289224104986</v></cell><cell r="E1000" t="str"><v>43289103043835PRC1Q1</v></cell><cell r="F1000" t="str"><v>DCM</v></cell><cell r="G1000" t="str"><v>https://signup.azure.com/?OCID=AID%eexcid!_OLA_%ebuy!_%epid!_%ecid!</v></cell></row><row r="1000"><cell r="K1000" t="str"><v>July</v></cell><cell r="L1000"><v>43295</v></cell><cell r="M1000" t="str"><v>Tier 0</v></cell><cell r="N1000" t="str"><v>North America</v></cell><cell r="O1000" t="str"><v>United States</v></cell><cell r="P1000" t="str"><v>Trial</v></cell><cell r="Q1000" t="str"><v>Social</v></cell><cell r="R1000" t="str"><v>Azure</v></cell><cell r="S1000" t="str"><v>Apps & Infra</v></cell><cell r="T1000" t="str"><v>Developers & ITI's</v></cell><cell r="U1000" t="str"><v>USA-Trial-ITD-Trial PayGo Lookalike-AZR-AZR</v></cell><cell r="V1000" t="str"><v>Lookalike Targeting</v></cell><cell r="W1000" t="str"><v>Canvas Ad</v></cell><cell r="X1000" t="str"><v>1x1</v></cell></row><row r="1000"><cell r="AA1000"><v>43289</v></cell><cell r="AB1000" t="str"><v>USA_gaPMG_AZR_AZR_Q1_19_Direct-Social</v></cell><cell r="AC1000"><v>21358715</v></cell><cell r="AD1000"><v>720197</v></cell><cell r="AE1000" t="str"><v>Facebook</v></cell><cell r="AF1000"><v>3654128</v></cell><cell r="AG1000" t="str"><v>FACEBOOK»USA-Trial-ITD-Trial PayGo Lookalike-AZR-AZR»1 x 1»SocialBan»CAN»ALL»CPA»LAL»X»NA»SS»NA»FBCTCBenefit2inMotion»PRC1Q1</v></cell><cell r="AH1000"><v>224104986</v></cell><cell r="AI1000" t="str"><v>AzurePlatform_FBCTCBenefit2inMotion_USA_10s_CAN_PLATFORM_English_Trial_Standard_STAN_TIN_T4_1</v></cell><cell r="AJ1000"><v>103043835</v></cell></row><row r="1001"><cell r="C1001" t="str"><v>43289FACEBOOK»USA-Trial-ITD-Trial PayGo Lookalike-AZR-AZR»1 x 1»SocialBan»CAN»ALL»CPA»LAL»X»NA»SS»NA»FBCTCBenefit2inMotion»PRC1Q1</v></cell><cell r="D1001" t="str"><v>43289224104986</v></cell><cell r="E1001" t="str"><v>43289103178645PRC1Q1</v></cell><cell r="F1001" t="str"><v>DCM</v></cell><cell r="G1001" t="str"><v>https://azure.microsoft.com/en-us/pricing/purchase-options/?v=18.19&OCID=AID%eexcid!_OLA_%ebuy!_%epid!_%ecid!</v></cell></row><row r="1001"><cell r="K1001" t="str"><v>July</v></cell><cell r="L1001"><v>43295</v></cell><cell r="M1001" t="str"><v>Tier 0</v></cell><cell r="N1001" t="str"><v>North America</v></cell><cell r="O1001" t="str"><v>United States</v></cell><cell r="P1001" t="str"><v>Trial</v></cell><cell r="Q1001" t="str"><v>Social</v></cell><cell r="R1001" t="str"><v>Azure</v></cell><cell r="S1001" t="str"><v>Apps & Infra</v></cell><cell r="T1001" t="str"><v>Developers & ITI's</v></cell><cell r="U1001" t="str"><v>USA-Trial-ITD-Trial PayGo Lookalike-AZR-AZR</v></cell><cell r="V1001" t="str"><v>Lookalike Targeting</v></cell><cell r="W1001" t="str"><v>Canvas Ad</v></cell><cell r="X1001" t="str"><v>1x1</v></cell></row><row r="1001"><cell r="AA1001"><v>43289</v></cell><cell r="AB1001" t="str"><v>USA_gaPMG_AZR_AZR_Q1_19_Direct-Social</v></cell><cell r="AC1001"><v>21358715</v></cell><cell r="AD1001"><v>720197</v></cell><cell r="AE1001" t="str"><v>Facebook</v></cell><cell r="AF1001"><v>3654128</v></cell><cell r="AG1001" t="str"><v>FACEBOOK»USA-Trial-ITD-Trial PayGo Lookalike-AZR-AZR»1 x 1»SocialBan»CAN»ALL»CPA»LAL»X»NA»SS»NA»FBCTCBenefit2inMotion»PRC1Q1</v></cell><cell r="AH1001"><v>224104986</v></cell><cell r="AI1001" t="str"><v>AzurePlatform_FBCTCBenefit2inMotion_USA_10s_CAN_PLATFORM_English_Trial_Standard_STAN_TIN_T4_2</v></cell><cell r="AJ1001"><v>103178645</v></cell></row><row r="1002"><cell r="C1002" t="str"><v>43289FACEBOOK»USA-Trial-ITD-Trial PayGo Lookalike-AZR-AZR»1 x 1»SocialBan»CAN»ALL»CPA»LAL»X»NA»SS»NA»FBCTCBrandinMotion»PRC1Q3</v></cell><cell r="D1002" t="str"><v>43289223935349</v></cell><cell r="E1002" t="str"><v>43289103176812PRC1Q3</v></cell><cell r="F1002" t="str"><v>DCM</v></cell><cell r="G1002" t="str"><v>https://signup.azure.com/?OCID=AID%eexcid!_OLA_%ebuy!_%epid!_%ecid!</v></cell></row><row r="1002"><cell r="K1002" t="str"><v>July</v></cell><cell r="L1002"><v>43295</v></cell><cell r="M1002" t="str"><v>Tier 0</v></cell><cell r="N1002" t="str"><v>North America</v></cell><cell r="O1002" t="str"><v>United States</v></cell><cell r="P1002" t="str"><v>Trial</v></cell><cell r="Q1002" t="str"><v>Social</v></cell><cell r="R1002" t="str"><v>Azure</v></cell><cell r="S1002" t="str"><v>Apps & Infra</v></cell><cell r="T1002" t="str"><v>Developers & ITI's</v></cell><cell r="U1002" t="str"><v>USA-Trial-ITD-Trial PayGo Lookalike-AZR-AZR</v></cell><cell r="V1002" t="str"><v>Lookalike Targeting</v></cell><cell r="W1002" t="str"><v>Canvas Ad</v></cell><cell r="X1002" t="str"><v>1x1</v></cell></row><row r="1002"><cell r="AA1002"><v>43289</v></cell><cell r="AB1002" t="str"><v>USA_gaPMG_AZR_AZR_Q1_19_Direct-Social</v></cell><cell r="AC1002"><v>21358715</v></cell><cell r="AD1002"><v>720197</v></cell><cell r="AE1002" t="str"><v>Facebook</v></cell><cell r="AF1002"><v>3654128</v></cell><cell r="AG1002" t="str"><v>FACEBOOK»USA-Trial-ITD-Trial PayGo Lookalike-AZR-AZR»1 x 1»SocialBan»CAN»ALL»CPA»LAL»X»NA»SS»NA»FBCTCBrandinMotion»PRC1Q3</v></cell><cell r="AH1002"><v>223935349</v></cell><cell r="AI1002" t="str"><v>AzurePlatform_FBCTCBrandinMotion_USA_10s_CAN_PLATFORM_English_Trial_Standard_STAN_TIN_T2_1</v></cell><cell r="AJ1002"><v>103176812</v></cell></row><row r="1003"><cell r="C1003" t="str"><v>43289FACEBOOK»USA-Trial-ITD-Trial PayGo Lookalike-AZR-AZR»1 x 1»SocialBan»CAN»ALL»CPA»LAL»X»NA»SS»NA»FBCTCBrandinMotion»PRC1Q3</v></cell><cell r="D1003" t="str"><v>43289223935349</v></cell><cell r="E1003" t="str"><v>43289103032823PRC1Q3</v></cell><cell r="F1003" t="str"><v>DCM</v></cell><cell r="G1003" t="str"><v>https://azure.microsoft.com/en-us/pricing/purchase-options/?v=18.19&OCID=AID%eexcid!_OLA_%ebuy!_%epid!_%ecid!</v></cell></row><row r="1003"><cell r="K1003" t="str"><v>July</v></cell><cell r="L1003"><v>43295</v></cell><cell r="M1003" t="str"><v>Tier 0</v></cell><cell r="N1003" t="str"><v>North America</v></cell><cell r="O1003" t="str"><v>United States</v></cell><cell r="P1003" t="str"><v>Trial</v></cell><cell r="Q1003" t="str"><v>Social</v></cell><cell r="R1003" t="str"><v>Azure</v></cell><cell r="S1003" t="str"><v>Apps & Infra</v></cell><cell r="T1003" t="str"><v>Developers & ITI's</v></cell><cell r="U1003" t="str"><v>USA-Trial-ITD-Trial PayGo Lookalike-AZR-AZR</v></cell><cell r="V1003" t="str"><v>Lookalike Targeting</v></cell><cell r="W1003" t="str"><v>Canvas Ad</v></cell><cell r="X1003" t="str"><v>1x1</v></cell></row><row r="1003"><cell r="AA1003"><v>43289</v></cell><cell r="AB1003" t="str"><v>USA_gaPMG_AZR_AZR_Q1_19_Direct-Social</v></cell><cell r="AC1003"><v>21358715</v></cell><cell r="AD1003"><v>720197</v></cell><cell r="AE1003" t="str"><v>Facebook</v></cell><cell r="AF1003"><v>3654128</v></cell><cell r="AG1003" t="str"><v>FACEBOOK»USA-Trial-ITD-Trial PayGo Lookalike-AZR-AZR»1 x 1»SocialBan»CAN»ALL»CPA»LAL»X»NA»SS»NA»FBCTCBrandinMotion»PRC1Q3</v></cell><cell r="AH1003"><v>223935349</v></cell><cell r="AI1003" t="str"><v>AzurePlatform_FBCTCBrandinMotion_USA_10s_CAN_PLATFORM_English_Trial_Standard_STAN_TIN_T2_2</v></cell><cell r="AJ1003"><v>103032823</v></cell></row><row r="1004"><cell r="C1004" t="str"><v>43289FACEBOOK»USA-Trial-ITD-Trial PayGo Lookalike-AZR-AZR»1 x 1»SocialBan»CAN»ALL»CPA»LAL»X»NA»SS»NA»FBCTCBenefitinMotion»PRC1Q2</v></cell><cell r="D1004" t="str"><v>43289223862960</v></cell><cell r="E1004" t="str"><v>43289103176836PRC1Q2</v></cell><cell r="F1004" t="str"><v>DCM</v></cell><cell r="G1004" t="str"><v>https://azure.microsoft.com/en-us/pricing/purchase-options/?v=18.19&OCID=AID%eexcid!_OLA_%ebuy!_%epid!_%ecid!</v></cell></row><row r="1004"><cell r="K1004" t="str"><v>July</v></cell><cell r="L1004"><v>43295</v></cell><cell r="M1004" t="str"><v>Tier 0</v></cell><cell r="N1004" t="str"><v>North America</v></cell><cell r="O1004" t="str"><v>United States</v></cell><cell r="P1004" t="str"><v>Trial</v></cell><cell r="Q1004" t="str"><v>Social</v></cell><cell r="R1004" t="str"><v>Azure</v></cell><cell r="S1004" t="str"><v>Apps & Infra</v></cell><cell r="T1004" t="str"><v>Developers & ITI's</v></cell><cell r="U1004" t="str"><v>USA-Trial-ITD-Trial PayGo Lookalike-AZR-AZR</v></cell><cell r="V1004" t="str"><v>Lookalike Targeting</v></cell><cell r="W1004" t="str"><v>Canvas Ad</v></cell><cell r="X1004" t="str"><v>1x1</v></cell></row><row r="1004"><cell r="AA1004"><v>43289</v></cell><cell r="AB1004" t="str"><v>USA_gaPMG_AZR_AZR_Q1_19_Direct-Social</v></cell><cell r="AC1004"><v>21358715</v></cell><cell r="AD1004"><v>720197</v></cell><cell r="AE1004" t="str"><v>Facebook</v></cell><cell r="AF1004"><v>3654128</v></cell><cell r="AG1004" t="str"><v>FACEBOOK»USA-Trial-ITD-Trial PayGo Lookalike-AZR-AZR»1 x 1»SocialBan»CAN»ALL»CPA»LAL»X»NA»SS»NA»FBCTCBenefitinMotion»PRC1Q2</v></cell><cell r="AH1004"><v>223862960</v></cell><cell r="AI1004" t="str"><v>AzurePlatform_FBCTCBenefitinMotion_USA_10s_CAN_PLATFORM_English_Trial_Standard_STAN_TIN_T3_2</v></cell><cell r="AJ1004"><v>103176836</v></cell></row><row r="1005"><cell r="C1005" t="str"><v>43289FACEBOOK»USA-Trial-ITD-Trial PayGo Lookalike-AZR-AZR»1 x 1»SocialBan»LIA»ALL»CPA»LAL»X»NA»SS»NA»FreeAcctDeveloperFB-AnimatedGeneric-Ch1»PRC1Q6</v></cell><cell r="D1005" t="str"><v>43289224106129</v></cell><cell r="E1005" t="str"><v>43289103176851PRC1Q6</v></cell><cell r="F1005" t="str"><v>DCM</v></cell><cell r="G1005" t="str"><v>https://azure.microsoft.com/en-us/free/search/?OCID=AID%eexcid!_OLA_%ebuy!_%epid!_%ecid!</v></cell></row><row r="1005"><cell r="K1005" t="str"><v>July</v></cell><cell r="L1005"><v>43295</v></cell><cell r="M1005" t="str"><v>Tier 0</v></cell><cell r="N1005" t="str"><v>North America</v></cell><cell r="O1005" t="str"><v>United States</v></cell><cell r="P1005" t="str"><v>Trial</v></cell><cell r="Q1005" t="str"><v>Social</v></cell><cell r="R1005" t="str"><v>Azure</v></cell><cell r="S1005" t="str"><v>Apps & Infra</v></cell><cell r="T1005" t="str"><v>Developers & ITI's</v></cell><cell r="U1005" t="str"><v>USA-Trial-ITD-Trial PayGo Lookalike-AZR-AZR</v></cell><cell r="V1005" t="str"><v>Lookalike Targeting</v></cell><cell r="W1005" t="str"><v>Link Ad</v></cell><cell r="X1005" t="str"><v>1x1</v></cell></row><row r="1005"><cell r="AA1005"><v>43289</v></cell><cell r="AB1005" t="str"><v>USA_gaPMG_AZR_AZR_Q1_19_Direct-Social</v></cell><cell r="AC1005"><v>21358715</v></cell><cell r="AD1005"><v>720197</v></cell><cell r="AE1005" t="str"><v>Facebook</v></cell><cell r="AF1005"><v>3654128</v></cell><cell r="AG1005" t="str"><v>FACEBOOK»USA-Trial-ITD-Trial PayGo Lookalike-AZR-AZR»1 x 1»SocialBan»LIA»ALL»CPA»LAL»X»NA»SS»NA»FreeAcctDeveloperFB-AnimatedGeneric-Ch1»PRC1Q6</v></cell><cell r="AH1005"><v>224106129</v></cell><cell r="AI1005" t="str"><v>AZR_FreeAcctDeveloperFB-AnimatedGeneric-Ch1_USA_1200x1200_CAN_Direct_English_Trial_Standard_ANI_LEA_T1_2</v></cell><cell r="AJ1005"><v>103176851</v></cell></row><row r="1006"><cell r="C1006" t="str"><v>43289FACEBOOK»USA-Trial-ITD-Interest Prospecting-AZR-AZR»1 x 1»SocialBan»LIA»ALL»CPA»PRO»X»NA»SS»NA»FreeAcctDeveloperFB-AnimatedAI-Ch3»PRC1T2</v></cell><cell r="D1006" t="str"><v>43289223862765</v></cell><cell r="E1006" t="str"><v>43289103032778PRC1T2</v></cell><cell r="F1006" t="str"><v>DCM</v></cell></row><row r="1006"><cell r="K1006" t="str"><v>July</v></cell><cell r="L1006"><v>43295</v></cell><cell r="M1006" t="str"><v>Tier 0</v></cell><cell r="N1006" t="str"><v>North America</v></cell><cell r="O1006" t="str"><v>United States</v></cell><cell r="P1006" t="str"><v>Trial</v></cell><cell r="Q1006" t="str"><v>Social</v></cell><cell r="R1006" t="str"><v>Azure</v></cell><cell r="S1006" t="str"><v>Apps & Infra</v></cell><cell r="T1006" t="str"><v>Developers & ITI's</v></cell><cell r="U1006" t="str"><v>USA-Trial-ITD-Interest Prospecting-AZR-AZR</v></cell><cell r="V1006" t="str"><v>Prospecting</v></cell><cell r="W1006" t="str"><v>Link Ad</v></cell><cell r="X1006" t="str"><v>1x1</v></cell></row><row r="1006"><cell r="AA1006"><v>43289</v></cell><cell r="AB1006" t="str"><v>USA_gaPMG_AZR_AZR_Q1_19_Direct-Social</v></cell><cell r="AC1006"><v>21358715</v></cell><cell r="AD1006"><v>720197</v></cell><cell r="AE1006" t="str"><v>Facebook</v></cell><cell r="AF1006"><v>3654128</v></cell><cell r="AG1006" t="str"><v>FACEBOOK»USA-Trial-ITD-Interest Prospecting-AZR-AZR»1 x 1»SocialBan»LIA»ALL»CPA»PRO»X»NA»SS»NA»FreeAcctDeveloperFB-AnimatedAI-Ch3»PRC1T2</v></cell><cell r="AH1006"><v>223862765</v></cell><cell r="AI1006" t="str"><v>AZR_FreeAcctDeveloperFB-AnimatedAI-Ch3_USA_1200x1200_CAN_Direct_English_Trial_Standard_ANI_LEA_T3_1</v></cell><cell r="AJ1006"><v>103032778</v></cell></row><row r="1007"><cell r="C1007" t="str"><v>43289FACEBOOK»USA-Trial-ITD-Interest Prospecting-AZR-AZR»1 x 1»SocialBan»LIA»ALL»CPA»PRO»X»NA»SS»NA»FreeAcctDeveloperFB-AnimatedData-Ch4»PRC1T3</v></cell><cell r="D1007" t="str"><v>43289223863380</v></cell><cell r="E1007" t="str"><v>43289103037935PRC1T3</v></cell><cell r="F1007" t="str"><v>DCM</v></cell></row><row r="1007"><cell r="K1007" t="str"><v>July</v></cell><cell r="L1007"><v>43295</v></cell><cell r="M1007" t="str"><v>Tier 0</v></cell><cell r="N1007" t="str"><v>North America</v></cell><cell r="O1007" t="str"><v>United States</v></cell><cell r="P1007" t="str"><v>Trial</v></cell><cell r="Q1007" t="str"><v>Social</v></cell><cell r="R1007" t="str"><v>Azure</v></cell><cell r="S1007" t="str"><v>Apps & Infra</v></cell><cell r="T1007" t="str"><v>Developers & ITI's</v></cell><cell r="U1007" t="str"><v>USA-Trial-ITD-Interest Prospecting-AZR-AZR</v></cell><cell r="V1007" t="str"><v>Prospecting</v></cell><cell r="W1007" t="str"><v>Link Ad</v></cell><cell r="X1007" t="str"><v>1x1</v></cell></row><row r="1007"><cell r="AA1007"><v>43289</v></cell><cell r="AB1007" t="str"><v>USA_gaPMG_AZR_AZR_Q1_19_Direct-Social</v></cell><cell r="AC1007"><v>21358715</v></cell><cell r="AD1007"><v>720197</v></cell><cell r="AE1007" t="str"><v>Facebook</v></cell><cell r="AF1007"><v>3654128</v></cell><cell r="AG1007" t="str"><v>FACEBOOK»USA-Trial-ITD-Interest Prospecting-AZR-AZR»1 x 1»SocialBan»LIA»ALL»CPA»PRO»X»NA»SS»NA»FreeAcctDeveloperFB-AnimatedData-Ch4»PRC1T3</v></cell><cell r="AH1007"><v>223863380</v></cell><cell r="AI1007" t="str"><v>AZR_FreeAcctDeveloperFB-AnimatedData-Ch4_USA_1200x1200_CAN_Direct_English_Trial_Standard_ANI_LEA_T4_2</v></cell><cell r="AJ1007"><v>103037935</v></cell></row><row r="1008"><cell r="C1008" t="str"><v>43289FACEBOOK»USA-Trial-ITD-Interest Prospecting-AZR-AZR»1 x 1»SocialBan»LIA»ALL»CPA»PRO»X»NA»SS»NA»FreeAcctDeveloperFB-AnimatedOpenSource-Ch2»PRC1T1</v></cell><cell r="D1008" t="str"><v>43289223862885</v></cell><cell r="E1008" t="str"><v>43289103048329PRC1T1</v></cell><cell r="F1008" t="str"><v>DCM</v></cell><cell r="G1008" t="str"><v>https://azure.microsoft.com/en-us/free/open-source/search/?OCID=AID%eexcid!_OLA_%ebuy!_%epid!_%ecid!</v></cell></row><row r="1008"><cell r="K1008" t="str"><v>July</v></cell><cell r="L1008"><v>43295</v></cell><cell r="M1008" t="str"><v>Tier 0</v></cell><cell r="N1008" t="str"><v>North America</v></cell><cell r="O1008" t="str"><v>United States</v></cell><cell r="P1008" t="str"><v>Trial</v></cell><cell r="Q1008" t="str"><v>Social</v></cell><cell r="R1008" t="str"><v>Azure</v></cell><cell r="S1008" t="str"><v>Apps & Infra</v></cell><cell r="T1008" t="str"><v>Developers & ITI's</v></cell><cell r="U1008" t="str"><v>USA-Trial-ITD-Interest Prospecting-AZR-AZR</v></cell><cell r="V1008" t="str"><v>Prospecting</v></cell><cell r="W1008" t="str"><v>Link Ad</v></cell><cell r="X1008" t="str"><v>1x1</v></cell></row><row r="1008"><cell r="AA1008"><v>43289</v></cell><cell r="AB1008" t="str"><v>USA_gaPMG_AZR_AZR_Q1_19_Direct-Social</v></cell><cell r="AC1008"><v>21358715</v></cell><cell r="AD1008"><v>720197</v></cell><cell r="AE1008" t="str"><v>Facebook</v></cell><cell r="AF1008"><v>3654128</v></cell><cell r="AG1008" t="str"><v>FACEBOOK»USA-Trial-ITD-Interest Prospecting-AZR-AZR»1 x 1»SocialBan»LIA»ALL»CPA»PRO»X»NA»SS»NA»FreeAcctDeveloperFB-AnimatedOpenSource-Ch2»PRC1T1</v></cell><cell r="AH1008"><v>223862885</v></cell><cell r="AI1008" t="str"><v>AZR_FreeAcctDeveloperFB-AnimatedOpenSource-Ch2_USA_1200x1200_CAN_Direct_English_Trial_Standard_ANI_LEA_T2_1</v></cell><cell r="AJ1008"><v>103048329</v></cell></row><row r="1009"><cell r="C1009" t="str"><v>43289FACEBOOK»USA-Trial-ITD-Lead Completes-AZR-AZR»1 x 1»SocialBan»CAN»ALL»CPA»PRO»X»NA»SS»NA»FBCTCBrandinMotion»PRC1VX</v></cell><cell r="D1009" t="str"><v>43289223861547</v></cell><cell r="E1009" t="str"><v>43289103176812PRC1VX</v></cell><cell r="F1009" t="str"><v>DCM</v></cell><cell r="G1009" t="str"><v>https://signup.azure.com/?OCID=AID%eexcid!_OLA_%ebuy!_%epid!_%ecid!</v></cell></row><row r="1009"><cell r="K1009" t="str"><v>July</v></cell><cell r="L1009"><v>43295</v></cell><cell r="M1009" t="str"><v>Tier 0</v></cell><cell r="N1009" t="str"><v>North America</v></cell><cell r="O1009" t="str"><v>United States</v></cell><cell r="P1009" t="str"><v>Trial</v></cell><cell r="Q1009" t="str"><v>Social</v></cell><cell r="R1009" t="str"><v>Azure</v></cell><cell r="S1009" t="str"><v>Apps & Infra</v></cell><cell r="T1009" t="str"><v>Developers & ITI's</v></cell><cell r="U1009" t="str"><v>USA-Trial-ITD-Lead Completes-AZR-AZR</v></cell><cell r="V1009" t="str"><v>Prospecting</v></cell><cell r="W1009" t="str"><v>Canvas Ad</v></cell><cell r="X1009" t="str"><v>1x1</v></cell></row><row r="1009"><cell r="AA1009"><v>43289</v></cell><cell r="AB1009" t="str"><v>USA_gaPMG_AZR_AZR_Q1_19_Direct-Social</v></cell><cell r="AC1009"><v>21358715</v></cell><cell r="AD1009"><v>720197</v></cell><cell r="AE1009" t="str"><v>Facebook</v></cell><cell r="AF1009"><v>3654128</v></cell><cell r="AG1009" t="str"><v>FACEBOOK»USA-Trial-ITD-Lead Completes-AZR-AZR»1 x 1»SocialBan»CAN»ALL»CPA»PRO»X»NA»SS»NA»FBCTCBrandinMotion»PRC1VX</v></cell><cell r="AH1009"><v>223861547</v></cell><cell r="AI1009" t="str"><v>AzurePlatform_FBCTCBrandinMotion_USA_10s_CAN_PLATFORM_English_Trial_Standard_STAN_TIN_T2_1</v></cell><cell r="AJ1009"><v>103176812</v></cell></row><row r="1010"><cell r="C1010" t="str"><v>43289FACEBOOK»USA-Trial-ITD-Lead Completes-AZR-AZR»1 x 1»SocialBan»LIA»ALL»CPA»PRO»X»NA»SS»NA»FreeAcctDeveloperFB-AnimatedAI-Ch3»PRC1W1</v></cell><cell r="D1010" t="str"><v>43289223933096</v></cell><cell r="E1010" t="str"><v>43289103032778PRC1W1</v></cell><cell r="F1010" t="str"><v>DCM</v></cell></row><row r="1010"><cell r="K1010" t="str"><v>July</v></cell><cell r="L1010"><v>43295</v></cell><cell r="M1010" t="str"><v>Tier 0</v></cell><cell r="N1010" t="str"><v>North America</v></cell><cell r="O1010" t="str"><v>United States</v></cell><cell r="P1010" t="str"><v>Trial</v></cell><cell r="Q1010" t="str"><v>Social</v></cell><cell r="R1010" t="str"><v>Azure</v></cell><cell r="S1010" t="str"><v>Apps & Infra</v></cell><cell r="T1010" t="str"><v>Developers & ITI's</v></cell><cell r="U1010" t="str"><v>USA-Trial-ITD-Lead Completes-AZR-AZR</v></cell><cell r="V1010" t="str"><v>Prospecting</v></cell><cell r="W1010" t="str"><v>Link Ad</v></cell><cell r="X1010" t="str"><v>1x1</v></cell></row><row r="1010"><cell r="AA1010"><v>43289</v></cell><cell r="AB1010" t="str"><v>USA_gaPMG_AZR_AZR_Q1_19_Direct-Social</v></cell><cell r="AC1010"><v>21358715</v></cell><cell r="AD1010"><v>720197</v></cell><cell r="AE1010" t="str"><v>Facebook</v></cell><cell r="AF1010"><v>3654128</v></cell><cell r="AG1010" t="str"><v>FACEBOOK»USA-Trial-ITD-Lead Completes-AZR-AZR»1 x 1»SocialBan»LIA»ALL»CPA»PRO»X»NA»SS»NA»FreeAcctDeveloperFB-AnimatedAI-Ch3»PRC1W1</v></cell><cell r="AH1010"><v>223933096</v></cell><cell r="AI1010" t="str"><v>AZR_FreeAcctDeveloperFB-AnimatedAI-Ch3_USA_1200x1200_CAN_Direct_English_Trial_Standard_ANI_LEA_T3_1</v></cell><cell r="AJ1010"><v>103032778</v></cell></row><row r="1011"><cell r="C1011" t="str"><v>43289FACEBOOK»USA-Trial-ITD-Lead Completes-AZR-AZR»1 x 1»SocialBan»LIA»ALL»CPA»PRO»X»NA»SS»NA»FreeAcctDeveloperFB-AnimatedData-Ch4»PRC1W3</v></cell><cell r="D1011" t="str"><v>43289223862711</v></cell><cell r="E1011" t="str"><v>43289103037935PRC1W3</v></cell><cell r="F1011" t="str"><v>DCM</v></cell></row><row r="1011"><cell r="K1011" t="str"><v>July</v></cell><cell r="L1011"><v>43295</v></cell><cell r="M1011" t="str"><v>Tier 0</v></cell><cell r="N1011" t="str"><v>North America</v></cell><cell r="O1011" t="str"><v>United States</v></cell><cell r="P1011" t="str"><v>Trial</v></cell><cell r="Q1011" t="str"><v>Social</v></cell><cell r="R1011" t="str"><v>Azure</v></cell><cell r="S1011" t="str"><v>Apps & Infra</v></cell><cell r="T1011" t="str"><v>Developers & ITI's</v></cell><cell r="U1011" t="str"><v>USA-Trial-ITD-Lead Completes-AZR-AZR</v></cell><cell r="V1011" t="str"><v>Prospecting</v></cell><cell r="W1011" t="str"><v>Link Ad</v></cell><cell r="X1011" t="str"><v>1x1</v></cell></row><row r="1011"><cell r="AA1011"><v>43289</v></cell><cell r="AB1011" t="str"><v>USA_gaPMG_AZR_AZR_Q1_19_Direct-Social</v></cell><cell r="AC1011"><v>21358715</v></cell><cell r="AD1011"><v>720197</v></cell><cell r="AE1011" t="str"><v>Facebook</v></cell><cell r="AF1011"><v>3654128</v></cell><cell r="AG1011" t="str"><v>FACEBOOK»USA-Trial-ITD-Lead Completes-AZR-AZR»1 x 1»SocialBan»LIA»ALL»CPA»PRO»X»NA»SS»NA»FreeAcctDeveloperFB-AnimatedData-Ch4»PRC1W3</v></cell><cell r="AH1011"><v>223862711</v></cell><cell r="AI1011" t="str"><v>AZR_FreeAcctDeveloperFB-AnimatedData-Ch4_USA_1200x1200_CAN_Direct_English_Trial_Standard_ANI_LEA_T4_2</v></cell><cell r="AJ1011"><v>103037935</v></cell></row><row r="1012"><cell r="C1012" t="str"><v>43289FACEBOOK»USA-Trial-ITD-Lead Completes-AZR-AZR»1 x 1»SocialBan»LIA»ALL»CPA»PRO»X»NA»SS»NA»FreeAcctDeveloperFB-AnimatedOpenSource-Ch2»PRC1W0</v></cell><cell r="D1012" t="str"><v>43289223933108</v></cell><cell r="E1012" t="str"><v>43289103048329PRC1W0</v></cell><cell r="F1012" t="str"><v>DCM</v></cell><cell r="G1012" t="str"><v>https://azure.microsoft.com/en-us/free/open-source/search/?OCID=AID%eexcid!_OLA_%ebuy!_%epid!_%ecid!</v></cell></row><row r="1012"><cell r="K1012" t="str"><v>July</v></cell><cell r="L1012"><v>43295</v></cell><cell r="M1012" t="str"><v>Tier 0</v></cell><cell r="N1012" t="str"><v>North America</v></cell><cell r="O1012" t="str"><v>United States</v></cell><cell r="P1012" t="str"><v>Trial</v></cell><cell r="Q1012" t="str"><v>Social</v></cell><cell r="R1012" t="str"><v>Azure</v></cell><cell r="S1012" t="str"><v>Apps & Infra</v></cell><cell r="T1012" t="str"><v>Developers & ITI's</v></cell><cell r="U1012" t="str"><v>USA-Trial-ITD-Lead Completes-AZR-AZR</v></cell><cell r="V1012" t="str"><v>Prospecting</v></cell><cell r="W1012" t="str"><v>Link Ad</v></cell><cell r="X1012" t="str"><v>1x1</v></cell></row><row r="1012"><cell r="AA1012"><v>43289</v></cell><cell r="AB1012" t="str"><v>USA_gaPMG_AZR_AZR_Q1_19_Direct-Social</v></cell><cell r="AC1012"><v>21358715</v></cell><cell r="AD1012"><v>720197</v></cell><cell r="AE1012" t="str"><v>Facebook</v></cell><cell r="AF1012"><v>3654128</v></cell><cell r="AG1012" t="str"><v>FACEBOOK»USA-Trial-ITD-Lead Completes-AZR-AZR»1 x 1»SocialBan»LIA»ALL»CPA»PRO»X»NA»SS»NA»FreeAcctDeveloperFB-AnimatedOpenSource-Ch2»PRC1W0</v></cell><cell r="AH1012"><v>223933108</v></cell><cell r="AI1012" t="str"><v>AZR_FreeAcctDeveloperFB-AnimatedOpenSource-Ch2_USA_1200x1200_CAN_Direct_English_Trial_Standard_ANI_LEA_T2_1</v></cell><cell r="AJ1012"><v>103048329</v></cell></row><row r="1013"><cell r="C1013" t="str"><v>43289FACEBOOK»USA-Trial-ITD-Lead Completes-AZR-AZR»1 x 1»SocialBan»LIA»ALL»CPA»PRO»X»NA»SS»NA»FreeAcctITProFB-AnimatedHybrid-Ch2»PRC1W5</v></cell><cell r="D1013" t="str"><v>43289224106033</v></cell><cell r="E1013" t="str"><v>43289103180583PRC1W5</v></cell><cell r="F1013" t="str"><v>DCM</v></cell></row><row r="1013"><cell r="K1013" t="str"><v>July</v></cell><cell r="L1013"><v>43295</v></cell><cell r="M1013" t="str"><v>Tier 0</v></cell><cell r="N1013" t="str"><v>North America</v></cell><cell r="O1013" t="str"><v>United States</v></cell><cell r="P1013" t="str"><v>Trial</v></cell><cell r="Q1013" t="str"><v>Social</v></cell><cell r="R1013" t="str"><v>Azure</v></cell><cell r="S1013" t="str"><v>Apps & Infra</v></cell><cell r="T1013" t="str"><v>Developers & ITI's</v></cell><cell r="U1013" t="str"><v>USA-Trial-ITD-Lead Completes-AZR-AZR</v></cell><cell r="V1013" t="str"><v>Prospecting</v></cell><cell r="W1013" t="str"><v>Link Ad</v></cell><cell r="X1013" t="str"><v>1x1</v></cell></row><row r="1013"><cell r="AA1013"><v>43289</v></cell><cell r="AB1013" t="str"><v>USA_gaPMG_AZR_AZR_Q1_19_Direct-Social</v></cell><cell r="AC1013"><v>21358715</v></cell><cell r="AD1013"><v>720197</v></cell><cell r="AE1013" t="str"><v>Facebook</v></cell><cell r="AF1013"><v>3654128</v></cell><cell r="AG1013" t="str"><v>FACEBOOK»USA-Trial-ITD-Lead Completes-AZR-AZR»1 x 1»SocialBan»LIA»ALL»CPA»PRO»X»NA»SS»NA»FreeAcctITProFB-AnimatedHybrid-Ch2»PRC1W5</v></cell><cell r="AH1013"><v>224106033</v></cell><cell r="AI1013" t="str"><v>AZR_FreeAcctITProFB-AnimatedHybrid-Ch2_USA_1200x1200_CAN_Direct_English_Trial_Standard_ANI_LEA_T2_2</v></cell><cell r="AJ1013"><v>103180583</v></cell></row><row r="1014"><cell r="C1014" t="str"><v>43289FACEBOOK»USA-Trial-ITD-Lead Completes-AZR-AZR»1 x 1»SocialBan»CAN»ALL»CPA»PRO»X»NA»SS»NA»FBCTCBenefit2inMotion»PRC1VV</v></cell><cell r="D1014" t="str"><v>43289224106909</v></cell><cell r="E1014" t="str"><v>43289103043835PRC1VV</v></cell><cell r="F1014" t="str"><v>DCM</v></cell><cell r="G1014" t="str"><v>https://signup.azure.com/?OCID=AID%eexcid!_OLA_%ebuy!_%epid!_%ecid!</v></cell></row><row r="1014"><cell r="K1014" t="str"><v>July</v></cell><cell r="L1014"><v>43295</v></cell><cell r="M1014" t="str"><v>Tier 0</v></cell><cell r="N1014" t="str"><v>North America</v></cell><cell r="O1014" t="str"><v>United States</v></cell><cell r="P1014" t="str"><v>Trial</v></cell><cell r="Q1014" t="str"><v>Social</v></cell><cell r="R1014" t="str"><v>Azure</v></cell><cell r="S1014" t="str"><v>Apps & Infra</v></cell><cell r="T1014" t="str"><v>Developers & ITI's</v></cell><cell r="U1014" t="str"><v>USA-Trial-ITD-Lead Completes-AZR-AZR</v></cell><cell r="V1014" t="str"><v>Prospecting</v></cell><cell r="W1014" t="str"><v>Canvas Ad</v></cell><cell r="X1014" t="str"><v>1x1</v></cell></row><row r="1014"><cell r="AA1014"><v>43289</v></cell><cell r="AB1014" t="str"><v>USA_gaPMG_AZR_AZR_Q1_19_Direct-Social</v></cell><cell r="AC1014"><v>21358715</v></cell><cell r="AD1014"><v>720197</v></cell><cell r="AE1014" t="str"><v>Facebook</v></cell><cell r="AF1014"><v>3654128</v></cell><cell r="AG1014" t="str"><v>FACEBOOK»USA-Trial-ITD-Lead Completes-AZR-AZR»1 x 1»SocialBan»CAN»ALL»CPA»PRO»X»NA»SS»NA»FBCTCBenefit2inMotion»PRC1VV</v></cell><cell r="AH1014"><v>224106909</v></cell><cell r="AI1014" t="str"><v>AzurePlatform_FBCTCBenefit2inMotion_USA_10s_CAN_PLATFORM_English_Trial_Standard_STAN_TIN_T4_1</v></cell><cell r="AJ1014"><v>103043835</v></cell></row><row r="1015"><cell r="C1015" t="str"><v>43289FACEBOOK»USA-Trial-ITD-Lead Completes-AZR-AZR»1 x 1»SocialBan»CAN»ALL»CPA»PRO»X»NA»SS»NA»FBCTCBenefit2inMotion»PRC1VV</v></cell><cell r="D1015" t="str"><v>43289224106909</v></cell><cell r="E1015" t="str"><v>43289103178645PRC1VV</v></cell><cell r="F1015" t="str"><v>DCM</v></cell><cell r="G1015" t="str"><v>https://azure.microsoft.com/en-us/pricing/purchase-options/?v=18.19&OCID=AID%eexcid!_OLA_%ebuy!_%epid!_%ecid!</v></cell></row><row r="1015"><cell r="K1015" t="str"><v>July</v></cell><cell r="L1015"><v>43295</v></cell><cell r="M1015" t="str"><v>Tier 0</v></cell><cell r="N1015" t="str"><v>North America</v></cell><cell r="O1015" t="str"><v>United States</v></cell><cell r="P1015" t="str"><v>Trial</v></cell><cell r="Q1015" t="str"><v>Social</v></cell><cell r="R1015" t="str"><v>Azure</v></cell><cell r="S1015" t="str"><v>Apps & Infra</v></cell><cell r="T1015" t="str"><v>Developers & ITI's</v></cell><cell r="U1015" t="str"><v>USA-Trial-ITD-Lead Completes-AZR-AZR</v></cell><cell r="V1015" t="str"><v>Prospecting</v></cell><cell r="W1015" t="str"><v>Canvas Ad</v></cell><cell r="X1015" t="str"><v>1x1</v></cell></row><row r="1015"><cell r="AA1015"><v>43289</v></cell><cell r="AB1015" t="str"><v>USA_gaPMG_AZR_AZR_Q1_19_Direct-Social</v></cell><cell r="AC1015"><v>21358715</v></cell><cell r="AD1015"><v>720197</v></cell><cell r="AE1015" t="str"><v>Facebook</v></cell><cell r="AF1015"><v>3654128</v></cell><cell r="AG1015" t="str"><v>FACEBOOK»USA-Trial-ITD-Lead Completes-AZR-AZR»1 x 1»SocialBan»CAN»ALL»CPA»PRO»X»NA»SS»NA»FBCTCBenefit2inMotion»PRC1VV</v></cell><cell r="AH1015"><v>224106909</v></cell><cell r="AI1015" t="str"><v>AzurePlatform_FBCTCBenefit2inMotion_USA_10s_CAN_PLATFORM_English_Trial_Standard_STAN_TIN_T4_2</v></cell><cell r="AJ1015"><v>103178645</v></cell></row><row r="1016"><cell r="C1016" t="str"><v>43289FACEBOOK»USA-Trial-ITD-Lead Completes-AZR-AZR»1 x 1»SocialBan»LIA»ALL»CPA»PRO»X»NA»SS»NA»FreeAcctDeveloperFB-AnimatedGeneric-Ch1»PRC1VY</v></cell><cell r="D1016" t="str"><v>43289223862846</v></cell><cell r="E1016" t="str"><v>43289103176851PRC1VY</v></cell><cell r="F1016" t="str"><v>DCM</v></cell><cell r="G1016" t="str"><v>https://azure.microsoft.com/en-us/free/search/?OCID=AID%eexcid!_OLA_%ebuy!_%epid!_%ecid!</v></cell></row><row r="1016"><cell r="K1016" t="str"><v>July</v></cell><cell r="L1016"><v>43295</v></cell><cell r="M1016" t="str"><v>Tier 0</v></cell><cell r="N1016" t="str"><v>North America</v></cell><cell r="O1016" t="str"><v>United States</v></cell><cell r="P1016" t="str"><v>Trial</v></cell><cell r="Q1016" t="str"><v>Social</v></cell><cell r="R1016" t="str"><v>Azure</v></cell><cell r="S1016" t="str"><v>Apps & Infra</v></cell><cell r="T1016" t="str"><v>Developers & ITI's</v></cell><cell r="U1016" t="str"><v>USA-Trial-ITD-Lead Completes-AZR-AZR</v></cell><cell r="V1016" t="str"><v>Prospecting</v></cell><cell r="W1016" t="str"><v>Link Ad</v></cell><cell r="X1016" t="str"><v>1x1</v></cell></row><row r="1016"><cell r="AA1016"><v>43289</v></cell><cell r="AB1016" t="str"><v>USA_gaPMG_AZR_AZR_Q1_19_Direct-Social</v></cell><cell r="AC1016"><v>21358715</v></cell><cell r="AD1016"><v>720197</v></cell><cell r="AE1016" t="str"><v>Facebook</v></cell><cell r="AF1016"><v>3654128</v></cell><cell r="AG1016" t="str"><v>FACEBOOK»USA-Trial-ITD-Lead Completes-AZR-AZR»1 x 1»SocialBan»LIA»ALL»CPA»PRO»X»NA»SS»NA»FreeAcctDeveloperFB-AnimatedGeneric-Ch1»PRC1VY</v></cell><cell r="AH1016"><v>223862846</v></cell><cell r="AI1016" t="str"><v>AZR_FreeAcctDeveloperFB-AnimatedGeneric-Ch1_USA_1200x1200_CAN_Direct_English_Trial_Standard_ANI_LEA_T1_2</v></cell><cell r="AJ1016"><v>103176851</v></cell></row><row r="1017"><cell r="C1017" t="str"><v>43289FACEBOOK»USA-Trial-ITD-Retargeting-AZR-AZR»1 x 1»SocialBan»LIA»ALL»CPA»RT»X»NA»SS»NA»FreeAcctDeveloperFB-AnimatedGeneric-Ch1»PRC26D</v></cell><cell r="D1017" t="str"><v>43289223862870</v></cell><cell r="E1017" t="str"><v>43289103176851PRC26D</v></cell><cell r="F1017" t="str"><v>DCM</v></cell><cell r="G1017" t="str"><v>https://azure.microsoft.com/en-us/free/search/?OCID=AID%eexcid!_OLA_%ebuy!_%epid!_%ecid!</v></cell></row><row r="1017"><cell r="K1017" t="str"><v>July</v></cell><cell r="L1017"><v>43295</v></cell><cell r="M1017" t="str"><v>Tier 0</v></cell><cell r="N1017" t="str"><v>North America</v></cell><cell r="O1017" t="str"><v>United States</v></cell><cell r="P1017" t="str"><v>Trial</v></cell><cell r="Q1017" t="str"><v>Social</v></cell><cell r="R1017" t="str"><v>Azure</v></cell><cell r="S1017" t="str"><v>Apps & Infra</v></cell><cell r="T1017" t="str"><v>Developers & ITI's</v></cell><cell r="U1017" t="str"><v>USA-Trial-ITD-Retargeting-AZR-AZR</v></cell><cell r="V1017" t="str"><v>Retargeting</v></cell><cell r="W1017" t="str"><v>Link Ad</v></cell><cell r="X1017" t="str"><v>1x1</v></cell></row><row r="1017"><cell r="AA1017"><v>43289</v></cell><cell r="AB1017" t="str"><v>USA_gaPMG_AZR_AZR_Q1_19_Direct-Social</v></cell><cell r="AC1017"><v>21358715</v></cell><cell r="AD1017"><v>720197</v></cell><cell r="AE1017" t="str"><v>Facebook</v></cell><cell r="AF1017"><v>3654128</v></cell><cell r="AG1017" t="str"><v>FACEBOOK»USA-Trial-ITD-Retargeting-AZR-AZR»1 x 1»SocialBan»LIA»ALL»CPA»RT»X»NA»SS»NA»FreeAcctDeveloperFB-AnimatedGeneric-Ch1»PRC26D</v></cell><cell r="AH1017"><v>223862870</v></cell><cell r="AI1017" t="str"><v>AZR_FreeAcctDeveloperFB-AnimatedGeneric-Ch1_USA_1200x1200_CAN_Direct_English_Trial_Standard_ANI_LEA_T1_2</v></cell><cell r="AJ1017"><v>103176851</v></cell></row><row r="1018"><cell r="C1018" t="str"><v>43289FACEBOOK»USA-Trial-ITD-Retargeting-AZR-AZR»1 x 1»SocialBan»LIA»ALL»CPA»RT»X»NA»SS»NA»FreeAcctRetargetingOSSFB-Logos-ChG»PRC1S2</v></cell><cell r="D1018" t="str"><v>43289224106063</v></cell><cell r="E1018" t="str"><v>43289103176008PRC1S2</v></cell><cell r="F1018" t="str"><v>DCM</v></cell><cell r="G1018" t="str"><v>https://azure.microsoft.com/en-us/free/open-source/search/?OCID=AID%eexcid!_OLA_%ebuy!_%epid!_%ecid!</v></cell></row><row r="1018"><cell r="K1018" t="str"><v>July</v></cell><cell r="L1018"><v>43295</v></cell><cell r="M1018" t="str"><v>Tier 0</v></cell><cell r="N1018" t="str"><v>North America</v></cell><cell r="O1018" t="str"><v>United States</v></cell><cell r="P1018" t="str"><v>Trial</v></cell><cell r="Q1018" t="str"><v>Social</v></cell><cell r="R1018" t="str"><v>Azure</v></cell><cell r="S1018" t="str"><v>Apps & Infra</v></cell><cell r="T1018" t="str"><v>Developers & ITI's</v></cell><cell r="U1018" t="str"><v>USA-Trial-ITD-Retargeting-AZR-AZR</v></cell><cell r="V1018" t="str"><v>Retargeting</v></cell><cell r="W1018" t="str"><v>Link Ad</v></cell><cell r="X1018" t="str"><v>1x1</v></cell></row><row r="1018"><cell r="AA1018"><v>43289</v></cell><cell r="AB1018" t="str"><v>USA_gaPMG_AZR_AZR_Q1_19_Direct-Social</v></cell><cell r="AC1018"><v>21358715</v></cell><cell r="AD1018"><v>720197</v></cell><cell r="AE1018" t="str"><v>Facebook</v></cell><cell r="AF1018"><v>3654128</v></cell><cell r="AG1018" t="str"><v>FACEBOOK»USA-Trial-ITD-Retargeting-AZR-AZR»1 x 1»SocialBan»LIA»ALL»CPA»RT»X»NA»SS»NA»FreeAcctRetargetingOSSFB-Logos-ChG»PRC1S2</v></cell><cell r="AH1018"><v>224106063</v></cell><cell r="AI1018" t="str"><v>AzurePlatform_FreeAcctRetargetingOSSFB-Logos-ChG_USA_1200x628_CAN_PLATFORM_English_Free Account_Standard_NA_SINU_T2_1</v></cell><cell r="AJ1018"><v>103176008</v></cell></row><row r="1019"><cell r="C1019" t="str"><v>43289FACEBOOK»USA-Trial-ITD-Retargeting-AZR-AZR»1 x 1»SocialBan»LIA»ALL»CPA»RT»X»NA»SS»NA»FreeAcctRetargetingOSSFB-Text-ChF»PRC1S1</v></cell><cell r="D1019" t="str"><v>43289223862753</v></cell><cell r="E1019" t="str"><v>43289103176869PRC1S1</v></cell><cell r="F1019" t="str"><v>DCM</v></cell><cell r="G1019" t="str"><v>https://azure.microsoft.com/en-us/free/open-source/search/?OCID=AID%eexcid!_OLA_%ebuy!_%epid!_%ecid!</v></cell></row><row r="1019"><cell r="K1019" t="str"><v>July</v></cell><cell r="L1019"><v>43295</v></cell><cell r="M1019" t="str"><v>Tier 0</v></cell><cell r="N1019" t="str"><v>North America</v></cell><cell r="O1019" t="str"><v>United States</v></cell><cell r="P1019" t="str"><v>Trial</v></cell><cell r="Q1019" t="str"><v>Social</v></cell><cell r="R1019" t="str"><v>Azure</v></cell><cell r="S1019" t="str"><v>Apps & Infra</v></cell><cell r="T1019" t="str"><v>Developers & ITI's</v></cell><cell r="U1019" t="str"><v>USA-Trial-ITD-Retargeting-AZR-AZR</v></cell><cell r="V1019" t="str"><v>Retargeting</v></cell><cell r="W1019" t="str"><v>Link Ad</v></cell><cell r="X1019" t="str"><v>1x1</v></cell></row><row r="1019"><cell r="AA1019"><v>43289</v></cell><cell r="AB1019" t="str"><v>USA_gaPMG_AZR_AZR_Q1_19_Direct-Social</v></cell><cell r="AC1019"><v>21358715</v></cell><cell r="AD1019"><v>720197</v></cell><cell r="AE1019" t="str"><v>Facebook</v></cell><cell r="AF1019"><v>3654128</v></cell><cell r="AG1019" t="str"><v>FACEBOOK»USA-Trial-ITD-Retargeting-AZR-AZR»1 x 1»SocialBan»LIA»ALL»CPA»RT»X»NA»SS»NA»FreeAcctRetargetingOSSFB-Text-ChF»PRC1S1</v></cell><cell r="AH1019"><v>223862753</v></cell><cell r="AI1019" t="str"><v>AzurePlatform_FreeAcctRetargetingOSSFB-Text-ChF_USA_1200x628_CAN_PLATFORM_English_Free Account_Standard_NA_SINU_T1_2</v></cell><cell r="AJ1019"><v>103176869</v></cell></row><row r="1020"><cell r="C1020" t="str"><v>43289FACEBOOK»USA-Trial-ITD-Retargeting-AZR-AZR»1 x 1»SocialBan»CAN»ALL»CPA»RT»X»NA»SS»NA»FBCTCBasicMotion»PRC1RQ</v></cell><cell r="D1020" t="str"><v>43289224106933</v></cell><cell r="E1020" t="str"><v>43289103043823PRC1RQ</v></cell><cell r="F1020" t="str"><v>DCM</v></cell><cell r="G1020" t="str"><v>https://signup.azure.com/?OCID=AID%eexcid!_OLA_%ebuy!_%epid!_%ecid!</v></cell></row><row r="1020"><cell r="K1020" t="str"><v>July</v></cell><cell r="L1020"><v>43295</v></cell><cell r="M1020" t="str"><v>Tier 0</v></cell><cell r="N1020" t="str"><v>North America</v></cell><cell r="O1020" t="str"><v>United States</v></cell><cell r="P1020" t="str"><v>Trial</v></cell><cell r="Q1020" t="str"><v>Social</v></cell><cell r="R1020" t="str"><v>Azure</v></cell><cell r="S1020" t="str"><v>Apps & Infra</v></cell><cell r="T1020" t="str"><v>Developers & ITI's</v></cell><cell r="U1020" t="str"><v>USA-Trial-ITD-Retargeting-AZR-AZR</v></cell><cell r="V1020" t="str"><v>Retargeting</v></cell><cell r="W1020" t="str"><v>Canvas Ad</v></cell><cell r="X1020" t="str"><v>1x1</v></cell></row><row r="1020"><cell r="AA1020"><v>43289</v></cell><cell r="AB1020" t="str"><v>USA_gaPMG_AZR_AZR_Q1_19_Direct-Social</v></cell><cell r="AC1020"><v>21358715</v></cell><cell r="AD1020"><v>720197</v></cell><cell r="AE1020" t="str"><v>Facebook</v></cell><cell r="AF1020"><v>3654128</v></cell><cell r="AG1020" t="str"><v>FACEBOOK»USA-Trial-ITD-Retargeting-AZR-AZR»1 x 1»SocialBan»CAN»ALL»CPA»RT»X»NA»SS»NA»FBCTCBasicMotion»PRC1RQ</v></cell><cell r="AH1020"><v>224106933</v></cell><cell r="AI1020" t="str"><v>AzurePlatform_FBCTCBasicMotion_USA_10s_CAN_PLATFORM_English_Trial_Standard_STAN_TIN_T1_1</v></cell><cell r="AJ1020"><v>103043823</v></cell></row><row r="1021"><cell r="C1021" t="str"><v>43289FACEBOOK»USA-Trial-ITD-Trial Lookalike-AZR-AZR»1 x 1»SocialBan»LIA»ALL»CPA»LAL»X»NA»SS»NA»FreeAcctDeveloperFB-AnimatedGeneric-Ch1»PRC1M4</v></cell><cell r="D1021" t="str"><v>43289224104941</v></cell><cell r="E1021" t="str"><v>43289103176851PRC1M4</v></cell><cell r="F1021" t="str"><v>DCM</v></cell><cell r="G1021" t="str"><v>https://azure.microsoft.com/en-us/free/search/?OCID=AID%eexcid!_OLA_%ebuy!_%epid!_%ecid!</v></cell></row><row r="1021"><cell r="K1021" t="str"><v>July</v></cell><cell r="L1021"><v>43295</v></cell><cell r="M1021" t="str"><v>Tier 0</v></cell><cell r="N1021" t="str"><v>North America</v></cell><cell r="O1021" t="str"><v>United States</v></cell><cell r="P1021" t="str"><v>Trial</v></cell><cell r="Q1021" t="str"><v>Social</v></cell><cell r="R1021" t="str"><v>Azure</v></cell><cell r="S1021" t="str"><v>Apps & Infra</v></cell><cell r="T1021" t="str"><v>Developers & ITI's</v></cell><cell r="U1021" t="str"><v>USA-Trial-ITD-Trial Lookalike-AZR-AZR</v></cell><cell r="V1021" t="str"><v>Lookalike Targeting</v></cell><cell r="W1021" t="str"><v>Link Ad</v></cell><cell r="X1021" t="str"><v>1x1</v></cell></row><row r="1021"><cell r="AA1021"><v>43289</v></cell><cell r="AB1021" t="str"><v>USA_gaPMG_AZR_AZR_Q1_19_Direct-Social</v></cell><cell r="AC1021"><v>21358715</v></cell><cell r="AD1021"><v>720197</v></cell><cell r="AE1021" t="str"><v>Facebook</v></cell><cell r="AF1021"><v>3654128</v></cell><cell r="AG1021" t="str"><v>FACEBOOK»USA-Trial-ITD-Trial Lookalike-AZR-AZR»1 x 1»SocialBan»LIA»ALL»CPA»LAL»X»NA»SS»NA»FreeAcctDeveloperFB-AnimatedGeneric-Ch1»PRC1M4</v></cell><cell r="AH1021"><v>224104941</v></cell><cell r="AI1021" t="str"><v>AZR_FreeAcctDeveloperFB-AnimatedGeneric-Ch1_USA_1200x1200_CAN_Direct_English_Trial_Standard_ANI_LEA_T1_2</v></cell><cell r="AJ1021"><v>103176851</v></cell></row><row r="1022"><cell r="C1022" t="str"><v>43289FACEBOOK»USA-Trial-ITD-Trial Lookalike-AZR-AZR»1 x 1»SocialBan»LIA»ALL»CPA»LAL»X»NA»SS»NA»FreeAcctDeveloperFB-AnimatedGeneric-Ch1»PRC1M5</v></cell><cell r="D1022" t="str"><v>43289223934083</v></cell><cell r="E1022" t="str"><v>43289103176851PRC1M5</v></cell><cell r="F1022" t="str"><v>DCM</v></cell><cell r="G1022" t="str"><v>https://azure.microsoft.com/en-us/free/search/?OCID=AID%eexcid!_OLA_%ebuy!_%epid!_%ecid!</v></cell></row><row r="1022"><cell r="K1022" t="str"><v>July</v></cell><cell r="L1022"><v>43295</v></cell><cell r="M1022" t="str"><v>Tier 0</v></cell><cell r="N1022" t="str"><v>North America</v></cell><cell r="O1022" t="str"><v>United States</v></cell><cell r="P1022" t="str"><v>Trial</v></cell><cell r="Q1022" t="str"><v>Social</v></cell><cell r="R1022" t="str"><v>Azure</v></cell><cell r="S1022" t="str"><v>Apps & Infra</v></cell><cell r="T1022" t="str"><v>Developers & ITI's</v></cell><cell r="U1022" t="str"><v>USA-Trial-ITD-Trial Lookalike-AZR-AZR</v></cell><cell r="V1022" t="str"><v>Lookalike Targeting</v></cell><cell r="W1022" t="str"><v>Link Ad</v></cell><cell r="X1022" t="str"><v>1x1</v></cell></row><row r="1022"><cell r="AA1022"><v>43289</v></cell><cell r="AB1022" t="str"><v>USA_gaPMG_AZR_AZR_Q1_19_Direct-Social</v></cell><cell r="AC1022"><v>21358715</v></cell><cell r="AD1022"><v>720197</v></cell><cell r="AE1022" t="str"><v>Facebook</v></cell><cell r="AF1022"><v>3654128</v></cell><cell r="AG1022" t="str"><v>FACEBOOK»USA-Trial-ITD-Trial Lookalike-AZR-AZR»1 x 1»SocialBan»LIA»ALL»CPA»LAL»X»NA»SS»NA»FreeAcctDeveloperFB-AnimatedGeneric-Ch1»PRC1M5</v></cell><cell r="AH1022"><v>223934083</v></cell><cell r="AI1022" t="str"><v>AZR_FreeAcctDeveloperFB-AnimatedGeneric-Ch1_USA_1200x1200_CAN_Direct_English_Trial_Standard_ANI_LEA_T1_2</v></cell><cell r="AJ1022"><v>103176851</v></cell></row><row r="1023"><cell r="C1023" t="str"><v>43289FACEBOOK»USA-Trial-ITD-Trial Lookalike-AZR-AZR»1 x 1»SocialBan»LIA»ALL»CPA»LAL»X»NA»SS»NA»FreeAcctDeveloperFB-AnimatedOpenSource-Ch2»PRC1M6</v></cell><cell r="D1023" t="str"><v>43289223935628</v></cell><cell r="E1023" t="str"><v>43289103048329PRC1M6</v></cell><cell r="F1023" t="str"><v>DCM</v></cell><cell r="G1023" t="str"><v>https://azure.microsoft.com/en-us/free/open-source/search/?OCID=AID%eexcid!_OLA_%ebuy!_%epid!_%ecid!</v></cell></row><row r="1023"><cell r="K1023" t="str"><v>July</v></cell><cell r="L1023"><v>43295</v></cell><cell r="M1023" t="str"><v>Tier 0</v></cell><cell r="N1023" t="str"><v>North America</v></cell><cell r="O1023" t="str"><v>United States</v></cell><cell r="P1023" t="str"><v>Trial</v></cell><cell r="Q1023" t="str"><v>Social</v></cell><cell r="R1023" t="str"><v>Azure</v></cell><cell r="S1023" t="str"><v>Apps & Infra</v></cell><cell r="T1023" t="str"><v>Developers & ITI's</v></cell><cell r="U1023" t="str"><v>USA-Trial-ITD-Trial Lookalike-AZR-AZR</v></cell><cell r="V1023" t="str"><v>Lookalike Targeting</v></cell><cell r="W1023" t="str"><v>Link Ad</v></cell><cell r="X1023" t="str"><v>1x1</v></cell></row><row r="1023"><cell r="AA1023"><v>43289</v></cell><cell r="AB1023" t="str"><v>USA_gaPMG_AZR_AZR_Q1_19_Direct-Social</v></cell><cell r="AC1023"><v>21358715</v></cell><cell r="AD1023"><v>720197</v></cell><cell r="AE1023" t="str"><v>Facebook</v></cell><cell r="AF1023"><v>3654128</v></cell><cell r="AG1023" t="str"><v>FACEBOOK»USA-Trial-ITD-Trial Lookalike-AZR-AZR»1 x 1»SocialBan»LIA»ALL»CPA»LAL»X»NA»SS»NA»FreeAcctDeveloperFB-AnimatedOpenSource-Ch2»PRC1M6</v></cell><cell r="AH1023"><v>223935628</v></cell><cell r="AI1023" t="str"><v>AZR_FreeAcctDeveloperFB-AnimatedOpenSource-Ch2_USA_1200x1200_CAN_Direct_English_Trial_Standard_ANI_LEA_T2_1</v></cell><cell r="AJ1023"><v>103048329</v></cell></row><row r="1024"><cell r="C1024" t="str"><v>43289FACEBOOK»USA-Trial-ITD-Trial Lookalike-AZR-AZR»1 x 1»SocialBan»LIA»ALL»CPA»LAL»X»NA»SS»NA»FreeAcctITProFB-AnimatedMigration-Ch3»PRC23N</v></cell><cell r="D1024" t="str"><v>43289223935637</v></cell><cell r="E1024" t="str"><v>43289103176827PRC23N</v></cell><cell r="F1024" t="str"><v>DCM</v></cell></row><row r="1024"><cell r="K1024" t="str"><v>July</v></cell><cell r="L1024"><v>43295</v></cell><cell r="M1024" t="str"><v>Tier 0</v></cell><cell r="N1024" t="str"><v>North America</v></cell><cell r="O1024" t="str"><v>United States</v></cell><cell r="P1024" t="str"><v>Trial</v></cell><cell r="Q1024" t="str"><v>Social</v></cell><cell r="R1024" t="str"><v>Azure</v></cell><cell r="S1024" t="str"><v>Apps & Infra</v></cell><cell r="T1024" t="str"><v>Developers & ITI's</v></cell><cell r="U1024" t="str"><v>USA-Trial-ITD-Trial Lookalike-AZR-AZR</v></cell><cell r="V1024" t="str"><v>Lookalike Targeting</v></cell><cell r="W1024" t="str"><v>Link Ad</v></cell><cell r="X1024" t="str"><v>1x1</v></cell></row><row r="1024"><cell r="AA1024"><v>43289</v></cell><cell r="AB1024" t="str"><v>USA_gaPMG_AZR_AZR_Q1_19_Direct-Social</v></cell><cell r="AC1024"><v>21358715</v></cell><cell r="AD1024"><v>720197</v></cell><cell r="AE1024" t="str"><v>Facebook</v></cell><cell r="AF1024"><v>3654128</v></cell><cell r="AG1024" t="str"><v>FACEBOOK»USA-Trial-ITD-Trial Lookalike-AZR-AZR»1 x 1»SocialBan»LIA»ALL»CPA»LAL»X»NA»SS»NA»FreeAcctITProFB-AnimatedMigration-Ch3»PRC23N</v></cell><cell r="AH1024"><v>223935637</v></cell><cell r="AI1024" t="str"><v>AZR_FreeAcctITProFB-AnimatedMigration-Ch3_USA_1200x1200_CAN_Direct_English_Trial_Standard_ANI_LEA_T3_1</v></cell><cell r="AJ1024"><v>103176827</v></cell></row><row r="1025"><cell r="C1025" t="str"><v>43289FACEBOOK»USA-Trial-ITD-Trial Lookalike-AZR-AZR»1 x 1»SocialBan»CAN»ALL»CPA»LAL»X»NA»SS»NA»FBCTCBasicMotion»PRC1LZ</v></cell><cell r="D1025" t="str"><v>43289223862915</v></cell><cell r="E1025" t="str"><v>43289103043823PRC1LZ</v></cell><cell r="F1025" t="str"><v>DCM</v></cell><cell r="G1025" t="str"><v>https://signup.azure.com/?OCID=AID%eexcid!_OLA_%ebuy!_%epid!_%ecid!</v></cell></row><row r="1025"><cell r="K1025" t="str"><v>July</v></cell><cell r="L1025"><v>43295</v></cell><cell r="M1025" t="str"><v>Tier 0</v></cell><cell r="N1025" t="str"><v>North America</v></cell><cell r="O1025" t="str"><v>United States</v></cell><cell r="P1025" t="str"><v>Trial</v></cell><cell r="Q1025" t="str"><v>Social</v></cell><cell r="R1025" t="str"><v>Azure</v></cell><cell r="S1025" t="str"><v>Apps & Infra</v></cell><cell r="T1025" t="str"><v>Developers & ITI's</v></cell><cell r="U1025" t="str"><v>USA-Trial-ITD-Trial Lookalike-AZR-AZR</v></cell><cell r="V1025" t="str"><v>Lookalike Targeting</v></cell><cell r="W1025" t="str"><v>Canvas Ad</v></cell><cell r="X1025" t="str"><v>1x1</v></cell></row><row r="1025"><cell r="AA1025"><v>43289</v></cell><cell r="AB1025" t="str"><v>USA_gaPMG_AZR_AZR_Q1_19_Direct-Social</v></cell><cell r="AC1025"><v>21358715</v></cell><cell r="AD1025"><v>720197</v></cell><cell r="AE1025" t="str"><v>Facebook</v></cell><cell r="AF1025"><v>3654128</v></cell><cell r="AG1025" t="str"><v>FACEBOOK»USA-Trial-ITD-Trial Lookalike-AZR-AZR»1 x 1»SocialBan»CAN»ALL»CPA»LAL»X»NA»SS»NA»FBCTCBasicMotion»PRC1LZ</v></cell><cell r="AH1025"><v>223862915</v></cell><cell r="AI1025" t="str"><v>AzurePlatform_FBCTCBasicMotion_USA_10s_CAN_PLATFORM_English_Trial_Standard_STAN_TIN_T1_1</v></cell><cell r="AJ1025"><v>103043823</v></cell></row><row r="1026"><cell r="C1026" t="str"><v>43289FACEBOOK»USA-Trial-ITD-Trial Lookalike-AZR-AZR»1 x 1»SocialBan»CAN»ALL»CPA»LAL»X»NA»SS»NA»FBCTCBasicMotion»PRC1LZ</v></cell><cell r="D1026" t="str"><v>43289223862915</v></cell><cell r="E1026" t="str"><v>43289103175984PRC1LZ</v></cell><cell r="F1026" t="str"><v>DCM</v></cell><cell r="G1026" t="str"><v>https://azure.microsoft.com/en-us/pricing/purchase-options/?v=18.19&OCID=AID%eexcid!_OLA_%ebuy!_%epid!_%ecid!</v></cell></row><row r="1026"><cell r="K1026" t="str"><v>July</v></cell><cell r="L1026"><v>43295</v></cell><cell r="M1026" t="str"><v>Tier 0</v></cell><cell r="N1026" t="str"><v>North America</v></cell><cell r="O1026" t="str"><v>United States</v></cell><cell r="P1026" t="str"><v>Trial</v></cell><cell r="Q1026" t="str"><v>Social</v></cell><cell r="R1026" t="str"><v>Azure</v></cell><cell r="S1026" t="str"><v>Apps & Infra</v></cell><cell r="T1026" t="str"><v>Developers & ITI's</v></cell><cell r="U1026" t="str"><v>USA-Trial-ITD-Trial Lookalike-AZR-AZR</v></cell><cell r="V1026" t="str"><v>Lookalike Targeting</v></cell><cell r="W1026" t="str"><v>Canvas Ad</v></cell><cell r="X1026" t="str"><v>1x1</v></cell></row><row r="1026"><cell r="AA1026"><v>43289</v></cell><cell r="AB1026" t="str"><v>USA_gaPMG_AZR_AZR_Q1_19_Direct-Social</v></cell><cell r="AC1026"><v>21358715</v></cell><cell r="AD1026"><v>720197</v></cell><cell r="AE1026" t="str"><v>Facebook</v></cell><cell r="AF1026"><v>3654128</v></cell><cell r="AG1026" t="str"><v>FACEBOOK»USA-Trial-ITD-Trial Lookalike-AZR-AZR»1 x 1»SocialBan»CAN»ALL»CPA»LAL»X»NA»SS»NA»FBCTCBasicMotion»PRC1LZ</v></cell><cell r="AH1026"><v>223862915</v></cell><cell r="AI1026" t="str"><v>AzurePlatform_FBCTCBasicMotion_USA_10s_CAN_PLATFORM_English_Trial_Standard_STAN_TIN_T1_2</v></cell><cell r="AJ1026"><v>103175984</v></cell></row><row r="1027"><cell r="C1027" t="str"><v>43289FACEBOOK»USA-Trial-ITD-Trial PayGo Lookalike-AZR-AZR»1 x 1»SocialBan»CAN»ALL»CPA»LAL»X»NA»SS»NA»FBCTCBasicMotion»PRC1Q0</v></cell><cell r="D1027" t="str"><v>43289223935664</v></cell><cell r="E1027" t="str"><v>43289103043823PRC1Q0</v></cell><cell r="F1027" t="str"><v>DCM</v></cell><cell r="G1027" t="str"><v>https://signup.azure.com/?OCID=AID%eexcid!_OLA_%ebuy!_%epid!_%ecid!</v></cell></row><row r="1027"><cell r="K1027" t="str"><v>July</v></cell><cell r="L1027"><v>43295</v></cell><cell r="M1027" t="str"><v>Tier 0</v></cell><cell r="N1027" t="str"><v>North America</v></cell><cell r="O1027" t="str"><v>United States</v></cell><cell r="P1027" t="str"><v>Trial</v></cell><cell r="Q1027" t="str"><v>Social</v></cell><cell r="R1027" t="str"><v>Azure</v></cell><cell r="S1027" t="str"><v>Apps & Infra</v></cell><cell r="T1027" t="str"><v>Developers & ITI's</v></cell><cell r="U1027" t="str"><v>USA-Trial-ITD-Trial PayGo Lookalike-AZR-AZR</v></cell><cell r="V1027" t="str"><v>Lookalike Targeting</v></cell><cell r="W1027" t="str"><v>Canvas Ad</v></cell><cell r="X1027" t="str"><v>1x1</v></cell></row><row r="1027"><cell r="AA1027"><v>43289</v></cell><cell r="AB1027" t="str"><v>USA_gaPMG_AZR_AZR_Q1_19_Direct-Social</v></cell><cell r="AC1027"><v>21358715</v></cell><cell r="AD1027"><v>720197</v></cell><cell r="AE1027" t="str"><v>Facebook</v></cell><cell r="AF1027"><v>3654128</v></cell><cell r="AG1027" t="str"><v>FACEBOOK»USA-Trial-ITD-Trial PayGo Lookalike-AZR-AZR»1 x 1»SocialBan»CAN»ALL»CPA»LAL»X»NA»SS»NA»FBCTCBasicMotion»PRC1Q0</v></cell><cell r="AH1027"><v>223935664</v></cell><cell r="AI1027" t="str"><v>AzurePlatform_FBCTCBasicMotion_USA_10s_CAN_PLATFORM_English_Trial_Standard_STAN_TIN_T1_1</v></cell><cell r="AJ1027"><v>103043823</v></cell></row><row r="1028"><cell r="C1028" t="str"><v>43289FACEBOOK»USA-Trial-ITD-Trial PayGo Lookalike-AZR-AZR»1 x 1»SocialBan»CAN»ALL»CPA»LAL»X»NA»SS»NA»FBCTCBasicMotion»PRC1Q0</v></cell><cell r="D1028" t="str"><v>43289223935664</v></cell><cell r="E1028" t="str"><v>43289103175984PRC1Q0</v></cell><cell r="F1028" t="str"><v>DCM</v></cell><cell r="G1028" t="str"><v>https://azure.microsoft.com/en-us/pricing/purchase-options/?v=18.19&OCID=AID%eexcid!_OLA_%ebuy!_%epid!_%ecid!</v></cell></row><row r="1028"><cell r="K1028" t="str"><v>July</v></cell><cell r="L1028"><v>43295</v></cell><cell r="M1028" t="str"><v>Tier 0</v></cell><cell r="N1028" t="str"><v>North America</v></cell><cell r="O1028" t="str"><v>United States</v></cell><cell r="P1028" t="str"><v>Trial</v></cell><cell r="Q1028" t="str"><v>Social</v></cell><cell r="R1028" t="str"><v>Azure</v></cell><cell r="S1028" t="str"><v>Apps & Infra</v></cell><cell r="T1028" t="str"><v>Developers & ITI's</v></cell><cell r="U1028" t="str"><v>USA-Trial-ITD-Trial PayGo Lookalike-AZR-AZR</v></cell><cell r="V1028" t="str"><v>Lookalike Targeting</v></cell><cell r="W1028" t="str"><v>Canvas Ad</v></cell><cell r="X1028" t="str"><v>1x1</v></cell></row><row r="1028"><cell r="AA1028"><v>43289</v></cell><cell r="AB1028" t="str"><v>USA_gaPMG_AZR_AZR_Q1_19_Direct-Social</v></cell><cell r="AC1028"><v>21358715</v></cell><cell r="AD1028"><v>720197</v></cell><cell r="AE1028" t="str"><v>Facebook</v></cell><cell r="AF1028"><v>3654128</v></cell><cell r="AG1028" t="str"><v>FACEBOOK»USA-Trial-ITD-Trial PayGo Lookalike-AZR-AZR»1 x 1»SocialBan»CAN»ALL»CPA»LAL»X»NA»SS»NA»FBCTCBasicMotion»PRC1Q0</v></cell><cell r="AH1028"><v>223935664</v></cell><cell r="AI1028" t="str"><v>AzurePlatform_FBCTCBasicMotion_USA_10s_CAN_PLATFORM_English_Trial_Standard_STAN_TIN_T1_2</v></cell><cell r="AJ1028"><v>103175984</v></cell></row><row r="1029"><cell r="C1029" t="str"><v>43289FACEBOOK»USA-Trial-ITD-Trial PayGo Lookalike-AZR-AZR»1 x 1»SocialBan»LIA»ALL»CPA»LAL»X»NA»SS»NA»FreeAcctDeveloperFB-AnimatedAI-Ch3»PRC1Q8</v></cell><cell r="D1029" t="str"><v>43289224104983</v></cell><cell r="E1029" t="str"><v>43289103032778PRC1Q8</v></cell><cell r="F1029" t="str"><v>DCM</v></cell></row><row r="1029"><cell r="K1029" t="str"><v>July</v></cell><cell r="L1029"><v>43295</v></cell><cell r="M1029" t="str"><v>Tier 0</v></cell><cell r="N1029" t="str"><v>North America</v></cell><cell r="O1029" t="str"><v>United States</v></cell><cell r="P1029" t="str"><v>Trial</v></cell><cell r="Q1029" t="str"><v>Social</v></cell><cell r="R1029" t="str"><v>Azure</v></cell><cell r="S1029" t="str"><v>Apps & Infra</v></cell><cell r="T1029" t="str"><v>Developers & ITI's</v></cell><cell r="U1029" t="str"><v>USA-Trial-ITD-Trial PayGo Lookalike-AZR-AZR</v></cell><cell r="V1029" t="str"><v>Lookalike Targeting</v></cell><cell r="W1029" t="str"><v>Link Ad</v></cell><cell r="X1029" t="str"><v>1x1</v></cell></row><row r="1029"><cell r="AA1029"><v>43289</v></cell><cell r="AB1029" t="str"><v>USA_gaPMG_AZR_AZR_Q1_19_Direct-Social</v></cell><cell r="AC1029"><v>21358715</v></cell><cell r="AD1029"><v>720197</v></cell><cell r="AE1029" t="str"><v>Facebook</v></cell><cell r="AF1029"><v>3654128</v></cell><cell r="AG1029" t="str"><v>FACEBOOK»USA-Trial-ITD-Trial PayGo Lookalike-AZR-AZR»1 x 1»SocialBan»LIA»ALL»CPA»LAL»X»NA»SS»NA»FreeAcctDeveloperFB-AnimatedAI-Ch3»PRC1Q8</v></cell><cell r="AH1029"><v>224104983</v></cell><cell r="AI1029" t="str"><v>AZR_FreeAcctDeveloperFB-AnimatedAI-Ch3_USA_1200x1200_CAN_Direct_English_Trial_Standard_ANI_LEA_T3_1</v></cell><cell r="AJ1029"><v>103032778</v></cell></row><row r="1030"><cell r="C1030" t="str"><v>43289FACEBOOK»USA-Trial-ITD-Trial PayGo Lookalike-AZR-AZR»1 x 1»SocialBan»LIA»ALL»CPA»LAL»X»NA»SS»NA»FreeAcctDeveloperFB-AnimatedData-Ch4»PRC1Q9</v></cell><cell r="D1030" t="str"><v>43289224106990</v></cell><cell r="E1030" t="str"><v>43289103037935PRC1Q9</v></cell><cell r="F1030" t="str"><v>DCM</v></cell></row><row r="1030"><cell r="K1030" t="str"><v>July</v></cell><cell r="L1030"><v>43295</v></cell><cell r="M1030" t="str"><v>Tier 0</v></cell><cell r="N1030" t="str"><v>North America</v></cell><cell r="O1030" t="str"><v>United States</v></cell><cell r="P1030" t="str"><v>Trial</v></cell><cell r="Q1030" t="str"><v>Social</v></cell><cell r="R1030" t="str"><v>Azure</v></cell><cell r="S1030" t="str"><v>Apps & Infra</v></cell><cell r="T1030" t="str"><v>Developers & ITI's</v></cell><cell r="U1030" t="str"><v>USA-Trial-ITD-Trial PayGo Lookalike-AZR-AZR</v></cell><cell r="V1030" t="str"><v>Lookalike Targeting</v></cell><cell r="W1030" t="str"><v>Link Ad</v></cell><cell r="X1030" t="str"><v>1x1</v></cell></row><row r="1030"><cell r="AA1030"><v>43289</v></cell><cell r="AB1030" t="str"><v>USA_gaPMG_AZR_AZR_Q1_19_Direct-Social</v></cell><cell r="AC1030"><v>21358715</v></cell><cell r="AD1030"><v>720197</v></cell><cell r="AE1030" t="str"><v>Facebook</v></cell><cell r="AF1030"><v>3654128</v></cell><cell r="AG1030" t="str"><v>FACEBOOK»USA-Trial-ITD-Trial PayGo Lookalike-AZR-AZR»1 x 1»SocialBan»LIA»ALL»CPA»LAL»X»NA»SS»NA»FreeAcctDeveloperFB-AnimatedData-Ch4»PRC1Q9</v></cell><cell r="AH1030"><v>224106990</v></cell><cell r="AI1030" t="str"><v>AZR_FreeAcctDeveloperFB-AnimatedData-Ch4_USA_1200x1200_CAN_Direct_English_Trial_Standard_ANI_LEA_T4_2</v></cell><cell r="AJ1030"><v>103037935</v></cell></row><row r="1031"><cell r="C1031" t="str"><v>43289FACEBOOK»USA-Trial-ITD-Trial PayGo Lookalike-AZR-AZR»1 x 1»SocialBan»LIA»ALL»CPA»LAL»X»NA»SS»NA»FreeAcctDeveloperFB-AnimatedGeneric-Ch1»PRC1Q5</v></cell><cell r="D1031" t="str"><v>43289224104092</v></cell><cell r="E1031" t="str"><v>43289103176851PRC1Q5</v></cell><cell r="F1031" t="str"><v>DCM</v></cell><cell r="G1031" t="str"><v>https://azure.microsoft.com/en-us/free/search/?OCID=AID%eexcid!_OLA_%ebuy!_%epid!_%ecid!</v></cell></row><row r="1031"><cell r="K1031" t="str"><v>July</v></cell><cell r="L1031"><v>43295</v></cell><cell r="M1031" t="str"><v>Tier 0</v></cell><cell r="N1031" t="str"><v>North America</v></cell><cell r="O1031" t="str"><v>United States</v></cell><cell r="P1031" t="str"><v>Trial</v></cell><cell r="Q1031" t="str"><v>Social</v></cell><cell r="R1031" t="str"><v>Azure</v></cell><cell r="S1031" t="str"><v>Apps & Infra</v></cell><cell r="T1031" t="str"><v>Developers & ITI's</v></cell><cell r="U1031" t="str"><v>USA-Trial-ITD-Trial PayGo Lookalike-AZR-AZR</v></cell><cell r="V1031" t="str"><v>Lookalike Targeting</v></cell><cell r="W1031" t="str"><v>Link Ad</v></cell><cell r="X1031" t="str"><v>1x1</v></cell></row><row r="1031"><cell r="AA1031"><v>43289</v></cell><cell r="AB1031" t="str"><v>USA_gaPMG_AZR_AZR_Q1_19_Direct-Social</v></cell><cell r="AC1031"><v>21358715</v></cell><cell r="AD1031"><v>720197</v></cell><cell r="AE1031" t="str"><v>Facebook</v></cell><cell r="AF1031"><v>3654128</v></cell><cell r="AG1031" t="str"><v>FACEBOOK»USA-Trial-ITD-Trial PayGo Lookalike-AZR-AZR»1 x 1»SocialBan»LIA»ALL»CPA»LAL»X»NA»SS»NA»FreeAcctDeveloperFB-AnimatedGeneric-Ch1»PRC1Q5</v></cell><cell r="AH1031"><v>224104092</v></cell><cell r="AI1031" t="str"><v>AZR_FreeAcctDeveloperFB-AnimatedGeneric-Ch1_USA_1200x1200_CAN_Direct_English_Trial_Standard_ANI_LEA_T1_2</v></cell><cell r="AJ1031"><v>103176851</v></cell></row><row r="1032"><cell r="C1032" t="str"><v>43289FACEBOOK»USA-Trial-ITD-Trial PayGo Lookalike-AZR-AZR»1 x 1»SocialBan»LIA»ALL»CPA»LAL»X»NA»SS»NA»FreeAcctDeveloperFB-AnimatedOpenSource-Ch2»PRC1Q7</v></cell><cell r="D1032" t="str"><v>43289223862951</v></cell><cell r="E1032" t="str"><v>43289103048329PRC1Q7</v></cell><cell r="F1032" t="str"><v>DCM</v></cell><cell r="G1032" t="str"><v>https://azure.microsoft.com/en-us/free/open-source/search/?OCID=AID%eexcid!_OLA_%ebuy!_%epid!_%ecid!</v></cell></row><row r="1032"><cell r="K1032" t="str"><v>July</v></cell><cell r="L1032"><v>43295</v></cell><cell r="M1032" t="str"><v>Tier 0</v></cell><cell r="N1032" t="str"><v>North America</v></cell><cell r="O1032" t="str"><v>United States</v></cell><cell r="P1032" t="str"><v>Trial</v></cell><cell r="Q1032" t="str"><v>Social</v></cell><cell r="R1032" t="str"><v>Azure</v></cell><cell r="S1032" t="str"><v>Apps & Infra</v></cell><cell r="T1032" t="str"><v>Developers & ITI's</v></cell><cell r="U1032" t="str"><v>USA-Trial-ITD-Trial PayGo Lookalike-AZR-AZR</v></cell><cell r="V1032" t="str"><v>Lookalike Targeting</v></cell><cell r="W1032" t="str"><v>Link Ad</v></cell><cell r="X1032" t="str"><v>1x1</v></cell></row><row r="1032"><cell r="AA1032"><v>43289</v></cell><cell r="AB1032" t="str"><v>USA_gaPMG_AZR_AZR_Q1_19_Direct-Social</v></cell><cell r="AC1032"><v>21358715</v></cell><cell r="AD1032"><v>720197</v></cell><cell r="AE1032" t="str"><v>Facebook</v></cell><cell r="AF1032"><v>3654128</v></cell><cell r="AG1032" t="str"><v>FACEBOOK»USA-Trial-ITD-Trial PayGo Lookalike-AZR-AZR»1 x 1»SocialBan»LIA»ALL»CPA»LAL»X»NA»SS»NA»FreeAcctDeveloperFB-AnimatedOpenSource-Ch2»PRC1Q7</v></cell><cell r="AH1032"><v>223862951</v></cell><cell r="AI1032" t="str"><v>AZR_FreeAcctDeveloperFB-AnimatedOpenSource-Ch2_USA_1200x1200_CAN_Direct_English_Trial_Standard_ANI_LEA_T2_1</v></cell><cell r="AJ1032"><v>103048329</v></cell></row><row r="1033"><cell r="C1033" t="str"><v>43289FACEBOOK»USA-Trial-ITD-Trial PayGo Lookalike-AZR-AZR»1 x 1»SocialBan»LIA»ALL»CPA»LAL»X»NA»SS»NA»FreeAcctITProFB-AnimatedHybrid-Ch2»PRC1QC</v></cell><cell r="D1033" t="str"><v>43289223933186</v></cell><cell r="E1033" t="str"><v>43289103180583PRC1QC</v></cell><cell r="F1033" t="str"><v>DCM</v></cell></row><row r="1033"><cell r="K1033" t="str"><v>July</v></cell><cell r="L1033"><v>43295</v></cell><cell r="M1033" t="str"><v>Tier 0</v></cell><cell r="N1033" t="str"><v>North America</v></cell><cell r="O1033" t="str"><v>United States</v></cell><cell r="P1033" t="str"><v>Trial</v></cell><cell r="Q1033" t="str"><v>Social</v></cell><cell r="R1033" t="str"><v>Azure</v></cell><cell r="S1033" t="str"><v>Apps & Infra</v></cell><cell r="T1033" t="str"><v>Developers & ITI's</v></cell><cell r="U1033" t="str"><v>USA-Trial-ITD-Trial PayGo Lookalike-AZR-AZR</v></cell><cell r="V1033" t="str"><v>Lookalike Targeting</v></cell><cell r="W1033" t="str"><v>Link Ad</v></cell><cell r="X1033" t="str"><v>1x1</v></cell></row><row r="1033"><cell r="AA1033"><v>43289</v></cell><cell r="AB1033" t="str"><v>USA_gaPMG_AZR_AZR_Q1_19_Direct-Social</v></cell><cell r="AC1033"><v>21358715</v></cell><cell r="AD1033"><v>720197</v></cell><cell r="AE1033" t="str"><v>Facebook</v></cell><cell r="AF1033"><v>3654128</v></cell><cell r="AG1033" t="str"><v>FACEBOOK»USA-Trial-ITD-Trial PayGo Lookalike-AZR-AZR»1 x 1»SocialBan»LIA»ALL»CPA»LAL»X»NA»SS»NA»FreeAcctITProFB-AnimatedHybrid-Ch2»PRC1QC</v></cell><cell r="AH1033"><v>223933186</v></cell><cell r="AI1033" t="str"><v>AZR_FreeAcctITProFB-AnimatedHybrid-Ch2_USA_1200x1200_CAN_Direct_English_Trial_Standard_ANI_LEA_T2_2</v></cell><cell r="AJ1033"><v>103180583</v></cell></row><row r="1034"><cell r="C1034" t="str"><v>43289FACEBOOK»USA-Trial-ITD-Trial PayGo Lookalike-AZR-AZR»1 x 1»SocialBan»LIA»ALL»CPA»LAL»X»NA»SS»NA»FreeAcctITProFB-AnimatedMigration-Ch3»PRC23Y</v></cell><cell r="D1034" t="str"><v>43289224105904</v></cell><cell r="E1034" t="str"><v>43289103176827PRC23Y</v></cell><cell r="F1034" t="str"><v>DCM</v></cell></row><row r="1034"><cell r="K1034" t="str"><v>July</v></cell><cell r="L1034"><v>43295</v></cell><cell r="M1034" t="str"><v>Tier 0</v></cell><cell r="N1034" t="str"><v>North America</v></cell><cell r="O1034" t="str"><v>United States</v></cell><cell r="P1034" t="str"><v>Trial</v></cell><cell r="Q1034" t="str"><v>Social</v></cell><cell r="R1034" t="str"><v>Azure</v></cell><cell r="S1034" t="str"><v>Apps & Infra</v></cell><cell r="T1034" t="str"><v>Developers & ITI's</v></cell><cell r="U1034" t="str"><v>USA-Trial-ITD-Trial PayGo Lookalike-AZR-AZR</v></cell><cell r="V1034" t="str"><v>Lookalike Targeting</v></cell><cell r="W1034" t="str"><v>Link Ad</v></cell><cell r="X1034" t="str"><v>1x1</v></cell></row><row r="1034"><cell r="AA1034"><v>43289</v></cell><cell r="AB1034" t="str"><v>USA_gaPMG_AZR_AZR_Q1_19_Direct-Social</v></cell><cell r="AC1034"><v>21358715</v></cell><cell r="AD1034"><v>720197</v></cell><cell r="AE1034" t="str"><v>Facebook</v></cell><cell r="AF1034"><v>3654128</v></cell><cell r="AG1034" t="str"><v>FACEBOOK»USA-Trial-ITD-Trial PayGo Lookalike-AZR-AZR»1 x 1»SocialBan»LIA»ALL»CPA»LAL»X»NA»SS»NA»FreeAcctITProFB-AnimatedMigration-Ch3»PRC23Y</v></cell><cell r="AH1034"><v>224105904</v></cell><cell r="AI1034" t="str"><v>AZR_FreeAcctITProFB-AnimatedMigration-Ch3_USA_1200x1200_CAN_Direct_English_Trial_Standard_ANI_LEA_T3_1</v></cell><cell r="AJ1034"><v>103176827</v></cell></row><row r="1035"><cell r="C1035" t="str"><v>43289FACEBOOK»USA-Trial-ITD-Trial PayGo Lookalike-AZR-AZR»1 x 1»SocialBan»LIA»ALL»CPA»LAL»X»NA»SS»NA»FreeAcctITProFB-AnimatedSecureMngd-Ch1»PRC1QB</v></cell><cell r="D1035" t="str"><v>43289223862945</v></cell><cell r="E1035" t="str"><v>43289103176830PRC1QB</v></cell><cell r="F1035" t="str"><v>DCM</v></cell></row><row r="1035"><cell r="K1035" t="str"><v>July</v></cell><cell r="L1035"><v>43295</v></cell><cell r="M1035" t="str"><v>Tier 0</v></cell><cell r="N1035" t="str"><v>North America</v></cell><cell r="O1035" t="str"><v>United States</v></cell><cell r="P1035" t="str"><v>Trial</v></cell><cell r="Q1035" t="str"><v>Social</v></cell><cell r="R1035" t="str"><v>Azure</v></cell><cell r="S1035" t="str"><v>Apps & Infra</v></cell><cell r="T1035" t="str"><v>Developers & ITI's</v></cell><cell r="U1035" t="str"><v>USA-Trial-ITD-Trial PayGo Lookalike-AZR-AZR</v></cell><cell r="V1035" t="str"><v>Lookalike Targeting</v></cell><cell r="W1035" t="str"><v>Link Ad</v></cell><cell r="X1035" t="str"><v>1x1</v></cell></row><row r="1035"><cell r="AA1035"><v>43289</v></cell><cell r="AB1035" t="str"><v>USA_gaPMG_AZR_AZR_Q1_19_Direct-Social</v></cell><cell r="AC1035"><v>21358715</v></cell><cell r="AD1035"><v>720197</v></cell><cell r="AE1035" t="str"><v>Facebook</v></cell><cell r="AF1035"><v>3654128</v></cell><cell r="AG1035" t="str"><v>FACEBOOK»USA-Trial-ITD-Trial PayGo Lookalike-AZR-AZR»1 x 1»SocialBan»LIA»ALL»CPA»LAL»X»NA»SS»NA»FreeAcctITProFB-AnimatedSecureMngd-Ch1»PRC1QB</v></cell><cell r="AH1035"><v>223862945</v></cell><cell r="AI1035" t="str"><v>AZR_FreeAcctITProFB-AnimatedSecureMngd-Ch1_USA_1200x1200_CAN_Direct_English_Trial_Standard_ANI_LEA_T1_1</v></cell><cell r="AJ1035"><v>103176830</v></cell></row><row r="1036"><cell r="C1036" t="str"><v>43289INSTAGRAM»USA-Trial-ITD-Interest Prospecting-AZR-AZR»1 x 1»SocialBan»CAN»ALL»CPA»PRO»X»NA»SS»NA»IGCTCBrandinMotion»PRC2PB</v></cell><cell r="D1036" t="str"><v>43289223862690</v></cell><cell r="E1036" t="str"><v>43289103050783PRC2PB</v></cell><cell r="F1036" t="str"><v>DCM</v></cell><cell r="G1036" t="str"><v>https://signup.azure.com/?OCID=AID%eexcid!_OLA_%ebuy!_%epid!_%ecid!</v></cell></row><row r="1036"><cell r="K1036" t="str"><v>July</v></cell><cell r="L1036"><v>43295</v></cell><cell r="M1036" t="str"><v>Tier 0</v></cell><cell r="N1036" t="str"><v>North America</v></cell><cell r="O1036" t="str"><v>United States</v></cell><cell r="P1036" t="str"><v>Trial</v></cell><cell r="Q1036" t="str"><v>Social</v></cell><cell r="R1036" t="str"><v>Azure</v></cell><cell r="S1036" t="str"><v>Apps & Infra</v></cell><cell r="T1036" t="str"><v>Developers & ITI's</v></cell><cell r="U1036" t="str"><v>USA-Trial-ITD-Interest Prospecting-AZR-AZR</v></cell><cell r="V1036" t="str"><v>Prospecting</v></cell><cell r="W1036" t="str"><v>Canvas Ad</v></cell><cell r="X1036" t="str"><v>1x1</v></cell></row><row r="1036"><cell r="AA1036"><v>43289</v></cell><cell r="AB1036" t="str"><v>USA_gaPMG_AZR_AZR_Q1_19_Direct-Social</v></cell><cell r="AC1036"><v>21358715</v></cell><cell r="AD1036"><v>720197</v></cell><cell r="AE1036" t="str"><v>Facebook - Instagram</v></cell><cell r="AF1036"><v>3654128</v></cell><cell r="AG1036" t="str"><v>INSTAGRAM»USA-Trial-ITD-Interest Prospecting-AZR-AZR»1 x 1»SocialBan»CAN»ALL»CPA»PRO»X»NA»SS»NA»IGCTCBrandinMotion»PRC2PB</v></cell><cell r="AH1036"><v>223862690</v></cell><cell r="AI1036" t="str"><v>AzurePlatform_IGCTCBenefit2inMotion_USA_10s_CAN_PLATFORM_English_Trial_Standard_STAN_TIN_T4_1</v></cell><cell r="AJ1036"><v>103050783</v></cell></row><row r="1037"><cell r="C1037" t="str"><v>43289INSTAGRAM»USA-Trial-ITD-Lead Completes-AZR-AZR»1 x 1»SocialBan»CAN»ALL»CPA»PRO»X»NA»SS»NA»IGCTCBasicMotion»PRC2M5</v></cell><cell r="D1037" t="str"><v>43289224101449</v></cell><cell r="E1037" t="str"><v>43289103037968PRC2M5</v></cell><cell r="F1037" t="str"><v>DCM</v></cell><cell r="G1037" t="str"><v>https://signup.azure.com/?OCID=AID%eexcid!_OLA_%ebuy!_%epid!_%ecid!</v></cell></row><row r="1037"><cell r="K1037" t="str"><v>July</v></cell><cell r="L1037"><v>43295</v></cell><cell r="M1037" t="str"><v>Tier 0</v></cell><cell r="N1037" t="str"><v>North America</v></cell><cell r="O1037" t="str"><v>United States</v></cell><cell r="P1037" t="str"><v>Trial</v></cell><cell r="Q1037" t="str"><v>Social</v></cell><cell r="R1037" t="str"><v>Azure</v></cell><cell r="S1037" t="str"><v>Apps & Infra</v></cell><cell r="T1037" t="str"><v>Developers & ITI's</v></cell><cell r="U1037" t="str"><v>USA-Trial-ITD-Lead Completes-AZR-AZR</v></cell><cell r="V1037" t="str"><v>Prospecting</v></cell><cell r="W1037" t="str"><v>Canvas Ad</v></cell><cell r="X1037" t="str"><v>1x1</v></cell></row><row r="1037"><cell r="AA1037"><v>43289</v></cell><cell r="AB1037" t="str"><v>USA_gaPMG_AZR_AZR_Q1_19_Direct-Social</v></cell><cell r="AC1037"><v>21358715</v></cell><cell r="AD1037"><v>720197</v></cell><cell r="AE1037" t="str"><v>Facebook - Instagram</v></cell><cell r="AF1037"><v>3654128</v></cell><cell r="AG1037" t="str"><v>INSTAGRAM»USA-Trial-ITD-Lead Completes-AZR-AZR»1 x 1»SocialBan»CAN»ALL»CPA»PRO»X»NA»SS»NA»IGCTCBasicMotion»PRC2M5</v></cell><cell r="AH1037"><v>224101449</v></cell><cell r="AI1037" t="str"><v>AzurePlatform_IGCTCBasicMotion_USA_10s_CAN_PLATFORM_English_Trial_Standard_STAN_TIN_T1_1</v></cell><cell r="AJ1037"><v>103037968</v></cell></row><row r="1038"><cell r="C1038" t="str"><v>43289INSTAGRAM»USA-Trial-ITD-Retargeting-AZR-AZR»1 x 1»SocialBan»CAN»ALL»CPA»RT»X»NA»SS»NA»IGCTCBrandinMotion»PRC2G3</v></cell><cell r="D1038" t="str"><v>43289224107014</v></cell><cell r="E1038" t="str"><v>43289103050783PRC2G3</v></cell><cell r="F1038" t="str"><v>DCM</v></cell><cell r="G1038" t="str"><v>https://signup.azure.com/?OCID=AID%eexcid!_OLA_%ebuy!_%epid!_%ecid!</v></cell></row><row r="1038"><cell r="K1038" t="str"><v>July</v></cell><cell r="L1038"><v>43295</v></cell><cell r="M1038" t="str"><v>Tier 0</v></cell><cell r="N1038" t="str"><v>North America</v></cell><cell r="O1038" t="str"><v>United States</v></cell><cell r="P1038" t="str"><v>Trial</v></cell><cell r="Q1038" t="str"><v>Social</v></cell><cell r="R1038" t="str"><v>Azure</v></cell><cell r="S1038" t="str"><v>Apps & Infra</v></cell><cell r="T1038" t="str"><v>Developers & ITI's</v></cell><cell r="U1038" t="str"><v>USA-Trial-ITD-Retargeting-AZR-AZR</v></cell><cell r="V1038" t="str"><v>Retargeting</v></cell><cell r="W1038" t="str"><v>Canvas Ad</v></cell><cell r="X1038" t="str"><v>1x1</v></cell></row><row r="1038"><cell r="AA1038"><v>43289</v></cell><cell r="AB1038" t="str"><v>USA_gaPMG_AZR_AZR_Q1_19_Direct-Social</v></cell><cell r="AC1038"><v>21358715</v></cell><cell r="AD1038"><v>720197</v></cell><cell r="AE1038" t="str"><v>Facebook - Instagram</v></cell><cell r="AF1038"><v>3654128</v></cell><cell r="AG1038" t="str"><v>INSTAGRAM»USA-Trial-ITD-Retargeting-AZR-AZR»1 x 1»SocialBan»CAN»ALL»CPA»RT»X»NA»SS»NA»IGCTCBrandinMotion»PRC2G3</v></cell><cell r="AH1038"><v>224107014</v></cell><cell r="AI1038" t="str"><v>AzurePlatform_IGCTCBenefit2inMotion_USA_10s_CAN_PLATFORM_English_Trial_Standard_STAN_TIN_T4_1</v></cell><cell r="AJ1038"><v>103050783</v></cell></row><row r="1039"><cell r="C1039" t="str"><v>43289INSTAGRAM»USA-Trial-ITD-Retargeting-AZR-AZR»1 x 1»SocialBan»CAN»ALL»CPA»RT»X»NA»SS»NA»IGCTCBrandinMotion»PRC2G3</v></cell><cell r="D1039" t="str"><v>43289224107014</v></cell><cell r="E1039" t="str"><v>43289103178714PRC2G3</v></cell><cell r="F1039" t="str"><v>DCM</v></cell><cell r="G1039" t="str"><v>https://azure.microsoft.com/en-us/pricing/purchase-options/?v=18.19&OCID=AID%eexcid!_OLA_%ebuy!_%epid!_%ecid!</v></cell></row><row r="1039"><cell r="K1039" t="str"><v>July</v></cell><cell r="L1039"><v>43295</v></cell><cell r="M1039" t="str"><v>Tier 0</v></cell><cell r="N1039" t="str"><v>North America</v></cell><cell r="O1039" t="str"><v>United States</v></cell><cell r="P1039" t="str"><v>Trial</v></cell><cell r="Q1039" t="str"><v>Social</v></cell><cell r="R1039" t="str"><v>Azure</v></cell><cell r="S1039" t="str"><v>Apps & Infra</v></cell><cell r="T1039" t="str"><v>Developers & ITI's</v></cell><cell r="U1039" t="str"><v>USA-Trial-ITD-Retargeting-AZR-AZR</v></cell><cell r="V1039" t="str"><v>Retargeting</v></cell><cell r="W1039" t="str"><v>Canvas Ad</v></cell><cell r="X1039" t="str"><v>1x1</v></cell></row><row r="1039"><cell r="AA1039"><v>43289</v></cell><cell r="AB1039" t="str"><v>USA_gaPMG_AZR_AZR_Q1_19_Direct-Social</v></cell><cell r="AC1039"><v>21358715</v></cell><cell r="AD1039"><v>720197</v></cell><cell r="AE1039" t="str"><v>Facebook - Instagram</v></cell><cell r="AF1039"><v>3654128</v></cell><cell r="AG1039" t="str"><v>INSTAGRAM»USA-Trial-ITD-Retargeting-AZR-AZR»1 x 1»SocialBan»CAN»ALL»CPA»RT»X»NA»SS»NA»IGCTCBrandinMotion»PRC2G3</v></cell><cell r="AH1039"><v>224107014</v></cell><cell r="AI1039" t="str"><v>AzurePlatform_IGCTCBenefit2inMotion_USA_10s_CAN_PLATFORM_English_Trial_Standard_STAN_TIN_T4_2</v></cell><cell r="AJ1039"><v>103178714</v></cell></row><row r="1040"><cell r="C1040" t="str"><v>43289INSTAGRAM»USA-Trial-ITD-Retargeting-AZR-AZR»1 x 1»SocialBan»CAN»ALL»CPA»RT»X»NA»SS»NA»IGCTCBenefit2inMotion»PRC2G6</v></cell><cell r="D1040" t="str"><v>43289224105001</v></cell><cell r="E1040" t="str"><v>43289103180628PRC2G6</v></cell><cell r="F1040" t="str"><v>DCM</v></cell><cell r="G1040" t="str"><v>https://signup.azure.com/?OCID=AID%eexcid!_OLA_%ebuy!_%epid!_%ecid!</v></cell></row><row r="1040"><cell r="K1040" t="str"><v>July</v></cell><cell r="L1040"><v>43295</v></cell><cell r="M1040" t="str"><v>Tier 0</v></cell><cell r="N1040" t="str"><v>North America</v></cell><cell r="O1040" t="str"><v>United States</v></cell><cell r="P1040" t="str"><v>Trial</v></cell><cell r="Q1040" t="str"><v>Social</v></cell><cell r="R1040" t="str"><v>Azure</v></cell><cell r="S1040" t="str"><v>Apps & Infra</v></cell><cell r="T1040" t="str"><v>Developers & ITI's</v></cell><cell r="U1040" t="str"><v>USA-Trial-ITD-Retargeting-AZR-AZR</v></cell><cell r="V1040" t="str"><v>Retargeting</v></cell><cell r="W1040" t="str"><v>Canvas Ad</v></cell><cell r="X1040" t="str"><v>1x1</v></cell></row><row r="1040"><cell r="AA1040"><v>43289</v></cell><cell r="AB1040" t="str"><v>USA_gaPMG_AZR_AZR_Q1_19_Direct-Social</v></cell><cell r="AC1040"><v>21358715</v></cell><cell r="AD1040"><v>720197</v></cell><cell r="AE1040" t="str"><v>Facebook - Instagram</v></cell><cell r="AF1040"><v>3654128</v></cell><cell r="AG1040" t="str"><v>INSTAGRAM»USA-Trial-ITD-Retargeting-AZR-AZR»1 x 1»SocialBan»CAN»ALL»CPA»RT»X»NA»SS»NA»IGCTCBenefit2inMotion»PRC2G6</v></cell><cell r="AH1040"><v>224105001</v></cell><cell r="AI1040" t="str"><v>AzurePlatform_IGCTCBrandinMotion_USA_10s_CAN_PLATFORM_English_Trial_Standard_STAN_TIN_T2_1</v></cell><cell r="AJ1040"><v>103180628</v></cell></row><row r="1041"><cell r="C1041" t="str"><v>43289INSTAGRAM»USA-Trial-ITD-Retargeting-AZR-AZR»1 x 1»SocialBan»CAN»ALL»CPA»RT»X»NA»SS»NA»IGCTCBenefitinMotion»PRC2G4</v></cell><cell r="D1041" t="str"><v>43289224107536</v></cell><cell r="E1041" t="str"><v>43289103050780PRC2G4</v></cell><cell r="F1041" t="str"><v>DCM</v></cell><cell r="G1041" t="str"><v>https://signup.azure.com/?OCID=AID%eexcid!_OLA_%ebuy!_%epid!_%ecid!</v></cell></row><row r="1041"><cell r="K1041" t="str"><v>July</v></cell><cell r="L1041"><v>43295</v></cell><cell r="M1041" t="str"><v>Tier 0</v></cell><cell r="N1041" t="str"><v>North America</v></cell><cell r="O1041" t="str"><v>United States</v></cell><cell r="P1041" t="str"><v>Trial</v></cell><cell r="Q1041" t="str"><v>Social</v></cell><cell r="R1041" t="str"><v>Azure</v></cell><cell r="S1041" t="str"><v>Apps & Infra</v></cell><cell r="T1041" t="str"><v>Developers & ITI's</v></cell><cell r="U1041" t="str"><v>USA-Trial-ITD-Retargeting-AZR-AZR</v></cell><cell r="V1041" t="str"><v>Retargeting</v></cell><cell r="W1041" t="str"><v>Canvas Ad</v></cell><cell r="X1041" t="str"><v>1x1</v></cell></row><row r="1041"><cell r="AA1041"><v>43289</v></cell><cell r="AB1041" t="str"><v>USA_gaPMG_AZR_AZR_Q1_19_Direct-Social</v></cell><cell r="AC1041"><v>21358715</v></cell><cell r="AD1041"><v>720197</v></cell><cell r="AE1041" t="str"><v>Facebook - Instagram</v></cell><cell r="AF1041"><v>3654128</v></cell><cell r="AG1041" t="str"><v>INSTAGRAM»USA-Trial-ITD-Retargeting-AZR-AZR»1 x 1»SocialBan»CAN»ALL»CPA»RT»X»NA»SS»NA»IGCTCBenefitinMotion»PRC2G4</v></cell><cell r="AH1041"><v>224107536</v></cell><cell r="AI1041" t="str"><v>AzurePlatform_IGCTCBenefitinMotion_USA_10s_CAN_PLATFORM_English_Trial_Standard_STAN_TIN_T3_1</v></cell><cell r="AJ1041"><v>103050780</v></cell></row><row r="1042"><cell r="C1042" t="str"><v>43289INSTAGRAM»USA-Trial-ITD-Trial Lookalike-AZR-AZR»1 x 1»SocialBan»CAN»ALL»CPA»LAL»X»NA»SS»NA»IGCTCBenefit2inMotion»PRC2FL</v></cell><cell r="D1042" t="str"><v>43289223935022</v></cell><cell r="E1042" t="str"><v>43289103180628PRC2FL</v></cell><cell r="F1042" t="str"><v>DCM</v></cell><cell r="G1042" t="str"><v>https://signup.azure.com/?OCID=AID%eexcid!_OLA_%ebuy!_%epid!_%ecid!</v></cell></row><row r="1042"><cell r="K1042" t="str"><v>July</v></cell><cell r="L1042"><v>43295</v></cell><cell r="M1042" t="str"><v>Tier 0</v></cell><cell r="N1042" t="str"><v>North America</v></cell><cell r="O1042" t="str"><v>United States</v></cell><cell r="P1042" t="str"><v>Trial</v></cell><cell r="Q1042" t="str"><v>Social</v></cell><cell r="R1042" t="str"><v>Azure</v></cell><cell r="S1042" t="str"><v>Apps & Infra</v></cell><cell r="T1042" t="str"><v>Developers & ITI's</v></cell><cell r="U1042" t="str"><v>USA-Trial-ITD-Trial Lookalike-AZR-AZR</v></cell><cell r="V1042" t="str"><v>Lookalike Targeting</v></cell><cell r="W1042" t="str"><v>Canvas Ad</v></cell><cell r="X1042" t="str"><v>1x1</v></cell></row><row r="1042"><cell r="AA1042"><v>43289</v></cell><cell r="AB1042" t="str"><v>USA_gaPMG_AZR_AZR_Q1_19_Direct-Social</v></cell><cell r="AC1042"><v>21358715</v></cell><cell r="AD1042"><v>720197</v></cell><cell r="AE1042" t="str"><v>Facebook - Instagram</v></cell><cell r="AF1042"><v>3654128</v></cell><cell r="AG1042" t="str"><v>INSTAGRAM»USA-Trial-ITD-Trial Lookalike-AZR-AZR»1 x 1»SocialBan»CAN»ALL»CPA»LAL»X»NA»SS»NA»IGCTCBenefit2inMotion»PRC2FL</v></cell><cell r="AH1042"><v>223935022</v></cell><cell r="AI1042" t="str"><v>AzurePlatform_IGCTCBrandinMotion_USA_10s_CAN_PLATFORM_English_Trial_Standard_STAN_TIN_T2_1</v></cell><cell r="AJ1042"><v>103180628</v></cell></row><row r="1043"><cell r="C1043" t="str"><v>43289INSTAGRAM»USA-Trial-ITD-Trial Lookalike-AZR-AZR»1 x 1»SocialBan»CAN»ALL»CPA»LAL»X»NA»SS»NA»IGCTCBenefit2inMotion»PRC2FL</v></cell><cell r="D1043" t="str"><v>43289223935022</v></cell><cell r="E1043" t="str"><v>43289103050786PRC2FL</v></cell><cell r="F1043" t="str"><v>DCM</v></cell><cell r="G1043" t="str"><v>https://azure.microsoft.com/en-us/pricing/purchase-options/?v=18.19&OCID=AID%eexcid!_OLA_%ebuy!_%epid!_%ecid!</v></cell></row><row r="1043"><cell r="K1043" t="str"><v>July</v></cell><cell r="L1043"><v>43295</v></cell><cell r="M1043" t="str"><v>Tier 0</v></cell><cell r="N1043" t="str"><v>North America</v></cell><cell r="O1043" t="str"><v>United States</v></cell><cell r="P1043" t="str"><v>Trial</v></cell><cell r="Q1043" t="str"><v>Social</v></cell><cell r="R1043" t="str"><v>Azure</v></cell><cell r="S1043" t="str"><v>Apps & Infra</v></cell><cell r="T1043" t="str"><v>Developers & ITI's</v></cell><cell r="U1043" t="str"><v>USA-Trial-ITD-Trial Lookalike-AZR-AZR</v></cell><cell r="V1043" t="str"><v>Lookalike Targeting</v></cell><cell r="W1043" t="str"><v>Canvas Ad</v></cell><cell r="X1043" t="str"><v>1x1</v></cell></row><row r="1043"><cell r="AA1043"><v>43289</v></cell><cell r="AB1043" t="str"><v>USA_gaPMG_AZR_AZR_Q1_19_Direct-Social</v></cell><cell r="AC1043"><v>21358715</v></cell><cell r="AD1043"><v>720197</v></cell><cell r="AE1043" t="str"><v>Facebook - Instagram</v></cell><cell r="AF1043"><v>3654128</v></cell><cell r="AG1043" t="str"><v>INSTAGRAM»USA-Trial-ITD-Trial Lookalike-AZR-AZR»1 x 1»SocialBan»CAN»ALL»CPA»LAL»X»NA»SS»NA»IGCTCBenefit2inMotion»PRC2FL</v></cell><cell r="AH1043"><v>223935022</v></cell><cell r="AI1043" t="str"><v>AzurePlatform_IGCTCBrandinMotion_USA_10s_CAN_PLATFORM_English_Trial_Standard_STAN_TIN_T2_2</v></cell><cell r="AJ1043"><v>103050786</v></cell></row><row r="1044"><cell r="C1044" t="str"><v>43289INSTAGRAM»USA-Trial-ITD-Trial Lookalike-AZR-AZR»1 x 1»SocialBan»CAN»ALL»CPA»LAL»X»NA»SS»NA»IGCTCBrandinMotion»PRC2FH</v></cell><cell r="D1044" t="str"><v>43289223935019</v></cell><cell r="E1044" t="str"><v>43289103050783PRC2FH</v></cell><cell r="F1044" t="str"><v>DCM</v></cell><cell r="G1044" t="str"><v>https://signup.azure.com/?OCID=AID%eexcid!_OLA_%ebuy!_%epid!_%ecid!</v></cell></row><row r="1044"><cell r="K1044" t="str"><v>July</v></cell><cell r="L1044"><v>43295</v></cell><cell r="M1044" t="str"><v>Tier 0</v></cell><cell r="N1044" t="str"><v>North America</v></cell><cell r="O1044" t="str"><v>United States</v></cell><cell r="P1044" t="str"><v>Trial</v></cell><cell r="Q1044" t="str"><v>Social</v></cell><cell r="R1044" t="str"><v>Azure</v></cell><cell r="S1044" t="str"><v>Apps & Infra</v></cell><cell r="T1044" t="str"><v>Developers & ITI's</v></cell><cell r="U1044" t="str"><v>USA-Trial-ITD-Trial Lookalike-AZR-AZR</v></cell><cell r="V1044" t="str"><v>Lookalike Targeting</v></cell><cell r="W1044" t="str"><v>Canvas Ad</v></cell><cell r="X1044" t="str"><v>1x1</v></cell></row><row r="1044"><cell r="AA1044"><v>43289</v></cell><cell r="AB1044" t="str"><v>USA_gaPMG_AZR_AZR_Q1_19_Direct-Social</v></cell><cell r="AC1044"><v>21358715</v></cell><cell r="AD1044"><v>720197</v></cell><cell r="AE1044" t="str"><v>Facebook - Instagram</v></cell><cell r="AF1044"><v>3654128</v></cell><cell r="AG1044" t="str"><v>INSTAGRAM»USA-Trial-ITD-Trial Lookalike-AZR-AZR»1 x 1»SocialBan»CAN»ALL»CPA»LAL»X»NA»SS»NA»IGCTCBrandinMotion»PRC2FH</v></cell><cell r="AH1044"><v>223935019</v></cell><cell r="AI1044" t="str"><v>AzurePlatform_IGCTCBenefit2inMotion_USA_10s_CAN_PLATFORM_English_Trial_Standard_STAN_TIN_T4_1</v></cell><cell r="AJ1044"><v>103050783</v></cell></row><row r="1045"><cell r="C1045" t="str"><v>43289INSTAGRAM»USA-Trial-ITD-Trial PayGo Lookalike-AZR-AZR»1 x 1»SocialBan»CAN»ALL»CPA»LAL»X»NA»SS»NA»IGCTCBrandinMotion»PRC2FW</v></cell><cell r="D1045" t="str"><v>43289223862654</v></cell><cell r="E1045" t="str"><v>43289103050783PRC2FW</v></cell><cell r="F1045" t="str"><v>DCM</v></cell><cell r="G1045" t="str"><v>https://signup.azure.com/?OCID=AID%eexcid!_OLA_%ebuy!_%epid!_%ecid!</v></cell></row><row r="1045"><cell r="K1045" t="str"><v>July</v></cell><cell r="L1045"><v>43295</v></cell><cell r="M1045" t="str"><v>Tier 0</v></cell><cell r="N1045" t="str"><v>North America</v></cell><cell r="O1045" t="str"><v>United States</v></cell><cell r="P1045" t="str"><v>Trial</v></cell><cell r="Q1045" t="str"><v>Social</v></cell><cell r="R1045" t="str"><v>Azure</v></cell><cell r="S1045" t="str"><v>Apps & Infra</v></cell><cell r="T1045" t="str"><v>Developers & ITI's</v></cell><cell r="U1045" t="str"><v>USA-Trial-ITD-Trial PayGo Lookalike-AZR-AZR</v></cell><cell r="V1045" t="str"><v>Lookalike Targeting</v></cell><cell r="W1045" t="str"><v>Canvas Ad</v></cell><cell r="X1045" t="str"><v>1x1</v></cell></row><row r="1045"><cell r="AA1045"><v>43289</v></cell><cell r="AB1045" t="str"><v>USA_gaPMG_AZR_AZR_Q1_19_Direct-Social</v></cell><cell r="AC1045"><v>21358715</v></cell><cell r="AD1045"><v>720197</v></cell><cell r="AE1045" t="str"><v>Facebook - Instagram</v></cell><cell r="AF1045"><v>3654128</v></cell><cell r="AG1045" t="str"><v>INSTAGRAM»USA-Trial-ITD-Trial PayGo Lookalike-AZR-AZR»1 x 1»SocialBan»CAN»ALL»CPA»LAL»X»NA»SS»NA»IGCTCBrandinMotion»PRC2FW</v></cell><cell r="AH1045"><v>223862654</v></cell><cell r="AI1045" t="str"><v>AzurePlatform_IGCTCBenefit2inMotion_USA_10s_CAN_PLATFORM_English_Trial_Standard_STAN_TIN_T4_1</v></cell><cell r="AJ1045"><v>103050783</v></cell></row><row r="1046"><cell r="C1046" t="str"><v>43289INSTAGRAM»USA-Trial-ITD-Trial PayGo Lookalike-AZR-AZR»1 x 1»SocialBan»CAN»ALL»CPA»LAL»X»NA»SS»NA»IGCTCBenefit2inMotion»PRC2FZ</v></cell><cell r="D1046" t="str"><v>43289223933075</v></cell><cell r="E1046" t="str"><v>43289103180628PRC2FZ</v></cell><cell r="F1046" t="str"><v>DCM</v></cell><cell r="G1046" t="str"><v>https://signup.azure.com/?OCID=AID%eexcid!_OLA_%ebuy!_%epid!_%ecid!</v></cell></row><row r="1046"><cell r="K1046" t="str"><v>July</v></cell><cell r="L1046"><v>43295</v></cell><cell r="M1046" t="str"><v>Tier 0</v></cell><cell r="N1046" t="str"><v>North America</v></cell><cell r="O1046" t="str"><v>United States</v></cell><cell r="P1046" t="str"><v>Trial</v></cell><cell r="Q1046" t="str"><v>Social</v></cell><cell r="R1046" t="str"><v>Azure</v></cell><cell r="S1046" t="str"><v>Apps & Infra</v></cell><cell r="T1046" t="str"><v>Developers & ITI's</v></cell><cell r="U1046" t="str"><v>USA-Trial-ITD-Trial PayGo Lookalike-AZR-AZR</v></cell><cell r="V1046" t="str"><v>Lookalike Targeting</v></cell><cell r="W1046" t="str"><v>Canvas Ad</v></cell><cell r="X1046" t="str"><v>1x1</v></cell></row><row r="1046"><cell r="AA1046"><v>43289</v></cell><cell r="AB1046" t="str"><v>USA_gaPMG_AZR_AZR_Q1_19_Direct-Social</v></cell><cell r="AC1046"><v>21358715</v></cell><cell r="AD1046"><v>720197</v></cell><cell r="AE1046" t="str"><v>Facebook - Instagram</v></cell><cell r="AF1046"><v>3654128</v></cell><cell r="AG1046" t="str"><v>INSTAGRAM»USA-Trial-ITD-Trial PayGo Lookalike-AZR-AZR»1 x 1»SocialBan»CAN»ALL»CPA»LAL»X»NA»SS»NA»IGCTCBenefit2inMotion»PRC2FZ</v></cell><cell r="AH1046"><v>223933075</v></cell><cell r="AI1046" t="str"><v>AzurePlatform_IGCTCBrandinMotion_USA_10s_CAN_PLATFORM_English_Trial_Standard_STAN_TIN_T2_1</v></cell><cell r="AJ1046"><v>103180628</v></cell></row><row r="1047"><cell r="C1047" t="str"><v>43289INSTAGRAM»USA-Trial-ITD-Interest Prospecting-AZR-AZR»1 x 1»SocialBan»CAN»ALL»CPA»PRO»X»NA»SS»NA»IGCTCBasicMotion»PRC2PF</v></cell><cell r="D1047" t="str"><v>43289224106621</v></cell><cell r="E1047" t="str"><v>43289103037968PRC2PF</v></cell><cell r="F1047" t="str"><v>DCM</v></cell><cell r="G1047" t="str"><v>https://signup.azure.com/?OCID=AID%eexcid!_OLA_%ebuy!_%epid!_%ecid!</v></cell></row><row r="1047"><cell r="K1047" t="str"><v>July</v></cell><cell r="L1047"><v>43295</v></cell><cell r="M1047" t="str"><v>Tier 0</v></cell><cell r="N1047" t="str"><v>North America</v></cell><cell r="O1047" t="str"><v>United States</v></cell><cell r="P1047" t="str"><v>Trial</v></cell><cell r="Q1047" t="str"><v>Social</v></cell><cell r="R1047" t="str"><v>Azure</v></cell><cell r="S1047" t="str"><v>Apps & Infra</v></cell><cell r="T1047" t="str"><v>Developers & ITI's</v></cell><cell r="U1047" t="str"><v>USA-Trial-ITD-Interest Prospecting-AZR-AZR</v></cell><cell r="V1047" t="str"><v>Prospecting</v></cell><cell r="W1047" t="str"><v>Canvas Ad</v></cell><cell r="X1047" t="str"><v>1x1</v></cell></row><row r="1047"><cell r="AA1047"><v>43289</v></cell><cell r="AB1047" t="str"><v>USA_gaPMG_AZR_AZR_Q1_19_Direct-Social</v></cell><cell r="AC1047"><v>21358715</v></cell><cell r="AD1047"><v>720197</v></cell><cell r="AE1047" t="str"><v>Facebook - Instagram</v></cell><cell r="AF1047"><v>3654128</v></cell><cell r="AG1047" t="str"><v>INSTAGRAM»USA-Trial-ITD-Interest Prospecting-AZR-AZR»1 x 1»SocialBan»CAN»ALL»CPA»PRO»X»NA»SS»NA»IGCTCBasicMotion»PRC2PF</v></cell><cell r="AH1047"><v>224106621</v></cell><cell r="AI1047" t="str"><v>AzurePlatform_IGCTCBasicMotion_USA_10s_CAN_PLATFORM_English_Trial_Standard_STAN_TIN_T1_1</v></cell><cell r="AJ1047"><v>103037968</v></cell></row><row r="1048"><cell r="C1048" t="str"><v>43289INSTAGRAM»USA-Trial-ITD-Trial Lookalike-AZR-AZR»1 x 1»SocialBan»CAN»ALL»CPA»LAL»X»NA»SS»NA»IGCTCBasicMotion»PRC0C2</v></cell><cell r="D1048" t="str"><v>43289224107017</v></cell><cell r="E1048" t="str"><v>43289103037968PRC0C2</v></cell><cell r="F1048" t="str"><v>DCM</v></cell><cell r="G1048" t="str"><v>https://signup.azure.com/?OCID=AID%eexcid!_OLA_%ebuy!_%epid!_%ecid!</v></cell></row><row r="1048"><cell r="K1048" t="str"><v>July</v></cell><cell r="L1048"><v>43295</v></cell><cell r="M1048" t="str"><v>Tier 0</v></cell><cell r="N1048" t="str"><v>North America</v></cell><cell r="O1048" t="str"><v>United States</v></cell><cell r="P1048" t="str"><v>Trial</v></cell><cell r="Q1048" t="str"><v>Social</v></cell><cell r="R1048" t="str"><v>Azure</v></cell><cell r="S1048" t="str"><v>Apps & Infra</v></cell><cell r="T1048" t="str"><v>Developers & ITI's</v></cell><cell r="U1048" t="str"><v>USA-Trial-ITD-Trial Lookalike-AZR-AZR</v></cell><cell r="V1048" t="str"><v>Lookalike Targeting</v></cell><cell r="W1048" t="str"><v>Canvas Ad</v></cell><cell r="X1048" t="str"><v>1x1</v></cell></row><row r="1048"><cell r="AA1048"><v>43289</v></cell><cell r="AB1048" t="str"><v>USA_gaPMG_AZR_AZR_Q1_19_Direct-Social</v></cell><cell r="AC1048"><v>21358715</v></cell><cell r="AD1048"><v>720197</v></cell><cell r="AE1048" t="str"><v>Facebook - Instagram</v></cell><cell r="AF1048"><v>3654128</v></cell><cell r="AG1048" t="str"><v>INSTAGRAM»USA-Trial-ITD-Trial Lookalike-AZR-AZR»1 x 1»SocialBan»CAN»ALL»CPA»LAL»X»NA»SS»NA»IGCTCBasicMotion»PRC0C2</v></cell><cell r="AH1048"><v>224107017</v></cell><cell r="AI1048" t="str"><v>AzurePlatform_IGCTCBasicMotion_USA_10s_CAN_PLATFORM_English_Trial_Standard_STAN_TIN_T1_1</v></cell><cell r="AJ1048"><v>103037968</v></cell></row><row r="1049"><cell r="C1049" t="str"><v>43289INSTAGRAM»USA-Trial-ITD-Trial Lookalike-AZR-AZR»1 x 1»SocialBan»CAN»ALL»CPA»LAL»X»NA»SS»NA»IGCTCBenefitinMotion»PRC2FK</v></cell><cell r="D1049" t="str"><v>43289224107542</v></cell><cell r="E1049" t="str"><v>43289103050780PRC2FK</v></cell><cell r="F1049" t="str"><v>DCM</v></cell><cell r="G1049" t="str"><v>https://signup.azure.com/?OCID=AID%eexcid!_OLA_%ebuy!_%epid!_%ecid!</v></cell></row><row r="1049"><cell r="K1049" t="str"><v>July</v></cell><cell r="L1049"><v>43295</v></cell><cell r="M1049" t="str"><v>Tier 0</v></cell><cell r="N1049" t="str"><v>North America</v></cell><cell r="O1049" t="str"><v>United States</v></cell><cell r="P1049" t="str"><v>Trial</v></cell><cell r="Q1049" t="str"><v>Social</v></cell><cell r="R1049" t="str"><v>Azure</v></cell><cell r="S1049" t="str"><v>Apps & Infra</v></cell><cell r="T1049" t="str"><v>Developers & ITI's</v></cell><cell r="U1049" t="str"><v>USA-Trial-ITD-Trial Lookalike-AZR-AZR</v></cell><cell r="V1049" t="str"><v>Lookalike Targeting</v></cell><cell r="W1049" t="str"><v>Canvas Ad</v></cell><cell r="X1049" t="str"><v>1x1</v></cell></row><row r="1049"><cell r="AA1049"><v>43289</v></cell><cell r="AB1049" t="str"><v>USA_gaPMG_AZR_AZR_Q1_19_Direct-Social</v></cell><cell r="AC1049"><v>21358715</v></cell><cell r="AD1049"><v>720197</v></cell><cell r="AE1049" t="str"><v>Facebook - Instagram</v></cell><cell r="AF1049"><v>3654128</v></cell><cell r="AG1049" t="str"><v>INSTAGRAM»USA-Trial-ITD-Trial Lookalike-AZR-AZR»1 x 1»SocialBan»CAN»ALL»CPA»LAL»X»NA»SS»NA»IGCTCBenefitinMotion»PRC2FK</v></cell><cell r="AH1049"><v>224107542</v></cell><cell r="AI1049" t="str"><v>AzurePlatform_IGCTCBenefitinMotion_USA_10s_CAN_PLATFORM_English_Trial_Standard_STAN_TIN_T3_1</v></cell><cell r="AJ1049"><v>103050780</v></cell></row><row r="1050"><cell r="C1050" t="str"><v>43289INSTAGRAM»USA-Trial-ITD-Trial PayGo Lookalike-AZR-AZR»1 x 1»SocialBan»CAN»ALL»CPA»LAL»X»NA»SS»NA»IGCTCBasicMotion»PRC2G0</v></cell><cell r="D1050" t="str"><v>43289224106891</v></cell><cell r="E1050" t="str"><v>43289103037968PRC2G0</v></cell><cell r="F1050" t="str"><v>DCM</v></cell><cell r="G1050" t="str"><v>https://signup.azure.com/?OCID=AID%eexcid!_OLA_%ebuy!_%epid!_%ecid!</v></cell></row><row r="1050"><cell r="K1050" t="str"><v>July</v></cell><cell r="L1050"><v>43295</v></cell><cell r="M1050" t="str"><v>Tier 0</v></cell><cell r="N1050" t="str"><v>North America</v></cell><cell r="O1050" t="str"><v>United States</v></cell><cell r="P1050" t="str"><v>Trial</v></cell><cell r="Q1050" t="str"><v>Social</v></cell><cell r="R1050" t="str"><v>Azure</v></cell><cell r="S1050" t="str"><v>Apps & Infra</v></cell><cell r="T1050" t="str"><v>Developers & ITI's</v></cell><cell r="U1050" t="str"><v>USA-Trial-ITD-Trial PayGo Lookalike-AZR-AZR</v></cell><cell r="V1050" t="str"><v>Lookalike Targeting</v></cell><cell r="W1050" t="str"><v>Canvas Ad</v></cell><cell r="X1050" t="str"><v>1x1</v></cell></row><row r="1050"><cell r="AA1050"><v>43289</v></cell><cell r="AB1050" t="str"><v>USA_gaPMG_AZR_AZR_Q1_19_Direct-Social</v></cell><cell r="AC1050"><v>21358715</v></cell><cell r="AD1050"><v>720197</v></cell><cell r="AE1050" t="str"><v>Facebook - Instagram</v></cell><cell r="AF1050"><v>3654128</v></cell><cell r="AG1050" t="str"><v>INSTAGRAM»USA-Trial-ITD-Trial PayGo Lookalike-AZR-AZR»1 x 1»SocialBan»CAN»ALL»CPA»LAL»X»NA»SS»NA»IGCTCBasicMotion»PRC2G0</v></cell><cell r="AH1050"><v>224106891</v></cell><cell r="AI1050" t="str"><v>AzurePlatform_IGCTCBasicMotion_USA_10s_CAN_PLATFORM_English_Trial_Standard_STAN_TIN_T1_1</v></cell><cell r="AJ1050"><v>103037968</v></cell></row><row r="1051"><cell r="C1051" t="str"><v>43289INSTAGRAM»USA-Trial-ITD-Trial PayGo Lookalike-AZR-AZR»1 x 1»SocialBan»CAN»ALL»CPA»LAL»X»NA»SS»NA»IGCTCBenefitinMotion»PRC2FX</v></cell><cell r="D1051" t="str"><v>43289223933999</v></cell><cell r="E1051" t="str"><v>43289103050780PRC2FX</v></cell><cell r="F1051" t="str"><v>DCM</v></cell><cell r="G1051" t="str"><v>https://signup.azure.com/?OCID=AID%eexcid!_OLA_%ebuy!_%epid!_%ecid!</v></cell></row><row r="1051"><cell r="K1051" t="str"><v>July</v></cell><cell r="L1051"><v>43295</v></cell><cell r="M1051" t="str"><v>Tier 0</v></cell><cell r="N1051" t="str"><v>North America</v></cell><cell r="O1051" t="str"><v>United States</v></cell><cell r="P1051" t="str"><v>Trial</v></cell><cell r="Q1051" t="str"><v>Social</v></cell><cell r="R1051" t="str"><v>Azure</v></cell><cell r="S1051" t="str"><v>Apps & Infra</v></cell><cell r="T1051" t="str"><v>Developers & ITI's</v></cell><cell r="U1051" t="str"><v>USA-Trial-ITD-Trial PayGo Lookalike-AZR-AZR</v></cell><cell r="V1051" t="str"><v>Lookalike Targeting</v></cell><cell r="W1051" t="str"><v>Canvas Ad</v></cell><cell r="X1051" t="str"><v>1x1</v></cell></row><row r="1051"><cell r="AA1051"><v>43289</v></cell><cell r="AB1051" t="str"><v>USA_gaPMG_AZR_AZR_Q1_19_Direct-Social</v></cell><cell r="AC1051"><v>21358715</v></cell><cell r="AD1051"><v>720197</v></cell><cell r="AE1051" t="str"><v>Facebook - Instagram</v></cell><cell r="AF1051"><v>3654128</v></cell><cell r="AG1051" t="str"><v>INSTAGRAM»USA-Trial-ITD-Trial PayGo Lookalike-AZR-AZR»1 x 1»SocialBan»CAN»ALL»CPA»LAL»X»NA»SS»NA»IGCTCBenefitinMotion»PRC2FX</v></cell><cell r="AH1051"><v>223933999</v></cell><cell r="AI1051" t="str"><v>AzurePlatform_IGCTCBenefitinMotion_USA_10s_CAN_PLATFORM_English_Trial_Standard_STAN_TIN_T3_1</v></cell><cell r="AJ1051"><v>103050780</v></cell></row><row r="1052"><cell r="C1052" t="str"><v>43290Facebook»Audience & Interest Targeting»1x1»Canvas»OTH»DT»DYN»AUT»W»NA»SS»NA»FBCTCcanvaspage-StartFreeCTA_FBCTCcanvaspage-BuyNowCTA</v></cell><cell r="D1052" t="str"><v>43290224639151</v></cell><cell r="E1052" t="str"><v>43290103316832NowCTA</v></cell><cell r="F1052" t="str"><v>DCM</v></cell><cell r="G1052" t="str"><v>https://azure.microsoft.com/en-au/pricing/purchase-options/</v></cell></row><row r="1052"><cell r="K1052" t="str"><v>July</v></cell><cell r="L1052"><v>43295</v></cell><cell r="M1052" t="str"><v>Tier 1</v></cell><cell r="N1052" t="str"><v>APAC</v></cell><cell r="O1052" t="str"><v>Australia</v></cell><cell r="P1052" t="str"><v>Trial</v></cell><cell r="Q1052" t="str"><v>Social</v></cell><cell r="R1052" t="str"><v>Azure</v></cell><cell r="S1052" t="str"><v>Apps & Infra</v></cell><cell r="T1052" t="str"><v>Developers & ITI's</v></cell><cell r="U1052" t="str"><v>Audience & Interest Targeting</v></cell><cell r="V1052" t="str"><v>Audience Targeting</v></cell><cell r="W1052" t="str"><v>Other</v></cell><cell r="X1052" t="str"><v>1x1</v></cell></row><row r="1052"><cell r="AA1052"><v>43290</v></cell><cell r="AB1052" t="str"><v>AUS_gaPMG_AZR_AZR_Q1_19_Trial-Social</v></cell><cell r="AC1052"><v>21358568</v></cell><cell r="AD1052"><v>720191</v></cell><cell r="AE1052" t="str"><v>Facebook</v></cell><cell r="AF1052"><v>3654128</v></cell><cell r="AG1052" t="str"><v>Facebook»Audience & Interest Targeting»1x1»Canvas»OTH»DT»DYN»AUT»W»NA»SS»NA»FBCTCcanvaspage-StartFreeCTA_FBCTCcanvaspage-BuyNowCTA</v></cell><cell r="AH1052"><v>224639151</v></cell><cell r="AI1052" t="str"><v>AzurePlatform_FBCTCcanvaspage-BuyNowCTA-Img3_AUS_1080x162_SOC_Plat_English_NA_Standard_NA_BN_T3_1</v></cell><cell r="AJ1052"><v>103316832</v></cell></row><row r="1053"><cell r="C1053" t="str"><v>43290Facebook»Audience & Interest Targeting»1x1»Canvas»OTH»DT»DYN»AUT»W»NA»SS»NA»FBCTCcanvaspage-StartFreeCTA_FBCTCcanvaspage-BuyNowCTA</v></cell><cell r="D1053" t="str"><v>43290224639151</v></cell><cell r="E1053" t="str"><v>43290103316829NowCTA</v></cell><cell r="F1053" t="str"><v>DCM</v></cell><cell r="G1053" t="str"><v>https://signup.azure.com/signup?offer=ms-azr-0044p&appId=102&ref=paidmedia-social-fb&redirectURL=https%3a%2f%2fazure.microsoft.com%2fen-au%2fget-started%2fwelcome-to-azure%2f&l=en-au&correlationId=ead86c34-1f10-49dd-a72b-6918462a2cbf</v></cell></row><row r="1053"><cell r="K1053" t="str"><v>July</v></cell><cell r="L1053"><v>43295</v></cell><cell r="M1053" t="str"><v>Tier 1</v></cell><cell r="N1053" t="str"><v>APAC</v></cell><cell r="O1053" t="str"><v>Australia</v></cell><cell r="P1053" t="str"><v>Trial</v></cell><cell r="Q1053" t="str"><v>Social</v></cell><cell r="R1053" t="str"><v>Azure</v></cell><cell r="S1053" t="str"><v>Apps & Infra</v></cell><cell r="T1053" t="str"><v>Developers & ITI's</v></cell><cell r="U1053" t="str"><v>Audience & Interest Targeting</v></cell><cell r="V1053" t="str"><v>Audience Targeting</v></cell><cell r="W1053" t="str"><v>Other</v></cell><cell r="X1053" t="str"><v>1x1</v></cell></row><row r="1053"><cell r="AA1053"><v>43290</v></cell><cell r="AB1053" t="str"><v>AUS_gaPMG_AZR_AZR_Q1_19_Trial-Social</v></cell><cell r="AC1053"><v>21358568</v></cell><cell r="AD1053"><v>720191</v></cell><cell r="AE1053" t="str"><v>Facebook</v></cell><cell r="AF1053"><v>3654128</v></cell><cell r="AG1053" t="str"><v>Facebook»Audience & Interest Targeting»1x1»Canvas»OTH»DT»DYN»AUT»W»NA»SS»NA»FBCTCcanvaspage-StartFreeCTA_FBCTCcanvaspage-BuyNowCTA</v></cell><cell r="AH1053"><v>224639151</v></cell><cell r="AI1053" t="str"><v>AzurePlatform_FBCTCcanvaspage-StartFreeCTA-Img2_AUS_1080x143 _SOC_Plat_English_NA_Standard_NA_NA_T2_1</v></cell><cell r="AJ1053"><v>103316829</v></cell></row><row r="1054"><cell r="C1054" t="str"><v>43290Facebook»Audience & Interest Targeting»1x1»TextLink»OTH»DT»DYN»AUT»W»NA»SS»NA»Free Account Refresh- 12 months ChE</v></cell><cell r="D1054" t="str"><v>43290224160783</v></cell><cell r="E1054" t="str"><v>43290103051614hs ChE</v></cell><cell r="F1054" t="str"><v>DCM</v></cell></row><row r="1054"><cell r="K1054" t="str"><v>July</v></cell><cell r="L1054"><v>43295</v></cell><cell r="M1054" t="str"><v>Tier 1</v></cell><cell r="N1054" t="str"><v>APAC</v></cell><cell r="O1054" t="str"><v>Australia</v></cell><cell r="P1054" t="str"><v>Trial</v></cell><cell r="Q1054" t="str"><v>Social</v></cell><cell r="R1054" t="str"><v>Azure</v></cell><cell r="S1054" t="str"><v>Apps & Infra</v></cell><cell r="T1054" t="str"><v>Developers & ITI's</v></cell><cell r="U1054" t="str"><v>Audience & Interest Targeting</v></cell><cell r="V1054" t="str"><v>Audience Targeting</v></cell><cell r="W1054" t="str"><v>Other</v></cell><cell r="X1054" t="str"><v>1x1</v></cell></row><row r="1054"><cell r="AA1054"><v>43290</v></cell><cell r="AB1054" t="str"><v>AUS_gaPMG_AZR_AZR_Q1_19_Trial-Social</v></cell><cell r="AC1054"><v>21358568</v></cell><cell r="AD1054"><v>720191</v></cell><cell r="AE1054" t="str"><v>Facebook</v></cell><cell r="AF1054"><v>3654128</v></cell><cell r="AG1054" t="str"><v>Facebook»Audience & Interest Targeting»1x1»TextLink»OTH»DT»DYN»AUT»W»NA»SS»NA»Free Account Refresh- 12 months ChE</v></cell><cell r="AH1054"><v>224160783</v></cell><cell r="AI1054" t="str"><v>AzurePlatform_FreeAcctAppsFACEBOOK12monthsChE_AUS_1200x628_SOC_PLAT_EN_Trial_Standard_NA_SNU_T5_1</v></cell><cell r="AJ1054"><v>103051614</v></cell></row><row r="1055"><cell r="C1055" t="str"><v>43290Facebook»Audience & Interest Targeting»1x1»TextLink»OTH»DT»DYN»AUT»W»NA»SS»NA»Free Account Refresh- 200 Credit ChD</v></cell><cell r="D1055" t="str"><v>43290224160780</v></cell><cell r="E1055" t="str"><v>43290103186904it ChD</v></cell><cell r="F1055" t="str"><v>DCM</v></cell></row><row r="1055"><cell r="K1055" t="str"><v>July</v></cell><cell r="L1055"><v>43295</v></cell><cell r="M1055" t="str"><v>Tier 1</v></cell><cell r="N1055" t="str"><v>APAC</v></cell><cell r="O1055" t="str"><v>Australia</v></cell><cell r="P1055" t="str"><v>Trial</v></cell><cell r="Q1055" t="str"><v>Social</v></cell><cell r="R1055" t="str"><v>Azure</v></cell><cell r="S1055" t="str"><v>Apps & Infra</v></cell><cell r="T1055" t="str"><v>Developers & ITI's</v></cell><cell r="U1055" t="str"><v>Audience & Interest Targeting</v></cell><cell r="V1055" t="str"><v>Audience Targeting</v></cell><cell r="W1055" t="str"><v>Other</v></cell><cell r="X1055" t="str"><v>1x1</v></cell></row><row r="1055"><cell r="AA1055"><v>43290</v></cell><cell r="AB1055" t="str"><v>AUS_gaPMG_AZR_AZR_Q1_19_Trial-Social</v></cell><cell r="AC1055"><v>21358568</v></cell><cell r="AD1055"><v>720191</v></cell><cell r="AE1055" t="str"><v>Facebook</v></cell><cell r="AF1055"><v>3654128</v></cell><cell r="AG1055" t="str"><v>Facebook»Audience & Interest Targeting»1x1»TextLink»OTH»DT»DYN»AUT»W»NA»SS»NA»Free Account Refresh- 200 Credit ChD</v></cell><cell r="AH1055"><v>224160780</v></cell><cell r="AI1055" t="str"><v>AzurePlatform_FreeAcctAppsFACEBOOK200CreditChD_AUS_1200x628_SOC_PLAT_EN_Trial_Standard_NA_SNU_T4_1</v></cell><cell r="AJ1055"><v>103186904</v></cell></row><row r="1056"><cell r="C1056" t="str"><v>43290Facebook»Audience & Interest Targeting»1x1»TextLink»OTH»DT»DYN»AUT»W»NA»SS»NA»Free Account Refresh- Device ChB</v></cell><cell r="D1056" t="str"><v>43290224160777</v></cell><cell r="E1056" t="str"><v>43290103048479ce ChB</v></cell><cell r="F1056" t="str"><v>DCM</v></cell></row><row r="1056"><cell r="K1056" t="str"><v>July</v></cell><cell r="L1056"><v>43295</v></cell><cell r="M1056" t="str"><v>Tier 1</v></cell><cell r="N1056" t="str"><v>APAC</v></cell><cell r="O1056" t="str"><v>Australia</v></cell><cell r="P1056" t="str"><v>Trial</v></cell><cell r="Q1056" t="str"><v>Social</v></cell><cell r="R1056" t="str"><v>Azure</v></cell><cell r="S1056" t="str"><v>Apps & Infra</v></cell><cell r="T1056" t="str"><v>Developers & ITI's</v></cell><cell r="U1056" t="str"><v>Audience & Interest Targeting</v></cell><cell r="V1056" t="str"><v>Audience Targeting</v></cell><cell r="W1056" t="str"><v>Other</v></cell><cell r="X1056" t="str"><v>1x1</v></cell></row><row r="1056"><cell r="AA1056"><v>43290</v></cell><cell r="AB1056" t="str"><v>AUS_gaPMG_AZR_AZR_Q1_19_Trial-Social</v></cell><cell r="AC1056"><v>21358568</v></cell><cell r="AD1056"><v>720191</v></cell><cell r="AE1056" t="str"><v>Facebook</v></cell><cell r="AF1056"><v>3654128</v></cell><cell r="AG1056" t="str"><v>Facebook»Audience & Interest Targeting»1x1»TextLink»OTH»DT»DYN»AUT»W»NA»SS»NA»Free Account Refresh- Device ChB</v></cell><cell r="AH1056"><v>224160777</v></cell><cell r="AI1056" t="str"><v>AzurePlatform_FreeAcctAppsFACEBOOKDeviceChB_AUS_1200x628_SOC_PLAT_EN_Trial_Standard_NA_SNU_T2_1</v></cell><cell r="AJ1056"><v>103048479</v></cell></row><row r="1057"><cell r="C1057" t="str"><v>43290Facebook»Audience & Interest Targeting»1x1»TextLink»OTH»DT»DYN»AUT»W»NA»SS»NA»Free Account Refresh- Illustration ChC</v></cell><cell r="D1057" t="str"><v>43290224160774</v></cell><cell r="E1057" t="str"><v>43290103186910on ChC</v></cell><cell r="F1057" t="str"><v>DCM</v></cell></row><row r="1057"><cell r="K1057" t="str"><v>July</v></cell><cell r="L1057"><v>43295</v></cell><cell r="M1057" t="str"><v>Tier 1</v></cell><cell r="N1057" t="str"><v>APAC</v></cell><cell r="O1057" t="str"><v>Australia</v></cell><cell r="P1057" t="str"><v>Trial</v></cell><cell r="Q1057" t="str"><v>Social</v></cell><cell r="R1057" t="str"><v>Azure</v></cell><cell r="S1057" t="str"><v>Apps & Infra</v></cell><cell r="T1057" t="str"><v>Developers & ITI's</v></cell><cell r="U1057" t="str"><v>Audience & Interest Targeting</v></cell><cell r="V1057" t="str"><v>Audience Targeting</v></cell><cell r="W1057" t="str"><v>Other</v></cell><cell r="X1057" t="str"><v>1x1</v></cell></row><row r="1057"><cell r="AA1057"><v>43290</v></cell><cell r="AB1057" t="str"><v>AUS_gaPMG_AZR_AZR_Q1_19_Trial-Social</v></cell><cell r="AC1057"><v>21358568</v></cell><cell r="AD1057"><v>720191</v></cell><cell r="AE1057" t="str"><v>Facebook</v></cell><cell r="AF1057"><v>3654128</v></cell><cell r="AG1057" t="str"><v>Facebook»Audience & Interest Targeting»1x1»TextLink»OTH»DT»DYN»AUT»W»NA»SS»NA»Free Account Refresh- Illustration ChC</v></cell><cell r="AH1057"><v>224160774</v></cell><cell r="AI1057" t="str"><v>AzurePlatform_FreeAcctAppsFACEBOOKIllustrationChC_AUS_1200x628_SOC_PLAT_EN_Trial_Standard_NA_SNU_T3_1</v></cell><cell r="AJ1057"><v>103186910</v></cell></row><row r="1058"><cell r="C1058" t="str"><v>43290Facebook»Audience & Interest Targeting»1x1»TextLink»OTH»DT»DYN»AUT»W»NA»SS»NA»Free Account Refresh- Lifestyle ChA</v></cell><cell r="D1058" t="str"><v>43290224160771</v></cell><cell r="E1058" t="str"><v>43290103048488le ChA</v></cell><cell r="F1058" t="str"><v>DCM</v></cell></row><row r="1058"><cell r="K1058" t="str"><v>July</v></cell><cell r="L1058"><v>43295</v></cell><cell r="M1058" t="str"><v>Tier 1</v></cell><cell r="N1058" t="str"><v>APAC</v></cell><cell r="O1058" t="str"><v>Australia</v></cell><cell r="P1058" t="str"><v>Trial</v></cell><cell r="Q1058" t="str"><v>Social</v></cell><cell r="R1058" t="str"><v>Azure</v></cell><cell r="S1058" t="str"><v>Apps & Infra</v></cell><cell r="T1058" t="str"><v>Developers & ITI's</v></cell><cell r="U1058" t="str"><v>Audience & Interest Targeting</v></cell><cell r="V1058" t="str"><v>Audience Targeting</v></cell><cell r="W1058" t="str"><v>Other</v></cell><cell r="X1058" t="str"><v>1x1</v></cell></row><row r="1058"><cell r="AA1058"><v>43290</v></cell><cell r="AB1058" t="str"><v>AUS_gaPMG_AZR_AZR_Q1_19_Trial-Social</v></cell><cell r="AC1058"><v>21358568</v></cell><cell r="AD1058"><v>720191</v></cell><cell r="AE1058" t="str"><v>Facebook</v></cell><cell r="AF1058"><v>3654128</v></cell><cell r="AG1058" t="str"><v>Facebook»Audience & Interest Targeting»1x1»TextLink»OTH»DT»DYN»AUT»W»NA»SS»NA»Free Account Refresh- Lifestyle ChA</v></cell><cell r="AH1058"><v>224160771</v></cell><cell r="AI1058" t="str"><v>AzurePlatform_FreeAcctAppsFACEBOOKLifestyleChA_AUS_1200x628_SOC_PLAT_EN_Trial_Standard_NA_SNU_T1_1</v></cell><cell r="AJ1058"><v>103048488</v></cell></row><row r="1059"><cell r="C1059" t="str"><v>43290Facebook»AZR»1x1»NA»EGV»ALL»DYN»AUT»D»All»SS»NA»Free Acc CTC - T1 - EN</v></cell><cell r="D1059" t="str"><v>43290223684451</v></cell><cell r="E1059" t="str"><v>432901029018821 - EN</v></cell><cell r="F1059" t="str"><v>DCM</v></cell><cell r="G1059" t="str"><v>https://signup.azure.com/</v></cell></row><row r="1059"><cell r="K1059" t="str"><v>July</v></cell><cell r="L1059"><v>43295</v></cell><cell r="M1059" t="str"><v>Tier 1</v></cell><cell r="N1059" t="str"><v>North America</v></cell><cell r="O1059" t="str"><v>Canada</v></cell><cell r="P1059" t="str"><v>Trial</v></cell><cell r="Q1059" t="str"><v>Social</v></cell><cell r="R1059" t="str"><v>Azure</v></cell><cell r="S1059" t="str"><v>Apps & Infra</v></cell><cell r="T1059" t="str"><v>Developers & ITI's</v></cell><cell r="U1059" t="str"><v>AZR</v></cell><cell r="V1059" t="str"><v>Audience Targeting</v></cell><cell r="W1059" t="str"><v>Engagement Video</v></cell><cell r="X1059" t="str"><v>1x1</v></cell></row><row r="1059"><cell r="AA1059"><v>43290</v></cell><cell r="AB1059" t="str"><v>CAN_gaPMG_AZR_AZR_Q1_19_Trial-Social</v></cell><cell r="AC1059"><v>21337220</v></cell><cell r="AD1059"><v>720192</v></cell><cell r="AE1059" t="str"><v>Facebook</v></cell><cell r="AF1059"><v>3654128</v></cell><cell r="AG1059" t="str"><v>Facebook»AZR»1x1»NA»EGV»ALL»DYN»AUT»D»All»SS»NA»Free Acc CTC - T1 - EN</v></cell><cell r="AH1059"><v>223684451</v></cell><cell r="AI1059" t="str"><v>AzurePlatform_FBCTCBasicMotion_CAN_10s_ISV_PLAT_English_Trial_Standard_STAN_TN_T1_1</v></cell><cell r="AJ1059"><v>102901882</v></cell></row><row r="1060"><cell r="C1060" t="str"><v>43290Facebook»AZR»1x1»NA»EGV»ALL»DYN»AUT»D»All»SS»NA»Free Acc CTC - T1 - FR</v></cell><cell r="D1060" t="str"><v>43290223691801</v></cell><cell r="E1060" t="str"><v>432901030533231 - FR</v></cell><cell r="F1060" t="str"><v>DCM</v></cell><cell r="G1060" t="str"><v>https://signup.azure.com/</v></cell></row><row r="1060"><cell r="K1060" t="str"><v>July</v></cell><cell r="L1060"><v>43295</v></cell><cell r="M1060" t="str"><v>Tier 1</v></cell><cell r="N1060" t="str"><v>North America</v></cell><cell r="O1060" t="str"><v>Canada</v></cell><cell r="P1060" t="str"><v>Trial</v></cell><cell r="Q1060" t="str"><v>Social</v></cell><cell r="R1060" t="str"><v>Azure</v></cell><cell r="S1060" t="str"><v>Apps & Infra</v></cell><cell r="T1060" t="str"><v>Developers & ITI's</v></cell><cell r="U1060" t="str"><v>AZR</v></cell><cell r="V1060" t="str"><v>Audience Targeting</v></cell><cell r="W1060" t="str"><v>Engagement Video</v></cell><cell r="X1060" t="str"><v>1x1</v></cell></row><row r="1060"><cell r="AA1060"><v>43290</v></cell><cell r="AB1060" t="str"><v>CAN_gaPMG_AZR_AZR_Q1_19_Trial-Social</v></cell><cell r="AC1060"><v>21337220</v></cell><cell r="AD1060"><v>720192</v></cell><cell r="AE1060" t="str"><v>Facebook</v></cell><cell r="AF1060"><v>3654128</v></cell><cell r="AG1060" t="str"><v>Facebook»AZR»1x1»NA»EGV»ALL»DYN»AUT»D»All»SS»NA»Free Acc CTC - T1 - FR</v></cell><cell r="AH1060"><v>223691801</v></cell><cell r="AI1060" t="str"><v>AzurePlatform_FBCTCBasicMotion_CAN_10s_ISV_PLAT_FR_Trial_Standard_STAN_TN_T1_1</v></cell><cell r="AJ1060"><v>103053323</v></cell></row><row r="1061"><cell r="C1061" t="str"><v>43290Facebook»AZR»1x1»NA»EGV»ALL»DYN»AUT»D»All»SS»NA»Free Acc CTC - T2 - EN</v></cell><cell r="D1061" t="str"><v>43290223691840</v></cell><cell r="E1061" t="str"><v>432901029029502 - EN</v></cell><cell r="F1061" t="str"><v>DCM</v></cell><cell r="G1061" t="str"><v>https://signup.azure.com/</v></cell></row><row r="1061"><cell r="K1061" t="str"><v>July</v></cell><cell r="L1061"><v>43295</v></cell><cell r="M1061" t="str"><v>Tier 1</v></cell><cell r="N1061" t="str"><v>North America</v></cell><cell r="O1061" t="str"><v>Canada</v></cell><cell r="P1061" t="str"><v>Trial</v></cell><cell r="Q1061" t="str"><v>Social</v></cell><cell r="R1061" t="str"><v>Azure</v></cell><cell r="S1061" t="str"><v>Apps & Infra</v></cell><cell r="T1061" t="str"><v>Developers & ITI's</v></cell><cell r="U1061" t="str"><v>AZR</v></cell><cell r="V1061" t="str"><v>Audience Targeting</v></cell><cell r="W1061" t="str"><v>Engagement Video</v></cell><cell r="X1061" t="str"><v>1x1</v></cell></row><row r="1061"><cell r="AA1061"><v>43290</v></cell><cell r="AB1061" t="str"><v>CAN_gaPMG_AZR_AZR_Q1_19_Trial-Social</v></cell><cell r="AC1061"><v>21337220</v></cell><cell r="AD1061"><v>720192</v></cell><cell r="AE1061" t="str"><v>Facebook</v></cell><cell r="AF1061"><v>3654128</v></cell><cell r="AG1061" t="str"><v>Facebook»AZR»1x1»NA»EGV»ALL»DYN»AUT»D»All»SS»NA»Free Acc CTC - T2 - EN</v></cell><cell r="AH1061"><v>223691840</v></cell><cell r="AI1061" t="str"><v>AzurePlatform_FBCTCBrandinMotion_CAN_12s_ISV_PLAT_English_Trial_Standard_STAN_TN_T2_1</v></cell><cell r="AJ1061"><v>102902950</v></cell></row><row r="1062"><cell r="C1062" t="str"><v>43290Facebook»AZR»1x1»NA»EGV»ALL»DYN»AUT»D»All»SS»NA»Free Acc CTC - T2 - FR</v></cell><cell r="D1062" t="str"><v>43290223691798</v></cell><cell r="E1062" t="str"><v>432901029163472 - FR</v></cell><cell r="F1062" t="str"><v>DCM</v></cell><cell r="G1062" t="str"><v>https://signup.azure.com/</v></cell></row><row r="1062"><cell r="K1062" t="str"><v>July</v></cell><cell r="L1062"><v>43295</v></cell><cell r="M1062" t="str"><v>Tier 1</v></cell><cell r="N1062" t="str"><v>North America</v></cell><cell r="O1062" t="str"><v>Canada</v></cell><cell r="P1062" t="str"><v>Trial</v></cell><cell r="Q1062" t="str"><v>Social</v></cell><cell r="R1062" t="str"><v>Azure</v></cell><cell r="S1062" t="str"><v>Apps & Infra</v></cell><cell r="T1062" t="str"><v>Developers & ITI's</v></cell><cell r="U1062" t="str"><v>AZR</v></cell><cell r="V1062" t="str"><v>Audience Targeting</v></cell><cell r="W1062" t="str"><v>Engagement Video</v></cell><cell r="X1062" t="str"><v>1x1</v></cell></row><row r="1062"><cell r="AA1062"><v>43290</v></cell><cell r="AB1062" t="str"><v>CAN_gaPMG_AZR_AZR_Q1_19_Trial-Social</v></cell><cell r="AC1062"><v>21337220</v></cell><cell r="AD1062"><v>720192</v></cell><cell r="AE1062" t="str"><v>Facebook</v></cell><cell r="AF1062"><v>3654128</v></cell><cell r="AG1062" t="str"><v>Facebook»AZR»1x1»NA»EGV»ALL»DYN»AUT»D»All»SS»NA»Free Acc CTC - T2 - FR</v></cell><cell r="AH1062"><v>223691798</v></cell><cell r="AI1062" t="str"><v>AzurePlatform_FBCTCBrandinMotion_CAN_12s_ISV_PLAT_FR_Trial_Standard_STAN_TN_T2_1</v></cell><cell r="AJ1062"><v>102916347</v></cell></row><row r="1063"><cell r="C1063" t="str"><v>43290Facebook»AZR»1x1»NA»EGV»ALL»DYN»AUT»D»All»SS»NA»Free Acc CTC - T4 - EN</v></cell><cell r="D1063" t="str"><v>43290223691837</v></cell><cell r="E1063" t="str"><v>432901030533144 - EN</v></cell><cell r="F1063" t="str"><v>DCM</v></cell><cell r="G1063" t="str"><v>https://signup.azure.com/</v></cell></row><row r="1063"><cell r="K1063" t="str"><v>July</v></cell><cell r="L1063"><v>43295</v></cell><cell r="M1063" t="str"><v>Tier 1</v></cell><cell r="N1063" t="str"><v>North America</v></cell><cell r="O1063" t="str"><v>Canada</v></cell><cell r="P1063" t="str"><v>Trial</v></cell><cell r="Q1063" t="str"><v>Social</v></cell><cell r="R1063" t="str"><v>Azure</v></cell><cell r="S1063" t="str"><v>Apps & Infra</v></cell><cell r="T1063" t="str"><v>Developers & ITI's</v></cell><cell r="U1063" t="str"><v>AZR</v></cell><cell r="V1063" t="str"><v>Audience Targeting</v></cell><cell r="W1063" t="str"><v>Engagement Video</v></cell><cell r="X1063" t="str"><v>1x1</v></cell></row><row r="1063"><cell r="AA1063"><v>43290</v></cell><cell r="AB1063" t="str"><v>CAN_gaPMG_AZR_AZR_Q1_19_Trial-Social</v></cell><cell r="AC1063"><v>21337220</v></cell><cell r="AD1063"><v>720192</v></cell><cell r="AE1063" t="str"><v>Facebook</v></cell><cell r="AF1063"><v>3654128</v></cell><cell r="AG1063" t="str"><v>Facebook»AZR»1x1»NA»EGV»ALL»DYN»AUT»D»All»SS»NA»Free Acc CTC - T4 - EN</v></cell><cell r="AH1063"><v>223691837</v></cell><cell r="AI1063" t="str"><v>AzurePlatform_FBCTCBenefit2inMotion_CAN_14s_ISV_PLAT_English_Trial_Standard_STAN_TN_T4_1</v></cell><cell r="AJ1063"><v>103053314</v></cell></row><row r="1064"><cell r="C1064" t="str"><v>43290Facebook»AZR»1x1»NA»EGV»ALL»DYN»AUT»D»All»SS»NA»Free Acc CTC - T4 - FR</v></cell><cell r="D1064" t="str"><v>43290223691795</v></cell><cell r="E1064" t="str"><v>432901029006884 - FR</v></cell><cell r="F1064" t="str"><v>DCM</v></cell><cell r="G1064" t="str"><v>https://signup.azure.com/</v></cell></row><row r="1064"><cell r="K1064" t="str"><v>July</v></cell><cell r="L1064"><v>43295</v></cell><cell r="M1064" t="str"><v>Tier 1</v></cell><cell r="N1064" t="str"><v>North America</v></cell><cell r="O1064" t="str"><v>Canada</v></cell><cell r="P1064" t="str"><v>Trial</v></cell><cell r="Q1064" t="str"><v>Social</v></cell><cell r="R1064" t="str"><v>Azure</v></cell><cell r="S1064" t="str"><v>Apps & Infra</v></cell><cell r="T1064" t="str"><v>Developers & ITI's</v></cell><cell r="U1064" t="str"><v>AZR</v></cell><cell r="V1064" t="str"><v>Audience Targeting</v></cell><cell r="W1064" t="str"><v>Engagement Video</v></cell><cell r="X1064" t="str"><v>1x1</v></cell></row><row r="1064"><cell r="AA1064"><v>43290</v></cell><cell r="AB1064" t="str"><v>CAN_gaPMG_AZR_AZR_Q1_19_Trial-Social</v></cell><cell r="AC1064"><v>21337220</v></cell><cell r="AD1064"><v>720192</v></cell><cell r="AE1064" t="str"><v>Facebook</v></cell><cell r="AF1064"><v>3654128</v></cell><cell r="AG1064" t="str"><v>Facebook»AZR»1x1»NA»EGV»ALL»DYN»AUT»D»All»SS»NA»Free Acc CTC - T4 - FR</v></cell><cell r="AH1064"><v>223691795</v></cell><cell r="AI1064" t="str"><v>AzurePlatform_FBCTCBenefit2inMotion_CAN_14s_ISV_PLAT_FR_Trial_Standard_STAN_TN_T4_1</v></cell><cell r="AJ1064"><v>102900688</v></cell></row><row r="1065"><cell r="C1065" t="str"><v>43290Facebook»AZR»1x1»SocialBan»NA»ALL»DYN»AUT»D»All»SS»NA»Free Acc Refresh - T1 - EN</v></cell><cell r="D1065" t="str"><v>43290223691804</v></cell><cell r="E1065" t="str"><v>432901030587171 - EN</v></cell><cell r="F1065" t="str"><v>DCM</v></cell><cell r="G1065" t="str"><v>https://azure.microsoft.com/en-CA/free/search/</v></cell></row><row r="1065"><cell r="K1065" t="str"><v>July</v></cell><cell r="L1065"><v>43295</v></cell><cell r="M1065" t="str"><v>Tier 1</v></cell><cell r="N1065" t="str"><v>North America</v></cell><cell r="O1065" t="str"><v>Canada</v></cell><cell r="P1065" t="str"><v>Trial</v></cell><cell r="Q1065" t="str"><v>Social</v></cell><cell r="R1065" t="str"><v>Azure</v></cell><cell r="S1065" t="str"><v>Apps & Infra</v></cell><cell r="T1065" t="str"><v>Developers & ITI's</v></cell><cell r="U1065" t="str"><v>AZR</v></cell><cell r="V1065" t="str"><v>Audience Targeting</v></cell><cell r="W1065" t="str"><v>NotApplicable</v></cell><cell r="X1065" t="str"><v>1x1</v></cell></row><row r="1065"><cell r="AA1065"><v>43290</v></cell><cell r="AB1065" t="str"><v>CAN_gaPMG_AZR_AZR_Q1_19_Trial-Social</v></cell><cell r="AC1065"><v>21337220</v></cell><cell r="AD1065"><v>720192</v></cell><cell r="AE1065" t="str"><v>Facebook</v></cell><cell r="AF1065"><v>3654128</v></cell><cell r="AG1065" t="str"><v>Facebook»AZR»1x1»SocialBan»NA»ALL»DYN»AUT»D»All»SS»NA»Free Acc Refresh - T1 - EN</v></cell><cell r="AH1065"><v>223691804</v></cell><cell r="AI1065" t="str"><v>AzurePlatform_FreeAcctAppsFACEBOOKLifestyleChA_CAN_1200x628_SOC_PLAT_EN_Trial_Standard_NA_SU_T1_1.png</v></cell><cell r="AJ1065"><v>103058717</v></cell></row><row r="1066"><cell r="C1066" t="str"><v>43290Facebook»AZR»1x1»SocialBan»NA»ALL»DYN»AUT»D»All»SS»NA»Free Acc Refresh - T1 - FR</v></cell><cell r="D1066" t="str"><v>43290223691762</v></cell><cell r="E1066" t="str"><v>432901029029741 - FR</v></cell><cell r="F1066" t="str"><v>DCM</v></cell><cell r="G1066" t="str"><v>https://azure.microsoft.com/fr-ca/free/search/</v></cell></row><row r="1066"><cell r="K1066" t="str"><v>July</v></cell><cell r="L1066"><v>43295</v></cell><cell r="M1066" t="str"><v>Tier 1</v></cell><cell r="N1066" t="str"><v>North America</v></cell><cell r="O1066" t="str"><v>Canada</v></cell><cell r="P1066" t="str"><v>Trial</v></cell><cell r="Q1066" t="str"><v>Social</v></cell><cell r="R1066" t="str"><v>Azure</v></cell><cell r="S1066" t="str"><v>Apps & Infra</v></cell><cell r="T1066" t="str"><v>Developers & ITI's</v></cell><cell r="U1066" t="str"><v>AZR</v></cell><cell r="V1066" t="str"><v>Audience Targeting</v></cell><cell r="W1066" t="str"><v>NotApplicable</v></cell><cell r="X1066" t="str"><v>1x1</v></cell></row><row r="1066"><cell r="AA1066"><v>43290</v></cell><cell r="AB1066" t="str"><v>CAN_gaPMG_AZR_AZR_Q1_19_Trial-Social</v></cell><cell r="AC1066"><v>21337220</v></cell><cell r="AD1066"><v>720192</v></cell><cell r="AE1066" t="str"><v>Facebook</v></cell><cell r="AF1066"><v>3654128</v></cell><cell r="AG1066" t="str"><v>Facebook»AZR»1x1»SocialBan»NA»ALL»DYN»AUT»D»All»SS»NA»Free Acc Refresh - T1 - FR</v></cell><cell r="AH1066"><v>223691762</v></cell><cell r="AI1066" t="str"><v>AzurePlatform_FreeAcctAppsFACEBOOKLifestyleChA_CAN_1200x628_SOC_PLAT_FR_Trial_Standard_NA_SU_T1_1.png</v></cell><cell r="AJ1066"><v>102902974</v></cell></row><row r="1067"><cell r="C1067" t="str"><v>43290Facebook»AZR»1x1»SocialBan»NA»ALL»DYN»AUT»D»All»SS»NA»Free Acc Refresh - T2 - EN</v></cell><cell r="D1067" t="str"><v>43290223691810</v></cell><cell r="E1067" t="str"><v>432901030587112 - EN</v></cell><cell r="F1067" t="str"><v>DCM</v></cell><cell r="G1067" t="str"><v>https://azure.microsoft.com/en-CA/free/search/</v></cell></row><row r="1067"><cell r="K1067" t="str"><v>July</v></cell><cell r="L1067"><v>43295</v></cell><cell r="M1067" t="str"><v>Tier 1</v></cell><cell r="N1067" t="str"><v>North America</v></cell><cell r="O1067" t="str"><v>Canada</v></cell><cell r="P1067" t="str"><v>Trial</v></cell><cell r="Q1067" t="str"><v>Social</v></cell><cell r="R1067" t="str"><v>Azure</v></cell><cell r="S1067" t="str"><v>Apps & Infra</v></cell><cell r="T1067" t="str"><v>Developers & ITI's</v></cell><cell r="U1067" t="str"><v>AZR</v></cell><cell r="V1067" t="str"><v>Audience Targeting</v></cell><cell r="W1067" t="str"><v>NotApplicable</v></cell><cell r="X1067" t="str"><v>1x1</v></cell></row><row r="1067"><cell r="AA1067"><v>43290</v></cell><cell r="AB1067" t="str"><v>CAN_gaPMG_AZR_AZR_Q1_19_Trial-Social</v></cell><cell r="AC1067"><v>21337220</v></cell><cell r="AD1067"><v>720192</v></cell><cell r="AE1067" t="str"><v>Facebook</v></cell><cell r="AF1067"><v>3654128</v></cell><cell r="AG1067" t="str"><v>Facebook»AZR»1x1»SocialBan»NA»ALL»DYN»AUT»D»All»SS»NA»Free Acc Refresh - T2 - EN</v></cell><cell r="AH1067"><v>223691810</v></cell><cell r="AI1067" t="str"><v>AzurePlatform_FreeAcctAppsFACEBOOKDeviceChB_CAN_1200x628_SOC_PLAT_EN_Trial_Standard_NA_SU_T2_1.png</v></cell><cell r="AJ1067"><v>103058711</v></cell></row><row r="1068"><cell r="C1068" t="str"><v>43290Facebook»AZR»1x1»SocialBan»NA»ALL»DYN»AUT»D»All»SS»NA»Free Acc Refresh - T3 - EN</v></cell><cell r="D1068" t="str"><v>43290223691807</v></cell><cell r="E1068" t="str"><v>432901029006853 - EN</v></cell><cell r="F1068" t="str"><v>DCM</v></cell><cell r="G1068" t="str"><v>https://azure.microsoft.com/en-CA/free/search/</v></cell></row><row r="1068"><cell r="K1068" t="str"><v>July</v></cell><cell r="L1068"><v>43295</v></cell><cell r="M1068" t="str"><v>Tier 1</v></cell><cell r="N1068" t="str"><v>North America</v></cell><cell r="O1068" t="str"><v>Canada</v></cell><cell r="P1068" t="str"><v>Trial</v></cell><cell r="Q1068" t="str"><v>Social</v></cell><cell r="R1068" t="str"><v>Azure</v></cell><cell r="S1068" t="str"><v>Apps & Infra</v></cell><cell r="T1068" t="str"><v>Developers & ITI's</v></cell><cell r="U1068" t="str"><v>AZR</v></cell><cell r="V1068" t="str"><v>Audience Targeting</v></cell><cell r="W1068" t="str"><v>NotApplicable</v></cell><cell r="X1068" t="str"><v>1x1</v></cell></row><row r="1068"><cell r="AA1068"><v>43290</v></cell><cell r="AB1068" t="str"><v>CAN_gaPMG_AZR_AZR_Q1_19_Trial-Social</v></cell><cell r="AC1068"><v>21337220</v></cell><cell r="AD1068"><v>720192</v></cell><cell r="AE1068" t="str"><v>Facebook</v></cell><cell r="AF1068"><v>3654128</v></cell><cell r="AG1068" t="str"><v>Facebook»AZR»1x1»SocialBan»NA»ALL»DYN»AUT»D»All»SS»NA»Free Acc Refresh - T3 - EN</v></cell><cell r="AH1068"><v>223691807</v></cell><cell r="AI1068" t="str"><v>AzurePlatform_FreeAcctAppsFACEBOOKIllustrationChC_CAN_1200x628_SOC_PLAT_EN_Trial_Standard_NA_SU_T3_1.png</v></cell><cell r="AJ1068"><v>102900685</v></cell></row><row r="1069"><cell r="C1069" t="str"><v>43290Facebook»AZR»1x1»SocialBan»NA»ALL»DYN»AUT»D»All»SS»NA»Free Acc Refresh - T4 - EN</v></cell><cell r="D1069" t="str"><v>43290223691813</v></cell><cell r="E1069" t="str"><v>432901030533204 - EN</v></cell><cell r="F1069" t="str"><v>DCM</v></cell><cell r="G1069" t="str"><v>https://azure.microsoft.com/en-CA/free/search/</v></cell></row><row r="1069"><cell r="K1069" t="str"><v>July</v></cell><cell r="L1069"><v>43295</v></cell><cell r="M1069" t="str"><v>Tier 1</v></cell><cell r="N1069" t="str"><v>North America</v></cell><cell r="O1069" t="str"><v>Canada</v></cell><cell r="P1069" t="str"><v>Trial</v></cell><cell r="Q1069" t="str"><v>Social</v></cell><cell r="R1069" t="str"><v>Azure</v></cell><cell r="S1069" t="str"><v>Apps & Infra</v></cell><cell r="T1069" t="str"><v>Developers & ITI's</v></cell><cell r="U1069" t="str"><v>AZR</v></cell><cell r="V1069" t="str"><v>Audience Targeting</v></cell><cell r="W1069" t="str"><v>NotApplicable</v></cell><cell r="X1069" t="str"><v>1x1</v></cell></row><row r="1069"><cell r="AA1069"><v>43290</v></cell><cell r="AB1069" t="str"><v>CAN_gaPMG_AZR_AZR_Q1_19_Trial-Social</v></cell><cell r="AC1069"><v>21337220</v></cell><cell r="AD1069"><v>720192</v></cell><cell r="AE1069" t="str"><v>Facebook</v></cell><cell r="AF1069"><v>3654128</v></cell><cell r="AG1069" t="str"><v>Facebook»AZR»1x1»SocialBan»NA»ALL»DYN»AUT»D»All»SS»NA»Free Acc Refresh - T4 - EN</v></cell><cell r="AH1069"><v>223691813</v></cell><cell r="AI1069" t="str"><v>AzurePlatform_FreeAcctAppsFACEBOOK200CreditChD_CAN_1200x628_SOC_PLAT_EN_Trial_Standard_NA_SU_T4_1.png</v></cell><cell r="AJ1069"><v>103053320</v></cell></row><row r="1070"><cell r="C1070" t="str"><v>43290Facebook»AZR»1x1»SocialBan»NA»ALL»DYN»AUT»D»All»SS»NA»Free Acc Refresh - T4 - FR</v></cell><cell r="D1070" t="str"><v>43290223691771</v></cell><cell r="E1070" t="str"><v>432901029029684 - FR</v></cell><cell r="F1070" t="str"><v>DCM</v></cell><cell r="G1070" t="str"><v>https://azure.microsoft.com/fr-ca/free/search/</v></cell></row><row r="1070"><cell r="K1070" t="str"><v>July</v></cell><cell r="L1070"><v>43295</v></cell><cell r="M1070" t="str"><v>Tier 1</v></cell><cell r="N1070" t="str"><v>North America</v></cell><cell r="O1070" t="str"><v>Canada</v></cell><cell r="P1070" t="str"><v>Trial</v></cell><cell r="Q1070" t="str"><v>Social</v></cell><cell r="R1070" t="str"><v>Azure</v></cell><cell r="S1070" t="str"><v>Apps & Infra</v></cell><cell r="T1070" t="str"><v>Developers & ITI's</v></cell><cell r="U1070" t="str"><v>AZR</v></cell><cell r="V1070" t="str"><v>Audience Targeting</v></cell><cell r="W1070" t="str"><v>NotApplicable</v></cell><cell r="X1070" t="str"><v>1x1</v></cell></row><row r="1070"><cell r="AA1070"><v>43290</v></cell><cell r="AB1070" t="str"><v>CAN_gaPMG_AZR_AZR_Q1_19_Trial-Social</v></cell><cell r="AC1070"><v>21337220</v></cell><cell r="AD1070"><v>720192</v></cell><cell r="AE1070" t="str"><v>Facebook</v></cell><cell r="AF1070"><v>3654128</v></cell><cell r="AG1070" t="str"><v>Facebook»AZR»1x1»SocialBan»NA»ALL»DYN»AUT»D»All»SS»NA»Free Acc Refresh - T4 - FR</v></cell><cell r="AH1070"><v>223691771</v></cell><cell r="AI1070" t="str"><v>AzurePlatform_FreeAcctAppsFACEBOOK200CreditChD_CAN_1200x628_SOC_PLAT_FR_Trial_Standard_NA_SU_T4_1.png</v></cell><cell r="AJ1070"><v>102902968</v></cell></row><row r="1071"><cell r="C1071" t="str"><v>43290Facebook»AZR»1x1»SocialBan»NA»ALL»DYN»AUT»D»All»SS»NA»Free Acc Refresh - T5 - EN</v></cell><cell r="D1071" t="str"><v>43290223691816</v></cell><cell r="E1071" t="str"><v>432901029163415 - EN</v></cell><cell r="F1071" t="str"><v>DCM</v></cell><cell r="G1071" t="str"><v>https://azure.microsoft.com/en-CA/free/search/</v></cell></row><row r="1071"><cell r="K1071" t="str"><v>July</v></cell><cell r="L1071"><v>43295</v></cell><cell r="M1071" t="str"><v>Tier 1</v></cell><cell r="N1071" t="str"><v>North America</v></cell><cell r="O1071" t="str"><v>Canada</v></cell><cell r="P1071" t="str"><v>Trial</v></cell><cell r="Q1071" t="str"><v>Social</v></cell><cell r="R1071" t="str"><v>Azure</v></cell><cell r="S1071" t="str"><v>Apps & Infra</v></cell><cell r="T1071" t="str"><v>Developers & ITI's</v></cell><cell r="U1071" t="str"><v>AZR</v></cell><cell r="V1071" t="str"><v>Audience Targeting</v></cell><cell r="W1071" t="str"><v>NotApplicable</v></cell><cell r="X1071" t="str"><v>1x1</v></cell></row><row r="1071"><cell r="AA1071"><v>43290</v></cell><cell r="AB1071" t="str"><v>CAN_gaPMG_AZR_AZR_Q1_19_Trial-Social</v></cell><cell r="AC1071"><v>21337220</v></cell><cell r="AD1071"><v>720192</v></cell><cell r="AE1071" t="str"><v>Facebook</v></cell><cell r="AF1071"><v>3654128</v></cell><cell r="AG1071" t="str"><v>Facebook»AZR»1x1»SocialBan»NA»ALL»DYN»AUT»D»All»SS»NA»Free Acc Refresh - T5 - EN</v></cell><cell r="AH1071"><v>223691816</v></cell><cell r="AI1071" t="str"><v>AzurePlatform_FreeAcctAppsFACEBOOK12monthsChE_CAN_1200x628_SOC_PLAT_EN_Trial_Standard_NA_SU_T5_1.png</v></cell><cell r="AJ1071"><v>102916341</v></cell></row><row r="1072"><cell r="C1072" t="str"><v>43290Facebook»AZR»1x1»SocialBan»NA»ALL»DYN»AUT»D»All»SS»NA»Free Acc Refresh - T5 - FR</v></cell><cell r="D1072" t="str"><v>43290223691774</v></cell><cell r="E1072" t="str"><v>432901029163565 - FR</v></cell><cell r="F1072" t="str"><v>DCM</v></cell><cell r="G1072" t="str"><v>https://azure.microsoft.com/fr-ca/free/search/</v></cell></row><row r="1072"><cell r="K1072" t="str"><v>July</v></cell><cell r="L1072"><v>43295</v></cell><cell r="M1072" t="str"><v>Tier 1</v></cell><cell r="N1072" t="str"><v>North America</v></cell><cell r="O1072" t="str"><v>Canada</v></cell><cell r="P1072" t="str"><v>Trial</v></cell><cell r="Q1072" t="str"><v>Social</v></cell><cell r="R1072" t="str"><v>Azure</v></cell><cell r="S1072" t="str"><v>Apps & Infra</v></cell><cell r="T1072" t="str"><v>Developers & ITI's</v></cell><cell r="U1072" t="str"><v>AZR</v></cell><cell r="V1072" t="str"><v>Audience Targeting</v></cell><cell r="W1072" t="str"><v>NotApplicable</v></cell><cell r="X1072" t="str"><v>1x1</v></cell></row><row r="1072"><cell r="AA1072"><v>43290</v></cell><cell r="AB1072" t="str"><v>CAN_gaPMG_AZR_AZR_Q1_19_Trial-Social</v></cell><cell r="AC1072"><v>21337220</v></cell><cell r="AD1072"><v>720192</v></cell><cell r="AE1072" t="str"><v>Facebook</v></cell><cell r="AF1072"><v>3654128</v></cell><cell r="AG1072" t="str"><v>Facebook»AZR»1x1»SocialBan»NA»ALL»DYN»AUT»D»All»SS»NA»Free Acc Refresh - T5 - FR</v></cell><cell r="AH1072"><v>223691774</v></cell><cell r="AI1072" t="str"><v>AzurePlatform_FreeAcctAppsFACEBOOK12monthsChE_CAN_1200x628_SOC_PLAT_FR_Trial_Standard_NA_SU_T5_1.png</v></cell><cell r="AJ1072"><v>102916356</v></cell></row><row r="1073"><cell r="C1073" t="str"><v>43290Facebook»AZR»1x1»SocialBan»NA»ALL»DYN»RT»D»All»SS»NA» Free Account Retargeting OSS - T1 - EN</v></cell><cell r="D1073" t="str"><v>43290223691828</v></cell><cell r="E1073" t="str"><v>432901029029561 - EN</v></cell><cell r="F1073" t="str"><v>DCM</v></cell><cell r="G1073" t="str"><v>https://azure.microsoft.com/en-ca/free/open-source/search/</v></cell></row><row r="1073"><cell r="K1073" t="str"><v>July</v></cell><cell r="L1073"><v>43295</v></cell><cell r="M1073" t="str"><v>Tier 1</v></cell><cell r="N1073" t="str"><v>North America</v></cell><cell r="O1073" t="str"><v>Canada</v></cell><cell r="P1073" t="str"><v>Trial</v></cell><cell r="Q1073" t="str"><v>Social</v></cell><cell r="R1073" t="str"><v>Azure</v></cell><cell r="S1073" t="str"><v>Apps & Infra</v></cell><cell r="T1073" t="str"><v>Developers & ITI's</v></cell><cell r="U1073" t="str"><v>AZR</v></cell><cell r="V1073" t="str"><v>Retargeting</v></cell><cell r="W1073" t="str"><v>NotApplicable</v></cell><cell r="X1073" t="str"><v>1x1</v></cell></row><row r="1073"><cell r="AA1073"><v>43290</v></cell><cell r="AB1073" t="str"><v>CAN_gaPMG_AZR_AZR_Q1_19_Trial-Social</v></cell><cell r="AC1073"><v>21337220</v></cell><cell r="AD1073"><v>720192</v></cell><cell r="AE1073" t="str"><v>Facebook</v></cell><cell r="AF1073"><v>3654128</v></cell><cell r="AG1073" t="str"><v>Facebook»AZR»1x1»SocialBan»NA»ALL»DYN»RT»D»All»SS»NA» Free Account Retargeting OSS - T1 - EN</v></cell><cell r="AH1073"><v>223691828</v></cell><cell r="AI1073" t="str"><v>AzurePlatform_FreeAcctRetargetingOSSFB-Text-ChF_CAN_1200x628_SOC_Plat_EN_Free Account_Standard_NA_SU_T1_1</v></cell><cell r="AJ1073"><v>102902956</v></cell></row><row r="1074"><cell r="C1074" t="str"><v>43290Facebook»AZR»1x1»SocialBan»NA»ALL»DYN»RT»D»All»SS»NA» Free Account Retargeting OSS - T1 - FR</v></cell><cell r="D1074" t="str"><v>43290223691786</v></cell><cell r="E1074" t="str"><v>432901030587201 - FR</v></cell><cell r="F1074" t="str"><v>DCM</v></cell><cell r="G1074" t="str"><v>https://azure.microsoft.com/fr-ca/free/open-source/search/</v></cell></row><row r="1074"><cell r="K1074" t="str"><v>July</v></cell><cell r="L1074"><v>43295</v></cell><cell r="M1074" t="str"><v>Tier 1</v></cell><cell r="N1074" t="str"><v>North America</v></cell><cell r="O1074" t="str"><v>Canada</v></cell><cell r="P1074" t="str"><v>Trial</v></cell><cell r="Q1074" t="str"><v>Social</v></cell><cell r="R1074" t="str"><v>Azure</v></cell><cell r="S1074" t="str"><v>Apps & Infra</v></cell><cell r="T1074" t="str"><v>Developers & ITI's</v></cell><cell r="U1074" t="str"><v>AZR</v></cell><cell r="V1074" t="str"><v>Retargeting</v></cell><cell r="W1074" t="str"><v>NotApplicable</v></cell><cell r="X1074" t="str"><v>1x1</v></cell></row><row r="1074"><cell r="AA1074"><v>43290</v></cell><cell r="AB1074" t="str"><v>CAN_gaPMG_AZR_AZR_Q1_19_Trial-Social</v></cell><cell r="AC1074"><v>21337220</v></cell><cell r="AD1074"><v>720192</v></cell><cell r="AE1074" t="str"><v>Facebook</v></cell><cell r="AF1074"><v>3654128</v></cell><cell r="AG1074" t="str"><v>Facebook»AZR»1x1»SocialBan»NA»ALL»DYN»RT»D»All»SS»NA» Free Account Retargeting OSS - T1 - FR</v></cell><cell r="AH1074"><v>223691786</v></cell><cell r="AI1074" t="str"><v>AzurePlatform_FreeAcctRetargetingOSSFB-Text-ChF_CAN_1200x628_SOC_Plat_FR_Free Account_Standard_NA_SU_T1_1</v></cell><cell r="AJ1074"><v>103058720</v></cell></row><row r="1075"><cell r="C1075" t="str"><v>43290Facebook»AZR»1x1»SocialBan»NA»ALL»DYN»RT»D»All»SS»NA» Free Account Retargeting OSS - T2 - EN</v></cell><cell r="D1075" t="str"><v>43290223691831</v></cell><cell r="E1075" t="str"><v>432901029138002 - EN</v></cell><cell r="F1075" t="str"><v>DCM</v></cell><cell r="G1075" t="str"><v>https://azure.microsoft.com/en-ca/free/open-source/search/</v></cell></row><row r="1075"><cell r="K1075" t="str"><v>July</v></cell><cell r="L1075"><v>43295</v></cell><cell r="M1075" t="str"><v>Tier 1</v></cell><cell r="N1075" t="str"><v>North America</v></cell><cell r="O1075" t="str"><v>Canada</v></cell><cell r="P1075" t="str"><v>Trial</v></cell><cell r="Q1075" t="str"><v>Social</v></cell><cell r="R1075" t="str"><v>Azure</v></cell><cell r="S1075" t="str"><v>Apps & Infra</v></cell><cell r="T1075" t="str"><v>Developers & ITI's</v></cell><cell r="U1075" t="str"><v>AZR</v></cell><cell r="V1075" t="str"><v>Retargeting</v></cell><cell r="W1075" t="str"><v>NotApplicable</v></cell><cell r="X1075" t="str"><v>1x1</v></cell></row><row r="1075"><cell r="AA1075"><v>43290</v></cell><cell r="AB1075" t="str"><v>CAN_gaPMG_AZR_AZR_Q1_19_Trial-Social</v></cell><cell r="AC1075"><v>21337220</v></cell><cell r="AD1075"><v>720192</v></cell><cell r="AE1075" t="str"><v>Facebook</v></cell><cell r="AF1075"><v>3654128</v></cell><cell r="AG1075" t="str"><v>Facebook»AZR»1x1»SocialBan»NA»ALL»DYN»RT»D»All»SS»NA» Free Account Retargeting OSS - T2 - EN</v></cell><cell r="AH1075"><v>223691831</v></cell><cell r="AI1075" t="str"><v>AzurePlatform_FreeAcctRetargetingOSSFB-Logos-ChG_CAN_1200x628_SOC_Plat_EN_Free Account_Standard_NA_SU_T2_1</v></cell><cell r="AJ1075"><v>102913800</v></cell></row><row r="1076"><cell r="C1076" t="str"><v>43290Facebook»AZR»1x1»SocialBan»NA»ALL»DYN»RT»D»All»SS»NA» Free Account Retargeting OSS - T2 - FR</v></cell><cell r="D1076" t="str"><v>43290223691789</v></cell><cell r="E1076" t="str"><v>432901029006912 - FR</v></cell><cell r="F1076" t="str"><v>DCM</v></cell><cell r="G1076" t="str"><v>https://azure.microsoft.com/fr-ca/free/open-source/search/</v></cell></row><row r="1076"><cell r="K1076" t="str"><v>July</v></cell><cell r="L1076"><v>43295</v></cell><cell r="M1076" t="str"><v>Tier 1</v></cell><cell r="N1076" t="str"><v>North America</v></cell><cell r="O1076" t="str"><v>Canada</v></cell><cell r="P1076" t="str"><v>Trial</v></cell><cell r="Q1076" t="str"><v>Social</v></cell><cell r="R1076" t="str"><v>Azure</v></cell><cell r="S1076" t="str"><v>Apps & Infra</v></cell><cell r="T1076" t="str"><v>Developers & ITI's</v></cell><cell r="U1076" t="str"><v>AZR</v></cell><cell r="V1076" t="str"><v>Retargeting</v></cell><cell r="W1076" t="str"><v>NotApplicable</v></cell><cell r="X1076" t="str"><v>1x1</v></cell></row><row r="1076"><cell r="AA1076"><v>43290</v></cell><cell r="AB1076" t="str"><v>CAN_gaPMG_AZR_AZR_Q1_19_Trial-Social</v></cell><cell r="AC1076"><v>21337220</v></cell><cell r="AD1076"><v>720192</v></cell><cell r="AE1076" t="str"><v>Facebook</v></cell><cell r="AF1076"><v>3654128</v></cell><cell r="AG1076" t="str"><v>Facebook»AZR»1x1»SocialBan»NA»ALL»DYN»RT»D»All»SS»NA» Free Account Retargeting OSS - T2 - FR</v></cell><cell r="AH1076"><v>223691789</v></cell><cell r="AI1076" t="str"><v>AzurePlatform_FreeAcctRetargetingOSSFB-Logos-ChG_CAN_1200x628_SOC_Plat_FR_Free Account_Standard_NA_SU_T2_1</v></cell><cell r="AJ1076"><v>102900691</v></cell></row><row r="1077"><cell r="C1077" t="str"><v>43290Facebook»AZR»1x1»SocialBan»NA»ALL»DYN»RT»D»All»SS»NA»Free Account Retargeting Generic - T2 - EN</v></cell><cell r="D1077" t="str"><v>43290223691834</v></cell><cell r="E1077" t="str"><v>432901029029532 - EN</v></cell><cell r="F1077" t="str"><v>DCM</v></cell><cell r="G1077" t="str"><v>https://azure.microsoft.com/en-CA/free/search/</v></cell></row><row r="1077"><cell r="K1077" t="str"><v>July</v></cell><cell r="L1077"><v>43295</v></cell><cell r="M1077" t="str"><v>Tier 1</v></cell><cell r="N1077" t="str"><v>North America</v></cell><cell r="O1077" t="str"><v>Canada</v></cell><cell r="P1077" t="str"><v>Trial</v></cell><cell r="Q1077" t="str"><v>Social</v></cell><cell r="R1077" t="str"><v>Azure</v></cell><cell r="S1077" t="str"><v>Apps & Infra</v></cell><cell r="T1077" t="str"><v>Developers & ITI's</v></cell><cell r="U1077" t="str"><v>AZR</v></cell><cell r="V1077" t="str"><v>Retargeting</v></cell><cell r="W1077" t="str"><v>NotApplicable</v></cell><cell r="X1077" t="str"><v>1x1</v></cell></row><row r="1077"><cell r="AA1077"><v>43290</v></cell><cell r="AB1077" t="str"><v>CAN_gaPMG_AZR_AZR_Q1_19_Trial-Social</v></cell><cell r="AC1077"><v>21337220</v></cell><cell r="AD1077"><v>720192</v></cell><cell r="AE1077" t="str"><v>Facebook</v></cell><cell r="AF1077"><v>3654128</v></cell><cell r="AG1077" t="str"><v>Facebook»AZR»1x1»SocialBan»NA»ALL»DYN»RT»D»All»SS»NA»Free Account Retargeting Generic - T2 - EN</v></cell><cell r="AH1077"><v>223691834</v></cell><cell r="AI1077" t="str"><v>AzurePlatform_FreeAcctRetargetingFB-GlobalAlt-ChB_CAN_1200x628_SOC_Plat_EN_Free Account_Standard_NA_SU_T2_1</v></cell><cell r="AJ1077"><v>102902953</v></cell></row><row r="1078"><cell r="C1078" t="str"><v>43290Facebook»AZR»1x1»SocialBan»NA»ALL»DYN»RT»D»All»SS»NA»Free Account Retargeting Generic - T2 - FR</v></cell><cell r="D1078" t="str"><v>43290223691792</v></cell><cell r="E1078" t="str"><v>432901029018942 - FR</v></cell><cell r="F1078" t="str"><v>DCM</v></cell><cell r="G1078" t="str"><v>https://azure.microsoft.com/fr-ca/free/search/</v></cell></row><row r="1078"><cell r="K1078" t="str"><v>July</v></cell><cell r="L1078"><v>43295</v></cell><cell r="M1078" t="str"><v>Tier 1</v></cell><cell r="N1078" t="str"><v>North America</v></cell><cell r="O1078" t="str"><v>Canada</v></cell><cell r="P1078" t="str"><v>Trial</v></cell><cell r="Q1078" t="str"><v>Social</v></cell><cell r="R1078" t="str"><v>Azure</v></cell><cell r="S1078" t="str"><v>Apps & Infra</v></cell><cell r="T1078" t="str"><v>Developers & ITI's</v></cell><cell r="U1078" t="str"><v>AZR</v></cell><cell r="V1078" t="str"><v>Retargeting</v></cell><cell r="W1078" t="str"><v>NotApplicable</v></cell><cell r="X1078" t="str"><v>1x1</v></cell></row><row r="1078"><cell r="AA1078"><v>43290</v></cell><cell r="AB1078" t="str"><v>CAN_gaPMG_AZR_AZR_Q1_19_Trial-Social</v></cell><cell r="AC1078"><v>21337220</v></cell><cell r="AD1078"><v>720192</v></cell><cell r="AE1078" t="str"><v>Facebook</v></cell><cell r="AF1078"><v>3654128</v></cell><cell r="AG1078" t="str"><v>Facebook»AZR»1x1»SocialBan»NA»ALL»DYN»RT»D»All»SS»NA»Free Account Retargeting Generic - T2 - FR</v></cell><cell r="AH1078"><v>223691792</v></cell><cell r="AI1078" t="str"><v>AzurePlatform_FreeAcctRetargetingFB-GlobalAlt-ChB_CAN_1200x628_SOC_Plat_FR_Free Account_Standard_NA_SU_T2_1</v></cell><cell r="AJ1078"><v>102901894</v></cell></row><row r="1079"><cell r="C1079" t="str"><v>43290Facebook»AZR»1x1»SocialBan»NA»ALL»DYN»RT»D»All»SS»NA»Free Account Retargeting Generic - T3 - EN</v></cell><cell r="D1079" t="str"><v>43290223691819</v></cell><cell r="E1079" t="str"><v>432901029006823 - EN</v></cell><cell r="F1079" t="str"><v>DCM</v></cell><cell r="G1079" t="str"><v>https://azure.microsoft.com/en-CA/free/search/</v></cell></row><row r="1079"><cell r="K1079" t="str"><v>July</v></cell><cell r="L1079"><v>43295</v></cell><cell r="M1079" t="str"><v>Tier 1</v></cell><cell r="N1079" t="str"><v>North America</v></cell><cell r="O1079" t="str"><v>Canada</v></cell><cell r="P1079" t="str"><v>Trial</v></cell><cell r="Q1079" t="str"><v>Social</v></cell><cell r="R1079" t="str"><v>Azure</v></cell><cell r="S1079" t="str"><v>Apps & Infra</v></cell><cell r="T1079" t="str"><v>Developers & ITI's</v></cell><cell r="U1079" t="str"><v>AZR</v></cell><cell r="V1079" t="str"><v>Retargeting</v></cell><cell r="W1079" t="str"><v>NotApplicable</v></cell><cell r="X1079" t="str"><v>1x1</v></cell></row><row r="1079"><cell r="AA1079"><v>43290</v></cell><cell r="AB1079" t="str"><v>CAN_gaPMG_AZR_AZR_Q1_19_Trial-Social</v></cell><cell r="AC1079"><v>21337220</v></cell><cell r="AD1079"><v>720192</v></cell><cell r="AE1079" t="str"><v>Facebook</v></cell><cell r="AF1079"><v>3654128</v></cell><cell r="AG1079" t="str"><v>Facebook»AZR»1x1»SocialBan»NA»ALL»DYN»RT»D»All»SS»NA»Free Account Retargeting Generic - T3 - EN</v></cell><cell r="AH1079"><v>223691819</v></cell><cell r="AI1079" t="str"><v>AzurePlatform_FreeAcctRetargetingFB-Animated-ChC_CAN_1200x628_SOC_Plat_EN_Free Account_Standard_ANI_SU_T3_1</v></cell><cell r="AJ1079"><v>102900682</v></cell></row><row r="1080"><cell r="C1080" t="str"><v>43290Facebook»AZR»1x1»SocialBan»NA»ALL»DYN»RT»D»All»SS»NA»Free Account Retargeting Generic - T3 - FR</v></cell><cell r="D1080" t="str"><v>43290223691777</v></cell><cell r="E1080" t="str"><v>432901029006973 - FR</v></cell><cell r="F1080" t="str"><v>DCM</v></cell><cell r="G1080" t="str"><v>https://azure.microsoft.com/fr-ca/free/search/</v></cell></row><row r="1080"><cell r="K1080" t="str"><v>July</v></cell><cell r="L1080"><v>43295</v></cell><cell r="M1080" t="str"><v>Tier 1</v></cell><cell r="N1080" t="str"><v>North America</v></cell><cell r="O1080" t="str"><v>Canada</v></cell><cell r="P1080" t="str"><v>Trial</v></cell><cell r="Q1080" t="str"><v>Social</v></cell><cell r="R1080" t="str"><v>Azure</v></cell><cell r="S1080" t="str"><v>Apps & Infra</v></cell><cell r="T1080" t="str"><v>Developers & ITI's</v></cell><cell r="U1080" t="str"><v>AZR</v></cell><cell r="V1080" t="str"><v>Retargeting</v></cell><cell r="W1080" t="str"><v>NotApplicable</v></cell><cell r="X1080" t="str"><v>1x1</v></cell></row><row r="1080"><cell r="AA1080"><v>43290</v></cell><cell r="AB1080" t="str"><v>CAN_gaPMG_AZR_AZR_Q1_19_Trial-Social</v></cell><cell r="AC1080"><v>21337220</v></cell><cell r="AD1080"><v>720192</v></cell><cell r="AE1080" t="str"><v>Facebook</v></cell><cell r="AF1080"><v>3654128</v></cell><cell r="AG1080" t="str"><v>Facebook»AZR»1x1»SocialBan»NA»ALL»DYN»RT»D»All»SS»NA»Free Account Retargeting Generic - T3 - FR</v></cell><cell r="AH1080"><v>223691777</v></cell><cell r="AI1080" t="str"><v>AzurePlatform_FreeAcctRetargetingFB-Animated-ChC_CAN_1200x628_SOC_Plat_FR_Free Account_Standard_ANI_SU_T3_1</v></cell><cell r="AJ1080"><v>102900697</v></cell></row><row r="1081"><cell r="C1081" t="str"><v>43290Facebook»AZR»1x1»SocialBan»NA»ALL»DYN»RT»D»All»SS»NA»Free Account Retargeting VM - T1 - EN</v></cell><cell r="D1081" t="str"><v>43290223691825</v></cell><cell r="E1081" t="str"><v>432901029163381 - EN</v></cell><cell r="F1081" t="str"><v>DCM</v></cell><cell r="G1081" t="str"><v>https://azure.microsoft.com/en-ca/free/virtual-machines/search/</v></cell></row><row r="1081"><cell r="K1081" t="str"><v>July</v></cell><cell r="L1081"><v>43295</v></cell><cell r="M1081" t="str"><v>Tier 1</v></cell><cell r="N1081" t="str"><v>North America</v></cell><cell r="O1081" t="str"><v>Canada</v></cell><cell r="P1081" t="str"><v>Trial</v></cell><cell r="Q1081" t="str"><v>Social</v></cell><cell r="R1081" t="str"><v>Azure</v></cell><cell r="S1081" t="str"><v>Apps & Infra</v></cell><cell r="T1081" t="str"><v>Developers & ITI's</v></cell><cell r="U1081" t="str"><v>AZR</v></cell><cell r="V1081" t="str"><v>Retargeting</v></cell><cell r="W1081" t="str"><v>NotApplicable</v></cell><cell r="X1081" t="str"><v>1x1</v></cell></row><row r="1081"><cell r="AA1081"><v>43290</v></cell><cell r="AB1081" t="str"><v>CAN_gaPMG_AZR_AZR_Q1_19_Trial-Social</v></cell><cell r="AC1081"><v>21337220</v></cell><cell r="AD1081"><v>720192</v></cell><cell r="AE1081" t="str"><v>Facebook</v></cell><cell r="AF1081"><v>3654128</v></cell><cell r="AG1081" t="str"><v>Facebook»AZR»1x1»SocialBan»NA»ALL»DYN»RT»D»All»SS»NA»Free Account Retargeting VM - T1 - EN</v></cell><cell r="AH1081"><v>223691825</v></cell><cell r="AI1081" t="str"><v>AzurePlatform_FreeAcctRetargetingVMFB-750Hrs-ChD_CAN_1200x628_SOC_Plat_EN_Free Account_Standard_NA_SU_T1_1</v></cell><cell r="AJ1081"><v>102916338</v></cell></row><row r="1082"><cell r="C1082" t="str"><v>43290Facebook»AZR»1x1»SocialBan»NA»ALL»DYN»RT»D»All»SS»NA»Free Account Retargeting VM - T1 - FR</v></cell><cell r="D1082" t="str"><v>43290223691783</v></cell><cell r="E1082" t="str"><v>432901030587231 - FR</v></cell><cell r="F1082" t="str"><v>DCM</v></cell><cell r="G1082" t="str"><v>https://azure.microsoft.com/fr-ca/free/virtual-machines/search/</v></cell></row><row r="1082"><cell r="K1082" t="str"><v>July</v></cell><cell r="L1082"><v>43295</v></cell><cell r="M1082" t="str"><v>Tier 1</v></cell><cell r="N1082" t="str"><v>North America</v></cell><cell r="O1082" t="str"><v>Canada</v></cell><cell r="P1082" t="str"><v>Trial</v></cell><cell r="Q1082" t="str"><v>Social</v></cell><cell r="R1082" t="str"><v>Azure</v></cell><cell r="S1082" t="str"><v>Apps & Infra</v></cell><cell r="T1082" t="str"><v>Developers & ITI's</v></cell><cell r="U1082" t="str"><v>AZR</v></cell><cell r="V1082" t="str"><v>Retargeting</v></cell><cell r="W1082" t="str"><v>NotApplicable</v></cell><cell r="X1082" t="str"><v>1x1</v></cell></row><row r="1082"><cell r="AA1082"><v>43290</v></cell><cell r="AB1082" t="str"><v>CAN_gaPMG_AZR_AZR_Q1_19_Trial-Social</v></cell><cell r="AC1082"><v>21337220</v></cell><cell r="AD1082"><v>720192</v></cell><cell r="AE1082" t="str"><v>Facebook</v></cell><cell r="AF1082"><v>3654128</v></cell><cell r="AG1082" t="str"><v>Facebook»AZR»1x1»SocialBan»NA»ALL»DYN»RT»D»All»SS»NA»Free Account Retargeting VM - T1 - FR</v></cell><cell r="AH1082"><v>223691783</v></cell><cell r="AI1082" t="str"><v>AzurePlatform_FreeAcctRetargetingVMFB-750Hrs-ChD_CAN_1200x628_SOC_Plat_FR_Free Account_Standard_NA_SU_T1_1</v></cell><cell r="AJ1082"><v>103058723</v></cell></row><row r="1083"><cell r="C1083" t="str"><v>43290Facebook»AZR»1x1»SocialBan»NA»ALL»DYN»RT»D»All»SS»NA»Free Account Retargeting VM - T2 - FR</v></cell><cell r="D1083" t="str"><v>43290223691780</v></cell><cell r="E1083" t="str"><v>432901030587262 - FR</v></cell><cell r="F1083" t="str"><v>DCM</v></cell><cell r="G1083" t="str"><v>https://azure.microsoft.com/fr-ca/free/virtual-machines/search/</v></cell></row><row r="1083"><cell r="K1083" t="str"><v>July</v></cell><cell r="L1083"><v>43295</v></cell><cell r="M1083" t="str"><v>Tier 1</v></cell><cell r="N1083" t="str"><v>North America</v></cell><cell r="O1083" t="str"><v>Canada</v></cell><cell r="P1083" t="str"><v>Trial</v></cell><cell r="Q1083" t="str"><v>Social</v></cell><cell r="R1083" t="str"><v>Azure</v></cell><cell r="S1083" t="str"><v>Apps & Infra</v></cell><cell r="T1083" t="str"><v>Developers & ITI's</v></cell><cell r="U1083" t="str"><v>AZR</v></cell><cell r="V1083" t="str"><v>Retargeting</v></cell><cell r="W1083" t="str"><v>NotApplicable</v></cell><cell r="X1083" t="str"><v>1x1</v></cell></row><row r="1083"><cell r="AA1083"><v>43290</v></cell><cell r="AB1083" t="str"><v>CAN_gaPMG_AZR_AZR_Q1_19_Trial-Social</v></cell><cell r="AC1083"><v>21337220</v></cell><cell r="AD1083"><v>720192</v></cell><cell r="AE1083" t="str"><v>Facebook</v></cell><cell r="AF1083"><v>3654128</v></cell><cell r="AG1083" t="str"><v>Facebook»AZR»1x1»SocialBan»NA»ALL»DYN»RT»D»All»SS»NA»Free Account Retargeting VM - T2 - FR</v></cell><cell r="AH1083"><v>223691780</v></cell><cell r="AI1083" t="str"><v>AzurePlatform_FreeAcctRetargetingVMFB-OnDemand-ChE_CAN_1200x628_SOC_Plat_FR_Free Account_Standard_NA_SU_T2_1</v></cell><cell r="AJ1083"><v>103058726</v></cell></row><row r="1084"><cell r="C1084" t="str"><v>43290Facebook»DEV-ITP-AZR-FB|CanvasAds|Interesttargeting»1x1»TextLink»CAN»DT»CPM»AUT»W»NA»SS»NA»39684020-11000</v></cell><cell r="D1084" t="str"><v>43290224009494</v></cell><cell r="E1084" t="str"><v>43290103236186-11000</v></cell><cell r="F1084" t="str"><v>DCM</v></cell><cell r="G1084" t="str"><v>https://signup.azure.com/signup?offer=ms-azr-0044p&appId=102&ref=paidmedia-social-fb&redirectURL=https%3a%2f%2fazure.microsoft.com%2fde-de%2fget-started%2fwelcome-to-azure%2f&l=de-de&correlationId=ead86c34-1f10-49dd-a72b-6918462a2cbf</v></cell></row><row r="1084"><cell r="K1084" t="str"><v>July</v></cell><cell r="L1084"><v>43295</v></cell><cell r="M1084" t="str"><v>Tier 1</v></cell><cell r="N1084" t="str"><v>EMEA</v></cell><cell r="O1084" t="str"><v>Germany</v></cell><cell r="P1084" t="str"><v>Trial</v></cell><cell r="Q1084" t="str"><v>Social</v></cell><cell r="R1084" t="str"><v>Azure</v></cell><cell r="S1084" t="str"><v>Apps & Infra</v></cell><cell r="T1084" t="str"><v>Developers & ITI's</v></cell><cell r="U1084" t="str"><v>DEV-ITP-AZR-FB|CanvasAds|Interesttargeting</v></cell><cell r="V1084" t="str"><v>Audience Targeting</v></cell><cell r="W1084" t="str"><v>Canvas Ad</v></cell><cell r="X1084" t="str"><v>1x1</v></cell></row><row r="1084"><cell r="AA1084"><v>43290</v></cell><cell r="AB1084" t="str"><v>DEU_gaPMG_AZR_AZR_Q1_19_Trial-Social- 39684</v></cell><cell r="AC1084"><v>21359477</v></cell><cell r="AD1084"><v>720194</v></cell><cell r="AE1084" t="str"><v>Facebook</v></cell><cell r="AF1084"><v>3654128</v></cell><cell r="AG1084" t="str"><v>Facebook»DEV-ITP-AZR-FB|CanvasAds|Interesttargeting»1x1»TextLink»CAN»DT»CPM»AUT»W»NA»SS»NA»39684020-11000</v></cell><cell r="AH1084"><v>224009494</v></cell><cell r="AI1084" t="str"><v>AzurePlatform_FBCTCBasicMotion-StartFreeCT_DEU_10s_ISV_PLAT_DE_Trial_Standard_STAN_TN_T1_1</v></cell><cell r="AJ1084"><v>103236186</v></cell></row><row r="1085"><cell r="C1085" t="str"><v>43290Facebook»DEV-ITP-AZR-FB|CanvasAds|Interesttargeting»1x1»TextLink»CAN»DT»CPM»AUT»W»NA»SS»NA»39684020-11000</v></cell><cell r="D1085" t="str"><v>43290224009494</v></cell><cell r="E1085" t="str"><v>43290103237290-11000</v></cell><cell r="F1085" t="str"><v>DCM</v></cell><cell r="G1085" t="str"><v>https://signup.azure.com/signup?offer=ms-azr-0044p&appId=102&ref=paidmedia-social-fb&redirectURL=https%3a%2f%2fazure.microsoft.com%2fde-de%2fget-started%2fwelcome-to-azure%2f&l=de-de&correlationId=ead86c34-1f10-49dd-a72b-6918462a2cbf</v></cell></row><row r="1085"><cell r="K1085" t="str"><v>July</v></cell><cell r="L1085"><v>43295</v></cell><cell r="M1085" t="str"><v>Tier 1</v></cell><cell r="N1085" t="str"><v>EMEA</v></cell><cell r="O1085" t="str"><v>Germany</v></cell><cell r="P1085" t="str"><v>Trial</v></cell><cell r="Q1085" t="str"><v>Social</v></cell><cell r="R1085" t="str"><v>Azure</v></cell><cell r="S1085" t="str"><v>Apps & Infra</v></cell><cell r="T1085" t="str"><v>Developers & ITI's</v></cell><cell r="U1085" t="str"><v>DEV-ITP-AZR-FB|CanvasAds|Interesttargeting</v></cell><cell r="V1085" t="str"><v>Audience Targeting</v></cell><cell r="W1085" t="str"><v>Canvas Ad</v></cell><cell r="X1085" t="str"><v>1x1</v></cell></row><row r="1085"><cell r="AA1085"><v>43290</v></cell><cell r="AB1085" t="str"><v>DEU_gaPMG_AZR_AZR_Q1_19_Trial-Social- 39684</v></cell><cell r="AC1085"><v>21359477</v></cell><cell r="AD1085"><v>720194</v></cell><cell r="AE1085" t="str"><v>Facebook</v></cell><cell r="AF1085"><v>3654128</v></cell><cell r="AG1085" t="str"><v>Facebook»DEV-ITP-AZR-FB|CanvasAds|Interesttargeting»1x1»TextLink»CAN»DT»CPM»AUT»W»NA»SS»NA»39684020-11000</v></cell><cell r="AH1085"><v>224009494</v></cell><cell r="AI1085" t="str"><v>AzurePlatform_FBCTCBenefit2inMotion-StartFreeCT_DEU_14s_ISV_PLAT_DE_Trial_Standard_STAN_TN_T4_1</v></cell><cell r="AJ1085"><v>103237290</v></cell></row><row r="1086"><cell r="C1086" t="str"><v>43290Facebook»DEV-ITP-AZR-FB|CanvasAds|Interesttargeting»1x1»TextLink»CAN»DT»CPM»AUT»W»NA»SS»NA»39684020-11000</v></cell><cell r="D1086" t="str"><v>43290224009494</v></cell><cell r="E1086" t="str"><v>43290103350059-11000</v></cell><cell r="F1086" t="str"><v>DCM</v></cell><cell r="G1086" t="str"><v>https://azure.microsoft.com/de-de/pricing/purchase-options/</v></cell></row><row r="1086"><cell r="K1086" t="str"><v>July</v></cell><cell r="L1086"><v>43295</v></cell><cell r="M1086" t="str"><v>Tier 1</v></cell><cell r="N1086" t="str"><v>EMEA</v></cell><cell r="O1086" t="str"><v>Germany</v></cell><cell r="P1086" t="str"><v>Trial</v></cell><cell r="Q1086" t="str"><v>Social</v></cell><cell r="R1086" t="str"><v>Azure</v></cell><cell r="S1086" t="str"><v>Apps & Infra</v></cell><cell r="T1086" t="str"><v>Developers & ITI's</v></cell><cell r="U1086" t="str"><v>DEV-ITP-AZR-FB|CanvasAds|Interesttargeting</v></cell><cell r="V1086" t="str"><v>Audience Targeting</v></cell><cell r="W1086" t="str"><v>Canvas Ad</v></cell><cell r="X1086" t="str"><v>1x1</v></cell></row><row r="1086"><cell r="AA1086"><v>43290</v></cell><cell r="AB1086" t="str"><v>DEU_gaPMG_AZR_AZR_Q1_19_Trial-Social- 39684</v></cell><cell r="AC1086"><v>21359477</v></cell><cell r="AD1086"><v>720194</v></cell><cell r="AE1086" t="str"><v>Facebook</v></cell><cell r="AF1086"><v>3654128</v></cell><cell r="AG1086" t="str"><v>Facebook»DEV-ITP-AZR-FB|CanvasAds|Interesttargeting»1x1»TextLink»CAN»DT»CPM»AUT»W»NA»SS»NA»39684020-11000</v></cell><cell r="AH1086"><v>224009494</v></cell><cell r="AI1086" t="str"><v>AzurePlatform_FBCTCBrandinMotion-BuyNow_DEU_12s_ISV_PLAT_DE_Trial_Standard_STAN_TN_T2_1</v></cell><cell r="AJ1086"><v>103350059</v></cell></row><row r="1087"><cell r="C1087" t="str"><v>43290Facebook»DEV-ITP-AZR-FB|CanvasAds|Interesttargeting»1x1»TextLink»CAN»DT»CPM»AUT»W»NA»SS»NA»39684020-11000</v></cell><cell r="D1087" t="str"><v>43290224009494</v></cell><cell r="E1087" t="str"><v>43290103237293-11000</v></cell><cell r="F1087" t="str"><v>DCM</v></cell><cell r="G1087" t="str"><v>https://signup.azure.com/signup?offer=ms-azr-0044p&appId=102&ref=paidmedia-social-fb&redirectURL=https%3a%2f%2fazure.microsoft.com%2fde-de%2fget-started%2fwelcome-to-azure%2f&l=de-de&correlationId=ead86c34-1f10-49dd-a72b-6918462a2cbf</v></cell></row><row r="1087"><cell r="K1087" t="str"><v>July</v></cell><cell r="L1087"><v>43295</v></cell><cell r="M1087" t="str"><v>Tier 1</v></cell><cell r="N1087" t="str"><v>EMEA</v></cell><cell r="O1087" t="str"><v>Germany</v></cell><cell r="P1087" t="str"><v>Trial</v></cell><cell r="Q1087" t="str"><v>Social</v></cell><cell r="R1087" t="str"><v>Azure</v></cell><cell r="S1087" t="str"><v>Apps & Infra</v></cell><cell r="T1087" t="str"><v>Developers & ITI's</v></cell><cell r="U1087" t="str"><v>DEV-ITP-AZR-FB|CanvasAds|Interesttargeting</v></cell><cell r="V1087" t="str"><v>Audience Targeting</v></cell><cell r="W1087" t="str"><v>Canvas Ad</v></cell><cell r="X1087" t="str"><v>1x1</v></cell></row><row r="1087"><cell r="AA1087"><v>43290</v></cell><cell r="AB1087" t="str"><v>DEU_gaPMG_AZR_AZR_Q1_19_Trial-Social- 39684</v></cell><cell r="AC1087"><v>21359477</v></cell><cell r="AD1087"><v>720194</v></cell><cell r="AE1087" t="str"><v>Facebook</v></cell><cell r="AF1087"><v>3654128</v></cell><cell r="AG1087" t="str"><v>Facebook»DEV-ITP-AZR-FB|CanvasAds|Interesttargeting»1x1»TextLink»CAN»DT»CPM»AUT»W»NA»SS»NA»39684020-11000</v></cell><cell r="AH1087"><v>224009494</v></cell><cell r="AI1087" t="str"><v>AzurePlatform_FBCTCBrandinMotion-StartFreeCT_DEU_12s_ISV_PLAT_DE_Trial_Standard_STAN_TN_T2_1</v></cell><cell r="AJ1087"><v>103237293</v></cell></row><row r="1088"><cell r="C1088" t="str"><v>43290Facebook»DEV-ITP-AZR-FB|LinkAd|CustomerAudienceRetargeting»1x1»TextLink»LIA»DT»CPM»RT»W»NA»SS»NA»39684019-11000</v></cell><cell r="D1088" t="str"><v>43290224010415</v></cell><cell r="E1088" t="str"><v>43290103040320-11000</v></cell><cell r="F1088" t="str"><v>DCM</v></cell><cell r="G1088" t="str"><v>https://azure.microsoft.com/de-de/free/search/</v></cell></row><row r="1088"><cell r="K1088" t="str"><v>July</v></cell><cell r="L1088"><v>43295</v></cell><cell r="M1088" t="str"><v>Tier 1</v></cell><cell r="N1088" t="str"><v>EMEA</v></cell><cell r="O1088" t="str"><v>Germany</v></cell><cell r="P1088" t="str"><v>Trial</v></cell><cell r="Q1088" t="str"><v>Social</v></cell><cell r="R1088" t="str"><v>Azure</v></cell><cell r="S1088" t="str"><v>Apps & Infra</v></cell><cell r="T1088" t="str"><v>Developers & ITI's</v></cell><cell r="U1088" t="str"><v>DEV-ITP-AZR-FB|LinkAd|CustomerAudienceRetargeting</v></cell><cell r="V1088" t="str"><v>Retargeting</v></cell><cell r="W1088" t="str"><v>Link Ad</v></cell><cell r="X1088" t="str"><v>1x1</v></cell></row><row r="1088"><cell r="AA1088"><v>43290</v></cell><cell r="AB1088" t="str"><v>DEU_gaPMG_AZR_AZR_Q1_19_Trial-Social- 39684</v></cell><cell r="AC1088"><v>21359477</v></cell><cell r="AD1088"><v>720194</v></cell><cell r="AE1088" t="str"><v>Facebook</v></cell><cell r="AF1088"><v>3654128</v></cell><cell r="AG1088" t="str"><v>Facebook»DEV-ITP-AZR-FB|LinkAd|CustomerAudienceRetargeting»1x1»TextLink»LIA»DT»CPM»RT»W»NA»SS»NA»39684019-11000</v></cell><cell r="AH1088"><v>224010415</v></cell><cell r="AI1088" t="str"><v>AzurePlatform_FreeAcctRetargetingFB-GlobalAlt-ChB_DEU_1200x628_SOC_Plat_DE_Free Account_Standard_NA_SNU_T2_1</v></cell><cell r="AJ1088"><v>103040320</v></cell></row><row r="1089"><cell r="C1089" t="str"><v>43290Facebook»DEV-ITP-AZR-FB|LinkAd|CustomerAudienceRetargeting»1x1»TextLink»LIA»DT»CPM»RT»W»NA»SS»NA»39684019-11000</v></cell><cell r="D1089" t="str"><v>43290224010415</v></cell><cell r="E1089" t="str"><v>43290103043329-11000</v></cell><cell r="F1089" t="str"><v>DCM</v></cell><cell r="G1089" t="str"><v>https://azure.microsoft.com/de-de/free/open-source/search/</v></cell></row><row r="1089"><cell r="K1089" t="str"><v>July</v></cell><cell r="L1089"><v>43295</v></cell><cell r="M1089" t="str"><v>Tier 1</v></cell><cell r="N1089" t="str"><v>EMEA</v></cell><cell r="O1089" t="str"><v>Germany</v></cell><cell r="P1089" t="str"><v>Trial</v></cell><cell r="Q1089" t="str"><v>Social</v></cell><cell r="R1089" t="str"><v>Azure</v></cell><cell r="S1089" t="str"><v>Apps & Infra</v></cell><cell r="T1089" t="str"><v>Developers & ITI's</v></cell><cell r="U1089" t="str"><v>DEV-ITP-AZR-FB|LinkAd|CustomerAudienceRetargeting</v></cell><cell r="V1089" t="str"><v>Retargeting</v></cell><cell r="W1089" t="str"><v>Link Ad</v></cell><cell r="X1089" t="str"><v>1x1</v></cell></row><row r="1089"><cell r="AA1089"><v>43290</v></cell><cell r="AB1089" t="str"><v>DEU_gaPMG_AZR_AZR_Q1_19_Trial-Social- 39684</v></cell><cell r="AC1089"><v>21359477</v></cell><cell r="AD1089"><v>720194</v></cell><cell r="AE1089" t="str"><v>Facebook</v></cell><cell r="AF1089"><v>3654128</v></cell><cell r="AG1089" t="str"><v>Facebook»DEV-ITP-AZR-FB|LinkAd|CustomerAudienceRetargeting»1x1»TextLink»LIA»DT»CPM»RT»W»NA»SS»NA»39684019-11000</v></cell><cell r="AH1089"><v>224010415</v></cell><cell r="AI1089" t="str"><v>AzurePlatform_FreeAcctRetargetingOSSFB-Logos-ChG_DEU_1200x628_SOC_Plat_DE_Free Account_Standard_NA_SNU_T2_1</v></cell><cell r="AJ1089"><v>103043329</v></cell></row><row r="1090"><cell r="C1090" t="str"><v>43290Facebook»DEV-ITP-AZR-FB|LinkAd|CustomerAudienceRetargeting»1x1»TextLink»LIA»DT»CPM»RT»W»NA»SS»NA»39684019-11000</v></cell><cell r="D1090" t="str"><v>43290224010415</v></cell><cell r="E1090" t="str"><v>43290103043338-11000</v></cell><cell r="F1090" t="str"><v>DCM</v></cell><cell r="G1090" t="str"><v>https://azure.microsoft.com/de-de/free/virtual-machines/search/</v></cell></row><row r="1090"><cell r="K1090" t="str"><v>July</v></cell><cell r="L1090"><v>43295</v></cell><cell r="M1090" t="str"><v>Tier 1</v></cell><cell r="N1090" t="str"><v>EMEA</v></cell><cell r="O1090" t="str"><v>Germany</v></cell><cell r="P1090" t="str"><v>Trial</v></cell><cell r="Q1090" t="str"><v>Social</v></cell><cell r="R1090" t="str"><v>Azure</v></cell><cell r="S1090" t="str"><v>Apps & Infra</v></cell><cell r="T1090" t="str"><v>Developers & ITI's</v></cell><cell r="U1090" t="str"><v>DEV-ITP-AZR-FB|LinkAd|CustomerAudienceRetargeting</v></cell><cell r="V1090" t="str"><v>Retargeting</v></cell><cell r="W1090" t="str"><v>Link Ad</v></cell><cell r="X1090" t="str"><v>1x1</v></cell></row><row r="1090"><cell r="AA1090"><v>43290</v></cell><cell r="AB1090" t="str"><v>DEU_gaPMG_AZR_AZR_Q1_19_Trial-Social- 39684</v></cell><cell r="AC1090"><v>21359477</v></cell><cell r="AD1090"><v>720194</v></cell><cell r="AE1090" t="str"><v>Facebook</v></cell><cell r="AF1090"><v>3654128</v></cell><cell r="AG1090" t="str"><v>Facebook»DEV-ITP-AZR-FB|LinkAd|CustomerAudienceRetargeting»1x1»TextLink»LIA»DT»CPM»RT»W»NA»SS»NA»39684019-11000</v></cell><cell r="AH1090"><v>224010415</v></cell><cell r="AI1090" t="str"><v>AzurePlatform_FreeAcctRetargetingVMFB-OnDemand-ChE_DEU_1200x628_SOC_Plat_DE_Free Account_Standard_NA_SNU_T2_1</v></cell><cell r="AJ1090"><v>103043338</v></cell></row><row r="1091"><cell r="C1091" t="str"><v>43290Facebook»Developers/ITPros-Azure Direct-Sponsored Post-Canvas-FBCTCcanvaspage-BuyNowCTA-Img3_FBCTCBrandinMotion_FRA_14sec»1x1»Canvas»SOC»ALL»CPC»BT»D»UNK»SS»NA»Trials</v></cell><cell r="D1091" t="str"><v>43290224416918</v></cell><cell r="E1091" t="str"><v>43290103256571Trials</v></cell><cell r="F1091" t="str"><v>DCM</v></cell><cell r="G1091" t="str"><v>https://azure.microsoft.com/fr-fr/pricing/purchase-options/</v></cell></row><row r="1091"><cell r="K1091" t="str"><v>July</v></cell><cell r="L1091"><v>43295</v></cell><cell r="M1091" t="str"><v>Tier 1</v></cell><cell r="N1091" t="str"><v>EMEA</v></cell><cell r="O1091" t="str"><v>France</v></cell><cell r="P1091" t="str"><v>Trial</v></cell><cell r="Q1091" t="str"><v>Social</v></cell><cell r="R1091" t="str"><v>Azure</v></cell><cell r="S1091" t="str"><v>Apps & Infra</v></cell><cell r="T1091" t="str"><v>Developers & ITI's</v></cell><cell r="U1091" t="str"><v>Developers/ITPros-Azure Direct-Sponsored Post-Canvas-FBCTCcanvaspage-BuyNowCTA-Img3_FBCTCBrandinMotion_FRA_14sec</v></cell><cell r="V1091" t="str"><v>Behavioral Targeting</v></cell><cell r="W1091" t="str"><v>Social</v></cell><cell r="X1091" t="str"><v>1x1</v></cell></row><row r="1091"><cell r="AA1091"><v>43290</v></cell><cell r="AB1091" t="str"><v>FRA_gaPMG_AZR_AZR_Q1_19_AzureDirect-Trial-Social</v></cell><cell r="AC1091"><v>21356941</v></cell><cell r="AD1091"><v>720193</v></cell><cell r="AE1091" t="str"><v>Facebook</v></cell><cell r="AF1091"><v>3654128</v></cell><cell r="AG1091" t="str"><v>Facebook»Developers/ITPros-Azure Direct-Sponsored Post-Canvas-FBCTCcanvaspage-BuyNowCTA-Img3_FBCTCBrandinMotion_FRA_14sec»1x1»Canvas»SOC»ALL»CPC»BT»D»UNK»SS»NA»Trials</v></cell><cell r="AH1091"><v>224416918</v></cell><cell r="AI1091" t="str"><v>AZR_FBCTCcanvaspage-BuyNowCTA-Img3_FRA_1080x162_SOC_AZRDirect_French_NA_Facebook_SBAN_BN_T3_1</v></cell><cell r="AJ1091"><v>103256571</v></cell></row><row r="1092"><cell r="C1092" t="str"><v>43290Facebook»Developers/ITPros-Azure Direct-Sponsored Post-Canvas-FBCTCcanvaspage-StartFreeCTA-Img2_FBCTCBasicMotion_FRA_10sec»1x1»Canvas»SOC»ALL»CPC»BT»D»UNK»SS»NA»Trials</v></cell><cell r="D1092" t="str"><v>43290224560884</v></cell><cell r="E1092" t="str"><v>43290103259958Trials</v></cell><cell r="F1092" t="str"><v>DCM</v></cell><cell r="G1092" t="str"><v>https://signup.azure.com/signup?offer=ms-azr-0044p&appId=102&ref=paidmedia-social-fb&redirectURL=https%3a%2f%2fazure.microsoft.com%2ffr-fr%2fget-started%2fwelcome-to-azure%2f&l=fr-fr&correlationId=ead86c34-1f10-49dd-a72b-6918462a2cbf</v></cell></row><row r="1092"><cell r="K1092" t="str"><v>July</v></cell><cell r="L1092"><v>43295</v></cell><cell r="M1092" t="str"><v>Tier 1</v></cell><cell r="N1092" t="str"><v>EMEA</v></cell><cell r="O1092" t="str"><v>France</v></cell><cell r="P1092" t="str"><v>Trial</v></cell><cell r="Q1092" t="str"><v>Social</v></cell><cell r="R1092" t="str"><v>Azure</v></cell><cell r="S1092" t="str"><v>Apps & Infra</v></cell><cell r="T1092" t="str"><v>Developers & ITI's</v></cell><cell r="U1092" t="str"><v>Developers/ITPros-Azure Direct-Sponsored Post-Canvas-FBCTCcanvaspage-StartFreeCTA-Img2_FBCTCBasicMotion_FRA_10sec</v></cell><cell r="V1092" t="str"><v>Behavioral Targeting</v></cell><cell r="W1092" t="str"><v>Social</v></cell><cell r="X1092" t="str"><v>1x1</v></cell></row><row r="1092"><cell r="AA1092"><v>43290</v></cell><cell r="AB1092" t="str"><v>FRA_gaPMG_AZR_AZR_Q1_19_AzureDirect-Trial-Social</v></cell><cell r="AC1092"><v>21356941</v></cell><cell r="AD1092"><v>720193</v></cell><cell r="AE1092" t="str"><v>Facebook</v></cell><cell r="AF1092"><v>3654128</v></cell><cell r="AG1092" t="str"><v>Facebook»Developers/ITPros-Azure Direct-Sponsored Post-Canvas-FBCTCcanvaspage-StartFreeCTA-Img2_FBCTCBasicMotion_FRA_10sec»1x1»Canvas»SOC»ALL»CPC»BT»D»UNK»SS»NA»Trials</v></cell><cell r="AH1092"><v>224560884</v></cell><cell r="AI1092" t="str"><v>AZR_FBCTCcanvaspage-StartFreeCTA-Img2_FRA_1080x143_SOC_AZRDirect_French_NA_Facebook_SBAN_BN_T2_1</v></cell><cell r="AJ1092"><v>103259958</v></cell></row><row r="1093"><cell r="C1093" t="str"><v>43290Facebook»Developers/ITPros-Azure Direct-Sponsored Post-Canvas-FBCTCcanvaspage-StartFreeCTA-Img2_FBCTCBrandinMotion_FRA_14sec»1x1»Canvas»SOC»ALL»CPC»BT»D»UNK»SS»NA»Trials</v></cell><cell r="D1093" t="str"><v>43290224560872</v></cell><cell r="E1093" t="str"><v>43290103259958Trials</v></cell><cell r="F1093" t="str"><v>DCM</v></cell><cell r="G1093" t="str"><v>https://signup.azure.com/signup?offer=ms-azr-0044p&appId=102&ref=paidmedia-social-fb&redirectURL=https%3a%2f%2fazure.microsoft.com%2ffr-fr%2fget-started%2fwelcome-to-azure%2f&l=fr-fr&correlationId=ead86c34-1f10-49dd-a72b-6918462a2cbf</v></cell></row><row r="1093"><cell r="K1093" t="str"><v>July</v></cell><cell r="L1093"><v>43295</v></cell><cell r="M1093" t="str"><v>Tier 1</v></cell><cell r="N1093" t="str"><v>EMEA</v></cell><cell r="O1093" t="str"><v>France</v></cell><cell r="P1093" t="str"><v>Trial</v></cell><cell r="Q1093" t="str"><v>Social</v></cell><cell r="R1093" t="str"><v>Azure</v></cell><cell r="S1093" t="str"><v>Apps & Infra</v></cell><cell r="T1093" t="str"><v>Developers & ITI's</v></cell><cell r="U1093" t="str"><v>Developers/ITPros-Azure Direct-Sponsored Post-Canvas-FBCTCcanvaspage-StartFreeCTA-Img2_FBCTCBrandinMotion_FRA_14sec</v></cell><cell r="V1093" t="str"><v>Behavioral Targeting</v></cell><cell r="W1093" t="str"><v>Social</v></cell><cell r="X1093" t="str"><v>1x1</v></cell></row><row r="1093"><cell r="AA1093"><v>43290</v></cell><cell r="AB1093" t="str"><v>FRA_gaPMG_AZR_AZR_Q1_19_AzureDirect-Trial-Social</v></cell><cell r="AC1093"><v>21356941</v></cell><cell r="AD1093"><v>720193</v></cell><cell r="AE1093" t="str"><v>Facebook</v></cell><cell r="AF1093"><v>3654128</v></cell><cell r="AG1093" t="str"><v>Facebook»Developers/ITPros-Azure Direct-Sponsored Post-Canvas-FBCTCcanvaspage-StartFreeCTA-Img2_FBCTCBrandinMotion_FRA_14sec»1x1»Canvas»SOC»ALL»CPC»BT»D»UNK»SS»NA»Trials</v></cell><cell r="AH1093"><v>224560872</v></cell><cell r="AI1093" t="str"><v>AZR_FBCTCcanvaspage-StartFreeCTA-Img2_FRA_1080x143_SOC_AZRDirect_French_NA_Facebook_SBAN_BN_T2_1</v></cell><cell r="AJ1093"><v>103259958</v></cell></row><row r="1094"><cell r="C1094" t="str"><v>43290Facebook»Developers/ITPros-Azure Direct-Sponsored Post-Link Ad-FreeAcctRetargetingOSSFB-Text-ChF»1x1»SocialBan»SOC»ALL»CPC»BT»D»UNK»SS»NA»Trials</v></cell><cell r="D1094" t="str"><v>43290224560839</v></cell><cell r="E1094" t="str"><v>43290103257810Trials</v></cell><cell r="F1094" t="str"><v>DCM</v></cell><cell r="G1094" t="str"><v>https://azure.microsoft.com/fr-fr/free/open-source/search/</v></cell></row><row r="1094"><cell r="K1094" t="str"><v>July</v></cell><cell r="L1094"><v>43295</v></cell><cell r="M1094" t="str"><v>Tier 1</v></cell><cell r="N1094" t="str"><v>EMEA</v></cell><cell r="O1094" t="str"><v>France</v></cell><cell r="P1094" t="str"><v>Trial</v></cell><cell r="Q1094" t="str"><v>Social</v></cell><cell r="R1094" t="str"><v>Azure</v></cell><cell r="S1094" t="str"><v>Apps & Infra</v></cell><cell r="T1094" t="str"><v>Developers & ITI's</v></cell><cell r="U1094" t="str"><v>Developers/ITPros-Azure Direct-Sponsored Post-Link Ad-FreeAcctRetargetingOSSFB-Text-ChF</v></cell><cell r="V1094" t="str"><v>Behavioral Targeting</v></cell><cell r="W1094" t="str"><v>Social</v></cell><cell r="X1094" t="str"><v>1x1</v></cell></row><row r="1094"><cell r="AA1094"><v>43290</v></cell><cell r="AB1094" t="str"><v>FRA_gaPMG_AZR_AZR_Q1_19_AzureDirect-Trial-Social</v></cell><cell r="AC1094"><v>21356941</v></cell><cell r="AD1094"><v>720193</v></cell><cell r="AE1094" t="str"><v>Facebook</v></cell><cell r="AF1094"><v>3654128</v></cell><cell r="AG1094" t="str"><v>Facebook»Developers/ITPros-Azure Direct-Sponsored Post-Link Ad-FreeAcctRetargetingOSSFB-Text-ChF»1x1»SocialBan»SOC»ALL»CPC»BT»D»UNK»SS»NA»Trials</v></cell><cell r="AH1094"><v>224560839</v></cell><cell r="AI1094" t="str"><v>AZR_FreeAcctRetargetingOSSFB-Text-ChF_FRA_1200x628_SOC_AZRDirect_French_NA_Facebook_SBAN_SINU_T1_1</v></cell><cell r="AJ1094"><v>103257810</v></cell></row><row r="1095"><cell r="C1095" t="str"><v>43290Facebook»Developers/ITPros-Azure Direct-Sponsored Post-Video Ad-FBCTCBasicMotion_FRA_10s_RTG Landing Page»1x1»05s»SOC»ALL»CPC»BT»D»UNK»SS»NA»Trials</v></cell><cell r="D1095" t="str"><v>43290224416915</v></cell><cell r="E1095" t="str"><v>43290103376981Trials</v></cell><cell r="F1095" t="str"><v>DCM</v></cell></row><row r="1095"><cell r="K1095" t="str"><v>July</v></cell><cell r="L1095"><v>43295</v></cell><cell r="M1095" t="str"><v>Tier 1</v></cell><cell r="N1095" t="str"><v>EMEA</v></cell><cell r="O1095" t="str"><v>France</v></cell><cell r="P1095" t="str"><v>Trial</v></cell><cell r="Q1095" t="str"><v>Social</v></cell><cell r="R1095" t="str"><v>Azure</v></cell><cell r="S1095" t="str"><v>Apps & Infra</v></cell><cell r="T1095" t="str"><v>Developers & ITI's</v></cell><cell r="U1095" t="str"><v>Developers/ITPros-Azure Direct-Sponsored Post-Video Ad-FBCTCBasicMotion_FRA_10s_RTG Landing Page</v></cell><cell r="V1095" t="str"><v>Behavioral Targeting</v></cell><cell r="W1095" t="str"><v>Social</v></cell><cell r="X1095" t="str"><v>1x1</v></cell></row><row r="1095"><cell r="AA1095"><v>43290</v></cell><cell r="AB1095" t="str"><v>FRA_gaPMG_AZR_AZR_Q1_19_AzureDirect-Trial-Social</v></cell><cell r="AC1095"><v>21356941</v></cell><cell r="AD1095"><v>720193</v></cell><cell r="AE1095" t="str"><v>Facebook</v></cell><cell r="AF1095"><v>3654128</v></cell><cell r="AG1095" t="str"><v>Facebook»Developers/ITPros-Azure Direct-Sponsored Post-Video Ad-FBCTCBasicMotion_FRA_10s_RTG Landing Page»1x1»05s»SOC»ALL»CPC»BT»D»UNK»SS»NA»Trials</v></cell><cell r="AH1095"><v>224416915</v></cell><cell r="AI1095" t="str"><v>AZR_FBCTCBasicMotion_FRA_10s_VIA_AZRDirect_French_NA_Facebook_STAN_TIN_T1_1</v></cell><cell r="AJ1095"><v>103376981</v></cell></row><row r="1096"><cell r="C1096" t="str"><v>43290Facebook»Developers/ITPros-Azure Direct-Sponsored Post-Video Ad-FBCTCBenefit2inMotion_FRA_14s_RTG Landing Page»1x1»06s»SOC»ALL»CPC»BT»D»UNK»SS»NA»Trials</v></cell><cell r="D1096" t="str"><v>43290224560875</v></cell><cell r="E1096" t="str"><v>43290103259766Trials</v></cell><cell r="F1096" t="str"><v>DCM</v></cell><cell r="G1096" t="str"><v>https://signup.azure.com/signup?offer=ms-azr-0044p&appId=102&ref=paidmedia-social-fb&redirectURL=https:%2F%2Fazure.microsoft.com%2Ffr-fr%2Fget-started%2Fwelcome-to-azure%2F&l=fr-fr&correlationId=ead86c34-1f10-49dd-a72b-6918462a2cbf</v></cell></row><row r="1096"><cell r="K1096" t="str"><v>July</v></cell><cell r="L1096"><v>43295</v></cell><cell r="M1096" t="str"><v>Tier 1</v></cell><cell r="N1096" t="str"><v>EMEA</v></cell><cell r="O1096" t="str"><v>France</v></cell><cell r="P1096" t="str"><v>Trial</v></cell><cell r="Q1096" t="str"><v>Social</v></cell><cell r="R1096" t="str"><v>Azure</v></cell><cell r="S1096" t="str"><v>Apps & Infra</v></cell><cell r="T1096" t="str"><v>Developers & ITI's</v></cell><cell r="U1096" t="str"><v>Developers/ITPros-Azure Direct-Sponsored Post-Video Ad-FBCTCBenefit2inMotion_FRA_14s_RTG Landing Page</v></cell><cell r="V1096" t="str"><v>Behavioral Targeting</v></cell><cell r="W1096" t="str"><v>Social</v></cell><cell r="X1096" t="str"><v>1x1</v></cell></row><row r="1096"><cell r="AA1096"><v>43290</v></cell><cell r="AB1096" t="str"><v>FRA_gaPMG_AZR_AZR_Q1_19_AzureDirect-Trial-Social</v></cell><cell r="AC1096"><v>21356941</v></cell><cell r="AD1096"><v>720193</v></cell><cell r="AE1096" t="str"><v>Facebook</v></cell><cell r="AF1096"><v>3654128</v></cell><cell r="AG1096" t="str"><v>Facebook»Developers/ITPros-Azure Direct-Sponsored Post-Video Ad-FBCTCBenefit2inMotion_FRA_14s_RTG Landing Page»1x1»06s»SOC»ALL»CPC»BT»D»UNK»SS»NA»Trials</v></cell><cell r="AH1096"><v>224560875</v></cell><cell r="AI1096" t="str"><v>AZR_FBCTCBenefit2inMotion_FRA_14s_VIA_AZRDirect_French_NA_Facebook_STAN_TIN_T4_1</v></cell><cell r="AJ1096"><v>103259766</v></cell></row><row r="1097"><cell r="C1097" t="str"><v>43290Facebook»Developers/ITPros-Azure Direct-Sponsored Post-Video Ad-FBCTCBrandinMotion_FRA_12s_RTG Landing Page»1x1»05s»SOC»ALL»CPC»BT»D»UNK»SS»NA»Trials</v></cell><cell r="D1097" t="str"><v>43290224560863</v></cell><cell r="E1097" t="str"><v>43290103256577Trials</v></cell><cell r="F1097" t="str"><v>DCM</v></cell></row><row r="1097"><cell r="K1097" t="str"><v>July</v></cell><cell r="L1097"><v>43295</v></cell><cell r="M1097" t="str"><v>Tier 1</v></cell><cell r="N1097" t="str"><v>EMEA</v></cell><cell r="O1097" t="str"><v>France</v></cell><cell r="P1097" t="str"><v>Trial</v></cell><cell r="Q1097" t="str"><v>Social</v></cell><cell r="R1097" t="str"><v>Azure</v></cell><cell r="S1097" t="str"><v>Apps & Infra</v></cell><cell r="T1097" t="str"><v>Developers & ITI's</v></cell><cell r="U1097" t="str"><v>Developers/ITPros-Azure Direct-Sponsored Post-Video Ad-FBCTCBrandinMotion_FRA_12s_RTG Landing Page</v></cell><cell r="V1097" t="str"><v>Behavioral Targeting</v></cell><cell r="W1097" t="str"><v>Social</v></cell><cell r="X1097" t="str"><v>1x1</v></cell></row><row r="1097"><cell r="AA1097"><v>43290</v></cell><cell r="AB1097" t="str"><v>FRA_gaPMG_AZR_AZR_Q1_19_AzureDirect-Trial-Social</v></cell><cell r="AC1097"><v>21356941</v></cell><cell r="AD1097"><v>720193</v></cell><cell r="AE1097" t="str"><v>Facebook</v></cell><cell r="AF1097"><v>3654128</v></cell><cell r="AG1097" t="str"><v>Facebook»Developers/ITPros-Azure Direct-Sponsored Post-Video Ad-FBCTCBrandinMotion_FRA_12s_RTG Landing Page»1x1»05s»SOC»ALL»CPC»BT»D»UNK»SS»NA»Trials</v></cell><cell r="AH1097"><v>224560863</v></cell><cell r="AI1097" t="str"><v>AZR_FBCTCBrandinMotion_FRA_12s_VIA_AZRDirect_French_NA_Facebook_STAN_TIN_T2_1</v></cell><cell r="AJ1097"><v>103256577</v></cell></row><row r="1098"><cell r="C1098" t="str"><v>43290Facebook»Developers/ITPros-Azure Direct-Sponsored Post-Link Ad-FreeAcctAppsFACEBOOK12monthsChE»1x1»SocialBan»SOC»ALL»CPC»BT»D»UNK»SS»NA»Trials</v></cell><cell r="D1098" t="str"><v>43290224560866</v></cell><cell r="E1098" t="str"><v>43290103259784Trials</v></cell><cell r="F1098" t="str"><v>DCM</v></cell><cell r="G1098" t="str"><v>https://azure.microsoft.com/fr-fr/free/search/</v></cell></row><row r="1098"><cell r="K1098" t="str"><v>July</v></cell><cell r="L1098"><v>43295</v></cell><cell r="M1098" t="str"><v>Tier 1</v></cell><cell r="N1098" t="str"><v>EMEA</v></cell><cell r="O1098" t="str"><v>France</v></cell><cell r="P1098" t="str"><v>Trial</v></cell><cell r="Q1098" t="str"><v>Social</v></cell><cell r="R1098" t="str"><v>Azure</v></cell><cell r="S1098" t="str"><v>Apps & Infra</v></cell><cell r="T1098" t="str"><v>Developers & ITI's</v></cell><cell r="U1098" t="str"><v>Developers/ITPros-Azure Direct-Sponsored Post-Link Ad-FreeAcctAppsFACEBOOK12monthsChE</v></cell><cell r="V1098" t="str"><v>Behavioral Targeting</v></cell><cell r="W1098" t="str"><v>Social</v></cell><cell r="X1098" t="str"><v>1x1</v></cell></row><row r="1098"><cell r="AA1098"><v>43290</v></cell><cell r="AB1098" t="str"><v>FRA_gaPMG_AZR_AZR_Q1_19_AzureDirect-Trial-Social</v></cell><cell r="AC1098"><v>21356941</v></cell><cell r="AD1098"><v>720193</v></cell><cell r="AE1098" t="str"><v>Facebook</v></cell><cell r="AF1098"><v>3654128</v></cell><cell r="AG1098" t="str"><v>Facebook»Developers/ITPros-Azure Direct-Sponsored Post-Link Ad-FreeAcctAppsFACEBOOK12monthsChE»1x1»SocialBan»SOC»ALL»CPC»BT»D»UNK»SS»NA»Trials</v></cell><cell r="AH1098"><v>224560866</v></cell><cell r="AI1098" t="str"><v>AZR_FreeAcctAppsFACEBOOK12monthsChE_FRA_1200x628_SOC_PLAT_FR_Trial_Standard_NA_SINU_T5_1</v></cell><cell r="AJ1098"><v>103259784</v></cell></row><row r="1099"><cell r="C1099" t="str"><v>43290Facebook»Developers/ITPros-Azure Direct-Sponsored Post-Link Ad-FreeAcctAppsFACEBOOK200CreditChD»1x1»SocialBan»SOC»ALL»CPC»BT»D»UNK»SS»NA»Trials</v></cell><cell r="D1099" t="str"><v>43290224560860</v></cell><cell r="E1099" t="str"><v>43290103377773Trials</v></cell><cell r="F1099" t="str"><v>DCM</v></cell><cell r="G1099" t="str"><v>https://azure.microsoft.com/fr-fr/free/search/</v></cell></row><row r="1099"><cell r="K1099" t="str"><v>July</v></cell><cell r="L1099"><v>43295</v></cell><cell r="M1099" t="str"><v>Tier 1</v></cell><cell r="N1099" t="str"><v>EMEA</v></cell><cell r="O1099" t="str"><v>France</v></cell><cell r="P1099" t="str"><v>Trial</v></cell><cell r="Q1099" t="str"><v>Social</v></cell><cell r="R1099" t="str"><v>Azure</v></cell><cell r="S1099" t="str"><v>Apps & Infra</v></cell><cell r="T1099" t="str"><v>Developers & ITI's</v></cell><cell r="U1099" t="str"><v>Developers/ITPros-Azure Direct-Sponsored Post-Link Ad-FreeAcctAppsFACEBOOK200CreditChD</v></cell><cell r="V1099" t="str"><v>Behavioral Targeting</v></cell><cell r="W1099" t="str"><v>Social</v></cell><cell r="X1099" t="str"><v>1x1</v></cell></row><row r="1099"><cell r="AA1099"><v>43290</v></cell><cell r="AB1099" t="str"><v>FRA_gaPMG_AZR_AZR_Q1_19_AzureDirect-Trial-Social</v></cell><cell r="AC1099"><v>21356941</v></cell><cell r="AD1099"><v>720193</v></cell><cell r="AE1099" t="str"><v>Facebook</v></cell><cell r="AF1099"><v>3654128</v></cell><cell r="AG1099" t="str"><v>Facebook»Developers/ITPros-Azure Direct-Sponsored Post-Link Ad-FreeAcctAppsFACEBOOK200CreditChD»1x1»SocialBan»SOC»ALL»CPC»BT»D»UNK»SS»NA»Trials</v></cell><cell r="AH1099"><v>224560860</v></cell><cell r="AI1099" t="str"><v>AZR_FreeAcctAppsFACEBOOK200CreditChD_FRA_1200x628_SOC_PLAT_FR_Trial_Standard_NA_SINU_T4_1</v></cell><cell r="AJ1099"><v>103377773</v></cell></row><row r="1100"><cell r="C1100" t="str"><v>43290Facebook»Developers/ITPros-Azure Direct-Sponsored Post-Link Ad-FreeAcctAppsFACEBOOKDeviceChB»1x1»SocialBan»SOC»ALL»CPC»AUT»D»UNK»SS»NA»Trials</v></cell><cell r="D1100" t="str"><v>43290224560857</v></cell><cell r="E1100" t="str"><v>43290103377002Trials</v></cell><cell r="F1100" t="str"><v>DCM</v></cell><cell r="G1100" t="str"><v>https://azure.microsoft.com/fr-fr/free/search/</v></cell></row><row r="1100"><cell r="K1100" t="str"><v>July</v></cell><cell r="L1100"><v>43295</v></cell><cell r="M1100" t="str"><v>Tier 1</v></cell><cell r="N1100" t="str"><v>EMEA</v></cell><cell r="O1100" t="str"><v>France</v></cell><cell r="P1100" t="str"><v>Trial</v></cell><cell r="Q1100" t="str"><v>Social</v></cell><cell r="R1100" t="str"><v>Azure</v></cell><cell r="S1100" t="str"><v>Apps & Infra</v></cell><cell r="T1100" t="str"><v>Developers & ITI's</v></cell><cell r="U1100" t="str"><v>Developers/ITPros-Azure Direct-Sponsored Post-Link Ad-FreeAcctAppsFACEBOOKDeviceChB</v></cell><cell r="V1100" t="str"><v>Audience Targeting</v></cell><cell r="W1100" t="str"><v>Social</v></cell><cell r="X1100" t="str"><v>1x1</v></cell></row><row r="1100"><cell r="AA1100"><v>43290</v></cell><cell r="AB1100" t="str"><v>FRA_gaPMG_AZR_AZR_Q1_19_AzureDirect-Trial-Social</v></cell><cell r="AC1100"><v>21356941</v></cell><cell r="AD1100"><v>720193</v></cell><cell r="AE1100" t="str"><v>Facebook</v></cell><cell r="AF1100"><v>3654128</v></cell><cell r="AG1100" t="str"><v>Facebook»Developers/ITPros-Azure Direct-Sponsored Post-Link Ad-FreeAcctAppsFACEBOOKDeviceChB»1x1»SocialBan»SOC»ALL»CPC»AUT»D»UNK»SS»NA»Trials</v></cell><cell r="AH1100"><v>224560857</v></cell><cell r="AI1100" t="str"><v>AZR_FreeAcctAppsFACEBOOKDeviceChB_FRA_1200x628_SOC_PLAT_FR_Trial_Standard_NA_SINU_T2_1</v></cell><cell r="AJ1100"><v>103377002</v></cell></row><row r="1101"><cell r="C1101" t="str"><v>43290Facebook»Developers/ITPros-Azure Direct-Sponsored Post-Link Ad-FreeAcctAppsFACEBOOKIllustrationChC»1x1»SocialBan»SOC»ALL»CPC»AUT»D»UNK»SS»NA»Trials</v></cell><cell r="D1101" t="str"><v>43290224560854</v></cell><cell r="E1101" t="str"><v>43290103259550Trials</v></cell><cell r="F1101" t="str"><v>DCM</v></cell><cell r="G1101" t="str"><v>https://azure.microsoft.com/fr-fr/free/search/</v></cell></row><row r="1101"><cell r="K1101" t="str"><v>July</v></cell><cell r="L1101"><v>43295</v></cell><cell r="M1101" t="str"><v>Tier 1</v></cell><cell r="N1101" t="str"><v>EMEA</v></cell><cell r="O1101" t="str"><v>France</v></cell><cell r="P1101" t="str"><v>Trial</v></cell><cell r="Q1101" t="str"><v>Social</v></cell><cell r="R1101" t="str"><v>Azure</v></cell><cell r="S1101" t="str"><v>Apps & Infra</v></cell><cell r="T1101" t="str"><v>Developers & ITI's</v></cell><cell r="U1101" t="str"><v>Developers/ITPros-Azure Direct-Sponsored Post-Link Ad-FreeAcctAppsFACEBOOKIllustrationChC</v></cell><cell r="V1101" t="str"><v>Audience Targeting</v></cell><cell r="W1101" t="str"><v>Social</v></cell><cell r="X1101" t="str"><v>1x1</v></cell></row><row r="1101"><cell r="AA1101"><v>43290</v></cell><cell r="AB1101" t="str"><v>FRA_gaPMG_AZR_AZR_Q1_19_AzureDirect-Trial-Social</v></cell><cell r="AC1101"><v>21356941</v></cell><cell r="AD1101"><v>720193</v></cell><cell r="AE1101" t="str"><v>Facebook</v></cell><cell r="AF1101"><v>3654128</v></cell><cell r="AG1101" t="str"><v>Facebook»Developers/ITPros-Azure Direct-Sponsored Post-Link Ad-FreeAcctAppsFACEBOOKIllustrationChC»1x1»SocialBan»SOC»ALL»CPC»AUT»D»UNK»SS»NA»Trials</v></cell><cell r="AH1101"><v>224560854</v></cell><cell r="AI1101" t="str"><v>AZR_FreeAcctAppsFACEBOOKIllustrationChC_FRA_1200x628_SOC_PLAT_FR_Trial_Standard_NA_SINU_T3_1</v></cell><cell r="AJ1101"><v>103259550</v></cell></row><row r="1102"><cell r="C1102" t="str"><v>43290Facebook»Developers/ITPros-Azure Direct-Sponsored Post-Link Ad-FreeAcctAppsFACEBOOKLifestyleChA»1x1»SocialBan»SOC»ALL»CPC»AUT»D»UNK»SS»NA»Trials</v></cell><cell r="D1102" t="str"><v>43290224560851</v></cell><cell r="E1102" t="str"><v>43290103259562Trials</v></cell><cell r="F1102" t="str"><v>DCM</v></cell><cell r="G1102" t="str"><v>https://azure.microsoft.com/fr-fr/free/search/</v></cell></row><row r="1102"><cell r="K1102" t="str"><v>July</v></cell><cell r="L1102"><v>43295</v></cell><cell r="M1102" t="str"><v>Tier 1</v></cell><cell r="N1102" t="str"><v>EMEA</v></cell><cell r="O1102" t="str"><v>France</v></cell><cell r="P1102" t="str"><v>Trial</v></cell><cell r="Q1102" t="str"><v>Social</v></cell><cell r="R1102" t="str"><v>Azure</v></cell><cell r="S1102" t="str"><v>Apps & Infra</v></cell><cell r="T1102" t="str"><v>Developers & ITI's</v></cell><cell r="U1102" t="str"><v>Developers/ITPros-Azure Direct-Sponsored Post-Link Ad-FreeAcctAppsFACEBOOKLifestyleChA</v></cell><cell r="V1102" t="str"><v>Audience Targeting</v></cell><cell r="W1102" t="str"><v>Social</v></cell><cell r="X1102" t="str"><v>1x1</v></cell></row><row r="1102"><cell r="AA1102"><v>43290</v></cell><cell r="AB1102" t="str"><v>FRA_gaPMG_AZR_AZR_Q1_19_AzureDirect-Trial-Social</v></cell><cell r="AC1102"><v>21356941</v></cell><cell r="AD1102"><v>720193</v></cell><cell r="AE1102" t="str"><v>Facebook</v></cell><cell r="AF1102"><v>3654128</v></cell><cell r="AG1102" t="str"><v>Facebook»Developers/ITPros-Azure Direct-Sponsored Post-Link Ad-FreeAcctAppsFACEBOOKLifestyleChA»1x1»SocialBan»SOC»ALL»CPC»AUT»D»UNK»SS»NA»Trials</v></cell><cell r="AH1102"><v>224560851</v></cell><cell r="AI1102" t="str"><v>AZR_FreeAcctAppsFACEBOOKLifestyleChA_FRA_1200x628_SOC_PLAT_FR_Trial_Standard_NA_SINU_T1_1</v></cell><cell r="AJ1102"><v>103259562</v></cell></row><row r="1103"><cell r="C1103" t="str"><v>43290Facebook»Developers/ITPros-Azure Direct-Sponsored Post-Link Ad-FreeAcctRetargetingFB-Animated-ChC»1x1»SocialBan»SOC»ALL»CPC»BT»D»UNK»SS»NA»Trials</v></cell><cell r="D1103" t="str"><v>43290224560848</v></cell><cell r="E1103" t="str"><v>43290103259775Trials</v></cell><cell r="F1103" t="str"><v>DCM</v></cell><cell r="G1103" t="str"><v>https://azure.microsoft.com/fr-fr/free/search/</v></cell></row><row r="1103"><cell r="K1103" t="str"><v>July</v></cell><cell r="L1103"><v>43295</v></cell><cell r="M1103" t="str"><v>Tier 1</v></cell><cell r="N1103" t="str"><v>EMEA</v></cell><cell r="O1103" t="str"><v>France</v></cell><cell r="P1103" t="str"><v>Trial</v></cell><cell r="Q1103" t="str"><v>Social</v></cell><cell r="R1103" t="str"><v>Azure</v></cell><cell r="S1103" t="str"><v>Apps & Infra</v></cell><cell r="T1103" t="str"><v>Developers & ITI's</v></cell><cell r="U1103" t="str"><v>Developers/ITPros-Azure Direct-Sponsored Post-Link Ad-FreeAcctRetargetingFB-Animated-ChC</v></cell><cell r="V1103" t="str"><v>Behavioral Targeting</v></cell><cell r="W1103" t="str"><v>Social</v></cell><cell r="X1103" t="str"><v>1x1</v></cell></row><row r="1103"><cell r="AA1103"><v>43290</v></cell><cell r="AB1103" t="str"><v>FRA_gaPMG_AZR_AZR_Q1_19_AzureDirect-Trial-Social</v></cell><cell r="AC1103"><v>21356941</v></cell><cell r="AD1103"><v>720193</v></cell><cell r="AE1103" t="str"><v>Facebook</v></cell><cell r="AF1103"><v>3654128</v></cell><cell r="AG1103" t="str"><v>Facebook»Developers/ITPros-Azure Direct-Sponsored Post-Link Ad-FreeAcctRetargetingFB-Animated-ChC»1x1»SocialBan»SOC»ALL»CPC»BT»D»UNK»SS»NA»Trials</v></cell><cell r="AH1103"><v>224560848</v></cell><cell r="AI1103" t="str"><v>AZR_reeAcctRetargetingFB-Animated-ChC_FRA_1200x628_SOC_AZRDirect_French_NA_Facebook_SBAN_SINU_T3_1</v></cell><cell r="AJ1103"><v>103259775</v></cell></row><row r="1104"><cell r="C1104" t="str"><v>43290Facebook»Audience & Interest Targeting»1x1»SocialBan»LIA»DT»CPC»AUT»W»NA»SS»NA»Basic Motion</v></cell><cell r="D1104" t="str"><v>43290224399962</v></cell><cell r="E1104" t="str"><v>43290103230847Motion</v></cell><cell r="F1104" t="str"><v>DCM</v></cell><cell r="G1104" t="str"><v>https://azure.microsoft.com/en-gb/pricing/purchase-options/</v></cell></row><row r="1104"><cell r="K1104" t="str"><v>July</v></cell><cell r="L1104"><v>43295</v></cell><cell r="M1104" t="str"><v>Tier 1</v></cell><cell r="N1104" t="str"><v>EMEA</v></cell><cell r="O1104" t="str"><v>United Kingdom</v></cell><cell r="P1104" t="str"><v>Trial</v></cell><cell r="Q1104" t="str"><v>Social</v></cell><cell r="R1104" t="str"><v>Azure</v></cell><cell r="S1104" t="str"><v>Apps & Infra</v></cell><cell r="T1104" t="str"><v>Developers & ITI's</v></cell><cell r="U1104" t="str"><v>Audience & Interest Targeting</v></cell><cell r="V1104" t="str"><v>Audience Targeting</v></cell><cell r="W1104" t="str"><v>Link Ad</v></cell><cell r="X1104" t="str"><v>1x1</v></cell></row><row r="1104"><cell r="AA1104"><v>43290</v></cell><cell r="AB1104" t="str"><v>GBR_gaPMG_CE_AZR_Q1_19_Trial-Social</v></cell><cell r="AC1104"><v>21337013</v></cell><cell r="AD1104"><v>720196</v></cell><cell r="AE1104" t="str"><v>Facebook</v></cell><cell r="AF1104"><v>3654128</v></cell><cell r="AG1104" t="str"><v>Facebook»Audience & Interest Targeting»1x1»SocialBan»LIA»DT»CPC»AUT»W»NA»SS»NA»Basic Motion</v></cell><cell r="AH1104"><v>224399962</v></cell><cell r="AI1104" t="str"><v>AzurePlatform_FBCTCcanvaspage-BuyNowCTA-Img3_GBR_1080x162_SOC_Plat_English_NA_Standard_NA_BN_T3_1</v></cell><cell r="AJ1104"><v>103230847</v></cell></row><row r="1105"><cell r="C1105" t="str"><v>43290Facebook»Audience & Interest Targeting»1x1»SocialBan»LIA»DT»CPC»AUT»W»NA»SS»NA»Basic Motion</v></cell><cell r="D1105" t="str"><v>43290224399962</v></cell><cell r="E1105" t="str"><v>43290103235146Motion</v></cell><cell r="F1105" t="str"><v>DCM</v></cell><cell r="G1105" t="str"><v>https://signup.azure.com/signup?offer=ms-azr-0044p&appId=102&ref=paidmedia-social-fb&redirectURL=https%3a%2f%2fazure.microsoft.com%2fen-gb%2fget-started%2fwelcome-to-azure%2f&l=en-gb&correlationId=ead86c34-1f10-49dd-a72b-6918462a2cbf</v></cell></row><row r="1105"><cell r="K1105" t="str"><v>July</v></cell><cell r="L1105"><v>43295</v></cell><cell r="M1105" t="str"><v>Tier 1</v></cell><cell r="N1105" t="str"><v>EMEA</v></cell><cell r="O1105" t="str"><v>United Kingdom</v></cell><cell r="P1105" t="str"><v>Trial</v></cell><cell r="Q1105" t="str"><v>Social</v></cell><cell r="R1105" t="str"><v>Azure</v></cell><cell r="S1105" t="str"><v>Apps & Infra</v></cell><cell r="T1105" t="str"><v>Developers & ITI's</v></cell><cell r="U1105" t="str"><v>Audience & Interest Targeting</v></cell><cell r="V1105" t="str"><v>Audience Targeting</v></cell><cell r="W1105" t="str"><v>Link Ad</v></cell><cell r="X1105" t="str"><v>1x1</v></cell></row><row r="1105"><cell r="AA1105"><v>43290</v></cell><cell r="AB1105" t="str"><v>GBR_gaPMG_CE_AZR_Q1_19_Trial-Social</v></cell><cell r="AC1105"><v>21337013</v></cell><cell r="AD1105"><v>720196</v></cell><cell r="AE1105" t="str"><v>Facebook</v></cell><cell r="AF1105"><v>3654128</v></cell><cell r="AG1105" t="str"><v>Facebook»Audience & Interest Targeting»1x1»SocialBan»LIA»DT»CPC»AUT»W»NA»SS»NA»Basic Motion</v></cell><cell r="AH1105"><v>224399962</v></cell><cell r="AI1105" t="str"><v>AzurePlatform_FBCTCcanvaspage-StartFreeCTA-Img2_GBR_1080x143 _SOC_Plat_English_NA_Standard_NA_NA_T2_1</v></cell><cell r="AJ1105"><v>103235146</v></cell></row><row r="1106"><cell r="C1106" t="str"><v>43290Facebook»Audience & Interest Targeting»1x1»SocialBan»LIA»DT»CPC»AUT»W»NA»SS»NA»Benefit 2 in Motion</v></cell><cell r="D1106" t="str"><v>43290224334170</v></cell><cell r="E1106" t="str"><v>43290103235146Motion</v></cell><cell r="F1106" t="str"><v>DCM</v></cell><cell r="G1106" t="str"><v>https://signup.azure.com/signup?offer=ms-azr-0044p&appId=102&ref=paidmedia-social-fb&redirectURL=https%3a%2f%2fazure.microsoft.com%2fen-gb%2fget-started%2fwelcome-to-azure%2f&l=en-gb&correlationId=ead86c34-1f10-49dd-a72b-6918462a2cbf</v></cell></row><row r="1106"><cell r="K1106" t="str"><v>July</v></cell><cell r="L1106"><v>43295</v></cell><cell r="M1106" t="str"><v>Tier 1</v></cell><cell r="N1106" t="str"><v>EMEA</v></cell><cell r="O1106" t="str"><v>United Kingdom</v></cell><cell r="P1106" t="str"><v>Trial</v></cell><cell r="Q1106" t="str"><v>Social</v></cell><cell r="R1106" t="str"><v>Azure</v></cell><cell r="S1106" t="str"><v>Apps & Infra</v></cell><cell r="T1106" t="str"><v>Developers & ITI's</v></cell><cell r="U1106" t="str"><v>Audience & Interest Targeting</v></cell><cell r="V1106" t="str"><v>Audience Targeting</v></cell><cell r="W1106" t="str"><v>Link Ad</v></cell><cell r="X1106" t="str"><v>1x1</v></cell></row><row r="1106"><cell r="AA1106"><v>43290</v></cell><cell r="AB1106" t="str"><v>GBR_gaPMG_CE_AZR_Q1_19_Trial-Social</v></cell><cell r="AC1106"><v>21337013</v></cell><cell r="AD1106"><v>720196</v></cell><cell r="AE1106" t="str"><v>Facebook</v></cell><cell r="AF1106"><v>3654128</v></cell><cell r="AG1106" t="str"><v>Facebook»Audience & Interest Targeting»1x1»SocialBan»LIA»DT»CPC»AUT»W»NA»SS»NA»Benefit 2 in Motion</v></cell><cell r="AH1106"><v>224334170</v></cell><cell r="AI1106" t="str"><v>AzurePlatform_FBCTCcanvaspage-StartFreeCTA-Img2_GBR_1080x143 _SOC_Plat_English_NA_Standard_NA_NA_T2_1</v></cell><cell r="AJ1106"><v>103235146</v></cell></row><row r="1107"><cell r="C1107" t="str"><v>43290Facebook»Audience & Interest Targeting»1x1»SocialBan»LIA»DT»CPC»AUT»W»NA»SS»NA»Brand in Motion</v></cell><cell r="D1107" t="str"><v>43290224549481</v></cell><cell r="E1107" t="str"><v>43290103235146Motion</v></cell><cell r="F1107" t="str"><v>DCM</v></cell><cell r="G1107" t="str"><v>https://signup.azure.com/signup?offer=ms-azr-0044p&appId=102&ref=paidmedia-social-fb&redirectURL=https%3a%2f%2fazure.microsoft.com%2fen-gb%2fget-started%2fwelcome-to-azure%2f&l=en-gb&correlationId=ead86c34-1f10-49dd-a72b-6918462a2cbf</v></cell></row><row r="1107"><cell r="K1107" t="str"><v>July</v></cell><cell r="L1107"><v>43295</v></cell><cell r="M1107" t="str"><v>Tier 1</v></cell><cell r="N1107" t="str"><v>EMEA</v></cell><cell r="O1107" t="str"><v>United Kingdom</v></cell><cell r="P1107" t="str"><v>Trial</v></cell><cell r="Q1107" t="str"><v>Social</v></cell><cell r="R1107" t="str"><v>Azure</v></cell><cell r="S1107" t="str"><v>Apps & Infra</v></cell><cell r="T1107" t="str"><v>Developers & ITI's</v></cell><cell r="U1107" t="str"><v>Audience & Interest Targeting</v></cell><cell r="V1107" t="str"><v>Audience Targeting</v></cell><cell r="W1107" t="str"><v>Link Ad</v></cell><cell r="X1107" t="str"><v>1x1</v></cell></row><row r="1107"><cell r="AA1107"><v>43290</v></cell><cell r="AB1107" t="str"><v>GBR_gaPMG_CE_AZR_Q1_19_Trial-Social</v></cell><cell r="AC1107"><v>21337013</v></cell><cell r="AD1107"><v>720196</v></cell><cell r="AE1107" t="str"><v>Facebook</v></cell><cell r="AF1107"><v>3654128</v></cell><cell r="AG1107" t="str"><v>Facebook»Audience & Interest Targeting»1x1»SocialBan»LIA»DT»CPC»AUT»W»NA»SS»NA»Brand in Motion</v></cell><cell r="AH1107"><v>224549481</v></cell><cell r="AI1107" t="str"><v>AzurePlatform_FBCTCcanvaspage-StartFreeCTA-Img2_GBR_1080x143 _SOC_Plat_English_NA_Standard_NA_NA_T2_1</v></cell><cell r="AJ1107"><v>103235146</v></cell></row><row r="1108"><cell r="C1108" t="str"><v>43290Facebook»Audience & Interest Targeting»1x1»SocialBan»LIA»DT»DYN»AUT»W»NA»SS»NA»Free Account Refresh- 12 months ChE</v></cell><cell r="D1108" t="str"><v>43290223567691</v></cell><cell r="E1108" t="str"><v>43290102854007hs ChE</v></cell><cell r="F1108" t="str"><v>DCM</v></cell><cell r="G1108" t="str"><v>https://azure.microsoft.com/en-gb/free/search/</v></cell></row><row r="1108"><cell r="K1108" t="str"><v>July</v></cell><cell r="L1108"><v>43295</v></cell><cell r="M1108" t="str"><v>Tier 1</v></cell><cell r="N1108" t="str"><v>EMEA</v></cell><cell r="O1108" t="str"><v>United Kingdom</v></cell><cell r="P1108" t="str"><v>Trial</v></cell><cell r="Q1108" t="str"><v>Social</v></cell><cell r="R1108" t="str"><v>Azure</v></cell><cell r="S1108" t="str"><v>Apps & Infra</v></cell><cell r="T1108" t="str"><v>Developers & ITI's</v></cell><cell r="U1108" t="str"><v>Audience & Interest Targeting</v></cell><cell r="V1108" t="str"><v>Audience Targeting</v></cell><cell r="W1108" t="str"><v>Link Ad</v></cell><cell r="X1108" t="str"><v>1x1</v></cell></row><row r="1108"><cell r="AA1108"><v>43290</v></cell><cell r="AB1108" t="str"><v>GBR_gaPMG_CE_AZR_Q1_19_Trial-Social</v></cell><cell r="AC1108"><v>21337013</v></cell><cell r="AD1108"><v>720196</v></cell><cell r="AE1108" t="str"><v>Facebook</v></cell><cell r="AF1108"><v>3654128</v></cell><cell r="AG1108" t="str"><v>Facebook»Audience & Interest Targeting»1x1»SocialBan»LIA»DT»DYN»AUT»W»NA»SS»NA»Free Account Refresh- 12 months ChE</v></cell><cell r="AH1108"><v>223567691</v></cell><cell r="AI1108" t="str"><v>AzurePlatform_FreeAcctAppsFACEBOOK12monthsChE_GBR_1200x628_SOC_PLAT_EN_Trial_Standard_NA_SU_T5_1</v></cell><cell r="AJ1108"><v>102854007</v></cell></row><row r="1109"><cell r="C1109" t="str"><v>43290Facebook»Audience & Interest Targeting»1x1»SocialBan»LIA»DT»DYN»AUT»W»NA»SS»NA»Free Account Refresh- 200 Credit ChD</v></cell><cell r="D1109" t="str"><v>43290223560359</v></cell><cell r="E1109" t="str"><v>43290103005662it ChD</v></cell><cell r="F1109" t="str"><v>DCM</v></cell><cell r="G1109" t="str"><v>https://azure.microsoft.com/en-gb/free/search/</v></cell></row><row r="1109"><cell r="K1109" t="str"><v>July</v></cell><cell r="L1109"><v>43295</v></cell><cell r="M1109" t="str"><v>Tier 1</v></cell><cell r="N1109" t="str"><v>EMEA</v></cell><cell r="O1109" t="str"><v>United Kingdom</v></cell><cell r="P1109" t="str"><v>Trial</v></cell><cell r="Q1109" t="str"><v>Social</v></cell><cell r="R1109" t="str"><v>Azure</v></cell><cell r="S1109" t="str"><v>Apps & Infra</v></cell><cell r="T1109" t="str"><v>Developers & ITI's</v></cell><cell r="U1109" t="str"><v>Audience & Interest Targeting</v></cell><cell r="V1109" t="str"><v>Audience Targeting</v></cell><cell r="W1109" t="str"><v>Link Ad</v></cell><cell r="X1109" t="str"><v>1x1</v></cell></row><row r="1109"><cell r="AA1109"><v>43290</v></cell><cell r="AB1109" t="str"><v>GBR_gaPMG_CE_AZR_Q1_19_Trial-Social</v></cell><cell r="AC1109"><v>21337013</v></cell><cell r="AD1109"><v>720196</v></cell><cell r="AE1109" t="str"><v>Facebook</v></cell><cell r="AF1109"><v>3654128</v></cell><cell r="AG1109" t="str"><v>Facebook»Audience & Interest Targeting»1x1»SocialBan»LIA»DT»DYN»AUT»W»NA»SS»NA»Free Account Refresh- 200 Credit ChD</v></cell><cell r="AH1109"><v>223560359</v></cell><cell r="AI1109" t="str"><v>AzurePlatform_FreeAcctAppsFACEBOOK200CreditChD_GBR_1200x628_SOC_PLAT_EN_Trial_Standard_NA_SU_T4_1</v></cell><cell r="AJ1109"><v>103005662</v></cell></row><row r="1110"><cell r="C1110" t="str"><v>43290Facebook»Audience & Interest Targeting»1x1»SocialBan»LIA»DT»DYN»AUT»W»NA»SS»NA»Free Account Refresh- Device ChB</v></cell><cell r="D1110" t="str"><v>43290223560353</v></cell><cell r="E1110" t="str"><v>43290102854010ce ChB</v></cell><cell r="F1110" t="str"><v>DCM</v></cell><cell r="G1110" t="str"><v>https://azure.microsoft.com/en-gb/free/search/</v></cell></row><row r="1110"><cell r="K1110" t="str"><v>July</v></cell><cell r="L1110"><v>43295</v></cell><cell r="M1110" t="str"><v>Tier 1</v></cell><cell r="N1110" t="str"><v>EMEA</v></cell><cell r="O1110" t="str"><v>United Kingdom</v></cell><cell r="P1110" t="str"><v>Trial</v></cell><cell r="Q1110" t="str"><v>Social</v></cell><cell r="R1110" t="str"><v>Azure</v></cell><cell r="S1110" t="str"><v>Apps & Infra</v></cell><cell r="T1110" t="str"><v>Developers & ITI's</v></cell><cell r="U1110" t="str"><v>Audience & Interest Targeting</v></cell><cell r="V1110" t="str"><v>Audience Targeting</v></cell><cell r="W1110" t="str"><v>Link Ad</v></cell><cell r="X1110" t="str"><v>1x1</v></cell></row><row r="1110"><cell r="AA1110"><v>43290</v></cell><cell r="AB1110" t="str"><v>GBR_gaPMG_CE_AZR_Q1_19_Trial-Social</v></cell><cell r="AC1110"><v>21337013</v></cell><cell r="AD1110"><v>720196</v></cell><cell r="AE1110" t="str"><v>Facebook</v></cell><cell r="AF1110"><v>3654128</v></cell><cell r="AG1110" t="str"><v>Facebook»Audience & Interest Targeting»1x1»SocialBan»LIA»DT»DYN»AUT»W»NA»SS»NA»Free Account Refresh- Device ChB</v></cell><cell r="AH1110"><v>223560353</v></cell><cell r="AI1110" t="str"><v>AzurePlatform_FreeAcctAppsFACEBOOKDeviceChB_GBR_1200x628_SOC_PLAT_EN_Trial_Standard_NA_SU_T2_1</v></cell><cell r="AJ1110"><v>102854010</v></cell></row><row r="1111"><cell r="C1111" t="str"><v>43290Facebook»Audience & Interest Targeting»1x1»SocialBan»LIA»DT»DYN»AUT»W»NA»SS»NA»Free Account Refresh- Illustration ChC</v></cell><cell r="D1111" t="str"><v>43290223560347</v></cell><cell r="E1111" t="str"><v>43290102857037on ChC</v></cell><cell r="F1111" t="str"><v>DCM</v></cell><cell r="G1111" t="str"><v>https://azure.microsoft.com/en-gb/free/search/</v></cell></row><row r="1111"><cell r="K1111" t="str"><v>July</v></cell><cell r="L1111"><v>43295</v></cell><cell r="M1111" t="str"><v>Tier 1</v></cell><cell r="N1111" t="str"><v>EMEA</v></cell><cell r="O1111" t="str"><v>United Kingdom</v></cell><cell r="P1111" t="str"><v>Trial</v></cell><cell r="Q1111" t="str"><v>Social</v></cell><cell r="R1111" t="str"><v>Azure</v></cell><cell r="S1111" t="str"><v>Apps & Infra</v></cell><cell r="T1111" t="str"><v>Developers & ITI's</v></cell><cell r="U1111" t="str"><v>Audience & Interest Targeting</v></cell><cell r="V1111" t="str"><v>Audience Targeting</v></cell><cell r="W1111" t="str"><v>Link Ad</v></cell><cell r="X1111" t="str"><v>1x1</v></cell></row><row r="1111"><cell r="AA1111"><v>43290</v></cell><cell r="AB1111" t="str"><v>GBR_gaPMG_CE_AZR_Q1_19_Trial-Social</v></cell><cell r="AC1111"><v>21337013</v></cell><cell r="AD1111"><v>720196</v></cell><cell r="AE1111" t="str"><v>Facebook</v></cell><cell r="AF1111"><v>3654128</v></cell><cell r="AG1111" t="str"><v>Facebook»Audience & Interest Targeting»1x1»SocialBan»LIA»DT»DYN»AUT»W»NA»SS»NA»Free Account Refresh- Illustration ChC</v></cell><cell r="AH1111"><v>223560347</v></cell><cell r="AI1111" t="str"><v>AzurePlatform_FreeAcctAppsFACEBOOKIllustrationChC_GBR_1200x628_SOC_PLAT_EN_Trial_Standard_NA_SU_T3_1</v></cell><cell r="AJ1111"><v>102857037</v></cell></row><row r="1112"><cell r="C1112" t="str"><v>43290Facebook»Audience & Interest Targeting»1x1»SocialBan»LIA»DT»DYN»AUT»W»NA»SS»NA»Free Account Refresh- Lifestyle ChA</v></cell><cell r="D1112" t="str"><v>43290223560341</v></cell><cell r="E1112" t="str"><v>43290102853597le ChA</v></cell><cell r="F1112" t="str"><v>DCM</v></cell><cell r="G1112" t="str"><v>https://azure.microsoft.com/en-gb/free/search/</v></cell></row><row r="1112"><cell r="K1112" t="str"><v>July</v></cell><cell r="L1112"><v>43295</v></cell><cell r="M1112" t="str"><v>Tier 1</v></cell><cell r="N1112" t="str"><v>EMEA</v></cell><cell r="O1112" t="str"><v>United Kingdom</v></cell><cell r="P1112" t="str"><v>Trial</v></cell><cell r="Q1112" t="str"><v>Social</v></cell><cell r="R1112" t="str"><v>Azure</v></cell><cell r="S1112" t="str"><v>Apps & Infra</v></cell><cell r="T1112" t="str"><v>Developers & ITI's</v></cell><cell r="U1112" t="str"><v>Audience & Interest Targeting</v></cell><cell r="V1112" t="str"><v>Audience Targeting</v></cell><cell r="W1112" t="str"><v>Link Ad</v></cell><cell r="X1112" t="str"><v>1x1</v></cell></row><row r="1112"><cell r="AA1112"><v>43290</v></cell><cell r="AB1112" t="str"><v>GBR_gaPMG_CE_AZR_Q1_19_Trial-Social</v></cell><cell r="AC1112"><v>21337013</v></cell><cell r="AD1112"><v>720196</v></cell><cell r="AE1112" t="str"><v>Facebook</v></cell><cell r="AF1112"><v>3654128</v></cell><cell r="AG1112" t="str"><v>Facebook»Audience & Interest Targeting»1x1»SocialBan»LIA»DT»DYN»AUT»W»NA»SS»NA»Free Account Refresh- Lifestyle ChA</v></cell><cell r="AH1112"><v>223560341</v></cell><cell r="AI1112" t="str"><v>AzurePlatform_FreeAcctAppsFACEBOOKLifestyleChA_GBR_1200x628_SOC_PLAT_EN_Trial_Standard_NA_SU_T1_1</v></cell><cell r="AJ1112"><v>102853597</v></cell></row><row r="1113"><cell r="C1113" t="str"><v>43290Facebook»Retargeting»1x1»SocialBan»LIA»DT»DYN»RT»W»NA»SS»NA»Free Account Retargeting Generic- Animated ChC</v></cell><cell r="D1113" t="str"><v>43290223560299</v></cell><cell r="E1113" t="str"><v>43290102854019ed ChC</v></cell><cell r="F1113" t="str"><v>DCM</v></cell><cell r="G1113" t="str"><v>https://azure.microsoft.com/en-gb/free/search/</v></cell></row><row r="1113"><cell r="K1113" t="str"><v>July</v></cell><cell r="L1113"><v>43295</v></cell><cell r="M1113" t="str"><v>Tier 1</v></cell><cell r="N1113" t="str"><v>EMEA</v></cell><cell r="O1113" t="str"><v>United Kingdom</v></cell><cell r="P1113" t="str"><v>Trial</v></cell><cell r="Q1113" t="str"><v>Social</v></cell><cell r="R1113" t="str"><v>Azure</v></cell><cell r="S1113" t="str"><v>Apps & Infra</v></cell><cell r="T1113" t="str"><v>Developers & ITI's</v></cell><cell r="U1113" t="str"><v>Retargeting</v></cell><cell r="V1113" t="str"><v>Retargeting</v></cell><cell r="W1113" t="str"><v>Link Ad</v></cell><cell r="X1113" t="str"><v>1x1</v></cell></row><row r="1113"><cell r="AA1113"><v>43290</v></cell><cell r="AB1113" t="str"><v>GBR_gaPMG_CE_AZR_Q1_19_Trial-Social</v></cell><cell r="AC1113"><v>21337013</v></cell><cell r="AD1113"><v>720196</v></cell><cell r="AE1113" t="str"><v>Facebook</v></cell><cell r="AF1113"><v>3654128</v></cell><cell r="AG1113" t="str"><v>Facebook»Retargeting»1x1»SocialBan»LIA»DT»DYN»RT»W»NA»SS»NA»Free Account Retargeting Generic- Animated ChC</v></cell><cell r="AH1113"><v>223560299</v></cell><cell r="AI1113" t="str"><v>AzurePlatform_FreeAcctRetargetingFB-Animated-ChC_GBR_1200x628_SOC_Plat_EN_Free Account_Standard_ANI_SU_T3_1</v></cell><cell r="AJ1113"><v>102854019</v></cell></row><row r="1114"><cell r="C1114" t="str"><v>43290Facebook»Retargeting»1x1»SocialBan»LIA»DT»DYN»RT»W»NA»SS»NA»Free Account Retargeting Generic- Global Alt ChB</v></cell><cell r="D1114" t="str"><v>43290223560356</v></cell><cell r="E1114" t="str"><v>43290102854016lt ChB</v></cell><cell r="F1114" t="str"><v>DCM</v></cell><cell r="G1114" t="str"><v>https://azure.microsoft.com/en-gb/free/search/</v></cell></row><row r="1114"><cell r="K1114" t="str"><v>July</v></cell><cell r="L1114"><v>43295</v></cell><cell r="M1114" t="str"><v>Tier 1</v></cell><cell r="N1114" t="str"><v>EMEA</v></cell><cell r="O1114" t="str"><v>United Kingdom</v></cell><cell r="P1114" t="str"><v>Trial</v></cell><cell r="Q1114" t="str"><v>Social</v></cell><cell r="R1114" t="str"><v>Azure</v></cell><cell r="S1114" t="str"><v>Apps & Infra</v></cell><cell r="T1114" t="str"><v>Developers & ITI's</v></cell><cell r="U1114" t="str"><v>Retargeting</v></cell><cell r="V1114" t="str"><v>Retargeting</v></cell><cell r="W1114" t="str"><v>Link Ad</v></cell><cell r="X1114" t="str"><v>1x1</v></cell></row><row r="1114"><cell r="AA1114"><v>43290</v></cell><cell r="AB1114" t="str"><v>GBR_gaPMG_CE_AZR_Q1_19_Trial-Social</v></cell><cell r="AC1114"><v>21337013</v></cell><cell r="AD1114"><v>720196</v></cell><cell r="AE1114" t="str"><v>Facebook</v></cell><cell r="AF1114"><v>3654128</v></cell><cell r="AG1114" t="str"><v>Facebook»Retargeting»1x1»SocialBan»LIA»DT»DYN»RT»W»NA»SS»NA»Free Account Retargeting Generic- Global Alt ChB</v></cell><cell r="AH1114"><v>223560356</v></cell><cell r="AI1114" t="str"><v>AzurePlatform_FreeAcctRetargetingFB-GlobalAlt-ChB_GBR_1200x628_SOC_Plat_EN_Free Account_Standard_NA_SU_T2_1</v></cell><cell r="AJ1114"><v>102854016</v></cell></row><row r="1115"><cell r="C1115" t="str"><v>43290Facebook»Retargeting»1x1»SocialBan»LIA»DT»DYN»RT»W»NA»SS»NA»Free Account Retargeting OSS- Logos ChG</v></cell><cell r="D1115" t="str"><v>43290223560350</v></cell><cell r="E1115" t="str"><v>43290103006547os ChG</v></cell><cell r="F1115" t="str"><v>DCM</v></cell><cell r="G1115" t="str"><v>https://azure.microsoft.com/en-gb/free/open-source/search/</v></cell></row><row r="1115"><cell r="K1115" t="str"><v>July</v></cell><cell r="L1115"><v>43295</v></cell><cell r="M1115" t="str"><v>Tier 1</v></cell><cell r="N1115" t="str"><v>EMEA</v></cell><cell r="O1115" t="str"><v>United Kingdom</v></cell><cell r="P1115" t="str"><v>Trial</v></cell><cell r="Q1115" t="str"><v>Social</v></cell><cell r="R1115" t="str"><v>Azure</v></cell><cell r="S1115" t="str"><v>Apps & Infra</v></cell><cell r="T1115" t="str"><v>Developers & ITI's</v></cell><cell r="U1115" t="str"><v>Retargeting</v></cell><cell r="V1115" t="str"><v>Retargeting</v></cell><cell r="W1115" t="str"><v>Link Ad</v></cell><cell r="X1115" t="str"><v>1x1</v></cell></row><row r="1115"><cell r="AA1115"><v>43290</v></cell><cell r="AB1115" t="str"><v>GBR_gaPMG_CE_AZR_Q1_19_Trial-Social</v></cell><cell r="AC1115"><v>21337013</v></cell><cell r="AD1115"><v>720196</v></cell><cell r="AE1115" t="str"><v>Facebook</v></cell><cell r="AF1115"><v>3654128</v></cell><cell r="AG1115" t="str"><v>Facebook»Retargeting»1x1»SocialBan»LIA»DT»DYN»RT»W»NA»SS»NA»Free Account Retargeting OSS- Logos ChG</v></cell><cell r="AH1115"><v>223560350</v></cell><cell r="AI1115" t="str"><v>AzurePlatform_FreeAcctRetargetingOSSFB-Logos-ChG_GBR_1200x628_SOC_Plat_EN_Free Account_Standard_NA_SU_T2_1</v></cell><cell r="AJ1115"><v>103006547</v></cell></row><row r="1116"><cell r="C1116" t="str"><v>43290Facebook»Retargeting»1x1»SocialBan»LIA»DT»DYN»RT»W»NA»SS»NA»Free Account Retargeting OSS- Text ChF</v></cell><cell r="D1116" t="str"><v>43290223560344</v></cell><cell r="E1116" t="str"><v>43290102861246xt ChF</v></cell><cell r="F1116" t="str"><v>DCM</v></cell><cell r="G1116" t="str"><v>https://azure.microsoft.com/en-gb/free/open-source/search/</v></cell></row><row r="1116"><cell r="K1116" t="str"><v>July</v></cell><cell r="L1116"><v>43295</v></cell><cell r="M1116" t="str"><v>Tier 1</v></cell><cell r="N1116" t="str"><v>EMEA</v></cell><cell r="O1116" t="str"><v>United Kingdom</v></cell><cell r="P1116" t="str"><v>Trial</v></cell><cell r="Q1116" t="str"><v>Social</v></cell><cell r="R1116" t="str"><v>Azure</v></cell><cell r="S1116" t="str"><v>Apps & Infra</v></cell><cell r="T1116" t="str"><v>Developers & ITI's</v></cell><cell r="U1116" t="str"><v>Retargeting</v></cell><cell r="V1116" t="str"><v>Retargeting</v></cell><cell r="W1116" t="str"><v>Link Ad</v></cell><cell r="X1116" t="str"><v>1x1</v></cell></row><row r="1116"><cell r="AA1116"><v>43290</v></cell><cell r="AB1116" t="str"><v>GBR_gaPMG_CE_AZR_Q1_19_Trial-Social</v></cell><cell r="AC1116"><v>21337013</v></cell><cell r="AD1116"><v>720196</v></cell><cell r="AE1116" t="str"><v>Facebook</v></cell><cell r="AF1116"><v>3654128</v></cell><cell r="AG1116" t="str"><v>Facebook»Retargeting»1x1»SocialBan»LIA»DT»DYN»RT»W»NA»SS»NA»Free Account Retargeting OSS- Text ChF</v></cell><cell r="AH1116"><v>223560344</v></cell><cell r="AI1116" t="str"><v>AzurePlatform_FreeAcctRetargetingOSSFB-Text-ChF_GBR_1200x628_SOC_Plat_EN_Free Account_Standard_NA_SU_T1_1</v></cell><cell r="AJ1116"><v>102861246</v></cell></row><row r="1117"><cell r="C1117" t="str"><v>43290Facebook»Retargeting»1x1»SocialBan»LIA»DT»DYN»RT»W»NA»SS»NA»Free Account Retargeting VM- 750 Hrs ChD</v></cell><cell r="D1117" t="str"><v>43290223560338</v></cell><cell r="E1117" t="str"><v>43290102853603rs ChD</v></cell><cell r="F1117" t="str"><v>DCM</v></cell><cell r="G1117" t="str"><v>https://azure.microsoft.com/en-gb/free/virtual-machines/search/</v></cell></row><row r="1117"><cell r="K1117" t="str"><v>July</v></cell><cell r="L1117"><v>43295</v></cell><cell r="M1117" t="str"><v>Tier 1</v></cell><cell r="N1117" t="str"><v>EMEA</v></cell><cell r="O1117" t="str"><v>United Kingdom</v></cell><cell r="P1117" t="str"><v>Trial</v></cell><cell r="Q1117" t="str"><v>Social</v></cell><cell r="R1117" t="str"><v>Azure</v></cell><cell r="S1117" t="str"><v>Apps & Infra</v></cell><cell r="T1117" t="str"><v>Developers & ITI's</v></cell><cell r="U1117" t="str"><v>Retargeting</v></cell><cell r="V1117" t="str"><v>Retargeting</v></cell><cell r="W1117" t="str"><v>Link Ad</v></cell><cell r="X1117" t="str"><v>1x1</v></cell></row><row r="1117"><cell r="AA1117"><v>43290</v></cell><cell r="AB1117" t="str"><v>GBR_gaPMG_CE_AZR_Q1_19_Trial-Social</v></cell><cell r="AC1117"><v>21337013</v></cell><cell r="AD1117"><v>720196</v></cell><cell r="AE1117" t="str"><v>Facebook</v></cell><cell r="AF1117"><v>3654128</v></cell><cell r="AG1117" t="str"><v>Facebook»Retargeting»1x1»SocialBan»LIA»DT»DYN»RT»W»NA»SS»NA»Free Account Retargeting VM- 750 Hrs ChD</v></cell><cell r="AH1117"><v>223560338</v></cell><cell r="AI1117" t="str"><v>AzurePlatform_FreeAcctRetargetingVMFB-750Hrs-ChD_GBR_1200x628_SOC_Plat_EN_Free Account_Standard_NA_SU_T1_1</v></cell><cell r="AJ1117"><v>102853603</v></cell></row><row r="1118"><cell r="C1118" t="str"><v>43290Facebook»Retargeting»1x1»SocialBan»LIA»DT»DYN»RT»W»NA»SS»NA»Free Account Retargeting VM- On Demand ChE</v></cell><cell r="D1118" t="str"><v>43290223560332</v></cell><cell r="E1118" t="str"><v>43290102854037nd ChE</v></cell><cell r="F1118" t="str"><v>DCM</v></cell><cell r="G1118" t="str"><v>https://azure.microsoft.com/en-gb/free/virtual-machines/search/</v></cell></row><row r="1118"><cell r="K1118" t="str"><v>July</v></cell><cell r="L1118"><v>43295</v></cell><cell r="M1118" t="str"><v>Tier 1</v></cell><cell r="N1118" t="str"><v>EMEA</v></cell><cell r="O1118" t="str"><v>United Kingdom</v></cell><cell r="P1118" t="str"><v>Trial</v></cell><cell r="Q1118" t="str"><v>Social</v></cell><cell r="R1118" t="str"><v>Azure</v></cell><cell r="S1118" t="str"><v>Apps & Infra</v></cell><cell r="T1118" t="str"><v>Developers & ITI's</v></cell><cell r="U1118" t="str"><v>Retargeting</v></cell><cell r="V1118" t="str"><v>Retargeting</v></cell><cell r="W1118" t="str"><v>Link Ad</v></cell><cell r="X1118" t="str"><v>1x1</v></cell></row><row r="1118"><cell r="AA1118"><v>43290</v></cell><cell r="AB1118" t="str"><v>GBR_gaPMG_CE_AZR_Q1_19_Trial-Social</v></cell><cell r="AC1118"><v>21337013</v></cell><cell r="AD1118"><v>720196</v></cell><cell r="AE1118" t="str"><v>Facebook</v></cell><cell r="AF1118"><v>3654128</v></cell><cell r="AG1118" t="str"><v>Facebook»Retargeting»1x1»SocialBan»LIA»DT»DYN»RT»W»NA»SS»NA»Free Account Retargeting VM- On Demand ChE</v></cell><cell r="AH1118"><v>223560332</v></cell><cell r="AI1118" t="str"><v>AzurePlatform_FreeAcctRetargetingVMFB-OnDemand-ChE_GBR_1200x628_SOC_Plat_EN_Free Account_Standard_NA_SU_T2_1</v></cell><cell r="AJ1118"><v>102854037</v></cell></row><row r="1119"><cell r="C1119" t="str"><v>43290Facebook»AZP-Canvas-Interest&Role-Trial»1x1»Canvas»OTH»MO»CPM»PRO»X»UNK»TP»OT»Canvas-Trial</v></cell><cell r="D1119" t="str"><v>43290223298805</v></cell><cell r="E1119" t="str"><v>43290102630373-Trial</v></cell><cell r="F1119" t="str"><v>DCM</v></cell><cell r="G1119" t="str"><v>https://azure.microsoft.com/ja-jp/pricing/purchase-options/</v></cell></row><row r="1119"><cell r="K1119" t="str"><v>July</v></cell><cell r="L1119"><v>43295</v></cell><cell r="M1119" t="str"><v>Tier 1</v></cell><cell r="N1119" t="str"><v>APAC</v></cell><cell r="O1119" t="str"><v>Japan</v></cell><cell r="P1119" t="str"><v>Trial</v></cell><cell r="Q1119" t="str"><v>Social</v></cell><cell r="R1119" t="str"><v>Azure</v></cell><cell r="S1119" t="str"><v>Apps & Infra</v></cell><cell r="T1119" t="str"><v>Developers & ITI's</v></cell><cell r="U1119" t="str"><v>AZP-Canvas-Interest&Role-Trial</v></cell><cell r="V1119" t="str"><v>Prospecting</v></cell><cell r="W1119" t="str"><v>Other</v></cell><cell r="X1119" t="str"><v>1x1</v></cell></row><row r="1119"><cell r="AA1119"><v>43290</v></cell><cell r="AB1119" t="str"><v>JPN_gaPMG_AZR_AZR_Q1_19_Trial-Social</v></cell><cell r="AC1119"><v>21276694</v></cell><cell r="AD1119"><v>720195</v></cell><cell r="AE1119" t="str"><v>Facebook</v></cell><cell r="AF1119"><v>3654128</v></cell><cell r="AG1119" t="str"><v>Facebook»AZP-Canvas-Interest&Role-Trial»1x1»Canvas»OTH»MO»CPM»PRO»X»UNK»TP»OT»Canvas-Trial</v></cell><cell r="AH1119"><v>223298805</v></cell><cell r="AI1119" t="str"><v>AzurePlatform_FBCTCcanvaspage-BuyNowCTA-Img3_JPN_1080x162_SOC_Plat_Japanese_NA_Standard_NA_BN_T3_1</v></cell><cell r="AJ1119"><v>102630373</v></cell></row><row r="1120"><cell r="C1120" t="str"><v>43290Facebook»AZP-Canvas-Interest&Role-Trial»1x1»Canvas»OTH»MO»CPM»PRO»X»UNK»TP»OT»Canvas-Trial</v></cell><cell r="D1120" t="str"><v>43290223298805</v></cell><cell r="E1120" t="str"><v>43290102609621-Trial</v></cell><cell r="F1120" t="str"><v>DCM</v></cell><cell r="G1120" t="str"><v>https://signup.azure.com/signup?offer=ms-azr-0044p&appId=102&ref=paidmedia-social-fb&redirectURL=https%3a%2f%2fazure.microsoft.com%2fja-jp%2fget-started%2fwelcome-to-azure%2f&l=ja-jp&correlationId=ead86c34-1f10-49dd-a72b-6918462a2cbf</v></cell></row><row r="1120"><cell r="K1120" t="str"><v>July</v></cell><cell r="L1120"><v>43295</v></cell><cell r="M1120" t="str"><v>Tier 1</v></cell><cell r="N1120" t="str"><v>APAC</v></cell><cell r="O1120" t="str"><v>Japan</v></cell><cell r="P1120" t="str"><v>Trial</v></cell><cell r="Q1120" t="str"><v>Social</v></cell><cell r="R1120" t="str"><v>Azure</v></cell><cell r="S1120" t="str"><v>Apps & Infra</v></cell><cell r="T1120" t="str"><v>Developers & ITI's</v></cell><cell r="U1120" t="str"><v>AZP-Canvas-Interest&Role-Trial</v></cell><cell r="V1120" t="str"><v>Prospecting</v></cell><cell r="W1120" t="str"><v>Other</v></cell><cell r="X1120" t="str"><v>1x1</v></cell></row><row r="1120"><cell r="AA1120"><v>43290</v></cell><cell r="AB1120" t="str"><v>JPN_gaPMG_AZR_AZR_Q1_19_Trial-Social</v></cell><cell r="AC1120"><v>21276694</v></cell><cell r="AD1120"><v>720195</v></cell><cell r="AE1120" t="str"><v>Facebook</v></cell><cell r="AF1120"><v>3654128</v></cell><cell r="AG1120" t="str"><v>Facebook»AZP-Canvas-Interest&Role-Trial»1x1»Canvas»OTH»MO»CPM»PRO»X»UNK»TP»OT»Canvas-Trial</v></cell><cell r="AH1120"><v>223298805</v></cell><cell r="AI1120" t="str"><v>AzurePlatform_FBCTCcanvaspage-StartFreeCTA-Img2_JPN_1080x143 _SOC_Plat_Japanese_NA_Standard_NA_NA_T2_1</v></cell><cell r="AJ1120"><v>102609621</v></cell></row><row r="1121"><cell r="C1121" t="str"><v>43290Facebook»AZP-Canvas-Look a Like-Trial»1x1»Canvas»OTH»MO»CPM»PRO»X»UNK»TP»OT»Canvas-Trial</v></cell><cell r="D1121" t="str"><v>43290223297413</v></cell><cell r="E1121" t="str"><v>43290102630373-Trial</v></cell><cell r="F1121" t="str"><v>DCM</v></cell><cell r="G1121" t="str"><v>https://azure.microsoft.com/ja-jp/pricing/purchase-options/</v></cell></row><row r="1121"><cell r="K1121" t="str"><v>July</v></cell><cell r="L1121"><v>43295</v></cell><cell r="M1121" t="str"><v>Tier 1</v></cell><cell r="N1121" t="str"><v>APAC</v></cell><cell r="O1121" t="str"><v>Japan</v></cell><cell r="P1121" t="str"><v>Trial</v></cell><cell r="Q1121" t="str"><v>Social</v></cell><cell r="R1121" t="str"><v>Azure</v></cell><cell r="S1121" t="str"><v>Apps & Infra</v></cell><cell r="T1121" t="str"><v>Developers & ITI's</v></cell><cell r="U1121" t="str"><v>AZP-Canvas-Look a Like-Trial</v></cell><cell r="V1121" t="str"><v>Prospecting</v></cell><cell r="W1121" t="str"><v>Other</v></cell><cell r="X1121" t="str"><v>1x1</v></cell></row><row r="1121"><cell r="AA1121"><v>43290</v></cell><cell r="AB1121" t="str"><v>JPN_gaPMG_AZR_AZR_Q1_19_Trial-Social</v></cell><cell r="AC1121"><v>21276694</v></cell><cell r="AD1121"><v>720195</v></cell><cell r="AE1121" t="str"><v>Facebook</v></cell><cell r="AF1121"><v>3654128</v></cell><cell r="AG1121" t="str"><v>Facebook»AZP-Canvas-Look a Like-Trial»1x1»Canvas»OTH»MO»CPM»PRO»X»UNK»TP»OT»Canvas-Trial</v></cell><cell r="AH1121"><v>223297413</v></cell><cell r="AI1121" t="str"><v>AzurePlatform_FBCTCcanvaspage-BuyNowCTA-Img3_JPN_1080x162_SOC_Plat_Japanese_NA_Standard_NA_BN_T3_1</v></cell><cell r="AJ1121"><v>102630373</v></cell></row><row r="1122"><cell r="C1122" t="str"><v>43290Facebook»AZP-Canvas-Look a Like-Trial»1x1»Canvas»OTH»MO»CPM»PRO»X»UNK»TP»OT»Canvas-Trial</v></cell><cell r="D1122" t="str"><v>43290223297413</v></cell><cell r="E1122" t="str"><v>43290102609621-Trial</v></cell><cell r="F1122" t="str"><v>DCM</v></cell><cell r="G1122" t="str"><v>https://signup.azure.com/signup?offer=ms-azr-0044p&appId=102&ref=paidmedia-social-fb&redirectURL=https%3a%2f%2fazure.microsoft.com%2fja-jp%2fget-started%2fwelcome-to-azure%2f&l=ja-jp&correlationId=ead86c34-1f10-49dd-a72b-6918462a2cbf</v></cell></row><row r="1122"><cell r="K1122" t="str"><v>July</v></cell><cell r="L1122"><v>43295</v></cell><cell r="M1122" t="str"><v>Tier 1</v></cell><cell r="N1122" t="str"><v>APAC</v></cell><cell r="O1122" t="str"><v>Japan</v></cell><cell r="P1122" t="str"><v>Trial</v></cell><cell r="Q1122" t="str"><v>Social</v></cell><cell r="R1122" t="str"><v>Azure</v></cell><cell r="S1122" t="str"><v>Apps & Infra</v></cell><cell r="T1122" t="str"><v>Developers & ITI's</v></cell><cell r="U1122" t="str"><v>AZP-Canvas-Look a Like-Trial</v></cell><cell r="V1122" t="str"><v>Prospecting</v></cell><cell r="W1122" t="str"><v>Other</v></cell><cell r="X1122" t="str"><v>1x1</v></cell></row><row r="1122"><cell r="AA1122"><v>43290</v></cell><cell r="AB1122" t="str"><v>JPN_gaPMG_AZR_AZR_Q1_19_Trial-Social</v></cell><cell r="AC1122"><v>21276694</v></cell><cell r="AD1122"><v>720195</v></cell><cell r="AE1122" t="str"><v>Facebook</v></cell><cell r="AF1122"><v>3654128</v></cell><cell r="AG1122" t="str"><v>Facebook»AZP-Canvas-Look a Like-Trial»1x1»Canvas»OTH»MO»CPM»PRO»X»UNK»TP»OT»Canvas-Trial</v></cell><cell r="AH1122"><v>223297413</v></cell><cell r="AI1122" t="str"><v>AzurePlatform_FBCTCcanvaspage-StartFreeCTA-Img2_JPN_1080x143 _SOC_Plat_Japanese_NA_Standard_NA_NA_T2_1</v></cell><cell r="AJ1122"><v>102609621</v></cell></row><row r="1123"><cell r="C1123" t="str"><v>43290Facebook»AZP-Retargeting»1x1»Ban»LIA»ALL»CPM»RT»X»All»TP»OT»Free Account Retargeting OSS-ChF</v></cell><cell r="D1123" t="str"><v>43290223726368</v></cell><cell r="E1123" t="str"><v>43290102974750SS-ChF</v></cell><cell r="F1123" t="str"><v>DCM</v></cell><cell r="G1123" t="str"><v>https://azure.microsoft.com/ja-jp/free/open-source/search/</v></cell></row><row r="1123"><cell r="K1123" t="str"><v>July</v></cell><cell r="L1123"><v>43295</v></cell><cell r="M1123" t="str"><v>Tier 1</v></cell><cell r="N1123" t="str"><v>APAC</v></cell><cell r="O1123" t="str"><v>Japan</v></cell><cell r="P1123" t="str"><v>Trial</v></cell><cell r="Q1123" t="str"><v>Social</v></cell><cell r="R1123" t="str"><v>Azure</v></cell><cell r="S1123" t="str"><v>Apps & Infra</v></cell><cell r="T1123" t="str"><v>Developers & ITI's</v></cell><cell r="U1123" t="str"><v>AZP-Retargeting</v></cell><cell r="V1123" t="str"><v>Retargeting</v></cell><cell r="W1123" t="str"><v>Link Ad</v></cell><cell r="X1123" t="str"><v>1x1</v></cell></row><row r="1123"><cell r="AA1123"><v>43290</v></cell><cell r="AB1123" t="str"><v>JPN_gaPMG_AZR_AZR_Q1_19_Trial-Social</v></cell><cell r="AC1123"><v>21276694</v></cell><cell r="AD1123"><v>720195</v></cell><cell r="AE1123" t="str"><v>Facebook</v></cell><cell r="AF1123"><v>3654128</v></cell><cell r="AG1123" t="str"><v>Facebook»AZP-Retargeting»1x1»Ban»LIA»ALL»CPM»RT»X»All»TP»OT»Free Account Retargeting OSS-ChF</v></cell><cell r="AH1123"><v>223726368</v></cell><cell r="AI1123" t="str"><v>AzurePlatform_FreeAcctRetargetingOSSFB-Text-ChF_JPN_1200x628_SOC_Plat_JA_Free Account_Standard_NA_SU_T1_1</v></cell><cell r="AJ1123"><v>102974750</v></cell></row><row r="1124"><cell r="C1124" t="str"><v>43290Facebook»AZP-Retargeting»1x1»Canvas»OTH»MO»CPM»RT»W»UNK»TP»OT»Trial-Basicmotion</v></cell><cell r="D1124" t="str"><v>43290223298811</v></cell><cell r="E1124" t="str"><v>43290102773984motion</v></cell><cell r="F1124" t="str"><v>DCM</v></cell><cell r="G1124" t="str"><v>https://azure.microsoft.com/ja-jp/free/search/</v></cell></row><row r="1124"><cell r="K1124" t="str"><v>July</v></cell><cell r="L1124"><v>43295</v></cell><cell r="M1124" t="str"><v>Tier 1</v></cell><cell r="N1124" t="str"><v>APAC</v></cell><cell r="O1124" t="str"><v>Japan</v></cell><cell r="P1124" t="str"><v>Trial</v></cell><cell r="Q1124" t="str"><v>Social</v></cell><cell r="R1124" t="str"><v>Azure</v></cell><cell r="S1124" t="str"><v>Apps & Infra</v></cell><cell r="T1124" t="str"><v>Developers & ITI's</v></cell><cell r="U1124" t="str"><v>AZP-Retargeting</v></cell><cell r="V1124" t="str"><v>Retargeting</v></cell><cell r="W1124" t="str"><v>Other</v></cell><cell r="X1124" t="str"><v>1x1</v></cell></row><row r="1124"><cell r="AA1124"><v>43290</v></cell><cell r="AB1124" t="str"><v>JPN_gaPMG_AZR_AZR_Q1_19_Trial-Social</v></cell><cell r="AC1124"><v>21276694</v></cell><cell r="AD1124"><v>720195</v></cell><cell r="AE1124" t="str"><v>Facebook</v></cell><cell r="AF1124"><v>3654128</v></cell><cell r="AG1124" t="str"><v>Facebook»AZP-Retargeting»1x1»Canvas»OTH»MO»CPM»RT»W»UNK»TP»OT»Trial-Basicmotion</v></cell><cell r="AH1124"><v>223298811</v></cell><cell r="AI1124" t="str"><v>AzurePlatform_FBCTCBasicMotion_JPN_10sec_ISV_PLAT_JA_Trial_Standard_STAN_TN_T1_1</v></cell><cell r="AJ1124"><v>102773984</v></cell></row><row r="1125"><cell r="C1125" t="str"><v>43290Facebook»AZP-Retargeting»1x1»Canvas»OTH»MO»CPM»RT»W»UNK»TP»OT»Trial-BrandinMotion</v></cell><cell r="D1125" t="str"><v>43290223298823</v></cell><cell r="E1125" t="str"><v>43290102612720Motion</v></cell><cell r="F1125" t="str"><v>DCM</v></cell><cell r="G1125" t="str"><v>https://azure.microsoft.com/ja-jp/free/search/</v></cell></row><row r="1125"><cell r="K1125" t="str"><v>July</v></cell><cell r="L1125"><v>43295</v></cell><cell r="M1125" t="str"><v>Tier 1</v></cell><cell r="N1125" t="str"><v>APAC</v></cell><cell r="O1125" t="str"><v>Japan</v></cell><cell r="P1125" t="str"><v>Trial</v></cell><cell r="Q1125" t="str"><v>Social</v></cell><cell r="R1125" t="str"><v>Azure</v></cell><cell r="S1125" t="str"><v>Apps & Infra</v></cell><cell r="T1125" t="str"><v>Developers & ITI's</v></cell><cell r="U1125" t="str"><v>AZP-Retargeting</v></cell><cell r="V1125" t="str"><v>Retargeting</v></cell><cell r="W1125" t="str"><v>Other</v></cell><cell r="X1125" t="str"><v>1x1</v></cell></row><row r="1125"><cell r="AA1125"><v>43290</v></cell><cell r="AB1125" t="str"><v>JPN_gaPMG_AZR_AZR_Q1_19_Trial-Social</v></cell><cell r="AC1125"><v>21276694</v></cell><cell r="AD1125"><v>720195</v></cell><cell r="AE1125" t="str"><v>Facebook</v></cell><cell r="AF1125"><v>3654128</v></cell><cell r="AG1125" t="str"><v>Facebook»AZP-Retargeting»1x1»Canvas»OTH»MO»CPM»RT»W»UNK»TP»OT»Trial-BrandinMotion</v></cell><cell r="AH1125"><v>223298823</v></cell><cell r="AI1125" t="str"><v>AzurePlatform_FBCTCBrandinMotion_JPN_12sec_ISV_PLAT_JA_Trial_Standard_STAN_TN_T2_1</v></cell><cell r="AJ1125"><v>102612720</v></cell></row><row r="1126"><cell r="C1126" t="str"><v>43290FACEBOOK»USA-Trial-ITD-Interest Prospecting-AZR-AZR»1 x 1»SocialBan»CAN»ALL»CPA»PRO»X»NA»SS»NA»FBCTCBasicMotion»PRC1SV</v></cell><cell r="D1126" t="str"><v>43290223934062</v></cell><cell r="E1126" t="str"><v>43290103043823PRC1SV</v></cell><cell r="F1126" t="str"><v>DCM</v></cell><cell r="G1126" t="str"><v>https://signup.azure.com/?OCID=AID%eexcid!_OLA_%ebuy!_%epid!_%ecid!</v></cell></row><row r="1126"><cell r="K1126" t="str"><v>July</v></cell><cell r="L1126"><v>43295</v></cell><cell r="M1126" t="str"><v>Tier 0</v></cell><cell r="N1126" t="str"><v>North America</v></cell><cell r="O1126" t="str"><v>United States</v></cell><cell r="P1126" t="str"><v>Trial</v></cell><cell r="Q1126" t="str"><v>Social</v></cell><cell r="R1126" t="str"><v>Azure</v></cell><cell r="S1126" t="str"><v>Apps & Infra</v></cell><cell r="T1126" t="str"><v>Developers & ITI's</v></cell><cell r="U1126" t="str"><v>USA-Trial-ITD-Interest Prospecting-AZR-AZR</v></cell><cell r="V1126" t="str"><v>Prospecting</v></cell><cell r="W1126" t="str"><v>Canvas Ad</v></cell><cell r="X1126" t="str"><v>1x1</v></cell></row><row r="1126"><cell r="AA1126"><v>43290</v></cell><cell r="AB1126" t="str"><v>USA_gaPMG_AZR_AZR_Q1_19_Direct-Social</v></cell><cell r="AC1126"><v>21358715</v></cell><cell r="AD1126"><v>720197</v></cell><cell r="AE1126" t="str"><v>Facebook</v></cell><cell r="AF1126"><v>3654128</v></cell><cell r="AG1126" t="str"><v>FACEBOOK»USA-Trial-ITD-Interest Prospecting-AZR-AZR»1 x 1»SocialBan»CAN»ALL»CPA»PRO»X»NA»SS»NA»FBCTCBasicMotion»PRC1SV</v></cell><cell r="AH1126"><v>223934062</v></cell><cell r="AI1126" t="str"><v>AzurePlatform_FBCTCBasicMotion_USA_10s_CAN_PLATFORM_English_Trial_Standard_STAN_TIN_T1_1</v></cell><cell r="AJ1126"><v>103043823</v></cell></row><row r="1127"><cell r="C1127" t="str"><v>43290FACEBOOK»USA-Trial-ITD-Interest Prospecting-AZR-AZR»1 x 1»SocialBan»CAN»ALL»CPA»PRO»X»NA»SS»NA»FBCTCBenefit2inMotion»PRC1SW</v></cell><cell r="D1127" t="str"><v>43290223933138</v></cell><cell r="E1127" t="str"><v>43290103178645PRC1SW</v></cell><cell r="F1127" t="str"><v>DCM</v></cell><cell r="G1127" t="str"><v>https://azure.microsoft.com/en-us/pricing/purchase-options/?v=18.19&OCID=AID%eexcid!_OLA_%ebuy!_%epid!_%ecid!</v></cell></row><row r="1127"><cell r="K1127" t="str"><v>July</v></cell><cell r="L1127"><v>43295</v></cell><cell r="M1127" t="str"><v>Tier 0</v></cell><cell r="N1127" t="str"><v>North America</v></cell><cell r="O1127" t="str"><v>United States</v></cell><cell r="P1127" t="str"><v>Trial</v></cell><cell r="Q1127" t="str"><v>Social</v></cell><cell r="R1127" t="str"><v>Azure</v></cell><cell r="S1127" t="str"><v>Apps & Infra</v></cell><cell r="T1127" t="str"><v>Developers & ITI's</v></cell><cell r="U1127" t="str"><v>USA-Trial-ITD-Interest Prospecting-AZR-AZR</v></cell><cell r="V1127" t="str"><v>Prospecting</v></cell><cell r="W1127" t="str"><v>Canvas Ad</v></cell><cell r="X1127" t="str"><v>1x1</v></cell></row><row r="1127"><cell r="AA1127"><v>43290</v></cell><cell r="AB1127" t="str"><v>USA_gaPMG_AZR_AZR_Q1_19_Direct-Social</v></cell><cell r="AC1127"><v>21358715</v></cell><cell r="AD1127"><v>720197</v></cell><cell r="AE1127" t="str"><v>Facebook</v></cell><cell r="AF1127"><v>3654128</v></cell><cell r="AG1127" t="str"><v>FACEBOOK»USA-Trial-ITD-Interest Prospecting-AZR-AZR»1 x 1»SocialBan»CAN»ALL»CPA»PRO»X»NA»SS»NA»FBCTCBenefit2inMotion»PRC1SW</v></cell><cell r="AH1127"><v>223933138</v></cell><cell r="AI1127" t="str"><v>AzurePlatform_FBCTCBenefit2inMotion_USA_10s_CAN_PLATFORM_English_Trial_Standard_STAN_TIN_T4_2</v></cell><cell r="AJ1127"><v>103178645</v></cell></row><row r="1128"><cell r="C1128" t="str"><v>43290FACEBOOK»USA-Trial-ITD-Interest Prospecting-AZR-AZR»1 x 1»SocialBan»CAN»ALL»CPA»PRO»X»NA»SS»NA»FBCTCBrandinMotion»PRC1SY</v></cell><cell r="D1128" t="str"><v>43290224104929</v></cell><cell r="E1128" t="str"><v>43290103176812PRC1SY</v></cell><cell r="F1128" t="str"><v>DCM</v></cell><cell r="G1128" t="str"><v>https://signup.azure.com/?OCID=AID%eexcid!_OLA_%ebuy!_%epid!_%ecid!</v></cell></row><row r="1128"><cell r="K1128" t="str"><v>July</v></cell><cell r="L1128"><v>43295</v></cell><cell r="M1128" t="str"><v>Tier 0</v></cell><cell r="N1128" t="str"><v>North America</v></cell><cell r="O1128" t="str"><v>United States</v></cell><cell r="P1128" t="str"><v>Trial</v></cell><cell r="Q1128" t="str"><v>Social</v></cell><cell r="R1128" t="str"><v>Azure</v></cell><cell r="S1128" t="str"><v>Apps & Infra</v></cell><cell r="T1128" t="str"><v>Developers & ITI's</v></cell><cell r="U1128" t="str"><v>USA-Trial-ITD-Interest Prospecting-AZR-AZR</v></cell><cell r="V1128" t="str"><v>Prospecting</v></cell><cell r="W1128" t="str"><v>Canvas Ad</v></cell><cell r="X1128" t="str"><v>1x1</v></cell></row><row r="1128"><cell r="AA1128"><v>43290</v></cell><cell r="AB1128" t="str"><v>USA_gaPMG_AZR_AZR_Q1_19_Direct-Social</v></cell><cell r="AC1128"><v>21358715</v></cell><cell r="AD1128"><v>720197</v></cell><cell r="AE1128" t="str"><v>Facebook</v></cell><cell r="AF1128"><v>3654128</v></cell><cell r="AG1128" t="str"><v>FACEBOOK»USA-Trial-ITD-Interest Prospecting-AZR-AZR»1 x 1»SocialBan»CAN»ALL»CPA»PRO»X»NA»SS»NA»FBCTCBrandinMotion»PRC1SY</v></cell><cell r="AH1128"><v>224104929</v></cell><cell r="AI1128" t="str"><v>AzurePlatform_FBCTCBrandinMotion_USA_10s_CAN_PLATFORM_English_Trial_Standard_STAN_TIN_T2_1</v></cell><cell r="AJ1128"><v>103176812</v></cell></row><row r="1129"><cell r="C1129" t="str"><v>43290FACEBOOK»USA-Trial-ITD-Interest Prospecting-AZR-AZR»1 x 1»SocialBan»CAN»ALL»CPA»PRO»X»NA»SS»NA»FBCTCBrandinMotion»PRC1SY</v></cell><cell r="D1129" t="str"><v>43290224104929</v></cell><cell r="E1129" t="str"><v>43290103032823PRC1SY</v></cell><cell r="F1129" t="str"><v>DCM</v></cell><cell r="G1129" t="str"><v>https://azure.microsoft.com/en-us/pricing/purchase-options/?v=18.19&OCID=AID%eexcid!_OLA_%ebuy!_%epid!_%ecid!</v></cell></row><row r="1129"><cell r="K1129" t="str"><v>July</v></cell><cell r="L1129"><v>43295</v></cell><cell r="M1129" t="str"><v>Tier 0</v></cell><cell r="N1129" t="str"><v>North America</v></cell><cell r="O1129" t="str"><v>United States</v></cell><cell r="P1129" t="str"><v>Trial</v></cell><cell r="Q1129" t="str"><v>Social</v></cell><cell r="R1129" t="str"><v>Azure</v></cell><cell r="S1129" t="str"><v>Apps & Infra</v></cell><cell r="T1129" t="str"><v>Developers & ITI's</v></cell><cell r="U1129" t="str"><v>USA-Trial-ITD-Interest Prospecting-AZR-AZR</v></cell><cell r="V1129" t="str"><v>Prospecting</v></cell><cell r="W1129" t="str"><v>Canvas Ad</v></cell><cell r="X1129" t="str"><v>1x1</v></cell></row><row r="1129"><cell r="AA1129"><v>43290</v></cell><cell r="AB1129" t="str"><v>USA_gaPMG_AZR_AZR_Q1_19_Direct-Social</v></cell><cell r="AC1129"><v>21358715</v></cell><cell r="AD1129"><v>720197</v></cell><cell r="AE1129" t="str"><v>Facebook</v></cell><cell r="AF1129"><v>3654128</v></cell><cell r="AG1129" t="str"><v>FACEBOOK»USA-Trial-ITD-Interest Prospecting-AZR-AZR»1 x 1»SocialBan»CAN»ALL»CPA»PRO»X»NA»SS»NA»FBCTCBrandinMotion»PRC1SY</v></cell><cell r="AH1129"><v>224104929</v></cell><cell r="AI1129" t="str"><v>AzurePlatform_FBCTCBrandinMotion_USA_10s_CAN_PLATFORM_English_Trial_Standard_STAN_TIN_T2_2</v></cell><cell r="AJ1129"><v>103032823</v></cell></row><row r="1130"><cell r="C1130" t="str"><v>43290FACEBOOK»USA-Trial-ITD-Interest Prospecting-AZR-AZR»1 x 1»SocialBan»LIA»ALL»CPA»PRO»X»NA»SS»NA»FreeAcctDeveloperFB-AnimatedGeneric-Ch1»PRC1SZ</v></cell><cell r="D1130" t="str"><v>43290224104932</v></cell><cell r="E1130" t="str"><v>43290103176851PRC1SZ</v></cell><cell r="F1130" t="str"><v>DCM</v></cell><cell r="G1130" t="str"><v>https://azure.microsoft.com/en-us/free/search/?OCID=AID%eexcid!_OLA_%ebuy!_%epid!_%ecid!</v></cell></row><row r="1130"><cell r="K1130" t="str"><v>July</v></cell><cell r="L1130"><v>43295</v></cell><cell r="M1130" t="str"><v>Tier 0</v></cell><cell r="N1130" t="str"><v>North America</v></cell><cell r="O1130" t="str"><v>United States</v></cell><cell r="P1130" t="str"><v>Trial</v></cell><cell r="Q1130" t="str"><v>Social</v></cell><cell r="R1130" t="str"><v>Azure</v></cell><cell r="S1130" t="str"><v>Apps & Infra</v></cell><cell r="T1130" t="str"><v>Developers & ITI's</v></cell><cell r="U1130" t="str"><v>USA-Trial-ITD-Interest Prospecting-AZR-AZR</v></cell><cell r="V1130" t="str"><v>Prospecting</v></cell><cell r="W1130" t="str"><v>Link Ad</v></cell><cell r="X1130" t="str"><v>1x1</v></cell></row><row r="1130"><cell r="AA1130"><v>43290</v></cell><cell r="AB1130" t="str"><v>USA_gaPMG_AZR_AZR_Q1_19_Direct-Social</v></cell><cell r="AC1130"><v>21358715</v></cell><cell r="AD1130"><v>720197</v></cell><cell r="AE1130" t="str"><v>Facebook</v></cell><cell r="AF1130"><v>3654128</v></cell><cell r="AG1130" t="str"><v>FACEBOOK»USA-Trial-ITD-Interest Prospecting-AZR-AZR»1 x 1»SocialBan»LIA»ALL»CPA»PRO»X»NA»SS»NA»FreeAcctDeveloperFB-AnimatedGeneric-Ch1»PRC1SZ</v></cell><cell r="AH1130"><v>224104932</v></cell><cell r="AI1130" t="str"><v>AZR_FreeAcctDeveloperFB-AnimatedGeneric-Ch1_USA_1200x1200_CAN_Direct_English_Trial_Standard_ANI_LEA_T1_2</v></cell><cell r="AJ1130"><v>103176851</v></cell></row><row r="1131"><cell r="C1131" t="str"><v>43290FACEBOOK»USA-Trial-ITD-Interest Prospecting-AZR-AZR»1 x 1»SocialBan»LIA»ALL»CPA»PRO»X»NA»SS»NA»FreeAcctDeveloperFB-AnimatedGeneric-Ch1»PRC1T0</v></cell><cell r="D1131" t="str"><v>43290223934065</v></cell><cell r="E1131" t="str"><v>43290103176851PRC1T0</v></cell><cell r="F1131" t="str"><v>DCM</v></cell><cell r="G1131" t="str"><v>https://azure.microsoft.com/en-us/free/search/?OCID=AID%eexcid!_OLA_%ebuy!_%epid!_%ecid!</v></cell></row><row r="1131"><cell r="K1131" t="str"><v>July</v></cell><cell r="L1131"><v>43295</v></cell><cell r="M1131" t="str"><v>Tier 0</v></cell><cell r="N1131" t="str"><v>North America</v></cell><cell r="O1131" t="str"><v>United States</v></cell><cell r="P1131" t="str"><v>Trial</v></cell><cell r="Q1131" t="str"><v>Social</v></cell><cell r="R1131" t="str"><v>Azure</v></cell><cell r="S1131" t="str"><v>Apps & Infra</v></cell><cell r="T1131" t="str"><v>Developers & ITI's</v></cell><cell r="U1131" t="str"><v>USA-Trial-ITD-Interest Prospecting-AZR-AZR</v></cell><cell r="V1131" t="str"><v>Prospecting</v></cell><cell r="W1131" t="str"><v>Link Ad</v></cell><cell r="X1131" t="str"><v>1x1</v></cell></row><row r="1131"><cell r="AA1131"><v>43290</v></cell><cell r="AB1131" t="str"><v>USA_gaPMG_AZR_AZR_Q1_19_Direct-Social</v></cell><cell r="AC1131"><v>21358715</v></cell><cell r="AD1131"><v>720197</v></cell><cell r="AE1131" t="str"><v>Facebook</v></cell><cell r="AF1131"><v>3654128</v></cell><cell r="AG1131" t="str"><v>FACEBOOK»USA-Trial-ITD-Interest Prospecting-AZR-AZR»1 x 1»SocialBan»LIA»ALL»CPA»PRO»X»NA»SS»NA»FreeAcctDeveloperFB-AnimatedGeneric-Ch1»PRC1T0</v></cell><cell r="AH1131"><v>223934065</v></cell><cell r="AI1131" t="str"><v>AZR_FreeAcctDeveloperFB-AnimatedGeneric-Ch1_USA_1200x1200_CAN_Direct_English_Trial_Standard_ANI_LEA_T1_2</v></cell><cell r="AJ1131"><v>103176851</v></cell></row><row r="1132"><cell r="C1132" t="str"><v>43290FACEBOOK»USA-Trial-ITD-Interest Prospecting-AZR-AZR»1 x 1»SocialBan»LIA»ALL»CPA»PRO»X»NA»SS»NA»FreeAcctITProFB-AnimatedHybrid-Ch2»PRC1T5</v></cell><cell r="D1132" t="str"><v>43290223862882</v></cell><cell r="E1132" t="str"><v>43290103180583PRC1T5</v></cell><cell r="F1132" t="str"><v>DCM</v></cell></row><row r="1132"><cell r="K1132" t="str"><v>July</v></cell><cell r="L1132"><v>43295</v></cell><cell r="M1132" t="str"><v>Tier 0</v></cell><cell r="N1132" t="str"><v>North America</v></cell><cell r="O1132" t="str"><v>United States</v></cell><cell r="P1132" t="str"><v>Trial</v></cell><cell r="Q1132" t="str"><v>Social</v></cell><cell r="R1132" t="str"><v>Azure</v></cell><cell r="S1132" t="str"><v>Apps & Infra</v></cell><cell r="T1132" t="str"><v>Developers & ITI's</v></cell><cell r="U1132" t="str"><v>USA-Trial-ITD-Interest Prospecting-AZR-AZR</v></cell><cell r="V1132" t="str"><v>Prospecting</v></cell><cell r="W1132" t="str"><v>Link Ad</v></cell><cell r="X1132" t="str"><v>1x1</v></cell></row><row r="1132"><cell r="AA1132"><v>43290</v></cell><cell r="AB1132" t="str"><v>USA_gaPMG_AZR_AZR_Q1_19_Direct-Social</v></cell><cell r="AC1132"><v>21358715</v></cell><cell r="AD1132"><v>720197</v></cell><cell r="AE1132" t="str"><v>Facebook</v></cell><cell r="AF1132"><v>3654128</v></cell><cell r="AG1132" t="str"><v>FACEBOOK»USA-Trial-ITD-Interest Prospecting-AZR-AZR»1 x 1»SocialBan»LIA»ALL»CPA»PRO»X»NA»SS»NA»FreeAcctITProFB-AnimatedHybrid-Ch2»PRC1T5</v></cell><cell r="AH1132"><v>223862882</v></cell><cell r="AI1132" t="str"><v>AZR_FreeAcctITProFB-AnimatedHybrid-Ch2_USA_1200x1200_CAN_Direct_English_Trial_Standard_ANI_LEA_T2_2</v></cell><cell r="AJ1132"><v>103180583</v></cell></row><row r="1133"><cell r="C1133" t="str"><v>43290FACEBOOK»USA-Trial-ITD-Interest Prospecting-AZR-AZR»1 x 1»SocialBan»LIA»ALL»CPA»PRO»X»NA»SS»NA»FreeAcctITProFB-AnimatedSecureMngd-Ch1»PRC1T4</v></cell><cell r="D1133" t="str"><v>43290224104914</v></cell><cell r="E1133" t="str"><v>43290103176830PRC1T4</v></cell><cell r="F1133" t="str"><v>DCM</v></cell></row><row r="1133"><cell r="K1133" t="str"><v>July</v></cell><cell r="L1133"><v>43295</v></cell><cell r="M1133" t="str"><v>Tier 0</v></cell><cell r="N1133" t="str"><v>North America</v></cell><cell r="O1133" t="str"><v>United States</v></cell><cell r="P1133" t="str"><v>Trial</v></cell><cell r="Q1133" t="str"><v>Social</v></cell><cell r="R1133" t="str"><v>Azure</v></cell><cell r="S1133" t="str"><v>Apps & Infra</v></cell><cell r="T1133" t="str"><v>Developers & ITI's</v></cell><cell r="U1133" t="str"><v>USA-Trial-ITD-Interest Prospecting-AZR-AZR</v></cell><cell r="V1133" t="str"><v>Prospecting</v></cell><cell r="W1133" t="str"><v>Link Ad</v></cell><cell r="X1133" t="str"><v>1x1</v></cell></row><row r="1133"><cell r="AA1133"><v>43290</v></cell><cell r="AB1133" t="str"><v>USA_gaPMG_AZR_AZR_Q1_19_Direct-Social</v></cell><cell r="AC1133"><v>21358715</v></cell><cell r="AD1133"><v>720197</v></cell><cell r="AE1133" t="str"><v>Facebook</v></cell><cell r="AF1133"><v>3654128</v></cell><cell r="AG1133" t="str"><v>FACEBOOK»USA-Trial-ITD-Interest Prospecting-AZR-AZR»1 x 1»SocialBan»LIA»ALL»CPA»PRO»X»NA»SS»NA»FreeAcctITProFB-AnimatedSecureMngd-Ch1»PRC1T4</v></cell><cell r="AH1133"><v>224104914</v></cell><cell r="AI1133" t="str"><v>AZR_FreeAcctITProFB-AnimatedSecureMngd-Ch1_USA_1200x1200_CAN_Direct_English_Trial_Standard_ANI_LEA_T1_1</v></cell><cell r="AJ1133"><v>103176830</v></cell></row><row r="1134"><cell r="C1134" t="str"><v>43290FACEBOOK»USA-Trial-ITD-Retargeting-AZR-AZR»1 x 1»SocialBan»LIA»ALL»CPA»RT»X»NA»SS»NA»FreeAcctDeveloperFB-AnimatedAI-Ch3»PRC26H</v></cell><cell r="D1134" t="str"><v>43290223863371</v></cell><cell r="E1134" t="str"><v>43290103032778PRC26H</v></cell><cell r="F1134" t="str"><v>DCM</v></cell></row><row r="1134"><cell r="K1134" t="str"><v>July</v></cell><cell r="L1134"><v>43295</v></cell><cell r="M1134" t="str"><v>Tier 0</v></cell><cell r="N1134" t="str"><v>North America</v></cell><cell r="O1134" t="str"><v>United States</v></cell><cell r="P1134" t="str"><v>Trial</v></cell><cell r="Q1134" t="str"><v>Social</v></cell><cell r="R1134" t="str"><v>Azure</v></cell><cell r="S1134" t="str"><v>Apps & Infra</v></cell><cell r="T1134" t="str"><v>Developers & ITI's</v></cell><cell r="U1134" t="str"><v>USA-Trial-ITD-Retargeting-AZR-AZR</v></cell><cell r="V1134" t="str"><v>Retargeting</v></cell><cell r="W1134" t="str"><v>Link Ad</v></cell><cell r="X1134" t="str"><v>1x1</v></cell></row><row r="1134"><cell r="AA1134"><v>43290</v></cell><cell r="AB1134" t="str"><v>USA_gaPMG_AZR_AZR_Q1_19_Direct-Social</v></cell><cell r="AC1134"><v>21358715</v></cell><cell r="AD1134"><v>720197</v></cell><cell r="AE1134" t="str"><v>Facebook</v></cell><cell r="AF1134"><v>3654128</v></cell><cell r="AG1134" t="str"><v>FACEBOOK»USA-Trial-ITD-Retargeting-AZR-AZR»1 x 1»SocialBan»LIA»ALL»CPA»RT»X»NA»SS»NA»FreeAcctDeveloperFB-AnimatedAI-Ch3»PRC26H</v></cell><cell r="AH1134"><v>223863371</v></cell><cell r="AI1134" t="str"><v>AZR_FreeAcctDeveloperFB-AnimatedAI-Ch3_USA_1200x1200_CAN_Direct_English_Trial_Standard_ANI_LEA_T3_1</v></cell><cell r="AJ1134"><v>103032778</v></cell></row><row r="1135"><cell r="C1135" t="str"><v>43290FACEBOOK»USA-Trial-ITD-Retargeting-AZR-AZR»1 x 1»SocialBan»LIA»ALL»CPA»RT»X»NA»SS»NA»FreeAcctDeveloperFB-AnimatedData-Ch4»PRC26J</v></cell><cell r="D1135" t="str"><v>43290224106078</v></cell><cell r="E1135" t="str"><v>43290103037935PRC26J</v></cell><cell r="F1135" t="str"><v>DCM</v></cell></row><row r="1135"><cell r="K1135" t="str"><v>July</v></cell><cell r="L1135"><v>43295</v></cell><cell r="M1135" t="str"><v>Tier 0</v></cell><cell r="N1135" t="str"><v>North America</v></cell><cell r="O1135" t="str"><v>United States</v></cell><cell r="P1135" t="str"><v>Trial</v></cell><cell r="Q1135" t="str"><v>Social</v></cell><cell r="R1135" t="str"><v>Azure</v></cell><cell r="S1135" t="str"><v>Apps & Infra</v></cell><cell r="T1135" t="str"><v>Developers & ITI's</v></cell><cell r="U1135" t="str"><v>USA-Trial-ITD-Retargeting-AZR-AZR</v></cell><cell r="V1135" t="str"><v>Retargeting</v></cell><cell r="W1135" t="str"><v>Link Ad</v></cell><cell r="X1135" t="str"><v>1x1</v></cell></row><row r="1135"><cell r="AA1135"><v>43290</v></cell><cell r="AB1135" t="str"><v>USA_gaPMG_AZR_AZR_Q1_19_Direct-Social</v></cell><cell r="AC1135"><v>21358715</v></cell><cell r="AD1135"><v>720197</v></cell><cell r="AE1135" t="str"><v>Facebook</v></cell><cell r="AF1135"><v>3654128</v></cell><cell r="AG1135" t="str"><v>FACEBOOK»USA-Trial-ITD-Retargeting-AZR-AZR»1 x 1»SocialBan»LIA»ALL»CPA»RT»X»NA»SS»NA»FreeAcctDeveloperFB-AnimatedData-Ch4»PRC26J</v></cell><cell r="AH1135"><v>224106078</v></cell><cell r="AI1135" t="str"><v>AZR_FreeAcctDeveloperFB-AnimatedData-Ch4_USA_1200x1200_CAN_Direct_English_Trial_Standard_ANI_LEA_T4_2</v></cell><cell r="AJ1135"><v>103037935</v></cell></row><row r="1136"><cell r="C1136" t="str"><v>43290FACEBOOK»USA-Trial-ITD-Retargeting-AZR-AZR»1 x 1»SocialBan»LIA»ALL»CPA»RT»X»NA»SS»NA»FreeAcctDeveloperFB-AnimatedOpenSource-Ch2»PRC26G</v></cell><cell r="D1136" t="str"><v>43290223862873</v></cell><cell r="E1136" t="str"><v>43290103048329PRC26G</v></cell><cell r="F1136" t="str"><v>DCM</v></cell><cell r="G1136" t="str"><v>https://azure.microsoft.com/en-us/free/open-source/search/?OCID=AID%eexcid!_OLA_%ebuy!_%epid!_%ecid!</v></cell></row><row r="1136"><cell r="K1136" t="str"><v>July</v></cell><cell r="L1136"><v>43295</v></cell><cell r="M1136" t="str"><v>Tier 0</v></cell><cell r="N1136" t="str"><v>North America</v></cell><cell r="O1136" t="str"><v>United States</v></cell><cell r="P1136" t="str"><v>Trial</v></cell><cell r="Q1136" t="str"><v>Social</v></cell><cell r="R1136" t="str"><v>Azure</v></cell><cell r="S1136" t="str"><v>Apps & Infra</v></cell><cell r="T1136" t="str"><v>Developers & ITI's</v></cell><cell r="U1136" t="str"><v>USA-Trial-ITD-Retargeting-AZR-AZR</v></cell><cell r="V1136" t="str"><v>Retargeting</v></cell><cell r="W1136" t="str"><v>Link Ad</v></cell><cell r="X1136" t="str"><v>1x1</v></cell></row><row r="1136"><cell r="AA1136"><v>43290</v></cell><cell r="AB1136" t="str"><v>USA_gaPMG_AZR_AZR_Q1_19_Direct-Social</v></cell><cell r="AC1136"><v>21358715</v></cell><cell r="AD1136"><v>720197</v></cell><cell r="AE1136" t="str"><v>Facebook</v></cell><cell r="AF1136"><v>3654128</v></cell><cell r="AG1136" t="str"><v>FACEBOOK»USA-Trial-ITD-Retargeting-AZR-AZR»1 x 1»SocialBan»LIA»ALL»CPA»RT»X»NA»SS»NA»FreeAcctDeveloperFB-AnimatedOpenSource-Ch2»PRC26G</v></cell><cell r="AH1136"><v>223862873</v></cell><cell r="AI1136" t="str"><v>AZR_FreeAcctDeveloperFB-AnimatedOpenSource-Ch2_USA_1200x1200_CAN_Direct_English_Trial_Standard_ANI_LEA_T2_1</v></cell><cell r="AJ1136"><v>103048329</v></cell></row><row r="1137"><cell r="C1137" t="str"><v>43290FACEBOOK»USA-Trial-ITD-Retargeting-AZR-AZR»1 x 1»SocialBan»LIA»ALL»CPA»RT»X»NA»SS»NA»FreeAcctITProFB-AnimatedHybrid-Ch2»PRC26N</v></cell><cell r="D1137" t="str"><v>43290223934053</v></cell><cell r="E1137" t="str"><v>43290103180583PRC26N</v></cell><cell r="F1137" t="str"><v>DCM</v></cell></row><row r="1137"><cell r="K1137" t="str"><v>July</v></cell><cell r="L1137"><v>43295</v></cell><cell r="M1137" t="str"><v>Tier 0</v></cell><cell r="N1137" t="str"><v>North America</v></cell><cell r="O1137" t="str"><v>United States</v></cell><cell r="P1137" t="str"><v>Trial</v></cell><cell r="Q1137" t="str"><v>Social</v></cell><cell r="R1137" t="str"><v>Azure</v></cell><cell r="S1137" t="str"><v>Apps & Infra</v></cell><cell r="T1137" t="str"><v>Developers & ITI's</v></cell><cell r="U1137" t="str"><v>USA-Trial-ITD-Retargeting-AZR-AZR</v></cell><cell r="V1137" t="str"><v>Retargeting</v></cell><cell r="W1137" t="str"><v>Link Ad</v></cell><cell r="X1137" t="str"><v>1x1</v></cell></row><row r="1137"><cell r="AA1137"><v>43290</v></cell><cell r="AB1137" t="str"><v>USA_gaPMG_AZR_AZR_Q1_19_Direct-Social</v></cell><cell r="AC1137"><v>21358715</v></cell><cell r="AD1137"><v>720197</v></cell><cell r="AE1137" t="str"><v>Facebook</v></cell><cell r="AF1137"><v>3654128</v></cell><cell r="AG1137" t="str"><v>FACEBOOK»USA-Trial-ITD-Retargeting-AZR-AZR»1 x 1»SocialBan»LIA»ALL»CPA»RT»X»NA»SS»NA»FreeAcctITProFB-AnimatedHybrid-Ch2»PRC26N</v></cell><cell r="AH1137"><v>223934053</v></cell><cell r="AI1137" t="str"><v>AZR_FreeAcctITProFB-AnimatedHybrid-Ch2_USA_1200x1200_CAN_Direct_English_Trial_Standard_ANI_LEA_T2_2</v></cell><cell r="AJ1137"><v>103180583</v></cell></row><row r="1138"><cell r="C1138" t="str"><v>43290FACEBOOK»USA-Trial-ITD-Retargeting-AZR-AZR»1 x 1»SocialBan»LIA»ALL»CPA»RT»X»NA»SS»NA»FreeAcctITProFB-AnimatedMigration-Ch3»PRC26P</v></cell><cell r="D1138" t="str"><v>43290223934056</v></cell><cell r="E1138" t="str"><v>43290103176827PRC26P</v></cell><cell r="F1138" t="str"><v>DCM</v></cell></row><row r="1138"><cell r="K1138" t="str"><v>July</v></cell><cell r="L1138"><v>43295</v></cell><cell r="M1138" t="str"><v>Tier 0</v></cell><cell r="N1138" t="str"><v>North America</v></cell><cell r="O1138" t="str"><v>United States</v></cell><cell r="P1138" t="str"><v>Trial</v></cell><cell r="Q1138" t="str"><v>Social</v></cell><cell r="R1138" t="str"><v>Azure</v></cell><cell r="S1138" t="str"><v>Apps & Infra</v></cell><cell r="T1138" t="str"><v>Developers & ITI's</v></cell><cell r="U1138" t="str"><v>USA-Trial-ITD-Retargeting-AZR-AZR</v></cell><cell r="V1138" t="str"><v>Retargeting</v></cell><cell r="W1138" t="str"><v>Link Ad</v></cell><cell r="X1138" t="str"><v>1x1</v></cell></row><row r="1138"><cell r="AA1138"><v>43290</v></cell><cell r="AB1138" t="str"><v>USA_gaPMG_AZR_AZR_Q1_19_Direct-Social</v></cell><cell r="AC1138"><v>21358715</v></cell><cell r="AD1138"><v>720197</v></cell><cell r="AE1138" t="str"><v>Facebook</v></cell><cell r="AF1138"><v>3654128</v></cell><cell r="AG1138" t="str"><v>FACEBOOK»USA-Trial-ITD-Retargeting-AZR-AZR»1 x 1»SocialBan»LIA»ALL»CPA»RT»X»NA»SS»NA»FreeAcctITProFB-AnimatedMigration-Ch3»PRC26P</v></cell><cell r="AH1138"><v>223934056</v></cell><cell r="AI1138" t="str"><v>AZR_FreeAcctITProFB-AnimatedMigration-Ch3_USA_1200x1200_CAN_Direct_English_Trial_Standard_ANI_LEA_T3_1</v></cell><cell r="AJ1138"><v>103176827</v></cell></row><row r="1139"><cell r="C1139" t="str"><v>43290FACEBOOK»USA-Trial-ITD-Retargeting-AZR-AZR»1 x 1»SocialBan»LIA»ALL»CPA»RT»X»NA»SS»NA»FreeAcctRetargetingFB-Credit-ChA»PRC1RV</v></cell><cell r="D1139" t="str"><v>43290224106075</v></cell><cell r="E1139" t="str"><v>43290103034917PRC1RV</v></cell><cell r="F1139" t="str"><v>DCM</v></cell><cell r="G1139" t="str"><v>https://azure.microsoft.com/en-us/free/search/?OCID=AID%eexcid!_OLA_%ebuy!_%epid!_%ecid!</v></cell></row><row r="1139"><cell r="K1139" t="str"><v>July</v></cell><cell r="L1139"><v>43295</v></cell><cell r="M1139" t="str"><v>Tier 0</v></cell><cell r="N1139" t="str"><v>North America</v></cell><cell r="O1139" t="str"><v>United States</v></cell><cell r="P1139" t="str"><v>Trial</v></cell><cell r="Q1139" t="str"><v>Social</v></cell><cell r="R1139" t="str"><v>Azure</v></cell><cell r="S1139" t="str"><v>Apps & Infra</v></cell><cell r="T1139" t="str"><v>Developers & ITI's</v></cell><cell r="U1139" t="str"><v>USA-Trial-ITD-Retargeting-AZR-AZR</v></cell><cell r="V1139" t="str"><v>Retargeting</v></cell><cell r="W1139" t="str"><v>Link Ad</v></cell><cell r="X1139" t="str"><v>1x1</v></cell></row><row r="1139"><cell r="AA1139"><v>43290</v></cell><cell r="AB1139" t="str"><v>USA_gaPMG_AZR_AZR_Q1_19_Direct-Social</v></cell><cell r="AC1139"><v>21358715</v></cell><cell r="AD1139"><v>720197</v></cell><cell r="AE1139" t="str"><v>Facebook</v></cell><cell r="AF1139"><v>3654128</v></cell><cell r="AG1139" t="str"><v>FACEBOOK»USA-Trial-ITD-Retargeting-AZR-AZR»1 x 1»SocialBan»LIA»ALL»CPA»RT»X»NA»SS»NA»FreeAcctRetargetingFB-Credit-ChA»PRC1RV</v></cell><cell r="AH1139"><v>224106075</v></cell><cell r="AI1139" t="str"><v>AzurePlatform_FreeAcctRetargetingFB-Credit-ChA_USA_1200x628_CAN_PLATFORM_English_Free Account_Standard_NA_SINU_T1_2</v></cell><cell r="AJ1139"><v>103034917</v></cell></row><row r="1140"><cell r="C1140" t="str"><v>43290FACEBOOK»USA-Trial-ITD-Retargeting-AZR-AZR»1 x 1»SocialBan»LIA»ALL»CPA»RT»X»NA»SS»NA»FreeAcctRetargetingFB-GlobalAlt-ChB»PRC1RW</v></cell><cell r="D1140" t="str"><v>43290223862756</v></cell><cell r="E1140" t="str"><v>43290103180592PRC1RW</v></cell><cell r="F1140" t="str"><v>DCM</v></cell><cell r="G1140" t="str"><v>https://azure.microsoft.com/en-us/free/search/?OCID=AID%eexcid!_OLA_%ebuy!_%epid!_%ecid!</v></cell></row><row r="1140"><cell r="K1140" t="str"><v>July</v></cell><cell r="L1140"><v>43295</v></cell><cell r="M1140" t="str"><v>Tier 0</v></cell><cell r="N1140" t="str"><v>North America</v></cell><cell r="O1140" t="str"><v>United States</v></cell><cell r="P1140" t="str"><v>Trial</v></cell><cell r="Q1140" t="str"><v>Social</v></cell><cell r="R1140" t="str"><v>Azure</v></cell><cell r="S1140" t="str"><v>Apps & Infra</v></cell><cell r="T1140" t="str"><v>Developers & ITI's</v></cell><cell r="U1140" t="str"><v>USA-Trial-ITD-Retargeting-AZR-AZR</v></cell><cell r="V1140" t="str"><v>Retargeting</v></cell><cell r="W1140" t="str"><v>Link Ad</v></cell><cell r="X1140" t="str"><v>1x1</v></cell></row><row r="1140"><cell r="AA1140"><v>43290</v></cell><cell r="AB1140" t="str"><v>USA_gaPMG_AZR_AZR_Q1_19_Direct-Social</v></cell><cell r="AC1140"><v>21358715</v></cell><cell r="AD1140"><v>720197</v></cell><cell r="AE1140" t="str"><v>Facebook</v></cell><cell r="AF1140"><v>3654128</v></cell><cell r="AG1140" t="str"><v>FACEBOOK»USA-Trial-ITD-Retargeting-AZR-AZR»1 x 1»SocialBan»LIA»ALL»CPA»RT»X»NA»SS»NA»FreeAcctRetargetingFB-GlobalAlt-ChB»PRC1RW</v></cell><cell r="AH1140"><v>223862756</v></cell><cell r="AI1140" t="str"><v>AzurePlatform_FreeAcctRetargetingFB-GlobalAlt-ChB_USA_1200x628_CAN_PLATFORM_English_Free Account_Standard_NA_SINU_T2_1</v></cell><cell r="AJ1140"><v>103180592</v></cell></row><row r="1141"><cell r="C1141" t="str"><v>43290FACEBOOK»USA-Trial-ITD-Retargeting-AZR-AZR»1 x 1»SocialBan»LIA»ALL»CPA»RT»X»NA»SS»NA»FreeAcctRetargetingVMFB-750Hrs-ChD»PRC1RY</v></cell><cell r="D1141" t="str"><v>43290223862747</v></cell><cell r="E1141" t="str"><v>43290103034911PRC1RY</v></cell><cell r="F1141" t="str"><v>DCM</v></cell><cell r="G1141" t="str"><v>https://azure.microsoft.com/en-us/free/virtual-machines/search/?OCID=AID%eexcid!_OLA_%ebuy!_%epid!_%ecid!</v></cell></row><row r="1141"><cell r="K1141" t="str"><v>July</v></cell><cell r="L1141"><v>43295</v></cell><cell r="M1141" t="str"><v>Tier 0</v></cell><cell r="N1141" t="str"><v>North America</v></cell><cell r="O1141" t="str"><v>United States</v></cell><cell r="P1141" t="str"><v>Trial</v></cell><cell r="Q1141" t="str"><v>Social</v></cell><cell r="R1141" t="str"><v>Azure</v></cell><cell r="S1141" t="str"><v>Apps & Infra</v></cell><cell r="T1141" t="str"><v>Developers & ITI's</v></cell><cell r="U1141" t="str"><v>USA-Trial-ITD-Retargeting-AZR-AZR</v></cell><cell r="V1141" t="str"><v>Retargeting</v></cell><cell r="W1141" t="str"><v>Link Ad</v></cell><cell r="X1141" t="str"><v>1x1</v></cell></row><row r="1141"><cell r="AA1141"><v>43290</v></cell><cell r="AB1141" t="str"><v>USA_gaPMG_AZR_AZR_Q1_19_Direct-Social</v></cell><cell r="AC1141"><v>21358715</v></cell><cell r="AD1141"><v>720197</v></cell><cell r="AE1141" t="str"><v>Facebook</v></cell><cell r="AF1141"><v>3654128</v></cell><cell r="AG1141" t="str"><v>FACEBOOK»USA-Trial-ITD-Retargeting-AZR-AZR»1 x 1»SocialBan»LIA»ALL»CPA»RT»X»NA»SS»NA»FreeAcctRetargetingVMFB-750Hrs-ChD»PRC1RY</v></cell><cell r="AH1141"><v>223862747</v></cell><cell r="AI1141" t="str"><v>AzurePlatform_FreeAcctRetargetingVMFB-750Hrs-ChD_USA_1200x628_CAN_PLATFORM_English_Free Account_Standard_NA_SINU_T1_1</v></cell><cell r="AJ1141"><v>103034911</v></cell></row><row r="1142"><cell r="C1142" t="str"><v>43290FACEBOOK»USA-Trial-ITD-Retargeting-AZR-AZR»1 x 1»SocialBan»LIA»ALL»CPA»RT»X»NA»SS»NA»FreeAcctRetargetingVMFB-OnDemand-ChE»PRC1S0</v></cell><cell r="D1142" t="str"><v>43290224104899</v></cell><cell r="E1142" t="str"><v>43290103180610PRC1S0</v></cell><cell r="F1142" t="str"><v>DCM</v></cell><cell r="G1142" t="str"><v>https://azure.microsoft.com/en-us/free/virtual-machines/search/?OCID=AID%eexcid!_OLA_%ebuy!_%epid!_%ecid!</v></cell></row><row r="1142"><cell r="K1142" t="str"><v>July</v></cell><cell r="L1142"><v>43295</v></cell><cell r="M1142" t="str"><v>Tier 0</v></cell><cell r="N1142" t="str"><v>North America</v></cell><cell r="O1142" t="str"><v>United States</v></cell><cell r="P1142" t="str"><v>Trial</v></cell><cell r="Q1142" t="str"><v>Social</v></cell><cell r="R1142" t="str"><v>Azure</v></cell><cell r="S1142" t="str"><v>Apps & Infra</v></cell><cell r="T1142" t="str"><v>Developers & ITI's</v></cell><cell r="U1142" t="str"><v>USA-Trial-ITD-Retargeting-AZR-AZR</v></cell><cell r="V1142" t="str"><v>Retargeting</v></cell><cell r="W1142" t="str"><v>Link Ad</v></cell><cell r="X1142" t="str"><v>1x1</v></cell></row><row r="1142"><cell r="AA1142"><v>43290</v></cell><cell r="AB1142" t="str"><v>USA_gaPMG_AZR_AZR_Q1_19_Direct-Social</v></cell><cell r="AC1142"><v>21358715</v></cell><cell r="AD1142"><v>720197</v></cell><cell r="AE1142" t="str"><v>Facebook</v></cell><cell r="AF1142"><v>3654128</v></cell><cell r="AG1142" t="str"><v>FACEBOOK»USA-Trial-ITD-Retargeting-AZR-AZR»1 x 1»SocialBan»LIA»ALL»CPA»RT»X»NA»SS»NA»FreeAcctRetargetingVMFB-OnDemand-ChE»PRC1S0</v></cell><cell r="AH1142"><v>224104899</v></cell><cell r="AI1142" t="str"><v>AzurePlatform_FreeAcctRetargetingVMFB-OnDemand-ChE_USA_1200x628_CAN_PLATFORM_English_Free Account_Standard_NA_SINU_T2_1</v></cell><cell r="AJ1142"><v>103180610</v></cell></row><row r="1143"><cell r="C1143" t="str"><v>43290FACEBOOK»USA-Trial-ITD-Retargeting-AZR-AZR»1 x 1»SocialBan»CAN»ALL»CPA»RT»X»NA»SS»NA»FBCTCBenefit2inMotion»PRC1RR</v></cell><cell r="D1143" t="str"><v>43290224104896</v></cell><cell r="E1143" t="str"><v>43290103043835PRC1RR</v></cell><cell r="F1143" t="str"><v>DCM</v></cell><cell r="G1143" t="str"><v>https://signup.azure.com/?OCID=AID%eexcid!_OLA_%ebuy!_%epid!_%ecid!</v></cell></row><row r="1143"><cell r="K1143" t="str"><v>July</v></cell><cell r="L1143"><v>43295</v></cell><cell r="M1143" t="str"><v>Tier 0</v></cell><cell r="N1143" t="str"><v>North America</v></cell><cell r="O1143" t="str"><v>United States</v></cell><cell r="P1143" t="str"><v>Trial</v></cell><cell r="Q1143" t="str"><v>Social</v></cell><cell r="R1143" t="str"><v>Azure</v></cell><cell r="S1143" t="str"><v>Apps & Infra</v></cell><cell r="T1143" t="str"><v>Developers & ITI's</v></cell><cell r="U1143" t="str"><v>USA-Trial-ITD-Retargeting-AZR-AZR</v></cell><cell r="V1143" t="str"><v>Retargeting</v></cell><cell r="W1143" t="str"><v>Canvas Ad</v></cell><cell r="X1143" t="str"><v>1x1</v></cell></row><row r="1143"><cell r="AA1143"><v>43290</v></cell><cell r="AB1143" t="str"><v>USA_gaPMG_AZR_AZR_Q1_19_Direct-Social</v></cell><cell r="AC1143"><v>21358715</v></cell><cell r="AD1143"><v>720197</v></cell><cell r="AE1143" t="str"><v>Facebook</v></cell><cell r="AF1143"><v>3654128</v></cell><cell r="AG1143" t="str"><v>FACEBOOK»USA-Trial-ITD-Retargeting-AZR-AZR»1 x 1»SocialBan»CAN»ALL»CPA»RT»X»NA»SS»NA»FBCTCBenefit2inMotion»PRC1RR</v></cell><cell r="AH1143"><v>224104896</v></cell><cell r="AI1143" t="str"><v>AzurePlatform_FBCTCBenefit2inMotion_USA_10s_CAN_PLATFORM_English_Trial_Standard_STAN_TIN_T4_1</v></cell><cell r="AJ1143"><v>103043835</v></cell></row><row r="1144"><cell r="C1144" t="str"><v>43290FACEBOOK»USA-Trial-ITD-Retargeting-AZR-AZR»1 x 1»SocialBan»CAN»ALL»CPA»RT»X»NA»SS»NA»FBCTCBrandinMotion»PRC1RT</v></cell><cell r="D1144" t="str"><v>43290224106069</v></cell><cell r="E1144" t="str"><v>43290103176812PRC1RT</v></cell><cell r="F1144" t="str"><v>DCM</v></cell><cell r="G1144" t="str"><v>https://signup.azure.com/?OCID=AID%eexcid!_OLA_%ebuy!_%epid!_%ecid!</v></cell></row><row r="1144"><cell r="K1144" t="str"><v>July</v></cell><cell r="L1144"><v>43295</v></cell><cell r="M1144" t="str"><v>Tier 0</v></cell><cell r="N1144" t="str"><v>North America</v></cell><cell r="O1144" t="str"><v>United States</v></cell><cell r="P1144" t="str"><v>Trial</v></cell><cell r="Q1144" t="str"><v>Social</v></cell><cell r="R1144" t="str"><v>Azure</v></cell><cell r="S1144" t="str"><v>Apps & Infra</v></cell><cell r="T1144" t="str"><v>Developers & ITI's</v></cell><cell r="U1144" t="str"><v>USA-Trial-ITD-Retargeting-AZR-AZR</v></cell><cell r="V1144" t="str"><v>Retargeting</v></cell><cell r="W1144" t="str"><v>Canvas Ad</v></cell><cell r="X1144" t="str"><v>1x1</v></cell></row><row r="1144"><cell r="AA1144"><v>43290</v></cell><cell r="AB1144" t="str"><v>USA_gaPMG_AZR_AZR_Q1_19_Direct-Social</v></cell><cell r="AC1144"><v>21358715</v></cell><cell r="AD1144"><v>720197</v></cell><cell r="AE1144" t="str"><v>Facebook</v></cell><cell r="AF1144"><v>3654128</v></cell><cell r="AG1144" t="str"><v>FACEBOOK»USA-Trial-ITD-Retargeting-AZR-AZR»1 x 1»SocialBan»CAN»ALL»CPA»RT»X»NA»SS»NA»FBCTCBrandinMotion»PRC1RT</v></cell><cell r="AH1144"><v>224106069</v></cell><cell r="AI1144" t="str"><v>AzurePlatform_FBCTCBrandinMotion_USA_10s_CAN_PLATFORM_English_Trial_Standard_STAN_TIN_T2_1</v></cell><cell r="AJ1144"><v>103176812</v></cell></row><row r="1145"><cell r="C1145" t="str"><v>43290FACEBOOK»USA-Trial-ITD-Trial Lookalike-AZR-AZR»1 x 1»SocialBan»CAN»ALL»CPA»LAL»X»NA»SS»NA»FBCTCBenefit2inMotion»PRC1M0</v></cell><cell r="D1145" t="str"><v>43290223862927</v></cell><cell r="E1145" t="str"><v>43290103043835PRC1M0</v></cell><cell r="F1145" t="str"><v>DCM</v></cell><cell r="G1145" t="str"><v>https://signup.azure.com/?OCID=AID%eexcid!_OLA_%ebuy!_%epid!_%ecid!</v></cell></row><row r="1145"><cell r="K1145" t="str"><v>July</v></cell><cell r="L1145"><v>43295</v></cell><cell r="M1145" t="str"><v>Tier 0</v></cell><cell r="N1145" t="str"><v>North America</v></cell><cell r="O1145" t="str"><v>United States</v></cell><cell r="P1145" t="str"><v>Trial</v></cell><cell r="Q1145" t="str"><v>Social</v></cell><cell r="R1145" t="str"><v>Azure</v></cell><cell r="S1145" t="str"><v>Apps & Infra</v></cell><cell r="T1145" t="str"><v>Developers & ITI's</v></cell><cell r="U1145" t="str"><v>USA-Trial-ITD-Trial Lookalike-AZR-AZR</v></cell><cell r="V1145" t="str"><v>Lookalike Targeting</v></cell><cell r="W1145" t="str"><v>Canvas Ad</v></cell><cell r="X1145" t="str"><v>1x1</v></cell></row><row r="1145"><cell r="AA1145"><v>43290</v></cell><cell r="AB1145" t="str"><v>USA_gaPMG_AZR_AZR_Q1_19_Direct-Social</v></cell><cell r="AC1145"><v>21358715</v></cell><cell r="AD1145"><v>720197</v></cell><cell r="AE1145" t="str"><v>Facebook</v></cell><cell r="AF1145"><v>3654128</v></cell><cell r="AG1145" t="str"><v>FACEBOOK»USA-Trial-ITD-Trial Lookalike-AZR-AZR»1 x 1»SocialBan»CAN»ALL»CPA»LAL»X»NA»SS»NA»FBCTCBenefit2inMotion»PRC1M0</v></cell><cell r="AH1145"><v>223862927</v></cell><cell r="AI1145" t="str"><v>AzurePlatform_FBCTCBenefit2inMotion_USA_10s_CAN_PLATFORM_English_Trial_Standard_STAN_TIN_T4_1</v></cell><cell r="AJ1145"><v>103043835</v></cell></row><row r="1146"><cell r="C1146" t="str"><v>43290FACEBOOK»USA-Trial-ITD-Trial Lookalike-AZR-AZR»1 x 1»SocialBan»CAN»ALL»CPA»LAL»X»NA»SS»NA»FBCTCBenefit2inMotion»PRC1M0</v></cell><cell r="D1146" t="str"><v>43290223862927</v></cell><cell r="E1146" t="str"><v>43290103178645PRC1M0</v></cell><cell r="F1146" t="str"><v>DCM</v></cell><cell r="G1146" t="str"><v>https://azure.microsoft.com/en-us/pricing/purchase-options/?v=18.19&OCID=AID%eexcid!_OLA_%ebuy!_%epid!_%ecid!</v></cell></row><row r="1146"><cell r="K1146" t="str"><v>July</v></cell><cell r="L1146"><v>43295</v></cell><cell r="M1146" t="str"><v>Tier 0</v></cell><cell r="N1146" t="str"><v>North America</v></cell><cell r="O1146" t="str"><v>United States</v></cell><cell r="P1146" t="str"><v>Trial</v></cell><cell r="Q1146" t="str"><v>Social</v></cell><cell r="R1146" t="str"><v>Azure</v></cell><cell r="S1146" t="str"><v>Apps & Infra</v></cell><cell r="T1146" t="str"><v>Developers & ITI's</v></cell><cell r="U1146" t="str"><v>USA-Trial-ITD-Trial Lookalike-AZR-AZR</v></cell><cell r="V1146" t="str"><v>Lookalike Targeting</v></cell><cell r="W1146" t="str"><v>Canvas Ad</v></cell><cell r="X1146" t="str"><v>1x1</v></cell></row><row r="1146"><cell r="AA1146"><v>43290</v></cell><cell r="AB1146" t="str"><v>USA_gaPMG_AZR_AZR_Q1_19_Direct-Social</v></cell><cell r="AC1146"><v>21358715</v></cell><cell r="AD1146"><v>720197</v></cell><cell r="AE1146" t="str"><v>Facebook</v></cell><cell r="AF1146"><v>3654128</v></cell><cell r="AG1146" t="str"><v>FACEBOOK»USA-Trial-ITD-Trial Lookalike-AZR-AZR»1 x 1»SocialBan»CAN»ALL»CPA»LAL»X»NA»SS»NA»FBCTCBenefit2inMotion»PRC1M0</v></cell><cell r="AH1146"><v>223862927</v></cell><cell r="AI1146" t="str"><v>AzurePlatform_FBCTCBenefit2inMotion_USA_10s_CAN_PLATFORM_English_Trial_Standard_STAN_TIN_T4_2</v></cell><cell r="AJ1146"><v>103178645</v></cell></row><row r="1147"><cell r="C1147" t="str"><v>43290FACEBOOK»USA-Trial-ITD-Trial Lookalike-AZR-AZR»1 x 1»SocialBan»LIA»ALL»CPA»LAL»X»NA»SS»NA»FreeAcctDeveloperFB-AnimatedAI-Ch3»PRC1M7</v></cell><cell r="D1147" t="str"><v>43290223934104</v></cell><cell r="E1147" t="str"><v>43290103032778PRC1M7</v></cell><cell r="F1147" t="str"><v>DCM</v></cell></row><row r="1147"><cell r="K1147" t="str"><v>July</v></cell><cell r="L1147"><v>43295</v></cell><cell r="M1147" t="str"><v>Tier 0</v></cell><cell r="N1147" t="str"><v>North America</v></cell><cell r="O1147" t="str"><v>United States</v></cell><cell r="P1147" t="str"><v>Trial</v></cell><cell r="Q1147" t="str"><v>Social</v></cell><cell r="R1147" t="str"><v>Azure</v></cell><cell r="S1147" t="str"><v>Apps & Infra</v></cell><cell r="T1147" t="str"><v>Developers & ITI's</v></cell><cell r="U1147" t="str"><v>USA-Trial-ITD-Trial Lookalike-AZR-AZR</v></cell><cell r="V1147" t="str"><v>Lookalike Targeting</v></cell><cell r="W1147" t="str"><v>Link Ad</v></cell><cell r="X1147" t="str"><v>1x1</v></cell></row><row r="1147"><cell r="AA1147"><v>43290</v></cell><cell r="AB1147" t="str"><v>USA_gaPMG_AZR_AZR_Q1_19_Direct-Social</v></cell><cell r="AC1147"><v>21358715</v></cell><cell r="AD1147"><v>720197</v></cell><cell r="AE1147" t="str"><v>Facebook</v></cell><cell r="AF1147"><v>3654128</v></cell><cell r="AG1147" t="str"><v>FACEBOOK»USA-Trial-ITD-Trial Lookalike-AZR-AZR»1 x 1»SocialBan»LIA»ALL»CPA»LAL»X»NA»SS»NA»FreeAcctDeveloperFB-AnimatedAI-Ch3»PRC1M7</v></cell><cell r="AH1147"><v>223934104</v></cell><cell r="AI1147" t="str"><v>AZR_FreeAcctDeveloperFB-AnimatedAI-Ch3_USA_1200x1200_CAN_Direct_English_Trial_Standard_ANI_LEA_T3_1</v></cell><cell r="AJ1147"><v>103032778</v></cell></row><row r="1148"><cell r="C1148" t="str"><v>43290FACEBOOK»USA-Trial-ITD-Trial Lookalike-AZR-AZR»1 x 1»SocialBan»LIA»ALL»CPA»LAL»X»NA»SS»NA»FreeAcctDeveloperFB-AnimatedData-Ch4»PRC1M8</v></cell><cell r="D1148" t="str"><v>43290223862933</v></cell><cell r="E1148" t="str"><v>43290103037935PRC1M8</v></cell><cell r="F1148" t="str"><v>DCM</v></cell></row><row r="1148"><cell r="K1148" t="str"><v>July</v></cell><cell r="L1148"><v>43295</v></cell><cell r="M1148" t="str"><v>Tier 0</v></cell><cell r="N1148" t="str"><v>North America</v></cell><cell r="O1148" t="str"><v>United States</v></cell><cell r="P1148" t="str"><v>Trial</v></cell><cell r="Q1148" t="str"><v>Social</v></cell><cell r="R1148" t="str"><v>Azure</v></cell><cell r="S1148" t="str"><v>Apps & Infra</v></cell><cell r="T1148" t="str"><v>Developers & ITI's</v></cell><cell r="U1148" t="str"><v>USA-Trial-ITD-Trial Lookalike-AZR-AZR</v></cell><cell r="V1148" t="str"><v>Lookalike Targeting</v></cell><cell r="W1148" t="str"><v>Link Ad</v></cell><cell r="X1148" t="str"><v>1x1</v></cell></row><row r="1148"><cell r="AA1148"><v>43290</v></cell><cell r="AB1148" t="str"><v>USA_gaPMG_AZR_AZR_Q1_19_Direct-Social</v></cell><cell r="AC1148"><v>21358715</v></cell><cell r="AD1148"><v>720197</v></cell><cell r="AE1148" t="str"><v>Facebook</v></cell><cell r="AF1148"><v>3654128</v></cell><cell r="AG1148" t="str"><v>FACEBOOK»USA-Trial-ITD-Trial Lookalike-AZR-AZR»1 x 1»SocialBan»LIA»ALL»CPA»LAL»X»NA»SS»NA»FreeAcctDeveloperFB-AnimatedData-Ch4»PRC1M8</v></cell><cell r="AH1148"><v>223862933</v></cell><cell r="AI1148" t="str"><v>AZR_FreeAcctDeveloperFB-AnimatedData-Ch4_USA_1200x1200_CAN_Direct_English_Trial_Standard_ANI_LEA_T4_2</v></cell><cell r="AJ1148"><v>103037935</v></cell></row><row r="1149"><cell r="C1149" t="str"><v>43290FACEBOOK»USA-Trial-ITD-Trial Lookalike-AZR-AZR»1 x 1»SocialBan»LIA»ALL»CPA»LAL»X»NA»SS»NA»FreeAcctITProFB-AnimatedHybrid-Ch2»PRC1MC</v></cell><cell r="D1149" t="str"><v>43290224104956</v></cell><cell r="E1149" t="str"><v>43290103180583PRC1MC</v></cell><cell r="F1149" t="str"><v>DCM</v></cell></row><row r="1149"><cell r="K1149" t="str"><v>July</v></cell><cell r="L1149"><v>43295</v></cell><cell r="M1149" t="str"><v>Tier 0</v></cell><cell r="N1149" t="str"><v>North America</v></cell><cell r="O1149" t="str"><v>United States</v></cell><cell r="P1149" t="str"><v>Trial</v></cell><cell r="Q1149" t="str"><v>Social</v></cell><cell r="R1149" t="str"><v>Azure</v></cell><cell r="S1149" t="str"><v>Apps & Infra</v></cell><cell r="T1149" t="str"><v>Developers & ITI's</v></cell><cell r="U1149" t="str"><v>USA-Trial-ITD-Trial Lookalike-AZR-AZR</v></cell><cell r="V1149" t="str"><v>Lookalike Targeting</v></cell><cell r="W1149" t="str"><v>Link Ad</v></cell><cell r="X1149" t="str"><v>1x1</v></cell></row><row r="1149"><cell r="AA1149"><v>43290</v></cell><cell r="AB1149" t="str"><v>USA_gaPMG_AZR_AZR_Q1_19_Direct-Social</v></cell><cell r="AC1149"><v>21358715</v></cell><cell r="AD1149"><v>720197</v></cell><cell r="AE1149" t="str"><v>Facebook</v></cell><cell r="AF1149"><v>3654128</v></cell><cell r="AG1149" t="str"><v>FACEBOOK»USA-Trial-ITD-Trial Lookalike-AZR-AZR»1 x 1»SocialBan»LIA»ALL»CPA»LAL»X»NA»SS»NA»FreeAcctITProFB-AnimatedHybrid-Ch2»PRC1MC</v></cell><cell r="AH1149"><v>224104956</v></cell><cell r="AI1149" t="str"><v>AZR_FreeAcctITProFB-AnimatedHybrid-Ch2_USA_1200x1200_CAN_Direct_English_Trial_Standard_ANI_LEA_T2_2</v></cell><cell r="AJ1149"><v>103180583</v></cell></row><row r="1150"><cell r="C1150" t="str"><v>43290FACEBOOK»USA-Trial-ITD-Trial Lookalike-AZR-AZR»1 x 1»SocialBan»CAN»ALL»CPA»LAL»X»NA»SS»NA»FBCTCBrandinMotion»PRC1M3</v></cell><cell r="D1150" t="str"><v>43290223862900</v></cell><cell r="E1150" t="str"><v>43290103176812PRC1M3</v></cell><cell r="F1150" t="str"><v>DCM</v></cell><cell r="G1150" t="str"><v>https://signup.azure.com/?OCID=AID%eexcid!_OLA_%ebuy!_%epid!_%ecid!</v></cell></row><row r="1150"><cell r="K1150" t="str"><v>July</v></cell><cell r="L1150"><v>43295</v></cell><cell r="M1150" t="str"><v>Tier 0</v></cell><cell r="N1150" t="str"><v>North America</v></cell><cell r="O1150" t="str"><v>United States</v></cell><cell r="P1150" t="str"><v>Trial</v></cell><cell r="Q1150" t="str"><v>Social</v></cell><cell r="R1150" t="str"><v>Azure</v></cell><cell r="S1150" t="str"><v>Apps & Infra</v></cell><cell r="T1150" t="str"><v>Developers & ITI's</v></cell><cell r="U1150" t="str"><v>USA-Trial-ITD-Trial Lookalike-AZR-AZR</v></cell><cell r="V1150" t="str"><v>Lookalike Targeting</v></cell><cell r="W1150" t="str"><v>Canvas Ad</v></cell><cell r="X1150" t="str"><v>1x1</v></cell></row><row r="1150"><cell r="AA1150"><v>43290</v></cell><cell r="AB1150" t="str"><v>USA_gaPMG_AZR_AZR_Q1_19_Direct-Social</v></cell><cell r="AC1150"><v>21358715</v></cell><cell r="AD1150"><v>720197</v></cell><cell r="AE1150" t="str"><v>Facebook</v></cell><cell r="AF1150"><v>3654128</v></cell><cell r="AG1150" t="str"><v>FACEBOOK»USA-Trial-ITD-Trial Lookalike-AZR-AZR»1 x 1»SocialBan»CAN»ALL»CPA»LAL»X»NA»SS»NA»FBCTCBrandinMotion»PRC1M3</v></cell><cell r="AH1150"><v>223862900</v></cell><cell r="AI1150" t="str"><v>AzurePlatform_FBCTCBrandinMotion_USA_10s_CAN_PLATFORM_English_Trial_Standard_STAN_TIN_T2_1</v></cell><cell r="AJ1150"><v>103176812</v></cell></row><row r="1151"><cell r="C1151" t="str"><v>43290FACEBOOK»USA-Trial-ITD-Trial Lookalike-AZR-AZR»1 x 1»SocialBan»CAN»ALL»CPA»LAL»X»NA»SS»NA»FBCTCBrandinMotion»PRC1M3</v></cell><cell r="D1151" t="str"><v>43290223862900</v></cell><cell r="E1151" t="str"><v>43290103032823PRC1M3</v></cell><cell r="F1151" t="str"><v>DCM</v></cell><cell r="G1151" t="str"><v>https://azure.microsoft.com/en-us/pricing/purchase-options/?v=18.19&OCID=AID%eexcid!_OLA_%ebuy!_%epid!_%ecid!</v></cell></row><row r="1151"><cell r="K1151" t="str"><v>July</v></cell><cell r="L1151"><v>43295</v></cell><cell r="M1151" t="str"><v>Tier 0</v></cell><cell r="N1151" t="str"><v>North America</v></cell><cell r="O1151" t="str"><v>United States</v></cell><cell r="P1151" t="str"><v>Trial</v></cell><cell r="Q1151" t="str"><v>Social</v></cell><cell r="R1151" t="str"><v>Azure</v></cell><cell r="S1151" t="str"><v>Apps & Infra</v></cell><cell r="T1151" t="str"><v>Developers & ITI's</v></cell><cell r="U1151" t="str"><v>USA-Trial-ITD-Trial Lookalike-AZR-AZR</v></cell><cell r="V1151" t="str"><v>Lookalike Targeting</v></cell><cell r="W1151" t="str"><v>Canvas Ad</v></cell><cell r="X1151" t="str"><v>1x1</v></cell></row><row r="1151"><cell r="AA1151"><v>43290</v></cell><cell r="AB1151" t="str"><v>USA_gaPMG_AZR_AZR_Q1_19_Direct-Social</v></cell><cell r="AC1151"><v>21358715</v></cell><cell r="AD1151"><v>720197</v></cell><cell r="AE1151" t="str"><v>Facebook</v></cell><cell r="AF1151"><v>3654128</v></cell><cell r="AG1151" t="str"><v>FACEBOOK»USA-Trial-ITD-Trial Lookalike-AZR-AZR»1 x 1»SocialBan»CAN»ALL»CPA»LAL»X»NA»SS»NA»FBCTCBrandinMotion»PRC1M3</v></cell><cell r="AH1151"><v>223862900</v></cell><cell r="AI1151" t="str"><v>AzurePlatform_FBCTCBrandinMotion_USA_10s_CAN_PLATFORM_English_Trial_Standard_STAN_TIN_T2_2</v></cell><cell r="AJ1151"><v>103032823</v></cell></row><row r="1152"><cell r="C1152" t="str"><v>43290FACEBOOK»USA-Trial-ITD-Trial PayGo Lookalike-AZR-AZR»1 x 1»SocialBan»CAN»ALL»CPA»LAL»X»NA»SS»NA»FBCTCBenefit2inMotion»PRC1Q1</v></cell><cell r="D1152" t="str"><v>43290224104986</v></cell><cell r="E1152" t="str"><v>43290103043835PRC1Q1</v></cell><cell r="F1152" t="str"><v>DCM</v></cell><cell r="G1152" t="str"><v>https://signup.azure.com/?OCID=AID%eexcid!_OLA_%ebuy!_%epid!_%ecid!</v></cell></row><row r="1152"><cell r="K1152" t="str"><v>July</v></cell><cell r="L1152"><v>43295</v></cell><cell r="M1152" t="str"><v>Tier 0</v></cell><cell r="N1152" t="str"><v>North America</v></cell><cell r="O1152" t="str"><v>United States</v></cell><cell r="P1152" t="str"><v>Trial</v></cell><cell r="Q1152" t="str"><v>Social</v></cell><cell r="R1152" t="str"><v>Azure</v></cell><cell r="S1152" t="str"><v>Apps & Infra</v></cell><cell r="T1152" t="str"><v>Developers & ITI's</v></cell><cell r="U1152" t="str"><v>USA-Trial-ITD-Trial PayGo Lookalike-AZR-AZR</v></cell><cell r="V1152" t="str"><v>Lookalike Targeting</v></cell><cell r="W1152" t="str"><v>Canvas Ad</v></cell><cell r="X1152" t="str"><v>1x1</v></cell></row><row r="1152"><cell r="AA1152"><v>43290</v></cell><cell r="AB1152" t="str"><v>USA_gaPMG_AZR_AZR_Q1_19_Direct-Social</v></cell><cell r="AC1152"><v>21358715</v></cell><cell r="AD1152"><v>720197</v></cell><cell r="AE1152" t="str"><v>Facebook</v></cell><cell r="AF1152"><v>3654128</v></cell><cell r="AG1152" t="str"><v>FACEBOOK»USA-Trial-ITD-Trial PayGo Lookalike-AZR-AZR»1 x 1»SocialBan»CAN»ALL»CPA»LAL»X»NA»SS»NA»FBCTCBenefit2inMotion»PRC1Q1</v></cell><cell r="AH1152"><v>224104986</v></cell><cell r="AI1152" t="str"><v>AzurePlatform_FBCTCBenefit2inMotion_USA_10s_CAN_PLATFORM_English_Trial_Standard_STAN_TIN_T4_1</v></cell><cell r="AJ1152"><v>103043835</v></cell></row><row r="1153"><cell r="C1153" t="str"><v>43290FACEBOOK»USA-Trial-ITD-Trial PayGo Lookalike-AZR-AZR»1 x 1»SocialBan»CAN»ALL»CPA»LAL»X»NA»SS»NA»FBCTCBrandinMotion»PRC1Q3</v></cell><cell r="D1153" t="str"><v>43290223935349</v></cell><cell r="E1153" t="str"><v>43290103176812PRC1Q3</v></cell><cell r="F1153" t="str"><v>DCM</v></cell><cell r="G1153" t="str"><v>https://signup.azure.com/?OCID=AID%eexcid!_OLA_%ebuy!_%epid!_%ecid!</v></cell></row><row r="1153"><cell r="K1153" t="str"><v>July</v></cell><cell r="L1153"><v>43295</v></cell><cell r="M1153" t="str"><v>Tier 0</v></cell><cell r="N1153" t="str"><v>North America</v></cell><cell r="O1153" t="str"><v>United States</v></cell><cell r="P1153" t="str"><v>Trial</v></cell><cell r="Q1153" t="str"><v>Social</v></cell><cell r="R1153" t="str"><v>Azure</v></cell><cell r="S1153" t="str"><v>Apps & Infra</v></cell><cell r="T1153" t="str"><v>Developers & ITI's</v></cell><cell r="U1153" t="str"><v>USA-Trial-ITD-Trial PayGo Lookalike-AZR-AZR</v></cell><cell r="V1153" t="str"><v>Lookalike Targeting</v></cell><cell r="W1153" t="str"><v>Canvas Ad</v></cell><cell r="X1153" t="str"><v>1x1</v></cell></row><row r="1153"><cell r="AA1153"><v>43290</v></cell><cell r="AB1153" t="str"><v>USA_gaPMG_AZR_AZR_Q1_19_Direct-Social</v></cell><cell r="AC1153"><v>21358715</v></cell><cell r="AD1153"><v>720197</v></cell><cell r="AE1153" t="str"><v>Facebook</v></cell><cell r="AF1153"><v>3654128</v></cell><cell r="AG1153" t="str"><v>FACEBOOK»USA-Trial-ITD-Trial PayGo Lookalike-AZR-AZR»1 x 1»SocialBan»CAN»ALL»CPA»LAL»X»NA»SS»NA»FBCTCBrandinMotion»PRC1Q3</v></cell><cell r="AH1153"><v>223935349</v></cell><cell r="AI1153" t="str"><v>AzurePlatform_FBCTCBrandinMotion_USA_10s_CAN_PLATFORM_English_Trial_Standard_STAN_TIN_T2_1</v></cell><cell r="AJ1153"><v>103176812</v></cell></row><row r="1154"><cell r="C1154" t="str"><v>43290FACEBOOK»USA-Trial-ITD-Trial PayGo Lookalike-AZR-AZR»1 x 1»SocialBan»CAN»ALL»CPA»LAL»X»NA»SS»NA»FBCTCBrandinMotion»PRC1Q3</v></cell><cell r="D1154" t="str"><v>43290223935349</v></cell><cell r="E1154" t="str"><v>43290103032823PRC1Q3</v></cell><cell r="F1154" t="str"><v>DCM</v></cell><cell r="G1154" t="str"><v>https://azure.microsoft.com/en-us/pricing/purchase-options/?v=18.19&OCID=AID%eexcid!_OLA_%ebuy!_%epid!_%ecid!</v></cell></row><row r="1154"><cell r="K1154" t="str"><v>July</v></cell><cell r="L1154"><v>43295</v></cell><cell r="M1154" t="str"><v>Tier 0</v></cell><cell r="N1154" t="str"><v>North America</v></cell><cell r="O1154" t="str"><v>United States</v></cell><cell r="P1154" t="str"><v>Trial</v></cell><cell r="Q1154" t="str"><v>Social</v></cell><cell r="R1154" t="str"><v>Azure</v></cell><cell r="S1154" t="str"><v>Apps & Infra</v></cell><cell r="T1154" t="str"><v>Developers & ITI's</v></cell><cell r="U1154" t="str"><v>USA-Trial-ITD-Trial PayGo Lookalike-AZR-AZR</v></cell><cell r="V1154" t="str"><v>Lookalike Targeting</v></cell><cell r="W1154" t="str"><v>Canvas Ad</v></cell><cell r="X1154" t="str"><v>1x1</v></cell></row><row r="1154"><cell r="AA1154"><v>43290</v></cell><cell r="AB1154" t="str"><v>USA_gaPMG_AZR_AZR_Q1_19_Direct-Social</v></cell><cell r="AC1154"><v>21358715</v></cell><cell r="AD1154"><v>720197</v></cell><cell r="AE1154" t="str"><v>Facebook</v></cell><cell r="AF1154"><v>3654128</v></cell><cell r="AG1154" t="str"><v>FACEBOOK»USA-Trial-ITD-Trial PayGo Lookalike-AZR-AZR»1 x 1»SocialBan»CAN»ALL»CPA»LAL»X»NA»SS»NA»FBCTCBrandinMotion»PRC1Q3</v></cell><cell r="AH1154"><v>223935349</v></cell><cell r="AI1154" t="str"><v>AzurePlatform_FBCTCBrandinMotion_USA_10s_CAN_PLATFORM_English_Trial_Standard_STAN_TIN_T2_2</v></cell><cell r="AJ1154"><v>103032823</v></cell></row><row r="1155"><cell r="C1155" t="str"><v>43290FACEBOOK»USA-Trial-ITD-Trial PayGo Lookalike-AZR-AZR»1 x 1»SocialBan»LIA»ALL»CPA»LAL»X»NA»SS»NA»FreeAcctDeveloperFB-AnimatedGeneric-Ch1»PRC1Q6</v></cell><cell r="D1155" t="str"><v>43290224106129</v></cell><cell r="E1155" t="str"><v>43290103176851PRC1Q6</v></cell><cell r="F1155" t="str"><v>DCM</v></cell><cell r="G1155" t="str"><v>https://azure.microsoft.com/en-us/free/search/?OCID=AID%eexcid!_OLA_%ebuy!_%epid!_%ecid!</v></cell></row><row r="1155"><cell r="K1155" t="str"><v>July</v></cell><cell r="L1155"><v>43295</v></cell><cell r="M1155" t="str"><v>Tier 0</v></cell><cell r="N1155" t="str"><v>North America</v></cell><cell r="O1155" t="str"><v>United States</v></cell><cell r="P1155" t="str"><v>Trial</v></cell><cell r="Q1155" t="str"><v>Social</v></cell><cell r="R1155" t="str"><v>Azure</v></cell><cell r="S1155" t="str"><v>Apps & Infra</v></cell><cell r="T1155" t="str"><v>Developers & ITI's</v></cell><cell r="U1155" t="str"><v>USA-Trial-ITD-Trial PayGo Lookalike-AZR-AZR</v></cell><cell r="V1155" t="str"><v>Lookalike Targeting</v></cell><cell r="W1155" t="str"><v>Link Ad</v></cell><cell r="X1155" t="str"><v>1x1</v></cell></row><row r="1155"><cell r="AA1155"><v>43290</v></cell><cell r="AB1155" t="str"><v>USA_gaPMG_AZR_AZR_Q1_19_Direct-Social</v></cell><cell r="AC1155"><v>21358715</v></cell><cell r="AD1155"><v>720197</v></cell><cell r="AE1155" t="str"><v>Facebook</v></cell><cell r="AF1155"><v>3654128</v></cell><cell r="AG1155" t="str"><v>FACEBOOK»USA-Trial-ITD-Trial PayGo Lookalike-AZR-AZR»1 x 1»SocialBan»LIA»ALL»CPA»LAL»X»NA»SS»NA»FreeAcctDeveloperFB-AnimatedGeneric-Ch1»PRC1Q6</v></cell><cell r="AH1155"><v>224106129</v></cell><cell r="AI1155" t="str"><v>AZR_FreeAcctDeveloperFB-AnimatedGeneric-Ch1_USA_1200x1200_CAN_Direct_English_Trial_Standard_ANI_LEA_T1_2</v></cell><cell r="AJ1155"><v>103176851</v></cell></row><row r="1156"><cell r="C1156" t="str"><v>43290FACEBOOK»USA-Trial-ITD-Interest Prospecting-AZR-AZR»1 x 1»SocialBan»LIA»ALL»CPA»PRO»X»NA»SS»NA»FreeAcctDeveloperFB-AnimatedAI-Ch3»PRC1T2</v></cell><cell r="D1156" t="str"><v>43290223862765</v></cell><cell r="E1156" t="str"><v>43290103032778PRC1T2</v></cell><cell r="F1156" t="str"><v>DCM</v></cell></row><row r="1156"><cell r="K1156" t="str"><v>July</v></cell><cell r="L1156"><v>43295</v></cell><cell r="M1156" t="str"><v>Tier 0</v></cell><cell r="N1156" t="str"><v>North America</v></cell><cell r="O1156" t="str"><v>United States</v></cell><cell r="P1156" t="str"><v>Trial</v></cell><cell r="Q1156" t="str"><v>Social</v></cell><cell r="R1156" t="str"><v>Azure</v></cell><cell r="S1156" t="str"><v>Apps & Infra</v></cell><cell r="T1156" t="str"><v>Developers & ITI's</v></cell><cell r="U1156" t="str"><v>USA-Trial-ITD-Interest Prospecting-AZR-AZR</v></cell><cell r="V1156" t="str"><v>Prospecting</v></cell><cell r="W1156" t="str"><v>Link Ad</v></cell><cell r="X1156" t="str"><v>1x1</v></cell></row><row r="1156"><cell r="AA1156"><v>43290</v></cell><cell r="AB1156" t="str"><v>USA_gaPMG_AZR_AZR_Q1_19_Direct-Social</v></cell><cell r="AC1156"><v>21358715</v></cell><cell r="AD1156"><v>720197</v></cell><cell r="AE1156" t="str"><v>Facebook</v></cell><cell r="AF1156"><v>3654128</v></cell><cell r="AG1156" t="str"><v>FACEBOOK»USA-Trial-ITD-Interest Prospecting-AZR-AZR»1 x 1»SocialBan»LIA»ALL»CPA»PRO»X»NA»SS»NA»FreeAcctDeveloperFB-AnimatedAI-Ch3»PRC1T2</v></cell><cell r="AH1156"><v>223862765</v></cell><cell r="AI1156" t="str"><v>AZR_FreeAcctDeveloperFB-AnimatedAI-Ch3_USA_1200x1200_CAN_Direct_English_Trial_Standard_ANI_LEA_T3_1</v></cell><cell r="AJ1156"><v>103032778</v></cell></row><row r="1157"><cell r="C1157" t="str"><v>43290FACEBOOK»USA-Trial-ITD-Interest Prospecting-AZR-AZR»1 x 1»SocialBan»LIA»ALL»CPA»PRO»X»NA»SS»NA»FreeAcctDeveloperFB-AnimatedData-Ch4»PRC1T3</v></cell><cell r="D1157" t="str"><v>43290223863380</v></cell><cell r="E1157" t="str"><v>43290103037935PRC1T3</v></cell><cell r="F1157" t="str"><v>DCM</v></cell></row><row r="1157"><cell r="K1157" t="str"><v>July</v></cell><cell r="L1157"><v>43295</v></cell><cell r="M1157" t="str"><v>Tier 0</v></cell><cell r="N1157" t="str"><v>North America</v></cell><cell r="O1157" t="str"><v>United States</v></cell><cell r="P1157" t="str"><v>Trial</v></cell><cell r="Q1157" t="str"><v>Social</v></cell><cell r="R1157" t="str"><v>Azure</v></cell><cell r="S1157" t="str"><v>Apps & Infra</v></cell><cell r="T1157" t="str"><v>Developers & ITI's</v></cell><cell r="U1157" t="str"><v>USA-Trial-ITD-Interest Prospecting-AZR-AZR</v></cell><cell r="V1157" t="str"><v>Prospecting</v></cell><cell r="W1157" t="str"><v>Link Ad</v></cell><cell r="X1157" t="str"><v>1x1</v></cell></row><row r="1157"><cell r="AA1157"><v>43290</v></cell><cell r="AB1157" t="str"><v>USA_gaPMG_AZR_AZR_Q1_19_Direct-Social</v></cell><cell r="AC1157"><v>21358715</v></cell><cell r="AD1157"><v>720197</v></cell><cell r="AE1157" t="str"><v>Facebook</v></cell><cell r="AF1157"><v>3654128</v></cell><cell r="AG1157" t="str"><v>FACEBOOK»USA-Trial-ITD-Interest Prospecting-AZR-AZR»1 x 1»SocialBan»LIA»ALL»CPA»PRO»X»NA»SS»NA»FreeAcctDeveloperFB-AnimatedData-Ch4»PRC1T3</v></cell><cell r="AH1157"><v>223863380</v></cell><cell r="AI1157" t="str"><v>AZR_FreeAcctDeveloperFB-AnimatedData-Ch4_USA_1200x1200_CAN_Direct_English_Trial_Standard_ANI_LEA_T4_2</v></cell><cell r="AJ1157"><v>103037935</v></cell></row><row r="1158"><cell r="C1158" t="str"><v>43290FACEBOOK»USA-Trial-ITD-Interest Prospecting-AZR-AZR»1 x 1»SocialBan»LIA»ALL»CPA»PRO»X»NA»SS»NA»FreeAcctDeveloperFB-AnimatedOpenSource-Ch2»PRC1T1</v></cell><cell r="D1158" t="str"><v>43290223862885</v></cell><cell r="E1158" t="str"><v>43290103048329PRC1T1</v></cell><cell r="F1158" t="str"><v>DCM</v></cell><cell r="G1158" t="str"><v>https://azure.microsoft.com/en-us/free/open-source/search/?OCID=AID%eexcid!_OLA_%ebuy!_%epid!_%ecid!</v></cell></row><row r="1158"><cell r="K1158" t="str"><v>July</v></cell><cell r="L1158"><v>43295</v></cell><cell r="M1158" t="str"><v>Tier 0</v></cell><cell r="N1158" t="str"><v>North America</v></cell><cell r="O1158" t="str"><v>United States</v></cell><cell r="P1158" t="str"><v>Trial</v></cell><cell r="Q1158" t="str"><v>Social</v></cell><cell r="R1158" t="str"><v>Azure</v></cell><cell r="S1158" t="str"><v>Apps & Infra</v></cell><cell r="T1158" t="str"><v>Developers & ITI's</v></cell><cell r="U1158" t="str"><v>USA-Trial-ITD-Interest Prospecting-AZR-AZR</v></cell><cell r="V1158" t="str"><v>Prospecting</v></cell><cell r="W1158" t="str"><v>Link Ad</v></cell><cell r="X1158" t="str"><v>1x1</v></cell></row><row r="1158"><cell r="AA1158"><v>43290</v></cell><cell r="AB1158" t="str"><v>USA_gaPMG_AZR_AZR_Q1_19_Direct-Social</v></cell><cell r="AC1158"><v>21358715</v></cell><cell r="AD1158"><v>720197</v></cell><cell r="AE1158" t="str"><v>Facebook</v></cell><cell r="AF1158"><v>3654128</v></cell><cell r="AG1158" t="str"><v>FACEBOOK»USA-Trial-ITD-Interest Prospecting-AZR-AZR»1 x 1»SocialBan»LIA»ALL»CPA»PRO»X»NA»SS»NA»FreeAcctDeveloperFB-AnimatedOpenSource-Ch2»PRC1T1</v></cell><cell r="AH1158"><v>223862885</v></cell><cell r="AI1158" t="str"><v>AZR_FreeAcctDeveloperFB-AnimatedOpenSource-Ch2_USA_1200x1200_CAN_Direct_English_Trial_Standard_ANI_LEA_T2_1</v></cell><cell r="AJ1158"><v>103048329</v></cell></row><row r="1159"><cell r="C1159" t="str"><v>43290FACEBOOK»USA-Trial-ITD-Interest Prospecting-AZR-AZR»1 x 1»SocialBan»LIA»ALL»CPA»PRO»X»NA»SS»NA»FreeAcctITProFB-AnimatedMigration-Ch3»PRC1X2</v></cell><cell r="D1159" t="str"><v>43290224106954</v></cell><cell r="E1159" t="str"><v>43290103176827PRC1X2</v></cell><cell r="F1159" t="str"><v>DCM</v></cell></row><row r="1159"><cell r="K1159" t="str"><v>July</v></cell><cell r="L1159"><v>43295</v></cell><cell r="M1159" t="str"><v>Tier 0</v></cell><cell r="N1159" t="str"><v>North America</v></cell><cell r="O1159" t="str"><v>United States</v></cell><cell r="P1159" t="str"><v>Trial</v></cell><cell r="Q1159" t="str"><v>Social</v></cell><cell r="R1159" t="str"><v>Azure</v></cell><cell r="S1159" t="str"><v>Apps & Infra</v></cell><cell r="T1159" t="str"><v>Developers & ITI's</v></cell><cell r="U1159" t="str"><v>USA-Trial-ITD-Interest Prospecting-AZR-AZR</v></cell><cell r="V1159" t="str"><v>Prospecting</v></cell><cell r="W1159" t="str"><v>Link Ad</v></cell><cell r="X1159" t="str"><v>1x1</v></cell></row><row r="1159"><cell r="AA1159"><v>43290</v></cell><cell r="AB1159" t="str"><v>USA_gaPMG_AZR_AZR_Q1_19_Direct-Social</v></cell><cell r="AC1159"><v>21358715</v></cell><cell r="AD1159"><v>720197</v></cell><cell r="AE1159" t="str"><v>Facebook</v></cell><cell r="AF1159"><v>3654128</v></cell><cell r="AG1159" t="str"><v>FACEBOOK»USA-Trial-ITD-Interest Prospecting-AZR-AZR»1 x 1»SocialBan»LIA»ALL»CPA»PRO»X»NA»SS»NA»FreeAcctITProFB-AnimatedMigration-Ch3»PRC1X2</v></cell><cell r="AH1159"><v>224106954</v></cell><cell r="AI1159" t="str"><v>AZR_FreeAcctITProFB-AnimatedMigration-Ch3_USA_1200x1200_CAN_Direct_English_Trial_Standard_ANI_LEA_T3_1</v></cell><cell r="AJ1159"><v>103176827</v></cell></row><row r="1160"><cell r="C1160" t="str"><v>43290FACEBOOK»USA-Trial-ITD-Lead Completes-AZR-AZR»1 x 1»SocialBan»CAN»ALL»CPA»PRO»X»NA»SS»NA»FBCTCBrandinMotion»PRC1VX</v></cell><cell r="D1160" t="str"><v>43290223861547</v></cell><cell r="E1160" t="str"><v>43290103176812PRC1VX</v></cell><cell r="F1160" t="str"><v>DCM</v></cell><cell r="G1160" t="str"><v>https://signup.azure.com/?OCID=AID%eexcid!_OLA_%ebuy!_%epid!_%ecid!</v></cell></row><row r="1160"><cell r="K1160" t="str"><v>July</v></cell><cell r="L1160"><v>43295</v></cell><cell r="M1160" t="str"><v>Tier 0</v></cell><cell r="N1160" t="str"><v>North America</v></cell><cell r="O1160" t="str"><v>United States</v></cell><cell r="P1160" t="str"><v>Trial</v></cell><cell r="Q1160" t="str"><v>Social</v></cell><cell r="R1160" t="str"><v>Azure</v></cell><cell r="S1160" t="str"><v>Apps & Infra</v></cell><cell r="T1160" t="str"><v>Developers & ITI's</v></cell><cell r="U1160" t="str"><v>USA-Trial-ITD-Lead Completes-AZR-AZR</v></cell><cell r="V1160" t="str"><v>Prospecting</v></cell><cell r="W1160" t="str"><v>Canvas Ad</v></cell><cell r="X1160" t="str"><v>1x1</v></cell></row><row r="1160"><cell r="AA1160"><v>43290</v></cell><cell r="AB1160" t="str"><v>USA_gaPMG_AZR_AZR_Q1_19_Direct-Social</v></cell><cell r="AC1160"><v>21358715</v></cell><cell r="AD1160"><v>720197</v></cell><cell r="AE1160" t="str"><v>Facebook</v></cell><cell r="AF1160"><v>3654128</v></cell><cell r="AG1160" t="str"><v>FACEBOOK»USA-Trial-ITD-Lead Completes-AZR-AZR»1 x 1»SocialBan»CAN»ALL»CPA»PRO»X»NA»SS»NA»FBCTCBrandinMotion»PRC1VX</v></cell><cell r="AH1160"><v>223861547</v></cell><cell r="AI1160" t="str"><v>AzurePlatform_FBCTCBrandinMotion_USA_10s_CAN_PLATFORM_English_Trial_Standard_STAN_TIN_T2_1</v></cell><cell r="AJ1160"><v>103176812</v></cell></row><row r="1161"><cell r="C1161" t="str"><v>43290FACEBOOK»USA-Trial-ITD-Lead Completes-AZR-AZR»1 x 1»SocialBan»LIA»ALL»CPA»PRO»X»NA»SS»NA»FreeAcctDeveloperFB-AnimatedAI-Ch3»PRC1W1</v></cell><cell r="D1161" t="str"><v>43290223933096</v></cell><cell r="E1161" t="str"><v>43290103032778PRC1W1</v></cell><cell r="F1161" t="str"><v>DCM</v></cell></row><row r="1161"><cell r="K1161" t="str"><v>July</v></cell><cell r="L1161"><v>43295</v></cell><cell r="M1161" t="str"><v>Tier 0</v></cell><cell r="N1161" t="str"><v>North America</v></cell><cell r="O1161" t="str"><v>United States</v></cell><cell r="P1161" t="str"><v>Trial</v></cell><cell r="Q1161" t="str"><v>Social</v></cell><cell r="R1161" t="str"><v>Azure</v></cell><cell r="S1161" t="str"><v>Apps & Infra</v></cell><cell r="T1161" t="str"><v>Developers & ITI's</v></cell><cell r="U1161" t="str"><v>USA-Trial-ITD-Lead Completes-AZR-AZR</v></cell><cell r="V1161" t="str"><v>Prospecting</v></cell><cell r="W1161" t="str"><v>Link Ad</v></cell><cell r="X1161" t="str"><v>1x1</v></cell></row><row r="1161"><cell r="AA1161"><v>43290</v></cell><cell r="AB1161" t="str"><v>USA_gaPMG_AZR_AZR_Q1_19_Direct-Social</v></cell><cell r="AC1161"><v>21358715</v></cell><cell r="AD1161"><v>720197</v></cell><cell r="AE1161" t="str"><v>Facebook</v></cell><cell r="AF1161"><v>3654128</v></cell><cell r="AG1161" t="str"><v>FACEBOOK»USA-Trial-ITD-Lead Completes-AZR-AZR»1 x 1»SocialBan»LIA»ALL»CPA»PRO»X»NA»SS»NA»FreeAcctDeveloperFB-AnimatedAI-Ch3»PRC1W1</v></cell><cell r="AH1161"><v>223933096</v></cell><cell r="AI1161" t="str"><v>AZR_FreeAcctDeveloperFB-AnimatedAI-Ch3_USA_1200x1200_CAN_Direct_English_Trial_Standard_ANI_LEA_T3_1</v></cell><cell r="AJ1161"><v>103032778</v></cell></row><row r="1162"><cell r="C1162" t="str"><v>43290FACEBOOK»USA-Trial-ITD-Lead Completes-AZR-AZR»1 x 1»SocialBan»LIA»ALL»CPA»PRO»X»NA»SS»NA»FreeAcctDeveloperFB-AnimatedData-Ch4»PRC1W3</v></cell><cell r="D1162" t="str"><v>43290223862711</v></cell><cell r="E1162" t="str"><v>43290103037935PRC1W3</v></cell><cell r="F1162" t="str"><v>DCM</v></cell></row><row r="1162"><cell r="K1162" t="str"><v>July</v></cell><cell r="L1162"><v>43295</v></cell><cell r="M1162" t="str"><v>Tier 0</v></cell><cell r="N1162" t="str"><v>North America</v></cell><cell r="O1162" t="str"><v>United States</v></cell><cell r="P1162" t="str"><v>Trial</v></cell><cell r="Q1162" t="str"><v>Social</v></cell><cell r="R1162" t="str"><v>Azure</v></cell><cell r="S1162" t="str"><v>Apps & Infra</v></cell><cell r="T1162" t="str"><v>Developers & ITI's</v></cell><cell r="U1162" t="str"><v>USA-Trial-ITD-Lead Completes-AZR-AZR</v></cell><cell r="V1162" t="str"><v>Prospecting</v></cell><cell r="W1162" t="str"><v>Link Ad</v></cell><cell r="X1162" t="str"><v>1x1</v></cell></row><row r="1162"><cell r="AA1162"><v>43290</v></cell><cell r="AB1162" t="str"><v>USA_gaPMG_AZR_AZR_Q1_19_Direct-Social</v></cell><cell r="AC1162"><v>21358715</v></cell><cell r="AD1162"><v>720197</v></cell><cell r="AE1162" t="str"><v>Facebook</v></cell><cell r="AF1162"><v>3654128</v></cell><cell r="AG1162" t="str"><v>FACEBOOK»USA-Trial-ITD-Lead Completes-AZR-AZR»1 x 1»SocialBan»LIA»ALL»CPA»PRO»X»NA»SS»NA»FreeAcctDeveloperFB-AnimatedData-Ch4»PRC1W3</v></cell><cell r="AH1162"><v>223862711</v></cell><cell r="AI1162" t="str"><v>AZR_FreeAcctDeveloperFB-AnimatedData-Ch4_USA_1200x1200_CAN_Direct_English_Trial_Standard_ANI_LEA_T4_2</v></cell><cell r="AJ1162"><v>103037935</v></cell></row><row r="1163"><cell r="C1163" t="str"><v>43290FACEBOOK»USA-Trial-ITD-Lead Completes-AZR-AZR»1 x 1»SocialBan»LIA»ALL»CPA»PRO»X»NA»SS»NA»FreeAcctDeveloperFB-AnimatedOpenSource-Ch2»PRC1W0</v></cell><cell r="D1163" t="str"><v>43290223933108</v></cell><cell r="E1163" t="str"><v>43290103048329PRC1W0</v></cell><cell r="F1163" t="str"><v>DCM</v></cell><cell r="G1163" t="str"><v>https://azure.microsoft.com/en-us/free/open-source/search/?OCID=AID%eexcid!_OLA_%ebuy!_%epid!_%ecid!</v></cell></row><row r="1163"><cell r="K1163" t="str"><v>July</v></cell><cell r="L1163"><v>43295</v></cell><cell r="M1163" t="str"><v>Tier 0</v></cell><cell r="N1163" t="str"><v>North America</v></cell><cell r="O1163" t="str"><v>United States</v></cell><cell r="P1163" t="str"><v>Trial</v></cell><cell r="Q1163" t="str"><v>Social</v></cell><cell r="R1163" t="str"><v>Azure</v></cell><cell r="S1163" t="str"><v>Apps & Infra</v></cell><cell r="T1163" t="str"><v>Developers & ITI's</v></cell><cell r="U1163" t="str"><v>USA-Trial-ITD-Lead Completes-AZR-AZR</v></cell><cell r="V1163" t="str"><v>Prospecting</v></cell><cell r="W1163" t="str"><v>Link Ad</v></cell><cell r="X1163" t="str"><v>1x1</v></cell></row><row r="1163"><cell r="AA1163"><v>43290</v></cell><cell r="AB1163" t="str"><v>USA_gaPMG_AZR_AZR_Q1_19_Direct-Social</v></cell><cell r="AC1163"><v>21358715</v></cell><cell r="AD1163"><v>720197</v></cell><cell r="AE1163" t="str"><v>Facebook</v></cell><cell r="AF1163"><v>3654128</v></cell><cell r="AG1163" t="str"><v>FACEBOOK»USA-Trial-ITD-Lead Completes-AZR-AZR»1 x 1»SocialBan»LIA»ALL»CPA»PRO»X»NA»SS»NA»FreeAcctDeveloperFB-AnimatedOpenSource-Ch2»PRC1W0</v></cell><cell r="AH1163"><v>223933108</v></cell><cell r="AI1163" t="str"><v>AZR_FreeAcctDeveloperFB-AnimatedOpenSource-Ch2_USA_1200x1200_CAN_Direct_English_Trial_Standard_ANI_LEA_T2_1</v></cell><cell r="AJ1163"><v>103048329</v></cell></row><row r="1164"><cell r="C1164" t="str"><v>43290FACEBOOK»USA-Trial-ITD-Lead Completes-AZR-AZR»1 x 1»SocialBan»LIA»ALL»CPA»PRO»X»NA»SS»NA»FreeAcctITProFB-AnimatedSecureMngd-Ch1»PRC1W4</v></cell><cell r="D1164" t="str"><v>43290223862153</v></cell><cell r="E1164" t="str"><v>43290103176830PRC1W4</v></cell><cell r="F1164" t="str"><v>DCM</v></cell></row><row r="1164"><cell r="K1164" t="str"><v>July</v></cell><cell r="L1164"><v>43295</v></cell><cell r="M1164" t="str"><v>Tier 0</v></cell><cell r="N1164" t="str"><v>North America</v></cell><cell r="O1164" t="str"><v>United States</v></cell><cell r="P1164" t="str"><v>Trial</v></cell><cell r="Q1164" t="str"><v>Social</v></cell><cell r="R1164" t="str"><v>Azure</v></cell><cell r="S1164" t="str"><v>Apps & Infra</v></cell><cell r="T1164" t="str"><v>Developers & ITI's</v></cell><cell r="U1164" t="str"><v>USA-Trial-ITD-Lead Completes-AZR-AZR</v></cell><cell r="V1164" t="str"><v>Prospecting</v></cell><cell r="W1164" t="str"><v>Link Ad</v></cell><cell r="X1164" t="str"><v>1x1</v></cell></row><row r="1164"><cell r="AA1164"><v>43290</v></cell><cell r="AB1164" t="str"><v>USA_gaPMG_AZR_AZR_Q1_19_Direct-Social</v></cell><cell r="AC1164"><v>21358715</v></cell><cell r="AD1164"><v>720197</v></cell><cell r="AE1164" t="str"><v>Facebook</v></cell><cell r="AF1164"><v>3654128</v></cell><cell r="AG1164" t="str"><v>FACEBOOK»USA-Trial-ITD-Lead Completes-AZR-AZR»1 x 1»SocialBan»LIA»ALL»CPA»PRO»X»NA»SS»NA»FreeAcctITProFB-AnimatedSecureMngd-Ch1»PRC1W4</v></cell><cell r="AH1164"><v>223862153</v></cell><cell r="AI1164" t="str"><v>AZR_FreeAcctITProFB-AnimatedSecureMngd-Ch1_USA_1200x1200_CAN_Direct_English_Trial_Standard_ANI_LEA_T1_1</v></cell><cell r="AJ1164"><v>103176830</v></cell></row><row r="1165"><cell r="C1165" t="str"><v>43290FACEBOOK»USA-Trial-ITD-Lead Completes-AZR-AZR»1 x 1»SocialBan»CAN»ALL»CPA»PRO»X»NA»SS»NA»FBCTCBasicMotion»PRC1VT</v></cell><cell r="D1165" t="str"><v>43290224106900</v></cell><cell r="E1165" t="str"><v>43290103043823PRC1VT</v></cell><cell r="F1165" t="str"><v>DCM</v></cell><cell r="G1165" t="str"><v>https://signup.azure.com/?OCID=AID%eexcid!_OLA_%ebuy!_%epid!_%ecid!</v></cell></row><row r="1165"><cell r="K1165" t="str"><v>July</v></cell><cell r="L1165"><v>43295</v></cell><cell r="M1165" t="str"><v>Tier 0</v></cell><cell r="N1165" t="str"><v>North America</v></cell><cell r="O1165" t="str"><v>United States</v></cell><cell r="P1165" t="str"><v>Trial</v></cell><cell r="Q1165" t="str"><v>Social</v></cell><cell r="R1165" t="str"><v>Azure</v></cell><cell r="S1165" t="str"><v>Apps & Infra</v></cell><cell r="T1165" t="str"><v>Developers & ITI's</v></cell><cell r="U1165" t="str"><v>USA-Trial-ITD-Lead Completes-AZR-AZR</v></cell><cell r="V1165" t="str"><v>Prospecting</v></cell><cell r="W1165" t="str"><v>Canvas Ad</v></cell><cell r="X1165" t="str"><v>1x1</v></cell></row><row r="1165"><cell r="AA1165"><v>43290</v></cell><cell r="AB1165" t="str"><v>USA_gaPMG_AZR_AZR_Q1_19_Direct-Social</v></cell><cell r="AC1165"><v>21358715</v></cell><cell r="AD1165"><v>720197</v></cell><cell r="AE1165" t="str"><v>Facebook</v></cell><cell r="AF1165"><v>3654128</v></cell><cell r="AG1165" t="str"><v>FACEBOOK»USA-Trial-ITD-Lead Completes-AZR-AZR»1 x 1»SocialBan»CAN»ALL»CPA»PRO»X»NA»SS»NA»FBCTCBasicMotion»PRC1VT</v></cell><cell r="AH1165"><v>224106900</v></cell><cell r="AI1165" t="str"><v>AzurePlatform_FBCTCBasicMotion_USA_10s_CAN_PLATFORM_English_Trial_Standard_STAN_TIN_T1_1</v></cell><cell r="AJ1165"><v>103043823</v></cell></row><row r="1166"><cell r="C1166" t="str"><v>43290FACEBOOK»USA-Trial-ITD-Lead Completes-AZR-AZR»1 x 1»SocialBan»LIA»ALL»CPA»PRO»X»NA»SS»NA»FreeAcctDeveloperFB-AnimatedGeneric-Ch1»PRC1VY</v></cell><cell r="D1166" t="str"><v>43290223862846</v></cell><cell r="E1166" t="str"><v>43290103176851PRC1VY</v></cell><cell r="F1166" t="str"><v>DCM</v></cell><cell r="G1166" t="str"><v>https://azure.microsoft.com/en-us/free/search/?OCID=AID%eexcid!_OLA_%ebuy!_%epid!_%ecid!</v></cell></row><row r="1166"><cell r="K1166" t="str"><v>July</v></cell><cell r="L1166"><v>43295</v></cell><cell r="M1166" t="str"><v>Tier 0</v></cell><cell r="N1166" t="str"><v>North America</v></cell><cell r="O1166" t="str"><v>United States</v></cell><cell r="P1166" t="str"><v>Trial</v></cell><cell r="Q1166" t="str"><v>Social</v></cell><cell r="R1166" t="str"><v>Azure</v></cell><cell r="S1166" t="str"><v>Apps & Infra</v></cell><cell r="T1166" t="str"><v>Developers & ITI's</v></cell><cell r="U1166" t="str"><v>USA-Trial-ITD-Lead Completes-AZR-AZR</v></cell><cell r="V1166" t="str"><v>Prospecting</v></cell><cell r="W1166" t="str"><v>Link Ad</v></cell><cell r="X1166" t="str"><v>1x1</v></cell></row><row r="1166"><cell r="AA1166"><v>43290</v></cell><cell r="AB1166" t="str"><v>USA_gaPMG_AZR_AZR_Q1_19_Direct-Social</v></cell><cell r="AC1166"><v>21358715</v></cell><cell r="AD1166"><v>720197</v></cell><cell r="AE1166" t="str"><v>Facebook</v></cell><cell r="AF1166"><v>3654128</v></cell><cell r="AG1166" t="str"><v>FACEBOOK»USA-Trial-ITD-Lead Completes-AZR-AZR»1 x 1»SocialBan»LIA»ALL»CPA»PRO»X»NA»SS»NA»FreeAcctDeveloperFB-AnimatedGeneric-Ch1»PRC1VY</v></cell><cell r="AH1166"><v>223862846</v></cell><cell r="AI1166" t="str"><v>AZR_FreeAcctDeveloperFB-AnimatedGeneric-Ch1_USA_1200x1200_CAN_Direct_English_Trial_Standard_ANI_LEA_T1_2</v></cell><cell r="AJ1166"><v>103176851</v></cell></row><row r="1167"><cell r="C1167" t="str"><v>43290FACEBOOK»USA-Trial-ITD-Retargeting-AZR-AZR»1 x 1»SocialBan»LIA»ALL»CPA»RT»X»NA»SS»NA»FreeAcctDeveloperFB-AnimatedGeneric-Ch1»PRC26D</v></cell><cell r="D1167" t="str"><v>43290223862870</v></cell><cell r="E1167" t="str"><v>43290103176851PRC26D</v></cell><cell r="F1167" t="str"><v>DCM</v></cell><cell r="G1167" t="str"><v>https://azure.microsoft.com/en-us/free/search/?OCID=AID%eexcid!_OLA_%ebuy!_%epid!_%ecid!</v></cell></row><row r="1167"><cell r="K1167" t="str"><v>July</v></cell><cell r="L1167"><v>43295</v></cell><cell r="M1167" t="str"><v>Tier 0</v></cell><cell r="N1167" t="str"><v>North America</v></cell><cell r="O1167" t="str"><v>United States</v></cell><cell r="P1167" t="str"><v>Trial</v></cell><cell r="Q1167" t="str"><v>Social</v></cell><cell r="R1167" t="str"><v>Azure</v></cell><cell r="S1167" t="str"><v>Apps & Infra</v></cell><cell r="T1167" t="str"><v>Developers & ITI's</v></cell><cell r="U1167" t="str"><v>USA-Trial-ITD-Retargeting-AZR-AZR</v></cell><cell r="V1167" t="str"><v>Retargeting</v></cell><cell r="W1167" t="str"><v>Link Ad</v></cell><cell r="X1167" t="str"><v>1x1</v></cell></row><row r="1167"><cell r="AA1167"><v>43290</v></cell><cell r="AB1167" t="str"><v>USA_gaPMG_AZR_AZR_Q1_19_Direct-Social</v></cell><cell r="AC1167"><v>21358715</v></cell><cell r="AD1167"><v>720197</v></cell><cell r="AE1167" t="str"><v>Facebook</v></cell><cell r="AF1167"><v>3654128</v></cell><cell r="AG1167" t="str"><v>FACEBOOK»USA-Trial-ITD-Retargeting-AZR-AZR»1 x 1»SocialBan»LIA»ALL»CPA»RT»X»NA»SS»NA»FreeAcctDeveloperFB-AnimatedGeneric-Ch1»PRC26D</v></cell><cell r="AH1167"><v>223862870</v></cell><cell r="AI1167" t="str"><v>AZR_FreeAcctDeveloperFB-AnimatedGeneric-Ch1_USA_1200x1200_CAN_Direct_English_Trial_Standard_ANI_LEA_T1_2</v></cell><cell r="AJ1167"><v>103176851</v></cell></row><row r="1168"><cell r="C1168" t="str"><v>43290FACEBOOK»USA-Trial-ITD-Retargeting-AZR-AZR»1 x 1»SocialBan»LIA»ALL»CPA»RT»X»NA»SS»NA»FreeAcctRetargetingOSSFB-Logos-ChG»PRC1S2</v></cell><cell r="D1168" t="str"><v>43290224106063</v></cell><cell r="E1168" t="str"><v>43290103176008PRC1S2</v></cell><cell r="F1168" t="str"><v>DCM</v></cell><cell r="G1168" t="str"><v>https://azure.microsoft.com/en-us/free/open-source/search/?OCID=AID%eexcid!_OLA_%ebuy!_%epid!_%ecid!</v></cell></row><row r="1168"><cell r="K1168" t="str"><v>July</v></cell><cell r="L1168"><v>43295</v></cell><cell r="M1168" t="str"><v>Tier 0</v></cell><cell r="N1168" t="str"><v>North America</v></cell><cell r="O1168" t="str"><v>United States</v></cell><cell r="P1168" t="str"><v>Trial</v></cell><cell r="Q1168" t="str"><v>Social</v></cell><cell r="R1168" t="str"><v>Azure</v></cell><cell r="S1168" t="str"><v>Apps & Infra</v></cell><cell r="T1168" t="str"><v>Developers & ITI's</v></cell><cell r="U1168" t="str"><v>USA-Trial-ITD-Retargeting-AZR-AZR</v></cell><cell r="V1168" t="str"><v>Retargeting</v></cell><cell r="W1168" t="str"><v>Link Ad</v></cell><cell r="X1168" t="str"><v>1x1</v></cell></row><row r="1168"><cell r="AA1168"><v>43290</v></cell><cell r="AB1168" t="str"><v>USA_gaPMG_AZR_AZR_Q1_19_Direct-Social</v></cell><cell r="AC1168"><v>21358715</v></cell><cell r="AD1168"><v>720197</v></cell><cell r="AE1168" t="str"><v>Facebook</v></cell><cell r="AF1168"><v>3654128</v></cell><cell r="AG1168" t="str"><v>FACEBOOK»USA-Trial-ITD-Retargeting-AZR-AZR»1 x 1»SocialBan»LIA»ALL»CPA»RT»X»NA»SS»NA»FreeAcctRetargetingOSSFB-Logos-ChG»PRC1S2</v></cell><cell r="AH1168"><v>224106063</v></cell><cell r="AI1168" t="str"><v>AzurePlatform_FreeAcctRetargetingOSSFB-Logos-ChG_USA_1200x628_CAN_PLATFORM_English_Free Account_Standard_NA_SINU_T2_1</v></cell><cell r="AJ1168"><v>103176008</v></cell></row><row r="1169"><cell r="C1169" t="str"><v>43290FACEBOOK»USA-Trial-ITD-Retargeting-AZR-AZR»1 x 1»SocialBan»LIA»ALL»CPA»RT»X»NA»SS»NA»FreeAcctRetargetingOSSFB-Text-ChF»PRC1S1</v></cell><cell r="D1169" t="str"><v>43290223862753</v></cell><cell r="E1169" t="str"><v>43290103176869PRC1S1</v></cell><cell r="F1169" t="str"><v>DCM</v></cell><cell r="G1169" t="str"><v>https://azure.microsoft.com/en-us/free/open-source/search/?OCID=AID%eexcid!_OLA_%ebuy!_%epid!_%ecid!</v></cell></row><row r="1169"><cell r="K1169" t="str"><v>July</v></cell><cell r="L1169"><v>43295</v></cell><cell r="M1169" t="str"><v>Tier 0</v></cell><cell r="N1169" t="str"><v>North America</v></cell><cell r="O1169" t="str"><v>United States</v></cell><cell r="P1169" t="str"><v>Trial</v></cell><cell r="Q1169" t="str"><v>Social</v></cell><cell r="R1169" t="str"><v>Azure</v></cell><cell r="S1169" t="str"><v>Apps & Infra</v></cell><cell r="T1169" t="str"><v>Developers & ITI's</v></cell><cell r="U1169" t="str"><v>USA-Trial-ITD-Retargeting-AZR-AZR</v></cell><cell r="V1169" t="str"><v>Retargeting</v></cell><cell r="W1169" t="str"><v>Link Ad</v></cell><cell r="X1169" t="str"><v>1x1</v></cell></row><row r="1169"><cell r="AA1169"><v>43290</v></cell><cell r="AB1169" t="str"><v>USA_gaPMG_AZR_AZR_Q1_19_Direct-Social</v></cell><cell r="AC1169"><v>21358715</v></cell><cell r="AD1169"><v>720197</v></cell><cell r="AE1169" t="str"><v>Facebook</v></cell><cell r="AF1169"><v>3654128</v></cell><cell r="AG1169" t="str"><v>FACEBOOK»USA-Trial-ITD-Retargeting-AZR-AZR»1 x 1»SocialBan»LIA»ALL»CPA»RT»X»NA»SS»NA»FreeAcctRetargetingOSSFB-Text-ChF»PRC1S1</v></cell><cell r="AH1169"><v>223862753</v></cell><cell r="AI1169" t="str"><v>AzurePlatform_FreeAcctRetargetingOSSFB-Text-ChF_USA_1200x628_CAN_PLATFORM_English_Free Account_Standard_NA_SINU_T1_2</v></cell><cell r="AJ1169"><v>103176869</v></cell></row><row r="1170"><cell r="C1170" t="str"><v>43290FACEBOOK»USA-Trial-ITD-Trial Lookalike-AZR-AZR»1 x 1»SocialBan»LIA»ALL»CPA»LAL»X»NA»SS»NA»FreeAcctDeveloperFB-AnimatedGeneric-Ch1»PRC1M4</v></cell><cell r="D1170" t="str"><v>43290224104941</v></cell><cell r="E1170" t="str"><v>43290103176851PRC1M4</v></cell><cell r="F1170" t="str"><v>DCM</v></cell><cell r="G1170" t="str"><v>https://azure.microsoft.com/en-us/free/search/?OCID=AID%eexcid!_OLA_%ebuy!_%epid!_%ecid!</v></cell></row><row r="1170"><cell r="K1170" t="str"><v>July</v></cell><cell r="L1170"><v>43295</v></cell><cell r="M1170" t="str"><v>Tier 0</v></cell><cell r="N1170" t="str"><v>North America</v></cell><cell r="O1170" t="str"><v>United States</v></cell><cell r="P1170" t="str"><v>Trial</v></cell><cell r="Q1170" t="str"><v>Social</v></cell><cell r="R1170" t="str"><v>Azure</v></cell><cell r="S1170" t="str"><v>Apps & Infra</v></cell><cell r="T1170" t="str"><v>Developers & ITI's</v></cell><cell r="U1170" t="str"><v>USA-Trial-ITD-Trial Lookalike-AZR-AZR</v></cell><cell r="V1170" t="str"><v>Lookalike Targeting</v></cell><cell r="W1170" t="str"><v>Link Ad</v></cell><cell r="X1170" t="str"><v>1x1</v></cell></row><row r="1170"><cell r="AA1170"><v>43290</v></cell><cell r="AB1170" t="str"><v>USA_gaPMG_AZR_AZR_Q1_19_Direct-Social</v></cell><cell r="AC1170"><v>21358715</v></cell><cell r="AD1170"><v>720197</v></cell><cell r="AE1170" t="str"><v>Facebook</v></cell><cell r="AF1170"><v>3654128</v></cell><cell r="AG1170" t="str"><v>FACEBOOK»USA-Trial-ITD-Trial Lookalike-AZR-AZR»1 x 1»SocialBan»LIA»ALL»CPA»LAL»X»NA»SS»NA»FreeAcctDeveloperFB-AnimatedGeneric-Ch1»PRC1M4</v></cell><cell r="AH1170"><v>224104941</v></cell><cell r="AI1170" t="str"><v>AZR_FreeAcctDeveloperFB-AnimatedGeneric-Ch1_USA_1200x1200_CAN_Direct_English_Trial_Standard_ANI_LEA_T1_2</v></cell><cell r="AJ1170"><v>103176851</v></cell></row><row r="1171"><cell r="C1171" t="str"><v>43290FACEBOOK»USA-Trial-ITD-Trial Lookalike-AZR-AZR»1 x 1»SocialBan»LIA»ALL»CPA»LAL»X»NA»SS»NA»FreeAcctDeveloperFB-AnimatedGeneric-Ch1»PRC1M5</v></cell><cell r="D1171" t="str"><v>43290223934083</v></cell><cell r="E1171" t="str"><v>43290103176851PRC1M5</v></cell><cell r="F1171" t="str"><v>DCM</v></cell><cell r="G1171" t="str"><v>https://azure.microsoft.com/en-us/free/search/?OCID=AID%eexcid!_OLA_%ebuy!_%epid!_%ecid!</v></cell></row><row r="1171"><cell r="K1171" t="str"><v>July</v></cell><cell r="L1171"><v>43295</v></cell><cell r="M1171" t="str"><v>Tier 0</v></cell><cell r="N1171" t="str"><v>North America</v></cell><cell r="O1171" t="str"><v>United States</v></cell><cell r="P1171" t="str"><v>Trial</v></cell><cell r="Q1171" t="str"><v>Social</v></cell><cell r="R1171" t="str"><v>Azure</v></cell><cell r="S1171" t="str"><v>Apps & Infra</v></cell><cell r="T1171" t="str"><v>Developers & ITI's</v></cell><cell r="U1171" t="str"><v>USA-Trial-ITD-Trial Lookalike-AZR-AZR</v></cell><cell r="V1171" t="str"><v>Lookalike Targeting</v></cell><cell r="W1171" t="str"><v>Link Ad</v></cell><cell r="X1171" t="str"><v>1x1</v></cell></row><row r="1171"><cell r="AA1171"><v>43290</v></cell><cell r="AB1171" t="str"><v>USA_gaPMG_AZR_AZR_Q1_19_Direct-Social</v></cell><cell r="AC1171"><v>21358715</v></cell><cell r="AD1171"><v>720197</v></cell><cell r="AE1171" t="str"><v>Facebook</v></cell><cell r="AF1171"><v>3654128</v></cell><cell r="AG1171" t="str"><v>FACEBOOK»USA-Trial-ITD-Trial Lookalike-AZR-AZR»1 x 1»SocialBan»LIA»ALL»CPA»LAL»X»NA»SS»NA»FreeAcctDeveloperFB-AnimatedGeneric-Ch1»PRC1M5</v></cell><cell r="AH1171"><v>223934083</v></cell><cell r="AI1171" t="str"><v>AZR_FreeAcctDeveloperFB-AnimatedGeneric-Ch1_USA_1200x1200_CAN_Direct_English_Trial_Standard_ANI_LEA_T1_2</v></cell><cell r="AJ1171"><v>103176851</v></cell></row><row r="1172"><cell r="C1172" t="str"><v>43290FACEBOOK»USA-Trial-ITD-Trial Lookalike-AZR-AZR»1 x 1»SocialBan»LIA»ALL»CPA»LAL»X»NA»SS»NA»FreeAcctDeveloperFB-AnimatedOpenSource-Ch2»PRC1M6</v></cell><cell r="D1172" t="str"><v>43290223935628</v></cell><cell r="E1172" t="str"><v>43290103048329PRC1M6</v></cell><cell r="F1172" t="str"><v>DCM</v></cell><cell r="G1172" t="str"><v>https://azure.microsoft.com/en-us/free/open-source/search/?OCID=AID%eexcid!_OLA_%ebuy!_%epid!_%ecid!</v></cell></row><row r="1172"><cell r="K1172" t="str"><v>July</v></cell><cell r="L1172"><v>43295</v></cell><cell r="M1172" t="str"><v>Tier 0</v></cell><cell r="N1172" t="str"><v>North America</v></cell><cell r="O1172" t="str"><v>United States</v></cell><cell r="P1172" t="str"><v>Trial</v></cell><cell r="Q1172" t="str"><v>Social</v></cell><cell r="R1172" t="str"><v>Azure</v></cell><cell r="S1172" t="str"><v>Apps & Infra</v></cell><cell r="T1172" t="str"><v>Developers & ITI's</v></cell><cell r="U1172" t="str"><v>USA-Trial-ITD-Trial Lookalike-AZR-AZR</v></cell><cell r="V1172" t="str"><v>Lookalike Targeting</v></cell><cell r="W1172" t="str"><v>Link Ad</v></cell><cell r="X1172" t="str"><v>1x1</v></cell></row><row r="1172"><cell r="AA1172"><v>43290</v></cell><cell r="AB1172" t="str"><v>USA_gaPMG_AZR_AZR_Q1_19_Direct-Social</v></cell><cell r="AC1172"><v>21358715</v></cell><cell r="AD1172"><v>720197</v></cell><cell r="AE1172" t="str"><v>Facebook</v></cell><cell r="AF1172"><v>3654128</v></cell><cell r="AG1172" t="str"><v>FACEBOOK»USA-Trial-ITD-Trial Lookalike-AZR-AZR»1 x 1»SocialBan»LIA»ALL»CPA»LAL»X»NA»SS»NA»FreeAcctDeveloperFB-AnimatedOpenSource-Ch2»PRC1M6</v></cell><cell r="AH1172"><v>223935628</v></cell><cell r="AI1172" t="str"><v>AZR_FreeAcctDeveloperFB-AnimatedOpenSource-Ch2_USA_1200x1200_CAN_Direct_English_Trial_Standard_ANI_LEA_T2_1</v></cell><cell r="AJ1172"><v>103048329</v></cell></row><row r="1173"><cell r="C1173" t="str"><v>43290FACEBOOK»USA-Trial-ITD-Trial Lookalike-AZR-AZR»1 x 1»SocialBan»LIA»ALL»CPA»LAL»X»NA»SS»NA»FreeAcctITProFB-AnimatedMigration-Ch3»PRC23N</v></cell><cell r="D1173" t="str"><v>43290223935637</v></cell><cell r="E1173" t="str"><v>43290103176827PRC23N</v></cell><cell r="F1173" t="str"><v>DCM</v></cell></row><row r="1173"><cell r="K1173" t="str"><v>July</v></cell><cell r="L1173"><v>43295</v></cell><cell r="M1173" t="str"><v>Tier 0</v></cell><cell r="N1173" t="str"><v>North America</v></cell><cell r="O1173" t="str"><v>United States</v></cell><cell r="P1173" t="str"><v>Trial</v></cell><cell r="Q1173" t="str"><v>Social</v></cell><cell r="R1173" t="str"><v>Azure</v></cell><cell r="S1173" t="str"><v>Apps & Infra</v></cell><cell r="T1173" t="str"><v>Developers & ITI's</v></cell><cell r="U1173" t="str"><v>USA-Trial-ITD-Trial Lookalike-AZR-AZR</v></cell><cell r="V1173" t="str"><v>Lookalike Targeting</v></cell><cell r="W1173" t="str"><v>Link Ad</v></cell><cell r="X1173" t="str"><v>1x1</v></cell></row><row r="1173"><cell r="AA1173"><v>43290</v></cell><cell r="AB1173" t="str"><v>USA_gaPMG_AZR_AZR_Q1_19_Direct-Social</v></cell><cell r="AC1173"><v>21358715</v></cell><cell r="AD1173"><v>720197</v></cell><cell r="AE1173" t="str"><v>Facebook</v></cell><cell r="AF1173"><v>3654128</v></cell><cell r="AG1173" t="str"><v>FACEBOOK»USA-Trial-ITD-Trial Lookalike-AZR-AZR»1 x 1»SocialBan»LIA»ALL»CPA»LAL»X»NA»SS»NA»FreeAcctITProFB-AnimatedMigration-Ch3»PRC23N</v></cell><cell r="AH1173"><v>223935637</v></cell><cell r="AI1173" t="str"><v>AZR_FreeAcctITProFB-AnimatedMigration-Ch3_USA_1200x1200_CAN_Direct_English_Trial_Standard_ANI_LEA_T3_1</v></cell><cell r="AJ1173"><v>103176827</v></cell></row><row r="1174"><cell r="C1174" t="str"><v>43290FACEBOOK»USA-Trial-ITD-Trial Lookalike-AZR-AZR»1 x 1»SocialBan»LIA»ALL»CPA»LAL»X»NA»SS»NA»FreeAcctITProFB-AnimatedSecureMngd-Ch1»PRC1M9</v></cell><cell r="D1174" t="str"><v>43290224104959</v></cell><cell r="E1174" t="str"><v>43290103176830PRC1M9</v></cell><cell r="F1174" t="str"><v>DCM</v></cell></row><row r="1174"><cell r="K1174" t="str"><v>July</v></cell><cell r="L1174"><v>43295</v></cell><cell r="M1174" t="str"><v>Tier 0</v></cell><cell r="N1174" t="str"><v>North America</v></cell><cell r="O1174" t="str"><v>United States</v></cell><cell r="P1174" t="str"><v>Trial</v></cell><cell r="Q1174" t="str"><v>Social</v></cell><cell r="R1174" t="str"><v>Azure</v></cell><cell r="S1174" t="str"><v>Apps & Infra</v></cell><cell r="T1174" t="str"><v>Developers & ITI's</v></cell><cell r="U1174" t="str"><v>USA-Trial-ITD-Trial Lookalike-AZR-AZR</v></cell><cell r="V1174" t="str"><v>Lookalike Targeting</v></cell><cell r="W1174" t="str"><v>Link Ad</v></cell><cell r="X1174" t="str"><v>1x1</v></cell></row><row r="1174"><cell r="AA1174"><v>43290</v></cell><cell r="AB1174" t="str"><v>USA_gaPMG_AZR_AZR_Q1_19_Direct-Social</v></cell><cell r="AC1174"><v>21358715</v></cell><cell r="AD1174"><v>720197</v></cell><cell r="AE1174" t="str"><v>Facebook</v></cell><cell r="AF1174"><v>3654128</v></cell><cell r="AG1174" t="str"><v>FACEBOOK»USA-Trial-ITD-Trial Lookalike-AZR-AZR»1 x 1»SocialBan»LIA»ALL»CPA»LAL»X»NA»SS»NA»FreeAcctITProFB-AnimatedSecureMngd-Ch1»PRC1M9</v></cell><cell r="AH1174"><v>224104959</v></cell><cell r="AI1174" t="str"><v>AZR_FreeAcctITProFB-AnimatedSecureMngd-Ch1_USA_1200x1200_CAN_Direct_English_Trial_Standard_ANI_LEA_T1_1</v></cell><cell r="AJ1174"><v>103176830</v></cell></row><row r="1175"><cell r="C1175" t="str"><v>43290FACEBOOK»USA-Trial-ITD-Trial Lookalike-AZR-AZR»1 x 1»SocialBan»CAN»ALL»CPA»LAL»X»NA»SS»NA»FBCTCBasicMotion»PRC1LZ</v></cell><cell r="D1175" t="str"><v>43290223862915</v></cell><cell r="E1175" t="str"><v>43290103043823PRC1LZ</v></cell><cell r="F1175" t="str"><v>DCM</v></cell><cell r="G1175" t="str"><v>https://signup.azure.com/?OCID=AID%eexcid!_OLA_%ebuy!_%epid!_%ecid!</v></cell></row><row r="1175"><cell r="K1175" t="str"><v>July</v></cell><cell r="L1175"><v>43295</v></cell><cell r="M1175" t="str"><v>Tier 0</v></cell><cell r="N1175" t="str"><v>North America</v></cell><cell r="O1175" t="str"><v>United States</v></cell><cell r="P1175" t="str"><v>Trial</v></cell><cell r="Q1175" t="str"><v>Social</v></cell><cell r="R1175" t="str"><v>Azure</v></cell><cell r="S1175" t="str"><v>Apps & Infra</v></cell><cell r="T1175" t="str"><v>Developers & ITI's</v></cell><cell r="U1175" t="str"><v>USA-Trial-ITD-Trial Lookalike-AZR-AZR</v></cell><cell r="V1175" t="str"><v>Lookalike Targeting</v></cell><cell r="W1175" t="str"><v>Canvas Ad</v></cell><cell r="X1175" t="str"><v>1x1</v></cell></row><row r="1175"><cell r="AA1175"><v>43290</v></cell><cell r="AB1175" t="str"><v>USA_gaPMG_AZR_AZR_Q1_19_Direct-Social</v></cell><cell r="AC1175"><v>21358715</v></cell><cell r="AD1175"><v>720197</v></cell><cell r="AE1175" t="str"><v>Facebook</v></cell><cell r="AF1175"><v>3654128</v></cell><cell r="AG1175" t="str"><v>FACEBOOK»USA-Trial-ITD-Trial Lookalike-AZR-AZR»1 x 1»SocialBan»CAN»ALL»CPA»LAL»X»NA»SS»NA»FBCTCBasicMotion»PRC1LZ</v></cell><cell r="AH1175"><v>223862915</v></cell><cell r="AI1175" t="str"><v>AzurePlatform_FBCTCBasicMotion_USA_10s_CAN_PLATFORM_English_Trial_Standard_STAN_TIN_T1_1</v></cell><cell r="AJ1175"><v>103043823</v></cell></row><row r="1176"><cell r="C1176" t="str"><v>43290FACEBOOK»USA-Trial-ITD-Trial Lookalike-AZR-AZR»1 x 1»SocialBan»CAN»ALL»CPA»LAL»X»NA»SS»NA»FBCTCBasicMotion»PRC1LZ</v></cell><cell r="D1176" t="str"><v>43290223862915</v></cell><cell r="E1176" t="str"><v>43290103175984PRC1LZ</v></cell><cell r="F1176" t="str"><v>DCM</v></cell><cell r="G1176" t="str"><v>https://azure.microsoft.com/en-us/pricing/purchase-options/?v=18.19&OCID=AID%eexcid!_OLA_%ebuy!_%epid!_%ecid!</v></cell></row><row r="1176"><cell r="K1176" t="str"><v>July</v></cell><cell r="L1176"><v>43295</v></cell><cell r="M1176" t="str"><v>Tier 0</v></cell><cell r="N1176" t="str"><v>North America</v></cell><cell r="O1176" t="str"><v>United States</v></cell><cell r="P1176" t="str"><v>Trial</v></cell><cell r="Q1176" t="str"><v>Social</v></cell><cell r="R1176" t="str"><v>Azure</v></cell><cell r="S1176" t="str"><v>Apps & Infra</v></cell><cell r="T1176" t="str"><v>Developers & ITI's</v></cell><cell r="U1176" t="str"><v>USA-Trial-ITD-Trial Lookalike-AZR-AZR</v></cell><cell r="V1176" t="str"><v>Lookalike Targeting</v></cell><cell r="W1176" t="str"><v>Canvas Ad</v></cell><cell r="X1176" t="str"><v>1x1</v></cell></row><row r="1176"><cell r="AA1176"><v>43290</v></cell><cell r="AB1176" t="str"><v>USA_gaPMG_AZR_AZR_Q1_19_Direct-Social</v></cell><cell r="AC1176"><v>21358715</v></cell><cell r="AD1176"><v>720197</v></cell><cell r="AE1176" t="str"><v>Facebook</v></cell><cell r="AF1176"><v>3654128</v></cell><cell r="AG1176" t="str"><v>FACEBOOK»USA-Trial-ITD-Trial Lookalike-AZR-AZR»1 x 1»SocialBan»CAN»ALL»CPA»LAL»X»NA»SS»NA»FBCTCBasicMotion»PRC1LZ</v></cell><cell r="AH1176"><v>223862915</v></cell><cell r="AI1176" t="str"><v>AzurePlatform_FBCTCBasicMotion_USA_10s_CAN_PLATFORM_English_Trial_Standard_STAN_TIN_T1_2</v></cell><cell r="AJ1176"><v>103175984</v></cell></row><row r="1177"><cell r="C1177" t="str"><v>43290FACEBOOK»USA-Trial-ITD-Trial PayGo Lookalike-AZR-AZR»1 x 1»SocialBan»CAN»ALL»CPA»LAL»X»NA»SS»NA»FBCTCBasicMotion»PRC1Q0</v></cell><cell r="D1177" t="str"><v>43290223935664</v></cell><cell r="E1177" t="str"><v>43290103043823PRC1Q0</v></cell><cell r="F1177" t="str"><v>DCM</v></cell><cell r="G1177" t="str"><v>https://signup.azure.com/?OCID=AID%eexcid!_OLA_%ebuy!_%epid!_%ecid!</v></cell></row><row r="1177"><cell r="K1177" t="str"><v>July</v></cell><cell r="L1177"><v>43295</v></cell><cell r="M1177" t="str"><v>Tier 0</v></cell><cell r="N1177" t="str"><v>North America</v></cell><cell r="O1177" t="str"><v>United States</v></cell><cell r="P1177" t="str"><v>Trial</v></cell><cell r="Q1177" t="str"><v>Social</v></cell><cell r="R1177" t="str"><v>Azure</v></cell><cell r="S1177" t="str"><v>Apps & Infra</v></cell><cell r="T1177" t="str"><v>Developers & ITI's</v></cell><cell r="U1177" t="str"><v>USA-Trial-ITD-Trial PayGo Lookalike-AZR-AZR</v></cell><cell r="V1177" t="str"><v>Lookalike Targeting</v></cell><cell r="W1177" t="str"><v>Canvas Ad</v></cell><cell r="X1177" t="str"><v>1x1</v></cell></row><row r="1177"><cell r="AA1177"><v>43290</v></cell><cell r="AB1177" t="str"><v>USA_gaPMG_AZR_AZR_Q1_19_Direct-Social</v></cell><cell r="AC1177"><v>21358715</v></cell><cell r="AD1177"><v>720197</v></cell><cell r="AE1177" t="str"><v>Facebook</v></cell><cell r="AF1177"><v>3654128</v></cell><cell r="AG1177" t="str"><v>FACEBOOK»USA-Trial-ITD-Trial PayGo Lookalike-AZR-AZR»1 x 1»SocialBan»CAN»ALL»CPA»LAL»X»NA»SS»NA»FBCTCBasicMotion»PRC1Q0</v></cell><cell r="AH1177"><v>223935664</v></cell><cell r="AI1177" t="str"><v>AzurePlatform_FBCTCBasicMotion_USA_10s_CAN_PLATFORM_English_Trial_Standard_STAN_TIN_T1_1</v></cell><cell r="AJ1177"><v>103043823</v></cell></row><row r="1178"><cell r="C1178" t="str"><v>43290FACEBOOK»USA-Trial-ITD-Trial PayGo Lookalike-AZR-AZR»1 x 1»SocialBan»CAN»ALL»CPA»LAL»X»NA»SS»NA»FBCTCBasicMotion»PRC1Q0</v></cell><cell r="D1178" t="str"><v>43290223935664</v></cell><cell r="E1178" t="str"><v>43290103175984PRC1Q0</v></cell><cell r="F1178" t="str"><v>DCM</v></cell><cell r="G1178" t="str"><v>https://azure.microsoft.com/en-us/pricing/purchase-options/?v=18.19&OCID=AID%eexcid!_OLA_%ebuy!_%epid!_%ecid!</v></cell></row><row r="1178"><cell r="K1178" t="str"><v>July</v></cell><cell r="L1178"><v>43295</v></cell><cell r="M1178" t="str"><v>Tier 0</v></cell><cell r="N1178" t="str"><v>North America</v></cell><cell r="O1178" t="str"><v>United States</v></cell><cell r="P1178" t="str"><v>Trial</v></cell><cell r="Q1178" t="str"><v>Social</v></cell><cell r="R1178" t="str"><v>Azure</v></cell><cell r="S1178" t="str"><v>Apps & Infra</v></cell><cell r="T1178" t="str"><v>Developers & ITI's</v></cell><cell r="U1178" t="str"><v>USA-Trial-ITD-Trial PayGo Lookalike-AZR-AZR</v></cell><cell r="V1178" t="str"><v>Lookalike Targeting</v></cell><cell r="W1178" t="str"><v>Canvas Ad</v></cell><cell r="X1178" t="str"><v>1x1</v></cell></row><row r="1178"><cell r="AA1178"><v>43290</v></cell><cell r="AB1178" t="str"><v>USA_gaPMG_AZR_AZR_Q1_19_Direct-Social</v></cell><cell r="AC1178"><v>21358715</v></cell><cell r="AD1178"><v>720197</v></cell><cell r="AE1178" t="str"><v>Facebook</v></cell><cell r="AF1178"><v>3654128</v></cell><cell r="AG1178" t="str"><v>FACEBOOK»USA-Trial-ITD-Trial PayGo Lookalike-AZR-AZR»1 x 1»SocialBan»CAN»ALL»CPA»LAL»X»NA»SS»NA»FBCTCBasicMotion»PRC1Q0</v></cell><cell r="AH1178"><v>223935664</v></cell><cell r="AI1178" t="str"><v>AzurePlatform_FBCTCBasicMotion_USA_10s_CAN_PLATFORM_English_Trial_Standard_STAN_TIN_T1_2</v></cell><cell r="AJ1178"><v>103175984</v></cell></row><row r="1179"><cell r="C1179" t="str"><v>43290FACEBOOK»USA-Trial-ITD-Trial PayGo Lookalike-AZR-AZR»1 x 1»SocialBan»LIA»ALL»CPA»LAL»X»NA»SS»NA»FreeAcctDeveloperFB-AnimatedAI-Ch3»PRC1Q8</v></cell><cell r="D1179" t="str"><v>43290224104983</v></cell><cell r="E1179" t="str"><v>43290103032778PRC1Q8</v></cell><cell r="F1179" t="str"><v>DCM</v></cell></row><row r="1179"><cell r="K1179" t="str"><v>July</v></cell><cell r="L1179"><v>43295</v></cell><cell r="M1179" t="str"><v>Tier 0</v></cell><cell r="N1179" t="str"><v>North America</v></cell><cell r="O1179" t="str"><v>United States</v></cell><cell r="P1179" t="str"><v>Trial</v></cell><cell r="Q1179" t="str"><v>Social</v></cell><cell r="R1179" t="str"><v>Azure</v></cell><cell r="S1179" t="str"><v>Apps & Infra</v></cell><cell r="T1179" t="str"><v>Developers & ITI's</v></cell><cell r="U1179" t="str"><v>USA-Trial-ITD-Trial PayGo Lookalike-AZR-AZR</v></cell><cell r="V1179" t="str"><v>Lookalike Targeting</v></cell><cell r="W1179" t="str"><v>Link Ad</v></cell><cell r="X1179" t="str"><v>1x1</v></cell></row><row r="1179"><cell r="AA1179"><v>43290</v></cell><cell r="AB1179" t="str"><v>USA_gaPMG_AZR_AZR_Q1_19_Direct-Social</v></cell><cell r="AC1179"><v>21358715</v></cell><cell r="AD1179"><v>720197</v></cell><cell r="AE1179" t="str"><v>Facebook</v></cell><cell r="AF1179"><v>3654128</v></cell><cell r="AG1179" t="str"><v>FACEBOOK»USA-Trial-ITD-Trial PayGo Lookalike-AZR-AZR»1 x 1»SocialBan»LIA»ALL»CPA»LAL»X»NA»SS»NA»FreeAcctDeveloperFB-AnimatedAI-Ch3»PRC1Q8</v></cell><cell r="AH1179"><v>224104983</v></cell><cell r="AI1179" t="str"><v>AZR_FreeAcctDeveloperFB-AnimatedAI-Ch3_USA_1200x1200_CAN_Direct_English_Trial_Standard_ANI_LEA_T3_1</v></cell><cell r="AJ1179"><v>103032778</v></cell></row><row r="1180"><cell r="C1180" t="str"><v>43290FACEBOOK»USA-Trial-ITD-Trial PayGo Lookalike-AZR-AZR»1 x 1»SocialBan»LIA»ALL»CPA»LAL»X»NA»SS»NA»FreeAcctDeveloperFB-AnimatedData-Ch4»PRC1Q9</v></cell><cell r="D1180" t="str"><v>43290224106990</v></cell><cell r="E1180" t="str"><v>43290103037935PRC1Q9</v></cell><cell r="F1180" t="str"><v>DCM</v></cell></row><row r="1180"><cell r="K1180" t="str"><v>July</v></cell><cell r="L1180"><v>43295</v></cell><cell r="M1180" t="str"><v>Tier 0</v></cell><cell r="N1180" t="str"><v>North America</v></cell><cell r="O1180" t="str"><v>United States</v></cell><cell r="P1180" t="str"><v>Trial</v></cell><cell r="Q1180" t="str"><v>Social</v></cell><cell r="R1180" t="str"><v>Azure</v></cell><cell r="S1180" t="str"><v>Apps & Infra</v></cell><cell r="T1180" t="str"><v>Developers & ITI's</v></cell><cell r="U1180" t="str"><v>USA-Trial-ITD-Trial PayGo Lookalike-AZR-AZR</v></cell><cell r="V1180" t="str"><v>Lookalike Targeting</v></cell><cell r="W1180" t="str"><v>Link Ad</v></cell><cell r="X1180" t="str"><v>1x1</v></cell></row><row r="1180"><cell r="AA1180"><v>43290</v></cell><cell r="AB1180" t="str"><v>USA_gaPMG_AZR_AZR_Q1_19_Direct-Social</v></cell><cell r="AC1180"><v>21358715</v></cell><cell r="AD1180"><v>720197</v></cell><cell r="AE1180" t="str"><v>Facebook</v></cell><cell r="AF1180"><v>3654128</v></cell><cell r="AG1180" t="str"><v>FACEBOOK»USA-Trial-ITD-Trial PayGo Lookalike-AZR-AZR»1 x 1»SocialBan»LIA»ALL»CPA»LAL»X»NA»SS»NA»FreeAcctDeveloperFB-AnimatedData-Ch4»PRC1Q9</v></cell><cell r="AH1180"><v>224106990</v></cell><cell r="AI1180" t="str"><v>AZR_FreeAcctDeveloperFB-AnimatedData-Ch4_USA_1200x1200_CAN_Direct_English_Trial_Standard_ANI_LEA_T4_2</v></cell><cell r="AJ1180"><v>103037935</v></cell></row><row r="1181"><cell r="C1181" t="str"><v>43290FACEBOOK»USA-Trial-ITD-Trial PayGo Lookalike-AZR-AZR»1 x 1»SocialBan»LIA»ALL»CPA»LAL»X»NA»SS»NA»FreeAcctDeveloperFB-AnimatedGeneric-Ch1»PRC1Q5</v></cell><cell r="D1181" t="str"><v>43290224104092</v></cell><cell r="E1181" t="str"><v>43290103176851PRC1Q5</v></cell><cell r="F1181" t="str"><v>DCM</v></cell><cell r="G1181" t="str"><v>https://azure.microsoft.com/en-us/free/search/?OCID=AID%eexcid!_OLA_%ebuy!_%epid!_%ecid!</v></cell></row><row r="1181"><cell r="K1181" t="str"><v>July</v></cell><cell r="L1181"><v>43295</v></cell><cell r="M1181" t="str"><v>Tier 0</v></cell><cell r="N1181" t="str"><v>North America</v></cell><cell r="O1181" t="str"><v>United States</v></cell><cell r="P1181" t="str"><v>Trial</v></cell><cell r="Q1181" t="str"><v>Social</v></cell><cell r="R1181" t="str"><v>Azure</v></cell><cell r="S1181" t="str"><v>Apps & Infra</v></cell><cell r="T1181" t="str"><v>Developers & ITI's</v></cell><cell r="U1181" t="str"><v>USA-Trial-ITD-Trial PayGo Lookalike-AZR-AZR</v></cell><cell r="V1181" t="str"><v>Lookalike Targeting</v></cell><cell r="W1181" t="str"><v>Link Ad</v></cell><cell r="X1181" t="str"><v>1x1</v></cell></row><row r="1181"><cell r="AA1181"><v>43290</v></cell><cell r="AB1181" t="str"><v>USA_gaPMG_AZR_AZR_Q1_19_Direct-Social</v></cell><cell r="AC1181"><v>21358715</v></cell><cell r="AD1181"><v>720197</v></cell><cell r="AE1181" t="str"><v>Facebook</v></cell><cell r="AF1181"><v>3654128</v></cell><cell r="AG1181" t="str"><v>FACEBOOK»USA-Trial-ITD-Trial PayGo Lookalike-AZR-AZR»1 x 1»SocialBan»LIA»ALL»CPA»LAL»X»NA»SS»NA»FreeAcctDeveloperFB-AnimatedGeneric-Ch1»PRC1Q5</v></cell><cell r="AH1181"><v>224104092</v></cell><cell r="AI1181" t="str"><v>AZR_FreeAcctDeveloperFB-AnimatedGeneric-Ch1_USA_1200x1200_CAN_Direct_English_Trial_Standard_ANI_LEA_T1_2</v></cell><cell r="AJ1181"><v>103176851</v></cell></row><row r="1182"><cell r="C1182" t="str"><v>43290FACEBOOK»USA-Trial-ITD-Trial PayGo Lookalike-AZR-AZR»1 x 1»SocialBan»LIA»ALL»CPA»LAL»X»NA»SS»NA»FreeAcctDeveloperFB-AnimatedOpenSource-Ch2»PRC1Q7</v></cell><cell r="D1182" t="str"><v>43290223862951</v></cell><cell r="E1182" t="str"><v>43290103048329PRC1Q7</v></cell><cell r="F1182" t="str"><v>DCM</v></cell><cell r="G1182" t="str"><v>https://azure.microsoft.com/en-us/free/open-source/search/?OCID=AID%eexcid!_OLA_%ebuy!_%epid!_%ecid!</v></cell></row><row r="1182"><cell r="K1182" t="str"><v>July</v></cell><cell r="L1182"><v>43295</v></cell><cell r="M1182" t="str"><v>Tier 0</v></cell><cell r="N1182" t="str"><v>North America</v></cell><cell r="O1182" t="str"><v>United States</v></cell><cell r="P1182" t="str"><v>Trial</v></cell><cell r="Q1182" t="str"><v>Social</v></cell><cell r="R1182" t="str"><v>Azure</v></cell><cell r="S1182" t="str"><v>Apps & Infra</v></cell><cell r="T1182" t="str"><v>Developers & ITI's</v></cell><cell r="U1182" t="str"><v>USA-Trial-ITD-Trial PayGo Lookalike-AZR-AZR</v></cell><cell r="V1182" t="str"><v>Lookalike Targeting</v></cell><cell r="W1182" t="str"><v>Link Ad</v></cell><cell r="X1182" t="str"><v>1x1</v></cell></row><row r="1182"><cell r="AA1182"><v>43290</v></cell><cell r="AB1182" t="str"><v>USA_gaPMG_AZR_AZR_Q1_19_Direct-Social</v></cell><cell r="AC1182"><v>21358715</v></cell><cell r="AD1182"><v>720197</v></cell><cell r="AE1182" t="str"><v>Facebook</v></cell><cell r="AF1182"><v>3654128</v></cell><cell r="AG1182" t="str"><v>FACEBOOK»USA-Trial-ITD-Trial PayGo Lookalike-AZR-AZR»1 x 1»SocialBan»LIA»ALL»CPA»LAL»X»NA»SS»NA»FreeAcctDeveloperFB-AnimatedOpenSource-Ch2»PRC1Q7</v></cell><cell r="AH1182"><v>223862951</v></cell><cell r="AI1182" t="str"><v>AZR_FreeAcctDeveloperFB-AnimatedOpenSource-Ch2_USA_1200x1200_CAN_Direct_English_Trial_Standard_ANI_LEA_T2_1</v></cell><cell r="AJ1182"><v>103048329</v></cell></row><row r="1183"><cell r="C1183" t="str"><v>43290FACEBOOK»USA-Trial-ITD-Trial PayGo Lookalike-AZR-AZR»1 x 1»SocialBan»LIA»ALL»CPA»LAL»X»NA»SS»NA»FreeAcctITProFB-AnimatedHybrid-Ch2»PRC1QC</v></cell><cell r="D1183" t="str"><v>43290223933186</v></cell><cell r="E1183" t="str"><v>43290103180583PRC1QC</v></cell><cell r="F1183" t="str"><v>DCM</v></cell></row><row r="1183"><cell r="K1183" t="str"><v>July</v></cell><cell r="L1183"><v>43295</v></cell><cell r="M1183" t="str"><v>Tier 0</v></cell><cell r="N1183" t="str"><v>North America</v></cell><cell r="O1183" t="str"><v>United States</v></cell><cell r="P1183" t="str"><v>Trial</v></cell><cell r="Q1183" t="str"><v>Social</v></cell><cell r="R1183" t="str"><v>Azure</v></cell><cell r="S1183" t="str"><v>Apps & Infra</v></cell><cell r="T1183" t="str"><v>Developers & ITI's</v></cell><cell r="U1183" t="str"><v>USA-Trial-ITD-Trial PayGo Lookalike-AZR-AZR</v></cell><cell r="V1183" t="str"><v>Lookalike Targeting</v></cell><cell r="W1183" t="str"><v>Link Ad</v></cell><cell r="X1183" t="str"><v>1x1</v></cell></row><row r="1183"><cell r="AA1183"><v>43290</v></cell><cell r="AB1183" t="str"><v>USA_gaPMG_AZR_AZR_Q1_19_Direct-Social</v></cell><cell r="AC1183"><v>21358715</v></cell><cell r="AD1183"><v>720197</v></cell><cell r="AE1183" t="str"><v>Facebook</v></cell><cell r="AF1183"><v>3654128</v></cell><cell r="AG1183" t="str"><v>FACEBOOK»USA-Trial-ITD-Trial PayGo Lookalike-AZR-AZR»1 x 1»SocialBan»LIA»ALL»CPA»LAL»X»NA»SS»NA»FreeAcctITProFB-AnimatedHybrid-Ch2»PRC1QC</v></cell><cell r="AH1183"><v>223933186</v></cell><cell r="AI1183" t="str"><v>AZR_FreeAcctITProFB-AnimatedHybrid-Ch2_USA_1200x1200_CAN_Direct_English_Trial_Standard_ANI_LEA_T2_2</v></cell><cell r="AJ1183"><v>103180583</v></cell></row><row r="1184"><cell r="C1184" t="str"><v>43290FACEBOOK»USA-Trial-ITD-Trial PayGo Lookalike-AZR-AZR»1 x 1»SocialBan»LIA»ALL»CPA»LAL»X»NA»SS»NA»FreeAcctITProFB-AnimatedMigration-Ch3»PRC23Y</v></cell><cell r="D1184" t="str"><v>43290224105904</v></cell><cell r="E1184" t="str"><v>43290103176827PRC23Y</v></cell><cell r="F1184" t="str"><v>DCM</v></cell></row><row r="1184"><cell r="K1184" t="str"><v>July</v></cell><cell r="L1184"><v>43295</v></cell><cell r="M1184" t="str"><v>Tier 0</v></cell><cell r="N1184" t="str"><v>North America</v></cell><cell r="O1184" t="str"><v>United States</v></cell><cell r="P1184" t="str"><v>Trial</v></cell><cell r="Q1184" t="str"><v>Social</v></cell><cell r="R1184" t="str"><v>Azure</v></cell><cell r="S1184" t="str"><v>Apps & Infra</v></cell><cell r="T1184" t="str"><v>Developers & ITI's</v></cell><cell r="U1184" t="str"><v>USA-Trial-ITD-Trial PayGo Lookalike-AZR-AZR</v></cell><cell r="V1184" t="str"><v>Lookalike Targeting</v></cell><cell r="W1184" t="str"><v>Link Ad</v></cell><cell r="X1184" t="str"><v>1x1</v></cell></row><row r="1184"><cell r="AA1184"><v>43290</v></cell><cell r="AB1184" t="str"><v>USA_gaPMG_AZR_AZR_Q1_19_Direct-Social</v></cell><cell r="AC1184"><v>21358715</v></cell><cell r="AD1184"><v>720197</v></cell><cell r="AE1184" t="str"><v>Facebook</v></cell><cell r="AF1184"><v>3654128</v></cell><cell r="AG1184" t="str"><v>FACEBOOK»USA-Trial-ITD-Trial PayGo Lookalike-AZR-AZR»1 x 1»SocialBan»LIA»ALL»CPA»LAL»X»NA»SS»NA»FreeAcctITProFB-AnimatedMigration-Ch3»PRC23Y</v></cell><cell r="AH1184"><v>224105904</v></cell><cell r="AI1184" t="str"><v>AZR_FreeAcctITProFB-AnimatedMigration-Ch3_USA_1200x1200_CAN_Direct_English_Trial_Standard_ANI_LEA_T3_1</v></cell><cell r="AJ1184"><v>103176827</v></cell></row><row r="1185"><cell r="C1185" t="str"><v>43290FACEBOOK»USA-Trial-ITD-Trial PayGo Lookalike-AZR-AZR»1 x 1»SocialBan»LIA»ALL»CPA»LAL»X»NA»SS»NA»FreeAcctITProFB-AnimatedSecureMngd-Ch1»PRC1QB</v></cell><cell r="D1185" t="str"><v>43290223862945</v></cell><cell r="E1185" t="str"><v>43290103176830PRC1QB</v></cell><cell r="F1185" t="str"><v>DCM</v></cell></row><row r="1185"><cell r="K1185" t="str"><v>July</v></cell><cell r="L1185"><v>43295</v></cell><cell r="M1185" t="str"><v>Tier 0</v></cell><cell r="N1185" t="str"><v>North America</v></cell><cell r="O1185" t="str"><v>United States</v></cell><cell r="P1185" t="str"><v>Trial</v></cell><cell r="Q1185" t="str"><v>Social</v></cell><cell r="R1185" t="str"><v>Azure</v></cell><cell r="S1185" t="str"><v>Apps & Infra</v></cell><cell r="T1185" t="str"><v>Developers & ITI's</v></cell><cell r="U1185" t="str"><v>USA-Trial-ITD-Trial PayGo Lookalike-AZR-AZR</v></cell><cell r="V1185" t="str"><v>Lookalike Targeting</v></cell><cell r="W1185" t="str"><v>Link Ad</v></cell><cell r="X1185" t="str"><v>1x1</v></cell></row><row r="1185"><cell r="AA1185"><v>43290</v></cell><cell r="AB1185" t="str"><v>USA_gaPMG_AZR_AZR_Q1_19_Direct-Social</v></cell><cell r="AC1185"><v>21358715</v></cell><cell r="AD1185"><v>720197</v></cell><cell r="AE1185" t="str"><v>Facebook</v></cell><cell r="AF1185"><v>3654128</v></cell><cell r="AG1185" t="str"><v>FACEBOOK»USA-Trial-ITD-Trial PayGo Lookalike-AZR-AZR»1 x 1»SocialBan»LIA»ALL»CPA»LAL»X»NA»SS»NA»FreeAcctITProFB-AnimatedSecureMngd-Ch1»PRC1QB</v></cell><cell r="AH1185"><v>223862945</v></cell><cell r="AI1185" t="str"><v>AZR_FreeAcctITProFB-AnimatedSecureMngd-Ch1_USA_1200x1200_CAN_Direct_English_Trial_Standard_ANI_LEA_T1_1</v></cell><cell r="AJ1185"><v>103176830</v></cell></row><row r="1186"><cell r="C1186" t="str"><v>43290INSTAGRAM»USA-Trial-ITD-Interest Prospecting-AZR-AZR»1 x 1»SocialBan»CAN»ALL»CPA»PRO»X»NA»SS»NA»IGCTCBrandinMotion»PRC2PB</v></cell><cell r="D1186" t="str"><v>43290223862690</v></cell><cell r="E1186" t="str"><v>43290103050783PRC2PB</v></cell><cell r="F1186" t="str"><v>DCM</v></cell><cell r="G1186" t="str"><v>https://signup.azure.com/?OCID=AID%eexcid!_OLA_%ebuy!_%epid!_%ecid!</v></cell></row><row r="1186"><cell r="K1186" t="str"><v>July</v></cell><cell r="L1186"><v>43295</v></cell><cell r="M1186" t="str"><v>Tier 0</v></cell><cell r="N1186" t="str"><v>North America</v></cell><cell r="O1186" t="str"><v>United States</v></cell><cell r="P1186" t="str"><v>Trial</v></cell><cell r="Q1186" t="str"><v>Social</v></cell><cell r="R1186" t="str"><v>Azure</v></cell><cell r="S1186" t="str"><v>Apps & Infra</v></cell><cell r="T1186" t="str"><v>Developers & ITI's</v></cell><cell r="U1186" t="str"><v>USA-Trial-ITD-Interest Prospecting-AZR-AZR</v></cell><cell r="V1186" t="str"><v>Prospecting</v></cell><cell r="W1186" t="str"><v>Canvas Ad</v></cell><cell r="X1186" t="str"><v>1x1</v></cell></row><row r="1186"><cell r="AA1186"><v>43290</v></cell><cell r="AB1186" t="str"><v>USA_gaPMG_AZR_AZR_Q1_19_Direct-Social</v></cell><cell r="AC1186"><v>21358715</v></cell><cell r="AD1186"><v>720197</v></cell><cell r="AE1186" t="str"><v>Facebook - Instagram</v></cell><cell r="AF1186"><v>3654128</v></cell><cell r="AG1186" t="str"><v>INSTAGRAM»USA-Trial-ITD-Interest Prospecting-AZR-AZR»1 x 1»SocialBan»CAN»ALL»CPA»PRO»X»NA»SS»NA»IGCTCBrandinMotion»PRC2PB</v></cell><cell r="AH1186"><v>223862690</v></cell><cell r="AI1186" t="str"><v>AzurePlatform_IGCTCBenefit2inMotion_USA_10s_CAN_PLATFORM_English_Trial_Standard_STAN_TIN_T4_1</v></cell><cell r="AJ1186"><v>103050783</v></cell></row><row r="1187"><cell r="C1187" t="str"><v>43290INSTAGRAM»USA-Trial-ITD-Interest Prospecting-AZR-AZR»1 x 1»SocialBan»CAN»ALL»CPA»PRO»X»NA»SS»NA»IGCTCBrandinMotion»PRC2PB</v></cell><cell r="D1187" t="str"><v>43290223862690</v></cell><cell r="E1187" t="str"><v>43290103178714PRC2PB</v></cell><cell r="F1187" t="str"><v>DCM</v></cell><cell r="G1187" t="str"><v>https://azure.microsoft.com/en-us/pricing/purchase-options/?v=18.19&OCID=AID%eexcid!_OLA_%ebuy!_%epid!_%ecid!</v></cell></row><row r="1187"><cell r="K1187" t="str"><v>July</v></cell><cell r="L1187"><v>43295</v></cell><cell r="M1187" t="str"><v>Tier 0</v></cell><cell r="N1187" t="str"><v>North America</v></cell><cell r="O1187" t="str"><v>United States</v></cell><cell r="P1187" t="str"><v>Trial</v></cell><cell r="Q1187" t="str"><v>Social</v></cell><cell r="R1187" t="str"><v>Azure</v></cell><cell r="S1187" t="str"><v>Apps & Infra</v></cell><cell r="T1187" t="str"><v>Developers & ITI's</v></cell><cell r="U1187" t="str"><v>USA-Trial-ITD-Interest Prospecting-AZR-AZR</v></cell><cell r="V1187" t="str"><v>Prospecting</v></cell><cell r="W1187" t="str"><v>Canvas Ad</v></cell><cell r="X1187" t="str"><v>1x1</v></cell></row><row r="1187"><cell r="AA1187"><v>43290</v></cell><cell r="AB1187" t="str"><v>USA_gaPMG_AZR_AZR_Q1_19_Direct-Social</v></cell><cell r="AC1187"><v>21358715</v></cell><cell r="AD1187"><v>720197</v></cell><cell r="AE1187" t="str"><v>Facebook - Instagram</v></cell><cell r="AF1187"><v>3654128</v></cell><cell r="AG1187" t="str"><v>INSTAGRAM»USA-Trial-ITD-Interest Prospecting-AZR-AZR»1 x 1»SocialBan»CAN»ALL»CPA»PRO»X»NA»SS»NA»IGCTCBrandinMotion»PRC2PB</v></cell><cell r="AH1187"><v>223862690</v></cell><cell r="AI1187" t="str"><v>AzurePlatform_IGCTCBenefit2inMotion_USA_10s_CAN_PLATFORM_English_Trial_Standard_STAN_TIN_T4_2</v></cell><cell r="AJ1187"><v>103178714</v></cell></row><row r="1188"><cell r="C1188" t="str"><v>43290INSTAGRAM»USA-Trial-ITD-Lead Completes-AZR-AZR»1 x 1»SocialBan»CAN»ALL»CPA»PRO»X»NA»SS»NA»IGCTCBasicMotion»PRC2M5</v></cell><cell r="D1188" t="str"><v>43290224101449</v></cell><cell r="E1188" t="str"><v>43290103037968PRC2M5</v></cell><cell r="F1188" t="str"><v>DCM</v></cell><cell r="G1188" t="str"><v>https://signup.azure.com/?OCID=AID%eexcid!_OLA_%ebuy!_%epid!_%ecid!</v></cell></row><row r="1188"><cell r="K1188" t="str"><v>July</v></cell><cell r="L1188"><v>43295</v></cell><cell r="M1188" t="str"><v>Tier 0</v></cell><cell r="N1188" t="str"><v>North America</v></cell><cell r="O1188" t="str"><v>United States</v></cell><cell r="P1188" t="str"><v>Trial</v></cell><cell r="Q1188" t="str"><v>Social</v></cell><cell r="R1188" t="str"><v>Azure</v></cell><cell r="S1188" t="str"><v>Apps & Infra</v></cell><cell r="T1188" t="str"><v>Developers & ITI's</v></cell><cell r="U1188" t="str"><v>USA-Trial-ITD-Lead Completes-AZR-AZR</v></cell><cell r="V1188" t="str"><v>Prospecting</v></cell><cell r="W1188" t="str"><v>Canvas Ad</v></cell><cell r="X1188" t="str"><v>1x1</v></cell></row><row r="1188"><cell r="AA1188"><v>43290</v></cell><cell r="AB1188" t="str"><v>USA_gaPMG_AZR_AZR_Q1_19_Direct-Social</v></cell><cell r="AC1188"><v>21358715</v></cell><cell r="AD1188"><v>720197</v></cell><cell r="AE1188" t="str"><v>Facebook - Instagram</v></cell><cell r="AF1188"><v>3654128</v></cell><cell r="AG1188" t="str"><v>INSTAGRAM»USA-Trial-ITD-Lead Completes-AZR-AZR»1 x 1»SocialBan»CAN»ALL»CPA»PRO»X»NA»SS»NA»IGCTCBasicMotion»PRC2M5</v></cell><cell r="AH1188"><v>224101449</v></cell><cell r="AI1188" t="str"><v>AzurePlatform_IGCTCBasicMotion_USA_10s_CAN_PLATFORM_English_Trial_Standard_STAN_TIN_T1_1</v></cell><cell r="AJ1188"><v>103037968</v></cell></row><row r="1189"><cell r="C1189" t="str"><v>43290INSTAGRAM»USA-Trial-ITD-Retargeting-AZR-AZR»1 x 1»SocialBan»CAN»ALL»CPA»RT»X»NA»SS»NA»IGCTCBrandinMotion»PRC2G3</v></cell><cell r="D1189" t="str"><v>43290224107014</v></cell><cell r="E1189" t="str"><v>43290103050783PRC2G3</v></cell><cell r="F1189" t="str"><v>DCM</v></cell><cell r="G1189" t="str"><v>https://signup.azure.com/?OCID=AID%eexcid!_OLA_%ebuy!_%epid!_%ecid!</v></cell></row><row r="1189"><cell r="K1189" t="str"><v>July</v></cell><cell r="L1189"><v>43295</v></cell><cell r="M1189" t="str"><v>Tier 0</v></cell><cell r="N1189" t="str"><v>North America</v></cell><cell r="O1189" t="str"><v>United States</v></cell><cell r="P1189" t="str"><v>Trial</v></cell><cell r="Q1189" t="str"><v>Social</v></cell><cell r="R1189" t="str"><v>Azure</v></cell><cell r="S1189" t="str"><v>Apps & Infra</v></cell><cell r="T1189" t="str"><v>Developers & ITI's</v></cell><cell r="U1189" t="str"><v>USA-Trial-ITD-Retargeting-AZR-AZR</v></cell><cell r="V1189" t="str"><v>Retargeting</v></cell><cell r="W1189" t="str"><v>Canvas Ad</v></cell><cell r="X1189" t="str"><v>1x1</v></cell></row><row r="1189"><cell r="AA1189"><v>43290</v></cell><cell r="AB1189" t="str"><v>USA_gaPMG_AZR_AZR_Q1_19_Direct-Social</v></cell><cell r="AC1189"><v>21358715</v></cell><cell r="AD1189"><v>720197</v></cell><cell r="AE1189" t="str"><v>Facebook - Instagram</v></cell><cell r="AF1189"><v>3654128</v></cell><cell r="AG1189" t="str"><v>INSTAGRAM»USA-Trial-ITD-Retargeting-AZR-AZR»1 x 1»SocialBan»CAN»ALL»CPA»RT»X»NA»SS»NA»IGCTCBrandinMotion»PRC2G3</v></cell><cell r="AH1189"><v>224107014</v></cell><cell r="AI1189" t="str"><v>AzurePlatform_IGCTCBenefit2inMotion_USA_10s_CAN_PLATFORM_English_Trial_Standard_STAN_TIN_T4_1</v></cell><cell r="AJ1189"><v>103050783</v></cell></row><row r="1190"><cell r="C1190" t="str"><v>43290INSTAGRAM»USA-Trial-ITD-Retargeting-AZR-AZR»1 x 1»SocialBan»CAN»ALL»CPA»RT»X»NA»SS»NA»IGCTCBenefitinMotion»PRC2G4</v></cell><cell r="D1190" t="str"><v>43290224107536</v></cell><cell r="E1190" t="str"><v>43290103050780PRC2G4</v></cell><cell r="F1190" t="str"><v>DCM</v></cell><cell r="G1190" t="str"><v>https://signup.azure.com/?OCID=AID%eexcid!_OLA_%ebuy!_%epid!_%ecid!</v></cell></row><row r="1190"><cell r="K1190" t="str"><v>July</v></cell><cell r="L1190"><v>43295</v></cell><cell r="M1190" t="str"><v>Tier 0</v></cell><cell r="N1190" t="str"><v>North America</v></cell><cell r="O1190" t="str"><v>United States</v></cell><cell r="P1190" t="str"><v>Trial</v></cell><cell r="Q1190" t="str"><v>Social</v></cell><cell r="R1190" t="str"><v>Azure</v></cell><cell r="S1190" t="str"><v>Apps & Infra</v></cell><cell r="T1190" t="str"><v>Developers & ITI's</v></cell><cell r="U1190" t="str"><v>USA-Trial-ITD-Retargeting-AZR-AZR</v></cell><cell r="V1190" t="str"><v>Retargeting</v></cell><cell r="W1190" t="str"><v>Canvas Ad</v></cell><cell r="X1190" t="str"><v>1x1</v></cell></row><row r="1190"><cell r="AA1190"><v>43290</v></cell><cell r="AB1190" t="str"><v>USA_gaPMG_AZR_AZR_Q1_19_Direct-Social</v></cell><cell r="AC1190"><v>21358715</v></cell><cell r="AD1190"><v>720197</v></cell><cell r="AE1190" t="str"><v>Facebook - Instagram</v></cell><cell r="AF1190"><v>3654128</v></cell><cell r="AG1190" t="str"><v>INSTAGRAM»USA-Trial-ITD-Retargeting-AZR-AZR»1 x 1»SocialBan»CAN»ALL»CPA»RT»X»NA»SS»NA»IGCTCBenefitinMotion»PRC2G4</v></cell><cell r="AH1190"><v>224107536</v></cell><cell r="AI1190" t="str"><v>AzurePlatform_IGCTCBenefitinMotion_USA_10s_CAN_PLATFORM_English_Trial_Standard_STAN_TIN_T3_1</v></cell><cell r="AJ1190"><v>103050780</v></cell></row><row r="1191"><cell r="C1191" t="str"><v>43290INSTAGRAM»USA-Trial-ITD-Retargeting-AZR-AZR»1 x 1»SocialBan»CAN»ALL»CPA»RT»X»NA»SS»NA»IGCTCBenefitinMotion»PRC2G4</v></cell><cell r="D1191" t="str"><v>43290224107536</v></cell><cell r="E1191" t="str"><v>43290103180637PRC2G4</v></cell><cell r="F1191" t="str"><v>DCM</v></cell><cell r="G1191" t="str"><v>https://azure.microsoft.com/en-us/pricing/purchase-options/?v=18.19&OCID=AID%eexcid!_OLA_%ebuy!_%epid!_%ecid!</v></cell></row><row r="1191"><cell r="K1191" t="str"><v>July</v></cell><cell r="L1191"><v>43295</v></cell><cell r="M1191" t="str"><v>Tier 0</v></cell><cell r="N1191" t="str"><v>North America</v></cell><cell r="O1191" t="str"><v>United States</v></cell><cell r="P1191" t="str"><v>Trial</v></cell><cell r="Q1191" t="str"><v>Social</v></cell><cell r="R1191" t="str"><v>Azure</v></cell><cell r="S1191" t="str"><v>Apps & Infra</v></cell><cell r="T1191" t="str"><v>Developers & ITI's</v></cell><cell r="U1191" t="str"><v>USA-Trial-ITD-Retargeting-AZR-AZR</v></cell><cell r="V1191" t="str"><v>Retargeting</v></cell><cell r="W1191" t="str"><v>Canvas Ad</v></cell><cell r="X1191" t="str"><v>1x1</v></cell></row><row r="1191"><cell r="AA1191"><v>43290</v></cell><cell r="AB1191" t="str"><v>USA_gaPMG_AZR_AZR_Q1_19_Direct-Social</v></cell><cell r="AC1191"><v>21358715</v></cell><cell r="AD1191"><v>720197</v></cell><cell r="AE1191" t="str"><v>Facebook - Instagram</v></cell><cell r="AF1191"><v>3654128</v></cell><cell r="AG1191" t="str"><v>INSTAGRAM»USA-Trial-ITD-Retargeting-AZR-AZR»1 x 1»SocialBan»CAN»ALL»CPA»RT»X»NA»SS»NA»IGCTCBenefitinMotion»PRC2G4</v></cell><cell r="AH1191"><v>224107536</v></cell><cell r="AI1191" t="str"><v>AzurePlatform_IGCTCBenefitinMotion_USA_10s_CAN_PLATFORM_English_Trial_Standard_STAN_TIN_T3_2</v></cell><cell r="AJ1191"><v>103180637</v></cell></row><row r="1192"><cell r="C1192" t="str"><v>43290INSTAGRAM»USA-Trial-ITD-Trial Lookalike-AZR-AZR»1 x 1»SocialBan»CAN»ALL»CPA»LAL»X»NA»SS»NA»IGCTCBenefit2inMotion»PRC2FL</v></cell><cell r="D1192" t="str"><v>43290223935022</v></cell><cell r="E1192" t="str"><v>43290103050786PRC2FL</v></cell><cell r="F1192" t="str"><v>DCM</v></cell><cell r="G1192" t="str"><v>https://azure.microsoft.com/en-us/pricing/purchase-options/?v=18.19&OCID=AID%eexcid!_OLA_%ebuy!_%epid!_%ecid!</v></cell></row><row r="1192"><cell r="K1192" t="str"><v>July</v></cell><cell r="L1192"><v>43295</v></cell><cell r="M1192" t="str"><v>Tier 0</v></cell><cell r="N1192" t="str"><v>North America</v></cell><cell r="O1192" t="str"><v>United States</v></cell><cell r="P1192" t="str"><v>Trial</v></cell><cell r="Q1192" t="str"><v>Social</v></cell><cell r="R1192" t="str"><v>Azure</v></cell><cell r="S1192" t="str"><v>Apps & Infra</v></cell><cell r="T1192" t="str"><v>Developers & ITI's</v></cell><cell r="U1192" t="str"><v>USA-Trial-ITD-Trial Lookalike-AZR-AZR</v></cell><cell r="V1192" t="str"><v>Lookalike Targeting</v></cell><cell r="W1192" t="str"><v>Canvas Ad</v></cell><cell r="X1192" t="str"><v>1x1</v></cell></row><row r="1192"><cell r="AA1192"><v>43290</v></cell><cell r="AB1192" t="str"><v>USA_gaPMG_AZR_AZR_Q1_19_Direct-Social</v></cell><cell r="AC1192"><v>21358715</v></cell><cell r="AD1192"><v>720197</v></cell><cell r="AE1192" t="str"><v>Facebook - Instagram</v></cell><cell r="AF1192"><v>3654128</v></cell><cell r="AG1192" t="str"><v>INSTAGRAM»USA-Trial-ITD-Trial Lookalike-AZR-AZR»1 x 1»SocialBan»CAN»ALL»CPA»LAL»X»NA»SS»NA»IGCTCBenefit2inMotion»PRC2FL</v></cell><cell r="AH1192"><v>223935022</v></cell><cell r="AI1192" t="str"><v>AzurePlatform_IGCTCBrandinMotion_USA_10s_CAN_PLATFORM_English_Trial_Standard_STAN_TIN_T2_2</v></cell><cell r="AJ1192"><v>103050786</v></cell></row><row r="1193"><cell r="C1193" t="str"><v>43290INSTAGRAM»USA-Trial-ITD-Trial Lookalike-AZR-AZR»1 x 1»SocialBan»CAN»ALL»CPA»LAL»X»NA»SS»NA»IGCTCBrandinMotion»PRC2FH</v></cell><cell r="D1193" t="str"><v>43290223935019</v></cell><cell r="E1193" t="str"><v>43290103050783PRC2FH</v></cell><cell r="F1193" t="str"><v>DCM</v></cell><cell r="G1193" t="str"><v>https://signup.azure.com/?OCID=AID%eexcid!_OLA_%ebuy!_%epid!_%ecid!</v></cell></row><row r="1193"><cell r="K1193" t="str"><v>July</v></cell><cell r="L1193"><v>43295</v></cell><cell r="M1193" t="str"><v>Tier 0</v></cell><cell r="N1193" t="str"><v>North America</v></cell><cell r="O1193" t="str"><v>United States</v></cell><cell r="P1193" t="str"><v>Trial</v></cell><cell r="Q1193" t="str"><v>Social</v></cell><cell r="R1193" t="str"><v>Azure</v></cell><cell r="S1193" t="str"><v>Apps & Infra</v></cell><cell r="T1193" t="str"><v>Developers & ITI's</v></cell><cell r="U1193" t="str"><v>USA-Trial-ITD-Trial Lookalike-AZR-AZR</v></cell><cell r="V1193" t="str"><v>Lookalike Targeting</v></cell><cell r="W1193" t="str"><v>Canvas Ad</v></cell><cell r="X1193" t="str"><v>1x1</v></cell></row><row r="1193"><cell r="AA1193"><v>43290</v></cell><cell r="AB1193" t="str"><v>USA_gaPMG_AZR_AZR_Q1_19_Direct-Social</v></cell><cell r="AC1193"><v>21358715</v></cell><cell r="AD1193"><v>720197</v></cell><cell r="AE1193" t="str"><v>Facebook - Instagram</v></cell><cell r="AF1193"><v>3654128</v></cell><cell r="AG1193" t="str"><v>INSTAGRAM»USA-Trial-ITD-Trial Lookalike-AZR-AZR»1 x 1»SocialBan»CAN»ALL»CPA»LAL»X»NA»SS»NA»IGCTCBrandinMotion»PRC2FH</v></cell><cell r="AH1193"><v>223935019</v></cell><cell r="AI1193" t="str"><v>AzurePlatform_IGCTCBenefit2inMotion_USA_10s_CAN_PLATFORM_English_Trial_Standard_STAN_TIN_T4_1</v></cell><cell r="AJ1193"><v>103050783</v></cell></row><row r="1194"><cell r="C1194" t="str"><v>43290INSTAGRAM»USA-Trial-ITD-Trial Lookalike-AZR-AZR»1 x 1»SocialBan»CAN»ALL»CPA»LAL»X»NA»SS»NA»IGCTCBrandinMotion»PRC2FH</v></cell><cell r="D1194" t="str"><v>43290223935019</v></cell><cell r="E1194" t="str"><v>43290103178714PRC2FH</v></cell><cell r="F1194" t="str"><v>DCM</v></cell><cell r="G1194" t="str"><v>https://azure.microsoft.com/en-us/pricing/purchase-options/?v=18.19&OCID=AID%eexcid!_OLA_%ebuy!_%epid!_%ecid!</v></cell></row><row r="1194"><cell r="K1194" t="str"><v>July</v></cell><cell r="L1194"><v>43295</v></cell><cell r="M1194" t="str"><v>Tier 0</v></cell><cell r="N1194" t="str"><v>North America</v></cell><cell r="O1194" t="str"><v>United States</v></cell><cell r="P1194" t="str"><v>Trial</v></cell><cell r="Q1194" t="str"><v>Social</v></cell><cell r="R1194" t="str"><v>Azure</v></cell><cell r="S1194" t="str"><v>Apps & Infra</v></cell><cell r="T1194" t="str"><v>Developers & ITI's</v></cell><cell r="U1194" t="str"><v>USA-Trial-ITD-Trial Lookalike-AZR-AZR</v></cell><cell r="V1194" t="str"><v>Lookalike Targeting</v></cell><cell r="W1194" t="str"><v>Canvas Ad</v></cell><cell r="X1194" t="str"><v>1x1</v></cell></row><row r="1194"><cell r="AA1194"><v>43290</v></cell><cell r="AB1194" t="str"><v>USA_gaPMG_AZR_AZR_Q1_19_Direct-Social</v></cell><cell r="AC1194"><v>21358715</v></cell><cell r="AD1194"><v>720197</v></cell><cell r="AE1194" t="str"><v>Facebook - Instagram</v></cell><cell r="AF1194"><v>3654128</v></cell><cell r="AG1194" t="str"><v>INSTAGRAM»USA-Trial-ITD-Trial Lookalike-AZR-AZR»1 x 1»SocialBan»CAN»ALL»CPA»LAL»X»NA»SS»NA»IGCTCBrandinMotion»PRC2FH</v></cell><cell r="AH1194"><v>223935019</v></cell><cell r="AI1194" t="str"><v>AzurePlatform_IGCTCBenefit2inMotion_USA_10s_CAN_PLATFORM_English_Trial_Standard_STAN_TIN_T4_2</v></cell><cell r="AJ1194"><v>103178714</v></cell></row><row r="1195"><cell r="C1195" t="str"><v>43290INSTAGRAM»USA-Trial-ITD-Trial PayGo Lookalike-AZR-AZR»1 x 1»SocialBan»CAN»ALL»CPA»LAL»X»NA»SS»NA»IGCTCBenefit2inMotion»PRC2FZ</v></cell><cell r="D1195" t="str"><v>43290223933075</v></cell><cell r="E1195" t="str"><v>43290103180628PRC2FZ</v></cell><cell r="F1195" t="str"><v>DCM</v></cell><cell r="G1195" t="str"><v>https://signup.azure.com/?OCID=AID%eexcid!_OLA_%ebuy!_%epid!_%ecid!</v></cell></row><row r="1195"><cell r="K1195" t="str"><v>July</v></cell><cell r="L1195"><v>43295</v></cell><cell r="M1195" t="str"><v>Tier 0</v></cell><cell r="N1195" t="str"><v>North America</v></cell><cell r="O1195" t="str"><v>United States</v></cell><cell r="P1195" t="str"><v>Trial</v></cell><cell r="Q1195" t="str"><v>Social</v></cell><cell r="R1195" t="str"><v>Azure</v></cell><cell r="S1195" t="str"><v>Apps & Infra</v></cell><cell r="T1195" t="str"><v>Developers & ITI's</v></cell><cell r="U1195" t="str"><v>USA-Trial-ITD-Trial PayGo Lookalike-AZR-AZR</v></cell><cell r="V1195" t="str"><v>Lookalike Targeting</v></cell><cell r="W1195" t="str"><v>Canvas Ad</v></cell><cell r="X1195" t="str"><v>1x1</v></cell></row><row r="1195"><cell r="AA1195"><v>43290</v></cell><cell r="AB1195" t="str"><v>USA_gaPMG_AZR_AZR_Q1_19_Direct-Social</v></cell><cell r="AC1195"><v>21358715</v></cell><cell r="AD1195"><v>720197</v></cell><cell r="AE1195" t="str"><v>Facebook - Instagram</v></cell><cell r="AF1195"><v>3654128</v></cell><cell r="AG1195" t="str"><v>INSTAGRAM»USA-Trial-ITD-Trial PayGo Lookalike-AZR-AZR»1 x 1»SocialBan»CAN»ALL»CPA»LAL»X»NA»SS»NA»IGCTCBenefit2inMotion»PRC2FZ</v></cell><cell r="AH1195"><v>223933075</v></cell><cell r="AI1195" t="str"><v>AzurePlatform_IGCTCBrandinMotion_USA_10s_CAN_PLATFORM_English_Trial_Standard_STAN_TIN_T2_1</v></cell><cell r="AJ1195"><v>103180628</v></cell></row><row r="1196"><cell r="C1196" t="str"><v>43290INSTAGRAM»USA-Trial-ITD-Trial PayGo Lookalike-AZR-AZR»1 x 1»SocialBan»CAN»ALL»CPA»LAL»X»NA»SS»NA»IGCTCBenefit2inMotion»PRC2FZ</v></cell><cell r="D1196" t="str"><v>43290223933075</v></cell><cell r="E1196" t="str"><v>43290103050786PRC2FZ</v></cell><cell r="F1196" t="str"><v>DCM</v></cell><cell r="G1196" t="str"><v>https://azure.microsoft.com/en-us/pricing/purchase-options/?v=18.19&OCID=AID%eexcid!_OLA_%ebuy!_%epid!_%ecid!</v></cell></row><row r="1196"><cell r="K1196" t="str"><v>July</v></cell><cell r="L1196"><v>43295</v></cell><cell r="M1196" t="str"><v>Tier 0</v></cell><cell r="N1196" t="str"><v>North America</v></cell><cell r="O1196" t="str"><v>United States</v></cell><cell r="P1196" t="str"><v>Trial</v></cell><cell r="Q1196" t="str"><v>Social</v></cell><cell r="R1196" t="str"><v>Azure</v></cell><cell r="S1196" t="str"><v>Apps & Infra</v></cell><cell r="T1196" t="str"><v>Developers & ITI's</v></cell><cell r="U1196" t="str"><v>USA-Trial-ITD-Trial PayGo Lookalike-AZR-AZR</v></cell><cell r="V1196" t="str"><v>Lookalike Targeting</v></cell><cell r="W1196" t="str"><v>Canvas Ad</v></cell><cell r="X1196" t="str"><v>1x1</v></cell></row><row r="1196"><cell r="AA1196"><v>43290</v></cell><cell r="AB1196" t="str"><v>USA_gaPMG_AZR_AZR_Q1_19_Direct-Social</v></cell><cell r="AC1196"><v>21358715</v></cell><cell r="AD1196"><v>720197</v></cell><cell r="AE1196" t="str"><v>Facebook - Instagram</v></cell><cell r="AF1196"><v>3654128</v></cell><cell r="AG1196" t="str"><v>INSTAGRAM»USA-Trial-ITD-Trial PayGo Lookalike-AZR-AZR»1 x 1»SocialBan»CAN»ALL»CPA»LAL»X»NA»SS»NA»IGCTCBenefit2inMotion»PRC2FZ</v></cell><cell r="AH1196"><v>223933075</v></cell><cell r="AI1196" t="str"><v>AzurePlatform_IGCTCBrandinMotion_USA_10s_CAN_PLATFORM_English_Trial_Standard_STAN_TIN_T2_2</v></cell><cell r="AJ1196"><v>103050786</v></cell></row><row r="1197"><cell r="C1197" t="str"><v>43290INSTAGRAM»USA-Trial-ITD-Interest Prospecting-AZR-AZR»1 x 1»SocialBan»CAN»ALL»CPA»PRO»X»NA»SS»NA»IGCTCBasicMotion»PRC2PF</v></cell><cell r="D1197" t="str"><v>43290224106621</v></cell><cell r="E1197" t="str"><v>43290103037968PRC2PF</v></cell><cell r="F1197" t="str"><v>DCM</v></cell><cell r="G1197" t="str"><v>https://signup.azure.com/?OCID=AID%eexcid!_OLA_%ebuy!_%epid!_%ecid!</v></cell></row><row r="1197"><cell r="K1197" t="str"><v>July</v></cell><cell r="L1197"><v>43295</v></cell><cell r="M1197" t="str"><v>Tier 0</v></cell><cell r="N1197" t="str"><v>North America</v></cell><cell r="O1197" t="str"><v>United States</v></cell><cell r="P1197" t="str"><v>Trial</v></cell><cell r="Q1197" t="str"><v>Social</v></cell><cell r="R1197" t="str"><v>Azure</v></cell><cell r="S1197" t="str"><v>Apps & Infra</v></cell><cell r="T1197" t="str"><v>Developers & ITI's</v></cell><cell r="U1197" t="str"><v>USA-Trial-ITD-Interest Prospecting-AZR-AZR</v></cell><cell r="V1197" t="str"><v>Prospecting</v></cell><cell r="W1197" t="str"><v>Canvas Ad</v></cell><cell r="X1197" t="str"><v>1x1</v></cell></row><row r="1197"><cell r="AA1197"><v>43290</v></cell><cell r="AB1197" t="str"><v>USA_gaPMG_AZR_AZR_Q1_19_Direct-Social</v></cell><cell r="AC1197"><v>21358715</v></cell><cell r="AD1197"><v>720197</v></cell><cell r="AE1197" t="str"><v>Facebook - Instagram</v></cell><cell r="AF1197"><v>3654128</v></cell><cell r="AG1197" t="str"><v>INSTAGRAM»USA-Trial-ITD-Interest Prospecting-AZR-AZR»1 x 1»SocialBan»CAN»ALL»CPA»PRO»X»NA»SS»NA»IGCTCBasicMotion»PRC2PF</v></cell><cell r="AH1197"><v>224106621</v></cell><cell r="AI1197" t="str"><v>AzurePlatform_IGCTCBasicMotion_USA_10s_CAN_PLATFORM_English_Trial_Standard_STAN_TIN_T1_1</v></cell><cell r="AJ1197"><v>103037968</v></cell></row><row r="1198"><cell r="C1198" t="str"><v>43290INSTAGRAM»USA-Trial-ITD-Interest Prospecting-AZR-AZR»1 x 1»SocialBan»CAN»ALL»CPA»PRO»X»NA»SS»NA»IGCTCBasicMotion»PRC2PF</v></cell><cell r="D1198" t="str"><v>43290224106621</v></cell><cell r="E1198" t="str"><v>43290103037974PRC2PF</v></cell><cell r="F1198" t="str"><v>DCM</v></cell><cell r="G1198" t="str"><v>https://azure.microsoft.com/en-us/pricing/purchase-options/?v=18.19&OCID=AID%eexcid!_OLA_%ebuy!_%epid!_%ecid!</v></cell></row><row r="1198"><cell r="K1198" t="str"><v>July</v></cell><cell r="L1198"><v>43295</v></cell><cell r="M1198" t="str"><v>Tier 0</v></cell><cell r="N1198" t="str"><v>North America</v></cell><cell r="O1198" t="str"><v>United States</v></cell><cell r="P1198" t="str"><v>Trial</v></cell><cell r="Q1198" t="str"><v>Social</v></cell><cell r="R1198" t="str"><v>Azure</v></cell><cell r="S1198" t="str"><v>Apps & Infra</v></cell><cell r="T1198" t="str"><v>Developers & ITI's</v></cell><cell r="U1198" t="str"><v>USA-Trial-ITD-Interest Prospecting-AZR-AZR</v></cell><cell r="V1198" t="str"><v>Prospecting</v></cell><cell r="W1198" t="str"><v>Canvas Ad</v></cell><cell r="X1198" t="str"><v>1x1</v></cell></row><row r="1198"><cell r="AA1198"><v>43290</v></cell><cell r="AB1198" t="str"><v>USA_gaPMG_AZR_AZR_Q1_19_Direct-Social</v></cell><cell r="AC1198"><v>21358715</v></cell><cell r="AD1198"><v>720197</v></cell><cell r="AE1198" t="str"><v>Facebook - Instagram</v></cell><cell r="AF1198"><v>3654128</v></cell><cell r="AG1198" t="str"><v>INSTAGRAM»USA-Trial-ITD-Interest Prospecting-AZR-AZR»1 x 1»SocialBan»CAN»ALL»CPA»PRO»X»NA»SS»NA»IGCTCBasicMotion»PRC2PF</v></cell><cell r="AH1198"><v>224106621</v></cell><cell r="AI1198" t="str"><v>AzurePlatform_IGCTCBasicMotion_USA_10s_CAN_PLATFORM_English_Trial_Standard_STAN_TIN_T1_2</v></cell><cell r="AJ1198"><v>103037974</v></cell></row><row r="1199"><cell r="C1199" t="str"><v>43290INSTAGRAM»USA-Trial-ITD-Trial Lookalike-AZR-AZR»1 x 1»SocialBan»CAN»ALL»CPA»LAL»X»NA»SS»NA»IGCTCBasicMotion»PRC0C2</v></cell><cell r="D1199" t="str"><v>43290224107017</v></cell><cell r="E1199" t="str"><v>43290103037968PRC0C2</v></cell><cell r="F1199" t="str"><v>DCM</v></cell><cell r="G1199" t="str"><v>https://signup.azure.com/?OCID=AID%eexcid!_OLA_%ebuy!_%epid!_%ecid!</v></cell></row><row r="1199"><cell r="K1199" t="str"><v>July</v></cell><cell r="L1199"><v>43295</v></cell><cell r="M1199" t="str"><v>Tier 0</v></cell><cell r="N1199" t="str"><v>North America</v></cell><cell r="O1199" t="str"><v>United States</v></cell><cell r="P1199" t="str"><v>Trial</v></cell><cell r="Q1199" t="str"><v>Social</v></cell><cell r="R1199" t="str"><v>Azure</v></cell><cell r="S1199" t="str"><v>Apps & Infra</v></cell><cell r="T1199" t="str"><v>Developers & ITI's</v></cell><cell r="U1199" t="str"><v>USA-Trial-ITD-Trial Lookalike-AZR-AZR</v></cell><cell r="V1199" t="str"><v>Lookalike Targeting</v></cell><cell r="W1199" t="str"><v>Canvas Ad</v></cell><cell r="X1199" t="str"><v>1x1</v></cell></row><row r="1199"><cell r="AA1199"><v>43290</v></cell><cell r="AB1199" t="str"><v>USA_gaPMG_AZR_AZR_Q1_19_Direct-Social</v></cell><cell r="AC1199"><v>21358715</v></cell><cell r="AD1199"><v>720197</v></cell><cell r="AE1199" t="str"><v>Facebook - Instagram</v></cell><cell r="AF1199"><v>3654128</v></cell><cell r="AG1199" t="str"><v>INSTAGRAM»USA-Trial-ITD-Trial Lookalike-AZR-AZR»1 x 1»SocialBan»CAN»ALL»CPA»LAL»X»NA»SS»NA»IGCTCBasicMotion»PRC0C2</v></cell><cell r="AH1199"><v>224107017</v></cell><cell r="AI1199" t="str"><v>AzurePlatform_IGCTCBasicMotion_USA_10s_CAN_PLATFORM_English_Trial_Standard_STAN_TIN_T1_1</v></cell><cell r="AJ1199"><v>103037968</v></cell></row><row r="1200"><cell r="C1200" t="str"><v>43291Facebook»Audience & Interest Targeting»1x1»Canvas»OTH»DT»DYN»AUT»W»NA»SS»NA»FBCTCcanvaspage-StartFreeCTA_FBCTCcanvaspage-BuyNowCTA</v></cell><cell r="D1200" t="str"><v>43291224639151</v></cell><cell r="E1200" t="str"><v>43291103316832NowCTA</v></cell><cell r="F1200" t="str"><v>DCM</v></cell><cell r="G1200" t="str"><v>https://azure.microsoft.com/en-au/pricing/purchase-options/</v></cell></row><row r="1200"><cell r="K1200" t="str"><v>July</v></cell><cell r="L1200"><v>43295</v></cell><cell r="M1200" t="str"><v>Tier 1</v></cell><cell r="N1200" t="str"><v>APAC</v></cell><cell r="O1200" t="str"><v>Australia</v></cell><cell r="P1200" t="str"><v>Trial</v></cell><cell r="Q1200" t="str"><v>Social</v></cell><cell r="R1200" t="str"><v>Azure</v></cell><cell r="S1200" t="str"><v>Apps & Infra</v></cell><cell r="T1200" t="str"><v>Developers & ITI's</v></cell><cell r="U1200" t="str"><v>Audience & Interest Targeting</v></cell><cell r="V1200" t="str"><v>Audience Targeting</v></cell><cell r="W1200" t="str"><v>Other</v></cell><cell r="X1200" t="str"><v>1x1</v></cell></row><row r="1200"><cell r="AA1200"><v>43291</v></cell><cell r="AB1200" t="str"><v>AUS_gaPMG_AZR_AZR_Q1_19_Trial-Social</v></cell><cell r="AC1200"><v>21358568</v></cell><cell r="AD1200"><v>720191</v></cell><cell r="AE1200" t="str"><v>Facebook</v></cell><cell r="AF1200"><v>3654128</v></cell><cell r="AG1200" t="str"><v>Facebook»Audience & Interest Targeting»1x1»Canvas»OTH»DT»DYN»AUT»W»NA»SS»NA»FBCTCcanvaspage-StartFreeCTA_FBCTCcanvaspage-BuyNowCTA</v></cell><cell r="AH1200"><v>224639151</v></cell><cell r="AI1200" t="str"><v>AzurePlatform_FBCTCcanvaspage-BuyNowCTA-Img3_AUS_1080x162_SOC_Plat_English_NA_Standard_NA_BN_T3_1</v></cell><cell r="AJ1200"><v>103316832</v></cell></row><row r="1201"><cell r="C1201" t="str"><v>43291Facebook»Audience & Interest Targeting»1x1»Canvas»OTH»DT»DYN»AUT»W»NA»SS»NA»FBCTCcanvaspage-StartFreeCTA_FBCTCcanvaspage-BuyNowCTA</v></cell><cell r="D1201" t="str"><v>43291224639151</v></cell><cell r="E1201" t="str"><v>43291103316829NowCTA</v></cell><cell r="F1201" t="str"><v>DCM</v></cell><cell r="G1201" t="str"><v>https://signup.azure.com/signup?offer=ms-azr-0044p&appId=102&ref=paidmedia-social-fb&redirectURL=https%3a%2f%2fazure.microsoft.com%2fen-au%2fget-started%2fwelcome-to-azure%2f&l=en-au&correlationId=ead86c34-1f10-49dd-a72b-6918462a2cbf</v></cell></row><row r="1201"><cell r="K1201" t="str"><v>July</v></cell><cell r="L1201"><v>43295</v></cell><cell r="M1201" t="str"><v>Tier 1</v></cell><cell r="N1201" t="str"><v>APAC</v></cell><cell r="O1201" t="str"><v>Australia</v></cell><cell r="P1201" t="str"><v>Trial</v></cell><cell r="Q1201" t="str"><v>Social</v></cell><cell r="R1201" t="str"><v>Azure</v></cell><cell r="S1201" t="str"><v>Apps & Infra</v></cell><cell r="T1201" t="str"><v>Developers & ITI's</v></cell><cell r="U1201" t="str"><v>Audience & Interest Targeting</v></cell><cell r="V1201" t="str"><v>Audience Targeting</v></cell><cell r="W1201" t="str"><v>Other</v></cell><cell r="X1201" t="str"><v>1x1</v></cell></row><row r="1201"><cell r="AA1201"><v>43291</v></cell><cell r="AB1201" t="str"><v>AUS_gaPMG_AZR_AZR_Q1_19_Trial-Social</v></cell><cell r="AC1201"><v>21358568</v></cell><cell r="AD1201"><v>720191</v></cell><cell r="AE1201" t="str"><v>Facebook</v></cell><cell r="AF1201"><v>3654128</v></cell><cell r="AG1201" t="str"><v>Facebook»Audience & Interest Targeting»1x1»Canvas»OTH»DT»DYN»AUT»W»NA»SS»NA»FBCTCcanvaspage-StartFreeCTA_FBCTCcanvaspage-BuyNowCTA</v></cell><cell r="AH1201"><v>224639151</v></cell><cell r="AI1201" t="str"><v>AzurePlatform_FBCTCcanvaspage-StartFreeCTA-Img2_AUS_1080x143 _SOC_Plat_English_NA_Standard_NA_NA_T2_1</v></cell><cell r="AJ1201"><v>103316829</v></cell></row><row r="1202"><cell r="C1202" t="str"><v>43291Facebook»Audience & Interest Targeting»1x1»TextLink»OTH»DT»DYN»AUT»W»NA»SS»NA»Free Account Refresh- 12 months ChE</v></cell><cell r="D1202" t="str"><v>43291224160783</v></cell><cell r="E1202" t="str"><v>43291103051614hs ChE</v></cell><cell r="F1202" t="str"><v>DCM</v></cell></row><row r="1202"><cell r="K1202" t="str"><v>July</v></cell><cell r="L1202"><v>43295</v></cell><cell r="M1202" t="str"><v>Tier 1</v></cell><cell r="N1202" t="str"><v>APAC</v></cell><cell r="O1202" t="str"><v>Australia</v></cell><cell r="P1202" t="str"><v>Trial</v></cell><cell r="Q1202" t="str"><v>Social</v></cell><cell r="R1202" t="str"><v>Azure</v></cell><cell r="S1202" t="str"><v>Apps & Infra</v></cell><cell r="T1202" t="str"><v>Developers & ITI's</v></cell><cell r="U1202" t="str"><v>Audience & Interest Targeting</v></cell><cell r="V1202" t="str"><v>Audience Targeting</v></cell><cell r="W1202" t="str"><v>Other</v></cell><cell r="X1202" t="str"><v>1x1</v></cell></row><row r="1202"><cell r="AA1202"><v>43291</v></cell><cell r="AB1202" t="str"><v>AUS_gaPMG_AZR_AZR_Q1_19_Trial-Social</v></cell><cell r="AC1202"><v>21358568</v></cell><cell r="AD1202"><v>720191</v></cell><cell r="AE1202" t="str"><v>Facebook</v></cell><cell r="AF1202"><v>3654128</v></cell><cell r="AG1202" t="str"><v>Facebook»Audience & Interest Targeting»1x1»TextLink»OTH»DT»DYN»AUT»W»NA»SS»NA»Free Account Refresh- 12 months ChE</v></cell><cell r="AH1202"><v>224160783</v></cell><cell r="AI1202" t="str"><v>AzurePlatform_FreeAcctAppsFACEBOOK12monthsChE_AUS_1200x628_SOC_PLAT_EN_Trial_Standard_NA_SNU_T5_1</v></cell><cell r="AJ1202"><v>103051614</v></cell></row><row r="1203"><cell r="C1203" t="str"><v>43291Facebook»Audience & Interest Targeting»1x1»TextLink»OTH»DT»DYN»AUT»W»NA»SS»NA»Free Account Refresh- 200 Credit ChD</v></cell><cell r="D1203" t="str"><v>43291224160780</v></cell><cell r="E1203" t="str"><v>43291103186904it ChD</v></cell><cell r="F1203" t="str"><v>DCM</v></cell></row><row r="1203"><cell r="K1203" t="str"><v>July</v></cell><cell r="L1203"><v>43295</v></cell><cell r="M1203" t="str"><v>Tier 1</v></cell><cell r="N1203" t="str"><v>APAC</v></cell><cell r="O1203" t="str"><v>Australia</v></cell><cell r="P1203" t="str"><v>Trial</v></cell><cell r="Q1203" t="str"><v>Social</v></cell><cell r="R1203" t="str"><v>Azure</v></cell><cell r="S1203" t="str"><v>Apps & Infra</v></cell><cell r="T1203" t="str"><v>Developers & ITI's</v></cell><cell r="U1203" t="str"><v>Audience & Interest Targeting</v></cell><cell r="V1203" t="str"><v>Audience Targeting</v></cell><cell r="W1203" t="str"><v>Other</v></cell><cell r="X1203" t="str"><v>1x1</v></cell></row><row r="1203"><cell r="AA1203"><v>43291</v></cell><cell r="AB1203" t="str"><v>AUS_gaPMG_AZR_AZR_Q1_19_Trial-Social</v></cell><cell r="AC1203"><v>21358568</v></cell><cell r="AD1203"><v>720191</v></cell><cell r="AE1203" t="str"><v>Facebook</v></cell><cell r="AF1203"><v>3654128</v></cell><cell r="AG1203" t="str"><v>Facebook»Audience & Interest Targeting»1x1»TextLink»OTH»DT»DYN»AUT»W»NA»SS»NA»Free Account Refresh- 200 Credit ChD</v></cell><cell r="AH1203"><v>224160780</v></cell><cell r="AI1203" t="str"><v>AzurePlatform_FreeAcctAppsFACEBOOK200CreditChD_AUS_1200x628_SOC_PLAT_EN_Trial_Standard_NA_SNU_T4_1</v></cell><cell r="AJ1203"><v>103186904</v></cell></row><row r="1204"><cell r="C1204" t="str"><v>43291Facebook»Audience & Interest Targeting»1x1»TextLink»OTH»DT»DYN»AUT»W»NA»SS»NA»Free Account Refresh- Device ChB</v></cell><cell r="D1204" t="str"><v>43291224160777</v></cell><cell r="E1204" t="str"><v>43291103048479ce ChB</v></cell><cell r="F1204" t="str"><v>DCM</v></cell></row><row r="1204"><cell r="K1204" t="str"><v>July</v></cell><cell r="L1204"><v>43295</v></cell><cell r="M1204" t="str"><v>Tier 1</v></cell><cell r="N1204" t="str"><v>APAC</v></cell><cell r="O1204" t="str"><v>Australia</v></cell><cell r="P1204" t="str"><v>Trial</v></cell><cell r="Q1204" t="str"><v>Social</v></cell><cell r="R1204" t="str"><v>Azure</v></cell><cell r="S1204" t="str"><v>Apps & Infra</v></cell><cell r="T1204" t="str"><v>Developers & ITI's</v></cell><cell r="U1204" t="str"><v>Audience & Interest Targeting</v></cell><cell r="V1204" t="str"><v>Audience Targeting</v></cell><cell r="W1204" t="str"><v>Other</v></cell><cell r="X1204" t="str"><v>1x1</v></cell></row><row r="1204"><cell r="AA1204"><v>43291</v></cell><cell r="AB1204" t="str"><v>AUS_gaPMG_AZR_AZR_Q1_19_Trial-Social</v></cell><cell r="AC1204"><v>21358568</v></cell><cell r="AD1204"><v>720191</v></cell><cell r="AE1204" t="str"><v>Facebook</v></cell><cell r="AF1204"><v>3654128</v></cell><cell r="AG1204" t="str"><v>Facebook»Audience & Interest Targeting»1x1»TextLink»OTH»DT»DYN»AUT»W»NA»SS»NA»Free Account Refresh- Device ChB</v></cell><cell r="AH1204"><v>224160777</v></cell><cell r="AI1204" t="str"><v>AzurePlatform_FreeAcctAppsFACEBOOKDeviceChB_AUS_1200x628_SOC_PLAT_EN_Trial_Standard_NA_SNU_T2_1</v></cell><cell r="AJ1204"><v>103048479</v></cell></row><row r="1205"><cell r="C1205" t="str"><v>43291Facebook»Audience & Interest Targeting»1x1»TextLink»OTH»DT»DYN»AUT»W»NA»SS»NA»Free Account Refresh- Illustration ChC</v></cell><cell r="D1205" t="str"><v>43291224160774</v></cell><cell r="E1205" t="str"><v>43291103186910on ChC</v></cell><cell r="F1205" t="str"><v>DCM</v></cell></row><row r="1205"><cell r="K1205" t="str"><v>July</v></cell><cell r="L1205"><v>43295</v></cell><cell r="M1205" t="str"><v>Tier 1</v></cell><cell r="N1205" t="str"><v>APAC</v></cell><cell r="O1205" t="str"><v>Australia</v></cell><cell r="P1205" t="str"><v>Trial</v></cell><cell r="Q1205" t="str"><v>Social</v></cell><cell r="R1205" t="str"><v>Azure</v></cell><cell r="S1205" t="str"><v>Apps & Infra</v></cell><cell r="T1205" t="str"><v>Developers & ITI's</v></cell><cell r="U1205" t="str"><v>Audience & Interest Targeting</v></cell><cell r="V1205" t="str"><v>Audience Targeting</v></cell><cell r="W1205" t="str"><v>Other</v></cell><cell r="X1205" t="str"><v>1x1</v></cell></row><row r="1205"><cell r="AA1205"><v>43291</v></cell><cell r="AB1205" t="str"><v>AUS_gaPMG_AZR_AZR_Q1_19_Trial-Social</v></cell><cell r="AC1205"><v>21358568</v></cell><cell r="AD1205"><v>720191</v></cell><cell r="AE1205" t="str"><v>Facebook</v></cell><cell r="AF1205"><v>3654128</v></cell><cell r="AG1205" t="str"><v>Facebook»Audience & Interest Targeting»1x1»TextLink»OTH»DT»DYN»AUT»W»NA»SS»NA»Free Account Refresh- Illustration ChC</v></cell><cell r="AH1205"><v>224160774</v></cell><cell r="AI1205" t="str"><v>AzurePlatform_FreeAcctAppsFACEBOOKIllustrationChC_AUS_1200x628_SOC_PLAT_EN_Trial_Standard_NA_SNU_T3_1</v></cell><cell r="AJ1205"><v>103186910</v></cell></row><row r="1206"><cell r="C1206" t="str"><v>43291Facebook»Audience & Interest Targeting»1x1»TextLink»OTH»DT»DYN»AUT»W»NA»SS»NA»Free Account Refresh- Lifestyle ChA</v></cell><cell r="D1206" t="str"><v>43291224160771</v></cell><cell r="E1206" t="str"><v>43291103048488le ChA</v></cell><cell r="F1206" t="str"><v>DCM</v></cell></row><row r="1206"><cell r="K1206" t="str"><v>July</v></cell><cell r="L1206"><v>43295</v></cell><cell r="M1206" t="str"><v>Tier 1</v></cell><cell r="N1206" t="str"><v>APAC</v></cell><cell r="O1206" t="str"><v>Australia</v></cell><cell r="P1206" t="str"><v>Trial</v></cell><cell r="Q1206" t="str"><v>Social</v></cell><cell r="R1206" t="str"><v>Azure</v></cell><cell r="S1206" t="str"><v>Apps & Infra</v></cell><cell r="T1206" t="str"><v>Developers & ITI's</v></cell><cell r="U1206" t="str"><v>Audience & Interest Targeting</v></cell><cell r="V1206" t="str"><v>Audience Targeting</v></cell><cell r="W1206" t="str"><v>Other</v></cell><cell r="X1206" t="str"><v>1x1</v></cell></row><row r="1206"><cell r="AA1206"><v>43291</v></cell><cell r="AB1206" t="str"><v>AUS_gaPMG_AZR_AZR_Q1_19_Trial-Social</v></cell><cell r="AC1206"><v>21358568</v></cell><cell r="AD1206"><v>720191</v></cell><cell r="AE1206" t="str"><v>Facebook</v></cell><cell r="AF1206"><v>3654128</v></cell><cell r="AG1206" t="str"><v>Facebook»Audience & Interest Targeting»1x1»TextLink»OTH»DT»DYN»AUT»W»NA»SS»NA»Free Account Refresh- Lifestyle ChA</v></cell><cell r="AH1206"><v>224160771</v></cell><cell r="AI1206" t="str"><v>AzurePlatform_FreeAcctAppsFACEBOOKLifestyleChA_AUS_1200x628_SOC_PLAT_EN_Trial_Standard_NA_SNU_T1_1</v></cell><cell r="AJ1206"><v>103048488</v></cell></row><row r="1207"><cell r="C1207" t="str"><v>43291Facebook»AZR»1x1»NA»EGV»ALL»DYN»AUT»D»All»SS»NA»Free Acc CTC - T1 - EN</v></cell><cell r="D1207" t="str"><v>43291223684451</v></cell><cell r="E1207" t="str"><v>432911029018821 - EN</v></cell><cell r="F1207" t="str"><v>DCM</v></cell><cell r="G1207" t="str"><v>https://signup.azure.com/</v></cell></row><row r="1207"><cell r="K1207" t="str"><v>July</v></cell><cell r="L1207"><v>43295</v></cell><cell r="M1207" t="str"><v>Tier 1</v></cell><cell r="N1207" t="str"><v>North America</v></cell><cell r="O1207" t="str"><v>Canada</v></cell><cell r="P1207" t="str"><v>Trial</v></cell><cell r="Q1207" t="str"><v>Social</v></cell><cell r="R1207" t="str"><v>Azure</v></cell><cell r="S1207" t="str"><v>Apps & Infra</v></cell><cell r="T1207" t="str"><v>Developers & ITI's</v></cell><cell r="U1207" t="str"><v>AZR</v></cell><cell r="V1207" t="str"><v>Audience Targeting</v></cell><cell r="W1207" t="str"><v>Engagement Video</v></cell><cell r="X1207" t="str"><v>1x1</v></cell></row><row r="1207"><cell r="AA1207"><v>43291</v></cell><cell r="AB1207" t="str"><v>CAN_gaPMG_AZR_AZR_Q1_19_Trial-Social</v></cell><cell r="AC1207"><v>21337220</v></cell><cell r="AD1207"><v>720192</v></cell><cell r="AE1207" t="str"><v>Facebook</v></cell><cell r="AF1207"><v>3654128</v></cell><cell r="AG1207" t="str"><v>Facebook»AZR»1x1»NA»EGV»ALL»DYN»AUT»D»All»SS»NA»Free Acc CTC - T1 - EN</v></cell><cell r="AH1207"><v>223684451</v></cell><cell r="AI1207" t="str"><v>AzurePlatform_FBCTCBasicMotion_CAN_10s_ISV_PLAT_English_Trial_Standard_STAN_TN_T1_1</v></cell><cell r="AJ1207"><v>102901882</v></cell></row><row r="1208"><cell r="C1208" t="str"><v>43291Facebook»AZR»1x1»NA»EGV»ALL»DYN»AUT»D»All»SS»NA»Free Acc CTC - T1 - FR</v></cell><cell r="D1208" t="str"><v>43291223691801</v></cell><cell r="E1208" t="str"><v>432911030533231 - FR</v></cell><cell r="F1208" t="str"><v>DCM</v></cell><cell r="G1208" t="str"><v>https://signup.azure.com/</v></cell></row><row r="1208"><cell r="K1208" t="str"><v>July</v></cell><cell r="L1208"><v>43295</v></cell><cell r="M1208" t="str"><v>Tier 1</v></cell><cell r="N1208" t="str"><v>North America</v></cell><cell r="O1208" t="str"><v>Canada</v></cell><cell r="P1208" t="str"><v>Trial</v></cell><cell r="Q1208" t="str"><v>Social</v></cell><cell r="R1208" t="str"><v>Azure</v></cell><cell r="S1208" t="str"><v>Apps & Infra</v></cell><cell r="T1208" t="str"><v>Developers & ITI's</v></cell><cell r="U1208" t="str"><v>AZR</v></cell><cell r="V1208" t="str"><v>Audience Targeting</v></cell><cell r="W1208" t="str"><v>Engagement Video</v></cell><cell r="X1208" t="str"><v>1x1</v></cell></row><row r="1208"><cell r="AA1208"><v>43291</v></cell><cell r="AB1208" t="str"><v>CAN_gaPMG_AZR_AZR_Q1_19_Trial-Social</v></cell><cell r="AC1208"><v>21337220</v></cell><cell r="AD1208"><v>720192</v></cell><cell r="AE1208" t="str"><v>Facebook</v></cell><cell r="AF1208"><v>3654128</v></cell><cell r="AG1208" t="str"><v>Facebook»AZR»1x1»NA»EGV»ALL»DYN»AUT»D»All»SS»NA»Free Acc CTC - T1 - FR</v></cell><cell r="AH1208"><v>223691801</v></cell><cell r="AI1208" t="str"><v>AzurePlatform_FBCTCBasicMotion_CAN_10s_ISV_PLAT_FR_Trial_Standard_STAN_TN_T1_1</v></cell><cell r="AJ1208"><v>103053323</v></cell></row><row r="1209"><cell r="C1209" t="str"><v>43291Facebook»AZR»1x1»NA»EGV»ALL»DYN»AUT»D»All»SS»NA»Free Acc CTC - T2 - EN</v></cell><cell r="D1209" t="str"><v>43291223691840</v></cell><cell r="E1209" t="str"><v>432911029029502 - EN</v></cell><cell r="F1209" t="str"><v>DCM</v></cell><cell r="G1209" t="str"><v>https://signup.azure.com/</v></cell></row><row r="1209"><cell r="K1209" t="str"><v>July</v></cell><cell r="L1209"><v>43295</v></cell><cell r="M1209" t="str"><v>Tier 1</v></cell><cell r="N1209" t="str"><v>North America</v></cell><cell r="O1209" t="str"><v>Canada</v></cell><cell r="P1209" t="str"><v>Trial</v></cell><cell r="Q1209" t="str"><v>Social</v></cell><cell r="R1209" t="str"><v>Azure</v></cell><cell r="S1209" t="str"><v>Apps & Infra</v></cell><cell r="T1209" t="str"><v>Developers & ITI's</v></cell><cell r="U1209" t="str"><v>AZR</v></cell><cell r="V1209" t="str"><v>Audience Targeting</v></cell><cell r="W1209" t="str"><v>Engagement Video</v></cell><cell r="X1209" t="str"><v>1x1</v></cell></row><row r="1209"><cell r="AA1209"><v>43291</v></cell><cell r="AB1209" t="str"><v>CAN_gaPMG_AZR_AZR_Q1_19_Trial-Social</v></cell><cell r="AC1209"><v>21337220</v></cell><cell r="AD1209"><v>720192</v></cell><cell r="AE1209" t="str"><v>Facebook</v></cell><cell r="AF1209"><v>3654128</v></cell><cell r="AG1209" t="str"><v>Facebook»AZR»1x1»NA»EGV»ALL»DYN»AUT»D»All»SS»NA»Free Acc CTC - T2 - EN</v></cell><cell r="AH1209"><v>223691840</v></cell><cell r="AI1209" t="str"><v>AzurePlatform_FBCTCBrandinMotion_CAN_12s_ISV_PLAT_English_Trial_Standard_STAN_TN_T2_1</v></cell><cell r="AJ1209"><v>102902950</v></cell></row><row r="1210"><cell r="C1210" t="str"><v>43291Facebook»AZR»1x1»NA»EGV»ALL»DYN»AUT»D»All»SS»NA»Free Acc CTC - T2 - FR</v></cell><cell r="D1210" t="str"><v>43291223691798</v></cell><cell r="E1210" t="str"><v>432911029163472 - FR</v></cell><cell r="F1210" t="str"><v>DCM</v></cell><cell r="G1210" t="str"><v>https://signup.azure.com/</v></cell></row><row r="1210"><cell r="K1210" t="str"><v>July</v></cell><cell r="L1210"><v>43295</v></cell><cell r="M1210" t="str"><v>Tier 1</v></cell><cell r="N1210" t="str"><v>North America</v></cell><cell r="O1210" t="str"><v>Canada</v></cell><cell r="P1210" t="str"><v>Trial</v></cell><cell r="Q1210" t="str"><v>Social</v></cell><cell r="R1210" t="str"><v>Azure</v></cell><cell r="S1210" t="str"><v>Apps & Infra</v></cell><cell r="T1210" t="str"><v>Developers & ITI's</v></cell><cell r="U1210" t="str"><v>AZR</v></cell><cell r="V1210" t="str"><v>Audience Targeting</v></cell><cell r="W1210" t="str"><v>Engagement Video</v></cell><cell r="X1210" t="str"><v>1x1</v></cell></row><row r="1210"><cell r="AA1210"><v>43291</v></cell><cell r="AB1210" t="str"><v>CAN_gaPMG_AZR_AZR_Q1_19_Trial-Social</v></cell><cell r="AC1210"><v>21337220</v></cell><cell r="AD1210"><v>720192</v></cell><cell r="AE1210" t="str"><v>Facebook</v></cell><cell r="AF1210"><v>3654128</v></cell><cell r="AG1210" t="str"><v>Facebook»AZR»1x1»NA»EGV»ALL»DYN»AUT»D»All»SS»NA»Free Acc CTC - T2 - FR</v></cell><cell r="AH1210"><v>223691798</v></cell><cell r="AI1210" t="str"><v>AzurePlatform_FBCTCBrandinMotion_CAN_12s_ISV_PLAT_FR_Trial_Standard_STAN_TN_T2_1</v></cell><cell r="AJ1210"><v>102916347</v></cell></row><row r="1211"><cell r="C1211" t="str"><v>43291Facebook»AZR»1x1»NA»EGV»ALL»DYN»AUT»D»All»SS»NA»Free Acc CTC - T4 - EN</v></cell><cell r="D1211" t="str"><v>43291223691837</v></cell><cell r="E1211" t="str"><v>432911030533144 - EN</v></cell><cell r="F1211" t="str"><v>DCM</v></cell><cell r="G1211" t="str"><v>https://signup.azure.com/</v></cell></row><row r="1211"><cell r="K1211" t="str"><v>July</v></cell><cell r="L1211"><v>43295</v></cell><cell r="M1211" t="str"><v>Tier 1</v></cell><cell r="N1211" t="str"><v>North America</v></cell><cell r="O1211" t="str"><v>Canada</v></cell><cell r="P1211" t="str"><v>Trial</v></cell><cell r="Q1211" t="str"><v>Social</v></cell><cell r="R1211" t="str"><v>Azure</v></cell><cell r="S1211" t="str"><v>Apps & Infra</v></cell><cell r="T1211" t="str"><v>Developers & ITI's</v></cell><cell r="U1211" t="str"><v>AZR</v></cell><cell r="V1211" t="str"><v>Audience Targeting</v></cell><cell r="W1211" t="str"><v>Engagement Video</v></cell><cell r="X1211" t="str"><v>1x1</v></cell></row><row r="1211"><cell r="AA1211"><v>43291</v></cell><cell r="AB1211" t="str"><v>CAN_gaPMG_AZR_AZR_Q1_19_Trial-Social</v></cell><cell r="AC1211"><v>21337220</v></cell><cell r="AD1211"><v>720192</v></cell><cell r="AE1211" t="str"><v>Facebook</v></cell><cell r="AF1211"><v>3654128</v></cell><cell r="AG1211" t="str"><v>Facebook»AZR»1x1»NA»EGV»ALL»DYN»AUT»D»All»SS»NA»Free Acc CTC - T4 - EN</v></cell><cell r="AH1211"><v>223691837</v></cell><cell r="AI1211" t="str"><v>AzurePlatform_FBCTCBenefit2inMotion_CAN_14s_ISV_PLAT_English_Trial_Standard_STAN_TN_T4_1</v></cell><cell r="AJ1211"><v>103053314</v></cell></row><row r="1212"><cell r="C1212" t="str"><v>43291Facebook»AZR»1x1»NA»EGV»ALL»DYN»AUT»D»All»SS»NA»Free Acc CTC - T4 - FR</v></cell><cell r="D1212" t="str"><v>43291223691795</v></cell><cell r="E1212" t="str"><v>432911029006884 - FR</v></cell><cell r="F1212" t="str"><v>DCM</v></cell><cell r="G1212" t="str"><v>https://signup.azure.com/</v></cell></row><row r="1212"><cell r="K1212" t="str"><v>July</v></cell><cell r="L1212"><v>43295</v></cell><cell r="M1212" t="str"><v>Tier 1</v></cell><cell r="N1212" t="str"><v>North America</v></cell><cell r="O1212" t="str"><v>Canada</v></cell><cell r="P1212" t="str"><v>Trial</v></cell><cell r="Q1212" t="str"><v>Social</v></cell><cell r="R1212" t="str"><v>Azure</v></cell><cell r="S1212" t="str"><v>Apps & Infra</v></cell><cell r="T1212" t="str"><v>Developers & ITI's</v></cell><cell r="U1212" t="str"><v>AZR</v></cell><cell r="V1212" t="str"><v>Audience Targeting</v></cell><cell r="W1212" t="str"><v>Engagement Video</v></cell><cell r="X1212" t="str"><v>1x1</v></cell></row><row r="1212"><cell r="AA1212"><v>43291</v></cell><cell r="AB1212" t="str"><v>CAN_gaPMG_AZR_AZR_Q1_19_Trial-Social</v></cell><cell r="AC1212"><v>21337220</v></cell><cell r="AD1212"><v>720192</v></cell><cell r="AE1212" t="str"><v>Facebook</v></cell><cell r="AF1212"><v>3654128</v></cell><cell r="AG1212" t="str"><v>Facebook»AZR»1x1»NA»EGV»ALL»DYN»AUT»D»All»SS»NA»Free Acc CTC - T4 - FR</v></cell><cell r="AH1212"><v>223691795</v></cell><cell r="AI1212" t="str"><v>AzurePlatform_FBCTCBenefit2inMotion_CAN_14s_ISV_PLAT_FR_Trial_Standard_STAN_TN_T4_1</v></cell><cell r="AJ1212"><v>102900688</v></cell></row><row r="1213"><cell r="C1213" t="str"><v>43291Facebook»AZR»1x1»SocialBan»NA»ALL»DYN»AUT»D»All»SS»NA»Free Acc Refresh - T1 - EN</v></cell><cell r="D1213" t="str"><v>43291223691804</v></cell><cell r="E1213" t="str"><v>432911030587171 - EN</v></cell><cell r="F1213" t="str"><v>DCM</v></cell><cell r="G1213" t="str"><v>https://azure.microsoft.com/en-CA/free/search/</v></cell></row><row r="1213"><cell r="K1213" t="str"><v>July</v></cell><cell r="L1213"><v>43295</v></cell><cell r="M1213" t="str"><v>Tier 1</v></cell><cell r="N1213" t="str"><v>North America</v></cell><cell r="O1213" t="str"><v>Canada</v></cell><cell r="P1213" t="str"><v>Trial</v></cell><cell r="Q1213" t="str"><v>Social</v></cell><cell r="R1213" t="str"><v>Azure</v></cell><cell r="S1213" t="str"><v>Apps & Infra</v></cell><cell r="T1213" t="str"><v>Developers & ITI's</v></cell><cell r="U1213" t="str"><v>AZR</v></cell><cell r="V1213" t="str"><v>Audience Targeting</v></cell><cell r="W1213" t="str"><v>NotApplicable</v></cell><cell r="X1213" t="str"><v>1x1</v></cell></row><row r="1213"><cell r="AA1213"><v>43291</v></cell><cell r="AB1213" t="str"><v>CAN_gaPMG_AZR_AZR_Q1_19_Trial-Social</v></cell><cell r="AC1213"><v>21337220</v></cell><cell r="AD1213"><v>720192</v></cell><cell r="AE1213" t="str"><v>Facebook</v></cell><cell r="AF1213"><v>3654128</v></cell><cell r="AG1213" t="str"><v>Facebook»AZR»1x1»SocialBan»NA»ALL»DYN»AUT»D»All»SS»NA»Free Acc Refresh - T1 - EN</v></cell><cell r="AH1213"><v>223691804</v></cell><cell r="AI1213" t="str"><v>AzurePlatform_FreeAcctAppsFACEBOOKLifestyleChA_CAN_1200x628_SOC_PLAT_EN_Trial_Standard_NA_SU_T1_1.png</v></cell><cell r="AJ1213"><v>103058717</v></cell></row><row r="1214"><cell r="C1214" t="str"><v>43291Facebook»AZR»1x1»SocialBan»NA»ALL»DYN»AUT»D»All»SS»NA»Free Acc Refresh - T1 - FR</v></cell><cell r="D1214" t="str"><v>43291223691762</v></cell><cell r="E1214" t="str"><v>432911029029741 - FR</v></cell><cell r="F1214" t="str"><v>DCM</v></cell><cell r="G1214" t="str"><v>https://azure.microsoft.com/fr-ca/free/search/</v></cell></row><row r="1214"><cell r="K1214" t="str"><v>July</v></cell><cell r="L1214"><v>43295</v></cell><cell r="M1214" t="str"><v>Tier 1</v></cell><cell r="N1214" t="str"><v>North America</v></cell><cell r="O1214" t="str"><v>Canada</v></cell><cell r="P1214" t="str"><v>Trial</v></cell><cell r="Q1214" t="str"><v>Social</v></cell><cell r="R1214" t="str"><v>Azure</v></cell><cell r="S1214" t="str"><v>Apps & Infra</v></cell><cell r="T1214" t="str"><v>Developers & ITI's</v></cell><cell r="U1214" t="str"><v>AZR</v></cell><cell r="V1214" t="str"><v>Audience Targeting</v></cell><cell r="W1214" t="str"><v>NotApplicable</v></cell><cell r="X1214" t="str"><v>1x1</v></cell></row><row r="1214"><cell r="AA1214"><v>43291</v></cell><cell r="AB1214" t="str"><v>CAN_gaPMG_AZR_AZR_Q1_19_Trial-Social</v></cell><cell r="AC1214"><v>21337220</v></cell><cell r="AD1214"><v>720192</v></cell><cell r="AE1214" t="str"><v>Facebook</v></cell><cell r="AF1214"><v>3654128</v></cell><cell r="AG1214" t="str"><v>Facebook»AZR»1x1»SocialBan»NA»ALL»DYN»AUT»D»All»SS»NA»Free Acc Refresh - T1 - FR</v></cell><cell r="AH1214"><v>223691762</v></cell><cell r="AI1214" t="str"><v>AzurePlatform_FreeAcctAppsFACEBOOKLifestyleChA_CAN_1200x628_SOC_PLAT_FR_Trial_Standard_NA_SU_T1_1.png</v></cell><cell r="AJ1214"><v>102902974</v></cell></row><row r="1215"><cell r="C1215" t="str"><v>43291Facebook»AZR»1x1»SocialBan»NA»ALL»DYN»AUT»D»All»SS»NA»Free Acc Refresh - T2 - EN</v></cell><cell r="D1215" t="str"><v>43291223691810</v></cell><cell r="E1215" t="str"><v>432911030587112 - EN</v></cell><cell r="F1215" t="str"><v>DCM</v></cell><cell r="G1215" t="str"><v>https://azure.microsoft.com/en-CA/free/search/</v></cell></row><row r="1215"><cell r="K1215" t="str"><v>July</v></cell><cell r="L1215"><v>43295</v></cell><cell r="M1215" t="str"><v>Tier 1</v></cell><cell r="N1215" t="str"><v>North America</v></cell><cell r="O1215" t="str"><v>Canada</v></cell><cell r="P1215" t="str"><v>Trial</v></cell><cell r="Q1215" t="str"><v>Social</v></cell><cell r="R1215" t="str"><v>Azure</v></cell><cell r="S1215" t="str"><v>Apps & Infra</v></cell><cell r="T1215" t="str"><v>Developers & ITI's</v></cell><cell r="U1215" t="str"><v>AZR</v></cell><cell r="V1215" t="str"><v>Audience Targeting</v></cell><cell r="W1215" t="str"><v>NotApplicable</v></cell><cell r="X1215" t="str"><v>1x1</v></cell></row><row r="1215"><cell r="AA1215"><v>43291</v></cell><cell r="AB1215" t="str"><v>CAN_gaPMG_AZR_AZR_Q1_19_Trial-Social</v></cell><cell r="AC1215"><v>21337220</v></cell><cell r="AD1215"><v>720192</v></cell><cell r="AE1215" t="str"><v>Facebook</v></cell><cell r="AF1215"><v>3654128</v></cell><cell r="AG1215" t="str"><v>Facebook»AZR»1x1»SocialBan»NA»ALL»DYN»AUT»D»All»SS»NA»Free Acc Refresh - T2 - EN</v></cell><cell r="AH1215"><v>223691810</v></cell><cell r="AI1215" t="str"><v>AzurePlatform_FreeAcctAppsFACEBOOKDeviceChB_CAN_1200x628_SOC_PLAT_EN_Trial_Standard_NA_SU_T2_1.png</v></cell><cell r="AJ1215"><v>103058711</v></cell></row><row r="1216"><cell r="C1216" t="str"><v>43291Facebook»AZR»1x1»SocialBan»NA»ALL»DYN»AUT»D»All»SS»NA»Free Acc Refresh - T2 - FR</v></cell><cell r="D1216" t="str"><v>43291223691768</v></cell><cell r="E1216" t="str"><v>432911029029712 - FR</v></cell><cell r="F1216" t="str"><v>DCM</v></cell><cell r="G1216" t="str"><v>https://azure.microsoft.com/fr-ca/free/search/</v></cell></row><row r="1216"><cell r="K1216" t="str"><v>July</v></cell><cell r="L1216"><v>43295</v></cell><cell r="M1216" t="str"><v>Tier 1</v></cell><cell r="N1216" t="str"><v>North America</v></cell><cell r="O1216" t="str"><v>Canada</v></cell><cell r="P1216" t="str"><v>Trial</v></cell><cell r="Q1216" t="str"><v>Social</v></cell><cell r="R1216" t="str"><v>Azure</v></cell><cell r="S1216" t="str"><v>Apps & Infra</v></cell><cell r="T1216" t="str"><v>Developers & ITI's</v></cell><cell r="U1216" t="str"><v>AZR</v></cell><cell r="V1216" t="str"><v>Audience Targeting</v></cell><cell r="W1216" t="str"><v>NotApplicable</v></cell><cell r="X1216" t="str"><v>1x1</v></cell></row><row r="1216"><cell r="AA1216"><v>43291</v></cell><cell r="AB1216" t="str"><v>CAN_gaPMG_AZR_AZR_Q1_19_Trial-Social</v></cell><cell r="AC1216"><v>21337220</v></cell><cell r="AD1216"><v>720192</v></cell><cell r="AE1216" t="str"><v>Facebook</v></cell><cell r="AF1216"><v>3654128</v></cell><cell r="AG1216" t="str"><v>Facebook»AZR»1x1»SocialBan»NA»ALL»DYN»AUT»D»All»SS»NA»Free Acc Refresh - T2 - FR</v></cell><cell r="AH1216"><v>223691768</v></cell><cell r="AI1216" t="str"><v>AzurePlatform_FreeAcctAppsFACEBOOKDeviceChB_CAN_1200x628_SOC_PLAT_FR_Trial_Standard_NA_SU_T2_1.png</v></cell><cell r="AJ1216"><v>102902971</v></cell></row><row r="1217"><cell r="C1217" t="str"><v>43291Facebook»AZR»1x1»SocialBan»NA»ALL»DYN»AUT»D»All»SS»NA»Free Acc Refresh - T3 - EN</v></cell><cell r="D1217" t="str"><v>43291223691807</v></cell><cell r="E1217" t="str"><v>432911029006853 - EN</v></cell><cell r="F1217" t="str"><v>DCM</v></cell><cell r="G1217" t="str"><v>https://azure.microsoft.com/en-CA/free/search/</v></cell></row><row r="1217"><cell r="K1217" t="str"><v>July</v></cell><cell r="L1217"><v>43295</v></cell><cell r="M1217" t="str"><v>Tier 1</v></cell><cell r="N1217" t="str"><v>North America</v></cell><cell r="O1217" t="str"><v>Canada</v></cell><cell r="P1217" t="str"><v>Trial</v></cell><cell r="Q1217" t="str"><v>Social</v></cell><cell r="R1217" t="str"><v>Azure</v></cell><cell r="S1217" t="str"><v>Apps & Infra</v></cell><cell r="T1217" t="str"><v>Developers & ITI's</v></cell><cell r="U1217" t="str"><v>AZR</v></cell><cell r="V1217" t="str"><v>Audience Targeting</v></cell><cell r="W1217" t="str"><v>NotApplicable</v></cell><cell r="X1217" t="str"><v>1x1</v></cell></row><row r="1217"><cell r="AA1217"><v>43291</v></cell><cell r="AB1217" t="str"><v>CAN_gaPMG_AZR_AZR_Q1_19_Trial-Social</v></cell><cell r="AC1217"><v>21337220</v></cell><cell r="AD1217"><v>720192</v></cell><cell r="AE1217" t="str"><v>Facebook</v></cell><cell r="AF1217"><v>3654128</v></cell><cell r="AG1217" t="str"><v>Facebook»AZR»1x1»SocialBan»NA»ALL»DYN»AUT»D»All»SS»NA»Free Acc Refresh - T3 - EN</v></cell><cell r="AH1217"><v>223691807</v></cell><cell r="AI1217" t="str"><v>AzurePlatform_FreeAcctAppsFACEBOOKIllustrationChC_CAN_1200x628_SOC_PLAT_EN_Trial_Standard_NA_SU_T3_1.png</v></cell><cell r="AJ1217"><v>102900685</v></cell></row><row r="1218"><cell r="C1218" t="str"><v>43291Facebook»AZR»1x1»SocialBan»NA»ALL»DYN»AUT»D»All»SS»NA»Free Acc Refresh - T4 - EN</v></cell><cell r="D1218" t="str"><v>43291223691813</v></cell><cell r="E1218" t="str"><v>432911030533204 - EN</v></cell><cell r="F1218" t="str"><v>DCM</v></cell><cell r="G1218" t="str"><v>https://azure.microsoft.com/en-CA/free/search/</v></cell></row><row r="1218"><cell r="K1218" t="str"><v>July</v></cell><cell r="L1218"><v>43295</v></cell><cell r="M1218" t="str"><v>Tier 1</v></cell><cell r="N1218" t="str"><v>North America</v></cell><cell r="O1218" t="str"><v>Canada</v></cell><cell r="P1218" t="str"><v>Trial</v></cell><cell r="Q1218" t="str"><v>Social</v></cell><cell r="R1218" t="str"><v>Azure</v></cell><cell r="S1218" t="str"><v>Apps & Infra</v></cell><cell r="T1218" t="str"><v>Developers & ITI's</v></cell><cell r="U1218" t="str"><v>AZR</v></cell><cell r="V1218" t="str"><v>Audience Targeting</v></cell><cell r="W1218" t="str"><v>NotApplicable</v></cell><cell r="X1218" t="str"><v>1x1</v></cell></row><row r="1218"><cell r="AA1218"><v>43291</v></cell><cell r="AB1218" t="str"><v>CAN_gaPMG_AZR_AZR_Q1_19_Trial-Social</v></cell><cell r="AC1218"><v>21337220</v></cell><cell r="AD1218"><v>720192</v></cell><cell r="AE1218" t="str"><v>Facebook</v></cell><cell r="AF1218"><v>3654128</v></cell><cell r="AG1218" t="str"><v>Facebook»AZR»1x1»SocialBan»NA»ALL»DYN»AUT»D»All»SS»NA»Free Acc Refresh - T4 - EN</v></cell><cell r="AH1218"><v>223691813</v></cell><cell r="AI1218" t="str"><v>AzurePlatform_FreeAcctAppsFACEBOOK200CreditChD_CAN_1200x628_SOC_PLAT_EN_Trial_Standard_NA_SU_T4_1.png</v></cell><cell r="AJ1218"><v>103053320</v></cell></row><row r="1219"><cell r="C1219" t="str"><v>43291Facebook»AZR»1x1»SocialBan»NA»ALL»DYN»AUT»D»All»SS»NA»Free Acc Refresh - T5 - EN</v></cell><cell r="D1219" t="str"><v>43291223691816</v></cell><cell r="E1219" t="str"><v>432911029163415 - EN</v></cell><cell r="F1219" t="str"><v>DCM</v></cell><cell r="G1219" t="str"><v>https://azure.microsoft.com/en-CA/free/search/</v></cell></row><row r="1219"><cell r="K1219" t="str"><v>July</v></cell><cell r="L1219"><v>43295</v></cell><cell r="M1219" t="str"><v>Tier 1</v></cell><cell r="N1219" t="str"><v>North America</v></cell><cell r="O1219" t="str"><v>Canada</v></cell><cell r="P1219" t="str"><v>Trial</v></cell><cell r="Q1219" t="str"><v>Social</v></cell><cell r="R1219" t="str"><v>Azure</v></cell><cell r="S1219" t="str"><v>Apps & Infra</v></cell><cell r="T1219" t="str"><v>Developers & ITI's</v></cell><cell r="U1219" t="str"><v>AZR</v></cell><cell r="V1219" t="str"><v>Audience Targeting</v></cell><cell r="W1219" t="str"><v>NotApplicable</v></cell><cell r="X1219" t="str"><v>1x1</v></cell></row><row r="1219"><cell r="AA1219"><v>43291</v></cell><cell r="AB1219" t="str"><v>CAN_gaPMG_AZR_AZR_Q1_19_Trial-Social</v></cell><cell r="AC1219"><v>21337220</v></cell><cell r="AD1219"><v>720192</v></cell><cell r="AE1219" t="str"><v>Facebook</v></cell><cell r="AF1219"><v>3654128</v></cell><cell r="AG1219" t="str"><v>Facebook»AZR»1x1»SocialBan»NA»ALL»DYN»AUT»D»All»SS»NA»Free Acc Refresh - T5 - EN</v></cell><cell r="AH1219"><v>223691816</v></cell><cell r="AI1219" t="str"><v>AzurePlatform_FreeAcctAppsFACEBOOK12monthsChE_CAN_1200x628_SOC_PLAT_EN_Trial_Standard_NA_SU_T5_1.png</v></cell><cell r="AJ1219"><v>102916341</v></cell></row><row r="1220"><cell r="C1220" t="str"><v>43291Facebook»AZR»1x1»SocialBan»NA»ALL»DYN»RT»D»All»SS»NA» Free Account Retargeting OSS - T1 - EN</v></cell><cell r="D1220" t="str"><v>43291223691828</v></cell><cell r="E1220" t="str"><v>432911029029561 - EN</v></cell><cell r="F1220" t="str"><v>DCM</v></cell><cell r="G1220" t="str"><v>https://azure.microsoft.com/en-ca/free/open-source/search/</v></cell></row><row r="1220"><cell r="K1220" t="str"><v>July</v></cell><cell r="L1220"><v>43295</v></cell><cell r="M1220" t="str"><v>Tier 1</v></cell><cell r="N1220" t="str"><v>North America</v></cell><cell r="O1220" t="str"><v>Canada</v></cell><cell r="P1220" t="str"><v>Trial</v></cell><cell r="Q1220" t="str"><v>Social</v></cell><cell r="R1220" t="str"><v>Azure</v></cell><cell r="S1220" t="str"><v>Apps & Infra</v></cell><cell r="T1220" t="str"><v>Developers & ITI's</v></cell><cell r="U1220" t="str"><v>AZR</v></cell><cell r="V1220" t="str"><v>Retargeting</v></cell><cell r="W1220" t="str"><v>NotApplicable</v></cell><cell r="X1220" t="str"><v>1x1</v></cell></row><row r="1220"><cell r="AA1220"><v>43291</v></cell><cell r="AB1220" t="str"><v>CAN_gaPMG_AZR_AZR_Q1_19_Trial-Social</v></cell><cell r="AC1220"><v>21337220</v></cell><cell r="AD1220"><v>720192</v></cell><cell r="AE1220" t="str"><v>Facebook</v></cell><cell r="AF1220"><v>3654128</v></cell><cell r="AG1220" t="str"><v>Facebook»AZR»1x1»SocialBan»NA»ALL»DYN»RT»D»All»SS»NA» Free Account Retargeting OSS - T1 - EN</v></cell><cell r="AH1220"><v>223691828</v></cell><cell r="AI1220" t="str"><v>AzurePlatform_FreeAcctRetargetingOSSFB-Text-ChF_CAN_1200x628_SOC_Plat_EN_Free Account_Standard_NA_SU_T1_1</v></cell><cell r="AJ1220"><v>102902956</v></cell></row><row r="1221"><cell r="C1221" t="str"><v>43291Facebook»AZR»1x1»SocialBan»NA»ALL»DYN»RT»D»All»SS»NA» Free Account Retargeting OSS - T1 - FR</v></cell><cell r="D1221" t="str"><v>43291223691786</v></cell><cell r="E1221" t="str"><v>432911030587201 - FR</v></cell><cell r="F1221" t="str"><v>DCM</v></cell><cell r="G1221" t="str"><v>https://azure.microsoft.com/fr-ca/free/open-source/search/</v></cell></row><row r="1221"><cell r="K1221" t="str"><v>July</v></cell><cell r="L1221"><v>43295</v></cell><cell r="M1221" t="str"><v>Tier 1</v></cell><cell r="N1221" t="str"><v>North America</v></cell><cell r="O1221" t="str"><v>Canada</v></cell><cell r="P1221" t="str"><v>Trial</v></cell><cell r="Q1221" t="str"><v>Social</v></cell><cell r="R1221" t="str"><v>Azure</v></cell><cell r="S1221" t="str"><v>Apps & Infra</v></cell><cell r="T1221" t="str"><v>Developers & ITI's</v></cell><cell r="U1221" t="str"><v>AZR</v></cell><cell r="V1221" t="str"><v>Retargeting</v></cell><cell r="W1221" t="str"><v>NotApplicable</v></cell><cell r="X1221" t="str"><v>1x1</v></cell></row><row r="1221"><cell r="AA1221"><v>43291</v></cell><cell r="AB1221" t="str"><v>CAN_gaPMG_AZR_AZR_Q1_19_Trial-Social</v></cell><cell r="AC1221"><v>21337220</v></cell><cell r="AD1221"><v>720192</v></cell><cell r="AE1221" t="str"><v>Facebook</v></cell><cell r="AF1221"><v>3654128</v></cell><cell r="AG1221" t="str"><v>Facebook»AZR»1x1»SocialBan»NA»ALL»DYN»RT»D»All»SS»NA» Free Account Retargeting OSS - T1 - FR</v></cell><cell r="AH1221"><v>223691786</v></cell><cell r="AI1221" t="str"><v>AzurePlatform_FreeAcctRetargetingOSSFB-Text-ChF_CAN_1200x628_SOC_Plat_FR_Free Account_Standard_NA_SU_T1_1</v></cell><cell r="AJ1221"><v>103058720</v></cell></row><row r="1222"><cell r="C1222" t="str"><v>43291Facebook»AZR»1x1»SocialBan»NA»ALL»DYN»RT»D»All»SS»NA» Free Account Retargeting OSS - T2 - EN</v></cell><cell r="D1222" t="str"><v>43291223691831</v></cell><cell r="E1222" t="str"><v>432911029138002 - EN</v></cell><cell r="F1222" t="str"><v>DCM</v></cell><cell r="G1222" t="str"><v>https://azure.microsoft.com/en-ca/free/open-source/search/</v></cell></row><row r="1222"><cell r="K1222" t="str"><v>July</v></cell><cell r="L1222"><v>43295</v></cell><cell r="M1222" t="str"><v>Tier 1</v></cell><cell r="N1222" t="str"><v>North America</v></cell><cell r="O1222" t="str"><v>Canada</v></cell><cell r="P1222" t="str"><v>Trial</v></cell><cell r="Q1222" t="str"><v>Social</v></cell><cell r="R1222" t="str"><v>Azure</v></cell><cell r="S1222" t="str"><v>Apps & Infra</v></cell><cell r="T1222" t="str"><v>Developers & ITI's</v></cell><cell r="U1222" t="str"><v>AZR</v></cell><cell r="V1222" t="str"><v>Retargeting</v></cell><cell r="W1222" t="str"><v>NotApplicable</v></cell><cell r="X1222" t="str"><v>1x1</v></cell></row><row r="1222"><cell r="AA1222"><v>43291</v></cell><cell r="AB1222" t="str"><v>CAN_gaPMG_AZR_AZR_Q1_19_Trial-Social</v></cell><cell r="AC1222"><v>21337220</v></cell><cell r="AD1222"><v>720192</v></cell><cell r="AE1222" t="str"><v>Facebook</v></cell><cell r="AF1222"><v>3654128</v></cell><cell r="AG1222" t="str"><v>Facebook»AZR»1x1»SocialBan»NA»ALL»DYN»RT»D»All»SS»NA» Free Account Retargeting OSS - T2 - EN</v></cell><cell r="AH1222"><v>223691831</v></cell><cell r="AI1222" t="str"><v>AzurePlatform_FreeAcctRetargetingOSSFB-Logos-ChG_CAN_1200x628_SOC_Plat_EN_Free Account_Standard_NA_SU_T2_1</v></cell><cell r="AJ1222"><v>102913800</v></cell></row><row r="1223"><cell r="C1223" t="str"><v>43291Facebook»AZR»1x1»SocialBan»NA»ALL»DYN»RT»D»All»SS»NA» Free Account Retargeting OSS - T2 - FR</v></cell><cell r="D1223" t="str"><v>43291223691789</v></cell><cell r="E1223" t="str"><v>432911029006912 - FR</v></cell><cell r="F1223" t="str"><v>DCM</v></cell><cell r="G1223" t="str"><v>https://azure.microsoft.com/fr-ca/free/open-source/search/</v></cell></row><row r="1223"><cell r="K1223" t="str"><v>July</v></cell><cell r="L1223"><v>43295</v></cell><cell r="M1223" t="str"><v>Tier 1</v></cell><cell r="N1223" t="str"><v>North America</v></cell><cell r="O1223" t="str"><v>Canada</v></cell><cell r="P1223" t="str"><v>Trial</v></cell><cell r="Q1223" t="str"><v>Social</v></cell><cell r="R1223" t="str"><v>Azure</v></cell><cell r="S1223" t="str"><v>Apps & Infra</v></cell><cell r="T1223" t="str"><v>Developers & ITI's</v></cell><cell r="U1223" t="str"><v>AZR</v></cell><cell r="V1223" t="str"><v>Retargeting</v></cell><cell r="W1223" t="str"><v>NotApplicable</v></cell><cell r="X1223" t="str"><v>1x1</v></cell></row><row r="1223"><cell r="AA1223"><v>43291</v></cell><cell r="AB1223" t="str"><v>CAN_gaPMG_AZR_AZR_Q1_19_Trial-Social</v></cell><cell r="AC1223"><v>21337220</v></cell><cell r="AD1223"><v>720192</v></cell><cell r="AE1223" t="str"><v>Facebook</v></cell><cell r="AF1223"><v>3654128</v></cell><cell r="AG1223" t="str"><v>Facebook»AZR»1x1»SocialBan»NA»ALL»DYN»RT»D»All»SS»NA» Free Account Retargeting OSS - T2 - FR</v></cell><cell r="AH1223"><v>223691789</v></cell><cell r="AI1223" t="str"><v>AzurePlatform_FreeAcctRetargetingOSSFB-Logos-ChG_CAN_1200x628_SOC_Plat_FR_Free Account_Standard_NA_SU_T2_1</v></cell><cell r="AJ1223"><v>102900691</v></cell></row><row r="1224"><cell r="C1224" t="str"><v>43291Facebook»AZR»1x1»SocialBan»NA»ALL»DYN»RT»D»All»SS»NA»Free Account Retargeting Generic - T2 - EN</v></cell><cell r="D1224" t="str"><v>43291223691834</v></cell><cell r="E1224" t="str"><v>432911029029532 - EN</v></cell><cell r="F1224" t="str"><v>DCM</v></cell><cell r="G1224" t="str"><v>https://azure.microsoft.com/en-CA/free/search/</v></cell></row><row r="1224"><cell r="K1224" t="str"><v>July</v></cell><cell r="L1224"><v>43295</v></cell><cell r="M1224" t="str"><v>Tier 1</v></cell><cell r="N1224" t="str"><v>North America</v></cell><cell r="O1224" t="str"><v>Canada</v></cell><cell r="P1224" t="str"><v>Trial</v></cell><cell r="Q1224" t="str"><v>Social</v></cell><cell r="R1224" t="str"><v>Azure</v></cell><cell r="S1224" t="str"><v>Apps & Infra</v></cell><cell r="T1224" t="str"><v>Developers & ITI's</v></cell><cell r="U1224" t="str"><v>AZR</v></cell><cell r="V1224" t="str"><v>Retargeting</v></cell><cell r="W1224" t="str"><v>NotApplicable</v></cell><cell r="X1224" t="str"><v>1x1</v></cell></row><row r="1224"><cell r="AA1224"><v>43291</v></cell><cell r="AB1224" t="str"><v>CAN_gaPMG_AZR_AZR_Q1_19_Trial-Social</v></cell><cell r="AC1224"><v>21337220</v></cell><cell r="AD1224"><v>720192</v></cell><cell r="AE1224" t="str"><v>Facebook</v></cell><cell r="AF1224"><v>3654128</v></cell><cell r="AG1224" t="str"><v>Facebook»AZR»1x1»SocialBan»NA»ALL»DYN»RT»D»All»SS»NA»Free Account Retargeting Generic - T2 - EN</v></cell><cell r="AH1224"><v>223691834</v></cell><cell r="AI1224" t="str"><v>AzurePlatform_FreeAcctRetargetingFB-GlobalAlt-ChB_CAN_1200x628_SOC_Plat_EN_Free Account_Standard_NA_SU_T2_1</v></cell><cell r="AJ1224"><v>102902953</v></cell></row><row r="1225"><cell r="C1225" t="str"><v>43291Facebook»AZR»1x1»SocialBan»NA»ALL»DYN»RT»D»All»SS»NA»Free Account Retargeting Generic - T2 - FR</v></cell><cell r="D1225" t="str"><v>43291223691792</v></cell><cell r="E1225" t="str"><v>432911029018942 - FR</v></cell><cell r="F1225" t="str"><v>DCM</v></cell><cell r="G1225" t="str"><v>https://azure.microsoft.com/fr-ca/free/search/</v></cell></row><row r="1225"><cell r="K1225" t="str"><v>July</v></cell><cell r="L1225"><v>43295</v></cell><cell r="M1225" t="str"><v>Tier 1</v></cell><cell r="N1225" t="str"><v>North America</v></cell><cell r="O1225" t="str"><v>Canada</v></cell><cell r="P1225" t="str"><v>Trial</v></cell><cell r="Q1225" t="str"><v>Social</v></cell><cell r="R1225" t="str"><v>Azure</v></cell><cell r="S1225" t="str"><v>Apps & Infra</v></cell><cell r="T1225" t="str"><v>Developers & ITI's</v></cell><cell r="U1225" t="str"><v>AZR</v></cell><cell r="V1225" t="str"><v>Retargeting</v></cell><cell r="W1225" t="str"><v>NotApplicable</v></cell><cell r="X1225" t="str"><v>1x1</v></cell></row><row r="1225"><cell r="AA1225"><v>43291</v></cell><cell r="AB1225" t="str"><v>CAN_gaPMG_AZR_AZR_Q1_19_Trial-Social</v></cell><cell r="AC1225"><v>21337220</v></cell><cell r="AD1225"><v>720192</v></cell><cell r="AE1225" t="str"><v>Facebook</v></cell><cell r="AF1225"><v>3654128</v></cell><cell r="AG1225" t="str"><v>Facebook»AZR»1x1»SocialBan»NA»ALL»DYN»RT»D»All»SS»NA»Free Account Retargeting Generic - T2 - FR</v></cell><cell r="AH1225"><v>223691792</v></cell><cell r="AI1225" t="str"><v>AzurePlatform_FreeAcctRetargetingFB-GlobalAlt-ChB_CAN_1200x628_SOC_Plat_FR_Free Account_Standard_NA_SU_T2_1</v></cell><cell r="AJ1225"><v>102901894</v></cell></row><row r="1226"><cell r="C1226" t="str"><v>43291Facebook»AZR»1x1»SocialBan»NA»ALL»DYN»RT»D»All»SS»NA»Free Account Retargeting Generic - T3 - EN</v></cell><cell r="D1226" t="str"><v>43291223691819</v></cell><cell r="E1226" t="str"><v>432911029006823 - EN</v></cell><cell r="F1226" t="str"><v>DCM</v></cell><cell r="G1226" t="str"><v>https://azure.microsoft.com/en-CA/free/search/</v></cell></row><row r="1226"><cell r="K1226" t="str"><v>July</v></cell><cell r="L1226"><v>43295</v></cell><cell r="M1226" t="str"><v>Tier 1</v></cell><cell r="N1226" t="str"><v>North America</v></cell><cell r="O1226" t="str"><v>Canada</v></cell><cell r="P1226" t="str"><v>Trial</v></cell><cell r="Q1226" t="str"><v>Social</v></cell><cell r="R1226" t="str"><v>Azure</v></cell><cell r="S1226" t="str"><v>Apps & Infra</v></cell><cell r="T1226" t="str"><v>Developers & ITI's</v></cell><cell r="U1226" t="str"><v>AZR</v></cell><cell r="V1226" t="str"><v>Retargeting</v></cell><cell r="W1226" t="str"><v>NotApplicable</v></cell><cell r="X1226" t="str"><v>1x1</v></cell></row><row r="1226"><cell r="AA1226"><v>43291</v></cell><cell r="AB1226" t="str"><v>CAN_gaPMG_AZR_AZR_Q1_19_Trial-Social</v></cell><cell r="AC1226"><v>21337220</v></cell><cell r="AD1226"><v>720192</v></cell><cell r="AE1226" t="str"><v>Facebook</v></cell><cell r="AF1226"><v>3654128</v></cell><cell r="AG1226" t="str"><v>Facebook»AZR»1x1»SocialBan»NA»ALL»DYN»RT»D»All»SS»NA»Free Account Retargeting Generic - T3 - EN</v></cell><cell r="AH1226"><v>223691819</v></cell><cell r="AI1226" t="str"><v>AzurePlatform_FreeAcctRetargetingFB-Animated-ChC_CAN_1200x628_SOC_Plat_EN_Free Account_Standard_ANI_SU_T3_1</v></cell><cell r="AJ1226"><v>102900682</v></cell></row><row r="1227"><cell r="C1227" t="str"><v>43291Facebook»AZR»1x1»SocialBan»NA»ALL»DYN»RT»D»All»SS»NA»Free Account Retargeting Generic - T3 - FR</v></cell><cell r="D1227" t="str"><v>43291223691777</v></cell><cell r="E1227" t="str"><v>432911029006973 - FR</v></cell><cell r="F1227" t="str"><v>DCM</v></cell><cell r="G1227" t="str"><v>https://azure.microsoft.com/fr-ca/free/search/</v></cell></row><row r="1227"><cell r="K1227" t="str"><v>July</v></cell><cell r="L1227"><v>43295</v></cell><cell r="M1227" t="str"><v>Tier 1</v></cell><cell r="N1227" t="str"><v>North America</v></cell><cell r="O1227" t="str"><v>Canada</v></cell><cell r="P1227" t="str"><v>Trial</v></cell><cell r="Q1227" t="str"><v>Social</v></cell><cell r="R1227" t="str"><v>Azure</v></cell><cell r="S1227" t="str"><v>Apps & Infra</v></cell><cell r="T1227" t="str"><v>Developers & ITI's</v></cell><cell r="U1227" t="str"><v>AZR</v></cell><cell r="V1227" t="str"><v>Retargeting</v></cell><cell r="W1227" t="str"><v>NotApplicable</v></cell><cell r="X1227" t="str"><v>1x1</v></cell></row><row r="1227"><cell r="AA1227"><v>43291</v></cell><cell r="AB1227" t="str"><v>CAN_gaPMG_AZR_AZR_Q1_19_Trial-Social</v></cell><cell r="AC1227"><v>21337220</v></cell><cell r="AD1227"><v>720192</v></cell><cell r="AE1227" t="str"><v>Facebook</v></cell><cell r="AF1227"><v>3654128</v></cell><cell r="AG1227" t="str"><v>Facebook»AZR»1x1»SocialBan»NA»ALL»DYN»RT»D»All»SS»NA»Free Account Retargeting Generic - T3 - FR</v></cell><cell r="AH1227"><v>223691777</v></cell><cell r="AI1227" t="str"><v>AzurePlatform_FreeAcctRetargetingFB-Animated-ChC_CAN_1200x628_SOC_Plat_FR_Free Account_Standard_ANI_SU_T3_1</v></cell><cell r="AJ1227"><v>102900697</v></cell></row><row r="1228"><cell r="C1228" t="str"><v>43291Facebook»AZR»1x1»SocialBan»NA»ALL»DYN»RT»D»All»SS»NA»Free Account Retargeting VM - T1 - EN</v></cell><cell r="D1228" t="str"><v>43291223691825</v></cell><cell r="E1228" t="str"><v>432911029163381 - EN</v></cell><cell r="F1228" t="str"><v>DCM</v></cell><cell r="G1228" t="str"><v>https://azure.microsoft.com/en-ca/free/virtual-machines/search/</v></cell></row><row r="1228"><cell r="K1228" t="str"><v>July</v></cell><cell r="L1228"><v>43295</v></cell><cell r="M1228" t="str"><v>Tier 1</v></cell><cell r="N1228" t="str"><v>North America</v></cell><cell r="O1228" t="str"><v>Canada</v></cell><cell r="P1228" t="str"><v>Trial</v></cell><cell r="Q1228" t="str"><v>Social</v></cell><cell r="R1228" t="str"><v>Azure</v></cell><cell r="S1228" t="str"><v>Apps & Infra</v></cell><cell r="T1228" t="str"><v>Developers & ITI's</v></cell><cell r="U1228" t="str"><v>AZR</v></cell><cell r="V1228" t="str"><v>Retargeting</v></cell><cell r="W1228" t="str"><v>NotApplicable</v></cell><cell r="X1228" t="str"><v>1x1</v></cell></row><row r="1228"><cell r="AA1228"><v>43291</v></cell><cell r="AB1228" t="str"><v>CAN_gaPMG_AZR_AZR_Q1_19_Trial-Social</v></cell><cell r="AC1228"><v>21337220</v></cell><cell r="AD1228"><v>720192</v></cell><cell r="AE1228" t="str"><v>Facebook</v></cell><cell r="AF1228"><v>3654128</v></cell><cell r="AG1228" t="str"><v>Facebook»AZR»1x1»SocialBan»NA»ALL»DYN»RT»D»All»SS»NA»Free Account Retargeting VM - T1 - EN</v></cell><cell r="AH1228"><v>223691825</v></cell><cell r="AI1228" t="str"><v>AzurePlatform_FreeAcctRetargetingVMFB-750Hrs-ChD_CAN_1200x628_SOC_Plat_EN_Free Account_Standard_NA_SU_T1_1</v></cell><cell r="AJ1228"><v>102916338</v></cell></row><row r="1229"><cell r="C1229" t="str"><v>43291Facebook»AZR»1x1»SocialBan»NA»ALL»DYN»RT»D»All»SS»NA»Free Account Retargeting VM - T1 - FR</v></cell><cell r="D1229" t="str"><v>43291223691783</v></cell><cell r="E1229" t="str"><v>432911030587231 - FR</v></cell><cell r="F1229" t="str"><v>DCM</v></cell><cell r="G1229" t="str"><v>https://azure.microsoft.com/fr-ca/free/virtual-machines/search/</v></cell></row><row r="1229"><cell r="K1229" t="str"><v>July</v></cell><cell r="L1229"><v>43295</v></cell><cell r="M1229" t="str"><v>Tier 1</v></cell><cell r="N1229" t="str"><v>North America</v></cell><cell r="O1229" t="str"><v>Canada</v></cell><cell r="P1229" t="str"><v>Trial</v></cell><cell r="Q1229" t="str"><v>Social</v></cell><cell r="R1229" t="str"><v>Azure</v></cell><cell r="S1229" t="str"><v>Apps & Infra</v></cell><cell r="T1229" t="str"><v>Developers & ITI's</v></cell><cell r="U1229" t="str"><v>AZR</v></cell><cell r="V1229" t="str"><v>Retargeting</v></cell><cell r="W1229" t="str"><v>NotApplicable</v></cell><cell r="X1229" t="str"><v>1x1</v></cell></row><row r="1229"><cell r="AA1229"><v>43291</v></cell><cell r="AB1229" t="str"><v>CAN_gaPMG_AZR_AZR_Q1_19_Trial-Social</v></cell><cell r="AC1229"><v>21337220</v></cell><cell r="AD1229"><v>720192</v></cell><cell r="AE1229" t="str"><v>Facebook</v></cell><cell r="AF1229"><v>3654128</v></cell><cell r="AG1229" t="str"><v>Facebook»AZR»1x1»SocialBan»NA»ALL»DYN»RT»D»All»SS»NA»Free Account Retargeting VM - T1 - FR</v></cell><cell r="AH1229"><v>223691783</v></cell><cell r="AI1229" t="str"><v>AzurePlatform_FreeAcctRetargetingVMFB-750Hrs-ChD_CAN_1200x628_SOC_Plat_FR_Free Account_Standard_NA_SU_T1_1</v></cell><cell r="AJ1229"><v>103058723</v></cell></row><row r="1230"><cell r="C1230" t="str"><v>43291Facebook»AZR»1x1»SocialBan»NA»ALL»DYN»RT»D»All»SS»NA»Free Account Retargeting VM - T2 - EN</v></cell><cell r="D1230" t="str"><v>43291223691822</v></cell><cell r="E1230" t="str"><v>432911030587082 - EN</v></cell><cell r="F1230" t="str"><v>DCM</v></cell><cell r="G1230" t="str"><v>https://azure.microsoft.com/en-ca/free/virtual-machines/search/</v></cell></row><row r="1230"><cell r="K1230" t="str"><v>July</v></cell><cell r="L1230"><v>43295</v></cell><cell r="M1230" t="str"><v>Tier 1</v></cell><cell r="N1230" t="str"><v>North America</v></cell><cell r="O1230" t="str"><v>Canada</v></cell><cell r="P1230" t="str"><v>Trial</v></cell><cell r="Q1230" t="str"><v>Social</v></cell><cell r="R1230" t="str"><v>Azure</v></cell><cell r="S1230" t="str"><v>Apps & Infra</v></cell><cell r="T1230" t="str"><v>Developers & ITI's</v></cell><cell r="U1230" t="str"><v>AZR</v></cell><cell r="V1230" t="str"><v>Retargeting</v></cell><cell r="W1230" t="str"><v>NotApplicable</v></cell><cell r="X1230" t="str"><v>1x1</v></cell></row><row r="1230"><cell r="AA1230"><v>43291</v></cell><cell r="AB1230" t="str"><v>CAN_gaPMG_AZR_AZR_Q1_19_Trial-Social</v></cell><cell r="AC1230"><v>21337220</v></cell><cell r="AD1230"><v>720192</v></cell><cell r="AE1230" t="str"><v>Facebook</v></cell><cell r="AF1230"><v>3654128</v></cell><cell r="AG1230" t="str"><v>Facebook»AZR»1x1»SocialBan»NA»ALL»DYN»RT»D»All»SS»NA»Free Account Retargeting VM - T2 - EN</v></cell><cell r="AH1230"><v>223691822</v></cell><cell r="AI1230" t="str"><v>AzurePlatform_FreeAcctRetargetingVMFB-OnDemand-ChE_CAN_1200x628_SOC_Plat_EN_Free Account_Standard_NA_SU_T2_1</v></cell><cell r="AJ1230"><v>103058708</v></cell></row><row r="1231"><cell r="C1231" t="str"><v>43291Facebook»DEV-ITP-AZR-FB|CanvasAds|Interesttargeting»1x1»TextLink»CAN»DT»CPM»AUT»W»NA»SS»NA»39684020-11000</v></cell><cell r="D1231" t="str"><v>43291224009494</v></cell><cell r="E1231" t="str"><v>43291103236186-11000</v></cell><cell r="F1231" t="str"><v>DCM</v></cell><cell r="G1231" t="str"><v>https://signup.azure.com/signup?offer=ms-azr-0044p&appId=102&ref=paidmedia-social-fb&redirectURL=https%3a%2f%2fazure.microsoft.com%2fde-de%2fget-started%2fwelcome-to-azure%2f&l=de-de&correlationId=ead86c34-1f10-49dd-a72b-6918462a2cbf</v></cell></row><row r="1231"><cell r="K1231" t="str"><v>July</v></cell><cell r="L1231"><v>43295</v></cell><cell r="M1231" t="str"><v>Tier 1</v></cell><cell r="N1231" t="str"><v>EMEA</v></cell><cell r="O1231" t="str"><v>Germany</v></cell><cell r="P1231" t="str"><v>Trial</v></cell><cell r="Q1231" t="str"><v>Social</v></cell><cell r="R1231" t="str"><v>Azure</v></cell><cell r="S1231" t="str"><v>Apps & Infra</v></cell><cell r="T1231" t="str"><v>Developers & ITI's</v></cell><cell r="U1231" t="str"><v>DEV-ITP-AZR-FB|CanvasAds|Interesttargeting</v></cell><cell r="V1231" t="str"><v>Audience Targeting</v></cell><cell r="W1231" t="str"><v>Canvas Ad</v></cell><cell r="X1231" t="str"><v>1x1</v></cell></row><row r="1231"><cell r="AA1231"><v>43291</v></cell><cell r="AB1231" t="str"><v>DEU_gaPMG_AZR_AZR_Q1_19_Trial-Social- 39684</v></cell><cell r="AC1231"><v>21359477</v></cell><cell r="AD1231"><v>720194</v></cell><cell r="AE1231" t="str"><v>Facebook</v></cell><cell r="AF1231"><v>3654128</v></cell><cell r="AG1231" t="str"><v>Facebook»DEV-ITP-AZR-FB|CanvasAds|Interesttargeting»1x1»TextLink»CAN»DT»CPM»AUT»W»NA»SS»NA»39684020-11000</v></cell><cell r="AH1231"><v>224009494</v></cell><cell r="AI1231" t="str"><v>AzurePlatform_FBCTCBasicMotion-StartFreeCT_DEU_10s_ISV_PLAT_DE_Trial_Standard_STAN_TN_T1_1</v></cell><cell r="AJ1231"><v>103236186</v></cell></row><row r="1232"><cell r="C1232" t="str"><v>43291Facebook»DEV-ITP-AZR-FB|CanvasAds|Interesttargeting»1x1»TextLink»CAN»DT»CPM»AUT»W»NA»SS»NA»39684020-11000</v></cell><cell r="D1232" t="str"><v>43291224009494</v></cell><cell r="E1232" t="str"><v>43291103237290-11000</v></cell><cell r="F1232" t="str"><v>DCM</v></cell><cell r="G1232" t="str"><v>https://signup.azure.com/signup?offer=ms-azr-0044p&appId=102&ref=paidmedia-social-fb&redirectURL=https%3a%2f%2fazure.microsoft.com%2fde-de%2fget-started%2fwelcome-to-azure%2f&l=de-de&correlationId=ead86c34-1f10-49dd-a72b-6918462a2cbf</v></cell></row><row r="1232"><cell r="K1232" t="str"><v>July</v></cell><cell r="L1232"><v>43295</v></cell><cell r="M1232" t="str"><v>Tier 1</v></cell><cell r="N1232" t="str"><v>EMEA</v></cell><cell r="O1232" t="str"><v>Germany</v></cell><cell r="P1232" t="str"><v>Trial</v></cell><cell r="Q1232" t="str"><v>Social</v></cell><cell r="R1232" t="str"><v>Azure</v></cell><cell r="S1232" t="str"><v>Apps & Infra</v></cell><cell r="T1232" t="str"><v>Developers & ITI's</v></cell><cell r="U1232" t="str"><v>DEV-ITP-AZR-FB|CanvasAds|Interesttargeting</v></cell><cell r="V1232" t="str"><v>Audience Targeting</v></cell><cell r="W1232" t="str"><v>Canvas Ad</v></cell><cell r="X1232" t="str"><v>1x1</v></cell></row><row r="1232"><cell r="AA1232"><v>43291</v></cell><cell r="AB1232" t="str"><v>DEU_gaPMG_AZR_AZR_Q1_19_Trial-Social- 39684</v></cell><cell r="AC1232"><v>21359477</v></cell><cell r="AD1232"><v>720194</v></cell><cell r="AE1232" t="str"><v>Facebook</v></cell><cell r="AF1232"><v>3654128</v></cell><cell r="AG1232" t="str"><v>Facebook»DEV-ITP-AZR-FB|CanvasAds|Interesttargeting»1x1»TextLink»CAN»DT»CPM»AUT»W»NA»SS»NA»39684020-11000</v></cell><cell r="AH1232"><v>224009494</v></cell><cell r="AI1232" t="str"><v>AzurePlatform_FBCTCBenefit2inMotion-StartFreeCT_DEU_14s_ISV_PLAT_DE_Trial_Standard_STAN_TN_T4_1</v></cell><cell r="AJ1232"><v>103237290</v></cell></row><row r="1233"><cell r="C1233" t="str"><v>43291Facebook»DEV-ITP-AZR-FB|CanvasAds|Interesttargeting»1x1»TextLink»CAN»DT»CPM»AUT»W»NA»SS»NA»39684020-11000</v></cell><cell r="D1233" t="str"><v>43291224009494</v></cell><cell r="E1233" t="str"><v>43291103350059-11000</v></cell><cell r="F1233" t="str"><v>DCM</v></cell><cell r="G1233" t="str"><v>https://azure.microsoft.com/de-de/pricing/purchase-options/</v></cell></row><row r="1233"><cell r="K1233" t="str"><v>July</v></cell><cell r="L1233"><v>43295</v></cell><cell r="M1233" t="str"><v>Tier 1</v></cell><cell r="N1233" t="str"><v>EMEA</v></cell><cell r="O1233" t="str"><v>Germany</v></cell><cell r="P1233" t="str"><v>Trial</v></cell><cell r="Q1233" t="str"><v>Social</v></cell><cell r="R1233" t="str"><v>Azure</v></cell><cell r="S1233" t="str"><v>Apps & Infra</v></cell><cell r="T1233" t="str"><v>Developers & ITI's</v></cell><cell r="U1233" t="str"><v>DEV-ITP-AZR-FB|CanvasAds|Interesttargeting</v></cell><cell r="V1233" t="str"><v>Audience Targeting</v></cell><cell r="W1233" t="str"><v>Canvas Ad</v></cell><cell r="X1233" t="str"><v>1x1</v></cell></row><row r="1233"><cell r="AA1233"><v>43291</v></cell><cell r="AB1233" t="str"><v>DEU_gaPMG_AZR_AZR_Q1_19_Trial-Social- 39684</v></cell><cell r="AC1233"><v>21359477</v></cell><cell r="AD1233"><v>720194</v></cell><cell r="AE1233" t="str"><v>Facebook</v></cell><cell r="AF1233"><v>3654128</v></cell><cell r="AG1233" t="str"><v>Facebook»DEV-ITP-AZR-FB|CanvasAds|Interesttargeting»1x1»TextLink»CAN»DT»CPM»AUT»W»NA»SS»NA»39684020-11000</v></cell><cell r="AH1233"><v>224009494</v></cell><cell r="AI1233" t="str"><v>AzurePlatform_FBCTCBrandinMotion-BuyNow_DEU_12s_ISV_PLAT_DE_Trial_Standard_STAN_TN_T2_1</v></cell><cell r="AJ1233"><v>103350059</v></cell></row><row r="1234"><cell r="C1234" t="str"><v>43291Facebook»DEV-ITP-AZR-FB|CanvasAds|Interesttargeting»1x1»TextLink»CAN»DT»CPM»AUT»W»NA»SS»NA»39684020-11000</v></cell><cell r="D1234" t="str"><v>43291224009494</v></cell><cell r="E1234" t="str"><v>43291103237293-11000</v></cell><cell r="F1234" t="str"><v>DCM</v></cell><cell r="G1234" t="str"><v>https://signup.azure.com/signup?offer=ms-azr-0044p&appId=102&ref=paidmedia-social-fb&redirectURL=https%3a%2f%2fazure.microsoft.com%2fde-de%2fget-started%2fwelcome-to-azure%2f&l=de-de&correlationId=ead86c34-1f10-49dd-a72b-6918462a2cbf</v></cell></row><row r="1234"><cell r="K1234" t="str"><v>July</v></cell><cell r="L1234"><v>43295</v></cell><cell r="M1234" t="str"><v>Tier 1</v></cell><cell r="N1234" t="str"><v>EMEA</v></cell><cell r="O1234" t="str"><v>Germany</v></cell><cell r="P1234" t="str"><v>Trial</v></cell><cell r="Q1234" t="str"><v>Social</v></cell><cell r="R1234" t="str"><v>Azure</v></cell><cell r="S1234" t="str"><v>Apps & Infra</v></cell><cell r="T1234" t="str"><v>Developers & ITI's</v></cell><cell r="U1234" t="str"><v>DEV-ITP-AZR-FB|CanvasAds|Interesttargeting</v></cell><cell r="V1234" t="str"><v>Audience Targeting</v></cell><cell r="W1234" t="str"><v>Canvas Ad</v></cell><cell r="X1234" t="str"><v>1x1</v></cell></row><row r="1234"><cell r="AA1234"><v>43291</v></cell><cell r="AB1234" t="str"><v>DEU_gaPMG_AZR_AZR_Q1_19_Trial-Social- 39684</v></cell><cell r="AC1234"><v>21359477</v></cell><cell r="AD1234"><v>720194</v></cell><cell r="AE1234" t="str"><v>Facebook</v></cell><cell r="AF1234"><v>3654128</v></cell><cell r="AG1234" t="str"><v>Facebook»DEV-ITP-AZR-FB|CanvasAds|Interesttargeting»1x1»TextLink»CAN»DT»CPM»AUT»W»NA»SS»NA»39684020-11000</v></cell><cell r="AH1234"><v>224009494</v></cell><cell r="AI1234" t="str"><v>AzurePlatform_FBCTCBrandinMotion-StartFreeCT_DEU_12s_ISV_PLAT_DE_Trial_Standard_STAN_TN_T2_1</v></cell><cell r="AJ1234"><v>103237293</v></cell></row><row r="1235"><cell r="C1235" t="str"><v>43291Facebook»DEV-ITP-AZR-FB|LinkAd|CustomerAudienceRetargeting»1x1»TextLink»LIA»DT»CPM»RT»W»NA»SS»NA»39684019-11000</v></cell><cell r="D1235" t="str"><v>43291224010415</v></cell><cell r="E1235" t="str"><v>43291103040320-11000</v></cell><cell r="F1235" t="str"><v>DCM</v></cell><cell r="G1235" t="str"><v>https://azure.microsoft.com/de-de/free/search/</v></cell></row><row r="1235"><cell r="K1235" t="str"><v>July</v></cell><cell r="L1235"><v>43295</v></cell><cell r="M1235" t="str"><v>Tier 1</v></cell><cell r="N1235" t="str"><v>EMEA</v></cell><cell r="O1235" t="str"><v>Germany</v></cell><cell r="P1235" t="str"><v>Trial</v></cell><cell r="Q1235" t="str"><v>Social</v></cell><cell r="R1235" t="str"><v>Azure</v></cell><cell r="S1235" t="str"><v>Apps & Infra</v></cell><cell r="T1235" t="str"><v>Developers & ITI's</v></cell><cell r="U1235" t="str"><v>DEV-ITP-AZR-FB|LinkAd|CustomerAudienceRetargeting</v></cell><cell r="V1235" t="str"><v>Retargeting</v></cell><cell r="W1235" t="str"><v>Link Ad</v></cell><cell r="X1235" t="str"><v>1x1</v></cell></row><row r="1235"><cell r="AA1235"><v>43291</v></cell><cell r="AB1235" t="str"><v>DEU_gaPMG_AZR_AZR_Q1_19_Trial-Social- 39684</v></cell><cell r="AC1235"><v>21359477</v></cell><cell r="AD1235"><v>720194</v></cell><cell r="AE1235" t="str"><v>Facebook</v></cell><cell r="AF1235"><v>3654128</v></cell><cell r="AG1235" t="str"><v>Facebook»DEV-ITP-AZR-FB|LinkAd|CustomerAudienceRetargeting»1x1»TextLink»LIA»DT»CPM»RT»W»NA»SS»NA»39684019-11000</v></cell><cell r="AH1235"><v>224010415</v></cell><cell r="AI1235" t="str"><v>AzurePlatform_FreeAcctRetargetingFB-GlobalAlt-ChB_DEU_1200x628_SOC_Plat_DE_Free Account_Standard_NA_SNU_T2_1</v></cell><cell r="AJ1235"><v>103040320</v></cell></row><row r="1236"><cell r="C1236" t="str"><v>43291Facebook»DEV-ITP-AZR-FB|LinkAd|CustomerAudienceRetargeting»1x1»TextLink»LIA»DT»CPM»RT»W»NA»SS»NA»39684019-11000</v></cell><cell r="D1236" t="str"><v>43291224010415</v></cell><cell r="E1236" t="str"><v>43291103055394-11000</v></cell><cell r="F1236" t="str"><v>DCM</v></cell><cell r="G1236" t="str"><v>https://azure.microsoft.com/de-de/free/open-source/search/</v></cell></row><row r="1236"><cell r="K1236" t="str"><v>July</v></cell><cell r="L1236"><v>43295</v></cell><cell r="M1236" t="str"><v>Tier 1</v></cell><cell r="N1236" t="str"><v>EMEA</v></cell><cell r="O1236" t="str"><v>Germany</v></cell><cell r="P1236" t="str"><v>Trial</v></cell><cell r="Q1236" t="str"><v>Social</v></cell><cell r="R1236" t="str"><v>Azure</v></cell><cell r="S1236" t="str"><v>Apps & Infra</v></cell><cell r="T1236" t="str"><v>Developers & ITI's</v></cell><cell r="U1236" t="str"><v>DEV-ITP-AZR-FB|LinkAd|CustomerAudienceRetargeting</v></cell><cell r="V1236" t="str"><v>Retargeting</v></cell><cell r="W1236" t="str"><v>Link Ad</v></cell><cell r="X1236" t="str"><v>1x1</v></cell></row><row r="1236"><cell r="AA1236"><v>43291</v></cell><cell r="AB1236" t="str"><v>DEU_gaPMG_AZR_AZR_Q1_19_Trial-Social- 39684</v></cell><cell r="AC1236"><v>21359477</v></cell><cell r="AD1236"><v>720194</v></cell><cell r="AE1236" t="str"><v>Facebook</v></cell><cell r="AF1236"><v>3654128</v></cell><cell r="AG1236" t="str"><v>Facebook»DEV-ITP-AZR-FB|LinkAd|CustomerAudienceRetargeting»1x1»TextLink»LIA»DT»CPM»RT»W»NA»SS»NA»39684019-11000</v></cell><cell r="AH1236"><v>224010415</v></cell><cell r="AI1236" t="str"><v>AzurePlatform_FreeAcctRetargetingOSSFB-Text-ChF_DEU_1200x628_SOC_Plat_DE_Free Account_Standard_NA_SNU_T1_1</v></cell><cell r="AJ1236"><v>103055394</v></cell></row><row r="1237"><cell r="C1237" t="str"><v>43291Facebook»DEV-ITP-AZR-FB|LinkAd|CustomerAudienceRetargeting»1x1»TextLink»LIA»DT»CPM»RT»W»NA»SS»NA»39684019-11000</v></cell><cell r="D1237" t="str"><v>43291224010415</v></cell><cell r="E1237" t="str"><v>43291103043341-11000</v></cell><cell r="F1237" t="str"><v>DCM</v></cell><cell r="G1237" t="str"><v>https://azure.microsoft.com/de-de/free/virtual-machines/search/</v></cell></row><row r="1237"><cell r="K1237" t="str"><v>July</v></cell><cell r="L1237"><v>43295</v></cell><cell r="M1237" t="str"><v>Tier 1</v></cell><cell r="N1237" t="str"><v>EMEA</v></cell><cell r="O1237" t="str"><v>Germany</v></cell><cell r="P1237" t="str"><v>Trial</v></cell><cell r="Q1237" t="str"><v>Social</v></cell><cell r="R1237" t="str"><v>Azure</v></cell><cell r="S1237" t="str"><v>Apps & Infra</v></cell><cell r="T1237" t="str"><v>Developers & ITI's</v></cell><cell r="U1237" t="str"><v>DEV-ITP-AZR-FB|LinkAd|CustomerAudienceRetargeting</v></cell><cell r="V1237" t="str"><v>Retargeting</v></cell><cell r="W1237" t="str"><v>Link Ad</v></cell><cell r="X1237" t="str"><v>1x1</v></cell></row><row r="1237"><cell r="AA1237"><v>43291</v></cell><cell r="AB1237" t="str"><v>DEU_gaPMG_AZR_AZR_Q1_19_Trial-Social- 39684</v></cell><cell r="AC1237"><v>21359477</v></cell><cell r="AD1237"><v>720194</v></cell><cell r="AE1237" t="str"><v>Facebook</v></cell><cell r="AF1237"><v>3654128</v></cell><cell r="AG1237" t="str"><v>Facebook»DEV-ITP-AZR-FB|LinkAd|CustomerAudienceRetargeting»1x1»TextLink»LIA»DT»CPM»RT»W»NA»SS»NA»39684019-11000</v></cell><cell r="AH1237"><v>224010415</v></cell><cell r="AI1237" t="str"><v>AzurePlatform_FreeAcctRetargetingVMFB-750Hrs-ChD_DEU_1200x628_SOC_Plat_DE_Free Account_Standard_NA_SNU_T1_1</v></cell><cell r="AJ1237"><v>103043341</v></cell></row><row r="1238"><cell r="C1238" t="str"><v>43291Facebook»Developers/ITPros-Azure Direct-Sponsored Post-Canvas-FBCTCcanvaspage-BuyNowCTA-Img3_FBCTCBrandinMotion_FRA_14sec»1x1»Canvas»SOC»ALL»CPC»BT»D»UNK»SS»NA»Trials</v></cell><cell r="D1238" t="str"><v>43291224416918</v></cell><cell r="E1238" t="str"><v>43291103256571Trials</v></cell><cell r="F1238" t="str"><v>DCM</v></cell><cell r="G1238" t="str"><v>https://azure.microsoft.com/fr-fr/pricing/purchase-options/</v></cell></row><row r="1238"><cell r="K1238" t="str"><v>July</v></cell><cell r="L1238"><v>43295</v></cell><cell r="M1238" t="str"><v>Tier 1</v></cell><cell r="N1238" t="str"><v>EMEA</v></cell><cell r="O1238" t="str"><v>France</v></cell><cell r="P1238" t="str"><v>Trial</v></cell><cell r="Q1238" t="str"><v>Social</v></cell><cell r="R1238" t="str"><v>Azure</v></cell><cell r="S1238" t="str"><v>Apps & Infra</v></cell><cell r="T1238" t="str"><v>Developers & ITI's</v></cell><cell r="U1238" t="str"><v>Developers/ITPros-Azure Direct-Sponsored Post-Canvas-FBCTCcanvaspage-BuyNowCTA-Img3_FBCTCBrandinMotion_FRA_14sec</v></cell><cell r="V1238" t="str"><v>Behavioral Targeting</v></cell><cell r="W1238" t="str"><v>Social</v></cell><cell r="X1238" t="str"><v>1x1</v></cell></row><row r="1238"><cell r="AA1238"><v>43291</v></cell><cell r="AB1238" t="str"><v>FRA_gaPMG_AZR_AZR_Q1_19_AzureDirect-Trial-Social</v></cell><cell r="AC1238"><v>21356941</v></cell><cell r="AD1238"><v>720193</v></cell><cell r="AE1238" t="str"><v>Facebook</v></cell><cell r="AF1238"><v>3654128</v></cell><cell r="AG1238" t="str"><v>Facebook»Developers/ITPros-Azure Direct-Sponsored Post-Canvas-FBCTCcanvaspage-BuyNowCTA-Img3_FBCTCBrandinMotion_FRA_14sec»1x1»Canvas»SOC»ALL»CPC»BT»D»UNK»SS»NA»Trials</v></cell><cell r="AH1238"><v>224416918</v></cell><cell r="AI1238" t="str"><v>AZR_FBCTCcanvaspage-BuyNowCTA-Img3_FRA_1080x162_SOC_AZRDirect_French_NA_Facebook_SBAN_BN_T3_1</v></cell><cell r="AJ1238"><v>103256571</v></cell></row><row r="1239"><cell r="C1239" t="str"><v>43291Facebook»Developers/ITPros-Azure Direct-Sponsored Post-Canvas-FBCTCcanvaspage-StartFreeCTA-Img2_FBCTCBasicMotion_FRA_10sec»1x1»Canvas»SOC»ALL»CPC»BT»D»UNK»SS»NA»Trials</v></cell><cell r="D1239" t="str"><v>43291224560884</v></cell><cell r="E1239" t="str"><v>43291103259958Trials</v></cell><cell r="F1239" t="str"><v>DCM</v></cell><cell r="G1239" t="str"><v>https://signup.azure.com/signup?offer=ms-azr-0044p&appId=102&ref=paidmedia-social-fb&redirectURL=https%3a%2f%2fazure.microsoft.com%2ffr-fr%2fget-started%2fwelcome-to-azure%2f&l=fr-fr&correlationId=ead86c34-1f10-49dd-a72b-6918462a2cbf</v></cell></row><row r="1239"><cell r="K1239" t="str"><v>July</v></cell><cell r="L1239"><v>43295</v></cell><cell r="M1239" t="str"><v>Tier 1</v></cell><cell r="N1239" t="str"><v>EMEA</v></cell><cell r="O1239" t="str"><v>France</v></cell><cell r="P1239" t="str"><v>Trial</v></cell><cell r="Q1239" t="str"><v>Social</v></cell><cell r="R1239" t="str"><v>Azure</v></cell><cell r="S1239" t="str"><v>Apps & Infra</v></cell><cell r="T1239" t="str"><v>Developers & ITI's</v></cell><cell r="U1239" t="str"><v>Developers/ITPros-Azure Direct-Sponsored Post-Canvas-FBCTCcanvaspage-StartFreeCTA-Img2_FBCTCBasicMotion_FRA_10sec</v></cell><cell r="V1239" t="str"><v>Behavioral Targeting</v></cell><cell r="W1239" t="str"><v>Social</v></cell><cell r="X1239" t="str"><v>1x1</v></cell></row><row r="1239"><cell r="AA1239"><v>43291</v></cell><cell r="AB1239" t="str"><v>FRA_gaPMG_AZR_AZR_Q1_19_AzureDirect-Trial-Social</v></cell><cell r="AC1239"><v>21356941</v></cell><cell r="AD1239"><v>720193</v></cell><cell r="AE1239" t="str"><v>Facebook</v></cell><cell r="AF1239"><v>3654128</v></cell><cell r="AG1239" t="str"><v>Facebook»Developers/ITPros-Azure Direct-Sponsored Post-Canvas-FBCTCcanvaspage-StartFreeCTA-Img2_FBCTCBasicMotion_FRA_10sec»1x1»Canvas»SOC»ALL»CPC»BT»D»UNK»SS»NA»Trials</v></cell><cell r="AH1239"><v>224560884</v></cell><cell r="AI1239" t="str"><v>AZR_FBCTCcanvaspage-StartFreeCTA-Img2_FRA_1080x143_SOC_AZRDirect_French_NA_Facebook_SBAN_BN_T2_1</v></cell><cell r="AJ1239"><v>103259958</v></cell></row><row r="1240"><cell r="C1240" t="str"><v>43291Facebook»Developers/ITPros-Azure Direct-Sponsored Post-Canvas-FBCTCcanvaspage-StartFreeCTA-Img2_FBCTCBrandinMotion_FRA_14sec»1x1»Canvas»SOC»ALL»CPC»BT»D»UNK»SS»NA»Trials</v></cell><cell r="D1240" t="str"><v>43291224560872</v></cell><cell r="E1240" t="str"><v>43291103259958Trials</v></cell><cell r="F1240" t="str"><v>DCM</v></cell><cell r="G1240" t="str"><v>https://signup.azure.com/signup?offer=ms-azr-0044p&appId=102&ref=paidmedia-social-fb&redirectURL=https%3a%2f%2fazure.microsoft.com%2ffr-fr%2fget-started%2fwelcome-to-azure%2f&l=fr-fr&correlationId=ead86c34-1f10-49dd-a72b-6918462a2cbf</v></cell></row><row r="1240"><cell r="K1240" t="str"><v>July</v></cell><cell r="L1240"><v>43295</v></cell><cell r="M1240" t="str"><v>Tier 1</v></cell><cell r="N1240" t="str"><v>EMEA</v></cell><cell r="O1240" t="str"><v>France</v></cell><cell r="P1240" t="str"><v>Trial</v></cell><cell r="Q1240" t="str"><v>Social</v></cell><cell r="R1240" t="str"><v>Azure</v></cell><cell r="S1240" t="str"><v>Apps & Infra</v></cell><cell r="T1240" t="str"><v>Developers & ITI's</v></cell><cell r="U1240" t="str"><v>Developers/ITPros-Azure Direct-Sponsored Post-Canvas-FBCTCcanvaspage-StartFreeCTA-Img2_FBCTCBrandinMotion_FRA_14sec</v></cell><cell r="V1240" t="str"><v>Behavioral Targeting</v></cell><cell r="W1240" t="str"><v>Social</v></cell><cell r="X1240" t="str"><v>1x1</v></cell></row><row r="1240"><cell r="AA1240"><v>43291</v></cell><cell r="AB1240" t="str"><v>FRA_gaPMG_AZR_AZR_Q1_19_AzureDirect-Trial-Social</v></cell><cell r="AC1240"><v>21356941</v></cell><cell r="AD1240"><v>720193</v></cell><cell r="AE1240" t="str"><v>Facebook</v></cell><cell r="AF1240"><v>3654128</v></cell><cell r="AG1240" t="str"><v>Facebook»Developers/ITPros-Azure Direct-Sponsored Post-Canvas-FBCTCcanvaspage-StartFreeCTA-Img2_FBCTCBrandinMotion_FRA_14sec»1x1»Canvas»SOC»ALL»CPC»BT»D»UNK»SS»NA»Trials</v></cell><cell r="AH1240"><v>224560872</v></cell><cell r="AI1240" t="str"><v>AZR_FBCTCcanvaspage-StartFreeCTA-Img2_FRA_1080x143_SOC_AZRDirect_French_NA_Facebook_SBAN_BN_T2_1</v></cell><cell r="AJ1240"><v>103259958</v></cell></row><row r="1241"><cell r="C1241" t="str"><v>43291Facebook»Developers/ITPros-Azure Direct-Sponsored Post-Link Ad-FreeAcctRetargetingFB-GlobalAlt-ChB»1x1»SocialBan»SOC»ALL»CPC»BT»D»UNK»SS»NA»Trials</v></cell><cell r="D1241" t="str"><v>43291224560845</v></cell><cell r="E1241" t="str"><v>43291103259520Trials</v></cell><cell r="F1241" t="str"><v>DCM</v></cell><cell r="G1241" t="str"><v>https://azure.microsoft.com/fr-fr/free/search/</v></cell></row><row r="1241"><cell r="K1241" t="str"><v>July</v></cell><cell r="L1241"><v>43295</v></cell><cell r="M1241" t="str"><v>Tier 1</v></cell><cell r="N1241" t="str"><v>EMEA</v></cell><cell r="O1241" t="str"><v>France</v></cell><cell r="P1241" t="str"><v>Trial</v></cell><cell r="Q1241" t="str"><v>Social</v></cell><cell r="R1241" t="str"><v>Azure</v></cell><cell r="S1241" t="str"><v>Apps & Infra</v></cell><cell r="T1241" t="str"><v>Developers & ITI's</v></cell><cell r="U1241" t="str"><v>Developers/ITPros-Azure Direct-Sponsored Post-Link Ad-FreeAcctRetargetingFB-GlobalAlt-ChB</v></cell><cell r="V1241" t="str"><v>Behavioral Targeting</v></cell><cell r="W1241" t="str"><v>Social</v></cell><cell r="X1241" t="str"><v>1x1</v></cell></row><row r="1241"><cell r="AA1241"><v>43291</v></cell><cell r="AB1241" t="str"><v>FRA_gaPMG_AZR_AZR_Q1_19_AzureDirect-Trial-Social</v></cell><cell r="AC1241"><v>21356941</v></cell><cell r="AD1241"><v>720193</v></cell><cell r="AE1241" t="str"><v>Facebook</v></cell><cell r="AF1241"><v>3654128</v></cell><cell r="AG1241" t="str"><v>Facebook»Developers/ITPros-Azure Direct-Sponsored Post-Link Ad-FreeAcctRetargetingFB-GlobalAlt-ChB»1x1»SocialBan»SOC»ALL»CPC»BT»D»UNK»SS»NA»Trials</v></cell><cell r="AH1241"><v>224560845</v></cell><cell r="AI1241" t="str"><v>AZR_FreeAcctRetargetingFB-GlobalAlt-ChB_FRA_1200x628_SOC_AZRDirect_French_NA_Facebook_SBAN_SINU_T2_1</v></cell><cell r="AJ1241"><v>103259520</v></cell></row><row r="1242"><cell r="C1242" t="str"><v>43291Facebook»Developers/ITPros-Azure Direct-Sponsored Post-Link Ad-FreeAcctRetargetingOSSFB-Text-ChF»1x1»SocialBan»SOC»ALL»CPC»BT»D»UNK»SS»NA»Trials</v></cell><cell r="D1242" t="str"><v>43291224560839</v></cell><cell r="E1242" t="str"><v>43291103257810Trials</v></cell><cell r="F1242" t="str"><v>DCM</v></cell><cell r="G1242" t="str"><v>https://azure.microsoft.com/fr-fr/free/open-source/search/</v></cell></row><row r="1242"><cell r="K1242" t="str"><v>July</v></cell><cell r="L1242"><v>43295</v></cell><cell r="M1242" t="str"><v>Tier 1</v></cell><cell r="N1242" t="str"><v>EMEA</v></cell><cell r="O1242" t="str"><v>France</v></cell><cell r="P1242" t="str"><v>Trial</v></cell><cell r="Q1242" t="str"><v>Social</v></cell><cell r="R1242" t="str"><v>Azure</v></cell><cell r="S1242" t="str"><v>Apps & Infra</v></cell><cell r="T1242" t="str"><v>Developers & ITI's</v></cell><cell r="U1242" t="str"><v>Developers/ITPros-Azure Direct-Sponsored Post-Link Ad-FreeAcctRetargetingOSSFB-Text-ChF</v></cell><cell r="V1242" t="str"><v>Behavioral Targeting</v></cell><cell r="W1242" t="str"><v>Social</v></cell><cell r="X1242" t="str"><v>1x1</v></cell></row><row r="1242"><cell r="AA1242"><v>43291</v></cell><cell r="AB1242" t="str"><v>FRA_gaPMG_AZR_AZR_Q1_19_AzureDirect-Trial-Social</v></cell><cell r="AC1242"><v>21356941</v></cell><cell r="AD1242"><v>720193</v></cell><cell r="AE1242" t="str"><v>Facebook</v></cell><cell r="AF1242"><v>3654128</v></cell><cell r="AG1242" t="str"><v>Facebook»Developers/ITPros-Azure Direct-Sponsored Post-Link Ad-FreeAcctRetargetingOSSFB-Text-ChF»1x1»SocialBan»SOC»ALL»CPC»BT»D»UNK»SS»NA»Trials</v></cell><cell r="AH1242"><v>224560839</v></cell><cell r="AI1242" t="str"><v>AZR_FreeAcctRetargetingOSSFB-Text-ChF_FRA_1200x628_SOC_AZRDirect_French_NA_Facebook_SBAN_SINU_T1_1</v></cell><cell r="AJ1242"><v>103257810</v></cell></row><row r="1243"><cell r="C1243" t="str"><v>43291Facebook»Developers/ITPros-Azure Direct-Sponsored Post-Video Ad-FBCTCBasicMotion_FRA_10s_RTG Landing Page»1x1»05s»SOC»ALL»CPC»BT»D»UNK»SS»NA»Trials</v></cell><cell r="D1243" t="str"><v>43291224416915</v></cell><cell r="E1243" t="str"><v>43291103376981Trials</v></cell><cell r="F1243" t="str"><v>DCM</v></cell></row><row r="1243"><cell r="K1243" t="str"><v>July</v></cell><cell r="L1243"><v>43295</v></cell><cell r="M1243" t="str"><v>Tier 1</v></cell><cell r="N1243" t="str"><v>EMEA</v></cell><cell r="O1243" t="str"><v>France</v></cell><cell r="P1243" t="str"><v>Trial</v></cell><cell r="Q1243" t="str"><v>Social</v></cell><cell r="R1243" t="str"><v>Azure</v></cell><cell r="S1243" t="str"><v>Apps & Infra</v></cell><cell r="T1243" t="str"><v>Developers & ITI's</v></cell><cell r="U1243" t="str"><v>Developers/ITPros-Azure Direct-Sponsored Post-Video Ad-FBCTCBasicMotion_FRA_10s_RTG Landing Page</v></cell><cell r="V1243" t="str"><v>Behavioral Targeting</v></cell><cell r="W1243" t="str"><v>Social</v></cell><cell r="X1243" t="str"><v>1x1</v></cell></row><row r="1243"><cell r="AA1243"><v>43291</v></cell><cell r="AB1243" t="str"><v>FRA_gaPMG_AZR_AZR_Q1_19_AzureDirect-Trial-Social</v></cell><cell r="AC1243"><v>21356941</v></cell><cell r="AD1243"><v>720193</v></cell><cell r="AE1243" t="str"><v>Facebook</v></cell><cell r="AF1243"><v>3654128</v></cell><cell r="AG1243" t="str"><v>Facebook»Developers/ITPros-Azure Direct-Sponsored Post-Video Ad-FBCTCBasicMotion_FRA_10s_RTG Landing Page»1x1»05s»SOC»ALL»CPC»BT»D»UNK»SS»NA»Trials</v></cell><cell r="AH1243"><v>224416915</v></cell><cell r="AI1243" t="str"><v>AZR_FBCTCBasicMotion_FRA_10s_VIA_AZRDirect_French_NA_Facebook_STAN_TIN_T1_1</v></cell><cell r="AJ1243"><v>103376981</v></cell></row><row r="1244"><cell r="C1244" t="str"><v>43291Facebook»Developers/ITPros-Azure Direct-Sponsored Post-Video Ad-FBCTCBenefit2inMotion_FRA_14s_RTG Landing Page»1x1»06s»SOC»ALL»CPC»BT»D»UNK»SS»NA»Trials</v></cell><cell r="D1244" t="str"><v>43291224560875</v></cell><cell r="E1244" t="str"><v>43291103259766Trials</v></cell><cell r="F1244" t="str"><v>DCM</v></cell><cell r="G1244" t="str"><v>https://signup.azure.com/signup?offer=ms-azr-0044p&appId=102&ref=paidmedia-social-fb&redirectURL=https:%2F%2Fazure.microsoft.com%2Ffr-fr%2Fget-started%2Fwelcome-to-azure%2F&l=fr-fr&correlationId=ead86c34-1f10-49dd-a72b-6918462a2cbf</v></cell></row><row r="1244"><cell r="K1244" t="str"><v>July</v></cell><cell r="L1244"><v>43295</v></cell><cell r="M1244" t="str"><v>Tier 1</v></cell><cell r="N1244" t="str"><v>EMEA</v></cell><cell r="O1244" t="str"><v>France</v></cell><cell r="P1244" t="str"><v>Trial</v></cell><cell r="Q1244" t="str"><v>Social</v></cell><cell r="R1244" t="str"><v>Azure</v></cell><cell r="S1244" t="str"><v>Apps & Infra</v></cell><cell r="T1244" t="str"><v>Developers & ITI's</v></cell><cell r="U1244" t="str"><v>Developers/ITPros-Azure Direct-Sponsored Post-Video Ad-FBCTCBenefit2inMotion_FRA_14s_RTG Landing Page</v></cell><cell r="V1244" t="str"><v>Behavioral Targeting</v></cell><cell r="W1244" t="str"><v>Social</v></cell><cell r="X1244" t="str"><v>1x1</v></cell></row><row r="1244"><cell r="AA1244"><v>43291</v></cell><cell r="AB1244" t="str"><v>FRA_gaPMG_AZR_AZR_Q1_19_AzureDirect-Trial-Social</v></cell><cell r="AC1244"><v>21356941</v></cell><cell r="AD1244"><v>720193</v></cell><cell r="AE1244" t="str"><v>Facebook</v></cell><cell r="AF1244"><v>3654128</v></cell><cell r="AG1244" t="str"><v>Facebook»Developers/ITPros-Azure Direct-Sponsored Post-Video Ad-FBCTCBenefit2inMotion_FRA_14s_RTG Landing Page»1x1»06s»SOC»ALL»CPC»BT»D»UNK»SS»NA»Trials</v></cell><cell r="AH1244"><v>224560875</v></cell><cell r="AI1244" t="str"><v>AZR_FBCTCBenefit2inMotion_FRA_14s_VIA_AZRDirect_French_NA_Facebook_STAN_TIN_T4_1</v></cell><cell r="AJ1244"><v>103259766</v></cell></row><row r="1245"><cell r="C1245" t="str"><v>43291Facebook»Developers/ITPros-Azure Direct-Sponsored Post-Video Ad-FBCTCBrandinMotion_FRA_12s_RTG Landing Page»1x1»05s»SOC»ALL»CPC»BT»D»UNK»SS»NA»Trials</v></cell><cell r="D1245" t="str"><v>43291224560863</v></cell><cell r="E1245" t="str"><v>43291103256577Trials</v></cell><cell r="F1245" t="str"><v>DCM</v></cell></row><row r="1245"><cell r="K1245" t="str"><v>July</v></cell><cell r="L1245"><v>43295</v></cell><cell r="M1245" t="str"><v>Tier 1</v></cell><cell r="N1245" t="str"><v>EMEA</v></cell><cell r="O1245" t="str"><v>France</v></cell><cell r="P1245" t="str"><v>Trial</v></cell><cell r="Q1245" t="str"><v>Social</v></cell><cell r="R1245" t="str"><v>Azure</v></cell><cell r="S1245" t="str"><v>Apps & Infra</v></cell><cell r="T1245" t="str"><v>Developers & ITI's</v></cell><cell r="U1245" t="str"><v>Developers/ITPros-Azure Direct-Sponsored Post-Video Ad-FBCTCBrandinMotion_FRA_12s_RTG Landing Page</v></cell><cell r="V1245" t="str"><v>Behavioral Targeting</v></cell><cell r="W1245" t="str"><v>Social</v></cell><cell r="X1245" t="str"><v>1x1</v></cell></row><row r="1245"><cell r="AA1245"><v>43291</v></cell><cell r="AB1245" t="str"><v>FRA_gaPMG_AZR_AZR_Q1_19_AzureDirect-Trial-Social</v></cell><cell r="AC1245"><v>21356941</v></cell><cell r="AD1245"><v>720193</v></cell><cell r="AE1245" t="str"><v>Facebook</v></cell><cell r="AF1245"><v>3654128</v></cell><cell r="AG1245" t="str"><v>Facebook»Developers/ITPros-Azure Direct-Sponsored Post-Video Ad-FBCTCBrandinMotion_FRA_12s_RTG Landing Page»1x1»05s»SOC»ALL»CPC»BT»D»UNK»SS»NA»Trials</v></cell><cell r="AH1245"><v>224560863</v></cell><cell r="AI1245" t="str"><v>AZR_FBCTCBrandinMotion_FRA_12s_VIA_AZRDirect_French_NA_Facebook_STAN_TIN_T2_1</v></cell><cell r="AJ1245"><v>103256577</v></cell></row><row r="1246"><cell r="C1246" t="str"><v>43291Facebook»Developers/ITPros-Azure Direct-Sponsored Post-Link Ad-FreeAcctAppsFACEBOOK12monthsChE»1x1»SocialBan»SOC»ALL»CPC»BT»D»UNK»SS»NA»Trials</v></cell><cell r="D1246" t="str"><v>43291224560866</v></cell><cell r="E1246" t="str"><v>43291103259784Trials</v></cell><cell r="F1246" t="str"><v>DCM</v></cell><cell r="G1246" t="str"><v>https://azure.microsoft.com/fr-fr/free/search/</v></cell></row><row r="1246"><cell r="K1246" t="str"><v>July</v></cell><cell r="L1246"><v>43295</v></cell><cell r="M1246" t="str"><v>Tier 1</v></cell><cell r="N1246" t="str"><v>EMEA</v></cell><cell r="O1246" t="str"><v>France</v></cell><cell r="P1246" t="str"><v>Trial</v></cell><cell r="Q1246" t="str"><v>Social</v></cell><cell r="R1246" t="str"><v>Azure</v></cell><cell r="S1246" t="str"><v>Apps & Infra</v></cell><cell r="T1246" t="str"><v>Developers & ITI's</v></cell><cell r="U1246" t="str"><v>Developers/ITPros-Azure Direct-Sponsored Post-Link Ad-FreeAcctAppsFACEBOOK12monthsChE</v></cell><cell r="V1246" t="str"><v>Behavioral Targeting</v></cell><cell r="W1246" t="str"><v>Social</v></cell><cell r="X1246" t="str"><v>1x1</v></cell></row><row r="1246"><cell r="AA1246"><v>43291</v></cell><cell r="AB1246" t="str"><v>FRA_gaPMG_AZR_AZR_Q1_19_AzureDirect-Trial-Social</v></cell><cell r="AC1246"><v>21356941</v></cell><cell r="AD1246"><v>720193</v></cell><cell r="AE1246" t="str"><v>Facebook</v></cell><cell r="AF1246"><v>3654128</v></cell><cell r="AG1246" t="str"><v>Facebook»Developers/ITPros-Azure Direct-Sponsored Post-Link Ad-FreeAcctAppsFACEBOOK12monthsChE»1x1»SocialBan»SOC»ALL»CPC»BT»D»UNK»SS»NA»Trials</v></cell><cell r="AH1246"><v>224560866</v></cell><cell r="AI1246" t="str"><v>AZR_FreeAcctAppsFACEBOOK12monthsChE_FRA_1200x628_SOC_PLAT_FR_Trial_Standard_NA_SINU_T5_1</v></cell><cell r="AJ1246"><v>103259784</v></cell></row><row r="1247"><cell r="C1247" t="str"><v>43291Facebook»Developers/ITPros-Azure Direct-Sponsored Post-Link Ad-FreeAcctAppsFACEBOOK200CreditChD»1x1»SocialBan»SOC»ALL»CPC»BT»D»UNK»SS»NA»Trials</v></cell><cell r="D1247" t="str"><v>43291224560860</v></cell><cell r="E1247" t="str"><v>43291103377773Trials</v></cell><cell r="F1247" t="str"><v>DCM</v></cell><cell r="G1247" t="str"><v>https://azure.microsoft.com/fr-fr/free/search/</v></cell></row><row r="1247"><cell r="K1247" t="str"><v>July</v></cell><cell r="L1247"><v>43295</v></cell><cell r="M1247" t="str"><v>Tier 1</v></cell><cell r="N1247" t="str"><v>EMEA</v></cell><cell r="O1247" t="str"><v>France</v></cell><cell r="P1247" t="str"><v>Trial</v></cell><cell r="Q1247" t="str"><v>Social</v></cell><cell r="R1247" t="str"><v>Azure</v></cell><cell r="S1247" t="str"><v>Apps & Infra</v></cell><cell r="T1247" t="str"><v>Developers & ITI's</v></cell><cell r="U1247" t="str"><v>Developers/ITPros-Azure Direct-Sponsored Post-Link Ad-FreeAcctAppsFACEBOOK200CreditChD</v></cell><cell r="V1247" t="str"><v>Behavioral Targeting</v></cell><cell r="W1247" t="str"><v>Social</v></cell><cell r="X1247" t="str"><v>1x1</v></cell></row><row r="1247"><cell r="AA1247"><v>43291</v></cell><cell r="AB1247" t="str"><v>FRA_gaPMG_AZR_AZR_Q1_19_AzureDirect-Trial-Social</v></cell><cell r="AC1247"><v>21356941</v></cell><cell r="AD1247"><v>720193</v></cell><cell r="AE1247" t="str"><v>Facebook</v></cell><cell r="AF1247"><v>3654128</v></cell><cell r="AG1247" t="str"><v>Facebook»Developers/ITPros-Azure Direct-Sponsored Post-Link Ad-FreeAcctAppsFACEBOOK200CreditChD»1x1»SocialBan»SOC»ALL»CPC»BT»D»UNK»SS»NA»Trials</v></cell><cell r="AH1247"><v>224560860</v></cell><cell r="AI1247" t="str"><v>AZR_FreeAcctAppsFACEBOOK200CreditChD_FRA_1200x628_SOC_PLAT_FR_Trial_Standard_NA_SINU_T4_1</v></cell><cell r="AJ1247"><v>103377773</v></cell></row><row r="1248"><cell r="C1248" t="str"><v>43291Facebook»Developers/ITPros-Azure Direct-Sponsored Post-Link Ad-FreeAcctAppsFACEBOOKDeviceChB»1x1»SocialBan»SOC»ALL»CPC»AUT»D»UNK»SS»NA»Trials</v></cell><cell r="D1248" t="str"><v>43291224560857</v></cell><cell r="E1248" t="str"><v>43291103377002Trials</v></cell><cell r="F1248" t="str"><v>DCM</v></cell><cell r="G1248" t="str"><v>https://azure.microsoft.com/fr-fr/free/search/</v></cell></row><row r="1248"><cell r="K1248" t="str"><v>July</v></cell><cell r="L1248"><v>43295</v></cell><cell r="M1248" t="str"><v>Tier 1</v></cell><cell r="N1248" t="str"><v>EMEA</v></cell><cell r="O1248" t="str"><v>France</v></cell><cell r="P1248" t="str"><v>Trial</v></cell><cell r="Q1248" t="str"><v>Social</v></cell><cell r="R1248" t="str"><v>Azure</v></cell><cell r="S1248" t="str"><v>Apps & Infra</v></cell><cell r="T1248" t="str"><v>Developers & ITI's</v></cell><cell r="U1248" t="str"><v>Developers/ITPros-Azure Direct-Sponsored Post-Link Ad-FreeAcctAppsFACEBOOKDeviceChB</v></cell><cell r="V1248" t="str"><v>Audience Targeting</v></cell><cell r="W1248" t="str"><v>Social</v></cell><cell r="X1248" t="str"><v>1x1</v></cell></row><row r="1248"><cell r="AA1248"><v>43291</v></cell><cell r="AB1248" t="str"><v>FRA_gaPMG_AZR_AZR_Q1_19_AzureDirect-Trial-Social</v></cell><cell r="AC1248"><v>21356941</v></cell><cell r="AD1248"><v>720193</v></cell><cell r="AE1248" t="str"><v>Facebook</v></cell><cell r="AF1248"><v>3654128</v></cell><cell r="AG1248" t="str"><v>Facebook»Developers/ITPros-Azure Direct-Sponsored Post-Link Ad-FreeAcctAppsFACEBOOKDeviceChB»1x1»SocialBan»SOC»ALL»CPC»AUT»D»UNK»SS»NA»Trials</v></cell><cell r="AH1248"><v>224560857</v></cell><cell r="AI1248" t="str"><v>AZR_FreeAcctAppsFACEBOOKDeviceChB_FRA_1200x628_SOC_PLAT_FR_Trial_Standard_NA_SINU_T2_1</v></cell><cell r="AJ1248"><v>103377002</v></cell></row><row r="1249"><cell r="C1249" t="str"><v>43291Facebook»Developers/ITPros-Azure Direct-Sponsored Post-Link Ad-FreeAcctAppsFACEBOOKIllustrationChC»1x1»SocialBan»SOC»ALL»CPC»AUT»D»UNK»SS»NA»Trials</v></cell><cell r="D1249" t="str"><v>43291224560854</v></cell><cell r="E1249" t="str"><v>43291103259550Trials</v></cell><cell r="F1249" t="str"><v>DCM</v></cell><cell r="G1249" t="str"><v>https://azure.microsoft.com/fr-fr/free/search/</v></cell></row><row r="1249"><cell r="K1249" t="str"><v>July</v></cell><cell r="L1249"><v>43295</v></cell><cell r="M1249" t="str"><v>Tier 1</v></cell><cell r="N1249" t="str"><v>EMEA</v></cell><cell r="O1249" t="str"><v>France</v></cell><cell r="P1249" t="str"><v>Trial</v></cell><cell r="Q1249" t="str"><v>Social</v></cell><cell r="R1249" t="str"><v>Azure</v></cell><cell r="S1249" t="str"><v>Apps & Infra</v></cell><cell r="T1249" t="str"><v>Developers & ITI's</v></cell><cell r="U1249" t="str"><v>Developers/ITPros-Azure Direct-Sponsored Post-Link Ad-FreeAcctAppsFACEBOOKIllustrationChC</v></cell><cell r="V1249" t="str"><v>Audience Targeting</v></cell><cell r="W1249" t="str"><v>Social</v></cell><cell r="X1249" t="str"><v>1x1</v></cell></row><row r="1249"><cell r="AA1249"><v>43291</v></cell><cell r="AB1249" t="str"><v>FRA_gaPMG_AZR_AZR_Q1_19_AzureDirect-Trial-Social</v></cell><cell r="AC1249"><v>21356941</v></cell><cell r="AD1249"><v>720193</v></cell><cell r="AE1249" t="str"><v>Facebook</v></cell><cell r="AF1249"><v>3654128</v></cell><cell r="AG1249" t="str"><v>Facebook»Developers/ITPros-Azure Direct-Sponsored Post-Link Ad-FreeAcctAppsFACEBOOKIllustrationChC»1x1»SocialBan»SOC»ALL»CPC»AUT»D»UNK»SS»NA»Trials</v></cell><cell r="AH1249"><v>224560854</v></cell><cell r="AI1249" t="str"><v>AZR_FreeAcctAppsFACEBOOKIllustrationChC_FRA_1200x628_SOC_PLAT_FR_Trial_Standard_NA_SINU_T3_1</v></cell><cell r="AJ1249"><v>103259550</v></cell></row><row r="1250"><cell r="C1250" t="str"><v>43291Facebook»Developers/ITPros-Azure Direct-Sponsored Post-Link Ad-FreeAcctAppsFACEBOOKLifestyleChA»1x1»SocialBan»SOC»ALL»CPC»AUT»D»UNK»SS»NA»Trials</v></cell><cell r="D1250" t="str"><v>43291224560851</v></cell><cell r="E1250" t="str"><v>43291103259562Trials</v></cell><cell r="F1250" t="str"><v>DCM</v></cell><cell r="G1250" t="str"><v>https://azure.microsoft.com/fr-fr/free/search/</v></cell></row><row r="1250"><cell r="K1250" t="str"><v>July</v></cell><cell r="L1250"><v>43295</v></cell><cell r="M1250" t="str"><v>Tier 1</v></cell><cell r="N1250" t="str"><v>EMEA</v></cell><cell r="O1250" t="str"><v>France</v></cell><cell r="P1250" t="str"><v>Trial</v></cell><cell r="Q1250" t="str"><v>Social</v></cell><cell r="R1250" t="str"><v>Azure</v></cell><cell r="S1250" t="str"><v>Apps & Infra</v></cell><cell r="T1250" t="str"><v>Developers & ITI's</v></cell><cell r="U1250" t="str"><v>Developers/ITPros-Azure Direct-Sponsored Post-Link Ad-FreeAcctAppsFACEBOOKLifestyleChA</v></cell><cell r="V1250" t="str"><v>Audience Targeting</v></cell><cell r="W1250" t="str"><v>Social</v></cell><cell r="X1250" t="str"><v>1x1</v></cell></row><row r="1250"><cell r="AA1250"><v>43291</v></cell><cell r="AB1250" t="str"><v>FRA_gaPMG_AZR_AZR_Q1_19_AzureDirect-Trial-Social</v></cell><cell r="AC1250"><v>21356941</v></cell><cell r="AD1250"><v>720193</v></cell><cell r="AE1250" t="str"><v>Facebook</v></cell><cell r="AF1250"><v>3654128</v></cell><cell r="AG1250" t="str"><v>Facebook»Developers/ITPros-Azure Direct-Sponsored Post-Link Ad-FreeAcctAppsFACEBOOKLifestyleChA»1x1»SocialBan»SOC»ALL»CPC»AUT»D»UNK»SS»NA»Trials</v></cell><cell r="AH1250"><v>224560851</v></cell><cell r="AI1250" t="str"><v>AZR_FreeAcctAppsFACEBOOKLifestyleChA_FRA_1200x628_SOC_PLAT_FR_Trial_Standard_NA_SINU_T1_1</v></cell><cell r="AJ1250"><v>103259562</v></cell></row><row r="1251"><cell r="C1251" t="str"><v>43291Facebook»Developers/ITPros-Azure Direct-Sponsored Post-Link Ad-FreeAcctRetargetingFB-Animated-ChC»1x1»SocialBan»SOC»ALL»CPC»BT»D»UNK»SS»NA»Trials</v></cell><cell r="D1251" t="str"><v>43291224560848</v></cell><cell r="E1251" t="str"><v>43291103259775Trials</v></cell><cell r="F1251" t="str"><v>DCM</v></cell><cell r="G1251" t="str"><v>https://azure.microsoft.com/fr-fr/free/search/</v></cell></row><row r="1251"><cell r="K1251" t="str"><v>July</v></cell><cell r="L1251"><v>43295</v></cell><cell r="M1251" t="str"><v>Tier 1</v></cell><cell r="N1251" t="str"><v>EMEA</v></cell><cell r="O1251" t="str"><v>France</v></cell><cell r="P1251" t="str"><v>Trial</v></cell><cell r="Q1251" t="str"><v>Social</v></cell><cell r="R1251" t="str"><v>Azure</v></cell><cell r="S1251" t="str"><v>Apps & Infra</v></cell><cell r="T1251" t="str"><v>Developers & ITI's</v></cell><cell r="U1251" t="str"><v>Developers/ITPros-Azure Direct-Sponsored Post-Link Ad-FreeAcctRetargetingFB-Animated-ChC</v></cell><cell r="V1251" t="str"><v>Behavioral Targeting</v></cell><cell r="W1251" t="str"><v>Social</v></cell><cell r="X1251" t="str"><v>1x1</v></cell></row><row r="1251"><cell r="AA1251"><v>43291</v></cell><cell r="AB1251" t="str"><v>FRA_gaPMG_AZR_AZR_Q1_19_AzureDirect-Trial-Social</v></cell><cell r="AC1251"><v>21356941</v></cell><cell r="AD1251"><v>720193</v></cell><cell r="AE1251" t="str"><v>Facebook</v></cell><cell r="AF1251"><v>3654128</v></cell><cell r="AG1251" t="str"><v>Facebook»Developers/ITPros-Azure Direct-Sponsored Post-Link Ad-FreeAcctRetargetingFB-Animated-ChC»1x1»SocialBan»SOC»ALL»CPC»BT»D»UNK»SS»NA»Trials</v></cell><cell r="AH1251"><v>224560848</v></cell><cell r="AI1251" t="str"><v>AZR_reeAcctRetargetingFB-Animated-ChC_FRA_1200x628_SOC_AZRDirect_French_NA_Facebook_SBAN_SINU_T3_1</v></cell><cell r="AJ1251"><v>103259775</v></cell></row><row r="1252"><cell r="C1252" t="str"><v>43291Facebook»Developers/ITPros-Azure Direct-Sponsored Post-Link Ad-FreeAcctRetargetingOSSFB-Logos-ChG»1x1»SocialBan»SOC»ALL»CPC»BT»D»UNK»SS»NA»Trials</v></cell><cell r="D1252" t="str"><v>43291224560842</v></cell><cell r="E1252" t="str"><v>43291103259769Trials</v></cell><cell r="F1252" t="str"><v>DCM</v></cell><cell r="G1252" t="str"><v>https://azure.microsoft.com/fr-fr/free/open-source/search/</v></cell></row><row r="1252"><cell r="K1252" t="str"><v>July</v></cell><cell r="L1252"><v>43295</v></cell><cell r="M1252" t="str"><v>Tier 1</v></cell><cell r="N1252" t="str"><v>EMEA</v></cell><cell r="O1252" t="str"><v>France</v></cell><cell r="P1252" t="str"><v>Trial</v></cell><cell r="Q1252" t="str"><v>Social</v></cell><cell r="R1252" t="str"><v>Azure</v></cell><cell r="S1252" t="str"><v>Apps & Infra</v></cell><cell r="T1252" t="str"><v>Developers & ITI's</v></cell><cell r="U1252" t="str"><v>Developers/ITPros-Azure Direct-Sponsored Post-Link Ad-FreeAcctRetargetingOSSFB-Logos-ChG</v></cell><cell r="V1252" t="str"><v>Behavioral Targeting</v></cell><cell r="W1252" t="str"><v>Social</v></cell><cell r="X1252" t="str"><v>1x1</v></cell></row><row r="1252"><cell r="AA1252"><v>43291</v></cell><cell r="AB1252" t="str"><v>FRA_gaPMG_AZR_AZR_Q1_19_AzureDirect-Trial-Social</v></cell><cell r="AC1252"><v>21356941</v></cell><cell r="AD1252"><v>720193</v></cell><cell r="AE1252" t="str"><v>Facebook</v></cell><cell r="AF1252"><v>3654128</v></cell><cell r="AG1252" t="str"><v>Facebook»Developers/ITPros-Azure Direct-Sponsored Post-Link Ad-FreeAcctRetargetingOSSFB-Logos-ChG»1x1»SocialBan»SOC»ALL»CPC»BT»D»UNK»SS»NA»Trials</v></cell><cell r="AH1252"><v>224560842</v></cell><cell r="AI1252" t="str"><v>AZR_FreeAcctRetargetingOSSFB-Logos-ChG_FRA_1200x628_SOC_AZRDirect_French_NA_Facebook_SBAN_SINU_T2_1</v></cell><cell r="AJ1252"><v>103259769</v></cell></row><row r="1253"><cell r="C1253" t="str"><v>43291Facebook»Developers/ITPros-Azure Direct-Sponsored Post-Link Ad-FreeAcctRetargetingVMFB-OnDemand-ChE»1x1»SocialBan»SOC»ALL»CPC»BT»D»UNK»SS»NA»Trials</v></cell><cell r="D1253" t="str"><v>43291224560833</v></cell><cell r="E1253" t="str"><v>43291103376990Trials</v></cell><cell r="F1253" t="str"><v>DCM</v></cell><cell r="G1253" t="str"><v>https://azure.microsoft.com/fr-fr/free/virtual-machines/search/</v></cell></row><row r="1253"><cell r="K1253" t="str"><v>July</v></cell><cell r="L1253"><v>43295</v></cell><cell r="M1253" t="str"><v>Tier 1</v></cell><cell r="N1253" t="str"><v>EMEA</v></cell><cell r="O1253" t="str"><v>France</v></cell><cell r="P1253" t="str"><v>Trial</v></cell><cell r="Q1253" t="str"><v>Social</v></cell><cell r="R1253" t="str"><v>Azure</v></cell><cell r="S1253" t="str"><v>Apps & Infra</v></cell><cell r="T1253" t="str"><v>Developers & ITI's</v></cell><cell r="U1253" t="str"><v>Developers/ITPros-Azure Direct-Sponsored Post-Link Ad-FreeAcctRetargetingVMFB-OnDemand-ChE</v></cell><cell r="V1253" t="str"><v>Behavioral Targeting</v></cell><cell r="W1253" t="str"><v>Social</v></cell><cell r="X1253" t="str"><v>1x1</v></cell></row><row r="1253"><cell r="AA1253"><v>43291</v></cell><cell r="AB1253" t="str"><v>FRA_gaPMG_AZR_AZR_Q1_19_AzureDirect-Trial-Social</v></cell><cell r="AC1253"><v>21356941</v></cell><cell r="AD1253"><v>720193</v></cell><cell r="AE1253" t="str"><v>Facebook</v></cell><cell r="AF1253"><v>3654128</v></cell><cell r="AG1253" t="str"><v>Facebook»Developers/ITPros-Azure Direct-Sponsored Post-Link Ad-FreeAcctRetargetingVMFB-OnDemand-ChE»1x1»SocialBan»SOC»ALL»CPC»BT»D»UNK»SS»NA»Trials</v></cell><cell r="AH1253"><v>224560833</v></cell><cell r="AI1253" t="str"><v>AZR_FreeAcctRetargetingVMFB-OnDemand-ChE_FRA_1200x628_SOC_AZRDirect_French_NA_Facebook_SBAN_SINU_T2_1</v></cell><cell r="AJ1253"><v>103376990</v></cell></row><row r="1254"><cell r="C1254" t="str"><v>43291Facebook»Audience & Interest Targeting»1x1»SocialBan»LIA»DT»CPC»AUT»W»NA»SS»NA»Basic Motion</v></cell><cell r="D1254" t="str"><v>43291224399962</v></cell><cell r="E1254" t="str"><v>43291103230847Motion</v></cell><cell r="F1254" t="str"><v>DCM</v></cell><cell r="G1254" t="str"><v>https://azure.microsoft.com/en-gb/pricing/purchase-options/</v></cell></row><row r="1254"><cell r="K1254" t="str"><v>July</v></cell><cell r="L1254"><v>43295</v></cell><cell r="M1254" t="str"><v>Tier 1</v></cell><cell r="N1254" t="str"><v>EMEA</v></cell><cell r="O1254" t="str"><v>United Kingdom</v></cell><cell r="P1254" t="str"><v>Trial</v></cell><cell r="Q1254" t="str"><v>Social</v></cell><cell r="R1254" t="str"><v>Azure</v></cell><cell r="S1254" t="str"><v>Apps & Infra</v></cell><cell r="T1254" t="str"><v>Developers & ITI's</v></cell><cell r="U1254" t="str"><v>Audience & Interest Targeting</v></cell><cell r="V1254" t="str"><v>Audience Targeting</v></cell><cell r="W1254" t="str"><v>Link Ad</v></cell><cell r="X1254" t="str"><v>1x1</v></cell></row><row r="1254"><cell r="AA1254"><v>43291</v></cell><cell r="AB1254" t="str"><v>GBR_gaPMG_CE_AZR_Q1_19_Trial-Social</v></cell><cell r="AC1254"><v>21337013</v></cell><cell r="AD1254"><v>720196</v></cell><cell r="AE1254" t="str"><v>Facebook</v></cell><cell r="AF1254"><v>3654128</v></cell><cell r="AG1254" t="str"><v>Facebook»Audience & Interest Targeting»1x1»SocialBan»LIA»DT»CPC»AUT»W»NA»SS»NA»Basic Motion</v></cell><cell r="AH1254"><v>224399962</v></cell><cell r="AI1254" t="str"><v>AzurePlatform_FBCTCcanvaspage-BuyNowCTA-Img3_GBR_1080x162_SOC_Plat_English_NA_Standard_NA_BN_T3_1</v></cell><cell r="AJ1254"><v>103230847</v></cell></row><row r="1255"><cell r="C1255" t="str"><v>43291Facebook»Audience & Interest Targeting»1x1»SocialBan»LIA»DT»CPC»AUT»W»NA»SS»NA»Basic Motion</v></cell><cell r="D1255" t="str"><v>43291224399962</v></cell><cell r="E1255" t="str"><v>43291103235146Motion</v></cell><cell r="F1255" t="str"><v>DCM</v></cell><cell r="G1255" t="str"><v>https://signup.azure.com/signup?offer=ms-azr-0044p&appId=102&ref=paidmedia-social-fb&redirectURL=https%3a%2f%2fazure.microsoft.com%2fen-gb%2fget-started%2fwelcome-to-azure%2f&l=en-gb&correlationId=ead86c34-1f10-49dd-a72b-6918462a2cbf</v></cell></row><row r="1255"><cell r="K1255" t="str"><v>July</v></cell><cell r="L1255"><v>43295</v></cell><cell r="M1255" t="str"><v>Tier 1</v></cell><cell r="N1255" t="str"><v>EMEA</v></cell><cell r="O1255" t="str"><v>United Kingdom</v></cell><cell r="P1255" t="str"><v>Trial</v></cell><cell r="Q1255" t="str"><v>Social</v></cell><cell r="R1255" t="str"><v>Azure</v></cell><cell r="S1255" t="str"><v>Apps & Infra</v></cell><cell r="T1255" t="str"><v>Developers & ITI's</v></cell><cell r="U1255" t="str"><v>Audience & Interest Targeting</v></cell><cell r="V1255" t="str"><v>Audience Targeting</v></cell><cell r="W1255" t="str"><v>Link Ad</v></cell><cell r="X1255" t="str"><v>1x1</v></cell></row><row r="1255"><cell r="AA1255"><v>43291</v></cell><cell r="AB1255" t="str"><v>GBR_gaPMG_CE_AZR_Q1_19_Trial-Social</v></cell><cell r="AC1255"><v>21337013</v></cell><cell r="AD1255"><v>720196</v></cell><cell r="AE1255" t="str"><v>Facebook</v></cell><cell r="AF1255"><v>3654128</v></cell><cell r="AG1255" t="str"><v>Facebook»Audience & Interest Targeting»1x1»SocialBan»LIA»DT»CPC»AUT»W»NA»SS»NA»Basic Motion</v></cell><cell r="AH1255"><v>224399962</v></cell><cell r="AI1255" t="str"><v>AzurePlatform_FBCTCcanvaspage-StartFreeCTA-Img2_GBR_1080x143 _SOC_Plat_English_NA_Standard_NA_NA_T2_1</v></cell><cell r="AJ1255"><v>103235146</v></cell></row><row r="1256"><cell r="C1256" t="str"><v>43291Facebook»Audience & Interest Targeting»1x1»SocialBan»LIA»DT»CPC»AUT»W»NA»SS»NA»Benefit 2 in Motion</v></cell><cell r="D1256" t="str"><v>43291224334170</v></cell><cell r="E1256" t="str"><v>43291103235146Motion</v></cell><cell r="F1256" t="str"><v>DCM</v></cell><cell r="G1256" t="str"><v>https://signup.azure.com/signup?offer=ms-azr-0044p&appId=102&ref=paidmedia-social-fb&redirectURL=https%3a%2f%2fazure.microsoft.com%2fen-gb%2fget-started%2fwelcome-to-azure%2f&l=en-gb&correlationId=ead86c34-1f10-49dd-a72b-6918462a2cbf</v></cell></row><row r="1256"><cell r="K1256" t="str"><v>July</v></cell><cell r="L1256"><v>43295</v></cell><cell r="M1256" t="str"><v>Tier 1</v></cell><cell r="N1256" t="str"><v>EMEA</v></cell><cell r="O1256" t="str"><v>United Kingdom</v></cell><cell r="P1256" t="str"><v>Trial</v></cell><cell r="Q1256" t="str"><v>Social</v></cell><cell r="R1256" t="str"><v>Azure</v></cell><cell r="S1256" t="str"><v>Apps & Infra</v></cell><cell r="T1256" t="str"><v>Developers & ITI's</v></cell><cell r="U1256" t="str"><v>Audience & Interest Targeting</v></cell><cell r="V1256" t="str"><v>Audience Targeting</v></cell><cell r="W1256" t="str"><v>Link Ad</v></cell><cell r="X1256" t="str"><v>1x1</v></cell></row><row r="1256"><cell r="AA1256"><v>43291</v></cell><cell r="AB1256" t="str"><v>GBR_gaPMG_CE_AZR_Q1_19_Trial-Social</v></cell><cell r="AC1256"><v>21337013</v></cell><cell r="AD1256"><v>720196</v></cell><cell r="AE1256" t="str"><v>Facebook</v></cell><cell r="AF1256"><v>3654128</v></cell><cell r="AG1256" t="str"><v>Facebook»Audience & Interest Targeting»1x1»SocialBan»LIA»DT»CPC»AUT»W»NA»SS»NA»Benefit 2 in Motion</v></cell><cell r="AH1256"><v>224334170</v></cell><cell r="AI1256" t="str"><v>AzurePlatform_FBCTCcanvaspage-StartFreeCTA-Img2_GBR_1080x143 _SOC_Plat_English_NA_Standard_NA_NA_T2_1</v></cell><cell r="AJ1256"><v>103235146</v></cell></row><row r="1257"><cell r="C1257" t="str"><v>43291Facebook»Audience & Interest Targeting»1x1»SocialBan»LIA»DT»CPC»AUT»W»NA»SS»NA»Brand in Motion</v></cell><cell r="D1257" t="str"><v>43291224549481</v></cell><cell r="E1257" t="str"><v>43291103235146Motion</v></cell><cell r="F1257" t="str"><v>DCM</v></cell><cell r="G1257" t="str"><v>https://signup.azure.com/signup?offer=ms-azr-0044p&appId=102&ref=paidmedia-social-fb&redirectURL=https%3a%2f%2fazure.microsoft.com%2fen-gb%2fget-started%2fwelcome-to-azure%2f&l=en-gb&correlationId=ead86c34-1f10-49dd-a72b-6918462a2cbf</v></cell></row><row r="1257"><cell r="K1257" t="str"><v>July</v></cell><cell r="L1257"><v>43295</v></cell><cell r="M1257" t="str"><v>Tier 1</v></cell><cell r="N1257" t="str"><v>EMEA</v></cell><cell r="O1257" t="str"><v>United Kingdom</v></cell><cell r="P1257" t="str"><v>Trial</v></cell><cell r="Q1257" t="str"><v>Social</v></cell><cell r="R1257" t="str"><v>Azure</v></cell><cell r="S1257" t="str"><v>Apps & Infra</v></cell><cell r="T1257" t="str"><v>Developers & ITI's</v></cell><cell r="U1257" t="str"><v>Audience & Interest Targeting</v></cell><cell r="V1257" t="str"><v>Audience Targeting</v></cell><cell r="W1257" t="str"><v>Link Ad</v></cell><cell r="X1257" t="str"><v>1x1</v></cell></row><row r="1257"><cell r="AA1257"><v>43291</v></cell><cell r="AB1257" t="str"><v>GBR_gaPMG_CE_AZR_Q1_19_Trial-Social</v></cell><cell r="AC1257"><v>21337013</v></cell><cell r="AD1257"><v>720196</v></cell><cell r="AE1257" t="str"><v>Facebook</v></cell><cell r="AF1257"><v>3654128</v></cell><cell r="AG1257" t="str"><v>Facebook»Audience & Interest Targeting»1x1»SocialBan»LIA»DT»CPC»AUT»W»NA»SS»NA»Brand in Motion</v></cell><cell r="AH1257"><v>224549481</v></cell><cell r="AI1257" t="str"><v>AzurePlatform_FBCTCcanvaspage-StartFreeCTA-Img2_GBR_1080x143 _SOC_Plat_English_NA_Standard_NA_NA_T2_1</v></cell><cell r="AJ1257"><v>103235146</v></cell></row><row r="1258"><cell r="C1258" t="str"><v>43291Facebook»Audience & Interest Targeting»1x1»SocialBan»LIA»DT»DYN»AUT»W»NA»SS»NA»Free Account Refresh- 12 months ChE</v></cell><cell r="D1258" t="str"><v>43291223567691</v></cell><cell r="E1258" t="str"><v>43291102854007hs ChE</v></cell><cell r="F1258" t="str"><v>DCM</v></cell><cell r="G1258" t="str"><v>https://azure.microsoft.com/en-gb/free/search/</v></cell></row><row r="1258"><cell r="K1258" t="str"><v>July</v></cell><cell r="L1258"><v>43295</v></cell><cell r="M1258" t="str"><v>Tier 1</v></cell><cell r="N1258" t="str"><v>EMEA</v></cell><cell r="O1258" t="str"><v>United Kingdom</v></cell><cell r="P1258" t="str"><v>Trial</v></cell><cell r="Q1258" t="str"><v>Social</v></cell><cell r="R1258" t="str"><v>Azure</v></cell><cell r="S1258" t="str"><v>Apps & Infra</v></cell><cell r="T1258" t="str"><v>Developers & ITI's</v></cell><cell r="U1258" t="str"><v>Audience & Interest Targeting</v></cell><cell r="V1258" t="str"><v>Audience Targeting</v></cell><cell r="W1258" t="str"><v>Link Ad</v></cell><cell r="X1258" t="str"><v>1x1</v></cell></row><row r="1258"><cell r="AA1258"><v>43291</v></cell><cell r="AB1258" t="str"><v>GBR_gaPMG_CE_AZR_Q1_19_Trial-Social</v></cell><cell r="AC1258"><v>21337013</v></cell><cell r="AD1258"><v>720196</v></cell><cell r="AE1258" t="str"><v>Facebook</v></cell><cell r="AF1258"><v>3654128</v></cell><cell r="AG1258" t="str"><v>Facebook»Audience & Interest Targeting»1x1»SocialBan»LIA»DT»DYN»AUT»W»NA»SS»NA»Free Account Refresh- 12 months ChE</v></cell><cell r="AH1258"><v>223567691</v></cell><cell r="AI1258" t="str"><v>AzurePlatform_FreeAcctAppsFACEBOOK12monthsChE_GBR_1200x628_SOC_PLAT_EN_Trial_Standard_NA_SU_T5_1</v></cell><cell r="AJ1258"><v>102854007</v></cell></row><row r="1259"><cell r="C1259" t="str"><v>43291Facebook»Audience & Interest Targeting»1x1»SocialBan»LIA»DT»DYN»AUT»W»NA»SS»NA»Free Account Refresh- 200 Credit ChD</v></cell><cell r="D1259" t="str"><v>43291223560359</v></cell><cell r="E1259" t="str"><v>43291103005662it ChD</v></cell><cell r="F1259" t="str"><v>DCM</v></cell><cell r="G1259" t="str"><v>https://azure.microsoft.com/en-gb/free/search/</v></cell></row><row r="1259"><cell r="K1259" t="str"><v>July</v></cell><cell r="L1259"><v>43295</v></cell><cell r="M1259" t="str"><v>Tier 1</v></cell><cell r="N1259" t="str"><v>EMEA</v></cell><cell r="O1259" t="str"><v>United Kingdom</v></cell><cell r="P1259" t="str"><v>Trial</v></cell><cell r="Q1259" t="str"><v>Social</v></cell><cell r="R1259" t="str"><v>Azure</v></cell><cell r="S1259" t="str"><v>Apps & Infra</v></cell><cell r="T1259" t="str"><v>Developers & ITI's</v></cell><cell r="U1259" t="str"><v>Audience & Interest Targeting</v></cell><cell r="V1259" t="str"><v>Audience Targeting</v></cell><cell r="W1259" t="str"><v>Link Ad</v></cell><cell r="X1259" t="str"><v>1x1</v></cell></row><row r="1259"><cell r="AA1259"><v>43291</v></cell><cell r="AB1259" t="str"><v>GBR_gaPMG_CE_AZR_Q1_19_Trial-Social</v></cell><cell r="AC1259"><v>21337013</v></cell><cell r="AD1259"><v>720196</v></cell><cell r="AE1259" t="str"><v>Facebook</v></cell><cell r="AF1259"><v>3654128</v></cell><cell r="AG1259" t="str"><v>Facebook»Audience & Interest Targeting»1x1»SocialBan»LIA»DT»DYN»AUT»W»NA»SS»NA»Free Account Refresh- 200 Credit ChD</v></cell><cell r="AH1259"><v>223560359</v></cell><cell r="AI1259" t="str"><v>AzurePlatform_FreeAcctAppsFACEBOOK200CreditChD_GBR_1200x628_SOC_PLAT_EN_Trial_Standard_NA_SU_T4_1</v></cell><cell r="AJ1259"><v>103005662</v></cell></row><row r="1260"><cell r="C1260" t="str"><v>43291Facebook»Audience & Interest Targeting»1x1»SocialBan»LIA»DT»DYN»AUT»W»NA»SS»NA»Free Account Refresh- Device ChB</v></cell><cell r="D1260" t="str"><v>43291223560353</v></cell><cell r="E1260" t="str"><v>43291102854010ce ChB</v></cell><cell r="F1260" t="str"><v>DCM</v></cell><cell r="G1260" t="str"><v>https://azure.microsoft.com/en-gb/free/search/</v></cell></row><row r="1260"><cell r="K1260" t="str"><v>July</v></cell><cell r="L1260"><v>43295</v></cell><cell r="M1260" t="str"><v>Tier 1</v></cell><cell r="N1260" t="str"><v>EMEA</v></cell><cell r="O1260" t="str"><v>United Kingdom</v></cell><cell r="P1260" t="str"><v>Trial</v></cell><cell r="Q1260" t="str"><v>Social</v></cell><cell r="R1260" t="str"><v>Azure</v></cell><cell r="S1260" t="str"><v>Apps & Infra</v></cell><cell r="T1260" t="str"><v>Developers & ITI's</v></cell><cell r="U1260" t="str"><v>Audience & Interest Targeting</v></cell><cell r="V1260" t="str"><v>Audience Targeting</v></cell><cell r="W1260" t="str"><v>Link Ad</v></cell><cell r="X1260" t="str"><v>1x1</v></cell></row><row r="1260"><cell r="AA1260"><v>43291</v></cell><cell r="AB1260" t="str"><v>GBR_gaPMG_CE_AZR_Q1_19_Trial-Social</v></cell><cell r="AC1260"><v>21337013</v></cell><cell r="AD1260"><v>720196</v></cell><cell r="AE1260" t="str"><v>Facebook</v></cell><cell r="AF1260"><v>3654128</v></cell><cell r="AG1260" t="str"><v>Facebook»Audience & Interest Targeting»1x1»SocialBan»LIA»DT»DYN»AUT»W»NA»SS»NA»Free Account Refresh- Device ChB</v></cell><cell r="AH1260"><v>223560353</v></cell><cell r="AI1260" t="str"><v>AzurePlatform_FreeAcctAppsFACEBOOKDeviceChB_GBR_1200x628_SOC_PLAT_EN_Trial_Standard_NA_SU_T2_1</v></cell><cell r="AJ1260"><v>102854010</v></cell></row><row r="1261"><cell r="C1261" t="str"><v>43291Facebook»Audience & Interest Targeting»1x1»SocialBan»LIA»DT»DYN»AUT»W»NA»SS»NA»Free Account Refresh- Illustration ChC</v></cell><cell r="D1261" t="str"><v>43291223560347</v></cell><cell r="E1261" t="str"><v>43291102857037on ChC</v></cell><cell r="F1261" t="str"><v>DCM</v></cell><cell r="G1261" t="str"><v>https://azure.microsoft.com/en-gb/free/search/</v></cell></row><row r="1261"><cell r="K1261" t="str"><v>July</v></cell><cell r="L1261"><v>43295</v></cell><cell r="M1261" t="str"><v>Tier 1</v></cell><cell r="N1261" t="str"><v>EMEA</v></cell><cell r="O1261" t="str"><v>United Kingdom</v></cell><cell r="P1261" t="str"><v>Trial</v></cell><cell r="Q1261" t="str"><v>Social</v></cell><cell r="R1261" t="str"><v>Azure</v></cell><cell r="S1261" t="str"><v>Apps & Infra</v></cell><cell r="T1261" t="str"><v>Developers & ITI's</v></cell><cell r="U1261" t="str"><v>Audience & Interest Targeting</v></cell><cell r="V1261" t="str"><v>Audience Targeting</v></cell><cell r="W1261" t="str"><v>Link Ad</v></cell><cell r="X1261" t="str"><v>1x1</v></cell></row><row r="1261"><cell r="AA1261"><v>43291</v></cell><cell r="AB1261" t="str"><v>GBR_gaPMG_CE_AZR_Q1_19_Trial-Social</v></cell><cell r="AC1261"><v>21337013</v></cell><cell r="AD1261"><v>720196</v></cell><cell r="AE1261" t="str"><v>Facebook</v></cell><cell r="AF1261"><v>3654128</v></cell><cell r="AG1261" t="str"><v>Facebook»Audience & Interest Targeting»1x1»SocialBan»LIA»DT»DYN»AUT»W»NA»SS»NA»Free Account Refresh- Illustration ChC</v></cell><cell r="AH1261"><v>223560347</v></cell><cell r="AI1261" t="str"><v>AzurePlatform_FreeAcctAppsFACEBOOKIllustrationChC_GBR_1200x628_SOC_PLAT_EN_Trial_Standard_NA_SU_T3_1</v></cell><cell r="AJ1261"><v>102857037</v></cell></row><row r="1262"><cell r="C1262" t="str"><v>43291Facebook»Audience & Interest Targeting»1x1»SocialBan»LIA»DT»DYN»AUT»W»NA»SS»NA»Free Account Refresh- Lifestyle ChA</v></cell><cell r="D1262" t="str"><v>43291223560341</v></cell><cell r="E1262" t="str"><v>43291102853597le ChA</v></cell><cell r="F1262" t="str"><v>DCM</v></cell><cell r="G1262" t="str"><v>https://azure.microsoft.com/en-gb/free/search/</v></cell></row><row r="1262"><cell r="K1262" t="str"><v>July</v></cell><cell r="L1262"><v>43295</v></cell><cell r="M1262" t="str"><v>Tier 1</v></cell><cell r="N1262" t="str"><v>EMEA</v></cell><cell r="O1262" t="str"><v>United Kingdom</v></cell><cell r="P1262" t="str"><v>Trial</v></cell><cell r="Q1262" t="str"><v>Social</v></cell><cell r="R1262" t="str"><v>Azure</v></cell><cell r="S1262" t="str"><v>Apps & Infra</v></cell><cell r="T1262" t="str"><v>Developers & ITI's</v></cell><cell r="U1262" t="str"><v>Audience & Interest Targeting</v></cell><cell r="V1262" t="str"><v>Audience Targeting</v></cell><cell r="W1262" t="str"><v>Link Ad</v></cell><cell r="X1262" t="str"><v>1x1</v></cell></row><row r="1262"><cell r="AA1262"><v>43291</v></cell><cell r="AB1262" t="str"><v>GBR_gaPMG_CE_AZR_Q1_19_Trial-Social</v></cell><cell r="AC1262"><v>21337013</v></cell><cell r="AD1262"><v>720196</v></cell><cell r="AE1262" t="str"><v>Facebook</v></cell><cell r="AF1262"><v>3654128</v></cell><cell r="AG1262" t="str"><v>Facebook»Audience & Interest Targeting»1x1»SocialBan»LIA»DT»DYN»AUT»W»NA»SS»NA»Free Account Refresh- Lifestyle ChA</v></cell><cell r="AH1262"><v>223560341</v></cell><cell r="AI1262" t="str"><v>AzurePlatform_FreeAcctAppsFACEBOOKLifestyleChA_GBR_1200x628_SOC_PLAT_EN_Trial_Standard_NA_SU_T1_1</v></cell><cell r="AJ1262"><v>102853597</v></cell></row><row r="1263"><cell r="C1263" t="str"><v>43291Facebook»Retargeting»1x1»SocialBan»LIA»DT»DYN»RT»W»NA»SS»NA»Free Account Retargeting Generic- Animated ChC</v></cell><cell r="D1263" t="str"><v>43291223560299</v></cell><cell r="E1263" t="str"><v>43291102854019ed ChC</v></cell><cell r="F1263" t="str"><v>DCM</v></cell><cell r="G1263" t="str"><v>https://azure.microsoft.com/en-gb/free/search/</v></cell></row><row r="1263"><cell r="K1263" t="str"><v>July</v></cell><cell r="L1263"><v>43295</v></cell><cell r="M1263" t="str"><v>Tier 1</v></cell><cell r="N1263" t="str"><v>EMEA</v></cell><cell r="O1263" t="str"><v>United Kingdom</v></cell><cell r="P1263" t="str"><v>Trial</v></cell><cell r="Q1263" t="str"><v>Social</v></cell><cell r="R1263" t="str"><v>Azure</v></cell><cell r="S1263" t="str"><v>Apps & Infra</v></cell><cell r="T1263" t="str"><v>Developers & ITI's</v></cell><cell r="U1263" t="str"><v>Retargeting</v></cell><cell r="V1263" t="str"><v>Retargeting</v></cell><cell r="W1263" t="str"><v>Link Ad</v></cell><cell r="X1263" t="str"><v>1x1</v></cell></row><row r="1263"><cell r="AA1263"><v>43291</v></cell><cell r="AB1263" t="str"><v>GBR_gaPMG_CE_AZR_Q1_19_Trial-Social</v></cell><cell r="AC1263"><v>21337013</v></cell><cell r="AD1263"><v>720196</v></cell><cell r="AE1263" t="str"><v>Facebook</v></cell><cell r="AF1263"><v>3654128</v></cell><cell r="AG1263" t="str"><v>Facebook»Retargeting»1x1»SocialBan»LIA»DT»DYN»RT»W»NA»SS»NA»Free Account Retargeting Generic- Animated ChC</v></cell><cell r="AH1263"><v>223560299</v></cell><cell r="AI1263" t="str"><v>AzurePlatform_FreeAcctRetargetingFB-Animated-ChC_GBR_1200x628_SOC_Plat_EN_Free Account_Standard_ANI_SU_T3_1</v></cell><cell r="AJ1263"><v>102854019</v></cell></row><row r="1264"><cell r="C1264" t="str"><v>43291Facebook»Retargeting»1x1»SocialBan»LIA»DT»DYN»RT»W»NA»SS»NA»Free Account Retargeting OSS- Logos ChG</v></cell><cell r="D1264" t="str"><v>43291223560350</v></cell><cell r="E1264" t="str"><v>43291103006547os ChG</v></cell><cell r="F1264" t="str"><v>DCM</v></cell><cell r="G1264" t="str"><v>https://azure.microsoft.com/en-gb/free/open-source/search/</v></cell></row><row r="1264"><cell r="K1264" t="str"><v>July</v></cell><cell r="L1264"><v>43295</v></cell><cell r="M1264" t="str"><v>Tier 1</v></cell><cell r="N1264" t="str"><v>EMEA</v></cell><cell r="O1264" t="str"><v>United Kingdom</v></cell><cell r="P1264" t="str"><v>Trial</v></cell><cell r="Q1264" t="str"><v>Social</v></cell><cell r="R1264" t="str"><v>Azure</v></cell><cell r="S1264" t="str"><v>Apps & Infra</v></cell><cell r="T1264" t="str"><v>Developers & ITI's</v></cell><cell r="U1264" t="str"><v>Retargeting</v></cell><cell r="V1264" t="str"><v>Retargeting</v></cell><cell r="W1264" t="str"><v>Link Ad</v></cell><cell r="X1264" t="str"><v>1x1</v></cell></row><row r="1264"><cell r="AA1264"><v>43291</v></cell><cell r="AB1264" t="str"><v>GBR_gaPMG_CE_AZR_Q1_19_Trial-Social</v></cell><cell r="AC1264"><v>21337013</v></cell><cell r="AD1264"><v>720196</v></cell><cell r="AE1264" t="str"><v>Facebook</v></cell><cell r="AF1264"><v>3654128</v></cell><cell r="AG1264" t="str"><v>Facebook»Retargeting»1x1»SocialBan»LIA»DT»DYN»RT»W»NA»SS»NA»Free Account Retargeting OSS- Logos ChG</v></cell><cell r="AH1264"><v>223560350</v></cell><cell r="AI1264" t="str"><v>AzurePlatform_FreeAcctRetargetingOSSFB-Logos-ChG_GBR_1200x628_SOC_Plat_EN_Free Account_Standard_NA_SU_T2_1</v></cell><cell r="AJ1264"><v>103006547</v></cell></row><row r="1265"><cell r="C1265" t="str"><v>43291Facebook»Retargeting»1x1»SocialBan»LIA»DT»DYN»RT»W»NA»SS»NA»Free Account Retargeting VM- 750 Hrs ChD</v></cell><cell r="D1265" t="str"><v>43291223560338</v></cell><cell r="E1265" t="str"><v>43291102853603rs ChD</v></cell><cell r="F1265" t="str"><v>DCM</v></cell><cell r="G1265" t="str"><v>https://azure.microsoft.com/en-gb/free/virtual-machines/search/</v></cell></row><row r="1265"><cell r="K1265" t="str"><v>July</v></cell><cell r="L1265"><v>43295</v></cell><cell r="M1265" t="str"><v>Tier 1</v></cell><cell r="N1265" t="str"><v>EMEA</v></cell><cell r="O1265" t="str"><v>United Kingdom</v></cell><cell r="P1265" t="str"><v>Trial</v></cell><cell r="Q1265" t="str"><v>Social</v></cell><cell r="R1265" t="str"><v>Azure</v></cell><cell r="S1265" t="str"><v>Apps & Infra</v></cell><cell r="T1265" t="str"><v>Developers & ITI's</v></cell><cell r="U1265" t="str"><v>Retargeting</v></cell><cell r="V1265" t="str"><v>Retargeting</v></cell><cell r="W1265" t="str"><v>Link Ad</v></cell><cell r="X1265" t="str"><v>1x1</v></cell></row><row r="1265"><cell r="AA1265"><v>43291</v></cell><cell r="AB1265" t="str"><v>GBR_gaPMG_CE_AZR_Q1_19_Trial-Social</v></cell><cell r="AC1265"><v>21337013</v></cell><cell r="AD1265"><v>720196</v></cell><cell r="AE1265" t="str"><v>Facebook</v></cell><cell r="AF1265"><v>3654128</v></cell><cell r="AG1265" t="str"><v>Facebook»Retargeting»1x1»SocialBan»LIA»DT»DYN»RT»W»NA»SS»NA»Free Account Retargeting VM- 750 Hrs ChD</v></cell><cell r="AH1265"><v>223560338</v></cell><cell r="AI1265" t="str"><v>AzurePlatform_FreeAcctRetargetingVMFB-750Hrs-ChD_GBR_1200x628_SOC_Plat_EN_Free Account_Standard_NA_SU_T1_1</v></cell><cell r="AJ1265"><v>102853603</v></cell></row><row r="1266"><cell r="C1266" t="str"><v>43291Facebook»AZP-Canvas-Interest&Role-Trial»1x1»Canvas»OTH»MO»CPM»PRO»X»UNK»TP»OT»Canvas-Trial</v></cell><cell r="D1266" t="str"><v>43291223298805</v></cell><cell r="E1266" t="str"><v>43291102609621-Trial</v></cell><cell r="F1266" t="str"><v>DCM</v></cell><cell r="G1266" t="str"><v>https://signup.azure.com/signup?offer=ms-azr-0044p&appId=102&ref=paidmedia-social-fb&redirectURL=https%3a%2f%2fazure.microsoft.com%2fja-jp%2fget-started%2fwelcome-to-azure%2f&l=ja-jp&correlationId=ead86c34-1f10-49dd-a72b-6918462a2cbf</v></cell></row><row r="1266"><cell r="K1266" t="str"><v>July</v></cell><cell r="L1266"><v>43295</v></cell><cell r="M1266" t="str"><v>Tier 1</v></cell><cell r="N1266" t="str"><v>APAC</v></cell><cell r="O1266" t="str"><v>Japan</v></cell><cell r="P1266" t="str"><v>Trial</v></cell><cell r="Q1266" t="str"><v>Social</v></cell><cell r="R1266" t="str"><v>Azure</v></cell><cell r="S1266" t="str"><v>Apps & Infra</v></cell><cell r="T1266" t="str"><v>Developers & ITI's</v></cell><cell r="U1266" t="str"><v>AZP-Canvas-Interest&Role-Trial</v></cell><cell r="V1266" t="str"><v>Prospecting</v></cell><cell r="W1266" t="str"><v>Other</v></cell><cell r="X1266" t="str"><v>1x1</v></cell></row><row r="1266"><cell r="AA1266"><v>43291</v></cell><cell r="AB1266" t="str"><v>JPN_gaPMG_AZR_AZR_Q1_19_Trial-Social</v></cell><cell r="AC1266"><v>21276694</v></cell><cell r="AD1266"><v>720195</v></cell><cell r="AE1266" t="str"><v>Facebook</v></cell><cell r="AF1266"><v>3654128</v></cell><cell r="AG1266" t="str"><v>Facebook»AZP-Canvas-Interest&Role-Trial»1x1»Canvas»OTH»MO»CPM»PRO»X»UNK»TP»OT»Canvas-Trial</v></cell><cell r="AH1266"><v>223298805</v></cell><cell r="AI1266" t="str"><v>AzurePlatform_FBCTCcanvaspage-StartFreeCTA-Img2_JPN_1080x143 _SOC_Plat_Japanese_NA_Standard_NA_NA_T2_1</v></cell><cell r="AJ1266"><v>102609621</v></cell></row><row r="1267"><cell r="C1267" t="str"><v>43291Facebook»AZP-Canvas-Look a Like-Trial»1x1»Canvas»OTH»MO»CPM»PRO»X»UNK»TP»OT»Canvas-Trial</v></cell><cell r="D1267" t="str"><v>43291223297413</v></cell><cell r="E1267" t="str"><v>43291102630373-Trial</v></cell><cell r="F1267" t="str"><v>DCM</v></cell><cell r="G1267" t="str"><v>https://azure.microsoft.com/ja-jp/pricing/purchase-options/</v></cell></row><row r="1267"><cell r="K1267" t="str"><v>July</v></cell><cell r="L1267"><v>43295</v></cell><cell r="M1267" t="str"><v>Tier 1</v></cell><cell r="N1267" t="str"><v>APAC</v></cell><cell r="O1267" t="str"><v>Japan</v></cell><cell r="P1267" t="str"><v>Trial</v></cell><cell r="Q1267" t="str"><v>Social</v></cell><cell r="R1267" t="str"><v>Azure</v></cell><cell r="S1267" t="str"><v>Apps & Infra</v></cell><cell r="T1267" t="str"><v>Developers & ITI's</v></cell><cell r="U1267" t="str"><v>AZP-Canvas-Look a Like-Trial</v></cell><cell r="V1267" t="str"><v>Prospecting</v></cell><cell r="W1267" t="str"><v>Other</v></cell><cell r="X1267" t="str"><v>1x1</v></cell></row><row r="1267"><cell r="AA1267"><v>43291</v></cell><cell r="AB1267" t="str"><v>JPN_gaPMG_AZR_AZR_Q1_19_Trial-Social</v></cell><cell r="AC1267"><v>21276694</v></cell><cell r="AD1267"><v>720195</v></cell><cell r="AE1267" t="str"><v>Facebook</v></cell><cell r="AF1267"><v>3654128</v></cell><cell r="AG1267" t="str"><v>Facebook»AZP-Canvas-Look a Like-Trial»1x1»Canvas»OTH»MO»CPM»PRO»X»UNK»TP»OT»Canvas-Trial</v></cell><cell r="AH1267"><v>223297413</v></cell><cell r="AI1267" t="str"><v>AzurePlatform_FBCTCcanvaspage-BuyNowCTA-Img3_JPN_1080x162_SOC_Plat_Japanese_NA_Standard_NA_BN_T3_1</v></cell><cell r="AJ1267"><v>102630373</v></cell></row><row r="1268"><cell r="C1268" t="str"><v>43291Facebook»AZP-Canvas-Look a Like-Trial»1x1»Canvas»OTH»MO»CPM»PRO»X»UNK»TP»OT»Canvas-Trial</v></cell><cell r="D1268" t="str"><v>43291223297413</v></cell><cell r="E1268" t="str"><v>43291102609621-Trial</v></cell><cell r="F1268" t="str"><v>DCM</v></cell><cell r="G1268" t="str"><v>https://signup.azure.com/signup?offer=ms-azr-0044p&appId=102&ref=paidmedia-social-fb&redirectURL=https%3a%2f%2fazure.microsoft.com%2fja-jp%2fget-started%2fwelcome-to-azure%2f&l=ja-jp&correlationId=ead86c34-1f10-49dd-a72b-6918462a2cbf</v></cell></row><row r="1268"><cell r="K1268" t="str"><v>July</v></cell><cell r="L1268"><v>43295</v></cell><cell r="M1268" t="str"><v>Tier 1</v></cell><cell r="N1268" t="str"><v>APAC</v></cell><cell r="O1268" t="str"><v>Japan</v></cell><cell r="P1268" t="str"><v>Trial</v></cell><cell r="Q1268" t="str"><v>Social</v></cell><cell r="R1268" t="str"><v>Azure</v></cell><cell r="S1268" t="str"><v>Apps & Infra</v></cell><cell r="T1268" t="str"><v>Developers & ITI's</v></cell><cell r="U1268" t="str"><v>AZP-Canvas-Look a Like-Trial</v></cell><cell r="V1268" t="str"><v>Prospecting</v></cell><cell r="W1268" t="str"><v>Other</v></cell><cell r="X1268" t="str"><v>1x1</v></cell></row><row r="1268"><cell r="AA1268"><v>43291</v></cell><cell r="AB1268" t="str"><v>JPN_gaPMG_AZR_AZR_Q1_19_Trial-Social</v></cell><cell r="AC1268"><v>21276694</v></cell><cell r="AD1268"><v>720195</v></cell><cell r="AE1268" t="str"><v>Facebook</v></cell><cell r="AF1268"><v>3654128</v></cell><cell r="AG1268" t="str"><v>Facebook»AZP-Canvas-Look a Like-Trial»1x1»Canvas»OTH»MO»CPM»PRO»X»UNK»TP»OT»Canvas-Trial</v></cell><cell r="AH1268"><v>223297413</v></cell><cell r="AI1268" t="str"><v>AzurePlatform_FBCTCcanvaspage-StartFreeCTA-Img2_JPN_1080x143 _SOC_Plat_Japanese_NA_Standard_NA_NA_T2_1</v></cell><cell r="AJ1268"><v>102609621</v></cell></row><row r="1269"><cell r="C1269" t="str"><v>43291Facebook»AZP-Retargeting»1x1»Ban»LIA»ALL»CPM»RT»X»All»TP»OT»Free Account Retargeting OSS-ChF</v></cell><cell r="D1269" t="str"><v>43291223726368</v></cell><cell r="E1269" t="str"><v>43291102974750SS-ChF</v></cell><cell r="F1269" t="str"><v>DCM</v></cell><cell r="G1269" t="str"><v>https://azure.microsoft.com/ja-jp/free/open-source/search/</v></cell></row><row r="1269"><cell r="K1269" t="str"><v>July</v></cell><cell r="L1269"><v>43295</v></cell><cell r="M1269" t="str"><v>Tier 1</v></cell><cell r="N1269" t="str"><v>APAC</v></cell><cell r="O1269" t="str"><v>Japan</v></cell><cell r="P1269" t="str"><v>Trial</v></cell><cell r="Q1269" t="str"><v>Social</v></cell><cell r="R1269" t="str"><v>Azure</v></cell><cell r="S1269" t="str"><v>Apps & Infra</v></cell><cell r="T1269" t="str"><v>Developers & ITI's</v></cell><cell r="U1269" t="str"><v>AZP-Retargeting</v></cell><cell r="V1269" t="str"><v>Retargeting</v></cell><cell r="W1269" t="str"><v>Link Ad</v></cell><cell r="X1269" t="str"><v>1x1</v></cell></row><row r="1269"><cell r="AA1269"><v>43291</v></cell><cell r="AB1269" t="str"><v>JPN_gaPMG_AZR_AZR_Q1_19_Trial-Social</v></cell><cell r="AC1269"><v>21276694</v></cell><cell r="AD1269"><v>720195</v></cell><cell r="AE1269" t="str"><v>Facebook</v></cell><cell r="AF1269"><v>3654128</v></cell><cell r="AG1269" t="str"><v>Facebook»AZP-Retargeting»1x1»Ban»LIA»ALL»CPM»RT»X»All»TP»OT»Free Account Retargeting OSS-ChF</v></cell><cell r="AH1269"><v>223726368</v></cell><cell r="AI1269" t="str"><v>AzurePlatform_FreeAcctRetargetingOSSFB-Text-ChF_JPN_1200x628_SOC_Plat_JA_Free Account_Standard_NA_SU_T1_1</v></cell><cell r="AJ1269"><v>102974750</v></cell></row><row r="1270"><cell r="C1270" t="str"><v>43291Facebook»AZP-Retargeting»1x1»Ban»LIA»ALL»CPM»RT»X»All»TP»OT»Free Account Retargeting OSS-ChG</v></cell><cell r="D1270" t="str"><v>43291223726365</v></cell><cell r="E1270" t="str"><v>43291102976850SS-ChG</v></cell><cell r="F1270" t="str"><v>DCM</v></cell><cell r="G1270" t="str"><v>https://azure.microsoft.com/ja-jp/free/open-source/search/</v></cell></row><row r="1270"><cell r="K1270" t="str"><v>July</v></cell><cell r="L1270"><v>43295</v></cell><cell r="M1270" t="str"><v>Tier 1</v></cell><cell r="N1270" t="str"><v>APAC</v></cell><cell r="O1270" t="str"><v>Japan</v></cell><cell r="P1270" t="str"><v>Trial</v></cell><cell r="Q1270" t="str"><v>Social</v></cell><cell r="R1270" t="str"><v>Azure</v></cell><cell r="S1270" t="str"><v>Apps & Infra</v></cell><cell r="T1270" t="str"><v>Developers & ITI's</v></cell><cell r="U1270" t="str"><v>AZP-Retargeting</v></cell><cell r="V1270" t="str"><v>Retargeting</v></cell><cell r="W1270" t="str"><v>Link Ad</v></cell><cell r="X1270" t="str"><v>1x1</v></cell></row><row r="1270"><cell r="AA1270"><v>43291</v></cell><cell r="AB1270" t="str"><v>JPN_gaPMG_AZR_AZR_Q1_19_Trial-Social</v></cell><cell r="AC1270"><v>21276694</v></cell><cell r="AD1270"><v>720195</v></cell><cell r="AE1270" t="str"><v>Facebook</v></cell><cell r="AF1270"><v>3654128</v></cell><cell r="AG1270" t="str"><v>Facebook»AZP-Retargeting»1x1»Ban»LIA»ALL»CPM»RT»X»All»TP»OT»Free Account Retargeting OSS-ChG</v></cell><cell r="AH1270"><v>223726365</v></cell><cell r="AI1270" t="str"><v>AzurePlatform_FreeAcctRetargetingOSSFB-Logos-ChG_JPN_1200x628_SOC_Plat_JA_Free Account_Standard_NA_SU_T2_1</v></cell><cell r="AJ1270"><v>102976850</v></cell></row><row r="1271"><cell r="C1271" t="str"><v>43291Facebook»AZP-Retargeting»1x1»Ban»LIA»ALL»CPM»RT»X»All»TP»OT»Free Account Retargeting VM-ChE</v></cell><cell r="D1271" t="str"><v>43291223726371</v></cell><cell r="E1271" t="str"><v>43291102977723VM-ChE</v></cell><cell r="F1271" t="str"><v>DCM</v></cell><cell r="G1271" t="str"><v>https://azure.microsoft.com/ja-jp/free/virtual-machines/search/</v></cell></row><row r="1271"><cell r="K1271" t="str"><v>July</v></cell><cell r="L1271"><v>43295</v></cell><cell r="M1271" t="str"><v>Tier 1</v></cell><cell r="N1271" t="str"><v>APAC</v></cell><cell r="O1271" t="str"><v>Japan</v></cell><cell r="P1271" t="str"><v>Trial</v></cell><cell r="Q1271" t="str"><v>Social</v></cell><cell r="R1271" t="str"><v>Azure</v></cell><cell r="S1271" t="str"><v>Apps & Infra</v></cell><cell r="T1271" t="str"><v>Developers & ITI's</v></cell><cell r="U1271" t="str"><v>AZP-Retargeting</v></cell><cell r="V1271" t="str"><v>Retargeting</v></cell><cell r="W1271" t="str"><v>Link Ad</v></cell><cell r="X1271" t="str"><v>1x1</v></cell></row><row r="1271"><cell r="AA1271"><v>43291</v></cell><cell r="AB1271" t="str"><v>JPN_gaPMG_AZR_AZR_Q1_19_Trial-Social</v></cell><cell r="AC1271"><v>21276694</v></cell><cell r="AD1271"><v>720195</v></cell><cell r="AE1271" t="str"><v>Facebook</v></cell><cell r="AF1271"><v>3654128</v></cell><cell r="AG1271" t="str"><v>Facebook»AZP-Retargeting»1x1»Ban»LIA»ALL»CPM»RT»X»All»TP»OT»Free Account Retargeting VM-ChE</v></cell><cell r="AH1271"><v>223726371</v></cell><cell r="AI1271" t="str"><v>AzurePlatform_FreeAcctRetargetingVMFB-OnDemand-ChE_JPN_1200x628_SOC_Plat_JA_Free Account_Standard_NA_SU_T2_1</v></cell><cell r="AJ1271"><v>102977723</v></cell></row><row r="1272"><cell r="C1272" t="str"><v>43291Facebook»AZP-Retargeting»1x1»Canvas»OTH»MO»CPM»RT»W»UNK»TP»OT»Trial-Basicmotion</v></cell><cell r="D1272" t="str"><v>43291223298811</v></cell><cell r="E1272" t="str"><v>43291102773984motion</v></cell><cell r="F1272" t="str"><v>DCM</v></cell><cell r="G1272" t="str"><v>https://azure.microsoft.com/ja-jp/free/search/</v></cell></row><row r="1272"><cell r="K1272" t="str"><v>July</v></cell><cell r="L1272"><v>43295</v></cell><cell r="M1272" t="str"><v>Tier 1</v></cell><cell r="N1272" t="str"><v>APAC</v></cell><cell r="O1272" t="str"><v>Japan</v></cell><cell r="P1272" t="str"><v>Trial</v></cell><cell r="Q1272" t="str"><v>Social</v></cell><cell r="R1272" t="str"><v>Azure</v></cell><cell r="S1272" t="str"><v>Apps & Infra</v></cell><cell r="T1272" t="str"><v>Developers & ITI's</v></cell><cell r="U1272" t="str"><v>AZP-Retargeting</v></cell><cell r="V1272" t="str"><v>Retargeting</v></cell><cell r="W1272" t="str"><v>Other</v></cell><cell r="X1272" t="str"><v>1x1</v></cell></row><row r="1272"><cell r="AA1272"><v>43291</v></cell><cell r="AB1272" t="str"><v>JPN_gaPMG_AZR_AZR_Q1_19_Trial-Social</v></cell><cell r="AC1272"><v>21276694</v></cell><cell r="AD1272"><v>720195</v></cell><cell r="AE1272" t="str"><v>Facebook</v></cell><cell r="AF1272"><v>3654128</v></cell><cell r="AG1272" t="str"><v>Facebook»AZP-Retargeting»1x1»Canvas»OTH»MO»CPM»RT»W»UNK»TP»OT»Trial-Basicmotion</v></cell><cell r="AH1272"><v>223298811</v></cell><cell r="AI1272" t="str"><v>AzurePlatform_FBCTCBasicMotion_JPN_10sec_ISV_PLAT_JA_Trial_Standard_STAN_TN_T1_1</v></cell><cell r="AJ1272"><v>102773984</v></cell></row><row r="1273"><cell r="C1273" t="str"><v>43291Facebook»AZP-Retargeting»1x1»Canvas»OTH»MO»CPM»RT»W»UNK»TP»OT»Trial-BrandinMotion</v></cell><cell r="D1273" t="str"><v>43291223298823</v></cell><cell r="E1273" t="str"><v>43291102612720Motion</v></cell><cell r="F1273" t="str"><v>DCM</v></cell><cell r="G1273" t="str"><v>https://azure.microsoft.com/ja-jp/free/search/</v></cell></row><row r="1273"><cell r="K1273" t="str"><v>July</v></cell><cell r="L1273"><v>43295</v></cell><cell r="M1273" t="str"><v>Tier 1</v></cell><cell r="N1273" t="str"><v>APAC</v></cell><cell r="O1273" t="str"><v>Japan</v></cell><cell r="P1273" t="str"><v>Trial</v></cell><cell r="Q1273" t="str"><v>Social</v></cell><cell r="R1273" t="str"><v>Azure</v></cell><cell r="S1273" t="str"><v>Apps & Infra</v></cell><cell r="T1273" t="str"><v>Developers & ITI's</v></cell><cell r="U1273" t="str"><v>AZP-Retargeting</v></cell><cell r="V1273" t="str"><v>Retargeting</v></cell><cell r="W1273" t="str"><v>Other</v></cell><cell r="X1273" t="str"><v>1x1</v></cell></row><row r="1273"><cell r="AA1273"><v>43291</v></cell><cell r="AB1273" t="str"><v>JPN_gaPMG_AZR_AZR_Q1_19_Trial-Social</v></cell><cell r="AC1273"><v>21276694</v></cell><cell r="AD1273"><v>720195</v></cell><cell r="AE1273" t="str"><v>Facebook</v></cell><cell r="AF1273"><v>3654128</v></cell><cell r="AG1273" t="str"><v>Facebook»AZP-Retargeting»1x1»Canvas»OTH»MO»CPM»RT»W»UNK»TP»OT»Trial-BrandinMotion</v></cell><cell r="AH1273"><v>223298823</v></cell><cell r="AI1273" t="str"><v>AzurePlatform_FBCTCBrandinMotion_JPN_12sec_ISV_PLAT_JA_Trial_Standard_STAN_TN_T2_1</v></cell><cell r="AJ1273"><v>102612720</v></cell></row><row r="1274"><cell r="C1274" t="str"><v>43291FACEBOOK»USA-Trial-ITD-Interest Prospecting-AZR-AZR»1 x 1»SocialBan»CAN»ALL»CPA»PRO»X»NA»SS»NA»FBCTCBasicMotion»PRC1SV</v></cell><cell r="D1274" t="str"><v>43291223934062</v></cell><cell r="E1274" t="str"><v>43291103043823PRC1SV</v></cell><cell r="F1274" t="str"><v>DCM</v></cell><cell r="G1274" t="str"><v>https://signup.azure.com/?OCID=AID%eexcid!_OLA_%ebuy!_%epid!_%ecid!</v></cell></row><row r="1274"><cell r="K1274" t="str"><v>July</v></cell><cell r="L1274"><v>43295</v></cell><cell r="M1274" t="str"><v>Tier 0</v></cell><cell r="N1274" t="str"><v>North America</v></cell><cell r="O1274" t="str"><v>United States</v></cell><cell r="P1274" t="str"><v>Trial</v></cell><cell r="Q1274" t="str"><v>Social</v></cell><cell r="R1274" t="str"><v>Azure</v></cell><cell r="S1274" t="str"><v>Apps & Infra</v></cell><cell r="T1274" t="str"><v>Developers & ITI's</v></cell><cell r="U1274" t="str"><v>USA-Trial-ITD-Interest Prospecting-AZR-AZR</v></cell><cell r="V1274" t="str"><v>Prospecting</v></cell><cell r="W1274" t="str"><v>Canvas Ad</v></cell><cell r="X1274" t="str"><v>1x1</v></cell></row><row r="1274"><cell r="AA1274"><v>43291</v></cell><cell r="AB1274" t="str"><v>USA_gaPMG_AZR_AZR_Q1_19_Direct-Social</v></cell><cell r="AC1274"><v>21358715</v></cell><cell r="AD1274"><v>720197</v></cell><cell r="AE1274" t="str"><v>Facebook</v></cell><cell r="AF1274"><v>3654128</v></cell><cell r="AG1274" t="str"><v>FACEBOOK»USA-Trial-ITD-Interest Prospecting-AZR-AZR»1 x 1»SocialBan»CAN»ALL»CPA»PRO»X»NA»SS»NA»FBCTCBasicMotion»PRC1SV</v></cell><cell r="AH1274"><v>223934062</v></cell><cell r="AI1274" t="str"><v>AzurePlatform_FBCTCBasicMotion_USA_10s_CAN_PLATFORM_English_Trial_Standard_STAN_TIN_T1_1</v></cell><cell r="AJ1274"><v>103043823</v></cell></row><row r="1275"><cell r="C1275" t="str"><v>43291FACEBOOK»USA-Trial-ITD-Interest Prospecting-AZR-AZR»1 x 1»SocialBan»CAN»ALL»CPA»PRO»X»NA»SS»NA»FBCTCBenefit2inMotion»PRC1SW</v></cell><cell r="D1275" t="str"><v>43291223933138</v></cell><cell r="E1275" t="str"><v>43291103043835PRC1SW</v></cell><cell r="F1275" t="str"><v>DCM</v></cell><cell r="G1275" t="str"><v>https://signup.azure.com/?OCID=AID%eexcid!_OLA_%ebuy!_%epid!_%ecid!</v></cell></row><row r="1275"><cell r="K1275" t="str"><v>July</v></cell><cell r="L1275"><v>43295</v></cell><cell r="M1275" t="str"><v>Tier 0</v></cell><cell r="N1275" t="str"><v>North America</v></cell><cell r="O1275" t="str"><v>United States</v></cell><cell r="P1275" t="str"><v>Trial</v></cell><cell r="Q1275" t="str"><v>Social</v></cell><cell r="R1275" t="str"><v>Azure</v></cell><cell r="S1275" t="str"><v>Apps & Infra</v></cell><cell r="T1275" t="str"><v>Developers & ITI's</v></cell><cell r="U1275" t="str"><v>USA-Trial-ITD-Interest Prospecting-AZR-AZR</v></cell><cell r="V1275" t="str"><v>Prospecting</v></cell><cell r="W1275" t="str"><v>Canvas Ad</v></cell><cell r="X1275" t="str"><v>1x1</v></cell></row><row r="1275"><cell r="AA1275"><v>43291</v></cell><cell r="AB1275" t="str"><v>USA_gaPMG_AZR_AZR_Q1_19_Direct-Social</v></cell><cell r="AC1275"><v>21358715</v></cell><cell r="AD1275"><v>720197</v></cell><cell r="AE1275" t="str"><v>Facebook</v></cell><cell r="AF1275"><v>3654128</v></cell><cell r="AG1275" t="str"><v>FACEBOOK»USA-Trial-ITD-Interest Prospecting-AZR-AZR»1 x 1»SocialBan»CAN»ALL»CPA»PRO»X»NA»SS»NA»FBCTCBenefit2inMotion»PRC1SW</v></cell><cell r="AH1275"><v>223933138</v></cell><cell r="AI1275" t="str"><v>AzurePlatform_FBCTCBenefit2inMotion_USA_10s_CAN_PLATFORM_English_Trial_Standard_STAN_TIN_T4_1</v></cell><cell r="AJ1275"><v>103043835</v></cell></row><row r="1276"><cell r="C1276" t="str"><v>43291FACEBOOK»USA-Trial-ITD-Interest Prospecting-AZR-AZR»1 x 1»SocialBan»CAN»ALL»CPA»PRO»X»NA»SS»NA»FBCTCBenefit2inMotion»PRC1SW</v></cell><cell r="D1276" t="str"><v>43291223933138</v></cell><cell r="E1276" t="str"><v>43291103178645PRC1SW</v></cell><cell r="F1276" t="str"><v>DCM</v></cell><cell r="G1276" t="str"><v>https://azure.microsoft.com/en-us/pricing/purchase-options/?v=18.19&OCID=AID%eexcid!_OLA_%ebuy!_%epid!_%ecid!</v></cell></row><row r="1276"><cell r="K1276" t="str"><v>July</v></cell><cell r="L1276"><v>43295</v></cell><cell r="M1276" t="str"><v>Tier 0</v></cell><cell r="N1276" t="str"><v>North America</v></cell><cell r="O1276" t="str"><v>United States</v></cell><cell r="P1276" t="str"><v>Trial</v></cell><cell r="Q1276" t="str"><v>Social</v></cell><cell r="R1276" t="str"><v>Azure</v></cell><cell r="S1276" t="str"><v>Apps & Infra</v></cell><cell r="T1276" t="str"><v>Developers & ITI's</v></cell><cell r="U1276" t="str"><v>USA-Trial-ITD-Interest Prospecting-AZR-AZR</v></cell><cell r="V1276" t="str"><v>Prospecting</v></cell><cell r="W1276" t="str"><v>Canvas Ad</v></cell><cell r="X1276" t="str"><v>1x1</v></cell></row><row r="1276"><cell r="AA1276"><v>43291</v></cell><cell r="AB1276" t="str"><v>USA_gaPMG_AZR_AZR_Q1_19_Direct-Social</v></cell><cell r="AC1276"><v>21358715</v></cell><cell r="AD1276"><v>720197</v></cell><cell r="AE1276" t="str"><v>Facebook</v></cell><cell r="AF1276"><v>3654128</v></cell><cell r="AG1276" t="str"><v>FACEBOOK»USA-Trial-ITD-Interest Prospecting-AZR-AZR»1 x 1»SocialBan»CAN»ALL»CPA»PRO»X»NA»SS»NA»FBCTCBenefit2inMotion»PRC1SW</v></cell><cell r="AH1276"><v>223933138</v></cell><cell r="AI1276" t="str"><v>AzurePlatform_FBCTCBenefit2inMotion_USA_10s_CAN_PLATFORM_English_Trial_Standard_STAN_TIN_T4_2</v></cell><cell r="AJ1276"><v>103178645</v></cell></row><row r="1277"><cell r="C1277" t="str"><v>43291FACEBOOK»USA-Trial-ITD-Interest Prospecting-AZR-AZR»1 x 1»SocialBan»CAN»ALL»CPA»PRO»X»NA»SS»NA»FBCTCBrandinMotion»PRC1SY</v></cell><cell r="D1277" t="str"><v>43291224104929</v></cell><cell r="E1277" t="str"><v>43291103176812PRC1SY</v></cell><cell r="F1277" t="str"><v>DCM</v></cell><cell r="G1277" t="str"><v>https://signup.azure.com/?OCID=AID%eexcid!_OLA_%ebuy!_%epid!_%ecid!</v></cell></row><row r="1277"><cell r="K1277" t="str"><v>July</v></cell><cell r="L1277"><v>43295</v></cell><cell r="M1277" t="str"><v>Tier 0</v></cell><cell r="N1277" t="str"><v>North America</v></cell><cell r="O1277" t="str"><v>United States</v></cell><cell r="P1277" t="str"><v>Trial</v></cell><cell r="Q1277" t="str"><v>Social</v></cell><cell r="R1277" t="str"><v>Azure</v></cell><cell r="S1277" t="str"><v>Apps & Infra</v></cell><cell r="T1277" t="str"><v>Developers & ITI's</v></cell><cell r="U1277" t="str"><v>USA-Trial-ITD-Interest Prospecting-AZR-AZR</v></cell><cell r="V1277" t="str"><v>Prospecting</v></cell><cell r="W1277" t="str"><v>Canvas Ad</v></cell><cell r="X1277" t="str"><v>1x1</v></cell></row><row r="1277"><cell r="AA1277"><v>43291</v></cell><cell r="AB1277" t="str"><v>USA_gaPMG_AZR_AZR_Q1_19_Direct-Social</v></cell><cell r="AC1277"><v>21358715</v></cell><cell r="AD1277"><v>720197</v></cell><cell r="AE1277" t="str"><v>Facebook</v></cell><cell r="AF1277"><v>3654128</v></cell><cell r="AG1277" t="str"><v>FACEBOOK»USA-Trial-ITD-Interest Prospecting-AZR-AZR»1 x 1»SocialBan»CAN»ALL»CPA»PRO»X»NA»SS»NA»FBCTCBrandinMotion»PRC1SY</v></cell><cell r="AH1277"><v>224104929</v></cell><cell r="AI1277" t="str"><v>AzurePlatform_FBCTCBrandinMotion_USA_10s_CAN_PLATFORM_English_Trial_Standard_STAN_TIN_T2_1</v></cell><cell r="AJ1277"><v>103176812</v></cell></row><row r="1278"><cell r="C1278" t="str"><v>43291FACEBOOK»USA-Trial-ITD-Interest Prospecting-AZR-AZR»1 x 1»SocialBan»CAN»ALL»CPA»PRO»X»NA»SS»NA»FBCTCBrandinMotion»PRC1SY</v></cell><cell r="D1278" t="str"><v>43291224104929</v></cell><cell r="E1278" t="str"><v>43291103032823PRC1SY</v></cell><cell r="F1278" t="str"><v>DCM</v></cell><cell r="G1278" t="str"><v>https://azure.microsoft.com/en-us/pricing/purchase-options/?v=18.19&OCID=AID%eexcid!_OLA_%ebuy!_%epid!_%ecid!</v></cell></row><row r="1278"><cell r="K1278" t="str"><v>July</v></cell><cell r="L1278"><v>43295</v></cell><cell r="M1278" t="str"><v>Tier 0</v></cell><cell r="N1278" t="str"><v>North America</v></cell><cell r="O1278" t="str"><v>United States</v></cell><cell r="P1278" t="str"><v>Trial</v></cell><cell r="Q1278" t="str"><v>Social</v></cell><cell r="R1278" t="str"><v>Azure</v></cell><cell r="S1278" t="str"><v>Apps & Infra</v></cell><cell r="T1278" t="str"><v>Developers & ITI's</v></cell><cell r="U1278" t="str"><v>USA-Trial-ITD-Interest Prospecting-AZR-AZR</v></cell><cell r="V1278" t="str"><v>Prospecting</v></cell><cell r="W1278" t="str"><v>Canvas Ad</v></cell><cell r="X1278" t="str"><v>1x1</v></cell></row><row r="1278"><cell r="AA1278"><v>43291</v></cell><cell r="AB1278" t="str"><v>USA_gaPMG_AZR_AZR_Q1_19_Direct-Social</v></cell><cell r="AC1278"><v>21358715</v></cell><cell r="AD1278"><v>720197</v></cell><cell r="AE1278" t="str"><v>Facebook</v></cell><cell r="AF1278"><v>3654128</v></cell><cell r="AG1278" t="str"><v>FACEBOOK»USA-Trial-ITD-Interest Prospecting-AZR-AZR»1 x 1»SocialBan»CAN»ALL»CPA»PRO»X»NA»SS»NA»FBCTCBrandinMotion»PRC1SY</v></cell><cell r="AH1278"><v>224104929</v></cell><cell r="AI1278" t="str"><v>AzurePlatform_FBCTCBrandinMotion_USA_10s_CAN_PLATFORM_English_Trial_Standard_STAN_TIN_T2_2</v></cell><cell r="AJ1278"><v>103032823</v></cell></row><row r="1279"><cell r="C1279" t="str"><v>43291FACEBOOK»USA-Trial-ITD-Interest Prospecting-AZR-AZR»1 x 1»SocialBan»LIA»ALL»CPA»PRO»X»NA»SS»NA»FreeAcctDeveloperFB-AnimatedGeneric-Ch1»PRC1SZ</v></cell><cell r="D1279" t="str"><v>43291224104932</v></cell><cell r="E1279" t="str"><v>43291103176851PRC1SZ</v></cell><cell r="F1279" t="str"><v>DCM</v></cell><cell r="G1279" t="str"><v>https://azure.microsoft.com/en-us/free/search/?OCID=AID%eexcid!_OLA_%ebuy!_%epid!_%ecid!</v></cell></row><row r="1279"><cell r="K1279" t="str"><v>July</v></cell><cell r="L1279"><v>43295</v></cell><cell r="M1279" t="str"><v>Tier 0</v></cell><cell r="N1279" t="str"><v>North America</v></cell><cell r="O1279" t="str"><v>United States</v></cell><cell r="P1279" t="str"><v>Trial</v></cell><cell r="Q1279" t="str"><v>Social</v></cell><cell r="R1279" t="str"><v>Azure</v></cell><cell r="S1279" t="str"><v>Apps & Infra</v></cell><cell r="T1279" t="str"><v>Developers & ITI's</v></cell><cell r="U1279" t="str"><v>USA-Trial-ITD-Interest Prospecting-AZR-AZR</v></cell><cell r="V1279" t="str"><v>Prospecting</v></cell><cell r="W1279" t="str"><v>Link Ad</v></cell><cell r="X1279" t="str"><v>1x1</v></cell></row><row r="1279"><cell r="AA1279"><v>43291</v></cell><cell r="AB1279" t="str"><v>USA_gaPMG_AZR_AZR_Q1_19_Direct-Social</v></cell><cell r="AC1279"><v>21358715</v></cell><cell r="AD1279"><v>720197</v></cell><cell r="AE1279" t="str"><v>Facebook</v></cell><cell r="AF1279"><v>3654128</v></cell><cell r="AG1279" t="str"><v>FACEBOOK»USA-Trial-ITD-Interest Prospecting-AZR-AZR»1 x 1»SocialBan»LIA»ALL»CPA»PRO»X»NA»SS»NA»FreeAcctDeveloperFB-AnimatedGeneric-Ch1»PRC1SZ</v></cell><cell r="AH1279"><v>224104932</v></cell><cell r="AI1279" t="str"><v>AZR_FreeAcctDeveloperFB-AnimatedGeneric-Ch1_USA_1200x1200_CAN_Direct_English_Trial_Standard_ANI_LEA_T1_2</v></cell><cell r="AJ1279"><v>103176851</v></cell></row><row r="1280"><cell r="C1280" t="str"><v>43291FACEBOOK»USA-Trial-ITD-Interest Prospecting-AZR-AZR»1 x 1»SocialBan»LIA»ALL»CPA»PRO»X»NA»SS»NA»FreeAcctDeveloperFB-AnimatedGeneric-Ch1»PRC1T0</v></cell><cell r="D1280" t="str"><v>43291223934065</v></cell><cell r="E1280" t="str"><v>43291103176851PRC1T0</v></cell><cell r="F1280" t="str"><v>DCM</v></cell><cell r="G1280" t="str"><v>https://azure.microsoft.com/en-us/free/search/?OCID=AID%eexcid!_OLA_%ebuy!_%epid!_%ecid!</v></cell></row><row r="1280"><cell r="K1280" t="str"><v>July</v></cell><cell r="L1280"><v>43295</v></cell><cell r="M1280" t="str"><v>Tier 0</v></cell><cell r="N1280" t="str"><v>North America</v></cell><cell r="O1280" t="str"><v>United States</v></cell><cell r="P1280" t="str"><v>Trial</v></cell><cell r="Q1280" t="str"><v>Social</v></cell><cell r="R1280" t="str"><v>Azure</v></cell><cell r="S1280" t="str"><v>Apps & Infra</v></cell><cell r="T1280" t="str"><v>Developers & ITI's</v></cell><cell r="U1280" t="str"><v>USA-Trial-ITD-Interest Prospecting-AZR-AZR</v></cell><cell r="V1280" t="str"><v>Prospecting</v></cell><cell r="W1280" t="str"><v>Link Ad</v></cell><cell r="X1280" t="str"><v>1x1</v></cell></row><row r="1280"><cell r="AA1280"><v>43291</v></cell><cell r="AB1280" t="str"><v>USA_gaPMG_AZR_AZR_Q1_19_Direct-Social</v></cell><cell r="AC1280"><v>21358715</v></cell><cell r="AD1280"><v>720197</v></cell><cell r="AE1280" t="str"><v>Facebook</v></cell><cell r="AF1280"><v>3654128</v></cell><cell r="AG1280" t="str"><v>FACEBOOK»USA-Trial-ITD-Interest Prospecting-AZR-AZR»1 x 1»SocialBan»LIA»ALL»CPA»PRO»X»NA»SS»NA»FreeAcctDeveloperFB-AnimatedGeneric-Ch1»PRC1T0</v></cell><cell r="AH1280"><v>223934065</v></cell><cell r="AI1280" t="str"><v>AZR_FreeAcctDeveloperFB-AnimatedGeneric-Ch1_USA_1200x1200_CAN_Direct_English_Trial_Standard_ANI_LEA_T1_2</v></cell><cell r="AJ1280"><v>103176851</v></cell></row><row r="1281"><cell r="C1281" t="str"><v>43291FACEBOOK»USA-Trial-ITD-Interest Prospecting-AZR-AZR»1 x 1»SocialBan»LIA»ALL»CPA»PRO»X»NA»SS»NA»FreeAcctITProFB-AnimatedHybrid-Ch2»PRC1T5</v></cell><cell r="D1281" t="str"><v>43291223862882</v></cell><cell r="E1281" t="str"><v>43291103180583PRC1T5</v></cell><cell r="F1281" t="str"><v>DCM</v></cell></row><row r="1281"><cell r="K1281" t="str"><v>July</v></cell><cell r="L1281"><v>43295</v></cell><cell r="M1281" t="str"><v>Tier 0</v></cell><cell r="N1281" t="str"><v>North America</v></cell><cell r="O1281" t="str"><v>United States</v></cell><cell r="P1281" t="str"><v>Trial</v></cell><cell r="Q1281" t="str"><v>Social</v></cell><cell r="R1281" t="str"><v>Azure</v></cell><cell r="S1281" t="str"><v>Apps & Infra</v></cell><cell r="T1281" t="str"><v>Developers & ITI's</v></cell><cell r="U1281" t="str"><v>USA-Trial-ITD-Interest Prospecting-AZR-AZR</v></cell><cell r="V1281" t="str"><v>Prospecting</v></cell><cell r="W1281" t="str"><v>Link Ad</v></cell><cell r="X1281" t="str"><v>1x1</v></cell></row><row r="1281"><cell r="AA1281"><v>43291</v></cell><cell r="AB1281" t="str"><v>USA_gaPMG_AZR_AZR_Q1_19_Direct-Social</v></cell><cell r="AC1281"><v>21358715</v></cell><cell r="AD1281"><v>720197</v></cell><cell r="AE1281" t="str"><v>Facebook</v></cell><cell r="AF1281"><v>3654128</v></cell><cell r="AG1281" t="str"><v>FACEBOOK»USA-Trial-ITD-Interest Prospecting-AZR-AZR»1 x 1»SocialBan»LIA»ALL»CPA»PRO»X»NA»SS»NA»FreeAcctITProFB-AnimatedHybrid-Ch2»PRC1T5</v></cell><cell r="AH1281"><v>223862882</v></cell><cell r="AI1281" t="str"><v>AZR_FreeAcctITProFB-AnimatedHybrid-Ch2_USA_1200x1200_CAN_Direct_English_Trial_Standard_ANI_LEA_T2_2</v></cell><cell r="AJ1281"><v>103180583</v></cell></row><row r="1282"><cell r="C1282" t="str"><v>43291FACEBOOK»USA-Trial-ITD-Interest Prospecting-AZR-AZR»1 x 1»SocialBan»LIA»ALL»CPA»PRO»X»NA»SS»NA»FreeAcctITProFB-AnimatedSecureMngd-Ch1»PRC1T4</v></cell><cell r="D1282" t="str"><v>43291224104914</v></cell><cell r="E1282" t="str"><v>43291103176830PRC1T4</v></cell><cell r="F1282" t="str"><v>DCM</v></cell></row><row r="1282"><cell r="K1282" t="str"><v>July</v></cell><cell r="L1282"><v>43295</v></cell><cell r="M1282" t="str"><v>Tier 0</v></cell><cell r="N1282" t="str"><v>North America</v></cell><cell r="O1282" t="str"><v>United States</v></cell><cell r="P1282" t="str"><v>Trial</v></cell><cell r="Q1282" t="str"><v>Social</v></cell><cell r="R1282" t="str"><v>Azure</v></cell><cell r="S1282" t="str"><v>Apps & Infra</v></cell><cell r="T1282" t="str"><v>Developers & ITI's</v></cell><cell r="U1282" t="str"><v>USA-Trial-ITD-Interest Prospecting-AZR-AZR</v></cell><cell r="V1282" t="str"><v>Prospecting</v></cell><cell r="W1282" t="str"><v>Link Ad</v></cell><cell r="X1282" t="str"><v>1x1</v></cell></row><row r="1282"><cell r="AA1282"><v>43291</v></cell><cell r="AB1282" t="str"><v>USA_gaPMG_AZR_AZR_Q1_19_Direct-Social</v></cell><cell r="AC1282"><v>21358715</v></cell><cell r="AD1282"><v>720197</v></cell><cell r="AE1282" t="str"><v>Facebook</v></cell><cell r="AF1282"><v>3654128</v></cell><cell r="AG1282" t="str"><v>FACEBOOK»USA-Trial-ITD-Interest Prospecting-AZR-AZR»1 x 1»SocialBan»LIA»ALL»CPA»PRO»X»NA»SS»NA»FreeAcctITProFB-AnimatedSecureMngd-Ch1»PRC1T4</v></cell><cell r="AH1282"><v>224104914</v></cell><cell r="AI1282" t="str"><v>AZR_FreeAcctITProFB-AnimatedSecureMngd-Ch1_USA_1200x1200_CAN_Direct_English_Trial_Standard_ANI_LEA_T1_1</v></cell><cell r="AJ1282"><v>103176830</v></cell></row><row r="1283"><cell r="C1283" t="str"><v>43291FACEBOOK»USA-Trial-ITD-Retargeting-AZR-AZR»1 x 1»SocialBan»LIA»ALL»CPA»RT»X»NA»SS»NA»FreeAcctDeveloperFB-AnimatedAI-Ch3»PRC26H</v></cell><cell r="D1283" t="str"><v>43291223863371</v></cell><cell r="E1283" t="str"><v>43291103032778PRC26H</v></cell><cell r="F1283" t="str"><v>DCM</v></cell></row><row r="1283"><cell r="K1283" t="str"><v>July</v></cell><cell r="L1283"><v>43295</v></cell><cell r="M1283" t="str"><v>Tier 0</v></cell><cell r="N1283" t="str"><v>North America</v></cell><cell r="O1283" t="str"><v>United States</v></cell><cell r="P1283" t="str"><v>Trial</v></cell><cell r="Q1283" t="str"><v>Social</v></cell><cell r="R1283" t="str"><v>Azure</v></cell><cell r="S1283" t="str"><v>Apps & Infra</v></cell><cell r="T1283" t="str"><v>Developers & ITI's</v></cell><cell r="U1283" t="str"><v>USA-Trial-ITD-Retargeting-AZR-AZR</v></cell><cell r="V1283" t="str"><v>Retargeting</v></cell><cell r="W1283" t="str"><v>Link Ad</v></cell><cell r="X1283" t="str"><v>1x1</v></cell></row><row r="1283"><cell r="AA1283"><v>43291</v></cell><cell r="AB1283" t="str"><v>USA_gaPMG_AZR_AZR_Q1_19_Direct-Social</v></cell><cell r="AC1283"><v>21358715</v></cell><cell r="AD1283"><v>720197</v></cell><cell r="AE1283" t="str"><v>Facebook</v></cell><cell r="AF1283"><v>3654128</v></cell><cell r="AG1283" t="str"><v>FACEBOOK»USA-Trial-ITD-Retargeting-AZR-AZR»1 x 1»SocialBan»LIA»ALL»CPA»RT»X»NA»SS»NA»FreeAcctDeveloperFB-AnimatedAI-Ch3»PRC26H</v></cell><cell r="AH1283"><v>223863371</v></cell><cell r="AI1283" t="str"><v>AZR_FreeAcctDeveloperFB-AnimatedAI-Ch3_USA_1200x1200_CAN_Direct_English_Trial_Standard_ANI_LEA_T3_1</v></cell><cell r="AJ1283"><v>103032778</v></cell></row><row r="1284"><cell r="C1284" t="str"><v>43291FACEBOOK»USA-Trial-ITD-Retargeting-AZR-AZR»1 x 1»SocialBan»LIA»ALL»CPA»RT»X»NA»SS»NA»FreeAcctDeveloperFB-AnimatedData-Ch4»PRC26J</v></cell><cell r="D1284" t="str"><v>43291224106078</v></cell><cell r="E1284" t="str"><v>43291103037935PRC26J</v></cell><cell r="F1284" t="str"><v>DCM</v></cell></row><row r="1284"><cell r="K1284" t="str"><v>July</v></cell><cell r="L1284"><v>43295</v></cell><cell r="M1284" t="str"><v>Tier 0</v></cell><cell r="N1284" t="str"><v>North America</v></cell><cell r="O1284" t="str"><v>United States</v></cell><cell r="P1284" t="str"><v>Trial</v></cell><cell r="Q1284" t="str"><v>Social</v></cell><cell r="R1284" t="str"><v>Azure</v></cell><cell r="S1284" t="str"><v>Apps & Infra</v></cell><cell r="T1284" t="str"><v>Developers & ITI's</v></cell><cell r="U1284" t="str"><v>USA-Trial-ITD-Retargeting-AZR-AZR</v></cell><cell r="V1284" t="str"><v>Retargeting</v></cell><cell r="W1284" t="str"><v>Link Ad</v></cell><cell r="X1284" t="str"><v>1x1</v></cell></row><row r="1284"><cell r="AA1284"><v>43291</v></cell><cell r="AB1284" t="str"><v>USA_gaPMG_AZR_AZR_Q1_19_Direct-Social</v></cell><cell r="AC1284"><v>21358715</v></cell><cell r="AD1284"><v>720197</v></cell><cell r="AE1284" t="str"><v>Facebook</v></cell><cell r="AF1284"><v>3654128</v></cell><cell r="AG1284" t="str"><v>FACEBOOK»USA-Trial-ITD-Retargeting-AZR-AZR»1 x 1»SocialBan»LIA»ALL»CPA»RT»X»NA»SS»NA»FreeAcctDeveloperFB-AnimatedData-Ch4»PRC26J</v></cell><cell r="AH1284"><v>224106078</v></cell><cell r="AI1284" t="str"><v>AZR_FreeAcctDeveloperFB-AnimatedData-Ch4_USA_1200x1200_CAN_Direct_English_Trial_Standard_ANI_LEA_T4_2</v></cell><cell r="AJ1284"><v>103037935</v></cell></row><row r="1285"><cell r="C1285" t="str"><v>43291FACEBOOK»USA-Trial-ITD-Retargeting-AZR-AZR»1 x 1»SocialBan»LIA»ALL»CPA»RT»X»NA»SS»NA»FreeAcctDeveloperFB-AnimatedGeneric-Ch1»PRC26F</v></cell><cell r="D1285" t="str"><v>43291224105850</v></cell><cell r="E1285" t="str"><v>43291103176851PRC26F</v></cell><cell r="F1285" t="str"><v>DCM</v></cell><cell r="G1285" t="str"><v>https://azure.microsoft.com/en-us/free/search/?OCID=AID%eexcid!_OLA_%ebuy!_%epid!_%ecid!</v></cell></row><row r="1285"><cell r="K1285" t="str"><v>July</v></cell><cell r="L1285"><v>43295</v></cell><cell r="M1285" t="str"><v>Tier 0</v></cell><cell r="N1285" t="str"><v>North America</v></cell><cell r="O1285" t="str"><v>United States</v></cell><cell r="P1285" t="str"><v>Trial</v></cell><cell r="Q1285" t="str"><v>Social</v></cell><cell r="R1285" t="str"><v>Azure</v></cell><cell r="S1285" t="str"><v>Apps & Infra</v></cell><cell r="T1285" t="str"><v>Developers & ITI's</v></cell><cell r="U1285" t="str"><v>USA-Trial-ITD-Retargeting-AZR-AZR</v></cell><cell r="V1285" t="str"><v>Retargeting</v></cell><cell r="W1285" t="str"><v>Link Ad</v></cell><cell r="X1285" t="str"><v>1x1</v></cell></row><row r="1285"><cell r="AA1285"><v>43291</v></cell><cell r="AB1285" t="str"><v>USA_gaPMG_AZR_AZR_Q1_19_Direct-Social</v></cell><cell r="AC1285"><v>21358715</v></cell><cell r="AD1285"><v>720197</v></cell><cell r="AE1285" t="str"><v>Facebook</v></cell><cell r="AF1285"><v>3654128</v></cell><cell r="AG1285" t="str"><v>FACEBOOK»USA-Trial-ITD-Retargeting-AZR-AZR»1 x 1»SocialBan»LIA»ALL»CPA»RT»X»NA»SS»NA»FreeAcctDeveloperFB-AnimatedGeneric-Ch1»PRC26F</v></cell><cell r="AH1285"><v>224105850</v></cell><cell r="AI1285" t="str"><v>AZR_FreeAcctDeveloperFB-AnimatedGeneric-Ch1_USA_1200x1200_CAN_Direct_English_Trial_Standard_ANI_LEA_T1_2</v></cell><cell r="AJ1285"><v>103176851</v></cell></row><row r="1286"><cell r="C1286" t="str"><v>43291FACEBOOK»USA-Trial-ITD-Retargeting-AZR-AZR»1 x 1»SocialBan»LIA»ALL»CPA»RT»X»NA»SS»NA»FreeAcctDeveloperFB-AnimatedOpenSource-Ch2»PRC26G</v></cell><cell r="D1286" t="str"><v>43291223862873</v></cell><cell r="E1286" t="str"><v>43291103048329PRC26G</v></cell><cell r="F1286" t="str"><v>DCM</v></cell><cell r="G1286" t="str"><v>https://azure.microsoft.com/en-us/free/open-source/search/?OCID=AID%eexcid!_OLA_%ebuy!_%epid!_%ecid!</v></cell></row><row r="1286"><cell r="K1286" t="str"><v>July</v></cell><cell r="L1286"><v>43295</v></cell><cell r="M1286" t="str"><v>Tier 0</v></cell><cell r="N1286" t="str"><v>North America</v></cell><cell r="O1286" t="str"><v>United States</v></cell><cell r="P1286" t="str"><v>Trial</v></cell><cell r="Q1286" t="str"><v>Social</v></cell><cell r="R1286" t="str"><v>Azure</v></cell><cell r="S1286" t="str"><v>Apps & Infra</v></cell><cell r="T1286" t="str"><v>Developers & ITI's</v></cell><cell r="U1286" t="str"><v>USA-Trial-ITD-Retargeting-AZR-AZR</v></cell><cell r="V1286" t="str"><v>Retargeting</v></cell><cell r="W1286" t="str"><v>Link Ad</v></cell><cell r="X1286" t="str"><v>1x1</v></cell></row><row r="1286"><cell r="AA1286"><v>43291</v></cell><cell r="AB1286" t="str"><v>USA_gaPMG_AZR_AZR_Q1_19_Direct-Social</v></cell><cell r="AC1286"><v>21358715</v></cell><cell r="AD1286"><v>720197</v></cell><cell r="AE1286" t="str"><v>Facebook</v></cell><cell r="AF1286"><v>3654128</v></cell><cell r="AG1286" t="str"><v>FACEBOOK»USA-Trial-ITD-Retargeting-AZR-AZR»1 x 1»SocialBan»LIA»ALL»CPA»RT»X»NA»SS»NA»FreeAcctDeveloperFB-AnimatedOpenSource-Ch2»PRC26G</v></cell><cell r="AH1286"><v>223862873</v></cell><cell r="AI1286" t="str"><v>AZR_FreeAcctDeveloperFB-AnimatedOpenSource-Ch2_USA_1200x1200_CAN_Direct_English_Trial_Standard_ANI_LEA_T2_1</v></cell><cell r="AJ1286"><v>103048329</v></cell></row><row r="1287"><cell r="C1287" t="str"><v>43291FACEBOOK»USA-Trial-ITD-Retargeting-AZR-AZR»1 x 1»SocialBan»LIA»ALL»CPA»RT»X»NA»SS»NA»FreeAcctITProFB-AnimatedMigration-Ch3»PRC26P</v></cell><cell r="D1287" t="str"><v>43291223934056</v></cell><cell r="E1287" t="str"><v>43291103176827PRC26P</v></cell><cell r="F1287" t="str"><v>DCM</v></cell></row><row r="1287"><cell r="K1287" t="str"><v>July</v></cell><cell r="L1287"><v>43295</v></cell><cell r="M1287" t="str"><v>Tier 0</v></cell><cell r="N1287" t="str"><v>North America</v></cell><cell r="O1287" t="str"><v>United States</v></cell><cell r="P1287" t="str"><v>Trial</v></cell><cell r="Q1287" t="str"><v>Social</v></cell><cell r="R1287" t="str"><v>Azure</v></cell><cell r="S1287" t="str"><v>Apps & Infra</v></cell><cell r="T1287" t="str"><v>Developers & ITI's</v></cell><cell r="U1287" t="str"><v>USA-Trial-ITD-Retargeting-AZR-AZR</v></cell><cell r="V1287" t="str"><v>Retargeting</v></cell><cell r="W1287" t="str"><v>Link Ad</v></cell><cell r="X1287" t="str"><v>1x1</v></cell></row><row r="1287"><cell r="AA1287"><v>43291</v></cell><cell r="AB1287" t="str"><v>USA_gaPMG_AZR_AZR_Q1_19_Direct-Social</v></cell><cell r="AC1287"><v>21358715</v></cell><cell r="AD1287"><v>720197</v></cell><cell r="AE1287" t="str"><v>Facebook</v></cell><cell r="AF1287"><v>3654128</v></cell><cell r="AG1287" t="str"><v>FACEBOOK»USA-Trial-ITD-Retargeting-AZR-AZR»1 x 1»SocialBan»LIA»ALL»CPA»RT»X»NA»SS»NA»FreeAcctITProFB-AnimatedMigration-Ch3»PRC26P</v></cell><cell r="AH1287"><v>223934056</v></cell><cell r="AI1287" t="str"><v>AZR_FreeAcctITProFB-AnimatedMigration-Ch3_USA_1200x1200_CAN_Direct_English_Trial_Standard_ANI_LEA_T3_1</v></cell><cell r="AJ1287"><v>103176827</v></cell></row><row r="1288"><cell r="C1288" t="str"><v>43291FACEBOOK»USA-Trial-ITD-Retargeting-AZR-AZR»1 x 1»SocialBan»LIA»ALL»CPA»RT»X»NA»SS»NA»FreeAcctRetargetingFB-Animated-ChC»PRC1RX</v></cell><cell r="D1288" t="str"><v>43291223862864</v></cell><cell r="E1288" t="str"><v>43291103180880PRC1RX</v></cell><cell r="F1288" t="str"><v>DCM</v></cell><cell r="G1288" t="str"><v>https://azure.microsoft.com/en-us/free/search/?OCID=AID%eexcid!_OLA_%ebuy!_%epid!_%ecid!</v></cell></row><row r="1288"><cell r="K1288" t="str"><v>July</v></cell><cell r="L1288"><v>43295</v></cell><cell r="M1288" t="str"><v>Tier 0</v></cell><cell r="N1288" t="str"><v>North America</v></cell><cell r="O1288" t="str"><v>United States</v></cell><cell r="P1288" t="str"><v>Trial</v></cell><cell r="Q1288" t="str"><v>Social</v></cell><cell r="R1288" t="str"><v>Azure</v></cell><cell r="S1288" t="str"><v>Apps & Infra</v></cell><cell r="T1288" t="str"><v>Developers & ITI's</v></cell><cell r="U1288" t="str"><v>USA-Trial-ITD-Retargeting-AZR-AZR</v></cell><cell r="V1288" t="str"><v>Retargeting</v></cell><cell r="W1288" t="str"><v>Link Ad</v></cell><cell r="X1288" t="str"><v>1x1</v></cell></row><row r="1288"><cell r="AA1288"><v>43291</v></cell><cell r="AB1288" t="str"><v>USA_gaPMG_AZR_AZR_Q1_19_Direct-Social</v></cell><cell r="AC1288"><v>21358715</v></cell><cell r="AD1288"><v>720197</v></cell><cell r="AE1288" t="str"><v>Facebook</v></cell><cell r="AF1288"><v>3654128</v></cell><cell r="AG1288" t="str"><v>FACEBOOK»USA-Trial-ITD-Retargeting-AZR-AZR»1 x 1»SocialBan»LIA»ALL»CPA»RT»X»NA»SS»NA»FreeAcctRetargetingFB-Animated-ChC»PRC1RX</v></cell><cell r="AH1288"><v>223862864</v></cell><cell r="AI1288" t="str"><v>AzurePlatform_FreeAcctRetargetingFB-Animated-ChC_USA_1200x628_CAN_PLATFORM_English_Free Account_Standard_ANI_SINU_T3_2</v></cell><cell r="AJ1288"><v>103180880</v></cell></row><row r="1289"><cell r="C1289" t="str"><v>43291FACEBOOK»USA-Trial-ITD-Retargeting-AZR-AZR»1 x 1»SocialBan»LIA»ALL»CPA»RT»X»NA»SS»NA»FreeAcctRetargetingFB-Credit-ChA»PRC1RV</v></cell><cell r="D1289" t="str"><v>43291224106075</v></cell><cell r="E1289" t="str"><v>43291103034917PRC1RV</v></cell><cell r="F1289" t="str"><v>DCM</v></cell><cell r="G1289" t="str"><v>https://azure.microsoft.com/en-us/free/search/?OCID=AID%eexcid!_OLA_%ebuy!_%epid!_%ecid!</v></cell></row><row r="1289"><cell r="K1289" t="str"><v>July</v></cell><cell r="L1289"><v>43295</v></cell><cell r="M1289" t="str"><v>Tier 0</v></cell><cell r="N1289" t="str"><v>North America</v></cell><cell r="O1289" t="str"><v>United States</v></cell><cell r="P1289" t="str"><v>Trial</v></cell><cell r="Q1289" t="str"><v>Social</v></cell><cell r="R1289" t="str"><v>Azure</v></cell><cell r="S1289" t="str"><v>Apps & Infra</v></cell><cell r="T1289" t="str"><v>Developers & ITI's</v></cell><cell r="U1289" t="str"><v>USA-Trial-ITD-Retargeting-AZR-AZR</v></cell><cell r="V1289" t="str"><v>Retargeting</v></cell><cell r="W1289" t="str"><v>Link Ad</v></cell><cell r="X1289" t="str"><v>1x1</v></cell></row><row r="1289"><cell r="AA1289"><v>43291</v></cell><cell r="AB1289" t="str"><v>USA_gaPMG_AZR_AZR_Q1_19_Direct-Social</v></cell><cell r="AC1289"><v>21358715</v></cell><cell r="AD1289"><v>720197</v></cell><cell r="AE1289" t="str"><v>Facebook</v></cell><cell r="AF1289"><v>3654128</v></cell><cell r="AG1289" t="str"><v>FACEBOOK»USA-Trial-ITD-Retargeting-AZR-AZR»1 x 1»SocialBan»LIA»ALL»CPA»RT»X»NA»SS»NA»FreeAcctRetargetingFB-Credit-ChA»PRC1RV</v></cell><cell r="AH1289"><v>224106075</v></cell><cell r="AI1289" t="str"><v>AzurePlatform_FreeAcctRetargetingFB-Credit-ChA_USA_1200x628_CAN_PLATFORM_English_Free Account_Standard_NA_SINU_T1_2</v></cell><cell r="AJ1289"><v>103034917</v></cell></row><row r="1290"><cell r="C1290" t="str"><v>43291FACEBOOK»USA-Trial-ITD-Retargeting-AZR-AZR»1 x 1»SocialBan»LIA»ALL»CPA»RT»X»NA»SS»NA»FreeAcctRetargetingFB-GlobalAlt-ChB»PRC1RW</v></cell><cell r="D1290" t="str"><v>43291223862756</v></cell><cell r="E1290" t="str"><v>43291103180592PRC1RW</v></cell><cell r="F1290" t="str"><v>DCM</v></cell><cell r="G1290" t="str"><v>https://azure.microsoft.com/en-us/free/search/?OCID=AID%eexcid!_OLA_%ebuy!_%epid!_%ecid!</v></cell></row><row r="1290"><cell r="K1290" t="str"><v>July</v></cell><cell r="L1290"><v>43295</v></cell><cell r="M1290" t="str"><v>Tier 0</v></cell><cell r="N1290" t="str"><v>North America</v></cell><cell r="O1290" t="str"><v>United States</v></cell><cell r="P1290" t="str"><v>Trial</v></cell><cell r="Q1290" t="str"><v>Social</v></cell><cell r="R1290" t="str"><v>Azure</v></cell><cell r="S1290" t="str"><v>Apps & Infra</v></cell><cell r="T1290" t="str"><v>Developers & ITI's</v></cell><cell r="U1290" t="str"><v>USA-Trial-ITD-Retargeting-AZR-AZR</v></cell><cell r="V1290" t="str"><v>Retargeting</v></cell><cell r="W1290" t="str"><v>Link Ad</v></cell><cell r="X1290" t="str"><v>1x1</v></cell></row><row r="1290"><cell r="AA1290"><v>43291</v></cell><cell r="AB1290" t="str"><v>USA_gaPMG_AZR_AZR_Q1_19_Direct-Social</v></cell><cell r="AC1290"><v>21358715</v></cell><cell r="AD1290"><v>720197</v></cell><cell r="AE1290" t="str"><v>Facebook</v></cell><cell r="AF1290"><v>3654128</v></cell><cell r="AG1290" t="str"><v>FACEBOOK»USA-Trial-ITD-Retargeting-AZR-AZR»1 x 1»SocialBan»LIA»ALL»CPA»RT»X»NA»SS»NA»FreeAcctRetargetingFB-GlobalAlt-ChB»PRC1RW</v></cell><cell r="AH1290"><v>223862756</v></cell><cell r="AI1290" t="str"><v>AzurePlatform_FreeAcctRetargetingFB-GlobalAlt-ChB_USA_1200x628_CAN_PLATFORM_English_Free Account_Standard_NA_SINU_T2_1</v></cell><cell r="AJ1290"><v>103180592</v></cell></row><row r="1291"><cell r="C1291" t="str"><v>43291FACEBOOK»USA-Trial-ITD-Retargeting-AZR-AZR»1 x 1»SocialBan»LIA»ALL»CPA»RT»X»NA»SS»NA»FreeAcctRetargetingVMFB-750Hrs-ChD»PRC1RY</v></cell><cell r="D1291" t="str"><v>43291223862747</v></cell><cell r="E1291" t="str"><v>43291103034911PRC1RY</v></cell><cell r="F1291" t="str"><v>DCM</v></cell><cell r="G1291" t="str"><v>https://azure.microsoft.com/en-us/free/virtual-machines/search/?OCID=AID%eexcid!_OLA_%ebuy!_%epid!_%ecid!</v></cell></row><row r="1291"><cell r="K1291" t="str"><v>July</v></cell><cell r="L1291"><v>43295</v></cell><cell r="M1291" t="str"><v>Tier 0</v></cell><cell r="N1291" t="str"><v>North America</v></cell><cell r="O1291" t="str"><v>United States</v></cell><cell r="P1291" t="str"><v>Trial</v></cell><cell r="Q1291" t="str"><v>Social</v></cell><cell r="R1291" t="str"><v>Azure</v></cell><cell r="S1291" t="str"><v>Apps & Infra</v></cell><cell r="T1291" t="str"><v>Developers & ITI's</v></cell><cell r="U1291" t="str"><v>USA-Trial-ITD-Retargeting-AZR-AZR</v></cell><cell r="V1291" t="str"><v>Retargeting</v></cell><cell r="W1291" t="str"><v>Link Ad</v></cell><cell r="X1291" t="str"><v>1x1</v></cell></row><row r="1291"><cell r="AA1291"><v>43291</v></cell><cell r="AB1291" t="str"><v>USA_gaPMG_AZR_AZR_Q1_19_Direct-Social</v></cell><cell r="AC1291"><v>21358715</v></cell><cell r="AD1291"><v>720197</v></cell><cell r="AE1291" t="str"><v>Facebook</v></cell><cell r="AF1291"><v>3654128</v></cell><cell r="AG1291" t="str"><v>FACEBOOK»USA-Trial-ITD-Retargeting-AZR-AZR»1 x 1»SocialBan»LIA»ALL»CPA»RT»X»NA»SS»NA»FreeAcctRetargetingVMFB-750Hrs-ChD»PRC1RY</v></cell><cell r="AH1291"><v>223862747</v></cell><cell r="AI1291" t="str"><v>AzurePlatform_FreeAcctRetargetingVMFB-750Hrs-ChD_USA_1200x628_CAN_PLATFORM_English_Free Account_Standard_NA_SINU_T1_1</v></cell><cell r="AJ1291"><v>103034911</v></cell></row><row r="1292"><cell r="C1292" t="str"><v>43291FACEBOOK»USA-Trial-ITD-Retargeting-AZR-AZR»1 x 1»SocialBan»LIA»ALL»CPA»RT»X»NA»SS»NA»FreeAcctRetargetingVMFB-OnDemand-ChE»PRC1S0</v></cell><cell r="D1292" t="str"><v>43291224104899</v></cell><cell r="E1292" t="str"><v>43291103180610PRC1S0</v></cell><cell r="F1292" t="str"><v>DCM</v></cell><cell r="G1292" t="str"><v>https://azure.microsoft.com/en-us/free/virtual-machines/search/?OCID=AID%eexcid!_OLA_%ebuy!_%epid!_%ecid!</v></cell></row><row r="1292"><cell r="K1292" t="str"><v>July</v></cell><cell r="L1292"><v>43295</v></cell><cell r="M1292" t="str"><v>Tier 0</v></cell><cell r="N1292" t="str"><v>North America</v></cell><cell r="O1292" t="str"><v>United States</v></cell><cell r="P1292" t="str"><v>Trial</v></cell><cell r="Q1292" t="str"><v>Social</v></cell><cell r="R1292" t="str"><v>Azure</v></cell><cell r="S1292" t="str"><v>Apps & Infra</v></cell><cell r="T1292" t="str"><v>Developers & ITI's</v></cell><cell r="U1292" t="str"><v>USA-Trial-ITD-Retargeting-AZR-AZR</v></cell><cell r="V1292" t="str"><v>Retargeting</v></cell><cell r="W1292" t="str"><v>Link Ad</v></cell><cell r="X1292" t="str"><v>1x1</v></cell></row><row r="1292"><cell r="AA1292"><v>43291</v></cell><cell r="AB1292" t="str"><v>USA_gaPMG_AZR_AZR_Q1_19_Direct-Social</v></cell><cell r="AC1292"><v>21358715</v></cell><cell r="AD1292"><v>720197</v></cell><cell r="AE1292" t="str"><v>Facebook</v></cell><cell r="AF1292"><v>3654128</v></cell><cell r="AG1292" t="str"><v>FACEBOOK»USA-Trial-ITD-Retargeting-AZR-AZR»1 x 1»SocialBan»LIA»ALL»CPA»RT»X»NA»SS»NA»FreeAcctRetargetingVMFB-OnDemand-ChE»PRC1S0</v></cell><cell r="AH1292"><v>224104899</v></cell><cell r="AI1292" t="str"><v>AzurePlatform_FreeAcctRetargetingVMFB-OnDemand-ChE_USA_1200x628_CAN_PLATFORM_English_Free Account_Standard_NA_SINU_T2_1</v></cell><cell r="AJ1292"><v>103180610</v></cell></row><row r="1293"><cell r="C1293" t="str"><v>43291FACEBOOK»USA-Trial-ITD-Retargeting-AZR-AZR»1 x 1»SocialBan»CAN»ALL»CPA»RT»X»NA»SS»NA»FBCTCBrandinMotion»PRC1RT</v></cell><cell r="D1293" t="str"><v>43291224106069</v></cell><cell r="E1293" t="str"><v>43291103176812PRC1RT</v></cell><cell r="F1293" t="str"><v>DCM</v></cell><cell r="G1293" t="str"><v>https://signup.azure.com/?OCID=AID%eexcid!_OLA_%ebuy!_%epid!_%ecid!</v></cell></row><row r="1293"><cell r="K1293" t="str"><v>July</v></cell><cell r="L1293"><v>43295</v></cell><cell r="M1293" t="str"><v>Tier 0</v></cell><cell r="N1293" t="str"><v>North America</v></cell><cell r="O1293" t="str"><v>United States</v></cell><cell r="P1293" t="str"><v>Trial</v></cell><cell r="Q1293" t="str"><v>Social</v></cell><cell r="R1293" t="str"><v>Azure</v></cell><cell r="S1293" t="str"><v>Apps & Infra</v></cell><cell r="T1293" t="str"><v>Developers & ITI's</v></cell><cell r="U1293" t="str"><v>USA-Trial-ITD-Retargeting-AZR-AZR</v></cell><cell r="V1293" t="str"><v>Retargeting</v></cell><cell r="W1293" t="str"><v>Canvas Ad</v></cell><cell r="X1293" t="str"><v>1x1</v></cell></row><row r="1293"><cell r="AA1293"><v>43291</v></cell><cell r="AB1293" t="str"><v>USA_gaPMG_AZR_AZR_Q1_19_Direct-Social</v></cell><cell r="AC1293"><v>21358715</v></cell><cell r="AD1293"><v>720197</v></cell><cell r="AE1293" t="str"><v>Facebook</v></cell><cell r="AF1293"><v>3654128</v></cell><cell r="AG1293" t="str"><v>FACEBOOK»USA-Trial-ITD-Retargeting-AZR-AZR»1 x 1»SocialBan»CAN»ALL»CPA»RT»X»NA»SS»NA»FBCTCBrandinMotion»PRC1RT</v></cell><cell r="AH1293"><v>224106069</v></cell><cell r="AI1293" t="str"><v>AzurePlatform_FBCTCBrandinMotion_USA_10s_CAN_PLATFORM_English_Trial_Standard_STAN_TIN_T2_1</v></cell><cell r="AJ1293"><v>103176812</v></cell></row><row r="1294"><cell r="C1294" t="str"><v>43291FACEBOOK»USA-Trial-ITD-Trial Lookalike-AZR-AZR»1 x 1»SocialBan»LIA»ALL»CPA»LAL»X»NA»SS»NA»FreeAcctDeveloperFB-AnimatedAI-Ch3»PRC1M7</v></cell><cell r="D1294" t="str"><v>43291223934104</v></cell><cell r="E1294" t="str"><v>43291103032778PRC1M7</v></cell><cell r="F1294" t="str"><v>DCM</v></cell></row><row r="1294"><cell r="K1294" t="str"><v>July</v></cell><cell r="L1294"><v>43295</v></cell><cell r="M1294" t="str"><v>Tier 0</v></cell><cell r="N1294" t="str"><v>North America</v></cell><cell r="O1294" t="str"><v>United States</v></cell><cell r="P1294" t="str"><v>Trial</v></cell><cell r="Q1294" t="str"><v>Social</v></cell><cell r="R1294" t="str"><v>Azure</v></cell><cell r="S1294" t="str"><v>Apps & Infra</v></cell><cell r="T1294" t="str"><v>Developers & ITI's</v></cell><cell r="U1294" t="str"><v>USA-Trial-ITD-Trial Lookalike-AZR-AZR</v></cell><cell r="V1294" t="str"><v>Lookalike Targeting</v></cell><cell r="W1294" t="str"><v>Link Ad</v></cell><cell r="X1294" t="str"><v>1x1</v></cell></row><row r="1294"><cell r="AA1294"><v>43291</v></cell><cell r="AB1294" t="str"><v>USA_gaPMG_AZR_AZR_Q1_19_Direct-Social</v></cell><cell r="AC1294"><v>21358715</v></cell><cell r="AD1294"><v>720197</v></cell><cell r="AE1294" t="str"><v>Facebook</v></cell><cell r="AF1294"><v>3654128</v></cell><cell r="AG1294" t="str"><v>FACEBOOK»USA-Trial-ITD-Trial Lookalike-AZR-AZR»1 x 1»SocialBan»LIA»ALL»CPA»LAL»X»NA»SS»NA»FreeAcctDeveloperFB-AnimatedAI-Ch3»PRC1M7</v></cell><cell r="AH1294"><v>223934104</v></cell><cell r="AI1294" t="str"><v>AZR_FreeAcctDeveloperFB-AnimatedAI-Ch3_USA_1200x1200_CAN_Direct_English_Trial_Standard_ANI_LEA_T3_1</v></cell><cell r="AJ1294"><v>103032778</v></cell></row><row r="1295"><cell r="C1295" t="str"><v>43291FACEBOOK»USA-Trial-ITD-Trial Lookalike-AZR-AZR»1 x 1»SocialBan»LIA»ALL»CPA»LAL»X»NA»SS»NA»FreeAcctDeveloperFB-AnimatedData-Ch4»PRC1M8</v></cell><cell r="D1295" t="str"><v>43291223862933</v></cell><cell r="E1295" t="str"><v>43291103037935PRC1M8</v></cell><cell r="F1295" t="str"><v>DCM</v></cell></row><row r="1295"><cell r="K1295" t="str"><v>July</v></cell><cell r="L1295"><v>43295</v></cell><cell r="M1295" t="str"><v>Tier 0</v></cell><cell r="N1295" t="str"><v>North America</v></cell><cell r="O1295" t="str"><v>United States</v></cell><cell r="P1295" t="str"><v>Trial</v></cell><cell r="Q1295" t="str"><v>Social</v></cell><cell r="R1295" t="str"><v>Azure</v></cell><cell r="S1295" t="str"><v>Apps & Infra</v></cell><cell r="T1295" t="str"><v>Developers & ITI's</v></cell><cell r="U1295" t="str"><v>USA-Trial-ITD-Trial Lookalike-AZR-AZR</v></cell><cell r="V1295" t="str"><v>Lookalike Targeting</v></cell><cell r="W1295" t="str"><v>Link Ad</v></cell><cell r="X1295" t="str"><v>1x1</v></cell></row><row r="1295"><cell r="AA1295"><v>43291</v></cell><cell r="AB1295" t="str"><v>USA_gaPMG_AZR_AZR_Q1_19_Direct-Social</v></cell><cell r="AC1295"><v>21358715</v></cell><cell r="AD1295"><v>720197</v></cell><cell r="AE1295" t="str"><v>Facebook</v></cell><cell r="AF1295"><v>3654128</v></cell><cell r="AG1295" t="str"><v>FACEBOOK»USA-Trial-ITD-Trial Lookalike-AZR-AZR»1 x 1»SocialBan»LIA»ALL»CPA»LAL»X»NA»SS»NA»FreeAcctDeveloperFB-AnimatedData-Ch4»PRC1M8</v></cell><cell r="AH1295"><v>223862933</v></cell><cell r="AI1295" t="str"><v>AZR_FreeAcctDeveloperFB-AnimatedData-Ch4_USA_1200x1200_CAN_Direct_English_Trial_Standard_ANI_LEA_T4_2</v></cell><cell r="AJ1295"><v>103037935</v></cell></row><row r="1296"><cell r="C1296" t="str"><v>43291FACEBOOK»USA-Trial-ITD-Trial Lookalike-AZR-AZR»1 x 1»SocialBan»LIA»ALL»CPA»LAL»X»NA»SS»NA»FreeAcctITProFB-AnimatedHybrid-Ch2»PRC1MC</v></cell><cell r="D1296" t="str"><v>43291224104956</v></cell><cell r="E1296" t="str"><v>43291103180583PRC1MC</v></cell><cell r="F1296" t="str"><v>DCM</v></cell></row><row r="1296"><cell r="K1296" t="str"><v>July</v></cell><cell r="L1296"><v>43295</v></cell><cell r="M1296" t="str"><v>Tier 0</v></cell><cell r="N1296" t="str"><v>North America</v></cell><cell r="O1296" t="str"><v>United States</v></cell><cell r="P1296" t="str"><v>Trial</v></cell><cell r="Q1296" t="str"><v>Social</v></cell><cell r="R1296" t="str"><v>Azure</v></cell><cell r="S1296" t="str"><v>Apps & Infra</v></cell><cell r="T1296" t="str"><v>Developers & ITI's</v></cell><cell r="U1296" t="str"><v>USA-Trial-ITD-Trial Lookalike-AZR-AZR</v></cell><cell r="V1296" t="str"><v>Lookalike Targeting</v></cell><cell r="W1296" t="str"><v>Link Ad</v></cell><cell r="X1296" t="str"><v>1x1</v></cell></row><row r="1296"><cell r="AA1296"><v>43291</v></cell><cell r="AB1296" t="str"><v>USA_gaPMG_AZR_AZR_Q1_19_Direct-Social</v></cell><cell r="AC1296"><v>21358715</v></cell><cell r="AD1296"><v>720197</v></cell><cell r="AE1296" t="str"><v>Facebook</v></cell><cell r="AF1296"><v>3654128</v></cell><cell r="AG1296" t="str"><v>FACEBOOK»USA-Trial-ITD-Trial Lookalike-AZR-AZR»1 x 1»SocialBan»LIA»ALL»CPA»LAL»X»NA»SS»NA»FreeAcctITProFB-AnimatedHybrid-Ch2»PRC1MC</v></cell><cell r="AH1296"><v>224104956</v></cell><cell r="AI1296" t="str"><v>AZR_FreeAcctITProFB-AnimatedHybrid-Ch2_USA_1200x1200_CAN_Direct_English_Trial_Standard_ANI_LEA_T2_2</v></cell><cell r="AJ1296"><v>103180583</v></cell></row><row r="1297"><cell r="C1297" t="str"><v>43291FACEBOOK»USA-Trial-ITD-Trial Lookalike-AZR-AZR»1 x 1»SocialBan»CAN»ALL»CPA»LAL»X»NA»SS»NA»FBCTCBrandinMotion»PRC1M3</v></cell><cell r="D1297" t="str"><v>43291223862900</v></cell><cell r="E1297" t="str"><v>43291103176812PRC1M3</v></cell><cell r="F1297" t="str"><v>DCM</v></cell><cell r="G1297" t="str"><v>https://signup.azure.com/?OCID=AID%eexcid!_OLA_%ebuy!_%epid!_%ecid!</v></cell></row><row r="1297"><cell r="K1297" t="str"><v>July</v></cell><cell r="L1297"><v>43295</v></cell><cell r="M1297" t="str"><v>Tier 0</v></cell><cell r="N1297" t="str"><v>North America</v></cell><cell r="O1297" t="str"><v>United States</v></cell><cell r="P1297" t="str"><v>Trial</v></cell><cell r="Q1297" t="str"><v>Social</v></cell><cell r="R1297" t="str"><v>Azure</v></cell><cell r="S1297" t="str"><v>Apps & Infra</v></cell><cell r="T1297" t="str"><v>Developers & ITI's</v></cell><cell r="U1297" t="str"><v>USA-Trial-ITD-Trial Lookalike-AZR-AZR</v></cell><cell r="V1297" t="str"><v>Lookalike Targeting</v></cell><cell r="W1297" t="str"><v>Canvas Ad</v></cell><cell r="X1297" t="str"><v>1x1</v></cell></row><row r="1297"><cell r="AA1297"><v>43291</v></cell><cell r="AB1297" t="str"><v>USA_gaPMG_AZR_AZR_Q1_19_Direct-Social</v></cell><cell r="AC1297"><v>21358715</v></cell><cell r="AD1297"><v>720197</v></cell><cell r="AE1297" t="str"><v>Facebook</v></cell><cell r="AF1297"><v>3654128</v></cell><cell r="AG1297" t="str"><v>FACEBOOK»USA-Trial-ITD-Trial Lookalike-AZR-AZR»1 x 1»SocialBan»CAN»ALL»CPA»LAL»X»NA»SS»NA»FBCTCBrandinMotion»PRC1M3</v></cell><cell r="AH1297"><v>223862900</v></cell><cell r="AI1297" t="str"><v>AzurePlatform_FBCTCBrandinMotion_USA_10s_CAN_PLATFORM_English_Trial_Standard_STAN_TIN_T2_1</v></cell><cell r="AJ1297"><v>103176812</v></cell></row><row r="1298"><cell r="C1298" t="str"><v>43291FACEBOOK»USA-Trial-ITD-Trial Lookalike-AZR-AZR»1 x 1»SocialBan»CAN»ALL»CPA»LAL»X»NA»SS»NA»FBCTCBrandinMotion»PRC1M3</v></cell><cell r="D1298" t="str"><v>43291223862900</v></cell><cell r="E1298" t="str"><v>43291103032823PRC1M3</v></cell><cell r="F1298" t="str"><v>DCM</v></cell><cell r="G1298" t="str"><v>https://azure.microsoft.com/en-us/pricing/purchase-options/?v=18.19&OCID=AID%eexcid!_OLA_%ebuy!_%epid!_%ecid!</v></cell></row><row r="1298"><cell r="K1298" t="str"><v>July</v></cell><cell r="L1298"><v>43295</v></cell><cell r="M1298" t="str"><v>Tier 0</v></cell><cell r="N1298" t="str"><v>North America</v></cell><cell r="O1298" t="str"><v>United States</v></cell><cell r="P1298" t="str"><v>Trial</v></cell><cell r="Q1298" t="str"><v>Social</v></cell><cell r="R1298" t="str"><v>Azure</v></cell><cell r="S1298" t="str"><v>Apps & Infra</v></cell><cell r="T1298" t="str"><v>Developers & ITI's</v></cell><cell r="U1298" t="str"><v>USA-Trial-ITD-Trial Lookalike-AZR-AZR</v></cell><cell r="V1298" t="str"><v>Lookalike Targeting</v></cell><cell r="W1298" t="str"><v>Canvas Ad</v></cell><cell r="X1298" t="str"><v>1x1</v></cell></row><row r="1298"><cell r="AA1298"><v>43291</v></cell><cell r="AB1298" t="str"><v>USA_gaPMG_AZR_AZR_Q1_19_Direct-Social</v></cell><cell r="AC1298"><v>21358715</v></cell><cell r="AD1298"><v>720197</v></cell><cell r="AE1298" t="str"><v>Facebook</v></cell><cell r="AF1298"><v>3654128</v></cell><cell r="AG1298" t="str"><v>FACEBOOK»USA-Trial-ITD-Trial Lookalike-AZR-AZR»1 x 1»SocialBan»CAN»ALL»CPA»LAL»X»NA»SS»NA»FBCTCBrandinMotion»PRC1M3</v></cell><cell r="AH1298"><v>223862900</v></cell><cell r="AI1298" t="str"><v>AzurePlatform_FBCTCBrandinMotion_USA_10s_CAN_PLATFORM_English_Trial_Standard_STAN_TIN_T2_2</v></cell><cell r="AJ1298"><v>103032823</v></cell></row><row r="1299"><cell r="C1299" t="str"><v>43291FACEBOOK»USA-Trial-ITD-Trial PayGo Lookalike-AZR-AZR»1 x 1»SocialBan»CAN»ALL»CPA»LAL»X»NA»SS»NA»FBCTCBenefit2inMotion»PRC1Q1</v></cell><cell r="D1299" t="str"><v>43291224104986</v></cell><cell r="E1299" t="str"><v>43291103043835PRC1Q1</v></cell><cell r="F1299" t="str"><v>DCM</v></cell><cell r="G1299" t="str"><v>https://signup.azure.com/?OCID=AID%eexcid!_OLA_%ebuy!_%epid!_%ecid!</v></cell></row><row r="1299"><cell r="K1299" t="str"><v>July</v></cell><cell r="L1299"><v>43295</v></cell><cell r="M1299" t="str"><v>Tier 0</v></cell><cell r="N1299" t="str"><v>North America</v></cell><cell r="O1299" t="str"><v>United States</v></cell><cell r="P1299" t="str"><v>Trial</v></cell><cell r="Q1299" t="str"><v>Social</v></cell><cell r="R1299" t="str"><v>Azure</v></cell><cell r="S1299" t="str"><v>Apps & Infra</v></cell><cell r="T1299" t="str"><v>Developers & ITI's</v></cell><cell r="U1299" t="str"><v>USA-Trial-ITD-Trial PayGo Lookalike-AZR-AZR</v></cell><cell r="V1299" t="str"><v>Lookalike Targeting</v></cell><cell r="W1299" t="str"><v>Canvas Ad</v></cell><cell r="X1299" t="str"><v>1x1</v></cell></row><row r="1299"><cell r="AA1299"><v>43291</v></cell><cell r="AB1299" t="str"><v>USA_gaPMG_AZR_AZR_Q1_19_Direct-Social</v></cell><cell r="AC1299"><v>21358715</v></cell><cell r="AD1299"><v>720197</v></cell><cell r="AE1299" t="str"><v>Facebook</v></cell><cell r="AF1299"><v>3654128</v></cell><cell r="AG1299" t="str"><v>FACEBOOK»USA-Trial-ITD-Trial PayGo Lookalike-AZR-AZR»1 x 1»SocialBan»CAN»ALL»CPA»LAL»X»NA»SS»NA»FBCTCBenefit2inMotion»PRC1Q1</v></cell><cell r="AH1299"><v>224104986</v></cell><cell r="AI1299" t="str"><v>AzurePlatform_FBCTCBenefit2inMotion_USA_10s_CAN_PLATFORM_English_Trial_Standard_STAN_TIN_T4_1</v></cell><cell r="AJ1299"><v>103043835</v></cell></row><row r="1300"><cell r="C1300" t="str"><v>43291FACEBOOK»USA-Trial-ITD-Trial PayGo Lookalike-AZR-AZR»1 x 1»SocialBan»CAN»ALL»CPA»LAL»X»NA»SS»NA»FBCTCBrandinMotion»PRC1Q3</v></cell><cell r="D1300" t="str"><v>43291223935349</v></cell><cell r="E1300" t="str"><v>43291103176812PRC1Q3</v></cell><cell r="F1300" t="str"><v>DCM</v></cell><cell r="G1300" t="str"><v>https://signup.azure.com/?OCID=AID%eexcid!_OLA_%ebuy!_%epid!_%ecid!</v></cell></row><row r="1300"><cell r="K1300" t="str"><v>July</v></cell><cell r="L1300"><v>43295</v></cell><cell r="M1300" t="str"><v>Tier 0</v></cell><cell r="N1300" t="str"><v>North America</v></cell><cell r="O1300" t="str"><v>United States</v></cell><cell r="P1300" t="str"><v>Trial</v></cell><cell r="Q1300" t="str"><v>Social</v></cell><cell r="R1300" t="str"><v>Azure</v></cell><cell r="S1300" t="str"><v>Apps & Infra</v></cell><cell r="T1300" t="str"><v>Developers & ITI's</v></cell><cell r="U1300" t="str"><v>USA-Trial-ITD-Trial PayGo Lookalike-AZR-AZR</v></cell><cell r="V1300" t="str"><v>Lookalike Targeting</v></cell><cell r="W1300" t="str"><v>Canvas Ad</v></cell><cell r="X1300" t="str"><v>1x1</v></cell></row><row r="1300"><cell r="AA1300"><v>43291</v></cell><cell r="AB1300" t="str"><v>USA_gaPMG_AZR_AZR_Q1_19_Direct-Social</v></cell><cell r="AC1300"><v>21358715</v></cell><cell r="AD1300"><v>720197</v></cell><cell r="AE1300" t="str"><v>Facebook</v></cell><cell r="AF1300"><v>3654128</v></cell><cell r="AG1300" t="str"><v>FACEBOOK»USA-Trial-ITD-Trial PayGo Lookalike-AZR-AZR»1 x 1»SocialBan»CAN»ALL»CPA»LAL»X»NA»SS»NA»FBCTCBrandinMotion»PRC1Q3</v></cell><cell r="AH1300"><v>223935349</v></cell><cell r="AI1300" t="str"><v>AzurePlatform_FBCTCBrandinMotion_USA_10s_CAN_PLATFORM_English_Trial_Standard_STAN_TIN_T2_1</v></cell><cell r="AJ1300"><v>103176812</v></cell></row><row r="1301"><cell r="C1301" t="str"><v>43291FACEBOOK»USA-Trial-ITD-Trial PayGo Lookalike-AZR-AZR»1 x 1»SocialBan»CAN»ALL»CPA»LAL»X»NA»SS»NA»FBCTCBrandinMotion»PRC1Q3</v></cell><cell r="D1301" t="str"><v>43291223935349</v></cell><cell r="E1301" t="str"><v>43291103032823PRC1Q3</v></cell><cell r="F1301" t="str"><v>DCM</v></cell><cell r="G1301" t="str"><v>https://azure.microsoft.com/en-us/pricing/purchase-options/?v=18.19&OCID=AID%eexcid!_OLA_%ebuy!_%epid!_%ecid!</v></cell></row><row r="1301"><cell r="K1301" t="str"><v>July</v></cell><cell r="L1301"><v>43295</v></cell><cell r="M1301" t="str"><v>Tier 0</v></cell><cell r="N1301" t="str"><v>North America</v></cell><cell r="O1301" t="str"><v>United States</v></cell><cell r="P1301" t="str"><v>Trial</v></cell><cell r="Q1301" t="str"><v>Social</v></cell><cell r="R1301" t="str"><v>Azure</v></cell><cell r="S1301" t="str"><v>Apps & Infra</v></cell><cell r="T1301" t="str"><v>Developers & ITI's</v></cell><cell r="U1301" t="str"><v>USA-Trial-ITD-Trial PayGo Lookalike-AZR-AZR</v></cell><cell r="V1301" t="str"><v>Lookalike Targeting</v></cell><cell r="W1301" t="str"><v>Canvas Ad</v></cell><cell r="X1301" t="str"><v>1x1</v></cell></row><row r="1301"><cell r="AA1301"><v>43291</v></cell><cell r="AB1301" t="str"><v>USA_gaPMG_AZR_AZR_Q1_19_Direct-Social</v></cell><cell r="AC1301"><v>21358715</v></cell><cell r="AD1301"><v>720197</v></cell><cell r="AE1301" t="str"><v>Facebook</v></cell><cell r="AF1301"><v>3654128</v></cell><cell r="AG1301" t="str"><v>FACEBOOK»USA-Trial-ITD-Trial PayGo Lookalike-AZR-AZR»1 x 1»SocialBan»CAN»ALL»CPA»LAL»X»NA»SS»NA»FBCTCBrandinMotion»PRC1Q3</v></cell><cell r="AH1301"><v>223935349</v></cell><cell r="AI1301" t="str"><v>AzurePlatform_FBCTCBrandinMotion_USA_10s_CAN_PLATFORM_English_Trial_Standard_STAN_TIN_T2_2</v></cell><cell r="AJ1301"><v>103032823</v></cell></row><row r="1302"><cell r="C1302" t="str"><v>43291FACEBOOK»USA-Trial-ITD-Trial PayGo Lookalike-AZR-AZR»1 x 1»SocialBan»CAN»ALL»CPA»LAL»X»NA»SS»NA»FBCTCBenefitinMotion»PRC1Q2</v></cell><cell r="D1302" t="str"><v>43291223862960</v></cell><cell r="E1302" t="str"><v>43291103176836PRC1Q2</v></cell><cell r="F1302" t="str"><v>DCM</v></cell><cell r="G1302" t="str"><v>https://azure.microsoft.com/en-us/pricing/purchase-options/?v=18.19&OCID=AID%eexcid!_OLA_%ebuy!_%epid!_%ecid!</v></cell></row><row r="1302"><cell r="K1302" t="str"><v>July</v></cell><cell r="L1302"><v>43295</v></cell><cell r="M1302" t="str"><v>Tier 0</v></cell><cell r="N1302" t="str"><v>North America</v></cell><cell r="O1302" t="str"><v>United States</v></cell><cell r="P1302" t="str"><v>Trial</v></cell><cell r="Q1302" t="str"><v>Social</v></cell><cell r="R1302" t="str"><v>Azure</v></cell><cell r="S1302" t="str"><v>Apps & Infra</v></cell><cell r="T1302" t="str"><v>Developers & ITI's</v></cell><cell r="U1302" t="str"><v>USA-Trial-ITD-Trial PayGo Lookalike-AZR-AZR</v></cell><cell r="V1302" t="str"><v>Lookalike Targeting</v></cell><cell r="W1302" t="str"><v>Canvas Ad</v></cell><cell r="X1302" t="str"><v>1x1</v></cell></row><row r="1302"><cell r="AA1302"><v>43291</v></cell><cell r="AB1302" t="str"><v>USA_gaPMG_AZR_AZR_Q1_19_Direct-Social</v></cell><cell r="AC1302"><v>21358715</v></cell><cell r="AD1302"><v>720197</v></cell><cell r="AE1302" t="str"><v>Facebook</v></cell><cell r="AF1302"><v>3654128</v></cell><cell r="AG1302" t="str"><v>FACEBOOK»USA-Trial-ITD-Trial PayGo Lookalike-AZR-AZR»1 x 1»SocialBan»CAN»ALL»CPA»LAL»X»NA»SS»NA»FBCTCBenefitinMotion»PRC1Q2</v></cell><cell r="AH1302"><v>223862960</v></cell><cell r="AI1302" t="str"><v>AzurePlatform_FBCTCBenefitinMotion_USA_10s_CAN_PLATFORM_English_Trial_Standard_STAN_TIN_T3_2</v></cell><cell r="AJ1302"><v>103176836</v></cell></row><row r="1303"><cell r="C1303" t="str"><v>43291FACEBOOK»USA-Trial-ITD-Trial PayGo Lookalike-AZR-AZR»1 x 1»SocialBan»LIA»ALL»CPA»LAL»X»NA»SS»NA»FreeAcctDeveloperFB-AnimatedGeneric-Ch1»PRC1Q6</v></cell><cell r="D1303" t="str"><v>43291224106129</v></cell><cell r="E1303" t="str"><v>43291103176851PRC1Q6</v></cell><cell r="F1303" t="str"><v>DCM</v></cell><cell r="G1303" t="str"><v>https://azure.microsoft.com/en-us/free/search/?OCID=AID%eexcid!_OLA_%ebuy!_%epid!_%ecid!</v></cell></row><row r="1303"><cell r="K1303" t="str"><v>July</v></cell><cell r="L1303"><v>43295</v></cell><cell r="M1303" t="str"><v>Tier 0</v></cell><cell r="N1303" t="str"><v>North America</v></cell><cell r="O1303" t="str"><v>United States</v></cell><cell r="P1303" t="str"><v>Trial</v></cell><cell r="Q1303" t="str"><v>Social</v></cell><cell r="R1303" t="str"><v>Azure</v></cell><cell r="S1303" t="str"><v>Apps & Infra</v></cell><cell r="T1303" t="str"><v>Developers & ITI's</v></cell><cell r="U1303" t="str"><v>USA-Trial-ITD-Trial PayGo Lookalike-AZR-AZR</v></cell><cell r="V1303" t="str"><v>Lookalike Targeting</v></cell><cell r="W1303" t="str"><v>Link Ad</v></cell><cell r="X1303" t="str"><v>1x1</v></cell></row><row r="1303"><cell r="AA1303"><v>43291</v></cell><cell r="AB1303" t="str"><v>USA_gaPMG_AZR_AZR_Q1_19_Direct-Social</v></cell><cell r="AC1303"><v>21358715</v></cell><cell r="AD1303"><v>720197</v></cell><cell r="AE1303" t="str"><v>Facebook</v></cell><cell r="AF1303"><v>3654128</v></cell><cell r="AG1303" t="str"><v>FACEBOOK»USA-Trial-ITD-Trial PayGo Lookalike-AZR-AZR»1 x 1»SocialBan»LIA»ALL»CPA»LAL»X»NA»SS»NA»FreeAcctDeveloperFB-AnimatedGeneric-Ch1»PRC1Q6</v></cell><cell r="AH1303"><v>224106129</v></cell><cell r="AI1303" t="str"><v>AZR_FreeAcctDeveloperFB-AnimatedGeneric-Ch1_USA_1200x1200_CAN_Direct_English_Trial_Standard_ANI_LEA_T1_2</v></cell><cell r="AJ1303"><v>103176851</v></cell></row><row r="1304"><cell r="C1304" t="str"><v>43291FACEBOOK»USA-Trial-ITD-Interest Prospecting-AZR-AZR»1 x 1»SocialBan»LIA»ALL»CPA»PRO»X»NA»SS»NA»FreeAcctDeveloperFB-AnimatedAI-Ch3»PRC1T2</v></cell><cell r="D1304" t="str"><v>43291223862765</v></cell><cell r="E1304" t="str"><v>43291103032778PRC1T2</v></cell><cell r="F1304" t="str"><v>DCM</v></cell></row><row r="1304"><cell r="K1304" t="str"><v>July</v></cell><cell r="L1304"><v>43295</v></cell><cell r="M1304" t="str"><v>Tier 0</v></cell><cell r="N1304" t="str"><v>North America</v></cell><cell r="O1304" t="str"><v>United States</v></cell><cell r="P1304" t="str"><v>Trial</v></cell><cell r="Q1304" t="str"><v>Social</v></cell><cell r="R1304" t="str"><v>Azure</v></cell><cell r="S1304" t="str"><v>Apps & Infra</v></cell><cell r="T1304" t="str"><v>Developers & ITI's</v></cell><cell r="U1304" t="str"><v>USA-Trial-ITD-Interest Prospecting-AZR-AZR</v></cell><cell r="V1304" t="str"><v>Prospecting</v></cell><cell r="W1304" t="str"><v>Link Ad</v></cell><cell r="X1304" t="str"><v>1x1</v></cell></row><row r="1304"><cell r="AA1304"><v>43291</v></cell><cell r="AB1304" t="str"><v>USA_gaPMG_AZR_AZR_Q1_19_Direct-Social</v></cell><cell r="AC1304"><v>21358715</v></cell><cell r="AD1304"><v>720197</v></cell><cell r="AE1304" t="str"><v>Facebook</v></cell><cell r="AF1304"><v>3654128</v></cell><cell r="AG1304" t="str"><v>FACEBOOK»USA-Trial-ITD-Interest Prospecting-AZR-AZR»1 x 1»SocialBan»LIA»ALL»CPA»PRO»X»NA»SS»NA»FreeAcctDeveloperFB-AnimatedAI-Ch3»PRC1T2</v></cell><cell r="AH1304"><v>223862765</v></cell><cell r="AI1304" t="str"><v>AZR_FreeAcctDeveloperFB-AnimatedAI-Ch3_USA_1200x1200_CAN_Direct_English_Trial_Standard_ANI_LEA_T3_1</v></cell><cell r="AJ1304"><v>103032778</v></cell></row><row r="1305"><cell r="C1305" t="str"><v>43291FACEBOOK»USA-Trial-ITD-Interest Prospecting-AZR-AZR»1 x 1»SocialBan»LIA»ALL»CPA»PRO»X»NA»SS»NA»FreeAcctDeveloperFB-AnimatedData-Ch4»PRC1T3</v></cell><cell r="D1305" t="str"><v>43291223863380</v></cell><cell r="E1305" t="str"><v>43291103037935PRC1T3</v></cell><cell r="F1305" t="str"><v>DCM</v></cell></row><row r="1305"><cell r="K1305" t="str"><v>July</v></cell><cell r="L1305"><v>43295</v></cell><cell r="M1305" t="str"><v>Tier 0</v></cell><cell r="N1305" t="str"><v>North America</v></cell><cell r="O1305" t="str"><v>United States</v></cell><cell r="P1305" t="str"><v>Trial</v></cell><cell r="Q1305" t="str"><v>Social</v></cell><cell r="R1305" t="str"><v>Azure</v></cell><cell r="S1305" t="str"><v>Apps & Infra</v></cell><cell r="T1305" t="str"><v>Developers & ITI's</v></cell><cell r="U1305" t="str"><v>USA-Trial-ITD-Interest Prospecting-AZR-AZR</v></cell><cell r="V1305" t="str"><v>Prospecting</v></cell><cell r="W1305" t="str"><v>Link Ad</v></cell><cell r="X1305" t="str"><v>1x1</v></cell></row><row r="1305"><cell r="AA1305"><v>43291</v></cell><cell r="AB1305" t="str"><v>USA_gaPMG_AZR_AZR_Q1_19_Direct-Social</v></cell><cell r="AC1305"><v>21358715</v></cell><cell r="AD1305"><v>720197</v></cell><cell r="AE1305" t="str"><v>Facebook</v></cell><cell r="AF1305"><v>3654128</v></cell><cell r="AG1305" t="str"><v>FACEBOOK»USA-Trial-ITD-Interest Prospecting-AZR-AZR»1 x 1»SocialBan»LIA»ALL»CPA»PRO»X»NA»SS»NA»FreeAcctDeveloperFB-AnimatedData-Ch4»PRC1T3</v></cell><cell r="AH1305"><v>223863380</v></cell><cell r="AI1305" t="str"><v>AZR_FreeAcctDeveloperFB-AnimatedData-Ch4_USA_1200x1200_CAN_Direct_English_Trial_Standard_ANI_LEA_T4_2</v></cell><cell r="AJ1305"><v>103037935</v></cell></row><row r="1306"><cell r="C1306" t="str"><v>43291FACEBOOK»USA-Trial-ITD-Interest Prospecting-AZR-AZR»1 x 1»SocialBan»LIA»ALL»CPA»PRO»X»NA»SS»NA»FreeAcctDeveloperFB-AnimatedOpenSource-Ch2»PRC1T1</v></cell><cell r="D1306" t="str"><v>43291223862885</v></cell><cell r="E1306" t="str"><v>43291103048329PRC1T1</v></cell><cell r="F1306" t="str"><v>DCM</v></cell><cell r="G1306" t="str"><v>https://azure.microsoft.com/en-us/free/open-source/search/?OCID=AID%eexcid!_OLA_%ebuy!_%epid!_%ecid!</v></cell></row><row r="1306"><cell r="K1306" t="str"><v>July</v></cell><cell r="L1306"><v>43295</v></cell><cell r="M1306" t="str"><v>Tier 0</v></cell><cell r="N1306" t="str"><v>North America</v></cell><cell r="O1306" t="str"><v>United States</v></cell><cell r="P1306" t="str"><v>Trial</v></cell><cell r="Q1306" t="str"><v>Social</v></cell><cell r="R1306" t="str"><v>Azure</v></cell><cell r="S1306" t="str"><v>Apps & Infra</v></cell><cell r="T1306" t="str"><v>Developers & ITI's</v></cell><cell r="U1306" t="str"><v>USA-Trial-ITD-Interest Prospecting-AZR-AZR</v></cell><cell r="V1306" t="str"><v>Prospecting</v></cell><cell r="W1306" t="str"><v>Link Ad</v></cell><cell r="X1306" t="str"><v>1x1</v></cell></row><row r="1306"><cell r="AA1306"><v>43291</v></cell><cell r="AB1306" t="str"><v>USA_gaPMG_AZR_AZR_Q1_19_Direct-Social</v></cell><cell r="AC1306"><v>21358715</v></cell><cell r="AD1306"><v>720197</v></cell><cell r="AE1306" t="str"><v>Facebook</v></cell><cell r="AF1306"><v>3654128</v></cell><cell r="AG1306" t="str"><v>FACEBOOK»USA-Trial-ITD-Interest Prospecting-AZR-AZR»1 x 1»SocialBan»LIA»ALL»CPA»PRO»X»NA»SS»NA»FreeAcctDeveloperFB-AnimatedOpenSource-Ch2»PRC1T1</v></cell><cell r="AH1306"><v>223862885</v></cell><cell r="AI1306" t="str"><v>AZR_FreeAcctDeveloperFB-AnimatedOpenSource-Ch2_USA_1200x1200_CAN_Direct_English_Trial_Standard_ANI_LEA_T2_1</v></cell><cell r="AJ1306"><v>103048329</v></cell></row><row r="1307"><cell r="C1307" t="str"><v>43291FACEBOOK»USA-Trial-ITD-Interest Prospecting-AZR-AZR»1 x 1»SocialBan»LIA»ALL»CPA»PRO»X»NA»SS»NA»FreeAcctITProFB-AnimatedMigration-Ch3»PRC1X2</v></cell><cell r="D1307" t="str"><v>43291224106954</v></cell><cell r="E1307" t="str"><v>43291103176827PRC1X2</v></cell><cell r="F1307" t="str"><v>DCM</v></cell></row><row r="1307"><cell r="K1307" t="str"><v>July</v></cell><cell r="L1307"><v>43295</v></cell><cell r="M1307" t="str"><v>Tier 0</v></cell><cell r="N1307" t="str"><v>North America</v></cell><cell r="O1307" t="str"><v>United States</v></cell><cell r="P1307" t="str"><v>Trial</v></cell><cell r="Q1307" t="str"><v>Social</v></cell><cell r="R1307" t="str"><v>Azure</v></cell><cell r="S1307" t="str"><v>Apps & Infra</v></cell><cell r="T1307" t="str"><v>Developers & ITI's</v></cell><cell r="U1307" t="str"><v>USA-Trial-ITD-Interest Prospecting-AZR-AZR</v></cell><cell r="V1307" t="str"><v>Prospecting</v></cell><cell r="W1307" t="str"><v>Link Ad</v></cell><cell r="X1307" t="str"><v>1x1</v></cell></row><row r="1307"><cell r="AA1307"><v>43291</v></cell><cell r="AB1307" t="str"><v>USA_gaPMG_AZR_AZR_Q1_19_Direct-Social</v></cell><cell r="AC1307"><v>21358715</v></cell><cell r="AD1307"><v>720197</v></cell><cell r="AE1307" t="str"><v>Facebook</v></cell><cell r="AF1307"><v>3654128</v></cell><cell r="AG1307" t="str"><v>FACEBOOK»USA-Trial-ITD-Interest Prospecting-AZR-AZR»1 x 1»SocialBan»LIA»ALL»CPA»PRO»X»NA»SS»NA»FreeAcctITProFB-AnimatedMigration-Ch3»PRC1X2</v></cell><cell r="AH1307"><v>224106954</v></cell><cell r="AI1307" t="str"><v>AZR_FreeAcctITProFB-AnimatedMigration-Ch3_USA_1200x1200_CAN_Direct_English_Trial_Standard_ANI_LEA_T3_1</v></cell><cell r="AJ1307"><v>103176827</v></cell></row><row r="1308"><cell r="C1308" t="str"><v>43291FACEBOOK»USA-Trial-ITD-Lead Completes-AZR-AZR»1 x 1»SocialBan»CAN»ALL»CPA»PRO»X»NA»SS»NA»FBCTCBrandinMotion»PRC1VX</v></cell><cell r="D1308" t="str"><v>43291223861547</v></cell><cell r="E1308" t="str"><v>43291103176812PRC1VX</v></cell><cell r="F1308" t="str"><v>DCM</v></cell><cell r="G1308" t="str"><v>https://signup.azure.com/?OCID=AID%eexcid!_OLA_%ebuy!_%epid!_%ecid!</v></cell></row><row r="1308"><cell r="K1308" t="str"><v>July</v></cell><cell r="L1308"><v>43295</v></cell><cell r="M1308" t="str"><v>Tier 0</v></cell><cell r="N1308" t="str"><v>North America</v></cell><cell r="O1308" t="str"><v>United States</v></cell><cell r="P1308" t="str"><v>Trial</v></cell><cell r="Q1308" t="str"><v>Social</v></cell><cell r="R1308" t="str"><v>Azure</v></cell><cell r="S1308" t="str"><v>Apps & Infra</v></cell><cell r="T1308" t="str"><v>Developers & ITI's</v></cell><cell r="U1308" t="str"><v>USA-Trial-ITD-Lead Completes-AZR-AZR</v></cell><cell r="V1308" t="str"><v>Prospecting</v></cell><cell r="W1308" t="str"><v>Canvas Ad</v></cell><cell r="X1308" t="str"><v>1x1</v></cell></row><row r="1308"><cell r="AA1308"><v>43291</v></cell><cell r="AB1308" t="str"><v>USA_gaPMG_AZR_AZR_Q1_19_Direct-Social</v></cell><cell r="AC1308"><v>21358715</v></cell><cell r="AD1308"><v>720197</v></cell><cell r="AE1308" t="str"><v>Facebook</v></cell><cell r="AF1308"><v>3654128</v></cell><cell r="AG1308" t="str"><v>FACEBOOK»USA-Trial-ITD-Lead Completes-AZR-AZR»1 x 1»SocialBan»CAN»ALL»CPA»PRO»X»NA»SS»NA»FBCTCBrandinMotion»PRC1VX</v></cell><cell r="AH1308"><v>223861547</v></cell><cell r="AI1308" t="str"><v>AzurePlatform_FBCTCBrandinMotion_USA_10s_CAN_PLATFORM_English_Trial_Standard_STAN_TIN_T2_1</v></cell><cell r="AJ1308"><v>103176812</v></cell></row><row r="1309"><cell r="C1309" t="str"><v>43291FACEBOOK»USA-Trial-ITD-Lead Completes-AZR-AZR»1 x 1»SocialBan»CAN»ALL»CPA»PRO»X»NA»SS»NA»FBCTCBrandinMotion»PRC1VX</v></cell><cell r="D1309" t="str"><v>43291223861547</v></cell><cell r="E1309" t="str"><v>43291103032823PRC1VX</v></cell><cell r="F1309" t="str"><v>DCM</v></cell><cell r="G1309" t="str"><v>https://azure.microsoft.com/en-us/pricing/purchase-options/?v=18.19&OCID=AID%eexcid!_OLA_%ebuy!_%epid!_%ecid!</v></cell></row><row r="1309"><cell r="K1309" t="str"><v>July</v></cell><cell r="L1309"><v>43295</v></cell><cell r="M1309" t="str"><v>Tier 0</v></cell><cell r="N1309" t="str"><v>North America</v></cell><cell r="O1309" t="str"><v>United States</v></cell><cell r="P1309" t="str"><v>Trial</v></cell><cell r="Q1309" t="str"><v>Social</v></cell><cell r="R1309" t="str"><v>Azure</v></cell><cell r="S1309" t="str"><v>Apps & Infra</v></cell><cell r="T1309" t="str"><v>Developers & ITI's</v></cell><cell r="U1309" t="str"><v>USA-Trial-ITD-Lead Completes-AZR-AZR</v></cell><cell r="V1309" t="str"><v>Prospecting</v></cell><cell r="W1309" t="str"><v>Canvas Ad</v></cell><cell r="X1309" t="str"><v>1x1</v></cell></row><row r="1309"><cell r="AA1309"><v>43291</v></cell><cell r="AB1309" t="str"><v>USA_gaPMG_AZR_AZR_Q1_19_Direct-Social</v></cell><cell r="AC1309"><v>21358715</v></cell><cell r="AD1309"><v>720197</v></cell><cell r="AE1309" t="str"><v>Facebook</v></cell><cell r="AF1309"><v>3654128</v></cell><cell r="AG1309" t="str"><v>FACEBOOK»USA-Trial-ITD-Lead Completes-AZR-AZR»1 x 1»SocialBan»CAN»ALL»CPA»PRO»X»NA»SS»NA»FBCTCBrandinMotion»PRC1VX</v></cell><cell r="AH1309"><v>223861547</v></cell><cell r="AI1309" t="str"><v>AzurePlatform_FBCTCBrandinMotion_USA_10s_CAN_PLATFORM_English_Trial_Standard_STAN_TIN_T2_2</v></cell><cell r="AJ1309"><v>103032823</v></cell></row><row r="1310"><cell r="C1310" t="str"><v>43291FACEBOOK»USA-Trial-ITD-Lead Completes-AZR-AZR»1 x 1»SocialBan»LIA»ALL»CPA»PRO»X»NA»SS»NA»FreeAcctDeveloperFB-AnimatedAI-Ch3»PRC1W1</v></cell><cell r="D1310" t="str"><v>43291223933096</v></cell><cell r="E1310" t="str"><v>43291103032778PRC1W1</v></cell><cell r="F1310" t="str"><v>DCM</v></cell></row><row r="1310"><cell r="K1310" t="str"><v>July</v></cell><cell r="L1310"><v>43295</v></cell><cell r="M1310" t="str"><v>Tier 0</v></cell><cell r="N1310" t="str"><v>North America</v></cell><cell r="O1310" t="str"><v>United States</v></cell><cell r="P1310" t="str"><v>Trial</v></cell><cell r="Q1310" t="str"><v>Social</v></cell><cell r="R1310" t="str"><v>Azure</v></cell><cell r="S1310" t="str"><v>Apps & Infra</v></cell><cell r="T1310" t="str"><v>Developers & ITI's</v></cell><cell r="U1310" t="str"><v>USA-Trial-ITD-Lead Completes-AZR-AZR</v></cell><cell r="V1310" t="str"><v>Prospecting</v></cell><cell r="W1310" t="str"><v>Link Ad</v></cell><cell r="X1310" t="str"><v>1x1</v></cell></row><row r="1310"><cell r="AA1310"><v>43291</v></cell><cell r="AB1310" t="str"><v>USA_gaPMG_AZR_AZR_Q1_19_Direct-Social</v></cell><cell r="AC1310"><v>21358715</v></cell><cell r="AD1310"><v>720197</v></cell><cell r="AE1310" t="str"><v>Facebook</v></cell><cell r="AF1310"><v>3654128</v></cell><cell r="AG1310" t="str"><v>FACEBOOK»USA-Trial-ITD-Lead Completes-AZR-AZR»1 x 1»SocialBan»LIA»ALL»CPA»PRO»X»NA»SS»NA»FreeAcctDeveloperFB-AnimatedAI-Ch3»PRC1W1</v></cell><cell r="AH1310"><v>223933096</v></cell><cell r="AI1310" t="str"><v>AZR_FreeAcctDeveloperFB-AnimatedAI-Ch3_USA_1200x1200_CAN_Direct_English_Trial_Standard_ANI_LEA_T3_1</v></cell><cell r="AJ1310"><v>103032778</v></cell></row><row r="1311"><cell r="C1311" t="str"><v>43291FACEBOOK»USA-Trial-ITD-Lead Completes-AZR-AZR»1 x 1»SocialBan»LIA»ALL»CPA»PRO»X»NA»SS»NA»FreeAcctDeveloperFB-AnimatedData-Ch4»PRC1W3</v></cell><cell r="D1311" t="str"><v>43291223862711</v></cell><cell r="E1311" t="str"><v>43291103037935PRC1W3</v></cell><cell r="F1311" t="str"><v>DCM</v></cell></row><row r="1311"><cell r="K1311" t="str"><v>July</v></cell><cell r="L1311"><v>43295</v></cell><cell r="M1311" t="str"><v>Tier 0</v></cell><cell r="N1311" t="str"><v>North America</v></cell><cell r="O1311" t="str"><v>United States</v></cell><cell r="P1311" t="str"><v>Trial</v></cell><cell r="Q1311" t="str"><v>Social</v></cell><cell r="R1311" t="str"><v>Azure</v></cell><cell r="S1311" t="str"><v>Apps & Infra</v></cell><cell r="T1311" t="str"><v>Developers & ITI's</v></cell><cell r="U1311" t="str"><v>USA-Trial-ITD-Lead Completes-AZR-AZR</v></cell><cell r="V1311" t="str"><v>Prospecting</v></cell><cell r="W1311" t="str"><v>Link Ad</v></cell><cell r="X1311" t="str"><v>1x1</v></cell></row><row r="1311"><cell r="AA1311"><v>43291</v></cell><cell r="AB1311" t="str"><v>USA_gaPMG_AZR_AZR_Q1_19_Direct-Social</v></cell><cell r="AC1311"><v>21358715</v></cell><cell r="AD1311"><v>720197</v></cell><cell r="AE1311" t="str"><v>Facebook</v></cell><cell r="AF1311"><v>3654128</v></cell><cell r="AG1311" t="str"><v>FACEBOOK»USA-Trial-ITD-Lead Completes-AZR-AZR»1 x 1»SocialBan»LIA»ALL»CPA»PRO»X»NA»SS»NA»FreeAcctDeveloperFB-AnimatedData-Ch4»PRC1W3</v></cell><cell r="AH1311"><v>223862711</v></cell><cell r="AI1311" t="str"><v>AZR_FreeAcctDeveloperFB-AnimatedData-Ch4_USA_1200x1200_CAN_Direct_English_Trial_Standard_ANI_LEA_T4_2</v></cell><cell r="AJ1311"><v>103037935</v></cell></row><row r="1312"><cell r="C1312" t="str"><v>43291FACEBOOK»USA-Trial-ITD-Lead Completes-AZR-AZR»1 x 1»SocialBan»LIA»ALL»CPA»PRO»X»NA»SS»NA»FreeAcctDeveloperFB-AnimatedOpenSource-Ch2»PRC1W0</v></cell><cell r="D1312" t="str"><v>43291223933108</v></cell><cell r="E1312" t="str"><v>43291103048329PRC1W0</v></cell><cell r="F1312" t="str"><v>DCM</v></cell><cell r="G1312" t="str"><v>https://azure.microsoft.com/en-us/free/open-source/search/?OCID=AID%eexcid!_OLA_%ebuy!_%epid!_%ecid!</v></cell></row><row r="1312"><cell r="K1312" t="str"><v>July</v></cell><cell r="L1312"><v>43295</v></cell><cell r="M1312" t="str"><v>Tier 0</v></cell><cell r="N1312" t="str"><v>North America</v></cell><cell r="O1312" t="str"><v>United States</v></cell><cell r="P1312" t="str"><v>Trial</v></cell><cell r="Q1312" t="str"><v>Social</v></cell><cell r="R1312" t="str"><v>Azure</v></cell><cell r="S1312" t="str"><v>Apps & Infra</v></cell><cell r="T1312" t="str"><v>Developers & ITI's</v></cell><cell r="U1312" t="str"><v>USA-Trial-ITD-Lead Completes-AZR-AZR</v></cell><cell r="V1312" t="str"><v>Prospecting</v></cell><cell r="W1312" t="str"><v>Link Ad</v></cell><cell r="X1312" t="str"><v>1x1</v></cell></row><row r="1312"><cell r="AA1312"><v>43291</v></cell><cell r="AB1312" t="str"><v>USA_gaPMG_AZR_AZR_Q1_19_Direct-Social</v></cell><cell r="AC1312"><v>21358715</v></cell><cell r="AD1312"><v>720197</v></cell><cell r="AE1312" t="str"><v>Facebook</v></cell><cell r="AF1312"><v>3654128</v></cell><cell r="AG1312" t="str"><v>FACEBOOK»USA-Trial-ITD-Lead Completes-AZR-AZR»1 x 1»SocialBan»LIA»ALL»CPA»PRO»X»NA»SS»NA»FreeAcctDeveloperFB-AnimatedOpenSource-Ch2»PRC1W0</v></cell><cell r="AH1312"><v>223933108</v></cell><cell r="AI1312" t="str"><v>AZR_FreeAcctDeveloperFB-AnimatedOpenSource-Ch2_USA_1200x1200_CAN_Direct_English_Trial_Standard_ANI_LEA_T2_1</v></cell><cell r="AJ1312"><v>103048329</v></cell></row><row r="1313"><cell r="C1313" t="str"><v>43291FACEBOOK»USA-Trial-ITD-Lead Completes-AZR-AZR»1 x 1»SocialBan»LIA»ALL»CPA»PRO»X»NA»SS»NA»FreeAcctDeveloperFB-AnimatedGeneric-Ch1»PRC1VY</v></cell><cell r="D1313" t="str"><v>43291223862846</v></cell><cell r="E1313" t="str"><v>43291103176851PRC1VY</v></cell><cell r="F1313" t="str"><v>DCM</v></cell><cell r="G1313" t="str"><v>https://azure.microsoft.com/en-us/free/search/?OCID=AID%eexcid!_OLA_%ebuy!_%epid!_%ecid!</v></cell></row><row r="1313"><cell r="K1313" t="str"><v>July</v></cell><cell r="L1313"><v>43295</v></cell><cell r="M1313" t="str"><v>Tier 0</v></cell><cell r="N1313" t="str"><v>North America</v></cell><cell r="O1313" t="str"><v>United States</v></cell><cell r="P1313" t="str"><v>Trial</v></cell><cell r="Q1313" t="str"><v>Social</v></cell><cell r="R1313" t="str"><v>Azure</v></cell><cell r="S1313" t="str"><v>Apps & Infra</v></cell><cell r="T1313" t="str"><v>Developers & ITI's</v></cell><cell r="U1313" t="str"><v>USA-Trial-ITD-Lead Completes-AZR-AZR</v></cell><cell r="V1313" t="str"><v>Prospecting</v></cell><cell r="W1313" t="str"><v>Link Ad</v></cell><cell r="X1313" t="str"><v>1x1</v></cell></row><row r="1313"><cell r="AA1313"><v>43291</v></cell><cell r="AB1313" t="str"><v>USA_gaPMG_AZR_AZR_Q1_19_Direct-Social</v></cell><cell r="AC1313"><v>21358715</v></cell><cell r="AD1313"><v>720197</v></cell><cell r="AE1313" t="str"><v>Facebook</v></cell><cell r="AF1313"><v>3654128</v></cell><cell r="AG1313" t="str"><v>FACEBOOK»USA-Trial-ITD-Lead Completes-AZR-AZR»1 x 1»SocialBan»LIA»ALL»CPA»PRO»X»NA»SS»NA»FreeAcctDeveloperFB-AnimatedGeneric-Ch1»PRC1VY</v></cell><cell r="AH1313"><v>223862846</v></cell><cell r="AI1313" t="str"><v>AZR_FreeAcctDeveloperFB-AnimatedGeneric-Ch1_USA_1200x1200_CAN_Direct_English_Trial_Standard_ANI_LEA_T1_2</v></cell><cell r="AJ1313"><v>103176851</v></cell></row><row r="1314"><cell r="C1314" t="str"><v>43291FACEBOOK»USA-Trial-ITD-Retargeting-AZR-AZR»1 x 1»SocialBan»LIA»ALL»CPA»RT»X»NA»SS»NA»FreeAcctDeveloperFB-AnimatedGeneric-Ch1»PRC26D</v></cell><cell r="D1314" t="str"><v>43291223862870</v></cell><cell r="E1314" t="str"><v>43291103176851PRC26D</v></cell><cell r="F1314" t="str"><v>DCM</v></cell><cell r="G1314" t="str"><v>https://azure.microsoft.com/en-us/free/search/?OCID=AID%eexcid!_OLA_%ebuy!_%epid!_%ecid!</v></cell></row><row r="1314"><cell r="K1314" t="str"><v>July</v></cell><cell r="L1314"><v>43295</v></cell><cell r="M1314" t="str"><v>Tier 0</v></cell><cell r="N1314" t="str"><v>North America</v></cell><cell r="O1314" t="str"><v>United States</v></cell><cell r="P1314" t="str"><v>Trial</v></cell><cell r="Q1314" t="str"><v>Social</v></cell><cell r="R1314" t="str"><v>Azure</v></cell><cell r="S1314" t="str"><v>Apps & Infra</v></cell><cell r="T1314" t="str"><v>Developers & ITI's</v></cell><cell r="U1314" t="str"><v>USA-Trial-ITD-Retargeting-AZR-AZR</v></cell><cell r="V1314" t="str"><v>Retargeting</v></cell><cell r="W1314" t="str"><v>Link Ad</v></cell><cell r="X1314" t="str"><v>1x1</v></cell></row><row r="1314"><cell r="AA1314"><v>43291</v></cell><cell r="AB1314" t="str"><v>USA_gaPMG_AZR_AZR_Q1_19_Direct-Social</v></cell><cell r="AC1314"><v>21358715</v></cell><cell r="AD1314"><v>720197</v></cell><cell r="AE1314" t="str"><v>Facebook</v></cell><cell r="AF1314"><v>3654128</v></cell><cell r="AG1314" t="str"><v>FACEBOOK»USA-Trial-ITD-Retargeting-AZR-AZR»1 x 1»SocialBan»LIA»ALL»CPA»RT»X»NA»SS»NA»FreeAcctDeveloperFB-AnimatedGeneric-Ch1»PRC26D</v></cell><cell r="AH1314"><v>223862870</v></cell><cell r="AI1314" t="str"><v>AZR_FreeAcctDeveloperFB-AnimatedGeneric-Ch1_USA_1200x1200_CAN_Direct_English_Trial_Standard_ANI_LEA_T1_2</v></cell><cell r="AJ1314"><v>103176851</v></cell></row><row r="1315"><cell r="C1315" t="str"><v>43291FACEBOOK»USA-Trial-ITD-Retargeting-AZR-AZR»1 x 1»SocialBan»LIA»ALL»CPA»RT»X»NA»SS»NA»FreeAcctRetargetingOSSFB-Logos-ChG»PRC1S2</v></cell><cell r="D1315" t="str"><v>43291224106063</v></cell><cell r="E1315" t="str"><v>43291103176008PRC1S2</v></cell><cell r="F1315" t="str"><v>DCM</v></cell><cell r="G1315" t="str"><v>https://azure.microsoft.com/en-us/free/open-source/search/?OCID=AID%eexcid!_OLA_%ebuy!_%epid!_%ecid!</v></cell></row><row r="1315"><cell r="K1315" t="str"><v>July</v></cell><cell r="L1315"><v>43295</v></cell><cell r="M1315" t="str"><v>Tier 0</v></cell><cell r="N1315" t="str"><v>North America</v></cell><cell r="O1315" t="str"><v>United States</v></cell><cell r="P1315" t="str"><v>Trial</v></cell><cell r="Q1315" t="str"><v>Social</v></cell><cell r="R1315" t="str"><v>Azure</v></cell><cell r="S1315" t="str"><v>Apps & Infra</v></cell><cell r="T1315" t="str"><v>Developers & ITI's</v></cell><cell r="U1315" t="str"><v>USA-Trial-ITD-Retargeting-AZR-AZR</v></cell><cell r="V1315" t="str"><v>Retargeting</v></cell><cell r="W1315" t="str"><v>Link Ad</v></cell><cell r="X1315" t="str"><v>1x1</v></cell></row><row r="1315"><cell r="AA1315"><v>43291</v></cell><cell r="AB1315" t="str"><v>USA_gaPMG_AZR_AZR_Q1_19_Direct-Social</v></cell><cell r="AC1315"><v>21358715</v></cell><cell r="AD1315"><v>720197</v></cell><cell r="AE1315" t="str"><v>Facebook</v></cell><cell r="AF1315"><v>3654128</v></cell><cell r="AG1315" t="str"><v>FACEBOOK»USA-Trial-ITD-Retargeting-AZR-AZR»1 x 1»SocialBan»LIA»ALL»CPA»RT»X»NA»SS»NA»FreeAcctRetargetingOSSFB-Logos-ChG»PRC1S2</v></cell><cell r="AH1315"><v>224106063</v></cell><cell r="AI1315" t="str"><v>AzurePlatform_FreeAcctRetargetingOSSFB-Logos-ChG_USA_1200x628_CAN_PLATFORM_English_Free Account_Standard_NA_SINU_T2_1</v></cell><cell r="AJ1315"><v>103176008</v></cell></row><row r="1316"><cell r="C1316" t="str"><v>43291FACEBOOK»USA-Trial-ITD-Retargeting-AZR-AZR»1 x 1»SocialBan»LIA»ALL»CPA»RT»X»NA»SS»NA»FreeAcctRetargetingOSSFB-Text-ChF»PRC1S1</v></cell><cell r="D1316" t="str"><v>43291223862753</v></cell><cell r="E1316" t="str"><v>43291103176869PRC1S1</v></cell><cell r="F1316" t="str"><v>DCM</v></cell><cell r="G1316" t="str"><v>https://azure.microsoft.com/en-us/free/open-source/search/?OCID=AID%eexcid!_OLA_%ebuy!_%epid!_%ecid!</v></cell></row><row r="1316"><cell r="K1316" t="str"><v>July</v></cell><cell r="L1316"><v>43295</v></cell><cell r="M1316" t="str"><v>Tier 0</v></cell><cell r="N1316" t="str"><v>North America</v></cell><cell r="O1316" t="str"><v>United States</v></cell><cell r="P1316" t="str"><v>Trial</v></cell><cell r="Q1316" t="str"><v>Social</v></cell><cell r="R1316" t="str"><v>Azure</v></cell><cell r="S1316" t="str"><v>Apps & Infra</v></cell><cell r="T1316" t="str"><v>Developers & ITI's</v></cell><cell r="U1316" t="str"><v>USA-Trial-ITD-Retargeting-AZR-AZR</v></cell><cell r="V1316" t="str"><v>Retargeting</v></cell><cell r="W1316" t="str"><v>Link Ad</v></cell><cell r="X1316" t="str"><v>1x1</v></cell></row><row r="1316"><cell r="AA1316"><v>43291</v></cell><cell r="AB1316" t="str"><v>USA_gaPMG_AZR_AZR_Q1_19_Direct-Social</v></cell><cell r="AC1316"><v>21358715</v></cell><cell r="AD1316"><v>720197</v></cell><cell r="AE1316" t="str"><v>Facebook</v></cell><cell r="AF1316"><v>3654128</v></cell><cell r="AG1316" t="str"><v>FACEBOOK»USA-Trial-ITD-Retargeting-AZR-AZR»1 x 1»SocialBan»LIA»ALL»CPA»RT»X»NA»SS»NA»FreeAcctRetargetingOSSFB-Text-ChF»PRC1S1</v></cell><cell r="AH1316"><v>223862753</v></cell><cell r="AI1316" t="str"><v>AzurePlatform_FreeAcctRetargetingOSSFB-Text-ChF_USA_1200x628_CAN_PLATFORM_English_Free Account_Standard_NA_SINU_T1_2</v></cell><cell r="AJ1316"><v>103176869</v></cell></row><row r="1317"><cell r="C1317" t="str"><v>43291FACEBOOK»USA-Trial-ITD-Retargeting-AZR-AZR»1 x 1»SocialBan»LIA»ALL»CPA»RT»X»NA»SS»NA»FreeAcctITProFB-AnimatedSecureMngd-Ch1»PRC26K</v></cell><cell r="D1317" t="str"><v>43291223862762</v></cell><cell r="E1317" t="str"><v>43291103176830PRC26K</v></cell><cell r="F1317" t="str"><v>DCM</v></cell></row><row r="1317"><cell r="K1317" t="str"><v>July</v></cell><cell r="L1317"><v>43295</v></cell><cell r="M1317" t="str"><v>Tier 0</v></cell><cell r="N1317" t="str"><v>North America</v></cell><cell r="O1317" t="str"><v>United States</v></cell><cell r="P1317" t="str"><v>Trial</v></cell><cell r="Q1317" t="str"><v>Social</v></cell><cell r="R1317" t="str"><v>Azure</v></cell><cell r="S1317" t="str"><v>Apps & Infra</v></cell><cell r="T1317" t="str"><v>Developers & ITI's</v></cell><cell r="U1317" t="str"><v>USA-Trial-ITD-Retargeting-AZR-AZR</v></cell><cell r="V1317" t="str"><v>Retargeting</v></cell><cell r="W1317" t="str"><v>Link Ad</v></cell><cell r="X1317" t="str"><v>1x1</v></cell></row><row r="1317"><cell r="AA1317"><v>43291</v></cell><cell r="AB1317" t="str"><v>USA_gaPMG_AZR_AZR_Q1_19_Direct-Social</v></cell><cell r="AC1317"><v>21358715</v></cell><cell r="AD1317"><v>720197</v></cell><cell r="AE1317" t="str"><v>Facebook</v></cell><cell r="AF1317"><v>3654128</v></cell><cell r="AG1317" t="str"><v>FACEBOOK»USA-Trial-ITD-Retargeting-AZR-AZR»1 x 1»SocialBan»LIA»ALL»CPA»RT»X»NA»SS»NA»FreeAcctITProFB-AnimatedSecureMngd-Ch1»PRC26K</v></cell><cell r="AH1317"><v>223862762</v></cell><cell r="AI1317" t="str"><v>AZR_FreeAcctITProFB-AnimatedSecureMngd-Ch1_USA_1200x1200_CAN_Direct_English_Trial_Standard_ANI_LEA_T1_1</v></cell><cell r="AJ1317"><v>103176830</v></cell></row><row r="1318"><cell r="C1318" t="str"><v>43291FACEBOOK»USA-Trial-ITD-Trial Lookalike-AZR-AZR»1 x 1»SocialBan»LIA»ALL»CPA»LAL»X»NA»SS»NA»FreeAcctDeveloperFB-AnimatedGeneric-Ch1»PRC1M4</v></cell><cell r="D1318" t="str"><v>43291224104941</v></cell><cell r="E1318" t="str"><v>43291103176851PRC1M4</v></cell><cell r="F1318" t="str"><v>DCM</v></cell><cell r="G1318" t="str"><v>https://azure.microsoft.com/en-us/free/search/?OCID=AID%eexcid!_OLA_%ebuy!_%epid!_%ecid!</v></cell></row><row r="1318"><cell r="K1318" t="str"><v>July</v></cell><cell r="L1318"><v>43295</v></cell><cell r="M1318" t="str"><v>Tier 0</v></cell><cell r="N1318" t="str"><v>North America</v></cell><cell r="O1318" t="str"><v>United States</v></cell><cell r="P1318" t="str"><v>Trial</v></cell><cell r="Q1318" t="str"><v>Social</v></cell><cell r="R1318" t="str"><v>Azure</v></cell><cell r="S1318" t="str"><v>Apps & Infra</v></cell><cell r="T1318" t="str"><v>Developers & ITI's</v></cell><cell r="U1318" t="str"><v>USA-Trial-ITD-Trial Lookalike-AZR-AZR</v></cell><cell r="V1318" t="str"><v>Lookalike Targeting</v></cell><cell r="W1318" t="str"><v>Link Ad</v></cell><cell r="X1318" t="str"><v>1x1</v></cell></row><row r="1318"><cell r="AA1318"><v>43291</v></cell><cell r="AB1318" t="str"><v>USA_gaPMG_AZR_AZR_Q1_19_Direct-Social</v></cell><cell r="AC1318"><v>21358715</v></cell><cell r="AD1318"><v>720197</v></cell><cell r="AE1318" t="str"><v>Facebook</v></cell><cell r="AF1318"><v>3654128</v></cell><cell r="AG1318" t="str"><v>FACEBOOK»USA-Trial-ITD-Trial Lookalike-AZR-AZR»1 x 1»SocialBan»LIA»ALL»CPA»LAL»X»NA»SS»NA»FreeAcctDeveloperFB-AnimatedGeneric-Ch1»PRC1M4</v></cell><cell r="AH1318"><v>224104941</v></cell><cell r="AI1318" t="str"><v>AZR_FreeAcctDeveloperFB-AnimatedGeneric-Ch1_USA_1200x1200_CAN_Direct_English_Trial_Standard_ANI_LEA_T1_2</v></cell><cell r="AJ1318"><v>103176851</v></cell></row><row r="1319"><cell r="C1319" t="str"><v>43291FACEBOOK»USA-Trial-ITD-Trial Lookalike-AZR-AZR»1 x 1»SocialBan»LIA»ALL»CPA»LAL»X»NA»SS»NA»FreeAcctDeveloperFB-AnimatedGeneric-Ch1»PRC1M5</v></cell><cell r="D1319" t="str"><v>43291223934083</v></cell><cell r="E1319" t="str"><v>43291103176851PRC1M5</v></cell><cell r="F1319" t="str"><v>DCM</v></cell><cell r="G1319" t="str"><v>https://azure.microsoft.com/en-us/free/search/?OCID=AID%eexcid!_OLA_%ebuy!_%epid!_%ecid!</v></cell></row><row r="1319"><cell r="K1319" t="str"><v>July</v></cell><cell r="L1319"><v>43295</v></cell><cell r="M1319" t="str"><v>Tier 0</v></cell><cell r="N1319" t="str"><v>North America</v></cell><cell r="O1319" t="str"><v>United States</v></cell><cell r="P1319" t="str"><v>Trial</v></cell><cell r="Q1319" t="str"><v>Social</v></cell><cell r="R1319" t="str"><v>Azure</v></cell><cell r="S1319" t="str"><v>Apps & Infra</v></cell><cell r="T1319" t="str"><v>Developers & ITI's</v></cell><cell r="U1319" t="str"><v>USA-Trial-ITD-Trial Lookalike-AZR-AZR</v></cell><cell r="V1319" t="str"><v>Lookalike Targeting</v></cell><cell r="W1319" t="str"><v>Link Ad</v></cell><cell r="X1319" t="str"><v>1x1</v></cell></row><row r="1319"><cell r="AA1319"><v>43291</v></cell><cell r="AB1319" t="str"><v>USA_gaPMG_AZR_AZR_Q1_19_Direct-Social</v></cell><cell r="AC1319"><v>21358715</v></cell><cell r="AD1319"><v>720197</v></cell><cell r="AE1319" t="str"><v>Facebook</v></cell><cell r="AF1319"><v>3654128</v></cell><cell r="AG1319" t="str"><v>FACEBOOK»USA-Trial-ITD-Trial Lookalike-AZR-AZR»1 x 1»SocialBan»LIA»ALL»CPA»LAL»X»NA»SS»NA»FreeAcctDeveloperFB-AnimatedGeneric-Ch1»PRC1M5</v></cell><cell r="AH1319"><v>223934083</v></cell><cell r="AI1319" t="str"><v>AZR_FreeAcctDeveloperFB-AnimatedGeneric-Ch1_USA_1200x1200_CAN_Direct_English_Trial_Standard_ANI_LEA_T1_2</v></cell><cell r="AJ1319"><v>103176851</v></cell></row><row r="1320"><cell r="C1320" t="str"><v>43291FACEBOOK»USA-Trial-ITD-Trial Lookalike-AZR-AZR»1 x 1»SocialBan»LIA»ALL»CPA»LAL»X»NA»SS»NA»FreeAcctDeveloperFB-AnimatedOpenSource-Ch2»PRC1M6</v></cell><cell r="D1320" t="str"><v>43291223935628</v></cell><cell r="E1320" t="str"><v>43291103048329PRC1M6</v></cell><cell r="F1320" t="str"><v>DCM</v></cell><cell r="G1320" t="str"><v>https://azure.microsoft.com/en-us/free/open-source/search/?OCID=AID%eexcid!_OLA_%ebuy!_%epid!_%ecid!</v></cell></row><row r="1320"><cell r="K1320" t="str"><v>July</v></cell><cell r="L1320"><v>43295</v></cell><cell r="M1320" t="str"><v>Tier 0</v></cell><cell r="N1320" t="str"><v>North America</v></cell><cell r="O1320" t="str"><v>United States</v></cell><cell r="P1320" t="str"><v>Trial</v></cell><cell r="Q1320" t="str"><v>Social</v></cell><cell r="R1320" t="str"><v>Azure</v></cell><cell r="S1320" t="str"><v>Apps & Infra</v></cell><cell r="T1320" t="str"><v>Developers & ITI's</v></cell><cell r="U1320" t="str"><v>USA-Trial-ITD-Trial Lookalike-AZR-AZR</v></cell><cell r="V1320" t="str"><v>Lookalike Targeting</v></cell><cell r="W1320" t="str"><v>Link Ad</v></cell><cell r="X1320" t="str"><v>1x1</v></cell></row><row r="1320"><cell r="AA1320"><v>43291</v></cell><cell r="AB1320" t="str"><v>USA_gaPMG_AZR_AZR_Q1_19_Direct-Social</v></cell><cell r="AC1320"><v>21358715</v></cell><cell r="AD1320"><v>720197</v></cell><cell r="AE1320" t="str"><v>Facebook</v></cell><cell r="AF1320"><v>3654128</v></cell><cell r="AG1320" t="str"><v>FACEBOOK»USA-Trial-ITD-Trial Lookalike-AZR-AZR»1 x 1»SocialBan»LIA»ALL»CPA»LAL»X»NA»SS»NA»FreeAcctDeveloperFB-AnimatedOpenSource-Ch2»PRC1M6</v></cell><cell r="AH1320"><v>223935628</v></cell><cell r="AI1320" t="str"><v>AZR_FreeAcctDeveloperFB-AnimatedOpenSource-Ch2_USA_1200x1200_CAN_Direct_English_Trial_Standard_ANI_LEA_T2_1</v></cell><cell r="AJ1320"><v>103048329</v></cell></row><row r="1321"><cell r="C1321" t="str"><v>43291FACEBOOK»USA-Trial-ITD-Trial Lookalike-AZR-AZR»1 x 1»SocialBan»LIA»ALL»CPA»LAL»X»NA»SS»NA»FreeAcctITProFB-AnimatedMigration-Ch3»PRC23N</v></cell><cell r="D1321" t="str"><v>43291223935637</v></cell><cell r="E1321" t="str"><v>43291103176827PRC23N</v></cell><cell r="F1321" t="str"><v>DCM</v></cell></row><row r="1321"><cell r="K1321" t="str"><v>July</v></cell><cell r="L1321"><v>43295</v></cell><cell r="M1321" t="str"><v>Tier 0</v></cell><cell r="N1321" t="str"><v>North America</v></cell><cell r="O1321" t="str"><v>United States</v></cell><cell r="P1321" t="str"><v>Trial</v></cell><cell r="Q1321" t="str"><v>Social</v></cell><cell r="R1321" t="str"><v>Azure</v></cell><cell r="S1321" t="str"><v>Apps & Infra</v></cell><cell r="T1321" t="str"><v>Developers & ITI's</v></cell><cell r="U1321" t="str"><v>USA-Trial-ITD-Trial Lookalike-AZR-AZR</v></cell><cell r="V1321" t="str"><v>Lookalike Targeting</v></cell><cell r="W1321" t="str"><v>Link Ad</v></cell><cell r="X1321" t="str"><v>1x1</v></cell></row><row r="1321"><cell r="AA1321"><v>43291</v></cell><cell r="AB1321" t="str"><v>USA_gaPMG_AZR_AZR_Q1_19_Direct-Social</v></cell><cell r="AC1321"><v>21358715</v></cell><cell r="AD1321"><v>720197</v></cell><cell r="AE1321" t="str"><v>Facebook</v></cell><cell r="AF1321"><v>3654128</v></cell><cell r="AG1321" t="str"><v>FACEBOOK»USA-Trial-ITD-Trial Lookalike-AZR-AZR»1 x 1»SocialBan»LIA»ALL»CPA»LAL»X»NA»SS»NA»FreeAcctITProFB-AnimatedMigration-Ch3»PRC23N</v></cell><cell r="AH1321"><v>223935637</v></cell><cell r="AI1321" t="str"><v>AZR_FreeAcctITProFB-AnimatedMigration-Ch3_USA_1200x1200_CAN_Direct_English_Trial_Standard_ANI_LEA_T3_1</v></cell><cell r="AJ1321"><v>103176827</v></cell></row><row r="1322"><cell r="C1322" t="str"><v>43291FACEBOOK»USA-Trial-ITD-Trial Lookalike-AZR-AZR»1 x 1»SocialBan»LIA»ALL»CPA»LAL»X»NA»SS»NA»FreeAcctITProFB-AnimatedSecureMngd-Ch1»PRC1M9</v></cell><cell r="D1322" t="str"><v>43291224104959</v></cell><cell r="E1322" t="str"><v>43291103176830PRC1M9</v></cell><cell r="F1322" t="str"><v>DCM</v></cell></row><row r="1322"><cell r="K1322" t="str"><v>July</v></cell><cell r="L1322"><v>43295</v></cell><cell r="M1322" t="str"><v>Tier 0</v></cell><cell r="N1322" t="str"><v>North America</v></cell><cell r="O1322" t="str"><v>United States</v></cell><cell r="P1322" t="str"><v>Trial</v></cell><cell r="Q1322" t="str"><v>Social</v></cell><cell r="R1322" t="str"><v>Azure</v></cell><cell r="S1322" t="str"><v>Apps & Infra</v></cell><cell r="T1322" t="str"><v>Developers & ITI's</v></cell><cell r="U1322" t="str"><v>USA-Trial-ITD-Trial Lookalike-AZR-AZR</v></cell><cell r="V1322" t="str"><v>Lookalike Targeting</v></cell><cell r="W1322" t="str"><v>Link Ad</v></cell><cell r="X1322" t="str"><v>1x1</v></cell></row><row r="1322"><cell r="AA1322"><v>43291</v></cell><cell r="AB1322" t="str"><v>USA_gaPMG_AZR_AZR_Q1_19_Direct-Social</v></cell><cell r="AC1322"><v>21358715</v></cell><cell r="AD1322"><v>720197</v></cell><cell r="AE1322" t="str"><v>Facebook</v></cell><cell r="AF1322"><v>3654128</v></cell><cell r="AG1322" t="str"><v>FACEBOOK»USA-Trial-ITD-Trial Lookalike-AZR-AZR»1 x 1»SocialBan»LIA»ALL»CPA»LAL»X»NA»SS»NA»FreeAcctITProFB-AnimatedSecureMngd-Ch1»PRC1M9</v></cell><cell r="AH1322"><v>224104959</v></cell><cell r="AI1322" t="str"><v>AZR_FreeAcctITProFB-AnimatedSecureMngd-Ch1_USA_1200x1200_CAN_Direct_English_Trial_Standard_ANI_LEA_T1_1</v></cell><cell r="AJ1322"><v>103176830</v></cell></row><row r="1323"><cell r="C1323" t="str"><v>43291FACEBOOK»USA-Trial-ITD-Trial Lookalike-AZR-AZR»1 x 1»SocialBan»CAN»ALL»CPA»LAL»X»NA»SS»NA»FBCTCBasicMotion»PRC1LZ</v></cell><cell r="D1323" t="str"><v>43291223862915</v></cell><cell r="E1323" t="str"><v>43291103043823PRC1LZ</v></cell><cell r="F1323" t="str"><v>DCM</v></cell><cell r="G1323" t="str"><v>https://signup.azure.com/?OCID=AID%eexcid!_OLA_%ebuy!_%epid!_%ecid!</v></cell></row><row r="1323"><cell r="K1323" t="str"><v>July</v></cell><cell r="L1323"><v>43295</v></cell><cell r="M1323" t="str"><v>Tier 0</v></cell><cell r="N1323" t="str"><v>North America</v></cell><cell r="O1323" t="str"><v>United States</v></cell><cell r="P1323" t="str"><v>Trial</v></cell><cell r="Q1323" t="str"><v>Social</v></cell><cell r="R1323" t="str"><v>Azure</v></cell><cell r="S1323" t="str"><v>Apps & Infra</v></cell><cell r="T1323" t="str"><v>Developers & ITI's</v></cell><cell r="U1323" t="str"><v>USA-Trial-ITD-Trial Lookalike-AZR-AZR</v></cell><cell r="V1323" t="str"><v>Lookalike Targeting</v></cell><cell r="W1323" t="str"><v>Canvas Ad</v></cell><cell r="X1323" t="str"><v>1x1</v></cell></row><row r="1323"><cell r="AA1323"><v>43291</v></cell><cell r="AB1323" t="str"><v>USA_gaPMG_AZR_AZR_Q1_19_Direct-Social</v></cell><cell r="AC1323"><v>21358715</v></cell><cell r="AD1323"><v>720197</v></cell><cell r="AE1323" t="str"><v>Facebook</v></cell><cell r="AF1323"><v>3654128</v></cell><cell r="AG1323" t="str"><v>FACEBOOK»USA-Trial-ITD-Trial Lookalike-AZR-AZR»1 x 1»SocialBan»CAN»ALL»CPA»LAL»X»NA»SS»NA»FBCTCBasicMotion»PRC1LZ</v></cell><cell r="AH1323"><v>223862915</v></cell><cell r="AI1323" t="str"><v>AzurePlatform_FBCTCBasicMotion_USA_10s_CAN_PLATFORM_English_Trial_Standard_STAN_TIN_T1_1</v></cell><cell r="AJ1323"><v>103043823</v></cell></row><row r="1324"><cell r="C1324" t="str"><v>43291FACEBOOK»USA-Trial-ITD-Trial Lookalike-AZR-AZR»1 x 1»SocialBan»CAN»ALL»CPA»LAL»X»NA»SS»NA»FBCTCBasicMotion»PRC1LZ</v></cell><cell r="D1324" t="str"><v>43291223862915</v></cell><cell r="E1324" t="str"><v>43291103175984PRC1LZ</v></cell><cell r="F1324" t="str"><v>DCM</v></cell><cell r="G1324" t="str"><v>https://azure.microsoft.com/en-us/pricing/purchase-options/?v=18.19&OCID=AID%eexcid!_OLA_%ebuy!_%epid!_%ecid!</v></cell></row><row r="1324"><cell r="K1324" t="str"><v>July</v></cell><cell r="L1324"><v>43295</v></cell><cell r="M1324" t="str"><v>Tier 0</v></cell><cell r="N1324" t="str"><v>North America</v></cell><cell r="O1324" t="str"><v>United States</v></cell><cell r="P1324" t="str"><v>Trial</v></cell><cell r="Q1324" t="str"><v>Social</v></cell><cell r="R1324" t="str"><v>Azure</v></cell><cell r="S1324" t="str"><v>Apps & Infra</v></cell><cell r="T1324" t="str"><v>Developers & ITI's</v></cell><cell r="U1324" t="str"><v>USA-Trial-ITD-Trial Lookalike-AZR-AZR</v></cell><cell r="V1324" t="str"><v>Lookalike Targeting</v></cell><cell r="W1324" t="str"><v>Canvas Ad</v></cell><cell r="X1324" t="str"><v>1x1</v></cell></row><row r="1324"><cell r="AA1324"><v>43291</v></cell><cell r="AB1324" t="str"><v>USA_gaPMG_AZR_AZR_Q1_19_Direct-Social</v></cell><cell r="AC1324"><v>21358715</v></cell><cell r="AD1324"><v>720197</v></cell><cell r="AE1324" t="str"><v>Facebook</v></cell><cell r="AF1324"><v>3654128</v></cell><cell r="AG1324" t="str"><v>FACEBOOK»USA-Trial-ITD-Trial Lookalike-AZR-AZR»1 x 1»SocialBan»CAN»ALL»CPA»LAL»X»NA»SS»NA»FBCTCBasicMotion»PRC1LZ</v></cell><cell r="AH1324"><v>223862915</v></cell><cell r="AI1324" t="str"><v>AzurePlatform_FBCTCBasicMotion_USA_10s_CAN_PLATFORM_English_Trial_Standard_STAN_TIN_T1_2</v></cell><cell r="AJ1324"><v>103175984</v></cell></row><row r="1325"><cell r="C1325" t="str"><v>43291FACEBOOK»USA-Trial-ITD-Trial PayGo Lookalike-AZR-AZR»1 x 1»SocialBan»CAN»ALL»CPA»LAL»X»NA»SS»NA»FBCTCBasicMotion»PRC1Q0</v></cell><cell r="D1325" t="str"><v>43291223935664</v></cell><cell r="E1325" t="str"><v>43291103043823PRC1Q0</v></cell><cell r="F1325" t="str"><v>DCM</v></cell><cell r="G1325" t="str"><v>https://signup.azure.com/?OCID=AID%eexcid!_OLA_%ebuy!_%epid!_%ecid!</v></cell></row><row r="1325"><cell r="K1325" t="str"><v>July</v></cell><cell r="L1325"><v>43295</v></cell><cell r="M1325" t="str"><v>Tier 0</v></cell><cell r="N1325" t="str"><v>North America</v></cell><cell r="O1325" t="str"><v>United States</v></cell><cell r="P1325" t="str"><v>Trial</v></cell><cell r="Q1325" t="str"><v>Social</v></cell><cell r="R1325" t="str"><v>Azure</v></cell><cell r="S1325" t="str"><v>Apps & Infra</v></cell><cell r="T1325" t="str"><v>Developers & ITI's</v></cell><cell r="U1325" t="str"><v>USA-Trial-ITD-Trial PayGo Lookalike-AZR-AZR</v></cell><cell r="V1325" t="str"><v>Lookalike Targeting</v></cell><cell r="W1325" t="str"><v>Canvas Ad</v></cell><cell r="X1325" t="str"><v>1x1</v></cell></row><row r="1325"><cell r="AA1325"><v>43291</v></cell><cell r="AB1325" t="str"><v>USA_gaPMG_AZR_AZR_Q1_19_Direct-Social</v></cell><cell r="AC1325"><v>21358715</v></cell><cell r="AD1325"><v>720197</v></cell><cell r="AE1325" t="str"><v>Facebook</v></cell><cell r="AF1325"><v>3654128</v></cell><cell r="AG1325" t="str"><v>FACEBOOK»USA-Trial-ITD-Trial PayGo Lookalike-AZR-AZR»1 x 1»SocialBan»CAN»ALL»CPA»LAL»X»NA»SS»NA»FBCTCBasicMotion»PRC1Q0</v></cell><cell r="AH1325"><v>223935664</v></cell><cell r="AI1325" t="str"><v>AzurePlatform_FBCTCBasicMotion_USA_10s_CAN_PLATFORM_English_Trial_Standard_STAN_TIN_T1_1</v></cell><cell r="AJ1325"><v>103043823</v></cell></row><row r="1326"><cell r="C1326" t="str"><v>43291FACEBOOK»USA-Trial-ITD-Trial PayGo Lookalike-AZR-AZR»1 x 1»SocialBan»CAN»ALL»CPA»LAL»X»NA»SS»NA»FBCTCBasicMotion»PRC1Q0</v></cell><cell r="D1326" t="str"><v>43291223935664</v></cell><cell r="E1326" t="str"><v>43291103175984PRC1Q0</v></cell><cell r="F1326" t="str"><v>DCM</v></cell><cell r="G1326" t="str"><v>https://azure.microsoft.com/en-us/pricing/purchase-options/?v=18.19&OCID=AID%eexcid!_OLA_%ebuy!_%epid!_%ecid!</v></cell></row><row r="1326"><cell r="K1326" t="str"><v>July</v></cell><cell r="L1326"><v>43295</v></cell><cell r="M1326" t="str"><v>Tier 0</v></cell><cell r="N1326" t="str"><v>North America</v></cell><cell r="O1326" t="str"><v>United States</v></cell><cell r="P1326" t="str"><v>Trial</v></cell><cell r="Q1326" t="str"><v>Social</v></cell><cell r="R1326" t="str"><v>Azure</v></cell><cell r="S1326" t="str"><v>Apps & Infra</v></cell><cell r="T1326" t="str"><v>Developers & ITI's</v></cell><cell r="U1326" t="str"><v>USA-Trial-ITD-Trial PayGo Lookalike-AZR-AZR</v></cell><cell r="V1326" t="str"><v>Lookalike Targeting</v></cell><cell r="W1326" t="str"><v>Canvas Ad</v></cell><cell r="X1326" t="str"><v>1x1</v></cell></row><row r="1326"><cell r="AA1326"><v>43291</v></cell><cell r="AB1326" t="str"><v>USA_gaPMG_AZR_AZR_Q1_19_Direct-Social</v></cell><cell r="AC1326"><v>21358715</v></cell><cell r="AD1326"><v>720197</v></cell><cell r="AE1326" t="str"><v>Facebook</v></cell><cell r="AF1326"><v>3654128</v></cell><cell r="AG1326" t="str"><v>FACEBOOK»USA-Trial-ITD-Trial PayGo Lookalike-AZR-AZR»1 x 1»SocialBan»CAN»ALL»CPA»LAL»X»NA»SS»NA»FBCTCBasicMotion»PRC1Q0</v></cell><cell r="AH1326"><v>223935664</v></cell><cell r="AI1326" t="str"><v>AzurePlatform_FBCTCBasicMotion_USA_10s_CAN_PLATFORM_English_Trial_Standard_STAN_TIN_T1_2</v></cell><cell r="AJ1326"><v>103175984</v></cell></row><row r="1327"><cell r="C1327" t="str"><v>43291FACEBOOK»USA-Trial-ITD-Trial PayGo Lookalike-AZR-AZR»1 x 1»SocialBan»LIA»ALL»CPA»LAL»X»NA»SS»NA»FreeAcctDeveloperFB-AnimatedAI-Ch3»PRC1Q8</v></cell><cell r="D1327" t="str"><v>43291224104983</v></cell><cell r="E1327" t="str"><v>43291103032778PRC1Q8</v></cell><cell r="F1327" t="str"><v>DCM</v></cell></row><row r="1327"><cell r="K1327" t="str"><v>July</v></cell><cell r="L1327"><v>43295</v></cell><cell r="M1327" t="str"><v>Tier 0</v></cell><cell r="N1327" t="str"><v>North America</v></cell><cell r="O1327" t="str"><v>United States</v></cell><cell r="P1327" t="str"><v>Trial</v></cell><cell r="Q1327" t="str"><v>Social</v></cell><cell r="R1327" t="str"><v>Azure</v></cell><cell r="S1327" t="str"><v>Apps & Infra</v></cell><cell r="T1327" t="str"><v>Developers & ITI's</v></cell><cell r="U1327" t="str"><v>USA-Trial-ITD-Trial PayGo Lookalike-AZR-AZR</v></cell><cell r="V1327" t="str"><v>Lookalike Targeting</v></cell><cell r="W1327" t="str"><v>Link Ad</v></cell><cell r="X1327" t="str"><v>1x1</v></cell></row><row r="1327"><cell r="AA1327"><v>43291</v></cell><cell r="AB1327" t="str"><v>USA_gaPMG_AZR_AZR_Q1_19_Direct-Social</v></cell><cell r="AC1327"><v>21358715</v></cell><cell r="AD1327"><v>720197</v></cell><cell r="AE1327" t="str"><v>Facebook</v></cell><cell r="AF1327"><v>3654128</v></cell><cell r="AG1327" t="str"><v>FACEBOOK»USA-Trial-ITD-Trial PayGo Lookalike-AZR-AZR»1 x 1»SocialBan»LIA»ALL»CPA»LAL»X»NA»SS»NA»FreeAcctDeveloperFB-AnimatedAI-Ch3»PRC1Q8</v></cell><cell r="AH1327"><v>224104983</v></cell><cell r="AI1327" t="str"><v>AZR_FreeAcctDeveloperFB-AnimatedAI-Ch3_USA_1200x1200_CAN_Direct_English_Trial_Standard_ANI_LEA_T3_1</v></cell><cell r="AJ1327"><v>103032778</v></cell></row><row r="1328"><cell r="C1328" t="str"><v>43291FACEBOOK»USA-Trial-ITD-Trial PayGo Lookalike-AZR-AZR»1 x 1»SocialBan»LIA»ALL»CPA»LAL»X»NA»SS»NA»FreeAcctDeveloperFB-AnimatedData-Ch4»PRC1Q9</v></cell><cell r="D1328" t="str"><v>43291224106990</v></cell><cell r="E1328" t="str"><v>43291103037935PRC1Q9</v></cell><cell r="F1328" t="str"><v>DCM</v></cell></row><row r="1328"><cell r="K1328" t="str"><v>July</v></cell><cell r="L1328"><v>43295</v></cell><cell r="M1328" t="str"><v>Tier 0</v></cell><cell r="N1328" t="str"><v>North America</v></cell><cell r="O1328" t="str"><v>United States</v></cell><cell r="P1328" t="str"><v>Trial</v></cell><cell r="Q1328" t="str"><v>Social</v></cell><cell r="R1328" t="str"><v>Azure</v></cell><cell r="S1328" t="str"><v>Apps & Infra</v></cell><cell r="T1328" t="str"><v>Developers & ITI's</v></cell><cell r="U1328" t="str"><v>USA-Trial-ITD-Trial PayGo Lookalike-AZR-AZR</v></cell><cell r="V1328" t="str"><v>Lookalike Targeting</v></cell><cell r="W1328" t="str"><v>Link Ad</v></cell><cell r="X1328" t="str"><v>1x1</v></cell></row><row r="1328"><cell r="AA1328"><v>43291</v></cell><cell r="AB1328" t="str"><v>USA_gaPMG_AZR_AZR_Q1_19_Direct-Social</v></cell><cell r="AC1328"><v>21358715</v></cell><cell r="AD1328"><v>720197</v></cell><cell r="AE1328" t="str"><v>Facebook</v></cell><cell r="AF1328"><v>3654128</v></cell><cell r="AG1328" t="str"><v>FACEBOOK»USA-Trial-ITD-Trial PayGo Lookalike-AZR-AZR»1 x 1»SocialBan»LIA»ALL»CPA»LAL»X»NA»SS»NA»FreeAcctDeveloperFB-AnimatedData-Ch4»PRC1Q9</v></cell><cell r="AH1328"><v>224106990</v></cell><cell r="AI1328" t="str"><v>AZR_FreeAcctDeveloperFB-AnimatedData-Ch4_USA_1200x1200_CAN_Direct_English_Trial_Standard_ANI_LEA_T4_2</v></cell><cell r="AJ1328"><v>103037935</v></cell></row><row r="1329"><cell r="C1329" t="str"><v>43291FACEBOOK»USA-Trial-ITD-Trial PayGo Lookalike-AZR-AZR»1 x 1»SocialBan»LIA»ALL»CPA»LAL»X»NA»SS»NA»FreeAcctDeveloperFB-AnimatedGeneric-Ch1»PRC1Q5</v></cell><cell r="D1329" t="str"><v>43291224104092</v></cell><cell r="E1329" t="str"><v>43291103176851PRC1Q5</v></cell><cell r="F1329" t="str"><v>DCM</v></cell><cell r="G1329" t="str"><v>https://azure.microsoft.com/en-us/free/search/?OCID=AID%eexcid!_OLA_%ebuy!_%epid!_%ecid!</v></cell></row><row r="1329"><cell r="K1329" t="str"><v>July</v></cell><cell r="L1329"><v>43295</v></cell><cell r="M1329" t="str"><v>Tier 0</v></cell><cell r="N1329" t="str"><v>North America</v></cell><cell r="O1329" t="str"><v>United States</v></cell><cell r="P1329" t="str"><v>Trial</v></cell><cell r="Q1329" t="str"><v>Social</v></cell><cell r="R1329" t="str"><v>Azure</v></cell><cell r="S1329" t="str"><v>Apps & Infra</v></cell><cell r="T1329" t="str"><v>Developers & ITI's</v></cell><cell r="U1329" t="str"><v>USA-Trial-ITD-Trial PayGo Lookalike-AZR-AZR</v></cell><cell r="V1329" t="str"><v>Lookalike Targeting</v></cell><cell r="W1329" t="str"><v>Link Ad</v></cell><cell r="X1329" t="str"><v>1x1</v></cell></row><row r="1329"><cell r="AA1329"><v>43291</v></cell><cell r="AB1329" t="str"><v>USA_gaPMG_AZR_AZR_Q1_19_Direct-Social</v></cell><cell r="AC1329"><v>21358715</v></cell><cell r="AD1329"><v>720197</v></cell><cell r="AE1329" t="str"><v>Facebook</v></cell><cell r="AF1329"><v>3654128</v></cell><cell r="AG1329" t="str"><v>FACEBOOK»USA-Trial-ITD-Trial PayGo Lookalike-AZR-AZR»1 x 1»SocialBan»LIA»ALL»CPA»LAL»X»NA»SS»NA»FreeAcctDeveloperFB-AnimatedGeneric-Ch1»PRC1Q5</v></cell><cell r="AH1329"><v>224104092</v></cell><cell r="AI1329" t="str"><v>AZR_FreeAcctDeveloperFB-AnimatedGeneric-Ch1_USA_1200x1200_CAN_Direct_English_Trial_Standard_ANI_LEA_T1_2</v></cell><cell r="AJ1329"><v>103176851</v></cell></row><row r="1330"><cell r="C1330" t="str"><v>43291FACEBOOK»USA-Trial-ITD-Trial PayGo Lookalike-AZR-AZR»1 x 1»SocialBan»LIA»ALL»CPA»LAL»X»NA»SS»NA»FreeAcctDeveloperFB-AnimatedOpenSource-Ch2»PRC1Q7</v></cell><cell r="D1330" t="str"><v>43291223862951</v></cell><cell r="E1330" t="str"><v>43291103048329PRC1Q7</v></cell><cell r="F1330" t="str"><v>DCM</v></cell><cell r="G1330" t="str"><v>https://azure.microsoft.com/en-us/free/open-source/search/?OCID=AID%eexcid!_OLA_%ebuy!_%epid!_%ecid!</v></cell></row><row r="1330"><cell r="K1330" t="str"><v>July</v></cell><cell r="L1330"><v>43295</v></cell><cell r="M1330" t="str"><v>Tier 0</v></cell><cell r="N1330" t="str"><v>North America</v></cell><cell r="O1330" t="str"><v>United States</v></cell><cell r="P1330" t="str"><v>Trial</v></cell><cell r="Q1330" t="str"><v>Social</v></cell><cell r="R1330" t="str"><v>Azure</v></cell><cell r="S1330" t="str"><v>Apps & Infra</v></cell><cell r="T1330" t="str"><v>Developers & ITI's</v></cell><cell r="U1330" t="str"><v>USA-Trial-ITD-Trial PayGo Lookalike-AZR-AZR</v></cell><cell r="V1330" t="str"><v>Lookalike Targeting</v></cell><cell r="W1330" t="str"><v>Link Ad</v></cell><cell r="X1330" t="str"><v>1x1</v></cell></row><row r="1330"><cell r="AA1330"><v>43291</v></cell><cell r="AB1330" t="str"><v>USA_gaPMG_AZR_AZR_Q1_19_Direct-Social</v></cell><cell r="AC1330"><v>21358715</v></cell><cell r="AD1330"><v>720197</v></cell><cell r="AE1330" t="str"><v>Facebook</v></cell><cell r="AF1330"><v>3654128</v></cell><cell r="AG1330" t="str"><v>FACEBOOK»USA-Trial-ITD-Trial PayGo Lookalike-AZR-AZR»1 x 1»SocialBan»LIA»ALL»CPA»LAL»X»NA»SS»NA»FreeAcctDeveloperFB-AnimatedOpenSource-Ch2»PRC1Q7</v></cell><cell r="AH1330"><v>223862951</v></cell><cell r="AI1330" t="str"><v>AZR_FreeAcctDeveloperFB-AnimatedOpenSource-Ch2_USA_1200x1200_CAN_Direct_English_Trial_Standard_ANI_LEA_T2_1</v></cell><cell r="AJ1330"><v>103048329</v></cell></row><row r="1331"><cell r="C1331" t="str"><v>43291FACEBOOK»USA-Trial-ITD-Trial PayGo Lookalike-AZR-AZR»1 x 1»SocialBan»LIA»ALL»CPA»LAL»X»NA»SS»NA»FreeAcctITProFB-AnimatedHybrid-Ch2»PRC1QC</v></cell><cell r="D1331" t="str"><v>43291223933186</v></cell><cell r="E1331" t="str"><v>43291103180583PRC1QC</v></cell><cell r="F1331" t="str"><v>DCM</v></cell></row><row r="1331"><cell r="K1331" t="str"><v>July</v></cell><cell r="L1331"><v>43295</v></cell><cell r="M1331" t="str"><v>Tier 0</v></cell><cell r="N1331" t="str"><v>North America</v></cell><cell r="O1331" t="str"><v>United States</v></cell><cell r="P1331" t="str"><v>Trial</v></cell><cell r="Q1331" t="str"><v>Social</v></cell><cell r="R1331" t="str"><v>Azure</v></cell><cell r="S1331" t="str"><v>Apps & Infra</v></cell><cell r="T1331" t="str"><v>Developers & ITI's</v></cell><cell r="U1331" t="str"><v>USA-Trial-ITD-Trial PayGo Lookalike-AZR-AZR</v></cell><cell r="V1331" t="str"><v>Lookalike Targeting</v></cell><cell r="W1331" t="str"><v>Link Ad</v></cell><cell r="X1331" t="str"><v>1x1</v></cell></row><row r="1331"><cell r="AA1331"><v>43291</v></cell><cell r="AB1331" t="str"><v>USA_gaPMG_AZR_AZR_Q1_19_Direct-Social</v></cell><cell r="AC1331"><v>21358715</v></cell><cell r="AD1331"><v>720197</v></cell><cell r="AE1331" t="str"><v>Facebook</v></cell><cell r="AF1331"><v>3654128</v></cell><cell r="AG1331" t="str"><v>FACEBOOK»USA-Trial-ITD-Trial PayGo Lookalike-AZR-AZR»1 x 1»SocialBan»LIA»ALL»CPA»LAL»X»NA»SS»NA»FreeAcctITProFB-AnimatedHybrid-Ch2»PRC1QC</v></cell><cell r="AH1331"><v>223933186</v></cell><cell r="AI1331" t="str"><v>AZR_FreeAcctITProFB-AnimatedHybrid-Ch2_USA_1200x1200_CAN_Direct_English_Trial_Standard_ANI_LEA_T2_2</v></cell><cell r="AJ1331"><v>103180583</v></cell></row><row r="1332"><cell r="C1332" t="str"><v>43291FACEBOOK»USA-Trial-ITD-Trial PayGo Lookalike-AZR-AZR»1 x 1»SocialBan»LIA»ALL»CPA»LAL»X»NA»SS»NA»FreeAcctITProFB-AnimatedMigration-Ch3»PRC23Y</v></cell><cell r="D1332" t="str"><v>43291224105904</v></cell><cell r="E1332" t="str"><v>43291103176827PRC23Y</v></cell><cell r="F1332" t="str"><v>DCM</v></cell></row><row r="1332"><cell r="K1332" t="str"><v>July</v></cell><cell r="L1332"><v>43295</v></cell><cell r="M1332" t="str"><v>Tier 0</v></cell><cell r="N1332" t="str"><v>North America</v></cell><cell r="O1332" t="str"><v>United States</v></cell><cell r="P1332" t="str"><v>Trial</v></cell><cell r="Q1332" t="str"><v>Social</v></cell><cell r="R1332" t="str"><v>Azure</v></cell><cell r="S1332" t="str"><v>Apps & Infra</v></cell><cell r="T1332" t="str"><v>Developers & ITI's</v></cell><cell r="U1332" t="str"><v>USA-Trial-ITD-Trial PayGo Lookalike-AZR-AZR</v></cell><cell r="V1332" t="str"><v>Lookalike Targeting</v></cell><cell r="W1332" t="str"><v>Link Ad</v></cell><cell r="X1332" t="str"><v>1x1</v></cell></row><row r="1332"><cell r="AA1332"><v>43291</v></cell><cell r="AB1332" t="str"><v>USA_gaPMG_AZR_AZR_Q1_19_Direct-Social</v></cell><cell r="AC1332"><v>21358715</v></cell><cell r="AD1332"><v>720197</v></cell><cell r="AE1332" t="str"><v>Facebook</v></cell><cell r="AF1332"><v>3654128</v></cell><cell r="AG1332" t="str"><v>FACEBOOK»USA-Trial-ITD-Trial PayGo Lookalike-AZR-AZR»1 x 1»SocialBan»LIA»ALL»CPA»LAL»X»NA»SS»NA»FreeAcctITProFB-AnimatedMigration-Ch3»PRC23Y</v></cell><cell r="AH1332"><v>224105904</v></cell><cell r="AI1332" t="str"><v>AZR_FreeAcctITProFB-AnimatedMigration-Ch3_USA_1200x1200_CAN_Direct_English_Trial_Standard_ANI_LEA_T3_1</v></cell><cell r="AJ1332"><v>103176827</v></cell></row><row r="1333"><cell r="C1333" t="str"><v>43291FACEBOOK»USA-Trial-ITD-Trial PayGo Lookalike-AZR-AZR»1 x 1»SocialBan»LIA»ALL»CPA»LAL»X»NA»SS»NA»FreeAcctITProFB-AnimatedSecureMngd-Ch1»PRC1QB</v></cell><cell r="D1333" t="str"><v>43291223862945</v></cell><cell r="E1333" t="str"><v>43291103176830PRC1QB</v></cell><cell r="F1333" t="str"><v>DCM</v></cell></row><row r="1333"><cell r="K1333" t="str"><v>July</v></cell><cell r="L1333"><v>43295</v></cell><cell r="M1333" t="str"><v>Tier 0</v></cell><cell r="N1333" t="str"><v>North America</v></cell><cell r="O1333" t="str"><v>United States</v></cell><cell r="P1333" t="str"><v>Trial</v></cell><cell r="Q1333" t="str"><v>Social</v></cell><cell r="R1333" t="str"><v>Azure</v></cell><cell r="S1333" t="str"><v>Apps & Infra</v></cell><cell r="T1333" t="str"><v>Developers & ITI's</v></cell><cell r="U1333" t="str"><v>USA-Trial-ITD-Trial PayGo Lookalike-AZR-AZR</v></cell><cell r="V1333" t="str"><v>Lookalike Targeting</v></cell><cell r="W1333" t="str"><v>Link Ad</v></cell><cell r="X1333" t="str"><v>1x1</v></cell></row><row r="1333"><cell r="AA1333"><v>43291</v></cell><cell r="AB1333" t="str"><v>USA_gaPMG_AZR_AZR_Q1_19_Direct-Social</v></cell><cell r="AC1333"><v>21358715</v></cell><cell r="AD1333"><v>720197</v></cell><cell r="AE1333" t="str"><v>Facebook</v></cell><cell r="AF1333"><v>3654128</v></cell><cell r="AG1333" t="str"><v>FACEBOOK»USA-Trial-ITD-Trial PayGo Lookalike-AZR-AZR»1 x 1»SocialBan»LIA»ALL»CPA»LAL»X»NA»SS»NA»FreeAcctITProFB-AnimatedSecureMngd-Ch1»PRC1QB</v></cell><cell r="AH1333"><v>223862945</v></cell><cell r="AI1333" t="str"><v>AZR_FreeAcctITProFB-AnimatedSecureMngd-Ch1_USA_1200x1200_CAN_Direct_English_Trial_Standard_ANI_LEA_T1_1</v></cell><cell r="AJ1333"><v>103176830</v></cell></row><row r="1334"><cell r="C1334" t="str"><v>43291INSTAGRAM»USA-Trial-ITD-Interest Prospecting-AZR-AZR»1 x 1»SocialBan»CAN»ALL»CPA»PRO»X»NA»SS»NA»IGCTCBrandinMotion»PRC2PB</v></cell><cell r="D1334" t="str"><v>43291223862690</v></cell><cell r="E1334" t="str"><v>43291103050783PRC2PB</v></cell><cell r="F1334" t="str"><v>DCM</v></cell><cell r="G1334" t="str"><v>https://signup.azure.com/?OCID=AID%eexcid!_OLA_%ebuy!_%epid!_%ecid!</v></cell></row><row r="1334"><cell r="K1334" t="str"><v>July</v></cell><cell r="L1334"><v>43295</v></cell><cell r="M1334" t="str"><v>Tier 0</v></cell><cell r="N1334" t="str"><v>North America</v></cell><cell r="O1334" t="str"><v>United States</v></cell><cell r="P1334" t="str"><v>Trial</v></cell><cell r="Q1334" t="str"><v>Social</v></cell><cell r="R1334" t="str"><v>Azure</v></cell><cell r="S1334" t="str"><v>Apps & Infra</v></cell><cell r="T1334" t="str"><v>Developers & ITI's</v></cell><cell r="U1334" t="str"><v>USA-Trial-ITD-Interest Prospecting-AZR-AZR</v></cell><cell r="V1334" t="str"><v>Prospecting</v></cell><cell r="W1334" t="str"><v>Canvas Ad</v></cell><cell r="X1334" t="str"><v>1x1</v></cell></row><row r="1334"><cell r="AA1334"><v>43291</v></cell><cell r="AB1334" t="str"><v>USA_gaPMG_AZR_AZR_Q1_19_Direct-Social</v></cell><cell r="AC1334"><v>21358715</v></cell><cell r="AD1334"><v>720197</v></cell><cell r="AE1334" t="str"><v>Facebook - Instagram</v></cell><cell r="AF1334"><v>3654128</v></cell><cell r="AG1334" t="str"><v>INSTAGRAM»USA-Trial-ITD-Interest Prospecting-AZR-AZR»1 x 1»SocialBan»CAN»ALL»CPA»PRO»X»NA»SS»NA»IGCTCBrandinMotion»PRC2PB</v></cell><cell r="AH1334"><v>223862690</v></cell><cell r="AI1334" t="str"><v>AzurePlatform_IGCTCBenefit2inMotion_USA_10s_CAN_PLATFORM_English_Trial_Standard_STAN_TIN_T4_1</v></cell><cell r="AJ1334"><v>103050783</v></cell></row><row r="1335"><cell r="C1335" t="str"><v>43291INSTAGRAM»USA-Trial-ITD-Retargeting-AZR-AZR»1 x 1»SocialBan»CAN»ALL»CPA»RT»X»NA»SS»NA»IGCTCBrandinMotion»PRC2G3</v></cell><cell r="D1335" t="str"><v>43291224107014</v></cell><cell r="E1335" t="str"><v>43291103050783PRC2G3</v></cell><cell r="F1335" t="str"><v>DCM</v></cell><cell r="G1335" t="str"><v>https://signup.azure.com/?OCID=AID%eexcid!_OLA_%ebuy!_%epid!_%ecid!</v></cell></row><row r="1335"><cell r="K1335" t="str"><v>July</v></cell><cell r="L1335"><v>43295</v></cell><cell r="M1335" t="str"><v>Tier 0</v></cell><cell r="N1335" t="str"><v>North America</v></cell><cell r="O1335" t="str"><v>United States</v></cell><cell r="P1335" t="str"><v>Trial</v></cell><cell r="Q1335" t="str"><v>Social</v></cell><cell r="R1335" t="str"><v>Azure</v></cell><cell r="S1335" t="str"><v>Apps & Infra</v></cell><cell r="T1335" t="str"><v>Developers & ITI's</v></cell><cell r="U1335" t="str"><v>USA-Trial-ITD-Retargeting-AZR-AZR</v></cell><cell r="V1335" t="str"><v>Retargeting</v></cell><cell r="W1335" t="str"><v>Canvas Ad</v></cell><cell r="X1335" t="str"><v>1x1</v></cell></row><row r="1335"><cell r="AA1335"><v>43291</v></cell><cell r="AB1335" t="str"><v>USA_gaPMG_AZR_AZR_Q1_19_Direct-Social</v></cell><cell r="AC1335"><v>21358715</v></cell><cell r="AD1335"><v>720197</v></cell><cell r="AE1335" t="str"><v>Facebook - Instagram</v></cell><cell r="AF1335"><v>3654128</v></cell><cell r="AG1335" t="str"><v>INSTAGRAM»USA-Trial-ITD-Retargeting-AZR-AZR»1 x 1»SocialBan»CAN»ALL»CPA»RT»X»NA»SS»NA»IGCTCBrandinMotion»PRC2G3</v></cell><cell r="AH1335"><v>224107014</v></cell><cell r="AI1335" t="str"><v>AzurePlatform_IGCTCBenefit2inMotion_USA_10s_CAN_PLATFORM_English_Trial_Standard_STAN_TIN_T4_1</v></cell><cell r="AJ1335"><v>103050783</v></cell></row><row r="1336"><cell r="C1336" t="str"><v>43291INSTAGRAM»USA-Trial-ITD-Trial Lookalike-AZR-AZR»1 x 1»SocialBan»CAN»ALL»CPA»LAL»X»NA»SS»NA»IGCTCBenefit2inMotion»PRC2FL</v></cell><cell r="D1336" t="str"><v>43291223935022</v></cell><cell r="E1336" t="str"><v>43291103050786PRC2FL</v></cell><cell r="F1336" t="str"><v>DCM</v></cell><cell r="G1336" t="str"><v>https://azure.microsoft.com/en-us/pricing/purchase-options/?v=18.19&OCID=AID%eexcid!_OLA_%ebuy!_%epid!_%ecid!</v></cell></row><row r="1336"><cell r="K1336" t="str"><v>July</v></cell><cell r="L1336"><v>43295</v></cell><cell r="M1336" t="str"><v>Tier 0</v></cell><cell r="N1336" t="str"><v>North America</v></cell><cell r="O1336" t="str"><v>United States</v></cell><cell r="P1336" t="str"><v>Trial</v></cell><cell r="Q1336" t="str"><v>Social</v></cell><cell r="R1336" t="str"><v>Azure</v></cell><cell r="S1336" t="str"><v>Apps & Infra</v></cell><cell r="T1336" t="str"><v>Developers & ITI's</v></cell><cell r="U1336" t="str"><v>USA-Trial-ITD-Trial Lookalike-AZR-AZR</v></cell><cell r="V1336" t="str"><v>Lookalike Targeting</v></cell><cell r="W1336" t="str"><v>Canvas Ad</v></cell><cell r="X1336" t="str"><v>1x1</v></cell></row><row r="1336"><cell r="AA1336"><v>43291</v></cell><cell r="AB1336" t="str"><v>USA_gaPMG_AZR_AZR_Q1_19_Direct-Social</v></cell><cell r="AC1336"><v>21358715</v></cell><cell r="AD1336"><v>720197</v></cell><cell r="AE1336" t="str"><v>Facebook - Instagram</v></cell><cell r="AF1336"><v>3654128</v></cell><cell r="AG1336" t="str"><v>INSTAGRAM»USA-Trial-ITD-Trial Lookalike-AZR-AZR»1 x 1»SocialBan»CAN»ALL»CPA»LAL»X»NA»SS»NA»IGCTCBenefit2inMotion»PRC2FL</v></cell><cell r="AH1336"><v>223935022</v></cell><cell r="AI1336" t="str"><v>AzurePlatform_IGCTCBrandinMotion_USA_10s_CAN_PLATFORM_English_Trial_Standard_STAN_TIN_T2_2</v></cell><cell r="AJ1336"><v>103050786</v></cell></row><row r="1337"><cell r="C1337" t="str"><v>43291INSTAGRAM»USA-Trial-ITD-Trial Lookalike-AZR-AZR»1 x 1»SocialBan»CAN»ALL»CPA»LAL»X»NA»SS»NA»IGCTCBrandinMotion»PRC2FH</v></cell><cell r="D1337" t="str"><v>43291223935019</v></cell><cell r="E1337" t="str"><v>43291103050783PRC2FH</v></cell><cell r="F1337" t="str"><v>DCM</v></cell><cell r="G1337" t="str"><v>https://signup.azure.com/?OCID=AID%eexcid!_OLA_%ebuy!_%epid!_%ecid!</v></cell></row><row r="1337"><cell r="K1337" t="str"><v>July</v></cell><cell r="L1337"><v>43295</v></cell><cell r="M1337" t="str"><v>Tier 0</v></cell><cell r="N1337" t="str"><v>North America</v></cell><cell r="O1337" t="str"><v>United States</v></cell><cell r="P1337" t="str"><v>Trial</v></cell><cell r="Q1337" t="str"><v>Social</v></cell><cell r="R1337" t="str"><v>Azure</v></cell><cell r="S1337" t="str"><v>Apps & Infra</v></cell><cell r="T1337" t="str"><v>Developers & ITI's</v></cell><cell r="U1337" t="str"><v>USA-Trial-ITD-Trial Lookalike-AZR-AZR</v></cell><cell r="V1337" t="str"><v>Lookalike Targeting</v></cell><cell r="W1337" t="str"><v>Canvas Ad</v></cell><cell r="X1337" t="str"><v>1x1</v></cell></row><row r="1337"><cell r="AA1337"><v>43291</v></cell><cell r="AB1337" t="str"><v>USA_gaPMG_AZR_AZR_Q1_19_Direct-Social</v></cell><cell r="AC1337"><v>21358715</v></cell><cell r="AD1337"><v>720197</v></cell><cell r="AE1337" t="str"><v>Facebook - Instagram</v></cell><cell r="AF1337"><v>3654128</v></cell><cell r="AG1337" t="str"><v>INSTAGRAM»USA-Trial-ITD-Trial Lookalike-AZR-AZR»1 x 1»SocialBan»CAN»ALL»CPA»LAL»X»NA»SS»NA»IGCTCBrandinMotion»PRC2FH</v></cell><cell r="AH1337"><v>223935019</v></cell><cell r="AI1337" t="str"><v>AzurePlatform_IGCTCBenefit2inMotion_USA_10s_CAN_PLATFORM_English_Trial_Standard_STAN_TIN_T4_1</v></cell><cell r="AJ1337"><v>103050783</v></cell></row><row r="1338"><cell r="C1338" t="str"><v>43291INSTAGRAM»USA-Trial-ITD-Trial Lookalike-AZR-AZR»1 x 1»SocialBan»CAN»ALL»CPA»LAL»X»NA»SS»NA»IGCTCBrandinMotion»PRC2FH</v></cell><cell r="D1338" t="str"><v>43291223935019</v></cell><cell r="E1338" t="str"><v>43291103178714PRC2FH</v></cell><cell r="F1338" t="str"><v>DCM</v></cell><cell r="G1338" t="str"><v>https://azure.microsoft.com/en-us/pricing/purchase-options/?v=18.19&OCID=AID%eexcid!_OLA_%ebuy!_%epid!_%ecid!</v></cell></row><row r="1338"><cell r="K1338" t="str"><v>July</v></cell><cell r="L1338"><v>43295</v></cell><cell r="M1338" t="str"><v>Tier 0</v></cell><cell r="N1338" t="str"><v>North America</v></cell><cell r="O1338" t="str"><v>United States</v></cell><cell r="P1338" t="str"><v>Trial</v></cell><cell r="Q1338" t="str"><v>Social</v></cell><cell r="R1338" t="str"><v>Azure</v></cell><cell r="S1338" t="str"><v>Apps & Infra</v></cell><cell r="T1338" t="str"><v>Developers & ITI's</v></cell><cell r="U1338" t="str"><v>USA-Trial-ITD-Trial Lookalike-AZR-AZR</v></cell><cell r="V1338" t="str"><v>Lookalike Targeting</v></cell><cell r="W1338" t="str"><v>Canvas Ad</v></cell><cell r="X1338" t="str"><v>1x1</v></cell></row><row r="1338"><cell r="AA1338"><v>43291</v></cell><cell r="AB1338" t="str"><v>USA_gaPMG_AZR_AZR_Q1_19_Direct-Social</v></cell><cell r="AC1338"><v>21358715</v></cell><cell r="AD1338"><v>720197</v></cell><cell r="AE1338" t="str"><v>Facebook - Instagram</v></cell><cell r="AF1338"><v>3654128</v></cell><cell r="AG1338" t="str"><v>INSTAGRAM»USA-Trial-ITD-Trial Lookalike-AZR-AZR»1 x 1»SocialBan»CAN»ALL»CPA»LAL»X»NA»SS»NA»IGCTCBrandinMotion»PRC2FH</v></cell><cell r="AH1338"><v>223935019</v></cell><cell r="AI1338" t="str"><v>AzurePlatform_IGCTCBenefit2inMotion_USA_10s_CAN_PLATFORM_English_Trial_Standard_STAN_TIN_T4_2</v></cell><cell r="AJ1338"><v>103178714</v></cell></row><row r="1339"><cell r="C1339" t="str"><v>43291INSTAGRAM»USA-Trial-ITD-Trial PayGo Lookalike-AZR-AZR»1 x 1»SocialBan»CAN»ALL»CPA»LAL»X»NA»SS»NA»IGCTCBenefit2inMotion»PRC2FZ</v></cell><cell r="D1339" t="str"><v>43291223933075</v></cell><cell r="E1339" t="str"><v>43291103180628PRC2FZ</v></cell><cell r="F1339" t="str"><v>DCM</v></cell><cell r="G1339" t="str"><v>https://signup.azure.com/?OCID=AID%eexcid!_OLA_%ebuy!_%epid!_%ecid!</v></cell></row><row r="1339"><cell r="K1339" t="str"><v>July</v></cell><cell r="L1339"><v>43295</v></cell><cell r="M1339" t="str"><v>Tier 0</v></cell><cell r="N1339" t="str"><v>North America</v></cell><cell r="O1339" t="str"><v>United States</v></cell><cell r="P1339" t="str"><v>Trial</v></cell><cell r="Q1339" t="str"><v>Social</v></cell><cell r="R1339" t="str"><v>Azure</v></cell><cell r="S1339" t="str"><v>Apps & Infra</v></cell><cell r="T1339" t="str"><v>Developers & ITI's</v></cell><cell r="U1339" t="str"><v>USA-Trial-ITD-Trial PayGo Lookalike-AZR-AZR</v></cell><cell r="V1339" t="str"><v>Lookalike Targeting</v></cell><cell r="W1339" t="str"><v>Canvas Ad</v></cell><cell r="X1339" t="str"><v>1x1</v></cell></row><row r="1339"><cell r="AA1339"><v>43291</v></cell><cell r="AB1339" t="str"><v>USA_gaPMG_AZR_AZR_Q1_19_Direct-Social</v></cell><cell r="AC1339"><v>21358715</v></cell><cell r="AD1339"><v>720197</v></cell><cell r="AE1339" t="str"><v>Facebook - Instagram</v></cell><cell r="AF1339"><v>3654128</v></cell><cell r="AG1339" t="str"><v>INSTAGRAM»USA-Trial-ITD-Trial PayGo Lookalike-AZR-AZR»1 x 1»SocialBan»CAN»ALL»CPA»LAL»X»NA»SS»NA»IGCTCBenefit2inMotion»PRC2FZ</v></cell><cell r="AH1339"><v>223933075</v></cell><cell r="AI1339" t="str"><v>AzurePlatform_IGCTCBrandinMotion_USA_10s_CAN_PLATFORM_English_Trial_Standard_STAN_TIN_T2_1</v></cell><cell r="AJ1339"><v>103180628</v></cell></row><row r="1340"><cell r="C1340" t="str"><v>43291INSTAGRAM»USA-Trial-ITD-Trial PayGo Lookalike-AZR-AZR»1 x 1»SocialBan»CAN»ALL»CPA»LAL»X»NA»SS»NA»IGCTCBenefit2inMotion»PRC2FZ</v></cell><cell r="D1340" t="str"><v>43291223933075</v></cell><cell r="E1340" t="str"><v>43291103050786PRC2FZ</v></cell><cell r="F1340" t="str"><v>DCM</v></cell><cell r="G1340" t="str"><v>https://azure.microsoft.com/en-us/pricing/purchase-options/?v=18.19&OCID=AID%eexcid!_OLA_%ebuy!_%epid!_%ecid!</v></cell></row><row r="1340"><cell r="K1340" t="str"><v>July</v></cell><cell r="L1340"><v>43295</v></cell><cell r="M1340" t="str"><v>Tier 0</v></cell><cell r="N1340" t="str"><v>North America</v></cell><cell r="O1340" t="str"><v>United States</v></cell><cell r="P1340" t="str"><v>Trial</v></cell><cell r="Q1340" t="str"><v>Social</v></cell><cell r="R1340" t="str"><v>Azure</v></cell><cell r="S1340" t="str"><v>Apps & Infra</v></cell><cell r="T1340" t="str"><v>Developers & ITI's</v></cell><cell r="U1340" t="str"><v>USA-Trial-ITD-Trial PayGo Lookalike-AZR-AZR</v></cell><cell r="V1340" t="str"><v>Lookalike Targeting</v></cell><cell r="W1340" t="str"><v>Canvas Ad</v></cell><cell r="X1340" t="str"><v>1x1</v></cell></row><row r="1340"><cell r="AA1340"><v>43291</v></cell><cell r="AB1340" t="str"><v>USA_gaPMG_AZR_AZR_Q1_19_Direct-Social</v></cell><cell r="AC1340"><v>21358715</v></cell><cell r="AD1340"><v>720197</v></cell><cell r="AE1340" t="str"><v>Facebook - Instagram</v></cell><cell r="AF1340"><v>3654128</v></cell><cell r="AG1340" t="str"><v>INSTAGRAM»USA-Trial-ITD-Trial PayGo Lookalike-AZR-AZR»1 x 1»SocialBan»CAN»ALL»CPA»LAL»X»NA»SS»NA»IGCTCBenefit2inMotion»PRC2FZ</v></cell><cell r="AH1340"><v>223933075</v></cell><cell r="AI1340" t="str"><v>AzurePlatform_IGCTCBrandinMotion_USA_10s_CAN_PLATFORM_English_Trial_Standard_STAN_TIN_T2_2</v></cell><cell r="AJ1340"><v>103050786</v></cell></row><row r="1341"><cell r="C1341" t="str"><v>43291INSTAGRAM»USA-Trial-ITD-Interest Prospecting-AZR-AZR»1 x 1»SocialBan»CAN»ALL»CPA»PRO»X»NA»SS»NA»IGCTCBasicMotion»PRC2PF</v></cell><cell r="D1341" t="str"><v>43291224106621</v></cell><cell r="E1341" t="str"><v>43291103037968PRC2PF</v></cell><cell r="F1341" t="str"><v>DCM</v></cell><cell r="G1341" t="str"><v>https://signup.azure.com/?OCID=AID%eexcid!_OLA_%ebuy!_%epid!_%ecid!</v></cell></row><row r="1341"><cell r="K1341" t="str"><v>July</v></cell><cell r="L1341"><v>43295</v></cell><cell r="M1341" t="str"><v>Tier 0</v></cell><cell r="N1341" t="str"><v>North America</v></cell><cell r="O1341" t="str"><v>United States</v></cell><cell r="P1341" t="str"><v>Trial</v></cell><cell r="Q1341" t="str"><v>Social</v></cell><cell r="R1341" t="str"><v>Azure</v></cell><cell r="S1341" t="str"><v>Apps & Infra</v></cell><cell r="T1341" t="str"><v>Developers & ITI's</v></cell><cell r="U1341" t="str"><v>USA-Trial-ITD-Interest Prospecting-AZR-AZR</v></cell><cell r="V1341" t="str"><v>Prospecting</v></cell><cell r="W1341" t="str"><v>Canvas Ad</v></cell><cell r="X1341" t="str"><v>1x1</v></cell></row><row r="1341"><cell r="AA1341"><v>43291</v></cell><cell r="AB1341" t="str"><v>USA_gaPMG_AZR_AZR_Q1_19_Direct-Social</v></cell><cell r="AC1341"><v>21358715</v></cell><cell r="AD1341"><v>720197</v></cell><cell r="AE1341" t="str"><v>Facebook - Instagram</v></cell><cell r="AF1341"><v>3654128</v></cell><cell r="AG1341" t="str"><v>INSTAGRAM»USA-Trial-ITD-Interest Prospecting-AZR-AZR»1 x 1»SocialBan»CAN»ALL»CPA»PRO»X»NA»SS»NA»IGCTCBasicMotion»PRC2PF</v></cell><cell r="AH1341"><v>224106621</v></cell><cell r="AI1341" t="str"><v>AzurePlatform_IGCTCBasicMotion_USA_10s_CAN_PLATFORM_English_Trial_Standard_STAN_TIN_T1_1</v></cell><cell r="AJ1341"><v>103037968</v></cell></row><row r="1342"><cell r="C1342" t="str"><v>43291INSTAGRAM»USA-Trial-ITD-Interest Prospecting-AZR-AZR»1 x 1»SocialBan»CAN»ALL»CPA»PRO»X»NA»SS»NA»IGCTCBasicMotion»PRC2PF</v></cell><cell r="D1342" t="str"><v>43291224106621</v></cell><cell r="E1342" t="str"><v>43291103037974PRC2PF</v></cell><cell r="F1342" t="str"><v>DCM</v></cell><cell r="G1342" t="str"><v>https://azure.microsoft.com/en-us/pricing/purchase-options/?v=18.19&OCID=AID%eexcid!_OLA_%ebuy!_%epid!_%ecid!</v></cell></row><row r="1342"><cell r="K1342" t="str"><v>July</v></cell><cell r="L1342"><v>43295</v></cell><cell r="M1342" t="str"><v>Tier 0</v></cell><cell r="N1342" t="str"><v>North America</v></cell><cell r="O1342" t="str"><v>United States</v></cell><cell r="P1342" t="str"><v>Trial</v></cell><cell r="Q1342" t="str"><v>Social</v></cell><cell r="R1342" t="str"><v>Azure</v></cell><cell r="S1342" t="str"><v>Apps & Infra</v></cell><cell r="T1342" t="str"><v>Developers & ITI's</v></cell><cell r="U1342" t="str"><v>USA-Trial-ITD-Interest Prospecting-AZR-AZR</v></cell><cell r="V1342" t="str"><v>Prospecting</v></cell><cell r="W1342" t="str"><v>Canvas Ad</v></cell><cell r="X1342" t="str"><v>1x1</v></cell></row><row r="1342"><cell r="AA1342"><v>43291</v></cell><cell r="AB1342" t="str"><v>USA_gaPMG_AZR_AZR_Q1_19_Direct-Social</v></cell><cell r="AC1342"><v>21358715</v></cell><cell r="AD1342"><v>720197</v></cell><cell r="AE1342" t="str"><v>Facebook - Instagram</v></cell><cell r="AF1342"><v>3654128</v></cell><cell r="AG1342" t="str"><v>INSTAGRAM»USA-Trial-ITD-Interest Prospecting-AZR-AZR»1 x 1»SocialBan»CAN»ALL»CPA»PRO»X»NA»SS»NA»IGCTCBasicMotion»PRC2PF</v></cell><cell r="AH1342"><v>224106621</v></cell><cell r="AI1342" t="str"><v>AzurePlatform_IGCTCBasicMotion_USA_10s_CAN_PLATFORM_English_Trial_Standard_STAN_TIN_T1_2</v></cell><cell r="AJ1342"><v>103037974</v></cell></row><row r="1343"><cell r="C1343" t="str"><v>43291INSTAGRAM»USA-Trial-ITD-Trial PayGo Lookalike-AZR-AZR»1 x 1»SocialBan»CAN»ALL»CPA»LAL»X»NA»SS»NA»IGCTCBasicMotion»PRC2G0</v></cell><cell r="D1343" t="str"><v>43291224106891</v></cell><cell r="E1343" t="str"><v>43291103037968PRC2G0</v></cell><cell r="F1343" t="str"><v>DCM</v></cell><cell r="G1343" t="str"><v>https://signup.azure.com/?OCID=AID%eexcid!_OLA_%ebuy!_%epid!_%ecid!</v></cell></row><row r="1343"><cell r="K1343" t="str"><v>July</v></cell><cell r="L1343"><v>43295</v></cell><cell r="M1343" t="str"><v>Tier 0</v></cell><cell r="N1343" t="str"><v>North America</v></cell><cell r="O1343" t="str"><v>United States</v></cell><cell r="P1343" t="str"><v>Trial</v></cell><cell r="Q1343" t="str"><v>Social</v></cell><cell r="R1343" t="str"><v>Azure</v></cell><cell r="S1343" t="str"><v>Apps & Infra</v></cell><cell r="T1343" t="str"><v>Developers & ITI's</v></cell><cell r="U1343" t="str"><v>USA-Trial-ITD-Trial PayGo Lookalike-AZR-AZR</v></cell><cell r="V1343" t="str"><v>Lookalike Targeting</v></cell><cell r="W1343" t="str"><v>Canvas Ad</v></cell><cell r="X1343" t="str"><v>1x1</v></cell></row><row r="1343"><cell r="AA1343"><v>43291</v></cell><cell r="AB1343" t="str"><v>USA_gaPMG_AZR_AZR_Q1_19_Direct-Social</v></cell><cell r="AC1343"><v>21358715</v></cell><cell r="AD1343"><v>720197</v></cell><cell r="AE1343" t="str"><v>Facebook - Instagram</v></cell><cell r="AF1343"><v>3654128</v></cell><cell r="AG1343" t="str"><v>INSTAGRAM»USA-Trial-ITD-Trial PayGo Lookalike-AZR-AZR»1 x 1»SocialBan»CAN»ALL»CPA»LAL»X»NA»SS»NA»IGCTCBasicMotion»PRC2G0</v></cell><cell r="AH1343"><v>224106891</v></cell><cell r="AI1343" t="str"><v>AzurePlatform_IGCTCBasicMotion_USA_10s_CAN_PLATFORM_English_Trial_Standard_STAN_TIN_T1_1</v></cell><cell r="AJ1343"><v>103037968</v></cell></row><row r="1344"><cell r="C1344" t="str"><v>43292Facebook»Audience & Interest Targeting»1x1»Canvas»OTH»DT»DYN»AUT»W»NA»SS»NA»FBCTCcanvaspage-StartFreeCTA_FBCTCcanvaspage-BuyNowCTA</v></cell><cell r="D1344" t="str"><v>43292224639151</v></cell><cell r="E1344" t="str"><v>43292103316832NowCTA</v></cell><cell r="F1344" t="str"><v>DCM</v></cell><cell r="G1344" t="str"><v>https://azure.microsoft.com/en-au/pricing/purchase-options/</v></cell></row><row r="1344"><cell r="K1344" t="str"><v>July</v></cell><cell r="L1344"><v>43295</v></cell><cell r="M1344" t="str"><v>Tier 1</v></cell><cell r="N1344" t="str"><v>APAC</v></cell><cell r="O1344" t="str"><v>Australia</v></cell><cell r="P1344" t="str"><v>Trial</v></cell><cell r="Q1344" t="str"><v>Social</v></cell><cell r="R1344" t="str"><v>Azure</v></cell><cell r="S1344" t="str"><v>Apps & Infra</v></cell><cell r="T1344" t="str"><v>Developers & ITI's</v></cell><cell r="U1344" t="str"><v>Audience & Interest Targeting</v></cell><cell r="V1344" t="str"><v>Audience Targeting</v></cell><cell r="W1344" t="str"><v>Other</v></cell><cell r="X1344" t="str"><v>1x1</v></cell></row><row r="1344"><cell r="AA1344"><v>43292</v></cell><cell r="AB1344" t="str"><v>AUS_gaPMG_AZR_AZR_Q1_19_Trial-Social</v></cell><cell r="AC1344"><v>21358568</v></cell><cell r="AD1344"><v>720191</v></cell><cell r="AE1344" t="str"><v>Facebook</v></cell><cell r="AF1344"><v>3654128</v></cell><cell r="AG1344" t="str"><v>Facebook»Audience & Interest Targeting»1x1»Canvas»OTH»DT»DYN»AUT»W»NA»SS»NA»FBCTCcanvaspage-StartFreeCTA_FBCTCcanvaspage-BuyNowCTA</v></cell><cell r="AH1344"><v>224639151</v></cell><cell r="AI1344" t="str"><v>AzurePlatform_FBCTCcanvaspage-BuyNowCTA-Img3_AUS_1080x162_SOC_Plat_English_NA_Standard_NA_BN_T3_1</v></cell><cell r="AJ1344"><v>103316832</v></cell></row><row r="1345"><cell r="C1345" t="str"><v>43292Facebook»Audience & Interest Targeting»1x1»Canvas»OTH»DT»DYN»AUT»W»NA»SS»NA»FBCTCcanvaspage-StartFreeCTA_FBCTCcanvaspage-BuyNowCTA</v></cell><cell r="D1345" t="str"><v>43292224639151</v></cell><cell r="E1345" t="str"><v>43292103316829NowCTA</v></cell><cell r="F1345" t="str"><v>DCM</v></cell><cell r="G1345" t="str"><v>https://signup.azure.com/signup?offer=ms-azr-0044p&appId=102&ref=paidmedia-social-fb&redirectURL=https%3a%2f%2fazure.microsoft.com%2fen-au%2fget-started%2fwelcome-to-azure%2f&l=en-au&correlationId=ead86c34-1f10-49dd-a72b-6918462a2cbf</v></cell></row><row r="1345"><cell r="K1345" t="str"><v>July</v></cell><cell r="L1345"><v>43295</v></cell><cell r="M1345" t="str"><v>Tier 1</v></cell><cell r="N1345" t="str"><v>APAC</v></cell><cell r="O1345" t="str"><v>Australia</v></cell><cell r="P1345" t="str"><v>Trial</v></cell><cell r="Q1345" t="str"><v>Social</v></cell><cell r="R1345" t="str"><v>Azure</v></cell><cell r="S1345" t="str"><v>Apps & Infra</v></cell><cell r="T1345" t="str"><v>Developers & ITI's</v></cell><cell r="U1345" t="str"><v>Audience & Interest Targeting</v></cell><cell r="V1345" t="str"><v>Audience Targeting</v></cell><cell r="W1345" t="str"><v>Other</v></cell><cell r="X1345" t="str"><v>1x1</v></cell></row><row r="1345"><cell r="AA1345"><v>43292</v></cell><cell r="AB1345" t="str"><v>AUS_gaPMG_AZR_AZR_Q1_19_Trial-Social</v></cell><cell r="AC1345"><v>21358568</v></cell><cell r="AD1345"><v>720191</v></cell><cell r="AE1345" t="str"><v>Facebook</v></cell><cell r="AF1345"><v>3654128</v></cell><cell r="AG1345" t="str"><v>Facebook»Audience & Interest Targeting»1x1»Canvas»OTH»DT»DYN»AUT»W»NA»SS»NA»FBCTCcanvaspage-StartFreeCTA_FBCTCcanvaspage-BuyNowCTA</v></cell><cell r="AH1345"><v>224639151</v></cell><cell r="AI1345" t="str"><v>AzurePlatform_FBCTCcanvaspage-StartFreeCTA-Img2_AUS_1080x143 _SOC_Plat_English_NA_Standard_NA_NA_T2_1</v></cell><cell r="AJ1345"><v>103316829</v></cell></row><row r="1346"><cell r="C1346" t="str"><v>43292Facebook»Audience & Interest Targeting»1x1»TextLink»OTH»DT»DYN»AUT»W»NA»SS»NA»Free Account Refresh- 12 months ChE</v></cell><cell r="D1346" t="str"><v>43292224160783</v></cell><cell r="E1346" t="str"><v>43292103051614hs ChE</v></cell><cell r="F1346" t="str"><v>DCM</v></cell></row><row r="1346"><cell r="K1346" t="str"><v>July</v></cell><cell r="L1346"><v>43295</v></cell><cell r="M1346" t="str"><v>Tier 1</v></cell><cell r="N1346" t="str"><v>APAC</v></cell><cell r="O1346" t="str"><v>Australia</v></cell><cell r="P1346" t="str"><v>Trial</v></cell><cell r="Q1346" t="str"><v>Social</v></cell><cell r="R1346" t="str"><v>Azure</v></cell><cell r="S1346" t="str"><v>Apps & Infra</v></cell><cell r="T1346" t="str"><v>Developers & ITI's</v></cell><cell r="U1346" t="str"><v>Audience & Interest Targeting</v></cell><cell r="V1346" t="str"><v>Audience Targeting</v></cell><cell r="W1346" t="str"><v>Other</v></cell><cell r="X1346" t="str"><v>1x1</v></cell></row><row r="1346"><cell r="AA1346"><v>43292</v></cell><cell r="AB1346" t="str"><v>AUS_gaPMG_AZR_AZR_Q1_19_Trial-Social</v></cell><cell r="AC1346"><v>21358568</v></cell><cell r="AD1346"><v>720191</v></cell><cell r="AE1346" t="str"><v>Facebook</v></cell><cell r="AF1346"><v>3654128</v></cell><cell r="AG1346" t="str"><v>Facebook»Audience & Interest Targeting»1x1»TextLink»OTH»DT»DYN»AUT»W»NA»SS»NA»Free Account Refresh- 12 months ChE</v></cell><cell r="AH1346"><v>224160783</v></cell><cell r="AI1346" t="str"><v>AzurePlatform_FreeAcctAppsFACEBOOK12monthsChE_AUS_1200x628_SOC_PLAT_EN_Trial_Standard_NA_SNU_T5_1</v></cell><cell r="AJ1346"><v>103051614</v></cell></row><row r="1347"><cell r="C1347" t="str"><v>43292Facebook»Audience & Interest Targeting»1x1»TextLink»OTH»DT»DYN»AUT»W»NA»SS»NA»Free Account Refresh- Device ChB</v></cell><cell r="D1347" t="str"><v>43292224160777</v></cell><cell r="E1347" t="str"><v>43292103048479ce ChB</v></cell><cell r="F1347" t="str"><v>DCM</v></cell></row><row r="1347"><cell r="K1347" t="str"><v>July</v></cell><cell r="L1347"><v>43295</v></cell><cell r="M1347" t="str"><v>Tier 1</v></cell><cell r="N1347" t="str"><v>APAC</v></cell><cell r="O1347" t="str"><v>Australia</v></cell><cell r="P1347" t="str"><v>Trial</v></cell><cell r="Q1347" t="str"><v>Social</v></cell><cell r="R1347" t="str"><v>Azure</v></cell><cell r="S1347" t="str"><v>Apps & Infra</v></cell><cell r="T1347" t="str"><v>Developers & ITI's</v></cell><cell r="U1347" t="str"><v>Audience & Interest Targeting</v></cell><cell r="V1347" t="str"><v>Audience Targeting</v></cell><cell r="W1347" t="str"><v>Other</v></cell><cell r="X1347" t="str"><v>1x1</v></cell></row><row r="1347"><cell r="AA1347"><v>43292</v></cell><cell r="AB1347" t="str"><v>AUS_gaPMG_AZR_AZR_Q1_19_Trial-Social</v></cell><cell r="AC1347"><v>21358568</v></cell><cell r="AD1347"><v>720191</v></cell><cell r="AE1347" t="str"><v>Facebook</v></cell><cell r="AF1347"><v>3654128</v></cell><cell r="AG1347" t="str"><v>Facebook»Audience & Interest Targeting»1x1»TextLink»OTH»DT»DYN»AUT»W»NA»SS»NA»Free Account Refresh- Device ChB</v></cell><cell r="AH1347"><v>224160777</v></cell><cell r="AI1347" t="str"><v>AzurePlatform_FreeAcctAppsFACEBOOKDeviceChB_AUS_1200x628_SOC_PLAT_EN_Trial_Standard_NA_SNU_T2_1</v></cell><cell r="AJ1347"><v>103048479</v></cell></row><row r="1348"><cell r="C1348" t="str"><v>43292Facebook»Audience & Interest Targeting»1x1»TextLink»OTH»DT»DYN»AUT»W»NA»SS»NA»Free Account Refresh- Illustration ChC</v></cell><cell r="D1348" t="str"><v>43292224160774</v></cell><cell r="E1348" t="str"><v>43292103186910on ChC</v></cell><cell r="F1348" t="str"><v>DCM</v></cell></row><row r="1348"><cell r="K1348" t="str"><v>July</v></cell><cell r="L1348"><v>43295</v></cell><cell r="M1348" t="str"><v>Tier 1</v></cell><cell r="N1348" t="str"><v>APAC</v></cell><cell r="O1348" t="str"><v>Australia</v></cell><cell r="P1348" t="str"><v>Trial</v></cell><cell r="Q1348" t="str"><v>Social</v></cell><cell r="R1348" t="str"><v>Azure</v></cell><cell r="S1348" t="str"><v>Apps & Infra</v></cell><cell r="T1348" t="str"><v>Developers & ITI's</v></cell><cell r="U1348" t="str"><v>Audience & Interest Targeting</v></cell><cell r="V1348" t="str"><v>Audience Targeting</v></cell><cell r="W1348" t="str"><v>Other</v></cell><cell r="X1348" t="str"><v>1x1</v></cell></row><row r="1348"><cell r="AA1348"><v>43292</v></cell><cell r="AB1348" t="str"><v>AUS_gaPMG_AZR_AZR_Q1_19_Trial-Social</v></cell><cell r="AC1348"><v>21358568</v></cell><cell r="AD1348"><v>720191</v></cell><cell r="AE1348" t="str"><v>Facebook</v></cell><cell r="AF1348"><v>3654128</v></cell><cell r="AG1348" t="str"><v>Facebook»Audience & Interest Targeting»1x1»TextLink»OTH»DT»DYN»AUT»W»NA»SS»NA»Free Account Refresh- Illustration ChC</v></cell><cell r="AH1348"><v>224160774</v></cell><cell r="AI1348" t="str"><v>AzurePlatform_FreeAcctAppsFACEBOOKIllustrationChC_AUS_1200x628_SOC_PLAT_EN_Trial_Standard_NA_SNU_T3_1</v></cell><cell r="AJ1348"><v>103186910</v></cell></row><row r="1349"><cell r="C1349" t="str"><v>43292Facebook»AZR»1x1»NA»EGV»ALL»DYN»AUT»D»All»SS»NA»Free Acc CTC - T1 - EN</v></cell><cell r="D1349" t="str"><v>43292223684451</v></cell><cell r="E1349" t="str"><v>432921029018821 - EN</v></cell><cell r="F1349" t="str"><v>DCM</v></cell><cell r="G1349" t="str"><v>https://signup.azure.com/</v></cell></row><row r="1349"><cell r="K1349" t="str"><v>July</v></cell><cell r="L1349"><v>43295</v></cell><cell r="M1349" t="str"><v>Tier 1</v></cell><cell r="N1349" t="str"><v>North America</v></cell><cell r="O1349" t="str"><v>Canada</v></cell><cell r="P1349" t="str"><v>Trial</v></cell><cell r="Q1349" t="str"><v>Social</v></cell><cell r="R1349" t="str"><v>Azure</v></cell><cell r="S1349" t="str"><v>Apps & Infra</v></cell><cell r="T1349" t="str"><v>Developers & ITI's</v></cell><cell r="U1349" t="str"><v>AZR</v></cell><cell r="V1349" t="str"><v>Audience Targeting</v></cell><cell r="W1349" t="str"><v>Engagement Video</v></cell><cell r="X1349" t="str"><v>1x1</v></cell></row><row r="1349"><cell r="AA1349"><v>43292</v></cell><cell r="AB1349" t="str"><v>CAN_gaPMG_AZR_AZR_Q1_19_Trial-Social</v></cell><cell r="AC1349"><v>21337220</v></cell><cell r="AD1349"><v>720192</v></cell><cell r="AE1349" t="str"><v>Facebook</v></cell><cell r="AF1349"><v>3654128</v></cell><cell r="AG1349" t="str"><v>Facebook»AZR»1x1»NA»EGV»ALL»DYN»AUT»D»All»SS»NA»Free Acc CTC - T1 - EN</v></cell><cell r="AH1349"><v>223684451</v></cell><cell r="AI1349" t="str"><v>AzurePlatform_FBCTCBasicMotion_CAN_10s_ISV_PLAT_English_Trial_Standard_STAN_TN_T1_1</v></cell><cell r="AJ1349"><v>102901882</v></cell></row><row r="1350"><cell r="C1350" t="str"><v>43292Facebook»AZR»1x1»NA»EGV»ALL»DYN»AUT»D»All»SS»NA»Free Acc CTC - T1 - FR</v></cell><cell r="D1350" t="str"><v>43292223691801</v></cell><cell r="E1350" t="str"><v>432921030533231 - FR</v></cell><cell r="F1350" t="str"><v>DCM</v></cell><cell r="G1350" t="str"><v>https://signup.azure.com/</v></cell></row><row r="1350"><cell r="K1350" t="str"><v>July</v></cell><cell r="L1350"><v>43295</v></cell><cell r="M1350" t="str"><v>Tier 1</v></cell><cell r="N1350" t="str"><v>North America</v></cell><cell r="O1350" t="str"><v>Canada</v></cell><cell r="P1350" t="str"><v>Trial</v></cell><cell r="Q1350" t="str"><v>Social</v></cell><cell r="R1350" t="str"><v>Azure</v></cell><cell r="S1350" t="str"><v>Apps & Infra</v></cell><cell r="T1350" t="str"><v>Developers & ITI's</v></cell><cell r="U1350" t="str"><v>AZR</v></cell><cell r="V1350" t="str"><v>Audience Targeting</v></cell><cell r="W1350" t="str"><v>Engagement Video</v></cell><cell r="X1350" t="str"><v>1x1</v></cell></row><row r="1350"><cell r="AA1350"><v>43292</v></cell><cell r="AB1350" t="str"><v>CAN_gaPMG_AZR_AZR_Q1_19_Trial-Social</v></cell><cell r="AC1350"><v>21337220</v></cell><cell r="AD1350"><v>720192</v></cell><cell r="AE1350" t="str"><v>Facebook</v></cell><cell r="AF1350"><v>3654128</v></cell><cell r="AG1350" t="str"><v>Facebook»AZR»1x1»NA»EGV»ALL»DYN»AUT»D»All»SS»NA»Free Acc CTC - T1 - FR</v></cell><cell r="AH1350"><v>223691801</v></cell><cell r="AI1350" t="str"><v>AzurePlatform_FBCTCBasicMotion_CAN_10s_ISV_PLAT_FR_Trial_Standard_STAN_TN_T1_1</v></cell><cell r="AJ1350"><v>103053323</v></cell></row><row r="1351"><cell r="C1351" t="str"><v>43292Facebook»AZR»1x1»NA»EGV»ALL»DYN»AUT»D»All»SS»NA»Free Acc CTC - T2 - EN</v></cell><cell r="D1351" t="str"><v>43292223691840</v></cell><cell r="E1351" t="str"><v>432921029029502 - EN</v></cell><cell r="F1351" t="str"><v>DCM</v></cell><cell r="G1351" t="str"><v>https://signup.azure.com/</v></cell></row><row r="1351"><cell r="K1351" t="str"><v>July</v></cell><cell r="L1351"><v>43295</v></cell><cell r="M1351" t="str"><v>Tier 1</v></cell><cell r="N1351" t="str"><v>North America</v></cell><cell r="O1351" t="str"><v>Canada</v></cell><cell r="P1351" t="str"><v>Trial</v></cell><cell r="Q1351" t="str"><v>Social</v></cell><cell r="R1351" t="str"><v>Azure</v></cell><cell r="S1351" t="str"><v>Apps & Infra</v></cell><cell r="T1351" t="str"><v>Developers & ITI's</v></cell><cell r="U1351" t="str"><v>AZR</v></cell><cell r="V1351" t="str"><v>Audience Targeting</v></cell><cell r="W1351" t="str"><v>Engagement Video</v></cell><cell r="X1351" t="str"><v>1x1</v></cell></row><row r="1351"><cell r="AA1351"><v>43292</v></cell><cell r="AB1351" t="str"><v>CAN_gaPMG_AZR_AZR_Q1_19_Trial-Social</v></cell><cell r="AC1351"><v>21337220</v></cell><cell r="AD1351"><v>720192</v></cell><cell r="AE1351" t="str"><v>Facebook</v></cell><cell r="AF1351"><v>3654128</v></cell><cell r="AG1351" t="str"><v>Facebook»AZR»1x1»NA»EGV»ALL»DYN»AUT»D»All»SS»NA»Free Acc CTC - T2 - EN</v></cell><cell r="AH1351"><v>223691840</v></cell><cell r="AI1351" t="str"><v>AzurePlatform_FBCTCBrandinMotion_CAN_12s_ISV_PLAT_English_Trial_Standard_STAN_TN_T2_1</v></cell><cell r="AJ1351"><v>102902950</v></cell></row><row r="1352"><cell r="C1352" t="str"><v>43292Facebook»AZR»1x1»NA»EGV»ALL»DYN»AUT»D»All»SS»NA»Free Acc CTC - T2 - FR</v></cell><cell r="D1352" t="str"><v>43292223691798</v></cell><cell r="E1352" t="str"><v>432921029163472 - FR</v></cell><cell r="F1352" t="str"><v>DCM</v></cell><cell r="G1352" t="str"><v>https://signup.azure.com/</v></cell></row><row r="1352"><cell r="K1352" t="str"><v>July</v></cell><cell r="L1352"><v>43295</v></cell><cell r="M1352" t="str"><v>Tier 1</v></cell><cell r="N1352" t="str"><v>North America</v></cell><cell r="O1352" t="str"><v>Canada</v></cell><cell r="P1352" t="str"><v>Trial</v></cell><cell r="Q1352" t="str"><v>Social</v></cell><cell r="R1352" t="str"><v>Azure</v></cell><cell r="S1352" t="str"><v>Apps & Infra</v></cell><cell r="T1352" t="str"><v>Developers & ITI's</v></cell><cell r="U1352" t="str"><v>AZR</v></cell><cell r="V1352" t="str"><v>Audience Targeting</v></cell><cell r="W1352" t="str"><v>Engagement Video</v></cell><cell r="X1352" t="str"><v>1x1</v></cell></row><row r="1352"><cell r="AA1352"><v>43292</v></cell><cell r="AB1352" t="str"><v>CAN_gaPMG_AZR_AZR_Q1_19_Trial-Social</v></cell><cell r="AC1352"><v>21337220</v></cell><cell r="AD1352"><v>720192</v></cell><cell r="AE1352" t="str"><v>Facebook</v></cell><cell r="AF1352"><v>3654128</v></cell><cell r="AG1352" t="str"><v>Facebook»AZR»1x1»NA»EGV»ALL»DYN»AUT»D»All»SS»NA»Free Acc CTC - T2 - FR</v></cell><cell r="AH1352"><v>223691798</v></cell><cell r="AI1352" t="str"><v>AzurePlatform_FBCTCBrandinMotion_CAN_12s_ISV_PLAT_FR_Trial_Standard_STAN_TN_T2_1</v></cell><cell r="AJ1352"><v>102916347</v></cell></row><row r="1353"><cell r="C1353" t="str"><v>43292Facebook»AZR»1x1»NA»EGV»ALL»DYN»AUT»D»All»SS»NA»Free Acc CTC - T4 - EN</v></cell><cell r="D1353" t="str"><v>43292223691837</v></cell><cell r="E1353" t="str"><v>432921030533144 - EN</v></cell><cell r="F1353" t="str"><v>DCM</v></cell><cell r="G1353" t="str"><v>https://signup.azure.com/</v></cell></row><row r="1353"><cell r="K1353" t="str"><v>July</v></cell><cell r="L1353"><v>43295</v></cell><cell r="M1353" t="str"><v>Tier 1</v></cell><cell r="N1353" t="str"><v>North America</v></cell><cell r="O1353" t="str"><v>Canada</v></cell><cell r="P1353" t="str"><v>Trial</v></cell><cell r="Q1353" t="str"><v>Social</v></cell><cell r="R1353" t="str"><v>Azure</v></cell><cell r="S1353" t="str"><v>Apps & Infra</v></cell><cell r="T1353" t="str"><v>Developers & ITI's</v></cell><cell r="U1353" t="str"><v>AZR</v></cell><cell r="V1353" t="str"><v>Audience Targeting</v></cell><cell r="W1353" t="str"><v>Engagement Video</v></cell><cell r="X1353" t="str"><v>1x1</v></cell></row><row r="1353"><cell r="AA1353"><v>43292</v></cell><cell r="AB1353" t="str"><v>CAN_gaPMG_AZR_AZR_Q1_19_Trial-Social</v></cell><cell r="AC1353"><v>21337220</v></cell><cell r="AD1353"><v>720192</v></cell><cell r="AE1353" t="str"><v>Facebook</v></cell><cell r="AF1353"><v>3654128</v></cell><cell r="AG1353" t="str"><v>Facebook»AZR»1x1»NA»EGV»ALL»DYN»AUT»D»All»SS»NA»Free Acc CTC - T4 - EN</v></cell><cell r="AH1353"><v>223691837</v></cell><cell r="AI1353" t="str"><v>AzurePlatform_FBCTCBenefit2inMotion_CAN_14s_ISV_PLAT_English_Trial_Standard_STAN_TN_T4_1</v></cell><cell r="AJ1353"><v>103053314</v></cell></row><row r="1354"><cell r="C1354" t="str"><v>43292Facebook»AZR»1x1»NA»EGV»ALL»DYN»AUT»D»All»SS»NA»Free Acc CTC - T4 - FR</v></cell><cell r="D1354" t="str"><v>43292223691795</v></cell><cell r="E1354" t="str"><v>432921029006884 - FR</v></cell><cell r="F1354" t="str"><v>DCM</v></cell><cell r="G1354" t="str"><v>https://signup.azure.com/</v></cell></row><row r="1354"><cell r="K1354" t="str"><v>July</v></cell><cell r="L1354"><v>43295</v></cell><cell r="M1354" t="str"><v>Tier 1</v></cell><cell r="N1354" t="str"><v>North America</v></cell><cell r="O1354" t="str"><v>Canada</v></cell><cell r="P1354" t="str"><v>Trial</v></cell><cell r="Q1354" t="str"><v>Social</v></cell><cell r="R1354" t="str"><v>Azure</v></cell><cell r="S1354" t="str"><v>Apps & Infra</v></cell><cell r="T1354" t="str"><v>Developers & ITI's</v></cell><cell r="U1354" t="str"><v>AZR</v></cell><cell r="V1354" t="str"><v>Audience Targeting</v></cell><cell r="W1354" t="str"><v>Engagement Video</v></cell><cell r="X1354" t="str"><v>1x1</v></cell></row><row r="1354"><cell r="AA1354"><v>43292</v></cell><cell r="AB1354" t="str"><v>CAN_gaPMG_AZR_AZR_Q1_19_Trial-Social</v></cell><cell r="AC1354"><v>21337220</v></cell><cell r="AD1354"><v>720192</v></cell><cell r="AE1354" t="str"><v>Facebook</v></cell><cell r="AF1354"><v>3654128</v></cell><cell r="AG1354" t="str"><v>Facebook»AZR»1x1»NA»EGV»ALL»DYN»AUT»D»All»SS»NA»Free Acc CTC - T4 - FR</v></cell><cell r="AH1354"><v>223691795</v></cell><cell r="AI1354" t="str"><v>AzurePlatform_FBCTCBenefit2inMotion_CAN_14s_ISV_PLAT_FR_Trial_Standard_STAN_TN_T4_1</v></cell><cell r="AJ1354"><v>102900688</v></cell></row><row r="1355"><cell r="C1355" t="str"><v>43292Facebook»AZR»1x1»SocialBan»NA»ALL»DYN»AUT»D»All»SS»NA»Free Acc Refresh - T1 - EN</v></cell><cell r="D1355" t="str"><v>43292223691804</v></cell><cell r="E1355" t="str"><v>432921030587171 - EN</v></cell><cell r="F1355" t="str"><v>DCM</v></cell><cell r="G1355" t="str"><v>https://azure.microsoft.com/en-CA/free/search/</v></cell></row><row r="1355"><cell r="K1355" t="str"><v>July</v></cell><cell r="L1355"><v>43295</v></cell><cell r="M1355" t="str"><v>Tier 1</v></cell><cell r="N1355" t="str"><v>North America</v></cell><cell r="O1355" t="str"><v>Canada</v></cell><cell r="P1355" t="str"><v>Trial</v></cell><cell r="Q1355" t="str"><v>Social</v></cell><cell r="R1355" t="str"><v>Azure</v></cell><cell r="S1355" t="str"><v>Apps & Infra</v></cell><cell r="T1355" t="str"><v>Developers & ITI's</v></cell><cell r="U1355" t="str"><v>AZR</v></cell><cell r="V1355" t="str"><v>Audience Targeting</v></cell><cell r="W1355" t="str"><v>NotApplicable</v></cell><cell r="X1355" t="str"><v>1x1</v></cell></row><row r="1355"><cell r="AA1355"><v>43292</v></cell><cell r="AB1355" t="str"><v>CAN_gaPMG_AZR_AZR_Q1_19_Trial-Social</v></cell><cell r="AC1355"><v>21337220</v></cell><cell r="AD1355"><v>720192</v></cell><cell r="AE1355" t="str"><v>Facebook</v></cell><cell r="AF1355"><v>3654128</v></cell><cell r="AG1355" t="str"><v>Facebook»AZR»1x1»SocialBan»NA»ALL»DYN»AUT»D»All»SS»NA»Free Acc Refresh - T1 - EN</v></cell><cell r="AH1355"><v>223691804</v></cell><cell r="AI1355" t="str"><v>AzurePlatform_FreeAcctAppsFACEBOOKLifestyleChA_CAN_1200x628_SOC_PLAT_EN_Trial_Standard_NA_SU_T1_1.png</v></cell><cell r="AJ1355"><v>103058717</v></cell></row><row r="1356"><cell r="C1356" t="str"><v>43292Facebook»AZR»1x1»SocialBan»NA»ALL»DYN»AUT»D»All»SS»NA»Free Acc Refresh - T1 - FR</v></cell><cell r="D1356" t="str"><v>43292223691762</v></cell><cell r="E1356" t="str"><v>432921029029741 - FR</v></cell><cell r="F1356" t="str"><v>DCM</v></cell><cell r="G1356" t="str"><v>https://azure.microsoft.com/fr-ca/free/search/</v></cell></row><row r="1356"><cell r="K1356" t="str"><v>July</v></cell><cell r="L1356"><v>43295</v></cell><cell r="M1356" t="str"><v>Tier 1</v></cell><cell r="N1356" t="str"><v>North America</v></cell><cell r="O1356" t="str"><v>Canada</v></cell><cell r="P1356" t="str"><v>Trial</v></cell><cell r="Q1356" t="str"><v>Social</v></cell><cell r="R1356" t="str"><v>Azure</v></cell><cell r="S1356" t="str"><v>Apps & Infra</v></cell><cell r="T1356" t="str"><v>Developers & ITI's</v></cell><cell r="U1356" t="str"><v>AZR</v></cell><cell r="V1356" t="str"><v>Audience Targeting</v></cell><cell r="W1356" t="str"><v>NotApplicable</v></cell><cell r="X1356" t="str"><v>1x1</v></cell></row><row r="1356"><cell r="AA1356"><v>43292</v></cell><cell r="AB1356" t="str"><v>CAN_gaPMG_AZR_AZR_Q1_19_Trial-Social</v></cell><cell r="AC1356"><v>21337220</v></cell><cell r="AD1356"><v>720192</v></cell><cell r="AE1356" t="str"><v>Facebook</v></cell><cell r="AF1356"><v>3654128</v></cell><cell r="AG1356" t="str"><v>Facebook»AZR»1x1»SocialBan»NA»ALL»DYN»AUT»D»All»SS»NA»Free Acc Refresh - T1 - FR</v></cell><cell r="AH1356"><v>223691762</v></cell><cell r="AI1356" t="str"><v>AzurePlatform_FreeAcctAppsFACEBOOKLifestyleChA_CAN_1200x628_SOC_PLAT_FR_Trial_Standard_NA_SU_T1_1.png</v></cell><cell r="AJ1356"><v>102902974</v></cell></row><row r="1357"><cell r="C1357" t="str"><v>43292Facebook»AZR»1x1»SocialBan»NA»ALL»DYN»AUT»D»All»SS»NA»Free Acc Refresh - T2 - EN</v></cell><cell r="D1357" t="str"><v>43292223691810</v></cell><cell r="E1357" t="str"><v>432921030587112 - EN</v></cell><cell r="F1357" t="str"><v>DCM</v></cell><cell r="G1357" t="str"><v>https://azure.microsoft.com/en-CA/free/search/</v></cell></row><row r="1357"><cell r="K1357" t="str"><v>July</v></cell><cell r="L1357"><v>43295</v></cell><cell r="M1357" t="str"><v>Tier 1</v></cell><cell r="N1357" t="str"><v>North America</v></cell><cell r="O1357" t="str"><v>Canada</v></cell><cell r="P1357" t="str"><v>Trial</v></cell><cell r="Q1357" t="str"><v>Social</v></cell><cell r="R1357" t="str"><v>Azure</v></cell><cell r="S1357" t="str"><v>Apps & Infra</v></cell><cell r="T1357" t="str"><v>Developers & ITI's</v></cell><cell r="U1357" t="str"><v>AZR</v></cell><cell r="V1357" t="str"><v>Audience Targeting</v></cell><cell r="W1357" t="str"><v>NotApplicable</v></cell><cell r="X1357" t="str"><v>1x1</v></cell></row><row r="1357"><cell r="AA1357"><v>43292</v></cell><cell r="AB1357" t="str"><v>CAN_gaPMG_AZR_AZR_Q1_19_Trial-Social</v></cell><cell r="AC1357"><v>21337220</v></cell><cell r="AD1357"><v>720192</v></cell><cell r="AE1357" t="str"><v>Facebook</v></cell><cell r="AF1357"><v>3654128</v></cell><cell r="AG1357" t="str"><v>Facebook»AZR»1x1»SocialBan»NA»ALL»DYN»AUT»D»All»SS»NA»Free Acc Refresh - T2 - EN</v></cell><cell r="AH1357"><v>223691810</v></cell><cell r="AI1357" t="str"><v>AzurePlatform_FreeAcctAppsFACEBOOKDeviceChB_CAN_1200x628_SOC_PLAT_EN_Trial_Standard_NA_SU_T2_1.png</v></cell><cell r="AJ1357"><v>103058711</v></cell></row><row r="1358"><cell r="C1358" t="str"><v>43292Facebook»AZR»1x1»SocialBan»NA»ALL»DYN»AUT»D»All»SS»NA»Free Acc Refresh - T3 - EN</v></cell><cell r="D1358" t="str"><v>43292223691807</v></cell><cell r="E1358" t="str"><v>432921029006853 - EN</v></cell><cell r="F1358" t="str"><v>DCM</v></cell><cell r="G1358" t="str"><v>https://azure.microsoft.com/en-CA/free/search/</v></cell></row><row r="1358"><cell r="K1358" t="str"><v>July</v></cell><cell r="L1358"><v>43295</v></cell><cell r="M1358" t="str"><v>Tier 1</v></cell><cell r="N1358" t="str"><v>North America</v></cell><cell r="O1358" t="str"><v>Canada</v></cell><cell r="P1358" t="str"><v>Trial</v></cell><cell r="Q1358" t="str"><v>Social</v></cell><cell r="R1358" t="str"><v>Azure</v></cell><cell r="S1358" t="str"><v>Apps & Infra</v></cell><cell r="T1358" t="str"><v>Developers & ITI's</v></cell><cell r="U1358" t="str"><v>AZR</v></cell><cell r="V1358" t="str"><v>Audience Targeting</v></cell><cell r="W1358" t="str"><v>NotApplicable</v></cell><cell r="X1358" t="str"><v>1x1</v></cell></row><row r="1358"><cell r="AA1358"><v>43292</v></cell><cell r="AB1358" t="str"><v>CAN_gaPMG_AZR_AZR_Q1_19_Trial-Social</v></cell><cell r="AC1358"><v>21337220</v></cell><cell r="AD1358"><v>720192</v></cell><cell r="AE1358" t="str"><v>Facebook</v></cell><cell r="AF1358"><v>3654128</v></cell><cell r="AG1358" t="str"><v>Facebook»AZR»1x1»SocialBan»NA»ALL»DYN»AUT»D»All»SS»NA»Free Acc Refresh - T3 - EN</v></cell><cell r="AH1358"><v>223691807</v></cell><cell r="AI1358" t="str"><v>AzurePlatform_FreeAcctAppsFACEBOOKIllustrationChC_CAN_1200x628_SOC_PLAT_EN_Trial_Standard_NA_SU_T3_1.png</v></cell><cell r="AJ1358"><v>102900685</v></cell></row><row r="1359"><cell r="C1359" t="str"><v>43292Facebook»AZR»1x1»SocialBan»NA»ALL»DYN»AUT»D»All»SS»NA»Free Acc Refresh - T3 - FR</v></cell><cell r="D1359" t="str"><v>43292223691765</v></cell><cell r="E1359" t="str"><v>432921030533323 - FR</v></cell><cell r="F1359" t="str"><v>DCM</v></cell><cell r="G1359" t="str"><v>https://azure.microsoft.com/fr-ca/free/search/</v></cell></row><row r="1359"><cell r="K1359" t="str"><v>July</v></cell><cell r="L1359"><v>43295</v></cell><cell r="M1359" t="str"><v>Tier 1</v></cell><cell r="N1359" t="str"><v>North America</v></cell><cell r="O1359" t="str"><v>Canada</v></cell><cell r="P1359" t="str"><v>Trial</v></cell><cell r="Q1359" t="str"><v>Social</v></cell><cell r="R1359" t="str"><v>Azure</v></cell><cell r="S1359" t="str"><v>Apps & Infra</v></cell><cell r="T1359" t="str"><v>Developers & ITI's</v></cell><cell r="U1359" t="str"><v>AZR</v></cell><cell r="V1359" t="str"><v>Audience Targeting</v></cell><cell r="W1359" t="str"><v>NotApplicable</v></cell><cell r="X1359" t="str"><v>1x1</v></cell></row><row r="1359"><cell r="AA1359"><v>43292</v></cell><cell r="AB1359" t="str"><v>CAN_gaPMG_AZR_AZR_Q1_19_Trial-Social</v></cell><cell r="AC1359"><v>21337220</v></cell><cell r="AD1359"><v>720192</v></cell><cell r="AE1359" t="str"><v>Facebook</v></cell><cell r="AF1359"><v>3654128</v></cell><cell r="AG1359" t="str"><v>Facebook»AZR»1x1»SocialBan»NA»ALL»DYN»AUT»D»All»SS»NA»Free Acc Refresh - T3 - FR</v></cell><cell r="AH1359"><v>223691765</v></cell><cell r="AI1359" t="str"><v>AzurePlatform_FreeAcctAppsFACEBOOKIllustrationChC_CAN_1200x628_SOC_PLAT_FR_Trial_Standard_NA_SU_T3_1.png</v></cell><cell r="AJ1359"><v>103053332</v></cell></row><row r="1360"><cell r="C1360" t="str"><v>43292Facebook»AZR»1x1»SocialBan»NA»ALL»DYN»AUT»D»All»SS»NA»Free Acc Refresh - T4 - EN</v></cell><cell r="D1360" t="str"><v>43292223691813</v></cell><cell r="E1360" t="str"><v>432921030533204 - EN</v></cell><cell r="F1360" t="str"><v>DCM</v></cell><cell r="G1360" t="str"><v>https://azure.microsoft.com/en-CA/free/search/</v></cell></row><row r="1360"><cell r="K1360" t="str"><v>July</v></cell><cell r="L1360"><v>43295</v></cell><cell r="M1360" t="str"><v>Tier 1</v></cell><cell r="N1360" t="str"><v>North America</v></cell><cell r="O1360" t="str"><v>Canada</v></cell><cell r="P1360" t="str"><v>Trial</v></cell><cell r="Q1360" t="str"><v>Social</v></cell><cell r="R1360" t="str"><v>Azure</v></cell><cell r="S1360" t="str"><v>Apps & Infra</v></cell><cell r="T1360" t="str"><v>Developers & ITI's</v></cell><cell r="U1360" t="str"><v>AZR</v></cell><cell r="V1360" t="str"><v>Audience Targeting</v></cell><cell r="W1360" t="str"><v>NotApplicable</v></cell><cell r="X1360" t="str"><v>1x1</v></cell></row><row r="1360"><cell r="AA1360"><v>43292</v></cell><cell r="AB1360" t="str"><v>CAN_gaPMG_AZR_AZR_Q1_19_Trial-Social</v></cell><cell r="AC1360"><v>21337220</v></cell><cell r="AD1360"><v>720192</v></cell><cell r="AE1360" t="str"><v>Facebook</v></cell><cell r="AF1360"><v>3654128</v></cell><cell r="AG1360" t="str"><v>Facebook»AZR»1x1»SocialBan»NA»ALL»DYN»AUT»D»All»SS»NA»Free Acc Refresh - T4 - EN</v></cell><cell r="AH1360"><v>223691813</v></cell><cell r="AI1360" t="str"><v>AzurePlatform_FreeAcctAppsFACEBOOK200CreditChD_CAN_1200x628_SOC_PLAT_EN_Trial_Standard_NA_SU_T4_1.png</v></cell><cell r="AJ1360"><v>103053320</v></cell></row><row r="1361"><cell r="C1361" t="str"><v>43292Facebook»AZR»1x1»SocialBan»NA»ALL»DYN»AUT»D»All»SS»NA»Free Acc Refresh - T5 - EN</v></cell><cell r="D1361" t="str"><v>43292223691816</v></cell><cell r="E1361" t="str"><v>432921029163415 - EN</v></cell><cell r="F1361" t="str"><v>DCM</v></cell><cell r="G1361" t="str"><v>https://azure.microsoft.com/en-CA/free/search/</v></cell></row><row r="1361"><cell r="K1361" t="str"><v>July</v></cell><cell r="L1361"><v>43295</v></cell><cell r="M1361" t="str"><v>Tier 1</v></cell><cell r="N1361" t="str"><v>North America</v></cell><cell r="O1361" t="str"><v>Canada</v></cell><cell r="P1361" t="str"><v>Trial</v></cell><cell r="Q1361" t="str"><v>Social</v></cell><cell r="R1361" t="str"><v>Azure</v></cell><cell r="S1361" t="str"><v>Apps & Infra</v></cell><cell r="T1361" t="str"><v>Developers & ITI's</v></cell><cell r="U1361" t="str"><v>AZR</v></cell><cell r="V1361" t="str"><v>Audience Targeting</v></cell><cell r="W1361" t="str"><v>NotApplicable</v></cell><cell r="X1361" t="str"><v>1x1</v></cell></row><row r="1361"><cell r="AA1361"><v>43292</v></cell><cell r="AB1361" t="str"><v>CAN_gaPMG_AZR_AZR_Q1_19_Trial-Social</v></cell><cell r="AC1361"><v>21337220</v></cell><cell r="AD1361"><v>720192</v></cell><cell r="AE1361" t="str"><v>Facebook</v></cell><cell r="AF1361"><v>3654128</v></cell><cell r="AG1361" t="str"><v>Facebook»AZR»1x1»SocialBan»NA»ALL»DYN»AUT»D»All»SS»NA»Free Acc Refresh - T5 - EN</v></cell><cell r="AH1361"><v>223691816</v></cell><cell r="AI1361" t="str"><v>AzurePlatform_FreeAcctAppsFACEBOOK12monthsChE_CAN_1200x628_SOC_PLAT_EN_Trial_Standard_NA_SU_T5_1.png</v></cell><cell r="AJ1361"><v>102916341</v></cell></row><row r="1362"><cell r="C1362" t="str"><v>43292Facebook»AZR»1x1»SocialBan»NA»ALL»DYN»AUT»D»All»SS»NA»Free Acc Refresh - T5 - FR</v></cell><cell r="D1362" t="str"><v>43292223691774</v></cell><cell r="E1362" t="str"><v>432921029163565 - FR</v></cell><cell r="F1362" t="str"><v>DCM</v></cell><cell r="G1362" t="str"><v>https://azure.microsoft.com/fr-ca/free/search/</v></cell></row><row r="1362"><cell r="K1362" t="str"><v>July</v></cell><cell r="L1362"><v>43295</v></cell><cell r="M1362" t="str"><v>Tier 1</v></cell><cell r="N1362" t="str"><v>North America</v></cell><cell r="O1362" t="str"><v>Canada</v></cell><cell r="P1362" t="str"><v>Trial</v></cell><cell r="Q1362" t="str"><v>Social</v></cell><cell r="R1362" t="str"><v>Azure</v></cell><cell r="S1362" t="str"><v>Apps & Infra</v></cell><cell r="T1362" t="str"><v>Developers & ITI's</v></cell><cell r="U1362" t="str"><v>AZR</v></cell><cell r="V1362" t="str"><v>Audience Targeting</v></cell><cell r="W1362" t="str"><v>NotApplicable</v></cell><cell r="X1362" t="str"><v>1x1</v></cell></row><row r="1362"><cell r="AA1362"><v>43292</v></cell><cell r="AB1362" t="str"><v>CAN_gaPMG_AZR_AZR_Q1_19_Trial-Social</v></cell><cell r="AC1362"><v>21337220</v></cell><cell r="AD1362"><v>720192</v></cell><cell r="AE1362" t="str"><v>Facebook</v></cell><cell r="AF1362"><v>3654128</v></cell><cell r="AG1362" t="str"><v>Facebook»AZR»1x1»SocialBan»NA»ALL»DYN»AUT»D»All»SS»NA»Free Acc Refresh - T5 - FR</v></cell><cell r="AH1362"><v>223691774</v></cell><cell r="AI1362" t="str"><v>AzurePlatform_FreeAcctAppsFACEBOOK12monthsChE_CAN_1200x628_SOC_PLAT_FR_Trial_Standard_NA_SU_T5_1.png</v></cell><cell r="AJ1362"><v>102916356</v></cell></row><row r="1363"><cell r="C1363" t="str"><v>43292Facebook»AZR»1x1»SocialBan»NA»ALL»DYN»RT»D»All»SS»NA» Free Account Retargeting OSS - T1 - EN</v></cell><cell r="D1363" t="str"><v>43292223691828</v></cell><cell r="E1363" t="str"><v>432921029029561 - EN</v></cell><cell r="F1363" t="str"><v>DCM</v></cell><cell r="G1363" t="str"><v>https://azure.microsoft.com/en-ca/free/open-source/search/</v></cell></row><row r="1363"><cell r="K1363" t="str"><v>July</v></cell><cell r="L1363"><v>43295</v></cell><cell r="M1363" t="str"><v>Tier 1</v></cell><cell r="N1363" t="str"><v>North America</v></cell><cell r="O1363" t="str"><v>Canada</v></cell><cell r="P1363" t="str"><v>Trial</v></cell><cell r="Q1363" t="str"><v>Social</v></cell><cell r="R1363" t="str"><v>Azure</v></cell><cell r="S1363" t="str"><v>Apps & Infra</v></cell><cell r="T1363" t="str"><v>Developers & ITI's</v></cell><cell r="U1363" t="str"><v>AZR</v></cell><cell r="V1363" t="str"><v>Retargeting</v></cell><cell r="W1363" t="str"><v>NotApplicable</v></cell><cell r="X1363" t="str"><v>1x1</v></cell></row><row r="1363"><cell r="AA1363"><v>43292</v></cell><cell r="AB1363" t="str"><v>CAN_gaPMG_AZR_AZR_Q1_19_Trial-Social</v></cell><cell r="AC1363"><v>21337220</v></cell><cell r="AD1363"><v>720192</v></cell><cell r="AE1363" t="str"><v>Facebook</v></cell><cell r="AF1363"><v>3654128</v></cell><cell r="AG1363" t="str"><v>Facebook»AZR»1x1»SocialBan»NA»ALL»DYN»RT»D»All»SS»NA» Free Account Retargeting OSS - T1 - EN</v></cell><cell r="AH1363"><v>223691828</v></cell><cell r="AI1363" t="str"><v>AzurePlatform_FreeAcctRetargetingOSSFB-Text-ChF_CAN_1200x628_SOC_Plat_EN_Free Account_Standard_NA_SU_T1_1</v></cell><cell r="AJ1363"><v>102902956</v></cell></row><row r="1364"><cell r="C1364" t="str"><v>43292Facebook»AZR»1x1»SocialBan»NA»ALL»DYN»RT»D»All»SS»NA» Free Account Retargeting OSS - T1 - FR</v></cell><cell r="D1364" t="str"><v>43292223691786</v></cell><cell r="E1364" t="str"><v>432921030587201 - FR</v></cell><cell r="F1364" t="str"><v>DCM</v></cell><cell r="G1364" t="str"><v>https://azure.microsoft.com/fr-ca/free/open-source/search/</v></cell></row><row r="1364"><cell r="K1364" t="str"><v>July</v></cell><cell r="L1364"><v>43295</v></cell><cell r="M1364" t="str"><v>Tier 1</v></cell><cell r="N1364" t="str"><v>North America</v></cell><cell r="O1364" t="str"><v>Canada</v></cell><cell r="P1364" t="str"><v>Trial</v></cell><cell r="Q1364" t="str"><v>Social</v></cell><cell r="R1364" t="str"><v>Azure</v></cell><cell r="S1364" t="str"><v>Apps & Infra</v></cell><cell r="T1364" t="str"><v>Developers & ITI's</v></cell><cell r="U1364" t="str"><v>AZR</v></cell><cell r="V1364" t="str"><v>Retargeting</v></cell><cell r="W1364" t="str"><v>NotApplicable</v></cell><cell r="X1364" t="str"><v>1x1</v></cell></row><row r="1364"><cell r="AA1364"><v>43292</v></cell><cell r="AB1364" t="str"><v>CAN_gaPMG_AZR_AZR_Q1_19_Trial-Social</v></cell><cell r="AC1364"><v>21337220</v></cell><cell r="AD1364"><v>720192</v></cell><cell r="AE1364" t="str"><v>Facebook</v></cell><cell r="AF1364"><v>3654128</v></cell><cell r="AG1364" t="str"><v>Facebook»AZR»1x1»SocialBan»NA»ALL»DYN»RT»D»All»SS»NA» Free Account Retargeting OSS - T1 - FR</v></cell><cell r="AH1364"><v>223691786</v></cell><cell r="AI1364" t="str"><v>AzurePlatform_FreeAcctRetargetingOSSFB-Text-ChF_CAN_1200x628_SOC_Plat_FR_Free Account_Standard_NA_SU_T1_1</v></cell><cell r="AJ1364"><v>103058720</v></cell></row><row r="1365"><cell r="C1365" t="str"><v>43292Facebook»AZR»1x1»SocialBan»NA»ALL»DYN»RT»D»All»SS»NA» Free Account Retargeting OSS - T2 - EN</v></cell><cell r="D1365" t="str"><v>43292223691831</v></cell><cell r="E1365" t="str"><v>432921029138002 - EN</v></cell><cell r="F1365" t="str"><v>DCM</v></cell><cell r="G1365" t="str"><v>https://azure.microsoft.com/en-ca/free/open-source/search/</v></cell></row><row r="1365"><cell r="K1365" t="str"><v>July</v></cell><cell r="L1365"><v>43295</v></cell><cell r="M1365" t="str"><v>Tier 1</v></cell><cell r="N1365" t="str"><v>North America</v></cell><cell r="O1365" t="str"><v>Canada</v></cell><cell r="P1365" t="str"><v>Trial</v></cell><cell r="Q1365" t="str"><v>Social</v></cell><cell r="R1365" t="str"><v>Azure</v></cell><cell r="S1365" t="str"><v>Apps & Infra</v></cell><cell r="T1365" t="str"><v>Developers & ITI's</v></cell><cell r="U1365" t="str"><v>AZR</v></cell><cell r="V1365" t="str"><v>Retargeting</v></cell><cell r="W1365" t="str"><v>NotApplicable</v></cell><cell r="X1365" t="str"><v>1x1</v></cell></row><row r="1365"><cell r="AA1365"><v>43292</v></cell><cell r="AB1365" t="str"><v>CAN_gaPMG_AZR_AZR_Q1_19_Trial-Social</v></cell><cell r="AC1365"><v>21337220</v></cell><cell r="AD1365"><v>720192</v></cell><cell r="AE1365" t="str"><v>Facebook</v></cell><cell r="AF1365"><v>3654128</v></cell><cell r="AG1365" t="str"><v>Facebook»AZR»1x1»SocialBan»NA»ALL»DYN»RT»D»All»SS»NA» Free Account Retargeting OSS - T2 - EN</v></cell><cell r="AH1365"><v>223691831</v></cell><cell r="AI1365" t="str"><v>AzurePlatform_FreeAcctRetargetingOSSFB-Logos-ChG_CAN_1200x628_SOC_Plat_EN_Free Account_Standard_NA_SU_T2_1</v></cell><cell r="AJ1365"><v>102913800</v></cell></row><row r="1366"><cell r="C1366" t="str"><v>43292Facebook»AZR»1x1»SocialBan»NA»ALL»DYN»RT»D»All»SS»NA» Free Account Retargeting OSS - T2 - FR</v></cell><cell r="D1366" t="str"><v>43292223691789</v></cell><cell r="E1366" t="str"><v>432921029006912 - FR</v></cell><cell r="F1366" t="str"><v>DCM</v></cell><cell r="G1366" t="str"><v>https://azure.microsoft.com/fr-ca/free/open-source/search/</v></cell></row><row r="1366"><cell r="K1366" t="str"><v>July</v></cell><cell r="L1366"><v>43295</v></cell><cell r="M1366" t="str"><v>Tier 1</v></cell><cell r="N1366" t="str"><v>North America</v></cell><cell r="O1366" t="str"><v>Canada</v></cell><cell r="P1366" t="str"><v>Trial</v></cell><cell r="Q1366" t="str"><v>Social</v></cell><cell r="R1366" t="str"><v>Azure</v></cell><cell r="S1366" t="str"><v>Apps & Infra</v></cell><cell r="T1366" t="str"><v>Developers & ITI's</v></cell><cell r="U1366" t="str"><v>AZR</v></cell><cell r="V1366" t="str"><v>Retargeting</v></cell><cell r="W1366" t="str"><v>NotApplicable</v></cell><cell r="X1366" t="str"><v>1x1</v></cell></row><row r="1366"><cell r="AA1366"><v>43292</v></cell><cell r="AB1366" t="str"><v>CAN_gaPMG_AZR_AZR_Q1_19_Trial-Social</v></cell><cell r="AC1366"><v>21337220</v></cell><cell r="AD1366"><v>720192</v></cell><cell r="AE1366" t="str"><v>Facebook</v></cell><cell r="AF1366"><v>3654128</v></cell><cell r="AG1366" t="str"><v>Facebook»AZR»1x1»SocialBan»NA»ALL»DYN»RT»D»All»SS»NA» Free Account Retargeting OSS - T2 - FR</v></cell><cell r="AH1366"><v>223691789</v></cell><cell r="AI1366" t="str"><v>AzurePlatform_FreeAcctRetargetingOSSFB-Logos-ChG_CAN_1200x628_SOC_Plat_FR_Free Account_Standard_NA_SU_T2_1</v></cell><cell r="AJ1366"><v>102900691</v></cell></row><row r="1367"><cell r="C1367" t="str"><v>43292Facebook»AZR»1x1»SocialBan»NA»ALL»DYN»RT»D»All»SS»NA»Free Account Retargeting Generic - T2 - EN</v></cell><cell r="D1367" t="str"><v>43292223691834</v></cell><cell r="E1367" t="str"><v>432921029029532 - EN</v></cell><cell r="F1367" t="str"><v>DCM</v></cell><cell r="G1367" t="str"><v>https://azure.microsoft.com/en-CA/free/search/</v></cell></row><row r="1367"><cell r="K1367" t="str"><v>July</v></cell><cell r="L1367"><v>43295</v></cell><cell r="M1367" t="str"><v>Tier 1</v></cell><cell r="N1367" t="str"><v>North America</v></cell><cell r="O1367" t="str"><v>Canada</v></cell><cell r="P1367" t="str"><v>Trial</v></cell><cell r="Q1367" t="str"><v>Social</v></cell><cell r="R1367" t="str"><v>Azure</v></cell><cell r="S1367" t="str"><v>Apps & Infra</v></cell><cell r="T1367" t="str"><v>Developers & ITI's</v></cell><cell r="U1367" t="str"><v>AZR</v></cell><cell r="V1367" t="str"><v>Retargeting</v></cell><cell r="W1367" t="str"><v>NotApplicable</v></cell><cell r="X1367" t="str"><v>1x1</v></cell></row><row r="1367"><cell r="AA1367"><v>43292</v></cell><cell r="AB1367" t="str"><v>CAN_gaPMG_AZR_AZR_Q1_19_Trial-Social</v></cell><cell r="AC1367"><v>21337220</v></cell><cell r="AD1367"><v>720192</v></cell><cell r="AE1367" t="str"><v>Facebook</v></cell><cell r="AF1367"><v>3654128</v></cell><cell r="AG1367" t="str"><v>Facebook»AZR»1x1»SocialBan»NA»ALL»DYN»RT»D»All»SS»NA»Free Account Retargeting Generic - T2 - EN</v></cell><cell r="AH1367"><v>223691834</v></cell><cell r="AI1367" t="str"><v>AzurePlatform_FreeAcctRetargetingFB-GlobalAlt-ChB_CAN_1200x628_SOC_Plat_EN_Free Account_Standard_NA_SU_T2_1</v></cell><cell r="AJ1367"><v>102902953</v></cell></row><row r="1368"><cell r="C1368" t="str"><v>43292Facebook»AZR»1x1»SocialBan»NA»ALL»DYN»RT»D»All»SS»NA»Free Account Retargeting Generic - T3 - EN</v></cell><cell r="D1368" t="str"><v>43292223691819</v></cell><cell r="E1368" t="str"><v>432921029006823 - EN</v></cell><cell r="F1368" t="str"><v>DCM</v></cell><cell r="G1368" t="str"><v>https://azure.microsoft.com/en-CA/free/search/</v></cell></row><row r="1368"><cell r="K1368" t="str"><v>July</v></cell><cell r="L1368"><v>43295</v></cell><cell r="M1368" t="str"><v>Tier 1</v></cell><cell r="N1368" t="str"><v>North America</v></cell><cell r="O1368" t="str"><v>Canada</v></cell><cell r="P1368" t="str"><v>Trial</v></cell><cell r="Q1368" t="str"><v>Social</v></cell><cell r="R1368" t="str"><v>Azure</v></cell><cell r="S1368" t="str"><v>Apps & Infra</v></cell><cell r="T1368" t="str"><v>Developers & ITI's</v></cell><cell r="U1368" t="str"><v>AZR</v></cell><cell r="V1368" t="str"><v>Retargeting</v></cell><cell r="W1368" t="str"><v>NotApplicable</v></cell><cell r="X1368" t="str"><v>1x1</v></cell></row><row r="1368"><cell r="AA1368"><v>43292</v></cell><cell r="AB1368" t="str"><v>CAN_gaPMG_AZR_AZR_Q1_19_Trial-Social</v></cell><cell r="AC1368"><v>21337220</v></cell><cell r="AD1368"><v>720192</v></cell><cell r="AE1368" t="str"><v>Facebook</v></cell><cell r="AF1368"><v>3654128</v></cell><cell r="AG1368" t="str"><v>Facebook»AZR»1x1»SocialBan»NA»ALL»DYN»RT»D»All»SS»NA»Free Account Retargeting Generic - T3 - EN</v></cell><cell r="AH1368"><v>223691819</v></cell><cell r="AI1368" t="str"><v>AzurePlatform_FreeAcctRetargetingFB-Animated-ChC_CAN_1200x628_SOC_Plat_EN_Free Account_Standard_ANI_SU_T3_1</v></cell><cell r="AJ1368"><v>102900682</v></cell></row><row r="1369"><cell r="C1369" t="str"><v>43292Facebook»AZR»1x1»SocialBan»NA»ALL»DYN»RT»D»All»SS»NA»Free Account Retargeting Generic - T3 - FR</v></cell><cell r="D1369" t="str"><v>43292223691777</v></cell><cell r="E1369" t="str"><v>432921029006973 - FR</v></cell><cell r="F1369" t="str"><v>DCM</v></cell><cell r="G1369" t="str"><v>https://azure.microsoft.com/fr-ca/free/search/</v></cell></row><row r="1369"><cell r="K1369" t="str"><v>July</v></cell><cell r="L1369"><v>43295</v></cell><cell r="M1369" t="str"><v>Tier 1</v></cell><cell r="N1369" t="str"><v>North America</v></cell><cell r="O1369" t="str"><v>Canada</v></cell><cell r="P1369" t="str"><v>Trial</v></cell><cell r="Q1369" t="str"><v>Social</v></cell><cell r="R1369" t="str"><v>Azure</v></cell><cell r="S1369" t="str"><v>Apps & Infra</v></cell><cell r="T1369" t="str"><v>Developers & ITI's</v></cell><cell r="U1369" t="str"><v>AZR</v></cell><cell r="V1369" t="str"><v>Retargeting</v></cell><cell r="W1369" t="str"><v>NotApplicable</v></cell><cell r="X1369" t="str"><v>1x1</v></cell></row><row r="1369"><cell r="AA1369"><v>43292</v></cell><cell r="AB1369" t="str"><v>CAN_gaPMG_AZR_AZR_Q1_19_Trial-Social</v></cell><cell r="AC1369"><v>21337220</v></cell><cell r="AD1369"><v>720192</v></cell><cell r="AE1369" t="str"><v>Facebook</v></cell><cell r="AF1369"><v>3654128</v></cell><cell r="AG1369" t="str"><v>Facebook»AZR»1x1»SocialBan»NA»ALL»DYN»RT»D»All»SS»NA»Free Account Retargeting Generic - T3 - FR</v></cell><cell r="AH1369"><v>223691777</v></cell><cell r="AI1369" t="str"><v>AzurePlatform_FreeAcctRetargetingFB-Animated-ChC_CAN_1200x628_SOC_Plat_FR_Free Account_Standard_ANI_SU_T3_1</v></cell><cell r="AJ1369"><v>102900697</v></cell></row><row r="1370"><cell r="C1370" t="str"><v>43292Facebook»AZR»1x1»SocialBan»NA»ALL»DYN»RT»D»All»SS»NA»Free Account Retargeting VM - T1 - EN</v></cell><cell r="D1370" t="str"><v>43292223691825</v></cell><cell r="E1370" t="str"><v>432921029163381 - EN</v></cell><cell r="F1370" t="str"><v>DCM</v></cell><cell r="G1370" t="str"><v>https://azure.microsoft.com/en-ca/free/virtual-machines/search/</v></cell></row><row r="1370"><cell r="K1370" t="str"><v>July</v></cell><cell r="L1370"><v>43295</v></cell><cell r="M1370" t="str"><v>Tier 1</v></cell><cell r="N1370" t="str"><v>North America</v></cell><cell r="O1370" t="str"><v>Canada</v></cell><cell r="P1370" t="str"><v>Trial</v></cell><cell r="Q1370" t="str"><v>Social</v></cell><cell r="R1370" t="str"><v>Azure</v></cell><cell r="S1370" t="str"><v>Apps & Infra</v></cell><cell r="T1370" t="str"><v>Developers & ITI's</v></cell><cell r="U1370" t="str"><v>AZR</v></cell><cell r="V1370" t="str"><v>Retargeting</v></cell><cell r="W1370" t="str"><v>NotApplicable</v></cell><cell r="X1370" t="str"><v>1x1</v></cell></row><row r="1370"><cell r="AA1370"><v>43292</v></cell><cell r="AB1370" t="str"><v>CAN_gaPMG_AZR_AZR_Q1_19_Trial-Social</v></cell><cell r="AC1370"><v>21337220</v></cell><cell r="AD1370"><v>720192</v></cell><cell r="AE1370" t="str"><v>Facebook</v></cell><cell r="AF1370"><v>3654128</v></cell><cell r="AG1370" t="str"><v>Facebook»AZR»1x1»SocialBan»NA»ALL»DYN»RT»D»All»SS»NA»Free Account Retargeting VM - T1 - EN</v></cell><cell r="AH1370"><v>223691825</v></cell><cell r="AI1370" t="str"><v>AzurePlatform_FreeAcctRetargetingVMFB-750Hrs-ChD_CAN_1200x628_SOC_Plat_EN_Free Account_Standard_NA_SU_T1_1</v></cell><cell r="AJ1370"><v>102916338</v></cell></row><row r="1371"><cell r="C1371" t="str"><v>43292Facebook»AZR»1x1»SocialBan»NA»ALL»DYN»RT»D»All»SS»NA»Free Account Retargeting VM - T1 - FR</v></cell><cell r="D1371" t="str"><v>43292223691783</v></cell><cell r="E1371" t="str"><v>432921030587231 - FR</v></cell><cell r="F1371" t="str"><v>DCM</v></cell><cell r="G1371" t="str"><v>https://azure.microsoft.com/fr-ca/free/virtual-machines/search/</v></cell></row><row r="1371"><cell r="K1371" t="str"><v>July</v></cell><cell r="L1371"><v>43295</v></cell><cell r="M1371" t="str"><v>Tier 1</v></cell><cell r="N1371" t="str"><v>North America</v></cell><cell r="O1371" t="str"><v>Canada</v></cell><cell r="P1371" t="str"><v>Trial</v></cell><cell r="Q1371" t="str"><v>Social</v></cell><cell r="R1371" t="str"><v>Azure</v></cell><cell r="S1371" t="str"><v>Apps & Infra</v></cell><cell r="T1371" t="str"><v>Developers & ITI's</v></cell><cell r="U1371" t="str"><v>AZR</v></cell><cell r="V1371" t="str"><v>Retargeting</v></cell><cell r="W1371" t="str"><v>NotApplicable</v></cell><cell r="X1371" t="str"><v>1x1</v></cell></row><row r="1371"><cell r="AA1371"><v>43292</v></cell><cell r="AB1371" t="str"><v>CAN_gaPMG_AZR_AZR_Q1_19_Trial-Social</v></cell><cell r="AC1371"><v>21337220</v></cell><cell r="AD1371"><v>720192</v></cell><cell r="AE1371" t="str"><v>Facebook</v></cell><cell r="AF1371"><v>3654128</v></cell><cell r="AG1371" t="str"><v>Facebook»AZR»1x1»SocialBan»NA»ALL»DYN»RT»D»All»SS»NA»Free Account Retargeting VM - T1 - FR</v></cell><cell r="AH1371"><v>223691783</v></cell><cell r="AI1371" t="str"><v>AzurePlatform_FreeAcctRetargetingVMFB-750Hrs-ChD_CAN_1200x628_SOC_Plat_FR_Free Account_Standard_NA_SU_T1_1</v></cell><cell r="AJ1371"><v>103058723</v></cell></row><row r="1372"><cell r="C1372" t="str"><v>43292Facebook»AZR»1x1»SocialBan»NA»ALL»DYN»RT»D»All»SS»NA»Free Account Retargeting VM - T2 - EN</v></cell><cell r="D1372" t="str"><v>43292223691822</v></cell><cell r="E1372" t="str"><v>432921030587082 - EN</v></cell><cell r="F1372" t="str"><v>DCM</v></cell><cell r="G1372" t="str"><v>https://azure.microsoft.com/en-ca/free/virtual-machines/search/</v></cell></row><row r="1372"><cell r="K1372" t="str"><v>July</v></cell><cell r="L1372"><v>43295</v></cell><cell r="M1372" t="str"><v>Tier 1</v></cell><cell r="N1372" t="str"><v>North America</v></cell><cell r="O1372" t="str"><v>Canada</v></cell><cell r="P1372" t="str"><v>Trial</v></cell><cell r="Q1372" t="str"><v>Social</v></cell><cell r="R1372" t="str"><v>Azure</v></cell><cell r="S1372" t="str"><v>Apps & Infra</v></cell><cell r="T1372" t="str"><v>Developers & ITI's</v></cell><cell r="U1372" t="str"><v>AZR</v></cell><cell r="V1372" t="str"><v>Retargeting</v></cell><cell r="W1372" t="str"><v>NotApplicable</v></cell><cell r="X1372" t="str"><v>1x1</v></cell></row><row r="1372"><cell r="AA1372"><v>43292</v></cell><cell r="AB1372" t="str"><v>CAN_gaPMG_AZR_AZR_Q1_19_Trial-Social</v></cell><cell r="AC1372"><v>21337220</v></cell><cell r="AD1372"><v>720192</v></cell><cell r="AE1372" t="str"><v>Facebook</v></cell><cell r="AF1372"><v>3654128</v></cell><cell r="AG1372" t="str"><v>Facebook»AZR»1x1»SocialBan»NA»ALL»DYN»RT»D»All»SS»NA»Free Account Retargeting VM - T2 - EN</v></cell><cell r="AH1372"><v>223691822</v></cell><cell r="AI1372" t="str"><v>AzurePlatform_FreeAcctRetargetingVMFB-OnDemand-ChE_CAN_1200x628_SOC_Plat_EN_Free Account_Standard_NA_SU_T2_1</v></cell><cell r="AJ1372"><v>103058708</v></cell></row><row r="1373"><cell r="C1373" t="str"><v>43292Facebook»AZR»1x1»SocialBan»NA»ALL»DYN»RT»D»All»SS»NA»Free Account Retargeting VM - T2 - FR</v></cell><cell r="D1373" t="str"><v>43292223691780</v></cell><cell r="E1373" t="str"><v>432921030587262 - FR</v></cell><cell r="F1373" t="str"><v>DCM</v></cell><cell r="G1373" t="str"><v>https://azure.microsoft.com/fr-ca/free/virtual-machines/search/</v></cell></row><row r="1373"><cell r="K1373" t="str"><v>July</v></cell><cell r="L1373"><v>43295</v></cell><cell r="M1373" t="str"><v>Tier 1</v></cell><cell r="N1373" t="str"><v>North America</v></cell><cell r="O1373" t="str"><v>Canada</v></cell><cell r="P1373" t="str"><v>Trial</v></cell><cell r="Q1373" t="str"><v>Social</v></cell><cell r="R1373" t="str"><v>Azure</v></cell><cell r="S1373" t="str"><v>Apps & Infra</v></cell><cell r="T1373" t="str"><v>Developers & ITI's</v></cell><cell r="U1373" t="str"><v>AZR</v></cell><cell r="V1373" t="str"><v>Retargeting</v></cell><cell r="W1373" t="str"><v>NotApplicable</v></cell><cell r="X1373" t="str"><v>1x1</v></cell></row><row r="1373"><cell r="AA1373"><v>43292</v></cell><cell r="AB1373" t="str"><v>CAN_gaPMG_AZR_AZR_Q1_19_Trial-Social</v></cell><cell r="AC1373"><v>21337220</v></cell><cell r="AD1373"><v>720192</v></cell><cell r="AE1373" t="str"><v>Facebook</v></cell><cell r="AF1373"><v>3654128</v></cell><cell r="AG1373" t="str"><v>Facebook»AZR»1x1»SocialBan»NA»ALL»DYN»RT»D»All»SS»NA»Free Account Retargeting VM - T2 - FR</v></cell><cell r="AH1373"><v>223691780</v></cell><cell r="AI1373" t="str"><v>AzurePlatform_FreeAcctRetargetingVMFB-OnDemand-ChE_CAN_1200x628_SOC_Plat_FR_Free Account_Standard_NA_SU_T2_1</v></cell><cell r="AJ1373"><v>103058726</v></cell></row><row r="1374"><cell r="C1374" t="str"><v>43292Facebook»DEV-ITP-AZR-FB|CanvasAds|Interesttargeting»1x1»TextLink»CAN»DT»CPM»AUT»W»NA»SS»NA»39684020-11000</v></cell><cell r="D1374" t="str"><v>43292224009494</v></cell><cell r="E1374" t="str"><v>43292103236186-11000</v></cell><cell r="F1374" t="str"><v>DCM</v></cell><cell r="G1374" t="str"><v>https://signup.azure.com/signup?offer=ms-azr-0044p&appId=102&ref=paidmedia-social-fb&redirectURL=https%3a%2f%2fazure.microsoft.com%2fde-de%2fget-started%2fwelcome-to-azure%2f&l=de-de&correlationId=ead86c34-1f10-49dd-a72b-6918462a2cbf</v></cell></row><row r="1374"><cell r="K1374" t="str"><v>July</v></cell><cell r="L1374"><v>43295</v></cell><cell r="M1374" t="str"><v>Tier 1</v></cell><cell r="N1374" t="str"><v>EMEA</v></cell><cell r="O1374" t="str"><v>Germany</v></cell><cell r="P1374" t="str"><v>Trial</v></cell><cell r="Q1374" t="str"><v>Social</v></cell><cell r="R1374" t="str"><v>Azure</v></cell><cell r="S1374" t="str"><v>Apps & Infra</v></cell><cell r="T1374" t="str"><v>Developers & ITI's</v></cell><cell r="U1374" t="str"><v>DEV-ITP-AZR-FB|CanvasAds|Interesttargeting</v></cell><cell r="V1374" t="str"><v>Audience Targeting</v></cell><cell r="W1374" t="str"><v>Canvas Ad</v></cell><cell r="X1374" t="str"><v>1x1</v></cell></row><row r="1374"><cell r="AA1374"><v>43292</v></cell><cell r="AB1374" t="str"><v>DEU_gaPMG_AZR_AZR_Q1_19_Trial-Social- 39684</v></cell><cell r="AC1374"><v>21359477</v></cell><cell r="AD1374"><v>720194</v></cell><cell r="AE1374" t="str"><v>Facebook</v></cell><cell r="AF1374"><v>3654128</v></cell><cell r="AG1374" t="str"><v>Facebook»DEV-ITP-AZR-FB|CanvasAds|Interesttargeting»1x1»TextLink»CAN»DT»CPM»AUT»W»NA»SS»NA»39684020-11000</v></cell><cell r="AH1374"><v>224009494</v></cell><cell r="AI1374" t="str"><v>AzurePlatform_FBCTCBasicMotion-StartFreeCT_DEU_10s_ISV_PLAT_DE_Trial_Standard_STAN_TN_T1_1</v></cell><cell r="AJ1374"><v>103236186</v></cell></row><row r="1375"><cell r="C1375" t="str"><v>43292Facebook»DEV-ITP-AZR-FB|CanvasAds|Interesttargeting»1x1»TextLink»CAN»DT»CPM»AUT»W»NA»SS»NA»39684020-11000</v></cell><cell r="D1375" t="str"><v>43292224009494</v></cell><cell r="E1375" t="str"><v>43292103236189-11000</v></cell><cell r="F1375" t="str"><v>DCM</v></cell><cell r="G1375" t="str"><v>https://azure.microsoft.com/de-de/pricing/purchase-options/</v></cell></row><row r="1375"><cell r="K1375" t="str"><v>July</v></cell><cell r="L1375"><v>43295</v></cell><cell r="M1375" t="str"><v>Tier 1</v></cell><cell r="N1375" t="str"><v>EMEA</v></cell><cell r="O1375" t="str"><v>Germany</v></cell><cell r="P1375" t="str"><v>Trial</v></cell><cell r="Q1375" t="str"><v>Social</v></cell><cell r="R1375" t="str"><v>Azure</v></cell><cell r="S1375" t="str"><v>Apps & Infra</v></cell><cell r="T1375" t="str"><v>Developers & ITI's</v></cell><cell r="U1375" t="str"><v>DEV-ITP-AZR-FB|CanvasAds|Interesttargeting</v></cell><cell r="V1375" t="str"><v>Audience Targeting</v></cell><cell r="W1375" t="str"><v>Canvas Ad</v></cell><cell r="X1375" t="str"><v>1x1</v></cell></row><row r="1375"><cell r="AA1375"><v>43292</v></cell><cell r="AB1375" t="str"><v>DEU_gaPMG_AZR_AZR_Q1_19_Trial-Social- 39684</v></cell><cell r="AC1375"><v>21359477</v></cell><cell r="AD1375"><v>720194</v></cell><cell r="AE1375" t="str"><v>Facebook</v></cell><cell r="AF1375"><v>3654128</v></cell><cell r="AG1375" t="str"><v>Facebook»DEV-ITP-AZR-FB|CanvasAds|Interesttargeting»1x1»TextLink»CAN»DT»CPM»AUT»W»NA»SS»NA»39684020-11000</v></cell><cell r="AH1375"><v>224009494</v></cell><cell r="AI1375" t="str"><v>AzurePlatform_FBCTCBenefit2inMotion-BuyNow_DEU_14s_ISV_PLAT_DE_Trial_Standard_STAN_TN_T4_1</v></cell><cell r="AJ1375"><v>103236189</v></cell></row><row r="1376"><cell r="C1376" t="str"><v>43292Facebook»DEV-ITP-AZR-FB|CanvasAds|Interesttargeting»1x1»TextLink»CAN»DT»CPM»AUT»W»NA»SS»NA»39684020-11000</v></cell><cell r="D1376" t="str"><v>43292224009494</v></cell><cell r="E1376" t="str"><v>43292103237290-11000</v></cell><cell r="F1376" t="str"><v>DCM</v></cell><cell r="G1376" t="str"><v>https://signup.azure.com/signup?offer=ms-azr-0044p&appId=102&ref=paidmedia-social-fb&redirectURL=https%3a%2f%2fazure.microsoft.com%2fde-de%2fget-started%2fwelcome-to-azure%2f&l=de-de&correlationId=ead86c34-1f10-49dd-a72b-6918462a2cbf</v></cell></row><row r="1376"><cell r="K1376" t="str"><v>July</v></cell><cell r="L1376"><v>43295</v></cell><cell r="M1376" t="str"><v>Tier 1</v></cell><cell r="N1376" t="str"><v>EMEA</v></cell><cell r="O1376" t="str"><v>Germany</v></cell><cell r="P1376" t="str"><v>Trial</v></cell><cell r="Q1376" t="str"><v>Social</v></cell><cell r="R1376" t="str"><v>Azure</v></cell><cell r="S1376" t="str"><v>Apps & Infra</v></cell><cell r="T1376" t="str"><v>Developers & ITI's</v></cell><cell r="U1376" t="str"><v>DEV-ITP-AZR-FB|CanvasAds|Interesttargeting</v></cell><cell r="V1376" t="str"><v>Audience Targeting</v></cell><cell r="W1376" t="str"><v>Canvas Ad</v></cell><cell r="X1376" t="str"><v>1x1</v></cell></row><row r="1376"><cell r="AA1376"><v>43292</v></cell><cell r="AB1376" t="str"><v>DEU_gaPMG_AZR_AZR_Q1_19_Trial-Social- 39684</v></cell><cell r="AC1376"><v>21359477</v></cell><cell r="AD1376"><v>720194</v></cell><cell r="AE1376" t="str"><v>Facebook</v></cell><cell r="AF1376"><v>3654128</v></cell><cell r="AG1376" t="str"><v>Facebook»DEV-ITP-AZR-FB|CanvasAds|Interesttargeting»1x1»TextLink»CAN»DT»CPM»AUT»W»NA»SS»NA»39684020-11000</v></cell><cell r="AH1376"><v>224009494</v></cell><cell r="AI1376" t="str"><v>AzurePlatform_FBCTCBenefit2inMotion-StartFreeCT_DEU_14s_ISV_PLAT_DE_Trial_Standard_STAN_TN_T4_1</v></cell><cell r="AJ1376"><v>103237290</v></cell></row><row r="1377"><cell r="C1377" t="str"><v>43292Facebook»DEV-ITP-AZR-FB|CanvasAds|Interesttargeting»1x1»TextLink»CAN»DT»CPM»AUT»W»NA»SS»NA»39684020-11000</v></cell><cell r="D1377" t="str"><v>43292224009494</v></cell><cell r="E1377" t="str"><v>43292103350059-11000</v></cell><cell r="F1377" t="str"><v>DCM</v></cell><cell r="G1377" t="str"><v>https://azure.microsoft.com/de-de/pricing/purchase-options/</v></cell></row><row r="1377"><cell r="K1377" t="str"><v>July</v></cell><cell r="L1377"><v>43295</v></cell><cell r="M1377" t="str"><v>Tier 1</v></cell><cell r="N1377" t="str"><v>EMEA</v></cell><cell r="O1377" t="str"><v>Germany</v></cell><cell r="P1377" t="str"><v>Trial</v></cell><cell r="Q1377" t="str"><v>Social</v></cell><cell r="R1377" t="str"><v>Azure</v></cell><cell r="S1377" t="str"><v>Apps & Infra</v></cell><cell r="T1377" t="str"><v>Developers & ITI's</v></cell><cell r="U1377" t="str"><v>DEV-ITP-AZR-FB|CanvasAds|Interesttargeting</v></cell><cell r="V1377" t="str"><v>Audience Targeting</v></cell><cell r="W1377" t="str"><v>Canvas Ad</v></cell><cell r="X1377" t="str"><v>1x1</v></cell></row><row r="1377"><cell r="AA1377"><v>43292</v></cell><cell r="AB1377" t="str"><v>DEU_gaPMG_AZR_AZR_Q1_19_Trial-Social- 39684</v></cell><cell r="AC1377"><v>21359477</v></cell><cell r="AD1377"><v>720194</v></cell><cell r="AE1377" t="str"><v>Facebook</v></cell><cell r="AF1377"><v>3654128</v></cell><cell r="AG1377" t="str"><v>Facebook»DEV-ITP-AZR-FB|CanvasAds|Interesttargeting»1x1»TextLink»CAN»DT»CPM»AUT»W»NA»SS»NA»39684020-11000</v></cell><cell r="AH1377"><v>224009494</v></cell><cell r="AI1377" t="str"><v>AzurePlatform_FBCTCBrandinMotion-BuyNow_DEU_12s_ISV_PLAT_DE_Trial_Standard_STAN_TN_T2_1</v></cell><cell r="AJ1377"><v>103350059</v></cell></row><row r="1378"><cell r="C1378" t="str"><v>43292Facebook»DEV-ITP-AZR-FB|CanvasAds|Interesttargeting»1x1»TextLink»CAN»DT»CPM»AUT»W»NA»SS»NA»39684020-11000</v></cell><cell r="D1378" t="str"><v>43292224009494</v></cell><cell r="E1378" t="str"><v>43292103237293-11000</v></cell><cell r="F1378" t="str"><v>DCM</v></cell><cell r="G1378" t="str"><v>https://signup.azure.com/signup?offer=ms-azr-0044p&appId=102&ref=paidmedia-social-fb&redirectURL=https%3a%2f%2fazure.microsoft.com%2fde-de%2fget-started%2fwelcome-to-azure%2f&l=de-de&correlationId=ead86c34-1f10-49dd-a72b-6918462a2cbf</v></cell></row><row r="1378"><cell r="K1378" t="str"><v>July</v></cell><cell r="L1378"><v>43295</v></cell><cell r="M1378" t="str"><v>Tier 1</v></cell><cell r="N1378" t="str"><v>EMEA</v></cell><cell r="O1378" t="str"><v>Germany</v></cell><cell r="P1378" t="str"><v>Trial</v></cell><cell r="Q1378" t="str"><v>Social</v></cell><cell r="R1378" t="str"><v>Azure</v></cell><cell r="S1378" t="str"><v>Apps & Infra</v></cell><cell r="T1378" t="str"><v>Developers & ITI's</v></cell><cell r="U1378" t="str"><v>DEV-ITP-AZR-FB|CanvasAds|Interesttargeting</v></cell><cell r="V1378" t="str"><v>Audience Targeting</v></cell><cell r="W1378" t="str"><v>Canvas Ad</v></cell><cell r="X1378" t="str"><v>1x1</v></cell></row><row r="1378"><cell r="AA1378"><v>43292</v></cell><cell r="AB1378" t="str"><v>DEU_gaPMG_AZR_AZR_Q1_19_Trial-Social- 39684</v></cell><cell r="AC1378"><v>21359477</v></cell><cell r="AD1378"><v>720194</v></cell><cell r="AE1378" t="str"><v>Facebook</v></cell><cell r="AF1378"><v>3654128</v></cell><cell r="AG1378" t="str"><v>Facebook»DEV-ITP-AZR-FB|CanvasAds|Interesttargeting»1x1»TextLink»CAN»DT»CPM»AUT»W»NA»SS»NA»39684020-11000</v></cell><cell r="AH1378"><v>224009494</v></cell><cell r="AI1378" t="str"><v>AzurePlatform_FBCTCBrandinMotion-StartFreeCT_DEU_12s_ISV_PLAT_DE_Trial_Standard_STAN_TN_T2_1</v></cell><cell r="AJ1378"><v>103237293</v></cell></row><row r="1379"><cell r="C1379" t="str"><v>43292Facebook»DEV-ITP-AZR-FB|LinkAd|CustomerAudienceRetargeting»1x1»TextLink»LIA»DT»CPM»RT»W»NA»SS»NA»39684019-11000</v></cell><cell r="D1379" t="str"><v>43292224010415</v></cell><cell r="E1379" t="str"><v>43292103040320-11000</v></cell><cell r="F1379" t="str"><v>DCM</v></cell><cell r="G1379" t="str"><v>https://azure.microsoft.com/de-de/free/search/</v></cell></row><row r="1379"><cell r="K1379" t="str"><v>July</v></cell><cell r="L1379"><v>43295</v></cell><cell r="M1379" t="str"><v>Tier 1</v></cell><cell r="N1379" t="str"><v>EMEA</v></cell><cell r="O1379" t="str"><v>Germany</v></cell><cell r="P1379" t="str"><v>Trial</v></cell><cell r="Q1379" t="str"><v>Social</v></cell><cell r="R1379" t="str"><v>Azure</v></cell><cell r="S1379" t="str"><v>Apps & Infra</v></cell><cell r="T1379" t="str"><v>Developers & ITI's</v></cell><cell r="U1379" t="str"><v>DEV-ITP-AZR-FB|LinkAd|CustomerAudienceRetargeting</v></cell><cell r="V1379" t="str"><v>Retargeting</v></cell><cell r="W1379" t="str"><v>Link Ad</v></cell><cell r="X1379" t="str"><v>1x1</v></cell></row><row r="1379"><cell r="AA1379"><v>43292</v></cell><cell r="AB1379" t="str"><v>DEU_gaPMG_AZR_AZR_Q1_19_Trial-Social- 39684</v></cell><cell r="AC1379"><v>21359477</v></cell><cell r="AD1379"><v>720194</v></cell><cell r="AE1379" t="str"><v>Facebook</v></cell><cell r="AF1379"><v>3654128</v></cell><cell r="AG1379" t="str"><v>Facebook»DEV-ITP-AZR-FB|LinkAd|CustomerAudienceRetargeting»1x1»TextLink»LIA»DT»CPM»RT»W»NA»SS»NA»39684019-11000</v></cell><cell r="AH1379"><v>224010415</v></cell><cell r="AI1379" t="str"><v>AzurePlatform_FreeAcctRetargetingFB-GlobalAlt-ChB_DEU_1200x628_SOC_Plat_DE_Free Account_Standard_NA_SNU_T2_1</v></cell><cell r="AJ1379"><v>103040320</v></cell></row><row r="1380"><cell r="C1380" t="str"><v>43292Facebook»DEV-ITP-AZR-FB|LinkAd|CustomerAudienceRetargeting»1x1»TextLink»LIA»DT»CPM»RT»W»NA»SS»NA»39684019-11000</v></cell><cell r="D1380" t="str"><v>43292224010415</v></cell><cell r="E1380" t="str"><v>43292103043341-11000</v></cell><cell r="F1380" t="str"><v>DCM</v></cell><cell r="G1380" t="str"><v>https://azure.microsoft.com/de-de/free/virtual-machines/search/</v></cell></row><row r="1380"><cell r="K1380" t="str"><v>July</v></cell><cell r="L1380"><v>43295</v></cell><cell r="M1380" t="str"><v>Tier 1</v></cell><cell r="N1380" t="str"><v>EMEA</v></cell><cell r="O1380" t="str"><v>Germany</v></cell><cell r="P1380" t="str"><v>Trial</v></cell><cell r="Q1380" t="str"><v>Social</v></cell><cell r="R1380" t="str"><v>Azure</v></cell><cell r="S1380" t="str"><v>Apps & Infra</v></cell><cell r="T1380" t="str"><v>Developers & ITI's</v></cell><cell r="U1380" t="str"><v>DEV-ITP-AZR-FB|LinkAd|CustomerAudienceRetargeting</v></cell><cell r="V1380" t="str"><v>Retargeting</v></cell><cell r="W1380" t="str"><v>Link Ad</v></cell><cell r="X1380" t="str"><v>1x1</v></cell></row><row r="1380"><cell r="AA1380"><v>43292</v></cell><cell r="AB1380" t="str"><v>DEU_gaPMG_AZR_AZR_Q1_19_Trial-Social- 39684</v></cell><cell r="AC1380"><v>21359477</v></cell><cell r="AD1380"><v>720194</v></cell><cell r="AE1380" t="str"><v>Facebook</v></cell><cell r="AF1380"><v>3654128</v></cell><cell r="AG1380" t="str"><v>Facebook»DEV-ITP-AZR-FB|LinkAd|CustomerAudienceRetargeting»1x1»TextLink»LIA»DT»CPM»RT»W»NA»SS»NA»39684019-11000</v></cell><cell r="AH1380"><v>224010415</v></cell><cell r="AI1380" t="str"><v>AzurePlatform_FreeAcctRetargetingVMFB-750Hrs-ChD_DEU_1200x628_SOC_Plat_DE_Free Account_Standard_NA_SNU_T1_1</v></cell><cell r="AJ1380"><v>103043341</v></cell></row><row r="1381"><cell r="C1381" t="str"><v>43292Facebook»DEV-ITP-AZR-FB|LinkAd|CustomerAudienceRetargeting»1x1»TextLink»LIA»DT»CPM»RT»W»NA»SS»NA»39684019-11000</v></cell><cell r="D1381" t="str"><v>43292224010415</v></cell><cell r="E1381" t="str"><v>43292103043338-11000</v></cell><cell r="F1381" t="str"><v>DCM</v></cell><cell r="G1381" t="str"><v>https://azure.microsoft.com/de-de/free/virtual-machines/search/</v></cell></row><row r="1381"><cell r="K1381" t="str"><v>July</v></cell><cell r="L1381"><v>43295</v></cell><cell r="M1381" t="str"><v>Tier 1</v></cell><cell r="N1381" t="str"><v>EMEA</v></cell><cell r="O1381" t="str"><v>Germany</v></cell><cell r="P1381" t="str"><v>Trial</v></cell><cell r="Q1381" t="str"><v>Social</v></cell><cell r="R1381" t="str"><v>Azure</v></cell><cell r="S1381" t="str"><v>Apps & Infra</v></cell><cell r="T1381" t="str"><v>Developers & ITI's</v></cell><cell r="U1381" t="str"><v>DEV-ITP-AZR-FB|LinkAd|CustomerAudienceRetargeting</v></cell><cell r="V1381" t="str"><v>Retargeting</v></cell><cell r="W1381" t="str"><v>Link Ad</v></cell><cell r="X1381" t="str"><v>1x1</v></cell></row><row r="1381"><cell r="AA1381"><v>43292</v></cell><cell r="AB1381" t="str"><v>DEU_gaPMG_AZR_AZR_Q1_19_Trial-Social- 39684</v></cell><cell r="AC1381"><v>21359477</v></cell><cell r="AD1381"><v>720194</v></cell><cell r="AE1381" t="str"><v>Facebook</v></cell><cell r="AF1381"><v>3654128</v></cell><cell r="AG1381" t="str"><v>Facebook»DEV-ITP-AZR-FB|LinkAd|CustomerAudienceRetargeting»1x1»TextLink»LIA»DT»CPM»RT»W»NA»SS»NA»39684019-11000</v></cell><cell r="AH1381"><v>224010415</v></cell><cell r="AI1381" t="str"><v>AzurePlatform_FreeAcctRetargetingVMFB-OnDemand-ChE_DEU_1200x628_SOC_Plat_DE_Free Account_Standard_NA_SNU_T2_1</v></cell><cell r="AJ1381"><v>103043338</v></cell></row><row r="1382"><cell r="C1382" t="str"><v>43292Facebook»Developers/ITPros-Azure Direct-Sponsored Post-Canvas-FBCTCcanvaspage-BuyNowCTA-Img3_FBCTCBasicMotion_FRA_10sec»1x1»Canvas»SOC»ALL»CPC»BT»D»UNK»SS»NA»Trials</v></cell><cell r="D1382" t="str"><v>43292224369893</v></cell><cell r="E1382" t="str"><v>43292103256571Trials</v></cell><cell r="F1382" t="str"><v>DCM</v></cell><cell r="G1382" t="str"><v>https://azure.microsoft.com/fr-fr/pricing/purchase-options/</v></cell></row><row r="1382"><cell r="K1382" t="str"><v>July</v></cell><cell r="L1382"><v>43295</v></cell><cell r="M1382" t="str"><v>Tier 1</v></cell><cell r="N1382" t="str"><v>EMEA</v></cell><cell r="O1382" t="str"><v>France</v></cell><cell r="P1382" t="str"><v>Trial</v></cell><cell r="Q1382" t="str"><v>Social</v></cell><cell r="R1382" t="str"><v>Azure</v></cell><cell r="S1382" t="str"><v>Apps & Infra</v></cell><cell r="T1382" t="str"><v>Developers & ITI's</v></cell><cell r="U1382" t="str"><v>Developers/ITPros-Azure Direct-Sponsored Post-Canvas-FBCTCcanvaspage-BuyNowCTA-Img3_FBCTCBasicMotion_FRA_10sec</v></cell><cell r="V1382" t="str"><v>Behavioral Targeting</v></cell><cell r="W1382" t="str"><v>Social</v></cell><cell r="X1382" t="str"><v>1x1</v></cell></row><row r="1382"><cell r="AA1382"><v>43292</v></cell><cell r="AB1382" t="str"><v>FRA_gaPMG_AZR_AZR_Q1_19_AzureDirect-Trial-Social</v></cell><cell r="AC1382"><v>21356941</v></cell><cell r="AD1382"><v>720193</v></cell><cell r="AE1382" t="str"><v>Facebook</v></cell><cell r="AF1382"><v>3654128</v></cell><cell r="AG1382" t="str"><v>Facebook»Developers/ITPros-Azure Direct-Sponsored Post-Canvas-FBCTCcanvaspage-BuyNowCTA-Img3_FBCTCBasicMotion_FRA_10sec»1x1»Canvas»SOC»ALL»CPC»BT»D»UNK»SS»NA»Trials</v></cell><cell r="AH1382"><v>224369893</v></cell><cell r="AI1382" t="str"><v>AZR_FBCTCcanvaspage-BuyNowCTA-Img3_FRA_1080x162_SOC_AZRDirect_French_NA_Facebook_SBAN_BN_T3_1</v></cell><cell r="AJ1382"><v>103256571</v></cell></row><row r="1383"><cell r="C1383" t="str"><v>43292Facebook»Developers/ITPros-Azure Direct-Sponsored Post-Canvas-FBCTCcanvaspage-BuyNowCTA-Img3_FBCTCBrandinMotion_FRA_14sec»1x1»Canvas»SOC»ALL»CPC»BT»D»UNK»SS»NA»Trials</v></cell><cell r="D1383" t="str"><v>43292224416918</v></cell><cell r="E1383" t="str"><v>43292103256571Trials</v></cell><cell r="F1383" t="str"><v>DCM</v></cell><cell r="G1383" t="str"><v>https://azure.microsoft.com/fr-fr/pricing/purchase-options/</v></cell></row><row r="1383"><cell r="K1383" t="str"><v>July</v></cell><cell r="L1383"><v>43295</v></cell><cell r="M1383" t="str"><v>Tier 1</v></cell><cell r="N1383" t="str"><v>EMEA</v></cell><cell r="O1383" t="str"><v>France</v></cell><cell r="P1383" t="str"><v>Trial</v></cell><cell r="Q1383" t="str"><v>Social</v></cell><cell r="R1383" t="str"><v>Azure</v></cell><cell r="S1383" t="str"><v>Apps & Infra</v></cell><cell r="T1383" t="str"><v>Developers & ITI's</v></cell><cell r="U1383" t="str"><v>Developers/ITPros-Azure Direct-Sponsored Post-Canvas-FBCTCcanvaspage-BuyNowCTA-Img3_FBCTCBrandinMotion_FRA_14sec</v></cell><cell r="V1383" t="str"><v>Behavioral Targeting</v></cell><cell r="W1383" t="str"><v>Social</v></cell><cell r="X1383" t="str"><v>1x1</v></cell></row><row r="1383"><cell r="AA1383"><v>43292</v></cell><cell r="AB1383" t="str"><v>FRA_gaPMG_AZR_AZR_Q1_19_AzureDirect-Trial-Social</v></cell><cell r="AC1383"><v>21356941</v></cell><cell r="AD1383"><v>720193</v></cell><cell r="AE1383" t="str"><v>Facebook</v></cell><cell r="AF1383"><v>3654128</v></cell><cell r="AG1383" t="str"><v>Facebook»Developers/ITPros-Azure Direct-Sponsored Post-Canvas-FBCTCcanvaspage-BuyNowCTA-Img3_FBCTCBrandinMotion_FRA_14sec»1x1»Canvas»SOC»ALL»CPC»BT»D»UNK»SS»NA»Trials</v></cell><cell r="AH1383"><v>224416918</v></cell><cell r="AI1383" t="str"><v>AZR_FBCTCcanvaspage-BuyNowCTA-Img3_FRA_1080x162_SOC_AZRDirect_French_NA_Facebook_SBAN_BN_T3_1</v></cell><cell r="AJ1383"><v>103256571</v></cell></row><row r="1384"><cell r="C1384" t="str"><v>43292Facebook»Developers/ITPros-Azure Direct-Sponsored Post-Canvas-FBCTCcanvaspage-StartFreeCTA-Img2_FBCTCBasicMotion_FRA_10sec»1x1»Canvas»SOC»ALL»CPC»BT»D»UNK»SS»NA»Trials</v></cell><cell r="D1384" t="str"><v>43292224560884</v></cell><cell r="E1384" t="str"><v>43292103259958Trials</v></cell><cell r="F1384" t="str"><v>DCM</v></cell><cell r="G1384" t="str"><v>https://signup.azure.com/signup?offer=ms-azr-0044p&appId=102&ref=paidmedia-social-fb&redirectURL=https%3a%2f%2fazure.microsoft.com%2ffr-fr%2fget-started%2fwelcome-to-azure%2f&l=fr-fr&correlationId=ead86c34-1f10-49dd-a72b-6918462a2cbf</v></cell></row><row r="1384"><cell r="K1384" t="str"><v>July</v></cell><cell r="L1384"><v>43295</v></cell><cell r="M1384" t="str"><v>Tier 1</v></cell><cell r="N1384" t="str"><v>EMEA</v></cell><cell r="O1384" t="str"><v>France</v></cell><cell r="P1384" t="str"><v>Trial</v></cell><cell r="Q1384" t="str"><v>Social</v></cell><cell r="R1384" t="str"><v>Azure</v></cell><cell r="S1384" t="str"><v>Apps & Infra</v></cell><cell r="T1384" t="str"><v>Developers & ITI's</v></cell><cell r="U1384" t="str"><v>Developers/ITPros-Azure Direct-Sponsored Post-Canvas-FBCTCcanvaspage-StartFreeCTA-Img2_FBCTCBasicMotion_FRA_10sec</v></cell><cell r="V1384" t="str"><v>Behavioral Targeting</v></cell><cell r="W1384" t="str"><v>Social</v></cell><cell r="X1384" t="str"><v>1x1</v></cell></row><row r="1384"><cell r="AA1384"><v>43292</v></cell><cell r="AB1384" t="str"><v>FRA_gaPMG_AZR_AZR_Q1_19_AzureDirect-Trial-Social</v></cell><cell r="AC1384"><v>21356941</v></cell><cell r="AD1384"><v>720193</v></cell><cell r="AE1384" t="str"><v>Facebook</v></cell><cell r="AF1384"><v>3654128</v></cell><cell r="AG1384" t="str"><v>Facebook»Developers/ITPros-Azure Direct-Sponsored Post-Canvas-FBCTCcanvaspage-StartFreeCTA-Img2_FBCTCBasicMotion_FRA_10sec»1x1»Canvas»SOC»ALL»CPC»BT»D»UNK»SS»NA»Trials</v></cell><cell r="AH1384"><v>224560884</v></cell><cell r="AI1384" t="str"><v>AZR_FBCTCcanvaspage-StartFreeCTA-Img2_FRA_1080x143_SOC_AZRDirect_French_NA_Facebook_SBAN_BN_T2_1</v></cell><cell r="AJ1384"><v>103259958</v></cell></row><row r="1385"><cell r="C1385" t="str"><v>43292Facebook»Developers/ITPros-Azure Direct-Sponsored Post-Canvas-FBCTCcanvaspage-StartFreeCTA-Img2_FBCTCBrandinMotion_FRA_12sec»1x1»Canvas»SOC»ALL»CPC»BT»D»UNK»SS»NA»Trials</v></cell><cell r="D1385" t="str"><v>43292224560878</v></cell><cell r="E1385" t="str"><v>43292103259958Trials</v></cell><cell r="F1385" t="str"><v>DCM</v></cell><cell r="G1385" t="str"><v>https://signup.azure.com/signup?offer=ms-azr-0044p&appId=102&ref=paidmedia-social-fb&redirectURL=https%3a%2f%2fazure.microsoft.com%2ffr-fr%2fget-started%2fwelcome-to-azure%2f&l=fr-fr&correlationId=ead86c34-1f10-49dd-a72b-6918462a2cbf</v></cell></row><row r="1385"><cell r="K1385" t="str"><v>July</v></cell><cell r="L1385"><v>43295</v></cell><cell r="M1385" t="str"><v>Tier 1</v></cell><cell r="N1385" t="str"><v>EMEA</v></cell><cell r="O1385" t="str"><v>France</v></cell><cell r="P1385" t="str"><v>Trial</v></cell><cell r="Q1385" t="str"><v>Social</v></cell><cell r="R1385" t="str"><v>Azure</v></cell><cell r="S1385" t="str"><v>Apps & Infra</v></cell><cell r="T1385" t="str"><v>Developers & ITI's</v></cell><cell r="U1385" t="str"><v>Developers/ITPros-Azure Direct-Sponsored Post-Canvas-FBCTCcanvaspage-StartFreeCTA-Img2_FBCTCBrandinMotion_FRA_12sec</v></cell><cell r="V1385" t="str"><v>Behavioral Targeting</v></cell><cell r="W1385" t="str"><v>Social</v></cell><cell r="X1385" t="str"><v>1x1</v></cell></row><row r="1385"><cell r="AA1385"><v>43292</v></cell><cell r="AB1385" t="str"><v>FRA_gaPMG_AZR_AZR_Q1_19_AzureDirect-Trial-Social</v></cell><cell r="AC1385"><v>21356941</v></cell><cell r="AD1385"><v>720193</v></cell><cell r="AE1385" t="str"><v>Facebook</v></cell><cell r="AF1385"><v>3654128</v></cell><cell r="AG1385" t="str"><v>Facebook»Developers/ITPros-Azure Direct-Sponsored Post-Canvas-FBCTCcanvaspage-StartFreeCTA-Img2_FBCTCBrandinMotion_FRA_12sec»1x1»Canvas»SOC»ALL»CPC»BT»D»UNK»SS»NA»Trials</v></cell><cell r="AH1385"><v>224560878</v></cell><cell r="AI1385" t="str"><v>AZR_FBCTCcanvaspage-StartFreeCTA-Img2_FRA_1080x143_SOC_AZRDirect_French_NA_Facebook_SBAN_BN_T2_1</v></cell><cell r="AJ1385"><v>103259958</v></cell></row><row r="1386"><cell r="C1386" t="str"><v>43292Facebook»Developers/ITPros-Azure Direct-Sponsored Post-Canvas-FBCTCcanvaspage-StartFreeCTA-Img2_FBCTCBrandinMotion_FRA_14sec»1x1»Canvas»SOC»ALL»CPC»BT»D»UNK»SS»NA»Trials</v></cell><cell r="D1386" t="str"><v>43292224560872</v></cell><cell r="E1386" t="str"><v>43292103259958Trials</v></cell><cell r="F1386" t="str"><v>DCM</v></cell><cell r="G1386" t="str"><v>https://signup.azure.com/signup?offer=ms-azr-0044p&appId=102&ref=paidmedia-social-fb&redirectURL=https%3a%2f%2fazure.microsoft.com%2ffr-fr%2fget-started%2fwelcome-to-azure%2f&l=fr-fr&correlationId=ead86c34-1f10-49dd-a72b-6918462a2cbf</v></cell></row><row r="1386"><cell r="K1386" t="str"><v>July</v></cell><cell r="L1386"><v>43295</v></cell><cell r="M1386" t="str"><v>Tier 1</v></cell><cell r="N1386" t="str"><v>EMEA</v></cell><cell r="O1386" t="str"><v>France</v></cell><cell r="P1386" t="str"><v>Trial</v></cell><cell r="Q1386" t="str"><v>Social</v></cell><cell r="R1386" t="str"><v>Azure</v></cell><cell r="S1386" t="str"><v>Apps & Infra</v></cell><cell r="T1386" t="str"><v>Developers & ITI's</v></cell><cell r="U1386" t="str"><v>Developers/ITPros-Azure Direct-Sponsored Post-Canvas-FBCTCcanvaspage-StartFreeCTA-Img2_FBCTCBrandinMotion_FRA_14sec</v></cell><cell r="V1386" t="str"><v>Behavioral Targeting</v></cell><cell r="W1386" t="str"><v>Social</v></cell><cell r="X1386" t="str"><v>1x1</v></cell></row><row r="1386"><cell r="AA1386"><v>43292</v></cell><cell r="AB1386" t="str"><v>FRA_gaPMG_AZR_AZR_Q1_19_AzureDirect-Trial-Social</v></cell><cell r="AC1386"><v>21356941</v></cell><cell r="AD1386"><v>720193</v></cell><cell r="AE1386" t="str"><v>Facebook</v></cell><cell r="AF1386"><v>3654128</v></cell><cell r="AG1386" t="str"><v>Facebook»Developers/ITPros-Azure Direct-Sponsored Post-Canvas-FBCTCcanvaspage-StartFreeCTA-Img2_FBCTCBrandinMotion_FRA_14sec»1x1»Canvas»SOC»ALL»CPC»BT»D»UNK»SS»NA»Trials</v></cell><cell r="AH1386"><v>224560872</v></cell><cell r="AI1386" t="str"><v>AZR_FBCTCcanvaspage-StartFreeCTA-Img2_FRA_1080x143_SOC_AZRDirect_French_NA_Facebook_SBAN_BN_T2_1</v></cell><cell r="AJ1386"><v>103259958</v></cell></row><row r="1387"><cell r="C1387" t="str"><v>43292Facebook»Developers/ITPros-Azure Direct-Sponsored Post-Link Ad-FreeAcctRetargetingFB-GlobalAlt-ChB»1x1»SocialBan»SOC»ALL»CPC»BT»D»UNK»SS»NA»Trials</v></cell><cell r="D1387" t="str"><v>43292224560845</v></cell><cell r="E1387" t="str"><v>43292103259520Trials</v></cell><cell r="F1387" t="str"><v>DCM</v></cell><cell r="G1387" t="str"><v>https://azure.microsoft.com/fr-fr/free/search/</v></cell></row><row r="1387"><cell r="K1387" t="str"><v>July</v></cell><cell r="L1387"><v>43295</v></cell><cell r="M1387" t="str"><v>Tier 1</v></cell><cell r="N1387" t="str"><v>EMEA</v></cell><cell r="O1387" t="str"><v>France</v></cell><cell r="P1387" t="str"><v>Trial</v></cell><cell r="Q1387" t="str"><v>Social</v></cell><cell r="R1387" t="str"><v>Azure</v></cell><cell r="S1387" t="str"><v>Apps & Infra</v></cell><cell r="T1387" t="str"><v>Developers & ITI's</v></cell><cell r="U1387" t="str"><v>Developers/ITPros-Azure Direct-Sponsored Post-Link Ad-FreeAcctRetargetingFB-GlobalAlt-ChB</v></cell><cell r="V1387" t="str"><v>Behavioral Targeting</v></cell><cell r="W1387" t="str"><v>Social</v></cell><cell r="X1387" t="str"><v>1x1</v></cell></row><row r="1387"><cell r="AA1387"><v>43292</v></cell><cell r="AB1387" t="str"><v>FRA_gaPMG_AZR_AZR_Q1_19_AzureDirect-Trial-Social</v></cell><cell r="AC1387"><v>21356941</v></cell><cell r="AD1387"><v>720193</v></cell><cell r="AE1387" t="str"><v>Facebook</v></cell><cell r="AF1387"><v>3654128</v></cell><cell r="AG1387" t="str"><v>Facebook»Developers/ITPros-Azure Direct-Sponsored Post-Link Ad-FreeAcctRetargetingFB-GlobalAlt-ChB»1x1»SocialBan»SOC»ALL»CPC»BT»D»UNK»SS»NA»Trials</v></cell><cell r="AH1387"><v>224560845</v></cell><cell r="AI1387" t="str"><v>AZR_FreeAcctRetargetingFB-GlobalAlt-ChB_FRA_1200x628_SOC_AZRDirect_French_NA_Facebook_SBAN_SINU_T2_1</v></cell><cell r="AJ1387"><v>103259520</v></cell></row><row r="1388"><cell r="C1388" t="str"><v>43292Facebook»Developers/ITPros-Azure Direct-Sponsored Post-Link Ad-FreeAcctRetargetingOSSFB-Text-ChF»1x1»SocialBan»SOC»ALL»CPC»BT»D»UNK»SS»NA»Trials</v></cell><cell r="D1388" t="str"><v>43292224560839</v></cell><cell r="E1388" t="str"><v>43292103257810Trials</v></cell><cell r="F1388" t="str"><v>DCM</v></cell><cell r="G1388" t="str"><v>https://azure.microsoft.com/fr-fr/free/open-source/search/</v></cell></row><row r="1388"><cell r="K1388" t="str"><v>July</v></cell><cell r="L1388"><v>43295</v></cell><cell r="M1388" t="str"><v>Tier 1</v></cell><cell r="N1388" t="str"><v>EMEA</v></cell><cell r="O1388" t="str"><v>France</v></cell><cell r="P1388" t="str"><v>Trial</v></cell><cell r="Q1388" t="str"><v>Social</v></cell><cell r="R1388" t="str"><v>Azure</v></cell><cell r="S1388" t="str"><v>Apps & Infra</v></cell><cell r="T1388" t="str"><v>Developers & ITI's</v></cell><cell r="U1388" t="str"><v>Developers/ITPros-Azure Direct-Sponsored Post-Link Ad-FreeAcctRetargetingOSSFB-Text-ChF</v></cell><cell r="V1388" t="str"><v>Behavioral Targeting</v></cell><cell r="W1388" t="str"><v>Social</v></cell><cell r="X1388" t="str"><v>1x1</v></cell></row><row r="1388"><cell r="AA1388"><v>43292</v></cell><cell r="AB1388" t="str"><v>FRA_gaPMG_AZR_AZR_Q1_19_AzureDirect-Trial-Social</v></cell><cell r="AC1388"><v>21356941</v></cell><cell r="AD1388"><v>720193</v></cell><cell r="AE1388" t="str"><v>Facebook</v></cell><cell r="AF1388"><v>3654128</v></cell><cell r="AG1388" t="str"><v>Facebook»Developers/ITPros-Azure Direct-Sponsored Post-Link Ad-FreeAcctRetargetingOSSFB-Text-ChF»1x1»SocialBan»SOC»ALL»CPC»BT»D»UNK»SS»NA»Trials</v></cell><cell r="AH1388"><v>224560839</v></cell><cell r="AI1388" t="str"><v>AZR_FreeAcctRetargetingOSSFB-Text-ChF_FRA_1200x628_SOC_AZRDirect_French_NA_Facebook_SBAN_SINU_T1_1</v></cell><cell r="AJ1388"><v>103257810</v></cell></row><row r="1389"><cell r="C1389" t="str"><v>43292Facebook»Developers/ITPros-Azure Direct-Sponsored Post-Link Ad-FreeAcctRetargetingVMFB-750Hrs-ChD»1x1»SocialBan»SOC»ALL»CPC»BT»D»UNK»SS»NA»Trials</v></cell><cell r="D1389" t="str"><v>43292224560836</v></cell><cell r="E1389" t="str"><v>43292103259010Trials</v></cell><cell r="F1389" t="str"><v>DCM</v></cell><cell r="G1389" t="str"><v>https://azure.microsoft.com/fr-fr/free/virtual-machines/search/</v></cell></row><row r="1389"><cell r="K1389" t="str"><v>July</v></cell><cell r="L1389"><v>43295</v></cell><cell r="M1389" t="str"><v>Tier 1</v></cell><cell r="N1389" t="str"><v>EMEA</v></cell><cell r="O1389" t="str"><v>France</v></cell><cell r="P1389" t="str"><v>Trial</v></cell><cell r="Q1389" t="str"><v>Social</v></cell><cell r="R1389" t="str"><v>Azure</v></cell><cell r="S1389" t="str"><v>Apps & Infra</v></cell><cell r="T1389" t="str"><v>Developers & ITI's</v></cell><cell r="U1389" t="str"><v>Developers/ITPros-Azure Direct-Sponsored Post-Link Ad-FreeAcctRetargetingVMFB-750Hrs-ChD</v></cell><cell r="V1389" t="str"><v>Behavioral Targeting</v></cell><cell r="W1389" t="str"><v>Social</v></cell><cell r="X1389" t="str"><v>1x1</v></cell></row><row r="1389"><cell r="AA1389"><v>43292</v></cell><cell r="AB1389" t="str"><v>FRA_gaPMG_AZR_AZR_Q1_19_AzureDirect-Trial-Social</v></cell><cell r="AC1389"><v>21356941</v></cell><cell r="AD1389"><v>720193</v></cell><cell r="AE1389" t="str"><v>Facebook</v></cell><cell r="AF1389"><v>3654128</v></cell><cell r="AG1389" t="str"><v>Facebook»Developers/ITPros-Azure Direct-Sponsored Post-Link Ad-FreeAcctRetargetingVMFB-750Hrs-ChD»1x1»SocialBan»SOC»ALL»CPC»BT»D»UNK»SS»NA»Trials</v></cell><cell r="AH1389"><v>224560836</v></cell><cell r="AI1389" t="str"><v>AZR_FreeAcctRetargetingVMFB-750Hrs-ChD_FRA_1200x628_SOC_AZRDirect_French_NA_Facebook_SBAN_SINU_T1_1</v></cell><cell r="AJ1389"><v>103259010</v></cell></row><row r="1390"><cell r="C1390" t="str"><v>43292Facebook»Developers/ITPros-Azure Direct-Sponsored Post-Video Ad-FBCTCBasicMotion_FRA_10s_RTG Landing Page»1x1»05s»SOC»ALL»CPC»BT»D»UNK»SS»NA»Trials</v></cell><cell r="D1390" t="str"><v>43292224416915</v></cell><cell r="E1390" t="str"><v>43292103376981Trials</v></cell><cell r="F1390" t="str"><v>DCM</v></cell></row><row r="1390"><cell r="K1390" t="str"><v>July</v></cell><cell r="L1390"><v>43295</v></cell><cell r="M1390" t="str"><v>Tier 1</v></cell><cell r="N1390" t="str"><v>EMEA</v></cell><cell r="O1390" t="str"><v>France</v></cell><cell r="P1390" t="str"><v>Trial</v></cell><cell r="Q1390" t="str"><v>Social</v></cell><cell r="R1390" t="str"><v>Azure</v></cell><cell r="S1390" t="str"><v>Apps & Infra</v></cell><cell r="T1390" t="str"><v>Developers & ITI's</v></cell><cell r="U1390" t="str"><v>Developers/ITPros-Azure Direct-Sponsored Post-Video Ad-FBCTCBasicMotion_FRA_10s_RTG Landing Page</v></cell><cell r="V1390" t="str"><v>Behavioral Targeting</v></cell><cell r="W1390" t="str"><v>Social</v></cell><cell r="X1390" t="str"><v>1x1</v></cell></row><row r="1390"><cell r="AA1390"><v>43292</v></cell><cell r="AB1390" t="str"><v>FRA_gaPMG_AZR_AZR_Q1_19_AzureDirect-Trial-Social</v></cell><cell r="AC1390"><v>21356941</v></cell><cell r="AD1390"><v>720193</v></cell><cell r="AE1390" t="str"><v>Facebook</v></cell><cell r="AF1390"><v>3654128</v></cell><cell r="AG1390" t="str"><v>Facebook»Developers/ITPros-Azure Direct-Sponsored Post-Video Ad-FBCTCBasicMotion_FRA_10s_RTG Landing Page»1x1»05s»SOC»ALL»CPC»BT»D»UNK»SS»NA»Trials</v></cell><cell r="AH1390"><v>224416915</v></cell><cell r="AI1390" t="str"><v>AZR_FBCTCBasicMotion_FRA_10s_VIA_AZRDirect_French_NA_Facebook_STAN_TIN_T1_1</v></cell><cell r="AJ1390"><v>103376981</v></cell></row><row r="1391"><cell r="C1391" t="str"><v>43292Facebook»Developers/ITPros-Azure Direct-Sponsored Post-Video Ad-FBCTCBenefit2inMotion_FRA_14s_RTG Landing Page»1x1»06s»SOC»ALL»CPC»BT»D»UNK»SS»NA»Trials</v></cell><cell r="D1391" t="str"><v>43292224560875</v></cell><cell r="E1391" t="str"><v>43292103259766Trials</v></cell><cell r="F1391" t="str"><v>DCM</v></cell><cell r="G1391" t="str"><v>https://signup.azure.com/signup?offer=ms-azr-0044p&appId=102&ref=paidmedia-social-fb&redirectURL=https:%2F%2Fazure.microsoft.com%2Ffr-fr%2Fget-started%2Fwelcome-to-azure%2F&l=fr-fr&correlationId=ead86c34-1f10-49dd-a72b-6918462a2cbf</v></cell></row><row r="1391"><cell r="K1391" t="str"><v>July</v></cell><cell r="L1391"><v>43295</v></cell><cell r="M1391" t="str"><v>Tier 1</v></cell><cell r="N1391" t="str"><v>EMEA</v></cell><cell r="O1391" t="str"><v>France</v></cell><cell r="P1391" t="str"><v>Trial</v></cell><cell r="Q1391" t="str"><v>Social</v></cell><cell r="R1391" t="str"><v>Azure</v></cell><cell r="S1391" t="str"><v>Apps & Infra</v></cell><cell r="T1391" t="str"><v>Developers & ITI's</v></cell><cell r="U1391" t="str"><v>Developers/ITPros-Azure Direct-Sponsored Post-Video Ad-FBCTCBenefit2inMotion_FRA_14s_RTG Landing Page</v></cell><cell r="V1391" t="str"><v>Behavioral Targeting</v></cell><cell r="W1391" t="str"><v>Social</v></cell><cell r="X1391" t="str"><v>1x1</v></cell></row><row r="1391"><cell r="AA1391"><v>43292</v></cell><cell r="AB1391" t="str"><v>FRA_gaPMG_AZR_AZR_Q1_19_AzureDirect-Trial-Social</v></cell><cell r="AC1391"><v>21356941</v></cell><cell r="AD1391"><v>720193</v></cell><cell r="AE1391" t="str"><v>Facebook</v></cell><cell r="AF1391"><v>3654128</v></cell><cell r="AG1391" t="str"><v>Facebook»Developers/ITPros-Azure Direct-Sponsored Post-Video Ad-FBCTCBenefit2inMotion_FRA_14s_RTG Landing Page»1x1»06s»SOC»ALL»CPC»BT»D»UNK»SS»NA»Trials</v></cell><cell r="AH1391"><v>224560875</v></cell><cell r="AI1391" t="str"><v>AZR_FBCTCBenefit2inMotion_FRA_14s_VIA_AZRDirect_French_NA_Facebook_STAN_TIN_T4_1</v></cell><cell r="AJ1391"><v>103259766</v></cell></row><row r="1392"><cell r="C1392" t="str"><v>43292Facebook»Developers/ITPros-Azure Direct-Sponsored Post-Video Ad-FBCTCBrandinMotion_FRA_12s_RTG Landing Page»1x1»05s»SOC»ALL»CPC»BT»D»UNK»SS»NA»Trials</v></cell><cell r="D1392" t="str"><v>43292224560863</v></cell><cell r="E1392" t="str"><v>43292103256577Trials</v></cell><cell r="F1392" t="str"><v>DCM</v></cell></row><row r="1392"><cell r="K1392" t="str"><v>July</v></cell><cell r="L1392"><v>43295</v></cell><cell r="M1392" t="str"><v>Tier 1</v></cell><cell r="N1392" t="str"><v>EMEA</v></cell><cell r="O1392" t="str"><v>France</v></cell><cell r="P1392" t="str"><v>Trial</v></cell><cell r="Q1392" t="str"><v>Social</v></cell><cell r="R1392" t="str"><v>Azure</v></cell><cell r="S1392" t="str"><v>Apps & Infra</v></cell><cell r="T1392" t="str"><v>Developers & ITI's</v></cell><cell r="U1392" t="str"><v>Developers/ITPros-Azure Direct-Sponsored Post-Video Ad-FBCTCBrandinMotion_FRA_12s_RTG Landing Page</v></cell><cell r="V1392" t="str"><v>Behavioral Targeting</v></cell><cell r="W1392" t="str"><v>Social</v></cell><cell r="X1392" t="str"><v>1x1</v></cell></row><row r="1392"><cell r="AA1392"><v>43292</v></cell><cell r="AB1392" t="str"><v>FRA_gaPMG_AZR_AZR_Q1_19_AzureDirect-Trial-Social</v></cell><cell r="AC1392"><v>21356941</v></cell><cell r="AD1392"><v>720193</v></cell><cell r="AE1392" t="str"><v>Facebook</v></cell><cell r="AF1392"><v>3654128</v></cell><cell r="AG1392" t="str"><v>Facebook»Developers/ITPros-Azure Direct-Sponsored Post-Video Ad-FBCTCBrandinMotion_FRA_12s_RTG Landing Page»1x1»05s»SOC»ALL»CPC»BT»D»UNK»SS»NA»Trials</v></cell><cell r="AH1392"><v>224560863</v></cell><cell r="AI1392" t="str"><v>AZR_FBCTCBrandinMotion_FRA_12s_VIA_AZRDirect_French_NA_Facebook_STAN_TIN_T2_1</v></cell><cell r="AJ1392"><v>103256577</v></cell></row><row r="1393"><cell r="C1393" t="str"><v>43292Facebook»Developers/ITPros-Azure Direct-Sponsored Post-Canvas-FBCTCcanvaspage-BuyNowCTA-Img3_FBCTCBrandinMotion_FRA_12sec»1x1»Canvas»SOC»ALL»CPC»BT»D»UNK»SS»NA»Trials</v></cell><cell r="D1393" t="str"><v>43292224416924</v></cell><cell r="E1393" t="str"><v>43292103256571Trials</v></cell><cell r="F1393" t="str"><v>DCM</v></cell><cell r="G1393" t="str"><v>https://azure.microsoft.com/fr-fr/pricing/purchase-options/</v></cell></row><row r="1393"><cell r="K1393" t="str"><v>July</v></cell><cell r="L1393"><v>43295</v></cell><cell r="M1393" t="str"><v>Tier 1</v></cell><cell r="N1393" t="str"><v>EMEA</v></cell><cell r="O1393" t="str"><v>France</v></cell><cell r="P1393" t="str"><v>Trial</v></cell><cell r="Q1393" t="str"><v>Social</v></cell><cell r="R1393" t="str"><v>Azure</v></cell><cell r="S1393" t="str"><v>Apps & Infra</v></cell><cell r="T1393" t="str"><v>Developers & ITI's</v></cell><cell r="U1393" t="str"><v>Developers/ITPros-Azure Direct-Sponsored Post-Canvas-FBCTCcanvaspage-BuyNowCTA-Img3_FBCTCBrandinMotion_FRA_12sec</v></cell><cell r="V1393" t="str"><v>Behavioral Targeting</v></cell><cell r="W1393" t="str"><v>Social</v></cell><cell r="X1393" t="str"><v>1x1</v></cell></row><row r="1393"><cell r="AA1393"><v>43292</v></cell><cell r="AB1393" t="str"><v>FRA_gaPMG_AZR_AZR_Q1_19_AzureDirect-Trial-Social</v></cell><cell r="AC1393"><v>21356941</v></cell><cell r="AD1393"><v>720193</v></cell><cell r="AE1393" t="str"><v>Facebook</v></cell><cell r="AF1393"><v>3654128</v></cell><cell r="AG1393" t="str"><v>Facebook»Developers/ITPros-Azure Direct-Sponsored Post-Canvas-FBCTCcanvaspage-BuyNowCTA-Img3_FBCTCBrandinMotion_FRA_12sec»1x1»Canvas»SOC»ALL»CPC»BT»D»UNK»SS»NA»Trials</v></cell><cell r="AH1393"><v>224416924</v></cell><cell r="AI1393" t="str"><v>AZR_FBCTCcanvaspage-BuyNowCTA-Img3_FRA_1080x162_SOC_AZRDirect_French_NA_Facebook_SBAN_BN_T3_1</v></cell><cell r="AJ1393"><v>103256571</v></cell></row><row r="1394"><cell r="C1394" t="str"><v>43292Facebook»Developers/ITPros-Azure Direct-Sponsored Post-Link Ad-FreeAcctAppsFACEBOOK12monthsChE»1x1»SocialBan»SOC»ALL»CPC»BT»D»UNK»SS»NA»Trials</v></cell><cell r="D1394" t="str"><v>43292224560866</v></cell><cell r="E1394" t="str"><v>43292103259784Trials</v></cell><cell r="F1394" t="str"><v>DCM</v></cell><cell r="G1394" t="str"><v>https://azure.microsoft.com/fr-fr/free/search/</v></cell></row><row r="1394"><cell r="K1394" t="str"><v>July</v></cell><cell r="L1394"><v>43295</v></cell><cell r="M1394" t="str"><v>Tier 1</v></cell><cell r="N1394" t="str"><v>EMEA</v></cell><cell r="O1394" t="str"><v>France</v></cell><cell r="P1394" t="str"><v>Trial</v></cell><cell r="Q1394" t="str"><v>Social</v></cell><cell r="R1394" t="str"><v>Azure</v></cell><cell r="S1394" t="str"><v>Apps & Infra</v></cell><cell r="T1394" t="str"><v>Developers & ITI's</v></cell><cell r="U1394" t="str"><v>Developers/ITPros-Azure Direct-Sponsored Post-Link Ad-FreeAcctAppsFACEBOOK12monthsChE</v></cell><cell r="V1394" t="str"><v>Behavioral Targeting</v></cell><cell r="W1394" t="str"><v>Social</v></cell><cell r="X1394" t="str"><v>1x1</v></cell></row><row r="1394"><cell r="AA1394"><v>43292</v></cell><cell r="AB1394" t="str"><v>FRA_gaPMG_AZR_AZR_Q1_19_AzureDirect-Trial-Social</v></cell><cell r="AC1394"><v>21356941</v></cell><cell r="AD1394"><v>720193</v></cell><cell r="AE1394" t="str"><v>Facebook</v></cell><cell r="AF1394"><v>3654128</v></cell><cell r="AG1394" t="str"><v>Facebook»Developers/ITPros-Azure Direct-Sponsored Post-Link Ad-FreeAcctAppsFACEBOOK12monthsChE»1x1»SocialBan»SOC»ALL»CPC»BT»D»UNK»SS»NA»Trials</v></cell><cell r="AH1394"><v>224560866</v></cell><cell r="AI1394" t="str"><v>AZR_FreeAcctAppsFACEBOOK12monthsChE_FRA_1200x628_SOC_PLAT_FR_Trial_Standard_NA_SINU_T5_1</v></cell><cell r="AJ1394"><v>103259784</v></cell></row><row r="1395"><cell r="C1395" t="str"><v>43292Facebook»Developers/ITPros-Azure Direct-Sponsored Post-Link Ad-FreeAcctAppsFACEBOOK200CreditChD»1x1»SocialBan»SOC»ALL»CPC»BT»D»UNK»SS»NA»Trials</v></cell><cell r="D1395" t="str"><v>43292224560860</v></cell><cell r="E1395" t="str"><v>43292103377773Trials</v></cell><cell r="F1395" t="str"><v>DCM</v></cell><cell r="G1395" t="str"><v>https://azure.microsoft.com/fr-fr/free/search/</v></cell></row><row r="1395"><cell r="K1395" t="str"><v>July</v></cell><cell r="L1395"><v>43295</v></cell><cell r="M1395" t="str"><v>Tier 1</v></cell><cell r="N1395" t="str"><v>EMEA</v></cell><cell r="O1395" t="str"><v>France</v></cell><cell r="P1395" t="str"><v>Trial</v></cell><cell r="Q1395" t="str"><v>Social</v></cell><cell r="R1395" t="str"><v>Azure</v></cell><cell r="S1395" t="str"><v>Apps & Infra</v></cell><cell r="T1395" t="str"><v>Developers & ITI's</v></cell><cell r="U1395" t="str"><v>Developers/ITPros-Azure Direct-Sponsored Post-Link Ad-FreeAcctAppsFACEBOOK200CreditChD</v></cell><cell r="V1395" t="str"><v>Behavioral Targeting</v></cell><cell r="W1395" t="str"><v>Social</v></cell><cell r="X1395" t="str"><v>1x1</v></cell></row><row r="1395"><cell r="AA1395"><v>43292</v></cell><cell r="AB1395" t="str"><v>FRA_gaPMG_AZR_AZR_Q1_19_AzureDirect-Trial-Social</v></cell><cell r="AC1395"><v>21356941</v></cell><cell r="AD1395"><v>720193</v></cell><cell r="AE1395" t="str"><v>Facebook</v></cell><cell r="AF1395"><v>3654128</v></cell><cell r="AG1395" t="str"><v>Facebook»Developers/ITPros-Azure Direct-Sponsored Post-Link Ad-FreeAcctAppsFACEBOOK200CreditChD»1x1»SocialBan»SOC»ALL»CPC»BT»D»UNK»SS»NA»Trials</v></cell><cell r="AH1395"><v>224560860</v></cell><cell r="AI1395" t="str"><v>AZR_FreeAcctAppsFACEBOOK200CreditChD_FRA_1200x628_SOC_PLAT_FR_Trial_Standard_NA_SINU_T4_1</v></cell><cell r="AJ1395"><v>103377773</v></cell></row><row r="1396"><cell r="C1396" t="str"><v>43292Facebook»Developers/ITPros-Azure Direct-Sponsored Post-Link Ad-FreeAcctAppsFACEBOOKDeviceChB»1x1»SocialBan»SOC»ALL»CPC»AUT»D»UNK»SS»NA»Trials</v></cell><cell r="D1396" t="str"><v>43292224560857</v></cell><cell r="E1396" t="str"><v>43292103377002Trials</v></cell><cell r="F1396" t="str"><v>DCM</v></cell><cell r="G1396" t="str"><v>https://azure.microsoft.com/fr-fr/free/search/</v></cell></row><row r="1396"><cell r="K1396" t="str"><v>July</v></cell><cell r="L1396"><v>43295</v></cell><cell r="M1396" t="str"><v>Tier 1</v></cell><cell r="N1396" t="str"><v>EMEA</v></cell><cell r="O1396" t="str"><v>France</v></cell><cell r="P1396" t="str"><v>Trial</v></cell><cell r="Q1396" t="str"><v>Social</v></cell><cell r="R1396" t="str"><v>Azure</v></cell><cell r="S1396" t="str"><v>Apps & Infra</v></cell><cell r="T1396" t="str"><v>Developers & ITI's</v></cell><cell r="U1396" t="str"><v>Developers/ITPros-Azure Direct-Sponsored Post-Link Ad-FreeAcctAppsFACEBOOKDeviceChB</v></cell><cell r="V1396" t="str"><v>Audience Targeting</v></cell><cell r="W1396" t="str"><v>Social</v></cell><cell r="X1396" t="str"><v>1x1</v></cell></row><row r="1396"><cell r="AA1396"><v>43292</v></cell><cell r="AB1396" t="str"><v>FRA_gaPMG_AZR_AZR_Q1_19_AzureDirect-Trial-Social</v></cell><cell r="AC1396"><v>21356941</v></cell><cell r="AD1396"><v>720193</v></cell><cell r="AE1396" t="str"><v>Facebook</v></cell><cell r="AF1396"><v>3654128</v></cell><cell r="AG1396" t="str"><v>Facebook»Developers/ITPros-Azure Direct-Sponsored Post-Link Ad-FreeAcctAppsFACEBOOKDeviceChB»1x1»SocialBan»SOC»ALL»CPC»AUT»D»UNK»SS»NA»Trials</v></cell><cell r="AH1396"><v>224560857</v></cell><cell r="AI1396" t="str"><v>AZR_FreeAcctAppsFACEBOOKDeviceChB_FRA_1200x628_SOC_PLAT_FR_Trial_Standard_NA_SINU_T2_1</v></cell><cell r="AJ1396"><v>103377002</v></cell></row><row r="1397"><cell r="C1397" t="str"><v>43292Facebook»Developers/ITPros-Azure Direct-Sponsored Post-Link Ad-FreeAcctAppsFACEBOOKIllustrationChC»1x1»SocialBan»SOC»ALL»CPC»AUT»D»UNK»SS»NA»Trials</v></cell><cell r="D1397" t="str"><v>43292224560854</v></cell><cell r="E1397" t="str"><v>43292103259550Trials</v></cell><cell r="F1397" t="str"><v>DCM</v></cell><cell r="G1397" t="str"><v>https://azure.microsoft.com/fr-fr/free/search/</v></cell></row><row r="1397"><cell r="K1397" t="str"><v>July</v></cell><cell r="L1397"><v>43295</v></cell><cell r="M1397" t="str"><v>Tier 1</v></cell><cell r="N1397" t="str"><v>EMEA</v></cell><cell r="O1397" t="str"><v>France</v></cell><cell r="P1397" t="str"><v>Trial</v></cell><cell r="Q1397" t="str"><v>Social</v></cell><cell r="R1397" t="str"><v>Azure</v></cell><cell r="S1397" t="str"><v>Apps & Infra</v></cell><cell r="T1397" t="str"><v>Developers & ITI's</v></cell><cell r="U1397" t="str"><v>Developers/ITPros-Azure Direct-Sponsored Post-Link Ad-FreeAcctAppsFACEBOOKIllustrationChC</v></cell><cell r="V1397" t="str"><v>Audience Targeting</v></cell><cell r="W1397" t="str"><v>Social</v></cell><cell r="X1397" t="str"><v>1x1</v></cell></row><row r="1397"><cell r="AA1397"><v>43292</v></cell><cell r="AB1397" t="str"><v>FRA_gaPMG_AZR_AZR_Q1_19_AzureDirect-Trial-Social</v></cell><cell r="AC1397"><v>21356941</v></cell><cell r="AD1397"><v>720193</v></cell><cell r="AE1397" t="str"><v>Facebook</v></cell><cell r="AF1397"><v>3654128</v></cell><cell r="AG1397" t="str"><v>Facebook»Developers/ITPros-Azure Direct-Sponsored Post-Link Ad-FreeAcctAppsFACEBOOKIllustrationChC»1x1»SocialBan»SOC»ALL»CPC»AUT»D»UNK»SS»NA»Trials</v></cell><cell r="AH1397"><v>224560854</v></cell><cell r="AI1397" t="str"><v>AZR_FreeAcctAppsFACEBOOKIllustrationChC_FRA_1200x628_SOC_PLAT_FR_Trial_Standard_NA_SINU_T3_1</v></cell><cell r="AJ1397"><v>103259550</v></cell></row><row r="1398"><cell r="C1398" t="str"><v>43292Facebook»Developers/ITPros-Azure Direct-Sponsored Post-Link Ad-FreeAcctAppsFACEBOOKLifestyleChA»1x1»SocialBan»SOC»ALL»CPC»AUT»D»UNK»SS»NA»Trials</v></cell><cell r="D1398" t="str"><v>43292224560851</v></cell><cell r="E1398" t="str"><v>43292103259562Trials</v></cell><cell r="F1398" t="str"><v>DCM</v></cell><cell r="G1398" t="str"><v>https://azure.microsoft.com/fr-fr/free/search/</v></cell></row><row r="1398"><cell r="K1398" t="str"><v>July</v></cell><cell r="L1398"><v>43295</v></cell><cell r="M1398" t="str"><v>Tier 1</v></cell><cell r="N1398" t="str"><v>EMEA</v></cell><cell r="O1398" t="str"><v>France</v></cell><cell r="P1398" t="str"><v>Trial</v></cell><cell r="Q1398" t="str"><v>Social</v></cell><cell r="R1398" t="str"><v>Azure</v></cell><cell r="S1398" t="str"><v>Apps & Infra</v></cell><cell r="T1398" t="str"><v>Developers & ITI's</v></cell><cell r="U1398" t="str"><v>Developers/ITPros-Azure Direct-Sponsored Post-Link Ad-FreeAcctAppsFACEBOOKLifestyleChA</v></cell><cell r="V1398" t="str"><v>Audience Targeting</v></cell><cell r="W1398" t="str"><v>Social</v></cell><cell r="X1398" t="str"><v>1x1</v></cell></row><row r="1398"><cell r="AA1398"><v>43292</v></cell><cell r="AB1398" t="str"><v>FRA_gaPMG_AZR_AZR_Q1_19_AzureDirect-Trial-Social</v></cell><cell r="AC1398"><v>21356941</v></cell><cell r="AD1398"><v>720193</v></cell><cell r="AE1398" t="str"><v>Facebook</v></cell><cell r="AF1398"><v>3654128</v></cell><cell r="AG1398" t="str"><v>Facebook»Developers/ITPros-Azure Direct-Sponsored Post-Link Ad-FreeAcctAppsFACEBOOKLifestyleChA»1x1»SocialBan»SOC»ALL»CPC»AUT»D»UNK»SS»NA»Trials</v></cell><cell r="AH1398"><v>224560851</v></cell><cell r="AI1398" t="str"><v>AZR_FreeAcctAppsFACEBOOKLifestyleChA_FRA_1200x628_SOC_PLAT_FR_Trial_Standard_NA_SINU_T1_1</v></cell><cell r="AJ1398"><v>103259562</v></cell></row><row r="1399"><cell r="C1399" t="str"><v>43292Facebook»Developers/ITPros-Azure Direct-Sponsored Post-Link Ad-FreeAcctRetargetingFB-Animated-ChC»1x1»SocialBan»SOC»ALL»CPC»BT»D»UNK»SS»NA»Trials</v></cell><cell r="D1399" t="str"><v>43292224560848</v></cell><cell r="E1399" t="str"><v>43292103259775Trials</v></cell><cell r="F1399" t="str"><v>DCM</v></cell><cell r="G1399" t="str"><v>https://azure.microsoft.com/fr-fr/free/search/</v></cell></row><row r="1399"><cell r="K1399" t="str"><v>July</v></cell><cell r="L1399"><v>43295</v></cell><cell r="M1399" t="str"><v>Tier 1</v></cell><cell r="N1399" t="str"><v>EMEA</v></cell><cell r="O1399" t="str"><v>France</v></cell><cell r="P1399" t="str"><v>Trial</v></cell><cell r="Q1399" t="str"><v>Social</v></cell><cell r="R1399" t="str"><v>Azure</v></cell><cell r="S1399" t="str"><v>Apps & Infra</v></cell><cell r="T1399" t="str"><v>Developers & ITI's</v></cell><cell r="U1399" t="str"><v>Developers/ITPros-Azure Direct-Sponsored Post-Link Ad-FreeAcctRetargetingFB-Animated-ChC</v></cell><cell r="V1399" t="str"><v>Behavioral Targeting</v></cell><cell r="W1399" t="str"><v>Social</v></cell><cell r="X1399" t="str"><v>1x1</v></cell></row><row r="1399"><cell r="AA1399"><v>43292</v></cell><cell r="AB1399" t="str"><v>FRA_gaPMG_AZR_AZR_Q1_19_AzureDirect-Trial-Social</v></cell><cell r="AC1399"><v>21356941</v></cell><cell r="AD1399"><v>720193</v></cell><cell r="AE1399" t="str"><v>Facebook</v></cell><cell r="AF1399"><v>3654128</v></cell><cell r="AG1399" t="str"><v>Facebook»Developers/ITPros-Azure Direct-Sponsored Post-Link Ad-FreeAcctRetargetingFB-Animated-ChC»1x1»SocialBan»SOC»ALL»CPC»BT»D»UNK»SS»NA»Trials</v></cell><cell r="AH1399"><v>224560848</v></cell><cell r="AI1399" t="str"><v>AZR_reeAcctRetargetingFB-Animated-ChC_FRA_1200x628_SOC_AZRDirect_French_NA_Facebook_SBAN_SINU_T3_1</v></cell><cell r="AJ1399"><v>103259775</v></cell></row><row r="1400"><cell r="C1400" t="str"><v>43292Facebook»Developers/ITPros-Azure Direct-Sponsored Post-Link Ad-FreeAcctRetargetingOSSFB-Logos-ChG»1x1»SocialBan»SOC»ALL»CPC»BT»D»UNK»SS»NA»Trials</v></cell><cell r="D1400" t="str"><v>43292224560842</v></cell><cell r="E1400" t="str"><v>43292103259769Trials</v></cell><cell r="F1400" t="str"><v>DCM</v></cell><cell r="G1400" t="str"><v>https://azure.microsoft.com/fr-fr/free/open-source/search/</v></cell></row><row r="1400"><cell r="K1400" t="str"><v>July</v></cell><cell r="L1400"><v>43295</v></cell><cell r="M1400" t="str"><v>Tier 1</v></cell><cell r="N1400" t="str"><v>EMEA</v></cell><cell r="O1400" t="str"><v>France</v></cell><cell r="P1400" t="str"><v>Trial</v></cell><cell r="Q1400" t="str"><v>Social</v></cell><cell r="R1400" t="str"><v>Azure</v></cell><cell r="S1400" t="str"><v>Apps & Infra</v></cell><cell r="T1400" t="str"><v>Developers & ITI's</v></cell><cell r="U1400" t="str"><v>Developers/ITPros-Azure Direct-Sponsored Post-Link Ad-FreeAcctRetargetingOSSFB-Logos-ChG</v></cell><cell r="V1400" t="str"><v>Behavioral Targeting</v></cell><cell r="W1400" t="str"><v>Social</v></cell><cell r="X1400" t="str"><v>1x1</v></cell></row><row r="1400"><cell r="AA1400"><v>43292</v></cell><cell r="AB1400" t="str"><v>FRA_gaPMG_AZR_AZR_Q1_19_AzureDirect-Trial-Social</v></cell><cell r="AC1400"><v>21356941</v></cell><cell r="AD1400"><v>720193</v></cell><cell r="AE1400" t="str"><v>Facebook</v></cell><cell r="AF1400"><v>3654128</v></cell><cell r="AG1400" t="str"><v>Facebook»Developers/ITPros-Azure Direct-Sponsored Post-Link Ad-FreeAcctRetargetingOSSFB-Logos-ChG»1x1»SocialBan»SOC»ALL»CPC»BT»D»UNK»SS»NA»Trials</v></cell><cell r="AH1400"><v>224560842</v></cell><cell r="AI1400" t="str"><v>AZR_FreeAcctRetargetingOSSFB-Logos-ChG_FRA_1200x628_SOC_AZRDirect_French_NA_Facebook_SBAN_SINU_T2_1</v></cell><cell r="AJ1400"><v>103259769</v></cell></row><row r="1401"><cell r="C1401" t="str"><v>43292Facebook»Developers/ITPros-Azure Direct-Sponsored Post-Link Ad-FreeAcctRetargetingVMFB-OnDemand-ChE»1x1»SocialBan»SOC»ALL»CPC»BT»D»UNK»SS»NA»Trials</v></cell><cell r="D1401" t="str"><v>43292224560833</v></cell><cell r="E1401" t="str"><v>43292103376990Trials</v></cell><cell r="F1401" t="str"><v>DCM</v></cell><cell r="G1401" t="str"><v>https://azure.microsoft.com/fr-fr/free/virtual-machines/search/</v></cell></row><row r="1401"><cell r="K1401" t="str"><v>July</v></cell><cell r="L1401"><v>43295</v></cell><cell r="M1401" t="str"><v>Tier 1</v></cell><cell r="N1401" t="str"><v>EMEA</v></cell><cell r="O1401" t="str"><v>France</v></cell><cell r="P1401" t="str"><v>Trial</v></cell><cell r="Q1401" t="str"><v>Social</v></cell><cell r="R1401" t="str"><v>Azure</v></cell><cell r="S1401" t="str"><v>Apps & Infra</v></cell><cell r="T1401" t="str"><v>Developers & ITI's</v></cell><cell r="U1401" t="str"><v>Developers/ITPros-Azure Direct-Sponsored Post-Link Ad-FreeAcctRetargetingVMFB-OnDemand-ChE</v></cell><cell r="V1401" t="str"><v>Behavioral Targeting</v></cell><cell r="W1401" t="str"><v>Social</v></cell><cell r="X1401" t="str"><v>1x1</v></cell></row><row r="1401"><cell r="AA1401"><v>43292</v></cell><cell r="AB1401" t="str"><v>FRA_gaPMG_AZR_AZR_Q1_19_AzureDirect-Trial-Social</v></cell><cell r="AC1401"><v>21356941</v></cell><cell r="AD1401"><v>720193</v></cell><cell r="AE1401" t="str"><v>Facebook</v></cell><cell r="AF1401"><v>3654128</v></cell><cell r="AG1401" t="str"><v>Facebook»Developers/ITPros-Azure Direct-Sponsored Post-Link Ad-FreeAcctRetargetingVMFB-OnDemand-ChE»1x1»SocialBan»SOC»ALL»CPC»BT»D»UNK»SS»NA»Trials</v></cell><cell r="AH1401"><v>224560833</v></cell><cell r="AI1401" t="str"><v>AZR_FreeAcctRetargetingVMFB-OnDemand-ChE_FRA_1200x628_SOC_AZRDirect_French_NA_Facebook_SBAN_SINU_T2_1</v></cell><cell r="AJ1401"><v>103376990</v></cell></row><row r="1402"><cell r="C1402" t="str"><v>43292Facebook»Audience & Interest Targeting»1x1»SocialBan»LIA»DT»CPC»AUT»W»NA»SS»NA»Basic Motion</v></cell><cell r="D1402" t="str"><v>43292224399962</v></cell><cell r="E1402" t="str"><v>43292103230847Motion</v></cell><cell r="F1402" t="str"><v>DCM</v></cell><cell r="G1402" t="str"><v>https://azure.microsoft.com/en-gb/pricing/purchase-options/</v></cell></row><row r="1402"><cell r="K1402" t="str"><v>July</v></cell><cell r="L1402"><v>43295</v></cell><cell r="M1402" t="str"><v>Tier 1</v></cell><cell r="N1402" t="str"><v>EMEA</v></cell><cell r="O1402" t="str"><v>United Kingdom</v></cell><cell r="P1402" t="str"><v>Trial</v></cell><cell r="Q1402" t="str"><v>Social</v></cell><cell r="R1402" t="str"><v>Azure</v></cell><cell r="S1402" t="str"><v>Apps & Infra</v></cell><cell r="T1402" t="str"><v>Developers & ITI's</v></cell><cell r="U1402" t="str"><v>Audience & Interest Targeting</v></cell><cell r="V1402" t="str"><v>Audience Targeting</v></cell><cell r="W1402" t="str"><v>Link Ad</v></cell><cell r="X1402" t="str"><v>1x1</v></cell></row><row r="1402"><cell r="AA1402"><v>43292</v></cell><cell r="AB1402" t="str"><v>GBR_gaPMG_CE_AZR_Q1_19_Trial-Social</v></cell><cell r="AC1402"><v>21337013</v></cell><cell r="AD1402"><v>720196</v></cell><cell r="AE1402" t="str"><v>Facebook</v></cell><cell r="AF1402"><v>3654128</v></cell><cell r="AG1402" t="str"><v>Facebook»Audience & Interest Targeting»1x1»SocialBan»LIA»DT»CPC»AUT»W»NA»SS»NA»Basic Motion</v></cell><cell r="AH1402"><v>224399962</v></cell><cell r="AI1402" t="str"><v>AzurePlatform_FBCTCcanvaspage-BuyNowCTA-Img3_GBR_1080x162_SOC_Plat_English_NA_Standard_NA_BN_T3_1</v></cell><cell r="AJ1402"><v>103230847</v></cell></row><row r="1403"><cell r="C1403" t="str"><v>43292Facebook»Audience & Interest Targeting»1x1»SocialBan»LIA»DT»CPC»AUT»W»NA»SS»NA»Basic Motion</v></cell><cell r="D1403" t="str"><v>43292224399962</v></cell><cell r="E1403" t="str"><v>43292103235146Motion</v></cell><cell r="F1403" t="str"><v>DCM</v></cell><cell r="G1403" t="str"><v>https://signup.azure.com/signup?offer=ms-azr-0044p&appId=102&ref=paidmedia-social-fb&redirectURL=https%3a%2f%2fazure.microsoft.com%2fen-gb%2fget-started%2fwelcome-to-azure%2f&l=en-gb&correlationId=ead86c34-1f10-49dd-a72b-6918462a2cbf</v></cell></row><row r="1403"><cell r="K1403" t="str"><v>July</v></cell><cell r="L1403"><v>43295</v></cell><cell r="M1403" t="str"><v>Tier 1</v></cell><cell r="N1403" t="str"><v>EMEA</v></cell><cell r="O1403" t="str"><v>United Kingdom</v></cell><cell r="P1403" t="str"><v>Trial</v></cell><cell r="Q1403" t="str"><v>Social</v></cell><cell r="R1403" t="str"><v>Azure</v></cell><cell r="S1403" t="str"><v>Apps & Infra</v></cell><cell r="T1403" t="str"><v>Developers & ITI's</v></cell><cell r="U1403" t="str"><v>Audience & Interest Targeting</v></cell><cell r="V1403" t="str"><v>Audience Targeting</v></cell><cell r="W1403" t="str"><v>Link Ad</v></cell><cell r="X1403" t="str"><v>1x1</v></cell></row><row r="1403"><cell r="AA1403"><v>43292</v></cell><cell r="AB1403" t="str"><v>GBR_gaPMG_CE_AZR_Q1_19_Trial-Social</v></cell><cell r="AC1403"><v>21337013</v></cell><cell r="AD1403"><v>720196</v></cell><cell r="AE1403" t="str"><v>Facebook</v></cell><cell r="AF1403"><v>3654128</v></cell><cell r="AG1403" t="str"><v>Facebook»Audience & Interest Targeting»1x1»SocialBan»LIA»DT»CPC»AUT»W»NA»SS»NA»Basic Motion</v></cell><cell r="AH1403"><v>224399962</v></cell><cell r="AI1403" t="str"><v>AzurePlatform_FBCTCcanvaspage-StartFreeCTA-Img2_GBR_1080x143 _SOC_Plat_English_NA_Standard_NA_NA_T2_1</v></cell><cell r="AJ1403"><v>103235146</v></cell></row><row r="1404"><cell r="C1404" t="str"><v>43292Facebook»Audience & Interest Targeting»1x1»SocialBan»LIA»DT»CPC»AUT»W»NA»SS»NA»Benefit 2 in Motion</v></cell><cell r="D1404" t="str"><v>43292224334170</v></cell><cell r="E1404" t="str"><v>43292103230847Motion</v></cell><cell r="F1404" t="str"><v>DCM</v></cell><cell r="G1404" t="str"><v>https://azure.microsoft.com/en-gb/pricing/purchase-options/</v></cell></row><row r="1404"><cell r="K1404" t="str"><v>July</v></cell><cell r="L1404"><v>43295</v></cell><cell r="M1404" t="str"><v>Tier 1</v></cell><cell r="N1404" t="str"><v>EMEA</v></cell><cell r="O1404" t="str"><v>United Kingdom</v></cell><cell r="P1404" t="str"><v>Trial</v></cell><cell r="Q1404" t="str"><v>Social</v></cell><cell r="R1404" t="str"><v>Azure</v></cell><cell r="S1404" t="str"><v>Apps & Infra</v></cell><cell r="T1404" t="str"><v>Developers & ITI's</v></cell><cell r="U1404" t="str"><v>Audience & Interest Targeting</v></cell><cell r="V1404" t="str"><v>Audience Targeting</v></cell><cell r="W1404" t="str"><v>Link Ad</v></cell><cell r="X1404" t="str"><v>1x1</v></cell></row><row r="1404"><cell r="AA1404"><v>43292</v></cell><cell r="AB1404" t="str"><v>GBR_gaPMG_CE_AZR_Q1_19_Trial-Social</v></cell><cell r="AC1404"><v>21337013</v></cell><cell r="AD1404"><v>720196</v></cell><cell r="AE1404" t="str"><v>Facebook</v></cell><cell r="AF1404"><v>3654128</v></cell><cell r="AG1404" t="str"><v>Facebook»Audience & Interest Targeting»1x1»SocialBan»LIA»DT»CPC»AUT»W»NA»SS»NA»Benefit 2 in Motion</v></cell><cell r="AH1404"><v>224334170</v></cell><cell r="AI1404" t="str"><v>AzurePlatform_FBCTCcanvaspage-BuyNowCTA-Img3_GBR_1080x162_SOC_Plat_English_NA_Standard_NA_BN_T3_1</v></cell><cell r="AJ1404"><v>103230847</v></cell></row><row r="1405"><cell r="C1405" t="str"><v>43292Facebook»Audience & Interest Targeting»1x1»SocialBan»LIA»DT»CPC»AUT»W»NA»SS»NA»Benefit 2 in Motion</v></cell><cell r="D1405" t="str"><v>43292224334170</v></cell><cell r="E1405" t="str"><v>43292103235146Motion</v></cell><cell r="F1405" t="str"><v>DCM</v></cell><cell r="G1405" t="str"><v>https://signup.azure.com/signup?offer=ms-azr-0044p&appId=102&ref=paidmedia-social-fb&redirectURL=https%3a%2f%2fazure.microsoft.com%2fen-gb%2fget-started%2fwelcome-to-azure%2f&l=en-gb&correlationId=ead86c34-1f10-49dd-a72b-6918462a2cbf</v></cell></row><row r="1405"><cell r="K1405" t="str"><v>July</v></cell><cell r="L1405"><v>43295</v></cell><cell r="M1405" t="str"><v>Tier 1</v></cell><cell r="N1405" t="str"><v>EMEA</v></cell><cell r="O1405" t="str"><v>United Kingdom</v></cell><cell r="P1405" t="str"><v>Trial</v></cell><cell r="Q1405" t="str"><v>Social</v></cell><cell r="R1405" t="str"><v>Azure</v></cell><cell r="S1405" t="str"><v>Apps & Infra</v></cell><cell r="T1405" t="str"><v>Developers & ITI's</v></cell><cell r="U1405" t="str"><v>Audience & Interest Targeting</v></cell><cell r="V1405" t="str"><v>Audience Targeting</v></cell><cell r="W1405" t="str"><v>Link Ad</v></cell><cell r="X1405" t="str"><v>1x1</v></cell></row><row r="1405"><cell r="AA1405"><v>43292</v></cell><cell r="AB1405" t="str"><v>GBR_gaPMG_CE_AZR_Q1_19_Trial-Social</v></cell><cell r="AC1405"><v>21337013</v></cell><cell r="AD1405"><v>720196</v></cell><cell r="AE1405" t="str"><v>Facebook</v></cell><cell r="AF1405"><v>3654128</v></cell><cell r="AG1405" t="str"><v>Facebook»Audience & Interest Targeting»1x1»SocialBan»LIA»DT»CPC»AUT»W»NA»SS»NA»Benefit 2 in Motion</v></cell><cell r="AH1405"><v>224334170</v></cell><cell r="AI1405" t="str"><v>AzurePlatform_FBCTCcanvaspage-StartFreeCTA-Img2_GBR_1080x143 _SOC_Plat_English_NA_Standard_NA_NA_T2_1</v></cell><cell r="AJ1405"><v>103235146</v></cell></row><row r="1406"><cell r="C1406" t="str"><v>43292Facebook»Audience & Interest Targeting»1x1»SocialBan»LIA»DT»CPC»AUT»W»NA»SS»NA»Brand in Motion</v></cell><cell r="D1406" t="str"><v>43292224549481</v></cell><cell r="E1406" t="str"><v>43292103235146Motion</v></cell><cell r="F1406" t="str"><v>DCM</v></cell><cell r="G1406" t="str"><v>https://signup.azure.com/signup?offer=ms-azr-0044p&appId=102&ref=paidmedia-social-fb&redirectURL=https%3a%2f%2fazure.microsoft.com%2fen-gb%2fget-started%2fwelcome-to-azure%2f&l=en-gb&correlationId=ead86c34-1f10-49dd-a72b-6918462a2cbf</v></cell></row><row r="1406"><cell r="K1406" t="str"><v>July</v></cell><cell r="L1406"><v>43295</v></cell><cell r="M1406" t="str"><v>Tier 1</v></cell><cell r="N1406" t="str"><v>EMEA</v></cell><cell r="O1406" t="str"><v>United Kingdom</v></cell><cell r="P1406" t="str"><v>Trial</v></cell><cell r="Q1406" t="str"><v>Social</v></cell><cell r="R1406" t="str"><v>Azure</v></cell><cell r="S1406" t="str"><v>Apps & Infra</v></cell><cell r="T1406" t="str"><v>Developers & ITI's</v></cell><cell r="U1406" t="str"><v>Audience & Interest Targeting</v></cell><cell r="V1406" t="str"><v>Audience Targeting</v></cell><cell r="W1406" t="str"><v>Link Ad</v></cell><cell r="X1406" t="str"><v>1x1</v></cell></row><row r="1406"><cell r="AA1406"><v>43292</v></cell><cell r="AB1406" t="str"><v>GBR_gaPMG_CE_AZR_Q1_19_Trial-Social</v></cell><cell r="AC1406"><v>21337013</v></cell><cell r="AD1406"><v>720196</v></cell><cell r="AE1406" t="str"><v>Facebook</v></cell><cell r="AF1406"><v>3654128</v></cell><cell r="AG1406" t="str"><v>Facebook»Audience & Interest Targeting»1x1»SocialBan»LIA»DT»CPC»AUT»W»NA»SS»NA»Brand in Motion</v></cell><cell r="AH1406"><v>224549481</v></cell><cell r="AI1406" t="str"><v>AzurePlatform_FBCTCcanvaspage-StartFreeCTA-Img2_GBR_1080x143 _SOC_Plat_English_NA_Standard_NA_NA_T2_1</v></cell><cell r="AJ1406"><v>103235146</v></cell></row><row r="1407"><cell r="C1407" t="str"><v>43292Facebook»Audience & Interest Targeting»1x1»SocialBan»LIA»DT»DYN»AUT»W»NA»SS»NA»Free Account Refresh- 12 months ChE</v></cell><cell r="D1407" t="str"><v>43292223567691</v></cell><cell r="E1407" t="str"><v>43292102854007hs ChE</v></cell><cell r="F1407" t="str"><v>DCM</v></cell><cell r="G1407" t="str"><v>https://azure.microsoft.com/en-gb/free/search/</v></cell></row><row r="1407"><cell r="K1407" t="str"><v>July</v></cell><cell r="L1407"><v>43295</v></cell><cell r="M1407" t="str"><v>Tier 1</v></cell><cell r="N1407" t="str"><v>EMEA</v></cell><cell r="O1407" t="str"><v>United Kingdom</v></cell><cell r="P1407" t="str"><v>Trial</v></cell><cell r="Q1407" t="str"><v>Social</v></cell><cell r="R1407" t="str"><v>Azure</v></cell><cell r="S1407" t="str"><v>Apps & Infra</v></cell><cell r="T1407" t="str"><v>Developers & ITI's</v></cell><cell r="U1407" t="str"><v>Audience & Interest Targeting</v></cell><cell r="V1407" t="str"><v>Audience Targeting</v></cell><cell r="W1407" t="str"><v>Link Ad</v></cell><cell r="X1407" t="str"><v>1x1</v></cell></row><row r="1407"><cell r="AA1407"><v>43292</v></cell><cell r="AB1407" t="str"><v>GBR_gaPMG_CE_AZR_Q1_19_Trial-Social</v></cell><cell r="AC1407"><v>21337013</v></cell><cell r="AD1407"><v>720196</v></cell><cell r="AE1407" t="str"><v>Facebook</v></cell><cell r="AF1407"><v>3654128</v></cell><cell r="AG1407" t="str"><v>Facebook»Audience & Interest Targeting»1x1»SocialBan»LIA»DT»DYN»AUT»W»NA»SS»NA»Free Account Refresh- 12 months ChE</v></cell><cell r="AH1407"><v>223567691</v></cell><cell r="AI1407" t="str"><v>AzurePlatform_FreeAcctAppsFACEBOOK12monthsChE_GBR_1200x628_SOC_PLAT_EN_Trial_Standard_NA_SU_T5_1</v></cell><cell r="AJ1407"><v>102854007</v></cell></row><row r="1408"><cell r="C1408" t="str"><v>43292Facebook»Audience & Interest Targeting»1x1»SocialBan»LIA»DT»DYN»AUT»W»NA»SS»NA»Free Account Refresh- 200 Credit ChD</v></cell><cell r="D1408" t="str"><v>43292223560359</v></cell><cell r="E1408" t="str"><v>43292103005662it ChD</v></cell><cell r="F1408" t="str"><v>DCM</v></cell><cell r="G1408" t="str"><v>https://azure.microsoft.com/en-gb/free/search/</v></cell></row><row r="1408"><cell r="K1408" t="str"><v>July</v></cell><cell r="L1408"><v>43295</v></cell><cell r="M1408" t="str"><v>Tier 1</v></cell><cell r="N1408" t="str"><v>EMEA</v></cell><cell r="O1408" t="str"><v>United Kingdom</v></cell><cell r="P1408" t="str"><v>Trial</v></cell><cell r="Q1408" t="str"><v>Social</v></cell><cell r="R1408" t="str"><v>Azure</v></cell><cell r="S1408" t="str"><v>Apps & Infra</v></cell><cell r="T1408" t="str"><v>Developers & ITI's</v></cell><cell r="U1408" t="str"><v>Audience & Interest Targeting</v></cell><cell r="V1408" t="str"><v>Audience Targeting</v></cell><cell r="W1408" t="str"><v>Link Ad</v></cell><cell r="X1408" t="str"><v>1x1</v></cell></row><row r="1408"><cell r="AA1408"><v>43292</v></cell><cell r="AB1408" t="str"><v>GBR_gaPMG_CE_AZR_Q1_19_Trial-Social</v></cell><cell r="AC1408"><v>21337013</v></cell><cell r="AD1408"><v>720196</v></cell><cell r="AE1408" t="str"><v>Facebook</v></cell><cell r="AF1408"><v>3654128</v></cell><cell r="AG1408" t="str"><v>Facebook»Audience & Interest Targeting»1x1»SocialBan»LIA»DT»DYN»AUT»W»NA»SS»NA»Free Account Refresh- 200 Credit ChD</v></cell><cell r="AH1408"><v>223560359</v></cell><cell r="AI1408" t="str"><v>AzurePlatform_FreeAcctAppsFACEBOOK200CreditChD_GBR_1200x628_SOC_PLAT_EN_Trial_Standard_NA_SU_T4_1</v></cell><cell r="AJ1408"><v>103005662</v></cell></row><row r="1409"><cell r="C1409" t="str"><v>43292Facebook»Audience & Interest Targeting»1x1»SocialBan»LIA»DT»DYN»AUT»W»NA»SS»NA»Free Account Refresh- Device ChB</v></cell><cell r="D1409" t="str"><v>43292223560353</v></cell><cell r="E1409" t="str"><v>43292102854010ce ChB</v></cell><cell r="F1409" t="str"><v>DCM</v></cell><cell r="G1409" t="str"><v>https://azure.microsoft.com/en-gb/free/search/</v></cell></row><row r="1409"><cell r="K1409" t="str"><v>July</v></cell><cell r="L1409"><v>43295</v></cell><cell r="M1409" t="str"><v>Tier 1</v></cell><cell r="N1409" t="str"><v>EMEA</v></cell><cell r="O1409" t="str"><v>United Kingdom</v></cell><cell r="P1409" t="str"><v>Trial</v></cell><cell r="Q1409" t="str"><v>Social</v></cell><cell r="R1409" t="str"><v>Azure</v></cell><cell r="S1409" t="str"><v>Apps & Infra</v></cell><cell r="T1409" t="str"><v>Developers & ITI's</v></cell><cell r="U1409" t="str"><v>Audience & Interest Targeting</v></cell><cell r="V1409" t="str"><v>Audience Targeting</v></cell><cell r="W1409" t="str"><v>Link Ad</v></cell><cell r="X1409" t="str"><v>1x1</v></cell></row><row r="1409"><cell r="AA1409"><v>43292</v></cell><cell r="AB1409" t="str"><v>GBR_gaPMG_CE_AZR_Q1_19_Trial-Social</v></cell><cell r="AC1409"><v>21337013</v></cell><cell r="AD1409"><v>720196</v></cell><cell r="AE1409" t="str"><v>Facebook</v></cell><cell r="AF1409"><v>3654128</v></cell><cell r="AG1409" t="str"><v>Facebook»Audience & Interest Targeting»1x1»SocialBan»LIA»DT»DYN»AUT»W»NA»SS»NA»Free Account Refresh- Device ChB</v></cell><cell r="AH1409"><v>223560353</v></cell><cell r="AI1409" t="str"><v>AzurePlatform_FreeAcctAppsFACEBOOKDeviceChB_GBR_1200x628_SOC_PLAT_EN_Trial_Standard_NA_SU_T2_1</v></cell><cell r="AJ1409"><v>102854010</v></cell></row><row r="1410"><cell r="C1410" t="str"><v>43292Facebook»Audience & Interest Targeting»1x1»SocialBan»LIA»DT»DYN»AUT»W»NA»SS»NA»Free Account Refresh- Illustration ChC</v></cell><cell r="D1410" t="str"><v>43292223560347</v></cell><cell r="E1410" t="str"><v>43292102857037on ChC</v></cell><cell r="F1410" t="str"><v>DCM</v></cell><cell r="G1410" t="str"><v>https://azure.microsoft.com/en-gb/free/search/</v></cell></row><row r="1410"><cell r="K1410" t="str"><v>July</v></cell><cell r="L1410"><v>43295</v></cell><cell r="M1410" t="str"><v>Tier 1</v></cell><cell r="N1410" t="str"><v>EMEA</v></cell><cell r="O1410" t="str"><v>United Kingdom</v></cell><cell r="P1410" t="str"><v>Trial</v></cell><cell r="Q1410" t="str"><v>Social</v></cell><cell r="R1410" t="str"><v>Azure</v></cell><cell r="S1410" t="str"><v>Apps & Infra</v></cell><cell r="T1410" t="str"><v>Developers & ITI's</v></cell><cell r="U1410" t="str"><v>Audience & Interest Targeting</v></cell><cell r="V1410" t="str"><v>Audience Targeting</v></cell><cell r="W1410" t="str"><v>Link Ad</v></cell><cell r="X1410" t="str"><v>1x1</v></cell></row><row r="1410"><cell r="AA1410"><v>43292</v></cell><cell r="AB1410" t="str"><v>GBR_gaPMG_CE_AZR_Q1_19_Trial-Social</v></cell><cell r="AC1410"><v>21337013</v></cell><cell r="AD1410"><v>720196</v></cell><cell r="AE1410" t="str"><v>Facebook</v></cell><cell r="AF1410"><v>3654128</v></cell><cell r="AG1410" t="str"><v>Facebook»Audience & Interest Targeting»1x1»SocialBan»LIA»DT»DYN»AUT»W»NA»SS»NA»Free Account Refresh- Illustration ChC</v></cell><cell r="AH1410"><v>223560347</v></cell><cell r="AI1410" t="str"><v>AzurePlatform_FreeAcctAppsFACEBOOKIllustrationChC_GBR_1200x628_SOC_PLAT_EN_Trial_Standard_NA_SU_T3_1</v></cell><cell r="AJ1410"><v>102857037</v></cell></row><row r="1411"><cell r="C1411" t="str"><v>43292Facebook»Audience & Interest Targeting»1x1»SocialBan»LIA»DT»DYN»AUT»W»NA»SS»NA»Free Account Refresh- Lifestyle ChA</v></cell><cell r="D1411" t="str"><v>43292223560341</v></cell><cell r="E1411" t="str"><v>43292102853597le ChA</v></cell><cell r="F1411" t="str"><v>DCM</v></cell><cell r="G1411" t="str"><v>https://azure.microsoft.com/en-gb/free/search/</v></cell></row><row r="1411"><cell r="K1411" t="str"><v>July</v></cell><cell r="L1411"><v>43295</v></cell><cell r="M1411" t="str"><v>Tier 1</v></cell><cell r="N1411" t="str"><v>EMEA</v></cell><cell r="O1411" t="str"><v>United Kingdom</v></cell><cell r="P1411" t="str"><v>Trial</v></cell><cell r="Q1411" t="str"><v>Social</v></cell><cell r="R1411" t="str"><v>Azure</v></cell><cell r="S1411" t="str"><v>Apps & Infra</v></cell><cell r="T1411" t="str"><v>Developers & ITI's</v></cell><cell r="U1411" t="str"><v>Audience & Interest Targeting</v></cell><cell r="V1411" t="str"><v>Audience Targeting</v></cell><cell r="W1411" t="str"><v>Link Ad</v></cell><cell r="X1411" t="str"><v>1x1</v></cell></row><row r="1411"><cell r="AA1411"><v>43292</v></cell><cell r="AB1411" t="str"><v>GBR_gaPMG_CE_AZR_Q1_19_Trial-Social</v></cell><cell r="AC1411"><v>21337013</v></cell><cell r="AD1411"><v>720196</v></cell><cell r="AE1411" t="str"><v>Facebook</v></cell><cell r="AF1411"><v>3654128</v></cell><cell r="AG1411" t="str"><v>Facebook»Audience & Interest Targeting»1x1»SocialBan»LIA»DT»DYN»AUT»W»NA»SS»NA»Free Account Refresh- Lifestyle ChA</v></cell><cell r="AH1411"><v>223560341</v></cell><cell r="AI1411" t="str"><v>AzurePlatform_FreeAcctAppsFACEBOOKLifestyleChA_GBR_1200x628_SOC_PLAT_EN_Trial_Standard_NA_SU_T1_1</v></cell><cell r="AJ1411"><v>102853597</v></cell></row><row r="1412"><cell r="C1412" t="str"><v>43292Facebook»Retargeting»1x1»SocialBan»LIA»DT»DYN»RT»W»NA»SS»NA»Free Account Retargeting Generic- Animated ChC</v></cell><cell r="D1412" t="str"><v>43292223560299</v></cell><cell r="E1412" t="str"><v>43292102854019ed ChC</v></cell><cell r="F1412" t="str"><v>DCM</v></cell><cell r="G1412" t="str"><v>https://azure.microsoft.com/en-gb/free/search/</v></cell></row><row r="1412"><cell r="K1412" t="str"><v>July</v></cell><cell r="L1412"><v>43295</v></cell><cell r="M1412" t="str"><v>Tier 1</v></cell><cell r="N1412" t="str"><v>EMEA</v></cell><cell r="O1412" t="str"><v>United Kingdom</v></cell><cell r="P1412" t="str"><v>Trial</v></cell><cell r="Q1412" t="str"><v>Social</v></cell><cell r="R1412" t="str"><v>Azure</v></cell><cell r="S1412" t="str"><v>Apps & Infra</v></cell><cell r="T1412" t="str"><v>Developers & ITI's</v></cell><cell r="U1412" t="str"><v>Retargeting</v></cell><cell r="V1412" t="str"><v>Retargeting</v></cell><cell r="W1412" t="str"><v>Link Ad</v></cell><cell r="X1412" t="str"><v>1x1</v></cell></row><row r="1412"><cell r="AA1412"><v>43292</v></cell><cell r="AB1412" t="str"><v>GBR_gaPMG_CE_AZR_Q1_19_Trial-Social</v></cell><cell r="AC1412"><v>21337013</v></cell><cell r="AD1412"><v>720196</v></cell><cell r="AE1412" t="str"><v>Facebook</v></cell><cell r="AF1412"><v>3654128</v></cell><cell r="AG1412" t="str"><v>Facebook»Retargeting»1x1»SocialBan»LIA»DT»DYN»RT»W»NA»SS»NA»Free Account Retargeting Generic- Animated ChC</v></cell><cell r="AH1412"><v>223560299</v></cell><cell r="AI1412" t="str"><v>AzurePlatform_FreeAcctRetargetingFB-Animated-ChC_GBR_1200x628_SOC_Plat_EN_Free Account_Standard_ANI_SU_T3_1</v></cell><cell r="AJ1412"><v>102854019</v></cell></row><row r="1413"><cell r="C1413" t="str"><v>43292Facebook»Retargeting»1x1»SocialBan»LIA»DT»DYN»RT»W»NA»SS»NA»Free Account Retargeting OSS- Logos ChG</v></cell><cell r="D1413" t="str"><v>43292223560350</v></cell><cell r="E1413" t="str"><v>43292103006547os ChG</v></cell><cell r="F1413" t="str"><v>DCM</v></cell><cell r="G1413" t="str"><v>https://azure.microsoft.com/en-gb/free/open-source/search/</v></cell></row><row r="1413"><cell r="K1413" t="str"><v>July</v></cell><cell r="L1413"><v>43295</v></cell><cell r="M1413" t="str"><v>Tier 1</v></cell><cell r="N1413" t="str"><v>EMEA</v></cell><cell r="O1413" t="str"><v>United Kingdom</v></cell><cell r="P1413" t="str"><v>Trial</v></cell><cell r="Q1413" t="str"><v>Social</v></cell><cell r="R1413" t="str"><v>Azure</v></cell><cell r="S1413" t="str"><v>Apps & Infra</v></cell><cell r="T1413" t="str"><v>Developers & ITI's</v></cell><cell r="U1413" t="str"><v>Retargeting</v></cell><cell r="V1413" t="str"><v>Retargeting</v></cell><cell r="W1413" t="str"><v>Link Ad</v></cell><cell r="X1413" t="str"><v>1x1</v></cell></row><row r="1413"><cell r="AA1413"><v>43292</v></cell><cell r="AB1413" t="str"><v>GBR_gaPMG_CE_AZR_Q1_19_Trial-Social</v></cell><cell r="AC1413"><v>21337013</v></cell><cell r="AD1413"><v>720196</v></cell><cell r="AE1413" t="str"><v>Facebook</v></cell><cell r="AF1413"><v>3654128</v></cell><cell r="AG1413" t="str"><v>Facebook»Retargeting»1x1»SocialBan»LIA»DT»DYN»RT»W»NA»SS»NA»Free Account Retargeting OSS- Logos ChG</v></cell><cell r="AH1413"><v>223560350</v></cell><cell r="AI1413" t="str"><v>AzurePlatform_FreeAcctRetargetingOSSFB-Logos-ChG_GBR_1200x628_SOC_Plat_EN_Free Account_Standard_NA_SU_T2_1</v></cell><cell r="AJ1413"><v>103006547</v></cell></row><row r="1414"><cell r="C1414" t="str"><v>43292Facebook»Retargeting»1x1»SocialBan»LIA»DT»DYN»RT»W»NA»SS»NA»Free Account Retargeting VM- 750 Hrs ChD</v></cell><cell r="D1414" t="str"><v>43292223560338</v></cell><cell r="E1414" t="str"><v>43292102853603rs ChD</v></cell><cell r="F1414" t="str"><v>DCM</v></cell><cell r="G1414" t="str"><v>https://azure.microsoft.com/en-gb/free/virtual-machines/search/</v></cell></row><row r="1414"><cell r="K1414" t="str"><v>July</v></cell><cell r="L1414"><v>43295</v></cell><cell r="M1414" t="str"><v>Tier 1</v></cell><cell r="N1414" t="str"><v>EMEA</v></cell><cell r="O1414" t="str"><v>United Kingdom</v></cell><cell r="P1414" t="str"><v>Trial</v></cell><cell r="Q1414" t="str"><v>Social</v></cell><cell r="R1414" t="str"><v>Azure</v></cell><cell r="S1414" t="str"><v>Apps & Infra</v></cell><cell r="T1414" t="str"><v>Developers & ITI's</v></cell><cell r="U1414" t="str"><v>Retargeting</v></cell><cell r="V1414" t="str"><v>Retargeting</v></cell><cell r="W1414" t="str"><v>Link Ad</v></cell><cell r="X1414" t="str"><v>1x1</v></cell></row><row r="1414"><cell r="AA1414"><v>43292</v></cell><cell r="AB1414" t="str"><v>GBR_gaPMG_CE_AZR_Q1_19_Trial-Social</v></cell><cell r="AC1414"><v>21337013</v></cell><cell r="AD1414"><v>720196</v></cell><cell r="AE1414" t="str"><v>Facebook</v></cell><cell r="AF1414"><v>3654128</v></cell><cell r="AG1414" t="str"><v>Facebook»Retargeting»1x1»SocialBan»LIA»DT»DYN»RT»W»NA»SS»NA»Free Account Retargeting VM- 750 Hrs ChD</v></cell><cell r="AH1414"><v>223560338</v></cell><cell r="AI1414" t="str"><v>AzurePlatform_FreeAcctRetargetingVMFB-750Hrs-ChD_GBR_1200x628_SOC_Plat_EN_Free Account_Standard_NA_SU_T1_1</v></cell><cell r="AJ1414"><v>102853603</v></cell></row><row r="1415"><cell r="C1415" t="str"><v>43292Facebook»Retargeting»1x1»SocialBan»LIA»DT»DYN»RT»W»NA»SS»NA»Free Account Retargeting VM- On Demand ChE</v></cell><cell r="D1415" t="str"><v>43292223560332</v></cell><cell r="E1415" t="str"><v>43292102854037nd ChE</v></cell><cell r="F1415" t="str"><v>DCM</v></cell><cell r="G1415" t="str"><v>https://azure.microsoft.com/en-gb/free/virtual-machines/search/</v></cell></row><row r="1415"><cell r="K1415" t="str"><v>July</v></cell><cell r="L1415"><v>43295</v></cell><cell r="M1415" t="str"><v>Tier 1</v></cell><cell r="N1415" t="str"><v>EMEA</v></cell><cell r="O1415" t="str"><v>United Kingdom</v></cell><cell r="P1415" t="str"><v>Trial</v></cell><cell r="Q1415" t="str"><v>Social</v></cell><cell r="R1415" t="str"><v>Azure</v></cell><cell r="S1415" t="str"><v>Apps & Infra</v></cell><cell r="T1415" t="str"><v>Developers & ITI's</v></cell><cell r="U1415" t="str"><v>Retargeting</v></cell><cell r="V1415" t="str"><v>Retargeting</v></cell><cell r="W1415" t="str"><v>Link Ad</v></cell><cell r="X1415" t="str"><v>1x1</v></cell></row><row r="1415"><cell r="AA1415"><v>43292</v></cell><cell r="AB1415" t="str"><v>GBR_gaPMG_CE_AZR_Q1_19_Trial-Social</v></cell><cell r="AC1415"><v>21337013</v></cell><cell r="AD1415"><v>720196</v></cell><cell r="AE1415" t="str"><v>Facebook</v></cell><cell r="AF1415"><v>3654128</v></cell><cell r="AG1415" t="str"><v>Facebook»Retargeting»1x1»SocialBan»LIA»DT»DYN»RT»W»NA»SS»NA»Free Account Retargeting VM- On Demand ChE</v></cell><cell r="AH1415"><v>223560332</v></cell><cell r="AI1415" t="str"><v>AzurePlatform_FreeAcctRetargetingVMFB-OnDemand-ChE_GBR_1200x628_SOC_Plat_EN_Free Account_Standard_NA_SU_T2_1</v></cell><cell r="AJ1415"><v>102854037</v></cell></row><row r="1416"><cell r="C1416" t="str"><v>43292Facebook»AZP-Canvas-Interest&Role-Trial»1x1»Canvas»OTH»MO»CPM»PRO»X»UNK»TP»OT»Canvas-Trial</v></cell><cell r="D1416" t="str"><v>43292223298805</v></cell><cell r="E1416" t="str"><v>43292102630373-Trial</v></cell><cell r="F1416" t="str"><v>DCM</v></cell><cell r="G1416" t="str"><v>https://azure.microsoft.com/ja-jp/pricing/purchase-options/</v></cell></row><row r="1416"><cell r="K1416" t="str"><v>July</v></cell><cell r="L1416"><v>43295</v></cell><cell r="M1416" t="str"><v>Tier 1</v></cell><cell r="N1416" t="str"><v>APAC</v></cell><cell r="O1416" t="str"><v>Japan</v></cell><cell r="P1416" t="str"><v>Trial</v></cell><cell r="Q1416" t="str"><v>Social</v></cell><cell r="R1416" t="str"><v>Azure</v></cell><cell r="S1416" t="str"><v>Apps & Infra</v></cell><cell r="T1416" t="str"><v>Developers & ITI's</v></cell><cell r="U1416" t="str"><v>AZP-Canvas-Interest&Role-Trial</v></cell><cell r="V1416" t="str"><v>Prospecting</v></cell><cell r="W1416" t="str"><v>Other</v></cell><cell r="X1416" t="str"><v>1x1</v></cell></row><row r="1416"><cell r="AA1416"><v>43292</v></cell><cell r="AB1416" t="str"><v>JPN_gaPMG_AZR_AZR_Q1_19_Trial-Social</v></cell><cell r="AC1416"><v>21276694</v></cell><cell r="AD1416"><v>720195</v></cell><cell r="AE1416" t="str"><v>Facebook</v></cell><cell r="AF1416"><v>3654128</v></cell><cell r="AG1416" t="str"><v>Facebook»AZP-Canvas-Interest&Role-Trial»1x1»Canvas»OTH»MO»CPM»PRO»X»UNK»TP»OT»Canvas-Trial</v></cell><cell r="AH1416"><v>223298805</v></cell><cell r="AI1416" t="str"><v>AzurePlatform_FBCTCcanvaspage-BuyNowCTA-Img3_JPN_1080x162_SOC_Plat_Japanese_NA_Standard_NA_BN_T3_1</v></cell><cell r="AJ1416"><v>102630373</v></cell></row><row r="1417"><cell r="C1417" t="str"><v>43292Facebook»AZP-Canvas-Interest&Role-Trial»1x1»Canvas»OTH»MO»CPM»PRO»X»UNK»TP»OT»Canvas-Trial</v></cell><cell r="D1417" t="str"><v>43292223298805</v></cell><cell r="E1417" t="str"><v>43292102609621-Trial</v></cell><cell r="F1417" t="str"><v>DCM</v></cell><cell r="G1417" t="str"><v>https://signup.azure.com/signup?offer=ms-azr-0044p&appId=102&ref=paidmedia-social-fb&redirectURL=https%3a%2f%2fazure.microsoft.com%2fja-jp%2fget-started%2fwelcome-to-azure%2f&l=ja-jp&correlationId=ead86c34-1f10-49dd-a72b-6918462a2cbf</v></cell></row><row r="1417"><cell r="K1417" t="str"><v>July</v></cell><cell r="L1417"><v>43295</v></cell><cell r="M1417" t="str"><v>Tier 1</v></cell><cell r="N1417" t="str"><v>APAC</v></cell><cell r="O1417" t="str"><v>Japan</v></cell><cell r="P1417" t="str"><v>Trial</v></cell><cell r="Q1417" t="str"><v>Social</v></cell><cell r="R1417" t="str"><v>Azure</v></cell><cell r="S1417" t="str"><v>Apps & Infra</v></cell><cell r="T1417" t="str"><v>Developers & ITI's</v></cell><cell r="U1417" t="str"><v>AZP-Canvas-Interest&Role-Trial</v></cell><cell r="V1417" t="str"><v>Prospecting</v></cell><cell r="W1417" t="str"><v>Other</v></cell><cell r="X1417" t="str"><v>1x1</v></cell></row><row r="1417"><cell r="AA1417"><v>43292</v></cell><cell r="AB1417" t="str"><v>JPN_gaPMG_AZR_AZR_Q1_19_Trial-Social</v></cell><cell r="AC1417"><v>21276694</v></cell><cell r="AD1417"><v>720195</v></cell><cell r="AE1417" t="str"><v>Facebook</v></cell><cell r="AF1417"><v>3654128</v></cell><cell r="AG1417" t="str"><v>Facebook»AZP-Canvas-Interest&Role-Trial»1x1»Canvas»OTH»MO»CPM»PRO»X»UNK»TP»OT»Canvas-Trial</v></cell><cell r="AH1417"><v>223298805</v></cell><cell r="AI1417" t="str"><v>AzurePlatform_FBCTCcanvaspage-StartFreeCTA-Img2_JPN_1080x143 _SOC_Plat_Japanese_NA_Standard_NA_NA_T2_1</v></cell><cell r="AJ1417"><v>102609621</v></cell></row><row r="1418"><cell r="C1418" t="str"><v>43292Facebook»AZP-Canvas-Look a Like-Trial»1x1»Canvas»OTH»MO»CPM»PRO»X»UNK»TP»OT»Canvas-Trial</v></cell><cell r="D1418" t="str"><v>43292223297413</v></cell><cell r="E1418" t="str"><v>43292102630373-Trial</v></cell><cell r="F1418" t="str"><v>DCM</v></cell><cell r="G1418" t="str"><v>https://azure.microsoft.com/ja-jp/pricing/purchase-options/</v></cell></row><row r="1418"><cell r="K1418" t="str"><v>July</v></cell><cell r="L1418"><v>43295</v></cell><cell r="M1418" t="str"><v>Tier 1</v></cell><cell r="N1418" t="str"><v>APAC</v></cell><cell r="O1418" t="str"><v>Japan</v></cell><cell r="P1418" t="str"><v>Trial</v></cell><cell r="Q1418" t="str"><v>Social</v></cell><cell r="R1418" t="str"><v>Azure</v></cell><cell r="S1418" t="str"><v>Apps & Infra</v></cell><cell r="T1418" t="str"><v>Developers & ITI's</v></cell><cell r="U1418" t="str"><v>AZP-Canvas-Look a Like-Trial</v></cell><cell r="V1418" t="str"><v>Prospecting</v></cell><cell r="W1418" t="str"><v>Other</v></cell><cell r="X1418" t="str"><v>1x1</v></cell></row><row r="1418"><cell r="AA1418"><v>43292</v></cell><cell r="AB1418" t="str"><v>JPN_gaPMG_AZR_AZR_Q1_19_Trial-Social</v></cell><cell r="AC1418"><v>21276694</v></cell><cell r="AD1418"><v>720195</v></cell><cell r="AE1418" t="str"><v>Facebook</v></cell><cell r="AF1418"><v>3654128</v></cell><cell r="AG1418" t="str"><v>Facebook»AZP-Canvas-Look a Like-Trial»1x1»Canvas»OTH»MO»CPM»PRO»X»UNK»TP»OT»Canvas-Trial</v></cell><cell r="AH1418"><v>223297413</v></cell><cell r="AI1418" t="str"><v>AzurePlatform_FBCTCcanvaspage-BuyNowCTA-Img3_JPN_1080x162_SOC_Plat_Japanese_NA_Standard_NA_BN_T3_1</v></cell><cell r="AJ1418"><v>102630373</v></cell></row><row r="1419"><cell r="C1419" t="str"><v>43292Facebook»AZP-Canvas-Look a Like-Trial»1x1»Canvas»OTH»MO»CPM»PRO»X»UNK»TP»OT»Canvas-Trial</v></cell><cell r="D1419" t="str"><v>43292223297413</v></cell><cell r="E1419" t="str"><v>43292102609621-Trial</v></cell><cell r="F1419" t="str"><v>DCM</v></cell><cell r="G1419" t="str"><v>https://signup.azure.com/signup?offer=ms-azr-0044p&appId=102&ref=paidmedia-social-fb&redirectURL=https%3a%2f%2fazure.microsoft.com%2fja-jp%2fget-started%2fwelcome-to-azure%2f&l=ja-jp&correlationId=ead86c34-1f10-49dd-a72b-6918462a2cbf</v></cell></row><row r="1419"><cell r="K1419" t="str"><v>July</v></cell><cell r="L1419"><v>43295</v></cell><cell r="M1419" t="str"><v>Tier 1</v></cell><cell r="N1419" t="str"><v>APAC</v></cell><cell r="O1419" t="str"><v>Japan</v></cell><cell r="P1419" t="str"><v>Trial</v></cell><cell r="Q1419" t="str"><v>Social</v></cell><cell r="R1419" t="str"><v>Azure</v></cell><cell r="S1419" t="str"><v>Apps & Infra</v></cell><cell r="T1419" t="str"><v>Developers & ITI's</v></cell><cell r="U1419" t="str"><v>AZP-Canvas-Look a Like-Trial</v></cell><cell r="V1419" t="str"><v>Prospecting</v></cell><cell r="W1419" t="str"><v>Other</v></cell><cell r="X1419" t="str"><v>1x1</v></cell></row><row r="1419"><cell r="AA1419"><v>43292</v></cell><cell r="AB1419" t="str"><v>JPN_gaPMG_AZR_AZR_Q1_19_Trial-Social</v></cell><cell r="AC1419"><v>21276694</v></cell><cell r="AD1419"><v>720195</v></cell><cell r="AE1419" t="str"><v>Facebook</v></cell><cell r="AF1419"><v>3654128</v></cell><cell r="AG1419" t="str"><v>Facebook»AZP-Canvas-Look a Like-Trial»1x1»Canvas»OTH»MO»CPM»PRO»X»UNK»TP»OT»Canvas-Trial</v></cell><cell r="AH1419"><v>223297413</v></cell><cell r="AI1419" t="str"><v>AzurePlatform_FBCTCcanvaspage-StartFreeCTA-Img2_JPN_1080x143 _SOC_Plat_Japanese_NA_Standard_NA_NA_T2_1</v></cell><cell r="AJ1419"><v>102609621</v></cell></row><row r="1420"><cell r="C1420" t="str"><v>43292Facebook»AZP-Retargeting»1x1»Ban»LIA»ALL»CPM»RT»X»All»TP»OT»Free Account Retargeting OSS-ChF</v></cell><cell r="D1420" t="str"><v>43292223726368</v></cell><cell r="E1420" t="str"><v>43292102974750SS-ChF</v></cell><cell r="F1420" t="str"><v>DCM</v></cell><cell r="G1420" t="str"><v>https://azure.microsoft.com/ja-jp/free/open-source/search/</v></cell></row><row r="1420"><cell r="K1420" t="str"><v>July</v></cell><cell r="L1420"><v>43295</v></cell><cell r="M1420" t="str"><v>Tier 1</v></cell><cell r="N1420" t="str"><v>APAC</v></cell><cell r="O1420" t="str"><v>Japan</v></cell><cell r="P1420" t="str"><v>Trial</v></cell><cell r="Q1420" t="str"><v>Social</v></cell><cell r="R1420" t="str"><v>Azure</v></cell><cell r="S1420" t="str"><v>Apps & Infra</v></cell><cell r="T1420" t="str"><v>Developers & ITI's</v></cell><cell r="U1420" t="str"><v>AZP-Retargeting</v></cell><cell r="V1420" t="str"><v>Retargeting</v></cell><cell r="W1420" t="str"><v>Link Ad</v></cell><cell r="X1420" t="str"><v>1x1</v></cell></row><row r="1420"><cell r="AA1420"><v>43292</v></cell><cell r="AB1420" t="str"><v>JPN_gaPMG_AZR_AZR_Q1_19_Trial-Social</v></cell><cell r="AC1420"><v>21276694</v></cell><cell r="AD1420"><v>720195</v></cell><cell r="AE1420" t="str"><v>Facebook</v></cell><cell r="AF1420"><v>3654128</v></cell><cell r="AG1420" t="str"><v>Facebook»AZP-Retargeting»1x1»Ban»LIA»ALL»CPM»RT»X»All»TP»OT»Free Account Retargeting OSS-ChF</v></cell><cell r="AH1420"><v>223726368</v></cell><cell r="AI1420" t="str"><v>AzurePlatform_FreeAcctRetargetingOSSFB-Text-ChF_JPN_1200x628_SOC_Plat_JA_Free Account_Standard_NA_SU_T1_1</v></cell><cell r="AJ1420"><v>102974750</v></cell></row><row r="1421"><cell r="C1421" t="str"><v>43292Facebook»AZP-Retargeting»1x1»Ban»LIA»ALL»CPM»RT»X»All»TP»OT»Free Account Retargeting OSS-ChG</v></cell><cell r="D1421" t="str"><v>43292223726365</v></cell><cell r="E1421" t="str"><v>43292102976850SS-ChG</v></cell><cell r="F1421" t="str"><v>DCM</v></cell><cell r="G1421" t="str"><v>https://azure.microsoft.com/ja-jp/free/open-source/search/</v></cell></row><row r="1421"><cell r="K1421" t="str"><v>July</v></cell><cell r="L1421"><v>43295</v></cell><cell r="M1421" t="str"><v>Tier 1</v></cell><cell r="N1421" t="str"><v>APAC</v></cell><cell r="O1421" t="str"><v>Japan</v></cell><cell r="P1421" t="str"><v>Trial</v></cell><cell r="Q1421" t="str"><v>Social</v></cell><cell r="R1421" t="str"><v>Azure</v></cell><cell r="S1421" t="str"><v>Apps & Infra</v></cell><cell r="T1421" t="str"><v>Developers & ITI's</v></cell><cell r="U1421" t="str"><v>AZP-Retargeting</v></cell><cell r="V1421" t="str"><v>Retargeting</v></cell><cell r="W1421" t="str"><v>Link Ad</v></cell><cell r="X1421" t="str"><v>1x1</v></cell></row><row r="1421"><cell r="AA1421"><v>43292</v></cell><cell r="AB1421" t="str"><v>JPN_gaPMG_AZR_AZR_Q1_19_Trial-Social</v></cell><cell r="AC1421"><v>21276694</v></cell><cell r="AD1421"><v>720195</v></cell><cell r="AE1421" t="str"><v>Facebook</v></cell><cell r="AF1421"><v>3654128</v></cell><cell r="AG1421" t="str"><v>Facebook»AZP-Retargeting»1x1»Ban»LIA»ALL»CPM»RT»X»All»TP»OT»Free Account Retargeting OSS-ChG</v></cell><cell r="AH1421"><v>223726365</v></cell><cell r="AI1421" t="str"><v>AzurePlatform_FreeAcctRetargetingOSSFB-Logos-ChG_JPN_1200x628_SOC_Plat_JA_Free Account_Standard_NA_SU_T2_1</v></cell><cell r="AJ1421"><v>102976850</v></cell></row><row r="1422"><cell r="C1422" t="str"><v>43292Facebook»AZP-Retargeting»1x1»Ban»LIA»ALL»CPM»RT»X»All»TP»OT»Free Account Retargeting VM-ChD</v></cell><cell r="D1422" t="str"><v>43292223726374</v></cell><cell r="E1422" t="str"><v>43292102971306VM-ChD</v></cell><cell r="F1422" t="str"><v>DCM</v></cell><cell r="G1422" t="str"><v>https://azure.microsoft.com/ja-jp/free/virtual-machines/search/</v></cell></row><row r="1422"><cell r="K1422" t="str"><v>July</v></cell><cell r="L1422"><v>43295</v></cell><cell r="M1422" t="str"><v>Tier 1</v></cell><cell r="N1422" t="str"><v>APAC</v></cell><cell r="O1422" t="str"><v>Japan</v></cell><cell r="P1422" t="str"><v>Trial</v></cell><cell r="Q1422" t="str"><v>Social</v></cell><cell r="R1422" t="str"><v>Azure</v></cell><cell r="S1422" t="str"><v>Apps & Infra</v></cell><cell r="T1422" t="str"><v>Developers & ITI's</v></cell><cell r="U1422" t="str"><v>AZP-Retargeting</v></cell><cell r="V1422" t="str"><v>Retargeting</v></cell><cell r="W1422" t="str"><v>Link Ad</v></cell><cell r="X1422" t="str"><v>1x1</v></cell></row><row r="1422"><cell r="AA1422"><v>43292</v></cell><cell r="AB1422" t="str"><v>JPN_gaPMG_AZR_AZR_Q1_19_Trial-Social</v></cell><cell r="AC1422"><v>21276694</v></cell><cell r="AD1422"><v>720195</v></cell><cell r="AE1422" t="str"><v>Facebook</v></cell><cell r="AF1422"><v>3654128</v></cell><cell r="AG1422" t="str"><v>Facebook»AZP-Retargeting»1x1»Ban»LIA»ALL»CPM»RT»X»All»TP»OT»Free Account Retargeting VM-ChD</v></cell><cell r="AH1422"><v>223726374</v></cell><cell r="AI1422" t="str"><v>AzurePlatform_FreeAcctRetargetingVMFB-750Hrs-ChD_JPN_1200x628_SOC_Plat_JA_Free Account_Standard_NA_SU_T1_1</v></cell><cell r="AJ1422"><v>102971306</v></cell></row><row r="1423"><cell r="C1423" t="str"><v>43292Facebook»AZP-Retargeting»1x1»Canvas»OTH»MO»CPM»RT»W»UNK»TP»OT»Trial-Basicmotion</v></cell><cell r="D1423" t="str"><v>43292223298811</v></cell><cell r="E1423" t="str"><v>43292102773984motion</v></cell><cell r="F1423" t="str"><v>DCM</v></cell><cell r="G1423" t="str"><v>https://azure.microsoft.com/ja-jp/free/search/</v></cell></row><row r="1423"><cell r="K1423" t="str"><v>July</v></cell><cell r="L1423"><v>43295</v></cell><cell r="M1423" t="str"><v>Tier 1</v></cell><cell r="N1423" t="str"><v>APAC</v></cell><cell r="O1423" t="str"><v>Japan</v></cell><cell r="P1423" t="str"><v>Trial</v></cell><cell r="Q1423" t="str"><v>Social</v></cell><cell r="R1423" t="str"><v>Azure</v></cell><cell r="S1423" t="str"><v>Apps & Infra</v></cell><cell r="T1423" t="str"><v>Developers & ITI's</v></cell><cell r="U1423" t="str"><v>AZP-Retargeting</v></cell><cell r="V1423" t="str"><v>Retargeting</v></cell><cell r="W1423" t="str"><v>Other</v></cell><cell r="X1423" t="str"><v>1x1</v></cell></row><row r="1423"><cell r="AA1423"><v>43292</v></cell><cell r="AB1423" t="str"><v>JPN_gaPMG_AZR_AZR_Q1_19_Trial-Social</v></cell><cell r="AC1423"><v>21276694</v></cell><cell r="AD1423"><v>720195</v></cell><cell r="AE1423" t="str"><v>Facebook</v></cell><cell r="AF1423"><v>3654128</v></cell><cell r="AG1423" t="str"><v>Facebook»AZP-Retargeting»1x1»Canvas»OTH»MO»CPM»RT»W»UNK»TP»OT»Trial-Basicmotion</v></cell><cell r="AH1423"><v>223298811</v></cell><cell r="AI1423" t="str"><v>AzurePlatform_FBCTCBasicMotion_JPN_10sec_ISV_PLAT_JA_Trial_Standard_STAN_TN_T1_1</v></cell><cell r="AJ1423"><v>102773984</v></cell></row><row r="1424"><cell r="C1424" t="str"><v>43292Facebook»AZP-Retargeting»1x1»Canvas»OTH»MO»CPM»RT»W»UNK»TP»OT»Trial-Benefit2inMotion</v></cell><cell r="D1424" t="str"><v>43292223298496</v></cell><cell r="E1424" t="str"><v>43292102630376Motion</v></cell><cell r="F1424" t="str"><v>DCM</v></cell><cell r="G1424" t="str"><v>https://azure.microsoft.com/ja-jp/free/search/</v></cell></row><row r="1424"><cell r="K1424" t="str"><v>July</v></cell><cell r="L1424"><v>43295</v></cell><cell r="M1424" t="str"><v>Tier 1</v></cell><cell r="N1424" t="str"><v>APAC</v></cell><cell r="O1424" t="str"><v>Japan</v></cell><cell r="P1424" t="str"><v>Trial</v></cell><cell r="Q1424" t="str"><v>Social</v></cell><cell r="R1424" t="str"><v>Azure</v></cell><cell r="S1424" t="str"><v>Apps & Infra</v></cell><cell r="T1424" t="str"><v>Developers & ITI's</v></cell><cell r="U1424" t="str"><v>AZP-Retargeting</v></cell><cell r="V1424" t="str"><v>Retargeting</v></cell><cell r="W1424" t="str"><v>Other</v></cell><cell r="X1424" t="str"><v>1x1</v></cell></row><row r="1424"><cell r="AA1424"><v>43292</v></cell><cell r="AB1424" t="str"><v>JPN_gaPMG_AZR_AZR_Q1_19_Trial-Social</v></cell><cell r="AC1424"><v>21276694</v></cell><cell r="AD1424"><v>720195</v></cell><cell r="AE1424" t="str"><v>Facebook</v></cell><cell r="AF1424"><v>3654128</v></cell><cell r="AG1424" t="str"><v>Facebook»AZP-Retargeting»1x1»Canvas»OTH»MO»CPM»RT»W»UNK»TP»OT»Trial-Benefit2inMotion</v></cell><cell r="AH1424"><v>223298496</v></cell><cell r="AI1424" t="str"><v>AzurePlatform_FBCTCBenefit2inMotion_JPN_14sec_ISV_PLAT_JA_Trial_Standard_STAN_TN_T4_1</v></cell><cell r="AJ1424"><v>102630376</v></cell></row><row r="1425"><cell r="C1425" t="str"><v>43292Facebook»AZP-Retargeting»1x1»Canvas»OTH»MO»CPM»RT»W»UNK»TP»OT»Trial-BrandinMotion</v></cell><cell r="D1425" t="str"><v>43292223298823</v></cell><cell r="E1425" t="str"><v>43292102612720Motion</v></cell><cell r="F1425" t="str"><v>DCM</v></cell><cell r="G1425" t="str"><v>https://azure.microsoft.com/ja-jp/free/search/</v></cell></row><row r="1425"><cell r="K1425" t="str"><v>July</v></cell><cell r="L1425"><v>43295</v></cell><cell r="M1425" t="str"><v>Tier 1</v></cell><cell r="N1425" t="str"><v>APAC</v></cell><cell r="O1425" t="str"><v>Japan</v></cell><cell r="P1425" t="str"><v>Trial</v></cell><cell r="Q1425" t="str"><v>Social</v></cell><cell r="R1425" t="str"><v>Azure</v></cell><cell r="S1425" t="str"><v>Apps & Infra</v></cell><cell r="T1425" t="str"><v>Developers & ITI's</v></cell><cell r="U1425" t="str"><v>AZP-Retargeting</v></cell><cell r="V1425" t="str"><v>Retargeting</v></cell><cell r="W1425" t="str"><v>Other</v></cell><cell r="X1425" t="str"><v>1x1</v></cell></row><row r="1425"><cell r="AA1425"><v>43292</v></cell><cell r="AB1425" t="str"><v>JPN_gaPMG_AZR_AZR_Q1_19_Trial-Social</v></cell><cell r="AC1425"><v>21276694</v></cell><cell r="AD1425"><v>720195</v></cell><cell r="AE1425" t="str"><v>Facebook</v></cell><cell r="AF1425"><v>3654128</v></cell><cell r="AG1425" t="str"><v>Facebook»AZP-Retargeting»1x1»Canvas»OTH»MO»CPM»RT»W»UNK»TP»OT»Trial-BrandinMotion</v></cell><cell r="AH1425"><v>223298823</v></cell><cell r="AI1425" t="str"><v>AzurePlatform_FBCTCBrandinMotion_JPN_12sec_ISV_PLAT_JA_Trial_Standard_STAN_TN_T2_1</v></cell><cell r="AJ1425"><v>102612720</v></cell></row><row r="1426"><cell r="C1426" t="str"><v>43292FACEBOOK»USA-Trial-ITD-Interest Prospecting-AZR-AZR»1 x 1»SocialBan»CAN»ALL»CPA»PRO»X»NA»SS»NA»FBCTCBasicMotion»PRC1SV</v></cell><cell r="D1426" t="str"><v>43292223934062</v></cell><cell r="E1426" t="str"><v>43292103043823PRC1SV</v></cell><cell r="F1426" t="str"><v>DCM</v></cell><cell r="G1426" t="str"><v>https://signup.azure.com/?OCID=AID%eexcid!_OLA_%ebuy!_%epid!_%ecid!</v></cell></row><row r="1426"><cell r="K1426" t="str"><v>July</v></cell><cell r="L1426"><v>43295</v></cell><cell r="M1426" t="str"><v>Tier 0</v></cell><cell r="N1426" t="str"><v>North America</v></cell><cell r="O1426" t="str"><v>United States</v></cell><cell r="P1426" t="str"><v>Trial</v></cell><cell r="Q1426" t="str"><v>Social</v></cell><cell r="R1426" t="str"><v>Azure</v></cell><cell r="S1426" t="str"><v>Apps & Infra</v></cell><cell r="T1426" t="str"><v>Developers & ITI's</v></cell><cell r="U1426" t="str"><v>USA-Trial-ITD-Interest Prospecting-AZR-AZR</v></cell><cell r="V1426" t="str"><v>Prospecting</v></cell><cell r="W1426" t="str"><v>Canvas Ad</v></cell><cell r="X1426" t="str"><v>1x1</v></cell></row><row r="1426"><cell r="AA1426"><v>43292</v></cell><cell r="AB1426" t="str"><v>USA_gaPMG_AZR_AZR_Q1_19_Direct-Social</v></cell><cell r="AC1426"><v>21358715</v></cell><cell r="AD1426"><v>720197</v></cell><cell r="AE1426" t="str"><v>Facebook</v></cell><cell r="AF1426"><v>3654128</v></cell><cell r="AG1426" t="str"><v>FACEBOOK»USA-Trial-ITD-Interest Prospecting-AZR-AZR»1 x 1»SocialBan»CAN»ALL»CPA»PRO»X»NA»SS»NA»FBCTCBasicMotion»PRC1SV</v></cell><cell r="AH1426"><v>223934062</v></cell><cell r="AI1426" t="str"><v>AzurePlatform_FBCTCBasicMotion_USA_10s_CAN_PLATFORM_English_Trial_Standard_STAN_TIN_T1_1</v></cell><cell r="AJ1426"><v>103043823</v></cell></row><row r="1427"><cell r="C1427" t="str"><v>43292FACEBOOK»USA-Trial-ITD-Interest Prospecting-AZR-AZR»1 x 1»SocialBan»CAN»ALL»CPA»PRO»X»NA»SS»NA»FBCTCBenefit2inMotion»PRC1SW</v></cell><cell r="D1427" t="str"><v>43292223933138</v></cell><cell r="E1427" t="str"><v>43292103043835PRC1SW</v></cell><cell r="F1427" t="str"><v>DCM</v></cell><cell r="G1427" t="str"><v>https://signup.azure.com/?OCID=AID%eexcid!_OLA_%ebuy!_%epid!_%ecid!</v></cell></row><row r="1427"><cell r="K1427" t="str"><v>July</v></cell><cell r="L1427"><v>43295</v></cell><cell r="M1427" t="str"><v>Tier 0</v></cell><cell r="N1427" t="str"><v>North America</v></cell><cell r="O1427" t="str"><v>United States</v></cell><cell r="P1427" t="str"><v>Trial</v></cell><cell r="Q1427" t="str"><v>Social</v></cell><cell r="R1427" t="str"><v>Azure</v></cell><cell r="S1427" t="str"><v>Apps & Infra</v></cell><cell r="T1427" t="str"><v>Developers & ITI's</v></cell><cell r="U1427" t="str"><v>USA-Trial-ITD-Interest Prospecting-AZR-AZR</v></cell><cell r="V1427" t="str"><v>Prospecting</v></cell><cell r="W1427" t="str"><v>Canvas Ad</v></cell><cell r="X1427" t="str"><v>1x1</v></cell></row><row r="1427"><cell r="AA1427"><v>43292</v></cell><cell r="AB1427" t="str"><v>USA_gaPMG_AZR_AZR_Q1_19_Direct-Social</v></cell><cell r="AC1427"><v>21358715</v></cell><cell r="AD1427"><v>720197</v></cell><cell r="AE1427" t="str"><v>Facebook</v></cell><cell r="AF1427"><v>3654128</v></cell><cell r="AG1427" t="str"><v>FACEBOOK»USA-Trial-ITD-Interest Prospecting-AZR-AZR»1 x 1»SocialBan»CAN»ALL»CPA»PRO»X»NA»SS»NA»FBCTCBenefit2inMotion»PRC1SW</v></cell><cell r="AH1427"><v>223933138</v></cell><cell r="AI1427" t="str"><v>AzurePlatform_FBCTCBenefit2inMotion_USA_10s_CAN_PLATFORM_English_Trial_Standard_STAN_TIN_T4_1</v></cell><cell r="AJ1427"><v>103043835</v></cell></row><row r="1428"><cell r="C1428" t="str"><v>43292FACEBOOK»USA-Trial-ITD-Interest Prospecting-AZR-AZR»1 x 1»SocialBan»CAN»ALL»CPA»PRO»X»NA»SS»NA»FBCTCBenefit2inMotion»PRC1SW</v></cell><cell r="D1428" t="str"><v>43292223933138</v></cell><cell r="E1428" t="str"><v>43292103178645PRC1SW</v></cell><cell r="F1428" t="str"><v>DCM</v></cell><cell r="G1428" t="str"><v>https://azure.microsoft.com/en-us/pricing/purchase-options/?v=18.19&OCID=AID%eexcid!_OLA_%ebuy!_%epid!_%ecid!</v></cell></row><row r="1428"><cell r="K1428" t="str"><v>July</v></cell><cell r="L1428"><v>43295</v></cell><cell r="M1428" t="str"><v>Tier 0</v></cell><cell r="N1428" t="str"><v>North America</v></cell><cell r="O1428" t="str"><v>United States</v></cell><cell r="P1428" t="str"><v>Trial</v></cell><cell r="Q1428" t="str"><v>Social</v></cell><cell r="R1428" t="str"><v>Azure</v></cell><cell r="S1428" t="str"><v>Apps & Infra</v></cell><cell r="T1428" t="str"><v>Developers & ITI's</v></cell><cell r="U1428" t="str"><v>USA-Trial-ITD-Interest Prospecting-AZR-AZR</v></cell><cell r="V1428" t="str"><v>Prospecting</v></cell><cell r="W1428" t="str"><v>Canvas Ad</v></cell><cell r="X1428" t="str"><v>1x1</v></cell></row><row r="1428"><cell r="AA1428"><v>43292</v></cell><cell r="AB1428" t="str"><v>USA_gaPMG_AZR_AZR_Q1_19_Direct-Social</v></cell><cell r="AC1428"><v>21358715</v></cell><cell r="AD1428"><v>720197</v></cell><cell r="AE1428" t="str"><v>Facebook</v></cell><cell r="AF1428"><v>3654128</v></cell><cell r="AG1428" t="str"><v>FACEBOOK»USA-Trial-ITD-Interest Prospecting-AZR-AZR»1 x 1»SocialBan»CAN»ALL»CPA»PRO»X»NA»SS»NA»FBCTCBenefit2inMotion»PRC1SW</v></cell><cell r="AH1428"><v>223933138</v></cell><cell r="AI1428" t="str"><v>AzurePlatform_FBCTCBenefit2inMotion_USA_10s_CAN_PLATFORM_English_Trial_Standard_STAN_TIN_T4_2</v></cell><cell r="AJ1428"><v>103178645</v></cell></row><row r="1429"><cell r="C1429" t="str"><v>43292FACEBOOK»USA-Trial-ITD-Interest Prospecting-AZR-AZR»1 x 1»SocialBan»CAN»ALL»CPA»PRO»X»NA»SS»NA»FBCTCBrandinMotion»PRC1SY</v></cell><cell r="D1429" t="str"><v>43292224104929</v></cell><cell r="E1429" t="str"><v>43292103176812PRC1SY</v></cell><cell r="F1429" t="str"><v>DCM</v></cell><cell r="G1429" t="str"><v>https://signup.azure.com/?OCID=AID%eexcid!_OLA_%ebuy!_%epid!_%ecid!</v></cell></row><row r="1429"><cell r="K1429" t="str"><v>July</v></cell><cell r="L1429"><v>43295</v></cell><cell r="M1429" t="str"><v>Tier 0</v></cell><cell r="N1429" t="str"><v>North America</v></cell><cell r="O1429" t="str"><v>United States</v></cell><cell r="P1429" t="str"><v>Trial</v></cell><cell r="Q1429" t="str"><v>Social</v></cell><cell r="R1429" t="str"><v>Azure</v></cell><cell r="S1429" t="str"><v>Apps & Infra</v></cell><cell r="T1429" t="str"><v>Developers & ITI's</v></cell><cell r="U1429" t="str"><v>USA-Trial-ITD-Interest Prospecting-AZR-AZR</v></cell><cell r="V1429" t="str"><v>Prospecting</v></cell><cell r="W1429" t="str"><v>Canvas Ad</v></cell><cell r="X1429" t="str"><v>1x1</v></cell></row><row r="1429"><cell r="AA1429"><v>43292</v></cell><cell r="AB1429" t="str"><v>USA_gaPMG_AZR_AZR_Q1_19_Direct-Social</v></cell><cell r="AC1429"><v>21358715</v></cell><cell r="AD1429"><v>720197</v></cell><cell r="AE1429" t="str"><v>Facebook</v></cell><cell r="AF1429"><v>3654128</v></cell><cell r="AG1429" t="str"><v>FACEBOOK»USA-Trial-ITD-Interest Prospecting-AZR-AZR»1 x 1»SocialBan»CAN»ALL»CPA»PRO»X»NA»SS»NA»FBCTCBrandinMotion»PRC1SY</v></cell><cell r="AH1429"><v>224104929</v></cell><cell r="AI1429" t="str"><v>AzurePlatform_FBCTCBrandinMotion_USA_10s_CAN_PLATFORM_English_Trial_Standard_STAN_TIN_T2_1</v></cell><cell r="AJ1429"><v>103176812</v></cell></row><row r="1430"><cell r="C1430" t="str"><v>43292FACEBOOK»USA-Trial-ITD-Interest Prospecting-AZR-AZR»1 x 1»SocialBan»CAN»ALL»CPA»PRO»X»NA»SS»NA»FBCTCBrandinMotion»PRC1SY</v></cell><cell r="D1430" t="str"><v>43292224104929</v></cell><cell r="E1430" t="str"><v>43292103032823PRC1SY</v></cell><cell r="F1430" t="str"><v>DCM</v></cell><cell r="G1430" t="str"><v>https://azure.microsoft.com/en-us/pricing/purchase-options/?v=18.19&OCID=AID%eexcid!_OLA_%ebuy!_%epid!_%ecid!</v></cell></row><row r="1430"><cell r="K1430" t="str"><v>July</v></cell><cell r="L1430"><v>43295</v></cell><cell r="M1430" t="str"><v>Tier 0</v></cell><cell r="N1430" t="str"><v>North America</v></cell><cell r="O1430" t="str"><v>United States</v></cell><cell r="P1430" t="str"><v>Trial</v></cell><cell r="Q1430" t="str"><v>Social</v></cell><cell r="R1430" t="str"><v>Azure</v></cell><cell r="S1430" t="str"><v>Apps & Infra</v></cell><cell r="T1430" t="str"><v>Developers & ITI's</v></cell><cell r="U1430" t="str"><v>USA-Trial-ITD-Interest Prospecting-AZR-AZR</v></cell><cell r="V1430" t="str"><v>Prospecting</v></cell><cell r="W1430" t="str"><v>Canvas Ad</v></cell><cell r="X1430" t="str"><v>1x1</v></cell></row><row r="1430"><cell r="AA1430"><v>43292</v></cell><cell r="AB1430" t="str"><v>USA_gaPMG_AZR_AZR_Q1_19_Direct-Social</v></cell><cell r="AC1430"><v>21358715</v></cell><cell r="AD1430"><v>720197</v></cell><cell r="AE1430" t="str"><v>Facebook</v></cell><cell r="AF1430"><v>3654128</v></cell><cell r="AG1430" t="str"><v>FACEBOOK»USA-Trial-ITD-Interest Prospecting-AZR-AZR»1 x 1»SocialBan»CAN»ALL»CPA»PRO»X»NA»SS»NA»FBCTCBrandinMotion»PRC1SY</v></cell><cell r="AH1430"><v>224104929</v></cell><cell r="AI1430" t="str"><v>AzurePlatform_FBCTCBrandinMotion_USA_10s_CAN_PLATFORM_English_Trial_Standard_STAN_TIN_T2_2</v></cell><cell r="AJ1430"><v>103032823</v></cell></row><row r="1431"><cell r="C1431" t="str"><v>43292FACEBOOK»USA-Trial-ITD-Interest Prospecting-AZR-AZR»1 x 1»SocialBan»LIA»ALL»CPA»PRO»X»NA»SS»NA»FreeAcctDeveloperFB-AnimatedGeneric-Ch1»PRC1SZ</v></cell><cell r="D1431" t="str"><v>43292224104932</v></cell><cell r="E1431" t="str"><v>43292103176851PRC1SZ</v></cell><cell r="F1431" t="str"><v>DCM</v></cell><cell r="G1431" t="str"><v>https://azure.microsoft.com/en-us/free/search/?OCID=AID%eexcid!_OLA_%ebuy!_%epid!_%ecid!</v></cell></row><row r="1431"><cell r="K1431" t="str"><v>July</v></cell><cell r="L1431"><v>43295</v></cell><cell r="M1431" t="str"><v>Tier 0</v></cell><cell r="N1431" t="str"><v>North America</v></cell><cell r="O1431" t="str"><v>United States</v></cell><cell r="P1431" t="str"><v>Trial</v></cell><cell r="Q1431" t="str"><v>Social</v></cell><cell r="R1431" t="str"><v>Azure</v></cell><cell r="S1431" t="str"><v>Apps & Infra</v></cell><cell r="T1431" t="str"><v>Developers & ITI's</v></cell><cell r="U1431" t="str"><v>USA-Trial-ITD-Interest Prospecting-AZR-AZR</v></cell><cell r="V1431" t="str"><v>Prospecting</v></cell><cell r="W1431" t="str"><v>Link Ad</v></cell><cell r="X1431" t="str"><v>1x1</v></cell></row><row r="1431"><cell r="AA1431"><v>43292</v></cell><cell r="AB1431" t="str"><v>USA_gaPMG_AZR_AZR_Q1_19_Direct-Social</v></cell><cell r="AC1431"><v>21358715</v></cell><cell r="AD1431"><v>720197</v></cell><cell r="AE1431" t="str"><v>Facebook</v></cell><cell r="AF1431"><v>3654128</v></cell><cell r="AG1431" t="str"><v>FACEBOOK»USA-Trial-ITD-Interest Prospecting-AZR-AZR»1 x 1»SocialBan»LIA»ALL»CPA»PRO»X»NA»SS»NA»FreeAcctDeveloperFB-AnimatedGeneric-Ch1»PRC1SZ</v></cell><cell r="AH1431"><v>224104932</v></cell><cell r="AI1431" t="str"><v>AZR_FreeAcctDeveloperFB-AnimatedGeneric-Ch1_USA_1200x1200_CAN_Direct_English_Trial_Standard_ANI_LEA_T1_2</v></cell><cell r="AJ1431"><v>103176851</v></cell></row><row r="1432"><cell r="C1432" t="str"><v>43292FACEBOOK»USA-Trial-ITD-Interest Prospecting-AZR-AZR»1 x 1»SocialBan»LIA»ALL»CPA»PRO»X»NA»SS»NA»FreeAcctITProFB-AnimatedHybrid-Ch2»PRC1T5</v></cell><cell r="D1432" t="str"><v>43292223862882</v></cell><cell r="E1432" t="str"><v>43292103180583PRC1T5</v></cell><cell r="F1432" t="str"><v>DCM</v></cell></row><row r="1432"><cell r="K1432" t="str"><v>July</v></cell><cell r="L1432"><v>43295</v></cell><cell r="M1432" t="str"><v>Tier 0</v></cell><cell r="N1432" t="str"><v>North America</v></cell><cell r="O1432" t="str"><v>United States</v></cell><cell r="P1432" t="str"><v>Trial</v></cell><cell r="Q1432" t="str"><v>Social</v></cell><cell r="R1432" t="str"><v>Azure</v></cell><cell r="S1432" t="str"><v>Apps & Infra</v></cell><cell r="T1432" t="str"><v>Developers & ITI's</v></cell><cell r="U1432" t="str"><v>USA-Trial-ITD-Interest Prospecting-AZR-AZR</v></cell><cell r="V1432" t="str"><v>Prospecting</v></cell><cell r="W1432" t="str"><v>Link Ad</v></cell><cell r="X1432" t="str"><v>1x1</v></cell></row><row r="1432"><cell r="AA1432"><v>43292</v></cell><cell r="AB1432" t="str"><v>USA_gaPMG_AZR_AZR_Q1_19_Direct-Social</v></cell><cell r="AC1432"><v>21358715</v></cell><cell r="AD1432"><v>720197</v></cell><cell r="AE1432" t="str"><v>Facebook</v></cell><cell r="AF1432"><v>3654128</v></cell><cell r="AG1432" t="str"><v>FACEBOOK»USA-Trial-ITD-Interest Prospecting-AZR-AZR»1 x 1»SocialBan»LIA»ALL»CPA»PRO»X»NA»SS»NA»FreeAcctITProFB-AnimatedHybrid-Ch2»PRC1T5</v></cell><cell r="AH1432"><v>223862882</v></cell><cell r="AI1432" t="str"><v>AZR_FreeAcctITProFB-AnimatedHybrid-Ch2_USA_1200x1200_CAN_Direct_English_Trial_Standard_ANI_LEA_T2_2</v></cell><cell r="AJ1432"><v>103180583</v></cell></row><row r="1433"><cell r="C1433" t="str"><v>43292FACEBOOK»USA-Trial-ITD-Interest Prospecting-AZR-AZR»1 x 1»SocialBan»LIA»ALL»CPA»PRO»X»NA»SS»NA»FreeAcctITProFB-AnimatedSecureMngd-Ch1»PRC1T4</v></cell><cell r="D1433" t="str"><v>43292224104914</v></cell><cell r="E1433" t="str"><v>43292103176830PRC1T4</v></cell><cell r="F1433" t="str"><v>DCM</v></cell></row><row r="1433"><cell r="K1433" t="str"><v>July</v></cell><cell r="L1433"><v>43295</v></cell><cell r="M1433" t="str"><v>Tier 0</v></cell><cell r="N1433" t="str"><v>North America</v></cell><cell r="O1433" t="str"><v>United States</v></cell><cell r="P1433" t="str"><v>Trial</v></cell><cell r="Q1433" t="str"><v>Social</v></cell><cell r="R1433" t="str"><v>Azure</v></cell><cell r="S1433" t="str"><v>Apps & Infra</v></cell><cell r="T1433" t="str"><v>Developers & ITI's</v></cell><cell r="U1433" t="str"><v>USA-Trial-ITD-Interest Prospecting-AZR-AZR</v></cell><cell r="V1433" t="str"><v>Prospecting</v></cell><cell r="W1433" t="str"><v>Link Ad</v></cell><cell r="X1433" t="str"><v>1x1</v></cell></row><row r="1433"><cell r="AA1433"><v>43292</v></cell><cell r="AB1433" t="str"><v>USA_gaPMG_AZR_AZR_Q1_19_Direct-Social</v></cell><cell r="AC1433"><v>21358715</v></cell><cell r="AD1433"><v>720197</v></cell><cell r="AE1433" t="str"><v>Facebook</v></cell><cell r="AF1433"><v>3654128</v></cell><cell r="AG1433" t="str"><v>FACEBOOK»USA-Trial-ITD-Interest Prospecting-AZR-AZR»1 x 1»SocialBan»LIA»ALL»CPA»PRO»X»NA»SS»NA»FreeAcctITProFB-AnimatedSecureMngd-Ch1»PRC1T4</v></cell><cell r="AH1433"><v>224104914</v></cell><cell r="AI1433" t="str"><v>AZR_FreeAcctITProFB-AnimatedSecureMngd-Ch1_USA_1200x1200_CAN_Direct_English_Trial_Standard_ANI_LEA_T1_1</v></cell><cell r="AJ1433"><v>103176830</v></cell></row><row r="1434"><cell r="C1434" t="str"><v>43292FACEBOOK»USA-Trial-ITD-Retargeting-AZR-AZR»1 x 1»SocialBan»LIA»ALL»CPA»RT»X»NA»SS»NA»FreeAcctDeveloperFB-AnimatedAI-Ch3»PRC26H</v></cell><cell r="D1434" t="str"><v>43292223863371</v></cell><cell r="E1434" t="str"><v>43292103032778PRC26H</v></cell><cell r="F1434" t="str"><v>DCM</v></cell></row><row r="1434"><cell r="K1434" t="str"><v>July</v></cell><cell r="L1434"><v>43295</v></cell><cell r="M1434" t="str"><v>Tier 0</v></cell><cell r="N1434" t="str"><v>North America</v></cell><cell r="O1434" t="str"><v>United States</v></cell><cell r="P1434" t="str"><v>Trial</v></cell><cell r="Q1434" t="str"><v>Social</v></cell><cell r="R1434" t="str"><v>Azure</v></cell><cell r="S1434" t="str"><v>Apps & Infra</v></cell><cell r="T1434" t="str"><v>Developers & ITI's</v></cell><cell r="U1434" t="str"><v>USA-Trial-ITD-Retargeting-AZR-AZR</v></cell><cell r="V1434" t="str"><v>Retargeting</v></cell><cell r="W1434" t="str"><v>Link Ad</v></cell><cell r="X1434" t="str"><v>1x1</v></cell></row><row r="1434"><cell r="AA1434"><v>43292</v></cell><cell r="AB1434" t="str"><v>USA_gaPMG_AZR_AZR_Q1_19_Direct-Social</v></cell><cell r="AC1434"><v>21358715</v></cell><cell r="AD1434"><v>720197</v></cell><cell r="AE1434" t="str"><v>Facebook</v></cell><cell r="AF1434"><v>3654128</v></cell><cell r="AG1434" t="str"><v>FACEBOOK»USA-Trial-ITD-Retargeting-AZR-AZR»1 x 1»SocialBan»LIA»ALL»CPA»RT»X»NA»SS»NA»FreeAcctDeveloperFB-AnimatedAI-Ch3»PRC26H</v></cell><cell r="AH1434"><v>223863371</v></cell><cell r="AI1434" t="str"><v>AZR_FreeAcctDeveloperFB-AnimatedAI-Ch3_USA_1200x1200_CAN_Direct_English_Trial_Standard_ANI_LEA_T3_1</v></cell><cell r="AJ1434"><v>103032778</v></cell></row><row r="1435"><cell r="C1435" t="str"><v>43292FACEBOOK»USA-Trial-ITD-Retargeting-AZR-AZR»1 x 1»SocialBan»LIA»ALL»CPA»RT»X»NA»SS»NA»FreeAcctDeveloperFB-AnimatedData-Ch4»PRC26J</v></cell><cell r="D1435" t="str"><v>43292224106078</v></cell><cell r="E1435" t="str"><v>43292103037935PRC26J</v></cell><cell r="F1435" t="str"><v>DCM</v></cell></row><row r="1435"><cell r="K1435" t="str"><v>July</v></cell><cell r="L1435"><v>43295</v></cell><cell r="M1435" t="str"><v>Tier 0</v></cell><cell r="N1435" t="str"><v>North America</v></cell><cell r="O1435" t="str"><v>United States</v></cell><cell r="P1435" t="str"><v>Trial</v></cell><cell r="Q1435" t="str"><v>Social</v></cell><cell r="R1435" t="str"><v>Azure</v></cell><cell r="S1435" t="str"><v>Apps & Infra</v></cell><cell r="T1435" t="str"><v>Developers & ITI's</v></cell><cell r="U1435" t="str"><v>USA-Trial-ITD-Retargeting-AZR-AZR</v></cell><cell r="V1435" t="str"><v>Retargeting</v></cell><cell r="W1435" t="str"><v>Link Ad</v></cell><cell r="X1435" t="str"><v>1x1</v></cell></row><row r="1435"><cell r="AA1435"><v>43292</v></cell><cell r="AB1435" t="str"><v>USA_gaPMG_AZR_AZR_Q1_19_Direct-Social</v></cell><cell r="AC1435"><v>21358715</v></cell><cell r="AD1435"><v>720197</v></cell><cell r="AE1435" t="str"><v>Facebook</v></cell><cell r="AF1435"><v>3654128</v></cell><cell r="AG1435" t="str"><v>FACEBOOK»USA-Trial-ITD-Retargeting-AZR-AZR»1 x 1»SocialBan»LIA»ALL»CPA»RT»X»NA»SS»NA»FreeAcctDeveloperFB-AnimatedData-Ch4»PRC26J</v></cell><cell r="AH1435"><v>224106078</v></cell><cell r="AI1435" t="str"><v>AZR_FreeAcctDeveloperFB-AnimatedData-Ch4_USA_1200x1200_CAN_Direct_English_Trial_Standard_ANI_LEA_T4_2</v></cell><cell r="AJ1435"><v>103037935</v></cell></row><row r="1436"><cell r="C1436" t="str"><v>43292FACEBOOK»USA-Trial-ITD-Retargeting-AZR-AZR»1 x 1»SocialBan»LIA»ALL»CPA»RT»X»NA»SS»NA»FreeAcctDeveloperFB-AnimatedGeneric-Ch1»PRC26F</v></cell><cell r="D1436" t="str"><v>43292224105850</v></cell><cell r="E1436" t="str"><v>43292103176851PRC26F</v></cell><cell r="F1436" t="str"><v>DCM</v></cell><cell r="G1436" t="str"><v>https://azure.microsoft.com/en-us/free/search/?OCID=AID%eexcid!_OLA_%ebuy!_%epid!_%ecid!</v></cell></row><row r="1436"><cell r="K1436" t="str"><v>July</v></cell><cell r="L1436"><v>43295</v></cell><cell r="M1436" t="str"><v>Tier 0</v></cell><cell r="N1436" t="str"><v>North America</v></cell><cell r="O1436" t="str"><v>United States</v></cell><cell r="P1436" t="str"><v>Trial</v></cell><cell r="Q1436" t="str"><v>Social</v></cell><cell r="R1436" t="str"><v>Azure</v></cell><cell r="S1436" t="str"><v>Apps & Infra</v></cell><cell r="T1436" t="str"><v>Developers & ITI's</v></cell><cell r="U1436" t="str"><v>USA-Trial-ITD-Retargeting-AZR-AZR</v></cell><cell r="V1436" t="str"><v>Retargeting</v></cell><cell r="W1436" t="str"><v>Link Ad</v></cell><cell r="X1436" t="str"><v>1x1</v></cell></row><row r="1436"><cell r="AA1436"><v>43292</v></cell><cell r="AB1436" t="str"><v>USA_gaPMG_AZR_AZR_Q1_19_Direct-Social</v></cell><cell r="AC1436"><v>21358715</v></cell><cell r="AD1436"><v>720197</v></cell><cell r="AE1436" t="str"><v>Facebook</v></cell><cell r="AF1436"><v>3654128</v></cell><cell r="AG1436" t="str"><v>FACEBOOK»USA-Trial-ITD-Retargeting-AZR-AZR»1 x 1»SocialBan»LIA»ALL»CPA»RT»X»NA»SS»NA»FreeAcctDeveloperFB-AnimatedGeneric-Ch1»PRC26F</v></cell><cell r="AH1436"><v>224105850</v></cell><cell r="AI1436" t="str"><v>AZR_FreeAcctDeveloperFB-AnimatedGeneric-Ch1_USA_1200x1200_CAN_Direct_English_Trial_Standard_ANI_LEA_T1_2</v></cell><cell r="AJ1436"><v>103176851</v></cell></row><row r="1437"><cell r="C1437" t="str"><v>43292FACEBOOK»USA-Trial-ITD-Retargeting-AZR-AZR»1 x 1»SocialBan»LIA»ALL»CPA»RT»X»NA»SS»NA»FreeAcctDeveloperFB-AnimatedOpenSource-Ch2»PRC26G</v></cell><cell r="D1437" t="str"><v>43292223862873</v></cell><cell r="E1437" t="str"><v>43292103048329PRC26G</v></cell><cell r="F1437" t="str"><v>DCM</v></cell><cell r="G1437" t="str"><v>https://azure.microsoft.com/en-us/free/open-source/search/?OCID=AID%eexcid!_OLA_%ebuy!_%epid!_%ecid!</v></cell></row><row r="1437"><cell r="K1437" t="str"><v>July</v></cell><cell r="L1437"><v>43295</v></cell><cell r="M1437" t="str"><v>Tier 0</v></cell><cell r="N1437" t="str"><v>North America</v></cell><cell r="O1437" t="str"><v>United States</v></cell><cell r="P1437" t="str"><v>Trial</v></cell><cell r="Q1437" t="str"><v>Social</v></cell><cell r="R1437" t="str"><v>Azure</v></cell><cell r="S1437" t="str"><v>Apps & Infra</v></cell><cell r="T1437" t="str"><v>Developers & ITI's</v></cell><cell r="U1437" t="str"><v>USA-Trial-ITD-Retargeting-AZR-AZR</v></cell><cell r="V1437" t="str"><v>Retargeting</v></cell><cell r="W1437" t="str"><v>Link Ad</v></cell><cell r="X1437" t="str"><v>1x1</v></cell></row><row r="1437"><cell r="AA1437"><v>43292</v></cell><cell r="AB1437" t="str"><v>USA_gaPMG_AZR_AZR_Q1_19_Direct-Social</v></cell><cell r="AC1437"><v>21358715</v></cell><cell r="AD1437"><v>720197</v></cell><cell r="AE1437" t="str"><v>Facebook</v></cell><cell r="AF1437"><v>3654128</v></cell><cell r="AG1437" t="str"><v>FACEBOOK»USA-Trial-ITD-Retargeting-AZR-AZR»1 x 1»SocialBan»LIA»ALL»CPA»RT»X»NA»SS»NA»FreeAcctDeveloperFB-AnimatedOpenSource-Ch2»PRC26G</v></cell><cell r="AH1437"><v>223862873</v></cell><cell r="AI1437" t="str"><v>AZR_FreeAcctDeveloperFB-AnimatedOpenSource-Ch2_USA_1200x1200_CAN_Direct_English_Trial_Standard_ANI_LEA_T2_1</v></cell><cell r="AJ1437"><v>103048329</v></cell></row><row r="1438"><cell r="C1438" t="str"><v>43292FACEBOOK»USA-Trial-ITD-Retargeting-AZR-AZR»1 x 1»SocialBan»LIA»ALL»CPA»RT»X»NA»SS»NA»FreeAcctITProFB-AnimatedHybrid-Ch2»PRC26N</v></cell><cell r="D1438" t="str"><v>43292223934053</v></cell><cell r="E1438" t="str"><v>43292103180583PRC26N</v></cell><cell r="F1438" t="str"><v>DCM</v></cell></row><row r="1438"><cell r="K1438" t="str"><v>July</v></cell><cell r="L1438"><v>43295</v></cell><cell r="M1438" t="str"><v>Tier 0</v></cell><cell r="N1438" t="str"><v>North America</v></cell><cell r="O1438" t="str"><v>United States</v></cell><cell r="P1438" t="str"><v>Trial</v></cell><cell r="Q1438" t="str"><v>Social</v></cell><cell r="R1438" t="str"><v>Azure</v></cell><cell r="S1438" t="str"><v>Apps & Infra</v></cell><cell r="T1438" t="str"><v>Developers & ITI's</v></cell><cell r="U1438" t="str"><v>USA-Trial-ITD-Retargeting-AZR-AZR</v></cell><cell r="V1438" t="str"><v>Retargeting</v></cell><cell r="W1438" t="str"><v>Link Ad</v></cell><cell r="X1438" t="str"><v>1x1</v></cell></row><row r="1438"><cell r="AA1438"><v>43292</v></cell><cell r="AB1438" t="str"><v>USA_gaPMG_AZR_AZR_Q1_19_Direct-Social</v></cell><cell r="AC1438"><v>21358715</v></cell><cell r="AD1438"><v>720197</v></cell><cell r="AE1438" t="str"><v>Facebook</v></cell><cell r="AF1438"><v>3654128</v></cell><cell r="AG1438" t="str"><v>FACEBOOK»USA-Trial-ITD-Retargeting-AZR-AZR»1 x 1»SocialBan»LIA»ALL»CPA»RT»X»NA»SS»NA»FreeAcctITProFB-AnimatedHybrid-Ch2»PRC26N</v></cell><cell r="AH1438"><v>223934053</v></cell><cell r="AI1438" t="str"><v>AZR_FreeAcctITProFB-AnimatedHybrid-Ch2_USA_1200x1200_CAN_Direct_English_Trial_Standard_ANI_LEA_T2_2</v></cell><cell r="AJ1438"><v>103180583</v></cell></row><row r="1439"><cell r="C1439" t="str"><v>43292FACEBOOK»USA-Trial-ITD-Retargeting-AZR-AZR»1 x 1»SocialBan»LIA»ALL»CPA»RT»X»NA»SS»NA»FreeAcctITProFB-AnimatedMigration-Ch3»PRC26P</v></cell><cell r="D1439" t="str"><v>43292223934056</v></cell><cell r="E1439" t="str"><v>43292103176827PRC26P</v></cell><cell r="F1439" t="str"><v>DCM</v></cell></row><row r="1439"><cell r="K1439" t="str"><v>July</v></cell><cell r="L1439"><v>43295</v></cell><cell r="M1439" t="str"><v>Tier 0</v></cell><cell r="N1439" t="str"><v>North America</v></cell><cell r="O1439" t="str"><v>United States</v></cell><cell r="P1439" t="str"><v>Trial</v></cell><cell r="Q1439" t="str"><v>Social</v></cell><cell r="R1439" t="str"><v>Azure</v></cell><cell r="S1439" t="str"><v>Apps & Infra</v></cell><cell r="T1439" t="str"><v>Developers & ITI's</v></cell><cell r="U1439" t="str"><v>USA-Trial-ITD-Retargeting-AZR-AZR</v></cell><cell r="V1439" t="str"><v>Retargeting</v></cell><cell r="W1439" t="str"><v>Link Ad</v></cell><cell r="X1439" t="str"><v>1x1</v></cell></row><row r="1439"><cell r="AA1439"><v>43292</v></cell><cell r="AB1439" t="str"><v>USA_gaPMG_AZR_AZR_Q1_19_Direct-Social</v></cell><cell r="AC1439"><v>21358715</v></cell><cell r="AD1439"><v>720197</v></cell><cell r="AE1439" t="str"><v>Facebook</v></cell><cell r="AF1439"><v>3654128</v></cell><cell r="AG1439" t="str"><v>FACEBOOK»USA-Trial-ITD-Retargeting-AZR-AZR»1 x 1»SocialBan»LIA»ALL»CPA»RT»X»NA»SS»NA»FreeAcctITProFB-AnimatedMigration-Ch3»PRC26P</v></cell><cell r="AH1439"><v>223934056</v></cell><cell r="AI1439" t="str"><v>AZR_FreeAcctITProFB-AnimatedMigration-Ch3_USA_1200x1200_CAN_Direct_English_Trial_Standard_ANI_LEA_T3_1</v></cell><cell r="AJ1439"><v>103176827</v></cell></row><row r="1440"><cell r="C1440" t="str"><v>43292FACEBOOK»USA-Trial-ITD-Retargeting-AZR-AZR»1 x 1»SocialBan»LIA»ALL»CPA»RT»X»NA»SS»NA»FreeAcctRetargetingFB-Animated-ChC»PRC1RX</v></cell><cell r="D1440" t="str"><v>43292223862864</v></cell><cell r="E1440" t="str"><v>43292103180880PRC1RX</v></cell><cell r="F1440" t="str"><v>DCM</v></cell><cell r="G1440" t="str"><v>https://azure.microsoft.com/en-us/free/search/?OCID=AID%eexcid!_OLA_%ebuy!_%epid!_%ecid!</v></cell></row><row r="1440"><cell r="K1440" t="str"><v>July</v></cell><cell r="L1440"><v>43295</v></cell><cell r="M1440" t="str"><v>Tier 0</v></cell><cell r="N1440" t="str"><v>North America</v></cell><cell r="O1440" t="str"><v>United States</v></cell><cell r="P1440" t="str"><v>Trial</v></cell><cell r="Q1440" t="str"><v>Social</v></cell><cell r="R1440" t="str"><v>Azure</v></cell><cell r="S1440" t="str"><v>Apps & Infra</v></cell><cell r="T1440" t="str"><v>Developers & ITI's</v></cell><cell r="U1440" t="str"><v>USA-Trial-ITD-Retargeting-AZR-AZR</v></cell><cell r="V1440" t="str"><v>Retargeting</v></cell><cell r="W1440" t="str"><v>Link Ad</v></cell><cell r="X1440" t="str"><v>1x1</v></cell></row><row r="1440"><cell r="AA1440"><v>43292</v></cell><cell r="AB1440" t="str"><v>USA_gaPMG_AZR_AZR_Q1_19_Direct-Social</v></cell><cell r="AC1440"><v>21358715</v></cell><cell r="AD1440"><v>720197</v></cell><cell r="AE1440" t="str"><v>Facebook</v></cell><cell r="AF1440"><v>3654128</v></cell><cell r="AG1440" t="str"><v>FACEBOOK»USA-Trial-ITD-Retargeting-AZR-AZR»1 x 1»SocialBan»LIA»ALL»CPA»RT»X»NA»SS»NA»FreeAcctRetargetingFB-Animated-ChC»PRC1RX</v></cell><cell r="AH1440"><v>223862864</v></cell><cell r="AI1440" t="str"><v>AzurePlatform_FreeAcctRetargetingFB-Animated-ChC_USA_1200x628_CAN_PLATFORM_English_Free Account_Standard_ANI_SINU_T3_2</v></cell><cell r="AJ1440"><v>103180880</v></cell></row><row r="1441"><cell r="C1441" t="str"><v>43292FACEBOOK»USA-Trial-ITD-Retargeting-AZR-AZR»1 x 1»SocialBan»LIA»ALL»CPA»RT»X»NA»SS»NA»FreeAcctRetargetingFB-Credit-ChA»PRC1RV</v></cell><cell r="D1441" t="str"><v>43292224106075</v></cell><cell r="E1441" t="str"><v>43292103034917PRC1RV</v></cell><cell r="F1441" t="str"><v>DCM</v></cell><cell r="G1441" t="str"><v>https://azure.microsoft.com/en-us/free/search/?OCID=AID%eexcid!_OLA_%ebuy!_%epid!_%ecid!</v></cell></row><row r="1441"><cell r="K1441" t="str"><v>July</v></cell><cell r="L1441"><v>43295</v></cell><cell r="M1441" t="str"><v>Tier 0</v></cell><cell r="N1441" t="str"><v>North America</v></cell><cell r="O1441" t="str"><v>United States</v></cell><cell r="P1441" t="str"><v>Trial</v></cell><cell r="Q1441" t="str"><v>Social</v></cell><cell r="R1441" t="str"><v>Azure</v></cell><cell r="S1441" t="str"><v>Apps & Infra</v></cell><cell r="T1441" t="str"><v>Developers & ITI's</v></cell><cell r="U1441" t="str"><v>USA-Trial-ITD-Retargeting-AZR-AZR</v></cell><cell r="V1441" t="str"><v>Retargeting</v></cell><cell r="W1441" t="str"><v>Link Ad</v></cell><cell r="X1441" t="str"><v>1x1</v></cell></row><row r="1441"><cell r="AA1441"><v>43292</v></cell><cell r="AB1441" t="str"><v>USA_gaPMG_AZR_AZR_Q1_19_Direct-Social</v></cell><cell r="AC1441"><v>21358715</v></cell><cell r="AD1441"><v>720197</v></cell><cell r="AE1441" t="str"><v>Facebook</v></cell><cell r="AF1441"><v>3654128</v></cell><cell r="AG1441" t="str"><v>FACEBOOK»USA-Trial-ITD-Retargeting-AZR-AZR»1 x 1»SocialBan»LIA»ALL»CPA»RT»X»NA»SS»NA»FreeAcctRetargetingFB-Credit-ChA»PRC1RV</v></cell><cell r="AH1441"><v>224106075</v></cell><cell r="AI1441" t="str"><v>AzurePlatform_FreeAcctRetargetingFB-Credit-ChA_USA_1200x628_CAN_PLATFORM_English_Free Account_Standard_NA_SINU_T1_2</v></cell><cell r="AJ1441"><v>103034917</v></cell></row><row r="1442"><cell r="C1442" t="str"><v>43292FACEBOOK»USA-Trial-ITD-Retargeting-AZR-AZR»1 x 1»SocialBan»LIA»ALL»CPA»RT»X»NA»SS»NA»FreeAcctRetargetingFB-GlobalAlt-ChB»PRC1RW</v></cell><cell r="D1442" t="str"><v>43292223862756</v></cell><cell r="E1442" t="str"><v>43292103180592PRC1RW</v></cell><cell r="F1442" t="str"><v>DCM</v></cell><cell r="G1442" t="str"><v>https://azure.microsoft.com/en-us/free/search/?OCID=AID%eexcid!_OLA_%ebuy!_%epid!_%ecid!</v></cell></row><row r="1442"><cell r="K1442" t="str"><v>July</v></cell><cell r="L1442"><v>43295</v></cell><cell r="M1442" t="str"><v>Tier 0</v></cell><cell r="N1442" t="str"><v>North America</v></cell><cell r="O1442" t="str"><v>United States</v></cell><cell r="P1442" t="str"><v>Trial</v></cell><cell r="Q1442" t="str"><v>Social</v></cell><cell r="R1442" t="str"><v>Azure</v></cell><cell r="S1442" t="str"><v>Apps & Infra</v></cell><cell r="T1442" t="str"><v>Developers & ITI's</v></cell><cell r="U1442" t="str"><v>USA-Trial-ITD-Retargeting-AZR-AZR</v></cell><cell r="V1442" t="str"><v>Retargeting</v></cell><cell r="W1442" t="str"><v>Link Ad</v></cell><cell r="X1442" t="str"><v>1x1</v></cell></row><row r="1442"><cell r="AA1442"><v>43292</v></cell><cell r="AB1442" t="str"><v>USA_gaPMG_AZR_AZR_Q1_19_Direct-Social</v></cell><cell r="AC1442"><v>21358715</v></cell><cell r="AD1442"><v>720197</v></cell><cell r="AE1442" t="str"><v>Facebook</v></cell><cell r="AF1442"><v>3654128</v></cell><cell r="AG1442" t="str"><v>FACEBOOK»USA-Trial-ITD-Retargeting-AZR-AZR»1 x 1»SocialBan»LIA»ALL»CPA»RT»X»NA»SS»NA»FreeAcctRetargetingFB-GlobalAlt-ChB»PRC1RW</v></cell><cell r="AH1442"><v>223862756</v></cell><cell r="AI1442" t="str"><v>AzurePlatform_FreeAcctRetargetingFB-GlobalAlt-ChB_USA_1200x628_CAN_PLATFORM_English_Free Account_Standard_NA_SINU_T2_1</v></cell><cell r="AJ1442"><v>103180592</v></cell></row><row r="1443"><cell r="C1443" t="str"><v>43292FACEBOOK»USA-Trial-ITD-Retargeting-AZR-AZR»1 x 1»SocialBan»LIA»ALL»CPA»RT»X»NA»SS»NA»FreeAcctRetargetingVMFB-750Hrs-ChD»PRC1RY</v></cell><cell r="D1443" t="str"><v>43292223862747</v></cell><cell r="E1443" t="str"><v>43292103034911PRC1RY</v></cell><cell r="F1443" t="str"><v>DCM</v></cell><cell r="G1443" t="str"><v>https://azure.microsoft.com/en-us/free/virtual-machines/search/?OCID=AID%eexcid!_OLA_%ebuy!_%epid!_%ecid!</v></cell></row><row r="1443"><cell r="K1443" t="str"><v>July</v></cell><cell r="L1443"><v>43295</v></cell><cell r="M1443" t="str"><v>Tier 0</v></cell><cell r="N1443" t="str"><v>North America</v></cell><cell r="O1443" t="str"><v>United States</v></cell><cell r="P1443" t="str"><v>Trial</v></cell><cell r="Q1443" t="str"><v>Social</v></cell><cell r="R1443" t="str"><v>Azure</v></cell><cell r="S1443" t="str"><v>Apps & Infra</v></cell><cell r="T1443" t="str"><v>Developers & ITI's</v></cell><cell r="U1443" t="str"><v>USA-Trial-ITD-Retargeting-AZR-AZR</v></cell><cell r="V1443" t="str"><v>Retargeting</v></cell><cell r="W1443" t="str"><v>Link Ad</v></cell><cell r="X1443" t="str"><v>1x1</v></cell></row><row r="1443"><cell r="AA1443"><v>43292</v></cell><cell r="AB1443" t="str"><v>USA_gaPMG_AZR_AZR_Q1_19_Direct-Social</v></cell><cell r="AC1443"><v>21358715</v></cell><cell r="AD1443"><v>720197</v></cell><cell r="AE1443" t="str"><v>Facebook</v></cell><cell r="AF1443"><v>3654128</v></cell><cell r="AG1443" t="str"><v>FACEBOOK»USA-Trial-ITD-Retargeting-AZR-AZR»1 x 1»SocialBan»LIA»ALL»CPA»RT»X»NA»SS»NA»FreeAcctRetargetingVMFB-750Hrs-ChD»PRC1RY</v></cell><cell r="AH1443"><v>223862747</v></cell><cell r="AI1443" t="str"><v>AzurePlatform_FreeAcctRetargetingVMFB-750Hrs-ChD_USA_1200x628_CAN_PLATFORM_English_Free Account_Standard_NA_SINU_T1_1</v></cell><cell r="AJ1443"><v>103034911</v></cell></row><row r="1444"><cell r="C1444" t="str"><v>43292FACEBOOK»USA-Trial-ITD-Retargeting-AZR-AZR»1 x 1»SocialBan»LIA»ALL»CPA»RT»X»NA»SS»NA»FreeAcctRetargetingVMFB-OnDemand-ChE»PRC1S0</v></cell><cell r="D1444" t="str"><v>43292224104899</v></cell><cell r="E1444" t="str"><v>43292103180610PRC1S0</v></cell><cell r="F1444" t="str"><v>DCM</v></cell><cell r="G1444" t="str"><v>https://azure.microsoft.com/en-us/free/virtual-machines/search/?OCID=AID%eexcid!_OLA_%ebuy!_%epid!_%ecid!</v></cell></row><row r="1444"><cell r="K1444" t="str"><v>July</v></cell><cell r="L1444"><v>43295</v></cell><cell r="M1444" t="str"><v>Tier 0</v></cell><cell r="N1444" t="str"><v>North America</v></cell><cell r="O1444" t="str"><v>United States</v></cell><cell r="P1444" t="str"><v>Trial</v></cell><cell r="Q1444" t="str"><v>Social</v></cell><cell r="R1444" t="str"><v>Azure</v></cell><cell r="S1444" t="str"><v>Apps & Infra</v></cell><cell r="T1444" t="str"><v>Developers & ITI's</v></cell><cell r="U1444" t="str"><v>USA-Trial-ITD-Retargeting-AZR-AZR</v></cell><cell r="V1444" t="str"><v>Retargeting</v></cell><cell r="W1444" t="str"><v>Link Ad</v></cell><cell r="X1444" t="str"><v>1x1</v></cell></row><row r="1444"><cell r="AA1444"><v>43292</v></cell><cell r="AB1444" t="str"><v>USA_gaPMG_AZR_AZR_Q1_19_Direct-Social</v></cell><cell r="AC1444"><v>21358715</v></cell><cell r="AD1444"><v>720197</v></cell><cell r="AE1444" t="str"><v>Facebook</v></cell><cell r="AF1444"><v>3654128</v></cell><cell r="AG1444" t="str"><v>FACEBOOK»USA-Trial-ITD-Retargeting-AZR-AZR»1 x 1»SocialBan»LIA»ALL»CPA»RT»X»NA»SS»NA»FreeAcctRetargetingVMFB-OnDemand-ChE»PRC1S0</v></cell><cell r="AH1444"><v>224104899</v></cell><cell r="AI1444" t="str"><v>AzurePlatform_FreeAcctRetargetingVMFB-OnDemand-ChE_USA_1200x628_CAN_PLATFORM_English_Free Account_Standard_NA_SINU_T2_1</v></cell><cell r="AJ1444"><v>103180610</v></cell></row><row r="1445"><cell r="C1445" t="str"><v>43292FACEBOOK»USA-Trial-ITD-Retargeting-AZR-AZR»1 x 1»SocialBan»CAN»ALL»CPA»RT»X»NA»SS»NA»FBCTCBenefit2inMotion»PRC1RR</v></cell><cell r="D1445" t="str"><v>43292224104896</v></cell><cell r="E1445" t="str"><v>43292103043835PRC1RR</v></cell><cell r="F1445" t="str"><v>DCM</v></cell><cell r="G1445" t="str"><v>https://signup.azure.com/?OCID=AID%eexcid!_OLA_%ebuy!_%epid!_%ecid!</v></cell></row><row r="1445"><cell r="K1445" t="str"><v>July</v></cell><cell r="L1445"><v>43295</v></cell><cell r="M1445" t="str"><v>Tier 0</v></cell><cell r="N1445" t="str"><v>North America</v></cell><cell r="O1445" t="str"><v>United States</v></cell><cell r="P1445" t="str"><v>Trial</v></cell><cell r="Q1445" t="str"><v>Social</v></cell><cell r="R1445" t="str"><v>Azure</v></cell><cell r="S1445" t="str"><v>Apps & Infra</v></cell><cell r="T1445" t="str"><v>Developers & ITI's</v></cell><cell r="U1445" t="str"><v>USA-Trial-ITD-Retargeting-AZR-AZR</v></cell><cell r="V1445" t="str"><v>Retargeting</v></cell><cell r="W1445" t="str"><v>Canvas Ad</v></cell><cell r="X1445" t="str"><v>1x1</v></cell></row><row r="1445"><cell r="AA1445"><v>43292</v></cell><cell r="AB1445" t="str"><v>USA_gaPMG_AZR_AZR_Q1_19_Direct-Social</v></cell><cell r="AC1445"><v>21358715</v></cell><cell r="AD1445"><v>720197</v></cell><cell r="AE1445" t="str"><v>Facebook</v></cell><cell r="AF1445"><v>3654128</v></cell><cell r="AG1445" t="str"><v>FACEBOOK»USA-Trial-ITD-Retargeting-AZR-AZR»1 x 1»SocialBan»CAN»ALL»CPA»RT»X»NA»SS»NA»FBCTCBenefit2inMotion»PRC1RR</v></cell><cell r="AH1445"><v>224104896</v></cell><cell r="AI1445" t="str"><v>AzurePlatform_FBCTCBenefit2inMotion_USA_10s_CAN_PLATFORM_English_Trial_Standard_STAN_TIN_T4_1</v></cell><cell r="AJ1445"><v>103043835</v></cell></row><row r="1446"><cell r="C1446" t="str"><v>43292FACEBOOK»USA-Trial-ITD-Trial Lookalike-AZR-AZR»1 x 1»SocialBan»CAN»ALL»CPA»LAL»X»NA»SS»NA»FBCTCBenefit2inMotion»PRC1M0</v></cell><cell r="D1446" t="str"><v>43292223862927</v></cell><cell r="E1446" t="str"><v>43292103043835PRC1M0</v></cell><cell r="F1446" t="str"><v>DCM</v></cell><cell r="G1446" t="str"><v>https://signup.azure.com/?OCID=AID%eexcid!_OLA_%ebuy!_%epid!_%ecid!</v></cell></row><row r="1446"><cell r="K1446" t="str"><v>July</v></cell><cell r="L1446"><v>43295</v></cell><cell r="M1446" t="str"><v>Tier 0</v></cell><cell r="N1446" t="str"><v>North America</v></cell><cell r="O1446" t="str"><v>United States</v></cell><cell r="P1446" t="str"><v>Trial</v></cell><cell r="Q1446" t="str"><v>Social</v></cell><cell r="R1446" t="str"><v>Azure</v></cell><cell r="S1446" t="str"><v>Apps & Infra</v></cell><cell r="T1446" t="str"><v>Developers & ITI's</v></cell><cell r="U1446" t="str"><v>USA-Trial-ITD-Trial Lookalike-AZR-AZR</v></cell><cell r="V1446" t="str"><v>Lookalike Targeting</v></cell><cell r="W1446" t="str"><v>Canvas Ad</v></cell><cell r="X1446" t="str"><v>1x1</v></cell></row><row r="1446"><cell r="AA1446"><v>43292</v></cell><cell r="AB1446" t="str"><v>USA_gaPMG_AZR_AZR_Q1_19_Direct-Social</v></cell><cell r="AC1446"><v>21358715</v></cell><cell r="AD1446"><v>720197</v></cell><cell r="AE1446" t="str"><v>Facebook</v></cell><cell r="AF1446"><v>3654128</v></cell><cell r="AG1446" t="str"><v>FACEBOOK»USA-Trial-ITD-Trial Lookalike-AZR-AZR»1 x 1»SocialBan»CAN»ALL»CPA»LAL»X»NA»SS»NA»FBCTCBenefit2inMotion»PRC1M0</v></cell><cell r="AH1446"><v>223862927</v></cell><cell r="AI1446" t="str"><v>AzurePlatform_FBCTCBenefit2inMotion_USA_10s_CAN_PLATFORM_English_Trial_Standard_STAN_TIN_T4_1</v></cell><cell r="AJ1446"><v>103043835</v></cell></row><row r="1447"><cell r="C1447" t="str"><v>43292FACEBOOK»USA-Trial-ITD-Trial Lookalike-AZR-AZR»1 x 1»SocialBan»CAN»ALL»CPA»LAL»X»NA»SS»NA»FBCTCBenefit2inMotion»PRC1M0</v></cell><cell r="D1447" t="str"><v>43292223862927</v></cell><cell r="E1447" t="str"><v>43292103178645PRC1M0</v></cell><cell r="F1447" t="str"><v>DCM</v></cell><cell r="G1447" t="str"><v>https://azure.microsoft.com/en-us/pricing/purchase-options/?v=18.19&OCID=AID%eexcid!_OLA_%ebuy!_%epid!_%ecid!</v></cell></row><row r="1447"><cell r="K1447" t="str"><v>July</v></cell><cell r="L1447"><v>43295</v></cell><cell r="M1447" t="str"><v>Tier 0</v></cell><cell r="N1447" t="str"><v>North America</v></cell><cell r="O1447" t="str"><v>United States</v></cell><cell r="P1447" t="str"><v>Trial</v></cell><cell r="Q1447" t="str"><v>Social</v></cell><cell r="R1447" t="str"><v>Azure</v></cell><cell r="S1447" t="str"><v>Apps & Infra</v></cell><cell r="T1447" t="str"><v>Developers & ITI's</v></cell><cell r="U1447" t="str"><v>USA-Trial-ITD-Trial Lookalike-AZR-AZR</v></cell><cell r="V1447" t="str"><v>Lookalike Targeting</v></cell><cell r="W1447" t="str"><v>Canvas Ad</v></cell><cell r="X1447" t="str"><v>1x1</v></cell></row><row r="1447"><cell r="AA1447"><v>43292</v></cell><cell r="AB1447" t="str"><v>USA_gaPMG_AZR_AZR_Q1_19_Direct-Social</v></cell><cell r="AC1447"><v>21358715</v></cell><cell r="AD1447"><v>720197</v></cell><cell r="AE1447" t="str"><v>Facebook</v></cell><cell r="AF1447"><v>3654128</v></cell><cell r="AG1447" t="str"><v>FACEBOOK»USA-Trial-ITD-Trial Lookalike-AZR-AZR»1 x 1»SocialBan»CAN»ALL»CPA»LAL»X»NA»SS»NA»FBCTCBenefit2inMotion»PRC1M0</v></cell><cell r="AH1447"><v>223862927</v></cell><cell r="AI1447" t="str"><v>AzurePlatform_FBCTCBenefit2inMotion_USA_10s_CAN_PLATFORM_English_Trial_Standard_STAN_TIN_T4_2</v></cell><cell r="AJ1447"><v>103178645</v></cell></row><row r="1448"><cell r="C1448" t="str"><v>43292FACEBOOK»USA-Trial-ITD-Trial Lookalike-AZR-AZR»1 x 1»SocialBan»CAN»ALL»CPA»LAL»X»NA»SS»NA»FBCTCBenefitinMotion»PRC1M2</v></cell><cell r="D1448" t="str"><v>43292223862897</v></cell><cell r="E1448" t="str"><v>43292103032775PRC1M2</v></cell><cell r="F1448" t="str"><v>DCM</v></cell><cell r="G1448" t="str"><v>https://signup.azure.com/?OCID=AID%eexcid!_OLA_%ebuy!_%epid!_%ecid!</v></cell></row><row r="1448"><cell r="K1448" t="str"><v>July</v></cell><cell r="L1448"><v>43295</v></cell><cell r="M1448" t="str"><v>Tier 0</v></cell><cell r="N1448" t="str"><v>North America</v></cell><cell r="O1448" t="str"><v>United States</v></cell><cell r="P1448" t="str"><v>Trial</v></cell><cell r="Q1448" t="str"><v>Social</v></cell><cell r="R1448" t="str"><v>Azure</v></cell><cell r="S1448" t="str"><v>Apps & Infra</v></cell><cell r="T1448" t="str"><v>Developers & ITI's</v></cell><cell r="U1448" t="str"><v>USA-Trial-ITD-Trial Lookalike-AZR-AZR</v></cell><cell r="V1448" t="str"><v>Lookalike Targeting</v></cell><cell r="W1448" t="str"><v>Canvas Ad</v></cell><cell r="X1448" t="str"><v>1x1</v></cell></row><row r="1448"><cell r="AA1448"><v>43292</v></cell><cell r="AB1448" t="str"><v>USA_gaPMG_AZR_AZR_Q1_19_Direct-Social</v></cell><cell r="AC1448"><v>21358715</v></cell><cell r="AD1448"><v>720197</v></cell><cell r="AE1448" t="str"><v>Facebook</v></cell><cell r="AF1448"><v>3654128</v></cell><cell r="AG1448" t="str"><v>FACEBOOK»USA-Trial-ITD-Trial Lookalike-AZR-AZR»1 x 1»SocialBan»CAN»ALL»CPA»LAL»X»NA»SS»NA»FBCTCBenefitinMotion»PRC1M2</v></cell><cell r="AH1448"><v>223862897</v></cell><cell r="AI1448" t="str"><v>AzurePlatform_FBCTCBenefitinMotion_USA_10s_CAN_PLATFORM_English_Trial_Standard_STAN_TIN_T3_1</v></cell><cell r="AJ1448"><v>103032775</v></cell></row><row r="1449"><cell r="C1449" t="str"><v>43292FACEBOOK»USA-Trial-ITD-Trial Lookalike-AZR-AZR»1 x 1»SocialBan»LIA»ALL»CPA»LAL»X»NA»SS»NA»FreeAcctDeveloperFB-AnimatedAI-Ch3»PRC1M7</v></cell><cell r="D1449" t="str"><v>43292223934104</v></cell><cell r="E1449" t="str"><v>43292103032778PRC1M7</v></cell><cell r="F1449" t="str"><v>DCM</v></cell></row><row r="1449"><cell r="K1449" t="str"><v>July</v></cell><cell r="L1449"><v>43295</v></cell><cell r="M1449" t="str"><v>Tier 0</v></cell><cell r="N1449" t="str"><v>North America</v></cell><cell r="O1449" t="str"><v>United States</v></cell><cell r="P1449" t="str"><v>Trial</v></cell><cell r="Q1449" t="str"><v>Social</v></cell><cell r="R1449" t="str"><v>Azure</v></cell><cell r="S1449" t="str"><v>Apps & Infra</v></cell><cell r="T1449" t="str"><v>Developers & ITI's</v></cell><cell r="U1449" t="str"><v>USA-Trial-ITD-Trial Lookalike-AZR-AZR</v></cell><cell r="V1449" t="str"><v>Lookalike Targeting</v></cell><cell r="W1449" t="str"><v>Link Ad</v></cell><cell r="X1449" t="str"><v>1x1</v></cell></row><row r="1449"><cell r="AA1449"><v>43292</v></cell><cell r="AB1449" t="str"><v>USA_gaPMG_AZR_AZR_Q1_19_Direct-Social</v></cell><cell r="AC1449"><v>21358715</v></cell><cell r="AD1449"><v>720197</v></cell><cell r="AE1449" t="str"><v>Facebook</v></cell><cell r="AF1449"><v>3654128</v></cell><cell r="AG1449" t="str"><v>FACEBOOK»USA-Trial-ITD-Trial Lookalike-AZR-AZR»1 x 1»SocialBan»LIA»ALL»CPA»LAL»X»NA»SS»NA»FreeAcctDeveloperFB-AnimatedAI-Ch3»PRC1M7</v></cell><cell r="AH1449"><v>223934104</v></cell><cell r="AI1449" t="str"><v>AZR_FreeAcctDeveloperFB-AnimatedAI-Ch3_USA_1200x1200_CAN_Direct_English_Trial_Standard_ANI_LEA_T3_1</v></cell><cell r="AJ1449"><v>103032778</v></cell></row><row r="1450"><cell r="C1450" t="str"><v>43292FACEBOOK»USA-Trial-ITD-Trial Lookalike-AZR-AZR»1 x 1»SocialBan»LIA»ALL»CPA»LAL»X»NA»SS»NA»FreeAcctDeveloperFB-AnimatedData-Ch4»PRC1M8</v></cell><cell r="D1450" t="str"><v>43292223862933</v></cell><cell r="E1450" t="str"><v>43292103037935PRC1M8</v></cell><cell r="F1450" t="str"><v>DCM</v></cell></row><row r="1450"><cell r="K1450" t="str"><v>July</v></cell><cell r="L1450"><v>43295</v></cell><cell r="M1450" t="str"><v>Tier 0</v></cell><cell r="N1450" t="str"><v>North America</v></cell><cell r="O1450" t="str"><v>United States</v></cell><cell r="P1450" t="str"><v>Trial</v></cell><cell r="Q1450" t="str"><v>Social</v></cell><cell r="R1450" t="str"><v>Azure</v></cell><cell r="S1450" t="str"><v>Apps & Infra</v></cell><cell r="T1450" t="str"><v>Developers & ITI's</v></cell><cell r="U1450" t="str"><v>USA-Trial-ITD-Trial Lookalike-AZR-AZR</v></cell><cell r="V1450" t="str"><v>Lookalike Targeting</v></cell><cell r="W1450" t="str"><v>Link Ad</v></cell><cell r="X1450" t="str"><v>1x1</v></cell></row><row r="1450"><cell r="AA1450"><v>43292</v></cell><cell r="AB1450" t="str"><v>USA_gaPMG_AZR_AZR_Q1_19_Direct-Social</v></cell><cell r="AC1450"><v>21358715</v></cell><cell r="AD1450"><v>720197</v></cell><cell r="AE1450" t="str"><v>Facebook</v></cell><cell r="AF1450"><v>3654128</v></cell><cell r="AG1450" t="str"><v>FACEBOOK»USA-Trial-ITD-Trial Lookalike-AZR-AZR»1 x 1»SocialBan»LIA»ALL»CPA»LAL»X»NA»SS»NA»FreeAcctDeveloperFB-AnimatedData-Ch4»PRC1M8</v></cell><cell r="AH1450"><v>223862933</v></cell><cell r="AI1450" t="str"><v>AZR_FreeAcctDeveloperFB-AnimatedData-Ch4_USA_1200x1200_CAN_Direct_English_Trial_Standard_ANI_LEA_T4_2</v></cell><cell r="AJ1450"><v>103037935</v></cell></row><row r="1451"><cell r="C1451" t="str"><v>43292FACEBOOK»USA-Trial-ITD-Trial Lookalike-AZR-AZR»1 x 1»SocialBan»LIA»ALL»CPA»LAL»X»NA»SS»NA»FreeAcctITProFB-AnimatedHybrid-Ch2»PRC1MC</v></cell><cell r="D1451" t="str"><v>43292224104956</v></cell><cell r="E1451" t="str"><v>43292103180583PRC1MC</v></cell><cell r="F1451" t="str"><v>DCM</v></cell></row><row r="1451"><cell r="K1451" t="str"><v>July</v></cell><cell r="L1451"><v>43295</v></cell><cell r="M1451" t="str"><v>Tier 0</v></cell><cell r="N1451" t="str"><v>North America</v></cell><cell r="O1451" t="str"><v>United States</v></cell><cell r="P1451" t="str"><v>Trial</v></cell><cell r="Q1451" t="str"><v>Social</v></cell><cell r="R1451" t="str"><v>Azure</v></cell><cell r="S1451" t="str"><v>Apps & Infra</v></cell><cell r="T1451" t="str"><v>Developers & ITI's</v></cell><cell r="U1451" t="str"><v>USA-Trial-ITD-Trial Lookalike-AZR-AZR</v></cell><cell r="V1451" t="str"><v>Lookalike Targeting</v></cell><cell r="W1451" t="str"><v>Link Ad</v></cell><cell r="X1451" t="str"><v>1x1</v></cell></row><row r="1451"><cell r="AA1451"><v>43292</v></cell><cell r="AB1451" t="str"><v>USA_gaPMG_AZR_AZR_Q1_19_Direct-Social</v></cell><cell r="AC1451"><v>21358715</v></cell><cell r="AD1451"><v>720197</v></cell><cell r="AE1451" t="str"><v>Facebook</v></cell><cell r="AF1451"><v>3654128</v></cell><cell r="AG1451" t="str"><v>FACEBOOK»USA-Trial-ITD-Trial Lookalike-AZR-AZR»1 x 1»SocialBan»LIA»ALL»CPA»LAL»X»NA»SS»NA»FreeAcctITProFB-AnimatedHybrid-Ch2»PRC1MC</v></cell><cell r="AH1451"><v>224104956</v></cell><cell r="AI1451" t="str"><v>AZR_FreeAcctITProFB-AnimatedHybrid-Ch2_USA_1200x1200_CAN_Direct_English_Trial_Standard_ANI_LEA_T2_2</v></cell><cell r="AJ1451"><v>103180583</v></cell></row><row r="1452"><cell r="C1452" t="str"><v>43292FACEBOOK»USA-Trial-ITD-Trial Lookalike-AZR-AZR»1 x 1»SocialBan»CAN»ALL»CPA»LAL»X»NA»SS»NA»FBCTCBrandinMotion»PRC1M3</v></cell><cell r="D1452" t="str"><v>43292223862900</v></cell><cell r="E1452" t="str"><v>43292103176812PRC1M3</v></cell><cell r="F1452" t="str"><v>DCM</v></cell><cell r="G1452" t="str"><v>https://signup.azure.com/?OCID=AID%eexcid!_OLA_%ebuy!_%epid!_%ecid!</v></cell></row><row r="1452"><cell r="K1452" t="str"><v>July</v></cell><cell r="L1452"><v>43295</v></cell><cell r="M1452" t="str"><v>Tier 0</v></cell><cell r="N1452" t="str"><v>North America</v></cell><cell r="O1452" t="str"><v>United States</v></cell><cell r="P1452" t="str"><v>Trial</v></cell><cell r="Q1452" t="str"><v>Social</v></cell><cell r="R1452" t="str"><v>Azure</v></cell><cell r="S1452" t="str"><v>Apps & Infra</v></cell><cell r="T1452" t="str"><v>Developers & ITI's</v></cell><cell r="U1452" t="str"><v>USA-Trial-ITD-Trial Lookalike-AZR-AZR</v></cell><cell r="V1452" t="str"><v>Lookalike Targeting</v></cell><cell r="W1452" t="str"><v>Canvas Ad</v></cell><cell r="X1452" t="str"><v>1x1</v></cell></row><row r="1452"><cell r="AA1452"><v>43292</v></cell><cell r="AB1452" t="str"><v>USA_gaPMG_AZR_AZR_Q1_19_Direct-Social</v></cell><cell r="AC1452"><v>21358715</v></cell><cell r="AD1452"><v>720197</v></cell><cell r="AE1452" t="str"><v>Facebook</v></cell><cell r="AF1452"><v>3654128</v></cell><cell r="AG1452" t="str"><v>FACEBOOK»USA-Trial-ITD-Trial Lookalike-AZR-AZR»1 x 1»SocialBan»CAN»ALL»CPA»LAL»X»NA»SS»NA»FBCTCBrandinMotion»PRC1M3</v></cell><cell r="AH1452"><v>223862900</v></cell><cell r="AI1452" t="str"><v>AzurePlatform_FBCTCBrandinMotion_USA_10s_CAN_PLATFORM_English_Trial_Standard_STAN_TIN_T2_1</v></cell><cell r="AJ1452"><v>103176812</v></cell></row><row r="1453"><cell r="C1453" t="str"><v>43292FACEBOOK»USA-Trial-ITD-Trial Lookalike-AZR-AZR»1 x 1»SocialBan»CAN»ALL»CPA»LAL»X»NA»SS»NA»FBCTCBrandinMotion»PRC1M3</v></cell><cell r="D1453" t="str"><v>43292223862900</v></cell><cell r="E1453" t="str"><v>43292103032823PRC1M3</v></cell><cell r="F1453" t="str"><v>DCM</v></cell><cell r="G1453" t="str"><v>https://azure.microsoft.com/en-us/pricing/purchase-options/?v=18.19&OCID=AID%eexcid!_OLA_%ebuy!_%epid!_%ecid!</v></cell></row><row r="1453"><cell r="K1453" t="str"><v>July</v></cell><cell r="L1453"><v>43295</v></cell><cell r="M1453" t="str"><v>Tier 0</v></cell><cell r="N1453" t="str"><v>North America</v></cell><cell r="O1453" t="str"><v>United States</v></cell><cell r="P1453" t="str"><v>Trial</v></cell><cell r="Q1453" t="str"><v>Social</v></cell><cell r="R1453" t="str"><v>Azure</v></cell><cell r="S1453" t="str"><v>Apps & Infra</v></cell><cell r="T1453" t="str"><v>Developers & ITI's</v></cell><cell r="U1453" t="str"><v>USA-Trial-ITD-Trial Lookalike-AZR-AZR</v></cell><cell r="V1453" t="str"><v>Lookalike Targeting</v></cell><cell r="W1453" t="str"><v>Canvas Ad</v></cell><cell r="X1453" t="str"><v>1x1</v></cell></row><row r="1453"><cell r="AA1453"><v>43292</v></cell><cell r="AB1453" t="str"><v>USA_gaPMG_AZR_AZR_Q1_19_Direct-Social</v></cell><cell r="AC1453"><v>21358715</v></cell><cell r="AD1453"><v>720197</v></cell><cell r="AE1453" t="str"><v>Facebook</v></cell><cell r="AF1453"><v>3654128</v></cell><cell r="AG1453" t="str"><v>FACEBOOK»USA-Trial-ITD-Trial Lookalike-AZR-AZR»1 x 1»SocialBan»CAN»ALL»CPA»LAL»X»NA»SS»NA»FBCTCBrandinMotion»PRC1M3</v></cell><cell r="AH1453"><v>223862900</v></cell><cell r="AI1453" t="str"><v>AzurePlatform_FBCTCBrandinMotion_USA_10s_CAN_PLATFORM_English_Trial_Standard_STAN_TIN_T2_2</v></cell><cell r="AJ1453"><v>103032823</v></cell></row><row r="1454"><cell r="C1454" t="str"><v>43292FACEBOOK»USA-Trial-ITD-Trial PayGo Lookalike-AZR-AZR»1 x 1»SocialBan»CAN»ALL»CPA»LAL»X»NA»SS»NA»FBCTCBenefit2inMotion»PRC1Q1</v></cell><cell r="D1454" t="str"><v>43292224104986</v></cell><cell r="E1454" t="str"><v>43292103043835PRC1Q1</v></cell><cell r="F1454" t="str"><v>DCM</v></cell><cell r="G1454" t="str"><v>https://signup.azure.com/?OCID=AID%eexcid!_OLA_%ebuy!_%epid!_%ecid!</v></cell></row><row r="1454"><cell r="K1454" t="str"><v>July</v></cell><cell r="L1454"><v>43295</v></cell><cell r="M1454" t="str"><v>Tier 0</v></cell><cell r="N1454" t="str"><v>North America</v></cell><cell r="O1454" t="str"><v>United States</v></cell><cell r="P1454" t="str"><v>Trial</v></cell><cell r="Q1454" t="str"><v>Social</v></cell><cell r="R1454" t="str"><v>Azure</v></cell><cell r="S1454" t="str"><v>Apps & Infra</v></cell><cell r="T1454" t="str"><v>Developers & ITI's</v></cell><cell r="U1454" t="str"><v>USA-Trial-ITD-Trial PayGo Lookalike-AZR-AZR</v></cell><cell r="V1454" t="str"><v>Lookalike Targeting</v></cell><cell r="W1454" t="str"><v>Canvas Ad</v></cell><cell r="X1454" t="str"><v>1x1</v></cell></row><row r="1454"><cell r="AA1454"><v>43292</v></cell><cell r="AB1454" t="str"><v>USA_gaPMG_AZR_AZR_Q1_19_Direct-Social</v></cell><cell r="AC1454"><v>21358715</v></cell><cell r="AD1454"><v>720197</v></cell><cell r="AE1454" t="str"><v>Facebook</v></cell><cell r="AF1454"><v>3654128</v></cell><cell r="AG1454" t="str"><v>FACEBOOK»USA-Trial-ITD-Trial PayGo Lookalike-AZR-AZR»1 x 1»SocialBan»CAN»ALL»CPA»LAL»X»NA»SS»NA»FBCTCBenefit2inMotion»PRC1Q1</v></cell><cell r="AH1454"><v>224104986</v></cell><cell r="AI1454" t="str"><v>AzurePlatform_FBCTCBenefit2inMotion_USA_10s_CAN_PLATFORM_English_Trial_Standard_STAN_TIN_T4_1</v></cell><cell r="AJ1454"><v>103043835</v></cell></row><row r="1455"><cell r="C1455" t="str"><v>43292FACEBOOK»USA-Trial-ITD-Trial PayGo Lookalike-AZR-AZR»1 x 1»SocialBan»CAN»ALL»CPA»LAL»X»NA»SS»NA»FBCTCBrandinMotion»PRC1Q3</v></cell><cell r="D1455" t="str"><v>43292223935349</v></cell><cell r="E1455" t="str"><v>43292103176812PRC1Q3</v></cell><cell r="F1455" t="str"><v>DCM</v></cell><cell r="G1455" t="str"><v>https://signup.azure.com/?OCID=AID%eexcid!_OLA_%ebuy!_%epid!_%ecid!</v></cell></row><row r="1455"><cell r="K1455" t="str"><v>July</v></cell><cell r="L1455"><v>43295</v></cell><cell r="M1455" t="str"><v>Tier 0</v></cell><cell r="N1455" t="str"><v>North America</v></cell><cell r="O1455" t="str"><v>United States</v></cell><cell r="P1455" t="str"><v>Trial</v></cell><cell r="Q1455" t="str"><v>Social</v></cell><cell r="R1455" t="str"><v>Azure</v></cell><cell r="S1455" t="str"><v>Apps & Infra</v></cell><cell r="T1455" t="str"><v>Developers & ITI's</v></cell><cell r="U1455" t="str"><v>USA-Trial-ITD-Trial PayGo Lookalike-AZR-AZR</v></cell><cell r="V1455" t="str"><v>Lookalike Targeting</v></cell><cell r="W1455" t="str"><v>Canvas Ad</v></cell><cell r="X1455" t="str"><v>1x1</v></cell></row><row r="1455"><cell r="AA1455"><v>43292</v></cell><cell r="AB1455" t="str"><v>USA_gaPMG_AZR_AZR_Q1_19_Direct-Social</v></cell><cell r="AC1455"><v>21358715</v></cell><cell r="AD1455"><v>720197</v></cell><cell r="AE1455" t="str"><v>Facebook</v></cell><cell r="AF1455"><v>3654128</v></cell><cell r="AG1455" t="str"><v>FACEBOOK»USA-Trial-ITD-Trial PayGo Lookalike-AZR-AZR»1 x 1»SocialBan»CAN»ALL»CPA»LAL»X»NA»SS»NA»FBCTCBrandinMotion»PRC1Q3</v></cell><cell r="AH1455"><v>223935349</v></cell><cell r="AI1455" t="str"><v>AzurePlatform_FBCTCBrandinMotion_USA_10s_CAN_PLATFORM_English_Trial_Standard_STAN_TIN_T2_1</v></cell><cell r="AJ1455"><v>103176812</v></cell></row><row r="1456"><cell r="C1456" t="str"><v>43292FACEBOOK»USA-Trial-ITD-Trial PayGo Lookalike-AZR-AZR»1 x 1»SocialBan»CAN»ALL»CPA»LAL»X»NA»SS»NA»FBCTCBrandinMotion»PRC1Q3</v></cell><cell r="D1456" t="str"><v>43292223935349</v></cell><cell r="E1456" t="str"><v>43292103032823PRC1Q3</v></cell><cell r="F1456" t="str"><v>DCM</v></cell><cell r="G1456" t="str"><v>https://azure.microsoft.com/en-us/pricing/purchase-options/?v=18.19&OCID=AID%eexcid!_OLA_%ebuy!_%epid!_%ecid!</v></cell></row><row r="1456"><cell r="K1456" t="str"><v>July</v></cell><cell r="L1456"><v>43295</v></cell><cell r="M1456" t="str"><v>Tier 0</v></cell><cell r="N1456" t="str"><v>North America</v></cell><cell r="O1456" t="str"><v>United States</v></cell><cell r="P1456" t="str"><v>Trial</v></cell><cell r="Q1456" t="str"><v>Social</v></cell><cell r="R1456" t="str"><v>Azure</v></cell><cell r="S1456" t="str"><v>Apps & Infra</v></cell><cell r="T1456" t="str"><v>Developers & ITI's</v></cell><cell r="U1456" t="str"><v>USA-Trial-ITD-Trial PayGo Lookalike-AZR-AZR</v></cell><cell r="V1456" t="str"><v>Lookalike Targeting</v></cell><cell r="W1456" t="str"><v>Canvas Ad</v></cell><cell r="X1456" t="str"><v>1x1</v></cell></row><row r="1456"><cell r="AA1456"><v>43292</v></cell><cell r="AB1456" t="str"><v>USA_gaPMG_AZR_AZR_Q1_19_Direct-Social</v></cell><cell r="AC1456"><v>21358715</v></cell><cell r="AD1456"><v>720197</v></cell><cell r="AE1456" t="str"><v>Facebook</v></cell><cell r="AF1456"><v>3654128</v></cell><cell r="AG1456" t="str"><v>FACEBOOK»USA-Trial-ITD-Trial PayGo Lookalike-AZR-AZR»1 x 1»SocialBan»CAN»ALL»CPA»LAL»X»NA»SS»NA»FBCTCBrandinMotion»PRC1Q3</v></cell><cell r="AH1456"><v>223935349</v></cell><cell r="AI1456" t="str"><v>AzurePlatform_FBCTCBrandinMotion_USA_10s_CAN_PLATFORM_English_Trial_Standard_STAN_TIN_T2_2</v></cell><cell r="AJ1456"><v>103032823</v></cell></row><row r="1457"><cell r="C1457" t="str"><v>43292FACEBOOK»USA-Trial-ITD-Trial PayGo Lookalike-AZR-AZR»1 x 1»SocialBan»LIA»ALL»CPA»LAL»X»NA»SS»NA»FreeAcctDeveloperFB-AnimatedGeneric-Ch1»PRC1Q6</v></cell><cell r="D1457" t="str"><v>43292224106129</v></cell><cell r="E1457" t="str"><v>43292103176851PRC1Q6</v></cell><cell r="F1457" t="str"><v>DCM</v></cell><cell r="G1457" t="str"><v>https://azure.microsoft.com/en-us/free/search/?OCID=AID%eexcid!_OLA_%ebuy!_%epid!_%ecid!</v></cell></row><row r="1457"><cell r="K1457" t="str"><v>July</v></cell><cell r="L1457"><v>43295</v></cell><cell r="M1457" t="str"><v>Tier 0</v></cell><cell r="N1457" t="str"><v>North America</v></cell><cell r="O1457" t="str"><v>United States</v></cell><cell r="P1457" t="str"><v>Trial</v></cell><cell r="Q1457" t="str"><v>Social</v></cell><cell r="R1457" t="str"><v>Azure</v></cell><cell r="S1457" t="str"><v>Apps & Infra</v></cell><cell r="T1457" t="str"><v>Developers & ITI's</v></cell><cell r="U1457" t="str"><v>USA-Trial-ITD-Trial PayGo Lookalike-AZR-AZR</v></cell><cell r="V1457" t="str"><v>Lookalike Targeting</v></cell><cell r="W1457" t="str"><v>Link Ad</v></cell><cell r="X1457" t="str"><v>1x1</v></cell></row><row r="1457"><cell r="AA1457"><v>43292</v></cell><cell r="AB1457" t="str"><v>USA_gaPMG_AZR_AZR_Q1_19_Direct-Social</v></cell><cell r="AC1457"><v>21358715</v></cell><cell r="AD1457"><v>720197</v></cell><cell r="AE1457" t="str"><v>Facebook</v></cell><cell r="AF1457"><v>3654128</v></cell><cell r="AG1457" t="str"><v>FACEBOOK»USA-Trial-ITD-Trial PayGo Lookalike-AZR-AZR»1 x 1»SocialBan»LIA»ALL»CPA»LAL»X»NA»SS»NA»FreeAcctDeveloperFB-AnimatedGeneric-Ch1»PRC1Q6</v></cell><cell r="AH1457"><v>224106129</v></cell><cell r="AI1457" t="str"><v>AZR_FreeAcctDeveloperFB-AnimatedGeneric-Ch1_USA_1200x1200_CAN_Direct_English_Trial_Standard_ANI_LEA_T1_2</v></cell><cell r="AJ1457"><v>103176851</v></cell></row><row r="1458"><cell r="C1458" t="str"><v>43292FACEBOOK»USA-Trial-ITD-Interest Prospecting-AZR-AZR»1 x 1»SocialBan»LIA»ALL»CPA»PRO»X»NA»SS»NA»FreeAcctDeveloperFB-AnimatedAI-Ch3»PRC1T2</v></cell><cell r="D1458" t="str"><v>43292223862765</v></cell><cell r="E1458" t="str"><v>43292103032778PRC1T2</v></cell><cell r="F1458" t="str"><v>DCM</v></cell></row><row r="1458"><cell r="K1458" t="str"><v>July</v></cell><cell r="L1458"><v>43295</v></cell><cell r="M1458" t="str"><v>Tier 0</v></cell><cell r="N1458" t="str"><v>North America</v></cell><cell r="O1458" t="str"><v>United States</v></cell><cell r="P1458" t="str"><v>Trial</v></cell><cell r="Q1458" t="str"><v>Social</v></cell><cell r="R1458" t="str"><v>Azure</v></cell><cell r="S1458" t="str"><v>Apps & Infra</v></cell><cell r="T1458" t="str"><v>Developers & ITI's</v></cell><cell r="U1458" t="str"><v>USA-Trial-ITD-Interest Prospecting-AZR-AZR</v></cell><cell r="V1458" t="str"><v>Prospecting</v></cell><cell r="W1458" t="str"><v>Link Ad</v></cell><cell r="X1458" t="str"><v>1x1</v></cell></row><row r="1458"><cell r="AA1458"><v>43292</v></cell><cell r="AB1458" t="str"><v>USA_gaPMG_AZR_AZR_Q1_19_Direct-Social</v></cell><cell r="AC1458"><v>21358715</v></cell><cell r="AD1458"><v>720197</v></cell><cell r="AE1458" t="str"><v>Facebook</v></cell><cell r="AF1458"><v>3654128</v></cell><cell r="AG1458" t="str"><v>FACEBOOK»USA-Trial-ITD-Interest Prospecting-AZR-AZR»1 x 1»SocialBan»LIA»ALL»CPA»PRO»X»NA»SS»NA»FreeAcctDeveloperFB-AnimatedAI-Ch3»PRC1T2</v></cell><cell r="AH1458"><v>223862765</v></cell><cell r="AI1458" t="str"><v>AZR_FreeAcctDeveloperFB-AnimatedAI-Ch3_USA_1200x1200_CAN_Direct_English_Trial_Standard_ANI_LEA_T3_1</v></cell><cell r="AJ1458"><v>103032778</v></cell></row><row r="1459"><cell r="C1459" t="str"><v>43292FACEBOOK»USA-Trial-ITD-Interest Prospecting-AZR-AZR»1 x 1»SocialBan»LIA»ALL»CPA»PRO»X»NA»SS»NA»FreeAcctDeveloperFB-AnimatedData-Ch4»PRC1T3</v></cell><cell r="D1459" t="str"><v>43292223863380</v></cell><cell r="E1459" t="str"><v>43292103037935PRC1T3</v></cell><cell r="F1459" t="str"><v>DCM</v></cell></row><row r="1459"><cell r="K1459" t="str"><v>July</v></cell><cell r="L1459"><v>43295</v></cell><cell r="M1459" t="str"><v>Tier 0</v></cell><cell r="N1459" t="str"><v>North America</v></cell><cell r="O1459" t="str"><v>United States</v></cell><cell r="P1459" t="str"><v>Trial</v></cell><cell r="Q1459" t="str"><v>Social</v></cell><cell r="R1459" t="str"><v>Azure</v></cell><cell r="S1459" t="str"><v>Apps & Infra</v></cell><cell r="T1459" t="str"><v>Developers & ITI's</v></cell><cell r="U1459" t="str"><v>USA-Trial-ITD-Interest Prospecting-AZR-AZR</v></cell><cell r="V1459" t="str"><v>Prospecting</v></cell><cell r="W1459" t="str"><v>Link Ad</v></cell><cell r="X1459" t="str"><v>1x1</v></cell></row><row r="1459"><cell r="AA1459"><v>43292</v></cell><cell r="AB1459" t="str"><v>USA_gaPMG_AZR_AZR_Q1_19_Direct-Social</v></cell><cell r="AC1459"><v>21358715</v></cell><cell r="AD1459"><v>720197</v></cell><cell r="AE1459" t="str"><v>Facebook</v></cell><cell r="AF1459"><v>3654128</v></cell><cell r="AG1459" t="str"><v>FACEBOOK»USA-Trial-ITD-Interest Prospecting-AZR-AZR»1 x 1»SocialBan»LIA»ALL»CPA»PRO»X»NA»SS»NA»FreeAcctDeveloperFB-AnimatedData-Ch4»PRC1T3</v></cell><cell r="AH1459"><v>223863380</v></cell><cell r="AI1459" t="str"><v>AZR_FreeAcctDeveloperFB-AnimatedData-Ch4_USA_1200x1200_CAN_Direct_English_Trial_Standard_ANI_LEA_T4_2</v></cell><cell r="AJ1459"><v>103037935</v></cell></row><row r="1460"><cell r="C1460" t="str"><v>43292FACEBOOK»USA-Trial-ITD-Interest Prospecting-AZR-AZR»1 x 1»SocialBan»LIA»ALL»CPA»PRO»X»NA»SS»NA»FreeAcctDeveloperFB-AnimatedOpenSource-Ch2»PRC1T1</v></cell><cell r="D1460" t="str"><v>43292223862885</v></cell><cell r="E1460" t="str"><v>43292103048329PRC1T1</v></cell><cell r="F1460" t="str"><v>DCM</v></cell><cell r="G1460" t="str"><v>https://azure.microsoft.com/en-us/free/open-source/search/?OCID=AID%eexcid!_OLA_%ebuy!_%epid!_%ecid!</v></cell></row><row r="1460"><cell r="K1460" t="str"><v>July</v></cell><cell r="L1460"><v>43295</v></cell><cell r="M1460" t="str"><v>Tier 0</v></cell><cell r="N1460" t="str"><v>North America</v></cell><cell r="O1460" t="str"><v>United States</v></cell><cell r="P1460" t="str"><v>Trial</v></cell><cell r="Q1460" t="str"><v>Social</v></cell><cell r="R1460" t="str"><v>Azure</v></cell><cell r="S1460" t="str"><v>Apps & Infra</v></cell><cell r="T1460" t="str"><v>Developers & ITI's</v></cell><cell r="U1460" t="str"><v>USA-Trial-ITD-Interest Prospecting-AZR-AZR</v></cell><cell r="V1460" t="str"><v>Prospecting</v></cell><cell r="W1460" t="str"><v>Link Ad</v></cell><cell r="X1460" t="str"><v>1x1</v></cell></row><row r="1460"><cell r="AA1460"><v>43292</v></cell><cell r="AB1460" t="str"><v>USA_gaPMG_AZR_AZR_Q1_19_Direct-Social</v></cell><cell r="AC1460"><v>21358715</v></cell><cell r="AD1460"><v>720197</v></cell><cell r="AE1460" t="str"><v>Facebook</v></cell><cell r="AF1460"><v>3654128</v></cell><cell r="AG1460" t="str"><v>FACEBOOK»USA-Trial-ITD-Interest Prospecting-AZR-AZR»1 x 1»SocialBan»LIA»ALL»CPA»PRO»X»NA»SS»NA»FreeAcctDeveloperFB-AnimatedOpenSource-Ch2»PRC1T1</v></cell><cell r="AH1460"><v>223862885</v></cell><cell r="AI1460" t="str"><v>AZR_FreeAcctDeveloperFB-AnimatedOpenSource-Ch2_USA_1200x1200_CAN_Direct_English_Trial_Standard_ANI_LEA_T2_1</v></cell><cell r="AJ1460"><v>103048329</v></cell></row><row r="1461"><cell r="C1461" t="str"><v>43292FACEBOOK»USA-Trial-ITD-Interest Prospecting-AZR-AZR»1 x 1»SocialBan»LIA»ALL»CPA»PRO»X»NA»SS»NA»FreeAcctITProFB-AnimatedMigration-Ch3»PRC1X2</v></cell><cell r="D1461" t="str"><v>43292224106954</v></cell><cell r="E1461" t="str"><v>43292103176827PRC1X2</v></cell><cell r="F1461" t="str"><v>DCM</v></cell></row><row r="1461"><cell r="K1461" t="str"><v>July</v></cell><cell r="L1461"><v>43295</v></cell><cell r="M1461" t="str"><v>Tier 0</v></cell><cell r="N1461" t="str"><v>North America</v></cell><cell r="O1461" t="str"><v>United States</v></cell><cell r="P1461" t="str"><v>Trial</v></cell><cell r="Q1461" t="str"><v>Social</v></cell><cell r="R1461" t="str"><v>Azure</v></cell><cell r="S1461" t="str"><v>Apps & Infra</v></cell><cell r="T1461" t="str"><v>Developers & ITI's</v></cell><cell r="U1461" t="str"><v>USA-Trial-ITD-Interest Prospecting-AZR-AZR</v></cell><cell r="V1461" t="str"><v>Prospecting</v></cell><cell r="W1461" t="str"><v>Link Ad</v></cell><cell r="X1461" t="str"><v>1x1</v></cell></row><row r="1461"><cell r="AA1461"><v>43292</v></cell><cell r="AB1461" t="str"><v>USA_gaPMG_AZR_AZR_Q1_19_Direct-Social</v></cell><cell r="AC1461"><v>21358715</v></cell><cell r="AD1461"><v>720197</v></cell><cell r="AE1461" t="str"><v>Facebook</v></cell><cell r="AF1461"><v>3654128</v></cell><cell r="AG1461" t="str"><v>FACEBOOK»USA-Trial-ITD-Interest Prospecting-AZR-AZR»1 x 1»SocialBan»LIA»ALL»CPA»PRO»X»NA»SS»NA»FreeAcctITProFB-AnimatedMigration-Ch3»PRC1X2</v></cell><cell r="AH1461"><v>224106954</v></cell><cell r="AI1461" t="str"><v>AZR_FreeAcctITProFB-AnimatedMigration-Ch3_USA_1200x1200_CAN_Direct_English_Trial_Standard_ANI_LEA_T3_1</v></cell><cell r="AJ1461"><v>103176827</v></cell></row><row r="1462"><cell r="C1462" t="str"><v>43292FACEBOOK»USA-Trial-ITD-Lead Completes-AZR-AZR»1 x 1»SocialBan»LIA»ALL»CPA»PRO»X»NA»SS»NA»FreeAcctDeveloperFB-AnimatedAI-Ch3»PRC1W1</v></cell><cell r="D1462" t="str"><v>43292223933096</v></cell><cell r="E1462" t="str"><v>43292103032778PRC1W1</v></cell><cell r="F1462" t="str"><v>DCM</v></cell></row><row r="1462"><cell r="K1462" t="str"><v>July</v></cell><cell r="L1462"><v>43295</v></cell><cell r="M1462" t="str"><v>Tier 0</v></cell><cell r="N1462" t="str"><v>North America</v></cell><cell r="O1462" t="str"><v>United States</v></cell><cell r="P1462" t="str"><v>Trial</v></cell><cell r="Q1462" t="str"><v>Social</v></cell><cell r="R1462" t="str"><v>Azure</v></cell><cell r="S1462" t="str"><v>Apps & Infra</v></cell><cell r="T1462" t="str"><v>Developers & ITI's</v></cell><cell r="U1462" t="str"><v>USA-Trial-ITD-Lead Completes-AZR-AZR</v></cell><cell r="V1462" t="str"><v>Prospecting</v></cell><cell r="W1462" t="str"><v>Link Ad</v></cell><cell r="X1462" t="str"><v>1x1</v></cell></row><row r="1462"><cell r="AA1462"><v>43292</v></cell><cell r="AB1462" t="str"><v>USA_gaPMG_AZR_AZR_Q1_19_Direct-Social</v></cell><cell r="AC1462"><v>21358715</v></cell><cell r="AD1462"><v>720197</v></cell><cell r="AE1462" t="str"><v>Facebook</v></cell><cell r="AF1462"><v>3654128</v></cell><cell r="AG1462" t="str"><v>FACEBOOK»USA-Trial-ITD-Lead Completes-AZR-AZR»1 x 1»SocialBan»LIA»ALL»CPA»PRO»X»NA»SS»NA»FreeAcctDeveloperFB-AnimatedAI-Ch3»PRC1W1</v></cell><cell r="AH1462"><v>223933096</v></cell><cell r="AI1462" t="str"><v>AZR_FreeAcctDeveloperFB-AnimatedAI-Ch3_USA_1200x1200_CAN_Direct_English_Trial_Standard_ANI_LEA_T3_1</v></cell><cell r="AJ1462"><v>103032778</v></cell></row><row r="1463"><cell r="C1463" t="str"><v>43292FACEBOOK»USA-Trial-ITD-Lead Completes-AZR-AZR»1 x 1»SocialBan»LIA»ALL»CPA»PRO»X»NA»SS»NA»FreeAcctDeveloperFB-AnimatedData-Ch4»PRC1W3</v></cell><cell r="D1463" t="str"><v>43292223862711</v></cell><cell r="E1463" t="str"><v>43292103037935PRC1W3</v></cell><cell r="F1463" t="str"><v>DCM</v></cell></row><row r="1463"><cell r="K1463" t="str"><v>July</v></cell><cell r="L1463"><v>43295</v></cell><cell r="M1463" t="str"><v>Tier 0</v></cell><cell r="N1463" t="str"><v>North America</v></cell><cell r="O1463" t="str"><v>United States</v></cell><cell r="P1463" t="str"><v>Trial</v></cell><cell r="Q1463" t="str"><v>Social</v></cell><cell r="R1463" t="str"><v>Azure</v></cell><cell r="S1463" t="str"><v>Apps & Infra</v></cell><cell r="T1463" t="str"><v>Developers & ITI's</v></cell><cell r="U1463" t="str"><v>USA-Trial-ITD-Lead Completes-AZR-AZR</v></cell><cell r="V1463" t="str"><v>Prospecting</v></cell><cell r="W1463" t="str"><v>Link Ad</v></cell><cell r="X1463" t="str"><v>1x1</v></cell></row><row r="1463"><cell r="AA1463"><v>43292</v></cell><cell r="AB1463" t="str"><v>USA_gaPMG_AZR_AZR_Q1_19_Direct-Social</v></cell><cell r="AC1463"><v>21358715</v></cell><cell r="AD1463"><v>720197</v></cell><cell r="AE1463" t="str"><v>Facebook</v></cell><cell r="AF1463"><v>3654128</v></cell><cell r="AG1463" t="str"><v>FACEBOOK»USA-Trial-ITD-Lead Completes-AZR-AZR»1 x 1»SocialBan»LIA»ALL»CPA»PRO»X»NA»SS»NA»FreeAcctDeveloperFB-AnimatedData-Ch4»PRC1W3</v></cell><cell r="AH1463"><v>223862711</v></cell><cell r="AI1463" t="str"><v>AZR_FreeAcctDeveloperFB-AnimatedData-Ch4_USA_1200x1200_CAN_Direct_English_Trial_Standard_ANI_LEA_T4_2</v></cell><cell r="AJ1463"><v>103037935</v></cell></row><row r="1464"><cell r="C1464" t="str"><v>43292FACEBOOK»USA-Trial-ITD-Lead Completes-AZR-AZR»1 x 1»SocialBan»LIA»ALL»CPA»PRO»X»NA»SS»NA»FreeAcctDeveloperFB-AnimatedOpenSource-Ch2»PRC1W0</v></cell><cell r="D1464" t="str"><v>43292223933108</v></cell><cell r="E1464" t="str"><v>43292103048329PRC1W0</v></cell><cell r="F1464" t="str"><v>DCM</v></cell><cell r="G1464" t="str"><v>https://azure.microsoft.com/en-us/free/open-source/search/?OCID=AID%eexcid!_OLA_%ebuy!_%epid!_%ecid!</v></cell></row><row r="1464"><cell r="K1464" t="str"><v>July</v></cell><cell r="L1464"><v>43295</v></cell><cell r="M1464" t="str"><v>Tier 0</v></cell><cell r="N1464" t="str"><v>North America</v></cell><cell r="O1464" t="str"><v>United States</v></cell><cell r="P1464" t="str"><v>Trial</v></cell><cell r="Q1464" t="str"><v>Social</v></cell><cell r="R1464" t="str"><v>Azure</v></cell><cell r="S1464" t="str"><v>Apps & Infra</v></cell><cell r="T1464" t="str"><v>Developers & ITI's</v></cell><cell r="U1464" t="str"><v>USA-Trial-ITD-Lead Completes-AZR-AZR</v></cell><cell r="V1464" t="str"><v>Prospecting</v></cell><cell r="W1464" t="str"><v>Link Ad</v></cell><cell r="X1464" t="str"><v>1x1</v></cell></row><row r="1464"><cell r="AA1464"><v>43292</v></cell><cell r="AB1464" t="str"><v>USA_gaPMG_AZR_AZR_Q1_19_Direct-Social</v></cell><cell r="AC1464"><v>21358715</v></cell><cell r="AD1464"><v>720197</v></cell><cell r="AE1464" t="str"><v>Facebook</v></cell><cell r="AF1464"><v>3654128</v></cell><cell r="AG1464" t="str"><v>FACEBOOK»USA-Trial-ITD-Lead Completes-AZR-AZR»1 x 1»SocialBan»LIA»ALL»CPA»PRO»X»NA»SS»NA»FreeAcctDeveloperFB-AnimatedOpenSource-Ch2»PRC1W0</v></cell><cell r="AH1464"><v>223933108</v></cell><cell r="AI1464" t="str"><v>AZR_FreeAcctDeveloperFB-AnimatedOpenSource-Ch2_USA_1200x1200_CAN_Direct_English_Trial_Standard_ANI_LEA_T2_1</v></cell><cell r="AJ1464"><v>103048329</v></cell></row><row r="1465"><cell r="C1465" t="str"><v>43292FACEBOOK»USA-Trial-ITD-Lead Completes-AZR-AZR»1 x 1»SocialBan»LIA»ALL»CPA»PRO»X»NA»SS»NA»FreeAcctITProFB-AnimatedHybrid-Ch2»PRC1W5</v></cell><cell r="D1465" t="str"><v>43292224106033</v></cell><cell r="E1465" t="str"><v>43292103180583PRC1W5</v></cell><cell r="F1465" t="str"><v>DCM</v></cell></row><row r="1465"><cell r="K1465" t="str"><v>July</v></cell><cell r="L1465"><v>43295</v></cell><cell r="M1465" t="str"><v>Tier 0</v></cell><cell r="N1465" t="str"><v>North America</v></cell><cell r="O1465" t="str"><v>United States</v></cell><cell r="P1465" t="str"><v>Trial</v></cell><cell r="Q1465" t="str"><v>Social</v></cell><cell r="R1465" t="str"><v>Azure</v></cell><cell r="S1465" t="str"><v>Apps & Infra</v></cell><cell r="T1465" t="str"><v>Developers & ITI's</v></cell><cell r="U1465" t="str"><v>USA-Trial-ITD-Lead Completes-AZR-AZR</v></cell><cell r="V1465" t="str"><v>Prospecting</v></cell><cell r="W1465" t="str"><v>Link Ad</v></cell><cell r="X1465" t="str"><v>1x1</v></cell></row><row r="1465"><cell r="AA1465"><v>43292</v></cell><cell r="AB1465" t="str"><v>USA_gaPMG_AZR_AZR_Q1_19_Direct-Social</v></cell><cell r="AC1465"><v>21358715</v></cell><cell r="AD1465"><v>720197</v></cell><cell r="AE1465" t="str"><v>Facebook</v></cell><cell r="AF1465"><v>3654128</v></cell><cell r="AG1465" t="str"><v>FACEBOOK»USA-Trial-ITD-Lead Completes-AZR-AZR»1 x 1»SocialBan»LIA»ALL»CPA»PRO»X»NA»SS»NA»FreeAcctITProFB-AnimatedHybrid-Ch2»PRC1W5</v></cell><cell r="AH1465"><v>224106033</v></cell><cell r="AI1465" t="str"><v>AZR_FreeAcctITProFB-AnimatedHybrid-Ch2_USA_1200x1200_CAN_Direct_English_Trial_Standard_ANI_LEA_T2_2</v></cell><cell r="AJ1465"><v>103180583</v></cell></row><row r="1466"><cell r="C1466" t="str"><v>43292FACEBOOK»USA-Trial-ITD-Lead Completes-AZR-AZR»1 x 1»SocialBan»LIA»ALL»CPA»PRO»X»NA»SS»NA»FreeAcctITProFB-AnimatedSecureMngd-Ch1»PRC1W4</v></cell><cell r="D1466" t="str"><v>43292223862153</v></cell><cell r="E1466" t="str"><v>43292103176830PRC1W4</v></cell><cell r="F1466" t="str"><v>DCM</v></cell></row><row r="1466"><cell r="K1466" t="str"><v>July</v></cell><cell r="L1466"><v>43295</v></cell><cell r="M1466" t="str"><v>Tier 0</v></cell><cell r="N1466" t="str"><v>North America</v></cell><cell r="O1466" t="str"><v>United States</v></cell><cell r="P1466" t="str"><v>Trial</v></cell><cell r="Q1466" t="str"><v>Social</v></cell><cell r="R1466" t="str"><v>Azure</v></cell><cell r="S1466" t="str"><v>Apps & Infra</v></cell><cell r="T1466" t="str"><v>Developers & ITI's</v></cell><cell r="U1466" t="str"><v>USA-Trial-ITD-Lead Completes-AZR-AZR</v></cell><cell r="V1466" t="str"><v>Prospecting</v></cell><cell r="W1466" t="str"><v>Link Ad</v></cell><cell r="X1466" t="str"><v>1x1</v></cell></row><row r="1466"><cell r="AA1466"><v>43292</v></cell><cell r="AB1466" t="str"><v>USA_gaPMG_AZR_AZR_Q1_19_Direct-Social</v></cell><cell r="AC1466"><v>21358715</v></cell><cell r="AD1466"><v>720197</v></cell><cell r="AE1466" t="str"><v>Facebook</v></cell><cell r="AF1466"><v>3654128</v></cell><cell r="AG1466" t="str"><v>FACEBOOK»USA-Trial-ITD-Lead Completes-AZR-AZR»1 x 1»SocialBan»LIA»ALL»CPA»PRO»X»NA»SS»NA»FreeAcctITProFB-AnimatedSecureMngd-Ch1»PRC1W4</v></cell><cell r="AH1466"><v>223862153</v></cell><cell r="AI1466" t="str"><v>AZR_FreeAcctITProFB-AnimatedSecureMngd-Ch1_USA_1200x1200_CAN_Direct_English_Trial_Standard_ANI_LEA_T1_1</v></cell><cell r="AJ1466"><v>103176830</v></cell></row><row r="1467"><cell r="C1467" t="str"><v>43292FACEBOOK»USA-Trial-ITD-Lead Completes-AZR-AZR»1 x 1»SocialBan»LIA»ALL»CPA»PRO»X»NA»SS»NA»FreeAcctDeveloperFB-AnimatedGeneric-Ch1»PRC1VY</v></cell><cell r="D1467" t="str"><v>43292223862846</v></cell><cell r="E1467" t="str"><v>43292103176851PRC1VY</v></cell><cell r="F1467" t="str"><v>DCM</v></cell><cell r="G1467" t="str"><v>https://azure.microsoft.com/en-us/free/search/?OCID=AID%eexcid!_OLA_%ebuy!_%epid!_%ecid!</v></cell></row><row r="1467"><cell r="K1467" t="str"><v>July</v></cell><cell r="L1467"><v>43295</v></cell><cell r="M1467" t="str"><v>Tier 0</v></cell><cell r="N1467" t="str"><v>North America</v></cell><cell r="O1467" t="str"><v>United States</v></cell><cell r="P1467" t="str"><v>Trial</v></cell><cell r="Q1467" t="str"><v>Social</v></cell><cell r="R1467" t="str"><v>Azure</v></cell><cell r="S1467" t="str"><v>Apps & Infra</v></cell><cell r="T1467" t="str"><v>Developers & ITI's</v></cell><cell r="U1467" t="str"><v>USA-Trial-ITD-Lead Completes-AZR-AZR</v></cell><cell r="V1467" t="str"><v>Prospecting</v></cell><cell r="W1467" t="str"><v>Link Ad</v></cell><cell r="X1467" t="str"><v>1x1</v></cell></row><row r="1467"><cell r="AA1467"><v>43292</v></cell><cell r="AB1467" t="str"><v>USA_gaPMG_AZR_AZR_Q1_19_Direct-Social</v></cell><cell r="AC1467"><v>21358715</v></cell><cell r="AD1467"><v>720197</v></cell><cell r="AE1467" t="str"><v>Facebook</v></cell><cell r="AF1467"><v>3654128</v></cell><cell r="AG1467" t="str"><v>FACEBOOK»USA-Trial-ITD-Lead Completes-AZR-AZR»1 x 1»SocialBan»LIA»ALL»CPA»PRO»X»NA»SS»NA»FreeAcctDeveloperFB-AnimatedGeneric-Ch1»PRC1VY</v></cell><cell r="AH1467"><v>223862846</v></cell><cell r="AI1467" t="str"><v>AZR_FreeAcctDeveloperFB-AnimatedGeneric-Ch1_USA_1200x1200_CAN_Direct_English_Trial_Standard_ANI_LEA_T1_2</v></cell><cell r="AJ1467"><v>103176851</v></cell></row><row r="1468"><cell r="C1468" t="str"><v>43292FACEBOOK»USA-Trial-ITD-Lead Completes-AZR-AZR»1 x 1»SocialBan»LIA»ALL»CPA»PRO»X»NA»SS»NA»FreeAcctDeveloperFB-AnimatedGeneric-Ch1»PRC1VZ</v></cell><cell r="D1468" t="str"><v>43292223862852</v></cell><cell r="E1468" t="str"><v>43292103176851PRC1VZ</v></cell><cell r="F1468" t="str"><v>DCM</v></cell><cell r="G1468" t="str"><v>https://azure.microsoft.com/en-us/free/search/?OCID=AID%eexcid!_OLA_%ebuy!_%epid!_%ecid!</v></cell></row><row r="1468"><cell r="K1468" t="str"><v>July</v></cell><cell r="L1468"><v>43295</v></cell><cell r="M1468" t="str"><v>Tier 0</v></cell><cell r="N1468" t="str"><v>North America</v></cell><cell r="O1468" t="str"><v>United States</v></cell><cell r="P1468" t="str"><v>Trial</v></cell><cell r="Q1468" t="str"><v>Social</v></cell><cell r="R1468" t="str"><v>Azure</v></cell><cell r="S1468" t="str"><v>Apps & Infra</v></cell><cell r="T1468" t="str"><v>Developers & ITI's</v></cell><cell r="U1468" t="str"><v>USA-Trial-ITD-Lead Completes-AZR-AZR</v></cell><cell r="V1468" t="str"><v>Prospecting</v></cell><cell r="W1468" t="str"><v>Link Ad</v></cell><cell r="X1468" t="str"><v>1x1</v></cell></row><row r="1468"><cell r="AA1468"><v>43292</v></cell><cell r="AB1468" t="str"><v>USA_gaPMG_AZR_AZR_Q1_19_Direct-Social</v></cell><cell r="AC1468"><v>21358715</v></cell><cell r="AD1468"><v>720197</v></cell><cell r="AE1468" t="str"><v>Facebook</v></cell><cell r="AF1468"><v>3654128</v></cell><cell r="AG1468" t="str"><v>FACEBOOK»USA-Trial-ITD-Lead Completes-AZR-AZR»1 x 1»SocialBan»LIA»ALL»CPA»PRO»X»NA»SS»NA»FreeAcctDeveloperFB-AnimatedGeneric-Ch1»PRC1VZ</v></cell><cell r="AH1468"><v>223862852</v></cell><cell r="AI1468" t="str"><v>AZR_FreeAcctDeveloperFB-AnimatedGeneric-Ch1_USA_1200x1200_CAN_Direct_English_Trial_Standard_ANI_LEA_T1_2</v></cell><cell r="AJ1468"><v>103176851</v></cell></row><row r="1469"><cell r="C1469" t="str"><v>43292FACEBOOK»USA-Trial-ITD-Retargeting-AZR-AZR»1 x 1»SocialBan»LIA»ALL»CPA»RT»X»NA»SS»NA»FreeAcctDeveloperFB-AnimatedGeneric-Ch1»PRC26D</v></cell><cell r="D1469" t="str"><v>43292223862870</v></cell><cell r="E1469" t="str"><v>43292103176851PRC26D</v></cell><cell r="F1469" t="str"><v>DCM</v></cell><cell r="G1469" t="str"><v>https://azure.microsoft.com/en-us/free/search/?OCID=AID%eexcid!_OLA_%ebuy!_%epid!_%ecid!</v></cell></row><row r="1469"><cell r="K1469" t="str"><v>July</v></cell><cell r="L1469"><v>43295</v></cell><cell r="M1469" t="str"><v>Tier 0</v></cell><cell r="N1469" t="str"><v>North America</v></cell><cell r="O1469" t="str"><v>United States</v></cell><cell r="P1469" t="str"><v>Trial</v></cell><cell r="Q1469" t="str"><v>Social</v></cell><cell r="R1469" t="str"><v>Azure</v></cell><cell r="S1469" t="str"><v>Apps & Infra</v></cell><cell r="T1469" t="str"><v>Developers & ITI's</v></cell><cell r="U1469" t="str"><v>USA-Trial-ITD-Retargeting-AZR-AZR</v></cell><cell r="V1469" t="str"><v>Retargeting</v></cell><cell r="W1469" t="str"><v>Link Ad</v></cell><cell r="X1469" t="str"><v>1x1</v></cell></row><row r="1469"><cell r="AA1469"><v>43292</v></cell><cell r="AB1469" t="str"><v>USA_gaPMG_AZR_AZR_Q1_19_Direct-Social</v></cell><cell r="AC1469"><v>21358715</v></cell><cell r="AD1469"><v>720197</v></cell><cell r="AE1469" t="str"><v>Facebook</v></cell><cell r="AF1469"><v>3654128</v></cell><cell r="AG1469" t="str"><v>FACEBOOK»USA-Trial-ITD-Retargeting-AZR-AZR»1 x 1»SocialBan»LIA»ALL»CPA»RT»X»NA»SS»NA»FreeAcctDeveloperFB-AnimatedGeneric-Ch1»PRC26D</v></cell><cell r="AH1469"><v>223862870</v></cell><cell r="AI1469" t="str"><v>AZR_FreeAcctDeveloperFB-AnimatedGeneric-Ch1_USA_1200x1200_CAN_Direct_English_Trial_Standard_ANI_LEA_T1_2</v></cell><cell r="AJ1469"><v>103176851</v></cell></row><row r="1470"><cell r="C1470" t="str"><v>43292FACEBOOK»USA-Trial-ITD-Retargeting-AZR-AZR»1 x 1»SocialBan»LIA»ALL»CPA»RT»X»NA»SS»NA»FreeAcctRetargetingOSSFB-Logos-ChG»PRC1S2</v></cell><cell r="D1470" t="str"><v>43292224106063</v></cell><cell r="E1470" t="str"><v>43292103176008PRC1S2</v></cell><cell r="F1470" t="str"><v>DCM</v></cell><cell r="G1470" t="str"><v>https://azure.microsoft.com/en-us/free/open-source/search/?OCID=AID%eexcid!_OLA_%ebuy!_%epid!_%ecid!</v></cell></row><row r="1470"><cell r="K1470" t="str"><v>July</v></cell><cell r="L1470"><v>43295</v></cell><cell r="M1470" t="str"><v>Tier 0</v></cell><cell r="N1470" t="str"><v>North America</v></cell><cell r="O1470" t="str"><v>United States</v></cell><cell r="P1470" t="str"><v>Trial</v></cell><cell r="Q1470" t="str"><v>Social</v></cell><cell r="R1470" t="str"><v>Azure</v></cell><cell r="S1470" t="str"><v>Apps & Infra</v></cell><cell r="T1470" t="str"><v>Developers & ITI's</v></cell><cell r="U1470" t="str"><v>USA-Trial-ITD-Retargeting-AZR-AZR</v></cell><cell r="V1470" t="str"><v>Retargeting</v></cell><cell r="W1470" t="str"><v>Link Ad</v></cell><cell r="X1470" t="str"><v>1x1</v></cell></row><row r="1470"><cell r="AA1470"><v>43292</v></cell><cell r="AB1470" t="str"><v>USA_gaPMG_AZR_AZR_Q1_19_Direct-Social</v></cell><cell r="AC1470"><v>21358715</v></cell><cell r="AD1470"><v>720197</v></cell><cell r="AE1470" t="str"><v>Facebook</v></cell><cell r="AF1470"><v>3654128</v></cell><cell r="AG1470" t="str"><v>FACEBOOK»USA-Trial-ITD-Retargeting-AZR-AZR»1 x 1»SocialBan»LIA»ALL»CPA»RT»X»NA»SS»NA»FreeAcctRetargetingOSSFB-Logos-ChG»PRC1S2</v></cell><cell r="AH1470"><v>224106063</v></cell><cell r="AI1470" t="str"><v>AzurePlatform_FreeAcctRetargetingOSSFB-Logos-ChG_USA_1200x628_CAN_PLATFORM_English_Free Account_Standard_NA_SINU_T2_1</v></cell><cell r="AJ1470"><v>103176008</v></cell></row><row r="1471"><cell r="C1471" t="str"><v>43292FACEBOOK»USA-Trial-ITD-Retargeting-AZR-AZR»1 x 1»SocialBan»LIA»ALL»CPA»RT»X»NA»SS»NA»FreeAcctRetargetingOSSFB-Text-ChF»PRC1S1</v></cell><cell r="D1471" t="str"><v>43292223862753</v></cell><cell r="E1471" t="str"><v>43292103176869PRC1S1</v></cell><cell r="F1471" t="str"><v>DCM</v></cell><cell r="G1471" t="str"><v>https://azure.microsoft.com/en-us/free/open-source/search/?OCID=AID%eexcid!_OLA_%ebuy!_%epid!_%ecid!</v></cell></row><row r="1471"><cell r="K1471" t="str"><v>July</v></cell><cell r="L1471"><v>43295</v></cell><cell r="M1471" t="str"><v>Tier 0</v></cell><cell r="N1471" t="str"><v>North America</v></cell><cell r="O1471" t="str"><v>United States</v></cell><cell r="P1471" t="str"><v>Trial</v></cell><cell r="Q1471" t="str"><v>Social</v></cell><cell r="R1471" t="str"><v>Azure</v></cell><cell r="S1471" t="str"><v>Apps & Infra</v></cell><cell r="T1471" t="str"><v>Developers & ITI's</v></cell><cell r="U1471" t="str"><v>USA-Trial-ITD-Retargeting-AZR-AZR</v></cell><cell r="V1471" t="str"><v>Retargeting</v></cell><cell r="W1471" t="str"><v>Link Ad</v></cell><cell r="X1471" t="str"><v>1x1</v></cell></row><row r="1471"><cell r="AA1471"><v>43292</v></cell><cell r="AB1471" t="str"><v>USA_gaPMG_AZR_AZR_Q1_19_Direct-Social</v></cell><cell r="AC1471"><v>21358715</v></cell><cell r="AD1471"><v>720197</v></cell><cell r="AE1471" t="str"><v>Facebook</v></cell><cell r="AF1471"><v>3654128</v></cell><cell r="AG1471" t="str"><v>FACEBOOK»USA-Trial-ITD-Retargeting-AZR-AZR»1 x 1»SocialBan»LIA»ALL»CPA»RT»X»NA»SS»NA»FreeAcctRetargetingOSSFB-Text-ChF»PRC1S1</v></cell><cell r="AH1471"><v>223862753</v></cell><cell r="AI1471" t="str"><v>AzurePlatform_FreeAcctRetargetingOSSFB-Text-ChF_USA_1200x628_CAN_PLATFORM_English_Free Account_Standard_NA_SINU_T1_2</v></cell><cell r="AJ1471"><v>103176869</v></cell></row><row r="1472"><cell r="C1472" t="str"><v>43292FACEBOOK»USA-Trial-ITD-Trial Lookalike-AZR-AZR»1 x 1»SocialBan»LIA»ALL»CPA»LAL»X»NA»SS»NA»FreeAcctDeveloperFB-AnimatedGeneric-Ch1»PRC1M4</v></cell><cell r="D1472" t="str"><v>43292224104941</v></cell><cell r="E1472" t="str"><v>43292103176851PRC1M4</v></cell><cell r="F1472" t="str"><v>DCM</v></cell><cell r="G1472" t="str"><v>https://azure.microsoft.com/en-us/free/search/?OCID=AID%eexcid!_OLA_%ebuy!_%epid!_%ecid!</v></cell></row><row r="1472"><cell r="K1472" t="str"><v>July</v></cell><cell r="L1472"><v>43295</v></cell><cell r="M1472" t="str"><v>Tier 0</v></cell><cell r="N1472" t="str"><v>North America</v></cell><cell r="O1472" t="str"><v>United States</v></cell><cell r="P1472" t="str"><v>Trial</v></cell><cell r="Q1472" t="str"><v>Social</v></cell><cell r="R1472" t="str"><v>Azure</v></cell><cell r="S1472" t="str"><v>Apps & Infra</v></cell><cell r="T1472" t="str"><v>Developers & ITI's</v></cell><cell r="U1472" t="str"><v>USA-Trial-ITD-Trial Lookalike-AZR-AZR</v></cell><cell r="V1472" t="str"><v>Lookalike Targeting</v></cell><cell r="W1472" t="str"><v>Link Ad</v></cell><cell r="X1472" t="str"><v>1x1</v></cell></row><row r="1472"><cell r="AA1472"><v>43292</v></cell><cell r="AB1472" t="str"><v>USA_gaPMG_AZR_AZR_Q1_19_Direct-Social</v></cell><cell r="AC1472"><v>21358715</v></cell><cell r="AD1472"><v>720197</v></cell><cell r="AE1472" t="str"><v>Facebook</v></cell><cell r="AF1472"><v>3654128</v></cell><cell r="AG1472" t="str"><v>FACEBOOK»USA-Trial-ITD-Trial Lookalike-AZR-AZR»1 x 1»SocialBan»LIA»ALL»CPA»LAL»X»NA»SS»NA»FreeAcctDeveloperFB-AnimatedGeneric-Ch1»PRC1M4</v></cell><cell r="AH1472"><v>224104941</v></cell><cell r="AI1472" t="str"><v>AZR_FreeAcctDeveloperFB-AnimatedGeneric-Ch1_USA_1200x1200_CAN_Direct_English_Trial_Standard_ANI_LEA_T1_2</v></cell><cell r="AJ1472"><v>103176851</v></cell></row><row r="1473"><cell r="C1473" t="str"><v>43292FACEBOOK»USA-Trial-ITD-Trial Lookalike-AZR-AZR»1 x 1»SocialBan»LIA»ALL»CPA»LAL»X»NA»SS»NA»FreeAcctDeveloperFB-AnimatedGeneric-Ch1»PRC1M5</v></cell><cell r="D1473" t="str"><v>43292223934083</v></cell><cell r="E1473" t="str"><v>43292103176851PRC1M5</v></cell><cell r="F1473" t="str"><v>DCM</v></cell><cell r="G1473" t="str"><v>https://azure.microsoft.com/en-us/free/search/?OCID=AID%eexcid!_OLA_%ebuy!_%epid!_%ecid!</v></cell></row><row r="1473"><cell r="K1473" t="str"><v>July</v></cell><cell r="L1473"><v>43295</v></cell><cell r="M1473" t="str"><v>Tier 0</v></cell><cell r="N1473" t="str"><v>North America</v></cell><cell r="O1473" t="str"><v>United States</v></cell><cell r="P1473" t="str"><v>Trial</v></cell><cell r="Q1473" t="str"><v>Social</v></cell><cell r="R1473" t="str"><v>Azure</v></cell><cell r="S1473" t="str"><v>Apps & Infra</v></cell><cell r="T1473" t="str"><v>Developers & ITI's</v></cell><cell r="U1473" t="str"><v>USA-Trial-ITD-Trial Lookalike-AZR-AZR</v></cell><cell r="V1473" t="str"><v>Lookalike Targeting</v></cell><cell r="W1473" t="str"><v>Link Ad</v></cell><cell r="X1473" t="str"><v>1x1</v></cell></row><row r="1473"><cell r="AA1473"><v>43292</v></cell><cell r="AB1473" t="str"><v>USA_gaPMG_AZR_AZR_Q1_19_Direct-Social</v></cell><cell r="AC1473"><v>21358715</v></cell><cell r="AD1473"><v>720197</v></cell><cell r="AE1473" t="str"><v>Facebook</v></cell><cell r="AF1473"><v>3654128</v></cell><cell r="AG1473" t="str"><v>FACEBOOK»USA-Trial-ITD-Trial Lookalike-AZR-AZR»1 x 1»SocialBan»LIA»ALL»CPA»LAL»X»NA»SS»NA»FreeAcctDeveloperFB-AnimatedGeneric-Ch1»PRC1M5</v></cell><cell r="AH1473"><v>223934083</v></cell><cell r="AI1473" t="str"><v>AZR_FreeAcctDeveloperFB-AnimatedGeneric-Ch1_USA_1200x1200_CAN_Direct_English_Trial_Standard_ANI_LEA_T1_2</v></cell><cell r="AJ1473"><v>103176851</v></cell></row><row r="1474"><cell r="C1474" t="str"><v>43292FACEBOOK»USA-Trial-ITD-Trial Lookalike-AZR-AZR»1 x 1»SocialBan»LIA»ALL»CPA»LAL»X»NA»SS»NA»FreeAcctDeveloperFB-AnimatedOpenSource-Ch2»PRC1M6</v></cell><cell r="D1474" t="str"><v>43292223935628</v></cell><cell r="E1474" t="str"><v>43292103048329PRC1M6</v></cell><cell r="F1474" t="str"><v>DCM</v></cell><cell r="G1474" t="str"><v>https://azure.microsoft.com/en-us/free/open-source/search/?OCID=AID%eexcid!_OLA_%ebuy!_%epid!_%ecid!</v></cell></row><row r="1474"><cell r="K1474" t="str"><v>July</v></cell><cell r="L1474"><v>43295</v></cell><cell r="M1474" t="str"><v>Tier 0</v></cell><cell r="N1474" t="str"><v>North America</v></cell><cell r="O1474" t="str"><v>United States</v></cell><cell r="P1474" t="str"><v>Trial</v></cell><cell r="Q1474" t="str"><v>Social</v></cell><cell r="R1474" t="str"><v>Azure</v></cell><cell r="S1474" t="str"><v>Apps & Infra</v></cell><cell r="T1474" t="str"><v>Developers & ITI's</v></cell><cell r="U1474" t="str"><v>USA-Trial-ITD-Trial Lookalike-AZR-AZR</v></cell><cell r="V1474" t="str"><v>Lookalike Targeting</v></cell><cell r="W1474" t="str"><v>Link Ad</v></cell><cell r="X1474" t="str"><v>1x1</v></cell></row><row r="1474"><cell r="AA1474"><v>43292</v></cell><cell r="AB1474" t="str"><v>USA_gaPMG_AZR_AZR_Q1_19_Direct-Social</v></cell><cell r="AC1474"><v>21358715</v></cell><cell r="AD1474"><v>720197</v></cell><cell r="AE1474" t="str"><v>Facebook</v></cell><cell r="AF1474"><v>3654128</v></cell><cell r="AG1474" t="str"><v>FACEBOOK»USA-Trial-ITD-Trial Lookalike-AZR-AZR»1 x 1»SocialBan»LIA»ALL»CPA»LAL»X»NA»SS»NA»FreeAcctDeveloperFB-AnimatedOpenSource-Ch2»PRC1M6</v></cell><cell r="AH1474"><v>223935628</v></cell><cell r="AI1474" t="str"><v>AZR_FreeAcctDeveloperFB-AnimatedOpenSource-Ch2_USA_1200x1200_CAN_Direct_English_Trial_Standard_ANI_LEA_T2_1</v></cell><cell r="AJ1474"><v>103048329</v></cell></row><row r="1475"><cell r="C1475" t="str"><v>43292FACEBOOK»USA-Trial-ITD-Trial Lookalike-AZR-AZR»1 x 1»SocialBan»LIA»ALL»CPA»LAL»X»NA»SS»NA»FreeAcctITProFB-AnimatedMigration-Ch3»PRC23N</v></cell><cell r="D1475" t="str"><v>43292223935637</v></cell><cell r="E1475" t="str"><v>43292103176827PRC23N</v></cell><cell r="F1475" t="str"><v>DCM</v></cell></row><row r="1475"><cell r="K1475" t="str"><v>July</v></cell><cell r="L1475"><v>43295</v></cell><cell r="M1475" t="str"><v>Tier 0</v></cell><cell r="N1475" t="str"><v>North America</v></cell><cell r="O1475" t="str"><v>United States</v></cell><cell r="P1475" t="str"><v>Trial</v></cell><cell r="Q1475" t="str"><v>Social</v></cell><cell r="R1475" t="str"><v>Azure</v></cell><cell r="S1475" t="str"><v>Apps & Infra</v></cell><cell r="T1475" t="str"><v>Developers & ITI's</v></cell><cell r="U1475" t="str"><v>USA-Trial-ITD-Trial Lookalike-AZR-AZR</v></cell><cell r="V1475" t="str"><v>Lookalike Targeting</v></cell><cell r="W1475" t="str"><v>Link Ad</v></cell><cell r="X1475" t="str"><v>1x1</v></cell></row><row r="1475"><cell r="AA1475"><v>43292</v></cell><cell r="AB1475" t="str"><v>USA_gaPMG_AZR_AZR_Q1_19_Direct-Social</v></cell><cell r="AC1475"><v>21358715</v></cell><cell r="AD1475"><v>720197</v></cell><cell r="AE1475" t="str"><v>Facebook</v></cell><cell r="AF1475"><v>3654128</v></cell><cell r="AG1475" t="str"><v>FACEBOOK»USA-Trial-ITD-Trial Lookalike-AZR-AZR»1 x 1»SocialBan»LIA»ALL»CPA»LAL»X»NA»SS»NA»FreeAcctITProFB-AnimatedMigration-Ch3»PRC23N</v></cell><cell r="AH1475"><v>223935637</v></cell><cell r="AI1475" t="str"><v>AZR_FreeAcctITProFB-AnimatedMigration-Ch3_USA_1200x1200_CAN_Direct_English_Trial_Standard_ANI_LEA_T3_1</v></cell><cell r="AJ1475"><v>103176827</v></cell></row><row r="1476"><cell r="C1476" t="str"><v>43292FACEBOOK»USA-Trial-ITD-Trial Lookalike-AZR-AZR»1 x 1»SocialBan»LIA»ALL»CPA»LAL»X»NA»SS»NA»FreeAcctITProFB-AnimatedSecureMngd-Ch1»PRC1M9</v></cell><cell r="D1476" t="str"><v>43292224104959</v></cell><cell r="E1476" t="str"><v>43292103176830PRC1M9</v></cell><cell r="F1476" t="str"><v>DCM</v></cell></row><row r="1476"><cell r="K1476" t="str"><v>July</v></cell><cell r="L1476"><v>43295</v></cell><cell r="M1476" t="str"><v>Tier 0</v></cell><cell r="N1476" t="str"><v>North America</v></cell><cell r="O1476" t="str"><v>United States</v></cell><cell r="P1476" t="str"><v>Trial</v></cell><cell r="Q1476" t="str"><v>Social</v></cell><cell r="R1476" t="str"><v>Azure</v></cell><cell r="S1476" t="str"><v>Apps & Infra</v></cell><cell r="T1476" t="str"><v>Developers & ITI's</v></cell><cell r="U1476" t="str"><v>USA-Trial-ITD-Trial Lookalike-AZR-AZR</v></cell><cell r="V1476" t="str"><v>Lookalike Targeting</v></cell><cell r="W1476" t="str"><v>Link Ad</v></cell><cell r="X1476" t="str"><v>1x1</v></cell></row><row r="1476"><cell r="AA1476"><v>43292</v></cell><cell r="AB1476" t="str"><v>USA_gaPMG_AZR_AZR_Q1_19_Direct-Social</v></cell><cell r="AC1476"><v>21358715</v></cell><cell r="AD1476"><v>720197</v></cell><cell r="AE1476" t="str"><v>Facebook</v></cell><cell r="AF1476"><v>3654128</v></cell><cell r="AG1476" t="str"><v>FACEBOOK»USA-Trial-ITD-Trial Lookalike-AZR-AZR»1 x 1»SocialBan»LIA»ALL»CPA»LAL»X»NA»SS»NA»FreeAcctITProFB-AnimatedSecureMngd-Ch1»PRC1M9</v></cell><cell r="AH1476"><v>224104959</v></cell><cell r="AI1476" t="str"><v>AZR_FreeAcctITProFB-AnimatedSecureMngd-Ch1_USA_1200x1200_CAN_Direct_English_Trial_Standard_ANI_LEA_T1_1</v></cell><cell r="AJ1476"><v>103176830</v></cell></row><row r="1477"><cell r="C1477" t="str"><v>43292FACEBOOK»USA-Trial-ITD-Trial Lookalike-AZR-AZR»1 x 1»SocialBan»CAN»ALL»CPA»LAL»X»NA»SS»NA»FBCTCBasicMotion»PRC1LZ</v></cell><cell r="D1477" t="str"><v>43292223862915</v></cell><cell r="E1477" t="str"><v>43292103043823PRC1LZ</v></cell><cell r="F1477" t="str"><v>DCM</v></cell><cell r="G1477" t="str"><v>https://signup.azure.com/?OCID=AID%eexcid!_OLA_%ebuy!_%epid!_%ecid!</v></cell></row><row r="1477"><cell r="K1477" t="str"><v>July</v></cell><cell r="L1477"><v>43295</v></cell><cell r="M1477" t="str"><v>Tier 0</v></cell><cell r="N1477" t="str"><v>North America</v></cell><cell r="O1477" t="str"><v>United States</v></cell><cell r="P1477" t="str"><v>Trial</v></cell><cell r="Q1477" t="str"><v>Social</v></cell><cell r="R1477" t="str"><v>Azure</v></cell><cell r="S1477" t="str"><v>Apps & Infra</v></cell><cell r="T1477" t="str"><v>Developers & ITI's</v></cell><cell r="U1477" t="str"><v>USA-Trial-ITD-Trial Lookalike-AZR-AZR</v></cell><cell r="V1477" t="str"><v>Lookalike Targeting</v></cell><cell r="W1477" t="str"><v>Canvas Ad</v></cell><cell r="X1477" t="str"><v>1x1</v></cell></row><row r="1477"><cell r="AA1477"><v>43292</v></cell><cell r="AB1477" t="str"><v>USA_gaPMG_AZR_AZR_Q1_19_Direct-Social</v></cell><cell r="AC1477"><v>21358715</v></cell><cell r="AD1477"><v>720197</v></cell><cell r="AE1477" t="str"><v>Facebook</v></cell><cell r="AF1477"><v>3654128</v></cell><cell r="AG1477" t="str"><v>FACEBOOK»USA-Trial-ITD-Trial Lookalike-AZR-AZR»1 x 1»SocialBan»CAN»ALL»CPA»LAL»X»NA»SS»NA»FBCTCBasicMotion»PRC1LZ</v></cell><cell r="AH1477"><v>223862915</v></cell><cell r="AI1477" t="str"><v>AzurePlatform_FBCTCBasicMotion_USA_10s_CAN_PLATFORM_English_Trial_Standard_STAN_TIN_T1_1</v></cell><cell r="AJ1477"><v>103043823</v></cell></row><row r="1478"><cell r="C1478" t="str"><v>43292FACEBOOK»USA-Trial-ITD-Trial Lookalike-AZR-AZR»1 x 1»SocialBan»CAN»ALL»CPA»LAL»X»NA»SS»NA»FBCTCBasicMotion»PRC1LZ</v></cell><cell r="D1478" t="str"><v>43292223862915</v></cell><cell r="E1478" t="str"><v>43292103175984PRC1LZ</v></cell><cell r="F1478" t="str"><v>DCM</v></cell><cell r="G1478" t="str"><v>https://azure.microsoft.com/en-us/pricing/purchase-options/?v=18.19&OCID=AID%eexcid!_OLA_%ebuy!_%epid!_%ecid!</v></cell></row><row r="1478"><cell r="K1478" t="str"><v>July</v></cell><cell r="L1478"><v>43295</v></cell><cell r="M1478" t="str"><v>Tier 0</v></cell><cell r="N1478" t="str"><v>North America</v></cell><cell r="O1478" t="str"><v>United States</v></cell><cell r="P1478" t="str"><v>Trial</v></cell><cell r="Q1478" t="str"><v>Social</v></cell><cell r="R1478" t="str"><v>Azure</v></cell><cell r="S1478" t="str"><v>Apps & Infra</v></cell><cell r="T1478" t="str"><v>Developers & ITI's</v></cell><cell r="U1478" t="str"><v>USA-Trial-ITD-Trial Lookalike-AZR-AZR</v></cell><cell r="V1478" t="str"><v>Lookalike Targeting</v></cell><cell r="W1478" t="str"><v>Canvas Ad</v></cell><cell r="X1478" t="str"><v>1x1</v></cell></row><row r="1478"><cell r="AA1478"><v>43292</v></cell><cell r="AB1478" t="str"><v>USA_gaPMG_AZR_AZR_Q1_19_Direct-Social</v></cell><cell r="AC1478"><v>21358715</v></cell><cell r="AD1478"><v>720197</v></cell><cell r="AE1478" t="str"><v>Facebook</v></cell><cell r="AF1478"><v>3654128</v></cell><cell r="AG1478" t="str"><v>FACEBOOK»USA-Trial-ITD-Trial Lookalike-AZR-AZR»1 x 1»SocialBan»CAN»ALL»CPA»LAL»X»NA»SS»NA»FBCTCBasicMotion»PRC1LZ</v></cell><cell r="AH1478"><v>223862915</v></cell><cell r="AI1478" t="str"><v>AzurePlatform_FBCTCBasicMotion_USA_10s_CAN_PLATFORM_English_Trial_Standard_STAN_TIN_T1_2</v></cell><cell r="AJ1478"><v>103175984</v></cell></row><row r="1479"><cell r="C1479" t="str"><v>43292FACEBOOK»USA-Trial-ITD-Trial PayGo Lookalike-AZR-AZR»1 x 1»SocialBan»CAN»ALL»CPA»LAL»X»NA»SS»NA»FBCTCBasicMotion»PRC1Q0</v></cell><cell r="D1479" t="str"><v>43292223935664</v></cell><cell r="E1479" t="str"><v>43292103043823PRC1Q0</v></cell><cell r="F1479" t="str"><v>DCM</v></cell><cell r="G1479" t="str"><v>https://signup.azure.com/?OCID=AID%eexcid!_OLA_%ebuy!_%epid!_%ecid!</v></cell></row><row r="1479"><cell r="K1479" t="str"><v>July</v></cell><cell r="L1479"><v>43295</v></cell><cell r="M1479" t="str"><v>Tier 0</v></cell><cell r="N1479" t="str"><v>North America</v></cell><cell r="O1479" t="str"><v>United States</v></cell><cell r="P1479" t="str"><v>Trial</v></cell><cell r="Q1479" t="str"><v>Social</v></cell><cell r="R1479" t="str"><v>Azure</v></cell><cell r="S1479" t="str"><v>Apps & Infra</v></cell><cell r="T1479" t="str"><v>Developers & ITI's</v></cell><cell r="U1479" t="str"><v>USA-Trial-ITD-Trial PayGo Lookalike-AZR-AZR</v></cell><cell r="V1479" t="str"><v>Lookalike Targeting</v></cell><cell r="W1479" t="str"><v>Canvas Ad</v></cell><cell r="X1479" t="str"><v>1x1</v></cell></row><row r="1479"><cell r="AA1479"><v>43292</v></cell><cell r="AB1479" t="str"><v>USA_gaPMG_AZR_AZR_Q1_19_Direct-Social</v></cell><cell r="AC1479"><v>21358715</v></cell><cell r="AD1479"><v>720197</v></cell><cell r="AE1479" t="str"><v>Facebook</v></cell><cell r="AF1479"><v>3654128</v></cell><cell r="AG1479" t="str"><v>FACEBOOK»USA-Trial-ITD-Trial PayGo Lookalike-AZR-AZR»1 x 1»SocialBan»CAN»ALL»CPA»LAL»X»NA»SS»NA»FBCTCBasicMotion»PRC1Q0</v></cell><cell r="AH1479"><v>223935664</v></cell><cell r="AI1479" t="str"><v>AzurePlatform_FBCTCBasicMotion_USA_10s_CAN_PLATFORM_English_Trial_Standard_STAN_TIN_T1_1</v></cell><cell r="AJ1479"><v>103043823</v></cell></row><row r="1480"><cell r="C1480" t="str"><v>43292FACEBOOK»USA-Trial-ITD-Trial PayGo Lookalike-AZR-AZR»1 x 1»SocialBan»CAN»ALL»CPA»LAL»X»NA»SS»NA»FBCTCBasicMotion»PRC1Q0</v></cell><cell r="D1480" t="str"><v>43292223935664</v></cell><cell r="E1480" t="str"><v>43292103175984PRC1Q0</v></cell><cell r="F1480" t="str"><v>DCM</v></cell><cell r="G1480" t="str"><v>https://azure.microsoft.com/en-us/pricing/purchase-options/?v=18.19&OCID=AID%eexcid!_OLA_%ebuy!_%epid!_%ecid!</v></cell></row><row r="1480"><cell r="K1480" t="str"><v>July</v></cell><cell r="L1480"><v>43295</v></cell><cell r="M1480" t="str"><v>Tier 0</v></cell><cell r="N1480" t="str"><v>North America</v></cell><cell r="O1480" t="str"><v>United States</v></cell><cell r="P1480" t="str"><v>Trial</v></cell><cell r="Q1480" t="str"><v>Social</v></cell><cell r="R1480" t="str"><v>Azure</v></cell><cell r="S1480" t="str"><v>Apps & Infra</v></cell><cell r="T1480" t="str"><v>Developers & ITI's</v></cell><cell r="U1480" t="str"><v>USA-Trial-ITD-Trial PayGo Lookalike-AZR-AZR</v></cell><cell r="V1480" t="str"><v>Lookalike Targeting</v></cell><cell r="W1480" t="str"><v>Canvas Ad</v></cell><cell r="X1480" t="str"><v>1x1</v></cell></row><row r="1480"><cell r="AA1480"><v>43292</v></cell><cell r="AB1480" t="str"><v>USA_gaPMG_AZR_AZR_Q1_19_Direct-Social</v></cell><cell r="AC1480"><v>21358715</v></cell><cell r="AD1480"><v>720197</v></cell><cell r="AE1480" t="str"><v>Facebook</v></cell><cell r="AF1480"><v>3654128</v></cell><cell r="AG1480" t="str"><v>FACEBOOK»USA-Trial-ITD-Trial PayGo Lookalike-AZR-AZR»1 x 1»SocialBan»CAN»ALL»CPA»LAL»X»NA»SS»NA»FBCTCBasicMotion»PRC1Q0</v></cell><cell r="AH1480"><v>223935664</v></cell><cell r="AI1480" t="str"><v>AzurePlatform_FBCTCBasicMotion_USA_10s_CAN_PLATFORM_English_Trial_Standard_STAN_TIN_T1_2</v></cell><cell r="AJ1480"><v>103175984</v></cell></row><row r="1481"><cell r="C1481" t="str"><v>43292FACEBOOK»USA-Trial-ITD-Trial PayGo Lookalike-AZR-AZR»1 x 1»SocialBan»LIA»ALL»CPA»LAL»X»NA»SS»NA»FreeAcctDeveloperFB-AnimatedAI-Ch3»PRC1Q8</v></cell><cell r="D1481" t="str"><v>43292224104983</v></cell><cell r="E1481" t="str"><v>43292103032778PRC1Q8</v></cell><cell r="F1481" t="str"><v>DCM</v></cell></row><row r="1481"><cell r="K1481" t="str"><v>July</v></cell><cell r="L1481"><v>43295</v></cell><cell r="M1481" t="str"><v>Tier 0</v></cell><cell r="N1481" t="str"><v>North America</v></cell><cell r="O1481" t="str"><v>United States</v></cell><cell r="P1481" t="str"><v>Trial</v></cell><cell r="Q1481" t="str"><v>Social</v></cell><cell r="R1481" t="str"><v>Azure</v></cell><cell r="S1481" t="str"><v>Apps & Infra</v></cell><cell r="T1481" t="str"><v>Developers & ITI's</v></cell><cell r="U1481" t="str"><v>USA-Trial-ITD-Trial PayGo Lookalike-AZR-AZR</v></cell><cell r="V1481" t="str"><v>Lookalike Targeting</v></cell><cell r="W1481" t="str"><v>Link Ad</v></cell><cell r="X1481" t="str"><v>1x1</v></cell></row><row r="1481"><cell r="AA1481"><v>43292</v></cell><cell r="AB1481" t="str"><v>USA_gaPMG_AZR_AZR_Q1_19_Direct-Social</v></cell><cell r="AC1481"><v>21358715</v></cell><cell r="AD1481"><v>720197</v></cell><cell r="AE1481" t="str"><v>Facebook</v></cell><cell r="AF1481"><v>3654128</v></cell><cell r="AG1481" t="str"><v>FACEBOOK»USA-Trial-ITD-Trial PayGo Lookalike-AZR-AZR»1 x 1»SocialBan»LIA»ALL»CPA»LAL»X»NA»SS»NA»FreeAcctDeveloperFB-AnimatedAI-Ch3»PRC1Q8</v></cell><cell r="AH1481"><v>224104983</v></cell><cell r="AI1481" t="str"><v>AZR_FreeAcctDeveloperFB-AnimatedAI-Ch3_USA_1200x1200_CAN_Direct_English_Trial_Standard_ANI_LEA_T3_1</v></cell><cell r="AJ1481"><v>103032778</v></cell></row><row r="1482"><cell r="C1482" t="str"><v>43292FACEBOOK»USA-Trial-ITD-Trial PayGo Lookalike-AZR-AZR»1 x 1»SocialBan»LIA»ALL»CPA»LAL»X»NA»SS»NA»FreeAcctDeveloperFB-AnimatedData-Ch4»PRC1Q9</v></cell><cell r="D1482" t="str"><v>43292224106990</v></cell><cell r="E1482" t="str"><v>43292103037935PRC1Q9</v></cell><cell r="F1482" t="str"><v>DCM</v></cell></row><row r="1482"><cell r="K1482" t="str"><v>July</v></cell><cell r="L1482"><v>43295</v></cell><cell r="M1482" t="str"><v>Tier 0</v></cell><cell r="N1482" t="str"><v>North America</v></cell><cell r="O1482" t="str"><v>United States</v></cell><cell r="P1482" t="str"><v>Trial</v></cell><cell r="Q1482" t="str"><v>Social</v></cell><cell r="R1482" t="str"><v>Azure</v></cell><cell r="S1482" t="str"><v>Apps & Infra</v></cell><cell r="T1482" t="str"><v>Developers & ITI's</v></cell><cell r="U1482" t="str"><v>USA-Trial-ITD-Trial PayGo Lookalike-AZR-AZR</v></cell><cell r="V1482" t="str"><v>Lookalike Targeting</v></cell><cell r="W1482" t="str"><v>Link Ad</v></cell><cell r="X1482" t="str"><v>1x1</v></cell></row><row r="1482"><cell r="AA1482"><v>43292</v></cell><cell r="AB1482" t="str"><v>USA_gaPMG_AZR_AZR_Q1_19_Direct-Social</v></cell><cell r="AC1482"><v>21358715</v></cell><cell r="AD1482"><v>720197</v></cell><cell r="AE1482" t="str"><v>Facebook</v></cell><cell r="AF1482"><v>3654128</v></cell><cell r="AG1482" t="str"><v>FACEBOOK»USA-Trial-ITD-Trial PayGo Lookalike-AZR-AZR»1 x 1»SocialBan»LIA»ALL»CPA»LAL»X»NA»SS»NA»FreeAcctDeveloperFB-AnimatedData-Ch4»PRC1Q9</v></cell><cell r="AH1482"><v>224106990</v></cell><cell r="AI1482" t="str"><v>AZR_FreeAcctDeveloperFB-AnimatedData-Ch4_USA_1200x1200_CAN_Direct_English_Trial_Standard_ANI_LEA_T4_2</v></cell><cell r="AJ1482"><v>103037935</v></cell></row><row r="1483"><cell r="C1483" t="str"><v>43292FACEBOOK»USA-Trial-ITD-Trial PayGo Lookalike-AZR-AZR»1 x 1»SocialBan»LIA»ALL»CPA»LAL»X»NA»SS»NA»FreeAcctDeveloperFB-AnimatedGeneric-Ch1»PRC1Q5</v></cell><cell r="D1483" t="str"><v>43292224104092</v></cell><cell r="E1483" t="str"><v>43292103176851PRC1Q5</v></cell><cell r="F1483" t="str"><v>DCM</v></cell><cell r="G1483" t="str"><v>https://azure.microsoft.com/en-us/free/search/?OCID=AID%eexcid!_OLA_%ebuy!_%epid!_%ecid!</v></cell></row><row r="1483"><cell r="K1483" t="str"><v>July</v></cell><cell r="L1483"><v>43295</v></cell><cell r="M1483" t="str"><v>Tier 0</v></cell><cell r="N1483" t="str"><v>North America</v></cell><cell r="O1483" t="str"><v>United States</v></cell><cell r="P1483" t="str"><v>Trial</v></cell><cell r="Q1483" t="str"><v>Social</v></cell><cell r="R1483" t="str"><v>Azure</v></cell><cell r="S1483" t="str"><v>Apps & Infra</v></cell><cell r="T1483" t="str"><v>Developers & ITI's</v></cell><cell r="U1483" t="str"><v>USA-Trial-ITD-Trial PayGo Lookalike-AZR-AZR</v></cell><cell r="V1483" t="str"><v>Lookalike Targeting</v></cell><cell r="W1483" t="str"><v>Link Ad</v></cell><cell r="X1483" t="str"><v>1x1</v></cell></row><row r="1483"><cell r="AA1483"><v>43292</v></cell><cell r="AB1483" t="str"><v>USA_gaPMG_AZR_AZR_Q1_19_Direct-Social</v></cell><cell r="AC1483"><v>21358715</v></cell><cell r="AD1483"><v>720197</v></cell><cell r="AE1483" t="str"><v>Facebook</v></cell><cell r="AF1483"><v>3654128</v></cell><cell r="AG1483" t="str"><v>FACEBOOK»USA-Trial-ITD-Trial PayGo Lookalike-AZR-AZR»1 x 1»SocialBan»LIA»ALL»CPA»LAL»X»NA»SS»NA»FreeAcctDeveloperFB-AnimatedGeneric-Ch1»PRC1Q5</v></cell><cell r="AH1483"><v>224104092</v></cell><cell r="AI1483" t="str"><v>AZR_FreeAcctDeveloperFB-AnimatedGeneric-Ch1_USA_1200x1200_CAN_Direct_English_Trial_Standard_ANI_LEA_T1_2</v></cell><cell r="AJ1483"><v>103176851</v></cell></row><row r="1484"><cell r="C1484" t="str"><v>43292FACEBOOK»USA-Trial-ITD-Trial PayGo Lookalike-AZR-AZR»1 x 1»SocialBan»LIA»ALL»CPA»LAL»X»NA»SS»NA»FreeAcctDeveloperFB-AnimatedOpenSource-Ch2»PRC1Q7</v></cell><cell r="D1484" t="str"><v>43292223862951</v></cell><cell r="E1484" t="str"><v>43292103048329PRC1Q7</v></cell><cell r="F1484" t="str"><v>DCM</v></cell><cell r="G1484" t="str"><v>https://azure.microsoft.com/en-us/free/open-source/search/?OCID=AID%eexcid!_OLA_%ebuy!_%epid!_%ecid!</v></cell></row><row r="1484"><cell r="K1484" t="str"><v>July</v></cell><cell r="L1484"><v>43295</v></cell><cell r="M1484" t="str"><v>Tier 0</v></cell><cell r="N1484" t="str"><v>North America</v></cell><cell r="O1484" t="str"><v>United States</v></cell><cell r="P1484" t="str"><v>Trial</v></cell><cell r="Q1484" t="str"><v>Social</v></cell><cell r="R1484" t="str"><v>Azure</v></cell><cell r="S1484" t="str"><v>Apps & Infra</v></cell><cell r="T1484" t="str"><v>Developers & ITI's</v></cell><cell r="U1484" t="str"><v>USA-Trial-ITD-Trial PayGo Lookalike-AZR-AZR</v></cell><cell r="V1484" t="str"><v>Lookalike Targeting</v></cell><cell r="W1484" t="str"><v>Link Ad</v></cell><cell r="X1484" t="str"><v>1x1</v></cell></row><row r="1484"><cell r="AA1484"><v>43292</v></cell><cell r="AB1484" t="str"><v>USA_gaPMG_AZR_AZR_Q1_19_Direct-Social</v></cell><cell r="AC1484"><v>21358715</v></cell><cell r="AD1484"><v>720197</v></cell><cell r="AE1484" t="str"><v>Facebook</v></cell><cell r="AF1484"><v>3654128</v></cell><cell r="AG1484" t="str"><v>FACEBOOK»USA-Trial-ITD-Trial PayGo Lookalike-AZR-AZR»1 x 1»SocialBan»LIA»ALL»CPA»LAL»X»NA»SS»NA»FreeAcctDeveloperFB-AnimatedOpenSource-Ch2»PRC1Q7</v></cell><cell r="AH1484"><v>223862951</v></cell><cell r="AI1484" t="str"><v>AZR_FreeAcctDeveloperFB-AnimatedOpenSource-Ch2_USA_1200x1200_CAN_Direct_English_Trial_Standard_ANI_LEA_T2_1</v></cell><cell r="AJ1484"><v>103048329</v></cell></row><row r="1485"><cell r="C1485" t="str"><v>43292FACEBOOK»USA-Trial-ITD-Trial PayGo Lookalike-AZR-AZR»1 x 1»SocialBan»LIA»ALL»CPA»LAL»X»NA»SS»NA»FreeAcctITProFB-AnimatedHybrid-Ch2»PRC1QC</v></cell><cell r="D1485" t="str"><v>43292223933186</v></cell><cell r="E1485" t="str"><v>43292103180583PRC1QC</v></cell><cell r="F1485" t="str"><v>DCM</v></cell></row><row r="1485"><cell r="K1485" t="str"><v>July</v></cell><cell r="L1485"><v>43295</v></cell><cell r="M1485" t="str"><v>Tier 0</v></cell><cell r="N1485" t="str"><v>North America</v></cell><cell r="O1485" t="str"><v>United States</v></cell><cell r="P1485" t="str"><v>Trial</v></cell><cell r="Q1485" t="str"><v>Social</v></cell><cell r="R1485" t="str"><v>Azure</v></cell><cell r="S1485" t="str"><v>Apps & Infra</v></cell><cell r="T1485" t="str"><v>Developers & ITI's</v></cell><cell r="U1485" t="str"><v>USA-Trial-ITD-Trial PayGo Lookalike-AZR-AZR</v></cell><cell r="V1485" t="str"><v>Lookalike Targeting</v></cell><cell r="W1485" t="str"><v>Link Ad</v></cell><cell r="X1485" t="str"><v>1x1</v></cell></row><row r="1485"><cell r="AA1485"><v>43292</v></cell><cell r="AB1485" t="str"><v>USA_gaPMG_AZR_AZR_Q1_19_Direct-Social</v></cell><cell r="AC1485"><v>21358715</v></cell><cell r="AD1485"><v>720197</v></cell><cell r="AE1485" t="str"><v>Facebook</v></cell><cell r="AF1485"><v>3654128</v></cell><cell r="AG1485" t="str"><v>FACEBOOK»USA-Trial-ITD-Trial PayGo Lookalike-AZR-AZR»1 x 1»SocialBan»LIA»ALL»CPA»LAL»X»NA»SS»NA»FreeAcctITProFB-AnimatedHybrid-Ch2»PRC1QC</v></cell><cell r="AH1485"><v>223933186</v></cell><cell r="AI1485" t="str"><v>AZR_FreeAcctITProFB-AnimatedHybrid-Ch2_USA_1200x1200_CAN_Direct_English_Trial_Standard_ANI_LEA_T2_2</v></cell><cell r="AJ1485"><v>103180583</v></cell></row><row r="1486"><cell r="C1486" t="str"><v>43292FACEBOOK»USA-Trial-ITD-Trial PayGo Lookalike-AZR-AZR»1 x 1»SocialBan»LIA»ALL»CPA»LAL»X»NA»SS»NA»FreeAcctITProFB-AnimatedMigration-Ch3»PRC23Y</v></cell><cell r="D1486" t="str"><v>43292224105904</v></cell><cell r="E1486" t="str"><v>43292103176827PRC23Y</v></cell><cell r="F1486" t="str"><v>DCM</v></cell></row><row r="1486"><cell r="K1486" t="str"><v>July</v></cell><cell r="L1486"><v>43295</v></cell><cell r="M1486" t="str"><v>Tier 0</v></cell><cell r="N1486" t="str"><v>North America</v></cell><cell r="O1486" t="str"><v>United States</v></cell><cell r="P1486" t="str"><v>Trial</v></cell><cell r="Q1486" t="str"><v>Social</v></cell><cell r="R1486" t="str"><v>Azure</v></cell><cell r="S1486" t="str"><v>Apps & Infra</v></cell><cell r="T1486" t="str"><v>Developers & ITI's</v></cell><cell r="U1486" t="str"><v>USA-Trial-ITD-Trial PayGo Lookalike-AZR-AZR</v></cell><cell r="V1486" t="str"><v>Lookalike Targeting</v></cell><cell r="W1486" t="str"><v>Link Ad</v></cell><cell r="X1486" t="str"><v>1x1</v></cell></row><row r="1486"><cell r="AA1486"><v>43292</v></cell><cell r="AB1486" t="str"><v>USA_gaPMG_AZR_AZR_Q1_19_Direct-Social</v></cell><cell r="AC1486"><v>21358715</v></cell><cell r="AD1486"><v>720197</v></cell><cell r="AE1486" t="str"><v>Facebook</v></cell><cell r="AF1486"><v>3654128</v></cell><cell r="AG1486" t="str"><v>FACEBOOK»USA-Trial-ITD-Trial PayGo Lookalike-AZR-AZR»1 x 1»SocialBan»LIA»ALL»CPA»LAL»X»NA»SS»NA»FreeAcctITProFB-AnimatedMigration-Ch3»PRC23Y</v></cell><cell r="AH1486"><v>224105904</v></cell><cell r="AI1486" t="str"><v>AZR_FreeAcctITProFB-AnimatedMigration-Ch3_USA_1200x1200_CAN_Direct_English_Trial_Standard_ANI_LEA_T3_1</v></cell><cell r="AJ1486"><v>103176827</v></cell></row><row r="1487"><cell r="C1487" t="str"><v>43292FACEBOOK»USA-Trial-ITD-Trial PayGo Lookalike-AZR-AZR»1 x 1»SocialBan»LIA»ALL»CPA»LAL»X»NA»SS»NA»FreeAcctITProFB-AnimatedSecureMngd-Ch1»PRC1QB</v></cell><cell r="D1487" t="str"><v>43292223862945</v></cell><cell r="E1487" t="str"><v>43292103176830PRC1QB</v></cell><cell r="F1487" t="str"><v>DCM</v></cell></row><row r="1487"><cell r="K1487" t="str"><v>July</v></cell><cell r="L1487"><v>43295</v></cell><cell r="M1487" t="str"><v>Tier 0</v></cell><cell r="N1487" t="str"><v>North America</v></cell><cell r="O1487" t="str"><v>United States</v></cell><cell r="P1487" t="str"><v>Trial</v></cell><cell r="Q1487" t="str"><v>Social</v></cell><cell r="R1487" t="str"><v>Azure</v></cell><cell r="S1487" t="str"><v>Apps & Infra</v></cell><cell r="T1487" t="str"><v>Developers & ITI's</v></cell><cell r="U1487" t="str"><v>USA-Trial-ITD-Trial PayGo Lookalike-AZR-AZR</v></cell><cell r="V1487" t="str"><v>Lookalike Targeting</v></cell><cell r="W1487" t="str"><v>Link Ad</v></cell><cell r="X1487" t="str"><v>1x1</v></cell></row><row r="1487"><cell r="AA1487"><v>43292</v></cell><cell r="AB1487" t="str"><v>USA_gaPMG_AZR_AZR_Q1_19_Direct-Social</v></cell><cell r="AC1487"><v>21358715</v></cell><cell r="AD1487"><v>720197</v></cell><cell r="AE1487" t="str"><v>Facebook</v></cell><cell r="AF1487"><v>3654128</v></cell><cell r="AG1487" t="str"><v>FACEBOOK»USA-Trial-ITD-Trial PayGo Lookalike-AZR-AZR»1 x 1»SocialBan»LIA»ALL»CPA»LAL»X»NA»SS»NA»FreeAcctITProFB-AnimatedSecureMngd-Ch1»PRC1QB</v></cell><cell r="AH1487"><v>223862945</v></cell><cell r="AI1487" t="str"><v>AZR_FreeAcctITProFB-AnimatedSecureMngd-Ch1_USA_1200x1200_CAN_Direct_English_Trial_Standard_ANI_LEA_T1_1</v></cell><cell r="AJ1487"><v>103176830</v></cell></row><row r="1488"><cell r="C1488" t="str"><v>43292INSTAGRAM»USA-Trial-ITD-Interest Prospecting-AZR-AZR»1 x 1»SocialBan»CAN»ALL»CPA»PRO»X»NA»SS»NA»IGCTCBrandinMotion»PRC2PB</v></cell><cell r="D1488" t="str"><v>43292223862690</v></cell><cell r="E1488" t="str"><v>43292103050783PRC2PB</v></cell><cell r="F1488" t="str"><v>DCM</v></cell><cell r="G1488" t="str"><v>https://signup.azure.com/?OCID=AID%eexcid!_OLA_%ebuy!_%epid!_%ecid!</v></cell></row><row r="1488"><cell r="K1488" t="str"><v>July</v></cell><cell r="L1488"><v>43295</v></cell><cell r="M1488" t="str"><v>Tier 0</v></cell><cell r="N1488" t="str"><v>North America</v></cell><cell r="O1488" t="str"><v>United States</v></cell><cell r="P1488" t="str"><v>Trial</v></cell><cell r="Q1488" t="str"><v>Social</v></cell><cell r="R1488" t="str"><v>Azure</v></cell><cell r="S1488" t="str"><v>Apps & Infra</v></cell><cell r="T1488" t="str"><v>Developers & ITI's</v></cell><cell r="U1488" t="str"><v>USA-Trial-ITD-Interest Prospecting-AZR-AZR</v></cell><cell r="V1488" t="str"><v>Prospecting</v></cell><cell r="W1488" t="str"><v>Canvas Ad</v></cell><cell r="X1488" t="str"><v>1x1</v></cell></row><row r="1488"><cell r="AA1488"><v>43292</v></cell><cell r="AB1488" t="str"><v>USA_gaPMG_AZR_AZR_Q1_19_Direct-Social</v></cell><cell r="AC1488"><v>21358715</v></cell><cell r="AD1488"><v>720197</v></cell><cell r="AE1488" t="str"><v>Facebook - Instagram</v></cell><cell r="AF1488"><v>3654128</v></cell><cell r="AG1488" t="str"><v>INSTAGRAM»USA-Trial-ITD-Interest Prospecting-AZR-AZR»1 x 1»SocialBan»CAN»ALL»CPA»PRO»X»NA»SS»NA»IGCTCBrandinMotion»PRC2PB</v></cell><cell r="AH1488"><v>223862690</v></cell><cell r="AI1488" t="str"><v>AzurePlatform_IGCTCBenefit2inMotion_USA_10s_CAN_PLATFORM_English_Trial_Standard_STAN_TIN_T4_1</v></cell><cell r="AJ1488"><v>103050783</v></cell></row><row r="1489"><cell r="C1489" t="str"><v>43292INSTAGRAM»USA-Trial-ITD-Retargeting-AZR-AZR»1 x 1»SocialBan»CAN»ALL»CPA»RT»X»NA»SS»NA»IGCTCBenefitinMotion»PRC2G4</v></cell><cell r="D1489" t="str"><v>43292224107536</v></cell><cell r="E1489" t="str"><v>43292103050780PRC2G4</v></cell><cell r="F1489" t="str"><v>DCM</v></cell><cell r="G1489" t="str"><v>https://signup.azure.com/?OCID=AID%eexcid!_OLA_%ebuy!_%epid!_%ecid!</v></cell></row><row r="1489"><cell r="K1489" t="str"><v>July</v></cell><cell r="L1489"><v>43295</v></cell><cell r="M1489" t="str"><v>Tier 0</v></cell><cell r="N1489" t="str"><v>North America</v></cell><cell r="O1489" t="str"><v>United States</v></cell><cell r="P1489" t="str"><v>Trial</v></cell><cell r="Q1489" t="str"><v>Social</v></cell><cell r="R1489" t="str"><v>Azure</v></cell><cell r="S1489" t="str"><v>Apps & Infra</v></cell><cell r="T1489" t="str"><v>Developers & ITI's</v></cell><cell r="U1489" t="str"><v>USA-Trial-ITD-Retargeting-AZR-AZR</v></cell><cell r="V1489" t="str"><v>Retargeting</v></cell><cell r="W1489" t="str"><v>Canvas Ad</v></cell><cell r="X1489" t="str"><v>1x1</v></cell></row><row r="1489"><cell r="AA1489"><v>43292</v></cell><cell r="AB1489" t="str"><v>USA_gaPMG_AZR_AZR_Q1_19_Direct-Social</v></cell><cell r="AC1489"><v>21358715</v></cell><cell r="AD1489"><v>720197</v></cell><cell r="AE1489" t="str"><v>Facebook - Instagram</v></cell><cell r="AF1489"><v>3654128</v></cell><cell r="AG1489" t="str"><v>INSTAGRAM»USA-Trial-ITD-Retargeting-AZR-AZR»1 x 1»SocialBan»CAN»ALL»CPA»RT»X»NA»SS»NA»IGCTCBenefitinMotion»PRC2G4</v></cell><cell r="AH1489"><v>224107536</v></cell><cell r="AI1489" t="str"><v>AzurePlatform_IGCTCBenefitinMotion_USA_10s_CAN_PLATFORM_English_Trial_Standard_STAN_TIN_T3_1</v></cell><cell r="AJ1489"><v>103050780</v></cell></row><row r="1490"><cell r="C1490" t="str"><v>43292INSTAGRAM»USA-Trial-ITD-Trial Lookalike-AZR-AZR»1 x 1»SocialBan»CAN»ALL»CPA»LAL»X»NA»SS»NA»IGCTCBrandinMotion»PRC2FH</v></cell><cell r="D1490" t="str"><v>43292223935019</v></cell><cell r="E1490" t="str"><v>43292103050783PRC2FH</v></cell><cell r="F1490" t="str"><v>DCM</v></cell><cell r="G1490" t="str"><v>https://signup.azure.com/?OCID=AID%eexcid!_OLA_%ebuy!_%epid!_%ecid!</v></cell></row><row r="1490"><cell r="K1490" t="str"><v>July</v></cell><cell r="L1490"><v>43295</v></cell><cell r="M1490" t="str"><v>Tier 0</v></cell><cell r="N1490" t="str"><v>North America</v></cell><cell r="O1490" t="str"><v>United States</v></cell><cell r="P1490" t="str"><v>Trial</v></cell><cell r="Q1490" t="str"><v>Social</v></cell><cell r="R1490" t="str"><v>Azure</v></cell><cell r="S1490" t="str"><v>Apps & Infra</v></cell><cell r="T1490" t="str"><v>Developers & ITI's</v></cell><cell r="U1490" t="str"><v>USA-Trial-ITD-Trial Lookalike-AZR-AZR</v></cell><cell r="V1490" t="str"><v>Lookalike Targeting</v></cell><cell r="W1490" t="str"><v>Canvas Ad</v></cell><cell r="X1490" t="str"><v>1x1</v></cell></row><row r="1490"><cell r="AA1490"><v>43292</v></cell><cell r="AB1490" t="str"><v>USA_gaPMG_AZR_AZR_Q1_19_Direct-Social</v></cell><cell r="AC1490"><v>21358715</v></cell><cell r="AD1490"><v>720197</v></cell><cell r="AE1490" t="str"><v>Facebook - Instagram</v></cell><cell r="AF1490"><v>3654128</v></cell><cell r="AG1490" t="str"><v>INSTAGRAM»USA-Trial-ITD-Trial Lookalike-AZR-AZR»1 x 1»SocialBan»CAN»ALL»CPA»LAL»X»NA»SS»NA»IGCTCBrandinMotion»PRC2FH</v></cell><cell r="AH1490"><v>223935019</v></cell><cell r="AI1490" t="str"><v>AzurePlatform_IGCTCBenefit2inMotion_USA_10s_CAN_PLATFORM_English_Trial_Standard_STAN_TIN_T4_1</v></cell><cell r="AJ1490"><v>103050783</v></cell></row><row r="1491"><cell r="C1491" t="str"><v>43292INSTAGRAM»USA-Trial-ITD-Trial Lookalike-AZR-AZR»1 x 1»SocialBan»CAN»ALL»CPA»LAL»X»NA»SS»NA»IGCTCBrandinMotion»PRC2FH</v></cell><cell r="D1491" t="str"><v>43292223935019</v></cell><cell r="E1491" t="str"><v>43292103178714PRC2FH</v></cell><cell r="F1491" t="str"><v>DCM</v></cell><cell r="G1491" t="str"><v>https://azure.microsoft.com/en-us/pricing/purchase-options/?v=18.19&OCID=AID%eexcid!_OLA_%ebuy!_%epid!_%ecid!</v></cell></row><row r="1491"><cell r="K1491" t="str"><v>July</v></cell><cell r="L1491"><v>43295</v></cell><cell r="M1491" t="str"><v>Tier 0</v></cell><cell r="N1491" t="str"><v>North America</v></cell><cell r="O1491" t="str"><v>United States</v></cell><cell r="P1491" t="str"><v>Trial</v></cell><cell r="Q1491" t="str"><v>Social</v></cell><cell r="R1491" t="str"><v>Azure</v></cell><cell r="S1491" t="str"><v>Apps & Infra</v></cell><cell r="T1491" t="str"><v>Developers & ITI's</v></cell><cell r="U1491" t="str"><v>USA-Trial-ITD-Trial Lookalike-AZR-AZR</v></cell><cell r="V1491" t="str"><v>Lookalike Targeting</v></cell><cell r="W1491" t="str"><v>Canvas Ad</v></cell><cell r="X1491" t="str"><v>1x1</v></cell></row><row r="1491"><cell r="AA1491"><v>43292</v></cell><cell r="AB1491" t="str"><v>USA_gaPMG_AZR_AZR_Q1_19_Direct-Social</v></cell><cell r="AC1491"><v>21358715</v></cell><cell r="AD1491"><v>720197</v></cell><cell r="AE1491" t="str"><v>Facebook - Instagram</v></cell><cell r="AF1491"><v>3654128</v></cell><cell r="AG1491" t="str"><v>INSTAGRAM»USA-Trial-ITD-Trial Lookalike-AZR-AZR»1 x 1»SocialBan»CAN»ALL»CPA»LAL»X»NA»SS»NA»IGCTCBrandinMotion»PRC2FH</v></cell><cell r="AH1491"><v>223935019</v></cell><cell r="AI1491" t="str"><v>AzurePlatform_IGCTCBenefit2inMotion_USA_10s_CAN_PLATFORM_English_Trial_Standard_STAN_TIN_T4_2</v></cell><cell r="AJ1491"><v>103178714</v></cell></row><row r="1492"><cell r="C1492" t="str"><v>43292INSTAGRAM»USA-Trial-ITD-Trial PayGo Lookalike-AZR-AZR»1 x 1»SocialBan»CAN»ALL»CPA»LAL»X»NA»SS»NA»IGCTCBrandinMotion»PRC2FW</v></cell><cell r="D1492" t="str"><v>43292223862654</v></cell><cell r="E1492" t="str"><v>43292103050783PRC2FW</v></cell><cell r="F1492" t="str"><v>DCM</v></cell><cell r="G1492" t="str"><v>https://signup.azure.com/?OCID=AID%eexcid!_OLA_%ebuy!_%epid!_%ecid!</v></cell></row><row r="1492"><cell r="K1492" t="str"><v>July</v></cell><cell r="L1492"><v>43295</v></cell><cell r="M1492" t="str"><v>Tier 0</v></cell><cell r="N1492" t="str"><v>North America</v></cell><cell r="O1492" t="str"><v>United States</v></cell><cell r="P1492" t="str"><v>Trial</v></cell><cell r="Q1492" t="str"><v>Social</v></cell><cell r="R1492" t="str"><v>Azure</v></cell><cell r="S1492" t="str"><v>Apps & Infra</v></cell><cell r="T1492" t="str"><v>Developers & ITI's</v></cell><cell r="U1492" t="str"><v>USA-Trial-ITD-Trial PayGo Lookalike-AZR-AZR</v></cell><cell r="V1492" t="str"><v>Lookalike Targeting</v></cell><cell r="W1492" t="str"><v>Canvas Ad</v></cell><cell r="X1492" t="str"><v>1x1</v></cell></row><row r="1492"><cell r="AA1492"><v>43292</v></cell><cell r="AB1492" t="str"><v>USA_gaPMG_AZR_AZR_Q1_19_Direct-Social</v></cell><cell r="AC1492"><v>21358715</v></cell><cell r="AD1492"><v>720197</v></cell><cell r="AE1492" t="str"><v>Facebook - Instagram</v></cell><cell r="AF1492"><v>3654128</v></cell><cell r="AG1492" t="str"><v>INSTAGRAM»USA-Trial-ITD-Trial PayGo Lookalike-AZR-AZR»1 x 1»SocialBan»CAN»ALL»CPA»LAL»X»NA»SS»NA»IGCTCBrandinMotion»PRC2FW</v></cell><cell r="AH1492"><v>223862654</v></cell><cell r="AI1492" t="str"><v>AzurePlatform_IGCTCBenefit2inMotion_USA_10s_CAN_PLATFORM_English_Trial_Standard_STAN_TIN_T4_1</v></cell><cell r="AJ1492"><v>103050783</v></cell></row><row r="1493"><cell r="C1493" t="str"><v>43292INSTAGRAM»USA-Trial-ITD-Trial PayGo Lookalike-AZR-AZR»1 x 1»SocialBan»CAN»ALL»CPA»LAL»X»NA»SS»NA»IGCTCBrandinMotion»PRC2FW</v></cell><cell r="D1493" t="str"><v>43292223862654</v></cell><cell r="E1493" t="str"><v>43292103178714PRC2FW</v></cell><cell r="F1493" t="str"><v>DCM</v></cell><cell r="G1493" t="str"><v>https://azure.microsoft.com/en-us/pricing/purchase-options/?v=18.19&OCID=AID%eexcid!_OLA_%ebuy!_%epid!_%ecid!</v></cell></row><row r="1493"><cell r="K1493" t="str"><v>July</v></cell><cell r="L1493"><v>43295</v></cell><cell r="M1493" t="str"><v>Tier 0</v></cell><cell r="N1493" t="str"><v>North America</v></cell><cell r="O1493" t="str"><v>United States</v></cell><cell r="P1493" t="str"><v>Trial</v></cell><cell r="Q1493" t="str"><v>Social</v></cell><cell r="R1493" t="str"><v>Azure</v></cell><cell r="S1493" t="str"><v>Apps & Infra</v></cell><cell r="T1493" t="str"><v>Developers & ITI's</v></cell><cell r="U1493" t="str"><v>USA-Trial-ITD-Trial PayGo Lookalike-AZR-AZR</v></cell><cell r="V1493" t="str"><v>Lookalike Targeting</v></cell><cell r="W1493" t="str"><v>Canvas Ad</v></cell><cell r="X1493" t="str"><v>1x1</v></cell></row><row r="1493"><cell r="AA1493"><v>43292</v></cell><cell r="AB1493" t="str"><v>USA_gaPMG_AZR_AZR_Q1_19_Direct-Social</v></cell><cell r="AC1493"><v>21358715</v></cell><cell r="AD1493"><v>720197</v></cell><cell r="AE1493" t="str"><v>Facebook - Instagram</v></cell><cell r="AF1493"><v>3654128</v></cell><cell r="AG1493" t="str"><v>INSTAGRAM»USA-Trial-ITD-Trial PayGo Lookalike-AZR-AZR»1 x 1»SocialBan»CAN»ALL»CPA»LAL»X»NA»SS»NA»IGCTCBrandinMotion»PRC2FW</v></cell><cell r="AH1493"><v>223862654</v></cell><cell r="AI1493" t="str"><v>AzurePlatform_IGCTCBenefit2inMotion_USA_10s_CAN_PLATFORM_English_Trial_Standard_STAN_TIN_T4_2</v></cell><cell r="AJ1493"><v>103178714</v></cell></row><row r="1494"><cell r="C1494" t="str"><v>43292INSTAGRAM»USA-Trial-ITD-Trial PayGo Lookalike-AZR-AZR»1 x 1»SocialBan»CAN»ALL»CPA»LAL»X»NA»SS»NA»IGCTCBenefit2inMotion»PRC2FZ</v></cell><cell r="D1494" t="str"><v>43292223933075</v></cell><cell r="E1494" t="str"><v>43292103180628PRC2FZ</v></cell><cell r="F1494" t="str"><v>DCM</v></cell><cell r="G1494" t="str"><v>https://signup.azure.com/?OCID=AID%eexcid!_OLA_%ebuy!_%epid!_%ecid!</v></cell></row><row r="1494"><cell r="K1494" t="str"><v>July</v></cell><cell r="L1494"><v>43295</v></cell><cell r="M1494" t="str"><v>Tier 0</v></cell><cell r="N1494" t="str"><v>North America</v></cell><cell r="O1494" t="str"><v>United States</v></cell><cell r="P1494" t="str"><v>Trial</v></cell><cell r="Q1494" t="str"><v>Social</v></cell><cell r="R1494" t="str"><v>Azure</v></cell><cell r="S1494" t="str"><v>Apps & Infra</v></cell><cell r="T1494" t="str"><v>Developers & ITI's</v></cell><cell r="U1494" t="str"><v>USA-Trial-ITD-Trial PayGo Lookalike-AZR-AZR</v></cell><cell r="V1494" t="str"><v>Lookalike Targeting</v></cell><cell r="W1494" t="str"><v>Canvas Ad</v></cell><cell r="X1494" t="str"><v>1x1</v></cell></row><row r="1494"><cell r="AA1494"><v>43292</v></cell><cell r="AB1494" t="str"><v>USA_gaPMG_AZR_AZR_Q1_19_Direct-Social</v></cell><cell r="AC1494"><v>21358715</v></cell><cell r="AD1494"><v>720197</v></cell><cell r="AE1494" t="str"><v>Facebook - Instagram</v></cell><cell r="AF1494"><v>3654128</v></cell><cell r="AG1494" t="str"><v>INSTAGRAM»USA-Trial-ITD-Trial PayGo Lookalike-AZR-AZR»1 x 1»SocialBan»CAN»ALL»CPA»LAL»X»NA»SS»NA»IGCTCBenefit2inMotion»PRC2FZ</v></cell><cell r="AH1494"><v>223933075</v></cell><cell r="AI1494" t="str"><v>AzurePlatform_IGCTCBrandinMotion_USA_10s_CAN_PLATFORM_English_Trial_Standard_STAN_TIN_T2_1</v></cell><cell r="AJ1494"><v>103180628</v></cell></row><row r="1495"><cell r="C1495" t="str"><v>43292INSTAGRAM»USA-Trial-ITD-Trial PayGo Lookalike-AZR-AZR»1 x 1»SocialBan»CAN»ALL»CPA»LAL»X»NA»SS»NA»IGCTCBenefit2inMotion»PRC2FZ</v></cell><cell r="D1495" t="str"><v>43292223933075</v></cell><cell r="E1495" t="str"><v>43292103050786PRC2FZ</v></cell><cell r="F1495" t="str"><v>DCM</v></cell><cell r="G1495" t="str"><v>https://azure.microsoft.com/en-us/pricing/purchase-options/?v=18.19&OCID=AID%eexcid!_OLA_%ebuy!_%epid!_%ecid!</v></cell></row><row r="1495"><cell r="K1495" t="str"><v>July</v></cell><cell r="L1495"><v>43295</v></cell><cell r="M1495" t="str"><v>Tier 0</v></cell><cell r="N1495" t="str"><v>North America</v></cell><cell r="O1495" t="str"><v>United States</v></cell><cell r="P1495" t="str"><v>Trial</v></cell><cell r="Q1495" t="str"><v>Social</v></cell><cell r="R1495" t="str"><v>Azure</v></cell><cell r="S1495" t="str"><v>Apps & Infra</v></cell><cell r="T1495" t="str"><v>Developers & ITI's</v></cell><cell r="U1495" t="str"><v>USA-Trial-ITD-Trial PayGo Lookalike-AZR-AZR</v></cell><cell r="V1495" t="str"><v>Lookalike Targeting</v></cell><cell r="W1495" t="str"><v>Canvas Ad</v></cell><cell r="X1495" t="str"><v>1x1</v></cell></row><row r="1495"><cell r="AA1495"><v>43292</v></cell><cell r="AB1495" t="str"><v>USA_gaPMG_AZR_AZR_Q1_19_Direct-Social</v></cell><cell r="AC1495"><v>21358715</v></cell><cell r="AD1495"><v>720197</v></cell><cell r="AE1495" t="str"><v>Facebook - Instagram</v></cell><cell r="AF1495"><v>3654128</v></cell><cell r="AG1495" t="str"><v>INSTAGRAM»USA-Trial-ITD-Trial PayGo Lookalike-AZR-AZR»1 x 1»SocialBan»CAN»ALL»CPA»LAL»X»NA»SS»NA»IGCTCBenefit2inMotion»PRC2FZ</v></cell><cell r="AH1495"><v>223933075</v></cell><cell r="AI1495" t="str"><v>AzurePlatform_IGCTCBrandinMotion_USA_10s_CAN_PLATFORM_English_Trial_Standard_STAN_TIN_T2_2</v></cell><cell r="AJ1495"><v>103050786</v></cell></row><row r="1496"><cell r="C1496" t="str"><v>43292INSTAGRAM»USA-Trial-ITD-Interest Prospecting-AZR-AZR»1 x 1»SocialBan»CAN»ALL»CPA»PRO»X»NA»SS»NA»IGCTCBasicMotion»PRC2PF</v></cell><cell r="D1496" t="str"><v>43292224106621</v></cell><cell r="E1496" t="str"><v>43292103037968PRC2PF</v></cell><cell r="F1496" t="str"><v>DCM</v></cell><cell r="G1496" t="str"><v>https://signup.azure.com/?OCID=AID%eexcid!_OLA_%ebuy!_%epid!_%ecid!</v></cell></row><row r="1496"><cell r="K1496" t="str"><v>July</v></cell><cell r="L1496"><v>43295</v></cell><cell r="M1496" t="str"><v>Tier 0</v></cell><cell r="N1496" t="str"><v>North America</v></cell><cell r="O1496" t="str"><v>United States</v></cell><cell r="P1496" t="str"><v>Trial</v></cell><cell r="Q1496" t="str"><v>Social</v></cell><cell r="R1496" t="str"><v>Azure</v></cell><cell r="S1496" t="str"><v>Apps & Infra</v></cell><cell r="T1496" t="str"><v>Developers & ITI's</v></cell><cell r="U1496" t="str"><v>USA-Trial-ITD-Interest Prospecting-AZR-AZR</v></cell><cell r="V1496" t="str"><v>Prospecting</v></cell><cell r="W1496" t="str"><v>Canvas Ad</v></cell><cell r="X1496" t="str"><v>1x1</v></cell></row><row r="1496"><cell r="AA1496"><v>43292</v></cell><cell r="AB1496" t="str"><v>USA_gaPMG_AZR_AZR_Q1_19_Direct-Social</v></cell><cell r="AC1496"><v>21358715</v></cell><cell r="AD1496"><v>720197</v></cell><cell r="AE1496" t="str"><v>Facebook - Instagram</v></cell><cell r="AF1496"><v>3654128</v></cell><cell r="AG1496" t="str"><v>INSTAGRAM»USA-Trial-ITD-Interest Prospecting-AZR-AZR»1 x 1»SocialBan»CAN»ALL»CPA»PRO»X»NA»SS»NA»IGCTCBasicMotion»PRC2PF</v></cell><cell r="AH1496"><v>224106621</v></cell><cell r="AI1496" t="str"><v>AzurePlatform_IGCTCBasicMotion_USA_10s_CAN_PLATFORM_English_Trial_Standard_STAN_TIN_T1_1</v></cell><cell r="AJ1496"><v>103037968</v></cell></row><row r="1497"><cell r="C1497" t="str"><v>43292INSTAGRAM»USA-Trial-ITD-Trial Lookalike-AZR-AZR»1 x 1»SocialBan»CAN»ALL»CPA»LAL»X»NA»SS»NA»IGCTCBenefitinMotion»PRC2FK</v></cell><cell r="D1497" t="str"><v>43292224107542</v></cell><cell r="E1497" t="str"><v>43292103050780PRC2FK</v></cell><cell r="F1497" t="str"><v>DCM</v></cell><cell r="G1497" t="str"><v>https://signup.azure.com/?OCID=AID%eexcid!_OLA_%ebuy!_%epid!_%ecid!</v></cell></row><row r="1497"><cell r="K1497" t="str"><v>July</v></cell><cell r="L1497"><v>43295</v></cell><cell r="M1497" t="str"><v>Tier 0</v></cell><cell r="N1497" t="str"><v>North America</v></cell><cell r="O1497" t="str"><v>United States</v></cell><cell r="P1497" t="str"><v>Trial</v></cell><cell r="Q1497" t="str"><v>Social</v></cell><cell r="R1497" t="str"><v>Azure</v></cell><cell r="S1497" t="str"><v>Apps & Infra</v></cell><cell r="T1497" t="str"><v>Developers & ITI's</v></cell><cell r="U1497" t="str"><v>USA-Trial-ITD-Trial Lookalike-AZR-AZR</v></cell><cell r="V1497" t="str"><v>Lookalike Targeting</v></cell><cell r="W1497" t="str"><v>Canvas Ad</v></cell><cell r="X1497" t="str"><v>1x1</v></cell></row><row r="1497"><cell r="AA1497"><v>43292</v></cell><cell r="AB1497" t="str"><v>USA_gaPMG_AZR_AZR_Q1_19_Direct-Social</v></cell><cell r="AC1497"><v>21358715</v></cell><cell r="AD1497"><v>720197</v></cell><cell r="AE1497" t="str"><v>Facebook - Instagram</v></cell><cell r="AF1497"><v>3654128</v></cell><cell r="AG1497" t="str"><v>INSTAGRAM»USA-Trial-ITD-Trial Lookalike-AZR-AZR»1 x 1»SocialBan»CAN»ALL»CPA»LAL»X»NA»SS»NA»IGCTCBenefitinMotion»PRC2FK</v></cell><cell r="AH1497"><v>224107542</v></cell><cell r="AI1497" t="str"><v>AzurePlatform_IGCTCBenefitinMotion_USA_10s_CAN_PLATFORM_English_Trial_Standard_STAN_TIN_T3_1</v></cell><cell r="AJ1497"><v>103050780</v></cell></row><row r="1498"><cell r="C1498" t="str"><v>43292INSTAGRAM»USA-Trial-ITD-Trial Lookalike-AZR-AZR»1 x 1»SocialBan»CAN»ALL»CPA»LAL»X»NA»SS»NA»IGCTCBenefitinMotion»PRC2FK</v></cell><cell r="D1498" t="str"><v>43292224107542</v></cell><cell r="E1498" t="str"><v>43292103180637PRC2FK</v></cell><cell r="F1498" t="str"><v>DCM</v></cell><cell r="G1498" t="str"><v>https://azure.microsoft.com/en-us/pricing/purchase-options/?v=18.19&OCID=AID%eexcid!_OLA_%ebuy!_%epid!_%ecid!</v></cell></row><row r="1498"><cell r="K1498" t="str"><v>July</v></cell><cell r="L1498"><v>43295</v></cell><cell r="M1498" t="str"><v>Tier 0</v></cell><cell r="N1498" t="str"><v>North America</v></cell><cell r="O1498" t="str"><v>United States</v></cell><cell r="P1498" t="str"><v>Trial</v></cell><cell r="Q1498" t="str"><v>Social</v></cell><cell r="R1498" t="str"><v>Azure</v></cell><cell r="S1498" t="str"><v>Apps & Infra</v></cell><cell r="T1498" t="str"><v>Developers & ITI's</v></cell><cell r="U1498" t="str"><v>USA-Trial-ITD-Trial Lookalike-AZR-AZR</v></cell><cell r="V1498" t="str"><v>Lookalike Targeting</v></cell><cell r="W1498" t="str"><v>Canvas Ad</v></cell><cell r="X1498" t="str"><v>1x1</v></cell></row><row r="1498"><cell r="AA1498"><v>43292</v></cell><cell r="AB1498" t="str"><v>USA_gaPMG_AZR_AZR_Q1_19_Direct-Social</v></cell><cell r="AC1498"><v>21358715</v></cell><cell r="AD1498"><v>720197</v></cell><cell r="AE1498" t="str"><v>Facebook - Instagram</v></cell><cell r="AF1498"><v>3654128</v></cell><cell r="AG1498" t="str"><v>INSTAGRAM»USA-Trial-ITD-Trial Lookalike-AZR-AZR»1 x 1»SocialBan»CAN»ALL»CPA»LAL»X»NA»SS»NA»IGCTCBenefitinMotion»PRC2FK</v></cell><cell r="AH1498"><v>224107542</v></cell><cell r="AI1498" t="str"><v>AzurePlatform_IGCTCBenefitinMotion_USA_10s_CAN_PLATFORM_English_Trial_Standard_STAN_TIN_T3_2</v></cell><cell r="AJ1498"><v>103180637</v></cell></row><row r="1499"><cell r="C1499" t="str"><v>43292INSTAGRAM»USA-Trial-ITD-Trial PayGo Lookalike-AZR-AZR»1 x 1»SocialBan»CAN»ALL»CPA»LAL»X»NA»SS»NA»IGCTCBasicMotion»PRC2G0</v></cell><cell r="D1499" t="str"><v>43292224106891</v></cell><cell r="E1499" t="str"><v>43292103037968PRC2G0</v></cell><cell r="F1499" t="str"><v>DCM</v></cell><cell r="G1499" t="str"><v>https://signup.azure.com/?OCID=AID%eexcid!_OLA_%ebuy!_%epid!_%ecid!</v></cell></row><row r="1499"><cell r="K1499" t="str"><v>July</v></cell><cell r="L1499"><v>43295</v></cell><cell r="M1499" t="str"><v>Tier 0</v></cell><cell r="N1499" t="str"><v>North America</v></cell><cell r="O1499" t="str"><v>United States</v></cell><cell r="P1499" t="str"><v>Trial</v></cell><cell r="Q1499" t="str"><v>Social</v></cell><cell r="R1499" t="str"><v>Azure</v></cell><cell r="S1499" t="str"><v>Apps & Infra</v></cell><cell r="T1499" t="str"><v>Developers & ITI's</v></cell><cell r="U1499" t="str"><v>USA-Trial-ITD-Trial PayGo Lookalike-AZR-AZR</v></cell><cell r="V1499" t="str"><v>Lookalike Targeting</v></cell><cell r="W1499" t="str"><v>Canvas Ad</v></cell><cell r="X1499" t="str"><v>1x1</v></cell></row><row r="1499"><cell r="AA1499"><v>43292</v></cell><cell r="AB1499" t="str"><v>USA_gaPMG_AZR_AZR_Q1_19_Direct-Social</v></cell><cell r="AC1499"><v>21358715</v></cell><cell r="AD1499"><v>720197</v></cell><cell r="AE1499" t="str"><v>Facebook - Instagram</v></cell><cell r="AF1499"><v>3654128</v></cell><cell r="AG1499" t="str"><v>INSTAGRAM»USA-Trial-ITD-Trial PayGo Lookalike-AZR-AZR»1 x 1»SocialBan»CAN»ALL»CPA»LAL»X»NA»SS»NA»IGCTCBasicMotion»PRC2G0</v></cell><cell r="AH1499"><v>224106891</v></cell><cell r="AI1499" t="str"><v>AzurePlatform_IGCTCBasicMotion_USA_10s_CAN_PLATFORM_English_Trial_Standard_STAN_TIN_T1_1</v></cell><cell r="AJ1499"><v>103037968</v></cell></row><row r="1500"><cell r="C1500" t="str"><v>43292INSTAGRAM»USA-Trial-ITD-Trial PayGo Lookalike-AZR-AZR»1 x 1»SocialBan»CAN»ALL»CPA»LAL»X»NA»SS»NA»IGCTCBasicMotion»PRC2G0</v></cell><cell r="D1500" t="str"><v>43292224106891</v></cell><cell r="E1500" t="str"><v>43292103037974PRC2G0</v></cell><cell r="F1500" t="str"><v>DCM</v></cell><cell r="G1500" t="str"><v>https://azure.microsoft.com/en-us/pricing/purchase-options/?v=18.19&OCID=AID%eexcid!_OLA_%ebuy!_%epid!_%ecid!</v></cell></row><row r="1500"><cell r="K1500" t="str"><v>July</v></cell><cell r="L1500"><v>43295</v></cell><cell r="M1500" t="str"><v>Tier 0</v></cell><cell r="N1500" t="str"><v>North America</v></cell><cell r="O1500" t="str"><v>United States</v></cell><cell r="P1500" t="str"><v>Trial</v></cell><cell r="Q1500" t="str"><v>Social</v></cell><cell r="R1500" t="str"><v>Azure</v></cell><cell r="S1500" t="str"><v>Apps & Infra</v></cell><cell r="T1500" t="str"><v>Developers & ITI's</v></cell><cell r="U1500" t="str"><v>USA-Trial-ITD-Trial PayGo Lookalike-AZR-AZR</v></cell><cell r="V1500" t="str"><v>Lookalike Targeting</v></cell><cell r="W1500" t="str"><v>Canvas Ad</v></cell><cell r="X1500" t="str"><v>1x1</v></cell></row><row r="1500"><cell r="AA1500"><v>43292</v></cell><cell r="AB1500" t="str"><v>USA_gaPMG_AZR_AZR_Q1_19_Direct-Social</v></cell><cell r="AC1500"><v>21358715</v></cell><cell r="AD1500"><v>720197</v></cell><cell r="AE1500" t="str"><v>Facebook - Instagram</v></cell><cell r="AF1500"><v>3654128</v></cell><cell r="AG1500" t="str"><v>INSTAGRAM»USA-Trial-ITD-Trial PayGo Lookalike-AZR-AZR»1 x 1»SocialBan»CAN»ALL»CPA»LAL»X»NA»SS»NA»IGCTCBasicMotion»PRC2G0</v></cell><cell r="AH1500"><v>224106891</v></cell><cell r="AI1500" t="str"><v>AzurePlatform_IGCTCBasicMotion_USA_10s_CAN_PLATFORM_English_Trial_Standard_STAN_TIN_T1_2</v></cell><cell r="AJ1500"><v>103037974</v></cell></row><row r="1501"><cell r="C1501" t="str"><v>43293Facebook»Audience & Interest Targeting»1x1»Canvas»OTH»DT»DYN»AUT»W»NA»SS»NA»FBCTCcanvaspage-StartFreeCTA_FBCTCcanvaspage-BuyNowCTA</v></cell><cell r="D1501" t="str"><v>43293224639151</v></cell><cell r="E1501" t="str"><v>43293103316832NowCTA</v></cell><cell r="F1501" t="str"><v>DCM</v></cell><cell r="G1501" t="str"><v>https://azure.microsoft.com/en-au/pricing/purchase-options/</v></cell></row><row r="1501"><cell r="K1501" t="str"><v>July</v></cell><cell r="L1501"><v>43295</v></cell><cell r="M1501" t="str"><v>Tier 1</v></cell><cell r="N1501" t="str"><v>APAC</v></cell><cell r="O1501" t="str"><v>Australia</v></cell><cell r="P1501" t="str"><v>Trial</v></cell><cell r="Q1501" t="str"><v>Social</v></cell><cell r="R1501" t="str"><v>Azure</v></cell><cell r="S1501" t="str"><v>Apps & Infra</v></cell><cell r="T1501" t="str"><v>Developers & ITI's</v></cell><cell r="U1501" t="str"><v>Audience & Interest Targeting</v></cell><cell r="V1501" t="str"><v>Audience Targeting</v></cell><cell r="W1501" t="str"><v>Other</v></cell><cell r="X1501" t="str"><v>1x1</v></cell></row><row r="1501"><cell r="AA1501"><v>43293</v></cell><cell r="AB1501" t="str"><v>AUS_gaPMG_AZR_AZR_Q1_19_Trial-Social</v></cell><cell r="AC1501"><v>21358568</v></cell><cell r="AD1501"><v>720191</v></cell><cell r="AE1501" t="str"><v>Facebook</v></cell><cell r="AF1501"><v>3654128</v></cell><cell r="AG1501" t="str"><v>Facebook»Audience & Interest Targeting»1x1»Canvas»OTH»DT»DYN»AUT»W»NA»SS»NA»FBCTCcanvaspage-StartFreeCTA_FBCTCcanvaspage-BuyNowCTA</v></cell><cell r="AH1501"><v>224639151</v></cell><cell r="AI1501" t="str"><v>AzurePlatform_FBCTCcanvaspage-BuyNowCTA-Img3_AUS_1080x162_SOC_Plat_English_NA_Standard_NA_BN_T3_1</v></cell><cell r="AJ1501"><v>103316832</v></cell></row><row r="1502"><cell r="C1502" t="str"><v>43293Facebook»Audience & Interest Targeting»1x1»Canvas»OTH»DT»DYN»AUT»W»NA»SS»NA»FBCTCcanvaspage-StartFreeCTA_FBCTCcanvaspage-BuyNowCTA</v></cell><cell r="D1502" t="str"><v>43293224639151</v></cell><cell r="E1502" t="str"><v>43293103316829NowCTA</v></cell><cell r="F1502" t="str"><v>DCM</v></cell><cell r="G1502" t="str"><v>https://signup.azure.com/signup?offer=ms-azr-0044p&appId=102&ref=paidmedia-social-fb&redirectURL=https%3a%2f%2fazure.microsoft.com%2fen-au%2fget-started%2fwelcome-to-azure%2f&l=en-au&correlationId=ead86c34-1f10-49dd-a72b-6918462a2cbf</v></cell></row><row r="1502"><cell r="K1502" t="str"><v>July</v></cell><cell r="L1502"><v>43295</v></cell><cell r="M1502" t="str"><v>Tier 1</v></cell><cell r="N1502" t="str"><v>APAC</v></cell><cell r="O1502" t="str"><v>Australia</v></cell><cell r="P1502" t="str"><v>Trial</v></cell><cell r="Q1502" t="str"><v>Social</v></cell><cell r="R1502" t="str"><v>Azure</v></cell><cell r="S1502" t="str"><v>Apps & Infra</v></cell><cell r="T1502" t="str"><v>Developers & ITI's</v></cell><cell r="U1502" t="str"><v>Audience & Interest Targeting</v></cell><cell r="V1502" t="str"><v>Audience Targeting</v></cell><cell r="W1502" t="str"><v>Other</v></cell><cell r="X1502" t="str"><v>1x1</v></cell></row><row r="1502"><cell r="AA1502"><v>43293</v></cell><cell r="AB1502" t="str"><v>AUS_gaPMG_AZR_AZR_Q1_19_Trial-Social</v></cell><cell r="AC1502"><v>21358568</v></cell><cell r="AD1502"><v>720191</v></cell><cell r="AE1502" t="str"><v>Facebook</v></cell><cell r="AF1502"><v>3654128</v></cell><cell r="AG1502" t="str"><v>Facebook»Audience & Interest Targeting»1x1»Canvas»OTH»DT»DYN»AUT»W»NA»SS»NA»FBCTCcanvaspage-StartFreeCTA_FBCTCcanvaspage-BuyNowCTA</v></cell><cell r="AH1502"><v>224639151</v></cell><cell r="AI1502" t="str"><v>AzurePlatform_FBCTCcanvaspage-StartFreeCTA-Img2_AUS_1080x143 _SOC_Plat_English_NA_Standard_NA_NA_T2_1</v></cell><cell r="AJ1502"><v>103316829</v></cell></row><row r="1503"><cell r="C1503" t="str"><v>43293Facebook»Audience & Interest Targeting»1x1»TextLink»OTH»DT»DYN»AUT»W»NA»SS»NA»Free Account Refresh- 12 months ChE</v></cell><cell r="D1503" t="str"><v>43293224160783</v></cell><cell r="E1503" t="str"><v>43293103051614hs ChE</v></cell><cell r="F1503" t="str"><v>DCM</v></cell></row><row r="1503"><cell r="K1503" t="str"><v>July</v></cell><cell r="L1503"><v>43295</v></cell><cell r="M1503" t="str"><v>Tier 1</v></cell><cell r="N1503" t="str"><v>APAC</v></cell><cell r="O1503" t="str"><v>Australia</v></cell><cell r="P1503" t="str"><v>Trial</v></cell><cell r="Q1503" t="str"><v>Social</v></cell><cell r="R1503" t="str"><v>Azure</v></cell><cell r="S1503" t="str"><v>Apps & Infra</v></cell><cell r="T1503" t="str"><v>Developers & ITI's</v></cell><cell r="U1503" t="str"><v>Audience & Interest Targeting</v></cell><cell r="V1503" t="str"><v>Audience Targeting</v></cell><cell r="W1503" t="str"><v>Other</v></cell><cell r="X1503" t="str"><v>1x1</v></cell></row><row r="1503"><cell r="AA1503"><v>43293</v></cell><cell r="AB1503" t="str"><v>AUS_gaPMG_AZR_AZR_Q1_19_Trial-Social</v></cell><cell r="AC1503"><v>21358568</v></cell><cell r="AD1503"><v>720191</v></cell><cell r="AE1503" t="str"><v>Facebook</v></cell><cell r="AF1503"><v>3654128</v></cell><cell r="AG1503" t="str"><v>Facebook»Audience & Interest Targeting»1x1»TextLink»OTH»DT»DYN»AUT»W»NA»SS»NA»Free Account Refresh- 12 months ChE</v></cell><cell r="AH1503"><v>224160783</v></cell><cell r="AI1503" t="str"><v>AzurePlatform_FreeAcctAppsFACEBOOK12monthsChE_AUS_1200x628_SOC_PLAT_EN_Trial_Standard_NA_SNU_T5_1</v></cell><cell r="AJ1503"><v>103051614</v></cell></row><row r="1504"><cell r="C1504" t="str"><v>43293Facebook»Audience & Interest Targeting»1x1»TextLink»OTH»DT»DYN»AUT»W»NA»SS»NA»Free Account Refresh- 200 Credit ChD</v></cell><cell r="D1504" t="str"><v>43293224160780</v></cell><cell r="E1504" t="str"><v>43293103186904it ChD</v></cell><cell r="F1504" t="str"><v>DCM</v></cell></row><row r="1504"><cell r="K1504" t="str"><v>July</v></cell><cell r="L1504"><v>43295</v></cell><cell r="M1504" t="str"><v>Tier 1</v></cell><cell r="N1504" t="str"><v>APAC</v></cell><cell r="O1504" t="str"><v>Australia</v></cell><cell r="P1504" t="str"><v>Trial</v></cell><cell r="Q1504" t="str"><v>Social</v></cell><cell r="R1504" t="str"><v>Azure</v></cell><cell r="S1504" t="str"><v>Apps & Infra</v></cell><cell r="T1504" t="str"><v>Developers & ITI's</v></cell><cell r="U1504" t="str"><v>Audience & Interest Targeting</v></cell><cell r="V1504" t="str"><v>Audience Targeting</v></cell><cell r="W1504" t="str"><v>Other</v></cell><cell r="X1504" t="str"><v>1x1</v></cell></row><row r="1504"><cell r="AA1504"><v>43293</v></cell><cell r="AB1504" t="str"><v>AUS_gaPMG_AZR_AZR_Q1_19_Trial-Social</v></cell><cell r="AC1504"><v>21358568</v></cell><cell r="AD1504"><v>720191</v></cell><cell r="AE1504" t="str"><v>Facebook</v></cell><cell r="AF1504"><v>3654128</v></cell><cell r="AG1504" t="str"><v>Facebook»Audience & Interest Targeting»1x1»TextLink»OTH»DT»DYN»AUT»W»NA»SS»NA»Free Account Refresh- 200 Credit ChD</v></cell><cell r="AH1504"><v>224160780</v></cell><cell r="AI1504" t="str"><v>AzurePlatform_FreeAcctAppsFACEBOOK200CreditChD_AUS_1200x628_SOC_PLAT_EN_Trial_Standard_NA_SNU_T4_1</v></cell><cell r="AJ1504"><v>103186904</v></cell></row><row r="1505"><cell r="C1505" t="str"><v>43293Facebook»Audience & Interest Targeting»1x1»TextLink»OTH»DT»DYN»AUT»W»NA»SS»NA»Free Account Refresh- Device ChB</v></cell><cell r="D1505" t="str"><v>43293224160777</v></cell><cell r="E1505" t="str"><v>43293103048479ce ChB</v></cell><cell r="F1505" t="str"><v>DCM</v></cell></row><row r="1505"><cell r="K1505" t="str"><v>July</v></cell><cell r="L1505"><v>43295</v></cell><cell r="M1505" t="str"><v>Tier 1</v></cell><cell r="N1505" t="str"><v>APAC</v></cell><cell r="O1505" t="str"><v>Australia</v></cell><cell r="P1505" t="str"><v>Trial</v></cell><cell r="Q1505" t="str"><v>Social</v></cell><cell r="R1505" t="str"><v>Azure</v></cell><cell r="S1505" t="str"><v>Apps & Infra</v></cell><cell r="T1505" t="str"><v>Developers & ITI's</v></cell><cell r="U1505" t="str"><v>Audience & Interest Targeting</v></cell><cell r="V1505" t="str"><v>Audience Targeting</v></cell><cell r="W1505" t="str"><v>Other</v></cell><cell r="X1505" t="str"><v>1x1</v></cell></row><row r="1505"><cell r="AA1505"><v>43293</v></cell><cell r="AB1505" t="str"><v>AUS_gaPMG_AZR_AZR_Q1_19_Trial-Social</v></cell><cell r="AC1505"><v>21358568</v></cell><cell r="AD1505"><v>720191</v></cell><cell r="AE1505" t="str"><v>Facebook</v></cell><cell r="AF1505"><v>3654128</v></cell><cell r="AG1505" t="str"><v>Facebook»Audience & Interest Targeting»1x1»TextLink»OTH»DT»DYN»AUT»W»NA»SS»NA»Free Account Refresh- Device ChB</v></cell><cell r="AH1505"><v>224160777</v></cell><cell r="AI1505" t="str"><v>AzurePlatform_FreeAcctAppsFACEBOOKDeviceChB_AUS_1200x628_SOC_PLAT_EN_Trial_Standard_NA_SNU_T2_1</v></cell><cell r="AJ1505"><v>103048479</v></cell></row><row r="1506"><cell r="C1506" t="str"><v>43293Facebook»Audience & Interest Targeting»1x1»TextLink»OTH»DT»DYN»AUT»W»NA»SS»NA»Free Account Refresh- Illustration ChC</v></cell><cell r="D1506" t="str"><v>43293224160774</v></cell><cell r="E1506" t="str"><v>43293103186910on ChC</v></cell><cell r="F1506" t="str"><v>DCM</v></cell></row><row r="1506"><cell r="K1506" t="str"><v>July</v></cell><cell r="L1506"><v>43295</v></cell><cell r="M1506" t="str"><v>Tier 1</v></cell><cell r="N1506" t="str"><v>APAC</v></cell><cell r="O1506" t="str"><v>Australia</v></cell><cell r="P1506" t="str"><v>Trial</v></cell><cell r="Q1506" t="str"><v>Social</v></cell><cell r="R1506" t="str"><v>Azure</v></cell><cell r="S1506" t="str"><v>Apps & Infra</v></cell><cell r="T1506" t="str"><v>Developers & ITI's</v></cell><cell r="U1506" t="str"><v>Audience & Interest Targeting</v></cell><cell r="V1506" t="str"><v>Audience Targeting</v></cell><cell r="W1506" t="str"><v>Other</v></cell><cell r="X1506" t="str"><v>1x1</v></cell></row><row r="1506"><cell r="AA1506"><v>43293</v></cell><cell r="AB1506" t="str"><v>AUS_gaPMG_AZR_AZR_Q1_19_Trial-Social</v></cell><cell r="AC1506"><v>21358568</v></cell><cell r="AD1506"><v>720191</v></cell><cell r="AE1506" t="str"><v>Facebook</v></cell><cell r="AF1506"><v>3654128</v></cell><cell r="AG1506" t="str"><v>Facebook»Audience & Interest Targeting»1x1»TextLink»OTH»DT»DYN»AUT»W»NA»SS»NA»Free Account Refresh- Illustration ChC</v></cell><cell r="AH1506"><v>224160774</v></cell><cell r="AI1506" t="str"><v>AzurePlatform_FreeAcctAppsFACEBOOKIllustrationChC_AUS_1200x628_SOC_PLAT_EN_Trial_Standard_NA_SNU_T3_1</v></cell><cell r="AJ1506"><v>103186910</v></cell></row><row r="1507"><cell r="C1507" t="str"><v>43293Facebook»Audience & Interest Targeting»1x1»TextLink»OTH»DT»DYN»AUT»W»NA»SS»NA»Free Account Refresh- Lifestyle ChA</v></cell><cell r="D1507" t="str"><v>43293224160771</v></cell><cell r="E1507" t="str"><v>43293103048488le ChA</v></cell><cell r="F1507" t="str"><v>DCM</v></cell></row><row r="1507"><cell r="K1507" t="str"><v>July</v></cell><cell r="L1507"><v>43295</v></cell><cell r="M1507" t="str"><v>Tier 1</v></cell><cell r="N1507" t="str"><v>APAC</v></cell><cell r="O1507" t="str"><v>Australia</v></cell><cell r="P1507" t="str"><v>Trial</v></cell><cell r="Q1507" t="str"><v>Social</v></cell><cell r="R1507" t="str"><v>Azure</v></cell><cell r="S1507" t="str"><v>Apps & Infra</v></cell><cell r="T1507" t="str"><v>Developers & ITI's</v></cell><cell r="U1507" t="str"><v>Audience & Interest Targeting</v></cell><cell r="V1507" t="str"><v>Audience Targeting</v></cell><cell r="W1507" t="str"><v>Other</v></cell><cell r="X1507" t="str"><v>1x1</v></cell></row><row r="1507"><cell r="AA1507"><v>43293</v></cell><cell r="AB1507" t="str"><v>AUS_gaPMG_AZR_AZR_Q1_19_Trial-Social</v></cell><cell r="AC1507"><v>21358568</v></cell><cell r="AD1507"><v>720191</v></cell><cell r="AE1507" t="str"><v>Facebook</v></cell><cell r="AF1507"><v>3654128</v></cell><cell r="AG1507" t="str"><v>Facebook»Audience & Interest Targeting»1x1»TextLink»OTH»DT»DYN»AUT»W»NA»SS»NA»Free Account Refresh- Lifestyle ChA</v></cell><cell r="AH1507"><v>224160771</v></cell><cell r="AI1507" t="str"><v>AzurePlatform_FreeAcctAppsFACEBOOKLifestyleChA_AUS_1200x628_SOC_PLAT_EN_Trial_Standard_NA_SNU_T1_1</v></cell><cell r="AJ1507"><v>103048488</v></cell></row><row r="1508"><cell r="C1508" t="str"><v>43293Facebook»AZR»1x1»NA»EGV»ALL»DYN»AUT»D»All»SS»NA»Free Acc CTC - T1 - EN</v></cell><cell r="D1508" t="str"><v>43293223684451</v></cell><cell r="E1508" t="str"><v>432931029018821 - EN</v></cell><cell r="F1508" t="str"><v>DCM</v></cell><cell r="G1508" t="str"><v>https://signup.azure.com/</v></cell></row><row r="1508"><cell r="K1508" t="str"><v>July</v></cell><cell r="L1508"><v>43295</v></cell><cell r="M1508" t="str"><v>Tier 1</v></cell><cell r="N1508" t="str"><v>North America</v></cell><cell r="O1508" t="str"><v>Canada</v></cell><cell r="P1508" t="str"><v>Trial</v></cell><cell r="Q1508" t="str"><v>Social</v></cell><cell r="R1508" t="str"><v>Azure</v></cell><cell r="S1508" t="str"><v>Apps & Infra</v></cell><cell r="T1508" t="str"><v>Developers & ITI's</v></cell><cell r="U1508" t="str"><v>AZR</v></cell><cell r="V1508" t="str"><v>Audience Targeting</v></cell><cell r="W1508" t="str"><v>Engagement Video</v></cell><cell r="X1508" t="str"><v>1x1</v></cell></row><row r="1508"><cell r="AA1508"><v>43293</v></cell><cell r="AB1508" t="str"><v>CAN_gaPMG_AZR_AZR_Q1_19_Trial-Social</v></cell><cell r="AC1508"><v>21337220</v></cell><cell r="AD1508"><v>720192</v></cell><cell r="AE1508" t="str"><v>Facebook</v></cell><cell r="AF1508"><v>3654128</v></cell><cell r="AG1508" t="str"><v>Facebook»AZR»1x1»NA»EGV»ALL»DYN»AUT»D»All»SS»NA»Free Acc CTC - T1 - EN</v></cell><cell r="AH1508"><v>223684451</v></cell><cell r="AI1508" t="str"><v>AzurePlatform_FBCTCBasicMotion_CAN_10s_ISV_PLAT_English_Trial_Standard_STAN_TN_T1_1</v></cell><cell r="AJ1508"><v>102901882</v></cell></row><row r="1509"><cell r="C1509" t="str"><v>43293Facebook»AZR»1x1»NA»EGV»ALL»DYN»AUT»D»All»SS»NA»Free Acc CTC - T1 - FR</v></cell><cell r="D1509" t="str"><v>43293223691801</v></cell><cell r="E1509" t="str"><v>432931030533231 - FR</v></cell><cell r="F1509" t="str"><v>DCM</v></cell><cell r="G1509" t="str"><v>https://signup.azure.com/</v></cell></row><row r="1509"><cell r="K1509" t="str"><v>July</v></cell><cell r="L1509"><v>43295</v></cell><cell r="M1509" t="str"><v>Tier 1</v></cell><cell r="N1509" t="str"><v>North America</v></cell><cell r="O1509" t="str"><v>Canada</v></cell><cell r="P1509" t="str"><v>Trial</v></cell><cell r="Q1509" t="str"><v>Social</v></cell><cell r="R1509" t="str"><v>Azure</v></cell><cell r="S1509" t="str"><v>Apps & Infra</v></cell><cell r="T1509" t="str"><v>Developers & ITI's</v></cell><cell r="U1509" t="str"><v>AZR</v></cell><cell r="V1509" t="str"><v>Audience Targeting</v></cell><cell r="W1509" t="str"><v>Engagement Video</v></cell><cell r="X1509" t="str"><v>1x1</v></cell></row><row r="1509"><cell r="AA1509"><v>43293</v></cell><cell r="AB1509" t="str"><v>CAN_gaPMG_AZR_AZR_Q1_19_Trial-Social</v></cell><cell r="AC1509"><v>21337220</v></cell><cell r="AD1509"><v>720192</v></cell><cell r="AE1509" t="str"><v>Facebook</v></cell><cell r="AF1509"><v>3654128</v></cell><cell r="AG1509" t="str"><v>Facebook»AZR»1x1»NA»EGV»ALL»DYN»AUT»D»All»SS»NA»Free Acc CTC - T1 - FR</v></cell><cell r="AH1509"><v>223691801</v></cell><cell r="AI1509" t="str"><v>AzurePlatform_FBCTCBasicMotion_CAN_10s_ISV_PLAT_FR_Trial_Standard_STAN_TN_T1_1</v></cell><cell r="AJ1509"><v>103053323</v></cell></row><row r="1510"><cell r="C1510" t="str"><v>43293Facebook»AZR»1x1»NA»EGV»ALL»DYN»AUT»D»All»SS»NA»Free Acc CTC - T2 - EN</v></cell><cell r="D1510" t="str"><v>43293223691840</v></cell><cell r="E1510" t="str"><v>432931029029502 - EN</v></cell><cell r="F1510" t="str"><v>DCM</v></cell><cell r="G1510" t="str"><v>https://signup.azure.com/</v></cell></row><row r="1510"><cell r="K1510" t="str"><v>July</v></cell><cell r="L1510"><v>43295</v></cell><cell r="M1510" t="str"><v>Tier 1</v></cell><cell r="N1510" t="str"><v>North America</v></cell><cell r="O1510" t="str"><v>Canada</v></cell><cell r="P1510" t="str"><v>Trial</v></cell><cell r="Q1510" t="str"><v>Social</v></cell><cell r="R1510" t="str"><v>Azure</v></cell><cell r="S1510" t="str"><v>Apps & Infra</v></cell><cell r="T1510" t="str"><v>Developers & ITI's</v></cell><cell r="U1510" t="str"><v>AZR</v></cell><cell r="V1510" t="str"><v>Audience Targeting</v></cell><cell r="W1510" t="str"><v>Engagement Video</v></cell><cell r="X1510" t="str"><v>1x1</v></cell></row><row r="1510"><cell r="AA1510"><v>43293</v></cell><cell r="AB1510" t="str"><v>CAN_gaPMG_AZR_AZR_Q1_19_Trial-Social</v></cell><cell r="AC1510"><v>21337220</v></cell><cell r="AD1510"><v>720192</v></cell><cell r="AE1510" t="str"><v>Facebook</v></cell><cell r="AF1510"><v>3654128</v></cell><cell r="AG1510" t="str"><v>Facebook»AZR»1x1»NA»EGV»ALL»DYN»AUT»D»All»SS»NA»Free Acc CTC - T2 - EN</v></cell><cell r="AH1510"><v>223691840</v></cell><cell r="AI1510" t="str"><v>AzurePlatform_FBCTCBrandinMotion_CAN_12s_ISV_PLAT_English_Trial_Standard_STAN_TN_T2_1</v></cell><cell r="AJ1510"><v>102902950</v></cell></row><row r="1511"><cell r="C1511" t="str"><v>43293Facebook»AZR»1x1»NA»EGV»ALL»DYN»AUT»D»All»SS»NA»Free Acc CTC - T2 - FR</v></cell><cell r="D1511" t="str"><v>43293223691798</v></cell><cell r="E1511" t="str"><v>432931029163472 - FR</v></cell><cell r="F1511" t="str"><v>DCM</v></cell><cell r="G1511" t="str"><v>https://signup.azure.com/</v></cell></row><row r="1511"><cell r="K1511" t="str"><v>July</v></cell><cell r="L1511"><v>43295</v></cell><cell r="M1511" t="str"><v>Tier 1</v></cell><cell r="N1511" t="str"><v>North America</v></cell><cell r="O1511" t="str"><v>Canada</v></cell><cell r="P1511" t="str"><v>Trial</v></cell><cell r="Q1511" t="str"><v>Social</v></cell><cell r="R1511" t="str"><v>Azure</v></cell><cell r="S1511" t="str"><v>Apps & Infra</v></cell><cell r="T1511" t="str"><v>Developers & ITI's</v></cell><cell r="U1511" t="str"><v>AZR</v></cell><cell r="V1511" t="str"><v>Audience Targeting</v></cell><cell r="W1511" t="str"><v>Engagement Video</v></cell><cell r="X1511" t="str"><v>1x1</v></cell></row><row r="1511"><cell r="AA1511"><v>43293</v></cell><cell r="AB1511" t="str"><v>CAN_gaPMG_AZR_AZR_Q1_19_Trial-Social</v></cell><cell r="AC1511"><v>21337220</v></cell><cell r="AD1511"><v>720192</v></cell><cell r="AE1511" t="str"><v>Facebook</v></cell><cell r="AF1511"><v>3654128</v></cell><cell r="AG1511" t="str"><v>Facebook»AZR»1x1»NA»EGV»ALL»DYN»AUT»D»All»SS»NA»Free Acc CTC - T2 - FR</v></cell><cell r="AH1511"><v>223691798</v></cell><cell r="AI1511" t="str"><v>AzurePlatform_FBCTCBrandinMotion_CAN_12s_ISV_PLAT_FR_Trial_Standard_STAN_TN_T2_1</v></cell><cell r="AJ1511"><v>102916347</v></cell></row><row r="1512"><cell r="C1512" t="str"><v>43293Facebook»AZR»1x1»NA»EGV»ALL»DYN»AUT»D»All»SS»NA»Free Acc CTC - T4 - EN</v></cell><cell r="D1512" t="str"><v>43293223691837</v></cell><cell r="E1512" t="str"><v>432931030533144 - EN</v></cell><cell r="F1512" t="str"><v>DCM</v></cell><cell r="G1512" t="str"><v>https://signup.azure.com/</v></cell></row><row r="1512"><cell r="K1512" t="str"><v>July</v></cell><cell r="L1512"><v>43295</v></cell><cell r="M1512" t="str"><v>Tier 1</v></cell><cell r="N1512" t="str"><v>North America</v></cell><cell r="O1512" t="str"><v>Canada</v></cell><cell r="P1512" t="str"><v>Trial</v></cell><cell r="Q1512" t="str"><v>Social</v></cell><cell r="R1512" t="str"><v>Azure</v></cell><cell r="S1512" t="str"><v>Apps & Infra</v></cell><cell r="T1512" t="str"><v>Developers & ITI's</v></cell><cell r="U1512" t="str"><v>AZR</v></cell><cell r="V1512" t="str"><v>Audience Targeting</v></cell><cell r="W1512" t="str"><v>Engagement Video</v></cell><cell r="X1512" t="str"><v>1x1</v></cell></row><row r="1512"><cell r="AA1512"><v>43293</v></cell><cell r="AB1512" t="str"><v>CAN_gaPMG_AZR_AZR_Q1_19_Trial-Social</v></cell><cell r="AC1512"><v>21337220</v></cell><cell r="AD1512"><v>720192</v></cell><cell r="AE1512" t="str"><v>Facebook</v></cell><cell r="AF1512"><v>3654128</v></cell><cell r="AG1512" t="str"><v>Facebook»AZR»1x1»NA»EGV»ALL»DYN»AUT»D»All»SS»NA»Free Acc CTC - T4 - EN</v></cell><cell r="AH1512"><v>223691837</v></cell><cell r="AI1512" t="str"><v>AzurePlatform_FBCTCBenefit2inMotion_CAN_14s_ISV_PLAT_English_Trial_Standard_STAN_TN_T4_1</v></cell><cell r="AJ1512"><v>103053314</v></cell></row><row r="1513"><cell r="C1513" t="str"><v>43293Facebook»AZR»1x1»NA»EGV»ALL»DYN»AUT»D»All»SS»NA»Free Acc CTC - T4 - FR</v></cell><cell r="D1513" t="str"><v>43293223691795</v></cell><cell r="E1513" t="str"><v>432931029006884 - FR</v></cell><cell r="F1513" t="str"><v>DCM</v></cell><cell r="G1513" t="str"><v>https://signup.azure.com/</v></cell></row><row r="1513"><cell r="K1513" t="str"><v>July</v></cell><cell r="L1513"><v>43295</v></cell><cell r="M1513" t="str"><v>Tier 1</v></cell><cell r="N1513" t="str"><v>North America</v></cell><cell r="O1513" t="str"><v>Canada</v></cell><cell r="P1513" t="str"><v>Trial</v></cell><cell r="Q1513" t="str"><v>Social</v></cell><cell r="R1513" t="str"><v>Azure</v></cell><cell r="S1513" t="str"><v>Apps & Infra</v></cell><cell r="T1513" t="str"><v>Developers & ITI's</v></cell><cell r="U1513" t="str"><v>AZR</v></cell><cell r="V1513" t="str"><v>Audience Targeting</v></cell><cell r="W1513" t="str"><v>Engagement Video</v></cell><cell r="X1513" t="str"><v>1x1</v></cell></row><row r="1513"><cell r="AA1513"><v>43293</v></cell><cell r="AB1513" t="str"><v>CAN_gaPMG_AZR_AZR_Q1_19_Trial-Social</v></cell><cell r="AC1513"><v>21337220</v></cell><cell r="AD1513"><v>720192</v></cell><cell r="AE1513" t="str"><v>Facebook</v></cell><cell r="AF1513"><v>3654128</v></cell><cell r="AG1513" t="str"><v>Facebook»AZR»1x1»NA»EGV»ALL»DYN»AUT»D»All»SS»NA»Free Acc CTC - T4 - FR</v></cell><cell r="AH1513"><v>223691795</v></cell><cell r="AI1513" t="str"><v>AzurePlatform_FBCTCBenefit2inMotion_CAN_14s_ISV_PLAT_FR_Trial_Standard_STAN_TN_T4_1</v></cell><cell r="AJ1513"><v>102900688</v></cell></row><row r="1514"><cell r="C1514" t="str"><v>43293Facebook»AZR»1x1»SocialBan»NA»ALL»DYN»AUT»D»All»SS»NA»Free Acc Refresh - T1 - EN</v></cell><cell r="D1514" t="str"><v>43293223691804</v></cell><cell r="E1514" t="str"><v>432931030587171 - EN</v></cell><cell r="F1514" t="str"><v>DCM</v></cell><cell r="G1514" t="str"><v>https://azure.microsoft.com/en-CA/free/search/</v></cell></row><row r="1514"><cell r="K1514" t="str"><v>July</v></cell><cell r="L1514"><v>43295</v></cell><cell r="M1514" t="str"><v>Tier 1</v></cell><cell r="N1514" t="str"><v>North America</v></cell><cell r="O1514" t="str"><v>Canada</v></cell><cell r="P1514" t="str"><v>Trial</v></cell><cell r="Q1514" t="str"><v>Social</v></cell><cell r="R1514" t="str"><v>Azure</v></cell><cell r="S1514" t="str"><v>Apps & Infra</v></cell><cell r="T1514" t="str"><v>Developers & ITI's</v></cell><cell r="U1514" t="str"><v>AZR</v></cell><cell r="V1514" t="str"><v>Audience Targeting</v></cell><cell r="W1514" t="str"><v>NotApplicable</v></cell><cell r="X1514" t="str"><v>1x1</v></cell></row><row r="1514"><cell r="AA1514"><v>43293</v></cell><cell r="AB1514" t="str"><v>CAN_gaPMG_AZR_AZR_Q1_19_Trial-Social</v></cell><cell r="AC1514"><v>21337220</v></cell><cell r="AD1514"><v>720192</v></cell><cell r="AE1514" t="str"><v>Facebook</v></cell><cell r="AF1514"><v>3654128</v></cell><cell r="AG1514" t="str"><v>Facebook»AZR»1x1»SocialBan»NA»ALL»DYN»AUT»D»All»SS»NA»Free Acc Refresh - T1 - EN</v></cell><cell r="AH1514"><v>223691804</v></cell><cell r="AI1514" t="str"><v>AzurePlatform_FreeAcctAppsFACEBOOKLifestyleChA_CAN_1200x628_SOC_PLAT_EN_Trial_Standard_NA_SU_T1_1.png</v></cell><cell r="AJ1514"><v>103058717</v></cell></row><row r="1515"><cell r="C1515" t="str"><v>43293Facebook»AZR»1x1»SocialBan»NA»ALL»DYN»AUT»D»All»SS»NA»Free Acc Refresh - T2 - EN</v></cell><cell r="D1515" t="str"><v>43293223691810</v></cell><cell r="E1515" t="str"><v>432931030587112 - EN</v></cell><cell r="F1515" t="str"><v>DCM</v></cell><cell r="G1515" t="str"><v>https://azure.microsoft.com/en-CA/free/search/</v></cell></row><row r="1515"><cell r="K1515" t="str"><v>July</v></cell><cell r="L1515"><v>43295</v></cell><cell r="M1515" t="str"><v>Tier 1</v></cell><cell r="N1515" t="str"><v>North America</v></cell><cell r="O1515" t="str"><v>Canada</v></cell><cell r="P1515" t="str"><v>Trial</v></cell><cell r="Q1515" t="str"><v>Social</v></cell><cell r="R1515" t="str"><v>Azure</v></cell><cell r="S1515" t="str"><v>Apps & Infra</v></cell><cell r="T1515" t="str"><v>Developers & ITI's</v></cell><cell r="U1515" t="str"><v>AZR</v></cell><cell r="V1515" t="str"><v>Audience Targeting</v></cell><cell r="W1515" t="str"><v>NotApplicable</v></cell><cell r="X1515" t="str"><v>1x1</v></cell></row><row r="1515"><cell r="AA1515"><v>43293</v></cell><cell r="AB1515" t="str"><v>CAN_gaPMG_AZR_AZR_Q1_19_Trial-Social</v></cell><cell r="AC1515"><v>21337220</v></cell><cell r="AD1515"><v>720192</v></cell><cell r="AE1515" t="str"><v>Facebook</v></cell><cell r="AF1515"><v>3654128</v></cell><cell r="AG1515" t="str"><v>Facebook»AZR»1x1»SocialBan»NA»ALL»DYN»AUT»D»All»SS»NA»Free Acc Refresh - T2 - EN</v></cell><cell r="AH1515"><v>223691810</v></cell><cell r="AI1515" t="str"><v>AzurePlatform_FreeAcctAppsFACEBOOKDeviceChB_CAN_1200x628_SOC_PLAT_EN_Trial_Standard_NA_SU_T2_1.png</v></cell><cell r="AJ1515"><v>103058711</v></cell></row><row r="1516"><cell r="C1516" t="str"><v>43293Facebook»AZR»1x1»SocialBan»NA»ALL»DYN»AUT»D»All»SS»NA»Free Acc Refresh - T2 - FR</v></cell><cell r="D1516" t="str"><v>43293223691768</v></cell><cell r="E1516" t="str"><v>432931029029712 - FR</v></cell><cell r="F1516" t="str"><v>DCM</v></cell><cell r="G1516" t="str"><v>https://azure.microsoft.com/fr-ca/free/search/</v></cell></row><row r="1516"><cell r="K1516" t="str"><v>July</v></cell><cell r="L1516"><v>43295</v></cell><cell r="M1516" t="str"><v>Tier 1</v></cell><cell r="N1516" t="str"><v>North America</v></cell><cell r="O1516" t="str"><v>Canada</v></cell><cell r="P1516" t="str"><v>Trial</v></cell><cell r="Q1516" t="str"><v>Social</v></cell><cell r="R1516" t="str"><v>Azure</v></cell><cell r="S1516" t="str"><v>Apps & Infra</v></cell><cell r="T1516" t="str"><v>Developers & ITI's</v></cell><cell r="U1516" t="str"><v>AZR</v></cell><cell r="V1516" t="str"><v>Audience Targeting</v></cell><cell r="W1516" t="str"><v>NotApplicable</v></cell><cell r="X1516" t="str"><v>1x1</v></cell></row><row r="1516"><cell r="AA1516"><v>43293</v></cell><cell r="AB1516" t="str"><v>CAN_gaPMG_AZR_AZR_Q1_19_Trial-Social</v></cell><cell r="AC1516"><v>21337220</v></cell><cell r="AD1516"><v>720192</v></cell><cell r="AE1516" t="str"><v>Facebook</v></cell><cell r="AF1516"><v>3654128</v></cell><cell r="AG1516" t="str"><v>Facebook»AZR»1x1»SocialBan»NA»ALL»DYN»AUT»D»All»SS»NA»Free Acc Refresh - T2 - FR</v></cell><cell r="AH1516"><v>223691768</v></cell><cell r="AI1516" t="str"><v>AzurePlatform_FreeAcctAppsFACEBOOKDeviceChB_CAN_1200x628_SOC_PLAT_FR_Trial_Standard_NA_SU_T2_1.png</v></cell><cell r="AJ1516"><v>102902971</v></cell></row><row r="1517"><cell r="C1517" t="str"><v>43293Facebook»AZR»1x1»SocialBan»NA»ALL»DYN»AUT»D»All»SS»NA»Free Acc Refresh - T3 - EN</v></cell><cell r="D1517" t="str"><v>43293223691807</v></cell><cell r="E1517" t="str"><v>432931029006853 - EN</v></cell><cell r="F1517" t="str"><v>DCM</v></cell><cell r="G1517" t="str"><v>https://azure.microsoft.com/en-CA/free/search/</v></cell></row><row r="1517"><cell r="K1517" t="str"><v>July</v></cell><cell r="L1517"><v>43295</v></cell><cell r="M1517" t="str"><v>Tier 1</v></cell><cell r="N1517" t="str"><v>North America</v></cell><cell r="O1517" t="str"><v>Canada</v></cell><cell r="P1517" t="str"><v>Trial</v></cell><cell r="Q1517" t="str"><v>Social</v></cell><cell r="R1517" t="str"><v>Azure</v></cell><cell r="S1517" t="str"><v>Apps & Infra</v></cell><cell r="T1517" t="str"><v>Developers & ITI's</v></cell><cell r="U1517" t="str"><v>AZR</v></cell><cell r="V1517" t="str"><v>Audience Targeting</v></cell><cell r="W1517" t="str"><v>NotApplicable</v></cell><cell r="X1517" t="str"><v>1x1</v></cell></row><row r="1517"><cell r="AA1517"><v>43293</v></cell><cell r="AB1517" t="str"><v>CAN_gaPMG_AZR_AZR_Q1_19_Trial-Social</v></cell><cell r="AC1517"><v>21337220</v></cell><cell r="AD1517"><v>720192</v></cell><cell r="AE1517" t="str"><v>Facebook</v></cell><cell r="AF1517"><v>3654128</v></cell><cell r="AG1517" t="str"><v>Facebook»AZR»1x1»SocialBan»NA»ALL»DYN»AUT»D»All»SS»NA»Free Acc Refresh - T3 - EN</v></cell><cell r="AH1517"><v>223691807</v></cell><cell r="AI1517" t="str"><v>AzurePlatform_FreeAcctAppsFACEBOOKIllustrationChC_CAN_1200x628_SOC_PLAT_EN_Trial_Standard_NA_SU_T3_1.png</v></cell><cell r="AJ1517"><v>102900685</v></cell></row><row r="1518"><cell r="C1518" t="str"><v>43293Facebook»AZR»1x1»SocialBan»NA»ALL»DYN»AUT»D»All»SS»NA»Free Acc Refresh - T3 - FR</v></cell><cell r="D1518" t="str"><v>43293223691765</v></cell><cell r="E1518" t="str"><v>432931030533323 - FR</v></cell><cell r="F1518" t="str"><v>DCM</v></cell><cell r="G1518" t="str"><v>https://azure.microsoft.com/fr-ca/free/search/</v></cell></row><row r="1518"><cell r="K1518" t="str"><v>July</v></cell><cell r="L1518"><v>43295</v></cell><cell r="M1518" t="str"><v>Tier 1</v></cell><cell r="N1518" t="str"><v>North America</v></cell><cell r="O1518" t="str"><v>Canada</v></cell><cell r="P1518" t="str"><v>Trial</v></cell><cell r="Q1518" t="str"><v>Social</v></cell><cell r="R1518" t="str"><v>Azure</v></cell><cell r="S1518" t="str"><v>Apps & Infra</v></cell><cell r="T1518" t="str"><v>Developers & ITI's</v></cell><cell r="U1518" t="str"><v>AZR</v></cell><cell r="V1518" t="str"><v>Audience Targeting</v></cell><cell r="W1518" t="str"><v>NotApplicable</v></cell><cell r="X1518" t="str"><v>1x1</v></cell></row><row r="1518"><cell r="AA1518"><v>43293</v></cell><cell r="AB1518" t="str"><v>CAN_gaPMG_AZR_AZR_Q1_19_Trial-Social</v></cell><cell r="AC1518"><v>21337220</v></cell><cell r="AD1518"><v>720192</v></cell><cell r="AE1518" t="str"><v>Facebook</v></cell><cell r="AF1518"><v>3654128</v></cell><cell r="AG1518" t="str"><v>Facebook»AZR»1x1»SocialBan»NA»ALL»DYN»AUT»D»All»SS»NA»Free Acc Refresh - T3 - FR</v></cell><cell r="AH1518"><v>223691765</v></cell><cell r="AI1518" t="str"><v>AzurePlatform_FreeAcctAppsFACEBOOKIllustrationChC_CAN_1200x628_SOC_PLAT_FR_Trial_Standard_NA_SU_T3_1.png</v></cell><cell r="AJ1518"><v>103053332</v></cell></row><row r="1519"><cell r="C1519" t="str"><v>43293Facebook»AZR»1x1»SocialBan»NA»ALL»DYN»AUT»D»All»SS»NA»Free Acc Refresh - T4 - EN</v></cell><cell r="D1519" t="str"><v>43293223691813</v></cell><cell r="E1519" t="str"><v>432931030533204 - EN</v></cell><cell r="F1519" t="str"><v>DCM</v></cell><cell r="G1519" t="str"><v>https://azure.microsoft.com/en-CA/free/search/</v></cell></row><row r="1519"><cell r="K1519" t="str"><v>July</v></cell><cell r="L1519"><v>43295</v></cell><cell r="M1519" t="str"><v>Tier 1</v></cell><cell r="N1519" t="str"><v>North America</v></cell><cell r="O1519" t="str"><v>Canada</v></cell><cell r="P1519" t="str"><v>Trial</v></cell><cell r="Q1519" t="str"><v>Social</v></cell><cell r="R1519" t="str"><v>Azure</v></cell><cell r="S1519" t="str"><v>Apps & Infra</v></cell><cell r="T1519" t="str"><v>Developers & ITI's</v></cell><cell r="U1519" t="str"><v>AZR</v></cell><cell r="V1519" t="str"><v>Audience Targeting</v></cell><cell r="W1519" t="str"><v>NotApplicable</v></cell><cell r="X1519" t="str"><v>1x1</v></cell></row><row r="1519"><cell r="AA1519"><v>43293</v></cell><cell r="AB1519" t="str"><v>CAN_gaPMG_AZR_AZR_Q1_19_Trial-Social</v></cell><cell r="AC1519"><v>21337220</v></cell><cell r="AD1519"><v>720192</v></cell><cell r="AE1519" t="str"><v>Facebook</v></cell><cell r="AF1519"><v>3654128</v></cell><cell r="AG1519" t="str"><v>Facebook»AZR»1x1»SocialBan»NA»ALL»DYN»AUT»D»All»SS»NA»Free Acc Refresh - T4 - EN</v></cell><cell r="AH1519"><v>223691813</v></cell><cell r="AI1519" t="str"><v>AzurePlatform_FreeAcctAppsFACEBOOK200CreditChD_CAN_1200x628_SOC_PLAT_EN_Trial_Standard_NA_SU_T4_1.png</v></cell><cell r="AJ1519"><v>103053320</v></cell></row><row r="1520"><cell r="C1520" t="str"><v>43293Facebook»AZR»1x1»SocialBan»NA»ALL»DYN»AUT»D»All»SS»NA»Free Acc Refresh - T5 - EN</v></cell><cell r="D1520" t="str"><v>43293223691816</v></cell><cell r="E1520" t="str"><v>432931029163415 - EN</v></cell><cell r="F1520" t="str"><v>DCM</v></cell><cell r="G1520" t="str"><v>https://azure.microsoft.com/en-CA/free/search/</v></cell></row><row r="1520"><cell r="K1520" t="str"><v>July</v></cell><cell r="L1520"><v>43295</v></cell><cell r="M1520" t="str"><v>Tier 1</v></cell><cell r="N1520" t="str"><v>North America</v></cell><cell r="O1520" t="str"><v>Canada</v></cell><cell r="P1520" t="str"><v>Trial</v></cell><cell r="Q1520" t="str"><v>Social</v></cell><cell r="R1520" t="str"><v>Azure</v></cell><cell r="S1520" t="str"><v>Apps & Infra</v></cell><cell r="T1520" t="str"><v>Developers & ITI's</v></cell><cell r="U1520" t="str"><v>AZR</v></cell><cell r="V1520" t="str"><v>Audience Targeting</v></cell><cell r="W1520" t="str"><v>NotApplicable</v></cell><cell r="X1520" t="str"><v>1x1</v></cell></row><row r="1520"><cell r="AA1520"><v>43293</v></cell><cell r="AB1520" t="str"><v>CAN_gaPMG_AZR_AZR_Q1_19_Trial-Social</v></cell><cell r="AC1520"><v>21337220</v></cell><cell r="AD1520"><v>720192</v></cell><cell r="AE1520" t="str"><v>Facebook</v></cell><cell r="AF1520"><v>3654128</v></cell><cell r="AG1520" t="str"><v>Facebook»AZR»1x1»SocialBan»NA»ALL»DYN»AUT»D»All»SS»NA»Free Acc Refresh - T5 - EN</v></cell><cell r="AH1520"><v>223691816</v></cell><cell r="AI1520" t="str"><v>AzurePlatform_FreeAcctAppsFACEBOOK12monthsChE_CAN_1200x628_SOC_PLAT_EN_Trial_Standard_NA_SU_T5_1.png</v></cell><cell r="AJ1520"><v>102916341</v></cell></row><row r="1521"><cell r="C1521" t="str"><v>43293Facebook»AZR»1x1»SocialBan»NA»ALL»DYN»RT»D»All»SS»NA» Free Account Retargeting OSS - T1 - FR</v></cell><cell r="D1521" t="str"><v>43293223691786</v></cell><cell r="E1521" t="str"><v>432931030587201 - FR</v></cell><cell r="F1521" t="str"><v>DCM</v></cell><cell r="G1521" t="str"><v>https://azure.microsoft.com/fr-ca/free/open-source/search/</v></cell></row><row r="1521"><cell r="K1521" t="str"><v>July</v></cell><cell r="L1521"><v>43295</v></cell><cell r="M1521" t="str"><v>Tier 1</v></cell><cell r="N1521" t="str"><v>North America</v></cell><cell r="O1521" t="str"><v>Canada</v></cell><cell r="P1521" t="str"><v>Trial</v></cell><cell r="Q1521" t="str"><v>Social</v></cell><cell r="R1521" t="str"><v>Azure</v></cell><cell r="S1521" t="str"><v>Apps & Infra</v></cell><cell r="T1521" t="str"><v>Developers & ITI's</v></cell><cell r="U1521" t="str"><v>AZR</v></cell><cell r="V1521" t="str"><v>Retargeting</v></cell><cell r="W1521" t="str"><v>NotApplicable</v></cell><cell r="X1521" t="str"><v>1x1</v></cell></row><row r="1521"><cell r="AA1521"><v>43293</v></cell><cell r="AB1521" t="str"><v>CAN_gaPMG_AZR_AZR_Q1_19_Trial-Social</v></cell><cell r="AC1521"><v>21337220</v></cell><cell r="AD1521"><v>720192</v></cell><cell r="AE1521" t="str"><v>Facebook</v></cell><cell r="AF1521"><v>3654128</v></cell><cell r="AG1521" t="str"><v>Facebook»AZR»1x1»SocialBan»NA»ALL»DYN»RT»D»All»SS»NA» Free Account Retargeting OSS - T1 - FR</v></cell><cell r="AH1521"><v>223691786</v></cell><cell r="AI1521" t="str"><v>AzurePlatform_FreeAcctRetargetingOSSFB-Text-ChF_CAN_1200x628_SOC_Plat_FR_Free Account_Standard_NA_SU_T1_1</v></cell><cell r="AJ1521"><v>103058720</v></cell></row><row r="1522"><cell r="C1522" t="str"><v>43293Facebook»AZR»1x1»SocialBan»NA»ALL»DYN»RT»D»All»SS»NA» Free Account Retargeting OSS - T2 - EN</v></cell><cell r="D1522" t="str"><v>43293223691831</v></cell><cell r="E1522" t="str"><v>432931029138002 - EN</v></cell><cell r="F1522" t="str"><v>DCM</v></cell><cell r="G1522" t="str"><v>https://azure.microsoft.com/en-ca/free/open-source/search/</v></cell></row><row r="1522"><cell r="K1522" t="str"><v>July</v></cell><cell r="L1522"><v>43295</v></cell><cell r="M1522" t="str"><v>Tier 1</v></cell><cell r="N1522" t="str"><v>North America</v></cell><cell r="O1522" t="str"><v>Canada</v></cell><cell r="P1522" t="str"><v>Trial</v></cell><cell r="Q1522" t="str"><v>Social</v></cell><cell r="R1522" t="str"><v>Azure</v></cell><cell r="S1522" t="str"><v>Apps & Infra</v></cell><cell r="T1522" t="str"><v>Developers & ITI's</v></cell><cell r="U1522" t="str"><v>AZR</v></cell><cell r="V1522" t="str"><v>Retargeting</v></cell><cell r="W1522" t="str"><v>NotApplicable</v></cell><cell r="X1522" t="str"><v>1x1</v></cell></row><row r="1522"><cell r="AA1522"><v>43293</v></cell><cell r="AB1522" t="str"><v>CAN_gaPMG_AZR_AZR_Q1_19_Trial-Social</v></cell><cell r="AC1522"><v>21337220</v></cell><cell r="AD1522"><v>720192</v></cell><cell r="AE1522" t="str"><v>Facebook</v></cell><cell r="AF1522"><v>3654128</v></cell><cell r="AG1522" t="str"><v>Facebook»AZR»1x1»SocialBan»NA»ALL»DYN»RT»D»All»SS»NA» Free Account Retargeting OSS - T2 - EN</v></cell><cell r="AH1522"><v>223691831</v></cell><cell r="AI1522" t="str"><v>AzurePlatform_FreeAcctRetargetingOSSFB-Logos-ChG_CAN_1200x628_SOC_Plat_EN_Free Account_Standard_NA_SU_T2_1</v></cell><cell r="AJ1522"><v>102913800</v></cell></row><row r="1523"><cell r="C1523" t="str"><v>43293Facebook»AZR»1x1»SocialBan»NA»ALL»DYN»RT»D»All»SS»NA» Free Account Retargeting OSS - T2 - FR</v></cell><cell r="D1523" t="str"><v>43293223691789</v></cell><cell r="E1523" t="str"><v>432931029006912 - FR</v></cell><cell r="F1523" t="str"><v>DCM</v></cell><cell r="G1523" t="str"><v>https://azure.microsoft.com/fr-ca/free/open-source/search/</v></cell></row><row r="1523"><cell r="K1523" t="str"><v>July</v></cell><cell r="L1523"><v>43295</v></cell><cell r="M1523" t="str"><v>Tier 1</v></cell><cell r="N1523" t="str"><v>North America</v></cell><cell r="O1523" t="str"><v>Canada</v></cell><cell r="P1523" t="str"><v>Trial</v></cell><cell r="Q1523" t="str"><v>Social</v></cell><cell r="R1523" t="str"><v>Azure</v></cell><cell r="S1523" t="str"><v>Apps & Infra</v></cell><cell r="T1523" t="str"><v>Developers & ITI's</v></cell><cell r="U1523" t="str"><v>AZR</v></cell><cell r="V1523" t="str"><v>Retargeting</v></cell><cell r="W1523" t="str"><v>NotApplicable</v></cell><cell r="X1523" t="str"><v>1x1</v></cell></row><row r="1523"><cell r="AA1523"><v>43293</v></cell><cell r="AB1523" t="str"><v>CAN_gaPMG_AZR_AZR_Q1_19_Trial-Social</v></cell><cell r="AC1523"><v>21337220</v></cell><cell r="AD1523"><v>720192</v></cell><cell r="AE1523" t="str"><v>Facebook</v></cell><cell r="AF1523"><v>3654128</v></cell><cell r="AG1523" t="str"><v>Facebook»AZR»1x1»SocialBan»NA»ALL»DYN»RT»D»All»SS»NA» Free Account Retargeting OSS - T2 - FR</v></cell><cell r="AH1523"><v>223691789</v></cell><cell r="AI1523" t="str"><v>AzurePlatform_FreeAcctRetargetingOSSFB-Logos-ChG_CAN_1200x628_SOC_Plat_FR_Free Account_Standard_NA_SU_T2_1</v></cell><cell r="AJ1523"><v>102900691</v></cell></row><row r="1524"><cell r="C1524" t="str"><v>43293Facebook»AZR»1x1»SocialBan»NA»ALL»DYN»RT»D»All»SS»NA»Free Account Retargeting Generic - T2 - EN</v></cell><cell r="D1524" t="str"><v>43293223691834</v></cell><cell r="E1524" t="str"><v>432931029029532 - EN</v></cell><cell r="F1524" t="str"><v>DCM</v></cell><cell r="G1524" t="str"><v>https://azure.microsoft.com/en-CA/free/search/</v></cell></row><row r="1524"><cell r="K1524" t="str"><v>July</v></cell><cell r="L1524"><v>43295</v></cell><cell r="M1524" t="str"><v>Tier 1</v></cell><cell r="N1524" t="str"><v>North America</v></cell><cell r="O1524" t="str"><v>Canada</v></cell><cell r="P1524" t="str"><v>Trial</v></cell><cell r="Q1524" t="str"><v>Social</v></cell><cell r="R1524" t="str"><v>Azure</v></cell><cell r="S1524" t="str"><v>Apps & Infra</v></cell><cell r="T1524" t="str"><v>Developers & ITI's</v></cell><cell r="U1524" t="str"><v>AZR</v></cell><cell r="V1524" t="str"><v>Retargeting</v></cell><cell r="W1524" t="str"><v>NotApplicable</v></cell><cell r="X1524" t="str"><v>1x1</v></cell></row><row r="1524"><cell r="AA1524"><v>43293</v></cell><cell r="AB1524" t="str"><v>CAN_gaPMG_AZR_AZR_Q1_19_Trial-Social</v></cell><cell r="AC1524"><v>21337220</v></cell><cell r="AD1524"><v>720192</v></cell><cell r="AE1524" t="str"><v>Facebook</v></cell><cell r="AF1524"><v>3654128</v></cell><cell r="AG1524" t="str"><v>Facebook»AZR»1x1»SocialBan»NA»ALL»DYN»RT»D»All»SS»NA»Free Account Retargeting Generic - T2 - EN</v></cell><cell r="AH1524"><v>223691834</v></cell><cell r="AI1524" t="str"><v>AzurePlatform_FreeAcctRetargetingFB-GlobalAlt-ChB_CAN_1200x628_SOC_Plat_EN_Free Account_Standard_NA_SU_T2_1</v></cell><cell r="AJ1524"><v>102902953</v></cell></row><row r="1525"><cell r="C1525" t="str"><v>43293Facebook»AZR»1x1»SocialBan»NA»ALL»DYN»RT»D»All»SS»NA»Free Account Retargeting Generic - T2 - FR</v></cell><cell r="D1525" t="str"><v>43293223691792</v></cell><cell r="E1525" t="str"><v>432931029018942 - FR</v></cell><cell r="F1525" t="str"><v>DCM</v></cell><cell r="G1525" t="str"><v>https://azure.microsoft.com/fr-ca/free/search/</v></cell></row><row r="1525"><cell r="K1525" t="str"><v>July</v></cell><cell r="L1525"><v>43295</v></cell><cell r="M1525" t="str"><v>Tier 1</v></cell><cell r="N1525" t="str"><v>North America</v></cell><cell r="O1525" t="str"><v>Canada</v></cell><cell r="P1525" t="str"><v>Trial</v></cell><cell r="Q1525" t="str"><v>Social</v></cell><cell r="R1525" t="str"><v>Azure</v></cell><cell r="S1525" t="str"><v>Apps & Infra</v></cell><cell r="T1525" t="str"><v>Developers & ITI's</v></cell><cell r="U1525" t="str"><v>AZR</v></cell><cell r="V1525" t="str"><v>Retargeting</v></cell><cell r="W1525" t="str"><v>NotApplicable</v></cell><cell r="X1525" t="str"><v>1x1</v></cell></row><row r="1525"><cell r="AA1525"><v>43293</v></cell><cell r="AB1525" t="str"><v>CAN_gaPMG_AZR_AZR_Q1_19_Trial-Social</v></cell><cell r="AC1525"><v>21337220</v></cell><cell r="AD1525"><v>720192</v></cell><cell r="AE1525" t="str"><v>Facebook</v></cell><cell r="AF1525"><v>3654128</v></cell><cell r="AG1525" t="str"><v>Facebook»AZR»1x1»SocialBan»NA»ALL»DYN»RT»D»All»SS»NA»Free Account Retargeting Generic - T2 - FR</v></cell><cell r="AH1525"><v>223691792</v></cell><cell r="AI1525" t="str"><v>AzurePlatform_FreeAcctRetargetingFB-GlobalAlt-ChB_CAN_1200x628_SOC_Plat_FR_Free Account_Standard_NA_SU_T2_1</v></cell><cell r="AJ1525"><v>102901894</v></cell></row><row r="1526"><cell r="C1526" t="str"><v>43293Facebook»AZR»1x1»SocialBan»NA»ALL»DYN»RT»D»All»SS»NA»Free Account Retargeting Generic - T3 - EN</v></cell><cell r="D1526" t="str"><v>43293223691819</v></cell><cell r="E1526" t="str"><v>432931029006823 - EN</v></cell><cell r="F1526" t="str"><v>DCM</v></cell><cell r="G1526" t="str"><v>https://azure.microsoft.com/en-CA/free/search/</v></cell></row><row r="1526"><cell r="K1526" t="str"><v>July</v></cell><cell r="L1526"><v>43295</v></cell><cell r="M1526" t="str"><v>Tier 1</v></cell><cell r="N1526" t="str"><v>North America</v></cell><cell r="O1526" t="str"><v>Canada</v></cell><cell r="P1526" t="str"><v>Trial</v></cell><cell r="Q1526" t="str"><v>Social</v></cell><cell r="R1526" t="str"><v>Azure</v></cell><cell r="S1526" t="str"><v>Apps & Infra</v></cell><cell r="T1526" t="str"><v>Developers & ITI's</v></cell><cell r="U1526" t="str"><v>AZR</v></cell><cell r="V1526" t="str"><v>Retargeting</v></cell><cell r="W1526" t="str"><v>NotApplicable</v></cell><cell r="X1526" t="str"><v>1x1</v></cell></row><row r="1526"><cell r="AA1526"><v>43293</v></cell><cell r="AB1526" t="str"><v>CAN_gaPMG_AZR_AZR_Q1_19_Trial-Social</v></cell><cell r="AC1526"><v>21337220</v></cell><cell r="AD1526"><v>720192</v></cell><cell r="AE1526" t="str"><v>Facebook</v></cell><cell r="AF1526"><v>3654128</v></cell><cell r="AG1526" t="str"><v>Facebook»AZR»1x1»SocialBan»NA»ALL»DYN»RT»D»All»SS»NA»Free Account Retargeting Generic - T3 - EN</v></cell><cell r="AH1526"><v>223691819</v></cell><cell r="AI1526" t="str"><v>AzurePlatform_FreeAcctRetargetingFB-Animated-ChC_CAN_1200x628_SOC_Plat_EN_Free Account_Standard_ANI_SU_T3_1</v></cell><cell r="AJ1526"><v>102900682</v></cell></row><row r="1527"><cell r="C1527" t="str"><v>43293Facebook»AZR»1x1»SocialBan»NA»ALL»DYN»RT»D»All»SS»NA»Free Account Retargeting Generic - T3 - FR</v></cell><cell r="D1527" t="str"><v>43293223691777</v></cell><cell r="E1527" t="str"><v>432931029006973 - FR</v></cell><cell r="F1527" t="str"><v>DCM</v></cell><cell r="G1527" t="str"><v>https://azure.microsoft.com/fr-ca/free/search/</v></cell></row><row r="1527"><cell r="K1527" t="str"><v>July</v></cell><cell r="L1527"><v>43295</v></cell><cell r="M1527" t="str"><v>Tier 1</v></cell><cell r="N1527" t="str"><v>North America</v></cell><cell r="O1527" t="str"><v>Canada</v></cell><cell r="P1527" t="str"><v>Trial</v></cell><cell r="Q1527" t="str"><v>Social</v></cell><cell r="R1527" t="str"><v>Azure</v></cell><cell r="S1527" t="str"><v>Apps & Infra</v></cell><cell r="T1527" t="str"><v>Developers & ITI's</v></cell><cell r="U1527" t="str"><v>AZR</v></cell><cell r="V1527" t="str"><v>Retargeting</v></cell><cell r="W1527" t="str"><v>NotApplicable</v></cell><cell r="X1527" t="str"><v>1x1</v></cell></row><row r="1527"><cell r="AA1527"><v>43293</v></cell><cell r="AB1527" t="str"><v>CAN_gaPMG_AZR_AZR_Q1_19_Trial-Social</v></cell><cell r="AC1527"><v>21337220</v></cell><cell r="AD1527"><v>720192</v></cell><cell r="AE1527" t="str"><v>Facebook</v></cell><cell r="AF1527"><v>3654128</v></cell><cell r="AG1527" t="str"><v>Facebook»AZR»1x1»SocialBan»NA»ALL»DYN»RT»D»All»SS»NA»Free Account Retargeting Generic - T3 - FR</v></cell><cell r="AH1527"><v>223691777</v></cell><cell r="AI1527" t="str"><v>AzurePlatform_FreeAcctRetargetingFB-Animated-ChC_CAN_1200x628_SOC_Plat_FR_Free Account_Standard_ANI_SU_T3_1</v></cell><cell r="AJ1527"><v>102900697</v></cell></row><row r="1528"><cell r="C1528" t="str"><v>43293Facebook»AZR»1x1»SocialBan»NA»ALL»DYN»RT»D»All»SS»NA»Free Account Retargeting VM - T1 - EN</v></cell><cell r="D1528" t="str"><v>43293223691825</v></cell><cell r="E1528" t="str"><v>432931029163381 - EN</v></cell><cell r="F1528" t="str"><v>DCM</v></cell><cell r="G1528" t="str"><v>https://azure.microsoft.com/en-ca/free/virtual-machines/search/</v></cell></row><row r="1528"><cell r="K1528" t="str"><v>July</v></cell><cell r="L1528"><v>43295</v></cell><cell r="M1528" t="str"><v>Tier 1</v></cell><cell r="N1528" t="str"><v>North America</v></cell><cell r="O1528" t="str"><v>Canada</v></cell><cell r="P1528" t="str"><v>Trial</v></cell><cell r="Q1528" t="str"><v>Social</v></cell><cell r="R1528" t="str"><v>Azure</v></cell><cell r="S1528" t="str"><v>Apps & Infra</v></cell><cell r="T1528" t="str"><v>Developers & ITI's</v></cell><cell r="U1528" t="str"><v>AZR</v></cell><cell r="V1528" t="str"><v>Retargeting</v></cell><cell r="W1528" t="str"><v>NotApplicable</v></cell><cell r="X1528" t="str"><v>1x1</v></cell></row><row r="1528"><cell r="AA1528"><v>43293</v></cell><cell r="AB1528" t="str"><v>CAN_gaPMG_AZR_AZR_Q1_19_Trial-Social</v></cell><cell r="AC1528"><v>21337220</v></cell><cell r="AD1528"><v>720192</v></cell><cell r="AE1528" t="str"><v>Facebook</v></cell><cell r="AF1528"><v>3654128</v></cell><cell r="AG1528" t="str"><v>Facebook»AZR»1x1»SocialBan»NA»ALL»DYN»RT»D»All»SS»NA»Free Account Retargeting VM - T1 - EN</v></cell><cell r="AH1528"><v>223691825</v></cell><cell r="AI1528" t="str"><v>AzurePlatform_FreeAcctRetargetingVMFB-750Hrs-ChD_CAN_1200x628_SOC_Plat_EN_Free Account_Standard_NA_SU_T1_1</v></cell><cell r="AJ1528"><v>102916338</v></cell></row><row r="1529"><cell r="C1529" t="str"><v>43293Facebook»AZR»1x1»SocialBan»NA»ALL»DYN»RT»D»All»SS»NA»Free Account Retargeting VM - T2 - EN</v></cell><cell r="D1529" t="str"><v>43293223691822</v></cell><cell r="E1529" t="str"><v>432931030587082 - EN</v></cell><cell r="F1529" t="str"><v>DCM</v></cell><cell r="G1529" t="str"><v>https://azure.microsoft.com/en-ca/free/virtual-machines/search/</v></cell></row><row r="1529"><cell r="K1529" t="str"><v>July</v></cell><cell r="L1529"><v>43295</v></cell><cell r="M1529" t="str"><v>Tier 1</v></cell><cell r="N1529" t="str"><v>North America</v></cell><cell r="O1529" t="str"><v>Canada</v></cell><cell r="P1529" t="str"><v>Trial</v></cell><cell r="Q1529" t="str"><v>Social</v></cell><cell r="R1529" t="str"><v>Azure</v></cell><cell r="S1529" t="str"><v>Apps & Infra</v></cell><cell r="T1529" t="str"><v>Developers & ITI's</v></cell><cell r="U1529" t="str"><v>AZR</v></cell><cell r="V1529" t="str"><v>Retargeting</v></cell><cell r="W1529" t="str"><v>NotApplicable</v></cell><cell r="X1529" t="str"><v>1x1</v></cell></row><row r="1529"><cell r="AA1529"><v>43293</v></cell><cell r="AB1529" t="str"><v>CAN_gaPMG_AZR_AZR_Q1_19_Trial-Social</v></cell><cell r="AC1529"><v>21337220</v></cell><cell r="AD1529"><v>720192</v></cell><cell r="AE1529" t="str"><v>Facebook</v></cell><cell r="AF1529"><v>3654128</v></cell><cell r="AG1529" t="str"><v>Facebook»AZR»1x1»SocialBan»NA»ALL»DYN»RT»D»All»SS»NA»Free Account Retargeting VM - T2 - EN</v></cell><cell r="AH1529"><v>223691822</v></cell><cell r="AI1529" t="str"><v>AzurePlatform_FreeAcctRetargetingVMFB-OnDemand-ChE_CAN_1200x628_SOC_Plat_EN_Free Account_Standard_NA_SU_T2_1</v></cell><cell r="AJ1529"><v>103058708</v></cell></row><row r="1530"><cell r="C1530" t="str"><v>43293Facebook»DEV-ITP-AZR-FB|CanvasAds|Interesttargeting»1x1»TextLink»CAN»DT»CPM»AUT»W»NA»SS»NA»39684020-11000</v></cell><cell r="D1530" t="str"><v>43293224009494</v></cell><cell r="E1530" t="str"><v>43293103236186-11000</v></cell><cell r="F1530" t="str"><v>DCM</v></cell><cell r="G1530" t="str"><v>https://signup.azure.com/signup?offer=ms-azr-0044p&appId=102&ref=paidmedia-social-fb&redirectURL=https%3a%2f%2fazure.microsoft.com%2fde-de%2fget-started%2fwelcome-to-azure%2f&l=de-de&correlationId=ead86c34-1f10-49dd-a72b-6918462a2cbf</v></cell></row><row r="1530"><cell r="K1530" t="str"><v>July</v></cell><cell r="L1530"><v>43295</v></cell><cell r="M1530" t="str"><v>Tier 1</v></cell><cell r="N1530" t="str"><v>EMEA</v></cell><cell r="O1530" t="str"><v>Germany</v></cell><cell r="P1530" t="str"><v>Trial</v></cell><cell r="Q1530" t="str"><v>Social</v></cell><cell r="R1530" t="str"><v>Azure</v></cell><cell r="S1530" t="str"><v>Apps & Infra</v></cell><cell r="T1530" t="str"><v>Developers & ITI's</v></cell><cell r="U1530" t="str"><v>DEV-ITP-AZR-FB|CanvasAds|Interesttargeting</v></cell><cell r="V1530" t="str"><v>Audience Targeting</v></cell><cell r="W1530" t="str"><v>Canvas Ad</v></cell><cell r="X1530" t="str"><v>1x1</v></cell></row><row r="1530"><cell r="AA1530"><v>43293</v></cell><cell r="AB1530" t="str"><v>DEU_gaPMG_AZR_AZR_Q1_19_Trial-Social- 39684</v></cell><cell r="AC1530"><v>21359477</v></cell><cell r="AD1530"><v>720194</v></cell><cell r="AE1530" t="str"><v>Facebook</v></cell><cell r="AF1530"><v>3654128</v></cell><cell r="AG1530" t="str"><v>Facebook»DEV-ITP-AZR-FB|CanvasAds|Interesttargeting»1x1»TextLink»CAN»DT»CPM»AUT»W»NA»SS»NA»39684020-11000</v></cell><cell r="AH1530"><v>224009494</v></cell><cell r="AI1530" t="str"><v>AzurePlatform_FBCTCBasicMotion-StartFreeCT_DEU_10s_ISV_PLAT_DE_Trial_Standard_STAN_TN_T1_1</v></cell><cell r="AJ1530"><v>103236186</v></cell></row><row r="1531"><cell r="C1531" t="str"><v>43293Facebook»DEV-ITP-AZR-FB|CanvasAds|Interesttargeting»1x1»TextLink»CAN»DT»CPM»AUT»W»NA»SS»NA»39684020-11000</v></cell><cell r="D1531" t="str"><v>43293224009494</v></cell><cell r="E1531" t="str"><v>43293103237290-11000</v></cell><cell r="F1531" t="str"><v>DCM</v></cell><cell r="G1531" t="str"><v>https://signup.azure.com/signup?offer=ms-azr-0044p&appId=102&ref=paidmedia-social-fb&redirectURL=https%3a%2f%2fazure.microsoft.com%2fde-de%2fget-started%2fwelcome-to-azure%2f&l=de-de&correlationId=ead86c34-1f10-49dd-a72b-6918462a2cbf</v></cell></row><row r="1531"><cell r="K1531" t="str"><v>July</v></cell><cell r="L1531"><v>43295</v></cell><cell r="M1531" t="str"><v>Tier 1</v></cell><cell r="N1531" t="str"><v>EMEA</v></cell><cell r="O1531" t="str"><v>Germany</v></cell><cell r="P1531" t="str"><v>Trial</v></cell><cell r="Q1531" t="str"><v>Social</v></cell><cell r="R1531" t="str"><v>Azure</v></cell><cell r="S1531" t="str"><v>Apps & Infra</v></cell><cell r="T1531" t="str"><v>Developers & ITI's</v></cell><cell r="U1531" t="str"><v>DEV-ITP-AZR-FB|CanvasAds|Interesttargeting</v></cell><cell r="V1531" t="str"><v>Audience Targeting</v></cell><cell r="W1531" t="str"><v>Canvas Ad</v></cell><cell r="X1531" t="str"><v>1x1</v></cell></row><row r="1531"><cell r="AA1531"><v>43293</v></cell><cell r="AB1531" t="str"><v>DEU_gaPMG_AZR_AZR_Q1_19_Trial-Social- 39684</v></cell><cell r="AC1531"><v>21359477</v></cell><cell r="AD1531"><v>720194</v></cell><cell r="AE1531" t="str"><v>Facebook</v></cell><cell r="AF1531"><v>3654128</v></cell><cell r="AG1531" t="str"><v>Facebook»DEV-ITP-AZR-FB|CanvasAds|Interesttargeting»1x1»TextLink»CAN»DT»CPM»AUT»W»NA»SS»NA»39684020-11000</v></cell><cell r="AH1531"><v>224009494</v></cell><cell r="AI1531" t="str"><v>AzurePlatform_FBCTCBenefit2inMotion-StartFreeCT_DEU_14s_ISV_PLAT_DE_Trial_Standard_STAN_TN_T4_1</v></cell><cell r="AJ1531"><v>103237290</v></cell></row><row r="1532"><cell r="C1532" t="str"><v>43293Facebook»DEV-ITP-AZR-FB|CanvasAds|Interesttargeting»1x1»TextLink»CAN»DT»CPM»AUT»W»NA»SS»NA»39684020-11000</v></cell><cell r="D1532" t="str"><v>43293224009494</v></cell><cell r="E1532" t="str"><v>43293103350059-11000</v></cell><cell r="F1532" t="str"><v>DCM</v></cell><cell r="G1532" t="str"><v>https://azure.microsoft.com/de-de/pricing/purchase-options/</v></cell></row><row r="1532"><cell r="K1532" t="str"><v>July</v></cell><cell r="L1532"><v>43295</v></cell><cell r="M1532" t="str"><v>Tier 1</v></cell><cell r="N1532" t="str"><v>EMEA</v></cell><cell r="O1532" t="str"><v>Germany</v></cell><cell r="P1532" t="str"><v>Trial</v></cell><cell r="Q1532" t="str"><v>Social</v></cell><cell r="R1532" t="str"><v>Azure</v></cell><cell r="S1532" t="str"><v>Apps & Infra</v></cell><cell r="T1532" t="str"><v>Developers & ITI's</v></cell><cell r="U1532" t="str"><v>DEV-ITP-AZR-FB|CanvasAds|Interesttargeting</v></cell><cell r="V1532" t="str"><v>Audience Targeting</v></cell><cell r="W1532" t="str"><v>Canvas Ad</v></cell><cell r="X1532" t="str"><v>1x1</v></cell></row><row r="1532"><cell r="AA1532"><v>43293</v></cell><cell r="AB1532" t="str"><v>DEU_gaPMG_AZR_AZR_Q1_19_Trial-Social- 39684</v></cell><cell r="AC1532"><v>21359477</v></cell><cell r="AD1532"><v>720194</v></cell><cell r="AE1532" t="str"><v>Facebook</v></cell><cell r="AF1532"><v>3654128</v></cell><cell r="AG1532" t="str"><v>Facebook»DEV-ITP-AZR-FB|CanvasAds|Interesttargeting»1x1»TextLink»CAN»DT»CPM»AUT»W»NA»SS»NA»39684020-11000</v></cell><cell r="AH1532"><v>224009494</v></cell><cell r="AI1532" t="str"><v>AzurePlatform_FBCTCBrandinMotion-BuyNow_DEU_12s_ISV_PLAT_DE_Trial_Standard_STAN_TN_T2_1</v></cell><cell r="AJ1532"><v>103350059</v></cell></row><row r="1533"><cell r="C1533" t="str"><v>43293Facebook»DEV-ITP-AZR-FB|CanvasAds|Interesttargeting»1x1»TextLink»CAN»DT»CPM»AUT»W»NA»SS»NA»39684020-11000</v></cell><cell r="D1533" t="str"><v>43293224009494</v></cell><cell r="E1533" t="str"><v>43293103237293-11000</v></cell><cell r="F1533" t="str"><v>DCM</v></cell><cell r="G1533" t="str"><v>https://signup.azure.com/signup?offer=ms-azr-0044p&appId=102&ref=paidmedia-social-fb&redirectURL=https%3a%2f%2fazure.microsoft.com%2fde-de%2fget-started%2fwelcome-to-azure%2f&l=de-de&correlationId=ead86c34-1f10-49dd-a72b-6918462a2cbf</v></cell></row><row r="1533"><cell r="K1533" t="str"><v>July</v></cell><cell r="L1533"><v>43295</v></cell><cell r="M1533" t="str"><v>Tier 1</v></cell><cell r="N1533" t="str"><v>EMEA</v></cell><cell r="O1533" t="str"><v>Germany</v></cell><cell r="P1533" t="str"><v>Trial</v></cell><cell r="Q1533" t="str"><v>Social</v></cell><cell r="R1533" t="str"><v>Azure</v></cell><cell r="S1533" t="str"><v>Apps & Infra</v></cell><cell r="T1533" t="str"><v>Developers & ITI's</v></cell><cell r="U1533" t="str"><v>DEV-ITP-AZR-FB|CanvasAds|Interesttargeting</v></cell><cell r="V1533" t="str"><v>Audience Targeting</v></cell><cell r="W1533" t="str"><v>Canvas Ad</v></cell><cell r="X1533" t="str"><v>1x1</v></cell></row><row r="1533"><cell r="AA1533"><v>43293</v></cell><cell r="AB1533" t="str"><v>DEU_gaPMG_AZR_AZR_Q1_19_Trial-Social- 39684</v></cell><cell r="AC1533"><v>21359477</v></cell><cell r="AD1533"><v>720194</v></cell><cell r="AE1533" t="str"><v>Facebook</v></cell><cell r="AF1533"><v>3654128</v></cell><cell r="AG1533" t="str"><v>Facebook»DEV-ITP-AZR-FB|CanvasAds|Interesttargeting»1x1»TextLink»CAN»DT»CPM»AUT»W»NA»SS»NA»39684020-11000</v></cell><cell r="AH1533"><v>224009494</v></cell><cell r="AI1533" t="str"><v>AzurePlatform_FBCTCBrandinMotion-StartFreeCT_DEU_12s_ISV_PLAT_DE_Trial_Standard_STAN_TN_T2_1</v></cell><cell r="AJ1533"><v>103237293</v></cell></row><row r="1534"><cell r="C1534" t="str"><v>43293Facebook»DEV-ITP-AZR-FB|LinkAd|CustomerAudienceRetargeting»1x1»TextLink»LIA»DT»CPM»RT»W»NA»SS»NA»39684019-11000</v></cell><cell r="D1534" t="str"><v>43293224010415</v></cell><cell r="E1534" t="str"><v>43293103048548-11000</v></cell><cell r="F1534" t="str"><v>DCM</v></cell><cell r="G1534" t="str"><v>https://azure.microsoft.com/de-de/free/search/</v></cell></row><row r="1534"><cell r="K1534" t="str"><v>July</v></cell><cell r="L1534"><v>43295</v></cell><cell r="M1534" t="str"><v>Tier 1</v></cell><cell r="N1534" t="str"><v>EMEA</v></cell><cell r="O1534" t="str"><v>Germany</v></cell><cell r="P1534" t="str"><v>Trial</v></cell><cell r="Q1534" t="str"><v>Social</v></cell><cell r="R1534" t="str"><v>Azure</v></cell><cell r="S1534" t="str"><v>Apps & Infra</v></cell><cell r="T1534" t="str"><v>Developers & ITI's</v></cell><cell r="U1534" t="str"><v>DEV-ITP-AZR-FB|LinkAd|CustomerAudienceRetargeting</v></cell><cell r="V1534" t="str"><v>Retargeting</v></cell><cell r="W1534" t="str"><v>Link Ad</v></cell><cell r="X1534" t="str"><v>1x1</v></cell></row><row r="1534"><cell r="AA1534"><v>43293</v></cell><cell r="AB1534" t="str"><v>DEU_gaPMG_AZR_AZR_Q1_19_Trial-Social- 39684</v></cell><cell r="AC1534"><v>21359477</v></cell><cell r="AD1534"><v>720194</v></cell><cell r="AE1534" t="str"><v>Facebook</v></cell><cell r="AF1534"><v>3654128</v></cell><cell r="AG1534" t="str"><v>Facebook»DEV-ITP-AZR-FB|LinkAd|CustomerAudienceRetargeting»1x1»TextLink»LIA»DT»CPM»RT»W»NA»SS»NA»39684019-11000</v></cell><cell r="AH1534"><v>224010415</v></cell><cell r="AI1534" t="str"><v>AzurePlatform_FreeAcctRetargetingFB-Animated-ChC_DEU_1200x628_SOC_Plat_DE_Free Account_Standard_ANI_SNU_T3_1</v></cell><cell r="AJ1534"><v>103048548</v></cell></row><row r="1535"><cell r="C1535" t="str"><v>43293Facebook»DEV-ITP-AZR-FB|LinkAd|CustomerAudienceRetargeting»1x1»TextLink»LIA»DT»CPM»RT»W»NA»SS»NA»39684019-11000</v></cell><cell r="D1535" t="str"><v>43293224010415</v></cell><cell r="E1535" t="str"><v>43293103040320-11000</v></cell><cell r="F1535" t="str"><v>DCM</v></cell><cell r="G1535" t="str"><v>https://azure.microsoft.com/de-de/free/search/</v></cell></row><row r="1535"><cell r="K1535" t="str"><v>July</v></cell><cell r="L1535"><v>43295</v></cell><cell r="M1535" t="str"><v>Tier 1</v></cell><cell r="N1535" t="str"><v>EMEA</v></cell><cell r="O1535" t="str"><v>Germany</v></cell><cell r="P1535" t="str"><v>Trial</v></cell><cell r="Q1535" t="str"><v>Social</v></cell><cell r="R1535" t="str"><v>Azure</v></cell><cell r="S1535" t="str"><v>Apps & Infra</v></cell><cell r="T1535" t="str"><v>Developers & ITI's</v></cell><cell r="U1535" t="str"><v>DEV-ITP-AZR-FB|LinkAd|CustomerAudienceRetargeting</v></cell><cell r="V1535" t="str"><v>Retargeting</v></cell><cell r="W1535" t="str"><v>Link Ad</v></cell><cell r="X1535" t="str"><v>1x1</v></cell></row><row r="1535"><cell r="AA1535"><v>43293</v></cell><cell r="AB1535" t="str"><v>DEU_gaPMG_AZR_AZR_Q1_19_Trial-Social- 39684</v></cell><cell r="AC1535"><v>21359477</v></cell><cell r="AD1535"><v>720194</v></cell><cell r="AE1535" t="str"><v>Facebook</v></cell><cell r="AF1535"><v>3654128</v></cell><cell r="AG1535" t="str"><v>Facebook»DEV-ITP-AZR-FB|LinkAd|CustomerAudienceRetargeting»1x1»TextLink»LIA»DT»CPM»RT»W»NA»SS»NA»39684019-11000</v></cell><cell r="AH1535"><v>224010415</v></cell><cell r="AI1535" t="str"><v>AzurePlatform_FreeAcctRetargetingFB-GlobalAlt-ChB_DEU_1200x628_SOC_Plat_DE_Free Account_Standard_NA_SNU_T2_1</v></cell><cell r="AJ1535"><v>103040320</v></cell></row><row r="1536"><cell r="C1536" t="str"><v>43293Facebook»DEV-ITP-AZR-FB|LinkAd|CustomerAudienceRetargeting»1x1»TextLink»LIA»DT»CPM»RT»W»NA»SS»NA»39684019-11000</v></cell><cell r="D1536" t="str"><v>43293224010415</v></cell><cell r="E1536" t="str"><v>43293103043329-11000</v></cell><cell r="F1536" t="str"><v>DCM</v></cell><cell r="G1536" t="str"><v>https://azure.microsoft.com/de-de/free/open-source/search/</v></cell></row><row r="1536"><cell r="K1536" t="str"><v>July</v></cell><cell r="L1536"><v>43295</v></cell><cell r="M1536" t="str"><v>Tier 1</v></cell><cell r="N1536" t="str"><v>EMEA</v></cell><cell r="O1536" t="str"><v>Germany</v></cell><cell r="P1536" t="str"><v>Trial</v></cell><cell r="Q1536" t="str"><v>Social</v></cell><cell r="R1536" t="str"><v>Azure</v></cell><cell r="S1536" t="str"><v>Apps & Infra</v></cell><cell r="T1536" t="str"><v>Developers & ITI's</v></cell><cell r="U1536" t="str"><v>DEV-ITP-AZR-FB|LinkAd|CustomerAudienceRetargeting</v></cell><cell r="V1536" t="str"><v>Retargeting</v></cell><cell r="W1536" t="str"><v>Link Ad</v></cell><cell r="X1536" t="str"><v>1x1</v></cell></row><row r="1536"><cell r="AA1536"><v>43293</v></cell><cell r="AB1536" t="str"><v>DEU_gaPMG_AZR_AZR_Q1_19_Trial-Social- 39684</v></cell><cell r="AC1536"><v>21359477</v></cell><cell r="AD1536"><v>720194</v></cell><cell r="AE1536" t="str"><v>Facebook</v></cell><cell r="AF1536"><v>3654128</v></cell><cell r="AG1536" t="str"><v>Facebook»DEV-ITP-AZR-FB|LinkAd|CustomerAudienceRetargeting»1x1»TextLink»LIA»DT»CPM»RT»W»NA»SS»NA»39684019-11000</v></cell><cell r="AH1536"><v>224010415</v></cell><cell r="AI1536" t="str"><v>AzurePlatform_FreeAcctRetargetingOSSFB-Logos-ChG_DEU_1200x628_SOC_Plat_DE_Free Account_Standard_NA_SNU_T2_1</v></cell><cell r="AJ1536"><v>103043329</v></cell></row><row r="1537"><cell r="C1537" t="str"><v>43293Facebook»DEV-ITP-AZR-FB|LinkAd|CustomerAudienceRetargeting»1x1»TextLink»LIA»DT»CPM»RT»W»NA»SS»NA»39684019-11000</v></cell><cell r="D1537" t="str"><v>43293224010415</v></cell><cell r="E1537" t="str"><v>43293103055394-11000</v></cell><cell r="F1537" t="str"><v>DCM</v></cell><cell r="G1537" t="str"><v>https://azure.microsoft.com/de-de/free/open-source/search/</v></cell></row><row r="1537"><cell r="K1537" t="str"><v>July</v></cell><cell r="L1537"><v>43295</v></cell><cell r="M1537" t="str"><v>Tier 1</v></cell><cell r="N1537" t="str"><v>EMEA</v></cell><cell r="O1537" t="str"><v>Germany</v></cell><cell r="P1537" t="str"><v>Trial</v></cell><cell r="Q1537" t="str"><v>Social</v></cell><cell r="R1537" t="str"><v>Azure</v></cell><cell r="S1537" t="str"><v>Apps & Infra</v></cell><cell r="T1537" t="str"><v>Developers & ITI's</v></cell><cell r="U1537" t="str"><v>DEV-ITP-AZR-FB|LinkAd|CustomerAudienceRetargeting</v></cell><cell r="V1537" t="str"><v>Retargeting</v></cell><cell r="W1537" t="str"><v>Link Ad</v></cell><cell r="X1537" t="str"><v>1x1</v></cell></row><row r="1537"><cell r="AA1537"><v>43293</v></cell><cell r="AB1537" t="str"><v>DEU_gaPMG_AZR_AZR_Q1_19_Trial-Social- 39684</v></cell><cell r="AC1537"><v>21359477</v></cell><cell r="AD1537"><v>720194</v></cell><cell r="AE1537" t="str"><v>Facebook</v></cell><cell r="AF1537"><v>3654128</v></cell><cell r="AG1537" t="str"><v>Facebook»DEV-ITP-AZR-FB|LinkAd|CustomerAudienceRetargeting»1x1»TextLink»LIA»DT»CPM»RT»W»NA»SS»NA»39684019-11000</v></cell><cell r="AH1537"><v>224010415</v></cell><cell r="AI1537" t="str"><v>AzurePlatform_FreeAcctRetargetingOSSFB-Text-ChF_DEU_1200x628_SOC_Plat_DE_Free Account_Standard_NA_SNU_T1_1</v></cell><cell r="AJ1537"><v>103055394</v></cell></row><row r="1538"><cell r="C1538" t="str"><v>43293Facebook»DEV-ITP-AZR-FB|LinkAd|CustomerAudienceRetargeting»1x1»TextLink»LIA»DT»CPM»RT»W»NA»SS»NA»39684019-11000</v></cell><cell r="D1538" t="str"><v>43293224010415</v></cell><cell r="E1538" t="str"><v>43293103043341-11000</v></cell><cell r="F1538" t="str"><v>DCM</v></cell><cell r="G1538" t="str"><v>https://azure.microsoft.com/de-de/free/virtual-machines/search/</v></cell></row><row r="1538"><cell r="K1538" t="str"><v>July</v></cell><cell r="L1538"><v>43295</v></cell><cell r="M1538" t="str"><v>Tier 1</v></cell><cell r="N1538" t="str"><v>EMEA</v></cell><cell r="O1538" t="str"><v>Germany</v></cell><cell r="P1538" t="str"><v>Trial</v></cell><cell r="Q1538" t="str"><v>Social</v></cell><cell r="R1538" t="str"><v>Azure</v></cell><cell r="S1538" t="str"><v>Apps & Infra</v></cell><cell r="T1538" t="str"><v>Developers & ITI's</v></cell><cell r="U1538" t="str"><v>DEV-ITP-AZR-FB|LinkAd|CustomerAudienceRetargeting</v></cell><cell r="V1538" t="str"><v>Retargeting</v></cell><cell r="W1538" t="str"><v>Link Ad</v></cell><cell r="X1538" t="str"><v>1x1</v></cell></row><row r="1538"><cell r="AA1538"><v>43293</v></cell><cell r="AB1538" t="str"><v>DEU_gaPMG_AZR_AZR_Q1_19_Trial-Social- 39684</v></cell><cell r="AC1538"><v>21359477</v></cell><cell r="AD1538"><v>720194</v></cell><cell r="AE1538" t="str"><v>Facebook</v></cell><cell r="AF1538"><v>3654128</v></cell><cell r="AG1538" t="str"><v>Facebook»DEV-ITP-AZR-FB|LinkAd|CustomerAudienceRetargeting»1x1»TextLink»LIA»DT»CPM»RT»W»NA»SS»NA»39684019-11000</v></cell><cell r="AH1538"><v>224010415</v></cell><cell r="AI1538" t="str"><v>AzurePlatform_FreeAcctRetargetingVMFB-750Hrs-ChD_DEU_1200x628_SOC_Plat_DE_Free Account_Standard_NA_SNU_T1_1</v></cell><cell r="AJ1538"><v>103043341</v></cell></row><row r="1539"><cell r="C1539" t="str"><v>43293Facebook»Developers/ITPros-Azure Direct-Sponsored Post-Canvas-FBCTCcanvaspage-BuyNowCTA-Img3_FBCTCBasicMotion_FRA_10sec»1x1»Canvas»SOC»ALL»CPC»BT»D»UNK»SS»NA»Trials</v></cell><cell r="D1539" t="str"><v>43293224369893</v></cell><cell r="E1539" t="str"><v>43293103256571Trials</v></cell><cell r="F1539" t="str"><v>DCM</v></cell><cell r="G1539" t="str"><v>https://azure.microsoft.com/fr-fr/pricing/purchase-options/</v></cell></row><row r="1539"><cell r="K1539" t="str"><v>July</v></cell><cell r="L1539"><v>43295</v></cell><cell r="M1539" t="str"><v>Tier 1</v></cell><cell r="N1539" t="str"><v>EMEA</v></cell><cell r="O1539" t="str"><v>France</v></cell><cell r="P1539" t="str"><v>Trial</v></cell><cell r="Q1539" t="str"><v>Social</v></cell><cell r="R1539" t="str"><v>Azure</v></cell><cell r="S1539" t="str"><v>Apps & Infra</v></cell><cell r="T1539" t="str"><v>Developers & ITI's</v></cell><cell r="U1539" t="str"><v>Developers/ITPros-Azure Direct-Sponsored Post-Canvas-FBCTCcanvaspage-BuyNowCTA-Img3_FBCTCBasicMotion_FRA_10sec</v></cell><cell r="V1539" t="str"><v>Behavioral Targeting</v></cell><cell r="W1539" t="str"><v>Social</v></cell><cell r="X1539" t="str"><v>1x1</v></cell></row><row r="1539"><cell r="AA1539"><v>43293</v></cell><cell r="AB1539" t="str"><v>FRA_gaPMG_AZR_AZR_Q1_19_AzureDirect-Trial-Social</v></cell><cell r="AC1539"><v>21356941</v></cell><cell r="AD1539"><v>720193</v></cell><cell r="AE1539" t="str"><v>Facebook</v></cell><cell r="AF1539"><v>3654128</v></cell><cell r="AG1539" t="str"><v>Facebook»Developers/ITPros-Azure Direct-Sponsored Post-Canvas-FBCTCcanvaspage-BuyNowCTA-Img3_FBCTCBasicMotion_FRA_10sec»1x1»Canvas»SOC»ALL»CPC»BT»D»UNK»SS»NA»Trials</v></cell><cell r="AH1539"><v>224369893</v></cell><cell r="AI1539" t="str"><v>AZR_FBCTCcanvaspage-BuyNowCTA-Img3_FRA_1080x162_SOC_AZRDirect_French_NA_Facebook_SBAN_BN_T3_1</v></cell><cell r="AJ1539"><v>103256571</v></cell></row><row r="1540"><cell r="C1540" t="str"><v>43293Facebook»Developers/ITPros-Azure Direct-Sponsored Post-Canvas-FBCTCcanvaspage-BuyNowCTA-Img3_FBCTCBrandinMotion_FRA_14sec»1x1»Canvas»SOC»ALL»CPC»BT»D»UNK»SS»NA»Trials</v></cell><cell r="D1540" t="str"><v>43293224416918</v></cell><cell r="E1540" t="str"><v>43293103256571Trials</v></cell><cell r="F1540" t="str"><v>DCM</v></cell><cell r="G1540" t="str"><v>https://azure.microsoft.com/fr-fr/pricing/purchase-options/</v></cell></row><row r="1540"><cell r="K1540" t="str"><v>July</v></cell><cell r="L1540"><v>43295</v></cell><cell r="M1540" t="str"><v>Tier 1</v></cell><cell r="N1540" t="str"><v>EMEA</v></cell><cell r="O1540" t="str"><v>France</v></cell><cell r="P1540" t="str"><v>Trial</v></cell><cell r="Q1540" t="str"><v>Social</v></cell><cell r="R1540" t="str"><v>Azure</v></cell><cell r="S1540" t="str"><v>Apps & Infra</v></cell><cell r="T1540" t="str"><v>Developers & ITI's</v></cell><cell r="U1540" t="str"><v>Developers/ITPros-Azure Direct-Sponsored Post-Canvas-FBCTCcanvaspage-BuyNowCTA-Img3_FBCTCBrandinMotion_FRA_14sec</v></cell><cell r="V1540" t="str"><v>Behavioral Targeting</v></cell><cell r="W1540" t="str"><v>Social</v></cell><cell r="X1540" t="str"><v>1x1</v></cell></row><row r="1540"><cell r="AA1540"><v>43293</v></cell><cell r="AB1540" t="str"><v>FRA_gaPMG_AZR_AZR_Q1_19_AzureDirect-Trial-Social</v></cell><cell r="AC1540"><v>21356941</v></cell><cell r="AD1540"><v>720193</v></cell><cell r="AE1540" t="str"><v>Facebook</v></cell><cell r="AF1540"><v>3654128</v></cell><cell r="AG1540" t="str"><v>Facebook»Developers/ITPros-Azure Direct-Sponsored Post-Canvas-FBCTCcanvaspage-BuyNowCTA-Img3_FBCTCBrandinMotion_FRA_14sec»1x1»Canvas»SOC»ALL»CPC»BT»D»UNK»SS»NA»Trials</v></cell><cell r="AH1540"><v>224416918</v></cell><cell r="AI1540" t="str"><v>AZR_FBCTCcanvaspage-BuyNowCTA-Img3_FRA_1080x162_SOC_AZRDirect_French_NA_Facebook_SBAN_BN_T3_1</v></cell><cell r="AJ1540"><v>103256571</v></cell></row><row r="1541"><cell r="C1541" t="str"><v>43293Facebook»Developers/ITPros-Azure Direct-Sponsored Post-Canvas-FBCTCcanvaspage-StartFreeCTA-Img2_FBCTCBasicMotion_FRA_10sec»1x1»Canvas»SOC»ALL»CPC»BT»D»UNK»SS»NA»Trials</v></cell><cell r="D1541" t="str"><v>43293224560884</v></cell><cell r="E1541" t="str"><v>43293103259958Trials</v></cell><cell r="F1541" t="str"><v>DCM</v></cell><cell r="G1541" t="str"><v>https://signup.azure.com/signup?offer=ms-azr-0044p&appId=102&ref=paidmedia-social-fb&redirectURL=https%3a%2f%2fazure.microsoft.com%2ffr-fr%2fget-started%2fwelcome-to-azure%2f&l=fr-fr&correlationId=ead86c34-1f10-49dd-a72b-6918462a2cbf</v></cell></row><row r="1541"><cell r="K1541" t="str"><v>July</v></cell><cell r="L1541"><v>43295</v></cell><cell r="M1541" t="str"><v>Tier 1</v></cell><cell r="N1541" t="str"><v>EMEA</v></cell><cell r="O1541" t="str"><v>France</v></cell><cell r="P1541" t="str"><v>Trial</v></cell><cell r="Q1541" t="str"><v>Social</v></cell><cell r="R1541" t="str"><v>Azure</v></cell><cell r="S1541" t="str"><v>Apps & Infra</v></cell><cell r="T1541" t="str"><v>Developers & ITI's</v></cell><cell r="U1541" t="str"><v>Developers/ITPros-Azure Direct-Sponsored Post-Canvas-FBCTCcanvaspage-StartFreeCTA-Img2_FBCTCBasicMotion_FRA_10sec</v></cell><cell r="V1541" t="str"><v>Behavioral Targeting</v></cell><cell r="W1541" t="str"><v>Social</v></cell><cell r="X1541" t="str"><v>1x1</v></cell></row><row r="1541"><cell r="AA1541"><v>43293</v></cell><cell r="AB1541" t="str"><v>FRA_gaPMG_AZR_AZR_Q1_19_AzureDirect-Trial-Social</v></cell><cell r="AC1541"><v>21356941</v></cell><cell r="AD1541"><v>720193</v></cell><cell r="AE1541" t="str"><v>Facebook</v></cell><cell r="AF1541"><v>3654128</v></cell><cell r="AG1541" t="str"><v>Facebook»Developers/ITPros-Azure Direct-Sponsored Post-Canvas-FBCTCcanvaspage-StartFreeCTA-Img2_FBCTCBasicMotion_FRA_10sec»1x1»Canvas»SOC»ALL»CPC»BT»D»UNK»SS»NA»Trials</v></cell><cell r="AH1541"><v>224560884</v></cell><cell r="AI1541" t="str"><v>AZR_FBCTCcanvaspage-StartFreeCTA-Img2_FRA_1080x143_SOC_AZRDirect_French_NA_Facebook_SBAN_BN_T2_1</v></cell><cell r="AJ1541"><v>103259958</v></cell></row><row r="1542"><cell r="C1542" t="str"><v>43293Facebook»Developers/ITPros-Azure Direct-Sponsored Post-Canvas-FBCTCcanvaspage-StartFreeCTA-Img2_FBCTCBrandinMotion_FRA_12sec»1x1»Canvas»SOC»ALL»CPC»BT»D»UNK»SS»NA»Trials</v></cell><cell r="D1542" t="str"><v>43293224560878</v></cell><cell r="E1542" t="str"><v>43293103259958Trials</v></cell><cell r="F1542" t="str"><v>DCM</v></cell><cell r="G1542" t="str"><v>https://signup.azure.com/signup?offer=ms-azr-0044p&appId=102&ref=paidmedia-social-fb&redirectURL=https%3a%2f%2fazure.microsoft.com%2ffr-fr%2fget-started%2fwelcome-to-azure%2f&l=fr-fr&correlationId=ead86c34-1f10-49dd-a72b-6918462a2cbf</v></cell></row><row r="1542"><cell r="K1542" t="str"><v>July</v></cell><cell r="L1542"><v>43295</v></cell><cell r="M1542" t="str"><v>Tier 1</v></cell><cell r="N1542" t="str"><v>EMEA</v></cell><cell r="O1542" t="str"><v>France</v></cell><cell r="P1542" t="str"><v>Trial</v></cell><cell r="Q1542" t="str"><v>Social</v></cell><cell r="R1542" t="str"><v>Azure</v></cell><cell r="S1542" t="str"><v>Apps & Infra</v></cell><cell r="T1542" t="str"><v>Developers & ITI's</v></cell><cell r="U1542" t="str"><v>Developers/ITPros-Azure Direct-Sponsored Post-Canvas-FBCTCcanvaspage-StartFreeCTA-Img2_FBCTCBrandinMotion_FRA_12sec</v></cell><cell r="V1542" t="str"><v>Behavioral Targeting</v></cell><cell r="W1542" t="str"><v>Social</v></cell><cell r="X1542" t="str"><v>1x1</v></cell></row><row r="1542"><cell r="AA1542"><v>43293</v></cell><cell r="AB1542" t="str"><v>FRA_gaPMG_AZR_AZR_Q1_19_AzureDirect-Trial-Social</v></cell><cell r="AC1542"><v>21356941</v></cell><cell r="AD1542"><v>720193</v></cell><cell r="AE1542" t="str"><v>Facebook</v></cell><cell r="AF1542"><v>3654128</v></cell><cell r="AG1542" t="str"><v>Facebook»Developers/ITPros-Azure Direct-Sponsored Post-Canvas-FBCTCcanvaspage-StartFreeCTA-Img2_FBCTCBrandinMotion_FRA_12sec»1x1»Canvas»SOC»ALL»CPC»BT»D»UNK»SS»NA»Trials</v></cell><cell r="AH1542"><v>224560878</v></cell><cell r="AI1542" t="str"><v>AZR_FBCTCcanvaspage-StartFreeCTA-Img2_FRA_1080x143_SOC_AZRDirect_French_NA_Facebook_SBAN_BN_T2_1</v></cell><cell r="AJ1542"><v>103259958</v></cell></row><row r="1543"><cell r="C1543" t="str"><v>43293Facebook»Developers/ITPros-Azure Direct-Sponsored Post-Canvas-FBCTCcanvaspage-StartFreeCTA-Img2_FBCTCBrandinMotion_FRA_14sec»1x1»Canvas»SOC»ALL»CPC»BT»D»UNK»SS»NA»Trials</v></cell><cell r="D1543" t="str"><v>43293224560872</v></cell><cell r="E1543" t="str"><v>43293103259958Trials</v></cell><cell r="F1543" t="str"><v>DCM</v></cell><cell r="G1543" t="str"><v>https://signup.azure.com/signup?offer=ms-azr-0044p&appId=102&ref=paidmedia-social-fb&redirectURL=https%3a%2f%2fazure.microsoft.com%2ffr-fr%2fget-started%2fwelcome-to-azure%2f&l=fr-fr&correlationId=ead86c34-1f10-49dd-a72b-6918462a2cbf</v></cell></row><row r="1543"><cell r="K1543" t="str"><v>July</v></cell><cell r="L1543"><v>43295</v></cell><cell r="M1543" t="str"><v>Tier 1</v></cell><cell r="N1543" t="str"><v>EMEA</v></cell><cell r="O1543" t="str"><v>France</v></cell><cell r="P1543" t="str"><v>Trial</v></cell><cell r="Q1543" t="str"><v>Social</v></cell><cell r="R1543" t="str"><v>Azure</v></cell><cell r="S1543" t="str"><v>Apps & Infra</v></cell><cell r="T1543" t="str"><v>Developers & ITI's</v></cell><cell r="U1543" t="str"><v>Developers/ITPros-Azure Direct-Sponsored Post-Canvas-FBCTCcanvaspage-StartFreeCTA-Img2_FBCTCBrandinMotion_FRA_14sec</v></cell><cell r="V1543" t="str"><v>Behavioral Targeting</v></cell><cell r="W1543" t="str"><v>Social</v></cell><cell r="X1543" t="str"><v>1x1</v></cell></row><row r="1543"><cell r="AA1543"><v>43293</v></cell><cell r="AB1543" t="str"><v>FRA_gaPMG_AZR_AZR_Q1_19_AzureDirect-Trial-Social</v></cell><cell r="AC1543"><v>21356941</v></cell><cell r="AD1543"><v>720193</v></cell><cell r="AE1543" t="str"><v>Facebook</v></cell><cell r="AF1543"><v>3654128</v></cell><cell r="AG1543" t="str"><v>Facebook»Developers/ITPros-Azure Direct-Sponsored Post-Canvas-FBCTCcanvaspage-StartFreeCTA-Img2_FBCTCBrandinMotion_FRA_14sec»1x1»Canvas»SOC»ALL»CPC»BT»D»UNK»SS»NA»Trials</v></cell><cell r="AH1543"><v>224560872</v></cell><cell r="AI1543" t="str"><v>AZR_FBCTCcanvaspage-StartFreeCTA-Img2_FRA_1080x143_SOC_AZRDirect_French_NA_Facebook_SBAN_BN_T2_1</v></cell><cell r="AJ1543"><v>103259958</v></cell></row><row r="1544"><cell r="C1544" t="str"><v>43293Facebook»Developers/ITPros-Azure Direct-Sponsored Post-Link Ad-FreeAcctRetargetingFB-GlobalAlt-ChB»1x1»SocialBan»SOC»ALL»CPC»BT»D»UNK»SS»NA»Trials</v></cell><cell r="D1544" t="str"><v>43293224560845</v></cell><cell r="E1544" t="str"><v>43293103259520Trials</v></cell><cell r="F1544" t="str"><v>DCM</v></cell><cell r="G1544" t="str"><v>https://azure.microsoft.com/fr-fr/free/search/</v></cell></row><row r="1544"><cell r="K1544" t="str"><v>July</v></cell><cell r="L1544"><v>43295</v></cell><cell r="M1544" t="str"><v>Tier 1</v></cell><cell r="N1544" t="str"><v>EMEA</v></cell><cell r="O1544" t="str"><v>France</v></cell><cell r="P1544" t="str"><v>Trial</v></cell><cell r="Q1544" t="str"><v>Social</v></cell><cell r="R1544" t="str"><v>Azure</v></cell><cell r="S1544" t="str"><v>Apps & Infra</v></cell><cell r="T1544" t="str"><v>Developers & ITI's</v></cell><cell r="U1544" t="str"><v>Developers/ITPros-Azure Direct-Sponsored Post-Link Ad-FreeAcctRetargetingFB-GlobalAlt-ChB</v></cell><cell r="V1544" t="str"><v>Behavioral Targeting</v></cell><cell r="W1544" t="str"><v>Social</v></cell><cell r="X1544" t="str"><v>1x1</v></cell></row><row r="1544"><cell r="AA1544"><v>43293</v></cell><cell r="AB1544" t="str"><v>FRA_gaPMG_AZR_AZR_Q1_19_AzureDirect-Trial-Social</v></cell><cell r="AC1544"><v>21356941</v></cell><cell r="AD1544"><v>720193</v></cell><cell r="AE1544" t="str"><v>Facebook</v></cell><cell r="AF1544"><v>3654128</v></cell><cell r="AG1544" t="str"><v>Facebook»Developers/ITPros-Azure Direct-Sponsored Post-Link Ad-FreeAcctRetargetingFB-GlobalAlt-ChB»1x1»SocialBan»SOC»ALL»CPC»BT»D»UNK»SS»NA»Trials</v></cell><cell r="AH1544"><v>224560845</v></cell><cell r="AI1544" t="str"><v>AZR_FreeAcctRetargetingFB-GlobalAlt-ChB_FRA_1200x628_SOC_AZRDirect_French_NA_Facebook_SBAN_SINU_T2_1</v></cell><cell r="AJ1544"><v>103259520</v></cell></row><row r="1545"><cell r="C1545" t="str"><v>43293Facebook»Developers/ITPros-Azure Direct-Sponsored Post-Link Ad-FreeAcctRetargetingOSSFB-Text-ChF»1x1»SocialBan»SOC»ALL»CPC»BT»D»UNK»SS»NA»Trials</v></cell><cell r="D1545" t="str"><v>43293224560839</v></cell><cell r="E1545" t="str"><v>43293103257810Trials</v></cell><cell r="F1545" t="str"><v>DCM</v></cell><cell r="G1545" t="str"><v>https://azure.microsoft.com/fr-fr/free/open-source/search/</v></cell></row><row r="1545"><cell r="K1545" t="str"><v>July</v></cell><cell r="L1545"><v>43295</v></cell><cell r="M1545" t="str"><v>Tier 1</v></cell><cell r="N1545" t="str"><v>EMEA</v></cell><cell r="O1545" t="str"><v>France</v></cell><cell r="P1545" t="str"><v>Trial</v></cell><cell r="Q1545" t="str"><v>Social</v></cell><cell r="R1545" t="str"><v>Azure</v></cell><cell r="S1545" t="str"><v>Apps & Infra</v></cell><cell r="T1545" t="str"><v>Developers & ITI's</v></cell><cell r="U1545" t="str"><v>Developers/ITPros-Azure Direct-Sponsored Post-Link Ad-FreeAcctRetargetingOSSFB-Text-ChF</v></cell><cell r="V1545" t="str"><v>Behavioral Targeting</v></cell><cell r="W1545" t="str"><v>Social</v></cell><cell r="X1545" t="str"><v>1x1</v></cell></row><row r="1545"><cell r="AA1545"><v>43293</v></cell><cell r="AB1545" t="str"><v>FRA_gaPMG_AZR_AZR_Q1_19_AzureDirect-Trial-Social</v></cell><cell r="AC1545"><v>21356941</v></cell><cell r="AD1545"><v>720193</v></cell><cell r="AE1545" t="str"><v>Facebook</v></cell><cell r="AF1545"><v>3654128</v></cell><cell r="AG1545" t="str"><v>Facebook»Developers/ITPros-Azure Direct-Sponsored Post-Link Ad-FreeAcctRetargetingOSSFB-Text-ChF»1x1»SocialBan»SOC»ALL»CPC»BT»D»UNK»SS»NA»Trials</v></cell><cell r="AH1545"><v>224560839</v></cell><cell r="AI1545" t="str"><v>AZR_FreeAcctRetargetingOSSFB-Text-ChF_FRA_1200x628_SOC_AZRDirect_French_NA_Facebook_SBAN_SINU_T1_1</v></cell><cell r="AJ1545"><v>103257810</v></cell></row><row r="1546"><cell r="C1546" t="str"><v>43293Facebook»Developers/ITPros-Azure Direct-Sponsored Post-Video Ad-FBCTCBasicMotion_FRA_10s_RTG Landing Page»1x1»05s»SOC»ALL»CPC»BT»D»UNK»SS»NA»Trials</v></cell><cell r="D1546" t="str"><v>43293224416915</v></cell><cell r="E1546" t="str"><v>43293103376981Trials</v></cell><cell r="F1546" t="str"><v>DCM</v></cell></row><row r="1546"><cell r="K1546" t="str"><v>July</v></cell><cell r="L1546"><v>43295</v></cell><cell r="M1546" t="str"><v>Tier 1</v></cell><cell r="N1546" t="str"><v>EMEA</v></cell><cell r="O1546" t="str"><v>France</v></cell><cell r="P1546" t="str"><v>Trial</v></cell><cell r="Q1546" t="str"><v>Social</v></cell><cell r="R1546" t="str"><v>Azure</v></cell><cell r="S1546" t="str"><v>Apps & Infra</v></cell><cell r="T1546" t="str"><v>Developers & ITI's</v></cell><cell r="U1546" t="str"><v>Developers/ITPros-Azure Direct-Sponsored Post-Video Ad-FBCTCBasicMotion_FRA_10s_RTG Landing Page</v></cell><cell r="V1546" t="str"><v>Behavioral Targeting</v></cell><cell r="W1546" t="str"><v>Social</v></cell><cell r="X1546" t="str"><v>1x1</v></cell></row><row r="1546"><cell r="AA1546"><v>43293</v></cell><cell r="AB1546" t="str"><v>FRA_gaPMG_AZR_AZR_Q1_19_AzureDirect-Trial-Social</v></cell><cell r="AC1546"><v>21356941</v></cell><cell r="AD1546"><v>720193</v></cell><cell r="AE1546" t="str"><v>Facebook</v></cell><cell r="AF1546"><v>3654128</v></cell><cell r="AG1546" t="str"><v>Facebook»Developers/ITPros-Azure Direct-Sponsored Post-Video Ad-FBCTCBasicMotion_FRA_10s_RTG Landing Page»1x1»05s»SOC»ALL»CPC»BT»D»UNK»SS»NA»Trials</v></cell><cell r="AH1546"><v>224416915</v></cell><cell r="AI1546" t="str"><v>AZR_FBCTCBasicMotion_FRA_10s_VIA_AZRDirect_French_NA_Facebook_STAN_TIN_T1_1</v></cell><cell r="AJ1546"><v>103376981</v></cell></row><row r="1547"><cell r="C1547" t="str"><v>43293Facebook»Developers/ITPros-Azure Direct-Sponsored Post-Video Ad-FBCTCBenefit2inMotion_FRA_14s_RTG Landing Page»1x1»06s»SOC»ALL»CPC»BT»D»UNK»SS»NA»Trials</v></cell><cell r="D1547" t="str"><v>43293224560875</v></cell><cell r="E1547" t="str"><v>43293103259766Trials</v></cell><cell r="F1547" t="str"><v>DCM</v></cell><cell r="G1547" t="str"><v>https://signup.azure.com/signup?offer=ms-azr-0044p&appId=102&ref=paidmedia-social-fb&redirectURL=https:%2F%2Fazure.microsoft.com%2Ffr-fr%2Fget-started%2Fwelcome-to-azure%2F&l=fr-fr&correlationId=ead86c34-1f10-49dd-a72b-6918462a2cbf</v></cell></row><row r="1547"><cell r="K1547" t="str"><v>July</v></cell><cell r="L1547"><v>43295</v></cell><cell r="M1547" t="str"><v>Tier 1</v></cell><cell r="N1547" t="str"><v>EMEA</v></cell><cell r="O1547" t="str"><v>France</v></cell><cell r="P1547" t="str"><v>Trial</v></cell><cell r="Q1547" t="str"><v>Social</v></cell><cell r="R1547" t="str"><v>Azure</v></cell><cell r="S1547" t="str"><v>Apps & Infra</v></cell><cell r="T1547" t="str"><v>Developers & ITI's</v></cell><cell r="U1547" t="str"><v>Developers/ITPros-Azure Direct-Sponsored Post-Video Ad-FBCTCBenefit2inMotion_FRA_14s_RTG Landing Page</v></cell><cell r="V1547" t="str"><v>Behavioral Targeting</v></cell><cell r="W1547" t="str"><v>Social</v></cell><cell r="X1547" t="str"><v>1x1</v></cell></row><row r="1547"><cell r="AA1547"><v>43293</v></cell><cell r="AB1547" t="str"><v>FRA_gaPMG_AZR_AZR_Q1_19_AzureDirect-Trial-Social</v></cell><cell r="AC1547"><v>21356941</v></cell><cell r="AD1547"><v>720193</v></cell><cell r="AE1547" t="str"><v>Facebook</v></cell><cell r="AF1547"><v>3654128</v></cell><cell r="AG1547" t="str"><v>Facebook»Developers/ITPros-Azure Direct-Sponsored Post-Video Ad-FBCTCBenefit2inMotion_FRA_14s_RTG Landing Page»1x1»06s»SOC»ALL»CPC»BT»D»UNK»SS»NA»Trials</v></cell><cell r="AH1547"><v>224560875</v></cell><cell r="AI1547" t="str"><v>AZR_FBCTCBenefit2inMotion_FRA_14s_VIA_AZRDirect_French_NA_Facebook_STAN_TIN_T4_1</v></cell><cell r="AJ1547"><v>103259766</v></cell></row><row r="1548"><cell r="C1548" t="str"><v>43293Facebook»Developers/ITPros-Azure Direct-Sponsored Post-Video Ad-FBCTCBrandinMotion_FRA_12s_RTG Landing Page»1x1»05s»SOC»ALL»CPC»BT»D»UNK»SS»NA»Trials</v></cell><cell r="D1548" t="str"><v>43293224560863</v></cell><cell r="E1548" t="str"><v>43293103256577Trials</v></cell><cell r="F1548" t="str"><v>DCM</v></cell></row><row r="1548"><cell r="K1548" t="str"><v>July</v></cell><cell r="L1548"><v>43295</v></cell><cell r="M1548" t="str"><v>Tier 1</v></cell><cell r="N1548" t="str"><v>EMEA</v></cell><cell r="O1548" t="str"><v>France</v></cell><cell r="P1548" t="str"><v>Trial</v></cell><cell r="Q1548" t="str"><v>Social</v></cell><cell r="R1548" t="str"><v>Azure</v></cell><cell r="S1548" t="str"><v>Apps & Infra</v></cell><cell r="T1548" t="str"><v>Developers & ITI's</v></cell><cell r="U1548" t="str"><v>Developers/ITPros-Azure Direct-Sponsored Post-Video Ad-FBCTCBrandinMotion_FRA_12s_RTG Landing Page</v></cell><cell r="V1548" t="str"><v>Behavioral Targeting</v></cell><cell r="W1548" t="str"><v>Social</v></cell><cell r="X1548" t="str"><v>1x1</v></cell></row><row r="1548"><cell r="AA1548"><v>43293</v></cell><cell r="AB1548" t="str"><v>FRA_gaPMG_AZR_AZR_Q1_19_AzureDirect-Trial-Social</v></cell><cell r="AC1548"><v>21356941</v></cell><cell r="AD1548"><v>720193</v></cell><cell r="AE1548" t="str"><v>Facebook</v></cell><cell r="AF1548"><v>3654128</v></cell><cell r="AG1548" t="str"><v>Facebook»Developers/ITPros-Azure Direct-Sponsored Post-Video Ad-FBCTCBrandinMotion_FRA_12s_RTG Landing Page»1x1»05s»SOC»ALL»CPC»BT»D»UNK»SS»NA»Trials</v></cell><cell r="AH1548"><v>224560863</v></cell><cell r="AI1548" t="str"><v>AZR_FBCTCBrandinMotion_FRA_12s_VIA_AZRDirect_French_NA_Facebook_STAN_TIN_T2_1</v></cell><cell r="AJ1548"><v>103256577</v></cell></row><row r="1549"><cell r="C1549" t="str"><v>43293Facebook»Developers/ITPros-Azure Direct-Sponsored Post-Canvas-FBCTCcanvaspage-BuyNowCTA-Img3_FBCTCBrandinMotion_FRA_12sec»1x1»Canvas»SOC»ALL»CPC»BT»D»UNK»SS»NA»Trials</v></cell><cell r="D1549" t="str"><v>43293224416924</v></cell><cell r="E1549" t="str"><v>43293103256571Trials</v></cell><cell r="F1549" t="str"><v>DCM</v></cell><cell r="G1549" t="str"><v>https://azure.microsoft.com/fr-fr/pricing/purchase-options/</v></cell></row><row r="1549"><cell r="K1549" t="str"><v>July</v></cell><cell r="L1549"><v>43295</v></cell><cell r="M1549" t="str"><v>Tier 1</v></cell><cell r="N1549" t="str"><v>EMEA</v></cell><cell r="O1549" t="str"><v>France</v></cell><cell r="P1549" t="str"><v>Trial</v></cell><cell r="Q1549" t="str"><v>Social</v></cell><cell r="R1549" t="str"><v>Azure</v></cell><cell r="S1549" t="str"><v>Apps & Infra</v></cell><cell r="T1549" t="str"><v>Developers & ITI's</v></cell><cell r="U1549" t="str"><v>Developers/ITPros-Azure Direct-Sponsored Post-Canvas-FBCTCcanvaspage-BuyNowCTA-Img3_FBCTCBrandinMotion_FRA_12sec</v></cell><cell r="V1549" t="str"><v>Behavioral Targeting</v></cell><cell r="W1549" t="str"><v>Social</v></cell><cell r="X1549" t="str"><v>1x1</v></cell></row><row r="1549"><cell r="AA1549"><v>43293</v></cell><cell r="AB1549" t="str"><v>FRA_gaPMG_AZR_AZR_Q1_19_AzureDirect-Trial-Social</v></cell><cell r="AC1549"><v>21356941</v></cell><cell r="AD1549"><v>720193</v></cell><cell r="AE1549" t="str"><v>Facebook</v></cell><cell r="AF1549"><v>3654128</v></cell><cell r="AG1549" t="str"><v>Facebook»Developers/ITPros-Azure Direct-Sponsored Post-Canvas-FBCTCcanvaspage-BuyNowCTA-Img3_FBCTCBrandinMotion_FRA_12sec»1x1»Canvas»SOC»ALL»CPC»BT»D»UNK»SS»NA»Trials</v></cell><cell r="AH1549"><v>224416924</v></cell><cell r="AI1549" t="str"><v>AZR_FBCTCcanvaspage-BuyNowCTA-Img3_FRA_1080x162_SOC_AZRDirect_French_NA_Facebook_SBAN_BN_T3_1</v></cell><cell r="AJ1549"><v>103256571</v></cell></row><row r="1550"><cell r="C1550" t="str"><v>43293Facebook»Developers/ITPros-Azure Direct-Sponsored Post-Link Ad-FreeAcctAppsFACEBOOK12monthsChE»1x1»SocialBan»SOC»ALL»CPC»BT»D»UNK»SS»NA»Trials</v></cell><cell r="D1550" t="str"><v>43293224560866</v></cell><cell r="E1550" t="str"><v>43293103259784Trials</v></cell><cell r="F1550" t="str"><v>DCM</v></cell><cell r="G1550" t="str"><v>https://azure.microsoft.com/fr-fr/free/search/</v></cell></row><row r="1550"><cell r="K1550" t="str"><v>July</v></cell><cell r="L1550"><v>43295</v></cell><cell r="M1550" t="str"><v>Tier 1</v></cell><cell r="N1550" t="str"><v>EMEA</v></cell><cell r="O1550" t="str"><v>France</v></cell><cell r="P1550" t="str"><v>Trial</v></cell><cell r="Q1550" t="str"><v>Social</v></cell><cell r="R1550" t="str"><v>Azure</v></cell><cell r="S1550" t="str"><v>Apps & Infra</v></cell><cell r="T1550" t="str"><v>Developers & ITI's</v></cell><cell r="U1550" t="str"><v>Developers/ITPros-Azure Direct-Sponsored Post-Link Ad-FreeAcctAppsFACEBOOK12monthsChE</v></cell><cell r="V1550" t="str"><v>Behavioral Targeting</v></cell><cell r="W1550" t="str"><v>Social</v></cell><cell r="X1550" t="str"><v>1x1</v></cell></row><row r="1550"><cell r="AA1550"><v>43293</v></cell><cell r="AB1550" t="str"><v>FRA_gaPMG_AZR_AZR_Q1_19_AzureDirect-Trial-Social</v></cell><cell r="AC1550"><v>21356941</v></cell><cell r="AD1550"><v>720193</v></cell><cell r="AE1550" t="str"><v>Facebook</v></cell><cell r="AF1550"><v>3654128</v></cell><cell r="AG1550" t="str"><v>Facebook»Developers/ITPros-Azure Direct-Sponsored Post-Link Ad-FreeAcctAppsFACEBOOK12monthsChE»1x1»SocialBan»SOC»ALL»CPC»BT»D»UNK»SS»NA»Trials</v></cell><cell r="AH1550"><v>224560866</v></cell><cell r="AI1550" t="str"><v>AZR_FreeAcctAppsFACEBOOK12monthsChE_FRA_1200x628_SOC_PLAT_FR_Trial_Standard_NA_SINU_T5_1</v></cell><cell r="AJ1550"><v>103259784</v></cell></row><row r="1551"><cell r="C1551" t="str"><v>43293Facebook»Developers/ITPros-Azure Direct-Sponsored Post-Link Ad-FreeAcctAppsFACEBOOK200CreditChD»1x1»SocialBan»SOC»ALL»CPC»BT»D»UNK»SS»NA»Trials</v></cell><cell r="D1551" t="str"><v>43293224560860</v></cell><cell r="E1551" t="str"><v>43293103377773Trials</v></cell><cell r="F1551" t="str"><v>DCM</v></cell><cell r="G1551" t="str"><v>https://azure.microsoft.com/fr-fr/free/search/</v></cell></row><row r="1551"><cell r="K1551" t="str"><v>July</v></cell><cell r="L1551"><v>43295</v></cell><cell r="M1551" t="str"><v>Tier 1</v></cell><cell r="N1551" t="str"><v>EMEA</v></cell><cell r="O1551" t="str"><v>France</v></cell><cell r="P1551" t="str"><v>Trial</v></cell><cell r="Q1551" t="str"><v>Social</v></cell><cell r="R1551" t="str"><v>Azure</v></cell><cell r="S1551" t="str"><v>Apps & Infra</v></cell><cell r="T1551" t="str"><v>Developers & ITI's</v></cell><cell r="U1551" t="str"><v>Developers/ITPros-Azure Direct-Sponsored Post-Link Ad-FreeAcctAppsFACEBOOK200CreditChD</v></cell><cell r="V1551" t="str"><v>Behavioral Targeting</v></cell><cell r="W1551" t="str"><v>Social</v></cell><cell r="X1551" t="str"><v>1x1</v></cell></row><row r="1551"><cell r="AA1551"><v>43293</v></cell><cell r="AB1551" t="str"><v>FRA_gaPMG_AZR_AZR_Q1_19_AzureDirect-Trial-Social</v></cell><cell r="AC1551"><v>21356941</v></cell><cell r="AD1551"><v>720193</v></cell><cell r="AE1551" t="str"><v>Facebook</v></cell><cell r="AF1551"><v>3654128</v></cell><cell r="AG1551" t="str"><v>Facebook»Developers/ITPros-Azure Direct-Sponsored Post-Link Ad-FreeAcctAppsFACEBOOK200CreditChD»1x1»SocialBan»SOC»ALL»CPC»BT»D»UNK»SS»NA»Trials</v></cell><cell r="AH1551"><v>224560860</v></cell><cell r="AI1551" t="str"><v>AZR_FreeAcctAppsFACEBOOK200CreditChD_FRA_1200x628_SOC_PLAT_FR_Trial_Standard_NA_SINU_T4_1</v></cell><cell r="AJ1551"><v>103377773</v></cell></row><row r="1552"><cell r="C1552" t="str"><v>43293Facebook»Developers/ITPros-Azure Direct-Sponsored Post-Link Ad-FreeAcctAppsFACEBOOKDeviceChB»1x1»SocialBan»SOC»ALL»CPC»AUT»D»UNK»SS»NA»Trials</v></cell><cell r="D1552" t="str"><v>43293224560857</v></cell><cell r="E1552" t="str"><v>43293103377002Trials</v></cell><cell r="F1552" t="str"><v>DCM</v></cell><cell r="G1552" t="str"><v>https://azure.microsoft.com/fr-fr/free/search/</v></cell></row><row r="1552"><cell r="K1552" t="str"><v>July</v></cell><cell r="L1552"><v>43295</v></cell><cell r="M1552" t="str"><v>Tier 1</v></cell><cell r="N1552" t="str"><v>EMEA</v></cell><cell r="O1552" t="str"><v>France</v></cell><cell r="P1552" t="str"><v>Trial</v></cell><cell r="Q1552" t="str"><v>Social</v></cell><cell r="R1552" t="str"><v>Azure</v></cell><cell r="S1552" t="str"><v>Apps & Infra</v></cell><cell r="T1552" t="str"><v>Developers & ITI's</v></cell><cell r="U1552" t="str"><v>Developers/ITPros-Azure Direct-Sponsored Post-Link Ad-FreeAcctAppsFACEBOOKDeviceChB</v></cell><cell r="V1552" t="str"><v>Audience Targeting</v></cell><cell r="W1552" t="str"><v>Social</v></cell><cell r="X1552" t="str"><v>1x1</v></cell></row><row r="1552"><cell r="AA1552"><v>43293</v></cell><cell r="AB1552" t="str"><v>FRA_gaPMG_AZR_AZR_Q1_19_AzureDirect-Trial-Social</v></cell><cell r="AC1552"><v>21356941</v></cell><cell r="AD1552"><v>720193</v></cell><cell r="AE1552" t="str"><v>Facebook</v></cell><cell r="AF1552"><v>3654128</v></cell><cell r="AG1552" t="str"><v>Facebook»Developers/ITPros-Azure Direct-Sponsored Post-Link Ad-FreeAcctAppsFACEBOOKDeviceChB»1x1»SocialBan»SOC»ALL»CPC»AUT»D»UNK»SS»NA»Trials</v></cell><cell r="AH1552"><v>224560857</v></cell><cell r="AI1552" t="str"><v>AZR_FreeAcctAppsFACEBOOKDeviceChB_FRA_1200x628_SOC_PLAT_FR_Trial_Standard_NA_SINU_T2_1</v></cell><cell r="AJ1552"><v>103377002</v></cell></row><row r="1553"><cell r="C1553" t="str"><v>43293Facebook»Developers/ITPros-Azure Direct-Sponsored Post-Link Ad-FreeAcctAppsFACEBOOKIllustrationChC»1x1»SocialBan»SOC»ALL»CPC»AUT»D»UNK»SS»NA»Trials</v></cell><cell r="D1553" t="str"><v>43293224560854</v></cell><cell r="E1553" t="str"><v>43293103259550Trials</v></cell><cell r="F1553" t="str"><v>DCM</v></cell><cell r="G1553" t="str"><v>https://azure.microsoft.com/fr-fr/free/search/</v></cell></row><row r="1553"><cell r="K1553" t="str"><v>July</v></cell><cell r="L1553"><v>43295</v></cell><cell r="M1553" t="str"><v>Tier 1</v></cell><cell r="N1553" t="str"><v>EMEA</v></cell><cell r="O1553" t="str"><v>France</v></cell><cell r="P1553" t="str"><v>Trial</v></cell><cell r="Q1553" t="str"><v>Social</v></cell><cell r="R1553" t="str"><v>Azure</v></cell><cell r="S1553" t="str"><v>Apps & Infra</v></cell><cell r="T1553" t="str"><v>Developers & ITI's</v></cell><cell r="U1553" t="str"><v>Developers/ITPros-Azure Direct-Sponsored Post-Link Ad-FreeAcctAppsFACEBOOKIllustrationChC</v></cell><cell r="V1553" t="str"><v>Audience Targeting</v></cell><cell r="W1553" t="str"><v>Social</v></cell><cell r="X1553" t="str"><v>1x1</v></cell></row><row r="1553"><cell r="AA1553"><v>43293</v></cell><cell r="AB1553" t="str"><v>FRA_gaPMG_AZR_AZR_Q1_19_AzureDirect-Trial-Social</v></cell><cell r="AC1553"><v>21356941</v></cell><cell r="AD1553"><v>720193</v></cell><cell r="AE1553" t="str"><v>Facebook</v></cell><cell r="AF1553"><v>3654128</v></cell><cell r="AG1553" t="str"><v>Facebook»Developers/ITPros-Azure Direct-Sponsored Post-Link Ad-FreeAcctAppsFACEBOOKIllustrationChC»1x1»SocialBan»SOC»ALL»CPC»AUT»D»UNK»SS»NA»Trials</v></cell><cell r="AH1553"><v>224560854</v></cell><cell r="AI1553" t="str"><v>AZR_FreeAcctAppsFACEBOOKIllustrationChC_FRA_1200x628_SOC_PLAT_FR_Trial_Standard_NA_SINU_T3_1</v></cell><cell r="AJ1553"><v>103259550</v></cell></row><row r="1554"><cell r="C1554" t="str"><v>43293Facebook»Developers/ITPros-Azure Direct-Sponsored Post-Link Ad-FreeAcctAppsFACEBOOKLifestyleChA»1x1»SocialBan»SOC»ALL»CPC»AUT»D»UNK»SS»NA»Trials</v></cell><cell r="D1554" t="str"><v>43293224560851</v></cell><cell r="E1554" t="str"><v>43293103259562Trials</v></cell><cell r="F1554" t="str"><v>DCM</v></cell><cell r="G1554" t="str"><v>https://azure.microsoft.com/fr-fr/free/search/</v></cell></row><row r="1554"><cell r="K1554" t="str"><v>July</v></cell><cell r="L1554"><v>43295</v></cell><cell r="M1554" t="str"><v>Tier 1</v></cell><cell r="N1554" t="str"><v>EMEA</v></cell><cell r="O1554" t="str"><v>France</v></cell><cell r="P1554" t="str"><v>Trial</v></cell><cell r="Q1554" t="str"><v>Social</v></cell><cell r="R1554" t="str"><v>Azure</v></cell><cell r="S1554" t="str"><v>Apps & Infra</v></cell><cell r="T1554" t="str"><v>Developers & ITI's</v></cell><cell r="U1554" t="str"><v>Developers/ITPros-Azure Direct-Sponsored Post-Link Ad-FreeAcctAppsFACEBOOKLifestyleChA</v></cell><cell r="V1554" t="str"><v>Audience Targeting</v></cell><cell r="W1554" t="str"><v>Social</v></cell><cell r="X1554" t="str"><v>1x1</v></cell></row><row r="1554"><cell r="AA1554"><v>43293</v></cell><cell r="AB1554" t="str"><v>FRA_gaPMG_AZR_AZR_Q1_19_AzureDirect-Trial-Social</v></cell><cell r="AC1554"><v>21356941</v></cell><cell r="AD1554"><v>720193</v></cell><cell r="AE1554" t="str"><v>Facebook</v></cell><cell r="AF1554"><v>3654128</v></cell><cell r="AG1554" t="str"><v>Facebook»Developers/ITPros-Azure Direct-Sponsored Post-Link Ad-FreeAcctAppsFACEBOOKLifestyleChA»1x1»SocialBan»SOC»ALL»CPC»AUT»D»UNK»SS»NA»Trials</v></cell><cell r="AH1554"><v>224560851</v></cell><cell r="AI1554" t="str"><v>AZR_FreeAcctAppsFACEBOOKLifestyleChA_FRA_1200x628_SOC_PLAT_FR_Trial_Standard_NA_SINU_T1_1</v></cell><cell r="AJ1554"><v>103259562</v></cell></row><row r="1555"><cell r="C1555" t="str"><v>43293Facebook»Developers/ITPros-Azure Direct-Sponsored Post-Link Ad-FreeAcctRetargetingFB-Animated-ChC»1x1»SocialBan»SOC»ALL»CPC»BT»D»UNK»SS»NA»Trials</v></cell><cell r="D1555" t="str"><v>43293224560848</v></cell><cell r="E1555" t="str"><v>43293103259775Trials</v></cell><cell r="F1555" t="str"><v>DCM</v></cell><cell r="G1555" t="str"><v>https://azure.microsoft.com/fr-fr/free/search/</v></cell></row><row r="1555"><cell r="K1555" t="str"><v>July</v></cell><cell r="L1555"><v>43295</v></cell><cell r="M1555" t="str"><v>Tier 1</v></cell><cell r="N1555" t="str"><v>EMEA</v></cell><cell r="O1555" t="str"><v>France</v></cell><cell r="P1555" t="str"><v>Trial</v></cell><cell r="Q1555" t="str"><v>Social</v></cell><cell r="R1555" t="str"><v>Azure</v></cell><cell r="S1555" t="str"><v>Apps & Infra</v></cell><cell r="T1555" t="str"><v>Developers & ITI's</v></cell><cell r="U1555" t="str"><v>Developers/ITPros-Azure Direct-Sponsored Post-Link Ad-FreeAcctRetargetingFB-Animated-ChC</v></cell><cell r="V1555" t="str"><v>Behavioral Targeting</v></cell><cell r="W1555" t="str"><v>Social</v></cell><cell r="X1555" t="str"><v>1x1</v></cell></row><row r="1555"><cell r="AA1555"><v>43293</v></cell><cell r="AB1555" t="str"><v>FRA_gaPMG_AZR_AZR_Q1_19_AzureDirect-Trial-Social</v></cell><cell r="AC1555"><v>21356941</v></cell><cell r="AD1555"><v>720193</v></cell><cell r="AE1555" t="str"><v>Facebook</v></cell><cell r="AF1555"><v>3654128</v></cell><cell r="AG1555" t="str"><v>Facebook»Developers/ITPros-Azure Direct-Sponsored Post-Link Ad-FreeAcctRetargetingFB-Animated-ChC»1x1»SocialBan»SOC»ALL»CPC»BT»D»UNK»SS»NA»Trials</v></cell><cell r="AH1555"><v>224560848</v></cell><cell r="AI1555" t="str"><v>AZR_reeAcctRetargetingFB-Animated-ChC_FRA_1200x628_SOC_AZRDirect_French_NA_Facebook_SBAN_SINU_T3_1</v></cell><cell r="AJ1555"><v>103259775</v></cell></row><row r="1556"><cell r="C1556" t="str"><v>43293Facebook»Developers/ITPros-Azure Direct-Sponsored Post-Link Ad-FreeAcctRetargetingVMFB-OnDemand-ChE»1x1»SocialBan»SOC»ALL»CPC»BT»D»UNK»SS»NA»Trials</v></cell><cell r="D1556" t="str"><v>43293224560833</v></cell><cell r="E1556" t="str"><v>43293103376990Trials</v></cell><cell r="F1556" t="str"><v>DCM</v></cell><cell r="G1556" t="str"><v>https://azure.microsoft.com/fr-fr/free/virtual-machines/search/</v></cell></row><row r="1556"><cell r="K1556" t="str"><v>July</v></cell><cell r="L1556"><v>43295</v></cell><cell r="M1556" t="str"><v>Tier 1</v></cell><cell r="N1556" t="str"><v>EMEA</v></cell><cell r="O1556" t="str"><v>France</v></cell><cell r="P1556" t="str"><v>Trial</v></cell><cell r="Q1556" t="str"><v>Social</v></cell><cell r="R1556" t="str"><v>Azure</v></cell><cell r="S1556" t="str"><v>Apps & Infra</v></cell><cell r="T1556" t="str"><v>Developers & ITI's</v></cell><cell r="U1556" t="str"><v>Developers/ITPros-Azure Direct-Sponsored Post-Link Ad-FreeAcctRetargetingVMFB-OnDemand-ChE</v></cell><cell r="V1556" t="str"><v>Behavioral Targeting</v></cell><cell r="W1556" t="str"><v>Social</v></cell><cell r="X1556" t="str"><v>1x1</v></cell></row><row r="1556"><cell r="AA1556"><v>43293</v></cell><cell r="AB1556" t="str"><v>FRA_gaPMG_AZR_AZR_Q1_19_AzureDirect-Trial-Social</v></cell><cell r="AC1556"><v>21356941</v></cell><cell r="AD1556"><v>720193</v></cell><cell r="AE1556" t="str"><v>Facebook</v></cell><cell r="AF1556"><v>3654128</v></cell><cell r="AG1556" t="str"><v>Facebook»Developers/ITPros-Azure Direct-Sponsored Post-Link Ad-FreeAcctRetargetingVMFB-OnDemand-ChE»1x1»SocialBan»SOC»ALL»CPC»BT»D»UNK»SS»NA»Trials</v></cell><cell r="AH1556"><v>224560833</v></cell><cell r="AI1556" t="str"><v>AZR_FreeAcctRetargetingVMFB-OnDemand-ChE_FRA_1200x628_SOC_AZRDirect_French_NA_Facebook_SBAN_SINU_T2_1</v></cell><cell r="AJ1556"><v>103376990</v></cell></row><row r="1557"><cell r="C1557" t="str"><v>43293Facebook»Audience & Interest Targeting»1x1»SocialBan»LIA»DT»CPC»AUT»W»NA»SS»NA»Basic Motion</v></cell><cell r="D1557" t="str"><v>43293224399962</v></cell><cell r="E1557" t="str"><v>43293103230847Motion</v></cell><cell r="F1557" t="str"><v>DCM</v></cell><cell r="G1557" t="str"><v>https://azure.microsoft.com/en-gb/pricing/purchase-options/</v></cell></row><row r="1557"><cell r="K1557" t="str"><v>July</v></cell><cell r="L1557"><v>43295</v></cell><cell r="M1557" t="str"><v>Tier 1</v></cell><cell r="N1557" t="str"><v>EMEA</v></cell><cell r="O1557" t="str"><v>United Kingdom</v></cell><cell r="P1557" t="str"><v>Trial</v></cell><cell r="Q1557" t="str"><v>Social</v></cell><cell r="R1557" t="str"><v>Azure</v></cell><cell r="S1557" t="str"><v>Apps & Infra</v></cell><cell r="T1557" t="str"><v>Developers & ITI's</v></cell><cell r="U1557" t="str"><v>Audience & Interest Targeting</v></cell><cell r="V1557" t="str"><v>Audience Targeting</v></cell><cell r="W1557" t="str"><v>Link Ad</v></cell><cell r="X1557" t="str"><v>1x1</v></cell></row><row r="1557"><cell r="AA1557"><v>43293</v></cell><cell r="AB1557" t="str"><v>GBR_gaPMG_CE_AZR_Q1_19_Trial-Social</v></cell><cell r="AC1557"><v>21337013</v></cell><cell r="AD1557"><v>720196</v></cell><cell r="AE1557" t="str"><v>Facebook</v></cell><cell r="AF1557"><v>3654128</v></cell><cell r="AG1557" t="str"><v>Facebook»Audience & Interest Targeting»1x1»SocialBan»LIA»DT»CPC»AUT»W»NA»SS»NA»Basic Motion</v></cell><cell r="AH1557"><v>224399962</v></cell><cell r="AI1557" t="str"><v>AzurePlatform_FBCTCcanvaspage-BuyNowCTA-Img3_GBR_1080x162_SOC_Plat_English_NA_Standard_NA_BN_T3_1</v></cell><cell r="AJ1557"><v>103230847</v></cell></row><row r="1558"><cell r="C1558" t="str"><v>43293Facebook»Audience & Interest Targeting»1x1»SocialBan»LIA»DT»CPC»AUT»W»NA»SS»NA»Basic Motion</v></cell><cell r="D1558" t="str"><v>43293224399962</v></cell><cell r="E1558" t="str"><v>43293103235146Motion</v></cell><cell r="F1558" t="str"><v>DCM</v></cell><cell r="G1558" t="str"><v>https://signup.azure.com/signup?offer=ms-azr-0044p&appId=102&ref=paidmedia-social-fb&redirectURL=https%3a%2f%2fazure.microsoft.com%2fen-gb%2fget-started%2fwelcome-to-azure%2f&l=en-gb&correlationId=ead86c34-1f10-49dd-a72b-6918462a2cbf</v></cell></row><row r="1558"><cell r="K1558" t="str"><v>July</v></cell><cell r="L1558"><v>43295</v></cell><cell r="M1558" t="str"><v>Tier 1</v></cell><cell r="N1558" t="str"><v>EMEA</v></cell><cell r="O1558" t="str"><v>United Kingdom</v></cell><cell r="P1558" t="str"><v>Trial</v></cell><cell r="Q1558" t="str"><v>Social</v></cell><cell r="R1558" t="str"><v>Azure</v></cell><cell r="S1558" t="str"><v>Apps & Infra</v></cell><cell r="T1558" t="str"><v>Developers & ITI's</v></cell><cell r="U1558" t="str"><v>Audience & Interest Targeting</v></cell><cell r="V1558" t="str"><v>Audience Targeting</v></cell><cell r="W1558" t="str"><v>Link Ad</v></cell><cell r="X1558" t="str"><v>1x1</v></cell></row><row r="1558"><cell r="AA1558"><v>43293</v></cell><cell r="AB1558" t="str"><v>GBR_gaPMG_CE_AZR_Q1_19_Trial-Social</v></cell><cell r="AC1558"><v>21337013</v></cell><cell r="AD1558"><v>720196</v></cell><cell r="AE1558" t="str"><v>Facebook</v></cell><cell r="AF1558"><v>3654128</v></cell><cell r="AG1558" t="str"><v>Facebook»Audience & Interest Targeting»1x1»SocialBan»LIA»DT»CPC»AUT»W»NA»SS»NA»Basic Motion</v></cell><cell r="AH1558"><v>224399962</v></cell><cell r="AI1558" t="str"><v>AzurePlatform_FBCTCcanvaspage-StartFreeCTA-Img2_GBR_1080x143 _SOC_Plat_English_NA_Standard_NA_NA_T2_1</v></cell><cell r="AJ1558"><v>103235146</v></cell></row><row r="1559"><cell r="C1559" t="str"><v>43293Facebook»Audience & Interest Targeting»1x1»SocialBan»LIA»DT»CPC»AUT»W»NA»SS»NA»Benefit 2 in Motion</v></cell><cell r="D1559" t="str"><v>43293224334170</v></cell><cell r="E1559" t="str"><v>43293103230847Motion</v></cell><cell r="F1559" t="str"><v>DCM</v></cell><cell r="G1559" t="str"><v>https://azure.microsoft.com/en-gb/pricing/purchase-options/</v></cell></row><row r="1559"><cell r="K1559" t="str"><v>July</v></cell><cell r="L1559"><v>43295</v></cell><cell r="M1559" t="str"><v>Tier 1</v></cell><cell r="N1559" t="str"><v>EMEA</v></cell><cell r="O1559" t="str"><v>United Kingdom</v></cell><cell r="P1559" t="str"><v>Trial</v></cell><cell r="Q1559" t="str"><v>Social</v></cell><cell r="R1559" t="str"><v>Azure</v></cell><cell r="S1559" t="str"><v>Apps & Infra</v></cell><cell r="T1559" t="str"><v>Developers & ITI's</v></cell><cell r="U1559" t="str"><v>Audience & Interest Targeting</v></cell><cell r="V1559" t="str"><v>Audience Targeting</v></cell><cell r="W1559" t="str"><v>Link Ad</v></cell><cell r="X1559" t="str"><v>1x1</v></cell></row><row r="1559"><cell r="AA1559"><v>43293</v></cell><cell r="AB1559" t="str"><v>GBR_gaPMG_CE_AZR_Q1_19_Trial-Social</v></cell><cell r="AC1559"><v>21337013</v></cell><cell r="AD1559"><v>720196</v></cell><cell r="AE1559" t="str"><v>Facebook</v></cell><cell r="AF1559"><v>3654128</v></cell><cell r="AG1559" t="str"><v>Facebook»Audience & Interest Targeting»1x1»SocialBan»LIA»DT»CPC»AUT»W»NA»SS»NA»Benefit 2 in Motion</v></cell><cell r="AH1559"><v>224334170</v></cell><cell r="AI1559" t="str"><v>AzurePlatform_FBCTCcanvaspage-BuyNowCTA-Img3_GBR_1080x162_SOC_Plat_English_NA_Standard_NA_BN_T3_1</v></cell><cell r="AJ1559"><v>103230847</v></cell></row><row r="1560"><cell r="C1560" t="str"><v>43293Facebook»Audience & Interest Targeting»1x1»SocialBan»LIA»DT»CPC»AUT»W»NA»SS»NA»Benefit 2 in Motion</v></cell><cell r="D1560" t="str"><v>43293224334170</v></cell><cell r="E1560" t="str"><v>43293103235146Motion</v></cell><cell r="F1560" t="str"><v>DCM</v></cell><cell r="G1560" t="str"><v>https://signup.azure.com/signup?offer=ms-azr-0044p&appId=102&ref=paidmedia-social-fb&redirectURL=https%3a%2f%2fazure.microsoft.com%2fen-gb%2fget-started%2fwelcome-to-azure%2f&l=en-gb&correlationId=ead86c34-1f10-49dd-a72b-6918462a2cbf</v></cell></row><row r="1560"><cell r="K1560" t="str"><v>July</v></cell><cell r="L1560"><v>43295</v></cell><cell r="M1560" t="str"><v>Tier 1</v></cell><cell r="N1560" t="str"><v>EMEA</v></cell><cell r="O1560" t="str"><v>United Kingdom</v></cell><cell r="P1560" t="str"><v>Trial</v></cell><cell r="Q1560" t="str"><v>Social</v></cell><cell r="R1560" t="str"><v>Azure</v></cell><cell r="S1560" t="str"><v>Apps & Infra</v></cell><cell r="T1560" t="str"><v>Developers & ITI's</v></cell><cell r="U1560" t="str"><v>Audience & Interest Targeting</v></cell><cell r="V1560" t="str"><v>Audience Targeting</v></cell><cell r="W1560" t="str"><v>Link Ad</v></cell><cell r="X1560" t="str"><v>1x1</v></cell></row><row r="1560"><cell r="AA1560"><v>43293</v></cell><cell r="AB1560" t="str"><v>GBR_gaPMG_CE_AZR_Q1_19_Trial-Social</v></cell><cell r="AC1560"><v>21337013</v></cell><cell r="AD1560"><v>720196</v></cell><cell r="AE1560" t="str"><v>Facebook</v></cell><cell r="AF1560"><v>3654128</v></cell><cell r="AG1560" t="str"><v>Facebook»Audience & Interest Targeting»1x1»SocialBan»LIA»DT»CPC»AUT»W»NA»SS»NA»Benefit 2 in Motion</v></cell><cell r="AH1560"><v>224334170</v></cell><cell r="AI1560" t="str"><v>AzurePlatform_FBCTCcanvaspage-StartFreeCTA-Img2_GBR_1080x143 _SOC_Plat_English_NA_Standard_NA_NA_T2_1</v></cell><cell r="AJ1560"><v>103235146</v></cell></row><row r="1561"><cell r="C1561" t="str"><v>43293Facebook»Audience & Interest Targeting»1x1»SocialBan»LIA»DT»CPC»AUT»W»NA»SS»NA»Brand in Motion</v></cell><cell r="D1561" t="str"><v>43293224549481</v></cell><cell r="E1561" t="str"><v>43293103235146Motion</v></cell><cell r="F1561" t="str"><v>DCM</v></cell><cell r="G1561" t="str"><v>https://signup.azure.com/signup?offer=ms-azr-0044p&appId=102&ref=paidmedia-social-fb&redirectURL=https%3a%2f%2fazure.microsoft.com%2fen-gb%2fget-started%2fwelcome-to-azure%2f&l=en-gb&correlationId=ead86c34-1f10-49dd-a72b-6918462a2cbf</v></cell></row><row r="1561"><cell r="K1561" t="str"><v>July</v></cell><cell r="L1561"><v>43295</v></cell><cell r="M1561" t="str"><v>Tier 1</v></cell><cell r="N1561" t="str"><v>EMEA</v></cell><cell r="O1561" t="str"><v>United Kingdom</v></cell><cell r="P1561" t="str"><v>Trial</v></cell><cell r="Q1561" t="str"><v>Social</v></cell><cell r="R1561" t="str"><v>Azure</v></cell><cell r="S1561" t="str"><v>Apps & Infra</v></cell><cell r="T1561" t="str"><v>Developers & ITI's</v></cell><cell r="U1561" t="str"><v>Audience & Interest Targeting</v></cell><cell r="V1561" t="str"><v>Audience Targeting</v></cell><cell r="W1561" t="str"><v>Link Ad</v></cell><cell r="X1561" t="str"><v>1x1</v></cell></row><row r="1561"><cell r="AA1561"><v>43293</v></cell><cell r="AB1561" t="str"><v>GBR_gaPMG_CE_AZR_Q1_19_Trial-Social</v></cell><cell r="AC1561"><v>21337013</v></cell><cell r="AD1561"><v>720196</v></cell><cell r="AE1561" t="str"><v>Facebook</v></cell><cell r="AF1561"><v>3654128</v></cell><cell r="AG1561" t="str"><v>Facebook»Audience & Interest Targeting»1x1»SocialBan»LIA»DT»CPC»AUT»W»NA»SS»NA»Brand in Motion</v></cell><cell r="AH1561"><v>224549481</v></cell><cell r="AI1561" t="str"><v>AzurePlatform_FBCTCcanvaspage-StartFreeCTA-Img2_GBR_1080x143 _SOC_Plat_English_NA_Standard_NA_NA_T2_1</v></cell><cell r="AJ1561"><v>103235146</v></cell></row><row r="1562"><cell r="C1562" t="str"><v>43293Facebook»Audience & Interest Targeting»1x1»SocialBan»LIA»DT»DYN»AUT»W»NA»SS»NA»Free Account Refresh- 12 months ChE</v></cell><cell r="D1562" t="str"><v>43293223567691</v></cell><cell r="E1562" t="str"><v>43293102854007hs ChE</v></cell><cell r="F1562" t="str"><v>DCM</v></cell><cell r="G1562" t="str"><v>https://azure.microsoft.com/en-gb/free/search/</v></cell></row><row r="1562"><cell r="K1562" t="str"><v>July</v></cell><cell r="L1562"><v>43295</v></cell><cell r="M1562" t="str"><v>Tier 1</v></cell><cell r="N1562" t="str"><v>EMEA</v></cell><cell r="O1562" t="str"><v>United Kingdom</v></cell><cell r="P1562" t="str"><v>Trial</v></cell><cell r="Q1562" t="str"><v>Social</v></cell><cell r="R1562" t="str"><v>Azure</v></cell><cell r="S1562" t="str"><v>Apps & Infra</v></cell><cell r="T1562" t="str"><v>Developers & ITI's</v></cell><cell r="U1562" t="str"><v>Audience & Interest Targeting</v></cell><cell r="V1562" t="str"><v>Audience Targeting</v></cell><cell r="W1562" t="str"><v>Link Ad</v></cell><cell r="X1562" t="str"><v>1x1</v></cell></row><row r="1562"><cell r="AA1562"><v>43293</v></cell><cell r="AB1562" t="str"><v>GBR_gaPMG_CE_AZR_Q1_19_Trial-Social</v></cell><cell r="AC1562"><v>21337013</v></cell><cell r="AD1562"><v>720196</v></cell><cell r="AE1562" t="str"><v>Facebook</v></cell><cell r="AF1562"><v>3654128</v></cell><cell r="AG1562" t="str"><v>Facebook»Audience & Interest Targeting»1x1»SocialBan»LIA»DT»DYN»AUT»W»NA»SS»NA»Free Account Refresh- 12 months ChE</v></cell><cell r="AH1562"><v>223567691</v></cell><cell r="AI1562" t="str"><v>AzurePlatform_FreeAcctAppsFACEBOOK12monthsChE_GBR_1200x628_SOC_PLAT_EN_Trial_Standard_NA_SU_T5_1</v></cell><cell r="AJ1562"><v>102854007</v></cell></row><row r="1563"><cell r="C1563" t="str"><v>43293Facebook»Audience & Interest Targeting»1x1»SocialBan»LIA»DT»DYN»AUT»W»NA»SS»NA»Free Account Refresh- 200 Credit ChD</v></cell><cell r="D1563" t="str"><v>43293223560359</v></cell><cell r="E1563" t="str"><v>43293103005662it ChD</v></cell><cell r="F1563" t="str"><v>DCM</v></cell><cell r="G1563" t="str"><v>https://azure.microsoft.com/en-gb/free/search/</v></cell></row><row r="1563"><cell r="K1563" t="str"><v>July</v></cell><cell r="L1563"><v>43295</v></cell><cell r="M1563" t="str"><v>Tier 1</v></cell><cell r="N1563" t="str"><v>EMEA</v></cell><cell r="O1563" t="str"><v>United Kingdom</v></cell><cell r="P1563" t="str"><v>Trial</v></cell><cell r="Q1563" t="str"><v>Social</v></cell><cell r="R1563" t="str"><v>Azure</v></cell><cell r="S1563" t="str"><v>Apps & Infra</v></cell><cell r="T1563" t="str"><v>Developers & ITI's</v></cell><cell r="U1563" t="str"><v>Audience & Interest Targeting</v></cell><cell r="V1563" t="str"><v>Audience Targeting</v></cell><cell r="W1563" t="str"><v>Link Ad</v></cell><cell r="X1563" t="str"><v>1x1</v></cell></row><row r="1563"><cell r="AA1563"><v>43293</v></cell><cell r="AB1563" t="str"><v>GBR_gaPMG_CE_AZR_Q1_19_Trial-Social</v></cell><cell r="AC1563"><v>21337013</v></cell><cell r="AD1563"><v>720196</v></cell><cell r="AE1563" t="str"><v>Facebook</v></cell><cell r="AF1563"><v>3654128</v></cell><cell r="AG1563" t="str"><v>Facebook»Audience & Interest Targeting»1x1»SocialBan»LIA»DT»DYN»AUT»W»NA»SS»NA»Free Account Refresh- 200 Credit ChD</v></cell><cell r="AH1563"><v>223560359</v></cell><cell r="AI1563" t="str"><v>AzurePlatform_FreeAcctAppsFACEBOOK200CreditChD_GBR_1200x628_SOC_PLAT_EN_Trial_Standard_NA_SU_T4_1</v></cell><cell r="AJ1563"><v>103005662</v></cell></row><row r="1564"><cell r="C1564" t="str"><v>43293Facebook»Audience & Interest Targeting»1x1»SocialBan»LIA»DT»DYN»AUT»W»NA»SS»NA»Free Account Refresh- Device ChB</v></cell><cell r="D1564" t="str"><v>43293223560353</v></cell><cell r="E1564" t="str"><v>43293102854010ce ChB</v></cell><cell r="F1564" t="str"><v>DCM</v></cell><cell r="G1564" t="str"><v>https://azure.microsoft.com/en-gb/free/search/</v></cell></row><row r="1564"><cell r="K1564" t="str"><v>July</v></cell><cell r="L1564"><v>43295</v></cell><cell r="M1564" t="str"><v>Tier 1</v></cell><cell r="N1564" t="str"><v>EMEA</v></cell><cell r="O1564" t="str"><v>United Kingdom</v></cell><cell r="P1564" t="str"><v>Trial</v></cell><cell r="Q1564" t="str"><v>Social</v></cell><cell r="R1564" t="str"><v>Azure</v></cell><cell r="S1564" t="str"><v>Apps & Infra</v></cell><cell r="T1564" t="str"><v>Developers & ITI's</v></cell><cell r="U1564" t="str"><v>Audience & Interest Targeting</v></cell><cell r="V1564" t="str"><v>Audience Targeting</v></cell><cell r="W1564" t="str"><v>Link Ad</v></cell><cell r="X1564" t="str"><v>1x1</v></cell></row><row r="1564"><cell r="AA1564"><v>43293</v></cell><cell r="AB1564" t="str"><v>GBR_gaPMG_CE_AZR_Q1_19_Trial-Social</v></cell><cell r="AC1564"><v>21337013</v></cell><cell r="AD1564"><v>720196</v></cell><cell r="AE1564" t="str"><v>Facebook</v></cell><cell r="AF1564"><v>3654128</v></cell><cell r="AG1564" t="str"><v>Facebook»Audience & Interest Targeting»1x1»SocialBan»LIA»DT»DYN»AUT»W»NA»SS»NA»Free Account Refresh- Device ChB</v></cell><cell r="AH1564"><v>223560353</v></cell><cell r="AI1564" t="str"><v>AzurePlatform_FreeAcctAppsFACEBOOKDeviceChB_GBR_1200x628_SOC_PLAT_EN_Trial_Standard_NA_SU_T2_1</v></cell><cell r="AJ1564"><v>102854010</v></cell></row><row r="1565"><cell r="C1565" t="str"><v>43293Facebook»Audience & Interest Targeting»1x1»SocialBan»LIA»DT»DYN»AUT»W»NA»SS»NA»Free Account Refresh- Illustration ChC</v></cell><cell r="D1565" t="str"><v>43293223560347</v></cell><cell r="E1565" t="str"><v>43293102857037on ChC</v></cell><cell r="F1565" t="str"><v>DCM</v></cell><cell r="G1565" t="str"><v>https://azure.microsoft.com/en-gb/free/search/</v></cell></row><row r="1565"><cell r="K1565" t="str"><v>July</v></cell><cell r="L1565"><v>43295</v></cell><cell r="M1565" t="str"><v>Tier 1</v></cell><cell r="N1565" t="str"><v>EMEA</v></cell><cell r="O1565" t="str"><v>United Kingdom</v></cell><cell r="P1565" t="str"><v>Trial</v></cell><cell r="Q1565" t="str"><v>Social</v></cell><cell r="R1565" t="str"><v>Azure</v></cell><cell r="S1565" t="str"><v>Apps & Infra</v></cell><cell r="T1565" t="str"><v>Developers & ITI's</v></cell><cell r="U1565" t="str"><v>Audience & Interest Targeting</v></cell><cell r="V1565" t="str"><v>Audience Targeting</v></cell><cell r="W1565" t="str"><v>Link Ad</v></cell><cell r="X1565" t="str"><v>1x1</v></cell></row><row r="1565"><cell r="AA1565"><v>43293</v></cell><cell r="AB1565" t="str"><v>GBR_gaPMG_CE_AZR_Q1_19_Trial-Social</v></cell><cell r="AC1565"><v>21337013</v></cell><cell r="AD1565"><v>720196</v></cell><cell r="AE1565" t="str"><v>Facebook</v></cell><cell r="AF1565"><v>3654128</v></cell><cell r="AG1565" t="str"><v>Facebook»Audience & Interest Targeting»1x1»SocialBan»LIA»DT»DYN»AUT»W»NA»SS»NA»Free Account Refresh- Illustration ChC</v></cell><cell r="AH1565"><v>223560347</v></cell><cell r="AI1565" t="str"><v>AzurePlatform_FreeAcctAppsFACEBOOKIllustrationChC_GBR_1200x628_SOC_PLAT_EN_Trial_Standard_NA_SU_T3_1</v></cell><cell r="AJ1565"><v>102857037</v></cell></row><row r="1566"><cell r="C1566" t="str"><v>43293Facebook»Audience & Interest Targeting»1x1»SocialBan»LIA»DT»DYN»AUT»W»NA»SS»NA»Free Account Refresh- Lifestyle ChA</v></cell><cell r="D1566" t="str"><v>43293223560341</v></cell><cell r="E1566" t="str"><v>43293102853597le ChA</v></cell><cell r="F1566" t="str"><v>DCM</v></cell><cell r="G1566" t="str"><v>https://azure.microsoft.com/en-gb/free/search/</v></cell></row><row r="1566"><cell r="K1566" t="str"><v>July</v></cell><cell r="L1566"><v>43295</v></cell><cell r="M1566" t="str"><v>Tier 1</v></cell><cell r="N1566" t="str"><v>EMEA</v></cell><cell r="O1566" t="str"><v>United Kingdom</v></cell><cell r="P1566" t="str"><v>Trial</v></cell><cell r="Q1566" t="str"><v>Social</v></cell><cell r="R1566" t="str"><v>Azure</v></cell><cell r="S1566" t="str"><v>Apps & Infra</v></cell><cell r="T1566" t="str"><v>Developers & ITI's</v></cell><cell r="U1566" t="str"><v>Audience & Interest Targeting</v></cell><cell r="V1566" t="str"><v>Audience Targeting</v></cell><cell r="W1566" t="str"><v>Link Ad</v></cell><cell r="X1566" t="str"><v>1x1</v></cell></row><row r="1566"><cell r="AA1566"><v>43293</v></cell><cell r="AB1566" t="str"><v>GBR_gaPMG_CE_AZR_Q1_19_Trial-Social</v></cell><cell r="AC1566"><v>21337013</v></cell><cell r="AD1566"><v>720196</v></cell><cell r="AE1566" t="str"><v>Facebook</v></cell><cell r="AF1566"><v>3654128</v></cell><cell r="AG1566" t="str"><v>Facebook»Audience & Interest Targeting»1x1»SocialBan»LIA»DT»DYN»AUT»W»NA»SS»NA»Free Account Refresh- Lifestyle ChA</v></cell><cell r="AH1566"><v>223560341</v></cell><cell r="AI1566" t="str"><v>AzurePlatform_FreeAcctAppsFACEBOOKLifestyleChA_GBR_1200x628_SOC_PLAT_EN_Trial_Standard_NA_SU_T1_1</v></cell><cell r="AJ1566"><v>102853597</v></cell></row><row r="1567"><cell r="C1567" t="str"><v>43293Facebook»Retargeting»1x1»SocialBan»LIA»DT»DYN»RT»W»NA»SS»NA»Free Account Retargeting Generic- Animated ChC</v></cell><cell r="D1567" t="str"><v>43293223560299</v></cell><cell r="E1567" t="str"><v>43293102854019ed ChC</v></cell><cell r="F1567" t="str"><v>DCM</v></cell><cell r="G1567" t="str"><v>https://azure.microsoft.com/en-gb/free/search/</v></cell></row><row r="1567"><cell r="K1567" t="str"><v>July</v></cell><cell r="L1567"><v>43295</v></cell><cell r="M1567" t="str"><v>Tier 1</v></cell><cell r="N1567" t="str"><v>EMEA</v></cell><cell r="O1567" t="str"><v>United Kingdom</v></cell><cell r="P1567" t="str"><v>Trial</v></cell><cell r="Q1567" t="str"><v>Social</v></cell><cell r="R1567" t="str"><v>Azure</v></cell><cell r="S1567" t="str"><v>Apps & Infra</v></cell><cell r="T1567" t="str"><v>Developers & ITI's</v></cell><cell r="U1567" t="str"><v>Retargeting</v></cell><cell r="V1567" t="str"><v>Retargeting</v></cell><cell r="W1567" t="str"><v>Link Ad</v></cell><cell r="X1567" t="str"><v>1x1</v></cell></row><row r="1567"><cell r="AA1567"><v>43293</v></cell><cell r="AB1567" t="str"><v>GBR_gaPMG_CE_AZR_Q1_19_Trial-Social</v></cell><cell r="AC1567"><v>21337013</v></cell><cell r="AD1567"><v>720196</v></cell><cell r="AE1567" t="str"><v>Facebook</v></cell><cell r="AF1567"><v>3654128</v></cell><cell r="AG1567" t="str"><v>Facebook»Retargeting»1x1»SocialBan»LIA»DT»DYN»RT»W»NA»SS»NA»Free Account Retargeting Generic- Animated ChC</v></cell><cell r="AH1567"><v>223560299</v></cell><cell r="AI1567" t="str"><v>AzurePlatform_FreeAcctRetargetingFB-Animated-ChC_GBR_1200x628_SOC_Plat_EN_Free Account_Standard_ANI_SU_T3_1</v></cell><cell r="AJ1567"><v>102854019</v></cell></row><row r="1568"><cell r="C1568" t="str"><v>43293Facebook»Retargeting»1x1»SocialBan»LIA»DT»DYN»RT»W»NA»SS»NA»Free Account Retargeting Generic- Global Alt ChB</v></cell><cell r="D1568" t="str"><v>43293223560356</v></cell><cell r="E1568" t="str"><v>43293102854016lt ChB</v></cell><cell r="F1568" t="str"><v>DCM</v></cell><cell r="G1568" t="str"><v>https://azure.microsoft.com/en-gb/free/search/</v></cell></row><row r="1568"><cell r="K1568" t="str"><v>July</v></cell><cell r="L1568"><v>43295</v></cell><cell r="M1568" t="str"><v>Tier 1</v></cell><cell r="N1568" t="str"><v>EMEA</v></cell><cell r="O1568" t="str"><v>United Kingdom</v></cell><cell r="P1568" t="str"><v>Trial</v></cell><cell r="Q1568" t="str"><v>Social</v></cell><cell r="R1568" t="str"><v>Azure</v></cell><cell r="S1568" t="str"><v>Apps & Infra</v></cell><cell r="T1568" t="str"><v>Developers & ITI's</v></cell><cell r="U1568" t="str"><v>Retargeting</v></cell><cell r="V1568" t="str"><v>Retargeting</v></cell><cell r="W1568" t="str"><v>Link Ad</v></cell><cell r="X1568" t="str"><v>1x1</v></cell></row><row r="1568"><cell r="AA1568"><v>43293</v></cell><cell r="AB1568" t="str"><v>GBR_gaPMG_CE_AZR_Q1_19_Trial-Social</v></cell><cell r="AC1568"><v>21337013</v></cell><cell r="AD1568"><v>720196</v></cell><cell r="AE1568" t="str"><v>Facebook</v></cell><cell r="AF1568"><v>3654128</v></cell><cell r="AG1568" t="str"><v>Facebook»Retargeting»1x1»SocialBan»LIA»DT»DYN»RT»W»NA»SS»NA»Free Account Retargeting Generic- Global Alt ChB</v></cell><cell r="AH1568"><v>223560356</v></cell><cell r="AI1568" t="str"><v>AzurePlatform_FreeAcctRetargetingFB-GlobalAlt-ChB_GBR_1200x628_SOC_Plat_EN_Free Account_Standard_NA_SU_T2_1</v></cell><cell r="AJ1568"><v>102854016</v></cell></row><row r="1569"><cell r="C1569" t="str"><v>43293Facebook»Retargeting»1x1»SocialBan»LIA»DT»DYN»RT»W»NA»SS»NA»Free Account Retargeting OSS- Logos ChG</v></cell><cell r="D1569" t="str"><v>43293223560350</v></cell><cell r="E1569" t="str"><v>43293103006547os ChG</v></cell><cell r="F1569" t="str"><v>DCM</v></cell><cell r="G1569" t="str"><v>https://azure.microsoft.com/en-gb/free/open-source/search/</v></cell></row><row r="1569"><cell r="K1569" t="str"><v>July</v></cell><cell r="L1569"><v>43295</v></cell><cell r="M1569" t="str"><v>Tier 1</v></cell><cell r="N1569" t="str"><v>EMEA</v></cell><cell r="O1569" t="str"><v>United Kingdom</v></cell><cell r="P1569" t="str"><v>Trial</v></cell><cell r="Q1569" t="str"><v>Social</v></cell><cell r="R1569" t="str"><v>Azure</v></cell><cell r="S1569" t="str"><v>Apps & Infra</v></cell><cell r="T1569" t="str"><v>Developers & ITI's</v></cell><cell r="U1569" t="str"><v>Retargeting</v></cell><cell r="V1569" t="str"><v>Retargeting</v></cell><cell r="W1569" t="str"><v>Link Ad</v></cell><cell r="X1569" t="str"><v>1x1</v></cell></row><row r="1569"><cell r="AA1569"><v>43293</v></cell><cell r="AB1569" t="str"><v>GBR_gaPMG_CE_AZR_Q1_19_Trial-Social</v></cell><cell r="AC1569"><v>21337013</v></cell><cell r="AD1569"><v>720196</v></cell><cell r="AE1569" t="str"><v>Facebook</v></cell><cell r="AF1569"><v>3654128</v></cell><cell r="AG1569" t="str"><v>Facebook»Retargeting»1x1»SocialBan»LIA»DT»DYN»RT»W»NA»SS»NA»Free Account Retargeting OSS- Logos ChG</v></cell><cell r="AH1569"><v>223560350</v></cell><cell r="AI1569" t="str"><v>AzurePlatform_FreeAcctRetargetingOSSFB-Logos-ChG_GBR_1200x628_SOC_Plat_EN_Free Account_Standard_NA_SU_T2_1</v></cell><cell r="AJ1569"><v>103006547</v></cell></row><row r="1570"><cell r="C1570" t="str"><v>43293Facebook»Retargeting»1x1»SocialBan»LIA»DT»DYN»RT»W»NA»SS»NA»Free Account Retargeting VM- 750 Hrs ChD</v></cell><cell r="D1570" t="str"><v>43293223560338</v></cell><cell r="E1570" t="str"><v>43293102853603rs ChD</v></cell><cell r="F1570" t="str"><v>DCM</v></cell><cell r="G1570" t="str"><v>https://azure.microsoft.com/en-gb/free/virtual-machines/search/</v></cell></row><row r="1570"><cell r="K1570" t="str"><v>July</v></cell><cell r="L1570"><v>43295</v></cell><cell r="M1570" t="str"><v>Tier 1</v></cell><cell r="N1570" t="str"><v>EMEA</v></cell><cell r="O1570" t="str"><v>United Kingdom</v></cell><cell r="P1570" t="str"><v>Trial</v></cell><cell r="Q1570" t="str"><v>Social</v></cell><cell r="R1570" t="str"><v>Azure</v></cell><cell r="S1570" t="str"><v>Apps & Infra</v></cell><cell r="T1570" t="str"><v>Developers & ITI's</v></cell><cell r="U1570" t="str"><v>Retargeting</v></cell><cell r="V1570" t="str"><v>Retargeting</v></cell><cell r="W1570" t="str"><v>Link Ad</v></cell><cell r="X1570" t="str"><v>1x1</v></cell></row><row r="1570"><cell r="AA1570"><v>43293</v></cell><cell r="AB1570" t="str"><v>GBR_gaPMG_CE_AZR_Q1_19_Trial-Social</v></cell><cell r="AC1570"><v>21337013</v></cell><cell r="AD1570"><v>720196</v></cell><cell r="AE1570" t="str"><v>Facebook</v></cell><cell r="AF1570"><v>3654128</v></cell><cell r="AG1570" t="str"><v>Facebook»Retargeting»1x1»SocialBan»LIA»DT»DYN»RT»W»NA»SS»NA»Free Account Retargeting VM- 750 Hrs ChD</v></cell><cell r="AH1570"><v>223560338</v></cell><cell r="AI1570" t="str"><v>AzurePlatform_FreeAcctRetargetingVMFB-750Hrs-ChD_GBR_1200x628_SOC_Plat_EN_Free Account_Standard_NA_SU_T1_1</v></cell><cell r="AJ1570"><v>102853603</v></cell></row><row r="1571"><cell r="C1571" t="str"><v>43293Facebook»Retargeting»1x1»SocialBan»LIA»DT»DYN»RT»W»NA»SS»NA»Free Account Retargeting VM- On Demand ChE</v></cell><cell r="D1571" t="str"><v>43293223560332</v></cell><cell r="E1571" t="str"><v>43293102854037nd ChE</v></cell><cell r="F1571" t="str"><v>DCM</v></cell><cell r="G1571" t="str"><v>https://azure.microsoft.com/en-gb/free/virtual-machines/search/</v></cell></row><row r="1571"><cell r="K1571" t="str"><v>July</v></cell><cell r="L1571"><v>43295</v></cell><cell r="M1571" t="str"><v>Tier 1</v></cell><cell r="N1571" t="str"><v>EMEA</v></cell><cell r="O1571" t="str"><v>United Kingdom</v></cell><cell r="P1571" t="str"><v>Trial</v></cell><cell r="Q1571" t="str"><v>Social</v></cell><cell r="R1571" t="str"><v>Azure</v></cell><cell r="S1571" t="str"><v>Apps & Infra</v></cell><cell r="T1571" t="str"><v>Developers & ITI's</v></cell><cell r="U1571" t="str"><v>Retargeting</v></cell><cell r="V1571" t="str"><v>Retargeting</v></cell><cell r="W1571" t="str"><v>Link Ad</v></cell><cell r="X1571" t="str"><v>1x1</v></cell></row><row r="1571"><cell r="AA1571"><v>43293</v></cell><cell r="AB1571" t="str"><v>GBR_gaPMG_CE_AZR_Q1_19_Trial-Social</v></cell><cell r="AC1571"><v>21337013</v></cell><cell r="AD1571"><v>720196</v></cell><cell r="AE1571" t="str"><v>Facebook</v></cell><cell r="AF1571"><v>3654128</v></cell><cell r="AG1571" t="str"><v>Facebook»Retargeting»1x1»SocialBan»LIA»DT»DYN»RT»W»NA»SS»NA»Free Account Retargeting VM- On Demand ChE</v></cell><cell r="AH1571"><v>223560332</v></cell><cell r="AI1571" t="str"><v>AzurePlatform_FreeAcctRetargetingVMFB-OnDemand-ChE_GBR_1200x628_SOC_Plat_EN_Free Account_Standard_NA_SU_T2_1</v></cell><cell r="AJ1571"><v>102854037</v></cell></row><row r="1572"><cell r="C1572" t="str"><v>43293Facebook»AZP-Canvas-Interest&Role-Trial»1x1»Canvas»OTH»MO»CPM»PRO»X»UNK»TP»OT»Canvas-Trial</v></cell><cell r="D1572" t="str"><v>43293223298805</v></cell><cell r="E1572" t="str"><v>43293102630373-Trial</v></cell><cell r="F1572" t="str"><v>DCM</v></cell><cell r="G1572" t="str"><v>https://azure.microsoft.com/ja-jp/pricing/purchase-options/</v></cell></row><row r="1572"><cell r="K1572" t="str"><v>July</v></cell><cell r="L1572"><v>43295</v></cell><cell r="M1572" t="str"><v>Tier 1</v></cell><cell r="N1572" t="str"><v>APAC</v></cell><cell r="O1572" t="str"><v>Japan</v></cell><cell r="P1572" t="str"><v>Trial</v></cell><cell r="Q1572" t="str"><v>Social</v></cell><cell r="R1572" t="str"><v>Azure</v></cell><cell r="S1572" t="str"><v>Apps & Infra</v></cell><cell r="T1572" t="str"><v>Developers & ITI's</v></cell><cell r="U1572" t="str"><v>AZP-Canvas-Interest&Role-Trial</v></cell><cell r="V1572" t="str"><v>Prospecting</v></cell><cell r="W1572" t="str"><v>Other</v></cell><cell r="X1572" t="str"><v>1x1</v></cell></row><row r="1572"><cell r="AA1572"><v>43293</v></cell><cell r="AB1572" t="str"><v>JPN_gaPMG_AZR_AZR_Q1_19_Trial-Social</v></cell><cell r="AC1572"><v>21276694</v></cell><cell r="AD1572"><v>720195</v></cell><cell r="AE1572" t="str"><v>Facebook</v></cell><cell r="AF1572"><v>3654128</v></cell><cell r="AG1572" t="str"><v>Facebook»AZP-Canvas-Interest&Role-Trial»1x1»Canvas»OTH»MO»CPM»PRO»X»UNK»TP»OT»Canvas-Trial</v></cell><cell r="AH1572"><v>223298805</v></cell><cell r="AI1572" t="str"><v>AzurePlatform_FBCTCcanvaspage-BuyNowCTA-Img3_JPN_1080x162_SOC_Plat_Japanese_NA_Standard_NA_BN_T3_1</v></cell><cell r="AJ1572"><v>102630373</v></cell></row><row r="1573"><cell r="C1573" t="str"><v>43293Facebook»AZP-Canvas-Interest&Role-Trial»1x1»Canvas»OTH»MO»CPM»PRO»X»UNK»TP»OT»Canvas-Trial</v></cell><cell r="D1573" t="str"><v>43293223298805</v></cell><cell r="E1573" t="str"><v>43293102609621-Trial</v></cell><cell r="F1573" t="str"><v>DCM</v></cell><cell r="G1573" t="str"><v>https://signup.azure.com/signup?offer=ms-azr-0044p&appId=102&ref=paidmedia-social-fb&redirectURL=https%3a%2f%2fazure.microsoft.com%2fja-jp%2fget-started%2fwelcome-to-azure%2f&l=ja-jp&correlationId=ead86c34-1f10-49dd-a72b-6918462a2cbf</v></cell></row><row r="1573"><cell r="K1573" t="str"><v>July</v></cell><cell r="L1573"><v>43295</v></cell><cell r="M1573" t="str"><v>Tier 1</v></cell><cell r="N1573" t="str"><v>APAC</v></cell><cell r="O1573" t="str"><v>Japan</v></cell><cell r="P1573" t="str"><v>Trial</v></cell><cell r="Q1573" t="str"><v>Social</v></cell><cell r="R1573" t="str"><v>Azure</v></cell><cell r="S1573" t="str"><v>Apps & Infra</v></cell><cell r="T1573" t="str"><v>Developers & ITI's</v></cell><cell r="U1573" t="str"><v>AZP-Canvas-Interest&Role-Trial</v></cell><cell r="V1573" t="str"><v>Prospecting</v></cell><cell r="W1573" t="str"><v>Other</v></cell><cell r="X1573" t="str"><v>1x1</v></cell></row><row r="1573"><cell r="AA1573"><v>43293</v></cell><cell r="AB1573" t="str"><v>JPN_gaPMG_AZR_AZR_Q1_19_Trial-Social</v></cell><cell r="AC1573"><v>21276694</v></cell><cell r="AD1573"><v>720195</v></cell><cell r="AE1573" t="str"><v>Facebook</v></cell><cell r="AF1573"><v>3654128</v></cell><cell r="AG1573" t="str"><v>Facebook»AZP-Canvas-Interest&Role-Trial»1x1»Canvas»OTH»MO»CPM»PRO»X»UNK»TP»OT»Canvas-Trial</v></cell><cell r="AH1573"><v>223298805</v></cell><cell r="AI1573" t="str"><v>AzurePlatform_FBCTCcanvaspage-StartFreeCTA-Img2_JPN_1080x143 _SOC_Plat_Japanese_NA_Standard_NA_NA_T2_1</v></cell><cell r="AJ1573"><v>102609621</v></cell></row><row r="1574"><cell r="C1574" t="str"><v>43293Facebook»AZP-Canvas-Look a Like-Trial»1x1»Canvas»OTH»MO»CPM»PRO»X»UNK»TP»OT»Canvas-Trial</v></cell><cell r="D1574" t="str"><v>43293223297413</v></cell><cell r="E1574" t="str"><v>43293102630373-Trial</v></cell><cell r="F1574" t="str"><v>DCM</v></cell><cell r="G1574" t="str"><v>https://azure.microsoft.com/ja-jp/pricing/purchase-options/</v></cell></row><row r="1574"><cell r="K1574" t="str"><v>July</v></cell><cell r="L1574"><v>43295</v></cell><cell r="M1574" t="str"><v>Tier 1</v></cell><cell r="N1574" t="str"><v>APAC</v></cell><cell r="O1574" t="str"><v>Japan</v></cell><cell r="P1574" t="str"><v>Trial</v></cell><cell r="Q1574" t="str"><v>Social</v></cell><cell r="R1574" t="str"><v>Azure</v></cell><cell r="S1574" t="str"><v>Apps & Infra</v></cell><cell r="T1574" t="str"><v>Developers & ITI's</v></cell><cell r="U1574" t="str"><v>AZP-Canvas-Look a Like-Trial</v></cell><cell r="V1574" t="str"><v>Prospecting</v></cell><cell r="W1574" t="str"><v>Other</v></cell><cell r="X1574" t="str"><v>1x1</v></cell></row><row r="1574"><cell r="AA1574"><v>43293</v></cell><cell r="AB1574" t="str"><v>JPN_gaPMG_AZR_AZR_Q1_19_Trial-Social</v></cell><cell r="AC1574"><v>21276694</v></cell><cell r="AD1574"><v>720195</v></cell><cell r="AE1574" t="str"><v>Facebook</v></cell><cell r="AF1574"><v>3654128</v></cell><cell r="AG1574" t="str"><v>Facebook»AZP-Canvas-Look a Like-Trial»1x1»Canvas»OTH»MO»CPM»PRO»X»UNK»TP»OT»Canvas-Trial</v></cell><cell r="AH1574"><v>223297413</v></cell><cell r="AI1574" t="str"><v>AzurePlatform_FBCTCcanvaspage-BuyNowCTA-Img3_JPN_1080x162_SOC_Plat_Japanese_NA_Standard_NA_BN_T3_1</v></cell><cell r="AJ1574"><v>102630373</v></cell></row><row r="1575"><cell r="C1575" t="str"><v>43293Facebook»AZP-Canvas-Look a Like-Trial»1x1»Canvas»OTH»MO»CPM»PRO»X»UNK»TP»OT»Canvas-Trial</v></cell><cell r="D1575" t="str"><v>43293223297413</v></cell><cell r="E1575" t="str"><v>43293102609621-Trial</v></cell><cell r="F1575" t="str"><v>DCM</v></cell><cell r="G1575" t="str"><v>https://signup.azure.com/signup?offer=ms-azr-0044p&appId=102&ref=paidmedia-social-fb&redirectURL=https%3a%2f%2fazure.microsoft.com%2fja-jp%2fget-started%2fwelcome-to-azure%2f&l=ja-jp&correlationId=ead86c34-1f10-49dd-a72b-6918462a2cbf</v></cell></row><row r="1575"><cell r="K1575" t="str"><v>July</v></cell><cell r="L1575"><v>43295</v></cell><cell r="M1575" t="str"><v>Tier 1</v></cell><cell r="N1575" t="str"><v>APAC</v></cell><cell r="O1575" t="str"><v>Japan</v></cell><cell r="P1575" t="str"><v>Trial</v></cell><cell r="Q1575" t="str"><v>Social</v></cell><cell r="R1575" t="str"><v>Azure</v></cell><cell r="S1575" t="str"><v>Apps & Infra</v></cell><cell r="T1575" t="str"><v>Developers & ITI's</v></cell><cell r="U1575" t="str"><v>AZP-Canvas-Look a Like-Trial</v></cell><cell r="V1575" t="str"><v>Prospecting</v></cell><cell r="W1575" t="str"><v>Other</v></cell><cell r="X1575" t="str"><v>1x1</v></cell></row><row r="1575"><cell r="AA1575"><v>43293</v></cell><cell r="AB1575" t="str"><v>JPN_gaPMG_AZR_AZR_Q1_19_Trial-Social</v></cell><cell r="AC1575"><v>21276694</v></cell><cell r="AD1575"><v>720195</v></cell><cell r="AE1575" t="str"><v>Facebook</v></cell><cell r="AF1575"><v>3654128</v></cell><cell r="AG1575" t="str"><v>Facebook»AZP-Canvas-Look a Like-Trial»1x1»Canvas»OTH»MO»CPM»PRO»X»UNK»TP»OT»Canvas-Trial</v></cell><cell r="AH1575"><v>223297413</v></cell><cell r="AI1575" t="str"><v>AzurePlatform_FBCTCcanvaspage-StartFreeCTA-Img2_JPN_1080x143 _SOC_Plat_Japanese_NA_Standard_NA_NA_T2_1</v></cell><cell r="AJ1575"><v>102609621</v></cell></row><row r="1576"><cell r="C1576" t="str"><v>43293Facebook»AZP-Retargeting»1x1»Ban»LIA»ALL»CPM»RT»X»All»TP»OT»Free Account Retargeting OSS-ChG</v></cell><cell r="D1576" t="str"><v>43293223726365</v></cell><cell r="E1576" t="str"><v>43293102976850SS-ChG</v></cell><cell r="F1576" t="str"><v>DCM</v></cell><cell r="G1576" t="str"><v>https://azure.microsoft.com/ja-jp/free/open-source/search/</v></cell></row><row r="1576"><cell r="K1576" t="str"><v>July</v></cell><cell r="L1576"><v>43295</v></cell><cell r="M1576" t="str"><v>Tier 1</v></cell><cell r="N1576" t="str"><v>APAC</v></cell><cell r="O1576" t="str"><v>Japan</v></cell><cell r="P1576" t="str"><v>Trial</v></cell><cell r="Q1576" t="str"><v>Social</v></cell><cell r="R1576" t="str"><v>Azure</v></cell><cell r="S1576" t="str"><v>Apps & Infra</v></cell><cell r="T1576" t="str"><v>Developers & ITI's</v></cell><cell r="U1576" t="str"><v>AZP-Retargeting</v></cell><cell r="V1576" t="str"><v>Retargeting</v></cell><cell r="W1576" t="str"><v>Link Ad</v></cell><cell r="X1576" t="str"><v>1x1</v></cell></row><row r="1576"><cell r="AA1576"><v>43293</v></cell><cell r="AB1576" t="str"><v>JPN_gaPMG_AZR_AZR_Q1_19_Trial-Social</v></cell><cell r="AC1576"><v>21276694</v></cell><cell r="AD1576"><v>720195</v></cell><cell r="AE1576" t="str"><v>Facebook</v></cell><cell r="AF1576"><v>3654128</v></cell><cell r="AG1576" t="str"><v>Facebook»AZP-Retargeting»1x1»Ban»LIA»ALL»CPM»RT»X»All»TP»OT»Free Account Retargeting OSS-ChG</v></cell><cell r="AH1576"><v>223726365</v></cell><cell r="AI1576" t="str"><v>AzurePlatform_FreeAcctRetargetingOSSFB-Logos-ChG_JPN_1200x628_SOC_Plat_JA_Free Account_Standard_NA_SU_T2_1</v></cell><cell r="AJ1576"><v>102976850</v></cell></row><row r="1577"><cell r="C1577" t="str"><v>43293Facebook»AZP-Retargeting»1x1»Ban»LIA»ALL»CPM»RT»X»All»TP»OT»Free Account Retargeting VM-ChD</v></cell><cell r="D1577" t="str"><v>43293223726374</v></cell><cell r="E1577" t="str"><v>43293102971306VM-ChD</v></cell><cell r="F1577" t="str"><v>DCM</v></cell><cell r="G1577" t="str"><v>https://azure.microsoft.com/ja-jp/free/virtual-machines/search/</v></cell></row><row r="1577"><cell r="K1577" t="str"><v>July</v></cell><cell r="L1577"><v>43295</v></cell><cell r="M1577" t="str"><v>Tier 1</v></cell><cell r="N1577" t="str"><v>APAC</v></cell><cell r="O1577" t="str"><v>Japan</v></cell><cell r="P1577" t="str"><v>Trial</v></cell><cell r="Q1577" t="str"><v>Social</v></cell><cell r="R1577" t="str"><v>Azure</v></cell><cell r="S1577" t="str"><v>Apps & Infra</v></cell><cell r="T1577" t="str"><v>Developers & ITI's</v></cell><cell r="U1577" t="str"><v>AZP-Retargeting</v></cell><cell r="V1577" t="str"><v>Retargeting</v></cell><cell r="W1577" t="str"><v>Link Ad</v></cell><cell r="X1577" t="str"><v>1x1</v></cell></row><row r="1577"><cell r="AA1577"><v>43293</v></cell><cell r="AB1577" t="str"><v>JPN_gaPMG_AZR_AZR_Q1_19_Trial-Social</v></cell><cell r="AC1577"><v>21276694</v></cell><cell r="AD1577"><v>720195</v></cell><cell r="AE1577" t="str"><v>Facebook</v></cell><cell r="AF1577"><v>3654128</v></cell><cell r="AG1577" t="str"><v>Facebook»AZP-Retargeting»1x1»Ban»LIA»ALL»CPM»RT»X»All»TP»OT»Free Account Retargeting VM-ChD</v></cell><cell r="AH1577"><v>223726374</v></cell><cell r="AI1577" t="str"><v>AzurePlatform_FreeAcctRetargetingVMFB-750Hrs-ChD_JPN_1200x628_SOC_Plat_JA_Free Account_Standard_NA_SU_T1_1</v></cell><cell r="AJ1577"><v>102971306</v></cell></row><row r="1578"><cell r="C1578" t="str"><v>43293Facebook»AZP-Retargeting»1x1»Canvas»OTH»MO»CPM»RT»W»UNK»TP»OT»Trial-Basicmotion</v></cell><cell r="D1578" t="str"><v>43293223298811</v></cell><cell r="E1578" t="str"><v>43293102773984motion</v></cell><cell r="F1578" t="str"><v>DCM</v></cell><cell r="G1578" t="str"><v>https://azure.microsoft.com/ja-jp/free/search/</v></cell></row><row r="1578"><cell r="K1578" t="str"><v>July</v></cell><cell r="L1578"><v>43295</v></cell><cell r="M1578" t="str"><v>Tier 1</v></cell><cell r="N1578" t="str"><v>APAC</v></cell><cell r="O1578" t="str"><v>Japan</v></cell><cell r="P1578" t="str"><v>Trial</v></cell><cell r="Q1578" t="str"><v>Social</v></cell><cell r="R1578" t="str"><v>Azure</v></cell><cell r="S1578" t="str"><v>Apps & Infra</v></cell><cell r="T1578" t="str"><v>Developers & ITI's</v></cell><cell r="U1578" t="str"><v>AZP-Retargeting</v></cell><cell r="V1578" t="str"><v>Retargeting</v></cell><cell r="W1578" t="str"><v>Other</v></cell><cell r="X1578" t="str"><v>1x1</v></cell></row><row r="1578"><cell r="AA1578"><v>43293</v></cell><cell r="AB1578" t="str"><v>JPN_gaPMG_AZR_AZR_Q1_19_Trial-Social</v></cell><cell r="AC1578"><v>21276694</v></cell><cell r="AD1578"><v>720195</v></cell><cell r="AE1578" t="str"><v>Facebook</v></cell><cell r="AF1578"><v>3654128</v></cell><cell r="AG1578" t="str"><v>Facebook»AZP-Retargeting»1x1»Canvas»OTH»MO»CPM»RT»W»UNK»TP»OT»Trial-Basicmotion</v></cell><cell r="AH1578"><v>223298811</v></cell><cell r="AI1578" t="str"><v>AzurePlatform_FBCTCBasicMotion_JPN_10sec_ISV_PLAT_JA_Trial_Standard_STAN_TN_T1_1</v></cell><cell r="AJ1578"><v>102773984</v></cell></row><row r="1579"><cell r="C1579" t="str"><v>43293Facebook»AZP-Retargeting»1x1»Canvas»OTH»MO»CPM»RT»W»UNK»TP»OT»Trial-BrandinMotion</v></cell><cell r="D1579" t="str"><v>43293223298823</v></cell><cell r="E1579" t="str"><v>43293102612720Motion</v></cell><cell r="F1579" t="str"><v>DCM</v></cell><cell r="G1579" t="str"><v>https://azure.microsoft.com/ja-jp/free/search/</v></cell></row><row r="1579"><cell r="K1579" t="str"><v>July</v></cell><cell r="L1579"><v>43295</v></cell><cell r="M1579" t="str"><v>Tier 1</v></cell><cell r="N1579" t="str"><v>APAC</v></cell><cell r="O1579" t="str"><v>Japan</v></cell><cell r="P1579" t="str"><v>Trial</v></cell><cell r="Q1579" t="str"><v>Social</v></cell><cell r="R1579" t="str"><v>Azure</v></cell><cell r="S1579" t="str"><v>Apps & Infra</v></cell><cell r="T1579" t="str"><v>Developers & ITI's</v></cell><cell r="U1579" t="str"><v>AZP-Retargeting</v></cell><cell r="V1579" t="str"><v>Retargeting</v></cell><cell r="W1579" t="str"><v>Other</v></cell><cell r="X1579" t="str"><v>1x1</v></cell></row><row r="1579"><cell r="AA1579"><v>43293</v></cell><cell r="AB1579" t="str"><v>JPN_gaPMG_AZR_AZR_Q1_19_Trial-Social</v></cell><cell r="AC1579"><v>21276694</v></cell><cell r="AD1579"><v>720195</v></cell><cell r="AE1579" t="str"><v>Facebook</v></cell><cell r="AF1579"><v>3654128</v></cell><cell r="AG1579" t="str"><v>Facebook»AZP-Retargeting»1x1»Canvas»OTH»MO»CPM»RT»W»UNK»TP»OT»Trial-BrandinMotion</v></cell><cell r="AH1579"><v>223298823</v></cell><cell r="AI1579" t="str"><v>AzurePlatform_FBCTCBrandinMotion_JPN_12sec_ISV_PLAT_JA_Trial_Standard_STAN_TN_T2_1</v></cell><cell r="AJ1579"><v>102612720</v></cell></row><row r="1580"><cell r="C1580" t="str"><v>43293FACEBOOK»USA-Trial-ITD-Interest Prospecting-AZR-AZR»1 x 1»SocialBan»CAN»ALL»CPA»PRO»X»NA»SS»NA»FBCTCBasicMotion»PRC1SV</v></cell><cell r="D1580" t="str"><v>43293223934062</v></cell><cell r="E1580" t="str"><v>43293103043823PRC1SV</v></cell><cell r="F1580" t="str"><v>DCM</v></cell><cell r="G1580" t="str"><v>https://signup.azure.com/?OCID=AID%eexcid!_OLA_%ebuy!_%epid!_%ecid!</v></cell></row><row r="1580"><cell r="K1580" t="str"><v>July</v></cell><cell r="L1580"><v>43295</v></cell><cell r="M1580" t="str"><v>Tier 0</v></cell><cell r="N1580" t="str"><v>North America</v></cell><cell r="O1580" t="str"><v>United States</v></cell><cell r="P1580" t="str"><v>Trial</v></cell><cell r="Q1580" t="str"><v>Social</v></cell><cell r="R1580" t="str"><v>Azure</v></cell><cell r="S1580" t="str"><v>Apps & Infra</v></cell><cell r="T1580" t="str"><v>Developers & ITI's</v></cell><cell r="U1580" t="str"><v>USA-Trial-ITD-Interest Prospecting-AZR-AZR</v></cell><cell r="V1580" t="str"><v>Prospecting</v></cell><cell r="W1580" t="str"><v>Canvas Ad</v></cell><cell r="X1580" t="str"><v>1x1</v></cell></row><row r="1580"><cell r="AA1580"><v>43293</v></cell><cell r="AB1580" t="str"><v>USA_gaPMG_AZR_AZR_Q1_19_Direct-Social</v></cell><cell r="AC1580"><v>21358715</v></cell><cell r="AD1580"><v>720197</v></cell><cell r="AE1580" t="str"><v>Facebook</v></cell><cell r="AF1580"><v>3654128</v></cell><cell r="AG1580" t="str"><v>FACEBOOK»USA-Trial-ITD-Interest Prospecting-AZR-AZR»1 x 1»SocialBan»CAN»ALL»CPA»PRO»X»NA»SS»NA»FBCTCBasicMotion»PRC1SV</v></cell><cell r="AH1580"><v>223934062</v></cell><cell r="AI1580" t="str"><v>AzurePlatform_FBCTCBasicMotion_USA_10s_CAN_PLATFORM_English_Trial_Standard_STAN_TIN_T1_1</v></cell><cell r="AJ1580"><v>103043823</v></cell></row><row r="1581"><cell r="C1581" t="str"><v>43293FACEBOOK»USA-Trial-ITD-Interest Prospecting-AZR-AZR»1 x 1»SocialBan»CAN»ALL»CPA»PRO»X»NA»SS»NA»FBCTCBasicMotion»PRC1SV</v></cell><cell r="D1581" t="str"><v>43293223934062</v></cell><cell r="E1581" t="str"><v>43293103175984PRC1SV</v></cell><cell r="F1581" t="str"><v>DCM</v></cell><cell r="G1581" t="str"><v>https://azure.microsoft.com/en-us/pricing/purchase-options/?v=18.19&OCID=AID%eexcid!_OLA_%ebuy!_%epid!_%ecid!</v></cell></row><row r="1581"><cell r="K1581" t="str"><v>July</v></cell><cell r="L1581"><v>43295</v></cell><cell r="M1581" t="str"><v>Tier 0</v></cell><cell r="N1581" t="str"><v>North America</v></cell><cell r="O1581" t="str"><v>United States</v></cell><cell r="P1581" t="str"><v>Trial</v></cell><cell r="Q1581" t="str"><v>Social</v></cell><cell r="R1581" t="str"><v>Azure</v></cell><cell r="S1581" t="str"><v>Apps & Infra</v></cell><cell r="T1581" t="str"><v>Developers & ITI's</v></cell><cell r="U1581" t="str"><v>USA-Trial-ITD-Interest Prospecting-AZR-AZR</v></cell><cell r="V1581" t="str"><v>Prospecting</v></cell><cell r="W1581" t="str"><v>Canvas Ad</v></cell><cell r="X1581" t="str"><v>1x1</v></cell></row><row r="1581"><cell r="AA1581"><v>43293</v></cell><cell r="AB1581" t="str"><v>USA_gaPMG_AZR_AZR_Q1_19_Direct-Social</v></cell><cell r="AC1581"><v>21358715</v></cell><cell r="AD1581"><v>720197</v></cell><cell r="AE1581" t="str"><v>Facebook</v></cell><cell r="AF1581"><v>3654128</v></cell><cell r="AG1581" t="str"><v>FACEBOOK»USA-Trial-ITD-Interest Prospecting-AZR-AZR»1 x 1»SocialBan»CAN»ALL»CPA»PRO»X»NA»SS»NA»FBCTCBasicMotion»PRC1SV</v></cell><cell r="AH1581"><v>223934062</v></cell><cell r="AI1581" t="str"><v>AzurePlatform_FBCTCBasicMotion_USA_10s_CAN_PLATFORM_English_Trial_Standard_STAN_TIN_T1_2</v></cell><cell r="AJ1581"><v>103175984</v></cell></row><row r="1582"><cell r="C1582" t="str"><v>43293FACEBOOK»USA-Trial-ITD-Interest Prospecting-AZR-AZR»1 x 1»SocialBan»CAN»ALL»CPA»PRO»X»NA»SS»NA»FBCTCBenefit2inMotion»PRC1SW</v></cell><cell r="D1582" t="str"><v>43293223933138</v></cell><cell r="E1582" t="str"><v>43293103043835PRC1SW</v></cell><cell r="F1582" t="str"><v>DCM</v></cell><cell r="G1582" t="str"><v>https://signup.azure.com/?OCID=AID%eexcid!_OLA_%ebuy!_%epid!_%ecid!</v></cell></row><row r="1582"><cell r="K1582" t="str"><v>July</v></cell><cell r="L1582"><v>43295</v></cell><cell r="M1582" t="str"><v>Tier 0</v></cell><cell r="N1582" t="str"><v>North America</v></cell><cell r="O1582" t="str"><v>United States</v></cell><cell r="P1582" t="str"><v>Trial</v></cell><cell r="Q1582" t="str"><v>Social</v></cell><cell r="R1582" t="str"><v>Azure</v></cell><cell r="S1582" t="str"><v>Apps & Infra</v></cell><cell r="T1582" t="str"><v>Developers & ITI's</v></cell><cell r="U1582" t="str"><v>USA-Trial-ITD-Interest Prospecting-AZR-AZR</v></cell><cell r="V1582" t="str"><v>Prospecting</v></cell><cell r="W1582" t="str"><v>Canvas Ad</v></cell><cell r="X1582" t="str"><v>1x1</v></cell></row><row r="1582"><cell r="AA1582"><v>43293</v></cell><cell r="AB1582" t="str"><v>USA_gaPMG_AZR_AZR_Q1_19_Direct-Social</v></cell><cell r="AC1582"><v>21358715</v></cell><cell r="AD1582"><v>720197</v></cell><cell r="AE1582" t="str"><v>Facebook</v></cell><cell r="AF1582"><v>3654128</v></cell><cell r="AG1582" t="str"><v>FACEBOOK»USA-Trial-ITD-Interest Prospecting-AZR-AZR»1 x 1»SocialBan»CAN»ALL»CPA»PRO»X»NA»SS»NA»FBCTCBenefit2inMotion»PRC1SW</v></cell><cell r="AH1582"><v>223933138</v></cell><cell r="AI1582" t="str"><v>AzurePlatform_FBCTCBenefit2inMotion_USA_10s_CAN_PLATFORM_English_Trial_Standard_STAN_TIN_T4_1</v></cell><cell r="AJ1582"><v>103043835</v></cell></row><row r="1583"><cell r="C1583" t="str"><v>43293FACEBOOK»USA-Trial-ITD-Interest Prospecting-AZR-AZR»1 x 1»SocialBan»CAN»ALL»CPA»PRO»X»NA»SS»NA»FBCTCBenefit2inMotion»PRC1SW</v></cell><cell r="D1583" t="str"><v>43293223933138</v></cell><cell r="E1583" t="str"><v>43293103178645PRC1SW</v></cell><cell r="F1583" t="str"><v>DCM</v></cell><cell r="G1583" t="str"><v>https://azure.microsoft.com/en-us/pricing/purchase-options/?v=18.19&OCID=AID%eexcid!_OLA_%ebuy!_%epid!_%ecid!</v></cell></row><row r="1583"><cell r="K1583" t="str"><v>July</v></cell><cell r="L1583"><v>43295</v></cell><cell r="M1583" t="str"><v>Tier 0</v></cell><cell r="N1583" t="str"><v>North America</v></cell><cell r="O1583" t="str"><v>United States</v></cell><cell r="P1583" t="str"><v>Trial</v></cell><cell r="Q1583" t="str"><v>Social</v></cell><cell r="R1583" t="str"><v>Azure</v></cell><cell r="S1583" t="str"><v>Apps & Infra</v></cell><cell r="T1583" t="str"><v>Developers & ITI's</v></cell><cell r="U1583" t="str"><v>USA-Trial-ITD-Interest Prospecting-AZR-AZR</v></cell><cell r="V1583" t="str"><v>Prospecting</v></cell><cell r="W1583" t="str"><v>Canvas Ad</v></cell><cell r="X1583" t="str"><v>1x1</v></cell></row><row r="1583"><cell r="AA1583"><v>43293</v></cell><cell r="AB1583" t="str"><v>USA_gaPMG_AZR_AZR_Q1_19_Direct-Social</v></cell><cell r="AC1583"><v>21358715</v></cell><cell r="AD1583"><v>720197</v></cell><cell r="AE1583" t="str"><v>Facebook</v></cell><cell r="AF1583"><v>3654128</v></cell><cell r="AG1583" t="str"><v>FACEBOOK»USA-Trial-ITD-Interest Prospecting-AZR-AZR»1 x 1»SocialBan»CAN»ALL»CPA»PRO»X»NA»SS»NA»FBCTCBenefit2inMotion»PRC1SW</v></cell><cell r="AH1583"><v>223933138</v></cell><cell r="AI1583" t="str"><v>AzurePlatform_FBCTCBenefit2inMotion_USA_10s_CAN_PLATFORM_English_Trial_Standard_STAN_TIN_T4_2</v></cell><cell r="AJ1583"><v>103178645</v></cell></row><row r="1584"><cell r="C1584" t="str"><v>43293FACEBOOK»USA-Trial-ITD-Interest Prospecting-AZR-AZR»1 x 1»SocialBan»CAN»ALL»CPA»PRO»X»NA»SS»NA»FBCTCBrandinMotion»PRC1SY</v></cell><cell r="D1584" t="str"><v>43293224104929</v></cell><cell r="E1584" t="str"><v>43293103176812PRC1SY</v></cell><cell r="F1584" t="str"><v>DCM</v></cell><cell r="G1584" t="str"><v>https://signup.azure.com/?OCID=AID%eexcid!_OLA_%ebuy!_%epid!_%ecid!</v></cell></row><row r="1584"><cell r="K1584" t="str"><v>July</v></cell><cell r="L1584"><v>43295</v></cell><cell r="M1584" t="str"><v>Tier 0</v></cell><cell r="N1584" t="str"><v>North America</v></cell><cell r="O1584" t="str"><v>United States</v></cell><cell r="P1584" t="str"><v>Trial</v></cell><cell r="Q1584" t="str"><v>Social</v></cell><cell r="R1584" t="str"><v>Azure</v></cell><cell r="S1584" t="str"><v>Apps & Infra</v></cell><cell r="T1584" t="str"><v>Developers & ITI's</v></cell><cell r="U1584" t="str"><v>USA-Trial-ITD-Interest Prospecting-AZR-AZR</v></cell><cell r="V1584" t="str"><v>Prospecting</v></cell><cell r="W1584" t="str"><v>Canvas Ad</v></cell><cell r="X1584" t="str"><v>1x1</v></cell></row><row r="1584"><cell r="AA1584"><v>43293</v></cell><cell r="AB1584" t="str"><v>USA_gaPMG_AZR_AZR_Q1_19_Direct-Social</v></cell><cell r="AC1584"><v>21358715</v></cell><cell r="AD1584"><v>720197</v></cell><cell r="AE1584" t="str"><v>Facebook</v></cell><cell r="AF1584"><v>3654128</v></cell><cell r="AG1584" t="str"><v>FACEBOOK»USA-Trial-ITD-Interest Prospecting-AZR-AZR»1 x 1»SocialBan»CAN»ALL»CPA»PRO»X»NA»SS»NA»FBCTCBrandinMotion»PRC1SY</v></cell><cell r="AH1584"><v>224104929</v></cell><cell r="AI1584" t="str"><v>AzurePlatform_FBCTCBrandinMotion_USA_10s_CAN_PLATFORM_English_Trial_Standard_STAN_TIN_T2_1</v></cell><cell r="AJ1584"><v>103176812</v></cell></row><row r="1585"><cell r="C1585" t="str"><v>43293FACEBOOK»USA-Trial-ITD-Interest Prospecting-AZR-AZR»1 x 1»SocialBan»CAN»ALL»CPA»PRO»X»NA»SS»NA»FBCTCBrandinMotion»PRC1SY</v></cell><cell r="D1585" t="str"><v>43293224104929</v></cell><cell r="E1585" t="str"><v>43293103032823PRC1SY</v></cell><cell r="F1585" t="str"><v>DCM</v></cell><cell r="G1585" t="str"><v>https://azure.microsoft.com/en-us/pricing/purchase-options/?v=18.19&OCID=AID%eexcid!_OLA_%ebuy!_%epid!_%ecid!</v></cell></row><row r="1585"><cell r="K1585" t="str"><v>July</v></cell><cell r="L1585"><v>43295</v></cell><cell r="M1585" t="str"><v>Tier 0</v></cell><cell r="N1585" t="str"><v>North America</v></cell><cell r="O1585" t="str"><v>United States</v></cell><cell r="P1585" t="str"><v>Trial</v></cell><cell r="Q1585" t="str"><v>Social</v></cell><cell r="R1585" t="str"><v>Azure</v></cell><cell r="S1585" t="str"><v>Apps & Infra</v></cell><cell r="T1585" t="str"><v>Developers & ITI's</v></cell><cell r="U1585" t="str"><v>USA-Trial-ITD-Interest Prospecting-AZR-AZR</v></cell><cell r="V1585" t="str"><v>Prospecting</v></cell><cell r="W1585" t="str"><v>Canvas Ad</v></cell><cell r="X1585" t="str"><v>1x1</v></cell></row><row r="1585"><cell r="AA1585"><v>43293</v></cell><cell r="AB1585" t="str"><v>USA_gaPMG_AZR_AZR_Q1_19_Direct-Social</v></cell><cell r="AC1585"><v>21358715</v></cell><cell r="AD1585"><v>720197</v></cell><cell r="AE1585" t="str"><v>Facebook</v></cell><cell r="AF1585"><v>3654128</v></cell><cell r="AG1585" t="str"><v>FACEBOOK»USA-Trial-ITD-Interest Prospecting-AZR-AZR»1 x 1»SocialBan»CAN»ALL»CPA»PRO»X»NA»SS»NA»FBCTCBrandinMotion»PRC1SY</v></cell><cell r="AH1585"><v>224104929</v></cell><cell r="AI1585" t="str"><v>AzurePlatform_FBCTCBrandinMotion_USA_10s_CAN_PLATFORM_English_Trial_Standard_STAN_TIN_T2_2</v></cell><cell r="AJ1585"><v>103032823</v></cell></row><row r="1586"><cell r="C1586" t="str"><v>43293FACEBOOK»USA-Trial-ITD-Interest Prospecting-AZR-AZR»1 x 1»SocialBan»LIA»ALL»CPA»PRO»X»NA»SS»NA»FreeAcctDeveloperFB-AnimatedGeneric-Ch1»PRC1SZ</v></cell><cell r="D1586" t="str"><v>43293224104932</v></cell><cell r="E1586" t="str"><v>43293103176851PRC1SZ</v></cell><cell r="F1586" t="str"><v>DCM</v></cell><cell r="G1586" t="str"><v>https://azure.microsoft.com/en-us/free/search/?OCID=AID%eexcid!_OLA_%ebuy!_%epid!_%ecid!</v></cell></row><row r="1586"><cell r="K1586" t="str"><v>July</v></cell><cell r="L1586"><v>43295</v></cell><cell r="M1586" t="str"><v>Tier 0</v></cell><cell r="N1586" t="str"><v>North America</v></cell><cell r="O1586" t="str"><v>United States</v></cell><cell r="P1586" t="str"><v>Trial</v></cell><cell r="Q1586" t="str"><v>Social</v></cell><cell r="R1586" t="str"><v>Azure</v></cell><cell r="S1586" t="str"><v>Apps & Infra</v></cell><cell r="T1586" t="str"><v>Developers & ITI's</v></cell><cell r="U1586" t="str"><v>USA-Trial-ITD-Interest Prospecting-AZR-AZR</v></cell><cell r="V1586" t="str"><v>Prospecting</v></cell><cell r="W1586" t="str"><v>Link Ad</v></cell><cell r="X1586" t="str"><v>1x1</v></cell></row><row r="1586"><cell r="AA1586"><v>43293</v></cell><cell r="AB1586" t="str"><v>USA_gaPMG_AZR_AZR_Q1_19_Direct-Social</v></cell><cell r="AC1586"><v>21358715</v></cell><cell r="AD1586"><v>720197</v></cell><cell r="AE1586" t="str"><v>Facebook</v></cell><cell r="AF1586"><v>3654128</v></cell><cell r="AG1586" t="str"><v>FACEBOOK»USA-Trial-ITD-Interest Prospecting-AZR-AZR»1 x 1»SocialBan»LIA»ALL»CPA»PRO»X»NA»SS»NA»FreeAcctDeveloperFB-AnimatedGeneric-Ch1»PRC1SZ</v></cell><cell r="AH1586"><v>224104932</v></cell><cell r="AI1586" t="str"><v>AZR_FreeAcctDeveloperFB-AnimatedGeneric-Ch1_USA_1200x1200_CAN_Direct_English_Trial_Standard_ANI_LEA_T1_2</v></cell><cell r="AJ1586"><v>103176851</v></cell></row><row r="1587"><cell r="C1587" t="str"><v>43293FACEBOOK»USA-Trial-ITD-Interest Prospecting-AZR-AZR»1 x 1»SocialBan»LIA»ALL»CPA»PRO»X»NA»SS»NA»FreeAcctDeveloperFB-AnimatedGeneric-Ch1»PRC1T0</v></cell><cell r="D1587" t="str"><v>43293223934065</v></cell><cell r="E1587" t="str"><v>43293103176851PRC1T0</v></cell><cell r="F1587" t="str"><v>DCM</v></cell><cell r="G1587" t="str"><v>https://azure.microsoft.com/en-us/free/search/?OCID=AID%eexcid!_OLA_%ebuy!_%epid!_%ecid!</v></cell></row><row r="1587"><cell r="K1587" t="str"><v>July</v></cell><cell r="L1587"><v>43295</v></cell><cell r="M1587" t="str"><v>Tier 0</v></cell><cell r="N1587" t="str"><v>North America</v></cell><cell r="O1587" t="str"><v>United States</v></cell><cell r="P1587" t="str"><v>Trial</v></cell><cell r="Q1587" t="str"><v>Social</v></cell><cell r="R1587" t="str"><v>Azure</v></cell><cell r="S1587" t="str"><v>Apps & Infra</v></cell><cell r="T1587" t="str"><v>Developers & ITI's</v></cell><cell r="U1587" t="str"><v>USA-Trial-ITD-Interest Prospecting-AZR-AZR</v></cell><cell r="V1587" t="str"><v>Prospecting</v></cell><cell r="W1587" t="str"><v>Link Ad</v></cell><cell r="X1587" t="str"><v>1x1</v></cell></row><row r="1587"><cell r="AA1587"><v>43293</v></cell><cell r="AB1587" t="str"><v>USA_gaPMG_AZR_AZR_Q1_19_Direct-Social</v></cell><cell r="AC1587"><v>21358715</v></cell><cell r="AD1587"><v>720197</v></cell><cell r="AE1587" t="str"><v>Facebook</v></cell><cell r="AF1587"><v>3654128</v></cell><cell r="AG1587" t="str"><v>FACEBOOK»USA-Trial-ITD-Interest Prospecting-AZR-AZR»1 x 1»SocialBan»LIA»ALL»CPA»PRO»X»NA»SS»NA»FreeAcctDeveloperFB-AnimatedGeneric-Ch1»PRC1T0</v></cell><cell r="AH1587"><v>223934065</v></cell><cell r="AI1587" t="str"><v>AZR_FreeAcctDeveloperFB-AnimatedGeneric-Ch1_USA_1200x1200_CAN_Direct_English_Trial_Standard_ANI_LEA_T1_2</v></cell><cell r="AJ1587"><v>103176851</v></cell></row><row r="1588"><cell r="C1588" t="str"><v>43293FACEBOOK»USA-Trial-ITD-Interest Prospecting-AZR-AZR»1 x 1»SocialBan»LIA»ALL»CPA»PRO»X»NA»SS»NA»FreeAcctITProFB-AnimatedHybrid-Ch2»PRC1T5</v></cell><cell r="D1588" t="str"><v>43293223862882</v></cell><cell r="E1588" t="str"><v>43293103180583PRC1T5</v></cell><cell r="F1588" t="str"><v>DCM</v></cell></row><row r="1588"><cell r="K1588" t="str"><v>July</v></cell><cell r="L1588"><v>43295</v></cell><cell r="M1588" t="str"><v>Tier 0</v></cell><cell r="N1588" t="str"><v>North America</v></cell><cell r="O1588" t="str"><v>United States</v></cell><cell r="P1588" t="str"><v>Trial</v></cell><cell r="Q1588" t="str"><v>Social</v></cell><cell r="R1588" t="str"><v>Azure</v></cell><cell r="S1588" t="str"><v>Apps & Infra</v></cell><cell r="T1588" t="str"><v>Developers & ITI's</v></cell><cell r="U1588" t="str"><v>USA-Trial-ITD-Interest Prospecting-AZR-AZR</v></cell><cell r="V1588" t="str"><v>Prospecting</v></cell><cell r="W1588" t="str"><v>Link Ad</v></cell><cell r="X1588" t="str"><v>1x1</v></cell></row><row r="1588"><cell r="AA1588"><v>43293</v></cell><cell r="AB1588" t="str"><v>USA_gaPMG_AZR_AZR_Q1_19_Direct-Social</v></cell><cell r="AC1588"><v>21358715</v></cell><cell r="AD1588"><v>720197</v></cell><cell r="AE1588" t="str"><v>Facebook</v></cell><cell r="AF1588"><v>3654128</v></cell><cell r="AG1588" t="str"><v>FACEBOOK»USA-Trial-ITD-Interest Prospecting-AZR-AZR»1 x 1»SocialBan»LIA»ALL»CPA»PRO»X»NA»SS»NA»FreeAcctITProFB-AnimatedHybrid-Ch2»PRC1T5</v></cell><cell r="AH1588"><v>223862882</v></cell><cell r="AI1588" t="str"><v>AZR_FreeAcctITProFB-AnimatedHybrid-Ch2_USA_1200x1200_CAN_Direct_English_Trial_Standard_ANI_LEA_T2_2</v></cell><cell r="AJ1588"><v>103180583</v></cell></row><row r="1589"><cell r="C1589" t="str"><v>43293FACEBOOK»USA-Trial-ITD-Interest Prospecting-AZR-AZR»1 x 1»SocialBan»LIA»ALL»CPA»PRO»X»NA»SS»NA»FreeAcctITProFB-AnimatedSecureMngd-Ch1»PRC1T4</v></cell><cell r="D1589" t="str"><v>43293224104914</v></cell><cell r="E1589" t="str"><v>43293103176830PRC1T4</v></cell><cell r="F1589" t="str"><v>DCM</v></cell></row><row r="1589"><cell r="K1589" t="str"><v>July</v></cell><cell r="L1589"><v>43295</v></cell><cell r="M1589" t="str"><v>Tier 0</v></cell><cell r="N1589" t="str"><v>North America</v></cell><cell r="O1589" t="str"><v>United States</v></cell><cell r="P1589" t="str"><v>Trial</v></cell><cell r="Q1589" t="str"><v>Social</v></cell><cell r="R1589" t="str"><v>Azure</v></cell><cell r="S1589" t="str"><v>Apps & Infra</v></cell><cell r="T1589" t="str"><v>Developers & ITI's</v></cell><cell r="U1589" t="str"><v>USA-Trial-ITD-Interest Prospecting-AZR-AZR</v></cell><cell r="V1589" t="str"><v>Prospecting</v></cell><cell r="W1589" t="str"><v>Link Ad</v></cell><cell r="X1589" t="str"><v>1x1</v></cell></row><row r="1589"><cell r="AA1589"><v>43293</v></cell><cell r="AB1589" t="str"><v>USA_gaPMG_AZR_AZR_Q1_19_Direct-Social</v></cell><cell r="AC1589"><v>21358715</v></cell><cell r="AD1589"><v>720197</v></cell><cell r="AE1589" t="str"><v>Facebook</v></cell><cell r="AF1589"><v>3654128</v></cell><cell r="AG1589" t="str"><v>FACEBOOK»USA-Trial-ITD-Interest Prospecting-AZR-AZR»1 x 1»SocialBan»LIA»ALL»CPA»PRO»X»NA»SS»NA»FreeAcctITProFB-AnimatedSecureMngd-Ch1»PRC1T4</v></cell><cell r="AH1589"><v>224104914</v></cell><cell r="AI1589" t="str"><v>AZR_FreeAcctITProFB-AnimatedSecureMngd-Ch1_USA_1200x1200_CAN_Direct_English_Trial_Standard_ANI_LEA_T1_1</v></cell><cell r="AJ1589"><v>103176830</v></cell></row><row r="1590"><cell r="C1590" t="str"><v>43293FACEBOOK»USA-Trial-ITD-Retargeting-AZR-AZR»1 x 1»SocialBan»LIA»ALL»CPA»RT»X»NA»SS»NA»FreeAcctDeveloperFB-AnimatedAI-Ch3»PRC26H</v></cell><cell r="D1590" t="str"><v>43293223863371</v></cell><cell r="E1590" t="str"><v>43293103032778PRC26H</v></cell><cell r="F1590" t="str"><v>DCM</v></cell></row><row r="1590"><cell r="K1590" t="str"><v>July</v></cell><cell r="L1590"><v>43295</v></cell><cell r="M1590" t="str"><v>Tier 0</v></cell><cell r="N1590" t="str"><v>North America</v></cell><cell r="O1590" t="str"><v>United States</v></cell><cell r="P1590" t="str"><v>Trial</v></cell><cell r="Q1590" t="str"><v>Social</v></cell><cell r="R1590" t="str"><v>Azure</v></cell><cell r="S1590" t="str"><v>Apps & Infra</v></cell><cell r="T1590" t="str"><v>Developers & ITI's</v></cell><cell r="U1590" t="str"><v>USA-Trial-ITD-Retargeting-AZR-AZR</v></cell><cell r="V1590" t="str"><v>Retargeting</v></cell><cell r="W1590" t="str"><v>Link Ad</v></cell><cell r="X1590" t="str"><v>1x1</v></cell></row><row r="1590"><cell r="AA1590"><v>43293</v></cell><cell r="AB1590" t="str"><v>USA_gaPMG_AZR_AZR_Q1_19_Direct-Social</v></cell><cell r="AC1590"><v>21358715</v></cell><cell r="AD1590"><v>720197</v></cell><cell r="AE1590" t="str"><v>Facebook</v></cell><cell r="AF1590"><v>3654128</v></cell><cell r="AG1590" t="str"><v>FACEBOOK»USA-Trial-ITD-Retargeting-AZR-AZR»1 x 1»SocialBan»LIA»ALL»CPA»RT»X»NA»SS»NA»FreeAcctDeveloperFB-AnimatedAI-Ch3»PRC26H</v></cell><cell r="AH1590"><v>223863371</v></cell><cell r="AI1590" t="str"><v>AZR_FreeAcctDeveloperFB-AnimatedAI-Ch3_USA_1200x1200_CAN_Direct_English_Trial_Standard_ANI_LEA_T3_1</v></cell><cell r="AJ1590"><v>103032778</v></cell></row><row r="1591"><cell r="C1591" t="str"><v>43293FACEBOOK»USA-Trial-ITD-Retargeting-AZR-AZR»1 x 1»SocialBan»LIA»ALL»CPA»RT»X»NA»SS»NA»FreeAcctDeveloperFB-AnimatedData-Ch4»PRC26J</v></cell><cell r="D1591" t="str"><v>43293224106078</v></cell><cell r="E1591" t="str"><v>43293103037935PRC26J</v></cell><cell r="F1591" t="str"><v>DCM</v></cell></row><row r="1591"><cell r="K1591" t="str"><v>July</v></cell><cell r="L1591"><v>43295</v></cell><cell r="M1591" t="str"><v>Tier 0</v></cell><cell r="N1591" t="str"><v>North America</v></cell><cell r="O1591" t="str"><v>United States</v></cell><cell r="P1591" t="str"><v>Trial</v></cell><cell r="Q1591" t="str"><v>Social</v></cell><cell r="R1591" t="str"><v>Azure</v></cell><cell r="S1591" t="str"><v>Apps & Infra</v></cell><cell r="T1591" t="str"><v>Developers & ITI's</v></cell><cell r="U1591" t="str"><v>USA-Trial-ITD-Retargeting-AZR-AZR</v></cell><cell r="V1591" t="str"><v>Retargeting</v></cell><cell r="W1591" t="str"><v>Link Ad</v></cell><cell r="X1591" t="str"><v>1x1</v></cell></row><row r="1591"><cell r="AA1591"><v>43293</v></cell><cell r="AB1591" t="str"><v>USA_gaPMG_AZR_AZR_Q1_19_Direct-Social</v></cell><cell r="AC1591"><v>21358715</v></cell><cell r="AD1591"><v>720197</v></cell><cell r="AE1591" t="str"><v>Facebook</v></cell><cell r="AF1591"><v>3654128</v></cell><cell r="AG1591" t="str"><v>FACEBOOK»USA-Trial-ITD-Retargeting-AZR-AZR»1 x 1»SocialBan»LIA»ALL»CPA»RT»X»NA»SS»NA»FreeAcctDeveloperFB-AnimatedData-Ch4»PRC26J</v></cell><cell r="AH1591"><v>224106078</v></cell><cell r="AI1591" t="str"><v>AZR_FreeAcctDeveloperFB-AnimatedData-Ch4_USA_1200x1200_CAN_Direct_English_Trial_Standard_ANI_LEA_T4_2</v></cell><cell r="AJ1591"><v>103037935</v></cell></row><row r="1592"><cell r="C1592" t="str"><v>43293FACEBOOK»USA-Trial-ITD-Retargeting-AZR-AZR»1 x 1»SocialBan»LIA»ALL»CPA»RT»X»NA»SS»NA»FreeAcctDeveloperFB-AnimatedGeneric-Ch1»PRC26F</v></cell><cell r="D1592" t="str"><v>43293224105850</v></cell><cell r="E1592" t="str"><v>43293103176851PRC26F</v></cell><cell r="F1592" t="str"><v>DCM</v></cell><cell r="G1592" t="str"><v>https://azure.microsoft.com/en-us/free/search/?OCID=AID%eexcid!_OLA_%ebuy!_%epid!_%ecid!</v></cell></row><row r="1592"><cell r="K1592" t="str"><v>July</v></cell><cell r="L1592"><v>43295</v></cell><cell r="M1592" t="str"><v>Tier 0</v></cell><cell r="N1592" t="str"><v>North America</v></cell><cell r="O1592" t="str"><v>United States</v></cell><cell r="P1592" t="str"><v>Trial</v></cell><cell r="Q1592" t="str"><v>Social</v></cell><cell r="R1592" t="str"><v>Azure</v></cell><cell r="S1592" t="str"><v>Apps & Infra</v></cell><cell r="T1592" t="str"><v>Developers & ITI's</v></cell><cell r="U1592" t="str"><v>USA-Trial-ITD-Retargeting-AZR-AZR</v></cell><cell r="V1592" t="str"><v>Retargeting</v></cell><cell r="W1592" t="str"><v>Link Ad</v></cell><cell r="X1592" t="str"><v>1x1</v></cell></row><row r="1592"><cell r="AA1592"><v>43293</v></cell><cell r="AB1592" t="str"><v>USA_gaPMG_AZR_AZR_Q1_19_Direct-Social</v></cell><cell r="AC1592"><v>21358715</v></cell><cell r="AD1592"><v>720197</v></cell><cell r="AE1592" t="str"><v>Facebook</v></cell><cell r="AF1592"><v>3654128</v></cell><cell r="AG1592" t="str"><v>FACEBOOK»USA-Trial-ITD-Retargeting-AZR-AZR»1 x 1»SocialBan»LIA»ALL»CPA»RT»X»NA»SS»NA»FreeAcctDeveloperFB-AnimatedGeneric-Ch1»PRC26F</v></cell><cell r="AH1592"><v>224105850</v></cell><cell r="AI1592" t="str"><v>AZR_FreeAcctDeveloperFB-AnimatedGeneric-Ch1_USA_1200x1200_CAN_Direct_English_Trial_Standard_ANI_LEA_T1_2</v></cell><cell r="AJ1592"><v>103176851</v></cell></row><row r="1593"><cell r="C1593" t="str"><v>43293FACEBOOK»USA-Trial-ITD-Retargeting-AZR-AZR»1 x 1»SocialBan»LIA»ALL»CPA»RT»X»NA»SS»NA»FreeAcctITProFB-AnimatedHybrid-Ch2»PRC26N</v></cell><cell r="D1593" t="str"><v>43293223934053</v></cell><cell r="E1593" t="str"><v>43293103180583PRC26N</v></cell><cell r="F1593" t="str"><v>DCM</v></cell></row><row r="1593"><cell r="K1593" t="str"><v>July</v></cell><cell r="L1593"><v>43295</v></cell><cell r="M1593" t="str"><v>Tier 0</v></cell><cell r="N1593" t="str"><v>North America</v></cell><cell r="O1593" t="str"><v>United States</v></cell><cell r="P1593" t="str"><v>Trial</v></cell><cell r="Q1593" t="str"><v>Social</v></cell><cell r="R1593" t="str"><v>Azure</v></cell><cell r="S1593" t="str"><v>Apps & Infra</v></cell><cell r="T1593" t="str"><v>Developers & ITI's</v></cell><cell r="U1593" t="str"><v>USA-Trial-ITD-Retargeting-AZR-AZR</v></cell><cell r="V1593" t="str"><v>Retargeting</v></cell><cell r="W1593" t="str"><v>Link Ad</v></cell><cell r="X1593" t="str"><v>1x1</v></cell></row><row r="1593"><cell r="AA1593"><v>43293</v></cell><cell r="AB1593" t="str"><v>USA_gaPMG_AZR_AZR_Q1_19_Direct-Social</v></cell><cell r="AC1593"><v>21358715</v></cell><cell r="AD1593"><v>720197</v></cell><cell r="AE1593" t="str"><v>Facebook</v></cell><cell r="AF1593"><v>3654128</v></cell><cell r="AG1593" t="str"><v>FACEBOOK»USA-Trial-ITD-Retargeting-AZR-AZR»1 x 1»SocialBan»LIA»ALL»CPA»RT»X»NA»SS»NA»FreeAcctITProFB-AnimatedHybrid-Ch2»PRC26N</v></cell><cell r="AH1593"><v>223934053</v></cell><cell r="AI1593" t="str"><v>AZR_FreeAcctITProFB-AnimatedHybrid-Ch2_USA_1200x1200_CAN_Direct_English_Trial_Standard_ANI_LEA_T2_2</v></cell><cell r="AJ1593"><v>103180583</v></cell></row><row r="1594"><cell r="C1594" t="str"><v>43293FACEBOOK»USA-Trial-ITD-Retargeting-AZR-AZR»1 x 1»SocialBan»LIA»ALL»CPA»RT»X»NA»SS»NA»FreeAcctITProFB-AnimatedMigration-Ch3»PRC26P</v></cell><cell r="D1594" t="str"><v>43293223934056</v></cell><cell r="E1594" t="str"><v>43293103176827PRC26P</v></cell><cell r="F1594" t="str"><v>DCM</v></cell></row><row r="1594"><cell r="K1594" t="str"><v>July</v></cell><cell r="L1594"><v>43295</v></cell><cell r="M1594" t="str"><v>Tier 0</v></cell><cell r="N1594" t="str"><v>North America</v></cell><cell r="O1594" t="str"><v>United States</v></cell><cell r="P1594" t="str"><v>Trial</v></cell><cell r="Q1594" t="str"><v>Social</v></cell><cell r="R1594" t="str"><v>Azure</v></cell><cell r="S1594" t="str"><v>Apps & Infra</v></cell><cell r="T1594" t="str"><v>Developers & ITI's</v></cell><cell r="U1594" t="str"><v>USA-Trial-ITD-Retargeting-AZR-AZR</v></cell><cell r="V1594" t="str"><v>Retargeting</v></cell><cell r="W1594" t="str"><v>Link Ad</v></cell><cell r="X1594" t="str"><v>1x1</v></cell></row><row r="1594"><cell r="AA1594"><v>43293</v></cell><cell r="AB1594" t="str"><v>USA_gaPMG_AZR_AZR_Q1_19_Direct-Social</v></cell><cell r="AC1594"><v>21358715</v></cell><cell r="AD1594"><v>720197</v></cell><cell r="AE1594" t="str"><v>Facebook</v></cell><cell r="AF1594"><v>3654128</v></cell><cell r="AG1594" t="str"><v>FACEBOOK»USA-Trial-ITD-Retargeting-AZR-AZR»1 x 1»SocialBan»LIA»ALL»CPA»RT»X»NA»SS»NA»FreeAcctITProFB-AnimatedMigration-Ch3»PRC26P</v></cell><cell r="AH1594"><v>223934056</v></cell><cell r="AI1594" t="str"><v>AZR_FreeAcctITProFB-AnimatedMigration-Ch3_USA_1200x1200_CAN_Direct_English_Trial_Standard_ANI_LEA_T3_1</v></cell><cell r="AJ1594"><v>103176827</v></cell></row><row r="1595"><cell r="C1595" t="str"><v>43293FACEBOOK»USA-Trial-ITD-Retargeting-AZR-AZR»1 x 1»SocialBan»LIA»ALL»CPA»RT»X»NA»SS»NA»FreeAcctRetargetingFB-Animated-ChC»PRC1RX</v></cell><cell r="D1595" t="str"><v>43293223862864</v></cell><cell r="E1595" t="str"><v>43293103180880PRC1RX</v></cell><cell r="F1595" t="str"><v>DCM</v></cell><cell r="G1595" t="str"><v>https://azure.microsoft.com/en-us/free/search/?OCID=AID%eexcid!_OLA_%ebuy!_%epid!_%ecid!</v></cell></row><row r="1595"><cell r="K1595" t="str"><v>July</v></cell><cell r="L1595"><v>43295</v></cell><cell r="M1595" t="str"><v>Tier 0</v></cell><cell r="N1595" t="str"><v>North America</v></cell><cell r="O1595" t="str"><v>United States</v></cell><cell r="P1595" t="str"><v>Trial</v></cell><cell r="Q1595" t="str"><v>Social</v></cell><cell r="R1595" t="str"><v>Azure</v></cell><cell r="S1595" t="str"><v>Apps & Infra</v></cell><cell r="T1595" t="str"><v>Developers & ITI's</v></cell><cell r="U1595" t="str"><v>USA-Trial-ITD-Retargeting-AZR-AZR</v></cell><cell r="V1595" t="str"><v>Retargeting</v></cell><cell r="W1595" t="str"><v>Link Ad</v></cell><cell r="X1595" t="str"><v>1x1</v></cell></row><row r="1595"><cell r="AA1595"><v>43293</v></cell><cell r="AB1595" t="str"><v>USA_gaPMG_AZR_AZR_Q1_19_Direct-Social</v></cell><cell r="AC1595"><v>21358715</v></cell><cell r="AD1595"><v>720197</v></cell><cell r="AE1595" t="str"><v>Facebook</v></cell><cell r="AF1595"><v>3654128</v></cell><cell r="AG1595" t="str"><v>FACEBOOK»USA-Trial-ITD-Retargeting-AZR-AZR»1 x 1»SocialBan»LIA»ALL»CPA»RT»X»NA»SS»NA»FreeAcctRetargetingFB-Animated-ChC»PRC1RX</v></cell><cell r="AH1595"><v>223862864</v></cell><cell r="AI1595" t="str"><v>AzurePlatform_FreeAcctRetargetingFB-Animated-ChC_USA_1200x628_CAN_PLATFORM_English_Free Account_Standard_ANI_SINU_T3_2</v></cell><cell r="AJ1595"><v>103180880</v></cell></row><row r="1596"><cell r="C1596" t="str"><v>43293FACEBOOK»USA-Trial-ITD-Retargeting-AZR-AZR»1 x 1»SocialBan»LIA»ALL»CPA»RT»X»NA»SS»NA»FreeAcctRetargetingFB-GlobalAlt-ChB»PRC1RW</v></cell><cell r="D1596" t="str"><v>43293223862756</v></cell><cell r="E1596" t="str"><v>43293103180592PRC1RW</v></cell><cell r="F1596" t="str"><v>DCM</v></cell><cell r="G1596" t="str"><v>https://azure.microsoft.com/en-us/free/search/?OCID=AID%eexcid!_OLA_%ebuy!_%epid!_%ecid!</v></cell></row><row r="1596"><cell r="K1596" t="str"><v>July</v></cell><cell r="L1596"><v>43295</v></cell><cell r="M1596" t="str"><v>Tier 0</v></cell><cell r="N1596" t="str"><v>North America</v></cell><cell r="O1596" t="str"><v>United States</v></cell><cell r="P1596" t="str"><v>Trial</v></cell><cell r="Q1596" t="str"><v>Social</v></cell><cell r="R1596" t="str"><v>Azure</v></cell><cell r="S1596" t="str"><v>Apps & Infra</v></cell><cell r="T1596" t="str"><v>Developers & ITI's</v></cell><cell r="U1596" t="str"><v>USA-Trial-ITD-Retargeting-AZR-AZR</v></cell><cell r="V1596" t="str"><v>Retargeting</v></cell><cell r="W1596" t="str"><v>Link Ad</v></cell><cell r="X1596" t="str"><v>1x1</v></cell></row><row r="1596"><cell r="AA1596"><v>43293</v></cell><cell r="AB1596" t="str"><v>USA_gaPMG_AZR_AZR_Q1_19_Direct-Social</v></cell><cell r="AC1596"><v>21358715</v></cell><cell r="AD1596"><v>720197</v></cell><cell r="AE1596" t="str"><v>Facebook</v></cell><cell r="AF1596"><v>3654128</v></cell><cell r="AG1596" t="str"><v>FACEBOOK»USA-Trial-ITD-Retargeting-AZR-AZR»1 x 1»SocialBan»LIA»ALL»CPA»RT»X»NA»SS»NA»FreeAcctRetargetingFB-GlobalAlt-ChB»PRC1RW</v></cell><cell r="AH1596"><v>223862756</v></cell><cell r="AI1596" t="str"><v>AzurePlatform_FreeAcctRetargetingFB-GlobalAlt-ChB_USA_1200x628_CAN_PLATFORM_English_Free Account_Standard_NA_SINU_T2_1</v></cell><cell r="AJ1596"><v>103180592</v></cell></row><row r="1597"><cell r="C1597" t="str"><v>43293FACEBOOK»USA-Trial-ITD-Retargeting-AZR-AZR»1 x 1»SocialBan»LIA»ALL»CPA»RT»X»NA»SS»NA»FreeAcctRetargetingVMFB-750Hrs-ChD»PRC1RY</v></cell><cell r="D1597" t="str"><v>43293223862747</v></cell><cell r="E1597" t="str"><v>43293103034911PRC1RY</v></cell><cell r="F1597" t="str"><v>DCM</v></cell><cell r="G1597" t="str"><v>https://azure.microsoft.com/en-us/free/virtual-machines/search/?OCID=AID%eexcid!_OLA_%ebuy!_%epid!_%ecid!</v></cell></row><row r="1597"><cell r="K1597" t="str"><v>July</v></cell><cell r="L1597"><v>43295</v></cell><cell r="M1597" t="str"><v>Tier 0</v></cell><cell r="N1597" t="str"><v>North America</v></cell><cell r="O1597" t="str"><v>United States</v></cell><cell r="P1597" t="str"><v>Trial</v></cell><cell r="Q1597" t="str"><v>Social</v></cell><cell r="R1597" t="str"><v>Azure</v></cell><cell r="S1597" t="str"><v>Apps & Infra</v></cell><cell r="T1597" t="str"><v>Developers & ITI's</v></cell><cell r="U1597" t="str"><v>USA-Trial-ITD-Retargeting-AZR-AZR</v></cell><cell r="V1597" t="str"><v>Retargeting</v></cell><cell r="W1597" t="str"><v>Link Ad</v></cell><cell r="X1597" t="str"><v>1x1</v></cell></row><row r="1597"><cell r="AA1597"><v>43293</v></cell><cell r="AB1597" t="str"><v>USA_gaPMG_AZR_AZR_Q1_19_Direct-Social</v></cell><cell r="AC1597"><v>21358715</v></cell><cell r="AD1597"><v>720197</v></cell><cell r="AE1597" t="str"><v>Facebook</v></cell><cell r="AF1597"><v>3654128</v></cell><cell r="AG1597" t="str"><v>FACEBOOK»USA-Trial-ITD-Retargeting-AZR-AZR»1 x 1»SocialBan»LIA»ALL»CPA»RT»X»NA»SS»NA»FreeAcctRetargetingVMFB-750Hrs-ChD»PRC1RY</v></cell><cell r="AH1597"><v>223862747</v></cell><cell r="AI1597" t="str"><v>AzurePlatform_FreeAcctRetargetingVMFB-750Hrs-ChD_USA_1200x628_CAN_PLATFORM_English_Free Account_Standard_NA_SINU_T1_1</v></cell><cell r="AJ1597"><v>103034911</v></cell></row><row r="1598"><cell r="C1598" t="str"><v>43293FACEBOOK»USA-Trial-ITD-Retargeting-AZR-AZR»1 x 1»SocialBan»LIA»ALL»CPA»RT»X»NA»SS»NA»FreeAcctRetargetingVMFB-OnDemand-ChE»PRC1S0</v></cell><cell r="D1598" t="str"><v>43293224104899</v></cell><cell r="E1598" t="str"><v>43293103180610PRC1S0</v></cell><cell r="F1598" t="str"><v>DCM</v></cell><cell r="G1598" t="str"><v>https://azure.microsoft.com/en-us/free/virtual-machines/search/?OCID=AID%eexcid!_OLA_%ebuy!_%epid!_%ecid!</v></cell></row><row r="1598"><cell r="K1598" t="str"><v>July</v></cell><cell r="L1598"><v>43295</v></cell><cell r="M1598" t="str"><v>Tier 0</v></cell><cell r="N1598" t="str"><v>North America</v></cell><cell r="O1598" t="str"><v>United States</v></cell><cell r="P1598" t="str"><v>Trial</v></cell><cell r="Q1598" t="str"><v>Social</v></cell><cell r="R1598" t="str"><v>Azure</v></cell><cell r="S1598" t="str"><v>Apps & Infra</v></cell><cell r="T1598" t="str"><v>Developers & ITI's</v></cell><cell r="U1598" t="str"><v>USA-Trial-ITD-Retargeting-AZR-AZR</v></cell><cell r="V1598" t="str"><v>Retargeting</v></cell><cell r="W1598" t="str"><v>Link Ad</v></cell><cell r="X1598" t="str"><v>1x1</v></cell></row><row r="1598"><cell r="AA1598"><v>43293</v></cell><cell r="AB1598" t="str"><v>USA_gaPMG_AZR_AZR_Q1_19_Direct-Social</v></cell><cell r="AC1598"><v>21358715</v></cell><cell r="AD1598"><v>720197</v></cell><cell r="AE1598" t="str"><v>Facebook</v></cell><cell r="AF1598"><v>3654128</v></cell><cell r="AG1598" t="str"><v>FACEBOOK»USA-Trial-ITD-Retargeting-AZR-AZR»1 x 1»SocialBan»LIA»ALL»CPA»RT»X»NA»SS»NA»FreeAcctRetargetingVMFB-OnDemand-ChE»PRC1S0</v></cell><cell r="AH1598"><v>224104899</v></cell><cell r="AI1598" t="str"><v>AzurePlatform_FreeAcctRetargetingVMFB-OnDemand-ChE_USA_1200x628_CAN_PLATFORM_English_Free Account_Standard_NA_SINU_T2_1</v></cell><cell r="AJ1598"><v>103180610</v></cell></row><row r="1599"><cell r="C1599" t="str"><v>43293FACEBOOK»USA-Trial-ITD-Trial Lookalike-AZR-AZR»1 x 1»SocialBan»CAN»ALL»CPA»LAL»X»NA»SS»NA»FBCTCBenefit2inMotion»PRC1M0</v></cell><cell r="D1599" t="str"><v>43293223862927</v></cell><cell r="E1599" t="str"><v>43293103043835PRC1M0</v></cell><cell r="F1599" t="str"><v>DCM</v></cell><cell r="G1599" t="str"><v>https://signup.azure.com/?OCID=AID%eexcid!_OLA_%ebuy!_%epid!_%ecid!</v></cell></row><row r="1599"><cell r="K1599" t="str"><v>July</v></cell><cell r="L1599"><v>43295</v></cell><cell r="M1599" t="str"><v>Tier 0</v></cell><cell r="N1599" t="str"><v>North America</v></cell><cell r="O1599" t="str"><v>United States</v></cell><cell r="P1599" t="str"><v>Trial</v></cell><cell r="Q1599" t="str"><v>Social</v></cell><cell r="R1599" t="str"><v>Azure</v></cell><cell r="S1599" t="str"><v>Apps & Infra</v></cell><cell r="T1599" t="str"><v>Developers & ITI's</v></cell><cell r="U1599" t="str"><v>USA-Trial-ITD-Trial Lookalike-AZR-AZR</v></cell><cell r="V1599" t="str"><v>Lookalike Targeting</v></cell><cell r="W1599" t="str"><v>Canvas Ad</v></cell><cell r="X1599" t="str"><v>1x1</v></cell></row><row r="1599"><cell r="AA1599"><v>43293</v></cell><cell r="AB1599" t="str"><v>USA_gaPMG_AZR_AZR_Q1_19_Direct-Social</v></cell><cell r="AC1599"><v>21358715</v></cell><cell r="AD1599"><v>720197</v></cell><cell r="AE1599" t="str"><v>Facebook</v></cell><cell r="AF1599"><v>3654128</v></cell><cell r="AG1599" t="str"><v>FACEBOOK»USA-Trial-ITD-Trial Lookalike-AZR-AZR»1 x 1»SocialBan»CAN»ALL»CPA»LAL»X»NA»SS»NA»FBCTCBenefit2inMotion»PRC1M0</v></cell><cell r="AH1599"><v>223862927</v></cell><cell r="AI1599" t="str"><v>AzurePlatform_FBCTCBenefit2inMotion_USA_10s_CAN_PLATFORM_English_Trial_Standard_STAN_TIN_T4_1</v></cell><cell r="AJ1599"><v>103043835</v></cell></row><row r="1600"><cell r="C1600" t="str"><v>43293FACEBOOK»USA-Trial-ITD-Trial Lookalike-AZR-AZR»1 x 1»SocialBan»CAN»ALL»CPA»LAL»X»NA»SS»NA»FBCTCBenefit2inMotion»PRC1M0</v></cell><cell r="D1600" t="str"><v>43293223862927</v></cell><cell r="E1600" t="str"><v>43293103178645PRC1M0</v></cell><cell r="F1600" t="str"><v>DCM</v></cell><cell r="G1600" t="str"><v>https://azure.microsoft.com/en-us/pricing/purchase-options/?v=18.19&OCID=AID%eexcid!_OLA_%ebuy!_%epid!_%ecid!</v></cell></row><row r="1600"><cell r="K1600" t="str"><v>July</v></cell><cell r="L1600"><v>43295</v></cell><cell r="M1600" t="str"><v>Tier 0</v></cell><cell r="N1600" t="str"><v>North America</v></cell><cell r="O1600" t="str"><v>United States</v></cell><cell r="P1600" t="str"><v>Trial</v></cell><cell r="Q1600" t="str"><v>Social</v></cell><cell r="R1600" t="str"><v>Azure</v></cell><cell r="S1600" t="str"><v>Apps & Infra</v></cell><cell r="T1600" t="str"><v>Developers & ITI's</v></cell><cell r="U1600" t="str"><v>USA-Trial-ITD-Trial Lookalike-AZR-AZR</v></cell><cell r="V1600" t="str"><v>Lookalike Targeting</v></cell><cell r="W1600" t="str"><v>Canvas Ad</v></cell><cell r="X1600" t="str"><v>1x1</v></cell></row><row r="1600"><cell r="AA1600"><v>43293</v></cell><cell r="AB1600" t="str"><v>USA_gaPMG_AZR_AZR_Q1_19_Direct-Social</v></cell><cell r="AC1600"><v>21358715</v></cell><cell r="AD1600"><v>720197</v></cell><cell r="AE1600" t="str"><v>Facebook</v></cell><cell r="AF1600"><v>3654128</v></cell><cell r="AG1600" t="str"><v>FACEBOOK»USA-Trial-ITD-Trial Lookalike-AZR-AZR»1 x 1»SocialBan»CAN»ALL»CPA»LAL»X»NA»SS»NA»FBCTCBenefit2inMotion»PRC1M0</v></cell><cell r="AH1600"><v>223862927</v></cell><cell r="AI1600" t="str"><v>AzurePlatform_FBCTCBenefit2inMotion_USA_10s_CAN_PLATFORM_English_Trial_Standard_STAN_TIN_T4_2</v></cell><cell r="AJ1600"><v>103178645</v></cell></row><row r="1601"><cell r="C1601" t="str"><v>43293FACEBOOK»USA-Trial-ITD-Trial Lookalike-AZR-AZR»1 x 1»SocialBan»LIA»ALL»CPA»LAL»X»NA»SS»NA»FreeAcctDeveloperFB-AnimatedAI-Ch3»PRC1M7</v></cell><cell r="D1601" t="str"><v>43293223934104</v></cell><cell r="E1601" t="str"><v>43293103032778PRC1M7</v></cell><cell r="F1601" t="str"><v>DCM</v></cell></row><row r="1601"><cell r="K1601" t="str"><v>July</v></cell><cell r="L1601"><v>43295</v></cell><cell r="M1601" t="str"><v>Tier 0</v></cell><cell r="N1601" t="str"><v>North America</v></cell><cell r="O1601" t="str"><v>United States</v></cell><cell r="P1601" t="str"><v>Trial</v></cell><cell r="Q1601" t="str"><v>Social</v></cell><cell r="R1601" t="str"><v>Azure</v></cell><cell r="S1601" t="str"><v>Apps & Infra</v></cell><cell r="T1601" t="str"><v>Developers & ITI's</v></cell><cell r="U1601" t="str"><v>USA-Trial-ITD-Trial Lookalike-AZR-AZR</v></cell><cell r="V1601" t="str"><v>Lookalike Targeting</v></cell><cell r="W1601" t="str"><v>Link Ad</v></cell><cell r="X1601" t="str"><v>1x1</v></cell></row><row r="1601"><cell r="AA1601"><v>43293</v></cell><cell r="AB1601" t="str"><v>USA_gaPMG_AZR_AZR_Q1_19_Direct-Social</v></cell><cell r="AC1601"><v>21358715</v></cell><cell r="AD1601"><v>720197</v></cell><cell r="AE1601" t="str"><v>Facebook</v></cell><cell r="AF1601"><v>3654128</v></cell><cell r="AG1601" t="str"><v>FACEBOOK»USA-Trial-ITD-Trial Lookalike-AZR-AZR»1 x 1»SocialBan»LIA»ALL»CPA»LAL»X»NA»SS»NA»FreeAcctDeveloperFB-AnimatedAI-Ch3»PRC1M7</v></cell><cell r="AH1601"><v>223934104</v></cell><cell r="AI1601" t="str"><v>AZR_FreeAcctDeveloperFB-AnimatedAI-Ch3_USA_1200x1200_CAN_Direct_English_Trial_Standard_ANI_LEA_T3_1</v></cell><cell r="AJ1601"><v>103032778</v></cell></row><row r="1602"><cell r="C1602" t="str"><v>43293FACEBOOK»USA-Trial-ITD-Trial Lookalike-AZR-AZR»1 x 1»SocialBan»LIA»ALL»CPA»LAL»X»NA»SS»NA»FreeAcctDeveloperFB-AnimatedData-Ch4»PRC1M8</v></cell><cell r="D1602" t="str"><v>43293223862933</v></cell><cell r="E1602" t="str"><v>43293103037935PRC1M8</v></cell><cell r="F1602" t="str"><v>DCM</v></cell></row><row r="1602"><cell r="K1602" t="str"><v>July</v></cell><cell r="L1602"><v>43295</v></cell><cell r="M1602" t="str"><v>Tier 0</v></cell><cell r="N1602" t="str"><v>North America</v></cell><cell r="O1602" t="str"><v>United States</v></cell><cell r="P1602" t="str"><v>Trial</v></cell><cell r="Q1602" t="str"><v>Social</v></cell><cell r="R1602" t="str"><v>Azure</v></cell><cell r="S1602" t="str"><v>Apps & Infra</v></cell><cell r="T1602" t="str"><v>Developers & ITI's</v></cell><cell r="U1602" t="str"><v>USA-Trial-ITD-Trial Lookalike-AZR-AZR</v></cell><cell r="V1602" t="str"><v>Lookalike Targeting</v></cell><cell r="W1602" t="str"><v>Link Ad</v></cell><cell r="X1602" t="str"><v>1x1</v></cell></row><row r="1602"><cell r="AA1602"><v>43293</v></cell><cell r="AB1602" t="str"><v>USA_gaPMG_AZR_AZR_Q1_19_Direct-Social</v></cell><cell r="AC1602"><v>21358715</v></cell><cell r="AD1602"><v>720197</v></cell><cell r="AE1602" t="str"><v>Facebook</v></cell><cell r="AF1602"><v>3654128</v></cell><cell r="AG1602" t="str"><v>FACEBOOK»USA-Trial-ITD-Trial Lookalike-AZR-AZR»1 x 1»SocialBan»LIA»ALL»CPA»LAL»X»NA»SS»NA»FreeAcctDeveloperFB-AnimatedData-Ch4»PRC1M8</v></cell><cell r="AH1602"><v>223862933</v></cell><cell r="AI1602" t="str"><v>AZR_FreeAcctDeveloperFB-AnimatedData-Ch4_USA_1200x1200_CAN_Direct_English_Trial_Standard_ANI_LEA_T4_2</v></cell><cell r="AJ1602"><v>103037935</v></cell></row><row r="1603"><cell r="C1603" t="str"><v>43293FACEBOOK»USA-Trial-ITD-Trial Lookalike-AZR-AZR»1 x 1»SocialBan»LIA»ALL»CPA»LAL»X»NA»SS»NA»FreeAcctITProFB-AnimatedHybrid-Ch2»PRC1MC</v></cell><cell r="D1603" t="str"><v>43293224104956</v></cell><cell r="E1603" t="str"><v>43293103180583PRC1MC</v></cell><cell r="F1603" t="str"><v>DCM</v></cell></row><row r="1603"><cell r="K1603" t="str"><v>July</v></cell><cell r="L1603"><v>43295</v></cell><cell r="M1603" t="str"><v>Tier 0</v></cell><cell r="N1603" t="str"><v>North America</v></cell><cell r="O1603" t="str"><v>United States</v></cell><cell r="P1603" t="str"><v>Trial</v></cell><cell r="Q1603" t="str"><v>Social</v></cell><cell r="R1603" t="str"><v>Azure</v></cell><cell r="S1603" t="str"><v>Apps & Infra</v></cell><cell r="T1603" t="str"><v>Developers & ITI's</v></cell><cell r="U1603" t="str"><v>USA-Trial-ITD-Trial Lookalike-AZR-AZR</v></cell><cell r="V1603" t="str"><v>Lookalike Targeting</v></cell><cell r="W1603" t="str"><v>Link Ad</v></cell><cell r="X1603" t="str"><v>1x1</v></cell></row><row r="1603"><cell r="AA1603"><v>43293</v></cell><cell r="AB1603" t="str"><v>USA_gaPMG_AZR_AZR_Q1_19_Direct-Social</v></cell><cell r="AC1603"><v>21358715</v></cell><cell r="AD1603"><v>720197</v></cell><cell r="AE1603" t="str"><v>Facebook</v></cell><cell r="AF1603"><v>3654128</v></cell><cell r="AG1603" t="str"><v>FACEBOOK»USA-Trial-ITD-Trial Lookalike-AZR-AZR»1 x 1»SocialBan»LIA»ALL»CPA»LAL»X»NA»SS»NA»FreeAcctITProFB-AnimatedHybrid-Ch2»PRC1MC</v></cell><cell r="AH1603"><v>224104956</v></cell><cell r="AI1603" t="str"><v>AZR_FreeAcctITProFB-AnimatedHybrid-Ch2_USA_1200x1200_CAN_Direct_English_Trial_Standard_ANI_LEA_T2_2</v></cell><cell r="AJ1603"><v>103180583</v></cell></row><row r="1604"><cell r="C1604" t="str"><v>43293FACEBOOK»USA-Trial-ITD-Trial Lookalike-AZR-AZR»1 x 1»SocialBan»CAN»ALL»CPA»LAL»X»NA»SS»NA»FBCTCBrandinMotion»PRC1M3</v></cell><cell r="D1604" t="str"><v>43293223862900</v></cell><cell r="E1604" t="str"><v>43293103176812PRC1M3</v></cell><cell r="F1604" t="str"><v>DCM</v></cell><cell r="G1604" t="str"><v>https://signup.azure.com/?OCID=AID%eexcid!_OLA_%ebuy!_%epid!_%ecid!</v></cell></row><row r="1604"><cell r="K1604" t="str"><v>July</v></cell><cell r="L1604"><v>43295</v></cell><cell r="M1604" t="str"><v>Tier 0</v></cell><cell r="N1604" t="str"><v>North America</v></cell><cell r="O1604" t="str"><v>United States</v></cell><cell r="P1604" t="str"><v>Trial</v></cell><cell r="Q1604" t="str"><v>Social</v></cell><cell r="R1604" t="str"><v>Azure</v></cell><cell r="S1604" t="str"><v>Apps & Infra</v></cell><cell r="T1604" t="str"><v>Developers & ITI's</v></cell><cell r="U1604" t="str"><v>USA-Trial-ITD-Trial Lookalike-AZR-AZR</v></cell><cell r="V1604" t="str"><v>Lookalike Targeting</v></cell><cell r="W1604" t="str"><v>Canvas Ad</v></cell><cell r="X1604" t="str"><v>1x1</v></cell></row><row r="1604"><cell r="AA1604"><v>43293</v></cell><cell r="AB1604" t="str"><v>USA_gaPMG_AZR_AZR_Q1_19_Direct-Social</v></cell><cell r="AC1604"><v>21358715</v></cell><cell r="AD1604"><v>720197</v></cell><cell r="AE1604" t="str"><v>Facebook</v></cell><cell r="AF1604"><v>3654128</v></cell><cell r="AG1604" t="str"><v>FACEBOOK»USA-Trial-ITD-Trial Lookalike-AZR-AZR»1 x 1»SocialBan»CAN»ALL»CPA»LAL»X»NA»SS»NA»FBCTCBrandinMotion»PRC1M3</v></cell><cell r="AH1604"><v>223862900</v></cell><cell r="AI1604" t="str"><v>AzurePlatform_FBCTCBrandinMotion_USA_10s_CAN_PLATFORM_English_Trial_Standard_STAN_TIN_T2_1</v></cell><cell r="AJ1604"><v>103176812</v></cell></row><row r="1605"><cell r="C1605" t="str"><v>43293FACEBOOK»USA-Trial-ITD-Trial Lookalike-AZR-AZR»1 x 1»SocialBan»CAN»ALL»CPA»LAL»X»NA»SS»NA»FBCTCBrandinMotion»PRC1M3</v></cell><cell r="D1605" t="str"><v>43293223862900</v></cell><cell r="E1605" t="str"><v>43293103032823PRC1M3</v></cell><cell r="F1605" t="str"><v>DCM</v></cell><cell r="G1605" t="str"><v>https://azure.microsoft.com/en-us/pricing/purchase-options/?v=18.19&OCID=AID%eexcid!_OLA_%ebuy!_%epid!_%ecid!</v></cell></row><row r="1605"><cell r="K1605" t="str"><v>July</v></cell><cell r="L1605"><v>43295</v></cell><cell r="M1605" t="str"><v>Tier 0</v></cell><cell r="N1605" t="str"><v>North America</v></cell><cell r="O1605" t="str"><v>United States</v></cell><cell r="P1605" t="str"><v>Trial</v></cell><cell r="Q1605" t="str"><v>Social</v></cell><cell r="R1605" t="str"><v>Azure</v></cell><cell r="S1605" t="str"><v>Apps & Infra</v></cell><cell r="T1605" t="str"><v>Developers & ITI's</v></cell><cell r="U1605" t="str"><v>USA-Trial-ITD-Trial Lookalike-AZR-AZR</v></cell><cell r="V1605" t="str"><v>Lookalike Targeting</v></cell><cell r="W1605" t="str"><v>Canvas Ad</v></cell><cell r="X1605" t="str"><v>1x1</v></cell></row><row r="1605"><cell r="AA1605"><v>43293</v></cell><cell r="AB1605" t="str"><v>USA_gaPMG_AZR_AZR_Q1_19_Direct-Social</v></cell><cell r="AC1605"><v>21358715</v></cell><cell r="AD1605"><v>720197</v></cell><cell r="AE1605" t="str"><v>Facebook</v></cell><cell r="AF1605"><v>3654128</v></cell><cell r="AG1605" t="str"><v>FACEBOOK»USA-Trial-ITD-Trial Lookalike-AZR-AZR»1 x 1»SocialBan»CAN»ALL»CPA»LAL»X»NA»SS»NA»FBCTCBrandinMotion»PRC1M3</v></cell><cell r="AH1605"><v>223862900</v></cell><cell r="AI1605" t="str"><v>AzurePlatform_FBCTCBrandinMotion_USA_10s_CAN_PLATFORM_English_Trial_Standard_STAN_TIN_T2_2</v></cell><cell r="AJ1605"><v>103032823</v></cell></row><row r="1606"><cell r="C1606" t="str"><v>43293FACEBOOK»USA-Trial-ITD-Trial PayGo Lookalike-AZR-AZR»1 x 1»SocialBan»CAN»ALL»CPA»LAL»X»NA»SS»NA»FBCTCBrandinMotion»PRC1Q3</v></cell><cell r="D1606" t="str"><v>43293223935349</v></cell><cell r="E1606" t="str"><v>43293103176812PRC1Q3</v></cell><cell r="F1606" t="str"><v>DCM</v></cell><cell r="G1606" t="str"><v>https://signup.azure.com/?OCID=AID%eexcid!_OLA_%ebuy!_%epid!_%ecid!</v></cell></row><row r="1606"><cell r="K1606" t="str"><v>July</v></cell><cell r="L1606"><v>43295</v></cell><cell r="M1606" t="str"><v>Tier 0</v></cell><cell r="N1606" t="str"><v>North America</v></cell><cell r="O1606" t="str"><v>United States</v></cell><cell r="P1606" t="str"><v>Trial</v></cell><cell r="Q1606" t="str"><v>Social</v></cell><cell r="R1606" t="str"><v>Azure</v></cell><cell r="S1606" t="str"><v>Apps & Infra</v></cell><cell r="T1606" t="str"><v>Developers & ITI's</v></cell><cell r="U1606" t="str"><v>USA-Trial-ITD-Trial PayGo Lookalike-AZR-AZR</v></cell><cell r="V1606" t="str"><v>Lookalike Targeting</v></cell><cell r="W1606" t="str"><v>Canvas Ad</v></cell><cell r="X1606" t="str"><v>1x1</v></cell></row><row r="1606"><cell r="AA1606"><v>43293</v></cell><cell r="AB1606" t="str"><v>USA_gaPMG_AZR_AZR_Q1_19_Direct-Social</v></cell><cell r="AC1606"><v>21358715</v></cell><cell r="AD1606"><v>720197</v></cell><cell r="AE1606" t="str"><v>Facebook</v></cell><cell r="AF1606"><v>3654128</v></cell><cell r="AG1606" t="str"><v>FACEBOOK»USA-Trial-ITD-Trial PayGo Lookalike-AZR-AZR»1 x 1»SocialBan»CAN»ALL»CPA»LAL»X»NA»SS»NA»FBCTCBrandinMotion»PRC1Q3</v></cell><cell r="AH1606"><v>223935349</v></cell><cell r="AI1606" t="str"><v>AzurePlatform_FBCTCBrandinMotion_USA_10s_CAN_PLATFORM_English_Trial_Standard_STAN_TIN_T2_1</v></cell><cell r="AJ1606"><v>103176812</v></cell></row><row r="1607"><cell r="C1607" t="str"><v>43293FACEBOOK»USA-Trial-ITD-Trial PayGo Lookalike-AZR-AZR»1 x 1»SocialBan»CAN»ALL»CPA»LAL»X»NA»SS»NA»FBCTCBrandinMotion»PRC1Q3</v></cell><cell r="D1607" t="str"><v>43293223935349</v></cell><cell r="E1607" t="str"><v>43293103032823PRC1Q3</v></cell><cell r="F1607" t="str"><v>DCM</v></cell><cell r="G1607" t="str"><v>https://azure.microsoft.com/en-us/pricing/purchase-options/?v=18.19&OCID=AID%eexcid!_OLA_%ebuy!_%epid!_%ecid!</v></cell></row><row r="1607"><cell r="K1607" t="str"><v>July</v></cell><cell r="L1607"><v>43295</v></cell><cell r="M1607" t="str"><v>Tier 0</v></cell><cell r="N1607" t="str"><v>North America</v></cell><cell r="O1607" t="str"><v>United States</v></cell><cell r="P1607" t="str"><v>Trial</v></cell><cell r="Q1607" t="str"><v>Social</v></cell><cell r="R1607" t="str"><v>Azure</v></cell><cell r="S1607" t="str"><v>Apps & Infra</v></cell><cell r="T1607" t="str"><v>Developers & ITI's</v></cell><cell r="U1607" t="str"><v>USA-Trial-ITD-Trial PayGo Lookalike-AZR-AZR</v></cell><cell r="V1607" t="str"><v>Lookalike Targeting</v></cell><cell r="W1607" t="str"><v>Canvas Ad</v></cell><cell r="X1607" t="str"><v>1x1</v></cell></row><row r="1607"><cell r="AA1607"><v>43293</v></cell><cell r="AB1607" t="str"><v>USA_gaPMG_AZR_AZR_Q1_19_Direct-Social</v></cell><cell r="AC1607"><v>21358715</v></cell><cell r="AD1607"><v>720197</v></cell><cell r="AE1607" t="str"><v>Facebook</v></cell><cell r="AF1607"><v>3654128</v></cell><cell r="AG1607" t="str"><v>FACEBOOK»USA-Trial-ITD-Trial PayGo Lookalike-AZR-AZR»1 x 1»SocialBan»CAN»ALL»CPA»LAL»X»NA»SS»NA»FBCTCBrandinMotion»PRC1Q3</v></cell><cell r="AH1607"><v>223935349</v></cell><cell r="AI1607" t="str"><v>AzurePlatform_FBCTCBrandinMotion_USA_10s_CAN_PLATFORM_English_Trial_Standard_STAN_TIN_T2_2</v></cell><cell r="AJ1607"><v>103032823</v></cell></row><row r="1608"><cell r="C1608" t="str"><v>43293FACEBOOK»USA-Trial-ITD-Trial PayGo Lookalike-AZR-AZR»1 x 1»SocialBan»LIA»ALL»CPA»LAL»X»NA»SS»NA»FreeAcctDeveloperFB-AnimatedGeneric-Ch1»PRC1Q6</v></cell><cell r="D1608" t="str"><v>43293224106129</v></cell><cell r="E1608" t="str"><v>43293103176851PRC1Q6</v></cell><cell r="F1608" t="str"><v>DCM</v></cell><cell r="G1608" t="str"><v>https://azure.microsoft.com/en-us/free/search/?OCID=AID%eexcid!_OLA_%ebuy!_%epid!_%ecid!</v></cell></row><row r="1608"><cell r="K1608" t="str"><v>July</v></cell><cell r="L1608"><v>43295</v></cell><cell r="M1608" t="str"><v>Tier 0</v></cell><cell r="N1608" t="str"><v>North America</v></cell><cell r="O1608" t="str"><v>United States</v></cell><cell r="P1608" t="str"><v>Trial</v></cell><cell r="Q1608" t="str"><v>Social</v></cell><cell r="R1608" t="str"><v>Azure</v></cell><cell r="S1608" t="str"><v>Apps & Infra</v></cell><cell r="T1608" t="str"><v>Developers & ITI's</v></cell><cell r="U1608" t="str"><v>USA-Trial-ITD-Trial PayGo Lookalike-AZR-AZR</v></cell><cell r="V1608" t="str"><v>Lookalike Targeting</v></cell><cell r="W1608" t="str"><v>Link Ad</v></cell><cell r="X1608" t="str"><v>1x1</v></cell></row><row r="1608"><cell r="AA1608"><v>43293</v></cell><cell r="AB1608" t="str"><v>USA_gaPMG_AZR_AZR_Q1_19_Direct-Social</v></cell><cell r="AC1608"><v>21358715</v></cell><cell r="AD1608"><v>720197</v></cell><cell r="AE1608" t="str"><v>Facebook</v></cell><cell r="AF1608"><v>3654128</v></cell><cell r="AG1608" t="str"><v>FACEBOOK»USA-Trial-ITD-Trial PayGo Lookalike-AZR-AZR»1 x 1»SocialBan»LIA»ALL»CPA»LAL»X»NA»SS»NA»FreeAcctDeveloperFB-AnimatedGeneric-Ch1»PRC1Q6</v></cell><cell r="AH1608"><v>224106129</v></cell><cell r="AI1608" t="str"><v>AZR_FreeAcctDeveloperFB-AnimatedGeneric-Ch1_USA_1200x1200_CAN_Direct_English_Trial_Standard_ANI_LEA_T1_2</v></cell><cell r="AJ1608"><v>103176851</v></cell></row><row r="1609"><cell r="C1609" t="str"><v>43293FACEBOOK»USA-Trial-ITD-Interest Prospecting-AZR-AZR»1 x 1»SocialBan»LIA»ALL»CPA»PRO»X»NA»SS»NA»FreeAcctDeveloperFB-AnimatedAI-Ch3»PRC1T2</v></cell><cell r="D1609" t="str"><v>43293223862765</v></cell><cell r="E1609" t="str"><v>43293103032778PRC1T2</v></cell><cell r="F1609" t="str"><v>DCM</v></cell></row><row r="1609"><cell r="K1609" t="str"><v>July</v></cell><cell r="L1609"><v>43295</v></cell><cell r="M1609" t="str"><v>Tier 0</v></cell><cell r="N1609" t="str"><v>North America</v></cell><cell r="O1609" t="str"><v>United States</v></cell><cell r="P1609" t="str"><v>Trial</v></cell><cell r="Q1609" t="str"><v>Social</v></cell><cell r="R1609" t="str"><v>Azure</v></cell><cell r="S1609" t="str"><v>Apps & Infra</v></cell><cell r="T1609" t="str"><v>Developers & ITI's</v></cell><cell r="U1609" t="str"><v>USA-Trial-ITD-Interest Prospecting-AZR-AZR</v></cell><cell r="V1609" t="str"><v>Prospecting</v></cell><cell r="W1609" t="str"><v>Link Ad</v></cell><cell r="X1609" t="str"><v>1x1</v></cell></row><row r="1609"><cell r="AA1609"><v>43293</v></cell><cell r="AB1609" t="str"><v>USA_gaPMG_AZR_AZR_Q1_19_Direct-Social</v></cell><cell r="AC1609"><v>21358715</v></cell><cell r="AD1609"><v>720197</v></cell><cell r="AE1609" t="str"><v>Facebook</v></cell><cell r="AF1609"><v>3654128</v></cell><cell r="AG1609" t="str"><v>FACEBOOK»USA-Trial-ITD-Interest Prospecting-AZR-AZR»1 x 1»SocialBan»LIA»ALL»CPA»PRO»X»NA»SS»NA»FreeAcctDeveloperFB-AnimatedAI-Ch3»PRC1T2</v></cell><cell r="AH1609"><v>223862765</v></cell><cell r="AI1609" t="str"><v>AZR_FreeAcctDeveloperFB-AnimatedAI-Ch3_USA_1200x1200_CAN_Direct_English_Trial_Standard_ANI_LEA_T3_1</v></cell><cell r="AJ1609"><v>103032778</v></cell></row><row r="1610"><cell r="C1610" t="str"><v>43293FACEBOOK»USA-Trial-ITD-Interest Prospecting-AZR-AZR»1 x 1»SocialBan»LIA»ALL»CPA»PRO»X»NA»SS»NA»FreeAcctDeveloperFB-AnimatedData-Ch4»PRC1T3</v></cell><cell r="D1610" t="str"><v>43293223863380</v></cell><cell r="E1610" t="str"><v>43293103037935PRC1T3</v></cell><cell r="F1610" t="str"><v>DCM</v></cell></row><row r="1610"><cell r="K1610" t="str"><v>July</v></cell><cell r="L1610"><v>43295</v></cell><cell r="M1610" t="str"><v>Tier 0</v></cell><cell r="N1610" t="str"><v>North America</v></cell><cell r="O1610" t="str"><v>United States</v></cell><cell r="P1610" t="str"><v>Trial</v></cell><cell r="Q1610" t="str"><v>Social</v></cell><cell r="R1610" t="str"><v>Azure</v></cell><cell r="S1610" t="str"><v>Apps & Infra</v></cell><cell r="T1610" t="str"><v>Developers & ITI's</v></cell><cell r="U1610" t="str"><v>USA-Trial-ITD-Interest Prospecting-AZR-AZR</v></cell><cell r="V1610" t="str"><v>Prospecting</v></cell><cell r="W1610" t="str"><v>Link Ad</v></cell><cell r="X1610" t="str"><v>1x1</v></cell></row><row r="1610"><cell r="AA1610"><v>43293</v></cell><cell r="AB1610" t="str"><v>USA_gaPMG_AZR_AZR_Q1_19_Direct-Social</v></cell><cell r="AC1610"><v>21358715</v></cell><cell r="AD1610"><v>720197</v></cell><cell r="AE1610" t="str"><v>Facebook</v></cell><cell r="AF1610"><v>3654128</v></cell><cell r="AG1610" t="str"><v>FACEBOOK»USA-Trial-ITD-Interest Prospecting-AZR-AZR»1 x 1»SocialBan»LIA»ALL»CPA»PRO»X»NA»SS»NA»FreeAcctDeveloperFB-AnimatedData-Ch4»PRC1T3</v></cell><cell r="AH1610"><v>223863380</v></cell><cell r="AI1610" t="str"><v>AZR_FreeAcctDeveloperFB-AnimatedData-Ch4_USA_1200x1200_CAN_Direct_English_Trial_Standard_ANI_LEA_T4_2</v></cell><cell r="AJ1610"><v>103037935</v></cell></row><row r="1611"><cell r="C1611" t="str"><v>43293FACEBOOK»USA-Trial-ITD-Interest Prospecting-AZR-AZR»1 x 1»SocialBan»LIA»ALL»CPA»PRO»X»NA»SS»NA»FreeAcctDeveloperFB-AnimatedOpenSource-Ch2»PRC1T1</v></cell><cell r="D1611" t="str"><v>43293223862885</v></cell><cell r="E1611" t="str"><v>43293103048329PRC1T1</v></cell><cell r="F1611" t="str"><v>DCM</v></cell><cell r="G1611" t="str"><v>https://azure.microsoft.com/en-us/free/open-source/search/?OCID=AID%eexcid!_OLA_%ebuy!_%epid!_%ecid!</v></cell></row><row r="1611"><cell r="K1611" t="str"><v>July</v></cell><cell r="L1611"><v>43295</v></cell><cell r="M1611" t="str"><v>Tier 0</v></cell><cell r="N1611" t="str"><v>North America</v></cell><cell r="O1611" t="str"><v>United States</v></cell><cell r="P1611" t="str"><v>Trial</v></cell><cell r="Q1611" t="str"><v>Social</v></cell><cell r="R1611" t="str"><v>Azure</v></cell><cell r="S1611" t="str"><v>Apps & Infra</v></cell><cell r="T1611" t="str"><v>Developers & ITI's</v></cell><cell r="U1611" t="str"><v>USA-Trial-ITD-Interest Prospecting-AZR-AZR</v></cell><cell r="V1611" t="str"><v>Prospecting</v></cell><cell r="W1611" t="str"><v>Link Ad</v></cell><cell r="X1611" t="str"><v>1x1</v></cell></row><row r="1611"><cell r="AA1611"><v>43293</v></cell><cell r="AB1611" t="str"><v>USA_gaPMG_AZR_AZR_Q1_19_Direct-Social</v></cell><cell r="AC1611"><v>21358715</v></cell><cell r="AD1611"><v>720197</v></cell><cell r="AE1611" t="str"><v>Facebook</v></cell><cell r="AF1611"><v>3654128</v></cell><cell r="AG1611" t="str"><v>FACEBOOK»USA-Trial-ITD-Interest Prospecting-AZR-AZR»1 x 1»SocialBan»LIA»ALL»CPA»PRO»X»NA»SS»NA»FreeAcctDeveloperFB-AnimatedOpenSource-Ch2»PRC1T1</v></cell><cell r="AH1611"><v>223862885</v></cell><cell r="AI1611" t="str"><v>AZR_FreeAcctDeveloperFB-AnimatedOpenSource-Ch2_USA_1200x1200_CAN_Direct_English_Trial_Standard_ANI_LEA_T2_1</v></cell><cell r="AJ1611"><v>103048329</v></cell></row><row r="1612"><cell r="C1612" t="str"><v>43293FACEBOOK»USA-Trial-ITD-Interest Prospecting-AZR-AZR»1 x 1»SocialBan»LIA»ALL»CPA»PRO»X»NA»SS»NA»FreeAcctITProFB-AnimatedMigration-Ch3»PRC1X2</v></cell><cell r="D1612" t="str"><v>43293224106954</v></cell><cell r="E1612" t="str"><v>43293103176827PRC1X2</v></cell><cell r="F1612" t="str"><v>DCM</v></cell></row><row r="1612"><cell r="K1612" t="str"><v>July</v></cell><cell r="L1612"><v>43295</v></cell><cell r="M1612" t="str"><v>Tier 0</v></cell><cell r="N1612" t="str"><v>North America</v></cell><cell r="O1612" t="str"><v>United States</v></cell><cell r="P1612" t="str"><v>Trial</v></cell><cell r="Q1612" t="str"><v>Social</v></cell><cell r="R1612" t="str"><v>Azure</v></cell><cell r="S1612" t="str"><v>Apps & Infra</v></cell><cell r="T1612" t="str"><v>Developers & ITI's</v></cell><cell r="U1612" t="str"><v>USA-Trial-ITD-Interest Prospecting-AZR-AZR</v></cell><cell r="V1612" t="str"><v>Prospecting</v></cell><cell r="W1612" t="str"><v>Link Ad</v></cell><cell r="X1612" t="str"><v>1x1</v></cell></row><row r="1612"><cell r="AA1612"><v>43293</v></cell><cell r="AB1612" t="str"><v>USA_gaPMG_AZR_AZR_Q1_19_Direct-Social</v></cell><cell r="AC1612"><v>21358715</v></cell><cell r="AD1612"><v>720197</v></cell><cell r="AE1612" t="str"><v>Facebook</v></cell><cell r="AF1612"><v>3654128</v></cell><cell r="AG1612" t="str"><v>FACEBOOK»USA-Trial-ITD-Interest Prospecting-AZR-AZR»1 x 1»SocialBan»LIA»ALL»CPA»PRO»X»NA»SS»NA»FreeAcctITProFB-AnimatedMigration-Ch3»PRC1X2</v></cell><cell r="AH1612"><v>224106954</v></cell><cell r="AI1612" t="str"><v>AZR_FreeAcctITProFB-AnimatedMigration-Ch3_USA_1200x1200_CAN_Direct_English_Trial_Standard_ANI_LEA_T3_1</v></cell><cell r="AJ1612"><v>103176827</v></cell></row><row r="1613"><cell r="C1613" t="str"><v>43293FACEBOOK»USA-Trial-ITD-Lead Completes-AZR-AZR»1 x 1»SocialBan»CAN»ALL»CPA»PRO»X»NA»SS»NA»FBCTCBrandinMotion»PRC1VX</v></cell><cell r="D1613" t="str"><v>43293223861547</v></cell><cell r="E1613" t="str"><v>43293103176812PRC1VX</v></cell><cell r="F1613" t="str"><v>DCM</v></cell><cell r="G1613" t="str"><v>https://signup.azure.com/?OCID=AID%eexcid!_OLA_%ebuy!_%epid!_%ecid!</v></cell></row><row r="1613"><cell r="K1613" t="str"><v>July</v></cell><cell r="L1613"><v>43295</v></cell><cell r="M1613" t="str"><v>Tier 0</v></cell><cell r="N1613" t="str"><v>North America</v></cell><cell r="O1613" t="str"><v>United States</v></cell><cell r="P1613" t="str"><v>Trial</v></cell><cell r="Q1613" t="str"><v>Social</v></cell><cell r="R1613" t="str"><v>Azure</v></cell><cell r="S1613" t="str"><v>Apps & Infra</v></cell><cell r="T1613" t="str"><v>Developers & ITI's</v></cell><cell r="U1613" t="str"><v>USA-Trial-ITD-Lead Completes-AZR-AZR</v></cell><cell r="V1613" t="str"><v>Prospecting</v></cell><cell r="W1613" t="str"><v>Canvas Ad</v></cell><cell r="X1613" t="str"><v>1x1</v></cell></row><row r="1613"><cell r="AA1613"><v>43293</v></cell><cell r="AB1613" t="str"><v>USA_gaPMG_AZR_AZR_Q1_19_Direct-Social</v></cell><cell r="AC1613"><v>21358715</v></cell><cell r="AD1613"><v>720197</v></cell><cell r="AE1613" t="str"><v>Facebook</v></cell><cell r="AF1613"><v>3654128</v></cell><cell r="AG1613" t="str"><v>FACEBOOK»USA-Trial-ITD-Lead Completes-AZR-AZR»1 x 1»SocialBan»CAN»ALL»CPA»PRO»X»NA»SS»NA»FBCTCBrandinMotion»PRC1VX</v></cell><cell r="AH1613"><v>223861547</v></cell><cell r="AI1613" t="str"><v>AzurePlatform_FBCTCBrandinMotion_USA_10s_CAN_PLATFORM_English_Trial_Standard_STAN_TIN_T2_1</v></cell><cell r="AJ1613"><v>103176812</v></cell></row><row r="1614"><cell r="C1614" t="str"><v>43293FACEBOOK»USA-Trial-ITD-Lead Completes-AZR-AZR»1 x 1»SocialBan»LIA»ALL»CPA»PRO»X»NA»SS»NA»FreeAcctDeveloperFB-AnimatedData-Ch4»PRC1W3</v></cell><cell r="D1614" t="str"><v>43293223862711</v></cell><cell r="E1614" t="str"><v>43293103037935PRC1W3</v></cell><cell r="F1614" t="str"><v>DCM</v></cell></row><row r="1614"><cell r="K1614" t="str"><v>July</v></cell><cell r="L1614"><v>43295</v></cell><cell r="M1614" t="str"><v>Tier 0</v></cell><cell r="N1614" t="str"><v>North America</v></cell><cell r="O1614" t="str"><v>United States</v></cell><cell r="P1614" t="str"><v>Trial</v></cell><cell r="Q1614" t="str"><v>Social</v></cell><cell r="R1614" t="str"><v>Azure</v></cell><cell r="S1614" t="str"><v>Apps & Infra</v></cell><cell r="T1614" t="str"><v>Developers & ITI's</v></cell><cell r="U1614" t="str"><v>USA-Trial-ITD-Lead Completes-AZR-AZR</v></cell><cell r="V1614" t="str"><v>Prospecting</v></cell><cell r="W1614" t="str"><v>Link Ad</v></cell><cell r="X1614" t="str"><v>1x1</v></cell></row><row r="1614"><cell r="AA1614"><v>43293</v></cell><cell r="AB1614" t="str"><v>USA_gaPMG_AZR_AZR_Q1_19_Direct-Social</v></cell><cell r="AC1614"><v>21358715</v></cell><cell r="AD1614"><v>720197</v></cell><cell r="AE1614" t="str"><v>Facebook</v></cell><cell r="AF1614"><v>3654128</v></cell><cell r="AG1614" t="str"><v>FACEBOOK»USA-Trial-ITD-Lead Completes-AZR-AZR»1 x 1»SocialBan»LIA»ALL»CPA»PRO»X»NA»SS»NA»FreeAcctDeveloperFB-AnimatedData-Ch4»PRC1W3</v></cell><cell r="AH1614"><v>223862711</v></cell><cell r="AI1614" t="str"><v>AZR_FreeAcctDeveloperFB-AnimatedData-Ch4_USA_1200x1200_CAN_Direct_English_Trial_Standard_ANI_LEA_T4_2</v></cell><cell r="AJ1614"><v>103037935</v></cell></row><row r="1615"><cell r="C1615" t="str"><v>43293FACEBOOK»USA-Trial-ITD-Lead Completes-AZR-AZR»1 x 1»SocialBan»LIA»ALL»CPA»PRO»X»NA»SS»NA»FreeAcctDeveloperFB-AnimatedOpenSource-Ch2»PRC1W0</v></cell><cell r="D1615" t="str"><v>43293223933108</v></cell><cell r="E1615" t="str"><v>43293103048329PRC1W0</v></cell><cell r="F1615" t="str"><v>DCM</v></cell><cell r="G1615" t="str"><v>https://azure.microsoft.com/en-us/free/open-source/search/?OCID=AID%eexcid!_OLA_%ebuy!_%epid!_%ecid!</v></cell></row><row r="1615"><cell r="K1615" t="str"><v>July</v></cell><cell r="L1615"><v>43295</v></cell><cell r="M1615" t="str"><v>Tier 0</v></cell><cell r="N1615" t="str"><v>North America</v></cell><cell r="O1615" t="str"><v>United States</v></cell><cell r="P1615" t="str"><v>Trial</v></cell><cell r="Q1615" t="str"><v>Social</v></cell><cell r="R1615" t="str"><v>Azure</v></cell><cell r="S1615" t="str"><v>Apps & Infra</v></cell><cell r="T1615" t="str"><v>Developers & ITI's</v></cell><cell r="U1615" t="str"><v>USA-Trial-ITD-Lead Completes-AZR-AZR</v></cell><cell r="V1615" t="str"><v>Prospecting</v></cell><cell r="W1615" t="str"><v>Link Ad</v></cell><cell r="X1615" t="str"><v>1x1</v></cell></row><row r="1615"><cell r="AA1615"><v>43293</v></cell><cell r="AB1615" t="str"><v>USA_gaPMG_AZR_AZR_Q1_19_Direct-Social</v></cell><cell r="AC1615"><v>21358715</v></cell><cell r="AD1615"><v>720197</v></cell><cell r="AE1615" t="str"><v>Facebook</v></cell><cell r="AF1615"><v>3654128</v></cell><cell r="AG1615" t="str"><v>FACEBOOK»USA-Trial-ITD-Lead Completes-AZR-AZR»1 x 1»SocialBan»LIA»ALL»CPA»PRO»X»NA»SS»NA»FreeAcctDeveloperFB-AnimatedOpenSource-Ch2»PRC1W0</v></cell><cell r="AH1615"><v>223933108</v></cell><cell r="AI1615" t="str"><v>AZR_FreeAcctDeveloperFB-AnimatedOpenSource-Ch2_USA_1200x1200_CAN_Direct_English_Trial_Standard_ANI_LEA_T2_1</v></cell><cell r="AJ1615"><v>103048329</v></cell></row><row r="1616"><cell r="C1616" t="str"><v>43293FACEBOOK»USA-Trial-ITD-Lead Completes-AZR-AZR»1 x 1»SocialBan»LIA»ALL»CPA»PRO»X»NA»SS»NA»FreeAcctITProFB-AnimatedHybrid-Ch2»PRC1W5</v></cell><cell r="D1616" t="str"><v>43293224106033</v></cell><cell r="E1616" t="str"><v>43293103180583PRC1W5</v></cell><cell r="F1616" t="str"><v>DCM</v></cell></row><row r="1616"><cell r="K1616" t="str"><v>July</v></cell><cell r="L1616"><v>43295</v></cell><cell r="M1616" t="str"><v>Tier 0</v></cell><cell r="N1616" t="str"><v>North America</v></cell><cell r="O1616" t="str"><v>United States</v></cell><cell r="P1616" t="str"><v>Trial</v></cell><cell r="Q1616" t="str"><v>Social</v></cell><cell r="R1616" t="str"><v>Azure</v></cell><cell r="S1616" t="str"><v>Apps & Infra</v></cell><cell r="T1616" t="str"><v>Developers & ITI's</v></cell><cell r="U1616" t="str"><v>USA-Trial-ITD-Lead Completes-AZR-AZR</v></cell><cell r="V1616" t="str"><v>Prospecting</v></cell><cell r="W1616" t="str"><v>Link Ad</v></cell><cell r="X1616" t="str"><v>1x1</v></cell></row><row r="1616"><cell r="AA1616"><v>43293</v></cell><cell r="AB1616" t="str"><v>USA_gaPMG_AZR_AZR_Q1_19_Direct-Social</v></cell><cell r="AC1616"><v>21358715</v></cell><cell r="AD1616"><v>720197</v></cell><cell r="AE1616" t="str"><v>Facebook</v></cell><cell r="AF1616"><v>3654128</v></cell><cell r="AG1616" t="str"><v>FACEBOOK»USA-Trial-ITD-Lead Completes-AZR-AZR»1 x 1»SocialBan»LIA»ALL»CPA»PRO»X»NA»SS»NA»FreeAcctITProFB-AnimatedHybrid-Ch2»PRC1W5</v></cell><cell r="AH1616"><v>224106033</v></cell><cell r="AI1616" t="str"><v>AZR_FreeAcctITProFB-AnimatedHybrid-Ch2_USA_1200x1200_CAN_Direct_English_Trial_Standard_ANI_LEA_T2_2</v></cell><cell r="AJ1616"><v>103180583</v></cell></row><row r="1617"><cell r="C1617" t="str"><v>43293FACEBOOK»USA-Trial-ITD-Lead Completes-AZR-AZR»1 x 1»SocialBan»LIA»ALL»CPA»PRO»X»NA»SS»NA»FreeAcctITProFB-AnimatedMigration-Ch3»PRC22N</v></cell><cell r="D1617" t="str"><v>43293223933114</v></cell><cell r="E1617" t="str"><v>43293103176827PRC22N</v></cell><cell r="F1617" t="str"><v>DCM</v></cell></row><row r="1617"><cell r="K1617" t="str"><v>July</v></cell><cell r="L1617"><v>43295</v></cell><cell r="M1617" t="str"><v>Tier 0</v></cell><cell r="N1617" t="str"><v>North America</v></cell><cell r="O1617" t="str"><v>United States</v></cell><cell r="P1617" t="str"><v>Trial</v></cell><cell r="Q1617" t="str"><v>Social</v></cell><cell r="R1617" t="str"><v>Azure</v></cell><cell r="S1617" t="str"><v>Apps & Infra</v></cell><cell r="T1617" t="str"><v>Developers & ITI's</v></cell><cell r="U1617" t="str"><v>USA-Trial-ITD-Lead Completes-AZR-AZR</v></cell><cell r="V1617" t="str"><v>Prospecting</v></cell><cell r="W1617" t="str"><v>Link Ad</v></cell><cell r="X1617" t="str"><v>1x1</v></cell></row><row r="1617"><cell r="AA1617"><v>43293</v></cell><cell r="AB1617" t="str"><v>USA_gaPMG_AZR_AZR_Q1_19_Direct-Social</v></cell><cell r="AC1617"><v>21358715</v></cell><cell r="AD1617"><v>720197</v></cell><cell r="AE1617" t="str"><v>Facebook</v></cell><cell r="AF1617"><v>3654128</v></cell><cell r="AG1617" t="str"><v>FACEBOOK»USA-Trial-ITD-Lead Completes-AZR-AZR»1 x 1»SocialBan»LIA»ALL»CPA»PRO»X»NA»SS»NA»FreeAcctITProFB-AnimatedMigration-Ch3»PRC22N</v></cell><cell r="AH1617"><v>223933114</v></cell><cell r="AI1617" t="str"><v>AZR_FreeAcctITProFB-AnimatedMigration-Ch3_USA_1200x1200_CAN_Direct_English_Trial_Standard_ANI_LEA_T3_1</v></cell><cell r="AJ1617"><v>103176827</v></cell></row><row r="1618"><cell r="C1618" t="str"><v>43293FACEBOOK»USA-Trial-ITD-Lead Completes-AZR-AZR»1 x 1»SocialBan»LIA»ALL»CPA»PRO»X»NA»SS»NA»FreeAcctITProFB-AnimatedSecureMngd-Ch1»PRC1W4</v></cell><cell r="D1618" t="str"><v>43293223862153</v></cell><cell r="E1618" t="str"><v>43293103176830PRC1W4</v></cell><cell r="F1618" t="str"><v>DCM</v></cell></row><row r="1618"><cell r="K1618" t="str"><v>July</v></cell><cell r="L1618"><v>43295</v></cell><cell r="M1618" t="str"><v>Tier 0</v></cell><cell r="N1618" t="str"><v>North America</v></cell><cell r="O1618" t="str"><v>United States</v></cell><cell r="P1618" t="str"><v>Trial</v></cell><cell r="Q1618" t="str"><v>Social</v></cell><cell r="R1618" t="str"><v>Azure</v></cell><cell r="S1618" t="str"><v>Apps & Infra</v></cell><cell r="T1618" t="str"><v>Developers & ITI's</v></cell><cell r="U1618" t="str"><v>USA-Trial-ITD-Lead Completes-AZR-AZR</v></cell><cell r="V1618" t="str"><v>Prospecting</v></cell><cell r="W1618" t="str"><v>Link Ad</v></cell><cell r="X1618" t="str"><v>1x1</v></cell></row><row r="1618"><cell r="AA1618"><v>43293</v></cell><cell r="AB1618" t="str"><v>USA_gaPMG_AZR_AZR_Q1_19_Direct-Social</v></cell><cell r="AC1618"><v>21358715</v></cell><cell r="AD1618"><v>720197</v></cell><cell r="AE1618" t="str"><v>Facebook</v></cell><cell r="AF1618"><v>3654128</v></cell><cell r="AG1618" t="str"><v>FACEBOOK»USA-Trial-ITD-Lead Completes-AZR-AZR»1 x 1»SocialBan»LIA»ALL»CPA»PRO»X»NA»SS»NA»FreeAcctITProFB-AnimatedSecureMngd-Ch1»PRC1W4</v></cell><cell r="AH1618"><v>223862153</v></cell><cell r="AI1618" t="str"><v>AZR_FreeAcctITProFB-AnimatedSecureMngd-Ch1_USA_1200x1200_CAN_Direct_English_Trial_Standard_ANI_LEA_T1_1</v></cell><cell r="AJ1618"><v>103176830</v></cell></row><row r="1619"><cell r="C1619" t="str"><v>43293FACEBOOK»USA-Trial-ITD-Lead Completes-AZR-AZR»1 x 1»SocialBan»CAN»ALL»CPA»PRO»X»NA»SS»NA»FBCTCBenefit2inMotion»PRC1VV</v></cell><cell r="D1619" t="str"><v>43293224106909</v></cell><cell r="E1619" t="str"><v>43293103043835PRC1VV</v></cell><cell r="F1619" t="str"><v>DCM</v></cell><cell r="G1619" t="str"><v>https://signup.azure.com/?OCID=AID%eexcid!_OLA_%ebuy!_%epid!_%ecid!</v></cell></row><row r="1619"><cell r="K1619" t="str"><v>July</v></cell><cell r="L1619"><v>43295</v></cell><cell r="M1619" t="str"><v>Tier 0</v></cell><cell r="N1619" t="str"><v>North America</v></cell><cell r="O1619" t="str"><v>United States</v></cell><cell r="P1619" t="str"><v>Trial</v></cell><cell r="Q1619" t="str"><v>Social</v></cell><cell r="R1619" t="str"><v>Azure</v></cell><cell r="S1619" t="str"><v>Apps & Infra</v></cell><cell r="T1619" t="str"><v>Developers & ITI's</v></cell><cell r="U1619" t="str"><v>USA-Trial-ITD-Lead Completes-AZR-AZR</v></cell><cell r="V1619" t="str"><v>Prospecting</v></cell><cell r="W1619" t="str"><v>Canvas Ad</v></cell><cell r="X1619" t="str"><v>1x1</v></cell></row><row r="1619"><cell r="AA1619"><v>43293</v></cell><cell r="AB1619" t="str"><v>USA_gaPMG_AZR_AZR_Q1_19_Direct-Social</v></cell><cell r="AC1619"><v>21358715</v></cell><cell r="AD1619"><v>720197</v></cell><cell r="AE1619" t="str"><v>Facebook</v></cell><cell r="AF1619"><v>3654128</v></cell><cell r="AG1619" t="str"><v>FACEBOOK»USA-Trial-ITD-Lead Completes-AZR-AZR»1 x 1»SocialBan»CAN»ALL»CPA»PRO»X»NA»SS»NA»FBCTCBenefit2inMotion»PRC1VV</v></cell><cell r="AH1619"><v>224106909</v></cell><cell r="AI1619" t="str"><v>AzurePlatform_FBCTCBenefit2inMotion_USA_10s_CAN_PLATFORM_English_Trial_Standard_STAN_TIN_T4_1</v></cell><cell r="AJ1619"><v>103043835</v></cell></row><row r="1620"><cell r="C1620" t="str"><v>43293FACEBOOK»USA-Trial-ITD-Lead Completes-AZR-AZR»1 x 1»SocialBan»CAN»ALL»CPA»PRO»X»NA»SS»NA»FBCTCBenefitinMotion»PRC1VW</v></cell><cell r="D1620" t="str"><v>43293223862843</v></cell><cell r="E1620" t="str"><v>43293103176836PRC1VW</v></cell><cell r="F1620" t="str"><v>DCM</v></cell><cell r="G1620" t="str"><v>https://azure.microsoft.com/en-us/pricing/purchase-options/?v=18.19&OCID=AID%eexcid!_OLA_%ebuy!_%epid!_%ecid!</v></cell></row><row r="1620"><cell r="K1620" t="str"><v>July</v></cell><cell r="L1620"><v>43295</v></cell><cell r="M1620" t="str"><v>Tier 0</v></cell><cell r="N1620" t="str"><v>North America</v></cell><cell r="O1620" t="str"><v>United States</v></cell><cell r="P1620" t="str"><v>Trial</v></cell><cell r="Q1620" t="str"><v>Social</v></cell><cell r="R1620" t="str"><v>Azure</v></cell><cell r="S1620" t="str"><v>Apps & Infra</v></cell><cell r="T1620" t="str"><v>Developers & ITI's</v></cell><cell r="U1620" t="str"><v>USA-Trial-ITD-Lead Completes-AZR-AZR</v></cell><cell r="V1620" t="str"><v>Prospecting</v></cell><cell r="W1620" t="str"><v>Canvas Ad</v></cell><cell r="X1620" t="str"><v>1x1</v></cell></row><row r="1620"><cell r="AA1620"><v>43293</v></cell><cell r="AB1620" t="str"><v>USA_gaPMG_AZR_AZR_Q1_19_Direct-Social</v></cell><cell r="AC1620"><v>21358715</v></cell><cell r="AD1620"><v>720197</v></cell><cell r="AE1620" t="str"><v>Facebook</v></cell><cell r="AF1620"><v>3654128</v></cell><cell r="AG1620" t="str"><v>FACEBOOK»USA-Trial-ITD-Lead Completes-AZR-AZR»1 x 1»SocialBan»CAN»ALL»CPA»PRO»X»NA»SS»NA»FBCTCBenefitinMotion»PRC1VW</v></cell><cell r="AH1620"><v>223862843</v></cell><cell r="AI1620" t="str"><v>AzurePlatform_FBCTCBenefitinMotion_USA_10s_CAN_PLATFORM_English_Trial_Standard_STAN_TIN_T3_2</v></cell><cell r="AJ1620"><v>103176836</v></cell></row><row r="1621"><cell r="C1621" t="str"><v>43293FACEBOOK»USA-Trial-ITD-Lead Completes-AZR-AZR»1 x 1»SocialBan»LIA»ALL»CPA»PRO»X»NA»SS»NA»FreeAcctDeveloperFB-AnimatedGeneric-Ch1»PRC1VZ</v></cell><cell r="D1621" t="str"><v>43293223862852</v></cell><cell r="E1621" t="str"><v>43293103176851PRC1VZ</v></cell><cell r="F1621" t="str"><v>DCM</v></cell><cell r="G1621" t="str"><v>https://azure.microsoft.com/en-us/free/search/?OCID=AID%eexcid!_OLA_%ebuy!_%epid!_%ecid!</v></cell></row><row r="1621"><cell r="K1621" t="str"><v>July</v></cell><cell r="L1621"><v>43295</v></cell><cell r="M1621" t="str"><v>Tier 0</v></cell><cell r="N1621" t="str"><v>North America</v></cell><cell r="O1621" t="str"><v>United States</v></cell><cell r="P1621" t="str"><v>Trial</v></cell><cell r="Q1621" t="str"><v>Social</v></cell><cell r="R1621" t="str"><v>Azure</v></cell><cell r="S1621" t="str"><v>Apps & Infra</v></cell><cell r="T1621" t="str"><v>Developers & ITI's</v></cell><cell r="U1621" t="str"><v>USA-Trial-ITD-Lead Completes-AZR-AZR</v></cell><cell r="V1621" t="str"><v>Prospecting</v></cell><cell r="W1621" t="str"><v>Link Ad</v></cell><cell r="X1621" t="str"><v>1x1</v></cell></row><row r="1621"><cell r="AA1621"><v>43293</v></cell><cell r="AB1621" t="str"><v>USA_gaPMG_AZR_AZR_Q1_19_Direct-Social</v></cell><cell r="AC1621"><v>21358715</v></cell><cell r="AD1621"><v>720197</v></cell><cell r="AE1621" t="str"><v>Facebook</v></cell><cell r="AF1621"><v>3654128</v></cell><cell r="AG1621" t="str"><v>FACEBOOK»USA-Trial-ITD-Lead Completes-AZR-AZR»1 x 1»SocialBan»LIA»ALL»CPA»PRO»X»NA»SS»NA»FreeAcctDeveloperFB-AnimatedGeneric-Ch1»PRC1VZ</v></cell><cell r="AH1621"><v>223862852</v></cell><cell r="AI1621" t="str"><v>AZR_FreeAcctDeveloperFB-AnimatedGeneric-Ch1_USA_1200x1200_CAN_Direct_English_Trial_Standard_ANI_LEA_T1_2</v></cell><cell r="AJ1621"><v>103176851</v></cell></row><row r="1622"><cell r="C1622" t="str"><v>43293FACEBOOK»USA-Trial-ITD-Retargeting-AZR-AZR»1 x 1»SocialBan»LIA»ALL»CPA»RT»X»NA»SS»NA»FreeAcctDeveloperFB-AnimatedGeneric-Ch1»PRC26D</v></cell><cell r="D1622" t="str"><v>43293223862870</v></cell><cell r="E1622" t="str"><v>43293103176851PRC26D</v></cell><cell r="F1622" t="str"><v>DCM</v></cell><cell r="G1622" t="str"><v>https://azure.microsoft.com/en-us/free/search/?OCID=AID%eexcid!_OLA_%ebuy!_%epid!_%ecid!</v></cell></row><row r="1622"><cell r="K1622" t="str"><v>July</v></cell><cell r="L1622"><v>43295</v></cell><cell r="M1622" t="str"><v>Tier 0</v></cell><cell r="N1622" t="str"><v>North America</v></cell><cell r="O1622" t="str"><v>United States</v></cell><cell r="P1622" t="str"><v>Trial</v></cell><cell r="Q1622" t="str"><v>Social</v></cell><cell r="R1622" t="str"><v>Azure</v></cell><cell r="S1622" t="str"><v>Apps & Infra</v></cell><cell r="T1622" t="str"><v>Developers & ITI's</v></cell><cell r="U1622" t="str"><v>USA-Trial-ITD-Retargeting-AZR-AZR</v></cell><cell r="V1622" t="str"><v>Retargeting</v></cell><cell r="W1622" t="str"><v>Link Ad</v></cell><cell r="X1622" t="str"><v>1x1</v></cell></row><row r="1622"><cell r="AA1622"><v>43293</v></cell><cell r="AB1622" t="str"><v>USA_gaPMG_AZR_AZR_Q1_19_Direct-Social</v></cell><cell r="AC1622"><v>21358715</v></cell><cell r="AD1622"><v>720197</v></cell><cell r="AE1622" t="str"><v>Facebook</v></cell><cell r="AF1622"><v>3654128</v></cell><cell r="AG1622" t="str"><v>FACEBOOK»USA-Trial-ITD-Retargeting-AZR-AZR»1 x 1»SocialBan»LIA»ALL»CPA»RT»X»NA»SS»NA»FreeAcctDeveloperFB-AnimatedGeneric-Ch1»PRC26D</v></cell><cell r="AH1622"><v>223862870</v></cell><cell r="AI1622" t="str"><v>AZR_FreeAcctDeveloperFB-AnimatedGeneric-Ch1_USA_1200x1200_CAN_Direct_English_Trial_Standard_ANI_LEA_T1_2</v></cell><cell r="AJ1622"><v>103176851</v></cell></row><row r="1623"><cell r="C1623" t="str"><v>43293FACEBOOK»USA-Trial-ITD-Retargeting-AZR-AZR»1 x 1»SocialBan»LIA»ALL»CPA»RT»X»NA»SS»NA»FreeAcctRetargetingOSSFB-Logos-ChG»PRC1S2</v></cell><cell r="D1623" t="str"><v>43293224106063</v></cell><cell r="E1623" t="str"><v>43293103176008PRC1S2</v></cell><cell r="F1623" t="str"><v>DCM</v></cell><cell r="G1623" t="str"><v>https://azure.microsoft.com/en-us/free/open-source/search/?OCID=AID%eexcid!_OLA_%ebuy!_%epid!_%ecid!</v></cell></row><row r="1623"><cell r="K1623" t="str"><v>July</v></cell><cell r="L1623"><v>43295</v></cell><cell r="M1623" t="str"><v>Tier 0</v></cell><cell r="N1623" t="str"><v>North America</v></cell><cell r="O1623" t="str"><v>United States</v></cell><cell r="P1623" t="str"><v>Trial</v></cell><cell r="Q1623" t="str"><v>Social</v></cell><cell r="R1623" t="str"><v>Azure</v></cell><cell r="S1623" t="str"><v>Apps & Infra</v></cell><cell r="T1623" t="str"><v>Developers & ITI's</v></cell><cell r="U1623" t="str"><v>USA-Trial-ITD-Retargeting-AZR-AZR</v></cell><cell r="V1623" t="str"><v>Retargeting</v></cell><cell r="W1623" t="str"><v>Link Ad</v></cell><cell r="X1623" t="str"><v>1x1</v></cell></row><row r="1623"><cell r="AA1623"><v>43293</v></cell><cell r="AB1623" t="str"><v>USA_gaPMG_AZR_AZR_Q1_19_Direct-Social</v></cell><cell r="AC1623"><v>21358715</v></cell><cell r="AD1623"><v>720197</v></cell><cell r="AE1623" t="str"><v>Facebook</v></cell><cell r="AF1623"><v>3654128</v></cell><cell r="AG1623" t="str"><v>FACEBOOK»USA-Trial-ITD-Retargeting-AZR-AZR»1 x 1»SocialBan»LIA»ALL»CPA»RT»X»NA»SS»NA»FreeAcctRetargetingOSSFB-Logos-ChG»PRC1S2</v></cell><cell r="AH1623"><v>224106063</v></cell><cell r="AI1623" t="str"><v>AzurePlatform_FreeAcctRetargetingOSSFB-Logos-ChG_USA_1200x628_CAN_PLATFORM_English_Free Account_Standard_NA_SINU_T2_1</v></cell><cell r="AJ1623"><v>103176008</v></cell></row><row r="1624"><cell r="C1624" t="str"><v>43293FACEBOOK»USA-Trial-ITD-Retargeting-AZR-AZR»1 x 1»SocialBan»LIA»ALL»CPA»RT»X»NA»SS»NA»FreeAcctRetargetingOSSFB-Text-ChF»PRC1S1</v></cell><cell r="D1624" t="str"><v>43293223862753</v></cell><cell r="E1624" t="str"><v>43293103176869PRC1S1</v></cell><cell r="F1624" t="str"><v>DCM</v></cell><cell r="G1624" t="str"><v>https://azure.microsoft.com/en-us/free/open-source/search/?OCID=AID%eexcid!_OLA_%ebuy!_%epid!_%ecid!</v></cell></row><row r="1624"><cell r="K1624" t="str"><v>July</v></cell><cell r="L1624"><v>43295</v></cell><cell r="M1624" t="str"><v>Tier 0</v></cell><cell r="N1624" t="str"><v>North America</v></cell><cell r="O1624" t="str"><v>United States</v></cell><cell r="P1624" t="str"><v>Trial</v></cell><cell r="Q1624" t="str"><v>Social</v></cell><cell r="R1624" t="str"><v>Azure</v></cell><cell r="S1624" t="str"><v>Apps & Infra</v></cell><cell r="T1624" t="str"><v>Developers & ITI's</v></cell><cell r="U1624" t="str"><v>USA-Trial-ITD-Retargeting-AZR-AZR</v></cell><cell r="V1624" t="str"><v>Retargeting</v></cell><cell r="W1624" t="str"><v>Link Ad</v></cell><cell r="X1624" t="str"><v>1x1</v></cell></row><row r="1624"><cell r="AA1624"><v>43293</v></cell><cell r="AB1624" t="str"><v>USA_gaPMG_AZR_AZR_Q1_19_Direct-Social</v></cell><cell r="AC1624"><v>21358715</v></cell><cell r="AD1624"><v>720197</v></cell><cell r="AE1624" t="str"><v>Facebook</v></cell><cell r="AF1624"><v>3654128</v></cell><cell r="AG1624" t="str"><v>FACEBOOK»USA-Trial-ITD-Retargeting-AZR-AZR»1 x 1»SocialBan»LIA»ALL»CPA»RT»X»NA»SS»NA»FreeAcctRetargetingOSSFB-Text-ChF»PRC1S1</v></cell><cell r="AH1624"><v>223862753</v></cell><cell r="AI1624" t="str"><v>AzurePlatform_FreeAcctRetargetingOSSFB-Text-ChF_USA_1200x628_CAN_PLATFORM_English_Free Account_Standard_NA_SINU_T1_2</v></cell><cell r="AJ1624"><v>103176869</v></cell></row><row r="1625"><cell r="C1625" t="str"><v>43293FACEBOOK»USA-Trial-ITD-Retargeting-AZR-AZR»1 x 1»SocialBan»CAN»ALL»CPA»RT»X»NA»SS»NA»FBCTCBasicMotion»PRC1RQ</v></cell><cell r="D1625" t="str"><v>43293224106933</v></cell><cell r="E1625" t="str"><v>43293103043823PRC1RQ</v></cell><cell r="F1625" t="str"><v>DCM</v></cell><cell r="G1625" t="str"><v>https://signup.azure.com/?OCID=AID%eexcid!_OLA_%ebuy!_%epid!_%ecid!</v></cell></row><row r="1625"><cell r="K1625" t="str"><v>July</v></cell><cell r="L1625"><v>43295</v></cell><cell r="M1625" t="str"><v>Tier 0</v></cell><cell r="N1625" t="str"><v>North America</v></cell><cell r="O1625" t="str"><v>United States</v></cell><cell r="P1625" t="str"><v>Trial</v></cell><cell r="Q1625" t="str"><v>Social</v></cell><cell r="R1625" t="str"><v>Azure</v></cell><cell r="S1625" t="str"><v>Apps & Infra</v></cell><cell r="T1625" t="str"><v>Developers & ITI's</v></cell><cell r="U1625" t="str"><v>USA-Trial-ITD-Retargeting-AZR-AZR</v></cell><cell r="V1625" t="str"><v>Retargeting</v></cell><cell r="W1625" t="str"><v>Canvas Ad</v></cell><cell r="X1625" t="str"><v>1x1</v></cell></row><row r="1625"><cell r="AA1625"><v>43293</v></cell><cell r="AB1625" t="str"><v>USA_gaPMG_AZR_AZR_Q1_19_Direct-Social</v></cell><cell r="AC1625"><v>21358715</v></cell><cell r="AD1625"><v>720197</v></cell><cell r="AE1625" t="str"><v>Facebook</v></cell><cell r="AF1625"><v>3654128</v></cell><cell r="AG1625" t="str"><v>FACEBOOK»USA-Trial-ITD-Retargeting-AZR-AZR»1 x 1»SocialBan»CAN»ALL»CPA»RT»X»NA»SS»NA»FBCTCBasicMotion»PRC1RQ</v></cell><cell r="AH1625"><v>224106933</v></cell><cell r="AI1625" t="str"><v>AzurePlatform_FBCTCBasicMotion_USA_10s_CAN_PLATFORM_English_Trial_Standard_STAN_TIN_T1_1</v></cell><cell r="AJ1625"><v>103043823</v></cell></row><row r="1626"><cell r="C1626" t="str"><v>43293FACEBOOK»USA-Trial-ITD-Retargeting-AZR-AZR»1 x 1»SocialBan»LIA»ALL»CPA»RT»X»NA»SS»NA»FreeAcctITProFB-AnimatedSecureMngd-Ch1»PRC26K</v></cell><cell r="D1626" t="str"><v>43293223862762</v></cell><cell r="E1626" t="str"><v>43293103176830PRC26K</v></cell><cell r="F1626" t="str"><v>DCM</v></cell></row><row r="1626"><cell r="K1626" t="str"><v>July</v></cell><cell r="L1626"><v>43295</v></cell><cell r="M1626" t="str"><v>Tier 0</v></cell><cell r="N1626" t="str"><v>North America</v></cell><cell r="O1626" t="str"><v>United States</v></cell><cell r="P1626" t="str"><v>Trial</v></cell><cell r="Q1626" t="str"><v>Social</v></cell><cell r="R1626" t="str"><v>Azure</v></cell><cell r="S1626" t="str"><v>Apps & Infra</v></cell><cell r="T1626" t="str"><v>Developers & ITI's</v></cell><cell r="U1626" t="str"><v>USA-Trial-ITD-Retargeting-AZR-AZR</v></cell><cell r="V1626" t="str"><v>Retargeting</v></cell><cell r="W1626" t="str"><v>Link Ad</v></cell><cell r="X1626" t="str"><v>1x1</v></cell></row><row r="1626"><cell r="AA1626"><v>43293</v></cell><cell r="AB1626" t="str"><v>USA_gaPMG_AZR_AZR_Q1_19_Direct-Social</v></cell><cell r="AC1626"><v>21358715</v></cell><cell r="AD1626"><v>720197</v></cell><cell r="AE1626" t="str"><v>Facebook</v></cell><cell r="AF1626"><v>3654128</v></cell><cell r="AG1626" t="str"><v>FACEBOOK»USA-Trial-ITD-Retargeting-AZR-AZR»1 x 1»SocialBan»LIA»ALL»CPA»RT»X»NA»SS»NA»FreeAcctITProFB-AnimatedSecureMngd-Ch1»PRC26K</v></cell><cell r="AH1626"><v>223862762</v></cell><cell r="AI1626" t="str"><v>AZR_FreeAcctITProFB-AnimatedSecureMngd-Ch1_USA_1200x1200_CAN_Direct_English_Trial_Standard_ANI_LEA_T1_1</v></cell><cell r="AJ1626"><v>103176830</v></cell></row><row r="1627"><cell r="C1627" t="str"><v>43293FACEBOOK»USA-Trial-ITD-Trial Lookalike-AZR-AZR»1 x 1»SocialBan»LIA»ALL»CPA»LAL»X»NA»SS»NA»FreeAcctDeveloperFB-AnimatedGeneric-Ch1»PRC1M4</v></cell><cell r="D1627" t="str"><v>43293224104941</v></cell><cell r="E1627" t="str"><v>43293103176851PRC1M4</v></cell><cell r="F1627" t="str"><v>DCM</v></cell><cell r="G1627" t="str"><v>https://azure.microsoft.com/en-us/free/search/?OCID=AID%eexcid!_OLA_%ebuy!_%epid!_%ecid!</v></cell></row><row r="1627"><cell r="K1627" t="str"><v>July</v></cell><cell r="L1627"><v>43295</v></cell><cell r="M1627" t="str"><v>Tier 0</v></cell><cell r="N1627" t="str"><v>North America</v></cell><cell r="O1627" t="str"><v>United States</v></cell><cell r="P1627" t="str"><v>Trial</v></cell><cell r="Q1627" t="str"><v>Social</v></cell><cell r="R1627" t="str"><v>Azure</v></cell><cell r="S1627" t="str"><v>Apps & Infra</v></cell><cell r="T1627" t="str"><v>Developers & ITI's</v></cell><cell r="U1627" t="str"><v>USA-Trial-ITD-Trial Lookalike-AZR-AZR</v></cell><cell r="V1627" t="str"><v>Lookalike Targeting</v></cell><cell r="W1627" t="str"><v>Link Ad</v></cell><cell r="X1627" t="str"><v>1x1</v></cell></row><row r="1627"><cell r="AA1627"><v>43293</v></cell><cell r="AB1627" t="str"><v>USA_gaPMG_AZR_AZR_Q1_19_Direct-Social</v></cell><cell r="AC1627"><v>21358715</v></cell><cell r="AD1627"><v>720197</v></cell><cell r="AE1627" t="str"><v>Facebook</v></cell><cell r="AF1627"><v>3654128</v></cell><cell r="AG1627" t="str"><v>FACEBOOK»USA-Trial-ITD-Trial Lookalike-AZR-AZR»1 x 1»SocialBan»LIA»ALL»CPA»LAL»X»NA»SS»NA»FreeAcctDeveloperFB-AnimatedGeneric-Ch1»PRC1M4</v></cell><cell r="AH1627"><v>224104941</v></cell><cell r="AI1627" t="str"><v>AZR_FreeAcctDeveloperFB-AnimatedGeneric-Ch1_USA_1200x1200_CAN_Direct_English_Trial_Standard_ANI_LEA_T1_2</v></cell><cell r="AJ1627"><v>103176851</v></cell></row><row r="1628"><cell r="C1628" t="str"><v>43293FACEBOOK»USA-Trial-ITD-Trial Lookalike-AZR-AZR»1 x 1»SocialBan»LIA»ALL»CPA»LAL»X»NA»SS»NA»FreeAcctDeveloperFB-AnimatedGeneric-Ch1»PRC1M5</v></cell><cell r="D1628" t="str"><v>43293223934083</v></cell><cell r="E1628" t="str"><v>43293103176851PRC1M5</v></cell><cell r="F1628" t="str"><v>DCM</v></cell><cell r="G1628" t="str"><v>https://azure.microsoft.com/en-us/free/search/?OCID=AID%eexcid!_OLA_%ebuy!_%epid!_%ecid!</v></cell></row><row r="1628"><cell r="K1628" t="str"><v>July</v></cell><cell r="L1628"><v>43295</v></cell><cell r="M1628" t="str"><v>Tier 0</v></cell><cell r="N1628" t="str"><v>North America</v></cell><cell r="O1628" t="str"><v>United States</v></cell><cell r="P1628" t="str"><v>Trial</v></cell><cell r="Q1628" t="str"><v>Social</v></cell><cell r="R1628" t="str"><v>Azure</v></cell><cell r="S1628" t="str"><v>Apps & Infra</v></cell><cell r="T1628" t="str"><v>Developers & ITI's</v></cell><cell r="U1628" t="str"><v>USA-Trial-ITD-Trial Lookalike-AZR-AZR</v></cell><cell r="V1628" t="str"><v>Lookalike Targeting</v></cell><cell r="W1628" t="str"><v>Link Ad</v></cell><cell r="X1628" t="str"><v>1x1</v></cell></row><row r="1628"><cell r="AA1628"><v>43293</v></cell><cell r="AB1628" t="str"><v>USA_gaPMG_AZR_AZR_Q1_19_Direct-Social</v></cell><cell r="AC1628"><v>21358715</v></cell><cell r="AD1628"><v>720197</v></cell><cell r="AE1628" t="str"><v>Facebook</v></cell><cell r="AF1628"><v>3654128</v></cell><cell r="AG1628" t="str"><v>FACEBOOK»USA-Trial-ITD-Trial Lookalike-AZR-AZR»1 x 1»SocialBan»LIA»ALL»CPA»LAL»X»NA»SS»NA»FreeAcctDeveloperFB-AnimatedGeneric-Ch1»PRC1M5</v></cell><cell r="AH1628"><v>223934083</v></cell><cell r="AI1628" t="str"><v>AZR_FreeAcctDeveloperFB-AnimatedGeneric-Ch1_USA_1200x1200_CAN_Direct_English_Trial_Standard_ANI_LEA_T1_2</v></cell><cell r="AJ1628"><v>103176851</v></cell></row><row r="1629"><cell r="C1629" t="str"><v>43293FACEBOOK»USA-Trial-ITD-Trial Lookalike-AZR-AZR»1 x 1»SocialBan»LIA»ALL»CPA»LAL»X»NA»SS»NA»FreeAcctDeveloperFB-AnimatedOpenSource-Ch2»PRC1M6</v></cell><cell r="D1629" t="str"><v>43293223935628</v></cell><cell r="E1629" t="str"><v>43293103048329PRC1M6</v></cell><cell r="F1629" t="str"><v>DCM</v></cell><cell r="G1629" t="str"><v>https://azure.microsoft.com/en-us/free/open-source/search/?OCID=AID%eexcid!_OLA_%ebuy!_%epid!_%ecid!</v></cell></row><row r="1629"><cell r="K1629" t="str"><v>July</v></cell><cell r="L1629"><v>43295</v></cell><cell r="M1629" t="str"><v>Tier 0</v></cell><cell r="N1629" t="str"><v>North America</v></cell><cell r="O1629" t="str"><v>United States</v></cell><cell r="P1629" t="str"><v>Trial</v></cell><cell r="Q1629" t="str"><v>Social</v></cell><cell r="R1629" t="str"><v>Azure</v></cell><cell r="S1629" t="str"><v>Apps & Infra</v></cell><cell r="T1629" t="str"><v>Developers & ITI's</v></cell><cell r="U1629" t="str"><v>USA-Trial-ITD-Trial Lookalike-AZR-AZR</v></cell><cell r="V1629" t="str"><v>Lookalike Targeting</v></cell><cell r="W1629" t="str"><v>Link Ad</v></cell><cell r="X1629" t="str"><v>1x1</v></cell></row><row r="1629"><cell r="AA1629"><v>43293</v></cell><cell r="AB1629" t="str"><v>USA_gaPMG_AZR_AZR_Q1_19_Direct-Social</v></cell><cell r="AC1629"><v>21358715</v></cell><cell r="AD1629"><v>720197</v></cell><cell r="AE1629" t="str"><v>Facebook</v></cell><cell r="AF1629"><v>3654128</v></cell><cell r="AG1629" t="str"><v>FACEBOOK»USA-Trial-ITD-Trial Lookalike-AZR-AZR»1 x 1»SocialBan»LIA»ALL»CPA»LAL»X»NA»SS»NA»FreeAcctDeveloperFB-AnimatedOpenSource-Ch2»PRC1M6</v></cell><cell r="AH1629"><v>223935628</v></cell><cell r="AI1629" t="str"><v>AZR_FreeAcctDeveloperFB-AnimatedOpenSource-Ch2_USA_1200x1200_CAN_Direct_English_Trial_Standard_ANI_LEA_T2_1</v></cell><cell r="AJ1629"><v>103048329</v></cell></row><row r="1630"><cell r="C1630" t="str"><v>43293FACEBOOK»USA-Trial-ITD-Trial Lookalike-AZR-AZR»1 x 1»SocialBan»LIA»ALL»CPA»LAL»X»NA»SS»NA»FreeAcctITProFB-AnimatedMigration-Ch3»PRC23N</v></cell><cell r="D1630" t="str"><v>43293223935637</v></cell><cell r="E1630" t="str"><v>43293103176827PRC23N</v></cell><cell r="F1630" t="str"><v>DCM</v></cell></row><row r="1630"><cell r="K1630" t="str"><v>July</v></cell><cell r="L1630"><v>43295</v></cell><cell r="M1630" t="str"><v>Tier 0</v></cell><cell r="N1630" t="str"><v>North America</v></cell><cell r="O1630" t="str"><v>United States</v></cell><cell r="P1630" t="str"><v>Trial</v></cell><cell r="Q1630" t="str"><v>Social</v></cell><cell r="R1630" t="str"><v>Azure</v></cell><cell r="S1630" t="str"><v>Apps & Infra</v></cell><cell r="T1630" t="str"><v>Developers & ITI's</v></cell><cell r="U1630" t="str"><v>USA-Trial-ITD-Trial Lookalike-AZR-AZR</v></cell><cell r="V1630" t="str"><v>Lookalike Targeting</v></cell><cell r="W1630" t="str"><v>Link Ad</v></cell><cell r="X1630" t="str"><v>1x1</v></cell></row><row r="1630"><cell r="AA1630"><v>43293</v></cell><cell r="AB1630" t="str"><v>USA_gaPMG_AZR_AZR_Q1_19_Direct-Social</v></cell><cell r="AC1630"><v>21358715</v></cell><cell r="AD1630"><v>720197</v></cell><cell r="AE1630" t="str"><v>Facebook</v></cell><cell r="AF1630"><v>3654128</v></cell><cell r="AG1630" t="str"><v>FACEBOOK»USA-Trial-ITD-Trial Lookalike-AZR-AZR»1 x 1»SocialBan»LIA»ALL»CPA»LAL»X»NA»SS»NA»FreeAcctITProFB-AnimatedMigration-Ch3»PRC23N</v></cell><cell r="AH1630"><v>223935637</v></cell><cell r="AI1630" t="str"><v>AZR_FreeAcctITProFB-AnimatedMigration-Ch3_USA_1200x1200_CAN_Direct_English_Trial_Standard_ANI_LEA_T3_1</v></cell><cell r="AJ1630"><v>103176827</v></cell></row><row r="1631"><cell r="C1631" t="str"><v>43293FACEBOOK»USA-Trial-ITD-Trial Lookalike-AZR-AZR»1 x 1»SocialBan»LIA»ALL»CPA»LAL»X»NA»SS»NA»FreeAcctITProFB-AnimatedSecureMngd-Ch1»PRC1M9</v></cell><cell r="D1631" t="str"><v>43293224104959</v></cell><cell r="E1631" t="str"><v>43293103176830PRC1M9</v></cell><cell r="F1631" t="str"><v>DCM</v></cell></row><row r="1631"><cell r="K1631" t="str"><v>July</v></cell><cell r="L1631"><v>43295</v></cell><cell r="M1631" t="str"><v>Tier 0</v></cell><cell r="N1631" t="str"><v>North America</v></cell><cell r="O1631" t="str"><v>United States</v></cell><cell r="P1631" t="str"><v>Trial</v></cell><cell r="Q1631" t="str"><v>Social</v></cell><cell r="R1631" t="str"><v>Azure</v></cell><cell r="S1631" t="str"><v>Apps & Infra</v></cell><cell r="T1631" t="str"><v>Developers & ITI's</v></cell><cell r="U1631" t="str"><v>USA-Trial-ITD-Trial Lookalike-AZR-AZR</v></cell><cell r="V1631" t="str"><v>Lookalike Targeting</v></cell><cell r="W1631" t="str"><v>Link Ad</v></cell><cell r="X1631" t="str"><v>1x1</v></cell></row><row r="1631"><cell r="AA1631"><v>43293</v></cell><cell r="AB1631" t="str"><v>USA_gaPMG_AZR_AZR_Q1_19_Direct-Social</v></cell><cell r="AC1631"><v>21358715</v></cell><cell r="AD1631"><v>720197</v></cell><cell r="AE1631" t="str"><v>Facebook</v></cell><cell r="AF1631"><v>3654128</v></cell><cell r="AG1631" t="str"><v>FACEBOOK»USA-Trial-ITD-Trial Lookalike-AZR-AZR»1 x 1»SocialBan»LIA»ALL»CPA»LAL»X»NA»SS»NA»FreeAcctITProFB-AnimatedSecureMngd-Ch1»PRC1M9</v></cell><cell r="AH1631"><v>224104959</v></cell><cell r="AI1631" t="str"><v>AZR_FreeAcctITProFB-AnimatedSecureMngd-Ch1_USA_1200x1200_CAN_Direct_English_Trial_Standard_ANI_LEA_T1_1</v></cell><cell r="AJ1631"><v>103176830</v></cell></row><row r="1632"><cell r="C1632" t="str"><v>43293FACEBOOK»USA-Trial-ITD-Trial Lookalike-AZR-AZR»1 x 1»SocialBan»CAN»ALL»CPA»LAL»X»NA»SS»NA»FBCTCBasicMotion»PRC1LZ</v></cell><cell r="D1632" t="str"><v>43293223862915</v></cell><cell r="E1632" t="str"><v>43293103043823PRC1LZ</v></cell><cell r="F1632" t="str"><v>DCM</v></cell><cell r="G1632" t="str"><v>https://signup.azure.com/?OCID=AID%eexcid!_OLA_%ebuy!_%epid!_%ecid!</v></cell></row><row r="1632"><cell r="K1632" t="str"><v>July</v></cell><cell r="L1632"><v>43295</v></cell><cell r="M1632" t="str"><v>Tier 0</v></cell><cell r="N1632" t="str"><v>North America</v></cell><cell r="O1632" t="str"><v>United States</v></cell><cell r="P1632" t="str"><v>Trial</v></cell><cell r="Q1632" t="str"><v>Social</v></cell><cell r="R1632" t="str"><v>Azure</v></cell><cell r="S1632" t="str"><v>Apps & Infra</v></cell><cell r="T1632" t="str"><v>Developers & ITI's</v></cell><cell r="U1632" t="str"><v>USA-Trial-ITD-Trial Lookalike-AZR-AZR</v></cell><cell r="V1632" t="str"><v>Lookalike Targeting</v></cell><cell r="W1632" t="str"><v>Canvas Ad</v></cell><cell r="X1632" t="str"><v>1x1</v></cell></row><row r="1632"><cell r="AA1632"><v>43293</v></cell><cell r="AB1632" t="str"><v>USA_gaPMG_AZR_AZR_Q1_19_Direct-Social</v></cell><cell r="AC1632"><v>21358715</v></cell><cell r="AD1632"><v>720197</v></cell><cell r="AE1632" t="str"><v>Facebook</v></cell><cell r="AF1632"><v>3654128</v></cell><cell r="AG1632" t="str"><v>FACEBOOK»USA-Trial-ITD-Trial Lookalike-AZR-AZR»1 x 1»SocialBan»CAN»ALL»CPA»LAL»X»NA»SS»NA»FBCTCBasicMotion»PRC1LZ</v></cell><cell r="AH1632"><v>223862915</v></cell><cell r="AI1632" t="str"><v>AzurePlatform_FBCTCBasicMotion_USA_10s_CAN_PLATFORM_English_Trial_Standard_STAN_TIN_T1_1</v></cell><cell r="AJ1632"><v>103043823</v></cell></row><row r="1633"><cell r="C1633" t="str"><v>43293FACEBOOK»USA-Trial-ITD-Trial PayGo Lookalike-AZR-AZR»1 x 1»SocialBan»CAN»ALL»CPA»LAL»X»NA»SS»NA»FBCTCBasicMotion»PRC1Q0</v></cell><cell r="D1633" t="str"><v>43293223935664</v></cell><cell r="E1633" t="str"><v>43293103043823PRC1Q0</v></cell><cell r="F1633" t="str"><v>DCM</v></cell><cell r="G1633" t="str"><v>https://signup.azure.com/?OCID=AID%eexcid!_OLA_%ebuy!_%epid!_%ecid!</v></cell></row><row r="1633"><cell r="K1633" t="str"><v>July</v></cell><cell r="L1633"><v>43295</v></cell><cell r="M1633" t="str"><v>Tier 0</v></cell><cell r="N1633" t="str"><v>North America</v></cell><cell r="O1633" t="str"><v>United States</v></cell><cell r="P1633" t="str"><v>Trial</v></cell><cell r="Q1633" t="str"><v>Social</v></cell><cell r="R1633" t="str"><v>Azure</v></cell><cell r="S1633" t="str"><v>Apps & Infra</v></cell><cell r="T1633" t="str"><v>Developers & ITI's</v></cell><cell r="U1633" t="str"><v>USA-Trial-ITD-Trial PayGo Lookalike-AZR-AZR</v></cell><cell r="V1633" t="str"><v>Lookalike Targeting</v></cell><cell r="W1633" t="str"><v>Canvas Ad</v></cell><cell r="X1633" t="str"><v>1x1</v></cell></row><row r="1633"><cell r="AA1633"><v>43293</v></cell><cell r="AB1633" t="str"><v>USA_gaPMG_AZR_AZR_Q1_19_Direct-Social</v></cell><cell r="AC1633"><v>21358715</v></cell><cell r="AD1633"><v>720197</v></cell><cell r="AE1633" t="str"><v>Facebook</v></cell><cell r="AF1633"><v>3654128</v></cell><cell r="AG1633" t="str"><v>FACEBOOK»USA-Trial-ITD-Trial PayGo Lookalike-AZR-AZR»1 x 1»SocialBan»CAN»ALL»CPA»LAL»X»NA»SS»NA»FBCTCBasicMotion»PRC1Q0</v></cell><cell r="AH1633"><v>223935664</v></cell><cell r="AI1633" t="str"><v>AzurePlatform_FBCTCBasicMotion_USA_10s_CAN_PLATFORM_English_Trial_Standard_STAN_TIN_T1_1</v></cell><cell r="AJ1633"><v>103043823</v></cell></row><row r="1634"><cell r="C1634" t="str"><v>43293FACEBOOK»USA-Trial-ITD-Trial PayGo Lookalike-AZR-AZR»1 x 1»SocialBan»CAN»ALL»CPA»LAL»X»NA»SS»NA»FBCTCBasicMotion»PRC1Q0</v></cell><cell r="D1634" t="str"><v>43293223935664</v></cell><cell r="E1634" t="str"><v>43293103175984PRC1Q0</v></cell><cell r="F1634" t="str"><v>DCM</v></cell><cell r="G1634" t="str"><v>https://azure.microsoft.com/en-us/pricing/purchase-options/?v=18.19&OCID=AID%eexcid!_OLA_%ebuy!_%epid!_%ecid!</v></cell></row><row r="1634"><cell r="K1634" t="str"><v>July</v></cell><cell r="L1634"><v>43295</v></cell><cell r="M1634" t="str"><v>Tier 0</v></cell><cell r="N1634" t="str"><v>North America</v></cell><cell r="O1634" t="str"><v>United States</v></cell><cell r="P1634" t="str"><v>Trial</v></cell><cell r="Q1634" t="str"><v>Social</v></cell><cell r="R1634" t="str"><v>Azure</v></cell><cell r="S1634" t="str"><v>Apps & Infra</v></cell><cell r="T1634" t="str"><v>Developers & ITI's</v></cell><cell r="U1634" t="str"><v>USA-Trial-ITD-Trial PayGo Lookalike-AZR-AZR</v></cell><cell r="V1634" t="str"><v>Lookalike Targeting</v></cell><cell r="W1634" t="str"><v>Canvas Ad</v></cell><cell r="X1634" t="str"><v>1x1</v></cell></row><row r="1634"><cell r="AA1634"><v>43293</v></cell><cell r="AB1634" t="str"><v>USA_gaPMG_AZR_AZR_Q1_19_Direct-Social</v></cell><cell r="AC1634"><v>21358715</v></cell><cell r="AD1634"><v>720197</v></cell><cell r="AE1634" t="str"><v>Facebook</v></cell><cell r="AF1634"><v>3654128</v></cell><cell r="AG1634" t="str"><v>FACEBOOK»USA-Trial-ITD-Trial PayGo Lookalike-AZR-AZR»1 x 1»SocialBan»CAN»ALL»CPA»LAL»X»NA»SS»NA»FBCTCBasicMotion»PRC1Q0</v></cell><cell r="AH1634"><v>223935664</v></cell><cell r="AI1634" t="str"><v>AzurePlatform_FBCTCBasicMotion_USA_10s_CAN_PLATFORM_English_Trial_Standard_STAN_TIN_T1_2</v></cell><cell r="AJ1634"><v>103175984</v></cell></row><row r="1635"><cell r="C1635" t="str"><v>43293FACEBOOK»USA-Trial-ITD-Trial PayGo Lookalike-AZR-AZR»1 x 1»SocialBan»LIA»ALL»CPA»LAL»X»NA»SS»NA»FreeAcctDeveloperFB-AnimatedAI-Ch3»PRC1Q8</v></cell><cell r="D1635" t="str"><v>43293224104983</v></cell><cell r="E1635" t="str"><v>43293103032778PRC1Q8</v></cell><cell r="F1635" t="str"><v>DCM</v></cell></row><row r="1635"><cell r="K1635" t="str"><v>July</v></cell><cell r="L1635"><v>43295</v></cell><cell r="M1635" t="str"><v>Tier 0</v></cell><cell r="N1635" t="str"><v>North America</v></cell><cell r="O1635" t="str"><v>United States</v></cell><cell r="P1635" t="str"><v>Trial</v></cell><cell r="Q1635" t="str"><v>Social</v></cell><cell r="R1635" t="str"><v>Azure</v></cell><cell r="S1635" t="str"><v>Apps & Infra</v></cell><cell r="T1635" t="str"><v>Developers & ITI's</v></cell><cell r="U1635" t="str"><v>USA-Trial-ITD-Trial PayGo Lookalike-AZR-AZR</v></cell><cell r="V1635" t="str"><v>Lookalike Targeting</v></cell><cell r="W1635" t="str"><v>Link Ad</v></cell><cell r="X1635" t="str"><v>1x1</v></cell></row><row r="1635"><cell r="AA1635"><v>43293</v></cell><cell r="AB1635" t="str"><v>USA_gaPMG_AZR_AZR_Q1_19_Direct-Social</v></cell><cell r="AC1635"><v>21358715</v></cell><cell r="AD1635"><v>720197</v></cell><cell r="AE1635" t="str"><v>Facebook</v></cell><cell r="AF1635"><v>3654128</v></cell><cell r="AG1635" t="str"><v>FACEBOOK»USA-Trial-ITD-Trial PayGo Lookalike-AZR-AZR»1 x 1»SocialBan»LIA»ALL»CPA»LAL»X»NA»SS»NA»FreeAcctDeveloperFB-AnimatedAI-Ch3»PRC1Q8</v></cell><cell r="AH1635"><v>224104983</v></cell><cell r="AI1635" t="str"><v>AZR_FreeAcctDeveloperFB-AnimatedAI-Ch3_USA_1200x1200_CAN_Direct_English_Trial_Standard_ANI_LEA_T3_1</v></cell><cell r="AJ1635"><v>103032778</v></cell></row><row r="1636"><cell r="C1636" t="str"><v>43293FACEBOOK»USA-Trial-ITD-Trial PayGo Lookalike-AZR-AZR»1 x 1»SocialBan»LIA»ALL»CPA»LAL»X»NA»SS»NA»FreeAcctDeveloperFB-AnimatedData-Ch4»PRC1Q9</v></cell><cell r="D1636" t="str"><v>43293224106990</v></cell><cell r="E1636" t="str"><v>43293103037935PRC1Q9</v></cell><cell r="F1636" t="str"><v>DCM</v></cell></row><row r="1636"><cell r="K1636" t="str"><v>July</v></cell><cell r="L1636"><v>43295</v></cell><cell r="M1636" t="str"><v>Tier 0</v></cell><cell r="N1636" t="str"><v>North America</v></cell><cell r="O1636" t="str"><v>United States</v></cell><cell r="P1636" t="str"><v>Trial</v></cell><cell r="Q1636" t="str"><v>Social</v></cell><cell r="R1636" t="str"><v>Azure</v></cell><cell r="S1636" t="str"><v>Apps & Infra</v></cell><cell r="T1636" t="str"><v>Developers & ITI's</v></cell><cell r="U1636" t="str"><v>USA-Trial-ITD-Trial PayGo Lookalike-AZR-AZR</v></cell><cell r="V1636" t="str"><v>Lookalike Targeting</v></cell><cell r="W1636" t="str"><v>Link Ad</v></cell><cell r="X1636" t="str"><v>1x1</v></cell></row><row r="1636"><cell r="AA1636"><v>43293</v></cell><cell r="AB1636" t="str"><v>USA_gaPMG_AZR_AZR_Q1_19_Direct-Social</v></cell><cell r="AC1636"><v>21358715</v></cell><cell r="AD1636"><v>720197</v></cell><cell r="AE1636" t="str"><v>Facebook</v></cell><cell r="AF1636"><v>3654128</v></cell><cell r="AG1636" t="str"><v>FACEBOOK»USA-Trial-ITD-Trial PayGo Lookalike-AZR-AZR»1 x 1»SocialBan»LIA»ALL»CPA»LAL»X»NA»SS»NA»FreeAcctDeveloperFB-AnimatedData-Ch4»PRC1Q9</v></cell><cell r="AH1636"><v>224106990</v></cell><cell r="AI1636" t="str"><v>AZR_FreeAcctDeveloperFB-AnimatedData-Ch4_USA_1200x1200_CAN_Direct_English_Trial_Standard_ANI_LEA_T4_2</v></cell><cell r="AJ1636"><v>103037935</v></cell></row><row r="1637"><cell r="C1637" t="str"><v>43293FACEBOOK»USA-Trial-ITD-Trial PayGo Lookalike-AZR-AZR»1 x 1»SocialBan»LIA»ALL»CPA»LAL»X»NA»SS»NA»FreeAcctDeveloperFB-AnimatedGeneric-Ch1»PRC1Q5</v></cell><cell r="D1637" t="str"><v>43293224104092</v></cell><cell r="E1637" t="str"><v>43293103176851PRC1Q5</v></cell><cell r="F1637" t="str"><v>DCM</v></cell><cell r="G1637" t="str"><v>https://azure.microsoft.com/en-us/free/search/?OCID=AID%eexcid!_OLA_%ebuy!_%epid!_%ecid!</v></cell></row><row r="1637"><cell r="K1637" t="str"><v>July</v></cell><cell r="L1637"><v>43295</v></cell><cell r="M1637" t="str"><v>Tier 0</v></cell><cell r="N1637" t="str"><v>North America</v></cell><cell r="O1637" t="str"><v>United States</v></cell><cell r="P1637" t="str"><v>Trial</v></cell><cell r="Q1637" t="str"><v>Social</v></cell><cell r="R1637" t="str"><v>Azure</v></cell><cell r="S1637" t="str"><v>Apps & Infra</v></cell><cell r="T1637" t="str"><v>Developers & ITI's</v></cell><cell r="U1637" t="str"><v>USA-Trial-ITD-Trial PayGo Lookalike-AZR-AZR</v></cell><cell r="V1637" t="str"><v>Lookalike Targeting</v></cell><cell r="W1637" t="str"><v>Link Ad</v></cell><cell r="X1637" t="str"><v>1x1</v></cell></row><row r="1637"><cell r="AA1637"><v>43293</v></cell><cell r="AB1637" t="str"><v>USA_gaPMG_AZR_AZR_Q1_19_Direct-Social</v></cell><cell r="AC1637"><v>21358715</v></cell><cell r="AD1637"><v>720197</v></cell><cell r="AE1637" t="str"><v>Facebook</v></cell><cell r="AF1637"><v>3654128</v></cell><cell r="AG1637" t="str"><v>FACEBOOK»USA-Trial-ITD-Trial PayGo Lookalike-AZR-AZR»1 x 1»SocialBan»LIA»ALL»CPA»LAL»X»NA»SS»NA»FreeAcctDeveloperFB-AnimatedGeneric-Ch1»PRC1Q5</v></cell><cell r="AH1637"><v>224104092</v></cell><cell r="AI1637" t="str"><v>AZR_FreeAcctDeveloperFB-AnimatedGeneric-Ch1_USA_1200x1200_CAN_Direct_English_Trial_Standard_ANI_LEA_T1_2</v></cell><cell r="AJ1637"><v>103176851</v></cell></row><row r="1638"><cell r="C1638" t="str"><v>43293FACEBOOK»USA-Trial-ITD-Trial PayGo Lookalike-AZR-AZR»1 x 1»SocialBan»LIA»ALL»CPA»LAL»X»NA»SS»NA»FreeAcctDeveloperFB-AnimatedOpenSource-Ch2»PRC1Q7</v></cell><cell r="D1638" t="str"><v>43293223862951</v></cell><cell r="E1638" t="str"><v>43293103048329PRC1Q7</v></cell><cell r="F1638" t="str"><v>DCM</v></cell><cell r="G1638" t="str"><v>https://azure.microsoft.com/en-us/free/open-source/search/?OCID=AID%eexcid!_OLA_%ebuy!_%epid!_%ecid!</v></cell></row><row r="1638"><cell r="K1638" t="str"><v>July</v></cell><cell r="L1638"><v>43295</v></cell><cell r="M1638" t="str"><v>Tier 0</v></cell><cell r="N1638" t="str"><v>North America</v></cell><cell r="O1638" t="str"><v>United States</v></cell><cell r="P1638" t="str"><v>Trial</v></cell><cell r="Q1638" t="str"><v>Social</v></cell><cell r="R1638" t="str"><v>Azure</v></cell><cell r="S1638" t="str"><v>Apps & Infra</v></cell><cell r="T1638" t="str"><v>Developers & ITI's</v></cell><cell r="U1638" t="str"><v>USA-Trial-ITD-Trial PayGo Lookalike-AZR-AZR</v></cell><cell r="V1638" t="str"><v>Lookalike Targeting</v></cell><cell r="W1638" t="str"><v>Link Ad</v></cell><cell r="X1638" t="str"><v>1x1</v></cell></row><row r="1638"><cell r="AA1638"><v>43293</v></cell><cell r="AB1638" t="str"><v>USA_gaPMG_AZR_AZR_Q1_19_Direct-Social</v></cell><cell r="AC1638"><v>21358715</v></cell><cell r="AD1638"><v>720197</v></cell><cell r="AE1638" t="str"><v>Facebook</v></cell><cell r="AF1638"><v>3654128</v></cell><cell r="AG1638" t="str"><v>FACEBOOK»USA-Trial-ITD-Trial PayGo Lookalike-AZR-AZR»1 x 1»SocialBan»LIA»ALL»CPA»LAL»X»NA»SS»NA»FreeAcctDeveloperFB-AnimatedOpenSource-Ch2»PRC1Q7</v></cell><cell r="AH1638"><v>223862951</v></cell><cell r="AI1638" t="str"><v>AZR_FreeAcctDeveloperFB-AnimatedOpenSource-Ch2_USA_1200x1200_CAN_Direct_English_Trial_Standard_ANI_LEA_T2_1</v></cell><cell r="AJ1638"><v>103048329</v></cell></row><row r="1639"><cell r="C1639" t="str"><v>43293FACEBOOK»USA-Trial-ITD-Trial PayGo Lookalike-AZR-AZR»1 x 1»SocialBan»LIA»ALL»CPA»LAL»X»NA»SS»NA»FreeAcctITProFB-AnimatedHybrid-Ch2»PRC1QC</v></cell><cell r="D1639" t="str"><v>43293223933186</v></cell><cell r="E1639" t="str"><v>43293103180583PRC1QC</v></cell><cell r="F1639" t="str"><v>DCM</v></cell></row><row r="1639"><cell r="K1639" t="str"><v>July</v></cell><cell r="L1639"><v>43295</v></cell><cell r="M1639" t="str"><v>Tier 0</v></cell><cell r="N1639" t="str"><v>North America</v></cell><cell r="O1639" t="str"><v>United States</v></cell><cell r="P1639" t="str"><v>Trial</v></cell><cell r="Q1639" t="str"><v>Social</v></cell><cell r="R1639" t="str"><v>Azure</v></cell><cell r="S1639" t="str"><v>Apps & Infra</v></cell><cell r="T1639" t="str"><v>Developers & ITI's</v></cell><cell r="U1639" t="str"><v>USA-Trial-ITD-Trial PayGo Lookalike-AZR-AZR</v></cell><cell r="V1639" t="str"><v>Lookalike Targeting</v></cell><cell r="W1639" t="str"><v>Link Ad</v></cell><cell r="X1639" t="str"><v>1x1</v></cell></row><row r="1639"><cell r="AA1639"><v>43293</v></cell><cell r="AB1639" t="str"><v>USA_gaPMG_AZR_AZR_Q1_19_Direct-Social</v></cell><cell r="AC1639"><v>21358715</v></cell><cell r="AD1639"><v>720197</v></cell><cell r="AE1639" t="str"><v>Facebook</v></cell><cell r="AF1639"><v>3654128</v></cell><cell r="AG1639" t="str"><v>FACEBOOK»USA-Trial-ITD-Trial PayGo Lookalike-AZR-AZR»1 x 1»SocialBan»LIA»ALL»CPA»LAL»X»NA»SS»NA»FreeAcctITProFB-AnimatedHybrid-Ch2»PRC1QC</v></cell><cell r="AH1639"><v>223933186</v></cell><cell r="AI1639" t="str"><v>AZR_FreeAcctITProFB-AnimatedHybrid-Ch2_USA_1200x1200_CAN_Direct_English_Trial_Standard_ANI_LEA_T2_2</v></cell><cell r="AJ1639"><v>103180583</v></cell></row><row r="1640"><cell r="C1640" t="str"><v>43293FACEBOOK»USA-Trial-ITD-Trial PayGo Lookalike-AZR-AZR»1 x 1»SocialBan»LIA»ALL»CPA»LAL»X»NA»SS»NA»FreeAcctITProFB-AnimatedMigration-Ch3»PRC23Y</v></cell><cell r="D1640" t="str"><v>43293224105904</v></cell><cell r="E1640" t="str"><v>43293103176827PRC23Y</v></cell><cell r="F1640" t="str"><v>DCM</v></cell></row><row r="1640"><cell r="K1640" t="str"><v>July</v></cell><cell r="L1640"><v>43295</v></cell><cell r="M1640" t="str"><v>Tier 0</v></cell><cell r="N1640" t="str"><v>North America</v></cell><cell r="O1640" t="str"><v>United States</v></cell><cell r="P1640" t="str"><v>Trial</v></cell><cell r="Q1640" t="str"><v>Social</v></cell><cell r="R1640" t="str"><v>Azure</v></cell><cell r="S1640" t="str"><v>Apps & Infra</v></cell><cell r="T1640" t="str"><v>Developers & ITI's</v></cell><cell r="U1640" t="str"><v>USA-Trial-ITD-Trial PayGo Lookalike-AZR-AZR</v></cell><cell r="V1640" t="str"><v>Lookalike Targeting</v></cell><cell r="W1640" t="str"><v>Link Ad</v></cell><cell r="X1640" t="str"><v>1x1</v></cell></row><row r="1640"><cell r="AA1640"><v>43293</v></cell><cell r="AB1640" t="str"><v>USA_gaPMG_AZR_AZR_Q1_19_Direct-Social</v></cell><cell r="AC1640"><v>21358715</v></cell><cell r="AD1640"><v>720197</v></cell><cell r="AE1640" t="str"><v>Facebook</v></cell><cell r="AF1640"><v>3654128</v></cell><cell r="AG1640" t="str"><v>FACEBOOK»USA-Trial-ITD-Trial PayGo Lookalike-AZR-AZR»1 x 1»SocialBan»LIA»ALL»CPA»LAL»X»NA»SS»NA»FreeAcctITProFB-AnimatedMigration-Ch3»PRC23Y</v></cell><cell r="AH1640"><v>224105904</v></cell><cell r="AI1640" t="str"><v>AZR_FreeAcctITProFB-AnimatedMigration-Ch3_USA_1200x1200_CAN_Direct_English_Trial_Standard_ANI_LEA_T3_1</v></cell><cell r="AJ1640"><v>103176827</v></cell></row><row r="1641"><cell r="C1641" t="str"><v>43293FACEBOOK»USA-Trial-ITD-Trial PayGo Lookalike-AZR-AZR»1 x 1»SocialBan»LIA»ALL»CPA»LAL»X»NA»SS»NA»FreeAcctITProFB-AnimatedSecureMngd-Ch1»PRC1QB</v></cell><cell r="D1641" t="str"><v>43293223862945</v></cell><cell r="E1641" t="str"><v>43293103176830PRC1QB</v></cell><cell r="F1641" t="str"><v>DCM</v></cell></row><row r="1641"><cell r="K1641" t="str"><v>July</v></cell><cell r="L1641"><v>43295</v></cell><cell r="M1641" t="str"><v>Tier 0</v></cell><cell r="N1641" t="str"><v>North America</v></cell><cell r="O1641" t="str"><v>United States</v></cell><cell r="P1641" t="str"><v>Trial</v></cell><cell r="Q1641" t="str"><v>Social</v></cell><cell r="R1641" t="str"><v>Azure</v></cell><cell r="S1641" t="str"><v>Apps & Infra</v></cell><cell r="T1641" t="str"><v>Developers & ITI's</v></cell><cell r="U1641" t="str"><v>USA-Trial-ITD-Trial PayGo Lookalike-AZR-AZR</v></cell><cell r="V1641" t="str"><v>Lookalike Targeting</v></cell><cell r="W1641" t="str"><v>Link Ad</v></cell><cell r="X1641" t="str"><v>1x1</v></cell></row><row r="1641"><cell r="AA1641"><v>43293</v></cell><cell r="AB1641" t="str"><v>USA_gaPMG_AZR_AZR_Q1_19_Direct-Social</v></cell><cell r="AC1641"><v>21358715</v></cell><cell r="AD1641"><v>720197</v></cell><cell r="AE1641" t="str"><v>Facebook</v></cell><cell r="AF1641"><v>3654128</v></cell><cell r="AG1641" t="str"><v>FACEBOOK»USA-Trial-ITD-Trial PayGo Lookalike-AZR-AZR»1 x 1»SocialBan»LIA»ALL»CPA»LAL»X»NA»SS»NA»FreeAcctITProFB-AnimatedSecureMngd-Ch1»PRC1QB</v></cell><cell r="AH1641"><v>223862945</v></cell><cell r="AI1641" t="str"><v>AZR_FreeAcctITProFB-AnimatedSecureMngd-Ch1_USA_1200x1200_CAN_Direct_English_Trial_Standard_ANI_LEA_T1_1</v></cell><cell r="AJ1641"><v>103176830</v></cell></row><row r="1642"><cell r="C1642" t="str"><v>43293INSTAGRAM»USA-Trial-ITD-Interest Prospecting-AZR-AZR»1 x 1»SocialBan»CAN»ALL»CPA»PRO»X»NA»SS»NA»IGCTCBrandinMotion»PRC2PB</v></cell><cell r="D1642" t="str"><v>43293223862690</v></cell><cell r="E1642" t="str"><v>43293103050783PRC2PB</v></cell><cell r="F1642" t="str"><v>DCM</v></cell><cell r="G1642" t="str"><v>https://signup.azure.com/?OCID=AID%eexcid!_OLA_%ebuy!_%epid!_%ecid!</v></cell></row><row r="1642"><cell r="K1642" t="str"><v>July</v></cell><cell r="L1642"><v>43295</v></cell><cell r="M1642" t="str"><v>Tier 0</v></cell><cell r="N1642" t="str"><v>North America</v></cell><cell r="O1642" t="str"><v>United States</v></cell><cell r="P1642" t="str"><v>Trial</v></cell><cell r="Q1642" t="str"><v>Social</v></cell><cell r="R1642" t="str"><v>Azure</v></cell><cell r="S1642" t="str"><v>Apps & Infra</v></cell><cell r="T1642" t="str"><v>Developers & ITI's</v></cell><cell r="U1642" t="str"><v>USA-Trial-ITD-Interest Prospecting-AZR-AZR</v></cell><cell r="V1642" t="str"><v>Prospecting</v></cell><cell r="W1642" t="str"><v>Canvas Ad</v></cell><cell r="X1642" t="str"><v>1x1</v></cell></row><row r="1642"><cell r="AA1642"><v>43293</v></cell><cell r="AB1642" t="str"><v>USA_gaPMG_AZR_AZR_Q1_19_Direct-Social</v></cell><cell r="AC1642"><v>21358715</v></cell><cell r="AD1642"><v>720197</v></cell><cell r="AE1642" t="str"><v>Facebook - Instagram</v></cell><cell r="AF1642"><v>3654128</v></cell><cell r="AG1642" t="str"><v>INSTAGRAM»USA-Trial-ITD-Interest Prospecting-AZR-AZR»1 x 1»SocialBan»CAN»ALL»CPA»PRO»X»NA»SS»NA»IGCTCBrandinMotion»PRC2PB</v></cell><cell r="AH1642"><v>223862690</v></cell><cell r="AI1642" t="str"><v>AzurePlatform_IGCTCBenefit2inMotion_USA_10s_CAN_PLATFORM_English_Trial_Standard_STAN_TIN_T4_1</v></cell><cell r="AJ1642"><v>103050783</v></cell></row><row r="1643"><cell r="C1643" t="str"><v>43293INSTAGRAM»USA-Trial-ITD-Retargeting-AZR-AZR»1 x 1»SocialBan»CAN»ALL»CPA»RT»X»NA»SS»NA»IGCTCBenefitinMotion»PRC2G4</v></cell><cell r="D1643" t="str"><v>43293224107536</v></cell><cell r="E1643" t="str"><v>43293103050780PRC2G4</v></cell><cell r="F1643" t="str"><v>DCM</v></cell><cell r="G1643" t="str"><v>https://signup.azure.com/?OCID=AID%eexcid!_OLA_%ebuy!_%epid!_%ecid!</v></cell></row><row r="1643"><cell r="K1643" t="str"><v>July</v></cell><cell r="L1643"><v>43295</v></cell><cell r="M1643" t="str"><v>Tier 0</v></cell><cell r="N1643" t="str"><v>North America</v></cell><cell r="O1643" t="str"><v>United States</v></cell><cell r="P1643" t="str"><v>Trial</v></cell><cell r="Q1643" t="str"><v>Social</v></cell><cell r="R1643" t="str"><v>Azure</v></cell><cell r="S1643" t="str"><v>Apps & Infra</v></cell><cell r="T1643" t="str"><v>Developers & ITI's</v></cell><cell r="U1643" t="str"><v>USA-Trial-ITD-Retargeting-AZR-AZR</v></cell><cell r="V1643" t="str"><v>Retargeting</v></cell><cell r="W1643" t="str"><v>Canvas Ad</v></cell><cell r="X1643" t="str"><v>1x1</v></cell></row><row r="1643"><cell r="AA1643"><v>43293</v></cell><cell r="AB1643" t="str"><v>USA_gaPMG_AZR_AZR_Q1_19_Direct-Social</v></cell><cell r="AC1643"><v>21358715</v></cell><cell r="AD1643"><v>720197</v></cell><cell r="AE1643" t="str"><v>Facebook - Instagram</v></cell><cell r="AF1643"><v>3654128</v></cell><cell r="AG1643" t="str"><v>INSTAGRAM»USA-Trial-ITD-Retargeting-AZR-AZR»1 x 1»SocialBan»CAN»ALL»CPA»RT»X»NA»SS»NA»IGCTCBenefitinMotion»PRC2G4</v></cell><cell r="AH1643"><v>224107536</v></cell><cell r="AI1643" t="str"><v>AzurePlatform_IGCTCBenefitinMotion_USA_10s_CAN_PLATFORM_English_Trial_Standard_STAN_TIN_T3_1</v></cell><cell r="AJ1643"><v>103050780</v></cell></row><row r="1644"><cell r="C1644" t="str"><v>43293INSTAGRAM»USA-Trial-ITD-Trial Lookalike-AZR-AZR»1 x 1»SocialBan»CAN»ALL»CPA»LAL»X»NA»SS»NA»IGCTCBrandinMotion»PRC2FH</v></cell><cell r="D1644" t="str"><v>43293223935019</v></cell><cell r="E1644" t="str"><v>43293103050783PRC2FH</v></cell><cell r="F1644" t="str"><v>DCM</v></cell><cell r="G1644" t="str"><v>https://signup.azure.com/?OCID=AID%eexcid!_OLA_%ebuy!_%epid!_%ecid!</v></cell></row><row r="1644"><cell r="K1644" t="str"><v>July</v></cell><cell r="L1644"><v>43295</v></cell><cell r="M1644" t="str"><v>Tier 0</v></cell><cell r="N1644" t="str"><v>North America</v></cell><cell r="O1644" t="str"><v>United States</v></cell><cell r="P1644" t="str"><v>Trial</v></cell><cell r="Q1644" t="str"><v>Social</v></cell><cell r="R1644" t="str"><v>Azure</v></cell><cell r="S1644" t="str"><v>Apps & Infra</v></cell><cell r="T1644" t="str"><v>Developers & ITI's</v></cell><cell r="U1644" t="str"><v>USA-Trial-ITD-Trial Lookalike-AZR-AZR</v></cell><cell r="V1644" t="str"><v>Lookalike Targeting</v></cell><cell r="W1644" t="str"><v>Canvas Ad</v></cell><cell r="X1644" t="str"><v>1x1</v></cell></row><row r="1644"><cell r="AA1644"><v>43293</v></cell><cell r="AB1644" t="str"><v>USA_gaPMG_AZR_AZR_Q1_19_Direct-Social</v></cell><cell r="AC1644"><v>21358715</v></cell><cell r="AD1644"><v>720197</v></cell><cell r="AE1644" t="str"><v>Facebook - Instagram</v></cell><cell r="AF1644"><v>3654128</v></cell><cell r="AG1644" t="str"><v>INSTAGRAM»USA-Trial-ITD-Trial Lookalike-AZR-AZR»1 x 1»SocialBan»CAN»ALL»CPA»LAL»X»NA»SS»NA»IGCTCBrandinMotion»PRC2FH</v></cell><cell r="AH1644"><v>223935019</v></cell><cell r="AI1644" t="str"><v>AzurePlatform_IGCTCBenefit2inMotion_USA_10s_CAN_PLATFORM_English_Trial_Standard_STAN_TIN_T4_1</v></cell><cell r="AJ1644"><v>103050783</v></cell></row><row r="1645"><cell r="C1645" t="str"><v>43293INSTAGRAM»USA-Trial-ITD-Trial Lookalike-AZR-AZR»1 x 1»SocialBan»CAN»ALL»CPA»LAL»X»NA»SS»NA»IGCTCBrandinMotion»PRC2FH</v></cell><cell r="D1645" t="str"><v>43293223935019</v></cell><cell r="E1645" t="str"><v>43293103178714PRC2FH</v></cell><cell r="F1645" t="str"><v>DCM</v></cell><cell r="G1645" t="str"><v>https://azure.microsoft.com/en-us/pricing/purchase-options/?v=18.19&OCID=AID%eexcid!_OLA_%ebuy!_%epid!_%ecid!</v></cell></row><row r="1645"><cell r="K1645" t="str"><v>July</v></cell><cell r="L1645"><v>43295</v></cell><cell r="M1645" t="str"><v>Tier 0</v></cell><cell r="N1645" t="str"><v>North America</v></cell><cell r="O1645" t="str"><v>United States</v></cell><cell r="P1645" t="str"><v>Trial</v></cell><cell r="Q1645" t="str"><v>Social</v></cell><cell r="R1645" t="str"><v>Azure</v></cell><cell r="S1645" t="str"><v>Apps & Infra</v></cell><cell r="T1645" t="str"><v>Developers & ITI's</v></cell><cell r="U1645" t="str"><v>USA-Trial-ITD-Trial Lookalike-AZR-AZR</v></cell><cell r="V1645" t="str"><v>Lookalike Targeting</v></cell><cell r="W1645" t="str"><v>Canvas Ad</v></cell><cell r="X1645" t="str"><v>1x1</v></cell></row><row r="1645"><cell r="AA1645"><v>43293</v></cell><cell r="AB1645" t="str"><v>USA_gaPMG_AZR_AZR_Q1_19_Direct-Social</v></cell><cell r="AC1645"><v>21358715</v></cell><cell r="AD1645"><v>720197</v></cell><cell r="AE1645" t="str"><v>Facebook - Instagram</v></cell><cell r="AF1645"><v>3654128</v></cell><cell r="AG1645" t="str"><v>INSTAGRAM»USA-Trial-ITD-Trial Lookalike-AZR-AZR»1 x 1»SocialBan»CAN»ALL»CPA»LAL»X»NA»SS»NA»IGCTCBrandinMotion»PRC2FH</v></cell><cell r="AH1645"><v>223935019</v></cell><cell r="AI1645" t="str"><v>AzurePlatform_IGCTCBenefit2inMotion_USA_10s_CAN_PLATFORM_English_Trial_Standard_STAN_TIN_T4_2</v></cell><cell r="AJ1645"><v>103178714</v></cell></row><row r="1646"><cell r="C1646" t="str"><v>43293INSTAGRAM»USA-Trial-ITD-Trial PayGo Lookalike-AZR-AZR»1 x 1»SocialBan»CAN»ALL»CPA»LAL»X»NA»SS»NA»IGCTCBenefit2inMotion»PRC2FZ</v></cell><cell r="D1646" t="str"><v>43293223933075</v></cell><cell r="E1646" t="str"><v>43293103180628PRC2FZ</v></cell><cell r="F1646" t="str"><v>DCM</v></cell><cell r="G1646" t="str"><v>https://signup.azure.com/?OCID=AID%eexcid!_OLA_%ebuy!_%epid!_%ecid!</v></cell></row><row r="1646"><cell r="K1646" t="str"><v>July</v></cell><cell r="L1646"><v>43295</v></cell><cell r="M1646" t="str"><v>Tier 0</v></cell><cell r="N1646" t="str"><v>North America</v></cell><cell r="O1646" t="str"><v>United States</v></cell><cell r="P1646" t="str"><v>Trial</v></cell><cell r="Q1646" t="str"><v>Social</v></cell><cell r="R1646" t="str"><v>Azure</v></cell><cell r="S1646" t="str"><v>Apps & Infra</v></cell><cell r="T1646" t="str"><v>Developers & ITI's</v></cell><cell r="U1646" t="str"><v>USA-Trial-ITD-Trial PayGo Lookalike-AZR-AZR</v></cell><cell r="V1646" t="str"><v>Lookalike Targeting</v></cell><cell r="W1646" t="str"><v>Canvas Ad</v></cell><cell r="X1646" t="str"><v>1x1</v></cell></row><row r="1646"><cell r="AA1646"><v>43293</v></cell><cell r="AB1646" t="str"><v>USA_gaPMG_AZR_AZR_Q1_19_Direct-Social</v></cell><cell r="AC1646"><v>21358715</v></cell><cell r="AD1646"><v>720197</v></cell><cell r="AE1646" t="str"><v>Facebook - Instagram</v></cell><cell r="AF1646"><v>3654128</v></cell><cell r="AG1646" t="str"><v>INSTAGRAM»USA-Trial-ITD-Trial PayGo Lookalike-AZR-AZR»1 x 1»SocialBan»CAN»ALL»CPA»LAL»X»NA»SS»NA»IGCTCBenefit2inMotion»PRC2FZ</v></cell><cell r="AH1646"><v>223933075</v></cell><cell r="AI1646" t="str"><v>AzurePlatform_IGCTCBrandinMotion_USA_10s_CAN_PLATFORM_English_Trial_Standard_STAN_TIN_T2_1</v></cell><cell r="AJ1646"><v>103180628</v></cell></row><row r="1647"><cell r="C1647" t="str"><v>43293INSTAGRAM»USA-Trial-ITD-Trial PayGo Lookalike-AZR-AZR»1 x 1»SocialBan»CAN»ALL»CPA»LAL»X»NA»SS»NA»IGCTCBenefit2inMotion»PRC2FZ</v></cell><cell r="D1647" t="str"><v>43293223933075</v></cell><cell r="E1647" t="str"><v>43293103050786PRC2FZ</v></cell><cell r="F1647" t="str"><v>DCM</v></cell><cell r="G1647" t="str"><v>https://azure.microsoft.com/en-us/pricing/purchase-options/?v=18.19&OCID=AID%eexcid!_OLA_%ebuy!_%epid!_%ecid!</v></cell></row><row r="1647"><cell r="K1647" t="str"><v>July</v></cell><cell r="L1647"><v>43295</v></cell><cell r="M1647" t="str"><v>Tier 0</v></cell><cell r="N1647" t="str"><v>North America</v></cell><cell r="O1647" t="str"><v>United States</v></cell><cell r="P1647" t="str"><v>Trial</v></cell><cell r="Q1647" t="str"><v>Social</v></cell><cell r="R1647" t="str"><v>Azure</v></cell><cell r="S1647" t="str"><v>Apps & Infra</v></cell><cell r="T1647" t="str"><v>Developers & ITI's</v></cell><cell r="U1647" t="str"><v>USA-Trial-ITD-Trial PayGo Lookalike-AZR-AZR</v></cell><cell r="V1647" t="str"><v>Lookalike Targeting</v></cell><cell r="W1647" t="str"><v>Canvas Ad</v></cell><cell r="X1647" t="str"><v>1x1</v></cell></row><row r="1647"><cell r="AA1647"><v>43293</v></cell><cell r="AB1647" t="str"><v>USA_gaPMG_AZR_AZR_Q1_19_Direct-Social</v></cell><cell r="AC1647"><v>21358715</v></cell><cell r="AD1647"><v>720197</v></cell><cell r="AE1647" t="str"><v>Facebook - Instagram</v></cell><cell r="AF1647"><v>3654128</v></cell><cell r="AG1647" t="str"><v>INSTAGRAM»USA-Trial-ITD-Trial PayGo Lookalike-AZR-AZR»1 x 1»SocialBan»CAN»ALL»CPA»LAL»X»NA»SS»NA»IGCTCBenefit2inMotion»PRC2FZ</v></cell><cell r="AH1647"><v>223933075</v></cell><cell r="AI1647" t="str"><v>AzurePlatform_IGCTCBrandinMotion_USA_10s_CAN_PLATFORM_English_Trial_Standard_STAN_TIN_T2_2</v></cell><cell r="AJ1647"><v>103050786</v></cell></row><row r="1648"><cell r="C1648" t="str"><v>43293INSTAGRAM»USA-Trial-ITD-Interest Prospecting-AZR-AZR»1 x 1»SocialBan»CAN»ALL»CPA»PRO»X»NA»SS»NA»IGCTCBasicMotion»PRC2PF</v></cell><cell r="D1648" t="str"><v>43293224106621</v></cell><cell r="E1648" t="str"><v>43293103037968PRC2PF</v></cell><cell r="F1648" t="str"><v>DCM</v></cell><cell r="G1648" t="str"><v>https://signup.azure.com/?OCID=AID%eexcid!_OLA_%ebuy!_%epid!_%ecid!</v></cell></row><row r="1648"><cell r="K1648" t="str"><v>July</v></cell><cell r="L1648"><v>43295</v></cell><cell r="M1648" t="str"><v>Tier 0</v></cell><cell r="N1648" t="str"><v>North America</v></cell><cell r="O1648" t="str"><v>United States</v></cell><cell r="P1648" t="str"><v>Trial</v></cell><cell r="Q1648" t="str"><v>Social</v></cell><cell r="R1648" t="str"><v>Azure</v></cell><cell r="S1648" t="str"><v>Apps & Infra</v></cell><cell r="T1648" t="str"><v>Developers & ITI's</v></cell><cell r="U1648" t="str"><v>USA-Trial-ITD-Interest Prospecting-AZR-AZR</v></cell><cell r="V1648" t="str"><v>Prospecting</v></cell><cell r="W1648" t="str"><v>Canvas Ad</v></cell><cell r="X1648" t="str"><v>1x1</v></cell></row><row r="1648"><cell r="AA1648"><v>43293</v></cell><cell r="AB1648" t="str"><v>USA_gaPMG_AZR_AZR_Q1_19_Direct-Social</v></cell><cell r="AC1648"><v>21358715</v></cell><cell r="AD1648"><v>720197</v></cell><cell r="AE1648" t="str"><v>Facebook - Instagram</v></cell><cell r="AF1648"><v>3654128</v></cell><cell r="AG1648" t="str"><v>INSTAGRAM»USA-Trial-ITD-Interest Prospecting-AZR-AZR»1 x 1»SocialBan»CAN»ALL»CPA»PRO»X»NA»SS»NA»IGCTCBasicMotion»PRC2PF</v></cell><cell r="AH1648"><v>224106621</v></cell><cell r="AI1648" t="str"><v>AzurePlatform_IGCTCBasicMotion_USA_10s_CAN_PLATFORM_English_Trial_Standard_STAN_TIN_T1_1</v></cell><cell r="AJ1648"><v>103037968</v></cell></row><row r="1649"><cell r="C1649" t="str"><v>43293INSTAGRAM»USA-Trial-ITD-Trial Lookalike-AZR-AZR»1 x 1»SocialBan»CAN»ALL»CPA»LAL»X»NA»SS»NA»IGCTCBasicMotion»PRC0C2</v></cell><cell r="D1649" t="str"><v>43293224107017</v></cell><cell r="E1649" t="str"><v>43293103037968PRC0C2</v></cell><cell r="F1649" t="str"><v>DCM</v></cell><cell r="G1649" t="str"><v>https://signup.azure.com/?OCID=AID%eexcid!_OLA_%ebuy!_%epid!_%ecid!</v></cell></row><row r="1649"><cell r="K1649" t="str"><v>July</v></cell><cell r="L1649"><v>43295</v></cell><cell r="M1649" t="str"><v>Tier 0</v></cell><cell r="N1649" t="str"><v>North America</v></cell><cell r="O1649" t="str"><v>United States</v></cell><cell r="P1649" t="str"><v>Trial</v></cell><cell r="Q1649" t="str"><v>Social</v></cell><cell r="R1649" t="str"><v>Azure</v></cell><cell r="S1649" t="str"><v>Apps & Infra</v></cell><cell r="T1649" t="str"><v>Developers & ITI's</v></cell><cell r="U1649" t="str"><v>USA-Trial-ITD-Trial Lookalike-AZR-AZR</v></cell><cell r="V1649" t="str"><v>Lookalike Targeting</v></cell><cell r="W1649" t="str"><v>Canvas Ad</v></cell><cell r="X1649" t="str"><v>1x1</v></cell></row><row r="1649"><cell r="AA1649"><v>43293</v></cell><cell r="AB1649" t="str"><v>USA_gaPMG_AZR_AZR_Q1_19_Direct-Social</v></cell><cell r="AC1649"><v>21358715</v></cell><cell r="AD1649"><v>720197</v></cell><cell r="AE1649" t="str"><v>Facebook - Instagram</v></cell><cell r="AF1649"><v>3654128</v></cell><cell r="AG1649" t="str"><v>INSTAGRAM»USA-Trial-ITD-Trial Lookalike-AZR-AZR»1 x 1»SocialBan»CAN»ALL»CPA»LAL»X»NA»SS»NA»IGCTCBasicMotion»PRC0C2</v></cell><cell r="AH1649"><v>224107017</v></cell><cell r="AI1649" t="str"><v>AzurePlatform_IGCTCBasicMotion_USA_10s_CAN_PLATFORM_English_Trial_Standard_STAN_TIN_T1_1</v></cell><cell r="AJ1649"><v>103037968</v></cell></row><row r="1650"><cell r="C1650" t="str"><v>43293INSTAGRAM»USA-Trial-ITD-Trial Lookalike-AZR-AZR»1 x 1»SocialBan»CAN»ALL»CPA»LAL»X»NA»SS»NA»IGCTCBenefitinMotion»PRC2FK</v></cell><cell r="D1650" t="str"><v>43293224107542</v></cell><cell r="E1650" t="str"><v>43293103050780PRC2FK</v></cell><cell r="F1650" t="str"><v>DCM</v></cell><cell r="G1650" t="str"><v>https://signup.azure.com/?OCID=AID%eexcid!_OLA_%ebuy!_%epid!_%ecid!</v></cell></row><row r="1650"><cell r="K1650" t="str"><v>July</v></cell><cell r="L1650"><v>43295</v></cell><cell r="M1650" t="str"><v>Tier 0</v></cell><cell r="N1650" t="str"><v>North America</v></cell><cell r="O1650" t="str"><v>United States</v></cell><cell r="P1650" t="str"><v>Trial</v></cell><cell r="Q1650" t="str"><v>Social</v></cell><cell r="R1650" t="str"><v>Azure</v></cell><cell r="S1650" t="str"><v>Apps & Infra</v></cell><cell r="T1650" t="str"><v>Developers & ITI's</v></cell><cell r="U1650" t="str"><v>USA-Trial-ITD-Trial Lookalike-AZR-AZR</v></cell><cell r="V1650" t="str"><v>Lookalike Targeting</v></cell><cell r="W1650" t="str"><v>Canvas Ad</v></cell><cell r="X1650" t="str"><v>1x1</v></cell></row><row r="1650"><cell r="AA1650"><v>43293</v></cell><cell r="AB1650" t="str"><v>USA_gaPMG_AZR_AZR_Q1_19_Direct-Social</v></cell><cell r="AC1650"><v>21358715</v></cell><cell r="AD1650"><v>720197</v></cell><cell r="AE1650" t="str"><v>Facebook - Instagram</v></cell><cell r="AF1650"><v>3654128</v></cell><cell r="AG1650" t="str"><v>INSTAGRAM»USA-Trial-ITD-Trial Lookalike-AZR-AZR»1 x 1»SocialBan»CAN»ALL»CPA»LAL»X»NA»SS»NA»IGCTCBenefitinMotion»PRC2FK</v></cell><cell r="AH1650"><v>224107542</v></cell><cell r="AI1650" t="str"><v>AzurePlatform_IGCTCBenefitinMotion_USA_10s_CAN_PLATFORM_English_Trial_Standard_STAN_TIN_T3_1</v></cell><cell r="AJ1650"><v>103050780</v></cell></row><row r="1651"><cell r="C1651" t="str"><v>43293INSTAGRAM»USA-Trial-ITD-Trial PayGo Lookalike-AZR-AZR»1 x 1»SocialBan»CAN»ALL»CPA»LAL»X»NA»SS»NA»IGCTCBasicMotion»PRC2G0</v></cell><cell r="D1651" t="str"><v>43293224106891</v></cell><cell r="E1651" t="str"><v>43293103037968PRC2G0</v></cell><cell r="F1651" t="str"><v>DCM</v></cell><cell r="G1651" t="str"><v>https://signup.azure.com/?OCID=AID%eexcid!_OLA_%ebuy!_%epid!_%ecid!</v></cell></row><row r="1651"><cell r="K1651" t="str"><v>July</v></cell><cell r="L1651"><v>43295</v></cell><cell r="M1651" t="str"><v>Tier 0</v></cell><cell r="N1651" t="str"><v>North America</v></cell><cell r="O1651" t="str"><v>United States</v></cell><cell r="P1651" t="str"><v>Trial</v></cell><cell r="Q1651" t="str"><v>Social</v></cell><cell r="R1651" t="str"><v>Azure</v></cell><cell r="S1651" t="str"><v>Apps & Infra</v></cell><cell r="T1651" t="str"><v>Developers & ITI's</v></cell><cell r="U1651" t="str"><v>USA-Trial-ITD-Trial PayGo Lookalike-AZR-AZR</v></cell><cell r="V1651" t="str"><v>Lookalike Targeting</v></cell><cell r="W1651" t="str"><v>Canvas Ad</v></cell><cell r="X1651" t="str"><v>1x1</v></cell></row><row r="1651"><cell r="AA1651"><v>43293</v></cell><cell r="AB1651" t="str"><v>USA_gaPMG_AZR_AZR_Q1_19_Direct-Social</v></cell><cell r="AC1651"><v>21358715</v></cell><cell r="AD1651"><v>720197</v></cell><cell r="AE1651" t="str"><v>Facebook - Instagram</v></cell><cell r="AF1651"><v>3654128</v></cell><cell r="AG1651" t="str"><v>INSTAGRAM»USA-Trial-ITD-Trial PayGo Lookalike-AZR-AZR»1 x 1»SocialBan»CAN»ALL»CPA»LAL»X»NA»SS»NA»IGCTCBasicMotion»PRC2G0</v></cell><cell r="AH1651"><v>224106891</v></cell><cell r="AI1651" t="str"><v>AzurePlatform_IGCTCBasicMotion_USA_10s_CAN_PLATFORM_English_Trial_Standard_STAN_TIN_T1_1</v></cell><cell r="AJ1651"><v>103037968</v></cell></row><row r="1652"><cell r="C1652" t="str"><v>43293INSTAGRAM»USA-Trial-ITD-Trial PayGo Lookalike-AZR-AZR»1 x 1»SocialBan»CAN»ALL»CPA»LAL»X»NA»SS»NA»IGCTCBenefitinMotion»PRC2FX</v></cell><cell r="D1652" t="str"><v>43293223933999</v></cell><cell r="E1652" t="str"><v>43293103050780PRC2FX</v></cell><cell r="F1652" t="str"><v>DCM</v></cell><cell r="G1652" t="str"><v>https://signup.azure.com/?OCID=AID%eexcid!_OLA_%ebuy!_%epid!_%ecid!</v></cell></row><row r="1652"><cell r="K1652" t="str"><v>July</v></cell><cell r="L1652"><v>43295</v></cell><cell r="M1652" t="str"><v>Tier 0</v></cell><cell r="N1652" t="str"><v>North America</v></cell><cell r="O1652" t="str"><v>United States</v></cell><cell r="P1652" t="str"><v>Trial</v></cell><cell r="Q1652" t="str"><v>Social</v></cell><cell r="R1652" t="str"><v>Azure</v></cell><cell r="S1652" t="str"><v>Apps & Infra</v></cell><cell r="T1652" t="str"><v>Developers & ITI's</v></cell><cell r="U1652" t="str"><v>USA-Trial-ITD-Trial PayGo Lookalike-AZR-AZR</v></cell><cell r="V1652" t="str"><v>Lookalike Targeting</v></cell><cell r="W1652" t="str"><v>Canvas Ad</v></cell><cell r="X1652" t="str"><v>1x1</v></cell></row><row r="1652"><cell r="AA1652"><v>43293</v></cell><cell r="AB1652" t="str"><v>USA_gaPMG_AZR_AZR_Q1_19_Direct-Social</v></cell><cell r="AC1652"><v>21358715</v></cell><cell r="AD1652"><v>720197</v></cell><cell r="AE1652" t="str"><v>Facebook - Instagram</v></cell><cell r="AF1652"><v>3654128</v></cell><cell r="AG1652" t="str"><v>INSTAGRAM»USA-Trial-ITD-Trial PayGo Lookalike-AZR-AZR»1 x 1»SocialBan»CAN»ALL»CPA»LAL»X»NA»SS»NA»IGCTCBenefitinMotion»PRC2FX</v></cell><cell r="AH1652"><v>223933999</v></cell><cell r="AI1652" t="str"><v>AzurePlatform_IGCTCBenefitinMotion_USA_10s_CAN_PLATFORM_English_Trial_Standard_STAN_TIN_T3_1</v></cell><cell r="AJ1652"><v>103050780</v></cell></row><row r="1653"><cell r="C1653" t="str"><v>43294Facebook»Audience & Interest Targeting»1x1»Canvas»OTH»DT»DYN»AUT»W»NA»SS»NA»FBCTCcanvaspage-StartFreeCTA_FBCTCcanvaspage-BuyNowCTA</v></cell><cell r="D1653" t="str"><v>43294224639151</v></cell><cell r="E1653" t="str"><v>43294103316832NowCTA</v></cell><cell r="F1653" t="str"><v>DCM</v></cell><cell r="G1653" t="str"><v>https://azure.microsoft.com/en-au/pricing/purchase-options/</v></cell></row><row r="1653"><cell r="K1653" t="str"><v>July</v></cell><cell r="L1653"><v>43295</v></cell><cell r="M1653" t="str"><v>Tier 1</v></cell><cell r="N1653" t="str"><v>APAC</v></cell><cell r="O1653" t="str"><v>Australia</v></cell><cell r="P1653" t="str"><v>Trial</v></cell><cell r="Q1653" t="str"><v>Social</v></cell><cell r="R1653" t="str"><v>Azure</v></cell><cell r="S1653" t="str"><v>Apps & Infra</v></cell><cell r="T1653" t="str"><v>Developers & ITI's</v></cell><cell r="U1653" t="str"><v>Audience & Interest Targeting</v></cell><cell r="V1653" t="str"><v>Audience Targeting</v></cell><cell r="W1653" t="str"><v>Other</v></cell><cell r="X1653" t="str"><v>1x1</v></cell></row><row r="1653"><cell r="AA1653"><v>43294</v></cell><cell r="AB1653" t="str"><v>AUS_gaPMG_AZR_AZR_Q1_19_Trial-Social</v></cell><cell r="AC1653"><v>21358568</v></cell><cell r="AD1653"><v>720191</v></cell><cell r="AE1653" t="str"><v>Facebook</v></cell><cell r="AF1653"><v>3654128</v></cell><cell r="AG1653" t="str"><v>Facebook»Audience & Interest Targeting»1x1»Canvas»OTH»DT»DYN»AUT»W»NA»SS»NA»FBCTCcanvaspage-StartFreeCTA_FBCTCcanvaspage-BuyNowCTA</v></cell><cell r="AH1653"><v>224639151</v></cell><cell r="AI1653" t="str"><v>AzurePlatform_FBCTCcanvaspage-BuyNowCTA-Img3_AUS_1080x162_SOC_Plat_English_NA_Standard_NA_BN_T3_1</v></cell><cell r="AJ1653"><v>103316832</v></cell></row><row r="1654"><cell r="C1654" t="str"><v>43294Facebook»Audience & Interest Targeting»1x1»Canvas»OTH»DT»DYN»AUT»W»NA»SS»NA»FBCTCcanvaspage-StartFreeCTA_FBCTCcanvaspage-BuyNowCTA</v></cell><cell r="D1654" t="str"><v>43294224639151</v></cell><cell r="E1654" t="str"><v>43294103316829NowCTA</v></cell><cell r="F1654" t="str"><v>DCM</v></cell><cell r="G1654" t="str"><v>https://signup.azure.com/signup?offer=ms-azr-0044p&appId=102&ref=paidmedia-social-fb&redirectURL=https%3a%2f%2fazure.microsoft.com%2fen-au%2fget-started%2fwelcome-to-azure%2f&l=en-au&correlationId=ead86c34-1f10-49dd-a72b-6918462a2cbf</v></cell></row><row r="1654"><cell r="K1654" t="str"><v>July</v></cell><cell r="L1654"><v>43295</v></cell><cell r="M1654" t="str"><v>Tier 1</v></cell><cell r="N1654" t="str"><v>APAC</v></cell><cell r="O1654" t="str"><v>Australia</v></cell><cell r="P1654" t="str"><v>Trial</v></cell><cell r="Q1654" t="str"><v>Social</v></cell><cell r="R1654" t="str"><v>Azure</v></cell><cell r="S1654" t="str"><v>Apps & Infra</v></cell><cell r="T1654" t="str"><v>Developers & ITI's</v></cell><cell r="U1654" t="str"><v>Audience & Interest Targeting</v></cell><cell r="V1654" t="str"><v>Audience Targeting</v></cell><cell r="W1654" t="str"><v>Other</v></cell><cell r="X1654" t="str"><v>1x1</v></cell></row><row r="1654"><cell r="AA1654"><v>43294</v></cell><cell r="AB1654" t="str"><v>AUS_gaPMG_AZR_AZR_Q1_19_Trial-Social</v></cell><cell r="AC1654"><v>21358568</v></cell><cell r="AD1654"><v>720191</v></cell><cell r="AE1654" t="str"><v>Facebook</v></cell><cell r="AF1654"><v>3654128</v></cell><cell r="AG1654" t="str"><v>Facebook»Audience & Interest Targeting»1x1»Canvas»OTH»DT»DYN»AUT»W»NA»SS»NA»FBCTCcanvaspage-StartFreeCTA_FBCTCcanvaspage-BuyNowCTA</v></cell><cell r="AH1654"><v>224639151</v></cell><cell r="AI1654" t="str"><v>AzurePlatform_FBCTCcanvaspage-StartFreeCTA-Img2_AUS_1080x143 _SOC_Plat_English_NA_Standard_NA_NA_T2_1</v></cell><cell r="AJ1654"><v>103316829</v></cell></row><row r="1655"><cell r="C1655" t="str"><v>43294Facebook»Audience & Interest Targeting»1x1»TextLink»OTH»DT»DYN»AUT»W»NA»SS»NA»Free Account Refresh- 200 Credit ChD</v></cell><cell r="D1655" t="str"><v>43294224160780</v></cell><cell r="E1655" t="str"><v>43294103186904it ChD</v></cell><cell r="F1655" t="str"><v>DCM</v></cell></row><row r="1655"><cell r="K1655" t="str"><v>July</v></cell><cell r="L1655"><v>43295</v></cell><cell r="M1655" t="str"><v>Tier 1</v></cell><cell r="N1655" t="str"><v>APAC</v></cell><cell r="O1655" t="str"><v>Australia</v></cell><cell r="P1655" t="str"><v>Trial</v></cell><cell r="Q1655" t="str"><v>Social</v></cell><cell r="R1655" t="str"><v>Azure</v></cell><cell r="S1655" t="str"><v>Apps & Infra</v></cell><cell r="T1655" t="str"><v>Developers & ITI's</v></cell><cell r="U1655" t="str"><v>Audience & Interest Targeting</v></cell><cell r="V1655" t="str"><v>Audience Targeting</v></cell><cell r="W1655" t="str"><v>Other</v></cell><cell r="X1655" t="str"><v>1x1</v></cell></row><row r="1655"><cell r="AA1655"><v>43294</v></cell><cell r="AB1655" t="str"><v>AUS_gaPMG_AZR_AZR_Q1_19_Trial-Social</v></cell><cell r="AC1655"><v>21358568</v></cell><cell r="AD1655"><v>720191</v></cell><cell r="AE1655" t="str"><v>Facebook</v></cell><cell r="AF1655"><v>3654128</v></cell><cell r="AG1655" t="str"><v>Facebook»Audience & Interest Targeting»1x1»TextLink»OTH»DT»DYN»AUT»W»NA»SS»NA»Free Account Refresh- 200 Credit ChD</v></cell><cell r="AH1655"><v>224160780</v></cell><cell r="AI1655" t="str"><v>AzurePlatform_FreeAcctAppsFACEBOOK200CreditChD_AUS_1200x628_SOC_PLAT_EN_Trial_Standard_NA_SNU_T4_1</v></cell><cell r="AJ1655"><v>103186904</v></cell></row><row r="1656"><cell r="C1656" t="str"><v>43294Facebook»Audience & Interest Targeting»1x1»TextLink»OTH»DT»DYN»AUT»W»NA»SS»NA»Free Account Refresh- Device ChB</v></cell><cell r="D1656" t="str"><v>43294224160777</v></cell><cell r="E1656" t="str"><v>43294103048479ce ChB</v></cell><cell r="F1656" t="str"><v>DCM</v></cell></row><row r="1656"><cell r="K1656" t="str"><v>July</v></cell><cell r="L1656"><v>43295</v></cell><cell r="M1656" t="str"><v>Tier 1</v></cell><cell r="N1656" t="str"><v>APAC</v></cell><cell r="O1656" t="str"><v>Australia</v></cell><cell r="P1656" t="str"><v>Trial</v></cell><cell r="Q1656" t="str"><v>Social</v></cell><cell r="R1656" t="str"><v>Azure</v></cell><cell r="S1656" t="str"><v>Apps & Infra</v></cell><cell r="T1656" t="str"><v>Developers & ITI's</v></cell><cell r="U1656" t="str"><v>Audience & Interest Targeting</v></cell><cell r="V1656" t="str"><v>Audience Targeting</v></cell><cell r="W1656" t="str"><v>Other</v></cell><cell r="X1656" t="str"><v>1x1</v></cell></row><row r="1656"><cell r="AA1656"><v>43294</v></cell><cell r="AB1656" t="str"><v>AUS_gaPMG_AZR_AZR_Q1_19_Trial-Social</v></cell><cell r="AC1656"><v>21358568</v></cell><cell r="AD1656"><v>720191</v></cell><cell r="AE1656" t="str"><v>Facebook</v></cell><cell r="AF1656"><v>3654128</v></cell><cell r="AG1656" t="str"><v>Facebook»Audience & Interest Targeting»1x1»TextLink»OTH»DT»DYN»AUT»W»NA»SS»NA»Free Account Refresh- Device ChB</v></cell><cell r="AH1656"><v>224160777</v></cell><cell r="AI1656" t="str"><v>AzurePlatform_FreeAcctAppsFACEBOOKDeviceChB_AUS_1200x628_SOC_PLAT_EN_Trial_Standard_NA_SNU_T2_1</v></cell><cell r="AJ1656"><v>103048479</v></cell></row><row r="1657"><cell r="C1657" t="str"><v>43294Facebook»Audience & Interest Targeting»1x1»TextLink»OTH»DT»DYN»AUT»W»NA»SS»NA»Free Account Refresh- Illustration ChC</v></cell><cell r="D1657" t="str"><v>43294224160774</v></cell><cell r="E1657" t="str"><v>43294103186910on ChC</v></cell><cell r="F1657" t="str"><v>DCM</v></cell></row><row r="1657"><cell r="K1657" t="str"><v>July</v></cell><cell r="L1657"><v>43295</v></cell><cell r="M1657" t="str"><v>Tier 1</v></cell><cell r="N1657" t="str"><v>APAC</v></cell><cell r="O1657" t="str"><v>Australia</v></cell><cell r="P1657" t="str"><v>Trial</v></cell><cell r="Q1657" t="str"><v>Social</v></cell><cell r="R1657" t="str"><v>Azure</v></cell><cell r="S1657" t="str"><v>Apps & Infra</v></cell><cell r="T1657" t="str"><v>Developers & ITI's</v></cell><cell r="U1657" t="str"><v>Audience & Interest Targeting</v></cell><cell r="V1657" t="str"><v>Audience Targeting</v></cell><cell r="W1657" t="str"><v>Other</v></cell><cell r="X1657" t="str"><v>1x1</v></cell></row><row r="1657"><cell r="AA1657"><v>43294</v></cell><cell r="AB1657" t="str"><v>AUS_gaPMG_AZR_AZR_Q1_19_Trial-Social</v></cell><cell r="AC1657"><v>21358568</v></cell><cell r="AD1657"><v>720191</v></cell><cell r="AE1657" t="str"><v>Facebook</v></cell><cell r="AF1657"><v>3654128</v></cell><cell r="AG1657" t="str"><v>Facebook»Audience & Interest Targeting»1x1»TextLink»OTH»DT»DYN»AUT»W»NA»SS»NA»Free Account Refresh- Illustration ChC</v></cell><cell r="AH1657"><v>224160774</v></cell><cell r="AI1657" t="str"><v>AzurePlatform_FreeAcctAppsFACEBOOKIllustrationChC_AUS_1200x628_SOC_PLAT_EN_Trial_Standard_NA_SNU_T3_1</v></cell><cell r="AJ1657"><v>103186910</v></cell></row><row r="1658"><cell r="C1658" t="str"><v>43294Facebook»AZR»1x1»NA»EGV»ALL»DYN»AUT»D»All»SS»NA»Free Acc CTC - T1 - EN</v></cell><cell r="D1658" t="str"><v>43294223684451</v></cell><cell r="E1658" t="str"><v>432941029018821 - EN</v></cell><cell r="F1658" t="str"><v>DCM</v></cell><cell r="G1658" t="str"><v>https://signup.azure.com/</v></cell></row><row r="1658"><cell r="K1658" t="str"><v>July</v></cell><cell r="L1658"><v>43295</v></cell><cell r="M1658" t="str"><v>Tier 1</v></cell><cell r="N1658" t="str"><v>North America</v></cell><cell r="O1658" t="str"><v>Canada</v></cell><cell r="P1658" t="str"><v>Trial</v></cell><cell r="Q1658" t="str"><v>Social</v></cell><cell r="R1658" t="str"><v>Azure</v></cell><cell r="S1658" t="str"><v>Apps & Infra</v></cell><cell r="T1658" t="str"><v>Developers & ITI's</v></cell><cell r="U1658" t="str"><v>AZR</v></cell><cell r="V1658" t="str"><v>Audience Targeting</v></cell><cell r="W1658" t="str"><v>Engagement Video</v></cell><cell r="X1658" t="str"><v>1x1</v></cell></row><row r="1658"><cell r="AA1658"><v>43294</v></cell><cell r="AB1658" t="str"><v>CAN_gaPMG_AZR_AZR_Q1_19_Trial-Social</v></cell><cell r="AC1658"><v>21337220</v></cell><cell r="AD1658"><v>720192</v></cell><cell r="AE1658" t="str"><v>Facebook</v></cell><cell r="AF1658"><v>3654128</v></cell><cell r="AG1658" t="str"><v>Facebook»AZR»1x1»NA»EGV»ALL»DYN»AUT»D»All»SS»NA»Free Acc CTC - T1 - EN</v></cell><cell r="AH1658"><v>223684451</v></cell><cell r="AI1658" t="str"><v>AzurePlatform_FBCTCBasicMotion_CAN_10s_ISV_PLAT_English_Trial_Standard_STAN_TN_T1_1</v></cell><cell r="AJ1658"><v>102901882</v></cell></row><row r="1659"><cell r="C1659" t="str"><v>43294Facebook»AZR»1x1»NA»EGV»ALL»DYN»AUT»D»All»SS»NA»Free Acc CTC - T1 - FR</v></cell><cell r="D1659" t="str"><v>43294223691801</v></cell><cell r="E1659" t="str"><v>432941030533231 - FR</v></cell><cell r="F1659" t="str"><v>DCM</v></cell><cell r="G1659" t="str"><v>https://signup.azure.com/</v></cell></row><row r="1659"><cell r="K1659" t="str"><v>July</v></cell><cell r="L1659"><v>43295</v></cell><cell r="M1659" t="str"><v>Tier 1</v></cell><cell r="N1659" t="str"><v>North America</v></cell><cell r="O1659" t="str"><v>Canada</v></cell><cell r="P1659" t="str"><v>Trial</v></cell><cell r="Q1659" t="str"><v>Social</v></cell><cell r="R1659" t="str"><v>Azure</v></cell><cell r="S1659" t="str"><v>Apps & Infra</v></cell><cell r="T1659" t="str"><v>Developers & ITI's</v></cell><cell r="U1659" t="str"><v>AZR</v></cell><cell r="V1659" t="str"><v>Audience Targeting</v></cell><cell r="W1659" t="str"><v>Engagement Video</v></cell><cell r="X1659" t="str"><v>1x1</v></cell></row><row r="1659"><cell r="AA1659"><v>43294</v></cell><cell r="AB1659" t="str"><v>CAN_gaPMG_AZR_AZR_Q1_19_Trial-Social</v></cell><cell r="AC1659"><v>21337220</v></cell><cell r="AD1659"><v>720192</v></cell><cell r="AE1659" t="str"><v>Facebook</v></cell><cell r="AF1659"><v>3654128</v></cell><cell r="AG1659" t="str"><v>Facebook»AZR»1x1»NA»EGV»ALL»DYN»AUT»D»All»SS»NA»Free Acc CTC - T1 - FR</v></cell><cell r="AH1659"><v>223691801</v></cell><cell r="AI1659" t="str"><v>AzurePlatform_FBCTCBasicMotion_CAN_10s_ISV_PLAT_FR_Trial_Standard_STAN_TN_T1_1</v></cell><cell r="AJ1659"><v>103053323</v></cell></row><row r="1660"><cell r="C1660" t="str"><v>43294Facebook»AZR»1x1»NA»EGV»ALL»DYN»AUT»D»All»SS»NA»Free Acc CTC - T2 - EN</v></cell><cell r="D1660" t="str"><v>43294223691840</v></cell><cell r="E1660" t="str"><v>432941029029502 - EN</v></cell><cell r="F1660" t="str"><v>DCM</v></cell><cell r="G1660" t="str"><v>https://signup.azure.com/</v></cell></row><row r="1660"><cell r="K1660" t="str"><v>July</v></cell><cell r="L1660"><v>43295</v></cell><cell r="M1660" t="str"><v>Tier 1</v></cell><cell r="N1660" t="str"><v>North America</v></cell><cell r="O1660" t="str"><v>Canada</v></cell><cell r="P1660" t="str"><v>Trial</v></cell><cell r="Q1660" t="str"><v>Social</v></cell><cell r="R1660" t="str"><v>Azure</v></cell><cell r="S1660" t="str"><v>Apps & Infra</v></cell><cell r="T1660" t="str"><v>Developers & ITI's</v></cell><cell r="U1660" t="str"><v>AZR</v></cell><cell r="V1660" t="str"><v>Audience Targeting</v></cell><cell r="W1660" t="str"><v>Engagement Video</v></cell><cell r="X1660" t="str"><v>1x1</v></cell></row><row r="1660"><cell r="AA1660"><v>43294</v></cell><cell r="AB1660" t="str"><v>CAN_gaPMG_AZR_AZR_Q1_19_Trial-Social</v></cell><cell r="AC1660"><v>21337220</v></cell><cell r="AD1660"><v>720192</v></cell><cell r="AE1660" t="str"><v>Facebook</v></cell><cell r="AF1660"><v>3654128</v></cell><cell r="AG1660" t="str"><v>Facebook»AZR»1x1»NA»EGV»ALL»DYN»AUT»D»All»SS»NA»Free Acc CTC - T2 - EN</v></cell><cell r="AH1660"><v>223691840</v></cell><cell r="AI1660" t="str"><v>AzurePlatform_FBCTCBrandinMotion_CAN_12s_ISV_PLAT_English_Trial_Standard_STAN_TN_T2_1</v></cell><cell r="AJ1660"><v>102902950</v></cell></row><row r="1661"><cell r="C1661" t="str"><v>43294Facebook»AZR»1x1»NA»EGV»ALL»DYN»AUT»D»All»SS»NA»Free Acc CTC - T2 - FR</v></cell><cell r="D1661" t="str"><v>43294223691798</v></cell><cell r="E1661" t="str"><v>432941029163472 - FR</v></cell><cell r="F1661" t="str"><v>DCM</v></cell><cell r="G1661" t="str"><v>https://signup.azure.com/</v></cell></row><row r="1661"><cell r="K1661" t="str"><v>July</v></cell><cell r="L1661"><v>43295</v></cell><cell r="M1661" t="str"><v>Tier 1</v></cell><cell r="N1661" t="str"><v>North America</v></cell><cell r="O1661" t="str"><v>Canada</v></cell><cell r="P1661" t="str"><v>Trial</v></cell><cell r="Q1661" t="str"><v>Social</v></cell><cell r="R1661" t="str"><v>Azure</v></cell><cell r="S1661" t="str"><v>Apps & Infra</v></cell><cell r="T1661" t="str"><v>Developers & ITI's</v></cell><cell r="U1661" t="str"><v>AZR</v></cell><cell r="V1661" t="str"><v>Audience Targeting</v></cell><cell r="W1661" t="str"><v>Engagement Video</v></cell><cell r="X1661" t="str"><v>1x1</v></cell></row><row r="1661"><cell r="AA1661"><v>43294</v></cell><cell r="AB1661" t="str"><v>CAN_gaPMG_AZR_AZR_Q1_19_Trial-Social</v></cell><cell r="AC1661"><v>21337220</v></cell><cell r="AD1661"><v>720192</v></cell><cell r="AE1661" t="str"><v>Facebook</v></cell><cell r="AF1661"><v>3654128</v></cell><cell r="AG1661" t="str"><v>Facebook»AZR»1x1»NA»EGV»ALL»DYN»AUT»D»All»SS»NA»Free Acc CTC - T2 - FR</v></cell><cell r="AH1661"><v>223691798</v></cell><cell r="AI1661" t="str"><v>AzurePlatform_FBCTCBrandinMotion_CAN_12s_ISV_PLAT_FR_Trial_Standard_STAN_TN_T2_1</v></cell><cell r="AJ1661"><v>102916347</v></cell></row><row r="1662"><cell r="C1662" t="str"><v>43294Facebook»AZR»1x1»NA»EGV»ALL»DYN»AUT»D»All»SS»NA»Free Acc CTC - T4 - EN</v></cell><cell r="D1662" t="str"><v>43294223691837</v></cell><cell r="E1662" t="str"><v>432941030533144 - EN</v></cell><cell r="F1662" t="str"><v>DCM</v></cell><cell r="G1662" t="str"><v>https://signup.azure.com/</v></cell></row><row r="1662"><cell r="K1662" t="str"><v>July</v></cell><cell r="L1662"><v>43295</v></cell><cell r="M1662" t="str"><v>Tier 1</v></cell><cell r="N1662" t="str"><v>North America</v></cell><cell r="O1662" t="str"><v>Canada</v></cell><cell r="P1662" t="str"><v>Trial</v></cell><cell r="Q1662" t="str"><v>Social</v></cell><cell r="R1662" t="str"><v>Azure</v></cell><cell r="S1662" t="str"><v>Apps & Infra</v></cell><cell r="T1662" t="str"><v>Developers & ITI's</v></cell><cell r="U1662" t="str"><v>AZR</v></cell><cell r="V1662" t="str"><v>Audience Targeting</v></cell><cell r="W1662" t="str"><v>Engagement Video</v></cell><cell r="X1662" t="str"><v>1x1</v></cell></row><row r="1662"><cell r="AA1662"><v>43294</v></cell><cell r="AB1662" t="str"><v>CAN_gaPMG_AZR_AZR_Q1_19_Trial-Social</v></cell><cell r="AC1662"><v>21337220</v></cell><cell r="AD1662"><v>720192</v></cell><cell r="AE1662" t="str"><v>Facebook</v></cell><cell r="AF1662"><v>3654128</v></cell><cell r="AG1662" t="str"><v>Facebook»AZR»1x1»NA»EGV»ALL»DYN»AUT»D»All»SS»NA»Free Acc CTC - T4 - EN</v></cell><cell r="AH1662"><v>223691837</v></cell><cell r="AI1662" t="str"><v>AzurePlatform_FBCTCBenefit2inMotion_CAN_14s_ISV_PLAT_English_Trial_Standard_STAN_TN_T4_1</v></cell><cell r="AJ1662"><v>103053314</v></cell></row><row r="1663"><cell r="C1663" t="str"><v>43294Facebook»AZR»1x1»NA»EGV»ALL»DYN»AUT»D»All»SS»NA»Free Acc CTC - T4 - FR</v></cell><cell r="D1663" t="str"><v>43294223691795</v></cell><cell r="E1663" t="str"><v>432941029006884 - FR</v></cell><cell r="F1663" t="str"><v>DCM</v></cell><cell r="G1663" t="str"><v>https://signup.azure.com/</v></cell></row><row r="1663"><cell r="K1663" t="str"><v>July</v></cell><cell r="L1663"><v>43295</v></cell><cell r="M1663" t="str"><v>Tier 1</v></cell><cell r="N1663" t="str"><v>North America</v></cell><cell r="O1663" t="str"><v>Canada</v></cell><cell r="P1663" t="str"><v>Trial</v></cell><cell r="Q1663" t="str"><v>Social</v></cell><cell r="R1663" t="str"><v>Azure</v></cell><cell r="S1663" t="str"><v>Apps & Infra</v></cell><cell r="T1663" t="str"><v>Developers & ITI's</v></cell><cell r="U1663" t="str"><v>AZR</v></cell><cell r="V1663" t="str"><v>Audience Targeting</v></cell><cell r="W1663" t="str"><v>Engagement Video</v></cell><cell r="X1663" t="str"><v>1x1</v></cell></row><row r="1663"><cell r="AA1663"><v>43294</v></cell><cell r="AB1663" t="str"><v>CAN_gaPMG_AZR_AZR_Q1_19_Trial-Social</v></cell><cell r="AC1663"><v>21337220</v></cell><cell r="AD1663"><v>720192</v></cell><cell r="AE1663" t="str"><v>Facebook</v></cell><cell r="AF1663"><v>3654128</v></cell><cell r="AG1663" t="str"><v>Facebook»AZR»1x1»NA»EGV»ALL»DYN»AUT»D»All»SS»NA»Free Acc CTC - T4 - FR</v></cell><cell r="AH1663"><v>223691795</v></cell><cell r="AI1663" t="str"><v>AzurePlatform_FBCTCBenefit2inMotion_CAN_14s_ISV_PLAT_FR_Trial_Standard_STAN_TN_T4_1</v></cell><cell r="AJ1663"><v>102900688</v></cell></row><row r="1664"><cell r="C1664" t="str"><v>43294Facebook»AZR»1x1»SocialBan»NA»ALL»DYN»AUT»D»All»SS»NA»Free Acc Refresh - T1 - EN</v></cell><cell r="D1664" t="str"><v>43294223691804</v></cell><cell r="E1664" t="str"><v>432941030587171 - EN</v></cell><cell r="F1664" t="str"><v>DCM</v></cell><cell r="G1664" t="str"><v>https://azure.microsoft.com/en-CA/free/search/</v></cell></row><row r="1664"><cell r="K1664" t="str"><v>July</v></cell><cell r="L1664"><v>43295</v></cell><cell r="M1664" t="str"><v>Tier 1</v></cell><cell r="N1664" t="str"><v>North America</v></cell><cell r="O1664" t="str"><v>Canada</v></cell><cell r="P1664" t="str"><v>Trial</v></cell><cell r="Q1664" t="str"><v>Social</v></cell><cell r="R1664" t="str"><v>Azure</v></cell><cell r="S1664" t="str"><v>Apps & Infra</v></cell><cell r="T1664" t="str"><v>Developers & ITI's</v></cell><cell r="U1664" t="str"><v>AZR</v></cell><cell r="V1664" t="str"><v>Audience Targeting</v></cell><cell r="W1664" t="str"><v>NotApplicable</v></cell><cell r="X1664" t="str"><v>1x1</v></cell></row><row r="1664"><cell r="AA1664"><v>43294</v></cell><cell r="AB1664" t="str"><v>CAN_gaPMG_AZR_AZR_Q1_19_Trial-Social</v></cell><cell r="AC1664"><v>21337220</v></cell><cell r="AD1664"><v>720192</v></cell><cell r="AE1664" t="str"><v>Facebook</v></cell><cell r="AF1664"><v>3654128</v></cell><cell r="AG1664" t="str"><v>Facebook»AZR»1x1»SocialBan»NA»ALL»DYN»AUT»D»All»SS»NA»Free Acc Refresh - T1 - EN</v></cell><cell r="AH1664"><v>223691804</v></cell><cell r="AI1664" t="str"><v>AzurePlatform_FreeAcctAppsFACEBOOKLifestyleChA_CAN_1200x628_SOC_PLAT_EN_Trial_Standard_NA_SU_T1_1.png</v></cell><cell r="AJ1664"><v>103058717</v></cell></row><row r="1665"><cell r="C1665" t="str"><v>43294Facebook»AZR»1x1»SocialBan»NA»ALL»DYN»AUT»D»All»SS»NA»Free Acc Refresh - T2 - EN</v></cell><cell r="D1665" t="str"><v>43294223691810</v></cell><cell r="E1665" t="str"><v>432941030587112 - EN</v></cell><cell r="F1665" t="str"><v>DCM</v></cell><cell r="G1665" t="str"><v>https://azure.microsoft.com/en-CA/free/search/</v></cell></row><row r="1665"><cell r="K1665" t="str"><v>July</v></cell><cell r="L1665"><v>43295</v></cell><cell r="M1665" t="str"><v>Tier 1</v></cell><cell r="N1665" t="str"><v>North America</v></cell><cell r="O1665" t="str"><v>Canada</v></cell><cell r="P1665" t="str"><v>Trial</v></cell><cell r="Q1665" t="str"><v>Social</v></cell><cell r="R1665" t="str"><v>Azure</v></cell><cell r="S1665" t="str"><v>Apps & Infra</v></cell><cell r="T1665" t="str"><v>Developers & ITI's</v></cell><cell r="U1665" t="str"><v>AZR</v></cell><cell r="V1665" t="str"><v>Audience Targeting</v></cell><cell r="W1665" t="str"><v>NotApplicable</v></cell><cell r="X1665" t="str"><v>1x1</v></cell></row><row r="1665"><cell r="AA1665"><v>43294</v></cell><cell r="AB1665" t="str"><v>CAN_gaPMG_AZR_AZR_Q1_19_Trial-Social</v></cell><cell r="AC1665"><v>21337220</v></cell><cell r="AD1665"><v>720192</v></cell><cell r="AE1665" t="str"><v>Facebook</v></cell><cell r="AF1665"><v>3654128</v></cell><cell r="AG1665" t="str"><v>Facebook»AZR»1x1»SocialBan»NA»ALL»DYN»AUT»D»All»SS»NA»Free Acc Refresh - T2 - EN</v></cell><cell r="AH1665"><v>223691810</v></cell><cell r="AI1665" t="str"><v>AzurePlatform_FreeAcctAppsFACEBOOKDeviceChB_CAN_1200x628_SOC_PLAT_EN_Trial_Standard_NA_SU_T2_1.png</v></cell><cell r="AJ1665"><v>103058711</v></cell></row><row r="1666"><cell r="C1666" t="str"><v>43294Facebook»AZR»1x1»SocialBan»NA»ALL»DYN»AUT»D»All»SS»NA»Free Acc Refresh - T2 - FR</v></cell><cell r="D1666" t="str"><v>43294223691768</v></cell><cell r="E1666" t="str"><v>432941029029712 - FR</v></cell><cell r="F1666" t="str"><v>DCM</v></cell><cell r="G1666" t="str"><v>https://azure.microsoft.com/fr-ca/free/search/</v></cell></row><row r="1666"><cell r="K1666" t="str"><v>July</v></cell><cell r="L1666"><v>43295</v></cell><cell r="M1666" t="str"><v>Tier 1</v></cell><cell r="N1666" t="str"><v>North America</v></cell><cell r="O1666" t="str"><v>Canada</v></cell><cell r="P1666" t="str"><v>Trial</v></cell><cell r="Q1666" t="str"><v>Social</v></cell><cell r="R1666" t="str"><v>Azure</v></cell><cell r="S1666" t="str"><v>Apps & Infra</v></cell><cell r="T1666" t="str"><v>Developers & ITI's</v></cell><cell r="U1666" t="str"><v>AZR</v></cell><cell r="V1666" t="str"><v>Audience Targeting</v></cell><cell r="W1666" t="str"><v>NotApplicable</v></cell><cell r="X1666" t="str"><v>1x1</v></cell></row><row r="1666"><cell r="AA1666"><v>43294</v></cell><cell r="AB1666" t="str"><v>CAN_gaPMG_AZR_AZR_Q1_19_Trial-Social</v></cell><cell r="AC1666"><v>21337220</v></cell><cell r="AD1666"><v>720192</v></cell><cell r="AE1666" t="str"><v>Facebook</v></cell><cell r="AF1666"><v>3654128</v></cell><cell r="AG1666" t="str"><v>Facebook»AZR»1x1»SocialBan»NA»ALL»DYN»AUT»D»All»SS»NA»Free Acc Refresh - T2 - FR</v></cell><cell r="AH1666"><v>223691768</v></cell><cell r="AI1666" t="str"><v>AzurePlatform_FreeAcctAppsFACEBOOKDeviceChB_CAN_1200x628_SOC_PLAT_FR_Trial_Standard_NA_SU_T2_1.png</v></cell><cell r="AJ1666"><v>102902971</v></cell></row><row r="1667"><cell r="C1667" t="str"><v>43294Facebook»AZR»1x1»SocialBan»NA»ALL»DYN»AUT»D»All»SS»NA»Free Acc Refresh - T3 - EN</v></cell><cell r="D1667" t="str"><v>43294223691807</v></cell><cell r="E1667" t="str"><v>432941029006853 - EN</v></cell><cell r="F1667" t="str"><v>DCM</v></cell><cell r="G1667" t="str"><v>https://azure.microsoft.com/en-CA/free/search/</v></cell></row><row r="1667"><cell r="K1667" t="str"><v>July</v></cell><cell r="L1667"><v>43295</v></cell><cell r="M1667" t="str"><v>Tier 1</v></cell><cell r="N1667" t="str"><v>North America</v></cell><cell r="O1667" t="str"><v>Canada</v></cell><cell r="P1667" t="str"><v>Trial</v></cell><cell r="Q1667" t="str"><v>Social</v></cell><cell r="R1667" t="str"><v>Azure</v></cell><cell r="S1667" t="str"><v>Apps & Infra</v></cell><cell r="T1667" t="str"><v>Developers & ITI's</v></cell><cell r="U1667" t="str"><v>AZR</v></cell><cell r="V1667" t="str"><v>Audience Targeting</v></cell><cell r="W1667" t="str"><v>NotApplicable</v></cell><cell r="X1667" t="str"><v>1x1</v></cell></row><row r="1667"><cell r="AA1667"><v>43294</v></cell><cell r="AB1667" t="str"><v>CAN_gaPMG_AZR_AZR_Q1_19_Trial-Social</v></cell><cell r="AC1667"><v>21337220</v></cell><cell r="AD1667"><v>720192</v></cell><cell r="AE1667" t="str"><v>Facebook</v></cell><cell r="AF1667"><v>3654128</v></cell><cell r="AG1667" t="str"><v>Facebook»AZR»1x1»SocialBan»NA»ALL»DYN»AUT»D»All»SS»NA»Free Acc Refresh - T3 - EN</v></cell><cell r="AH1667"><v>223691807</v></cell><cell r="AI1667" t="str"><v>AzurePlatform_FreeAcctAppsFACEBOOKIllustrationChC_CAN_1200x628_SOC_PLAT_EN_Trial_Standard_NA_SU_T3_1.png</v></cell><cell r="AJ1667"><v>102900685</v></cell></row><row r="1668"><cell r="C1668" t="str"><v>43294Facebook»AZR»1x1»SocialBan»NA»ALL»DYN»AUT»D»All»SS»NA»Free Acc Refresh - T4 - EN</v></cell><cell r="D1668" t="str"><v>43294223691813</v></cell><cell r="E1668" t="str"><v>432941030533204 - EN</v></cell><cell r="F1668" t="str"><v>DCM</v></cell><cell r="G1668" t="str"><v>https://azure.microsoft.com/en-CA/free/search/</v></cell></row><row r="1668"><cell r="K1668" t="str"><v>July</v></cell><cell r="L1668"><v>43295</v></cell><cell r="M1668" t="str"><v>Tier 1</v></cell><cell r="N1668" t="str"><v>North America</v></cell><cell r="O1668" t="str"><v>Canada</v></cell><cell r="P1668" t="str"><v>Trial</v></cell><cell r="Q1668" t="str"><v>Social</v></cell><cell r="R1668" t="str"><v>Azure</v></cell><cell r="S1668" t="str"><v>Apps & Infra</v></cell><cell r="T1668" t="str"><v>Developers & ITI's</v></cell><cell r="U1668" t="str"><v>AZR</v></cell><cell r="V1668" t="str"><v>Audience Targeting</v></cell><cell r="W1668" t="str"><v>NotApplicable</v></cell><cell r="X1668" t="str"><v>1x1</v></cell></row><row r="1668"><cell r="AA1668"><v>43294</v></cell><cell r="AB1668" t="str"><v>CAN_gaPMG_AZR_AZR_Q1_19_Trial-Social</v></cell><cell r="AC1668"><v>21337220</v></cell><cell r="AD1668"><v>720192</v></cell><cell r="AE1668" t="str"><v>Facebook</v></cell><cell r="AF1668"><v>3654128</v></cell><cell r="AG1668" t="str"><v>Facebook»AZR»1x1»SocialBan»NA»ALL»DYN»AUT»D»All»SS»NA»Free Acc Refresh - T4 - EN</v></cell><cell r="AH1668"><v>223691813</v></cell><cell r="AI1668" t="str"><v>AzurePlatform_FreeAcctAppsFACEBOOK200CreditChD_CAN_1200x628_SOC_PLAT_EN_Trial_Standard_NA_SU_T4_1.png</v></cell><cell r="AJ1668"><v>103053320</v></cell></row><row r="1669"><cell r="C1669" t="str"><v>43294Facebook»AZR»1x1»SocialBan»NA»ALL»DYN»AUT»D»All»SS»NA»Free Acc Refresh - T4 - FR</v></cell><cell r="D1669" t="str"><v>43294223691771</v></cell><cell r="E1669" t="str"><v>432941029029684 - FR</v></cell><cell r="F1669" t="str"><v>DCM</v></cell><cell r="G1669" t="str"><v>https://azure.microsoft.com/fr-ca/free/search/</v></cell></row><row r="1669"><cell r="K1669" t="str"><v>July</v></cell><cell r="L1669"><v>43295</v></cell><cell r="M1669" t="str"><v>Tier 1</v></cell><cell r="N1669" t="str"><v>North America</v></cell><cell r="O1669" t="str"><v>Canada</v></cell><cell r="P1669" t="str"><v>Trial</v></cell><cell r="Q1669" t="str"><v>Social</v></cell><cell r="R1669" t="str"><v>Azure</v></cell><cell r="S1669" t="str"><v>Apps & Infra</v></cell><cell r="T1669" t="str"><v>Developers & ITI's</v></cell><cell r="U1669" t="str"><v>AZR</v></cell><cell r="V1669" t="str"><v>Audience Targeting</v></cell><cell r="W1669" t="str"><v>NotApplicable</v></cell><cell r="X1669" t="str"><v>1x1</v></cell></row><row r="1669"><cell r="AA1669"><v>43294</v></cell><cell r="AB1669" t="str"><v>CAN_gaPMG_AZR_AZR_Q1_19_Trial-Social</v></cell><cell r="AC1669"><v>21337220</v></cell><cell r="AD1669"><v>720192</v></cell><cell r="AE1669" t="str"><v>Facebook</v></cell><cell r="AF1669"><v>3654128</v></cell><cell r="AG1669" t="str"><v>Facebook»AZR»1x1»SocialBan»NA»ALL»DYN»AUT»D»All»SS»NA»Free Acc Refresh - T4 - FR</v></cell><cell r="AH1669"><v>223691771</v></cell><cell r="AI1669" t="str"><v>AzurePlatform_FreeAcctAppsFACEBOOK200CreditChD_CAN_1200x628_SOC_PLAT_FR_Trial_Standard_NA_SU_T4_1.png</v></cell><cell r="AJ1669"><v>102902968</v></cell></row><row r="1670"><cell r="C1670" t="str"><v>43294Facebook»AZR»1x1»SocialBan»NA»ALL»DYN»AUT»D»All»SS»NA»Free Acc Refresh - T5 - EN</v></cell><cell r="D1670" t="str"><v>43294223691816</v></cell><cell r="E1670" t="str"><v>432941029163415 - EN</v></cell><cell r="F1670" t="str"><v>DCM</v></cell><cell r="G1670" t="str"><v>https://azure.microsoft.com/en-CA/free/search/</v></cell></row><row r="1670"><cell r="K1670" t="str"><v>July</v></cell><cell r="L1670"><v>43295</v></cell><cell r="M1670" t="str"><v>Tier 1</v></cell><cell r="N1670" t="str"><v>North America</v></cell><cell r="O1670" t="str"><v>Canada</v></cell><cell r="P1670" t="str"><v>Trial</v></cell><cell r="Q1670" t="str"><v>Social</v></cell><cell r="R1670" t="str"><v>Azure</v></cell><cell r="S1670" t="str"><v>Apps & Infra</v></cell><cell r="T1670" t="str"><v>Developers & ITI's</v></cell><cell r="U1670" t="str"><v>AZR</v></cell><cell r="V1670" t="str"><v>Audience Targeting</v></cell><cell r="W1670" t="str"><v>NotApplicable</v></cell><cell r="X1670" t="str"><v>1x1</v></cell></row><row r="1670"><cell r="AA1670"><v>43294</v></cell><cell r="AB1670" t="str"><v>CAN_gaPMG_AZR_AZR_Q1_19_Trial-Social</v></cell><cell r="AC1670"><v>21337220</v></cell><cell r="AD1670"><v>720192</v></cell><cell r="AE1670" t="str"><v>Facebook</v></cell><cell r="AF1670"><v>3654128</v></cell><cell r="AG1670" t="str"><v>Facebook»AZR»1x1»SocialBan»NA»ALL»DYN»AUT»D»All»SS»NA»Free Acc Refresh - T5 - EN</v></cell><cell r="AH1670"><v>223691816</v></cell><cell r="AI1670" t="str"><v>AzurePlatform_FreeAcctAppsFACEBOOK12monthsChE_CAN_1200x628_SOC_PLAT_EN_Trial_Standard_NA_SU_T5_1.png</v></cell><cell r="AJ1670"><v>102916341</v></cell></row><row r="1671"><cell r="C1671" t="str"><v>43294Facebook»AZR»1x1»SocialBan»NA»ALL»DYN»RT»D»All»SS»NA» Free Account Retargeting OSS - T1 - EN</v></cell><cell r="D1671" t="str"><v>43294223691828</v></cell><cell r="E1671" t="str"><v>432941029029561 - EN</v></cell><cell r="F1671" t="str"><v>DCM</v></cell><cell r="G1671" t="str"><v>https://azure.microsoft.com/en-ca/free/open-source/search/</v></cell></row><row r="1671"><cell r="K1671" t="str"><v>July</v></cell><cell r="L1671"><v>43295</v></cell><cell r="M1671" t="str"><v>Tier 1</v></cell><cell r="N1671" t="str"><v>North America</v></cell><cell r="O1671" t="str"><v>Canada</v></cell><cell r="P1671" t="str"><v>Trial</v></cell><cell r="Q1671" t="str"><v>Social</v></cell><cell r="R1671" t="str"><v>Azure</v></cell><cell r="S1671" t="str"><v>Apps & Infra</v></cell><cell r="T1671" t="str"><v>Developers & ITI's</v></cell><cell r="U1671" t="str"><v>AZR</v></cell><cell r="V1671" t="str"><v>Retargeting</v></cell><cell r="W1671" t="str"><v>NotApplicable</v></cell><cell r="X1671" t="str"><v>1x1</v></cell></row><row r="1671"><cell r="AA1671"><v>43294</v></cell><cell r="AB1671" t="str"><v>CAN_gaPMG_AZR_AZR_Q1_19_Trial-Social</v></cell><cell r="AC1671"><v>21337220</v></cell><cell r="AD1671"><v>720192</v></cell><cell r="AE1671" t="str"><v>Facebook</v></cell><cell r="AF1671"><v>3654128</v></cell><cell r="AG1671" t="str"><v>Facebook»AZR»1x1»SocialBan»NA»ALL»DYN»RT»D»All»SS»NA» Free Account Retargeting OSS - T1 - EN</v></cell><cell r="AH1671"><v>223691828</v></cell><cell r="AI1671" t="str"><v>AzurePlatform_FreeAcctRetargetingOSSFB-Text-ChF_CAN_1200x628_SOC_Plat_EN_Free Account_Standard_NA_SU_T1_1</v></cell><cell r="AJ1671"><v>102902956</v></cell></row><row r="1672"><cell r="C1672" t="str"><v>43294Facebook»AZR»1x1»SocialBan»NA»ALL»DYN»RT»D»All»SS»NA» Free Account Retargeting OSS - T1 - FR</v></cell><cell r="D1672" t="str"><v>43294223691786</v></cell><cell r="E1672" t="str"><v>432941030587201 - FR</v></cell><cell r="F1672" t="str"><v>DCM</v></cell><cell r="G1672" t="str"><v>https://azure.microsoft.com/fr-ca/free/open-source/search/</v></cell></row><row r="1672"><cell r="K1672" t="str"><v>July</v></cell><cell r="L1672"><v>43295</v></cell><cell r="M1672" t="str"><v>Tier 1</v></cell><cell r="N1672" t="str"><v>North America</v></cell><cell r="O1672" t="str"><v>Canada</v></cell><cell r="P1672" t="str"><v>Trial</v></cell><cell r="Q1672" t="str"><v>Social</v></cell><cell r="R1672" t="str"><v>Azure</v></cell><cell r="S1672" t="str"><v>Apps & Infra</v></cell><cell r="T1672" t="str"><v>Developers & ITI's</v></cell><cell r="U1672" t="str"><v>AZR</v></cell><cell r="V1672" t="str"><v>Retargeting</v></cell><cell r="W1672" t="str"><v>NotApplicable</v></cell><cell r="X1672" t="str"><v>1x1</v></cell></row><row r="1672"><cell r="AA1672"><v>43294</v></cell><cell r="AB1672" t="str"><v>CAN_gaPMG_AZR_AZR_Q1_19_Trial-Social</v></cell><cell r="AC1672"><v>21337220</v></cell><cell r="AD1672"><v>720192</v></cell><cell r="AE1672" t="str"><v>Facebook</v></cell><cell r="AF1672"><v>3654128</v></cell><cell r="AG1672" t="str"><v>Facebook»AZR»1x1»SocialBan»NA»ALL»DYN»RT»D»All»SS»NA» Free Account Retargeting OSS - T1 - FR</v></cell><cell r="AH1672"><v>223691786</v></cell><cell r="AI1672" t="str"><v>AzurePlatform_FreeAcctRetargetingOSSFB-Text-ChF_CAN_1200x628_SOC_Plat_FR_Free Account_Standard_NA_SU_T1_1</v></cell><cell r="AJ1672"><v>103058720</v></cell></row><row r="1673"><cell r="C1673" t="str"><v>43294Facebook»AZR»1x1»SocialBan»NA»ALL»DYN»RT»D»All»SS»NA» Free Account Retargeting OSS - T2 - EN</v></cell><cell r="D1673" t="str"><v>43294223691831</v></cell><cell r="E1673" t="str"><v>432941029138002 - EN</v></cell><cell r="F1673" t="str"><v>DCM</v></cell><cell r="G1673" t="str"><v>https://azure.microsoft.com/en-ca/free/open-source/search/</v></cell></row><row r="1673"><cell r="K1673" t="str"><v>July</v></cell><cell r="L1673"><v>43295</v></cell><cell r="M1673" t="str"><v>Tier 1</v></cell><cell r="N1673" t="str"><v>North America</v></cell><cell r="O1673" t="str"><v>Canada</v></cell><cell r="P1673" t="str"><v>Trial</v></cell><cell r="Q1673" t="str"><v>Social</v></cell><cell r="R1673" t="str"><v>Azure</v></cell><cell r="S1673" t="str"><v>Apps & Infra</v></cell><cell r="T1673" t="str"><v>Developers & ITI's</v></cell><cell r="U1673" t="str"><v>AZR</v></cell><cell r="V1673" t="str"><v>Retargeting</v></cell><cell r="W1673" t="str"><v>NotApplicable</v></cell><cell r="X1673" t="str"><v>1x1</v></cell></row><row r="1673"><cell r="AA1673"><v>43294</v></cell><cell r="AB1673" t="str"><v>CAN_gaPMG_AZR_AZR_Q1_19_Trial-Social</v></cell><cell r="AC1673"><v>21337220</v></cell><cell r="AD1673"><v>720192</v></cell><cell r="AE1673" t="str"><v>Facebook</v></cell><cell r="AF1673"><v>3654128</v></cell><cell r="AG1673" t="str"><v>Facebook»AZR»1x1»SocialBan»NA»ALL»DYN»RT»D»All»SS»NA» Free Account Retargeting OSS - T2 - EN</v></cell><cell r="AH1673"><v>223691831</v></cell><cell r="AI1673" t="str"><v>AzurePlatform_FreeAcctRetargetingOSSFB-Logos-ChG_CAN_1200x628_SOC_Plat_EN_Free Account_Standard_NA_SU_T2_1</v></cell><cell r="AJ1673"><v>102913800</v></cell></row><row r="1674"><cell r="C1674" t="str"><v>43294Facebook»AZR»1x1»SocialBan»NA»ALL»DYN»RT»D»All»SS»NA»Free Account Retargeting Generic - T2 - EN</v></cell><cell r="D1674" t="str"><v>43294223691834</v></cell><cell r="E1674" t="str"><v>432941029029532 - EN</v></cell><cell r="F1674" t="str"><v>DCM</v></cell><cell r="G1674" t="str"><v>https://azure.microsoft.com/en-CA/free/search/</v></cell></row><row r="1674"><cell r="K1674" t="str"><v>July</v></cell><cell r="L1674"><v>43295</v></cell><cell r="M1674" t="str"><v>Tier 1</v></cell><cell r="N1674" t="str"><v>North America</v></cell><cell r="O1674" t="str"><v>Canada</v></cell><cell r="P1674" t="str"><v>Trial</v></cell><cell r="Q1674" t="str"><v>Social</v></cell><cell r="R1674" t="str"><v>Azure</v></cell><cell r="S1674" t="str"><v>Apps & Infra</v></cell><cell r="T1674" t="str"><v>Developers & ITI's</v></cell><cell r="U1674" t="str"><v>AZR</v></cell><cell r="V1674" t="str"><v>Retargeting</v></cell><cell r="W1674" t="str"><v>NotApplicable</v></cell><cell r="X1674" t="str"><v>1x1</v></cell></row><row r="1674"><cell r="AA1674"><v>43294</v></cell><cell r="AB1674" t="str"><v>CAN_gaPMG_AZR_AZR_Q1_19_Trial-Social</v></cell><cell r="AC1674"><v>21337220</v></cell><cell r="AD1674"><v>720192</v></cell><cell r="AE1674" t="str"><v>Facebook</v></cell><cell r="AF1674"><v>3654128</v></cell><cell r="AG1674" t="str"><v>Facebook»AZR»1x1»SocialBan»NA»ALL»DYN»RT»D»All»SS»NA»Free Account Retargeting Generic - T2 - EN</v></cell><cell r="AH1674"><v>223691834</v></cell><cell r="AI1674" t="str"><v>AzurePlatform_FreeAcctRetargetingFB-GlobalAlt-ChB_CAN_1200x628_SOC_Plat_EN_Free Account_Standard_NA_SU_T2_1</v></cell><cell r="AJ1674"><v>102902953</v></cell></row><row r="1675"><cell r="C1675" t="str"><v>43294Facebook»AZR»1x1»SocialBan»NA»ALL»DYN»RT»D»All»SS»NA»Free Account Retargeting Generic - T3 - EN</v></cell><cell r="D1675" t="str"><v>43294223691819</v></cell><cell r="E1675" t="str"><v>432941029006823 - EN</v></cell><cell r="F1675" t="str"><v>DCM</v></cell><cell r="G1675" t="str"><v>https://azure.microsoft.com/en-CA/free/search/</v></cell></row><row r="1675"><cell r="K1675" t="str"><v>July</v></cell><cell r="L1675"><v>43295</v></cell><cell r="M1675" t="str"><v>Tier 1</v></cell><cell r="N1675" t="str"><v>North America</v></cell><cell r="O1675" t="str"><v>Canada</v></cell><cell r="P1675" t="str"><v>Trial</v></cell><cell r="Q1675" t="str"><v>Social</v></cell><cell r="R1675" t="str"><v>Azure</v></cell><cell r="S1675" t="str"><v>Apps & Infra</v></cell><cell r="T1675" t="str"><v>Developers & ITI's</v></cell><cell r="U1675" t="str"><v>AZR</v></cell><cell r="V1675" t="str"><v>Retargeting</v></cell><cell r="W1675" t="str"><v>NotApplicable</v></cell><cell r="X1675" t="str"><v>1x1</v></cell></row><row r="1675"><cell r="AA1675"><v>43294</v></cell><cell r="AB1675" t="str"><v>CAN_gaPMG_AZR_AZR_Q1_19_Trial-Social</v></cell><cell r="AC1675"><v>21337220</v></cell><cell r="AD1675"><v>720192</v></cell><cell r="AE1675" t="str"><v>Facebook</v></cell><cell r="AF1675"><v>3654128</v></cell><cell r="AG1675" t="str"><v>Facebook»AZR»1x1»SocialBan»NA»ALL»DYN»RT»D»All»SS»NA»Free Account Retargeting Generic - T3 - EN</v></cell><cell r="AH1675"><v>223691819</v></cell><cell r="AI1675" t="str"><v>AzurePlatform_FreeAcctRetargetingFB-Animated-ChC_CAN_1200x628_SOC_Plat_EN_Free Account_Standard_ANI_SU_T3_1</v></cell><cell r="AJ1675"><v>102900682</v></cell></row><row r="1676"><cell r="C1676" t="str"><v>43294Facebook»AZR»1x1»SocialBan»NA»ALL»DYN»RT»D»All»SS»NA»Free Account Retargeting Generic - T3 - FR</v></cell><cell r="D1676" t="str"><v>43294223691777</v></cell><cell r="E1676" t="str"><v>432941029006973 - FR</v></cell><cell r="F1676" t="str"><v>DCM</v></cell><cell r="G1676" t="str"><v>https://azure.microsoft.com/fr-ca/free/search/</v></cell></row><row r="1676"><cell r="K1676" t="str"><v>July</v></cell><cell r="L1676"><v>43295</v></cell><cell r="M1676" t="str"><v>Tier 1</v></cell><cell r="N1676" t="str"><v>North America</v></cell><cell r="O1676" t="str"><v>Canada</v></cell><cell r="P1676" t="str"><v>Trial</v></cell><cell r="Q1676" t="str"><v>Social</v></cell><cell r="R1676" t="str"><v>Azure</v></cell><cell r="S1676" t="str"><v>Apps & Infra</v></cell><cell r="T1676" t="str"><v>Developers & ITI's</v></cell><cell r="U1676" t="str"><v>AZR</v></cell><cell r="V1676" t="str"><v>Retargeting</v></cell><cell r="W1676" t="str"><v>NotApplicable</v></cell><cell r="X1676" t="str"><v>1x1</v></cell></row><row r="1676"><cell r="AA1676"><v>43294</v></cell><cell r="AB1676" t="str"><v>CAN_gaPMG_AZR_AZR_Q1_19_Trial-Social</v></cell><cell r="AC1676"><v>21337220</v></cell><cell r="AD1676"><v>720192</v></cell><cell r="AE1676" t="str"><v>Facebook</v></cell><cell r="AF1676"><v>3654128</v></cell><cell r="AG1676" t="str"><v>Facebook»AZR»1x1»SocialBan»NA»ALL»DYN»RT»D»All»SS»NA»Free Account Retargeting Generic - T3 - FR</v></cell><cell r="AH1676"><v>223691777</v></cell><cell r="AI1676" t="str"><v>AzurePlatform_FreeAcctRetargetingFB-Animated-ChC_CAN_1200x628_SOC_Plat_FR_Free Account_Standard_ANI_SU_T3_1</v></cell><cell r="AJ1676"><v>102900697</v></cell></row><row r="1677"><cell r="C1677" t="str"><v>43294Facebook»AZR»1x1»SocialBan»NA»ALL»DYN»RT»D»All»SS»NA»Free Account Retargeting VM - T1 - EN</v></cell><cell r="D1677" t="str"><v>43294223691825</v></cell><cell r="E1677" t="str"><v>432941029163381 - EN</v></cell><cell r="F1677" t="str"><v>DCM</v></cell><cell r="G1677" t="str"><v>https://azure.microsoft.com/en-ca/free/virtual-machines/search/</v></cell></row><row r="1677"><cell r="K1677" t="str"><v>July</v></cell><cell r="L1677"><v>43295</v></cell><cell r="M1677" t="str"><v>Tier 1</v></cell><cell r="N1677" t="str"><v>North America</v></cell><cell r="O1677" t="str"><v>Canada</v></cell><cell r="P1677" t="str"><v>Trial</v></cell><cell r="Q1677" t="str"><v>Social</v></cell><cell r="R1677" t="str"><v>Azure</v></cell><cell r="S1677" t="str"><v>Apps & Infra</v></cell><cell r="T1677" t="str"><v>Developers & ITI's</v></cell><cell r="U1677" t="str"><v>AZR</v></cell><cell r="V1677" t="str"><v>Retargeting</v></cell><cell r="W1677" t="str"><v>NotApplicable</v></cell><cell r="X1677" t="str"><v>1x1</v></cell></row><row r="1677"><cell r="AA1677"><v>43294</v></cell><cell r="AB1677" t="str"><v>CAN_gaPMG_AZR_AZR_Q1_19_Trial-Social</v></cell><cell r="AC1677"><v>21337220</v></cell><cell r="AD1677"><v>720192</v></cell><cell r="AE1677" t="str"><v>Facebook</v></cell><cell r="AF1677"><v>3654128</v></cell><cell r="AG1677" t="str"><v>Facebook»AZR»1x1»SocialBan»NA»ALL»DYN»RT»D»All»SS»NA»Free Account Retargeting VM - T1 - EN</v></cell><cell r="AH1677"><v>223691825</v></cell><cell r="AI1677" t="str"><v>AzurePlatform_FreeAcctRetargetingVMFB-750Hrs-ChD_CAN_1200x628_SOC_Plat_EN_Free Account_Standard_NA_SU_T1_1</v></cell><cell r="AJ1677"><v>102916338</v></cell></row><row r="1678"><cell r="C1678" t="str"><v>43294Facebook»AZR»1x1»SocialBan»NA»ALL»DYN»RT»D»All»SS»NA»Free Account Retargeting VM - T1 - FR</v></cell><cell r="D1678" t="str"><v>43294223691783</v></cell><cell r="E1678" t="str"><v>432941030587231 - FR</v></cell><cell r="F1678" t="str"><v>DCM</v></cell><cell r="G1678" t="str"><v>https://azure.microsoft.com/fr-ca/free/virtual-machines/search/</v></cell></row><row r="1678"><cell r="K1678" t="str"><v>July</v></cell><cell r="L1678"><v>43295</v></cell><cell r="M1678" t="str"><v>Tier 1</v></cell><cell r="N1678" t="str"><v>North America</v></cell><cell r="O1678" t="str"><v>Canada</v></cell><cell r="P1678" t="str"><v>Trial</v></cell><cell r="Q1678" t="str"><v>Social</v></cell><cell r="R1678" t="str"><v>Azure</v></cell><cell r="S1678" t="str"><v>Apps & Infra</v></cell><cell r="T1678" t="str"><v>Developers & ITI's</v></cell><cell r="U1678" t="str"><v>AZR</v></cell><cell r="V1678" t="str"><v>Retargeting</v></cell><cell r="W1678" t="str"><v>NotApplicable</v></cell><cell r="X1678" t="str"><v>1x1</v></cell></row><row r="1678"><cell r="AA1678"><v>43294</v></cell><cell r="AB1678" t="str"><v>CAN_gaPMG_AZR_AZR_Q1_19_Trial-Social</v></cell><cell r="AC1678"><v>21337220</v></cell><cell r="AD1678"><v>720192</v></cell><cell r="AE1678" t="str"><v>Facebook</v></cell><cell r="AF1678"><v>3654128</v></cell><cell r="AG1678" t="str"><v>Facebook»AZR»1x1»SocialBan»NA»ALL»DYN»RT»D»All»SS»NA»Free Account Retargeting VM - T1 - FR</v></cell><cell r="AH1678"><v>223691783</v></cell><cell r="AI1678" t="str"><v>AzurePlatform_FreeAcctRetargetingVMFB-750Hrs-ChD_CAN_1200x628_SOC_Plat_FR_Free Account_Standard_NA_SU_T1_1</v></cell><cell r="AJ1678"><v>103058723</v></cell></row><row r="1679"><cell r="C1679" t="str"><v>43294Facebook»AZR»1x1»SocialBan»NA»ALL»DYN»RT»D»All»SS»NA»Free Account Retargeting VM - T2 - EN</v></cell><cell r="D1679" t="str"><v>43294223691822</v></cell><cell r="E1679" t="str"><v>432941030587082 - EN</v></cell><cell r="F1679" t="str"><v>DCM</v></cell><cell r="G1679" t="str"><v>https://azure.microsoft.com/en-ca/free/virtual-machines/search/</v></cell></row><row r="1679"><cell r="K1679" t="str"><v>July</v></cell><cell r="L1679"><v>43295</v></cell><cell r="M1679" t="str"><v>Tier 1</v></cell><cell r="N1679" t="str"><v>North America</v></cell><cell r="O1679" t="str"><v>Canada</v></cell><cell r="P1679" t="str"><v>Trial</v></cell><cell r="Q1679" t="str"><v>Social</v></cell><cell r="R1679" t="str"><v>Azure</v></cell><cell r="S1679" t="str"><v>Apps & Infra</v></cell><cell r="T1679" t="str"><v>Developers & ITI's</v></cell><cell r="U1679" t="str"><v>AZR</v></cell><cell r="V1679" t="str"><v>Retargeting</v></cell><cell r="W1679" t="str"><v>NotApplicable</v></cell><cell r="X1679" t="str"><v>1x1</v></cell></row><row r="1679"><cell r="AA1679"><v>43294</v></cell><cell r="AB1679" t="str"><v>CAN_gaPMG_AZR_AZR_Q1_19_Trial-Social</v></cell><cell r="AC1679"><v>21337220</v></cell><cell r="AD1679"><v>720192</v></cell><cell r="AE1679" t="str"><v>Facebook</v></cell><cell r="AF1679"><v>3654128</v></cell><cell r="AG1679" t="str"><v>Facebook»AZR»1x1»SocialBan»NA»ALL»DYN»RT»D»All»SS»NA»Free Account Retargeting VM - T2 - EN</v></cell><cell r="AH1679"><v>223691822</v></cell><cell r="AI1679" t="str"><v>AzurePlatform_FreeAcctRetargetingVMFB-OnDemand-ChE_CAN_1200x628_SOC_Plat_EN_Free Account_Standard_NA_SU_T2_1</v></cell><cell r="AJ1679"><v>103058708</v></cell></row><row r="1680"><cell r="C1680" t="str"><v>43294Facebook»AZR»1x1»SocialBan»NA»ALL»DYN»RT»D»All»SS»NA»Free Account Retargeting VM - T2 - FR</v></cell><cell r="D1680" t="str"><v>43294223691780</v></cell><cell r="E1680" t="str"><v>432941030587262 - FR</v></cell><cell r="F1680" t="str"><v>DCM</v></cell><cell r="G1680" t="str"><v>https://azure.microsoft.com/fr-ca/free/virtual-machines/search/</v></cell></row><row r="1680"><cell r="K1680" t="str"><v>July</v></cell><cell r="L1680"><v>43295</v></cell><cell r="M1680" t="str"><v>Tier 1</v></cell><cell r="N1680" t="str"><v>North America</v></cell><cell r="O1680" t="str"><v>Canada</v></cell><cell r="P1680" t="str"><v>Trial</v></cell><cell r="Q1680" t="str"><v>Social</v></cell><cell r="R1680" t="str"><v>Azure</v></cell><cell r="S1680" t="str"><v>Apps & Infra</v></cell><cell r="T1680" t="str"><v>Developers & ITI's</v></cell><cell r="U1680" t="str"><v>AZR</v></cell><cell r="V1680" t="str"><v>Retargeting</v></cell><cell r="W1680" t="str"><v>NotApplicable</v></cell><cell r="X1680" t="str"><v>1x1</v></cell></row><row r="1680"><cell r="AA1680"><v>43294</v></cell><cell r="AB1680" t="str"><v>CAN_gaPMG_AZR_AZR_Q1_19_Trial-Social</v></cell><cell r="AC1680"><v>21337220</v></cell><cell r="AD1680"><v>720192</v></cell><cell r="AE1680" t="str"><v>Facebook</v></cell><cell r="AF1680"><v>3654128</v></cell><cell r="AG1680" t="str"><v>Facebook»AZR»1x1»SocialBan»NA»ALL»DYN»RT»D»All»SS»NA»Free Account Retargeting VM - T2 - FR</v></cell><cell r="AH1680"><v>223691780</v></cell><cell r="AI1680" t="str"><v>AzurePlatform_FreeAcctRetargetingVMFB-OnDemand-ChE_CAN_1200x628_SOC_Plat_FR_Free Account_Standard_NA_SU_T2_1</v></cell><cell r="AJ1680"><v>103058726</v></cell></row><row r="1681"><cell r="C1681" t="str"><v>43294Facebook»DEV-ITP-AZR-FB|CanvasAds|Interesttargeting»1x1»TextLink»CAN»DT»CPM»AUT»W»NA»SS»NA»39684020-11000</v></cell><cell r="D1681" t="str"><v>43294224009494</v></cell><cell r="E1681" t="str"><v>43294103236186-11000</v></cell><cell r="F1681" t="str"><v>DCM</v></cell><cell r="G1681" t="str"><v>https://signup.azure.com/signup?offer=ms-azr-0044p&appId=102&ref=paidmedia-social-fb&redirectURL=https%3a%2f%2fazure.microsoft.com%2fde-de%2fget-started%2fwelcome-to-azure%2f&l=de-de&correlationId=ead86c34-1f10-49dd-a72b-6918462a2cbf</v></cell></row><row r="1681"><cell r="K1681" t="str"><v>July</v></cell><cell r="L1681"><v>43295</v></cell><cell r="M1681" t="str"><v>Tier 1</v></cell><cell r="N1681" t="str"><v>EMEA</v></cell><cell r="O1681" t="str"><v>Germany</v></cell><cell r="P1681" t="str"><v>Trial</v></cell><cell r="Q1681" t="str"><v>Social</v></cell><cell r="R1681" t="str"><v>Azure</v></cell><cell r="S1681" t="str"><v>Apps & Infra</v></cell><cell r="T1681" t="str"><v>Developers & ITI's</v></cell><cell r="U1681" t="str"><v>DEV-ITP-AZR-FB|CanvasAds|Interesttargeting</v></cell><cell r="V1681" t="str"><v>Audience Targeting</v></cell><cell r="W1681" t="str"><v>Canvas Ad</v></cell><cell r="X1681" t="str"><v>1x1</v></cell></row><row r="1681"><cell r="AA1681"><v>43294</v></cell><cell r="AB1681" t="str"><v>DEU_gaPMG_AZR_AZR_Q1_19_Trial-Social- 39684</v></cell><cell r="AC1681"><v>21359477</v></cell><cell r="AD1681"><v>720194</v></cell><cell r="AE1681" t="str"><v>Facebook</v></cell><cell r="AF1681"><v>3654128</v></cell><cell r="AG1681" t="str"><v>Facebook»DEV-ITP-AZR-FB|CanvasAds|Interesttargeting»1x1»TextLink»CAN»DT»CPM»AUT»W»NA»SS»NA»39684020-11000</v></cell><cell r="AH1681"><v>224009494</v></cell><cell r="AI1681" t="str"><v>AzurePlatform_FBCTCBasicMotion-StartFreeCT_DEU_10s_ISV_PLAT_DE_Trial_Standard_STAN_TN_T1_1</v></cell><cell r="AJ1681"><v>103236186</v></cell></row><row r="1682"><cell r="C1682" t="str"><v>43294Facebook»DEV-ITP-AZR-FB|CanvasAds|Interesttargeting»1x1»TextLink»CAN»DT»CPM»AUT»W»NA»SS»NA»39684020-11000</v></cell><cell r="D1682" t="str"><v>43294224009494</v></cell><cell r="E1682" t="str"><v>43294103236189-11000</v></cell><cell r="F1682" t="str"><v>DCM</v></cell><cell r="G1682" t="str"><v>https://azure.microsoft.com/de-de/pricing/purchase-options/</v></cell></row><row r="1682"><cell r="K1682" t="str"><v>July</v></cell><cell r="L1682"><v>43295</v></cell><cell r="M1682" t="str"><v>Tier 1</v></cell><cell r="N1682" t="str"><v>EMEA</v></cell><cell r="O1682" t="str"><v>Germany</v></cell><cell r="P1682" t="str"><v>Trial</v></cell><cell r="Q1682" t="str"><v>Social</v></cell><cell r="R1682" t="str"><v>Azure</v></cell><cell r="S1682" t="str"><v>Apps & Infra</v></cell><cell r="T1682" t="str"><v>Developers & ITI's</v></cell><cell r="U1682" t="str"><v>DEV-ITP-AZR-FB|CanvasAds|Interesttargeting</v></cell><cell r="V1682" t="str"><v>Audience Targeting</v></cell><cell r="W1682" t="str"><v>Canvas Ad</v></cell><cell r="X1682" t="str"><v>1x1</v></cell></row><row r="1682"><cell r="AA1682"><v>43294</v></cell><cell r="AB1682" t="str"><v>DEU_gaPMG_AZR_AZR_Q1_19_Trial-Social- 39684</v></cell><cell r="AC1682"><v>21359477</v></cell><cell r="AD1682"><v>720194</v></cell><cell r="AE1682" t="str"><v>Facebook</v></cell><cell r="AF1682"><v>3654128</v></cell><cell r="AG1682" t="str"><v>Facebook»DEV-ITP-AZR-FB|CanvasAds|Interesttargeting»1x1»TextLink»CAN»DT»CPM»AUT»W»NA»SS»NA»39684020-11000</v></cell><cell r="AH1682"><v>224009494</v></cell><cell r="AI1682" t="str"><v>AzurePlatform_FBCTCBenefit2inMotion-BuyNow_DEU_14s_ISV_PLAT_DE_Trial_Standard_STAN_TN_T4_1</v></cell><cell r="AJ1682"><v>103236189</v></cell></row><row r="1683"><cell r="C1683" t="str"><v>43294Facebook»DEV-ITP-AZR-FB|CanvasAds|Interesttargeting»1x1»TextLink»CAN»DT»CPM»AUT»W»NA»SS»NA»39684020-11000</v></cell><cell r="D1683" t="str"><v>43294224009494</v></cell><cell r="E1683" t="str"><v>43294103237290-11000</v></cell><cell r="F1683" t="str"><v>DCM</v></cell><cell r="G1683" t="str"><v>https://signup.azure.com/signup?offer=ms-azr-0044p&appId=102&ref=paidmedia-social-fb&redirectURL=https%3a%2f%2fazure.microsoft.com%2fde-de%2fget-started%2fwelcome-to-azure%2f&l=de-de&correlationId=ead86c34-1f10-49dd-a72b-6918462a2cbf</v></cell></row><row r="1683"><cell r="K1683" t="str"><v>July</v></cell><cell r="L1683"><v>43295</v></cell><cell r="M1683" t="str"><v>Tier 1</v></cell><cell r="N1683" t="str"><v>EMEA</v></cell><cell r="O1683" t="str"><v>Germany</v></cell><cell r="P1683" t="str"><v>Trial</v></cell><cell r="Q1683" t="str"><v>Social</v></cell><cell r="R1683" t="str"><v>Azure</v></cell><cell r="S1683" t="str"><v>Apps & Infra</v></cell><cell r="T1683" t="str"><v>Developers & ITI's</v></cell><cell r="U1683" t="str"><v>DEV-ITP-AZR-FB|CanvasAds|Interesttargeting</v></cell><cell r="V1683" t="str"><v>Audience Targeting</v></cell><cell r="W1683" t="str"><v>Canvas Ad</v></cell><cell r="X1683" t="str"><v>1x1</v></cell></row><row r="1683"><cell r="AA1683"><v>43294</v></cell><cell r="AB1683" t="str"><v>DEU_gaPMG_AZR_AZR_Q1_19_Trial-Social- 39684</v></cell><cell r="AC1683"><v>21359477</v></cell><cell r="AD1683"><v>720194</v></cell><cell r="AE1683" t="str"><v>Facebook</v></cell><cell r="AF1683"><v>3654128</v></cell><cell r="AG1683" t="str"><v>Facebook»DEV-ITP-AZR-FB|CanvasAds|Interesttargeting»1x1»TextLink»CAN»DT»CPM»AUT»W»NA»SS»NA»39684020-11000</v></cell><cell r="AH1683"><v>224009494</v></cell><cell r="AI1683" t="str"><v>AzurePlatform_FBCTCBenefit2inMotion-StartFreeCT_DEU_14s_ISV_PLAT_DE_Trial_Standard_STAN_TN_T4_1</v></cell><cell r="AJ1683"><v>103237290</v></cell></row><row r="1684"><cell r="C1684" t="str"><v>43294Facebook»DEV-ITP-AZR-FB|CanvasAds|Interesttargeting»1x1»TextLink»CAN»DT»CPM»AUT»W»NA»SS»NA»39684020-11000</v></cell><cell r="D1684" t="str"><v>43294224009494</v></cell><cell r="E1684" t="str"><v>43294103237293-11000</v></cell><cell r="F1684" t="str"><v>DCM</v></cell><cell r="G1684" t="str"><v>https://signup.azure.com/signup?offer=ms-azr-0044p&appId=102&ref=paidmedia-social-fb&redirectURL=https%3a%2f%2fazure.microsoft.com%2fde-de%2fget-started%2fwelcome-to-azure%2f&l=de-de&correlationId=ead86c34-1f10-49dd-a72b-6918462a2cbf</v></cell></row><row r="1684"><cell r="K1684" t="str"><v>July</v></cell><cell r="L1684"><v>43295</v></cell><cell r="M1684" t="str"><v>Tier 1</v></cell><cell r="N1684" t="str"><v>EMEA</v></cell><cell r="O1684" t="str"><v>Germany</v></cell><cell r="P1684" t="str"><v>Trial</v></cell><cell r="Q1684" t="str"><v>Social</v></cell><cell r="R1684" t="str"><v>Azure</v></cell><cell r="S1684" t="str"><v>Apps & Infra</v></cell><cell r="T1684" t="str"><v>Developers & ITI's</v></cell><cell r="U1684" t="str"><v>DEV-ITP-AZR-FB|CanvasAds|Interesttargeting</v></cell><cell r="V1684" t="str"><v>Audience Targeting</v></cell><cell r="W1684" t="str"><v>Canvas Ad</v></cell><cell r="X1684" t="str"><v>1x1</v></cell></row><row r="1684"><cell r="AA1684"><v>43294</v></cell><cell r="AB1684" t="str"><v>DEU_gaPMG_AZR_AZR_Q1_19_Trial-Social- 39684</v></cell><cell r="AC1684"><v>21359477</v></cell><cell r="AD1684"><v>720194</v></cell><cell r="AE1684" t="str"><v>Facebook</v></cell><cell r="AF1684"><v>3654128</v></cell><cell r="AG1684" t="str"><v>Facebook»DEV-ITP-AZR-FB|CanvasAds|Interesttargeting»1x1»TextLink»CAN»DT»CPM»AUT»W»NA»SS»NA»39684020-11000</v></cell><cell r="AH1684"><v>224009494</v></cell><cell r="AI1684" t="str"><v>AzurePlatform_FBCTCBrandinMotion-StartFreeCT_DEU_12s_ISV_PLAT_DE_Trial_Standard_STAN_TN_T2_1</v></cell><cell r="AJ1684"><v>103237293</v></cell></row><row r="1685"><cell r="C1685" t="str"><v>43294Facebook»DEV-ITP-AZR-FB|LinkAd|CustomerAudienceRetargeting»1x1»TextLink»LIA»DT»CPM»RT»W»NA»SS»NA»39684019-11000</v></cell><cell r="D1685" t="str"><v>43294224010415</v></cell><cell r="E1685" t="str"><v>43294103048548-11000</v></cell><cell r="F1685" t="str"><v>DCM</v></cell><cell r="G1685" t="str"><v>https://azure.microsoft.com/de-de/free/search/</v></cell></row><row r="1685"><cell r="K1685" t="str"><v>July</v></cell><cell r="L1685"><v>43295</v></cell><cell r="M1685" t="str"><v>Tier 1</v></cell><cell r="N1685" t="str"><v>EMEA</v></cell><cell r="O1685" t="str"><v>Germany</v></cell><cell r="P1685" t="str"><v>Trial</v></cell><cell r="Q1685" t="str"><v>Social</v></cell><cell r="R1685" t="str"><v>Azure</v></cell><cell r="S1685" t="str"><v>Apps & Infra</v></cell><cell r="T1685" t="str"><v>Developers & ITI's</v></cell><cell r="U1685" t="str"><v>DEV-ITP-AZR-FB|LinkAd|CustomerAudienceRetargeting</v></cell><cell r="V1685" t="str"><v>Retargeting</v></cell><cell r="W1685" t="str"><v>Link Ad</v></cell><cell r="X1685" t="str"><v>1x1</v></cell></row><row r="1685"><cell r="AA1685"><v>43294</v></cell><cell r="AB1685" t="str"><v>DEU_gaPMG_AZR_AZR_Q1_19_Trial-Social- 39684</v></cell><cell r="AC1685"><v>21359477</v></cell><cell r="AD1685"><v>720194</v></cell><cell r="AE1685" t="str"><v>Facebook</v></cell><cell r="AF1685"><v>3654128</v></cell><cell r="AG1685" t="str"><v>Facebook»DEV-ITP-AZR-FB|LinkAd|CustomerAudienceRetargeting»1x1»TextLink»LIA»DT»CPM»RT»W»NA»SS»NA»39684019-11000</v></cell><cell r="AH1685"><v>224010415</v></cell><cell r="AI1685" t="str"><v>AzurePlatform_FreeAcctRetargetingFB-Animated-ChC_DEU_1200x628_SOC_Plat_DE_Free Account_Standard_ANI_SNU_T3_1</v></cell><cell r="AJ1685"><v>103048548</v></cell></row><row r="1686"><cell r="C1686" t="str"><v>43294Facebook»DEV-ITP-AZR-FB|LinkAd|CustomerAudienceRetargeting»1x1»TextLink»LIA»DT»CPM»RT»W»NA»SS»NA»39684019-11000</v></cell><cell r="D1686" t="str"><v>43294224010415</v></cell><cell r="E1686" t="str"><v>43294103043329-11000</v></cell><cell r="F1686" t="str"><v>DCM</v></cell><cell r="G1686" t="str"><v>https://azure.microsoft.com/de-de/free/open-source/search/</v></cell></row><row r="1686"><cell r="K1686" t="str"><v>July</v></cell><cell r="L1686"><v>43295</v></cell><cell r="M1686" t="str"><v>Tier 1</v></cell><cell r="N1686" t="str"><v>EMEA</v></cell><cell r="O1686" t="str"><v>Germany</v></cell><cell r="P1686" t="str"><v>Trial</v></cell><cell r="Q1686" t="str"><v>Social</v></cell><cell r="R1686" t="str"><v>Azure</v></cell><cell r="S1686" t="str"><v>Apps & Infra</v></cell><cell r="T1686" t="str"><v>Developers & ITI's</v></cell><cell r="U1686" t="str"><v>DEV-ITP-AZR-FB|LinkAd|CustomerAudienceRetargeting</v></cell><cell r="V1686" t="str"><v>Retargeting</v></cell><cell r="W1686" t="str"><v>Link Ad</v></cell><cell r="X1686" t="str"><v>1x1</v></cell></row><row r="1686"><cell r="AA1686"><v>43294</v></cell><cell r="AB1686" t="str"><v>DEU_gaPMG_AZR_AZR_Q1_19_Trial-Social- 39684</v></cell><cell r="AC1686"><v>21359477</v></cell><cell r="AD1686"><v>720194</v></cell><cell r="AE1686" t="str"><v>Facebook</v></cell><cell r="AF1686"><v>3654128</v></cell><cell r="AG1686" t="str"><v>Facebook»DEV-ITP-AZR-FB|LinkAd|CustomerAudienceRetargeting»1x1»TextLink»LIA»DT»CPM»RT»W»NA»SS»NA»39684019-11000</v></cell><cell r="AH1686"><v>224010415</v></cell><cell r="AI1686" t="str"><v>AzurePlatform_FreeAcctRetargetingOSSFB-Logos-ChG_DEU_1200x628_SOC_Plat_DE_Free Account_Standard_NA_SNU_T2_1</v></cell><cell r="AJ1686"><v>103043329</v></cell></row><row r="1687"><cell r="C1687" t="str"><v>43294Facebook»DEV-ITP-AZR-FB|LinkAd|CustomerAudienceRetargeting»1x1»TextLink»LIA»DT»CPM»RT»W»NA»SS»NA»39684019-11000</v></cell><cell r="D1687" t="str"><v>43294224010415</v></cell><cell r="E1687" t="str"><v>43294103055394-11000</v></cell><cell r="F1687" t="str"><v>DCM</v></cell><cell r="G1687" t="str"><v>https://azure.microsoft.com/de-de/free/open-source/search/</v></cell></row><row r="1687"><cell r="K1687" t="str"><v>July</v></cell><cell r="L1687"><v>43295</v></cell><cell r="M1687" t="str"><v>Tier 1</v></cell><cell r="N1687" t="str"><v>EMEA</v></cell><cell r="O1687" t="str"><v>Germany</v></cell><cell r="P1687" t="str"><v>Trial</v></cell><cell r="Q1687" t="str"><v>Social</v></cell><cell r="R1687" t="str"><v>Azure</v></cell><cell r="S1687" t="str"><v>Apps & Infra</v></cell><cell r="T1687" t="str"><v>Developers & ITI's</v></cell><cell r="U1687" t="str"><v>DEV-ITP-AZR-FB|LinkAd|CustomerAudienceRetargeting</v></cell><cell r="V1687" t="str"><v>Retargeting</v></cell><cell r="W1687" t="str"><v>Link Ad</v></cell><cell r="X1687" t="str"><v>1x1</v></cell></row><row r="1687"><cell r="AA1687"><v>43294</v></cell><cell r="AB1687" t="str"><v>DEU_gaPMG_AZR_AZR_Q1_19_Trial-Social- 39684</v></cell><cell r="AC1687"><v>21359477</v></cell><cell r="AD1687"><v>720194</v></cell><cell r="AE1687" t="str"><v>Facebook</v></cell><cell r="AF1687"><v>3654128</v></cell><cell r="AG1687" t="str"><v>Facebook»DEV-ITP-AZR-FB|LinkAd|CustomerAudienceRetargeting»1x1»TextLink»LIA»DT»CPM»RT»W»NA»SS»NA»39684019-11000</v></cell><cell r="AH1687"><v>224010415</v></cell><cell r="AI1687" t="str"><v>AzurePlatform_FreeAcctRetargetingOSSFB-Text-ChF_DEU_1200x628_SOC_Plat_DE_Free Account_Standard_NA_SNU_T1_1</v></cell><cell r="AJ1687"><v>103055394</v></cell></row><row r="1688"><cell r="C1688" t="str"><v>43294Facebook»DEV-ITP-AZR-FB|LinkAd|CustomerAudienceRetargeting»1x1»TextLink»LIA»DT»CPM»RT»W»NA»SS»NA»39684019-11000</v></cell><cell r="D1688" t="str"><v>43294224010415</v></cell><cell r="E1688" t="str"><v>43294103043341-11000</v></cell><cell r="F1688" t="str"><v>DCM</v></cell><cell r="G1688" t="str"><v>https://azure.microsoft.com/de-de/free/virtual-machines/search/</v></cell></row><row r="1688"><cell r="K1688" t="str"><v>July</v></cell><cell r="L1688"><v>43295</v></cell><cell r="M1688" t="str"><v>Tier 1</v></cell><cell r="N1688" t="str"><v>EMEA</v></cell><cell r="O1688" t="str"><v>Germany</v></cell><cell r="P1688" t="str"><v>Trial</v></cell><cell r="Q1688" t="str"><v>Social</v></cell><cell r="R1688" t="str"><v>Azure</v></cell><cell r="S1688" t="str"><v>Apps & Infra</v></cell><cell r="T1688" t="str"><v>Developers & ITI's</v></cell><cell r="U1688" t="str"><v>DEV-ITP-AZR-FB|LinkAd|CustomerAudienceRetargeting</v></cell><cell r="V1688" t="str"><v>Retargeting</v></cell><cell r="W1688" t="str"><v>Link Ad</v></cell><cell r="X1688" t="str"><v>1x1</v></cell></row><row r="1688"><cell r="AA1688"><v>43294</v></cell><cell r="AB1688" t="str"><v>DEU_gaPMG_AZR_AZR_Q1_19_Trial-Social- 39684</v></cell><cell r="AC1688"><v>21359477</v></cell><cell r="AD1688"><v>720194</v></cell><cell r="AE1688" t="str"><v>Facebook</v></cell><cell r="AF1688"><v>3654128</v></cell><cell r="AG1688" t="str"><v>Facebook»DEV-ITP-AZR-FB|LinkAd|CustomerAudienceRetargeting»1x1»TextLink»LIA»DT»CPM»RT»W»NA»SS»NA»39684019-11000</v></cell><cell r="AH1688"><v>224010415</v></cell><cell r="AI1688" t="str"><v>AzurePlatform_FreeAcctRetargetingVMFB-750Hrs-ChD_DEU_1200x628_SOC_Plat_DE_Free Account_Standard_NA_SNU_T1_1</v></cell><cell r="AJ1688"><v>103043341</v></cell></row><row r="1689"><cell r="C1689" t="str"><v>43294Facebook»Developers/ITPros-Azure Direct-Sponsored Post-Canvas-FBCTCcanvaspage-BuyNowCTA-Img3_FBCTCBasicMotion_FRA_10sec»1x1»Canvas»SOC»ALL»CPC»BT»D»UNK»SS»NA»Trials</v></cell><cell r="D1689" t="str"><v>43294224369893</v></cell><cell r="E1689" t="str"><v>43294103256571Trials</v></cell><cell r="F1689" t="str"><v>DCM</v></cell><cell r="G1689" t="str"><v>https://azure.microsoft.com/fr-fr/pricing/purchase-options/</v></cell></row><row r="1689"><cell r="K1689" t="str"><v>July</v></cell><cell r="L1689"><v>43295</v></cell><cell r="M1689" t="str"><v>Tier 1</v></cell><cell r="N1689" t="str"><v>EMEA</v></cell><cell r="O1689" t="str"><v>France</v></cell><cell r="P1689" t="str"><v>Trial</v></cell><cell r="Q1689" t="str"><v>Social</v></cell><cell r="R1689" t="str"><v>Azure</v></cell><cell r="S1689" t="str"><v>Apps & Infra</v></cell><cell r="T1689" t="str"><v>Developers & ITI's</v></cell><cell r="U1689" t="str"><v>Developers/ITPros-Azure Direct-Sponsored Post-Canvas-FBCTCcanvaspage-BuyNowCTA-Img3_FBCTCBasicMotion_FRA_10sec</v></cell><cell r="V1689" t="str"><v>Behavioral Targeting</v></cell><cell r="W1689" t="str"><v>Social</v></cell><cell r="X1689" t="str"><v>1x1</v></cell></row><row r="1689"><cell r="AA1689"><v>43294</v></cell><cell r="AB1689" t="str"><v>FRA_gaPMG_AZR_AZR_Q1_19_AzureDirect-Trial-Social</v></cell><cell r="AC1689"><v>21356941</v></cell><cell r="AD1689"><v>720193</v></cell><cell r="AE1689" t="str"><v>Facebook</v></cell><cell r="AF1689"><v>3654128</v></cell><cell r="AG1689" t="str"><v>Facebook»Developers/ITPros-Azure Direct-Sponsored Post-Canvas-FBCTCcanvaspage-BuyNowCTA-Img3_FBCTCBasicMotion_FRA_10sec»1x1»Canvas»SOC»ALL»CPC»BT»D»UNK»SS»NA»Trials</v></cell><cell r="AH1689"><v>224369893</v></cell><cell r="AI1689" t="str"><v>AZR_FBCTCcanvaspage-BuyNowCTA-Img3_FRA_1080x162_SOC_AZRDirect_French_NA_Facebook_SBAN_BN_T3_1</v></cell><cell r="AJ1689"><v>103256571</v></cell></row><row r="1690"><cell r="C1690" t="str"><v>43294Facebook»Developers/ITPros-Azure Direct-Sponsored Post-Canvas-FBCTCcanvaspage-BuyNowCTA-Img3_FBCTCBrandinMotion_FRA_14sec»1x1»Canvas»SOC»ALL»CPC»BT»D»UNK»SS»NA»Trials</v></cell><cell r="D1690" t="str"><v>43294224416918</v></cell><cell r="E1690" t="str"><v>43294103256571Trials</v></cell><cell r="F1690" t="str"><v>DCM</v></cell><cell r="G1690" t="str"><v>https://azure.microsoft.com/fr-fr/pricing/purchase-options/</v></cell></row><row r="1690"><cell r="K1690" t="str"><v>July</v></cell><cell r="L1690"><v>43295</v></cell><cell r="M1690" t="str"><v>Tier 1</v></cell><cell r="N1690" t="str"><v>EMEA</v></cell><cell r="O1690" t="str"><v>France</v></cell><cell r="P1690" t="str"><v>Trial</v></cell><cell r="Q1690" t="str"><v>Social</v></cell><cell r="R1690" t="str"><v>Azure</v></cell><cell r="S1690" t="str"><v>Apps & Infra</v></cell><cell r="T1690" t="str"><v>Developers & ITI's</v></cell><cell r="U1690" t="str"><v>Developers/ITPros-Azure Direct-Sponsored Post-Canvas-FBCTCcanvaspage-BuyNowCTA-Img3_FBCTCBrandinMotion_FRA_14sec</v></cell><cell r="V1690" t="str"><v>Behavioral Targeting</v></cell><cell r="W1690" t="str"><v>Social</v></cell><cell r="X1690" t="str"><v>1x1</v></cell></row><row r="1690"><cell r="AA1690"><v>43294</v></cell><cell r="AB1690" t="str"><v>FRA_gaPMG_AZR_AZR_Q1_19_AzureDirect-Trial-Social</v></cell><cell r="AC1690"><v>21356941</v></cell><cell r="AD1690"><v>720193</v></cell><cell r="AE1690" t="str"><v>Facebook</v></cell><cell r="AF1690"><v>3654128</v></cell><cell r="AG1690" t="str"><v>Facebook»Developers/ITPros-Azure Direct-Sponsored Post-Canvas-FBCTCcanvaspage-BuyNowCTA-Img3_FBCTCBrandinMotion_FRA_14sec»1x1»Canvas»SOC»ALL»CPC»BT»D»UNK»SS»NA»Trials</v></cell><cell r="AH1690"><v>224416918</v></cell><cell r="AI1690" t="str"><v>AZR_FBCTCcanvaspage-BuyNowCTA-Img3_FRA_1080x162_SOC_AZRDirect_French_NA_Facebook_SBAN_BN_T3_1</v></cell><cell r="AJ1690"><v>103256571</v></cell></row><row r="1691"><cell r="C1691" t="str"><v>43294Facebook»Developers/ITPros-Azure Direct-Sponsored Post-Canvas-FBCTCcanvaspage-StartFreeCTA-Img2_FBCTCBasicMotion_FRA_10sec»1x1»Canvas»SOC»ALL»CPC»BT»D»UNK»SS»NA»Trials</v></cell><cell r="D1691" t="str"><v>43294224560884</v></cell><cell r="E1691" t="str"><v>43294103259958Trials</v></cell><cell r="F1691" t="str"><v>DCM</v></cell><cell r="G1691" t="str"><v>https://signup.azure.com/signup?offer=ms-azr-0044p&appId=102&ref=paidmedia-social-fb&redirectURL=https%3a%2f%2fazure.microsoft.com%2ffr-fr%2fget-started%2fwelcome-to-azure%2f&l=fr-fr&correlationId=ead86c34-1f10-49dd-a72b-6918462a2cbf</v></cell></row><row r="1691"><cell r="K1691" t="str"><v>July</v></cell><cell r="L1691"><v>43295</v></cell><cell r="M1691" t="str"><v>Tier 1</v></cell><cell r="N1691" t="str"><v>EMEA</v></cell><cell r="O1691" t="str"><v>France</v></cell><cell r="P1691" t="str"><v>Trial</v></cell><cell r="Q1691" t="str"><v>Social</v></cell><cell r="R1691" t="str"><v>Azure</v></cell><cell r="S1691" t="str"><v>Apps & Infra</v></cell><cell r="T1691" t="str"><v>Developers & ITI's</v></cell><cell r="U1691" t="str"><v>Developers/ITPros-Azure Direct-Sponsored Post-Canvas-FBCTCcanvaspage-StartFreeCTA-Img2_FBCTCBasicMotion_FRA_10sec</v></cell><cell r="V1691" t="str"><v>Behavioral Targeting</v></cell><cell r="W1691" t="str"><v>Social</v></cell><cell r="X1691" t="str"><v>1x1</v></cell></row><row r="1691"><cell r="AA1691"><v>43294</v></cell><cell r="AB1691" t="str"><v>FRA_gaPMG_AZR_AZR_Q1_19_AzureDirect-Trial-Social</v></cell><cell r="AC1691"><v>21356941</v></cell><cell r="AD1691"><v>720193</v></cell><cell r="AE1691" t="str"><v>Facebook</v></cell><cell r="AF1691"><v>3654128</v></cell><cell r="AG1691" t="str"><v>Facebook»Developers/ITPros-Azure Direct-Sponsored Post-Canvas-FBCTCcanvaspage-StartFreeCTA-Img2_FBCTCBasicMotion_FRA_10sec»1x1»Canvas»SOC»ALL»CPC»BT»D»UNK»SS»NA»Trials</v></cell><cell r="AH1691"><v>224560884</v></cell><cell r="AI1691" t="str"><v>AZR_FBCTCcanvaspage-StartFreeCTA-Img2_FRA_1080x143_SOC_AZRDirect_French_NA_Facebook_SBAN_BN_T2_1</v></cell><cell r="AJ1691"><v>103259958</v></cell></row><row r="1692"><cell r="C1692" t="str"><v>43294Facebook»Developers/ITPros-Azure Direct-Sponsored Post-Canvas-FBCTCcanvaspage-StartFreeCTA-Img2_FBCTCBrandinMotion_FRA_12sec»1x1»Canvas»SOC»ALL»CPC»BT»D»UNK»SS»NA»Trials</v></cell><cell r="D1692" t="str"><v>43294224560878</v></cell><cell r="E1692" t="str"><v>43294103259958Trials</v></cell><cell r="F1692" t="str"><v>DCM</v></cell><cell r="G1692" t="str"><v>https://signup.azure.com/signup?offer=ms-azr-0044p&appId=102&ref=paidmedia-social-fb&redirectURL=https%3a%2f%2fazure.microsoft.com%2ffr-fr%2fget-started%2fwelcome-to-azure%2f&l=fr-fr&correlationId=ead86c34-1f10-49dd-a72b-6918462a2cbf</v></cell></row><row r="1692"><cell r="K1692" t="str"><v>July</v></cell><cell r="L1692"><v>43295</v></cell><cell r="M1692" t="str"><v>Tier 1</v></cell><cell r="N1692" t="str"><v>EMEA</v></cell><cell r="O1692" t="str"><v>France</v></cell><cell r="P1692" t="str"><v>Trial</v></cell><cell r="Q1692" t="str"><v>Social</v></cell><cell r="R1692" t="str"><v>Azure</v></cell><cell r="S1692" t="str"><v>Apps & Infra</v></cell><cell r="T1692" t="str"><v>Developers & ITI's</v></cell><cell r="U1692" t="str"><v>Developers/ITPros-Azure Direct-Sponsored Post-Canvas-FBCTCcanvaspage-StartFreeCTA-Img2_FBCTCBrandinMotion_FRA_12sec</v></cell><cell r="V1692" t="str"><v>Behavioral Targeting</v></cell><cell r="W1692" t="str"><v>Social</v></cell><cell r="X1692" t="str"><v>1x1</v></cell></row><row r="1692"><cell r="AA1692"><v>43294</v></cell><cell r="AB1692" t="str"><v>FRA_gaPMG_AZR_AZR_Q1_19_AzureDirect-Trial-Social</v></cell><cell r="AC1692"><v>21356941</v></cell><cell r="AD1692"><v>720193</v></cell><cell r="AE1692" t="str"><v>Facebook</v></cell><cell r="AF1692"><v>3654128</v></cell><cell r="AG1692" t="str"><v>Facebook»Developers/ITPros-Azure Direct-Sponsored Post-Canvas-FBCTCcanvaspage-StartFreeCTA-Img2_FBCTCBrandinMotion_FRA_12sec»1x1»Canvas»SOC»ALL»CPC»BT»D»UNK»SS»NA»Trials</v></cell><cell r="AH1692"><v>224560878</v></cell><cell r="AI1692" t="str"><v>AZR_FBCTCcanvaspage-StartFreeCTA-Img2_FRA_1080x143_SOC_AZRDirect_French_NA_Facebook_SBAN_BN_T2_1</v></cell><cell r="AJ1692"><v>103259958</v></cell></row><row r="1693"><cell r="C1693" t="str"><v>43294Facebook»Developers/ITPros-Azure Direct-Sponsored Post-Canvas-FBCTCcanvaspage-StartFreeCTA-Img2_FBCTCBrandinMotion_FRA_14sec»1x1»Canvas»SOC»ALL»CPC»BT»D»UNK»SS»NA»Trials</v></cell><cell r="D1693" t="str"><v>43294224560872</v></cell><cell r="E1693" t="str"><v>43294103259958Trials</v></cell><cell r="F1693" t="str"><v>DCM</v></cell><cell r="G1693" t="str"><v>https://signup.azure.com/signup?offer=ms-azr-0044p&appId=102&ref=paidmedia-social-fb&redirectURL=https%3a%2f%2fazure.microsoft.com%2ffr-fr%2fget-started%2fwelcome-to-azure%2f&l=fr-fr&correlationId=ead86c34-1f10-49dd-a72b-6918462a2cbf</v></cell></row><row r="1693"><cell r="K1693" t="str"><v>July</v></cell><cell r="L1693"><v>43295</v></cell><cell r="M1693" t="str"><v>Tier 1</v></cell><cell r="N1693" t="str"><v>EMEA</v></cell><cell r="O1693" t="str"><v>France</v></cell><cell r="P1693" t="str"><v>Trial</v></cell><cell r="Q1693" t="str"><v>Social</v></cell><cell r="R1693" t="str"><v>Azure</v></cell><cell r="S1693" t="str"><v>Apps & Infra</v></cell><cell r="T1693" t="str"><v>Developers & ITI's</v></cell><cell r="U1693" t="str"><v>Developers/ITPros-Azure Direct-Sponsored Post-Canvas-FBCTCcanvaspage-StartFreeCTA-Img2_FBCTCBrandinMotion_FRA_14sec</v></cell><cell r="V1693" t="str"><v>Behavioral Targeting</v></cell><cell r="W1693" t="str"><v>Social</v></cell><cell r="X1693" t="str"><v>1x1</v></cell></row><row r="1693"><cell r="AA1693"><v>43294</v></cell><cell r="AB1693" t="str"><v>FRA_gaPMG_AZR_AZR_Q1_19_AzureDirect-Trial-Social</v></cell><cell r="AC1693"><v>21356941</v></cell><cell r="AD1693"><v>720193</v></cell><cell r="AE1693" t="str"><v>Facebook</v></cell><cell r="AF1693"><v>3654128</v></cell><cell r="AG1693" t="str"><v>Facebook»Developers/ITPros-Azure Direct-Sponsored Post-Canvas-FBCTCcanvaspage-StartFreeCTA-Img2_FBCTCBrandinMotion_FRA_14sec»1x1»Canvas»SOC»ALL»CPC»BT»D»UNK»SS»NA»Trials</v></cell><cell r="AH1693"><v>224560872</v></cell><cell r="AI1693" t="str"><v>AZR_FBCTCcanvaspage-StartFreeCTA-Img2_FRA_1080x143_SOC_AZRDirect_French_NA_Facebook_SBAN_BN_T2_1</v></cell><cell r="AJ1693"><v>103259958</v></cell></row><row r="1694"><cell r="C1694" t="str"><v>43294Facebook»Developers/ITPros-Azure Direct-Sponsored Post-Link Ad-FreeAcctRetargetingFB-GlobalAlt-ChB»1x1»SocialBan»SOC»ALL»CPC»BT»D»UNK»SS»NA»Trials</v></cell><cell r="D1694" t="str"><v>43294224560845</v></cell><cell r="E1694" t="str"><v>43294103259520Trials</v></cell><cell r="F1694" t="str"><v>DCM</v></cell><cell r="G1694" t="str"><v>https://azure.microsoft.com/fr-fr/free/search/</v></cell></row><row r="1694"><cell r="K1694" t="str"><v>July</v></cell><cell r="L1694"><v>43295</v></cell><cell r="M1694" t="str"><v>Tier 1</v></cell><cell r="N1694" t="str"><v>EMEA</v></cell><cell r="O1694" t="str"><v>France</v></cell><cell r="P1694" t="str"><v>Trial</v></cell><cell r="Q1694" t="str"><v>Social</v></cell><cell r="R1694" t="str"><v>Azure</v></cell><cell r="S1694" t="str"><v>Apps & Infra</v></cell><cell r="T1694" t="str"><v>Developers & ITI's</v></cell><cell r="U1694" t="str"><v>Developers/ITPros-Azure Direct-Sponsored Post-Link Ad-FreeAcctRetargetingFB-GlobalAlt-ChB</v></cell><cell r="V1694" t="str"><v>Behavioral Targeting</v></cell><cell r="W1694" t="str"><v>Social</v></cell><cell r="X1694" t="str"><v>1x1</v></cell></row><row r="1694"><cell r="AA1694"><v>43294</v></cell><cell r="AB1694" t="str"><v>FRA_gaPMG_AZR_AZR_Q1_19_AzureDirect-Trial-Social</v></cell><cell r="AC1694"><v>21356941</v></cell><cell r="AD1694"><v>720193</v></cell><cell r="AE1694" t="str"><v>Facebook</v></cell><cell r="AF1694"><v>3654128</v></cell><cell r="AG1694" t="str"><v>Facebook»Developers/ITPros-Azure Direct-Sponsored Post-Link Ad-FreeAcctRetargetingFB-GlobalAlt-ChB»1x1»SocialBan»SOC»ALL»CPC»BT»D»UNK»SS»NA»Trials</v></cell><cell r="AH1694"><v>224560845</v></cell><cell r="AI1694" t="str"><v>AZR_FreeAcctRetargetingFB-GlobalAlt-ChB_FRA_1200x628_SOC_AZRDirect_French_NA_Facebook_SBAN_SINU_T2_1</v></cell><cell r="AJ1694"><v>103259520</v></cell></row><row r="1695"><cell r="C1695" t="str"><v>43294Facebook»Developers/ITPros-Azure Direct-Sponsored Post-Video Ad-FBCTCBasicMotion_FRA_10s_RTG Landing Page»1x1»05s»SOC»ALL»CPC»BT»D»UNK»SS»NA»Trials</v></cell><cell r="D1695" t="str"><v>43294224416915</v></cell><cell r="E1695" t="str"><v>43294103376981Trials</v></cell><cell r="F1695" t="str"><v>DCM</v></cell></row><row r="1695"><cell r="K1695" t="str"><v>July</v></cell><cell r="L1695"><v>43295</v></cell><cell r="M1695" t="str"><v>Tier 1</v></cell><cell r="N1695" t="str"><v>EMEA</v></cell><cell r="O1695" t="str"><v>France</v></cell><cell r="P1695" t="str"><v>Trial</v></cell><cell r="Q1695" t="str"><v>Social</v></cell><cell r="R1695" t="str"><v>Azure</v></cell><cell r="S1695" t="str"><v>Apps & Infra</v></cell><cell r="T1695" t="str"><v>Developers & ITI's</v></cell><cell r="U1695" t="str"><v>Developers/ITPros-Azure Direct-Sponsored Post-Video Ad-FBCTCBasicMotion_FRA_10s_RTG Landing Page</v></cell><cell r="V1695" t="str"><v>Behavioral Targeting</v></cell><cell r="W1695" t="str"><v>Social</v></cell><cell r="X1695" t="str"><v>1x1</v></cell></row><row r="1695"><cell r="AA1695"><v>43294</v></cell><cell r="AB1695" t="str"><v>FRA_gaPMG_AZR_AZR_Q1_19_AzureDirect-Trial-Social</v></cell><cell r="AC1695"><v>21356941</v></cell><cell r="AD1695"><v>720193</v></cell><cell r="AE1695" t="str"><v>Facebook</v></cell><cell r="AF1695"><v>3654128</v></cell><cell r="AG1695" t="str"><v>Facebook»Developers/ITPros-Azure Direct-Sponsored Post-Video Ad-FBCTCBasicMotion_FRA_10s_RTG Landing Page»1x1»05s»SOC»ALL»CPC»BT»D»UNK»SS»NA»Trials</v></cell><cell r="AH1695"><v>224416915</v></cell><cell r="AI1695" t="str"><v>AZR_FBCTCBasicMotion_FRA_10s_VIA_AZRDirect_French_NA_Facebook_STAN_TIN_T1_1</v></cell><cell r="AJ1695"><v>103376981</v></cell></row><row r="1696"><cell r="C1696" t="str"><v>43294Facebook»Developers/ITPros-Azure Direct-Sponsored Post-Video Ad-FBCTCBenefit2inMotion_FRA_14s_RTG Landing Page»1x1»06s»SOC»ALL»CPC»BT»D»UNK»SS»NA»Trials</v></cell><cell r="D1696" t="str"><v>43294224560875</v></cell><cell r="E1696" t="str"><v>43294103259766Trials</v></cell><cell r="F1696" t="str"><v>DCM</v></cell><cell r="G1696" t="str"><v>https://signup.azure.com/signup?offer=ms-azr-0044p&appId=102&ref=paidmedia-social-fb&redirectURL=https:%2F%2Fazure.microsoft.com%2Ffr-fr%2Fget-started%2Fwelcome-to-azure%2F&l=fr-fr&correlationId=ead86c34-1f10-49dd-a72b-6918462a2cbf</v></cell></row><row r="1696"><cell r="K1696" t="str"><v>July</v></cell><cell r="L1696"><v>43295</v></cell><cell r="M1696" t="str"><v>Tier 1</v></cell><cell r="N1696" t="str"><v>EMEA</v></cell><cell r="O1696" t="str"><v>France</v></cell><cell r="P1696" t="str"><v>Trial</v></cell><cell r="Q1696" t="str"><v>Social</v></cell><cell r="R1696" t="str"><v>Azure</v></cell><cell r="S1696" t="str"><v>Apps & Infra</v></cell><cell r="T1696" t="str"><v>Developers & ITI's</v></cell><cell r="U1696" t="str"><v>Developers/ITPros-Azure Direct-Sponsored Post-Video Ad-FBCTCBenefit2inMotion_FRA_14s_RTG Landing Page</v></cell><cell r="V1696" t="str"><v>Behavioral Targeting</v></cell><cell r="W1696" t="str"><v>Social</v></cell><cell r="X1696" t="str"><v>1x1</v></cell></row><row r="1696"><cell r="AA1696"><v>43294</v></cell><cell r="AB1696" t="str"><v>FRA_gaPMG_AZR_AZR_Q1_19_AzureDirect-Trial-Social</v></cell><cell r="AC1696"><v>21356941</v></cell><cell r="AD1696"><v>720193</v></cell><cell r="AE1696" t="str"><v>Facebook</v></cell><cell r="AF1696"><v>3654128</v></cell><cell r="AG1696" t="str"><v>Facebook»Developers/ITPros-Azure Direct-Sponsored Post-Video Ad-FBCTCBenefit2inMotion_FRA_14s_RTG Landing Page»1x1»06s»SOC»ALL»CPC»BT»D»UNK»SS»NA»Trials</v></cell><cell r="AH1696"><v>224560875</v></cell><cell r="AI1696" t="str"><v>AZR_FBCTCBenefit2inMotion_FRA_14s_VIA_AZRDirect_French_NA_Facebook_STAN_TIN_T4_1</v></cell><cell r="AJ1696"><v>103259766</v></cell></row><row r="1697"><cell r="C1697" t="str"><v>43294Facebook»Developers/ITPros-Azure Direct-Sponsored Post-Video Ad-FBCTCBrandinMotion_FRA_12s_RTG Landing Page»1x1»05s»SOC»ALL»CPC»BT»D»UNK»SS»NA»Trials</v></cell><cell r="D1697" t="str"><v>43294224560863</v></cell><cell r="E1697" t="str"><v>43294103256577Trials</v></cell><cell r="F1697" t="str"><v>DCM</v></cell></row><row r="1697"><cell r="K1697" t="str"><v>July</v></cell><cell r="L1697"><v>43295</v></cell><cell r="M1697" t="str"><v>Tier 1</v></cell><cell r="N1697" t="str"><v>EMEA</v></cell><cell r="O1697" t="str"><v>France</v></cell><cell r="P1697" t="str"><v>Trial</v></cell><cell r="Q1697" t="str"><v>Social</v></cell><cell r="R1697" t="str"><v>Azure</v></cell><cell r="S1697" t="str"><v>Apps & Infra</v></cell><cell r="T1697" t="str"><v>Developers & ITI's</v></cell><cell r="U1697" t="str"><v>Developers/ITPros-Azure Direct-Sponsored Post-Video Ad-FBCTCBrandinMotion_FRA_12s_RTG Landing Page</v></cell><cell r="V1697" t="str"><v>Behavioral Targeting</v></cell><cell r="W1697" t="str"><v>Social</v></cell><cell r="X1697" t="str"><v>1x1</v></cell></row><row r="1697"><cell r="AA1697"><v>43294</v></cell><cell r="AB1697" t="str"><v>FRA_gaPMG_AZR_AZR_Q1_19_AzureDirect-Trial-Social</v></cell><cell r="AC1697"><v>21356941</v></cell><cell r="AD1697"><v>720193</v></cell><cell r="AE1697" t="str"><v>Facebook</v></cell><cell r="AF1697"><v>3654128</v></cell><cell r="AG1697" t="str"><v>Facebook»Developers/ITPros-Azure Direct-Sponsored Post-Video Ad-FBCTCBrandinMotion_FRA_12s_RTG Landing Page»1x1»05s»SOC»ALL»CPC»BT»D»UNK»SS»NA»Trials</v></cell><cell r="AH1697"><v>224560863</v></cell><cell r="AI1697" t="str"><v>AZR_FBCTCBrandinMotion_FRA_12s_VIA_AZRDirect_French_NA_Facebook_STAN_TIN_T2_1</v></cell><cell r="AJ1697"><v>103256577</v></cell></row><row r="1698"><cell r="C1698" t="str"><v>43294Facebook»Developers/ITPros-Azure Direct-Sponsored Post-Canvas-FBCTCcanvaspage-BuyNowCTA-Img3_FBCTCBrandinMotion_FRA_12sec»1x1»Canvas»SOC»ALL»CPC»BT»D»UNK»SS»NA»Trials</v></cell><cell r="D1698" t="str"><v>43294224416924</v></cell><cell r="E1698" t="str"><v>43294103256571Trials</v></cell><cell r="F1698" t="str"><v>DCM</v></cell><cell r="G1698" t="str"><v>https://azure.microsoft.com/fr-fr/pricing/purchase-options/</v></cell></row><row r="1698"><cell r="K1698" t="str"><v>July</v></cell><cell r="L1698"><v>43295</v></cell><cell r="M1698" t="str"><v>Tier 1</v></cell><cell r="N1698" t="str"><v>EMEA</v></cell><cell r="O1698" t="str"><v>France</v></cell><cell r="P1698" t="str"><v>Trial</v></cell><cell r="Q1698" t="str"><v>Social</v></cell><cell r="R1698" t="str"><v>Azure</v></cell><cell r="S1698" t="str"><v>Apps & Infra</v></cell><cell r="T1698" t="str"><v>Developers & ITI's</v></cell><cell r="U1698" t="str"><v>Developers/ITPros-Azure Direct-Sponsored Post-Canvas-FBCTCcanvaspage-BuyNowCTA-Img3_FBCTCBrandinMotion_FRA_12sec</v></cell><cell r="V1698" t="str"><v>Behavioral Targeting</v></cell><cell r="W1698" t="str"><v>Social</v></cell><cell r="X1698" t="str"><v>1x1</v></cell></row><row r="1698"><cell r="AA1698"><v>43294</v></cell><cell r="AB1698" t="str"><v>FRA_gaPMG_AZR_AZR_Q1_19_AzureDirect-Trial-Social</v></cell><cell r="AC1698"><v>21356941</v></cell><cell r="AD1698"><v>720193</v></cell><cell r="AE1698" t="str"><v>Facebook</v></cell><cell r="AF1698"><v>3654128</v></cell><cell r="AG1698" t="str"><v>Facebook»Developers/ITPros-Azure Direct-Sponsored Post-Canvas-FBCTCcanvaspage-BuyNowCTA-Img3_FBCTCBrandinMotion_FRA_12sec»1x1»Canvas»SOC»ALL»CPC»BT»D»UNK»SS»NA»Trials</v></cell><cell r="AH1698"><v>224416924</v></cell><cell r="AI1698" t="str"><v>AZR_FBCTCcanvaspage-BuyNowCTA-Img3_FRA_1080x162_SOC_AZRDirect_French_NA_Facebook_SBAN_BN_T3_1</v></cell><cell r="AJ1698"><v>103256571</v></cell></row><row r="1699"><cell r="C1699" t="str"><v>43294Facebook»Developers/ITPros-Azure Direct-Sponsored Post-Link Ad-FreeAcctAppsFACEBOOK12monthsChE»1x1»SocialBan»SOC»ALL»CPC»BT»D»UNK»SS»NA»Trials</v></cell><cell r="D1699" t="str"><v>43294224560866</v></cell><cell r="E1699" t="str"><v>43294103259784Trials</v></cell><cell r="F1699" t="str"><v>DCM</v></cell><cell r="G1699" t="str"><v>https://azure.microsoft.com/fr-fr/free/search/</v></cell></row><row r="1699"><cell r="K1699" t="str"><v>July</v></cell><cell r="L1699"><v>43295</v></cell><cell r="M1699" t="str"><v>Tier 1</v></cell><cell r="N1699" t="str"><v>EMEA</v></cell><cell r="O1699" t="str"><v>France</v></cell><cell r="P1699" t="str"><v>Trial</v></cell><cell r="Q1699" t="str"><v>Social</v></cell><cell r="R1699" t="str"><v>Azure</v></cell><cell r="S1699" t="str"><v>Apps & Infra</v></cell><cell r="T1699" t="str"><v>Developers & ITI's</v></cell><cell r="U1699" t="str"><v>Developers/ITPros-Azure Direct-Sponsored Post-Link Ad-FreeAcctAppsFACEBOOK12monthsChE</v></cell><cell r="V1699" t="str"><v>Behavioral Targeting</v></cell><cell r="W1699" t="str"><v>Social</v></cell><cell r="X1699" t="str"><v>1x1</v></cell></row><row r="1699"><cell r="AA1699"><v>43294</v></cell><cell r="AB1699" t="str"><v>FRA_gaPMG_AZR_AZR_Q1_19_AzureDirect-Trial-Social</v></cell><cell r="AC1699"><v>21356941</v></cell><cell r="AD1699"><v>720193</v></cell><cell r="AE1699" t="str"><v>Facebook</v></cell><cell r="AF1699"><v>3654128</v></cell><cell r="AG1699" t="str"><v>Facebook»Developers/ITPros-Azure Direct-Sponsored Post-Link Ad-FreeAcctAppsFACEBOOK12monthsChE»1x1»SocialBan»SOC»ALL»CPC»BT»D»UNK»SS»NA»Trials</v></cell><cell r="AH1699"><v>224560866</v></cell><cell r="AI1699" t="str"><v>AZR_FreeAcctAppsFACEBOOK12monthsChE_FRA_1200x628_SOC_PLAT_FR_Trial_Standard_NA_SINU_T5_1</v></cell><cell r="AJ1699"><v>103259784</v></cell></row><row r="1700"><cell r="C1700" t="str"><v>43294Facebook»Developers/ITPros-Azure Direct-Sponsored Post-Link Ad-FreeAcctAppsFACEBOOK200CreditChD»1x1»SocialBan»SOC»ALL»CPC»BT»D»UNK»SS»NA»Trials</v></cell><cell r="D1700" t="str"><v>43294224560860</v></cell><cell r="E1700" t="str"><v>43294103377773Trials</v></cell><cell r="F1700" t="str"><v>DCM</v></cell><cell r="G1700" t="str"><v>https://azure.microsoft.com/fr-fr/free/search/</v></cell></row><row r="1700"><cell r="K1700" t="str"><v>July</v></cell><cell r="L1700"><v>43295</v></cell><cell r="M1700" t="str"><v>Tier 1</v></cell><cell r="N1700" t="str"><v>EMEA</v></cell><cell r="O1700" t="str"><v>France</v></cell><cell r="P1700" t="str"><v>Trial</v></cell><cell r="Q1700" t="str"><v>Social</v></cell><cell r="R1700" t="str"><v>Azure</v></cell><cell r="S1700" t="str"><v>Apps & Infra</v></cell><cell r="T1700" t="str"><v>Developers & ITI's</v></cell><cell r="U1700" t="str"><v>Developers/ITPros-Azure Direct-Sponsored Post-Link Ad-FreeAcctAppsFACEBOOK200CreditChD</v></cell><cell r="V1700" t="str"><v>Behavioral Targeting</v></cell><cell r="W1700" t="str"><v>Social</v></cell><cell r="X1700" t="str"><v>1x1</v></cell></row><row r="1700"><cell r="AA1700"><v>43294</v></cell><cell r="AB1700" t="str"><v>FRA_gaPMG_AZR_AZR_Q1_19_AzureDirect-Trial-Social</v></cell><cell r="AC1700"><v>21356941</v></cell><cell r="AD1700"><v>720193</v></cell><cell r="AE1700" t="str"><v>Facebook</v></cell><cell r="AF1700"><v>3654128</v></cell><cell r="AG1700" t="str"><v>Facebook»Developers/ITPros-Azure Direct-Sponsored Post-Link Ad-FreeAcctAppsFACEBOOK200CreditChD»1x1»SocialBan»SOC»ALL»CPC»BT»D»UNK»SS»NA»Trials</v></cell><cell r="AH1700"><v>224560860</v></cell><cell r="AI1700" t="str"><v>AZR_FreeAcctAppsFACEBOOK200CreditChD_FRA_1200x628_SOC_PLAT_FR_Trial_Standard_NA_SINU_T4_1</v></cell><cell r="AJ1700"><v>103377773</v></cell></row><row r="1701"><cell r="C1701" t="str"><v>43294Facebook»Developers/ITPros-Azure Direct-Sponsored Post-Link Ad-FreeAcctAppsFACEBOOKDeviceChB»1x1»SocialBan»SOC»ALL»CPC»AUT»D»UNK»SS»NA»Trials</v></cell><cell r="D1701" t="str"><v>43294224560857</v></cell><cell r="E1701" t="str"><v>43294103377002Trials</v></cell><cell r="F1701" t="str"><v>DCM</v></cell><cell r="G1701" t="str"><v>https://azure.microsoft.com/fr-fr/free/search/</v></cell></row><row r="1701"><cell r="K1701" t="str"><v>July</v></cell><cell r="L1701"><v>43295</v></cell><cell r="M1701" t="str"><v>Tier 1</v></cell><cell r="N1701" t="str"><v>EMEA</v></cell><cell r="O1701" t="str"><v>France</v></cell><cell r="P1701" t="str"><v>Trial</v></cell><cell r="Q1701" t="str"><v>Social</v></cell><cell r="R1701" t="str"><v>Azure</v></cell><cell r="S1701" t="str"><v>Apps & Infra</v></cell><cell r="T1701" t="str"><v>Developers & ITI's</v></cell><cell r="U1701" t="str"><v>Developers/ITPros-Azure Direct-Sponsored Post-Link Ad-FreeAcctAppsFACEBOOKDeviceChB</v></cell><cell r="V1701" t="str"><v>Audience Targeting</v></cell><cell r="W1701" t="str"><v>Social</v></cell><cell r="X1701" t="str"><v>1x1</v></cell></row><row r="1701"><cell r="AA1701"><v>43294</v></cell><cell r="AB1701" t="str"><v>FRA_gaPMG_AZR_AZR_Q1_19_AzureDirect-Trial-Social</v></cell><cell r="AC1701"><v>21356941</v></cell><cell r="AD1701"><v>720193</v></cell><cell r="AE1701" t="str"><v>Facebook</v></cell><cell r="AF1701"><v>3654128</v></cell><cell r="AG1701" t="str"><v>Facebook»Developers/ITPros-Azure Direct-Sponsored Post-Link Ad-FreeAcctAppsFACEBOOKDeviceChB»1x1»SocialBan»SOC»ALL»CPC»AUT»D»UNK»SS»NA»Trials</v></cell><cell r="AH1701"><v>224560857</v></cell><cell r="AI1701" t="str"><v>AZR_FreeAcctAppsFACEBOOKDeviceChB_FRA_1200x628_SOC_PLAT_FR_Trial_Standard_NA_SINU_T2_1</v></cell><cell r="AJ1701"><v>103377002</v></cell></row><row r="1702"><cell r="C1702" t="str"><v>43294Facebook»Developers/ITPros-Azure Direct-Sponsored Post-Link Ad-FreeAcctAppsFACEBOOKIllustrationChC»1x1»SocialBan»SOC»ALL»CPC»AUT»D»UNK»SS»NA»Trials</v></cell><cell r="D1702" t="str"><v>43294224560854</v></cell><cell r="E1702" t="str"><v>43294103259550Trials</v></cell><cell r="F1702" t="str"><v>DCM</v></cell><cell r="G1702" t="str"><v>https://azure.microsoft.com/fr-fr/free/search/</v></cell></row><row r="1702"><cell r="K1702" t="str"><v>July</v></cell><cell r="L1702"><v>43295</v></cell><cell r="M1702" t="str"><v>Tier 1</v></cell><cell r="N1702" t="str"><v>EMEA</v></cell><cell r="O1702" t="str"><v>France</v></cell><cell r="P1702" t="str"><v>Trial</v></cell><cell r="Q1702" t="str"><v>Social</v></cell><cell r="R1702" t="str"><v>Azure</v></cell><cell r="S1702" t="str"><v>Apps & Infra</v></cell><cell r="T1702" t="str"><v>Developers & ITI's</v></cell><cell r="U1702" t="str"><v>Developers/ITPros-Azure Direct-Sponsored Post-Link Ad-FreeAcctAppsFACEBOOKIllustrationChC</v></cell><cell r="V1702" t="str"><v>Audience Targeting</v></cell><cell r="W1702" t="str"><v>Social</v></cell><cell r="X1702" t="str"><v>1x1</v></cell></row><row r="1702"><cell r="AA1702"><v>43294</v></cell><cell r="AB1702" t="str"><v>FRA_gaPMG_AZR_AZR_Q1_19_AzureDirect-Trial-Social</v></cell><cell r="AC1702"><v>21356941</v></cell><cell r="AD1702"><v>720193</v></cell><cell r="AE1702" t="str"><v>Facebook</v></cell><cell r="AF1702"><v>3654128</v></cell><cell r="AG1702" t="str"><v>Facebook»Developers/ITPros-Azure Direct-Sponsored Post-Link Ad-FreeAcctAppsFACEBOOKIllustrationChC»1x1»SocialBan»SOC»ALL»CPC»AUT»D»UNK»SS»NA»Trials</v></cell><cell r="AH1702"><v>224560854</v></cell><cell r="AI1702" t="str"><v>AZR_FreeAcctAppsFACEBOOKIllustrationChC_FRA_1200x628_SOC_PLAT_FR_Trial_Standard_NA_SINU_T3_1</v></cell><cell r="AJ1702"><v>103259550</v></cell></row><row r="1703"><cell r="C1703" t="str"><v>43294Facebook»Developers/ITPros-Azure Direct-Sponsored Post-Link Ad-FreeAcctAppsFACEBOOKLifestyleChA»1x1»SocialBan»SOC»ALL»CPC»AUT»D»UNK»SS»NA»Trials</v></cell><cell r="D1703" t="str"><v>43294224560851</v></cell><cell r="E1703" t="str"><v>43294103259562Trials</v></cell><cell r="F1703" t="str"><v>DCM</v></cell><cell r="G1703" t="str"><v>https://azure.microsoft.com/fr-fr/free/search/</v></cell></row><row r="1703"><cell r="K1703" t="str"><v>July</v></cell><cell r="L1703"><v>43295</v></cell><cell r="M1703" t="str"><v>Tier 1</v></cell><cell r="N1703" t="str"><v>EMEA</v></cell><cell r="O1703" t="str"><v>France</v></cell><cell r="P1703" t="str"><v>Trial</v></cell><cell r="Q1703" t="str"><v>Social</v></cell><cell r="R1703" t="str"><v>Azure</v></cell><cell r="S1703" t="str"><v>Apps & Infra</v></cell><cell r="T1703" t="str"><v>Developers & ITI's</v></cell><cell r="U1703" t="str"><v>Developers/ITPros-Azure Direct-Sponsored Post-Link Ad-FreeAcctAppsFACEBOOKLifestyleChA</v></cell><cell r="V1703" t="str"><v>Audience Targeting</v></cell><cell r="W1703" t="str"><v>Social</v></cell><cell r="X1703" t="str"><v>1x1</v></cell></row><row r="1703"><cell r="AA1703"><v>43294</v></cell><cell r="AB1703" t="str"><v>FRA_gaPMG_AZR_AZR_Q1_19_AzureDirect-Trial-Social</v></cell><cell r="AC1703"><v>21356941</v></cell><cell r="AD1703"><v>720193</v></cell><cell r="AE1703" t="str"><v>Facebook</v></cell><cell r="AF1703"><v>3654128</v></cell><cell r="AG1703" t="str"><v>Facebook»Developers/ITPros-Azure Direct-Sponsored Post-Link Ad-FreeAcctAppsFACEBOOKLifestyleChA»1x1»SocialBan»SOC»ALL»CPC»AUT»D»UNK»SS»NA»Trials</v></cell><cell r="AH1703"><v>224560851</v></cell><cell r="AI1703" t="str"><v>AZR_FreeAcctAppsFACEBOOKLifestyleChA_FRA_1200x628_SOC_PLAT_FR_Trial_Standard_NA_SINU_T1_1</v></cell><cell r="AJ1703"><v>103259562</v></cell></row><row r="1704"><cell r="C1704" t="str"><v>43294Facebook»Developers/ITPros-Azure Direct-Sponsored Post-Link Ad-FreeAcctRetargetingFB-Animated-ChC»1x1»SocialBan»SOC»ALL»CPC»BT»D»UNK»SS»NA»Trials</v></cell><cell r="D1704" t="str"><v>43294224560848</v></cell><cell r="E1704" t="str"><v>43294103259775Trials</v></cell><cell r="F1704" t="str"><v>DCM</v></cell><cell r="G1704" t="str"><v>https://azure.microsoft.com/fr-fr/free/search/</v></cell></row><row r="1704"><cell r="K1704" t="str"><v>July</v></cell><cell r="L1704"><v>43295</v></cell><cell r="M1704" t="str"><v>Tier 1</v></cell><cell r="N1704" t="str"><v>EMEA</v></cell><cell r="O1704" t="str"><v>France</v></cell><cell r="P1704" t="str"><v>Trial</v></cell><cell r="Q1704" t="str"><v>Social</v></cell><cell r="R1704" t="str"><v>Azure</v></cell><cell r="S1704" t="str"><v>Apps & Infra</v></cell><cell r="T1704" t="str"><v>Developers & ITI's</v></cell><cell r="U1704" t="str"><v>Developers/ITPros-Azure Direct-Sponsored Post-Link Ad-FreeAcctRetargetingFB-Animated-ChC</v></cell><cell r="V1704" t="str"><v>Behavioral Targeting</v></cell><cell r="W1704" t="str"><v>Social</v></cell><cell r="X1704" t="str"><v>1x1</v></cell></row><row r="1704"><cell r="AA1704"><v>43294</v></cell><cell r="AB1704" t="str"><v>FRA_gaPMG_AZR_AZR_Q1_19_AzureDirect-Trial-Social</v></cell><cell r="AC1704"><v>21356941</v></cell><cell r="AD1704"><v>720193</v></cell><cell r="AE1704" t="str"><v>Facebook</v></cell><cell r="AF1704"><v>3654128</v></cell><cell r="AG1704" t="str"><v>Facebook»Developers/ITPros-Azure Direct-Sponsored Post-Link Ad-FreeAcctRetargetingFB-Animated-ChC»1x1»SocialBan»SOC»ALL»CPC»BT»D»UNK»SS»NA»Trials</v></cell><cell r="AH1704"><v>224560848</v></cell><cell r="AI1704" t="str"><v>AZR_reeAcctRetargetingFB-Animated-ChC_FRA_1200x628_SOC_AZRDirect_French_NA_Facebook_SBAN_SINU_T3_1</v></cell><cell r="AJ1704"><v>103259775</v></cell></row><row r="1705"><cell r="C1705" t="str"><v>43294Facebook»Developers/ITPros-Azure Direct-Sponsored Post-Link Ad-FreeAcctRetargetingOSSFB-Logos-ChG»1x1»SocialBan»SOC»ALL»CPC»BT»D»UNK»SS»NA»Trials</v></cell><cell r="D1705" t="str"><v>43294224560842</v></cell><cell r="E1705" t="str"><v>43294103259769Trials</v></cell><cell r="F1705" t="str"><v>DCM</v></cell><cell r="G1705" t="str"><v>https://azure.microsoft.com/fr-fr/free/open-source/search/</v></cell></row><row r="1705"><cell r="K1705" t="str"><v>July</v></cell><cell r="L1705"><v>43295</v></cell><cell r="M1705" t="str"><v>Tier 1</v></cell><cell r="N1705" t="str"><v>EMEA</v></cell><cell r="O1705" t="str"><v>France</v></cell><cell r="P1705" t="str"><v>Trial</v></cell><cell r="Q1705" t="str"><v>Social</v></cell><cell r="R1705" t="str"><v>Azure</v></cell><cell r="S1705" t="str"><v>Apps & Infra</v></cell><cell r="T1705" t="str"><v>Developers & ITI's</v></cell><cell r="U1705" t="str"><v>Developers/ITPros-Azure Direct-Sponsored Post-Link Ad-FreeAcctRetargetingOSSFB-Logos-ChG</v></cell><cell r="V1705" t="str"><v>Behavioral Targeting</v></cell><cell r="W1705" t="str"><v>Social</v></cell><cell r="X1705" t="str"><v>1x1</v></cell></row><row r="1705"><cell r="AA1705"><v>43294</v></cell><cell r="AB1705" t="str"><v>FRA_gaPMG_AZR_AZR_Q1_19_AzureDirect-Trial-Social</v></cell><cell r="AC1705"><v>21356941</v></cell><cell r="AD1705"><v>720193</v></cell><cell r="AE1705" t="str"><v>Facebook</v></cell><cell r="AF1705"><v>3654128</v></cell><cell r="AG1705" t="str"><v>Facebook»Developers/ITPros-Azure Direct-Sponsored Post-Link Ad-FreeAcctRetargetingOSSFB-Logos-ChG»1x1»SocialBan»SOC»ALL»CPC»BT»D»UNK»SS»NA»Trials</v></cell><cell r="AH1705"><v>224560842</v></cell><cell r="AI1705" t="str"><v>AZR_FreeAcctRetargetingOSSFB-Logos-ChG_FRA_1200x628_SOC_AZRDirect_French_NA_Facebook_SBAN_SINU_T2_1</v></cell><cell r="AJ1705"><v>103259769</v></cell></row><row r="1706"><cell r="C1706" t="str"><v>43294Facebook»Developers/ITPros-Azure Direct-Sponsored Post-Link Ad-FreeAcctRetargetingVMFB-OnDemand-ChE»1x1»SocialBan»SOC»ALL»CPC»BT»D»UNK»SS»NA»Trials</v></cell><cell r="D1706" t="str"><v>43294224560833</v></cell><cell r="E1706" t="str"><v>43294103376990Trials</v></cell><cell r="F1706" t="str"><v>DCM</v></cell><cell r="G1706" t="str"><v>https://azure.microsoft.com/fr-fr/free/virtual-machines/search/</v></cell></row><row r="1706"><cell r="K1706" t="str"><v>July</v></cell><cell r="L1706"><v>43295</v></cell><cell r="M1706" t="str"><v>Tier 1</v></cell><cell r="N1706" t="str"><v>EMEA</v></cell><cell r="O1706" t="str"><v>France</v></cell><cell r="P1706" t="str"><v>Trial</v></cell><cell r="Q1706" t="str"><v>Social</v></cell><cell r="R1706" t="str"><v>Azure</v></cell><cell r="S1706" t="str"><v>Apps & Infra</v></cell><cell r="T1706" t="str"><v>Developers & ITI's</v></cell><cell r="U1706" t="str"><v>Developers/ITPros-Azure Direct-Sponsored Post-Link Ad-FreeAcctRetargetingVMFB-OnDemand-ChE</v></cell><cell r="V1706" t="str"><v>Behavioral Targeting</v></cell><cell r="W1706" t="str"><v>Social</v></cell><cell r="X1706" t="str"><v>1x1</v></cell></row><row r="1706"><cell r="AA1706"><v>43294</v></cell><cell r="AB1706" t="str"><v>FRA_gaPMG_AZR_AZR_Q1_19_AzureDirect-Trial-Social</v></cell><cell r="AC1706"><v>21356941</v></cell><cell r="AD1706"><v>720193</v></cell><cell r="AE1706" t="str"><v>Facebook</v></cell><cell r="AF1706"><v>3654128</v></cell><cell r="AG1706" t="str"><v>Facebook»Developers/ITPros-Azure Direct-Sponsored Post-Link Ad-FreeAcctRetargetingVMFB-OnDemand-ChE»1x1»SocialBan»SOC»ALL»CPC»BT»D»UNK»SS»NA»Trials</v></cell><cell r="AH1706"><v>224560833</v></cell><cell r="AI1706" t="str"><v>AZR_FreeAcctRetargetingVMFB-OnDemand-ChE_FRA_1200x628_SOC_AZRDirect_French_NA_Facebook_SBAN_SINU_T2_1</v></cell><cell r="AJ1706"><v>103376990</v></cell></row><row r="1707"><cell r="C1707" t="str"><v>43294Facebook»Audience & Interest Targeting»1x1»SocialBan»LIA»DT»CPC»AUT»W»NA»SS»NA»Basic Motion</v></cell><cell r="D1707" t="str"><v>43294224399962</v></cell><cell r="E1707" t="str"><v>43294103230847Motion</v></cell><cell r="F1707" t="str"><v>DCM</v></cell><cell r="G1707" t="str"><v>https://azure.microsoft.com/en-gb/pricing/purchase-options/</v></cell></row><row r="1707"><cell r="K1707" t="str"><v>July</v></cell><cell r="L1707"><v>43295</v></cell><cell r="M1707" t="str"><v>Tier 1</v></cell><cell r="N1707" t="str"><v>EMEA</v></cell><cell r="O1707" t="str"><v>United Kingdom</v></cell><cell r="P1707" t="str"><v>Trial</v></cell><cell r="Q1707" t="str"><v>Social</v></cell><cell r="R1707" t="str"><v>Azure</v></cell><cell r="S1707" t="str"><v>Apps & Infra</v></cell><cell r="T1707" t="str"><v>Developers & ITI's</v></cell><cell r="U1707" t="str"><v>Audience & Interest Targeting</v></cell><cell r="V1707" t="str"><v>Audience Targeting</v></cell><cell r="W1707" t="str"><v>Link Ad</v></cell><cell r="X1707" t="str"><v>1x1</v></cell></row><row r="1707"><cell r="AA1707"><v>43294</v></cell><cell r="AB1707" t="str"><v>GBR_gaPMG_CE_AZR_Q1_19_Trial-Social</v></cell><cell r="AC1707"><v>21337013</v></cell><cell r="AD1707"><v>720196</v></cell><cell r="AE1707" t="str"><v>Facebook</v></cell><cell r="AF1707"><v>3654128</v></cell><cell r="AG1707" t="str"><v>Facebook»Audience & Interest Targeting»1x1»SocialBan»LIA»DT»CPC»AUT»W»NA»SS»NA»Basic Motion</v></cell><cell r="AH1707"><v>224399962</v></cell><cell r="AI1707" t="str"><v>AzurePlatform_FBCTCcanvaspage-BuyNowCTA-Img3_GBR_1080x162_SOC_Plat_English_NA_Standard_NA_BN_T3_1</v></cell><cell r="AJ1707"><v>103230847</v></cell></row><row r="1708"><cell r="C1708" t="str"><v>43294Facebook»Audience & Interest Targeting»1x1»SocialBan»LIA»DT»CPC»AUT»W»NA»SS»NA»Basic Motion</v></cell><cell r="D1708" t="str"><v>43294224399962</v></cell><cell r="E1708" t="str"><v>43294103235146Motion</v></cell><cell r="F1708" t="str"><v>DCM</v></cell><cell r="G1708" t="str"><v>https://signup.azure.com/signup?offer=ms-azr-0044p&appId=102&ref=paidmedia-social-fb&redirectURL=https%3a%2f%2fazure.microsoft.com%2fen-gb%2fget-started%2fwelcome-to-azure%2f&l=en-gb&correlationId=ead86c34-1f10-49dd-a72b-6918462a2cbf</v></cell></row><row r="1708"><cell r="K1708" t="str"><v>July</v></cell><cell r="L1708"><v>43295</v></cell><cell r="M1708" t="str"><v>Tier 1</v></cell><cell r="N1708" t="str"><v>EMEA</v></cell><cell r="O1708" t="str"><v>United Kingdom</v></cell><cell r="P1708" t="str"><v>Trial</v></cell><cell r="Q1708" t="str"><v>Social</v></cell><cell r="R1708" t="str"><v>Azure</v></cell><cell r="S1708" t="str"><v>Apps & Infra</v></cell><cell r="T1708" t="str"><v>Developers & ITI's</v></cell><cell r="U1708" t="str"><v>Audience & Interest Targeting</v></cell><cell r="V1708" t="str"><v>Audience Targeting</v></cell><cell r="W1708" t="str"><v>Link Ad</v></cell><cell r="X1708" t="str"><v>1x1</v></cell></row><row r="1708"><cell r="AA1708"><v>43294</v></cell><cell r="AB1708" t="str"><v>GBR_gaPMG_CE_AZR_Q1_19_Trial-Social</v></cell><cell r="AC1708"><v>21337013</v></cell><cell r="AD1708"><v>720196</v></cell><cell r="AE1708" t="str"><v>Facebook</v></cell><cell r="AF1708"><v>3654128</v></cell><cell r="AG1708" t="str"><v>Facebook»Audience & Interest Targeting»1x1»SocialBan»LIA»DT»CPC»AUT»W»NA»SS»NA»Basic Motion</v></cell><cell r="AH1708"><v>224399962</v></cell><cell r="AI1708" t="str"><v>AzurePlatform_FBCTCcanvaspage-StartFreeCTA-Img2_GBR_1080x143 _SOC_Plat_English_NA_Standard_NA_NA_T2_1</v></cell><cell r="AJ1708"><v>103235146</v></cell></row><row r="1709"><cell r="C1709" t="str"><v>43294Facebook»Audience & Interest Targeting»1x1»SocialBan»LIA»DT»CPC»AUT»W»NA»SS»NA»Benefit 2 in Motion</v></cell><cell r="D1709" t="str"><v>43294224334170</v></cell><cell r="E1709" t="str"><v>43294103235146Motion</v></cell><cell r="F1709" t="str"><v>DCM</v></cell><cell r="G1709" t="str"><v>https://signup.azure.com/signup?offer=ms-azr-0044p&appId=102&ref=paidmedia-social-fb&redirectURL=https%3a%2f%2fazure.microsoft.com%2fen-gb%2fget-started%2fwelcome-to-azure%2f&l=en-gb&correlationId=ead86c34-1f10-49dd-a72b-6918462a2cbf</v></cell></row><row r="1709"><cell r="K1709" t="str"><v>July</v></cell><cell r="L1709"><v>43295</v></cell><cell r="M1709" t="str"><v>Tier 1</v></cell><cell r="N1709" t="str"><v>EMEA</v></cell><cell r="O1709" t="str"><v>United Kingdom</v></cell><cell r="P1709" t="str"><v>Trial</v></cell><cell r="Q1709" t="str"><v>Social</v></cell><cell r="R1709" t="str"><v>Azure</v></cell><cell r="S1709" t="str"><v>Apps & Infra</v></cell><cell r="T1709" t="str"><v>Developers & ITI's</v></cell><cell r="U1709" t="str"><v>Audience & Interest Targeting</v></cell><cell r="V1709" t="str"><v>Audience Targeting</v></cell><cell r="W1709" t="str"><v>Link Ad</v></cell><cell r="X1709" t="str"><v>1x1</v></cell></row><row r="1709"><cell r="AA1709"><v>43294</v></cell><cell r="AB1709" t="str"><v>GBR_gaPMG_CE_AZR_Q1_19_Trial-Social</v></cell><cell r="AC1709"><v>21337013</v></cell><cell r="AD1709"><v>720196</v></cell><cell r="AE1709" t="str"><v>Facebook</v></cell><cell r="AF1709"><v>3654128</v></cell><cell r="AG1709" t="str"><v>Facebook»Audience & Interest Targeting»1x1»SocialBan»LIA»DT»CPC»AUT»W»NA»SS»NA»Benefit 2 in Motion</v></cell><cell r="AH1709"><v>224334170</v></cell><cell r="AI1709" t="str"><v>AzurePlatform_FBCTCcanvaspage-StartFreeCTA-Img2_GBR_1080x143 _SOC_Plat_English_NA_Standard_NA_NA_T2_1</v></cell><cell r="AJ1709"><v>103235146</v></cell></row><row r="1710"><cell r="C1710" t="str"><v>43294Facebook»Audience & Interest Targeting»1x1»SocialBan»LIA»DT»CPC»AUT»W»NA»SS»NA»Brand in Motion</v></cell><cell r="D1710" t="str"><v>43294224549481</v></cell><cell r="E1710" t="str"><v>43294103235146Motion</v></cell><cell r="F1710" t="str"><v>DCM</v></cell><cell r="G1710" t="str"><v>https://signup.azure.com/signup?offer=ms-azr-0044p&appId=102&ref=paidmedia-social-fb&redirectURL=https%3a%2f%2fazure.microsoft.com%2fen-gb%2fget-started%2fwelcome-to-azure%2f&l=en-gb&correlationId=ead86c34-1f10-49dd-a72b-6918462a2cbf</v></cell></row><row r="1710"><cell r="K1710" t="str"><v>July</v></cell><cell r="L1710"><v>43295</v></cell><cell r="M1710" t="str"><v>Tier 1</v></cell><cell r="N1710" t="str"><v>EMEA</v></cell><cell r="O1710" t="str"><v>United Kingdom</v></cell><cell r="P1710" t="str"><v>Trial</v></cell><cell r="Q1710" t="str"><v>Social</v></cell><cell r="R1710" t="str"><v>Azure</v></cell><cell r="S1710" t="str"><v>Apps & Infra</v></cell><cell r="T1710" t="str"><v>Developers & ITI's</v></cell><cell r="U1710" t="str"><v>Audience & Interest Targeting</v></cell><cell r="V1710" t="str"><v>Audience Targeting</v></cell><cell r="W1710" t="str"><v>Link Ad</v></cell><cell r="X1710" t="str"><v>1x1</v></cell></row><row r="1710"><cell r="AA1710"><v>43294</v></cell><cell r="AB1710" t="str"><v>GBR_gaPMG_CE_AZR_Q1_19_Trial-Social</v></cell><cell r="AC1710"><v>21337013</v></cell><cell r="AD1710"><v>720196</v></cell><cell r="AE1710" t="str"><v>Facebook</v></cell><cell r="AF1710"><v>3654128</v></cell><cell r="AG1710" t="str"><v>Facebook»Audience & Interest Targeting»1x1»SocialBan»LIA»DT»CPC»AUT»W»NA»SS»NA»Brand in Motion</v></cell><cell r="AH1710"><v>224549481</v></cell><cell r="AI1710" t="str"><v>AzurePlatform_FBCTCcanvaspage-StartFreeCTA-Img2_GBR_1080x143 _SOC_Plat_English_NA_Standard_NA_NA_T2_1</v></cell><cell r="AJ1710"><v>103235146</v></cell></row><row r="1711"><cell r="C1711" t="str"><v>43294Facebook»Audience & Interest Targeting»1x1»SocialBan»LIA»DT»DYN»AUT»W»NA»SS»NA»Free Account Refresh- 12 months ChE</v></cell><cell r="D1711" t="str"><v>43294223567691</v></cell><cell r="E1711" t="str"><v>43294102854007hs ChE</v></cell><cell r="F1711" t="str"><v>DCM</v></cell><cell r="G1711" t="str"><v>https://azure.microsoft.com/en-gb/free/search/</v></cell></row><row r="1711"><cell r="K1711" t="str"><v>July</v></cell><cell r="L1711"><v>43295</v></cell><cell r="M1711" t="str"><v>Tier 1</v></cell><cell r="N1711" t="str"><v>EMEA</v></cell><cell r="O1711" t="str"><v>United Kingdom</v></cell><cell r="P1711" t="str"><v>Trial</v></cell><cell r="Q1711" t="str"><v>Social</v></cell><cell r="R1711" t="str"><v>Azure</v></cell><cell r="S1711" t="str"><v>Apps & Infra</v></cell><cell r="T1711" t="str"><v>Developers & ITI's</v></cell><cell r="U1711" t="str"><v>Audience & Interest Targeting</v></cell><cell r="V1711" t="str"><v>Audience Targeting</v></cell><cell r="W1711" t="str"><v>Link Ad</v></cell><cell r="X1711" t="str"><v>1x1</v></cell></row><row r="1711"><cell r="AA1711"><v>43294</v></cell><cell r="AB1711" t="str"><v>GBR_gaPMG_CE_AZR_Q1_19_Trial-Social</v></cell><cell r="AC1711"><v>21337013</v></cell><cell r="AD1711"><v>720196</v></cell><cell r="AE1711" t="str"><v>Facebook</v></cell><cell r="AF1711"><v>3654128</v></cell><cell r="AG1711" t="str"><v>Facebook»Audience & Interest Targeting»1x1»SocialBan»LIA»DT»DYN»AUT»W»NA»SS»NA»Free Account Refresh- 12 months ChE</v></cell><cell r="AH1711"><v>223567691</v></cell><cell r="AI1711" t="str"><v>AzurePlatform_FreeAcctAppsFACEBOOK12monthsChE_GBR_1200x628_SOC_PLAT_EN_Trial_Standard_NA_SU_T5_1</v></cell><cell r="AJ1711"><v>102854007</v></cell></row><row r="1712"><cell r="C1712" t="str"><v>43294Facebook»Audience & Interest Targeting»1x1»SocialBan»LIA»DT»DYN»AUT»W»NA»SS»NA»Free Account Refresh- 200 Credit ChD</v></cell><cell r="D1712" t="str"><v>43294223560359</v></cell><cell r="E1712" t="str"><v>43294103005662it ChD</v></cell><cell r="F1712" t="str"><v>DCM</v></cell><cell r="G1712" t="str"><v>https://azure.microsoft.com/en-gb/free/search/</v></cell></row><row r="1712"><cell r="K1712" t="str"><v>July</v></cell><cell r="L1712"><v>43295</v></cell><cell r="M1712" t="str"><v>Tier 1</v></cell><cell r="N1712" t="str"><v>EMEA</v></cell><cell r="O1712" t="str"><v>United Kingdom</v></cell><cell r="P1712" t="str"><v>Trial</v></cell><cell r="Q1712" t="str"><v>Social</v></cell><cell r="R1712" t="str"><v>Azure</v></cell><cell r="S1712" t="str"><v>Apps & Infra</v></cell><cell r="T1712" t="str"><v>Developers & ITI's</v></cell><cell r="U1712" t="str"><v>Audience & Interest Targeting</v></cell><cell r="V1712" t="str"><v>Audience Targeting</v></cell><cell r="W1712" t="str"><v>Link Ad</v></cell><cell r="X1712" t="str"><v>1x1</v></cell></row><row r="1712"><cell r="AA1712"><v>43294</v></cell><cell r="AB1712" t="str"><v>GBR_gaPMG_CE_AZR_Q1_19_Trial-Social</v></cell><cell r="AC1712"><v>21337013</v></cell><cell r="AD1712"><v>720196</v></cell><cell r="AE1712" t="str"><v>Facebook</v></cell><cell r="AF1712"><v>3654128</v></cell><cell r="AG1712" t="str"><v>Facebook»Audience & Interest Targeting»1x1»SocialBan»LIA»DT»DYN»AUT»W»NA»SS»NA»Free Account Refresh- 200 Credit ChD</v></cell><cell r="AH1712"><v>223560359</v></cell><cell r="AI1712" t="str"><v>AzurePlatform_FreeAcctAppsFACEBOOK200CreditChD_GBR_1200x628_SOC_PLAT_EN_Trial_Standard_NA_SU_T4_1</v></cell><cell r="AJ1712"><v>103005662</v></cell></row><row r="1713"><cell r="C1713" t="str"><v>43294Facebook»Audience & Interest Targeting»1x1»SocialBan»LIA»DT»DYN»AUT»W»NA»SS»NA»Free Account Refresh- Device ChB</v></cell><cell r="D1713" t="str"><v>43294223560353</v></cell><cell r="E1713" t="str"><v>43294102854010ce ChB</v></cell><cell r="F1713" t="str"><v>DCM</v></cell><cell r="G1713" t="str"><v>https://azure.microsoft.com/en-gb/free/search/</v></cell></row><row r="1713"><cell r="K1713" t="str"><v>July</v></cell><cell r="L1713"><v>43295</v></cell><cell r="M1713" t="str"><v>Tier 1</v></cell><cell r="N1713" t="str"><v>EMEA</v></cell><cell r="O1713" t="str"><v>United Kingdom</v></cell><cell r="P1713" t="str"><v>Trial</v></cell><cell r="Q1713" t="str"><v>Social</v></cell><cell r="R1713" t="str"><v>Azure</v></cell><cell r="S1713" t="str"><v>Apps & Infra</v></cell><cell r="T1713" t="str"><v>Developers & ITI's</v></cell><cell r="U1713" t="str"><v>Audience & Interest Targeting</v></cell><cell r="V1713" t="str"><v>Audience Targeting</v></cell><cell r="W1713" t="str"><v>Link Ad</v></cell><cell r="X1713" t="str"><v>1x1</v></cell></row><row r="1713"><cell r="AA1713"><v>43294</v></cell><cell r="AB1713" t="str"><v>GBR_gaPMG_CE_AZR_Q1_19_Trial-Social</v></cell><cell r="AC1713"><v>21337013</v></cell><cell r="AD1713"><v>720196</v></cell><cell r="AE1713" t="str"><v>Facebook</v></cell><cell r="AF1713"><v>3654128</v></cell><cell r="AG1713" t="str"><v>Facebook»Audience & Interest Targeting»1x1»SocialBan»LIA»DT»DYN»AUT»W»NA»SS»NA»Free Account Refresh- Device ChB</v></cell><cell r="AH1713"><v>223560353</v></cell><cell r="AI1713" t="str"><v>AzurePlatform_FreeAcctAppsFACEBOOKDeviceChB_GBR_1200x628_SOC_PLAT_EN_Trial_Standard_NA_SU_T2_1</v></cell><cell r="AJ1713"><v>102854010</v></cell></row><row r="1714"><cell r="C1714" t="str"><v>43294Facebook»Audience & Interest Targeting»1x1»SocialBan»LIA»DT»DYN»AUT»W»NA»SS»NA»Free Account Refresh- Illustration ChC</v></cell><cell r="D1714" t="str"><v>43294223560347</v></cell><cell r="E1714" t="str"><v>43294102857037on ChC</v></cell><cell r="F1714" t="str"><v>DCM</v></cell><cell r="G1714" t="str"><v>https://azure.microsoft.com/en-gb/free/search/</v></cell></row><row r="1714"><cell r="K1714" t="str"><v>July</v></cell><cell r="L1714"><v>43295</v></cell><cell r="M1714" t="str"><v>Tier 1</v></cell><cell r="N1714" t="str"><v>EMEA</v></cell><cell r="O1714" t="str"><v>United Kingdom</v></cell><cell r="P1714" t="str"><v>Trial</v></cell><cell r="Q1714" t="str"><v>Social</v></cell><cell r="R1714" t="str"><v>Azure</v></cell><cell r="S1714" t="str"><v>Apps & Infra</v></cell><cell r="T1714" t="str"><v>Developers & ITI's</v></cell><cell r="U1714" t="str"><v>Audience & Interest Targeting</v></cell><cell r="V1714" t="str"><v>Audience Targeting</v></cell><cell r="W1714" t="str"><v>Link Ad</v></cell><cell r="X1714" t="str"><v>1x1</v></cell></row><row r="1714"><cell r="AA1714"><v>43294</v></cell><cell r="AB1714" t="str"><v>GBR_gaPMG_CE_AZR_Q1_19_Trial-Social</v></cell><cell r="AC1714"><v>21337013</v></cell><cell r="AD1714"><v>720196</v></cell><cell r="AE1714" t="str"><v>Facebook</v></cell><cell r="AF1714"><v>3654128</v></cell><cell r="AG1714" t="str"><v>Facebook»Audience & Interest Targeting»1x1»SocialBan»LIA»DT»DYN»AUT»W»NA»SS»NA»Free Account Refresh- Illustration ChC</v></cell><cell r="AH1714"><v>223560347</v></cell><cell r="AI1714" t="str"><v>AzurePlatform_FreeAcctAppsFACEBOOKIllustrationChC_GBR_1200x628_SOC_PLAT_EN_Trial_Standard_NA_SU_T3_1</v></cell><cell r="AJ1714"><v>102857037</v></cell></row><row r="1715"><cell r="C1715" t="str"><v>43294Facebook»Audience & Interest Targeting»1x1»SocialBan»LIA»DT»DYN»AUT»W»NA»SS»NA»Free Account Refresh- Lifestyle ChA</v></cell><cell r="D1715" t="str"><v>43294223560341</v></cell><cell r="E1715" t="str"><v>43294102853597le ChA</v></cell><cell r="F1715" t="str"><v>DCM</v></cell><cell r="G1715" t="str"><v>https://azure.microsoft.com/en-gb/free/search/</v></cell></row><row r="1715"><cell r="K1715" t="str"><v>July</v></cell><cell r="L1715"><v>43295</v></cell><cell r="M1715" t="str"><v>Tier 1</v></cell><cell r="N1715" t="str"><v>EMEA</v></cell><cell r="O1715" t="str"><v>United Kingdom</v></cell><cell r="P1715" t="str"><v>Trial</v></cell><cell r="Q1715" t="str"><v>Social</v></cell><cell r="R1715" t="str"><v>Azure</v></cell><cell r="S1715" t="str"><v>Apps & Infra</v></cell><cell r="T1715" t="str"><v>Developers & ITI's</v></cell><cell r="U1715" t="str"><v>Audience & Interest Targeting</v></cell><cell r="V1715" t="str"><v>Audience Targeting</v></cell><cell r="W1715" t="str"><v>Link Ad</v></cell><cell r="X1715" t="str"><v>1x1</v></cell></row><row r="1715"><cell r="AA1715"><v>43294</v></cell><cell r="AB1715" t="str"><v>GBR_gaPMG_CE_AZR_Q1_19_Trial-Social</v></cell><cell r="AC1715"><v>21337013</v></cell><cell r="AD1715"><v>720196</v></cell><cell r="AE1715" t="str"><v>Facebook</v></cell><cell r="AF1715"><v>3654128</v></cell><cell r="AG1715" t="str"><v>Facebook»Audience & Interest Targeting»1x1»SocialBan»LIA»DT»DYN»AUT»W»NA»SS»NA»Free Account Refresh- Lifestyle ChA</v></cell><cell r="AH1715"><v>223560341</v></cell><cell r="AI1715" t="str"><v>AzurePlatform_FreeAcctAppsFACEBOOKLifestyleChA_GBR_1200x628_SOC_PLAT_EN_Trial_Standard_NA_SU_T1_1</v></cell><cell r="AJ1715"><v>102853597</v></cell></row><row r="1716"><cell r="C1716" t="str"><v>43294Facebook»Retargeting»1x1»SocialBan»LIA»DT»DYN»RT»W»NA»SS»NA»Free Account Retargeting Generic- Animated ChC</v></cell><cell r="D1716" t="str"><v>43294223560299</v></cell><cell r="E1716" t="str"><v>43294102854019ed ChC</v></cell><cell r="F1716" t="str"><v>DCM</v></cell><cell r="G1716" t="str"><v>https://azure.microsoft.com/en-gb/free/search/</v></cell></row><row r="1716"><cell r="K1716" t="str"><v>July</v></cell><cell r="L1716"><v>43295</v></cell><cell r="M1716" t="str"><v>Tier 1</v></cell><cell r="N1716" t="str"><v>EMEA</v></cell><cell r="O1716" t="str"><v>United Kingdom</v></cell><cell r="P1716" t="str"><v>Trial</v></cell><cell r="Q1716" t="str"><v>Social</v></cell><cell r="R1716" t="str"><v>Azure</v></cell><cell r="S1716" t="str"><v>Apps & Infra</v></cell><cell r="T1716" t="str"><v>Developers & ITI's</v></cell><cell r="U1716" t="str"><v>Retargeting</v></cell><cell r="V1716" t="str"><v>Retargeting</v></cell><cell r="W1716" t="str"><v>Link Ad</v></cell><cell r="X1716" t="str"><v>1x1</v></cell></row><row r="1716"><cell r="AA1716"><v>43294</v></cell><cell r="AB1716" t="str"><v>GBR_gaPMG_CE_AZR_Q1_19_Trial-Social</v></cell><cell r="AC1716"><v>21337013</v></cell><cell r="AD1716"><v>720196</v></cell><cell r="AE1716" t="str"><v>Facebook</v></cell><cell r="AF1716"><v>3654128</v></cell><cell r="AG1716" t="str"><v>Facebook»Retargeting»1x1»SocialBan»LIA»DT»DYN»RT»W»NA»SS»NA»Free Account Retargeting Generic- Animated ChC</v></cell><cell r="AH1716"><v>223560299</v></cell><cell r="AI1716" t="str"><v>AzurePlatform_FreeAcctRetargetingFB-Animated-ChC_GBR_1200x628_SOC_Plat_EN_Free Account_Standard_ANI_SU_T3_1</v></cell><cell r="AJ1716"><v>102854019</v></cell></row><row r="1717"><cell r="C1717" t="str"><v>43294Facebook»Retargeting»1x1»SocialBan»LIA»DT»DYN»RT»W»NA»SS»NA»Free Account Retargeting Generic- Global Alt ChB</v></cell><cell r="D1717" t="str"><v>43294223560356</v></cell><cell r="E1717" t="str"><v>43294102854016lt ChB</v></cell><cell r="F1717" t="str"><v>DCM</v></cell><cell r="G1717" t="str"><v>https://azure.microsoft.com/en-gb/free/search/</v></cell></row><row r="1717"><cell r="K1717" t="str"><v>July</v></cell><cell r="L1717"><v>43295</v></cell><cell r="M1717" t="str"><v>Tier 1</v></cell><cell r="N1717" t="str"><v>EMEA</v></cell><cell r="O1717" t="str"><v>United Kingdom</v></cell><cell r="P1717" t="str"><v>Trial</v></cell><cell r="Q1717" t="str"><v>Social</v></cell><cell r="R1717" t="str"><v>Azure</v></cell><cell r="S1717" t="str"><v>Apps & Infra</v></cell><cell r="T1717" t="str"><v>Developers & ITI's</v></cell><cell r="U1717" t="str"><v>Retargeting</v></cell><cell r="V1717" t="str"><v>Retargeting</v></cell><cell r="W1717" t="str"><v>Link Ad</v></cell><cell r="X1717" t="str"><v>1x1</v></cell></row><row r="1717"><cell r="AA1717"><v>43294</v></cell><cell r="AB1717" t="str"><v>GBR_gaPMG_CE_AZR_Q1_19_Trial-Social</v></cell><cell r="AC1717"><v>21337013</v></cell><cell r="AD1717"><v>720196</v></cell><cell r="AE1717" t="str"><v>Facebook</v></cell><cell r="AF1717"><v>3654128</v></cell><cell r="AG1717" t="str"><v>Facebook»Retargeting»1x1»SocialBan»LIA»DT»DYN»RT»W»NA»SS»NA»Free Account Retargeting Generic- Global Alt ChB</v></cell><cell r="AH1717"><v>223560356</v></cell><cell r="AI1717" t="str"><v>AzurePlatform_FreeAcctRetargetingFB-GlobalAlt-ChB_GBR_1200x628_SOC_Plat_EN_Free Account_Standard_NA_SU_T2_1</v></cell><cell r="AJ1717"><v>102854016</v></cell></row><row r="1718"><cell r="C1718" t="str"><v>43294Facebook»Retargeting»1x1»SocialBan»LIA»DT»DYN»RT»W»NA»SS»NA»Free Account Retargeting OSS- Logos ChG</v></cell><cell r="D1718" t="str"><v>43294223560350</v></cell><cell r="E1718" t="str"><v>43294103006547os ChG</v></cell><cell r="F1718" t="str"><v>DCM</v></cell><cell r="G1718" t="str"><v>https://azure.microsoft.com/en-gb/free/open-source/search/</v></cell></row><row r="1718"><cell r="K1718" t="str"><v>July</v></cell><cell r="L1718"><v>43295</v></cell><cell r="M1718" t="str"><v>Tier 1</v></cell><cell r="N1718" t="str"><v>EMEA</v></cell><cell r="O1718" t="str"><v>United Kingdom</v></cell><cell r="P1718" t="str"><v>Trial</v></cell><cell r="Q1718" t="str"><v>Social</v></cell><cell r="R1718" t="str"><v>Azure</v></cell><cell r="S1718" t="str"><v>Apps & Infra</v></cell><cell r="T1718" t="str"><v>Developers & ITI's</v></cell><cell r="U1718" t="str"><v>Retargeting</v></cell><cell r="V1718" t="str"><v>Retargeting</v></cell><cell r="W1718" t="str"><v>Link Ad</v></cell><cell r="X1718" t="str"><v>1x1</v></cell></row><row r="1718"><cell r="AA1718"><v>43294</v></cell><cell r="AB1718" t="str"><v>GBR_gaPMG_CE_AZR_Q1_19_Trial-Social</v></cell><cell r="AC1718"><v>21337013</v></cell><cell r="AD1718"><v>720196</v></cell><cell r="AE1718" t="str"><v>Facebook</v></cell><cell r="AF1718"><v>3654128</v></cell><cell r="AG1718" t="str"><v>Facebook»Retargeting»1x1»SocialBan»LIA»DT»DYN»RT»W»NA»SS»NA»Free Account Retargeting OSS- Logos ChG</v></cell><cell r="AH1718"><v>223560350</v></cell><cell r="AI1718" t="str"><v>AzurePlatform_FreeAcctRetargetingOSSFB-Logos-ChG_GBR_1200x628_SOC_Plat_EN_Free Account_Standard_NA_SU_T2_1</v></cell><cell r="AJ1718"><v>103006547</v></cell></row><row r="1719"><cell r="C1719" t="str"><v>43294Facebook»Retargeting»1x1»SocialBan»LIA»DT»DYN»RT»W»NA»SS»NA»Free Account Retargeting VM- 750 Hrs ChD</v></cell><cell r="D1719" t="str"><v>43294223560338</v></cell><cell r="E1719" t="str"><v>43294102853603rs ChD</v></cell><cell r="F1719" t="str"><v>DCM</v></cell><cell r="G1719" t="str"><v>https://azure.microsoft.com/en-gb/free/virtual-machines/search/</v></cell></row><row r="1719"><cell r="K1719" t="str"><v>July</v></cell><cell r="L1719"><v>43295</v></cell><cell r="M1719" t="str"><v>Tier 1</v></cell><cell r="N1719" t="str"><v>EMEA</v></cell><cell r="O1719" t="str"><v>United Kingdom</v></cell><cell r="P1719" t="str"><v>Trial</v></cell><cell r="Q1719" t="str"><v>Social</v></cell><cell r="R1719" t="str"><v>Azure</v></cell><cell r="S1719" t="str"><v>Apps & Infra</v></cell><cell r="T1719" t="str"><v>Developers & ITI's</v></cell><cell r="U1719" t="str"><v>Retargeting</v></cell><cell r="V1719" t="str"><v>Retargeting</v></cell><cell r="W1719" t="str"><v>Link Ad</v></cell><cell r="X1719" t="str"><v>1x1</v></cell></row><row r="1719"><cell r="AA1719"><v>43294</v></cell><cell r="AB1719" t="str"><v>GBR_gaPMG_CE_AZR_Q1_19_Trial-Social</v></cell><cell r="AC1719"><v>21337013</v></cell><cell r="AD1719"><v>720196</v></cell><cell r="AE1719" t="str"><v>Facebook</v></cell><cell r="AF1719"><v>3654128</v></cell><cell r="AG1719" t="str"><v>Facebook»Retargeting»1x1»SocialBan»LIA»DT»DYN»RT»W»NA»SS»NA»Free Account Retargeting VM- 750 Hrs ChD</v></cell><cell r="AH1719"><v>223560338</v></cell><cell r="AI1719" t="str"><v>AzurePlatform_FreeAcctRetargetingVMFB-750Hrs-ChD_GBR_1200x628_SOC_Plat_EN_Free Account_Standard_NA_SU_T1_1</v></cell><cell r="AJ1719"><v>102853603</v></cell></row><row r="1720"><cell r="C1720" t="str"><v>43294Facebook»Retargeting»1x1»SocialBan»LIA»DT»DYN»RT»W»NA»SS»NA»Free Account Retargeting VM- On Demand ChE</v></cell><cell r="D1720" t="str"><v>43294223560332</v></cell><cell r="E1720" t="str"><v>43294102854037nd ChE</v></cell><cell r="F1720" t="str"><v>DCM</v></cell><cell r="G1720" t="str"><v>https://azure.microsoft.com/en-gb/free/virtual-machines/search/</v></cell></row><row r="1720"><cell r="K1720" t="str"><v>July</v></cell><cell r="L1720"><v>43295</v></cell><cell r="M1720" t="str"><v>Tier 1</v></cell><cell r="N1720" t="str"><v>EMEA</v></cell><cell r="O1720" t="str"><v>United Kingdom</v></cell><cell r="P1720" t="str"><v>Trial</v></cell><cell r="Q1720" t="str"><v>Social</v></cell><cell r="R1720" t="str"><v>Azure</v></cell><cell r="S1720" t="str"><v>Apps & Infra</v></cell><cell r="T1720" t="str"><v>Developers & ITI's</v></cell><cell r="U1720" t="str"><v>Retargeting</v></cell><cell r="V1720" t="str"><v>Retargeting</v></cell><cell r="W1720" t="str"><v>Link Ad</v></cell><cell r="X1720" t="str"><v>1x1</v></cell></row><row r="1720"><cell r="AA1720"><v>43294</v></cell><cell r="AB1720" t="str"><v>GBR_gaPMG_CE_AZR_Q1_19_Trial-Social</v></cell><cell r="AC1720"><v>21337013</v></cell><cell r="AD1720"><v>720196</v></cell><cell r="AE1720" t="str"><v>Facebook</v></cell><cell r="AF1720"><v>3654128</v></cell><cell r="AG1720" t="str"><v>Facebook»Retargeting»1x1»SocialBan»LIA»DT»DYN»RT»W»NA»SS»NA»Free Account Retargeting VM- On Demand ChE</v></cell><cell r="AH1720"><v>223560332</v></cell><cell r="AI1720" t="str"><v>AzurePlatform_FreeAcctRetargetingVMFB-OnDemand-ChE_GBR_1200x628_SOC_Plat_EN_Free Account_Standard_NA_SU_T2_1</v></cell><cell r="AJ1720"><v>102854037</v></cell></row><row r="1721"><cell r="C1721" t="str"><v>43294Facebook»AZP-Canvas-Interest&Role-Trial»1x1»Canvas»OTH»MO»CPM»PRO»X»UNK»TP»OT»Canvas-Trial</v></cell><cell r="D1721" t="str"><v>43294223298805</v></cell><cell r="E1721" t="str"><v>43294102609621-Trial</v></cell><cell r="F1721" t="str"><v>DCM</v></cell><cell r="G1721" t="str"><v>https://signup.azure.com/signup?offer=ms-azr-0044p&appId=102&ref=paidmedia-social-fb&redirectURL=https%3a%2f%2fazure.microsoft.com%2fja-jp%2fget-started%2fwelcome-to-azure%2f&l=ja-jp&correlationId=ead86c34-1f10-49dd-a72b-6918462a2cbf</v></cell></row><row r="1721"><cell r="K1721" t="str"><v>July</v></cell><cell r="L1721"><v>43295</v></cell><cell r="M1721" t="str"><v>Tier 1</v></cell><cell r="N1721" t="str"><v>APAC</v></cell><cell r="O1721" t="str"><v>Japan</v></cell><cell r="P1721" t="str"><v>Trial</v></cell><cell r="Q1721" t="str"><v>Social</v></cell><cell r="R1721" t="str"><v>Azure</v></cell><cell r="S1721" t="str"><v>Apps & Infra</v></cell><cell r="T1721" t="str"><v>Developers & ITI's</v></cell><cell r="U1721" t="str"><v>AZP-Canvas-Interest&Role-Trial</v></cell><cell r="V1721" t="str"><v>Prospecting</v></cell><cell r="W1721" t="str"><v>Other</v></cell><cell r="X1721" t="str"><v>1x1</v></cell></row><row r="1721"><cell r="AA1721"><v>43294</v></cell><cell r="AB1721" t="str"><v>JPN_gaPMG_AZR_AZR_Q1_19_Trial-Social</v></cell><cell r="AC1721"><v>21276694</v></cell><cell r="AD1721"><v>720195</v></cell><cell r="AE1721" t="str"><v>Facebook</v></cell><cell r="AF1721"><v>3654128</v></cell><cell r="AG1721" t="str"><v>Facebook»AZP-Canvas-Interest&Role-Trial»1x1»Canvas»OTH»MO»CPM»PRO»X»UNK»TP»OT»Canvas-Trial</v></cell><cell r="AH1721"><v>223298805</v></cell><cell r="AI1721" t="str"><v>AzurePlatform_FBCTCcanvaspage-StartFreeCTA-Img2_JPN_1080x143 _SOC_Plat_Japanese_NA_Standard_NA_NA_T2_1</v></cell><cell r="AJ1721"><v>102609621</v></cell></row><row r="1722"><cell r="C1722" t="str"><v>43294Facebook»AZP-Canvas-Look a Like-Trial»1x1»Canvas»OTH»MO»CPM»PRO»X»UNK»TP»OT»Canvas-Trial</v></cell><cell r="D1722" t="str"><v>43294223297413</v></cell><cell r="E1722" t="str"><v>43294102609621-Trial</v></cell><cell r="F1722" t="str"><v>DCM</v></cell><cell r="G1722" t="str"><v>https://signup.azure.com/signup?offer=ms-azr-0044p&appId=102&ref=paidmedia-social-fb&redirectURL=https%3a%2f%2fazure.microsoft.com%2fja-jp%2fget-started%2fwelcome-to-azure%2f&l=ja-jp&correlationId=ead86c34-1f10-49dd-a72b-6918462a2cbf</v></cell></row><row r="1722"><cell r="K1722" t="str"><v>July</v></cell><cell r="L1722"><v>43295</v></cell><cell r="M1722" t="str"><v>Tier 1</v></cell><cell r="N1722" t="str"><v>APAC</v></cell><cell r="O1722" t="str"><v>Japan</v></cell><cell r="P1722" t="str"><v>Trial</v></cell><cell r="Q1722" t="str"><v>Social</v></cell><cell r="R1722" t="str"><v>Azure</v></cell><cell r="S1722" t="str"><v>Apps & Infra</v></cell><cell r="T1722" t="str"><v>Developers & ITI's</v></cell><cell r="U1722" t="str"><v>AZP-Canvas-Look a Like-Trial</v></cell><cell r="V1722" t="str"><v>Prospecting</v></cell><cell r="W1722" t="str"><v>Other</v></cell><cell r="X1722" t="str"><v>1x1</v></cell></row><row r="1722"><cell r="AA1722"><v>43294</v></cell><cell r="AB1722" t="str"><v>JPN_gaPMG_AZR_AZR_Q1_19_Trial-Social</v></cell><cell r="AC1722"><v>21276694</v></cell><cell r="AD1722"><v>720195</v></cell><cell r="AE1722" t="str"><v>Facebook</v></cell><cell r="AF1722"><v>3654128</v></cell><cell r="AG1722" t="str"><v>Facebook»AZP-Canvas-Look a Like-Trial»1x1»Canvas»OTH»MO»CPM»PRO»X»UNK»TP»OT»Canvas-Trial</v></cell><cell r="AH1722"><v>223297413</v></cell><cell r="AI1722" t="str"><v>AzurePlatform_FBCTCcanvaspage-StartFreeCTA-Img2_JPN_1080x143 _SOC_Plat_Japanese_NA_Standard_NA_NA_T2_1</v></cell><cell r="AJ1722"><v>102609621</v></cell></row><row r="1723"><cell r="C1723" t="str"><v>43294Facebook»AZP-Retargeting»1x1»Ban»LIA»ALL»CPM»RT»X»All»TP»OT»Free Account Retargeting OSS-ChF</v></cell><cell r="D1723" t="str"><v>43294223726368</v></cell><cell r="E1723" t="str"><v>43294102974750SS-ChF</v></cell><cell r="F1723" t="str"><v>DCM</v></cell><cell r="G1723" t="str"><v>https://azure.microsoft.com/ja-jp/free/open-source/search/</v></cell></row><row r="1723"><cell r="K1723" t="str"><v>July</v></cell><cell r="L1723"><v>43295</v></cell><cell r="M1723" t="str"><v>Tier 1</v></cell><cell r="N1723" t="str"><v>APAC</v></cell><cell r="O1723" t="str"><v>Japan</v></cell><cell r="P1723" t="str"><v>Trial</v></cell><cell r="Q1723" t="str"><v>Social</v></cell><cell r="R1723" t="str"><v>Azure</v></cell><cell r="S1723" t="str"><v>Apps & Infra</v></cell><cell r="T1723" t="str"><v>Developers & ITI's</v></cell><cell r="U1723" t="str"><v>AZP-Retargeting</v></cell><cell r="V1723" t="str"><v>Retargeting</v></cell><cell r="W1723" t="str"><v>Link Ad</v></cell><cell r="X1723" t="str"><v>1x1</v></cell></row><row r="1723"><cell r="AA1723"><v>43294</v></cell><cell r="AB1723" t="str"><v>JPN_gaPMG_AZR_AZR_Q1_19_Trial-Social</v></cell><cell r="AC1723"><v>21276694</v></cell><cell r="AD1723"><v>720195</v></cell><cell r="AE1723" t="str"><v>Facebook</v></cell><cell r="AF1723"><v>3654128</v></cell><cell r="AG1723" t="str"><v>Facebook»AZP-Retargeting»1x1»Ban»LIA»ALL»CPM»RT»X»All»TP»OT»Free Account Retargeting OSS-ChF</v></cell><cell r="AH1723"><v>223726368</v></cell><cell r="AI1723" t="str"><v>AzurePlatform_FreeAcctRetargetingOSSFB-Text-ChF_JPN_1200x628_SOC_Plat_JA_Free Account_Standard_NA_SU_T1_1</v></cell><cell r="AJ1723"><v>102974750</v></cell></row><row r="1724"><cell r="C1724" t="str"><v>43294Facebook»AZP-Retargeting»1x1»Ban»LIA»ALL»CPM»RT»X»All»TP»OT»Free Account Retargeting VM-ChD</v></cell><cell r="D1724" t="str"><v>43294223726374</v></cell><cell r="E1724" t="str"><v>43294102971306VM-ChD</v></cell><cell r="F1724" t="str"><v>DCM</v></cell><cell r="G1724" t="str"><v>https://azure.microsoft.com/ja-jp/free/virtual-machines/search/</v></cell></row><row r="1724"><cell r="K1724" t="str"><v>July</v></cell><cell r="L1724"><v>43295</v></cell><cell r="M1724" t="str"><v>Tier 1</v></cell><cell r="N1724" t="str"><v>APAC</v></cell><cell r="O1724" t="str"><v>Japan</v></cell><cell r="P1724" t="str"><v>Trial</v></cell><cell r="Q1724" t="str"><v>Social</v></cell><cell r="R1724" t="str"><v>Azure</v></cell><cell r="S1724" t="str"><v>Apps & Infra</v></cell><cell r="T1724" t="str"><v>Developers & ITI's</v></cell><cell r="U1724" t="str"><v>AZP-Retargeting</v></cell><cell r="V1724" t="str"><v>Retargeting</v></cell><cell r="W1724" t="str"><v>Link Ad</v></cell><cell r="X1724" t="str"><v>1x1</v></cell></row><row r="1724"><cell r="AA1724"><v>43294</v></cell><cell r="AB1724" t="str"><v>JPN_gaPMG_AZR_AZR_Q1_19_Trial-Social</v></cell><cell r="AC1724"><v>21276694</v></cell><cell r="AD1724"><v>720195</v></cell><cell r="AE1724" t="str"><v>Facebook</v></cell><cell r="AF1724"><v>3654128</v></cell><cell r="AG1724" t="str"><v>Facebook»AZP-Retargeting»1x1»Ban»LIA»ALL»CPM»RT»X»All»TP»OT»Free Account Retargeting VM-ChD</v></cell><cell r="AH1724"><v>223726374</v></cell><cell r="AI1724" t="str"><v>AzurePlatform_FreeAcctRetargetingVMFB-750Hrs-ChD_JPN_1200x628_SOC_Plat_JA_Free Account_Standard_NA_SU_T1_1</v></cell><cell r="AJ1724"><v>102971306</v></cell></row><row r="1725"><cell r="C1725" t="str"><v>43294Facebook»AZP-Retargeting»1x1»Ban»LIA»ALL»CPM»RT»X»All»TP»OT»Free Account Retargeting VM-ChE</v></cell><cell r="D1725" t="str"><v>43294223726371</v></cell><cell r="E1725" t="str"><v>43294102977723VM-ChE</v></cell><cell r="F1725" t="str"><v>DCM</v></cell><cell r="G1725" t="str"><v>https://azure.microsoft.com/ja-jp/free/virtual-machines/search/</v></cell></row><row r="1725"><cell r="K1725" t="str"><v>July</v></cell><cell r="L1725"><v>43295</v></cell><cell r="M1725" t="str"><v>Tier 1</v></cell><cell r="N1725" t="str"><v>APAC</v></cell><cell r="O1725" t="str"><v>Japan</v></cell><cell r="P1725" t="str"><v>Trial</v></cell><cell r="Q1725" t="str"><v>Social</v></cell><cell r="R1725" t="str"><v>Azure</v></cell><cell r="S1725" t="str"><v>Apps & Infra</v></cell><cell r="T1725" t="str"><v>Developers & ITI's</v></cell><cell r="U1725" t="str"><v>AZP-Retargeting</v></cell><cell r="V1725" t="str"><v>Retargeting</v></cell><cell r="W1725" t="str"><v>Link Ad</v></cell><cell r="X1725" t="str"><v>1x1</v></cell></row><row r="1725"><cell r="AA1725"><v>43294</v></cell><cell r="AB1725" t="str"><v>JPN_gaPMG_AZR_AZR_Q1_19_Trial-Social</v></cell><cell r="AC1725"><v>21276694</v></cell><cell r="AD1725"><v>720195</v></cell><cell r="AE1725" t="str"><v>Facebook</v></cell><cell r="AF1725"><v>3654128</v></cell><cell r="AG1725" t="str"><v>Facebook»AZP-Retargeting»1x1»Ban»LIA»ALL»CPM»RT»X»All»TP»OT»Free Account Retargeting VM-ChE</v></cell><cell r="AH1725"><v>223726371</v></cell><cell r="AI1725" t="str"><v>AzurePlatform_FreeAcctRetargetingVMFB-OnDemand-ChE_JPN_1200x628_SOC_Plat_JA_Free Account_Standard_NA_SU_T2_1</v></cell><cell r="AJ1725"><v>102977723</v></cell></row><row r="1726"><cell r="C1726" t="str"><v>43294Facebook»AZP-Retargeting»1x1»Canvas»OTH»MO»CPM»RT»W»UNK»TP»OT»Trial-Basicmotion</v></cell><cell r="D1726" t="str"><v>43294223298811</v></cell><cell r="E1726" t="str"><v>43294102773984motion</v></cell><cell r="F1726" t="str"><v>DCM</v></cell><cell r="G1726" t="str"><v>https://azure.microsoft.com/ja-jp/free/search/</v></cell></row><row r="1726"><cell r="K1726" t="str"><v>July</v></cell><cell r="L1726"><v>43295</v></cell><cell r="M1726" t="str"><v>Tier 1</v></cell><cell r="N1726" t="str"><v>APAC</v></cell><cell r="O1726" t="str"><v>Japan</v></cell><cell r="P1726" t="str"><v>Trial</v></cell><cell r="Q1726" t="str"><v>Social</v></cell><cell r="R1726" t="str"><v>Azure</v></cell><cell r="S1726" t="str"><v>Apps & Infra</v></cell><cell r="T1726" t="str"><v>Developers & ITI's</v></cell><cell r="U1726" t="str"><v>AZP-Retargeting</v></cell><cell r="V1726" t="str"><v>Retargeting</v></cell><cell r="W1726" t="str"><v>Other</v></cell><cell r="X1726" t="str"><v>1x1</v></cell></row><row r="1726"><cell r="AA1726"><v>43294</v></cell><cell r="AB1726" t="str"><v>JPN_gaPMG_AZR_AZR_Q1_19_Trial-Social</v></cell><cell r="AC1726"><v>21276694</v></cell><cell r="AD1726"><v>720195</v></cell><cell r="AE1726" t="str"><v>Facebook</v></cell><cell r="AF1726"><v>3654128</v></cell><cell r="AG1726" t="str"><v>Facebook»AZP-Retargeting»1x1»Canvas»OTH»MO»CPM»RT»W»UNK»TP»OT»Trial-Basicmotion</v></cell><cell r="AH1726"><v>223298811</v></cell><cell r="AI1726" t="str"><v>AzurePlatform_FBCTCBasicMotion_JPN_10sec_ISV_PLAT_JA_Trial_Standard_STAN_TN_T1_1</v></cell><cell r="AJ1726"><v>102773984</v></cell></row><row r="1727"><cell r="C1727" t="str"><v>43294Facebook»AZP-Retargeting»1x1»Canvas»OTH»MO»CPM»RT»W»UNK»TP»OT»Trial-Benefit2inMotion</v></cell><cell r="D1727" t="str"><v>43294223298496</v></cell><cell r="E1727" t="str"><v>43294102630376Motion</v></cell><cell r="F1727" t="str"><v>DCM</v></cell><cell r="G1727" t="str"><v>https://azure.microsoft.com/ja-jp/free/search/</v></cell></row><row r="1727"><cell r="K1727" t="str"><v>July</v></cell><cell r="L1727"><v>43295</v></cell><cell r="M1727" t="str"><v>Tier 1</v></cell><cell r="N1727" t="str"><v>APAC</v></cell><cell r="O1727" t="str"><v>Japan</v></cell><cell r="P1727" t="str"><v>Trial</v></cell><cell r="Q1727" t="str"><v>Social</v></cell><cell r="R1727" t="str"><v>Azure</v></cell><cell r="S1727" t="str"><v>Apps & Infra</v></cell><cell r="T1727" t="str"><v>Developers & ITI's</v></cell><cell r="U1727" t="str"><v>AZP-Retargeting</v></cell><cell r="V1727" t="str"><v>Retargeting</v></cell><cell r="W1727" t="str"><v>Other</v></cell><cell r="X1727" t="str"><v>1x1</v></cell></row><row r="1727"><cell r="AA1727"><v>43294</v></cell><cell r="AB1727" t="str"><v>JPN_gaPMG_AZR_AZR_Q1_19_Trial-Social</v></cell><cell r="AC1727"><v>21276694</v></cell><cell r="AD1727"><v>720195</v></cell><cell r="AE1727" t="str"><v>Facebook</v></cell><cell r="AF1727"><v>3654128</v></cell><cell r="AG1727" t="str"><v>Facebook»AZP-Retargeting»1x1»Canvas»OTH»MO»CPM»RT»W»UNK»TP»OT»Trial-Benefit2inMotion</v></cell><cell r="AH1727"><v>223298496</v></cell><cell r="AI1727" t="str"><v>AzurePlatform_FBCTCBenefit2inMotion_JPN_14sec_ISV_PLAT_JA_Trial_Standard_STAN_TN_T4_1</v></cell><cell r="AJ1727"><v>102630376</v></cell></row><row r="1728"><cell r="C1728" t="str"><v>43294Facebook»AZP-Retargeting»1x1»Canvas»OTH»MO»CPM»RT»W»UNK»TP»OT»Trial-BrandinMotion</v></cell><cell r="D1728" t="str"><v>43294223298823</v></cell><cell r="E1728" t="str"><v>43294102612720Motion</v></cell><cell r="F1728" t="str"><v>DCM</v></cell><cell r="G1728" t="str"><v>https://azure.microsoft.com/ja-jp/free/search/</v></cell></row><row r="1728"><cell r="K1728" t="str"><v>July</v></cell><cell r="L1728"><v>43295</v></cell><cell r="M1728" t="str"><v>Tier 1</v></cell><cell r="N1728" t="str"><v>APAC</v></cell><cell r="O1728" t="str"><v>Japan</v></cell><cell r="P1728" t="str"><v>Trial</v></cell><cell r="Q1728" t="str"><v>Social</v></cell><cell r="R1728" t="str"><v>Azure</v></cell><cell r="S1728" t="str"><v>Apps & Infra</v></cell><cell r="T1728" t="str"><v>Developers & ITI's</v></cell><cell r="U1728" t="str"><v>AZP-Retargeting</v></cell><cell r="V1728" t="str"><v>Retargeting</v></cell><cell r="W1728" t="str"><v>Other</v></cell><cell r="X1728" t="str"><v>1x1</v></cell></row><row r="1728"><cell r="AA1728"><v>43294</v></cell><cell r="AB1728" t="str"><v>JPN_gaPMG_AZR_AZR_Q1_19_Trial-Social</v></cell><cell r="AC1728"><v>21276694</v></cell><cell r="AD1728"><v>720195</v></cell><cell r="AE1728" t="str"><v>Facebook</v></cell><cell r="AF1728"><v>3654128</v></cell><cell r="AG1728" t="str"><v>Facebook»AZP-Retargeting»1x1»Canvas»OTH»MO»CPM»RT»W»UNK»TP»OT»Trial-BrandinMotion</v></cell><cell r="AH1728"><v>223298823</v></cell><cell r="AI1728" t="str"><v>AzurePlatform_FBCTCBrandinMotion_JPN_12sec_ISV_PLAT_JA_Trial_Standard_STAN_TN_T2_1</v></cell><cell r="AJ1728"><v>102612720</v></cell></row><row r="1729"><cell r="C1729" t="str"><v>43294FACEBOOK»USA-Trial-ITD-Interest Prospecting-AZR-AZR»1 x 1»SocialBan»CAN»ALL»CPA»PRO»X»NA»SS»NA»FBCTCBasicMotion»PRC1SV</v></cell><cell r="D1729" t="str"><v>43294223934062</v></cell><cell r="E1729" t="str"><v>43294103043823PRC1SV</v></cell><cell r="F1729" t="str"><v>DCM</v></cell><cell r="G1729" t="str"><v>https://signup.azure.com/?OCID=AID%eexcid!_OLA_%ebuy!_%epid!_%ecid!</v></cell></row><row r="1729"><cell r="K1729" t="str"><v>July</v></cell><cell r="L1729"><v>43295</v></cell><cell r="M1729" t="str"><v>Tier 0</v></cell><cell r="N1729" t="str"><v>North America</v></cell><cell r="O1729" t="str"><v>United States</v></cell><cell r="P1729" t="str"><v>Trial</v></cell><cell r="Q1729" t="str"><v>Social</v></cell><cell r="R1729" t="str"><v>Azure</v></cell><cell r="S1729" t="str"><v>Apps & Infra</v></cell><cell r="T1729" t="str"><v>Developers & ITI's</v></cell><cell r="U1729" t="str"><v>USA-Trial-ITD-Interest Prospecting-AZR-AZR</v></cell><cell r="V1729" t="str"><v>Prospecting</v></cell><cell r="W1729" t="str"><v>Canvas Ad</v></cell><cell r="X1729" t="str"><v>1x1</v></cell></row><row r="1729"><cell r="AA1729"><v>43294</v></cell><cell r="AB1729" t="str"><v>USA_gaPMG_AZR_AZR_Q1_19_Direct-Social</v></cell><cell r="AC1729"><v>21358715</v></cell><cell r="AD1729"><v>720197</v></cell><cell r="AE1729" t="str"><v>Facebook</v></cell><cell r="AF1729"><v>3654128</v></cell><cell r="AG1729" t="str"><v>FACEBOOK»USA-Trial-ITD-Interest Prospecting-AZR-AZR»1 x 1»SocialBan»CAN»ALL»CPA»PRO»X»NA»SS»NA»FBCTCBasicMotion»PRC1SV</v></cell><cell r="AH1729"><v>223934062</v></cell><cell r="AI1729" t="str"><v>AzurePlatform_FBCTCBasicMotion_USA_10s_CAN_PLATFORM_English_Trial_Standard_STAN_TIN_T1_1</v></cell><cell r="AJ1729"><v>103043823</v></cell></row><row r="1730"><cell r="C1730" t="str"><v>43294FACEBOOK»USA-Trial-ITD-Interest Prospecting-AZR-AZR»1 x 1»SocialBan»CAN»ALL»CPA»PRO»X»NA»SS»NA»FBCTCBasicMotion»PRC1SV</v></cell><cell r="D1730" t="str"><v>43294223934062</v></cell><cell r="E1730" t="str"><v>43294103175984PRC1SV</v></cell><cell r="F1730" t="str"><v>DCM</v></cell><cell r="G1730" t="str"><v>https://azure.microsoft.com/en-us/pricing/purchase-options/?v=18.19&OCID=AID%eexcid!_OLA_%ebuy!_%epid!_%ecid!</v></cell></row><row r="1730"><cell r="K1730" t="str"><v>July</v></cell><cell r="L1730"><v>43295</v></cell><cell r="M1730" t="str"><v>Tier 0</v></cell><cell r="N1730" t="str"><v>North America</v></cell><cell r="O1730" t="str"><v>United States</v></cell><cell r="P1730" t="str"><v>Trial</v></cell><cell r="Q1730" t="str"><v>Social</v></cell><cell r="R1730" t="str"><v>Azure</v></cell><cell r="S1730" t="str"><v>Apps & Infra</v></cell><cell r="T1730" t="str"><v>Developers & ITI's</v></cell><cell r="U1730" t="str"><v>USA-Trial-ITD-Interest Prospecting-AZR-AZR</v></cell><cell r="V1730" t="str"><v>Prospecting</v></cell><cell r="W1730" t="str"><v>Canvas Ad</v></cell><cell r="X1730" t="str"><v>1x1</v></cell></row><row r="1730"><cell r="AA1730"><v>43294</v></cell><cell r="AB1730" t="str"><v>USA_gaPMG_AZR_AZR_Q1_19_Direct-Social</v></cell><cell r="AC1730"><v>21358715</v></cell><cell r="AD1730"><v>720197</v></cell><cell r="AE1730" t="str"><v>Facebook</v></cell><cell r="AF1730"><v>3654128</v></cell><cell r="AG1730" t="str"><v>FACEBOOK»USA-Trial-ITD-Interest Prospecting-AZR-AZR»1 x 1»SocialBan»CAN»ALL»CPA»PRO»X»NA»SS»NA»FBCTCBasicMotion»PRC1SV</v></cell><cell r="AH1730"><v>223934062</v></cell><cell r="AI1730" t="str"><v>AzurePlatform_FBCTCBasicMotion_USA_10s_CAN_PLATFORM_English_Trial_Standard_STAN_TIN_T1_2</v></cell><cell r="AJ1730"><v>103175984</v></cell></row><row r="1731"><cell r="C1731" t="str"><v>43294FACEBOOK»USA-Trial-ITD-Interest Prospecting-AZR-AZR»1 x 1»SocialBan»CAN»ALL»CPA»PRO»X»NA»SS»NA»FBCTCBenefit2inMotion»PRC1SW</v></cell><cell r="D1731" t="str"><v>43294223933138</v></cell><cell r="E1731" t="str"><v>43294103043835PRC1SW</v></cell><cell r="F1731" t="str"><v>DCM</v></cell><cell r="G1731" t="str"><v>https://signup.azure.com/?OCID=AID%eexcid!_OLA_%ebuy!_%epid!_%ecid!</v></cell></row><row r="1731"><cell r="K1731" t="str"><v>July</v></cell><cell r="L1731"><v>43295</v></cell><cell r="M1731" t="str"><v>Tier 0</v></cell><cell r="N1731" t="str"><v>North America</v></cell><cell r="O1731" t="str"><v>United States</v></cell><cell r="P1731" t="str"><v>Trial</v></cell><cell r="Q1731" t="str"><v>Social</v></cell><cell r="R1731" t="str"><v>Azure</v></cell><cell r="S1731" t="str"><v>Apps & Infra</v></cell><cell r="T1731" t="str"><v>Developers & ITI's</v></cell><cell r="U1731" t="str"><v>USA-Trial-ITD-Interest Prospecting-AZR-AZR</v></cell><cell r="V1731" t="str"><v>Prospecting</v></cell><cell r="W1731" t="str"><v>Canvas Ad</v></cell><cell r="X1731" t="str"><v>1x1</v></cell></row><row r="1731"><cell r="AA1731"><v>43294</v></cell><cell r="AB1731" t="str"><v>USA_gaPMG_AZR_AZR_Q1_19_Direct-Social</v></cell><cell r="AC1731"><v>21358715</v></cell><cell r="AD1731"><v>720197</v></cell><cell r="AE1731" t="str"><v>Facebook</v></cell><cell r="AF1731"><v>3654128</v></cell><cell r="AG1731" t="str"><v>FACEBOOK»USA-Trial-ITD-Interest Prospecting-AZR-AZR»1 x 1»SocialBan»CAN»ALL»CPA»PRO»X»NA»SS»NA»FBCTCBenefit2inMotion»PRC1SW</v></cell><cell r="AH1731"><v>223933138</v></cell><cell r="AI1731" t="str"><v>AzurePlatform_FBCTCBenefit2inMotion_USA_10s_CAN_PLATFORM_English_Trial_Standard_STAN_TIN_T4_1</v></cell><cell r="AJ1731"><v>103043835</v></cell></row><row r="1732"><cell r="C1732" t="str"><v>43294FACEBOOK»USA-Trial-ITD-Interest Prospecting-AZR-AZR»1 x 1»SocialBan»CAN»ALL»CPA»PRO»X»NA»SS»NA»FBCTCBenefit2inMotion»PRC1SW</v></cell><cell r="D1732" t="str"><v>43294223933138</v></cell><cell r="E1732" t="str"><v>43294103178645PRC1SW</v></cell><cell r="F1732" t="str"><v>DCM</v></cell><cell r="G1732" t="str"><v>https://azure.microsoft.com/en-us/pricing/purchase-options/?v=18.19&OCID=AID%eexcid!_OLA_%ebuy!_%epid!_%ecid!</v></cell></row><row r="1732"><cell r="K1732" t="str"><v>July</v></cell><cell r="L1732"><v>43295</v></cell><cell r="M1732" t="str"><v>Tier 0</v></cell><cell r="N1732" t="str"><v>North America</v></cell><cell r="O1732" t="str"><v>United States</v></cell><cell r="P1732" t="str"><v>Trial</v></cell><cell r="Q1732" t="str"><v>Social</v></cell><cell r="R1732" t="str"><v>Azure</v></cell><cell r="S1732" t="str"><v>Apps & Infra</v></cell><cell r="T1732" t="str"><v>Developers & ITI's</v></cell><cell r="U1732" t="str"><v>USA-Trial-ITD-Interest Prospecting-AZR-AZR</v></cell><cell r="V1732" t="str"><v>Prospecting</v></cell><cell r="W1732" t="str"><v>Canvas Ad</v></cell><cell r="X1732" t="str"><v>1x1</v></cell></row><row r="1732"><cell r="AA1732"><v>43294</v></cell><cell r="AB1732" t="str"><v>USA_gaPMG_AZR_AZR_Q1_19_Direct-Social</v></cell><cell r="AC1732"><v>21358715</v></cell><cell r="AD1732"><v>720197</v></cell><cell r="AE1732" t="str"><v>Facebook</v></cell><cell r="AF1732"><v>3654128</v></cell><cell r="AG1732" t="str"><v>FACEBOOK»USA-Trial-ITD-Interest Prospecting-AZR-AZR»1 x 1»SocialBan»CAN»ALL»CPA»PRO»X»NA»SS»NA»FBCTCBenefit2inMotion»PRC1SW</v></cell><cell r="AH1732"><v>223933138</v></cell><cell r="AI1732" t="str"><v>AzurePlatform_FBCTCBenefit2inMotion_USA_10s_CAN_PLATFORM_English_Trial_Standard_STAN_TIN_T4_2</v></cell><cell r="AJ1732"><v>103178645</v></cell></row><row r="1733"><cell r="C1733" t="str"><v>43294FACEBOOK»USA-Trial-ITD-Interest Prospecting-AZR-AZR»1 x 1»SocialBan»CAN»ALL»CPA»PRO»X»NA»SS»NA»FBCTCBrandinMotion»PRC1SY</v></cell><cell r="D1733" t="str"><v>43294224104929</v></cell><cell r="E1733" t="str"><v>43294103176812PRC1SY</v></cell><cell r="F1733" t="str"><v>DCM</v></cell><cell r="G1733" t="str"><v>https://signup.azure.com/?OCID=AID%eexcid!_OLA_%ebuy!_%epid!_%ecid!</v></cell></row><row r="1733"><cell r="K1733" t="str"><v>July</v></cell><cell r="L1733"><v>43295</v></cell><cell r="M1733" t="str"><v>Tier 0</v></cell><cell r="N1733" t="str"><v>North America</v></cell><cell r="O1733" t="str"><v>United States</v></cell><cell r="P1733" t="str"><v>Trial</v></cell><cell r="Q1733" t="str"><v>Social</v></cell><cell r="R1733" t="str"><v>Azure</v></cell><cell r="S1733" t="str"><v>Apps & Infra</v></cell><cell r="T1733" t="str"><v>Developers & ITI's</v></cell><cell r="U1733" t="str"><v>USA-Trial-ITD-Interest Prospecting-AZR-AZR</v></cell><cell r="V1733" t="str"><v>Prospecting</v></cell><cell r="W1733" t="str"><v>Canvas Ad</v></cell><cell r="X1733" t="str"><v>1x1</v></cell></row><row r="1733"><cell r="AA1733"><v>43294</v></cell><cell r="AB1733" t="str"><v>USA_gaPMG_AZR_AZR_Q1_19_Direct-Social</v></cell><cell r="AC1733"><v>21358715</v></cell><cell r="AD1733"><v>720197</v></cell><cell r="AE1733" t="str"><v>Facebook</v></cell><cell r="AF1733"><v>3654128</v></cell><cell r="AG1733" t="str"><v>FACEBOOK»USA-Trial-ITD-Interest Prospecting-AZR-AZR»1 x 1»SocialBan»CAN»ALL»CPA»PRO»X»NA»SS»NA»FBCTCBrandinMotion»PRC1SY</v></cell><cell r="AH1733"><v>224104929</v></cell><cell r="AI1733" t="str"><v>AzurePlatform_FBCTCBrandinMotion_USA_10s_CAN_PLATFORM_English_Trial_Standard_STAN_TIN_T2_1</v></cell><cell r="AJ1733"><v>103176812</v></cell></row><row r="1734"><cell r="C1734" t="str"><v>43294FACEBOOK»USA-Trial-ITD-Interest Prospecting-AZR-AZR»1 x 1»SocialBan»CAN»ALL»CPA»PRO»X»NA»SS»NA»FBCTCBrandinMotion»PRC1SY</v></cell><cell r="D1734" t="str"><v>43294224104929</v></cell><cell r="E1734" t="str"><v>43294103032823PRC1SY</v></cell><cell r="F1734" t="str"><v>DCM</v></cell><cell r="G1734" t="str"><v>https://azure.microsoft.com/en-us/pricing/purchase-options/?v=18.19&OCID=AID%eexcid!_OLA_%ebuy!_%epid!_%ecid!</v></cell></row><row r="1734"><cell r="K1734" t="str"><v>July</v></cell><cell r="L1734"><v>43295</v></cell><cell r="M1734" t="str"><v>Tier 0</v></cell><cell r="N1734" t="str"><v>North America</v></cell><cell r="O1734" t="str"><v>United States</v></cell><cell r="P1734" t="str"><v>Trial</v></cell><cell r="Q1734" t="str"><v>Social</v></cell><cell r="R1734" t="str"><v>Azure</v></cell><cell r="S1734" t="str"><v>Apps & Infra</v></cell><cell r="T1734" t="str"><v>Developers & ITI's</v></cell><cell r="U1734" t="str"><v>USA-Trial-ITD-Interest Prospecting-AZR-AZR</v></cell><cell r="V1734" t="str"><v>Prospecting</v></cell><cell r="W1734" t="str"><v>Canvas Ad</v></cell><cell r="X1734" t="str"><v>1x1</v></cell></row><row r="1734"><cell r="AA1734"><v>43294</v></cell><cell r="AB1734" t="str"><v>USA_gaPMG_AZR_AZR_Q1_19_Direct-Social</v></cell><cell r="AC1734"><v>21358715</v></cell><cell r="AD1734"><v>720197</v></cell><cell r="AE1734" t="str"><v>Facebook</v></cell><cell r="AF1734"><v>3654128</v></cell><cell r="AG1734" t="str"><v>FACEBOOK»USA-Trial-ITD-Interest Prospecting-AZR-AZR»1 x 1»SocialBan»CAN»ALL»CPA»PRO»X»NA»SS»NA»FBCTCBrandinMotion»PRC1SY</v></cell><cell r="AH1734"><v>224104929</v></cell><cell r="AI1734" t="str"><v>AzurePlatform_FBCTCBrandinMotion_USA_10s_CAN_PLATFORM_English_Trial_Standard_STAN_TIN_T2_2</v></cell><cell r="AJ1734"><v>103032823</v></cell></row><row r="1735"><cell r="C1735" t="str"><v>43294FACEBOOK»USA-Trial-ITD-Interest Prospecting-AZR-AZR»1 x 1»SocialBan»LIA»ALL»CPA»PRO»X»NA»SS»NA»FreeAcctDeveloperFB-AnimatedGeneric-Ch1»PRC1SZ</v></cell><cell r="D1735" t="str"><v>43294224104932</v></cell><cell r="E1735" t="str"><v>43294103176851PRC1SZ</v></cell><cell r="F1735" t="str"><v>DCM</v></cell><cell r="G1735" t="str"><v>https://azure.microsoft.com/en-us/free/search/?OCID=AID%eexcid!_OLA_%ebuy!_%epid!_%ecid!</v></cell></row><row r="1735"><cell r="K1735" t="str"><v>July</v></cell><cell r="L1735"><v>43295</v></cell><cell r="M1735" t="str"><v>Tier 0</v></cell><cell r="N1735" t="str"><v>North America</v></cell><cell r="O1735" t="str"><v>United States</v></cell><cell r="P1735" t="str"><v>Trial</v></cell><cell r="Q1735" t="str"><v>Social</v></cell><cell r="R1735" t="str"><v>Azure</v></cell><cell r="S1735" t="str"><v>Apps & Infra</v></cell><cell r="T1735" t="str"><v>Developers & ITI's</v></cell><cell r="U1735" t="str"><v>USA-Trial-ITD-Interest Prospecting-AZR-AZR</v></cell><cell r="V1735" t="str"><v>Prospecting</v></cell><cell r="W1735" t="str"><v>Link Ad</v></cell><cell r="X1735" t="str"><v>1x1</v></cell></row><row r="1735"><cell r="AA1735"><v>43294</v></cell><cell r="AB1735" t="str"><v>USA_gaPMG_AZR_AZR_Q1_19_Direct-Social</v></cell><cell r="AC1735"><v>21358715</v></cell><cell r="AD1735"><v>720197</v></cell><cell r="AE1735" t="str"><v>Facebook</v></cell><cell r="AF1735"><v>3654128</v></cell><cell r="AG1735" t="str"><v>FACEBOOK»USA-Trial-ITD-Interest Prospecting-AZR-AZR»1 x 1»SocialBan»LIA»ALL»CPA»PRO»X»NA»SS»NA»FreeAcctDeveloperFB-AnimatedGeneric-Ch1»PRC1SZ</v></cell><cell r="AH1735"><v>224104932</v></cell><cell r="AI1735" t="str"><v>AZR_FreeAcctDeveloperFB-AnimatedGeneric-Ch1_USA_1200x1200_CAN_Direct_English_Trial_Standard_ANI_LEA_T1_2</v></cell><cell r="AJ1735"><v>103176851</v></cell></row><row r="1736"><cell r="C1736" t="str"><v>43294FACEBOOK»USA-Trial-ITD-Interest Prospecting-AZR-AZR»1 x 1»SocialBan»LIA»ALL»CPA»PRO»X»NA»SS»NA»FreeAcctDeveloperFB-AnimatedGeneric-Ch1»PRC1T0</v></cell><cell r="D1736" t="str"><v>43294223934065</v></cell><cell r="E1736" t="str"><v>43294103176851PRC1T0</v></cell><cell r="F1736" t="str"><v>DCM</v></cell><cell r="G1736" t="str"><v>https://azure.microsoft.com/en-us/free/search/?OCID=AID%eexcid!_OLA_%ebuy!_%epid!_%ecid!</v></cell></row><row r="1736"><cell r="K1736" t="str"><v>July</v></cell><cell r="L1736"><v>43295</v></cell><cell r="M1736" t="str"><v>Tier 0</v></cell><cell r="N1736" t="str"><v>North America</v></cell><cell r="O1736" t="str"><v>United States</v></cell><cell r="P1736" t="str"><v>Trial</v></cell><cell r="Q1736" t="str"><v>Social</v></cell><cell r="R1736" t="str"><v>Azure</v></cell><cell r="S1736" t="str"><v>Apps & Infra</v></cell><cell r="T1736" t="str"><v>Developers & ITI's</v></cell><cell r="U1736" t="str"><v>USA-Trial-ITD-Interest Prospecting-AZR-AZR</v></cell><cell r="V1736" t="str"><v>Prospecting</v></cell><cell r="W1736" t="str"><v>Link Ad</v></cell><cell r="X1736" t="str"><v>1x1</v></cell></row><row r="1736"><cell r="AA1736"><v>43294</v></cell><cell r="AB1736" t="str"><v>USA_gaPMG_AZR_AZR_Q1_19_Direct-Social</v></cell><cell r="AC1736"><v>21358715</v></cell><cell r="AD1736"><v>720197</v></cell><cell r="AE1736" t="str"><v>Facebook</v></cell><cell r="AF1736"><v>3654128</v></cell><cell r="AG1736" t="str"><v>FACEBOOK»USA-Trial-ITD-Interest Prospecting-AZR-AZR»1 x 1»SocialBan»LIA»ALL»CPA»PRO»X»NA»SS»NA»FreeAcctDeveloperFB-AnimatedGeneric-Ch1»PRC1T0</v></cell><cell r="AH1736"><v>223934065</v></cell><cell r="AI1736" t="str"><v>AZR_FreeAcctDeveloperFB-AnimatedGeneric-Ch1_USA_1200x1200_CAN_Direct_English_Trial_Standard_ANI_LEA_T1_2</v></cell><cell r="AJ1736"><v>103176851</v></cell></row><row r="1737"><cell r="C1737" t="str"><v>43294FACEBOOK»USA-Trial-ITD-Interest Prospecting-AZR-AZR»1 x 1»SocialBan»LIA»ALL»CPA»PRO»X»NA»SS»NA»FreeAcctITProFB-AnimatedHybrid-Ch2»PRC1T5</v></cell><cell r="D1737" t="str"><v>43294223862882</v></cell><cell r="E1737" t="str"><v>43294103180583PRC1T5</v></cell><cell r="F1737" t="str"><v>DCM</v></cell></row><row r="1737"><cell r="K1737" t="str"><v>July</v></cell><cell r="L1737"><v>43295</v></cell><cell r="M1737" t="str"><v>Tier 0</v></cell><cell r="N1737" t="str"><v>North America</v></cell><cell r="O1737" t="str"><v>United States</v></cell><cell r="P1737" t="str"><v>Trial</v></cell><cell r="Q1737" t="str"><v>Social</v></cell><cell r="R1737" t="str"><v>Azure</v></cell><cell r="S1737" t="str"><v>Apps & Infra</v></cell><cell r="T1737" t="str"><v>Developers & ITI's</v></cell><cell r="U1737" t="str"><v>USA-Trial-ITD-Interest Prospecting-AZR-AZR</v></cell><cell r="V1737" t="str"><v>Prospecting</v></cell><cell r="W1737" t="str"><v>Link Ad</v></cell><cell r="X1737" t="str"><v>1x1</v></cell></row><row r="1737"><cell r="AA1737"><v>43294</v></cell><cell r="AB1737" t="str"><v>USA_gaPMG_AZR_AZR_Q1_19_Direct-Social</v></cell><cell r="AC1737"><v>21358715</v></cell><cell r="AD1737"><v>720197</v></cell><cell r="AE1737" t="str"><v>Facebook</v></cell><cell r="AF1737"><v>3654128</v></cell><cell r="AG1737" t="str"><v>FACEBOOK»USA-Trial-ITD-Interest Prospecting-AZR-AZR»1 x 1»SocialBan»LIA»ALL»CPA»PRO»X»NA»SS»NA»FreeAcctITProFB-AnimatedHybrid-Ch2»PRC1T5</v></cell><cell r="AH1737"><v>223862882</v></cell><cell r="AI1737" t="str"><v>AZR_FreeAcctITProFB-AnimatedHybrid-Ch2_USA_1200x1200_CAN_Direct_English_Trial_Standard_ANI_LEA_T2_2</v></cell><cell r="AJ1737"><v>103180583</v></cell></row><row r="1738"><cell r="C1738" t="str"><v>43294FACEBOOK»USA-Trial-ITD-Interest Prospecting-AZR-AZR»1 x 1»SocialBan»LIA»ALL»CPA»PRO»X»NA»SS»NA»FreeAcctITProFB-AnimatedSecureMngd-Ch1»PRC1T4</v></cell><cell r="D1738" t="str"><v>43294224104914</v></cell><cell r="E1738" t="str"><v>43294103176830PRC1T4</v></cell><cell r="F1738" t="str"><v>DCM</v></cell></row><row r="1738"><cell r="K1738" t="str"><v>July</v></cell><cell r="L1738"><v>43295</v></cell><cell r="M1738" t="str"><v>Tier 0</v></cell><cell r="N1738" t="str"><v>North America</v></cell><cell r="O1738" t="str"><v>United States</v></cell><cell r="P1738" t="str"><v>Trial</v></cell><cell r="Q1738" t="str"><v>Social</v></cell><cell r="R1738" t="str"><v>Azure</v></cell><cell r="S1738" t="str"><v>Apps & Infra</v></cell><cell r="T1738" t="str"><v>Developers & ITI's</v></cell><cell r="U1738" t="str"><v>USA-Trial-ITD-Interest Prospecting-AZR-AZR</v></cell><cell r="V1738" t="str"><v>Prospecting</v></cell><cell r="W1738" t="str"><v>Link Ad</v></cell><cell r="X1738" t="str"><v>1x1</v></cell></row><row r="1738"><cell r="AA1738"><v>43294</v></cell><cell r="AB1738" t="str"><v>USA_gaPMG_AZR_AZR_Q1_19_Direct-Social</v></cell><cell r="AC1738"><v>21358715</v></cell><cell r="AD1738"><v>720197</v></cell><cell r="AE1738" t="str"><v>Facebook</v></cell><cell r="AF1738"><v>3654128</v></cell><cell r="AG1738" t="str"><v>FACEBOOK»USA-Trial-ITD-Interest Prospecting-AZR-AZR»1 x 1»SocialBan»LIA»ALL»CPA»PRO»X»NA»SS»NA»FreeAcctITProFB-AnimatedSecureMngd-Ch1»PRC1T4</v></cell><cell r="AH1738"><v>224104914</v></cell><cell r="AI1738" t="str"><v>AZR_FreeAcctITProFB-AnimatedSecureMngd-Ch1_USA_1200x1200_CAN_Direct_English_Trial_Standard_ANI_LEA_T1_1</v></cell><cell r="AJ1738"><v>103176830</v></cell></row><row r="1739"><cell r="C1739" t="str"><v>43294FACEBOOK»USA-Trial-ITD-Interest Prospecting-AZR-AZR»1 x 1»SocialBan»CAN»ALL»CPA»PRO»X»NA»SS»NA»FBCTCBenefitinMotion»PRC1SX</v></cell><cell r="D1739" t="str"><v>43294224104077</v></cell><cell r="E1739" t="str"><v>43294103032775PRC1SX</v></cell><cell r="F1739" t="str"><v>DCM</v></cell><cell r="G1739" t="str"><v>https://signup.azure.com/?OCID=AID%eexcid!_OLA_%ebuy!_%epid!_%ecid!</v></cell></row><row r="1739"><cell r="K1739" t="str"><v>July</v></cell><cell r="L1739"><v>43295</v></cell><cell r="M1739" t="str"><v>Tier 0</v></cell><cell r="N1739" t="str"><v>North America</v></cell><cell r="O1739" t="str"><v>United States</v></cell><cell r="P1739" t="str"><v>Trial</v></cell><cell r="Q1739" t="str"><v>Social</v></cell><cell r="R1739" t="str"><v>Azure</v></cell><cell r="S1739" t="str"><v>Apps & Infra</v></cell><cell r="T1739" t="str"><v>Developers & ITI's</v></cell><cell r="U1739" t="str"><v>USA-Trial-ITD-Interest Prospecting-AZR-AZR</v></cell><cell r="V1739" t="str"><v>Prospecting</v></cell><cell r="W1739" t="str"><v>Canvas Ad</v></cell><cell r="X1739" t="str"><v>1x1</v></cell></row><row r="1739"><cell r="AA1739"><v>43294</v></cell><cell r="AB1739" t="str"><v>USA_gaPMG_AZR_AZR_Q1_19_Direct-Social</v></cell><cell r="AC1739"><v>21358715</v></cell><cell r="AD1739"><v>720197</v></cell><cell r="AE1739" t="str"><v>Facebook</v></cell><cell r="AF1739"><v>3654128</v></cell><cell r="AG1739" t="str"><v>FACEBOOK»USA-Trial-ITD-Interest Prospecting-AZR-AZR»1 x 1»SocialBan»CAN»ALL»CPA»PRO»X»NA»SS»NA»FBCTCBenefitinMotion»PRC1SX</v></cell><cell r="AH1739"><v>224104077</v></cell><cell r="AI1739" t="str"><v>AzurePlatform_FBCTCBenefitinMotion_USA_10s_CAN_PLATFORM_English_Trial_Standard_STAN_TIN_T3_1</v></cell><cell r="AJ1739"><v>103032775</v></cell></row><row r="1740"><cell r="C1740" t="str"><v>43294FACEBOOK»USA-Trial-ITD-Retargeting-AZR-AZR»1 x 1»SocialBan»LIA»ALL»CPA»RT»X»NA»SS»NA»FreeAcctDeveloperFB-AnimatedAI-Ch3»PRC26H</v></cell><cell r="D1740" t="str"><v>43294223863371</v></cell><cell r="E1740" t="str"><v>43294103032778PRC26H</v></cell><cell r="F1740" t="str"><v>DCM</v></cell></row><row r="1740"><cell r="K1740" t="str"><v>July</v></cell><cell r="L1740"><v>43295</v></cell><cell r="M1740" t="str"><v>Tier 0</v></cell><cell r="N1740" t="str"><v>North America</v></cell><cell r="O1740" t="str"><v>United States</v></cell><cell r="P1740" t="str"><v>Trial</v></cell><cell r="Q1740" t="str"><v>Social</v></cell><cell r="R1740" t="str"><v>Azure</v></cell><cell r="S1740" t="str"><v>Apps & Infra</v></cell><cell r="T1740" t="str"><v>Developers & ITI's</v></cell><cell r="U1740" t="str"><v>USA-Trial-ITD-Retargeting-AZR-AZR</v></cell><cell r="V1740" t="str"><v>Retargeting</v></cell><cell r="W1740" t="str"><v>Link Ad</v></cell><cell r="X1740" t="str"><v>1x1</v></cell></row><row r="1740"><cell r="AA1740"><v>43294</v></cell><cell r="AB1740" t="str"><v>USA_gaPMG_AZR_AZR_Q1_19_Direct-Social</v></cell><cell r="AC1740"><v>21358715</v></cell><cell r="AD1740"><v>720197</v></cell><cell r="AE1740" t="str"><v>Facebook</v></cell><cell r="AF1740"><v>3654128</v></cell><cell r="AG1740" t="str"><v>FACEBOOK»USA-Trial-ITD-Retargeting-AZR-AZR»1 x 1»SocialBan»LIA»ALL»CPA»RT»X»NA»SS»NA»FreeAcctDeveloperFB-AnimatedAI-Ch3»PRC26H</v></cell><cell r="AH1740"><v>223863371</v></cell><cell r="AI1740" t="str"><v>AZR_FreeAcctDeveloperFB-AnimatedAI-Ch3_USA_1200x1200_CAN_Direct_English_Trial_Standard_ANI_LEA_T3_1</v></cell><cell r="AJ1740"><v>103032778</v></cell></row><row r="1741"><cell r="C1741" t="str"><v>43294FACEBOOK»USA-Trial-ITD-Retargeting-AZR-AZR»1 x 1»SocialBan»LIA»ALL»CPA»RT»X»NA»SS»NA»FreeAcctDeveloperFB-AnimatedData-Ch4»PRC26J</v></cell><cell r="D1741" t="str"><v>43294224106078</v></cell><cell r="E1741" t="str"><v>43294103037935PRC26J</v></cell><cell r="F1741" t="str"><v>DCM</v></cell></row><row r="1741"><cell r="K1741" t="str"><v>July</v></cell><cell r="L1741"><v>43295</v></cell><cell r="M1741" t="str"><v>Tier 0</v></cell><cell r="N1741" t="str"><v>North America</v></cell><cell r="O1741" t="str"><v>United States</v></cell><cell r="P1741" t="str"><v>Trial</v></cell><cell r="Q1741" t="str"><v>Social</v></cell><cell r="R1741" t="str"><v>Azure</v></cell><cell r="S1741" t="str"><v>Apps & Infra</v></cell><cell r="T1741" t="str"><v>Developers & ITI's</v></cell><cell r="U1741" t="str"><v>USA-Trial-ITD-Retargeting-AZR-AZR</v></cell><cell r="V1741" t="str"><v>Retargeting</v></cell><cell r="W1741" t="str"><v>Link Ad</v></cell><cell r="X1741" t="str"><v>1x1</v></cell></row><row r="1741"><cell r="AA1741"><v>43294</v></cell><cell r="AB1741" t="str"><v>USA_gaPMG_AZR_AZR_Q1_19_Direct-Social</v></cell><cell r="AC1741"><v>21358715</v></cell><cell r="AD1741"><v>720197</v></cell><cell r="AE1741" t="str"><v>Facebook</v></cell><cell r="AF1741"><v>3654128</v></cell><cell r="AG1741" t="str"><v>FACEBOOK»USA-Trial-ITD-Retargeting-AZR-AZR»1 x 1»SocialBan»LIA»ALL»CPA»RT»X»NA»SS»NA»FreeAcctDeveloperFB-AnimatedData-Ch4»PRC26J</v></cell><cell r="AH1741"><v>224106078</v></cell><cell r="AI1741" t="str"><v>AZR_FreeAcctDeveloperFB-AnimatedData-Ch4_USA_1200x1200_CAN_Direct_English_Trial_Standard_ANI_LEA_T4_2</v></cell><cell r="AJ1741"><v>103037935</v></cell></row><row r="1742"><cell r="C1742" t="str"><v>43294FACEBOOK»USA-Trial-ITD-Retargeting-AZR-AZR»1 x 1»SocialBan»LIA»ALL»CPA»RT»X»NA»SS»NA»FreeAcctDeveloperFB-AnimatedOpenSource-Ch2»PRC26G</v></cell><cell r="D1742" t="str"><v>43294223862873</v></cell><cell r="E1742" t="str"><v>43294103048329PRC26G</v></cell><cell r="F1742" t="str"><v>DCM</v></cell><cell r="G1742" t="str"><v>https://azure.microsoft.com/en-us/free/open-source/search/?OCID=AID%eexcid!_OLA_%ebuy!_%epid!_%ecid!</v></cell></row><row r="1742"><cell r="K1742" t="str"><v>July</v></cell><cell r="L1742"><v>43295</v></cell><cell r="M1742" t="str"><v>Tier 0</v></cell><cell r="N1742" t="str"><v>North America</v></cell><cell r="O1742" t="str"><v>United States</v></cell><cell r="P1742" t="str"><v>Trial</v></cell><cell r="Q1742" t="str"><v>Social</v></cell><cell r="R1742" t="str"><v>Azure</v></cell><cell r="S1742" t="str"><v>Apps & Infra</v></cell><cell r="T1742" t="str"><v>Developers & ITI's</v></cell><cell r="U1742" t="str"><v>USA-Trial-ITD-Retargeting-AZR-AZR</v></cell><cell r="V1742" t="str"><v>Retargeting</v></cell><cell r="W1742" t="str"><v>Link Ad</v></cell><cell r="X1742" t="str"><v>1x1</v></cell></row><row r="1742"><cell r="AA1742"><v>43294</v></cell><cell r="AB1742" t="str"><v>USA_gaPMG_AZR_AZR_Q1_19_Direct-Social</v></cell><cell r="AC1742"><v>21358715</v></cell><cell r="AD1742"><v>720197</v></cell><cell r="AE1742" t="str"><v>Facebook</v></cell><cell r="AF1742"><v>3654128</v></cell><cell r="AG1742" t="str"><v>FACEBOOK»USA-Trial-ITD-Retargeting-AZR-AZR»1 x 1»SocialBan»LIA»ALL»CPA»RT»X»NA»SS»NA»FreeAcctDeveloperFB-AnimatedOpenSource-Ch2»PRC26G</v></cell><cell r="AH1742"><v>223862873</v></cell><cell r="AI1742" t="str"><v>AZR_FreeAcctDeveloperFB-AnimatedOpenSource-Ch2_USA_1200x1200_CAN_Direct_English_Trial_Standard_ANI_LEA_T2_1</v></cell><cell r="AJ1742"><v>103048329</v></cell></row><row r="1743"><cell r="C1743" t="str"><v>43294FACEBOOK»USA-Trial-ITD-Retargeting-AZR-AZR»1 x 1»SocialBan»LIA»ALL»CPA»RT»X»NA»SS»NA»FreeAcctITProFB-AnimatedHybrid-Ch2»PRC26N</v></cell><cell r="D1743" t="str"><v>43294223934053</v></cell><cell r="E1743" t="str"><v>43294103180583PRC26N</v></cell><cell r="F1743" t="str"><v>DCM</v></cell></row><row r="1743"><cell r="K1743" t="str"><v>July</v></cell><cell r="L1743"><v>43295</v></cell><cell r="M1743" t="str"><v>Tier 0</v></cell><cell r="N1743" t="str"><v>North America</v></cell><cell r="O1743" t="str"><v>United States</v></cell><cell r="P1743" t="str"><v>Trial</v></cell><cell r="Q1743" t="str"><v>Social</v></cell><cell r="R1743" t="str"><v>Azure</v></cell><cell r="S1743" t="str"><v>Apps & Infra</v></cell><cell r="T1743" t="str"><v>Developers & ITI's</v></cell><cell r="U1743" t="str"><v>USA-Trial-ITD-Retargeting-AZR-AZR</v></cell><cell r="V1743" t="str"><v>Retargeting</v></cell><cell r="W1743" t="str"><v>Link Ad</v></cell><cell r="X1743" t="str"><v>1x1</v></cell></row><row r="1743"><cell r="AA1743"><v>43294</v></cell><cell r="AB1743" t="str"><v>USA_gaPMG_AZR_AZR_Q1_19_Direct-Social</v></cell><cell r="AC1743"><v>21358715</v></cell><cell r="AD1743"><v>720197</v></cell><cell r="AE1743" t="str"><v>Facebook</v></cell><cell r="AF1743"><v>3654128</v></cell><cell r="AG1743" t="str"><v>FACEBOOK»USA-Trial-ITD-Retargeting-AZR-AZR»1 x 1»SocialBan»LIA»ALL»CPA»RT»X»NA»SS»NA»FreeAcctITProFB-AnimatedHybrid-Ch2»PRC26N</v></cell><cell r="AH1743"><v>223934053</v></cell><cell r="AI1743" t="str"><v>AZR_FreeAcctITProFB-AnimatedHybrid-Ch2_USA_1200x1200_CAN_Direct_English_Trial_Standard_ANI_LEA_T2_2</v></cell><cell r="AJ1743"><v>103180583</v></cell></row><row r="1744"><cell r="C1744" t="str"><v>43294FACEBOOK»USA-Trial-ITD-Retargeting-AZR-AZR»1 x 1»SocialBan»LIA»ALL»CPA»RT»X»NA»SS»NA»FreeAcctITProFB-AnimatedMigration-Ch3»PRC26P</v></cell><cell r="D1744" t="str"><v>43294223934056</v></cell><cell r="E1744" t="str"><v>43294103176827PRC26P</v></cell><cell r="F1744" t="str"><v>DCM</v></cell></row><row r="1744"><cell r="K1744" t="str"><v>July</v></cell><cell r="L1744"><v>43295</v></cell><cell r="M1744" t="str"><v>Tier 0</v></cell><cell r="N1744" t="str"><v>North America</v></cell><cell r="O1744" t="str"><v>United States</v></cell><cell r="P1744" t="str"><v>Trial</v></cell><cell r="Q1744" t="str"><v>Social</v></cell><cell r="R1744" t="str"><v>Azure</v></cell><cell r="S1744" t="str"><v>Apps & Infra</v></cell><cell r="T1744" t="str"><v>Developers & ITI's</v></cell><cell r="U1744" t="str"><v>USA-Trial-ITD-Retargeting-AZR-AZR</v></cell><cell r="V1744" t="str"><v>Retargeting</v></cell><cell r="W1744" t="str"><v>Link Ad</v></cell><cell r="X1744" t="str"><v>1x1</v></cell></row><row r="1744"><cell r="AA1744"><v>43294</v></cell><cell r="AB1744" t="str"><v>USA_gaPMG_AZR_AZR_Q1_19_Direct-Social</v></cell><cell r="AC1744"><v>21358715</v></cell><cell r="AD1744"><v>720197</v></cell><cell r="AE1744" t="str"><v>Facebook</v></cell><cell r="AF1744"><v>3654128</v></cell><cell r="AG1744" t="str"><v>FACEBOOK»USA-Trial-ITD-Retargeting-AZR-AZR»1 x 1»SocialBan»LIA»ALL»CPA»RT»X»NA»SS»NA»FreeAcctITProFB-AnimatedMigration-Ch3»PRC26P</v></cell><cell r="AH1744"><v>223934056</v></cell><cell r="AI1744" t="str"><v>AZR_FreeAcctITProFB-AnimatedMigration-Ch3_USA_1200x1200_CAN_Direct_English_Trial_Standard_ANI_LEA_T3_1</v></cell><cell r="AJ1744"><v>103176827</v></cell></row><row r="1745"><cell r="C1745" t="str"><v>43294FACEBOOK»USA-Trial-ITD-Retargeting-AZR-AZR»1 x 1»SocialBan»LIA»ALL»CPA»RT»X»NA»SS»NA»FreeAcctRetargetingFB-Animated-ChC»PRC1RX</v></cell><cell r="D1745" t="str"><v>43294223862864</v></cell><cell r="E1745" t="str"><v>43294103180880PRC1RX</v></cell><cell r="F1745" t="str"><v>DCM</v></cell><cell r="G1745" t="str"><v>https://azure.microsoft.com/en-us/free/search/?OCID=AID%eexcid!_OLA_%ebuy!_%epid!_%ecid!</v></cell></row><row r="1745"><cell r="K1745" t="str"><v>July</v></cell><cell r="L1745"><v>43295</v></cell><cell r="M1745" t="str"><v>Tier 0</v></cell><cell r="N1745" t="str"><v>North America</v></cell><cell r="O1745" t="str"><v>United States</v></cell><cell r="P1745" t="str"><v>Trial</v></cell><cell r="Q1745" t="str"><v>Social</v></cell><cell r="R1745" t="str"><v>Azure</v></cell><cell r="S1745" t="str"><v>Apps & Infra</v></cell><cell r="T1745" t="str"><v>Developers & ITI's</v></cell><cell r="U1745" t="str"><v>USA-Trial-ITD-Retargeting-AZR-AZR</v></cell><cell r="V1745" t="str"><v>Retargeting</v></cell><cell r="W1745" t="str"><v>Link Ad</v></cell><cell r="X1745" t="str"><v>1x1</v></cell></row><row r="1745"><cell r="AA1745"><v>43294</v></cell><cell r="AB1745" t="str"><v>USA_gaPMG_AZR_AZR_Q1_19_Direct-Social</v></cell><cell r="AC1745"><v>21358715</v></cell><cell r="AD1745"><v>720197</v></cell><cell r="AE1745" t="str"><v>Facebook</v></cell><cell r="AF1745"><v>3654128</v></cell><cell r="AG1745" t="str"><v>FACEBOOK»USA-Trial-ITD-Retargeting-AZR-AZR»1 x 1»SocialBan»LIA»ALL»CPA»RT»X»NA»SS»NA»FreeAcctRetargetingFB-Animated-ChC»PRC1RX</v></cell><cell r="AH1745"><v>223862864</v></cell><cell r="AI1745" t="str"><v>AzurePlatform_FreeAcctRetargetingFB-Animated-ChC_USA_1200x628_CAN_PLATFORM_English_Free Account_Standard_ANI_SINU_T3_2</v></cell><cell r="AJ1745"><v>103180880</v></cell></row><row r="1746"><cell r="C1746" t="str"><v>43294FACEBOOK»USA-Trial-ITD-Retargeting-AZR-AZR»1 x 1»SocialBan»LIA»ALL»CPA»RT»X»NA»SS»NA»FreeAcctRetargetingFB-Credit-ChA»PRC1RV</v></cell><cell r="D1746" t="str"><v>43294224106075</v></cell><cell r="E1746" t="str"><v>43294103034917PRC1RV</v></cell><cell r="F1746" t="str"><v>DCM</v></cell><cell r="G1746" t="str"><v>https://azure.microsoft.com/en-us/free/search/?OCID=AID%eexcid!_OLA_%ebuy!_%epid!_%ecid!</v></cell></row><row r="1746"><cell r="K1746" t="str"><v>July</v></cell><cell r="L1746"><v>43295</v></cell><cell r="M1746" t="str"><v>Tier 0</v></cell><cell r="N1746" t="str"><v>North America</v></cell><cell r="O1746" t="str"><v>United States</v></cell><cell r="P1746" t="str"><v>Trial</v></cell><cell r="Q1746" t="str"><v>Social</v></cell><cell r="R1746" t="str"><v>Azure</v></cell><cell r="S1746" t="str"><v>Apps & Infra</v></cell><cell r="T1746" t="str"><v>Developers & ITI's</v></cell><cell r="U1746" t="str"><v>USA-Trial-ITD-Retargeting-AZR-AZR</v></cell><cell r="V1746" t="str"><v>Retargeting</v></cell><cell r="W1746" t="str"><v>Link Ad</v></cell><cell r="X1746" t="str"><v>1x1</v></cell></row><row r="1746"><cell r="AA1746"><v>43294</v></cell><cell r="AB1746" t="str"><v>USA_gaPMG_AZR_AZR_Q1_19_Direct-Social</v></cell><cell r="AC1746"><v>21358715</v></cell><cell r="AD1746"><v>720197</v></cell><cell r="AE1746" t="str"><v>Facebook</v></cell><cell r="AF1746"><v>3654128</v></cell><cell r="AG1746" t="str"><v>FACEBOOK»USA-Trial-ITD-Retargeting-AZR-AZR»1 x 1»SocialBan»LIA»ALL»CPA»RT»X»NA»SS»NA»FreeAcctRetargetingFB-Credit-ChA»PRC1RV</v></cell><cell r="AH1746"><v>224106075</v></cell><cell r="AI1746" t="str"><v>AzurePlatform_FreeAcctRetargetingFB-Credit-ChA_USA_1200x628_CAN_PLATFORM_English_Free Account_Standard_NA_SINU_T1_2</v></cell><cell r="AJ1746"><v>103034917</v></cell></row><row r="1747"><cell r="C1747" t="str"><v>43294FACEBOOK»USA-Trial-ITD-Retargeting-AZR-AZR»1 x 1»SocialBan»LIA»ALL»CPA»RT»X»NA»SS»NA»FreeAcctRetargetingFB-GlobalAlt-ChB»PRC1RW</v></cell><cell r="D1747" t="str"><v>43294223862756</v></cell><cell r="E1747" t="str"><v>43294103180592PRC1RW</v></cell><cell r="F1747" t="str"><v>DCM</v></cell><cell r="G1747" t="str"><v>https://azure.microsoft.com/en-us/free/search/?OCID=AID%eexcid!_OLA_%ebuy!_%epid!_%ecid!</v></cell></row><row r="1747"><cell r="K1747" t="str"><v>July</v></cell><cell r="L1747"><v>43295</v></cell><cell r="M1747" t="str"><v>Tier 0</v></cell><cell r="N1747" t="str"><v>North America</v></cell><cell r="O1747" t="str"><v>United States</v></cell><cell r="P1747" t="str"><v>Trial</v></cell><cell r="Q1747" t="str"><v>Social</v></cell><cell r="R1747" t="str"><v>Azure</v></cell><cell r="S1747" t="str"><v>Apps & Infra</v></cell><cell r="T1747" t="str"><v>Developers & ITI's</v></cell><cell r="U1747" t="str"><v>USA-Trial-ITD-Retargeting-AZR-AZR</v></cell><cell r="V1747" t="str"><v>Retargeting</v></cell><cell r="W1747" t="str"><v>Link Ad</v></cell><cell r="X1747" t="str"><v>1x1</v></cell></row><row r="1747"><cell r="AA1747"><v>43294</v></cell><cell r="AB1747" t="str"><v>USA_gaPMG_AZR_AZR_Q1_19_Direct-Social</v></cell><cell r="AC1747"><v>21358715</v></cell><cell r="AD1747"><v>720197</v></cell><cell r="AE1747" t="str"><v>Facebook</v></cell><cell r="AF1747"><v>3654128</v></cell><cell r="AG1747" t="str"><v>FACEBOOK»USA-Trial-ITD-Retargeting-AZR-AZR»1 x 1»SocialBan»LIA»ALL»CPA»RT»X»NA»SS»NA»FreeAcctRetargetingFB-GlobalAlt-ChB»PRC1RW</v></cell><cell r="AH1747"><v>223862756</v></cell><cell r="AI1747" t="str"><v>AzurePlatform_FreeAcctRetargetingFB-GlobalAlt-ChB_USA_1200x628_CAN_PLATFORM_English_Free Account_Standard_NA_SINU_T2_1</v></cell><cell r="AJ1747"><v>103180592</v></cell></row><row r="1748"><cell r="C1748" t="str"><v>43294FACEBOOK»USA-Trial-ITD-Retargeting-AZR-AZR»1 x 1»SocialBan»LIA»ALL»CPA»RT»X»NA»SS»NA»FreeAcctRetargetingVMFB-750Hrs-ChD»PRC1RY</v></cell><cell r="D1748" t="str"><v>43294223862747</v></cell><cell r="E1748" t="str"><v>43294103034911PRC1RY</v></cell><cell r="F1748" t="str"><v>DCM</v></cell><cell r="G1748" t="str"><v>https://azure.microsoft.com/en-us/free/virtual-machines/search/?OCID=AID%eexcid!_OLA_%ebuy!_%epid!_%ecid!</v></cell></row><row r="1748"><cell r="K1748" t="str"><v>July</v></cell><cell r="L1748"><v>43295</v></cell><cell r="M1748" t="str"><v>Tier 0</v></cell><cell r="N1748" t="str"><v>North America</v></cell><cell r="O1748" t="str"><v>United States</v></cell><cell r="P1748" t="str"><v>Trial</v></cell><cell r="Q1748" t="str"><v>Social</v></cell><cell r="R1748" t="str"><v>Azure</v></cell><cell r="S1748" t="str"><v>Apps & Infra</v></cell><cell r="T1748" t="str"><v>Developers & ITI's</v></cell><cell r="U1748" t="str"><v>USA-Trial-ITD-Retargeting-AZR-AZR</v></cell><cell r="V1748" t="str"><v>Retargeting</v></cell><cell r="W1748" t="str"><v>Link Ad</v></cell><cell r="X1748" t="str"><v>1x1</v></cell></row><row r="1748"><cell r="AA1748"><v>43294</v></cell><cell r="AB1748" t="str"><v>USA_gaPMG_AZR_AZR_Q1_19_Direct-Social</v></cell><cell r="AC1748"><v>21358715</v></cell><cell r="AD1748"><v>720197</v></cell><cell r="AE1748" t="str"><v>Facebook</v></cell><cell r="AF1748"><v>3654128</v></cell><cell r="AG1748" t="str"><v>FACEBOOK»USA-Trial-ITD-Retargeting-AZR-AZR»1 x 1»SocialBan»LIA»ALL»CPA»RT»X»NA»SS»NA»FreeAcctRetargetingVMFB-750Hrs-ChD»PRC1RY</v></cell><cell r="AH1748"><v>223862747</v></cell><cell r="AI1748" t="str"><v>AzurePlatform_FreeAcctRetargetingVMFB-750Hrs-ChD_USA_1200x628_CAN_PLATFORM_English_Free Account_Standard_NA_SINU_T1_1</v></cell><cell r="AJ1748"><v>103034911</v></cell></row><row r="1749"><cell r="C1749" t="str"><v>43294FACEBOOK»USA-Trial-ITD-Retargeting-AZR-AZR»1 x 1»SocialBan»LIA»ALL»CPA»RT»X»NA»SS»NA»FreeAcctRetargetingVMFB-OnDemand-ChE»PRC1S0</v></cell><cell r="D1749" t="str"><v>43294224104899</v></cell><cell r="E1749" t="str"><v>43294103180610PRC1S0</v></cell><cell r="F1749" t="str"><v>DCM</v></cell><cell r="G1749" t="str"><v>https://azure.microsoft.com/en-us/free/virtual-machines/search/?OCID=AID%eexcid!_OLA_%ebuy!_%epid!_%ecid!</v></cell></row><row r="1749"><cell r="K1749" t="str"><v>July</v></cell><cell r="L1749"><v>43295</v></cell><cell r="M1749" t="str"><v>Tier 0</v></cell><cell r="N1749" t="str"><v>North America</v></cell><cell r="O1749" t="str"><v>United States</v></cell><cell r="P1749" t="str"><v>Trial</v></cell><cell r="Q1749" t="str"><v>Social</v></cell><cell r="R1749" t="str"><v>Azure</v></cell><cell r="S1749" t="str"><v>Apps & Infra</v></cell><cell r="T1749" t="str"><v>Developers & ITI's</v></cell><cell r="U1749" t="str"><v>USA-Trial-ITD-Retargeting-AZR-AZR</v></cell><cell r="V1749" t="str"><v>Retargeting</v></cell><cell r="W1749" t="str"><v>Link Ad</v></cell><cell r="X1749" t="str"><v>1x1</v></cell></row><row r="1749"><cell r="AA1749"><v>43294</v></cell><cell r="AB1749" t="str"><v>USA_gaPMG_AZR_AZR_Q1_19_Direct-Social</v></cell><cell r="AC1749"><v>21358715</v></cell><cell r="AD1749"><v>720197</v></cell><cell r="AE1749" t="str"><v>Facebook</v></cell><cell r="AF1749"><v>3654128</v></cell><cell r="AG1749" t="str"><v>FACEBOOK»USA-Trial-ITD-Retargeting-AZR-AZR»1 x 1»SocialBan»LIA»ALL»CPA»RT»X»NA»SS»NA»FreeAcctRetargetingVMFB-OnDemand-ChE»PRC1S0</v></cell><cell r="AH1749"><v>224104899</v></cell><cell r="AI1749" t="str"><v>AzurePlatform_FreeAcctRetargetingVMFB-OnDemand-ChE_USA_1200x628_CAN_PLATFORM_English_Free Account_Standard_NA_SINU_T2_1</v></cell><cell r="AJ1749"><v>103180610</v></cell></row><row r="1750"><cell r="C1750" t="str"><v>43294FACEBOOK»USA-Trial-ITD-Retargeting-AZR-AZR»1 x 1»SocialBan»CAN»ALL»CPA»RT»X»NA»SS»NA»FBCTCBrandinMotion»PRC1RT</v></cell><cell r="D1750" t="str"><v>43294224106069</v></cell><cell r="E1750" t="str"><v>43294103176812PRC1RT</v></cell><cell r="F1750" t="str"><v>DCM</v></cell><cell r="G1750" t="str"><v>https://signup.azure.com/?OCID=AID%eexcid!_OLA_%ebuy!_%epid!_%ecid!</v></cell></row><row r="1750"><cell r="K1750" t="str"><v>July</v></cell><cell r="L1750"><v>43295</v></cell><cell r="M1750" t="str"><v>Tier 0</v></cell><cell r="N1750" t="str"><v>North America</v></cell><cell r="O1750" t="str"><v>United States</v></cell><cell r="P1750" t="str"><v>Trial</v></cell><cell r="Q1750" t="str"><v>Social</v></cell><cell r="R1750" t="str"><v>Azure</v></cell><cell r="S1750" t="str"><v>Apps & Infra</v></cell><cell r="T1750" t="str"><v>Developers & ITI's</v></cell><cell r="U1750" t="str"><v>USA-Trial-ITD-Retargeting-AZR-AZR</v></cell><cell r="V1750" t="str"><v>Retargeting</v></cell><cell r="W1750" t="str"><v>Canvas Ad</v></cell><cell r="X1750" t="str"><v>1x1</v></cell></row><row r="1750"><cell r="AA1750"><v>43294</v></cell><cell r="AB1750" t="str"><v>USA_gaPMG_AZR_AZR_Q1_19_Direct-Social</v></cell><cell r="AC1750"><v>21358715</v></cell><cell r="AD1750"><v>720197</v></cell><cell r="AE1750" t="str"><v>Facebook</v></cell><cell r="AF1750"><v>3654128</v></cell><cell r="AG1750" t="str"><v>FACEBOOK»USA-Trial-ITD-Retargeting-AZR-AZR»1 x 1»SocialBan»CAN»ALL»CPA»RT»X»NA»SS»NA»FBCTCBrandinMotion»PRC1RT</v></cell><cell r="AH1750"><v>224106069</v></cell><cell r="AI1750" t="str"><v>AzurePlatform_FBCTCBrandinMotion_USA_10s_CAN_PLATFORM_English_Trial_Standard_STAN_TIN_T2_1</v></cell><cell r="AJ1750"><v>103176812</v></cell></row><row r="1751"><cell r="C1751" t="str"><v>43294FACEBOOK»USA-Trial-ITD-Trial Lookalike-AZR-AZR»1 x 1»SocialBan»CAN»ALL»CPA»LAL»X»NA»SS»NA»FBCTCBenefit2inMotion»PRC1M0</v></cell><cell r="D1751" t="str"><v>43294223862927</v></cell><cell r="E1751" t="str"><v>43294103043835PRC1M0</v></cell><cell r="F1751" t="str"><v>DCM</v></cell><cell r="G1751" t="str"><v>https://signup.azure.com/?OCID=AID%eexcid!_OLA_%ebuy!_%epid!_%ecid!</v></cell></row><row r="1751"><cell r="K1751" t="str"><v>July</v></cell><cell r="L1751"><v>43295</v></cell><cell r="M1751" t="str"><v>Tier 0</v></cell><cell r="N1751" t="str"><v>North America</v></cell><cell r="O1751" t="str"><v>United States</v></cell><cell r="P1751" t="str"><v>Trial</v></cell><cell r="Q1751" t="str"><v>Social</v></cell><cell r="R1751" t="str"><v>Azure</v></cell><cell r="S1751" t="str"><v>Apps & Infra</v></cell><cell r="T1751" t="str"><v>Developers & ITI's</v></cell><cell r="U1751" t="str"><v>USA-Trial-ITD-Trial Lookalike-AZR-AZR</v></cell><cell r="V1751" t="str"><v>Lookalike Targeting</v></cell><cell r="W1751" t="str"><v>Canvas Ad</v></cell><cell r="X1751" t="str"><v>1x1</v></cell></row><row r="1751"><cell r="AA1751"><v>43294</v></cell><cell r="AB1751" t="str"><v>USA_gaPMG_AZR_AZR_Q1_19_Direct-Social</v></cell><cell r="AC1751"><v>21358715</v></cell><cell r="AD1751"><v>720197</v></cell><cell r="AE1751" t="str"><v>Facebook</v></cell><cell r="AF1751"><v>3654128</v></cell><cell r="AG1751" t="str"><v>FACEBOOK»USA-Trial-ITD-Trial Lookalike-AZR-AZR»1 x 1»SocialBan»CAN»ALL»CPA»LAL»X»NA»SS»NA»FBCTCBenefit2inMotion»PRC1M0</v></cell><cell r="AH1751"><v>223862927</v></cell><cell r="AI1751" t="str"><v>AzurePlatform_FBCTCBenefit2inMotion_USA_10s_CAN_PLATFORM_English_Trial_Standard_STAN_TIN_T4_1</v></cell><cell r="AJ1751"><v>103043835</v></cell></row><row r="1752"><cell r="C1752" t="str"><v>43294FACEBOOK»USA-Trial-ITD-Trial Lookalike-AZR-AZR»1 x 1»SocialBan»CAN»ALL»CPA»LAL»X»NA»SS»NA»FBCTCBenefit2inMotion»PRC1M0</v></cell><cell r="D1752" t="str"><v>43294223862927</v></cell><cell r="E1752" t="str"><v>43294103178645PRC1M0</v></cell><cell r="F1752" t="str"><v>DCM</v></cell><cell r="G1752" t="str"><v>https://azure.microsoft.com/en-us/pricing/purchase-options/?v=18.19&OCID=AID%eexcid!_OLA_%ebuy!_%epid!_%ecid!</v></cell></row><row r="1752"><cell r="K1752" t="str"><v>July</v></cell><cell r="L1752"><v>43295</v></cell><cell r="M1752" t="str"><v>Tier 0</v></cell><cell r="N1752" t="str"><v>North America</v></cell><cell r="O1752" t="str"><v>United States</v></cell><cell r="P1752" t="str"><v>Trial</v></cell><cell r="Q1752" t="str"><v>Social</v></cell><cell r="R1752" t="str"><v>Azure</v></cell><cell r="S1752" t="str"><v>Apps & Infra</v></cell><cell r="T1752" t="str"><v>Developers & ITI's</v></cell><cell r="U1752" t="str"><v>USA-Trial-ITD-Trial Lookalike-AZR-AZR</v></cell><cell r="V1752" t="str"><v>Lookalike Targeting</v></cell><cell r="W1752" t="str"><v>Canvas Ad</v></cell><cell r="X1752" t="str"><v>1x1</v></cell></row><row r="1752"><cell r="AA1752"><v>43294</v></cell><cell r="AB1752" t="str"><v>USA_gaPMG_AZR_AZR_Q1_19_Direct-Social</v></cell><cell r="AC1752"><v>21358715</v></cell><cell r="AD1752"><v>720197</v></cell><cell r="AE1752" t="str"><v>Facebook</v></cell><cell r="AF1752"><v>3654128</v></cell><cell r="AG1752" t="str"><v>FACEBOOK»USA-Trial-ITD-Trial Lookalike-AZR-AZR»1 x 1»SocialBan»CAN»ALL»CPA»LAL»X»NA»SS»NA»FBCTCBenefit2inMotion»PRC1M0</v></cell><cell r="AH1752"><v>223862927</v></cell><cell r="AI1752" t="str"><v>AzurePlatform_FBCTCBenefit2inMotion_USA_10s_CAN_PLATFORM_English_Trial_Standard_STAN_TIN_T4_2</v></cell><cell r="AJ1752"><v>103178645</v></cell></row><row r="1753"><cell r="C1753" t="str"><v>43294FACEBOOK»USA-Trial-ITD-Trial Lookalike-AZR-AZR»1 x 1»SocialBan»CAN»ALL»CPA»LAL»X»NA»SS»NA»FBCTCBenefitinMotion»PRC1M2</v></cell><cell r="D1753" t="str"><v>43294223862897</v></cell><cell r="E1753" t="str"><v>43294103032775PRC1M2</v></cell><cell r="F1753" t="str"><v>DCM</v></cell><cell r="G1753" t="str"><v>https://signup.azure.com/?OCID=AID%eexcid!_OLA_%ebuy!_%epid!_%ecid!</v></cell></row><row r="1753"><cell r="K1753" t="str"><v>July</v></cell><cell r="L1753"><v>43295</v></cell><cell r="M1753" t="str"><v>Tier 0</v></cell><cell r="N1753" t="str"><v>North America</v></cell><cell r="O1753" t="str"><v>United States</v></cell><cell r="P1753" t="str"><v>Trial</v></cell><cell r="Q1753" t="str"><v>Social</v></cell><cell r="R1753" t="str"><v>Azure</v></cell><cell r="S1753" t="str"><v>Apps & Infra</v></cell><cell r="T1753" t="str"><v>Developers & ITI's</v></cell><cell r="U1753" t="str"><v>USA-Trial-ITD-Trial Lookalike-AZR-AZR</v></cell><cell r="V1753" t="str"><v>Lookalike Targeting</v></cell><cell r="W1753" t="str"><v>Canvas Ad</v></cell><cell r="X1753" t="str"><v>1x1</v></cell></row><row r="1753"><cell r="AA1753"><v>43294</v></cell><cell r="AB1753" t="str"><v>USA_gaPMG_AZR_AZR_Q1_19_Direct-Social</v></cell><cell r="AC1753"><v>21358715</v></cell><cell r="AD1753"><v>720197</v></cell><cell r="AE1753" t="str"><v>Facebook</v></cell><cell r="AF1753"><v>3654128</v></cell><cell r="AG1753" t="str"><v>FACEBOOK»USA-Trial-ITD-Trial Lookalike-AZR-AZR»1 x 1»SocialBan»CAN»ALL»CPA»LAL»X»NA»SS»NA»FBCTCBenefitinMotion»PRC1M2</v></cell><cell r="AH1753"><v>223862897</v></cell><cell r="AI1753" t="str"><v>AzurePlatform_FBCTCBenefitinMotion_USA_10s_CAN_PLATFORM_English_Trial_Standard_STAN_TIN_T3_1</v></cell><cell r="AJ1753"><v>103032775</v></cell></row><row r="1754"><cell r="C1754" t="str"><v>43294FACEBOOK»USA-Trial-ITD-Trial Lookalike-AZR-AZR»1 x 1»SocialBan»CAN»ALL»CPA»LAL»X»NA»SS»NA»FBCTCBenefitinMotion»PRC1M2</v></cell><cell r="D1754" t="str"><v>43294223862897</v></cell><cell r="E1754" t="str"><v>43294103176836PRC1M2</v></cell><cell r="F1754" t="str"><v>DCM</v></cell><cell r="G1754" t="str"><v>https://azure.microsoft.com/en-us/pricing/purchase-options/?v=18.19&OCID=AID%eexcid!_OLA_%ebuy!_%epid!_%ecid!</v></cell></row><row r="1754"><cell r="K1754" t="str"><v>July</v></cell><cell r="L1754"><v>43295</v></cell><cell r="M1754" t="str"><v>Tier 0</v></cell><cell r="N1754" t="str"><v>North America</v></cell><cell r="O1754" t="str"><v>United States</v></cell><cell r="P1754" t="str"><v>Trial</v></cell><cell r="Q1754" t="str"><v>Social</v></cell><cell r="R1754" t="str"><v>Azure</v></cell><cell r="S1754" t="str"><v>Apps & Infra</v></cell><cell r="T1754" t="str"><v>Developers & ITI's</v></cell><cell r="U1754" t="str"><v>USA-Trial-ITD-Trial Lookalike-AZR-AZR</v></cell><cell r="V1754" t="str"><v>Lookalike Targeting</v></cell><cell r="W1754" t="str"><v>Canvas Ad</v></cell><cell r="X1754" t="str"><v>1x1</v></cell></row><row r="1754"><cell r="AA1754"><v>43294</v></cell><cell r="AB1754" t="str"><v>USA_gaPMG_AZR_AZR_Q1_19_Direct-Social</v></cell><cell r="AC1754"><v>21358715</v></cell><cell r="AD1754"><v>720197</v></cell><cell r="AE1754" t="str"><v>Facebook</v></cell><cell r="AF1754"><v>3654128</v></cell><cell r="AG1754" t="str"><v>FACEBOOK»USA-Trial-ITD-Trial Lookalike-AZR-AZR»1 x 1»SocialBan»CAN»ALL»CPA»LAL»X»NA»SS»NA»FBCTCBenefitinMotion»PRC1M2</v></cell><cell r="AH1754"><v>223862897</v></cell><cell r="AI1754" t="str"><v>AzurePlatform_FBCTCBenefitinMotion_USA_10s_CAN_PLATFORM_English_Trial_Standard_STAN_TIN_T3_2</v></cell><cell r="AJ1754"><v>103176836</v></cell></row><row r="1755"><cell r="C1755" t="str"><v>43294FACEBOOK»USA-Trial-ITD-Trial Lookalike-AZR-AZR»1 x 1»SocialBan»LIA»ALL»CPA»LAL»X»NA»SS»NA»FreeAcctDeveloperFB-AnimatedAI-Ch3»PRC1M7</v></cell><cell r="D1755" t="str"><v>43294223934104</v></cell><cell r="E1755" t="str"><v>43294103032778PRC1M7</v></cell><cell r="F1755" t="str"><v>DCM</v></cell></row><row r="1755"><cell r="K1755" t="str"><v>July</v></cell><cell r="L1755"><v>43295</v></cell><cell r="M1755" t="str"><v>Tier 0</v></cell><cell r="N1755" t="str"><v>North America</v></cell><cell r="O1755" t="str"><v>United States</v></cell><cell r="P1755" t="str"><v>Trial</v></cell><cell r="Q1755" t="str"><v>Social</v></cell><cell r="R1755" t="str"><v>Azure</v></cell><cell r="S1755" t="str"><v>Apps & Infra</v></cell><cell r="T1755" t="str"><v>Developers & ITI's</v></cell><cell r="U1755" t="str"><v>USA-Trial-ITD-Trial Lookalike-AZR-AZR</v></cell><cell r="V1755" t="str"><v>Lookalike Targeting</v></cell><cell r="W1755" t="str"><v>Link Ad</v></cell><cell r="X1755" t="str"><v>1x1</v></cell></row><row r="1755"><cell r="AA1755"><v>43294</v></cell><cell r="AB1755" t="str"><v>USA_gaPMG_AZR_AZR_Q1_19_Direct-Social</v></cell><cell r="AC1755"><v>21358715</v></cell><cell r="AD1755"><v>720197</v></cell><cell r="AE1755" t="str"><v>Facebook</v></cell><cell r="AF1755"><v>3654128</v></cell><cell r="AG1755" t="str"><v>FACEBOOK»USA-Trial-ITD-Trial Lookalike-AZR-AZR»1 x 1»SocialBan»LIA»ALL»CPA»LAL»X»NA»SS»NA»FreeAcctDeveloperFB-AnimatedAI-Ch3»PRC1M7</v></cell><cell r="AH1755"><v>223934104</v></cell><cell r="AI1755" t="str"><v>AZR_FreeAcctDeveloperFB-AnimatedAI-Ch3_USA_1200x1200_CAN_Direct_English_Trial_Standard_ANI_LEA_T3_1</v></cell><cell r="AJ1755"><v>103032778</v></cell></row><row r="1756"><cell r="C1756" t="str"><v>43294FACEBOOK»USA-Trial-ITD-Trial Lookalike-AZR-AZR»1 x 1»SocialBan»LIA»ALL»CPA»LAL»X»NA»SS»NA»FreeAcctDeveloperFB-AnimatedData-Ch4»PRC1M8</v></cell><cell r="D1756" t="str"><v>43294223862933</v></cell><cell r="E1756" t="str"><v>43294103037935PRC1M8</v></cell><cell r="F1756" t="str"><v>DCM</v></cell></row><row r="1756"><cell r="K1756" t="str"><v>July</v></cell><cell r="L1756"><v>43295</v></cell><cell r="M1756" t="str"><v>Tier 0</v></cell><cell r="N1756" t="str"><v>North America</v></cell><cell r="O1756" t="str"><v>United States</v></cell><cell r="P1756" t="str"><v>Trial</v></cell><cell r="Q1756" t="str"><v>Social</v></cell><cell r="R1756" t="str"><v>Azure</v></cell><cell r="S1756" t="str"><v>Apps & Infra</v></cell><cell r="T1756" t="str"><v>Developers & ITI's</v></cell><cell r="U1756" t="str"><v>USA-Trial-ITD-Trial Lookalike-AZR-AZR</v></cell><cell r="V1756" t="str"><v>Lookalike Targeting</v></cell><cell r="W1756" t="str"><v>Link Ad</v></cell><cell r="X1756" t="str"><v>1x1</v></cell></row><row r="1756"><cell r="AA1756"><v>43294</v></cell><cell r="AB1756" t="str"><v>USA_gaPMG_AZR_AZR_Q1_19_Direct-Social</v></cell><cell r="AC1756"><v>21358715</v></cell><cell r="AD1756"><v>720197</v></cell><cell r="AE1756" t="str"><v>Facebook</v></cell><cell r="AF1756"><v>3654128</v></cell><cell r="AG1756" t="str"><v>FACEBOOK»USA-Trial-ITD-Trial Lookalike-AZR-AZR»1 x 1»SocialBan»LIA»ALL»CPA»LAL»X»NA»SS»NA»FreeAcctDeveloperFB-AnimatedData-Ch4»PRC1M8</v></cell><cell r="AH1756"><v>223862933</v></cell><cell r="AI1756" t="str"><v>AZR_FreeAcctDeveloperFB-AnimatedData-Ch4_USA_1200x1200_CAN_Direct_English_Trial_Standard_ANI_LEA_T4_2</v></cell><cell r="AJ1756"><v>103037935</v></cell></row><row r="1757"><cell r="C1757" t="str"><v>43294FACEBOOK»USA-Trial-ITD-Trial Lookalike-AZR-AZR»1 x 1»SocialBan»LIA»ALL»CPA»LAL»X»NA»SS»NA»FreeAcctITProFB-AnimatedHybrid-Ch2»PRC1MC</v></cell><cell r="D1757" t="str"><v>43294224104956</v></cell><cell r="E1757" t="str"><v>43294103180583PRC1MC</v></cell><cell r="F1757" t="str"><v>DCM</v></cell></row><row r="1757"><cell r="K1757" t="str"><v>July</v></cell><cell r="L1757"><v>43295</v></cell><cell r="M1757" t="str"><v>Tier 0</v></cell><cell r="N1757" t="str"><v>North America</v></cell><cell r="O1757" t="str"><v>United States</v></cell><cell r="P1757" t="str"><v>Trial</v></cell><cell r="Q1757" t="str"><v>Social</v></cell><cell r="R1757" t="str"><v>Azure</v></cell><cell r="S1757" t="str"><v>Apps & Infra</v></cell><cell r="T1757" t="str"><v>Developers & ITI's</v></cell><cell r="U1757" t="str"><v>USA-Trial-ITD-Trial Lookalike-AZR-AZR</v></cell><cell r="V1757" t="str"><v>Lookalike Targeting</v></cell><cell r="W1757" t="str"><v>Link Ad</v></cell><cell r="X1757" t="str"><v>1x1</v></cell></row><row r="1757"><cell r="AA1757"><v>43294</v></cell><cell r="AB1757" t="str"><v>USA_gaPMG_AZR_AZR_Q1_19_Direct-Social</v></cell><cell r="AC1757"><v>21358715</v></cell><cell r="AD1757"><v>720197</v></cell><cell r="AE1757" t="str"><v>Facebook</v></cell><cell r="AF1757"><v>3654128</v></cell><cell r="AG1757" t="str"><v>FACEBOOK»USA-Trial-ITD-Trial Lookalike-AZR-AZR»1 x 1»SocialBan»LIA»ALL»CPA»LAL»X»NA»SS»NA»FreeAcctITProFB-AnimatedHybrid-Ch2»PRC1MC</v></cell><cell r="AH1757"><v>224104956</v></cell><cell r="AI1757" t="str"><v>AZR_FreeAcctITProFB-AnimatedHybrid-Ch2_USA_1200x1200_CAN_Direct_English_Trial_Standard_ANI_LEA_T2_2</v></cell><cell r="AJ1757"><v>103180583</v></cell></row><row r="1758"><cell r="C1758" t="str"><v>43294FACEBOOK»USA-Trial-ITD-Trial Lookalike-AZR-AZR»1 x 1»SocialBan»CAN»ALL»CPA»LAL»X»NA»SS»NA»FBCTCBrandinMotion»PRC1M3</v></cell><cell r="D1758" t="str"><v>43294223862900</v></cell><cell r="E1758" t="str"><v>43294103176812PRC1M3</v></cell><cell r="F1758" t="str"><v>DCM</v></cell><cell r="G1758" t="str"><v>https://signup.azure.com/?OCID=AID%eexcid!_OLA_%ebuy!_%epid!_%ecid!</v></cell></row><row r="1758"><cell r="K1758" t="str"><v>July</v></cell><cell r="L1758"><v>43295</v></cell><cell r="M1758" t="str"><v>Tier 0</v></cell><cell r="N1758" t="str"><v>North America</v></cell><cell r="O1758" t="str"><v>United States</v></cell><cell r="P1758" t="str"><v>Trial</v></cell><cell r="Q1758" t="str"><v>Social</v></cell><cell r="R1758" t="str"><v>Azure</v></cell><cell r="S1758" t="str"><v>Apps & Infra</v></cell><cell r="T1758" t="str"><v>Developers & ITI's</v></cell><cell r="U1758" t="str"><v>USA-Trial-ITD-Trial Lookalike-AZR-AZR</v></cell><cell r="V1758" t="str"><v>Lookalike Targeting</v></cell><cell r="W1758" t="str"><v>Canvas Ad</v></cell><cell r="X1758" t="str"><v>1x1</v></cell></row><row r="1758"><cell r="AA1758"><v>43294</v></cell><cell r="AB1758" t="str"><v>USA_gaPMG_AZR_AZR_Q1_19_Direct-Social</v></cell><cell r="AC1758"><v>21358715</v></cell><cell r="AD1758"><v>720197</v></cell><cell r="AE1758" t="str"><v>Facebook</v></cell><cell r="AF1758"><v>3654128</v></cell><cell r="AG1758" t="str"><v>FACEBOOK»USA-Trial-ITD-Trial Lookalike-AZR-AZR»1 x 1»SocialBan»CAN»ALL»CPA»LAL»X»NA»SS»NA»FBCTCBrandinMotion»PRC1M3</v></cell><cell r="AH1758"><v>223862900</v></cell><cell r="AI1758" t="str"><v>AzurePlatform_FBCTCBrandinMotion_USA_10s_CAN_PLATFORM_English_Trial_Standard_STAN_TIN_T2_1</v></cell><cell r="AJ1758"><v>103176812</v></cell></row><row r="1759"><cell r="C1759" t="str"><v>43294FACEBOOK»USA-Trial-ITD-Trial Lookalike-AZR-AZR»1 x 1»SocialBan»CAN»ALL»CPA»LAL»X»NA»SS»NA»FBCTCBrandinMotion»PRC1M3</v></cell><cell r="D1759" t="str"><v>43294223862900</v></cell><cell r="E1759" t="str"><v>43294103032823PRC1M3</v></cell><cell r="F1759" t="str"><v>DCM</v></cell><cell r="G1759" t="str"><v>https://azure.microsoft.com/en-us/pricing/purchase-options/?v=18.19&OCID=AID%eexcid!_OLA_%ebuy!_%epid!_%ecid!</v></cell></row><row r="1759"><cell r="K1759" t="str"><v>July</v></cell><cell r="L1759"><v>43295</v></cell><cell r="M1759" t="str"><v>Tier 0</v></cell><cell r="N1759" t="str"><v>North America</v></cell><cell r="O1759" t="str"><v>United States</v></cell><cell r="P1759" t="str"><v>Trial</v></cell><cell r="Q1759" t="str"><v>Social</v></cell><cell r="R1759" t="str"><v>Azure</v></cell><cell r="S1759" t="str"><v>Apps & Infra</v></cell><cell r="T1759" t="str"><v>Developers & ITI's</v></cell><cell r="U1759" t="str"><v>USA-Trial-ITD-Trial Lookalike-AZR-AZR</v></cell><cell r="V1759" t="str"><v>Lookalike Targeting</v></cell><cell r="W1759" t="str"><v>Canvas Ad</v></cell><cell r="X1759" t="str"><v>1x1</v></cell></row><row r="1759"><cell r="AA1759"><v>43294</v></cell><cell r="AB1759" t="str"><v>USA_gaPMG_AZR_AZR_Q1_19_Direct-Social</v></cell><cell r="AC1759"><v>21358715</v></cell><cell r="AD1759"><v>720197</v></cell><cell r="AE1759" t="str"><v>Facebook</v></cell><cell r="AF1759"><v>3654128</v></cell><cell r="AG1759" t="str"><v>FACEBOOK»USA-Trial-ITD-Trial Lookalike-AZR-AZR»1 x 1»SocialBan»CAN»ALL»CPA»LAL»X»NA»SS»NA»FBCTCBrandinMotion»PRC1M3</v></cell><cell r="AH1759"><v>223862900</v></cell><cell r="AI1759" t="str"><v>AzurePlatform_FBCTCBrandinMotion_USA_10s_CAN_PLATFORM_English_Trial_Standard_STAN_TIN_T2_2</v></cell><cell r="AJ1759"><v>103032823</v></cell></row><row r="1760"><cell r="C1760" t="str"><v>43294FACEBOOK»USA-Trial-ITD-Trial PayGo Lookalike-AZR-AZR»1 x 1»SocialBan»CAN»ALL»CPA»LAL»X»NA»SS»NA»FBCTCBenefit2inMotion»PRC1Q1</v></cell><cell r="D1760" t="str"><v>43294224104986</v></cell><cell r="E1760" t="str"><v>43294103043835PRC1Q1</v></cell><cell r="F1760" t="str"><v>DCM</v></cell><cell r="G1760" t="str"><v>https://signup.azure.com/?OCID=AID%eexcid!_OLA_%ebuy!_%epid!_%ecid!</v></cell></row><row r="1760"><cell r="K1760" t="str"><v>July</v></cell><cell r="L1760"><v>43295</v></cell><cell r="M1760" t="str"><v>Tier 0</v></cell><cell r="N1760" t="str"><v>North America</v></cell><cell r="O1760" t="str"><v>United States</v></cell><cell r="P1760" t="str"><v>Trial</v></cell><cell r="Q1760" t="str"><v>Social</v></cell><cell r="R1760" t="str"><v>Azure</v></cell><cell r="S1760" t="str"><v>Apps & Infra</v></cell><cell r="T1760" t="str"><v>Developers & ITI's</v></cell><cell r="U1760" t="str"><v>USA-Trial-ITD-Trial PayGo Lookalike-AZR-AZR</v></cell><cell r="V1760" t="str"><v>Lookalike Targeting</v></cell><cell r="W1760" t="str"><v>Canvas Ad</v></cell><cell r="X1760" t="str"><v>1x1</v></cell></row><row r="1760"><cell r="AA1760"><v>43294</v></cell><cell r="AB1760" t="str"><v>USA_gaPMG_AZR_AZR_Q1_19_Direct-Social</v></cell><cell r="AC1760"><v>21358715</v></cell><cell r="AD1760"><v>720197</v></cell><cell r="AE1760" t="str"><v>Facebook</v></cell><cell r="AF1760"><v>3654128</v></cell><cell r="AG1760" t="str"><v>FACEBOOK»USA-Trial-ITD-Trial PayGo Lookalike-AZR-AZR»1 x 1»SocialBan»CAN»ALL»CPA»LAL»X»NA»SS»NA»FBCTCBenefit2inMotion»PRC1Q1</v></cell><cell r="AH1760"><v>224104986</v></cell><cell r="AI1760" t="str"><v>AzurePlatform_FBCTCBenefit2inMotion_USA_10s_CAN_PLATFORM_English_Trial_Standard_STAN_TIN_T4_1</v></cell><cell r="AJ1760"><v>103043835</v></cell></row><row r="1761"><cell r="C1761" t="str"><v>43294FACEBOOK»USA-Trial-ITD-Trial PayGo Lookalike-AZR-AZR»1 x 1»SocialBan»CAN»ALL»CPA»LAL»X»NA»SS»NA»FBCTCBrandinMotion»PRC1Q3</v></cell><cell r="D1761" t="str"><v>43294223935349</v></cell><cell r="E1761" t="str"><v>43294103176812PRC1Q3</v></cell><cell r="F1761" t="str"><v>DCM</v></cell><cell r="G1761" t="str"><v>https://signup.azure.com/?OCID=AID%eexcid!_OLA_%ebuy!_%epid!_%ecid!</v></cell></row><row r="1761"><cell r="K1761" t="str"><v>July</v></cell><cell r="L1761"><v>43295</v></cell><cell r="M1761" t="str"><v>Tier 0</v></cell><cell r="N1761" t="str"><v>North America</v></cell><cell r="O1761" t="str"><v>United States</v></cell><cell r="P1761" t="str"><v>Trial</v></cell><cell r="Q1761" t="str"><v>Social</v></cell><cell r="R1761" t="str"><v>Azure</v></cell><cell r="S1761" t="str"><v>Apps & Infra</v></cell><cell r="T1761" t="str"><v>Developers & ITI's</v></cell><cell r="U1761" t="str"><v>USA-Trial-ITD-Trial PayGo Lookalike-AZR-AZR</v></cell><cell r="V1761" t="str"><v>Lookalike Targeting</v></cell><cell r="W1761" t="str"><v>Canvas Ad</v></cell><cell r="X1761" t="str"><v>1x1</v></cell></row><row r="1761"><cell r="AA1761"><v>43294</v></cell><cell r="AB1761" t="str"><v>USA_gaPMG_AZR_AZR_Q1_19_Direct-Social</v></cell><cell r="AC1761"><v>21358715</v></cell><cell r="AD1761"><v>720197</v></cell><cell r="AE1761" t="str"><v>Facebook</v></cell><cell r="AF1761"><v>3654128</v></cell><cell r="AG1761" t="str"><v>FACEBOOK»USA-Trial-ITD-Trial PayGo Lookalike-AZR-AZR»1 x 1»SocialBan»CAN»ALL»CPA»LAL»X»NA»SS»NA»FBCTCBrandinMotion»PRC1Q3</v></cell><cell r="AH1761"><v>223935349</v></cell><cell r="AI1761" t="str"><v>AzurePlatform_FBCTCBrandinMotion_USA_10s_CAN_PLATFORM_English_Trial_Standard_STAN_TIN_T2_1</v></cell><cell r="AJ1761"><v>103176812</v></cell></row><row r="1762"><cell r="C1762" t="str"><v>43294FACEBOOK»USA-Trial-ITD-Trial PayGo Lookalike-AZR-AZR»1 x 1»SocialBan»CAN»ALL»CPA»LAL»X»NA»SS»NA»FBCTCBrandinMotion»PRC1Q3</v></cell><cell r="D1762" t="str"><v>43294223935349</v></cell><cell r="E1762" t="str"><v>43294103032823PRC1Q3</v></cell><cell r="F1762" t="str"><v>DCM</v></cell><cell r="G1762" t="str"><v>https://azure.microsoft.com/en-us/pricing/purchase-options/?v=18.19&OCID=AID%eexcid!_OLA_%ebuy!_%epid!_%ecid!</v></cell></row><row r="1762"><cell r="K1762" t="str"><v>July</v></cell><cell r="L1762"><v>43295</v></cell><cell r="M1762" t="str"><v>Tier 0</v></cell><cell r="N1762" t="str"><v>North America</v></cell><cell r="O1762" t="str"><v>United States</v></cell><cell r="P1762" t="str"><v>Trial</v></cell><cell r="Q1762" t="str"><v>Social</v></cell><cell r="R1762" t="str"><v>Azure</v></cell><cell r="S1762" t="str"><v>Apps & Infra</v></cell><cell r="T1762" t="str"><v>Developers & ITI's</v></cell><cell r="U1762" t="str"><v>USA-Trial-ITD-Trial PayGo Lookalike-AZR-AZR</v></cell><cell r="V1762" t="str"><v>Lookalike Targeting</v></cell><cell r="W1762" t="str"><v>Canvas Ad</v></cell><cell r="X1762" t="str"><v>1x1</v></cell></row><row r="1762"><cell r="AA1762"><v>43294</v></cell><cell r="AB1762" t="str"><v>USA_gaPMG_AZR_AZR_Q1_19_Direct-Social</v></cell><cell r="AC1762"><v>21358715</v></cell><cell r="AD1762"><v>720197</v></cell><cell r="AE1762" t="str"><v>Facebook</v></cell><cell r="AF1762"><v>3654128</v></cell><cell r="AG1762" t="str"><v>FACEBOOK»USA-Trial-ITD-Trial PayGo Lookalike-AZR-AZR»1 x 1»SocialBan»CAN»ALL»CPA»LAL»X»NA»SS»NA»FBCTCBrandinMotion»PRC1Q3</v></cell><cell r="AH1762"><v>223935349</v></cell><cell r="AI1762" t="str"><v>AzurePlatform_FBCTCBrandinMotion_USA_10s_CAN_PLATFORM_English_Trial_Standard_STAN_TIN_T2_2</v></cell><cell r="AJ1762"><v>103032823</v></cell></row><row r="1763"><cell r="C1763" t="str"><v>43294FACEBOOK»USA-Trial-ITD-Trial PayGo Lookalike-AZR-AZR»1 x 1»SocialBan»LIA»ALL»CPA»LAL»X»NA»SS»NA»FreeAcctDeveloperFB-AnimatedGeneric-Ch1»PRC1Q6</v></cell><cell r="D1763" t="str"><v>43294224106129</v></cell><cell r="E1763" t="str"><v>43294103176851PRC1Q6</v></cell><cell r="F1763" t="str"><v>DCM</v></cell><cell r="G1763" t="str"><v>https://azure.microsoft.com/en-us/free/search/?OCID=AID%eexcid!_OLA_%ebuy!_%epid!_%ecid!</v></cell></row><row r="1763"><cell r="K1763" t="str"><v>July</v></cell><cell r="L1763"><v>43295</v></cell><cell r="M1763" t="str"><v>Tier 0</v></cell><cell r="N1763" t="str"><v>North America</v></cell><cell r="O1763" t="str"><v>United States</v></cell><cell r="P1763" t="str"><v>Trial</v></cell><cell r="Q1763" t="str"><v>Social</v></cell><cell r="R1763" t="str"><v>Azure</v></cell><cell r="S1763" t="str"><v>Apps & Infra</v></cell><cell r="T1763" t="str"><v>Developers & ITI's</v></cell><cell r="U1763" t="str"><v>USA-Trial-ITD-Trial PayGo Lookalike-AZR-AZR</v></cell><cell r="V1763" t="str"><v>Lookalike Targeting</v></cell><cell r="W1763" t="str"><v>Link Ad</v></cell><cell r="X1763" t="str"><v>1x1</v></cell></row><row r="1763"><cell r="AA1763"><v>43294</v></cell><cell r="AB1763" t="str"><v>USA_gaPMG_AZR_AZR_Q1_19_Direct-Social</v></cell><cell r="AC1763"><v>21358715</v></cell><cell r="AD1763"><v>720197</v></cell><cell r="AE1763" t="str"><v>Facebook</v></cell><cell r="AF1763"><v>3654128</v></cell><cell r="AG1763" t="str"><v>FACEBOOK»USA-Trial-ITD-Trial PayGo Lookalike-AZR-AZR»1 x 1»SocialBan»LIA»ALL»CPA»LAL»X»NA»SS»NA»FreeAcctDeveloperFB-AnimatedGeneric-Ch1»PRC1Q6</v></cell><cell r="AH1763"><v>224106129</v></cell><cell r="AI1763" t="str"><v>AZR_FreeAcctDeveloperFB-AnimatedGeneric-Ch1_USA_1200x1200_CAN_Direct_English_Trial_Standard_ANI_LEA_T1_2</v></cell><cell r="AJ1763"><v>103176851</v></cell></row><row r="1764"><cell r="C1764" t="str"><v>43294FACEBOOK»USA-Trial-ITD-Trial PayGo Lookalike-AZR-AZR»1 x 1»SocialBan»CCA»ALL»CPA»LAL»X»NA»SS»NA»Azure Developer Facebook Collections»PRSH6K</v></cell><cell r="D1764" t="str"><v>43294225217676</v></cell><cell r="E1764" t="str"><v>43294103773177PRSH6K</v></cell><cell r="F1764" t="str"><v>DCM</v></cell><cell r="G1764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1764"><cell r="K1764" t="str"><v>July</v></cell><cell r="L1764"><v>43295</v></cell><cell r="M1764" t="str"><v>Tier 0</v></cell><cell r="N1764" t="str"><v>North America</v></cell><cell r="O1764" t="str"><v>United States</v></cell><cell r="P1764" t="str"><v>Trial</v></cell><cell r="Q1764" t="str"><v>Social</v></cell><cell r="R1764" t="str"><v>Azure</v></cell><cell r="S1764" t="str"><v>Apps & Infra</v></cell><cell r="T1764" t="str"><v>Developers & ITI's</v></cell><cell r="U1764" t="str"><v>USA-Trial-ITD-Trial PayGo Lookalike-AZR-AZR</v></cell><cell r="V1764" t="str"><v>Lookalike Targeting</v></cell><cell r="W1764" t="str"><v>Canvas Collection Ad</v></cell><cell r="X1764" t="str"><v>1x1</v></cell></row><row r="1764"><cell r="AA1764"><v>43294</v></cell><cell r="AB1764" t="str"><v>USA_gaPMG_AZR_AZR_Q1_19_Direct-Social</v></cell><cell r="AC1764"><v>21358715</v></cell><cell r="AD1764"><v>720197</v></cell><cell r="AE1764" t="str"><v>Facebook</v></cell><cell r="AF1764"><v>3654128</v></cell><cell r="AG1764" t="str"><v>FACEBOOK»USA-Trial-ITD-Trial PayGo Lookalike-AZR-AZR»1 x 1»SocialBan»CCA»ALL»CPA»LAL»X»NA»SS»NA»Azure Developer Facebook Collections»PRSH6K</v></cell><cell r="AH1764"><v>225217676</v></cell><cell r="AI1764" t="str"><v>AZR_FBCollections-AITryAzureFreeCTA-Img2_USA_1200x182_SOC_Plat_EN_NA_Standard_NA_TIN_T1_2</v></cell><cell r="AJ1764"><v>103773177</v></cell></row><row r="1765"><cell r="C1765" t="str"><v>43294FACEBOOK»USA-Trial-ITD-Trial PayGo Lookalike-AZR-AZR»1 x 1»SocialBan»CCA»ALL»CPA»LAL»X»NA»SS»NA»Azure Developer Facebook Collections»PRSH6K</v></cell><cell r="D1765" t="str"><v>43294225217676</v></cell><cell r="E1765" t="str"><v>43294103773180PRSH6K</v></cell><cell r="F1765" t="str"><v>DCM</v></cell><cell r="G1765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1765"><cell r="K1765" t="str"><v>July</v></cell><cell r="L1765"><v>43295</v></cell><cell r="M1765" t="str"><v>Tier 0</v></cell><cell r="N1765" t="str"><v>North America</v></cell><cell r="O1765" t="str"><v>United States</v></cell><cell r="P1765" t="str"><v>Trial</v></cell><cell r="Q1765" t="str"><v>Social</v></cell><cell r="R1765" t="str"><v>Azure</v></cell><cell r="S1765" t="str"><v>Apps & Infra</v></cell><cell r="T1765" t="str"><v>Developers & ITI's</v></cell><cell r="U1765" t="str"><v>USA-Trial-ITD-Trial PayGo Lookalike-AZR-AZR</v></cell><cell r="V1765" t="str"><v>Lookalike Targeting</v></cell><cell r="W1765" t="str"><v>Canvas Collection Ad</v></cell><cell r="X1765" t="str"><v>1x1</v></cell></row><row r="1765"><cell r="AA1765"><v>43294</v></cell><cell r="AB1765" t="str"><v>USA_gaPMG_AZR_AZR_Q1_19_Direct-Social</v></cell><cell r="AC1765"><v>21358715</v></cell><cell r="AD1765"><v>720197</v></cell><cell r="AE1765" t="str"><v>Facebook</v></cell><cell r="AF1765"><v>3654128</v></cell><cell r="AG1765" t="str"><v>FACEBOOK»USA-Trial-ITD-Trial PayGo Lookalike-AZR-AZR»1 x 1»SocialBan»CCA»ALL»CPA»LAL»X»NA»SS»NA»Azure Developer Facebook Collections»PRSH6K</v></cell><cell r="AH1765"><v>225217676</v></cell><cell r="AI1765" t="str"><v>AZR_FBCollections-SmartDataTryAzureFreeCTA-Img4_USA_1200x182_SOC_Plat_EN_NA_Standard_NA_TIN_T1_4</v></cell><cell r="AJ1765"><v>103773180</v></cell></row><row r="1766"><cell r="C1766" t="str"><v>43294FACEBOOK»USA-Trial-ITD-Interest Prospecting-AZR-AZR»1 x 1»SocialBan»LIA»ALL»CPA»PRO»X»NA»SS»NA»FreeAcctDeveloperFB-AnimatedAI-Ch3»PRC1T2</v></cell><cell r="D1766" t="str"><v>43294223862765</v></cell><cell r="E1766" t="str"><v>43294103032778PRC1T2</v></cell><cell r="F1766" t="str"><v>DCM</v></cell></row><row r="1766"><cell r="K1766" t="str"><v>July</v></cell><cell r="L1766"><v>43295</v></cell><cell r="M1766" t="str"><v>Tier 0</v></cell><cell r="N1766" t="str"><v>North America</v></cell><cell r="O1766" t="str"><v>United States</v></cell><cell r="P1766" t="str"><v>Trial</v></cell><cell r="Q1766" t="str"><v>Social</v></cell><cell r="R1766" t="str"><v>Azure</v></cell><cell r="S1766" t="str"><v>Apps & Infra</v></cell><cell r="T1766" t="str"><v>Developers & ITI's</v></cell><cell r="U1766" t="str"><v>USA-Trial-ITD-Interest Prospecting-AZR-AZR</v></cell><cell r="V1766" t="str"><v>Prospecting</v></cell><cell r="W1766" t="str"><v>Link Ad</v></cell><cell r="X1766" t="str"><v>1x1</v></cell></row><row r="1766"><cell r="AA1766"><v>43294</v></cell><cell r="AB1766" t="str"><v>USA_gaPMG_AZR_AZR_Q1_19_Direct-Social</v></cell><cell r="AC1766"><v>21358715</v></cell><cell r="AD1766"><v>720197</v></cell><cell r="AE1766" t="str"><v>Facebook</v></cell><cell r="AF1766"><v>3654128</v></cell><cell r="AG1766" t="str"><v>FACEBOOK»USA-Trial-ITD-Interest Prospecting-AZR-AZR»1 x 1»SocialBan»LIA»ALL»CPA»PRO»X»NA»SS»NA»FreeAcctDeveloperFB-AnimatedAI-Ch3»PRC1T2</v></cell><cell r="AH1766"><v>223862765</v></cell><cell r="AI1766" t="str"><v>AZR_FreeAcctDeveloperFB-AnimatedAI-Ch3_USA_1200x1200_CAN_Direct_English_Trial_Standard_ANI_LEA_T3_1</v></cell><cell r="AJ1766"><v>103032778</v></cell></row><row r="1767"><cell r="C1767" t="str"><v>43294FACEBOOK»USA-Trial-ITD-Interest Prospecting-AZR-AZR»1 x 1»SocialBan»LIA»ALL»CPA»PRO»X»NA»SS»NA»FreeAcctDeveloperFB-AnimatedData-Ch4»PRC1T3</v></cell><cell r="D1767" t="str"><v>43294223863380</v></cell><cell r="E1767" t="str"><v>43294103037935PRC1T3</v></cell><cell r="F1767" t="str"><v>DCM</v></cell></row><row r="1767"><cell r="K1767" t="str"><v>July</v></cell><cell r="L1767"><v>43295</v></cell><cell r="M1767" t="str"><v>Tier 0</v></cell><cell r="N1767" t="str"><v>North America</v></cell><cell r="O1767" t="str"><v>United States</v></cell><cell r="P1767" t="str"><v>Trial</v></cell><cell r="Q1767" t="str"><v>Social</v></cell><cell r="R1767" t="str"><v>Azure</v></cell><cell r="S1767" t="str"><v>Apps & Infra</v></cell><cell r="T1767" t="str"><v>Developers & ITI's</v></cell><cell r="U1767" t="str"><v>USA-Trial-ITD-Interest Prospecting-AZR-AZR</v></cell><cell r="V1767" t="str"><v>Prospecting</v></cell><cell r="W1767" t="str"><v>Link Ad</v></cell><cell r="X1767" t="str"><v>1x1</v></cell></row><row r="1767"><cell r="AA1767"><v>43294</v></cell><cell r="AB1767" t="str"><v>USA_gaPMG_AZR_AZR_Q1_19_Direct-Social</v></cell><cell r="AC1767"><v>21358715</v></cell><cell r="AD1767"><v>720197</v></cell><cell r="AE1767" t="str"><v>Facebook</v></cell><cell r="AF1767"><v>3654128</v></cell><cell r="AG1767" t="str"><v>FACEBOOK»USA-Trial-ITD-Interest Prospecting-AZR-AZR»1 x 1»SocialBan»LIA»ALL»CPA»PRO»X»NA»SS»NA»FreeAcctDeveloperFB-AnimatedData-Ch4»PRC1T3</v></cell><cell r="AH1767"><v>223863380</v></cell><cell r="AI1767" t="str"><v>AZR_FreeAcctDeveloperFB-AnimatedData-Ch4_USA_1200x1200_CAN_Direct_English_Trial_Standard_ANI_LEA_T4_2</v></cell><cell r="AJ1767"><v>103037935</v></cell></row><row r="1768"><cell r="C1768" t="str"><v>43294FACEBOOK»USA-Trial-ITD-Interest Prospecting-AZR-AZR»1 x 1»SocialBan»LIA»ALL»CPA»PRO»X»NA»SS»NA»FreeAcctDeveloperFB-AnimatedOpenSource-Ch2»PRC1T1</v></cell><cell r="D1768" t="str"><v>43294223862885</v></cell><cell r="E1768" t="str"><v>43294103048329PRC1T1</v></cell><cell r="F1768" t="str"><v>DCM</v></cell><cell r="G1768" t="str"><v>https://azure.microsoft.com/en-us/free/open-source/search/?OCID=AID%eexcid!_OLA_%ebuy!_%epid!_%ecid!</v></cell></row><row r="1768"><cell r="K1768" t="str"><v>July</v></cell><cell r="L1768"><v>43295</v></cell><cell r="M1768" t="str"><v>Tier 0</v></cell><cell r="N1768" t="str"><v>North America</v></cell><cell r="O1768" t="str"><v>United States</v></cell><cell r="P1768" t="str"><v>Trial</v></cell><cell r="Q1768" t="str"><v>Social</v></cell><cell r="R1768" t="str"><v>Azure</v></cell><cell r="S1768" t="str"><v>Apps & Infra</v></cell><cell r="T1768" t="str"><v>Developers & ITI's</v></cell><cell r="U1768" t="str"><v>USA-Trial-ITD-Interest Prospecting-AZR-AZR</v></cell><cell r="V1768" t="str"><v>Prospecting</v></cell><cell r="W1768" t="str"><v>Link Ad</v></cell><cell r="X1768" t="str"><v>1x1</v></cell></row><row r="1768"><cell r="AA1768"><v>43294</v></cell><cell r="AB1768" t="str"><v>USA_gaPMG_AZR_AZR_Q1_19_Direct-Social</v></cell><cell r="AC1768"><v>21358715</v></cell><cell r="AD1768"><v>720197</v></cell><cell r="AE1768" t="str"><v>Facebook</v></cell><cell r="AF1768"><v>3654128</v></cell><cell r="AG1768" t="str"><v>FACEBOOK»USA-Trial-ITD-Interest Prospecting-AZR-AZR»1 x 1»SocialBan»LIA»ALL»CPA»PRO»X»NA»SS»NA»FreeAcctDeveloperFB-AnimatedOpenSource-Ch2»PRC1T1</v></cell><cell r="AH1768"><v>223862885</v></cell><cell r="AI1768" t="str"><v>AZR_FreeAcctDeveloperFB-AnimatedOpenSource-Ch2_USA_1200x1200_CAN_Direct_English_Trial_Standard_ANI_LEA_T2_1</v></cell><cell r="AJ1768"><v>103048329</v></cell></row><row r="1769"><cell r="C1769" t="str"><v>43294FACEBOOK»USA-Trial-ITD-Interest Prospecting-AZR-AZR»1 x 1»SocialBan»LIA»ALL»CPA»PRO»X»NA»SS»NA»FreeAcctITProFB-AnimatedMigration-Ch3»PRC1X2</v></cell><cell r="D1769" t="str"><v>43294224106954</v></cell><cell r="E1769" t="str"><v>43294103176827PRC1X2</v></cell><cell r="F1769" t="str"><v>DCM</v></cell></row><row r="1769"><cell r="K1769" t="str"><v>July</v></cell><cell r="L1769"><v>43295</v></cell><cell r="M1769" t="str"><v>Tier 0</v></cell><cell r="N1769" t="str"><v>North America</v></cell><cell r="O1769" t="str"><v>United States</v></cell><cell r="P1769" t="str"><v>Trial</v></cell><cell r="Q1769" t="str"><v>Social</v></cell><cell r="R1769" t="str"><v>Azure</v></cell><cell r="S1769" t="str"><v>Apps & Infra</v></cell><cell r="T1769" t="str"><v>Developers & ITI's</v></cell><cell r="U1769" t="str"><v>USA-Trial-ITD-Interest Prospecting-AZR-AZR</v></cell><cell r="V1769" t="str"><v>Prospecting</v></cell><cell r="W1769" t="str"><v>Link Ad</v></cell><cell r="X1769" t="str"><v>1x1</v></cell></row><row r="1769"><cell r="AA1769"><v>43294</v></cell><cell r="AB1769" t="str"><v>USA_gaPMG_AZR_AZR_Q1_19_Direct-Social</v></cell><cell r="AC1769"><v>21358715</v></cell><cell r="AD1769"><v>720197</v></cell><cell r="AE1769" t="str"><v>Facebook</v></cell><cell r="AF1769"><v>3654128</v></cell><cell r="AG1769" t="str"><v>FACEBOOK»USA-Trial-ITD-Interest Prospecting-AZR-AZR»1 x 1»SocialBan»LIA»ALL»CPA»PRO»X»NA»SS»NA»FreeAcctITProFB-AnimatedMigration-Ch3»PRC1X2</v></cell><cell r="AH1769"><v>224106954</v></cell><cell r="AI1769" t="str"><v>AZR_FreeAcctITProFB-AnimatedMigration-Ch3_USA_1200x1200_CAN_Direct_English_Trial_Standard_ANI_LEA_T3_1</v></cell><cell r="AJ1769"><v>103176827</v></cell></row><row r="1770"><cell r="C1770" t="str"><v>43294FACEBOOK»USA-Trial-ITD-Lead Completes-AZR-AZR»1 x 1»SocialBan»LIA»ALL»CPA»PRO»X»NA»SS»NA»FreeAcctDeveloperFB-AnimatedAI-Ch3»PRC1W1</v></cell><cell r="D1770" t="str"><v>43294223933096</v></cell><cell r="E1770" t="str"><v>43294103032778PRC1W1</v></cell><cell r="F1770" t="str"><v>DCM</v></cell></row><row r="1770"><cell r="K1770" t="str"><v>July</v></cell><cell r="L1770"><v>43295</v></cell><cell r="M1770" t="str"><v>Tier 0</v></cell><cell r="N1770" t="str"><v>North America</v></cell><cell r="O1770" t="str"><v>United States</v></cell><cell r="P1770" t="str"><v>Trial</v></cell><cell r="Q1770" t="str"><v>Social</v></cell><cell r="R1770" t="str"><v>Azure</v></cell><cell r="S1770" t="str"><v>Apps & Infra</v></cell><cell r="T1770" t="str"><v>Developers & ITI's</v></cell><cell r="U1770" t="str"><v>USA-Trial-ITD-Lead Completes-AZR-AZR</v></cell><cell r="V1770" t="str"><v>Prospecting</v></cell><cell r="W1770" t="str"><v>Link Ad</v></cell><cell r="X1770" t="str"><v>1x1</v></cell></row><row r="1770"><cell r="AA1770"><v>43294</v></cell><cell r="AB1770" t="str"><v>USA_gaPMG_AZR_AZR_Q1_19_Direct-Social</v></cell><cell r="AC1770"><v>21358715</v></cell><cell r="AD1770"><v>720197</v></cell><cell r="AE1770" t="str"><v>Facebook</v></cell><cell r="AF1770"><v>3654128</v></cell><cell r="AG1770" t="str"><v>FACEBOOK»USA-Trial-ITD-Lead Completes-AZR-AZR»1 x 1»SocialBan»LIA»ALL»CPA»PRO»X»NA»SS»NA»FreeAcctDeveloperFB-AnimatedAI-Ch3»PRC1W1</v></cell><cell r="AH1770"><v>223933096</v></cell><cell r="AI1770" t="str"><v>AZR_FreeAcctDeveloperFB-AnimatedAI-Ch3_USA_1200x1200_CAN_Direct_English_Trial_Standard_ANI_LEA_T3_1</v></cell><cell r="AJ1770"><v>103032778</v></cell></row><row r="1771"><cell r="C1771" t="str"><v>43294FACEBOOK»USA-Trial-ITD-Lead Completes-AZR-AZR»1 x 1»SocialBan»LIA»ALL»CPA»PRO»X»NA»SS»NA»FreeAcctDeveloperFB-AnimatedData-Ch4»PRC1W3</v></cell><cell r="D1771" t="str"><v>43294223862711</v></cell><cell r="E1771" t="str"><v>43294103037935PRC1W3</v></cell><cell r="F1771" t="str"><v>DCM</v></cell></row><row r="1771"><cell r="K1771" t="str"><v>July</v></cell><cell r="L1771"><v>43295</v></cell><cell r="M1771" t="str"><v>Tier 0</v></cell><cell r="N1771" t="str"><v>North America</v></cell><cell r="O1771" t="str"><v>United States</v></cell><cell r="P1771" t="str"><v>Trial</v></cell><cell r="Q1771" t="str"><v>Social</v></cell><cell r="R1771" t="str"><v>Azure</v></cell><cell r="S1771" t="str"><v>Apps & Infra</v></cell><cell r="T1771" t="str"><v>Developers & ITI's</v></cell><cell r="U1771" t="str"><v>USA-Trial-ITD-Lead Completes-AZR-AZR</v></cell><cell r="V1771" t="str"><v>Prospecting</v></cell><cell r="W1771" t="str"><v>Link Ad</v></cell><cell r="X1771" t="str"><v>1x1</v></cell></row><row r="1771"><cell r="AA1771"><v>43294</v></cell><cell r="AB1771" t="str"><v>USA_gaPMG_AZR_AZR_Q1_19_Direct-Social</v></cell><cell r="AC1771"><v>21358715</v></cell><cell r="AD1771"><v>720197</v></cell><cell r="AE1771" t="str"><v>Facebook</v></cell><cell r="AF1771"><v>3654128</v></cell><cell r="AG1771" t="str"><v>FACEBOOK»USA-Trial-ITD-Lead Completes-AZR-AZR»1 x 1»SocialBan»LIA»ALL»CPA»PRO»X»NA»SS»NA»FreeAcctDeveloperFB-AnimatedData-Ch4»PRC1W3</v></cell><cell r="AH1771"><v>223862711</v></cell><cell r="AI1771" t="str"><v>AZR_FreeAcctDeveloperFB-AnimatedData-Ch4_USA_1200x1200_CAN_Direct_English_Trial_Standard_ANI_LEA_T4_2</v></cell><cell r="AJ1771"><v>103037935</v></cell></row><row r="1772"><cell r="C1772" t="str"><v>43294FACEBOOK»USA-Trial-ITD-Lead Completes-AZR-AZR»1 x 1»SocialBan»LIA»ALL»CPA»PRO»X»NA»SS»NA»FreeAcctDeveloperFB-AnimatedOpenSource-Ch2»PRC1W0</v></cell><cell r="D1772" t="str"><v>43294223933108</v></cell><cell r="E1772" t="str"><v>43294103048329PRC1W0</v></cell><cell r="F1772" t="str"><v>DCM</v></cell><cell r="G1772" t="str"><v>https://azure.microsoft.com/en-us/free/open-source/search/?OCID=AID%eexcid!_OLA_%ebuy!_%epid!_%ecid!</v></cell></row><row r="1772"><cell r="K1772" t="str"><v>July</v></cell><cell r="L1772"><v>43295</v></cell><cell r="M1772" t="str"><v>Tier 0</v></cell><cell r="N1772" t="str"><v>North America</v></cell><cell r="O1772" t="str"><v>United States</v></cell><cell r="P1772" t="str"><v>Trial</v></cell><cell r="Q1772" t="str"><v>Social</v></cell><cell r="R1772" t="str"><v>Azure</v></cell><cell r="S1772" t="str"><v>Apps & Infra</v></cell><cell r="T1772" t="str"><v>Developers & ITI's</v></cell><cell r="U1772" t="str"><v>USA-Trial-ITD-Lead Completes-AZR-AZR</v></cell><cell r="V1772" t="str"><v>Prospecting</v></cell><cell r="W1772" t="str"><v>Link Ad</v></cell><cell r="X1772" t="str"><v>1x1</v></cell></row><row r="1772"><cell r="AA1772"><v>43294</v></cell><cell r="AB1772" t="str"><v>USA_gaPMG_AZR_AZR_Q1_19_Direct-Social</v></cell><cell r="AC1772"><v>21358715</v></cell><cell r="AD1772"><v>720197</v></cell><cell r="AE1772" t="str"><v>Facebook</v></cell><cell r="AF1772"><v>3654128</v></cell><cell r="AG1772" t="str"><v>FACEBOOK»USA-Trial-ITD-Lead Completes-AZR-AZR»1 x 1»SocialBan»LIA»ALL»CPA»PRO»X»NA»SS»NA»FreeAcctDeveloperFB-AnimatedOpenSource-Ch2»PRC1W0</v></cell><cell r="AH1772"><v>223933108</v></cell><cell r="AI1772" t="str"><v>AZR_FreeAcctDeveloperFB-AnimatedOpenSource-Ch2_USA_1200x1200_CAN_Direct_English_Trial_Standard_ANI_LEA_T2_1</v></cell><cell r="AJ1772"><v>103048329</v></cell></row><row r="1773"><cell r="C1773" t="str"><v>43294FACEBOOK»USA-Trial-ITD-Lead Completes-AZR-AZR»1 x 1»SocialBan»LIA»ALL»CPA»PRO»X»NA»SS»NA»FreeAcctDeveloperFB-AnimatedGeneric-Ch1»PRC1VY</v></cell><cell r="D1773" t="str"><v>43294223862846</v></cell><cell r="E1773" t="str"><v>43294103176851PRC1VY</v></cell><cell r="F1773" t="str"><v>DCM</v></cell><cell r="G1773" t="str"><v>https://azure.microsoft.com/en-us/free/search/?OCID=AID%eexcid!_OLA_%ebuy!_%epid!_%ecid!</v></cell></row><row r="1773"><cell r="K1773" t="str"><v>July</v></cell><cell r="L1773"><v>43295</v></cell><cell r="M1773" t="str"><v>Tier 0</v></cell><cell r="N1773" t="str"><v>North America</v></cell><cell r="O1773" t="str"><v>United States</v></cell><cell r="P1773" t="str"><v>Trial</v></cell><cell r="Q1773" t="str"><v>Social</v></cell><cell r="R1773" t="str"><v>Azure</v></cell><cell r="S1773" t="str"><v>Apps & Infra</v></cell><cell r="T1773" t="str"><v>Developers & ITI's</v></cell><cell r="U1773" t="str"><v>USA-Trial-ITD-Lead Completes-AZR-AZR</v></cell><cell r="V1773" t="str"><v>Prospecting</v></cell><cell r="W1773" t="str"><v>Link Ad</v></cell><cell r="X1773" t="str"><v>1x1</v></cell></row><row r="1773"><cell r="AA1773"><v>43294</v></cell><cell r="AB1773" t="str"><v>USA_gaPMG_AZR_AZR_Q1_19_Direct-Social</v></cell><cell r="AC1773"><v>21358715</v></cell><cell r="AD1773"><v>720197</v></cell><cell r="AE1773" t="str"><v>Facebook</v></cell><cell r="AF1773"><v>3654128</v></cell><cell r="AG1773" t="str"><v>FACEBOOK»USA-Trial-ITD-Lead Completes-AZR-AZR»1 x 1»SocialBan»LIA»ALL»CPA»PRO»X»NA»SS»NA»FreeAcctDeveloperFB-AnimatedGeneric-Ch1»PRC1VY</v></cell><cell r="AH1773"><v>223862846</v></cell><cell r="AI1773" t="str"><v>AZR_FreeAcctDeveloperFB-AnimatedGeneric-Ch1_USA_1200x1200_CAN_Direct_English_Trial_Standard_ANI_LEA_T1_2</v></cell><cell r="AJ1773"><v>103176851</v></cell></row><row r="1774"><cell r="C1774" t="str"><v>43294FACEBOOK»USA-Trial-ITD-Retargeting-AZR-AZR»1 x 1»SocialBan»LIA»ALL»CPA»RT»X»NA»SS»NA»FreeAcctDeveloperFB-AnimatedGeneric-Ch1»PRC26D</v></cell><cell r="D1774" t="str"><v>43294223862870</v></cell><cell r="E1774" t="str"><v>43294103176851PRC26D</v></cell><cell r="F1774" t="str"><v>DCM</v></cell><cell r="G1774" t="str"><v>https://azure.microsoft.com/en-us/free/search/?OCID=AID%eexcid!_OLA_%ebuy!_%epid!_%ecid!</v></cell></row><row r="1774"><cell r="K1774" t="str"><v>July</v></cell><cell r="L1774"><v>43295</v></cell><cell r="M1774" t="str"><v>Tier 0</v></cell><cell r="N1774" t="str"><v>North America</v></cell><cell r="O1774" t="str"><v>United States</v></cell><cell r="P1774" t="str"><v>Trial</v></cell><cell r="Q1774" t="str"><v>Social</v></cell><cell r="R1774" t="str"><v>Azure</v></cell><cell r="S1774" t="str"><v>Apps & Infra</v></cell><cell r="T1774" t="str"><v>Developers & ITI's</v></cell><cell r="U1774" t="str"><v>USA-Trial-ITD-Retargeting-AZR-AZR</v></cell><cell r="V1774" t="str"><v>Retargeting</v></cell><cell r="W1774" t="str"><v>Link Ad</v></cell><cell r="X1774" t="str"><v>1x1</v></cell></row><row r="1774"><cell r="AA1774"><v>43294</v></cell><cell r="AB1774" t="str"><v>USA_gaPMG_AZR_AZR_Q1_19_Direct-Social</v></cell><cell r="AC1774"><v>21358715</v></cell><cell r="AD1774"><v>720197</v></cell><cell r="AE1774" t="str"><v>Facebook</v></cell><cell r="AF1774"><v>3654128</v></cell><cell r="AG1774" t="str"><v>FACEBOOK»USA-Trial-ITD-Retargeting-AZR-AZR»1 x 1»SocialBan»LIA»ALL»CPA»RT»X»NA»SS»NA»FreeAcctDeveloperFB-AnimatedGeneric-Ch1»PRC26D</v></cell><cell r="AH1774"><v>223862870</v></cell><cell r="AI1774" t="str"><v>AZR_FreeAcctDeveloperFB-AnimatedGeneric-Ch1_USA_1200x1200_CAN_Direct_English_Trial_Standard_ANI_LEA_T1_2</v></cell><cell r="AJ1774"><v>103176851</v></cell></row><row r="1775"><cell r="C1775" t="str"><v>43294FACEBOOK»USA-Trial-ITD-Retargeting-AZR-AZR»1 x 1»SocialBan»LIA»ALL»CPA»RT»X»NA»SS»NA»FreeAcctRetargetingOSSFB-Logos-ChG»PRC1S2</v></cell><cell r="D1775" t="str"><v>43294224106063</v></cell><cell r="E1775" t="str"><v>43294103176008PRC1S2</v></cell><cell r="F1775" t="str"><v>DCM</v></cell><cell r="G1775" t="str"><v>https://azure.microsoft.com/en-us/free/open-source/search/?OCID=AID%eexcid!_OLA_%ebuy!_%epid!_%ecid!</v></cell></row><row r="1775"><cell r="K1775" t="str"><v>July</v></cell><cell r="L1775"><v>43295</v></cell><cell r="M1775" t="str"><v>Tier 0</v></cell><cell r="N1775" t="str"><v>North America</v></cell><cell r="O1775" t="str"><v>United States</v></cell><cell r="P1775" t="str"><v>Trial</v></cell><cell r="Q1775" t="str"><v>Social</v></cell><cell r="R1775" t="str"><v>Azure</v></cell><cell r="S1775" t="str"><v>Apps & Infra</v></cell><cell r="T1775" t="str"><v>Developers & ITI's</v></cell><cell r="U1775" t="str"><v>USA-Trial-ITD-Retargeting-AZR-AZR</v></cell><cell r="V1775" t="str"><v>Retargeting</v></cell><cell r="W1775" t="str"><v>Link Ad</v></cell><cell r="X1775" t="str"><v>1x1</v></cell></row><row r="1775"><cell r="AA1775"><v>43294</v></cell><cell r="AB1775" t="str"><v>USA_gaPMG_AZR_AZR_Q1_19_Direct-Social</v></cell><cell r="AC1775"><v>21358715</v></cell><cell r="AD1775"><v>720197</v></cell><cell r="AE1775" t="str"><v>Facebook</v></cell><cell r="AF1775"><v>3654128</v></cell><cell r="AG1775" t="str"><v>FACEBOOK»USA-Trial-ITD-Retargeting-AZR-AZR»1 x 1»SocialBan»LIA»ALL»CPA»RT»X»NA»SS»NA»FreeAcctRetargetingOSSFB-Logos-ChG»PRC1S2</v></cell><cell r="AH1775"><v>224106063</v></cell><cell r="AI1775" t="str"><v>AzurePlatform_FreeAcctRetargetingOSSFB-Logos-ChG_USA_1200x628_CAN_PLATFORM_English_Free Account_Standard_NA_SINU_T2_1</v></cell><cell r="AJ1775"><v>103176008</v></cell></row><row r="1776"><cell r="C1776" t="str"><v>43294FACEBOOK»USA-Trial-ITD-Retargeting-AZR-AZR»1 x 1»SocialBan»LIA»ALL»CPA»RT»X»NA»SS»NA»FreeAcctRetargetingOSSFB-Text-ChF»PRC1S1</v></cell><cell r="D1776" t="str"><v>43294223862753</v></cell><cell r="E1776" t="str"><v>43294103176869PRC1S1</v></cell><cell r="F1776" t="str"><v>DCM</v></cell><cell r="G1776" t="str"><v>https://azure.microsoft.com/en-us/free/open-source/search/?OCID=AID%eexcid!_OLA_%ebuy!_%epid!_%ecid!</v></cell></row><row r="1776"><cell r="K1776" t="str"><v>July</v></cell><cell r="L1776"><v>43295</v></cell><cell r="M1776" t="str"><v>Tier 0</v></cell><cell r="N1776" t="str"><v>North America</v></cell><cell r="O1776" t="str"><v>United States</v></cell><cell r="P1776" t="str"><v>Trial</v></cell><cell r="Q1776" t="str"><v>Social</v></cell><cell r="R1776" t="str"><v>Azure</v></cell><cell r="S1776" t="str"><v>Apps & Infra</v></cell><cell r="T1776" t="str"><v>Developers & ITI's</v></cell><cell r="U1776" t="str"><v>USA-Trial-ITD-Retargeting-AZR-AZR</v></cell><cell r="V1776" t="str"><v>Retargeting</v></cell><cell r="W1776" t="str"><v>Link Ad</v></cell><cell r="X1776" t="str"><v>1x1</v></cell></row><row r="1776"><cell r="AA1776"><v>43294</v></cell><cell r="AB1776" t="str"><v>USA_gaPMG_AZR_AZR_Q1_19_Direct-Social</v></cell><cell r="AC1776"><v>21358715</v></cell><cell r="AD1776"><v>720197</v></cell><cell r="AE1776" t="str"><v>Facebook</v></cell><cell r="AF1776"><v>3654128</v></cell><cell r="AG1776" t="str"><v>FACEBOOK»USA-Trial-ITD-Retargeting-AZR-AZR»1 x 1»SocialBan»LIA»ALL»CPA»RT»X»NA»SS»NA»FreeAcctRetargetingOSSFB-Text-ChF»PRC1S1</v></cell><cell r="AH1776"><v>223862753</v></cell><cell r="AI1776" t="str"><v>AzurePlatform_FreeAcctRetargetingOSSFB-Text-ChF_USA_1200x628_CAN_PLATFORM_English_Free Account_Standard_NA_SINU_T1_2</v></cell><cell r="AJ1776"><v>103176869</v></cell></row><row r="1777"><cell r="C1777" t="str"><v>43294FACEBOOK»USA-Trial-ITD-Retargeting-AZR-AZR»1 x 1»SocialBan»CAN»ALL»CPA»RT»X»NA»SS»NA»FBCTCBasicMotion»PRC1RQ</v></cell><cell r="D1777" t="str"><v>43294224106933</v></cell><cell r="E1777" t="str"><v>43294103043823PRC1RQ</v></cell><cell r="F1777" t="str"><v>DCM</v></cell><cell r="G1777" t="str"><v>https://signup.azure.com/?OCID=AID%eexcid!_OLA_%ebuy!_%epid!_%ecid!</v></cell></row><row r="1777"><cell r="K1777" t="str"><v>July</v></cell><cell r="L1777"><v>43295</v></cell><cell r="M1777" t="str"><v>Tier 0</v></cell><cell r="N1777" t="str"><v>North America</v></cell><cell r="O1777" t="str"><v>United States</v></cell><cell r="P1777" t="str"><v>Trial</v></cell><cell r="Q1777" t="str"><v>Social</v></cell><cell r="R1777" t="str"><v>Azure</v></cell><cell r="S1777" t="str"><v>Apps & Infra</v></cell><cell r="T1777" t="str"><v>Developers & ITI's</v></cell><cell r="U1777" t="str"><v>USA-Trial-ITD-Retargeting-AZR-AZR</v></cell><cell r="V1777" t="str"><v>Retargeting</v></cell><cell r="W1777" t="str"><v>Canvas Ad</v></cell><cell r="X1777" t="str"><v>1x1</v></cell></row><row r="1777"><cell r="AA1777"><v>43294</v></cell><cell r="AB1777" t="str"><v>USA_gaPMG_AZR_AZR_Q1_19_Direct-Social</v></cell><cell r="AC1777"><v>21358715</v></cell><cell r="AD1777"><v>720197</v></cell><cell r="AE1777" t="str"><v>Facebook</v></cell><cell r="AF1777"><v>3654128</v></cell><cell r="AG1777" t="str"><v>FACEBOOK»USA-Trial-ITD-Retargeting-AZR-AZR»1 x 1»SocialBan»CAN»ALL»CPA»RT»X»NA»SS»NA»FBCTCBasicMotion»PRC1RQ</v></cell><cell r="AH1777"><v>224106933</v></cell><cell r="AI1777" t="str"><v>AzurePlatform_FBCTCBasicMotion_USA_10s_CAN_PLATFORM_English_Trial_Standard_STAN_TIN_T1_1</v></cell><cell r="AJ1777"><v>103043823</v></cell></row><row r="1778"><cell r="C1778" t="str"><v>43294FACEBOOK»USA-Trial-ITD-Retargeting-AZR-AZR»1 x 1»SocialBan»LIA»ALL»CPA»RT»X»NA»SS»NA»FreeAcctITProFB-AnimatedSecureMngd-Ch1»PRC26K</v></cell><cell r="D1778" t="str"><v>43294223862762</v></cell><cell r="E1778" t="str"><v>43294103176830PRC26K</v></cell><cell r="F1778" t="str"><v>DCM</v></cell></row><row r="1778"><cell r="K1778" t="str"><v>July</v></cell><cell r="L1778"><v>43295</v></cell><cell r="M1778" t="str"><v>Tier 0</v></cell><cell r="N1778" t="str"><v>North America</v></cell><cell r="O1778" t="str"><v>United States</v></cell><cell r="P1778" t="str"><v>Trial</v></cell><cell r="Q1778" t="str"><v>Social</v></cell><cell r="R1778" t="str"><v>Azure</v></cell><cell r="S1778" t="str"><v>Apps & Infra</v></cell><cell r="T1778" t="str"><v>Developers & ITI's</v></cell><cell r="U1778" t="str"><v>USA-Trial-ITD-Retargeting-AZR-AZR</v></cell><cell r="V1778" t="str"><v>Retargeting</v></cell><cell r="W1778" t="str"><v>Link Ad</v></cell><cell r="X1778" t="str"><v>1x1</v></cell></row><row r="1778"><cell r="AA1778"><v>43294</v></cell><cell r="AB1778" t="str"><v>USA_gaPMG_AZR_AZR_Q1_19_Direct-Social</v></cell><cell r="AC1778"><v>21358715</v></cell><cell r="AD1778"><v>720197</v></cell><cell r="AE1778" t="str"><v>Facebook</v></cell><cell r="AF1778"><v>3654128</v></cell><cell r="AG1778" t="str"><v>FACEBOOK»USA-Trial-ITD-Retargeting-AZR-AZR»1 x 1»SocialBan»LIA»ALL»CPA»RT»X»NA»SS»NA»FreeAcctITProFB-AnimatedSecureMngd-Ch1»PRC26K</v></cell><cell r="AH1778"><v>223862762</v></cell><cell r="AI1778" t="str"><v>AZR_FreeAcctITProFB-AnimatedSecureMngd-Ch1_USA_1200x1200_CAN_Direct_English_Trial_Standard_ANI_LEA_T1_1</v></cell><cell r="AJ1778"><v>103176830</v></cell></row><row r="1779"><cell r="C1779" t="str"><v>43294FACEBOOK»USA-Trial-ITD-Trial Lookalike-AZR-AZR»1 x 1»SocialBan»LIA»ALL»CPA»LAL»X»NA»SS»NA»FreeAcctDeveloperFB-AnimatedGeneric-Ch1»PRC1M4</v></cell><cell r="D1779" t="str"><v>43294224104941</v></cell><cell r="E1779" t="str"><v>43294103176851PRC1M4</v></cell><cell r="F1779" t="str"><v>DCM</v></cell><cell r="G1779" t="str"><v>https://azure.microsoft.com/en-us/free/search/?OCID=AID%eexcid!_OLA_%ebuy!_%epid!_%ecid!</v></cell></row><row r="1779"><cell r="K1779" t="str"><v>July</v></cell><cell r="L1779"><v>43295</v></cell><cell r="M1779" t="str"><v>Tier 0</v></cell><cell r="N1779" t="str"><v>North America</v></cell><cell r="O1779" t="str"><v>United States</v></cell><cell r="P1779" t="str"><v>Trial</v></cell><cell r="Q1779" t="str"><v>Social</v></cell><cell r="R1779" t="str"><v>Azure</v></cell><cell r="S1779" t="str"><v>Apps & Infra</v></cell><cell r="T1779" t="str"><v>Developers & ITI's</v></cell><cell r="U1779" t="str"><v>USA-Trial-ITD-Trial Lookalike-AZR-AZR</v></cell><cell r="V1779" t="str"><v>Lookalike Targeting</v></cell><cell r="W1779" t="str"><v>Link Ad</v></cell><cell r="X1779" t="str"><v>1x1</v></cell></row><row r="1779"><cell r="AA1779"><v>43294</v></cell><cell r="AB1779" t="str"><v>USA_gaPMG_AZR_AZR_Q1_19_Direct-Social</v></cell><cell r="AC1779"><v>21358715</v></cell><cell r="AD1779"><v>720197</v></cell><cell r="AE1779" t="str"><v>Facebook</v></cell><cell r="AF1779"><v>3654128</v></cell><cell r="AG1779" t="str"><v>FACEBOOK»USA-Trial-ITD-Trial Lookalike-AZR-AZR»1 x 1»SocialBan»LIA»ALL»CPA»LAL»X»NA»SS»NA»FreeAcctDeveloperFB-AnimatedGeneric-Ch1»PRC1M4</v></cell><cell r="AH1779"><v>224104941</v></cell><cell r="AI1779" t="str"><v>AZR_FreeAcctDeveloperFB-AnimatedGeneric-Ch1_USA_1200x1200_CAN_Direct_English_Trial_Standard_ANI_LEA_T1_2</v></cell><cell r="AJ1779"><v>103176851</v></cell></row><row r="1780"><cell r="C1780" t="str"><v>43294FACEBOOK»USA-Trial-ITD-Trial Lookalike-AZR-AZR»1 x 1»SocialBan»LIA»ALL»CPA»LAL»X»NA»SS»NA»FreeAcctDeveloperFB-AnimatedGeneric-Ch1»PRC1M5</v></cell><cell r="D1780" t="str"><v>43294223934083</v></cell><cell r="E1780" t="str"><v>43294103176851PRC1M5</v></cell><cell r="F1780" t="str"><v>DCM</v></cell><cell r="G1780" t="str"><v>https://azure.microsoft.com/en-us/free/search/?OCID=AID%eexcid!_OLA_%ebuy!_%epid!_%ecid!</v></cell></row><row r="1780"><cell r="K1780" t="str"><v>July</v></cell><cell r="L1780"><v>43295</v></cell><cell r="M1780" t="str"><v>Tier 0</v></cell><cell r="N1780" t="str"><v>North America</v></cell><cell r="O1780" t="str"><v>United States</v></cell><cell r="P1780" t="str"><v>Trial</v></cell><cell r="Q1780" t="str"><v>Social</v></cell><cell r="R1780" t="str"><v>Azure</v></cell><cell r="S1780" t="str"><v>Apps & Infra</v></cell><cell r="T1780" t="str"><v>Developers & ITI's</v></cell><cell r="U1780" t="str"><v>USA-Trial-ITD-Trial Lookalike-AZR-AZR</v></cell><cell r="V1780" t="str"><v>Lookalike Targeting</v></cell><cell r="W1780" t="str"><v>Link Ad</v></cell><cell r="X1780" t="str"><v>1x1</v></cell></row><row r="1780"><cell r="AA1780"><v>43294</v></cell><cell r="AB1780" t="str"><v>USA_gaPMG_AZR_AZR_Q1_19_Direct-Social</v></cell><cell r="AC1780"><v>21358715</v></cell><cell r="AD1780"><v>720197</v></cell><cell r="AE1780" t="str"><v>Facebook</v></cell><cell r="AF1780"><v>3654128</v></cell><cell r="AG1780" t="str"><v>FACEBOOK»USA-Trial-ITD-Trial Lookalike-AZR-AZR»1 x 1»SocialBan»LIA»ALL»CPA»LAL»X»NA»SS»NA»FreeAcctDeveloperFB-AnimatedGeneric-Ch1»PRC1M5</v></cell><cell r="AH1780"><v>223934083</v></cell><cell r="AI1780" t="str"><v>AZR_FreeAcctDeveloperFB-AnimatedGeneric-Ch1_USA_1200x1200_CAN_Direct_English_Trial_Standard_ANI_LEA_T1_2</v></cell><cell r="AJ1780"><v>103176851</v></cell></row><row r="1781"><cell r="C1781" t="str"><v>43294FACEBOOK»USA-Trial-ITD-Trial Lookalike-AZR-AZR»1 x 1»SocialBan»LIA»ALL»CPA»LAL»X»NA»SS»NA»FreeAcctDeveloperFB-AnimatedOpenSource-Ch2»PRC1M6</v></cell><cell r="D1781" t="str"><v>43294223935628</v></cell><cell r="E1781" t="str"><v>43294103048329PRC1M6</v></cell><cell r="F1781" t="str"><v>DCM</v></cell><cell r="G1781" t="str"><v>https://azure.microsoft.com/en-us/free/open-source/search/?OCID=AID%eexcid!_OLA_%ebuy!_%epid!_%ecid!</v></cell></row><row r="1781"><cell r="K1781" t="str"><v>July</v></cell><cell r="L1781"><v>43295</v></cell><cell r="M1781" t="str"><v>Tier 0</v></cell><cell r="N1781" t="str"><v>North America</v></cell><cell r="O1781" t="str"><v>United States</v></cell><cell r="P1781" t="str"><v>Trial</v></cell><cell r="Q1781" t="str"><v>Social</v></cell><cell r="R1781" t="str"><v>Azure</v></cell><cell r="S1781" t="str"><v>Apps & Infra</v></cell><cell r="T1781" t="str"><v>Developers & ITI's</v></cell><cell r="U1781" t="str"><v>USA-Trial-ITD-Trial Lookalike-AZR-AZR</v></cell><cell r="V1781" t="str"><v>Lookalike Targeting</v></cell><cell r="W1781" t="str"><v>Link Ad</v></cell><cell r="X1781" t="str"><v>1x1</v></cell></row><row r="1781"><cell r="AA1781"><v>43294</v></cell><cell r="AB1781" t="str"><v>USA_gaPMG_AZR_AZR_Q1_19_Direct-Social</v></cell><cell r="AC1781"><v>21358715</v></cell><cell r="AD1781"><v>720197</v></cell><cell r="AE1781" t="str"><v>Facebook</v></cell><cell r="AF1781"><v>3654128</v></cell><cell r="AG1781" t="str"><v>FACEBOOK»USA-Trial-ITD-Trial Lookalike-AZR-AZR»1 x 1»SocialBan»LIA»ALL»CPA»LAL»X»NA»SS»NA»FreeAcctDeveloperFB-AnimatedOpenSource-Ch2»PRC1M6</v></cell><cell r="AH1781"><v>223935628</v></cell><cell r="AI1781" t="str"><v>AZR_FreeAcctDeveloperFB-AnimatedOpenSource-Ch2_USA_1200x1200_CAN_Direct_English_Trial_Standard_ANI_LEA_T2_1</v></cell><cell r="AJ1781"><v>103048329</v></cell></row><row r="1782"><cell r="C1782" t="str"><v>43294FACEBOOK»USA-Trial-ITD-Trial Lookalike-AZR-AZR»1 x 1»SocialBan»LIA»ALL»CPA»LAL»X»NA»SS»NA»FreeAcctITProFB-AnimatedMigration-Ch3»PRC23N</v></cell><cell r="D1782" t="str"><v>43294223935637</v></cell><cell r="E1782" t="str"><v>43294103176827PRC23N</v></cell><cell r="F1782" t="str"><v>DCM</v></cell></row><row r="1782"><cell r="K1782" t="str"><v>July</v></cell><cell r="L1782"><v>43295</v></cell><cell r="M1782" t="str"><v>Tier 0</v></cell><cell r="N1782" t="str"><v>North America</v></cell><cell r="O1782" t="str"><v>United States</v></cell><cell r="P1782" t="str"><v>Trial</v></cell><cell r="Q1782" t="str"><v>Social</v></cell><cell r="R1782" t="str"><v>Azure</v></cell><cell r="S1782" t="str"><v>Apps & Infra</v></cell><cell r="T1782" t="str"><v>Developers & ITI's</v></cell><cell r="U1782" t="str"><v>USA-Trial-ITD-Trial Lookalike-AZR-AZR</v></cell><cell r="V1782" t="str"><v>Lookalike Targeting</v></cell><cell r="W1782" t="str"><v>Link Ad</v></cell><cell r="X1782" t="str"><v>1x1</v></cell></row><row r="1782"><cell r="AA1782"><v>43294</v></cell><cell r="AB1782" t="str"><v>USA_gaPMG_AZR_AZR_Q1_19_Direct-Social</v></cell><cell r="AC1782"><v>21358715</v></cell><cell r="AD1782"><v>720197</v></cell><cell r="AE1782" t="str"><v>Facebook</v></cell><cell r="AF1782"><v>3654128</v></cell><cell r="AG1782" t="str"><v>FACEBOOK»USA-Trial-ITD-Trial Lookalike-AZR-AZR»1 x 1»SocialBan»LIA»ALL»CPA»LAL»X»NA»SS»NA»FreeAcctITProFB-AnimatedMigration-Ch3»PRC23N</v></cell><cell r="AH1782"><v>223935637</v></cell><cell r="AI1782" t="str"><v>AZR_FreeAcctITProFB-AnimatedMigration-Ch3_USA_1200x1200_CAN_Direct_English_Trial_Standard_ANI_LEA_T3_1</v></cell><cell r="AJ1782"><v>103176827</v></cell></row><row r="1783"><cell r="C1783" t="str"><v>43294FACEBOOK»USA-Trial-ITD-Trial Lookalike-AZR-AZR»1 x 1»SocialBan»LIA»ALL»CPA»LAL»X»NA»SS»NA»FreeAcctITProFB-AnimatedSecureMngd-Ch1»PRC1M9</v></cell><cell r="D1783" t="str"><v>43294224104959</v></cell><cell r="E1783" t="str"><v>43294103176830PRC1M9</v></cell><cell r="F1783" t="str"><v>DCM</v></cell></row><row r="1783"><cell r="K1783" t="str"><v>July</v></cell><cell r="L1783"><v>43295</v></cell><cell r="M1783" t="str"><v>Tier 0</v></cell><cell r="N1783" t="str"><v>North America</v></cell><cell r="O1783" t="str"><v>United States</v></cell><cell r="P1783" t="str"><v>Trial</v></cell><cell r="Q1783" t="str"><v>Social</v></cell><cell r="R1783" t="str"><v>Azure</v></cell><cell r="S1783" t="str"><v>Apps & Infra</v></cell><cell r="T1783" t="str"><v>Developers & ITI's</v></cell><cell r="U1783" t="str"><v>USA-Trial-ITD-Trial Lookalike-AZR-AZR</v></cell><cell r="V1783" t="str"><v>Lookalike Targeting</v></cell><cell r="W1783" t="str"><v>Link Ad</v></cell><cell r="X1783" t="str"><v>1x1</v></cell></row><row r="1783"><cell r="AA1783"><v>43294</v></cell><cell r="AB1783" t="str"><v>USA_gaPMG_AZR_AZR_Q1_19_Direct-Social</v></cell><cell r="AC1783"><v>21358715</v></cell><cell r="AD1783"><v>720197</v></cell><cell r="AE1783" t="str"><v>Facebook</v></cell><cell r="AF1783"><v>3654128</v></cell><cell r="AG1783" t="str"><v>FACEBOOK»USA-Trial-ITD-Trial Lookalike-AZR-AZR»1 x 1»SocialBan»LIA»ALL»CPA»LAL»X»NA»SS»NA»FreeAcctITProFB-AnimatedSecureMngd-Ch1»PRC1M9</v></cell><cell r="AH1783"><v>224104959</v></cell><cell r="AI1783" t="str"><v>AZR_FreeAcctITProFB-AnimatedSecureMngd-Ch1_USA_1200x1200_CAN_Direct_English_Trial_Standard_ANI_LEA_T1_1</v></cell><cell r="AJ1783"><v>103176830</v></cell></row><row r="1784"><cell r="C1784" t="str"><v>43294FACEBOOK»USA-Trial-ITD-Trial Lookalike-AZR-AZR»1 x 1»SocialBan»CAN»ALL»CPA»LAL»X»NA»SS»NA»FBCTCBasicMotion»PRC1LZ</v></cell><cell r="D1784" t="str"><v>43294223862915</v></cell><cell r="E1784" t="str"><v>43294103043823PRC1LZ</v></cell><cell r="F1784" t="str"><v>DCM</v></cell><cell r="G1784" t="str"><v>https://signup.azure.com/?OCID=AID%eexcid!_OLA_%ebuy!_%epid!_%ecid!</v></cell></row><row r="1784"><cell r="K1784" t="str"><v>July</v></cell><cell r="L1784"><v>43295</v></cell><cell r="M1784" t="str"><v>Tier 0</v></cell><cell r="N1784" t="str"><v>North America</v></cell><cell r="O1784" t="str"><v>United States</v></cell><cell r="P1784" t="str"><v>Trial</v></cell><cell r="Q1784" t="str"><v>Social</v></cell><cell r="R1784" t="str"><v>Azure</v></cell><cell r="S1784" t="str"><v>Apps & Infra</v></cell><cell r="T1784" t="str"><v>Developers & ITI's</v></cell><cell r="U1784" t="str"><v>USA-Trial-ITD-Trial Lookalike-AZR-AZR</v></cell><cell r="V1784" t="str"><v>Lookalike Targeting</v></cell><cell r="W1784" t="str"><v>Canvas Ad</v></cell><cell r="X1784" t="str"><v>1x1</v></cell></row><row r="1784"><cell r="AA1784"><v>43294</v></cell><cell r="AB1784" t="str"><v>USA_gaPMG_AZR_AZR_Q1_19_Direct-Social</v></cell><cell r="AC1784"><v>21358715</v></cell><cell r="AD1784"><v>720197</v></cell><cell r="AE1784" t="str"><v>Facebook</v></cell><cell r="AF1784"><v>3654128</v></cell><cell r="AG1784" t="str"><v>FACEBOOK»USA-Trial-ITD-Trial Lookalike-AZR-AZR»1 x 1»SocialBan»CAN»ALL»CPA»LAL»X»NA»SS»NA»FBCTCBasicMotion»PRC1LZ</v></cell><cell r="AH1784"><v>223862915</v></cell><cell r="AI1784" t="str"><v>AzurePlatform_FBCTCBasicMotion_USA_10s_CAN_PLATFORM_English_Trial_Standard_STAN_TIN_T1_1</v></cell><cell r="AJ1784"><v>103043823</v></cell></row><row r="1785"><cell r="C1785" t="str"><v>43294FACEBOOK»USA-Trial-ITD-Trial Lookalike-AZR-AZR»1 x 1»SocialBan»CAN»ALL»CPA»LAL»X»NA»SS»NA»FBCTCBasicMotion»PRC1LZ</v></cell><cell r="D1785" t="str"><v>43294223862915</v></cell><cell r="E1785" t="str"><v>43294103175984PRC1LZ</v></cell><cell r="F1785" t="str"><v>DCM</v></cell><cell r="G1785" t="str"><v>https://azure.microsoft.com/en-us/pricing/purchase-options/?v=18.19&OCID=AID%eexcid!_OLA_%ebuy!_%epid!_%ecid!</v></cell></row><row r="1785"><cell r="K1785" t="str"><v>July</v></cell><cell r="L1785"><v>43295</v></cell><cell r="M1785" t="str"><v>Tier 0</v></cell><cell r="N1785" t="str"><v>North America</v></cell><cell r="O1785" t="str"><v>United States</v></cell><cell r="P1785" t="str"><v>Trial</v></cell><cell r="Q1785" t="str"><v>Social</v></cell><cell r="R1785" t="str"><v>Azure</v></cell><cell r="S1785" t="str"><v>Apps & Infra</v></cell><cell r="T1785" t="str"><v>Developers & ITI's</v></cell><cell r="U1785" t="str"><v>USA-Trial-ITD-Trial Lookalike-AZR-AZR</v></cell><cell r="V1785" t="str"><v>Lookalike Targeting</v></cell><cell r="W1785" t="str"><v>Canvas Ad</v></cell><cell r="X1785" t="str"><v>1x1</v></cell></row><row r="1785"><cell r="AA1785"><v>43294</v></cell><cell r="AB1785" t="str"><v>USA_gaPMG_AZR_AZR_Q1_19_Direct-Social</v></cell><cell r="AC1785"><v>21358715</v></cell><cell r="AD1785"><v>720197</v></cell><cell r="AE1785" t="str"><v>Facebook</v></cell><cell r="AF1785"><v>3654128</v></cell><cell r="AG1785" t="str"><v>FACEBOOK»USA-Trial-ITD-Trial Lookalike-AZR-AZR»1 x 1»SocialBan»CAN»ALL»CPA»LAL»X»NA»SS»NA»FBCTCBasicMotion»PRC1LZ</v></cell><cell r="AH1785"><v>223862915</v></cell><cell r="AI1785" t="str"><v>AzurePlatform_FBCTCBasicMotion_USA_10s_CAN_PLATFORM_English_Trial_Standard_STAN_TIN_T1_2</v></cell><cell r="AJ1785"><v>103175984</v></cell></row><row r="1786"><cell r="C1786" t="str"><v>43294FACEBOOK»USA-Trial-ITD-Trial PayGo Lookalike-AZR-AZR»1 x 1»SocialBan»CAN»ALL»CPA»LAL»X»NA»SS»NA»FBCTCBasicMotion»PRC1Q0</v></cell><cell r="D1786" t="str"><v>43294223935664</v></cell><cell r="E1786" t="str"><v>43294103043823PRC1Q0</v></cell><cell r="F1786" t="str"><v>DCM</v></cell><cell r="G1786" t="str"><v>https://signup.azure.com/?OCID=AID%eexcid!_OLA_%ebuy!_%epid!_%ecid!</v></cell></row><row r="1786"><cell r="K1786" t="str"><v>July</v></cell><cell r="L1786"><v>43295</v></cell><cell r="M1786" t="str"><v>Tier 0</v></cell><cell r="N1786" t="str"><v>North America</v></cell><cell r="O1786" t="str"><v>United States</v></cell><cell r="P1786" t="str"><v>Trial</v></cell><cell r="Q1786" t="str"><v>Social</v></cell><cell r="R1786" t="str"><v>Azure</v></cell><cell r="S1786" t="str"><v>Apps & Infra</v></cell><cell r="T1786" t="str"><v>Developers & ITI's</v></cell><cell r="U1786" t="str"><v>USA-Trial-ITD-Trial PayGo Lookalike-AZR-AZR</v></cell><cell r="V1786" t="str"><v>Lookalike Targeting</v></cell><cell r="W1786" t="str"><v>Canvas Ad</v></cell><cell r="X1786" t="str"><v>1x1</v></cell></row><row r="1786"><cell r="AA1786"><v>43294</v></cell><cell r="AB1786" t="str"><v>USA_gaPMG_AZR_AZR_Q1_19_Direct-Social</v></cell><cell r="AC1786"><v>21358715</v></cell><cell r="AD1786"><v>720197</v></cell><cell r="AE1786" t="str"><v>Facebook</v></cell><cell r="AF1786"><v>3654128</v></cell><cell r="AG1786" t="str"><v>FACEBOOK»USA-Trial-ITD-Trial PayGo Lookalike-AZR-AZR»1 x 1»SocialBan»CAN»ALL»CPA»LAL»X»NA»SS»NA»FBCTCBasicMotion»PRC1Q0</v></cell><cell r="AH1786"><v>223935664</v></cell><cell r="AI1786" t="str"><v>AzurePlatform_FBCTCBasicMotion_USA_10s_CAN_PLATFORM_English_Trial_Standard_STAN_TIN_T1_1</v></cell><cell r="AJ1786"><v>103043823</v></cell></row><row r="1787"><cell r="C1787" t="str"><v>43294FACEBOOK»USA-Trial-ITD-Trial PayGo Lookalike-AZR-AZR»1 x 1»SocialBan»CAN»ALL»CPA»LAL»X»NA»SS»NA»FBCTCBasicMotion»PRC1Q0</v></cell><cell r="D1787" t="str"><v>43294223935664</v></cell><cell r="E1787" t="str"><v>43294103175984PRC1Q0</v></cell><cell r="F1787" t="str"><v>DCM</v></cell><cell r="G1787" t="str"><v>https://azure.microsoft.com/en-us/pricing/purchase-options/?v=18.19&OCID=AID%eexcid!_OLA_%ebuy!_%epid!_%ecid!</v></cell></row><row r="1787"><cell r="K1787" t="str"><v>July</v></cell><cell r="L1787"><v>43295</v></cell><cell r="M1787" t="str"><v>Tier 0</v></cell><cell r="N1787" t="str"><v>North America</v></cell><cell r="O1787" t="str"><v>United States</v></cell><cell r="P1787" t="str"><v>Trial</v></cell><cell r="Q1787" t="str"><v>Social</v></cell><cell r="R1787" t="str"><v>Azure</v></cell><cell r="S1787" t="str"><v>Apps & Infra</v></cell><cell r="T1787" t="str"><v>Developers & ITI's</v></cell><cell r="U1787" t="str"><v>USA-Trial-ITD-Trial PayGo Lookalike-AZR-AZR</v></cell><cell r="V1787" t="str"><v>Lookalike Targeting</v></cell><cell r="W1787" t="str"><v>Canvas Ad</v></cell><cell r="X1787" t="str"><v>1x1</v></cell></row><row r="1787"><cell r="AA1787"><v>43294</v></cell><cell r="AB1787" t="str"><v>USA_gaPMG_AZR_AZR_Q1_19_Direct-Social</v></cell><cell r="AC1787"><v>21358715</v></cell><cell r="AD1787"><v>720197</v></cell><cell r="AE1787" t="str"><v>Facebook</v></cell><cell r="AF1787"><v>3654128</v></cell><cell r="AG1787" t="str"><v>FACEBOOK»USA-Trial-ITD-Trial PayGo Lookalike-AZR-AZR»1 x 1»SocialBan»CAN»ALL»CPA»LAL»X»NA»SS»NA»FBCTCBasicMotion»PRC1Q0</v></cell><cell r="AH1787"><v>223935664</v></cell><cell r="AI1787" t="str"><v>AzurePlatform_FBCTCBasicMotion_USA_10s_CAN_PLATFORM_English_Trial_Standard_STAN_TIN_T1_2</v></cell><cell r="AJ1787"><v>103175984</v></cell></row><row r="1788"><cell r="C1788" t="str"><v>43294FACEBOOK»USA-Trial-ITD-Trial PayGo Lookalike-AZR-AZR»1 x 1»SocialBan»LIA»ALL»CPA»LAL»X»NA»SS»NA»FreeAcctDeveloperFB-AnimatedAI-Ch3»PRC1Q8</v></cell><cell r="D1788" t="str"><v>43294224104983</v></cell><cell r="E1788" t="str"><v>43294103032778PRC1Q8</v></cell><cell r="F1788" t="str"><v>DCM</v></cell></row><row r="1788"><cell r="K1788" t="str"><v>July</v></cell><cell r="L1788"><v>43295</v></cell><cell r="M1788" t="str"><v>Tier 0</v></cell><cell r="N1788" t="str"><v>North America</v></cell><cell r="O1788" t="str"><v>United States</v></cell><cell r="P1788" t="str"><v>Trial</v></cell><cell r="Q1788" t="str"><v>Social</v></cell><cell r="R1788" t="str"><v>Azure</v></cell><cell r="S1788" t="str"><v>Apps & Infra</v></cell><cell r="T1788" t="str"><v>Developers & ITI's</v></cell><cell r="U1788" t="str"><v>USA-Trial-ITD-Trial PayGo Lookalike-AZR-AZR</v></cell><cell r="V1788" t="str"><v>Lookalike Targeting</v></cell><cell r="W1788" t="str"><v>Link Ad</v></cell><cell r="X1788" t="str"><v>1x1</v></cell></row><row r="1788"><cell r="AA1788"><v>43294</v></cell><cell r="AB1788" t="str"><v>USA_gaPMG_AZR_AZR_Q1_19_Direct-Social</v></cell><cell r="AC1788"><v>21358715</v></cell><cell r="AD1788"><v>720197</v></cell><cell r="AE1788" t="str"><v>Facebook</v></cell><cell r="AF1788"><v>3654128</v></cell><cell r="AG1788" t="str"><v>FACEBOOK»USA-Trial-ITD-Trial PayGo Lookalike-AZR-AZR»1 x 1»SocialBan»LIA»ALL»CPA»LAL»X»NA»SS»NA»FreeAcctDeveloperFB-AnimatedAI-Ch3»PRC1Q8</v></cell><cell r="AH1788"><v>224104983</v></cell><cell r="AI1788" t="str"><v>AZR_FreeAcctDeveloperFB-AnimatedAI-Ch3_USA_1200x1200_CAN_Direct_English_Trial_Standard_ANI_LEA_T3_1</v></cell><cell r="AJ1788"><v>103032778</v></cell></row><row r="1789"><cell r="C1789" t="str"><v>43294FACEBOOK»USA-Trial-ITD-Trial PayGo Lookalike-AZR-AZR»1 x 1»SocialBan»LIA»ALL»CPA»LAL»X»NA»SS»NA»FreeAcctDeveloperFB-AnimatedData-Ch4»PRC1Q9</v></cell><cell r="D1789" t="str"><v>43294224106990</v></cell><cell r="E1789" t="str"><v>43294103037935PRC1Q9</v></cell><cell r="F1789" t="str"><v>DCM</v></cell></row><row r="1789"><cell r="K1789" t="str"><v>July</v></cell><cell r="L1789"><v>43295</v></cell><cell r="M1789" t="str"><v>Tier 0</v></cell><cell r="N1789" t="str"><v>North America</v></cell><cell r="O1789" t="str"><v>United States</v></cell><cell r="P1789" t="str"><v>Trial</v></cell><cell r="Q1789" t="str"><v>Social</v></cell><cell r="R1789" t="str"><v>Azure</v></cell><cell r="S1789" t="str"><v>Apps & Infra</v></cell><cell r="T1789" t="str"><v>Developers & ITI's</v></cell><cell r="U1789" t="str"><v>USA-Trial-ITD-Trial PayGo Lookalike-AZR-AZR</v></cell><cell r="V1789" t="str"><v>Lookalike Targeting</v></cell><cell r="W1789" t="str"><v>Link Ad</v></cell><cell r="X1789" t="str"><v>1x1</v></cell></row><row r="1789"><cell r="AA1789"><v>43294</v></cell><cell r="AB1789" t="str"><v>USA_gaPMG_AZR_AZR_Q1_19_Direct-Social</v></cell><cell r="AC1789"><v>21358715</v></cell><cell r="AD1789"><v>720197</v></cell><cell r="AE1789" t="str"><v>Facebook</v></cell><cell r="AF1789"><v>3654128</v></cell><cell r="AG1789" t="str"><v>FACEBOOK»USA-Trial-ITD-Trial PayGo Lookalike-AZR-AZR»1 x 1»SocialBan»LIA»ALL»CPA»LAL»X»NA»SS»NA»FreeAcctDeveloperFB-AnimatedData-Ch4»PRC1Q9</v></cell><cell r="AH1789"><v>224106990</v></cell><cell r="AI1789" t="str"><v>AZR_FreeAcctDeveloperFB-AnimatedData-Ch4_USA_1200x1200_CAN_Direct_English_Trial_Standard_ANI_LEA_T4_2</v></cell><cell r="AJ1789"><v>103037935</v></cell></row><row r="1790"><cell r="C1790" t="str"><v>43294FACEBOOK»USA-Trial-ITD-Trial PayGo Lookalike-AZR-AZR»1 x 1»SocialBan»LIA»ALL»CPA»LAL»X»NA»SS»NA»FreeAcctDeveloperFB-AnimatedGeneric-Ch1»PRC1Q5</v></cell><cell r="D1790" t="str"><v>43294224104092</v></cell><cell r="E1790" t="str"><v>43294103176851PRC1Q5</v></cell><cell r="F1790" t="str"><v>DCM</v></cell><cell r="G1790" t="str"><v>https://azure.microsoft.com/en-us/free/search/?OCID=AID%eexcid!_OLA_%ebuy!_%epid!_%ecid!</v></cell></row><row r="1790"><cell r="K1790" t="str"><v>July</v></cell><cell r="L1790"><v>43295</v></cell><cell r="M1790" t="str"><v>Tier 0</v></cell><cell r="N1790" t="str"><v>North America</v></cell><cell r="O1790" t="str"><v>United States</v></cell><cell r="P1790" t="str"><v>Trial</v></cell><cell r="Q1790" t="str"><v>Social</v></cell><cell r="R1790" t="str"><v>Azure</v></cell><cell r="S1790" t="str"><v>Apps & Infra</v></cell><cell r="T1790" t="str"><v>Developers & ITI's</v></cell><cell r="U1790" t="str"><v>USA-Trial-ITD-Trial PayGo Lookalike-AZR-AZR</v></cell><cell r="V1790" t="str"><v>Lookalike Targeting</v></cell><cell r="W1790" t="str"><v>Link Ad</v></cell><cell r="X1790" t="str"><v>1x1</v></cell></row><row r="1790"><cell r="AA1790"><v>43294</v></cell><cell r="AB1790" t="str"><v>USA_gaPMG_AZR_AZR_Q1_19_Direct-Social</v></cell><cell r="AC1790"><v>21358715</v></cell><cell r="AD1790"><v>720197</v></cell><cell r="AE1790" t="str"><v>Facebook</v></cell><cell r="AF1790"><v>3654128</v></cell><cell r="AG1790" t="str"><v>FACEBOOK»USA-Trial-ITD-Trial PayGo Lookalike-AZR-AZR»1 x 1»SocialBan»LIA»ALL»CPA»LAL»X»NA»SS»NA»FreeAcctDeveloperFB-AnimatedGeneric-Ch1»PRC1Q5</v></cell><cell r="AH1790"><v>224104092</v></cell><cell r="AI1790" t="str"><v>AZR_FreeAcctDeveloperFB-AnimatedGeneric-Ch1_USA_1200x1200_CAN_Direct_English_Trial_Standard_ANI_LEA_T1_2</v></cell><cell r="AJ1790"><v>103176851</v></cell></row><row r="1791"><cell r="C1791" t="str"><v>43294FACEBOOK»USA-Trial-ITD-Trial PayGo Lookalike-AZR-AZR»1 x 1»SocialBan»LIA»ALL»CPA»LAL»X»NA»SS»NA»FreeAcctDeveloperFB-AnimatedOpenSource-Ch2»PRC1Q7</v></cell><cell r="D1791" t="str"><v>43294223862951</v></cell><cell r="E1791" t="str"><v>43294103048329PRC1Q7</v></cell><cell r="F1791" t="str"><v>DCM</v></cell><cell r="G1791" t="str"><v>https://azure.microsoft.com/en-us/free/open-source/search/?OCID=AID%eexcid!_OLA_%ebuy!_%epid!_%ecid!</v></cell></row><row r="1791"><cell r="K1791" t="str"><v>July</v></cell><cell r="L1791"><v>43295</v></cell><cell r="M1791" t="str"><v>Tier 0</v></cell><cell r="N1791" t="str"><v>North America</v></cell><cell r="O1791" t="str"><v>United States</v></cell><cell r="P1791" t="str"><v>Trial</v></cell><cell r="Q1791" t="str"><v>Social</v></cell><cell r="R1791" t="str"><v>Azure</v></cell><cell r="S1791" t="str"><v>Apps & Infra</v></cell><cell r="T1791" t="str"><v>Developers & ITI's</v></cell><cell r="U1791" t="str"><v>USA-Trial-ITD-Trial PayGo Lookalike-AZR-AZR</v></cell><cell r="V1791" t="str"><v>Lookalike Targeting</v></cell><cell r="W1791" t="str"><v>Link Ad</v></cell><cell r="X1791" t="str"><v>1x1</v></cell></row><row r="1791"><cell r="AA1791"><v>43294</v></cell><cell r="AB1791" t="str"><v>USA_gaPMG_AZR_AZR_Q1_19_Direct-Social</v></cell><cell r="AC1791"><v>21358715</v></cell><cell r="AD1791"><v>720197</v></cell><cell r="AE1791" t="str"><v>Facebook</v></cell><cell r="AF1791"><v>3654128</v></cell><cell r="AG1791" t="str"><v>FACEBOOK»USA-Trial-ITD-Trial PayGo Lookalike-AZR-AZR»1 x 1»SocialBan»LIA»ALL»CPA»LAL»X»NA»SS»NA»FreeAcctDeveloperFB-AnimatedOpenSource-Ch2»PRC1Q7</v></cell><cell r="AH1791"><v>223862951</v></cell><cell r="AI1791" t="str"><v>AZR_FreeAcctDeveloperFB-AnimatedOpenSource-Ch2_USA_1200x1200_CAN_Direct_English_Trial_Standard_ANI_LEA_T2_1</v></cell><cell r="AJ1791"><v>103048329</v></cell></row><row r="1792"><cell r="C1792" t="str"><v>43294FACEBOOK»USA-Trial-ITD-Trial PayGo Lookalike-AZR-AZR»1 x 1»SocialBan»LIA»ALL»CPA»LAL»X»NA»SS»NA»FreeAcctITProFB-AnimatedHybrid-Ch2»PRC1QC</v></cell><cell r="D1792" t="str"><v>43294223933186</v></cell><cell r="E1792" t="str"><v>43294103180583PRC1QC</v></cell><cell r="F1792" t="str"><v>DCM</v></cell></row><row r="1792"><cell r="K1792" t="str"><v>July</v></cell><cell r="L1792"><v>43295</v></cell><cell r="M1792" t="str"><v>Tier 0</v></cell><cell r="N1792" t="str"><v>North America</v></cell><cell r="O1792" t="str"><v>United States</v></cell><cell r="P1792" t="str"><v>Trial</v></cell><cell r="Q1792" t="str"><v>Social</v></cell><cell r="R1792" t="str"><v>Azure</v></cell><cell r="S1792" t="str"><v>Apps & Infra</v></cell><cell r="T1792" t="str"><v>Developers & ITI's</v></cell><cell r="U1792" t="str"><v>USA-Trial-ITD-Trial PayGo Lookalike-AZR-AZR</v></cell><cell r="V1792" t="str"><v>Lookalike Targeting</v></cell><cell r="W1792" t="str"><v>Link Ad</v></cell><cell r="X1792" t="str"><v>1x1</v></cell></row><row r="1792"><cell r="AA1792"><v>43294</v></cell><cell r="AB1792" t="str"><v>USA_gaPMG_AZR_AZR_Q1_19_Direct-Social</v></cell><cell r="AC1792"><v>21358715</v></cell><cell r="AD1792"><v>720197</v></cell><cell r="AE1792" t="str"><v>Facebook</v></cell><cell r="AF1792"><v>3654128</v></cell><cell r="AG1792" t="str"><v>FACEBOOK»USA-Trial-ITD-Trial PayGo Lookalike-AZR-AZR»1 x 1»SocialBan»LIA»ALL»CPA»LAL»X»NA»SS»NA»FreeAcctITProFB-AnimatedHybrid-Ch2»PRC1QC</v></cell><cell r="AH1792"><v>223933186</v></cell><cell r="AI1792" t="str"><v>AZR_FreeAcctITProFB-AnimatedHybrid-Ch2_USA_1200x1200_CAN_Direct_English_Trial_Standard_ANI_LEA_T2_2</v></cell><cell r="AJ1792"><v>103180583</v></cell></row><row r="1793"><cell r="C1793" t="str"><v>43294FACEBOOK»USA-Trial-ITD-Trial PayGo Lookalike-AZR-AZR»1 x 1»SocialBan»LIA»ALL»CPA»LAL»X»NA»SS»NA»FreeAcctITProFB-AnimatedMigration-Ch3»PRC23Y</v></cell><cell r="D1793" t="str"><v>43294224105904</v></cell><cell r="E1793" t="str"><v>43294103176827PRC23Y</v></cell><cell r="F1793" t="str"><v>DCM</v></cell></row><row r="1793"><cell r="K1793" t="str"><v>July</v></cell><cell r="L1793"><v>43295</v></cell><cell r="M1793" t="str"><v>Tier 0</v></cell><cell r="N1793" t="str"><v>North America</v></cell><cell r="O1793" t="str"><v>United States</v></cell><cell r="P1793" t="str"><v>Trial</v></cell><cell r="Q1793" t="str"><v>Social</v></cell><cell r="R1793" t="str"><v>Azure</v></cell><cell r="S1793" t="str"><v>Apps & Infra</v></cell><cell r="T1793" t="str"><v>Developers & ITI's</v></cell><cell r="U1793" t="str"><v>USA-Trial-ITD-Trial PayGo Lookalike-AZR-AZR</v></cell><cell r="V1793" t="str"><v>Lookalike Targeting</v></cell><cell r="W1793" t="str"><v>Link Ad</v></cell><cell r="X1793" t="str"><v>1x1</v></cell></row><row r="1793"><cell r="AA1793"><v>43294</v></cell><cell r="AB1793" t="str"><v>USA_gaPMG_AZR_AZR_Q1_19_Direct-Social</v></cell><cell r="AC1793"><v>21358715</v></cell><cell r="AD1793"><v>720197</v></cell><cell r="AE1793" t="str"><v>Facebook</v></cell><cell r="AF1793"><v>3654128</v></cell><cell r="AG1793" t="str"><v>FACEBOOK»USA-Trial-ITD-Trial PayGo Lookalike-AZR-AZR»1 x 1»SocialBan»LIA»ALL»CPA»LAL»X»NA»SS»NA»FreeAcctITProFB-AnimatedMigration-Ch3»PRC23Y</v></cell><cell r="AH1793"><v>224105904</v></cell><cell r="AI1793" t="str"><v>AZR_FreeAcctITProFB-AnimatedMigration-Ch3_USA_1200x1200_CAN_Direct_English_Trial_Standard_ANI_LEA_T3_1</v></cell><cell r="AJ1793"><v>103176827</v></cell></row><row r="1794"><cell r="C1794" t="str"><v>43294FACEBOOK»USA-Trial-ITD-Trial PayGo Lookalike-AZR-AZR»1 x 1»SocialBan»LIA»ALL»CPA»LAL»X»NA»SS»NA»FreeAcctITProFB-AnimatedSecureMngd-Ch1»PRC1QB</v></cell><cell r="D1794" t="str"><v>43294223862945</v></cell><cell r="E1794" t="str"><v>43294103176830PRC1QB</v></cell><cell r="F1794" t="str"><v>DCM</v></cell></row><row r="1794"><cell r="K1794" t="str"><v>July</v></cell><cell r="L1794"><v>43295</v></cell><cell r="M1794" t="str"><v>Tier 0</v></cell><cell r="N1794" t="str"><v>North America</v></cell><cell r="O1794" t="str"><v>United States</v></cell><cell r="P1794" t="str"><v>Trial</v></cell><cell r="Q1794" t="str"><v>Social</v></cell><cell r="R1794" t="str"><v>Azure</v></cell><cell r="S1794" t="str"><v>Apps & Infra</v></cell><cell r="T1794" t="str"><v>Developers & ITI's</v></cell><cell r="U1794" t="str"><v>USA-Trial-ITD-Trial PayGo Lookalike-AZR-AZR</v></cell><cell r="V1794" t="str"><v>Lookalike Targeting</v></cell><cell r="W1794" t="str"><v>Link Ad</v></cell><cell r="X1794" t="str"><v>1x1</v></cell></row><row r="1794"><cell r="AA1794"><v>43294</v></cell><cell r="AB1794" t="str"><v>USA_gaPMG_AZR_AZR_Q1_19_Direct-Social</v></cell><cell r="AC1794"><v>21358715</v></cell><cell r="AD1794"><v>720197</v></cell><cell r="AE1794" t="str"><v>Facebook</v></cell><cell r="AF1794"><v>3654128</v></cell><cell r="AG1794" t="str"><v>FACEBOOK»USA-Trial-ITD-Trial PayGo Lookalike-AZR-AZR»1 x 1»SocialBan»LIA»ALL»CPA»LAL»X»NA»SS»NA»FreeAcctITProFB-AnimatedSecureMngd-Ch1»PRC1QB</v></cell><cell r="AH1794"><v>223862945</v></cell><cell r="AI1794" t="str"><v>AZR_FreeAcctITProFB-AnimatedSecureMngd-Ch1_USA_1200x1200_CAN_Direct_English_Trial_Standard_ANI_LEA_T1_1</v></cell><cell r="AJ1794"><v>103176830</v></cell></row><row r="1795"><cell r="C1795" t="str"><v>43294INSTAGRAM»USA-Trial-ITD-Interest Prospecting-AZR-AZR»1 x 1»SocialBan»CAN»ALL»CPA»PRO»X»NA»SS»NA»IGCTCBrandinMotion»PRC2PB</v></cell><cell r="D1795" t="str"><v>43294223862690</v></cell><cell r="E1795" t="str"><v>43294103050783PRC2PB</v></cell><cell r="F1795" t="str"><v>DCM</v></cell><cell r="G1795" t="str"><v>https://signup.azure.com/?OCID=AID%eexcid!_OLA_%ebuy!_%epid!_%ecid!</v></cell></row><row r="1795"><cell r="K1795" t="str"><v>July</v></cell><cell r="L1795"><v>43295</v></cell><cell r="M1795" t="str"><v>Tier 0</v></cell><cell r="N1795" t="str"><v>North America</v></cell><cell r="O1795" t="str"><v>United States</v></cell><cell r="P1795" t="str"><v>Trial</v></cell><cell r="Q1795" t="str"><v>Social</v></cell><cell r="R1795" t="str"><v>Azure</v></cell><cell r="S1795" t="str"><v>Apps & Infra</v></cell><cell r="T1795" t="str"><v>Developers & ITI's</v></cell><cell r="U1795" t="str"><v>USA-Trial-ITD-Interest Prospecting-AZR-AZR</v></cell><cell r="V1795" t="str"><v>Prospecting</v></cell><cell r="W1795" t="str"><v>Canvas Ad</v></cell><cell r="X1795" t="str"><v>1x1</v></cell></row><row r="1795"><cell r="AA1795"><v>43294</v></cell><cell r="AB1795" t="str"><v>USA_gaPMG_AZR_AZR_Q1_19_Direct-Social</v></cell><cell r="AC1795"><v>21358715</v></cell><cell r="AD1795"><v>720197</v></cell><cell r="AE1795" t="str"><v>Facebook - Instagram</v></cell><cell r="AF1795"><v>3654128</v></cell><cell r="AG1795" t="str"><v>INSTAGRAM»USA-Trial-ITD-Interest Prospecting-AZR-AZR»1 x 1»SocialBan»CAN»ALL»CPA»PRO»X»NA»SS»NA»IGCTCBrandinMotion»PRC2PB</v></cell><cell r="AH1795"><v>223862690</v></cell><cell r="AI1795" t="str"><v>AzurePlatform_IGCTCBenefit2inMotion_USA_10s_CAN_PLATFORM_English_Trial_Standard_STAN_TIN_T4_1</v></cell><cell r="AJ1795"><v>103050783</v></cell></row><row r="1796"><cell r="C1796" t="str"><v>43294INSTAGRAM»USA-Trial-ITD-Interest Prospecting-AZR-AZR»1 x 1»SocialBan»CAN»ALL»CPA»PRO»X»NA»SS»NA»IGCTCBrandinMotion»PRC2PB</v></cell><cell r="D1796" t="str"><v>43294223862690</v></cell><cell r="E1796" t="str"><v>43294103178714PRC2PB</v></cell><cell r="F1796" t="str"><v>DCM</v></cell><cell r="G1796" t="str"><v>https://azure.microsoft.com/en-us/pricing/purchase-options/?v=18.19&OCID=AID%eexcid!_OLA_%ebuy!_%epid!_%ecid!</v></cell></row><row r="1796"><cell r="K1796" t="str"><v>July</v></cell><cell r="L1796"><v>43295</v></cell><cell r="M1796" t="str"><v>Tier 0</v></cell><cell r="N1796" t="str"><v>North America</v></cell><cell r="O1796" t="str"><v>United States</v></cell><cell r="P1796" t="str"><v>Trial</v></cell><cell r="Q1796" t="str"><v>Social</v></cell><cell r="R1796" t="str"><v>Azure</v></cell><cell r="S1796" t="str"><v>Apps & Infra</v></cell><cell r="T1796" t="str"><v>Developers & ITI's</v></cell><cell r="U1796" t="str"><v>USA-Trial-ITD-Interest Prospecting-AZR-AZR</v></cell><cell r="V1796" t="str"><v>Prospecting</v></cell><cell r="W1796" t="str"><v>Canvas Ad</v></cell><cell r="X1796" t="str"><v>1x1</v></cell></row><row r="1796"><cell r="AA1796"><v>43294</v></cell><cell r="AB1796" t="str"><v>USA_gaPMG_AZR_AZR_Q1_19_Direct-Social</v></cell><cell r="AC1796"><v>21358715</v></cell><cell r="AD1796"><v>720197</v></cell><cell r="AE1796" t="str"><v>Facebook - Instagram</v></cell><cell r="AF1796"><v>3654128</v></cell><cell r="AG1796" t="str"><v>INSTAGRAM»USA-Trial-ITD-Interest Prospecting-AZR-AZR»1 x 1»SocialBan»CAN»ALL»CPA»PRO»X»NA»SS»NA»IGCTCBrandinMotion»PRC2PB</v></cell><cell r="AH1796"><v>223862690</v></cell><cell r="AI1796" t="str"><v>AzurePlatform_IGCTCBenefit2inMotion_USA_10s_CAN_PLATFORM_English_Trial_Standard_STAN_TIN_T4_2</v></cell><cell r="AJ1796"><v>103178714</v></cell></row><row r="1797"><cell r="C1797" t="str"><v>43294INSTAGRAM»USA-Trial-ITD-Retargeting-AZR-AZR»1 x 1»SocialBan»CAN»ALL»CPA»RT»X»NA»SS»NA»IGCTCBrandinMotion»PRC2G3</v></cell><cell r="D1797" t="str"><v>43294224107014</v></cell><cell r="E1797" t="str"><v>43294103178714PRC2G3</v></cell><cell r="F1797" t="str"><v>DCM</v></cell><cell r="G1797" t="str"><v>https://azure.microsoft.com/en-us/pricing/purchase-options/?v=18.19&OCID=AID%eexcid!_OLA_%ebuy!_%epid!_%ecid!</v></cell></row><row r="1797"><cell r="K1797" t="str"><v>July</v></cell><cell r="L1797"><v>43295</v></cell><cell r="M1797" t="str"><v>Tier 0</v></cell><cell r="N1797" t="str"><v>North America</v></cell><cell r="O1797" t="str"><v>United States</v></cell><cell r="P1797" t="str"><v>Trial</v></cell><cell r="Q1797" t="str"><v>Social</v></cell><cell r="R1797" t="str"><v>Azure</v></cell><cell r="S1797" t="str"><v>Apps & Infra</v></cell><cell r="T1797" t="str"><v>Developers & ITI's</v></cell><cell r="U1797" t="str"><v>USA-Trial-ITD-Retargeting-AZR-AZR</v></cell><cell r="V1797" t="str"><v>Retargeting</v></cell><cell r="W1797" t="str"><v>Canvas Ad</v></cell><cell r="X1797" t="str"><v>1x1</v></cell></row><row r="1797"><cell r="AA1797"><v>43294</v></cell><cell r="AB1797" t="str"><v>USA_gaPMG_AZR_AZR_Q1_19_Direct-Social</v></cell><cell r="AC1797"><v>21358715</v></cell><cell r="AD1797"><v>720197</v></cell><cell r="AE1797" t="str"><v>Facebook - Instagram</v></cell><cell r="AF1797"><v>3654128</v></cell><cell r="AG1797" t="str"><v>INSTAGRAM»USA-Trial-ITD-Retargeting-AZR-AZR»1 x 1»SocialBan»CAN»ALL»CPA»RT»X»NA»SS»NA»IGCTCBrandinMotion»PRC2G3</v></cell><cell r="AH1797"><v>224107014</v></cell><cell r="AI1797" t="str"><v>AzurePlatform_IGCTCBenefit2inMotion_USA_10s_CAN_PLATFORM_English_Trial_Standard_STAN_TIN_T4_2</v></cell><cell r="AJ1797"><v>103178714</v></cell></row><row r="1798"><cell r="C1798" t="str"><v>43294INSTAGRAM»USA-Trial-ITD-Trial Lookalike-AZR-AZR»1 x 1»SocialBan»CAN»ALL»CPA»LAL»X»NA»SS»NA»IGCTCBenefit2inMotion»PRC2FL</v></cell><cell r="D1798" t="str"><v>43294223935022</v></cell><cell r="E1798" t="str"><v>43294103050786PRC2FL</v></cell><cell r="F1798" t="str"><v>DCM</v></cell><cell r="G1798" t="str"><v>https://azure.microsoft.com/en-us/pricing/purchase-options/?v=18.19&OCID=AID%eexcid!_OLA_%ebuy!_%epid!_%ecid!</v></cell></row><row r="1798"><cell r="K1798" t="str"><v>July</v></cell><cell r="L1798"><v>43295</v></cell><cell r="M1798" t="str"><v>Tier 0</v></cell><cell r="N1798" t="str"><v>North America</v></cell><cell r="O1798" t="str"><v>United States</v></cell><cell r="P1798" t="str"><v>Trial</v></cell><cell r="Q1798" t="str"><v>Social</v></cell><cell r="R1798" t="str"><v>Azure</v></cell><cell r="S1798" t="str"><v>Apps & Infra</v></cell><cell r="T1798" t="str"><v>Developers & ITI's</v></cell><cell r="U1798" t="str"><v>USA-Trial-ITD-Trial Lookalike-AZR-AZR</v></cell><cell r="V1798" t="str"><v>Lookalike Targeting</v></cell><cell r="W1798" t="str"><v>Canvas Ad</v></cell><cell r="X1798" t="str"><v>1x1</v></cell></row><row r="1798"><cell r="AA1798"><v>43294</v></cell><cell r="AB1798" t="str"><v>USA_gaPMG_AZR_AZR_Q1_19_Direct-Social</v></cell><cell r="AC1798"><v>21358715</v></cell><cell r="AD1798"><v>720197</v></cell><cell r="AE1798" t="str"><v>Facebook - Instagram</v></cell><cell r="AF1798"><v>3654128</v></cell><cell r="AG1798" t="str"><v>INSTAGRAM»USA-Trial-ITD-Trial Lookalike-AZR-AZR»1 x 1»SocialBan»CAN»ALL»CPA»LAL»X»NA»SS»NA»IGCTCBenefit2inMotion»PRC2FL</v></cell><cell r="AH1798"><v>223935022</v></cell><cell r="AI1798" t="str"><v>AzurePlatform_IGCTCBrandinMotion_USA_10s_CAN_PLATFORM_English_Trial_Standard_STAN_TIN_T2_2</v></cell><cell r="AJ1798"><v>103050786</v></cell></row><row r="1799"><cell r="C1799" t="str"><v>43294INSTAGRAM»USA-Trial-ITD-Trial Lookalike-AZR-AZR»1 x 1»SocialBan»CAN»ALL»CPA»LAL»X»NA»SS»NA»IGCTCBrandinMotion»PRC2FH</v></cell><cell r="D1799" t="str"><v>43294223935019</v></cell><cell r="E1799" t="str"><v>43294103050783PRC2FH</v></cell><cell r="F1799" t="str"><v>DCM</v></cell><cell r="G1799" t="str"><v>https://signup.azure.com/?OCID=AID%eexcid!_OLA_%ebuy!_%epid!_%ecid!</v></cell></row><row r="1799"><cell r="K1799" t="str"><v>July</v></cell><cell r="L1799"><v>43295</v></cell><cell r="M1799" t="str"><v>Tier 0</v></cell><cell r="N1799" t="str"><v>North America</v></cell><cell r="O1799" t="str"><v>United States</v></cell><cell r="P1799" t="str"><v>Trial</v></cell><cell r="Q1799" t="str"><v>Social</v></cell><cell r="R1799" t="str"><v>Azure</v></cell><cell r="S1799" t="str"><v>Apps & Infra</v></cell><cell r="T1799" t="str"><v>Developers & ITI's</v></cell><cell r="U1799" t="str"><v>USA-Trial-ITD-Trial Lookalike-AZR-AZR</v></cell><cell r="V1799" t="str"><v>Lookalike Targeting</v></cell><cell r="W1799" t="str"><v>Canvas Ad</v></cell><cell r="X1799" t="str"><v>1x1</v></cell></row><row r="1799"><cell r="AA1799"><v>43294</v></cell><cell r="AB1799" t="str"><v>USA_gaPMG_AZR_AZR_Q1_19_Direct-Social</v></cell><cell r="AC1799"><v>21358715</v></cell><cell r="AD1799"><v>720197</v></cell><cell r="AE1799" t="str"><v>Facebook - Instagram</v></cell><cell r="AF1799"><v>3654128</v></cell><cell r="AG1799" t="str"><v>INSTAGRAM»USA-Trial-ITD-Trial Lookalike-AZR-AZR»1 x 1»SocialBan»CAN»ALL»CPA»LAL»X»NA»SS»NA»IGCTCBrandinMotion»PRC2FH</v></cell><cell r="AH1799"><v>223935019</v></cell><cell r="AI1799" t="str"><v>AzurePlatform_IGCTCBenefit2inMotion_USA_10s_CAN_PLATFORM_English_Trial_Standard_STAN_TIN_T4_1</v></cell><cell r="AJ1799"><v>103050783</v></cell></row><row r="1800"><cell r="C1800" t="str"><v>43294INSTAGRAM»USA-Trial-ITD-Trial Lookalike-AZR-AZR»1 x 1»SocialBan»CAN»ALL»CPA»LAL»X»NA»SS»NA»IGCTCBrandinMotion»PRC2FH</v></cell><cell r="D1800" t="str"><v>43294223935019</v></cell><cell r="E1800" t="str"><v>43294103178714PRC2FH</v></cell><cell r="F1800" t="str"><v>DCM</v></cell><cell r="G1800" t="str"><v>https://azure.microsoft.com/en-us/pricing/purchase-options/?v=18.19&OCID=AID%eexcid!_OLA_%ebuy!_%epid!_%ecid!</v></cell></row><row r="1800"><cell r="K1800" t="str"><v>July</v></cell><cell r="L1800"><v>43295</v></cell><cell r="M1800" t="str"><v>Tier 0</v></cell><cell r="N1800" t="str"><v>North America</v></cell><cell r="O1800" t="str"><v>United States</v></cell><cell r="P1800" t="str"><v>Trial</v></cell><cell r="Q1800" t="str"><v>Social</v></cell><cell r="R1800" t="str"><v>Azure</v></cell><cell r="S1800" t="str"><v>Apps & Infra</v></cell><cell r="T1800" t="str"><v>Developers & ITI's</v></cell><cell r="U1800" t="str"><v>USA-Trial-ITD-Trial Lookalike-AZR-AZR</v></cell><cell r="V1800" t="str"><v>Lookalike Targeting</v></cell><cell r="W1800" t="str"><v>Canvas Ad</v></cell><cell r="X1800" t="str"><v>1x1</v></cell></row><row r="1800"><cell r="AA1800"><v>43294</v></cell><cell r="AB1800" t="str"><v>USA_gaPMG_AZR_AZR_Q1_19_Direct-Social</v></cell><cell r="AC1800"><v>21358715</v></cell><cell r="AD1800"><v>720197</v></cell><cell r="AE1800" t="str"><v>Facebook - Instagram</v></cell><cell r="AF1800"><v>3654128</v></cell><cell r="AG1800" t="str"><v>INSTAGRAM»USA-Trial-ITD-Trial Lookalike-AZR-AZR»1 x 1»SocialBan»CAN»ALL»CPA»LAL»X»NA»SS»NA»IGCTCBrandinMotion»PRC2FH</v></cell><cell r="AH1800"><v>223935019</v></cell><cell r="AI1800" t="str"><v>AzurePlatform_IGCTCBenefit2inMotion_USA_10s_CAN_PLATFORM_English_Trial_Standard_STAN_TIN_T4_2</v></cell><cell r="AJ1800"><v>103178714</v></cell></row><row r="1801"><cell r="C1801" t="str"><v>43294INSTAGRAM»USA-Trial-ITD-Trial PayGo Lookalike-AZR-AZR»1 x 1»SocialBan»CAN»ALL»CPA»LAL»X»NA»SS»NA»IGCTCBenefit2inMotion»PRC2FZ</v></cell><cell r="D1801" t="str"><v>43294223933075</v></cell><cell r="E1801" t="str"><v>43294103180628PRC2FZ</v></cell><cell r="F1801" t="str"><v>DCM</v></cell><cell r="G1801" t="str"><v>https://signup.azure.com/?OCID=AID%eexcid!_OLA_%ebuy!_%epid!_%ecid!</v></cell></row><row r="1801"><cell r="K1801" t="str"><v>July</v></cell><cell r="L1801"><v>43295</v></cell><cell r="M1801" t="str"><v>Tier 0</v></cell><cell r="N1801" t="str"><v>North America</v></cell><cell r="O1801" t="str"><v>United States</v></cell><cell r="P1801" t="str"><v>Trial</v></cell><cell r="Q1801" t="str"><v>Social</v></cell><cell r="R1801" t="str"><v>Azure</v></cell><cell r="S1801" t="str"><v>Apps & Infra</v></cell><cell r="T1801" t="str"><v>Developers & ITI's</v></cell><cell r="U1801" t="str"><v>USA-Trial-ITD-Trial PayGo Lookalike-AZR-AZR</v></cell><cell r="V1801" t="str"><v>Lookalike Targeting</v></cell><cell r="W1801" t="str"><v>Canvas Ad</v></cell><cell r="X1801" t="str"><v>1x1</v></cell></row><row r="1801"><cell r="AA1801"><v>43294</v></cell><cell r="AB1801" t="str"><v>USA_gaPMG_AZR_AZR_Q1_19_Direct-Social</v></cell><cell r="AC1801"><v>21358715</v></cell><cell r="AD1801"><v>720197</v></cell><cell r="AE1801" t="str"><v>Facebook - Instagram</v></cell><cell r="AF1801"><v>3654128</v></cell><cell r="AG1801" t="str"><v>INSTAGRAM»USA-Trial-ITD-Trial PayGo Lookalike-AZR-AZR»1 x 1»SocialBan»CAN»ALL»CPA»LAL»X»NA»SS»NA»IGCTCBenefit2inMotion»PRC2FZ</v></cell><cell r="AH1801"><v>223933075</v></cell><cell r="AI1801" t="str"><v>AzurePlatform_IGCTCBrandinMotion_USA_10s_CAN_PLATFORM_English_Trial_Standard_STAN_TIN_T2_1</v></cell><cell r="AJ1801"><v>103180628</v></cell></row><row r="1802"><cell r="C1802" t="str"><v>43294INSTAGRAM»USA-Trial-ITD-Trial PayGo Lookalike-AZR-AZR»1 x 1»SocialBan»CAN»ALL»CPA»LAL»X»NA»SS»NA»IGCTCBenefit2inMotion»PRC2FZ</v></cell><cell r="D1802" t="str"><v>43294223933075</v></cell><cell r="E1802" t="str"><v>43294103050786PRC2FZ</v></cell><cell r="F1802" t="str"><v>DCM</v></cell><cell r="G1802" t="str"><v>https://azure.microsoft.com/en-us/pricing/purchase-options/?v=18.19&OCID=AID%eexcid!_OLA_%ebuy!_%epid!_%ecid!</v></cell></row><row r="1802"><cell r="K1802" t="str"><v>July</v></cell><cell r="L1802"><v>43295</v></cell><cell r="M1802" t="str"><v>Tier 0</v></cell><cell r="N1802" t="str"><v>North America</v></cell><cell r="O1802" t="str"><v>United States</v></cell><cell r="P1802" t="str"><v>Trial</v></cell><cell r="Q1802" t="str"><v>Social</v></cell><cell r="R1802" t="str"><v>Azure</v></cell><cell r="S1802" t="str"><v>Apps & Infra</v></cell><cell r="T1802" t="str"><v>Developers & ITI's</v></cell><cell r="U1802" t="str"><v>USA-Trial-ITD-Trial PayGo Lookalike-AZR-AZR</v></cell><cell r="V1802" t="str"><v>Lookalike Targeting</v></cell><cell r="W1802" t="str"><v>Canvas Ad</v></cell><cell r="X1802" t="str"><v>1x1</v></cell></row><row r="1802"><cell r="AA1802"><v>43294</v></cell><cell r="AB1802" t="str"><v>USA_gaPMG_AZR_AZR_Q1_19_Direct-Social</v></cell><cell r="AC1802"><v>21358715</v></cell><cell r="AD1802"><v>720197</v></cell><cell r="AE1802" t="str"><v>Facebook - Instagram</v></cell><cell r="AF1802"><v>3654128</v></cell><cell r="AG1802" t="str"><v>INSTAGRAM»USA-Trial-ITD-Trial PayGo Lookalike-AZR-AZR»1 x 1»SocialBan»CAN»ALL»CPA»LAL»X»NA»SS»NA»IGCTCBenefit2inMotion»PRC2FZ</v></cell><cell r="AH1802"><v>223933075</v></cell><cell r="AI1802" t="str"><v>AzurePlatform_IGCTCBrandinMotion_USA_10s_CAN_PLATFORM_English_Trial_Standard_STAN_TIN_T2_2</v></cell><cell r="AJ1802"><v>103050786</v></cell></row><row r="1803"><cell r="C1803" t="str"><v>43294INSTAGRAM»USA-Trial-ITD-Interest Prospecting-AZR-AZR»1 x 1»SocialBan»CAN»ALL»CPA»PRO»X»NA»SS»NA»IGCTCBasicMotion»PRC2PF</v></cell><cell r="D1803" t="str"><v>43294224106621</v></cell><cell r="E1803" t="str"><v>43294103037968PRC2PF</v></cell><cell r="F1803" t="str"><v>DCM</v></cell><cell r="G1803" t="str"><v>https://signup.azure.com/?OCID=AID%eexcid!_OLA_%ebuy!_%epid!_%ecid!</v></cell></row><row r="1803"><cell r="K1803" t="str"><v>July</v></cell><cell r="L1803"><v>43295</v></cell><cell r="M1803" t="str"><v>Tier 0</v></cell><cell r="N1803" t="str"><v>North America</v></cell><cell r="O1803" t="str"><v>United States</v></cell><cell r="P1803" t="str"><v>Trial</v></cell><cell r="Q1803" t="str"><v>Social</v></cell><cell r="R1803" t="str"><v>Azure</v></cell><cell r="S1803" t="str"><v>Apps & Infra</v></cell><cell r="T1803" t="str"><v>Developers & ITI's</v></cell><cell r="U1803" t="str"><v>USA-Trial-ITD-Interest Prospecting-AZR-AZR</v></cell><cell r="V1803" t="str"><v>Prospecting</v></cell><cell r="W1803" t="str"><v>Canvas Ad</v></cell><cell r="X1803" t="str"><v>1x1</v></cell></row><row r="1803"><cell r="AA1803"><v>43294</v></cell><cell r="AB1803" t="str"><v>USA_gaPMG_AZR_AZR_Q1_19_Direct-Social</v></cell><cell r="AC1803"><v>21358715</v></cell><cell r="AD1803"><v>720197</v></cell><cell r="AE1803" t="str"><v>Facebook - Instagram</v></cell><cell r="AF1803"><v>3654128</v></cell><cell r="AG1803" t="str"><v>INSTAGRAM»USA-Trial-ITD-Interest Prospecting-AZR-AZR»1 x 1»SocialBan»CAN»ALL»CPA»PRO»X»NA»SS»NA»IGCTCBasicMotion»PRC2PF</v></cell><cell r="AH1803"><v>224106621</v></cell><cell r="AI1803" t="str"><v>AzurePlatform_IGCTCBasicMotion_USA_10s_CAN_PLATFORM_English_Trial_Standard_STAN_TIN_T1_1</v></cell><cell r="AJ1803"><v>103037968</v></cell></row><row r="1804"><cell r="C1804" t="str"><v>43294INSTAGRAM»USA-Trial-ITD-Trial Lookalike-AZR-AZR»1 x 1»SocialBan»CAN»ALL»CPA»LAL»X»NA»SS»NA»IGCTCBasicMotion»PRC0C2</v></cell><cell r="D1804" t="str"><v>43294224107017</v></cell><cell r="E1804" t="str"><v>43294103037968PRC0C2</v></cell><cell r="F1804" t="str"><v>DCM</v></cell><cell r="G1804" t="str"><v>https://signup.azure.com/?OCID=AID%eexcid!_OLA_%ebuy!_%epid!_%ecid!</v></cell></row><row r="1804"><cell r="K1804" t="str"><v>July</v></cell><cell r="L1804"><v>43295</v></cell><cell r="M1804" t="str"><v>Tier 0</v></cell><cell r="N1804" t="str"><v>North America</v></cell><cell r="O1804" t="str"><v>United States</v></cell><cell r="P1804" t="str"><v>Trial</v></cell><cell r="Q1804" t="str"><v>Social</v></cell><cell r="R1804" t="str"><v>Azure</v></cell><cell r="S1804" t="str"><v>Apps & Infra</v></cell><cell r="T1804" t="str"><v>Developers & ITI's</v></cell><cell r="U1804" t="str"><v>USA-Trial-ITD-Trial Lookalike-AZR-AZR</v></cell><cell r="V1804" t="str"><v>Lookalike Targeting</v></cell><cell r="W1804" t="str"><v>Canvas Ad</v></cell><cell r="X1804" t="str"><v>1x1</v></cell></row><row r="1804"><cell r="AA1804"><v>43294</v></cell><cell r="AB1804" t="str"><v>USA_gaPMG_AZR_AZR_Q1_19_Direct-Social</v></cell><cell r="AC1804"><v>21358715</v></cell><cell r="AD1804"><v>720197</v></cell><cell r="AE1804" t="str"><v>Facebook - Instagram</v></cell><cell r="AF1804"><v>3654128</v></cell><cell r="AG1804" t="str"><v>INSTAGRAM»USA-Trial-ITD-Trial Lookalike-AZR-AZR»1 x 1»SocialBan»CAN»ALL»CPA»LAL»X»NA»SS»NA»IGCTCBasicMotion»PRC0C2</v></cell><cell r="AH1804"><v>224107017</v></cell><cell r="AI1804" t="str"><v>AzurePlatform_IGCTCBasicMotion_USA_10s_CAN_PLATFORM_English_Trial_Standard_STAN_TIN_T1_1</v></cell><cell r="AJ1804"><v>103037968</v></cell></row><row r="1805"><cell r="C1805" t="str"><v>43294INSTAGRAM»USA-Trial-ITD-Trial Lookalike-AZR-AZR»1 x 1»SocialBan»CAN»ALL»CPA»LAL»X»NA»SS»NA»IGCTCBasicMotion»PRC0C2</v></cell><cell r="D1805" t="str"><v>43294224107017</v></cell><cell r="E1805" t="str"><v>43294103037974PRC0C2</v></cell><cell r="F1805" t="str"><v>DCM</v></cell><cell r="G1805" t="str"><v>https://azure.microsoft.com/en-us/pricing/purchase-options/?v=18.19&OCID=AID%eexcid!_OLA_%ebuy!_%epid!_%ecid!</v></cell></row><row r="1805"><cell r="K1805" t="str"><v>July</v></cell><cell r="L1805"><v>43295</v></cell><cell r="M1805" t="str"><v>Tier 0</v></cell><cell r="N1805" t="str"><v>North America</v></cell><cell r="O1805" t="str"><v>United States</v></cell><cell r="P1805" t="str"><v>Trial</v></cell><cell r="Q1805" t="str"><v>Social</v></cell><cell r="R1805" t="str"><v>Azure</v></cell><cell r="S1805" t="str"><v>Apps & Infra</v></cell><cell r="T1805" t="str"><v>Developers & ITI's</v></cell><cell r="U1805" t="str"><v>USA-Trial-ITD-Trial Lookalike-AZR-AZR</v></cell><cell r="V1805" t="str"><v>Lookalike Targeting</v></cell><cell r="W1805" t="str"><v>Canvas Ad</v></cell><cell r="X1805" t="str"><v>1x1</v></cell></row><row r="1805"><cell r="AA1805"><v>43294</v></cell><cell r="AB1805" t="str"><v>USA_gaPMG_AZR_AZR_Q1_19_Direct-Social</v></cell><cell r="AC1805"><v>21358715</v></cell><cell r="AD1805"><v>720197</v></cell><cell r="AE1805" t="str"><v>Facebook - Instagram</v></cell><cell r="AF1805"><v>3654128</v></cell><cell r="AG1805" t="str"><v>INSTAGRAM»USA-Trial-ITD-Trial Lookalike-AZR-AZR»1 x 1»SocialBan»CAN»ALL»CPA»LAL»X»NA»SS»NA»IGCTCBasicMotion»PRC0C2</v></cell><cell r="AH1805"><v>224107017</v></cell><cell r="AI1805" t="str"><v>AzurePlatform_IGCTCBasicMotion_USA_10s_CAN_PLATFORM_English_Trial_Standard_STAN_TIN_T1_2</v></cell><cell r="AJ1805"><v>103037974</v></cell></row><row r="1806"><cell r="C1806" t="str"><v>43294INSTAGRAM»USA-Trial-ITD-Trial Lookalike-AZR-AZR»1 x 1»SocialBan»CAN»ALL»CPA»LAL»X»NA»SS»NA»IGCTCBenefitinMotion»PRC2FK</v></cell><cell r="D1806" t="str"><v>43294224107542</v></cell><cell r="E1806" t="str"><v>43294103180637PRC2FK</v></cell><cell r="F1806" t="str"><v>DCM</v></cell><cell r="G1806" t="str"><v>https://azure.microsoft.com/en-us/pricing/purchase-options/?v=18.19&OCID=AID%eexcid!_OLA_%ebuy!_%epid!_%ecid!</v></cell></row><row r="1806"><cell r="K1806" t="str"><v>July</v></cell><cell r="L1806"><v>43295</v></cell><cell r="M1806" t="str"><v>Tier 0</v></cell><cell r="N1806" t="str"><v>North America</v></cell><cell r="O1806" t="str"><v>United States</v></cell><cell r="P1806" t="str"><v>Trial</v></cell><cell r="Q1806" t="str"><v>Social</v></cell><cell r="R1806" t="str"><v>Azure</v></cell><cell r="S1806" t="str"><v>Apps & Infra</v></cell><cell r="T1806" t="str"><v>Developers & ITI's</v></cell><cell r="U1806" t="str"><v>USA-Trial-ITD-Trial Lookalike-AZR-AZR</v></cell><cell r="V1806" t="str"><v>Lookalike Targeting</v></cell><cell r="W1806" t="str"><v>Canvas Ad</v></cell><cell r="X1806" t="str"><v>1x1</v></cell></row><row r="1806"><cell r="AA1806"><v>43294</v></cell><cell r="AB1806" t="str"><v>USA_gaPMG_AZR_AZR_Q1_19_Direct-Social</v></cell><cell r="AC1806"><v>21358715</v></cell><cell r="AD1806"><v>720197</v></cell><cell r="AE1806" t="str"><v>Facebook - Instagram</v></cell><cell r="AF1806"><v>3654128</v></cell><cell r="AG1806" t="str"><v>INSTAGRAM»USA-Trial-ITD-Trial Lookalike-AZR-AZR»1 x 1»SocialBan»CAN»ALL»CPA»LAL»X»NA»SS»NA»IGCTCBenefitinMotion»PRC2FK</v></cell><cell r="AH1806"><v>224107542</v></cell><cell r="AI1806" t="str"><v>AzurePlatform_IGCTCBenefitinMotion_USA_10s_CAN_PLATFORM_English_Trial_Standard_STAN_TIN_T3_2</v></cell><cell r="AJ1806"><v>103180637</v></cell></row><row r="1807"><cell r="C1807" t="str"><v>43294INSTAGRAM»USA-Trial-ITD-Trial PayGo Lookalike-AZR-AZR»1 x 1»SocialBan»CAN»ALL»CPA»LAL»X»NA»SS»NA»IGCTCBasicMotion»PRC2G0</v></cell><cell r="D1807" t="str"><v>43294224106891</v></cell><cell r="E1807" t="str"><v>43294103037968PRC2G0</v></cell><cell r="F1807" t="str"><v>DCM</v></cell><cell r="G1807" t="str"><v>https://signup.azure.com/?OCID=AID%eexcid!_OLA_%ebuy!_%epid!_%ecid!</v></cell></row><row r="1807"><cell r="K1807" t="str"><v>July</v></cell><cell r="L1807"><v>43295</v></cell><cell r="M1807" t="str"><v>Tier 0</v></cell><cell r="N1807" t="str"><v>North America</v></cell><cell r="O1807" t="str"><v>United States</v></cell><cell r="P1807" t="str"><v>Trial</v></cell><cell r="Q1807" t="str"><v>Social</v></cell><cell r="R1807" t="str"><v>Azure</v></cell><cell r="S1807" t="str"><v>Apps & Infra</v></cell><cell r="T1807" t="str"><v>Developers & ITI's</v></cell><cell r="U1807" t="str"><v>USA-Trial-ITD-Trial PayGo Lookalike-AZR-AZR</v></cell><cell r="V1807" t="str"><v>Lookalike Targeting</v></cell><cell r="W1807" t="str"><v>Canvas Ad</v></cell><cell r="X1807" t="str"><v>1x1</v></cell></row><row r="1807"><cell r="AA1807"><v>43294</v></cell><cell r="AB1807" t="str"><v>USA_gaPMG_AZR_AZR_Q1_19_Direct-Social</v></cell><cell r="AC1807"><v>21358715</v></cell><cell r="AD1807"><v>720197</v></cell><cell r="AE1807" t="str"><v>Facebook - Instagram</v></cell><cell r="AF1807"><v>3654128</v></cell><cell r="AG1807" t="str"><v>INSTAGRAM»USA-Trial-ITD-Trial PayGo Lookalike-AZR-AZR»1 x 1»SocialBan»CAN»ALL»CPA»LAL»X»NA»SS»NA»IGCTCBasicMotion»PRC2G0</v></cell><cell r="AH1807"><v>224106891</v></cell><cell r="AI1807" t="str"><v>AzurePlatform_IGCTCBasicMotion_USA_10s_CAN_PLATFORM_English_Trial_Standard_STAN_TIN_T1_1</v></cell><cell r="AJ1807"><v>103037968</v></cell></row><row r="1808"><cell r="C1808" t="str"><v>43294INSTAGRAM»USA-Trial-ITD-Trial PayGo Lookalike-AZR-AZR»1 x 1»SocialBan»CAN»ALL»CPA»LAL»X»NA»SS»NA»IGCTCBasicMotion»PRC2G0</v></cell><cell r="D1808" t="str"><v>43294224106891</v></cell><cell r="E1808" t="str"><v>43294103037974PRC2G0</v></cell><cell r="F1808" t="str"><v>DCM</v></cell><cell r="G1808" t="str"><v>https://azure.microsoft.com/en-us/pricing/purchase-options/?v=18.19&OCID=AID%eexcid!_OLA_%ebuy!_%epid!_%ecid!</v></cell></row><row r="1808"><cell r="K1808" t="str"><v>July</v></cell><cell r="L1808"><v>43295</v></cell><cell r="M1808" t="str"><v>Tier 0</v></cell><cell r="N1808" t="str"><v>North America</v></cell><cell r="O1808" t="str"><v>United States</v></cell><cell r="P1808" t="str"><v>Trial</v></cell><cell r="Q1808" t="str"><v>Social</v></cell><cell r="R1808" t="str"><v>Azure</v></cell><cell r="S1808" t="str"><v>Apps & Infra</v></cell><cell r="T1808" t="str"><v>Developers & ITI's</v></cell><cell r="U1808" t="str"><v>USA-Trial-ITD-Trial PayGo Lookalike-AZR-AZR</v></cell><cell r="V1808" t="str"><v>Lookalike Targeting</v></cell><cell r="W1808" t="str"><v>Canvas Ad</v></cell><cell r="X1808" t="str"><v>1x1</v></cell></row><row r="1808"><cell r="AA1808"><v>43294</v></cell><cell r="AB1808" t="str"><v>USA_gaPMG_AZR_AZR_Q1_19_Direct-Social</v></cell><cell r="AC1808"><v>21358715</v></cell><cell r="AD1808"><v>720197</v></cell><cell r="AE1808" t="str"><v>Facebook - Instagram</v></cell><cell r="AF1808"><v>3654128</v></cell><cell r="AG1808" t="str"><v>INSTAGRAM»USA-Trial-ITD-Trial PayGo Lookalike-AZR-AZR»1 x 1»SocialBan»CAN»ALL»CPA»LAL»X»NA»SS»NA»IGCTCBasicMotion»PRC2G0</v></cell><cell r="AH1808"><v>224106891</v></cell><cell r="AI1808" t="str"><v>AzurePlatform_IGCTCBasicMotion_USA_10s_CAN_PLATFORM_English_Trial_Standard_STAN_TIN_T1_2</v></cell><cell r="AJ1808"><v>103037974</v></cell></row><row r="1809"><cell r="C1809" t="str"><v>43295Facebook»Audience & Interest Targeting»1x1»Canvas»OTH»DT»DYN»AUT»W»NA»SS»NA»FBCTCcanvaspage-StartFreeCTA_FBCTCcanvaspage-BuyNowCTA</v></cell><cell r="D1809" t="str"><v>43295224639151</v></cell><cell r="E1809" t="str"><v>43295103316832NowCTA</v></cell><cell r="F1809" t="str"><v>DCM</v></cell><cell r="G1809" t="str"><v>https://azure.microsoft.com/en-au/pricing/purchase-options/</v></cell></row><row r="1809"><cell r="K1809" t="str"><v>July</v></cell><cell r="L1809"><v>43295</v></cell><cell r="M1809" t="str"><v>Tier 1</v></cell><cell r="N1809" t="str"><v>APAC</v></cell><cell r="O1809" t="str"><v>Australia</v></cell><cell r="P1809" t="str"><v>Trial</v></cell><cell r="Q1809" t="str"><v>Social</v></cell><cell r="R1809" t="str"><v>Azure</v></cell><cell r="S1809" t="str"><v>Apps & Infra</v></cell><cell r="T1809" t="str"><v>Developers & ITI's</v></cell><cell r="U1809" t="str"><v>Audience & Interest Targeting</v></cell><cell r="V1809" t="str"><v>Audience Targeting</v></cell><cell r="W1809" t="str"><v>Other</v></cell><cell r="X1809" t="str"><v>1x1</v></cell></row><row r="1809"><cell r="AA1809"><v>43295</v></cell><cell r="AB1809" t="str"><v>AUS_gaPMG_AZR_AZR_Q1_19_Trial-Social</v></cell><cell r="AC1809"><v>21358568</v></cell><cell r="AD1809"><v>720191</v></cell><cell r="AE1809" t="str"><v>Facebook</v></cell><cell r="AF1809"><v>3654128</v></cell><cell r="AG1809" t="str"><v>Facebook»Audience & Interest Targeting»1x1»Canvas»OTH»DT»DYN»AUT»W»NA»SS»NA»FBCTCcanvaspage-StartFreeCTA_FBCTCcanvaspage-BuyNowCTA</v></cell><cell r="AH1809"><v>224639151</v></cell><cell r="AI1809" t="str"><v>AzurePlatform_FBCTCcanvaspage-BuyNowCTA-Img3_AUS_1080x162_SOC_Plat_English_NA_Standard_NA_BN_T3_1</v></cell><cell r="AJ1809"><v>103316832</v></cell></row><row r="1810"><cell r="C1810" t="str"><v>43295Facebook»Audience & Interest Targeting»1x1»Canvas»OTH»DT»DYN»AUT»W»NA»SS»NA»FBCTCcanvaspage-StartFreeCTA_FBCTCcanvaspage-BuyNowCTA</v></cell><cell r="D1810" t="str"><v>43295224639151</v></cell><cell r="E1810" t="str"><v>43295103316829NowCTA</v></cell><cell r="F1810" t="str"><v>DCM</v></cell><cell r="G1810" t="str"><v>https://signup.azure.com/signup?offer=ms-azr-0044p&appId=102&ref=paidmedia-social-fb&redirectURL=https%3a%2f%2fazure.microsoft.com%2fen-au%2fget-started%2fwelcome-to-azure%2f&l=en-au&correlationId=ead86c34-1f10-49dd-a72b-6918462a2cbf</v></cell></row><row r="1810"><cell r="K1810" t="str"><v>July</v></cell><cell r="L1810"><v>43295</v></cell><cell r="M1810" t="str"><v>Tier 1</v></cell><cell r="N1810" t="str"><v>APAC</v></cell><cell r="O1810" t="str"><v>Australia</v></cell><cell r="P1810" t="str"><v>Trial</v></cell><cell r="Q1810" t="str"><v>Social</v></cell><cell r="R1810" t="str"><v>Azure</v></cell><cell r="S1810" t="str"><v>Apps & Infra</v></cell><cell r="T1810" t="str"><v>Developers & ITI's</v></cell><cell r="U1810" t="str"><v>Audience & Interest Targeting</v></cell><cell r="V1810" t="str"><v>Audience Targeting</v></cell><cell r="W1810" t="str"><v>Other</v></cell><cell r="X1810" t="str"><v>1x1</v></cell></row><row r="1810"><cell r="AA1810"><v>43295</v></cell><cell r="AB1810" t="str"><v>AUS_gaPMG_AZR_AZR_Q1_19_Trial-Social</v></cell><cell r="AC1810"><v>21358568</v></cell><cell r="AD1810"><v>720191</v></cell><cell r="AE1810" t="str"><v>Facebook</v></cell><cell r="AF1810"><v>3654128</v></cell><cell r="AG1810" t="str"><v>Facebook»Audience & Interest Targeting»1x1»Canvas»OTH»DT»DYN»AUT»W»NA»SS»NA»FBCTCcanvaspage-StartFreeCTA_FBCTCcanvaspage-BuyNowCTA</v></cell><cell r="AH1810"><v>224639151</v></cell><cell r="AI1810" t="str"><v>AzurePlatform_FBCTCcanvaspage-StartFreeCTA-Img2_AUS_1080x143 _SOC_Plat_English_NA_Standard_NA_NA_T2_1</v></cell><cell r="AJ1810"><v>103316829</v></cell></row><row r="1811"><cell r="C1811" t="str"><v>43295Facebook»Audience & Interest Targeting»1x1»TextLink»OTH»DT»DYN»AUT»W»NA»SS»NA»Free Account Refresh- 12 months ChE</v></cell><cell r="D1811" t="str"><v>43295224160783</v></cell><cell r="E1811" t="str"><v>43295103051614hs ChE</v></cell><cell r="F1811" t="str"><v>DCM</v></cell></row><row r="1811"><cell r="K1811" t="str"><v>July</v></cell><cell r="L1811"><v>43295</v></cell><cell r="M1811" t="str"><v>Tier 1</v></cell><cell r="N1811" t="str"><v>APAC</v></cell><cell r="O1811" t="str"><v>Australia</v></cell><cell r="P1811" t="str"><v>Trial</v></cell><cell r="Q1811" t="str"><v>Social</v></cell><cell r="R1811" t="str"><v>Azure</v></cell><cell r="S1811" t="str"><v>Apps & Infra</v></cell><cell r="T1811" t="str"><v>Developers & ITI's</v></cell><cell r="U1811" t="str"><v>Audience & Interest Targeting</v></cell><cell r="V1811" t="str"><v>Audience Targeting</v></cell><cell r="W1811" t="str"><v>Other</v></cell><cell r="X1811" t="str"><v>1x1</v></cell></row><row r="1811"><cell r="AA1811"><v>43295</v></cell><cell r="AB1811" t="str"><v>AUS_gaPMG_AZR_AZR_Q1_19_Trial-Social</v></cell><cell r="AC1811"><v>21358568</v></cell><cell r="AD1811"><v>720191</v></cell><cell r="AE1811" t="str"><v>Facebook</v></cell><cell r="AF1811"><v>3654128</v></cell><cell r="AG1811" t="str"><v>Facebook»Audience & Interest Targeting»1x1»TextLink»OTH»DT»DYN»AUT»W»NA»SS»NA»Free Account Refresh- 12 months ChE</v></cell><cell r="AH1811"><v>224160783</v></cell><cell r="AI1811" t="str"><v>AzurePlatform_FreeAcctAppsFACEBOOK12monthsChE_AUS_1200x628_SOC_PLAT_EN_Trial_Standard_NA_SNU_T5_1</v></cell><cell r="AJ1811"><v>103051614</v></cell></row><row r="1812"><cell r="C1812" t="str"><v>43295Facebook»Audience & Interest Targeting»1x1»TextLink»OTH»DT»DYN»AUT»W»NA»SS»NA»Free Account Refresh- 200 Credit ChD</v></cell><cell r="D1812" t="str"><v>43295224160780</v></cell><cell r="E1812" t="str"><v>43295103186904it ChD</v></cell><cell r="F1812" t="str"><v>DCM</v></cell></row><row r="1812"><cell r="K1812" t="str"><v>July</v></cell><cell r="L1812"><v>43295</v></cell><cell r="M1812" t="str"><v>Tier 1</v></cell><cell r="N1812" t="str"><v>APAC</v></cell><cell r="O1812" t="str"><v>Australia</v></cell><cell r="P1812" t="str"><v>Trial</v></cell><cell r="Q1812" t="str"><v>Social</v></cell><cell r="R1812" t="str"><v>Azure</v></cell><cell r="S1812" t="str"><v>Apps & Infra</v></cell><cell r="T1812" t="str"><v>Developers & ITI's</v></cell><cell r="U1812" t="str"><v>Audience & Interest Targeting</v></cell><cell r="V1812" t="str"><v>Audience Targeting</v></cell><cell r="W1812" t="str"><v>Other</v></cell><cell r="X1812" t="str"><v>1x1</v></cell></row><row r="1812"><cell r="AA1812"><v>43295</v></cell><cell r="AB1812" t="str"><v>AUS_gaPMG_AZR_AZR_Q1_19_Trial-Social</v></cell><cell r="AC1812"><v>21358568</v></cell><cell r="AD1812"><v>720191</v></cell><cell r="AE1812" t="str"><v>Facebook</v></cell><cell r="AF1812"><v>3654128</v></cell><cell r="AG1812" t="str"><v>Facebook»Audience & Interest Targeting»1x1»TextLink»OTH»DT»DYN»AUT»W»NA»SS»NA»Free Account Refresh- 200 Credit ChD</v></cell><cell r="AH1812"><v>224160780</v></cell><cell r="AI1812" t="str"><v>AzurePlatform_FreeAcctAppsFACEBOOK200CreditChD_AUS_1200x628_SOC_PLAT_EN_Trial_Standard_NA_SNU_T4_1</v></cell><cell r="AJ1812"><v>103186904</v></cell></row><row r="1813"><cell r="C1813" t="str"><v>43295Facebook»Audience & Interest Targeting»1x1»TextLink»OTH»DT»DYN»AUT»W»NA»SS»NA»Free Account Refresh- Device ChB</v></cell><cell r="D1813" t="str"><v>43295224160777</v></cell><cell r="E1813" t="str"><v>43295103048479ce ChB</v></cell><cell r="F1813" t="str"><v>DCM</v></cell></row><row r="1813"><cell r="K1813" t="str"><v>July</v></cell><cell r="L1813"><v>43295</v></cell><cell r="M1813" t="str"><v>Tier 1</v></cell><cell r="N1813" t="str"><v>APAC</v></cell><cell r="O1813" t="str"><v>Australia</v></cell><cell r="P1813" t="str"><v>Trial</v></cell><cell r="Q1813" t="str"><v>Social</v></cell><cell r="R1813" t="str"><v>Azure</v></cell><cell r="S1813" t="str"><v>Apps & Infra</v></cell><cell r="T1813" t="str"><v>Developers & ITI's</v></cell><cell r="U1813" t="str"><v>Audience & Interest Targeting</v></cell><cell r="V1813" t="str"><v>Audience Targeting</v></cell><cell r="W1813" t="str"><v>Other</v></cell><cell r="X1813" t="str"><v>1x1</v></cell></row><row r="1813"><cell r="AA1813"><v>43295</v></cell><cell r="AB1813" t="str"><v>AUS_gaPMG_AZR_AZR_Q1_19_Trial-Social</v></cell><cell r="AC1813"><v>21358568</v></cell><cell r="AD1813"><v>720191</v></cell><cell r="AE1813" t="str"><v>Facebook</v></cell><cell r="AF1813"><v>3654128</v></cell><cell r="AG1813" t="str"><v>Facebook»Audience & Interest Targeting»1x1»TextLink»OTH»DT»DYN»AUT»W»NA»SS»NA»Free Account Refresh- Device ChB</v></cell><cell r="AH1813"><v>224160777</v></cell><cell r="AI1813" t="str"><v>AzurePlatform_FreeAcctAppsFACEBOOKDeviceChB_AUS_1200x628_SOC_PLAT_EN_Trial_Standard_NA_SNU_T2_1</v></cell><cell r="AJ1813"><v>103048479</v></cell></row><row r="1814"><cell r="C1814" t="str"><v>43295Facebook»Audience & Interest Targeting»1x1»TextLink»OTH»DT»DYN»AUT»W»NA»SS»NA»Free Account Refresh- Illustration ChC</v></cell><cell r="D1814" t="str"><v>43295224160774</v></cell><cell r="E1814" t="str"><v>43295103186910on ChC</v></cell><cell r="F1814" t="str"><v>DCM</v></cell></row><row r="1814"><cell r="K1814" t="str"><v>July</v></cell><cell r="L1814"><v>43295</v></cell><cell r="M1814" t="str"><v>Tier 1</v></cell><cell r="N1814" t="str"><v>APAC</v></cell><cell r="O1814" t="str"><v>Australia</v></cell><cell r="P1814" t="str"><v>Trial</v></cell><cell r="Q1814" t="str"><v>Social</v></cell><cell r="R1814" t="str"><v>Azure</v></cell><cell r="S1814" t="str"><v>Apps & Infra</v></cell><cell r="T1814" t="str"><v>Developers & ITI's</v></cell><cell r="U1814" t="str"><v>Audience & Interest Targeting</v></cell><cell r="V1814" t="str"><v>Audience Targeting</v></cell><cell r="W1814" t="str"><v>Other</v></cell><cell r="X1814" t="str"><v>1x1</v></cell></row><row r="1814"><cell r="AA1814"><v>43295</v></cell><cell r="AB1814" t="str"><v>AUS_gaPMG_AZR_AZR_Q1_19_Trial-Social</v></cell><cell r="AC1814"><v>21358568</v></cell><cell r="AD1814"><v>720191</v></cell><cell r="AE1814" t="str"><v>Facebook</v></cell><cell r="AF1814"><v>3654128</v></cell><cell r="AG1814" t="str"><v>Facebook»Audience & Interest Targeting»1x1»TextLink»OTH»DT»DYN»AUT»W»NA»SS»NA»Free Account Refresh- Illustration ChC</v></cell><cell r="AH1814"><v>224160774</v></cell><cell r="AI1814" t="str"><v>AzurePlatform_FreeAcctAppsFACEBOOKIllustrationChC_AUS_1200x628_SOC_PLAT_EN_Trial_Standard_NA_SNU_T3_1</v></cell><cell r="AJ1814"><v>103186910</v></cell></row><row r="1815"><cell r="C1815" t="str"><v>43295Facebook»AZR»1x1»NA»EGV»ALL»DYN»AUT»D»All»SS»NA»Free Acc CTC - T1 - EN</v></cell><cell r="D1815" t="str"><v>43295223684451</v></cell><cell r="E1815" t="str"><v>432951029018821 - EN</v></cell><cell r="F1815" t="str"><v>DCM</v></cell><cell r="G1815" t="str"><v>https://signup.azure.com/</v></cell></row><row r="1815"><cell r="K1815" t="str"><v>July</v></cell><cell r="L1815"><v>43295</v></cell><cell r="M1815" t="str"><v>Tier 1</v></cell><cell r="N1815" t="str"><v>North America</v></cell><cell r="O1815" t="str"><v>Canada</v></cell><cell r="P1815" t="str"><v>Trial</v></cell><cell r="Q1815" t="str"><v>Social</v></cell><cell r="R1815" t="str"><v>Azure</v></cell><cell r="S1815" t="str"><v>Apps & Infra</v></cell><cell r="T1815" t="str"><v>Developers & ITI's</v></cell><cell r="U1815" t="str"><v>AZR</v></cell><cell r="V1815" t="str"><v>Audience Targeting</v></cell><cell r="W1815" t="str"><v>Engagement Video</v></cell><cell r="X1815" t="str"><v>1x1</v></cell></row><row r="1815"><cell r="AA1815"><v>43295</v></cell><cell r="AB1815" t="str"><v>CAN_gaPMG_AZR_AZR_Q1_19_Trial-Social</v></cell><cell r="AC1815"><v>21337220</v></cell><cell r="AD1815"><v>720192</v></cell><cell r="AE1815" t="str"><v>Facebook</v></cell><cell r="AF1815"><v>3654128</v></cell><cell r="AG1815" t="str"><v>Facebook»AZR»1x1»NA»EGV»ALL»DYN»AUT»D»All»SS»NA»Free Acc CTC - T1 - EN</v></cell><cell r="AH1815"><v>223684451</v></cell><cell r="AI1815" t="str"><v>AzurePlatform_FBCTCBasicMotion_CAN_10s_ISV_PLAT_English_Trial_Standard_STAN_TN_T1_1</v></cell><cell r="AJ1815"><v>102901882</v></cell></row><row r="1816"><cell r="C1816" t="str"><v>43295Facebook»AZR»1x1»NA»EGV»ALL»DYN»AUT»D»All»SS»NA»Free Acc CTC - T1 - FR</v></cell><cell r="D1816" t="str"><v>43295223691801</v></cell><cell r="E1816" t="str"><v>432951030533231 - FR</v></cell><cell r="F1816" t="str"><v>DCM</v></cell><cell r="G1816" t="str"><v>https://signup.azure.com/</v></cell></row><row r="1816"><cell r="K1816" t="str"><v>July</v></cell><cell r="L1816"><v>43295</v></cell><cell r="M1816" t="str"><v>Tier 1</v></cell><cell r="N1816" t="str"><v>North America</v></cell><cell r="O1816" t="str"><v>Canada</v></cell><cell r="P1816" t="str"><v>Trial</v></cell><cell r="Q1816" t="str"><v>Social</v></cell><cell r="R1816" t="str"><v>Azure</v></cell><cell r="S1816" t="str"><v>Apps & Infra</v></cell><cell r="T1816" t="str"><v>Developers & ITI's</v></cell><cell r="U1816" t="str"><v>AZR</v></cell><cell r="V1816" t="str"><v>Audience Targeting</v></cell><cell r="W1816" t="str"><v>Engagement Video</v></cell><cell r="X1816" t="str"><v>1x1</v></cell></row><row r="1816"><cell r="AA1816"><v>43295</v></cell><cell r="AB1816" t="str"><v>CAN_gaPMG_AZR_AZR_Q1_19_Trial-Social</v></cell><cell r="AC1816"><v>21337220</v></cell><cell r="AD1816"><v>720192</v></cell><cell r="AE1816" t="str"><v>Facebook</v></cell><cell r="AF1816"><v>3654128</v></cell><cell r="AG1816" t="str"><v>Facebook»AZR»1x1»NA»EGV»ALL»DYN»AUT»D»All»SS»NA»Free Acc CTC - T1 - FR</v></cell><cell r="AH1816"><v>223691801</v></cell><cell r="AI1816" t="str"><v>AzurePlatform_FBCTCBasicMotion_CAN_10s_ISV_PLAT_FR_Trial_Standard_STAN_TN_T1_1</v></cell><cell r="AJ1816"><v>103053323</v></cell></row><row r="1817"><cell r="C1817" t="str"><v>43295Facebook»AZR»1x1»NA»EGV»ALL»DYN»AUT»D»All»SS»NA»Free Acc CTC - T2 - EN</v></cell><cell r="D1817" t="str"><v>43295223691840</v></cell><cell r="E1817" t="str"><v>432951029029502 - EN</v></cell><cell r="F1817" t="str"><v>DCM</v></cell><cell r="G1817" t="str"><v>https://signup.azure.com/</v></cell></row><row r="1817"><cell r="K1817" t="str"><v>July</v></cell><cell r="L1817"><v>43295</v></cell><cell r="M1817" t="str"><v>Tier 1</v></cell><cell r="N1817" t="str"><v>North America</v></cell><cell r="O1817" t="str"><v>Canada</v></cell><cell r="P1817" t="str"><v>Trial</v></cell><cell r="Q1817" t="str"><v>Social</v></cell><cell r="R1817" t="str"><v>Azure</v></cell><cell r="S1817" t="str"><v>Apps & Infra</v></cell><cell r="T1817" t="str"><v>Developers & ITI's</v></cell><cell r="U1817" t="str"><v>AZR</v></cell><cell r="V1817" t="str"><v>Audience Targeting</v></cell><cell r="W1817" t="str"><v>Engagement Video</v></cell><cell r="X1817" t="str"><v>1x1</v></cell></row><row r="1817"><cell r="AA1817"><v>43295</v></cell><cell r="AB1817" t="str"><v>CAN_gaPMG_AZR_AZR_Q1_19_Trial-Social</v></cell><cell r="AC1817"><v>21337220</v></cell><cell r="AD1817"><v>720192</v></cell><cell r="AE1817" t="str"><v>Facebook</v></cell><cell r="AF1817"><v>3654128</v></cell><cell r="AG1817" t="str"><v>Facebook»AZR»1x1»NA»EGV»ALL»DYN»AUT»D»All»SS»NA»Free Acc CTC - T2 - EN</v></cell><cell r="AH1817"><v>223691840</v></cell><cell r="AI1817" t="str"><v>AzurePlatform_FBCTCBrandinMotion_CAN_12s_ISV_PLAT_English_Trial_Standard_STAN_TN_T2_1</v></cell><cell r="AJ1817"><v>102902950</v></cell></row><row r="1818"><cell r="C1818" t="str"><v>43295Facebook»AZR»1x1»NA»EGV»ALL»DYN»AUT»D»All»SS»NA»Free Acc CTC - T2 - FR</v></cell><cell r="D1818" t="str"><v>43295223691798</v></cell><cell r="E1818" t="str"><v>432951029163472 - FR</v></cell><cell r="F1818" t="str"><v>DCM</v></cell><cell r="G1818" t="str"><v>https://signup.azure.com/</v></cell></row><row r="1818"><cell r="K1818" t="str"><v>July</v></cell><cell r="L1818"><v>43295</v></cell><cell r="M1818" t="str"><v>Tier 1</v></cell><cell r="N1818" t="str"><v>North America</v></cell><cell r="O1818" t="str"><v>Canada</v></cell><cell r="P1818" t="str"><v>Trial</v></cell><cell r="Q1818" t="str"><v>Social</v></cell><cell r="R1818" t="str"><v>Azure</v></cell><cell r="S1818" t="str"><v>Apps & Infra</v></cell><cell r="T1818" t="str"><v>Developers & ITI's</v></cell><cell r="U1818" t="str"><v>AZR</v></cell><cell r="V1818" t="str"><v>Audience Targeting</v></cell><cell r="W1818" t="str"><v>Engagement Video</v></cell><cell r="X1818" t="str"><v>1x1</v></cell></row><row r="1818"><cell r="AA1818"><v>43295</v></cell><cell r="AB1818" t="str"><v>CAN_gaPMG_AZR_AZR_Q1_19_Trial-Social</v></cell><cell r="AC1818"><v>21337220</v></cell><cell r="AD1818"><v>720192</v></cell><cell r="AE1818" t="str"><v>Facebook</v></cell><cell r="AF1818"><v>3654128</v></cell><cell r="AG1818" t="str"><v>Facebook»AZR»1x1»NA»EGV»ALL»DYN»AUT»D»All»SS»NA»Free Acc CTC - T2 - FR</v></cell><cell r="AH1818"><v>223691798</v></cell><cell r="AI1818" t="str"><v>AzurePlatform_FBCTCBrandinMotion_CAN_12s_ISV_PLAT_FR_Trial_Standard_STAN_TN_T2_1</v></cell><cell r="AJ1818"><v>102916347</v></cell></row><row r="1819"><cell r="C1819" t="str"><v>43295Facebook»AZR»1x1»NA»EGV»ALL»DYN»AUT»D»All»SS»NA»Free Acc CTC - T4 - EN</v></cell><cell r="D1819" t="str"><v>43295223691837</v></cell><cell r="E1819" t="str"><v>432951030533144 - EN</v></cell><cell r="F1819" t="str"><v>DCM</v></cell><cell r="G1819" t="str"><v>https://signup.azure.com/</v></cell></row><row r="1819"><cell r="K1819" t="str"><v>July</v></cell><cell r="L1819"><v>43295</v></cell><cell r="M1819" t="str"><v>Tier 1</v></cell><cell r="N1819" t="str"><v>North America</v></cell><cell r="O1819" t="str"><v>Canada</v></cell><cell r="P1819" t="str"><v>Trial</v></cell><cell r="Q1819" t="str"><v>Social</v></cell><cell r="R1819" t="str"><v>Azure</v></cell><cell r="S1819" t="str"><v>Apps & Infra</v></cell><cell r="T1819" t="str"><v>Developers & ITI's</v></cell><cell r="U1819" t="str"><v>AZR</v></cell><cell r="V1819" t="str"><v>Audience Targeting</v></cell><cell r="W1819" t="str"><v>Engagement Video</v></cell><cell r="X1819" t="str"><v>1x1</v></cell></row><row r="1819"><cell r="AA1819"><v>43295</v></cell><cell r="AB1819" t="str"><v>CAN_gaPMG_AZR_AZR_Q1_19_Trial-Social</v></cell><cell r="AC1819"><v>21337220</v></cell><cell r="AD1819"><v>720192</v></cell><cell r="AE1819" t="str"><v>Facebook</v></cell><cell r="AF1819"><v>3654128</v></cell><cell r="AG1819" t="str"><v>Facebook»AZR»1x1»NA»EGV»ALL»DYN»AUT»D»All»SS»NA»Free Acc CTC - T4 - EN</v></cell><cell r="AH1819"><v>223691837</v></cell><cell r="AI1819" t="str"><v>AzurePlatform_FBCTCBenefit2inMotion_CAN_14s_ISV_PLAT_English_Trial_Standard_STAN_TN_T4_1</v></cell><cell r="AJ1819"><v>103053314</v></cell></row><row r="1820"><cell r="C1820" t="str"><v>43295Facebook»AZR»1x1»NA»EGV»ALL»DYN»AUT»D»All»SS»NA»Free Acc CTC - T4 - FR</v></cell><cell r="D1820" t="str"><v>43295223691795</v></cell><cell r="E1820" t="str"><v>432951029006884 - FR</v></cell><cell r="F1820" t="str"><v>DCM</v></cell><cell r="G1820" t="str"><v>https://signup.azure.com/</v></cell></row><row r="1820"><cell r="K1820" t="str"><v>July</v></cell><cell r="L1820"><v>43295</v></cell><cell r="M1820" t="str"><v>Tier 1</v></cell><cell r="N1820" t="str"><v>North America</v></cell><cell r="O1820" t="str"><v>Canada</v></cell><cell r="P1820" t="str"><v>Trial</v></cell><cell r="Q1820" t="str"><v>Social</v></cell><cell r="R1820" t="str"><v>Azure</v></cell><cell r="S1820" t="str"><v>Apps & Infra</v></cell><cell r="T1820" t="str"><v>Developers & ITI's</v></cell><cell r="U1820" t="str"><v>AZR</v></cell><cell r="V1820" t="str"><v>Audience Targeting</v></cell><cell r="W1820" t="str"><v>Engagement Video</v></cell><cell r="X1820" t="str"><v>1x1</v></cell></row><row r="1820"><cell r="AA1820"><v>43295</v></cell><cell r="AB1820" t="str"><v>CAN_gaPMG_AZR_AZR_Q1_19_Trial-Social</v></cell><cell r="AC1820"><v>21337220</v></cell><cell r="AD1820"><v>720192</v></cell><cell r="AE1820" t="str"><v>Facebook</v></cell><cell r="AF1820"><v>3654128</v></cell><cell r="AG1820" t="str"><v>Facebook»AZR»1x1»NA»EGV»ALL»DYN»AUT»D»All»SS»NA»Free Acc CTC - T4 - FR</v></cell><cell r="AH1820"><v>223691795</v></cell><cell r="AI1820" t="str"><v>AzurePlatform_FBCTCBenefit2inMotion_CAN_14s_ISV_PLAT_FR_Trial_Standard_STAN_TN_T4_1</v></cell><cell r="AJ1820"><v>102900688</v></cell></row><row r="1821"><cell r="C1821" t="str"><v>43295Facebook»AZR»1x1»SocialBan»NA»ALL»DYN»AUT»D»All»SS»NA»Free Acc Refresh - T1 - EN</v></cell><cell r="D1821" t="str"><v>43295223691804</v></cell><cell r="E1821" t="str"><v>432951030587171 - EN</v></cell><cell r="F1821" t="str"><v>DCM</v></cell><cell r="G1821" t="str"><v>https://azure.microsoft.com/en-CA/free/search/</v></cell></row><row r="1821"><cell r="K1821" t="str"><v>July</v></cell><cell r="L1821"><v>43295</v></cell><cell r="M1821" t="str"><v>Tier 1</v></cell><cell r="N1821" t="str"><v>North America</v></cell><cell r="O1821" t="str"><v>Canada</v></cell><cell r="P1821" t="str"><v>Trial</v></cell><cell r="Q1821" t="str"><v>Social</v></cell><cell r="R1821" t="str"><v>Azure</v></cell><cell r="S1821" t="str"><v>Apps & Infra</v></cell><cell r="T1821" t="str"><v>Developers & ITI's</v></cell><cell r="U1821" t="str"><v>AZR</v></cell><cell r="V1821" t="str"><v>Audience Targeting</v></cell><cell r="W1821" t="str"><v>NotApplicable</v></cell><cell r="X1821" t="str"><v>1x1</v></cell></row><row r="1821"><cell r="AA1821"><v>43295</v></cell><cell r="AB1821" t="str"><v>CAN_gaPMG_AZR_AZR_Q1_19_Trial-Social</v></cell><cell r="AC1821"><v>21337220</v></cell><cell r="AD1821"><v>720192</v></cell><cell r="AE1821" t="str"><v>Facebook</v></cell><cell r="AF1821"><v>3654128</v></cell><cell r="AG1821" t="str"><v>Facebook»AZR»1x1»SocialBan»NA»ALL»DYN»AUT»D»All»SS»NA»Free Acc Refresh - T1 - EN</v></cell><cell r="AH1821"><v>223691804</v></cell><cell r="AI1821" t="str"><v>AzurePlatform_FreeAcctAppsFACEBOOKLifestyleChA_CAN_1200x628_SOC_PLAT_EN_Trial_Standard_NA_SU_T1_1.png</v></cell><cell r="AJ1821"><v>103058717</v></cell></row><row r="1822"><cell r="C1822" t="str"><v>43295Facebook»AZR»1x1»SocialBan»NA»ALL»DYN»AUT»D»All»SS»NA»Free Acc Refresh - T2 - FR</v></cell><cell r="D1822" t="str"><v>43295223691768</v></cell><cell r="E1822" t="str"><v>432951029029712 - FR</v></cell><cell r="F1822" t="str"><v>DCM</v></cell><cell r="G1822" t="str"><v>https://azure.microsoft.com/fr-ca/free/search/</v></cell></row><row r="1822"><cell r="K1822" t="str"><v>July</v></cell><cell r="L1822"><v>43295</v></cell><cell r="M1822" t="str"><v>Tier 1</v></cell><cell r="N1822" t="str"><v>North America</v></cell><cell r="O1822" t="str"><v>Canada</v></cell><cell r="P1822" t="str"><v>Trial</v></cell><cell r="Q1822" t="str"><v>Social</v></cell><cell r="R1822" t="str"><v>Azure</v></cell><cell r="S1822" t="str"><v>Apps & Infra</v></cell><cell r="T1822" t="str"><v>Developers & ITI's</v></cell><cell r="U1822" t="str"><v>AZR</v></cell><cell r="V1822" t="str"><v>Audience Targeting</v></cell><cell r="W1822" t="str"><v>NotApplicable</v></cell><cell r="X1822" t="str"><v>1x1</v></cell></row><row r="1822"><cell r="AA1822"><v>43295</v></cell><cell r="AB1822" t="str"><v>CAN_gaPMG_AZR_AZR_Q1_19_Trial-Social</v></cell><cell r="AC1822"><v>21337220</v></cell><cell r="AD1822"><v>720192</v></cell><cell r="AE1822" t="str"><v>Facebook</v></cell><cell r="AF1822"><v>3654128</v></cell><cell r="AG1822" t="str"><v>Facebook»AZR»1x1»SocialBan»NA»ALL»DYN»AUT»D»All»SS»NA»Free Acc Refresh - T2 - FR</v></cell><cell r="AH1822"><v>223691768</v></cell><cell r="AI1822" t="str"><v>AzurePlatform_FreeAcctAppsFACEBOOKDeviceChB_CAN_1200x628_SOC_PLAT_FR_Trial_Standard_NA_SU_T2_1.png</v></cell><cell r="AJ1822"><v>102902971</v></cell></row><row r="1823"><cell r="C1823" t="str"><v>43295Facebook»AZR»1x1»SocialBan»NA»ALL»DYN»AUT»D»All»SS»NA»Free Acc Refresh - T3 - EN</v></cell><cell r="D1823" t="str"><v>43295223691807</v></cell><cell r="E1823" t="str"><v>432951029006853 - EN</v></cell><cell r="F1823" t="str"><v>DCM</v></cell><cell r="G1823" t="str"><v>https://azure.microsoft.com/en-CA/free/search/</v></cell></row><row r="1823"><cell r="K1823" t="str"><v>July</v></cell><cell r="L1823"><v>43295</v></cell><cell r="M1823" t="str"><v>Tier 1</v></cell><cell r="N1823" t="str"><v>North America</v></cell><cell r="O1823" t="str"><v>Canada</v></cell><cell r="P1823" t="str"><v>Trial</v></cell><cell r="Q1823" t="str"><v>Social</v></cell><cell r="R1823" t="str"><v>Azure</v></cell><cell r="S1823" t="str"><v>Apps & Infra</v></cell><cell r="T1823" t="str"><v>Developers & ITI's</v></cell><cell r="U1823" t="str"><v>AZR</v></cell><cell r="V1823" t="str"><v>Audience Targeting</v></cell><cell r="W1823" t="str"><v>NotApplicable</v></cell><cell r="X1823" t="str"><v>1x1</v></cell></row><row r="1823"><cell r="AA1823"><v>43295</v></cell><cell r="AB1823" t="str"><v>CAN_gaPMG_AZR_AZR_Q1_19_Trial-Social</v></cell><cell r="AC1823"><v>21337220</v></cell><cell r="AD1823"><v>720192</v></cell><cell r="AE1823" t="str"><v>Facebook</v></cell><cell r="AF1823"><v>3654128</v></cell><cell r="AG1823" t="str"><v>Facebook»AZR»1x1»SocialBan»NA»ALL»DYN»AUT»D»All»SS»NA»Free Acc Refresh - T3 - EN</v></cell><cell r="AH1823"><v>223691807</v></cell><cell r="AI1823" t="str"><v>AzurePlatform_FreeAcctAppsFACEBOOKIllustrationChC_CAN_1200x628_SOC_PLAT_EN_Trial_Standard_NA_SU_T3_1.png</v></cell><cell r="AJ1823"><v>102900685</v></cell></row><row r="1824"><cell r="C1824" t="str"><v>43295Facebook»AZR»1x1»SocialBan»NA»ALL»DYN»AUT»D»All»SS»NA»Free Acc Refresh - T4 - EN</v></cell><cell r="D1824" t="str"><v>43295223691813</v></cell><cell r="E1824" t="str"><v>432951030533204 - EN</v></cell><cell r="F1824" t="str"><v>DCM</v></cell><cell r="G1824" t="str"><v>https://azure.microsoft.com/en-CA/free/search/</v></cell></row><row r="1824"><cell r="K1824" t="str"><v>July</v></cell><cell r="L1824"><v>43295</v></cell><cell r="M1824" t="str"><v>Tier 1</v></cell><cell r="N1824" t="str"><v>North America</v></cell><cell r="O1824" t="str"><v>Canada</v></cell><cell r="P1824" t="str"><v>Trial</v></cell><cell r="Q1824" t="str"><v>Social</v></cell><cell r="R1824" t="str"><v>Azure</v></cell><cell r="S1824" t="str"><v>Apps & Infra</v></cell><cell r="T1824" t="str"><v>Developers & ITI's</v></cell><cell r="U1824" t="str"><v>AZR</v></cell><cell r="V1824" t="str"><v>Audience Targeting</v></cell><cell r="W1824" t="str"><v>NotApplicable</v></cell><cell r="X1824" t="str"><v>1x1</v></cell></row><row r="1824"><cell r="AA1824"><v>43295</v></cell><cell r="AB1824" t="str"><v>CAN_gaPMG_AZR_AZR_Q1_19_Trial-Social</v></cell><cell r="AC1824"><v>21337220</v></cell><cell r="AD1824"><v>720192</v></cell><cell r="AE1824" t="str"><v>Facebook</v></cell><cell r="AF1824"><v>3654128</v></cell><cell r="AG1824" t="str"><v>Facebook»AZR»1x1»SocialBan»NA»ALL»DYN»AUT»D»All»SS»NA»Free Acc Refresh - T4 - EN</v></cell><cell r="AH1824"><v>223691813</v></cell><cell r="AI1824" t="str"><v>AzurePlatform_FreeAcctAppsFACEBOOK200CreditChD_CAN_1200x628_SOC_PLAT_EN_Trial_Standard_NA_SU_T4_1.png</v></cell><cell r="AJ1824"><v>103053320</v></cell></row><row r="1825"><cell r="C1825" t="str"><v>43295Facebook»AZR»1x1»SocialBan»NA»ALL»DYN»AUT»D»All»SS»NA»Free Acc Refresh - T5 - EN</v></cell><cell r="D1825" t="str"><v>43295223691816</v></cell><cell r="E1825" t="str"><v>432951029163415 - EN</v></cell><cell r="F1825" t="str"><v>DCM</v></cell><cell r="G1825" t="str"><v>https://azure.microsoft.com/en-CA/free/search/</v></cell></row><row r="1825"><cell r="K1825" t="str"><v>July</v></cell><cell r="L1825"><v>43295</v></cell><cell r="M1825" t="str"><v>Tier 1</v></cell><cell r="N1825" t="str"><v>North America</v></cell><cell r="O1825" t="str"><v>Canada</v></cell><cell r="P1825" t="str"><v>Trial</v></cell><cell r="Q1825" t="str"><v>Social</v></cell><cell r="R1825" t="str"><v>Azure</v></cell><cell r="S1825" t="str"><v>Apps & Infra</v></cell><cell r="T1825" t="str"><v>Developers & ITI's</v></cell><cell r="U1825" t="str"><v>AZR</v></cell><cell r="V1825" t="str"><v>Audience Targeting</v></cell><cell r="W1825" t="str"><v>NotApplicable</v></cell><cell r="X1825" t="str"><v>1x1</v></cell></row><row r="1825"><cell r="AA1825"><v>43295</v></cell><cell r="AB1825" t="str"><v>CAN_gaPMG_AZR_AZR_Q1_19_Trial-Social</v></cell><cell r="AC1825"><v>21337220</v></cell><cell r="AD1825"><v>720192</v></cell><cell r="AE1825" t="str"><v>Facebook</v></cell><cell r="AF1825"><v>3654128</v></cell><cell r="AG1825" t="str"><v>Facebook»AZR»1x1»SocialBan»NA»ALL»DYN»AUT»D»All»SS»NA»Free Acc Refresh - T5 - EN</v></cell><cell r="AH1825"><v>223691816</v></cell><cell r="AI1825" t="str"><v>AzurePlatform_FreeAcctAppsFACEBOOK12monthsChE_CAN_1200x628_SOC_PLAT_EN_Trial_Standard_NA_SU_T5_1.png</v></cell><cell r="AJ1825"><v>102916341</v></cell></row><row r="1826"><cell r="C1826" t="str"><v>43295Facebook»AZR»1x1»SocialBan»NA»ALL»DYN»AUT»D»All»SS»NA»Free Acc Refresh - T5 - FR</v></cell><cell r="D1826" t="str"><v>43295223691774</v></cell><cell r="E1826" t="str"><v>432951029163565 - FR</v></cell><cell r="F1826" t="str"><v>DCM</v></cell><cell r="G1826" t="str"><v>https://azure.microsoft.com/fr-ca/free/search/</v></cell></row><row r="1826"><cell r="K1826" t="str"><v>July</v></cell><cell r="L1826"><v>43295</v></cell><cell r="M1826" t="str"><v>Tier 1</v></cell><cell r="N1826" t="str"><v>North America</v></cell><cell r="O1826" t="str"><v>Canada</v></cell><cell r="P1826" t="str"><v>Trial</v></cell><cell r="Q1826" t="str"><v>Social</v></cell><cell r="R1826" t="str"><v>Azure</v></cell><cell r="S1826" t="str"><v>Apps & Infra</v></cell><cell r="T1826" t="str"><v>Developers & ITI's</v></cell><cell r="U1826" t="str"><v>AZR</v></cell><cell r="V1826" t="str"><v>Audience Targeting</v></cell><cell r="W1826" t="str"><v>NotApplicable</v></cell><cell r="X1826" t="str"><v>1x1</v></cell></row><row r="1826"><cell r="AA1826"><v>43295</v></cell><cell r="AB1826" t="str"><v>CAN_gaPMG_AZR_AZR_Q1_19_Trial-Social</v></cell><cell r="AC1826"><v>21337220</v></cell><cell r="AD1826"><v>720192</v></cell><cell r="AE1826" t="str"><v>Facebook</v></cell><cell r="AF1826"><v>3654128</v></cell><cell r="AG1826" t="str"><v>Facebook»AZR»1x1»SocialBan»NA»ALL»DYN»AUT»D»All»SS»NA»Free Acc Refresh - T5 - FR</v></cell><cell r="AH1826"><v>223691774</v></cell><cell r="AI1826" t="str"><v>AzurePlatform_FreeAcctAppsFACEBOOK12monthsChE_CAN_1200x628_SOC_PLAT_FR_Trial_Standard_NA_SU_T5_1.png</v></cell><cell r="AJ1826"><v>102916356</v></cell></row><row r="1827"><cell r="C1827" t="str"><v>43295Facebook»AZR»1x1»SocialBan»NA»ALL»DYN»RT»D»All»SS»NA» Free Account Retargeting OSS - T1 - EN</v></cell><cell r="D1827" t="str"><v>43295223691828</v></cell><cell r="E1827" t="str"><v>432951029029561 - EN</v></cell><cell r="F1827" t="str"><v>DCM</v></cell><cell r="G1827" t="str"><v>https://azure.microsoft.com/en-ca/free/open-source/search/</v></cell></row><row r="1827"><cell r="K1827" t="str"><v>July</v></cell><cell r="L1827"><v>43295</v></cell><cell r="M1827" t="str"><v>Tier 1</v></cell><cell r="N1827" t="str"><v>North America</v></cell><cell r="O1827" t="str"><v>Canada</v></cell><cell r="P1827" t="str"><v>Trial</v></cell><cell r="Q1827" t="str"><v>Social</v></cell><cell r="R1827" t="str"><v>Azure</v></cell><cell r="S1827" t="str"><v>Apps & Infra</v></cell><cell r="T1827" t="str"><v>Developers & ITI's</v></cell><cell r="U1827" t="str"><v>AZR</v></cell><cell r="V1827" t="str"><v>Retargeting</v></cell><cell r="W1827" t="str"><v>NotApplicable</v></cell><cell r="X1827" t="str"><v>1x1</v></cell></row><row r="1827"><cell r="AA1827"><v>43295</v></cell><cell r="AB1827" t="str"><v>CAN_gaPMG_AZR_AZR_Q1_19_Trial-Social</v></cell><cell r="AC1827"><v>21337220</v></cell><cell r="AD1827"><v>720192</v></cell><cell r="AE1827" t="str"><v>Facebook</v></cell><cell r="AF1827"><v>3654128</v></cell><cell r="AG1827" t="str"><v>Facebook»AZR»1x1»SocialBan»NA»ALL»DYN»RT»D»All»SS»NA» Free Account Retargeting OSS - T1 - EN</v></cell><cell r="AH1827"><v>223691828</v></cell><cell r="AI1827" t="str"><v>AzurePlatform_FreeAcctRetargetingOSSFB-Text-ChF_CAN_1200x628_SOC_Plat_EN_Free Account_Standard_NA_SU_T1_1</v></cell><cell r="AJ1827"><v>102902956</v></cell></row><row r="1828"><cell r="C1828" t="str"><v>43295Facebook»AZR»1x1»SocialBan»NA»ALL»DYN»RT»D»All»SS»NA» Free Account Retargeting OSS - T1 - FR</v></cell><cell r="D1828" t="str"><v>43295223691786</v></cell><cell r="E1828" t="str"><v>432951030587201 - FR</v></cell><cell r="F1828" t="str"><v>DCM</v></cell><cell r="G1828" t="str"><v>https://azure.microsoft.com/fr-ca/free/open-source/search/</v></cell></row><row r="1828"><cell r="K1828" t="str"><v>July</v></cell><cell r="L1828"><v>43295</v></cell><cell r="M1828" t="str"><v>Tier 1</v></cell><cell r="N1828" t="str"><v>North America</v></cell><cell r="O1828" t="str"><v>Canada</v></cell><cell r="P1828" t="str"><v>Trial</v></cell><cell r="Q1828" t="str"><v>Social</v></cell><cell r="R1828" t="str"><v>Azure</v></cell><cell r="S1828" t="str"><v>Apps & Infra</v></cell><cell r="T1828" t="str"><v>Developers & ITI's</v></cell><cell r="U1828" t="str"><v>AZR</v></cell><cell r="V1828" t="str"><v>Retargeting</v></cell><cell r="W1828" t="str"><v>NotApplicable</v></cell><cell r="X1828" t="str"><v>1x1</v></cell></row><row r="1828"><cell r="AA1828"><v>43295</v></cell><cell r="AB1828" t="str"><v>CAN_gaPMG_AZR_AZR_Q1_19_Trial-Social</v></cell><cell r="AC1828"><v>21337220</v></cell><cell r="AD1828"><v>720192</v></cell><cell r="AE1828" t="str"><v>Facebook</v></cell><cell r="AF1828"><v>3654128</v></cell><cell r="AG1828" t="str"><v>Facebook»AZR»1x1»SocialBan»NA»ALL»DYN»RT»D»All»SS»NA» Free Account Retargeting OSS - T1 - FR</v></cell><cell r="AH1828"><v>223691786</v></cell><cell r="AI1828" t="str"><v>AzurePlatform_FreeAcctRetargetingOSSFB-Text-ChF_CAN_1200x628_SOC_Plat_FR_Free Account_Standard_NA_SU_T1_1</v></cell><cell r="AJ1828"><v>103058720</v></cell></row><row r="1829"><cell r="C1829" t="str"><v>43295Facebook»AZR»1x1»SocialBan»NA»ALL»DYN»RT»D»All»SS»NA» Free Account Retargeting OSS - T2 - EN</v></cell><cell r="D1829" t="str"><v>43295223691831</v></cell><cell r="E1829" t="str"><v>432951029138002 - EN</v></cell><cell r="F1829" t="str"><v>DCM</v></cell><cell r="G1829" t="str"><v>https://azure.microsoft.com/en-ca/free/open-source/search/</v></cell></row><row r="1829"><cell r="K1829" t="str"><v>July</v></cell><cell r="L1829"><v>43295</v></cell><cell r="M1829" t="str"><v>Tier 1</v></cell><cell r="N1829" t="str"><v>North America</v></cell><cell r="O1829" t="str"><v>Canada</v></cell><cell r="P1829" t="str"><v>Trial</v></cell><cell r="Q1829" t="str"><v>Social</v></cell><cell r="R1829" t="str"><v>Azure</v></cell><cell r="S1829" t="str"><v>Apps & Infra</v></cell><cell r="T1829" t="str"><v>Developers & ITI's</v></cell><cell r="U1829" t="str"><v>AZR</v></cell><cell r="V1829" t="str"><v>Retargeting</v></cell><cell r="W1829" t="str"><v>NotApplicable</v></cell><cell r="X1829" t="str"><v>1x1</v></cell></row><row r="1829"><cell r="AA1829"><v>43295</v></cell><cell r="AB1829" t="str"><v>CAN_gaPMG_AZR_AZR_Q1_19_Trial-Social</v></cell><cell r="AC1829"><v>21337220</v></cell><cell r="AD1829"><v>720192</v></cell><cell r="AE1829" t="str"><v>Facebook</v></cell><cell r="AF1829"><v>3654128</v></cell><cell r="AG1829" t="str"><v>Facebook»AZR»1x1»SocialBan»NA»ALL»DYN»RT»D»All»SS»NA» Free Account Retargeting OSS - T2 - EN</v></cell><cell r="AH1829"><v>223691831</v></cell><cell r="AI1829" t="str"><v>AzurePlatform_FreeAcctRetargetingOSSFB-Logos-ChG_CAN_1200x628_SOC_Plat_EN_Free Account_Standard_NA_SU_T2_1</v></cell><cell r="AJ1829"><v>102913800</v></cell></row><row r="1830"><cell r="C1830" t="str"><v>43295Facebook»AZR»1x1»SocialBan»NA»ALL»DYN»RT»D»All»SS»NA»Free Account Retargeting Generic - T2 - EN</v></cell><cell r="D1830" t="str"><v>43295223691834</v></cell><cell r="E1830" t="str"><v>432951029029532 - EN</v></cell><cell r="F1830" t="str"><v>DCM</v></cell><cell r="G1830" t="str"><v>https://azure.microsoft.com/en-CA/free/search/</v></cell></row><row r="1830"><cell r="K1830" t="str"><v>July</v></cell><cell r="L1830"><v>43295</v></cell><cell r="M1830" t="str"><v>Tier 1</v></cell><cell r="N1830" t="str"><v>North America</v></cell><cell r="O1830" t="str"><v>Canada</v></cell><cell r="P1830" t="str"><v>Trial</v></cell><cell r="Q1830" t="str"><v>Social</v></cell><cell r="R1830" t="str"><v>Azure</v></cell><cell r="S1830" t="str"><v>Apps & Infra</v></cell><cell r="T1830" t="str"><v>Developers & ITI's</v></cell><cell r="U1830" t="str"><v>AZR</v></cell><cell r="V1830" t="str"><v>Retargeting</v></cell><cell r="W1830" t="str"><v>NotApplicable</v></cell><cell r="X1830" t="str"><v>1x1</v></cell></row><row r="1830"><cell r="AA1830"><v>43295</v></cell><cell r="AB1830" t="str"><v>CAN_gaPMG_AZR_AZR_Q1_19_Trial-Social</v></cell><cell r="AC1830"><v>21337220</v></cell><cell r="AD1830"><v>720192</v></cell><cell r="AE1830" t="str"><v>Facebook</v></cell><cell r="AF1830"><v>3654128</v></cell><cell r="AG1830" t="str"><v>Facebook»AZR»1x1»SocialBan»NA»ALL»DYN»RT»D»All»SS»NA»Free Account Retargeting Generic - T2 - EN</v></cell><cell r="AH1830"><v>223691834</v></cell><cell r="AI1830" t="str"><v>AzurePlatform_FreeAcctRetargetingFB-GlobalAlt-ChB_CAN_1200x628_SOC_Plat_EN_Free Account_Standard_NA_SU_T2_1</v></cell><cell r="AJ1830"><v>102902953</v></cell></row><row r="1831"><cell r="C1831" t="str"><v>43295Facebook»AZR»1x1»SocialBan»NA»ALL»DYN»RT»D»All»SS»NA»Free Account Retargeting Generic - T3 - EN</v></cell><cell r="D1831" t="str"><v>43295223691819</v></cell><cell r="E1831" t="str"><v>432951029006823 - EN</v></cell><cell r="F1831" t="str"><v>DCM</v></cell><cell r="G1831" t="str"><v>https://azure.microsoft.com/en-CA/free/search/</v></cell></row><row r="1831"><cell r="K1831" t="str"><v>July</v></cell><cell r="L1831"><v>43295</v></cell><cell r="M1831" t="str"><v>Tier 1</v></cell><cell r="N1831" t="str"><v>North America</v></cell><cell r="O1831" t="str"><v>Canada</v></cell><cell r="P1831" t="str"><v>Trial</v></cell><cell r="Q1831" t="str"><v>Social</v></cell><cell r="R1831" t="str"><v>Azure</v></cell><cell r="S1831" t="str"><v>Apps & Infra</v></cell><cell r="T1831" t="str"><v>Developers & ITI's</v></cell><cell r="U1831" t="str"><v>AZR</v></cell><cell r="V1831" t="str"><v>Retargeting</v></cell><cell r="W1831" t="str"><v>NotApplicable</v></cell><cell r="X1831" t="str"><v>1x1</v></cell></row><row r="1831"><cell r="AA1831"><v>43295</v></cell><cell r="AB1831" t="str"><v>CAN_gaPMG_AZR_AZR_Q1_19_Trial-Social</v></cell><cell r="AC1831"><v>21337220</v></cell><cell r="AD1831"><v>720192</v></cell><cell r="AE1831" t="str"><v>Facebook</v></cell><cell r="AF1831"><v>3654128</v></cell><cell r="AG1831" t="str"><v>Facebook»AZR»1x1»SocialBan»NA»ALL»DYN»RT»D»All»SS»NA»Free Account Retargeting Generic - T3 - EN</v></cell><cell r="AH1831"><v>223691819</v></cell><cell r="AI1831" t="str"><v>AzurePlatform_FreeAcctRetargetingFB-Animated-ChC_CAN_1200x628_SOC_Plat_EN_Free Account_Standard_ANI_SU_T3_1</v></cell><cell r="AJ1831"><v>102900682</v></cell></row><row r="1832"><cell r="C1832" t="str"><v>43295Facebook»AZR»1x1»SocialBan»NA»ALL»DYN»RT»D»All»SS»NA»Free Account Retargeting Generic - T3 - FR</v></cell><cell r="D1832" t="str"><v>43295223691777</v></cell><cell r="E1832" t="str"><v>432951029006973 - FR</v></cell><cell r="F1832" t="str"><v>DCM</v></cell><cell r="G1832" t="str"><v>https://azure.microsoft.com/fr-ca/free/search/</v></cell></row><row r="1832"><cell r="K1832" t="str"><v>July</v></cell><cell r="L1832"><v>43295</v></cell><cell r="M1832" t="str"><v>Tier 1</v></cell><cell r="N1832" t="str"><v>North America</v></cell><cell r="O1832" t="str"><v>Canada</v></cell><cell r="P1832" t="str"><v>Trial</v></cell><cell r="Q1832" t="str"><v>Social</v></cell><cell r="R1832" t="str"><v>Azure</v></cell><cell r="S1832" t="str"><v>Apps & Infra</v></cell><cell r="T1832" t="str"><v>Developers & ITI's</v></cell><cell r="U1832" t="str"><v>AZR</v></cell><cell r="V1832" t="str"><v>Retargeting</v></cell><cell r="W1832" t="str"><v>NotApplicable</v></cell><cell r="X1832" t="str"><v>1x1</v></cell></row><row r="1832"><cell r="AA1832"><v>43295</v></cell><cell r="AB1832" t="str"><v>CAN_gaPMG_AZR_AZR_Q1_19_Trial-Social</v></cell><cell r="AC1832"><v>21337220</v></cell><cell r="AD1832"><v>720192</v></cell><cell r="AE1832" t="str"><v>Facebook</v></cell><cell r="AF1832"><v>3654128</v></cell><cell r="AG1832" t="str"><v>Facebook»AZR»1x1»SocialBan»NA»ALL»DYN»RT»D»All»SS»NA»Free Account Retargeting Generic - T3 - FR</v></cell><cell r="AH1832"><v>223691777</v></cell><cell r="AI1832" t="str"><v>AzurePlatform_FreeAcctRetargetingFB-Animated-ChC_CAN_1200x628_SOC_Plat_FR_Free Account_Standard_ANI_SU_T3_1</v></cell><cell r="AJ1832"><v>102900697</v></cell></row><row r="1833"><cell r="C1833" t="str"><v>43295Facebook»AZR»1x1»SocialBan»NA»ALL»DYN»RT»D»All»SS»NA»Free Account Retargeting VM - T1 - EN</v></cell><cell r="D1833" t="str"><v>43295223691825</v></cell><cell r="E1833" t="str"><v>432951029163381 - EN</v></cell><cell r="F1833" t="str"><v>DCM</v></cell><cell r="G1833" t="str"><v>https://azure.microsoft.com/en-ca/free/virtual-machines/search/</v></cell></row><row r="1833"><cell r="K1833" t="str"><v>July</v></cell><cell r="L1833"><v>43295</v></cell><cell r="M1833" t="str"><v>Tier 1</v></cell><cell r="N1833" t="str"><v>North America</v></cell><cell r="O1833" t="str"><v>Canada</v></cell><cell r="P1833" t="str"><v>Trial</v></cell><cell r="Q1833" t="str"><v>Social</v></cell><cell r="R1833" t="str"><v>Azure</v></cell><cell r="S1833" t="str"><v>Apps & Infra</v></cell><cell r="T1833" t="str"><v>Developers & ITI's</v></cell><cell r="U1833" t="str"><v>AZR</v></cell><cell r="V1833" t="str"><v>Retargeting</v></cell><cell r="W1833" t="str"><v>NotApplicable</v></cell><cell r="X1833" t="str"><v>1x1</v></cell></row><row r="1833"><cell r="AA1833"><v>43295</v></cell><cell r="AB1833" t="str"><v>CAN_gaPMG_AZR_AZR_Q1_19_Trial-Social</v></cell><cell r="AC1833"><v>21337220</v></cell><cell r="AD1833"><v>720192</v></cell><cell r="AE1833" t="str"><v>Facebook</v></cell><cell r="AF1833"><v>3654128</v></cell><cell r="AG1833" t="str"><v>Facebook»AZR»1x1»SocialBan»NA»ALL»DYN»RT»D»All»SS»NA»Free Account Retargeting VM - T1 - EN</v></cell><cell r="AH1833"><v>223691825</v></cell><cell r="AI1833" t="str"><v>AzurePlatform_FreeAcctRetargetingVMFB-750Hrs-ChD_CAN_1200x628_SOC_Plat_EN_Free Account_Standard_NA_SU_T1_1</v></cell><cell r="AJ1833"><v>102916338</v></cell></row><row r="1834"><cell r="C1834" t="str"><v>43295Facebook»AZR»1x1»SocialBan»NA»ALL»DYN»RT»D»All»SS»NA»Free Account Retargeting VM - T2 - EN</v></cell><cell r="D1834" t="str"><v>43295223691822</v></cell><cell r="E1834" t="str"><v>432951030587082 - EN</v></cell><cell r="F1834" t="str"><v>DCM</v></cell><cell r="G1834" t="str"><v>https://azure.microsoft.com/en-ca/free/virtual-machines/search/</v></cell></row><row r="1834"><cell r="K1834" t="str"><v>July</v></cell><cell r="L1834"><v>43295</v></cell><cell r="M1834" t="str"><v>Tier 1</v></cell><cell r="N1834" t="str"><v>North America</v></cell><cell r="O1834" t="str"><v>Canada</v></cell><cell r="P1834" t="str"><v>Trial</v></cell><cell r="Q1834" t="str"><v>Social</v></cell><cell r="R1834" t="str"><v>Azure</v></cell><cell r="S1834" t="str"><v>Apps & Infra</v></cell><cell r="T1834" t="str"><v>Developers & ITI's</v></cell><cell r="U1834" t="str"><v>AZR</v></cell><cell r="V1834" t="str"><v>Retargeting</v></cell><cell r="W1834" t="str"><v>NotApplicable</v></cell><cell r="X1834" t="str"><v>1x1</v></cell></row><row r="1834"><cell r="AA1834"><v>43295</v></cell><cell r="AB1834" t="str"><v>CAN_gaPMG_AZR_AZR_Q1_19_Trial-Social</v></cell><cell r="AC1834"><v>21337220</v></cell><cell r="AD1834"><v>720192</v></cell><cell r="AE1834" t="str"><v>Facebook</v></cell><cell r="AF1834"><v>3654128</v></cell><cell r="AG1834" t="str"><v>Facebook»AZR»1x1»SocialBan»NA»ALL»DYN»RT»D»All»SS»NA»Free Account Retargeting VM - T2 - EN</v></cell><cell r="AH1834"><v>223691822</v></cell><cell r="AI1834" t="str"><v>AzurePlatform_FreeAcctRetargetingVMFB-OnDemand-ChE_CAN_1200x628_SOC_Plat_EN_Free Account_Standard_NA_SU_T2_1</v></cell><cell r="AJ1834"><v>103058708</v></cell></row><row r="1835"><cell r="C1835" t="str"><v>43295Facebook»AZR»1x1»SocialBan»NA»ALL»DYN»RT»D»All»SS»NA»Free Account Retargeting VM - T2 - FR</v></cell><cell r="D1835" t="str"><v>43295223691780</v></cell><cell r="E1835" t="str"><v>432951030587262 - FR</v></cell><cell r="F1835" t="str"><v>DCM</v></cell><cell r="G1835" t="str"><v>https://azure.microsoft.com/fr-ca/free/virtual-machines/search/</v></cell></row><row r="1835"><cell r="K1835" t="str"><v>July</v></cell><cell r="L1835"><v>43295</v></cell><cell r="M1835" t="str"><v>Tier 1</v></cell><cell r="N1835" t="str"><v>North America</v></cell><cell r="O1835" t="str"><v>Canada</v></cell><cell r="P1835" t="str"><v>Trial</v></cell><cell r="Q1835" t="str"><v>Social</v></cell><cell r="R1835" t="str"><v>Azure</v></cell><cell r="S1835" t="str"><v>Apps & Infra</v></cell><cell r="T1835" t="str"><v>Developers & ITI's</v></cell><cell r="U1835" t="str"><v>AZR</v></cell><cell r="V1835" t="str"><v>Retargeting</v></cell><cell r="W1835" t="str"><v>NotApplicable</v></cell><cell r="X1835" t="str"><v>1x1</v></cell></row><row r="1835"><cell r="AA1835"><v>43295</v></cell><cell r="AB1835" t="str"><v>CAN_gaPMG_AZR_AZR_Q1_19_Trial-Social</v></cell><cell r="AC1835"><v>21337220</v></cell><cell r="AD1835"><v>720192</v></cell><cell r="AE1835" t="str"><v>Facebook</v></cell><cell r="AF1835"><v>3654128</v></cell><cell r="AG1835" t="str"><v>Facebook»AZR»1x1»SocialBan»NA»ALL»DYN»RT»D»All»SS»NA»Free Account Retargeting VM - T2 - FR</v></cell><cell r="AH1835"><v>223691780</v></cell><cell r="AI1835" t="str"><v>AzurePlatform_FreeAcctRetargetingVMFB-OnDemand-ChE_CAN_1200x628_SOC_Plat_FR_Free Account_Standard_NA_SU_T2_1</v></cell><cell r="AJ1835"><v>103058726</v></cell></row><row r="1836"><cell r="C1836" t="str"><v>43295Facebook»DEV-ITP-AZR-FB|CanvasAds|Interesttargeting»1x1»TextLink»CAN»DT»CPM»AUT»W»NA»SS»NA»39684020-11000</v></cell><cell r="D1836" t="str"><v>43295224009494</v></cell><cell r="E1836" t="str"><v>43295103236186-11000</v></cell><cell r="F1836" t="str"><v>DCM</v></cell><cell r="G1836" t="str"><v>https://signup.azure.com/signup?offer=ms-azr-0044p&appId=102&ref=paidmedia-social-fb&redirectURL=https%3a%2f%2fazure.microsoft.com%2fde-de%2fget-started%2fwelcome-to-azure%2f&l=de-de&correlationId=ead86c34-1f10-49dd-a72b-6918462a2cbf</v></cell></row><row r="1836"><cell r="K1836" t="str"><v>July</v></cell><cell r="L1836"><v>43295</v></cell><cell r="M1836" t="str"><v>Tier 1</v></cell><cell r="N1836" t="str"><v>EMEA</v></cell><cell r="O1836" t="str"><v>Germany</v></cell><cell r="P1836" t="str"><v>Trial</v></cell><cell r="Q1836" t="str"><v>Social</v></cell><cell r="R1836" t="str"><v>Azure</v></cell><cell r="S1836" t="str"><v>Apps & Infra</v></cell><cell r="T1836" t="str"><v>Developers & ITI's</v></cell><cell r="U1836" t="str"><v>DEV-ITP-AZR-FB|CanvasAds|Interesttargeting</v></cell><cell r="V1836" t="str"><v>Audience Targeting</v></cell><cell r="W1836" t="str"><v>Canvas Ad</v></cell><cell r="X1836" t="str"><v>1x1</v></cell></row><row r="1836"><cell r="AA1836"><v>43295</v></cell><cell r="AB1836" t="str"><v>DEU_gaPMG_AZR_AZR_Q1_19_Trial-Social- 39684</v></cell><cell r="AC1836"><v>21359477</v></cell><cell r="AD1836"><v>720194</v></cell><cell r="AE1836" t="str"><v>Facebook</v></cell><cell r="AF1836"><v>3654128</v></cell><cell r="AG1836" t="str"><v>Facebook»DEV-ITP-AZR-FB|CanvasAds|Interesttargeting»1x1»TextLink»CAN»DT»CPM»AUT»W»NA»SS»NA»39684020-11000</v></cell><cell r="AH1836"><v>224009494</v></cell><cell r="AI1836" t="str"><v>AzurePlatform_FBCTCBasicMotion-StartFreeCT_DEU_10s_ISV_PLAT_DE_Trial_Standard_STAN_TN_T1_1</v></cell><cell r="AJ1836"><v>103236186</v></cell></row><row r="1837"><cell r="C1837" t="str"><v>43295Facebook»DEV-ITP-AZR-FB|CanvasAds|Interesttargeting»1x1»TextLink»CAN»DT»CPM»AUT»W»NA»SS»NA»39684020-11000</v></cell><cell r="D1837" t="str"><v>43295224009494</v></cell><cell r="E1837" t="str"><v>43295103236189-11000</v></cell><cell r="F1837" t="str"><v>DCM</v></cell><cell r="G1837" t="str"><v>https://azure.microsoft.com/de-de/pricing/purchase-options/</v></cell></row><row r="1837"><cell r="K1837" t="str"><v>July</v></cell><cell r="L1837"><v>43295</v></cell><cell r="M1837" t="str"><v>Tier 1</v></cell><cell r="N1837" t="str"><v>EMEA</v></cell><cell r="O1837" t="str"><v>Germany</v></cell><cell r="P1837" t="str"><v>Trial</v></cell><cell r="Q1837" t="str"><v>Social</v></cell><cell r="R1837" t="str"><v>Azure</v></cell><cell r="S1837" t="str"><v>Apps & Infra</v></cell><cell r="T1837" t="str"><v>Developers & ITI's</v></cell><cell r="U1837" t="str"><v>DEV-ITP-AZR-FB|CanvasAds|Interesttargeting</v></cell><cell r="V1837" t="str"><v>Audience Targeting</v></cell><cell r="W1837" t="str"><v>Canvas Ad</v></cell><cell r="X1837" t="str"><v>1x1</v></cell></row><row r="1837"><cell r="AA1837"><v>43295</v></cell><cell r="AB1837" t="str"><v>DEU_gaPMG_AZR_AZR_Q1_19_Trial-Social- 39684</v></cell><cell r="AC1837"><v>21359477</v></cell><cell r="AD1837"><v>720194</v></cell><cell r="AE1837" t="str"><v>Facebook</v></cell><cell r="AF1837"><v>3654128</v></cell><cell r="AG1837" t="str"><v>Facebook»DEV-ITP-AZR-FB|CanvasAds|Interesttargeting»1x1»TextLink»CAN»DT»CPM»AUT»W»NA»SS»NA»39684020-11000</v></cell><cell r="AH1837"><v>224009494</v></cell><cell r="AI1837" t="str"><v>AzurePlatform_FBCTCBenefit2inMotion-BuyNow_DEU_14s_ISV_PLAT_DE_Trial_Standard_STAN_TN_T4_1</v></cell><cell r="AJ1837"><v>103236189</v></cell></row><row r="1838"><cell r="C1838" t="str"><v>43295Facebook»DEV-ITP-AZR-FB|CanvasAds|Interesttargeting»1x1»TextLink»CAN»DT»CPM»AUT»W»NA»SS»NA»39684020-11000</v></cell><cell r="D1838" t="str"><v>43295224009494</v></cell><cell r="E1838" t="str"><v>43295103237290-11000</v></cell><cell r="F1838" t="str"><v>DCM</v></cell><cell r="G1838" t="str"><v>https://signup.azure.com/signup?offer=ms-azr-0044p&appId=102&ref=paidmedia-social-fb&redirectURL=https%3a%2f%2fazure.microsoft.com%2fde-de%2fget-started%2fwelcome-to-azure%2f&l=de-de&correlationId=ead86c34-1f10-49dd-a72b-6918462a2cbf</v></cell></row><row r="1838"><cell r="K1838" t="str"><v>July</v></cell><cell r="L1838"><v>43295</v></cell><cell r="M1838" t="str"><v>Tier 1</v></cell><cell r="N1838" t="str"><v>EMEA</v></cell><cell r="O1838" t="str"><v>Germany</v></cell><cell r="P1838" t="str"><v>Trial</v></cell><cell r="Q1838" t="str"><v>Social</v></cell><cell r="R1838" t="str"><v>Azure</v></cell><cell r="S1838" t="str"><v>Apps & Infra</v></cell><cell r="T1838" t="str"><v>Developers & ITI's</v></cell><cell r="U1838" t="str"><v>DEV-ITP-AZR-FB|CanvasAds|Interesttargeting</v></cell><cell r="V1838" t="str"><v>Audience Targeting</v></cell><cell r="W1838" t="str"><v>Canvas Ad</v></cell><cell r="X1838" t="str"><v>1x1</v></cell></row><row r="1838"><cell r="AA1838"><v>43295</v></cell><cell r="AB1838" t="str"><v>DEU_gaPMG_AZR_AZR_Q1_19_Trial-Social- 39684</v></cell><cell r="AC1838"><v>21359477</v></cell><cell r="AD1838"><v>720194</v></cell><cell r="AE1838" t="str"><v>Facebook</v></cell><cell r="AF1838"><v>3654128</v></cell><cell r="AG1838" t="str"><v>Facebook»DEV-ITP-AZR-FB|CanvasAds|Interesttargeting»1x1»TextLink»CAN»DT»CPM»AUT»W»NA»SS»NA»39684020-11000</v></cell><cell r="AH1838"><v>224009494</v></cell><cell r="AI1838" t="str"><v>AzurePlatform_FBCTCBenefit2inMotion-StartFreeCT_DEU_14s_ISV_PLAT_DE_Trial_Standard_STAN_TN_T4_1</v></cell><cell r="AJ1838"><v>103237290</v></cell></row><row r="1839"><cell r="C1839" t="str"><v>43295Facebook»DEV-ITP-AZR-FB|CanvasAds|Interesttargeting»1x1»TextLink»CAN»DT»CPM»AUT»W»NA»SS»NA»39684020-11000</v></cell><cell r="D1839" t="str"><v>43295224009494</v></cell><cell r="E1839" t="str"><v>43295103350059-11000</v></cell><cell r="F1839" t="str"><v>DCM</v></cell><cell r="G1839" t="str"><v>https://azure.microsoft.com/de-de/pricing/purchase-options/</v></cell></row><row r="1839"><cell r="K1839" t="str"><v>July</v></cell><cell r="L1839"><v>43295</v></cell><cell r="M1839" t="str"><v>Tier 1</v></cell><cell r="N1839" t="str"><v>EMEA</v></cell><cell r="O1839" t="str"><v>Germany</v></cell><cell r="P1839" t="str"><v>Trial</v></cell><cell r="Q1839" t="str"><v>Social</v></cell><cell r="R1839" t="str"><v>Azure</v></cell><cell r="S1839" t="str"><v>Apps & Infra</v></cell><cell r="T1839" t="str"><v>Developers & ITI's</v></cell><cell r="U1839" t="str"><v>DEV-ITP-AZR-FB|CanvasAds|Interesttargeting</v></cell><cell r="V1839" t="str"><v>Audience Targeting</v></cell><cell r="W1839" t="str"><v>Canvas Ad</v></cell><cell r="X1839" t="str"><v>1x1</v></cell></row><row r="1839"><cell r="AA1839"><v>43295</v></cell><cell r="AB1839" t="str"><v>DEU_gaPMG_AZR_AZR_Q1_19_Trial-Social- 39684</v></cell><cell r="AC1839"><v>21359477</v></cell><cell r="AD1839"><v>720194</v></cell><cell r="AE1839" t="str"><v>Facebook</v></cell><cell r="AF1839"><v>3654128</v></cell><cell r="AG1839" t="str"><v>Facebook»DEV-ITP-AZR-FB|CanvasAds|Interesttargeting»1x1»TextLink»CAN»DT»CPM»AUT»W»NA»SS»NA»39684020-11000</v></cell><cell r="AH1839"><v>224009494</v></cell><cell r="AI1839" t="str"><v>AzurePlatform_FBCTCBrandinMotion-BuyNow_DEU_12s_ISV_PLAT_DE_Trial_Standard_STAN_TN_T2_1</v></cell><cell r="AJ1839"><v>103350059</v></cell></row><row r="1840"><cell r="C1840" t="str"><v>43295Facebook»DEV-ITP-AZR-FB|CanvasAds|Interesttargeting»1x1»TextLink»CAN»DT»CPM»AUT»W»NA»SS»NA»39684020-11000</v></cell><cell r="D1840" t="str"><v>43295224009494</v></cell><cell r="E1840" t="str"><v>43295103237293-11000</v></cell><cell r="F1840" t="str"><v>DCM</v></cell><cell r="G1840" t="str"><v>https://signup.azure.com/signup?offer=ms-azr-0044p&appId=102&ref=paidmedia-social-fb&redirectURL=https%3a%2f%2fazure.microsoft.com%2fde-de%2fget-started%2fwelcome-to-azure%2f&l=de-de&correlationId=ead86c34-1f10-49dd-a72b-6918462a2cbf</v></cell></row><row r="1840"><cell r="K1840" t="str"><v>July</v></cell><cell r="L1840"><v>43295</v></cell><cell r="M1840" t="str"><v>Tier 1</v></cell><cell r="N1840" t="str"><v>EMEA</v></cell><cell r="O1840" t="str"><v>Germany</v></cell><cell r="P1840" t="str"><v>Trial</v></cell><cell r="Q1840" t="str"><v>Social</v></cell><cell r="R1840" t="str"><v>Azure</v></cell><cell r="S1840" t="str"><v>Apps & Infra</v></cell><cell r="T1840" t="str"><v>Developers & ITI's</v></cell><cell r="U1840" t="str"><v>DEV-ITP-AZR-FB|CanvasAds|Interesttargeting</v></cell><cell r="V1840" t="str"><v>Audience Targeting</v></cell><cell r="W1840" t="str"><v>Canvas Ad</v></cell><cell r="X1840" t="str"><v>1x1</v></cell></row><row r="1840"><cell r="AA1840"><v>43295</v></cell><cell r="AB1840" t="str"><v>DEU_gaPMG_AZR_AZR_Q1_19_Trial-Social- 39684</v></cell><cell r="AC1840"><v>21359477</v></cell><cell r="AD1840"><v>720194</v></cell><cell r="AE1840" t="str"><v>Facebook</v></cell><cell r="AF1840"><v>3654128</v></cell><cell r="AG1840" t="str"><v>Facebook»DEV-ITP-AZR-FB|CanvasAds|Interesttargeting»1x1»TextLink»CAN»DT»CPM»AUT»W»NA»SS»NA»39684020-11000</v></cell><cell r="AH1840"><v>224009494</v></cell><cell r="AI1840" t="str"><v>AzurePlatform_FBCTCBrandinMotion-StartFreeCT_DEU_12s_ISV_PLAT_DE_Trial_Standard_STAN_TN_T2_1</v></cell><cell r="AJ1840"><v>103237293</v></cell></row><row r="1841"><cell r="C1841" t="str"><v>43295Facebook»DEV-ITP-AZR-FB|LinkAd|CustomerAudienceRetargeting»1x1»TextLink»LIA»DT»CPM»RT»W»NA»SS»NA»39684019-11000</v></cell><cell r="D1841" t="str"><v>43295224010415</v></cell><cell r="E1841" t="str"><v>43295103040320-11000</v></cell><cell r="F1841" t="str"><v>DCM</v></cell><cell r="G1841" t="str"><v>https://azure.microsoft.com/de-de/free/search/</v></cell></row><row r="1841"><cell r="K1841" t="str"><v>July</v></cell><cell r="L1841"><v>43295</v></cell><cell r="M1841" t="str"><v>Tier 1</v></cell><cell r="N1841" t="str"><v>EMEA</v></cell><cell r="O1841" t="str"><v>Germany</v></cell><cell r="P1841" t="str"><v>Trial</v></cell><cell r="Q1841" t="str"><v>Social</v></cell><cell r="R1841" t="str"><v>Azure</v></cell><cell r="S1841" t="str"><v>Apps & Infra</v></cell><cell r="T1841" t="str"><v>Developers & ITI's</v></cell><cell r="U1841" t="str"><v>DEV-ITP-AZR-FB|LinkAd|CustomerAudienceRetargeting</v></cell><cell r="V1841" t="str"><v>Retargeting</v></cell><cell r="W1841" t="str"><v>Link Ad</v></cell><cell r="X1841" t="str"><v>1x1</v></cell></row><row r="1841"><cell r="AA1841"><v>43295</v></cell><cell r="AB1841" t="str"><v>DEU_gaPMG_AZR_AZR_Q1_19_Trial-Social- 39684</v></cell><cell r="AC1841"><v>21359477</v></cell><cell r="AD1841"><v>720194</v></cell><cell r="AE1841" t="str"><v>Facebook</v></cell><cell r="AF1841"><v>3654128</v></cell><cell r="AG1841" t="str"><v>Facebook»DEV-ITP-AZR-FB|LinkAd|CustomerAudienceRetargeting»1x1»TextLink»LIA»DT»CPM»RT»W»NA»SS»NA»39684019-11000</v></cell><cell r="AH1841"><v>224010415</v></cell><cell r="AI1841" t="str"><v>AzurePlatform_FreeAcctRetargetingFB-GlobalAlt-ChB_DEU_1200x628_SOC_Plat_DE_Free Account_Standard_NA_SNU_T2_1</v></cell><cell r="AJ1841"><v>103040320</v></cell></row><row r="1842"><cell r="C1842" t="str"><v>43295Facebook»DEV-ITP-AZR-FB|LinkAd|CustomerAudienceRetargeting»1x1»TextLink»LIA»DT»CPM»RT»W»NA»SS»NA»39684019-11000</v></cell><cell r="D1842" t="str"><v>43295224010415</v></cell><cell r="E1842" t="str"><v>43295103043341-11000</v></cell><cell r="F1842" t="str"><v>DCM</v></cell><cell r="G1842" t="str"><v>https://azure.microsoft.com/de-de/free/virtual-machines/search/</v></cell></row><row r="1842"><cell r="K1842" t="str"><v>July</v></cell><cell r="L1842"><v>43295</v></cell><cell r="M1842" t="str"><v>Tier 1</v></cell><cell r="N1842" t="str"><v>EMEA</v></cell><cell r="O1842" t="str"><v>Germany</v></cell><cell r="P1842" t="str"><v>Trial</v></cell><cell r="Q1842" t="str"><v>Social</v></cell><cell r="R1842" t="str"><v>Azure</v></cell><cell r="S1842" t="str"><v>Apps & Infra</v></cell><cell r="T1842" t="str"><v>Developers & ITI's</v></cell><cell r="U1842" t="str"><v>DEV-ITP-AZR-FB|LinkAd|CustomerAudienceRetargeting</v></cell><cell r="V1842" t="str"><v>Retargeting</v></cell><cell r="W1842" t="str"><v>Link Ad</v></cell><cell r="X1842" t="str"><v>1x1</v></cell></row><row r="1842"><cell r="AA1842"><v>43295</v></cell><cell r="AB1842" t="str"><v>DEU_gaPMG_AZR_AZR_Q1_19_Trial-Social- 39684</v></cell><cell r="AC1842"><v>21359477</v></cell><cell r="AD1842"><v>720194</v></cell><cell r="AE1842" t="str"><v>Facebook</v></cell><cell r="AF1842"><v>3654128</v></cell><cell r="AG1842" t="str"><v>Facebook»DEV-ITP-AZR-FB|LinkAd|CustomerAudienceRetargeting»1x1»TextLink»LIA»DT»CPM»RT»W»NA»SS»NA»39684019-11000</v></cell><cell r="AH1842"><v>224010415</v></cell><cell r="AI1842" t="str"><v>AzurePlatform_FreeAcctRetargetingVMFB-750Hrs-ChD_DEU_1200x628_SOC_Plat_DE_Free Account_Standard_NA_SNU_T1_1</v></cell><cell r="AJ1842"><v>103043341</v></cell></row><row r="1843"><cell r="C1843" t="str"><v>43295Facebook»DEV-ITP-AZR-FB|LinkAd|CustomerAudienceRetargeting»1x1»TextLink»LIA»DT»CPM»RT»W»NA»SS»NA»39684019-11000</v></cell><cell r="D1843" t="str"><v>43295224010415</v></cell><cell r="E1843" t="str"><v>43295103043338-11000</v></cell><cell r="F1843" t="str"><v>DCM</v></cell><cell r="G1843" t="str"><v>https://azure.microsoft.com/de-de/free/virtual-machines/search/</v></cell></row><row r="1843"><cell r="K1843" t="str"><v>July</v></cell><cell r="L1843"><v>43295</v></cell><cell r="M1843" t="str"><v>Tier 1</v></cell><cell r="N1843" t="str"><v>EMEA</v></cell><cell r="O1843" t="str"><v>Germany</v></cell><cell r="P1843" t="str"><v>Trial</v></cell><cell r="Q1843" t="str"><v>Social</v></cell><cell r="R1843" t="str"><v>Azure</v></cell><cell r="S1843" t="str"><v>Apps & Infra</v></cell><cell r="T1843" t="str"><v>Developers & ITI's</v></cell><cell r="U1843" t="str"><v>DEV-ITP-AZR-FB|LinkAd|CustomerAudienceRetargeting</v></cell><cell r="V1843" t="str"><v>Retargeting</v></cell><cell r="W1843" t="str"><v>Link Ad</v></cell><cell r="X1843" t="str"><v>1x1</v></cell></row><row r="1843"><cell r="AA1843"><v>43295</v></cell><cell r="AB1843" t="str"><v>DEU_gaPMG_AZR_AZR_Q1_19_Trial-Social- 39684</v></cell><cell r="AC1843"><v>21359477</v></cell><cell r="AD1843"><v>720194</v></cell><cell r="AE1843" t="str"><v>Facebook</v></cell><cell r="AF1843"><v>3654128</v></cell><cell r="AG1843" t="str"><v>Facebook»DEV-ITP-AZR-FB|LinkAd|CustomerAudienceRetargeting»1x1»TextLink»LIA»DT»CPM»RT»W»NA»SS»NA»39684019-11000</v></cell><cell r="AH1843"><v>224010415</v></cell><cell r="AI1843" t="str"><v>AzurePlatform_FreeAcctRetargetingVMFB-OnDemand-ChE_DEU_1200x628_SOC_Plat_DE_Free Account_Standard_NA_SNU_T2_1</v></cell><cell r="AJ1843"><v>103043338</v></cell></row><row r="1844"><cell r="C1844" t="str"><v>43295Facebook»Developers/ITPros-Azure Direct-Sponsored Post-Canvas-FBCTCcanvaspage-BuyNowCTA-Img3_FBCTCBasicMotion_FRA_10sec»1x1»Canvas»SOC»ALL»CPC»BT»D»UNK»SS»NA»Trials</v></cell><cell r="D1844" t="str"><v>43295224369893</v></cell><cell r="E1844" t="str"><v>43295103256571Trials</v></cell><cell r="F1844" t="str"><v>DCM</v></cell><cell r="G1844" t="str"><v>https://azure.microsoft.com/fr-fr/pricing/purchase-options/</v></cell></row><row r="1844"><cell r="K1844" t="str"><v>July</v></cell><cell r="L1844"><v>43295</v></cell><cell r="M1844" t="str"><v>Tier 1</v></cell><cell r="N1844" t="str"><v>EMEA</v></cell><cell r="O1844" t="str"><v>France</v></cell><cell r="P1844" t="str"><v>Trial</v></cell><cell r="Q1844" t="str"><v>Social</v></cell><cell r="R1844" t="str"><v>Azure</v></cell><cell r="S1844" t="str"><v>Apps & Infra</v></cell><cell r="T1844" t="str"><v>Developers & ITI's</v></cell><cell r="U1844" t="str"><v>Developers/ITPros-Azure Direct-Sponsored Post-Canvas-FBCTCcanvaspage-BuyNowCTA-Img3_FBCTCBasicMotion_FRA_10sec</v></cell><cell r="V1844" t="str"><v>Behavioral Targeting</v></cell><cell r="W1844" t="str"><v>Social</v></cell><cell r="X1844" t="str"><v>1x1</v></cell></row><row r="1844"><cell r="AA1844"><v>43295</v></cell><cell r="AB1844" t="str"><v>FRA_gaPMG_AZR_AZR_Q1_19_AzureDirect-Trial-Social</v></cell><cell r="AC1844"><v>21356941</v></cell><cell r="AD1844"><v>720193</v></cell><cell r="AE1844" t="str"><v>Facebook</v></cell><cell r="AF1844"><v>3654128</v></cell><cell r="AG1844" t="str"><v>Facebook»Developers/ITPros-Azure Direct-Sponsored Post-Canvas-FBCTCcanvaspage-BuyNowCTA-Img3_FBCTCBasicMotion_FRA_10sec»1x1»Canvas»SOC»ALL»CPC»BT»D»UNK»SS»NA»Trials</v></cell><cell r="AH1844"><v>224369893</v></cell><cell r="AI1844" t="str"><v>AZR_FBCTCcanvaspage-BuyNowCTA-Img3_FRA_1080x162_SOC_AZRDirect_French_NA_Facebook_SBAN_BN_T3_1</v></cell><cell r="AJ1844"><v>103256571</v></cell></row><row r="1845"><cell r="C1845" t="str"><v>43295Facebook»Developers/ITPros-Azure Direct-Sponsored Post-Canvas-FBCTCcanvaspage-BuyNowCTA-Img3_FBCTCBrandinMotion_FRA_14sec»1x1»Canvas»SOC»ALL»CPC»BT»D»UNK»SS»NA»Trials</v></cell><cell r="D1845" t="str"><v>43295224416918</v></cell><cell r="E1845" t="str"><v>43295103256571Trials</v></cell><cell r="F1845" t="str"><v>DCM</v></cell><cell r="G1845" t="str"><v>https://azure.microsoft.com/fr-fr/pricing/purchase-options/</v></cell></row><row r="1845"><cell r="K1845" t="str"><v>July</v></cell><cell r="L1845"><v>43295</v></cell><cell r="M1845" t="str"><v>Tier 1</v></cell><cell r="N1845" t="str"><v>EMEA</v></cell><cell r="O1845" t="str"><v>France</v></cell><cell r="P1845" t="str"><v>Trial</v></cell><cell r="Q1845" t="str"><v>Social</v></cell><cell r="R1845" t="str"><v>Azure</v></cell><cell r="S1845" t="str"><v>Apps & Infra</v></cell><cell r="T1845" t="str"><v>Developers & ITI's</v></cell><cell r="U1845" t="str"><v>Developers/ITPros-Azure Direct-Sponsored Post-Canvas-FBCTCcanvaspage-BuyNowCTA-Img3_FBCTCBrandinMotion_FRA_14sec</v></cell><cell r="V1845" t="str"><v>Behavioral Targeting</v></cell><cell r="W1845" t="str"><v>Social</v></cell><cell r="X1845" t="str"><v>1x1</v></cell></row><row r="1845"><cell r="AA1845"><v>43295</v></cell><cell r="AB1845" t="str"><v>FRA_gaPMG_AZR_AZR_Q1_19_AzureDirect-Trial-Social</v></cell><cell r="AC1845"><v>21356941</v></cell><cell r="AD1845"><v>720193</v></cell><cell r="AE1845" t="str"><v>Facebook</v></cell><cell r="AF1845"><v>3654128</v></cell><cell r="AG1845" t="str"><v>Facebook»Developers/ITPros-Azure Direct-Sponsored Post-Canvas-FBCTCcanvaspage-BuyNowCTA-Img3_FBCTCBrandinMotion_FRA_14sec»1x1»Canvas»SOC»ALL»CPC»BT»D»UNK»SS»NA»Trials</v></cell><cell r="AH1845"><v>224416918</v></cell><cell r="AI1845" t="str"><v>AZR_FBCTCcanvaspage-BuyNowCTA-Img3_FRA_1080x162_SOC_AZRDirect_French_NA_Facebook_SBAN_BN_T3_1</v></cell><cell r="AJ1845"><v>103256571</v></cell></row><row r="1846"><cell r="C1846" t="str"><v>43295Facebook»Developers/ITPros-Azure Direct-Sponsored Post-Canvas-FBCTCcanvaspage-StartFreeCTA-Img2_FBCTCBasicMotion_FRA_10sec»1x1»Canvas»SOC»ALL»CPC»BT»D»UNK»SS»NA»Trials</v></cell><cell r="D1846" t="str"><v>43295224560884</v></cell><cell r="E1846" t="str"><v>43295103259958Trials</v></cell><cell r="F1846" t="str"><v>DCM</v></cell><cell r="G1846" t="str"><v>https://signup.azure.com/signup?offer=ms-azr-0044p&appId=102&ref=paidmedia-social-fb&redirectURL=https%3a%2f%2fazure.microsoft.com%2ffr-fr%2fget-started%2fwelcome-to-azure%2f&l=fr-fr&correlationId=ead86c34-1f10-49dd-a72b-6918462a2cbf</v></cell></row><row r="1846"><cell r="K1846" t="str"><v>July</v></cell><cell r="L1846"><v>43295</v></cell><cell r="M1846" t="str"><v>Tier 1</v></cell><cell r="N1846" t="str"><v>EMEA</v></cell><cell r="O1846" t="str"><v>France</v></cell><cell r="P1846" t="str"><v>Trial</v></cell><cell r="Q1846" t="str"><v>Social</v></cell><cell r="R1846" t="str"><v>Azure</v></cell><cell r="S1846" t="str"><v>Apps & Infra</v></cell><cell r="T1846" t="str"><v>Developers & ITI's</v></cell><cell r="U1846" t="str"><v>Developers/ITPros-Azure Direct-Sponsored Post-Canvas-FBCTCcanvaspage-StartFreeCTA-Img2_FBCTCBasicMotion_FRA_10sec</v></cell><cell r="V1846" t="str"><v>Behavioral Targeting</v></cell><cell r="W1846" t="str"><v>Social</v></cell><cell r="X1846" t="str"><v>1x1</v></cell></row><row r="1846"><cell r="AA1846"><v>43295</v></cell><cell r="AB1846" t="str"><v>FRA_gaPMG_AZR_AZR_Q1_19_AzureDirect-Trial-Social</v></cell><cell r="AC1846"><v>21356941</v></cell><cell r="AD1846"><v>720193</v></cell><cell r="AE1846" t="str"><v>Facebook</v></cell><cell r="AF1846"><v>3654128</v></cell><cell r="AG1846" t="str"><v>Facebook»Developers/ITPros-Azure Direct-Sponsored Post-Canvas-FBCTCcanvaspage-StartFreeCTA-Img2_FBCTCBasicMotion_FRA_10sec»1x1»Canvas»SOC»ALL»CPC»BT»D»UNK»SS»NA»Trials</v></cell><cell r="AH1846"><v>224560884</v></cell><cell r="AI1846" t="str"><v>AZR_FBCTCcanvaspage-StartFreeCTA-Img2_FRA_1080x143_SOC_AZRDirect_French_NA_Facebook_SBAN_BN_T2_1</v></cell><cell r="AJ1846"><v>103259958</v></cell></row><row r="1847"><cell r="C1847" t="str"><v>43295Facebook»Developers/ITPros-Azure Direct-Sponsored Post-Canvas-FBCTCcanvaspage-StartFreeCTA-Img2_FBCTCBrandinMotion_FRA_12sec»1x1»Canvas»SOC»ALL»CPC»BT»D»UNK»SS»NA»Trials</v></cell><cell r="D1847" t="str"><v>43295224560878</v></cell><cell r="E1847" t="str"><v>43295103259958Trials</v></cell><cell r="F1847" t="str"><v>DCM</v></cell><cell r="G1847" t="str"><v>https://signup.azure.com/signup?offer=ms-azr-0044p&appId=102&ref=paidmedia-social-fb&redirectURL=https%3a%2f%2fazure.microsoft.com%2ffr-fr%2fget-started%2fwelcome-to-azure%2f&l=fr-fr&correlationId=ead86c34-1f10-49dd-a72b-6918462a2cbf</v></cell></row><row r="1847"><cell r="K1847" t="str"><v>July</v></cell><cell r="L1847"><v>43295</v></cell><cell r="M1847" t="str"><v>Tier 1</v></cell><cell r="N1847" t="str"><v>EMEA</v></cell><cell r="O1847" t="str"><v>France</v></cell><cell r="P1847" t="str"><v>Trial</v></cell><cell r="Q1847" t="str"><v>Social</v></cell><cell r="R1847" t="str"><v>Azure</v></cell><cell r="S1847" t="str"><v>Apps & Infra</v></cell><cell r="T1847" t="str"><v>Developers & ITI's</v></cell><cell r="U1847" t="str"><v>Developers/ITPros-Azure Direct-Sponsored Post-Canvas-FBCTCcanvaspage-StartFreeCTA-Img2_FBCTCBrandinMotion_FRA_12sec</v></cell><cell r="V1847" t="str"><v>Behavioral Targeting</v></cell><cell r="W1847" t="str"><v>Social</v></cell><cell r="X1847" t="str"><v>1x1</v></cell></row><row r="1847"><cell r="AA1847"><v>43295</v></cell><cell r="AB1847" t="str"><v>FRA_gaPMG_AZR_AZR_Q1_19_AzureDirect-Trial-Social</v></cell><cell r="AC1847"><v>21356941</v></cell><cell r="AD1847"><v>720193</v></cell><cell r="AE1847" t="str"><v>Facebook</v></cell><cell r="AF1847"><v>3654128</v></cell><cell r="AG1847" t="str"><v>Facebook»Developers/ITPros-Azure Direct-Sponsored Post-Canvas-FBCTCcanvaspage-StartFreeCTA-Img2_FBCTCBrandinMotion_FRA_12sec»1x1»Canvas»SOC»ALL»CPC»BT»D»UNK»SS»NA»Trials</v></cell><cell r="AH1847"><v>224560878</v></cell><cell r="AI1847" t="str"><v>AZR_FBCTCcanvaspage-StartFreeCTA-Img2_FRA_1080x143_SOC_AZRDirect_French_NA_Facebook_SBAN_BN_T2_1</v></cell><cell r="AJ1847"><v>103259958</v></cell></row><row r="1848"><cell r="C1848" t="str"><v>43295Facebook»Developers/ITPros-Azure Direct-Sponsored Post-Canvas-FBCTCcanvaspage-StartFreeCTA-Img2_FBCTCBrandinMotion_FRA_14sec»1x1»Canvas»SOC»ALL»CPC»BT»D»UNK»SS»NA»Trials</v></cell><cell r="D1848" t="str"><v>43295224560872</v></cell><cell r="E1848" t="str"><v>43295103259958Trials</v></cell><cell r="F1848" t="str"><v>DCM</v></cell><cell r="G1848" t="str"><v>https://signup.azure.com/signup?offer=ms-azr-0044p&appId=102&ref=paidmedia-social-fb&redirectURL=https%3a%2f%2fazure.microsoft.com%2ffr-fr%2fget-started%2fwelcome-to-azure%2f&l=fr-fr&correlationId=ead86c34-1f10-49dd-a72b-6918462a2cbf</v></cell></row><row r="1848"><cell r="K1848" t="str"><v>July</v></cell><cell r="L1848"><v>43295</v></cell><cell r="M1848" t="str"><v>Tier 1</v></cell><cell r="N1848" t="str"><v>EMEA</v></cell><cell r="O1848" t="str"><v>France</v></cell><cell r="P1848" t="str"><v>Trial</v></cell><cell r="Q1848" t="str"><v>Social</v></cell><cell r="R1848" t="str"><v>Azure</v></cell><cell r="S1848" t="str"><v>Apps & Infra</v></cell><cell r="T1848" t="str"><v>Developers & ITI's</v></cell><cell r="U1848" t="str"><v>Developers/ITPros-Azure Direct-Sponsored Post-Canvas-FBCTCcanvaspage-StartFreeCTA-Img2_FBCTCBrandinMotion_FRA_14sec</v></cell><cell r="V1848" t="str"><v>Behavioral Targeting</v></cell><cell r="W1848" t="str"><v>Social</v></cell><cell r="X1848" t="str"><v>1x1</v></cell></row><row r="1848"><cell r="AA1848"><v>43295</v></cell><cell r="AB1848" t="str"><v>FRA_gaPMG_AZR_AZR_Q1_19_AzureDirect-Trial-Social</v></cell><cell r="AC1848"><v>21356941</v></cell><cell r="AD1848"><v>720193</v></cell><cell r="AE1848" t="str"><v>Facebook</v></cell><cell r="AF1848"><v>3654128</v></cell><cell r="AG1848" t="str"><v>Facebook»Developers/ITPros-Azure Direct-Sponsored Post-Canvas-FBCTCcanvaspage-StartFreeCTA-Img2_FBCTCBrandinMotion_FRA_14sec»1x1»Canvas»SOC»ALL»CPC»BT»D»UNK»SS»NA»Trials</v></cell><cell r="AH1848"><v>224560872</v></cell><cell r="AI1848" t="str"><v>AZR_FBCTCcanvaspage-StartFreeCTA-Img2_FRA_1080x143_SOC_AZRDirect_French_NA_Facebook_SBAN_BN_T2_1</v></cell><cell r="AJ1848"><v>103259958</v></cell></row><row r="1849"><cell r="C1849" t="str"><v>43295Facebook»Developers/ITPros-Azure Direct-Sponsored Post-Link Ad-FreeAcctRetargetingFB-GlobalAlt-ChB»1x1»SocialBan»SOC»ALL»CPC»BT»D»UNK»SS»NA»Trials</v></cell><cell r="D1849" t="str"><v>43295224560845</v></cell><cell r="E1849" t="str"><v>43295103259520Trials</v></cell><cell r="F1849" t="str"><v>DCM</v></cell><cell r="G1849" t="str"><v>https://azure.microsoft.com/fr-fr/free/search/</v></cell></row><row r="1849"><cell r="K1849" t="str"><v>July</v></cell><cell r="L1849"><v>43295</v></cell><cell r="M1849" t="str"><v>Tier 1</v></cell><cell r="N1849" t="str"><v>EMEA</v></cell><cell r="O1849" t="str"><v>France</v></cell><cell r="P1849" t="str"><v>Trial</v></cell><cell r="Q1849" t="str"><v>Social</v></cell><cell r="R1849" t="str"><v>Azure</v></cell><cell r="S1849" t="str"><v>Apps & Infra</v></cell><cell r="T1849" t="str"><v>Developers & ITI's</v></cell><cell r="U1849" t="str"><v>Developers/ITPros-Azure Direct-Sponsored Post-Link Ad-FreeAcctRetargetingFB-GlobalAlt-ChB</v></cell><cell r="V1849" t="str"><v>Behavioral Targeting</v></cell><cell r="W1849" t="str"><v>Social</v></cell><cell r="X1849" t="str"><v>1x1</v></cell></row><row r="1849"><cell r="AA1849"><v>43295</v></cell><cell r="AB1849" t="str"><v>FRA_gaPMG_AZR_AZR_Q1_19_AzureDirect-Trial-Social</v></cell><cell r="AC1849"><v>21356941</v></cell><cell r="AD1849"><v>720193</v></cell><cell r="AE1849" t="str"><v>Facebook</v></cell><cell r="AF1849"><v>3654128</v></cell><cell r="AG1849" t="str"><v>Facebook»Developers/ITPros-Azure Direct-Sponsored Post-Link Ad-FreeAcctRetargetingFB-GlobalAlt-ChB»1x1»SocialBan»SOC»ALL»CPC»BT»D»UNK»SS»NA»Trials</v></cell><cell r="AH1849"><v>224560845</v></cell><cell r="AI1849" t="str"><v>AZR_FreeAcctRetargetingFB-GlobalAlt-ChB_FRA_1200x628_SOC_AZRDirect_French_NA_Facebook_SBAN_SINU_T2_1</v></cell><cell r="AJ1849"><v>103259520</v></cell></row><row r="1850"><cell r="C1850" t="str"><v>43295Facebook»Developers/ITPros-Azure Direct-Sponsored Post-Link Ad-FreeAcctRetargetingVMFB-750Hrs-ChD»1x1»SocialBan»SOC»ALL»CPC»BT»D»UNK»SS»NA»Trials</v></cell><cell r="D1850" t="str"><v>43295224560836</v></cell><cell r="E1850" t="str"><v>43295103259010Trials</v></cell><cell r="F1850" t="str"><v>DCM</v></cell><cell r="G1850" t="str"><v>https://azure.microsoft.com/fr-fr/free/virtual-machines/search/</v></cell></row><row r="1850"><cell r="K1850" t="str"><v>July</v></cell><cell r="L1850"><v>43295</v></cell><cell r="M1850" t="str"><v>Tier 1</v></cell><cell r="N1850" t="str"><v>EMEA</v></cell><cell r="O1850" t="str"><v>France</v></cell><cell r="P1850" t="str"><v>Trial</v></cell><cell r="Q1850" t="str"><v>Social</v></cell><cell r="R1850" t="str"><v>Azure</v></cell><cell r="S1850" t="str"><v>Apps & Infra</v></cell><cell r="T1850" t="str"><v>Developers & ITI's</v></cell><cell r="U1850" t="str"><v>Developers/ITPros-Azure Direct-Sponsored Post-Link Ad-FreeAcctRetargetingVMFB-750Hrs-ChD</v></cell><cell r="V1850" t="str"><v>Behavioral Targeting</v></cell><cell r="W1850" t="str"><v>Social</v></cell><cell r="X1850" t="str"><v>1x1</v></cell></row><row r="1850"><cell r="AA1850"><v>43295</v></cell><cell r="AB1850" t="str"><v>FRA_gaPMG_AZR_AZR_Q1_19_AzureDirect-Trial-Social</v></cell><cell r="AC1850"><v>21356941</v></cell><cell r="AD1850"><v>720193</v></cell><cell r="AE1850" t="str"><v>Facebook</v></cell><cell r="AF1850"><v>3654128</v></cell><cell r="AG1850" t="str"><v>Facebook»Developers/ITPros-Azure Direct-Sponsored Post-Link Ad-FreeAcctRetargetingVMFB-750Hrs-ChD»1x1»SocialBan»SOC»ALL»CPC»BT»D»UNK»SS»NA»Trials</v></cell><cell r="AH1850"><v>224560836</v></cell><cell r="AI1850" t="str"><v>AZR_FreeAcctRetargetingVMFB-750Hrs-ChD_FRA_1200x628_SOC_AZRDirect_French_NA_Facebook_SBAN_SINU_T1_1</v></cell><cell r="AJ1850"><v>103259010</v></cell></row><row r="1851"><cell r="C1851" t="str"><v>43295Facebook»Developers/ITPros-Azure Direct-Sponsored Post-Video Ad-FBCTCBasicMotion_FRA_10s_RTG Landing Page»1x1»05s»SOC»ALL»CPC»BT»D»UNK»SS»NA»Trials</v></cell><cell r="D1851" t="str"><v>43295224416915</v></cell><cell r="E1851" t="str"><v>43295103376981Trials</v></cell><cell r="F1851" t="str"><v>DCM</v></cell></row><row r="1851"><cell r="K1851" t="str"><v>July</v></cell><cell r="L1851"><v>43295</v></cell><cell r="M1851" t="str"><v>Tier 1</v></cell><cell r="N1851" t="str"><v>EMEA</v></cell><cell r="O1851" t="str"><v>France</v></cell><cell r="P1851" t="str"><v>Trial</v></cell><cell r="Q1851" t="str"><v>Social</v></cell><cell r="R1851" t="str"><v>Azure</v></cell><cell r="S1851" t="str"><v>Apps & Infra</v></cell><cell r="T1851" t="str"><v>Developers & ITI's</v></cell><cell r="U1851" t="str"><v>Developers/ITPros-Azure Direct-Sponsored Post-Video Ad-FBCTCBasicMotion_FRA_10s_RTG Landing Page</v></cell><cell r="V1851" t="str"><v>Behavioral Targeting</v></cell><cell r="W1851" t="str"><v>Social</v></cell><cell r="X1851" t="str"><v>1x1</v></cell></row><row r="1851"><cell r="AA1851"><v>43295</v></cell><cell r="AB1851" t="str"><v>FRA_gaPMG_AZR_AZR_Q1_19_AzureDirect-Trial-Social</v></cell><cell r="AC1851"><v>21356941</v></cell><cell r="AD1851"><v>720193</v></cell><cell r="AE1851" t="str"><v>Facebook</v></cell><cell r="AF1851"><v>3654128</v></cell><cell r="AG1851" t="str"><v>Facebook»Developers/ITPros-Azure Direct-Sponsored Post-Video Ad-FBCTCBasicMotion_FRA_10s_RTG Landing Page»1x1»05s»SOC»ALL»CPC»BT»D»UNK»SS»NA»Trials</v></cell><cell r="AH1851"><v>224416915</v></cell><cell r="AI1851" t="str"><v>AZR_FBCTCBasicMotion_FRA_10s_VIA_AZRDirect_French_NA_Facebook_STAN_TIN_T1_1</v></cell><cell r="AJ1851"><v>103376981</v></cell></row><row r="1852"><cell r="C1852" t="str"><v>43295Facebook»Developers/ITPros-Azure Direct-Sponsored Post-Video Ad-FBCTCBenefit2inMotion_FRA_14s_RTG Landing Page»1x1»06s»SOC»ALL»CPC»BT»D»UNK»SS»NA»Trials</v></cell><cell r="D1852" t="str"><v>43295224560875</v></cell><cell r="E1852" t="str"><v>43295103259766Trials</v></cell><cell r="F1852" t="str"><v>DCM</v></cell><cell r="G1852" t="str"><v>https://signup.azure.com/signup?offer=ms-azr-0044p&appId=102&ref=paidmedia-social-fb&redirectURL=https:%2F%2Fazure.microsoft.com%2Ffr-fr%2Fget-started%2Fwelcome-to-azure%2F&l=fr-fr&correlationId=ead86c34-1f10-49dd-a72b-6918462a2cbf</v></cell></row><row r="1852"><cell r="K1852" t="str"><v>July</v></cell><cell r="L1852"><v>43295</v></cell><cell r="M1852" t="str"><v>Tier 1</v></cell><cell r="N1852" t="str"><v>EMEA</v></cell><cell r="O1852" t="str"><v>France</v></cell><cell r="P1852" t="str"><v>Trial</v></cell><cell r="Q1852" t="str"><v>Social</v></cell><cell r="R1852" t="str"><v>Azure</v></cell><cell r="S1852" t="str"><v>Apps & Infra</v></cell><cell r="T1852" t="str"><v>Developers & ITI's</v></cell><cell r="U1852" t="str"><v>Developers/ITPros-Azure Direct-Sponsored Post-Video Ad-FBCTCBenefit2inMotion_FRA_14s_RTG Landing Page</v></cell><cell r="V1852" t="str"><v>Behavioral Targeting</v></cell><cell r="W1852" t="str"><v>Social</v></cell><cell r="X1852" t="str"><v>1x1</v></cell></row><row r="1852"><cell r="AA1852"><v>43295</v></cell><cell r="AB1852" t="str"><v>FRA_gaPMG_AZR_AZR_Q1_19_AzureDirect-Trial-Social</v></cell><cell r="AC1852"><v>21356941</v></cell><cell r="AD1852"><v>720193</v></cell><cell r="AE1852" t="str"><v>Facebook</v></cell><cell r="AF1852"><v>3654128</v></cell><cell r="AG1852" t="str"><v>Facebook»Developers/ITPros-Azure Direct-Sponsored Post-Video Ad-FBCTCBenefit2inMotion_FRA_14s_RTG Landing Page»1x1»06s»SOC»ALL»CPC»BT»D»UNK»SS»NA»Trials</v></cell><cell r="AH1852"><v>224560875</v></cell><cell r="AI1852" t="str"><v>AZR_FBCTCBenefit2inMotion_FRA_14s_VIA_AZRDirect_French_NA_Facebook_STAN_TIN_T4_1</v></cell><cell r="AJ1852"><v>103259766</v></cell></row><row r="1853"><cell r="C1853" t="str"><v>43295Facebook»Developers/ITPros-Azure Direct-Sponsored Post-Video Ad-FBCTCBrandinMotion_FRA_12s_RTG Landing Page»1x1»05s»SOC»ALL»CPC»BT»D»UNK»SS»NA»Trials</v></cell><cell r="D1853" t="str"><v>43295224560863</v></cell><cell r="E1853" t="str"><v>43295103256577Trials</v></cell><cell r="F1853" t="str"><v>DCM</v></cell></row><row r="1853"><cell r="K1853" t="str"><v>July</v></cell><cell r="L1853"><v>43295</v></cell><cell r="M1853" t="str"><v>Tier 1</v></cell><cell r="N1853" t="str"><v>EMEA</v></cell><cell r="O1853" t="str"><v>France</v></cell><cell r="P1853" t="str"><v>Trial</v></cell><cell r="Q1853" t="str"><v>Social</v></cell><cell r="R1853" t="str"><v>Azure</v></cell><cell r="S1853" t="str"><v>Apps & Infra</v></cell><cell r="T1853" t="str"><v>Developers & ITI's</v></cell><cell r="U1853" t="str"><v>Developers/ITPros-Azure Direct-Sponsored Post-Video Ad-FBCTCBrandinMotion_FRA_12s_RTG Landing Page</v></cell><cell r="V1853" t="str"><v>Behavioral Targeting</v></cell><cell r="W1853" t="str"><v>Social</v></cell><cell r="X1853" t="str"><v>1x1</v></cell></row><row r="1853"><cell r="AA1853"><v>43295</v></cell><cell r="AB1853" t="str"><v>FRA_gaPMG_AZR_AZR_Q1_19_AzureDirect-Trial-Social</v></cell><cell r="AC1853"><v>21356941</v></cell><cell r="AD1853"><v>720193</v></cell><cell r="AE1853" t="str"><v>Facebook</v></cell><cell r="AF1853"><v>3654128</v></cell><cell r="AG1853" t="str"><v>Facebook»Developers/ITPros-Azure Direct-Sponsored Post-Video Ad-FBCTCBrandinMotion_FRA_12s_RTG Landing Page»1x1»05s»SOC»ALL»CPC»BT»D»UNK»SS»NA»Trials</v></cell><cell r="AH1853"><v>224560863</v></cell><cell r="AI1853" t="str"><v>AZR_FBCTCBrandinMotion_FRA_12s_VIA_AZRDirect_French_NA_Facebook_STAN_TIN_T2_1</v></cell><cell r="AJ1853"><v>103256577</v></cell></row><row r="1854"><cell r="C1854" t="str"><v>43295Facebook»Developers/ITPros-Azure Direct-Sponsored Post-Canvas-FBCTCcanvaspage-BuyNowCTA-Img3_FBCTCBrandinMotion_FRA_12sec»1x1»Canvas»SOC»ALL»CPC»BT»D»UNK»SS»NA»Trials</v></cell><cell r="D1854" t="str"><v>43295224416924</v></cell><cell r="E1854" t="str"><v>43295103256571Trials</v></cell><cell r="F1854" t="str"><v>DCM</v></cell><cell r="G1854" t="str"><v>https://azure.microsoft.com/fr-fr/pricing/purchase-options/</v></cell></row><row r="1854"><cell r="K1854" t="str"><v>July</v></cell><cell r="L1854"><v>43295</v></cell><cell r="M1854" t="str"><v>Tier 1</v></cell><cell r="N1854" t="str"><v>EMEA</v></cell><cell r="O1854" t="str"><v>France</v></cell><cell r="P1854" t="str"><v>Trial</v></cell><cell r="Q1854" t="str"><v>Social</v></cell><cell r="R1854" t="str"><v>Azure</v></cell><cell r="S1854" t="str"><v>Apps & Infra</v></cell><cell r="T1854" t="str"><v>Developers & ITI's</v></cell><cell r="U1854" t="str"><v>Developers/ITPros-Azure Direct-Sponsored Post-Canvas-FBCTCcanvaspage-BuyNowCTA-Img3_FBCTCBrandinMotion_FRA_12sec</v></cell><cell r="V1854" t="str"><v>Behavioral Targeting</v></cell><cell r="W1854" t="str"><v>Social</v></cell><cell r="X1854" t="str"><v>1x1</v></cell></row><row r="1854"><cell r="AA1854"><v>43295</v></cell><cell r="AB1854" t="str"><v>FRA_gaPMG_AZR_AZR_Q1_19_AzureDirect-Trial-Social</v></cell><cell r="AC1854"><v>21356941</v></cell><cell r="AD1854"><v>720193</v></cell><cell r="AE1854" t="str"><v>Facebook</v></cell><cell r="AF1854"><v>3654128</v></cell><cell r="AG1854" t="str"><v>Facebook»Developers/ITPros-Azure Direct-Sponsored Post-Canvas-FBCTCcanvaspage-BuyNowCTA-Img3_FBCTCBrandinMotion_FRA_12sec»1x1»Canvas»SOC»ALL»CPC»BT»D»UNK»SS»NA»Trials</v></cell><cell r="AH1854"><v>224416924</v></cell><cell r="AI1854" t="str"><v>AZR_FBCTCcanvaspage-BuyNowCTA-Img3_FRA_1080x162_SOC_AZRDirect_French_NA_Facebook_SBAN_BN_T3_1</v></cell><cell r="AJ1854"><v>103256571</v></cell></row><row r="1855"><cell r="C1855" t="str"><v>43295Facebook»Developers/ITPros-Azure Direct-Sponsored Post-Link Ad-FreeAcctAppsFACEBOOK12monthsChE»1x1»SocialBan»SOC»ALL»CPC»BT»D»UNK»SS»NA»Trials</v></cell><cell r="D1855" t="str"><v>43295224560866</v></cell><cell r="E1855" t="str"><v>43295103259784Trials</v></cell><cell r="F1855" t="str"><v>DCM</v></cell><cell r="G1855" t="str"><v>https://azure.microsoft.com/fr-fr/free/search/</v></cell></row><row r="1855"><cell r="K1855" t="str"><v>July</v></cell><cell r="L1855"><v>43295</v></cell><cell r="M1855" t="str"><v>Tier 1</v></cell><cell r="N1855" t="str"><v>EMEA</v></cell><cell r="O1855" t="str"><v>France</v></cell><cell r="P1855" t="str"><v>Trial</v></cell><cell r="Q1855" t="str"><v>Social</v></cell><cell r="R1855" t="str"><v>Azure</v></cell><cell r="S1855" t="str"><v>Apps & Infra</v></cell><cell r="T1855" t="str"><v>Developers & ITI's</v></cell><cell r="U1855" t="str"><v>Developers/ITPros-Azure Direct-Sponsored Post-Link Ad-FreeAcctAppsFACEBOOK12monthsChE</v></cell><cell r="V1855" t="str"><v>Behavioral Targeting</v></cell><cell r="W1855" t="str"><v>Social</v></cell><cell r="X1855" t="str"><v>1x1</v></cell></row><row r="1855"><cell r="AA1855"><v>43295</v></cell><cell r="AB1855" t="str"><v>FRA_gaPMG_AZR_AZR_Q1_19_AzureDirect-Trial-Social</v></cell><cell r="AC1855"><v>21356941</v></cell><cell r="AD1855"><v>720193</v></cell><cell r="AE1855" t="str"><v>Facebook</v></cell><cell r="AF1855"><v>3654128</v></cell><cell r="AG1855" t="str"><v>Facebook»Developers/ITPros-Azure Direct-Sponsored Post-Link Ad-FreeAcctAppsFACEBOOK12monthsChE»1x1»SocialBan»SOC»ALL»CPC»BT»D»UNK»SS»NA»Trials</v></cell><cell r="AH1855"><v>224560866</v></cell><cell r="AI1855" t="str"><v>AZR_FreeAcctAppsFACEBOOK12monthsChE_FRA_1200x628_SOC_PLAT_FR_Trial_Standard_NA_SINU_T5_1</v></cell><cell r="AJ1855"><v>103259784</v></cell></row><row r="1856"><cell r="C1856" t="str"><v>43295Facebook»Developers/ITPros-Azure Direct-Sponsored Post-Link Ad-FreeAcctAppsFACEBOOK200CreditChD»1x1»SocialBan»SOC»ALL»CPC»BT»D»UNK»SS»NA»Trials</v></cell><cell r="D1856" t="str"><v>43295224560860</v></cell><cell r="E1856" t="str"><v>43295103377773Trials</v></cell><cell r="F1856" t="str"><v>DCM</v></cell><cell r="G1856" t="str"><v>https://azure.microsoft.com/fr-fr/free/search/</v></cell></row><row r="1856"><cell r="K1856" t="str"><v>July</v></cell><cell r="L1856"><v>43295</v></cell><cell r="M1856" t="str"><v>Tier 1</v></cell><cell r="N1856" t="str"><v>EMEA</v></cell><cell r="O1856" t="str"><v>France</v></cell><cell r="P1856" t="str"><v>Trial</v></cell><cell r="Q1856" t="str"><v>Social</v></cell><cell r="R1856" t="str"><v>Azure</v></cell><cell r="S1856" t="str"><v>Apps & Infra</v></cell><cell r="T1856" t="str"><v>Developers & ITI's</v></cell><cell r="U1856" t="str"><v>Developers/ITPros-Azure Direct-Sponsored Post-Link Ad-FreeAcctAppsFACEBOOK200CreditChD</v></cell><cell r="V1856" t="str"><v>Behavioral Targeting</v></cell><cell r="W1856" t="str"><v>Social</v></cell><cell r="X1856" t="str"><v>1x1</v></cell></row><row r="1856"><cell r="AA1856"><v>43295</v></cell><cell r="AB1856" t="str"><v>FRA_gaPMG_AZR_AZR_Q1_19_AzureDirect-Trial-Social</v></cell><cell r="AC1856"><v>21356941</v></cell><cell r="AD1856"><v>720193</v></cell><cell r="AE1856" t="str"><v>Facebook</v></cell><cell r="AF1856"><v>3654128</v></cell><cell r="AG1856" t="str"><v>Facebook»Developers/ITPros-Azure Direct-Sponsored Post-Link Ad-FreeAcctAppsFACEBOOK200CreditChD»1x1»SocialBan»SOC»ALL»CPC»BT»D»UNK»SS»NA»Trials</v></cell><cell r="AH1856"><v>224560860</v></cell><cell r="AI1856" t="str"><v>AZR_FreeAcctAppsFACEBOOK200CreditChD_FRA_1200x628_SOC_PLAT_FR_Trial_Standard_NA_SINU_T4_1</v></cell><cell r="AJ1856"><v>103377773</v></cell></row><row r="1857"><cell r="C1857" t="str"><v>43295Facebook»Developers/ITPros-Azure Direct-Sponsored Post-Link Ad-FreeAcctAppsFACEBOOKDeviceChB»1x1»SocialBan»SOC»ALL»CPC»AUT»D»UNK»SS»NA»Trials</v></cell><cell r="D1857" t="str"><v>43295224560857</v></cell><cell r="E1857" t="str"><v>43295103377002Trials</v></cell><cell r="F1857" t="str"><v>DCM</v></cell><cell r="G1857" t="str"><v>https://azure.microsoft.com/fr-fr/free/search/</v></cell></row><row r="1857"><cell r="K1857" t="str"><v>July</v></cell><cell r="L1857"><v>43295</v></cell><cell r="M1857" t="str"><v>Tier 1</v></cell><cell r="N1857" t="str"><v>EMEA</v></cell><cell r="O1857" t="str"><v>France</v></cell><cell r="P1857" t="str"><v>Trial</v></cell><cell r="Q1857" t="str"><v>Social</v></cell><cell r="R1857" t="str"><v>Azure</v></cell><cell r="S1857" t="str"><v>Apps & Infra</v></cell><cell r="T1857" t="str"><v>Developers & ITI's</v></cell><cell r="U1857" t="str"><v>Developers/ITPros-Azure Direct-Sponsored Post-Link Ad-FreeAcctAppsFACEBOOKDeviceChB</v></cell><cell r="V1857" t="str"><v>Audience Targeting</v></cell><cell r="W1857" t="str"><v>Social</v></cell><cell r="X1857" t="str"><v>1x1</v></cell></row><row r="1857"><cell r="AA1857"><v>43295</v></cell><cell r="AB1857" t="str"><v>FRA_gaPMG_AZR_AZR_Q1_19_AzureDirect-Trial-Social</v></cell><cell r="AC1857"><v>21356941</v></cell><cell r="AD1857"><v>720193</v></cell><cell r="AE1857" t="str"><v>Facebook</v></cell><cell r="AF1857"><v>3654128</v></cell><cell r="AG1857" t="str"><v>Facebook»Developers/ITPros-Azure Direct-Sponsored Post-Link Ad-FreeAcctAppsFACEBOOKDeviceChB»1x1»SocialBan»SOC»ALL»CPC»AUT»D»UNK»SS»NA»Trials</v></cell><cell r="AH1857"><v>224560857</v></cell><cell r="AI1857" t="str"><v>AZR_FreeAcctAppsFACEBOOKDeviceChB_FRA_1200x628_SOC_PLAT_FR_Trial_Standard_NA_SINU_T2_1</v></cell><cell r="AJ1857"><v>103377002</v></cell></row><row r="1858"><cell r="C1858" t="str"><v>43295Facebook»Developers/ITPros-Azure Direct-Sponsored Post-Link Ad-FreeAcctAppsFACEBOOKIllustrationChC»1x1»SocialBan»SOC»ALL»CPC»AUT»D»UNK»SS»NA»Trials</v></cell><cell r="D1858" t="str"><v>43295224560854</v></cell><cell r="E1858" t="str"><v>43295103259550Trials</v></cell><cell r="F1858" t="str"><v>DCM</v></cell><cell r="G1858" t="str"><v>https://azure.microsoft.com/fr-fr/free/search/</v></cell></row><row r="1858"><cell r="K1858" t="str"><v>July</v></cell><cell r="L1858"><v>43295</v></cell><cell r="M1858" t="str"><v>Tier 1</v></cell><cell r="N1858" t="str"><v>EMEA</v></cell><cell r="O1858" t="str"><v>France</v></cell><cell r="P1858" t="str"><v>Trial</v></cell><cell r="Q1858" t="str"><v>Social</v></cell><cell r="R1858" t="str"><v>Azure</v></cell><cell r="S1858" t="str"><v>Apps & Infra</v></cell><cell r="T1858" t="str"><v>Developers & ITI's</v></cell><cell r="U1858" t="str"><v>Developers/ITPros-Azure Direct-Sponsored Post-Link Ad-FreeAcctAppsFACEBOOKIllustrationChC</v></cell><cell r="V1858" t="str"><v>Audience Targeting</v></cell><cell r="W1858" t="str"><v>Social</v></cell><cell r="X1858" t="str"><v>1x1</v></cell></row><row r="1858"><cell r="AA1858"><v>43295</v></cell><cell r="AB1858" t="str"><v>FRA_gaPMG_AZR_AZR_Q1_19_AzureDirect-Trial-Social</v></cell><cell r="AC1858"><v>21356941</v></cell><cell r="AD1858"><v>720193</v></cell><cell r="AE1858" t="str"><v>Facebook</v></cell><cell r="AF1858"><v>3654128</v></cell><cell r="AG1858" t="str"><v>Facebook»Developers/ITPros-Azure Direct-Sponsored Post-Link Ad-FreeAcctAppsFACEBOOKIllustrationChC»1x1»SocialBan»SOC»ALL»CPC»AUT»D»UNK»SS»NA»Trials</v></cell><cell r="AH1858"><v>224560854</v></cell><cell r="AI1858" t="str"><v>AZR_FreeAcctAppsFACEBOOKIllustrationChC_FRA_1200x628_SOC_PLAT_FR_Trial_Standard_NA_SINU_T3_1</v></cell><cell r="AJ1858"><v>103259550</v></cell></row><row r="1859"><cell r="C1859" t="str"><v>43295Facebook»Developers/ITPros-Azure Direct-Sponsored Post-Link Ad-FreeAcctAppsFACEBOOKLifestyleChA»1x1»SocialBan»SOC»ALL»CPC»AUT»D»UNK»SS»NA»Trials</v></cell><cell r="D1859" t="str"><v>43295224560851</v></cell><cell r="E1859" t="str"><v>43295103259562Trials</v></cell><cell r="F1859" t="str"><v>DCM</v></cell><cell r="G1859" t="str"><v>https://azure.microsoft.com/fr-fr/free/search/</v></cell></row><row r="1859"><cell r="K1859" t="str"><v>July</v></cell><cell r="L1859"><v>43295</v></cell><cell r="M1859" t="str"><v>Tier 1</v></cell><cell r="N1859" t="str"><v>EMEA</v></cell><cell r="O1859" t="str"><v>France</v></cell><cell r="P1859" t="str"><v>Trial</v></cell><cell r="Q1859" t="str"><v>Social</v></cell><cell r="R1859" t="str"><v>Azure</v></cell><cell r="S1859" t="str"><v>Apps & Infra</v></cell><cell r="T1859" t="str"><v>Developers & ITI's</v></cell><cell r="U1859" t="str"><v>Developers/ITPros-Azure Direct-Sponsored Post-Link Ad-FreeAcctAppsFACEBOOKLifestyleChA</v></cell><cell r="V1859" t="str"><v>Audience Targeting</v></cell><cell r="W1859" t="str"><v>Social</v></cell><cell r="X1859" t="str"><v>1x1</v></cell></row><row r="1859"><cell r="AA1859"><v>43295</v></cell><cell r="AB1859" t="str"><v>FRA_gaPMG_AZR_AZR_Q1_19_AzureDirect-Trial-Social</v></cell><cell r="AC1859"><v>21356941</v></cell><cell r="AD1859"><v>720193</v></cell><cell r="AE1859" t="str"><v>Facebook</v></cell><cell r="AF1859"><v>3654128</v></cell><cell r="AG1859" t="str"><v>Facebook»Developers/ITPros-Azure Direct-Sponsored Post-Link Ad-FreeAcctAppsFACEBOOKLifestyleChA»1x1»SocialBan»SOC»ALL»CPC»AUT»D»UNK»SS»NA»Trials</v></cell><cell r="AH1859"><v>224560851</v></cell><cell r="AI1859" t="str"><v>AZR_FreeAcctAppsFACEBOOKLifestyleChA_FRA_1200x628_SOC_PLAT_FR_Trial_Standard_NA_SINU_T1_1</v></cell><cell r="AJ1859"><v>103259562</v></cell></row><row r="1860"><cell r="C1860" t="str"><v>43295Facebook»Developers/ITPros-Azure Direct-Sponsored Post-Link Ad-FreeAcctRetargetingFB-Animated-ChC»1x1»SocialBan»SOC»ALL»CPC»BT»D»UNK»SS»NA»Trials</v></cell><cell r="D1860" t="str"><v>43295224560848</v></cell><cell r="E1860" t="str"><v>43295103259775Trials</v></cell><cell r="F1860" t="str"><v>DCM</v></cell><cell r="G1860" t="str"><v>https://azure.microsoft.com/fr-fr/free/search/</v></cell></row><row r="1860"><cell r="K1860" t="str"><v>July</v></cell><cell r="L1860"><v>43295</v></cell><cell r="M1860" t="str"><v>Tier 1</v></cell><cell r="N1860" t="str"><v>EMEA</v></cell><cell r="O1860" t="str"><v>France</v></cell><cell r="P1860" t="str"><v>Trial</v></cell><cell r="Q1860" t="str"><v>Social</v></cell><cell r="R1860" t="str"><v>Azure</v></cell><cell r="S1860" t="str"><v>Apps & Infra</v></cell><cell r="T1860" t="str"><v>Developers & ITI's</v></cell><cell r="U1860" t="str"><v>Developers/ITPros-Azure Direct-Sponsored Post-Link Ad-FreeAcctRetargetingFB-Animated-ChC</v></cell><cell r="V1860" t="str"><v>Behavioral Targeting</v></cell><cell r="W1860" t="str"><v>Social</v></cell><cell r="X1860" t="str"><v>1x1</v></cell></row><row r="1860"><cell r="AA1860"><v>43295</v></cell><cell r="AB1860" t="str"><v>FRA_gaPMG_AZR_AZR_Q1_19_AzureDirect-Trial-Social</v></cell><cell r="AC1860"><v>21356941</v></cell><cell r="AD1860"><v>720193</v></cell><cell r="AE1860" t="str"><v>Facebook</v></cell><cell r="AF1860"><v>3654128</v></cell><cell r="AG1860" t="str"><v>Facebook»Developers/ITPros-Azure Direct-Sponsored Post-Link Ad-FreeAcctRetargetingFB-Animated-ChC»1x1»SocialBan»SOC»ALL»CPC»BT»D»UNK»SS»NA»Trials</v></cell><cell r="AH1860"><v>224560848</v></cell><cell r="AI1860" t="str"><v>AZR_reeAcctRetargetingFB-Animated-ChC_FRA_1200x628_SOC_AZRDirect_French_NA_Facebook_SBAN_SINU_T3_1</v></cell><cell r="AJ1860"><v>103259775</v></cell></row><row r="1861"><cell r="C1861" t="str"><v>43295Facebook»Developers/ITPros-Azure Direct-Sponsored Post-Link Ad-FreeAcctRetargetingVMFB-OnDemand-ChE»1x1»SocialBan»SOC»ALL»CPC»BT»D»UNK»SS»NA»Trials</v></cell><cell r="D1861" t="str"><v>43295224560833</v></cell><cell r="E1861" t="str"><v>43295103376990Trials</v></cell><cell r="F1861" t="str"><v>DCM</v></cell><cell r="G1861" t="str"><v>https://azure.microsoft.com/fr-fr/free/virtual-machines/search/</v></cell></row><row r="1861"><cell r="K1861" t="str"><v>July</v></cell><cell r="L1861"><v>43295</v></cell><cell r="M1861" t="str"><v>Tier 1</v></cell><cell r="N1861" t="str"><v>EMEA</v></cell><cell r="O1861" t="str"><v>France</v></cell><cell r="P1861" t="str"><v>Trial</v></cell><cell r="Q1861" t="str"><v>Social</v></cell><cell r="R1861" t="str"><v>Azure</v></cell><cell r="S1861" t="str"><v>Apps & Infra</v></cell><cell r="T1861" t="str"><v>Developers & ITI's</v></cell><cell r="U1861" t="str"><v>Developers/ITPros-Azure Direct-Sponsored Post-Link Ad-FreeAcctRetargetingVMFB-OnDemand-ChE</v></cell><cell r="V1861" t="str"><v>Behavioral Targeting</v></cell><cell r="W1861" t="str"><v>Social</v></cell><cell r="X1861" t="str"><v>1x1</v></cell></row><row r="1861"><cell r="AA1861"><v>43295</v></cell><cell r="AB1861" t="str"><v>FRA_gaPMG_AZR_AZR_Q1_19_AzureDirect-Trial-Social</v></cell><cell r="AC1861"><v>21356941</v></cell><cell r="AD1861"><v>720193</v></cell><cell r="AE1861" t="str"><v>Facebook</v></cell><cell r="AF1861"><v>3654128</v></cell><cell r="AG1861" t="str"><v>Facebook»Developers/ITPros-Azure Direct-Sponsored Post-Link Ad-FreeAcctRetargetingVMFB-OnDemand-ChE»1x1»SocialBan»SOC»ALL»CPC»BT»D»UNK»SS»NA»Trials</v></cell><cell r="AH1861"><v>224560833</v></cell><cell r="AI1861" t="str"><v>AZR_FreeAcctRetargetingVMFB-OnDemand-ChE_FRA_1200x628_SOC_AZRDirect_French_NA_Facebook_SBAN_SINU_T2_1</v></cell><cell r="AJ1861"><v>103376990</v></cell></row><row r="1862"><cell r="C1862" t="str"><v>43295Facebook»Audience & Interest Targeting»1x1»SocialBan»LIA»DT»CPC»AUT»W»NA»SS»NA»Basic Motion</v></cell><cell r="D1862" t="str"><v>43295224399962</v></cell><cell r="E1862" t="str"><v>43295103230847Motion</v></cell><cell r="F1862" t="str"><v>DCM</v></cell><cell r="G1862" t="str"><v>https://azure.microsoft.com/en-gb/pricing/purchase-options/</v></cell></row><row r="1862"><cell r="K1862" t="str"><v>July</v></cell><cell r="L1862"><v>43295</v></cell><cell r="M1862" t="str"><v>Tier 1</v></cell><cell r="N1862" t="str"><v>EMEA</v></cell><cell r="O1862" t="str"><v>United Kingdom</v></cell><cell r="P1862" t="str"><v>Trial</v></cell><cell r="Q1862" t="str"><v>Social</v></cell><cell r="R1862" t="str"><v>Azure</v></cell><cell r="S1862" t="str"><v>Apps & Infra</v></cell><cell r="T1862" t="str"><v>Developers & ITI's</v></cell><cell r="U1862" t="str"><v>Audience & Interest Targeting</v></cell><cell r="V1862" t="str"><v>Audience Targeting</v></cell><cell r="W1862" t="str"><v>Link Ad</v></cell><cell r="X1862" t="str"><v>1x1</v></cell></row><row r="1862"><cell r="AA1862"><v>43295</v></cell><cell r="AB1862" t="str"><v>GBR_gaPMG_CE_AZR_Q1_19_Trial-Social</v></cell><cell r="AC1862"><v>21337013</v></cell><cell r="AD1862"><v>720196</v></cell><cell r="AE1862" t="str"><v>Facebook</v></cell><cell r="AF1862"><v>3654128</v></cell><cell r="AG1862" t="str"><v>Facebook»Audience & Interest Targeting»1x1»SocialBan»LIA»DT»CPC»AUT»W»NA»SS»NA»Basic Motion</v></cell><cell r="AH1862"><v>224399962</v></cell><cell r="AI1862" t="str"><v>AzurePlatform_FBCTCcanvaspage-BuyNowCTA-Img3_GBR_1080x162_SOC_Plat_English_NA_Standard_NA_BN_T3_1</v></cell><cell r="AJ1862"><v>103230847</v></cell></row><row r="1863"><cell r="C1863" t="str"><v>43295Facebook»Audience & Interest Targeting»1x1»SocialBan»LIA»DT»CPC»AUT»W»NA»SS»NA»Basic Motion</v></cell><cell r="D1863" t="str"><v>43295224399962</v></cell><cell r="E1863" t="str"><v>43295103235146Motion</v></cell><cell r="F1863" t="str"><v>DCM</v></cell><cell r="G1863" t="str"><v>https://signup.azure.com/signup?offer=ms-azr-0044p&appId=102&ref=paidmedia-social-fb&redirectURL=https%3a%2f%2fazure.microsoft.com%2fen-gb%2fget-started%2fwelcome-to-azure%2f&l=en-gb&correlationId=ead86c34-1f10-49dd-a72b-6918462a2cbf</v></cell></row><row r="1863"><cell r="K1863" t="str"><v>July</v></cell><cell r="L1863"><v>43295</v></cell><cell r="M1863" t="str"><v>Tier 1</v></cell><cell r="N1863" t="str"><v>EMEA</v></cell><cell r="O1863" t="str"><v>United Kingdom</v></cell><cell r="P1863" t="str"><v>Trial</v></cell><cell r="Q1863" t="str"><v>Social</v></cell><cell r="R1863" t="str"><v>Azure</v></cell><cell r="S1863" t="str"><v>Apps & Infra</v></cell><cell r="T1863" t="str"><v>Developers & ITI's</v></cell><cell r="U1863" t="str"><v>Audience & Interest Targeting</v></cell><cell r="V1863" t="str"><v>Audience Targeting</v></cell><cell r="W1863" t="str"><v>Link Ad</v></cell><cell r="X1863" t="str"><v>1x1</v></cell></row><row r="1863"><cell r="AA1863"><v>43295</v></cell><cell r="AB1863" t="str"><v>GBR_gaPMG_CE_AZR_Q1_19_Trial-Social</v></cell><cell r="AC1863"><v>21337013</v></cell><cell r="AD1863"><v>720196</v></cell><cell r="AE1863" t="str"><v>Facebook</v></cell><cell r="AF1863"><v>3654128</v></cell><cell r="AG1863" t="str"><v>Facebook»Audience & Interest Targeting»1x1»SocialBan»LIA»DT»CPC»AUT»W»NA»SS»NA»Basic Motion</v></cell><cell r="AH1863"><v>224399962</v></cell><cell r="AI1863" t="str"><v>AzurePlatform_FBCTCcanvaspage-StartFreeCTA-Img2_GBR_1080x143 _SOC_Plat_English_NA_Standard_NA_NA_T2_1</v></cell><cell r="AJ1863"><v>103235146</v></cell></row><row r="1864"><cell r="C1864" t="str"><v>43295Facebook»Audience & Interest Targeting»1x1»SocialBan»LIA»DT»CPC»AUT»W»NA»SS»NA»Benefit 2 in Motion</v></cell><cell r="D1864" t="str"><v>43295224334170</v></cell><cell r="E1864" t="str"><v>43295103230847Motion</v></cell><cell r="F1864" t="str"><v>DCM</v></cell><cell r="G1864" t="str"><v>https://azure.microsoft.com/en-gb/pricing/purchase-options/</v></cell></row><row r="1864"><cell r="K1864" t="str"><v>July</v></cell><cell r="L1864"><v>43295</v></cell><cell r="M1864" t="str"><v>Tier 1</v></cell><cell r="N1864" t="str"><v>EMEA</v></cell><cell r="O1864" t="str"><v>United Kingdom</v></cell><cell r="P1864" t="str"><v>Trial</v></cell><cell r="Q1864" t="str"><v>Social</v></cell><cell r="R1864" t="str"><v>Azure</v></cell><cell r="S1864" t="str"><v>Apps & Infra</v></cell><cell r="T1864" t="str"><v>Developers & ITI's</v></cell><cell r="U1864" t="str"><v>Audience & Interest Targeting</v></cell><cell r="V1864" t="str"><v>Audience Targeting</v></cell><cell r="W1864" t="str"><v>Link Ad</v></cell><cell r="X1864" t="str"><v>1x1</v></cell></row><row r="1864"><cell r="AA1864"><v>43295</v></cell><cell r="AB1864" t="str"><v>GBR_gaPMG_CE_AZR_Q1_19_Trial-Social</v></cell><cell r="AC1864"><v>21337013</v></cell><cell r="AD1864"><v>720196</v></cell><cell r="AE1864" t="str"><v>Facebook</v></cell><cell r="AF1864"><v>3654128</v></cell><cell r="AG1864" t="str"><v>Facebook»Audience & Interest Targeting»1x1»SocialBan»LIA»DT»CPC»AUT»W»NA»SS»NA»Benefit 2 in Motion</v></cell><cell r="AH1864"><v>224334170</v></cell><cell r="AI1864" t="str"><v>AzurePlatform_FBCTCcanvaspage-BuyNowCTA-Img3_GBR_1080x162_SOC_Plat_English_NA_Standard_NA_BN_T3_1</v></cell><cell r="AJ1864"><v>103230847</v></cell></row><row r="1865"><cell r="C1865" t="str"><v>43295Facebook»Audience & Interest Targeting»1x1»SocialBan»LIA»DT»CPC»AUT»W»NA»SS»NA»Benefit 2 in Motion</v></cell><cell r="D1865" t="str"><v>43295224334170</v></cell><cell r="E1865" t="str"><v>43295103235146Motion</v></cell><cell r="F1865" t="str"><v>DCM</v></cell><cell r="G1865" t="str"><v>https://signup.azure.com/signup?offer=ms-azr-0044p&appId=102&ref=paidmedia-social-fb&redirectURL=https%3a%2f%2fazure.microsoft.com%2fen-gb%2fget-started%2fwelcome-to-azure%2f&l=en-gb&correlationId=ead86c34-1f10-49dd-a72b-6918462a2cbf</v></cell></row><row r="1865"><cell r="K1865" t="str"><v>July</v></cell><cell r="L1865"><v>43295</v></cell><cell r="M1865" t="str"><v>Tier 1</v></cell><cell r="N1865" t="str"><v>EMEA</v></cell><cell r="O1865" t="str"><v>United Kingdom</v></cell><cell r="P1865" t="str"><v>Trial</v></cell><cell r="Q1865" t="str"><v>Social</v></cell><cell r="R1865" t="str"><v>Azure</v></cell><cell r="S1865" t="str"><v>Apps & Infra</v></cell><cell r="T1865" t="str"><v>Developers & ITI's</v></cell><cell r="U1865" t="str"><v>Audience & Interest Targeting</v></cell><cell r="V1865" t="str"><v>Audience Targeting</v></cell><cell r="W1865" t="str"><v>Link Ad</v></cell><cell r="X1865" t="str"><v>1x1</v></cell></row><row r="1865"><cell r="AA1865"><v>43295</v></cell><cell r="AB1865" t="str"><v>GBR_gaPMG_CE_AZR_Q1_19_Trial-Social</v></cell><cell r="AC1865"><v>21337013</v></cell><cell r="AD1865"><v>720196</v></cell><cell r="AE1865" t="str"><v>Facebook</v></cell><cell r="AF1865"><v>3654128</v></cell><cell r="AG1865" t="str"><v>Facebook»Audience & Interest Targeting»1x1»SocialBan»LIA»DT»CPC»AUT»W»NA»SS»NA»Benefit 2 in Motion</v></cell><cell r="AH1865"><v>224334170</v></cell><cell r="AI1865" t="str"><v>AzurePlatform_FBCTCcanvaspage-StartFreeCTA-Img2_GBR_1080x143 _SOC_Plat_English_NA_Standard_NA_NA_T2_1</v></cell><cell r="AJ1865"><v>103235146</v></cell></row><row r="1866"><cell r="C1866" t="str"><v>43295Facebook»Audience & Interest Targeting»1x1»SocialBan»LIA»DT»CPC»AUT»W»NA»SS»NA»Brand in Motion</v></cell><cell r="D1866" t="str"><v>43295224549481</v></cell><cell r="E1866" t="str"><v>43295103235146Motion</v></cell><cell r="F1866" t="str"><v>DCM</v></cell><cell r="G1866" t="str"><v>https://signup.azure.com/signup?offer=ms-azr-0044p&appId=102&ref=paidmedia-social-fb&redirectURL=https%3a%2f%2fazure.microsoft.com%2fen-gb%2fget-started%2fwelcome-to-azure%2f&l=en-gb&correlationId=ead86c34-1f10-49dd-a72b-6918462a2cbf</v></cell></row><row r="1866"><cell r="K1866" t="str"><v>July</v></cell><cell r="L1866"><v>43295</v></cell><cell r="M1866" t="str"><v>Tier 1</v></cell><cell r="N1866" t="str"><v>EMEA</v></cell><cell r="O1866" t="str"><v>United Kingdom</v></cell><cell r="P1866" t="str"><v>Trial</v></cell><cell r="Q1866" t="str"><v>Social</v></cell><cell r="R1866" t="str"><v>Azure</v></cell><cell r="S1866" t="str"><v>Apps & Infra</v></cell><cell r="T1866" t="str"><v>Developers & ITI's</v></cell><cell r="U1866" t="str"><v>Audience & Interest Targeting</v></cell><cell r="V1866" t="str"><v>Audience Targeting</v></cell><cell r="W1866" t="str"><v>Link Ad</v></cell><cell r="X1866" t="str"><v>1x1</v></cell></row><row r="1866"><cell r="AA1866"><v>43295</v></cell><cell r="AB1866" t="str"><v>GBR_gaPMG_CE_AZR_Q1_19_Trial-Social</v></cell><cell r="AC1866"><v>21337013</v></cell><cell r="AD1866"><v>720196</v></cell><cell r="AE1866" t="str"><v>Facebook</v></cell><cell r="AF1866"><v>3654128</v></cell><cell r="AG1866" t="str"><v>Facebook»Audience & Interest Targeting»1x1»SocialBan»LIA»DT»CPC»AUT»W»NA»SS»NA»Brand in Motion</v></cell><cell r="AH1866"><v>224549481</v></cell><cell r="AI1866" t="str"><v>AzurePlatform_FBCTCcanvaspage-StartFreeCTA-Img2_GBR_1080x143 _SOC_Plat_English_NA_Standard_NA_NA_T2_1</v></cell><cell r="AJ1866"><v>103235146</v></cell></row><row r="1867"><cell r="C1867" t="str"><v>43295Facebook»Audience & Interest Targeting»1x1»SocialBan»LIA»DT»DYN»AUT»W»NA»SS»NA»Free Account Refresh- 12 months ChE</v></cell><cell r="D1867" t="str"><v>43295223567691</v></cell><cell r="E1867" t="str"><v>43295102854007hs ChE</v></cell><cell r="F1867" t="str"><v>DCM</v></cell><cell r="G1867" t="str"><v>https://azure.microsoft.com/en-gb/free/search/</v></cell></row><row r="1867"><cell r="K1867" t="str"><v>July</v></cell><cell r="L1867"><v>43295</v></cell><cell r="M1867" t="str"><v>Tier 1</v></cell><cell r="N1867" t="str"><v>EMEA</v></cell><cell r="O1867" t="str"><v>United Kingdom</v></cell><cell r="P1867" t="str"><v>Trial</v></cell><cell r="Q1867" t="str"><v>Social</v></cell><cell r="R1867" t="str"><v>Azure</v></cell><cell r="S1867" t="str"><v>Apps & Infra</v></cell><cell r="T1867" t="str"><v>Developers & ITI's</v></cell><cell r="U1867" t="str"><v>Audience & Interest Targeting</v></cell><cell r="V1867" t="str"><v>Audience Targeting</v></cell><cell r="W1867" t="str"><v>Link Ad</v></cell><cell r="X1867" t="str"><v>1x1</v></cell></row><row r="1867"><cell r="AA1867"><v>43295</v></cell><cell r="AB1867" t="str"><v>GBR_gaPMG_CE_AZR_Q1_19_Trial-Social</v></cell><cell r="AC1867"><v>21337013</v></cell><cell r="AD1867"><v>720196</v></cell><cell r="AE1867" t="str"><v>Facebook</v></cell><cell r="AF1867"><v>3654128</v></cell><cell r="AG1867" t="str"><v>Facebook»Audience & Interest Targeting»1x1»SocialBan»LIA»DT»DYN»AUT»W»NA»SS»NA»Free Account Refresh- 12 months ChE</v></cell><cell r="AH1867"><v>223567691</v></cell><cell r="AI1867" t="str"><v>AzurePlatform_FreeAcctAppsFACEBOOK12monthsChE_GBR_1200x628_SOC_PLAT_EN_Trial_Standard_NA_SU_T5_1</v></cell><cell r="AJ1867"><v>102854007</v></cell></row><row r="1868"><cell r="C1868" t="str"><v>43295Facebook»Audience & Interest Targeting»1x1»SocialBan»LIA»DT»DYN»AUT»W»NA»SS»NA»Free Account Refresh- 200 Credit ChD</v></cell><cell r="D1868" t="str"><v>43295223560359</v></cell><cell r="E1868" t="str"><v>43295103005662it ChD</v></cell><cell r="F1868" t="str"><v>DCM</v></cell><cell r="G1868" t="str"><v>https://azure.microsoft.com/en-gb/free/search/</v></cell></row><row r="1868"><cell r="K1868" t="str"><v>July</v></cell><cell r="L1868"><v>43295</v></cell><cell r="M1868" t="str"><v>Tier 1</v></cell><cell r="N1868" t="str"><v>EMEA</v></cell><cell r="O1868" t="str"><v>United Kingdom</v></cell><cell r="P1868" t="str"><v>Trial</v></cell><cell r="Q1868" t="str"><v>Social</v></cell><cell r="R1868" t="str"><v>Azure</v></cell><cell r="S1868" t="str"><v>Apps & Infra</v></cell><cell r="T1868" t="str"><v>Developers & ITI's</v></cell><cell r="U1868" t="str"><v>Audience & Interest Targeting</v></cell><cell r="V1868" t="str"><v>Audience Targeting</v></cell><cell r="W1868" t="str"><v>Link Ad</v></cell><cell r="X1868" t="str"><v>1x1</v></cell></row><row r="1868"><cell r="AA1868"><v>43295</v></cell><cell r="AB1868" t="str"><v>GBR_gaPMG_CE_AZR_Q1_19_Trial-Social</v></cell><cell r="AC1868"><v>21337013</v></cell><cell r="AD1868"><v>720196</v></cell><cell r="AE1868" t="str"><v>Facebook</v></cell><cell r="AF1868"><v>3654128</v></cell><cell r="AG1868" t="str"><v>Facebook»Audience & Interest Targeting»1x1»SocialBan»LIA»DT»DYN»AUT»W»NA»SS»NA»Free Account Refresh- 200 Credit ChD</v></cell><cell r="AH1868"><v>223560359</v></cell><cell r="AI1868" t="str"><v>AzurePlatform_FreeAcctAppsFACEBOOK200CreditChD_GBR_1200x628_SOC_PLAT_EN_Trial_Standard_NA_SU_T4_1</v></cell><cell r="AJ1868"><v>103005662</v></cell></row><row r="1869"><cell r="C1869" t="str"><v>43295Facebook»Audience & Interest Targeting»1x1»SocialBan»LIA»DT»DYN»AUT»W»NA»SS»NA»Free Account Refresh- Device ChB</v></cell><cell r="D1869" t="str"><v>43295223560353</v></cell><cell r="E1869" t="str"><v>43295102854010ce ChB</v></cell><cell r="F1869" t="str"><v>DCM</v></cell><cell r="G1869" t="str"><v>https://azure.microsoft.com/en-gb/free/search/</v></cell></row><row r="1869"><cell r="K1869" t="str"><v>July</v></cell><cell r="L1869"><v>43295</v></cell><cell r="M1869" t="str"><v>Tier 1</v></cell><cell r="N1869" t="str"><v>EMEA</v></cell><cell r="O1869" t="str"><v>United Kingdom</v></cell><cell r="P1869" t="str"><v>Trial</v></cell><cell r="Q1869" t="str"><v>Social</v></cell><cell r="R1869" t="str"><v>Azure</v></cell><cell r="S1869" t="str"><v>Apps & Infra</v></cell><cell r="T1869" t="str"><v>Developers & ITI's</v></cell><cell r="U1869" t="str"><v>Audience & Interest Targeting</v></cell><cell r="V1869" t="str"><v>Audience Targeting</v></cell><cell r="W1869" t="str"><v>Link Ad</v></cell><cell r="X1869" t="str"><v>1x1</v></cell></row><row r="1869"><cell r="AA1869"><v>43295</v></cell><cell r="AB1869" t="str"><v>GBR_gaPMG_CE_AZR_Q1_19_Trial-Social</v></cell><cell r="AC1869"><v>21337013</v></cell><cell r="AD1869"><v>720196</v></cell><cell r="AE1869" t="str"><v>Facebook</v></cell><cell r="AF1869"><v>3654128</v></cell><cell r="AG1869" t="str"><v>Facebook»Audience & Interest Targeting»1x1»SocialBan»LIA»DT»DYN»AUT»W»NA»SS»NA»Free Account Refresh- Device ChB</v></cell><cell r="AH1869"><v>223560353</v></cell><cell r="AI1869" t="str"><v>AzurePlatform_FreeAcctAppsFACEBOOKDeviceChB_GBR_1200x628_SOC_PLAT_EN_Trial_Standard_NA_SU_T2_1</v></cell><cell r="AJ1869"><v>102854010</v></cell></row><row r="1870"><cell r="C1870" t="str"><v>43295Facebook»Audience & Interest Targeting»1x1»SocialBan»LIA»DT»DYN»AUT»W»NA»SS»NA»Free Account Refresh- Illustration ChC</v></cell><cell r="D1870" t="str"><v>43295223560347</v></cell><cell r="E1870" t="str"><v>43295102857037on ChC</v></cell><cell r="F1870" t="str"><v>DCM</v></cell><cell r="G1870" t="str"><v>https://azure.microsoft.com/en-gb/free/search/</v></cell></row><row r="1870"><cell r="K1870" t="str"><v>July</v></cell><cell r="L1870"><v>43295</v></cell><cell r="M1870" t="str"><v>Tier 1</v></cell><cell r="N1870" t="str"><v>EMEA</v></cell><cell r="O1870" t="str"><v>United Kingdom</v></cell><cell r="P1870" t="str"><v>Trial</v></cell><cell r="Q1870" t="str"><v>Social</v></cell><cell r="R1870" t="str"><v>Azure</v></cell><cell r="S1870" t="str"><v>Apps & Infra</v></cell><cell r="T1870" t="str"><v>Developers & ITI's</v></cell><cell r="U1870" t="str"><v>Audience & Interest Targeting</v></cell><cell r="V1870" t="str"><v>Audience Targeting</v></cell><cell r="W1870" t="str"><v>Link Ad</v></cell><cell r="X1870" t="str"><v>1x1</v></cell></row><row r="1870"><cell r="AA1870"><v>43295</v></cell><cell r="AB1870" t="str"><v>GBR_gaPMG_CE_AZR_Q1_19_Trial-Social</v></cell><cell r="AC1870"><v>21337013</v></cell><cell r="AD1870"><v>720196</v></cell><cell r="AE1870" t="str"><v>Facebook</v></cell><cell r="AF1870"><v>3654128</v></cell><cell r="AG1870" t="str"><v>Facebook»Audience & Interest Targeting»1x1»SocialBan»LIA»DT»DYN»AUT»W»NA»SS»NA»Free Account Refresh- Illustration ChC</v></cell><cell r="AH1870"><v>223560347</v></cell><cell r="AI1870" t="str"><v>AzurePlatform_FreeAcctAppsFACEBOOKIllustrationChC_GBR_1200x628_SOC_PLAT_EN_Trial_Standard_NA_SU_T3_1</v></cell><cell r="AJ1870"><v>102857037</v></cell></row><row r="1871"><cell r="C1871" t="str"><v>43295Facebook»Audience & Interest Targeting»1x1»SocialBan»LIA»DT»DYN»AUT»W»NA»SS»NA»Free Account Refresh- Lifestyle ChA</v></cell><cell r="D1871" t="str"><v>43295223560341</v></cell><cell r="E1871" t="str"><v>43295102853597le ChA</v></cell><cell r="F1871" t="str"><v>DCM</v></cell><cell r="G1871" t="str"><v>https://azure.microsoft.com/en-gb/free/search/</v></cell></row><row r="1871"><cell r="K1871" t="str"><v>July</v></cell><cell r="L1871"><v>43295</v></cell><cell r="M1871" t="str"><v>Tier 1</v></cell><cell r="N1871" t="str"><v>EMEA</v></cell><cell r="O1871" t="str"><v>United Kingdom</v></cell><cell r="P1871" t="str"><v>Trial</v></cell><cell r="Q1871" t="str"><v>Social</v></cell><cell r="R1871" t="str"><v>Azure</v></cell><cell r="S1871" t="str"><v>Apps & Infra</v></cell><cell r="T1871" t="str"><v>Developers & ITI's</v></cell><cell r="U1871" t="str"><v>Audience & Interest Targeting</v></cell><cell r="V1871" t="str"><v>Audience Targeting</v></cell><cell r="W1871" t="str"><v>Link Ad</v></cell><cell r="X1871" t="str"><v>1x1</v></cell></row><row r="1871"><cell r="AA1871"><v>43295</v></cell><cell r="AB1871" t="str"><v>GBR_gaPMG_CE_AZR_Q1_19_Trial-Social</v></cell><cell r="AC1871"><v>21337013</v></cell><cell r="AD1871"><v>720196</v></cell><cell r="AE1871" t="str"><v>Facebook</v></cell><cell r="AF1871"><v>3654128</v></cell><cell r="AG1871" t="str"><v>Facebook»Audience & Interest Targeting»1x1»SocialBan»LIA»DT»DYN»AUT»W»NA»SS»NA»Free Account Refresh- Lifestyle ChA</v></cell><cell r="AH1871"><v>223560341</v></cell><cell r="AI1871" t="str"><v>AzurePlatform_FreeAcctAppsFACEBOOKLifestyleChA_GBR_1200x628_SOC_PLAT_EN_Trial_Standard_NA_SU_T1_1</v></cell><cell r="AJ1871"><v>102853597</v></cell></row><row r="1872"><cell r="C1872" t="str"><v>43295Facebook»Retargeting»1x1»SocialBan»LIA»DT»DYN»RT»W»NA»SS»NA»Free Account Retargeting Generic- Animated ChC</v></cell><cell r="D1872" t="str"><v>43295223560299</v></cell><cell r="E1872" t="str"><v>43295102854019ed ChC</v></cell><cell r="F1872" t="str"><v>DCM</v></cell><cell r="G1872" t="str"><v>https://azure.microsoft.com/en-gb/free/search/</v></cell></row><row r="1872"><cell r="K1872" t="str"><v>July</v></cell><cell r="L1872"><v>43295</v></cell><cell r="M1872" t="str"><v>Tier 1</v></cell><cell r="N1872" t="str"><v>EMEA</v></cell><cell r="O1872" t="str"><v>United Kingdom</v></cell><cell r="P1872" t="str"><v>Trial</v></cell><cell r="Q1872" t="str"><v>Social</v></cell><cell r="R1872" t="str"><v>Azure</v></cell><cell r="S1872" t="str"><v>Apps & Infra</v></cell><cell r="T1872" t="str"><v>Developers & ITI's</v></cell><cell r="U1872" t="str"><v>Retargeting</v></cell><cell r="V1872" t="str"><v>Retargeting</v></cell><cell r="W1872" t="str"><v>Link Ad</v></cell><cell r="X1872" t="str"><v>1x1</v></cell></row><row r="1872"><cell r="AA1872"><v>43295</v></cell><cell r="AB1872" t="str"><v>GBR_gaPMG_CE_AZR_Q1_19_Trial-Social</v></cell><cell r="AC1872"><v>21337013</v></cell><cell r="AD1872"><v>720196</v></cell><cell r="AE1872" t="str"><v>Facebook</v></cell><cell r="AF1872"><v>3654128</v></cell><cell r="AG1872" t="str"><v>Facebook»Retargeting»1x1»SocialBan»LIA»DT»DYN»RT»W»NA»SS»NA»Free Account Retargeting Generic- Animated ChC</v></cell><cell r="AH1872"><v>223560299</v></cell><cell r="AI1872" t="str"><v>AzurePlatform_FreeAcctRetargetingFB-Animated-ChC_GBR_1200x628_SOC_Plat_EN_Free Account_Standard_ANI_SU_T3_1</v></cell><cell r="AJ1872"><v>102854019</v></cell></row><row r="1873"><cell r="C1873" t="str"><v>43295Facebook»Retargeting»1x1»SocialBan»LIA»DT»DYN»RT»W»NA»SS»NA»Free Account Retargeting Generic- Global Alt ChB</v></cell><cell r="D1873" t="str"><v>43295223560356</v></cell><cell r="E1873" t="str"><v>43295102854016lt ChB</v></cell><cell r="F1873" t="str"><v>DCM</v></cell><cell r="G1873" t="str"><v>https://azure.microsoft.com/en-gb/free/search/</v></cell></row><row r="1873"><cell r="K1873" t="str"><v>July</v></cell><cell r="L1873"><v>43295</v></cell><cell r="M1873" t="str"><v>Tier 1</v></cell><cell r="N1873" t="str"><v>EMEA</v></cell><cell r="O1873" t="str"><v>United Kingdom</v></cell><cell r="P1873" t="str"><v>Trial</v></cell><cell r="Q1873" t="str"><v>Social</v></cell><cell r="R1873" t="str"><v>Azure</v></cell><cell r="S1873" t="str"><v>Apps & Infra</v></cell><cell r="T1873" t="str"><v>Developers & ITI's</v></cell><cell r="U1873" t="str"><v>Retargeting</v></cell><cell r="V1873" t="str"><v>Retargeting</v></cell><cell r="W1873" t="str"><v>Link Ad</v></cell><cell r="X1873" t="str"><v>1x1</v></cell></row><row r="1873"><cell r="AA1873"><v>43295</v></cell><cell r="AB1873" t="str"><v>GBR_gaPMG_CE_AZR_Q1_19_Trial-Social</v></cell><cell r="AC1873"><v>21337013</v></cell><cell r="AD1873"><v>720196</v></cell><cell r="AE1873" t="str"><v>Facebook</v></cell><cell r="AF1873"><v>3654128</v></cell><cell r="AG1873" t="str"><v>Facebook»Retargeting»1x1»SocialBan»LIA»DT»DYN»RT»W»NA»SS»NA»Free Account Retargeting Generic- Global Alt ChB</v></cell><cell r="AH1873"><v>223560356</v></cell><cell r="AI1873" t="str"><v>AzurePlatform_FreeAcctRetargetingFB-GlobalAlt-ChB_GBR_1200x628_SOC_Plat_EN_Free Account_Standard_NA_SU_T2_1</v></cell><cell r="AJ1873"><v>102854016</v></cell></row><row r="1874"><cell r="C1874" t="str"><v>43295Facebook»Retargeting»1x1»SocialBan»LIA»DT»DYN»RT»W»NA»SS»NA»Free Account Retargeting OSS- Logos ChG</v></cell><cell r="D1874" t="str"><v>43295223560350</v></cell><cell r="E1874" t="str"><v>43295103006547os ChG</v></cell><cell r="F1874" t="str"><v>DCM</v></cell><cell r="G1874" t="str"><v>https://azure.microsoft.com/en-gb/free/open-source/search/</v></cell></row><row r="1874"><cell r="K1874" t="str"><v>July</v></cell><cell r="L1874"><v>43295</v></cell><cell r="M1874" t="str"><v>Tier 1</v></cell><cell r="N1874" t="str"><v>EMEA</v></cell><cell r="O1874" t="str"><v>United Kingdom</v></cell><cell r="P1874" t="str"><v>Trial</v></cell><cell r="Q1874" t="str"><v>Social</v></cell><cell r="R1874" t="str"><v>Azure</v></cell><cell r="S1874" t="str"><v>Apps & Infra</v></cell><cell r="T1874" t="str"><v>Developers & ITI's</v></cell><cell r="U1874" t="str"><v>Retargeting</v></cell><cell r="V1874" t="str"><v>Retargeting</v></cell><cell r="W1874" t="str"><v>Link Ad</v></cell><cell r="X1874" t="str"><v>1x1</v></cell></row><row r="1874"><cell r="AA1874"><v>43295</v></cell><cell r="AB1874" t="str"><v>GBR_gaPMG_CE_AZR_Q1_19_Trial-Social</v></cell><cell r="AC1874"><v>21337013</v></cell><cell r="AD1874"><v>720196</v></cell><cell r="AE1874" t="str"><v>Facebook</v></cell><cell r="AF1874"><v>3654128</v></cell><cell r="AG1874" t="str"><v>Facebook»Retargeting»1x1»SocialBan»LIA»DT»DYN»RT»W»NA»SS»NA»Free Account Retargeting OSS- Logos ChG</v></cell><cell r="AH1874"><v>223560350</v></cell><cell r="AI1874" t="str"><v>AzurePlatform_FreeAcctRetargetingOSSFB-Logos-ChG_GBR_1200x628_SOC_Plat_EN_Free Account_Standard_NA_SU_T2_1</v></cell><cell r="AJ1874"><v>103006547</v></cell></row><row r="1875"><cell r="C1875" t="str"><v>43295Facebook»Retargeting»1x1»SocialBan»LIA»DT»DYN»RT»W»NA»SS»NA»Free Account Retargeting OSS- Text ChF</v></cell><cell r="D1875" t="str"><v>43295223560344</v></cell><cell r="E1875" t="str"><v>43295102861246xt ChF</v></cell><cell r="F1875" t="str"><v>DCM</v></cell><cell r="G1875" t="str"><v>https://azure.microsoft.com/en-gb/free/open-source/search/</v></cell></row><row r="1875"><cell r="K1875" t="str"><v>July</v></cell><cell r="L1875"><v>43295</v></cell><cell r="M1875" t="str"><v>Tier 1</v></cell><cell r="N1875" t="str"><v>EMEA</v></cell><cell r="O1875" t="str"><v>United Kingdom</v></cell><cell r="P1875" t="str"><v>Trial</v></cell><cell r="Q1875" t="str"><v>Social</v></cell><cell r="R1875" t="str"><v>Azure</v></cell><cell r="S1875" t="str"><v>Apps & Infra</v></cell><cell r="T1875" t="str"><v>Developers & ITI's</v></cell><cell r="U1875" t="str"><v>Retargeting</v></cell><cell r="V1875" t="str"><v>Retargeting</v></cell><cell r="W1875" t="str"><v>Link Ad</v></cell><cell r="X1875" t="str"><v>1x1</v></cell></row><row r="1875"><cell r="AA1875"><v>43295</v></cell><cell r="AB1875" t="str"><v>GBR_gaPMG_CE_AZR_Q1_19_Trial-Social</v></cell><cell r="AC1875"><v>21337013</v></cell><cell r="AD1875"><v>720196</v></cell><cell r="AE1875" t="str"><v>Facebook</v></cell><cell r="AF1875"><v>3654128</v></cell><cell r="AG1875" t="str"><v>Facebook»Retargeting»1x1»SocialBan»LIA»DT»DYN»RT»W»NA»SS»NA»Free Account Retargeting OSS- Text ChF</v></cell><cell r="AH1875"><v>223560344</v></cell><cell r="AI1875" t="str"><v>AzurePlatform_FreeAcctRetargetingOSSFB-Text-ChF_GBR_1200x628_SOC_Plat_EN_Free Account_Standard_NA_SU_T1_1</v></cell><cell r="AJ1875"><v>102861246</v></cell></row><row r="1876"><cell r="C1876" t="str"><v>43295Facebook»Retargeting»1x1»SocialBan»LIA»DT»DYN»RT»W»NA»SS»NA»Free Account Retargeting VM- 750 Hrs ChD</v></cell><cell r="D1876" t="str"><v>43295223560338</v></cell><cell r="E1876" t="str"><v>43295102853603rs ChD</v></cell><cell r="F1876" t="str"><v>DCM</v></cell><cell r="G1876" t="str"><v>https://azure.microsoft.com/en-gb/free/virtual-machines/search/</v></cell></row><row r="1876"><cell r="K1876" t="str"><v>July</v></cell><cell r="L1876"><v>43295</v></cell><cell r="M1876" t="str"><v>Tier 1</v></cell><cell r="N1876" t="str"><v>EMEA</v></cell><cell r="O1876" t="str"><v>United Kingdom</v></cell><cell r="P1876" t="str"><v>Trial</v></cell><cell r="Q1876" t="str"><v>Social</v></cell><cell r="R1876" t="str"><v>Azure</v></cell><cell r="S1876" t="str"><v>Apps & Infra</v></cell><cell r="T1876" t="str"><v>Developers & ITI's</v></cell><cell r="U1876" t="str"><v>Retargeting</v></cell><cell r="V1876" t="str"><v>Retargeting</v></cell><cell r="W1876" t="str"><v>Link Ad</v></cell><cell r="X1876" t="str"><v>1x1</v></cell></row><row r="1876"><cell r="AA1876"><v>43295</v></cell><cell r="AB1876" t="str"><v>GBR_gaPMG_CE_AZR_Q1_19_Trial-Social</v></cell><cell r="AC1876"><v>21337013</v></cell><cell r="AD1876"><v>720196</v></cell><cell r="AE1876" t="str"><v>Facebook</v></cell><cell r="AF1876"><v>3654128</v></cell><cell r="AG1876" t="str"><v>Facebook»Retargeting»1x1»SocialBan»LIA»DT»DYN»RT»W»NA»SS»NA»Free Account Retargeting VM- 750 Hrs ChD</v></cell><cell r="AH1876"><v>223560338</v></cell><cell r="AI1876" t="str"><v>AzurePlatform_FreeAcctRetargetingVMFB-750Hrs-ChD_GBR_1200x628_SOC_Plat_EN_Free Account_Standard_NA_SU_T1_1</v></cell><cell r="AJ1876"><v>102853603</v></cell></row><row r="1877"><cell r="C1877" t="str"><v>43295Facebook»Retargeting»1x1»SocialBan»LIA»DT»DYN»RT»W»NA»SS»NA»Free Account Retargeting VM- On Demand ChE</v></cell><cell r="D1877" t="str"><v>43295223560332</v></cell><cell r="E1877" t="str"><v>43295102854037nd ChE</v></cell><cell r="F1877" t="str"><v>DCM</v></cell><cell r="G1877" t="str"><v>https://azure.microsoft.com/en-gb/free/virtual-machines/search/</v></cell></row><row r="1877"><cell r="K1877" t="str"><v>July</v></cell><cell r="L1877"><v>43295</v></cell><cell r="M1877" t="str"><v>Tier 1</v></cell><cell r="N1877" t="str"><v>EMEA</v></cell><cell r="O1877" t="str"><v>United Kingdom</v></cell><cell r="P1877" t="str"><v>Trial</v></cell><cell r="Q1877" t="str"><v>Social</v></cell><cell r="R1877" t="str"><v>Azure</v></cell><cell r="S1877" t="str"><v>Apps & Infra</v></cell><cell r="T1877" t="str"><v>Developers & ITI's</v></cell><cell r="U1877" t="str"><v>Retargeting</v></cell><cell r="V1877" t="str"><v>Retargeting</v></cell><cell r="W1877" t="str"><v>Link Ad</v></cell><cell r="X1877" t="str"><v>1x1</v></cell></row><row r="1877"><cell r="AA1877"><v>43295</v></cell><cell r="AB1877" t="str"><v>GBR_gaPMG_CE_AZR_Q1_19_Trial-Social</v></cell><cell r="AC1877"><v>21337013</v></cell><cell r="AD1877"><v>720196</v></cell><cell r="AE1877" t="str"><v>Facebook</v></cell><cell r="AF1877"><v>3654128</v></cell><cell r="AG1877" t="str"><v>Facebook»Retargeting»1x1»SocialBan»LIA»DT»DYN»RT»W»NA»SS»NA»Free Account Retargeting VM- On Demand ChE</v></cell><cell r="AH1877"><v>223560332</v></cell><cell r="AI1877" t="str"><v>AzurePlatform_FreeAcctRetargetingVMFB-OnDemand-ChE_GBR_1200x628_SOC_Plat_EN_Free Account_Standard_NA_SU_T2_1</v></cell><cell r="AJ1877"><v>102854037</v></cell></row><row r="1878"><cell r="C1878" t="str"><v>43295Facebook»AZP-Canvas-Interest&Role-Trial»1x1»Canvas»OTH»MO»CPM»PRO»X»UNK»TP»OT»Canvas-Trial</v></cell><cell r="D1878" t="str"><v>43295223298805</v></cell><cell r="E1878" t="str"><v>43295102630373-Trial</v></cell><cell r="F1878" t="str"><v>DCM</v></cell><cell r="G1878" t="str"><v>https://azure.microsoft.com/ja-jp/pricing/purchase-options/</v></cell></row><row r="1878"><cell r="K1878" t="str"><v>July</v></cell><cell r="L1878"><v>43295</v></cell><cell r="M1878" t="str"><v>Tier 1</v></cell><cell r="N1878" t="str"><v>APAC</v></cell><cell r="O1878" t="str"><v>Japan</v></cell><cell r="P1878" t="str"><v>Trial</v></cell><cell r="Q1878" t="str"><v>Social</v></cell><cell r="R1878" t="str"><v>Azure</v></cell><cell r="S1878" t="str"><v>Apps & Infra</v></cell><cell r="T1878" t="str"><v>Developers & ITI's</v></cell><cell r="U1878" t="str"><v>AZP-Canvas-Interest&Role-Trial</v></cell><cell r="V1878" t="str"><v>Prospecting</v></cell><cell r="W1878" t="str"><v>Other</v></cell><cell r="X1878" t="str"><v>1x1</v></cell></row><row r="1878"><cell r="AA1878"><v>43295</v></cell><cell r="AB1878" t="str"><v>JPN_gaPMG_AZR_AZR_Q1_19_Trial-Social</v></cell><cell r="AC1878"><v>21276694</v></cell><cell r="AD1878"><v>720195</v></cell><cell r="AE1878" t="str"><v>Facebook</v></cell><cell r="AF1878"><v>3654128</v></cell><cell r="AG1878" t="str"><v>Facebook»AZP-Canvas-Interest&Role-Trial»1x1»Canvas»OTH»MO»CPM»PRO»X»UNK»TP»OT»Canvas-Trial</v></cell><cell r="AH1878"><v>223298805</v></cell><cell r="AI1878" t="str"><v>AzurePlatform_FBCTCcanvaspage-BuyNowCTA-Img3_JPN_1080x162_SOC_Plat_Japanese_NA_Standard_NA_BN_T3_1</v></cell><cell r="AJ1878"><v>102630373</v></cell></row><row r="1879"><cell r="C1879" t="str"><v>43295Facebook»AZP-Canvas-Interest&Role-Trial»1x1»Canvas»OTH»MO»CPM»PRO»X»UNK»TP»OT»Canvas-Trial</v></cell><cell r="D1879" t="str"><v>43295223298805</v></cell><cell r="E1879" t="str"><v>43295102609621-Trial</v></cell><cell r="F1879" t="str"><v>DCM</v></cell><cell r="G1879" t="str"><v>https://signup.azure.com/signup?offer=ms-azr-0044p&appId=102&ref=paidmedia-social-fb&redirectURL=https%3a%2f%2fazure.microsoft.com%2fja-jp%2fget-started%2fwelcome-to-azure%2f&l=ja-jp&correlationId=ead86c34-1f10-49dd-a72b-6918462a2cbf</v></cell></row><row r="1879"><cell r="K1879" t="str"><v>July</v></cell><cell r="L1879"><v>43295</v></cell><cell r="M1879" t="str"><v>Tier 1</v></cell><cell r="N1879" t="str"><v>APAC</v></cell><cell r="O1879" t="str"><v>Japan</v></cell><cell r="P1879" t="str"><v>Trial</v></cell><cell r="Q1879" t="str"><v>Social</v></cell><cell r="R1879" t="str"><v>Azure</v></cell><cell r="S1879" t="str"><v>Apps & Infra</v></cell><cell r="T1879" t="str"><v>Developers & ITI's</v></cell><cell r="U1879" t="str"><v>AZP-Canvas-Interest&Role-Trial</v></cell><cell r="V1879" t="str"><v>Prospecting</v></cell><cell r="W1879" t="str"><v>Other</v></cell><cell r="X1879" t="str"><v>1x1</v></cell></row><row r="1879"><cell r="AA1879"><v>43295</v></cell><cell r="AB1879" t="str"><v>JPN_gaPMG_AZR_AZR_Q1_19_Trial-Social</v></cell><cell r="AC1879"><v>21276694</v></cell><cell r="AD1879"><v>720195</v></cell><cell r="AE1879" t="str"><v>Facebook</v></cell><cell r="AF1879"><v>3654128</v></cell><cell r="AG1879" t="str"><v>Facebook»AZP-Canvas-Interest&Role-Trial»1x1»Canvas»OTH»MO»CPM»PRO»X»UNK»TP»OT»Canvas-Trial</v></cell><cell r="AH1879"><v>223298805</v></cell><cell r="AI1879" t="str"><v>AzurePlatform_FBCTCcanvaspage-StartFreeCTA-Img2_JPN_1080x143 _SOC_Plat_Japanese_NA_Standard_NA_NA_T2_1</v></cell><cell r="AJ1879"><v>102609621</v></cell></row><row r="1880"><cell r="C1880" t="str"><v>43295Facebook»AZP-Canvas-Look a Like-Trial»1x1»Canvas»OTH»MO»CPM»PRO»X»UNK»TP»OT»Canvas-Trial</v></cell><cell r="D1880" t="str"><v>43295223297413</v></cell><cell r="E1880" t="str"><v>43295102609621-Trial</v></cell><cell r="F1880" t="str"><v>DCM</v></cell><cell r="G1880" t="str"><v>https://signup.azure.com/signup?offer=ms-azr-0044p&appId=102&ref=paidmedia-social-fb&redirectURL=https%3a%2f%2fazure.microsoft.com%2fja-jp%2fget-started%2fwelcome-to-azure%2f&l=ja-jp&correlationId=ead86c34-1f10-49dd-a72b-6918462a2cbf</v></cell></row><row r="1880"><cell r="K1880" t="str"><v>July</v></cell><cell r="L1880"><v>43295</v></cell><cell r="M1880" t="str"><v>Tier 1</v></cell><cell r="N1880" t="str"><v>APAC</v></cell><cell r="O1880" t="str"><v>Japan</v></cell><cell r="P1880" t="str"><v>Trial</v></cell><cell r="Q1880" t="str"><v>Social</v></cell><cell r="R1880" t="str"><v>Azure</v></cell><cell r="S1880" t="str"><v>Apps & Infra</v></cell><cell r="T1880" t="str"><v>Developers & ITI's</v></cell><cell r="U1880" t="str"><v>AZP-Canvas-Look a Like-Trial</v></cell><cell r="V1880" t="str"><v>Prospecting</v></cell><cell r="W1880" t="str"><v>Other</v></cell><cell r="X1880" t="str"><v>1x1</v></cell></row><row r="1880"><cell r="AA1880"><v>43295</v></cell><cell r="AB1880" t="str"><v>JPN_gaPMG_AZR_AZR_Q1_19_Trial-Social</v></cell><cell r="AC1880"><v>21276694</v></cell><cell r="AD1880"><v>720195</v></cell><cell r="AE1880" t="str"><v>Facebook</v></cell><cell r="AF1880"><v>3654128</v></cell><cell r="AG1880" t="str"><v>Facebook»AZP-Canvas-Look a Like-Trial»1x1»Canvas»OTH»MO»CPM»PRO»X»UNK»TP»OT»Canvas-Trial</v></cell><cell r="AH1880"><v>223297413</v></cell><cell r="AI1880" t="str"><v>AzurePlatform_FBCTCcanvaspage-StartFreeCTA-Img2_JPN_1080x143 _SOC_Plat_Japanese_NA_Standard_NA_NA_T2_1</v></cell><cell r="AJ1880"><v>102609621</v></cell></row><row r="1881"><cell r="C1881" t="str"><v>43295Facebook»AZP-Retargeting»1x1»Ban»LIA»ALL»CPM»RT»X»All»TP»OT»Free Account Retargeting Generic-ChB</v></cell><cell r="D1881" t="str"><v>43295223726377</v></cell><cell r="E1881" t="str"><v>43295102977720ic-ChB</v></cell><cell r="F1881" t="str"><v>DCM</v></cell><cell r="G1881" t="str"><v>https://azure.microsoft.com/ja-jp/free/search/</v></cell></row><row r="1881"><cell r="K1881" t="str"><v>July</v></cell><cell r="L1881"><v>43295</v></cell><cell r="M1881" t="str"><v>Tier 1</v></cell><cell r="N1881" t="str"><v>APAC</v></cell><cell r="O1881" t="str"><v>Japan</v></cell><cell r="P1881" t="str"><v>Trial</v></cell><cell r="Q1881" t="str"><v>Social</v></cell><cell r="R1881" t="str"><v>Azure</v></cell><cell r="S1881" t="str"><v>Apps & Infra</v></cell><cell r="T1881" t="str"><v>Developers & ITI's</v></cell><cell r="U1881" t="str"><v>AZP-Retargeting</v></cell><cell r="V1881" t="str"><v>Retargeting</v></cell><cell r="W1881" t="str"><v>Link Ad</v></cell><cell r="X1881" t="str"><v>1x1</v></cell></row><row r="1881"><cell r="AA1881"><v>43295</v></cell><cell r="AB1881" t="str"><v>JPN_gaPMG_AZR_AZR_Q1_19_Trial-Social</v></cell><cell r="AC1881"><v>21276694</v></cell><cell r="AD1881"><v>720195</v></cell><cell r="AE1881" t="str"><v>Facebook</v></cell><cell r="AF1881"><v>3654128</v></cell><cell r="AG1881" t="str"><v>Facebook»AZP-Retargeting»1x1»Ban»LIA»ALL»CPM»RT»X»All»TP»OT»Free Account Retargeting Generic-ChB</v></cell><cell r="AH1881"><v>223726377</v></cell><cell r="AI1881" t="str"><v>AzurePlatform_FreeAcctRetargetingFB-GlobalAlt-ChB_JPN_1200x628_SOC_Plat_JA_Free Account_Standard_NA_SU_T2_1</v></cell><cell r="AJ1881"><v>102977720</v></cell></row><row r="1882"><cell r="C1882" t="str"><v>43295Facebook»AZP-Retargeting»1x1»Ban»LIA»ALL»CPM»RT»X»All»TP»OT»Free Account Retargeting OSS-ChF</v></cell><cell r="D1882" t="str"><v>43295223726368</v></cell><cell r="E1882" t="str"><v>43295102974750SS-ChF</v></cell><cell r="F1882" t="str"><v>DCM</v></cell><cell r="G1882" t="str"><v>https://azure.microsoft.com/ja-jp/free/open-source/search/</v></cell></row><row r="1882"><cell r="K1882" t="str"><v>July</v></cell><cell r="L1882"><v>43295</v></cell><cell r="M1882" t="str"><v>Tier 1</v></cell><cell r="N1882" t="str"><v>APAC</v></cell><cell r="O1882" t="str"><v>Japan</v></cell><cell r="P1882" t="str"><v>Trial</v></cell><cell r="Q1882" t="str"><v>Social</v></cell><cell r="R1882" t="str"><v>Azure</v></cell><cell r="S1882" t="str"><v>Apps & Infra</v></cell><cell r="T1882" t="str"><v>Developers & ITI's</v></cell><cell r="U1882" t="str"><v>AZP-Retargeting</v></cell><cell r="V1882" t="str"><v>Retargeting</v></cell><cell r="W1882" t="str"><v>Link Ad</v></cell><cell r="X1882" t="str"><v>1x1</v></cell></row><row r="1882"><cell r="AA1882"><v>43295</v></cell><cell r="AB1882" t="str"><v>JPN_gaPMG_AZR_AZR_Q1_19_Trial-Social</v></cell><cell r="AC1882"><v>21276694</v></cell><cell r="AD1882"><v>720195</v></cell><cell r="AE1882" t="str"><v>Facebook</v></cell><cell r="AF1882"><v>3654128</v></cell><cell r="AG1882" t="str"><v>Facebook»AZP-Retargeting»1x1»Ban»LIA»ALL»CPM»RT»X»All»TP»OT»Free Account Retargeting OSS-ChF</v></cell><cell r="AH1882"><v>223726368</v></cell><cell r="AI1882" t="str"><v>AzurePlatform_FreeAcctRetargetingOSSFB-Text-ChF_JPN_1200x628_SOC_Plat_JA_Free Account_Standard_NA_SU_T1_1</v></cell><cell r="AJ1882"><v>102974750</v></cell></row><row r="1883"><cell r="C1883" t="str"><v>43295Facebook»AZP-Retargeting»1x1»Ban»LIA»ALL»CPM»RT»X»All»TP»OT»Free Account Retargeting OSS-ChG</v></cell><cell r="D1883" t="str"><v>43295223726365</v></cell><cell r="E1883" t="str"><v>43295102976850SS-ChG</v></cell><cell r="F1883" t="str"><v>DCM</v></cell><cell r="G1883" t="str"><v>https://azure.microsoft.com/ja-jp/free/open-source/search/</v></cell></row><row r="1883"><cell r="K1883" t="str"><v>July</v></cell><cell r="L1883"><v>43295</v></cell><cell r="M1883" t="str"><v>Tier 1</v></cell><cell r="N1883" t="str"><v>APAC</v></cell><cell r="O1883" t="str"><v>Japan</v></cell><cell r="P1883" t="str"><v>Trial</v></cell><cell r="Q1883" t="str"><v>Social</v></cell><cell r="R1883" t="str"><v>Azure</v></cell><cell r="S1883" t="str"><v>Apps & Infra</v></cell><cell r="T1883" t="str"><v>Developers & ITI's</v></cell><cell r="U1883" t="str"><v>AZP-Retargeting</v></cell><cell r="V1883" t="str"><v>Retargeting</v></cell><cell r="W1883" t="str"><v>Link Ad</v></cell><cell r="X1883" t="str"><v>1x1</v></cell></row><row r="1883"><cell r="AA1883"><v>43295</v></cell><cell r="AB1883" t="str"><v>JPN_gaPMG_AZR_AZR_Q1_19_Trial-Social</v></cell><cell r="AC1883"><v>21276694</v></cell><cell r="AD1883"><v>720195</v></cell><cell r="AE1883" t="str"><v>Facebook</v></cell><cell r="AF1883"><v>3654128</v></cell><cell r="AG1883" t="str"><v>Facebook»AZP-Retargeting»1x1»Ban»LIA»ALL»CPM»RT»X»All»TP»OT»Free Account Retargeting OSS-ChG</v></cell><cell r="AH1883"><v>223726365</v></cell><cell r="AI1883" t="str"><v>AzurePlatform_FreeAcctRetargetingOSSFB-Logos-ChG_JPN_1200x628_SOC_Plat_JA_Free Account_Standard_NA_SU_T2_1</v></cell><cell r="AJ1883"><v>102976850</v></cell></row><row r="1884"><cell r="C1884" t="str"><v>43295Facebook»AZP-Retargeting»1x1»Ban»LIA»ALL»CPM»RT»X»All»TP»OT»Free Account Retargeting VM-ChD</v></cell><cell r="D1884" t="str"><v>43295223726374</v></cell><cell r="E1884" t="str"><v>43295102971306VM-ChD</v></cell><cell r="F1884" t="str"><v>DCM</v></cell><cell r="G1884" t="str"><v>https://azure.microsoft.com/ja-jp/free/virtual-machines/search/</v></cell></row><row r="1884"><cell r="K1884" t="str"><v>July</v></cell><cell r="L1884"><v>43295</v></cell><cell r="M1884" t="str"><v>Tier 1</v></cell><cell r="N1884" t="str"><v>APAC</v></cell><cell r="O1884" t="str"><v>Japan</v></cell><cell r="P1884" t="str"><v>Trial</v></cell><cell r="Q1884" t="str"><v>Social</v></cell><cell r="R1884" t="str"><v>Azure</v></cell><cell r="S1884" t="str"><v>Apps & Infra</v></cell><cell r="T1884" t="str"><v>Developers & ITI's</v></cell><cell r="U1884" t="str"><v>AZP-Retargeting</v></cell><cell r="V1884" t="str"><v>Retargeting</v></cell><cell r="W1884" t="str"><v>Link Ad</v></cell><cell r="X1884" t="str"><v>1x1</v></cell></row><row r="1884"><cell r="AA1884"><v>43295</v></cell><cell r="AB1884" t="str"><v>JPN_gaPMG_AZR_AZR_Q1_19_Trial-Social</v></cell><cell r="AC1884"><v>21276694</v></cell><cell r="AD1884"><v>720195</v></cell><cell r="AE1884" t="str"><v>Facebook</v></cell><cell r="AF1884"><v>3654128</v></cell><cell r="AG1884" t="str"><v>Facebook»AZP-Retargeting»1x1»Ban»LIA»ALL»CPM»RT»X»All»TP»OT»Free Account Retargeting VM-ChD</v></cell><cell r="AH1884"><v>223726374</v></cell><cell r="AI1884" t="str"><v>AzurePlatform_FreeAcctRetargetingVMFB-750Hrs-ChD_JPN_1200x628_SOC_Plat_JA_Free Account_Standard_NA_SU_T1_1</v></cell><cell r="AJ1884"><v>102971306</v></cell></row><row r="1885"><cell r="C1885" t="str"><v>43295Facebook»AZP-Retargeting»1x1»Canvas»OTH»MO»CPM»RT»W»UNK»TP»OT»Trial-Basicmotion</v></cell><cell r="D1885" t="str"><v>43295223298811</v></cell><cell r="E1885" t="str"><v>43295102773984motion</v></cell><cell r="F1885" t="str"><v>DCM</v></cell><cell r="G1885" t="str"><v>https://azure.microsoft.com/ja-jp/free/search/</v></cell></row><row r="1885"><cell r="K1885" t="str"><v>July</v></cell><cell r="L1885"><v>43295</v></cell><cell r="M1885" t="str"><v>Tier 1</v></cell><cell r="N1885" t="str"><v>APAC</v></cell><cell r="O1885" t="str"><v>Japan</v></cell><cell r="P1885" t="str"><v>Trial</v></cell><cell r="Q1885" t="str"><v>Social</v></cell><cell r="R1885" t="str"><v>Azure</v></cell><cell r="S1885" t="str"><v>Apps & Infra</v></cell><cell r="T1885" t="str"><v>Developers & ITI's</v></cell><cell r="U1885" t="str"><v>AZP-Retargeting</v></cell><cell r="V1885" t="str"><v>Retargeting</v></cell><cell r="W1885" t="str"><v>Other</v></cell><cell r="X1885" t="str"><v>1x1</v></cell></row><row r="1885"><cell r="AA1885"><v>43295</v></cell><cell r="AB1885" t="str"><v>JPN_gaPMG_AZR_AZR_Q1_19_Trial-Social</v></cell><cell r="AC1885"><v>21276694</v></cell><cell r="AD1885"><v>720195</v></cell><cell r="AE1885" t="str"><v>Facebook</v></cell><cell r="AF1885"><v>3654128</v></cell><cell r="AG1885" t="str"><v>Facebook»AZP-Retargeting»1x1»Canvas»OTH»MO»CPM»RT»W»UNK»TP»OT»Trial-Basicmotion</v></cell><cell r="AH1885"><v>223298811</v></cell><cell r="AI1885" t="str"><v>AzurePlatform_FBCTCBasicMotion_JPN_10sec_ISV_PLAT_JA_Trial_Standard_STAN_TN_T1_1</v></cell><cell r="AJ1885"><v>102773984</v></cell></row><row r="1886"><cell r="C1886" t="str"><v>43295Facebook»AZP-Retargeting»1x1»Canvas»OTH»MO»CPM»RT»W»UNK»TP»OT»Trial-Benefit2inMotion</v></cell><cell r="D1886" t="str"><v>43295223298496</v></cell><cell r="E1886" t="str"><v>43295102630376Motion</v></cell><cell r="F1886" t="str"><v>DCM</v></cell><cell r="G1886" t="str"><v>https://azure.microsoft.com/ja-jp/free/search/</v></cell></row><row r="1886"><cell r="K1886" t="str"><v>July</v></cell><cell r="L1886"><v>43295</v></cell><cell r="M1886" t="str"><v>Tier 1</v></cell><cell r="N1886" t="str"><v>APAC</v></cell><cell r="O1886" t="str"><v>Japan</v></cell><cell r="P1886" t="str"><v>Trial</v></cell><cell r="Q1886" t="str"><v>Social</v></cell><cell r="R1886" t="str"><v>Azure</v></cell><cell r="S1886" t="str"><v>Apps & Infra</v></cell><cell r="T1886" t="str"><v>Developers & ITI's</v></cell><cell r="U1886" t="str"><v>AZP-Retargeting</v></cell><cell r="V1886" t="str"><v>Retargeting</v></cell><cell r="W1886" t="str"><v>Other</v></cell><cell r="X1886" t="str"><v>1x1</v></cell></row><row r="1886"><cell r="AA1886"><v>43295</v></cell><cell r="AB1886" t="str"><v>JPN_gaPMG_AZR_AZR_Q1_19_Trial-Social</v></cell><cell r="AC1886"><v>21276694</v></cell><cell r="AD1886"><v>720195</v></cell><cell r="AE1886" t="str"><v>Facebook</v></cell><cell r="AF1886"><v>3654128</v></cell><cell r="AG1886" t="str"><v>Facebook»AZP-Retargeting»1x1»Canvas»OTH»MO»CPM»RT»W»UNK»TP»OT»Trial-Benefit2inMotion</v></cell><cell r="AH1886"><v>223298496</v></cell><cell r="AI1886" t="str"><v>AzurePlatform_FBCTCBenefit2inMotion_JPN_14sec_ISV_PLAT_JA_Trial_Standard_STAN_TN_T4_1</v></cell><cell r="AJ1886"><v>102630376</v></cell></row><row r="1887"><cell r="C1887" t="str"><v>43295Facebook»AZP-Retargeting»1x1»Canvas»OTH»MO»CPM»RT»W»UNK»TP»OT»Trial-BrandinMotion</v></cell><cell r="D1887" t="str"><v>43295223298823</v></cell><cell r="E1887" t="str"><v>43295102612720Motion</v></cell><cell r="F1887" t="str"><v>DCM</v></cell><cell r="G1887" t="str"><v>https://azure.microsoft.com/ja-jp/free/search/</v></cell></row><row r="1887"><cell r="K1887" t="str"><v>July</v></cell><cell r="L1887"><v>43295</v></cell><cell r="M1887" t="str"><v>Tier 1</v></cell><cell r="N1887" t="str"><v>APAC</v></cell><cell r="O1887" t="str"><v>Japan</v></cell><cell r="P1887" t="str"><v>Trial</v></cell><cell r="Q1887" t="str"><v>Social</v></cell><cell r="R1887" t="str"><v>Azure</v></cell><cell r="S1887" t="str"><v>Apps & Infra</v></cell><cell r="T1887" t="str"><v>Developers & ITI's</v></cell><cell r="U1887" t="str"><v>AZP-Retargeting</v></cell><cell r="V1887" t="str"><v>Retargeting</v></cell><cell r="W1887" t="str"><v>Other</v></cell><cell r="X1887" t="str"><v>1x1</v></cell></row><row r="1887"><cell r="AA1887"><v>43295</v></cell><cell r="AB1887" t="str"><v>JPN_gaPMG_AZR_AZR_Q1_19_Trial-Social</v></cell><cell r="AC1887"><v>21276694</v></cell><cell r="AD1887"><v>720195</v></cell><cell r="AE1887" t="str"><v>Facebook</v></cell><cell r="AF1887"><v>3654128</v></cell><cell r="AG1887" t="str"><v>Facebook»AZP-Retargeting»1x1»Canvas»OTH»MO»CPM»RT»W»UNK»TP»OT»Trial-BrandinMotion</v></cell><cell r="AH1887"><v>223298823</v></cell><cell r="AI1887" t="str"><v>AzurePlatform_FBCTCBrandinMotion_JPN_12sec_ISV_PLAT_JA_Trial_Standard_STAN_TN_T2_1</v></cell><cell r="AJ1887"><v>102612720</v></cell></row><row r="1888"><cell r="C1888" t="str"><v>43295FACEBOOK»USA-Trial-ITD-Interest Prospecting-AZR-AZR»1 x 1»SocialBan»CAN»ALL»CPA»PRO»X»NA»SS»NA»FBCTCBasicMotion»PRC1SV</v></cell><cell r="D1888" t="str"><v>43295223934062</v></cell><cell r="E1888" t="str"><v>43295103043823PRC1SV</v></cell><cell r="F1888" t="str"><v>DCM</v></cell><cell r="G1888" t="str"><v>https://signup.azure.com/?OCID=AID%eexcid!_OLA_%ebuy!_%epid!_%ecid!</v></cell></row><row r="1888"><cell r="K1888" t="str"><v>July</v></cell><cell r="L1888"><v>43295</v></cell><cell r="M1888" t="str"><v>Tier 0</v></cell><cell r="N1888" t="str"><v>North America</v></cell><cell r="O1888" t="str"><v>United States</v></cell><cell r="P1888" t="str"><v>Trial</v></cell><cell r="Q1888" t="str"><v>Social</v></cell><cell r="R1888" t="str"><v>Azure</v></cell><cell r="S1888" t="str"><v>Apps & Infra</v></cell><cell r="T1888" t="str"><v>Developers & ITI's</v></cell><cell r="U1888" t="str"><v>USA-Trial-ITD-Interest Prospecting-AZR-AZR</v></cell><cell r="V1888" t="str"><v>Prospecting</v></cell><cell r="W1888" t="str"><v>Canvas Ad</v></cell><cell r="X1888" t="str"><v>1x1</v></cell></row><row r="1888"><cell r="AA1888"><v>43295</v></cell><cell r="AB1888" t="str"><v>USA_gaPMG_AZR_AZR_Q1_19_Direct-Social</v></cell><cell r="AC1888"><v>21358715</v></cell><cell r="AD1888"><v>720197</v></cell><cell r="AE1888" t="str"><v>Facebook</v></cell><cell r="AF1888"><v>3654128</v></cell><cell r="AG1888" t="str"><v>FACEBOOK»USA-Trial-ITD-Interest Prospecting-AZR-AZR»1 x 1»SocialBan»CAN»ALL»CPA»PRO»X»NA»SS»NA»FBCTCBasicMotion»PRC1SV</v></cell><cell r="AH1888"><v>223934062</v></cell><cell r="AI1888" t="str"><v>AzurePlatform_FBCTCBasicMotion_USA_10s_CAN_PLATFORM_English_Trial_Standard_STAN_TIN_T1_1</v></cell><cell r="AJ1888"><v>103043823</v></cell></row><row r="1889"><cell r="C1889" t="str"><v>43295FACEBOOK»USA-Trial-ITD-Interest Prospecting-AZR-AZR»1 x 1»SocialBan»CAN»ALL»CPA»PRO»X»NA»SS»NA»FBCTCBenefit2inMotion»PRC1SW</v></cell><cell r="D1889" t="str"><v>43295223933138</v></cell><cell r="E1889" t="str"><v>43295103043835PRC1SW</v></cell><cell r="F1889" t="str"><v>DCM</v></cell><cell r="G1889" t="str"><v>https://signup.azure.com/?OCID=AID%eexcid!_OLA_%ebuy!_%epid!_%ecid!</v></cell></row><row r="1889"><cell r="K1889" t="str"><v>July</v></cell><cell r="L1889"><v>43295</v></cell><cell r="M1889" t="str"><v>Tier 0</v></cell><cell r="N1889" t="str"><v>North America</v></cell><cell r="O1889" t="str"><v>United States</v></cell><cell r="P1889" t="str"><v>Trial</v></cell><cell r="Q1889" t="str"><v>Social</v></cell><cell r="R1889" t="str"><v>Azure</v></cell><cell r="S1889" t="str"><v>Apps & Infra</v></cell><cell r="T1889" t="str"><v>Developers & ITI's</v></cell><cell r="U1889" t="str"><v>USA-Trial-ITD-Interest Prospecting-AZR-AZR</v></cell><cell r="V1889" t="str"><v>Prospecting</v></cell><cell r="W1889" t="str"><v>Canvas Ad</v></cell><cell r="X1889" t="str"><v>1x1</v></cell></row><row r="1889"><cell r="AA1889"><v>43295</v></cell><cell r="AB1889" t="str"><v>USA_gaPMG_AZR_AZR_Q1_19_Direct-Social</v></cell><cell r="AC1889"><v>21358715</v></cell><cell r="AD1889"><v>720197</v></cell><cell r="AE1889" t="str"><v>Facebook</v></cell><cell r="AF1889"><v>3654128</v></cell><cell r="AG1889" t="str"><v>FACEBOOK»USA-Trial-ITD-Interest Prospecting-AZR-AZR»1 x 1»SocialBan»CAN»ALL»CPA»PRO»X»NA»SS»NA»FBCTCBenefit2inMotion»PRC1SW</v></cell><cell r="AH1889"><v>223933138</v></cell><cell r="AI1889" t="str"><v>AzurePlatform_FBCTCBenefit2inMotion_USA_10s_CAN_PLATFORM_English_Trial_Standard_STAN_TIN_T4_1</v></cell><cell r="AJ1889"><v>103043835</v></cell></row><row r="1890"><cell r="C1890" t="str"><v>43295FACEBOOK»USA-Trial-ITD-Interest Prospecting-AZR-AZR»1 x 1»SocialBan»CAN»ALL»CPA»PRO»X»NA»SS»NA»FBCTCBenefit2inMotion»PRC1SW</v></cell><cell r="D1890" t="str"><v>43295223933138</v></cell><cell r="E1890" t="str"><v>43295103178645PRC1SW</v></cell><cell r="F1890" t="str"><v>DCM</v></cell><cell r="G1890" t="str"><v>https://azure.microsoft.com/en-us/pricing/purchase-options/?v=18.19&OCID=AID%eexcid!_OLA_%ebuy!_%epid!_%ecid!</v></cell></row><row r="1890"><cell r="K1890" t="str"><v>July</v></cell><cell r="L1890"><v>43295</v></cell><cell r="M1890" t="str"><v>Tier 0</v></cell><cell r="N1890" t="str"><v>North America</v></cell><cell r="O1890" t="str"><v>United States</v></cell><cell r="P1890" t="str"><v>Trial</v></cell><cell r="Q1890" t="str"><v>Social</v></cell><cell r="R1890" t="str"><v>Azure</v></cell><cell r="S1890" t="str"><v>Apps & Infra</v></cell><cell r="T1890" t="str"><v>Developers & ITI's</v></cell><cell r="U1890" t="str"><v>USA-Trial-ITD-Interest Prospecting-AZR-AZR</v></cell><cell r="V1890" t="str"><v>Prospecting</v></cell><cell r="W1890" t="str"><v>Canvas Ad</v></cell><cell r="X1890" t="str"><v>1x1</v></cell></row><row r="1890"><cell r="AA1890"><v>43295</v></cell><cell r="AB1890" t="str"><v>USA_gaPMG_AZR_AZR_Q1_19_Direct-Social</v></cell><cell r="AC1890"><v>21358715</v></cell><cell r="AD1890"><v>720197</v></cell><cell r="AE1890" t="str"><v>Facebook</v></cell><cell r="AF1890"><v>3654128</v></cell><cell r="AG1890" t="str"><v>FACEBOOK»USA-Trial-ITD-Interest Prospecting-AZR-AZR»1 x 1»SocialBan»CAN»ALL»CPA»PRO»X»NA»SS»NA»FBCTCBenefit2inMotion»PRC1SW</v></cell><cell r="AH1890"><v>223933138</v></cell><cell r="AI1890" t="str"><v>AzurePlatform_FBCTCBenefit2inMotion_USA_10s_CAN_PLATFORM_English_Trial_Standard_STAN_TIN_T4_2</v></cell><cell r="AJ1890"><v>103178645</v></cell></row><row r="1891"><cell r="C1891" t="str"><v>43295FACEBOOK»USA-Trial-ITD-Interest Prospecting-AZR-AZR»1 x 1»SocialBan»CAN»ALL»CPA»PRO»X»NA»SS»NA»FBCTCBrandinMotion»PRC1SY</v></cell><cell r="D1891" t="str"><v>43295224104929</v></cell><cell r="E1891" t="str"><v>43295103176812PRC1SY</v></cell><cell r="F1891" t="str"><v>DCM</v></cell><cell r="G1891" t="str"><v>https://signup.azure.com/?OCID=AID%eexcid!_OLA_%ebuy!_%epid!_%ecid!</v></cell></row><row r="1891"><cell r="K1891" t="str"><v>July</v></cell><cell r="L1891"><v>43295</v></cell><cell r="M1891" t="str"><v>Tier 0</v></cell><cell r="N1891" t="str"><v>North America</v></cell><cell r="O1891" t="str"><v>United States</v></cell><cell r="P1891" t="str"><v>Trial</v></cell><cell r="Q1891" t="str"><v>Social</v></cell><cell r="R1891" t="str"><v>Azure</v></cell><cell r="S1891" t="str"><v>Apps & Infra</v></cell><cell r="T1891" t="str"><v>Developers & ITI's</v></cell><cell r="U1891" t="str"><v>USA-Trial-ITD-Interest Prospecting-AZR-AZR</v></cell><cell r="V1891" t="str"><v>Prospecting</v></cell><cell r="W1891" t="str"><v>Canvas Ad</v></cell><cell r="X1891" t="str"><v>1x1</v></cell></row><row r="1891"><cell r="AA1891"><v>43295</v></cell><cell r="AB1891" t="str"><v>USA_gaPMG_AZR_AZR_Q1_19_Direct-Social</v></cell><cell r="AC1891"><v>21358715</v></cell><cell r="AD1891"><v>720197</v></cell><cell r="AE1891" t="str"><v>Facebook</v></cell><cell r="AF1891"><v>3654128</v></cell><cell r="AG1891" t="str"><v>FACEBOOK»USA-Trial-ITD-Interest Prospecting-AZR-AZR»1 x 1»SocialBan»CAN»ALL»CPA»PRO»X»NA»SS»NA»FBCTCBrandinMotion»PRC1SY</v></cell><cell r="AH1891"><v>224104929</v></cell><cell r="AI1891" t="str"><v>AzurePlatform_FBCTCBrandinMotion_USA_10s_CAN_PLATFORM_English_Trial_Standard_STAN_TIN_T2_1</v></cell><cell r="AJ1891"><v>103176812</v></cell></row><row r="1892"><cell r="C1892" t="str"><v>43295FACEBOOK»USA-Trial-ITD-Interest Prospecting-AZR-AZR»1 x 1»SocialBan»CAN»ALL»CPA»PRO»X»NA»SS»NA»FBCTCBrandinMotion»PRC1SY</v></cell><cell r="D1892" t="str"><v>43295224104929</v></cell><cell r="E1892" t="str"><v>43295103032823PRC1SY</v></cell><cell r="F1892" t="str"><v>DCM</v></cell><cell r="G1892" t="str"><v>https://azure.microsoft.com/en-us/pricing/purchase-options/?v=18.19&OCID=AID%eexcid!_OLA_%ebuy!_%epid!_%ecid!</v></cell></row><row r="1892"><cell r="K1892" t="str"><v>July</v></cell><cell r="L1892"><v>43295</v></cell><cell r="M1892" t="str"><v>Tier 0</v></cell><cell r="N1892" t="str"><v>North America</v></cell><cell r="O1892" t="str"><v>United States</v></cell><cell r="P1892" t="str"><v>Trial</v></cell><cell r="Q1892" t="str"><v>Social</v></cell><cell r="R1892" t="str"><v>Azure</v></cell><cell r="S1892" t="str"><v>Apps & Infra</v></cell><cell r="T1892" t="str"><v>Developers & ITI's</v></cell><cell r="U1892" t="str"><v>USA-Trial-ITD-Interest Prospecting-AZR-AZR</v></cell><cell r="V1892" t="str"><v>Prospecting</v></cell><cell r="W1892" t="str"><v>Canvas Ad</v></cell><cell r="X1892" t="str"><v>1x1</v></cell></row><row r="1892"><cell r="AA1892"><v>43295</v></cell><cell r="AB1892" t="str"><v>USA_gaPMG_AZR_AZR_Q1_19_Direct-Social</v></cell><cell r="AC1892"><v>21358715</v></cell><cell r="AD1892"><v>720197</v></cell><cell r="AE1892" t="str"><v>Facebook</v></cell><cell r="AF1892"><v>3654128</v></cell><cell r="AG1892" t="str"><v>FACEBOOK»USA-Trial-ITD-Interest Prospecting-AZR-AZR»1 x 1»SocialBan»CAN»ALL»CPA»PRO»X»NA»SS»NA»FBCTCBrandinMotion»PRC1SY</v></cell><cell r="AH1892"><v>224104929</v></cell><cell r="AI1892" t="str"><v>AzurePlatform_FBCTCBrandinMotion_USA_10s_CAN_PLATFORM_English_Trial_Standard_STAN_TIN_T2_2</v></cell><cell r="AJ1892"><v>103032823</v></cell></row><row r="1893"><cell r="C1893" t="str"><v>43295FACEBOOK»USA-Trial-ITD-Interest Prospecting-AZR-AZR»1 x 1»SocialBan»LIA»ALL»CPA»PRO»X»NA»SS»NA»FreeAcctDeveloperFB-AnimatedGeneric-Ch1»PRC1SZ</v></cell><cell r="D1893" t="str"><v>43295224104932</v></cell><cell r="E1893" t="str"><v>43295103176851PRC1SZ</v></cell><cell r="F1893" t="str"><v>DCM</v></cell><cell r="G1893" t="str"><v>https://azure.microsoft.com/en-us/free/search/?OCID=AID%eexcid!_OLA_%ebuy!_%epid!_%ecid!</v></cell></row><row r="1893"><cell r="K1893" t="str"><v>July</v></cell><cell r="L1893"><v>43295</v></cell><cell r="M1893" t="str"><v>Tier 0</v></cell><cell r="N1893" t="str"><v>North America</v></cell><cell r="O1893" t="str"><v>United States</v></cell><cell r="P1893" t="str"><v>Trial</v></cell><cell r="Q1893" t="str"><v>Social</v></cell><cell r="R1893" t="str"><v>Azure</v></cell><cell r="S1893" t="str"><v>Apps & Infra</v></cell><cell r="T1893" t="str"><v>Developers & ITI's</v></cell><cell r="U1893" t="str"><v>USA-Trial-ITD-Interest Prospecting-AZR-AZR</v></cell><cell r="V1893" t="str"><v>Prospecting</v></cell><cell r="W1893" t="str"><v>Link Ad</v></cell><cell r="X1893" t="str"><v>1x1</v></cell></row><row r="1893"><cell r="AA1893"><v>43295</v></cell><cell r="AB1893" t="str"><v>USA_gaPMG_AZR_AZR_Q1_19_Direct-Social</v></cell><cell r="AC1893"><v>21358715</v></cell><cell r="AD1893"><v>720197</v></cell><cell r="AE1893" t="str"><v>Facebook</v></cell><cell r="AF1893"><v>3654128</v></cell><cell r="AG1893" t="str"><v>FACEBOOK»USA-Trial-ITD-Interest Prospecting-AZR-AZR»1 x 1»SocialBan»LIA»ALL»CPA»PRO»X»NA»SS»NA»FreeAcctDeveloperFB-AnimatedGeneric-Ch1»PRC1SZ</v></cell><cell r="AH1893"><v>224104932</v></cell><cell r="AI1893" t="str"><v>AZR_FreeAcctDeveloperFB-AnimatedGeneric-Ch1_USA_1200x1200_CAN_Direct_English_Trial_Standard_ANI_LEA_T1_2</v></cell><cell r="AJ1893"><v>103176851</v></cell></row><row r="1894"><cell r="C1894" t="str"><v>43295FACEBOOK»USA-Trial-ITD-Interest Prospecting-AZR-AZR»1 x 1»SocialBan»LIA»ALL»CPA»PRO»X»NA»SS»NA»FreeAcctDeveloperFB-AnimatedGeneric-Ch1»PRC1T0</v></cell><cell r="D1894" t="str"><v>43295223934065</v></cell><cell r="E1894" t="str"><v>43295103176851PRC1T0</v></cell><cell r="F1894" t="str"><v>DCM</v></cell><cell r="G1894" t="str"><v>https://azure.microsoft.com/en-us/free/search/?OCID=AID%eexcid!_OLA_%ebuy!_%epid!_%ecid!</v></cell></row><row r="1894"><cell r="K1894" t="str"><v>July</v></cell><cell r="L1894"><v>43295</v></cell><cell r="M1894" t="str"><v>Tier 0</v></cell><cell r="N1894" t="str"><v>North America</v></cell><cell r="O1894" t="str"><v>United States</v></cell><cell r="P1894" t="str"><v>Trial</v></cell><cell r="Q1894" t="str"><v>Social</v></cell><cell r="R1894" t="str"><v>Azure</v></cell><cell r="S1894" t="str"><v>Apps & Infra</v></cell><cell r="T1894" t="str"><v>Developers & ITI's</v></cell><cell r="U1894" t="str"><v>USA-Trial-ITD-Interest Prospecting-AZR-AZR</v></cell><cell r="V1894" t="str"><v>Prospecting</v></cell><cell r="W1894" t="str"><v>Link Ad</v></cell><cell r="X1894" t="str"><v>1x1</v></cell></row><row r="1894"><cell r="AA1894"><v>43295</v></cell><cell r="AB1894" t="str"><v>USA_gaPMG_AZR_AZR_Q1_19_Direct-Social</v></cell><cell r="AC1894"><v>21358715</v></cell><cell r="AD1894"><v>720197</v></cell><cell r="AE1894" t="str"><v>Facebook</v></cell><cell r="AF1894"><v>3654128</v></cell><cell r="AG1894" t="str"><v>FACEBOOK»USA-Trial-ITD-Interest Prospecting-AZR-AZR»1 x 1»SocialBan»LIA»ALL»CPA»PRO»X»NA»SS»NA»FreeAcctDeveloperFB-AnimatedGeneric-Ch1»PRC1T0</v></cell><cell r="AH1894"><v>223934065</v></cell><cell r="AI1894" t="str"><v>AZR_FreeAcctDeveloperFB-AnimatedGeneric-Ch1_USA_1200x1200_CAN_Direct_English_Trial_Standard_ANI_LEA_T1_2</v></cell><cell r="AJ1894"><v>103176851</v></cell></row><row r="1895"><cell r="C1895" t="str"><v>43295FACEBOOK»USA-Trial-ITD-Interest Prospecting-AZR-AZR»1 x 1»SocialBan»LIA»ALL»CPA»PRO»X»NA»SS»NA»FreeAcctITProFB-AnimatedHybrid-Ch2»PRC1T5</v></cell><cell r="D1895" t="str"><v>43295223862882</v></cell><cell r="E1895" t="str"><v>43295103180583PRC1T5</v></cell><cell r="F1895" t="str"><v>DCM</v></cell></row><row r="1895"><cell r="K1895" t="str"><v>July</v></cell><cell r="L1895"><v>43295</v></cell><cell r="M1895" t="str"><v>Tier 0</v></cell><cell r="N1895" t="str"><v>North America</v></cell><cell r="O1895" t="str"><v>United States</v></cell><cell r="P1895" t="str"><v>Trial</v></cell><cell r="Q1895" t="str"><v>Social</v></cell><cell r="R1895" t="str"><v>Azure</v></cell><cell r="S1895" t="str"><v>Apps & Infra</v></cell><cell r="T1895" t="str"><v>Developers & ITI's</v></cell><cell r="U1895" t="str"><v>USA-Trial-ITD-Interest Prospecting-AZR-AZR</v></cell><cell r="V1895" t="str"><v>Prospecting</v></cell><cell r="W1895" t="str"><v>Link Ad</v></cell><cell r="X1895" t="str"><v>1x1</v></cell></row><row r="1895"><cell r="AA1895"><v>43295</v></cell><cell r="AB1895" t="str"><v>USA_gaPMG_AZR_AZR_Q1_19_Direct-Social</v></cell><cell r="AC1895"><v>21358715</v></cell><cell r="AD1895"><v>720197</v></cell><cell r="AE1895" t="str"><v>Facebook</v></cell><cell r="AF1895"><v>3654128</v></cell><cell r="AG1895" t="str"><v>FACEBOOK»USA-Trial-ITD-Interest Prospecting-AZR-AZR»1 x 1»SocialBan»LIA»ALL»CPA»PRO»X»NA»SS»NA»FreeAcctITProFB-AnimatedHybrid-Ch2»PRC1T5</v></cell><cell r="AH1895"><v>223862882</v></cell><cell r="AI1895" t="str"><v>AZR_FreeAcctITProFB-AnimatedHybrid-Ch2_USA_1200x1200_CAN_Direct_English_Trial_Standard_ANI_LEA_T2_2</v></cell><cell r="AJ1895"><v>103180583</v></cell></row><row r="1896"><cell r="C1896" t="str"><v>43295FACEBOOK»USA-Trial-ITD-Interest Prospecting-AZR-AZR»1 x 1»SocialBan»LIA»ALL»CPA»PRO»X»NA»SS»NA»FreeAcctITProFB-AnimatedSecureMngd-Ch1»PRC1T4</v></cell><cell r="D1896" t="str"><v>43295224104914</v></cell><cell r="E1896" t="str"><v>43295103176830PRC1T4</v></cell><cell r="F1896" t="str"><v>DCM</v></cell></row><row r="1896"><cell r="K1896" t="str"><v>July</v></cell><cell r="L1896"><v>43295</v></cell><cell r="M1896" t="str"><v>Tier 0</v></cell><cell r="N1896" t="str"><v>North America</v></cell><cell r="O1896" t="str"><v>United States</v></cell><cell r="P1896" t="str"><v>Trial</v></cell><cell r="Q1896" t="str"><v>Social</v></cell><cell r="R1896" t="str"><v>Azure</v></cell><cell r="S1896" t="str"><v>Apps & Infra</v></cell><cell r="T1896" t="str"><v>Developers & ITI's</v></cell><cell r="U1896" t="str"><v>USA-Trial-ITD-Interest Prospecting-AZR-AZR</v></cell><cell r="V1896" t="str"><v>Prospecting</v></cell><cell r="W1896" t="str"><v>Link Ad</v></cell><cell r="X1896" t="str"><v>1x1</v></cell></row><row r="1896"><cell r="AA1896"><v>43295</v></cell><cell r="AB1896" t="str"><v>USA_gaPMG_AZR_AZR_Q1_19_Direct-Social</v></cell><cell r="AC1896"><v>21358715</v></cell><cell r="AD1896"><v>720197</v></cell><cell r="AE1896" t="str"><v>Facebook</v></cell><cell r="AF1896"><v>3654128</v></cell><cell r="AG1896" t="str"><v>FACEBOOK»USA-Trial-ITD-Interest Prospecting-AZR-AZR»1 x 1»SocialBan»LIA»ALL»CPA»PRO»X»NA»SS»NA»FreeAcctITProFB-AnimatedSecureMngd-Ch1»PRC1T4</v></cell><cell r="AH1896"><v>224104914</v></cell><cell r="AI1896" t="str"><v>AZR_FreeAcctITProFB-AnimatedSecureMngd-Ch1_USA_1200x1200_CAN_Direct_English_Trial_Standard_ANI_LEA_T1_1</v></cell><cell r="AJ1896"><v>103176830</v></cell></row><row r="1897"><cell r="C1897" t="str"><v>43295FACEBOOK»USA-Trial-ITD-Interest Prospecting-AZR-AZR»1 x 1»SocialBan»CAN»ALL»CPA»PRO»X»NA»SS»NA»FBCTCBenefitinMotion»PRC1SX</v></cell><cell r="D1897" t="str"><v>43295224104077</v></cell><cell r="E1897" t="str"><v>43295103032775PRC1SX</v></cell><cell r="F1897" t="str"><v>DCM</v></cell><cell r="G1897" t="str"><v>https://signup.azure.com/?OCID=AID%eexcid!_OLA_%ebuy!_%epid!_%ecid!</v></cell></row><row r="1897"><cell r="K1897" t="str"><v>July</v></cell><cell r="L1897"><v>43295</v></cell><cell r="M1897" t="str"><v>Tier 0</v></cell><cell r="N1897" t="str"><v>North America</v></cell><cell r="O1897" t="str"><v>United States</v></cell><cell r="P1897" t="str"><v>Trial</v></cell><cell r="Q1897" t="str"><v>Social</v></cell><cell r="R1897" t="str"><v>Azure</v></cell><cell r="S1897" t="str"><v>Apps & Infra</v></cell><cell r="T1897" t="str"><v>Developers & ITI's</v></cell><cell r="U1897" t="str"><v>USA-Trial-ITD-Interest Prospecting-AZR-AZR</v></cell><cell r="V1897" t="str"><v>Prospecting</v></cell><cell r="W1897" t="str"><v>Canvas Ad</v></cell><cell r="X1897" t="str"><v>1x1</v></cell></row><row r="1897"><cell r="AA1897"><v>43295</v></cell><cell r="AB1897" t="str"><v>USA_gaPMG_AZR_AZR_Q1_19_Direct-Social</v></cell><cell r="AC1897"><v>21358715</v></cell><cell r="AD1897"><v>720197</v></cell><cell r="AE1897" t="str"><v>Facebook</v></cell><cell r="AF1897"><v>3654128</v></cell><cell r="AG1897" t="str"><v>FACEBOOK»USA-Trial-ITD-Interest Prospecting-AZR-AZR»1 x 1»SocialBan»CAN»ALL»CPA»PRO»X»NA»SS»NA»FBCTCBenefitinMotion»PRC1SX</v></cell><cell r="AH1897"><v>224104077</v></cell><cell r="AI1897" t="str"><v>AzurePlatform_FBCTCBenefitinMotion_USA_10s_CAN_PLATFORM_English_Trial_Standard_STAN_TIN_T3_1</v></cell><cell r="AJ1897"><v>103032775</v></cell></row><row r="1898"><cell r="C1898" t="str"><v>43295FACEBOOK»USA-Trial-ITD-Retargeting-AZR-AZR»1 x 1»SocialBan»LIA»ALL»CPA»RT»X»NA»SS»NA»FreeAcctDeveloperFB-AnimatedAI-Ch3»PRC26H</v></cell><cell r="D1898" t="str"><v>43295223863371</v></cell><cell r="E1898" t="str"><v>43295103032778PRC26H</v></cell><cell r="F1898" t="str"><v>DCM</v></cell></row><row r="1898"><cell r="K1898" t="str"><v>July</v></cell><cell r="L1898"><v>43295</v></cell><cell r="M1898" t="str"><v>Tier 0</v></cell><cell r="N1898" t="str"><v>North America</v></cell><cell r="O1898" t="str"><v>United States</v></cell><cell r="P1898" t="str"><v>Trial</v></cell><cell r="Q1898" t="str"><v>Social</v></cell><cell r="R1898" t="str"><v>Azure</v></cell><cell r="S1898" t="str"><v>Apps & Infra</v></cell><cell r="T1898" t="str"><v>Developers & ITI's</v></cell><cell r="U1898" t="str"><v>USA-Trial-ITD-Retargeting-AZR-AZR</v></cell><cell r="V1898" t="str"><v>Retargeting</v></cell><cell r="W1898" t="str"><v>Link Ad</v></cell><cell r="X1898" t="str"><v>1x1</v></cell></row><row r="1898"><cell r="AA1898"><v>43295</v></cell><cell r="AB1898" t="str"><v>USA_gaPMG_AZR_AZR_Q1_19_Direct-Social</v></cell><cell r="AC1898"><v>21358715</v></cell><cell r="AD1898"><v>720197</v></cell><cell r="AE1898" t="str"><v>Facebook</v></cell><cell r="AF1898"><v>3654128</v></cell><cell r="AG1898" t="str"><v>FACEBOOK»USA-Trial-ITD-Retargeting-AZR-AZR»1 x 1»SocialBan»LIA»ALL»CPA»RT»X»NA»SS»NA»FreeAcctDeveloperFB-AnimatedAI-Ch3»PRC26H</v></cell><cell r="AH1898"><v>223863371</v></cell><cell r="AI1898" t="str"><v>AZR_FreeAcctDeveloperFB-AnimatedAI-Ch3_USA_1200x1200_CAN_Direct_English_Trial_Standard_ANI_LEA_T3_1</v></cell><cell r="AJ1898"><v>103032778</v></cell></row><row r="1899"><cell r="C1899" t="str"><v>43295FACEBOOK»USA-Trial-ITD-Retargeting-AZR-AZR»1 x 1»SocialBan»LIA»ALL»CPA»RT»X»NA»SS»NA»FreeAcctDeveloperFB-AnimatedGeneric-Ch1»PRC26F</v></cell><cell r="D1899" t="str"><v>43295224105850</v></cell><cell r="E1899" t="str"><v>43295103176851PRC26F</v></cell><cell r="F1899" t="str"><v>DCM</v></cell><cell r="G1899" t="str"><v>https://azure.microsoft.com/en-us/free/search/?OCID=AID%eexcid!_OLA_%ebuy!_%epid!_%ecid!</v></cell></row><row r="1899"><cell r="K1899" t="str"><v>July</v></cell><cell r="L1899"><v>43295</v></cell><cell r="M1899" t="str"><v>Tier 0</v></cell><cell r="N1899" t="str"><v>North America</v></cell><cell r="O1899" t="str"><v>United States</v></cell><cell r="P1899" t="str"><v>Trial</v></cell><cell r="Q1899" t="str"><v>Social</v></cell><cell r="R1899" t="str"><v>Azure</v></cell><cell r="S1899" t="str"><v>Apps & Infra</v></cell><cell r="T1899" t="str"><v>Developers & ITI's</v></cell><cell r="U1899" t="str"><v>USA-Trial-ITD-Retargeting-AZR-AZR</v></cell><cell r="V1899" t="str"><v>Retargeting</v></cell><cell r="W1899" t="str"><v>Link Ad</v></cell><cell r="X1899" t="str"><v>1x1</v></cell></row><row r="1899"><cell r="AA1899"><v>43295</v></cell><cell r="AB1899" t="str"><v>USA_gaPMG_AZR_AZR_Q1_19_Direct-Social</v></cell><cell r="AC1899"><v>21358715</v></cell><cell r="AD1899"><v>720197</v></cell><cell r="AE1899" t="str"><v>Facebook</v></cell><cell r="AF1899"><v>3654128</v></cell><cell r="AG1899" t="str"><v>FACEBOOK»USA-Trial-ITD-Retargeting-AZR-AZR»1 x 1»SocialBan»LIA»ALL»CPA»RT»X»NA»SS»NA»FreeAcctDeveloperFB-AnimatedGeneric-Ch1»PRC26F</v></cell><cell r="AH1899"><v>224105850</v></cell><cell r="AI1899" t="str"><v>AZR_FreeAcctDeveloperFB-AnimatedGeneric-Ch1_USA_1200x1200_CAN_Direct_English_Trial_Standard_ANI_LEA_T1_2</v></cell><cell r="AJ1899"><v>103176851</v></cell></row><row r="1900"><cell r="C1900" t="str"><v>43295FACEBOOK»USA-Trial-ITD-Retargeting-AZR-AZR»1 x 1»SocialBan»LIA»ALL»CPA»RT»X»NA»SS»NA»FreeAcctDeveloperFB-AnimatedOpenSource-Ch2»PRC26G</v></cell><cell r="D1900" t="str"><v>43295223862873</v></cell><cell r="E1900" t="str"><v>43295103048329PRC26G</v></cell><cell r="F1900" t="str"><v>DCM</v></cell><cell r="G1900" t="str"><v>https://azure.microsoft.com/en-us/free/open-source/search/?OCID=AID%eexcid!_OLA_%ebuy!_%epid!_%ecid!</v></cell></row><row r="1900"><cell r="K1900" t="str"><v>July</v></cell><cell r="L1900"><v>43295</v></cell><cell r="M1900" t="str"><v>Tier 0</v></cell><cell r="N1900" t="str"><v>North America</v></cell><cell r="O1900" t="str"><v>United States</v></cell><cell r="P1900" t="str"><v>Trial</v></cell><cell r="Q1900" t="str"><v>Social</v></cell><cell r="R1900" t="str"><v>Azure</v></cell><cell r="S1900" t="str"><v>Apps & Infra</v></cell><cell r="T1900" t="str"><v>Developers & ITI's</v></cell><cell r="U1900" t="str"><v>USA-Trial-ITD-Retargeting-AZR-AZR</v></cell><cell r="V1900" t="str"><v>Retargeting</v></cell><cell r="W1900" t="str"><v>Link Ad</v></cell><cell r="X1900" t="str"><v>1x1</v></cell></row><row r="1900"><cell r="AA1900"><v>43295</v></cell><cell r="AB1900" t="str"><v>USA_gaPMG_AZR_AZR_Q1_19_Direct-Social</v></cell><cell r="AC1900"><v>21358715</v></cell><cell r="AD1900"><v>720197</v></cell><cell r="AE1900" t="str"><v>Facebook</v></cell><cell r="AF1900"><v>3654128</v></cell><cell r="AG1900" t="str"><v>FACEBOOK»USA-Trial-ITD-Retargeting-AZR-AZR»1 x 1»SocialBan»LIA»ALL»CPA»RT»X»NA»SS»NA»FreeAcctDeveloperFB-AnimatedOpenSource-Ch2»PRC26G</v></cell><cell r="AH1900"><v>223862873</v></cell><cell r="AI1900" t="str"><v>AZR_FreeAcctDeveloperFB-AnimatedOpenSource-Ch2_USA_1200x1200_CAN_Direct_English_Trial_Standard_ANI_LEA_T2_1</v></cell><cell r="AJ1900"><v>103048329</v></cell></row><row r="1901"><cell r="C1901" t="str"><v>43295FACEBOOK»USA-Trial-ITD-Retargeting-AZR-AZR»1 x 1»SocialBan»LIA»ALL»CPA»RT»X»NA»SS»NA»FreeAcctITProFB-AnimatedHybrid-Ch2»PRC26N</v></cell><cell r="D1901" t="str"><v>43295223934053</v></cell><cell r="E1901" t="str"><v>43295103180583PRC26N</v></cell><cell r="F1901" t="str"><v>DCM</v></cell></row><row r="1901"><cell r="K1901" t="str"><v>July</v></cell><cell r="L1901"><v>43295</v></cell><cell r="M1901" t="str"><v>Tier 0</v></cell><cell r="N1901" t="str"><v>North America</v></cell><cell r="O1901" t="str"><v>United States</v></cell><cell r="P1901" t="str"><v>Trial</v></cell><cell r="Q1901" t="str"><v>Social</v></cell><cell r="R1901" t="str"><v>Azure</v></cell><cell r="S1901" t="str"><v>Apps & Infra</v></cell><cell r="T1901" t="str"><v>Developers & ITI's</v></cell><cell r="U1901" t="str"><v>USA-Trial-ITD-Retargeting-AZR-AZR</v></cell><cell r="V1901" t="str"><v>Retargeting</v></cell><cell r="W1901" t="str"><v>Link Ad</v></cell><cell r="X1901" t="str"><v>1x1</v></cell></row><row r="1901"><cell r="AA1901"><v>43295</v></cell><cell r="AB1901" t="str"><v>USA_gaPMG_AZR_AZR_Q1_19_Direct-Social</v></cell><cell r="AC1901"><v>21358715</v></cell><cell r="AD1901"><v>720197</v></cell><cell r="AE1901" t="str"><v>Facebook</v></cell><cell r="AF1901"><v>3654128</v></cell><cell r="AG1901" t="str"><v>FACEBOOK»USA-Trial-ITD-Retargeting-AZR-AZR»1 x 1»SocialBan»LIA»ALL»CPA»RT»X»NA»SS»NA»FreeAcctITProFB-AnimatedHybrid-Ch2»PRC26N</v></cell><cell r="AH1901"><v>223934053</v></cell><cell r="AI1901" t="str"><v>AZR_FreeAcctITProFB-AnimatedHybrid-Ch2_USA_1200x1200_CAN_Direct_English_Trial_Standard_ANI_LEA_T2_2</v></cell><cell r="AJ1901"><v>103180583</v></cell></row><row r="1902"><cell r="C1902" t="str"><v>43295FACEBOOK»USA-Trial-ITD-Retargeting-AZR-AZR»1 x 1»SocialBan»LIA»ALL»CPA»RT»X»NA»SS»NA»FreeAcctITProFB-AnimatedMigration-Ch3»PRC26P</v></cell><cell r="D1902" t="str"><v>43295223934056</v></cell><cell r="E1902" t="str"><v>43295103176827PRC26P</v></cell><cell r="F1902" t="str"><v>DCM</v></cell></row><row r="1902"><cell r="K1902" t="str"><v>July</v></cell><cell r="L1902"><v>43295</v></cell><cell r="M1902" t="str"><v>Tier 0</v></cell><cell r="N1902" t="str"><v>North America</v></cell><cell r="O1902" t="str"><v>United States</v></cell><cell r="P1902" t="str"><v>Trial</v></cell><cell r="Q1902" t="str"><v>Social</v></cell><cell r="R1902" t="str"><v>Azure</v></cell><cell r="S1902" t="str"><v>Apps & Infra</v></cell><cell r="T1902" t="str"><v>Developers & ITI's</v></cell><cell r="U1902" t="str"><v>USA-Trial-ITD-Retargeting-AZR-AZR</v></cell><cell r="V1902" t="str"><v>Retargeting</v></cell><cell r="W1902" t="str"><v>Link Ad</v></cell><cell r="X1902" t="str"><v>1x1</v></cell></row><row r="1902"><cell r="AA1902"><v>43295</v></cell><cell r="AB1902" t="str"><v>USA_gaPMG_AZR_AZR_Q1_19_Direct-Social</v></cell><cell r="AC1902"><v>21358715</v></cell><cell r="AD1902"><v>720197</v></cell><cell r="AE1902" t="str"><v>Facebook</v></cell><cell r="AF1902"><v>3654128</v></cell><cell r="AG1902" t="str"><v>FACEBOOK»USA-Trial-ITD-Retargeting-AZR-AZR»1 x 1»SocialBan»LIA»ALL»CPA»RT»X»NA»SS»NA»FreeAcctITProFB-AnimatedMigration-Ch3»PRC26P</v></cell><cell r="AH1902"><v>223934056</v></cell><cell r="AI1902" t="str"><v>AZR_FreeAcctITProFB-AnimatedMigration-Ch3_USA_1200x1200_CAN_Direct_English_Trial_Standard_ANI_LEA_T3_1</v></cell><cell r="AJ1902"><v>103176827</v></cell></row><row r="1903"><cell r="C1903" t="str"><v>43295FACEBOOK»USA-Trial-ITD-Retargeting-AZR-AZR»1 x 1»SocialBan»LIA»ALL»CPA»RT»X»NA»SS»NA»FreeAcctRetargetingFB-Animated-ChC»PRC1RX</v></cell><cell r="D1903" t="str"><v>43295223862864</v></cell><cell r="E1903" t="str"><v>43295103180880PRC1RX</v></cell><cell r="F1903" t="str"><v>DCM</v></cell><cell r="G1903" t="str"><v>https://azure.microsoft.com/en-us/free/search/?OCID=AID%eexcid!_OLA_%ebuy!_%epid!_%ecid!</v></cell></row><row r="1903"><cell r="K1903" t="str"><v>July</v></cell><cell r="L1903"><v>43295</v></cell><cell r="M1903" t="str"><v>Tier 0</v></cell><cell r="N1903" t="str"><v>North America</v></cell><cell r="O1903" t="str"><v>United States</v></cell><cell r="P1903" t="str"><v>Trial</v></cell><cell r="Q1903" t="str"><v>Social</v></cell><cell r="R1903" t="str"><v>Azure</v></cell><cell r="S1903" t="str"><v>Apps & Infra</v></cell><cell r="T1903" t="str"><v>Developers & ITI's</v></cell><cell r="U1903" t="str"><v>USA-Trial-ITD-Retargeting-AZR-AZR</v></cell><cell r="V1903" t="str"><v>Retargeting</v></cell><cell r="W1903" t="str"><v>Link Ad</v></cell><cell r="X1903" t="str"><v>1x1</v></cell></row><row r="1903"><cell r="AA1903"><v>43295</v></cell><cell r="AB1903" t="str"><v>USA_gaPMG_AZR_AZR_Q1_19_Direct-Social</v></cell><cell r="AC1903"><v>21358715</v></cell><cell r="AD1903"><v>720197</v></cell><cell r="AE1903" t="str"><v>Facebook</v></cell><cell r="AF1903"><v>3654128</v></cell><cell r="AG1903" t="str"><v>FACEBOOK»USA-Trial-ITD-Retargeting-AZR-AZR»1 x 1»SocialBan»LIA»ALL»CPA»RT»X»NA»SS»NA»FreeAcctRetargetingFB-Animated-ChC»PRC1RX</v></cell><cell r="AH1903"><v>223862864</v></cell><cell r="AI1903" t="str"><v>AzurePlatform_FreeAcctRetargetingFB-Animated-ChC_USA_1200x628_CAN_PLATFORM_English_Free Account_Standard_ANI_SINU_T3_2</v></cell><cell r="AJ1903"><v>103180880</v></cell></row><row r="1904"><cell r="C1904" t="str"><v>43295FACEBOOK»USA-Trial-ITD-Retargeting-AZR-AZR»1 x 1»SocialBan»LIA»ALL»CPA»RT»X»NA»SS»NA»FreeAcctRetargetingFB-Credit-ChA»PRC1RV</v></cell><cell r="D1904" t="str"><v>43295224106075</v></cell><cell r="E1904" t="str"><v>43295103034917PRC1RV</v></cell><cell r="F1904" t="str"><v>DCM</v></cell><cell r="G1904" t="str"><v>https://azure.microsoft.com/en-us/free/search/?OCID=AID%eexcid!_OLA_%ebuy!_%epid!_%ecid!</v></cell></row><row r="1904"><cell r="K1904" t="str"><v>July</v></cell><cell r="L1904"><v>43295</v></cell><cell r="M1904" t="str"><v>Tier 0</v></cell><cell r="N1904" t="str"><v>North America</v></cell><cell r="O1904" t="str"><v>United States</v></cell><cell r="P1904" t="str"><v>Trial</v></cell><cell r="Q1904" t="str"><v>Social</v></cell><cell r="R1904" t="str"><v>Azure</v></cell><cell r="S1904" t="str"><v>Apps & Infra</v></cell><cell r="T1904" t="str"><v>Developers & ITI's</v></cell><cell r="U1904" t="str"><v>USA-Trial-ITD-Retargeting-AZR-AZR</v></cell><cell r="V1904" t="str"><v>Retargeting</v></cell><cell r="W1904" t="str"><v>Link Ad</v></cell><cell r="X1904" t="str"><v>1x1</v></cell></row><row r="1904"><cell r="AA1904"><v>43295</v></cell><cell r="AB1904" t="str"><v>USA_gaPMG_AZR_AZR_Q1_19_Direct-Social</v></cell><cell r="AC1904"><v>21358715</v></cell><cell r="AD1904"><v>720197</v></cell><cell r="AE1904" t="str"><v>Facebook</v></cell><cell r="AF1904"><v>3654128</v></cell><cell r="AG1904" t="str"><v>FACEBOOK»USA-Trial-ITD-Retargeting-AZR-AZR»1 x 1»SocialBan»LIA»ALL»CPA»RT»X»NA»SS»NA»FreeAcctRetargetingFB-Credit-ChA»PRC1RV</v></cell><cell r="AH1904"><v>224106075</v></cell><cell r="AI1904" t="str"><v>AzurePlatform_FreeAcctRetargetingFB-Credit-ChA_USA_1200x628_CAN_PLATFORM_English_Free Account_Standard_NA_SINU_T1_2</v></cell><cell r="AJ1904"><v>103034917</v></cell></row><row r="1905"><cell r="C1905" t="str"><v>43295FACEBOOK»USA-Trial-ITD-Retargeting-AZR-AZR»1 x 1»SocialBan»LIA»ALL»CPA»RT»X»NA»SS»NA»FreeAcctRetargetingFB-GlobalAlt-ChB»PRC1RW</v></cell><cell r="D1905" t="str"><v>43295223862756</v></cell><cell r="E1905" t="str"><v>43295103180592PRC1RW</v></cell><cell r="F1905" t="str"><v>DCM</v></cell><cell r="G1905" t="str"><v>https://azure.microsoft.com/en-us/free/search/?OCID=AID%eexcid!_OLA_%ebuy!_%epid!_%ecid!</v></cell></row><row r="1905"><cell r="K1905" t="str"><v>July</v></cell><cell r="L1905"><v>43295</v></cell><cell r="M1905" t="str"><v>Tier 0</v></cell><cell r="N1905" t="str"><v>North America</v></cell><cell r="O1905" t="str"><v>United States</v></cell><cell r="P1905" t="str"><v>Trial</v></cell><cell r="Q1905" t="str"><v>Social</v></cell><cell r="R1905" t="str"><v>Azure</v></cell><cell r="S1905" t="str"><v>Apps & Infra</v></cell><cell r="T1905" t="str"><v>Developers & ITI's</v></cell><cell r="U1905" t="str"><v>USA-Trial-ITD-Retargeting-AZR-AZR</v></cell><cell r="V1905" t="str"><v>Retargeting</v></cell><cell r="W1905" t="str"><v>Link Ad</v></cell><cell r="X1905" t="str"><v>1x1</v></cell></row><row r="1905"><cell r="AA1905"><v>43295</v></cell><cell r="AB1905" t="str"><v>USA_gaPMG_AZR_AZR_Q1_19_Direct-Social</v></cell><cell r="AC1905"><v>21358715</v></cell><cell r="AD1905"><v>720197</v></cell><cell r="AE1905" t="str"><v>Facebook</v></cell><cell r="AF1905"><v>3654128</v></cell><cell r="AG1905" t="str"><v>FACEBOOK»USA-Trial-ITD-Retargeting-AZR-AZR»1 x 1»SocialBan»LIA»ALL»CPA»RT»X»NA»SS»NA»FreeAcctRetargetingFB-GlobalAlt-ChB»PRC1RW</v></cell><cell r="AH1905"><v>223862756</v></cell><cell r="AI1905" t="str"><v>AzurePlatform_FreeAcctRetargetingFB-GlobalAlt-ChB_USA_1200x628_CAN_PLATFORM_English_Free Account_Standard_NA_SINU_T2_1</v></cell><cell r="AJ1905"><v>103180592</v></cell></row><row r="1906"><cell r="C1906" t="str"><v>43295FACEBOOK»USA-Trial-ITD-Retargeting-AZR-AZR»1 x 1»SocialBan»LIA»ALL»CPA»RT»X»NA»SS»NA»FreeAcctRetargetingVMFB-750Hrs-ChD»PRC1RY</v></cell><cell r="D1906" t="str"><v>43295223862747</v></cell><cell r="E1906" t="str"><v>43295103034911PRC1RY</v></cell><cell r="F1906" t="str"><v>DCM</v></cell><cell r="G1906" t="str"><v>https://azure.microsoft.com/en-us/free/virtual-machines/search/?OCID=AID%eexcid!_OLA_%ebuy!_%epid!_%ecid!</v></cell></row><row r="1906"><cell r="K1906" t="str"><v>July</v></cell><cell r="L1906"><v>43295</v></cell><cell r="M1906" t="str"><v>Tier 0</v></cell><cell r="N1906" t="str"><v>North America</v></cell><cell r="O1906" t="str"><v>United States</v></cell><cell r="P1906" t="str"><v>Trial</v></cell><cell r="Q1906" t="str"><v>Social</v></cell><cell r="R1906" t="str"><v>Azure</v></cell><cell r="S1906" t="str"><v>Apps & Infra</v></cell><cell r="T1906" t="str"><v>Developers & ITI's</v></cell><cell r="U1906" t="str"><v>USA-Trial-ITD-Retargeting-AZR-AZR</v></cell><cell r="V1906" t="str"><v>Retargeting</v></cell><cell r="W1906" t="str"><v>Link Ad</v></cell><cell r="X1906" t="str"><v>1x1</v></cell></row><row r="1906"><cell r="AA1906"><v>43295</v></cell><cell r="AB1906" t="str"><v>USA_gaPMG_AZR_AZR_Q1_19_Direct-Social</v></cell><cell r="AC1906"><v>21358715</v></cell><cell r="AD1906"><v>720197</v></cell><cell r="AE1906" t="str"><v>Facebook</v></cell><cell r="AF1906"><v>3654128</v></cell><cell r="AG1906" t="str"><v>FACEBOOK»USA-Trial-ITD-Retargeting-AZR-AZR»1 x 1»SocialBan»LIA»ALL»CPA»RT»X»NA»SS»NA»FreeAcctRetargetingVMFB-750Hrs-ChD»PRC1RY</v></cell><cell r="AH1906"><v>223862747</v></cell><cell r="AI1906" t="str"><v>AzurePlatform_FreeAcctRetargetingVMFB-750Hrs-ChD_USA_1200x628_CAN_PLATFORM_English_Free Account_Standard_NA_SINU_T1_1</v></cell><cell r="AJ1906"><v>103034911</v></cell></row><row r="1907"><cell r="C1907" t="str"><v>43295FACEBOOK»USA-Trial-ITD-Retargeting-AZR-AZR»1 x 1»SocialBan»LIA»ALL»CPA»RT»X»NA»SS»NA»FreeAcctRetargetingVMFB-OnDemand-ChE»PRC1S0</v></cell><cell r="D1907" t="str"><v>43295224104899</v></cell><cell r="E1907" t="str"><v>43295103180610PRC1S0</v></cell><cell r="F1907" t="str"><v>DCM</v></cell><cell r="G1907" t="str"><v>https://azure.microsoft.com/en-us/free/virtual-machines/search/?OCID=AID%eexcid!_OLA_%ebuy!_%epid!_%ecid!</v></cell></row><row r="1907"><cell r="K1907" t="str"><v>July</v></cell><cell r="L1907"><v>43295</v></cell><cell r="M1907" t="str"><v>Tier 0</v></cell><cell r="N1907" t="str"><v>North America</v></cell><cell r="O1907" t="str"><v>United States</v></cell><cell r="P1907" t="str"><v>Trial</v></cell><cell r="Q1907" t="str"><v>Social</v></cell><cell r="R1907" t="str"><v>Azure</v></cell><cell r="S1907" t="str"><v>Apps & Infra</v></cell><cell r="T1907" t="str"><v>Developers & ITI's</v></cell><cell r="U1907" t="str"><v>USA-Trial-ITD-Retargeting-AZR-AZR</v></cell><cell r="V1907" t="str"><v>Retargeting</v></cell><cell r="W1907" t="str"><v>Link Ad</v></cell><cell r="X1907" t="str"><v>1x1</v></cell></row><row r="1907"><cell r="AA1907"><v>43295</v></cell><cell r="AB1907" t="str"><v>USA_gaPMG_AZR_AZR_Q1_19_Direct-Social</v></cell><cell r="AC1907"><v>21358715</v></cell><cell r="AD1907"><v>720197</v></cell><cell r="AE1907" t="str"><v>Facebook</v></cell><cell r="AF1907"><v>3654128</v></cell><cell r="AG1907" t="str"><v>FACEBOOK»USA-Trial-ITD-Retargeting-AZR-AZR»1 x 1»SocialBan»LIA»ALL»CPA»RT»X»NA»SS»NA»FreeAcctRetargetingVMFB-OnDemand-ChE»PRC1S0</v></cell><cell r="AH1907"><v>224104899</v></cell><cell r="AI1907" t="str"><v>AzurePlatform_FreeAcctRetargetingVMFB-OnDemand-ChE_USA_1200x628_CAN_PLATFORM_English_Free Account_Standard_NA_SINU_T2_1</v></cell><cell r="AJ1907"><v>103180610</v></cell></row><row r="1908"><cell r="C1908" t="str"><v>43295FACEBOOK»USA-Trial-ITD-Retargeting-AZR-AZR»1 x 1»SocialBan»CAN»ALL»CPA»RT»X»NA»SS»NA»FBCTCBrandinMotion»PRC1RT</v></cell><cell r="D1908" t="str"><v>43295224106069</v></cell><cell r="E1908" t="str"><v>43295103176812PRC1RT</v></cell><cell r="F1908" t="str"><v>DCM</v></cell><cell r="G1908" t="str"><v>https://signup.azure.com/?OCID=AID%eexcid!_OLA_%ebuy!_%epid!_%ecid!</v></cell></row><row r="1908"><cell r="K1908" t="str"><v>July</v></cell><cell r="L1908"><v>43295</v></cell><cell r="M1908" t="str"><v>Tier 0</v></cell><cell r="N1908" t="str"><v>North America</v></cell><cell r="O1908" t="str"><v>United States</v></cell><cell r="P1908" t="str"><v>Trial</v></cell><cell r="Q1908" t="str"><v>Social</v></cell><cell r="R1908" t="str"><v>Azure</v></cell><cell r="S1908" t="str"><v>Apps & Infra</v></cell><cell r="T1908" t="str"><v>Developers & ITI's</v></cell><cell r="U1908" t="str"><v>USA-Trial-ITD-Retargeting-AZR-AZR</v></cell><cell r="V1908" t="str"><v>Retargeting</v></cell><cell r="W1908" t="str"><v>Canvas Ad</v></cell><cell r="X1908" t="str"><v>1x1</v></cell></row><row r="1908"><cell r="AA1908"><v>43295</v></cell><cell r="AB1908" t="str"><v>USA_gaPMG_AZR_AZR_Q1_19_Direct-Social</v></cell><cell r="AC1908"><v>21358715</v></cell><cell r="AD1908"><v>720197</v></cell><cell r="AE1908" t="str"><v>Facebook</v></cell><cell r="AF1908"><v>3654128</v></cell><cell r="AG1908" t="str"><v>FACEBOOK»USA-Trial-ITD-Retargeting-AZR-AZR»1 x 1»SocialBan»CAN»ALL»CPA»RT»X»NA»SS»NA»FBCTCBrandinMotion»PRC1RT</v></cell><cell r="AH1908"><v>224106069</v></cell><cell r="AI1908" t="str"><v>AzurePlatform_FBCTCBrandinMotion_USA_10s_CAN_PLATFORM_English_Trial_Standard_STAN_TIN_T2_1</v></cell><cell r="AJ1908"><v>103176812</v></cell></row><row r="1909"><cell r="C1909" t="str"><v>43295FACEBOOK»USA-Trial-ITD-Trial Lookalike-AZR-AZR»1 x 1»SocialBan»CAN»ALL»CPA»LAL»X»NA»SS»NA»FBCTCBenefit2inMotion»PRC1M0</v></cell><cell r="D1909" t="str"><v>43295223862927</v></cell><cell r="E1909" t="str"><v>43295103043835PRC1M0</v></cell><cell r="F1909" t="str"><v>DCM</v></cell><cell r="G1909" t="str"><v>https://signup.azure.com/?OCID=AID%eexcid!_OLA_%ebuy!_%epid!_%ecid!</v></cell></row><row r="1909"><cell r="K1909" t="str"><v>July</v></cell><cell r="L1909"><v>43295</v></cell><cell r="M1909" t="str"><v>Tier 0</v></cell><cell r="N1909" t="str"><v>North America</v></cell><cell r="O1909" t="str"><v>United States</v></cell><cell r="P1909" t="str"><v>Trial</v></cell><cell r="Q1909" t="str"><v>Social</v></cell><cell r="R1909" t="str"><v>Azure</v></cell><cell r="S1909" t="str"><v>Apps & Infra</v></cell><cell r="T1909" t="str"><v>Developers & ITI's</v></cell><cell r="U1909" t="str"><v>USA-Trial-ITD-Trial Lookalike-AZR-AZR</v></cell><cell r="V1909" t="str"><v>Lookalike Targeting</v></cell><cell r="W1909" t="str"><v>Canvas Ad</v></cell><cell r="X1909" t="str"><v>1x1</v></cell></row><row r="1909"><cell r="AA1909"><v>43295</v></cell><cell r="AB1909" t="str"><v>USA_gaPMG_AZR_AZR_Q1_19_Direct-Social</v></cell><cell r="AC1909"><v>21358715</v></cell><cell r="AD1909"><v>720197</v></cell><cell r="AE1909" t="str"><v>Facebook</v></cell><cell r="AF1909"><v>3654128</v></cell><cell r="AG1909" t="str"><v>FACEBOOK»USA-Trial-ITD-Trial Lookalike-AZR-AZR»1 x 1»SocialBan»CAN»ALL»CPA»LAL»X»NA»SS»NA»FBCTCBenefit2inMotion»PRC1M0</v></cell><cell r="AH1909"><v>223862927</v></cell><cell r="AI1909" t="str"><v>AzurePlatform_FBCTCBenefit2inMotion_USA_10s_CAN_PLATFORM_English_Trial_Standard_STAN_TIN_T4_1</v></cell><cell r="AJ1909"><v>103043835</v></cell></row><row r="1910"><cell r="C1910" t="str"><v>43295FACEBOOK»USA-Trial-ITD-Trial Lookalike-AZR-AZR»1 x 1»SocialBan»CAN»ALL»CPA»LAL»X»NA»SS»NA»FBCTCBenefit2inMotion»PRC1M0</v></cell><cell r="D1910" t="str"><v>43295223862927</v></cell><cell r="E1910" t="str"><v>43295103178645PRC1M0</v></cell><cell r="F1910" t="str"><v>DCM</v></cell><cell r="G1910" t="str"><v>https://azure.microsoft.com/en-us/pricing/purchase-options/?v=18.19&OCID=AID%eexcid!_OLA_%ebuy!_%epid!_%ecid!</v></cell></row><row r="1910"><cell r="K1910" t="str"><v>July</v></cell><cell r="L1910"><v>43295</v></cell><cell r="M1910" t="str"><v>Tier 0</v></cell><cell r="N1910" t="str"><v>North America</v></cell><cell r="O1910" t="str"><v>United States</v></cell><cell r="P1910" t="str"><v>Trial</v></cell><cell r="Q1910" t="str"><v>Social</v></cell><cell r="R1910" t="str"><v>Azure</v></cell><cell r="S1910" t="str"><v>Apps & Infra</v></cell><cell r="T1910" t="str"><v>Developers & ITI's</v></cell><cell r="U1910" t="str"><v>USA-Trial-ITD-Trial Lookalike-AZR-AZR</v></cell><cell r="V1910" t="str"><v>Lookalike Targeting</v></cell><cell r="W1910" t="str"><v>Canvas Ad</v></cell><cell r="X1910" t="str"><v>1x1</v></cell></row><row r="1910"><cell r="AA1910"><v>43295</v></cell><cell r="AB1910" t="str"><v>USA_gaPMG_AZR_AZR_Q1_19_Direct-Social</v></cell><cell r="AC1910"><v>21358715</v></cell><cell r="AD1910"><v>720197</v></cell><cell r="AE1910" t="str"><v>Facebook</v></cell><cell r="AF1910"><v>3654128</v></cell><cell r="AG1910" t="str"><v>FACEBOOK»USA-Trial-ITD-Trial Lookalike-AZR-AZR»1 x 1»SocialBan»CAN»ALL»CPA»LAL»X»NA»SS»NA»FBCTCBenefit2inMotion»PRC1M0</v></cell><cell r="AH1910"><v>223862927</v></cell><cell r="AI1910" t="str"><v>AzurePlatform_FBCTCBenefit2inMotion_USA_10s_CAN_PLATFORM_English_Trial_Standard_STAN_TIN_T4_2</v></cell><cell r="AJ1910"><v>103178645</v></cell></row><row r="1911"><cell r="C1911" t="str"><v>43295FACEBOOK»USA-Trial-ITD-Trial Lookalike-AZR-AZR»1 x 1»SocialBan»LIA»ALL»CPA»LAL»X»NA»SS»NA»FreeAcctDeveloperFB-AnimatedAI-Ch3»PRC1M7</v></cell><cell r="D1911" t="str"><v>43295223934104</v></cell><cell r="E1911" t="str"><v>43295103032778PRC1M7</v></cell><cell r="F1911" t="str"><v>DCM</v></cell></row><row r="1911"><cell r="K1911" t="str"><v>July</v></cell><cell r="L1911"><v>43295</v></cell><cell r="M1911" t="str"><v>Tier 0</v></cell><cell r="N1911" t="str"><v>North America</v></cell><cell r="O1911" t="str"><v>United States</v></cell><cell r="P1911" t="str"><v>Trial</v></cell><cell r="Q1911" t="str"><v>Social</v></cell><cell r="R1911" t="str"><v>Azure</v></cell><cell r="S1911" t="str"><v>Apps & Infra</v></cell><cell r="T1911" t="str"><v>Developers & ITI's</v></cell><cell r="U1911" t="str"><v>USA-Trial-ITD-Trial Lookalike-AZR-AZR</v></cell><cell r="V1911" t="str"><v>Lookalike Targeting</v></cell><cell r="W1911" t="str"><v>Link Ad</v></cell><cell r="X1911" t="str"><v>1x1</v></cell></row><row r="1911"><cell r="AA1911"><v>43295</v></cell><cell r="AB1911" t="str"><v>USA_gaPMG_AZR_AZR_Q1_19_Direct-Social</v></cell><cell r="AC1911"><v>21358715</v></cell><cell r="AD1911"><v>720197</v></cell><cell r="AE1911" t="str"><v>Facebook</v></cell><cell r="AF1911"><v>3654128</v></cell><cell r="AG1911" t="str"><v>FACEBOOK»USA-Trial-ITD-Trial Lookalike-AZR-AZR»1 x 1»SocialBan»LIA»ALL»CPA»LAL»X»NA»SS»NA»FreeAcctDeveloperFB-AnimatedAI-Ch3»PRC1M7</v></cell><cell r="AH1911"><v>223934104</v></cell><cell r="AI1911" t="str"><v>AZR_FreeAcctDeveloperFB-AnimatedAI-Ch3_USA_1200x1200_CAN_Direct_English_Trial_Standard_ANI_LEA_T3_1</v></cell><cell r="AJ1911"><v>103032778</v></cell></row><row r="1912"><cell r="C1912" t="str"><v>43295FACEBOOK»USA-Trial-ITD-Trial Lookalike-AZR-AZR»1 x 1»SocialBan»LIA»ALL»CPA»LAL»X»NA»SS»NA»FreeAcctDeveloperFB-AnimatedData-Ch4»PRC1M8</v></cell><cell r="D1912" t="str"><v>43295223862933</v></cell><cell r="E1912" t="str"><v>43295103037935PRC1M8</v></cell><cell r="F1912" t="str"><v>DCM</v></cell></row><row r="1912"><cell r="K1912" t="str"><v>July</v></cell><cell r="L1912"><v>43295</v></cell><cell r="M1912" t="str"><v>Tier 0</v></cell><cell r="N1912" t="str"><v>North America</v></cell><cell r="O1912" t="str"><v>United States</v></cell><cell r="P1912" t="str"><v>Trial</v></cell><cell r="Q1912" t="str"><v>Social</v></cell><cell r="R1912" t="str"><v>Azure</v></cell><cell r="S1912" t="str"><v>Apps & Infra</v></cell><cell r="T1912" t="str"><v>Developers & ITI's</v></cell><cell r="U1912" t="str"><v>USA-Trial-ITD-Trial Lookalike-AZR-AZR</v></cell><cell r="V1912" t="str"><v>Lookalike Targeting</v></cell><cell r="W1912" t="str"><v>Link Ad</v></cell><cell r="X1912" t="str"><v>1x1</v></cell></row><row r="1912"><cell r="AA1912"><v>43295</v></cell><cell r="AB1912" t="str"><v>USA_gaPMG_AZR_AZR_Q1_19_Direct-Social</v></cell><cell r="AC1912"><v>21358715</v></cell><cell r="AD1912"><v>720197</v></cell><cell r="AE1912" t="str"><v>Facebook</v></cell><cell r="AF1912"><v>3654128</v></cell><cell r="AG1912" t="str"><v>FACEBOOK»USA-Trial-ITD-Trial Lookalike-AZR-AZR»1 x 1»SocialBan»LIA»ALL»CPA»LAL»X»NA»SS»NA»FreeAcctDeveloperFB-AnimatedData-Ch4»PRC1M8</v></cell><cell r="AH1912"><v>223862933</v></cell><cell r="AI1912" t="str"><v>AZR_FreeAcctDeveloperFB-AnimatedData-Ch4_USA_1200x1200_CAN_Direct_English_Trial_Standard_ANI_LEA_T4_2</v></cell><cell r="AJ1912"><v>103037935</v></cell></row><row r="1913"><cell r="C1913" t="str"><v>43295FACEBOOK»USA-Trial-ITD-Trial Lookalike-AZR-AZR»1 x 1»SocialBan»LIA»ALL»CPA»LAL»X»NA»SS»NA»FreeAcctITProFB-AnimatedHybrid-Ch2»PRC1MC</v></cell><cell r="D1913" t="str"><v>43295224104956</v></cell><cell r="E1913" t="str"><v>43295103180583PRC1MC</v></cell><cell r="F1913" t="str"><v>DCM</v></cell></row><row r="1913"><cell r="K1913" t="str"><v>July</v></cell><cell r="L1913"><v>43295</v></cell><cell r="M1913" t="str"><v>Tier 0</v></cell><cell r="N1913" t="str"><v>North America</v></cell><cell r="O1913" t="str"><v>United States</v></cell><cell r="P1913" t="str"><v>Trial</v></cell><cell r="Q1913" t="str"><v>Social</v></cell><cell r="R1913" t="str"><v>Azure</v></cell><cell r="S1913" t="str"><v>Apps & Infra</v></cell><cell r="T1913" t="str"><v>Developers & ITI's</v></cell><cell r="U1913" t="str"><v>USA-Trial-ITD-Trial Lookalike-AZR-AZR</v></cell><cell r="V1913" t="str"><v>Lookalike Targeting</v></cell><cell r="W1913" t="str"><v>Link Ad</v></cell><cell r="X1913" t="str"><v>1x1</v></cell></row><row r="1913"><cell r="AA1913"><v>43295</v></cell><cell r="AB1913" t="str"><v>USA_gaPMG_AZR_AZR_Q1_19_Direct-Social</v></cell><cell r="AC1913"><v>21358715</v></cell><cell r="AD1913"><v>720197</v></cell><cell r="AE1913" t="str"><v>Facebook</v></cell><cell r="AF1913"><v>3654128</v></cell><cell r="AG1913" t="str"><v>FACEBOOK»USA-Trial-ITD-Trial Lookalike-AZR-AZR»1 x 1»SocialBan»LIA»ALL»CPA»LAL»X»NA»SS»NA»FreeAcctITProFB-AnimatedHybrid-Ch2»PRC1MC</v></cell><cell r="AH1913"><v>224104956</v></cell><cell r="AI1913" t="str"><v>AZR_FreeAcctITProFB-AnimatedHybrid-Ch2_USA_1200x1200_CAN_Direct_English_Trial_Standard_ANI_LEA_T2_2</v></cell><cell r="AJ1913"><v>103180583</v></cell></row><row r="1914"><cell r="C1914" t="str"><v>43295FACEBOOK»USA-Trial-ITD-Trial Lookalike-AZR-AZR»1 x 1»SocialBan»CAN»ALL»CPA»LAL»X»NA»SS»NA»FBCTCBrandinMotion»PRC1M3</v></cell><cell r="D1914" t="str"><v>43295223862900</v></cell><cell r="E1914" t="str"><v>43295103176812PRC1M3</v></cell><cell r="F1914" t="str"><v>DCM</v></cell><cell r="G1914" t="str"><v>https://signup.azure.com/?OCID=AID%eexcid!_OLA_%ebuy!_%epid!_%ecid!</v></cell></row><row r="1914"><cell r="K1914" t="str"><v>July</v></cell><cell r="L1914"><v>43295</v></cell><cell r="M1914" t="str"><v>Tier 0</v></cell><cell r="N1914" t="str"><v>North America</v></cell><cell r="O1914" t="str"><v>United States</v></cell><cell r="P1914" t="str"><v>Trial</v></cell><cell r="Q1914" t="str"><v>Social</v></cell><cell r="R1914" t="str"><v>Azure</v></cell><cell r="S1914" t="str"><v>Apps & Infra</v></cell><cell r="T1914" t="str"><v>Developers & ITI's</v></cell><cell r="U1914" t="str"><v>USA-Trial-ITD-Trial Lookalike-AZR-AZR</v></cell><cell r="V1914" t="str"><v>Lookalike Targeting</v></cell><cell r="W1914" t="str"><v>Canvas Ad</v></cell><cell r="X1914" t="str"><v>1x1</v></cell></row><row r="1914"><cell r="AA1914"><v>43295</v></cell><cell r="AB1914" t="str"><v>USA_gaPMG_AZR_AZR_Q1_19_Direct-Social</v></cell><cell r="AC1914"><v>21358715</v></cell><cell r="AD1914"><v>720197</v></cell><cell r="AE1914" t="str"><v>Facebook</v></cell><cell r="AF1914"><v>3654128</v></cell><cell r="AG1914" t="str"><v>FACEBOOK»USA-Trial-ITD-Trial Lookalike-AZR-AZR»1 x 1»SocialBan»CAN»ALL»CPA»LAL»X»NA»SS»NA»FBCTCBrandinMotion»PRC1M3</v></cell><cell r="AH1914"><v>223862900</v></cell><cell r="AI1914" t="str"><v>AzurePlatform_FBCTCBrandinMotion_USA_10s_CAN_PLATFORM_English_Trial_Standard_STAN_TIN_T2_1</v></cell><cell r="AJ1914"><v>103176812</v></cell></row><row r="1915"><cell r="C1915" t="str"><v>43295FACEBOOK»USA-Trial-ITD-Trial Lookalike-AZR-AZR»1 x 1»SocialBan»CAN»ALL»CPA»LAL»X»NA»SS»NA»FBCTCBrandinMotion»PRC1M3</v></cell><cell r="D1915" t="str"><v>43295223862900</v></cell><cell r="E1915" t="str"><v>43295103032823PRC1M3</v></cell><cell r="F1915" t="str"><v>DCM</v></cell><cell r="G1915" t="str"><v>https://azure.microsoft.com/en-us/pricing/purchase-options/?v=18.19&OCID=AID%eexcid!_OLA_%ebuy!_%epid!_%ecid!</v></cell></row><row r="1915"><cell r="K1915" t="str"><v>July</v></cell><cell r="L1915"><v>43295</v></cell><cell r="M1915" t="str"><v>Tier 0</v></cell><cell r="N1915" t="str"><v>North America</v></cell><cell r="O1915" t="str"><v>United States</v></cell><cell r="P1915" t="str"><v>Trial</v></cell><cell r="Q1915" t="str"><v>Social</v></cell><cell r="R1915" t="str"><v>Azure</v></cell><cell r="S1915" t="str"><v>Apps & Infra</v></cell><cell r="T1915" t="str"><v>Developers & ITI's</v></cell><cell r="U1915" t="str"><v>USA-Trial-ITD-Trial Lookalike-AZR-AZR</v></cell><cell r="V1915" t="str"><v>Lookalike Targeting</v></cell><cell r="W1915" t="str"><v>Canvas Ad</v></cell><cell r="X1915" t="str"><v>1x1</v></cell></row><row r="1915"><cell r="AA1915"><v>43295</v></cell><cell r="AB1915" t="str"><v>USA_gaPMG_AZR_AZR_Q1_19_Direct-Social</v></cell><cell r="AC1915"><v>21358715</v></cell><cell r="AD1915"><v>720197</v></cell><cell r="AE1915" t="str"><v>Facebook</v></cell><cell r="AF1915"><v>3654128</v></cell><cell r="AG1915" t="str"><v>FACEBOOK»USA-Trial-ITD-Trial Lookalike-AZR-AZR»1 x 1»SocialBan»CAN»ALL»CPA»LAL»X»NA»SS»NA»FBCTCBrandinMotion»PRC1M3</v></cell><cell r="AH1915"><v>223862900</v></cell><cell r="AI1915" t="str"><v>AzurePlatform_FBCTCBrandinMotion_USA_10s_CAN_PLATFORM_English_Trial_Standard_STAN_TIN_T2_2</v></cell><cell r="AJ1915"><v>103032823</v></cell></row><row r="1916"><cell r="C1916" t="str"><v>43295FACEBOOK»USA-Trial-ITD-Trial PayGo Lookalike-AZR-AZR»1 x 1»SocialBan»CAN»ALL»CPA»LAL»X»NA»SS»NA»FBCTCBenefit2inMotion»PRC1Q1</v></cell><cell r="D1916" t="str"><v>43295224104986</v></cell><cell r="E1916" t="str"><v>43295103043835PRC1Q1</v></cell><cell r="F1916" t="str"><v>DCM</v></cell><cell r="G1916" t="str"><v>https://signup.azure.com/?OCID=AID%eexcid!_OLA_%ebuy!_%epid!_%ecid!</v></cell></row><row r="1916"><cell r="K1916" t="str"><v>July</v></cell><cell r="L1916"><v>43295</v></cell><cell r="M1916" t="str"><v>Tier 0</v></cell><cell r="N1916" t="str"><v>North America</v></cell><cell r="O1916" t="str"><v>United States</v></cell><cell r="P1916" t="str"><v>Trial</v></cell><cell r="Q1916" t="str"><v>Social</v></cell><cell r="R1916" t="str"><v>Azure</v></cell><cell r="S1916" t="str"><v>Apps & Infra</v></cell><cell r="T1916" t="str"><v>Developers & ITI's</v></cell><cell r="U1916" t="str"><v>USA-Trial-ITD-Trial PayGo Lookalike-AZR-AZR</v></cell><cell r="V1916" t="str"><v>Lookalike Targeting</v></cell><cell r="W1916" t="str"><v>Canvas Ad</v></cell><cell r="X1916" t="str"><v>1x1</v></cell></row><row r="1916"><cell r="AA1916"><v>43295</v></cell><cell r="AB1916" t="str"><v>USA_gaPMG_AZR_AZR_Q1_19_Direct-Social</v></cell><cell r="AC1916"><v>21358715</v></cell><cell r="AD1916"><v>720197</v></cell><cell r="AE1916" t="str"><v>Facebook</v></cell><cell r="AF1916"><v>3654128</v></cell><cell r="AG1916" t="str"><v>FACEBOOK»USA-Trial-ITD-Trial PayGo Lookalike-AZR-AZR»1 x 1»SocialBan»CAN»ALL»CPA»LAL»X»NA»SS»NA»FBCTCBenefit2inMotion»PRC1Q1</v></cell><cell r="AH1916"><v>224104986</v></cell><cell r="AI1916" t="str"><v>AzurePlatform_FBCTCBenefit2inMotion_USA_10s_CAN_PLATFORM_English_Trial_Standard_STAN_TIN_T4_1</v></cell><cell r="AJ1916"><v>103043835</v></cell></row><row r="1917"><cell r="C1917" t="str"><v>43295FACEBOOK»USA-Trial-ITD-Trial PayGo Lookalike-AZR-AZR»1 x 1»SocialBan»CAN»ALL»CPA»LAL»X»NA»SS»NA»FBCTCBenefit2inMotion»PRC1Q1</v></cell><cell r="D1917" t="str"><v>43295224104986</v></cell><cell r="E1917" t="str"><v>43295103178645PRC1Q1</v></cell><cell r="F1917" t="str"><v>DCM</v></cell><cell r="G1917" t="str"><v>https://azure.microsoft.com/en-us/pricing/purchase-options/?v=18.19&OCID=AID%eexcid!_OLA_%ebuy!_%epid!_%ecid!</v></cell></row><row r="1917"><cell r="K1917" t="str"><v>July</v></cell><cell r="L1917"><v>43295</v></cell><cell r="M1917" t="str"><v>Tier 0</v></cell><cell r="N1917" t="str"><v>North America</v></cell><cell r="O1917" t="str"><v>United States</v></cell><cell r="P1917" t="str"><v>Trial</v></cell><cell r="Q1917" t="str"><v>Social</v></cell><cell r="R1917" t="str"><v>Azure</v></cell><cell r="S1917" t="str"><v>Apps & Infra</v></cell><cell r="T1917" t="str"><v>Developers & ITI's</v></cell><cell r="U1917" t="str"><v>USA-Trial-ITD-Trial PayGo Lookalike-AZR-AZR</v></cell><cell r="V1917" t="str"><v>Lookalike Targeting</v></cell><cell r="W1917" t="str"><v>Canvas Ad</v></cell><cell r="X1917" t="str"><v>1x1</v></cell></row><row r="1917"><cell r="AA1917"><v>43295</v></cell><cell r="AB1917" t="str"><v>USA_gaPMG_AZR_AZR_Q1_19_Direct-Social</v></cell><cell r="AC1917"><v>21358715</v></cell><cell r="AD1917"><v>720197</v></cell><cell r="AE1917" t="str"><v>Facebook</v></cell><cell r="AF1917"><v>3654128</v></cell><cell r="AG1917" t="str"><v>FACEBOOK»USA-Trial-ITD-Trial PayGo Lookalike-AZR-AZR»1 x 1»SocialBan»CAN»ALL»CPA»LAL»X»NA»SS»NA»FBCTCBenefit2inMotion»PRC1Q1</v></cell><cell r="AH1917"><v>224104986</v></cell><cell r="AI1917" t="str"><v>AzurePlatform_FBCTCBenefit2inMotion_USA_10s_CAN_PLATFORM_English_Trial_Standard_STAN_TIN_T4_2</v></cell><cell r="AJ1917"><v>103178645</v></cell></row><row r="1918"><cell r="C1918" t="str"><v>43295FACEBOOK»USA-Trial-ITD-Trial PayGo Lookalike-AZR-AZR»1 x 1»SocialBan»CAN»ALL»CPA»LAL»X»NA»SS»NA»FBCTCBrandinMotion»PRC1Q3</v></cell><cell r="D1918" t="str"><v>43295223935349</v></cell><cell r="E1918" t="str"><v>43295103176812PRC1Q3</v></cell><cell r="F1918" t="str"><v>DCM</v></cell><cell r="G1918" t="str"><v>https://signup.azure.com/?OCID=AID%eexcid!_OLA_%ebuy!_%epid!_%ecid!</v></cell></row><row r="1918"><cell r="K1918" t="str"><v>July</v></cell><cell r="L1918"><v>43295</v></cell><cell r="M1918" t="str"><v>Tier 0</v></cell><cell r="N1918" t="str"><v>North America</v></cell><cell r="O1918" t="str"><v>United States</v></cell><cell r="P1918" t="str"><v>Trial</v></cell><cell r="Q1918" t="str"><v>Social</v></cell><cell r="R1918" t="str"><v>Azure</v></cell><cell r="S1918" t="str"><v>Apps & Infra</v></cell><cell r="T1918" t="str"><v>Developers & ITI's</v></cell><cell r="U1918" t="str"><v>USA-Trial-ITD-Trial PayGo Lookalike-AZR-AZR</v></cell><cell r="V1918" t="str"><v>Lookalike Targeting</v></cell><cell r="W1918" t="str"><v>Canvas Ad</v></cell><cell r="X1918" t="str"><v>1x1</v></cell></row><row r="1918"><cell r="AA1918"><v>43295</v></cell><cell r="AB1918" t="str"><v>USA_gaPMG_AZR_AZR_Q1_19_Direct-Social</v></cell><cell r="AC1918"><v>21358715</v></cell><cell r="AD1918"><v>720197</v></cell><cell r="AE1918" t="str"><v>Facebook</v></cell><cell r="AF1918"><v>3654128</v></cell><cell r="AG1918" t="str"><v>FACEBOOK»USA-Trial-ITD-Trial PayGo Lookalike-AZR-AZR»1 x 1»SocialBan»CAN»ALL»CPA»LAL»X»NA»SS»NA»FBCTCBrandinMotion»PRC1Q3</v></cell><cell r="AH1918"><v>223935349</v></cell><cell r="AI1918" t="str"><v>AzurePlatform_FBCTCBrandinMotion_USA_10s_CAN_PLATFORM_English_Trial_Standard_STAN_TIN_T2_1</v></cell><cell r="AJ1918"><v>103176812</v></cell></row><row r="1919"><cell r="C1919" t="str"><v>43295FACEBOOK»USA-Trial-ITD-Trial PayGo Lookalike-AZR-AZR»1 x 1»SocialBan»CAN»ALL»CPA»LAL»X»NA»SS»NA»FBCTCBrandinMotion»PRC1Q3</v></cell><cell r="D1919" t="str"><v>43295223935349</v></cell><cell r="E1919" t="str"><v>43295103032823PRC1Q3</v></cell><cell r="F1919" t="str"><v>DCM</v></cell><cell r="G1919" t="str"><v>https://azure.microsoft.com/en-us/pricing/purchase-options/?v=18.19&OCID=AID%eexcid!_OLA_%ebuy!_%epid!_%ecid!</v></cell></row><row r="1919"><cell r="K1919" t="str"><v>July</v></cell><cell r="L1919"><v>43295</v></cell><cell r="M1919" t="str"><v>Tier 0</v></cell><cell r="N1919" t="str"><v>North America</v></cell><cell r="O1919" t="str"><v>United States</v></cell><cell r="P1919" t="str"><v>Trial</v></cell><cell r="Q1919" t="str"><v>Social</v></cell><cell r="R1919" t="str"><v>Azure</v></cell><cell r="S1919" t="str"><v>Apps & Infra</v></cell><cell r="T1919" t="str"><v>Developers & ITI's</v></cell><cell r="U1919" t="str"><v>USA-Trial-ITD-Trial PayGo Lookalike-AZR-AZR</v></cell><cell r="V1919" t="str"><v>Lookalike Targeting</v></cell><cell r="W1919" t="str"><v>Canvas Ad</v></cell><cell r="X1919" t="str"><v>1x1</v></cell></row><row r="1919"><cell r="AA1919"><v>43295</v></cell><cell r="AB1919" t="str"><v>USA_gaPMG_AZR_AZR_Q1_19_Direct-Social</v></cell><cell r="AC1919"><v>21358715</v></cell><cell r="AD1919"><v>720197</v></cell><cell r="AE1919" t="str"><v>Facebook</v></cell><cell r="AF1919"><v>3654128</v></cell><cell r="AG1919" t="str"><v>FACEBOOK»USA-Trial-ITD-Trial PayGo Lookalike-AZR-AZR»1 x 1»SocialBan»CAN»ALL»CPA»LAL»X»NA»SS»NA»FBCTCBrandinMotion»PRC1Q3</v></cell><cell r="AH1919"><v>223935349</v></cell><cell r="AI1919" t="str"><v>AzurePlatform_FBCTCBrandinMotion_USA_10s_CAN_PLATFORM_English_Trial_Standard_STAN_TIN_T2_2</v></cell><cell r="AJ1919"><v>103032823</v></cell></row><row r="1920"><cell r="C1920" t="str"><v>43295FACEBOOK»USA-Trial-ITD-Trial PayGo Lookalike-AZR-AZR»1 x 1»SocialBan»LIA»ALL»CPA»LAL»X»NA»SS»NA»FreeAcctDeveloperFB-AnimatedGeneric-Ch1»PRC1Q6</v></cell><cell r="D1920" t="str"><v>43295224106129</v></cell><cell r="E1920" t="str"><v>43295103176851PRC1Q6</v></cell><cell r="F1920" t="str"><v>DCM</v></cell><cell r="G1920" t="str"><v>https://azure.microsoft.com/en-us/free/search/?OCID=AID%eexcid!_OLA_%ebuy!_%epid!_%ecid!</v></cell></row><row r="1920"><cell r="K1920" t="str"><v>July</v></cell><cell r="L1920"><v>43295</v></cell><cell r="M1920" t="str"><v>Tier 0</v></cell><cell r="N1920" t="str"><v>North America</v></cell><cell r="O1920" t="str"><v>United States</v></cell><cell r="P1920" t="str"><v>Trial</v></cell><cell r="Q1920" t="str"><v>Social</v></cell><cell r="R1920" t="str"><v>Azure</v></cell><cell r="S1920" t="str"><v>Apps & Infra</v></cell><cell r="T1920" t="str"><v>Developers & ITI's</v></cell><cell r="U1920" t="str"><v>USA-Trial-ITD-Trial PayGo Lookalike-AZR-AZR</v></cell><cell r="V1920" t="str"><v>Lookalike Targeting</v></cell><cell r="W1920" t="str"><v>Link Ad</v></cell><cell r="X1920" t="str"><v>1x1</v></cell></row><row r="1920"><cell r="AA1920"><v>43295</v></cell><cell r="AB1920" t="str"><v>USA_gaPMG_AZR_AZR_Q1_19_Direct-Social</v></cell><cell r="AC1920"><v>21358715</v></cell><cell r="AD1920"><v>720197</v></cell><cell r="AE1920" t="str"><v>Facebook</v></cell><cell r="AF1920"><v>3654128</v></cell><cell r="AG1920" t="str"><v>FACEBOOK»USA-Trial-ITD-Trial PayGo Lookalike-AZR-AZR»1 x 1»SocialBan»LIA»ALL»CPA»LAL»X»NA»SS»NA»FreeAcctDeveloperFB-AnimatedGeneric-Ch1»PRC1Q6</v></cell><cell r="AH1920"><v>224106129</v></cell><cell r="AI1920" t="str"><v>AZR_FreeAcctDeveloperFB-AnimatedGeneric-Ch1_USA_1200x1200_CAN_Direct_English_Trial_Standard_ANI_LEA_T1_2</v></cell><cell r="AJ1920"><v>103176851</v></cell></row><row r="1921"><cell r="C1921" t="str"><v>43295FACEBOOK»USA-Trial-ITD-Interest Prospecting-AZR-AZR»1 x 1»SocialBan»LIA»ALL»CPA»PRO»X»NA»SS»NA»FreeAcctDeveloperFB-AnimatedAI-Ch3»PRC1T2</v></cell><cell r="D1921" t="str"><v>43295223862765</v></cell><cell r="E1921" t="str"><v>43295103032778PRC1T2</v></cell><cell r="F1921" t="str"><v>DCM</v></cell></row><row r="1921"><cell r="K1921" t="str"><v>July</v></cell><cell r="L1921"><v>43295</v></cell><cell r="M1921" t="str"><v>Tier 0</v></cell><cell r="N1921" t="str"><v>North America</v></cell><cell r="O1921" t="str"><v>United States</v></cell><cell r="P1921" t="str"><v>Trial</v></cell><cell r="Q1921" t="str"><v>Social</v></cell><cell r="R1921" t="str"><v>Azure</v></cell><cell r="S1921" t="str"><v>Apps & Infra</v></cell><cell r="T1921" t="str"><v>Developers & ITI's</v></cell><cell r="U1921" t="str"><v>USA-Trial-ITD-Interest Prospecting-AZR-AZR</v></cell><cell r="V1921" t="str"><v>Prospecting</v></cell><cell r="W1921" t="str"><v>Link Ad</v></cell><cell r="X1921" t="str"><v>1x1</v></cell></row><row r="1921"><cell r="AA1921"><v>43295</v></cell><cell r="AB1921" t="str"><v>USA_gaPMG_AZR_AZR_Q1_19_Direct-Social</v></cell><cell r="AC1921"><v>21358715</v></cell><cell r="AD1921"><v>720197</v></cell><cell r="AE1921" t="str"><v>Facebook</v></cell><cell r="AF1921"><v>3654128</v></cell><cell r="AG1921" t="str"><v>FACEBOOK»USA-Trial-ITD-Interest Prospecting-AZR-AZR»1 x 1»SocialBan»LIA»ALL»CPA»PRO»X»NA»SS»NA»FreeAcctDeveloperFB-AnimatedAI-Ch3»PRC1T2</v></cell><cell r="AH1921"><v>223862765</v></cell><cell r="AI1921" t="str"><v>AZR_FreeAcctDeveloperFB-AnimatedAI-Ch3_USA_1200x1200_CAN_Direct_English_Trial_Standard_ANI_LEA_T3_1</v></cell><cell r="AJ1921"><v>103032778</v></cell></row><row r="1922"><cell r="C1922" t="str"><v>43295FACEBOOK»USA-Trial-ITD-Interest Prospecting-AZR-AZR»1 x 1»SocialBan»LIA»ALL»CPA»PRO»X»NA»SS»NA»FreeAcctDeveloperFB-AnimatedData-Ch4»PRC1T3</v></cell><cell r="D1922" t="str"><v>43295223863380</v></cell><cell r="E1922" t="str"><v>43295103037935PRC1T3</v></cell><cell r="F1922" t="str"><v>DCM</v></cell></row><row r="1922"><cell r="K1922" t="str"><v>July</v></cell><cell r="L1922"><v>43295</v></cell><cell r="M1922" t="str"><v>Tier 0</v></cell><cell r="N1922" t="str"><v>North America</v></cell><cell r="O1922" t="str"><v>United States</v></cell><cell r="P1922" t="str"><v>Trial</v></cell><cell r="Q1922" t="str"><v>Social</v></cell><cell r="R1922" t="str"><v>Azure</v></cell><cell r="S1922" t="str"><v>Apps & Infra</v></cell><cell r="T1922" t="str"><v>Developers & ITI's</v></cell><cell r="U1922" t="str"><v>USA-Trial-ITD-Interest Prospecting-AZR-AZR</v></cell><cell r="V1922" t="str"><v>Prospecting</v></cell><cell r="W1922" t="str"><v>Link Ad</v></cell><cell r="X1922" t="str"><v>1x1</v></cell></row><row r="1922"><cell r="AA1922"><v>43295</v></cell><cell r="AB1922" t="str"><v>USA_gaPMG_AZR_AZR_Q1_19_Direct-Social</v></cell><cell r="AC1922"><v>21358715</v></cell><cell r="AD1922"><v>720197</v></cell><cell r="AE1922" t="str"><v>Facebook</v></cell><cell r="AF1922"><v>3654128</v></cell><cell r="AG1922" t="str"><v>FACEBOOK»USA-Trial-ITD-Interest Prospecting-AZR-AZR»1 x 1»SocialBan»LIA»ALL»CPA»PRO»X»NA»SS»NA»FreeAcctDeveloperFB-AnimatedData-Ch4»PRC1T3</v></cell><cell r="AH1922"><v>223863380</v></cell><cell r="AI1922" t="str"><v>AZR_FreeAcctDeveloperFB-AnimatedData-Ch4_USA_1200x1200_CAN_Direct_English_Trial_Standard_ANI_LEA_T4_2</v></cell><cell r="AJ1922"><v>103037935</v></cell></row><row r="1923"><cell r="C1923" t="str"><v>43295FACEBOOK»USA-Trial-ITD-Interest Prospecting-AZR-AZR»1 x 1»SocialBan»LIA»ALL»CPA»PRO»X»NA»SS»NA»FreeAcctDeveloperFB-AnimatedOpenSource-Ch2»PRC1T1</v></cell><cell r="D1923" t="str"><v>43295223862885</v></cell><cell r="E1923" t="str"><v>43295103048329PRC1T1</v></cell><cell r="F1923" t="str"><v>DCM</v></cell><cell r="G1923" t="str"><v>https://azure.microsoft.com/en-us/free/open-source/search/?OCID=AID%eexcid!_OLA_%ebuy!_%epid!_%ecid!</v></cell></row><row r="1923"><cell r="K1923" t="str"><v>July</v></cell><cell r="L1923"><v>43295</v></cell><cell r="M1923" t="str"><v>Tier 0</v></cell><cell r="N1923" t="str"><v>North America</v></cell><cell r="O1923" t="str"><v>United States</v></cell><cell r="P1923" t="str"><v>Trial</v></cell><cell r="Q1923" t="str"><v>Social</v></cell><cell r="R1923" t="str"><v>Azure</v></cell><cell r="S1923" t="str"><v>Apps & Infra</v></cell><cell r="T1923" t="str"><v>Developers & ITI's</v></cell><cell r="U1923" t="str"><v>USA-Trial-ITD-Interest Prospecting-AZR-AZR</v></cell><cell r="V1923" t="str"><v>Prospecting</v></cell><cell r="W1923" t="str"><v>Link Ad</v></cell><cell r="X1923" t="str"><v>1x1</v></cell></row><row r="1923"><cell r="AA1923"><v>43295</v></cell><cell r="AB1923" t="str"><v>USA_gaPMG_AZR_AZR_Q1_19_Direct-Social</v></cell><cell r="AC1923"><v>21358715</v></cell><cell r="AD1923"><v>720197</v></cell><cell r="AE1923" t="str"><v>Facebook</v></cell><cell r="AF1923"><v>3654128</v></cell><cell r="AG1923" t="str"><v>FACEBOOK»USA-Trial-ITD-Interest Prospecting-AZR-AZR»1 x 1»SocialBan»LIA»ALL»CPA»PRO»X»NA»SS»NA»FreeAcctDeveloperFB-AnimatedOpenSource-Ch2»PRC1T1</v></cell><cell r="AH1923"><v>223862885</v></cell><cell r="AI1923" t="str"><v>AZR_FreeAcctDeveloperFB-AnimatedOpenSource-Ch2_USA_1200x1200_CAN_Direct_English_Trial_Standard_ANI_LEA_T2_1</v></cell><cell r="AJ1923"><v>103048329</v></cell></row><row r="1924"><cell r="C1924" t="str"><v>43295FACEBOOK»USA-Trial-ITD-Interest Prospecting-AZR-AZR»1 x 1»SocialBan»LIA»ALL»CPA»PRO»X»NA»SS»NA»FreeAcctITProFB-AnimatedMigration-Ch3»PRC1X2</v></cell><cell r="D1924" t="str"><v>43295224106954</v></cell><cell r="E1924" t="str"><v>43295103176827PRC1X2</v></cell><cell r="F1924" t="str"><v>DCM</v></cell></row><row r="1924"><cell r="K1924" t="str"><v>July</v></cell><cell r="L1924"><v>43295</v></cell><cell r="M1924" t="str"><v>Tier 0</v></cell><cell r="N1924" t="str"><v>North America</v></cell><cell r="O1924" t="str"><v>United States</v></cell><cell r="P1924" t="str"><v>Trial</v></cell><cell r="Q1924" t="str"><v>Social</v></cell><cell r="R1924" t="str"><v>Azure</v></cell><cell r="S1924" t="str"><v>Apps & Infra</v></cell><cell r="T1924" t="str"><v>Developers & ITI's</v></cell><cell r="U1924" t="str"><v>USA-Trial-ITD-Interest Prospecting-AZR-AZR</v></cell><cell r="V1924" t="str"><v>Prospecting</v></cell><cell r="W1924" t="str"><v>Link Ad</v></cell><cell r="X1924" t="str"><v>1x1</v></cell></row><row r="1924"><cell r="AA1924"><v>43295</v></cell><cell r="AB1924" t="str"><v>USA_gaPMG_AZR_AZR_Q1_19_Direct-Social</v></cell><cell r="AC1924"><v>21358715</v></cell><cell r="AD1924"><v>720197</v></cell><cell r="AE1924" t="str"><v>Facebook</v></cell><cell r="AF1924"><v>3654128</v></cell><cell r="AG1924" t="str"><v>FACEBOOK»USA-Trial-ITD-Interest Prospecting-AZR-AZR»1 x 1»SocialBan»LIA»ALL»CPA»PRO»X»NA»SS»NA»FreeAcctITProFB-AnimatedMigration-Ch3»PRC1X2</v></cell><cell r="AH1924"><v>224106954</v></cell><cell r="AI1924" t="str"><v>AZR_FreeAcctITProFB-AnimatedMigration-Ch3_USA_1200x1200_CAN_Direct_English_Trial_Standard_ANI_LEA_T3_1</v></cell><cell r="AJ1924"><v>103176827</v></cell></row><row r="1925"><cell r="C1925" t="str"><v>43295FACEBOOK»USA-Trial-ITD-Lead Completes-AZR-AZR»1 x 1»SocialBan»LIA»ALL»CPA»PRO»X»NA»SS»NA»FreeAcctDeveloperFB-AnimatedAI-Ch3»PRC1W1</v></cell><cell r="D1925" t="str"><v>43295223933096</v></cell><cell r="E1925" t="str"><v>43295103032778PRC1W1</v></cell><cell r="F1925" t="str"><v>DCM</v></cell></row><row r="1925"><cell r="K1925" t="str"><v>July</v></cell><cell r="L1925"><v>43295</v></cell><cell r="M1925" t="str"><v>Tier 0</v></cell><cell r="N1925" t="str"><v>North America</v></cell><cell r="O1925" t="str"><v>United States</v></cell><cell r="P1925" t="str"><v>Trial</v></cell><cell r="Q1925" t="str"><v>Social</v></cell><cell r="R1925" t="str"><v>Azure</v></cell><cell r="S1925" t="str"><v>Apps & Infra</v></cell><cell r="T1925" t="str"><v>Developers & ITI's</v></cell><cell r="U1925" t="str"><v>USA-Trial-ITD-Lead Completes-AZR-AZR</v></cell><cell r="V1925" t="str"><v>Prospecting</v></cell><cell r="W1925" t="str"><v>Link Ad</v></cell><cell r="X1925" t="str"><v>1x1</v></cell></row><row r="1925"><cell r="AA1925"><v>43295</v></cell><cell r="AB1925" t="str"><v>USA_gaPMG_AZR_AZR_Q1_19_Direct-Social</v></cell><cell r="AC1925"><v>21358715</v></cell><cell r="AD1925"><v>720197</v></cell><cell r="AE1925" t="str"><v>Facebook</v></cell><cell r="AF1925"><v>3654128</v></cell><cell r="AG1925" t="str"><v>FACEBOOK»USA-Trial-ITD-Lead Completes-AZR-AZR»1 x 1»SocialBan»LIA»ALL»CPA»PRO»X»NA»SS»NA»FreeAcctDeveloperFB-AnimatedAI-Ch3»PRC1W1</v></cell><cell r="AH1925"><v>223933096</v></cell><cell r="AI1925" t="str"><v>AZR_FreeAcctDeveloperFB-AnimatedAI-Ch3_USA_1200x1200_CAN_Direct_English_Trial_Standard_ANI_LEA_T3_1</v></cell><cell r="AJ1925"><v>103032778</v></cell></row><row r="1926"><cell r="C1926" t="str"><v>43295FACEBOOK»USA-Trial-ITD-Lead Completes-AZR-AZR»1 x 1»SocialBan»LIA»ALL»CPA»PRO»X»NA»SS»NA»FreeAcctITProFB-AnimatedHybrid-Ch2»PRC1W5</v></cell><cell r="D1926" t="str"><v>43295224106033</v></cell><cell r="E1926" t="str"><v>43295103180583PRC1W5</v></cell><cell r="F1926" t="str"><v>DCM</v></cell></row><row r="1926"><cell r="K1926" t="str"><v>July</v></cell><cell r="L1926"><v>43295</v></cell><cell r="M1926" t="str"><v>Tier 0</v></cell><cell r="N1926" t="str"><v>North America</v></cell><cell r="O1926" t="str"><v>United States</v></cell><cell r="P1926" t="str"><v>Trial</v></cell><cell r="Q1926" t="str"><v>Social</v></cell><cell r="R1926" t="str"><v>Azure</v></cell><cell r="S1926" t="str"><v>Apps & Infra</v></cell><cell r="T1926" t="str"><v>Developers & ITI's</v></cell><cell r="U1926" t="str"><v>USA-Trial-ITD-Lead Completes-AZR-AZR</v></cell><cell r="V1926" t="str"><v>Prospecting</v></cell><cell r="W1926" t="str"><v>Link Ad</v></cell><cell r="X1926" t="str"><v>1x1</v></cell></row><row r="1926"><cell r="AA1926"><v>43295</v></cell><cell r="AB1926" t="str"><v>USA_gaPMG_AZR_AZR_Q1_19_Direct-Social</v></cell><cell r="AC1926"><v>21358715</v></cell><cell r="AD1926"><v>720197</v></cell><cell r="AE1926" t="str"><v>Facebook</v></cell><cell r="AF1926"><v>3654128</v></cell><cell r="AG1926" t="str"><v>FACEBOOK»USA-Trial-ITD-Lead Completes-AZR-AZR»1 x 1»SocialBan»LIA»ALL»CPA»PRO»X»NA»SS»NA»FreeAcctITProFB-AnimatedHybrid-Ch2»PRC1W5</v></cell><cell r="AH1926"><v>224106033</v></cell><cell r="AI1926" t="str"><v>AZR_FreeAcctITProFB-AnimatedHybrid-Ch2_USA_1200x1200_CAN_Direct_English_Trial_Standard_ANI_LEA_T2_2</v></cell><cell r="AJ1926"><v>103180583</v></cell></row><row r="1927"><cell r="C1927" t="str"><v>43295FACEBOOK»USA-Trial-ITD-Lead Completes-AZR-AZR»1 x 1»SocialBan»LIA»ALL»CPA»PRO»X»NA»SS»NA»FreeAcctITProFB-AnimatedMigration-Ch3»PRC22N</v></cell><cell r="D1927" t="str"><v>43295223933114</v></cell><cell r="E1927" t="str"><v>43295103176827PRC22N</v></cell><cell r="F1927" t="str"><v>DCM</v></cell></row><row r="1927"><cell r="K1927" t="str"><v>July</v></cell><cell r="L1927"><v>43295</v></cell><cell r="M1927" t="str"><v>Tier 0</v></cell><cell r="N1927" t="str"><v>North America</v></cell><cell r="O1927" t="str"><v>United States</v></cell><cell r="P1927" t="str"><v>Trial</v></cell><cell r="Q1927" t="str"><v>Social</v></cell><cell r="R1927" t="str"><v>Azure</v></cell><cell r="S1927" t="str"><v>Apps & Infra</v></cell><cell r="T1927" t="str"><v>Developers & ITI's</v></cell><cell r="U1927" t="str"><v>USA-Trial-ITD-Lead Completes-AZR-AZR</v></cell><cell r="V1927" t="str"><v>Prospecting</v></cell><cell r="W1927" t="str"><v>Link Ad</v></cell><cell r="X1927" t="str"><v>1x1</v></cell></row><row r="1927"><cell r="AA1927"><v>43295</v></cell><cell r="AB1927" t="str"><v>USA_gaPMG_AZR_AZR_Q1_19_Direct-Social</v></cell><cell r="AC1927"><v>21358715</v></cell><cell r="AD1927"><v>720197</v></cell><cell r="AE1927" t="str"><v>Facebook</v></cell><cell r="AF1927"><v>3654128</v></cell><cell r="AG1927" t="str"><v>FACEBOOK»USA-Trial-ITD-Lead Completes-AZR-AZR»1 x 1»SocialBan»LIA»ALL»CPA»PRO»X»NA»SS»NA»FreeAcctITProFB-AnimatedMigration-Ch3»PRC22N</v></cell><cell r="AH1927"><v>223933114</v></cell><cell r="AI1927" t="str"><v>AZR_FreeAcctITProFB-AnimatedMigration-Ch3_USA_1200x1200_CAN_Direct_English_Trial_Standard_ANI_LEA_T3_1</v></cell><cell r="AJ1927"><v>103176827</v></cell></row><row r="1928"><cell r="C1928" t="str"><v>43295FACEBOOK»USA-Trial-ITD-Lead Completes-AZR-AZR»1 x 1»SocialBan»CAN»ALL»CPA»PRO»X»NA»SS»NA»FBCTCBasicMotion»PRC1VT</v></cell><cell r="D1928" t="str"><v>43295224106900</v></cell><cell r="E1928" t="str"><v>43295103043823PRC1VT</v></cell><cell r="F1928" t="str"><v>DCM</v></cell><cell r="G1928" t="str"><v>https://signup.azure.com/?OCID=AID%eexcid!_OLA_%ebuy!_%epid!_%ecid!</v></cell></row><row r="1928"><cell r="K1928" t="str"><v>July</v></cell><cell r="L1928"><v>43295</v></cell><cell r="M1928" t="str"><v>Tier 0</v></cell><cell r="N1928" t="str"><v>North America</v></cell><cell r="O1928" t="str"><v>United States</v></cell><cell r="P1928" t="str"><v>Trial</v></cell><cell r="Q1928" t="str"><v>Social</v></cell><cell r="R1928" t="str"><v>Azure</v></cell><cell r="S1928" t="str"><v>Apps & Infra</v></cell><cell r="T1928" t="str"><v>Developers & ITI's</v></cell><cell r="U1928" t="str"><v>USA-Trial-ITD-Lead Completes-AZR-AZR</v></cell><cell r="V1928" t="str"><v>Prospecting</v></cell><cell r="W1928" t="str"><v>Canvas Ad</v></cell><cell r="X1928" t="str"><v>1x1</v></cell></row><row r="1928"><cell r="AA1928"><v>43295</v></cell><cell r="AB1928" t="str"><v>USA_gaPMG_AZR_AZR_Q1_19_Direct-Social</v></cell><cell r="AC1928"><v>21358715</v></cell><cell r="AD1928"><v>720197</v></cell><cell r="AE1928" t="str"><v>Facebook</v></cell><cell r="AF1928"><v>3654128</v></cell><cell r="AG1928" t="str"><v>FACEBOOK»USA-Trial-ITD-Lead Completes-AZR-AZR»1 x 1»SocialBan»CAN»ALL»CPA»PRO»X»NA»SS»NA»FBCTCBasicMotion»PRC1VT</v></cell><cell r="AH1928"><v>224106900</v></cell><cell r="AI1928" t="str"><v>AzurePlatform_FBCTCBasicMotion_USA_10s_CAN_PLATFORM_English_Trial_Standard_STAN_TIN_T1_1</v></cell><cell r="AJ1928"><v>103043823</v></cell></row><row r="1929"><cell r="C1929" t="str"><v>43295FACEBOOK»USA-Trial-ITD-Lead Completes-AZR-AZR»1 x 1»SocialBan»CAN»ALL»CPA»PRO»X»NA»SS»NA»FBCTCBenefit2inMotion»PRC1VV</v></cell><cell r="D1929" t="str"><v>43295224106909</v></cell><cell r="E1929" t="str"><v>43295103043835PRC1VV</v></cell><cell r="F1929" t="str"><v>DCM</v></cell><cell r="G1929" t="str"><v>https://signup.azure.com/?OCID=AID%eexcid!_OLA_%ebuy!_%epid!_%ecid!</v></cell></row><row r="1929"><cell r="K1929" t="str"><v>July</v></cell><cell r="L1929"><v>43295</v></cell><cell r="M1929" t="str"><v>Tier 0</v></cell><cell r="N1929" t="str"><v>North America</v></cell><cell r="O1929" t="str"><v>United States</v></cell><cell r="P1929" t="str"><v>Trial</v></cell><cell r="Q1929" t="str"><v>Social</v></cell><cell r="R1929" t="str"><v>Azure</v></cell><cell r="S1929" t="str"><v>Apps & Infra</v></cell><cell r="T1929" t="str"><v>Developers & ITI's</v></cell><cell r="U1929" t="str"><v>USA-Trial-ITD-Lead Completes-AZR-AZR</v></cell><cell r="V1929" t="str"><v>Prospecting</v></cell><cell r="W1929" t="str"><v>Canvas Ad</v></cell><cell r="X1929" t="str"><v>1x1</v></cell></row><row r="1929"><cell r="AA1929"><v>43295</v></cell><cell r="AB1929" t="str"><v>USA_gaPMG_AZR_AZR_Q1_19_Direct-Social</v></cell><cell r="AC1929"><v>21358715</v></cell><cell r="AD1929"><v>720197</v></cell><cell r="AE1929" t="str"><v>Facebook</v></cell><cell r="AF1929"><v>3654128</v></cell><cell r="AG1929" t="str"><v>FACEBOOK»USA-Trial-ITD-Lead Completes-AZR-AZR»1 x 1»SocialBan»CAN»ALL»CPA»PRO»X»NA»SS»NA»FBCTCBenefit2inMotion»PRC1VV</v></cell><cell r="AH1929"><v>224106909</v></cell><cell r="AI1929" t="str"><v>AzurePlatform_FBCTCBenefit2inMotion_USA_10s_CAN_PLATFORM_English_Trial_Standard_STAN_TIN_T4_1</v></cell><cell r="AJ1929"><v>103043835</v></cell></row><row r="1930"><cell r="C1930" t="str"><v>43295FACEBOOK»USA-Trial-ITD-Lead Completes-AZR-AZR»1 x 1»SocialBan»LIA»ALL»CPA»PRO»X»NA»SS»NA»FreeAcctDeveloperFB-AnimatedGeneric-Ch1»PRC1VY</v></cell><cell r="D1930" t="str"><v>43295223862846</v></cell><cell r="E1930" t="str"><v>43295103176851PRC1VY</v></cell><cell r="F1930" t="str"><v>DCM</v></cell><cell r="G1930" t="str"><v>https://azure.microsoft.com/en-us/free/search/?OCID=AID%eexcid!_OLA_%ebuy!_%epid!_%ecid!</v></cell></row><row r="1930"><cell r="K1930" t="str"><v>July</v></cell><cell r="L1930"><v>43295</v></cell><cell r="M1930" t="str"><v>Tier 0</v></cell><cell r="N1930" t="str"><v>North America</v></cell><cell r="O1930" t="str"><v>United States</v></cell><cell r="P1930" t="str"><v>Trial</v></cell><cell r="Q1930" t="str"><v>Social</v></cell><cell r="R1930" t="str"><v>Azure</v></cell><cell r="S1930" t="str"><v>Apps & Infra</v></cell><cell r="T1930" t="str"><v>Developers & ITI's</v></cell><cell r="U1930" t="str"><v>USA-Trial-ITD-Lead Completes-AZR-AZR</v></cell><cell r="V1930" t="str"><v>Prospecting</v></cell><cell r="W1930" t="str"><v>Link Ad</v></cell><cell r="X1930" t="str"><v>1x1</v></cell></row><row r="1930"><cell r="AA1930"><v>43295</v></cell><cell r="AB1930" t="str"><v>USA_gaPMG_AZR_AZR_Q1_19_Direct-Social</v></cell><cell r="AC1930"><v>21358715</v></cell><cell r="AD1930"><v>720197</v></cell><cell r="AE1930" t="str"><v>Facebook</v></cell><cell r="AF1930"><v>3654128</v></cell><cell r="AG1930" t="str"><v>FACEBOOK»USA-Trial-ITD-Lead Completes-AZR-AZR»1 x 1»SocialBan»LIA»ALL»CPA»PRO»X»NA»SS»NA»FreeAcctDeveloperFB-AnimatedGeneric-Ch1»PRC1VY</v></cell><cell r="AH1930"><v>223862846</v></cell><cell r="AI1930" t="str"><v>AZR_FreeAcctDeveloperFB-AnimatedGeneric-Ch1_USA_1200x1200_CAN_Direct_English_Trial_Standard_ANI_LEA_T1_2</v></cell><cell r="AJ1930"><v>103176851</v></cell></row><row r="1931"><cell r="C1931" t="str"><v>43295FACEBOOK»USA-Trial-ITD-Retargeting-AZR-AZR»1 x 1»SocialBan»LIA»ALL»CPA»RT»X»NA»SS»NA»FreeAcctDeveloperFB-AnimatedGeneric-Ch1»PRC26D</v></cell><cell r="D1931" t="str"><v>43295223862870</v></cell><cell r="E1931" t="str"><v>43295103176851PRC26D</v></cell><cell r="F1931" t="str"><v>DCM</v></cell><cell r="G1931" t="str"><v>https://azure.microsoft.com/en-us/free/search/?OCID=AID%eexcid!_OLA_%ebuy!_%epid!_%ecid!</v></cell></row><row r="1931"><cell r="K1931" t="str"><v>July</v></cell><cell r="L1931"><v>43295</v></cell><cell r="M1931" t="str"><v>Tier 0</v></cell><cell r="N1931" t="str"><v>North America</v></cell><cell r="O1931" t="str"><v>United States</v></cell><cell r="P1931" t="str"><v>Trial</v></cell><cell r="Q1931" t="str"><v>Social</v></cell><cell r="R1931" t="str"><v>Azure</v></cell><cell r="S1931" t="str"><v>Apps & Infra</v></cell><cell r="T1931" t="str"><v>Developers & ITI's</v></cell><cell r="U1931" t="str"><v>USA-Trial-ITD-Retargeting-AZR-AZR</v></cell><cell r="V1931" t="str"><v>Retargeting</v></cell><cell r="W1931" t="str"><v>Link Ad</v></cell><cell r="X1931" t="str"><v>1x1</v></cell></row><row r="1931"><cell r="AA1931"><v>43295</v></cell><cell r="AB1931" t="str"><v>USA_gaPMG_AZR_AZR_Q1_19_Direct-Social</v></cell><cell r="AC1931"><v>21358715</v></cell><cell r="AD1931"><v>720197</v></cell><cell r="AE1931" t="str"><v>Facebook</v></cell><cell r="AF1931"><v>3654128</v></cell><cell r="AG1931" t="str"><v>FACEBOOK»USA-Trial-ITD-Retargeting-AZR-AZR»1 x 1»SocialBan»LIA»ALL»CPA»RT»X»NA»SS»NA»FreeAcctDeveloperFB-AnimatedGeneric-Ch1»PRC26D</v></cell><cell r="AH1931"><v>223862870</v></cell><cell r="AI1931" t="str"><v>AZR_FreeAcctDeveloperFB-AnimatedGeneric-Ch1_USA_1200x1200_CAN_Direct_English_Trial_Standard_ANI_LEA_T1_2</v></cell><cell r="AJ1931"><v>103176851</v></cell></row><row r="1932"><cell r="C1932" t="str"><v>43295FACEBOOK»USA-Trial-ITD-Retargeting-AZR-AZR»1 x 1»SocialBan»LIA»ALL»CPA»RT»X»NA»SS»NA»FreeAcctRetargetingOSSFB-Logos-ChG»PRC1S2</v></cell><cell r="D1932" t="str"><v>43295224106063</v></cell><cell r="E1932" t="str"><v>43295103176008PRC1S2</v></cell><cell r="F1932" t="str"><v>DCM</v></cell><cell r="G1932" t="str"><v>https://azure.microsoft.com/en-us/free/open-source/search/?OCID=AID%eexcid!_OLA_%ebuy!_%epid!_%ecid!</v></cell></row><row r="1932"><cell r="K1932" t="str"><v>July</v></cell><cell r="L1932"><v>43295</v></cell><cell r="M1932" t="str"><v>Tier 0</v></cell><cell r="N1932" t="str"><v>North America</v></cell><cell r="O1932" t="str"><v>United States</v></cell><cell r="P1932" t="str"><v>Trial</v></cell><cell r="Q1932" t="str"><v>Social</v></cell><cell r="R1932" t="str"><v>Azure</v></cell><cell r="S1932" t="str"><v>Apps & Infra</v></cell><cell r="T1932" t="str"><v>Developers & ITI's</v></cell><cell r="U1932" t="str"><v>USA-Trial-ITD-Retargeting-AZR-AZR</v></cell><cell r="V1932" t="str"><v>Retargeting</v></cell><cell r="W1932" t="str"><v>Link Ad</v></cell><cell r="X1932" t="str"><v>1x1</v></cell></row><row r="1932"><cell r="AA1932"><v>43295</v></cell><cell r="AB1932" t="str"><v>USA_gaPMG_AZR_AZR_Q1_19_Direct-Social</v></cell><cell r="AC1932"><v>21358715</v></cell><cell r="AD1932"><v>720197</v></cell><cell r="AE1932" t="str"><v>Facebook</v></cell><cell r="AF1932"><v>3654128</v></cell><cell r="AG1932" t="str"><v>FACEBOOK»USA-Trial-ITD-Retargeting-AZR-AZR»1 x 1»SocialBan»LIA»ALL»CPA»RT»X»NA»SS»NA»FreeAcctRetargetingOSSFB-Logos-ChG»PRC1S2</v></cell><cell r="AH1932"><v>224106063</v></cell><cell r="AI1932" t="str"><v>AzurePlatform_FreeAcctRetargetingOSSFB-Logos-ChG_USA_1200x628_CAN_PLATFORM_English_Free Account_Standard_NA_SINU_T2_1</v></cell><cell r="AJ1932"><v>103176008</v></cell></row><row r="1933"><cell r="C1933" t="str"><v>43295FACEBOOK»USA-Trial-ITD-Retargeting-AZR-AZR»1 x 1»SocialBan»LIA»ALL»CPA»RT»X»NA»SS»NA»FreeAcctRetargetingOSSFB-Text-ChF»PRC1S1</v></cell><cell r="D1933" t="str"><v>43295223862753</v></cell><cell r="E1933" t="str"><v>43295103176869PRC1S1</v></cell><cell r="F1933" t="str"><v>DCM</v></cell><cell r="G1933" t="str"><v>https://azure.microsoft.com/en-us/free/open-source/search/?OCID=AID%eexcid!_OLA_%ebuy!_%epid!_%ecid!</v></cell></row><row r="1933"><cell r="K1933" t="str"><v>July</v></cell><cell r="L1933"><v>43295</v></cell><cell r="M1933" t="str"><v>Tier 0</v></cell><cell r="N1933" t="str"><v>North America</v></cell><cell r="O1933" t="str"><v>United States</v></cell><cell r="P1933" t="str"><v>Trial</v></cell><cell r="Q1933" t="str"><v>Social</v></cell><cell r="R1933" t="str"><v>Azure</v></cell><cell r="S1933" t="str"><v>Apps & Infra</v></cell><cell r="T1933" t="str"><v>Developers & ITI's</v></cell><cell r="U1933" t="str"><v>USA-Trial-ITD-Retargeting-AZR-AZR</v></cell><cell r="V1933" t="str"><v>Retargeting</v></cell><cell r="W1933" t="str"><v>Link Ad</v></cell><cell r="X1933" t="str"><v>1x1</v></cell></row><row r="1933"><cell r="AA1933"><v>43295</v></cell><cell r="AB1933" t="str"><v>USA_gaPMG_AZR_AZR_Q1_19_Direct-Social</v></cell><cell r="AC1933"><v>21358715</v></cell><cell r="AD1933"><v>720197</v></cell><cell r="AE1933" t="str"><v>Facebook</v></cell><cell r="AF1933"><v>3654128</v></cell><cell r="AG1933" t="str"><v>FACEBOOK»USA-Trial-ITD-Retargeting-AZR-AZR»1 x 1»SocialBan»LIA»ALL»CPA»RT»X»NA»SS»NA»FreeAcctRetargetingOSSFB-Text-ChF»PRC1S1</v></cell><cell r="AH1933"><v>223862753</v></cell><cell r="AI1933" t="str"><v>AzurePlatform_FreeAcctRetargetingOSSFB-Text-ChF_USA_1200x628_CAN_PLATFORM_English_Free Account_Standard_NA_SINU_T1_2</v></cell><cell r="AJ1933"><v>103176869</v></cell></row><row r="1934"><cell r="C1934" t="str"><v>43295FACEBOOK»USA-Trial-ITD-Retargeting-AZR-AZR»1 x 1»SocialBan»CAN»ALL»CPA»RT»X»NA»SS»NA»FBCTCBasicMotion»PRC1RQ</v></cell><cell r="D1934" t="str"><v>43295224106933</v></cell><cell r="E1934" t="str"><v>43295103043823PRC1RQ</v></cell><cell r="F1934" t="str"><v>DCM</v></cell><cell r="G1934" t="str"><v>https://signup.azure.com/?OCID=AID%eexcid!_OLA_%ebuy!_%epid!_%ecid!</v></cell></row><row r="1934"><cell r="K1934" t="str"><v>July</v></cell><cell r="L1934"><v>43295</v></cell><cell r="M1934" t="str"><v>Tier 0</v></cell><cell r="N1934" t="str"><v>North America</v></cell><cell r="O1934" t="str"><v>United States</v></cell><cell r="P1934" t="str"><v>Trial</v></cell><cell r="Q1934" t="str"><v>Social</v></cell><cell r="R1934" t="str"><v>Azure</v></cell><cell r="S1934" t="str"><v>Apps & Infra</v></cell><cell r="T1934" t="str"><v>Developers & ITI's</v></cell><cell r="U1934" t="str"><v>USA-Trial-ITD-Retargeting-AZR-AZR</v></cell><cell r="V1934" t="str"><v>Retargeting</v></cell><cell r="W1934" t="str"><v>Canvas Ad</v></cell><cell r="X1934" t="str"><v>1x1</v></cell></row><row r="1934"><cell r="AA1934"><v>43295</v></cell><cell r="AB1934" t="str"><v>USA_gaPMG_AZR_AZR_Q1_19_Direct-Social</v></cell><cell r="AC1934"><v>21358715</v></cell><cell r="AD1934"><v>720197</v></cell><cell r="AE1934" t="str"><v>Facebook</v></cell><cell r="AF1934"><v>3654128</v></cell><cell r="AG1934" t="str"><v>FACEBOOK»USA-Trial-ITD-Retargeting-AZR-AZR»1 x 1»SocialBan»CAN»ALL»CPA»RT»X»NA»SS»NA»FBCTCBasicMotion»PRC1RQ</v></cell><cell r="AH1934"><v>224106933</v></cell><cell r="AI1934" t="str"><v>AzurePlatform_FBCTCBasicMotion_USA_10s_CAN_PLATFORM_English_Trial_Standard_STAN_TIN_T1_1</v></cell><cell r="AJ1934"><v>103043823</v></cell></row><row r="1935"><cell r="C1935" t="str"><v>43295FACEBOOK»USA-Trial-ITD-Retargeting-AZR-AZR»1 x 1»SocialBan»LIA»ALL»CPA»RT»X»NA»SS»NA»FreeAcctITProFB-AnimatedSecureMngd-Ch1»PRC26K</v></cell><cell r="D1935" t="str"><v>43295223862762</v></cell><cell r="E1935" t="str"><v>43295103176830PRC26K</v></cell><cell r="F1935" t="str"><v>DCM</v></cell></row><row r="1935"><cell r="K1935" t="str"><v>July</v></cell><cell r="L1935"><v>43295</v></cell><cell r="M1935" t="str"><v>Tier 0</v></cell><cell r="N1935" t="str"><v>North America</v></cell><cell r="O1935" t="str"><v>United States</v></cell><cell r="P1935" t="str"><v>Trial</v></cell><cell r="Q1935" t="str"><v>Social</v></cell><cell r="R1935" t="str"><v>Azure</v></cell><cell r="S1935" t="str"><v>Apps & Infra</v></cell><cell r="T1935" t="str"><v>Developers & ITI's</v></cell><cell r="U1935" t="str"><v>USA-Trial-ITD-Retargeting-AZR-AZR</v></cell><cell r="V1935" t="str"><v>Retargeting</v></cell><cell r="W1935" t="str"><v>Link Ad</v></cell><cell r="X1935" t="str"><v>1x1</v></cell></row><row r="1935"><cell r="AA1935"><v>43295</v></cell><cell r="AB1935" t="str"><v>USA_gaPMG_AZR_AZR_Q1_19_Direct-Social</v></cell><cell r="AC1935"><v>21358715</v></cell><cell r="AD1935"><v>720197</v></cell><cell r="AE1935" t="str"><v>Facebook</v></cell><cell r="AF1935"><v>3654128</v></cell><cell r="AG1935" t="str"><v>FACEBOOK»USA-Trial-ITD-Retargeting-AZR-AZR»1 x 1»SocialBan»LIA»ALL»CPA»RT»X»NA»SS»NA»FreeAcctITProFB-AnimatedSecureMngd-Ch1»PRC26K</v></cell><cell r="AH1935"><v>223862762</v></cell><cell r="AI1935" t="str"><v>AZR_FreeAcctITProFB-AnimatedSecureMngd-Ch1_USA_1200x1200_CAN_Direct_English_Trial_Standard_ANI_LEA_T1_1</v></cell><cell r="AJ1935"><v>103176830</v></cell></row><row r="1936"><cell r="C1936" t="str"><v>43295FACEBOOK»USA-Trial-ITD-Trial Lookalike-AZR-AZR»1 x 1»SocialBan»LIA»ALL»CPA»LAL»X»NA»SS»NA»FreeAcctDeveloperFB-AnimatedGeneric-Ch1»PRC1M4</v></cell><cell r="D1936" t="str"><v>43295224104941</v></cell><cell r="E1936" t="str"><v>43295103176851PRC1M4</v></cell><cell r="F1936" t="str"><v>DCM</v></cell><cell r="G1936" t="str"><v>https://azure.microsoft.com/en-us/free/search/?OCID=AID%eexcid!_OLA_%ebuy!_%epid!_%ecid!</v></cell></row><row r="1936"><cell r="K1936" t="str"><v>July</v></cell><cell r="L1936"><v>43295</v></cell><cell r="M1936" t="str"><v>Tier 0</v></cell><cell r="N1936" t="str"><v>North America</v></cell><cell r="O1936" t="str"><v>United States</v></cell><cell r="P1936" t="str"><v>Trial</v></cell><cell r="Q1936" t="str"><v>Social</v></cell><cell r="R1936" t="str"><v>Azure</v></cell><cell r="S1936" t="str"><v>Apps & Infra</v></cell><cell r="T1936" t="str"><v>Developers & ITI's</v></cell><cell r="U1936" t="str"><v>USA-Trial-ITD-Trial Lookalike-AZR-AZR</v></cell><cell r="V1936" t="str"><v>Lookalike Targeting</v></cell><cell r="W1936" t="str"><v>Link Ad</v></cell><cell r="X1936" t="str"><v>1x1</v></cell></row><row r="1936"><cell r="AA1936"><v>43295</v></cell><cell r="AB1936" t="str"><v>USA_gaPMG_AZR_AZR_Q1_19_Direct-Social</v></cell><cell r="AC1936"><v>21358715</v></cell><cell r="AD1936"><v>720197</v></cell><cell r="AE1936" t="str"><v>Facebook</v></cell><cell r="AF1936"><v>3654128</v></cell><cell r="AG1936" t="str"><v>FACEBOOK»USA-Trial-ITD-Trial Lookalike-AZR-AZR»1 x 1»SocialBan»LIA»ALL»CPA»LAL»X»NA»SS»NA»FreeAcctDeveloperFB-AnimatedGeneric-Ch1»PRC1M4</v></cell><cell r="AH1936"><v>224104941</v></cell><cell r="AI1936" t="str"><v>AZR_FreeAcctDeveloperFB-AnimatedGeneric-Ch1_USA_1200x1200_CAN_Direct_English_Trial_Standard_ANI_LEA_T1_2</v></cell><cell r="AJ1936"><v>103176851</v></cell></row><row r="1937"><cell r="C1937" t="str"><v>43295FACEBOOK»USA-Trial-ITD-Trial Lookalike-AZR-AZR»1 x 1»SocialBan»LIA»ALL»CPA»LAL»X»NA»SS»NA»FreeAcctDeveloperFB-AnimatedGeneric-Ch1»PRC1M5</v></cell><cell r="D1937" t="str"><v>43295223934083</v></cell><cell r="E1937" t="str"><v>43295103176851PRC1M5</v></cell><cell r="F1937" t="str"><v>DCM</v></cell><cell r="G1937" t="str"><v>https://azure.microsoft.com/en-us/free/search/?OCID=AID%eexcid!_OLA_%ebuy!_%epid!_%ecid!</v></cell></row><row r="1937"><cell r="K1937" t="str"><v>July</v></cell><cell r="L1937"><v>43295</v></cell><cell r="M1937" t="str"><v>Tier 0</v></cell><cell r="N1937" t="str"><v>North America</v></cell><cell r="O1937" t="str"><v>United States</v></cell><cell r="P1937" t="str"><v>Trial</v></cell><cell r="Q1937" t="str"><v>Social</v></cell><cell r="R1937" t="str"><v>Azure</v></cell><cell r="S1937" t="str"><v>Apps & Infra</v></cell><cell r="T1937" t="str"><v>Developers & ITI's</v></cell><cell r="U1937" t="str"><v>USA-Trial-ITD-Trial Lookalike-AZR-AZR</v></cell><cell r="V1937" t="str"><v>Lookalike Targeting</v></cell><cell r="W1937" t="str"><v>Link Ad</v></cell><cell r="X1937" t="str"><v>1x1</v></cell></row><row r="1937"><cell r="AA1937"><v>43295</v></cell><cell r="AB1937" t="str"><v>USA_gaPMG_AZR_AZR_Q1_19_Direct-Social</v></cell><cell r="AC1937"><v>21358715</v></cell><cell r="AD1937"><v>720197</v></cell><cell r="AE1937" t="str"><v>Facebook</v></cell><cell r="AF1937"><v>3654128</v></cell><cell r="AG1937" t="str"><v>FACEBOOK»USA-Trial-ITD-Trial Lookalike-AZR-AZR»1 x 1»SocialBan»LIA»ALL»CPA»LAL»X»NA»SS»NA»FreeAcctDeveloperFB-AnimatedGeneric-Ch1»PRC1M5</v></cell><cell r="AH1937"><v>223934083</v></cell><cell r="AI1937" t="str"><v>AZR_FreeAcctDeveloperFB-AnimatedGeneric-Ch1_USA_1200x1200_CAN_Direct_English_Trial_Standard_ANI_LEA_T1_2</v></cell><cell r="AJ1937"><v>103176851</v></cell></row><row r="1938"><cell r="C1938" t="str"><v>43295FACEBOOK»USA-Trial-ITD-Trial Lookalike-AZR-AZR»1 x 1»SocialBan»LIA»ALL»CPA»LAL»X»NA»SS»NA»FreeAcctDeveloperFB-AnimatedOpenSource-Ch2»PRC1M6</v></cell><cell r="D1938" t="str"><v>43295223935628</v></cell><cell r="E1938" t="str"><v>43295103048329PRC1M6</v></cell><cell r="F1938" t="str"><v>DCM</v></cell><cell r="G1938" t="str"><v>https://azure.microsoft.com/en-us/free/open-source/search/?OCID=AID%eexcid!_OLA_%ebuy!_%epid!_%ecid!</v></cell></row><row r="1938"><cell r="K1938" t="str"><v>July</v></cell><cell r="L1938"><v>43295</v></cell><cell r="M1938" t="str"><v>Tier 0</v></cell><cell r="N1938" t="str"><v>North America</v></cell><cell r="O1938" t="str"><v>United States</v></cell><cell r="P1938" t="str"><v>Trial</v></cell><cell r="Q1938" t="str"><v>Social</v></cell><cell r="R1938" t="str"><v>Azure</v></cell><cell r="S1938" t="str"><v>Apps & Infra</v></cell><cell r="T1938" t="str"><v>Developers & ITI's</v></cell><cell r="U1938" t="str"><v>USA-Trial-ITD-Trial Lookalike-AZR-AZR</v></cell><cell r="V1938" t="str"><v>Lookalike Targeting</v></cell><cell r="W1938" t="str"><v>Link Ad</v></cell><cell r="X1938" t="str"><v>1x1</v></cell></row><row r="1938"><cell r="AA1938"><v>43295</v></cell><cell r="AB1938" t="str"><v>USA_gaPMG_AZR_AZR_Q1_19_Direct-Social</v></cell><cell r="AC1938"><v>21358715</v></cell><cell r="AD1938"><v>720197</v></cell><cell r="AE1938" t="str"><v>Facebook</v></cell><cell r="AF1938"><v>3654128</v></cell><cell r="AG1938" t="str"><v>FACEBOOK»USA-Trial-ITD-Trial Lookalike-AZR-AZR»1 x 1»SocialBan»LIA»ALL»CPA»LAL»X»NA»SS»NA»FreeAcctDeveloperFB-AnimatedOpenSource-Ch2»PRC1M6</v></cell><cell r="AH1938"><v>223935628</v></cell><cell r="AI1938" t="str"><v>AZR_FreeAcctDeveloperFB-AnimatedOpenSource-Ch2_USA_1200x1200_CAN_Direct_English_Trial_Standard_ANI_LEA_T2_1</v></cell><cell r="AJ1938"><v>103048329</v></cell></row><row r="1939"><cell r="C1939" t="str"><v>43295FACEBOOK»USA-Trial-ITD-Trial Lookalike-AZR-AZR»1 x 1»SocialBan»LIA»ALL»CPA»LAL»X»NA»SS»NA»FreeAcctITProFB-AnimatedMigration-Ch3»PRC23N</v></cell><cell r="D1939" t="str"><v>43295223935637</v></cell><cell r="E1939" t="str"><v>43295103176827PRC23N</v></cell><cell r="F1939" t="str"><v>DCM</v></cell></row><row r="1939"><cell r="K1939" t="str"><v>July</v></cell><cell r="L1939"><v>43295</v></cell><cell r="M1939" t="str"><v>Tier 0</v></cell><cell r="N1939" t="str"><v>North America</v></cell><cell r="O1939" t="str"><v>United States</v></cell><cell r="P1939" t="str"><v>Trial</v></cell><cell r="Q1939" t="str"><v>Social</v></cell><cell r="R1939" t="str"><v>Azure</v></cell><cell r="S1939" t="str"><v>Apps & Infra</v></cell><cell r="T1939" t="str"><v>Developers & ITI's</v></cell><cell r="U1939" t="str"><v>USA-Trial-ITD-Trial Lookalike-AZR-AZR</v></cell><cell r="V1939" t="str"><v>Lookalike Targeting</v></cell><cell r="W1939" t="str"><v>Link Ad</v></cell><cell r="X1939" t="str"><v>1x1</v></cell></row><row r="1939"><cell r="AA1939"><v>43295</v></cell><cell r="AB1939" t="str"><v>USA_gaPMG_AZR_AZR_Q1_19_Direct-Social</v></cell><cell r="AC1939"><v>21358715</v></cell><cell r="AD1939"><v>720197</v></cell><cell r="AE1939" t="str"><v>Facebook</v></cell><cell r="AF1939"><v>3654128</v></cell><cell r="AG1939" t="str"><v>FACEBOOK»USA-Trial-ITD-Trial Lookalike-AZR-AZR»1 x 1»SocialBan»LIA»ALL»CPA»LAL»X»NA»SS»NA»FreeAcctITProFB-AnimatedMigration-Ch3»PRC23N</v></cell><cell r="AH1939"><v>223935637</v></cell><cell r="AI1939" t="str"><v>AZR_FreeAcctITProFB-AnimatedMigration-Ch3_USA_1200x1200_CAN_Direct_English_Trial_Standard_ANI_LEA_T3_1</v></cell><cell r="AJ1939"><v>103176827</v></cell></row><row r="1940"><cell r="C1940" t="str"><v>43295FACEBOOK»USA-Trial-ITD-Trial Lookalike-AZR-AZR»1 x 1»SocialBan»LIA»ALL»CPA»LAL»X»NA»SS»NA»FreeAcctITProFB-AnimatedSecureMngd-Ch1»PRC1M9</v></cell><cell r="D1940" t="str"><v>43295224104959</v></cell><cell r="E1940" t="str"><v>43295103176830PRC1M9</v></cell><cell r="F1940" t="str"><v>DCM</v></cell></row><row r="1940"><cell r="K1940" t="str"><v>July</v></cell><cell r="L1940"><v>43295</v></cell><cell r="M1940" t="str"><v>Tier 0</v></cell><cell r="N1940" t="str"><v>North America</v></cell><cell r="O1940" t="str"><v>United States</v></cell><cell r="P1940" t="str"><v>Trial</v></cell><cell r="Q1940" t="str"><v>Social</v></cell><cell r="R1940" t="str"><v>Azure</v></cell><cell r="S1940" t="str"><v>Apps & Infra</v></cell><cell r="T1940" t="str"><v>Developers & ITI's</v></cell><cell r="U1940" t="str"><v>USA-Trial-ITD-Trial Lookalike-AZR-AZR</v></cell><cell r="V1940" t="str"><v>Lookalike Targeting</v></cell><cell r="W1940" t="str"><v>Link Ad</v></cell><cell r="X1940" t="str"><v>1x1</v></cell></row><row r="1940"><cell r="AA1940"><v>43295</v></cell><cell r="AB1940" t="str"><v>USA_gaPMG_AZR_AZR_Q1_19_Direct-Social</v></cell><cell r="AC1940"><v>21358715</v></cell><cell r="AD1940"><v>720197</v></cell><cell r="AE1940" t="str"><v>Facebook</v></cell><cell r="AF1940"><v>3654128</v></cell><cell r="AG1940" t="str"><v>FACEBOOK»USA-Trial-ITD-Trial Lookalike-AZR-AZR»1 x 1»SocialBan»LIA»ALL»CPA»LAL»X»NA»SS»NA»FreeAcctITProFB-AnimatedSecureMngd-Ch1»PRC1M9</v></cell><cell r="AH1940"><v>224104959</v></cell><cell r="AI1940" t="str"><v>AZR_FreeAcctITProFB-AnimatedSecureMngd-Ch1_USA_1200x1200_CAN_Direct_English_Trial_Standard_ANI_LEA_T1_1</v></cell><cell r="AJ1940"><v>103176830</v></cell></row><row r="1941"><cell r="C1941" t="str"><v>43295FACEBOOK»USA-Trial-ITD-Trial Lookalike-AZR-AZR»1 x 1»SocialBan»CAN»ALL»CPA»LAL»X»NA»SS»NA»FBCTCBasicMotion»PRC1LZ</v></cell><cell r="D1941" t="str"><v>43295223862915</v></cell><cell r="E1941" t="str"><v>43295103043823PRC1LZ</v></cell><cell r="F1941" t="str"><v>DCM</v></cell><cell r="G1941" t="str"><v>https://signup.azure.com/?OCID=AID%eexcid!_OLA_%ebuy!_%epid!_%ecid!</v></cell></row><row r="1941"><cell r="K1941" t="str"><v>July</v></cell><cell r="L1941"><v>43295</v></cell><cell r="M1941" t="str"><v>Tier 0</v></cell><cell r="N1941" t="str"><v>North America</v></cell><cell r="O1941" t="str"><v>United States</v></cell><cell r="P1941" t="str"><v>Trial</v></cell><cell r="Q1941" t="str"><v>Social</v></cell><cell r="R1941" t="str"><v>Azure</v></cell><cell r="S1941" t="str"><v>Apps & Infra</v></cell><cell r="T1941" t="str"><v>Developers & ITI's</v></cell><cell r="U1941" t="str"><v>USA-Trial-ITD-Trial Lookalike-AZR-AZR</v></cell><cell r="V1941" t="str"><v>Lookalike Targeting</v></cell><cell r="W1941" t="str"><v>Canvas Ad</v></cell><cell r="X1941" t="str"><v>1x1</v></cell></row><row r="1941"><cell r="AA1941"><v>43295</v></cell><cell r="AB1941" t="str"><v>USA_gaPMG_AZR_AZR_Q1_19_Direct-Social</v></cell><cell r="AC1941"><v>21358715</v></cell><cell r="AD1941"><v>720197</v></cell><cell r="AE1941" t="str"><v>Facebook</v></cell><cell r="AF1941"><v>3654128</v></cell><cell r="AG1941" t="str"><v>FACEBOOK»USA-Trial-ITD-Trial Lookalike-AZR-AZR»1 x 1»SocialBan»CAN»ALL»CPA»LAL»X»NA»SS»NA»FBCTCBasicMotion»PRC1LZ</v></cell><cell r="AH1941"><v>223862915</v></cell><cell r="AI1941" t="str"><v>AzurePlatform_FBCTCBasicMotion_USA_10s_CAN_PLATFORM_English_Trial_Standard_STAN_TIN_T1_1</v></cell><cell r="AJ1941"><v>103043823</v></cell></row><row r="1942"><cell r="C1942" t="str"><v>43295FACEBOOK»USA-Trial-ITD-Trial Lookalike-AZR-AZR»1 x 1»SocialBan»CAN»ALL»CPA»LAL»X»NA»SS»NA»FBCTCBasicMotion»PRC1LZ</v></cell><cell r="D1942" t="str"><v>43295223862915</v></cell><cell r="E1942" t="str"><v>43295103175984PRC1LZ</v></cell><cell r="F1942" t="str"><v>DCM</v></cell><cell r="G1942" t="str"><v>https://azure.microsoft.com/en-us/pricing/purchase-options/?v=18.19&OCID=AID%eexcid!_OLA_%ebuy!_%epid!_%ecid!</v></cell></row><row r="1942"><cell r="K1942" t="str"><v>July</v></cell><cell r="L1942"><v>43295</v></cell><cell r="M1942" t="str"><v>Tier 0</v></cell><cell r="N1942" t="str"><v>North America</v></cell><cell r="O1942" t="str"><v>United States</v></cell><cell r="P1942" t="str"><v>Trial</v></cell><cell r="Q1942" t="str"><v>Social</v></cell><cell r="R1942" t="str"><v>Azure</v></cell><cell r="S1942" t="str"><v>Apps & Infra</v></cell><cell r="T1942" t="str"><v>Developers & ITI's</v></cell><cell r="U1942" t="str"><v>USA-Trial-ITD-Trial Lookalike-AZR-AZR</v></cell><cell r="V1942" t="str"><v>Lookalike Targeting</v></cell><cell r="W1942" t="str"><v>Canvas Ad</v></cell><cell r="X1942" t="str"><v>1x1</v></cell></row><row r="1942"><cell r="AA1942"><v>43295</v></cell><cell r="AB1942" t="str"><v>USA_gaPMG_AZR_AZR_Q1_19_Direct-Social</v></cell><cell r="AC1942"><v>21358715</v></cell><cell r="AD1942"><v>720197</v></cell><cell r="AE1942" t="str"><v>Facebook</v></cell><cell r="AF1942"><v>3654128</v></cell><cell r="AG1942" t="str"><v>FACEBOOK»USA-Trial-ITD-Trial Lookalike-AZR-AZR»1 x 1»SocialBan»CAN»ALL»CPA»LAL»X»NA»SS»NA»FBCTCBasicMotion»PRC1LZ</v></cell><cell r="AH1942"><v>223862915</v></cell><cell r="AI1942" t="str"><v>AzurePlatform_FBCTCBasicMotion_USA_10s_CAN_PLATFORM_English_Trial_Standard_STAN_TIN_T1_2</v></cell><cell r="AJ1942"><v>103175984</v></cell></row><row r="1943"><cell r="C1943" t="str"><v>43295FACEBOOK»USA-Trial-ITD-Trial PayGo Lookalike-AZR-AZR»1 x 1»SocialBan»CAN»ALL»CPA»LAL»X»NA»SS»NA»FBCTCBasicMotion»PRC1Q0</v></cell><cell r="D1943" t="str"><v>43295223935664</v></cell><cell r="E1943" t="str"><v>43295103043823PRC1Q0</v></cell><cell r="F1943" t="str"><v>DCM</v></cell><cell r="G1943" t="str"><v>https://signup.azure.com/?OCID=AID%eexcid!_OLA_%ebuy!_%epid!_%ecid!</v></cell></row><row r="1943"><cell r="K1943" t="str"><v>July</v></cell><cell r="L1943"><v>43295</v></cell><cell r="M1943" t="str"><v>Tier 0</v></cell><cell r="N1943" t="str"><v>North America</v></cell><cell r="O1943" t="str"><v>United States</v></cell><cell r="P1943" t="str"><v>Trial</v></cell><cell r="Q1943" t="str"><v>Social</v></cell><cell r="R1943" t="str"><v>Azure</v></cell><cell r="S1943" t="str"><v>Apps & Infra</v></cell><cell r="T1943" t="str"><v>Developers & ITI's</v></cell><cell r="U1943" t="str"><v>USA-Trial-ITD-Trial PayGo Lookalike-AZR-AZR</v></cell><cell r="V1943" t="str"><v>Lookalike Targeting</v></cell><cell r="W1943" t="str"><v>Canvas Ad</v></cell><cell r="X1943" t="str"><v>1x1</v></cell></row><row r="1943"><cell r="AA1943"><v>43295</v></cell><cell r="AB1943" t="str"><v>USA_gaPMG_AZR_AZR_Q1_19_Direct-Social</v></cell><cell r="AC1943"><v>21358715</v></cell><cell r="AD1943"><v>720197</v></cell><cell r="AE1943" t="str"><v>Facebook</v></cell><cell r="AF1943"><v>3654128</v></cell><cell r="AG1943" t="str"><v>FACEBOOK»USA-Trial-ITD-Trial PayGo Lookalike-AZR-AZR»1 x 1»SocialBan»CAN»ALL»CPA»LAL»X»NA»SS»NA»FBCTCBasicMotion»PRC1Q0</v></cell><cell r="AH1943"><v>223935664</v></cell><cell r="AI1943" t="str"><v>AzurePlatform_FBCTCBasicMotion_USA_10s_CAN_PLATFORM_English_Trial_Standard_STAN_TIN_T1_1</v></cell><cell r="AJ1943"><v>103043823</v></cell></row><row r="1944"><cell r="C1944" t="str"><v>43295FACEBOOK»USA-Trial-ITD-Trial PayGo Lookalike-AZR-AZR»1 x 1»SocialBan»CAN»ALL»CPA»LAL»X»NA»SS»NA»FBCTCBasicMotion»PRC1Q0</v></cell><cell r="D1944" t="str"><v>43295223935664</v></cell><cell r="E1944" t="str"><v>43295103175984PRC1Q0</v></cell><cell r="F1944" t="str"><v>DCM</v></cell><cell r="G1944" t="str"><v>https://azure.microsoft.com/en-us/pricing/purchase-options/?v=18.19&OCID=AID%eexcid!_OLA_%ebuy!_%epid!_%ecid!</v></cell></row><row r="1944"><cell r="K1944" t="str"><v>July</v></cell><cell r="L1944"><v>43295</v></cell><cell r="M1944" t="str"><v>Tier 0</v></cell><cell r="N1944" t="str"><v>North America</v></cell><cell r="O1944" t="str"><v>United States</v></cell><cell r="P1944" t="str"><v>Trial</v></cell><cell r="Q1944" t="str"><v>Social</v></cell><cell r="R1944" t="str"><v>Azure</v></cell><cell r="S1944" t="str"><v>Apps & Infra</v></cell><cell r="T1944" t="str"><v>Developers & ITI's</v></cell><cell r="U1944" t="str"><v>USA-Trial-ITD-Trial PayGo Lookalike-AZR-AZR</v></cell><cell r="V1944" t="str"><v>Lookalike Targeting</v></cell><cell r="W1944" t="str"><v>Canvas Ad</v></cell><cell r="X1944" t="str"><v>1x1</v></cell></row><row r="1944"><cell r="AA1944"><v>43295</v></cell><cell r="AB1944" t="str"><v>USA_gaPMG_AZR_AZR_Q1_19_Direct-Social</v></cell><cell r="AC1944"><v>21358715</v></cell><cell r="AD1944"><v>720197</v></cell><cell r="AE1944" t="str"><v>Facebook</v></cell><cell r="AF1944"><v>3654128</v></cell><cell r="AG1944" t="str"><v>FACEBOOK»USA-Trial-ITD-Trial PayGo Lookalike-AZR-AZR»1 x 1»SocialBan»CAN»ALL»CPA»LAL»X»NA»SS»NA»FBCTCBasicMotion»PRC1Q0</v></cell><cell r="AH1944"><v>223935664</v></cell><cell r="AI1944" t="str"><v>AzurePlatform_FBCTCBasicMotion_USA_10s_CAN_PLATFORM_English_Trial_Standard_STAN_TIN_T1_2</v></cell><cell r="AJ1944"><v>103175984</v></cell></row><row r="1945"><cell r="C1945" t="str"><v>43295FACEBOOK»USA-Trial-ITD-Trial PayGo Lookalike-AZR-AZR»1 x 1»SocialBan»LIA»ALL»CPA»LAL»X»NA»SS»NA»FreeAcctDeveloperFB-AnimatedAI-Ch3»PRC1Q8</v></cell><cell r="D1945" t="str"><v>43295224104983</v></cell><cell r="E1945" t="str"><v>43295103032778PRC1Q8</v></cell><cell r="F1945" t="str"><v>DCM</v></cell></row><row r="1945"><cell r="K1945" t="str"><v>July</v></cell><cell r="L1945"><v>43295</v></cell><cell r="M1945" t="str"><v>Tier 0</v></cell><cell r="N1945" t="str"><v>North America</v></cell><cell r="O1945" t="str"><v>United States</v></cell><cell r="P1945" t="str"><v>Trial</v></cell><cell r="Q1945" t="str"><v>Social</v></cell><cell r="R1945" t="str"><v>Azure</v></cell><cell r="S1945" t="str"><v>Apps & Infra</v></cell><cell r="T1945" t="str"><v>Developers & ITI's</v></cell><cell r="U1945" t="str"><v>USA-Trial-ITD-Trial PayGo Lookalike-AZR-AZR</v></cell><cell r="V1945" t="str"><v>Lookalike Targeting</v></cell><cell r="W1945" t="str"><v>Link Ad</v></cell><cell r="X1945" t="str"><v>1x1</v></cell></row><row r="1945"><cell r="AA1945"><v>43295</v></cell><cell r="AB1945" t="str"><v>USA_gaPMG_AZR_AZR_Q1_19_Direct-Social</v></cell><cell r="AC1945"><v>21358715</v></cell><cell r="AD1945"><v>720197</v></cell><cell r="AE1945" t="str"><v>Facebook</v></cell><cell r="AF1945"><v>3654128</v></cell><cell r="AG1945" t="str"><v>FACEBOOK»USA-Trial-ITD-Trial PayGo Lookalike-AZR-AZR»1 x 1»SocialBan»LIA»ALL»CPA»LAL»X»NA»SS»NA»FreeAcctDeveloperFB-AnimatedAI-Ch3»PRC1Q8</v></cell><cell r="AH1945"><v>224104983</v></cell><cell r="AI1945" t="str"><v>AZR_FreeAcctDeveloperFB-AnimatedAI-Ch3_USA_1200x1200_CAN_Direct_English_Trial_Standard_ANI_LEA_T3_1</v></cell><cell r="AJ1945"><v>103032778</v></cell></row><row r="1946"><cell r="C1946" t="str"><v>43295FACEBOOK»USA-Trial-ITD-Trial PayGo Lookalike-AZR-AZR»1 x 1»SocialBan»LIA»ALL»CPA»LAL»X»NA»SS»NA»FreeAcctDeveloperFB-AnimatedData-Ch4»PRC1Q9</v></cell><cell r="D1946" t="str"><v>43295224106990</v></cell><cell r="E1946" t="str"><v>43295103037935PRC1Q9</v></cell><cell r="F1946" t="str"><v>DCM</v></cell></row><row r="1946"><cell r="K1946" t="str"><v>July</v></cell><cell r="L1946"><v>43295</v></cell><cell r="M1946" t="str"><v>Tier 0</v></cell><cell r="N1946" t="str"><v>North America</v></cell><cell r="O1946" t="str"><v>United States</v></cell><cell r="P1946" t="str"><v>Trial</v></cell><cell r="Q1946" t="str"><v>Social</v></cell><cell r="R1946" t="str"><v>Azure</v></cell><cell r="S1946" t="str"><v>Apps & Infra</v></cell><cell r="T1946" t="str"><v>Developers & ITI's</v></cell><cell r="U1946" t="str"><v>USA-Trial-ITD-Trial PayGo Lookalike-AZR-AZR</v></cell><cell r="V1946" t="str"><v>Lookalike Targeting</v></cell><cell r="W1946" t="str"><v>Link Ad</v></cell><cell r="X1946" t="str"><v>1x1</v></cell></row><row r="1946"><cell r="AA1946"><v>43295</v></cell><cell r="AB1946" t="str"><v>USA_gaPMG_AZR_AZR_Q1_19_Direct-Social</v></cell><cell r="AC1946"><v>21358715</v></cell><cell r="AD1946"><v>720197</v></cell><cell r="AE1946" t="str"><v>Facebook</v></cell><cell r="AF1946"><v>3654128</v></cell><cell r="AG1946" t="str"><v>FACEBOOK»USA-Trial-ITD-Trial PayGo Lookalike-AZR-AZR»1 x 1»SocialBan»LIA»ALL»CPA»LAL»X»NA»SS»NA»FreeAcctDeveloperFB-AnimatedData-Ch4»PRC1Q9</v></cell><cell r="AH1946"><v>224106990</v></cell><cell r="AI1946" t="str"><v>AZR_FreeAcctDeveloperFB-AnimatedData-Ch4_USA_1200x1200_CAN_Direct_English_Trial_Standard_ANI_LEA_T4_2</v></cell><cell r="AJ1946"><v>103037935</v></cell></row><row r="1947"><cell r="C1947" t="str"><v>43295FACEBOOK»USA-Trial-ITD-Trial PayGo Lookalike-AZR-AZR»1 x 1»SocialBan»LIA»ALL»CPA»LAL»X»NA»SS»NA»FreeAcctDeveloperFB-AnimatedGeneric-Ch1»PRC1Q5</v></cell><cell r="D1947" t="str"><v>43295224104092</v></cell><cell r="E1947" t="str"><v>43295103176851PRC1Q5</v></cell><cell r="F1947" t="str"><v>DCM</v></cell><cell r="G1947" t="str"><v>https://azure.microsoft.com/en-us/free/search/?OCID=AID%eexcid!_OLA_%ebuy!_%epid!_%ecid!</v></cell></row><row r="1947"><cell r="K1947" t="str"><v>July</v></cell><cell r="L1947"><v>43295</v></cell><cell r="M1947" t="str"><v>Tier 0</v></cell><cell r="N1947" t="str"><v>North America</v></cell><cell r="O1947" t="str"><v>United States</v></cell><cell r="P1947" t="str"><v>Trial</v></cell><cell r="Q1947" t="str"><v>Social</v></cell><cell r="R1947" t="str"><v>Azure</v></cell><cell r="S1947" t="str"><v>Apps & Infra</v></cell><cell r="T1947" t="str"><v>Developers & ITI's</v></cell><cell r="U1947" t="str"><v>USA-Trial-ITD-Trial PayGo Lookalike-AZR-AZR</v></cell><cell r="V1947" t="str"><v>Lookalike Targeting</v></cell><cell r="W1947" t="str"><v>Link Ad</v></cell><cell r="X1947" t="str"><v>1x1</v></cell></row><row r="1947"><cell r="AA1947"><v>43295</v></cell><cell r="AB1947" t="str"><v>USA_gaPMG_AZR_AZR_Q1_19_Direct-Social</v></cell><cell r="AC1947"><v>21358715</v></cell><cell r="AD1947"><v>720197</v></cell><cell r="AE1947" t="str"><v>Facebook</v></cell><cell r="AF1947"><v>3654128</v></cell><cell r="AG1947" t="str"><v>FACEBOOK»USA-Trial-ITD-Trial PayGo Lookalike-AZR-AZR»1 x 1»SocialBan»LIA»ALL»CPA»LAL»X»NA»SS»NA»FreeAcctDeveloperFB-AnimatedGeneric-Ch1»PRC1Q5</v></cell><cell r="AH1947"><v>224104092</v></cell><cell r="AI1947" t="str"><v>AZR_FreeAcctDeveloperFB-AnimatedGeneric-Ch1_USA_1200x1200_CAN_Direct_English_Trial_Standard_ANI_LEA_T1_2</v></cell><cell r="AJ1947"><v>103176851</v></cell></row><row r="1948"><cell r="C1948" t="str"><v>43295FACEBOOK»USA-Trial-ITD-Trial PayGo Lookalike-AZR-AZR»1 x 1»SocialBan»LIA»ALL»CPA»LAL»X»NA»SS»NA»FreeAcctDeveloperFB-AnimatedOpenSource-Ch2»PRC1Q7</v></cell><cell r="D1948" t="str"><v>43295223862951</v></cell><cell r="E1948" t="str"><v>43295103048329PRC1Q7</v></cell><cell r="F1948" t="str"><v>DCM</v></cell><cell r="G1948" t="str"><v>https://azure.microsoft.com/en-us/free/open-source/search/?OCID=AID%eexcid!_OLA_%ebuy!_%epid!_%ecid!</v></cell></row><row r="1948"><cell r="K1948" t="str"><v>July</v></cell><cell r="L1948"><v>43295</v></cell><cell r="M1948" t="str"><v>Tier 0</v></cell><cell r="N1948" t="str"><v>North America</v></cell><cell r="O1948" t="str"><v>United States</v></cell><cell r="P1948" t="str"><v>Trial</v></cell><cell r="Q1948" t="str"><v>Social</v></cell><cell r="R1948" t="str"><v>Azure</v></cell><cell r="S1948" t="str"><v>Apps & Infra</v></cell><cell r="T1948" t="str"><v>Developers & ITI's</v></cell><cell r="U1948" t="str"><v>USA-Trial-ITD-Trial PayGo Lookalike-AZR-AZR</v></cell><cell r="V1948" t="str"><v>Lookalike Targeting</v></cell><cell r="W1948" t="str"><v>Link Ad</v></cell><cell r="X1948" t="str"><v>1x1</v></cell></row><row r="1948"><cell r="AA1948"><v>43295</v></cell><cell r="AB1948" t="str"><v>USA_gaPMG_AZR_AZR_Q1_19_Direct-Social</v></cell><cell r="AC1948"><v>21358715</v></cell><cell r="AD1948"><v>720197</v></cell><cell r="AE1948" t="str"><v>Facebook</v></cell><cell r="AF1948"><v>3654128</v></cell><cell r="AG1948" t="str"><v>FACEBOOK»USA-Trial-ITD-Trial PayGo Lookalike-AZR-AZR»1 x 1»SocialBan»LIA»ALL»CPA»LAL»X»NA»SS»NA»FreeAcctDeveloperFB-AnimatedOpenSource-Ch2»PRC1Q7</v></cell><cell r="AH1948"><v>223862951</v></cell><cell r="AI1948" t="str"><v>AZR_FreeAcctDeveloperFB-AnimatedOpenSource-Ch2_USA_1200x1200_CAN_Direct_English_Trial_Standard_ANI_LEA_T2_1</v></cell><cell r="AJ1948"><v>103048329</v></cell></row><row r="1949"><cell r="C1949" t="str"><v>43295FACEBOOK»USA-Trial-ITD-Trial PayGo Lookalike-AZR-AZR»1 x 1»SocialBan»LIA»ALL»CPA»LAL»X»NA»SS»NA»FreeAcctITProFB-AnimatedHybrid-Ch2»PRC1QC</v></cell><cell r="D1949" t="str"><v>43295223933186</v></cell><cell r="E1949" t="str"><v>43295103180583PRC1QC</v></cell><cell r="F1949" t="str"><v>DCM</v></cell></row><row r="1949"><cell r="K1949" t="str"><v>July</v></cell><cell r="L1949"><v>43295</v></cell><cell r="M1949" t="str"><v>Tier 0</v></cell><cell r="N1949" t="str"><v>North America</v></cell><cell r="O1949" t="str"><v>United States</v></cell><cell r="P1949" t="str"><v>Trial</v></cell><cell r="Q1949" t="str"><v>Social</v></cell><cell r="R1949" t="str"><v>Azure</v></cell><cell r="S1949" t="str"><v>Apps & Infra</v></cell><cell r="T1949" t="str"><v>Developers & ITI's</v></cell><cell r="U1949" t="str"><v>USA-Trial-ITD-Trial PayGo Lookalike-AZR-AZR</v></cell><cell r="V1949" t="str"><v>Lookalike Targeting</v></cell><cell r="W1949" t="str"><v>Link Ad</v></cell><cell r="X1949" t="str"><v>1x1</v></cell></row><row r="1949"><cell r="AA1949"><v>43295</v></cell><cell r="AB1949" t="str"><v>USA_gaPMG_AZR_AZR_Q1_19_Direct-Social</v></cell><cell r="AC1949"><v>21358715</v></cell><cell r="AD1949"><v>720197</v></cell><cell r="AE1949" t="str"><v>Facebook</v></cell><cell r="AF1949"><v>3654128</v></cell><cell r="AG1949" t="str"><v>FACEBOOK»USA-Trial-ITD-Trial PayGo Lookalike-AZR-AZR»1 x 1»SocialBan»LIA»ALL»CPA»LAL»X»NA»SS»NA»FreeAcctITProFB-AnimatedHybrid-Ch2»PRC1QC</v></cell><cell r="AH1949"><v>223933186</v></cell><cell r="AI1949" t="str"><v>AZR_FreeAcctITProFB-AnimatedHybrid-Ch2_USA_1200x1200_CAN_Direct_English_Trial_Standard_ANI_LEA_T2_2</v></cell><cell r="AJ1949"><v>103180583</v></cell></row><row r="1950"><cell r="C1950" t="str"><v>43295FACEBOOK»USA-Trial-ITD-Trial PayGo Lookalike-AZR-AZR»1 x 1»SocialBan»LIA»ALL»CPA»LAL»X»NA»SS»NA»FreeAcctITProFB-AnimatedMigration-Ch3»PRC23Y</v></cell><cell r="D1950" t="str"><v>43295224105904</v></cell><cell r="E1950" t="str"><v>43295103176827PRC23Y</v></cell><cell r="F1950" t="str"><v>DCM</v></cell></row><row r="1950"><cell r="K1950" t="str"><v>July</v></cell><cell r="L1950"><v>43295</v></cell><cell r="M1950" t="str"><v>Tier 0</v></cell><cell r="N1950" t="str"><v>North America</v></cell><cell r="O1950" t="str"><v>United States</v></cell><cell r="P1950" t="str"><v>Trial</v></cell><cell r="Q1950" t="str"><v>Social</v></cell><cell r="R1950" t="str"><v>Azure</v></cell><cell r="S1950" t="str"><v>Apps & Infra</v></cell><cell r="T1950" t="str"><v>Developers & ITI's</v></cell><cell r="U1950" t="str"><v>USA-Trial-ITD-Trial PayGo Lookalike-AZR-AZR</v></cell><cell r="V1950" t="str"><v>Lookalike Targeting</v></cell><cell r="W1950" t="str"><v>Link Ad</v></cell><cell r="X1950" t="str"><v>1x1</v></cell></row><row r="1950"><cell r="AA1950"><v>43295</v></cell><cell r="AB1950" t="str"><v>USA_gaPMG_AZR_AZR_Q1_19_Direct-Social</v></cell><cell r="AC1950"><v>21358715</v></cell><cell r="AD1950"><v>720197</v></cell><cell r="AE1950" t="str"><v>Facebook</v></cell><cell r="AF1950"><v>3654128</v></cell><cell r="AG1950" t="str"><v>FACEBOOK»USA-Trial-ITD-Trial PayGo Lookalike-AZR-AZR»1 x 1»SocialBan»LIA»ALL»CPA»LAL»X»NA»SS»NA»FreeAcctITProFB-AnimatedMigration-Ch3»PRC23Y</v></cell><cell r="AH1950"><v>224105904</v></cell><cell r="AI1950" t="str"><v>AZR_FreeAcctITProFB-AnimatedMigration-Ch3_USA_1200x1200_CAN_Direct_English_Trial_Standard_ANI_LEA_T3_1</v></cell><cell r="AJ1950"><v>103176827</v></cell></row><row r="1951"><cell r="C1951" t="str"><v>43295FACEBOOK»USA-Trial-ITD-Trial PayGo Lookalike-AZR-AZR»1 x 1»SocialBan»LIA»ALL»CPA»LAL»X»NA»SS»NA»FreeAcctITProFB-AnimatedSecureMngd-Ch1»PRC1QB</v></cell><cell r="D1951" t="str"><v>43295223862945</v></cell><cell r="E1951" t="str"><v>43295103176830PRC1QB</v></cell><cell r="F1951" t="str"><v>DCM</v></cell></row><row r="1951"><cell r="K1951" t="str"><v>July</v></cell><cell r="L1951"><v>43295</v></cell><cell r="M1951" t="str"><v>Tier 0</v></cell><cell r="N1951" t="str"><v>North America</v></cell><cell r="O1951" t="str"><v>United States</v></cell><cell r="P1951" t="str"><v>Trial</v></cell><cell r="Q1951" t="str"><v>Social</v></cell><cell r="R1951" t="str"><v>Azure</v></cell><cell r="S1951" t="str"><v>Apps & Infra</v></cell><cell r="T1951" t="str"><v>Developers & ITI's</v></cell><cell r="U1951" t="str"><v>USA-Trial-ITD-Trial PayGo Lookalike-AZR-AZR</v></cell><cell r="V1951" t="str"><v>Lookalike Targeting</v></cell><cell r="W1951" t="str"><v>Link Ad</v></cell><cell r="X1951" t="str"><v>1x1</v></cell></row><row r="1951"><cell r="AA1951"><v>43295</v></cell><cell r="AB1951" t="str"><v>USA_gaPMG_AZR_AZR_Q1_19_Direct-Social</v></cell><cell r="AC1951"><v>21358715</v></cell><cell r="AD1951"><v>720197</v></cell><cell r="AE1951" t="str"><v>Facebook</v></cell><cell r="AF1951"><v>3654128</v></cell><cell r="AG1951" t="str"><v>FACEBOOK»USA-Trial-ITD-Trial PayGo Lookalike-AZR-AZR»1 x 1»SocialBan»LIA»ALL»CPA»LAL»X»NA»SS»NA»FreeAcctITProFB-AnimatedSecureMngd-Ch1»PRC1QB</v></cell><cell r="AH1951"><v>223862945</v></cell><cell r="AI1951" t="str"><v>AZR_FreeAcctITProFB-AnimatedSecureMngd-Ch1_USA_1200x1200_CAN_Direct_English_Trial_Standard_ANI_LEA_T1_1</v></cell><cell r="AJ1951"><v>103176830</v></cell></row><row r="1952"><cell r="C1952" t="str"><v>43295INSTAGRAM»USA-Trial-ITD-Interest Prospecting-AZR-AZR»1 x 1»SocialBan»CAN»ALL»CPA»PRO»X»NA»SS»NA»IGCTCBrandinMotion»PRC2PB</v></cell><cell r="D1952" t="str"><v>43295223862690</v></cell><cell r="E1952" t="str"><v>43295103050783PRC2PB</v></cell><cell r="F1952" t="str"><v>DCM</v></cell><cell r="G1952" t="str"><v>https://signup.azure.com/?OCID=AID%eexcid!_OLA_%ebuy!_%epid!_%ecid!</v></cell></row><row r="1952"><cell r="K1952" t="str"><v>July</v></cell><cell r="L1952"><v>43295</v></cell><cell r="M1952" t="str"><v>Tier 0</v></cell><cell r="N1952" t="str"><v>North America</v></cell><cell r="O1952" t="str"><v>United States</v></cell><cell r="P1952" t="str"><v>Trial</v></cell><cell r="Q1952" t="str"><v>Social</v></cell><cell r="R1952" t="str"><v>Azure</v></cell><cell r="S1952" t="str"><v>Apps & Infra</v></cell><cell r="T1952" t="str"><v>Developers & ITI's</v></cell><cell r="U1952" t="str"><v>USA-Trial-ITD-Interest Prospecting-AZR-AZR</v></cell><cell r="V1952" t="str"><v>Prospecting</v></cell><cell r="W1952" t="str"><v>Canvas Ad</v></cell><cell r="X1952" t="str"><v>1x1</v></cell></row><row r="1952"><cell r="AA1952"><v>43295</v></cell><cell r="AB1952" t="str"><v>USA_gaPMG_AZR_AZR_Q1_19_Direct-Social</v></cell><cell r="AC1952"><v>21358715</v></cell><cell r="AD1952"><v>720197</v></cell><cell r="AE1952" t="str"><v>Facebook - Instagram</v></cell><cell r="AF1952"><v>3654128</v></cell><cell r="AG1952" t="str"><v>INSTAGRAM»USA-Trial-ITD-Interest Prospecting-AZR-AZR»1 x 1»SocialBan»CAN»ALL»CPA»PRO»X»NA»SS»NA»IGCTCBrandinMotion»PRC2PB</v></cell><cell r="AH1952"><v>223862690</v></cell><cell r="AI1952" t="str"><v>AzurePlatform_IGCTCBenefit2inMotion_USA_10s_CAN_PLATFORM_English_Trial_Standard_STAN_TIN_T4_1</v></cell><cell r="AJ1952"><v>103050783</v></cell></row><row r="1953"><cell r="C1953" t="str"><v>43295INSTAGRAM»USA-Trial-ITD-Interest Prospecting-AZR-AZR»1 x 1»SocialBan»CAN»ALL»CPA»PRO»X»NA»SS»NA»IGCTCBrandinMotion»PRC2PB</v></cell><cell r="D1953" t="str"><v>43295223862690</v></cell><cell r="E1953" t="str"><v>43295103178714PRC2PB</v></cell><cell r="F1953" t="str"><v>DCM</v></cell><cell r="G1953" t="str"><v>https://azure.microsoft.com/en-us/pricing/purchase-options/?v=18.19&OCID=AID%eexcid!_OLA_%ebuy!_%epid!_%ecid!</v></cell></row><row r="1953"><cell r="K1953" t="str"><v>July</v></cell><cell r="L1953"><v>43295</v></cell><cell r="M1953" t="str"><v>Tier 0</v></cell><cell r="N1953" t="str"><v>North America</v></cell><cell r="O1953" t="str"><v>United States</v></cell><cell r="P1953" t="str"><v>Trial</v></cell><cell r="Q1953" t="str"><v>Social</v></cell><cell r="R1953" t="str"><v>Azure</v></cell><cell r="S1953" t="str"><v>Apps & Infra</v></cell><cell r="T1953" t="str"><v>Developers & ITI's</v></cell><cell r="U1953" t="str"><v>USA-Trial-ITD-Interest Prospecting-AZR-AZR</v></cell><cell r="V1953" t="str"><v>Prospecting</v></cell><cell r="W1953" t="str"><v>Canvas Ad</v></cell><cell r="X1953" t="str"><v>1x1</v></cell></row><row r="1953"><cell r="AA1953"><v>43295</v></cell><cell r="AB1953" t="str"><v>USA_gaPMG_AZR_AZR_Q1_19_Direct-Social</v></cell><cell r="AC1953"><v>21358715</v></cell><cell r="AD1953"><v>720197</v></cell><cell r="AE1953" t="str"><v>Facebook - Instagram</v></cell><cell r="AF1953"><v>3654128</v></cell><cell r="AG1953" t="str"><v>INSTAGRAM»USA-Trial-ITD-Interest Prospecting-AZR-AZR»1 x 1»SocialBan»CAN»ALL»CPA»PRO»X»NA»SS»NA»IGCTCBrandinMotion»PRC2PB</v></cell><cell r="AH1953"><v>223862690</v></cell><cell r="AI1953" t="str"><v>AzurePlatform_IGCTCBenefit2inMotion_USA_10s_CAN_PLATFORM_English_Trial_Standard_STAN_TIN_T4_2</v></cell><cell r="AJ1953"><v>103178714</v></cell></row><row r="1954"><cell r="C1954" t="str"><v>43295INSTAGRAM»USA-Trial-ITD-Retargeting-AZR-AZR»1 x 1»SocialBan»CAN»ALL»CPA»RT»X»NA»SS»NA»IGCTCBenefitinMotion»PRC2G4</v></cell><cell r="D1954" t="str"><v>43295224107536</v></cell><cell r="E1954" t="str"><v>43295103050780PRC2G4</v></cell><cell r="F1954" t="str"><v>DCM</v></cell><cell r="G1954" t="str"><v>https://signup.azure.com/?OCID=AID%eexcid!_OLA_%ebuy!_%epid!_%ecid!</v></cell></row><row r="1954"><cell r="K1954" t="str"><v>July</v></cell><cell r="L1954"><v>43295</v></cell><cell r="M1954" t="str"><v>Tier 0</v></cell><cell r="N1954" t="str"><v>North America</v></cell><cell r="O1954" t="str"><v>United States</v></cell><cell r="P1954" t="str"><v>Trial</v></cell><cell r="Q1954" t="str"><v>Social</v></cell><cell r="R1954" t="str"><v>Azure</v></cell><cell r="S1954" t="str"><v>Apps & Infra</v></cell><cell r="T1954" t="str"><v>Developers & ITI's</v></cell><cell r="U1954" t="str"><v>USA-Trial-ITD-Retargeting-AZR-AZR</v></cell><cell r="V1954" t="str"><v>Retargeting</v></cell><cell r="W1954" t="str"><v>Canvas Ad</v></cell><cell r="X1954" t="str"><v>1x1</v></cell></row><row r="1954"><cell r="AA1954"><v>43295</v></cell><cell r="AB1954" t="str"><v>USA_gaPMG_AZR_AZR_Q1_19_Direct-Social</v></cell><cell r="AC1954"><v>21358715</v></cell><cell r="AD1954"><v>720197</v></cell><cell r="AE1954" t="str"><v>Facebook - Instagram</v></cell><cell r="AF1954"><v>3654128</v></cell><cell r="AG1954" t="str"><v>INSTAGRAM»USA-Trial-ITD-Retargeting-AZR-AZR»1 x 1»SocialBan»CAN»ALL»CPA»RT»X»NA»SS»NA»IGCTCBenefitinMotion»PRC2G4</v></cell><cell r="AH1954"><v>224107536</v></cell><cell r="AI1954" t="str"><v>AzurePlatform_IGCTCBenefitinMotion_USA_10s_CAN_PLATFORM_English_Trial_Standard_STAN_TIN_T3_1</v></cell><cell r="AJ1954"><v>103050780</v></cell></row><row r="1955"><cell r="C1955" t="str"><v>43295INSTAGRAM»USA-Trial-ITD-Trial Lookalike-AZR-AZR»1 x 1»SocialBan»CAN»ALL»CPA»LAL»X»NA»SS»NA»IGCTCBenefit2inMotion»PRC2FL</v></cell><cell r="D1955" t="str"><v>43295223935022</v></cell><cell r="E1955" t="str"><v>43295103180628PRC2FL</v></cell><cell r="F1955" t="str"><v>DCM</v></cell><cell r="G1955" t="str"><v>https://signup.azure.com/?OCID=AID%eexcid!_OLA_%ebuy!_%epid!_%ecid!</v></cell></row><row r="1955"><cell r="K1955" t="str"><v>July</v></cell><cell r="L1955"><v>43295</v></cell><cell r="M1955" t="str"><v>Tier 0</v></cell><cell r="N1955" t="str"><v>North America</v></cell><cell r="O1955" t="str"><v>United States</v></cell><cell r="P1955" t="str"><v>Trial</v></cell><cell r="Q1955" t="str"><v>Social</v></cell><cell r="R1955" t="str"><v>Azure</v></cell><cell r="S1955" t="str"><v>Apps & Infra</v></cell><cell r="T1955" t="str"><v>Developers & ITI's</v></cell><cell r="U1955" t="str"><v>USA-Trial-ITD-Trial Lookalike-AZR-AZR</v></cell><cell r="V1955" t="str"><v>Lookalike Targeting</v></cell><cell r="W1955" t="str"><v>Canvas Ad</v></cell><cell r="X1955" t="str"><v>1x1</v></cell></row><row r="1955"><cell r="AA1955"><v>43295</v></cell><cell r="AB1955" t="str"><v>USA_gaPMG_AZR_AZR_Q1_19_Direct-Social</v></cell><cell r="AC1955"><v>21358715</v></cell><cell r="AD1955"><v>720197</v></cell><cell r="AE1955" t="str"><v>Facebook - Instagram</v></cell><cell r="AF1955"><v>3654128</v></cell><cell r="AG1955" t="str"><v>INSTAGRAM»USA-Trial-ITD-Trial Lookalike-AZR-AZR»1 x 1»SocialBan»CAN»ALL»CPA»LAL»X»NA»SS»NA»IGCTCBenefit2inMotion»PRC2FL</v></cell><cell r="AH1955"><v>223935022</v></cell><cell r="AI1955" t="str"><v>AzurePlatform_IGCTCBrandinMotion_USA_10s_CAN_PLATFORM_English_Trial_Standard_STAN_TIN_T2_1</v></cell><cell r="AJ1955"><v>103180628</v></cell></row><row r="1956"><cell r="C1956" t="str"><v>43295INSTAGRAM»USA-Trial-ITD-Trial Lookalike-AZR-AZR»1 x 1»SocialBan»CAN»ALL»CPA»LAL»X»NA»SS»NA»IGCTCBrandinMotion»PRC2FH</v></cell><cell r="D1956" t="str"><v>43295223935019</v></cell><cell r="E1956" t="str"><v>43295103050783PRC2FH</v></cell><cell r="F1956" t="str"><v>DCM</v></cell><cell r="G1956" t="str"><v>https://signup.azure.com/?OCID=AID%eexcid!_OLA_%ebuy!_%epid!_%ecid!</v></cell></row><row r="1956"><cell r="K1956" t="str"><v>July</v></cell><cell r="L1956"><v>43295</v></cell><cell r="M1956" t="str"><v>Tier 0</v></cell><cell r="N1956" t="str"><v>North America</v></cell><cell r="O1956" t="str"><v>United States</v></cell><cell r="P1956" t="str"><v>Trial</v></cell><cell r="Q1956" t="str"><v>Social</v></cell><cell r="R1956" t="str"><v>Azure</v></cell><cell r="S1956" t="str"><v>Apps & Infra</v></cell><cell r="T1956" t="str"><v>Developers & ITI's</v></cell><cell r="U1956" t="str"><v>USA-Trial-ITD-Trial Lookalike-AZR-AZR</v></cell><cell r="V1956" t="str"><v>Lookalike Targeting</v></cell><cell r="W1956" t="str"><v>Canvas Ad</v></cell><cell r="X1956" t="str"><v>1x1</v></cell></row><row r="1956"><cell r="AA1956"><v>43295</v></cell><cell r="AB1956" t="str"><v>USA_gaPMG_AZR_AZR_Q1_19_Direct-Social</v></cell><cell r="AC1956"><v>21358715</v></cell><cell r="AD1956"><v>720197</v></cell><cell r="AE1956" t="str"><v>Facebook - Instagram</v></cell><cell r="AF1956"><v>3654128</v></cell><cell r="AG1956" t="str"><v>INSTAGRAM»USA-Trial-ITD-Trial Lookalike-AZR-AZR»1 x 1»SocialBan»CAN»ALL»CPA»LAL»X»NA»SS»NA»IGCTCBrandinMotion»PRC2FH</v></cell><cell r="AH1956"><v>223935019</v></cell><cell r="AI1956" t="str"><v>AzurePlatform_IGCTCBenefit2inMotion_USA_10s_CAN_PLATFORM_English_Trial_Standard_STAN_TIN_T4_1</v></cell><cell r="AJ1956"><v>103050783</v></cell></row><row r="1957"><cell r="C1957" t="str"><v>43295INSTAGRAM»USA-Trial-ITD-Trial Lookalike-AZR-AZR»1 x 1»SocialBan»CAN»ALL»CPA»LAL»X»NA»SS»NA»IGCTCBrandinMotion»PRC2FH</v></cell><cell r="D1957" t="str"><v>43295223935019</v></cell><cell r="E1957" t="str"><v>43295103178714PRC2FH</v></cell><cell r="F1957" t="str"><v>DCM</v></cell><cell r="G1957" t="str"><v>https://azure.microsoft.com/en-us/pricing/purchase-options/?v=18.19&OCID=AID%eexcid!_OLA_%ebuy!_%epid!_%ecid!</v></cell></row><row r="1957"><cell r="K1957" t="str"><v>July</v></cell><cell r="L1957"><v>43295</v></cell><cell r="M1957" t="str"><v>Tier 0</v></cell><cell r="N1957" t="str"><v>North America</v></cell><cell r="O1957" t="str"><v>United States</v></cell><cell r="P1957" t="str"><v>Trial</v></cell><cell r="Q1957" t="str"><v>Social</v></cell><cell r="R1957" t="str"><v>Azure</v></cell><cell r="S1957" t="str"><v>Apps & Infra</v></cell><cell r="T1957" t="str"><v>Developers & ITI's</v></cell><cell r="U1957" t="str"><v>USA-Trial-ITD-Trial Lookalike-AZR-AZR</v></cell><cell r="V1957" t="str"><v>Lookalike Targeting</v></cell><cell r="W1957" t="str"><v>Canvas Ad</v></cell><cell r="X1957" t="str"><v>1x1</v></cell></row><row r="1957"><cell r="AA1957"><v>43295</v></cell><cell r="AB1957" t="str"><v>USA_gaPMG_AZR_AZR_Q1_19_Direct-Social</v></cell><cell r="AC1957"><v>21358715</v></cell><cell r="AD1957"><v>720197</v></cell><cell r="AE1957" t="str"><v>Facebook - Instagram</v></cell><cell r="AF1957"><v>3654128</v></cell><cell r="AG1957" t="str"><v>INSTAGRAM»USA-Trial-ITD-Trial Lookalike-AZR-AZR»1 x 1»SocialBan»CAN»ALL»CPA»LAL»X»NA»SS»NA»IGCTCBrandinMotion»PRC2FH</v></cell><cell r="AH1957"><v>223935019</v></cell><cell r="AI1957" t="str"><v>AzurePlatform_IGCTCBenefit2inMotion_USA_10s_CAN_PLATFORM_English_Trial_Standard_STAN_TIN_T4_2</v></cell><cell r="AJ1957"><v>103178714</v></cell></row><row r="1958"><cell r="C1958" t="str"><v>43295INSTAGRAM»USA-Trial-ITD-Trial PayGo Lookalike-AZR-AZR»1 x 1»SocialBan»CAN»ALL»CPA»LAL»X»NA»SS»NA»IGCTCBrandinMotion»PRC2FW</v></cell><cell r="D1958" t="str"><v>43295223862654</v></cell><cell r="E1958" t="str"><v>43295103050783PRC2FW</v></cell><cell r="F1958" t="str"><v>DCM</v></cell><cell r="G1958" t="str"><v>https://signup.azure.com/?OCID=AID%eexcid!_OLA_%ebuy!_%epid!_%ecid!</v></cell></row><row r="1958"><cell r="K1958" t="str"><v>July</v></cell><cell r="L1958"><v>43295</v></cell><cell r="M1958" t="str"><v>Tier 0</v></cell><cell r="N1958" t="str"><v>North America</v></cell><cell r="O1958" t="str"><v>United States</v></cell><cell r="P1958" t="str"><v>Trial</v></cell><cell r="Q1958" t="str"><v>Social</v></cell><cell r="R1958" t="str"><v>Azure</v></cell><cell r="S1958" t="str"><v>Apps & Infra</v></cell><cell r="T1958" t="str"><v>Developers & ITI's</v></cell><cell r="U1958" t="str"><v>USA-Trial-ITD-Trial PayGo Lookalike-AZR-AZR</v></cell><cell r="V1958" t="str"><v>Lookalike Targeting</v></cell><cell r="W1958" t="str"><v>Canvas Ad</v></cell><cell r="X1958" t="str"><v>1x1</v></cell></row><row r="1958"><cell r="AA1958"><v>43295</v></cell><cell r="AB1958" t="str"><v>USA_gaPMG_AZR_AZR_Q1_19_Direct-Social</v></cell><cell r="AC1958"><v>21358715</v></cell><cell r="AD1958"><v>720197</v></cell><cell r="AE1958" t="str"><v>Facebook - Instagram</v></cell><cell r="AF1958"><v>3654128</v></cell><cell r="AG1958" t="str"><v>INSTAGRAM»USA-Trial-ITD-Trial PayGo Lookalike-AZR-AZR»1 x 1»SocialBan»CAN»ALL»CPA»LAL»X»NA»SS»NA»IGCTCBrandinMotion»PRC2FW</v></cell><cell r="AH1958"><v>223862654</v></cell><cell r="AI1958" t="str"><v>AzurePlatform_IGCTCBenefit2inMotion_USA_10s_CAN_PLATFORM_English_Trial_Standard_STAN_TIN_T4_1</v></cell><cell r="AJ1958"><v>103050783</v></cell></row><row r="1959"><cell r="C1959" t="str"><v>43295INSTAGRAM»USA-Trial-ITD-Trial PayGo Lookalike-AZR-AZR»1 x 1»SocialBan»CAN»ALL»CPA»LAL»X»NA»SS»NA»IGCTCBenefit2inMotion»PRC2FZ</v></cell><cell r="D1959" t="str"><v>43295223933075</v></cell><cell r="E1959" t="str"><v>43295103180628PRC2FZ</v></cell><cell r="F1959" t="str"><v>DCM</v></cell><cell r="G1959" t="str"><v>https://signup.azure.com/?OCID=AID%eexcid!_OLA_%ebuy!_%epid!_%ecid!</v></cell></row><row r="1959"><cell r="K1959" t="str"><v>July</v></cell><cell r="L1959"><v>43295</v></cell><cell r="M1959" t="str"><v>Tier 0</v></cell><cell r="N1959" t="str"><v>North America</v></cell><cell r="O1959" t="str"><v>United States</v></cell><cell r="P1959" t="str"><v>Trial</v></cell><cell r="Q1959" t="str"><v>Social</v></cell><cell r="R1959" t="str"><v>Azure</v></cell><cell r="S1959" t="str"><v>Apps & Infra</v></cell><cell r="T1959" t="str"><v>Developers & ITI's</v></cell><cell r="U1959" t="str"><v>USA-Trial-ITD-Trial PayGo Lookalike-AZR-AZR</v></cell><cell r="V1959" t="str"><v>Lookalike Targeting</v></cell><cell r="W1959" t="str"><v>Canvas Ad</v></cell><cell r="X1959" t="str"><v>1x1</v></cell></row><row r="1959"><cell r="AA1959"><v>43295</v></cell><cell r="AB1959" t="str"><v>USA_gaPMG_AZR_AZR_Q1_19_Direct-Social</v></cell><cell r="AC1959"><v>21358715</v></cell><cell r="AD1959"><v>720197</v></cell><cell r="AE1959" t="str"><v>Facebook - Instagram</v></cell><cell r="AF1959"><v>3654128</v></cell><cell r="AG1959" t="str"><v>INSTAGRAM»USA-Trial-ITD-Trial PayGo Lookalike-AZR-AZR»1 x 1»SocialBan»CAN»ALL»CPA»LAL»X»NA»SS»NA»IGCTCBenefit2inMotion»PRC2FZ</v></cell><cell r="AH1959"><v>223933075</v></cell><cell r="AI1959" t="str"><v>AzurePlatform_IGCTCBrandinMotion_USA_10s_CAN_PLATFORM_English_Trial_Standard_STAN_TIN_T2_1</v></cell><cell r="AJ1959"><v>103180628</v></cell></row><row r="1960"><cell r="C1960" t="str"><v>43295INSTAGRAM»USA-Trial-ITD-Trial PayGo Lookalike-AZR-AZR»1 x 1»SocialBan»CAN»ALL»CPA»LAL»X»NA»SS»NA»IGCTCBenefit2inMotion»PRC2FZ</v></cell><cell r="D1960" t="str"><v>43295223933075</v></cell><cell r="E1960" t="str"><v>43295103050786PRC2FZ</v></cell><cell r="F1960" t="str"><v>DCM</v></cell><cell r="G1960" t="str"><v>https://azure.microsoft.com/en-us/pricing/purchase-options/?v=18.19&OCID=AID%eexcid!_OLA_%ebuy!_%epid!_%ecid!</v></cell></row><row r="1960"><cell r="K1960" t="str"><v>July</v></cell><cell r="L1960"><v>43295</v></cell><cell r="M1960" t="str"><v>Tier 0</v></cell><cell r="N1960" t="str"><v>North America</v></cell><cell r="O1960" t="str"><v>United States</v></cell><cell r="P1960" t="str"><v>Trial</v></cell><cell r="Q1960" t="str"><v>Social</v></cell><cell r="R1960" t="str"><v>Azure</v></cell><cell r="S1960" t="str"><v>Apps & Infra</v></cell><cell r="T1960" t="str"><v>Developers & ITI's</v></cell><cell r="U1960" t="str"><v>USA-Trial-ITD-Trial PayGo Lookalike-AZR-AZR</v></cell><cell r="V1960" t="str"><v>Lookalike Targeting</v></cell><cell r="W1960" t="str"><v>Canvas Ad</v></cell><cell r="X1960" t="str"><v>1x1</v></cell></row><row r="1960"><cell r="AA1960"><v>43295</v></cell><cell r="AB1960" t="str"><v>USA_gaPMG_AZR_AZR_Q1_19_Direct-Social</v></cell><cell r="AC1960"><v>21358715</v></cell><cell r="AD1960"><v>720197</v></cell><cell r="AE1960" t="str"><v>Facebook - Instagram</v></cell><cell r="AF1960"><v>3654128</v></cell><cell r="AG1960" t="str"><v>INSTAGRAM»USA-Trial-ITD-Trial PayGo Lookalike-AZR-AZR»1 x 1»SocialBan»CAN»ALL»CPA»LAL»X»NA»SS»NA»IGCTCBenefit2inMotion»PRC2FZ</v></cell><cell r="AH1960"><v>223933075</v></cell><cell r="AI1960" t="str"><v>AzurePlatform_IGCTCBrandinMotion_USA_10s_CAN_PLATFORM_English_Trial_Standard_STAN_TIN_T2_2</v></cell><cell r="AJ1960"><v>103050786</v></cell></row><row r="1961"><cell r="C1961" t="str"><v>43295INSTAGRAM»USA-Trial-ITD-Interest Prospecting-AZR-AZR»1 x 1»SocialBan»CAN»ALL»CPA»PRO»X»NA»SS»NA»IGCTCBenefitinMotion»PRC2PC</v></cell><cell r="D1961" t="str"><v>43295224104878</v></cell><cell r="E1961" t="str"><v>43295103050780PRC2PC</v></cell><cell r="F1961" t="str"><v>DCM</v></cell><cell r="G1961" t="str"><v>https://signup.azure.com/?OCID=AID%eexcid!_OLA_%ebuy!_%epid!_%ecid!</v></cell></row><row r="1961"><cell r="K1961" t="str"><v>July</v></cell><cell r="L1961"><v>43295</v></cell><cell r="M1961" t="str"><v>Tier 0</v></cell><cell r="N1961" t="str"><v>North America</v></cell><cell r="O1961" t="str"><v>United States</v></cell><cell r="P1961" t="str"><v>Trial</v></cell><cell r="Q1961" t="str"><v>Social</v></cell><cell r="R1961" t="str"><v>Azure</v></cell><cell r="S1961" t="str"><v>Apps & Infra</v></cell><cell r="T1961" t="str"><v>Developers & ITI's</v></cell><cell r="U1961" t="str"><v>USA-Trial-ITD-Interest Prospecting-AZR-AZR</v></cell><cell r="V1961" t="str"><v>Prospecting</v></cell><cell r="W1961" t="str"><v>Canvas Ad</v></cell><cell r="X1961" t="str"><v>1x1</v></cell></row><row r="1961"><cell r="AA1961"><v>43295</v></cell><cell r="AB1961" t="str"><v>USA_gaPMG_AZR_AZR_Q1_19_Direct-Social</v></cell><cell r="AC1961"><v>21358715</v></cell><cell r="AD1961"><v>720197</v></cell><cell r="AE1961" t="str"><v>Facebook - Instagram</v></cell><cell r="AF1961"><v>3654128</v></cell><cell r="AG1961" t="str"><v>INSTAGRAM»USA-Trial-ITD-Interest Prospecting-AZR-AZR»1 x 1»SocialBan»CAN»ALL»CPA»PRO»X»NA»SS»NA»IGCTCBenefitinMotion»PRC2PC</v></cell><cell r="AH1961"><v>224104878</v></cell><cell r="AI1961" t="str"><v>AzurePlatform_IGCTCBenefitinMotion_USA_10s_CAN_PLATFORM_English_Trial_Standard_STAN_TIN_T3_1</v></cell><cell r="AJ1961"><v>103050780</v></cell></row><row r="1962"><cell r="C1962" t="str"><v>43295INSTAGRAM»USA-Trial-ITD-Trial Lookalike-AZR-AZR»1 x 1»SocialBan»CAN»ALL»CPA»LAL»X»NA»SS»NA»IGCTCBasicMotion»PRC0C2</v></cell><cell r="D1962" t="str"><v>43295224107017</v></cell><cell r="E1962" t="str"><v>43295103037968PRC0C2</v></cell><cell r="F1962" t="str"><v>DCM</v></cell><cell r="G1962" t="str"><v>https://signup.azure.com/?OCID=AID%eexcid!_OLA_%ebuy!_%epid!_%ecid!</v></cell></row><row r="1962"><cell r="K1962" t="str"><v>July</v></cell><cell r="L1962"><v>43295</v></cell><cell r="M1962" t="str"><v>Tier 0</v></cell><cell r="N1962" t="str"><v>North America</v></cell><cell r="O1962" t="str"><v>United States</v></cell><cell r="P1962" t="str"><v>Trial</v></cell><cell r="Q1962" t="str"><v>Social</v></cell><cell r="R1962" t="str"><v>Azure</v></cell><cell r="S1962" t="str"><v>Apps & Infra</v></cell><cell r="T1962" t="str"><v>Developers & ITI's</v></cell><cell r="U1962" t="str"><v>USA-Trial-ITD-Trial Lookalike-AZR-AZR</v></cell><cell r="V1962" t="str"><v>Lookalike Targeting</v></cell><cell r="W1962" t="str"><v>Canvas Ad</v></cell><cell r="X1962" t="str"><v>1x1</v></cell></row><row r="1962"><cell r="AA1962"><v>43295</v></cell><cell r="AB1962" t="str"><v>USA_gaPMG_AZR_AZR_Q1_19_Direct-Social</v></cell><cell r="AC1962"><v>21358715</v></cell><cell r="AD1962"><v>720197</v></cell><cell r="AE1962" t="str"><v>Facebook - Instagram</v></cell><cell r="AF1962"><v>3654128</v></cell><cell r="AG1962" t="str"><v>INSTAGRAM»USA-Trial-ITD-Trial Lookalike-AZR-AZR»1 x 1»SocialBan»CAN»ALL»CPA»LAL»X»NA»SS»NA»IGCTCBasicMotion»PRC0C2</v></cell><cell r="AH1962"><v>224107017</v></cell><cell r="AI1962" t="str"><v>AzurePlatform_IGCTCBasicMotion_USA_10s_CAN_PLATFORM_English_Trial_Standard_STAN_TIN_T1_1</v></cell><cell r="AJ1962"><v>103037968</v></cell></row><row r="1963"><cell r="C1963" t="str"><v>43295INSTAGRAM»USA-Trial-ITD-Trial Lookalike-AZR-AZR»1 x 1»SocialBan»CAN»ALL»CPA»LAL»X»NA»SS»NA»IGCTCBasicMotion»PRC0C2</v></cell><cell r="D1963" t="str"><v>43295224107017</v></cell><cell r="E1963" t="str"><v>43295103037974PRC0C2</v></cell><cell r="F1963" t="str"><v>DCM</v></cell><cell r="G1963" t="str"><v>https://azure.microsoft.com/en-us/pricing/purchase-options/?v=18.19&OCID=AID%eexcid!_OLA_%ebuy!_%epid!_%ecid!</v></cell></row><row r="1963"><cell r="K1963" t="str"><v>July</v></cell><cell r="L1963"><v>43295</v></cell><cell r="M1963" t="str"><v>Tier 0</v></cell><cell r="N1963" t="str"><v>North America</v></cell><cell r="O1963" t="str"><v>United States</v></cell><cell r="P1963" t="str"><v>Trial</v></cell><cell r="Q1963" t="str"><v>Social</v></cell><cell r="R1963" t="str"><v>Azure</v></cell><cell r="S1963" t="str"><v>Apps & Infra</v></cell><cell r="T1963" t="str"><v>Developers & ITI's</v></cell><cell r="U1963" t="str"><v>USA-Trial-ITD-Trial Lookalike-AZR-AZR</v></cell><cell r="V1963" t="str"><v>Lookalike Targeting</v></cell><cell r="W1963" t="str"><v>Canvas Ad</v></cell><cell r="X1963" t="str"><v>1x1</v></cell></row><row r="1963"><cell r="AA1963"><v>43295</v></cell><cell r="AB1963" t="str"><v>USA_gaPMG_AZR_AZR_Q1_19_Direct-Social</v></cell><cell r="AC1963"><v>21358715</v></cell><cell r="AD1963"><v>720197</v></cell><cell r="AE1963" t="str"><v>Facebook - Instagram</v></cell><cell r="AF1963"><v>3654128</v></cell><cell r="AG1963" t="str"><v>INSTAGRAM»USA-Trial-ITD-Trial Lookalike-AZR-AZR»1 x 1»SocialBan»CAN»ALL»CPA»LAL»X»NA»SS»NA»IGCTCBasicMotion»PRC0C2</v></cell><cell r="AH1963"><v>224107017</v></cell><cell r="AI1963" t="str"><v>AzurePlatform_IGCTCBasicMotion_USA_10s_CAN_PLATFORM_English_Trial_Standard_STAN_TIN_T1_2</v></cell><cell r="AJ1963"><v>103037974</v></cell></row><row r="1964"><cell r="C1964" t="str"><v>43295INSTAGRAM»USA-Trial-ITD-Trial Lookalike-AZR-AZR»1 x 1»SocialBan»CAN»ALL»CPA»LAL»X»NA»SS»NA»IGCTCBenefitinMotion»PRC2FK</v></cell><cell r="D1964" t="str"><v>43295224107542</v></cell><cell r="E1964" t="str"><v>43295103050780PRC2FK</v></cell><cell r="F1964" t="str"><v>DCM</v></cell><cell r="G1964" t="str"><v>https://signup.azure.com/?OCID=AID%eexcid!_OLA_%ebuy!_%epid!_%ecid!</v></cell></row><row r="1964"><cell r="K1964" t="str"><v>July</v></cell><cell r="L1964"><v>43295</v></cell><cell r="M1964" t="str"><v>Tier 0</v></cell><cell r="N1964" t="str"><v>North America</v></cell><cell r="O1964" t="str"><v>United States</v></cell><cell r="P1964" t="str"><v>Trial</v></cell><cell r="Q1964" t="str"><v>Social</v></cell><cell r="R1964" t="str"><v>Azure</v></cell><cell r="S1964" t="str"><v>Apps & Infra</v></cell><cell r="T1964" t="str"><v>Developers & ITI's</v></cell><cell r="U1964" t="str"><v>USA-Trial-ITD-Trial Lookalike-AZR-AZR</v></cell><cell r="V1964" t="str"><v>Lookalike Targeting</v></cell><cell r="W1964" t="str"><v>Canvas Ad</v></cell><cell r="X1964" t="str"><v>1x1</v></cell></row><row r="1964"><cell r="AA1964"><v>43295</v></cell><cell r="AB1964" t="str"><v>USA_gaPMG_AZR_AZR_Q1_19_Direct-Social</v></cell><cell r="AC1964"><v>21358715</v></cell><cell r="AD1964"><v>720197</v></cell><cell r="AE1964" t="str"><v>Facebook - Instagram</v></cell><cell r="AF1964"><v>3654128</v></cell><cell r="AG1964" t="str"><v>INSTAGRAM»USA-Trial-ITD-Trial Lookalike-AZR-AZR»1 x 1»SocialBan»CAN»ALL»CPA»LAL»X»NA»SS»NA»IGCTCBenefitinMotion»PRC2FK</v></cell><cell r="AH1964"><v>224107542</v></cell><cell r="AI1964" t="str"><v>AzurePlatform_IGCTCBenefitinMotion_USA_10s_CAN_PLATFORM_English_Trial_Standard_STAN_TIN_T3_1</v></cell><cell r="AJ1964"><v>103050780</v></cell></row><row r="1965"><cell r="C1965" t="str"><v>43295INSTAGRAM»USA-Trial-ITD-Trial Lookalike-AZR-AZR»1 x 1»SocialBan»CAN»ALL»CPA»LAL»X»NA»SS»NA»IGCTCBenefitinMotion»PRC2FK</v></cell><cell r="D1965" t="str"><v>43295224107542</v></cell><cell r="E1965" t="str"><v>43295103180637PRC2FK</v></cell><cell r="F1965" t="str"><v>DCM</v></cell><cell r="G1965" t="str"><v>https://azure.microsoft.com/en-us/pricing/purchase-options/?v=18.19&OCID=AID%eexcid!_OLA_%ebuy!_%epid!_%ecid!</v></cell></row><row r="1965"><cell r="K1965" t="str"><v>July</v></cell><cell r="L1965"><v>43295</v></cell><cell r="M1965" t="str"><v>Tier 0</v></cell><cell r="N1965" t="str"><v>North America</v></cell><cell r="O1965" t="str"><v>United States</v></cell><cell r="P1965" t="str"><v>Trial</v></cell><cell r="Q1965" t="str"><v>Social</v></cell><cell r="R1965" t="str"><v>Azure</v></cell><cell r="S1965" t="str"><v>Apps & Infra</v></cell><cell r="T1965" t="str"><v>Developers & ITI's</v></cell><cell r="U1965" t="str"><v>USA-Trial-ITD-Trial Lookalike-AZR-AZR</v></cell><cell r="V1965" t="str"><v>Lookalike Targeting</v></cell><cell r="W1965" t="str"><v>Canvas Ad</v></cell><cell r="X1965" t="str"><v>1x1</v></cell></row><row r="1965"><cell r="AA1965"><v>43295</v></cell><cell r="AB1965" t="str"><v>USA_gaPMG_AZR_AZR_Q1_19_Direct-Social</v></cell><cell r="AC1965"><v>21358715</v></cell><cell r="AD1965"><v>720197</v></cell><cell r="AE1965" t="str"><v>Facebook - Instagram</v></cell><cell r="AF1965"><v>3654128</v></cell><cell r="AG1965" t="str"><v>INSTAGRAM»USA-Trial-ITD-Trial Lookalike-AZR-AZR»1 x 1»SocialBan»CAN»ALL»CPA»LAL»X»NA»SS»NA»IGCTCBenefitinMotion»PRC2FK</v></cell><cell r="AH1965"><v>224107542</v></cell><cell r="AI1965" t="str"><v>AzurePlatform_IGCTCBenefitinMotion_USA_10s_CAN_PLATFORM_English_Trial_Standard_STAN_TIN_T3_2</v></cell><cell r="AJ1965"><v>103180637</v></cell></row><row r="1966"><cell r="C1966" t="str"><v>43295INSTAGRAM»USA-Trial-ITD-Trial PayGo Lookalike-AZR-AZR»1 x 1»SocialBan»CAN»ALL»CPA»LAL»X»NA»SS»NA»IGCTCBasicMotion»PRC2G0</v></cell><cell r="D1966" t="str"><v>43295224106891</v></cell><cell r="E1966" t="str"><v>43295103037968PRC2G0</v></cell><cell r="F1966" t="str"><v>DCM</v></cell><cell r="G1966" t="str"><v>https://signup.azure.com/?OCID=AID%eexcid!_OLA_%ebuy!_%epid!_%ecid!</v></cell></row><row r="1966"><cell r="K1966" t="str"><v>July</v></cell><cell r="L1966"><v>43295</v></cell><cell r="M1966" t="str"><v>Tier 0</v></cell><cell r="N1966" t="str"><v>North America</v></cell><cell r="O1966" t="str"><v>United States</v></cell><cell r="P1966" t="str"><v>Trial</v></cell><cell r="Q1966" t="str"><v>Social</v></cell><cell r="R1966" t="str"><v>Azure</v></cell><cell r="S1966" t="str"><v>Apps & Infra</v></cell><cell r="T1966" t="str"><v>Developers & ITI's</v></cell><cell r="U1966" t="str"><v>USA-Trial-ITD-Trial PayGo Lookalike-AZR-AZR</v></cell><cell r="V1966" t="str"><v>Lookalike Targeting</v></cell><cell r="W1966" t="str"><v>Canvas Ad</v></cell><cell r="X1966" t="str"><v>1x1</v></cell></row><row r="1966"><cell r="AA1966"><v>43295</v></cell><cell r="AB1966" t="str"><v>USA_gaPMG_AZR_AZR_Q1_19_Direct-Social</v></cell><cell r="AC1966"><v>21358715</v></cell><cell r="AD1966"><v>720197</v></cell><cell r="AE1966" t="str"><v>Facebook - Instagram</v></cell><cell r="AF1966"><v>3654128</v></cell><cell r="AG1966" t="str"><v>INSTAGRAM»USA-Trial-ITD-Trial PayGo Lookalike-AZR-AZR»1 x 1»SocialBan»CAN»ALL»CPA»LAL»X»NA»SS»NA»IGCTCBasicMotion»PRC2G0</v></cell><cell r="AH1966"><v>224106891</v></cell><cell r="AI1966" t="str"><v>AzurePlatform_IGCTCBasicMotion_USA_10s_CAN_PLATFORM_English_Trial_Standard_STAN_TIN_T1_1</v></cell><cell r="AJ1966"><v>103037968</v></cell></row><row r="1967"><cell r="C1967" t="str"><v>43295INSTAGRAM»USA-Trial-ITD-Trial PayGo Lookalike-AZR-AZR»1 x 1»SocialBan»CAN»ALL»CPA»LAL»X»NA»SS»NA»IGCTCBasicMotion»PRC2G0</v></cell><cell r="D1967" t="str"><v>43295224106891</v></cell><cell r="E1967" t="str"><v>43295103037974PRC2G0</v></cell><cell r="F1967" t="str"><v>DCM</v></cell><cell r="G1967" t="str"><v>https://azure.microsoft.com/en-us/pricing/purchase-options/?v=18.19&OCID=AID%eexcid!_OLA_%ebuy!_%epid!_%ecid!</v></cell></row><row r="1967"><cell r="K1967" t="str"><v>July</v></cell><cell r="L1967"><v>43295</v></cell><cell r="M1967" t="str"><v>Tier 0</v></cell><cell r="N1967" t="str"><v>North America</v></cell><cell r="O1967" t="str"><v>United States</v></cell><cell r="P1967" t="str"><v>Trial</v></cell><cell r="Q1967" t="str"><v>Social</v></cell><cell r="R1967" t="str"><v>Azure</v></cell><cell r="S1967" t="str"><v>Apps & Infra</v></cell><cell r="T1967" t="str"><v>Developers & ITI's</v></cell><cell r="U1967" t="str"><v>USA-Trial-ITD-Trial PayGo Lookalike-AZR-AZR</v></cell><cell r="V1967" t="str"><v>Lookalike Targeting</v></cell><cell r="W1967" t="str"><v>Canvas Ad</v></cell><cell r="X1967" t="str"><v>1x1</v></cell></row><row r="1967"><cell r="AA1967"><v>43295</v></cell><cell r="AB1967" t="str"><v>USA_gaPMG_AZR_AZR_Q1_19_Direct-Social</v></cell><cell r="AC1967"><v>21358715</v></cell><cell r="AD1967"><v>720197</v></cell><cell r="AE1967" t="str"><v>Facebook - Instagram</v></cell><cell r="AF1967"><v>3654128</v></cell><cell r="AG1967" t="str"><v>INSTAGRAM»USA-Trial-ITD-Trial PayGo Lookalike-AZR-AZR»1 x 1»SocialBan»CAN»ALL»CPA»LAL»X»NA»SS»NA»IGCTCBasicMotion»PRC2G0</v></cell><cell r="AH1967"><v>224106891</v></cell><cell r="AI1967" t="str"><v>AzurePlatform_IGCTCBasicMotion_USA_10s_CAN_PLATFORM_English_Trial_Standard_STAN_TIN_T1_2</v></cell><cell r="AJ1967"><v>103037974</v></cell></row><row r="1968"><cell r="C1968" t="str"><v>43295INSTAGRAM»USA-Trial-ITD-Trial PayGo Lookalike-AZR-AZR»1 x 1»SocialBan»CAN»ALL»CPA»LAL»X»NA»SS»NA»IGCTCBenefitinMotion»PRC2FX</v></cell><cell r="D1968" t="str"><v>43295223933999</v></cell><cell r="E1968" t="str"><v>43295103050780PRC2FX</v></cell><cell r="F1968" t="str"><v>DCM</v></cell><cell r="G1968" t="str"><v>https://signup.azure.com/?OCID=AID%eexcid!_OLA_%ebuy!_%epid!_%ecid!</v></cell></row><row r="1968"><cell r="K1968" t="str"><v>July</v></cell><cell r="L1968"><v>43295</v></cell><cell r="M1968" t="str"><v>Tier 0</v></cell><cell r="N1968" t="str"><v>North America</v></cell><cell r="O1968" t="str"><v>United States</v></cell><cell r="P1968" t="str"><v>Trial</v></cell><cell r="Q1968" t="str"><v>Social</v></cell><cell r="R1968" t="str"><v>Azure</v></cell><cell r="S1968" t="str"><v>Apps & Infra</v></cell><cell r="T1968" t="str"><v>Developers & ITI's</v></cell><cell r="U1968" t="str"><v>USA-Trial-ITD-Trial PayGo Lookalike-AZR-AZR</v></cell><cell r="V1968" t="str"><v>Lookalike Targeting</v></cell><cell r="W1968" t="str"><v>Canvas Ad</v></cell><cell r="X1968" t="str"><v>1x1</v></cell></row><row r="1968"><cell r="AA1968"><v>43295</v></cell><cell r="AB1968" t="str"><v>USA_gaPMG_AZR_AZR_Q1_19_Direct-Social</v></cell><cell r="AC1968"><v>21358715</v></cell><cell r="AD1968"><v>720197</v></cell><cell r="AE1968" t="str"><v>Facebook - Instagram</v></cell><cell r="AF1968"><v>3654128</v></cell><cell r="AG1968" t="str"><v>INSTAGRAM»USA-Trial-ITD-Trial PayGo Lookalike-AZR-AZR»1 x 1»SocialBan»CAN»ALL»CPA»LAL»X»NA»SS»NA»IGCTCBenefitinMotion»PRC2FX</v></cell><cell r="AH1968"><v>223933999</v></cell><cell r="AI1968" t="str"><v>AzurePlatform_IGCTCBenefitinMotion_USA_10s_CAN_PLATFORM_English_Trial_Standard_STAN_TIN_T3_1</v></cell><cell r="AJ1968"><v>103050780</v></cell></row><row r="1969"><cell r="C1969" t="str"><v>43296Facebook»Audience & Interest Targeting»1x1»Canvas»OTH»DT»DYN»AUT»W»NA»SS»NA»FBCTCcanvaspage-StartFreeCTA_FBCTCcanvaspage-BuyNowCTA</v></cell><cell r="D1969" t="str"><v>43296224639151</v></cell><cell r="E1969" t="str"><v>43296103316832NowCTA</v></cell><cell r="F1969" t="str"><v>DCM</v></cell><cell r="G1969" t="str"><v>https://azure.microsoft.com/en-au/pricing/purchase-options/</v></cell></row><row r="1969"><cell r="K1969" t="str"><v>July</v></cell><cell r="L1969"><v>43302</v></cell><cell r="M1969" t="str"><v>Tier 1</v></cell><cell r="N1969" t="str"><v>APAC</v></cell><cell r="O1969" t="str"><v>Australia</v></cell><cell r="P1969" t="str"><v>Trial</v></cell><cell r="Q1969" t="str"><v>Social</v></cell><cell r="R1969" t="str"><v>Azure</v></cell><cell r="S1969" t="str"><v>Apps & Infra</v></cell><cell r="T1969" t="str"><v>Developers & ITI's</v></cell><cell r="U1969" t="str"><v>Audience & Interest Targeting</v></cell><cell r="V1969" t="str"><v>Audience Targeting</v></cell><cell r="W1969" t="str"><v>Other</v></cell><cell r="X1969" t="str"><v>1x1</v></cell></row><row r="1969"><cell r="AA1969"><v>43296</v></cell><cell r="AB1969" t="str"><v>AUS_gaPMG_AZR_AZR_Q1_19_Trial-Social</v></cell><cell r="AC1969"><v>21358568</v></cell><cell r="AD1969"><v>720191</v></cell><cell r="AE1969" t="str"><v>Facebook</v></cell><cell r="AF1969"><v>3654128</v></cell><cell r="AG1969" t="str"><v>Facebook»Audience & Interest Targeting»1x1»Canvas»OTH»DT»DYN»AUT»W»NA»SS»NA»FBCTCcanvaspage-StartFreeCTA_FBCTCcanvaspage-BuyNowCTA</v></cell><cell r="AH1969"><v>224639151</v></cell><cell r="AI1969" t="str"><v>AzurePlatform_FBCTCcanvaspage-BuyNowCTA-Img3_AUS_1080x162_SOC_Plat_English_NA_Standard_NA_BN_T3_1</v></cell><cell r="AJ1969"><v>103316832</v></cell></row><row r="1970"><cell r="C1970" t="str"><v>43296Facebook»Audience & Interest Targeting»1x1»Canvas»OTH»DT»DYN»AUT»W»NA»SS»NA»FBCTCcanvaspage-StartFreeCTA_FBCTCcanvaspage-BuyNowCTA</v></cell><cell r="D1970" t="str"><v>43296224639151</v></cell><cell r="E1970" t="str"><v>43296103316829NowCTA</v></cell><cell r="F1970" t="str"><v>DCM</v></cell><cell r="G1970" t="str"><v>https://signup.azure.com/signup?offer=ms-azr-0044p&appId=102&ref=paidmedia-social-fb&redirectURL=https%3a%2f%2fazure.microsoft.com%2fen-au%2fget-started%2fwelcome-to-azure%2f&l=en-au&correlationId=ead86c34-1f10-49dd-a72b-6918462a2cbf</v></cell></row><row r="1970"><cell r="K1970" t="str"><v>July</v></cell><cell r="L1970"><v>43302</v></cell><cell r="M1970" t="str"><v>Tier 1</v></cell><cell r="N1970" t="str"><v>APAC</v></cell><cell r="O1970" t="str"><v>Australia</v></cell><cell r="P1970" t="str"><v>Trial</v></cell><cell r="Q1970" t="str"><v>Social</v></cell><cell r="R1970" t="str"><v>Azure</v></cell><cell r="S1970" t="str"><v>Apps & Infra</v></cell><cell r="T1970" t="str"><v>Developers & ITI's</v></cell><cell r="U1970" t="str"><v>Audience & Interest Targeting</v></cell><cell r="V1970" t="str"><v>Audience Targeting</v></cell><cell r="W1970" t="str"><v>Other</v></cell><cell r="X1970" t="str"><v>1x1</v></cell></row><row r="1970"><cell r="AA1970"><v>43296</v></cell><cell r="AB1970" t="str"><v>AUS_gaPMG_AZR_AZR_Q1_19_Trial-Social</v></cell><cell r="AC1970"><v>21358568</v></cell><cell r="AD1970"><v>720191</v></cell><cell r="AE1970" t="str"><v>Facebook</v></cell><cell r="AF1970"><v>3654128</v></cell><cell r="AG1970" t="str"><v>Facebook»Audience & Interest Targeting»1x1»Canvas»OTH»DT»DYN»AUT»W»NA»SS»NA»FBCTCcanvaspage-StartFreeCTA_FBCTCcanvaspage-BuyNowCTA</v></cell><cell r="AH1970"><v>224639151</v></cell><cell r="AI1970" t="str"><v>AzurePlatform_FBCTCcanvaspage-StartFreeCTA-Img2_AUS_1080x143 _SOC_Plat_English_NA_Standard_NA_NA_T2_1</v></cell><cell r="AJ1970"><v>103316829</v></cell></row><row r="1971"><cell r="C1971" t="str"><v>43296Facebook»Audience & Interest Targeting»1x1»TextLink»OTH»DT»DYN»AUT»W»NA»SS»NA»Free Account Refresh- 12 months ChE</v></cell><cell r="D1971" t="str"><v>43296224160783</v></cell><cell r="E1971" t="str"><v>43296103051614hs ChE</v></cell><cell r="F1971" t="str"><v>DCM</v></cell></row><row r="1971"><cell r="K1971" t="str"><v>July</v></cell><cell r="L1971"><v>43302</v></cell><cell r="M1971" t="str"><v>Tier 1</v></cell><cell r="N1971" t="str"><v>APAC</v></cell><cell r="O1971" t="str"><v>Australia</v></cell><cell r="P1971" t="str"><v>Trial</v></cell><cell r="Q1971" t="str"><v>Social</v></cell><cell r="R1971" t="str"><v>Azure</v></cell><cell r="S1971" t="str"><v>Apps & Infra</v></cell><cell r="T1971" t="str"><v>Developers & ITI's</v></cell><cell r="U1971" t="str"><v>Audience & Interest Targeting</v></cell><cell r="V1971" t="str"><v>Audience Targeting</v></cell><cell r="W1971" t="str"><v>Other</v></cell><cell r="X1971" t="str"><v>1x1</v></cell></row><row r="1971"><cell r="AA1971"><v>43296</v></cell><cell r="AB1971" t="str"><v>AUS_gaPMG_AZR_AZR_Q1_19_Trial-Social</v></cell><cell r="AC1971"><v>21358568</v></cell><cell r="AD1971"><v>720191</v></cell><cell r="AE1971" t="str"><v>Facebook</v></cell><cell r="AF1971"><v>3654128</v></cell><cell r="AG1971" t="str"><v>Facebook»Audience & Interest Targeting»1x1»TextLink»OTH»DT»DYN»AUT»W»NA»SS»NA»Free Account Refresh- 12 months ChE</v></cell><cell r="AH1971"><v>224160783</v></cell><cell r="AI1971" t="str"><v>AzurePlatform_FreeAcctAppsFACEBOOK12monthsChE_AUS_1200x628_SOC_PLAT_EN_Trial_Standard_NA_SNU_T5_1</v></cell><cell r="AJ1971"><v>103051614</v></cell></row><row r="1972"><cell r="C1972" t="str"><v>43296Facebook»Audience & Interest Targeting»1x1»TextLink»OTH»DT»DYN»AUT»W»NA»SS»NA»Free Account Refresh- 200 Credit ChD</v></cell><cell r="D1972" t="str"><v>43296224160780</v></cell><cell r="E1972" t="str"><v>43296103186904it ChD</v></cell><cell r="F1972" t="str"><v>DCM</v></cell></row><row r="1972"><cell r="K1972" t="str"><v>July</v></cell><cell r="L1972"><v>43302</v></cell><cell r="M1972" t="str"><v>Tier 1</v></cell><cell r="N1972" t="str"><v>APAC</v></cell><cell r="O1972" t="str"><v>Australia</v></cell><cell r="P1972" t="str"><v>Trial</v></cell><cell r="Q1972" t="str"><v>Social</v></cell><cell r="R1972" t="str"><v>Azure</v></cell><cell r="S1972" t="str"><v>Apps & Infra</v></cell><cell r="T1972" t="str"><v>Developers & ITI's</v></cell><cell r="U1972" t="str"><v>Audience & Interest Targeting</v></cell><cell r="V1972" t="str"><v>Audience Targeting</v></cell><cell r="W1972" t="str"><v>Other</v></cell><cell r="X1972" t="str"><v>1x1</v></cell></row><row r="1972"><cell r="AA1972"><v>43296</v></cell><cell r="AB1972" t="str"><v>AUS_gaPMG_AZR_AZR_Q1_19_Trial-Social</v></cell><cell r="AC1972"><v>21358568</v></cell><cell r="AD1972"><v>720191</v></cell><cell r="AE1972" t="str"><v>Facebook</v></cell><cell r="AF1972"><v>3654128</v></cell><cell r="AG1972" t="str"><v>Facebook»Audience & Interest Targeting»1x1»TextLink»OTH»DT»DYN»AUT»W»NA»SS»NA»Free Account Refresh- 200 Credit ChD</v></cell><cell r="AH1972"><v>224160780</v></cell><cell r="AI1972" t="str"><v>AzurePlatform_FreeAcctAppsFACEBOOK200CreditChD_AUS_1200x628_SOC_PLAT_EN_Trial_Standard_NA_SNU_T4_1</v></cell><cell r="AJ1972"><v>103186904</v></cell></row><row r="1973"><cell r="C1973" t="str"><v>43296Facebook»Audience & Interest Targeting»1x1»TextLink»OTH»DT»DYN»AUT»W»NA»SS»NA»Free Account Refresh- Device ChB</v></cell><cell r="D1973" t="str"><v>43296224160777</v></cell><cell r="E1973" t="str"><v>43296103048479ce ChB</v></cell><cell r="F1973" t="str"><v>DCM</v></cell></row><row r="1973"><cell r="K1973" t="str"><v>July</v></cell><cell r="L1973"><v>43302</v></cell><cell r="M1973" t="str"><v>Tier 1</v></cell><cell r="N1973" t="str"><v>APAC</v></cell><cell r="O1973" t="str"><v>Australia</v></cell><cell r="P1973" t="str"><v>Trial</v></cell><cell r="Q1973" t="str"><v>Social</v></cell><cell r="R1973" t="str"><v>Azure</v></cell><cell r="S1973" t="str"><v>Apps & Infra</v></cell><cell r="T1973" t="str"><v>Developers & ITI's</v></cell><cell r="U1973" t="str"><v>Audience & Interest Targeting</v></cell><cell r="V1973" t="str"><v>Audience Targeting</v></cell><cell r="W1973" t="str"><v>Other</v></cell><cell r="X1973" t="str"><v>1x1</v></cell></row><row r="1973"><cell r="AA1973"><v>43296</v></cell><cell r="AB1973" t="str"><v>AUS_gaPMG_AZR_AZR_Q1_19_Trial-Social</v></cell><cell r="AC1973"><v>21358568</v></cell><cell r="AD1973"><v>720191</v></cell><cell r="AE1973" t="str"><v>Facebook</v></cell><cell r="AF1973"><v>3654128</v></cell><cell r="AG1973" t="str"><v>Facebook»Audience & Interest Targeting»1x1»TextLink»OTH»DT»DYN»AUT»W»NA»SS»NA»Free Account Refresh- Device ChB</v></cell><cell r="AH1973"><v>224160777</v></cell><cell r="AI1973" t="str"><v>AzurePlatform_FreeAcctAppsFACEBOOKDeviceChB_AUS_1200x628_SOC_PLAT_EN_Trial_Standard_NA_SNU_T2_1</v></cell><cell r="AJ1973"><v>103048479</v></cell></row><row r="1974"><cell r="C1974" t="str"><v>43296Facebook»Audience & Interest Targeting»1x1»TextLink»OTH»DT»DYN»AUT»W»NA»SS»NA»Free Account Refresh- Illustration ChC</v></cell><cell r="D1974" t="str"><v>43296224160774</v></cell><cell r="E1974" t="str"><v>43296103186910on ChC</v></cell><cell r="F1974" t="str"><v>DCM</v></cell></row><row r="1974"><cell r="K1974" t="str"><v>July</v></cell><cell r="L1974"><v>43302</v></cell><cell r="M1974" t="str"><v>Tier 1</v></cell><cell r="N1974" t="str"><v>APAC</v></cell><cell r="O1974" t="str"><v>Australia</v></cell><cell r="P1974" t="str"><v>Trial</v></cell><cell r="Q1974" t="str"><v>Social</v></cell><cell r="R1974" t="str"><v>Azure</v></cell><cell r="S1974" t="str"><v>Apps & Infra</v></cell><cell r="T1974" t="str"><v>Developers & ITI's</v></cell><cell r="U1974" t="str"><v>Audience & Interest Targeting</v></cell><cell r="V1974" t="str"><v>Audience Targeting</v></cell><cell r="W1974" t="str"><v>Other</v></cell><cell r="X1974" t="str"><v>1x1</v></cell></row><row r="1974"><cell r="AA1974"><v>43296</v></cell><cell r="AB1974" t="str"><v>AUS_gaPMG_AZR_AZR_Q1_19_Trial-Social</v></cell><cell r="AC1974"><v>21358568</v></cell><cell r="AD1974"><v>720191</v></cell><cell r="AE1974" t="str"><v>Facebook</v></cell><cell r="AF1974"><v>3654128</v></cell><cell r="AG1974" t="str"><v>Facebook»Audience & Interest Targeting»1x1»TextLink»OTH»DT»DYN»AUT»W»NA»SS»NA»Free Account Refresh- Illustration ChC</v></cell><cell r="AH1974"><v>224160774</v></cell><cell r="AI1974" t="str"><v>AzurePlatform_FreeAcctAppsFACEBOOKIllustrationChC_AUS_1200x628_SOC_PLAT_EN_Trial_Standard_NA_SNU_T3_1</v></cell><cell r="AJ1974"><v>103186910</v></cell></row><row r="1975"><cell r="C1975" t="str"><v>43296Facebook»Audience & Interest Targeting»1x1»TextLink»OTH»DT»DYN»AUT»W»NA»SS»NA»Free Account Refresh- Lifestyle ChA</v></cell><cell r="D1975" t="str"><v>43296224160771</v></cell><cell r="E1975" t="str"><v>43296103048488le ChA</v></cell><cell r="F1975" t="str"><v>DCM</v></cell></row><row r="1975"><cell r="K1975" t="str"><v>July</v></cell><cell r="L1975"><v>43302</v></cell><cell r="M1975" t="str"><v>Tier 1</v></cell><cell r="N1975" t="str"><v>APAC</v></cell><cell r="O1975" t="str"><v>Australia</v></cell><cell r="P1975" t="str"><v>Trial</v></cell><cell r="Q1975" t="str"><v>Social</v></cell><cell r="R1975" t="str"><v>Azure</v></cell><cell r="S1975" t="str"><v>Apps & Infra</v></cell><cell r="T1975" t="str"><v>Developers & ITI's</v></cell><cell r="U1975" t="str"><v>Audience & Interest Targeting</v></cell><cell r="V1975" t="str"><v>Audience Targeting</v></cell><cell r="W1975" t="str"><v>Other</v></cell><cell r="X1975" t="str"><v>1x1</v></cell></row><row r="1975"><cell r="AA1975"><v>43296</v></cell><cell r="AB1975" t="str"><v>AUS_gaPMG_AZR_AZR_Q1_19_Trial-Social</v></cell><cell r="AC1975"><v>21358568</v></cell><cell r="AD1975"><v>720191</v></cell><cell r="AE1975" t="str"><v>Facebook</v></cell><cell r="AF1975"><v>3654128</v></cell><cell r="AG1975" t="str"><v>Facebook»Audience & Interest Targeting»1x1»TextLink»OTH»DT»DYN»AUT»W»NA»SS»NA»Free Account Refresh- Lifestyle ChA</v></cell><cell r="AH1975"><v>224160771</v></cell><cell r="AI1975" t="str"><v>AzurePlatform_FreeAcctAppsFACEBOOKLifestyleChA_AUS_1200x628_SOC_PLAT_EN_Trial_Standard_NA_SNU_T1_1</v></cell><cell r="AJ1975"><v>103048488</v></cell></row><row r="1976"><cell r="C1976" t="str"><v>43296Facebook»AZR»1x1»NA»EGV»ALL»DYN»AUT»D»All»SS»NA»Free Acc CTC - T1 - EN</v></cell><cell r="D1976" t="str"><v>43296223684451</v></cell><cell r="E1976" t="str"><v>432961029018821 - EN</v></cell><cell r="F1976" t="str"><v>DCM</v></cell><cell r="G1976" t="str"><v>https://signup.azure.com/</v></cell></row><row r="1976"><cell r="K1976" t="str"><v>July</v></cell><cell r="L1976"><v>43302</v></cell><cell r="M1976" t="str"><v>Tier 1</v></cell><cell r="N1976" t="str"><v>North America</v></cell><cell r="O1976" t="str"><v>Canada</v></cell><cell r="P1976" t="str"><v>Trial</v></cell><cell r="Q1976" t="str"><v>Social</v></cell><cell r="R1976" t="str"><v>Azure</v></cell><cell r="S1976" t="str"><v>Apps & Infra</v></cell><cell r="T1976" t="str"><v>Developers & ITI's</v></cell><cell r="U1976" t="str"><v>AZR</v></cell><cell r="V1976" t="str"><v>Audience Targeting</v></cell><cell r="W1976" t="str"><v>Engagement Video</v></cell><cell r="X1976" t="str"><v>1x1</v></cell></row><row r="1976"><cell r="AA1976"><v>43296</v></cell><cell r="AB1976" t="str"><v>CAN_gaPMG_AZR_AZR_Q1_19_Trial-Social</v></cell><cell r="AC1976"><v>21337220</v></cell><cell r="AD1976"><v>720192</v></cell><cell r="AE1976" t="str"><v>Facebook</v></cell><cell r="AF1976"><v>3654128</v></cell><cell r="AG1976" t="str"><v>Facebook»AZR»1x1»NA»EGV»ALL»DYN»AUT»D»All»SS»NA»Free Acc CTC - T1 - EN</v></cell><cell r="AH1976"><v>223684451</v></cell><cell r="AI1976" t="str"><v>AzurePlatform_FBCTCBasicMotion_CAN_10s_ISV_PLAT_English_Trial_Standard_STAN_TN_T1_1</v></cell><cell r="AJ1976"><v>102901882</v></cell></row><row r="1977"><cell r="C1977" t="str"><v>43296Facebook»AZR»1x1»NA»EGV»ALL»DYN»AUT»D»All»SS»NA»Free Acc CTC - T1 - FR</v></cell><cell r="D1977" t="str"><v>43296223691801</v></cell><cell r="E1977" t="str"><v>432961030533231 - FR</v></cell><cell r="F1977" t="str"><v>DCM</v></cell><cell r="G1977" t="str"><v>https://signup.azure.com/</v></cell></row><row r="1977"><cell r="K1977" t="str"><v>July</v></cell><cell r="L1977"><v>43302</v></cell><cell r="M1977" t="str"><v>Tier 1</v></cell><cell r="N1977" t="str"><v>North America</v></cell><cell r="O1977" t="str"><v>Canada</v></cell><cell r="P1977" t="str"><v>Trial</v></cell><cell r="Q1977" t="str"><v>Social</v></cell><cell r="R1977" t="str"><v>Azure</v></cell><cell r="S1977" t="str"><v>Apps & Infra</v></cell><cell r="T1977" t="str"><v>Developers & ITI's</v></cell><cell r="U1977" t="str"><v>AZR</v></cell><cell r="V1977" t="str"><v>Audience Targeting</v></cell><cell r="W1977" t="str"><v>Engagement Video</v></cell><cell r="X1977" t="str"><v>1x1</v></cell></row><row r="1977"><cell r="AA1977"><v>43296</v></cell><cell r="AB1977" t="str"><v>CAN_gaPMG_AZR_AZR_Q1_19_Trial-Social</v></cell><cell r="AC1977"><v>21337220</v></cell><cell r="AD1977"><v>720192</v></cell><cell r="AE1977" t="str"><v>Facebook</v></cell><cell r="AF1977"><v>3654128</v></cell><cell r="AG1977" t="str"><v>Facebook»AZR»1x1»NA»EGV»ALL»DYN»AUT»D»All»SS»NA»Free Acc CTC - T1 - FR</v></cell><cell r="AH1977"><v>223691801</v></cell><cell r="AI1977" t="str"><v>AzurePlatform_FBCTCBasicMotion_CAN_10s_ISV_PLAT_FR_Trial_Standard_STAN_TN_T1_1</v></cell><cell r="AJ1977"><v>103053323</v></cell></row><row r="1978"><cell r="C1978" t="str"><v>43296Facebook»AZR»1x1»NA»EGV»ALL»DYN»AUT»D»All»SS»NA»Free Acc CTC - T2 - EN</v></cell><cell r="D1978" t="str"><v>43296223691840</v></cell><cell r="E1978" t="str"><v>432961029029502 - EN</v></cell><cell r="F1978" t="str"><v>DCM</v></cell><cell r="G1978" t="str"><v>https://signup.azure.com/</v></cell></row><row r="1978"><cell r="K1978" t="str"><v>July</v></cell><cell r="L1978"><v>43302</v></cell><cell r="M1978" t="str"><v>Tier 1</v></cell><cell r="N1978" t="str"><v>North America</v></cell><cell r="O1978" t="str"><v>Canada</v></cell><cell r="P1978" t="str"><v>Trial</v></cell><cell r="Q1978" t="str"><v>Social</v></cell><cell r="R1978" t="str"><v>Azure</v></cell><cell r="S1978" t="str"><v>Apps & Infra</v></cell><cell r="T1978" t="str"><v>Developers & ITI's</v></cell><cell r="U1978" t="str"><v>AZR</v></cell><cell r="V1978" t="str"><v>Audience Targeting</v></cell><cell r="W1978" t="str"><v>Engagement Video</v></cell><cell r="X1978" t="str"><v>1x1</v></cell></row><row r="1978"><cell r="AA1978"><v>43296</v></cell><cell r="AB1978" t="str"><v>CAN_gaPMG_AZR_AZR_Q1_19_Trial-Social</v></cell><cell r="AC1978"><v>21337220</v></cell><cell r="AD1978"><v>720192</v></cell><cell r="AE1978" t="str"><v>Facebook</v></cell><cell r="AF1978"><v>3654128</v></cell><cell r="AG1978" t="str"><v>Facebook»AZR»1x1»NA»EGV»ALL»DYN»AUT»D»All»SS»NA»Free Acc CTC - T2 - EN</v></cell><cell r="AH1978"><v>223691840</v></cell><cell r="AI1978" t="str"><v>AzurePlatform_FBCTCBrandinMotion_CAN_12s_ISV_PLAT_English_Trial_Standard_STAN_TN_T2_1</v></cell><cell r="AJ1978"><v>102902950</v></cell></row><row r="1979"><cell r="C1979" t="str"><v>43296Facebook»AZR»1x1»NA»EGV»ALL»DYN»AUT»D»All»SS»NA»Free Acc CTC - T2 - FR</v></cell><cell r="D1979" t="str"><v>43296223691798</v></cell><cell r="E1979" t="str"><v>432961029163472 - FR</v></cell><cell r="F1979" t="str"><v>DCM</v></cell><cell r="G1979" t="str"><v>https://signup.azure.com/</v></cell></row><row r="1979"><cell r="K1979" t="str"><v>July</v></cell><cell r="L1979"><v>43302</v></cell><cell r="M1979" t="str"><v>Tier 1</v></cell><cell r="N1979" t="str"><v>North America</v></cell><cell r="O1979" t="str"><v>Canada</v></cell><cell r="P1979" t="str"><v>Trial</v></cell><cell r="Q1979" t="str"><v>Social</v></cell><cell r="R1979" t="str"><v>Azure</v></cell><cell r="S1979" t="str"><v>Apps & Infra</v></cell><cell r="T1979" t="str"><v>Developers & ITI's</v></cell><cell r="U1979" t="str"><v>AZR</v></cell><cell r="V1979" t="str"><v>Audience Targeting</v></cell><cell r="W1979" t="str"><v>Engagement Video</v></cell><cell r="X1979" t="str"><v>1x1</v></cell></row><row r="1979"><cell r="AA1979"><v>43296</v></cell><cell r="AB1979" t="str"><v>CAN_gaPMG_AZR_AZR_Q1_19_Trial-Social</v></cell><cell r="AC1979"><v>21337220</v></cell><cell r="AD1979"><v>720192</v></cell><cell r="AE1979" t="str"><v>Facebook</v></cell><cell r="AF1979"><v>3654128</v></cell><cell r="AG1979" t="str"><v>Facebook»AZR»1x1»NA»EGV»ALL»DYN»AUT»D»All»SS»NA»Free Acc CTC - T2 - FR</v></cell><cell r="AH1979"><v>223691798</v></cell><cell r="AI1979" t="str"><v>AzurePlatform_FBCTCBrandinMotion_CAN_12s_ISV_PLAT_FR_Trial_Standard_STAN_TN_T2_1</v></cell><cell r="AJ1979"><v>102916347</v></cell></row><row r="1980"><cell r="C1980" t="str"><v>43296Facebook»AZR»1x1»NA»EGV»ALL»DYN»AUT»D»All»SS»NA»Free Acc CTC - T4 - EN</v></cell><cell r="D1980" t="str"><v>43296223691837</v></cell><cell r="E1980" t="str"><v>432961030533144 - EN</v></cell><cell r="F1980" t="str"><v>DCM</v></cell><cell r="G1980" t="str"><v>https://signup.azure.com/</v></cell></row><row r="1980"><cell r="K1980" t="str"><v>July</v></cell><cell r="L1980"><v>43302</v></cell><cell r="M1980" t="str"><v>Tier 1</v></cell><cell r="N1980" t="str"><v>North America</v></cell><cell r="O1980" t="str"><v>Canada</v></cell><cell r="P1980" t="str"><v>Trial</v></cell><cell r="Q1980" t="str"><v>Social</v></cell><cell r="R1980" t="str"><v>Azure</v></cell><cell r="S1980" t="str"><v>Apps & Infra</v></cell><cell r="T1980" t="str"><v>Developers & ITI's</v></cell><cell r="U1980" t="str"><v>AZR</v></cell><cell r="V1980" t="str"><v>Audience Targeting</v></cell><cell r="W1980" t="str"><v>Engagement Video</v></cell><cell r="X1980" t="str"><v>1x1</v></cell></row><row r="1980"><cell r="AA1980"><v>43296</v></cell><cell r="AB1980" t="str"><v>CAN_gaPMG_AZR_AZR_Q1_19_Trial-Social</v></cell><cell r="AC1980"><v>21337220</v></cell><cell r="AD1980"><v>720192</v></cell><cell r="AE1980" t="str"><v>Facebook</v></cell><cell r="AF1980"><v>3654128</v></cell><cell r="AG1980" t="str"><v>Facebook»AZR»1x1»NA»EGV»ALL»DYN»AUT»D»All»SS»NA»Free Acc CTC - T4 - EN</v></cell><cell r="AH1980"><v>223691837</v></cell><cell r="AI1980" t="str"><v>AzurePlatform_FBCTCBenefit2inMotion_CAN_14s_ISV_PLAT_English_Trial_Standard_STAN_TN_T4_1</v></cell><cell r="AJ1980"><v>103053314</v></cell></row><row r="1981"><cell r="C1981" t="str"><v>43296Facebook»AZR»1x1»SocialBan»NA»ALL»DYN»AUT»D»All»SS»NA»Free Acc Refresh - T1 - EN</v></cell><cell r="D1981" t="str"><v>43296223691804</v></cell><cell r="E1981" t="str"><v>432961030587171 - EN</v></cell><cell r="F1981" t="str"><v>DCM</v></cell><cell r="G1981" t="str"><v>https://azure.microsoft.com/en-CA/free/search/</v></cell></row><row r="1981"><cell r="K1981" t="str"><v>July</v></cell><cell r="L1981"><v>43302</v></cell><cell r="M1981" t="str"><v>Tier 1</v></cell><cell r="N1981" t="str"><v>North America</v></cell><cell r="O1981" t="str"><v>Canada</v></cell><cell r="P1981" t="str"><v>Trial</v></cell><cell r="Q1981" t="str"><v>Social</v></cell><cell r="R1981" t="str"><v>Azure</v></cell><cell r="S1981" t="str"><v>Apps & Infra</v></cell><cell r="T1981" t="str"><v>Developers & ITI's</v></cell><cell r="U1981" t="str"><v>AZR</v></cell><cell r="V1981" t="str"><v>Audience Targeting</v></cell><cell r="W1981" t="str"><v>NotApplicable</v></cell><cell r="X1981" t="str"><v>1x1</v></cell></row><row r="1981"><cell r="AA1981"><v>43296</v></cell><cell r="AB1981" t="str"><v>CAN_gaPMG_AZR_AZR_Q1_19_Trial-Social</v></cell><cell r="AC1981"><v>21337220</v></cell><cell r="AD1981"><v>720192</v></cell><cell r="AE1981" t="str"><v>Facebook</v></cell><cell r="AF1981"><v>3654128</v></cell><cell r="AG1981" t="str"><v>Facebook»AZR»1x1»SocialBan»NA»ALL»DYN»AUT»D»All»SS»NA»Free Acc Refresh - T1 - EN</v></cell><cell r="AH1981"><v>223691804</v></cell><cell r="AI1981" t="str"><v>AzurePlatform_FreeAcctAppsFACEBOOKLifestyleChA_CAN_1200x628_SOC_PLAT_EN_Trial_Standard_NA_SU_T1_1.png</v></cell><cell r="AJ1981"><v>103058717</v></cell></row><row r="1982"><cell r="C1982" t="str"><v>43296Facebook»AZR»1x1»SocialBan»NA»ALL»DYN»AUT»D»All»SS»NA»Free Acc Refresh - T1 - FR</v></cell><cell r="D1982" t="str"><v>43296223691762</v></cell><cell r="E1982" t="str"><v>432961029029741 - FR</v></cell><cell r="F1982" t="str"><v>DCM</v></cell><cell r="G1982" t="str"><v>https://azure.microsoft.com/fr-ca/free/search/</v></cell></row><row r="1982"><cell r="K1982" t="str"><v>July</v></cell><cell r="L1982"><v>43302</v></cell><cell r="M1982" t="str"><v>Tier 1</v></cell><cell r="N1982" t="str"><v>North America</v></cell><cell r="O1982" t="str"><v>Canada</v></cell><cell r="P1982" t="str"><v>Trial</v></cell><cell r="Q1982" t="str"><v>Social</v></cell><cell r="R1982" t="str"><v>Azure</v></cell><cell r="S1982" t="str"><v>Apps & Infra</v></cell><cell r="T1982" t="str"><v>Developers & ITI's</v></cell><cell r="U1982" t="str"><v>AZR</v></cell><cell r="V1982" t="str"><v>Audience Targeting</v></cell><cell r="W1982" t="str"><v>NotApplicable</v></cell><cell r="X1982" t="str"><v>1x1</v></cell></row><row r="1982"><cell r="AA1982"><v>43296</v></cell><cell r="AB1982" t="str"><v>CAN_gaPMG_AZR_AZR_Q1_19_Trial-Social</v></cell><cell r="AC1982"><v>21337220</v></cell><cell r="AD1982"><v>720192</v></cell><cell r="AE1982" t="str"><v>Facebook</v></cell><cell r="AF1982"><v>3654128</v></cell><cell r="AG1982" t="str"><v>Facebook»AZR»1x1»SocialBan»NA»ALL»DYN»AUT»D»All»SS»NA»Free Acc Refresh - T1 - FR</v></cell><cell r="AH1982"><v>223691762</v></cell><cell r="AI1982" t="str"><v>AzurePlatform_FreeAcctAppsFACEBOOKLifestyleChA_CAN_1200x628_SOC_PLAT_FR_Trial_Standard_NA_SU_T1_1.png</v></cell><cell r="AJ1982"><v>102902974</v></cell></row><row r="1983"><cell r="C1983" t="str"><v>43296Facebook»AZR»1x1»SocialBan»NA»ALL»DYN»AUT»D»All»SS»NA»Free Acc Refresh - T2 - EN</v></cell><cell r="D1983" t="str"><v>43296223691810</v></cell><cell r="E1983" t="str"><v>432961030587112 - EN</v></cell><cell r="F1983" t="str"><v>DCM</v></cell><cell r="G1983" t="str"><v>https://azure.microsoft.com/en-CA/free/search/</v></cell></row><row r="1983"><cell r="K1983" t="str"><v>July</v></cell><cell r="L1983"><v>43302</v></cell><cell r="M1983" t="str"><v>Tier 1</v></cell><cell r="N1983" t="str"><v>North America</v></cell><cell r="O1983" t="str"><v>Canada</v></cell><cell r="P1983" t="str"><v>Trial</v></cell><cell r="Q1983" t="str"><v>Social</v></cell><cell r="R1983" t="str"><v>Azure</v></cell><cell r="S1983" t="str"><v>Apps & Infra</v></cell><cell r="T1983" t="str"><v>Developers & ITI's</v></cell><cell r="U1983" t="str"><v>AZR</v></cell><cell r="V1983" t="str"><v>Audience Targeting</v></cell><cell r="W1983" t="str"><v>NotApplicable</v></cell><cell r="X1983" t="str"><v>1x1</v></cell></row><row r="1983"><cell r="AA1983"><v>43296</v></cell><cell r="AB1983" t="str"><v>CAN_gaPMG_AZR_AZR_Q1_19_Trial-Social</v></cell><cell r="AC1983"><v>21337220</v></cell><cell r="AD1983"><v>720192</v></cell><cell r="AE1983" t="str"><v>Facebook</v></cell><cell r="AF1983"><v>3654128</v></cell><cell r="AG1983" t="str"><v>Facebook»AZR»1x1»SocialBan»NA»ALL»DYN»AUT»D»All»SS»NA»Free Acc Refresh - T2 - EN</v></cell><cell r="AH1983"><v>223691810</v></cell><cell r="AI1983" t="str"><v>AzurePlatform_FreeAcctAppsFACEBOOKDeviceChB_CAN_1200x628_SOC_PLAT_EN_Trial_Standard_NA_SU_T2_1.png</v></cell><cell r="AJ1983"><v>103058711</v></cell></row><row r="1984"><cell r="C1984" t="str"><v>43296Facebook»AZR»1x1»SocialBan»NA»ALL»DYN»AUT»D»All»SS»NA»Free Acc Refresh - T2 - FR</v></cell><cell r="D1984" t="str"><v>43296223691768</v></cell><cell r="E1984" t="str"><v>432961029029712 - FR</v></cell><cell r="F1984" t="str"><v>DCM</v></cell><cell r="G1984" t="str"><v>https://azure.microsoft.com/fr-ca/free/search/</v></cell></row><row r="1984"><cell r="K1984" t="str"><v>July</v></cell><cell r="L1984"><v>43302</v></cell><cell r="M1984" t="str"><v>Tier 1</v></cell><cell r="N1984" t="str"><v>North America</v></cell><cell r="O1984" t="str"><v>Canada</v></cell><cell r="P1984" t="str"><v>Trial</v></cell><cell r="Q1984" t="str"><v>Social</v></cell><cell r="R1984" t="str"><v>Azure</v></cell><cell r="S1984" t="str"><v>Apps & Infra</v></cell><cell r="T1984" t="str"><v>Developers & ITI's</v></cell><cell r="U1984" t="str"><v>AZR</v></cell><cell r="V1984" t="str"><v>Audience Targeting</v></cell><cell r="W1984" t="str"><v>NotApplicable</v></cell><cell r="X1984" t="str"><v>1x1</v></cell></row><row r="1984"><cell r="AA1984"><v>43296</v></cell><cell r="AB1984" t="str"><v>CAN_gaPMG_AZR_AZR_Q1_19_Trial-Social</v></cell><cell r="AC1984"><v>21337220</v></cell><cell r="AD1984"><v>720192</v></cell><cell r="AE1984" t="str"><v>Facebook</v></cell><cell r="AF1984"><v>3654128</v></cell><cell r="AG1984" t="str"><v>Facebook»AZR»1x1»SocialBan»NA»ALL»DYN»AUT»D»All»SS»NA»Free Acc Refresh - T2 - FR</v></cell><cell r="AH1984"><v>223691768</v></cell><cell r="AI1984" t="str"><v>AzurePlatform_FreeAcctAppsFACEBOOKDeviceChB_CAN_1200x628_SOC_PLAT_FR_Trial_Standard_NA_SU_T2_1.png</v></cell><cell r="AJ1984"><v>102902971</v></cell></row><row r="1985"><cell r="C1985" t="str"><v>43296Facebook»AZR»1x1»SocialBan»NA»ALL»DYN»AUT»D»All»SS»NA»Free Acc Refresh - T3 - FR</v></cell><cell r="D1985" t="str"><v>43296223691765</v></cell><cell r="E1985" t="str"><v>432961030533323 - FR</v></cell><cell r="F1985" t="str"><v>DCM</v></cell><cell r="G1985" t="str"><v>https://azure.microsoft.com/fr-ca/free/search/</v></cell></row><row r="1985"><cell r="K1985" t="str"><v>July</v></cell><cell r="L1985"><v>43302</v></cell><cell r="M1985" t="str"><v>Tier 1</v></cell><cell r="N1985" t="str"><v>North America</v></cell><cell r="O1985" t="str"><v>Canada</v></cell><cell r="P1985" t="str"><v>Trial</v></cell><cell r="Q1985" t="str"><v>Social</v></cell><cell r="R1985" t="str"><v>Azure</v></cell><cell r="S1985" t="str"><v>Apps & Infra</v></cell><cell r="T1985" t="str"><v>Developers & ITI's</v></cell><cell r="U1985" t="str"><v>AZR</v></cell><cell r="V1985" t="str"><v>Audience Targeting</v></cell><cell r="W1985" t="str"><v>NotApplicable</v></cell><cell r="X1985" t="str"><v>1x1</v></cell></row><row r="1985"><cell r="AA1985"><v>43296</v></cell><cell r="AB1985" t="str"><v>CAN_gaPMG_AZR_AZR_Q1_19_Trial-Social</v></cell><cell r="AC1985"><v>21337220</v></cell><cell r="AD1985"><v>720192</v></cell><cell r="AE1985" t="str"><v>Facebook</v></cell><cell r="AF1985"><v>3654128</v></cell><cell r="AG1985" t="str"><v>Facebook»AZR»1x1»SocialBan»NA»ALL»DYN»AUT»D»All»SS»NA»Free Acc Refresh - T3 - FR</v></cell><cell r="AH1985"><v>223691765</v></cell><cell r="AI1985" t="str"><v>AzurePlatform_FreeAcctAppsFACEBOOKIllustrationChC_CAN_1200x628_SOC_PLAT_FR_Trial_Standard_NA_SU_T3_1.png</v></cell><cell r="AJ1985"><v>103053332</v></cell></row><row r="1986"><cell r="C1986" t="str"><v>43296Facebook»AZR»1x1»SocialBan»NA»ALL»DYN»AUT»D»All»SS»NA»Free Acc Refresh - T4 - EN</v></cell><cell r="D1986" t="str"><v>43296223691813</v></cell><cell r="E1986" t="str"><v>432961030533204 - EN</v></cell><cell r="F1986" t="str"><v>DCM</v></cell><cell r="G1986" t="str"><v>https://azure.microsoft.com/en-CA/free/search/</v></cell></row><row r="1986"><cell r="K1986" t="str"><v>July</v></cell><cell r="L1986"><v>43302</v></cell><cell r="M1986" t="str"><v>Tier 1</v></cell><cell r="N1986" t="str"><v>North America</v></cell><cell r="O1986" t="str"><v>Canada</v></cell><cell r="P1986" t="str"><v>Trial</v></cell><cell r="Q1986" t="str"><v>Social</v></cell><cell r="R1986" t="str"><v>Azure</v></cell><cell r="S1986" t="str"><v>Apps & Infra</v></cell><cell r="T1986" t="str"><v>Developers & ITI's</v></cell><cell r="U1986" t="str"><v>AZR</v></cell><cell r="V1986" t="str"><v>Audience Targeting</v></cell><cell r="W1986" t="str"><v>NotApplicable</v></cell><cell r="X1986" t="str"><v>1x1</v></cell></row><row r="1986"><cell r="AA1986"><v>43296</v></cell><cell r="AB1986" t="str"><v>CAN_gaPMG_AZR_AZR_Q1_19_Trial-Social</v></cell><cell r="AC1986"><v>21337220</v></cell><cell r="AD1986"><v>720192</v></cell><cell r="AE1986" t="str"><v>Facebook</v></cell><cell r="AF1986"><v>3654128</v></cell><cell r="AG1986" t="str"><v>Facebook»AZR»1x1»SocialBan»NA»ALL»DYN»AUT»D»All»SS»NA»Free Acc Refresh - T4 - EN</v></cell><cell r="AH1986"><v>223691813</v></cell><cell r="AI1986" t="str"><v>AzurePlatform_FreeAcctAppsFACEBOOK200CreditChD_CAN_1200x628_SOC_PLAT_EN_Trial_Standard_NA_SU_T4_1.png</v></cell><cell r="AJ1986"><v>103053320</v></cell></row><row r="1987"><cell r="C1987" t="str"><v>43296Facebook»AZR»1x1»SocialBan»NA»ALL»DYN»AUT»D»All»SS»NA»Free Acc Refresh - T5 - EN</v></cell><cell r="D1987" t="str"><v>43296223691816</v></cell><cell r="E1987" t="str"><v>432961029163415 - EN</v></cell><cell r="F1987" t="str"><v>DCM</v></cell><cell r="G1987" t="str"><v>https://azure.microsoft.com/en-CA/free/search/</v></cell></row><row r="1987"><cell r="K1987" t="str"><v>July</v></cell><cell r="L1987"><v>43302</v></cell><cell r="M1987" t="str"><v>Tier 1</v></cell><cell r="N1987" t="str"><v>North America</v></cell><cell r="O1987" t="str"><v>Canada</v></cell><cell r="P1987" t="str"><v>Trial</v></cell><cell r="Q1987" t="str"><v>Social</v></cell><cell r="R1987" t="str"><v>Azure</v></cell><cell r="S1987" t="str"><v>Apps & Infra</v></cell><cell r="T1987" t="str"><v>Developers & ITI's</v></cell><cell r="U1987" t="str"><v>AZR</v></cell><cell r="V1987" t="str"><v>Audience Targeting</v></cell><cell r="W1987" t="str"><v>NotApplicable</v></cell><cell r="X1987" t="str"><v>1x1</v></cell></row><row r="1987"><cell r="AA1987"><v>43296</v></cell><cell r="AB1987" t="str"><v>CAN_gaPMG_AZR_AZR_Q1_19_Trial-Social</v></cell><cell r="AC1987"><v>21337220</v></cell><cell r="AD1987"><v>720192</v></cell><cell r="AE1987" t="str"><v>Facebook</v></cell><cell r="AF1987"><v>3654128</v></cell><cell r="AG1987" t="str"><v>Facebook»AZR»1x1»SocialBan»NA»ALL»DYN»AUT»D»All»SS»NA»Free Acc Refresh - T5 - EN</v></cell><cell r="AH1987"><v>223691816</v></cell><cell r="AI1987" t="str"><v>AzurePlatform_FreeAcctAppsFACEBOOK12monthsChE_CAN_1200x628_SOC_PLAT_EN_Trial_Standard_NA_SU_T5_1.png</v></cell><cell r="AJ1987"><v>102916341</v></cell></row><row r="1988"><cell r="C1988" t="str"><v>43296Facebook»AZR»1x1»SocialBan»NA»ALL»DYN»AUT»D»All»SS»NA»Free Acc Refresh - T5 - FR</v></cell><cell r="D1988" t="str"><v>43296223691774</v></cell><cell r="E1988" t="str"><v>432961029163565 - FR</v></cell><cell r="F1988" t="str"><v>DCM</v></cell><cell r="G1988" t="str"><v>https://azure.microsoft.com/fr-ca/free/search/</v></cell></row><row r="1988"><cell r="K1988" t="str"><v>July</v></cell><cell r="L1988"><v>43302</v></cell><cell r="M1988" t="str"><v>Tier 1</v></cell><cell r="N1988" t="str"><v>North America</v></cell><cell r="O1988" t="str"><v>Canada</v></cell><cell r="P1988" t="str"><v>Trial</v></cell><cell r="Q1988" t="str"><v>Social</v></cell><cell r="R1988" t="str"><v>Azure</v></cell><cell r="S1988" t="str"><v>Apps & Infra</v></cell><cell r="T1988" t="str"><v>Developers & ITI's</v></cell><cell r="U1988" t="str"><v>AZR</v></cell><cell r="V1988" t="str"><v>Audience Targeting</v></cell><cell r="W1988" t="str"><v>NotApplicable</v></cell><cell r="X1988" t="str"><v>1x1</v></cell></row><row r="1988"><cell r="AA1988"><v>43296</v></cell><cell r="AB1988" t="str"><v>CAN_gaPMG_AZR_AZR_Q1_19_Trial-Social</v></cell><cell r="AC1988"><v>21337220</v></cell><cell r="AD1988"><v>720192</v></cell><cell r="AE1988" t="str"><v>Facebook</v></cell><cell r="AF1988"><v>3654128</v></cell><cell r="AG1988" t="str"><v>Facebook»AZR»1x1»SocialBan»NA»ALL»DYN»AUT»D»All»SS»NA»Free Acc Refresh - T5 - FR</v></cell><cell r="AH1988"><v>223691774</v></cell><cell r="AI1988" t="str"><v>AzurePlatform_FreeAcctAppsFACEBOOK12monthsChE_CAN_1200x628_SOC_PLAT_FR_Trial_Standard_NA_SU_T5_1.png</v></cell><cell r="AJ1988"><v>102916356</v></cell></row><row r="1989"><cell r="C1989" t="str"><v>43296Facebook»AZR»1x1»SocialBan»NA»ALL»DYN»RT»D»All»SS»NA» Free Account Retargeting OSS - T1 - EN</v></cell><cell r="D1989" t="str"><v>43296223691828</v></cell><cell r="E1989" t="str"><v>432961029029561 - EN</v></cell><cell r="F1989" t="str"><v>DCM</v></cell><cell r="G1989" t="str"><v>https://azure.microsoft.com/en-ca/free/open-source/search/</v></cell></row><row r="1989"><cell r="K1989" t="str"><v>July</v></cell><cell r="L1989"><v>43302</v></cell><cell r="M1989" t="str"><v>Tier 1</v></cell><cell r="N1989" t="str"><v>North America</v></cell><cell r="O1989" t="str"><v>Canada</v></cell><cell r="P1989" t="str"><v>Trial</v></cell><cell r="Q1989" t="str"><v>Social</v></cell><cell r="R1989" t="str"><v>Azure</v></cell><cell r="S1989" t="str"><v>Apps & Infra</v></cell><cell r="T1989" t="str"><v>Developers & ITI's</v></cell><cell r="U1989" t="str"><v>AZR</v></cell><cell r="V1989" t="str"><v>Retargeting</v></cell><cell r="W1989" t="str"><v>NotApplicable</v></cell><cell r="X1989" t="str"><v>1x1</v></cell></row><row r="1989"><cell r="AA1989"><v>43296</v></cell><cell r="AB1989" t="str"><v>CAN_gaPMG_AZR_AZR_Q1_19_Trial-Social</v></cell><cell r="AC1989"><v>21337220</v></cell><cell r="AD1989"><v>720192</v></cell><cell r="AE1989" t="str"><v>Facebook</v></cell><cell r="AF1989"><v>3654128</v></cell><cell r="AG1989" t="str"><v>Facebook»AZR»1x1»SocialBan»NA»ALL»DYN»RT»D»All»SS»NA» Free Account Retargeting OSS - T1 - EN</v></cell><cell r="AH1989"><v>223691828</v></cell><cell r="AI1989" t="str"><v>AzurePlatform_FreeAcctRetargetingOSSFB-Text-ChF_CAN_1200x628_SOC_Plat_EN_Free Account_Standard_NA_SU_T1_1</v></cell><cell r="AJ1989"><v>102902956</v></cell></row><row r="1990"><cell r="C1990" t="str"><v>43296Facebook»AZR»1x1»SocialBan»NA»ALL»DYN»RT»D»All»SS»NA» Free Account Retargeting OSS - T1 - FR</v></cell><cell r="D1990" t="str"><v>43296223691786</v></cell><cell r="E1990" t="str"><v>432961030587201 - FR</v></cell><cell r="F1990" t="str"><v>DCM</v></cell><cell r="G1990" t="str"><v>https://azure.microsoft.com/fr-ca/free/open-source/search/</v></cell></row><row r="1990"><cell r="K1990" t="str"><v>July</v></cell><cell r="L1990"><v>43302</v></cell><cell r="M1990" t="str"><v>Tier 1</v></cell><cell r="N1990" t="str"><v>North America</v></cell><cell r="O1990" t="str"><v>Canada</v></cell><cell r="P1990" t="str"><v>Trial</v></cell><cell r="Q1990" t="str"><v>Social</v></cell><cell r="R1990" t="str"><v>Azure</v></cell><cell r="S1990" t="str"><v>Apps & Infra</v></cell><cell r="T1990" t="str"><v>Developers & ITI's</v></cell><cell r="U1990" t="str"><v>AZR</v></cell><cell r="V1990" t="str"><v>Retargeting</v></cell><cell r="W1990" t="str"><v>NotApplicable</v></cell><cell r="X1990" t="str"><v>1x1</v></cell></row><row r="1990"><cell r="AA1990"><v>43296</v></cell><cell r="AB1990" t="str"><v>CAN_gaPMG_AZR_AZR_Q1_19_Trial-Social</v></cell><cell r="AC1990"><v>21337220</v></cell><cell r="AD1990"><v>720192</v></cell><cell r="AE1990" t="str"><v>Facebook</v></cell><cell r="AF1990"><v>3654128</v></cell><cell r="AG1990" t="str"><v>Facebook»AZR»1x1»SocialBan»NA»ALL»DYN»RT»D»All»SS»NA» Free Account Retargeting OSS - T1 - FR</v></cell><cell r="AH1990"><v>223691786</v></cell><cell r="AI1990" t="str"><v>AzurePlatform_FreeAcctRetargetingOSSFB-Text-ChF_CAN_1200x628_SOC_Plat_FR_Free Account_Standard_NA_SU_T1_1</v></cell><cell r="AJ1990"><v>103058720</v></cell></row><row r="1991"><cell r="C1991" t="str"><v>43296Facebook»AZR»1x1»SocialBan»NA»ALL»DYN»RT»D»All»SS»NA» Free Account Retargeting OSS - T2 - EN</v></cell><cell r="D1991" t="str"><v>43296223691831</v></cell><cell r="E1991" t="str"><v>432961029138002 - EN</v></cell><cell r="F1991" t="str"><v>DCM</v></cell><cell r="G1991" t="str"><v>https://azure.microsoft.com/en-ca/free/open-source/search/</v></cell></row><row r="1991"><cell r="K1991" t="str"><v>July</v></cell><cell r="L1991"><v>43302</v></cell><cell r="M1991" t="str"><v>Tier 1</v></cell><cell r="N1991" t="str"><v>North America</v></cell><cell r="O1991" t="str"><v>Canada</v></cell><cell r="P1991" t="str"><v>Trial</v></cell><cell r="Q1991" t="str"><v>Social</v></cell><cell r="R1991" t="str"><v>Azure</v></cell><cell r="S1991" t="str"><v>Apps & Infra</v></cell><cell r="T1991" t="str"><v>Developers & ITI's</v></cell><cell r="U1991" t="str"><v>AZR</v></cell><cell r="V1991" t="str"><v>Retargeting</v></cell><cell r="W1991" t="str"><v>NotApplicable</v></cell><cell r="X1991" t="str"><v>1x1</v></cell></row><row r="1991"><cell r="AA1991"><v>43296</v></cell><cell r="AB1991" t="str"><v>CAN_gaPMG_AZR_AZR_Q1_19_Trial-Social</v></cell><cell r="AC1991"><v>21337220</v></cell><cell r="AD1991"><v>720192</v></cell><cell r="AE1991" t="str"><v>Facebook</v></cell><cell r="AF1991"><v>3654128</v></cell><cell r="AG1991" t="str"><v>Facebook»AZR»1x1»SocialBan»NA»ALL»DYN»RT»D»All»SS»NA» Free Account Retargeting OSS - T2 - EN</v></cell><cell r="AH1991"><v>223691831</v></cell><cell r="AI1991" t="str"><v>AzurePlatform_FreeAcctRetargetingOSSFB-Logos-ChG_CAN_1200x628_SOC_Plat_EN_Free Account_Standard_NA_SU_T2_1</v></cell><cell r="AJ1991"><v>102913800</v></cell></row><row r="1992"><cell r="C1992" t="str"><v>43296Facebook»AZR»1x1»SocialBan»NA»ALL»DYN»RT»D»All»SS»NA»Free Account Retargeting Generic - T2 - EN</v></cell><cell r="D1992" t="str"><v>43296223691834</v></cell><cell r="E1992" t="str"><v>432961029029532 - EN</v></cell><cell r="F1992" t="str"><v>DCM</v></cell><cell r="G1992" t="str"><v>https://azure.microsoft.com/en-CA/free/search/</v></cell></row><row r="1992"><cell r="K1992" t="str"><v>July</v></cell><cell r="L1992"><v>43302</v></cell><cell r="M1992" t="str"><v>Tier 1</v></cell><cell r="N1992" t="str"><v>North America</v></cell><cell r="O1992" t="str"><v>Canada</v></cell><cell r="P1992" t="str"><v>Trial</v></cell><cell r="Q1992" t="str"><v>Social</v></cell><cell r="R1992" t="str"><v>Azure</v></cell><cell r="S1992" t="str"><v>Apps & Infra</v></cell><cell r="T1992" t="str"><v>Developers & ITI's</v></cell><cell r="U1992" t="str"><v>AZR</v></cell><cell r="V1992" t="str"><v>Retargeting</v></cell><cell r="W1992" t="str"><v>NotApplicable</v></cell><cell r="X1992" t="str"><v>1x1</v></cell></row><row r="1992"><cell r="AA1992"><v>43296</v></cell><cell r="AB1992" t="str"><v>CAN_gaPMG_AZR_AZR_Q1_19_Trial-Social</v></cell><cell r="AC1992"><v>21337220</v></cell><cell r="AD1992"><v>720192</v></cell><cell r="AE1992" t="str"><v>Facebook</v></cell><cell r="AF1992"><v>3654128</v></cell><cell r="AG1992" t="str"><v>Facebook»AZR»1x1»SocialBan»NA»ALL»DYN»RT»D»All»SS»NA»Free Account Retargeting Generic - T2 - EN</v></cell><cell r="AH1992"><v>223691834</v></cell><cell r="AI1992" t="str"><v>AzurePlatform_FreeAcctRetargetingFB-GlobalAlt-ChB_CAN_1200x628_SOC_Plat_EN_Free Account_Standard_NA_SU_T2_1</v></cell><cell r="AJ1992"><v>102902953</v></cell></row><row r="1993"><cell r="C1993" t="str"><v>43296Facebook»AZR»1x1»SocialBan»NA»ALL»DYN»RT»D»All»SS»NA»Free Account Retargeting Generic - T3 - EN</v></cell><cell r="D1993" t="str"><v>43296223691819</v></cell><cell r="E1993" t="str"><v>432961029006823 - EN</v></cell><cell r="F1993" t="str"><v>DCM</v></cell><cell r="G1993" t="str"><v>https://azure.microsoft.com/en-CA/free/search/</v></cell></row><row r="1993"><cell r="K1993" t="str"><v>July</v></cell><cell r="L1993"><v>43302</v></cell><cell r="M1993" t="str"><v>Tier 1</v></cell><cell r="N1993" t="str"><v>North America</v></cell><cell r="O1993" t="str"><v>Canada</v></cell><cell r="P1993" t="str"><v>Trial</v></cell><cell r="Q1993" t="str"><v>Social</v></cell><cell r="R1993" t="str"><v>Azure</v></cell><cell r="S1993" t="str"><v>Apps & Infra</v></cell><cell r="T1993" t="str"><v>Developers & ITI's</v></cell><cell r="U1993" t="str"><v>AZR</v></cell><cell r="V1993" t="str"><v>Retargeting</v></cell><cell r="W1993" t="str"><v>NotApplicable</v></cell><cell r="X1993" t="str"><v>1x1</v></cell></row><row r="1993"><cell r="AA1993"><v>43296</v></cell><cell r="AB1993" t="str"><v>CAN_gaPMG_AZR_AZR_Q1_19_Trial-Social</v></cell><cell r="AC1993"><v>21337220</v></cell><cell r="AD1993"><v>720192</v></cell><cell r="AE1993" t="str"><v>Facebook</v></cell><cell r="AF1993"><v>3654128</v></cell><cell r="AG1993" t="str"><v>Facebook»AZR»1x1»SocialBan»NA»ALL»DYN»RT»D»All»SS»NA»Free Account Retargeting Generic - T3 - EN</v></cell><cell r="AH1993"><v>223691819</v></cell><cell r="AI1993" t="str"><v>AzurePlatform_FreeAcctRetargetingFB-Animated-ChC_CAN_1200x628_SOC_Plat_EN_Free Account_Standard_ANI_SU_T3_1</v></cell><cell r="AJ1993"><v>102900682</v></cell></row><row r="1994"><cell r="C1994" t="str"><v>43296Facebook»AZR»1x1»SocialBan»NA»ALL»DYN»RT»D»All»SS»NA»Free Account Retargeting VM - T1 - EN</v></cell><cell r="D1994" t="str"><v>43296223691825</v></cell><cell r="E1994" t="str"><v>432961029163381 - EN</v></cell><cell r="F1994" t="str"><v>DCM</v></cell><cell r="G1994" t="str"><v>https://azure.microsoft.com/en-ca/free/virtual-machines/search/</v></cell></row><row r="1994"><cell r="K1994" t="str"><v>July</v></cell><cell r="L1994"><v>43302</v></cell><cell r="M1994" t="str"><v>Tier 1</v></cell><cell r="N1994" t="str"><v>North America</v></cell><cell r="O1994" t="str"><v>Canada</v></cell><cell r="P1994" t="str"><v>Trial</v></cell><cell r="Q1994" t="str"><v>Social</v></cell><cell r="R1994" t="str"><v>Azure</v></cell><cell r="S1994" t="str"><v>Apps & Infra</v></cell><cell r="T1994" t="str"><v>Developers & ITI's</v></cell><cell r="U1994" t="str"><v>AZR</v></cell><cell r="V1994" t="str"><v>Retargeting</v></cell><cell r="W1994" t="str"><v>NotApplicable</v></cell><cell r="X1994" t="str"><v>1x1</v></cell></row><row r="1994"><cell r="AA1994"><v>43296</v></cell><cell r="AB1994" t="str"><v>CAN_gaPMG_AZR_AZR_Q1_19_Trial-Social</v></cell><cell r="AC1994"><v>21337220</v></cell><cell r="AD1994"><v>720192</v></cell><cell r="AE1994" t="str"><v>Facebook</v></cell><cell r="AF1994"><v>3654128</v></cell><cell r="AG1994" t="str"><v>Facebook»AZR»1x1»SocialBan»NA»ALL»DYN»RT»D»All»SS»NA»Free Account Retargeting VM - T1 - EN</v></cell><cell r="AH1994"><v>223691825</v></cell><cell r="AI1994" t="str"><v>AzurePlatform_FreeAcctRetargetingVMFB-750Hrs-ChD_CAN_1200x628_SOC_Plat_EN_Free Account_Standard_NA_SU_T1_1</v></cell><cell r="AJ1994"><v>102916338</v></cell></row><row r="1995"><cell r="C1995" t="str"><v>43296Facebook»AZR»1x1»SocialBan»NA»ALL»DYN»RT»D»All»SS»NA»Free Account Retargeting VM - T2 - EN</v></cell><cell r="D1995" t="str"><v>43296223691822</v></cell><cell r="E1995" t="str"><v>432961030587082 - EN</v></cell><cell r="F1995" t="str"><v>DCM</v></cell><cell r="G1995" t="str"><v>https://azure.microsoft.com/en-ca/free/virtual-machines/search/</v></cell></row><row r="1995"><cell r="K1995" t="str"><v>July</v></cell><cell r="L1995"><v>43302</v></cell><cell r="M1995" t="str"><v>Tier 1</v></cell><cell r="N1995" t="str"><v>North America</v></cell><cell r="O1995" t="str"><v>Canada</v></cell><cell r="P1995" t="str"><v>Trial</v></cell><cell r="Q1995" t="str"><v>Social</v></cell><cell r="R1995" t="str"><v>Azure</v></cell><cell r="S1995" t="str"><v>Apps & Infra</v></cell><cell r="T1995" t="str"><v>Developers & ITI's</v></cell><cell r="U1995" t="str"><v>AZR</v></cell><cell r="V1995" t="str"><v>Retargeting</v></cell><cell r="W1995" t="str"><v>NotApplicable</v></cell><cell r="X1995" t="str"><v>1x1</v></cell></row><row r="1995"><cell r="AA1995"><v>43296</v></cell><cell r="AB1995" t="str"><v>CAN_gaPMG_AZR_AZR_Q1_19_Trial-Social</v></cell><cell r="AC1995"><v>21337220</v></cell><cell r="AD1995"><v>720192</v></cell><cell r="AE1995" t="str"><v>Facebook</v></cell><cell r="AF1995"><v>3654128</v></cell><cell r="AG1995" t="str"><v>Facebook»AZR»1x1»SocialBan»NA»ALL»DYN»RT»D»All»SS»NA»Free Account Retargeting VM - T2 - EN</v></cell><cell r="AH1995"><v>223691822</v></cell><cell r="AI1995" t="str"><v>AzurePlatform_FreeAcctRetargetingVMFB-OnDemand-ChE_CAN_1200x628_SOC_Plat_EN_Free Account_Standard_NA_SU_T2_1</v></cell><cell r="AJ1995"><v>103058708</v></cell></row><row r="1996"><cell r="C1996" t="str"><v>43296Facebook»AZR»1x1»SocialBan»NA»ALL»DYN»RT»D»All»SS»NA»Free Account Retargeting VM - T2 - FR</v></cell><cell r="D1996" t="str"><v>43296223691780</v></cell><cell r="E1996" t="str"><v>432961030587262 - FR</v></cell><cell r="F1996" t="str"><v>DCM</v></cell><cell r="G1996" t="str"><v>https://azure.microsoft.com/fr-ca/free/virtual-machines/search/</v></cell></row><row r="1996"><cell r="K1996" t="str"><v>July</v></cell><cell r="L1996"><v>43302</v></cell><cell r="M1996" t="str"><v>Tier 1</v></cell><cell r="N1996" t="str"><v>North America</v></cell><cell r="O1996" t="str"><v>Canada</v></cell><cell r="P1996" t="str"><v>Trial</v></cell><cell r="Q1996" t="str"><v>Social</v></cell><cell r="R1996" t="str"><v>Azure</v></cell><cell r="S1996" t="str"><v>Apps & Infra</v></cell><cell r="T1996" t="str"><v>Developers & ITI's</v></cell><cell r="U1996" t="str"><v>AZR</v></cell><cell r="V1996" t="str"><v>Retargeting</v></cell><cell r="W1996" t="str"><v>NotApplicable</v></cell><cell r="X1996" t="str"><v>1x1</v></cell></row><row r="1996"><cell r="AA1996"><v>43296</v></cell><cell r="AB1996" t="str"><v>CAN_gaPMG_AZR_AZR_Q1_19_Trial-Social</v></cell><cell r="AC1996"><v>21337220</v></cell><cell r="AD1996"><v>720192</v></cell><cell r="AE1996" t="str"><v>Facebook</v></cell><cell r="AF1996"><v>3654128</v></cell><cell r="AG1996" t="str"><v>Facebook»AZR»1x1»SocialBan»NA»ALL»DYN»RT»D»All»SS»NA»Free Account Retargeting VM - T2 - FR</v></cell><cell r="AH1996"><v>223691780</v></cell><cell r="AI1996" t="str"><v>AzurePlatform_FreeAcctRetargetingVMFB-OnDemand-ChE_CAN_1200x628_SOC_Plat_FR_Free Account_Standard_NA_SU_T2_1</v></cell><cell r="AJ1996"><v>103058726</v></cell></row><row r="1997"><cell r="C1997" t="str"><v>43296Facebook»DEV-ITP-AZR-FB|CanvasAds|Interesttargeting»1x1»TextLink»CAN»DT»CPM»AUT»W»NA»SS»NA»39684020-11000</v></cell><cell r="D1997" t="str"><v>43296224009494</v></cell><cell r="E1997" t="str"><v>43296103235787-11000</v></cell><cell r="F1997" t="str"><v>DCM</v></cell><cell r="G1997" t="str"><v>https://azure.microsoft.com/de-de/pricing/purchase-options/</v></cell></row><row r="1997"><cell r="K1997" t="str"><v>July</v></cell><cell r="L1997"><v>43302</v></cell><cell r="M1997" t="str"><v>Tier 1</v></cell><cell r="N1997" t="str"><v>EMEA</v></cell><cell r="O1997" t="str"><v>Germany</v></cell><cell r="P1997" t="str"><v>Trial</v></cell><cell r="Q1997" t="str"><v>Social</v></cell><cell r="R1997" t="str"><v>Azure</v></cell><cell r="S1997" t="str"><v>Apps & Infra</v></cell><cell r="T1997" t="str"><v>Developers & ITI's</v></cell><cell r="U1997" t="str"><v>DEV-ITP-AZR-FB|CanvasAds|Interesttargeting</v></cell><cell r="V1997" t="str"><v>Audience Targeting</v></cell><cell r="W1997" t="str"><v>Canvas Ad</v></cell><cell r="X1997" t="str"><v>1x1</v></cell></row><row r="1997"><cell r="AA1997"><v>43296</v></cell><cell r="AB1997" t="str"><v>DEU_gaPMG_AZR_AZR_Q1_19_Trial-Social- 39684</v></cell><cell r="AC1997"><v>21359477</v></cell><cell r="AD1997"><v>720194</v></cell><cell r="AE1997" t="str"><v>Facebook</v></cell><cell r="AF1997"><v>3654128</v></cell><cell r="AG1997" t="str"><v>Facebook»DEV-ITP-AZR-FB|CanvasAds|Interesttargeting»1x1»TextLink»CAN»DT»CPM»AUT»W»NA»SS»NA»39684020-11000</v></cell><cell r="AH1997"><v>224009494</v></cell><cell r="AI1997" t="str"><v>AzurePlatform_FBCTCBasicMotion-BuyNow_DEU_10s_ISV_PLAT_DE_Trial_Standard_STAN_TN_T1_1</v></cell><cell r="AJ1997"><v>103235787</v></cell></row><row r="1998"><cell r="C1998" t="str"><v>43296Facebook»DEV-ITP-AZR-FB|CanvasAds|Interesttargeting»1x1»TextLink»CAN»DT»CPM»AUT»W»NA»SS»NA»39684020-11000</v></cell><cell r="D1998" t="str"><v>43296224009494</v></cell><cell r="E1998" t="str"><v>43296103236186-11000</v></cell><cell r="F1998" t="str"><v>DCM</v></cell><cell r="G1998" t="str"><v>https://signup.azure.com/signup?offer=ms-azr-0044p&appId=102&ref=paidmedia-social-fb&redirectURL=https%3a%2f%2fazure.microsoft.com%2fde-de%2fget-started%2fwelcome-to-azure%2f&l=de-de&correlationId=ead86c34-1f10-49dd-a72b-6918462a2cbf</v></cell></row><row r="1998"><cell r="K1998" t="str"><v>July</v></cell><cell r="L1998"><v>43302</v></cell><cell r="M1998" t="str"><v>Tier 1</v></cell><cell r="N1998" t="str"><v>EMEA</v></cell><cell r="O1998" t="str"><v>Germany</v></cell><cell r="P1998" t="str"><v>Trial</v></cell><cell r="Q1998" t="str"><v>Social</v></cell><cell r="R1998" t="str"><v>Azure</v></cell><cell r="S1998" t="str"><v>Apps & Infra</v></cell><cell r="T1998" t="str"><v>Developers & ITI's</v></cell><cell r="U1998" t="str"><v>DEV-ITP-AZR-FB|CanvasAds|Interesttargeting</v></cell><cell r="V1998" t="str"><v>Audience Targeting</v></cell><cell r="W1998" t="str"><v>Canvas Ad</v></cell><cell r="X1998" t="str"><v>1x1</v></cell></row><row r="1998"><cell r="AA1998"><v>43296</v></cell><cell r="AB1998" t="str"><v>DEU_gaPMG_AZR_AZR_Q1_19_Trial-Social- 39684</v></cell><cell r="AC1998"><v>21359477</v></cell><cell r="AD1998"><v>720194</v></cell><cell r="AE1998" t="str"><v>Facebook</v></cell><cell r="AF1998"><v>3654128</v></cell><cell r="AG1998" t="str"><v>Facebook»DEV-ITP-AZR-FB|CanvasAds|Interesttargeting»1x1»TextLink»CAN»DT»CPM»AUT»W»NA»SS»NA»39684020-11000</v></cell><cell r="AH1998"><v>224009494</v></cell><cell r="AI1998" t="str"><v>AzurePlatform_FBCTCBasicMotion-StartFreeCT_DEU_10s_ISV_PLAT_DE_Trial_Standard_STAN_TN_T1_1</v></cell><cell r="AJ1998"><v>103236186</v></cell></row><row r="1999"><cell r="C1999" t="str"><v>43296Facebook»DEV-ITP-AZR-FB|CanvasAds|Interesttargeting»1x1»TextLink»CAN»DT»CPM»AUT»W»NA»SS»NA»39684020-11000</v></cell><cell r="D1999" t="str"><v>43296224009494</v></cell><cell r="E1999" t="str"><v>43296103237290-11000</v></cell><cell r="F1999" t="str"><v>DCM</v></cell><cell r="G1999" t="str"><v>https://signup.azure.com/signup?offer=ms-azr-0044p&appId=102&ref=paidmedia-social-fb&redirectURL=https%3a%2f%2fazure.microsoft.com%2fde-de%2fget-started%2fwelcome-to-azure%2f&l=de-de&correlationId=ead86c34-1f10-49dd-a72b-6918462a2cbf</v></cell></row><row r="1999"><cell r="K1999" t="str"><v>July</v></cell><cell r="L1999"><v>43302</v></cell><cell r="M1999" t="str"><v>Tier 1</v></cell><cell r="N1999" t="str"><v>EMEA</v></cell><cell r="O1999" t="str"><v>Germany</v></cell><cell r="P1999" t="str"><v>Trial</v></cell><cell r="Q1999" t="str"><v>Social</v></cell><cell r="R1999" t="str"><v>Azure</v></cell><cell r="S1999" t="str"><v>Apps & Infra</v></cell><cell r="T1999" t="str"><v>Developers & ITI's</v></cell><cell r="U1999" t="str"><v>DEV-ITP-AZR-FB|CanvasAds|Interesttargeting</v></cell><cell r="V1999" t="str"><v>Audience Targeting</v></cell><cell r="W1999" t="str"><v>Canvas Ad</v></cell><cell r="X1999" t="str"><v>1x1</v></cell></row><row r="1999"><cell r="AA1999"><v>43296</v></cell><cell r="AB1999" t="str"><v>DEU_gaPMG_AZR_AZR_Q1_19_Trial-Social- 39684</v></cell><cell r="AC1999"><v>21359477</v></cell><cell r="AD1999"><v>720194</v></cell><cell r="AE1999" t="str"><v>Facebook</v></cell><cell r="AF1999"><v>3654128</v></cell><cell r="AG1999" t="str"><v>Facebook»DEV-ITP-AZR-FB|CanvasAds|Interesttargeting»1x1»TextLink»CAN»DT»CPM»AUT»W»NA»SS»NA»39684020-11000</v></cell><cell r="AH1999"><v>224009494</v></cell><cell r="AI1999" t="str"><v>AzurePlatform_FBCTCBenefit2inMotion-StartFreeCT_DEU_14s_ISV_PLAT_DE_Trial_Standard_STAN_TN_T4_1</v></cell><cell r="AJ1999"><v>103237290</v></cell></row><row r="2000"><cell r="C2000" t="str"><v>43296Facebook»DEV-ITP-AZR-FB|CanvasAds|Interesttargeting»1x1»TextLink»CAN»DT»CPM»AUT»W»NA»SS»NA»39684020-11000</v></cell><cell r="D2000" t="str"><v>43296224009494</v></cell><cell r="E2000" t="str"><v>43296103350059-11000</v></cell><cell r="F2000" t="str"><v>DCM</v></cell><cell r="G2000" t="str"><v>https://azure.microsoft.com/de-de/pricing/purchase-options/</v></cell></row><row r="2000"><cell r="K2000" t="str"><v>July</v></cell><cell r="L2000"><v>43302</v></cell><cell r="M2000" t="str"><v>Tier 1</v></cell><cell r="N2000" t="str"><v>EMEA</v></cell><cell r="O2000" t="str"><v>Germany</v></cell><cell r="P2000" t="str"><v>Trial</v></cell><cell r="Q2000" t="str"><v>Social</v></cell><cell r="R2000" t="str"><v>Azure</v></cell><cell r="S2000" t="str"><v>Apps & Infra</v></cell><cell r="T2000" t="str"><v>Developers & ITI's</v></cell><cell r="U2000" t="str"><v>DEV-ITP-AZR-FB|CanvasAds|Interesttargeting</v></cell><cell r="V2000" t="str"><v>Audience Targeting</v></cell><cell r="W2000" t="str"><v>Canvas Ad</v></cell><cell r="X2000" t="str"><v>1x1</v></cell></row><row r="2000"><cell r="AA2000"><v>43296</v></cell><cell r="AB2000" t="str"><v>DEU_gaPMG_AZR_AZR_Q1_19_Trial-Social- 39684</v></cell><cell r="AC2000"><v>21359477</v></cell><cell r="AD2000"><v>720194</v></cell><cell r="AE2000" t="str"><v>Facebook</v></cell><cell r="AF2000"><v>3654128</v></cell><cell r="AG2000" t="str"><v>Facebook»DEV-ITP-AZR-FB|CanvasAds|Interesttargeting»1x1»TextLink»CAN»DT»CPM»AUT»W»NA»SS»NA»39684020-11000</v></cell><cell r="AH2000"><v>224009494</v></cell><cell r="AI2000" t="str"><v>AzurePlatform_FBCTCBrandinMotion-BuyNow_DEU_12s_ISV_PLAT_DE_Trial_Standard_STAN_TN_T2_1</v></cell><cell r="AJ2000"><v>103350059</v></cell></row><row r="2001"><cell r="C2001" t="str"><v>43296Facebook»DEV-ITP-AZR-FB|CanvasAds|Interesttargeting»1x1»TextLink»CAN»DT»CPM»AUT»W»NA»SS»NA»39684020-11000</v></cell><cell r="D2001" t="str"><v>43296224009494</v></cell><cell r="E2001" t="str"><v>43296103237293-11000</v></cell><cell r="F2001" t="str"><v>DCM</v></cell><cell r="G2001" t="str"><v>https://signup.azure.com/signup?offer=ms-azr-0044p&appId=102&ref=paidmedia-social-fb&redirectURL=https%3a%2f%2fazure.microsoft.com%2fde-de%2fget-started%2fwelcome-to-azure%2f&l=de-de&correlationId=ead86c34-1f10-49dd-a72b-6918462a2cbf</v></cell></row><row r="2001"><cell r="K2001" t="str"><v>July</v></cell><cell r="L2001"><v>43302</v></cell><cell r="M2001" t="str"><v>Tier 1</v></cell><cell r="N2001" t="str"><v>EMEA</v></cell><cell r="O2001" t="str"><v>Germany</v></cell><cell r="P2001" t="str"><v>Trial</v></cell><cell r="Q2001" t="str"><v>Social</v></cell><cell r="R2001" t="str"><v>Azure</v></cell><cell r="S2001" t="str"><v>Apps & Infra</v></cell><cell r="T2001" t="str"><v>Developers & ITI's</v></cell><cell r="U2001" t="str"><v>DEV-ITP-AZR-FB|CanvasAds|Interesttargeting</v></cell><cell r="V2001" t="str"><v>Audience Targeting</v></cell><cell r="W2001" t="str"><v>Canvas Ad</v></cell><cell r="X2001" t="str"><v>1x1</v></cell></row><row r="2001"><cell r="AA2001"><v>43296</v></cell><cell r="AB2001" t="str"><v>DEU_gaPMG_AZR_AZR_Q1_19_Trial-Social- 39684</v></cell><cell r="AC2001"><v>21359477</v></cell><cell r="AD2001"><v>720194</v></cell><cell r="AE2001" t="str"><v>Facebook</v></cell><cell r="AF2001"><v>3654128</v></cell><cell r="AG2001" t="str"><v>Facebook»DEV-ITP-AZR-FB|CanvasAds|Interesttargeting»1x1»TextLink»CAN»DT»CPM»AUT»W»NA»SS»NA»39684020-11000</v></cell><cell r="AH2001"><v>224009494</v></cell><cell r="AI2001" t="str"><v>AzurePlatform_FBCTCBrandinMotion-StartFreeCT_DEU_12s_ISV_PLAT_DE_Trial_Standard_STAN_TN_T2_1</v></cell><cell r="AJ2001"><v>103237293</v></cell></row><row r="2002"><cell r="C2002" t="str"><v>43296Facebook»DEV-ITP-AZR-FB|LinkAd|CustomerAudienceRetargeting»1x1»TextLink»LIA»DT»CPM»RT»W»NA»SS»NA»39684019-11000</v></cell><cell r="D2002" t="str"><v>43296224010415</v></cell><cell r="E2002" t="str"><v>43296103040320-11000</v></cell><cell r="F2002" t="str"><v>DCM</v></cell><cell r="G2002" t="str"><v>https://azure.microsoft.com/de-de/free/search/</v></cell></row><row r="2002"><cell r="K2002" t="str"><v>July</v></cell><cell r="L2002"><v>43302</v></cell><cell r="M2002" t="str"><v>Tier 1</v></cell><cell r="N2002" t="str"><v>EMEA</v></cell><cell r="O2002" t="str"><v>Germany</v></cell><cell r="P2002" t="str"><v>Trial</v></cell><cell r="Q2002" t="str"><v>Social</v></cell><cell r="R2002" t="str"><v>Azure</v></cell><cell r="S2002" t="str"><v>Apps & Infra</v></cell><cell r="T2002" t="str"><v>Developers & ITI's</v></cell><cell r="U2002" t="str"><v>DEV-ITP-AZR-FB|LinkAd|CustomerAudienceRetargeting</v></cell><cell r="V2002" t="str"><v>Retargeting</v></cell><cell r="W2002" t="str"><v>Link Ad</v></cell><cell r="X2002" t="str"><v>1x1</v></cell></row><row r="2002"><cell r="AA2002"><v>43296</v></cell><cell r="AB2002" t="str"><v>DEU_gaPMG_AZR_AZR_Q1_19_Trial-Social- 39684</v></cell><cell r="AC2002"><v>21359477</v></cell><cell r="AD2002"><v>720194</v></cell><cell r="AE2002" t="str"><v>Facebook</v></cell><cell r="AF2002"><v>3654128</v></cell><cell r="AG2002" t="str"><v>Facebook»DEV-ITP-AZR-FB|LinkAd|CustomerAudienceRetargeting»1x1»TextLink»LIA»DT»CPM»RT»W»NA»SS»NA»39684019-11000</v></cell><cell r="AH2002"><v>224010415</v></cell><cell r="AI2002" t="str"><v>AzurePlatform_FreeAcctRetargetingFB-GlobalAlt-ChB_DEU_1200x628_SOC_Plat_DE_Free Account_Standard_NA_SNU_T2_1</v></cell><cell r="AJ2002"><v>103040320</v></cell></row><row r="2003"><cell r="C2003" t="str"><v>43296Facebook»DEV-ITP-AZR-FB|LinkAd|CustomerAudienceRetargeting»1x1»TextLink»LIA»DT»CPM»RT»W»NA»SS»NA»39684019-11000</v></cell><cell r="D2003" t="str"><v>43296224010415</v></cell><cell r="E2003" t="str"><v>43296103043329-11000</v></cell><cell r="F2003" t="str"><v>DCM</v></cell><cell r="G2003" t="str"><v>https://azure.microsoft.com/de-de/free/open-source/search/</v></cell></row><row r="2003"><cell r="K2003" t="str"><v>July</v></cell><cell r="L2003"><v>43302</v></cell><cell r="M2003" t="str"><v>Tier 1</v></cell><cell r="N2003" t="str"><v>EMEA</v></cell><cell r="O2003" t="str"><v>Germany</v></cell><cell r="P2003" t="str"><v>Trial</v></cell><cell r="Q2003" t="str"><v>Social</v></cell><cell r="R2003" t="str"><v>Azure</v></cell><cell r="S2003" t="str"><v>Apps & Infra</v></cell><cell r="T2003" t="str"><v>Developers & ITI's</v></cell><cell r="U2003" t="str"><v>DEV-ITP-AZR-FB|LinkAd|CustomerAudienceRetargeting</v></cell><cell r="V2003" t="str"><v>Retargeting</v></cell><cell r="W2003" t="str"><v>Link Ad</v></cell><cell r="X2003" t="str"><v>1x1</v></cell></row><row r="2003"><cell r="AA2003"><v>43296</v></cell><cell r="AB2003" t="str"><v>DEU_gaPMG_AZR_AZR_Q1_19_Trial-Social- 39684</v></cell><cell r="AC2003"><v>21359477</v></cell><cell r="AD2003"><v>720194</v></cell><cell r="AE2003" t="str"><v>Facebook</v></cell><cell r="AF2003"><v>3654128</v></cell><cell r="AG2003" t="str"><v>Facebook»DEV-ITP-AZR-FB|LinkAd|CustomerAudienceRetargeting»1x1»TextLink»LIA»DT»CPM»RT»W»NA»SS»NA»39684019-11000</v></cell><cell r="AH2003"><v>224010415</v></cell><cell r="AI2003" t="str"><v>AzurePlatform_FreeAcctRetargetingOSSFB-Logos-ChG_DEU_1200x628_SOC_Plat_DE_Free Account_Standard_NA_SNU_T2_1</v></cell><cell r="AJ2003"><v>103043329</v></cell></row><row r="2004"><cell r="C2004" t="str"><v>43296Facebook»DEV-ITP-AZR-FB|LinkAd|CustomerAudienceRetargeting»1x1»TextLink»LIA»DT»CPM»RT»W»NA»SS»NA»39684019-11000</v></cell><cell r="D2004" t="str"><v>43296224010415</v></cell><cell r="E2004" t="str"><v>43296103055394-11000</v></cell><cell r="F2004" t="str"><v>DCM</v></cell><cell r="G2004" t="str"><v>https://azure.microsoft.com/de-de/free/open-source/search/</v></cell></row><row r="2004"><cell r="K2004" t="str"><v>July</v></cell><cell r="L2004"><v>43302</v></cell><cell r="M2004" t="str"><v>Tier 1</v></cell><cell r="N2004" t="str"><v>EMEA</v></cell><cell r="O2004" t="str"><v>Germany</v></cell><cell r="P2004" t="str"><v>Trial</v></cell><cell r="Q2004" t="str"><v>Social</v></cell><cell r="R2004" t="str"><v>Azure</v></cell><cell r="S2004" t="str"><v>Apps & Infra</v></cell><cell r="T2004" t="str"><v>Developers & ITI's</v></cell><cell r="U2004" t="str"><v>DEV-ITP-AZR-FB|LinkAd|CustomerAudienceRetargeting</v></cell><cell r="V2004" t="str"><v>Retargeting</v></cell><cell r="W2004" t="str"><v>Link Ad</v></cell><cell r="X2004" t="str"><v>1x1</v></cell></row><row r="2004"><cell r="AA2004"><v>43296</v></cell><cell r="AB2004" t="str"><v>DEU_gaPMG_AZR_AZR_Q1_19_Trial-Social- 39684</v></cell><cell r="AC2004"><v>21359477</v></cell><cell r="AD2004"><v>720194</v></cell><cell r="AE2004" t="str"><v>Facebook</v></cell><cell r="AF2004"><v>3654128</v></cell><cell r="AG2004" t="str"><v>Facebook»DEV-ITP-AZR-FB|LinkAd|CustomerAudienceRetargeting»1x1»TextLink»LIA»DT»CPM»RT»W»NA»SS»NA»39684019-11000</v></cell><cell r="AH2004"><v>224010415</v></cell><cell r="AI2004" t="str"><v>AzurePlatform_FreeAcctRetargetingOSSFB-Text-ChF_DEU_1200x628_SOC_Plat_DE_Free Account_Standard_NA_SNU_T1_1</v></cell><cell r="AJ2004"><v>103055394</v></cell></row><row r="2005"><cell r="C2005" t="str"><v>43296Facebook»DEV-ITP-AZR-FB|LinkAd|CustomerAudienceRetargeting»1x1»TextLink»LIA»DT»CPM»RT»W»NA»SS»NA»39684019-11000</v></cell><cell r="D2005" t="str"><v>43296224010415</v></cell><cell r="E2005" t="str"><v>43296103043341-11000</v></cell><cell r="F2005" t="str"><v>DCM</v></cell><cell r="G2005" t="str"><v>https://azure.microsoft.com/de-de/free/virtual-machines/search/</v></cell></row><row r="2005"><cell r="K2005" t="str"><v>July</v></cell><cell r="L2005"><v>43302</v></cell><cell r="M2005" t="str"><v>Tier 1</v></cell><cell r="N2005" t="str"><v>EMEA</v></cell><cell r="O2005" t="str"><v>Germany</v></cell><cell r="P2005" t="str"><v>Trial</v></cell><cell r="Q2005" t="str"><v>Social</v></cell><cell r="R2005" t="str"><v>Azure</v></cell><cell r="S2005" t="str"><v>Apps & Infra</v></cell><cell r="T2005" t="str"><v>Developers & ITI's</v></cell><cell r="U2005" t="str"><v>DEV-ITP-AZR-FB|LinkAd|CustomerAudienceRetargeting</v></cell><cell r="V2005" t="str"><v>Retargeting</v></cell><cell r="W2005" t="str"><v>Link Ad</v></cell><cell r="X2005" t="str"><v>1x1</v></cell></row><row r="2005"><cell r="AA2005"><v>43296</v></cell><cell r="AB2005" t="str"><v>DEU_gaPMG_AZR_AZR_Q1_19_Trial-Social- 39684</v></cell><cell r="AC2005"><v>21359477</v></cell><cell r="AD2005"><v>720194</v></cell><cell r="AE2005" t="str"><v>Facebook</v></cell><cell r="AF2005"><v>3654128</v></cell><cell r="AG2005" t="str"><v>Facebook»DEV-ITP-AZR-FB|LinkAd|CustomerAudienceRetargeting»1x1»TextLink»LIA»DT»CPM»RT»W»NA»SS»NA»39684019-11000</v></cell><cell r="AH2005"><v>224010415</v></cell><cell r="AI2005" t="str"><v>AzurePlatform_FreeAcctRetargetingVMFB-750Hrs-ChD_DEU_1200x628_SOC_Plat_DE_Free Account_Standard_NA_SNU_T1_1</v></cell><cell r="AJ2005"><v>103043341</v></cell></row><row r="2006"><cell r="C2006" t="str"><v>43296Facebook»Developers/ITPros-Azure Direct-Sponsored Post-Canvas-FBCTCcanvaspage-BuyNowCTA-Img3_FBCTCBasicMotion_FRA_10sec»1x1»Canvas»SOC»ALL»CPC»BT»D»UNK»SS»NA»Trials</v></cell><cell r="D2006" t="str"><v>43296224369893</v></cell><cell r="E2006" t="str"><v>43296103256571Trials</v></cell><cell r="F2006" t="str"><v>DCM</v></cell><cell r="G2006" t="str"><v>https://azure.microsoft.com/fr-fr/pricing/purchase-options/</v></cell></row><row r="2006"><cell r="K2006" t="str"><v>July</v></cell><cell r="L2006"><v>43302</v></cell><cell r="M2006" t="str"><v>Tier 1</v></cell><cell r="N2006" t="str"><v>EMEA</v></cell><cell r="O2006" t="str"><v>France</v></cell><cell r="P2006" t="str"><v>Trial</v></cell><cell r="Q2006" t="str"><v>Social</v></cell><cell r="R2006" t="str"><v>Azure</v></cell><cell r="S2006" t="str"><v>Apps & Infra</v></cell><cell r="T2006" t="str"><v>Developers & ITI's</v></cell><cell r="U2006" t="str"><v>Developers/ITPros-Azure Direct-Sponsored Post-Canvas-FBCTCcanvaspage-BuyNowCTA-Img3_FBCTCBasicMotion_FRA_10sec</v></cell><cell r="V2006" t="str"><v>Behavioral Targeting</v></cell><cell r="W2006" t="str"><v>Social</v></cell><cell r="X2006" t="str"><v>1x1</v></cell></row><row r="2006"><cell r="AA2006"><v>43296</v></cell><cell r="AB2006" t="str"><v>FRA_gaPMG_AZR_AZR_Q1_19_AzureDirect-Trial-Social</v></cell><cell r="AC2006"><v>21356941</v></cell><cell r="AD2006"><v>720193</v></cell><cell r="AE2006" t="str"><v>Facebook</v></cell><cell r="AF2006"><v>3654128</v></cell><cell r="AG2006" t="str"><v>Facebook»Developers/ITPros-Azure Direct-Sponsored Post-Canvas-FBCTCcanvaspage-BuyNowCTA-Img3_FBCTCBasicMotion_FRA_10sec»1x1»Canvas»SOC»ALL»CPC»BT»D»UNK»SS»NA»Trials</v></cell><cell r="AH2006"><v>224369893</v></cell><cell r="AI2006" t="str"><v>AZR_FBCTCcanvaspage-BuyNowCTA-Img3_FRA_1080x162_SOC_AZRDirect_French_NA_Facebook_SBAN_BN_T3_1</v></cell><cell r="AJ2006"><v>103256571</v></cell></row><row r="2007"><cell r="C2007" t="str"><v>43296Facebook»Developers/ITPros-Azure Direct-Sponsored Post-Canvas-FBCTCcanvaspage-BuyNowCTA-Img3_FBCTCBrandinMotion_FRA_14sec»1x1»Canvas»SOC»ALL»CPC»BT»D»UNK»SS»NA»Trials</v></cell><cell r="D2007" t="str"><v>43296224416918</v></cell><cell r="E2007" t="str"><v>43296103256571Trials</v></cell><cell r="F2007" t="str"><v>DCM</v></cell><cell r="G2007" t="str"><v>https://azure.microsoft.com/fr-fr/pricing/purchase-options/</v></cell></row><row r="2007"><cell r="K2007" t="str"><v>July</v></cell><cell r="L2007"><v>43302</v></cell><cell r="M2007" t="str"><v>Tier 1</v></cell><cell r="N2007" t="str"><v>EMEA</v></cell><cell r="O2007" t="str"><v>France</v></cell><cell r="P2007" t="str"><v>Trial</v></cell><cell r="Q2007" t="str"><v>Social</v></cell><cell r="R2007" t="str"><v>Azure</v></cell><cell r="S2007" t="str"><v>Apps & Infra</v></cell><cell r="T2007" t="str"><v>Developers & ITI's</v></cell><cell r="U2007" t="str"><v>Developers/ITPros-Azure Direct-Sponsored Post-Canvas-FBCTCcanvaspage-BuyNowCTA-Img3_FBCTCBrandinMotion_FRA_14sec</v></cell><cell r="V2007" t="str"><v>Behavioral Targeting</v></cell><cell r="W2007" t="str"><v>Social</v></cell><cell r="X2007" t="str"><v>1x1</v></cell></row><row r="2007"><cell r="AA2007"><v>43296</v></cell><cell r="AB2007" t="str"><v>FRA_gaPMG_AZR_AZR_Q1_19_AzureDirect-Trial-Social</v></cell><cell r="AC2007"><v>21356941</v></cell><cell r="AD2007"><v>720193</v></cell><cell r="AE2007" t="str"><v>Facebook</v></cell><cell r="AF2007"><v>3654128</v></cell><cell r="AG2007" t="str"><v>Facebook»Developers/ITPros-Azure Direct-Sponsored Post-Canvas-FBCTCcanvaspage-BuyNowCTA-Img3_FBCTCBrandinMotion_FRA_14sec»1x1»Canvas»SOC»ALL»CPC»BT»D»UNK»SS»NA»Trials</v></cell><cell r="AH2007"><v>224416918</v></cell><cell r="AI2007" t="str"><v>AZR_FBCTCcanvaspage-BuyNowCTA-Img3_FRA_1080x162_SOC_AZRDirect_French_NA_Facebook_SBAN_BN_T3_1</v></cell><cell r="AJ2007"><v>103256571</v></cell></row><row r="2008"><cell r="C2008" t="str"><v>43296Facebook»Developers/ITPros-Azure Direct-Sponsored Post-Canvas-FBCTCcanvaspage-StartFreeCTA-Img2_FBCTCBasicMotion_FRA_10sec»1x1»Canvas»SOC»ALL»CPC»BT»D»UNK»SS»NA»Trials</v></cell><cell r="D2008" t="str"><v>43296224560884</v></cell><cell r="E2008" t="str"><v>43296103259958Trials</v></cell><cell r="F2008" t="str"><v>DCM</v></cell><cell r="G2008" t="str"><v>https://signup.azure.com/signup?offer=ms-azr-0044p&appId=102&ref=paidmedia-social-fb&redirectURL=https%3a%2f%2fazure.microsoft.com%2ffr-fr%2fget-started%2fwelcome-to-azure%2f&l=fr-fr&correlationId=ead86c34-1f10-49dd-a72b-6918462a2cbf</v></cell></row><row r="2008"><cell r="K2008" t="str"><v>July</v></cell><cell r="L2008"><v>43302</v></cell><cell r="M2008" t="str"><v>Tier 1</v></cell><cell r="N2008" t="str"><v>EMEA</v></cell><cell r="O2008" t="str"><v>France</v></cell><cell r="P2008" t="str"><v>Trial</v></cell><cell r="Q2008" t="str"><v>Social</v></cell><cell r="R2008" t="str"><v>Azure</v></cell><cell r="S2008" t="str"><v>Apps & Infra</v></cell><cell r="T2008" t="str"><v>Developers & ITI's</v></cell><cell r="U2008" t="str"><v>Developers/ITPros-Azure Direct-Sponsored Post-Canvas-FBCTCcanvaspage-StartFreeCTA-Img2_FBCTCBasicMotion_FRA_10sec</v></cell><cell r="V2008" t="str"><v>Behavioral Targeting</v></cell><cell r="W2008" t="str"><v>Social</v></cell><cell r="X2008" t="str"><v>1x1</v></cell></row><row r="2008"><cell r="AA2008"><v>43296</v></cell><cell r="AB2008" t="str"><v>FRA_gaPMG_AZR_AZR_Q1_19_AzureDirect-Trial-Social</v></cell><cell r="AC2008"><v>21356941</v></cell><cell r="AD2008"><v>720193</v></cell><cell r="AE2008" t="str"><v>Facebook</v></cell><cell r="AF2008"><v>3654128</v></cell><cell r="AG2008" t="str"><v>Facebook»Developers/ITPros-Azure Direct-Sponsored Post-Canvas-FBCTCcanvaspage-StartFreeCTA-Img2_FBCTCBasicMotion_FRA_10sec»1x1»Canvas»SOC»ALL»CPC»BT»D»UNK»SS»NA»Trials</v></cell><cell r="AH2008"><v>224560884</v></cell><cell r="AI2008" t="str"><v>AZR_FBCTCcanvaspage-StartFreeCTA-Img2_FRA_1080x143_SOC_AZRDirect_French_NA_Facebook_SBAN_BN_T2_1</v></cell><cell r="AJ2008"><v>103259958</v></cell></row><row r="2009"><cell r="C2009" t="str"><v>43296Facebook»Developers/ITPros-Azure Direct-Sponsored Post-Canvas-FBCTCcanvaspage-StartFreeCTA-Img2_FBCTCBrandinMotion_FRA_14sec»1x1»Canvas»SOC»ALL»CPC»BT»D»UNK»SS»NA»Trials</v></cell><cell r="D2009" t="str"><v>43296224560872</v></cell><cell r="E2009" t="str"><v>43296103259958Trials</v></cell><cell r="F2009" t="str"><v>DCM</v></cell><cell r="G2009" t="str"><v>https://signup.azure.com/signup?offer=ms-azr-0044p&appId=102&ref=paidmedia-social-fb&redirectURL=https%3a%2f%2fazure.microsoft.com%2ffr-fr%2fget-started%2fwelcome-to-azure%2f&l=fr-fr&correlationId=ead86c34-1f10-49dd-a72b-6918462a2cbf</v></cell></row><row r="2009"><cell r="K2009" t="str"><v>July</v></cell><cell r="L2009"><v>43302</v></cell><cell r="M2009" t="str"><v>Tier 1</v></cell><cell r="N2009" t="str"><v>EMEA</v></cell><cell r="O2009" t="str"><v>France</v></cell><cell r="P2009" t="str"><v>Trial</v></cell><cell r="Q2009" t="str"><v>Social</v></cell><cell r="R2009" t="str"><v>Azure</v></cell><cell r="S2009" t="str"><v>Apps & Infra</v></cell><cell r="T2009" t="str"><v>Developers & ITI's</v></cell><cell r="U2009" t="str"><v>Developers/ITPros-Azure Direct-Sponsored Post-Canvas-FBCTCcanvaspage-StartFreeCTA-Img2_FBCTCBrandinMotion_FRA_14sec</v></cell><cell r="V2009" t="str"><v>Behavioral Targeting</v></cell><cell r="W2009" t="str"><v>Social</v></cell><cell r="X2009" t="str"><v>1x1</v></cell></row><row r="2009"><cell r="AA2009"><v>43296</v></cell><cell r="AB2009" t="str"><v>FRA_gaPMG_AZR_AZR_Q1_19_AzureDirect-Trial-Social</v></cell><cell r="AC2009"><v>21356941</v></cell><cell r="AD2009"><v>720193</v></cell><cell r="AE2009" t="str"><v>Facebook</v></cell><cell r="AF2009"><v>3654128</v></cell><cell r="AG2009" t="str"><v>Facebook»Developers/ITPros-Azure Direct-Sponsored Post-Canvas-FBCTCcanvaspage-StartFreeCTA-Img2_FBCTCBrandinMotion_FRA_14sec»1x1»Canvas»SOC»ALL»CPC»BT»D»UNK»SS»NA»Trials</v></cell><cell r="AH2009"><v>224560872</v></cell><cell r="AI2009" t="str"><v>AZR_FBCTCcanvaspage-StartFreeCTA-Img2_FRA_1080x143_SOC_AZRDirect_French_NA_Facebook_SBAN_BN_T2_1</v></cell><cell r="AJ2009"><v>103259958</v></cell></row><row r="2010"><cell r="C2010" t="str"><v>43296Facebook»Developers/ITPros-Azure Direct-Sponsored Post-Link Ad-FreeAcctRetargetingFB-GlobalAlt-ChB»1x1»SocialBan»SOC»ALL»CPC»BT»D»UNK»SS»NA»Trials</v></cell><cell r="D2010" t="str"><v>43296224560845</v></cell><cell r="E2010" t="str"><v>43296103259520Trials</v></cell><cell r="F2010" t="str"><v>DCM</v></cell><cell r="G2010" t="str"><v>https://azure.microsoft.com/fr-fr/free/search/</v></cell></row><row r="2010"><cell r="K2010" t="str"><v>July</v></cell><cell r="L2010"><v>43302</v></cell><cell r="M2010" t="str"><v>Tier 1</v></cell><cell r="N2010" t="str"><v>EMEA</v></cell><cell r="O2010" t="str"><v>France</v></cell><cell r="P2010" t="str"><v>Trial</v></cell><cell r="Q2010" t="str"><v>Social</v></cell><cell r="R2010" t="str"><v>Azure</v></cell><cell r="S2010" t="str"><v>Apps & Infra</v></cell><cell r="T2010" t="str"><v>Developers & ITI's</v></cell><cell r="U2010" t="str"><v>Developers/ITPros-Azure Direct-Sponsored Post-Link Ad-FreeAcctRetargetingFB-GlobalAlt-ChB</v></cell><cell r="V2010" t="str"><v>Behavioral Targeting</v></cell><cell r="W2010" t="str"><v>Social</v></cell><cell r="X2010" t="str"><v>1x1</v></cell></row><row r="2010"><cell r="AA2010"><v>43296</v></cell><cell r="AB2010" t="str"><v>FRA_gaPMG_AZR_AZR_Q1_19_AzureDirect-Trial-Social</v></cell><cell r="AC2010"><v>21356941</v></cell><cell r="AD2010"><v>720193</v></cell><cell r="AE2010" t="str"><v>Facebook</v></cell><cell r="AF2010"><v>3654128</v></cell><cell r="AG2010" t="str"><v>Facebook»Developers/ITPros-Azure Direct-Sponsored Post-Link Ad-FreeAcctRetargetingFB-GlobalAlt-ChB»1x1»SocialBan»SOC»ALL»CPC»BT»D»UNK»SS»NA»Trials</v></cell><cell r="AH2010"><v>224560845</v></cell><cell r="AI2010" t="str"><v>AZR_FreeAcctRetargetingFB-GlobalAlt-ChB_FRA_1200x628_SOC_AZRDirect_French_NA_Facebook_SBAN_SINU_T2_1</v></cell><cell r="AJ2010"><v>103259520</v></cell></row><row r="2011"><cell r="C2011" t="str"><v>43296Facebook»Developers/ITPros-Azure Direct-Sponsored Post-Link Ad-FreeAcctRetargetingOSSFB-Text-ChF»1x1»SocialBan»SOC»ALL»CPC»BT»D»UNK»SS»NA»Trials</v></cell><cell r="D2011" t="str"><v>43296224560839</v></cell><cell r="E2011" t="str"><v>43296103257810Trials</v></cell><cell r="F2011" t="str"><v>DCM</v></cell><cell r="G2011" t="str"><v>https://azure.microsoft.com/fr-fr/free/open-source/search/</v></cell></row><row r="2011"><cell r="K2011" t="str"><v>July</v></cell><cell r="L2011"><v>43302</v></cell><cell r="M2011" t="str"><v>Tier 1</v></cell><cell r="N2011" t="str"><v>EMEA</v></cell><cell r="O2011" t="str"><v>France</v></cell><cell r="P2011" t="str"><v>Trial</v></cell><cell r="Q2011" t="str"><v>Social</v></cell><cell r="R2011" t="str"><v>Azure</v></cell><cell r="S2011" t="str"><v>Apps & Infra</v></cell><cell r="T2011" t="str"><v>Developers & ITI's</v></cell><cell r="U2011" t="str"><v>Developers/ITPros-Azure Direct-Sponsored Post-Link Ad-FreeAcctRetargetingOSSFB-Text-ChF</v></cell><cell r="V2011" t="str"><v>Behavioral Targeting</v></cell><cell r="W2011" t="str"><v>Social</v></cell><cell r="X2011" t="str"><v>1x1</v></cell></row><row r="2011"><cell r="AA2011"><v>43296</v></cell><cell r="AB2011" t="str"><v>FRA_gaPMG_AZR_AZR_Q1_19_AzureDirect-Trial-Social</v></cell><cell r="AC2011"><v>21356941</v></cell><cell r="AD2011"><v>720193</v></cell><cell r="AE2011" t="str"><v>Facebook</v></cell><cell r="AF2011"><v>3654128</v></cell><cell r="AG2011" t="str"><v>Facebook»Developers/ITPros-Azure Direct-Sponsored Post-Link Ad-FreeAcctRetargetingOSSFB-Text-ChF»1x1»SocialBan»SOC»ALL»CPC»BT»D»UNK»SS»NA»Trials</v></cell><cell r="AH2011"><v>224560839</v></cell><cell r="AI2011" t="str"><v>AZR_FreeAcctRetargetingOSSFB-Text-ChF_FRA_1200x628_SOC_AZRDirect_French_NA_Facebook_SBAN_SINU_T1_1</v></cell><cell r="AJ2011"><v>103257810</v></cell></row><row r="2012"><cell r="C2012" t="str"><v>43296Facebook»Developers/ITPros-Azure Direct-Sponsored Post-Video Ad-FBCTCBasicMotion_FRA_10s_RTG Landing Page»1x1»05s»SOC»ALL»CPC»BT»D»UNK»SS»NA»Trials</v></cell><cell r="D2012" t="str"><v>43296224416915</v></cell><cell r="E2012" t="str"><v>43296103376981Trials</v></cell><cell r="F2012" t="str"><v>DCM</v></cell></row><row r="2012"><cell r="K2012" t="str"><v>July</v></cell><cell r="L2012"><v>43302</v></cell><cell r="M2012" t="str"><v>Tier 1</v></cell><cell r="N2012" t="str"><v>EMEA</v></cell><cell r="O2012" t="str"><v>France</v></cell><cell r="P2012" t="str"><v>Trial</v></cell><cell r="Q2012" t="str"><v>Social</v></cell><cell r="R2012" t="str"><v>Azure</v></cell><cell r="S2012" t="str"><v>Apps & Infra</v></cell><cell r="T2012" t="str"><v>Developers & ITI's</v></cell><cell r="U2012" t="str"><v>Developers/ITPros-Azure Direct-Sponsored Post-Video Ad-FBCTCBasicMotion_FRA_10s_RTG Landing Page</v></cell><cell r="V2012" t="str"><v>Behavioral Targeting</v></cell><cell r="W2012" t="str"><v>Social</v></cell><cell r="X2012" t="str"><v>1x1</v></cell></row><row r="2012"><cell r="AA2012"><v>43296</v></cell><cell r="AB2012" t="str"><v>FRA_gaPMG_AZR_AZR_Q1_19_AzureDirect-Trial-Social</v></cell><cell r="AC2012"><v>21356941</v></cell><cell r="AD2012"><v>720193</v></cell><cell r="AE2012" t="str"><v>Facebook</v></cell><cell r="AF2012"><v>3654128</v></cell><cell r="AG2012" t="str"><v>Facebook»Developers/ITPros-Azure Direct-Sponsored Post-Video Ad-FBCTCBasicMotion_FRA_10s_RTG Landing Page»1x1»05s»SOC»ALL»CPC»BT»D»UNK»SS»NA»Trials</v></cell><cell r="AH2012"><v>224416915</v></cell><cell r="AI2012" t="str"><v>AZR_FBCTCBasicMotion_FRA_10s_VIA_AZRDirect_French_NA_Facebook_STAN_TIN_T1_1</v></cell><cell r="AJ2012"><v>103376981</v></cell></row><row r="2013"><cell r="C2013" t="str"><v>43296Facebook»Developers/ITPros-Azure Direct-Sponsored Post-Video Ad-FBCTCBenefit2inMotion_FRA_14s_RTG Landing Page»1x1»06s»SOC»ALL»CPC»BT»D»UNK»SS»NA»Trials</v></cell><cell r="D2013" t="str"><v>43296224560875</v></cell><cell r="E2013" t="str"><v>43296103259766Trials</v></cell><cell r="F2013" t="str"><v>DCM</v></cell><cell r="G2013" t="str"><v>https://signup.azure.com/signup?offer=ms-azr-0044p&appId=102&ref=paidmedia-social-fb&redirectURL=https:%2F%2Fazure.microsoft.com%2Ffr-fr%2Fget-started%2Fwelcome-to-azure%2F&l=fr-fr&correlationId=ead86c34-1f10-49dd-a72b-6918462a2cbf</v></cell></row><row r="2013"><cell r="K2013" t="str"><v>July</v></cell><cell r="L2013"><v>43302</v></cell><cell r="M2013" t="str"><v>Tier 1</v></cell><cell r="N2013" t="str"><v>EMEA</v></cell><cell r="O2013" t="str"><v>France</v></cell><cell r="P2013" t="str"><v>Trial</v></cell><cell r="Q2013" t="str"><v>Social</v></cell><cell r="R2013" t="str"><v>Azure</v></cell><cell r="S2013" t="str"><v>Apps & Infra</v></cell><cell r="T2013" t="str"><v>Developers & ITI's</v></cell><cell r="U2013" t="str"><v>Developers/ITPros-Azure Direct-Sponsored Post-Video Ad-FBCTCBenefit2inMotion_FRA_14s_RTG Landing Page</v></cell><cell r="V2013" t="str"><v>Behavioral Targeting</v></cell><cell r="W2013" t="str"><v>Social</v></cell><cell r="X2013" t="str"><v>1x1</v></cell></row><row r="2013"><cell r="AA2013"><v>43296</v></cell><cell r="AB2013" t="str"><v>FRA_gaPMG_AZR_AZR_Q1_19_AzureDirect-Trial-Social</v></cell><cell r="AC2013"><v>21356941</v></cell><cell r="AD2013"><v>720193</v></cell><cell r="AE2013" t="str"><v>Facebook</v></cell><cell r="AF2013"><v>3654128</v></cell><cell r="AG2013" t="str"><v>Facebook»Developers/ITPros-Azure Direct-Sponsored Post-Video Ad-FBCTCBenefit2inMotion_FRA_14s_RTG Landing Page»1x1»06s»SOC»ALL»CPC»BT»D»UNK»SS»NA»Trials</v></cell><cell r="AH2013"><v>224560875</v></cell><cell r="AI2013" t="str"><v>AZR_FBCTCBenefit2inMotion_FRA_14s_VIA_AZRDirect_French_NA_Facebook_STAN_TIN_T4_1</v></cell><cell r="AJ2013"><v>103259766</v></cell></row><row r="2014"><cell r="C2014" t="str"><v>43296Facebook»Developers/ITPros-Azure Direct-Sponsored Post-Video Ad-FBCTCBrandinMotion_FRA_12s_RTG Landing Page»1x1»05s»SOC»ALL»CPC»BT»D»UNK»SS»NA»Trials</v></cell><cell r="D2014" t="str"><v>43296224560863</v></cell><cell r="E2014" t="str"><v>43296103256577Trials</v></cell><cell r="F2014" t="str"><v>DCM</v></cell></row><row r="2014"><cell r="K2014" t="str"><v>July</v></cell><cell r="L2014"><v>43302</v></cell><cell r="M2014" t="str"><v>Tier 1</v></cell><cell r="N2014" t="str"><v>EMEA</v></cell><cell r="O2014" t="str"><v>France</v></cell><cell r="P2014" t="str"><v>Trial</v></cell><cell r="Q2014" t="str"><v>Social</v></cell><cell r="R2014" t="str"><v>Azure</v></cell><cell r="S2014" t="str"><v>Apps & Infra</v></cell><cell r="T2014" t="str"><v>Developers & ITI's</v></cell><cell r="U2014" t="str"><v>Developers/ITPros-Azure Direct-Sponsored Post-Video Ad-FBCTCBrandinMotion_FRA_12s_RTG Landing Page</v></cell><cell r="V2014" t="str"><v>Behavioral Targeting</v></cell><cell r="W2014" t="str"><v>Social</v></cell><cell r="X2014" t="str"><v>1x1</v></cell></row><row r="2014"><cell r="AA2014"><v>43296</v></cell><cell r="AB2014" t="str"><v>FRA_gaPMG_AZR_AZR_Q1_19_AzureDirect-Trial-Social</v></cell><cell r="AC2014"><v>21356941</v></cell><cell r="AD2014"><v>720193</v></cell><cell r="AE2014" t="str"><v>Facebook</v></cell><cell r="AF2014"><v>3654128</v></cell><cell r="AG2014" t="str"><v>Facebook»Developers/ITPros-Azure Direct-Sponsored Post-Video Ad-FBCTCBrandinMotion_FRA_12s_RTG Landing Page»1x1»05s»SOC»ALL»CPC»BT»D»UNK»SS»NA»Trials</v></cell><cell r="AH2014"><v>224560863</v></cell><cell r="AI2014" t="str"><v>AZR_FBCTCBrandinMotion_FRA_12s_VIA_AZRDirect_French_NA_Facebook_STAN_TIN_T2_1</v></cell><cell r="AJ2014"><v>103256577</v></cell></row><row r="2015"><cell r="C2015" t="str"><v>43296Facebook»Developers/ITPros-Azure Direct-Sponsored Post-Link Ad-FreeAcctAppsFACEBOOK12monthsChE»1x1»SocialBan»SOC»ALL»CPC»BT»D»UNK»SS»NA»Trials</v></cell><cell r="D2015" t="str"><v>43296224560866</v></cell><cell r="E2015" t="str"><v>43296103259784Trials</v></cell><cell r="F2015" t="str"><v>DCM</v></cell><cell r="G2015" t="str"><v>https://azure.microsoft.com/fr-fr/free/search/</v></cell></row><row r="2015"><cell r="K2015" t="str"><v>July</v></cell><cell r="L2015"><v>43302</v></cell><cell r="M2015" t="str"><v>Tier 1</v></cell><cell r="N2015" t="str"><v>EMEA</v></cell><cell r="O2015" t="str"><v>France</v></cell><cell r="P2015" t="str"><v>Trial</v></cell><cell r="Q2015" t="str"><v>Social</v></cell><cell r="R2015" t="str"><v>Azure</v></cell><cell r="S2015" t="str"><v>Apps & Infra</v></cell><cell r="T2015" t="str"><v>Developers & ITI's</v></cell><cell r="U2015" t="str"><v>Developers/ITPros-Azure Direct-Sponsored Post-Link Ad-FreeAcctAppsFACEBOOK12monthsChE</v></cell><cell r="V2015" t="str"><v>Behavioral Targeting</v></cell><cell r="W2015" t="str"><v>Social</v></cell><cell r="X2015" t="str"><v>1x1</v></cell></row><row r="2015"><cell r="AA2015"><v>43296</v></cell><cell r="AB2015" t="str"><v>FRA_gaPMG_AZR_AZR_Q1_19_AzureDirect-Trial-Social</v></cell><cell r="AC2015"><v>21356941</v></cell><cell r="AD2015"><v>720193</v></cell><cell r="AE2015" t="str"><v>Facebook</v></cell><cell r="AF2015"><v>3654128</v></cell><cell r="AG2015" t="str"><v>Facebook»Developers/ITPros-Azure Direct-Sponsored Post-Link Ad-FreeAcctAppsFACEBOOK12monthsChE»1x1»SocialBan»SOC»ALL»CPC»BT»D»UNK»SS»NA»Trials</v></cell><cell r="AH2015"><v>224560866</v></cell><cell r="AI2015" t="str"><v>AZR_FreeAcctAppsFACEBOOK12monthsChE_FRA_1200x628_SOC_PLAT_FR_Trial_Standard_NA_SINU_T5_1</v></cell><cell r="AJ2015"><v>103259784</v></cell></row><row r="2016"><cell r="C2016" t="str"><v>43296Facebook»Developers/ITPros-Azure Direct-Sponsored Post-Link Ad-FreeAcctAppsFACEBOOK200CreditChD»1x1»SocialBan»SOC»ALL»CPC»BT»D»UNK»SS»NA»Trials</v></cell><cell r="D2016" t="str"><v>43296224560860</v></cell><cell r="E2016" t="str"><v>43296103377773Trials</v></cell><cell r="F2016" t="str"><v>DCM</v></cell><cell r="G2016" t="str"><v>https://azure.microsoft.com/fr-fr/free/search/</v></cell></row><row r="2016"><cell r="K2016" t="str"><v>July</v></cell><cell r="L2016"><v>43302</v></cell><cell r="M2016" t="str"><v>Tier 1</v></cell><cell r="N2016" t="str"><v>EMEA</v></cell><cell r="O2016" t="str"><v>France</v></cell><cell r="P2016" t="str"><v>Trial</v></cell><cell r="Q2016" t="str"><v>Social</v></cell><cell r="R2016" t="str"><v>Azure</v></cell><cell r="S2016" t="str"><v>Apps & Infra</v></cell><cell r="T2016" t="str"><v>Developers & ITI's</v></cell><cell r="U2016" t="str"><v>Developers/ITPros-Azure Direct-Sponsored Post-Link Ad-FreeAcctAppsFACEBOOK200CreditChD</v></cell><cell r="V2016" t="str"><v>Behavioral Targeting</v></cell><cell r="W2016" t="str"><v>Social</v></cell><cell r="X2016" t="str"><v>1x1</v></cell></row><row r="2016"><cell r="AA2016"><v>43296</v></cell><cell r="AB2016" t="str"><v>FRA_gaPMG_AZR_AZR_Q1_19_AzureDirect-Trial-Social</v></cell><cell r="AC2016"><v>21356941</v></cell><cell r="AD2016"><v>720193</v></cell><cell r="AE2016" t="str"><v>Facebook</v></cell><cell r="AF2016"><v>3654128</v></cell><cell r="AG2016" t="str"><v>Facebook»Developers/ITPros-Azure Direct-Sponsored Post-Link Ad-FreeAcctAppsFACEBOOK200CreditChD»1x1»SocialBan»SOC»ALL»CPC»BT»D»UNK»SS»NA»Trials</v></cell><cell r="AH2016"><v>224560860</v></cell><cell r="AI2016" t="str"><v>AZR_FreeAcctAppsFACEBOOK200CreditChD_FRA_1200x628_SOC_PLAT_FR_Trial_Standard_NA_SINU_T4_1</v></cell><cell r="AJ2016"><v>103377773</v></cell></row><row r="2017"><cell r="C2017" t="str"><v>43296Facebook»Developers/ITPros-Azure Direct-Sponsored Post-Link Ad-FreeAcctAppsFACEBOOKDeviceChB»1x1»SocialBan»SOC»ALL»CPC»AUT»D»UNK»SS»NA»Trials</v></cell><cell r="D2017" t="str"><v>43296224560857</v></cell><cell r="E2017" t="str"><v>43296103377002Trials</v></cell><cell r="F2017" t="str"><v>DCM</v></cell><cell r="G2017" t="str"><v>https://azure.microsoft.com/fr-fr/free/search/</v></cell></row><row r="2017"><cell r="K2017" t="str"><v>July</v></cell><cell r="L2017"><v>43302</v></cell><cell r="M2017" t="str"><v>Tier 1</v></cell><cell r="N2017" t="str"><v>EMEA</v></cell><cell r="O2017" t="str"><v>France</v></cell><cell r="P2017" t="str"><v>Trial</v></cell><cell r="Q2017" t="str"><v>Social</v></cell><cell r="R2017" t="str"><v>Azure</v></cell><cell r="S2017" t="str"><v>Apps & Infra</v></cell><cell r="T2017" t="str"><v>Developers & ITI's</v></cell><cell r="U2017" t="str"><v>Developers/ITPros-Azure Direct-Sponsored Post-Link Ad-FreeAcctAppsFACEBOOKDeviceChB</v></cell><cell r="V2017" t="str"><v>Audience Targeting</v></cell><cell r="W2017" t="str"><v>Social</v></cell><cell r="X2017" t="str"><v>1x1</v></cell></row><row r="2017"><cell r="AA2017"><v>43296</v></cell><cell r="AB2017" t="str"><v>FRA_gaPMG_AZR_AZR_Q1_19_AzureDirect-Trial-Social</v></cell><cell r="AC2017"><v>21356941</v></cell><cell r="AD2017"><v>720193</v></cell><cell r="AE2017" t="str"><v>Facebook</v></cell><cell r="AF2017"><v>3654128</v></cell><cell r="AG2017" t="str"><v>Facebook»Developers/ITPros-Azure Direct-Sponsored Post-Link Ad-FreeAcctAppsFACEBOOKDeviceChB»1x1»SocialBan»SOC»ALL»CPC»AUT»D»UNK»SS»NA»Trials</v></cell><cell r="AH2017"><v>224560857</v></cell><cell r="AI2017" t="str"><v>AZR_FreeAcctAppsFACEBOOKDeviceChB_FRA_1200x628_SOC_PLAT_FR_Trial_Standard_NA_SINU_T2_1</v></cell><cell r="AJ2017"><v>103377002</v></cell></row><row r="2018"><cell r="C2018" t="str"><v>43296Facebook»Developers/ITPros-Azure Direct-Sponsored Post-Link Ad-FreeAcctAppsFACEBOOKIllustrationChC»1x1»SocialBan»SOC»ALL»CPC»AUT»D»UNK»SS»NA»Trials</v></cell><cell r="D2018" t="str"><v>43296224560854</v></cell><cell r="E2018" t="str"><v>43296103259550Trials</v></cell><cell r="F2018" t="str"><v>DCM</v></cell><cell r="G2018" t="str"><v>https://azure.microsoft.com/fr-fr/free/search/</v></cell></row><row r="2018"><cell r="K2018" t="str"><v>July</v></cell><cell r="L2018"><v>43302</v></cell><cell r="M2018" t="str"><v>Tier 1</v></cell><cell r="N2018" t="str"><v>EMEA</v></cell><cell r="O2018" t="str"><v>France</v></cell><cell r="P2018" t="str"><v>Trial</v></cell><cell r="Q2018" t="str"><v>Social</v></cell><cell r="R2018" t="str"><v>Azure</v></cell><cell r="S2018" t="str"><v>Apps & Infra</v></cell><cell r="T2018" t="str"><v>Developers & ITI's</v></cell><cell r="U2018" t="str"><v>Developers/ITPros-Azure Direct-Sponsored Post-Link Ad-FreeAcctAppsFACEBOOKIllustrationChC</v></cell><cell r="V2018" t="str"><v>Audience Targeting</v></cell><cell r="W2018" t="str"><v>Social</v></cell><cell r="X2018" t="str"><v>1x1</v></cell></row><row r="2018"><cell r="AA2018"><v>43296</v></cell><cell r="AB2018" t="str"><v>FRA_gaPMG_AZR_AZR_Q1_19_AzureDirect-Trial-Social</v></cell><cell r="AC2018"><v>21356941</v></cell><cell r="AD2018"><v>720193</v></cell><cell r="AE2018" t="str"><v>Facebook</v></cell><cell r="AF2018"><v>3654128</v></cell><cell r="AG2018" t="str"><v>Facebook»Developers/ITPros-Azure Direct-Sponsored Post-Link Ad-FreeAcctAppsFACEBOOKIllustrationChC»1x1»SocialBan»SOC»ALL»CPC»AUT»D»UNK»SS»NA»Trials</v></cell><cell r="AH2018"><v>224560854</v></cell><cell r="AI2018" t="str"><v>AZR_FreeAcctAppsFACEBOOKIllustrationChC_FRA_1200x628_SOC_PLAT_FR_Trial_Standard_NA_SINU_T3_1</v></cell><cell r="AJ2018"><v>103259550</v></cell></row><row r="2019"><cell r="C2019" t="str"><v>43296Facebook»Developers/ITPros-Azure Direct-Sponsored Post-Link Ad-FreeAcctAppsFACEBOOKLifestyleChA»1x1»SocialBan»SOC»ALL»CPC»AUT»D»UNK»SS»NA»Trials</v></cell><cell r="D2019" t="str"><v>43296224560851</v></cell><cell r="E2019" t="str"><v>43296103259562Trials</v></cell><cell r="F2019" t="str"><v>DCM</v></cell><cell r="G2019" t="str"><v>https://azure.microsoft.com/fr-fr/free/search/</v></cell></row><row r="2019"><cell r="K2019" t="str"><v>July</v></cell><cell r="L2019"><v>43302</v></cell><cell r="M2019" t="str"><v>Tier 1</v></cell><cell r="N2019" t="str"><v>EMEA</v></cell><cell r="O2019" t="str"><v>France</v></cell><cell r="P2019" t="str"><v>Trial</v></cell><cell r="Q2019" t="str"><v>Social</v></cell><cell r="R2019" t="str"><v>Azure</v></cell><cell r="S2019" t="str"><v>Apps & Infra</v></cell><cell r="T2019" t="str"><v>Developers & ITI's</v></cell><cell r="U2019" t="str"><v>Developers/ITPros-Azure Direct-Sponsored Post-Link Ad-FreeAcctAppsFACEBOOKLifestyleChA</v></cell><cell r="V2019" t="str"><v>Audience Targeting</v></cell><cell r="W2019" t="str"><v>Social</v></cell><cell r="X2019" t="str"><v>1x1</v></cell></row><row r="2019"><cell r="AA2019"><v>43296</v></cell><cell r="AB2019" t="str"><v>FRA_gaPMG_AZR_AZR_Q1_19_AzureDirect-Trial-Social</v></cell><cell r="AC2019"><v>21356941</v></cell><cell r="AD2019"><v>720193</v></cell><cell r="AE2019" t="str"><v>Facebook</v></cell><cell r="AF2019"><v>3654128</v></cell><cell r="AG2019" t="str"><v>Facebook»Developers/ITPros-Azure Direct-Sponsored Post-Link Ad-FreeAcctAppsFACEBOOKLifestyleChA»1x1»SocialBan»SOC»ALL»CPC»AUT»D»UNK»SS»NA»Trials</v></cell><cell r="AH2019"><v>224560851</v></cell><cell r="AI2019" t="str"><v>AZR_FreeAcctAppsFACEBOOKLifestyleChA_FRA_1200x628_SOC_PLAT_FR_Trial_Standard_NA_SINU_T1_1</v></cell><cell r="AJ2019"><v>103259562</v></cell></row><row r="2020"><cell r="C2020" t="str"><v>43296Facebook»Developers/ITPros-Azure Direct-Sponsored Post-Link Ad-FreeAcctRetargetingFB-Animated-ChC»1x1»SocialBan»SOC»ALL»CPC»BT»D»UNK»SS»NA»Trials</v></cell><cell r="D2020" t="str"><v>43296224560848</v></cell><cell r="E2020" t="str"><v>43296103259775Trials</v></cell><cell r="F2020" t="str"><v>DCM</v></cell><cell r="G2020" t="str"><v>https://azure.microsoft.com/fr-fr/free/search/</v></cell></row><row r="2020"><cell r="K2020" t="str"><v>July</v></cell><cell r="L2020"><v>43302</v></cell><cell r="M2020" t="str"><v>Tier 1</v></cell><cell r="N2020" t="str"><v>EMEA</v></cell><cell r="O2020" t="str"><v>France</v></cell><cell r="P2020" t="str"><v>Trial</v></cell><cell r="Q2020" t="str"><v>Social</v></cell><cell r="R2020" t="str"><v>Azure</v></cell><cell r="S2020" t="str"><v>Apps & Infra</v></cell><cell r="T2020" t="str"><v>Developers & ITI's</v></cell><cell r="U2020" t="str"><v>Developers/ITPros-Azure Direct-Sponsored Post-Link Ad-FreeAcctRetargetingFB-Animated-ChC</v></cell><cell r="V2020" t="str"><v>Behavioral Targeting</v></cell><cell r="W2020" t="str"><v>Social</v></cell><cell r="X2020" t="str"><v>1x1</v></cell></row><row r="2020"><cell r="AA2020"><v>43296</v></cell><cell r="AB2020" t="str"><v>FRA_gaPMG_AZR_AZR_Q1_19_AzureDirect-Trial-Social</v></cell><cell r="AC2020"><v>21356941</v></cell><cell r="AD2020"><v>720193</v></cell><cell r="AE2020" t="str"><v>Facebook</v></cell><cell r="AF2020"><v>3654128</v></cell><cell r="AG2020" t="str"><v>Facebook»Developers/ITPros-Azure Direct-Sponsored Post-Link Ad-FreeAcctRetargetingFB-Animated-ChC»1x1»SocialBan»SOC»ALL»CPC»BT»D»UNK»SS»NA»Trials</v></cell><cell r="AH2020"><v>224560848</v></cell><cell r="AI2020" t="str"><v>AZR_reeAcctRetargetingFB-Animated-ChC_FRA_1200x628_SOC_AZRDirect_French_NA_Facebook_SBAN_SINU_T3_1</v></cell><cell r="AJ2020"><v>103259775</v></cell></row><row r="2021"><cell r="C2021" t="str"><v>43296Facebook»Developers/ITPros-Azure Direct-Sponsored Post-Link Ad-FreeAcctRetargetingOSSFB-Logos-ChG»1x1»SocialBan»SOC»ALL»CPC»BT»D»UNK»SS»NA»Trials</v></cell><cell r="D2021" t="str"><v>43296224560842</v></cell><cell r="E2021" t="str"><v>43296103259769Trials</v></cell><cell r="F2021" t="str"><v>DCM</v></cell><cell r="G2021" t="str"><v>https://azure.microsoft.com/fr-fr/free/open-source/search/</v></cell></row><row r="2021"><cell r="K2021" t="str"><v>July</v></cell><cell r="L2021"><v>43302</v></cell><cell r="M2021" t="str"><v>Tier 1</v></cell><cell r="N2021" t="str"><v>EMEA</v></cell><cell r="O2021" t="str"><v>France</v></cell><cell r="P2021" t="str"><v>Trial</v></cell><cell r="Q2021" t="str"><v>Social</v></cell><cell r="R2021" t="str"><v>Azure</v></cell><cell r="S2021" t="str"><v>Apps & Infra</v></cell><cell r="T2021" t="str"><v>Developers & ITI's</v></cell><cell r="U2021" t="str"><v>Developers/ITPros-Azure Direct-Sponsored Post-Link Ad-FreeAcctRetargetingOSSFB-Logos-ChG</v></cell><cell r="V2021" t="str"><v>Behavioral Targeting</v></cell><cell r="W2021" t="str"><v>Social</v></cell><cell r="X2021" t="str"><v>1x1</v></cell></row><row r="2021"><cell r="AA2021"><v>43296</v></cell><cell r="AB2021" t="str"><v>FRA_gaPMG_AZR_AZR_Q1_19_AzureDirect-Trial-Social</v></cell><cell r="AC2021"><v>21356941</v></cell><cell r="AD2021"><v>720193</v></cell><cell r="AE2021" t="str"><v>Facebook</v></cell><cell r="AF2021"><v>3654128</v></cell><cell r="AG2021" t="str"><v>Facebook»Developers/ITPros-Azure Direct-Sponsored Post-Link Ad-FreeAcctRetargetingOSSFB-Logos-ChG»1x1»SocialBan»SOC»ALL»CPC»BT»D»UNK»SS»NA»Trials</v></cell><cell r="AH2021"><v>224560842</v></cell><cell r="AI2021" t="str"><v>AZR_FreeAcctRetargetingOSSFB-Logos-ChG_FRA_1200x628_SOC_AZRDirect_French_NA_Facebook_SBAN_SINU_T2_1</v></cell><cell r="AJ2021"><v>103259769</v></cell></row><row r="2022"><cell r="C2022" t="str"><v>43296Facebook»Developers/ITPros-Azure Direct-Sponsored Post-Link Ad-FreeAcctRetargetingVMFB-OnDemand-ChE»1x1»SocialBan»SOC»ALL»CPC»BT»D»UNK»SS»NA»Trials</v></cell><cell r="D2022" t="str"><v>43296224560833</v></cell><cell r="E2022" t="str"><v>43296103376990Trials</v></cell><cell r="F2022" t="str"><v>DCM</v></cell><cell r="G2022" t="str"><v>https://azure.microsoft.com/fr-fr/free/virtual-machines/search/</v></cell></row><row r="2022"><cell r="K2022" t="str"><v>July</v></cell><cell r="L2022"><v>43302</v></cell><cell r="M2022" t="str"><v>Tier 1</v></cell><cell r="N2022" t="str"><v>EMEA</v></cell><cell r="O2022" t="str"><v>France</v></cell><cell r="P2022" t="str"><v>Trial</v></cell><cell r="Q2022" t="str"><v>Social</v></cell><cell r="R2022" t="str"><v>Azure</v></cell><cell r="S2022" t="str"><v>Apps & Infra</v></cell><cell r="T2022" t="str"><v>Developers & ITI's</v></cell><cell r="U2022" t="str"><v>Developers/ITPros-Azure Direct-Sponsored Post-Link Ad-FreeAcctRetargetingVMFB-OnDemand-ChE</v></cell><cell r="V2022" t="str"><v>Behavioral Targeting</v></cell><cell r="W2022" t="str"><v>Social</v></cell><cell r="X2022" t="str"><v>1x1</v></cell></row><row r="2022"><cell r="AA2022"><v>43296</v></cell><cell r="AB2022" t="str"><v>FRA_gaPMG_AZR_AZR_Q1_19_AzureDirect-Trial-Social</v></cell><cell r="AC2022"><v>21356941</v></cell><cell r="AD2022"><v>720193</v></cell><cell r="AE2022" t="str"><v>Facebook</v></cell><cell r="AF2022"><v>3654128</v></cell><cell r="AG2022" t="str"><v>Facebook»Developers/ITPros-Azure Direct-Sponsored Post-Link Ad-FreeAcctRetargetingVMFB-OnDemand-ChE»1x1»SocialBan»SOC»ALL»CPC»BT»D»UNK»SS»NA»Trials</v></cell><cell r="AH2022"><v>224560833</v></cell><cell r="AI2022" t="str"><v>AZR_FreeAcctRetargetingVMFB-OnDemand-ChE_FRA_1200x628_SOC_AZRDirect_French_NA_Facebook_SBAN_SINU_T2_1</v></cell><cell r="AJ2022"><v>103376990</v></cell></row><row r="2023"><cell r="C2023" t="str"><v>43296Facebook»Audience & Interest Targeting»1x1»SocialBan»LIA»DT»CPC»AUT»W»NA»SS»NA»Basic Motion</v></cell><cell r="D2023" t="str"><v>43296224399962</v></cell><cell r="E2023" t="str"><v>43296103235146Motion</v></cell><cell r="F2023" t="str"><v>DCM</v></cell><cell r="G2023" t="str"><v>https://signup.azure.com/signup?offer=ms-azr-0044p&appId=102&ref=paidmedia-social-fb&redirectURL=https%3a%2f%2fazure.microsoft.com%2fen-gb%2fget-started%2fwelcome-to-azure%2f&l=en-gb&correlationId=ead86c34-1f10-49dd-a72b-6918462a2cbf</v></cell></row><row r="2023"><cell r="K2023" t="str"><v>July</v></cell><cell r="L2023"><v>43302</v></cell><cell r="M2023" t="str"><v>Tier 1</v></cell><cell r="N2023" t="str"><v>EMEA</v></cell><cell r="O2023" t="str"><v>United Kingdom</v></cell><cell r="P2023" t="str"><v>Trial</v></cell><cell r="Q2023" t="str"><v>Social</v></cell><cell r="R2023" t="str"><v>Azure</v></cell><cell r="S2023" t="str"><v>Apps & Infra</v></cell><cell r="T2023" t="str"><v>Developers & ITI's</v></cell><cell r="U2023" t="str"><v>Audience & Interest Targeting</v></cell><cell r="V2023" t="str"><v>Audience Targeting</v></cell><cell r="W2023" t="str"><v>Link Ad</v></cell><cell r="X2023" t="str"><v>1x1</v></cell></row><row r="2023"><cell r="AA2023"><v>43296</v></cell><cell r="AB2023" t="str"><v>GBR_gaPMG_CE_AZR_Q1_19_Trial-Social</v></cell><cell r="AC2023"><v>21337013</v></cell><cell r="AD2023"><v>720196</v></cell><cell r="AE2023" t="str"><v>Facebook</v></cell><cell r="AF2023"><v>3654128</v></cell><cell r="AG2023" t="str"><v>Facebook»Audience & Interest Targeting»1x1»SocialBan»LIA»DT»CPC»AUT»W»NA»SS»NA»Basic Motion</v></cell><cell r="AH2023"><v>224399962</v></cell><cell r="AI2023" t="str"><v>AzurePlatform_FBCTCcanvaspage-StartFreeCTA-Img2_GBR_1080x143 _SOC_Plat_English_NA_Standard_NA_NA_T2_1</v></cell><cell r="AJ2023"><v>103235146</v></cell></row><row r="2024"><cell r="C2024" t="str"><v>43296Facebook»Audience & Interest Targeting»1x1»SocialBan»LIA»DT»CPC»AUT»W»NA»SS»NA»Benefit 2 in Motion</v></cell><cell r="D2024" t="str"><v>43296224334170</v></cell><cell r="E2024" t="str"><v>43296103230847Motion</v></cell><cell r="F2024" t="str"><v>DCM</v></cell><cell r="G2024" t="str"><v>https://azure.microsoft.com/en-gb/pricing/purchase-options/</v></cell></row><row r="2024"><cell r="K2024" t="str"><v>July</v></cell><cell r="L2024"><v>43302</v></cell><cell r="M2024" t="str"><v>Tier 1</v></cell><cell r="N2024" t="str"><v>EMEA</v></cell><cell r="O2024" t="str"><v>United Kingdom</v></cell><cell r="P2024" t="str"><v>Trial</v></cell><cell r="Q2024" t="str"><v>Social</v></cell><cell r="R2024" t="str"><v>Azure</v></cell><cell r="S2024" t="str"><v>Apps & Infra</v></cell><cell r="T2024" t="str"><v>Developers & ITI's</v></cell><cell r="U2024" t="str"><v>Audience & Interest Targeting</v></cell><cell r="V2024" t="str"><v>Audience Targeting</v></cell><cell r="W2024" t="str"><v>Link Ad</v></cell><cell r="X2024" t="str"><v>1x1</v></cell></row><row r="2024"><cell r="AA2024"><v>43296</v></cell><cell r="AB2024" t="str"><v>GBR_gaPMG_CE_AZR_Q1_19_Trial-Social</v></cell><cell r="AC2024"><v>21337013</v></cell><cell r="AD2024"><v>720196</v></cell><cell r="AE2024" t="str"><v>Facebook</v></cell><cell r="AF2024"><v>3654128</v></cell><cell r="AG2024" t="str"><v>Facebook»Audience & Interest Targeting»1x1»SocialBan»LIA»DT»CPC»AUT»W»NA»SS»NA»Benefit 2 in Motion</v></cell><cell r="AH2024"><v>224334170</v></cell><cell r="AI2024" t="str"><v>AzurePlatform_FBCTCcanvaspage-BuyNowCTA-Img3_GBR_1080x162_SOC_Plat_English_NA_Standard_NA_BN_T3_1</v></cell><cell r="AJ2024"><v>103230847</v></cell></row><row r="2025"><cell r="C2025" t="str"><v>43296Facebook»Audience & Interest Targeting»1x1»SocialBan»LIA»DT»CPC»AUT»W»NA»SS»NA»Benefit 2 in Motion</v></cell><cell r="D2025" t="str"><v>43296224334170</v></cell><cell r="E2025" t="str"><v>43296103235146Motion</v></cell><cell r="F2025" t="str"><v>DCM</v></cell><cell r="G2025" t="str"><v>https://signup.azure.com/signup?offer=ms-azr-0044p&appId=102&ref=paidmedia-social-fb&redirectURL=https%3a%2f%2fazure.microsoft.com%2fen-gb%2fget-started%2fwelcome-to-azure%2f&l=en-gb&correlationId=ead86c34-1f10-49dd-a72b-6918462a2cbf</v></cell></row><row r="2025"><cell r="K2025" t="str"><v>July</v></cell><cell r="L2025"><v>43302</v></cell><cell r="M2025" t="str"><v>Tier 1</v></cell><cell r="N2025" t="str"><v>EMEA</v></cell><cell r="O2025" t="str"><v>United Kingdom</v></cell><cell r="P2025" t="str"><v>Trial</v></cell><cell r="Q2025" t="str"><v>Social</v></cell><cell r="R2025" t="str"><v>Azure</v></cell><cell r="S2025" t="str"><v>Apps & Infra</v></cell><cell r="T2025" t="str"><v>Developers & ITI's</v></cell><cell r="U2025" t="str"><v>Audience & Interest Targeting</v></cell><cell r="V2025" t="str"><v>Audience Targeting</v></cell><cell r="W2025" t="str"><v>Link Ad</v></cell><cell r="X2025" t="str"><v>1x1</v></cell></row><row r="2025"><cell r="AA2025"><v>43296</v></cell><cell r="AB2025" t="str"><v>GBR_gaPMG_CE_AZR_Q1_19_Trial-Social</v></cell><cell r="AC2025"><v>21337013</v></cell><cell r="AD2025"><v>720196</v></cell><cell r="AE2025" t="str"><v>Facebook</v></cell><cell r="AF2025"><v>3654128</v></cell><cell r="AG2025" t="str"><v>Facebook»Audience & Interest Targeting»1x1»SocialBan»LIA»DT»CPC»AUT»W»NA»SS»NA»Benefit 2 in Motion</v></cell><cell r="AH2025"><v>224334170</v></cell><cell r="AI2025" t="str"><v>AzurePlatform_FBCTCcanvaspage-StartFreeCTA-Img2_GBR_1080x143 _SOC_Plat_English_NA_Standard_NA_NA_T2_1</v></cell><cell r="AJ2025"><v>103235146</v></cell></row><row r="2026"><cell r="C2026" t="str"><v>43296Facebook»Audience & Interest Targeting»1x1»SocialBan»LIA»DT»CPC»AUT»W»NA»SS»NA»Brand in Motion</v></cell><cell r="D2026" t="str"><v>43296224549481</v></cell><cell r="E2026" t="str"><v>43296103235146Motion</v></cell><cell r="F2026" t="str"><v>DCM</v></cell><cell r="G2026" t="str"><v>https://signup.azure.com/signup?offer=ms-azr-0044p&appId=102&ref=paidmedia-social-fb&redirectURL=https%3a%2f%2fazure.microsoft.com%2fen-gb%2fget-started%2fwelcome-to-azure%2f&l=en-gb&correlationId=ead86c34-1f10-49dd-a72b-6918462a2cbf</v></cell></row><row r="2026"><cell r="K2026" t="str"><v>July</v></cell><cell r="L2026"><v>43302</v></cell><cell r="M2026" t="str"><v>Tier 1</v></cell><cell r="N2026" t="str"><v>EMEA</v></cell><cell r="O2026" t="str"><v>United Kingdom</v></cell><cell r="P2026" t="str"><v>Trial</v></cell><cell r="Q2026" t="str"><v>Social</v></cell><cell r="R2026" t="str"><v>Azure</v></cell><cell r="S2026" t="str"><v>Apps & Infra</v></cell><cell r="T2026" t="str"><v>Developers & ITI's</v></cell><cell r="U2026" t="str"><v>Audience & Interest Targeting</v></cell><cell r="V2026" t="str"><v>Audience Targeting</v></cell><cell r="W2026" t="str"><v>Link Ad</v></cell><cell r="X2026" t="str"><v>1x1</v></cell></row><row r="2026"><cell r="AA2026"><v>43296</v></cell><cell r="AB2026" t="str"><v>GBR_gaPMG_CE_AZR_Q1_19_Trial-Social</v></cell><cell r="AC2026"><v>21337013</v></cell><cell r="AD2026"><v>720196</v></cell><cell r="AE2026" t="str"><v>Facebook</v></cell><cell r="AF2026"><v>3654128</v></cell><cell r="AG2026" t="str"><v>Facebook»Audience & Interest Targeting»1x1»SocialBan»LIA»DT»CPC»AUT»W»NA»SS»NA»Brand in Motion</v></cell><cell r="AH2026"><v>224549481</v></cell><cell r="AI2026" t="str"><v>AzurePlatform_FBCTCcanvaspage-StartFreeCTA-Img2_GBR_1080x143 _SOC_Plat_English_NA_Standard_NA_NA_T2_1</v></cell><cell r="AJ2026"><v>103235146</v></cell></row><row r="2027"><cell r="C2027" t="str"><v>43296Facebook»Audience & Interest Targeting»1x1»SocialBan»LIA»DT»DYN»AUT»W»NA»SS»NA»Free Account Refresh- 12 months ChE</v></cell><cell r="D2027" t="str"><v>43296223567691</v></cell><cell r="E2027" t="str"><v>43296102854007hs ChE</v></cell><cell r="F2027" t="str"><v>DCM</v></cell><cell r="G2027" t="str"><v>https://azure.microsoft.com/en-gb/free/search/</v></cell></row><row r="2027"><cell r="K2027" t="str"><v>July</v></cell><cell r="L2027"><v>43302</v></cell><cell r="M2027" t="str"><v>Tier 1</v></cell><cell r="N2027" t="str"><v>EMEA</v></cell><cell r="O2027" t="str"><v>United Kingdom</v></cell><cell r="P2027" t="str"><v>Trial</v></cell><cell r="Q2027" t="str"><v>Social</v></cell><cell r="R2027" t="str"><v>Azure</v></cell><cell r="S2027" t="str"><v>Apps & Infra</v></cell><cell r="T2027" t="str"><v>Developers & ITI's</v></cell><cell r="U2027" t="str"><v>Audience & Interest Targeting</v></cell><cell r="V2027" t="str"><v>Audience Targeting</v></cell><cell r="W2027" t="str"><v>Link Ad</v></cell><cell r="X2027" t="str"><v>1x1</v></cell></row><row r="2027"><cell r="AA2027"><v>43296</v></cell><cell r="AB2027" t="str"><v>GBR_gaPMG_CE_AZR_Q1_19_Trial-Social</v></cell><cell r="AC2027"><v>21337013</v></cell><cell r="AD2027"><v>720196</v></cell><cell r="AE2027" t="str"><v>Facebook</v></cell><cell r="AF2027"><v>3654128</v></cell><cell r="AG2027" t="str"><v>Facebook»Audience & Interest Targeting»1x1»SocialBan»LIA»DT»DYN»AUT»W»NA»SS»NA»Free Account Refresh- 12 months ChE</v></cell><cell r="AH2027"><v>223567691</v></cell><cell r="AI2027" t="str"><v>AzurePlatform_FreeAcctAppsFACEBOOK12monthsChE_GBR_1200x628_SOC_PLAT_EN_Trial_Standard_NA_SU_T5_1</v></cell><cell r="AJ2027"><v>102854007</v></cell></row><row r="2028"><cell r="C2028" t="str"><v>43296Facebook»Audience & Interest Targeting»1x1»SocialBan»LIA»DT»DYN»AUT»W»NA»SS»NA»Free Account Refresh- Device ChB</v></cell><cell r="D2028" t="str"><v>43296223560353</v></cell><cell r="E2028" t="str"><v>43296102854010ce ChB</v></cell><cell r="F2028" t="str"><v>DCM</v></cell><cell r="G2028" t="str"><v>https://azure.microsoft.com/en-gb/free/search/</v></cell></row><row r="2028"><cell r="K2028" t="str"><v>July</v></cell><cell r="L2028"><v>43302</v></cell><cell r="M2028" t="str"><v>Tier 1</v></cell><cell r="N2028" t="str"><v>EMEA</v></cell><cell r="O2028" t="str"><v>United Kingdom</v></cell><cell r="P2028" t="str"><v>Trial</v></cell><cell r="Q2028" t="str"><v>Social</v></cell><cell r="R2028" t="str"><v>Azure</v></cell><cell r="S2028" t="str"><v>Apps & Infra</v></cell><cell r="T2028" t="str"><v>Developers & ITI's</v></cell><cell r="U2028" t="str"><v>Audience & Interest Targeting</v></cell><cell r="V2028" t="str"><v>Audience Targeting</v></cell><cell r="W2028" t="str"><v>Link Ad</v></cell><cell r="X2028" t="str"><v>1x1</v></cell></row><row r="2028"><cell r="AA2028"><v>43296</v></cell><cell r="AB2028" t="str"><v>GBR_gaPMG_CE_AZR_Q1_19_Trial-Social</v></cell><cell r="AC2028"><v>21337013</v></cell><cell r="AD2028"><v>720196</v></cell><cell r="AE2028" t="str"><v>Facebook</v></cell><cell r="AF2028"><v>3654128</v></cell><cell r="AG2028" t="str"><v>Facebook»Audience & Interest Targeting»1x1»SocialBan»LIA»DT»DYN»AUT»W»NA»SS»NA»Free Account Refresh- Device ChB</v></cell><cell r="AH2028"><v>223560353</v></cell><cell r="AI2028" t="str"><v>AzurePlatform_FreeAcctAppsFACEBOOKDeviceChB_GBR_1200x628_SOC_PLAT_EN_Trial_Standard_NA_SU_T2_1</v></cell><cell r="AJ2028"><v>102854010</v></cell></row><row r="2029"><cell r="C2029" t="str"><v>43296Facebook»Audience & Interest Targeting»1x1»SocialBan»LIA»DT»DYN»AUT»W»NA»SS»NA»Free Account Refresh- Illustration ChC</v></cell><cell r="D2029" t="str"><v>43296223560347</v></cell><cell r="E2029" t="str"><v>43296102857037on ChC</v></cell><cell r="F2029" t="str"><v>DCM</v></cell><cell r="G2029" t="str"><v>https://azure.microsoft.com/en-gb/free/search/</v></cell></row><row r="2029"><cell r="K2029" t="str"><v>July</v></cell><cell r="L2029"><v>43302</v></cell><cell r="M2029" t="str"><v>Tier 1</v></cell><cell r="N2029" t="str"><v>EMEA</v></cell><cell r="O2029" t="str"><v>United Kingdom</v></cell><cell r="P2029" t="str"><v>Trial</v></cell><cell r="Q2029" t="str"><v>Social</v></cell><cell r="R2029" t="str"><v>Azure</v></cell><cell r="S2029" t="str"><v>Apps & Infra</v></cell><cell r="T2029" t="str"><v>Developers & ITI's</v></cell><cell r="U2029" t="str"><v>Audience & Interest Targeting</v></cell><cell r="V2029" t="str"><v>Audience Targeting</v></cell><cell r="W2029" t="str"><v>Link Ad</v></cell><cell r="X2029" t="str"><v>1x1</v></cell></row><row r="2029"><cell r="AA2029"><v>43296</v></cell><cell r="AB2029" t="str"><v>GBR_gaPMG_CE_AZR_Q1_19_Trial-Social</v></cell><cell r="AC2029"><v>21337013</v></cell><cell r="AD2029"><v>720196</v></cell><cell r="AE2029" t="str"><v>Facebook</v></cell><cell r="AF2029"><v>3654128</v></cell><cell r="AG2029" t="str"><v>Facebook»Audience & Interest Targeting»1x1»SocialBan»LIA»DT»DYN»AUT»W»NA»SS»NA»Free Account Refresh- Illustration ChC</v></cell><cell r="AH2029"><v>223560347</v></cell><cell r="AI2029" t="str"><v>AzurePlatform_FreeAcctAppsFACEBOOKIllustrationChC_GBR_1200x628_SOC_PLAT_EN_Trial_Standard_NA_SU_T3_1</v></cell><cell r="AJ2029"><v>102857037</v></cell></row><row r="2030"><cell r="C2030" t="str"><v>43296Facebook»Audience & Interest Targeting»1x1»SocialBan»LIA»DT»DYN»AUT»W»NA»SS»NA»Free Account Refresh- Lifestyle ChA</v></cell><cell r="D2030" t="str"><v>43296223560341</v></cell><cell r="E2030" t="str"><v>43296102853597le ChA</v></cell><cell r="F2030" t="str"><v>DCM</v></cell><cell r="G2030" t="str"><v>https://azure.microsoft.com/en-gb/free/search/</v></cell></row><row r="2030"><cell r="K2030" t="str"><v>July</v></cell><cell r="L2030"><v>43302</v></cell><cell r="M2030" t="str"><v>Tier 1</v></cell><cell r="N2030" t="str"><v>EMEA</v></cell><cell r="O2030" t="str"><v>United Kingdom</v></cell><cell r="P2030" t="str"><v>Trial</v></cell><cell r="Q2030" t="str"><v>Social</v></cell><cell r="R2030" t="str"><v>Azure</v></cell><cell r="S2030" t="str"><v>Apps & Infra</v></cell><cell r="T2030" t="str"><v>Developers & ITI's</v></cell><cell r="U2030" t="str"><v>Audience & Interest Targeting</v></cell><cell r="V2030" t="str"><v>Audience Targeting</v></cell><cell r="W2030" t="str"><v>Link Ad</v></cell><cell r="X2030" t="str"><v>1x1</v></cell></row><row r="2030"><cell r="AA2030"><v>43296</v></cell><cell r="AB2030" t="str"><v>GBR_gaPMG_CE_AZR_Q1_19_Trial-Social</v></cell><cell r="AC2030"><v>21337013</v></cell><cell r="AD2030"><v>720196</v></cell><cell r="AE2030" t="str"><v>Facebook</v></cell><cell r="AF2030"><v>3654128</v></cell><cell r="AG2030" t="str"><v>Facebook»Audience & Interest Targeting»1x1»SocialBan»LIA»DT»DYN»AUT»W»NA»SS»NA»Free Account Refresh- Lifestyle ChA</v></cell><cell r="AH2030"><v>223560341</v></cell><cell r="AI2030" t="str"><v>AzurePlatform_FreeAcctAppsFACEBOOKLifestyleChA_GBR_1200x628_SOC_PLAT_EN_Trial_Standard_NA_SU_T1_1</v></cell><cell r="AJ2030"><v>102853597</v></cell></row><row r="2031"><cell r="C2031" t="str"><v>43296Facebook»Retargeting»1x1»SocialBan»LIA»DT»DYN»RT»W»NA»SS»NA»Free Account Retargeting Generic- Animated ChC</v></cell><cell r="D2031" t="str"><v>43296223560299</v></cell><cell r="E2031" t="str"><v>43296102854019ed ChC</v></cell><cell r="F2031" t="str"><v>DCM</v></cell><cell r="G2031" t="str"><v>https://azure.microsoft.com/en-gb/free/search/</v></cell></row><row r="2031"><cell r="K2031" t="str"><v>July</v></cell><cell r="L2031"><v>43302</v></cell><cell r="M2031" t="str"><v>Tier 1</v></cell><cell r="N2031" t="str"><v>EMEA</v></cell><cell r="O2031" t="str"><v>United Kingdom</v></cell><cell r="P2031" t="str"><v>Trial</v></cell><cell r="Q2031" t="str"><v>Social</v></cell><cell r="R2031" t="str"><v>Azure</v></cell><cell r="S2031" t="str"><v>Apps & Infra</v></cell><cell r="T2031" t="str"><v>Developers & ITI's</v></cell><cell r="U2031" t="str"><v>Retargeting</v></cell><cell r="V2031" t="str"><v>Retargeting</v></cell><cell r="W2031" t="str"><v>Link Ad</v></cell><cell r="X2031" t="str"><v>1x1</v></cell></row><row r="2031"><cell r="AA2031"><v>43296</v></cell><cell r="AB2031" t="str"><v>GBR_gaPMG_CE_AZR_Q1_19_Trial-Social</v></cell><cell r="AC2031"><v>21337013</v></cell><cell r="AD2031"><v>720196</v></cell><cell r="AE2031" t="str"><v>Facebook</v></cell><cell r="AF2031"><v>3654128</v></cell><cell r="AG2031" t="str"><v>Facebook»Retargeting»1x1»SocialBan»LIA»DT»DYN»RT»W»NA»SS»NA»Free Account Retargeting Generic- Animated ChC</v></cell><cell r="AH2031"><v>223560299</v></cell><cell r="AI2031" t="str"><v>AzurePlatform_FreeAcctRetargetingFB-Animated-ChC_GBR_1200x628_SOC_Plat_EN_Free Account_Standard_ANI_SU_T3_1</v></cell><cell r="AJ2031"><v>102854019</v></cell></row><row r="2032"><cell r="C2032" t="str"><v>43296Facebook»Retargeting»1x1»SocialBan»LIA»DT»DYN»RT»W»NA»SS»NA»Free Account Retargeting Generic- Global Alt ChB</v></cell><cell r="D2032" t="str"><v>43296223560356</v></cell><cell r="E2032" t="str"><v>43296102854016lt ChB</v></cell><cell r="F2032" t="str"><v>DCM</v></cell><cell r="G2032" t="str"><v>https://azure.microsoft.com/en-gb/free/search/</v></cell></row><row r="2032"><cell r="K2032" t="str"><v>July</v></cell><cell r="L2032"><v>43302</v></cell><cell r="M2032" t="str"><v>Tier 1</v></cell><cell r="N2032" t="str"><v>EMEA</v></cell><cell r="O2032" t="str"><v>United Kingdom</v></cell><cell r="P2032" t="str"><v>Trial</v></cell><cell r="Q2032" t="str"><v>Social</v></cell><cell r="R2032" t="str"><v>Azure</v></cell><cell r="S2032" t="str"><v>Apps & Infra</v></cell><cell r="T2032" t="str"><v>Developers & ITI's</v></cell><cell r="U2032" t="str"><v>Retargeting</v></cell><cell r="V2032" t="str"><v>Retargeting</v></cell><cell r="W2032" t="str"><v>Link Ad</v></cell><cell r="X2032" t="str"><v>1x1</v></cell></row><row r="2032"><cell r="AA2032"><v>43296</v></cell><cell r="AB2032" t="str"><v>GBR_gaPMG_CE_AZR_Q1_19_Trial-Social</v></cell><cell r="AC2032"><v>21337013</v></cell><cell r="AD2032"><v>720196</v></cell><cell r="AE2032" t="str"><v>Facebook</v></cell><cell r="AF2032"><v>3654128</v></cell><cell r="AG2032" t="str"><v>Facebook»Retargeting»1x1»SocialBan»LIA»DT»DYN»RT»W»NA»SS»NA»Free Account Retargeting Generic- Global Alt ChB</v></cell><cell r="AH2032"><v>223560356</v></cell><cell r="AI2032" t="str"><v>AzurePlatform_FreeAcctRetargetingFB-GlobalAlt-ChB_GBR_1200x628_SOC_Plat_EN_Free Account_Standard_NA_SU_T2_1</v></cell><cell r="AJ2032"><v>102854016</v></cell></row><row r="2033"><cell r="C2033" t="str"><v>43296Facebook»Retargeting»1x1»SocialBan»LIA»DT»DYN»RT»W»NA»SS»NA»Free Account Retargeting OSS- Logos ChG</v></cell><cell r="D2033" t="str"><v>43296223560350</v></cell><cell r="E2033" t="str"><v>43296103006547os ChG</v></cell><cell r="F2033" t="str"><v>DCM</v></cell><cell r="G2033" t="str"><v>https://azure.microsoft.com/en-gb/free/open-source/search/</v></cell></row><row r="2033"><cell r="K2033" t="str"><v>July</v></cell><cell r="L2033"><v>43302</v></cell><cell r="M2033" t="str"><v>Tier 1</v></cell><cell r="N2033" t="str"><v>EMEA</v></cell><cell r="O2033" t="str"><v>United Kingdom</v></cell><cell r="P2033" t="str"><v>Trial</v></cell><cell r="Q2033" t="str"><v>Social</v></cell><cell r="R2033" t="str"><v>Azure</v></cell><cell r="S2033" t="str"><v>Apps & Infra</v></cell><cell r="T2033" t="str"><v>Developers & ITI's</v></cell><cell r="U2033" t="str"><v>Retargeting</v></cell><cell r="V2033" t="str"><v>Retargeting</v></cell><cell r="W2033" t="str"><v>Link Ad</v></cell><cell r="X2033" t="str"><v>1x1</v></cell></row><row r="2033"><cell r="AA2033"><v>43296</v></cell><cell r="AB2033" t="str"><v>GBR_gaPMG_CE_AZR_Q1_19_Trial-Social</v></cell><cell r="AC2033"><v>21337013</v></cell><cell r="AD2033"><v>720196</v></cell><cell r="AE2033" t="str"><v>Facebook</v></cell><cell r="AF2033"><v>3654128</v></cell><cell r="AG2033" t="str"><v>Facebook»Retargeting»1x1»SocialBan»LIA»DT»DYN»RT»W»NA»SS»NA»Free Account Retargeting OSS- Logos ChG</v></cell><cell r="AH2033"><v>223560350</v></cell><cell r="AI2033" t="str"><v>AzurePlatform_FreeAcctRetargetingOSSFB-Logos-ChG_GBR_1200x628_SOC_Plat_EN_Free Account_Standard_NA_SU_T2_1</v></cell><cell r="AJ2033"><v>103006547</v></cell></row><row r="2034"><cell r="C2034" t="str"><v>43296Facebook»Retargeting»1x1»SocialBan»LIA»DT»DYN»RT»W»NA»SS»NA»Free Account Retargeting VM- 750 Hrs ChD</v></cell><cell r="D2034" t="str"><v>43296223560338</v></cell><cell r="E2034" t="str"><v>43296102853603rs ChD</v></cell><cell r="F2034" t="str"><v>DCM</v></cell><cell r="G2034" t="str"><v>https://azure.microsoft.com/en-gb/free/virtual-machines/search/</v></cell></row><row r="2034"><cell r="K2034" t="str"><v>July</v></cell><cell r="L2034"><v>43302</v></cell><cell r="M2034" t="str"><v>Tier 1</v></cell><cell r="N2034" t="str"><v>EMEA</v></cell><cell r="O2034" t="str"><v>United Kingdom</v></cell><cell r="P2034" t="str"><v>Trial</v></cell><cell r="Q2034" t="str"><v>Social</v></cell><cell r="R2034" t="str"><v>Azure</v></cell><cell r="S2034" t="str"><v>Apps & Infra</v></cell><cell r="T2034" t="str"><v>Developers & ITI's</v></cell><cell r="U2034" t="str"><v>Retargeting</v></cell><cell r="V2034" t="str"><v>Retargeting</v></cell><cell r="W2034" t="str"><v>Link Ad</v></cell><cell r="X2034" t="str"><v>1x1</v></cell></row><row r="2034"><cell r="AA2034"><v>43296</v></cell><cell r="AB2034" t="str"><v>GBR_gaPMG_CE_AZR_Q1_19_Trial-Social</v></cell><cell r="AC2034"><v>21337013</v></cell><cell r="AD2034"><v>720196</v></cell><cell r="AE2034" t="str"><v>Facebook</v></cell><cell r="AF2034"><v>3654128</v></cell><cell r="AG2034" t="str"><v>Facebook»Retargeting»1x1»SocialBan»LIA»DT»DYN»RT»W»NA»SS»NA»Free Account Retargeting VM- 750 Hrs ChD</v></cell><cell r="AH2034"><v>223560338</v></cell><cell r="AI2034" t="str"><v>AzurePlatform_FreeAcctRetargetingVMFB-750Hrs-ChD_GBR_1200x628_SOC_Plat_EN_Free Account_Standard_NA_SU_T1_1</v></cell><cell r="AJ2034"><v>102853603</v></cell></row><row r="2035"><cell r="C2035" t="str"><v>43296Facebook»AZP-Canvas-Interest&Role-Trial»1x1»Canvas»OTH»MO»CPM»PRO»X»UNK»TP»OT»Canvas-Trial</v></cell><cell r="D2035" t="str"><v>43296223298805</v></cell><cell r="E2035" t="str"><v>43296102609621-Trial</v></cell><cell r="F2035" t="str"><v>DCM</v></cell><cell r="G2035" t="str"><v>https://signup.azure.com/signup?offer=ms-azr-0044p&appId=102&ref=paidmedia-social-fb&redirectURL=https%3a%2f%2fazure.microsoft.com%2fja-jp%2fget-started%2fwelcome-to-azure%2f&l=ja-jp&correlationId=ead86c34-1f10-49dd-a72b-6918462a2cbf</v></cell></row><row r="2035"><cell r="K2035" t="str"><v>July</v></cell><cell r="L2035"><v>43302</v></cell><cell r="M2035" t="str"><v>Tier 1</v></cell><cell r="N2035" t="str"><v>APAC</v></cell><cell r="O2035" t="str"><v>Japan</v></cell><cell r="P2035" t="str"><v>Trial</v></cell><cell r="Q2035" t="str"><v>Social</v></cell><cell r="R2035" t="str"><v>Azure</v></cell><cell r="S2035" t="str"><v>Apps & Infra</v></cell><cell r="T2035" t="str"><v>Developers & ITI's</v></cell><cell r="U2035" t="str"><v>AZP-Canvas-Interest&Role-Trial</v></cell><cell r="V2035" t="str"><v>Prospecting</v></cell><cell r="W2035" t="str"><v>Other</v></cell><cell r="X2035" t="str"><v>1x1</v></cell></row><row r="2035"><cell r="AA2035"><v>43296</v></cell><cell r="AB2035" t="str"><v>JPN_gaPMG_AZR_AZR_Q1_19_Trial-Social</v></cell><cell r="AC2035"><v>21276694</v></cell><cell r="AD2035"><v>720195</v></cell><cell r="AE2035" t="str"><v>Facebook</v></cell><cell r="AF2035"><v>3654128</v></cell><cell r="AG2035" t="str"><v>Facebook»AZP-Canvas-Interest&Role-Trial»1x1»Canvas»OTH»MO»CPM»PRO»X»UNK»TP»OT»Canvas-Trial</v></cell><cell r="AH2035"><v>223298805</v></cell><cell r="AI2035" t="str"><v>AzurePlatform_FBCTCcanvaspage-StartFreeCTA-Img2_JPN_1080x143 _SOC_Plat_Japanese_NA_Standard_NA_NA_T2_1</v></cell><cell r="AJ2035"><v>102609621</v></cell></row><row r="2036"><cell r="C2036" t="str"><v>43296Facebook»AZP-Canvas-Look a Like-Trial»1x1»Canvas»OTH»MO»CPM»PRO»X»UNK»TP»OT»Canvas-Trial</v></cell><cell r="D2036" t="str"><v>43296223297413</v></cell><cell r="E2036" t="str"><v>43296102630373-Trial</v></cell><cell r="F2036" t="str"><v>DCM</v></cell><cell r="G2036" t="str"><v>https://azure.microsoft.com/ja-jp/pricing/purchase-options/</v></cell></row><row r="2036"><cell r="K2036" t="str"><v>July</v></cell><cell r="L2036"><v>43302</v></cell><cell r="M2036" t="str"><v>Tier 1</v></cell><cell r="N2036" t="str"><v>APAC</v></cell><cell r="O2036" t="str"><v>Japan</v></cell><cell r="P2036" t="str"><v>Trial</v></cell><cell r="Q2036" t="str"><v>Social</v></cell><cell r="R2036" t="str"><v>Azure</v></cell><cell r="S2036" t="str"><v>Apps & Infra</v></cell><cell r="T2036" t="str"><v>Developers & ITI's</v></cell><cell r="U2036" t="str"><v>AZP-Canvas-Look a Like-Trial</v></cell><cell r="V2036" t="str"><v>Prospecting</v></cell><cell r="W2036" t="str"><v>Other</v></cell><cell r="X2036" t="str"><v>1x1</v></cell></row><row r="2036"><cell r="AA2036"><v>43296</v></cell><cell r="AB2036" t="str"><v>JPN_gaPMG_AZR_AZR_Q1_19_Trial-Social</v></cell><cell r="AC2036"><v>21276694</v></cell><cell r="AD2036"><v>720195</v></cell><cell r="AE2036" t="str"><v>Facebook</v></cell><cell r="AF2036"><v>3654128</v></cell><cell r="AG2036" t="str"><v>Facebook»AZP-Canvas-Look a Like-Trial»1x1»Canvas»OTH»MO»CPM»PRO»X»UNK»TP»OT»Canvas-Trial</v></cell><cell r="AH2036"><v>223297413</v></cell><cell r="AI2036" t="str"><v>AzurePlatform_FBCTCcanvaspage-BuyNowCTA-Img3_JPN_1080x162_SOC_Plat_Japanese_NA_Standard_NA_BN_T3_1</v></cell><cell r="AJ2036"><v>102630373</v></cell></row><row r="2037"><cell r="C2037" t="str"><v>43296Facebook»AZP-Canvas-Look a Like-Trial»1x1»Canvas»OTH»MO»CPM»PRO»X»UNK»TP»OT»Canvas-Trial</v></cell><cell r="D2037" t="str"><v>43296223297413</v></cell><cell r="E2037" t="str"><v>43296102609621-Trial</v></cell><cell r="F2037" t="str"><v>DCM</v></cell><cell r="G2037" t="str"><v>https://signup.azure.com/signup?offer=ms-azr-0044p&appId=102&ref=paidmedia-social-fb&redirectURL=https%3a%2f%2fazure.microsoft.com%2fja-jp%2fget-started%2fwelcome-to-azure%2f&l=ja-jp&correlationId=ead86c34-1f10-49dd-a72b-6918462a2cbf</v></cell></row><row r="2037"><cell r="K2037" t="str"><v>July</v></cell><cell r="L2037"><v>43302</v></cell><cell r="M2037" t="str"><v>Tier 1</v></cell><cell r="N2037" t="str"><v>APAC</v></cell><cell r="O2037" t="str"><v>Japan</v></cell><cell r="P2037" t="str"><v>Trial</v></cell><cell r="Q2037" t="str"><v>Social</v></cell><cell r="R2037" t="str"><v>Azure</v></cell><cell r="S2037" t="str"><v>Apps & Infra</v></cell><cell r="T2037" t="str"><v>Developers & ITI's</v></cell><cell r="U2037" t="str"><v>AZP-Canvas-Look a Like-Trial</v></cell><cell r="V2037" t="str"><v>Prospecting</v></cell><cell r="W2037" t="str"><v>Other</v></cell><cell r="X2037" t="str"><v>1x1</v></cell></row><row r="2037"><cell r="AA2037"><v>43296</v></cell><cell r="AB2037" t="str"><v>JPN_gaPMG_AZR_AZR_Q1_19_Trial-Social</v></cell><cell r="AC2037"><v>21276694</v></cell><cell r="AD2037"><v>720195</v></cell><cell r="AE2037" t="str"><v>Facebook</v></cell><cell r="AF2037"><v>3654128</v></cell><cell r="AG2037" t="str"><v>Facebook»AZP-Canvas-Look a Like-Trial»1x1»Canvas»OTH»MO»CPM»PRO»X»UNK»TP»OT»Canvas-Trial</v></cell><cell r="AH2037"><v>223297413</v></cell><cell r="AI2037" t="str"><v>AzurePlatform_FBCTCcanvaspage-StartFreeCTA-Img2_JPN_1080x143 _SOC_Plat_Japanese_NA_Standard_NA_NA_T2_1</v></cell><cell r="AJ2037"><v>102609621</v></cell></row><row r="2038"><cell r="C2038" t="str"><v>43296Facebook»AZP-Retargeting»1x1»Ban»LIA»ALL»CPM»RT»X»All»TP»OT»Free Account Retargeting Generic-ChB</v></cell><cell r="D2038" t="str"><v>43296223726377</v></cell><cell r="E2038" t="str"><v>43296102977720ic-ChB</v></cell><cell r="F2038" t="str"><v>DCM</v></cell><cell r="G2038" t="str"><v>https://azure.microsoft.com/ja-jp/free/search/</v></cell></row><row r="2038"><cell r="K2038" t="str"><v>July</v></cell><cell r="L2038"><v>43302</v></cell><cell r="M2038" t="str"><v>Tier 1</v></cell><cell r="N2038" t="str"><v>APAC</v></cell><cell r="O2038" t="str"><v>Japan</v></cell><cell r="P2038" t="str"><v>Trial</v></cell><cell r="Q2038" t="str"><v>Social</v></cell><cell r="R2038" t="str"><v>Azure</v></cell><cell r="S2038" t="str"><v>Apps & Infra</v></cell><cell r="T2038" t="str"><v>Developers & ITI's</v></cell><cell r="U2038" t="str"><v>AZP-Retargeting</v></cell><cell r="V2038" t="str"><v>Retargeting</v></cell><cell r="W2038" t="str"><v>Link Ad</v></cell><cell r="X2038" t="str"><v>1x1</v></cell></row><row r="2038"><cell r="AA2038"><v>43296</v></cell><cell r="AB2038" t="str"><v>JPN_gaPMG_AZR_AZR_Q1_19_Trial-Social</v></cell><cell r="AC2038"><v>21276694</v></cell><cell r="AD2038"><v>720195</v></cell><cell r="AE2038" t="str"><v>Facebook</v></cell><cell r="AF2038"><v>3654128</v></cell><cell r="AG2038" t="str"><v>Facebook»AZP-Retargeting»1x1»Ban»LIA»ALL»CPM»RT»X»All»TP»OT»Free Account Retargeting Generic-ChB</v></cell><cell r="AH2038"><v>223726377</v></cell><cell r="AI2038" t="str"><v>AzurePlatform_FreeAcctRetargetingFB-GlobalAlt-ChB_JPN_1200x628_SOC_Plat_JA_Free Account_Standard_NA_SU_T2_1</v></cell><cell r="AJ2038"><v>102977720</v></cell></row><row r="2039"><cell r="C2039" t="str"><v>43296Facebook»AZP-Retargeting»1x1»Ban»LIA»ALL»CPM»RT»X»All»TP»OT»Free Account Retargeting OSS-ChG</v></cell><cell r="D2039" t="str"><v>43296223726365</v></cell><cell r="E2039" t="str"><v>43296102976850SS-ChG</v></cell><cell r="F2039" t="str"><v>DCM</v></cell><cell r="G2039" t="str"><v>https://azure.microsoft.com/ja-jp/free/open-source/search/</v></cell></row><row r="2039"><cell r="K2039" t="str"><v>July</v></cell><cell r="L2039"><v>43302</v></cell><cell r="M2039" t="str"><v>Tier 1</v></cell><cell r="N2039" t="str"><v>APAC</v></cell><cell r="O2039" t="str"><v>Japan</v></cell><cell r="P2039" t="str"><v>Trial</v></cell><cell r="Q2039" t="str"><v>Social</v></cell><cell r="R2039" t="str"><v>Azure</v></cell><cell r="S2039" t="str"><v>Apps & Infra</v></cell><cell r="T2039" t="str"><v>Developers & ITI's</v></cell><cell r="U2039" t="str"><v>AZP-Retargeting</v></cell><cell r="V2039" t="str"><v>Retargeting</v></cell><cell r="W2039" t="str"><v>Link Ad</v></cell><cell r="X2039" t="str"><v>1x1</v></cell></row><row r="2039"><cell r="AA2039"><v>43296</v></cell><cell r="AB2039" t="str"><v>JPN_gaPMG_AZR_AZR_Q1_19_Trial-Social</v></cell><cell r="AC2039"><v>21276694</v></cell><cell r="AD2039"><v>720195</v></cell><cell r="AE2039" t="str"><v>Facebook</v></cell><cell r="AF2039"><v>3654128</v></cell><cell r="AG2039" t="str"><v>Facebook»AZP-Retargeting»1x1»Ban»LIA»ALL»CPM»RT»X»All»TP»OT»Free Account Retargeting OSS-ChG</v></cell><cell r="AH2039"><v>223726365</v></cell><cell r="AI2039" t="str"><v>AzurePlatform_FreeAcctRetargetingOSSFB-Logos-ChG_JPN_1200x628_SOC_Plat_JA_Free Account_Standard_NA_SU_T2_1</v></cell><cell r="AJ2039"><v>102976850</v></cell></row><row r="2040"><cell r="C2040" t="str"><v>43296Facebook»AZP-Retargeting»1x1»Ban»LIA»ALL»CPM»RT»X»All»TP»OT»Free Account Retargeting VM-ChD</v></cell><cell r="D2040" t="str"><v>43296223726374</v></cell><cell r="E2040" t="str"><v>43296102971306VM-ChD</v></cell><cell r="F2040" t="str"><v>DCM</v></cell><cell r="G2040" t="str"><v>https://azure.microsoft.com/ja-jp/free/virtual-machines/search/</v></cell></row><row r="2040"><cell r="K2040" t="str"><v>July</v></cell><cell r="L2040"><v>43302</v></cell><cell r="M2040" t="str"><v>Tier 1</v></cell><cell r="N2040" t="str"><v>APAC</v></cell><cell r="O2040" t="str"><v>Japan</v></cell><cell r="P2040" t="str"><v>Trial</v></cell><cell r="Q2040" t="str"><v>Social</v></cell><cell r="R2040" t="str"><v>Azure</v></cell><cell r="S2040" t="str"><v>Apps & Infra</v></cell><cell r="T2040" t="str"><v>Developers & ITI's</v></cell><cell r="U2040" t="str"><v>AZP-Retargeting</v></cell><cell r="V2040" t="str"><v>Retargeting</v></cell><cell r="W2040" t="str"><v>Link Ad</v></cell><cell r="X2040" t="str"><v>1x1</v></cell></row><row r="2040"><cell r="AA2040"><v>43296</v></cell><cell r="AB2040" t="str"><v>JPN_gaPMG_AZR_AZR_Q1_19_Trial-Social</v></cell><cell r="AC2040"><v>21276694</v></cell><cell r="AD2040"><v>720195</v></cell><cell r="AE2040" t="str"><v>Facebook</v></cell><cell r="AF2040"><v>3654128</v></cell><cell r="AG2040" t="str"><v>Facebook»AZP-Retargeting»1x1»Ban»LIA»ALL»CPM»RT»X»All»TP»OT»Free Account Retargeting VM-ChD</v></cell><cell r="AH2040"><v>223726374</v></cell><cell r="AI2040" t="str"><v>AzurePlatform_FreeAcctRetargetingVMFB-750Hrs-ChD_JPN_1200x628_SOC_Plat_JA_Free Account_Standard_NA_SU_T1_1</v></cell><cell r="AJ2040"><v>102971306</v></cell></row><row r="2041"><cell r="C2041" t="str"><v>43296Facebook»AZP-Retargeting»1x1»Canvas»OTH»MO»CPM»RT»W»UNK»TP»OT»Trial-Basicmotion</v></cell><cell r="D2041" t="str"><v>43296223298811</v></cell><cell r="E2041" t="str"><v>43296102773984motion</v></cell><cell r="F2041" t="str"><v>DCM</v></cell><cell r="G2041" t="str"><v>https://azure.microsoft.com/ja-jp/free/search/</v></cell></row><row r="2041"><cell r="K2041" t="str"><v>July</v></cell><cell r="L2041"><v>43302</v></cell><cell r="M2041" t="str"><v>Tier 1</v></cell><cell r="N2041" t="str"><v>APAC</v></cell><cell r="O2041" t="str"><v>Japan</v></cell><cell r="P2041" t="str"><v>Trial</v></cell><cell r="Q2041" t="str"><v>Social</v></cell><cell r="R2041" t="str"><v>Azure</v></cell><cell r="S2041" t="str"><v>Apps & Infra</v></cell><cell r="T2041" t="str"><v>Developers & ITI's</v></cell><cell r="U2041" t="str"><v>AZP-Retargeting</v></cell><cell r="V2041" t="str"><v>Retargeting</v></cell><cell r="W2041" t="str"><v>Other</v></cell><cell r="X2041" t="str"><v>1x1</v></cell></row><row r="2041"><cell r="AA2041"><v>43296</v></cell><cell r="AB2041" t="str"><v>JPN_gaPMG_AZR_AZR_Q1_19_Trial-Social</v></cell><cell r="AC2041"><v>21276694</v></cell><cell r="AD2041"><v>720195</v></cell><cell r="AE2041" t="str"><v>Facebook</v></cell><cell r="AF2041"><v>3654128</v></cell><cell r="AG2041" t="str"><v>Facebook»AZP-Retargeting»1x1»Canvas»OTH»MO»CPM»RT»W»UNK»TP»OT»Trial-Basicmotion</v></cell><cell r="AH2041"><v>223298811</v></cell><cell r="AI2041" t="str"><v>AzurePlatform_FBCTCBasicMotion_JPN_10sec_ISV_PLAT_JA_Trial_Standard_STAN_TN_T1_1</v></cell><cell r="AJ2041"><v>102773984</v></cell></row><row r="2042"><cell r="C2042" t="str"><v>43296Facebook»AZP-Retargeting»1x1»Canvas»OTH»MO»CPM»RT»W»UNK»TP»OT»Trial-Benefit2inMotion</v></cell><cell r="D2042" t="str"><v>43296223298496</v></cell><cell r="E2042" t="str"><v>43296102630376Motion</v></cell><cell r="F2042" t="str"><v>DCM</v></cell><cell r="G2042" t="str"><v>https://azure.microsoft.com/ja-jp/free/search/</v></cell></row><row r="2042"><cell r="K2042" t="str"><v>July</v></cell><cell r="L2042"><v>43302</v></cell><cell r="M2042" t="str"><v>Tier 1</v></cell><cell r="N2042" t="str"><v>APAC</v></cell><cell r="O2042" t="str"><v>Japan</v></cell><cell r="P2042" t="str"><v>Trial</v></cell><cell r="Q2042" t="str"><v>Social</v></cell><cell r="R2042" t="str"><v>Azure</v></cell><cell r="S2042" t="str"><v>Apps & Infra</v></cell><cell r="T2042" t="str"><v>Developers & ITI's</v></cell><cell r="U2042" t="str"><v>AZP-Retargeting</v></cell><cell r="V2042" t="str"><v>Retargeting</v></cell><cell r="W2042" t="str"><v>Other</v></cell><cell r="X2042" t="str"><v>1x1</v></cell></row><row r="2042"><cell r="AA2042"><v>43296</v></cell><cell r="AB2042" t="str"><v>JPN_gaPMG_AZR_AZR_Q1_19_Trial-Social</v></cell><cell r="AC2042"><v>21276694</v></cell><cell r="AD2042"><v>720195</v></cell><cell r="AE2042" t="str"><v>Facebook</v></cell><cell r="AF2042"><v>3654128</v></cell><cell r="AG2042" t="str"><v>Facebook»AZP-Retargeting»1x1»Canvas»OTH»MO»CPM»RT»W»UNK»TP»OT»Trial-Benefit2inMotion</v></cell><cell r="AH2042"><v>223298496</v></cell><cell r="AI2042" t="str"><v>AzurePlatform_FBCTCBenefit2inMotion_JPN_14sec_ISV_PLAT_JA_Trial_Standard_STAN_TN_T4_1</v></cell><cell r="AJ2042"><v>102630376</v></cell></row><row r="2043"><cell r="C2043" t="str"><v>43296Facebook»AZP-Retargeting»1x1»Canvas»OTH»MO»CPM»RT»W»UNK»TP»OT»Trial-BrandinMotion</v></cell><cell r="D2043" t="str"><v>43296223298823</v></cell><cell r="E2043" t="str"><v>43296102612720Motion</v></cell><cell r="F2043" t="str"><v>DCM</v></cell><cell r="G2043" t="str"><v>https://azure.microsoft.com/ja-jp/free/search/</v></cell></row><row r="2043"><cell r="K2043" t="str"><v>July</v></cell><cell r="L2043"><v>43302</v></cell><cell r="M2043" t="str"><v>Tier 1</v></cell><cell r="N2043" t="str"><v>APAC</v></cell><cell r="O2043" t="str"><v>Japan</v></cell><cell r="P2043" t="str"><v>Trial</v></cell><cell r="Q2043" t="str"><v>Social</v></cell><cell r="R2043" t="str"><v>Azure</v></cell><cell r="S2043" t="str"><v>Apps & Infra</v></cell><cell r="T2043" t="str"><v>Developers & ITI's</v></cell><cell r="U2043" t="str"><v>AZP-Retargeting</v></cell><cell r="V2043" t="str"><v>Retargeting</v></cell><cell r="W2043" t="str"><v>Other</v></cell><cell r="X2043" t="str"><v>1x1</v></cell></row><row r="2043"><cell r="AA2043"><v>43296</v></cell><cell r="AB2043" t="str"><v>JPN_gaPMG_AZR_AZR_Q1_19_Trial-Social</v></cell><cell r="AC2043"><v>21276694</v></cell><cell r="AD2043"><v>720195</v></cell><cell r="AE2043" t="str"><v>Facebook</v></cell><cell r="AF2043"><v>3654128</v></cell><cell r="AG2043" t="str"><v>Facebook»AZP-Retargeting»1x1»Canvas»OTH»MO»CPM»RT»W»UNK»TP»OT»Trial-BrandinMotion</v></cell><cell r="AH2043"><v>223298823</v></cell><cell r="AI2043" t="str"><v>AzurePlatform_FBCTCBrandinMotion_JPN_12sec_ISV_PLAT_JA_Trial_Standard_STAN_TN_T2_1</v></cell><cell r="AJ2043"><v>102612720</v></cell></row><row r="2044"><cell r="C2044" t="str"><v>43296FACEBOOK»USA-Trial-ITD-Interest Prospecting-AZR-AZR»1 x 1»SocialBan»CAN»ALL»CPA»PRO»X»NA»SS»NA»FBCTCBasicMotion»PRC1SV</v></cell><cell r="D2044" t="str"><v>43296223934062</v></cell><cell r="E2044" t="str"><v>43296103043823PRC1SV</v></cell><cell r="F2044" t="str"><v>DCM</v></cell><cell r="G2044" t="str"><v>https://signup.azure.com/?OCID=AID%eexcid!_OLA_%ebuy!_%epid!_%ecid!</v></cell></row><row r="2044"><cell r="K2044" t="str"><v>July</v></cell><cell r="L2044"><v>43302</v></cell><cell r="M2044" t="str"><v>Tier 0</v></cell><cell r="N2044" t="str"><v>North America</v></cell><cell r="O2044" t="str"><v>United States</v></cell><cell r="P2044" t="str"><v>Trial</v></cell><cell r="Q2044" t="str"><v>Social</v></cell><cell r="R2044" t="str"><v>Azure</v></cell><cell r="S2044" t="str"><v>Apps & Infra</v></cell><cell r="T2044" t="str"><v>Developers & ITI's</v></cell><cell r="U2044" t="str"><v>USA-Trial-ITD-Interest Prospecting-AZR-AZR</v></cell><cell r="V2044" t="str"><v>Prospecting</v></cell><cell r="W2044" t="str"><v>Canvas Ad</v></cell><cell r="X2044" t="str"><v>1x1</v></cell></row><row r="2044"><cell r="AA2044"><v>43296</v></cell><cell r="AB2044" t="str"><v>USA_gaPMG_AZR_AZR_Q1_19_Direct-Social</v></cell><cell r="AC2044"><v>21358715</v></cell><cell r="AD2044"><v>720197</v></cell><cell r="AE2044" t="str"><v>Facebook</v></cell><cell r="AF2044"><v>3654128</v></cell><cell r="AG2044" t="str"><v>FACEBOOK»USA-Trial-ITD-Interest Prospecting-AZR-AZR»1 x 1»SocialBan»CAN»ALL»CPA»PRO»X»NA»SS»NA»FBCTCBasicMotion»PRC1SV</v></cell><cell r="AH2044"><v>223934062</v></cell><cell r="AI2044" t="str"><v>AzurePlatform_FBCTCBasicMotion_USA_10s_CAN_PLATFORM_English_Trial_Standard_STAN_TIN_T1_1</v></cell><cell r="AJ2044"><v>103043823</v></cell></row><row r="2045"><cell r="C2045" t="str"><v>43296FACEBOOK»USA-Trial-ITD-Interest Prospecting-AZR-AZR»1 x 1»SocialBan»CAN»ALL»CPA»PRO»X»NA»SS»NA»FBCTCBasicMotion»PRC1SV</v></cell><cell r="D2045" t="str"><v>43296223934062</v></cell><cell r="E2045" t="str"><v>43296103175984PRC1SV</v></cell><cell r="F2045" t="str"><v>DCM</v></cell><cell r="G2045" t="str"><v>https://azure.microsoft.com/en-us/pricing/purchase-options/?v=18.19&OCID=AID%eexcid!_OLA_%ebuy!_%epid!_%ecid!</v></cell></row><row r="2045"><cell r="K2045" t="str"><v>July</v></cell><cell r="L2045"><v>43302</v></cell><cell r="M2045" t="str"><v>Tier 0</v></cell><cell r="N2045" t="str"><v>North America</v></cell><cell r="O2045" t="str"><v>United States</v></cell><cell r="P2045" t="str"><v>Trial</v></cell><cell r="Q2045" t="str"><v>Social</v></cell><cell r="R2045" t="str"><v>Azure</v></cell><cell r="S2045" t="str"><v>Apps & Infra</v></cell><cell r="T2045" t="str"><v>Developers & ITI's</v></cell><cell r="U2045" t="str"><v>USA-Trial-ITD-Interest Prospecting-AZR-AZR</v></cell><cell r="V2045" t="str"><v>Prospecting</v></cell><cell r="W2045" t="str"><v>Canvas Ad</v></cell><cell r="X2045" t="str"><v>1x1</v></cell></row><row r="2045"><cell r="AA2045"><v>43296</v></cell><cell r="AB2045" t="str"><v>USA_gaPMG_AZR_AZR_Q1_19_Direct-Social</v></cell><cell r="AC2045"><v>21358715</v></cell><cell r="AD2045"><v>720197</v></cell><cell r="AE2045" t="str"><v>Facebook</v></cell><cell r="AF2045"><v>3654128</v></cell><cell r="AG2045" t="str"><v>FACEBOOK»USA-Trial-ITD-Interest Prospecting-AZR-AZR»1 x 1»SocialBan»CAN»ALL»CPA»PRO»X»NA»SS»NA»FBCTCBasicMotion»PRC1SV</v></cell><cell r="AH2045"><v>223934062</v></cell><cell r="AI2045" t="str"><v>AzurePlatform_FBCTCBasicMotion_USA_10s_CAN_PLATFORM_English_Trial_Standard_STAN_TIN_T1_2</v></cell><cell r="AJ2045"><v>103175984</v></cell></row><row r="2046"><cell r="C2046" t="str"><v>43296FACEBOOK»USA-Trial-ITD-Interest Prospecting-AZR-AZR»1 x 1»SocialBan»CAN»ALL»CPA»PRO»X»NA»SS»NA»FBCTCBenefit2inMotion»PRC1SW</v></cell><cell r="D2046" t="str"><v>43296223933138</v></cell><cell r="E2046" t="str"><v>43296103043835PRC1SW</v></cell><cell r="F2046" t="str"><v>DCM</v></cell><cell r="G2046" t="str"><v>https://signup.azure.com/?OCID=AID%eexcid!_OLA_%ebuy!_%epid!_%ecid!</v></cell></row><row r="2046"><cell r="K2046" t="str"><v>July</v></cell><cell r="L2046"><v>43302</v></cell><cell r="M2046" t="str"><v>Tier 0</v></cell><cell r="N2046" t="str"><v>North America</v></cell><cell r="O2046" t="str"><v>United States</v></cell><cell r="P2046" t="str"><v>Trial</v></cell><cell r="Q2046" t="str"><v>Social</v></cell><cell r="R2046" t="str"><v>Azure</v></cell><cell r="S2046" t="str"><v>Apps & Infra</v></cell><cell r="T2046" t="str"><v>Developers & ITI's</v></cell><cell r="U2046" t="str"><v>USA-Trial-ITD-Interest Prospecting-AZR-AZR</v></cell><cell r="V2046" t="str"><v>Prospecting</v></cell><cell r="W2046" t="str"><v>Canvas Ad</v></cell><cell r="X2046" t="str"><v>1x1</v></cell></row><row r="2046"><cell r="AA2046"><v>43296</v></cell><cell r="AB2046" t="str"><v>USA_gaPMG_AZR_AZR_Q1_19_Direct-Social</v></cell><cell r="AC2046"><v>21358715</v></cell><cell r="AD2046"><v>720197</v></cell><cell r="AE2046" t="str"><v>Facebook</v></cell><cell r="AF2046"><v>3654128</v></cell><cell r="AG2046" t="str"><v>FACEBOOK»USA-Trial-ITD-Interest Prospecting-AZR-AZR»1 x 1»SocialBan»CAN»ALL»CPA»PRO»X»NA»SS»NA»FBCTCBenefit2inMotion»PRC1SW</v></cell><cell r="AH2046"><v>223933138</v></cell><cell r="AI2046" t="str"><v>AzurePlatform_FBCTCBenefit2inMotion_USA_10s_CAN_PLATFORM_English_Trial_Standard_STAN_TIN_T4_1</v></cell><cell r="AJ2046"><v>103043835</v></cell></row><row r="2047"><cell r="C2047" t="str"><v>43296FACEBOOK»USA-Trial-ITD-Interest Prospecting-AZR-AZR»1 x 1»SocialBan»CAN»ALL»CPA»PRO»X»NA»SS»NA»FBCTCBenefit2inMotion»PRC1SW</v></cell><cell r="D2047" t="str"><v>43296223933138</v></cell><cell r="E2047" t="str"><v>43296103178645PRC1SW</v></cell><cell r="F2047" t="str"><v>DCM</v></cell><cell r="G2047" t="str"><v>https://azure.microsoft.com/en-us/pricing/purchase-options/?v=18.19&OCID=AID%eexcid!_OLA_%ebuy!_%epid!_%ecid!</v></cell></row><row r="2047"><cell r="K2047" t="str"><v>July</v></cell><cell r="L2047"><v>43302</v></cell><cell r="M2047" t="str"><v>Tier 0</v></cell><cell r="N2047" t="str"><v>North America</v></cell><cell r="O2047" t="str"><v>United States</v></cell><cell r="P2047" t="str"><v>Trial</v></cell><cell r="Q2047" t="str"><v>Social</v></cell><cell r="R2047" t="str"><v>Azure</v></cell><cell r="S2047" t="str"><v>Apps & Infra</v></cell><cell r="T2047" t="str"><v>Developers & ITI's</v></cell><cell r="U2047" t="str"><v>USA-Trial-ITD-Interest Prospecting-AZR-AZR</v></cell><cell r="V2047" t="str"><v>Prospecting</v></cell><cell r="W2047" t="str"><v>Canvas Ad</v></cell><cell r="X2047" t="str"><v>1x1</v></cell></row><row r="2047"><cell r="AA2047"><v>43296</v></cell><cell r="AB2047" t="str"><v>USA_gaPMG_AZR_AZR_Q1_19_Direct-Social</v></cell><cell r="AC2047"><v>21358715</v></cell><cell r="AD2047"><v>720197</v></cell><cell r="AE2047" t="str"><v>Facebook</v></cell><cell r="AF2047"><v>3654128</v></cell><cell r="AG2047" t="str"><v>FACEBOOK»USA-Trial-ITD-Interest Prospecting-AZR-AZR»1 x 1»SocialBan»CAN»ALL»CPA»PRO»X»NA»SS»NA»FBCTCBenefit2inMotion»PRC1SW</v></cell><cell r="AH2047"><v>223933138</v></cell><cell r="AI2047" t="str"><v>AzurePlatform_FBCTCBenefit2inMotion_USA_10s_CAN_PLATFORM_English_Trial_Standard_STAN_TIN_T4_2</v></cell><cell r="AJ2047"><v>103178645</v></cell></row><row r="2048"><cell r="C2048" t="str"><v>43296FACEBOOK»USA-Trial-ITD-Interest Prospecting-AZR-AZR»1 x 1»SocialBan»CAN»ALL»CPA»PRO»X»NA»SS»NA»FBCTCBrandinMotion»PRC1SY</v></cell><cell r="D2048" t="str"><v>43296224104929</v></cell><cell r="E2048" t="str"><v>43296103176812PRC1SY</v></cell><cell r="F2048" t="str"><v>DCM</v></cell><cell r="G2048" t="str"><v>https://signup.azure.com/?OCID=AID%eexcid!_OLA_%ebuy!_%epid!_%ecid!</v></cell></row><row r="2048"><cell r="K2048" t="str"><v>July</v></cell><cell r="L2048"><v>43302</v></cell><cell r="M2048" t="str"><v>Tier 0</v></cell><cell r="N2048" t="str"><v>North America</v></cell><cell r="O2048" t="str"><v>United States</v></cell><cell r="P2048" t="str"><v>Trial</v></cell><cell r="Q2048" t="str"><v>Social</v></cell><cell r="R2048" t="str"><v>Azure</v></cell><cell r="S2048" t="str"><v>Apps & Infra</v></cell><cell r="T2048" t="str"><v>Developers & ITI's</v></cell><cell r="U2048" t="str"><v>USA-Trial-ITD-Interest Prospecting-AZR-AZR</v></cell><cell r="V2048" t="str"><v>Prospecting</v></cell><cell r="W2048" t="str"><v>Canvas Ad</v></cell><cell r="X2048" t="str"><v>1x1</v></cell></row><row r="2048"><cell r="AA2048"><v>43296</v></cell><cell r="AB2048" t="str"><v>USA_gaPMG_AZR_AZR_Q1_19_Direct-Social</v></cell><cell r="AC2048"><v>21358715</v></cell><cell r="AD2048"><v>720197</v></cell><cell r="AE2048" t="str"><v>Facebook</v></cell><cell r="AF2048"><v>3654128</v></cell><cell r="AG2048" t="str"><v>FACEBOOK»USA-Trial-ITD-Interest Prospecting-AZR-AZR»1 x 1»SocialBan»CAN»ALL»CPA»PRO»X»NA»SS»NA»FBCTCBrandinMotion»PRC1SY</v></cell><cell r="AH2048"><v>224104929</v></cell><cell r="AI2048" t="str"><v>AzurePlatform_FBCTCBrandinMotion_USA_10s_CAN_PLATFORM_English_Trial_Standard_STAN_TIN_T2_1</v></cell><cell r="AJ2048"><v>103176812</v></cell></row><row r="2049"><cell r="C2049" t="str"><v>43296FACEBOOK»USA-Trial-ITD-Interest Prospecting-AZR-AZR»1 x 1»SocialBan»CAN»ALL»CPA»PRO»X»NA»SS»NA»FBCTCBrandinMotion»PRC1SY</v></cell><cell r="D2049" t="str"><v>43296224104929</v></cell><cell r="E2049" t="str"><v>43296103032823PRC1SY</v></cell><cell r="F2049" t="str"><v>DCM</v></cell><cell r="G2049" t="str"><v>https://azure.microsoft.com/en-us/pricing/purchase-options/?v=18.19&OCID=AID%eexcid!_OLA_%ebuy!_%epid!_%ecid!</v></cell></row><row r="2049"><cell r="K2049" t="str"><v>July</v></cell><cell r="L2049"><v>43302</v></cell><cell r="M2049" t="str"><v>Tier 0</v></cell><cell r="N2049" t="str"><v>North America</v></cell><cell r="O2049" t="str"><v>United States</v></cell><cell r="P2049" t="str"><v>Trial</v></cell><cell r="Q2049" t="str"><v>Social</v></cell><cell r="R2049" t="str"><v>Azure</v></cell><cell r="S2049" t="str"><v>Apps & Infra</v></cell><cell r="T2049" t="str"><v>Developers & ITI's</v></cell><cell r="U2049" t="str"><v>USA-Trial-ITD-Interest Prospecting-AZR-AZR</v></cell><cell r="V2049" t="str"><v>Prospecting</v></cell><cell r="W2049" t="str"><v>Canvas Ad</v></cell><cell r="X2049" t="str"><v>1x1</v></cell></row><row r="2049"><cell r="AA2049"><v>43296</v></cell><cell r="AB2049" t="str"><v>USA_gaPMG_AZR_AZR_Q1_19_Direct-Social</v></cell><cell r="AC2049"><v>21358715</v></cell><cell r="AD2049"><v>720197</v></cell><cell r="AE2049" t="str"><v>Facebook</v></cell><cell r="AF2049"><v>3654128</v></cell><cell r="AG2049" t="str"><v>FACEBOOK»USA-Trial-ITD-Interest Prospecting-AZR-AZR»1 x 1»SocialBan»CAN»ALL»CPA»PRO»X»NA»SS»NA»FBCTCBrandinMotion»PRC1SY</v></cell><cell r="AH2049"><v>224104929</v></cell><cell r="AI2049" t="str"><v>AzurePlatform_FBCTCBrandinMotion_USA_10s_CAN_PLATFORM_English_Trial_Standard_STAN_TIN_T2_2</v></cell><cell r="AJ2049"><v>103032823</v></cell></row><row r="2050"><cell r="C2050" t="str"><v>43296FACEBOOK»USA-Trial-ITD-Interest Prospecting-AZR-AZR»1 x 1»SocialBan»LIA»ALL»CPA»PRO»X»NA»SS»NA»FreeAcctDeveloperFB-AnimatedGeneric-Ch1»PRC1SZ</v></cell><cell r="D2050" t="str"><v>43296224104932</v></cell><cell r="E2050" t="str"><v>43296103176851PRC1SZ</v></cell><cell r="F2050" t="str"><v>DCM</v></cell><cell r="G2050" t="str"><v>https://azure.microsoft.com/en-us/free/search/?OCID=AID%eexcid!_OLA_%ebuy!_%epid!_%ecid!</v></cell></row><row r="2050"><cell r="K2050" t="str"><v>July</v></cell><cell r="L2050"><v>43302</v></cell><cell r="M2050" t="str"><v>Tier 0</v></cell><cell r="N2050" t="str"><v>North America</v></cell><cell r="O2050" t="str"><v>United States</v></cell><cell r="P2050" t="str"><v>Trial</v></cell><cell r="Q2050" t="str"><v>Social</v></cell><cell r="R2050" t="str"><v>Azure</v></cell><cell r="S2050" t="str"><v>Apps & Infra</v></cell><cell r="T2050" t="str"><v>Developers & ITI's</v></cell><cell r="U2050" t="str"><v>USA-Trial-ITD-Interest Prospecting-AZR-AZR</v></cell><cell r="V2050" t="str"><v>Prospecting</v></cell><cell r="W2050" t="str"><v>Link Ad</v></cell><cell r="X2050" t="str"><v>1x1</v></cell></row><row r="2050"><cell r="AA2050"><v>43296</v></cell><cell r="AB2050" t="str"><v>USA_gaPMG_AZR_AZR_Q1_19_Direct-Social</v></cell><cell r="AC2050"><v>21358715</v></cell><cell r="AD2050"><v>720197</v></cell><cell r="AE2050" t="str"><v>Facebook</v></cell><cell r="AF2050"><v>3654128</v></cell><cell r="AG2050" t="str"><v>FACEBOOK»USA-Trial-ITD-Interest Prospecting-AZR-AZR»1 x 1»SocialBan»LIA»ALL»CPA»PRO»X»NA»SS»NA»FreeAcctDeveloperFB-AnimatedGeneric-Ch1»PRC1SZ</v></cell><cell r="AH2050"><v>224104932</v></cell><cell r="AI2050" t="str"><v>AZR_FreeAcctDeveloperFB-AnimatedGeneric-Ch1_USA_1200x1200_CAN_Direct_English_Trial_Standard_ANI_LEA_T1_2</v></cell><cell r="AJ2050"><v>103176851</v></cell></row><row r="2051"><cell r="C2051" t="str"><v>43296FACEBOOK»USA-Trial-ITD-Interest Prospecting-AZR-AZR»1 x 1»SocialBan»LIA»ALL»CPA»PRO»X»NA»SS»NA»FreeAcctDeveloperFB-AnimatedGeneric-Ch1»PRC1T0</v></cell><cell r="D2051" t="str"><v>43296223934065</v></cell><cell r="E2051" t="str"><v>43296103176851PRC1T0</v></cell><cell r="F2051" t="str"><v>DCM</v></cell><cell r="G2051" t="str"><v>https://azure.microsoft.com/en-us/free/search/?OCID=AID%eexcid!_OLA_%ebuy!_%epid!_%ecid!</v></cell></row><row r="2051"><cell r="K2051" t="str"><v>July</v></cell><cell r="L2051"><v>43302</v></cell><cell r="M2051" t="str"><v>Tier 0</v></cell><cell r="N2051" t="str"><v>North America</v></cell><cell r="O2051" t="str"><v>United States</v></cell><cell r="P2051" t="str"><v>Trial</v></cell><cell r="Q2051" t="str"><v>Social</v></cell><cell r="R2051" t="str"><v>Azure</v></cell><cell r="S2051" t="str"><v>Apps & Infra</v></cell><cell r="T2051" t="str"><v>Developers & ITI's</v></cell><cell r="U2051" t="str"><v>USA-Trial-ITD-Interest Prospecting-AZR-AZR</v></cell><cell r="V2051" t="str"><v>Prospecting</v></cell><cell r="W2051" t="str"><v>Link Ad</v></cell><cell r="X2051" t="str"><v>1x1</v></cell></row><row r="2051"><cell r="AA2051"><v>43296</v></cell><cell r="AB2051" t="str"><v>USA_gaPMG_AZR_AZR_Q1_19_Direct-Social</v></cell><cell r="AC2051"><v>21358715</v></cell><cell r="AD2051"><v>720197</v></cell><cell r="AE2051" t="str"><v>Facebook</v></cell><cell r="AF2051"><v>3654128</v></cell><cell r="AG2051" t="str"><v>FACEBOOK»USA-Trial-ITD-Interest Prospecting-AZR-AZR»1 x 1»SocialBan»LIA»ALL»CPA»PRO»X»NA»SS»NA»FreeAcctDeveloperFB-AnimatedGeneric-Ch1»PRC1T0</v></cell><cell r="AH2051"><v>223934065</v></cell><cell r="AI2051" t="str"><v>AZR_FreeAcctDeveloperFB-AnimatedGeneric-Ch1_USA_1200x1200_CAN_Direct_English_Trial_Standard_ANI_LEA_T1_2</v></cell><cell r="AJ2051"><v>103176851</v></cell></row><row r="2052"><cell r="C2052" t="str"><v>43296FACEBOOK»USA-Trial-ITD-Interest Prospecting-AZR-AZR»1 x 1»SocialBan»LIA»ALL»CPA»PRO»X»NA»SS»NA»FreeAcctITProFB-AnimatedHybrid-Ch2»PRC1T5</v></cell><cell r="D2052" t="str"><v>43296223862882</v></cell><cell r="E2052" t="str"><v>43296103180583PRC1T5</v></cell><cell r="F2052" t="str"><v>DCM</v></cell></row><row r="2052"><cell r="K2052" t="str"><v>July</v></cell><cell r="L2052"><v>43302</v></cell><cell r="M2052" t="str"><v>Tier 0</v></cell><cell r="N2052" t="str"><v>North America</v></cell><cell r="O2052" t="str"><v>United States</v></cell><cell r="P2052" t="str"><v>Trial</v></cell><cell r="Q2052" t="str"><v>Social</v></cell><cell r="R2052" t="str"><v>Azure</v></cell><cell r="S2052" t="str"><v>Apps & Infra</v></cell><cell r="T2052" t="str"><v>Developers & ITI's</v></cell><cell r="U2052" t="str"><v>USA-Trial-ITD-Interest Prospecting-AZR-AZR</v></cell><cell r="V2052" t="str"><v>Prospecting</v></cell><cell r="W2052" t="str"><v>Link Ad</v></cell><cell r="X2052" t="str"><v>1x1</v></cell></row><row r="2052"><cell r="AA2052"><v>43296</v></cell><cell r="AB2052" t="str"><v>USA_gaPMG_AZR_AZR_Q1_19_Direct-Social</v></cell><cell r="AC2052"><v>21358715</v></cell><cell r="AD2052"><v>720197</v></cell><cell r="AE2052" t="str"><v>Facebook</v></cell><cell r="AF2052"><v>3654128</v></cell><cell r="AG2052" t="str"><v>FACEBOOK»USA-Trial-ITD-Interest Prospecting-AZR-AZR»1 x 1»SocialBan»LIA»ALL»CPA»PRO»X»NA»SS»NA»FreeAcctITProFB-AnimatedHybrid-Ch2»PRC1T5</v></cell><cell r="AH2052"><v>223862882</v></cell><cell r="AI2052" t="str"><v>AZR_FreeAcctITProFB-AnimatedHybrid-Ch2_USA_1200x1200_CAN_Direct_English_Trial_Standard_ANI_LEA_T2_2</v></cell><cell r="AJ2052"><v>103180583</v></cell></row><row r="2053"><cell r="C2053" t="str"><v>43296FACEBOOK»USA-Trial-ITD-Interest Prospecting-AZR-AZR»1 x 1»SocialBan»LIA»ALL»CPA»PRO»X»NA»SS»NA»FreeAcctITProFB-AnimatedSecureMngd-Ch1»PRC1T4</v></cell><cell r="D2053" t="str"><v>43296224104914</v></cell><cell r="E2053" t="str"><v>43296103176830PRC1T4</v></cell><cell r="F2053" t="str"><v>DCM</v></cell></row><row r="2053"><cell r="K2053" t="str"><v>July</v></cell><cell r="L2053"><v>43302</v></cell><cell r="M2053" t="str"><v>Tier 0</v></cell><cell r="N2053" t="str"><v>North America</v></cell><cell r="O2053" t="str"><v>United States</v></cell><cell r="P2053" t="str"><v>Trial</v></cell><cell r="Q2053" t="str"><v>Social</v></cell><cell r="R2053" t="str"><v>Azure</v></cell><cell r="S2053" t="str"><v>Apps & Infra</v></cell><cell r="T2053" t="str"><v>Developers & ITI's</v></cell><cell r="U2053" t="str"><v>USA-Trial-ITD-Interest Prospecting-AZR-AZR</v></cell><cell r="V2053" t="str"><v>Prospecting</v></cell><cell r="W2053" t="str"><v>Link Ad</v></cell><cell r="X2053" t="str"><v>1x1</v></cell></row><row r="2053"><cell r="AA2053"><v>43296</v></cell><cell r="AB2053" t="str"><v>USA_gaPMG_AZR_AZR_Q1_19_Direct-Social</v></cell><cell r="AC2053"><v>21358715</v></cell><cell r="AD2053"><v>720197</v></cell><cell r="AE2053" t="str"><v>Facebook</v></cell><cell r="AF2053"><v>3654128</v></cell><cell r="AG2053" t="str"><v>FACEBOOK»USA-Trial-ITD-Interest Prospecting-AZR-AZR»1 x 1»SocialBan»LIA»ALL»CPA»PRO»X»NA»SS»NA»FreeAcctITProFB-AnimatedSecureMngd-Ch1»PRC1T4</v></cell><cell r="AH2053"><v>224104914</v></cell><cell r="AI2053" t="str"><v>AZR_FreeAcctITProFB-AnimatedSecureMngd-Ch1_USA_1200x1200_CAN_Direct_English_Trial_Standard_ANI_LEA_T1_1</v></cell><cell r="AJ2053"><v>103176830</v></cell></row><row r="2054"><cell r="C2054" t="str"><v>43296FACEBOOK»USA-Trial-ITD-Retargeting-AZR-AZR»1 x 1»SocialBan»LIA»ALL»CPA»RT»X»NA»SS»NA»FreeAcctDeveloperFB-AnimatedAI-Ch3»PRC26H</v></cell><cell r="D2054" t="str"><v>43296223863371</v></cell><cell r="E2054" t="str"><v>43296103032778PRC26H</v></cell><cell r="F2054" t="str"><v>DCM</v></cell></row><row r="2054"><cell r="K2054" t="str"><v>July</v></cell><cell r="L2054"><v>43302</v></cell><cell r="M2054" t="str"><v>Tier 0</v></cell><cell r="N2054" t="str"><v>North America</v></cell><cell r="O2054" t="str"><v>United States</v></cell><cell r="P2054" t="str"><v>Trial</v></cell><cell r="Q2054" t="str"><v>Social</v></cell><cell r="R2054" t="str"><v>Azure</v></cell><cell r="S2054" t="str"><v>Apps & Infra</v></cell><cell r="T2054" t="str"><v>Developers & ITI's</v></cell><cell r="U2054" t="str"><v>USA-Trial-ITD-Retargeting-AZR-AZR</v></cell><cell r="V2054" t="str"><v>Retargeting</v></cell><cell r="W2054" t="str"><v>Link Ad</v></cell><cell r="X2054" t="str"><v>1x1</v></cell></row><row r="2054"><cell r="AA2054"><v>43296</v></cell><cell r="AB2054" t="str"><v>USA_gaPMG_AZR_AZR_Q1_19_Direct-Social</v></cell><cell r="AC2054"><v>21358715</v></cell><cell r="AD2054"><v>720197</v></cell><cell r="AE2054" t="str"><v>Facebook</v></cell><cell r="AF2054"><v>3654128</v></cell><cell r="AG2054" t="str"><v>FACEBOOK»USA-Trial-ITD-Retargeting-AZR-AZR»1 x 1»SocialBan»LIA»ALL»CPA»RT»X»NA»SS»NA»FreeAcctDeveloperFB-AnimatedAI-Ch3»PRC26H</v></cell><cell r="AH2054"><v>223863371</v></cell><cell r="AI2054" t="str"><v>AZR_FreeAcctDeveloperFB-AnimatedAI-Ch3_USA_1200x1200_CAN_Direct_English_Trial_Standard_ANI_LEA_T3_1</v></cell><cell r="AJ2054"><v>103032778</v></cell></row><row r="2055"><cell r="C2055" t="str"><v>43296FACEBOOK»USA-Trial-ITD-Retargeting-AZR-AZR»1 x 1»SocialBan»LIA»ALL»CPA»RT»X»NA»SS»NA»FreeAcctDeveloperFB-AnimatedData-Ch4»PRC26J</v></cell><cell r="D2055" t="str"><v>43296224106078</v></cell><cell r="E2055" t="str"><v>43296103037935PRC26J</v></cell><cell r="F2055" t="str"><v>DCM</v></cell></row><row r="2055"><cell r="K2055" t="str"><v>July</v></cell><cell r="L2055"><v>43302</v></cell><cell r="M2055" t="str"><v>Tier 0</v></cell><cell r="N2055" t="str"><v>North America</v></cell><cell r="O2055" t="str"><v>United States</v></cell><cell r="P2055" t="str"><v>Trial</v></cell><cell r="Q2055" t="str"><v>Social</v></cell><cell r="R2055" t="str"><v>Azure</v></cell><cell r="S2055" t="str"><v>Apps & Infra</v></cell><cell r="T2055" t="str"><v>Developers & ITI's</v></cell><cell r="U2055" t="str"><v>USA-Trial-ITD-Retargeting-AZR-AZR</v></cell><cell r="V2055" t="str"><v>Retargeting</v></cell><cell r="W2055" t="str"><v>Link Ad</v></cell><cell r="X2055" t="str"><v>1x1</v></cell></row><row r="2055"><cell r="AA2055"><v>43296</v></cell><cell r="AB2055" t="str"><v>USA_gaPMG_AZR_AZR_Q1_19_Direct-Social</v></cell><cell r="AC2055"><v>21358715</v></cell><cell r="AD2055"><v>720197</v></cell><cell r="AE2055" t="str"><v>Facebook</v></cell><cell r="AF2055"><v>3654128</v></cell><cell r="AG2055" t="str"><v>FACEBOOK»USA-Trial-ITD-Retargeting-AZR-AZR»1 x 1»SocialBan»LIA»ALL»CPA»RT»X»NA»SS»NA»FreeAcctDeveloperFB-AnimatedData-Ch4»PRC26J</v></cell><cell r="AH2055"><v>224106078</v></cell><cell r="AI2055" t="str"><v>AZR_FreeAcctDeveloperFB-AnimatedData-Ch4_USA_1200x1200_CAN_Direct_English_Trial_Standard_ANI_LEA_T4_2</v></cell><cell r="AJ2055"><v>103037935</v></cell></row><row r="2056"><cell r="C2056" t="str"><v>43296FACEBOOK»USA-Trial-ITD-Retargeting-AZR-AZR»1 x 1»SocialBan»LIA»ALL»CPA»RT»X»NA»SS»NA»FreeAcctDeveloperFB-AnimatedGeneric-Ch1»PRC26F</v></cell><cell r="D2056" t="str"><v>43296224105850</v></cell><cell r="E2056" t="str"><v>43296103176851PRC26F</v></cell><cell r="F2056" t="str"><v>DCM</v></cell><cell r="G2056" t="str"><v>https://azure.microsoft.com/en-us/free/search/?OCID=AID%eexcid!_OLA_%ebuy!_%epid!_%ecid!</v></cell></row><row r="2056"><cell r="K2056" t="str"><v>July</v></cell><cell r="L2056"><v>43302</v></cell><cell r="M2056" t="str"><v>Tier 0</v></cell><cell r="N2056" t="str"><v>North America</v></cell><cell r="O2056" t="str"><v>United States</v></cell><cell r="P2056" t="str"><v>Trial</v></cell><cell r="Q2056" t="str"><v>Social</v></cell><cell r="R2056" t="str"><v>Azure</v></cell><cell r="S2056" t="str"><v>Apps & Infra</v></cell><cell r="T2056" t="str"><v>Developers & ITI's</v></cell><cell r="U2056" t="str"><v>USA-Trial-ITD-Retargeting-AZR-AZR</v></cell><cell r="V2056" t="str"><v>Retargeting</v></cell><cell r="W2056" t="str"><v>Link Ad</v></cell><cell r="X2056" t="str"><v>1x1</v></cell></row><row r="2056"><cell r="AA2056"><v>43296</v></cell><cell r="AB2056" t="str"><v>USA_gaPMG_AZR_AZR_Q1_19_Direct-Social</v></cell><cell r="AC2056"><v>21358715</v></cell><cell r="AD2056"><v>720197</v></cell><cell r="AE2056" t="str"><v>Facebook</v></cell><cell r="AF2056"><v>3654128</v></cell><cell r="AG2056" t="str"><v>FACEBOOK»USA-Trial-ITD-Retargeting-AZR-AZR»1 x 1»SocialBan»LIA»ALL»CPA»RT»X»NA»SS»NA»FreeAcctDeveloperFB-AnimatedGeneric-Ch1»PRC26F</v></cell><cell r="AH2056"><v>224105850</v></cell><cell r="AI2056" t="str"><v>AZR_FreeAcctDeveloperFB-AnimatedGeneric-Ch1_USA_1200x1200_CAN_Direct_English_Trial_Standard_ANI_LEA_T1_2</v></cell><cell r="AJ2056"><v>103176851</v></cell></row><row r="2057"><cell r="C2057" t="str"><v>43296FACEBOOK»USA-Trial-ITD-Retargeting-AZR-AZR»1 x 1»SocialBan»LIA»ALL»CPA»RT»X»NA»SS»NA»FreeAcctDeveloperFB-AnimatedOpenSource-Ch2»PRC26G</v></cell><cell r="D2057" t="str"><v>43296223862873</v></cell><cell r="E2057" t="str"><v>43296103048329PRC26G</v></cell><cell r="F2057" t="str"><v>DCM</v></cell><cell r="G2057" t="str"><v>https://azure.microsoft.com/en-us/free/open-source/search/?OCID=AID%eexcid!_OLA_%ebuy!_%epid!_%ecid!</v></cell></row><row r="2057"><cell r="K2057" t="str"><v>July</v></cell><cell r="L2057"><v>43302</v></cell><cell r="M2057" t="str"><v>Tier 0</v></cell><cell r="N2057" t="str"><v>North America</v></cell><cell r="O2057" t="str"><v>United States</v></cell><cell r="P2057" t="str"><v>Trial</v></cell><cell r="Q2057" t="str"><v>Social</v></cell><cell r="R2057" t="str"><v>Azure</v></cell><cell r="S2057" t="str"><v>Apps & Infra</v></cell><cell r="T2057" t="str"><v>Developers & ITI's</v></cell><cell r="U2057" t="str"><v>USA-Trial-ITD-Retargeting-AZR-AZR</v></cell><cell r="V2057" t="str"><v>Retargeting</v></cell><cell r="W2057" t="str"><v>Link Ad</v></cell><cell r="X2057" t="str"><v>1x1</v></cell></row><row r="2057"><cell r="AA2057"><v>43296</v></cell><cell r="AB2057" t="str"><v>USA_gaPMG_AZR_AZR_Q1_19_Direct-Social</v></cell><cell r="AC2057"><v>21358715</v></cell><cell r="AD2057"><v>720197</v></cell><cell r="AE2057" t="str"><v>Facebook</v></cell><cell r="AF2057"><v>3654128</v></cell><cell r="AG2057" t="str"><v>FACEBOOK»USA-Trial-ITD-Retargeting-AZR-AZR»1 x 1»SocialBan»LIA»ALL»CPA»RT»X»NA»SS»NA»FreeAcctDeveloperFB-AnimatedOpenSource-Ch2»PRC26G</v></cell><cell r="AH2057"><v>223862873</v></cell><cell r="AI2057" t="str"><v>AZR_FreeAcctDeveloperFB-AnimatedOpenSource-Ch2_USA_1200x1200_CAN_Direct_English_Trial_Standard_ANI_LEA_T2_1</v></cell><cell r="AJ2057"><v>103048329</v></cell></row><row r="2058"><cell r="C2058" t="str"><v>43296FACEBOOK»USA-Trial-ITD-Retargeting-AZR-AZR»1 x 1»SocialBan»LIA»ALL»CPA»RT»X»NA»SS»NA»FreeAcctITProFB-AnimatedHybrid-Ch2»PRC26N</v></cell><cell r="D2058" t="str"><v>43296223934053</v></cell><cell r="E2058" t="str"><v>43296103180583PRC26N</v></cell><cell r="F2058" t="str"><v>DCM</v></cell></row><row r="2058"><cell r="K2058" t="str"><v>July</v></cell><cell r="L2058"><v>43302</v></cell><cell r="M2058" t="str"><v>Tier 0</v></cell><cell r="N2058" t="str"><v>North America</v></cell><cell r="O2058" t="str"><v>United States</v></cell><cell r="P2058" t="str"><v>Trial</v></cell><cell r="Q2058" t="str"><v>Social</v></cell><cell r="R2058" t="str"><v>Azure</v></cell><cell r="S2058" t="str"><v>Apps & Infra</v></cell><cell r="T2058" t="str"><v>Developers & ITI's</v></cell><cell r="U2058" t="str"><v>USA-Trial-ITD-Retargeting-AZR-AZR</v></cell><cell r="V2058" t="str"><v>Retargeting</v></cell><cell r="W2058" t="str"><v>Link Ad</v></cell><cell r="X2058" t="str"><v>1x1</v></cell></row><row r="2058"><cell r="AA2058"><v>43296</v></cell><cell r="AB2058" t="str"><v>USA_gaPMG_AZR_AZR_Q1_19_Direct-Social</v></cell><cell r="AC2058"><v>21358715</v></cell><cell r="AD2058"><v>720197</v></cell><cell r="AE2058" t="str"><v>Facebook</v></cell><cell r="AF2058"><v>3654128</v></cell><cell r="AG2058" t="str"><v>FACEBOOK»USA-Trial-ITD-Retargeting-AZR-AZR»1 x 1»SocialBan»LIA»ALL»CPA»RT»X»NA»SS»NA»FreeAcctITProFB-AnimatedHybrid-Ch2»PRC26N</v></cell><cell r="AH2058"><v>223934053</v></cell><cell r="AI2058" t="str"><v>AZR_FreeAcctITProFB-AnimatedHybrid-Ch2_USA_1200x1200_CAN_Direct_English_Trial_Standard_ANI_LEA_T2_2</v></cell><cell r="AJ2058"><v>103180583</v></cell></row><row r="2059"><cell r="C2059" t="str"><v>43296FACEBOOK»USA-Trial-ITD-Retargeting-AZR-AZR»1 x 1»SocialBan»LIA»ALL»CPA»RT»X»NA»SS»NA»FreeAcctITProFB-AnimatedMigration-Ch3»PRC26P</v></cell><cell r="D2059" t="str"><v>43296223934056</v></cell><cell r="E2059" t="str"><v>43296103176827PRC26P</v></cell><cell r="F2059" t="str"><v>DCM</v></cell></row><row r="2059"><cell r="K2059" t="str"><v>July</v></cell><cell r="L2059"><v>43302</v></cell><cell r="M2059" t="str"><v>Tier 0</v></cell><cell r="N2059" t="str"><v>North America</v></cell><cell r="O2059" t="str"><v>United States</v></cell><cell r="P2059" t="str"><v>Trial</v></cell><cell r="Q2059" t="str"><v>Social</v></cell><cell r="R2059" t="str"><v>Azure</v></cell><cell r="S2059" t="str"><v>Apps & Infra</v></cell><cell r="T2059" t="str"><v>Developers & ITI's</v></cell><cell r="U2059" t="str"><v>USA-Trial-ITD-Retargeting-AZR-AZR</v></cell><cell r="V2059" t="str"><v>Retargeting</v></cell><cell r="W2059" t="str"><v>Link Ad</v></cell><cell r="X2059" t="str"><v>1x1</v></cell></row><row r="2059"><cell r="AA2059"><v>43296</v></cell><cell r="AB2059" t="str"><v>USA_gaPMG_AZR_AZR_Q1_19_Direct-Social</v></cell><cell r="AC2059"><v>21358715</v></cell><cell r="AD2059"><v>720197</v></cell><cell r="AE2059" t="str"><v>Facebook</v></cell><cell r="AF2059"><v>3654128</v></cell><cell r="AG2059" t="str"><v>FACEBOOK»USA-Trial-ITD-Retargeting-AZR-AZR»1 x 1»SocialBan»LIA»ALL»CPA»RT»X»NA»SS»NA»FreeAcctITProFB-AnimatedMigration-Ch3»PRC26P</v></cell><cell r="AH2059"><v>223934056</v></cell><cell r="AI2059" t="str"><v>AZR_FreeAcctITProFB-AnimatedMigration-Ch3_USA_1200x1200_CAN_Direct_English_Trial_Standard_ANI_LEA_T3_1</v></cell><cell r="AJ2059"><v>103176827</v></cell></row><row r="2060"><cell r="C2060" t="str"><v>43296FACEBOOK»USA-Trial-ITD-Retargeting-AZR-AZR»1 x 1»SocialBan»LIA»ALL»CPA»RT»X»NA»SS»NA»FreeAcctRetargetingFB-Animated-ChC»PRC1RX</v></cell><cell r="D2060" t="str"><v>43296223862864</v></cell><cell r="E2060" t="str"><v>43296103180880PRC1RX</v></cell><cell r="F2060" t="str"><v>DCM</v></cell><cell r="G2060" t="str"><v>https://azure.microsoft.com/en-us/free/search/?OCID=AID%eexcid!_OLA_%ebuy!_%epid!_%ecid!</v></cell></row><row r="2060"><cell r="K2060" t="str"><v>July</v></cell><cell r="L2060"><v>43302</v></cell><cell r="M2060" t="str"><v>Tier 0</v></cell><cell r="N2060" t="str"><v>North America</v></cell><cell r="O2060" t="str"><v>United States</v></cell><cell r="P2060" t="str"><v>Trial</v></cell><cell r="Q2060" t="str"><v>Social</v></cell><cell r="R2060" t="str"><v>Azure</v></cell><cell r="S2060" t="str"><v>Apps & Infra</v></cell><cell r="T2060" t="str"><v>Developers & ITI's</v></cell><cell r="U2060" t="str"><v>USA-Trial-ITD-Retargeting-AZR-AZR</v></cell><cell r="V2060" t="str"><v>Retargeting</v></cell><cell r="W2060" t="str"><v>Link Ad</v></cell><cell r="X2060" t="str"><v>1x1</v></cell></row><row r="2060"><cell r="AA2060"><v>43296</v></cell><cell r="AB2060" t="str"><v>USA_gaPMG_AZR_AZR_Q1_19_Direct-Social</v></cell><cell r="AC2060"><v>21358715</v></cell><cell r="AD2060"><v>720197</v></cell><cell r="AE2060" t="str"><v>Facebook</v></cell><cell r="AF2060"><v>3654128</v></cell><cell r="AG2060" t="str"><v>FACEBOOK»USA-Trial-ITD-Retargeting-AZR-AZR»1 x 1»SocialBan»LIA»ALL»CPA»RT»X»NA»SS»NA»FreeAcctRetargetingFB-Animated-ChC»PRC1RX</v></cell><cell r="AH2060"><v>223862864</v></cell><cell r="AI2060" t="str"><v>AzurePlatform_FreeAcctRetargetingFB-Animated-ChC_USA_1200x628_CAN_PLATFORM_English_Free Account_Standard_ANI_SINU_T3_2</v></cell><cell r="AJ2060"><v>103180880</v></cell></row><row r="2061"><cell r="C2061" t="str"><v>43296FACEBOOK»USA-Trial-ITD-Retargeting-AZR-AZR»1 x 1»SocialBan»LIA»ALL»CPA»RT»X»NA»SS»NA»FreeAcctRetargetingFB-Credit-ChA»PRC1RV</v></cell><cell r="D2061" t="str"><v>43296224106075</v></cell><cell r="E2061" t="str"><v>43296103034917PRC1RV</v></cell><cell r="F2061" t="str"><v>DCM</v></cell><cell r="G2061" t="str"><v>https://azure.microsoft.com/en-us/free/search/?OCID=AID%eexcid!_OLA_%ebuy!_%epid!_%ecid!</v></cell></row><row r="2061"><cell r="K2061" t="str"><v>July</v></cell><cell r="L2061"><v>43302</v></cell><cell r="M2061" t="str"><v>Tier 0</v></cell><cell r="N2061" t="str"><v>North America</v></cell><cell r="O2061" t="str"><v>United States</v></cell><cell r="P2061" t="str"><v>Trial</v></cell><cell r="Q2061" t="str"><v>Social</v></cell><cell r="R2061" t="str"><v>Azure</v></cell><cell r="S2061" t="str"><v>Apps & Infra</v></cell><cell r="T2061" t="str"><v>Developers & ITI's</v></cell><cell r="U2061" t="str"><v>USA-Trial-ITD-Retargeting-AZR-AZR</v></cell><cell r="V2061" t="str"><v>Retargeting</v></cell><cell r="W2061" t="str"><v>Link Ad</v></cell><cell r="X2061" t="str"><v>1x1</v></cell></row><row r="2061"><cell r="AA2061"><v>43296</v></cell><cell r="AB2061" t="str"><v>USA_gaPMG_AZR_AZR_Q1_19_Direct-Social</v></cell><cell r="AC2061"><v>21358715</v></cell><cell r="AD2061"><v>720197</v></cell><cell r="AE2061" t="str"><v>Facebook</v></cell><cell r="AF2061"><v>3654128</v></cell><cell r="AG2061" t="str"><v>FACEBOOK»USA-Trial-ITD-Retargeting-AZR-AZR»1 x 1»SocialBan»LIA»ALL»CPA»RT»X»NA»SS»NA»FreeAcctRetargetingFB-Credit-ChA»PRC1RV</v></cell><cell r="AH2061"><v>224106075</v></cell><cell r="AI2061" t="str"><v>AzurePlatform_FreeAcctRetargetingFB-Credit-ChA_USA_1200x628_CAN_PLATFORM_English_Free Account_Standard_NA_SINU_T1_2</v></cell><cell r="AJ2061"><v>103034917</v></cell></row><row r="2062"><cell r="C2062" t="str"><v>43296FACEBOOK»USA-Trial-ITD-Retargeting-AZR-AZR»1 x 1»SocialBan»LIA»ALL»CPA»RT»X»NA»SS»NA»FreeAcctRetargetingFB-GlobalAlt-ChB»PRC1RW</v></cell><cell r="D2062" t="str"><v>43296223862756</v></cell><cell r="E2062" t="str"><v>43296103180592PRC1RW</v></cell><cell r="F2062" t="str"><v>DCM</v></cell><cell r="G2062" t="str"><v>https://azure.microsoft.com/en-us/free/search/?OCID=AID%eexcid!_OLA_%ebuy!_%epid!_%ecid!</v></cell></row><row r="2062"><cell r="K2062" t="str"><v>July</v></cell><cell r="L2062"><v>43302</v></cell><cell r="M2062" t="str"><v>Tier 0</v></cell><cell r="N2062" t="str"><v>North America</v></cell><cell r="O2062" t="str"><v>United States</v></cell><cell r="P2062" t="str"><v>Trial</v></cell><cell r="Q2062" t="str"><v>Social</v></cell><cell r="R2062" t="str"><v>Azure</v></cell><cell r="S2062" t="str"><v>Apps & Infra</v></cell><cell r="T2062" t="str"><v>Developers & ITI's</v></cell><cell r="U2062" t="str"><v>USA-Trial-ITD-Retargeting-AZR-AZR</v></cell><cell r="V2062" t="str"><v>Retargeting</v></cell><cell r="W2062" t="str"><v>Link Ad</v></cell><cell r="X2062" t="str"><v>1x1</v></cell></row><row r="2062"><cell r="AA2062"><v>43296</v></cell><cell r="AB2062" t="str"><v>USA_gaPMG_AZR_AZR_Q1_19_Direct-Social</v></cell><cell r="AC2062"><v>21358715</v></cell><cell r="AD2062"><v>720197</v></cell><cell r="AE2062" t="str"><v>Facebook</v></cell><cell r="AF2062"><v>3654128</v></cell><cell r="AG2062" t="str"><v>FACEBOOK»USA-Trial-ITD-Retargeting-AZR-AZR»1 x 1»SocialBan»LIA»ALL»CPA»RT»X»NA»SS»NA»FreeAcctRetargetingFB-GlobalAlt-ChB»PRC1RW</v></cell><cell r="AH2062"><v>223862756</v></cell><cell r="AI2062" t="str"><v>AzurePlatform_FreeAcctRetargetingFB-GlobalAlt-ChB_USA_1200x628_CAN_PLATFORM_English_Free Account_Standard_NA_SINU_T2_1</v></cell><cell r="AJ2062"><v>103180592</v></cell></row><row r="2063"><cell r="C2063" t="str"><v>43296FACEBOOK»USA-Trial-ITD-Retargeting-AZR-AZR»1 x 1»SocialBan»LIA»ALL»CPA»RT»X»NA»SS»NA»FreeAcctRetargetingVMFB-750Hrs-ChD»PRC1RY</v></cell><cell r="D2063" t="str"><v>43296223862747</v></cell><cell r="E2063" t="str"><v>43296103034911PRC1RY</v></cell><cell r="F2063" t="str"><v>DCM</v></cell><cell r="G2063" t="str"><v>https://azure.microsoft.com/en-us/free/virtual-machines/search/?OCID=AID%eexcid!_OLA_%ebuy!_%epid!_%ecid!</v></cell></row><row r="2063"><cell r="K2063" t="str"><v>July</v></cell><cell r="L2063"><v>43302</v></cell><cell r="M2063" t="str"><v>Tier 0</v></cell><cell r="N2063" t="str"><v>North America</v></cell><cell r="O2063" t="str"><v>United States</v></cell><cell r="P2063" t="str"><v>Trial</v></cell><cell r="Q2063" t="str"><v>Social</v></cell><cell r="R2063" t="str"><v>Azure</v></cell><cell r="S2063" t="str"><v>Apps & Infra</v></cell><cell r="T2063" t="str"><v>Developers & ITI's</v></cell><cell r="U2063" t="str"><v>USA-Trial-ITD-Retargeting-AZR-AZR</v></cell><cell r="V2063" t="str"><v>Retargeting</v></cell><cell r="W2063" t="str"><v>Link Ad</v></cell><cell r="X2063" t="str"><v>1x1</v></cell></row><row r="2063"><cell r="AA2063"><v>43296</v></cell><cell r="AB2063" t="str"><v>USA_gaPMG_AZR_AZR_Q1_19_Direct-Social</v></cell><cell r="AC2063"><v>21358715</v></cell><cell r="AD2063"><v>720197</v></cell><cell r="AE2063" t="str"><v>Facebook</v></cell><cell r="AF2063"><v>3654128</v></cell><cell r="AG2063" t="str"><v>FACEBOOK»USA-Trial-ITD-Retargeting-AZR-AZR»1 x 1»SocialBan»LIA»ALL»CPA»RT»X»NA»SS»NA»FreeAcctRetargetingVMFB-750Hrs-ChD»PRC1RY</v></cell><cell r="AH2063"><v>223862747</v></cell><cell r="AI2063" t="str"><v>AzurePlatform_FreeAcctRetargetingVMFB-750Hrs-ChD_USA_1200x628_CAN_PLATFORM_English_Free Account_Standard_NA_SINU_T1_1</v></cell><cell r="AJ2063"><v>103034911</v></cell></row><row r="2064"><cell r="C2064" t="str"><v>43296FACEBOOK»USA-Trial-ITD-Retargeting-AZR-AZR»1 x 1»SocialBan»LIA»ALL»CPA»RT»X»NA»SS»NA»FreeAcctRetargetingVMFB-OnDemand-ChE»PRC1S0</v></cell><cell r="D2064" t="str"><v>43296224104899</v></cell><cell r="E2064" t="str"><v>43296103180610PRC1S0</v></cell><cell r="F2064" t="str"><v>DCM</v></cell><cell r="G2064" t="str"><v>https://azure.microsoft.com/en-us/free/virtual-machines/search/?OCID=AID%eexcid!_OLA_%ebuy!_%epid!_%ecid!</v></cell></row><row r="2064"><cell r="K2064" t="str"><v>July</v></cell><cell r="L2064"><v>43302</v></cell><cell r="M2064" t="str"><v>Tier 0</v></cell><cell r="N2064" t="str"><v>North America</v></cell><cell r="O2064" t="str"><v>United States</v></cell><cell r="P2064" t="str"><v>Trial</v></cell><cell r="Q2064" t="str"><v>Social</v></cell><cell r="R2064" t="str"><v>Azure</v></cell><cell r="S2064" t="str"><v>Apps & Infra</v></cell><cell r="T2064" t="str"><v>Developers & ITI's</v></cell><cell r="U2064" t="str"><v>USA-Trial-ITD-Retargeting-AZR-AZR</v></cell><cell r="V2064" t="str"><v>Retargeting</v></cell><cell r="W2064" t="str"><v>Link Ad</v></cell><cell r="X2064" t="str"><v>1x1</v></cell></row><row r="2064"><cell r="AA2064"><v>43296</v></cell><cell r="AB2064" t="str"><v>USA_gaPMG_AZR_AZR_Q1_19_Direct-Social</v></cell><cell r="AC2064"><v>21358715</v></cell><cell r="AD2064"><v>720197</v></cell><cell r="AE2064" t="str"><v>Facebook</v></cell><cell r="AF2064"><v>3654128</v></cell><cell r="AG2064" t="str"><v>FACEBOOK»USA-Trial-ITD-Retargeting-AZR-AZR»1 x 1»SocialBan»LIA»ALL»CPA»RT»X»NA»SS»NA»FreeAcctRetargetingVMFB-OnDemand-ChE»PRC1S0</v></cell><cell r="AH2064"><v>224104899</v></cell><cell r="AI2064" t="str"><v>AzurePlatform_FreeAcctRetargetingVMFB-OnDemand-ChE_USA_1200x628_CAN_PLATFORM_English_Free Account_Standard_NA_SINU_T2_1</v></cell><cell r="AJ2064"><v>103180610</v></cell></row><row r="2065"><cell r="C2065" t="str"><v>43296FACEBOOK»USA-Trial-ITD-Retargeting-AZR-AZR»1 x 1»SocialBan»CAN»ALL»CPA»RT»X»NA»SS»NA»FBCTCBenefit2inMotion»PRC1RR</v></cell><cell r="D2065" t="str"><v>43296224104896</v></cell><cell r="E2065" t="str"><v>43296103043835PRC1RR</v></cell><cell r="F2065" t="str"><v>DCM</v></cell><cell r="G2065" t="str"><v>https://signup.azure.com/?OCID=AID%eexcid!_OLA_%ebuy!_%epid!_%ecid!</v></cell></row><row r="2065"><cell r="K2065" t="str"><v>July</v></cell><cell r="L2065"><v>43302</v></cell><cell r="M2065" t="str"><v>Tier 0</v></cell><cell r="N2065" t="str"><v>North America</v></cell><cell r="O2065" t="str"><v>United States</v></cell><cell r="P2065" t="str"><v>Trial</v></cell><cell r="Q2065" t="str"><v>Social</v></cell><cell r="R2065" t="str"><v>Azure</v></cell><cell r="S2065" t="str"><v>Apps & Infra</v></cell><cell r="T2065" t="str"><v>Developers & ITI's</v></cell><cell r="U2065" t="str"><v>USA-Trial-ITD-Retargeting-AZR-AZR</v></cell><cell r="V2065" t="str"><v>Retargeting</v></cell><cell r="W2065" t="str"><v>Canvas Ad</v></cell><cell r="X2065" t="str"><v>1x1</v></cell></row><row r="2065"><cell r="AA2065"><v>43296</v></cell><cell r="AB2065" t="str"><v>USA_gaPMG_AZR_AZR_Q1_19_Direct-Social</v></cell><cell r="AC2065"><v>21358715</v></cell><cell r="AD2065"><v>720197</v></cell><cell r="AE2065" t="str"><v>Facebook</v></cell><cell r="AF2065"><v>3654128</v></cell><cell r="AG2065" t="str"><v>FACEBOOK»USA-Trial-ITD-Retargeting-AZR-AZR»1 x 1»SocialBan»CAN»ALL»CPA»RT»X»NA»SS»NA»FBCTCBenefit2inMotion»PRC1RR</v></cell><cell r="AH2065"><v>224104896</v></cell><cell r="AI2065" t="str"><v>AzurePlatform_FBCTCBenefit2inMotion_USA_10s_CAN_PLATFORM_English_Trial_Standard_STAN_TIN_T4_1</v></cell><cell r="AJ2065"><v>103043835</v></cell></row><row r="2066"><cell r="C2066" t="str"><v>43296FACEBOOK»USA-Trial-ITD-Retargeting-AZR-AZR»1 x 1»SocialBan»CAN»ALL»CPA»RT»X»NA»SS»NA»FBCTCBrandinMotion»PRC1RT</v></cell><cell r="D2066" t="str"><v>43296224106069</v></cell><cell r="E2066" t="str"><v>43296103176812PRC1RT</v></cell><cell r="F2066" t="str"><v>DCM</v></cell><cell r="G2066" t="str"><v>https://signup.azure.com/?OCID=AID%eexcid!_OLA_%ebuy!_%epid!_%ecid!</v></cell></row><row r="2066"><cell r="K2066" t="str"><v>July</v></cell><cell r="L2066"><v>43302</v></cell><cell r="M2066" t="str"><v>Tier 0</v></cell><cell r="N2066" t="str"><v>North America</v></cell><cell r="O2066" t="str"><v>United States</v></cell><cell r="P2066" t="str"><v>Trial</v></cell><cell r="Q2066" t="str"><v>Social</v></cell><cell r="R2066" t="str"><v>Azure</v></cell><cell r="S2066" t="str"><v>Apps & Infra</v></cell><cell r="T2066" t="str"><v>Developers & ITI's</v></cell><cell r="U2066" t="str"><v>USA-Trial-ITD-Retargeting-AZR-AZR</v></cell><cell r="V2066" t="str"><v>Retargeting</v></cell><cell r="W2066" t="str"><v>Canvas Ad</v></cell><cell r="X2066" t="str"><v>1x1</v></cell></row><row r="2066"><cell r="AA2066"><v>43296</v></cell><cell r="AB2066" t="str"><v>USA_gaPMG_AZR_AZR_Q1_19_Direct-Social</v></cell><cell r="AC2066"><v>21358715</v></cell><cell r="AD2066"><v>720197</v></cell><cell r="AE2066" t="str"><v>Facebook</v></cell><cell r="AF2066"><v>3654128</v></cell><cell r="AG2066" t="str"><v>FACEBOOK»USA-Trial-ITD-Retargeting-AZR-AZR»1 x 1»SocialBan»CAN»ALL»CPA»RT»X»NA»SS»NA»FBCTCBrandinMotion»PRC1RT</v></cell><cell r="AH2066"><v>224106069</v></cell><cell r="AI2066" t="str"><v>AzurePlatform_FBCTCBrandinMotion_USA_10s_CAN_PLATFORM_English_Trial_Standard_STAN_TIN_T2_1</v></cell><cell r="AJ2066"><v>103176812</v></cell></row><row r="2067"><cell r="C2067" t="str"><v>43296FACEBOOK»USA-Trial-ITD-Retargeting-AZR-AZR»1 x 1»SocialBan»CAN»ALL»CPA»RT»X»NA»SS»NA»FBCTCBrandinMotion»PRC1RT</v></cell><cell r="D2067" t="str"><v>43296224106069</v></cell><cell r="E2067" t="str"><v>43296103032823PRC1RT</v></cell><cell r="F2067" t="str"><v>DCM</v></cell><cell r="G2067" t="str"><v>https://azure.microsoft.com/en-us/pricing/purchase-options/?v=18.19&OCID=AID%eexcid!_OLA_%ebuy!_%epid!_%ecid!</v></cell></row><row r="2067"><cell r="K2067" t="str"><v>July</v></cell><cell r="L2067"><v>43302</v></cell><cell r="M2067" t="str"><v>Tier 0</v></cell><cell r="N2067" t="str"><v>North America</v></cell><cell r="O2067" t="str"><v>United States</v></cell><cell r="P2067" t="str"><v>Trial</v></cell><cell r="Q2067" t="str"><v>Social</v></cell><cell r="R2067" t="str"><v>Azure</v></cell><cell r="S2067" t="str"><v>Apps & Infra</v></cell><cell r="T2067" t="str"><v>Developers & ITI's</v></cell><cell r="U2067" t="str"><v>USA-Trial-ITD-Retargeting-AZR-AZR</v></cell><cell r="V2067" t="str"><v>Retargeting</v></cell><cell r="W2067" t="str"><v>Canvas Ad</v></cell><cell r="X2067" t="str"><v>1x1</v></cell></row><row r="2067"><cell r="AA2067"><v>43296</v></cell><cell r="AB2067" t="str"><v>USA_gaPMG_AZR_AZR_Q1_19_Direct-Social</v></cell><cell r="AC2067"><v>21358715</v></cell><cell r="AD2067"><v>720197</v></cell><cell r="AE2067" t="str"><v>Facebook</v></cell><cell r="AF2067"><v>3654128</v></cell><cell r="AG2067" t="str"><v>FACEBOOK»USA-Trial-ITD-Retargeting-AZR-AZR»1 x 1»SocialBan»CAN»ALL»CPA»RT»X»NA»SS»NA»FBCTCBrandinMotion»PRC1RT</v></cell><cell r="AH2067"><v>224106069</v></cell><cell r="AI2067" t="str"><v>AzurePlatform_FBCTCBrandinMotion_USA_10s_CAN_PLATFORM_English_Trial_Standard_STAN_TIN_T2_2</v></cell><cell r="AJ2067"><v>103032823</v></cell></row><row r="2068"><cell r="C2068" t="str"><v>43296FACEBOOK»USA-Trial-ITD-Trial Lookalike-AZR-AZR»1 x 1»SocialBan»CAN»ALL»CPA»LAL»X»NA»SS»NA»FBCTCBenefit2inMotion»PRC1M0</v></cell><cell r="D2068" t="str"><v>43296223862927</v></cell><cell r="E2068" t="str"><v>43296103043835PRC1M0</v></cell><cell r="F2068" t="str"><v>DCM</v></cell><cell r="G2068" t="str"><v>https://signup.azure.com/?OCID=AID%eexcid!_OLA_%ebuy!_%epid!_%ecid!</v></cell></row><row r="2068"><cell r="K2068" t="str"><v>July</v></cell><cell r="L2068"><v>43302</v></cell><cell r="M2068" t="str"><v>Tier 0</v></cell><cell r="N2068" t="str"><v>North America</v></cell><cell r="O2068" t="str"><v>United States</v></cell><cell r="P2068" t="str"><v>Trial</v></cell><cell r="Q2068" t="str"><v>Social</v></cell><cell r="R2068" t="str"><v>Azure</v></cell><cell r="S2068" t="str"><v>Apps & Infra</v></cell><cell r="T2068" t="str"><v>Developers & ITI's</v></cell><cell r="U2068" t="str"><v>USA-Trial-ITD-Trial Lookalike-AZR-AZR</v></cell><cell r="V2068" t="str"><v>Lookalike Targeting</v></cell><cell r="W2068" t="str"><v>Canvas Ad</v></cell><cell r="X2068" t="str"><v>1x1</v></cell></row><row r="2068"><cell r="AA2068"><v>43296</v></cell><cell r="AB2068" t="str"><v>USA_gaPMG_AZR_AZR_Q1_19_Direct-Social</v></cell><cell r="AC2068"><v>21358715</v></cell><cell r="AD2068"><v>720197</v></cell><cell r="AE2068" t="str"><v>Facebook</v></cell><cell r="AF2068"><v>3654128</v></cell><cell r="AG2068" t="str"><v>FACEBOOK»USA-Trial-ITD-Trial Lookalike-AZR-AZR»1 x 1»SocialBan»CAN»ALL»CPA»LAL»X»NA»SS»NA»FBCTCBenefit2inMotion»PRC1M0</v></cell><cell r="AH2068"><v>223862927</v></cell><cell r="AI2068" t="str"><v>AzurePlatform_FBCTCBenefit2inMotion_USA_10s_CAN_PLATFORM_English_Trial_Standard_STAN_TIN_T4_1</v></cell><cell r="AJ2068"><v>103043835</v></cell></row><row r="2069"><cell r="C2069" t="str"><v>43296FACEBOOK»USA-Trial-ITD-Trial Lookalike-AZR-AZR»1 x 1»SocialBan»CAN»ALL»CPA»LAL»X»NA»SS»NA»FBCTCBenefitinMotion»PRC1M2</v></cell><cell r="D2069" t="str"><v>43296223862897</v></cell><cell r="E2069" t="str"><v>43296103032775PRC1M2</v></cell><cell r="F2069" t="str"><v>DCM</v></cell><cell r="G2069" t="str"><v>https://signup.azure.com/?OCID=AID%eexcid!_OLA_%ebuy!_%epid!_%ecid!</v></cell></row><row r="2069"><cell r="K2069" t="str"><v>July</v></cell><cell r="L2069"><v>43302</v></cell><cell r="M2069" t="str"><v>Tier 0</v></cell><cell r="N2069" t="str"><v>North America</v></cell><cell r="O2069" t="str"><v>United States</v></cell><cell r="P2069" t="str"><v>Trial</v></cell><cell r="Q2069" t="str"><v>Social</v></cell><cell r="R2069" t="str"><v>Azure</v></cell><cell r="S2069" t="str"><v>Apps & Infra</v></cell><cell r="T2069" t="str"><v>Developers & ITI's</v></cell><cell r="U2069" t="str"><v>USA-Trial-ITD-Trial Lookalike-AZR-AZR</v></cell><cell r="V2069" t="str"><v>Lookalike Targeting</v></cell><cell r="W2069" t="str"><v>Canvas Ad</v></cell><cell r="X2069" t="str"><v>1x1</v></cell></row><row r="2069"><cell r="AA2069"><v>43296</v></cell><cell r="AB2069" t="str"><v>USA_gaPMG_AZR_AZR_Q1_19_Direct-Social</v></cell><cell r="AC2069"><v>21358715</v></cell><cell r="AD2069"><v>720197</v></cell><cell r="AE2069" t="str"><v>Facebook</v></cell><cell r="AF2069"><v>3654128</v></cell><cell r="AG2069" t="str"><v>FACEBOOK»USA-Trial-ITD-Trial Lookalike-AZR-AZR»1 x 1»SocialBan»CAN»ALL»CPA»LAL»X»NA»SS»NA»FBCTCBenefitinMotion»PRC1M2</v></cell><cell r="AH2069"><v>223862897</v></cell><cell r="AI2069" t="str"><v>AzurePlatform_FBCTCBenefitinMotion_USA_10s_CAN_PLATFORM_English_Trial_Standard_STAN_TIN_T3_1</v></cell><cell r="AJ2069"><v>103032775</v></cell></row><row r="2070"><cell r="C2070" t="str"><v>43296FACEBOOK»USA-Trial-ITD-Trial Lookalike-AZR-AZR»1 x 1»SocialBan»CAN»ALL»CPA»LAL»X»NA»SS»NA»FBCTCBenefitinMotion»PRC1M2</v></cell><cell r="D2070" t="str"><v>43296223862897</v></cell><cell r="E2070" t="str"><v>43296103176836PRC1M2</v></cell><cell r="F2070" t="str"><v>DCM</v></cell><cell r="G2070" t="str"><v>https://azure.microsoft.com/en-us/pricing/purchase-options/?v=18.19&OCID=AID%eexcid!_OLA_%ebuy!_%epid!_%ecid!</v></cell></row><row r="2070"><cell r="K2070" t="str"><v>July</v></cell><cell r="L2070"><v>43302</v></cell><cell r="M2070" t="str"><v>Tier 0</v></cell><cell r="N2070" t="str"><v>North America</v></cell><cell r="O2070" t="str"><v>United States</v></cell><cell r="P2070" t="str"><v>Trial</v></cell><cell r="Q2070" t="str"><v>Social</v></cell><cell r="R2070" t="str"><v>Azure</v></cell><cell r="S2070" t="str"><v>Apps & Infra</v></cell><cell r="T2070" t="str"><v>Developers & ITI's</v></cell><cell r="U2070" t="str"><v>USA-Trial-ITD-Trial Lookalike-AZR-AZR</v></cell><cell r="V2070" t="str"><v>Lookalike Targeting</v></cell><cell r="W2070" t="str"><v>Canvas Ad</v></cell><cell r="X2070" t="str"><v>1x1</v></cell></row><row r="2070"><cell r="AA2070"><v>43296</v></cell><cell r="AB2070" t="str"><v>USA_gaPMG_AZR_AZR_Q1_19_Direct-Social</v></cell><cell r="AC2070"><v>21358715</v></cell><cell r="AD2070"><v>720197</v></cell><cell r="AE2070" t="str"><v>Facebook</v></cell><cell r="AF2070"><v>3654128</v></cell><cell r="AG2070" t="str"><v>FACEBOOK»USA-Trial-ITD-Trial Lookalike-AZR-AZR»1 x 1»SocialBan»CAN»ALL»CPA»LAL»X»NA»SS»NA»FBCTCBenefitinMotion»PRC1M2</v></cell><cell r="AH2070"><v>223862897</v></cell><cell r="AI2070" t="str"><v>AzurePlatform_FBCTCBenefitinMotion_USA_10s_CAN_PLATFORM_English_Trial_Standard_STAN_TIN_T3_2</v></cell><cell r="AJ2070"><v>103176836</v></cell></row><row r="2071"><cell r="C2071" t="str"><v>43296FACEBOOK»USA-Trial-ITD-Trial Lookalike-AZR-AZR»1 x 1»SocialBan»LIA»ALL»CPA»LAL»X»NA»SS»NA»FreeAcctDeveloperFB-AnimatedAI-Ch3»PRC1M7</v></cell><cell r="D2071" t="str"><v>43296223934104</v></cell><cell r="E2071" t="str"><v>43296103032778PRC1M7</v></cell><cell r="F2071" t="str"><v>DCM</v></cell></row><row r="2071"><cell r="K2071" t="str"><v>July</v></cell><cell r="L2071"><v>43302</v></cell><cell r="M2071" t="str"><v>Tier 0</v></cell><cell r="N2071" t="str"><v>North America</v></cell><cell r="O2071" t="str"><v>United States</v></cell><cell r="P2071" t="str"><v>Trial</v></cell><cell r="Q2071" t="str"><v>Social</v></cell><cell r="R2071" t="str"><v>Azure</v></cell><cell r="S2071" t="str"><v>Apps & Infra</v></cell><cell r="T2071" t="str"><v>Developers & ITI's</v></cell><cell r="U2071" t="str"><v>USA-Trial-ITD-Trial Lookalike-AZR-AZR</v></cell><cell r="V2071" t="str"><v>Lookalike Targeting</v></cell><cell r="W2071" t="str"><v>Link Ad</v></cell><cell r="X2071" t="str"><v>1x1</v></cell></row><row r="2071"><cell r="AA2071"><v>43296</v></cell><cell r="AB2071" t="str"><v>USA_gaPMG_AZR_AZR_Q1_19_Direct-Social</v></cell><cell r="AC2071"><v>21358715</v></cell><cell r="AD2071"><v>720197</v></cell><cell r="AE2071" t="str"><v>Facebook</v></cell><cell r="AF2071"><v>3654128</v></cell><cell r="AG2071" t="str"><v>FACEBOOK»USA-Trial-ITD-Trial Lookalike-AZR-AZR»1 x 1»SocialBan»LIA»ALL»CPA»LAL»X»NA»SS»NA»FreeAcctDeveloperFB-AnimatedAI-Ch3»PRC1M7</v></cell><cell r="AH2071"><v>223934104</v></cell><cell r="AI2071" t="str"><v>AZR_FreeAcctDeveloperFB-AnimatedAI-Ch3_USA_1200x1200_CAN_Direct_English_Trial_Standard_ANI_LEA_T3_1</v></cell><cell r="AJ2071"><v>103032778</v></cell></row><row r="2072"><cell r="C2072" t="str"><v>43296FACEBOOK»USA-Trial-ITD-Trial Lookalike-AZR-AZR»1 x 1»SocialBan»LIA»ALL»CPA»LAL»X»NA»SS»NA»FreeAcctDeveloperFB-AnimatedData-Ch4»PRC1M8</v></cell><cell r="D2072" t="str"><v>43296223862933</v></cell><cell r="E2072" t="str"><v>43296103037935PRC1M8</v></cell><cell r="F2072" t="str"><v>DCM</v></cell></row><row r="2072"><cell r="K2072" t="str"><v>July</v></cell><cell r="L2072"><v>43302</v></cell><cell r="M2072" t="str"><v>Tier 0</v></cell><cell r="N2072" t="str"><v>North America</v></cell><cell r="O2072" t="str"><v>United States</v></cell><cell r="P2072" t="str"><v>Trial</v></cell><cell r="Q2072" t="str"><v>Social</v></cell><cell r="R2072" t="str"><v>Azure</v></cell><cell r="S2072" t="str"><v>Apps & Infra</v></cell><cell r="T2072" t="str"><v>Developers & ITI's</v></cell><cell r="U2072" t="str"><v>USA-Trial-ITD-Trial Lookalike-AZR-AZR</v></cell><cell r="V2072" t="str"><v>Lookalike Targeting</v></cell><cell r="W2072" t="str"><v>Link Ad</v></cell><cell r="X2072" t="str"><v>1x1</v></cell></row><row r="2072"><cell r="AA2072"><v>43296</v></cell><cell r="AB2072" t="str"><v>USA_gaPMG_AZR_AZR_Q1_19_Direct-Social</v></cell><cell r="AC2072"><v>21358715</v></cell><cell r="AD2072"><v>720197</v></cell><cell r="AE2072" t="str"><v>Facebook</v></cell><cell r="AF2072"><v>3654128</v></cell><cell r="AG2072" t="str"><v>FACEBOOK»USA-Trial-ITD-Trial Lookalike-AZR-AZR»1 x 1»SocialBan»LIA»ALL»CPA»LAL»X»NA»SS»NA»FreeAcctDeveloperFB-AnimatedData-Ch4»PRC1M8</v></cell><cell r="AH2072"><v>223862933</v></cell><cell r="AI2072" t="str"><v>AZR_FreeAcctDeveloperFB-AnimatedData-Ch4_USA_1200x1200_CAN_Direct_English_Trial_Standard_ANI_LEA_T4_2</v></cell><cell r="AJ2072"><v>103037935</v></cell></row><row r="2073"><cell r="C2073" t="str"><v>43296FACEBOOK»USA-Trial-ITD-Trial Lookalike-AZR-AZR»1 x 1»SocialBan»LIA»ALL»CPA»LAL»X»NA»SS»NA»FreeAcctITProFB-AnimatedHybrid-Ch2»PRC1MC</v></cell><cell r="D2073" t="str"><v>43296224104956</v></cell><cell r="E2073" t="str"><v>43296103180583PRC1MC</v></cell><cell r="F2073" t="str"><v>DCM</v></cell></row><row r="2073"><cell r="K2073" t="str"><v>July</v></cell><cell r="L2073"><v>43302</v></cell><cell r="M2073" t="str"><v>Tier 0</v></cell><cell r="N2073" t="str"><v>North America</v></cell><cell r="O2073" t="str"><v>United States</v></cell><cell r="P2073" t="str"><v>Trial</v></cell><cell r="Q2073" t="str"><v>Social</v></cell><cell r="R2073" t="str"><v>Azure</v></cell><cell r="S2073" t="str"><v>Apps & Infra</v></cell><cell r="T2073" t="str"><v>Developers & ITI's</v></cell><cell r="U2073" t="str"><v>USA-Trial-ITD-Trial Lookalike-AZR-AZR</v></cell><cell r="V2073" t="str"><v>Lookalike Targeting</v></cell><cell r="W2073" t="str"><v>Link Ad</v></cell><cell r="X2073" t="str"><v>1x1</v></cell></row><row r="2073"><cell r="AA2073"><v>43296</v></cell><cell r="AB2073" t="str"><v>USA_gaPMG_AZR_AZR_Q1_19_Direct-Social</v></cell><cell r="AC2073"><v>21358715</v></cell><cell r="AD2073"><v>720197</v></cell><cell r="AE2073" t="str"><v>Facebook</v></cell><cell r="AF2073"><v>3654128</v></cell><cell r="AG2073" t="str"><v>FACEBOOK»USA-Trial-ITD-Trial Lookalike-AZR-AZR»1 x 1»SocialBan»LIA»ALL»CPA»LAL»X»NA»SS»NA»FreeAcctITProFB-AnimatedHybrid-Ch2»PRC1MC</v></cell><cell r="AH2073"><v>224104956</v></cell><cell r="AI2073" t="str"><v>AZR_FreeAcctITProFB-AnimatedHybrid-Ch2_USA_1200x1200_CAN_Direct_English_Trial_Standard_ANI_LEA_T2_2</v></cell><cell r="AJ2073"><v>103180583</v></cell></row><row r="2074"><cell r="C2074" t="str"><v>43296FACEBOOK»USA-Trial-ITD-Trial Lookalike-AZR-AZR»1 x 1»SocialBan»CAN»ALL»CPA»LAL»X»NA»SS»NA»FBCTCBrandinMotion»PRC1M3</v></cell><cell r="D2074" t="str"><v>43296223862900</v></cell><cell r="E2074" t="str"><v>43296103176812PRC1M3</v></cell><cell r="F2074" t="str"><v>DCM</v></cell><cell r="G2074" t="str"><v>https://signup.azure.com/?OCID=AID%eexcid!_OLA_%ebuy!_%epid!_%ecid!</v></cell></row><row r="2074"><cell r="K2074" t="str"><v>July</v></cell><cell r="L2074"><v>43302</v></cell><cell r="M2074" t="str"><v>Tier 0</v></cell><cell r="N2074" t="str"><v>North America</v></cell><cell r="O2074" t="str"><v>United States</v></cell><cell r="P2074" t="str"><v>Trial</v></cell><cell r="Q2074" t="str"><v>Social</v></cell><cell r="R2074" t="str"><v>Azure</v></cell><cell r="S2074" t="str"><v>Apps & Infra</v></cell><cell r="T2074" t="str"><v>Developers & ITI's</v></cell><cell r="U2074" t="str"><v>USA-Trial-ITD-Trial Lookalike-AZR-AZR</v></cell><cell r="V2074" t="str"><v>Lookalike Targeting</v></cell><cell r="W2074" t="str"><v>Canvas Ad</v></cell><cell r="X2074" t="str"><v>1x1</v></cell></row><row r="2074"><cell r="AA2074"><v>43296</v></cell><cell r="AB2074" t="str"><v>USA_gaPMG_AZR_AZR_Q1_19_Direct-Social</v></cell><cell r="AC2074"><v>21358715</v></cell><cell r="AD2074"><v>720197</v></cell><cell r="AE2074" t="str"><v>Facebook</v></cell><cell r="AF2074"><v>3654128</v></cell><cell r="AG2074" t="str"><v>FACEBOOK»USA-Trial-ITD-Trial Lookalike-AZR-AZR»1 x 1»SocialBan»CAN»ALL»CPA»LAL»X»NA»SS»NA»FBCTCBrandinMotion»PRC1M3</v></cell><cell r="AH2074"><v>223862900</v></cell><cell r="AI2074" t="str"><v>AzurePlatform_FBCTCBrandinMotion_USA_10s_CAN_PLATFORM_English_Trial_Standard_STAN_TIN_T2_1</v></cell><cell r="AJ2074"><v>103176812</v></cell></row><row r="2075"><cell r="C2075" t="str"><v>43296FACEBOOK»USA-Trial-ITD-Trial Lookalike-AZR-AZR»1 x 1»SocialBan»CAN»ALL»CPA»LAL»X»NA»SS»NA»FBCTCBrandinMotion»PRC1M3</v></cell><cell r="D2075" t="str"><v>43296223862900</v></cell><cell r="E2075" t="str"><v>43296103032823PRC1M3</v></cell><cell r="F2075" t="str"><v>DCM</v></cell><cell r="G2075" t="str"><v>https://azure.microsoft.com/en-us/pricing/purchase-options/?v=18.19&OCID=AID%eexcid!_OLA_%ebuy!_%epid!_%ecid!</v></cell></row><row r="2075"><cell r="K2075" t="str"><v>July</v></cell><cell r="L2075"><v>43302</v></cell><cell r="M2075" t="str"><v>Tier 0</v></cell><cell r="N2075" t="str"><v>North America</v></cell><cell r="O2075" t="str"><v>United States</v></cell><cell r="P2075" t="str"><v>Trial</v></cell><cell r="Q2075" t="str"><v>Social</v></cell><cell r="R2075" t="str"><v>Azure</v></cell><cell r="S2075" t="str"><v>Apps & Infra</v></cell><cell r="T2075" t="str"><v>Developers & ITI's</v></cell><cell r="U2075" t="str"><v>USA-Trial-ITD-Trial Lookalike-AZR-AZR</v></cell><cell r="V2075" t="str"><v>Lookalike Targeting</v></cell><cell r="W2075" t="str"><v>Canvas Ad</v></cell><cell r="X2075" t="str"><v>1x1</v></cell></row><row r="2075"><cell r="AA2075"><v>43296</v></cell><cell r="AB2075" t="str"><v>USA_gaPMG_AZR_AZR_Q1_19_Direct-Social</v></cell><cell r="AC2075"><v>21358715</v></cell><cell r="AD2075"><v>720197</v></cell><cell r="AE2075" t="str"><v>Facebook</v></cell><cell r="AF2075"><v>3654128</v></cell><cell r="AG2075" t="str"><v>FACEBOOK»USA-Trial-ITD-Trial Lookalike-AZR-AZR»1 x 1»SocialBan»CAN»ALL»CPA»LAL»X»NA»SS»NA»FBCTCBrandinMotion»PRC1M3</v></cell><cell r="AH2075"><v>223862900</v></cell><cell r="AI2075" t="str"><v>AzurePlatform_FBCTCBrandinMotion_USA_10s_CAN_PLATFORM_English_Trial_Standard_STAN_TIN_T2_2</v></cell><cell r="AJ2075"><v>103032823</v></cell></row><row r="2076"><cell r="C2076" t="str"><v>43296FACEBOOK»USA-Trial-ITD-Trial PayGo Lookalike-AZR-AZR»1 x 1»SocialBan»CAN»ALL»CPA»LAL»X»NA»SS»NA»FBCTCBenefit2inMotion»PRC1Q1</v></cell><cell r="D2076" t="str"><v>43296224104986</v></cell><cell r="E2076" t="str"><v>43296103043835PRC1Q1</v></cell><cell r="F2076" t="str"><v>DCM</v></cell><cell r="G2076" t="str"><v>https://signup.azure.com/?OCID=AID%eexcid!_OLA_%ebuy!_%epid!_%ecid!</v></cell></row><row r="2076"><cell r="K2076" t="str"><v>July</v></cell><cell r="L2076"><v>43302</v></cell><cell r="M2076" t="str"><v>Tier 0</v></cell><cell r="N2076" t="str"><v>North America</v></cell><cell r="O2076" t="str"><v>United States</v></cell><cell r="P2076" t="str"><v>Trial</v></cell><cell r="Q2076" t="str"><v>Social</v></cell><cell r="R2076" t="str"><v>Azure</v></cell><cell r="S2076" t="str"><v>Apps & Infra</v></cell><cell r="T2076" t="str"><v>Developers & ITI's</v></cell><cell r="U2076" t="str"><v>USA-Trial-ITD-Trial PayGo Lookalike-AZR-AZR</v></cell><cell r="V2076" t="str"><v>Lookalike Targeting</v></cell><cell r="W2076" t="str"><v>Canvas Ad</v></cell><cell r="X2076" t="str"><v>1x1</v></cell></row><row r="2076"><cell r="AA2076"><v>43296</v></cell><cell r="AB2076" t="str"><v>USA_gaPMG_AZR_AZR_Q1_19_Direct-Social</v></cell><cell r="AC2076"><v>21358715</v></cell><cell r="AD2076"><v>720197</v></cell><cell r="AE2076" t="str"><v>Facebook</v></cell><cell r="AF2076"><v>3654128</v></cell><cell r="AG2076" t="str"><v>FACEBOOK»USA-Trial-ITD-Trial PayGo Lookalike-AZR-AZR»1 x 1»SocialBan»CAN»ALL»CPA»LAL»X»NA»SS»NA»FBCTCBenefit2inMotion»PRC1Q1</v></cell><cell r="AH2076"><v>224104986</v></cell><cell r="AI2076" t="str"><v>AzurePlatform_FBCTCBenefit2inMotion_USA_10s_CAN_PLATFORM_English_Trial_Standard_STAN_TIN_T4_1</v></cell><cell r="AJ2076"><v>103043835</v></cell></row><row r="2077"><cell r="C2077" t="str"><v>43296FACEBOOK»USA-Trial-ITD-Trial PayGo Lookalike-AZR-AZR»1 x 1»SocialBan»CAN»ALL»CPA»LAL»X»NA»SS»NA»FBCTCBenefit2inMotion»PRC1Q1</v></cell><cell r="D2077" t="str"><v>43296224104986</v></cell><cell r="E2077" t="str"><v>43296103178645PRC1Q1</v></cell><cell r="F2077" t="str"><v>DCM</v></cell><cell r="G2077" t="str"><v>https://azure.microsoft.com/en-us/pricing/purchase-options/?v=18.19&OCID=AID%eexcid!_OLA_%ebuy!_%epid!_%ecid!</v></cell></row><row r="2077"><cell r="K2077" t="str"><v>July</v></cell><cell r="L2077"><v>43302</v></cell><cell r="M2077" t="str"><v>Tier 0</v></cell><cell r="N2077" t="str"><v>North America</v></cell><cell r="O2077" t="str"><v>United States</v></cell><cell r="P2077" t="str"><v>Trial</v></cell><cell r="Q2077" t="str"><v>Social</v></cell><cell r="R2077" t="str"><v>Azure</v></cell><cell r="S2077" t="str"><v>Apps & Infra</v></cell><cell r="T2077" t="str"><v>Developers & ITI's</v></cell><cell r="U2077" t="str"><v>USA-Trial-ITD-Trial PayGo Lookalike-AZR-AZR</v></cell><cell r="V2077" t="str"><v>Lookalike Targeting</v></cell><cell r="W2077" t="str"><v>Canvas Ad</v></cell><cell r="X2077" t="str"><v>1x1</v></cell></row><row r="2077"><cell r="AA2077"><v>43296</v></cell><cell r="AB2077" t="str"><v>USA_gaPMG_AZR_AZR_Q1_19_Direct-Social</v></cell><cell r="AC2077"><v>21358715</v></cell><cell r="AD2077"><v>720197</v></cell><cell r="AE2077" t="str"><v>Facebook</v></cell><cell r="AF2077"><v>3654128</v></cell><cell r="AG2077" t="str"><v>FACEBOOK»USA-Trial-ITD-Trial PayGo Lookalike-AZR-AZR»1 x 1»SocialBan»CAN»ALL»CPA»LAL»X»NA»SS»NA»FBCTCBenefit2inMotion»PRC1Q1</v></cell><cell r="AH2077"><v>224104986</v></cell><cell r="AI2077" t="str"><v>AzurePlatform_FBCTCBenefit2inMotion_USA_10s_CAN_PLATFORM_English_Trial_Standard_STAN_TIN_T4_2</v></cell><cell r="AJ2077"><v>103178645</v></cell></row><row r="2078"><cell r="C2078" t="str"><v>43296FACEBOOK»USA-Trial-ITD-Trial PayGo Lookalike-AZR-AZR»1 x 1»SocialBan»CAN»ALL»CPA»LAL»X»NA»SS»NA»FBCTCBrandinMotion»PRC1Q3</v></cell><cell r="D2078" t="str"><v>43296223935349</v></cell><cell r="E2078" t="str"><v>43296103176812PRC1Q3</v></cell><cell r="F2078" t="str"><v>DCM</v></cell><cell r="G2078" t="str"><v>https://signup.azure.com/?OCID=AID%eexcid!_OLA_%ebuy!_%epid!_%ecid!</v></cell></row><row r="2078"><cell r="K2078" t="str"><v>July</v></cell><cell r="L2078"><v>43302</v></cell><cell r="M2078" t="str"><v>Tier 0</v></cell><cell r="N2078" t="str"><v>North America</v></cell><cell r="O2078" t="str"><v>United States</v></cell><cell r="P2078" t="str"><v>Trial</v></cell><cell r="Q2078" t="str"><v>Social</v></cell><cell r="R2078" t="str"><v>Azure</v></cell><cell r="S2078" t="str"><v>Apps & Infra</v></cell><cell r="T2078" t="str"><v>Developers & ITI's</v></cell><cell r="U2078" t="str"><v>USA-Trial-ITD-Trial PayGo Lookalike-AZR-AZR</v></cell><cell r="V2078" t="str"><v>Lookalike Targeting</v></cell><cell r="W2078" t="str"><v>Canvas Ad</v></cell><cell r="X2078" t="str"><v>1x1</v></cell></row><row r="2078"><cell r="AA2078"><v>43296</v></cell><cell r="AB2078" t="str"><v>USA_gaPMG_AZR_AZR_Q1_19_Direct-Social</v></cell><cell r="AC2078"><v>21358715</v></cell><cell r="AD2078"><v>720197</v></cell><cell r="AE2078" t="str"><v>Facebook</v></cell><cell r="AF2078"><v>3654128</v></cell><cell r="AG2078" t="str"><v>FACEBOOK»USA-Trial-ITD-Trial PayGo Lookalike-AZR-AZR»1 x 1»SocialBan»CAN»ALL»CPA»LAL»X»NA»SS»NA»FBCTCBrandinMotion»PRC1Q3</v></cell><cell r="AH2078"><v>223935349</v></cell><cell r="AI2078" t="str"><v>AzurePlatform_FBCTCBrandinMotion_USA_10s_CAN_PLATFORM_English_Trial_Standard_STAN_TIN_T2_1</v></cell><cell r="AJ2078"><v>103176812</v></cell></row><row r="2079"><cell r="C2079" t="str"><v>43296FACEBOOK»USA-Trial-ITD-Trial PayGo Lookalike-AZR-AZR»1 x 1»SocialBan»CAN»ALL»CPA»LAL»X»NA»SS»NA»FBCTCBrandinMotion»PRC1Q3</v></cell><cell r="D2079" t="str"><v>43296223935349</v></cell><cell r="E2079" t="str"><v>43296103032823PRC1Q3</v></cell><cell r="F2079" t="str"><v>DCM</v></cell><cell r="G2079" t="str"><v>https://azure.microsoft.com/en-us/pricing/purchase-options/?v=18.19&OCID=AID%eexcid!_OLA_%ebuy!_%epid!_%ecid!</v></cell></row><row r="2079"><cell r="K2079" t="str"><v>July</v></cell><cell r="L2079"><v>43302</v></cell><cell r="M2079" t="str"><v>Tier 0</v></cell><cell r="N2079" t="str"><v>North America</v></cell><cell r="O2079" t="str"><v>United States</v></cell><cell r="P2079" t="str"><v>Trial</v></cell><cell r="Q2079" t="str"><v>Social</v></cell><cell r="R2079" t="str"><v>Azure</v></cell><cell r="S2079" t="str"><v>Apps & Infra</v></cell><cell r="T2079" t="str"><v>Developers & ITI's</v></cell><cell r="U2079" t="str"><v>USA-Trial-ITD-Trial PayGo Lookalike-AZR-AZR</v></cell><cell r="V2079" t="str"><v>Lookalike Targeting</v></cell><cell r="W2079" t="str"><v>Canvas Ad</v></cell><cell r="X2079" t="str"><v>1x1</v></cell></row><row r="2079"><cell r="AA2079"><v>43296</v></cell><cell r="AB2079" t="str"><v>USA_gaPMG_AZR_AZR_Q1_19_Direct-Social</v></cell><cell r="AC2079"><v>21358715</v></cell><cell r="AD2079"><v>720197</v></cell><cell r="AE2079" t="str"><v>Facebook</v></cell><cell r="AF2079"><v>3654128</v></cell><cell r="AG2079" t="str"><v>FACEBOOK»USA-Trial-ITD-Trial PayGo Lookalike-AZR-AZR»1 x 1»SocialBan»CAN»ALL»CPA»LAL»X»NA»SS»NA»FBCTCBrandinMotion»PRC1Q3</v></cell><cell r="AH2079"><v>223935349</v></cell><cell r="AI2079" t="str"><v>AzurePlatform_FBCTCBrandinMotion_USA_10s_CAN_PLATFORM_English_Trial_Standard_STAN_TIN_T2_2</v></cell><cell r="AJ2079"><v>103032823</v></cell></row><row r="2080"><cell r="C2080" t="str"><v>43296FACEBOOK»USA-Trial-ITD-Trial PayGo Lookalike-AZR-AZR»1 x 1»SocialBan»CAN»ALL»CPA»LAL»X»NA»SS»NA»FBCTCBenefitinMotion»PRC1Q2</v></cell><cell r="D2080" t="str"><v>43296223862960</v></cell><cell r="E2080" t="str"><v>43296103032775PRC1Q2</v></cell><cell r="F2080" t="str"><v>DCM</v></cell><cell r="G2080" t="str"><v>https://signup.azure.com/?OCID=AID%eexcid!_OLA_%ebuy!_%epid!_%ecid!</v></cell></row><row r="2080"><cell r="K2080" t="str"><v>July</v></cell><cell r="L2080"><v>43302</v></cell><cell r="M2080" t="str"><v>Tier 0</v></cell><cell r="N2080" t="str"><v>North America</v></cell><cell r="O2080" t="str"><v>United States</v></cell><cell r="P2080" t="str"><v>Trial</v></cell><cell r="Q2080" t="str"><v>Social</v></cell><cell r="R2080" t="str"><v>Azure</v></cell><cell r="S2080" t="str"><v>Apps & Infra</v></cell><cell r="T2080" t="str"><v>Developers & ITI's</v></cell><cell r="U2080" t="str"><v>USA-Trial-ITD-Trial PayGo Lookalike-AZR-AZR</v></cell><cell r="V2080" t="str"><v>Lookalike Targeting</v></cell><cell r="W2080" t="str"><v>Canvas Ad</v></cell><cell r="X2080" t="str"><v>1x1</v></cell></row><row r="2080"><cell r="AA2080"><v>43296</v></cell><cell r="AB2080" t="str"><v>USA_gaPMG_AZR_AZR_Q1_19_Direct-Social</v></cell><cell r="AC2080"><v>21358715</v></cell><cell r="AD2080"><v>720197</v></cell><cell r="AE2080" t="str"><v>Facebook</v></cell><cell r="AF2080"><v>3654128</v></cell><cell r="AG2080" t="str"><v>FACEBOOK»USA-Trial-ITD-Trial PayGo Lookalike-AZR-AZR»1 x 1»SocialBan»CAN»ALL»CPA»LAL»X»NA»SS»NA»FBCTCBenefitinMotion»PRC1Q2</v></cell><cell r="AH2080"><v>223862960</v></cell><cell r="AI2080" t="str"><v>AzurePlatform_FBCTCBenefitinMotion_USA_10s_CAN_PLATFORM_English_Trial_Standard_STAN_TIN_T3_1</v></cell><cell r="AJ2080"><v>103032775</v></cell></row><row r="2081"><cell r="C2081" t="str"><v>43296FACEBOOK»USA-Trial-ITD-Trial PayGo Lookalike-AZR-AZR»1 x 1»SocialBan»LIA»ALL»CPA»LAL»X»NA»SS»NA»FreeAcctDeveloperFB-AnimatedGeneric-Ch1»PRC1Q6</v></cell><cell r="D2081" t="str"><v>43296224106129</v></cell><cell r="E2081" t="str"><v>43296103176851PRC1Q6</v></cell><cell r="F2081" t="str"><v>DCM</v></cell><cell r="G2081" t="str"><v>https://azure.microsoft.com/en-us/free/search/?OCID=AID%eexcid!_OLA_%ebuy!_%epid!_%ecid!</v></cell></row><row r="2081"><cell r="K2081" t="str"><v>July</v></cell><cell r="L2081"><v>43302</v></cell><cell r="M2081" t="str"><v>Tier 0</v></cell><cell r="N2081" t="str"><v>North America</v></cell><cell r="O2081" t="str"><v>United States</v></cell><cell r="P2081" t="str"><v>Trial</v></cell><cell r="Q2081" t="str"><v>Social</v></cell><cell r="R2081" t="str"><v>Azure</v></cell><cell r="S2081" t="str"><v>Apps & Infra</v></cell><cell r="T2081" t="str"><v>Developers & ITI's</v></cell><cell r="U2081" t="str"><v>USA-Trial-ITD-Trial PayGo Lookalike-AZR-AZR</v></cell><cell r="V2081" t="str"><v>Lookalike Targeting</v></cell><cell r="W2081" t="str"><v>Link Ad</v></cell><cell r="X2081" t="str"><v>1x1</v></cell></row><row r="2081"><cell r="AA2081"><v>43296</v></cell><cell r="AB2081" t="str"><v>USA_gaPMG_AZR_AZR_Q1_19_Direct-Social</v></cell><cell r="AC2081"><v>21358715</v></cell><cell r="AD2081"><v>720197</v></cell><cell r="AE2081" t="str"><v>Facebook</v></cell><cell r="AF2081"><v>3654128</v></cell><cell r="AG2081" t="str"><v>FACEBOOK»USA-Trial-ITD-Trial PayGo Lookalike-AZR-AZR»1 x 1»SocialBan»LIA»ALL»CPA»LAL»X»NA»SS»NA»FreeAcctDeveloperFB-AnimatedGeneric-Ch1»PRC1Q6</v></cell><cell r="AH2081"><v>224106129</v></cell><cell r="AI2081" t="str"><v>AZR_FreeAcctDeveloperFB-AnimatedGeneric-Ch1_USA_1200x1200_CAN_Direct_English_Trial_Standard_ANI_LEA_T1_2</v></cell><cell r="AJ2081"><v>103176851</v></cell></row><row r="2082"><cell r="C2082" t="str"><v>43296FACEBOOK»USA-Trial-ITD-Interest Prospecting-AZR-AZR»1 x 1»SocialBan»LIA»ALL»CPA»PRO»X»NA»SS»NA»FreeAcctDeveloperFB-AnimatedAI-Ch3»PRC1T2</v></cell><cell r="D2082" t="str"><v>43296223862765</v></cell><cell r="E2082" t="str"><v>43296103032778PRC1T2</v></cell><cell r="F2082" t="str"><v>DCM</v></cell></row><row r="2082"><cell r="K2082" t="str"><v>July</v></cell><cell r="L2082"><v>43302</v></cell><cell r="M2082" t="str"><v>Tier 0</v></cell><cell r="N2082" t="str"><v>North America</v></cell><cell r="O2082" t="str"><v>United States</v></cell><cell r="P2082" t="str"><v>Trial</v></cell><cell r="Q2082" t="str"><v>Social</v></cell><cell r="R2082" t="str"><v>Azure</v></cell><cell r="S2082" t="str"><v>Apps & Infra</v></cell><cell r="T2082" t="str"><v>Developers & ITI's</v></cell><cell r="U2082" t="str"><v>USA-Trial-ITD-Interest Prospecting-AZR-AZR</v></cell><cell r="V2082" t="str"><v>Prospecting</v></cell><cell r="W2082" t="str"><v>Link Ad</v></cell><cell r="X2082" t="str"><v>1x1</v></cell></row><row r="2082"><cell r="AA2082"><v>43296</v></cell><cell r="AB2082" t="str"><v>USA_gaPMG_AZR_AZR_Q1_19_Direct-Social</v></cell><cell r="AC2082"><v>21358715</v></cell><cell r="AD2082"><v>720197</v></cell><cell r="AE2082" t="str"><v>Facebook</v></cell><cell r="AF2082"><v>3654128</v></cell><cell r="AG2082" t="str"><v>FACEBOOK»USA-Trial-ITD-Interest Prospecting-AZR-AZR»1 x 1»SocialBan»LIA»ALL»CPA»PRO»X»NA»SS»NA»FreeAcctDeveloperFB-AnimatedAI-Ch3»PRC1T2</v></cell><cell r="AH2082"><v>223862765</v></cell><cell r="AI2082" t="str"><v>AZR_FreeAcctDeveloperFB-AnimatedAI-Ch3_USA_1200x1200_CAN_Direct_English_Trial_Standard_ANI_LEA_T3_1</v></cell><cell r="AJ2082"><v>103032778</v></cell></row><row r="2083"><cell r="C2083" t="str"><v>43296FACEBOOK»USA-Trial-ITD-Interest Prospecting-AZR-AZR»1 x 1»SocialBan»LIA»ALL»CPA»PRO»X»NA»SS»NA»FreeAcctDeveloperFB-AnimatedData-Ch4»PRC1T3</v></cell><cell r="D2083" t="str"><v>43296223863380</v></cell><cell r="E2083" t="str"><v>43296103037935PRC1T3</v></cell><cell r="F2083" t="str"><v>DCM</v></cell></row><row r="2083"><cell r="K2083" t="str"><v>July</v></cell><cell r="L2083"><v>43302</v></cell><cell r="M2083" t="str"><v>Tier 0</v></cell><cell r="N2083" t="str"><v>North America</v></cell><cell r="O2083" t="str"><v>United States</v></cell><cell r="P2083" t="str"><v>Trial</v></cell><cell r="Q2083" t="str"><v>Social</v></cell><cell r="R2083" t="str"><v>Azure</v></cell><cell r="S2083" t="str"><v>Apps & Infra</v></cell><cell r="T2083" t="str"><v>Developers & ITI's</v></cell><cell r="U2083" t="str"><v>USA-Trial-ITD-Interest Prospecting-AZR-AZR</v></cell><cell r="V2083" t="str"><v>Prospecting</v></cell><cell r="W2083" t="str"><v>Link Ad</v></cell><cell r="X2083" t="str"><v>1x1</v></cell></row><row r="2083"><cell r="AA2083"><v>43296</v></cell><cell r="AB2083" t="str"><v>USA_gaPMG_AZR_AZR_Q1_19_Direct-Social</v></cell><cell r="AC2083"><v>21358715</v></cell><cell r="AD2083"><v>720197</v></cell><cell r="AE2083" t="str"><v>Facebook</v></cell><cell r="AF2083"><v>3654128</v></cell><cell r="AG2083" t="str"><v>FACEBOOK»USA-Trial-ITD-Interest Prospecting-AZR-AZR»1 x 1»SocialBan»LIA»ALL»CPA»PRO»X»NA»SS»NA»FreeAcctDeveloperFB-AnimatedData-Ch4»PRC1T3</v></cell><cell r="AH2083"><v>223863380</v></cell><cell r="AI2083" t="str"><v>AZR_FreeAcctDeveloperFB-AnimatedData-Ch4_USA_1200x1200_CAN_Direct_English_Trial_Standard_ANI_LEA_T4_2</v></cell><cell r="AJ2083"><v>103037935</v></cell></row><row r="2084"><cell r="C2084" t="str"><v>43296FACEBOOK»USA-Trial-ITD-Interest Prospecting-AZR-AZR»1 x 1»SocialBan»LIA»ALL»CPA»PRO»X»NA»SS»NA»FreeAcctDeveloperFB-AnimatedOpenSource-Ch2»PRC1T1</v></cell><cell r="D2084" t="str"><v>43296223862885</v></cell><cell r="E2084" t="str"><v>43296103048329PRC1T1</v></cell><cell r="F2084" t="str"><v>DCM</v></cell><cell r="G2084" t="str"><v>https://azure.microsoft.com/en-us/free/open-source/search/?OCID=AID%eexcid!_OLA_%ebuy!_%epid!_%ecid!</v></cell></row><row r="2084"><cell r="K2084" t="str"><v>July</v></cell><cell r="L2084"><v>43302</v></cell><cell r="M2084" t="str"><v>Tier 0</v></cell><cell r="N2084" t="str"><v>North America</v></cell><cell r="O2084" t="str"><v>United States</v></cell><cell r="P2084" t="str"><v>Trial</v></cell><cell r="Q2084" t="str"><v>Social</v></cell><cell r="R2084" t="str"><v>Azure</v></cell><cell r="S2084" t="str"><v>Apps & Infra</v></cell><cell r="T2084" t="str"><v>Developers & ITI's</v></cell><cell r="U2084" t="str"><v>USA-Trial-ITD-Interest Prospecting-AZR-AZR</v></cell><cell r="V2084" t="str"><v>Prospecting</v></cell><cell r="W2084" t="str"><v>Link Ad</v></cell><cell r="X2084" t="str"><v>1x1</v></cell></row><row r="2084"><cell r="AA2084"><v>43296</v></cell><cell r="AB2084" t="str"><v>USA_gaPMG_AZR_AZR_Q1_19_Direct-Social</v></cell><cell r="AC2084"><v>21358715</v></cell><cell r="AD2084"><v>720197</v></cell><cell r="AE2084" t="str"><v>Facebook</v></cell><cell r="AF2084"><v>3654128</v></cell><cell r="AG2084" t="str"><v>FACEBOOK»USA-Trial-ITD-Interest Prospecting-AZR-AZR»1 x 1»SocialBan»LIA»ALL»CPA»PRO»X»NA»SS»NA»FreeAcctDeveloperFB-AnimatedOpenSource-Ch2»PRC1T1</v></cell><cell r="AH2084"><v>223862885</v></cell><cell r="AI2084" t="str"><v>AZR_FreeAcctDeveloperFB-AnimatedOpenSource-Ch2_USA_1200x1200_CAN_Direct_English_Trial_Standard_ANI_LEA_T2_1</v></cell><cell r="AJ2084"><v>103048329</v></cell></row><row r="2085"><cell r="C2085" t="str"><v>43296FACEBOOK»USA-Trial-ITD-Interest Prospecting-AZR-AZR»1 x 1»SocialBan»LIA»ALL»CPA»PRO»X»NA»SS»NA»FreeAcctITProFB-AnimatedMigration-Ch3»PRC1X2</v></cell><cell r="D2085" t="str"><v>43296224106954</v></cell><cell r="E2085" t="str"><v>43296103176827PRC1X2</v></cell><cell r="F2085" t="str"><v>DCM</v></cell></row><row r="2085"><cell r="K2085" t="str"><v>July</v></cell><cell r="L2085"><v>43302</v></cell><cell r="M2085" t="str"><v>Tier 0</v></cell><cell r="N2085" t="str"><v>North America</v></cell><cell r="O2085" t="str"><v>United States</v></cell><cell r="P2085" t="str"><v>Trial</v></cell><cell r="Q2085" t="str"><v>Social</v></cell><cell r="R2085" t="str"><v>Azure</v></cell><cell r="S2085" t="str"><v>Apps & Infra</v></cell><cell r="T2085" t="str"><v>Developers & ITI's</v></cell><cell r="U2085" t="str"><v>USA-Trial-ITD-Interest Prospecting-AZR-AZR</v></cell><cell r="V2085" t="str"><v>Prospecting</v></cell><cell r="W2085" t="str"><v>Link Ad</v></cell><cell r="X2085" t="str"><v>1x1</v></cell></row><row r="2085"><cell r="AA2085"><v>43296</v></cell><cell r="AB2085" t="str"><v>USA_gaPMG_AZR_AZR_Q1_19_Direct-Social</v></cell><cell r="AC2085"><v>21358715</v></cell><cell r="AD2085"><v>720197</v></cell><cell r="AE2085" t="str"><v>Facebook</v></cell><cell r="AF2085"><v>3654128</v></cell><cell r="AG2085" t="str"><v>FACEBOOK»USA-Trial-ITD-Interest Prospecting-AZR-AZR»1 x 1»SocialBan»LIA»ALL»CPA»PRO»X»NA»SS»NA»FreeAcctITProFB-AnimatedMigration-Ch3»PRC1X2</v></cell><cell r="AH2085"><v>224106954</v></cell><cell r="AI2085" t="str"><v>AZR_FreeAcctITProFB-AnimatedMigration-Ch3_USA_1200x1200_CAN_Direct_English_Trial_Standard_ANI_LEA_T3_1</v></cell><cell r="AJ2085"><v>103176827</v></cell></row><row r="2086"><cell r="C2086" t="str"><v>43296FACEBOOK»USA-Trial-ITD-Lead Completes-AZR-AZR»1 x 1»SocialBan»CAN»ALL»CPA»PRO»X»NA»SS»NA»FBCTCBrandinMotion»PRC1VX</v></cell><cell r="D2086" t="str"><v>43296223861547</v></cell><cell r="E2086" t="str"><v>43296103176812PRC1VX</v></cell><cell r="F2086" t="str"><v>DCM</v></cell><cell r="G2086" t="str"><v>https://signup.azure.com/?OCID=AID%eexcid!_OLA_%ebuy!_%epid!_%ecid!</v></cell></row><row r="2086"><cell r="K2086" t="str"><v>July</v></cell><cell r="L2086"><v>43302</v></cell><cell r="M2086" t="str"><v>Tier 0</v></cell><cell r="N2086" t="str"><v>North America</v></cell><cell r="O2086" t="str"><v>United States</v></cell><cell r="P2086" t="str"><v>Trial</v></cell><cell r="Q2086" t="str"><v>Social</v></cell><cell r="R2086" t="str"><v>Azure</v></cell><cell r="S2086" t="str"><v>Apps & Infra</v></cell><cell r="T2086" t="str"><v>Developers & ITI's</v></cell><cell r="U2086" t="str"><v>USA-Trial-ITD-Lead Completes-AZR-AZR</v></cell><cell r="V2086" t="str"><v>Prospecting</v></cell><cell r="W2086" t="str"><v>Canvas Ad</v></cell><cell r="X2086" t="str"><v>1x1</v></cell></row><row r="2086"><cell r="AA2086"><v>43296</v></cell><cell r="AB2086" t="str"><v>USA_gaPMG_AZR_AZR_Q1_19_Direct-Social</v></cell><cell r="AC2086"><v>21358715</v></cell><cell r="AD2086"><v>720197</v></cell><cell r="AE2086" t="str"><v>Facebook</v></cell><cell r="AF2086"><v>3654128</v></cell><cell r="AG2086" t="str"><v>FACEBOOK»USA-Trial-ITD-Lead Completes-AZR-AZR»1 x 1»SocialBan»CAN»ALL»CPA»PRO»X»NA»SS»NA»FBCTCBrandinMotion»PRC1VX</v></cell><cell r="AH2086"><v>223861547</v></cell><cell r="AI2086" t="str"><v>AzurePlatform_FBCTCBrandinMotion_USA_10s_CAN_PLATFORM_English_Trial_Standard_STAN_TIN_T2_1</v></cell><cell r="AJ2086"><v>103176812</v></cell></row><row r="2087"><cell r="C2087" t="str"><v>43296FACEBOOK»USA-Trial-ITD-Lead Completes-AZR-AZR»1 x 1»SocialBan»LIA»ALL»CPA»PRO»X»NA»SS»NA»FreeAcctDeveloperFB-AnimatedAI-Ch3»PRC1W1</v></cell><cell r="D2087" t="str"><v>43296223933096</v></cell><cell r="E2087" t="str"><v>43296103032778PRC1W1</v></cell><cell r="F2087" t="str"><v>DCM</v></cell></row><row r="2087"><cell r="K2087" t="str"><v>July</v></cell><cell r="L2087"><v>43302</v></cell><cell r="M2087" t="str"><v>Tier 0</v></cell><cell r="N2087" t="str"><v>North America</v></cell><cell r="O2087" t="str"><v>United States</v></cell><cell r="P2087" t="str"><v>Trial</v></cell><cell r="Q2087" t="str"><v>Social</v></cell><cell r="R2087" t="str"><v>Azure</v></cell><cell r="S2087" t="str"><v>Apps & Infra</v></cell><cell r="T2087" t="str"><v>Developers & ITI's</v></cell><cell r="U2087" t="str"><v>USA-Trial-ITD-Lead Completes-AZR-AZR</v></cell><cell r="V2087" t="str"><v>Prospecting</v></cell><cell r="W2087" t="str"><v>Link Ad</v></cell><cell r="X2087" t="str"><v>1x1</v></cell></row><row r="2087"><cell r="AA2087"><v>43296</v></cell><cell r="AB2087" t="str"><v>USA_gaPMG_AZR_AZR_Q1_19_Direct-Social</v></cell><cell r="AC2087"><v>21358715</v></cell><cell r="AD2087"><v>720197</v></cell><cell r="AE2087" t="str"><v>Facebook</v></cell><cell r="AF2087"><v>3654128</v></cell><cell r="AG2087" t="str"><v>FACEBOOK»USA-Trial-ITD-Lead Completes-AZR-AZR»1 x 1»SocialBan»LIA»ALL»CPA»PRO»X»NA»SS»NA»FreeAcctDeveloperFB-AnimatedAI-Ch3»PRC1W1</v></cell><cell r="AH2087"><v>223933096</v></cell><cell r="AI2087" t="str"><v>AZR_FreeAcctDeveloperFB-AnimatedAI-Ch3_USA_1200x1200_CAN_Direct_English_Trial_Standard_ANI_LEA_T3_1</v></cell><cell r="AJ2087"><v>103032778</v></cell></row><row r="2088"><cell r="C2088" t="str"><v>43296FACEBOOK»USA-Trial-ITD-Lead Completes-AZR-AZR»1 x 1»SocialBan»LIA»ALL»CPA»PRO»X»NA»SS»NA»FreeAcctDeveloperFB-AnimatedData-Ch4»PRC1W3</v></cell><cell r="D2088" t="str"><v>43296223862711</v></cell><cell r="E2088" t="str"><v>43296103037935PRC1W3</v></cell><cell r="F2088" t="str"><v>DCM</v></cell></row><row r="2088"><cell r="K2088" t="str"><v>July</v></cell><cell r="L2088"><v>43302</v></cell><cell r="M2088" t="str"><v>Tier 0</v></cell><cell r="N2088" t="str"><v>North America</v></cell><cell r="O2088" t="str"><v>United States</v></cell><cell r="P2088" t="str"><v>Trial</v></cell><cell r="Q2088" t="str"><v>Social</v></cell><cell r="R2088" t="str"><v>Azure</v></cell><cell r="S2088" t="str"><v>Apps & Infra</v></cell><cell r="T2088" t="str"><v>Developers & ITI's</v></cell><cell r="U2088" t="str"><v>USA-Trial-ITD-Lead Completes-AZR-AZR</v></cell><cell r="V2088" t="str"><v>Prospecting</v></cell><cell r="W2088" t="str"><v>Link Ad</v></cell><cell r="X2088" t="str"><v>1x1</v></cell></row><row r="2088"><cell r="AA2088"><v>43296</v></cell><cell r="AB2088" t="str"><v>USA_gaPMG_AZR_AZR_Q1_19_Direct-Social</v></cell><cell r="AC2088"><v>21358715</v></cell><cell r="AD2088"><v>720197</v></cell><cell r="AE2088" t="str"><v>Facebook</v></cell><cell r="AF2088"><v>3654128</v></cell><cell r="AG2088" t="str"><v>FACEBOOK»USA-Trial-ITD-Lead Completes-AZR-AZR»1 x 1»SocialBan»LIA»ALL»CPA»PRO»X»NA»SS»NA»FreeAcctDeveloperFB-AnimatedData-Ch4»PRC1W3</v></cell><cell r="AH2088"><v>223862711</v></cell><cell r="AI2088" t="str"><v>AZR_FreeAcctDeveloperFB-AnimatedData-Ch4_USA_1200x1200_CAN_Direct_English_Trial_Standard_ANI_LEA_T4_2</v></cell><cell r="AJ2088"><v>103037935</v></cell></row><row r="2089"><cell r="C2089" t="str"><v>43296FACEBOOK»USA-Trial-ITD-Lead Completes-AZR-AZR»1 x 1»SocialBan»LIA»ALL»CPA»PRO»X»NA»SS»NA»FreeAcctDeveloperFB-AnimatedOpenSource-Ch2»PRC1W0</v></cell><cell r="D2089" t="str"><v>43296223933108</v></cell><cell r="E2089" t="str"><v>43296103048329PRC1W0</v></cell><cell r="F2089" t="str"><v>DCM</v></cell><cell r="G2089" t="str"><v>https://azure.microsoft.com/en-us/free/open-source/search/?OCID=AID%eexcid!_OLA_%ebuy!_%epid!_%ecid!</v></cell></row><row r="2089"><cell r="K2089" t="str"><v>July</v></cell><cell r="L2089"><v>43302</v></cell><cell r="M2089" t="str"><v>Tier 0</v></cell><cell r="N2089" t="str"><v>North America</v></cell><cell r="O2089" t="str"><v>United States</v></cell><cell r="P2089" t="str"><v>Trial</v></cell><cell r="Q2089" t="str"><v>Social</v></cell><cell r="R2089" t="str"><v>Azure</v></cell><cell r="S2089" t="str"><v>Apps & Infra</v></cell><cell r="T2089" t="str"><v>Developers & ITI's</v></cell><cell r="U2089" t="str"><v>USA-Trial-ITD-Lead Completes-AZR-AZR</v></cell><cell r="V2089" t="str"><v>Prospecting</v></cell><cell r="W2089" t="str"><v>Link Ad</v></cell><cell r="X2089" t="str"><v>1x1</v></cell></row><row r="2089"><cell r="AA2089"><v>43296</v></cell><cell r="AB2089" t="str"><v>USA_gaPMG_AZR_AZR_Q1_19_Direct-Social</v></cell><cell r="AC2089"><v>21358715</v></cell><cell r="AD2089"><v>720197</v></cell><cell r="AE2089" t="str"><v>Facebook</v></cell><cell r="AF2089"><v>3654128</v></cell><cell r="AG2089" t="str"><v>FACEBOOK»USA-Trial-ITD-Lead Completes-AZR-AZR»1 x 1»SocialBan»LIA»ALL»CPA»PRO»X»NA»SS»NA»FreeAcctDeveloperFB-AnimatedOpenSource-Ch2»PRC1W0</v></cell><cell r="AH2089"><v>223933108</v></cell><cell r="AI2089" t="str"><v>AZR_FreeAcctDeveloperFB-AnimatedOpenSource-Ch2_USA_1200x1200_CAN_Direct_English_Trial_Standard_ANI_LEA_T2_1</v></cell><cell r="AJ2089"><v>103048329</v></cell></row><row r="2090"><cell r="C2090" t="str"><v>43296FACEBOOK»USA-Trial-ITD-Lead Completes-AZR-AZR»1 x 1»SocialBan»LIA»ALL»CPA»PRO»X»NA»SS»NA»FreeAcctITProFB-AnimatedMigration-Ch3»PRC22N</v></cell><cell r="D2090" t="str"><v>43296223933114</v></cell><cell r="E2090" t="str"><v>43296103176827PRC22N</v></cell><cell r="F2090" t="str"><v>DCM</v></cell></row><row r="2090"><cell r="K2090" t="str"><v>July</v></cell><cell r="L2090"><v>43302</v></cell><cell r="M2090" t="str"><v>Tier 0</v></cell><cell r="N2090" t="str"><v>North America</v></cell><cell r="O2090" t="str"><v>United States</v></cell><cell r="P2090" t="str"><v>Trial</v></cell><cell r="Q2090" t="str"><v>Social</v></cell><cell r="R2090" t="str"><v>Azure</v></cell><cell r="S2090" t="str"><v>Apps & Infra</v></cell><cell r="T2090" t="str"><v>Developers & ITI's</v></cell><cell r="U2090" t="str"><v>USA-Trial-ITD-Lead Completes-AZR-AZR</v></cell><cell r="V2090" t="str"><v>Prospecting</v></cell><cell r="W2090" t="str"><v>Link Ad</v></cell><cell r="X2090" t="str"><v>1x1</v></cell></row><row r="2090"><cell r="AA2090"><v>43296</v></cell><cell r="AB2090" t="str"><v>USA_gaPMG_AZR_AZR_Q1_19_Direct-Social</v></cell><cell r="AC2090"><v>21358715</v></cell><cell r="AD2090"><v>720197</v></cell><cell r="AE2090" t="str"><v>Facebook</v></cell><cell r="AF2090"><v>3654128</v></cell><cell r="AG2090" t="str"><v>FACEBOOK»USA-Trial-ITD-Lead Completes-AZR-AZR»1 x 1»SocialBan»LIA»ALL»CPA»PRO»X»NA»SS»NA»FreeAcctITProFB-AnimatedMigration-Ch3»PRC22N</v></cell><cell r="AH2090"><v>223933114</v></cell><cell r="AI2090" t="str"><v>AZR_FreeAcctITProFB-AnimatedMigration-Ch3_USA_1200x1200_CAN_Direct_English_Trial_Standard_ANI_LEA_T3_1</v></cell><cell r="AJ2090"><v>103176827</v></cell></row><row r="2091"><cell r="C2091" t="str"><v>43296FACEBOOK»USA-Trial-ITD-Lead Completes-AZR-AZR»1 x 1»SocialBan»CAN»ALL»CPA»PRO»X»NA»SS»NA»FBCTCBenefit2inMotion»PRC1VV</v></cell><cell r="D2091" t="str"><v>43296224106909</v></cell><cell r="E2091" t="str"><v>43296103043835PRC1VV</v></cell><cell r="F2091" t="str"><v>DCM</v></cell><cell r="G2091" t="str"><v>https://signup.azure.com/?OCID=AID%eexcid!_OLA_%ebuy!_%epid!_%ecid!</v></cell></row><row r="2091"><cell r="K2091" t="str"><v>July</v></cell><cell r="L2091"><v>43302</v></cell><cell r="M2091" t="str"><v>Tier 0</v></cell><cell r="N2091" t="str"><v>North America</v></cell><cell r="O2091" t="str"><v>United States</v></cell><cell r="P2091" t="str"><v>Trial</v></cell><cell r="Q2091" t="str"><v>Social</v></cell><cell r="R2091" t="str"><v>Azure</v></cell><cell r="S2091" t="str"><v>Apps & Infra</v></cell><cell r="T2091" t="str"><v>Developers & ITI's</v></cell><cell r="U2091" t="str"><v>USA-Trial-ITD-Lead Completes-AZR-AZR</v></cell><cell r="V2091" t="str"><v>Prospecting</v></cell><cell r="W2091" t="str"><v>Canvas Ad</v></cell><cell r="X2091" t="str"><v>1x1</v></cell></row><row r="2091"><cell r="AA2091"><v>43296</v></cell><cell r="AB2091" t="str"><v>USA_gaPMG_AZR_AZR_Q1_19_Direct-Social</v></cell><cell r="AC2091"><v>21358715</v></cell><cell r="AD2091"><v>720197</v></cell><cell r="AE2091" t="str"><v>Facebook</v></cell><cell r="AF2091"><v>3654128</v></cell><cell r="AG2091" t="str"><v>FACEBOOK»USA-Trial-ITD-Lead Completes-AZR-AZR»1 x 1»SocialBan»CAN»ALL»CPA»PRO»X»NA»SS»NA»FBCTCBenefit2inMotion»PRC1VV</v></cell><cell r="AH2091"><v>224106909</v></cell><cell r="AI2091" t="str"><v>AzurePlatform_FBCTCBenefit2inMotion_USA_10s_CAN_PLATFORM_English_Trial_Standard_STAN_TIN_T4_1</v></cell><cell r="AJ2091"><v>103043835</v></cell></row><row r="2092"><cell r="C2092" t="str"><v>43296FACEBOOK»USA-Trial-ITD-Lead Completes-AZR-AZR»1 x 1»SocialBan»LIA»ALL»CPA»PRO»X»NA»SS»NA»FreeAcctDeveloperFB-AnimatedGeneric-Ch1»PRC1VY</v></cell><cell r="D2092" t="str"><v>43296223862846</v></cell><cell r="E2092" t="str"><v>43296103176851PRC1VY</v></cell><cell r="F2092" t="str"><v>DCM</v></cell><cell r="G2092" t="str"><v>https://azure.microsoft.com/en-us/free/search/?OCID=AID%eexcid!_OLA_%ebuy!_%epid!_%ecid!</v></cell></row><row r="2092"><cell r="K2092" t="str"><v>July</v></cell><cell r="L2092"><v>43302</v></cell><cell r="M2092" t="str"><v>Tier 0</v></cell><cell r="N2092" t="str"><v>North America</v></cell><cell r="O2092" t="str"><v>United States</v></cell><cell r="P2092" t="str"><v>Trial</v></cell><cell r="Q2092" t="str"><v>Social</v></cell><cell r="R2092" t="str"><v>Azure</v></cell><cell r="S2092" t="str"><v>Apps & Infra</v></cell><cell r="T2092" t="str"><v>Developers & ITI's</v></cell><cell r="U2092" t="str"><v>USA-Trial-ITD-Lead Completes-AZR-AZR</v></cell><cell r="V2092" t="str"><v>Prospecting</v></cell><cell r="W2092" t="str"><v>Link Ad</v></cell><cell r="X2092" t="str"><v>1x1</v></cell></row><row r="2092"><cell r="AA2092"><v>43296</v></cell><cell r="AB2092" t="str"><v>USA_gaPMG_AZR_AZR_Q1_19_Direct-Social</v></cell><cell r="AC2092"><v>21358715</v></cell><cell r="AD2092"><v>720197</v></cell><cell r="AE2092" t="str"><v>Facebook</v></cell><cell r="AF2092"><v>3654128</v></cell><cell r="AG2092" t="str"><v>FACEBOOK»USA-Trial-ITD-Lead Completes-AZR-AZR»1 x 1»SocialBan»LIA»ALL»CPA»PRO»X»NA»SS»NA»FreeAcctDeveloperFB-AnimatedGeneric-Ch1»PRC1VY</v></cell><cell r="AH2092"><v>223862846</v></cell><cell r="AI2092" t="str"><v>AZR_FreeAcctDeveloperFB-AnimatedGeneric-Ch1_USA_1200x1200_CAN_Direct_English_Trial_Standard_ANI_LEA_T1_2</v></cell><cell r="AJ2092"><v>103176851</v></cell></row><row r="2093"><cell r="C2093" t="str"><v>43296FACEBOOK»USA-Trial-ITD-Retargeting-AZR-AZR»1 x 1»SocialBan»LIA»ALL»CPA»RT»X»NA»SS»NA»FreeAcctDeveloperFB-AnimatedGeneric-Ch1»PRC26D</v></cell><cell r="D2093" t="str"><v>43296223862870</v></cell><cell r="E2093" t="str"><v>43296103176851PRC26D</v></cell><cell r="F2093" t="str"><v>DCM</v></cell><cell r="G2093" t="str"><v>https://azure.microsoft.com/en-us/free/search/?OCID=AID%eexcid!_OLA_%ebuy!_%epid!_%ecid!</v></cell></row><row r="2093"><cell r="K2093" t="str"><v>July</v></cell><cell r="L2093"><v>43302</v></cell><cell r="M2093" t="str"><v>Tier 0</v></cell><cell r="N2093" t="str"><v>North America</v></cell><cell r="O2093" t="str"><v>United States</v></cell><cell r="P2093" t="str"><v>Trial</v></cell><cell r="Q2093" t="str"><v>Social</v></cell><cell r="R2093" t="str"><v>Azure</v></cell><cell r="S2093" t="str"><v>Apps & Infra</v></cell><cell r="T2093" t="str"><v>Developers & ITI's</v></cell><cell r="U2093" t="str"><v>USA-Trial-ITD-Retargeting-AZR-AZR</v></cell><cell r="V2093" t="str"><v>Retargeting</v></cell><cell r="W2093" t="str"><v>Link Ad</v></cell><cell r="X2093" t="str"><v>1x1</v></cell></row><row r="2093"><cell r="AA2093"><v>43296</v></cell><cell r="AB2093" t="str"><v>USA_gaPMG_AZR_AZR_Q1_19_Direct-Social</v></cell><cell r="AC2093"><v>21358715</v></cell><cell r="AD2093"><v>720197</v></cell><cell r="AE2093" t="str"><v>Facebook</v></cell><cell r="AF2093"><v>3654128</v></cell><cell r="AG2093" t="str"><v>FACEBOOK»USA-Trial-ITD-Retargeting-AZR-AZR»1 x 1»SocialBan»LIA»ALL»CPA»RT»X»NA»SS»NA»FreeAcctDeveloperFB-AnimatedGeneric-Ch1»PRC26D</v></cell><cell r="AH2093"><v>223862870</v></cell><cell r="AI2093" t="str"><v>AZR_FreeAcctDeveloperFB-AnimatedGeneric-Ch1_USA_1200x1200_CAN_Direct_English_Trial_Standard_ANI_LEA_T1_2</v></cell><cell r="AJ2093"><v>103176851</v></cell></row><row r="2094"><cell r="C2094" t="str"><v>43296FACEBOOK»USA-Trial-ITD-Retargeting-AZR-AZR»1 x 1»SocialBan»LIA»ALL»CPA»RT»X»NA»SS»NA»FreeAcctRetargetingOSSFB-Logos-ChG»PRC1S2</v></cell><cell r="D2094" t="str"><v>43296224106063</v></cell><cell r="E2094" t="str"><v>43296103176008PRC1S2</v></cell><cell r="F2094" t="str"><v>DCM</v></cell><cell r="G2094" t="str"><v>https://azure.microsoft.com/en-us/free/open-source/search/?OCID=AID%eexcid!_OLA_%ebuy!_%epid!_%ecid!</v></cell></row><row r="2094"><cell r="K2094" t="str"><v>July</v></cell><cell r="L2094"><v>43302</v></cell><cell r="M2094" t="str"><v>Tier 0</v></cell><cell r="N2094" t="str"><v>North America</v></cell><cell r="O2094" t="str"><v>United States</v></cell><cell r="P2094" t="str"><v>Trial</v></cell><cell r="Q2094" t="str"><v>Social</v></cell><cell r="R2094" t="str"><v>Azure</v></cell><cell r="S2094" t="str"><v>Apps & Infra</v></cell><cell r="T2094" t="str"><v>Developers & ITI's</v></cell><cell r="U2094" t="str"><v>USA-Trial-ITD-Retargeting-AZR-AZR</v></cell><cell r="V2094" t="str"><v>Retargeting</v></cell><cell r="W2094" t="str"><v>Link Ad</v></cell><cell r="X2094" t="str"><v>1x1</v></cell></row><row r="2094"><cell r="AA2094"><v>43296</v></cell><cell r="AB2094" t="str"><v>USA_gaPMG_AZR_AZR_Q1_19_Direct-Social</v></cell><cell r="AC2094"><v>21358715</v></cell><cell r="AD2094"><v>720197</v></cell><cell r="AE2094" t="str"><v>Facebook</v></cell><cell r="AF2094"><v>3654128</v></cell><cell r="AG2094" t="str"><v>FACEBOOK»USA-Trial-ITD-Retargeting-AZR-AZR»1 x 1»SocialBan»LIA»ALL»CPA»RT»X»NA»SS»NA»FreeAcctRetargetingOSSFB-Logos-ChG»PRC1S2</v></cell><cell r="AH2094"><v>224106063</v></cell><cell r="AI2094" t="str"><v>AzurePlatform_FreeAcctRetargetingOSSFB-Logos-ChG_USA_1200x628_CAN_PLATFORM_English_Free Account_Standard_NA_SINU_T2_1</v></cell><cell r="AJ2094"><v>103176008</v></cell></row><row r="2095"><cell r="C2095" t="str"><v>43296FACEBOOK»USA-Trial-ITD-Retargeting-AZR-AZR»1 x 1»SocialBan»LIA»ALL»CPA»RT»X»NA»SS»NA»FreeAcctRetargetingOSSFB-Text-ChF»PRC1S1</v></cell><cell r="D2095" t="str"><v>43296223862753</v></cell><cell r="E2095" t="str"><v>43296103176869PRC1S1</v></cell><cell r="F2095" t="str"><v>DCM</v></cell><cell r="G2095" t="str"><v>https://azure.microsoft.com/en-us/free/open-source/search/?OCID=AID%eexcid!_OLA_%ebuy!_%epid!_%ecid!</v></cell></row><row r="2095"><cell r="K2095" t="str"><v>July</v></cell><cell r="L2095"><v>43302</v></cell><cell r="M2095" t="str"><v>Tier 0</v></cell><cell r="N2095" t="str"><v>North America</v></cell><cell r="O2095" t="str"><v>United States</v></cell><cell r="P2095" t="str"><v>Trial</v></cell><cell r="Q2095" t="str"><v>Social</v></cell><cell r="R2095" t="str"><v>Azure</v></cell><cell r="S2095" t="str"><v>Apps & Infra</v></cell><cell r="T2095" t="str"><v>Developers & ITI's</v></cell><cell r="U2095" t="str"><v>USA-Trial-ITD-Retargeting-AZR-AZR</v></cell><cell r="V2095" t="str"><v>Retargeting</v></cell><cell r="W2095" t="str"><v>Link Ad</v></cell><cell r="X2095" t="str"><v>1x1</v></cell></row><row r="2095"><cell r="AA2095"><v>43296</v></cell><cell r="AB2095" t="str"><v>USA_gaPMG_AZR_AZR_Q1_19_Direct-Social</v></cell><cell r="AC2095"><v>21358715</v></cell><cell r="AD2095"><v>720197</v></cell><cell r="AE2095" t="str"><v>Facebook</v></cell><cell r="AF2095"><v>3654128</v></cell><cell r="AG2095" t="str"><v>FACEBOOK»USA-Trial-ITD-Retargeting-AZR-AZR»1 x 1»SocialBan»LIA»ALL»CPA»RT»X»NA»SS»NA»FreeAcctRetargetingOSSFB-Text-ChF»PRC1S1</v></cell><cell r="AH2095"><v>223862753</v></cell><cell r="AI2095" t="str"><v>AzurePlatform_FreeAcctRetargetingOSSFB-Text-ChF_USA_1200x628_CAN_PLATFORM_English_Free Account_Standard_NA_SINU_T1_2</v></cell><cell r="AJ2095"><v>103176869</v></cell></row><row r="2096"><cell r="C2096" t="str"><v>43296FACEBOOK»USA-Trial-ITD-Retargeting-AZR-AZR»1 x 1»SocialBan»CAN»ALL»CPA»RT»X»NA»SS»NA»FBCTCBasicMotion»PRC1RQ</v></cell><cell r="D2096" t="str"><v>43296224106933</v></cell><cell r="E2096" t="str"><v>43296103043823PRC1RQ</v></cell><cell r="F2096" t="str"><v>DCM</v></cell><cell r="G2096" t="str"><v>https://signup.azure.com/?OCID=AID%eexcid!_OLA_%ebuy!_%epid!_%ecid!</v></cell></row><row r="2096"><cell r="K2096" t="str"><v>July</v></cell><cell r="L2096"><v>43302</v></cell><cell r="M2096" t="str"><v>Tier 0</v></cell><cell r="N2096" t="str"><v>North America</v></cell><cell r="O2096" t="str"><v>United States</v></cell><cell r="P2096" t="str"><v>Trial</v></cell><cell r="Q2096" t="str"><v>Social</v></cell><cell r="R2096" t="str"><v>Azure</v></cell><cell r="S2096" t="str"><v>Apps & Infra</v></cell><cell r="T2096" t="str"><v>Developers & ITI's</v></cell><cell r="U2096" t="str"><v>USA-Trial-ITD-Retargeting-AZR-AZR</v></cell><cell r="V2096" t="str"><v>Retargeting</v></cell><cell r="W2096" t="str"><v>Canvas Ad</v></cell><cell r="X2096" t="str"><v>1x1</v></cell></row><row r="2096"><cell r="AA2096"><v>43296</v></cell><cell r="AB2096" t="str"><v>USA_gaPMG_AZR_AZR_Q1_19_Direct-Social</v></cell><cell r="AC2096"><v>21358715</v></cell><cell r="AD2096"><v>720197</v></cell><cell r="AE2096" t="str"><v>Facebook</v></cell><cell r="AF2096"><v>3654128</v></cell><cell r="AG2096" t="str"><v>FACEBOOK»USA-Trial-ITD-Retargeting-AZR-AZR»1 x 1»SocialBan»CAN»ALL»CPA»RT»X»NA»SS»NA»FBCTCBasicMotion»PRC1RQ</v></cell><cell r="AH2096"><v>224106933</v></cell><cell r="AI2096" t="str"><v>AzurePlatform_FBCTCBasicMotion_USA_10s_CAN_PLATFORM_English_Trial_Standard_STAN_TIN_T1_1</v></cell><cell r="AJ2096"><v>103043823</v></cell></row><row r="2097"><cell r="C2097" t="str"><v>43296FACEBOOK»USA-Trial-ITD-Retargeting-AZR-AZR»1 x 1»SocialBan»LIA»ALL»CPA»RT»X»NA»SS»NA»FreeAcctITProFB-AnimatedSecureMngd-Ch1»PRC26K</v></cell><cell r="D2097" t="str"><v>43296223862762</v></cell><cell r="E2097" t="str"><v>43296103176830PRC26K</v></cell><cell r="F2097" t="str"><v>DCM</v></cell></row><row r="2097"><cell r="K2097" t="str"><v>July</v></cell><cell r="L2097"><v>43302</v></cell><cell r="M2097" t="str"><v>Tier 0</v></cell><cell r="N2097" t="str"><v>North America</v></cell><cell r="O2097" t="str"><v>United States</v></cell><cell r="P2097" t="str"><v>Trial</v></cell><cell r="Q2097" t="str"><v>Social</v></cell><cell r="R2097" t="str"><v>Azure</v></cell><cell r="S2097" t="str"><v>Apps & Infra</v></cell><cell r="T2097" t="str"><v>Developers & ITI's</v></cell><cell r="U2097" t="str"><v>USA-Trial-ITD-Retargeting-AZR-AZR</v></cell><cell r="V2097" t="str"><v>Retargeting</v></cell><cell r="W2097" t="str"><v>Link Ad</v></cell><cell r="X2097" t="str"><v>1x1</v></cell></row><row r="2097"><cell r="AA2097"><v>43296</v></cell><cell r="AB2097" t="str"><v>USA_gaPMG_AZR_AZR_Q1_19_Direct-Social</v></cell><cell r="AC2097"><v>21358715</v></cell><cell r="AD2097"><v>720197</v></cell><cell r="AE2097" t="str"><v>Facebook</v></cell><cell r="AF2097"><v>3654128</v></cell><cell r="AG2097" t="str"><v>FACEBOOK»USA-Trial-ITD-Retargeting-AZR-AZR»1 x 1»SocialBan»LIA»ALL»CPA»RT»X»NA»SS»NA»FreeAcctITProFB-AnimatedSecureMngd-Ch1»PRC26K</v></cell><cell r="AH2097"><v>223862762</v></cell><cell r="AI2097" t="str"><v>AZR_FreeAcctITProFB-AnimatedSecureMngd-Ch1_USA_1200x1200_CAN_Direct_English_Trial_Standard_ANI_LEA_T1_1</v></cell><cell r="AJ2097"><v>103176830</v></cell></row><row r="2098"><cell r="C2098" t="str"><v>43296FACEBOOK»USA-Trial-ITD-Trial Lookalike-AZR-AZR»1 x 1»SocialBan»LIA»ALL»CPA»LAL»X»NA»SS»NA»FreeAcctDeveloperFB-AnimatedGeneric-Ch1»PRC1M4</v></cell><cell r="D2098" t="str"><v>43296224104941</v></cell><cell r="E2098" t="str"><v>43296103176851PRC1M4</v></cell><cell r="F2098" t="str"><v>DCM</v></cell><cell r="G2098" t="str"><v>https://azure.microsoft.com/en-us/free/search/?OCID=AID%eexcid!_OLA_%ebuy!_%epid!_%ecid!</v></cell></row><row r="2098"><cell r="K2098" t="str"><v>July</v></cell><cell r="L2098"><v>43302</v></cell><cell r="M2098" t="str"><v>Tier 0</v></cell><cell r="N2098" t="str"><v>North America</v></cell><cell r="O2098" t="str"><v>United States</v></cell><cell r="P2098" t="str"><v>Trial</v></cell><cell r="Q2098" t="str"><v>Social</v></cell><cell r="R2098" t="str"><v>Azure</v></cell><cell r="S2098" t="str"><v>Apps & Infra</v></cell><cell r="T2098" t="str"><v>Developers & ITI's</v></cell><cell r="U2098" t="str"><v>USA-Trial-ITD-Trial Lookalike-AZR-AZR</v></cell><cell r="V2098" t="str"><v>Lookalike Targeting</v></cell><cell r="W2098" t="str"><v>Link Ad</v></cell><cell r="X2098" t="str"><v>1x1</v></cell></row><row r="2098"><cell r="AA2098"><v>43296</v></cell><cell r="AB2098" t="str"><v>USA_gaPMG_AZR_AZR_Q1_19_Direct-Social</v></cell><cell r="AC2098"><v>21358715</v></cell><cell r="AD2098"><v>720197</v></cell><cell r="AE2098" t="str"><v>Facebook</v></cell><cell r="AF2098"><v>3654128</v></cell><cell r="AG2098" t="str"><v>FACEBOOK»USA-Trial-ITD-Trial Lookalike-AZR-AZR»1 x 1»SocialBan»LIA»ALL»CPA»LAL»X»NA»SS»NA»FreeAcctDeveloperFB-AnimatedGeneric-Ch1»PRC1M4</v></cell><cell r="AH2098"><v>224104941</v></cell><cell r="AI2098" t="str"><v>AZR_FreeAcctDeveloperFB-AnimatedGeneric-Ch1_USA_1200x1200_CAN_Direct_English_Trial_Standard_ANI_LEA_T1_2</v></cell><cell r="AJ2098"><v>103176851</v></cell></row><row r="2099"><cell r="C2099" t="str"><v>43296FACEBOOK»USA-Trial-ITD-Trial Lookalike-AZR-AZR»1 x 1»SocialBan»LIA»ALL»CPA»LAL»X»NA»SS»NA»FreeAcctDeveloperFB-AnimatedGeneric-Ch1»PRC1M5</v></cell><cell r="D2099" t="str"><v>43296223934083</v></cell><cell r="E2099" t="str"><v>43296103176851PRC1M5</v></cell><cell r="F2099" t="str"><v>DCM</v></cell><cell r="G2099" t="str"><v>https://azure.microsoft.com/en-us/free/search/?OCID=AID%eexcid!_OLA_%ebuy!_%epid!_%ecid!</v></cell></row><row r="2099"><cell r="K2099" t="str"><v>July</v></cell><cell r="L2099"><v>43302</v></cell><cell r="M2099" t="str"><v>Tier 0</v></cell><cell r="N2099" t="str"><v>North America</v></cell><cell r="O2099" t="str"><v>United States</v></cell><cell r="P2099" t="str"><v>Trial</v></cell><cell r="Q2099" t="str"><v>Social</v></cell><cell r="R2099" t="str"><v>Azure</v></cell><cell r="S2099" t="str"><v>Apps & Infra</v></cell><cell r="T2099" t="str"><v>Developers & ITI's</v></cell><cell r="U2099" t="str"><v>USA-Trial-ITD-Trial Lookalike-AZR-AZR</v></cell><cell r="V2099" t="str"><v>Lookalike Targeting</v></cell><cell r="W2099" t="str"><v>Link Ad</v></cell><cell r="X2099" t="str"><v>1x1</v></cell></row><row r="2099"><cell r="AA2099"><v>43296</v></cell><cell r="AB2099" t="str"><v>USA_gaPMG_AZR_AZR_Q1_19_Direct-Social</v></cell><cell r="AC2099"><v>21358715</v></cell><cell r="AD2099"><v>720197</v></cell><cell r="AE2099" t="str"><v>Facebook</v></cell><cell r="AF2099"><v>3654128</v></cell><cell r="AG2099" t="str"><v>FACEBOOK»USA-Trial-ITD-Trial Lookalike-AZR-AZR»1 x 1»SocialBan»LIA»ALL»CPA»LAL»X»NA»SS»NA»FreeAcctDeveloperFB-AnimatedGeneric-Ch1»PRC1M5</v></cell><cell r="AH2099"><v>223934083</v></cell><cell r="AI2099" t="str"><v>AZR_FreeAcctDeveloperFB-AnimatedGeneric-Ch1_USA_1200x1200_CAN_Direct_English_Trial_Standard_ANI_LEA_T1_2</v></cell><cell r="AJ2099"><v>103176851</v></cell></row><row r="2100"><cell r="C2100" t="str"><v>43296FACEBOOK»USA-Trial-ITD-Trial Lookalike-AZR-AZR»1 x 1»SocialBan»LIA»ALL»CPA»LAL»X»NA»SS»NA»FreeAcctDeveloperFB-AnimatedOpenSource-Ch2»PRC1M6</v></cell><cell r="D2100" t="str"><v>43296223935628</v></cell><cell r="E2100" t="str"><v>43296103048329PRC1M6</v></cell><cell r="F2100" t="str"><v>DCM</v></cell><cell r="G2100" t="str"><v>https://azure.microsoft.com/en-us/free/open-source/search/?OCID=AID%eexcid!_OLA_%ebuy!_%epid!_%ecid!</v></cell></row><row r="2100"><cell r="K2100" t="str"><v>July</v></cell><cell r="L2100"><v>43302</v></cell><cell r="M2100" t="str"><v>Tier 0</v></cell><cell r="N2100" t="str"><v>North America</v></cell><cell r="O2100" t="str"><v>United States</v></cell><cell r="P2100" t="str"><v>Trial</v></cell><cell r="Q2100" t="str"><v>Social</v></cell><cell r="R2100" t="str"><v>Azure</v></cell><cell r="S2100" t="str"><v>Apps & Infra</v></cell><cell r="T2100" t="str"><v>Developers & ITI's</v></cell><cell r="U2100" t="str"><v>USA-Trial-ITD-Trial Lookalike-AZR-AZR</v></cell><cell r="V2100" t="str"><v>Lookalike Targeting</v></cell><cell r="W2100" t="str"><v>Link Ad</v></cell><cell r="X2100" t="str"><v>1x1</v></cell></row><row r="2100"><cell r="AA2100"><v>43296</v></cell><cell r="AB2100" t="str"><v>USA_gaPMG_AZR_AZR_Q1_19_Direct-Social</v></cell><cell r="AC2100"><v>21358715</v></cell><cell r="AD2100"><v>720197</v></cell><cell r="AE2100" t="str"><v>Facebook</v></cell><cell r="AF2100"><v>3654128</v></cell><cell r="AG2100" t="str"><v>FACEBOOK»USA-Trial-ITD-Trial Lookalike-AZR-AZR»1 x 1»SocialBan»LIA»ALL»CPA»LAL»X»NA»SS»NA»FreeAcctDeveloperFB-AnimatedOpenSource-Ch2»PRC1M6</v></cell><cell r="AH2100"><v>223935628</v></cell><cell r="AI2100" t="str"><v>AZR_FreeAcctDeveloperFB-AnimatedOpenSource-Ch2_USA_1200x1200_CAN_Direct_English_Trial_Standard_ANI_LEA_T2_1</v></cell><cell r="AJ2100"><v>103048329</v></cell></row><row r="2101"><cell r="C2101" t="str"><v>43296FACEBOOK»USA-Trial-ITD-Trial Lookalike-AZR-AZR»1 x 1»SocialBan»LIA»ALL»CPA»LAL»X»NA»SS»NA»FreeAcctITProFB-AnimatedMigration-Ch3»PRC23N</v></cell><cell r="D2101" t="str"><v>43296223935637</v></cell><cell r="E2101" t="str"><v>43296103176827PRC23N</v></cell><cell r="F2101" t="str"><v>DCM</v></cell></row><row r="2101"><cell r="K2101" t="str"><v>July</v></cell><cell r="L2101"><v>43302</v></cell><cell r="M2101" t="str"><v>Tier 0</v></cell><cell r="N2101" t="str"><v>North America</v></cell><cell r="O2101" t="str"><v>United States</v></cell><cell r="P2101" t="str"><v>Trial</v></cell><cell r="Q2101" t="str"><v>Social</v></cell><cell r="R2101" t="str"><v>Azure</v></cell><cell r="S2101" t="str"><v>Apps & Infra</v></cell><cell r="T2101" t="str"><v>Developers & ITI's</v></cell><cell r="U2101" t="str"><v>USA-Trial-ITD-Trial Lookalike-AZR-AZR</v></cell><cell r="V2101" t="str"><v>Lookalike Targeting</v></cell><cell r="W2101" t="str"><v>Link Ad</v></cell><cell r="X2101" t="str"><v>1x1</v></cell></row><row r="2101"><cell r="AA2101"><v>43296</v></cell><cell r="AB2101" t="str"><v>USA_gaPMG_AZR_AZR_Q1_19_Direct-Social</v></cell><cell r="AC2101"><v>21358715</v></cell><cell r="AD2101"><v>720197</v></cell><cell r="AE2101" t="str"><v>Facebook</v></cell><cell r="AF2101"><v>3654128</v></cell><cell r="AG2101" t="str"><v>FACEBOOK»USA-Trial-ITD-Trial Lookalike-AZR-AZR»1 x 1»SocialBan»LIA»ALL»CPA»LAL»X»NA»SS»NA»FreeAcctITProFB-AnimatedMigration-Ch3»PRC23N</v></cell><cell r="AH2101"><v>223935637</v></cell><cell r="AI2101" t="str"><v>AZR_FreeAcctITProFB-AnimatedMigration-Ch3_USA_1200x1200_CAN_Direct_English_Trial_Standard_ANI_LEA_T3_1</v></cell><cell r="AJ2101"><v>103176827</v></cell></row><row r="2102"><cell r="C2102" t="str"><v>43296FACEBOOK»USA-Trial-ITD-Trial Lookalike-AZR-AZR»1 x 1»SocialBan»LIA»ALL»CPA»LAL»X»NA»SS»NA»FreeAcctITProFB-AnimatedSecureMngd-Ch1»PRC1M9</v></cell><cell r="D2102" t="str"><v>43296224104959</v></cell><cell r="E2102" t="str"><v>43296103176830PRC1M9</v></cell><cell r="F2102" t="str"><v>DCM</v></cell></row><row r="2102"><cell r="K2102" t="str"><v>July</v></cell><cell r="L2102"><v>43302</v></cell><cell r="M2102" t="str"><v>Tier 0</v></cell><cell r="N2102" t="str"><v>North America</v></cell><cell r="O2102" t="str"><v>United States</v></cell><cell r="P2102" t="str"><v>Trial</v></cell><cell r="Q2102" t="str"><v>Social</v></cell><cell r="R2102" t="str"><v>Azure</v></cell><cell r="S2102" t="str"><v>Apps & Infra</v></cell><cell r="T2102" t="str"><v>Developers & ITI's</v></cell><cell r="U2102" t="str"><v>USA-Trial-ITD-Trial Lookalike-AZR-AZR</v></cell><cell r="V2102" t="str"><v>Lookalike Targeting</v></cell><cell r="W2102" t="str"><v>Link Ad</v></cell><cell r="X2102" t="str"><v>1x1</v></cell></row><row r="2102"><cell r="AA2102"><v>43296</v></cell><cell r="AB2102" t="str"><v>USA_gaPMG_AZR_AZR_Q1_19_Direct-Social</v></cell><cell r="AC2102"><v>21358715</v></cell><cell r="AD2102"><v>720197</v></cell><cell r="AE2102" t="str"><v>Facebook</v></cell><cell r="AF2102"><v>3654128</v></cell><cell r="AG2102" t="str"><v>FACEBOOK»USA-Trial-ITD-Trial Lookalike-AZR-AZR»1 x 1»SocialBan»LIA»ALL»CPA»LAL»X»NA»SS»NA»FreeAcctITProFB-AnimatedSecureMngd-Ch1»PRC1M9</v></cell><cell r="AH2102"><v>224104959</v></cell><cell r="AI2102" t="str"><v>AZR_FreeAcctITProFB-AnimatedSecureMngd-Ch1_USA_1200x1200_CAN_Direct_English_Trial_Standard_ANI_LEA_T1_1</v></cell><cell r="AJ2102"><v>103176830</v></cell></row><row r="2103"><cell r="C2103" t="str"><v>43296FACEBOOK»USA-Trial-ITD-Trial Lookalike-AZR-AZR»1 x 1»SocialBan»CAN»ALL»CPA»LAL»X»NA»SS»NA»FBCTCBasicMotion»PRC1LZ</v></cell><cell r="D2103" t="str"><v>43296223862915</v></cell><cell r="E2103" t="str"><v>43296103043823PRC1LZ</v></cell><cell r="F2103" t="str"><v>DCM</v></cell><cell r="G2103" t="str"><v>https://signup.azure.com/?OCID=AID%eexcid!_OLA_%ebuy!_%epid!_%ecid!</v></cell></row><row r="2103"><cell r="K2103" t="str"><v>July</v></cell><cell r="L2103"><v>43302</v></cell><cell r="M2103" t="str"><v>Tier 0</v></cell><cell r="N2103" t="str"><v>North America</v></cell><cell r="O2103" t="str"><v>United States</v></cell><cell r="P2103" t="str"><v>Trial</v></cell><cell r="Q2103" t="str"><v>Social</v></cell><cell r="R2103" t="str"><v>Azure</v></cell><cell r="S2103" t="str"><v>Apps & Infra</v></cell><cell r="T2103" t="str"><v>Developers & ITI's</v></cell><cell r="U2103" t="str"><v>USA-Trial-ITD-Trial Lookalike-AZR-AZR</v></cell><cell r="V2103" t="str"><v>Lookalike Targeting</v></cell><cell r="W2103" t="str"><v>Canvas Ad</v></cell><cell r="X2103" t="str"><v>1x1</v></cell></row><row r="2103"><cell r="AA2103"><v>43296</v></cell><cell r="AB2103" t="str"><v>USA_gaPMG_AZR_AZR_Q1_19_Direct-Social</v></cell><cell r="AC2103"><v>21358715</v></cell><cell r="AD2103"><v>720197</v></cell><cell r="AE2103" t="str"><v>Facebook</v></cell><cell r="AF2103"><v>3654128</v></cell><cell r="AG2103" t="str"><v>FACEBOOK»USA-Trial-ITD-Trial Lookalike-AZR-AZR»1 x 1»SocialBan»CAN»ALL»CPA»LAL»X»NA»SS»NA»FBCTCBasicMotion»PRC1LZ</v></cell><cell r="AH2103"><v>223862915</v></cell><cell r="AI2103" t="str"><v>AzurePlatform_FBCTCBasicMotion_USA_10s_CAN_PLATFORM_English_Trial_Standard_STAN_TIN_T1_1</v></cell><cell r="AJ2103"><v>103043823</v></cell></row><row r="2104"><cell r="C2104" t="str"><v>43296FACEBOOK»USA-Trial-ITD-Trial Lookalike-AZR-AZR»1 x 1»SocialBan»CAN»ALL»CPA»LAL»X»NA»SS»NA»FBCTCBasicMotion»PRC1LZ</v></cell><cell r="D2104" t="str"><v>43296223862915</v></cell><cell r="E2104" t="str"><v>43296103175984PRC1LZ</v></cell><cell r="F2104" t="str"><v>DCM</v></cell><cell r="G2104" t="str"><v>https://azure.microsoft.com/en-us/pricing/purchase-options/?v=18.19&OCID=AID%eexcid!_OLA_%ebuy!_%epid!_%ecid!</v></cell></row><row r="2104"><cell r="K2104" t="str"><v>July</v></cell><cell r="L2104"><v>43302</v></cell><cell r="M2104" t="str"><v>Tier 0</v></cell><cell r="N2104" t="str"><v>North America</v></cell><cell r="O2104" t="str"><v>United States</v></cell><cell r="P2104" t="str"><v>Trial</v></cell><cell r="Q2104" t="str"><v>Social</v></cell><cell r="R2104" t="str"><v>Azure</v></cell><cell r="S2104" t="str"><v>Apps & Infra</v></cell><cell r="T2104" t="str"><v>Developers & ITI's</v></cell><cell r="U2104" t="str"><v>USA-Trial-ITD-Trial Lookalike-AZR-AZR</v></cell><cell r="V2104" t="str"><v>Lookalike Targeting</v></cell><cell r="W2104" t="str"><v>Canvas Ad</v></cell><cell r="X2104" t="str"><v>1x1</v></cell></row><row r="2104"><cell r="AA2104"><v>43296</v></cell><cell r="AB2104" t="str"><v>USA_gaPMG_AZR_AZR_Q1_19_Direct-Social</v></cell><cell r="AC2104"><v>21358715</v></cell><cell r="AD2104"><v>720197</v></cell><cell r="AE2104" t="str"><v>Facebook</v></cell><cell r="AF2104"><v>3654128</v></cell><cell r="AG2104" t="str"><v>FACEBOOK»USA-Trial-ITD-Trial Lookalike-AZR-AZR»1 x 1»SocialBan»CAN»ALL»CPA»LAL»X»NA»SS»NA»FBCTCBasicMotion»PRC1LZ</v></cell><cell r="AH2104"><v>223862915</v></cell><cell r="AI2104" t="str"><v>AzurePlatform_FBCTCBasicMotion_USA_10s_CAN_PLATFORM_English_Trial_Standard_STAN_TIN_T1_2</v></cell><cell r="AJ2104"><v>103175984</v></cell></row><row r="2105"><cell r="C2105" t="str"><v>43296FACEBOOK»USA-Trial-ITD-Trial PayGo Lookalike-AZR-AZR»1 x 1»SocialBan»CAN»ALL»CPA»LAL»X»NA»SS»NA»FBCTCBasicMotion»PRC1Q0</v></cell><cell r="D2105" t="str"><v>43296223935664</v></cell><cell r="E2105" t="str"><v>43296103043823PRC1Q0</v></cell><cell r="F2105" t="str"><v>DCM</v></cell><cell r="G2105" t="str"><v>https://signup.azure.com/?OCID=AID%eexcid!_OLA_%ebuy!_%epid!_%ecid!</v></cell></row><row r="2105"><cell r="K2105" t="str"><v>July</v></cell><cell r="L2105"><v>43302</v></cell><cell r="M2105" t="str"><v>Tier 0</v></cell><cell r="N2105" t="str"><v>North America</v></cell><cell r="O2105" t="str"><v>United States</v></cell><cell r="P2105" t="str"><v>Trial</v></cell><cell r="Q2105" t="str"><v>Social</v></cell><cell r="R2105" t="str"><v>Azure</v></cell><cell r="S2105" t="str"><v>Apps & Infra</v></cell><cell r="T2105" t="str"><v>Developers & ITI's</v></cell><cell r="U2105" t="str"><v>USA-Trial-ITD-Trial PayGo Lookalike-AZR-AZR</v></cell><cell r="V2105" t="str"><v>Lookalike Targeting</v></cell><cell r="W2105" t="str"><v>Canvas Ad</v></cell><cell r="X2105" t="str"><v>1x1</v></cell></row><row r="2105"><cell r="AA2105"><v>43296</v></cell><cell r="AB2105" t="str"><v>USA_gaPMG_AZR_AZR_Q1_19_Direct-Social</v></cell><cell r="AC2105"><v>21358715</v></cell><cell r="AD2105"><v>720197</v></cell><cell r="AE2105" t="str"><v>Facebook</v></cell><cell r="AF2105"><v>3654128</v></cell><cell r="AG2105" t="str"><v>FACEBOOK»USA-Trial-ITD-Trial PayGo Lookalike-AZR-AZR»1 x 1»SocialBan»CAN»ALL»CPA»LAL»X»NA»SS»NA»FBCTCBasicMotion»PRC1Q0</v></cell><cell r="AH2105"><v>223935664</v></cell><cell r="AI2105" t="str"><v>AzurePlatform_FBCTCBasicMotion_USA_10s_CAN_PLATFORM_English_Trial_Standard_STAN_TIN_T1_1</v></cell><cell r="AJ2105"><v>103043823</v></cell></row><row r="2106"><cell r="C2106" t="str"><v>43296FACEBOOK»USA-Trial-ITD-Trial PayGo Lookalike-AZR-AZR»1 x 1»SocialBan»CAN»ALL»CPA»LAL»X»NA»SS»NA»FBCTCBasicMotion»PRC1Q0</v></cell><cell r="D2106" t="str"><v>43296223935664</v></cell><cell r="E2106" t="str"><v>43296103175984PRC1Q0</v></cell><cell r="F2106" t="str"><v>DCM</v></cell><cell r="G2106" t="str"><v>https://azure.microsoft.com/en-us/pricing/purchase-options/?v=18.19&OCID=AID%eexcid!_OLA_%ebuy!_%epid!_%ecid!</v></cell></row><row r="2106"><cell r="K2106" t="str"><v>July</v></cell><cell r="L2106"><v>43302</v></cell><cell r="M2106" t="str"><v>Tier 0</v></cell><cell r="N2106" t="str"><v>North America</v></cell><cell r="O2106" t="str"><v>United States</v></cell><cell r="P2106" t="str"><v>Trial</v></cell><cell r="Q2106" t="str"><v>Social</v></cell><cell r="R2106" t="str"><v>Azure</v></cell><cell r="S2106" t="str"><v>Apps & Infra</v></cell><cell r="T2106" t="str"><v>Developers & ITI's</v></cell><cell r="U2106" t="str"><v>USA-Trial-ITD-Trial PayGo Lookalike-AZR-AZR</v></cell><cell r="V2106" t="str"><v>Lookalike Targeting</v></cell><cell r="W2106" t="str"><v>Canvas Ad</v></cell><cell r="X2106" t="str"><v>1x1</v></cell></row><row r="2106"><cell r="AA2106"><v>43296</v></cell><cell r="AB2106" t="str"><v>USA_gaPMG_AZR_AZR_Q1_19_Direct-Social</v></cell><cell r="AC2106"><v>21358715</v></cell><cell r="AD2106"><v>720197</v></cell><cell r="AE2106" t="str"><v>Facebook</v></cell><cell r="AF2106"><v>3654128</v></cell><cell r="AG2106" t="str"><v>FACEBOOK»USA-Trial-ITD-Trial PayGo Lookalike-AZR-AZR»1 x 1»SocialBan»CAN»ALL»CPA»LAL»X»NA»SS»NA»FBCTCBasicMotion»PRC1Q0</v></cell><cell r="AH2106"><v>223935664</v></cell><cell r="AI2106" t="str"><v>AzurePlatform_FBCTCBasicMotion_USA_10s_CAN_PLATFORM_English_Trial_Standard_STAN_TIN_T1_2</v></cell><cell r="AJ2106"><v>103175984</v></cell></row><row r="2107"><cell r="C2107" t="str"><v>43296FACEBOOK»USA-Trial-ITD-Trial PayGo Lookalike-AZR-AZR»1 x 1»SocialBan»LIA»ALL»CPA»LAL»X»NA»SS»NA»FreeAcctDeveloperFB-AnimatedAI-Ch3»PRC1Q8</v></cell><cell r="D2107" t="str"><v>43296224104983</v></cell><cell r="E2107" t="str"><v>43296103032778PRC1Q8</v></cell><cell r="F2107" t="str"><v>DCM</v></cell></row><row r="2107"><cell r="K2107" t="str"><v>July</v></cell><cell r="L2107"><v>43302</v></cell><cell r="M2107" t="str"><v>Tier 0</v></cell><cell r="N2107" t="str"><v>North America</v></cell><cell r="O2107" t="str"><v>United States</v></cell><cell r="P2107" t="str"><v>Trial</v></cell><cell r="Q2107" t="str"><v>Social</v></cell><cell r="R2107" t="str"><v>Azure</v></cell><cell r="S2107" t="str"><v>Apps & Infra</v></cell><cell r="T2107" t="str"><v>Developers & ITI's</v></cell><cell r="U2107" t="str"><v>USA-Trial-ITD-Trial PayGo Lookalike-AZR-AZR</v></cell><cell r="V2107" t="str"><v>Lookalike Targeting</v></cell><cell r="W2107" t="str"><v>Link Ad</v></cell><cell r="X2107" t="str"><v>1x1</v></cell></row><row r="2107"><cell r="AA2107"><v>43296</v></cell><cell r="AB2107" t="str"><v>USA_gaPMG_AZR_AZR_Q1_19_Direct-Social</v></cell><cell r="AC2107"><v>21358715</v></cell><cell r="AD2107"><v>720197</v></cell><cell r="AE2107" t="str"><v>Facebook</v></cell><cell r="AF2107"><v>3654128</v></cell><cell r="AG2107" t="str"><v>FACEBOOK»USA-Trial-ITD-Trial PayGo Lookalike-AZR-AZR»1 x 1»SocialBan»LIA»ALL»CPA»LAL»X»NA»SS»NA»FreeAcctDeveloperFB-AnimatedAI-Ch3»PRC1Q8</v></cell><cell r="AH2107"><v>224104983</v></cell><cell r="AI2107" t="str"><v>AZR_FreeAcctDeveloperFB-AnimatedAI-Ch3_USA_1200x1200_CAN_Direct_English_Trial_Standard_ANI_LEA_T3_1</v></cell><cell r="AJ2107"><v>103032778</v></cell></row><row r="2108"><cell r="C2108" t="str"><v>43296FACEBOOK»USA-Trial-ITD-Trial PayGo Lookalike-AZR-AZR»1 x 1»SocialBan»LIA»ALL»CPA»LAL»X»NA»SS»NA»FreeAcctDeveloperFB-AnimatedData-Ch4»PRC1Q9</v></cell><cell r="D2108" t="str"><v>43296224106990</v></cell><cell r="E2108" t="str"><v>43296103037935PRC1Q9</v></cell><cell r="F2108" t="str"><v>DCM</v></cell></row><row r="2108"><cell r="K2108" t="str"><v>July</v></cell><cell r="L2108"><v>43302</v></cell><cell r="M2108" t="str"><v>Tier 0</v></cell><cell r="N2108" t="str"><v>North America</v></cell><cell r="O2108" t="str"><v>United States</v></cell><cell r="P2108" t="str"><v>Trial</v></cell><cell r="Q2108" t="str"><v>Social</v></cell><cell r="R2108" t="str"><v>Azure</v></cell><cell r="S2108" t="str"><v>Apps & Infra</v></cell><cell r="T2108" t="str"><v>Developers & ITI's</v></cell><cell r="U2108" t="str"><v>USA-Trial-ITD-Trial PayGo Lookalike-AZR-AZR</v></cell><cell r="V2108" t="str"><v>Lookalike Targeting</v></cell><cell r="W2108" t="str"><v>Link Ad</v></cell><cell r="X2108" t="str"><v>1x1</v></cell></row><row r="2108"><cell r="AA2108"><v>43296</v></cell><cell r="AB2108" t="str"><v>USA_gaPMG_AZR_AZR_Q1_19_Direct-Social</v></cell><cell r="AC2108"><v>21358715</v></cell><cell r="AD2108"><v>720197</v></cell><cell r="AE2108" t="str"><v>Facebook</v></cell><cell r="AF2108"><v>3654128</v></cell><cell r="AG2108" t="str"><v>FACEBOOK»USA-Trial-ITD-Trial PayGo Lookalike-AZR-AZR»1 x 1»SocialBan»LIA»ALL»CPA»LAL»X»NA»SS»NA»FreeAcctDeveloperFB-AnimatedData-Ch4»PRC1Q9</v></cell><cell r="AH2108"><v>224106990</v></cell><cell r="AI2108" t="str"><v>AZR_FreeAcctDeveloperFB-AnimatedData-Ch4_USA_1200x1200_CAN_Direct_English_Trial_Standard_ANI_LEA_T4_2</v></cell><cell r="AJ2108"><v>103037935</v></cell></row><row r="2109"><cell r="C2109" t="str"><v>43296FACEBOOK»USA-Trial-ITD-Trial PayGo Lookalike-AZR-AZR»1 x 1»SocialBan»LIA»ALL»CPA»LAL»X»NA»SS»NA»FreeAcctDeveloperFB-AnimatedGeneric-Ch1»PRC1Q5</v></cell><cell r="D2109" t="str"><v>43296224104092</v></cell><cell r="E2109" t="str"><v>43296103176851PRC1Q5</v></cell><cell r="F2109" t="str"><v>DCM</v></cell><cell r="G2109" t="str"><v>https://azure.microsoft.com/en-us/free/search/?OCID=AID%eexcid!_OLA_%ebuy!_%epid!_%ecid!</v></cell></row><row r="2109"><cell r="K2109" t="str"><v>July</v></cell><cell r="L2109"><v>43302</v></cell><cell r="M2109" t="str"><v>Tier 0</v></cell><cell r="N2109" t="str"><v>North America</v></cell><cell r="O2109" t="str"><v>United States</v></cell><cell r="P2109" t="str"><v>Trial</v></cell><cell r="Q2109" t="str"><v>Social</v></cell><cell r="R2109" t="str"><v>Azure</v></cell><cell r="S2109" t="str"><v>Apps & Infra</v></cell><cell r="T2109" t="str"><v>Developers & ITI's</v></cell><cell r="U2109" t="str"><v>USA-Trial-ITD-Trial PayGo Lookalike-AZR-AZR</v></cell><cell r="V2109" t="str"><v>Lookalike Targeting</v></cell><cell r="W2109" t="str"><v>Link Ad</v></cell><cell r="X2109" t="str"><v>1x1</v></cell></row><row r="2109"><cell r="AA2109"><v>43296</v></cell><cell r="AB2109" t="str"><v>USA_gaPMG_AZR_AZR_Q1_19_Direct-Social</v></cell><cell r="AC2109"><v>21358715</v></cell><cell r="AD2109"><v>720197</v></cell><cell r="AE2109" t="str"><v>Facebook</v></cell><cell r="AF2109"><v>3654128</v></cell><cell r="AG2109" t="str"><v>FACEBOOK»USA-Trial-ITD-Trial PayGo Lookalike-AZR-AZR»1 x 1»SocialBan»LIA»ALL»CPA»LAL»X»NA»SS»NA»FreeAcctDeveloperFB-AnimatedGeneric-Ch1»PRC1Q5</v></cell><cell r="AH2109"><v>224104092</v></cell><cell r="AI2109" t="str"><v>AZR_FreeAcctDeveloperFB-AnimatedGeneric-Ch1_USA_1200x1200_CAN_Direct_English_Trial_Standard_ANI_LEA_T1_2</v></cell><cell r="AJ2109"><v>103176851</v></cell></row><row r="2110"><cell r="C2110" t="str"><v>43296FACEBOOK»USA-Trial-ITD-Trial PayGo Lookalike-AZR-AZR»1 x 1»SocialBan»LIA»ALL»CPA»LAL»X»NA»SS»NA»FreeAcctDeveloperFB-AnimatedOpenSource-Ch2»PRC1Q7</v></cell><cell r="D2110" t="str"><v>43296223862951</v></cell><cell r="E2110" t="str"><v>43296103048329PRC1Q7</v></cell><cell r="F2110" t="str"><v>DCM</v></cell><cell r="G2110" t="str"><v>https://azure.microsoft.com/en-us/free/open-source/search/?OCID=AID%eexcid!_OLA_%ebuy!_%epid!_%ecid!</v></cell></row><row r="2110"><cell r="K2110" t="str"><v>July</v></cell><cell r="L2110"><v>43302</v></cell><cell r="M2110" t="str"><v>Tier 0</v></cell><cell r="N2110" t="str"><v>North America</v></cell><cell r="O2110" t="str"><v>United States</v></cell><cell r="P2110" t="str"><v>Trial</v></cell><cell r="Q2110" t="str"><v>Social</v></cell><cell r="R2110" t="str"><v>Azure</v></cell><cell r="S2110" t="str"><v>Apps & Infra</v></cell><cell r="T2110" t="str"><v>Developers & ITI's</v></cell><cell r="U2110" t="str"><v>USA-Trial-ITD-Trial PayGo Lookalike-AZR-AZR</v></cell><cell r="V2110" t="str"><v>Lookalike Targeting</v></cell><cell r="W2110" t="str"><v>Link Ad</v></cell><cell r="X2110" t="str"><v>1x1</v></cell></row><row r="2110"><cell r="AA2110"><v>43296</v></cell><cell r="AB2110" t="str"><v>USA_gaPMG_AZR_AZR_Q1_19_Direct-Social</v></cell><cell r="AC2110"><v>21358715</v></cell><cell r="AD2110"><v>720197</v></cell><cell r="AE2110" t="str"><v>Facebook</v></cell><cell r="AF2110"><v>3654128</v></cell><cell r="AG2110" t="str"><v>FACEBOOK»USA-Trial-ITD-Trial PayGo Lookalike-AZR-AZR»1 x 1»SocialBan»LIA»ALL»CPA»LAL»X»NA»SS»NA»FreeAcctDeveloperFB-AnimatedOpenSource-Ch2»PRC1Q7</v></cell><cell r="AH2110"><v>223862951</v></cell><cell r="AI2110" t="str"><v>AZR_FreeAcctDeveloperFB-AnimatedOpenSource-Ch2_USA_1200x1200_CAN_Direct_English_Trial_Standard_ANI_LEA_T2_1</v></cell><cell r="AJ2110"><v>103048329</v></cell></row><row r="2111"><cell r="C2111" t="str"><v>43296FACEBOOK»USA-Trial-ITD-Trial PayGo Lookalike-AZR-AZR»1 x 1»SocialBan»LIA»ALL»CPA»LAL»X»NA»SS»NA»FreeAcctITProFB-AnimatedHybrid-Ch2»PRC1QC</v></cell><cell r="D2111" t="str"><v>43296223933186</v></cell><cell r="E2111" t="str"><v>43296103180583PRC1QC</v></cell><cell r="F2111" t="str"><v>DCM</v></cell></row><row r="2111"><cell r="K2111" t="str"><v>July</v></cell><cell r="L2111"><v>43302</v></cell><cell r="M2111" t="str"><v>Tier 0</v></cell><cell r="N2111" t="str"><v>North America</v></cell><cell r="O2111" t="str"><v>United States</v></cell><cell r="P2111" t="str"><v>Trial</v></cell><cell r="Q2111" t="str"><v>Social</v></cell><cell r="R2111" t="str"><v>Azure</v></cell><cell r="S2111" t="str"><v>Apps & Infra</v></cell><cell r="T2111" t="str"><v>Developers & ITI's</v></cell><cell r="U2111" t="str"><v>USA-Trial-ITD-Trial PayGo Lookalike-AZR-AZR</v></cell><cell r="V2111" t="str"><v>Lookalike Targeting</v></cell><cell r="W2111" t="str"><v>Link Ad</v></cell><cell r="X2111" t="str"><v>1x1</v></cell></row><row r="2111"><cell r="AA2111"><v>43296</v></cell><cell r="AB2111" t="str"><v>USA_gaPMG_AZR_AZR_Q1_19_Direct-Social</v></cell><cell r="AC2111"><v>21358715</v></cell><cell r="AD2111"><v>720197</v></cell><cell r="AE2111" t="str"><v>Facebook</v></cell><cell r="AF2111"><v>3654128</v></cell><cell r="AG2111" t="str"><v>FACEBOOK»USA-Trial-ITD-Trial PayGo Lookalike-AZR-AZR»1 x 1»SocialBan»LIA»ALL»CPA»LAL»X»NA»SS»NA»FreeAcctITProFB-AnimatedHybrid-Ch2»PRC1QC</v></cell><cell r="AH2111"><v>223933186</v></cell><cell r="AI2111" t="str"><v>AZR_FreeAcctITProFB-AnimatedHybrid-Ch2_USA_1200x1200_CAN_Direct_English_Trial_Standard_ANI_LEA_T2_2</v></cell><cell r="AJ2111"><v>103180583</v></cell></row><row r="2112"><cell r="C2112" t="str"><v>43296FACEBOOK»USA-Trial-ITD-Trial PayGo Lookalike-AZR-AZR»1 x 1»SocialBan»LIA»ALL»CPA»LAL»X»NA»SS»NA»FreeAcctITProFB-AnimatedMigration-Ch3»PRC23Y</v></cell><cell r="D2112" t="str"><v>43296224105904</v></cell><cell r="E2112" t="str"><v>43296103176827PRC23Y</v></cell><cell r="F2112" t="str"><v>DCM</v></cell></row><row r="2112"><cell r="K2112" t="str"><v>July</v></cell><cell r="L2112"><v>43302</v></cell><cell r="M2112" t="str"><v>Tier 0</v></cell><cell r="N2112" t="str"><v>North America</v></cell><cell r="O2112" t="str"><v>United States</v></cell><cell r="P2112" t="str"><v>Trial</v></cell><cell r="Q2112" t="str"><v>Social</v></cell><cell r="R2112" t="str"><v>Azure</v></cell><cell r="S2112" t="str"><v>Apps & Infra</v></cell><cell r="T2112" t="str"><v>Developers & ITI's</v></cell><cell r="U2112" t="str"><v>USA-Trial-ITD-Trial PayGo Lookalike-AZR-AZR</v></cell><cell r="V2112" t="str"><v>Lookalike Targeting</v></cell><cell r="W2112" t="str"><v>Link Ad</v></cell><cell r="X2112" t="str"><v>1x1</v></cell></row><row r="2112"><cell r="AA2112"><v>43296</v></cell><cell r="AB2112" t="str"><v>USA_gaPMG_AZR_AZR_Q1_19_Direct-Social</v></cell><cell r="AC2112"><v>21358715</v></cell><cell r="AD2112"><v>720197</v></cell><cell r="AE2112" t="str"><v>Facebook</v></cell><cell r="AF2112"><v>3654128</v></cell><cell r="AG2112" t="str"><v>FACEBOOK»USA-Trial-ITD-Trial PayGo Lookalike-AZR-AZR»1 x 1»SocialBan»LIA»ALL»CPA»LAL»X»NA»SS»NA»FreeAcctITProFB-AnimatedMigration-Ch3»PRC23Y</v></cell><cell r="AH2112"><v>224105904</v></cell><cell r="AI2112" t="str"><v>AZR_FreeAcctITProFB-AnimatedMigration-Ch3_USA_1200x1200_CAN_Direct_English_Trial_Standard_ANI_LEA_T3_1</v></cell><cell r="AJ2112"><v>103176827</v></cell></row><row r="2113"><cell r="C2113" t="str"><v>43296FACEBOOK»USA-Trial-ITD-Trial PayGo Lookalike-AZR-AZR»1 x 1»SocialBan»LIA»ALL»CPA»LAL»X»NA»SS»NA»FreeAcctITProFB-AnimatedSecureMngd-Ch1»PRC1QB</v></cell><cell r="D2113" t="str"><v>43296223862945</v></cell><cell r="E2113" t="str"><v>43296103176830PRC1QB</v></cell><cell r="F2113" t="str"><v>DCM</v></cell></row><row r="2113"><cell r="K2113" t="str"><v>July</v></cell><cell r="L2113"><v>43302</v></cell><cell r="M2113" t="str"><v>Tier 0</v></cell><cell r="N2113" t="str"><v>North America</v></cell><cell r="O2113" t="str"><v>United States</v></cell><cell r="P2113" t="str"><v>Trial</v></cell><cell r="Q2113" t="str"><v>Social</v></cell><cell r="R2113" t="str"><v>Azure</v></cell><cell r="S2113" t="str"><v>Apps & Infra</v></cell><cell r="T2113" t="str"><v>Developers & ITI's</v></cell><cell r="U2113" t="str"><v>USA-Trial-ITD-Trial PayGo Lookalike-AZR-AZR</v></cell><cell r="V2113" t="str"><v>Lookalike Targeting</v></cell><cell r="W2113" t="str"><v>Link Ad</v></cell><cell r="X2113" t="str"><v>1x1</v></cell></row><row r="2113"><cell r="AA2113"><v>43296</v></cell><cell r="AB2113" t="str"><v>USA_gaPMG_AZR_AZR_Q1_19_Direct-Social</v></cell><cell r="AC2113"><v>21358715</v></cell><cell r="AD2113"><v>720197</v></cell><cell r="AE2113" t="str"><v>Facebook</v></cell><cell r="AF2113"><v>3654128</v></cell><cell r="AG2113" t="str"><v>FACEBOOK»USA-Trial-ITD-Trial PayGo Lookalike-AZR-AZR»1 x 1»SocialBan»LIA»ALL»CPA»LAL»X»NA»SS»NA»FreeAcctITProFB-AnimatedSecureMngd-Ch1»PRC1QB</v></cell><cell r="AH2113"><v>223862945</v></cell><cell r="AI2113" t="str"><v>AZR_FreeAcctITProFB-AnimatedSecureMngd-Ch1_USA_1200x1200_CAN_Direct_English_Trial_Standard_ANI_LEA_T1_1</v></cell><cell r="AJ2113"><v>103176830</v></cell></row><row r="2114"><cell r="C2114" t="str"><v>43296INSTAGRAM»USA-Trial-ITD-Interest Prospecting-AZR-AZR»1 x 1»SocialBan»CAN»ALL»CPA»PRO»X»NA»SS»NA»IGCTCBrandinMotion»PRC2PB</v></cell><cell r="D2114" t="str"><v>43296223862690</v></cell><cell r="E2114" t="str"><v>43296103050783PRC2PB</v></cell><cell r="F2114" t="str"><v>DCM</v></cell><cell r="G2114" t="str"><v>https://signup.azure.com/?OCID=AID%eexcid!_OLA_%ebuy!_%epid!_%ecid!</v></cell></row><row r="2114"><cell r="K2114" t="str"><v>July</v></cell><cell r="L2114"><v>43302</v></cell><cell r="M2114" t="str"><v>Tier 0</v></cell><cell r="N2114" t="str"><v>North America</v></cell><cell r="O2114" t="str"><v>United States</v></cell><cell r="P2114" t="str"><v>Trial</v></cell><cell r="Q2114" t="str"><v>Social</v></cell><cell r="R2114" t="str"><v>Azure</v></cell><cell r="S2114" t="str"><v>Apps & Infra</v></cell><cell r="T2114" t="str"><v>Developers & ITI's</v></cell><cell r="U2114" t="str"><v>USA-Trial-ITD-Interest Prospecting-AZR-AZR</v></cell><cell r="V2114" t="str"><v>Prospecting</v></cell><cell r="W2114" t="str"><v>Canvas Ad</v></cell><cell r="X2114" t="str"><v>1x1</v></cell></row><row r="2114"><cell r="AA2114"><v>43296</v></cell><cell r="AB2114" t="str"><v>USA_gaPMG_AZR_AZR_Q1_19_Direct-Social</v></cell><cell r="AC2114"><v>21358715</v></cell><cell r="AD2114"><v>720197</v></cell><cell r="AE2114" t="str"><v>Facebook - Instagram</v></cell><cell r="AF2114"><v>3654128</v></cell><cell r="AG2114" t="str"><v>INSTAGRAM»USA-Trial-ITD-Interest Prospecting-AZR-AZR»1 x 1»SocialBan»CAN»ALL»CPA»PRO»X»NA»SS»NA»IGCTCBrandinMotion»PRC2PB</v></cell><cell r="AH2114"><v>223862690</v></cell><cell r="AI2114" t="str"><v>AzurePlatform_IGCTCBenefit2inMotion_USA_10s_CAN_PLATFORM_English_Trial_Standard_STAN_TIN_T4_1</v></cell><cell r="AJ2114"><v>103050783</v></cell></row><row r="2115"><cell r="C2115" t="str"><v>43296INSTAGRAM»USA-Trial-ITD-Interest Prospecting-AZR-AZR»1 x 1»SocialBan»CAN»ALL»CPA»PRO»X»NA»SS»NA»IGCTCBrandinMotion»PRC2PB</v></cell><cell r="D2115" t="str"><v>43296223862690</v></cell><cell r="E2115" t="str"><v>43296103178714PRC2PB</v></cell><cell r="F2115" t="str"><v>DCM</v></cell><cell r="G2115" t="str"><v>https://azure.microsoft.com/en-us/pricing/purchase-options/?v=18.19&OCID=AID%eexcid!_OLA_%ebuy!_%epid!_%ecid!</v></cell></row><row r="2115"><cell r="K2115" t="str"><v>July</v></cell><cell r="L2115"><v>43302</v></cell><cell r="M2115" t="str"><v>Tier 0</v></cell><cell r="N2115" t="str"><v>North America</v></cell><cell r="O2115" t="str"><v>United States</v></cell><cell r="P2115" t="str"><v>Trial</v></cell><cell r="Q2115" t="str"><v>Social</v></cell><cell r="R2115" t="str"><v>Azure</v></cell><cell r="S2115" t="str"><v>Apps & Infra</v></cell><cell r="T2115" t="str"><v>Developers & ITI's</v></cell><cell r="U2115" t="str"><v>USA-Trial-ITD-Interest Prospecting-AZR-AZR</v></cell><cell r="V2115" t="str"><v>Prospecting</v></cell><cell r="W2115" t="str"><v>Canvas Ad</v></cell><cell r="X2115" t="str"><v>1x1</v></cell></row><row r="2115"><cell r="AA2115"><v>43296</v></cell><cell r="AB2115" t="str"><v>USA_gaPMG_AZR_AZR_Q1_19_Direct-Social</v></cell><cell r="AC2115"><v>21358715</v></cell><cell r="AD2115"><v>720197</v></cell><cell r="AE2115" t="str"><v>Facebook - Instagram</v></cell><cell r="AF2115"><v>3654128</v></cell><cell r="AG2115" t="str"><v>INSTAGRAM»USA-Trial-ITD-Interest Prospecting-AZR-AZR»1 x 1»SocialBan»CAN»ALL»CPA»PRO»X»NA»SS»NA»IGCTCBrandinMotion»PRC2PB</v></cell><cell r="AH2115"><v>223862690</v></cell><cell r="AI2115" t="str"><v>AzurePlatform_IGCTCBenefit2inMotion_USA_10s_CAN_PLATFORM_English_Trial_Standard_STAN_TIN_T4_2</v></cell><cell r="AJ2115"><v>103178714</v></cell></row><row r="2116"><cell r="C2116" t="str"><v>43296INSTAGRAM»USA-Trial-ITD-Retargeting-AZR-AZR»1 x 1»SocialBan»CAN»ALL»CPA»RT»X»NA»SS»NA»IGCTCBasicMotion»PRC2G7</v></cell><cell r="D2116" t="str"><v>43296223935007</v></cell><cell r="E2116" t="str"><v>43296103037968PRC2G7</v></cell><cell r="F2116" t="str"><v>DCM</v></cell><cell r="G2116" t="str"><v>https://signup.azure.com/?OCID=AID%eexcid!_OLA_%ebuy!_%epid!_%ecid!</v></cell></row><row r="2116"><cell r="K2116" t="str"><v>July</v></cell><cell r="L2116"><v>43302</v></cell><cell r="M2116" t="str"><v>Tier 0</v></cell><cell r="N2116" t="str"><v>North America</v></cell><cell r="O2116" t="str"><v>United States</v></cell><cell r="P2116" t="str"><v>Trial</v></cell><cell r="Q2116" t="str"><v>Social</v></cell><cell r="R2116" t="str"><v>Azure</v></cell><cell r="S2116" t="str"><v>Apps & Infra</v></cell><cell r="T2116" t="str"><v>Developers & ITI's</v></cell><cell r="U2116" t="str"><v>USA-Trial-ITD-Retargeting-AZR-AZR</v></cell><cell r="V2116" t="str"><v>Retargeting</v></cell><cell r="W2116" t="str"><v>Canvas Ad</v></cell><cell r="X2116" t="str"><v>1x1</v></cell></row><row r="2116"><cell r="AA2116"><v>43296</v></cell><cell r="AB2116" t="str"><v>USA_gaPMG_AZR_AZR_Q1_19_Direct-Social</v></cell><cell r="AC2116"><v>21358715</v></cell><cell r="AD2116"><v>720197</v></cell><cell r="AE2116" t="str"><v>Facebook - Instagram</v></cell><cell r="AF2116"><v>3654128</v></cell><cell r="AG2116" t="str"><v>INSTAGRAM»USA-Trial-ITD-Retargeting-AZR-AZR»1 x 1»SocialBan»CAN»ALL»CPA»RT»X»NA»SS»NA»IGCTCBasicMotion»PRC2G7</v></cell><cell r="AH2116"><v>223935007</v></cell><cell r="AI2116" t="str"><v>AzurePlatform_IGCTCBasicMotion_USA_10s_CAN_PLATFORM_English_Trial_Standard_STAN_TIN_T1_1</v></cell><cell r="AJ2116"><v>103037968</v></cell></row><row r="2117"><cell r="C2117" t="str"><v>43296INSTAGRAM»USA-Trial-ITD-Retargeting-AZR-AZR»1 x 1»SocialBan»CAN»ALL»CPA»RT»X»NA»SS»NA»IGCTCBenefitinMotion»PRC2G4</v></cell><cell r="D2117" t="str"><v>43296224107536</v></cell><cell r="E2117" t="str"><v>43296103050780PRC2G4</v></cell><cell r="F2117" t="str"><v>DCM</v></cell><cell r="G2117" t="str"><v>https://signup.azure.com/?OCID=AID%eexcid!_OLA_%ebuy!_%epid!_%ecid!</v></cell></row><row r="2117"><cell r="K2117" t="str"><v>July</v></cell><cell r="L2117"><v>43302</v></cell><cell r="M2117" t="str"><v>Tier 0</v></cell><cell r="N2117" t="str"><v>North America</v></cell><cell r="O2117" t="str"><v>United States</v></cell><cell r="P2117" t="str"><v>Trial</v></cell><cell r="Q2117" t="str"><v>Social</v></cell><cell r="R2117" t="str"><v>Azure</v></cell><cell r="S2117" t="str"><v>Apps & Infra</v></cell><cell r="T2117" t="str"><v>Developers & ITI's</v></cell><cell r="U2117" t="str"><v>USA-Trial-ITD-Retargeting-AZR-AZR</v></cell><cell r="V2117" t="str"><v>Retargeting</v></cell><cell r="W2117" t="str"><v>Canvas Ad</v></cell><cell r="X2117" t="str"><v>1x1</v></cell></row><row r="2117"><cell r="AA2117"><v>43296</v></cell><cell r="AB2117" t="str"><v>USA_gaPMG_AZR_AZR_Q1_19_Direct-Social</v></cell><cell r="AC2117"><v>21358715</v></cell><cell r="AD2117"><v>720197</v></cell><cell r="AE2117" t="str"><v>Facebook - Instagram</v></cell><cell r="AF2117"><v>3654128</v></cell><cell r="AG2117" t="str"><v>INSTAGRAM»USA-Trial-ITD-Retargeting-AZR-AZR»1 x 1»SocialBan»CAN»ALL»CPA»RT»X»NA»SS»NA»IGCTCBenefitinMotion»PRC2G4</v></cell><cell r="AH2117"><v>224107536</v></cell><cell r="AI2117" t="str"><v>AzurePlatform_IGCTCBenefitinMotion_USA_10s_CAN_PLATFORM_English_Trial_Standard_STAN_TIN_T3_1</v></cell><cell r="AJ2117"><v>103050780</v></cell></row><row r="2118"><cell r="C2118" t="str"><v>43296INSTAGRAM»USA-Trial-ITD-Trial Lookalike-AZR-AZR»1 x 1»SocialBan»CAN»ALL»CPA»LAL»X»NA»SS»NA»IGCTCBenefit2inMotion»PRC2FL</v></cell><cell r="D2118" t="str"><v>43296223935022</v></cell><cell r="E2118" t="str"><v>43296103180628PRC2FL</v></cell><cell r="F2118" t="str"><v>DCM</v></cell><cell r="G2118" t="str"><v>https://signup.azure.com/?OCID=AID%eexcid!_OLA_%ebuy!_%epid!_%ecid!</v></cell></row><row r="2118"><cell r="K2118" t="str"><v>July</v></cell><cell r="L2118"><v>43302</v></cell><cell r="M2118" t="str"><v>Tier 0</v></cell><cell r="N2118" t="str"><v>North America</v></cell><cell r="O2118" t="str"><v>United States</v></cell><cell r="P2118" t="str"><v>Trial</v></cell><cell r="Q2118" t="str"><v>Social</v></cell><cell r="R2118" t="str"><v>Azure</v></cell><cell r="S2118" t="str"><v>Apps & Infra</v></cell><cell r="T2118" t="str"><v>Developers & ITI's</v></cell><cell r="U2118" t="str"><v>USA-Trial-ITD-Trial Lookalike-AZR-AZR</v></cell><cell r="V2118" t="str"><v>Lookalike Targeting</v></cell><cell r="W2118" t="str"><v>Canvas Ad</v></cell><cell r="X2118" t="str"><v>1x1</v></cell></row><row r="2118"><cell r="AA2118"><v>43296</v></cell><cell r="AB2118" t="str"><v>USA_gaPMG_AZR_AZR_Q1_19_Direct-Social</v></cell><cell r="AC2118"><v>21358715</v></cell><cell r="AD2118"><v>720197</v></cell><cell r="AE2118" t="str"><v>Facebook - Instagram</v></cell><cell r="AF2118"><v>3654128</v></cell><cell r="AG2118" t="str"><v>INSTAGRAM»USA-Trial-ITD-Trial Lookalike-AZR-AZR»1 x 1»SocialBan»CAN»ALL»CPA»LAL»X»NA»SS»NA»IGCTCBenefit2inMotion»PRC2FL</v></cell><cell r="AH2118"><v>223935022</v></cell><cell r="AI2118" t="str"><v>AzurePlatform_IGCTCBrandinMotion_USA_10s_CAN_PLATFORM_English_Trial_Standard_STAN_TIN_T2_1</v></cell><cell r="AJ2118"><v>103180628</v></cell></row><row r="2119"><cell r="C2119" t="str"><v>43296INSTAGRAM»USA-Trial-ITD-Trial Lookalike-AZR-AZR»1 x 1»SocialBan»CAN»ALL»CPA»LAL»X»NA»SS»NA»IGCTCBenefit2inMotion»PRC2FL</v></cell><cell r="D2119" t="str"><v>43296223935022</v></cell><cell r="E2119" t="str"><v>43296103050786PRC2FL</v></cell><cell r="F2119" t="str"><v>DCM</v></cell><cell r="G2119" t="str"><v>https://azure.microsoft.com/en-us/pricing/purchase-options/?v=18.19&OCID=AID%eexcid!_OLA_%ebuy!_%epid!_%ecid!</v></cell></row><row r="2119"><cell r="K2119" t="str"><v>July</v></cell><cell r="L2119"><v>43302</v></cell><cell r="M2119" t="str"><v>Tier 0</v></cell><cell r="N2119" t="str"><v>North America</v></cell><cell r="O2119" t="str"><v>United States</v></cell><cell r="P2119" t="str"><v>Trial</v></cell><cell r="Q2119" t="str"><v>Social</v></cell><cell r="R2119" t="str"><v>Azure</v></cell><cell r="S2119" t="str"><v>Apps & Infra</v></cell><cell r="T2119" t="str"><v>Developers & ITI's</v></cell><cell r="U2119" t="str"><v>USA-Trial-ITD-Trial Lookalike-AZR-AZR</v></cell><cell r="V2119" t="str"><v>Lookalike Targeting</v></cell><cell r="W2119" t="str"><v>Canvas Ad</v></cell><cell r="X2119" t="str"><v>1x1</v></cell></row><row r="2119"><cell r="AA2119"><v>43296</v></cell><cell r="AB2119" t="str"><v>USA_gaPMG_AZR_AZR_Q1_19_Direct-Social</v></cell><cell r="AC2119"><v>21358715</v></cell><cell r="AD2119"><v>720197</v></cell><cell r="AE2119" t="str"><v>Facebook - Instagram</v></cell><cell r="AF2119"><v>3654128</v></cell><cell r="AG2119" t="str"><v>INSTAGRAM»USA-Trial-ITD-Trial Lookalike-AZR-AZR»1 x 1»SocialBan»CAN»ALL»CPA»LAL»X»NA»SS»NA»IGCTCBenefit2inMotion»PRC2FL</v></cell><cell r="AH2119"><v>223935022</v></cell><cell r="AI2119" t="str"><v>AzurePlatform_IGCTCBrandinMotion_USA_10s_CAN_PLATFORM_English_Trial_Standard_STAN_TIN_T2_2</v></cell><cell r="AJ2119"><v>103050786</v></cell></row><row r="2120"><cell r="C2120" t="str"><v>43296INSTAGRAM»USA-Trial-ITD-Trial Lookalike-AZR-AZR»1 x 1»SocialBan»CAN»ALL»CPA»LAL»X»NA»SS»NA»IGCTCBrandinMotion»PRC2FH</v></cell><cell r="D2120" t="str"><v>43296223935019</v></cell><cell r="E2120" t="str"><v>43296103050783PRC2FH</v></cell><cell r="F2120" t="str"><v>DCM</v></cell><cell r="G2120" t="str"><v>https://signup.azure.com/?OCID=AID%eexcid!_OLA_%ebuy!_%epid!_%ecid!</v></cell></row><row r="2120"><cell r="K2120" t="str"><v>July</v></cell><cell r="L2120"><v>43302</v></cell><cell r="M2120" t="str"><v>Tier 0</v></cell><cell r="N2120" t="str"><v>North America</v></cell><cell r="O2120" t="str"><v>United States</v></cell><cell r="P2120" t="str"><v>Trial</v></cell><cell r="Q2120" t="str"><v>Social</v></cell><cell r="R2120" t="str"><v>Azure</v></cell><cell r="S2120" t="str"><v>Apps & Infra</v></cell><cell r="T2120" t="str"><v>Developers & ITI's</v></cell><cell r="U2120" t="str"><v>USA-Trial-ITD-Trial Lookalike-AZR-AZR</v></cell><cell r="V2120" t="str"><v>Lookalike Targeting</v></cell><cell r="W2120" t="str"><v>Canvas Ad</v></cell><cell r="X2120" t="str"><v>1x1</v></cell></row><row r="2120"><cell r="AA2120"><v>43296</v></cell><cell r="AB2120" t="str"><v>USA_gaPMG_AZR_AZR_Q1_19_Direct-Social</v></cell><cell r="AC2120"><v>21358715</v></cell><cell r="AD2120"><v>720197</v></cell><cell r="AE2120" t="str"><v>Facebook - Instagram</v></cell><cell r="AF2120"><v>3654128</v></cell><cell r="AG2120" t="str"><v>INSTAGRAM»USA-Trial-ITD-Trial Lookalike-AZR-AZR»1 x 1»SocialBan»CAN»ALL»CPA»LAL»X»NA»SS»NA»IGCTCBrandinMotion»PRC2FH</v></cell><cell r="AH2120"><v>223935019</v></cell><cell r="AI2120" t="str"><v>AzurePlatform_IGCTCBenefit2inMotion_USA_10s_CAN_PLATFORM_English_Trial_Standard_STAN_TIN_T4_1</v></cell><cell r="AJ2120"><v>103050783</v></cell></row><row r="2121"><cell r="C2121" t="str"><v>43296INSTAGRAM»USA-Trial-ITD-Trial PayGo Lookalike-AZR-AZR»1 x 1»SocialBan»CAN»ALL»CPA»LAL»X»NA»SS»NA»IGCTCBrandinMotion»PRC2FW</v></cell><cell r="D2121" t="str"><v>43296223862654</v></cell><cell r="E2121" t="str"><v>43296103050783PRC2FW</v></cell><cell r="F2121" t="str"><v>DCM</v></cell><cell r="G2121" t="str"><v>https://signup.azure.com/?OCID=AID%eexcid!_OLA_%ebuy!_%epid!_%ecid!</v></cell></row><row r="2121"><cell r="K2121" t="str"><v>July</v></cell><cell r="L2121"><v>43302</v></cell><cell r="M2121" t="str"><v>Tier 0</v></cell><cell r="N2121" t="str"><v>North America</v></cell><cell r="O2121" t="str"><v>United States</v></cell><cell r="P2121" t="str"><v>Trial</v></cell><cell r="Q2121" t="str"><v>Social</v></cell><cell r="R2121" t="str"><v>Azure</v></cell><cell r="S2121" t="str"><v>Apps & Infra</v></cell><cell r="T2121" t="str"><v>Developers & ITI's</v></cell><cell r="U2121" t="str"><v>USA-Trial-ITD-Trial PayGo Lookalike-AZR-AZR</v></cell><cell r="V2121" t="str"><v>Lookalike Targeting</v></cell><cell r="W2121" t="str"><v>Canvas Ad</v></cell><cell r="X2121" t="str"><v>1x1</v></cell></row><row r="2121"><cell r="AA2121"><v>43296</v></cell><cell r="AB2121" t="str"><v>USA_gaPMG_AZR_AZR_Q1_19_Direct-Social</v></cell><cell r="AC2121"><v>21358715</v></cell><cell r="AD2121"><v>720197</v></cell><cell r="AE2121" t="str"><v>Facebook - Instagram</v></cell><cell r="AF2121"><v>3654128</v></cell><cell r="AG2121" t="str"><v>INSTAGRAM»USA-Trial-ITD-Trial PayGo Lookalike-AZR-AZR»1 x 1»SocialBan»CAN»ALL»CPA»LAL»X»NA»SS»NA»IGCTCBrandinMotion»PRC2FW</v></cell><cell r="AH2121"><v>223862654</v></cell><cell r="AI2121" t="str"><v>AzurePlatform_IGCTCBenefit2inMotion_USA_10s_CAN_PLATFORM_English_Trial_Standard_STAN_TIN_T4_1</v></cell><cell r="AJ2121"><v>103050783</v></cell></row><row r="2122"><cell r="C2122" t="str"><v>43296INSTAGRAM»USA-Trial-ITD-Interest Prospecting-AZR-AZR»1 x 1»SocialBan»CAN»ALL»CPA»PRO»X»NA»SS»NA»IGCTCBasicMotion»PRC2PF</v></cell><cell r="D2122" t="str"><v>43296224106621</v></cell><cell r="E2122" t="str"><v>43296103037968PRC2PF</v></cell><cell r="F2122" t="str"><v>DCM</v></cell><cell r="G2122" t="str"><v>https://signup.azure.com/?OCID=AID%eexcid!_OLA_%ebuy!_%epid!_%ecid!</v></cell></row><row r="2122"><cell r="K2122" t="str"><v>July</v></cell><cell r="L2122"><v>43302</v></cell><cell r="M2122" t="str"><v>Tier 0</v></cell><cell r="N2122" t="str"><v>North America</v></cell><cell r="O2122" t="str"><v>United States</v></cell><cell r="P2122" t="str"><v>Trial</v></cell><cell r="Q2122" t="str"><v>Social</v></cell><cell r="R2122" t="str"><v>Azure</v></cell><cell r="S2122" t="str"><v>Apps & Infra</v></cell><cell r="T2122" t="str"><v>Developers & ITI's</v></cell><cell r="U2122" t="str"><v>USA-Trial-ITD-Interest Prospecting-AZR-AZR</v></cell><cell r="V2122" t="str"><v>Prospecting</v></cell><cell r="W2122" t="str"><v>Canvas Ad</v></cell><cell r="X2122" t="str"><v>1x1</v></cell></row><row r="2122"><cell r="AA2122"><v>43296</v></cell><cell r="AB2122" t="str"><v>USA_gaPMG_AZR_AZR_Q1_19_Direct-Social</v></cell><cell r="AC2122"><v>21358715</v></cell><cell r="AD2122"><v>720197</v></cell><cell r="AE2122" t="str"><v>Facebook - Instagram</v></cell><cell r="AF2122"><v>3654128</v></cell><cell r="AG2122" t="str"><v>INSTAGRAM»USA-Trial-ITD-Interest Prospecting-AZR-AZR»1 x 1»SocialBan»CAN»ALL»CPA»PRO»X»NA»SS»NA»IGCTCBasicMotion»PRC2PF</v></cell><cell r="AH2122"><v>224106621</v></cell><cell r="AI2122" t="str"><v>AzurePlatform_IGCTCBasicMotion_USA_10s_CAN_PLATFORM_English_Trial_Standard_STAN_TIN_T1_1</v></cell><cell r="AJ2122"><v>103037968</v></cell></row><row r="2123"><cell r="C2123" t="str"><v>43296INSTAGRAM»USA-Trial-ITD-Interest Prospecting-AZR-AZR»1 x 1»SocialBan»CAN»ALL»CPA»PRO»X»NA»SS»NA»IGCTCBenefitinMotion»PRC2PC</v></cell><cell r="D2123" t="str"><v>43296224104878</v></cell><cell r="E2123" t="str"><v>43296103050780PRC2PC</v></cell><cell r="F2123" t="str"><v>DCM</v></cell><cell r="G2123" t="str"><v>https://signup.azure.com/?OCID=AID%eexcid!_OLA_%ebuy!_%epid!_%ecid!</v></cell></row><row r="2123"><cell r="K2123" t="str"><v>July</v></cell><cell r="L2123"><v>43302</v></cell><cell r="M2123" t="str"><v>Tier 0</v></cell><cell r="N2123" t="str"><v>North America</v></cell><cell r="O2123" t="str"><v>United States</v></cell><cell r="P2123" t="str"><v>Trial</v></cell><cell r="Q2123" t="str"><v>Social</v></cell><cell r="R2123" t="str"><v>Azure</v></cell><cell r="S2123" t="str"><v>Apps & Infra</v></cell><cell r="T2123" t="str"><v>Developers & ITI's</v></cell><cell r="U2123" t="str"><v>USA-Trial-ITD-Interest Prospecting-AZR-AZR</v></cell><cell r="V2123" t="str"><v>Prospecting</v></cell><cell r="W2123" t="str"><v>Canvas Ad</v></cell><cell r="X2123" t="str"><v>1x1</v></cell></row><row r="2123"><cell r="AA2123"><v>43296</v></cell><cell r="AB2123" t="str"><v>USA_gaPMG_AZR_AZR_Q1_19_Direct-Social</v></cell><cell r="AC2123"><v>21358715</v></cell><cell r="AD2123"><v>720197</v></cell><cell r="AE2123" t="str"><v>Facebook - Instagram</v></cell><cell r="AF2123"><v>3654128</v></cell><cell r="AG2123" t="str"><v>INSTAGRAM»USA-Trial-ITD-Interest Prospecting-AZR-AZR»1 x 1»SocialBan»CAN»ALL»CPA»PRO»X»NA»SS»NA»IGCTCBenefitinMotion»PRC2PC</v></cell><cell r="AH2123"><v>224104878</v></cell><cell r="AI2123" t="str"><v>AzurePlatform_IGCTCBenefitinMotion_USA_10s_CAN_PLATFORM_English_Trial_Standard_STAN_TIN_T3_1</v></cell><cell r="AJ2123"><v>103050780</v></cell></row><row r="2124"><cell r="C2124" t="str"><v>43296INSTAGRAM»USA-Trial-ITD-Trial Lookalike-AZR-AZR»1 x 1»SocialBan»CAN»ALL»CPA»LAL»X»NA»SS»NA»IGCTCBasicMotion»PRC0C2</v></cell><cell r="D2124" t="str"><v>43296224107017</v></cell><cell r="E2124" t="str"><v>43296103037968PRC0C2</v></cell><cell r="F2124" t="str"><v>DCM</v></cell><cell r="G2124" t="str"><v>https://signup.azure.com/?OCID=AID%eexcid!_OLA_%ebuy!_%epid!_%ecid!</v></cell></row><row r="2124"><cell r="K2124" t="str"><v>July</v></cell><cell r="L2124"><v>43302</v></cell><cell r="M2124" t="str"><v>Tier 0</v></cell><cell r="N2124" t="str"><v>North America</v></cell><cell r="O2124" t="str"><v>United States</v></cell><cell r="P2124" t="str"><v>Trial</v></cell><cell r="Q2124" t="str"><v>Social</v></cell><cell r="R2124" t="str"><v>Azure</v></cell><cell r="S2124" t="str"><v>Apps & Infra</v></cell><cell r="T2124" t="str"><v>Developers & ITI's</v></cell><cell r="U2124" t="str"><v>USA-Trial-ITD-Trial Lookalike-AZR-AZR</v></cell><cell r="V2124" t="str"><v>Lookalike Targeting</v></cell><cell r="W2124" t="str"><v>Canvas Ad</v></cell><cell r="X2124" t="str"><v>1x1</v></cell></row><row r="2124"><cell r="AA2124"><v>43296</v></cell><cell r="AB2124" t="str"><v>USA_gaPMG_AZR_AZR_Q1_19_Direct-Social</v></cell><cell r="AC2124"><v>21358715</v></cell><cell r="AD2124"><v>720197</v></cell><cell r="AE2124" t="str"><v>Facebook - Instagram</v></cell><cell r="AF2124"><v>3654128</v></cell><cell r="AG2124" t="str"><v>INSTAGRAM»USA-Trial-ITD-Trial Lookalike-AZR-AZR»1 x 1»SocialBan»CAN»ALL»CPA»LAL»X»NA»SS»NA»IGCTCBasicMotion»PRC0C2</v></cell><cell r="AH2124"><v>224107017</v></cell><cell r="AI2124" t="str"><v>AzurePlatform_IGCTCBasicMotion_USA_10s_CAN_PLATFORM_English_Trial_Standard_STAN_TIN_T1_1</v></cell><cell r="AJ2124"><v>103037968</v></cell></row><row r="2125"><cell r="C2125" t="str"><v>43296INSTAGRAM»USA-Trial-ITD-Trial PayGo Lookalike-AZR-AZR»1 x 1»SocialBan»CAN»ALL»CPA»LAL»X»NA»SS»NA»IGCTCBasicMotion»PRC2G0</v></cell><cell r="D2125" t="str"><v>43296224106891</v></cell><cell r="E2125" t="str"><v>43296103037968PRC2G0</v></cell><cell r="F2125" t="str"><v>DCM</v></cell><cell r="G2125" t="str"><v>https://signup.azure.com/?OCID=AID%eexcid!_OLA_%ebuy!_%epid!_%ecid!</v></cell></row><row r="2125"><cell r="K2125" t="str"><v>July</v></cell><cell r="L2125"><v>43302</v></cell><cell r="M2125" t="str"><v>Tier 0</v></cell><cell r="N2125" t="str"><v>North America</v></cell><cell r="O2125" t="str"><v>United States</v></cell><cell r="P2125" t="str"><v>Trial</v></cell><cell r="Q2125" t="str"><v>Social</v></cell><cell r="R2125" t="str"><v>Azure</v></cell><cell r="S2125" t="str"><v>Apps & Infra</v></cell><cell r="T2125" t="str"><v>Developers & ITI's</v></cell><cell r="U2125" t="str"><v>USA-Trial-ITD-Trial PayGo Lookalike-AZR-AZR</v></cell><cell r="V2125" t="str"><v>Lookalike Targeting</v></cell><cell r="W2125" t="str"><v>Canvas Ad</v></cell><cell r="X2125" t="str"><v>1x1</v></cell></row><row r="2125"><cell r="AA2125"><v>43296</v></cell><cell r="AB2125" t="str"><v>USA_gaPMG_AZR_AZR_Q1_19_Direct-Social</v></cell><cell r="AC2125"><v>21358715</v></cell><cell r="AD2125"><v>720197</v></cell><cell r="AE2125" t="str"><v>Facebook - Instagram</v></cell><cell r="AF2125"><v>3654128</v></cell><cell r="AG2125" t="str"><v>INSTAGRAM»USA-Trial-ITD-Trial PayGo Lookalike-AZR-AZR»1 x 1»SocialBan»CAN»ALL»CPA»LAL»X»NA»SS»NA»IGCTCBasicMotion»PRC2G0</v></cell><cell r="AH2125"><v>224106891</v></cell><cell r="AI2125" t="str"><v>AzurePlatform_IGCTCBasicMotion_USA_10s_CAN_PLATFORM_English_Trial_Standard_STAN_TIN_T1_1</v></cell><cell r="AJ2125"><v>103037968</v></cell></row><row r="2126"><cell r="C2126" t="str"><v>43296INSTAGRAM»USA-Trial-ITD-Trial PayGo Lookalike-AZR-AZR»1 x 1»SocialBan»CAN»ALL»CPA»LAL»X»NA»SS»NA»IGCTCBasicMotion»PRC2G0</v></cell><cell r="D2126" t="str"><v>43296224106891</v></cell><cell r="E2126" t="str"><v>43296103037974PRC2G0</v></cell><cell r="F2126" t="str"><v>DCM</v></cell><cell r="G2126" t="str"><v>https://azure.microsoft.com/en-us/pricing/purchase-options/?v=18.19&OCID=AID%eexcid!_OLA_%ebuy!_%epid!_%ecid!</v></cell></row><row r="2126"><cell r="K2126" t="str"><v>July</v></cell><cell r="L2126"><v>43302</v></cell><cell r="M2126" t="str"><v>Tier 0</v></cell><cell r="N2126" t="str"><v>North America</v></cell><cell r="O2126" t="str"><v>United States</v></cell><cell r="P2126" t="str"><v>Trial</v></cell><cell r="Q2126" t="str"><v>Social</v></cell><cell r="R2126" t="str"><v>Azure</v></cell><cell r="S2126" t="str"><v>Apps & Infra</v></cell><cell r="T2126" t="str"><v>Developers & ITI's</v></cell><cell r="U2126" t="str"><v>USA-Trial-ITD-Trial PayGo Lookalike-AZR-AZR</v></cell><cell r="V2126" t="str"><v>Lookalike Targeting</v></cell><cell r="W2126" t="str"><v>Canvas Ad</v></cell><cell r="X2126" t="str"><v>1x1</v></cell></row><row r="2126"><cell r="AA2126"><v>43296</v></cell><cell r="AB2126" t="str"><v>USA_gaPMG_AZR_AZR_Q1_19_Direct-Social</v></cell><cell r="AC2126"><v>21358715</v></cell><cell r="AD2126"><v>720197</v></cell><cell r="AE2126" t="str"><v>Facebook - Instagram</v></cell><cell r="AF2126"><v>3654128</v></cell><cell r="AG2126" t="str"><v>INSTAGRAM»USA-Trial-ITD-Trial PayGo Lookalike-AZR-AZR»1 x 1»SocialBan»CAN»ALL»CPA»LAL»X»NA»SS»NA»IGCTCBasicMotion»PRC2G0</v></cell><cell r="AH2126"><v>224106891</v></cell><cell r="AI2126" t="str"><v>AzurePlatform_IGCTCBasicMotion_USA_10s_CAN_PLATFORM_English_Trial_Standard_STAN_TIN_T1_2</v></cell><cell r="AJ2126"><v>103037974</v></cell></row><row r="2127"><cell r="C2127" t="str"><v>43296INSTAGRAM»USA-Trial-ITD-Trial PayGo Lookalike-AZR-AZR»1 x 1»SocialBan»CAN»ALL»CPA»LAL»X»NA»SS»NA»IGCTCBenefitinMotion»PRC2FX</v></cell><cell r="D2127" t="str"><v>43296223933999</v></cell><cell r="E2127" t="str"><v>43296103050780PRC2FX</v></cell><cell r="F2127" t="str"><v>DCM</v></cell><cell r="G2127" t="str"><v>https://signup.azure.com/?OCID=AID%eexcid!_OLA_%ebuy!_%epid!_%ecid!</v></cell></row><row r="2127"><cell r="K2127" t="str"><v>July</v></cell><cell r="L2127"><v>43302</v></cell><cell r="M2127" t="str"><v>Tier 0</v></cell><cell r="N2127" t="str"><v>North America</v></cell><cell r="O2127" t="str"><v>United States</v></cell><cell r="P2127" t="str"><v>Trial</v></cell><cell r="Q2127" t="str"><v>Social</v></cell><cell r="R2127" t="str"><v>Azure</v></cell><cell r="S2127" t="str"><v>Apps & Infra</v></cell><cell r="T2127" t="str"><v>Developers & ITI's</v></cell><cell r="U2127" t="str"><v>USA-Trial-ITD-Trial PayGo Lookalike-AZR-AZR</v></cell><cell r="V2127" t="str"><v>Lookalike Targeting</v></cell><cell r="W2127" t="str"><v>Canvas Ad</v></cell><cell r="X2127" t="str"><v>1x1</v></cell></row><row r="2127"><cell r="AA2127"><v>43296</v></cell><cell r="AB2127" t="str"><v>USA_gaPMG_AZR_AZR_Q1_19_Direct-Social</v></cell><cell r="AC2127"><v>21358715</v></cell><cell r="AD2127"><v>720197</v></cell><cell r="AE2127" t="str"><v>Facebook - Instagram</v></cell><cell r="AF2127"><v>3654128</v></cell><cell r="AG2127" t="str"><v>INSTAGRAM»USA-Trial-ITD-Trial PayGo Lookalike-AZR-AZR»1 x 1»SocialBan»CAN»ALL»CPA»LAL»X»NA»SS»NA»IGCTCBenefitinMotion»PRC2FX</v></cell><cell r="AH2127"><v>223933999</v></cell><cell r="AI2127" t="str"><v>AzurePlatform_IGCTCBenefitinMotion_USA_10s_CAN_PLATFORM_English_Trial_Standard_STAN_TIN_T3_1</v></cell><cell r="AJ2127"><v>103050780</v></cell></row><row r="2128"><cell r="C2128" t="str"><v>43297Facebook»Audience & Interest Targeting»1x1»Canvas»OTH»DT»DYN»AUT»W»NA»SS»NA»FBCTCcanvaspage-StartFreeCTA_FBCTCcanvaspage-BuyNowCTA</v></cell><cell r="D2128" t="str"><v>43297224639151</v></cell><cell r="E2128" t="str"><v>43297103316832NowCTA</v></cell><cell r="F2128" t="str"><v>DCM</v></cell><cell r="G2128" t="str"><v>https://azure.microsoft.com/en-au/pricing/purchase-options/</v></cell></row><row r="2128"><cell r="K2128" t="str"><v>July</v></cell><cell r="L2128"><v>43302</v></cell><cell r="M2128" t="str"><v>Tier 1</v></cell><cell r="N2128" t="str"><v>APAC</v></cell><cell r="O2128" t="str"><v>Australia</v></cell><cell r="P2128" t="str"><v>Trial</v></cell><cell r="Q2128" t="str"><v>Social</v></cell><cell r="R2128" t="str"><v>Azure</v></cell><cell r="S2128" t="str"><v>Apps & Infra</v></cell><cell r="T2128" t="str"><v>Developers & ITI's</v></cell><cell r="U2128" t="str"><v>Audience & Interest Targeting</v></cell><cell r="V2128" t="str"><v>Audience Targeting</v></cell><cell r="W2128" t="str"><v>Other</v></cell><cell r="X2128" t="str"><v>1x1</v></cell></row><row r="2128"><cell r="AA2128"><v>43297</v></cell><cell r="AB2128" t="str"><v>AUS_gaPMG_AZR_AZR_Q1_19_Trial-Social</v></cell><cell r="AC2128"><v>21358568</v></cell><cell r="AD2128"><v>720191</v></cell><cell r="AE2128" t="str"><v>Facebook</v></cell><cell r="AF2128"><v>3654128</v></cell><cell r="AG2128" t="str"><v>Facebook»Audience & Interest Targeting»1x1»Canvas»OTH»DT»DYN»AUT»W»NA»SS»NA»FBCTCcanvaspage-StartFreeCTA_FBCTCcanvaspage-BuyNowCTA</v></cell><cell r="AH2128"><v>224639151</v></cell><cell r="AI2128" t="str"><v>AzurePlatform_FBCTCcanvaspage-BuyNowCTA-Img3_AUS_1080x162_SOC_Plat_English_NA_Standard_NA_BN_T3_1</v></cell><cell r="AJ2128"><v>103316832</v></cell></row><row r="2129"><cell r="C2129" t="str"><v>43297Facebook»Audience & Interest Targeting»1x1»Canvas»OTH»DT»DYN»AUT»W»NA»SS»NA»FBCTCcanvaspage-StartFreeCTA_FBCTCcanvaspage-BuyNowCTA</v></cell><cell r="D2129" t="str"><v>43297224639151</v></cell><cell r="E2129" t="str"><v>43297103316829NowCTA</v></cell><cell r="F2129" t="str"><v>DCM</v></cell><cell r="G2129" t="str"><v>https://signup.azure.com/signup?offer=ms-azr-0044p&appId=102&ref=paidmedia-social-fb&redirectURL=https%3a%2f%2fazure.microsoft.com%2fen-au%2fget-started%2fwelcome-to-azure%2f&l=en-au&correlationId=ead86c34-1f10-49dd-a72b-6918462a2cbf</v></cell></row><row r="2129"><cell r="K2129" t="str"><v>July</v></cell><cell r="L2129"><v>43302</v></cell><cell r="M2129" t="str"><v>Tier 1</v></cell><cell r="N2129" t="str"><v>APAC</v></cell><cell r="O2129" t="str"><v>Australia</v></cell><cell r="P2129" t="str"><v>Trial</v></cell><cell r="Q2129" t="str"><v>Social</v></cell><cell r="R2129" t="str"><v>Azure</v></cell><cell r="S2129" t="str"><v>Apps & Infra</v></cell><cell r="T2129" t="str"><v>Developers & ITI's</v></cell><cell r="U2129" t="str"><v>Audience & Interest Targeting</v></cell><cell r="V2129" t="str"><v>Audience Targeting</v></cell><cell r="W2129" t="str"><v>Other</v></cell><cell r="X2129" t="str"><v>1x1</v></cell></row><row r="2129"><cell r="AA2129"><v>43297</v></cell><cell r="AB2129" t="str"><v>AUS_gaPMG_AZR_AZR_Q1_19_Trial-Social</v></cell><cell r="AC2129"><v>21358568</v></cell><cell r="AD2129"><v>720191</v></cell><cell r="AE2129" t="str"><v>Facebook</v></cell><cell r="AF2129"><v>3654128</v></cell><cell r="AG2129" t="str"><v>Facebook»Audience & Interest Targeting»1x1»Canvas»OTH»DT»DYN»AUT»W»NA»SS»NA»FBCTCcanvaspage-StartFreeCTA_FBCTCcanvaspage-BuyNowCTA</v></cell><cell r="AH2129"><v>224639151</v></cell><cell r="AI2129" t="str"><v>AzurePlatform_FBCTCcanvaspage-StartFreeCTA-Img2_AUS_1080x143 _SOC_Plat_English_NA_Standard_NA_NA_T2_1</v></cell><cell r="AJ2129"><v>103316829</v></cell></row><row r="2130"><cell r="C2130" t="str"><v>43297Facebook»Audience & Interest Targeting»1x1»TextLink»OTH»DT»DYN»AUT»W»NA»SS»NA»Free Account Refresh- 12 months ChE</v></cell><cell r="D2130" t="str"><v>43297224160783</v></cell><cell r="E2130" t="str"><v>43297103051614hs ChE</v></cell><cell r="F2130" t="str"><v>DCM</v></cell></row><row r="2130"><cell r="K2130" t="str"><v>July</v></cell><cell r="L2130"><v>43302</v></cell><cell r="M2130" t="str"><v>Tier 1</v></cell><cell r="N2130" t="str"><v>APAC</v></cell><cell r="O2130" t="str"><v>Australia</v></cell><cell r="P2130" t="str"><v>Trial</v></cell><cell r="Q2130" t="str"><v>Social</v></cell><cell r="R2130" t="str"><v>Azure</v></cell><cell r="S2130" t="str"><v>Apps & Infra</v></cell><cell r="T2130" t="str"><v>Developers & ITI's</v></cell><cell r="U2130" t="str"><v>Audience & Interest Targeting</v></cell><cell r="V2130" t="str"><v>Audience Targeting</v></cell><cell r="W2130" t="str"><v>Other</v></cell><cell r="X2130" t="str"><v>1x1</v></cell></row><row r="2130"><cell r="AA2130"><v>43297</v></cell><cell r="AB2130" t="str"><v>AUS_gaPMG_AZR_AZR_Q1_19_Trial-Social</v></cell><cell r="AC2130"><v>21358568</v></cell><cell r="AD2130"><v>720191</v></cell><cell r="AE2130" t="str"><v>Facebook</v></cell><cell r="AF2130"><v>3654128</v></cell><cell r="AG2130" t="str"><v>Facebook»Audience & Interest Targeting»1x1»TextLink»OTH»DT»DYN»AUT»W»NA»SS»NA»Free Account Refresh- 12 months ChE</v></cell><cell r="AH2130"><v>224160783</v></cell><cell r="AI2130" t="str"><v>AzurePlatform_FreeAcctAppsFACEBOOK12monthsChE_AUS_1200x628_SOC_PLAT_EN_Trial_Standard_NA_SNU_T5_1</v></cell><cell r="AJ2130"><v>103051614</v></cell></row><row r="2131"><cell r="C2131" t="str"><v>43297Facebook»Audience & Interest Targeting»1x1»TextLink»OTH»DT»DYN»AUT»W»NA»SS»NA»Free Account Refresh- 200 Credit ChD</v></cell><cell r="D2131" t="str"><v>43297224160780</v></cell><cell r="E2131" t="str"><v>43297103186904it ChD</v></cell><cell r="F2131" t="str"><v>DCM</v></cell></row><row r="2131"><cell r="K2131" t="str"><v>July</v></cell><cell r="L2131"><v>43302</v></cell><cell r="M2131" t="str"><v>Tier 1</v></cell><cell r="N2131" t="str"><v>APAC</v></cell><cell r="O2131" t="str"><v>Australia</v></cell><cell r="P2131" t="str"><v>Trial</v></cell><cell r="Q2131" t="str"><v>Social</v></cell><cell r="R2131" t="str"><v>Azure</v></cell><cell r="S2131" t="str"><v>Apps & Infra</v></cell><cell r="T2131" t="str"><v>Developers & ITI's</v></cell><cell r="U2131" t="str"><v>Audience & Interest Targeting</v></cell><cell r="V2131" t="str"><v>Audience Targeting</v></cell><cell r="W2131" t="str"><v>Other</v></cell><cell r="X2131" t="str"><v>1x1</v></cell></row><row r="2131"><cell r="AA2131"><v>43297</v></cell><cell r="AB2131" t="str"><v>AUS_gaPMG_AZR_AZR_Q1_19_Trial-Social</v></cell><cell r="AC2131"><v>21358568</v></cell><cell r="AD2131"><v>720191</v></cell><cell r="AE2131" t="str"><v>Facebook</v></cell><cell r="AF2131"><v>3654128</v></cell><cell r="AG2131" t="str"><v>Facebook»Audience & Interest Targeting»1x1»TextLink»OTH»DT»DYN»AUT»W»NA»SS»NA»Free Account Refresh- 200 Credit ChD</v></cell><cell r="AH2131"><v>224160780</v></cell><cell r="AI2131" t="str"><v>AzurePlatform_FreeAcctAppsFACEBOOK200CreditChD_AUS_1200x628_SOC_PLAT_EN_Trial_Standard_NA_SNU_T4_1</v></cell><cell r="AJ2131"><v>103186904</v></cell></row><row r="2132"><cell r="C2132" t="str"><v>43297Facebook»Audience & Interest Targeting»1x1»TextLink»OTH»DT»DYN»AUT»W»NA»SS»NA»Free Account Refresh- Device ChB</v></cell><cell r="D2132" t="str"><v>43297224160777</v></cell><cell r="E2132" t="str"><v>43297103048479ce ChB</v></cell><cell r="F2132" t="str"><v>DCM</v></cell></row><row r="2132"><cell r="K2132" t="str"><v>July</v></cell><cell r="L2132"><v>43302</v></cell><cell r="M2132" t="str"><v>Tier 1</v></cell><cell r="N2132" t="str"><v>APAC</v></cell><cell r="O2132" t="str"><v>Australia</v></cell><cell r="P2132" t="str"><v>Trial</v></cell><cell r="Q2132" t="str"><v>Social</v></cell><cell r="R2132" t="str"><v>Azure</v></cell><cell r="S2132" t="str"><v>Apps & Infra</v></cell><cell r="T2132" t="str"><v>Developers & ITI's</v></cell><cell r="U2132" t="str"><v>Audience & Interest Targeting</v></cell><cell r="V2132" t="str"><v>Audience Targeting</v></cell><cell r="W2132" t="str"><v>Other</v></cell><cell r="X2132" t="str"><v>1x1</v></cell></row><row r="2132"><cell r="AA2132"><v>43297</v></cell><cell r="AB2132" t="str"><v>AUS_gaPMG_AZR_AZR_Q1_19_Trial-Social</v></cell><cell r="AC2132"><v>21358568</v></cell><cell r="AD2132"><v>720191</v></cell><cell r="AE2132" t="str"><v>Facebook</v></cell><cell r="AF2132"><v>3654128</v></cell><cell r="AG2132" t="str"><v>Facebook»Audience & Interest Targeting»1x1»TextLink»OTH»DT»DYN»AUT»W»NA»SS»NA»Free Account Refresh- Device ChB</v></cell><cell r="AH2132"><v>224160777</v></cell><cell r="AI2132" t="str"><v>AzurePlatform_FreeAcctAppsFACEBOOKDeviceChB_AUS_1200x628_SOC_PLAT_EN_Trial_Standard_NA_SNU_T2_1</v></cell><cell r="AJ2132"><v>103048479</v></cell></row><row r="2133"><cell r="C2133" t="str"><v>43297Facebook»Audience & Interest Targeting»1x1»TextLink»OTH»DT»DYN»AUT»W»NA»SS»NA»Free Account Refresh- Illustration ChC</v></cell><cell r="D2133" t="str"><v>43297224160774</v></cell><cell r="E2133" t="str"><v>43297103186910on ChC</v></cell><cell r="F2133" t="str"><v>DCM</v></cell></row><row r="2133"><cell r="K2133" t="str"><v>July</v></cell><cell r="L2133"><v>43302</v></cell><cell r="M2133" t="str"><v>Tier 1</v></cell><cell r="N2133" t="str"><v>APAC</v></cell><cell r="O2133" t="str"><v>Australia</v></cell><cell r="P2133" t="str"><v>Trial</v></cell><cell r="Q2133" t="str"><v>Social</v></cell><cell r="R2133" t="str"><v>Azure</v></cell><cell r="S2133" t="str"><v>Apps & Infra</v></cell><cell r="T2133" t="str"><v>Developers & ITI's</v></cell><cell r="U2133" t="str"><v>Audience & Interest Targeting</v></cell><cell r="V2133" t="str"><v>Audience Targeting</v></cell><cell r="W2133" t="str"><v>Other</v></cell><cell r="X2133" t="str"><v>1x1</v></cell></row><row r="2133"><cell r="AA2133"><v>43297</v></cell><cell r="AB2133" t="str"><v>AUS_gaPMG_AZR_AZR_Q1_19_Trial-Social</v></cell><cell r="AC2133"><v>21358568</v></cell><cell r="AD2133"><v>720191</v></cell><cell r="AE2133" t="str"><v>Facebook</v></cell><cell r="AF2133"><v>3654128</v></cell><cell r="AG2133" t="str"><v>Facebook»Audience & Interest Targeting»1x1»TextLink»OTH»DT»DYN»AUT»W»NA»SS»NA»Free Account Refresh- Illustration ChC</v></cell><cell r="AH2133"><v>224160774</v></cell><cell r="AI2133" t="str"><v>AzurePlatform_FreeAcctAppsFACEBOOKIllustrationChC_AUS_1200x628_SOC_PLAT_EN_Trial_Standard_NA_SNU_T3_1</v></cell><cell r="AJ2133"><v>103186910</v></cell></row><row r="2134"><cell r="C2134" t="str"><v>43297Facebook»Audience & Interest Targeting»1x1»TextLink»OTH»DT»DYN»AUT»W»NA»SS»NA»Free Account Refresh- Lifestyle ChA</v></cell><cell r="D2134" t="str"><v>43297224160771</v></cell><cell r="E2134" t="str"><v>43297103048488le ChA</v></cell><cell r="F2134" t="str"><v>DCM</v></cell></row><row r="2134"><cell r="K2134" t="str"><v>July</v></cell><cell r="L2134"><v>43302</v></cell><cell r="M2134" t="str"><v>Tier 1</v></cell><cell r="N2134" t="str"><v>APAC</v></cell><cell r="O2134" t="str"><v>Australia</v></cell><cell r="P2134" t="str"><v>Trial</v></cell><cell r="Q2134" t="str"><v>Social</v></cell><cell r="R2134" t="str"><v>Azure</v></cell><cell r="S2134" t="str"><v>Apps & Infra</v></cell><cell r="T2134" t="str"><v>Developers & ITI's</v></cell><cell r="U2134" t="str"><v>Audience & Interest Targeting</v></cell><cell r="V2134" t="str"><v>Audience Targeting</v></cell><cell r="W2134" t="str"><v>Other</v></cell><cell r="X2134" t="str"><v>1x1</v></cell></row><row r="2134"><cell r="AA2134"><v>43297</v></cell><cell r="AB2134" t="str"><v>AUS_gaPMG_AZR_AZR_Q1_19_Trial-Social</v></cell><cell r="AC2134"><v>21358568</v></cell><cell r="AD2134"><v>720191</v></cell><cell r="AE2134" t="str"><v>Facebook</v></cell><cell r="AF2134"><v>3654128</v></cell><cell r="AG2134" t="str"><v>Facebook»Audience & Interest Targeting»1x1»TextLink»OTH»DT»DYN»AUT»W»NA»SS»NA»Free Account Refresh- Lifestyle ChA</v></cell><cell r="AH2134"><v>224160771</v></cell><cell r="AI2134" t="str"><v>AzurePlatform_FreeAcctAppsFACEBOOKLifestyleChA_AUS_1200x628_SOC_PLAT_EN_Trial_Standard_NA_SNU_T1_1</v></cell><cell r="AJ2134"><v>103048488</v></cell></row><row r="2135"><cell r="C2135" t="str"><v>43297Facebook»AZR»1x1»NA»EGV»ALL»DYN»AUT»D»All»SS»NA»Free Acc CTC - T1 - EN</v></cell><cell r="D2135" t="str"><v>43297223684451</v></cell><cell r="E2135" t="str"><v>432971029018821 - EN</v></cell><cell r="F2135" t="str"><v>DCM</v></cell><cell r="G2135" t="str"><v>https://signup.azure.com/</v></cell></row><row r="2135"><cell r="K2135" t="str"><v>July</v></cell><cell r="L2135"><v>43302</v></cell><cell r="M2135" t="str"><v>Tier 1</v></cell><cell r="N2135" t="str"><v>North America</v></cell><cell r="O2135" t="str"><v>Canada</v></cell><cell r="P2135" t="str"><v>Trial</v></cell><cell r="Q2135" t="str"><v>Social</v></cell><cell r="R2135" t="str"><v>Azure</v></cell><cell r="S2135" t="str"><v>Apps & Infra</v></cell><cell r="T2135" t="str"><v>Developers & ITI's</v></cell><cell r="U2135" t="str"><v>AZR</v></cell><cell r="V2135" t="str"><v>Audience Targeting</v></cell><cell r="W2135" t="str"><v>Engagement Video</v></cell><cell r="X2135" t="str"><v>1x1</v></cell></row><row r="2135"><cell r="AA2135"><v>43297</v></cell><cell r="AB2135" t="str"><v>CAN_gaPMG_AZR_AZR_Q1_19_Trial-Social</v></cell><cell r="AC2135"><v>21337220</v></cell><cell r="AD2135"><v>720192</v></cell><cell r="AE2135" t="str"><v>Facebook</v></cell><cell r="AF2135"><v>3654128</v></cell><cell r="AG2135" t="str"><v>Facebook»AZR»1x1»NA»EGV»ALL»DYN»AUT»D»All»SS»NA»Free Acc CTC - T1 - EN</v></cell><cell r="AH2135"><v>223684451</v></cell><cell r="AI2135" t="str"><v>AzurePlatform_FBCTCBasicMotion_CAN_10s_ISV_PLAT_English_Trial_Standard_STAN_TN_T1_1</v></cell><cell r="AJ2135"><v>102901882</v></cell></row><row r="2136"><cell r="C2136" t="str"><v>43297Facebook»AZR»1x1»NA»EGV»ALL»DYN»AUT»D»All»SS»NA»Free Acc CTC - T1 - FR</v></cell><cell r="D2136" t="str"><v>43297223691801</v></cell><cell r="E2136" t="str"><v>432971030533231 - FR</v></cell><cell r="F2136" t="str"><v>DCM</v></cell><cell r="G2136" t="str"><v>https://signup.azure.com/</v></cell></row><row r="2136"><cell r="K2136" t="str"><v>July</v></cell><cell r="L2136"><v>43302</v></cell><cell r="M2136" t="str"><v>Tier 1</v></cell><cell r="N2136" t="str"><v>North America</v></cell><cell r="O2136" t="str"><v>Canada</v></cell><cell r="P2136" t="str"><v>Trial</v></cell><cell r="Q2136" t="str"><v>Social</v></cell><cell r="R2136" t="str"><v>Azure</v></cell><cell r="S2136" t="str"><v>Apps & Infra</v></cell><cell r="T2136" t="str"><v>Developers & ITI's</v></cell><cell r="U2136" t="str"><v>AZR</v></cell><cell r="V2136" t="str"><v>Audience Targeting</v></cell><cell r="W2136" t="str"><v>Engagement Video</v></cell><cell r="X2136" t="str"><v>1x1</v></cell></row><row r="2136"><cell r="AA2136"><v>43297</v></cell><cell r="AB2136" t="str"><v>CAN_gaPMG_AZR_AZR_Q1_19_Trial-Social</v></cell><cell r="AC2136"><v>21337220</v></cell><cell r="AD2136"><v>720192</v></cell><cell r="AE2136" t="str"><v>Facebook</v></cell><cell r="AF2136"><v>3654128</v></cell><cell r="AG2136" t="str"><v>Facebook»AZR»1x1»NA»EGV»ALL»DYN»AUT»D»All»SS»NA»Free Acc CTC - T1 - FR</v></cell><cell r="AH2136"><v>223691801</v></cell><cell r="AI2136" t="str"><v>AzurePlatform_FBCTCBasicMotion_CAN_10s_ISV_PLAT_FR_Trial_Standard_STAN_TN_T1_1</v></cell><cell r="AJ2136"><v>103053323</v></cell></row><row r="2137"><cell r="C2137" t="str"><v>43297Facebook»AZR»1x1»NA»EGV»ALL»DYN»AUT»D»All»SS»NA»Free Acc CTC - T2 - EN</v></cell><cell r="D2137" t="str"><v>43297223691840</v></cell><cell r="E2137" t="str"><v>432971029029502 - EN</v></cell><cell r="F2137" t="str"><v>DCM</v></cell><cell r="G2137" t="str"><v>https://signup.azure.com/</v></cell></row><row r="2137"><cell r="K2137" t="str"><v>July</v></cell><cell r="L2137"><v>43302</v></cell><cell r="M2137" t="str"><v>Tier 1</v></cell><cell r="N2137" t="str"><v>North America</v></cell><cell r="O2137" t="str"><v>Canada</v></cell><cell r="P2137" t="str"><v>Trial</v></cell><cell r="Q2137" t="str"><v>Social</v></cell><cell r="R2137" t="str"><v>Azure</v></cell><cell r="S2137" t="str"><v>Apps & Infra</v></cell><cell r="T2137" t="str"><v>Developers & ITI's</v></cell><cell r="U2137" t="str"><v>AZR</v></cell><cell r="V2137" t="str"><v>Audience Targeting</v></cell><cell r="W2137" t="str"><v>Engagement Video</v></cell><cell r="X2137" t="str"><v>1x1</v></cell></row><row r="2137"><cell r="AA2137"><v>43297</v></cell><cell r="AB2137" t="str"><v>CAN_gaPMG_AZR_AZR_Q1_19_Trial-Social</v></cell><cell r="AC2137"><v>21337220</v></cell><cell r="AD2137"><v>720192</v></cell><cell r="AE2137" t="str"><v>Facebook</v></cell><cell r="AF2137"><v>3654128</v></cell><cell r="AG2137" t="str"><v>Facebook»AZR»1x1»NA»EGV»ALL»DYN»AUT»D»All»SS»NA»Free Acc CTC - T2 - EN</v></cell><cell r="AH2137"><v>223691840</v></cell><cell r="AI2137" t="str"><v>AzurePlatform_FBCTCBrandinMotion_CAN_12s_ISV_PLAT_English_Trial_Standard_STAN_TN_T2_1</v></cell><cell r="AJ2137"><v>102902950</v></cell></row><row r="2138"><cell r="C2138" t="str"><v>43297Facebook»AZR»1x1»NA»EGV»ALL»DYN»AUT»D»All»SS»NA»Free Acc CTC - T2 - FR</v></cell><cell r="D2138" t="str"><v>43297223691798</v></cell><cell r="E2138" t="str"><v>432971029163472 - FR</v></cell><cell r="F2138" t="str"><v>DCM</v></cell><cell r="G2138" t="str"><v>https://signup.azure.com/</v></cell></row><row r="2138"><cell r="K2138" t="str"><v>July</v></cell><cell r="L2138"><v>43302</v></cell><cell r="M2138" t="str"><v>Tier 1</v></cell><cell r="N2138" t="str"><v>North America</v></cell><cell r="O2138" t="str"><v>Canada</v></cell><cell r="P2138" t="str"><v>Trial</v></cell><cell r="Q2138" t="str"><v>Social</v></cell><cell r="R2138" t="str"><v>Azure</v></cell><cell r="S2138" t="str"><v>Apps & Infra</v></cell><cell r="T2138" t="str"><v>Developers & ITI's</v></cell><cell r="U2138" t="str"><v>AZR</v></cell><cell r="V2138" t="str"><v>Audience Targeting</v></cell><cell r="W2138" t="str"><v>Engagement Video</v></cell><cell r="X2138" t="str"><v>1x1</v></cell></row><row r="2138"><cell r="AA2138"><v>43297</v></cell><cell r="AB2138" t="str"><v>CAN_gaPMG_AZR_AZR_Q1_19_Trial-Social</v></cell><cell r="AC2138"><v>21337220</v></cell><cell r="AD2138"><v>720192</v></cell><cell r="AE2138" t="str"><v>Facebook</v></cell><cell r="AF2138"><v>3654128</v></cell><cell r="AG2138" t="str"><v>Facebook»AZR»1x1»NA»EGV»ALL»DYN»AUT»D»All»SS»NA»Free Acc CTC - T2 - FR</v></cell><cell r="AH2138"><v>223691798</v></cell><cell r="AI2138" t="str"><v>AzurePlatform_FBCTCBrandinMotion_CAN_12s_ISV_PLAT_FR_Trial_Standard_STAN_TN_T2_1</v></cell><cell r="AJ2138"><v>102916347</v></cell></row><row r="2139"><cell r="C2139" t="str"><v>43297Facebook»AZR»1x1»NA»EGV»ALL»DYN»AUT»D»All»SS»NA»Free Acc CTC - T4 - EN</v></cell><cell r="D2139" t="str"><v>43297223691837</v></cell><cell r="E2139" t="str"><v>432971030533144 - EN</v></cell><cell r="F2139" t="str"><v>DCM</v></cell><cell r="G2139" t="str"><v>https://signup.azure.com/</v></cell></row><row r="2139"><cell r="K2139" t="str"><v>July</v></cell><cell r="L2139"><v>43302</v></cell><cell r="M2139" t="str"><v>Tier 1</v></cell><cell r="N2139" t="str"><v>North America</v></cell><cell r="O2139" t="str"><v>Canada</v></cell><cell r="P2139" t="str"><v>Trial</v></cell><cell r="Q2139" t="str"><v>Social</v></cell><cell r="R2139" t="str"><v>Azure</v></cell><cell r="S2139" t="str"><v>Apps & Infra</v></cell><cell r="T2139" t="str"><v>Developers & ITI's</v></cell><cell r="U2139" t="str"><v>AZR</v></cell><cell r="V2139" t="str"><v>Audience Targeting</v></cell><cell r="W2139" t="str"><v>Engagement Video</v></cell><cell r="X2139" t="str"><v>1x1</v></cell></row><row r="2139"><cell r="AA2139"><v>43297</v></cell><cell r="AB2139" t="str"><v>CAN_gaPMG_AZR_AZR_Q1_19_Trial-Social</v></cell><cell r="AC2139"><v>21337220</v></cell><cell r="AD2139"><v>720192</v></cell><cell r="AE2139" t="str"><v>Facebook</v></cell><cell r="AF2139"><v>3654128</v></cell><cell r="AG2139" t="str"><v>Facebook»AZR»1x1»NA»EGV»ALL»DYN»AUT»D»All»SS»NA»Free Acc CTC - T4 - EN</v></cell><cell r="AH2139"><v>223691837</v></cell><cell r="AI2139" t="str"><v>AzurePlatform_FBCTCBenefit2inMotion_CAN_14s_ISV_PLAT_English_Trial_Standard_STAN_TN_T4_1</v></cell><cell r="AJ2139"><v>103053314</v></cell></row><row r="2140"><cell r="C2140" t="str"><v>43297Facebook»AZR»1x1»NA»EGV»ALL»DYN»AUT»D»All»SS»NA»Free Acc CTC - T4 - FR</v></cell><cell r="D2140" t="str"><v>43297223691795</v></cell><cell r="E2140" t="str"><v>432971029006884 - FR</v></cell><cell r="F2140" t="str"><v>DCM</v></cell><cell r="G2140" t="str"><v>https://signup.azure.com/</v></cell></row><row r="2140"><cell r="K2140" t="str"><v>July</v></cell><cell r="L2140"><v>43302</v></cell><cell r="M2140" t="str"><v>Tier 1</v></cell><cell r="N2140" t="str"><v>North America</v></cell><cell r="O2140" t="str"><v>Canada</v></cell><cell r="P2140" t="str"><v>Trial</v></cell><cell r="Q2140" t="str"><v>Social</v></cell><cell r="R2140" t="str"><v>Azure</v></cell><cell r="S2140" t="str"><v>Apps & Infra</v></cell><cell r="T2140" t="str"><v>Developers & ITI's</v></cell><cell r="U2140" t="str"><v>AZR</v></cell><cell r="V2140" t="str"><v>Audience Targeting</v></cell><cell r="W2140" t="str"><v>Engagement Video</v></cell><cell r="X2140" t="str"><v>1x1</v></cell></row><row r="2140"><cell r="AA2140"><v>43297</v></cell><cell r="AB2140" t="str"><v>CAN_gaPMG_AZR_AZR_Q1_19_Trial-Social</v></cell><cell r="AC2140"><v>21337220</v></cell><cell r="AD2140"><v>720192</v></cell><cell r="AE2140" t="str"><v>Facebook</v></cell><cell r="AF2140"><v>3654128</v></cell><cell r="AG2140" t="str"><v>Facebook»AZR»1x1»NA»EGV»ALL»DYN»AUT»D»All»SS»NA»Free Acc CTC - T4 - FR</v></cell><cell r="AH2140"><v>223691795</v></cell><cell r="AI2140" t="str"><v>AzurePlatform_FBCTCBenefit2inMotion_CAN_14s_ISV_PLAT_FR_Trial_Standard_STAN_TN_T4_1</v></cell><cell r="AJ2140"><v>102900688</v></cell></row><row r="2141"><cell r="C2141" t="str"><v>43297Facebook»AZR»1x1»NA»SOC»ALL»DYN»PRO»D»All»SS»NA»Canvas - Buy Now - EN</v></cell><cell r="D2141" t="str"><v>43297225322327</v></cell><cell r="E2141" t="str"><v>43297103902287w - EN</v></cell><cell r="F2141" t="str"><v>DCM</v></cell><cell r="G2141" t="str"><v>https://azure.microsoft.com/en-ca/pricing/purchase-options/</v></cell></row><row r="2141"><cell r="K2141" t="str"><v>July</v></cell><cell r="L2141"><v>43302</v></cell><cell r="M2141" t="str"><v>Tier 1</v></cell><cell r="N2141" t="str"><v>North America</v></cell><cell r="O2141" t="str"><v>Canada</v></cell><cell r="P2141" t="str"><v>Trial</v></cell><cell r="Q2141" t="str"><v>Social</v></cell><cell r="R2141" t="str"><v>Azure</v></cell><cell r="S2141" t="str"><v>Apps & Infra</v></cell><cell r="T2141" t="str"><v>Developers & ITI's</v></cell><cell r="U2141" t="str"><v>AZR</v></cell><cell r="V2141" t="str"><v>Prospecting</v></cell><cell r="W2141" t="str"><v>Social</v></cell><cell r="X2141" t="str"><v>1x1</v></cell></row><row r="2141"><cell r="AA2141"><v>43297</v></cell><cell r="AB2141" t="str"><v>CAN_gaPMG_AZR_AZR_Q1_19_Trial-Social</v></cell><cell r="AC2141"><v>21337220</v></cell><cell r="AD2141"><v>720192</v></cell><cell r="AE2141" t="str"><v>Facebook</v></cell><cell r="AF2141"><v>3654128</v></cell><cell r="AG2141" t="str"><v>Facebook»AZR»1x1»NA»SOC»ALL»DYN»PRO»D»All»SS»NA»Canvas - Buy Now - EN</v></cell><cell r="AH2141"><v>225322327</v></cell><cell r="AI2141" t="str"><v>AzurePlatform_FBCTCcanvaspage-BuyNowCTA-Img3_CAN_1080x162_SOC_Plat_English_NA_Standard_NA_BN_T3_1</v></cell><cell r="AJ2141"><v>103902287</v></cell></row><row r="2142"><cell r="C2142" t="str"><v>43297Facebook»AZR»1x1»NA»SOC»ALL»DYN»PRO»D»All»SS»NA»Canvas - Buy Now - FR</v></cell><cell r="D2142" t="str"><v>43297225322324</v></cell><cell r="E2142" t="str"><v>43297103789915w - FR</v></cell><cell r="F2142" t="str"><v>DCM</v></cell><cell r="G2142" t="str"><v>https://azure.microsoft.com/fr-ca/pricing/purchase-options/</v></cell></row><row r="2142"><cell r="K2142" t="str"><v>July</v></cell><cell r="L2142"><v>43302</v></cell><cell r="M2142" t="str"><v>Tier 1</v></cell><cell r="N2142" t="str"><v>North America</v></cell><cell r="O2142" t="str"><v>Canada</v></cell><cell r="P2142" t="str"><v>Trial</v></cell><cell r="Q2142" t="str"><v>Social</v></cell><cell r="R2142" t="str"><v>Azure</v></cell><cell r="S2142" t="str"><v>Apps & Infra</v></cell><cell r="T2142" t="str"><v>Developers & ITI's</v></cell><cell r="U2142" t="str"><v>AZR</v></cell><cell r="V2142" t="str"><v>Prospecting</v></cell><cell r="W2142" t="str"><v>Social</v></cell><cell r="X2142" t="str"><v>1x1</v></cell></row><row r="2142"><cell r="AA2142"><v>43297</v></cell><cell r="AB2142" t="str"><v>CAN_gaPMG_AZR_AZR_Q1_19_Trial-Social</v></cell><cell r="AC2142"><v>21337220</v></cell><cell r="AD2142"><v>720192</v></cell><cell r="AE2142" t="str"><v>Facebook</v></cell><cell r="AF2142"><v>3654128</v></cell><cell r="AG2142" t="str"><v>Facebook»AZR»1x1»NA»SOC»ALL»DYN»PRO»D»All»SS»NA»Canvas - Buy Now - FR</v></cell><cell r="AH2142"><v>225322324</v></cell><cell r="AI2142" t="str"><v>AzurePlatform_FBCTCcanvaspage-BuyNowCTA-Img3_CAN_1080x162_SOC_Plat_French_NA_Standard_NA_BN_T3_1</v></cell><cell r="AJ2142"><v>103789915</v></cell></row><row r="2143"><cell r="C2143" t="str"><v>43297Facebook»AZR»1x1»NA»SOC»ALL»DYN»PRO»D»All»SS»NA»Canvas - Start Free - EN</v></cell><cell r="D2143" t="str"><v>43297225252365</v></cell><cell r="E2143" t="str"><v>43297103807590e - EN</v></cell><cell r="F2143" t="str"><v>DCM</v></cell><cell r="G2143" t="str"><v>https://signup.azure.com/signup?offer=ms-azr-0044p&appId=102&ref=paidmedia-social-fb&redirectURL=https%3a%2f%2fazure.microsoft.com%2fen-ca%2fget-started%2fwelcome-to-azure%2f&l=en-ca&correlationId=ead86c34-1f10-49dd-a72b-6918462a2cbf</v></cell></row><row r="2143"><cell r="K2143" t="str"><v>July</v></cell><cell r="L2143"><v>43302</v></cell><cell r="M2143" t="str"><v>Tier 1</v></cell><cell r="N2143" t="str"><v>North America</v></cell><cell r="O2143" t="str"><v>Canada</v></cell><cell r="P2143" t="str"><v>Trial</v></cell><cell r="Q2143" t="str"><v>Social</v></cell><cell r="R2143" t="str"><v>Azure</v></cell><cell r="S2143" t="str"><v>Apps & Infra</v></cell><cell r="T2143" t="str"><v>Developers & ITI's</v></cell><cell r="U2143" t="str"><v>AZR</v></cell><cell r="V2143" t="str"><v>Prospecting</v></cell><cell r="W2143" t="str"><v>Social</v></cell><cell r="X2143" t="str"><v>1x1</v></cell></row><row r="2143"><cell r="AA2143"><v>43297</v></cell><cell r="AB2143" t="str"><v>CAN_gaPMG_AZR_AZR_Q1_19_Trial-Social</v></cell><cell r="AC2143"><v>21337220</v></cell><cell r="AD2143"><v>720192</v></cell><cell r="AE2143" t="str"><v>Facebook</v></cell><cell r="AF2143"><v>3654128</v></cell><cell r="AG2143" t="str"><v>Facebook»AZR»1x1»NA»SOC»ALL»DYN»PRO»D»All»SS»NA»Canvas - Start Free - EN</v></cell><cell r="AH2143"><v>225252365</v></cell><cell r="AI2143" t="str"><v>AzurePlatform_FBCTCcanvaspage-StartFreeCTA-Img2_CAN_1080x143 _SOC_Plat_English_NA_Standard_NA_NA_T2_1</v></cell><cell r="AJ2143"><v>103807590</v></cell></row><row r="2144"><cell r="C2144" t="str"><v>43297Facebook»AZR»1x1»NA»SOC»ALL»DYN»PRO»D»All»SS»NA»Canvas - Start Free - FR</v></cell><cell r="D2144" t="str"><v>43297225525936</v></cell><cell r="E2144" t="str"><v>43297103902551e - FR</v></cell><cell r="F2144" t="str"><v>DCM</v></cell><cell r="G2144" t="str"><v>https://signup.azure.com/signup?offer=ms-azr-0044p&appId=102&ref=paidmedia-social-fb&redirectURL=https%3a%2f%2fazure.microsoft.com%2ffr-ca%2fget-started%2fwelcome-to-azure%2f&l=fr-ca&correlationId=ead86c34-1f10-49dd-a72b-6918462a2cbf</v></cell></row><row r="2144"><cell r="K2144" t="str"><v>July</v></cell><cell r="L2144"><v>43302</v></cell><cell r="M2144" t="str"><v>Tier 1</v></cell><cell r="N2144" t="str"><v>North America</v></cell><cell r="O2144" t="str"><v>Canada</v></cell><cell r="P2144" t="str"><v>Trial</v></cell><cell r="Q2144" t="str"><v>Social</v></cell><cell r="R2144" t="str"><v>Azure</v></cell><cell r="S2144" t="str"><v>Apps & Infra</v></cell><cell r="T2144" t="str"><v>Developers & ITI's</v></cell><cell r="U2144" t="str"><v>AZR</v></cell><cell r="V2144" t="str"><v>Prospecting</v></cell><cell r="W2144" t="str"><v>Social</v></cell><cell r="X2144" t="str"><v>1x1</v></cell></row><row r="2144"><cell r="AA2144"><v>43297</v></cell><cell r="AB2144" t="str"><v>CAN_gaPMG_AZR_AZR_Q1_19_Trial-Social</v></cell><cell r="AC2144"><v>21337220</v></cell><cell r="AD2144"><v>720192</v></cell><cell r="AE2144" t="str"><v>Facebook</v></cell><cell r="AF2144"><v>3654128</v></cell><cell r="AG2144" t="str"><v>Facebook»AZR»1x1»NA»SOC»ALL»DYN»PRO»D»All»SS»NA»Canvas - Start Free - FR</v></cell><cell r="AH2144"><v>225525936</v></cell><cell r="AI2144" t="str"><v>AzurePlatform_FBCTCcanvaspage-StartFreeCTA-Img2_CAN_1080x143 _SOC_Plat_French_NA_Standard_NA_NA_T2_1</v></cell><cell r="AJ2144"><v>103902551</v></cell></row><row r="2145"><cell r="C2145" t="str"><v>43297Facebook»AZR»1x1»SocialBan»NA»ALL»DYN»AUT»D»All»SS»NA»Free Acc Refresh - T1 - EN</v></cell><cell r="D2145" t="str"><v>43297223691804</v></cell><cell r="E2145" t="str"><v>432971030587171 - EN</v></cell><cell r="F2145" t="str"><v>DCM</v></cell><cell r="G2145" t="str"><v>https://azure.microsoft.com/en-CA/free/search/</v></cell></row><row r="2145"><cell r="K2145" t="str"><v>July</v></cell><cell r="L2145"><v>43302</v></cell><cell r="M2145" t="str"><v>Tier 1</v></cell><cell r="N2145" t="str"><v>North America</v></cell><cell r="O2145" t="str"><v>Canada</v></cell><cell r="P2145" t="str"><v>Trial</v></cell><cell r="Q2145" t="str"><v>Social</v></cell><cell r="R2145" t="str"><v>Azure</v></cell><cell r="S2145" t="str"><v>Apps & Infra</v></cell><cell r="T2145" t="str"><v>Developers & ITI's</v></cell><cell r="U2145" t="str"><v>AZR</v></cell><cell r="V2145" t="str"><v>Audience Targeting</v></cell><cell r="W2145" t="str"><v>NotApplicable</v></cell><cell r="X2145" t="str"><v>1x1</v></cell></row><row r="2145"><cell r="AA2145"><v>43297</v></cell><cell r="AB2145" t="str"><v>CAN_gaPMG_AZR_AZR_Q1_19_Trial-Social</v></cell><cell r="AC2145"><v>21337220</v></cell><cell r="AD2145"><v>720192</v></cell><cell r="AE2145" t="str"><v>Facebook</v></cell><cell r="AF2145"><v>3654128</v></cell><cell r="AG2145" t="str"><v>Facebook»AZR»1x1»SocialBan»NA»ALL»DYN»AUT»D»All»SS»NA»Free Acc Refresh - T1 - EN</v></cell><cell r="AH2145"><v>223691804</v></cell><cell r="AI2145" t="str"><v>AzurePlatform_FreeAcctAppsFACEBOOKLifestyleChA_CAN_1200x628_SOC_PLAT_EN_Trial_Standard_NA_SU_T1_1.png</v></cell><cell r="AJ2145"><v>103058717</v></cell></row><row r="2146"><cell r="C2146" t="str"><v>43297Facebook»AZR»1x1»SocialBan»NA»ALL»DYN»AUT»D»All»SS»NA»Free Acc Refresh - T1 - FR</v></cell><cell r="D2146" t="str"><v>43297223691762</v></cell><cell r="E2146" t="str"><v>432971029029741 - FR</v></cell><cell r="F2146" t="str"><v>DCM</v></cell><cell r="G2146" t="str"><v>https://azure.microsoft.com/fr-ca/free/search/</v></cell></row><row r="2146"><cell r="K2146" t="str"><v>July</v></cell><cell r="L2146"><v>43302</v></cell><cell r="M2146" t="str"><v>Tier 1</v></cell><cell r="N2146" t="str"><v>North America</v></cell><cell r="O2146" t="str"><v>Canada</v></cell><cell r="P2146" t="str"><v>Trial</v></cell><cell r="Q2146" t="str"><v>Social</v></cell><cell r="R2146" t="str"><v>Azure</v></cell><cell r="S2146" t="str"><v>Apps & Infra</v></cell><cell r="T2146" t="str"><v>Developers & ITI's</v></cell><cell r="U2146" t="str"><v>AZR</v></cell><cell r="V2146" t="str"><v>Audience Targeting</v></cell><cell r="W2146" t="str"><v>NotApplicable</v></cell><cell r="X2146" t="str"><v>1x1</v></cell></row><row r="2146"><cell r="AA2146"><v>43297</v></cell><cell r="AB2146" t="str"><v>CAN_gaPMG_AZR_AZR_Q1_19_Trial-Social</v></cell><cell r="AC2146"><v>21337220</v></cell><cell r="AD2146"><v>720192</v></cell><cell r="AE2146" t="str"><v>Facebook</v></cell><cell r="AF2146"><v>3654128</v></cell><cell r="AG2146" t="str"><v>Facebook»AZR»1x1»SocialBan»NA»ALL»DYN»AUT»D»All»SS»NA»Free Acc Refresh - T1 - FR</v></cell><cell r="AH2146"><v>223691762</v></cell><cell r="AI2146" t="str"><v>AzurePlatform_FreeAcctAppsFACEBOOKLifestyleChA_CAN_1200x628_SOC_PLAT_FR_Trial_Standard_NA_SU_T1_1.png</v></cell><cell r="AJ2146"><v>102902974</v></cell></row><row r="2147"><cell r="C2147" t="str"><v>43297Facebook»AZR»1x1»SocialBan»NA»ALL»DYN»AUT»D»All»SS»NA»Free Acc Refresh - T2 - EN</v></cell><cell r="D2147" t="str"><v>43297223691810</v></cell><cell r="E2147" t="str"><v>432971030587112 - EN</v></cell><cell r="F2147" t="str"><v>DCM</v></cell><cell r="G2147" t="str"><v>https://azure.microsoft.com/en-CA/free/search/</v></cell></row><row r="2147"><cell r="K2147" t="str"><v>July</v></cell><cell r="L2147"><v>43302</v></cell><cell r="M2147" t="str"><v>Tier 1</v></cell><cell r="N2147" t="str"><v>North America</v></cell><cell r="O2147" t="str"><v>Canada</v></cell><cell r="P2147" t="str"><v>Trial</v></cell><cell r="Q2147" t="str"><v>Social</v></cell><cell r="R2147" t="str"><v>Azure</v></cell><cell r="S2147" t="str"><v>Apps & Infra</v></cell><cell r="T2147" t="str"><v>Developers & ITI's</v></cell><cell r="U2147" t="str"><v>AZR</v></cell><cell r="V2147" t="str"><v>Audience Targeting</v></cell><cell r="W2147" t="str"><v>NotApplicable</v></cell><cell r="X2147" t="str"><v>1x1</v></cell></row><row r="2147"><cell r="AA2147"><v>43297</v></cell><cell r="AB2147" t="str"><v>CAN_gaPMG_AZR_AZR_Q1_19_Trial-Social</v></cell><cell r="AC2147"><v>21337220</v></cell><cell r="AD2147"><v>720192</v></cell><cell r="AE2147" t="str"><v>Facebook</v></cell><cell r="AF2147"><v>3654128</v></cell><cell r="AG2147" t="str"><v>Facebook»AZR»1x1»SocialBan»NA»ALL»DYN»AUT»D»All»SS»NA»Free Acc Refresh - T2 - EN</v></cell><cell r="AH2147"><v>223691810</v></cell><cell r="AI2147" t="str"><v>AzurePlatform_FreeAcctAppsFACEBOOKDeviceChB_CAN_1200x628_SOC_PLAT_EN_Trial_Standard_NA_SU_T2_1.png</v></cell><cell r="AJ2147"><v>103058711</v></cell></row><row r="2148"><cell r="C2148" t="str"><v>43297Facebook»AZR»1x1»SocialBan»NA»ALL»DYN»AUT»D»All»SS»NA»Free Acc Refresh - T2 - FR</v></cell><cell r="D2148" t="str"><v>43297223691768</v></cell><cell r="E2148" t="str"><v>432971029029712 - FR</v></cell><cell r="F2148" t="str"><v>DCM</v></cell><cell r="G2148" t="str"><v>https://azure.microsoft.com/fr-ca/free/search/</v></cell></row><row r="2148"><cell r="K2148" t="str"><v>July</v></cell><cell r="L2148"><v>43302</v></cell><cell r="M2148" t="str"><v>Tier 1</v></cell><cell r="N2148" t="str"><v>North America</v></cell><cell r="O2148" t="str"><v>Canada</v></cell><cell r="P2148" t="str"><v>Trial</v></cell><cell r="Q2148" t="str"><v>Social</v></cell><cell r="R2148" t="str"><v>Azure</v></cell><cell r="S2148" t="str"><v>Apps & Infra</v></cell><cell r="T2148" t="str"><v>Developers & ITI's</v></cell><cell r="U2148" t="str"><v>AZR</v></cell><cell r="V2148" t="str"><v>Audience Targeting</v></cell><cell r="W2148" t="str"><v>NotApplicable</v></cell><cell r="X2148" t="str"><v>1x1</v></cell></row><row r="2148"><cell r="AA2148"><v>43297</v></cell><cell r="AB2148" t="str"><v>CAN_gaPMG_AZR_AZR_Q1_19_Trial-Social</v></cell><cell r="AC2148"><v>21337220</v></cell><cell r="AD2148"><v>720192</v></cell><cell r="AE2148" t="str"><v>Facebook</v></cell><cell r="AF2148"><v>3654128</v></cell><cell r="AG2148" t="str"><v>Facebook»AZR»1x1»SocialBan»NA»ALL»DYN»AUT»D»All»SS»NA»Free Acc Refresh - T2 - FR</v></cell><cell r="AH2148"><v>223691768</v></cell><cell r="AI2148" t="str"><v>AzurePlatform_FreeAcctAppsFACEBOOKDeviceChB_CAN_1200x628_SOC_PLAT_FR_Trial_Standard_NA_SU_T2_1.png</v></cell><cell r="AJ2148"><v>102902971</v></cell></row><row r="2149"><cell r="C2149" t="str"><v>43297Facebook»AZR»1x1»SocialBan»NA»ALL»DYN»AUT»D»All»SS»NA»Free Acc Refresh - T3 - EN</v></cell><cell r="D2149" t="str"><v>43297223691807</v></cell><cell r="E2149" t="str"><v>432971029006853 - EN</v></cell><cell r="F2149" t="str"><v>DCM</v></cell><cell r="G2149" t="str"><v>https://azure.microsoft.com/en-CA/free/search/</v></cell></row><row r="2149"><cell r="K2149" t="str"><v>July</v></cell><cell r="L2149"><v>43302</v></cell><cell r="M2149" t="str"><v>Tier 1</v></cell><cell r="N2149" t="str"><v>North America</v></cell><cell r="O2149" t="str"><v>Canada</v></cell><cell r="P2149" t="str"><v>Trial</v></cell><cell r="Q2149" t="str"><v>Social</v></cell><cell r="R2149" t="str"><v>Azure</v></cell><cell r="S2149" t="str"><v>Apps & Infra</v></cell><cell r="T2149" t="str"><v>Developers & ITI's</v></cell><cell r="U2149" t="str"><v>AZR</v></cell><cell r="V2149" t="str"><v>Audience Targeting</v></cell><cell r="W2149" t="str"><v>NotApplicable</v></cell><cell r="X2149" t="str"><v>1x1</v></cell></row><row r="2149"><cell r="AA2149"><v>43297</v></cell><cell r="AB2149" t="str"><v>CAN_gaPMG_AZR_AZR_Q1_19_Trial-Social</v></cell><cell r="AC2149"><v>21337220</v></cell><cell r="AD2149"><v>720192</v></cell><cell r="AE2149" t="str"><v>Facebook</v></cell><cell r="AF2149"><v>3654128</v></cell><cell r="AG2149" t="str"><v>Facebook»AZR»1x1»SocialBan»NA»ALL»DYN»AUT»D»All»SS»NA»Free Acc Refresh - T3 - EN</v></cell><cell r="AH2149"><v>223691807</v></cell><cell r="AI2149" t="str"><v>AzurePlatform_FreeAcctAppsFACEBOOKIllustrationChC_CAN_1200x628_SOC_PLAT_EN_Trial_Standard_NA_SU_T3_1.png</v></cell><cell r="AJ2149"><v>102900685</v></cell></row><row r="2150"><cell r="C2150" t="str"><v>43297Facebook»AZR»1x1»SocialBan»NA»ALL»DYN»AUT»D»All»SS»NA»Free Acc Refresh - T3 - FR</v></cell><cell r="D2150" t="str"><v>43297223691765</v></cell><cell r="E2150" t="str"><v>432971030533323 - FR</v></cell><cell r="F2150" t="str"><v>DCM</v></cell><cell r="G2150" t="str"><v>https://azure.microsoft.com/fr-ca/free/search/</v></cell></row><row r="2150"><cell r="K2150" t="str"><v>July</v></cell><cell r="L2150"><v>43302</v></cell><cell r="M2150" t="str"><v>Tier 1</v></cell><cell r="N2150" t="str"><v>North America</v></cell><cell r="O2150" t="str"><v>Canada</v></cell><cell r="P2150" t="str"><v>Trial</v></cell><cell r="Q2150" t="str"><v>Social</v></cell><cell r="R2150" t="str"><v>Azure</v></cell><cell r="S2150" t="str"><v>Apps & Infra</v></cell><cell r="T2150" t="str"><v>Developers & ITI's</v></cell><cell r="U2150" t="str"><v>AZR</v></cell><cell r="V2150" t="str"><v>Audience Targeting</v></cell><cell r="W2150" t="str"><v>NotApplicable</v></cell><cell r="X2150" t="str"><v>1x1</v></cell></row><row r="2150"><cell r="AA2150"><v>43297</v></cell><cell r="AB2150" t="str"><v>CAN_gaPMG_AZR_AZR_Q1_19_Trial-Social</v></cell><cell r="AC2150"><v>21337220</v></cell><cell r="AD2150"><v>720192</v></cell><cell r="AE2150" t="str"><v>Facebook</v></cell><cell r="AF2150"><v>3654128</v></cell><cell r="AG2150" t="str"><v>Facebook»AZR»1x1»SocialBan»NA»ALL»DYN»AUT»D»All»SS»NA»Free Acc Refresh - T3 - FR</v></cell><cell r="AH2150"><v>223691765</v></cell><cell r="AI2150" t="str"><v>AzurePlatform_FreeAcctAppsFACEBOOKIllustrationChC_CAN_1200x628_SOC_PLAT_FR_Trial_Standard_NA_SU_T3_1.png</v></cell><cell r="AJ2150"><v>103053332</v></cell></row><row r="2151"><cell r="C2151" t="str"><v>43297Facebook»AZR»1x1»SocialBan»NA»ALL»DYN»AUT»D»All»SS»NA»Free Acc Refresh - T4 - EN</v></cell><cell r="D2151" t="str"><v>43297223691813</v></cell><cell r="E2151" t="str"><v>432971030533204 - EN</v></cell><cell r="F2151" t="str"><v>DCM</v></cell><cell r="G2151" t="str"><v>https://azure.microsoft.com/en-CA/free/search/</v></cell></row><row r="2151"><cell r="K2151" t="str"><v>July</v></cell><cell r="L2151"><v>43302</v></cell><cell r="M2151" t="str"><v>Tier 1</v></cell><cell r="N2151" t="str"><v>North America</v></cell><cell r="O2151" t="str"><v>Canada</v></cell><cell r="P2151" t="str"><v>Trial</v></cell><cell r="Q2151" t="str"><v>Social</v></cell><cell r="R2151" t="str"><v>Azure</v></cell><cell r="S2151" t="str"><v>Apps & Infra</v></cell><cell r="T2151" t="str"><v>Developers & ITI's</v></cell><cell r="U2151" t="str"><v>AZR</v></cell><cell r="V2151" t="str"><v>Audience Targeting</v></cell><cell r="W2151" t="str"><v>NotApplicable</v></cell><cell r="X2151" t="str"><v>1x1</v></cell></row><row r="2151"><cell r="AA2151"><v>43297</v></cell><cell r="AB2151" t="str"><v>CAN_gaPMG_AZR_AZR_Q1_19_Trial-Social</v></cell><cell r="AC2151"><v>21337220</v></cell><cell r="AD2151"><v>720192</v></cell><cell r="AE2151" t="str"><v>Facebook</v></cell><cell r="AF2151"><v>3654128</v></cell><cell r="AG2151" t="str"><v>Facebook»AZR»1x1»SocialBan»NA»ALL»DYN»AUT»D»All»SS»NA»Free Acc Refresh - T4 - EN</v></cell><cell r="AH2151"><v>223691813</v></cell><cell r="AI2151" t="str"><v>AzurePlatform_FreeAcctAppsFACEBOOK200CreditChD_CAN_1200x628_SOC_PLAT_EN_Trial_Standard_NA_SU_T4_1.png</v></cell><cell r="AJ2151"><v>103053320</v></cell></row><row r="2152"><cell r="C2152" t="str"><v>43297Facebook»AZR»1x1»SocialBan»NA»ALL»DYN»AUT»D»All»SS»NA»Free Acc Refresh - T4 - FR</v></cell><cell r="D2152" t="str"><v>43297223691771</v></cell><cell r="E2152" t="str"><v>432971029029684 - FR</v></cell><cell r="F2152" t="str"><v>DCM</v></cell><cell r="G2152" t="str"><v>https://azure.microsoft.com/fr-ca/free/search/</v></cell></row><row r="2152"><cell r="K2152" t="str"><v>July</v></cell><cell r="L2152"><v>43302</v></cell><cell r="M2152" t="str"><v>Tier 1</v></cell><cell r="N2152" t="str"><v>North America</v></cell><cell r="O2152" t="str"><v>Canada</v></cell><cell r="P2152" t="str"><v>Trial</v></cell><cell r="Q2152" t="str"><v>Social</v></cell><cell r="R2152" t="str"><v>Azure</v></cell><cell r="S2152" t="str"><v>Apps & Infra</v></cell><cell r="T2152" t="str"><v>Developers & ITI's</v></cell><cell r="U2152" t="str"><v>AZR</v></cell><cell r="V2152" t="str"><v>Audience Targeting</v></cell><cell r="W2152" t="str"><v>NotApplicable</v></cell><cell r="X2152" t="str"><v>1x1</v></cell></row><row r="2152"><cell r="AA2152"><v>43297</v></cell><cell r="AB2152" t="str"><v>CAN_gaPMG_AZR_AZR_Q1_19_Trial-Social</v></cell><cell r="AC2152"><v>21337220</v></cell><cell r="AD2152"><v>720192</v></cell><cell r="AE2152" t="str"><v>Facebook</v></cell><cell r="AF2152"><v>3654128</v></cell><cell r="AG2152" t="str"><v>Facebook»AZR»1x1»SocialBan»NA»ALL»DYN»AUT»D»All»SS»NA»Free Acc Refresh - T4 - FR</v></cell><cell r="AH2152"><v>223691771</v></cell><cell r="AI2152" t="str"><v>AzurePlatform_FreeAcctAppsFACEBOOK200CreditChD_CAN_1200x628_SOC_PLAT_FR_Trial_Standard_NA_SU_T4_1.png</v></cell><cell r="AJ2152"><v>102902968</v></cell></row><row r="2153"><cell r="C2153" t="str"><v>43297Facebook»AZR»1x1»SocialBan»NA»ALL»DYN»AUT»D»All»SS»NA»Free Acc Refresh - T5 - EN</v></cell><cell r="D2153" t="str"><v>43297223691816</v></cell><cell r="E2153" t="str"><v>432971029163415 - EN</v></cell><cell r="F2153" t="str"><v>DCM</v></cell><cell r="G2153" t="str"><v>https://azure.microsoft.com/en-CA/free/search/</v></cell></row><row r="2153"><cell r="K2153" t="str"><v>July</v></cell><cell r="L2153"><v>43302</v></cell><cell r="M2153" t="str"><v>Tier 1</v></cell><cell r="N2153" t="str"><v>North America</v></cell><cell r="O2153" t="str"><v>Canada</v></cell><cell r="P2153" t="str"><v>Trial</v></cell><cell r="Q2153" t="str"><v>Social</v></cell><cell r="R2153" t="str"><v>Azure</v></cell><cell r="S2153" t="str"><v>Apps & Infra</v></cell><cell r="T2153" t="str"><v>Developers & ITI's</v></cell><cell r="U2153" t="str"><v>AZR</v></cell><cell r="V2153" t="str"><v>Audience Targeting</v></cell><cell r="W2153" t="str"><v>NotApplicable</v></cell><cell r="X2153" t="str"><v>1x1</v></cell></row><row r="2153"><cell r="AA2153"><v>43297</v></cell><cell r="AB2153" t="str"><v>CAN_gaPMG_AZR_AZR_Q1_19_Trial-Social</v></cell><cell r="AC2153"><v>21337220</v></cell><cell r="AD2153"><v>720192</v></cell><cell r="AE2153" t="str"><v>Facebook</v></cell><cell r="AF2153"><v>3654128</v></cell><cell r="AG2153" t="str"><v>Facebook»AZR»1x1»SocialBan»NA»ALL»DYN»AUT»D»All»SS»NA»Free Acc Refresh - T5 - EN</v></cell><cell r="AH2153"><v>223691816</v></cell><cell r="AI2153" t="str"><v>AzurePlatform_FreeAcctAppsFACEBOOK12monthsChE_CAN_1200x628_SOC_PLAT_EN_Trial_Standard_NA_SU_T5_1.png</v></cell><cell r="AJ2153"><v>102916341</v></cell></row><row r="2154"><cell r="C2154" t="str"><v>43297Facebook»AZR»1x1»SocialBan»NA»ALL»DYN»AUT»D»All»SS»NA»Free Acc Refresh - T5 - FR</v></cell><cell r="D2154" t="str"><v>43297223691774</v></cell><cell r="E2154" t="str"><v>432971029163565 - FR</v></cell><cell r="F2154" t="str"><v>DCM</v></cell><cell r="G2154" t="str"><v>https://azure.microsoft.com/fr-ca/free/search/</v></cell></row><row r="2154"><cell r="K2154" t="str"><v>July</v></cell><cell r="L2154"><v>43302</v></cell><cell r="M2154" t="str"><v>Tier 1</v></cell><cell r="N2154" t="str"><v>North America</v></cell><cell r="O2154" t="str"><v>Canada</v></cell><cell r="P2154" t="str"><v>Trial</v></cell><cell r="Q2154" t="str"><v>Social</v></cell><cell r="R2154" t="str"><v>Azure</v></cell><cell r="S2154" t="str"><v>Apps & Infra</v></cell><cell r="T2154" t="str"><v>Developers & ITI's</v></cell><cell r="U2154" t="str"><v>AZR</v></cell><cell r="V2154" t="str"><v>Audience Targeting</v></cell><cell r="W2154" t="str"><v>NotApplicable</v></cell><cell r="X2154" t="str"><v>1x1</v></cell></row><row r="2154"><cell r="AA2154"><v>43297</v></cell><cell r="AB2154" t="str"><v>CAN_gaPMG_AZR_AZR_Q1_19_Trial-Social</v></cell><cell r="AC2154"><v>21337220</v></cell><cell r="AD2154"><v>720192</v></cell><cell r="AE2154" t="str"><v>Facebook</v></cell><cell r="AF2154"><v>3654128</v></cell><cell r="AG2154" t="str"><v>Facebook»AZR»1x1»SocialBan»NA»ALL»DYN»AUT»D»All»SS»NA»Free Acc Refresh - T5 - FR</v></cell><cell r="AH2154"><v>223691774</v></cell><cell r="AI2154" t="str"><v>AzurePlatform_FreeAcctAppsFACEBOOK12monthsChE_CAN_1200x628_SOC_PLAT_FR_Trial_Standard_NA_SU_T5_1.png</v></cell><cell r="AJ2154"><v>102916356</v></cell></row><row r="2155"><cell r="C2155" t="str"><v>43297Facebook»AZR»1x1»SocialBan»NA»ALL»DYN»RT»D»All»SS»NA» Free Account Retargeting OSS - T1 - EN</v></cell><cell r="D2155" t="str"><v>43297223691828</v></cell><cell r="E2155" t="str"><v>432971029029561 - EN</v></cell><cell r="F2155" t="str"><v>DCM</v></cell><cell r="G2155" t="str"><v>https://azure.microsoft.com/en-ca/free/open-source/search/</v></cell></row><row r="2155"><cell r="K2155" t="str"><v>July</v></cell><cell r="L2155"><v>43302</v></cell><cell r="M2155" t="str"><v>Tier 1</v></cell><cell r="N2155" t="str"><v>North America</v></cell><cell r="O2155" t="str"><v>Canada</v></cell><cell r="P2155" t="str"><v>Trial</v></cell><cell r="Q2155" t="str"><v>Social</v></cell><cell r="R2155" t="str"><v>Azure</v></cell><cell r="S2155" t="str"><v>Apps & Infra</v></cell><cell r="T2155" t="str"><v>Developers & ITI's</v></cell><cell r="U2155" t="str"><v>AZR</v></cell><cell r="V2155" t="str"><v>Retargeting</v></cell><cell r="W2155" t="str"><v>NotApplicable</v></cell><cell r="X2155" t="str"><v>1x1</v></cell></row><row r="2155"><cell r="AA2155"><v>43297</v></cell><cell r="AB2155" t="str"><v>CAN_gaPMG_AZR_AZR_Q1_19_Trial-Social</v></cell><cell r="AC2155"><v>21337220</v></cell><cell r="AD2155"><v>720192</v></cell><cell r="AE2155" t="str"><v>Facebook</v></cell><cell r="AF2155"><v>3654128</v></cell><cell r="AG2155" t="str"><v>Facebook»AZR»1x1»SocialBan»NA»ALL»DYN»RT»D»All»SS»NA» Free Account Retargeting OSS - T1 - EN</v></cell><cell r="AH2155"><v>223691828</v></cell><cell r="AI2155" t="str"><v>AzurePlatform_FreeAcctRetargetingOSSFB-Text-ChF_CAN_1200x628_SOC_Plat_EN_Free Account_Standard_NA_SU_T1_1</v></cell><cell r="AJ2155"><v>102902956</v></cell></row><row r="2156"><cell r="C2156" t="str"><v>43297Facebook»AZR»1x1»SocialBan»NA»ALL»DYN»RT»D»All»SS»NA» Free Account Retargeting OSS - T1 - FR</v></cell><cell r="D2156" t="str"><v>43297223691786</v></cell><cell r="E2156" t="str"><v>432971030587201 - FR</v></cell><cell r="F2156" t="str"><v>DCM</v></cell><cell r="G2156" t="str"><v>https://azure.microsoft.com/fr-ca/free/open-source/search/</v></cell></row><row r="2156"><cell r="K2156" t="str"><v>July</v></cell><cell r="L2156"><v>43302</v></cell><cell r="M2156" t="str"><v>Tier 1</v></cell><cell r="N2156" t="str"><v>North America</v></cell><cell r="O2156" t="str"><v>Canada</v></cell><cell r="P2156" t="str"><v>Trial</v></cell><cell r="Q2156" t="str"><v>Social</v></cell><cell r="R2156" t="str"><v>Azure</v></cell><cell r="S2156" t="str"><v>Apps & Infra</v></cell><cell r="T2156" t="str"><v>Developers & ITI's</v></cell><cell r="U2156" t="str"><v>AZR</v></cell><cell r="V2156" t="str"><v>Retargeting</v></cell><cell r="W2156" t="str"><v>NotApplicable</v></cell><cell r="X2156" t="str"><v>1x1</v></cell></row><row r="2156"><cell r="AA2156"><v>43297</v></cell><cell r="AB2156" t="str"><v>CAN_gaPMG_AZR_AZR_Q1_19_Trial-Social</v></cell><cell r="AC2156"><v>21337220</v></cell><cell r="AD2156"><v>720192</v></cell><cell r="AE2156" t="str"><v>Facebook</v></cell><cell r="AF2156"><v>3654128</v></cell><cell r="AG2156" t="str"><v>Facebook»AZR»1x1»SocialBan»NA»ALL»DYN»RT»D»All»SS»NA» Free Account Retargeting OSS - T1 - FR</v></cell><cell r="AH2156"><v>223691786</v></cell><cell r="AI2156" t="str"><v>AzurePlatform_FreeAcctRetargetingOSSFB-Text-ChF_CAN_1200x628_SOC_Plat_FR_Free Account_Standard_NA_SU_T1_1</v></cell><cell r="AJ2156"><v>103058720</v></cell></row><row r="2157"><cell r="C2157" t="str"><v>43297Facebook»AZR»1x1»SocialBan»NA»ALL»DYN»RT»D»All»SS»NA» Free Account Retargeting OSS - T2 - EN</v></cell><cell r="D2157" t="str"><v>43297223691831</v></cell><cell r="E2157" t="str"><v>432971029138002 - EN</v></cell><cell r="F2157" t="str"><v>DCM</v></cell><cell r="G2157" t="str"><v>https://azure.microsoft.com/en-ca/free/open-source/search/</v></cell></row><row r="2157"><cell r="K2157" t="str"><v>July</v></cell><cell r="L2157"><v>43302</v></cell><cell r="M2157" t="str"><v>Tier 1</v></cell><cell r="N2157" t="str"><v>North America</v></cell><cell r="O2157" t="str"><v>Canada</v></cell><cell r="P2157" t="str"><v>Trial</v></cell><cell r="Q2157" t="str"><v>Social</v></cell><cell r="R2157" t="str"><v>Azure</v></cell><cell r="S2157" t="str"><v>Apps & Infra</v></cell><cell r="T2157" t="str"><v>Developers & ITI's</v></cell><cell r="U2157" t="str"><v>AZR</v></cell><cell r="V2157" t="str"><v>Retargeting</v></cell><cell r="W2157" t="str"><v>NotApplicable</v></cell><cell r="X2157" t="str"><v>1x1</v></cell></row><row r="2157"><cell r="AA2157"><v>43297</v></cell><cell r="AB2157" t="str"><v>CAN_gaPMG_AZR_AZR_Q1_19_Trial-Social</v></cell><cell r="AC2157"><v>21337220</v></cell><cell r="AD2157"><v>720192</v></cell><cell r="AE2157" t="str"><v>Facebook</v></cell><cell r="AF2157"><v>3654128</v></cell><cell r="AG2157" t="str"><v>Facebook»AZR»1x1»SocialBan»NA»ALL»DYN»RT»D»All»SS»NA» Free Account Retargeting OSS - T2 - EN</v></cell><cell r="AH2157"><v>223691831</v></cell><cell r="AI2157" t="str"><v>AzurePlatform_FreeAcctRetargetingOSSFB-Logos-ChG_CAN_1200x628_SOC_Plat_EN_Free Account_Standard_NA_SU_T2_1</v></cell><cell r="AJ2157"><v>102913800</v></cell></row><row r="2158"><cell r="C2158" t="str"><v>43297Facebook»AZR»1x1»SocialBan»NA»ALL»DYN»RT»D»All»SS»NA»Free Account Retargeting Generic - T2 - EN</v></cell><cell r="D2158" t="str"><v>43297223691834</v></cell><cell r="E2158" t="str"><v>432971029029532 - EN</v></cell><cell r="F2158" t="str"><v>DCM</v></cell><cell r="G2158" t="str"><v>https://azure.microsoft.com/en-CA/free/search/</v></cell></row><row r="2158"><cell r="K2158" t="str"><v>July</v></cell><cell r="L2158"><v>43302</v></cell><cell r="M2158" t="str"><v>Tier 1</v></cell><cell r="N2158" t="str"><v>North America</v></cell><cell r="O2158" t="str"><v>Canada</v></cell><cell r="P2158" t="str"><v>Trial</v></cell><cell r="Q2158" t="str"><v>Social</v></cell><cell r="R2158" t="str"><v>Azure</v></cell><cell r="S2158" t="str"><v>Apps & Infra</v></cell><cell r="T2158" t="str"><v>Developers & ITI's</v></cell><cell r="U2158" t="str"><v>AZR</v></cell><cell r="V2158" t="str"><v>Retargeting</v></cell><cell r="W2158" t="str"><v>NotApplicable</v></cell><cell r="X2158" t="str"><v>1x1</v></cell></row><row r="2158"><cell r="AA2158"><v>43297</v></cell><cell r="AB2158" t="str"><v>CAN_gaPMG_AZR_AZR_Q1_19_Trial-Social</v></cell><cell r="AC2158"><v>21337220</v></cell><cell r="AD2158"><v>720192</v></cell><cell r="AE2158" t="str"><v>Facebook</v></cell><cell r="AF2158"><v>3654128</v></cell><cell r="AG2158" t="str"><v>Facebook»AZR»1x1»SocialBan»NA»ALL»DYN»RT»D»All»SS»NA»Free Account Retargeting Generic - T2 - EN</v></cell><cell r="AH2158"><v>223691834</v></cell><cell r="AI2158" t="str"><v>AzurePlatform_FreeAcctRetargetingFB-GlobalAlt-ChB_CAN_1200x628_SOC_Plat_EN_Free Account_Standard_NA_SU_T2_1</v></cell><cell r="AJ2158"><v>102902953</v></cell></row><row r="2159"><cell r="C2159" t="str"><v>43297Facebook»AZR»1x1»SocialBan»NA»ALL»DYN»RT»D»All»SS»NA»Free Account Retargeting Generic - T3 - EN</v></cell><cell r="D2159" t="str"><v>43297223691819</v></cell><cell r="E2159" t="str"><v>432971029006823 - EN</v></cell><cell r="F2159" t="str"><v>DCM</v></cell><cell r="G2159" t="str"><v>https://azure.microsoft.com/en-CA/free/search/</v></cell></row><row r="2159"><cell r="K2159" t="str"><v>July</v></cell><cell r="L2159"><v>43302</v></cell><cell r="M2159" t="str"><v>Tier 1</v></cell><cell r="N2159" t="str"><v>North America</v></cell><cell r="O2159" t="str"><v>Canada</v></cell><cell r="P2159" t="str"><v>Trial</v></cell><cell r="Q2159" t="str"><v>Social</v></cell><cell r="R2159" t="str"><v>Azure</v></cell><cell r="S2159" t="str"><v>Apps & Infra</v></cell><cell r="T2159" t="str"><v>Developers & ITI's</v></cell><cell r="U2159" t="str"><v>AZR</v></cell><cell r="V2159" t="str"><v>Retargeting</v></cell><cell r="W2159" t="str"><v>NotApplicable</v></cell><cell r="X2159" t="str"><v>1x1</v></cell></row><row r="2159"><cell r="AA2159"><v>43297</v></cell><cell r="AB2159" t="str"><v>CAN_gaPMG_AZR_AZR_Q1_19_Trial-Social</v></cell><cell r="AC2159"><v>21337220</v></cell><cell r="AD2159"><v>720192</v></cell><cell r="AE2159" t="str"><v>Facebook</v></cell><cell r="AF2159"><v>3654128</v></cell><cell r="AG2159" t="str"><v>Facebook»AZR»1x1»SocialBan»NA»ALL»DYN»RT»D»All»SS»NA»Free Account Retargeting Generic - T3 - EN</v></cell><cell r="AH2159"><v>223691819</v></cell><cell r="AI2159" t="str"><v>AzurePlatform_FreeAcctRetargetingFB-Animated-ChC_CAN_1200x628_SOC_Plat_EN_Free Account_Standard_ANI_SU_T3_1</v></cell><cell r="AJ2159"><v>102900682</v></cell></row><row r="2160"><cell r="C2160" t="str"><v>43297Facebook»AZR»1x1»SocialBan»NA»ALL»DYN»RT»D»All»SS»NA»Free Account Retargeting Generic - T3 - FR</v></cell><cell r="D2160" t="str"><v>43297223691777</v></cell><cell r="E2160" t="str"><v>432971029006973 - FR</v></cell><cell r="F2160" t="str"><v>DCM</v></cell><cell r="G2160" t="str"><v>https://azure.microsoft.com/fr-ca/free/search/</v></cell></row><row r="2160"><cell r="K2160" t="str"><v>July</v></cell><cell r="L2160"><v>43302</v></cell><cell r="M2160" t="str"><v>Tier 1</v></cell><cell r="N2160" t="str"><v>North America</v></cell><cell r="O2160" t="str"><v>Canada</v></cell><cell r="P2160" t="str"><v>Trial</v></cell><cell r="Q2160" t="str"><v>Social</v></cell><cell r="R2160" t="str"><v>Azure</v></cell><cell r="S2160" t="str"><v>Apps & Infra</v></cell><cell r="T2160" t="str"><v>Developers & ITI's</v></cell><cell r="U2160" t="str"><v>AZR</v></cell><cell r="V2160" t="str"><v>Retargeting</v></cell><cell r="W2160" t="str"><v>NotApplicable</v></cell><cell r="X2160" t="str"><v>1x1</v></cell></row><row r="2160"><cell r="AA2160"><v>43297</v></cell><cell r="AB2160" t="str"><v>CAN_gaPMG_AZR_AZR_Q1_19_Trial-Social</v></cell><cell r="AC2160"><v>21337220</v></cell><cell r="AD2160"><v>720192</v></cell><cell r="AE2160" t="str"><v>Facebook</v></cell><cell r="AF2160"><v>3654128</v></cell><cell r="AG2160" t="str"><v>Facebook»AZR»1x1»SocialBan»NA»ALL»DYN»RT»D»All»SS»NA»Free Account Retargeting Generic - T3 - FR</v></cell><cell r="AH2160"><v>223691777</v></cell><cell r="AI2160" t="str"><v>AzurePlatform_FreeAcctRetargetingFB-Animated-ChC_CAN_1200x628_SOC_Plat_FR_Free Account_Standard_ANI_SU_T3_1</v></cell><cell r="AJ2160"><v>102900697</v></cell></row><row r="2161"><cell r="C2161" t="str"><v>43297Facebook»AZR»1x1»SocialBan»NA»ALL»DYN»RT»D»All»SS»NA»Free Account Retargeting VM - T1 - EN</v></cell><cell r="D2161" t="str"><v>43297223691825</v></cell><cell r="E2161" t="str"><v>432971029163381 - EN</v></cell><cell r="F2161" t="str"><v>DCM</v></cell><cell r="G2161" t="str"><v>https://azure.microsoft.com/en-ca/free/virtual-machines/search/</v></cell></row><row r="2161"><cell r="K2161" t="str"><v>July</v></cell><cell r="L2161"><v>43302</v></cell><cell r="M2161" t="str"><v>Tier 1</v></cell><cell r="N2161" t="str"><v>North America</v></cell><cell r="O2161" t="str"><v>Canada</v></cell><cell r="P2161" t="str"><v>Trial</v></cell><cell r="Q2161" t="str"><v>Social</v></cell><cell r="R2161" t="str"><v>Azure</v></cell><cell r="S2161" t="str"><v>Apps & Infra</v></cell><cell r="T2161" t="str"><v>Developers & ITI's</v></cell><cell r="U2161" t="str"><v>AZR</v></cell><cell r="V2161" t="str"><v>Retargeting</v></cell><cell r="W2161" t="str"><v>NotApplicable</v></cell><cell r="X2161" t="str"><v>1x1</v></cell></row><row r="2161"><cell r="AA2161"><v>43297</v></cell><cell r="AB2161" t="str"><v>CAN_gaPMG_AZR_AZR_Q1_19_Trial-Social</v></cell><cell r="AC2161"><v>21337220</v></cell><cell r="AD2161"><v>720192</v></cell><cell r="AE2161" t="str"><v>Facebook</v></cell><cell r="AF2161"><v>3654128</v></cell><cell r="AG2161" t="str"><v>Facebook»AZR»1x1»SocialBan»NA»ALL»DYN»RT»D»All»SS»NA»Free Account Retargeting VM - T1 - EN</v></cell><cell r="AH2161"><v>223691825</v></cell><cell r="AI2161" t="str"><v>AzurePlatform_FreeAcctRetargetingVMFB-750Hrs-ChD_CAN_1200x628_SOC_Plat_EN_Free Account_Standard_NA_SU_T1_1</v></cell><cell r="AJ2161"><v>102916338</v></cell></row><row r="2162"><cell r="C2162" t="str"><v>43297Facebook»AZR»1x1»SocialBan»NA»ALL»DYN»RT»D»All»SS»NA»Free Account Retargeting VM - T1 - FR</v></cell><cell r="D2162" t="str"><v>43297223691783</v></cell><cell r="E2162" t="str"><v>432971030587231 - FR</v></cell><cell r="F2162" t="str"><v>DCM</v></cell><cell r="G2162" t="str"><v>https://azure.microsoft.com/fr-ca/free/virtual-machines/search/</v></cell></row><row r="2162"><cell r="K2162" t="str"><v>July</v></cell><cell r="L2162"><v>43302</v></cell><cell r="M2162" t="str"><v>Tier 1</v></cell><cell r="N2162" t="str"><v>North America</v></cell><cell r="O2162" t="str"><v>Canada</v></cell><cell r="P2162" t="str"><v>Trial</v></cell><cell r="Q2162" t="str"><v>Social</v></cell><cell r="R2162" t="str"><v>Azure</v></cell><cell r="S2162" t="str"><v>Apps & Infra</v></cell><cell r="T2162" t="str"><v>Developers & ITI's</v></cell><cell r="U2162" t="str"><v>AZR</v></cell><cell r="V2162" t="str"><v>Retargeting</v></cell><cell r="W2162" t="str"><v>NotApplicable</v></cell><cell r="X2162" t="str"><v>1x1</v></cell></row><row r="2162"><cell r="AA2162"><v>43297</v></cell><cell r="AB2162" t="str"><v>CAN_gaPMG_AZR_AZR_Q1_19_Trial-Social</v></cell><cell r="AC2162"><v>21337220</v></cell><cell r="AD2162"><v>720192</v></cell><cell r="AE2162" t="str"><v>Facebook</v></cell><cell r="AF2162"><v>3654128</v></cell><cell r="AG2162" t="str"><v>Facebook»AZR»1x1»SocialBan»NA»ALL»DYN»RT»D»All»SS»NA»Free Account Retargeting VM - T1 - FR</v></cell><cell r="AH2162"><v>223691783</v></cell><cell r="AI2162" t="str"><v>AzurePlatform_FreeAcctRetargetingVMFB-750Hrs-ChD_CAN_1200x628_SOC_Plat_FR_Free Account_Standard_NA_SU_T1_1</v></cell><cell r="AJ2162"><v>103058723</v></cell></row><row r="2163"><cell r="C2163" t="str"><v>43297Facebook»AZR»1x1»SocialBan»NA»ALL»DYN»RT»D»All»SS»NA»Free Account Retargeting VM - T2 - EN</v></cell><cell r="D2163" t="str"><v>43297223691822</v></cell><cell r="E2163" t="str"><v>432971030587082 - EN</v></cell><cell r="F2163" t="str"><v>DCM</v></cell><cell r="G2163" t="str"><v>https://azure.microsoft.com/en-ca/free/virtual-machines/search/</v></cell></row><row r="2163"><cell r="K2163" t="str"><v>July</v></cell><cell r="L2163"><v>43302</v></cell><cell r="M2163" t="str"><v>Tier 1</v></cell><cell r="N2163" t="str"><v>North America</v></cell><cell r="O2163" t="str"><v>Canada</v></cell><cell r="P2163" t="str"><v>Trial</v></cell><cell r="Q2163" t="str"><v>Social</v></cell><cell r="R2163" t="str"><v>Azure</v></cell><cell r="S2163" t="str"><v>Apps & Infra</v></cell><cell r="T2163" t="str"><v>Developers & ITI's</v></cell><cell r="U2163" t="str"><v>AZR</v></cell><cell r="V2163" t="str"><v>Retargeting</v></cell><cell r="W2163" t="str"><v>NotApplicable</v></cell><cell r="X2163" t="str"><v>1x1</v></cell></row><row r="2163"><cell r="AA2163"><v>43297</v></cell><cell r="AB2163" t="str"><v>CAN_gaPMG_AZR_AZR_Q1_19_Trial-Social</v></cell><cell r="AC2163"><v>21337220</v></cell><cell r="AD2163"><v>720192</v></cell><cell r="AE2163" t="str"><v>Facebook</v></cell><cell r="AF2163"><v>3654128</v></cell><cell r="AG2163" t="str"><v>Facebook»AZR»1x1»SocialBan»NA»ALL»DYN»RT»D»All»SS»NA»Free Account Retargeting VM - T2 - EN</v></cell><cell r="AH2163"><v>223691822</v></cell><cell r="AI2163" t="str"><v>AzurePlatform_FreeAcctRetargetingVMFB-OnDemand-ChE_CAN_1200x628_SOC_Plat_EN_Free Account_Standard_NA_SU_T2_1</v></cell><cell r="AJ2163"><v>103058708</v></cell></row><row r="2164"><cell r="C2164" t="str"><v>43297Facebook»AZR»1x1»SocialBan»NA»ALL»DYN»RT»D»All»SS»NA»Free Account Retargeting VM - T2 - FR</v></cell><cell r="D2164" t="str"><v>43297223691780</v></cell><cell r="E2164" t="str"><v>432971030587262 - FR</v></cell><cell r="F2164" t="str"><v>DCM</v></cell><cell r="G2164" t="str"><v>https://azure.microsoft.com/fr-ca/free/virtual-machines/search/</v></cell></row><row r="2164"><cell r="K2164" t="str"><v>July</v></cell><cell r="L2164"><v>43302</v></cell><cell r="M2164" t="str"><v>Tier 1</v></cell><cell r="N2164" t="str"><v>North America</v></cell><cell r="O2164" t="str"><v>Canada</v></cell><cell r="P2164" t="str"><v>Trial</v></cell><cell r="Q2164" t="str"><v>Social</v></cell><cell r="R2164" t="str"><v>Azure</v></cell><cell r="S2164" t="str"><v>Apps & Infra</v></cell><cell r="T2164" t="str"><v>Developers & ITI's</v></cell><cell r="U2164" t="str"><v>AZR</v></cell><cell r="V2164" t="str"><v>Retargeting</v></cell><cell r="W2164" t="str"><v>NotApplicable</v></cell><cell r="X2164" t="str"><v>1x1</v></cell></row><row r="2164"><cell r="AA2164"><v>43297</v></cell><cell r="AB2164" t="str"><v>CAN_gaPMG_AZR_AZR_Q1_19_Trial-Social</v></cell><cell r="AC2164"><v>21337220</v></cell><cell r="AD2164"><v>720192</v></cell><cell r="AE2164" t="str"><v>Facebook</v></cell><cell r="AF2164"><v>3654128</v></cell><cell r="AG2164" t="str"><v>Facebook»AZR»1x1»SocialBan»NA»ALL»DYN»RT»D»All»SS»NA»Free Account Retargeting VM - T2 - FR</v></cell><cell r="AH2164"><v>223691780</v></cell><cell r="AI2164" t="str"><v>AzurePlatform_FreeAcctRetargetingVMFB-OnDemand-ChE_CAN_1200x628_SOC_Plat_FR_Free Account_Standard_NA_SU_T2_1</v></cell><cell r="AJ2164"><v>103058726</v></cell></row><row r="2165"><cell r="C2165" t="str"><v>43297Facebook»DEV-ITP-AZR-FB|CanvasAds|Interesttargeting»1x1»TextLink»CAN»DT»CPM»AUT»W»NA»SS»NA»39684020-11000</v></cell><cell r="D2165" t="str"><v>43297224009494</v></cell><cell r="E2165" t="str"><v>43297103236186-11000</v></cell><cell r="F2165" t="str"><v>DCM</v></cell><cell r="G2165" t="str"><v>https://signup.azure.com/signup?offer=ms-azr-0044p&appId=102&ref=paidmedia-social-fb&redirectURL=https%3a%2f%2fazure.microsoft.com%2fde-de%2fget-started%2fwelcome-to-azure%2f&l=de-de&correlationId=ead86c34-1f10-49dd-a72b-6918462a2cbf</v></cell></row><row r="2165"><cell r="K2165" t="str"><v>July</v></cell><cell r="L2165"><v>43302</v></cell><cell r="M2165" t="str"><v>Tier 1</v></cell><cell r="N2165" t="str"><v>EMEA</v></cell><cell r="O2165" t="str"><v>Germany</v></cell><cell r="P2165" t="str"><v>Trial</v></cell><cell r="Q2165" t="str"><v>Social</v></cell><cell r="R2165" t="str"><v>Azure</v></cell><cell r="S2165" t="str"><v>Apps & Infra</v></cell><cell r="T2165" t="str"><v>Developers & ITI's</v></cell><cell r="U2165" t="str"><v>DEV-ITP-AZR-FB|CanvasAds|Interesttargeting</v></cell><cell r="V2165" t="str"><v>Audience Targeting</v></cell><cell r="W2165" t="str"><v>Canvas Ad</v></cell><cell r="X2165" t="str"><v>1x1</v></cell></row><row r="2165"><cell r="AA2165"><v>43297</v></cell><cell r="AB2165" t="str"><v>DEU_gaPMG_AZR_AZR_Q1_19_Trial-Social- 39684</v></cell><cell r="AC2165"><v>21359477</v></cell><cell r="AD2165"><v>720194</v></cell><cell r="AE2165" t="str"><v>Facebook</v></cell><cell r="AF2165"><v>3654128</v></cell><cell r="AG2165" t="str"><v>Facebook»DEV-ITP-AZR-FB|CanvasAds|Interesttargeting»1x1»TextLink»CAN»DT»CPM»AUT»W»NA»SS»NA»39684020-11000</v></cell><cell r="AH2165"><v>224009494</v></cell><cell r="AI2165" t="str"><v>AzurePlatform_FBCTCBasicMotion-StartFreeCT_DEU_10s_ISV_PLAT_DE_Trial_Standard_STAN_TN_T1_1</v></cell><cell r="AJ2165"><v>103236186</v></cell></row><row r="2166"><cell r="C2166" t="str"><v>43297Facebook»DEV-ITP-AZR-FB|CanvasAds|Interesttargeting»1x1»TextLink»CAN»DT»CPM»AUT»W»NA»SS»NA»39684020-11000</v></cell><cell r="D2166" t="str"><v>43297224009494</v></cell><cell r="E2166" t="str"><v>43297103236189-11000</v></cell><cell r="F2166" t="str"><v>DCM</v></cell><cell r="G2166" t="str"><v>https://azure.microsoft.com/de-de/pricing/purchase-options/</v></cell></row><row r="2166"><cell r="K2166" t="str"><v>July</v></cell><cell r="L2166"><v>43302</v></cell><cell r="M2166" t="str"><v>Tier 1</v></cell><cell r="N2166" t="str"><v>EMEA</v></cell><cell r="O2166" t="str"><v>Germany</v></cell><cell r="P2166" t="str"><v>Trial</v></cell><cell r="Q2166" t="str"><v>Social</v></cell><cell r="R2166" t="str"><v>Azure</v></cell><cell r="S2166" t="str"><v>Apps & Infra</v></cell><cell r="T2166" t="str"><v>Developers & ITI's</v></cell><cell r="U2166" t="str"><v>DEV-ITP-AZR-FB|CanvasAds|Interesttargeting</v></cell><cell r="V2166" t="str"><v>Audience Targeting</v></cell><cell r="W2166" t="str"><v>Canvas Ad</v></cell><cell r="X2166" t="str"><v>1x1</v></cell></row><row r="2166"><cell r="AA2166"><v>43297</v></cell><cell r="AB2166" t="str"><v>DEU_gaPMG_AZR_AZR_Q1_19_Trial-Social- 39684</v></cell><cell r="AC2166"><v>21359477</v></cell><cell r="AD2166"><v>720194</v></cell><cell r="AE2166" t="str"><v>Facebook</v></cell><cell r="AF2166"><v>3654128</v></cell><cell r="AG2166" t="str"><v>Facebook»DEV-ITP-AZR-FB|CanvasAds|Interesttargeting»1x1»TextLink»CAN»DT»CPM»AUT»W»NA»SS»NA»39684020-11000</v></cell><cell r="AH2166"><v>224009494</v></cell><cell r="AI2166" t="str"><v>AzurePlatform_FBCTCBenefit2inMotion-BuyNow_DEU_14s_ISV_PLAT_DE_Trial_Standard_STAN_TN_T4_1</v></cell><cell r="AJ2166"><v>103236189</v></cell></row><row r="2167"><cell r="C2167" t="str"><v>43297Facebook»DEV-ITP-AZR-FB|CanvasAds|Interesttargeting»1x1»TextLink»CAN»DT»CPM»AUT»W»NA»SS»NA»39684020-11000</v></cell><cell r="D2167" t="str"><v>43297224009494</v></cell><cell r="E2167" t="str"><v>43297103237290-11000</v></cell><cell r="F2167" t="str"><v>DCM</v></cell><cell r="G2167" t="str"><v>https://signup.azure.com/signup?offer=ms-azr-0044p&appId=102&ref=paidmedia-social-fb&redirectURL=https%3a%2f%2fazure.microsoft.com%2fde-de%2fget-started%2fwelcome-to-azure%2f&l=de-de&correlationId=ead86c34-1f10-49dd-a72b-6918462a2cbf</v></cell></row><row r="2167"><cell r="K2167" t="str"><v>July</v></cell><cell r="L2167"><v>43302</v></cell><cell r="M2167" t="str"><v>Tier 1</v></cell><cell r="N2167" t="str"><v>EMEA</v></cell><cell r="O2167" t="str"><v>Germany</v></cell><cell r="P2167" t="str"><v>Trial</v></cell><cell r="Q2167" t="str"><v>Social</v></cell><cell r="R2167" t="str"><v>Azure</v></cell><cell r="S2167" t="str"><v>Apps & Infra</v></cell><cell r="T2167" t="str"><v>Developers & ITI's</v></cell><cell r="U2167" t="str"><v>DEV-ITP-AZR-FB|CanvasAds|Interesttargeting</v></cell><cell r="V2167" t="str"><v>Audience Targeting</v></cell><cell r="W2167" t="str"><v>Canvas Ad</v></cell><cell r="X2167" t="str"><v>1x1</v></cell></row><row r="2167"><cell r="AA2167"><v>43297</v></cell><cell r="AB2167" t="str"><v>DEU_gaPMG_AZR_AZR_Q1_19_Trial-Social- 39684</v></cell><cell r="AC2167"><v>21359477</v></cell><cell r="AD2167"><v>720194</v></cell><cell r="AE2167" t="str"><v>Facebook</v></cell><cell r="AF2167"><v>3654128</v></cell><cell r="AG2167" t="str"><v>Facebook»DEV-ITP-AZR-FB|CanvasAds|Interesttargeting»1x1»TextLink»CAN»DT»CPM»AUT»W»NA»SS»NA»39684020-11000</v></cell><cell r="AH2167"><v>224009494</v></cell><cell r="AI2167" t="str"><v>AzurePlatform_FBCTCBenefit2inMotion-StartFreeCT_DEU_14s_ISV_PLAT_DE_Trial_Standard_STAN_TN_T4_1</v></cell><cell r="AJ2167"><v>103237290</v></cell></row><row r="2168"><cell r="C2168" t="str"><v>43297Facebook»DEV-ITP-AZR-FB|CanvasAds|Interesttargeting»1x1»TextLink»CAN»DT»CPM»AUT»W»NA»SS»NA»39684020-11000</v></cell><cell r="D2168" t="str"><v>43297224009494</v></cell><cell r="E2168" t="str"><v>43297103237293-11000</v></cell><cell r="F2168" t="str"><v>DCM</v></cell><cell r="G2168" t="str"><v>https://signup.azure.com/signup?offer=ms-azr-0044p&appId=102&ref=paidmedia-social-fb&redirectURL=https%3a%2f%2fazure.microsoft.com%2fde-de%2fget-started%2fwelcome-to-azure%2f&l=de-de&correlationId=ead86c34-1f10-49dd-a72b-6918462a2cbf</v></cell></row><row r="2168"><cell r="K2168" t="str"><v>July</v></cell><cell r="L2168"><v>43302</v></cell><cell r="M2168" t="str"><v>Tier 1</v></cell><cell r="N2168" t="str"><v>EMEA</v></cell><cell r="O2168" t="str"><v>Germany</v></cell><cell r="P2168" t="str"><v>Trial</v></cell><cell r="Q2168" t="str"><v>Social</v></cell><cell r="R2168" t="str"><v>Azure</v></cell><cell r="S2168" t="str"><v>Apps & Infra</v></cell><cell r="T2168" t="str"><v>Developers & ITI's</v></cell><cell r="U2168" t="str"><v>DEV-ITP-AZR-FB|CanvasAds|Interesttargeting</v></cell><cell r="V2168" t="str"><v>Audience Targeting</v></cell><cell r="W2168" t="str"><v>Canvas Ad</v></cell><cell r="X2168" t="str"><v>1x1</v></cell></row><row r="2168"><cell r="AA2168"><v>43297</v></cell><cell r="AB2168" t="str"><v>DEU_gaPMG_AZR_AZR_Q1_19_Trial-Social- 39684</v></cell><cell r="AC2168"><v>21359477</v></cell><cell r="AD2168"><v>720194</v></cell><cell r="AE2168" t="str"><v>Facebook</v></cell><cell r="AF2168"><v>3654128</v></cell><cell r="AG2168" t="str"><v>Facebook»DEV-ITP-AZR-FB|CanvasAds|Interesttargeting»1x1»TextLink»CAN»DT»CPM»AUT»W»NA»SS»NA»39684020-11000</v></cell><cell r="AH2168"><v>224009494</v></cell><cell r="AI2168" t="str"><v>AzurePlatform_FBCTCBrandinMotion-StartFreeCT_DEU_12s_ISV_PLAT_DE_Trial_Standard_STAN_TN_T2_1</v></cell><cell r="AJ2168"><v>103237293</v></cell></row><row r="2169"><cell r="C2169" t="str"><v>43297Facebook»DEV-ITP-AZR-FB|LinkAd|CustomerAudienceRetargeting»1x1»TextLink»LIA»DT»CPM»RT»W»NA»SS»NA»39684019-11000</v></cell><cell r="D2169" t="str"><v>43297224010415</v></cell><cell r="E2169" t="str"><v>43297103040320-11000</v></cell><cell r="F2169" t="str"><v>DCM</v></cell><cell r="G2169" t="str"><v>https://azure.microsoft.com/de-de/free/search/</v></cell></row><row r="2169"><cell r="K2169" t="str"><v>July</v></cell><cell r="L2169"><v>43302</v></cell><cell r="M2169" t="str"><v>Tier 1</v></cell><cell r="N2169" t="str"><v>EMEA</v></cell><cell r="O2169" t="str"><v>Germany</v></cell><cell r="P2169" t="str"><v>Trial</v></cell><cell r="Q2169" t="str"><v>Social</v></cell><cell r="R2169" t="str"><v>Azure</v></cell><cell r="S2169" t="str"><v>Apps & Infra</v></cell><cell r="T2169" t="str"><v>Developers & ITI's</v></cell><cell r="U2169" t="str"><v>DEV-ITP-AZR-FB|LinkAd|CustomerAudienceRetargeting</v></cell><cell r="V2169" t="str"><v>Retargeting</v></cell><cell r="W2169" t="str"><v>Link Ad</v></cell><cell r="X2169" t="str"><v>1x1</v></cell></row><row r="2169"><cell r="AA2169"><v>43297</v></cell><cell r="AB2169" t="str"><v>DEU_gaPMG_AZR_AZR_Q1_19_Trial-Social- 39684</v></cell><cell r="AC2169"><v>21359477</v></cell><cell r="AD2169"><v>720194</v></cell><cell r="AE2169" t="str"><v>Facebook</v></cell><cell r="AF2169"><v>3654128</v></cell><cell r="AG2169" t="str"><v>Facebook»DEV-ITP-AZR-FB|LinkAd|CustomerAudienceRetargeting»1x1»TextLink»LIA»DT»CPM»RT»W»NA»SS»NA»39684019-11000</v></cell><cell r="AH2169"><v>224010415</v></cell><cell r="AI2169" t="str"><v>AzurePlatform_FreeAcctRetargetingFB-GlobalAlt-ChB_DEU_1200x628_SOC_Plat_DE_Free Account_Standard_NA_SNU_T2_1</v></cell><cell r="AJ2169"><v>103040320</v></cell></row><row r="2170"><cell r="C2170" t="str"><v>43297Facebook»DEV-ITP-AZR-FB|LinkAd|CustomerAudienceRetargeting»1x1»TextLink»LIA»DT»CPM»RT»W»NA»SS»NA»39684019-11000</v></cell><cell r="D2170" t="str"><v>43297224010415</v></cell><cell r="E2170" t="str"><v>43297103043341-11000</v></cell><cell r="F2170" t="str"><v>DCM</v></cell><cell r="G2170" t="str"><v>https://azure.microsoft.com/de-de/free/virtual-machines/search/</v></cell></row><row r="2170"><cell r="K2170" t="str"><v>July</v></cell><cell r="L2170"><v>43302</v></cell><cell r="M2170" t="str"><v>Tier 1</v></cell><cell r="N2170" t="str"><v>EMEA</v></cell><cell r="O2170" t="str"><v>Germany</v></cell><cell r="P2170" t="str"><v>Trial</v></cell><cell r="Q2170" t="str"><v>Social</v></cell><cell r="R2170" t="str"><v>Azure</v></cell><cell r="S2170" t="str"><v>Apps & Infra</v></cell><cell r="T2170" t="str"><v>Developers & ITI's</v></cell><cell r="U2170" t="str"><v>DEV-ITP-AZR-FB|LinkAd|CustomerAudienceRetargeting</v></cell><cell r="V2170" t="str"><v>Retargeting</v></cell><cell r="W2170" t="str"><v>Link Ad</v></cell><cell r="X2170" t="str"><v>1x1</v></cell></row><row r="2170"><cell r="AA2170"><v>43297</v></cell><cell r="AB2170" t="str"><v>DEU_gaPMG_AZR_AZR_Q1_19_Trial-Social- 39684</v></cell><cell r="AC2170"><v>21359477</v></cell><cell r="AD2170"><v>720194</v></cell><cell r="AE2170" t="str"><v>Facebook</v></cell><cell r="AF2170"><v>3654128</v></cell><cell r="AG2170" t="str"><v>Facebook»DEV-ITP-AZR-FB|LinkAd|CustomerAudienceRetargeting»1x1»TextLink»LIA»DT»CPM»RT»W»NA»SS»NA»39684019-11000</v></cell><cell r="AH2170"><v>224010415</v></cell><cell r="AI2170" t="str"><v>AzurePlatform_FreeAcctRetargetingVMFB-750Hrs-ChD_DEU_1200x628_SOC_Plat_DE_Free Account_Standard_NA_SNU_T1_1</v></cell><cell r="AJ2170"><v>103043341</v></cell></row><row r="2171"><cell r="C2171" t="str"><v>43297Facebook»Developers/ITPros-Azure Direct-Sponsored Post-Canvas-FBCTCcanvaspage-BuyNowCTA-Img3_FBCTCBrandinMotion_FRA_14sec»1x1»Canvas»SOC»ALL»CPC»BT»D»UNK»SS»NA»Trials</v></cell><cell r="D2171" t="str"><v>43297224416918</v></cell><cell r="E2171" t="str"><v>43297103256571Trials</v></cell><cell r="F2171" t="str"><v>DCM</v></cell><cell r="G2171" t="str"><v>https://azure.microsoft.com/fr-fr/pricing/purchase-options/</v></cell></row><row r="2171"><cell r="K2171" t="str"><v>July</v></cell><cell r="L2171"><v>43302</v></cell><cell r="M2171" t="str"><v>Tier 1</v></cell><cell r="N2171" t="str"><v>EMEA</v></cell><cell r="O2171" t="str"><v>France</v></cell><cell r="P2171" t="str"><v>Trial</v></cell><cell r="Q2171" t="str"><v>Social</v></cell><cell r="R2171" t="str"><v>Azure</v></cell><cell r="S2171" t="str"><v>Apps & Infra</v></cell><cell r="T2171" t="str"><v>Developers & ITI's</v></cell><cell r="U2171" t="str"><v>Developers/ITPros-Azure Direct-Sponsored Post-Canvas-FBCTCcanvaspage-BuyNowCTA-Img3_FBCTCBrandinMotion_FRA_14sec</v></cell><cell r="V2171" t="str"><v>Behavioral Targeting</v></cell><cell r="W2171" t="str"><v>Social</v></cell><cell r="X2171" t="str"><v>1x1</v></cell></row><row r="2171"><cell r="AA2171"><v>43297</v></cell><cell r="AB2171" t="str"><v>FRA_gaPMG_AZR_AZR_Q1_19_AzureDirect-Trial-Social</v></cell><cell r="AC2171"><v>21356941</v></cell><cell r="AD2171"><v>720193</v></cell><cell r="AE2171" t="str"><v>Facebook</v></cell><cell r="AF2171"><v>3654128</v></cell><cell r="AG2171" t="str"><v>Facebook»Developers/ITPros-Azure Direct-Sponsored Post-Canvas-FBCTCcanvaspage-BuyNowCTA-Img3_FBCTCBrandinMotion_FRA_14sec»1x1»Canvas»SOC»ALL»CPC»BT»D»UNK»SS»NA»Trials</v></cell><cell r="AH2171"><v>224416918</v></cell><cell r="AI2171" t="str"><v>AZR_FBCTCcanvaspage-BuyNowCTA-Img3_FRA_1080x162_SOC_AZRDirect_French_NA_Facebook_SBAN_BN_T3_1</v></cell><cell r="AJ2171"><v>103256571</v></cell></row><row r="2172"><cell r="C2172" t="str"><v>43297Facebook»Developers/ITPros-Azure Direct-Sponsored Post-Canvas-FBCTCcanvaspage-StartFreeCTA-Img2_FBCTCBasicMotion_FRA_10sec»1x1»Canvas»SOC»ALL»CPC»BT»D»UNK»SS»NA»Trials</v></cell><cell r="D2172" t="str"><v>43297224560884</v></cell><cell r="E2172" t="str"><v>43297103259958Trials</v></cell><cell r="F2172" t="str"><v>DCM</v></cell><cell r="G2172" t="str"><v>https://signup.azure.com/signup?offer=ms-azr-0044p&appId=102&ref=paidmedia-social-fb&redirectURL=https%3a%2f%2fazure.microsoft.com%2ffr-fr%2fget-started%2fwelcome-to-azure%2f&l=fr-fr&correlationId=ead86c34-1f10-49dd-a72b-6918462a2cbf</v></cell></row><row r="2172"><cell r="K2172" t="str"><v>July</v></cell><cell r="L2172"><v>43302</v></cell><cell r="M2172" t="str"><v>Tier 1</v></cell><cell r="N2172" t="str"><v>EMEA</v></cell><cell r="O2172" t="str"><v>France</v></cell><cell r="P2172" t="str"><v>Trial</v></cell><cell r="Q2172" t="str"><v>Social</v></cell><cell r="R2172" t="str"><v>Azure</v></cell><cell r="S2172" t="str"><v>Apps & Infra</v></cell><cell r="T2172" t="str"><v>Developers & ITI's</v></cell><cell r="U2172" t="str"><v>Developers/ITPros-Azure Direct-Sponsored Post-Canvas-FBCTCcanvaspage-StartFreeCTA-Img2_FBCTCBasicMotion_FRA_10sec</v></cell><cell r="V2172" t="str"><v>Behavioral Targeting</v></cell><cell r="W2172" t="str"><v>Social</v></cell><cell r="X2172" t="str"><v>1x1</v></cell></row><row r="2172"><cell r="AA2172"><v>43297</v></cell><cell r="AB2172" t="str"><v>FRA_gaPMG_AZR_AZR_Q1_19_AzureDirect-Trial-Social</v></cell><cell r="AC2172"><v>21356941</v></cell><cell r="AD2172"><v>720193</v></cell><cell r="AE2172" t="str"><v>Facebook</v></cell><cell r="AF2172"><v>3654128</v></cell><cell r="AG2172" t="str"><v>Facebook»Developers/ITPros-Azure Direct-Sponsored Post-Canvas-FBCTCcanvaspage-StartFreeCTA-Img2_FBCTCBasicMotion_FRA_10sec»1x1»Canvas»SOC»ALL»CPC»BT»D»UNK»SS»NA»Trials</v></cell><cell r="AH2172"><v>224560884</v></cell><cell r="AI2172" t="str"><v>AZR_FBCTCcanvaspage-StartFreeCTA-Img2_FRA_1080x143_SOC_AZRDirect_French_NA_Facebook_SBAN_BN_T2_1</v></cell><cell r="AJ2172"><v>103259958</v></cell></row><row r="2173"><cell r="C2173" t="str"><v>43297Facebook»Developers/ITPros-Azure Direct-Sponsored Post-Canvas-FBCTCcanvaspage-StartFreeCTA-Img2_FBCTCBrandinMotion_FRA_12sec»1x1»Canvas»SOC»ALL»CPC»BT»D»UNK»SS»NA»Trials</v></cell><cell r="D2173" t="str"><v>43297224560878</v></cell><cell r="E2173" t="str"><v>43297103259958Trials</v></cell><cell r="F2173" t="str"><v>DCM</v></cell><cell r="G2173" t="str"><v>https://signup.azure.com/signup?offer=ms-azr-0044p&appId=102&ref=paidmedia-social-fb&redirectURL=https%3a%2f%2fazure.microsoft.com%2ffr-fr%2fget-started%2fwelcome-to-azure%2f&l=fr-fr&correlationId=ead86c34-1f10-49dd-a72b-6918462a2cbf</v></cell></row><row r="2173"><cell r="K2173" t="str"><v>July</v></cell><cell r="L2173"><v>43302</v></cell><cell r="M2173" t="str"><v>Tier 1</v></cell><cell r="N2173" t="str"><v>EMEA</v></cell><cell r="O2173" t="str"><v>France</v></cell><cell r="P2173" t="str"><v>Trial</v></cell><cell r="Q2173" t="str"><v>Social</v></cell><cell r="R2173" t="str"><v>Azure</v></cell><cell r="S2173" t="str"><v>Apps & Infra</v></cell><cell r="T2173" t="str"><v>Developers & ITI's</v></cell><cell r="U2173" t="str"><v>Developers/ITPros-Azure Direct-Sponsored Post-Canvas-FBCTCcanvaspage-StartFreeCTA-Img2_FBCTCBrandinMotion_FRA_12sec</v></cell><cell r="V2173" t="str"><v>Behavioral Targeting</v></cell><cell r="W2173" t="str"><v>Social</v></cell><cell r="X2173" t="str"><v>1x1</v></cell></row><row r="2173"><cell r="AA2173"><v>43297</v></cell><cell r="AB2173" t="str"><v>FRA_gaPMG_AZR_AZR_Q1_19_AzureDirect-Trial-Social</v></cell><cell r="AC2173"><v>21356941</v></cell><cell r="AD2173"><v>720193</v></cell><cell r="AE2173" t="str"><v>Facebook</v></cell><cell r="AF2173"><v>3654128</v></cell><cell r="AG2173" t="str"><v>Facebook»Developers/ITPros-Azure Direct-Sponsored Post-Canvas-FBCTCcanvaspage-StartFreeCTA-Img2_FBCTCBrandinMotion_FRA_12sec»1x1»Canvas»SOC»ALL»CPC»BT»D»UNK»SS»NA»Trials</v></cell><cell r="AH2173"><v>224560878</v></cell><cell r="AI2173" t="str"><v>AZR_FBCTCcanvaspage-StartFreeCTA-Img2_FRA_1080x143_SOC_AZRDirect_French_NA_Facebook_SBAN_BN_T2_1</v></cell><cell r="AJ2173"><v>103259958</v></cell></row><row r="2174"><cell r="C2174" t="str"><v>43297Facebook»Developers/ITPros-Azure Direct-Sponsored Post-Canvas-FBCTCcanvaspage-StartFreeCTA-Img2_FBCTCBrandinMotion_FRA_14sec»1x1»Canvas»SOC»ALL»CPC»BT»D»UNK»SS»NA»Trials</v></cell><cell r="D2174" t="str"><v>43297224560872</v></cell><cell r="E2174" t="str"><v>43297103259958Trials</v></cell><cell r="F2174" t="str"><v>DCM</v></cell><cell r="G2174" t="str"><v>https://signup.azure.com/signup?offer=ms-azr-0044p&appId=102&ref=paidmedia-social-fb&redirectURL=https%3a%2f%2fazure.microsoft.com%2ffr-fr%2fget-started%2fwelcome-to-azure%2f&l=fr-fr&correlationId=ead86c34-1f10-49dd-a72b-6918462a2cbf</v></cell></row><row r="2174"><cell r="K2174" t="str"><v>July</v></cell><cell r="L2174"><v>43302</v></cell><cell r="M2174" t="str"><v>Tier 1</v></cell><cell r="N2174" t="str"><v>EMEA</v></cell><cell r="O2174" t="str"><v>France</v></cell><cell r="P2174" t="str"><v>Trial</v></cell><cell r="Q2174" t="str"><v>Social</v></cell><cell r="R2174" t="str"><v>Azure</v></cell><cell r="S2174" t="str"><v>Apps & Infra</v></cell><cell r="T2174" t="str"><v>Developers & ITI's</v></cell><cell r="U2174" t="str"><v>Developers/ITPros-Azure Direct-Sponsored Post-Canvas-FBCTCcanvaspage-StartFreeCTA-Img2_FBCTCBrandinMotion_FRA_14sec</v></cell><cell r="V2174" t="str"><v>Behavioral Targeting</v></cell><cell r="W2174" t="str"><v>Social</v></cell><cell r="X2174" t="str"><v>1x1</v></cell></row><row r="2174"><cell r="AA2174"><v>43297</v></cell><cell r="AB2174" t="str"><v>FRA_gaPMG_AZR_AZR_Q1_19_AzureDirect-Trial-Social</v></cell><cell r="AC2174"><v>21356941</v></cell><cell r="AD2174"><v>720193</v></cell><cell r="AE2174" t="str"><v>Facebook</v></cell><cell r="AF2174"><v>3654128</v></cell><cell r="AG2174" t="str"><v>Facebook»Developers/ITPros-Azure Direct-Sponsored Post-Canvas-FBCTCcanvaspage-StartFreeCTA-Img2_FBCTCBrandinMotion_FRA_14sec»1x1»Canvas»SOC»ALL»CPC»BT»D»UNK»SS»NA»Trials</v></cell><cell r="AH2174"><v>224560872</v></cell><cell r="AI2174" t="str"><v>AZR_FBCTCcanvaspage-StartFreeCTA-Img2_FRA_1080x143_SOC_AZRDirect_French_NA_Facebook_SBAN_BN_T2_1</v></cell><cell r="AJ2174"><v>103259958</v></cell></row><row r="2175"><cell r="C2175" t="str"><v>43297Facebook»Developers/ITPros-Azure Direct-Sponsored Post-Link Ad-FreeAcctRetargetingFB-GlobalAlt-ChB»1x1»SocialBan»SOC»ALL»CPC»BT»D»UNK»SS»NA»Trials</v></cell><cell r="D2175" t="str"><v>43297224560845</v></cell><cell r="E2175" t="str"><v>43297103259520Trials</v></cell><cell r="F2175" t="str"><v>DCM</v></cell><cell r="G2175" t="str"><v>https://azure.microsoft.com/fr-fr/free/search/</v></cell></row><row r="2175"><cell r="K2175" t="str"><v>July</v></cell><cell r="L2175"><v>43302</v></cell><cell r="M2175" t="str"><v>Tier 1</v></cell><cell r="N2175" t="str"><v>EMEA</v></cell><cell r="O2175" t="str"><v>France</v></cell><cell r="P2175" t="str"><v>Trial</v></cell><cell r="Q2175" t="str"><v>Social</v></cell><cell r="R2175" t="str"><v>Azure</v></cell><cell r="S2175" t="str"><v>Apps & Infra</v></cell><cell r="T2175" t="str"><v>Developers & ITI's</v></cell><cell r="U2175" t="str"><v>Developers/ITPros-Azure Direct-Sponsored Post-Link Ad-FreeAcctRetargetingFB-GlobalAlt-ChB</v></cell><cell r="V2175" t="str"><v>Behavioral Targeting</v></cell><cell r="W2175" t="str"><v>Social</v></cell><cell r="X2175" t="str"><v>1x1</v></cell></row><row r="2175"><cell r="AA2175"><v>43297</v></cell><cell r="AB2175" t="str"><v>FRA_gaPMG_AZR_AZR_Q1_19_AzureDirect-Trial-Social</v></cell><cell r="AC2175"><v>21356941</v></cell><cell r="AD2175"><v>720193</v></cell><cell r="AE2175" t="str"><v>Facebook</v></cell><cell r="AF2175"><v>3654128</v></cell><cell r="AG2175" t="str"><v>Facebook»Developers/ITPros-Azure Direct-Sponsored Post-Link Ad-FreeAcctRetargetingFB-GlobalAlt-ChB»1x1»SocialBan»SOC»ALL»CPC»BT»D»UNK»SS»NA»Trials</v></cell><cell r="AH2175"><v>224560845</v></cell><cell r="AI2175" t="str"><v>AZR_FreeAcctRetargetingFB-GlobalAlt-ChB_FRA_1200x628_SOC_AZRDirect_French_NA_Facebook_SBAN_SINU_T2_1</v></cell><cell r="AJ2175"><v>103259520</v></cell></row><row r="2176"><cell r="C2176" t="str"><v>43297Facebook»Developers/ITPros-Azure Direct-Sponsored Post-Video Ad-FBCTCBasicMotion_FRA_10s_RTG Landing Page»1x1»05s»SOC»ALL»CPC»BT»D»UNK»SS»NA»Trials</v></cell><cell r="D2176" t="str"><v>43297224416915</v></cell><cell r="E2176" t="str"><v>43297103376981Trials</v></cell><cell r="F2176" t="str"><v>DCM</v></cell></row><row r="2176"><cell r="K2176" t="str"><v>July</v></cell><cell r="L2176"><v>43302</v></cell><cell r="M2176" t="str"><v>Tier 1</v></cell><cell r="N2176" t="str"><v>EMEA</v></cell><cell r="O2176" t="str"><v>France</v></cell><cell r="P2176" t="str"><v>Trial</v></cell><cell r="Q2176" t="str"><v>Social</v></cell><cell r="R2176" t="str"><v>Azure</v></cell><cell r="S2176" t="str"><v>Apps & Infra</v></cell><cell r="T2176" t="str"><v>Developers & ITI's</v></cell><cell r="U2176" t="str"><v>Developers/ITPros-Azure Direct-Sponsored Post-Video Ad-FBCTCBasicMotion_FRA_10s_RTG Landing Page</v></cell><cell r="V2176" t="str"><v>Behavioral Targeting</v></cell><cell r="W2176" t="str"><v>Social</v></cell><cell r="X2176" t="str"><v>1x1</v></cell></row><row r="2176"><cell r="AA2176"><v>43297</v></cell><cell r="AB2176" t="str"><v>FRA_gaPMG_AZR_AZR_Q1_19_AzureDirect-Trial-Social</v></cell><cell r="AC2176"><v>21356941</v></cell><cell r="AD2176"><v>720193</v></cell><cell r="AE2176" t="str"><v>Facebook</v></cell><cell r="AF2176"><v>3654128</v></cell><cell r="AG2176" t="str"><v>Facebook»Developers/ITPros-Azure Direct-Sponsored Post-Video Ad-FBCTCBasicMotion_FRA_10s_RTG Landing Page»1x1»05s»SOC»ALL»CPC»BT»D»UNK»SS»NA»Trials</v></cell><cell r="AH2176"><v>224416915</v></cell><cell r="AI2176" t="str"><v>AZR_FBCTCBasicMotion_FRA_10s_VIA_AZRDirect_French_NA_Facebook_STAN_TIN_T1_1</v></cell><cell r="AJ2176"><v>103376981</v></cell></row><row r="2177"><cell r="C2177" t="str"><v>43297Facebook»Developers/ITPros-Azure Direct-Sponsored Post-Video Ad-FBCTCBenefit2inMotion_FRA_14s_RTG Landing Page»1x1»06s»SOC»ALL»CPC»BT»D»UNK»SS»NA»Trials</v></cell><cell r="D2177" t="str"><v>43297224560875</v></cell><cell r="E2177" t="str"><v>43297103259766Trials</v></cell><cell r="F2177" t="str"><v>DCM</v></cell><cell r="G2177" t="str"><v>https://signup.azure.com/signup?offer=ms-azr-0044p&appId=102&ref=paidmedia-social-fb&redirectURL=https:%2F%2Fazure.microsoft.com%2Ffr-fr%2Fget-started%2Fwelcome-to-azure%2F&l=fr-fr&correlationId=ead86c34-1f10-49dd-a72b-6918462a2cbf</v></cell></row><row r="2177"><cell r="K2177" t="str"><v>July</v></cell><cell r="L2177"><v>43302</v></cell><cell r="M2177" t="str"><v>Tier 1</v></cell><cell r="N2177" t="str"><v>EMEA</v></cell><cell r="O2177" t="str"><v>France</v></cell><cell r="P2177" t="str"><v>Trial</v></cell><cell r="Q2177" t="str"><v>Social</v></cell><cell r="R2177" t="str"><v>Azure</v></cell><cell r="S2177" t="str"><v>Apps & Infra</v></cell><cell r="T2177" t="str"><v>Developers & ITI's</v></cell><cell r="U2177" t="str"><v>Developers/ITPros-Azure Direct-Sponsored Post-Video Ad-FBCTCBenefit2inMotion_FRA_14s_RTG Landing Page</v></cell><cell r="V2177" t="str"><v>Behavioral Targeting</v></cell><cell r="W2177" t="str"><v>Social</v></cell><cell r="X2177" t="str"><v>1x1</v></cell></row><row r="2177"><cell r="AA2177"><v>43297</v></cell><cell r="AB2177" t="str"><v>FRA_gaPMG_AZR_AZR_Q1_19_AzureDirect-Trial-Social</v></cell><cell r="AC2177"><v>21356941</v></cell><cell r="AD2177"><v>720193</v></cell><cell r="AE2177" t="str"><v>Facebook</v></cell><cell r="AF2177"><v>3654128</v></cell><cell r="AG2177" t="str"><v>Facebook»Developers/ITPros-Azure Direct-Sponsored Post-Video Ad-FBCTCBenefit2inMotion_FRA_14s_RTG Landing Page»1x1»06s»SOC»ALL»CPC»BT»D»UNK»SS»NA»Trials</v></cell><cell r="AH2177"><v>224560875</v></cell><cell r="AI2177" t="str"><v>AZR_FBCTCBenefit2inMotion_FRA_14s_VIA_AZRDirect_French_NA_Facebook_STAN_TIN_T4_1</v></cell><cell r="AJ2177"><v>103259766</v></cell></row><row r="2178"><cell r="C2178" t="str"><v>43297Facebook»Developers/ITPros-Azure Direct-Sponsored Post-Video Ad-FBCTCBrandinMotion_FRA_12s_RTG Landing Page»1x1»05s»SOC»ALL»CPC»BT»D»UNK»SS»NA»Trials</v></cell><cell r="D2178" t="str"><v>43297224560863</v></cell><cell r="E2178" t="str"><v>43297103256577Trials</v></cell><cell r="F2178" t="str"><v>DCM</v></cell></row><row r="2178"><cell r="K2178" t="str"><v>July</v></cell><cell r="L2178"><v>43302</v></cell><cell r="M2178" t="str"><v>Tier 1</v></cell><cell r="N2178" t="str"><v>EMEA</v></cell><cell r="O2178" t="str"><v>France</v></cell><cell r="P2178" t="str"><v>Trial</v></cell><cell r="Q2178" t="str"><v>Social</v></cell><cell r="R2178" t="str"><v>Azure</v></cell><cell r="S2178" t="str"><v>Apps & Infra</v></cell><cell r="T2178" t="str"><v>Developers & ITI's</v></cell><cell r="U2178" t="str"><v>Developers/ITPros-Azure Direct-Sponsored Post-Video Ad-FBCTCBrandinMotion_FRA_12s_RTG Landing Page</v></cell><cell r="V2178" t="str"><v>Behavioral Targeting</v></cell><cell r="W2178" t="str"><v>Social</v></cell><cell r="X2178" t="str"><v>1x1</v></cell></row><row r="2178"><cell r="AA2178"><v>43297</v></cell><cell r="AB2178" t="str"><v>FRA_gaPMG_AZR_AZR_Q1_19_AzureDirect-Trial-Social</v></cell><cell r="AC2178"><v>21356941</v></cell><cell r="AD2178"><v>720193</v></cell><cell r="AE2178" t="str"><v>Facebook</v></cell><cell r="AF2178"><v>3654128</v></cell><cell r="AG2178" t="str"><v>Facebook»Developers/ITPros-Azure Direct-Sponsored Post-Video Ad-FBCTCBrandinMotion_FRA_12s_RTG Landing Page»1x1»05s»SOC»ALL»CPC»BT»D»UNK»SS»NA»Trials</v></cell><cell r="AH2178"><v>224560863</v></cell><cell r="AI2178" t="str"><v>AZR_FBCTCBrandinMotion_FRA_12s_VIA_AZRDirect_French_NA_Facebook_STAN_TIN_T2_1</v></cell><cell r="AJ2178"><v>103256577</v></cell></row><row r="2179"><cell r="C2179" t="str"><v>43297Facebook»Developers/ITPros-Azure Direct-Sponsored Post-Canvas-FBCTCcanvaspage-BuyNowCTA-Img3_FBCTCBrandinMotion_FRA_12sec»1x1»Canvas»SOC»ALL»CPC»BT»D»UNK»SS»NA»Trials</v></cell><cell r="D2179" t="str"><v>43297224416924</v></cell><cell r="E2179" t="str"><v>43297103256571Trials</v></cell><cell r="F2179" t="str"><v>DCM</v></cell><cell r="G2179" t="str"><v>https://azure.microsoft.com/fr-fr/pricing/purchase-options/</v></cell></row><row r="2179"><cell r="K2179" t="str"><v>July</v></cell><cell r="L2179"><v>43302</v></cell><cell r="M2179" t="str"><v>Tier 1</v></cell><cell r="N2179" t="str"><v>EMEA</v></cell><cell r="O2179" t="str"><v>France</v></cell><cell r="P2179" t="str"><v>Trial</v></cell><cell r="Q2179" t="str"><v>Social</v></cell><cell r="R2179" t="str"><v>Azure</v></cell><cell r="S2179" t="str"><v>Apps & Infra</v></cell><cell r="T2179" t="str"><v>Developers & ITI's</v></cell><cell r="U2179" t="str"><v>Developers/ITPros-Azure Direct-Sponsored Post-Canvas-FBCTCcanvaspage-BuyNowCTA-Img3_FBCTCBrandinMotion_FRA_12sec</v></cell><cell r="V2179" t="str"><v>Behavioral Targeting</v></cell><cell r="W2179" t="str"><v>Social</v></cell><cell r="X2179" t="str"><v>1x1</v></cell></row><row r="2179"><cell r="AA2179"><v>43297</v></cell><cell r="AB2179" t="str"><v>FRA_gaPMG_AZR_AZR_Q1_19_AzureDirect-Trial-Social</v></cell><cell r="AC2179"><v>21356941</v></cell><cell r="AD2179"><v>720193</v></cell><cell r="AE2179" t="str"><v>Facebook</v></cell><cell r="AF2179"><v>3654128</v></cell><cell r="AG2179" t="str"><v>Facebook»Developers/ITPros-Azure Direct-Sponsored Post-Canvas-FBCTCcanvaspage-BuyNowCTA-Img3_FBCTCBrandinMotion_FRA_12sec»1x1»Canvas»SOC»ALL»CPC»BT»D»UNK»SS»NA»Trials</v></cell><cell r="AH2179"><v>224416924</v></cell><cell r="AI2179" t="str"><v>AZR_FBCTCcanvaspage-BuyNowCTA-Img3_FRA_1080x162_SOC_AZRDirect_French_NA_Facebook_SBAN_BN_T3_1</v></cell><cell r="AJ2179"><v>103256571</v></cell></row><row r="2180"><cell r="C2180" t="str"><v>43297Facebook»Developers/ITPros-Azure Direct-Sponsored Post-Link Ad-FreeAcctAppsFACEBOOK12monthsChE»1x1»SocialBan»SOC»ALL»CPC»BT»D»UNK»SS»NA»Trials</v></cell><cell r="D2180" t="str"><v>43297224560866</v></cell><cell r="E2180" t="str"><v>43297103259784Trials</v></cell><cell r="F2180" t="str"><v>DCM</v></cell><cell r="G2180" t="str"><v>https://azure.microsoft.com/fr-fr/free/search/</v></cell></row><row r="2180"><cell r="K2180" t="str"><v>July</v></cell><cell r="L2180"><v>43302</v></cell><cell r="M2180" t="str"><v>Tier 1</v></cell><cell r="N2180" t="str"><v>EMEA</v></cell><cell r="O2180" t="str"><v>France</v></cell><cell r="P2180" t="str"><v>Trial</v></cell><cell r="Q2180" t="str"><v>Social</v></cell><cell r="R2180" t="str"><v>Azure</v></cell><cell r="S2180" t="str"><v>Apps & Infra</v></cell><cell r="T2180" t="str"><v>Developers & ITI's</v></cell><cell r="U2180" t="str"><v>Developers/ITPros-Azure Direct-Sponsored Post-Link Ad-FreeAcctAppsFACEBOOK12monthsChE</v></cell><cell r="V2180" t="str"><v>Behavioral Targeting</v></cell><cell r="W2180" t="str"><v>Social</v></cell><cell r="X2180" t="str"><v>1x1</v></cell></row><row r="2180"><cell r="AA2180"><v>43297</v></cell><cell r="AB2180" t="str"><v>FRA_gaPMG_AZR_AZR_Q1_19_AzureDirect-Trial-Social</v></cell><cell r="AC2180"><v>21356941</v></cell><cell r="AD2180"><v>720193</v></cell><cell r="AE2180" t="str"><v>Facebook</v></cell><cell r="AF2180"><v>3654128</v></cell><cell r="AG2180" t="str"><v>Facebook»Developers/ITPros-Azure Direct-Sponsored Post-Link Ad-FreeAcctAppsFACEBOOK12monthsChE»1x1»SocialBan»SOC»ALL»CPC»BT»D»UNK»SS»NA»Trials</v></cell><cell r="AH2180"><v>224560866</v></cell><cell r="AI2180" t="str"><v>AZR_FreeAcctAppsFACEBOOK12monthsChE_FRA_1200x628_SOC_PLAT_FR_Trial_Standard_NA_SINU_T5_1</v></cell><cell r="AJ2180"><v>103259784</v></cell></row><row r="2181"><cell r="C2181" t="str"><v>43297Facebook»Developers/ITPros-Azure Direct-Sponsored Post-Link Ad-FreeAcctAppsFACEBOOK200CreditChD»1x1»SocialBan»SOC»ALL»CPC»BT»D»UNK»SS»NA»Trials</v></cell><cell r="D2181" t="str"><v>43297224560860</v></cell><cell r="E2181" t="str"><v>43297103377773Trials</v></cell><cell r="F2181" t="str"><v>DCM</v></cell><cell r="G2181" t="str"><v>https://azure.microsoft.com/fr-fr/free/search/</v></cell></row><row r="2181"><cell r="K2181" t="str"><v>July</v></cell><cell r="L2181"><v>43302</v></cell><cell r="M2181" t="str"><v>Tier 1</v></cell><cell r="N2181" t="str"><v>EMEA</v></cell><cell r="O2181" t="str"><v>France</v></cell><cell r="P2181" t="str"><v>Trial</v></cell><cell r="Q2181" t="str"><v>Social</v></cell><cell r="R2181" t="str"><v>Azure</v></cell><cell r="S2181" t="str"><v>Apps & Infra</v></cell><cell r="T2181" t="str"><v>Developers & ITI's</v></cell><cell r="U2181" t="str"><v>Developers/ITPros-Azure Direct-Sponsored Post-Link Ad-FreeAcctAppsFACEBOOK200CreditChD</v></cell><cell r="V2181" t="str"><v>Behavioral Targeting</v></cell><cell r="W2181" t="str"><v>Social</v></cell><cell r="X2181" t="str"><v>1x1</v></cell></row><row r="2181"><cell r="AA2181"><v>43297</v></cell><cell r="AB2181" t="str"><v>FRA_gaPMG_AZR_AZR_Q1_19_AzureDirect-Trial-Social</v></cell><cell r="AC2181"><v>21356941</v></cell><cell r="AD2181"><v>720193</v></cell><cell r="AE2181" t="str"><v>Facebook</v></cell><cell r="AF2181"><v>3654128</v></cell><cell r="AG2181" t="str"><v>Facebook»Developers/ITPros-Azure Direct-Sponsored Post-Link Ad-FreeAcctAppsFACEBOOK200CreditChD»1x1»SocialBan»SOC»ALL»CPC»BT»D»UNK»SS»NA»Trials</v></cell><cell r="AH2181"><v>224560860</v></cell><cell r="AI2181" t="str"><v>AZR_FreeAcctAppsFACEBOOK200CreditChD_FRA_1200x628_SOC_PLAT_FR_Trial_Standard_NA_SINU_T4_1</v></cell><cell r="AJ2181"><v>103377773</v></cell></row><row r="2182"><cell r="C2182" t="str"><v>43297Facebook»Developers/ITPros-Azure Direct-Sponsored Post-Link Ad-FreeAcctAppsFACEBOOKDeviceChB»1x1»SocialBan»SOC»ALL»CPC»AUT»D»UNK»SS»NA»Trials</v></cell><cell r="D2182" t="str"><v>43297224560857</v></cell><cell r="E2182" t="str"><v>43297103377002Trials</v></cell><cell r="F2182" t="str"><v>DCM</v></cell><cell r="G2182" t="str"><v>https://azure.microsoft.com/fr-fr/free/search/</v></cell></row><row r="2182"><cell r="K2182" t="str"><v>July</v></cell><cell r="L2182"><v>43302</v></cell><cell r="M2182" t="str"><v>Tier 1</v></cell><cell r="N2182" t="str"><v>EMEA</v></cell><cell r="O2182" t="str"><v>France</v></cell><cell r="P2182" t="str"><v>Trial</v></cell><cell r="Q2182" t="str"><v>Social</v></cell><cell r="R2182" t="str"><v>Azure</v></cell><cell r="S2182" t="str"><v>Apps & Infra</v></cell><cell r="T2182" t="str"><v>Developers & ITI's</v></cell><cell r="U2182" t="str"><v>Developers/ITPros-Azure Direct-Sponsored Post-Link Ad-FreeAcctAppsFACEBOOKDeviceChB</v></cell><cell r="V2182" t="str"><v>Audience Targeting</v></cell><cell r="W2182" t="str"><v>Social</v></cell><cell r="X2182" t="str"><v>1x1</v></cell></row><row r="2182"><cell r="AA2182"><v>43297</v></cell><cell r="AB2182" t="str"><v>FRA_gaPMG_AZR_AZR_Q1_19_AzureDirect-Trial-Social</v></cell><cell r="AC2182"><v>21356941</v></cell><cell r="AD2182"><v>720193</v></cell><cell r="AE2182" t="str"><v>Facebook</v></cell><cell r="AF2182"><v>3654128</v></cell><cell r="AG2182" t="str"><v>Facebook»Developers/ITPros-Azure Direct-Sponsored Post-Link Ad-FreeAcctAppsFACEBOOKDeviceChB»1x1»SocialBan»SOC»ALL»CPC»AUT»D»UNK»SS»NA»Trials</v></cell><cell r="AH2182"><v>224560857</v></cell><cell r="AI2182" t="str"><v>AZR_FreeAcctAppsFACEBOOKDeviceChB_FRA_1200x628_SOC_PLAT_FR_Trial_Standard_NA_SINU_T2_1</v></cell><cell r="AJ2182"><v>103377002</v></cell></row><row r="2183"><cell r="C2183" t="str"><v>43297Facebook»Developers/ITPros-Azure Direct-Sponsored Post-Link Ad-FreeAcctAppsFACEBOOKIllustrationChC»1x1»SocialBan»SOC»ALL»CPC»AUT»D»UNK»SS»NA»Trials</v></cell><cell r="D2183" t="str"><v>43297224560854</v></cell><cell r="E2183" t="str"><v>43297103259550Trials</v></cell><cell r="F2183" t="str"><v>DCM</v></cell><cell r="G2183" t="str"><v>https://azure.microsoft.com/fr-fr/free/search/</v></cell></row><row r="2183"><cell r="K2183" t="str"><v>July</v></cell><cell r="L2183"><v>43302</v></cell><cell r="M2183" t="str"><v>Tier 1</v></cell><cell r="N2183" t="str"><v>EMEA</v></cell><cell r="O2183" t="str"><v>France</v></cell><cell r="P2183" t="str"><v>Trial</v></cell><cell r="Q2183" t="str"><v>Social</v></cell><cell r="R2183" t="str"><v>Azure</v></cell><cell r="S2183" t="str"><v>Apps & Infra</v></cell><cell r="T2183" t="str"><v>Developers & ITI's</v></cell><cell r="U2183" t="str"><v>Developers/ITPros-Azure Direct-Sponsored Post-Link Ad-FreeAcctAppsFACEBOOKIllustrationChC</v></cell><cell r="V2183" t="str"><v>Audience Targeting</v></cell><cell r="W2183" t="str"><v>Social</v></cell><cell r="X2183" t="str"><v>1x1</v></cell></row><row r="2183"><cell r="AA2183"><v>43297</v></cell><cell r="AB2183" t="str"><v>FRA_gaPMG_AZR_AZR_Q1_19_AzureDirect-Trial-Social</v></cell><cell r="AC2183"><v>21356941</v></cell><cell r="AD2183"><v>720193</v></cell><cell r="AE2183" t="str"><v>Facebook</v></cell><cell r="AF2183"><v>3654128</v></cell><cell r="AG2183" t="str"><v>Facebook»Developers/ITPros-Azure Direct-Sponsored Post-Link Ad-FreeAcctAppsFACEBOOKIllustrationChC»1x1»SocialBan»SOC»ALL»CPC»AUT»D»UNK»SS»NA»Trials</v></cell><cell r="AH2183"><v>224560854</v></cell><cell r="AI2183" t="str"><v>AZR_FreeAcctAppsFACEBOOKIllustrationChC_FRA_1200x628_SOC_PLAT_FR_Trial_Standard_NA_SINU_T3_1</v></cell><cell r="AJ2183"><v>103259550</v></cell></row><row r="2184"><cell r="C2184" t="str"><v>43297Facebook»Developers/ITPros-Azure Direct-Sponsored Post-Link Ad-FreeAcctAppsFACEBOOKLifestyleChA»1x1»SocialBan»SOC»ALL»CPC»AUT»D»UNK»SS»NA»Trials</v></cell><cell r="D2184" t="str"><v>43297224560851</v></cell><cell r="E2184" t="str"><v>43297103259562Trials</v></cell><cell r="F2184" t="str"><v>DCM</v></cell><cell r="G2184" t="str"><v>https://azure.microsoft.com/fr-fr/free/search/</v></cell></row><row r="2184"><cell r="K2184" t="str"><v>July</v></cell><cell r="L2184"><v>43302</v></cell><cell r="M2184" t="str"><v>Tier 1</v></cell><cell r="N2184" t="str"><v>EMEA</v></cell><cell r="O2184" t="str"><v>France</v></cell><cell r="P2184" t="str"><v>Trial</v></cell><cell r="Q2184" t="str"><v>Social</v></cell><cell r="R2184" t="str"><v>Azure</v></cell><cell r="S2184" t="str"><v>Apps & Infra</v></cell><cell r="T2184" t="str"><v>Developers & ITI's</v></cell><cell r="U2184" t="str"><v>Developers/ITPros-Azure Direct-Sponsored Post-Link Ad-FreeAcctAppsFACEBOOKLifestyleChA</v></cell><cell r="V2184" t="str"><v>Audience Targeting</v></cell><cell r="W2184" t="str"><v>Social</v></cell><cell r="X2184" t="str"><v>1x1</v></cell></row><row r="2184"><cell r="AA2184"><v>43297</v></cell><cell r="AB2184" t="str"><v>FRA_gaPMG_AZR_AZR_Q1_19_AzureDirect-Trial-Social</v></cell><cell r="AC2184"><v>21356941</v></cell><cell r="AD2184"><v>720193</v></cell><cell r="AE2184" t="str"><v>Facebook</v></cell><cell r="AF2184"><v>3654128</v></cell><cell r="AG2184" t="str"><v>Facebook»Developers/ITPros-Azure Direct-Sponsored Post-Link Ad-FreeAcctAppsFACEBOOKLifestyleChA»1x1»SocialBan»SOC»ALL»CPC»AUT»D»UNK»SS»NA»Trials</v></cell><cell r="AH2184"><v>224560851</v></cell><cell r="AI2184" t="str"><v>AZR_FreeAcctAppsFACEBOOKLifestyleChA_FRA_1200x628_SOC_PLAT_FR_Trial_Standard_NA_SINU_T1_1</v></cell><cell r="AJ2184"><v>103259562</v></cell></row><row r="2185"><cell r="C2185" t="str"><v>43297Facebook»Developers/ITPros-Azure Direct-Sponsored Post-Link Ad-FreeAcctRetargetingFB-Animated-ChC»1x1»SocialBan»SOC»ALL»CPC»BT»D»UNK»SS»NA»Trials</v></cell><cell r="D2185" t="str"><v>43297224560848</v></cell><cell r="E2185" t="str"><v>43297103259775Trials</v></cell><cell r="F2185" t="str"><v>DCM</v></cell><cell r="G2185" t="str"><v>https://azure.microsoft.com/fr-fr/free/search/</v></cell></row><row r="2185"><cell r="K2185" t="str"><v>July</v></cell><cell r="L2185"><v>43302</v></cell><cell r="M2185" t="str"><v>Tier 1</v></cell><cell r="N2185" t="str"><v>EMEA</v></cell><cell r="O2185" t="str"><v>France</v></cell><cell r="P2185" t="str"><v>Trial</v></cell><cell r="Q2185" t="str"><v>Social</v></cell><cell r="R2185" t="str"><v>Azure</v></cell><cell r="S2185" t="str"><v>Apps & Infra</v></cell><cell r="T2185" t="str"><v>Developers & ITI's</v></cell><cell r="U2185" t="str"><v>Developers/ITPros-Azure Direct-Sponsored Post-Link Ad-FreeAcctRetargetingFB-Animated-ChC</v></cell><cell r="V2185" t="str"><v>Behavioral Targeting</v></cell><cell r="W2185" t="str"><v>Social</v></cell><cell r="X2185" t="str"><v>1x1</v></cell></row><row r="2185"><cell r="AA2185"><v>43297</v></cell><cell r="AB2185" t="str"><v>FRA_gaPMG_AZR_AZR_Q1_19_AzureDirect-Trial-Social</v></cell><cell r="AC2185"><v>21356941</v></cell><cell r="AD2185"><v>720193</v></cell><cell r="AE2185" t="str"><v>Facebook</v></cell><cell r="AF2185"><v>3654128</v></cell><cell r="AG2185" t="str"><v>Facebook»Developers/ITPros-Azure Direct-Sponsored Post-Link Ad-FreeAcctRetargetingFB-Animated-ChC»1x1»SocialBan»SOC»ALL»CPC»BT»D»UNK»SS»NA»Trials</v></cell><cell r="AH2185"><v>224560848</v></cell><cell r="AI2185" t="str"><v>AZR_reeAcctRetargetingFB-Animated-ChC_FRA_1200x628_SOC_AZRDirect_French_NA_Facebook_SBAN_SINU_T3_1</v></cell><cell r="AJ2185"><v>103259775</v></cell></row><row r="2186"><cell r="C2186" t="str"><v>43297Facebook»Developers/ITPros-Azure Direct-Sponsored Post-Link Ad-FreeAcctRetargetingOSSFB-Logos-ChG»1x1»SocialBan»SOC»ALL»CPC»BT»D»UNK»SS»NA»Trials</v></cell><cell r="D2186" t="str"><v>43297224560842</v></cell><cell r="E2186" t="str"><v>43297103259769Trials</v></cell><cell r="F2186" t="str"><v>DCM</v></cell><cell r="G2186" t="str"><v>https://azure.microsoft.com/fr-fr/free/open-source/search/</v></cell></row><row r="2186"><cell r="K2186" t="str"><v>July</v></cell><cell r="L2186"><v>43302</v></cell><cell r="M2186" t="str"><v>Tier 1</v></cell><cell r="N2186" t="str"><v>EMEA</v></cell><cell r="O2186" t="str"><v>France</v></cell><cell r="P2186" t="str"><v>Trial</v></cell><cell r="Q2186" t="str"><v>Social</v></cell><cell r="R2186" t="str"><v>Azure</v></cell><cell r="S2186" t="str"><v>Apps & Infra</v></cell><cell r="T2186" t="str"><v>Developers & ITI's</v></cell><cell r="U2186" t="str"><v>Developers/ITPros-Azure Direct-Sponsored Post-Link Ad-FreeAcctRetargetingOSSFB-Logos-ChG</v></cell><cell r="V2186" t="str"><v>Behavioral Targeting</v></cell><cell r="W2186" t="str"><v>Social</v></cell><cell r="X2186" t="str"><v>1x1</v></cell></row><row r="2186"><cell r="AA2186"><v>43297</v></cell><cell r="AB2186" t="str"><v>FRA_gaPMG_AZR_AZR_Q1_19_AzureDirect-Trial-Social</v></cell><cell r="AC2186"><v>21356941</v></cell><cell r="AD2186"><v>720193</v></cell><cell r="AE2186" t="str"><v>Facebook</v></cell><cell r="AF2186"><v>3654128</v></cell><cell r="AG2186" t="str"><v>Facebook»Developers/ITPros-Azure Direct-Sponsored Post-Link Ad-FreeAcctRetargetingOSSFB-Logos-ChG»1x1»SocialBan»SOC»ALL»CPC»BT»D»UNK»SS»NA»Trials</v></cell><cell r="AH2186"><v>224560842</v></cell><cell r="AI2186" t="str"><v>AZR_FreeAcctRetargetingOSSFB-Logos-ChG_FRA_1200x628_SOC_AZRDirect_French_NA_Facebook_SBAN_SINU_T2_1</v></cell><cell r="AJ2186"><v>103259769</v></cell></row><row r="2187"><cell r="C2187" t="str"><v>43297Facebook»Developers/ITPros-Azure Direct-Sponsored Post-Link Ad-FreeAcctRetargetingVMFB-OnDemand-ChE»1x1»SocialBan»SOC»ALL»CPC»BT»D»UNK»SS»NA»Trials</v></cell><cell r="D2187" t="str"><v>43297224560833</v></cell><cell r="E2187" t="str"><v>43297103376990Trials</v></cell><cell r="F2187" t="str"><v>DCM</v></cell><cell r="G2187" t="str"><v>https://azure.microsoft.com/fr-fr/free/virtual-machines/search/</v></cell></row><row r="2187"><cell r="K2187" t="str"><v>July</v></cell><cell r="L2187"><v>43302</v></cell><cell r="M2187" t="str"><v>Tier 1</v></cell><cell r="N2187" t="str"><v>EMEA</v></cell><cell r="O2187" t="str"><v>France</v></cell><cell r="P2187" t="str"><v>Trial</v></cell><cell r="Q2187" t="str"><v>Social</v></cell><cell r="R2187" t="str"><v>Azure</v></cell><cell r="S2187" t="str"><v>Apps & Infra</v></cell><cell r="T2187" t="str"><v>Developers & ITI's</v></cell><cell r="U2187" t="str"><v>Developers/ITPros-Azure Direct-Sponsored Post-Link Ad-FreeAcctRetargetingVMFB-OnDemand-ChE</v></cell><cell r="V2187" t="str"><v>Behavioral Targeting</v></cell><cell r="W2187" t="str"><v>Social</v></cell><cell r="X2187" t="str"><v>1x1</v></cell></row><row r="2187"><cell r="AA2187"><v>43297</v></cell><cell r="AB2187" t="str"><v>FRA_gaPMG_AZR_AZR_Q1_19_AzureDirect-Trial-Social</v></cell><cell r="AC2187"><v>21356941</v></cell><cell r="AD2187"><v>720193</v></cell><cell r="AE2187" t="str"><v>Facebook</v></cell><cell r="AF2187"><v>3654128</v></cell><cell r="AG2187" t="str"><v>Facebook»Developers/ITPros-Azure Direct-Sponsored Post-Link Ad-FreeAcctRetargetingVMFB-OnDemand-ChE»1x1»SocialBan»SOC»ALL»CPC»BT»D»UNK»SS»NA»Trials</v></cell><cell r="AH2187"><v>224560833</v></cell><cell r="AI2187" t="str"><v>AZR_FreeAcctRetargetingVMFB-OnDemand-ChE_FRA_1200x628_SOC_AZRDirect_French_NA_Facebook_SBAN_SINU_T2_1</v></cell><cell r="AJ2187"><v>103376990</v></cell></row><row r="2188"><cell r="C2188" t="str"><v>43297Facebook»Audience & Interest Targeting»1x1»SocialBan»LIA»DT»CPC»AUT»W»NA»SS»NA»Basic Motion</v></cell><cell r="D2188" t="str"><v>43297224399962</v></cell><cell r="E2188" t="str"><v>43297103235146Motion</v></cell><cell r="F2188" t="str"><v>DCM</v></cell><cell r="G2188" t="str"><v>https://signup.azure.com/signup?offer=ms-azr-0044p&appId=102&ref=paidmedia-social-fb&redirectURL=https%3a%2f%2fazure.microsoft.com%2fen-gb%2fget-started%2fwelcome-to-azure%2f&l=en-gb&correlationId=ead86c34-1f10-49dd-a72b-6918462a2cbf</v></cell></row><row r="2188"><cell r="K2188" t="str"><v>July</v></cell><cell r="L2188"><v>43302</v></cell><cell r="M2188" t="str"><v>Tier 1</v></cell><cell r="N2188" t="str"><v>EMEA</v></cell><cell r="O2188" t="str"><v>United Kingdom</v></cell><cell r="P2188" t="str"><v>Trial</v></cell><cell r="Q2188" t="str"><v>Social</v></cell><cell r="R2188" t="str"><v>Azure</v></cell><cell r="S2188" t="str"><v>Apps & Infra</v></cell><cell r="T2188" t="str"><v>Developers & ITI's</v></cell><cell r="U2188" t="str"><v>Audience & Interest Targeting</v></cell><cell r="V2188" t="str"><v>Audience Targeting</v></cell><cell r="W2188" t="str"><v>Link Ad</v></cell><cell r="X2188" t="str"><v>1x1</v></cell></row><row r="2188"><cell r="AA2188"><v>43297</v></cell><cell r="AB2188" t="str"><v>GBR_gaPMG_CE_AZR_Q1_19_Trial-Social</v></cell><cell r="AC2188"><v>21337013</v></cell><cell r="AD2188"><v>720196</v></cell><cell r="AE2188" t="str"><v>Facebook</v></cell><cell r="AF2188"><v>3654128</v></cell><cell r="AG2188" t="str"><v>Facebook»Audience & Interest Targeting»1x1»SocialBan»LIA»DT»CPC»AUT»W»NA»SS»NA»Basic Motion</v></cell><cell r="AH2188"><v>224399962</v></cell><cell r="AI2188" t="str"><v>AzurePlatform_FBCTCcanvaspage-StartFreeCTA-Img2_GBR_1080x143 _SOC_Plat_English_NA_Standard_NA_NA_T2_1</v></cell><cell r="AJ2188"><v>103235146</v></cell></row><row r="2189"><cell r="C2189" t="str"><v>43297Facebook»Audience & Interest Targeting»1x1»SocialBan»LIA»DT»CPC»AUT»W»NA»SS»NA»Benefit 2 in Motion</v></cell><cell r="D2189" t="str"><v>43297224334170</v></cell><cell r="E2189" t="str"><v>43297103235146Motion</v></cell><cell r="F2189" t="str"><v>DCM</v></cell><cell r="G2189" t="str"><v>https://signup.azure.com/signup?offer=ms-azr-0044p&appId=102&ref=paidmedia-social-fb&redirectURL=https%3a%2f%2fazure.microsoft.com%2fen-gb%2fget-started%2fwelcome-to-azure%2f&l=en-gb&correlationId=ead86c34-1f10-49dd-a72b-6918462a2cbf</v></cell></row><row r="2189"><cell r="K2189" t="str"><v>July</v></cell><cell r="L2189"><v>43302</v></cell><cell r="M2189" t="str"><v>Tier 1</v></cell><cell r="N2189" t="str"><v>EMEA</v></cell><cell r="O2189" t="str"><v>United Kingdom</v></cell><cell r="P2189" t="str"><v>Trial</v></cell><cell r="Q2189" t="str"><v>Social</v></cell><cell r="R2189" t="str"><v>Azure</v></cell><cell r="S2189" t="str"><v>Apps & Infra</v></cell><cell r="T2189" t="str"><v>Developers & ITI's</v></cell><cell r="U2189" t="str"><v>Audience & Interest Targeting</v></cell><cell r="V2189" t="str"><v>Audience Targeting</v></cell><cell r="W2189" t="str"><v>Link Ad</v></cell><cell r="X2189" t="str"><v>1x1</v></cell></row><row r="2189"><cell r="AA2189"><v>43297</v></cell><cell r="AB2189" t="str"><v>GBR_gaPMG_CE_AZR_Q1_19_Trial-Social</v></cell><cell r="AC2189"><v>21337013</v></cell><cell r="AD2189"><v>720196</v></cell><cell r="AE2189" t="str"><v>Facebook</v></cell><cell r="AF2189"><v>3654128</v></cell><cell r="AG2189" t="str"><v>Facebook»Audience & Interest Targeting»1x1»SocialBan»LIA»DT»CPC»AUT»W»NA»SS»NA»Benefit 2 in Motion</v></cell><cell r="AH2189"><v>224334170</v></cell><cell r="AI2189" t="str"><v>AzurePlatform_FBCTCcanvaspage-StartFreeCTA-Img2_GBR_1080x143 _SOC_Plat_English_NA_Standard_NA_NA_T2_1</v></cell><cell r="AJ2189"><v>103235146</v></cell></row><row r="2190"><cell r="C2190" t="str"><v>43297Facebook»Audience & Interest Targeting»1x1»SocialBan»LIA»DT»CPC»AUT»W»NA»SS»NA»Brand in Motion</v></cell><cell r="D2190" t="str"><v>43297224549481</v></cell><cell r="E2190" t="str"><v>43297103235146Motion</v></cell><cell r="F2190" t="str"><v>DCM</v></cell><cell r="G2190" t="str"><v>https://signup.azure.com/signup?offer=ms-azr-0044p&appId=102&ref=paidmedia-social-fb&redirectURL=https%3a%2f%2fazure.microsoft.com%2fen-gb%2fget-started%2fwelcome-to-azure%2f&l=en-gb&correlationId=ead86c34-1f10-49dd-a72b-6918462a2cbf</v></cell></row><row r="2190"><cell r="K2190" t="str"><v>July</v></cell><cell r="L2190"><v>43302</v></cell><cell r="M2190" t="str"><v>Tier 1</v></cell><cell r="N2190" t="str"><v>EMEA</v></cell><cell r="O2190" t="str"><v>United Kingdom</v></cell><cell r="P2190" t="str"><v>Trial</v></cell><cell r="Q2190" t="str"><v>Social</v></cell><cell r="R2190" t="str"><v>Azure</v></cell><cell r="S2190" t="str"><v>Apps & Infra</v></cell><cell r="T2190" t="str"><v>Developers & ITI's</v></cell><cell r="U2190" t="str"><v>Audience & Interest Targeting</v></cell><cell r="V2190" t="str"><v>Audience Targeting</v></cell><cell r="W2190" t="str"><v>Link Ad</v></cell><cell r="X2190" t="str"><v>1x1</v></cell></row><row r="2190"><cell r="AA2190"><v>43297</v></cell><cell r="AB2190" t="str"><v>GBR_gaPMG_CE_AZR_Q1_19_Trial-Social</v></cell><cell r="AC2190"><v>21337013</v></cell><cell r="AD2190"><v>720196</v></cell><cell r="AE2190" t="str"><v>Facebook</v></cell><cell r="AF2190"><v>3654128</v></cell><cell r="AG2190" t="str"><v>Facebook»Audience & Interest Targeting»1x1»SocialBan»LIA»DT»CPC»AUT»W»NA»SS»NA»Brand in Motion</v></cell><cell r="AH2190"><v>224549481</v></cell><cell r="AI2190" t="str"><v>AzurePlatform_FBCTCcanvaspage-StartFreeCTA-Img2_GBR_1080x143 _SOC_Plat_English_NA_Standard_NA_NA_T2_1</v></cell><cell r="AJ2190"><v>103235146</v></cell></row><row r="2191"><cell r="C2191" t="str"><v>43297Facebook»Audience & Interest Targeting»1x1»SocialBan»LIA»DT»DYN»AUT»W»NA»SS»NA»Free Account Refresh- 12 months ChE</v></cell><cell r="D2191" t="str"><v>43297223567691</v></cell><cell r="E2191" t="str"><v>43297102854007hs ChE</v></cell><cell r="F2191" t="str"><v>DCM</v></cell><cell r="G2191" t="str"><v>https://azure.microsoft.com/en-gb/free/search/</v></cell></row><row r="2191"><cell r="K2191" t="str"><v>July</v></cell><cell r="L2191"><v>43302</v></cell><cell r="M2191" t="str"><v>Tier 1</v></cell><cell r="N2191" t="str"><v>EMEA</v></cell><cell r="O2191" t="str"><v>United Kingdom</v></cell><cell r="P2191" t="str"><v>Trial</v></cell><cell r="Q2191" t="str"><v>Social</v></cell><cell r="R2191" t="str"><v>Azure</v></cell><cell r="S2191" t="str"><v>Apps & Infra</v></cell><cell r="T2191" t="str"><v>Developers & ITI's</v></cell><cell r="U2191" t="str"><v>Audience & Interest Targeting</v></cell><cell r="V2191" t="str"><v>Audience Targeting</v></cell><cell r="W2191" t="str"><v>Link Ad</v></cell><cell r="X2191" t="str"><v>1x1</v></cell></row><row r="2191"><cell r="AA2191"><v>43297</v></cell><cell r="AB2191" t="str"><v>GBR_gaPMG_CE_AZR_Q1_19_Trial-Social</v></cell><cell r="AC2191"><v>21337013</v></cell><cell r="AD2191"><v>720196</v></cell><cell r="AE2191" t="str"><v>Facebook</v></cell><cell r="AF2191"><v>3654128</v></cell><cell r="AG2191" t="str"><v>Facebook»Audience & Interest Targeting»1x1»SocialBan»LIA»DT»DYN»AUT»W»NA»SS»NA»Free Account Refresh- 12 months ChE</v></cell><cell r="AH2191"><v>223567691</v></cell><cell r="AI2191" t="str"><v>AzurePlatform_FreeAcctAppsFACEBOOK12monthsChE_GBR_1200x628_SOC_PLAT_EN_Trial_Standard_NA_SU_T5_1</v></cell><cell r="AJ2191"><v>102854007</v></cell></row><row r="2192"><cell r="C2192" t="str"><v>43297Facebook»Audience & Interest Targeting»1x1»SocialBan»LIA»DT»DYN»AUT»W»NA»SS»NA»Free Account Refresh- 200 Credit ChD</v></cell><cell r="D2192" t="str"><v>43297223560359</v></cell><cell r="E2192" t="str"><v>43297103005662it ChD</v></cell><cell r="F2192" t="str"><v>DCM</v></cell><cell r="G2192" t="str"><v>https://azure.microsoft.com/en-gb/free/search/</v></cell></row><row r="2192"><cell r="K2192" t="str"><v>July</v></cell><cell r="L2192"><v>43302</v></cell><cell r="M2192" t="str"><v>Tier 1</v></cell><cell r="N2192" t="str"><v>EMEA</v></cell><cell r="O2192" t="str"><v>United Kingdom</v></cell><cell r="P2192" t="str"><v>Trial</v></cell><cell r="Q2192" t="str"><v>Social</v></cell><cell r="R2192" t="str"><v>Azure</v></cell><cell r="S2192" t="str"><v>Apps & Infra</v></cell><cell r="T2192" t="str"><v>Developers & ITI's</v></cell><cell r="U2192" t="str"><v>Audience & Interest Targeting</v></cell><cell r="V2192" t="str"><v>Audience Targeting</v></cell><cell r="W2192" t="str"><v>Link Ad</v></cell><cell r="X2192" t="str"><v>1x1</v></cell></row><row r="2192"><cell r="AA2192"><v>43297</v></cell><cell r="AB2192" t="str"><v>GBR_gaPMG_CE_AZR_Q1_19_Trial-Social</v></cell><cell r="AC2192"><v>21337013</v></cell><cell r="AD2192"><v>720196</v></cell><cell r="AE2192" t="str"><v>Facebook</v></cell><cell r="AF2192"><v>3654128</v></cell><cell r="AG2192" t="str"><v>Facebook»Audience & Interest Targeting»1x1»SocialBan»LIA»DT»DYN»AUT»W»NA»SS»NA»Free Account Refresh- 200 Credit ChD</v></cell><cell r="AH2192"><v>223560359</v></cell><cell r="AI2192" t="str"><v>AzurePlatform_FreeAcctAppsFACEBOOK200CreditChD_GBR_1200x628_SOC_PLAT_EN_Trial_Standard_NA_SU_T4_1</v></cell><cell r="AJ2192"><v>103005662</v></cell></row><row r="2193"><cell r="C2193" t="str"><v>43297Facebook»Audience & Interest Targeting»1x1»SocialBan»LIA»DT»DYN»AUT»W»NA»SS»NA»Free Account Refresh- Device ChB</v></cell><cell r="D2193" t="str"><v>43297223560353</v></cell><cell r="E2193" t="str"><v>43297102854010ce ChB</v></cell><cell r="F2193" t="str"><v>DCM</v></cell><cell r="G2193" t="str"><v>https://azure.microsoft.com/en-gb/free/search/</v></cell></row><row r="2193"><cell r="K2193" t="str"><v>July</v></cell><cell r="L2193"><v>43302</v></cell><cell r="M2193" t="str"><v>Tier 1</v></cell><cell r="N2193" t="str"><v>EMEA</v></cell><cell r="O2193" t="str"><v>United Kingdom</v></cell><cell r="P2193" t="str"><v>Trial</v></cell><cell r="Q2193" t="str"><v>Social</v></cell><cell r="R2193" t="str"><v>Azure</v></cell><cell r="S2193" t="str"><v>Apps & Infra</v></cell><cell r="T2193" t="str"><v>Developers & ITI's</v></cell><cell r="U2193" t="str"><v>Audience & Interest Targeting</v></cell><cell r="V2193" t="str"><v>Audience Targeting</v></cell><cell r="W2193" t="str"><v>Link Ad</v></cell><cell r="X2193" t="str"><v>1x1</v></cell></row><row r="2193"><cell r="AA2193"><v>43297</v></cell><cell r="AB2193" t="str"><v>GBR_gaPMG_CE_AZR_Q1_19_Trial-Social</v></cell><cell r="AC2193"><v>21337013</v></cell><cell r="AD2193"><v>720196</v></cell><cell r="AE2193" t="str"><v>Facebook</v></cell><cell r="AF2193"><v>3654128</v></cell><cell r="AG2193" t="str"><v>Facebook»Audience & Interest Targeting»1x1»SocialBan»LIA»DT»DYN»AUT»W»NA»SS»NA»Free Account Refresh- Device ChB</v></cell><cell r="AH2193"><v>223560353</v></cell><cell r="AI2193" t="str"><v>AzurePlatform_FreeAcctAppsFACEBOOKDeviceChB_GBR_1200x628_SOC_PLAT_EN_Trial_Standard_NA_SU_T2_1</v></cell><cell r="AJ2193"><v>102854010</v></cell></row><row r="2194"><cell r="C2194" t="str"><v>43297Facebook»Audience & Interest Targeting»1x1»SocialBan»LIA»DT»DYN»AUT»W»NA»SS»NA»Free Account Refresh- Illustration ChC</v></cell><cell r="D2194" t="str"><v>43297223560347</v></cell><cell r="E2194" t="str"><v>43297102857037on ChC</v></cell><cell r="F2194" t="str"><v>DCM</v></cell><cell r="G2194" t="str"><v>https://azure.microsoft.com/en-gb/free/search/</v></cell></row><row r="2194"><cell r="K2194" t="str"><v>July</v></cell><cell r="L2194"><v>43302</v></cell><cell r="M2194" t="str"><v>Tier 1</v></cell><cell r="N2194" t="str"><v>EMEA</v></cell><cell r="O2194" t="str"><v>United Kingdom</v></cell><cell r="P2194" t="str"><v>Trial</v></cell><cell r="Q2194" t="str"><v>Social</v></cell><cell r="R2194" t="str"><v>Azure</v></cell><cell r="S2194" t="str"><v>Apps & Infra</v></cell><cell r="T2194" t="str"><v>Developers & ITI's</v></cell><cell r="U2194" t="str"><v>Audience & Interest Targeting</v></cell><cell r="V2194" t="str"><v>Audience Targeting</v></cell><cell r="W2194" t="str"><v>Link Ad</v></cell><cell r="X2194" t="str"><v>1x1</v></cell></row><row r="2194"><cell r="AA2194"><v>43297</v></cell><cell r="AB2194" t="str"><v>GBR_gaPMG_CE_AZR_Q1_19_Trial-Social</v></cell><cell r="AC2194"><v>21337013</v></cell><cell r="AD2194"><v>720196</v></cell><cell r="AE2194" t="str"><v>Facebook</v></cell><cell r="AF2194"><v>3654128</v></cell><cell r="AG2194" t="str"><v>Facebook»Audience & Interest Targeting»1x1»SocialBan»LIA»DT»DYN»AUT»W»NA»SS»NA»Free Account Refresh- Illustration ChC</v></cell><cell r="AH2194"><v>223560347</v></cell><cell r="AI2194" t="str"><v>AzurePlatform_FreeAcctAppsFACEBOOKIllustrationChC_GBR_1200x628_SOC_PLAT_EN_Trial_Standard_NA_SU_T3_1</v></cell><cell r="AJ2194"><v>102857037</v></cell></row><row r="2195"><cell r="C2195" t="str"><v>43297Facebook»Audience & Interest Targeting»1x1»SocialBan»LIA»DT»DYN»AUT»W»NA»SS»NA»Free Account Refresh- Lifestyle ChA</v></cell><cell r="D2195" t="str"><v>43297223560341</v></cell><cell r="E2195" t="str"><v>43297102853597le ChA</v></cell><cell r="F2195" t="str"><v>DCM</v></cell><cell r="G2195" t="str"><v>https://azure.microsoft.com/en-gb/free/search/</v></cell></row><row r="2195"><cell r="K2195" t="str"><v>July</v></cell><cell r="L2195"><v>43302</v></cell><cell r="M2195" t="str"><v>Tier 1</v></cell><cell r="N2195" t="str"><v>EMEA</v></cell><cell r="O2195" t="str"><v>United Kingdom</v></cell><cell r="P2195" t="str"><v>Trial</v></cell><cell r="Q2195" t="str"><v>Social</v></cell><cell r="R2195" t="str"><v>Azure</v></cell><cell r="S2195" t="str"><v>Apps & Infra</v></cell><cell r="T2195" t="str"><v>Developers & ITI's</v></cell><cell r="U2195" t="str"><v>Audience & Interest Targeting</v></cell><cell r="V2195" t="str"><v>Audience Targeting</v></cell><cell r="W2195" t="str"><v>Link Ad</v></cell><cell r="X2195" t="str"><v>1x1</v></cell></row><row r="2195"><cell r="AA2195"><v>43297</v></cell><cell r="AB2195" t="str"><v>GBR_gaPMG_CE_AZR_Q1_19_Trial-Social</v></cell><cell r="AC2195"><v>21337013</v></cell><cell r="AD2195"><v>720196</v></cell><cell r="AE2195" t="str"><v>Facebook</v></cell><cell r="AF2195"><v>3654128</v></cell><cell r="AG2195" t="str"><v>Facebook»Audience & Interest Targeting»1x1»SocialBan»LIA»DT»DYN»AUT»W»NA»SS»NA»Free Account Refresh- Lifestyle ChA</v></cell><cell r="AH2195"><v>223560341</v></cell><cell r="AI2195" t="str"><v>AzurePlatform_FreeAcctAppsFACEBOOKLifestyleChA_GBR_1200x628_SOC_PLAT_EN_Trial_Standard_NA_SU_T1_1</v></cell><cell r="AJ2195"><v>102853597</v></cell></row><row r="2196"><cell r="C2196" t="str"><v>43297Facebook»Retargeting»1x1»SocialBan»LIA»DT»DYN»RT»W»NA»SS»NA»Free Account Retargeting Generic- Animated ChC</v></cell><cell r="D2196" t="str"><v>43297223560299</v></cell><cell r="E2196" t="str"><v>43297102854019ed ChC</v></cell><cell r="F2196" t="str"><v>DCM</v></cell><cell r="G2196" t="str"><v>https://azure.microsoft.com/en-gb/free/search/</v></cell></row><row r="2196"><cell r="K2196" t="str"><v>July</v></cell><cell r="L2196"><v>43302</v></cell><cell r="M2196" t="str"><v>Tier 1</v></cell><cell r="N2196" t="str"><v>EMEA</v></cell><cell r="O2196" t="str"><v>United Kingdom</v></cell><cell r="P2196" t="str"><v>Trial</v></cell><cell r="Q2196" t="str"><v>Social</v></cell><cell r="R2196" t="str"><v>Azure</v></cell><cell r="S2196" t="str"><v>Apps & Infra</v></cell><cell r="T2196" t="str"><v>Developers & ITI's</v></cell><cell r="U2196" t="str"><v>Retargeting</v></cell><cell r="V2196" t="str"><v>Retargeting</v></cell><cell r="W2196" t="str"><v>Link Ad</v></cell><cell r="X2196" t="str"><v>1x1</v></cell></row><row r="2196"><cell r="AA2196"><v>43297</v></cell><cell r="AB2196" t="str"><v>GBR_gaPMG_CE_AZR_Q1_19_Trial-Social</v></cell><cell r="AC2196"><v>21337013</v></cell><cell r="AD2196"><v>720196</v></cell><cell r="AE2196" t="str"><v>Facebook</v></cell><cell r="AF2196"><v>3654128</v></cell><cell r="AG2196" t="str"><v>Facebook»Retargeting»1x1»SocialBan»LIA»DT»DYN»RT»W»NA»SS»NA»Free Account Retargeting Generic- Animated ChC</v></cell><cell r="AH2196"><v>223560299</v></cell><cell r="AI2196" t="str"><v>AzurePlatform_FreeAcctRetargetingFB-Animated-ChC_GBR_1200x628_SOC_Plat_EN_Free Account_Standard_ANI_SU_T3_1</v></cell><cell r="AJ2196"><v>102854019</v></cell></row><row r="2197"><cell r="C2197" t="str"><v>43297Facebook»Retargeting»1x1»SocialBan»LIA»DT»DYN»RT»W»NA»SS»NA»Free Account Retargeting Generic- Global Alt ChB</v></cell><cell r="D2197" t="str"><v>43297223560356</v></cell><cell r="E2197" t="str"><v>43297102854016lt ChB</v></cell><cell r="F2197" t="str"><v>DCM</v></cell><cell r="G2197" t="str"><v>https://azure.microsoft.com/en-gb/free/search/</v></cell></row><row r="2197"><cell r="K2197" t="str"><v>July</v></cell><cell r="L2197"><v>43302</v></cell><cell r="M2197" t="str"><v>Tier 1</v></cell><cell r="N2197" t="str"><v>EMEA</v></cell><cell r="O2197" t="str"><v>United Kingdom</v></cell><cell r="P2197" t="str"><v>Trial</v></cell><cell r="Q2197" t="str"><v>Social</v></cell><cell r="R2197" t="str"><v>Azure</v></cell><cell r="S2197" t="str"><v>Apps & Infra</v></cell><cell r="T2197" t="str"><v>Developers & ITI's</v></cell><cell r="U2197" t="str"><v>Retargeting</v></cell><cell r="V2197" t="str"><v>Retargeting</v></cell><cell r="W2197" t="str"><v>Link Ad</v></cell><cell r="X2197" t="str"><v>1x1</v></cell></row><row r="2197"><cell r="AA2197"><v>43297</v></cell><cell r="AB2197" t="str"><v>GBR_gaPMG_CE_AZR_Q1_19_Trial-Social</v></cell><cell r="AC2197"><v>21337013</v></cell><cell r="AD2197"><v>720196</v></cell><cell r="AE2197" t="str"><v>Facebook</v></cell><cell r="AF2197"><v>3654128</v></cell><cell r="AG2197" t="str"><v>Facebook»Retargeting»1x1»SocialBan»LIA»DT»DYN»RT»W»NA»SS»NA»Free Account Retargeting Generic- Global Alt ChB</v></cell><cell r="AH2197"><v>223560356</v></cell><cell r="AI2197" t="str"><v>AzurePlatform_FreeAcctRetargetingFB-GlobalAlt-ChB_GBR_1200x628_SOC_Plat_EN_Free Account_Standard_NA_SU_T2_1</v></cell><cell r="AJ2197"><v>102854016</v></cell></row><row r="2198"><cell r="C2198" t="str"><v>43297Facebook»Retargeting»1x1»SocialBan»LIA»DT»DYN»RT»W»NA»SS»NA»Free Account Retargeting OSS- Logos ChG</v></cell><cell r="D2198" t="str"><v>43297223560350</v></cell><cell r="E2198" t="str"><v>43297103006547os ChG</v></cell><cell r="F2198" t="str"><v>DCM</v></cell><cell r="G2198" t="str"><v>https://azure.microsoft.com/en-gb/free/open-source/search/</v></cell></row><row r="2198"><cell r="K2198" t="str"><v>July</v></cell><cell r="L2198"><v>43302</v></cell><cell r="M2198" t="str"><v>Tier 1</v></cell><cell r="N2198" t="str"><v>EMEA</v></cell><cell r="O2198" t="str"><v>United Kingdom</v></cell><cell r="P2198" t="str"><v>Trial</v></cell><cell r="Q2198" t="str"><v>Social</v></cell><cell r="R2198" t="str"><v>Azure</v></cell><cell r="S2198" t="str"><v>Apps & Infra</v></cell><cell r="T2198" t="str"><v>Developers & ITI's</v></cell><cell r="U2198" t="str"><v>Retargeting</v></cell><cell r="V2198" t="str"><v>Retargeting</v></cell><cell r="W2198" t="str"><v>Link Ad</v></cell><cell r="X2198" t="str"><v>1x1</v></cell></row><row r="2198"><cell r="AA2198"><v>43297</v></cell><cell r="AB2198" t="str"><v>GBR_gaPMG_CE_AZR_Q1_19_Trial-Social</v></cell><cell r="AC2198"><v>21337013</v></cell><cell r="AD2198"><v>720196</v></cell><cell r="AE2198" t="str"><v>Facebook</v></cell><cell r="AF2198"><v>3654128</v></cell><cell r="AG2198" t="str"><v>Facebook»Retargeting»1x1»SocialBan»LIA»DT»DYN»RT»W»NA»SS»NA»Free Account Retargeting OSS- Logos ChG</v></cell><cell r="AH2198"><v>223560350</v></cell><cell r="AI2198" t="str"><v>AzurePlatform_FreeAcctRetargetingOSSFB-Logos-ChG_GBR_1200x628_SOC_Plat_EN_Free Account_Standard_NA_SU_T2_1</v></cell><cell r="AJ2198"><v>103006547</v></cell></row><row r="2199"><cell r="C2199" t="str"><v>43297Facebook»Retargeting»1x1»SocialBan»LIA»DT»DYN»RT»W»NA»SS»NA»Free Account Retargeting VM- 750 Hrs ChD</v></cell><cell r="D2199" t="str"><v>43297223560338</v></cell><cell r="E2199" t="str"><v>43297102853603rs ChD</v></cell><cell r="F2199" t="str"><v>DCM</v></cell><cell r="G2199" t="str"><v>https://azure.microsoft.com/en-gb/free/virtual-machines/search/</v></cell></row><row r="2199"><cell r="K2199" t="str"><v>July</v></cell><cell r="L2199"><v>43302</v></cell><cell r="M2199" t="str"><v>Tier 1</v></cell><cell r="N2199" t="str"><v>EMEA</v></cell><cell r="O2199" t="str"><v>United Kingdom</v></cell><cell r="P2199" t="str"><v>Trial</v></cell><cell r="Q2199" t="str"><v>Social</v></cell><cell r="R2199" t="str"><v>Azure</v></cell><cell r="S2199" t="str"><v>Apps & Infra</v></cell><cell r="T2199" t="str"><v>Developers & ITI's</v></cell><cell r="U2199" t="str"><v>Retargeting</v></cell><cell r="V2199" t="str"><v>Retargeting</v></cell><cell r="W2199" t="str"><v>Link Ad</v></cell><cell r="X2199" t="str"><v>1x1</v></cell></row><row r="2199"><cell r="AA2199"><v>43297</v></cell><cell r="AB2199" t="str"><v>GBR_gaPMG_CE_AZR_Q1_19_Trial-Social</v></cell><cell r="AC2199"><v>21337013</v></cell><cell r="AD2199"><v>720196</v></cell><cell r="AE2199" t="str"><v>Facebook</v></cell><cell r="AF2199"><v>3654128</v></cell><cell r="AG2199" t="str"><v>Facebook»Retargeting»1x1»SocialBan»LIA»DT»DYN»RT»W»NA»SS»NA»Free Account Retargeting VM- 750 Hrs ChD</v></cell><cell r="AH2199"><v>223560338</v></cell><cell r="AI2199" t="str"><v>AzurePlatform_FreeAcctRetargetingVMFB-750Hrs-ChD_GBR_1200x628_SOC_Plat_EN_Free Account_Standard_NA_SU_T1_1</v></cell><cell r="AJ2199"><v>102853603</v></cell></row><row r="2200"><cell r="C2200" t="str"><v>43297Facebook»Retargeting»1x1»SocialBan»LIA»DT»DYN»RT»W»NA»SS»NA»Free Account Retargeting VM- On Demand ChE</v></cell><cell r="D2200" t="str"><v>43297223560332</v></cell><cell r="E2200" t="str"><v>43297102854037nd ChE</v></cell><cell r="F2200" t="str"><v>DCM</v></cell><cell r="G2200" t="str"><v>https://azure.microsoft.com/en-gb/free/virtual-machines/search/</v></cell></row><row r="2200"><cell r="K2200" t="str"><v>July</v></cell><cell r="L2200"><v>43302</v></cell><cell r="M2200" t="str"><v>Tier 1</v></cell><cell r="N2200" t="str"><v>EMEA</v></cell><cell r="O2200" t="str"><v>United Kingdom</v></cell><cell r="P2200" t="str"><v>Trial</v></cell><cell r="Q2200" t="str"><v>Social</v></cell><cell r="R2200" t="str"><v>Azure</v></cell><cell r="S2200" t="str"><v>Apps & Infra</v></cell><cell r="T2200" t="str"><v>Developers & ITI's</v></cell><cell r="U2200" t="str"><v>Retargeting</v></cell><cell r="V2200" t="str"><v>Retargeting</v></cell><cell r="W2200" t="str"><v>Link Ad</v></cell><cell r="X2200" t="str"><v>1x1</v></cell></row><row r="2200"><cell r="AA2200"><v>43297</v></cell><cell r="AB2200" t="str"><v>GBR_gaPMG_CE_AZR_Q1_19_Trial-Social</v></cell><cell r="AC2200"><v>21337013</v></cell><cell r="AD2200"><v>720196</v></cell><cell r="AE2200" t="str"><v>Facebook</v></cell><cell r="AF2200"><v>3654128</v></cell><cell r="AG2200" t="str"><v>Facebook»Retargeting»1x1»SocialBan»LIA»DT»DYN»RT»W»NA»SS»NA»Free Account Retargeting VM- On Demand ChE</v></cell><cell r="AH2200"><v>223560332</v></cell><cell r="AI2200" t="str"><v>AzurePlatform_FreeAcctRetargetingVMFB-OnDemand-ChE_GBR_1200x628_SOC_Plat_EN_Free Account_Standard_NA_SU_T2_1</v></cell><cell r="AJ2200"><v>102854037</v></cell></row><row r="2201"><cell r="C2201" t="str"><v>43297Facebook»AZP-Canvas-Interest&Role-Trial»1x1»Canvas»OTH»MO»CPM»PRO»X»UNK»TP»OT»Canvas-Trial</v></cell><cell r="D2201" t="str"><v>43297223298805</v></cell><cell r="E2201" t="str"><v>43297102630373-Trial</v></cell><cell r="F2201" t="str"><v>DCM</v></cell><cell r="G2201" t="str"><v>https://azure.microsoft.com/ja-jp/pricing/purchase-options/</v></cell></row><row r="2201"><cell r="K2201" t="str"><v>July</v></cell><cell r="L2201"><v>43302</v></cell><cell r="M2201" t="str"><v>Tier 1</v></cell><cell r="N2201" t="str"><v>APAC</v></cell><cell r="O2201" t="str"><v>Japan</v></cell><cell r="P2201" t="str"><v>Trial</v></cell><cell r="Q2201" t="str"><v>Social</v></cell><cell r="R2201" t="str"><v>Azure</v></cell><cell r="S2201" t="str"><v>Apps & Infra</v></cell><cell r="T2201" t="str"><v>Developers & ITI's</v></cell><cell r="U2201" t="str"><v>AZP-Canvas-Interest&Role-Trial</v></cell><cell r="V2201" t="str"><v>Prospecting</v></cell><cell r="W2201" t="str"><v>Other</v></cell><cell r="X2201" t="str"><v>1x1</v></cell></row><row r="2201"><cell r="AA2201"><v>43297</v></cell><cell r="AB2201" t="str"><v>JPN_gaPMG_AZR_AZR_Q1_19_Trial-Social</v></cell><cell r="AC2201"><v>21276694</v></cell><cell r="AD2201"><v>720195</v></cell><cell r="AE2201" t="str"><v>Facebook</v></cell><cell r="AF2201"><v>3654128</v></cell><cell r="AG2201" t="str"><v>Facebook»AZP-Canvas-Interest&Role-Trial»1x1»Canvas»OTH»MO»CPM»PRO»X»UNK»TP»OT»Canvas-Trial</v></cell><cell r="AH2201"><v>223298805</v></cell><cell r="AI2201" t="str"><v>AzurePlatform_FBCTCcanvaspage-BuyNowCTA-Img3_JPN_1080x162_SOC_Plat_Japanese_NA_Standard_NA_BN_T3_1</v></cell><cell r="AJ2201"><v>102630373</v></cell></row><row r="2202"><cell r="C2202" t="str"><v>43297Facebook»AZP-Canvas-Interest&Role-Trial»1x1»Canvas»OTH»MO»CPM»PRO»X»UNK»TP»OT»Canvas-Trial</v></cell><cell r="D2202" t="str"><v>43297223298805</v></cell><cell r="E2202" t="str"><v>43297102609621-Trial</v></cell><cell r="F2202" t="str"><v>DCM</v></cell><cell r="G2202" t="str"><v>https://signup.azure.com/signup?offer=ms-azr-0044p&appId=102&ref=paidmedia-social-fb&redirectURL=https%3a%2f%2fazure.microsoft.com%2fja-jp%2fget-started%2fwelcome-to-azure%2f&l=ja-jp&correlationId=ead86c34-1f10-49dd-a72b-6918462a2cbf</v></cell></row><row r="2202"><cell r="K2202" t="str"><v>July</v></cell><cell r="L2202"><v>43302</v></cell><cell r="M2202" t="str"><v>Tier 1</v></cell><cell r="N2202" t="str"><v>APAC</v></cell><cell r="O2202" t="str"><v>Japan</v></cell><cell r="P2202" t="str"><v>Trial</v></cell><cell r="Q2202" t="str"><v>Social</v></cell><cell r="R2202" t="str"><v>Azure</v></cell><cell r="S2202" t="str"><v>Apps & Infra</v></cell><cell r="T2202" t="str"><v>Developers & ITI's</v></cell><cell r="U2202" t="str"><v>AZP-Canvas-Interest&Role-Trial</v></cell><cell r="V2202" t="str"><v>Prospecting</v></cell><cell r="W2202" t="str"><v>Other</v></cell><cell r="X2202" t="str"><v>1x1</v></cell></row><row r="2202"><cell r="AA2202"><v>43297</v></cell><cell r="AB2202" t="str"><v>JPN_gaPMG_AZR_AZR_Q1_19_Trial-Social</v></cell><cell r="AC2202"><v>21276694</v></cell><cell r="AD2202"><v>720195</v></cell><cell r="AE2202" t="str"><v>Facebook</v></cell><cell r="AF2202"><v>3654128</v></cell><cell r="AG2202" t="str"><v>Facebook»AZP-Canvas-Interest&Role-Trial»1x1»Canvas»OTH»MO»CPM»PRO»X»UNK»TP»OT»Canvas-Trial</v></cell><cell r="AH2202"><v>223298805</v></cell><cell r="AI2202" t="str"><v>AzurePlatform_FBCTCcanvaspage-StartFreeCTA-Img2_JPN_1080x143 _SOC_Plat_Japanese_NA_Standard_NA_NA_T2_1</v></cell><cell r="AJ2202"><v>102609621</v></cell></row><row r="2203"><cell r="C2203" t="str"><v>43297Facebook»AZP-Canvas-Look a Like-Trial»1x1»Canvas»OTH»MO»CPM»PRO»X»UNK»TP»OT»Canvas-Trial</v></cell><cell r="D2203" t="str"><v>43297223297413</v></cell><cell r="E2203" t="str"><v>43297102630373-Trial</v></cell><cell r="F2203" t="str"><v>DCM</v></cell><cell r="G2203" t="str"><v>https://azure.microsoft.com/ja-jp/pricing/purchase-options/</v></cell></row><row r="2203"><cell r="K2203" t="str"><v>July</v></cell><cell r="L2203"><v>43302</v></cell><cell r="M2203" t="str"><v>Tier 1</v></cell><cell r="N2203" t="str"><v>APAC</v></cell><cell r="O2203" t="str"><v>Japan</v></cell><cell r="P2203" t="str"><v>Trial</v></cell><cell r="Q2203" t="str"><v>Social</v></cell><cell r="R2203" t="str"><v>Azure</v></cell><cell r="S2203" t="str"><v>Apps & Infra</v></cell><cell r="T2203" t="str"><v>Developers & ITI's</v></cell><cell r="U2203" t="str"><v>AZP-Canvas-Look a Like-Trial</v></cell><cell r="V2203" t="str"><v>Prospecting</v></cell><cell r="W2203" t="str"><v>Other</v></cell><cell r="X2203" t="str"><v>1x1</v></cell></row><row r="2203"><cell r="AA2203"><v>43297</v></cell><cell r="AB2203" t="str"><v>JPN_gaPMG_AZR_AZR_Q1_19_Trial-Social</v></cell><cell r="AC2203"><v>21276694</v></cell><cell r="AD2203"><v>720195</v></cell><cell r="AE2203" t="str"><v>Facebook</v></cell><cell r="AF2203"><v>3654128</v></cell><cell r="AG2203" t="str"><v>Facebook»AZP-Canvas-Look a Like-Trial»1x1»Canvas»OTH»MO»CPM»PRO»X»UNK»TP»OT»Canvas-Trial</v></cell><cell r="AH2203"><v>223297413</v></cell><cell r="AI2203" t="str"><v>AzurePlatform_FBCTCcanvaspage-BuyNowCTA-Img3_JPN_1080x162_SOC_Plat_Japanese_NA_Standard_NA_BN_T3_1</v></cell><cell r="AJ2203"><v>102630373</v></cell></row><row r="2204"><cell r="C2204" t="str"><v>43297Facebook»AZP-Canvas-Look a Like-Trial»1x1»Canvas»OTH»MO»CPM»PRO»X»UNK»TP»OT»Canvas-Trial</v></cell><cell r="D2204" t="str"><v>43297223297413</v></cell><cell r="E2204" t="str"><v>43297102609621-Trial</v></cell><cell r="F2204" t="str"><v>DCM</v></cell><cell r="G2204" t="str"><v>https://signup.azure.com/signup?offer=ms-azr-0044p&appId=102&ref=paidmedia-social-fb&redirectURL=https%3a%2f%2fazure.microsoft.com%2fja-jp%2fget-started%2fwelcome-to-azure%2f&l=ja-jp&correlationId=ead86c34-1f10-49dd-a72b-6918462a2cbf</v></cell></row><row r="2204"><cell r="K2204" t="str"><v>July</v></cell><cell r="L2204"><v>43302</v></cell><cell r="M2204" t="str"><v>Tier 1</v></cell><cell r="N2204" t="str"><v>APAC</v></cell><cell r="O2204" t="str"><v>Japan</v></cell><cell r="P2204" t="str"><v>Trial</v></cell><cell r="Q2204" t="str"><v>Social</v></cell><cell r="R2204" t="str"><v>Azure</v></cell><cell r="S2204" t="str"><v>Apps & Infra</v></cell><cell r="T2204" t="str"><v>Developers & ITI's</v></cell><cell r="U2204" t="str"><v>AZP-Canvas-Look a Like-Trial</v></cell><cell r="V2204" t="str"><v>Prospecting</v></cell><cell r="W2204" t="str"><v>Other</v></cell><cell r="X2204" t="str"><v>1x1</v></cell></row><row r="2204"><cell r="AA2204"><v>43297</v></cell><cell r="AB2204" t="str"><v>JPN_gaPMG_AZR_AZR_Q1_19_Trial-Social</v></cell><cell r="AC2204"><v>21276694</v></cell><cell r="AD2204"><v>720195</v></cell><cell r="AE2204" t="str"><v>Facebook</v></cell><cell r="AF2204"><v>3654128</v></cell><cell r="AG2204" t="str"><v>Facebook»AZP-Canvas-Look a Like-Trial»1x1»Canvas»OTH»MO»CPM»PRO»X»UNK»TP»OT»Canvas-Trial</v></cell><cell r="AH2204"><v>223297413</v></cell><cell r="AI2204" t="str"><v>AzurePlatform_FBCTCcanvaspage-StartFreeCTA-Img2_JPN_1080x143 _SOC_Plat_Japanese_NA_Standard_NA_NA_T2_1</v></cell><cell r="AJ2204"><v>102609621</v></cell></row><row r="2205"><cell r="C2205" t="str"><v>43297Facebook»AZP-Retargeting»1x1»Ban»LIA»ALL»CPM»RT»X»All»TP»OT»Free Account Retargeting Generic-ChB</v></cell><cell r="D2205" t="str"><v>43297223726377</v></cell><cell r="E2205" t="str"><v>43297102977720ic-ChB</v></cell><cell r="F2205" t="str"><v>DCM</v></cell><cell r="G2205" t="str"><v>https://azure.microsoft.com/ja-jp/free/search/</v></cell></row><row r="2205"><cell r="K2205" t="str"><v>July</v></cell><cell r="L2205"><v>43302</v></cell><cell r="M2205" t="str"><v>Tier 1</v></cell><cell r="N2205" t="str"><v>APAC</v></cell><cell r="O2205" t="str"><v>Japan</v></cell><cell r="P2205" t="str"><v>Trial</v></cell><cell r="Q2205" t="str"><v>Social</v></cell><cell r="R2205" t="str"><v>Azure</v></cell><cell r="S2205" t="str"><v>Apps & Infra</v></cell><cell r="T2205" t="str"><v>Developers & ITI's</v></cell><cell r="U2205" t="str"><v>AZP-Retargeting</v></cell><cell r="V2205" t="str"><v>Retargeting</v></cell><cell r="W2205" t="str"><v>Link Ad</v></cell><cell r="X2205" t="str"><v>1x1</v></cell></row><row r="2205"><cell r="AA2205"><v>43297</v></cell><cell r="AB2205" t="str"><v>JPN_gaPMG_AZR_AZR_Q1_19_Trial-Social</v></cell><cell r="AC2205"><v>21276694</v></cell><cell r="AD2205"><v>720195</v></cell><cell r="AE2205" t="str"><v>Facebook</v></cell><cell r="AF2205"><v>3654128</v></cell><cell r="AG2205" t="str"><v>Facebook»AZP-Retargeting»1x1»Ban»LIA»ALL»CPM»RT»X»All»TP»OT»Free Account Retargeting Generic-ChB</v></cell><cell r="AH2205"><v>223726377</v></cell><cell r="AI2205" t="str"><v>AzurePlatform_FreeAcctRetargetingFB-GlobalAlt-ChB_JPN_1200x628_SOC_Plat_JA_Free Account_Standard_NA_SU_T2_1</v></cell><cell r="AJ2205"><v>102977720</v></cell></row><row r="2206"><cell r="C2206" t="str"><v>43297Facebook»AZP-Retargeting»1x1»Ban»LIA»ALL»CPM»RT»X»All»TP»OT»Free Account Retargeting OSS-ChF</v></cell><cell r="D2206" t="str"><v>43297223726368</v></cell><cell r="E2206" t="str"><v>43297102974750SS-ChF</v></cell><cell r="F2206" t="str"><v>DCM</v></cell><cell r="G2206" t="str"><v>https://azure.microsoft.com/ja-jp/free/open-source/search/</v></cell></row><row r="2206"><cell r="K2206" t="str"><v>July</v></cell><cell r="L2206"><v>43302</v></cell><cell r="M2206" t="str"><v>Tier 1</v></cell><cell r="N2206" t="str"><v>APAC</v></cell><cell r="O2206" t="str"><v>Japan</v></cell><cell r="P2206" t="str"><v>Trial</v></cell><cell r="Q2206" t="str"><v>Social</v></cell><cell r="R2206" t="str"><v>Azure</v></cell><cell r="S2206" t="str"><v>Apps & Infra</v></cell><cell r="T2206" t="str"><v>Developers & ITI's</v></cell><cell r="U2206" t="str"><v>AZP-Retargeting</v></cell><cell r="V2206" t="str"><v>Retargeting</v></cell><cell r="W2206" t="str"><v>Link Ad</v></cell><cell r="X2206" t="str"><v>1x1</v></cell></row><row r="2206"><cell r="AA2206"><v>43297</v></cell><cell r="AB2206" t="str"><v>JPN_gaPMG_AZR_AZR_Q1_19_Trial-Social</v></cell><cell r="AC2206"><v>21276694</v></cell><cell r="AD2206"><v>720195</v></cell><cell r="AE2206" t="str"><v>Facebook</v></cell><cell r="AF2206"><v>3654128</v></cell><cell r="AG2206" t="str"><v>Facebook»AZP-Retargeting»1x1»Ban»LIA»ALL»CPM»RT»X»All»TP»OT»Free Account Retargeting OSS-ChF</v></cell><cell r="AH2206"><v>223726368</v></cell><cell r="AI2206" t="str"><v>AzurePlatform_FreeAcctRetargetingOSSFB-Text-ChF_JPN_1200x628_SOC_Plat_JA_Free Account_Standard_NA_SU_T1_1</v></cell><cell r="AJ2206"><v>102974750</v></cell></row><row r="2207"><cell r="C2207" t="str"><v>43297Facebook»AZP-Retargeting»1x1»Ban»LIA»ALL»CPM»RT»X»All»TP»OT»Free Account Retargeting OSS-ChG</v></cell><cell r="D2207" t="str"><v>43297223726365</v></cell><cell r="E2207" t="str"><v>43297102976850SS-ChG</v></cell><cell r="F2207" t="str"><v>DCM</v></cell><cell r="G2207" t="str"><v>https://azure.microsoft.com/ja-jp/free/open-source/search/</v></cell></row><row r="2207"><cell r="K2207" t="str"><v>July</v></cell><cell r="L2207"><v>43302</v></cell><cell r="M2207" t="str"><v>Tier 1</v></cell><cell r="N2207" t="str"><v>APAC</v></cell><cell r="O2207" t="str"><v>Japan</v></cell><cell r="P2207" t="str"><v>Trial</v></cell><cell r="Q2207" t="str"><v>Social</v></cell><cell r="R2207" t="str"><v>Azure</v></cell><cell r="S2207" t="str"><v>Apps & Infra</v></cell><cell r="T2207" t="str"><v>Developers & ITI's</v></cell><cell r="U2207" t="str"><v>AZP-Retargeting</v></cell><cell r="V2207" t="str"><v>Retargeting</v></cell><cell r="W2207" t="str"><v>Link Ad</v></cell><cell r="X2207" t="str"><v>1x1</v></cell></row><row r="2207"><cell r="AA2207"><v>43297</v></cell><cell r="AB2207" t="str"><v>JPN_gaPMG_AZR_AZR_Q1_19_Trial-Social</v></cell><cell r="AC2207"><v>21276694</v></cell><cell r="AD2207"><v>720195</v></cell><cell r="AE2207" t="str"><v>Facebook</v></cell><cell r="AF2207"><v>3654128</v></cell><cell r="AG2207" t="str"><v>Facebook»AZP-Retargeting»1x1»Ban»LIA»ALL»CPM»RT»X»All»TP»OT»Free Account Retargeting OSS-ChG</v></cell><cell r="AH2207"><v>223726365</v></cell><cell r="AI2207" t="str"><v>AzurePlatform_FreeAcctRetargetingOSSFB-Logos-ChG_JPN_1200x628_SOC_Plat_JA_Free Account_Standard_NA_SU_T2_1</v></cell><cell r="AJ2207"><v>102976850</v></cell></row><row r="2208"><cell r="C2208" t="str"><v>43297Facebook»AZP-Retargeting»1x1»Ban»LIA»ALL»CPM»RT»X»All»TP»OT»Free Account Retargeting VM-ChD</v></cell><cell r="D2208" t="str"><v>43297223726374</v></cell><cell r="E2208" t="str"><v>43297102971306VM-ChD</v></cell><cell r="F2208" t="str"><v>DCM</v></cell><cell r="G2208" t="str"><v>https://azure.microsoft.com/ja-jp/free/virtual-machines/search/</v></cell></row><row r="2208"><cell r="K2208" t="str"><v>July</v></cell><cell r="L2208"><v>43302</v></cell><cell r="M2208" t="str"><v>Tier 1</v></cell><cell r="N2208" t="str"><v>APAC</v></cell><cell r="O2208" t="str"><v>Japan</v></cell><cell r="P2208" t="str"><v>Trial</v></cell><cell r="Q2208" t="str"><v>Social</v></cell><cell r="R2208" t="str"><v>Azure</v></cell><cell r="S2208" t="str"><v>Apps & Infra</v></cell><cell r="T2208" t="str"><v>Developers & ITI's</v></cell><cell r="U2208" t="str"><v>AZP-Retargeting</v></cell><cell r="V2208" t="str"><v>Retargeting</v></cell><cell r="W2208" t="str"><v>Link Ad</v></cell><cell r="X2208" t="str"><v>1x1</v></cell></row><row r="2208"><cell r="AA2208"><v>43297</v></cell><cell r="AB2208" t="str"><v>JPN_gaPMG_AZR_AZR_Q1_19_Trial-Social</v></cell><cell r="AC2208"><v>21276694</v></cell><cell r="AD2208"><v>720195</v></cell><cell r="AE2208" t="str"><v>Facebook</v></cell><cell r="AF2208"><v>3654128</v></cell><cell r="AG2208" t="str"><v>Facebook»AZP-Retargeting»1x1»Ban»LIA»ALL»CPM»RT»X»All»TP»OT»Free Account Retargeting VM-ChD</v></cell><cell r="AH2208"><v>223726374</v></cell><cell r="AI2208" t="str"><v>AzurePlatform_FreeAcctRetargetingVMFB-750Hrs-ChD_JPN_1200x628_SOC_Plat_JA_Free Account_Standard_NA_SU_T1_1</v></cell><cell r="AJ2208"><v>102971306</v></cell></row><row r="2209"><cell r="C2209" t="str"><v>43297Facebook»AZP-Retargeting»1x1»Ban»LIA»ALL»CPM»RT»X»All»TP»OT»Free Account Retargeting VM-ChE</v></cell><cell r="D2209" t="str"><v>43297223726371</v></cell><cell r="E2209" t="str"><v>43297102977723VM-ChE</v></cell><cell r="F2209" t="str"><v>DCM</v></cell><cell r="G2209" t="str"><v>https://azure.microsoft.com/ja-jp/free/virtual-machines/search/</v></cell></row><row r="2209"><cell r="K2209" t="str"><v>July</v></cell><cell r="L2209"><v>43302</v></cell><cell r="M2209" t="str"><v>Tier 1</v></cell><cell r="N2209" t="str"><v>APAC</v></cell><cell r="O2209" t="str"><v>Japan</v></cell><cell r="P2209" t="str"><v>Trial</v></cell><cell r="Q2209" t="str"><v>Social</v></cell><cell r="R2209" t="str"><v>Azure</v></cell><cell r="S2209" t="str"><v>Apps & Infra</v></cell><cell r="T2209" t="str"><v>Developers & ITI's</v></cell><cell r="U2209" t="str"><v>AZP-Retargeting</v></cell><cell r="V2209" t="str"><v>Retargeting</v></cell><cell r="W2209" t="str"><v>Link Ad</v></cell><cell r="X2209" t="str"><v>1x1</v></cell></row><row r="2209"><cell r="AA2209"><v>43297</v></cell><cell r="AB2209" t="str"><v>JPN_gaPMG_AZR_AZR_Q1_19_Trial-Social</v></cell><cell r="AC2209"><v>21276694</v></cell><cell r="AD2209"><v>720195</v></cell><cell r="AE2209" t="str"><v>Facebook</v></cell><cell r="AF2209"><v>3654128</v></cell><cell r="AG2209" t="str"><v>Facebook»AZP-Retargeting»1x1»Ban»LIA»ALL»CPM»RT»X»All»TP»OT»Free Account Retargeting VM-ChE</v></cell><cell r="AH2209"><v>223726371</v></cell><cell r="AI2209" t="str"><v>AzurePlatform_FreeAcctRetargetingVMFB-OnDemand-ChE_JPN_1200x628_SOC_Plat_JA_Free Account_Standard_NA_SU_T2_1</v></cell><cell r="AJ2209"><v>102977723</v></cell></row><row r="2210"><cell r="C2210" t="str"><v>43297Facebook»AZP-Retargeting»1x1»Canvas»OTH»MO»CPM»RT»W»UNK»TP»OT»Trial-Basicmotion</v></cell><cell r="D2210" t="str"><v>43297223298811</v></cell><cell r="E2210" t="str"><v>43297102773984motion</v></cell><cell r="F2210" t="str"><v>DCM</v></cell><cell r="G2210" t="str"><v>https://azure.microsoft.com/ja-jp/free/search/</v></cell></row><row r="2210"><cell r="K2210" t="str"><v>July</v></cell><cell r="L2210"><v>43302</v></cell><cell r="M2210" t="str"><v>Tier 1</v></cell><cell r="N2210" t="str"><v>APAC</v></cell><cell r="O2210" t="str"><v>Japan</v></cell><cell r="P2210" t="str"><v>Trial</v></cell><cell r="Q2210" t="str"><v>Social</v></cell><cell r="R2210" t="str"><v>Azure</v></cell><cell r="S2210" t="str"><v>Apps & Infra</v></cell><cell r="T2210" t="str"><v>Developers & ITI's</v></cell><cell r="U2210" t="str"><v>AZP-Retargeting</v></cell><cell r="V2210" t="str"><v>Retargeting</v></cell><cell r="W2210" t="str"><v>Other</v></cell><cell r="X2210" t="str"><v>1x1</v></cell></row><row r="2210"><cell r="AA2210"><v>43297</v></cell><cell r="AB2210" t="str"><v>JPN_gaPMG_AZR_AZR_Q1_19_Trial-Social</v></cell><cell r="AC2210"><v>21276694</v></cell><cell r="AD2210"><v>720195</v></cell><cell r="AE2210" t="str"><v>Facebook</v></cell><cell r="AF2210"><v>3654128</v></cell><cell r="AG2210" t="str"><v>Facebook»AZP-Retargeting»1x1»Canvas»OTH»MO»CPM»RT»W»UNK»TP»OT»Trial-Basicmotion</v></cell><cell r="AH2210"><v>223298811</v></cell><cell r="AI2210" t="str"><v>AzurePlatform_FBCTCBasicMotion_JPN_10sec_ISV_PLAT_JA_Trial_Standard_STAN_TN_T1_1</v></cell><cell r="AJ2210"><v>102773984</v></cell></row><row r="2211"><cell r="C2211" t="str"><v>43297Facebook»AZP-Retargeting»1x1»Canvas»OTH»MO»CPM»RT»W»UNK»TP»OT»Trial-Benefit2inMotion</v></cell><cell r="D2211" t="str"><v>43297223298496</v></cell><cell r="E2211" t="str"><v>43297102630376Motion</v></cell><cell r="F2211" t="str"><v>DCM</v></cell><cell r="G2211" t="str"><v>https://azure.microsoft.com/ja-jp/free/search/</v></cell></row><row r="2211"><cell r="K2211" t="str"><v>July</v></cell><cell r="L2211"><v>43302</v></cell><cell r="M2211" t="str"><v>Tier 1</v></cell><cell r="N2211" t="str"><v>APAC</v></cell><cell r="O2211" t="str"><v>Japan</v></cell><cell r="P2211" t="str"><v>Trial</v></cell><cell r="Q2211" t="str"><v>Social</v></cell><cell r="R2211" t="str"><v>Azure</v></cell><cell r="S2211" t="str"><v>Apps & Infra</v></cell><cell r="T2211" t="str"><v>Developers & ITI's</v></cell><cell r="U2211" t="str"><v>AZP-Retargeting</v></cell><cell r="V2211" t="str"><v>Retargeting</v></cell><cell r="W2211" t="str"><v>Other</v></cell><cell r="X2211" t="str"><v>1x1</v></cell></row><row r="2211"><cell r="AA2211"><v>43297</v></cell><cell r="AB2211" t="str"><v>JPN_gaPMG_AZR_AZR_Q1_19_Trial-Social</v></cell><cell r="AC2211"><v>21276694</v></cell><cell r="AD2211"><v>720195</v></cell><cell r="AE2211" t="str"><v>Facebook</v></cell><cell r="AF2211"><v>3654128</v></cell><cell r="AG2211" t="str"><v>Facebook»AZP-Retargeting»1x1»Canvas»OTH»MO»CPM»RT»W»UNK»TP»OT»Trial-Benefit2inMotion</v></cell><cell r="AH2211"><v>223298496</v></cell><cell r="AI2211" t="str"><v>AzurePlatform_FBCTCBenefit2inMotion_JPN_14sec_ISV_PLAT_JA_Trial_Standard_STAN_TN_T4_1</v></cell><cell r="AJ2211"><v>102630376</v></cell></row><row r="2212"><cell r="C2212" t="str"><v>43297Facebook»AZP-Retargeting»1x1»Canvas»OTH»MO»CPM»RT»W»UNK»TP»OT»Trial-BrandinMotion</v></cell><cell r="D2212" t="str"><v>43297223298823</v></cell><cell r="E2212" t="str"><v>43297102612720Motion</v></cell><cell r="F2212" t="str"><v>DCM</v></cell><cell r="G2212" t="str"><v>https://azure.microsoft.com/ja-jp/free/search/</v></cell></row><row r="2212"><cell r="K2212" t="str"><v>July</v></cell><cell r="L2212"><v>43302</v></cell><cell r="M2212" t="str"><v>Tier 1</v></cell><cell r="N2212" t="str"><v>APAC</v></cell><cell r="O2212" t="str"><v>Japan</v></cell><cell r="P2212" t="str"><v>Trial</v></cell><cell r="Q2212" t="str"><v>Social</v></cell><cell r="R2212" t="str"><v>Azure</v></cell><cell r="S2212" t="str"><v>Apps & Infra</v></cell><cell r="T2212" t="str"><v>Developers & ITI's</v></cell><cell r="U2212" t="str"><v>AZP-Retargeting</v></cell><cell r="V2212" t="str"><v>Retargeting</v></cell><cell r="W2212" t="str"><v>Other</v></cell><cell r="X2212" t="str"><v>1x1</v></cell></row><row r="2212"><cell r="AA2212"><v>43297</v></cell><cell r="AB2212" t="str"><v>JPN_gaPMG_AZR_AZR_Q1_19_Trial-Social</v></cell><cell r="AC2212"><v>21276694</v></cell><cell r="AD2212"><v>720195</v></cell><cell r="AE2212" t="str"><v>Facebook</v></cell><cell r="AF2212"><v>3654128</v></cell><cell r="AG2212" t="str"><v>Facebook»AZP-Retargeting»1x1»Canvas»OTH»MO»CPM»RT»W»UNK»TP»OT»Trial-BrandinMotion</v></cell><cell r="AH2212"><v>223298823</v></cell><cell r="AI2212" t="str"><v>AzurePlatform_FBCTCBrandinMotion_JPN_12sec_ISV_PLAT_JA_Trial_Standard_STAN_TN_T2_1</v></cell><cell r="AJ2212"><v>102612720</v></cell></row><row r="2213"><cell r="C2213" t="str"><v>43297FACEBOOK»USA-Trial-ITD-Interest Prospecting-AZR-AZR»1 x 1»SocialBan»CAN»ALL»CPA»PRO»X»NA»SS»NA»FBCTCBasicMotion»PRC1SV</v></cell><cell r="D2213" t="str"><v>43297223934062</v></cell><cell r="E2213" t="str"><v>43297103043823PRC1SV</v></cell><cell r="F2213" t="str"><v>DCM</v></cell><cell r="G2213" t="str"><v>https://signup.azure.com/?OCID=AID%eexcid!_OLA_%ebuy!_%epid!_%ecid!</v></cell></row><row r="2213"><cell r="K2213" t="str"><v>July</v></cell><cell r="L2213"><v>43302</v></cell><cell r="M2213" t="str"><v>Tier 0</v></cell><cell r="N2213" t="str"><v>North America</v></cell><cell r="O2213" t="str"><v>United States</v></cell><cell r="P2213" t="str"><v>Trial</v></cell><cell r="Q2213" t="str"><v>Social</v></cell><cell r="R2213" t="str"><v>Azure</v></cell><cell r="S2213" t="str"><v>Apps & Infra</v></cell><cell r="T2213" t="str"><v>Developers & ITI's</v></cell><cell r="U2213" t="str"><v>USA-Trial-ITD-Interest Prospecting-AZR-AZR</v></cell><cell r="V2213" t="str"><v>Prospecting</v></cell><cell r="W2213" t="str"><v>Canvas Ad</v></cell><cell r="X2213" t="str"><v>1x1</v></cell></row><row r="2213"><cell r="AA2213"><v>43297</v></cell><cell r="AB2213" t="str"><v>USA_gaPMG_AZR_AZR_Q1_19_Direct-Social</v></cell><cell r="AC2213"><v>21358715</v></cell><cell r="AD2213"><v>720197</v></cell><cell r="AE2213" t="str"><v>Facebook</v></cell><cell r="AF2213"><v>3654128</v></cell><cell r="AG2213" t="str"><v>FACEBOOK»USA-Trial-ITD-Interest Prospecting-AZR-AZR»1 x 1»SocialBan»CAN»ALL»CPA»PRO»X»NA»SS»NA»FBCTCBasicMotion»PRC1SV</v></cell><cell r="AH2213"><v>223934062</v></cell><cell r="AI2213" t="str"><v>AzurePlatform_FBCTCBasicMotion_USA_10s_CAN_PLATFORM_English_Trial_Standard_STAN_TIN_T1_1</v></cell><cell r="AJ2213"><v>103043823</v></cell></row><row r="2214"><cell r="C2214" t="str"><v>43297FACEBOOK»USA-Trial-ITD-Interest Prospecting-AZR-AZR»1 x 1»SocialBan»CAN»ALL»CPA»PRO»X»NA»SS»NA»FBCTCBenefit2inMotion»PRC1SW</v></cell><cell r="D2214" t="str"><v>43297223933138</v></cell><cell r="E2214" t="str"><v>43297103043835PRC1SW</v></cell><cell r="F2214" t="str"><v>DCM</v></cell><cell r="G2214" t="str"><v>https://signup.azure.com/?OCID=AID%eexcid!_OLA_%ebuy!_%epid!_%ecid!</v></cell></row><row r="2214"><cell r="K2214" t="str"><v>July</v></cell><cell r="L2214"><v>43302</v></cell><cell r="M2214" t="str"><v>Tier 0</v></cell><cell r="N2214" t="str"><v>North America</v></cell><cell r="O2214" t="str"><v>United States</v></cell><cell r="P2214" t="str"><v>Trial</v></cell><cell r="Q2214" t="str"><v>Social</v></cell><cell r="R2214" t="str"><v>Azure</v></cell><cell r="S2214" t="str"><v>Apps & Infra</v></cell><cell r="T2214" t="str"><v>Developers & ITI's</v></cell><cell r="U2214" t="str"><v>USA-Trial-ITD-Interest Prospecting-AZR-AZR</v></cell><cell r="V2214" t="str"><v>Prospecting</v></cell><cell r="W2214" t="str"><v>Canvas Ad</v></cell><cell r="X2214" t="str"><v>1x1</v></cell></row><row r="2214"><cell r="AA2214"><v>43297</v></cell><cell r="AB2214" t="str"><v>USA_gaPMG_AZR_AZR_Q1_19_Direct-Social</v></cell><cell r="AC2214"><v>21358715</v></cell><cell r="AD2214"><v>720197</v></cell><cell r="AE2214" t="str"><v>Facebook</v></cell><cell r="AF2214"><v>3654128</v></cell><cell r="AG2214" t="str"><v>FACEBOOK»USA-Trial-ITD-Interest Prospecting-AZR-AZR»1 x 1»SocialBan»CAN»ALL»CPA»PRO»X»NA»SS»NA»FBCTCBenefit2inMotion»PRC1SW</v></cell><cell r="AH2214"><v>223933138</v></cell><cell r="AI2214" t="str"><v>AzurePlatform_FBCTCBenefit2inMotion_USA_10s_CAN_PLATFORM_English_Trial_Standard_STAN_TIN_T4_1</v></cell><cell r="AJ2214"><v>103043835</v></cell></row><row r="2215"><cell r="C2215" t="str"><v>43297FACEBOOK»USA-Trial-ITD-Interest Prospecting-AZR-AZR»1 x 1»SocialBan»CAN»ALL»CPA»PRO»X»NA»SS»NA»FBCTCBenefit2inMotion»PRC1SW</v></cell><cell r="D2215" t="str"><v>43297223933138</v></cell><cell r="E2215" t="str"><v>43297103178645PRC1SW</v></cell><cell r="F2215" t="str"><v>DCM</v></cell><cell r="G2215" t="str"><v>https://azure.microsoft.com/en-us/pricing/purchase-options/?v=18.19&OCID=AID%eexcid!_OLA_%ebuy!_%epid!_%ecid!</v></cell></row><row r="2215"><cell r="K2215" t="str"><v>July</v></cell><cell r="L2215"><v>43302</v></cell><cell r="M2215" t="str"><v>Tier 0</v></cell><cell r="N2215" t="str"><v>North America</v></cell><cell r="O2215" t="str"><v>United States</v></cell><cell r="P2215" t="str"><v>Trial</v></cell><cell r="Q2215" t="str"><v>Social</v></cell><cell r="R2215" t="str"><v>Azure</v></cell><cell r="S2215" t="str"><v>Apps & Infra</v></cell><cell r="T2215" t="str"><v>Developers & ITI's</v></cell><cell r="U2215" t="str"><v>USA-Trial-ITD-Interest Prospecting-AZR-AZR</v></cell><cell r="V2215" t="str"><v>Prospecting</v></cell><cell r="W2215" t="str"><v>Canvas Ad</v></cell><cell r="X2215" t="str"><v>1x1</v></cell></row><row r="2215"><cell r="AA2215"><v>43297</v></cell><cell r="AB2215" t="str"><v>USA_gaPMG_AZR_AZR_Q1_19_Direct-Social</v></cell><cell r="AC2215"><v>21358715</v></cell><cell r="AD2215"><v>720197</v></cell><cell r="AE2215" t="str"><v>Facebook</v></cell><cell r="AF2215"><v>3654128</v></cell><cell r="AG2215" t="str"><v>FACEBOOK»USA-Trial-ITD-Interest Prospecting-AZR-AZR»1 x 1»SocialBan»CAN»ALL»CPA»PRO»X»NA»SS»NA»FBCTCBenefit2inMotion»PRC1SW</v></cell><cell r="AH2215"><v>223933138</v></cell><cell r="AI2215" t="str"><v>AzurePlatform_FBCTCBenefit2inMotion_USA_10s_CAN_PLATFORM_English_Trial_Standard_STAN_TIN_T4_2</v></cell><cell r="AJ2215"><v>103178645</v></cell></row><row r="2216"><cell r="C2216" t="str"><v>43297FACEBOOK»USA-Trial-ITD-Interest Prospecting-AZR-AZR»1 x 1»SocialBan»CAN»ALL»CPA»PRO»X»NA»SS»NA»FBCTCBrandinMotion»PRC1SY</v></cell><cell r="D2216" t="str"><v>43297224104929</v></cell><cell r="E2216" t="str"><v>43297103176812PRC1SY</v></cell><cell r="F2216" t="str"><v>DCM</v></cell><cell r="G2216" t="str"><v>https://signup.azure.com/?OCID=AID%eexcid!_OLA_%ebuy!_%epid!_%ecid!</v></cell></row><row r="2216"><cell r="K2216" t="str"><v>July</v></cell><cell r="L2216"><v>43302</v></cell><cell r="M2216" t="str"><v>Tier 0</v></cell><cell r="N2216" t="str"><v>North America</v></cell><cell r="O2216" t="str"><v>United States</v></cell><cell r="P2216" t="str"><v>Trial</v></cell><cell r="Q2216" t="str"><v>Social</v></cell><cell r="R2216" t="str"><v>Azure</v></cell><cell r="S2216" t="str"><v>Apps & Infra</v></cell><cell r="T2216" t="str"><v>Developers & ITI's</v></cell><cell r="U2216" t="str"><v>USA-Trial-ITD-Interest Prospecting-AZR-AZR</v></cell><cell r="V2216" t="str"><v>Prospecting</v></cell><cell r="W2216" t="str"><v>Canvas Ad</v></cell><cell r="X2216" t="str"><v>1x1</v></cell></row><row r="2216"><cell r="AA2216"><v>43297</v></cell><cell r="AB2216" t="str"><v>USA_gaPMG_AZR_AZR_Q1_19_Direct-Social</v></cell><cell r="AC2216"><v>21358715</v></cell><cell r="AD2216"><v>720197</v></cell><cell r="AE2216" t="str"><v>Facebook</v></cell><cell r="AF2216"><v>3654128</v></cell><cell r="AG2216" t="str"><v>FACEBOOK»USA-Trial-ITD-Interest Prospecting-AZR-AZR»1 x 1»SocialBan»CAN»ALL»CPA»PRO»X»NA»SS»NA»FBCTCBrandinMotion»PRC1SY</v></cell><cell r="AH2216"><v>224104929</v></cell><cell r="AI2216" t="str"><v>AzurePlatform_FBCTCBrandinMotion_USA_10s_CAN_PLATFORM_English_Trial_Standard_STAN_TIN_T2_1</v></cell><cell r="AJ2216"><v>103176812</v></cell></row><row r="2217"><cell r="C2217" t="str"><v>43297FACEBOOK»USA-Trial-ITD-Interest Prospecting-AZR-AZR»1 x 1»SocialBan»CAN»ALL»CPA»PRO»X»NA»SS»NA»FBCTCBrandinMotion»PRC1SY</v></cell><cell r="D2217" t="str"><v>43297224104929</v></cell><cell r="E2217" t="str"><v>43297103032823PRC1SY</v></cell><cell r="F2217" t="str"><v>DCM</v></cell><cell r="G2217" t="str"><v>https://azure.microsoft.com/en-us/pricing/purchase-options/?v=18.19&OCID=AID%eexcid!_OLA_%ebuy!_%epid!_%ecid!</v></cell></row><row r="2217"><cell r="K2217" t="str"><v>July</v></cell><cell r="L2217"><v>43302</v></cell><cell r="M2217" t="str"><v>Tier 0</v></cell><cell r="N2217" t="str"><v>North America</v></cell><cell r="O2217" t="str"><v>United States</v></cell><cell r="P2217" t="str"><v>Trial</v></cell><cell r="Q2217" t="str"><v>Social</v></cell><cell r="R2217" t="str"><v>Azure</v></cell><cell r="S2217" t="str"><v>Apps & Infra</v></cell><cell r="T2217" t="str"><v>Developers & ITI's</v></cell><cell r="U2217" t="str"><v>USA-Trial-ITD-Interest Prospecting-AZR-AZR</v></cell><cell r="V2217" t="str"><v>Prospecting</v></cell><cell r="W2217" t="str"><v>Canvas Ad</v></cell><cell r="X2217" t="str"><v>1x1</v></cell></row><row r="2217"><cell r="AA2217"><v>43297</v></cell><cell r="AB2217" t="str"><v>USA_gaPMG_AZR_AZR_Q1_19_Direct-Social</v></cell><cell r="AC2217"><v>21358715</v></cell><cell r="AD2217"><v>720197</v></cell><cell r="AE2217" t="str"><v>Facebook</v></cell><cell r="AF2217"><v>3654128</v></cell><cell r="AG2217" t="str"><v>FACEBOOK»USA-Trial-ITD-Interest Prospecting-AZR-AZR»1 x 1»SocialBan»CAN»ALL»CPA»PRO»X»NA»SS»NA»FBCTCBrandinMotion»PRC1SY</v></cell><cell r="AH2217"><v>224104929</v></cell><cell r="AI2217" t="str"><v>AzurePlatform_FBCTCBrandinMotion_USA_10s_CAN_PLATFORM_English_Trial_Standard_STAN_TIN_T2_2</v></cell><cell r="AJ2217"><v>103032823</v></cell></row><row r="2218"><cell r="C2218" t="str"><v>43297FACEBOOK»USA-Trial-ITD-Interest Prospecting-AZR-AZR»1 x 1»SocialBan»LIA»ALL»CPA»PRO»X»NA»SS»NA»FreeAcctDeveloperFB-AnimatedGeneric-Ch1»PRC1SZ</v></cell><cell r="D2218" t="str"><v>43297224104932</v></cell><cell r="E2218" t="str"><v>43297103176851PRC1SZ</v></cell><cell r="F2218" t="str"><v>DCM</v></cell><cell r="G2218" t="str"><v>https://azure.microsoft.com/en-us/free/search/?OCID=AID%eexcid!_OLA_%ebuy!_%epid!_%ecid!</v></cell></row><row r="2218"><cell r="K2218" t="str"><v>July</v></cell><cell r="L2218"><v>43302</v></cell><cell r="M2218" t="str"><v>Tier 0</v></cell><cell r="N2218" t="str"><v>North America</v></cell><cell r="O2218" t="str"><v>United States</v></cell><cell r="P2218" t="str"><v>Trial</v></cell><cell r="Q2218" t="str"><v>Social</v></cell><cell r="R2218" t="str"><v>Azure</v></cell><cell r="S2218" t="str"><v>Apps & Infra</v></cell><cell r="T2218" t="str"><v>Developers & ITI's</v></cell><cell r="U2218" t="str"><v>USA-Trial-ITD-Interest Prospecting-AZR-AZR</v></cell><cell r="V2218" t="str"><v>Prospecting</v></cell><cell r="W2218" t="str"><v>Link Ad</v></cell><cell r="X2218" t="str"><v>1x1</v></cell></row><row r="2218"><cell r="AA2218"><v>43297</v></cell><cell r="AB2218" t="str"><v>USA_gaPMG_AZR_AZR_Q1_19_Direct-Social</v></cell><cell r="AC2218"><v>21358715</v></cell><cell r="AD2218"><v>720197</v></cell><cell r="AE2218" t="str"><v>Facebook</v></cell><cell r="AF2218"><v>3654128</v></cell><cell r="AG2218" t="str"><v>FACEBOOK»USA-Trial-ITD-Interest Prospecting-AZR-AZR»1 x 1»SocialBan»LIA»ALL»CPA»PRO»X»NA»SS»NA»FreeAcctDeveloperFB-AnimatedGeneric-Ch1»PRC1SZ</v></cell><cell r="AH2218"><v>224104932</v></cell><cell r="AI2218" t="str"><v>AZR_FreeAcctDeveloperFB-AnimatedGeneric-Ch1_USA_1200x1200_CAN_Direct_English_Trial_Standard_ANI_LEA_T1_2</v></cell><cell r="AJ2218"><v>103176851</v></cell></row><row r="2219"><cell r="C2219" t="str"><v>43297FACEBOOK»USA-Trial-ITD-Interest Prospecting-AZR-AZR»1 x 1»SocialBan»LIA»ALL»CPA»PRO»X»NA»SS»NA»FreeAcctDeveloperFB-AnimatedGeneric-Ch1»PRC1T0</v></cell><cell r="D2219" t="str"><v>43297223934065</v></cell><cell r="E2219" t="str"><v>43297103176851PRC1T0</v></cell><cell r="F2219" t="str"><v>DCM</v></cell><cell r="G2219" t="str"><v>https://azure.microsoft.com/en-us/free/search/?OCID=AID%eexcid!_OLA_%ebuy!_%epid!_%ecid!</v></cell></row><row r="2219"><cell r="K2219" t="str"><v>July</v></cell><cell r="L2219"><v>43302</v></cell><cell r="M2219" t="str"><v>Tier 0</v></cell><cell r="N2219" t="str"><v>North America</v></cell><cell r="O2219" t="str"><v>United States</v></cell><cell r="P2219" t="str"><v>Trial</v></cell><cell r="Q2219" t="str"><v>Social</v></cell><cell r="R2219" t="str"><v>Azure</v></cell><cell r="S2219" t="str"><v>Apps & Infra</v></cell><cell r="T2219" t="str"><v>Developers & ITI's</v></cell><cell r="U2219" t="str"><v>USA-Trial-ITD-Interest Prospecting-AZR-AZR</v></cell><cell r="V2219" t="str"><v>Prospecting</v></cell><cell r="W2219" t="str"><v>Link Ad</v></cell><cell r="X2219" t="str"><v>1x1</v></cell></row><row r="2219"><cell r="AA2219"><v>43297</v></cell><cell r="AB2219" t="str"><v>USA_gaPMG_AZR_AZR_Q1_19_Direct-Social</v></cell><cell r="AC2219"><v>21358715</v></cell><cell r="AD2219"><v>720197</v></cell><cell r="AE2219" t="str"><v>Facebook</v></cell><cell r="AF2219"><v>3654128</v></cell><cell r="AG2219" t="str"><v>FACEBOOK»USA-Trial-ITD-Interest Prospecting-AZR-AZR»1 x 1»SocialBan»LIA»ALL»CPA»PRO»X»NA»SS»NA»FreeAcctDeveloperFB-AnimatedGeneric-Ch1»PRC1T0</v></cell><cell r="AH2219"><v>223934065</v></cell><cell r="AI2219" t="str"><v>AZR_FreeAcctDeveloperFB-AnimatedGeneric-Ch1_USA_1200x1200_CAN_Direct_English_Trial_Standard_ANI_LEA_T1_2</v></cell><cell r="AJ2219"><v>103176851</v></cell></row><row r="2220"><cell r="C2220" t="str"><v>43297FACEBOOK»USA-Trial-ITD-Interest Prospecting-AZR-AZR»1 x 1»SocialBan»LIA»ALL»CPA»PRO»X»NA»SS»NA»FreeAcctITProFB-AnimatedHybrid-Ch2»PRC1T5</v></cell><cell r="D2220" t="str"><v>43297223862882</v></cell><cell r="E2220" t="str"><v>43297103180583PRC1T5</v></cell><cell r="F2220" t="str"><v>DCM</v></cell></row><row r="2220"><cell r="K2220" t="str"><v>July</v></cell><cell r="L2220"><v>43302</v></cell><cell r="M2220" t="str"><v>Tier 0</v></cell><cell r="N2220" t="str"><v>North America</v></cell><cell r="O2220" t="str"><v>United States</v></cell><cell r="P2220" t="str"><v>Trial</v></cell><cell r="Q2220" t="str"><v>Social</v></cell><cell r="R2220" t="str"><v>Azure</v></cell><cell r="S2220" t="str"><v>Apps & Infra</v></cell><cell r="T2220" t="str"><v>Developers & ITI's</v></cell><cell r="U2220" t="str"><v>USA-Trial-ITD-Interest Prospecting-AZR-AZR</v></cell><cell r="V2220" t="str"><v>Prospecting</v></cell><cell r="W2220" t="str"><v>Link Ad</v></cell><cell r="X2220" t="str"><v>1x1</v></cell></row><row r="2220"><cell r="AA2220"><v>43297</v></cell><cell r="AB2220" t="str"><v>USA_gaPMG_AZR_AZR_Q1_19_Direct-Social</v></cell><cell r="AC2220"><v>21358715</v></cell><cell r="AD2220"><v>720197</v></cell><cell r="AE2220" t="str"><v>Facebook</v></cell><cell r="AF2220"><v>3654128</v></cell><cell r="AG2220" t="str"><v>FACEBOOK»USA-Trial-ITD-Interest Prospecting-AZR-AZR»1 x 1»SocialBan»LIA»ALL»CPA»PRO»X»NA»SS»NA»FreeAcctITProFB-AnimatedHybrid-Ch2»PRC1T5</v></cell><cell r="AH2220"><v>223862882</v></cell><cell r="AI2220" t="str"><v>AZR_FreeAcctITProFB-AnimatedHybrid-Ch2_USA_1200x1200_CAN_Direct_English_Trial_Standard_ANI_LEA_T2_2</v></cell><cell r="AJ2220"><v>103180583</v></cell></row><row r="2221"><cell r="C2221" t="str"><v>43297FACEBOOK»USA-Trial-ITD-Interest Prospecting-AZR-AZR»1 x 1»SocialBan»LIA»ALL»CPA»PRO»X»NA»SS»NA»FreeAcctITProFB-AnimatedSecureMngd-Ch1»PRC1T4</v></cell><cell r="D2221" t="str"><v>43297224104914</v></cell><cell r="E2221" t="str"><v>43297103176830PRC1T4</v></cell><cell r="F2221" t="str"><v>DCM</v></cell></row><row r="2221"><cell r="K2221" t="str"><v>July</v></cell><cell r="L2221"><v>43302</v></cell><cell r="M2221" t="str"><v>Tier 0</v></cell><cell r="N2221" t="str"><v>North America</v></cell><cell r="O2221" t="str"><v>United States</v></cell><cell r="P2221" t="str"><v>Trial</v></cell><cell r="Q2221" t="str"><v>Social</v></cell><cell r="R2221" t="str"><v>Azure</v></cell><cell r="S2221" t="str"><v>Apps & Infra</v></cell><cell r="T2221" t="str"><v>Developers & ITI's</v></cell><cell r="U2221" t="str"><v>USA-Trial-ITD-Interest Prospecting-AZR-AZR</v></cell><cell r="V2221" t="str"><v>Prospecting</v></cell><cell r="W2221" t="str"><v>Link Ad</v></cell><cell r="X2221" t="str"><v>1x1</v></cell></row><row r="2221"><cell r="AA2221"><v>43297</v></cell><cell r="AB2221" t="str"><v>USA_gaPMG_AZR_AZR_Q1_19_Direct-Social</v></cell><cell r="AC2221"><v>21358715</v></cell><cell r="AD2221"><v>720197</v></cell><cell r="AE2221" t="str"><v>Facebook</v></cell><cell r="AF2221"><v>3654128</v></cell><cell r="AG2221" t="str"><v>FACEBOOK»USA-Trial-ITD-Interest Prospecting-AZR-AZR»1 x 1»SocialBan»LIA»ALL»CPA»PRO»X»NA»SS»NA»FreeAcctITProFB-AnimatedSecureMngd-Ch1»PRC1T4</v></cell><cell r="AH2221"><v>224104914</v></cell><cell r="AI2221" t="str"><v>AZR_FreeAcctITProFB-AnimatedSecureMngd-Ch1_USA_1200x1200_CAN_Direct_English_Trial_Standard_ANI_LEA_T1_1</v></cell><cell r="AJ2221"><v>103176830</v></cell></row><row r="2222"><cell r="C2222" t="str"><v>43297FACEBOOK»USA-Trial-ITD-Retargeting-AZR-AZR»1 x 1»SocialBan»LIA»ALL»CPA»RT»X»NA»SS»NA»FreeAcctDeveloperFB-AnimatedAI-Ch3»PRC26H</v></cell><cell r="D2222" t="str"><v>43297223863371</v></cell><cell r="E2222" t="str"><v>43297103032778PRC26H</v></cell><cell r="F2222" t="str"><v>DCM</v></cell></row><row r="2222"><cell r="K2222" t="str"><v>July</v></cell><cell r="L2222"><v>43302</v></cell><cell r="M2222" t="str"><v>Tier 0</v></cell><cell r="N2222" t="str"><v>North America</v></cell><cell r="O2222" t="str"><v>United States</v></cell><cell r="P2222" t="str"><v>Trial</v></cell><cell r="Q2222" t="str"><v>Social</v></cell><cell r="R2222" t="str"><v>Azure</v></cell><cell r="S2222" t="str"><v>Apps & Infra</v></cell><cell r="T2222" t="str"><v>Developers & ITI's</v></cell><cell r="U2222" t="str"><v>USA-Trial-ITD-Retargeting-AZR-AZR</v></cell><cell r="V2222" t="str"><v>Retargeting</v></cell><cell r="W2222" t="str"><v>Link Ad</v></cell><cell r="X2222" t="str"><v>1x1</v></cell></row><row r="2222"><cell r="AA2222"><v>43297</v></cell><cell r="AB2222" t="str"><v>USA_gaPMG_AZR_AZR_Q1_19_Direct-Social</v></cell><cell r="AC2222"><v>21358715</v></cell><cell r="AD2222"><v>720197</v></cell><cell r="AE2222" t="str"><v>Facebook</v></cell><cell r="AF2222"><v>3654128</v></cell><cell r="AG2222" t="str"><v>FACEBOOK»USA-Trial-ITD-Retargeting-AZR-AZR»1 x 1»SocialBan»LIA»ALL»CPA»RT»X»NA»SS»NA»FreeAcctDeveloperFB-AnimatedAI-Ch3»PRC26H</v></cell><cell r="AH2222"><v>223863371</v></cell><cell r="AI2222" t="str"><v>AZR_FreeAcctDeveloperFB-AnimatedAI-Ch3_USA_1200x1200_CAN_Direct_English_Trial_Standard_ANI_LEA_T3_1</v></cell><cell r="AJ2222"><v>103032778</v></cell></row><row r="2223"><cell r="C2223" t="str"><v>43297FACEBOOK»USA-Trial-ITD-Retargeting-AZR-AZR»1 x 1»SocialBan»LIA»ALL»CPA»RT»X»NA»SS»NA»FreeAcctDeveloperFB-AnimatedGeneric-Ch1»PRC26F</v></cell><cell r="D2223" t="str"><v>43297224105850</v></cell><cell r="E2223" t="str"><v>43297103176851PRC26F</v></cell><cell r="F2223" t="str"><v>DCM</v></cell><cell r="G2223" t="str"><v>https://azure.microsoft.com/en-us/free/search/?OCID=AID%eexcid!_OLA_%ebuy!_%epid!_%ecid!</v></cell></row><row r="2223"><cell r="K2223" t="str"><v>July</v></cell><cell r="L2223"><v>43302</v></cell><cell r="M2223" t="str"><v>Tier 0</v></cell><cell r="N2223" t="str"><v>North America</v></cell><cell r="O2223" t="str"><v>United States</v></cell><cell r="P2223" t="str"><v>Trial</v></cell><cell r="Q2223" t="str"><v>Social</v></cell><cell r="R2223" t="str"><v>Azure</v></cell><cell r="S2223" t="str"><v>Apps & Infra</v></cell><cell r="T2223" t="str"><v>Developers & ITI's</v></cell><cell r="U2223" t="str"><v>USA-Trial-ITD-Retargeting-AZR-AZR</v></cell><cell r="V2223" t="str"><v>Retargeting</v></cell><cell r="W2223" t="str"><v>Link Ad</v></cell><cell r="X2223" t="str"><v>1x1</v></cell></row><row r="2223"><cell r="AA2223"><v>43297</v></cell><cell r="AB2223" t="str"><v>USA_gaPMG_AZR_AZR_Q1_19_Direct-Social</v></cell><cell r="AC2223"><v>21358715</v></cell><cell r="AD2223"><v>720197</v></cell><cell r="AE2223" t="str"><v>Facebook</v></cell><cell r="AF2223"><v>3654128</v></cell><cell r="AG2223" t="str"><v>FACEBOOK»USA-Trial-ITD-Retargeting-AZR-AZR»1 x 1»SocialBan»LIA»ALL»CPA»RT»X»NA»SS»NA»FreeAcctDeveloperFB-AnimatedGeneric-Ch1»PRC26F</v></cell><cell r="AH2223"><v>224105850</v></cell><cell r="AI2223" t="str"><v>AZR_FreeAcctDeveloperFB-AnimatedGeneric-Ch1_USA_1200x1200_CAN_Direct_English_Trial_Standard_ANI_LEA_T1_2</v></cell><cell r="AJ2223"><v>103176851</v></cell></row><row r="2224"><cell r="C2224" t="str"><v>43297FACEBOOK»USA-Trial-ITD-Retargeting-AZR-AZR»1 x 1»SocialBan»LIA»ALL»CPA»RT»X»NA»SS»NA»FreeAcctDeveloperFB-AnimatedOpenSource-Ch2»PRC26G</v></cell><cell r="D2224" t="str"><v>43297223862873</v></cell><cell r="E2224" t="str"><v>43297103048329PRC26G</v></cell><cell r="F2224" t="str"><v>DCM</v></cell><cell r="G2224" t="str"><v>https://azure.microsoft.com/en-us/free/open-source/search/?OCID=AID%eexcid!_OLA_%ebuy!_%epid!_%ecid!</v></cell></row><row r="2224"><cell r="K2224" t="str"><v>July</v></cell><cell r="L2224"><v>43302</v></cell><cell r="M2224" t="str"><v>Tier 0</v></cell><cell r="N2224" t="str"><v>North America</v></cell><cell r="O2224" t="str"><v>United States</v></cell><cell r="P2224" t="str"><v>Trial</v></cell><cell r="Q2224" t="str"><v>Social</v></cell><cell r="R2224" t="str"><v>Azure</v></cell><cell r="S2224" t="str"><v>Apps & Infra</v></cell><cell r="T2224" t="str"><v>Developers & ITI's</v></cell><cell r="U2224" t="str"><v>USA-Trial-ITD-Retargeting-AZR-AZR</v></cell><cell r="V2224" t="str"><v>Retargeting</v></cell><cell r="W2224" t="str"><v>Link Ad</v></cell><cell r="X2224" t="str"><v>1x1</v></cell></row><row r="2224"><cell r="AA2224"><v>43297</v></cell><cell r="AB2224" t="str"><v>USA_gaPMG_AZR_AZR_Q1_19_Direct-Social</v></cell><cell r="AC2224"><v>21358715</v></cell><cell r="AD2224"><v>720197</v></cell><cell r="AE2224" t="str"><v>Facebook</v></cell><cell r="AF2224"><v>3654128</v></cell><cell r="AG2224" t="str"><v>FACEBOOK»USA-Trial-ITD-Retargeting-AZR-AZR»1 x 1»SocialBan»LIA»ALL»CPA»RT»X»NA»SS»NA»FreeAcctDeveloperFB-AnimatedOpenSource-Ch2»PRC26G</v></cell><cell r="AH2224"><v>223862873</v></cell><cell r="AI2224" t="str"><v>AZR_FreeAcctDeveloperFB-AnimatedOpenSource-Ch2_USA_1200x1200_CAN_Direct_English_Trial_Standard_ANI_LEA_T2_1</v></cell><cell r="AJ2224"><v>103048329</v></cell></row><row r="2225"><cell r="C2225" t="str"><v>43297FACEBOOK»USA-Trial-ITD-Retargeting-AZR-AZR»1 x 1»SocialBan»LIA»ALL»CPA»RT»X»NA»SS»NA»FreeAcctITProFB-AnimatedHybrid-Ch2»PRC26N</v></cell><cell r="D2225" t="str"><v>43297223934053</v></cell><cell r="E2225" t="str"><v>43297103180583PRC26N</v></cell><cell r="F2225" t="str"><v>DCM</v></cell></row><row r="2225"><cell r="K2225" t="str"><v>July</v></cell><cell r="L2225"><v>43302</v></cell><cell r="M2225" t="str"><v>Tier 0</v></cell><cell r="N2225" t="str"><v>North America</v></cell><cell r="O2225" t="str"><v>United States</v></cell><cell r="P2225" t="str"><v>Trial</v></cell><cell r="Q2225" t="str"><v>Social</v></cell><cell r="R2225" t="str"><v>Azure</v></cell><cell r="S2225" t="str"><v>Apps & Infra</v></cell><cell r="T2225" t="str"><v>Developers & ITI's</v></cell><cell r="U2225" t="str"><v>USA-Trial-ITD-Retargeting-AZR-AZR</v></cell><cell r="V2225" t="str"><v>Retargeting</v></cell><cell r="W2225" t="str"><v>Link Ad</v></cell><cell r="X2225" t="str"><v>1x1</v></cell></row><row r="2225"><cell r="AA2225"><v>43297</v></cell><cell r="AB2225" t="str"><v>USA_gaPMG_AZR_AZR_Q1_19_Direct-Social</v></cell><cell r="AC2225"><v>21358715</v></cell><cell r="AD2225"><v>720197</v></cell><cell r="AE2225" t="str"><v>Facebook</v></cell><cell r="AF2225"><v>3654128</v></cell><cell r="AG2225" t="str"><v>FACEBOOK»USA-Trial-ITD-Retargeting-AZR-AZR»1 x 1»SocialBan»LIA»ALL»CPA»RT»X»NA»SS»NA»FreeAcctITProFB-AnimatedHybrid-Ch2»PRC26N</v></cell><cell r="AH2225"><v>223934053</v></cell><cell r="AI2225" t="str"><v>AZR_FreeAcctITProFB-AnimatedHybrid-Ch2_USA_1200x1200_CAN_Direct_English_Trial_Standard_ANI_LEA_T2_2</v></cell><cell r="AJ2225"><v>103180583</v></cell></row><row r="2226"><cell r="C2226" t="str"><v>43297FACEBOOK»USA-Trial-ITD-Retargeting-AZR-AZR»1 x 1»SocialBan»LIA»ALL»CPA»RT»X»NA»SS»NA»FreeAcctITProFB-AnimatedMigration-Ch3»PRC26P</v></cell><cell r="D2226" t="str"><v>43297223934056</v></cell><cell r="E2226" t="str"><v>43297103176827PRC26P</v></cell><cell r="F2226" t="str"><v>DCM</v></cell></row><row r="2226"><cell r="K2226" t="str"><v>July</v></cell><cell r="L2226"><v>43302</v></cell><cell r="M2226" t="str"><v>Tier 0</v></cell><cell r="N2226" t="str"><v>North America</v></cell><cell r="O2226" t="str"><v>United States</v></cell><cell r="P2226" t="str"><v>Trial</v></cell><cell r="Q2226" t="str"><v>Social</v></cell><cell r="R2226" t="str"><v>Azure</v></cell><cell r="S2226" t="str"><v>Apps & Infra</v></cell><cell r="T2226" t="str"><v>Developers & ITI's</v></cell><cell r="U2226" t="str"><v>USA-Trial-ITD-Retargeting-AZR-AZR</v></cell><cell r="V2226" t="str"><v>Retargeting</v></cell><cell r="W2226" t="str"><v>Link Ad</v></cell><cell r="X2226" t="str"><v>1x1</v></cell></row><row r="2226"><cell r="AA2226"><v>43297</v></cell><cell r="AB2226" t="str"><v>USA_gaPMG_AZR_AZR_Q1_19_Direct-Social</v></cell><cell r="AC2226"><v>21358715</v></cell><cell r="AD2226"><v>720197</v></cell><cell r="AE2226" t="str"><v>Facebook</v></cell><cell r="AF2226"><v>3654128</v></cell><cell r="AG2226" t="str"><v>FACEBOOK»USA-Trial-ITD-Retargeting-AZR-AZR»1 x 1»SocialBan»LIA»ALL»CPA»RT»X»NA»SS»NA»FreeAcctITProFB-AnimatedMigration-Ch3»PRC26P</v></cell><cell r="AH2226"><v>223934056</v></cell><cell r="AI2226" t="str"><v>AZR_FreeAcctITProFB-AnimatedMigration-Ch3_USA_1200x1200_CAN_Direct_English_Trial_Standard_ANI_LEA_T3_1</v></cell><cell r="AJ2226"><v>103176827</v></cell></row><row r="2227"><cell r="C2227" t="str"><v>43297FACEBOOK»USA-Trial-ITD-Retargeting-AZR-AZR»1 x 1»SocialBan»LIA»ALL»CPA»RT»X»NA»SS»NA»FreeAcctRetargetingFB-Animated-ChC»PRC1RX</v></cell><cell r="D2227" t="str"><v>43297223862864</v></cell><cell r="E2227" t="str"><v>43297103180880PRC1RX</v></cell><cell r="F2227" t="str"><v>DCM</v></cell><cell r="G2227" t="str"><v>https://azure.microsoft.com/en-us/free/search/?OCID=AID%eexcid!_OLA_%ebuy!_%epid!_%ecid!</v></cell></row><row r="2227"><cell r="K2227" t="str"><v>July</v></cell><cell r="L2227"><v>43302</v></cell><cell r="M2227" t="str"><v>Tier 0</v></cell><cell r="N2227" t="str"><v>North America</v></cell><cell r="O2227" t="str"><v>United States</v></cell><cell r="P2227" t="str"><v>Trial</v></cell><cell r="Q2227" t="str"><v>Social</v></cell><cell r="R2227" t="str"><v>Azure</v></cell><cell r="S2227" t="str"><v>Apps & Infra</v></cell><cell r="T2227" t="str"><v>Developers & ITI's</v></cell><cell r="U2227" t="str"><v>USA-Trial-ITD-Retargeting-AZR-AZR</v></cell><cell r="V2227" t="str"><v>Retargeting</v></cell><cell r="W2227" t="str"><v>Link Ad</v></cell><cell r="X2227" t="str"><v>1x1</v></cell></row><row r="2227"><cell r="AA2227"><v>43297</v></cell><cell r="AB2227" t="str"><v>USA_gaPMG_AZR_AZR_Q1_19_Direct-Social</v></cell><cell r="AC2227"><v>21358715</v></cell><cell r="AD2227"><v>720197</v></cell><cell r="AE2227" t="str"><v>Facebook</v></cell><cell r="AF2227"><v>3654128</v></cell><cell r="AG2227" t="str"><v>FACEBOOK»USA-Trial-ITD-Retargeting-AZR-AZR»1 x 1»SocialBan»LIA»ALL»CPA»RT»X»NA»SS»NA»FreeAcctRetargetingFB-Animated-ChC»PRC1RX</v></cell><cell r="AH2227"><v>223862864</v></cell><cell r="AI2227" t="str"><v>AzurePlatform_FreeAcctRetargetingFB-Animated-ChC_USA_1200x628_CAN_PLATFORM_English_Free Account_Standard_ANI_SINU_T3_2</v></cell><cell r="AJ2227"><v>103180880</v></cell></row><row r="2228"><cell r="C2228" t="str"><v>43297FACEBOOK»USA-Trial-ITD-Retargeting-AZR-AZR»1 x 1»SocialBan»LIA»ALL»CPA»RT»X»NA»SS»NA»FreeAcctRetargetingFB-Credit-ChA»PRC1RV</v></cell><cell r="D2228" t="str"><v>43297224106075</v></cell><cell r="E2228" t="str"><v>43297103034917PRC1RV</v></cell><cell r="F2228" t="str"><v>DCM</v></cell><cell r="G2228" t="str"><v>https://azure.microsoft.com/en-us/free/search/?OCID=AID%eexcid!_OLA_%ebuy!_%epid!_%ecid!</v></cell></row><row r="2228"><cell r="K2228" t="str"><v>July</v></cell><cell r="L2228"><v>43302</v></cell><cell r="M2228" t="str"><v>Tier 0</v></cell><cell r="N2228" t="str"><v>North America</v></cell><cell r="O2228" t="str"><v>United States</v></cell><cell r="P2228" t="str"><v>Trial</v></cell><cell r="Q2228" t="str"><v>Social</v></cell><cell r="R2228" t="str"><v>Azure</v></cell><cell r="S2228" t="str"><v>Apps & Infra</v></cell><cell r="T2228" t="str"><v>Developers & ITI's</v></cell><cell r="U2228" t="str"><v>USA-Trial-ITD-Retargeting-AZR-AZR</v></cell><cell r="V2228" t="str"><v>Retargeting</v></cell><cell r="W2228" t="str"><v>Link Ad</v></cell><cell r="X2228" t="str"><v>1x1</v></cell></row><row r="2228"><cell r="AA2228"><v>43297</v></cell><cell r="AB2228" t="str"><v>USA_gaPMG_AZR_AZR_Q1_19_Direct-Social</v></cell><cell r="AC2228"><v>21358715</v></cell><cell r="AD2228"><v>720197</v></cell><cell r="AE2228" t="str"><v>Facebook</v></cell><cell r="AF2228"><v>3654128</v></cell><cell r="AG2228" t="str"><v>FACEBOOK»USA-Trial-ITD-Retargeting-AZR-AZR»1 x 1»SocialBan»LIA»ALL»CPA»RT»X»NA»SS»NA»FreeAcctRetargetingFB-Credit-ChA»PRC1RV</v></cell><cell r="AH2228"><v>224106075</v></cell><cell r="AI2228" t="str"><v>AzurePlatform_FreeAcctRetargetingFB-Credit-ChA_USA_1200x628_CAN_PLATFORM_English_Free Account_Standard_NA_SINU_T1_2</v></cell><cell r="AJ2228"><v>103034917</v></cell></row><row r="2229"><cell r="C2229" t="str"><v>43297FACEBOOK»USA-Trial-ITD-Retargeting-AZR-AZR»1 x 1»SocialBan»LIA»ALL»CPA»RT»X»NA»SS»NA»FreeAcctRetargetingFB-GlobalAlt-ChB»PRC1RW</v></cell><cell r="D2229" t="str"><v>43297223862756</v></cell><cell r="E2229" t="str"><v>43297103180592PRC1RW</v></cell><cell r="F2229" t="str"><v>DCM</v></cell><cell r="G2229" t="str"><v>https://azure.microsoft.com/en-us/free/search/?OCID=AID%eexcid!_OLA_%ebuy!_%epid!_%ecid!</v></cell></row><row r="2229"><cell r="K2229" t="str"><v>July</v></cell><cell r="L2229"><v>43302</v></cell><cell r="M2229" t="str"><v>Tier 0</v></cell><cell r="N2229" t="str"><v>North America</v></cell><cell r="O2229" t="str"><v>United States</v></cell><cell r="P2229" t="str"><v>Trial</v></cell><cell r="Q2229" t="str"><v>Social</v></cell><cell r="R2229" t="str"><v>Azure</v></cell><cell r="S2229" t="str"><v>Apps & Infra</v></cell><cell r="T2229" t="str"><v>Developers & ITI's</v></cell><cell r="U2229" t="str"><v>USA-Trial-ITD-Retargeting-AZR-AZR</v></cell><cell r="V2229" t="str"><v>Retargeting</v></cell><cell r="W2229" t="str"><v>Link Ad</v></cell><cell r="X2229" t="str"><v>1x1</v></cell></row><row r="2229"><cell r="AA2229"><v>43297</v></cell><cell r="AB2229" t="str"><v>USA_gaPMG_AZR_AZR_Q1_19_Direct-Social</v></cell><cell r="AC2229"><v>21358715</v></cell><cell r="AD2229"><v>720197</v></cell><cell r="AE2229" t="str"><v>Facebook</v></cell><cell r="AF2229"><v>3654128</v></cell><cell r="AG2229" t="str"><v>FACEBOOK»USA-Trial-ITD-Retargeting-AZR-AZR»1 x 1»SocialBan»LIA»ALL»CPA»RT»X»NA»SS»NA»FreeAcctRetargetingFB-GlobalAlt-ChB»PRC1RW</v></cell><cell r="AH2229"><v>223862756</v></cell><cell r="AI2229" t="str"><v>AzurePlatform_FreeAcctRetargetingFB-GlobalAlt-ChB_USA_1200x628_CAN_PLATFORM_English_Free Account_Standard_NA_SINU_T2_1</v></cell><cell r="AJ2229"><v>103180592</v></cell></row><row r="2230"><cell r="C2230" t="str"><v>43297FACEBOOK»USA-Trial-ITD-Retargeting-AZR-AZR»1 x 1»SocialBan»LIA»ALL»CPA»RT»X»NA»SS»NA»FreeAcctRetargetingVMFB-750Hrs-ChD»PRC1RY</v></cell><cell r="D2230" t="str"><v>43297223862747</v></cell><cell r="E2230" t="str"><v>43297103034911PRC1RY</v></cell><cell r="F2230" t="str"><v>DCM</v></cell><cell r="G2230" t="str"><v>https://azure.microsoft.com/en-us/free/virtual-machines/search/?OCID=AID%eexcid!_OLA_%ebuy!_%epid!_%ecid!</v></cell></row><row r="2230"><cell r="K2230" t="str"><v>July</v></cell><cell r="L2230"><v>43302</v></cell><cell r="M2230" t="str"><v>Tier 0</v></cell><cell r="N2230" t="str"><v>North America</v></cell><cell r="O2230" t="str"><v>United States</v></cell><cell r="P2230" t="str"><v>Trial</v></cell><cell r="Q2230" t="str"><v>Social</v></cell><cell r="R2230" t="str"><v>Azure</v></cell><cell r="S2230" t="str"><v>Apps & Infra</v></cell><cell r="T2230" t="str"><v>Developers & ITI's</v></cell><cell r="U2230" t="str"><v>USA-Trial-ITD-Retargeting-AZR-AZR</v></cell><cell r="V2230" t="str"><v>Retargeting</v></cell><cell r="W2230" t="str"><v>Link Ad</v></cell><cell r="X2230" t="str"><v>1x1</v></cell></row><row r="2230"><cell r="AA2230"><v>43297</v></cell><cell r="AB2230" t="str"><v>USA_gaPMG_AZR_AZR_Q1_19_Direct-Social</v></cell><cell r="AC2230"><v>21358715</v></cell><cell r="AD2230"><v>720197</v></cell><cell r="AE2230" t="str"><v>Facebook</v></cell><cell r="AF2230"><v>3654128</v></cell><cell r="AG2230" t="str"><v>FACEBOOK»USA-Trial-ITD-Retargeting-AZR-AZR»1 x 1»SocialBan»LIA»ALL»CPA»RT»X»NA»SS»NA»FreeAcctRetargetingVMFB-750Hrs-ChD»PRC1RY</v></cell><cell r="AH2230"><v>223862747</v></cell><cell r="AI2230" t="str"><v>AzurePlatform_FreeAcctRetargetingVMFB-750Hrs-ChD_USA_1200x628_CAN_PLATFORM_English_Free Account_Standard_NA_SINU_T1_1</v></cell><cell r="AJ2230"><v>103034911</v></cell></row><row r="2231"><cell r="C2231" t="str"><v>43297FACEBOOK»USA-Trial-ITD-Retargeting-AZR-AZR»1 x 1»SocialBan»LIA»ALL»CPA»RT»X»NA»SS»NA»FreeAcctRetargetingVMFB-OnDemand-ChE»PRC1S0</v></cell><cell r="D2231" t="str"><v>43297224104899</v></cell><cell r="E2231" t="str"><v>43297103180610PRC1S0</v></cell><cell r="F2231" t="str"><v>DCM</v></cell><cell r="G2231" t="str"><v>https://azure.microsoft.com/en-us/free/virtual-machines/search/?OCID=AID%eexcid!_OLA_%ebuy!_%epid!_%ecid!</v></cell></row><row r="2231"><cell r="K2231" t="str"><v>July</v></cell><cell r="L2231"><v>43302</v></cell><cell r="M2231" t="str"><v>Tier 0</v></cell><cell r="N2231" t="str"><v>North America</v></cell><cell r="O2231" t="str"><v>United States</v></cell><cell r="P2231" t="str"><v>Trial</v></cell><cell r="Q2231" t="str"><v>Social</v></cell><cell r="R2231" t="str"><v>Azure</v></cell><cell r="S2231" t="str"><v>Apps & Infra</v></cell><cell r="T2231" t="str"><v>Developers & ITI's</v></cell><cell r="U2231" t="str"><v>USA-Trial-ITD-Retargeting-AZR-AZR</v></cell><cell r="V2231" t="str"><v>Retargeting</v></cell><cell r="W2231" t="str"><v>Link Ad</v></cell><cell r="X2231" t="str"><v>1x1</v></cell></row><row r="2231"><cell r="AA2231"><v>43297</v></cell><cell r="AB2231" t="str"><v>USA_gaPMG_AZR_AZR_Q1_19_Direct-Social</v></cell><cell r="AC2231"><v>21358715</v></cell><cell r="AD2231"><v>720197</v></cell><cell r="AE2231" t="str"><v>Facebook</v></cell><cell r="AF2231"><v>3654128</v></cell><cell r="AG2231" t="str"><v>FACEBOOK»USA-Trial-ITD-Retargeting-AZR-AZR»1 x 1»SocialBan»LIA»ALL»CPA»RT»X»NA»SS»NA»FreeAcctRetargetingVMFB-OnDemand-ChE»PRC1S0</v></cell><cell r="AH2231"><v>224104899</v></cell><cell r="AI2231" t="str"><v>AzurePlatform_FreeAcctRetargetingVMFB-OnDemand-ChE_USA_1200x628_CAN_PLATFORM_English_Free Account_Standard_NA_SINU_T2_1</v></cell><cell r="AJ2231"><v>103180610</v></cell></row><row r="2232"><cell r="C2232" t="str"><v>43297FACEBOOK»USA-Trial-ITD-Retargeting-AZR-AZR»1 x 1»SocialBan»CAN»ALL»CPA»RT»X»NA»SS»NA»FBCTCBenefit2inMotion»PRC1RR</v></cell><cell r="D2232" t="str"><v>43297224104896</v></cell><cell r="E2232" t="str"><v>43297103043835PRC1RR</v></cell><cell r="F2232" t="str"><v>DCM</v></cell><cell r="G2232" t="str"><v>https://signup.azure.com/?OCID=AID%eexcid!_OLA_%ebuy!_%epid!_%ecid!</v></cell></row><row r="2232"><cell r="K2232" t="str"><v>July</v></cell><cell r="L2232"><v>43302</v></cell><cell r="M2232" t="str"><v>Tier 0</v></cell><cell r="N2232" t="str"><v>North America</v></cell><cell r="O2232" t="str"><v>United States</v></cell><cell r="P2232" t="str"><v>Trial</v></cell><cell r="Q2232" t="str"><v>Social</v></cell><cell r="R2232" t="str"><v>Azure</v></cell><cell r="S2232" t="str"><v>Apps & Infra</v></cell><cell r="T2232" t="str"><v>Developers & ITI's</v></cell><cell r="U2232" t="str"><v>USA-Trial-ITD-Retargeting-AZR-AZR</v></cell><cell r="V2232" t="str"><v>Retargeting</v></cell><cell r="W2232" t="str"><v>Canvas Ad</v></cell><cell r="X2232" t="str"><v>1x1</v></cell></row><row r="2232"><cell r="AA2232"><v>43297</v></cell><cell r="AB2232" t="str"><v>USA_gaPMG_AZR_AZR_Q1_19_Direct-Social</v></cell><cell r="AC2232"><v>21358715</v></cell><cell r="AD2232"><v>720197</v></cell><cell r="AE2232" t="str"><v>Facebook</v></cell><cell r="AF2232"><v>3654128</v></cell><cell r="AG2232" t="str"><v>FACEBOOK»USA-Trial-ITD-Retargeting-AZR-AZR»1 x 1»SocialBan»CAN»ALL»CPA»RT»X»NA»SS»NA»FBCTCBenefit2inMotion»PRC1RR</v></cell><cell r="AH2232"><v>224104896</v></cell><cell r="AI2232" t="str"><v>AzurePlatform_FBCTCBenefit2inMotion_USA_10s_CAN_PLATFORM_English_Trial_Standard_STAN_TIN_T4_1</v></cell><cell r="AJ2232"><v>103043835</v></cell></row><row r="2233"><cell r="C2233" t="str"><v>43297FACEBOOK»USA-Trial-ITD-Retargeting-AZR-AZR»1 x 1»SocialBan»CAN»ALL»CPA»RT»X»NA»SS»NA»FBCTCBrandinMotion»PRC1RT</v></cell><cell r="D2233" t="str"><v>43297224106069</v></cell><cell r="E2233" t="str"><v>43297103176812PRC1RT</v></cell><cell r="F2233" t="str"><v>DCM</v></cell><cell r="G2233" t="str"><v>https://signup.azure.com/?OCID=AID%eexcid!_OLA_%ebuy!_%epid!_%ecid!</v></cell></row><row r="2233"><cell r="K2233" t="str"><v>July</v></cell><cell r="L2233"><v>43302</v></cell><cell r="M2233" t="str"><v>Tier 0</v></cell><cell r="N2233" t="str"><v>North America</v></cell><cell r="O2233" t="str"><v>United States</v></cell><cell r="P2233" t="str"><v>Trial</v></cell><cell r="Q2233" t="str"><v>Social</v></cell><cell r="R2233" t="str"><v>Azure</v></cell><cell r="S2233" t="str"><v>Apps & Infra</v></cell><cell r="T2233" t="str"><v>Developers & ITI's</v></cell><cell r="U2233" t="str"><v>USA-Trial-ITD-Retargeting-AZR-AZR</v></cell><cell r="V2233" t="str"><v>Retargeting</v></cell><cell r="W2233" t="str"><v>Canvas Ad</v></cell><cell r="X2233" t="str"><v>1x1</v></cell></row><row r="2233"><cell r="AA2233"><v>43297</v></cell><cell r="AB2233" t="str"><v>USA_gaPMG_AZR_AZR_Q1_19_Direct-Social</v></cell><cell r="AC2233"><v>21358715</v></cell><cell r="AD2233"><v>720197</v></cell><cell r="AE2233" t="str"><v>Facebook</v></cell><cell r="AF2233"><v>3654128</v></cell><cell r="AG2233" t="str"><v>FACEBOOK»USA-Trial-ITD-Retargeting-AZR-AZR»1 x 1»SocialBan»CAN»ALL»CPA»RT»X»NA»SS»NA»FBCTCBrandinMotion»PRC1RT</v></cell><cell r="AH2233"><v>224106069</v></cell><cell r="AI2233" t="str"><v>AzurePlatform_FBCTCBrandinMotion_USA_10s_CAN_PLATFORM_English_Trial_Standard_STAN_TIN_T2_1</v></cell><cell r="AJ2233"><v>103176812</v></cell></row><row r="2234"><cell r="C2234" t="str"><v>43297FACEBOOK»USA-Trial-ITD-Trial Lookalike-AZR-AZR»1 x 1»SocialBan»CAN»ALL»CPA»LAL»X»NA»SS»NA»FBCTCBenefitinMotion»PRC1M2</v></cell><cell r="D2234" t="str"><v>43297223862897</v></cell><cell r="E2234" t="str"><v>43297103176836PRC1M2</v></cell><cell r="F2234" t="str"><v>DCM</v></cell><cell r="G2234" t="str"><v>https://azure.microsoft.com/en-us/pricing/purchase-options/?v=18.19&OCID=AID%eexcid!_OLA_%ebuy!_%epid!_%ecid!</v></cell></row><row r="2234"><cell r="K2234" t="str"><v>July</v></cell><cell r="L2234"><v>43302</v></cell><cell r="M2234" t="str"><v>Tier 0</v></cell><cell r="N2234" t="str"><v>North America</v></cell><cell r="O2234" t="str"><v>United States</v></cell><cell r="P2234" t="str"><v>Trial</v></cell><cell r="Q2234" t="str"><v>Social</v></cell><cell r="R2234" t="str"><v>Azure</v></cell><cell r="S2234" t="str"><v>Apps & Infra</v></cell><cell r="T2234" t="str"><v>Developers & ITI's</v></cell><cell r="U2234" t="str"><v>USA-Trial-ITD-Trial Lookalike-AZR-AZR</v></cell><cell r="V2234" t="str"><v>Lookalike Targeting</v></cell><cell r="W2234" t="str"><v>Canvas Ad</v></cell><cell r="X2234" t="str"><v>1x1</v></cell></row><row r="2234"><cell r="AA2234"><v>43297</v></cell><cell r="AB2234" t="str"><v>USA_gaPMG_AZR_AZR_Q1_19_Direct-Social</v></cell><cell r="AC2234"><v>21358715</v></cell><cell r="AD2234"><v>720197</v></cell><cell r="AE2234" t="str"><v>Facebook</v></cell><cell r="AF2234"><v>3654128</v></cell><cell r="AG2234" t="str"><v>FACEBOOK»USA-Trial-ITD-Trial Lookalike-AZR-AZR»1 x 1»SocialBan»CAN»ALL»CPA»LAL»X»NA»SS»NA»FBCTCBenefitinMotion»PRC1M2</v></cell><cell r="AH2234"><v>223862897</v></cell><cell r="AI2234" t="str"><v>AzurePlatform_FBCTCBenefitinMotion_USA_10s_CAN_PLATFORM_English_Trial_Standard_STAN_TIN_T3_2</v></cell><cell r="AJ2234"><v>103176836</v></cell></row><row r="2235"><cell r="C2235" t="str"><v>43297FACEBOOK»USA-Trial-ITD-Trial Lookalike-AZR-AZR»1 x 1»SocialBan»LIA»ALL»CPA»LAL»X»NA»SS»NA»FreeAcctDeveloperFB-AnimatedAI-Ch3»PRC1M7</v></cell><cell r="D2235" t="str"><v>43297223934104</v></cell><cell r="E2235" t="str"><v>43297103032778PRC1M7</v></cell><cell r="F2235" t="str"><v>DCM</v></cell></row><row r="2235"><cell r="K2235" t="str"><v>July</v></cell><cell r="L2235"><v>43302</v></cell><cell r="M2235" t="str"><v>Tier 0</v></cell><cell r="N2235" t="str"><v>North America</v></cell><cell r="O2235" t="str"><v>United States</v></cell><cell r="P2235" t="str"><v>Trial</v></cell><cell r="Q2235" t="str"><v>Social</v></cell><cell r="R2235" t="str"><v>Azure</v></cell><cell r="S2235" t="str"><v>Apps & Infra</v></cell><cell r="T2235" t="str"><v>Developers & ITI's</v></cell><cell r="U2235" t="str"><v>USA-Trial-ITD-Trial Lookalike-AZR-AZR</v></cell><cell r="V2235" t="str"><v>Lookalike Targeting</v></cell><cell r="W2235" t="str"><v>Link Ad</v></cell><cell r="X2235" t="str"><v>1x1</v></cell></row><row r="2235"><cell r="AA2235"><v>43297</v></cell><cell r="AB2235" t="str"><v>USA_gaPMG_AZR_AZR_Q1_19_Direct-Social</v></cell><cell r="AC2235"><v>21358715</v></cell><cell r="AD2235"><v>720197</v></cell><cell r="AE2235" t="str"><v>Facebook</v></cell><cell r="AF2235"><v>3654128</v></cell><cell r="AG2235" t="str"><v>FACEBOOK»USA-Trial-ITD-Trial Lookalike-AZR-AZR»1 x 1»SocialBan»LIA»ALL»CPA»LAL»X»NA»SS»NA»FreeAcctDeveloperFB-AnimatedAI-Ch3»PRC1M7</v></cell><cell r="AH2235"><v>223934104</v></cell><cell r="AI2235" t="str"><v>AZR_FreeAcctDeveloperFB-AnimatedAI-Ch3_USA_1200x1200_CAN_Direct_English_Trial_Standard_ANI_LEA_T3_1</v></cell><cell r="AJ2235"><v>103032778</v></cell></row><row r="2236"><cell r="C2236" t="str"><v>43297FACEBOOK»USA-Trial-ITD-Trial Lookalike-AZR-AZR»1 x 1»SocialBan»LIA»ALL»CPA»LAL»X»NA»SS»NA»FreeAcctDeveloperFB-AnimatedData-Ch4»PRC1M8</v></cell><cell r="D2236" t="str"><v>43297223862933</v></cell><cell r="E2236" t="str"><v>43297103037935PRC1M8</v></cell><cell r="F2236" t="str"><v>DCM</v></cell></row><row r="2236"><cell r="K2236" t="str"><v>July</v></cell><cell r="L2236"><v>43302</v></cell><cell r="M2236" t="str"><v>Tier 0</v></cell><cell r="N2236" t="str"><v>North America</v></cell><cell r="O2236" t="str"><v>United States</v></cell><cell r="P2236" t="str"><v>Trial</v></cell><cell r="Q2236" t="str"><v>Social</v></cell><cell r="R2236" t="str"><v>Azure</v></cell><cell r="S2236" t="str"><v>Apps & Infra</v></cell><cell r="T2236" t="str"><v>Developers & ITI's</v></cell><cell r="U2236" t="str"><v>USA-Trial-ITD-Trial Lookalike-AZR-AZR</v></cell><cell r="V2236" t="str"><v>Lookalike Targeting</v></cell><cell r="W2236" t="str"><v>Link Ad</v></cell><cell r="X2236" t="str"><v>1x1</v></cell></row><row r="2236"><cell r="AA2236"><v>43297</v></cell><cell r="AB2236" t="str"><v>USA_gaPMG_AZR_AZR_Q1_19_Direct-Social</v></cell><cell r="AC2236"><v>21358715</v></cell><cell r="AD2236"><v>720197</v></cell><cell r="AE2236" t="str"><v>Facebook</v></cell><cell r="AF2236"><v>3654128</v></cell><cell r="AG2236" t="str"><v>FACEBOOK»USA-Trial-ITD-Trial Lookalike-AZR-AZR»1 x 1»SocialBan»LIA»ALL»CPA»LAL»X»NA»SS»NA»FreeAcctDeveloperFB-AnimatedData-Ch4»PRC1M8</v></cell><cell r="AH2236"><v>223862933</v></cell><cell r="AI2236" t="str"><v>AZR_FreeAcctDeveloperFB-AnimatedData-Ch4_USA_1200x1200_CAN_Direct_English_Trial_Standard_ANI_LEA_T4_2</v></cell><cell r="AJ2236"><v>103037935</v></cell></row><row r="2237"><cell r="C2237" t="str"><v>43297FACEBOOK»USA-Trial-ITD-Trial Lookalike-AZR-AZR»1 x 1»SocialBan»LIA»ALL»CPA»LAL»X»NA»SS»NA»FreeAcctITProFB-AnimatedHybrid-Ch2»PRC1MC</v></cell><cell r="D2237" t="str"><v>43297224104956</v></cell><cell r="E2237" t="str"><v>43297103180583PRC1MC</v></cell><cell r="F2237" t="str"><v>DCM</v></cell></row><row r="2237"><cell r="K2237" t="str"><v>July</v></cell><cell r="L2237"><v>43302</v></cell><cell r="M2237" t="str"><v>Tier 0</v></cell><cell r="N2237" t="str"><v>North America</v></cell><cell r="O2237" t="str"><v>United States</v></cell><cell r="P2237" t="str"><v>Trial</v></cell><cell r="Q2237" t="str"><v>Social</v></cell><cell r="R2237" t="str"><v>Azure</v></cell><cell r="S2237" t="str"><v>Apps & Infra</v></cell><cell r="T2237" t="str"><v>Developers & ITI's</v></cell><cell r="U2237" t="str"><v>USA-Trial-ITD-Trial Lookalike-AZR-AZR</v></cell><cell r="V2237" t="str"><v>Lookalike Targeting</v></cell><cell r="W2237" t="str"><v>Link Ad</v></cell><cell r="X2237" t="str"><v>1x1</v></cell></row><row r="2237"><cell r="AA2237"><v>43297</v></cell><cell r="AB2237" t="str"><v>USA_gaPMG_AZR_AZR_Q1_19_Direct-Social</v></cell><cell r="AC2237"><v>21358715</v></cell><cell r="AD2237"><v>720197</v></cell><cell r="AE2237" t="str"><v>Facebook</v></cell><cell r="AF2237"><v>3654128</v></cell><cell r="AG2237" t="str"><v>FACEBOOK»USA-Trial-ITD-Trial Lookalike-AZR-AZR»1 x 1»SocialBan»LIA»ALL»CPA»LAL»X»NA»SS»NA»FreeAcctITProFB-AnimatedHybrid-Ch2»PRC1MC</v></cell><cell r="AH2237"><v>224104956</v></cell><cell r="AI2237" t="str"><v>AZR_FreeAcctITProFB-AnimatedHybrid-Ch2_USA_1200x1200_CAN_Direct_English_Trial_Standard_ANI_LEA_T2_2</v></cell><cell r="AJ2237"><v>103180583</v></cell></row><row r="2238"><cell r="C2238" t="str"><v>43297FACEBOOK»USA-Trial-ITD-Trial Lookalike-AZR-AZR»1 x 1»SocialBan»CAN»ALL»CPA»LAL»X»NA»SS»NA»FBCTCBrandinMotion»PRC1M3</v></cell><cell r="D2238" t="str"><v>43297223862900</v></cell><cell r="E2238" t="str"><v>43297103176812PRC1M3</v></cell><cell r="F2238" t="str"><v>DCM</v></cell><cell r="G2238" t="str"><v>https://signup.azure.com/?OCID=AID%eexcid!_OLA_%ebuy!_%epid!_%ecid!</v></cell></row><row r="2238"><cell r="K2238" t="str"><v>July</v></cell><cell r="L2238"><v>43302</v></cell><cell r="M2238" t="str"><v>Tier 0</v></cell><cell r="N2238" t="str"><v>North America</v></cell><cell r="O2238" t="str"><v>United States</v></cell><cell r="P2238" t="str"><v>Trial</v></cell><cell r="Q2238" t="str"><v>Social</v></cell><cell r="R2238" t="str"><v>Azure</v></cell><cell r="S2238" t="str"><v>Apps & Infra</v></cell><cell r="T2238" t="str"><v>Developers & ITI's</v></cell><cell r="U2238" t="str"><v>USA-Trial-ITD-Trial Lookalike-AZR-AZR</v></cell><cell r="V2238" t="str"><v>Lookalike Targeting</v></cell><cell r="W2238" t="str"><v>Canvas Ad</v></cell><cell r="X2238" t="str"><v>1x1</v></cell></row><row r="2238"><cell r="AA2238"><v>43297</v></cell><cell r="AB2238" t="str"><v>USA_gaPMG_AZR_AZR_Q1_19_Direct-Social</v></cell><cell r="AC2238"><v>21358715</v></cell><cell r="AD2238"><v>720197</v></cell><cell r="AE2238" t="str"><v>Facebook</v></cell><cell r="AF2238"><v>3654128</v></cell><cell r="AG2238" t="str"><v>FACEBOOK»USA-Trial-ITD-Trial Lookalike-AZR-AZR»1 x 1»SocialBan»CAN»ALL»CPA»LAL»X»NA»SS»NA»FBCTCBrandinMotion»PRC1M3</v></cell><cell r="AH2238"><v>223862900</v></cell><cell r="AI2238" t="str"><v>AzurePlatform_FBCTCBrandinMotion_USA_10s_CAN_PLATFORM_English_Trial_Standard_STAN_TIN_T2_1</v></cell><cell r="AJ2238"><v>103176812</v></cell></row><row r="2239"><cell r="C2239" t="str"><v>43297FACEBOOK»USA-Trial-ITD-Trial Lookalike-AZR-AZR»1 x 1»SocialBan»CAN»ALL»CPA»LAL»X»NA»SS»NA»FBCTCBrandinMotion»PRC1M3</v></cell><cell r="D2239" t="str"><v>43297223862900</v></cell><cell r="E2239" t="str"><v>43297103032823PRC1M3</v></cell><cell r="F2239" t="str"><v>DCM</v></cell><cell r="G2239" t="str"><v>https://azure.microsoft.com/en-us/pricing/purchase-options/?v=18.19&OCID=AID%eexcid!_OLA_%ebuy!_%epid!_%ecid!</v></cell></row><row r="2239"><cell r="K2239" t="str"><v>July</v></cell><cell r="L2239"><v>43302</v></cell><cell r="M2239" t="str"><v>Tier 0</v></cell><cell r="N2239" t="str"><v>North America</v></cell><cell r="O2239" t="str"><v>United States</v></cell><cell r="P2239" t="str"><v>Trial</v></cell><cell r="Q2239" t="str"><v>Social</v></cell><cell r="R2239" t="str"><v>Azure</v></cell><cell r="S2239" t="str"><v>Apps & Infra</v></cell><cell r="T2239" t="str"><v>Developers & ITI's</v></cell><cell r="U2239" t="str"><v>USA-Trial-ITD-Trial Lookalike-AZR-AZR</v></cell><cell r="V2239" t="str"><v>Lookalike Targeting</v></cell><cell r="W2239" t="str"><v>Canvas Ad</v></cell><cell r="X2239" t="str"><v>1x1</v></cell></row><row r="2239"><cell r="AA2239"><v>43297</v></cell><cell r="AB2239" t="str"><v>USA_gaPMG_AZR_AZR_Q1_19_Direct-Social</v></cell><cell r="AC2239"><v>21358715</v></cell><cell r="AD2239"><v>720197</v></cell><cell r="AE2239" t="str"><v>Facebook</v></cell><cell r="AF2239"><v>3654128</v></cell><cell r="AG2239" t="str"><v>FACEBOOK»USA-Trial-ITD-Trial Lookalike-AZR-AZR»1 x 1»SocialBan»CAN»ALL»CPA»LAL»X»NA»SS»NA»FBCTCBrandinMotion»PRC1M3</v></cell><cell r="AH2239"><v>223862900</v></cell><cell r="AI2239" t="str"><v>AzurePlatform_FBCTCBrandinMotion_USA_10s_CAN_PLATFORM_English_Trial_Standard_STAN_TIN_T2_2</v></cell><cell r="AJ2239"><v>103032823</v></cell></row><row r="2240"><cell r="C2240" t="str"><v>43297FACEBOOK»USA-Trial-ITD-Trial PayGo Lookalike-AZR-AZR»1 x 1»SocialBan»CAN»ALL»CPA»LAL»X»NA»SS»NA»FBCTCBenefit2inMotion»PRC1Q1</v></cell><cell r="D2240" t="str"><v>43297224104986</v></cell><cell r="E2240" t="str"><v>43297103043835PRC1Q1</v></cell><cell r="F2240" t="str"><v>DCM</v></cell><cell r="G2240" t="str"><v>https://signup.azure.com/?OCID=AID%eexcid!_OLA_%ebuy!_%epid!_%ecid!</v></cell></row><row r="2240"><cell r="K2240" t="str"><v>July</v></cell><cell r="L2240"><v>43302</v></cell><cell r="M2240" t="str"><v>Tier 0</v></cell><cell r="N2240" t="str"><v>North America</v></cell><cell r="O2240" t="str"><v>United States</v></cell><cell r="P2240" t="str"><v>Trial</v></cell><cell r="Q2240" t="str"><v>Social</v></cell><cell r="R2240" t="str"><v>Azure</v></cell><cell r="S2240" t="str"><v>Apps & Infra</v></cell><cell r="T2240" t="str"><v>Developers & ITI's</v></cell><cell r="U2240" t="str"><v>USA-Trial-ITD-Trial PayGo Lookalike-AZR-AZR</v></cell><cell r="V2240" t="str"><v>Lookalike Targeting</v></cell><cell r="W2240" t="str"><v>Canvas Ad</v></cell><cell r="X2240" t="str"><v>1x1</v></cell></row><row r="2240"><cell r="AA2240"><v>43297</v></cell><cell r="AB2240" t="str"><v>USA_gaPMG_AZR_AZR_Q1_19_Direct-Social</v></cell><cell r="AC2240"><v>21358715</v></cell><cell r="AD2240"><v>720197</v></cell><cell r="AE2240" t="str"><v>Facebook</v></cell><cell r="AF2240"><v>3654128</v></cell><cell r="AG2240" t="str"><v>FACEBOOK»USA-Trial-ITD-Trial PayGo Lookalike-AZR-AZR»1 x 1»SocialBan»CAN»ALL»CPA»LAL»X»NA»SS»NA»FBCTCBenefit2inMotion»PRC1Q1</v></cell><cell r="AH2240"><v>224104986</v></cell><cell r="AI2240" t="str"><v>AzurePlatform_FBCTCBenefit2inMotion_USA_10s_CAN_PLATFORM_English_Trial_Standard_STAN_TIN_T4_1</v></cell><cell r="AJ2240"><v>103043835</v></cell></row><row r="2241"><cell r="C2241" t="str"><v>43297FACEBOOK»USA-Trial-ITD-Trial PayGo Lookalike-AZR-AZR»1 x 1»SocialBan»CAN»ALL»CPA»LAL»X»NA»SS»NA»FBCTCBrandinMotion»PRC1Q3</v></cell><cell r="D2241" t="str"><v>43297223935349</v></cell><cell r="E2241" t="str"><v>43297103176812PRC1Q3</v></cell><cell r="F2241" t="str"><v>DCM</v></cell><cell r="G2241" t="str"><v>https://signup.azure.com/?OCID=AID%eexcid!_OLA_%ebuy!_%epid!_%ecid!</v></cell></row><row r="2241"><cell r="K2241" t="str"><v>July</v></cell><cell r="L2241"><v>43302</v></cell><cell r="M2241" t="str"><v>Tier 0</v></cell><cell r="N2241" t="str"><v>North America</v></cell><cell r="O2241" t="str"><v>United States</v></cell><cell r="P2241" t="str"><v>Trial</v></cell><cell r="Q2241" t="str"><v>Social</v></cell><cell r="R2241" t="str"><v>Azure</v></cell><cell r="S2241" t="str"><v>Apps & Infra</v></cell><cell r="T2241" t="str"><v>Developers & ITI's</v></cell><cell r="U2241" t="str"><v>USA-Trial-ITD-Trial PayGo Lookalike-AZR-AZR</v></cell><cell r="V2241" t="str"><v>Lookalike Targeting</v></cell><cell r="W2241" t="str"><v>Canvas Ad</v></cell><cell r="X2241" t="str"><v>1x1</v></cell></row><row r="2241"><cell r="AA2241"><v>43297</v></cell><cell r="AB2241" t="str"><v>USA_gaPMG_AZR_AZR_Q1_19_Direct-Social</v></cell><cell r="AC2241"><v>21358715</v></cell><cell r="AD2241"><v>720197</v></cell><cell r="AE2241" t="str"><v>Facebook</v></cell><cell r="AF2241"><v>3654128</v></cell><cell r="AG2241" t="str"><v>FACEBOOK»USA-Trial-ITD-Trial PayGo Lookalike-AZR-AZR»1 x 1»SocialBan»CAN»ALL»CPA»LAL»X»NA»SS»NA»FBCTCBrandinMotion»PRC1Q3</v></cell><cell r="AH2241"><v>223935349</v></cell><cell r="AI2241" t="str"><v>AzurePlatform_FBCTCBrandinMotion_USA_10s_CAN_PLATFORM_English_Trial_Standard_STAN_TIN_T2_1</v></cell><cell r="AJ2241"><v>103176812</v></cell></row><row r="2242"><cell r="C2242" t="str"><v>43297FACEBOOK»USA-Trial-ITD-Trial PayGo Lookalike-AZR-AZR»1 x 1»SocialBan»CAN»ALL»CPA»LAL»X»NA»SS»NA»FBCTCBrandinMotion»PRC1Q3</v></cell><cell r="D2242" t="str"><v>43297223935349</v></cell><cell r="E2242" t="str"><v>43297103032823PRC1Q3</v></cell><cell r="F2242" t="str"><v>DCM</v></cell><cell r="G2242" t="str"><v>https://azure.microsoft.com/en-us/pricing/purchase-options/?v=18.19&OCID=AID%eexcid!_OLA_%ebuy!_%epid!_%ecid!</v></cell></row><row r="2242"><cell r="K2242" t="str"><v>July</v></cell><cell r="L2242"><v>43302</v></cell><cell r="M2242" t="str"><v>Tier 0</v></cell><cell r="N2242" t="str"><v>North America</v></cell><cell r="O2242" t="str"><v>United States</v></cell><cell r="P2242" t="str"><v>Trial</v></cell><cell r="Q2242" t="str"><v>Social</v></cell><cell r="R2242" t="str"><v>Azure</v></cell><cell r="S2242" t="str"><v>Apps & Infra</v></cell><cell r="T2242" t="str"><v>Developers & ITI's</v></cell><cell r="U2242" t="str"><v>USA-Trial-ITD-Trial PayGo Lookalike-AZR-AZR</v></cell><cell r="V2242" t="str"><v>Lookalike Targeting</v></cell><cell r="W2242" t="str"><v>Canvas Ad</v></cell><cell r="X2242" t="str"><v>1x1</v></cell></row><row r="2242"><cell r="AA2242"><v>43297</v></cell><cell r="AB2242" t="str"><v>USA_gaPMG_AZR_AZR_Q1_19_Direct-Social</v></cell><cell r="AC2242"><v>21358715</v></cell><cell r="AD2242"><v>720197</v></cell><cell r="AE2242" t="str"><v>Facebook</v></cell><cell r="AF2242"><v>3654128</v></cell><cell r="AG2242" t="str"><v>FACEBOOK»USA-Trial-ITD-Trial PayGo Lookalike-AZR-AZR»1 x 1»SocialBan»CAN»ALL»CPA»LAL»X»NA»SS»NA»FBCTCBrandinMotion»PRC1Q3</v></cell><cell r="AH2242"><v>223935349</v></cell><cell r="AI2242" t="str"><v>AzurePlatform_FBCTCBrandinMotion_USA_10s_CAN_PLATFORM_English_Trial_Standard_STAN_TIN_T2_2</v></cell><cell r="AJ2242"><v>103032823</v></cell></row><row r="2243"><cell r="C2243" t="str"><v>43297FACEBOOK»USA-Trial-ITD-Trial PayGo Lookalike-AZR-AZR»1 x 1»SocialBan»CAN»ALL»CPA»LAL»X»NA»SS»NA»FBCTCBenefitinMotion»PRC1Q2</v></cell><cell r="D2243" t="str"><v>43297223862960</v></cell><cell r="E2243" t="str"><v>43297103032775PRC1Q2</v></cell><cell r="F2243" t="str"><v>DCM</v></cell><cell r="G2243" t="str"><v>https://signup.azure.com/?OCID=AID%eexcid!_OLA_%ebuy!_%epid!_%ecid!</v></cell></row><row r="2243"><cell r="K2243" t="str"><v>July</v></cell><cell r="L2243"><v>43302</v></cell><cell r="M2243" t="str"><v>Tier 0</v></cell><cell r="N2243" t="str"><v>North America</v></cell><cell r="O2243" t="str"><v>United States</v></cell><cell r="P2243" t="str"><v>Trial</v></cell><cell r="Q2243" t="str"><v>Social</v></cell><cell r="R2243" t="str"><v>Azure</v></cell><cell r="S2243" t="str"><v>Apps & Infra</v></cell><cell r="T2243" t="str"><v>Developers & ITI's</v></cell><cell r="U2243" t="str"><v>USA-Trial-ITD-Trial PayGo Lookalike-AZR-AZR</v></cell><cell r="V2243" t="str"><v>Lookalike Targeting</v></cell><cell r="W2243" t="str"><v>Canvas Ad</v></cell><cell r="X2243" t="str"><v>1x1</v></cell></row><row r="2243"><cell r="AA2243"><v>43297</v></cell><cell r="AB2243" t="str"><v>USA_gaPMG_AZR_AZR_Q1_19_Direct-Social</v></cell><cell r="AC2243"><v>21358715</v></cell><cell r="AD2243"><v>720197</v></cell><cell r="AE2243" t="str"><v>Facebook</v></cell><cell r="AF2243"><v>3654128</v></cell><cell r="AG2243" t="str"><v>FACEBOOK»USA-Trial-ITD-Trial PayGo Lookalike-AZR-AZR»1 x 1»SocialBan»CAN»ALL»CPA»LAL»X»NA»SS»NA»FBCTCBenefitinMotion»PRC1Q2</v></cell><cell r="AH2243"><v>223862960</v></cell><cell r="AI2243" t="str"><v>AzurePlatform_FBCTCBenefitinMotion_USA_10s_CAN_PLATFORM_English_Trial_Standard_STAN_TIN_T3_1</v></cell><cell r="AJ2243"><v>103032775</v></cell></row><row r="2244"><cell r="C2244" t="str"><v>43297FACEBOOK»USA-Trial-ITD-Trial PayGo Lookalike-AZR-AZR»1 x 1»SocialBan»LIA»ALL»CPA»LAL»X»NA»SS»NA»FreeAcctDeveloperFB-AnimatedGeneric-Ch1»PRC1Q6</v></cell><cell r="D2244" t="str"><v>43297224106129</v></cell><cell r="E2244" t="str"><v>43297103176851PRC1Q6</v></cell><cell r="F2244" t="str"><v>DCM</v></cell><cell r="G2244" t="str"><v>https://azure.microsoft.com/en-us/free/search/?OCID=AID%eexcid!_OLA_%ebuy!_%epid!_%ecid!</v></cell></row><row r="2244"><cell r="K2244" t="str"><v>July</v></cell><cell r="L2244"><v>43302</v></cell><cell r="M2244" t="str"><v>Tier 0</v></cell><cell r="N2244" t="str"><v>North America</v></cell><cell r="O2244" t="str"><v>United States</v></cell><cell r="P2244" t="str"><v>Trial</v></cell><cell r="Q2244" t="str"><v>Social</v></cell><cell r="R2244" t="str"><v>Azure</v></cell><cell r="S2244" t="str"><v>Apps & Infra</v></cell><cell r="T2244" t="str"><v>Developers & ITI's</v></cell><cell r="U2244" t="str"><v>USA-Trial-ITD-Trial PayGo Lookalike-AZR-AZR</v></cell><cell r="V2244" t="str"><v>Lookalike Targeting</v></cell><cell r="W2244" t="str"><v>Link Ad</v></cell><cell r="X2244" t="str"><v>1x1</v></cell></row><row r="2244"><cell r="AA2244"><v>43297</v></cell><cell r="AB2244" t="str"><v>USA_gaPMG_AZR_AZR_Q1_19_Direct-Social</v></cell><cell r="AC2244"><v>21358715</v></cell><cell r="AD2244"><v>720197</v></cell><cell r="AE2244" t="str"><v>Facebook</v></cell><cell r="AF2244"><v>3654128</v></cell><cell r="AG2244" t="str"><v>FACEBOOK»USA-Trial-ITD-Trial PayGo Lookalike-AZR-AZR»1 x 1»SocialBan»LIA»ALL»CPA»LAL»X»NA»SS»NA»FreeAcctDeveloperFB-AnimatedGeneric-Ch1»PRC1Q6</v></cell><cell r="AH2244"><v>224106129</v></cell><cell r="AI2244" t="str"><v>AZR_FreeAcctDeveloperFB-AnimatedGeneric-Ch1_USA_1200x1200_CAN_Direct_English_Trial_Standard_ANI_LEA_T1_2</v></cell><cell r="AJ2244"><v>103176851</v></cell></row><row r="2245"><cell r="C2245" t="str"><v>43297FACEBOOK»USA-Trial-ITD-Trial PayGo Lookalike-AZR-AZR»1 x 1»SocialBan»CCA»ALL»CPA»LAL»X»NA»SS»NA»Azure Developer Facebook Collections»PRSH6K</v></cell><cell r="D2245" t="str"><v>43297225217676</v></cell><cell r="E2245" t="str"><v>43297103773177PRSH6K</v></cell><cell r="F2245" t="str"><v>DCM</v></cell><cell r="G2245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2245"><cell r="K2245" t="str"><v>July</v></cell><cell r="L2245"><v>43302</v></cell><cell r="M2245" t="str"><v>Tier 0</v></cell><cell r="N2245" t="str"><v>North America</v></cell><cell r="O2245" t="str"><v>United States</v></cell><cell r="P2245" t="str"><v>Trial</v></cell><cell r="Q2245" t="str"><v>Social</v></cell><cell r="R2245" t="str"><v>Azure</v></cell><cell r="S2245" t="str"><v>Apps & Infra</v></cell><cell r="T2245" t="str"><v>Developers & ITI's</v></cell><cell r="U2245" t="str"><v>USA-Trial-ITD-Trial PayGo Lookalike-AZR-AZR</v></cell><cell r="V2245" t="str"><v>Lookalike Targeting</v></cell><cell r="W2245" t="str"><v>Canvas Collection Ad</v></cell><cell r="X2245" t="str"><v>1x1</v></cell></row><row r="2245"><cell r="AA2245"><v>43297</v></cell><cell r="AB2245" t="str"><v>USA_gaPMG_AZR_AZR_Q1_19_Direct-Social</v></cell><cell r="AC2245"><v>21358715</v></cell><cell r="AD2245"><v>720197</v></cell><cell r="AE2245" t="str"><v>Facebook</v></cell><cell r="AF2245"><v>3654128</v></cell><cell r="AG2245" t="str"><v>FACEBOOK»USA-Trial-ITD-Trial PayGo Lookalike-AZR-AZR»1 x 1»SocialBan»CCA»ALL»CPA»LAL»X»NA»SS»NA»Azure Developer Facebook Collections»PRSH6K</v></cell><cell r="AH2245"><v>225217676</v></cell><cell r="AI2245" t="str"><v>AZR_FBCollections-AITryAzureFreeCTA-Img2_USA_1200x182_SOC_Plat_EN_NA_Standard_NA_TIN_T1_2</v></cell><cell r="AJ2245"><v>103773177</v></cell></row><row r="2246"><cell r="C2246" t="str"><v>43297FACEBOOK»USA-Trial-ITD-Trial PayGo Lookalike-AZR-AZR»1 x 1»SocialBan»CCA»ALL»CPA»LAL»X»NA»SS»NA»Azure Developer Facebook Collections»PRSH6K</v></cell><cell r="D2246" t="str"><v>43297225217676</v></cell><cell r="E2246" t="str"><v>43297103776921PRSH6K</v></cell><cell r="F2246" t="str"><v>DCM</v></cell><cell r="G2246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2246"><cell r="K2246" t="str"><v>July</v></cell><cell r="L2246"><v>43302</v></cell><cell r="M2246" t="str"><v>Tier 0</v></cell><cell r="N2246" t="str"><v>North America</v></cell><cell r="O2246" t="str"><v>United States</v></cell><cell r="P2246" t="str"><v>Trial</v></cell><cell r="Q2246" t="str"><v>Social</v></cell><cell r="R2246" t="str"><v>Azure</v></cell><cell r="S2246" t="str"><v>Apps & Infra</v></cell><cell r="T2246" t="str"><v>Developers & ITI's</v></cell><cell r="U2246" t="str"><v>USA-Trial-ITD-Trial PayGo Lookalike-AZR-AZR</v></cell><cell r="V2246" t="str"><v>Lookalike Targeting</v></cell><cell r="W2246" t="str"><v>Canvas Collection Ad</v></cell><cell r="X2246" t="str"><v>1x1</v></cell></row><row r="2246"><cell r="AA2246"><v>43297</v></cell><cell r="AB2246" t="str"><v>USA_gaPMG_AZR_AZR_Q1_19_Direct-Social</v></cell><cell r="AC2246"><v>21358715</v></cell><cell r="AD2246"><v>720197</v></cell><cell r="AE2246" t="str"><v>Facebook</v></cell><cell r="AF2246"><v>3654128</v></cell><cell r="AG2246" t="str"><v>FACEBOOK»USA-Trial-ITD-Trial PayGo Lookalike-AZR-AZR»1 x 1»SocialBan»CCA»ALL»CPA»LAL»X»NA»SS»NA»Azure Developer Facebook Collections»PRSH6K</v></cell><cell r="AH2246"><v>225217676</v></cell><cell r="AI2246" t="str"><v>AZR_FBCollections-FreeStuffTryAzureFreeCTA-Img5_USA_1200x182_SOC_Plat_EN_NA_Standard_NA_TIN_T1_5</v></cell><cell r="AJ2246"><v>103776921</v></cell></row><row r="2247"><cell r="C2247" t="str"><v>43297FACEBOOK»USA-Trial-ITD-Trial PayGo Lookalike-AZR-AZR»1 x 1»SocialBan»CCA»ALL»CPA»LAL»X»NA»SS»NA»Azure Developer Facebook Collections»PRSH6K</v></cell><cell r="D2247" t="str"><v>43297225217676</v></cell><cell r="E2247" t="str"><v>43297103873631PRSH6K</v></cell><cell r="F2247" t="str"><v>DCM</v></cell><cell r="G2247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2247"><cell r="K2247" t="str"><v>July</v></cell><cell r="L2247"><v>43302</v></cell><cell r="M2247" t="str"><v>Tier 0</v></cell><cell r="N2247" t="str"><v>North America</v></cell><cell r="O2247" t="str"><v>United States</v></cell><cell r="P2247" t="str"><v>Trial</v></cell><cell r="Q2247" t="str"><v>Social</v></cell><cell r="R2247" t="str"><v>Azure</v></cell><cell r="S2247" t="str"><v>Apps & Infra</v></cell><cell r="T2247" t="str"><v>Developers & ITI's</v></cell><cell r="U2247" t="str"><v>USA-Trial-ITD-Trial PayGo Lookalike-AZR-AZR</v></cell><cell r="V2247" t="str"><v>Lookalike Targeting</v></cell><cell r="W2247" t="str"><v>Canvas Collection Ad</v></cell><cell r="X2247" t="str"><v>1x1</v></cell></row><row r="2247"><cell r="AA2247"><v>43297</v></cell><cell r="AB2247" t="str"><v>USA_gaPMG_AZR_AZR_Q1_19_Direct-Social</v></cell><cell r="AC2247"><v>21358715</v></cell><cell r="AD2247"><v>720197</v></cell><cell r="AE2247" t="str"><v>Facebook</v></cell><cell r="AF2247"><v>3654128</v></cell><cell r="AG2247" t="str"><v>FACEBOOK»USA-Trial-ITD-Trial PayGo Lookalike-AZR-AZR»1 x 1»SocialBan»CCA»ALL»CPA»LAL»X»NA»SS»NA»Azure Developer Facebook Collections»PRSH6K</v></cell><cell r="AH2247"><v>225217676</v></cell><cell r="AI2247" t="str"><v>AZR_FBCollections-OSSTryAzureFreeCTA-Img3_USA_1200x182_SOC_Plat_EN_NA_Standard_NA_TIN_T1_3</v></cell><cell r="AJ2247"><v>103873631</v></cell></row><row r="2248"><cell r="C2248" t="str"><v>43297FACEBOOK»USA-Trial-ITD-Trial PayGo Lookalike-AZR-AZR»1 x 1»SocialBan»CCA»ALL»CPA»LAL»X»NA»SS»NA»Azure Developer Facebook Collections»PRSH6K</v></cell><cell r="D2248" t="str"><v>43297225217676</v></cell><cell r="E2248" t="str"><v>43297103773180PRSH6K</v></cell><cell r="F2248" t="str"><v>DCM</v></cell><cell r="G2248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2248"><cell r="K2248" t="str"><v>July</v></cell><cell r="L2248"><v>43302</v></cell><cell r="M2248" t="str"><v>Tier 0</v></cell><cell r="N2248" t="str"><v>North America</v></cell><cell r="O2248" t="str"><v>United States</v></cell><cell r="P2248" t="str"><v>Trial</v></cell><cell r="Q2248" t="str"><v>Social</v></cell><cell r="R2248" t="str"><v>Azure</v></cell><cell r="S2248" t="str"><v>Apps & Infra</v></cell><cell r="T2248" t="str"><v>Developers & ITI's</v></cell><cell r="U2248" t="str"><v>USA-Trial-ITD-Trial PayGo Lookalike-AZR-AZR</v></cell><cell r="V2248" t="str"><v>Lookalike Targeting</v></cell><cell r="W2248" t="str"><v>Canvas Collection Ad</v></cell><cell r="X2248" t="str"><v>1x1</v></cell></row><row r="2248"><cell r="AA2248"><v>43297</v></cell><cell r="AB2248" t="str"><v>USA_gaPMG_AZR_AZR_Q1_19_Direct-Social</v></cell><cell r="AC2248"><v>21358715</v></cell><cell r="AD2248"><v>720197</v></cell><cell r="AE2248" t="str"><v>Facebook</v></cell><cell r="AF2248"><v>3654128</v></cell><cell r="AG2248" t="str"><v>FACEBOOK»USA-Trial-ITD-Trial PayGo Lookalike-AZR-AZR»1 x 1»SocialBan»CCA»ALL»CPA»LAL»X»NA»SS»NA»Azure Developer Facebook Collections»PRSH6K</v></cell><cell r="AH2248"><v>225217676</v></cell><cell r="AI2248" t="str"><v>AZR_FBCollections-SmartDataTryAzureFreeCTA-Img4_USA_1200x182_SOC_Plat_EN_NA_Standard_NA_TIN_T1_4</v></cell><cell r="AJ2248"><v>103773180</v></cell></row><row r="2249"><cell r="C2249" t="str"><v>43297FACEBOOK»USA-Trial-ITD-Trial PayGo Lookalike-AZR-AZR»1 x 1»SocialBan»CCA»ALL»CPA»LAL»X»NA»SS»NA»Azure Developer Facebook Collections»PRSH6K</v></cell><cell r="D2249" t="str"><v>43297225217676</v></cell><cell r="E2249" t="str"><v>43297103874423PRSH6K</v></cell><cell r="F2249" t="str"><v>DCM</v></cell><cell r="G224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2249"><cell r="K2249" t="str"><v>July</v></cell><cell r="L2249"><v>43302</v></cell><cell r="M2249" t="str"><v>Tier 0</v></cell><cell r="N2249" t="str"><v>North America</v></cell><cell r="O2249" t="str"><v>United States</v></cell><cell r="P2249" t="str"><v>Trial</v></cell><cell r="Q2249" t="str"><v>Social</v></cell><cell r="R2249" t="str"><v>Azure</v></cell><cell r="S2249" t="str"><v>Apps & Infra</v></cell><cell r="T2249" t="str"><v>Developers & ITI's</v></cell><cell r="U2249" t="str"><v>USA-Trial-ITD-Trial PayGo Lookalike-AZR-AZR</v></cell><cell r="V2249" t="str"><v>Lookalike Targeting</v></cell><cell r="W2249" t="str"><v>Canvas Collection Ad</v></cell><cell r="X2249" t="str"><v>1x1</v></cell></row><row r="2249"><cell r="AA2249"><v>43297</v></cell><cell r="AB2249" t="str"><v>USA_gaPMG_AZR_AZR_Q1_19_Direct-Social</v></cell><cell r="AC2249"><v>21358715</v></cell><cell r="AD2249"><v>720197</v></cell><cell r="AE2249" t="str"><v>Facebook</v></cell><cell r="AF2249"><v>3654128</v></cell><cell r="AG2249" t="str"><v>FACEBOOK»USA-Trial-ITD-Trial PayGo Lookalike-AZR-AZR»1 x 1»SocialBan»CCA»ALL»CPA»LAL»X»NA»SS»NA»Azure Developer Facebook Collections»PRSH6K</v></cell><cell r="AH2249"><v>225217676</v></cell><cell r="AI2249" t="str"><v>AZR_FBCollections-TryAzureFreeCTA-Img1_USA_1200x182_SOC_Plat_EN_NA_Standard_NA_TIN_T1_1</v></cell><cell r="AJ2249"><v>103874423</v></cell></row><row r="2250"><cell r="C2250" t="str"><v>43297FACEBOOK»USA-Trial-ITD-Interest Prospecting-AZR-AZR»1 x 1»SocialBan»LIA»ALL»CPA»PRO»X»NA»SS»NA»FreeAcctDeveloperFB-AnimatedAI-Ch3»PRC1T2</v></cell><cell r="D2250" t="str"><v>43297223862765</v></cell><cell r="E2250" t="str"><v>43297103032778PRC1T2</v></cell><cell r="F2250" t="str"><v>DCM</v></cell></row><row r="2250"><cell r="K2250" t="str"><v>July</v></cell><cell r="L2250"><v>43302</v></cell><cell r="M2250" t="str"><v>Tier 0</v></cell><cell r="N2250" t="str"><v>North America</v></cell><cell r="O2250" t="str"><v>United States</v></cell><cell r="P2250" t="str"><v>Trial</v></cell><cell r="Q2250" t="str"><v>Social</v></cell><cell r="R2250" t="str"><v>Azure</v></cell><cell r="S2250" t="str"><v>Apps & Infra</v></cell><cell r="T2250" t="str"><v>Developers & ITI's</v></cell><cell r="U2250" t="str"><v>USA-Trial-ITD-Interest Prospecting-AZR-AZR</v></cell><cell r="V2250" t="str"><v>Prospecting</v></cell><cell r="W2250" t="str"><v>Link Ad</v></cell><cell r="X2250" t="str"><v>1x1</v></cell></row><row r="2250"><cell r="AA2250"><v>43297</v></cell><cell r="AB2250" t="str"><v>USA_gaPMG_AZR_AZR_Q1_19_Direct-Social</v></cell><cell r="AC2250"><v>21358715</v></cell><cell r="AD2250"><v>720197</v></cell><cell r="AE2250" t="str"><v>Facebook</v></cell><cell r="AF2250"><v>3654128</v></cell><cell r="AG2250" t="str"><v>FACEBOOK»USA-Trial-ITD-Interest Prospecting-AZR-AZR»1 x 1»SocialBan»LIA»ALL»CPA»PRO»X»NA»SS»NA»FreeAcctDeveloperFB-AnimatedAI-Ch3»PRC1T2</v></cell><cell r="AH2250"><v>223862765</v></cell><cell r="AI2250" t="str"><v>AZR_FreeAcctDeveloperFB-AnimatedAI-Ch3_USA_1200x1200_CAN_Direct_English_Trial_Standard_ANI_LEA_T3_1</v></cell><cell r="AJ2250"><v>103032778</v></cell></row><row r="2251"><cell r="C2251" t="str"><v>43297FACEBOOK»USA-Trial-ITD-Interest Prospecting-AZR-AZR»1 x 1»SocialBan»LIA»ALL»CPA»PRO»X»NA»SS»NA»FreeAcctDeveloperFB-AnimatedData-Ch4»PRC1T3</v></cell><cell r="D2251" t="str"><v>43297223863380</v></cell><cell r="E2251" t="str"><v>43297103037935PRC1T3</v></cell><cell r="F2251" t="str"><v>DCM</v></cell></row><row r="2251"><cell r="K2251" t="str"><v>July</v></cell><cell r="L2251"><v>43302</v></cell><cell r="M2251" t="str"><v>Tier 0</v></cell><cell r="N2251" t="str"><v>North America</v></cell><cell r="O2251" t="str"><v>United States</v></cell><cell r="P2251" t="str"><v>Trial</v></cell><cell r="Q2251" t="str"><v>Social</v></cell><cell r="R2251" t="str"><v>Azure</v></cell><cell r="S2251" t="str"><v>Apps & Infra</v></cell><cell r="T2251" t="str"><v>Developers & ITI's</v></cell><cell r="U2251" t="str"><v>USA-Trial-ITD-Interest Prospecting-AZR-AZR</v></cell><cell r="V2251" t="str"><v>Prospecting</v></cell><cell r="W2251" t="str"><v>Link Ad</v></cell><cell r="X2251" t="str"><v>1x1</v></cell></row><row r="2251"><cell r="AA2251"><v>43297</v></cell><cell r="AB2251" t="str"><v>USA_gaPMG_AZR_AZR_Q1_19_Direct-Social</v></cell><cell r="AC2251"><v>21358715</v></cell><cell r="AD2251"><v>720197</v></cell><cell r="AE2251" t="str"><v>Facebook</v></cell><cell r="AF2251"><v>3654128</v></cell><cell r="AG2251" t="str"><v>FACEBOOK»USA-Trial-ITD-Interest Prospecting-AZR-AZR»1 x 1»SocialBan»LIA»ALL»CPA»PRO»X»NA»SS»NA»FreeAcctDeveloperFB-AnimatedData-Ch4»PRC1T3</v></cell><cell r="AH2251"><v>223863380</v></cell><cell r="AI2251" t="str"><v>AZR_FreeAcctDeveloperFB-AnimatedData-Ch4_USA_1200x1200_CAN_Direct_English_Trial_Standard_ANI_LEA_T4_2</v></cell><cell r="AJ2251"><v>103037935</v></cell></row><row r="2252"><cell r="C2252" t="str"><v>43297FACEBOOK»USA-Trial-ITD-Interest Prospecting-AZR-AZR»1 x 1»SocialBan»LIA»ALL»CPA»PRO»X»NA»SS»NA»FreeAcctDeveloperFB-AnimatedOpenSource-Ch2»PRC1T1</v></cell><cell r="D2252" t="str"><v>43297223862885</v></cell><cell r="E2252" t="str"><v>43297103048329PRC1T1</v></cell><cell r="F2252" t="str"><v>DCM</v></cell><cell r="G2252" t="str"><v>https://azure.microsoft.com/en-us/free/open-source/search/?OCID=AID%eexcid!_OLA_%ebuy!_%epid!_%ecid!</v></cell></row><row r="2252"><cell r="K2252" t="str"><v>July</v></cell><cell r="L2252"><v>43302</v></cell><cell r="M2252" t="str"><v>Tier 0</v></cell><cell r="N2252" t="str"><v>North America</v></cell><cell r="O2252" t="str"><v>United States</v></cell><cell r="P2252" t="str"><v>Trial</v></cell><cell r="Q2252" t="str"><v>Social</v></cell><cell r="R2252" t="str"><v>Azure</v></cell><cell r="S2252" t="str"><v>Apps & Infra</v></cell><cell r="T2252" t="str"><v>Developers & ITI's</v></cell><cell r="U2252" t="str"><v>USA-Trial-ITD-Interest Prospecting-AZR-AZR</v></cell><cell r="V2252" t="str"><v>Prospecting</v></cell><cell r="W2252" t="str"><v>Link Ad</v></cell><cell r="X2252" t="str"><v>1x1</v></cell></row><row r="2252"><cell r="AA2252"><v>43297</v></cell><cell r="AB2252" t="str"><v>USA_gaPMG_AZR_AZR_Q1_19_Direct-Social</v></cell><cell r="AC2252"><v>21358715</v></cell><cell r="AD2252"><v>720197</v></cell><cell r="AE2252" t="str"><v>Facebook</v></cell><cell r="AF2252"><v>3654128</v></cell><cell r="AG2252" t="str"><v>FACEBOOK»USA-Trial-ITD-Interest Prospecting-AZR-AZR»1 x 1»SocialBan»LIA»ALL»CPA»PRO»X»NA»SS»NA»FreeAcctDeveloperFB-AnimatedOpenSource-Ch2»PRC1T1</v></cell><cell r="AH2252"><v>223862885</v></cell><cell r="AI2252" t="str"><v>AZR_FreeAcctDeveloperFB-AnimatedOpenSource-Ch2_USA_1200x1200_CAN_Direct_English_Trial_Standard_ANI_LEA_T2_1</v></cell><cell r="AJ2252"><v>103048329</v></cell></row><row r="2253"><cell r="C2253" t="str"><v>43297FACEBOOK»USA-Trial-ITD-Interest Prospecting-AZR-AZR»1 x 1»SocialBan»LIA»ALL»CPA»PRO»X»NA»SS»NA»FreeAcctITProFB-AnimatedMigration-Ch3»PRC1X2</v></cell><cell r="D2253" t="str"><v>43297224106954</v></cell><cell r="E2253" t="str"><v>43297103176827PRC1X2</v></cell><cell r="F2253" t="str"><v>DCM</v></cell></row><row r="2253"><cell r="K2253" t="str"><v>July</v></cell><cell r="L2253"><v>43302</v></cell><cell r="M2253" t="str"><v>Tier 0</v></cell><cell r="N2253" t="str"><v>North America</v></cell><cell r="O2253" t="str"><v>United States</v></cell><cell r="P2253" t="str"><v>Trial</v></cell><cell r="Q2253" t="str"><v>Social</v></cell><cell r="R2253" t="str"><v>Azure</v></cell><cell r="S2253" t="str"><v>Apps & Infra</v></cell><cell r="T2253" t="str"><v>Developers & ITI's</v></cell><cell r="U2253" t="str"><v>USA-Trial-ITD-Interest Prospecting-AZR-AZR</v></cell><cell r="V2253" t="str"><v>Prospecting</v></cell><cell r="W2253" t="str"><v>Link Ad</v></cell><cell r="X2253" t="str"><v>1x1</v></cell></row><row r="2253"><cell r="AA2253"><v>43297</v></cell><cell r="AB2253" t="str"><v>USA_gaPMG_AZR_AZR_Q1_19_Direct-Social</v></cell><cell r="AC2253"><v>21358715</v></cell><cell r="AD2253"><v>720197</v></cell><cell r="AE2253" t="str"><v>Facebook</v></cell><cell r="AF2253"><v>3654128</v></cell><cell r="AG2253" t="str"><v>FACEBOOK»USA-Trial-ITD-Interest Prospecting-AZR-AZR»1 x 1»SocialBan»LIA»ALL»CPA»PRO»X»NA»SS»NA»FreeAcctITProFB-AnimatedMigration-Ch3»PRC1X2</v></cell><cell r="AH2253"><v>224106954</v></cell><cell r="AI2253" t="str"><v>AZR_FreeAcctITProFB-AnimatedMigration-Ch3_USA_1200x1200_CAN_Direct_English_Trial_Standard_ANI_LEA_T3_1</v></cell><cell r="AJ2253"><v>103176827</v></cell></row><row r="2254"><cell r="C2254" t="str"><v>43297FACEBOOK»USA-Trial-ITD-Lead Completes-AZR-AZR»1 x 1»SocialBan»LIA»ALL»CPA»PRO»X»NA»SS»NA»FreeAcctDeveloperFB-AnimatedAI-Ch3»PRC1W1</v></cell><cell r="D2254" t="str"><v>43297223933096</v></cell><cell r="E2254" t="str"><v>43297103032778PRC1W1</v></cell><cell r="F2254" t="str"><v>DCM</v></cell></row><row r="2254"><cell r="K2254" t="str"><v>July</v></cell><cell r="L2254"><v>43302</v></cell><cell r="M2254" t="str"><v>Tier 0</v></cell><cell r="N2254" t="str"><v>North America</v></cell><cell r="O2254" t="str"><v>United States</v></cell><cell r="P2254" t="str"><v>Trial</v></cell><cell r="Q2254" t="str"><v>Social</v></cell><cell r="R2254" t="str"><v>Azure</v></cell><cell r="S2254" t="str"><v>Apps & Infra</v></cell><cell r="T2254" t="str"><v>Developers & ITI's</v></cell><cell r="U2254" t="str"><v>USA-Trial-ITD-Lead Completes-AZR-AZR</v></cell><cell r="V2254" t="str"><v>Prospecting</v></cell><cell r="W2254" t="str"><v>Link Ad</v></cell><cell r="X2254" t="str"><v>1x1</v></cell></row><row r="2254"><cell r="AA2254"><v>43297</v></cell><cell r="AB2254" t="str"><v>USA_gaPMG_AZR_AZR_Q1_19_Direct-Social</v></cell><cell r="AC2254"><v>21358715</v></cell><cell r="AD2254"><v>720197</v></cell><cell r="AE2254" t="str"><v>Facebook</v></cell><cell r="AF2254"><v>3654128</v></cell><cell r="AG2254" t="str"><v>FACEBOOK»USA-Trial-ITD-Lead Completes-AZR-AZR»1 x 1»SocialBan»LIA»ALL»CPA»PRO»X»NA»SS»NA»FreeAcctDeveloperFB-AnimatedAI-Ch3»PRC1W1</v></cell><cell r="AH2254"><v>223933096</v></cell><cell r="AI2254" t="str"><v>AZR_FreeAcctDeveloperFB-AnimatedAI-Ch3_USA_1200x1200_CAN_Direct_English_Trial_Standard_ANI_LEA_T3_1</v></cell><cell r="AJ2254"><v>103032778</v></cell></row><row r="2255"><cell r="C2255" t="str"><v>43297FACEBOOK»USA-Trial-ITD-Lead Completes-AZR-AZR»1 x 1»SocialBan»LIA»ALL»CPA»PRO»X»NA»SS»NA»FreeAcctDeveloperFB-AnimatedData-Ch4»PRC1W3</v></cell><cell r="D2255" t="str"><v>43297223862711</v></cell><cell r="E2255" t="str"><v>43297103037935PRC1W3</v></cell><cell r="F2255" t="str"><v>DCM</v></cell></row><row r="2255"><cell r="K2255" t="str"><v>July</v></cell><cell r="L2255"><v>43302</v></cell><cell r="M2255" t="str"><v>Tier 0</v></cell><cell r="N2255" t="str"><v>North America</v></cell><cell r="O2255" t="str"><v>United States</v></cell><cell r="P2255" t="str"><v>Trial</v></cell><cell r="Q2255" t="str"><v>Social</v></cell><cell r="R2255" t="str"><v>Azure</v></cell><cell r="S2255" t="str"><v>Apps & Infra</v></cell><cell r="T2255" t="str"><v>Developers & ITI's</v></cell><cell r="U2255" t="str"><v>USA-Trial-ITD-Lead Completes-AZR-AZR</v></cell><cell r="V2255" t="str"><v>Prospecting</v></cell><cell r="W2255" t="str"><v>Link Ad</v></cell><cell r="X2255" t="str"><v>1x1</v></cell></row><row r="2255"><cell r="AA2255"><v>43297</v></cell><cell r="AB2255" t="str"><v>USA_gaPMG_AZR_AZR_Q1_19_Direct-Social</v></cell><cell r="AC2255"><v>21358715</v></cell><cell r="AD2255"><v>720197</v></cell><cell r="AE2255" t="str"><v>Facebook</v></cell><cell r="AF2255"><v>3654128</v></cell><cell r="AG2255" t="str"><v>FACEBOOK»USA-Trial-ITD-Lead Completes-AZR-AZR»1 x 1»SocialBan»LIA»ALL»CPA»PRO»X»NA»SS»NA»FreeAcctDeveloperFB-AnimatedData-Ch4»PRC1W3</v></cell><cell r="AH2255"><v>223862711</v></cell><cell r="AI2255" t="str"><v>AZR_FreeAcctDeveloperFB-AnimatedData-Ch4_USA_1200x1200_CAN_Direct_English_Trial_Standard_ANI_LEA_T4_2</v></cell><cell r="AJ2255"><v>103037935</v></cell></row><row r="2256"><cell r="C2256" t="str"><v>43297FACEBOOK»USA-Trial-ITD-Lead Completes-AZR-AZR»1 x 1»SocialBan»LIA»ALL»CPA»PRO»X»NA»SS»NA»FreeAcctDeveloperFB-AnimatedGeneric-Ch1»PRC1VY</v></cell><cell r="D2256" t="str"><v>43297223862846</v></cell><cell r="E2256" t="str"><v>43297103176851PRC1VY</v></cell><cell r="F2256" t="str"><v>DCM</v></cell><cell r="G2256" t="str"><v>https://azure.microsoft.com/en-us/free/search/?OCID=AID%eexcid!_OLA_%ebuy!_%epid!_%ecid!</v></cell></row><row r="2256"><cell r="K2256" t="str"><v>July</v></cell><cell r="L2256"><v>43302</v></cell><cell r="M2256" t="str"><v>Tier 0</v></cell><cell r="N2256" t="str"><v>North America</v></cell><cell r="O2256" t="str"><v>United States</v></cell><cell r="P2256" t="str"><v>Trial</v></cell><cell r="Q2256" t="str"><v>Social</v></cell><cell r="R2256" t="str"><v>Azure</v></cell><cell r="S2256" t="str"><v>Apps & Infra</v></cell><cell r="T2256" t="str"><v>Developers & ITI's</v></cell><cell r="U2256" t="str"><v>USA-Trial-ITD-Lead Completes-AZR-AZR</v></cell><cell r="V2256" t="str"><v>Prospecting</v></cell><cell r="W2256" t="str"><v>Link Ad</v></cell><cell r="X2256" t="str"><v>1x1</v></cell></row><row r="2256"><cell r="AA2256"><v>43297</v></cell><cell r="AB2256" t="str"><v>USA_gaPMG_AZR_AZR_Q1_19_Direct-Social</v></cell><cell r="AC2256"><v>21358715</v></cell><cell r="AD2256"><v>720197</v></cell><cell r="AE2256" t="str"><v>Facebook</v></cell><cell r="AF2256"><v>3654128</v></cell><cell r="AG2256" t="str"><v>FACEBOOK»USA-Trial-ITD-Lead Completes-AZR-AZR»1 x 1»SocialBan»LIA»ALL»CPA»PRO»X»NA»SS»NA»FreeAcctDeveloperFB-AnimatedGeneric-Ch1»PRC1VY</v></cell><cell r="AH2256"><v>223862846</v></cell><cell r="AI2256" t="str"><v>AZR_FreeAcctDeveloperFB-AnimatedGeneric-Ch1_USA_1200x1200_CAN_Direct_English_Trial_Standard_ANI_LEA_T1_2</v></cell><cell r="AJ2256"><v>103176851</v></cell></row><row r="2257"><cell r="C2257" t="str"><v>43297FACEBOOK»USA-Trial-ITD-Lead Completes-AZR-AZR»1 x 1»SocialBan»LIA»ALL»CPA»PRO»X»NA»SS»NA»FreeAcctDeveloperFB-AnimatedGeneric-Ch1»PRC1VZ</v></cell><cell r="D2257" t="str"><v>43297223862852</v></cell><cell r="E2257" t="str"><v>43297103176851PRC1VZ</v></cell><cell r="F2257" t="str"><v>DCM</v></cell><cell r="G2257" t="str"><v>https://azure.microsoft.com/en-us/free/search/?OCID=AID%eexcid!_OLA_%ebuy!_%epid!_%ecid!</v></cell></row><row r="2257"><cell r="K2257" t="str"><v>July</v></cell><cell r="L2257"><v>43302</v></cell><cell r="M2257" t="str"><v>Tier 0</v></cell><cell r="N2257" t="str"><v>North America</v></cell><cell r="O2257" t="str"><v>United States</v></cell><cell r="P2257" t="str"><v>Trial</v></cell><cell r="Q2257" t="str"><v>Social</v></cell><cell r="R2257" t="str"><v>Azure</v></cell><cell r="S2257" t="str"><v>Apps & Infra</v></cell><cell r="T2257" t="str"><v>Developers & ITI's</v></cell><cell r="U2257" t="str"><v>USA-Trial-ITD-Lead Completes-AZR-AZR</v></cell><cell r="V2257" t="str"><v>Prospecting</v></cell><cell r="W2257" t="str"><v>Link Ad</v></cell><cell r="X2257" t="str"><v>1x1</v></cell></row><row r="2257"><cell r="AA2257"><v>43297</v></cell><cell r="AB2257" t="str"><v>USA_gaPMG_AZR_AZR_Q1_19_Direct-Social</v></cell><cell r="AC2257"><v>21358715</v></cell><cell r="AD2257"><v>720197</v></cell><cell r="AE2257" t="str"><v>Facebook</v></cell><cell r="AF2257"><v>3654128</v></cell><cell r="AG2257" t="str"><v>FACEBOOK»USA-Trial-ITD-Lead Completes-AZR-AZR»1 x 1»SocialBan»LIA»ALL»CPA»PRO»X»NA»SS»NA»FreeAcctDeveloperFB-AnimatedGeneric-Ch1»PRC1VZ</v></cell><cell r="AH2257"><v>223862852</v></cell><cell r="AI2257" t="str"><v>AZR_FreeAcctDeveloperFB-AnimatedGeneric-Ch1_USA_1200x1200_CAN_Direct_English_Trial_Standard_ANI_LEA_T1_2</v></cell><cell r="AJ2257"><v>103176851</v></cell></row><row r="2258"><cell r="C2258" t="str"><v>43297FACEBOOK»USA-Trial-ITD-Retargeting-AZR-AZR»1 x 1»SocialBan»LIA»ALL»CPA»RT»X»NA»SS»NA»FreeAcctDeveloperFB-AnimatedGeneric-Ch1»PRC26D</v></cell><cell r="D2258" t="str"><v>43297223862870</v></cell><cell r="E2258" t="str"><v>43297103176851PRC26D</v></cell><cell r="F2258" t="str"><v>DCM</v></cell><cell r="G2258" t="str"><v>https://azure.microsoft.com/en-us/free/search/?OCID=AID%eexcid!_OLA_%ebuy!_%epid!_%ecid!</v></cell></row><row r="2258"><cell r="K2258" t="str"><v>July</v></cell><cell r="L2258"><v>43302</v></cell><cell r="M2258" t="str"><v>Tier 0</v></cell><cell r="N2258" t="str"><v>North America</v></cell><cell r="O2258" t="str"><v>United States</v></cell><cell r="P2258" t="str"><v>Trial</v></cell><cell r="Q2258" t="str"><v>Social</v></cell><cell r="R2258" t="str"><v>Azure</v></cell><cell r="S2258" t="str"><v>Apps & Infra</v></cell><cell r="T2258" t="str"><v>Developers & ITI's</v></cell><cell r="U2258" t="str"><v>USA-Trial-ITD-Retargeting-AZR-AZR</v></cell><cell r="V2258" t="str"><v>Retargeting</v></cell><cell r="W2258" t="str"><v>Link Ad</v></cell><cell r="X2258" t="str"><v>1x1</v></cell></row><row r="2258"><cell r="AA2258"><v>43297</v></cell><cell r="AB2258" t="str"><v>USA_gaPMG_AZR_AZR_Q1_19_Direct-Social</v></cell><cell r="AC2258"><v>21358715</v></cell><cell r="AD2258"><v>720197</v></cell><cell r="AE2258" t="str"><v>Facebook</v></cell><cell r="AF2258"><v>3654128</v></cell><cell r="AG2258" t="str"><v>FACEBOOK»USA-Trial-ITD-Retargeting-AZR-AZR»1 x 1»SocialBan»LIA»ALL»CPA»RT»X»NA»SS»NA»FreeAcctDeveloperFB-AnimatedGeneric-Ch1»PRC26D</v></cell><cell r="AH2258"><v>223862870</v></cell><cell r="AI2258" t="str"><v>AZR_FreeAcctDeveloperFB-AnimatedGeneric-Ch1_USA_1200x1200_CAN_Direct_English_Trial_Standard_ANI_LEA_T1_2</v></cell><cell r="AJ2258"><v>103176851</v></cell></row><row r="2259"><cell r="C2259" t="str"><v>43297FACEBOOK»USA-Trial-ITD-Retargeting-AZR-AZR»1 x 1»SocialBan»LIA»ALL»CPA»RT»X»NA»SS»NA»FreeAcctRetargetingOSSFB-Logos-ChG»PRC1S2</v></cell><cell r="D2259" t="str"><v>43297224106063</v></cell><cell r="E2259" t="str"><v>43297103176008PRC1S2</v></cell><cell r="F2259" t="str"><v>DCM</v></cell><cell r="G2259" t="str"><v>https://azure.microsoft.com/en-us/free/open-source/search/?OCID=AID%eexcid!_OLA_%ebuy!_%epid!_%ecid!</v></cell></row><row r="2259"><cell r="K2259" t="str"><v>July</v></cell><cell r="L2259"><v>43302</v></cell><cell r="M2259" t="str"><v>Tier 0</v></cell><cell r="N2259" t="str"><v>North America</v></cell><cell r="O2259" t="str"><v>United States</v></cell><cell r="P2259" t="str"><v>Trial</v></cell><cell r="Q2259" t="str"><v>Social</v></cell><cell r="R2259" t="str"><v>Azure</v></cell><cell r="S2259" t="str"><v>Apps & Infra</v></cell><cell r="T2259" t="str"><v>Developers & ITI's</v></cell><cell r="U2259" t="str"><v>USA-Trial-ITD-Retargeting-AZR-AZR</v></cell><cell r="V2259" t="str"><v>Retargeting</v></cell><cell r="W2259" t="str"><v>Link Ad</v></cell><cell r="X2259" t="str"><v>1x1</v></cell></row><row r="2259"><cell r="AA2259"><v>43297</v></cell><cell r="AB2259" t="str"><v>USA_gaPMG_AZR_AZR_Q1_19_Direct-Social</v></cell><cell r="AC2259"><v>21358715</v></cell><cell r="AD2259"><v>720197</v></cell><cell r="AE2259" t="str"><v>Facebook</v></cell><cell r="AF2259"><v>3654128</v></cell><cell r="AG2259" t="str"><v>FACEBOOK»USA-Trial-ITD-Retargeting-AZR-AZR»1 x 1»SocialBan»LIA»ALL»CPA»RT»X»NA»SS»NA»FreeAcctRetargetingOSSFB-Logos-ChG»PRC1S2</v></cell><cell r="AH2259"><v>224106063</v></cell><cell r="AI2259" t="str"><v>AzurePlatform_FreeAcctRetargetingOSSFB-Logos-ChG_USA_1200x628_CAN_PLATFORM_English_Free Account_Standard_NA_SINU_T2_1</v></cell><cell r="AJ2259"><v>103176008</v></cell></row><row r="2260"><cell r="C2260" t="str"><v>43297FACEBOOK»USA-Trial-ITD-Retargeting-AZR-AZR»1 x 1»SocialBan»LIA»ALL»CPA»RT»X»NA»SS»NA»FreeAcctRetargetingOSSFB-Text-ChF»PRC1S1</v></cell><cell r="D2260" t="str"><v>43297223862753</v></cell><cell r="E2260" t="str"><v>43297103176869PRC1S1</v></cell><cell r="F2260" t="str"><v>DCM</v></cell><cell r="G2260" t="str"><v>https://azure.microsoft.com/en-us/free/open-source/search/?OCID=AID%eexcid!_OLA_%ebuy!_%epid!_%ecid!</v></cell></row><row r="2260"><cell r="K2260" t="str"><v>July</v></cell><cell r="L2260"><v>43302</v></cell><cell r="M2260" t="str"><v>Tier 0</v></cell><cell r="N2260" t="str"><v>North America</v></cell><cell r="O2260" t="str"><v>United States</v></cell><cell r="P2260" t="str"><v>Trial</v></cell><cell r="Q2260" t="str"><v>Social</v></cell><cell r="R2260" t="str"><v>Azure</v></cell><cell r="S2260" t="str"><v>Apps & Infra</v></cell><cell r="T2260" t="str"><v>Developers & ITI's</v></cell><cell r="U2260" t="str"><v>USA-Trial-ITD-Retargeting-AZR-AZR</v></cell><cell r="V2260" t="str"><v>Retargeting</v></cell><cell r="W2260" t="str"><v>Link Ad</v></cell><cell r="X2260" t="str"><v>1x1</v></cell></row><row r="2260"><cell r="AA2260"><v>43297</v></cell><cell r="AB2260" t="str"><v>USA_gaPMG_AZR_AZR_Q1_19_Direct-Social</v></cell><cell r="AC2260"><v>21358715</v></cell><cell r="AD2260"><v>720197</v></cell><cell r="AE2260" t="str"><v>Facebook</v></cell><cell r="AF2260"><v>3654128</v></cell><cell r="AG2260" t="str"><v>FACEBOOK»USA-Trial-ITD-Retargeting-AZR-AZR»1 x 1»SocialBan»LIA»ALL»CPA»RT»X»NA»SS»NA»FreeAcctRetargetingOSSFB-Text-ChF»PRC1S1</v></cell><cell r="AH2260"><v>223862753</v></cell><cell r="AI2260" t="str"><v>AzurePlatform_FreeAcctRetargetingOSSFB-Text-ChF_USA_1200x628_CAN_PLATFORM_English_Free Account_Standard_NA_SINU_T1_2</v></cell><cell r="AJ2260"><v>103176869</v></cell></row><row r="2261"><cell r="C2261" t="str"><v>43297FACEBOOK»USA-Trial-ITD-Retargeting-AZR-AZR»1 x 1»SocialBan»CAN»ALL»CPA»RT»X»NA»SS»NA»FBCTCBasicMotion»PRC1RQ</v></cell><cell r="D2261" t="str"><v>43297224106933</v></cell><cell r="E2261" t="str"><v>43297103043823PRC1RQ</v></cell><cell r="F2261" t="str"><v>DCM</v></cell><cell r="G2261" t="str"><v>https://signup.azure.com/?OCID=AID%eexcid!_OLA_%ebuy!_%epid!_%ecid!</v></cell></row><row r="2261"><cell r="K2261" t="str"><v>July</v></cell><cell r="L2261"><v>43302</v></cell><cell r="M2261" t="str"><v>Tier 0</v></cell><cell r="N2261" t="str"><v>North America</v></cell><cell r="O2261" t="str"><v>United States</v></cell><cell r="P2261" t="str"><v>Trial</v></cell><cell r="Q2261" t="str"><v>Social</v></cell><cell r="R2261" t="str"><v>Azure</v></cell><cell r="S2261" t="str"><v>Apps & Infra</v></cell><cell r="T2261" t="str"><v>Developers & ITI's</v></cell><cell r="U2261" t="str"><v>USA-Trial-ITD-Retargeting-AZR-AZR</v></cell><cell r="V2261" t="str"><v>Retargeting</v></cell><cell r="W2261" t="str"><v>Canvas Ad</v></cell><cell r="X2261" t="str"><v>1x1</v></cell></row><row r="2261"><cell r="AA2261"><v>43297</v></cell><cell r="AB2261" t="str"><v>USA_gaPMG_AZR_AZR_Q1_19_Direct-Social</v></cell><cell r="AC2261"><v>21358715</v></cell><cell r="AD2261"><v>720197</v></cell><cell r="AE2261" t="str"><v>Facebook</v></cell><cell r="AF2261"><v>3654128</v></cell><cell r="AG2261" t="str"><v>FACEBOOK»USA-Trial-ITD-Retargeting-AZR-AZR»1 x 1»SocialBan»CAN»ALL»CPA»RT»X»NA»SS»NA»FBCTCBasicMotion»PRC1RQ</v></cell><cell r="AH2261"><v>224106933</v></cell><cell r="AI2261" t="str"><v>AzurePlatform_FBCTCBasicMotion_USA_10s_CAN_PLATFORM_English_Trial_Standard_STAN_TIN_T1_1</v></cell><cell r="AJ2261"><v>103043823</v></cell></row><row r="2262"><cell r="C2262" t="str"><v>43297FACEBOOK»USA-Trial-ITD-Trial Lookalike-AZR-AZR»1 x 1»SocialBan»LIA»ALL»CPA»LAL»X»NA»SS»NA»FreeAcctDeveloperFB-AnimatedGeneric-Ch1»PRC1M4</v></cell><cell r="D2262" t="str"><v>43297224104941</v></cell><cell r="E2262" t="str"><v>43297103176851PRC1M4</v></cell><cell r="F2262" t="str"><v>DCM</v></cell><cell r="G2262" t="str"><v>https://azure.microsoft.com/en-us/free/search/?OCID=AID%eexcid!_OLA_%ebuy!_%epid!_%ecid!</v></cell></row><row r="2262"><cell r="K2262" t="str"><v>July</v></cell><cell r="L2262"><v>43302</v></cell><cell r="M2262" t="str"><v>Tier 0</v></cell><cell r="N2262" t="str"><v>North America</v></cell><cell r="O2262" t="str"><v>United States</v></cell><cell r="P2262" t="str"><v>Trial</v></cell><cell r="Q2262" t="str"><v>Social</v></cell><cell r="R2262" t="str"><v>Azure</v></cell><cell r="S2262" t="str"><v>Apps & Infra</v></cell><cell r="T2262" t="str"><v>Developers & ITI's</v></cell><cell r="U2262" t="str"><v>USA-Trial-ITD-Trial Lookalike-AZR-AZR</v></cell><cell r="V2262" t="str"><v>Lookalike Targeting</v></cell><cell r="W2262" t="str"><v>Link Ad</v></cell><cell r="X2262" t="str"><v>1x1</v></cell></row><row r="2262"><cell r="AA2262"><v>43297</v></cell><cell r="AB2262" t="str"><v>USA_gaPMG_AZR_AZR_Q1_19_Direct-Social</v></cell><cell r="AC2262"><v>21358715</v></cell><cell r="AD2262"><v>720197</v></cell><cell r="AE2262" t="str"><v>Facebook</v></cell><cell r="AF2262"><v>3654128</v></cell><cell r="AG2262" t="str"><v>FACEBOOK»USA-Trial-ITD-Trial Lookalike-AZR-AZR»1 x 1»SocialBan»LIA»ALL»CPA»LAL»X»NA»SS»NA»FreeAcctDeveloperFB-AnimatedGeneric-Ch1»PRC1M4</v></cell><cell r="AH2262"><v>224104941</v></cell><cell r="AI2262" t="str"><v>AZR_FreeAcctDeveloperFB-AnimatedGeneric-Ch1_USA_1200x1200_CAN_Direct_English_Trial_Standard_ANI_LEA_T1_2</v></cell><cell r="AJ2262"><v>103176851</v></cell></row><row r="2263"><cell r="C2263" t="str"><v>43297FACEBOOK»USA-Trial-ITD-Trial Lookalike-AZR-AZR»1 x 1»SocialBan»LIA»ALL»CPA»LAL»X»NA»SS»NA»FreeAcctDeveloperFB-AnimatedGeneric-Ch1»PRC1M5</v></cell><cell r="D2263" t="str"><v>43297223934083</v></cell><cell r="E2263" t="str"><v>43297103176851PRC1M5</v></cell><cell r="F2263" t="str"><v>DCM</v></cell><cell r="G2263" t="str"><v>https://azure.microsoft.com/en-us/free/search/?OCID=AID%eexcid!_OLA_%ebuy!_%epid!_%ecid!</v></cell></row><row r="2263"><cell r="K2263" t="str"><v>July</v></cell><cell r="L2263"><v>43302</v></cell><cell r="M2263" t="str"><v>Tier 0</v></cell><cell r="N2263" t="str"><v>North America</v></cell><cell r="O2263" t="str"><v>United States</v></cell><cell r="P2263" t="str"><v>Trial</v></cell><cell r="Q2263" t="str"><v>Social</v></cell><cell r="R2263" t="str"><v>Azure</v></cell><cell r="S2263" t="str"><v>Apps & Infra</v></cell><cell r="T2263" t="str"><v>Developers & ITI's</v></cell><cell r="U2263" t="str"><v>USA-Trial-ITD-Trial Lookalike-AZR-AZR</v></cell><cell r="V2263" t="str"><v>Lookalike Targeting</v></cell><cell r="W2263" t="str"><v>Link Ad</v></cell><cell r="X2263" t="str"><v>1x1</v></cell></row><row r="2263"><cell r="AA2263"><v>43297</v></cell><cell r="AB2263" t="str"><v>USA_gaPMG_AZR_AZR_Q1_19_Direct-Social</v></cell><cell r="AC2263"><v>21358715</v></cell><cell r="AD2263"><v>720197</v></cell><cell r="AE2263" t="str"><v>Facebook</v></cell><cell r="AF2263"><v>3654128</v></cell><cell r="AG2263" t="str"><v>FACEBOOK»USA-Trial-ITD-Trial Lookalike-AZR-AZR»1 x 1»SocialBan»LIA»ALL»CPA»LAL»X»NA»SS»NA»FreeAcctDeveloperFB-AnimatedGeneric-Ch1»PRC1M5</v></cell><cell r="AH2263"><v>223934083</v></cell><cell r="AI2263" t="str"><v>AZR_FreeAcctDeveloperFB-AnimatedGeneric-Ch1_USA_1200x1200_CAN_Direct_English_Trial_Standard_ANI_LEA_T1_2</v></cell><cell r="AJ2263"><v>103176851</v></cell></row><row r="2264"><cell r="C2264" t="str"><v>43297FACEBOOK»USA-Trial-ITD-Trial Lookalike-AZR-AZR»1 x 1»SocialBan»LIA»ALL»CPA»LAL»X»NA»SS»NA»FreeAcctDeveloperFB-AnimatedOpenSource-Ch2»PRC1M6</v></cell><cell r="D2264" t="str"><v>43297223935628</v></cell><cell r="E2264" t="str"><v>43297103048329PRC1M6</v></cell><cell r="F2264" t="str"><v>DCM</v></cell><cell r="G2264" t="str"><v>https://azure.microsoft.com/en-us/free/open-source/search/?OCID=AID%eexcid!_OLA_%ebuy!_%epid!_%ecid!</v></cell></row><row r="2264"><cell r="K2264" t="str"><v>July</v></cell><cell r="L2264"><v>43302</v></cell><cell r="M2264" t="str"><v>Tier 0</v></cell><cell r="N2264" t="str"><v>North America</v></cell><cell r="O2264" t="str"><v>United States</v></cell><cell r="P2264" t="str"><v>Trial</v></cell><cell r="Q2264" t="str"><v>Social</v></cell><cell r="R2264" t="str"><v>Azure</v></cell><cell r="S2264" t="str"><v>Apps & Infra</v></cell><cell r="T2264" t="str"><v>Developers & ITI's</v></cell><cell r="U2264" t="str"><v>USA-Trial-ITD-Trial Lookalike-AZR-AZR</v></cell><cell r="V2264" t="str"><v>Lookalike Targeting</v></cell><cell r="W2264" t="str"><v>Link Ad</v></cell><cell r="X2264" t="str"><v>1x1</v></cell></row><row r="2264"><cell r="AA2264"><v>43297</v></cell><cell r="AB2264" t="str"><v>USA_gaPMG_AZR_AZR_Q1_19_Direct-Social</v></cell><cell r="AC2264"><v>21358715</v></cell><cell r="AD2264"><v>720197</v></cell><cell r="AE2264" t="str"><v>Facebook</v></cell><cell r="AF2264"><v>3654128</v></cell><cell r="AG2264" t="str"><v>FACEBOOK»USA-Trial-ITD-Trial Lookalike-AZR-AZR»1 x 1»SocialBan»LIA»ALL»CPA»LAL»X»NA»SS»NA»FreeAcctDeveloperFB-AnimatedOpenSource-Ch2»PRC1M6</v></cell><cell r="AH2264"><v>223935628</v></cell><cell r="AI2264" t="str"><v>AZR_FreeAcctDeveloperFB-AnimatedOpenSource-Ch2_USA_1200x1200_CAN_Direct_English_Trial_Standard_ANI_LEA_T2_1</v></cell><cell r="AJ2264"><v>103048329</v></cell></row><row r="2265"><cell r="C2265" t="str"><v>43297FACEBOOK»USA-Trial-ITD-Trial Lookalike-AZR-AZR»1 x 1»SocialBan»LIA»ALL»CPA»LAL»X»NA»SS»NA»FreeAcctITProFB-AnimatedMigration-Ch3»PRC23N</v></cell><cell r="D2265" t="str"><v>43297223935637</v></cell><cell r="E2265" t="str"><v>43297103176827PRC23N</v></cell><cell r="F2265" t="str"><v>DCM</v></cell></row><row r="2265"><cell r="K2265" t="str"><v>July</v></cell><cell r="L2265"><v>43302</v></cell><cell r="M2265" t="str"><v>Tier 0</v></cell><cell r="N2265" t="str"><v>North America</v></cell><cell r="O2265" t="str"><v>United States</v></cell><cell r="P2265" t="str"><v>Trial</v></cell><cell r="Q2265" t="str"><v>Social</v></cell><cell r="R2265" t="str"><v>Azure</v></cell><cell r="S2265" t="str"><v>Apps & Infra</v></cell><cell r="T2265" t="str"><v>Developers & ITI's</v></cell><cell r="U2265" t="str"><v>USA-Trial-ITD-Trial Lookalike-AZR-AZR</v></cell><cell r="V2265" t="str"><v>Lookalike Targeting</v></cell><cell r="W2265" t="str"><v>Link Ad</v></cell><cell r="X2265" t="str"><v>1x1</v></cell></row><row r="2265"><cell r="AA2265"><v>43297</v></cell><cell r="AB2265" t="str"><v>USA_gaPMG_AZR_AZR_Q1_19_Direct-Social</v></cell><cell r="AC2265"><v>21358715</v></cell><cell r="AD2265"><v>720197</v></cell><cell r="AE2265" t="str"><v>Facebook</v></cell><cell r="AF2265"><v>3654128</v></cell><cell r="AG2265" t="str"><v>FACEBOOK»USA-Trial-ITD-Trial Lookalike-AZR-AZR»1 x 1»SocialBan»LIA»ALL»CPA»LAL»X»NA»SS»NA»FreeAcctITProFB-AnimatedMigration-Ch3»PRC23N</v></cell><cell r="AH2265"><v>223935637</v></cell><cell r="AI2265" t="str"><v>AZR_FreeAcctITProFB-AnimatedMigration-Ch3_USA_1200x1200_CAN_Direct_English_Trial_Standard_ANI_LEA_T3_1</v></cell><cell r="AJ2265"><v>103176827</v></cell></row><row r="2266"><cell r="C2266" t="str"><v>43297FACEBOOK»USA-Trial-ITD-Trial Lookalike-AZR-AZR»1 x 1»SocialBan»LIA»ALL»CPA»LAL»X»NA»SS»NA»FreeAcctITProFB-AnimatedSecureMngd-Ch1»PRC1M9</v></cell><cell r="D2266" t="str"><v>43297224104959</v></cell><cell r="E2266" t="str"><v>43297103176830PRC1M9</v></cell><cell r="F2266" t="str"><v>DCM</v></cell></row><row r="2266"><cell r="K2266" t="str"><v>July</v></cell><cell r="L2266"><v>43302</v></cell><cell r="M2266" t="str"><v>Tier 0</v></cell><cell r="N2266" t="str"><v>North America</v></cell><cell r="O2266" t="str"><v>United States</v></cell><cell r="P2266" t="str"><v>Trial</v></cell><cell r="Q2266" t="str"><v>Social</v></cell><cell r="R2266" t="str"><v>Azure</v></cell><cell r="S2266" t="str"><v>Apps & Infra</v></cell><cell r="T2266" t="str"><v>Developers & ITI's</v></cell><cell r="U2266" t="str"><v>USA-Trial-ITD-Trial Lookalike-AZR-AZR</v></cell><cell r="V2266" t="str"><v>Lookalike Targeting</v></cell><cell r="W2266" t="str"><v>Link Ad</v></cell><cell r="X2266" t="str"><v>1x1</v></cell></row><row r="2266"><cell r="AA2266"><v>43297</v></cell><cell r="AB2266" t="str"><v>USA_gaPMG_AZR_AZR_Q1_19_Direct-Social</v></cell><cell r="AC2266"><v>21358715</v></cell><cell r="AD2266"><v>720197</v></cell><cell r="AE2266" t="str"><v>Facebook</v></cell><cell r="AF2266"><v>3654128</v></cell><cell r="AG2266" t="str"><v>FACEBOOK»USA-Trial-ITD-Trial Lookalike-AZR-AZR»1 x 1»SocialBan»LIA»ALL»CPA»LAL»X»NA»SS»NA»FreeAcctITProFB-AnimatedSecureMngd-Ch1»PRC1M9</v></cell><cell r="AH2266"><v>224104959</v></cell><cell r="AI2266" t="str"><v>AZR_FreeAcctITProFB-AnimatedSecureMngd-Ch1_USA_1200x1200_CAN_Direct_English_Trial_Standard_ANI_LEA_T1_1</v></cell><cell r="AJ2266"><v>103176830</v></cell></row><row r="2267"><cell r="C2267" t="str"><v>43297FACEBOOK»USA-Trial-ITD-Trial Lookalike-AZR-AZR»1 x 1»SocialBan»CAN»ALL»CPA»LAL»X»NA»SS»NA»FBCTCBasicMotion»PRC1LZ</v></cell><cell r="D2267" t="str"><v>43297223862915</v></cell><cell r="E2267" t="str"><v>43297103043823PRC1LZ</v></cell><cell r="F2267" t="str"><v>DCM</v></cell><cell r="G2267" t="str"><v>https://signup.azure.com/?OCID=AID%eexcid!_OLA_%ebuy!_%epid!_%ecid!</v></cell></row><row r="2267"><cell r="K2267" t="str"><v>July</v></cell><cell r="L2267"><v>43302</v></cell><cell r="M2267" t="str"><v>Tier 0</v></cell><cell r="N2267" t="str"><v>North America</v></cell><cell r="O2267" t="str"><v>United States</v></cell><cell r="P2267" t="str"><v>Trial</v></cell><cell r="Q2267" t="str"><v>Social</v></cell><cell r="R2267" t="str"><v>Azure</v></cell><cell r="S2267" t="str"><v>Apps & Infra</v></cell><cell r="T2267" t="str"><v>Developers & ITI's</v></cell><cell r="U2267" t="str"><v>USA-Trial-ITD-Trial Lookalike-AZR-AZR</v></cell><cell r="V2267" t="str"><v>Lookalike Targeting</v></cell><cell r="W2267" t="str"><v>Canvas Ad</v></cell><cell r="X2267" t="str"><v>1x1</v></cell></row><row r="2267"><cell r="AA2267"><v>43297</v></cell><cell r="AB2267" t="str"><v>USA_gaPMG_AZR_AZR_Q1_19_Direct-Social</v></cell><cell r="AC2267"><v>21358715</v></cell><cell r="AD2267"><v>720197</v></cell><cell r="AE2267" t="str"><v>Facebook</v></cell><cell r="AF2267"><v>3654128</v></cell><cell r="AG2267" t="str"><v>FACEBOOK»USA-Trial-ITD-Trial Lookalike-AZR-AZR»1 x 1»SocialBan»CAN»ALL»CPA»LAL»X»NA»SS»NA»FBCTCBasicMotion»PRC1LZ</v></cell><cell r="AH2267"><v>223862915</v></cell><cell r="AI2267" t="str"><v>AzurePlatform_FBCTCBasicMotion_USA_10s_CAN_PLATFORM_English_Trial_Standard_STAN_TIN_T1_1</v></cell><cell r="AJ2267"><v>103043823</v></cell></row><row r="2268"><cell r="C2268" t="str"><v>43297FACEBOOK»USA-Trial-ITD-Trial Lookalike-AZR-AZR»1 x 1»SocialBan»CAN»ALL»CPA»LAL»X»NA»SS»NA»FBCTCBasicMotion»PRC1LZ</v></cell><cell r="D2268" t="str"><v>43297223862915</v></cell><cell r="E2268" t="str"><v>43297103175984PRC1LZ</v></cell><cell r="F2268" t="str"><v>DCM</v></cell><cell r="G2268" t="str"><v>https://azure.microsoft.com/en-us/pricing/purchase-options/?v=18.19&OCID=AID%eexcid!_OLA_%ebuy!_%epid!_%ecid!</v></cell></row><row r="2268"><cell r="K2268" t="str"><v>July</v></cell><cell r="L2268"><v>43302</v></cell><cell r="M2268" t="str"><v>Tier 0</v></cell><cell r="N2268" t="str"><v>North America</v></cell><cell r="O2268" t="str"><v>United States</v></cell><cell r="P2268" t="str"><v>Trial</v></cell><cell r="Q2268" t="str"><v>Social</v></cell><cell r="R2268" t="str"><v>Azure</v></cell><cell r="S2268" t="str"><v>Apps & Infra</v></cell><cell r="T2268" t="str"><v>Developers & ITI's</v></cell><cell r="U2268" t="str"><v>USA-Trial-ITD-Trial Lookalike-AZR-AZR</v></cell><cell r="V2268" t="str"><v>Lookalike Targeting</v></cell><cell r="W2268" t="str"><v>Canvas Ad</v></cell><cell r="X2268" t="str"><v>1x1</v></cell></row><row r="2268"><cell r="AA2268"><v>43297</v></cell><cell r="AB2268" t="str"><v>USA_gaPMG_AZR_AZR_Q1_19_Direct-Social</v></cell><cell r="AC2268"><v>21358715</v></cell><cell r="AD2268"><v>720197</v></cell><cell r="AE2268" t="str"><v>Facebook</v></cell><cell r="AF2268"><v>3654128</v></cell><cell r="AG2268" t="str"><v>FACEBOOK»USA-Trial-ITD-Trial Lookalike-AZR-AZR»1 x 1»SocialBan»CAN»ALL»CPA»LAL»X»NA»SS»NA»FBCTCBasicMotion»PRC1LZ</v></cell><cell r="AH2268"><v>223862915</v></cell><cell r="AI2268" t="str"><v>AzurePlatform_FBCTCBasicMotion_USA_10s_CAN_PLATFORM_English_Trial_Standard_STAN_TIN_T1_2</v></cell><cell r="AJ2268"><v>103175984</v></cell></row><row r="2269"><cell r="C2269" t="str"><v>43297FACEBOOK»USA-Trial-ITD-Trial PayGo Lookalike-AZR-AZR»1 x 1»SocialBan»CAN»ALL»CPA»LAL»X»NA»SS»NA»FBCTCBasicMotion»PRC1Q0</v></cell><cell r="D2269" t="str"><v>43297223935664</v></cell><cell r="E2269" t="str"><v>43297103043823PRC1Q0</v></cell><cell r="F2269" t="str"><v>DCM</v></cell><cell r="G2269" t="str"><v>https://signup.azure.com/?OCID=AID%eexcid!_OLA_%ebuy!_%epid!_%ecid!</v></cell></row><row r="2269"><cell r="K2269" t="str"><v>July</v></cell><cell r="L2269"><v>43302</v></cell><cell r="M2269" t="str"><v>Tier 0</v></cell><cell r="N2269" t="str"><v>North America</v></cell><cell r="O2269" t="str"><v>United States</v></cell><cell r="P2269" t="str"><v>Trial</v></cell><cell r="Q2269" t="str"><v>Social</v></cell><cell r="R2269" t="str"><v>Azure</v></cell><cell r="S2269" t="str"><v>Apps & Infra</v></cell><cell r="T2269" t="str"><v>Developers & ITI's</v></cell><cell r="U2269" t="str"><v>USA-Trial-ITD-Trial PayGo Lookalike-AZR-AZR</v></cell><cell r="V2269" t="str"><v>Lookalike Targeting</v></cell><cell r="W2269" t="str"><v>Canvas Ad</v></cell><cell r="X2269" t="str"><v>1x1</v></cell></row><row r="2269"><cell r="AA2269"><v>43297</v></cell><cell r="AB2269" t="str"><v>USA_gaPMG_AZR_AZR_Q1_19_Direct-Social</v></cell><cell r="AC2269"><v>21358715</v></cell><cell r="AD2269"><v>720197</v></cell><cell r="AE2269" t="str"><v>Facebook</v></cell><cell r="AF2269"><v>3654128</v></cell><cell r="AG2269" t="str"><v>FACEBOOK»USA-Trial-ITD-Trial PayGo Lookalike-AZR-AZR»1 x 1»SocialBan»CAN»ALL»CPA»LAL»X»NA»SS»NA»FBCTCBasicMotion»PRC1Q0</v></cell><cell r="AH2269"><v>223935664</v></cell><cell r="AI2269" t="str"><v>AzurePlatform_FBCTCBasicMotion_USA_10s_CAN_PLATFORM_English_Trial_Standard_STAN_TIN_T1_1</v></cell><cell r="AJ2269"><v>103043823</v></cell></row><row r="2270"><cell r="C2270" t="str"><v>43297FACEBOOK»USA-Trial-ITD-Trial PayGo Lookalike-AZR-AZR»1 x 1»SocialBan»CAN»ALL»CPA»LAL»X»NA»SS»NA»FBCTCBasicMotion»PRC1Q0</v></cell><cell r="D2270" t="str"><v>43297223935664</v></cell><cell r="E2270" t="str"><v>43297103175984PRC1Q0</v></cell><cell r="F2270" t="str"><v>DCM</v></cell><cell r="G2270" t="str"><v>https://azure.microsoft.com/en-us/pricing/purchase-options/?v=18.19&OCID=AID%eexcid!_OLA_%ebuy!_%epid!_%ecid!</v></cell></row><row r="2270"><cell r="K2270" t="str"><v>July</v></cell><cell r="L2270"><v>43302</v></cell><cell r="M2270" t="str"><v>Tier 0</v></cell><cell r="N2270" t="str"><v>North America</v></cell><cell r="O2270" t="str"><v>United States</v></cell><cell r="P2270" t="str"><v>Trial</v></cell><cell r="Q2270" t="str"><v>Social</v></cell><cell r="R2270" t="str"><v>Azure</v></cell><cell r="S2270" t="str"><v>Apps & Infra</v></cell><cell r="T2270" t="str"><v>Developers & ITI's</v></cell><cell r="U2270" t="str"><v>USA-Trial-ITD-Trial PayGo Lookalike-AZR-AZR</v></cell><cell r="V2270" t="str"><v>Lookalike Targeting</v></cell><cell r="W2270" t="str"><v>Canvas Ad</v></cell><cell r="X2270" t="str"><v>1x1</v></cell></row><row r="2270"><cell r="AA2270"><v>43297</v></cell><cell r="AB2270" t="str"><v>USA_gaPMG_AZR_AZR_Q1_19_Direct-Social</v></cell><cell r="AC2270"><v>21358715</v></cell><cell r="AD2270"><v>720197</v></cell><cell r="AE2270" t="str"><v>Facebook</v></cell><cell r="AF2270"><v>3654128</v></cell><cell r="AG2270" t="str"><v>FACEBOOK»USA-Trial-ITD-Trial PayGo Lookalike-AZR-AZR»1 x 1»SocialBan»CAN»ALL»CPA»LAL»X»NA»SS»NA»FBCTCBasicMotion»PRC1Q0</v></cell><cell r="AH2270"><v>223935664</v></cell><cell r="AI2270" t="str"><v>AzurePlatform_FBCTCBasicMotion_USA_10s_CAN_PLATFORM_English_Trial_Standard_STAN_TIN_T1_2</v></cell><cell r="AJ2270"><v>103175984</v></cell></row><row r="2271"><cell r="C2271" t="str"><v>43297FACEBOOK»USA-Trial-ITD-Trial PayGo Lookalike-AZR-AZR»1 x 1»SocialBan»LIA»ALL»CPA»LAL»X»NA»SS»NA»FreeAcctDeveloperFB-AnimatedAI-Ch3»PRC1Q8</v></cell><cell r="D2271" t="str"><v>43297224104983</v></cell><cell r="E2271" t="str"><v>43297103032778PRC1Q8</v></cell><cell r="F2271" t="str"><v>DCM</v></cell></row><row r="2271"><cell r="K2271" t="str"><v>July</v></cell><cell r="L2271"><v>43302</v></cell><cell r="M2271" t="str"><v>Tier 0</v></cell><cell r="N2271" t="str"><v>North America</v></cell><cell r="O2271" t="str"><v>United States</v></cell><cell r="P2271" t="str"><v>Trial</v></cell><cell r="Q2271" t="str"><v>Social</v></cell><cell r="R2271" t="str"><v>Azure</v></cell><cell r="S2271" t="str"><v>Apps & Infra</v></cell><cell r="T2271" t="str"><v>Developers & ITI's</v></cell><cell r="U2271" t="str"><v>USA-Trial-ITD-Trial PayGo Lookalike-AZR-AZR</v></cell><cell r="V2271" t="str"><v>Lookalike Targeting</v></cell><cell r="W2271" t="str"><v>Link Ad</v></cell><cell r="X2271" t="str"><v>1x1</v></cell></row><row r="2271"><cell r="AA2271"><v>43297</v></cell><cell r="AB2271" t="str"><v>USA_gaPMG_AZR_AZR_Q1_19_Direct-Social</v></cell><cell r="AC2271"><v>21358715</v></cell><cell r="AD2271"><v>720197</v></cell><cell r="AE2271" t="str"><v>Facebook</v></cell><cell r="AF2271"><v>3654128</v></cell><cell r="AG2271" t="str"><v>FACEBOOK»USA-Trial-ITD-Trial PayGo Lookalike-AZR-AZR»1 x 1»SocialBan»LIA»ALL»CPA»LAL»X»NA»SS»NA»FreeAcctDeveloperFB-AnimatedAI-Ch3»PRC1Q8</v></cell><cell r="AH2271"><v>224104983</v></cell><cell r="AI2271" t="str"><v>AZR_FreeAcctDeveloperFB-AnimatedAI-Ch3_USA_1200x1200_CAN_Direct_English_Trial_Standard_ANI_LEA_T3_1</v></cell><cell r="AJ2271"><v>103032778</v></cell></row><row r="2272"><cell r="C2272" t="str"><v>43297FACEBOOK»USA-Trial-ITD-Trial PayGo Lookalike-AZR-AZR»1 x 1»SocialBan»LIA»ALL»CPA»LAL»X»NA»SS»NA»FreeAcctDeveloperFB-AnimatedData-Ch4»PRC1Q9</v></cell><cell r="D2272" t="str"><v>43297224106990</v></cell><cell r="E2272" t="str"><v>43297103037935PRC1Q9</v></cell><cell r="F2272" t="str"><v>DCM</v></cell></row><row r="2272"><cell r="K2272" t="str"><v>July</v></cell><cell r="L2272"><v>43302</v></cell><cell r="M2272" t="str"><v>Tier 0</v></cell><cell r="N2272" t="str"><v>North America</v></cell><cell r="O2272" t="str"><v>United States</v></cell><cell r="P2272" t="str"><v>Trial</v></cell><cell r="Q2272" t="str"><v>Social</v></cell><cell r="R2272" t="str"><v>Azure</v></cell><cell r="S2272" t="str"><v>Apps & Infra</v></cell><cell r="T2272" t="str"><v>Developers & ITI's</v></cell><cell r="U2272" t="str"><v>USA-Trial-ITD-Trial PayGo Lookalike-AZR-AZR</v></cell><cell r="V2272" t="str"><v>Lookalike Targeting</v></cell><cell r="W2272" t="str"><v>Link Ad</v></cell><cell r="X2272" t="str"><v>1x1</v></cell></row><row r="2272"><cell r="AA2272"><v>43297</v></cell><cell r="AB2272" t="str"><v>USA_gaPMG_AZR_AZR_Q1_19_Direct-Social</v></cell><cell r="AC2272"><v>21358715</v></cell><cell r="AD2272"><v>720197</v></cell><cell r="AE2272" t="str"><v>Facebook</v></cell><cell r="AF2272"><v>3654128</v></cell><cell r="AG2272" t="str"><v>FACEBOOK»USA-Trial-ITD-Trial PayGo Lookalike-AZR-AZR»1 x 1»SocialBan»LIA»ALL»CPA»LAL»X»NA»SS»NA»FreeAcctDeveloperFB-AnimatedData-Ch4»PRC1Q9</v></cell><cell r="AH2272"><v>224106990</v></cell><cell r="AI2272" t="str"><v>AZR_FreeAcctDeveloperFB-AnimatedData-Ch4_USA_1200x1200_CAN_Direct_English_Trial_Standard_ANI_LEA_T4_2</v></cell><cell r="AJ2272"><v>103037935</v></cell></row><row r="2273"><cell r="C2273" t="str"><v>43297FACEBOOK»USA-Trial-ITD-Trial PayGo Lookalike-AZR-AZR»1 x 1»SocialBan»LIA»ALL»CPA»LAL»X»NA»SS»NA»FreeAcctDeveloperFB-AnimatedGeneric-Ch1»PRC1Q5</v></cell><cell r="D2273" t="str"><v>43297224104092</v></cell><cell r="E2273" t="str"><v>43297103176851PRC1Q5</v></cell><cell r="F2273" t="str"><v>DCM</v></cell><cell r="G2273" t="str"><v>https://azure.microsoft.com/en-us/free/search/?OCID=AID%eexcid!_OLA_%ebuy!_%epid!_%ecid!</v></cell></row><row r="2273"><cell r="K2273" t="str"><v>July</v></cell><cell r="L2273"><v>43302</v></cell><cell r="M2273" t="str"><v>Tier 0</v></cell><cell r="N2273" t="str"><v>North America</v></cell><cell r="O2273" t="str"><v>United States</v></cell><cell r="P2273" t="str"><v>Trial</v></cell><cell r="Q2273" t="str"><v>Social</v></cell><cell r="R2273" t="str"><v>Azure</v></cell><cell r="S2273" t="str"><v>Apps & Infra</v></cell><cell r="T2273" t="str"><v>Developers & ITI's</v></cell><cell r="U2273" t="str"><v>USA-Trial-ITD-Trial PayGo Lookalike-AZR-AZR</v></cell><cell r="V2273" t="str"><v>Lookalike Targeting</v></cell><cell r="W2273" t="str"><v>Link Ad</v></cell><cell r="X2273" t="str"><v>1x1</v></cell></row><row r="2273"><cell r="AA2273"><v>43297</v></cell><cell r="AB2273" t="str"><v>USA_gaPMG_AZR_AZR_Q1_19_Direct-Social</v></cell><cell r="AC2273"><v>21358715</v></cell><cell r="AD2273"><v>720197</v></cell><cell r="AE2273" t="str"><v>Facebook</v></cell><cell r="AF2273"><v>3654128</v></cell><cell r="AG2273" t="str"><v>FACEBOOK»USA-Trial-ITD-Trial PayGo Lookalike-AZR-AZR»1 x 1»SocialBan»LIA»ALL»CPA»LAL»X»NA»SS»NA»FreeAcctDeveloperFB-AnimatedGeneric-Ch1»PRC1Q5</v></cell><cell r="AH2273"><v>224104092</v></cell><cell r="AI2273" t="str"><v>AZR_FreeAcctDeveloperFB-AnimatedGeneric-Ch1_USA_1200x1200_CAN_Direct_English_Trial_Standard_ANI_LEA_T1_2</v></cell><cell r="AJ2273"><v>103176851</v></cell></row><row r="2274"><cell r="C2274" t="str"><v>43297FACEBOOK»USA-Trial-ITD-Trial PayGo Lookalike-AZR-AZR»1 x 1»SocialBan»LIA»ALL»CPA»LAL»X»NA»SS»NA»FreeAcctDeveloperFB-AnimatedOpenSource-Ch2»PRC1Q7</v></cell><cell r="D2274" t="str"><v>43297223862951</v></cell><cell r="E2274" t="str"><v>43297103048329PRC1Q7</v></cell><cell r="F2274" t="str"><v>DCM</v></cell><cell r="G2274" t="str"><v>https://azure.microsoft.com/en-us/free/open-source/search/?OCID=AID%eexcid!_OLA_%ebuy!_%epid!_%ecid!</v></cell></row><row r="2274"><cell r="K2274" t="str"><v>July</v></cell><cell r="L2274"><v>43302</v></cell><cell r="M2274" t="str"><v>Tier 0</v></cell><cell r="N2274" t="str"><v>North America</v></cell><cell r="O2274" t="str"><v>United States</v></cell><cell r="P2274" t="str"><v>Trial</v></cell><cell r="Q2274" t="str"><v>Social</v></cell><cell r="R2274" t="str"><v>Azure</v></cell><cell r="S2274" t="str"><v>Apps & Infra</v></cell><cell r="T2274" t="str"><v>Developers & ITI's</v></cell><cell r="U2274" t="str"><v>USA-Trial-ITD-Trial PayGo Lookalike-AZR-AZR</v></cell><cell r="V2274" t="str"><v>Lookalike Targeting</v></cell><cell r="W2274" t="str"><v>Link Ad</v></cell><cell r="X2274" t="str"><v>1x1</v></cell></row><row r="2274"><cell r="AA2274"><v>43297</v></cell><cell r="AB2274" t="str"><v>USA_gaPMG_AZR_AZR_Q1_19_Direct-Social</v></cell><cell r="AC2274"><v>21358715</v></cell><cell r="AD2274"><v>720197</v></cell><cell r="AE2274" t="str"><v>Facebook</v></cell><cell r="AF2274"><v>3654128</v></cell><cell r="AG2274" t="str"><v>FACEBOOK»USA-Trial-ITD-Trial PayGo Lookalike-AZR-AZR»1 x 1»SocialBan»LIA»ALL»CPA»LAL»X»NA»SS»NA»FreeAcctDeveloperFB-AnimatedOpenSource-Ch2»PRC1Q7</v></cell><cell r="AH2274"><v>223862951</v></cell><cell r="AI2274" t="str"><v>AZR_FreeAcctDeveloperFB-AnimatedOpenSource-Ch2_USA_1200x1200_CAN_Direct_English_Trial_Standard_ANI_LEA_T2_1</v></cell><cell r="AJ2274"><v>103048329</v></cell></row><row r="2275"><cell r="C2275" t="str"><v>43297FACEBOOK»USA-Trial-ITD-Trial PayGo Lookalike-AZR-AZR»1 x 1»SocialBan»LIA»ALL»CPA»LAL»X»NA»SS»NA»FreeAcctITProFB-AnimatedHybrid-Ch2»PRC1QC</v></cell><cell r="D2275" t="str"><v>43297223933186</v></cell><cell r="E2275" t="str"><v>43297103180583PRC1QC</v></cell><cell r="F2275" t="str"><v>DCM</v></cell></row><row r="2275"><cell r="K2275" t="str"><v>July</v></cell><cell r="L2275"><v>43302</v></cell><cell r="M2275" t="str"><v>Tier 0</v></cell><cell r="N2275" t="str"><v>North America</v></cell><cell r="O2275" t="str"><v>United States</v></cell><cell r="P2275" t="str"><v>Trial</v></cell><cell r="Q2275" t="str"><v>Social</v></cell><cell r="R2275" t="str"><v>Azure</v></cell><cell r="S2275" t="str"><v>Apps & Infra</v></cell><cell r="T2275" t="str"><v>Developers & ITI's</v></cell><cell r="U2275" t="str"><v>USA-Trial-ITD-Trial PayGo Lookalike-AZR-AZR</v></cell><cell r="V2275" t="str"><v>Lookalike Targeting</v></cell><cell r="W2275" t="str"><v>Link Ad</v></cell><cell r="X2275" t="str"><v>1x1</v></cell></row><row r="2275"><cell r="AA2275"><v>43297</v></cell><cell r="AB2275" t="str"><v>USA_gaPMG_AZR_AZR_Q1_19_Direct-Social</v></cell><cell r="AC2275"><v>21358715</v></cell><cell r="AD2275"><v>720197</v></cell><cell r="AE2275" t="str"><v>Facebook</v></cell><cell r="AF2275"><v>3654128</v></cell><cell r="AG2275" t="str"><v>FACEBOOK»USA-Trial-ITD-Trial PayGo Lookalike-AZR-AZR»1 x 1»SocialBan»LIA»ALL»CPA»LAL»X»NA»SS»NA»FreeAcctITProFB-AnimatedHybrid-Ch2»PRC1QC</v></cell><cell r="AH2275"><v>223933186</v></cell><cell r="AI2275" t="str"><v>AZR_FreeAcctITProFB-AnimatedHybrid-Ch2_USA_1200x1200_CAN_Direct_English_Trial_Standard_ANI_LEA_T2_2</v></cell><cell r="AJ2275"><v>103180583</v></cell></row><row r="2276"><cell r="C2276" t="str"><v>43297FACEBOOK»USA-Trial-ITD-Trial PayGo Lookalike-AZR-AZR»1 x 1»SocialBan»LIA»ALL»CPA»LAL»X»NA»SS»NA»FreeAcctITProFB-AnimatedMigration-Ch3»PRC23Y</v></cell><cell r="D2276" t="str"><v>43297224105904</v></cell><cell r="E2276" t="str"><v>43297103176827PRC23Y</v></cell><cell r="F2276" t="str"><v>DCM</v></cell></row><row r="2276"><cell r="K2276" t="str"><v>July</v></cell><cell r="L2276"><v>43302</v></cell><cell r="M2276" t="str"><v>Tier 0</v></cell><cell r="N2276" t="str"><v>North America</v></cell><cell r="O2276" t="str"><v>United States</v></cell><cell r="P2276" t="str"><v>Trial</v></cell><cell r="Q2276" t="str"><v>Social</v></cell><cell r="R2276" t="str"><v>Azure</v></cell><cell r="S2276" t="str"><v>Apps & Infra</v></cell><cell r="T2276" t="str"><v>Developers & ITI's</v></cell><cell r="U2276" t="str"><v>USA-Trial-ITD-Trial PayGo Lookalike-AZR-AZR</v></cell><cell r="V2276" t="str"><v>Lookalike Targeting</v></cell><cell r="W2276" t="str"><v>Link Ad</v></cell><cell r="X2276" t="str"><v>1x1</v></cell></row><row r="2276"><cell r="AA2276"><v>43297</v></cell><cell r="AB2276" t="str"><v>USA_gaPMG_AZR_AZR_Q1_19_Direct-Social</v></cell><cell r="AC2276"><v>21358715</v></cell><cell r="AD2276"><v>720197</v></cell><cell r="AE2276" t="str"><v>Facebook</v></cell><cell r="AF2276"><v>3654128</v></cell><cell r="AG2276" t="str"><v>FACEBOOK»USA-Trial-ITD-Trial PayGo Lookalike-AZR-AZR»1 x 1»SocialBan»LIA»ALL»CPA»LAL»X»NA»SS»NA»FreeAcctITProFB-AnimatedMigration-Ch3»PRC23Y</v></cell><cell r="AH2276"><v>224105904</v></cell><cell r="AI2276" t="str"><v>AZR_FreeAcctITProFB-AnimatedMigration-Ch3_USA_1200x1200_CAN_Direct_English_Trial_Standard_ANI_LEA_T3_1</v></cell><cell r="AJ2276"><v>103176827</v></cell></row><row r="2277"><cell r="C2277" t="str"><v>43297FACEBOOK»USA-Trial-ITD-Trial PayGo Lookalike-AZR-AZR»1 x 1»SocialBan»LIA»ALL»CPA»LAL»X»NA»SS»NA»FreeAcctITProFB-AnimatedSecureMngd-Ch1»PRC1QB</v></cell><cell r="D2277" t="str"><v>43297223862945</v></cell><cell r="E2277" t="str"><v>43297103176830PRC1QB</v></cell><cell r="F2277" t="str"><v>DCM</v></cell></row><row r="2277"><cell r="K2277" t="str"><v>July</v></cell><cell r="L2277"><v>43302</v></cell><cell r="M2277" t="str"><v>Tier 0</v></cell><cell r="N2277" t="str"><v>North America</v></cell><cell r="O2277" t="str"><v>United States</v></cell><cell r="P2277" t="str"><v>Trial</v></cell><cell r="Q2277" t="str"><v>Social</v></cell><cell r="R2277" t="str"><v>Azure</v></cell><cell r="S2277" t="str"><v>Apps & Infra</v></cell><cell r="T2277" t="str"><v>Developers & ITI's</v></cell><cell r="U2277" t="str"><v>USA-Trial-ITD-Trial PayGo Lookalike-AZR-AZR</v></cell><cell r="V2277" t="str"><v>Lookalike Targeting</v></cell><cell r="W2277" t="str"><v>Link Ad</v></cell><cell r="X2277" t="str"><v>1x1</v></cell></row><row r="2277"><cell r="AA2277"><v>43297</v></cell><cell r="AB2277" t="str"><v>USA_gaPMG_AZR_AZR_Q1_19_Direct-Social</v></cell><cell r="AC2277"><v>21358715</v></cell><cell r="AD2277"><v>720197</v></cell><cell r="AE2277" t="str"><v>Facebook</v></cell><cell r="AF2277"><v>3654128</v></cell><cell r="AG2277" t="str"><v>FACEBOOK»USA-Trial-ITD-Trial PayGo Lookalike-AZR-AZR»1 x 1»SocialBan»LIA»ALL»CPA»LAL»X»NA»SS»NA»FreeAcctITProFB-AnimatedSecureMngd-Ch1»PRC1QB</v></cell><cell r="AH2277"><v>223862945</v></cell><cell r="AI2277" t="str"><v>AZR_FreeAcctITProFB-AnimatedSecureMngd-Ch1_USA_1200x1200_CAN_Direct_English_Trial_Standard_ANI_LEA_T1_1</v></cell><cell r="AJ2277"><v>103176830</v></cell></row><row r="2278"><cell r="C2278" t="str"><v>43297INSTAGRAM»USA-Trial-ITD-Interest Prospecting-AZR-AZR»1 x 1»SocialBan»CAN»ALL»CPA»PRO»X»NA»SS»NA»IGCTCBrandinMotion»PRC2PB</v></cell><cell r="D2278" t="str"><v>43297223862690</v></cell><cell r="E2278" t="str"><v>43297103050783PRC2PB</v></cell><cell r="F2278" t="str"><v>DCM</v></cell><cell r="G2278" t="str"><v>https://signup.azure.com/?OCID=AID%eexcid!_OLA_%ebuy!_%epid!_%ecid!</v></cell></row><row r="2278"><cell r="K2278" t="str"><v>July</v></cell><cell r="L2278"><v>43302</v></cell><cell r="M2278" t="str"><v>Tier 0</v></cell><cell r="N2278" t="str"><v>North America</v></cell><cell r="O2278" t="str"><v>United States</v></cell><cell r="P2278" t="str"><v>Trial</v></cell><cell r="Q2278" t="str"><v>Social</v></cell><cell r="R2278" t="str"><v>Azure</v></cell><cell r="S2278" t="str"><v>Apps & Infra</v></cell><cell r="T2278" t="str"><v>Developers & ITI's</v></cell><cell r="U2278" t="str"><v>USA-Trial-ITD-Interest Prospecting-AZR-AZR</v></cell><cell r="V2278" t="str"><v>Prospecting</v></cell><cell r="W2278" t="str"><v>Canvas Ad</v></cell><cell r="X2278" t="str"><v>1x1</v></cell></row><row r="2278"><cell r="AA2278"><v>43297</v></cell><cell r="AB2278" t="str"><v>USA_gaPMG_AZR_AZR_Q1_19_Direct-Social</v></cell><cell r="AC2278"><v>21358715</v></cell><cell r="AD2278"><v>720197</v></cell><cell r="AE2278" t="str"><v>Facebook - Instagram</v></cell><cell r="AF2278"><v>3654128</v></cell><cell r="AG2278" t="str"><v>INSTAGRAM»USA-Trial-ITD-Interest Prospecting-AZR-AZR»1 x 1»SocialBan»CAN»ALL»CPA»PRO»X»NA»SS»NA»IGCTCBrandinMotion»PRC2PB</v></cell><cell r="AH2278"><v>223862690</v></cell><cell r="AI2278" t="str"><v>AzurePlatform_IGCTCBenefit2inMotion_USA_10s_CAN_PLATFORM_English_Trial_Standard_STAN_TIN_T4_1</v></cell><cell r="AJ2278"><v>103050783</v></cell></row><row r="2279"><cell r="C2279" t="str"><v>43297INSTAGRAM»USA-Trial-ITD-Retargeting-AZR-AZR»1 x 1»SocialBan»CAN»ALL»CPA»RT»X»NA»SS»NA»IGCTCBenefit2inMotion»PRC2G6</v></cell><cell r="D2279" t="str"><v>43297224105001</v></cell><cell r="E2279" t="str"><v>43297103180628PRC2G6</v></cell><cell r="F2279" t="str"><v>DCM</v></cell><cell r="G2279" t="str"><v>https://signup.azure.com/?OCID=AID%eexcid!_OLA_%ebuy!_%epid!_%ecid!</v></cell></row><row r="2279"><cell r="K2279" t="str"><v>July</v></cell><cell r="L2279"><v>43302</v></cell><cell r="M2279" t="str"><v>Tier 0</v></cell><cell r="N2279" t="str"><v>North America</v></cell><cell r="O2279" t="str"><v>United States</v></cell><cell r="P2279" t="str"><v>Trial</v></cell><cell r="Q2279" t="str"><v>Social</v></cell><cell r="R2279" t="str"><v>Azure</v></cell><cell r="S2279" t="str"><v>Apps & Infra</v></cell><cell r="T2279" t="str"><v>Developers & ITI's</v></cell><cell r="U2279" t="str"><v>USA-Trial-ITD-Retargeting-AZR-AZR</v></cell><cell r="V2279" t="str"><v>Retargeting</v></cell><cell r="W2279" t="str"><v>Canvas Ad</v></cell><cell r="X2279" t="str"><v>1x1</v></cell></row><row r="2279"><cell r="AA2279"><v>43297</v></cell><cell r="AB2279" t="str"><v>USA_gaPMG_AZR_AZR_Q1_19_Direct-Social</v></cell><cell r="AC2279"><v>21358715</v></cell><cell r="AD2279"><v>720197</v></cell><cell r="AE2279" t="str"><v>Facebook - Instagram</v></cell><cell r="AF2279"><v>3654128</v></cell><cell r="AG2279" t="str"><v>INSTAGRAM»USA-Trial-ITD-Retargeting-AZR-AZR»1 x 1»SocialBan»CAN»ALL»CPA»RT»X»NA»SS»NA»IGCTCBenefit2inMotion»PRC2G6</v></cell><cell r="AH2279"><v>224105001</v></cell><cell r="AI2279" t="str"><v>AzurePlatform_IGCTCBrandinMotion_USA_10s_CAN_PLATFORM_English_Trial_Standard_STAN_TIN_T2_1</v></cell><cell r="AJ2279"><v>103180628</v></cell></row><row r="2280"><cell r="C2280" t="str"><v>43297INSTAGRAM»USA-Trial-ITD-Retargeting-AZR-AZR»1 x 1»SocialBan»CAN»ALL»CPA»RT»X»NA»SS»NA»IGCTCBenefitinMotion»PRC2G4</v></cell><cell r="D2280" t="str"><v>43297224107536</v></cell><cell r="E2280" t="str"><v>43297103050780PRC2G4</v></cell><cell r="F2280" t="str"><v>DCM</v></cell><cell r="G2280" t="str"><v>https://signup.azure.com/?OCID=AID%eexcid!_OLA_%ebuy!_%epid!_%ecid!</v></cell></row><row r="2280"><cell r="K2280" t="str"><v>July</v></cell><cell r="L2280"><v>43302</v></cell><cell r="M2280" t="str"><v>Tier 0</v></cell><cell r="N2280" t="str"><v>North America</v></cell><cell r="O2280" t="str"><v>United States</v></cell><cell r="P2280" t="str"><v>Trial</v></cell><cell r="Q2280" t="str"><v>Social</v></cell><cell r="R2280" t="str"><v>Azure</v></cell><cell r="S2280" t="str"><v>Apps & Infra</v></cell><cell r="T2280" t="str"><v>Developers & ITI's</v></cell><cell r="U2280" t="str"><v>USA-Trial-ITD-Retargeting-AZR-AZR</v></cell><cell r="V2280" t="str"><v>Retargeting</v></cell><cell r="W2280" t="str"><v>Canvas Ad</v></cell><cell r="X2280" t="str"><v>1x1</v></cell></row><row r="2280"><cell r="AA2280"><v>43297</v></cell><cell r="AB2280" t="str"><v>USA_gaPMG_AZR_AZR_Q1_19_Direct-Social</v></cell><cell r="AC2280"><v>21358715</v></cell><cell r="AD2280"><v>720197</v></cell><cell r="AE2280" t="str"><v>Facebook - Instagram</v></cell><cell r="AF2280"><v>3654128</v></cell><cell r="AG2280" t="str"><v>INSTAGRAM»USA-Trial-ITD-Retargeting-AZR-AZR»1 x 1»SocialBan»CAN»ALL»CPA»RT»X»NA»SS»NA»IGCTCBenefitinMotion»PRC2G4</v></cell><cell r="AH2280"><v>224107536</v></cell><cell r="AI2280" t="str"><v>AzurePlatform_IGCTCBenefitinMotion_USA_10s_CAN_PLATFORM_English_Trial_Standard_STAN_TIN_T3_1</v></cell><cell r="AJ2280"><v>103050780</v></cell></row><row r="2281"><cell r="C2281" t="str"><v>43297INSTAGRAM»USA-Trial-ITD-Trial Lookalike-AZR-AZR»1 x 1»SocialBan»CAN»ALL»CPA»LAL»X»NA»SS»NA»IGCTCBenefit2inMotion»PRC2FL</v></cell><cell r="D2281" t="str"><v>43297223935022</v></cell><cell r="E2281" t="str"><v>43297103050786PRC2FL</v></cell><cell r="F2281" t="str"><v>DCM</v></cell><cell r="G2281" t="str"><v>https://azure.microsoft.com/en-us/pricing/purchase-options/?v=18.19&OCID=AID%eexcid!_OLA_%ebuy!_%epid!_%ecid!</v></cell></row><row r="2281"><cell r="K2281" t="str"><v>July</v></cell><cell r="L2281"><v>43302</v></cell><cell r="M2281" t="str"><v>Tier 0</v></cell><cell r="N2281" t="str"><v>North America</v></cell><cell r="O2281" t="str"><v>United States</v></cell><cell r="P2281" t="str"><v>Trial</v></cell><cell r="Q2281" t="str"><v>Social</v></cell><cell r="R2281" t="str"><v>Azure</v></cell><cell r="S2281" t="str"><v>Apps & Infra</v></cell><cell r="T2281" t="str"><v>Developers & ITI's</v></cell><cell r="U2281" t="str"><v>USA-Trial-ITD-Trial Lookalike-AZR-AZR</v></cell><cell r="V2281" t="str"><v>Lookalike Targeting</v></cell><cell r="W2281" t="str"><v>Canvas Ad</v></cell><cell r="X2281" t="str"><v>1x1</v></cell></row><row r="2281"><cell r="AA2281"><v>43297</v></cell><cell r="AB2281" t="str"><v>USA_gaPMG_AZR_AZR_Q1_19_Direct-Social</v></cell><cell r="AC2281"><v>21358715</v></cell><cell r="AD2281"><v>720197</v></cell><cell r="AE2281" t="str"><v>Facebook - Instagram</v></cell><cell r="AF2281"><v>3654128</v></cell><cell r="AG2281" t="str"><v>INSTAGRAM»USA-Trial-ITD-Trial Lookalike-AZR-AZR»1 x 1»SocialBan»CAN»ALL»CPA»LAL»X»NA»SS»NA»IGCTCBenefit2inMotion»PRC2FL</v></cell><cell r="AH2281"><v>223935022</v></cell><cell r="AI2281" t="str"><v>AzurePlatform_IGCTCBrandinMotion_USA_10s_CAN_PLATFORM_English_Trial_Standard_STAN_TIN_T2_2</v></cell><cell r="AJ2281"><v>103050786</v></cell></row><row r="2282"><cell r="C2282" t="str"><v>43297INSTAGRAM»USA-Trial-ITD-Trial Lookalike-AZR-AZR»1 x 1»SocialBan»CAN»ALL»CPA»LAL»X»NA»SS»NA»IGCTCBrandinMotion»PRC2FH</v></cell><cell r="D2282" t="str"><v>43297223935019</v></cell><cell r="E2282" t="str"><v>43297103050783PRC2FH</v></cell><cell r="F2282" t="str"><v>DCM</v></cell><cell r="G2282" t="str"><v>https://signup.azure.com/?OCID=AID%eexcid!_OLA_%ebuy!_%epid!_%ecid!</v></cell></row><row r="2282"><cell r="K2282" t="str"><v>July</v></cell><cell r="L2282"><v>43302</v></cell><cell r="M2282" t="str"><v>Tier 0</v></cell><cell r="N2282" t="str"><v>North America</v></cell><cell r="O2282" t="str"><v>United States</v></cell><cell r="P2282" t="str"><v>Trial</v></cell><cell r="Q2282" t="str"><v>Social</v></cell><cell r="R2282" t="str"><v>Azure</v></cell><cell r="S2282" t="str"><v>Apps & Infra</v></cell><cell r="T2282" t="str"><v>Developers & ITI's</v></cell><cell r="U2282" t="str"><v>USA-Trial-ITD-Trial Lookalike-AZR-AZR</v></cell><cell r="V2282" t="str"><v>Lookalike Targeting</v></cell><cell r="W2282" t="str"><v>Canvas Ad</v></cell><cell r="X2282" t="str"><v>1x1</v></cell></row><row r="2282"><cell r="AA2282"><v>43297</v></cell><cell r="AB2282" t="str"><v>USA_gaPMG_AZR_AZR_Q1_19_Direct-Social</v></cell><cell r="AC2282"><v>21358715</v></cell><cell r="AD2282"><v>720197</v></cell><cell r="AE2282" t="str"><v>Facebook - Instagram</v></cell><cell r="AF2282"><v>3654128</v></cell><cell r="AG2282" t="str"><v>INSTAGRAM»USA-Trial-ITD-Trial Lookalike-AZR-AZR»1 x 1»SocialBan»CAN»ALL»CPA»LAL»X»NA»SS»NA»IGCTCBrandinMotion»PRC2FH</v></cell><cell r="AH2282"><v>223935019</v></cell><cell r="AI2282" t="str"><v>AzurePlatform_IGCTCBenefit2inMotion_USA_10s_CAN_PLATFORM_English_Trial_Standard_STAN_TIN_T4_1</v></cell><cell r="AJ2282"><v>103050783</v></cell></row><row r="2283"><cell r="C2283" t="str"><v>43297INSTAGRAM»USA-Trial-ITD-Trial Lookalike-AZR-AZR»1 x 1»SocialBan»CAN»ALL»CPA»LAL»X»NA»SS»NA»IGCTCBrandinMotion»PRC2FH</v></cell><cell r="D2283" t="str"><v>43297223935019</v></cell><cell r="E2283" t="str"><v>43297103178714PRC2FH</v></cell><cell r="F2283" t="str"><v>DCM</v></cell><cell r="G2283" t="str"><v>https://azure.microsoft.com/en-us/pricing/purchase-options/?v=18.19&OCID=AID%eexcid!_OLA_%ebuy!_%epid!_%ecid!</v></cell></row><row r="2283"><cell r="K2283" t="str"><v>July</v></cell><cell r="L2283"><v>43302</v></cell><cell r="M2283" t="str"><v>Tier 0</v></cell><cell r="N2283" t="str"><v>North America</v></cell><cell r="O2283" t="str"><v>United States</v></cell><cell r="P2283" t="str"><v>Trial</v></cell><cell r="Q2283" t="str"><v>Social</v></cell><cell r="R2283" t="str"><v>Azure</v></cell><cell r="S2283" t="str"><v>Apps & Infra</v></cell><cell r="T2283" t="str"><v>Developers & ITI's</v></cell><cell r="U2283" t="str"><v>USA-Trial-ITD-Trial Lookalike-AZR-AZR</v></cell><cell r="V2283" t="str"><v>Lookalike Targeting</v></cell><cell r="W2283" t="str"><v>Canvas Ad</v></cell><cell r="X2283" t="str"><v>1x1</v></cell></row><row r="2283"><cell r="AA2283"><v>43297</v></cell><cell r="AB2283" t="str"><v>USA_gaPMG_AZR_AZR_Q1_19_Direct-Social</v></cell><cell r="AC2283"><v>21358715</v></cell><cell r="AD2283"><v>720197</v></cell><cell r="AE2283" t="str"><v>Facebook - Instagram</v></cell><cell r="AF2283"><v>3654128</v></cell><cell r="AG2283" t="str"><v>INSTAGRAM»USA-Trial-ITD-Trial Lookalike-AZR-AZR»1 x 1»SocialBan»CAN»ALL»CPA»LAL»X»NA»SS»NA»IGCTCBrandinMotion»PRC2FH</v></cell><cell r="AH2283"><v>223935019</v></cell><cell r="AI2283" t="str"><v>AzurePlatform_IGCTCBenefit2inMotion_USA_10s_CAN_PLATFORM_English_Trial_Standard_STAN_TIN_T4_2</v></cell><cell r="AJ2283"><v>103178714</v></cell></row><row r="2284"><cell r="C2284" t="str"><v>43297INSTAGRAM»USA-Trial-ITD-Interest Prospecting-AZR-AZR»1 x 1»SocialBan»CAN»ALL»CPA»PRO»X»NA»SS»NA»IGCTCBasicMotion»PRC2PF</v></cell><cell r="D2284" t="str"><v>43297224106621</v></cell><cell r="E2284" t="str"><v>43297103037968PRC2PF</v></cell><cell r="F2284" t="str"><v>DCM</v></cell><cell r="G2284" t="str"><v>https://signup.azure.com/?OCID=AID%eexcid!_OLA_%ebuy!_%epid!_%ecid!</v></cell></row><row r="2284"><cell r="K2284" t="str"><v>July</v></cell><cell r="L2284"><v>43302</v></cell><cell r="M2284" t="str"><v>Tier 0</v></cell><cell r="N2284" t="str"><v>North America</v></cell><cell r="O2284" t="str"><v>United States</v></cell><cell r="P2284" t="str"><v>Trial</v></cell><cell r="Q2284" t="str"><v>Social</v></cell><cell r="R2284" t="str"><v>Azure</v></cell><cell r="S2284" t="str"><v>Apps & Infra</v></cell><cell r="T2284" t="str"><v>Developers & ITI's</v></cell><cell r="U2284" t="str"><v>USA-Trial-ITD-Interest Prospecting-AZR-AZR</v></cell><cell r="V2284" t="str"><v>Prospecting</v></cell><cell r="W2284" t="str"><v>Canvas Ad</v></cell><cell r="X2284" t="str"><v>1x1</v></cell></row><row r="2284"><cell r="AA2284"><v>43297</v></cell><cell r="AB2284" t="str"><v>USA_gaPMG_AZR_AZR_Q1_19_Direct-Social</v></cell><cell r="AC2284"><v>21358715</v></cell><cell r="AD2284"><v>720197</v></cell><cell r="AE2284" t="str"><v>Facebook - Instagram</v></cell><cell r="AF2284"><v>3654128</v></cell><cell r="AG2284" t="str"><v>INSTAGRAM»USA-Trial-ITD-Interest Prospecting-AZR-AZR»1 x 1»SocialBan»CAN»ALL»CPA»PRO»X»NA»SS»NA»IGCTCBasicMotion»PRC2PF</v></cell><cell r="AH2284"><v>224106621</v></cell><cell r="AI2284" t="str"><v>AzurePlatform_IGCTCBasicMotion_USA_10s_CAN_PLATFORM_English_Trial_Standard_STAN_TIN_T1_1</v></cell><cell r="AJ2284"><v>103037968</v></cell></row><row r="2285"><cell r="C2285" t="str"><v>43297INSTAGRAM»USA-Trial-ITD-Interest Prospecting-AZR-AZR»1 x 1»SocialBan»CAN»ALL»CPA»PRO»X»NA»SS»NA»IGCTCBenefitinMotion»PRC2PC</v></cell><cell r="D2285" t="str"><v>43297224104878</v></cell><cell r="E2285" t="str"><v>43297103050780PRC2PC</v></cell><cell r="F2285" t="str"><v>DCM</v></cell><cell r="G2285" t="str"><v>https://signup.azure.com/?OCID=AID%eexcid!_OLA_%ebuy!_%epid!_%ecid!</v></cell></row><row r="2285"><cell r="K2285" t="str"><v>July</v></cell><cell r="L2285"><v>43302</v></cell><cell r="M2285" t="str"><v>Tier 0</v></cell><cell r="N2285" t="str"><v>North America</v></cell><cell r="O2285" t="str"><v>United States</v></cell><cell r="P2285" t="str"><v>Trial</v></cell><cell r="Q2285" t="str"><v>Social</v></cell><cell r="R2285" t="str"><v>Azure</v></cell><cell r="S2285" t="str"><v>Apps & Infra</v></cell><cell r="T2285" t="str"><v>Developers & ITI's</v></cell><cell r="U2285" t="str"><v>USA-Trial-ITD-Interest Prospecting-AZR-AZR</v></cell><cell r="V2285" t="str"><v>Prospecting</v></cell><cell r="W2285" t="str"><v>Canvas Ad</v></cell><cell r="X2285" t="str"><v>1x1</v></cell></row><row r="2285"><cell r="AA2285"><v>43297</v></cell><cell r="AB2285" t="str"><v>USA_gaPMG_AZR_AZR_Q1_19_Direct-Social</v></cell><cell r="AC2285"><v>21358715</v></cell><cell r="AD2285"><v>720197</v></cell><cell r="AE2285" t="str"><v>Facebook - Instagram</v></cell><cell r="AF2285"><v>3654128</v></cell><cell r="AG2285" t="str"><v>INSTAGRAM»USA-Trial-ITD-Interest Prospecting-AZR-AZR»1 x 1»SocialBan»CAN»ALL»CPA»PRO»X»NA»SS»NA»IGCTCBenefitinMotion»PRC2PC</v></cell><cell r="AH2285"><v>224104878</v></cell><cell r="AI2285" t="str"><v>AzurePlatform_IGCTCBenefitinMotion_USA_10s_CAN_PLATFORM_English_Trial_Standard_STAN_TIN_T3_1</v></cell><cell r="AJ2285"><v>103050780</v></cell></row><row r="2286"><cell r="C2286" t="str"><v>43297INSTAGRAM»USA-Trial-ITD-Trial Lookalike-AZR-AZR»1 x 1»SocialBan»CAN»ALL»CPA»LAL»X»NA»SS»NA»IGCTCBasicMotion»PRC0C2</v></cell><cell r="D2286" t="str"><v>43297224107017</v></cell><cell r="E2286" t="str"><v>43297103037968PRC0C2</v></cell><cell r="F2286" t="str"><v>DCM</v></cell><cell r="G2286" t="str"><v>https://signup.azure.com/?OCID=AID%eexcid!_OLA_%ebuy!_%epid!_%ecid!</v></cell></row><row r="2286"><cell r="K2286" t="str"><v>July</v></cell><cell r="L2286"><v>43302</v></cell><cell r="M2286" t="str"><v>Tier 0</v></cell><cell r="N2286" t="str"><v>North America</v></cell><cell r="O2286" t="str"><v>United States</v></cell><cell r="P2286" t="str"><v>Trial</v></cell><cell r="Q2286" t="str"><v>Social</v></cell><cell r="R2286" t="str"><v>Azure</v></cell><cell r="S2286" t="str"><v>Apps & Infra</v></cell><cell r="T2286" t="str"><v>Developers & ITI's</v></cell><cell r="U2286" t="str"><v>USA-Trial-ITD-Trial Lookalike-AZR-AZR</v></cell><cell r="V2286" t="str"><v>Lookalike Targeting</v></cell><cell r="W2286" t="str"><v>Canvas Ad</v></cell><cell r="X2286" t="str"><v>1x1</v></cell></row><row r="2286"><cell r="AA2286"><v>43297</v></cell><cell r="AB2286" t="str"><v>USA_gaPMG_AZR_AZR_Q1_19_Direct-Social</v></cell><cell r="AC2286"><v>21358715</v></cell><cell r="AD2286"><v>720197</v></cell><cell r="AE2286" t="str"><v>Facebook - Instagram</v></cell><cell r="AF2286"><v>3654128</v></cell><cell r="AG2286" t="str"><v>INSTAGRAM»USA-Trial-ITD-Trial Lookalike-AZR-AZR»1 x 1»SocialBan»CAN»ALL»CPA»LAL»X»NA»SS»NA»IGCTCBasicMotion»PRC0C2</v></cell><cell r="AH2286"><v>224107017</v></cell><cell r="AI2286" t="str"><v>AzurePlatform_IGCTCBasicMotion_USA_10s_CAN_PLATFORM_English_Trial_Standard_STAN_TIN_T1_1</v></cell><cell r="AJ2286"><v>103037968</v></cell></row><row r="2287"><cell r="C2287" t="str"><v>43297INSTAGRAM»USA-Trial-ITD-Trial Lookalike-AZR-AZR»1 x 1»SocialBan»CAN»ALL»CPA»LAL»X»NA»SS»NA»IGCTCBenefitinMotion»PRC2FK</v></cell><cell r="D2287" t="str"><v>43297224107542</v></cell><cell r="E2287" t="str"><v>43297103050780PRC2FK</v></cell><cell r="F2287" t="str"><v>DCM</v></cell><cell r="G2287" t="str"><v>https://signup.azure.com/?OCID=AID%eexcid!_OLA_%ebuy!_%epid!_%ecid!</v></cell></row><row r="2287"><cell r="K2287" t="str"><v>July</v></cell><cell r="L2287"><v>43302</v></cell><cell r="M2287" t="str"><v>Tier 0</v></cell><cell r="N2287" t="str"><v>North America</v></cell><cell r="O2287" t="str"><v>United States</v></cell><cell r="P2287" t="str"><v>Trial</v></cell><cell r="Q2287" t="str"><v>Social</v></cell><cell r="R2287" t="str"><v>Azure</v></cell><cell r="S2287" t="str"><v>Apps & Infra</v></cell><cell r="T2287" t="str"><v>Developers & ITI's</v></cell><cell r="U2287" t="str"><v>USA-Trial-ITD-Trial Lookalike-AZR-AZR</v></cell><cell r="V2287" t="str"><v>Lookalike Targeting</v></cell><cell r="W2287" t="str"><v>Canvas Ad</v></cell><cell r="X2287" t="str"><v>1x1</v></cell></row><row r="2287"><cell r="AA2287"><v>43297</v></cell><cell r="AB2287" t="str"><v>USA_gaPMG_AZR_AZR_Q1_19_Direct-Social</v></cell><cell r="AC2287"><v>21358715</v></cell><cell r="AD2287"><v>720197</v></cell><cell r="AE2287" t="str"><v>Facebook - Instagram</v></cell><cell r="AF2287"><v>3654128</v></cell><cell r="AG2287" t="str"><v>INSTAGRAM»USA-Trial-ITD-Trial Lookalike-AZR-AZR»1 x 1»SocialBan»CAN»ALL»CPA»LAL»X»NA»SS»NA»IGCTCBenefitinMotion»PRC2FK</v></cell><cell r="AH2287"><v>224107542</v></cell><cell r="AI2287" t="str"><v>AzurePlatform_IGCTCBenefitinMotion_USA_10s_CAN_PLATFORM_English_Trial_Standard_STAN_TIN_T3_1</v></cell><cell r="AJ2287"><v>103050780</v></cell></row><row r="2288"><cell r="C2288" t="str"><v>43297INSTAGRAM»USA-Trial-ITD-Trial Lookalike-AZR-AZR»1 x 1»SocialBan»CAN»ALL»CPA»LAL»X»NA»SS»NA»IGCTCBenefitinMotion»PRC2FK</v></cell><cell r="D2288" t="str"><v>43297224107542</v></cell><cell r="E2288" t="str"><v>43297103180637PRC2FK</v></cell><cell r="F2288" t="str"><v>DCM</v></cell><cell r="G2288" t="str"><v>https://azure.microsoft.com/en-us/pricing/purchase-options/?v=18.19&OCID=AID%eexcid!_OLA_%ebuy!_%epid!_%ecid!</v></cell></row><row r="2288"><cell r="K2288" t="str"><v>July</v></cell><cell r="L2288"><v>43302</v></cell><cell r="M2288" t="str"><v>Tier 0</v></cell><cell r="N2288" t="str"><v>North America</v></cell><cell r="O2288" t="str"><v>United States</v></cell><cell r="P2288" t="str"><v>Trial</v></cell><cell r="Q2288" t="str"><v>Social</v></cell><cell r="R2288" t="str"><v>Azure</v></cell><cell r="S2288" t="str"><v>Apps & Infra</v></cell><cell r="T2288" t="str"><v>Developers & ITI's</v></cell><cell r="U2288" t="str"><v>USA-Trial-ITD-Trial Lookalike-AZR-AZR</v></cell><cell r="V2288" t="str"><v>Lookalike Targeting</v></cell><cell r="W2288" t="str"><v>Canvas Ad</v></cell><cell r="X2288" t="str"><v>1x1</v></cell></row><row r="2288"><cell r="AA2288"><v>43297</v></cell><cell r="AB2288" t="str"><v>USA_gaPMG_AZR_AZR_Q1_19_Direct-Social</v></cell><cell r="AC2288"><v>21358715</v></cell><cell r="AD2288"><v>720197</v></cell><cell r="AE2288" t="str"><v>Facebook - Instagram</v></cell><cell r="AF2288"><v>3654128</v></cell><cell r="AG2288" t="str"><v>INSTAGRAM»USA-Trial-ITD-Trial Lookalike-AZR-AZR»1 x 1»SocialBan»CAN»ALL»CPA»LAL»X»NA»SS»NA»IGCTCBenefitinMotion»PRC2FK</v></cell><cell r="AH2288"><v>224107542</v></cell><cell r="AI2288" t="str"><v>AzurePlatform_IGCTCBenefitinMotion_USA_10s_CAN_PLATFORM_English_Trial_Standard_STAN_TIN_T3_2</v></cell><cell r="AJ2288"><v>103180637</v></cell></row><row r="2289"><cell r="C2289" t="str"><v>43297INSTAGRAM»USA-Trial-ITD-Trial PayGo Lookalike-AZR-AZR»1 x 1»SocialBan»CAN»ALL»CPA»LAL»X»NA»SS»NA»IGCTCBasicMotion»PRC2G0</v></cell><cell r="D2289" t="str"><v>43297224106891</v></cell><cell r="E2289" t="str"><v>43297103037968PRC2G0</v></cell><cell r="F2289" t="str"><v>DCM</v></cell><cell r="G2289" t="str"><v>https://signup.azure.com/?OCID=AID%eexcid!_OLA_%ebuy!_%epid!_%ecid!</v></cell></row><row r="2289"><cell r="K2289" t="str"><v>July</v></cell><cell r="L2289"><v>43302</v></cell><cell r="M2289" t="str"><v>Tier 0</v></cell><cell r="N2289" t="str"><v>North America</v></cell><cell r="O2289" t="str"><v>United States</v></cell><cell r="P2289" t="str"><v>Trial</v></cell><cell r="Q2289" t="str"><v>Social</v></cell><cell r="R2289" t="str"><v>Azure</v></cell><cell r="S2289" t="str"><v>Apps & Infra</v></cell><cell r="T2289" t="str"><v>Developers & ITI's</v></cell><cell r="U2289" t="str"><v>USA-Trial-ITD-Trial PayGo Lookalike-AZR-AZR</v></cell><cell r="V2289" t="str"><v>Lookalike Targeting</v></cell><cell r="W2289" t="str"><v>Canvas Ad</v></cell><cell r="X2289" t="str"><v>1x1</v></cell></row><row r="2289"><cell r="AA2289"><v>43297</v></cell><cell r="AB2289" t="str"><v>USA_gaPMG_AZR_AZR_Q1_19_Direct-Social</v></cell><cell r="AC2289"><v>21358715</v></cell><cell r="AD2289"><v>720197</v></cell><cell r="AE2289" t="str"><v>Facebook - Instagram</v></cell><cell r="AF2289"><v>3654128</v></cell><cell r="AG2289" t="str"><v>INSTAGRAM»USA-Trial-ITD-Trial PayGo Lookalike-AZR-AZR»1 x 1»SocialBan»CAN»ALL»CPA»LAL»X»NA»SS»NA»IGCTCBasicMotion»PRC2G0</v></cell><cell r="AH2289"><v>224106891</v></cell><cell r="AI2289" t="str"><v>AzurePlatform_IGCTCBasicMotion_USA_10s_CAN_PLATFORM_English_Trial_Standard_STAN_TIN_T1_1</v></cell><cell r="AJ2289"><v>103037968</v></cell></row><row r="2290"><cell r="C2290" t="str"><v>43297INSTAGRAM»USA-Trial-ITD-Trial PayGo Lookalike-AZR-AZR»1 x 1»SocialBan»CAN»ALL»CPA»LAL»X»NA»SS»NA»IGCTCBasicMotion»PRC2G0</v></cell><cell r="D2290" t="str"><v>43297224106891</v></cell><cell r="E2290" t="str"><v>43297103037974PRC2G0</v></cell><cell r="F2290" t="str"><v>DCM</v></cell><cell r="G2290" t="str"><v>https://azure.microsoft.com/en-us/pricing/purchase-options/?v=18.19&OCID=AID%eexcid!_OLA_%ebuy!_%epid!_%ecid!</v></cell></row><row r="2290"><cell r="K2290" t="str"><v>July</v></cell><cell r="L2290"><v>43302</v></cell><cell r="M2290" t="str"><v>Tier 0</v></cell><cell r="N2290" t="str"><v>North America</v></cell><cell r="O2290" t="str"><v>United States</v></cell><cell r="P2290" t="str"><v>Trial</v></cell><cell r="Q2290" t="str"><v>Social</v></cell><cell r="R2290" t="str"><v>Azure</v></cell><cell r="S2290" t="str"><v>Apps & Infra</v></cell><cell r="T2290" t="str"><v>Developers & ITI's</v></cell><cell r="U2290" t="str"><v>USA-Trial-ITD-Trial PayGo Lookalike-AZR-AZR</v></cell><cell r="V2290" t="str"><v>Lookalike Targeting</v></cell><cell r="W2290" t="str"><v>Canvas Ad</v></cell><cell r="X2290" t="str"><v>1x1</v></cell></row><row r="2290"><cell r="AA2290"><v>43297</v></cell><cell r="AB2290" t="str"><v>USA_gaPMG_AZR_AZR_Q1_19_Direct-Social</v></cell><cell r="AC2290"><v>21358715</v></cell><cell r="AD2290"><v>720197</v></cell><cell r="AE2290" t="str"><v>Facebook - Instagram</v></cell><cell r="AF2290"><v>3654128</v></cell><cell r="AG2290" t="str"><v>INSTAGRAM»USA-Trial-ITD-Trial PayGo Lookalike-AZR-AZR»1 x 1»SocialBan»CAN»ALL»CPA»LAL»X»NA»SS»NA»IGCTCBasicMotion»PRC2G0</v></cell><cell r="AH2290"><v>224106891</v></cell><cell r="AI2290" t="str"><v>AzurePlatform_IGCTCBasicMotion_USA_10s_CAN_PLATFORM_English_Trial_Standard_STAN_TIN_T1_2</v></cell><cell r="AJ2290"><v>103037974</v></cell></row><row r="2291"><cell r="C2291" t="str"><v>43297INSTAGRAM»USA-Trial-ITD-Trial PayGo Lookalike-AZR-AZR»1 x 1»SocialBan»CAN»ALL»CPA»LAL»X»NA»SS»NA»IGCTCBenefitinMotion»PRC2FX</v></cell><cell r="D2291" t="str"><v>43297223933999</v></cell><cell r="E2291" t="str"><v>43297103050780PRC2FX</v></cell><cell r="F2291" t="str"><v>DCM</v></cell><cell r="G2291" t="str"><v>https://signup.azure.com/?OCID=AID%eexcid!_OLA_%ebuy!_%epid!_%ecid!</v></cell></row><row r="2291"><cell r="K2291" t="str"><v>July</v></cell><cell r="L2291"><v>43302</v></cell><cell r="M2291" t="str"><v>Tier 0</v></cell><cell r="N2291" t="str"><v>North America</v></cell><cell r="O2291" t="str"><v>United States</v></cell><cell r="P2291" t="str"><v>Trial</v></cell><cell r="Q2291" t="str"><v>Social</v></cell><cell r="R2291" t="str"><v>Azure</v></cell><cell r="S2291" t="str"><v>Apps & Infra</v></cell><cell r="T2291" t="str"><v>Developers & ITI's</v></cell><cell r="U2291" t="str"><v>USA-Trial-ITD-Trial PayGo Lookalike-AZR-AZR</v></cell><cell r="V2291" t="str"><v>Lookalike Targeting</v></cell><cell r="W2291" t="str"><v>Canvas Ad</v></cell><cell r="X2291" t="str"><v>1x1</v></cell></row><row r="2291"><cell r="AA2291"><v>43297</v></cell><cell r="AB2291" t="str"><v>USA_gaPMG_AZR_AZR_Q1_19_Direct-Social</v></cell><cell r="AC2291"><v>21358715</v></cell><cell r="AD2291"><v>720197</v></cell><cell r="AE2291" t="str"><v>Facebook - Instagram</v></cell><cell r="AF2291"><v>3654128</v></cell><cell r="AG2291" t="str"><v>INSTAGRAM»USA-Trial-ITD-Trial PayGo Lookalike-AZR-AZR»1 x 1»SocialBan»CAN»ALL»CPA»LAL»X»NA»SS»NA»IGCTCBenefitinMotion»PRC2FX</v></cell><cell r="AH2291"><v>223933999</v></cell><cell r="AI2291" t="str"><v>AzurePlatform_IGCTCBenefitinMotion_USA_10s_CAN_PLATFORM_English_Trial_Standard_STAN_TIN_T3_1</v></cell><cell r="AJ2291"><v>103050780</v></cell></row><row r="2292"><cell r="C2292" t="str"><v>43298Facebook»Audience & Interest Targeting»1x1»Canvas»OTH»DT»DYN»AUT»W»NA»SS»NA»FBCTCcanvaspage-StartFreeCTA_FBCTCcanvaspage-BuyNowCTA</v></cell><cell r="D2292" t="str"><v>43298224639151</v></cell><cell r="E2292" t="str"><v>43298103316832NowCTA</v></cell><cell r="F2292" t="str"><v>DCM</v></cell><cell r="G2292" t="str"><v>https://azure.microsoft.com/en-au/pricing/purchase-options/</v></cell></row><row r="2292"><cell r="K2292" t="str"><v>July</v></cell><cell r="L2292"><v>43302</v></cell><cell r="M2292" t="str"><v>Tier 1</v></cell><cell r="N2292" t="str"><v>APAC</v></cell><cell r="O2292" t="str"><v>Australia</v></cell><cell r="P2292" t="str"><v>Trial</v></cell><cell r="Q2292" t="str"><v>Social</v></cell><cell r="R2292" t="str"><v>Azure</v></cell><cell r="S2292" t="str"><v>Apps & Infra</v></cell><cell r="T2292" t="str"><v>Developers & ITI's</v></cell><cell r="U2292" t="str"><v>Audience & Interest Targeting</v></cell><cell r="V2292" t="str"><v>Audience Targeting</v></cell><cell r="W2292" t="str"><v>Other</v></cell><cell r="X2292" t="str"><v>1x1</v></cell></row><row r="2292"><cell r="AA2292"><v>43298</v></cell><cell r="AB2292" t="str"><v>AUS_gaPMG_AZR_AZR_Q1_19_Trial-Social</v></cell><cell r="AC2292"><v>21358568</v></cell><cell r="AD2292"><v>720191</v></cell><cell r="AE2292" t="str"><v>Facebook</v></cell><cell r="AF2292"><v>3654128</v></cell><cell r="AG2292" t="str"><v>Facebook»Audience & Interest Targeting»1x1»Canvas»OTH»DT»DYN»AUT»W»NA»SS»NA»FBCTCcanvaspage-StartFreeCTA_FBCTCcanvaspage-BuyNowCTA</v></cell><cell r="AH2292"><v>224639151</v></cell><cell r="AI2292" t="str"><v>AzurePlatform_FBCTCcanvaspage-BuyNowCTA-Img3_AUS_1080x162_SOC_Plat_English_NA_Standard_NA_BN_T3_1</v></cell><cell r="AJ2292"><v>103316832</v></cell></row><row r="2293"><cell r="C2293" t="str"><v>43298Facebook»Audience & Interest Targeting»1x1»Canvas»OTH»DT»DYN»AUT»W»NA»SS»NA»FBCTCcanvaspage-StartFreeCTA_FBCTCcanvaspage-BuyNowCTA</v></cell><cell r="D2293" t="str"><v>43298224639151</v></cell><cell r="E2293" t="str"><v>43298103316829NowCTA</v></cell><cell r="F2293" t="str"><v>DCM</v></cell><cell r="G2293" t="str"><v>https://signup.azure.com/signup?offer=ms-azr-0044p&appId=102&ref=paidmedia-social-fb&redirectURL=https%3a%2f%2fazure.microsoft.com%2fen-au%2fget-started%2fwelcome-to-azure%2f&l=en-au&correlationId=ead86c34-1f10-49dd-a72b-6918462a2cbf</v></cell></row><row r="2293"><cell r="K2293" t="str"><v>July</v></cell><cell r="L2293"><v>43302</v></cell><cell r="M2293" t="str"><v>Tier 1</v></cell><cell r="N2293" t="str"><v>APAC</v></cell><cell r="O2293" t="str"><v>Australia</v></cell><cell r="P2293" t="str"><v>Trial</v></cell><cell r="Q2293" t="str"><v>Social</v></cell><cell r="R2293" t="str"><v>Azure</v></cell><cell r="S2293" t="str"><v>Apps & Infra</v></cell><cell r="T2293" t="str"><v>Developers & ITI's</v></cell><cell r="U2293" t="str"><v>Audience & Interest Targeting</v></cell><cell r="V2293" t="str"><v>Audience Targeting</v></cell><cell r="W2293" t="str"><v>Other</v></cell><cell r="X2293" t="str"><v>1x1</v></cell></row><row r="2293"><cell r="AA2293"><v>43298</v></cell><cell r="AB2293" t="str"><v>AUS_gaPMG_AZR_AZR_Q1_19_Trial-Social</v></cell><cell r="AC2293"><v>21358568</v></cell><cell r="AD2293"><v>720191</v></cell><cell r="AE2293" t="str"><v>Facebook</v></cell><cell r="AF2293"><v>3654128</v></cell><cell r="AG2293" t="str"><v>Facebook»Audience & Interest Targeting»1x1»Canvas»OTH»DT»DYN»AUT»W»NA»SS»NA»FBCTCcanvaspage-StartFreeCTA_FBCTCcanvaspage-BuyNowCTA</v></cell><cell r="AH2293"><v>224639151</v></cell><cell r="AI2293" t="str"><v>AzurePlatform_FBCTCcanvaspage-StartFreeCTA-Img2_AUS_1080x143 _SOC_Plat_English_NA_Standard_NA_NA_T2_1</v></cell><cell r="AJ2293"><v>103316829</v></cell></row><row r="2294"><cell r="C2294" t="str"><v>43298Facebook»Audience & Interest Targeting»1x1»TextLink»OTH»DT»DYN»AUT»W»NA»SS»NA»Free Account Refresh- 12 months ChE</v></cell><cell r="D2294" t="str"><v>43298224160783</v></cell><cell r="E2294" t="str"><v>43298103051614hs ChE</v></cell><cell r="F2294" t="str"><v>DCM</v></cell></row><row r="2294"><cell r="K2294" t="str"><v>July</v></cell><cell r="L2294"><v>43302</v></cell><cell r="M2294" t="str"><v>Tier 1</v></cell><cell r="N2294" t="str"><v>APAC</v></cell><cell r="O2294" t="str"><v>Australia</v></cell><cell r="P2294" t="str"><v>Trial</v></cell><cell r="Q2294" t="str"><v>Social</v></cell><cell r="R2294" t="str"><v>Azure</v></cell><cell r="S2294" t="str"><v>Apps & Infra</v></cell><cell r="T2294" t="str"><v>Developers & ITI's</v></cell><cell r="U2294" t="str"><v>Audience & Interest Targeting</v></cell><cell r="V2294" t="str"><v>Audience Targeting</v></cell><cell r="W2294" t="str"><v>Other</v></cell><cell r="X2294" t="str"><v>1x1</v></cell></row><row r="2294"><cell r="AA2294"><v>43298</v></cell><cell r="AB2294" t="str"><v>AUS_gaPMG_AZR_AZR_Q1_19_Trial-Social</v></cell><cell r="AC2294"><v>21358568</v></cell><cell r="AD2294"><v>720191</v></cell><cell r="AE2294" t="str"><v>Facebook</v></cell><cell r="AF2294"><v>3654128</v></cell><cell r="AG2294" t="str"><v>Facebook»Audience & Interest Targeting»1x1»TextLink»OTH»DT»DYN»AUT»W»NA»SS»NA»Free Account Refresh- 12 months ChE</v></cell><cell r="AH2294"><v>224160783</v></cell><cell r="AI2294" t="str"><v>AzurePlatform_FreeAcctAppsFACEBOOK12monthsChE_AUS_1200x628_SOC_PLAT_EN_Trial_Standard_NA_SNU_T5_1</v></cell><cell r="AJ2294"><v>103051614</v></cell></row><row r="2295"><cell r="C2295" t="str"><v>43298Facebook»Audience & Interest Targeting»1x1»TextLink»OTH»DT»DYN»AUT»W»NA»SS»NA»Free Account Refresh- 200 Credit ChD</v></cell><cell r="D2295" t="str"><v>43298224160780</v></cell><cell r="E2295" t="str"><v>43298103186904it ChD</v></cell><cell r="F2295" t="str"><v>DCM</v></cell></row><row r="2295"><cell r="K2295" t="str"><v>July</v></cell><cell r="L2295"><v>43302</v></cell><cell r="M2295" t="str"><v>Tier 1</v></cell><cell r="N2295" t="str"><v>APAC</v></cell><cell r="O2295" t="str"><v>Australia</v></cell><cell r="P2295" t="str"><v>Trial</v></cell><cell r="Q2295" t="str"><v>Social</v></cell><cell r="R2295" t="str"><v>Azure</v></cell><cell r="S2295" t="str"><v>Apps & Infra</v></cell><cell r="T2295" t="str"><v>Developers & ITI's</v></cell><cell r="U2295" t="str"><v>Audience & Interest Targeting</v></cell><cell r="V2295" t="str"><v>Audience Targeting</v></cell><cell r="W2295" t="str"><v>Other</v></cell><cell r="X2295" t="str"><v>1x1</v></cell></row><row r="2295"><cell r="AA2295"><v>43298</v></cell><cell r="AB2295" t="str"><v>AUS_gaPMG_AZR_AZR_Q1_19_Trial-Social</v></cell><cell r="AC2295"><v>21358568</v></cell><cell r="AD2295"><v>720191</v></cell><cell r="AE2295" t="str"><v>Facebook</v></cell><cell r="AF2295"><v>3654128</v></cell><cell r="AG2295" t="str"><v>Facebook»Audience & Interest Targeting»1x1»TextLink»OTH»DT»DYN»AUT»W»NA»SS»NA»Free Account Refresh- 200 Credit ChD</v></cell><cell r="AH2295"><v>224160780</v></cell><cell r="AI2295" t="str"><v>AzurePlatform_FreeAcctAppsFACEBOOK200CreditChD_AUS_1200x628_SOC_PLAT_EN_Trial_Standard_NA_SNU_T4_1</v></cell><cell r="AJ2295"><v>103186904</v></cell></row><row r="2296"><cell r="C2296" t="str"><v>43298Facebook»Audience & Interest Targeting»1x1»TextLink»OTH»DT»DYN»AUT»W»NA»SS»NA»Free Account Refresh- Device ChB</v></cell><cell r="D2296" t="str"><v>43298224160777</v></cell><cell r="E2296" t="str"><v>43298103048479ce ChB</v></cell><cell r="F2296" t="str"><v>DCM</v></cell></row><row r="2296"><cell r="K2296" t="str"><v>July</v></cell><cell r="L2296"><v>43302</v></cell><cell r="M2296" t="str"><v>Tier 1</v></cell><cell r="N2296" t="str"><v>APAC</v></cell><cell r="O2296" t="str"><v>Australia</v></cell><cell r="P2296" t="str"><v>Trial</v></cell><cell r="Q2296" t="str"><v>Social</v></cell><cell r="R2296" t="str"><v>Azure</v></cell><cell r="S2296" t="str"><v>Apps & Infra</v></cell><cell r="T2296" t="str"><v>Developers & ITI's</v></cell><cell r="U2296" t="str"><v>Audience & Interest Targeting</v></cell><cell r="V2296" t="str"><v>Audience Targeting</v></cell><cell r="W2296" t="str"><v>Other</v></cell><cell r="X2296" t="str"><v>1x1</v></cell></row><row r="2296"><cell r="AA2296"><v>43298</v></cell><cell r="AB2296" t="str"><v>AUS_gaPMG_AZR_AZR_Q1_19_Trial-Social</v></cell><cell r="AC2296"><v>21358568</v></cell><cell r="AD2296"><v>720191</v></cell><cell r="AE2296" t="str"><v>Facebook</v></cell><cell r="AF2296"><v>3654128</v></cell><cell r="AG2296" t="str"><v>Facebook»Audience & Interest Targeting»1x1»TextLink»OTH»DT»DYN»AUT»W»NA»SS»NA»Free Account Refresh- Device ChB</v></cell><cell r="AH2296"><v>224160777</v></cell><cell r="AI2296" t="str"><v>AzurePlatform_FreeAcctAppsFACEBOOKDeviceChB_AUS_1200x628_SOC_PLAT_EN_Trial_Standard_NA_SNU_T2_1</v></cell><cell r="AJ2296"><v>103048479</v></cell></row><row r="2297"><cell r="C2297" t="str"><v>43298Facebook»Audience & Interest Targeting»1x1»TextLink»OTH»DT»DYN»AUT»W»NA»SS»NA»Free Account Refresh- Illustration ChC</v></cell><cell r="D2297" t="str"><v>43298224160774</v></cell><cell r="E2297" t="str"><v>43298103186910on ChC</v></cell><cell r="F2297" t="str"><v>DCM</v></cell></row><row r="2297"><cell r="K2297" t="str"><v>July</v></cell><cell r="L2297"><v>43302</v></cell><cell r="M2297" t="str"><v>Tier 1</v></cell><cell r="N2297" t="str"><v>APAC</v></cell><cell r="O2297" t="str"><v>Australia</v></cell><cell r="P2297" t="str"><v>Trial</v></cell><cell r="Q2297" t="str"><v>Social</v></cell><cell r="R2297" t="str"><v>Azure</v></cell><cell r="S2297" t="str"><v>Apps & Infra</v></cell><cell r="T2297" t="str"><v>Developers & ITI's</v></cell><cell r="U2297" t="str"><v>Audience & Interest Targeting</v></cell><cell r="V2297" t="str"><v>Audience Targeting</v></cell><cell r="W2297" t="str"><v>Other</v></cell><cell r="X2297" t="str"><v>1x1</v></cell></row><row r="2297"><cell r="AA2297"><v>43298</v></cell><cell r="AB2297" t="str"><v>AUS_gaPMG_AZR_AZR_Q1_19_Trial-Social</v></cell><cell r="AC2297"><v>21358568</v></cell><cell r="AD2297"><v>720191</v></cell><cell r="AE2297" t="str"><v>Facebook</v></cell><cell r="AF2297"><v>3654128</v></cell><cell r="AG2297" t="str"><v>Facebook»Audience & Interest Targeting»1x1»TextLink»OTH»DT»DYN»AUT»W»NA»SS»NA»Free Account Refresh- Illustration ChC</v></cell><cell r="AH2297"><v>224160774</v></cell><cell r="AI2297" t="str"><v>AzurePlatform_FreeAcctAppsFACEBOOKIllustrationChC_AUS_1200x628_SOC_PLAT_EN_Trial_Standard_NA_SNU_T3_1</v></cell><cell r="AJ2297"><v>103186910</v></cell></row><row r="2298"><cell r="C2298" t="str"><v>43298Facebook»Audience & Interest Targeting»1x1»TextLink»OTH»DT»DYN»AUT»W»NA»SS»NA»Free Account Refresh- Lifestyle ChA</v></cell><cell r="D2298" t="str"><v>43298224160771</v></cell><cell r="E2298" t="str"><v>43298103048488le ChA</v></cell><cell r="F2298" t="str"><v>DCM</v></cell></row><row r="2298"><cell r="K2298" t="str"><v>July</v></cell><cell r="L2298"><v>43302</v></cell><cell r="M2298" t="str"><v>Tier 1</v></cell><cell r="N2298" t="str"><v>APAC</v></cell><cell r="O2298" t="str"><v>Australia</v></cell><cell r="P2298" t="str"><v>Trial</v></cell><cell r="Q2298" t="str"><v>Social</v></cell><cell r="R2298" t="str"><v>Azure</v></cell><cell r="S2298" t="str"><v>Apps & Infra</v></cell><cell r="T2298" t="str"><v>Developers & ITI's</v></cell><cell r="U2298" t="str"><v>Audience & Interest Targeting</v></cell><cell r="V2298" t="str"><v>Audience Targeting</v></cell><cell r="W2298" t="str"><v>Other</v></cell><cell r="X2298" t="str"><v>1x1</v></cell></row><row r="2298"><cell r="AA2298"><v>43298</v></cell><cell r="AB2298" t="str"><v>AUS_gaPMG_AZR_AZR_Q1_19_Trial-Social</v></cell><cell r="AC2298"><v>21358568</v></cell><cell r="AD2298"><v>720191</v></cell><cell r="AE2298" t="str"><v>Facebook</v></cell><cell r="AF2298"><v>3654128</v></cell><cell r="AG2298" t="str"><v>Facebook»Audience & Interest Targeting»1x1»TextLink»OTH»DT»DYN»AUT»W»NA»SS»NA»Free Account Refresh- Lifestyle ChA</v></cell><cell r="AH2298"><v>224160771</v></cell><cell r="AI2298" t="str"><v>AzurePlatform_FreeAcctAppsFACEBOOKLifestyleChA_AUS_1200x628_SOC_PLAT_EN_Trial_Standard_NA_SNU_T1_1</v></cell><cell r="AJ2298"><v>103048488</v></cell></row><row r="2299"><cell r="C2299" t="str"><v>43298Facebook»AZR»1x1»NA»EGV»ALL»DYN»AUT»D»All»SS»NA»Free Acc CTC - T1 - EN</v></cell><cell r="D2299" t="str"><v>43298223684451</v></cell><cell r="E2299" t="str"><v>432981029018821 - EN</v></cell><cell r="F2299" t="str"><v>DCM</v></cell><cell r="G2299" t="str"><v>https://signup.azure.com/</v></cell></row><row r="2299"><cell r="K2299" t="str"><v>July</v></cell><cell r="L2299"><v>43302</v></cell><cell r="M2299" t="str"><v>Tier 1</v></cell><cell r="N2299" t="str"><v>North America</v></cell><cell r="O2299" t="str"><v>Canada</v></cell><cell r="P2299" t="str"><v>Trial</v></cell><cell r="Q2299" t="str"><v>Social</v></cell><cell r="R2299" t="str"><v>Azure</v></cell><cell r="S2299" t="str"><v>Apps & Infra</v></cell><cell r="T2299" t="str"><v>Developers & ITI's</v></cell><cell r="U2299" t="str"><v>AZR</v></cell><cell r="V2299" t="str"><v>Audience Targeting</v></cell><cell r="W2299" t="str"><v>Engagement Video</v></cell><cell r="X2299" t="str"><v>1x1</v></cell></row><row r="2299"><cell r="AA2299"><v>43298</v></cell><cell r="AB2299" t="str"><v>CAN_gaPMG_AZR_AZR_Q1_19_Trial-Social</v></cell><cell r="AC2299"><v>21337220</v></cell><cell r="AD2299"><v>720192</v></cell><cell r="AE2299" t="str"><v>Facebook</v></cell><cell r="AF2299"><v>3654128</v></cell><cell r="AG2299" t="str"><v>Facebook»AZR»1x1»NA»EGV»ALL»DYN»AUT»D»All»SS»NA»Free Acc CTC - T1 - EN</v></cell><cell r="AH2299"><v>223684451</v></cell><cell r="AI2299" t="str"><v>AzurePlatform_FBCTCBasicMotion_CAN_10s_ISV_PLAT_English_Trial_Standard_STAN_TN_T1_1</v></cell><cell r="AJ2299"><v>102901882</v></cell></row><row r="2300"><cell r="C2300" t="str"><v>43298Facebook»AZR»1x1»NA»EGV»ALL»DYN»AUT»D»All»SS»NA»Free Acc CTC - T1 - FR</v></cell><cell r="D2300" t="str"><v>43298223691801</v></cell><cell r="E2300" t="str"><v>432981030533231 - FR</v></cell><cell r="F2300" t="str"><v>DCM</v></cell><cell r="G2300" t="str"><v>https://signup.azure.com/</v></cell></row><row r="2300"><cell r="K2300" t="str"><v>July</v></cell><cell r="L2300"><v>43302</v></cell><cell r="M2300" t="str"><v>Tier 1</v></cell><cell r="N2300" t="str"><v>North America</v></cell><cell r="O2300" t="str"><v>Canada</v></cell><cell r="P2300" t="str"><v>Trial</v></cell><cell r="Q2300" t="str"><v>Social</v></cell><cell r="R2300" t="str"><v>Azure</v></cell><cell r="S2300" t="str"><v>Apps & Infra</v></cell><cell r="T2300" t="str"><v>Developers & ITI's</v></cell><cell r="U2300" t="str"><v>AZR</v></cell><cell r="V2300" t="str"><v>Audience Targeting</v></cell><cell r="W2300" t="str"><v>Engagement Video</v></cell><cell r="X2300" t="str"><v>1x1</v></cell></row><row r="2300"><cell r="AA2300"><v>43298</v></cell><cell r="AB2300" t="str"><v>CAN_gaPMG_AZR_AZR_Q1_19_Trial-Social</v></cell><cell r="AC2300"><v>21337220</v></cell><cell r="AD2300"><v>720192</v></cell><cell r="AE2300" t="str"><v>Facebook</v></cell><cell r="AF2300"><v>3654128</v></cell><cell r="AG2300" t="str"><v>Facebook»AZR»1x1»NA»EGV»ALL»DYN»AUT»D»All»SS»NA»Free Acc CTC - T1 - FR</v></cell><cell r="AH2300"><v>223691801</v></cell><cell r="AI2300" t="str"><v>AzurePlatform_FBCTCBasicMotion_CAN_10s_ISV_PLAT_FR_Trial_Standard_STAN_TN_T1_1</v></cell><cell r="AJ2300"><v>103053323</v></cell></row><row r="2301"><cell r="C2301" t="str"><v>43298Facebook»AZR»1x1»NA»EGV»ALL»DYN»AUT»D»All»SS»NA»Free Acc CTC - T2 - EN</v></cell><cell r="D2301" t="str"><v>43298223691840</v></cell><cell r="E2301" t="str"><v>432981029029502 - EN</v></cell><cell r="F2301" t="str"><v>DCM</v></cell><cell r="G2301" t="str"><v>https://signup.azure.com/</v></cell></row><row r="2301"><cell r="K2301" t="str"><v>July</v></cell><cell r="L2301"><v>43302</v></cell><cell r="M2301" t="str"><v>Tier 1</v></cell><cell r="N2301" t="str"><v>North America</v></cell><cell r="O2301" t="str"><v>Canada</v></cell><cell r="P2301" t="str"><v>Trial</v></cell><cell r="Q2301" t="str"><v>Social</v></cell><cell r="R2301" t="str"><v>Azure</v></cell><cell r="S2301" t="str"><v>Apps & Infra</v></cell><cell r="T2301" t="str"><v>Developers & ITI's</v></cell><cell r="U2301" t="str"><v>AZR</v></cell><cell r="V2301" t="str"><v>Audience Targeting</v></cell><cell r="W2301" t="str"><v>Engagement Video</v></cell><cell r="X2301" t="str"><v>1x1</v></cell></row><row r="2301"><cell r="AA2301"><v>43298</v></cell><cell r="AB2301" t="str"><v>CAN_gaPMG_AZR_AZR_Q1_19_Trial-Social</v></cell><cell r="AC2301"><v>21337220</v></cell><cell r="AD2301"><v>720192</v></cell><cell r="AE2301" t="str"><v>Facebook</v></cell><cell r="AF2301"><v>3654128</v></cell><cell r="AG2301" t="str"><v>Facebook»AZR»1x1»NA»EGV»ALL»DYN»AUT»D»All»SS»NA»Free Acc CTC - T2 - EN</v></cell><cell r="AH2301"><v>223691840</v></cell><cell r="AI2301" t="str"><v>AzurePlatform_FBCTCBrandinMotion_CAN_12s_ISV_PLAT_English_Trial_Standard_STAN_TN_T2_1</v></cell><cell r="AJ2301"><v>102902950</v></cell></row><row r="2302"><cell r="C2302" t="str"><v>43298Facebook»AZR»1x1»NA»EGV»ALL»DYN»AUT»D»All»SS»NA»Free Acc CTC - T2 - FR</v></cell><cell r="D2302" t="str"><v>43298223691798</v></cell><cell r="E2302" t="str"><v>432981029163472 - FR</v></cell><cell r="F2302" t="str"><v>DCM</v></cell><cell r="G2302" t="str"><v>https://signup.azure.com/</v></cell></row><row r="2302"><cell r="K2302" t="str"><v>July</v></cell><cell r="L2302"><v>43302</v></cell><cell r="M2302" t="str"><v>Tier 1</v></cell><cell r="N2302" t="str"><v>North America</v></cell><cell r="O2302" t="str"><v>Canada</v></cell><cell r="P2302" t="str"><v>Trial</v></cell><cell r="Q2302" t="str"><v>Social</v></cell><cell r="R2302" t="str"><v>Azure</v></cell><cell r="S2302" t="str"><v>Apps & Infra</v></cell><cell r="T2302" t="str"><v>Developers & ITI's</v></cell><cell r="U2302" t="str"><v>AZR</v></cell><cell r="V2302" t="str"><v>Audience Targeting</v></cell><cell r="W2302" t="str"><v>Engagement Video</v></cell><cell r="X2302" t="str"><v>1x1</v></cell></row><row r="2302"><cell r="AA2302"><v>43298</v></cell><cell r="AB2302" t="str"><v>CAN_gaPMG_AZR_AZR_Q1_19_Trial-Social</v></cell><cell r="AC2302"><v>21337220</v></cell><cell r="AD2302"><v>720192</v></cell><cell r="AE2302" t="str"><v>Facebook</v></cell><cell r="AF2302"><v>3654128</v></cell><cell r="AG2302" t="str"><v>Facebook»AZR»1x1»NA»EGV»ALL»DYN»AUT»D»All»SS»NA»Free Acc CTC - T2 - FR</v></cell><cell r="AH2302"><v>223691798</v></cell><cell r="AI2302" t="str"><v>AzurePlatform_FBCTCBrandinMotion_CAN_12s_ISV_PLAT_FR_Trial_Standard_STAN_TN_T2_1</v></cell><cell r="AJ2302"><v>102916347</v></cell></row><row r="2303"><cell r="C2303" t="str"><v>43298Facebook»AZR»1x1»NA»EGV»ALL»DYN»AUT»D»All»SS»NA»Free Acc CTC - T4 - EN</v></cell><cell r="D2303" t="str"><v>43298223691837</v></cell><cell r="E2303" t="str"><v>432981030533144 - EN</v></cell><cell r="F2303" t="str"><v>DCM</v></cell><cell r="G2303" t="str"><v>https://signup.azure.com/</v></cell></row><row r="2303"><cell r="K2303" t="str"><v>July</v></cell><cell r="L2303"><v>43302</v></cell><cell r="M2303" t="str"><v>Tier 1</v></cell><cell r="N2303" t="str"><v>North America</v></cell><cell r="O2303" t="str"><v>Canada</v></cell><cell r="P2303" t="str"><v>Trial</v></cell><cell r="Q2303" t="str"><v>Social</v></cell><cell r="R2303" t="str"><v>Azure</v></cell><cell r="S2303" t="str"><v>Apps & Infra</v></cell><cell r="T2303" t="str"><v>Developers & ITI's</v></cell><cell r="U2303" t="str"><v>AZR</v></cell><cell r="V2303" t="str"><v>Audience Targeting</v></cell><cell r="W2303" t="str"><v>Engagement Video</v></cell><cell r="X2303" t="str"><v>1x1</v></cell></row><row r="2303"><cell r="AA2303"><v>43298</v></cell><cell r="AB2303" t="str"><v>CAN_gaPMG_AZR_AZR_Q1_19_Trial-Social</v></cell><cell r="AC2303"><v>21337220</v></cell><cell r="AD2303"><v>720192</v></cell><cell r="AE2303" t="str"><v>Facebook</v></cell><cell r="AF2303"><v>3654128</v></cell><cell r="AG2303" t="str"><v>Facebook»AZR»1x1»NA»EGV»ALL»DYN»AUT»D»All»SS»NA»Free Acc CTC - T4 - EN</v></cell><cell r="AH2303"><v>223691837</v></cell><cell r="AI2303" t="str"><v>AzurePlatform_FBCTCBenefit2inMotion_CAN_14s_ISV_PLAT_English_Trial_Standard_STAN_TN_T4_1</v></cell><cell r="AJ2303"><v>103053314</v></cell></row><row r="2304"><cell r="C2304" t="str"><v>43298Facebook»AZR»1x1»NA»EGV»ALL»DYN»AUT»D»All»SS»NA»Free Acc CTC - T4 - FR</v></cell><cell r="D2304" t="str"><v>43298223691795</v></cell><cell r="E2304" t="str"><v>432981029006884 - FR</v></cell><cell r="F2304" t="str"><v>DCM</v></cell><cell r="G2304" t="str"><v>https://signup.azure.com/</v></cell></row><row r="2304"><cell r="K2304" t="str"><v>July</v></cell><cell r="L2304"><v>43302</v></cell><cell r="M2304" t="str"><v>Tier 1</v></cell><cell r="N2304" t="str"><v>North America</v></cell><cell r="O2304" t="str"><v>Canada</v></cell><cell r="P2304" t="str"><v>Trial</v></cell><cell r="Q2304" t="str"><v>Social</v></cell><cell r="R2304" t="str"><v>Azure</v></cell><cell r="S2304" t="str"><v>Apps & Infra</v></cell><cell r="T2304" t="str"><v>Developers & ITI's</v></cell><cell r="U2304" t="str"><v>AZR</v></cell><cell r="V2304" t="str"><v>Audience Targeting</v></cell><cell r="W2304" t="str"><v>Engagement Video</v></cell><cell r="X2304" t="str"><v>1x1</v></cell></row><row r="2304"><cell r="AA2304"><v>43298</v></cell><cell r="AB2304" t="str"><v>CAN_gaPMG_AZR_AZR_Q1_19_Trial-Social</v></cell><cell r="AC2304"><v>21337220</v></cell><cell r="AD2304"><v>720192</v></cell><cell r="AE2304" t="str"><v>Facebook</v></cell><cell r="AF2304"><v>3654128</v></cell><cell r="AG2304" t="str"><v>Facebook»AZR»1x1»NA»EGV»ALL»DYN»AUT»D»All»SS»NA»Free Acc CTC - T4 - FR</v></cell><cell r="AH2304"><v>223691795</v></cell><cell r="AI2304" t="str"><v>AzurePlatform_FBCTCBenefit2inMotion_CAN_14s_ISV_PLAT_FR_Trial_Standard_STAN_TN_T4_1</v></cell><cell r="AJ2304"><v>102900688</v></cell></row><row r="2305"><cell r="C2305" t="str"><v>43298Facebook»AZR»1x1»NA»SOC»ALL»DYN»PRO»D»All»SS»NA»Canvas - Buy Now - EN</v></cell><cell r="D2305" t="str"><v>43298225322327</v></cell><cell r="E2305" t="str"><v>43298103902287w - EN</v></cell><cell r="F2305" t="str"><v>DCM</v></cell><cell r="G2305" t="str"><v>https://azure.microsoft.com/en-ca/pricing/purchase-options/</v></cell></row><row r="2305"><cell r="K2305" t="str"><v>July</v></cell><cell r="L2305"><v>43302</v></cell><cell r="M2305" t="str"><v>Tier 1</v></cell><cell r="N2305" t="str"><v>North America</v></cell><cell r="O2305" t="str"><v>Canada</v></cell><cell r="P2305" t="str"><v>Trial</v></cell><cell r="Q2305" t="str"><v>Social</v></cell><cell r="R2305" t="str"><v>Azure</v></cell><cell r="S2305" t="str"><v>Apps & Infra</v></cell><cell r="T2305" t="str"><v>Developers & ITI's</v></cell><cell r="U2305" t="str"><v>AZR</v></cell><cell r="V2305" t="str"><v>Prospecting</v></cell><cell r="W2305" t="str"><v>Social</v></cell><cell r="X2305" t="str"><v>1x1</v></cell></row><row r="2305"><cell r="AA2305"><v>43298</v></cell><cell r="AB2305" t="str"><v>CAN_gaPMG_AZR_AZR_Q1_19_Trial-Social</v></cell><cell r="AC2305"><v>21337220</v></cell><cell r="AD2305"><v>720192</v></cell><cell r="AE2305" t="str"><v>Facebook</v></cell><cell r="AF2305"><v>3654128</v></cell><cell r="AG2305" t="str"><v>Facebook»AZR»1x1»NA»SOC»ALL»DYN»PRO»D»All»SS»NA»Canvas - Buy Now - EN</v></cell><cell r="AH2305"><v>225322327</v></cell><cell r="AI2305" t="str"><v>AzurePlatform_FBCTCcanvaspage-BuyNowCTA-Img3_CAN_1080x162_SOC_Plat_English_NA_Standard_NA_BN_T3_1</v></cell><cell r="AJ2305"><v>103902287</v></cell></row><row r="2306"><cell r="C2306" t="str"><v>43298Facebook»AZR»1x1»NA»SOC»ALL»DYN»PRO»D»All»SS»NA»Canvas - Start Free - EN</v></cell><cell r="D2306" t="str"><v>43298225252365</v></cell><cell r="E2306" t="str"><v>43298103807590e - EN</v></cell><cell r="F2306" t="str"><v>DCM</v></cell><cell r="G2306" t="str"><v>https://signup.azure.com/signup?offer=ms-azr-0044p&appId=102&ref=paidmedia-social-fb&redirectURL=https%3a%2f%2fazure.microsoft.com%2fen-ca%2fget-started%2fwelcome-to-azure%2f&l=en-ca&correlationId=ead86c34-1f10-49dd-a72b-6918462a2cbf</v></cell></row><row r="2306"><cell r="K2306" t="str"><v>July</v></cell><cell r="L2306"><v>43302</v></cell><cell r="M2306" t="str"><v>Tier 1</v></cell><cell r="N2306" t="str"><v>North America</v></cell><cell r="O2306" t="str"><v>Canada</v></cell><cell r="P2306" t="str"><v>Trial</v></cell><cell r="Q2306" t="str"><v>Social</v></cell><cell r="R2306" t="str"><v>Azure</v></cell><cell r="S2306" t="str"><v>Apps & Infra</v></cell><cell r="T2306" t="str"><v>Developers & ITI's</v></cell><cell r="U2306" t="str"><v>AZR</v></cell><cell r="V2306" t="str"><v>Prospecting</v></cell><cell r="W2306" t="str"><v>Social</v></cell><cell r="X2306" t="str"><v>1x1</v></cell></row><row r="2306"><cell r="AA2306"><v>43298</v></cell><cell r="AB2306" t="str"><v>CAN_gaPMG_AZR_AZR_Q1_19_Trial-Social</v></cell><cell r="AC2306"><v>21337220</v></cell><cell r="AD2306"><v>720192</v></cell><cell r="AE2306" t="str"><v>Facebook</v></cell><cell r="AF2306"><v>3654128</v></cell><cell r="AG2306" t="str"><v>Facebook»AZR»1x1»NA»SOC»ALL»DYN»PRO»D»All»SS»NA»Canvas - Start Free - EN</v></cell><cell r="AH2306"><v>225252365</v></cell><cell r="AI2306" t="str"><v>AzurePlatform_FBCTCcanvaspage-StartFreeCTA-Img2_CAN_1080x143 _SOC_Plat_English_NA_Standard_NA_NA_T2_1</v></cell><cell r="AJ2306"><v>103807590</v></cell></row><row r="2307"><cell r="C2307" t="str"><v>43298Facebook»AZR»1x1»SocialBan»NA»ALL»DYN»AUT»D»All»SS»NA»Free Acc Refresh - T1 - EN</v></cell><cell r="D2307" t="str"><v>43298223691804</v></cell><cell r="E2307" t="str"><v>432981030587171 - EN</v></cell><cell r="F2307" t="str"><v>DCM</v></cell><cell r="G2307" t="str"><v>https://azure.microsoft.com/en-CA/free/search/</v></cell></row><row r="2307"><cell r="K2307" t="str"><v>July</v></cell><cell r="L2307"><v>43302</v></cell><cell r="M2307" t="str"><v>Tier 1</v></cell><cell r="N2307" t="str"><v>North America</v></cell><cell r="O2307" t="str"><v>Canada</v></cell><cell r="P2307" t="str"><v>Trial</v></cell><cell r="Q2307" t="str"><v>Social</v></cell><cell r="R2307" t="str"><v>Azure</v></cell><cell r="S2307" t="str"><v>Apps & Infra</v></cell><cell r="T2307" t="str"><v>Developers & ITI's</v></cell><cell r="U2307" t="str"><v>AZR</v></cell><cell r="V2307" t="str"><v>Audience Targeting</v></cell><cell r="W2307" t="str"><v>NotApplicable</v></cell><cell r="X2307" t="str"><v>1x1</v></cell></row><row r="2307"><cell r="AA2307"><v>43298</v></cell><cell r="AB2307" t="str"><v>CAN_gaPMG_AZR_AZR_Q1_19_Trial-Social</v></cell><cell r="AC2307"><v>21337220</v></cell><cell r="AD2307"><v>720192</v></cell><cell r="AE2307" t="str"><v>Facebook</v></cell><cell r="AF2307"><v>3654128</v></cell><cell r="AG2307" t="str"><v>Facebook»AZR»1x1»SocialBan»NA»ALL»DYN»AUT»D»All»SS»NA»Free Acc Refresh - T1 - EN</v></cell><cell r="AH2307"><v>223691804</v></cell><cell r="AI2307" t="str"><v>AzurePlatform_FreeAcctAppsFACEBOOKLifestyleChA_CAN_1200x628_SOC_PLAT_EN_Trial_Standard_NA_SU_T1_1.png</v></cell><cell r="AJ2307"><v>103058717</v></cell></row><row r="2308"><cell r="C2308" t="str"><v>43298Facebook»AZR»1x1»SocialBan»NA»ALL»DYN»AUT»D»All»SS»NA»Free Acc Refresh - T2 - EN</v></cell><cell r="D2308" t="str"><v>43298223691810</v></cell><cell r="E2308" t="str"><v>432981030587112 - EN</v></cell><cell r="F2308" t="str"><v>DCM</v></cell><cell r="G2308" t="str"><v>https://azure.microsoft.com/en-CA/free/search/</v></cell></row><row r="2308"><cell r="K2308" t="str"><v>July</v></cell><cell r="L2308"><v>43302</v></cell><cell r="M2308" t="str"><v>Tier 1</v></cell><cell r="N2308" t="str"><v>North America</v></cell><cell r="O2308" t="str"><v>Canada</v></cell><cell r="P2308" t="str"><v>Trial</v></cell><cell r="Q2308" t="str"><v>Social</v></cell><cell r="R2308" t="str"><v>Azure</v></cell><cell r="S2308" t="str"><v>Apps & Infra</v></cell><cell r="T2308" t="str"><v>Developers & ITI's</v></cell><cell r="U2308" t="str"><v>AZR</v></cell><cell r="V2308" t="str"><v>Audience Targeting</v></cell><cell r="W2308" t="str"><v>NotApplicable</v></cell><cell r="X2308" t="str"><v>1x1</v></cell></row><row r="2308"><cell r="AA2308"><v>43298</v></cell><cell r="AB2308" t="str"><v>CAN_gaPMG_AZR_AZR_Q1_19_Trial-Social</v></cell><cell r="AC2308"><v>21337220</v></cell><cell r="AD2308"><v>720192</v></cell><cell r="AE2308" t="str"><v>Facebook</v></cell><cell r="AF2308"><v>3654128</v></cell><cell r="AG2308" t="str"><v>Facebook»AZR»1x1»SocialBan»NA»ALL»DYN»AUT»D»All»SS»NA»Free Acc Refresh - T2 - EN</v></cell><cell r="AH2308"><v>223691810</v></cell><cell r="AI2308" t="str"><v>AzurePlatform_FreeAcctAppsFACEBOOKDeviceChB_CAN_1200x628_SOC_PLAT_EN_Trial_Standard_NA_SU_T2_1.png</v></cell><cell r="AJ2308"><v>103058711</v></cell></row><row r="2309"><cell r="C2309" t="str"><v>43298Facebook»AZR»1x1»SocialBan»NA»ALL»DYN»AUT»D»All»SS»NA»Free Acc Refresh - T2 - FR</v></cell><cell r="D2309" t="str"><v>43298223691768</v></cell><cell r="E2309" t="str"><v>432981029029712 - FR</v></cell><cell r="F2309" t="str"><v>DCM</v></cell><cell r="G2309" t="str"><v>https://azure.microsoft.com/fr-ca/free/search/</v></cell></row><row r="2309"><cell r="K2309" t="str"><v>July</v></cell><cell r="L2309"><v>43302</v></cell><cell r="M2309" t="str"><v>Tier 1</v></cell><cell r="N2309" t="str"><v>North America</v></cell><cell r="O2309" t="str"><v>Canada</v></cell><cell r="P2309" t="str"><v>Trial</v></cell><cell r="Q2309" t="str"><v>Social</v></cell><cell r="R2309" t="str"><v>Azure</v></cell><cell r="S2309" t="str"><v>Apps & Infra</v></cell><cell r="T2309" t="str"><v>Developers & ITI's</v></cell><cell r="U2309" t="str"><v>AZR</v></cell><cell r="V2309" t="str"><v>Audience Targeting</v></cell><cell r="W2309" t="str"><v>NotApplicable</v></cell><cell r="X2309" t="str"><v>1x1</v></cell></row><row r="2309"><cell r="AA2309"><v>43298</v></cell><cell r="AB2309" t="str"><v>CAN_gaPMG_AZR_AZR_Q1_19_Trial-Social</v></cell><cell r="AC2309"><v>21337220</v></cell><cell r="AD2309"><v>720192</v></cell><cell r="AE2309" t="str"><v>Facebook</v></cell><cell r="AF2309"><v>3654128</v></cell><cell r="AG2309" t="str"><v>Facebook»AZR»1x1»SocialBan»NA»ALL»DYN»AUT»D»All»SS»NA»Free Acc Refresh - T2 - FR</v></cell><cell r="AH2309"><v>223691768</v></cell><cell r="AI2309" t="str"><v>AzurePlatform_FreeAcctAppsFACEBOOKDeviceChB_CAN_1200x628_SOC_PLAT_FR_Trial_Standard_NA_SU_T2_1.png</v></cell><cell r="AJ2309"><v>102902971</v></cell></row><row r="2310"><cell r="C2310" t="str"><v>43298Facebook»AZR»1x1»SocialBan»NA»ALL»DYN»AUT»D»All»SS»NA»Free Acc Refresh - T3 - EN</v></cell><cell r="D2310" t="str"><v>43298223691807</v></cell><cell r="E2310" t="str"><v>432981029006853 - EN</v></cell><cell r="F2310" t="str"><v>DCM</v></cell><cell r="G2310" t="str"><v>https://azure.microsoft.com/en-CA/free/search/</v></cell></row><row r="2310"><cell r="K2310" t="str"><v>July</v></cell><cell r="L2310"><v>43302</v></cell><cell r="M2310" t="str"><v>Tier 1</v></cell><cell r="N2310" t="str"><v>North America</v></cell><cell r="O2310" t="str"><v>Canada</v></cell><cell r="P2310" t="str"><v>Trial</v></cell><cell r="Q2310" t="str"><v>Social</v></cell><cell r="R2310" t="str"><v>Azure</v></cell><cell r="S2310" t="str"><v>Apps & Infra</v></cell><cell r="T2310" t="str"><v>Developers & ITI's</v></cell><cell r="U2310" t="str"><v>AZR</v></cell><cell r="V2310" t="str"><v>Audience Targeting</v></cell><cell r="W2310" t="str"><v>NotApplicable</v></cell><cell r="X2310" t="str"><v>1x1</v></cell></row><row r="2310"><cell r="AA2310"><v>43298</v></cell><cell r="AB2310" t="str"><v>CAN_gaPMG_AZR_AZR_Q1_19_Trial-Social</v></cell><cell r="AC2310"><v>21337220</v></cell><cell r="AD2310"><v>720192</v></cell><cell r="AE2310" t="str"><v>Facebook</v></cell><cell r="AF2310"><v>3654128</v></cell><cell r="AG2310" t="str"><v>Facebook»AZR»1x1»SocialBan»NA»ALL»DYN»AUT»D»All»SS»NA»Free Acc Refresh - T3 - EN</v></cell><cell r="AH2310"><v>223691807</v></cell><cell r="AI2310" t="str"><v>AzurePlatform_FreeAcctAppsFACEBOOKIllustrationChC_CAN_1200x628_SOC_PLAT_EN_Trial_Standard_NA_SU_T3_1.png</v></cell><cell r="AJ2310"><v>102900685</v></cell></row><row r="2311"><cell r="C2311" t="str"><v>43298Facebook»AZR»1x1»SocialBan»NA»ALL»DYN»AUT»D»All»SS»NA»Free Acc Refresh - T3 - FR</v></cell><cell r="D2311" t="str"><v>43298223691765</v></cell><cell r="E2311" t="str"><v>432981030533323 - FR</v></cell><cell r="F2311" t="str"><v>DCM</v></cell><cell r="G2311" t="str"><v>https://azure.microsoft.com/fr-ca/free/search/</v></cell></row><row r="2311"><cell r="K2311" t="str"><v>July</v></cell><cell r="L2311"><v>43302</v></cell><cell r="M2311" t="str"><v>Tier 1</v></cell><cell r="N2311" t="str"><v>North America</v></cell><cell r="O2311" t="str"><v>Canada</v></cell><cell r="P2311" t="str"><v>Trial</v></cell><cell r="Q2311" t="str"><v>Social</v></cell><cell r="R2311" t="str"><v>Azure</v></cell><cell r="S2311" t="str"><v>Apps & Infra</v></cell><cell r="T2311" t="str"><v>Developers & ITI's</v></cell><cell r="U2311" t="str"><v>AZR</v></cell><cell r="V2311" t="str"><v>Audience Targeting</v></cell><cell r="W2311" t="str"><v>NotApplicable</v></cell><cell r="X2311" t="str"><v>1x1</v></cell></row><row r="2311"><cell r="AA2311"><v>43298</v></cell><cell r="AB2311" t="str"><v>CAN_gaPMG_AZR_AZR_Q1_19_Trial-Social</v></cell><cell r="AC2311"><v>21337220</v></cell><cell r="AD2311"><v>720192</v></cell><cell r="AE2311" t="str"><v>Facebook</v></cell><cell r="AF2311"><v>3654128</v></cell><cell r="AG2311" t="str"><v>Facebook»AZR»1x1»SocialBan»NA»ALL»DYN»AUT»D»All»SS»NA»Free Acc Refresh - T3 - FR</v></cell><cell r="AH2311"><v>223691765</v></cell><cell r="AI2311" t="str"><v>AzurePlatform_FreeAcctAppsFACEBOOKIllustrationChC_CAN_1200x628_SOC_PLAT_FR_Trial_Standard_NA_SU_T3_1.png</v></cell><cell r="AJ2311"><v>103053332</v></cell></row><row r="2312"><cell r="C2312" t="str"><v>43298Facebook»AZR»1x1»SocialBan»NA»ALL»DYN»AUT»D»All»SS»NA»Free Acc Refresh - T4 - EN</v></cell><cell r="D2312" t="str"><v>43298223691813</v></cell><cell r="E2312" t="str"><v>432981030533204 - EN</v></cell><cell r="F2312" t="str"><v>DCM</v></cell><cell r="G2312" t="str"><v>https://azure.microsoft.com/en-CA/free/search/</v></cell></row><row r="2312"><cell r="K2312" t="str"><v>July</v></cell><cell r="L2312"><v>43302</v></cell><cell r="M2312" t="str"><v>Tier 1</v></cell><cell r="N2312" t="str"><v>North America</v></cell><cell r="O2312" t="str"><v>Canada</v></cell><cell r="P2312" t="str"><v>Trial</v></cell><cell r="Q2312" t="str"><v>Social</v></cell><cell r="R2312" t="str"><v>Azure</v></cell><cell r="S2312" t="str"><v>Apps & Infra</v></cell><cell r="T2312" t="str"><v>Developers & ITI's</v></cell><cell r="U2312" t="str"><v>AZR</v></cell><cell r="V2312" t="str"><v>Audience Targeting</v></cell><cell r="W2312" t="str"><v>NotApplicable</v></cell><cell r="X2312" t="str"><v>1x1</v></cell></row><row r="2312"><cell r="AA2312"><v>43298</v></cell><cell r="AB2312" t="str"><v>CAN_gaPMG_AZR_AZR_Q1_19_Trial-Social</v></cell><cell r="AC2312"><v>21337220</v></cell><cell r="AD2312"><v>720192</v></cell><cell r="AE2312" t="str"><v>Facebook</v></cell><cell r="AF2312"><v>3654128</v></cell><cell r="AG2312" t="str"><v>Facebook»AZR»1x1»SocialBan»NA»ALL»DYN»AUT»D»All»SS»NA»Free Acc Refresh - T4 - EN</v></cell><cell r="AH2312"><v>223691813</v></cell><cell r="AI2312" t="str"><v>AzurePlatform_FreeAcctAppsFACEBOOK200CreditChD_CAN_1200x628_SOC_PLAT_EN_Trial_Standard_NA_SU_T4_1.png</v></cell><cell r="AJ2312"><v>103053320</v></cell></row><row r="2313"><cell r="C2313" t="str"><v>43298Facebook»AZR»1x1»SocialBan»NA»ALL»DYN»AUT»D»All»SS»NA»Free Acc Refresh - T5 - EN</v></cell><cell r="D2313" t="str"><v>43298223691816</v></cell><cell r="E2313" t="str"><v>432981029163415 - EN</v></cell><cell r="F2313" t="str"><v>DCM</v></cell><cell r="G2313" t="str"><v>https://azure.microsoft.com/en-CA/free/search/</v></cell></row><row r="2313"><cell r="K2313" t="str"><v>July</v></cell><cell r="L2313"><v>43302</v></cell><cell r="M2313" t="str"><v>Tier 1</v></cell><cell r="N2313" t="str"><v>North America</v></cell><cell r="O2313" t="str"><v>Canada</v></cell><cell r="P2313" t="str"><v>Trial</v></cell><cell r="Q2313" t="str"><v>Social</v></cell><cell r="R2313" t="str"><v>Azure</v></cell><cell r="S2313" t="str"><v>Apps & Infra</v></cell><cell r="T2313" t="str"><v>Developers & ITI's</v></cell><cell r="U2313" t="str"><v>AZR</v></cell><cell r="V2313" t="str"><v>Audience Targeting</v></cell><cell r="W2313" t="str"><v>NotApplicable</v></cell><cell r="X2313" t="str"><v>1x1</v></cell></row><row r="2313"><cell r="AA2313"><v>43298</v></cell><cell r="AB2313" t="str"><v>CAN_gaPMG_AZR_AZR_Q1_19_Trial-Social</v></cell><cell r="AC2313"><v>21337220</v></cell><cell r="AD2313"><v>720192</v></cell><cell r="AE2313" t="str"><v>Facebook</v></cell><cell r="AF2313"><v>3654128</v></cell><cell r="AG2313" t="str"><v>Facebook»AZR»1x1»SocialBan»NA»ALL»DYN»AUT»D»All»SS»NA»Free Acc Refresh - T5 - EN</v></cell><cell r="AH2313"><v>223691816</v></cell><cell r="AI2313" t="str"><v>AzurePlatform_FreeAcctAppsFACEBOOK12monthsChE_CAN_1200x628_SOC_PLAT_EN_Trial_Standard_NA_SU_T5_1.png</v></cell><cell r="AJ2313"><v>102916341</v></cell></row><row r="2314"><cell r="C2314" t="str"><v>43298Facebook»AZR»1x1»SocialBan»NA»ALL»DYN»AUT»D»All»SS»NA»Free Acc Refresh - T5 - FR</v></cell><cell r="D2314" t="str"><v>43298223691774</v></cell><cell r="E2314" t="str"><v>432981029163565 - FR</v></cell><cell r="F2314" t="str"><v>DCM</v></cell><cell r="G2314" t="str"><v>https://azure.microsoft.com/fr-ca/free/search/</v></cell></row><row r="2314"><cell r="K2314" t="str"><v>July</v></cell><cell r="L2314"><v>43302</v></cell><cell r="M2314" t="str"><v>Tier 1</v></cell><cell r="N2314" t="str"><v>North America</v></cell><cell r="O2314" t="str"><v>Canada</v></cell><cell r="P2314" t="str"><v>Trial</v></cell><cell r="Q2314" t="str"><v>Social</v></cell><cell r="R2314" t="str"><v>Azure</v></cell><cell r="S2314" t="str"><v>Apps & Infra</v></cell><cell r="T2314" t="str"><v>Developers & ITI's</v></cell><cell r="U2314" t="str"><v>AZR</v></cell><cell r="V2314" t="str"><v>Audience Targeting</v></cell><cell r="W2314" t="str"><v>NotApplicable</v></cell><cell r="X2314" t="str"><v>1x1</v></cell></row><row r="2314"><cell r="AA2314"><v>43298</v></cell><cell r="AB2314" t="str"><v>CAN_gaPMG_AZR_AZR_Q1_19_Trial-Social</v></cell><cell r="AC2314"><v>21337220</v></cell><cell r="AD2314"><v>720192</v></cell><cell r="AE2314" t="str"><v>Facebook</v></cell><cell r="AF2314"><v>3654128</v></cell><cell r="AG2314" t="str"><v>Facebook»AZR»1x1»SocialBan»NA»ALL»DYN»AUT»D»All»SS»NA»Free Acc Refresh - T5 - FR</v></cell><cell r="AH2314"><v>223691774</v></cell><cell r="AI2314" t="str"><v>AzurePlatform_FreeAcctAppsFACEBOOK12monthsChE_CAN_1200x628_SOC_PLAT_FR_Trial_Standard_NA_SU_T5_1.png</v></cell><cell r="AJ2314"><v>102916356</v></cell></row><row r="2315"><cell r="C2315" t="str"><v>43298Facebook»AZR»1x1»SocialBan»NA»ALL»DYN»RT»D»All»SS»NA» Free Account Retargeting OSS - T1 - EN</v></cell><cell r="D2315" t="str"><v>43298223691828</v></cell><cell r="E2315" t="str"><v>432981029029561 - EN</v></cell><cell r="F2315" t="str"><v>DCM</v></cell><cell r="G2315" t="str"><v>https://azure.microsoft.com/en-ca/free/open-source/search/</v></cell></row><row r="2315"><cell r="K2315" t="str"><v>July</v></cell><cell r="L2315"><v>43302</v></cell><cell r="M2315" t="str"><v>Tier 1</v></cell><cell r="N2315" t="str"><v>North America</v></cell><cell r="O2315" t="str"><v>Canada</v></cell><cell r="P2315" t="str"><v>Trial</v></cell><cell r="Q2315" t="str"><v>Social</v></cell><cell r="R2315" t="str"><v>Azure</v></cell><cell r="S2315" t="str"><v>Apps & Infra</v></cell><cell r="T2315" t="str"><v>Developers & ITI's</v></cell><cell r="U2315" t="str"><v>AZR</v></cell><cell r="V2315" t="str"><v>Retargeting</v></cell><cell r="W2315" t="str"><v>NotApplicable</v></cell><cell r="X2315" t="str"><v>1x1</v></cell></row><row r="2315"><cell r="AA2315"><v>43298</v></cell><cell r="AB2315" t="str"><v>CAN_gaPMG_AZR_AZR_Q1_19_Trial-Social</v></cell><cell r="AC2315"><v>21337220</v></cell><cell r="AD2315"><v>720192</v></cell><cell r="AE2315" t="str"><v>Facebook</v></cell><cell r="AF2315"><v>3654128</v></cell><cell r="AG2315" t="str"><v>Facebook»AZR»1x1»SocialBan»NA»ALL»DYN»RT»D»All»SS»NA» Free Account Retargeting OSS - T1 - EN</v></cell><cell r="AH2315"><v>223691828</v></cell><cell r="AI2315" t="str"><v>AzurePlatform_FreeAcctRetargetingOSSFB-Text-ChF_CAN_1200x628_SOC_Plat_EN_Free Account_Standard_NA_SU_T1_1</v></cell><cell r="AJ2315"><v>102902956</v></cell></row><row r="2316"><cell r="C2316" t="str"><v>43298Facebook»AZR»1x1»SocialBan»NA»ALL»DYN»RT»D»All»SS»NA» Free Account Retargeting OSS - T1 - FR</v></cell><cell r="D2316" t="str"><v>43298223691786</v></cell><cell r="E2316" t="str"><v>432981030587201 - FR</v></cell><cell r="F2316" t="str"><v>DCM</v></cell><cell r="G2316" t="str"><v>https://azure.microsoft.com/fr-ca/free/open-source/search/</v></cell></row><row r="2316"><cell r="K2316" t="str"><v>July</v></cell><cell r="L2316"><v>43302</v></cell><cell r="M2316" t="str"><v>Tier 1</v></cell><cell r="N2316" t="str"><v>North America</v></cell><cell r="O2316" t="str"><v>Canada</v></cell><cell r="P2316" t="str"><v>Trial</v></cell><cell r="Q2316" t="str"><v>Social</v></cell><cell r="R2316" t="str"><v>Azure</v></cell><cell r="S2316" t="str"><v>Apps & Infra</v></cell><cell r="T2316" t="str"><v>Developers & ITI's</v></cell><cell r="U2316" t="str"><v>AZR</v></cell><cell r="V2316" t="str"><v>Retargeting</v></cell><cell r="W2316" t="str"><v>NotApplicable</v></cell><cell r="X2316" t="str"><v>1x1</v></cell></row><row r="2316"><cell r="AA2316"><v>43298</v></cell><cell r="AB2316" t="str"><v>CAN_gaPMG_AZR_AZR_Q1_19_Trial-Social</v></cell><cell r="AC2316"><v>21337220</v></cell><cell r="AD2316"><v>720192</v></cell><cell r="AE2316" t="str"><v>Facebook</v></cell><cell r="AF2316"><v>3654128</v></cell><cell r="AG2316" t="str"><v>Facebook»AZR»1x1»SocialBan»NA»ALL»DYN»RT»D»All»SS»NA» Free Account Retargeting OSS - T1 - FR</v></cell><cell r="AH2316"><v>223691786</v></cell><cell r="AI2316" t="str"><v>AzurePlatform_FreeAcctRetargetingOSSFB-Text-ChF_CAN_1200x628_SOC_Plat_FR_Free Account_Standard_NA_SU_T1_1</v></cell><cell r="AJ2316"><v>103058720</v></cell></row><row r="2317"><cell r="C2317" t="str"><v>43298Facebook»AZR»1x1»SocialBan»NA»ALL»DYN»RT»D»All»SS»NA» Free Account Retargeting OSS - T2 - EN</v></cell><cell r="D2317" t="str"><v>43298223691831</v></cell><cell r="E2317" t="str"><v>432981029138002 - EN</v></cell><cell r="F2317" t="str"><v>DCM</v></cell><cell r="G2317" t="str"><v>https://azure.microsoft.com/en-ca/free/open-source/search/</v></cell></row><row r="2317"><cell r="K2317" t="str"><v>July</v></cell><cell r="L2317"><v>43302</v></cell><cell r="M2317" t="str"><v>Tier 1</v></cell><cell r="N2317" t="str"><v>North America</v></cell><cell r="O2317" t="str"><v>Canada</v></cell><cell r="P2317" t="str"><v>Trial</v></cell><cell r="Q2317" t="str"><v>Social</v></cell><cell r="R2317" t="str"><v>Azure</v></cell><cell r="S2317" t="str"><v>Apps & Infra</v></cell><cell r="T2317" t="str"><v>Developers & ITI's</v></cell><cell r="U2317" t="str"><v>AZR</v></cell><cell r="V2317" t="str"><v>Retargeting</v></cell><cell r="W2317" t="str"><v>NotApplicable</v></cell><cell r="X2317" t="str"><v>1x1</v></cell></row><row r="2317"><cell r="AA2317"><v>43298</v></cell><cell r="AB2317" t="str"><v>CAN_gaPMG_AZR_AZR_Q1_19_Trial-Social</v></cell><cell r="AC2317"><v>21337220</v></cell><cell r="AD2317"><v>720192</v></cell><cell r="AE2317" t="str"><v>Facebook</v></cell><cell r="AF2317"><v>3654128</v></cell><cell r="AG2317" t="str"><v>Facebook»AZR»1x1»SocialBan»NA»ALL»DYN»RT»D»All»SS»NA» Free Account Retargeting OSS - T2 - EN</v></cell><cell r="AH2317"><v>223691831</v></cell><cell r="AI2317" t="str"><v>AzurePlatform_FreeAcctRetargetingOSSFB-Logos-ChG_CAN_1200x628_SOC_Plat_EN_Free Account_Standard_NA_SU_T2_1</v></cell><cell r="AJ2317"><v>102913800</v></cell></row><row r="2318"><cell r="C2318" t="str"><v>43298Facebook»AZR»1x1»SocialBan»NA»ALL»DYN»RT»D»All»SS»NA»Free Account Retargeting Generic - T2 - EN</v></cell><cell r="D2318" t="str"><v>43298223691834</v></cell><cell r="E2318" t="str"><v>432981029029532 - EN</v></cell><cell r="F2318" t="str"><v>DCM</v></cell><cell r="G2318" t="str"><v>https://azure.microsoft.com/en-CA/free/search/</v></cell></row><row r="2318"><cell r="K2318" t="str"><v>July</v></cell><cell r="L2318"><v>43302</v></cell><cell r="M2318" t="str"><v>Tier 1</v></cell><cell r="N2318" t="str"><v>North America</v></cell><cell r="O2318" t="str"><v>Canada</v></cell><cell r="P2318" t="str"><v>Trial</v></cell><cell r="Q2318" t="str"><v>Social</v></cell><cell r="R2318" t="str"><v>Azure</v></cell><cell r="S2318" t="str"><v>Apps & Infra</v></cell><cell r="T2318" t="str"><v>Developers & ITI's</v></cell><cell r="U2318" t="str"><v>AZR</v></cell><cell r="V2318" t="str"><v>Retargeting</v></cell><cell r="W2318" t="str"><v>NotApplicable</v></cell><cell r="X2318" t="str"><v>1x1</v></cell></row><row r="2318"><cell r="AA2318"><v>43298</v></cell><cell r="AB2318" t="str"><v>CAN_gaPMG_AZR_AZR_Q1_19_Trial-Social</v></cell><cell r="AC2318"><v>21337220</v></cell><cell r="AD2318"><v>720192</v></cell><cell r="AE2318" t="str"><v>Facebook</v></cell><cell r="AF2318"><v>3654128</v></cell><cell r="AG2318" t="str"><v>Facebook»AZR»1x1»SocialBan»NA»ALL»DYN»RT»D»All»SS»NA»Free Account Retargeting Generic - T2 - EN</v></cell><cell r="AH2318"><v>223691834</v></cell><cell r="AI2318" t="str"><v>AzurePlatform_FreeAcctRetargetingFB-GlobalAlt-ChB_CAN_1200x628_SOC_Plat_EN_Free Account_Standard_NA_SU_T2_1</v></cell><cell r="AJ2318"><v>102902953</v></cell></row><row r="2319"><cell r="C2319" t="str"><v>43298Facebook»AZR»1x1»SocialBan»NA»ALL»DYN»RT»D»All»SS»NA»Free Account Retargeting VM - T1 - EN</v></cell><cell r="D2319" t="str"><v>43298223691825</v></cell><cell r="E2319" t="str"><v>432981029163381 - EN</v></cell><cell r="F2319" t="str"><v>DCM</v></cell><cell r="G2319" t="str"><v>https://azure.microsoft.com/en-ca/free/virtual-machines/search/</v></cell></row><row r="2319"><cell r="K2319" t="str"><v>July</v></cell><cell r="L2319"><v>43302</v></cell><cell r="M2319" t="str"><v>Tier 1</v></cell><cell r="N2319" t="str"><v>North America</v></cell><cell r="O2319" t="str"><v>Canada</v></cell><cell r="P2319" t="str"><v>Trial</v></cell><cell r="Q2319" t="str"><v>Social</v></cell><cell r="R2319" t="str"><v>Azure</v></cell><cell r="S2319" t="str"><v>Apps & Infra</v></cell><cell r="T2319" t="str"><v>Developers & ITI's</v></cell><cell r="U2319" t="str"><v>AZR</v></cell><cell r="V2319" t="str"><v>Retargeting</v></cell><cell r="W2319" t="str"><v>NotApplicable</v></cell><cell r="X2319" t="str"><v>1x1</v></cell></row><row r="2319"><cell r="AA2319"><v>43298</v></cell><cell r="AB2319" t="str"><v>CAN_gaPMG_AZR_AZR_Q1_19_Trial-Social</v></cell><cell r="AC2319"><v>21337220</v></cell><cell r="AD2319"><v>720192</v></cell><cell r="AE2319" t="str"><v>Facebook</v></cell><cell r="AF2319"><v>3654128</v></cell><cell r="AG2319" t="str"><v>Facebook»AZR»1x1»SocialBan»NA»ALL»DYN»RT»D»All»SS»NA»Free Account Retargeting VM - T1 - EN</v></cell><cell r="AH2319"><v>223691825</v></cell><cell r="AI2319" t="str"><v>AzurePlatform_FreeAcctRetargetingVMFB-750Hrs-ChD_CAN_1200x628_SOC_Plat_EN_Free Account_Standard_NA_SU_T1_1</v></cell><cell r="AJ2319"><v>102916338</v></cell></row><row r="2320"><cell r="C2320" t="str"><v>43298Facebook»AZR»1x1»SocialBan»NA»ALL»DYN»RT»D»All»SS»NA»Free Account Retargeting VM - T1 - FR</v></cell><cell r="D2320" t="str"><v>43298223691783</v></cell><cell r="E2320" t="str"><v>432981030587231 - FR</v></cell><cell r="F2320" t="str"><v>DCM</v></cell><cell r="G2320" t="str"><v>https://azure.microsoft.com/fr-ca/free/virtual-machines/search/</v></cell></row><row r="2320"><cell r="K2320" t="str"><v>July</v></cell><cell r="L2320"><v>43302</v></cell><cell r="M2320" t="str"><v>Tier 1</v></cell><cell r="N2320" t="str"><v>North America</v></cell><cell r="O2320" t="str"><v>Canada</v></cell><cell r="P2320" t="str"><v>Trial</v></cell><cell r="Q2320" t="str"><v>Social</v></cell><cell r="R2320" t="str"><v>Azure</v></cell><cell r="S2320" t="str"><v>Apps & Infra</v></cell><cell r="T2320" t="str"><v>Developers & ITI's</v></cell><cell r="U2320" t="str"><v>AZR</v></cell><cell r="V2320" t="str"><v>Retargeting</v></cell><cell r="W2320" t="str"><v>NotApplicable</v></cell><cell r="X2320" t="str"><v>1x1</v></cell></row><row r="2320"><cell r="AA2320"><v>43298</v></cell><cell r="AB2320" t="str"><v>CAN_gaPMG_AZR_AZR_Q1_19_Trial-Social</v></cell><cell r="AC2320"><v>21337220</v></cell><cell r="AD2320"><v>720192</v></cell><cell r="AE2320" t="str"><v>Facebook</v></cell><cell r="AF2320"><v>3654128</v></cell><cell r="AG2320" t="str"><v>Facebook»AZR»1x1»SocialBan»NA»ALL»DYN»RT»D»All»SS»NA»Free Account Retargeting VM - T1 - FR</v></cell><cell r="AH2320"><v>223691783</v></cell><cell r="AI2320" t="str"><v>AzurePlatform_FreeAcctRetargetingVMFB-750Hrs-ChD_CAN_1200x628_SOC_Plat_FR_Free Account_Standard_NA_SU_T1_1</v></cell><cell r="AJ2320"><v>103058723</v></cell></row><row r="2321"><cell r="C2321" t="str"><v>43298Facebook»AZR»1x1»SocialBan»NA»ALL»DYN»RT»D»All»SS»NA»Free Account Retargeting VM - T2 - FR</v></cell><cell r="D2321" t="str"><v>43298223691780</v></cell><cell r="E2321" t="str"><v>432981030587262 - FR</v></cell><cell r="F2321" t="str"><v>DCM</v></cell><cell r="G2321" t="str"><v>https://azure.microsoft.com/fr-ca/free/virtual-machines/search/</v></cell></row><row r="2321"><cell r="K2321" t="str"><v>July</v></cell><cell r="L2321"><v>43302</v></cell><cell r="M2321" t="str"><v>Tier 1</v></cell><cell r="N2321" t="str"><v>North America</v></cell><cell r="O2321" t="str"><v>Canada</v></cell><cell r="P2321" t="str"><v>Trial</v></cell><cell r="Q2321" t="str"><v>Social</v></cell><cell r="R2321" t="str"><v>Azure</v></cell><cell r="S2321" t="str"><v>Apps & Infra</v></cell><cell r="T2321" t="str"><v>Developers & ITI's</v></cell><cell r="U2321" t="str"><v>AZR</v></cell><cell r="V2321" t="str"><v>Retargeting</v></cell><cell r="W2321" t="str"><v>NotApplicable</v></cell><cell r="X2321" t="str"><v>1x1</v></cell></row><row r="2321"><cell r="AA2321"><v>43298</v></cell><cell r="AB2321" t="str"><v>CAN_gaPMG_AZR_AZR_Q1_19_Trial-Social</v></cell><cell r="AC2321"><v>21337220</v></cell><cell r="AD2321"><v>720192</v></cell><cell r="AE2321" t="str"><v>Facebook</v></cell><cell r="AF2321"><v>3654128</v></cell><cell r="AG2321" t="str"><v>Facebook»AZR»1x1»SocialBan»NA»ALL»DYN»RT»D»All»SS»NA»Free Account Retargeting VM - T2 - FR</v></cell><cell r="AH2321"><v>223691780</v></cell><cell r="AI2321" t="str"><v>AzurePlatform_FreeAcctRetargetingVMFB-OnDemand-ChE_CAN_1200x628_SOC_Plat_FR_Free Account_Standard_NA_SU_T2_1</v></cell><cell r="AJ2321"><v>103058726</v></cell></row><row r="2322"><cell r="C2322" t="str"><v>43298Facebook»DEV-ITP-AZR-FB|CanvasAds|Interesttargeting»1x1»TextLink»CAN»DT»CPM»AUT»W»NA»SS»NA»39684020-11000</v></cell><cell r="D2322" t="str"><v>43298224009494</v></cell><cell r="E2322" t="str"><v>43298103236186-11000</v></cell><cell r="F2322" t="str"><v>DCM</v></cell><cell r="G2322" t="str"><v>https://signup.azure.com/signup?offer=ms-azr-0044p&appId=102&ref=paidmedia-social-fb&redirectURL=https%3a%2f%2fazure.microsoft.com%2fde-de%2fget-started%2fwelcome-to-azure%2f&l=de-de&correlationId=ead86c34-1f10-49dd-a72b-6918462a2cbf</v></cell></row><row r="2322"><cell r="K2322" t="str"><v>July</v></cell><cell r="L2322"><v>43302</v></cell><cell r="M2322" t="str"><v>Tier 1</v></cell><cell r="N2322" t="str"><v>EMEA</v></cell><cell r="O2322" t="str"><v>Germany</v></cell><cell r="P2322" t="str"><v>Trial</v></cell><cell r="Q2322" t="str"><v>Social</v></cell><cell r="R2322" t="str"><v>Azure</v></cell><cell r="S2322" t="str"><v>Apps & Infra</v></cell><cell r="T2322" t="str"><v>Developers & ITI's</v></cell><cell r="U2322" t="str"><v>DEV-ITP-AZR-FB|CanvasAds|Interesttargeting</v></cell><cell r="V2322" t="str"><v>Audience Targeting</v></cell><cell r="W2322" t="str"><v>Canvas Ad</v></cell><cell r="X2322" t="str"><v>1x1</v></cell></row><row r="2322"><cell r="AA2322"><v>43298</v></cell><cell r="AB2322" t="str"><v>DEU_gaPMG_AZR_AZR_Q1_19_Trial-Social- 39684</v></cell><cell r="AC2322"><v>21359477</v></cell><cell r="AD2322"><v>720194</v></cell><cell r="AE2322" t="str"><v>Facebook</v></cell><cell r="AF2322"><v>3654128</v></cell><cell r="AG2322" t="str"><v>Facebook»DEV-ITP-AZR-FB|CanvasAds|Interesttargeting»1x1»TextLink»CAN»DT»CPM»AUT»W»NA»SS»NA»39684020-11000</v></cell><cell r="AH2322"><v>224009494</v></cell><cell r="AI2322" t="str"><v>AzurePlatform_FBCTCBasicMotion-StartFreeCT_DEU_10s_ISV_PLAT_DE_Trial_Standard_STAN_TN_T1_1</v></cell><cell r="AJ2322"><v>103236186</v></cell></row><row r="2323"><cell r="C2323" t="str"><v>43298Facebook»DEV-ITP-AZR-FB|CanvasAds|Interesttargeting»1x1»TextLink»CAN»DT»CPM»AUT»W»NA»SS»NA»39684020-11000</v></cell><cell r="D2323" t="str"><v>43298224009494</v></cell><cell r="E2323" t="str"><v>43298103236189-11000</v></cell><cell r="F2323" t="str"><v>DCM</v></cell><cell r="G2323" t="str"><v>https://azure.microsoft.com/de-de/pricing/purchase-options/</v></cell></row><row r="2323"><cell r="K2323" t="str"><v>July</v></cell><cell r="L2323"><v>43302</v></cell><cell r="M2323" t="str"><v>Tier 1</v></cell><cell r="N2323" t="str"><v>EMEA</v></cell><cell r="O2323" t="str"><v>Germany</v></cell><cell r="P2323" t="str"><v>Trial</v></cell><cell r="Q2323" t="str"><v>Social</v></cell><cell r="R2323" t="str"><v>Azure</v></cell><cell r="S2323" t="str"><v>Apps & Infra</v></cell><cell r="T2323" t="str"><v>Developers & ITI's</v></cell><cell r="U2323" t="str"><v>DEV-ITP-AZR-FB|CanvasAds|Interesttargeting</v></cell><cell r="V2323" t="str"><v>Audience Targeting</v></cell><cell r="W2323" t="str"><v>Canvas Ad</v></cell><cell r="X2323" t="str"><v>1x1</v></cell></row><row r="2323"><cell r="AA2323"><v>43298</v></cell><cell r="AB2323" t="str"><v>DEU_gaPMG_AZR_AZR_Q1_19_Trial-Social- 39684</v></cell><cell r="AC2323"><v>21359477</v></cell><cell r="AD2323"><v>720194</v></cell><cell r="AE2323" t="str"><v>Facebook</v></cell><cell r="AF2323"><v>3654128</v></cell><cell r="AG2323" t="str"><v>Facebook»DEV-ITP-AZR-FB|CanvasAds|Interesttargeting»1x1»TextLink»CAN»DT»CPM»AUT»W»NA»SS»NA»39684020-11000</v></cell><cell r="AH2323"><v>224009494</v></cell><cell r="AI2323" t="str"><v>AzurePlatform_FBCTCBenefit2inMotion-BuyNow_DEU_14s_ISV_PLAT_DE_Trial_Standard_STAN_TN_T4_1</v></cell><cell r="AJ2323"><v>103236189</v></cell></row><row r="2324"><cell r="C2324" t="str"><v>43298Facebook»DEV-ITP-AZR-FB|CanvasAds|Interesttargeting»1x1»TextLink»CAN»DT»CPM»AUT»W»NA»SS»NA»39684020-11000</v></cell><cell r="D2324" t="str"><v>43298224009494</v></cell><cell r="E2324" t="str"><v>43298103237290-11000</v></cell><cell r="F2324" t="str"><v>DCM</v></cell><cell r="G2324" t="str"><v>https://signup.azure.com/signup?offer=ms-azr-0044p&appId=102&ref=paidmedia-social-fb&redirectURL=https%3a%2f%2fazure.microsoft.com%2fde-de%2fget-started%2fwelcome-to-azure%2f&l=de-de&correlationId=ead86c34-1f10-49dd-a72b-6918462a2cbf</v></cell></row><row r="2324"><cell r="K2324" t="str"><v>July</v></cell><cell r="L2324"><v>43302</v></cell><cell r="M2324" t="str"><v>Tier 1</v></cell><cell r="N2324" t="str"><v>EMEA</v></cell><cell r="O2324" t="str"><v>Germany</v></cell><cell r="P2324" t="str"><v>Trial</v></cell><cell r="Q2324" t="str"><v>Social</v></cell><cell r="R2324" t="str"><v>Azure</v></cell><cell r="S2324" t="str"><v>Apps & Infra</v></cell><cell r="T2324" t="str"><v>Developers & ITI's</v></cell><cell r="U2324" t="str"><v>DEV-ITP-AZR-FB|CanvasAds|Interesttargeting</v></cell><cell r="V2324" t="str"><v>Audience Targeting</v></cell><cell r="W2324" t="str"><v>Canvas Ad</v></cell><cell r="X2324" t="str"><v>1x1</v></cell></row><row r="2324"><cell r="AA2324"><v>43298</v></cell><cell r="AB2324" t="str"><v>DEU_gaPMG_AZR_AZR_Q1_19_Trial-Social- 39684</v></cell><cell r="AC2324"><v>21359477</v></cell><cell r="AD2324"><v>720194</v></cell><cell r="AE2324" t="str"><v>Facebook</v></cell><cell r="AF2324"><v>3654128</v></cell><cell r="AG2324" t="str"><v>Facebook»DEV-ITP-AZR-FB|CanvasAds|Interesttargeting»1x1»TextLink»CAN»DT»CPM»AUT»W»NA»SS»NA»39684020-11000</v></cell><cell r="AH2324"><v>224009494</v></cell><cell r="AI2324" t="str"><v>AzurePlatform_FBCTCBenefit2inMotion-StartFreeCT_DEU_14s_ISV_PLAT_DE_Trial_Standard_STAN_TN_T4_1</v></cell><cell r="AJ2324"><v>103237290</v></cell></row><row r="2325"><cell r="C2325" t="str"><v>43298Facebook»DEV-ITP-AZR-FB|CanvasAds|Interesttargeting»1x1»TextLink»CAN»DT»CPM»AUT»W»NA»SS»NA»39684020-11000</v></cell><cell r="D2325" t="str"><v>43298224009494</v></cell><cell r="E2325" t="str"><v>43298103237293-11000</v></cell><cell r="F2325" t="str"><v>DCM</v></cell><cell r="G2325" t="str"><v>https://signup.azure.com/signup?offer=ms-azr-0044p&appId=102&ref=paidmedia-social-fb&redirectURL=https%3a%2f%2fazure.microsoft.com%2fde-de%2fget-started%2fwelcome-to-azure%2f&l=de-de&correlationId=ead86c34-1f10-49dd-a72b-6918462a2cbf</v></cell></row><row r="2325"><cell r="K2325" t="str"><v>July</v></cell><cell r="L2325"><v>43302</v></cell><cell r="M2325" t="str"><v>Tier 1</v></cell><cell r="N2325" t="str"><v>EMEA</v></cell><cell r="O2325" t="str"><v>Germany</v></cell><cell r="P2325" t="str"><v>Trial</v></cell><cell r="Q2325" t="str"><v>Social</v></cell><cell r="R2325" t="str"><v>Azure</v></cell><cell r="S2325" t="str"><v>Apps & Infra</v></cell><cell r="T2325" t="str"><v>Developers & ITI's</v></cell><cell r="U2325" t="str"><v>DEV-ITP-AZR-FB|CanvasAds|Interesttargeting</v></cell><cell r="V2325" t="str"><v>Audience Targeting</v></cell><cell r="W2325" t="str"><v>Canvas Ad</v></cell><cell r="X2325" t="str"><v>1x1</v></cell></row><row r="2325"><cell r="AA2325"><v>43298</v></cell><cell r="AB2325" t="str"><v>DEU_gaPMG_AZR_AZR_Q1_19_Trial-Social- 39684</v></cell><cell r="AC2325"><v>21359477</v></cell><cell r="AD2325"><v>720194</v></cell><cell r="AE2325" t="str"><v>Facebook</v></cell><cell r="AF2325"><v>3654128</v></cell><cell r="AG2325" t="str"><v>Facebook»DEV-ITP-AZR-FB|CanvasAds|Interesttargeting»1x1»TextLink»CAN»DT»CPM»AUT»W»NA»SS»NA»39684020-11000</v></cell><cell r="AH2325"><v>224009494</v></cell><cell r="AI2325" t="str"><v>AzurePlatform_FBCTCBrandinMotion-StartFreeCT_DEU_12s_ISV_PLAT_DE_Trial_Standard_STAN_TN_T2_1</v></cell><cell r="AJ2325"><v>103237293</v></cell></row><row r="2326"><cell r="C2326" t="str"><v>43298Facebook»DEV-ITP-AZR-FB|LinkAd|CustomerAudienceRetargeting»1x1»TextLink»LIA»DT»CPM»RT»W»NA»SS»NA»39684019-11000</v></cell><cell r="D2326" t="str"><v>43298224010415</v></cell><cell r="E2326" t="str"><v>43298103043329-11000</v></cell><cell r="F2326" t="str"><v>DCM</v></cell><cell r="G2326" t="str"><v>https://azure.microsoft.com/de-de/free/open-source/search/</v></cell></row><row r="2326"><cell r="K2326" t="str"><v>July</v></cell><cell r="L2326"><v>43302</v></cell><cell r="M2326" t="str"><v>Tier 1</v></cell><cell r="N2326" t="str"><v>EMEA</v></cell><cell r="O2326" t="str"><v>Germany</v></cell><cell r="P2326" t="str"><v>Trial</v></cell><cell r="Q2326" t="str"><v>Social</v></cell><cell r="R2326" t="str"><v>Azure</v></cell><cell r="S2326" t="str"><v>Apps & Infra</v></cell><cell r="T2326" t="str"><v>Developers & ITI's</v></cell><cell r="U2326" t="str"><v>DEV-ITP-AZR-FB|LinkAd|CustomerAudienceRetargeting</v></cell><cell r="V2326" t="str"><v>Retargeting</v></cell><cell r="W2326" t="str"><v>Link Ad</v></cell><cell r="X2326" t="str"><v>1x1</v></cell></row><row r="2326"><cell r="AA2326"><v>43298</v></cell><cell r="AB2326" t="str"><v>DEU_gaPMG_AZR_AZR_Q1_19_Trial-Social- 39684</v></cell><cell r="AC2326"><v>21359477</v></cell><cell r="AD2326"><v>720194</v></cell><cell r="AE2326" t="str"><v>Facebook</v></cell><cell r="AF2326"><v>3654128</v></cell><cell r="AG2326" t="str"><v>Facebook»DEV-ITP-AZR-FB|LinkAd|CustomerAudienceRetargeting»1x1»TextLink»LIA»DT»CPM»RT»W»NA»SS»NA»39684019-11000</v></cell><cell r="AH2326"><v>224010415</v></cell><cell r="AI2326" t="str"><v>AzurePlatform_FreeAcctRetargetingOSSFB-Logos-ChG_DEU_1200x628_SOC_Plat_DE_Free Account_Standard_NA_SNU_T2_1</v></cell><cell r="AJ2326"><v>103043329</v></cell></row><row r="2327"><cell r="C2327" t="str"><v>43298Facebook»DEV-ITP-AZR-FB|LinkAd|CustomerAudienceRetargeting»1x1»TextLink»LIA»DT»CPM»RT»W»NA»SS»NA»39684019-11000</v></cell><cell r="D2327" t="str"><v>43298224010415</v></cell><cell r="E2327" t="str"><v>43298103043341-11000</v></cell><cell r="F2327" t="str"><v>DCM</v></cell><cell r="G2327" t="str"><v>https://azure.microsoft.com/de-de/free/virtual-machines/search/</v></cell></row><row r="2327"><cell r="K2327" t="str"><v>July</v></cell><cell r="L2327"><v>43302</v></cell><cell r="M2327" t="str"><v>Tier 1</v></cell><cell r="N2327" t="str"><v>EMEA</v></cell><cell r="O2327" t="str"><v>Germany</v></cell><cell r="P2327" t="str"><v>Trial</v></cell><cell r="Q2327" t="str"><v>Social</v></cell><cell r="R2327" t="str"><v>Azure</v></cell><cell r="S2327" t="str"><v>Apps & Infra</v></cell><cell r="T2327" t="str"><v>Developers & ITI's</v></cell><cell r="U2327" t="str"><v>DEV-ITP-AZR-FB|LinkAd|CustomerAudienceRetargeting</v></cell><cell r="V2327" t="str"><v>Retargeting</v></cell><cell r="W2327" t="str"><v>Link Ad</v></cell><cell r="X2327" t="str"><v>1x1</v></cell></row><row r="2327"><cell r="AA2327"><v>43298</v></cell><cell r="AB2327" t="str"><v>DEU_gaPMG_AZR_AZR_Q1_19_Trial-Social- 39684</v></cell><cell r="AC2327"><v>21359477</v></cell><cell r="AD2327"><v>720194</v></cell><cell r="AE2327" t="str"><v>Facebook</v></cell><cell r="AF2327"><v>3654128</v></cell><cell r="AG2327" t="str"><v>Facebook»DEV-ITP-AZR-FB|LinkAd|CustomerAudienceRetargeting»1x1»TextLink»LIA»DT»CPM»RT»W»NA»SS»NA»39684019-11000</v></cell><cell r="AH2327"><v>224010415</v></cell><cell r="AI2327" t="str"><v>AzurePlatform_FreeAcctRetargetingVMFB-750Hrs-ChD_DEU_1200x628_SOC_Plat_DE_Free Account_Standard_NA_SNU_T1_1</v></cell><cell r="AJ2327"><v>103043341</v></cell></row><row r="2328"><cell r="C2328" t="str"><v>43298Facebook»DEV-ITP-AZR-FB|LinkAd|CustomerAudienceRetargeting»1x1»TextLink»LIA»DT»CPM»RT»W»NA»SS»NA»39684019-11000</v></cell><cell r="D2328" t="str"><v>43298224010415</v></cell><cell r="E2328" t="str"><v>43298103043338-11000</v></cell><cell r="F2328" t="str"><v>DCM</v></cell><cell r="G2328" t="str"><v>https://azure.microsoft.com/de-de/free/virtual-machines/search/</v></cell></row><row r="2328"><cell r="K2328" t="str"><v>July</v></cell><cell r="L2328"><v>43302</v></cell><cell r="M2328" t="str"><v>Tier 1</v></cell><cell r="N2328" t="str"><v>EMEA</v></cell><cell r="O2328" t="str"><v>Germany</v></cell><cell r="P2328" t="str"><v>Trial</v></cell><cell r="Q2328" t="str"><v>Social</v></cell><cell r="R2328" t="str"><v>Azure</v></cell><cell r="S2328" t="str"><v>Apps & Infra</v></cell><cell r="T2328" t="str"><v>Developers & ITI's</v></cell><cell r="U2328" t="str"><v>DEV-ITP-AZR-FB|LinkAd|CustomerAudienceRetargeting</v></cell><cell r="V2328" t="str"><v>Retargeting</v></cell><cell r="W2328" t="str"><v>Link Ad</v></cell><cell r="X2328" t="str"><v>1x1</v></cell></row><row r="2328"><cell r="AA2328"><v>43298</v></cell><cell r="AB2328" t="str"><v>DEU_gaPMG_AZR_AZR_Q1_19_Trial-Social- 39684</v></cell><cell r="AC2328"><v>21359477</v></cell><cell r="AD2328"><v>720194</v></cell><cell r="AE2328" t="str"><v>Facebook</v></cell><cell r="AF2328"><v>3654128</v></cell><cell r="AG2328" t="str"><v>Facebook»DEV-ITP-AZR-FB|LinkAd|CustomerAudienceRetargeting»1x1»TextLink»LIA»DT»CPM»RT»W»NA»SS»NA»39684019-11000</v></cell><cell r="AH2328"><v>224010415</v></cell><cell r="AI2328" t="str"><v>AzurePlatform_FreeAcctRetargetingVMFB-OnDemand-ChE_DEU_1200x628_SOC_Plat_DE_Free Account_Standard_NA_SNU_T2_1</v></cell><cell r="AJ2328"><v>103043338</v></cell></row><row r="2329"><cell r="C2329" t="str"><v>43298Facebook»Developers/ITPros-Azure Direct-Sponsored Post-Canvas-FBCTCcanvaspage-BuyNowCTA-Img3_FBCTCBrandinMotion_FRA_14sec»1x1»Canvas»SOC»ALL»CPC»BT»D»UNK»SS»NA»Trials</v></cell><cell r="D2329" t="str"><v>43298224416918</v></cell><cell r="E2329" t="str"><v>43298103256571Trials</v></cell><cell r="F2329" t="str"><v>DCM</v></cell><cell r="G2329" t="str"><v>https://azure.microsoft.com/fr-fr/pricing/purchase-options/</v></cell></row><row r="2329"><cell r="K2329" t="str"><v>July</v></cell><cell r="L2329"><v>43302</v></cell><cell r="M2329" t="str"><v>Tier 1</v></cell><cell r="N2329" t="str"><v>EMEA</v></cell><cell r="O2329" t="str"><v>France</v></cell><cell r="P2329" t="str"><v>Trial</v></cell><cell r="Q2329" t="str"><v>Social</v></cell><cell r="R2329" t="str"><v>Azure</v></cell><cell r="S2329" t="str"><v>Apps & Infra</v></cell><cell r="T2329" t="str"><v>Developers & ITI's</v></cell><cell r="U2329" t="str"><v>Developers/ITPros-Azure Direct-Sponsored Post-Canvas-FBCTCcanvaspage-BuyNowCTA-Img3_FBCTCBrandinMotion_FRA_14sec</v></cell><cell r="V2329" t="str"><v>Behavioral Targeting</v></cell><cell r="W2329" t="str"><v>Social</v></cell><cell r="X2329" t="str"><v>1x1</v></cell></row><row r="2329"><cell r="AA2329"><v>43298</v></cell><cell r="AB2329" t="str"><v>FRA_gaPMG_AZR_AZR_Q1_19_AzureDirect-Trial-Social</v></cell><cell r="AC2329"><v>21356941</v></cell><cell r="AD2329"><v>720193</v></cell><cell r="AE2329" t="str"><v>Facebook</v></cell><cell r="AF2329"><v>3654128</v></cell><cell r="AG2329" t="str"><v>Facebook»Developers/ITPros-Azure Direct-Sponsored Post-Canvas-FBCTCcanvaspage-BuyNowCTA-Img3_FBCTCBrandinMotion_FRA_14sec»1x1»Canvas»SOC»ALL»CPC»BT»D»UNK»SS»NA»Trials</v></cell><cell r="AH2329"><v>224416918</v></cell><cell r="AI2329" t="str"><v>AZR_FBCTCcanvaspage-BuyNowCTA-Img3_FRA_1080x162_SOC_AZRDirect_French_NA_Facebook_SBAN_BN_T3_1</v></cell><cell r="AJ2329"><v>103256571</v></cell></row><row r="2330"><cell r="C2330" t="str"><v>43298Facebook»Developers/ITPros-Azure Direct-Sponsored Post-Canvas-FBCTCcanvaspage-StartFreeCTA-Img2_FBCTCBrandinMotion_FRA_12sec»1x1»Canvas»SOC»ALL»CPC»BT»D»UNK»SS»NA»Trials</v></cell><cell r="D2330" t="str"><v>43298224560878</v></cell><cell r="E2330" t="str"><v>43298103259958Trials</v></cell><cell r="F2330" t="str"><v>DCM</v></cell><cell r="G2330" t="str"><v>https://signup.azure.com/signup?offer=ms-azr-0044p&appId=102&ref=paidmedia-social-fb&redirectURL=https%3a%2f%2fazure.microsoft.com%2ffr-fr%2fget-started%2fwelcome-to-azure%2f&l=fr-fr&correlationId=ead86c34-1f10-49dd-a72b-6918462a2cbf</v></cell></row><row r="2330"><cell r="K2330" t="str"><v>July</v></cell><cell r="L2330"><v>43302</v></cell><cell r="M2330" t="str"><v>Tier 1</v></cell><cell r="N2330" t="str"><v>EMEA</v></cell><cell r="O2330" t="str"><v>France</v></cell><cell r="P2330" t="str"><v>Trial</v></cell><cell r="Q2330" t="str"><v>Social</v></cell><cell r="R2330" t="str"><v>Azure</v></cell><cell r="S2330" t="str"><v>Apps & Infra</v></cell><cell r="T2330" t="str"><v>Developers & ITI's</v></cell><cell r="U2330" t="str"><v>Developers/ITPros-Azure Direct-Sponsored Post-Canvas-FBCTCcanvaspage-StartFreeCTA-Img2_FBCTCBrandinMotion_FRA_12sec</v></cell><cell r="V2330" t="str"><v>Behavioral Targeting</v></cell><cell r="W2330" t="str"><v>Social</v></cell><cell r="X2330" t="str"><v>1x1</v></cell></row><row r="2330"><cell r="AA2330"><v>43298</v></cell><cell r="AB2330" t="str"><v>FRA_gaPMG_AZR_AZR_Q1_19_AzureDirect-Trial-Social</v></cell><cell r="AC2330"><v>21356941</v></cell><cell r="AD2330"><v>720193</v></cell><cell r="AE2330" t="str"><v>Facebook</v></cell><cell r="AF2330"><v>3654128</v></cell><cell r="AG2330" t="str"><v>Facebook»Developers/ITPros-Azure Direct-Sponsored Post-Canvas-FBCTCcanvaspage-StartFreeCTA-Img2_FBCTCBrandinMotion_FRA_12sec»1x1»Canvas»SOC»ALL»CPC»BT»D»UNK»SS»NA»Trials</v></cell><cell r="AH2330"><v>224560878</v></cell><cell r="AI2330" t="str"><v>AZR_FBCTCcanvaspage-StartFreeCTA-Img2_FRA_1080x143_SOC_AZRDirect_French_NA_Facebook_SBAN_BN_T2_1</v></cell><cell r="AJ2330"><v>103259958</v></cell></row><row r="2331"><cell r="C2331" t="str"><v>43298Facebook»Developers/ITPros-Azure Direct-Sponsored Post-Canvas-FBCTCcanvaspage-StartFreeCTA-Img2_FBCTCBrandinMotion_FRA_14sec»1x1»Canvas»SOC»ALL»CPC»BT»D»UNK»SS»NA»Trials</v></cell><cell r="D2331" t="str"><v>43298224560872</v></cell><cell r="E2331" t="str"><v>43298103259958Trials</v></cell><cell r="F2331" t="str"><v>DCM</v></cell><cell r="G2331" t="str"><v>https://signup.azure.com/signup?offer=ms-azr-0044p&appId=102&ref=paidmedia-social-fb&redirectURL=https%3a%2f%2fazure.microsoft.com%2ffr-fr%2fget-started%2fwelcome-to-azure%2f&l=fr-fr&correlationId=ead86c34-1f10-49dd-a72b-6918462a2cbf</v></cell></row><row r="2331"><cell r="K2331" t="str"><v>July</v></cell><cell r="L2331"><v>43302</v></cell><cell r="M2331" t="str"><v>Tier 1</v></cell><cell r="N2331" t="str"><v>EMEA</v></cell><cell r="O2331" t="str"><v>France</v></cell><cell r="P2331" t="str"><v>Trial</v></cell><cell r="Q2331" t="str"><v>Social</v></cell><cell r="R2331" t="str"><v>Azure</v></cell><cell r="S2331" t="str"><v>Apps & Infra</v></cell><cell r="T2331" t="str"><v>Developers & ITI's</v></cell><cell r="U2331" t="str"><v>Developers/ITPros-Azure Direct-Sponsored Post-Canvas-FBCTCcanvaspage-StartFreeCTA-Img2_FBCTCBrandinMotion_FRA_14sec</v></cell><cell r="V2331" t="str"><v>Behavioral Targeting</v></cell><cell r="W2331" t="str"><v>Social</v></cell><cell r="X2331" t="str"><v>1x1</v></cell></row><row r="2331"><cell r="AA2331"><v>43298</v></cell><cell r="AB2331" t="str"><v>FRA_gaPMG_AZR_AZR_Q1_19_AzureDirect-Trial-Social</v></cell><cell r="AC2331"><v>21356941</v></cell><cell r="AD2331"><v>720193</v></cell><cell r="AE2331" t="str"><v>Facebook</v></cell><cell r="AF2331"><v>3654128</v></cell><cell r="AG2331" t="str"><v>Facebook»Developers/ITPros-Azure Direct-Sponsored Post-Canvas-FBCTCcanvaspage-StartFreeCTA-Img2_FBCTCBrandinMotion_FRA_14sec»1x1»Canvas»SOC»ALL»CPC»BT»D»UNK»SS»NA»Trials</v></cell><cell r="AH2331"><v>224560872</v></cell><cell r="AI2331" t="str"><v>AZR_FBCTCcanvaspage-StartFreeCTA-Img2_FRA_1080x143_SOC_AZRDirect_French_NA_Facebook_SBAN_BN_T2_1</v></cell><cell r="AJ2331"><v>103259958</v></cell></row><row r="2332"><cell r="C2332" t="str"><v>43298Facebook»Developers/ITPros-Azure Direct-Sponsored Post-Link Ad-FreeAcctRetargetingFB-GlobalAlt-ChB»1x1»SocialBan»SOC»ALL»CPC»BT»D»UNK»SS»NA»Trials</v></cell><cell r="D2332" t="str"><v>43298224560845</v></cell><cell r="E2332" t="str"><v>43298103259520Trials</v></cell><cell r="F2332" t="str"><v>DCM</v></cell><cell r="G2332" t="str"><v>https://azure.microsoft.com/fr-fr/free/search/</v></cell></row><row r="2332"><cell r="K2332" t="str"><v>July</v></cell><cell r="L2332"><v>43302</v></cell><cell r="M2332" t="str"><v>Tier 1</v></cell><cell r="N2332" t="str"><v>EMEA</v></cell><cell r="O2332" t="str"><v>France</v></cell><cell r="P2332" t="str"><v>Trial</v></cell><cell r="Q2332" t="str"><v>Social</v></cell><cell r="R2332" t="str"><v>Azure</v></cell><cell r="S2332" t="str"><v>Apps & Infra</v></cell><cell r="T2332" t="str"><v>Developers & ITI's</v></cell><cell r="U2332" t="str"><v>Developers/ITPros-Azure Direct-Sponsored Post-Link Ad-FreeAcctRetargetingFB-GlobalAlt-ChB</v></cell><cell r="V2332" t="str"><v>Behavioral Targeting</v></cell><cell r="W2332" t="str"><v>Social</v></cell><cell r="X2332" t="str"><v>1x1</v></cell></row><row r="2332"><cell r="AA2332"><v>43298</v></cell><cell r="AB2332" t="str"><v>FRA_gaPMG_AZR_AZR_Q1_19_AzureDirect-Trial-Social</v></cell><cell r="AC2332"><v>21356941</v></cell><cell r="AD2332"><v>720193</v></cell><cell r="AE2332" t="str"><v>Facebook</v></cell><cell r="AF2332"><v>3654128</v></cell><cell r="AG2332" t="str"><v>Facebook»Developers/ITPros-Azure Direct-Sponsored Post-Link Ad-FreeAcctRetargetingFB-GlobalAlt-ChB»1x1»SocialBan»SOC»ALL»CPC»BT»D»UNK»SS»NA»Trials</v></cell><cell r="AH2332"><v>224560845</v></cell><cell r="AI2332" t="str"><v>AZR_FreeAcctRetargetingFB-GlobalAlt-ChB_FRA_1200x628_SOC_AZRDirect_French_NA_Facebook_SBAN_SINU_T2_1</v></cell><cell r="AJ2332"><v>103259520</v></cell></row><row r="2333"><cell r="C2333" t="str"><v>43298Facebook»Developers/ITPros-Azure Direct-Sponsored Post-Link Ad-FreeAcctRetargetingOSSFB-Text-ChF»1x1»SocialBan»SOC»ALL»CPC»BT»D»UNK»SS»NA»Trials</v></cell><cell r="D2333" t="str"><v>43298224560839</v></cell><cell r="E2333" t="str"><v>43298103257810Trials</v></cell><cell r="F2333" t="str"><v>DCM</v></cell><cell r="G2333" t="str"><v>https://azure.microsoft.com/fr-fr/free/open-source/search/</v></cell></row><row r="2333"><cell r="K2333" t="str"><v>July</v></cell><cell r="L2333"><v>43302</v></cell><cell r="M2333" t="str"><v>Tier 1</v></cell><cell r="N2333" t="str"><v>EMEA</v></cell><cell r="O2333" t="str"><v>France</v></cell><cell r="P2333" t="str"><v>Trial</v></cell><cell r="Q2333" t="str"><v>Social</v></cell><cell r="R2333" t="str"><v>Azure</v></cell><cell r="S2333" t="str"><v>Apps & Infra</v></cell><cell r="T2333" t="str"><v>Developers & ITI's</v></cell><cell r="U2333" t="str"><v>Developers/ITPros-Azure Direct-Sponsored Post-Link Ad-FreeAcctRetargetingOSSFB-Text-ChF</v></cell><cell r="V2333" t="str"><v>Behavioral Targeting</v></cell><cell r="W2333" t="str"><v>Social</v></cell><cell r="X2333" t="str"><v>1x1</v></cell></row><row r="2333"><cell r="AA2333"><v>43298</v></cell><cell r="AB2333" t="str"><v>FRA_gaPMG_AZR_AZR_Q1_19_AzureDirect-Trial-Social</v></cell><cell r="AC2333"><v>21356941</v></cell><cell r="AD2333"><v>720193</v></cell><cell r="AE2333" t="str"><v>Facebook</v></cell><cell r="AF2333"><v>3654128</v></cell><cell r="AG2333" t="str"><v>Facebook»Developers/ITPros-Azure Direct-Sponsored Post-Link Ad-FreeAcctRetargetingOSSFB-Text-ChF»1x1»SocialBan»SOC»ALL»CPC»BT»D»UNK»SS»NA»Trials</v></cell><cell r="AH2333"><v>224560839</v></cell><cell r="AI2333" t="str"><v>AZR_FreeAcctRetargetingOSSFB-Text-ChF_FRA_1200x628_SOC_AZRDirect_French_NA_Facebook_SBAN_SINU_T1_1</v></cell><cell r="AJ2333"><v>103257810</v></cell></row><row r="2334"><cell r="C2334" t="str"><v>43298Facebook»Developers/ITPros-Azure Direct-Sponsored Post-Video Ad-FBCTCBasicMotion_FRA_10s_RTG Landing Page»1x1»05s»SOC»ALL»CPC»BT»D»UNK»SS»NA»Trials</v></cell><cell r="D2334" t="str"><v>43298224416915</v></cell><cell r="E2334" t="str"><v>43298103376981Trials</v></cell><cell r="F2334" t="str"><v>DCM</v></cell></row><row r="2334"><cell r="K2334" t="str"><v>July</v></cell><cell r="L2334"><v>43302</v></cell><cell r="M2334" t="str"><v>Tier 1</v></cell><cell r="N2334" t="str"><v>EMEA</v></cell><cell r="O2334" t="str"><v>France</v></cell><cell r="P2334" t="str"><v>Trial</v></cell><cell r="Q2334" t="str"><v>Social</v></cell><cell r="R2334" t="str"><v>Azure</v></cell><cell r="S2334" t="str"><v>Apps & Infra</v></cell><cell r="T2334" t="str"><v>Developers & ITI's</v></cell><cell r="U2334" t="str"><v>Developers/ITPros-Azure Direct-Sponsored Post-Video Ad-FBCTCBasicMotion_FRA_10s_RTG Landing Page</v></cell><cell r="V2334" t="str"><v>Behavioral Targeting</v></cell><cell r="W2334" t="str"><v>Social</v></cell><cell r="X2334" t="str"><v>1x1</v></cell></row><row r="2334"><cell r="AA2334"><v>43298</v></cell><cell r="AB2334" t="str"><v>FRA_gaPMG_AZR_AZR_Q1_19_AzureDirect-Trial-Social</v></cell><cell r="AC2334"><v>21356941</v></cell><cell r="AD2334"><v>720193</v></cell><cell r="AE2334" t="str"><v>Facebook</v></cell><cell r="AF2334"><v>3654128</v></cell><cell r="AG2334" t="str"><v>Facebook»Developers/ITPros-Azure Direct-Sponsored Post-Video Ad-FBCTCBasicMotion_FRA_10s_RTG Landing Page»1x1»05s»SOC»ALL»CPC»BT»D»UNK»SS»NA»Trials</v></cell><cell r="AH2334"><v>224416915</v></cell><cell r="AI2334" t="str"><v>AZR_FBCTCBasicMotion_FRA_10s_VIA_AZRDirect_French_NA_Facebook_STAN_TIN_T1_1</v></cell><cell r="AJ2334"><v>103376981</v></cell></row><row r="2335"><cell r="C2335" t="str"><v>43298Facebook»Developers/ITPros-Azure Direct-Sponsored Post-Video Ad-FBCTCBenefit2inMotion_FRA_14s_RTG Landing Page»1x1»06s»SOC»ALL»CPC»BT»D»UNK»SS»NA»Trials</v></cell><cell r="D2335" t="str"><v>43298224560875</v></cell><cell r="E2335" t="str"><v>43298103259766Trials</v></cell><cell r="F2335" t="str"><v>DCM</v></cell><cell r="G2335" t="str"><v>https://signup.azure.com/signup?offer=ms-azr-0044p&appId=102&ref=paidmedia-social-fb&redirectURL=https:%2F%2Fazure.microsoft.com%2Ffr-fr%2Fget-started%2Fwelcome-to-azure%2F&l=fr-fr&correlationId=ead86c34-1f10-49dd-a72b-6918462a2cbf</v></cell></row><row r="2335"><cell r="K2335" t="str"><v>July</v></cell><cell r="L2335"><v>43302</v></cell><cell r="M2335" t="str"><v>Tier 1</v></cell><cell r="N2335" t="str"><v>EMEA</v></cell><cell r="O2335" t="str"><v>France</v></cell><cell r="P2335" t="str"><v>Trial</v></cell><cell r="Q2335" t="str"><v>Social</v></cell><cell r="R2335" t="str"><v>Azure</v></cell><cell r="S2335" t="str"><v>Apps & Infra</v></cell><cell r="T2335" t="str"><v>Developers & ITI's</v></cell><cell r="U2335" t="str"><v>Developers/ITPros-Azure Direct-Sponsored Post-Video Ad-FBCTCBenefit2inMotion_FRA_14s_RTG Landing Page</v></cell><cell r="V2335" t="str"><v>Behavioral Targeting</v></cell><cell r="W2335" t="str"><v>Social</v></cell><cell r="X2335" t="str"><v>1x1</v></cell></row><row r="2335"><cell r="AA2335"><v>43298</v></cell><cell r="AB2335" t="str"><v>FRA_gaPMG_AZR_AZR_Q1_19_AzureDirect-Trial-Social</v></cell><cell r="AC2335"><v>21356941</v></cell><cell r="AD2335"><v>720193</v></cell><cell r="AE2335" t="str"><v>Facebook</v></cell><cell r="AF2335"><v>3654128</v></cell><cell r="AG2335" t="str"><v>Facebook»Developers/ITPros-Azure Direct-Sponsored Post-Video Ad-FBCTCBenefit2inMotion_FRA_14s_RTG Landing Page»1x1»06s»SOC»ALL»CPC»BT»D»UNK»SS»NA»Trials</v></cell><cell r="AH2335"><v>224560875</v></cell><cell r="AI2335" t="str"><v>AZR_FBCTCBenefit2inMotion_FRA_14s_VIA_AZRDirect_French_NA_Facebook_STAN_TIN_T4_1</v></cell><cell r="AJ2335"><v>103259766</v></cell></row><row r="2336"><cell r="C2336" t="str"><v>43298Facebook»Developers/ITPros-Azure Direct-Sponsored Post-Video Ad-FBCTCBrandinMotion_FRA_12s_RTG Landing Page»1x1»05s»SOC»ALL»CPC»BT»D»UNK»SS»NA»Trials</v></cell><cell r="D2336" t="str"><v>43298224560863</v></cell><cell r="E2336" t="str"><v>43298103256577Trials</v></cell><cell r="F2336" t="str"><v>DCM</v></cell></row><row r="2336"><cell r="K2336" t="str"><v>July</v></cell><cell r="L2336"><v>43302</v></cell><cell r="M2336" t="str"><v>Tier 1</v></cell><cell r="N2336" t="str"><v>EMEA</v></cell><cell r="O2336" t="str"><v>France</v></cell><cell r="P2336" t="str"><v>Trial</v></cell><cell r="Q2336" t="str"><v>Social</v></cell><cell r="R2336" t="str"><v>Azure</v></cell><cell r="S2336" t="str"><v>Apps & Infra</v></cell><cell r="T2336" t="str"><v>Developers & ITI's</v></cell><cell r="U2336" t="str"><v>Developers/ITPros-Azure Direct-Sponsored Post-Video Ad-FBCTCBrandinMotion_FRA_12s_RTG Landing Page</v></cell><cell r="V2336" t="str"><v>Behavioral Targeting</v></cell><cell r="W2336" t="str"><v>Social</v></cell><cell r="X2336" t="str"><v>1x1</v></cell></row><row r="2336"><cell r="AA2336"><v>43298</v></cell><cell r="AB2336" t="str"><v>FRA_gaPMG_AZR_AZR_Q1_19_AzureDirect-Trial-Social</v></cell><cell r="AC2336"><v>21356941</v></cell><cell r="AD2336"><v>720193</v></cell><cell r="AE2336" t="str"><v>Facebook</v></cell><cell r="AF2336"><v>3654128</v></cell><cell r="AG2336" t="str"><v>Facebook»Developers/ITPros-Azure Direct-Sponsored Post-Video Ad-FBCTCBrandinMotion_FRA_12s_RTG Landing Page»1x1»05s»SOC»ALL»CPC»BT»D»UNK»SS»NA»Trials</v></cell><cell r="AH2336"><v>224560863</v></cell><cell r="AI2336" t="str"><v>AZR_FBCTCBrandinMotion_FRA_12s_VIA_AZRDirect_French_NA_Facebook_STAN_TIN_T2_1</v></cell><cell r="AJ2336"><v>103256577</v></cell></row><row r="2337"><cell r="C2337" t="str"><v>43298Facebook»Developers/ITPros-Azure Direct-Sponsored Post-Link Ad-FreeAcctAppsFACEBOOK12monthsChE»1x1»SocialBan»SOC»ALL»CPC»BT»D»UNK»SS»NA»Trials</v></cell><cell r="D2337" t="str"><v>43298224560866</v></cell><cell r="E2337" t="str"><v>43298103259784Trials</v></cell><cell r="F2337" t="str"><v>DCM</v></cell><cell r="G2337" t="str"><v>https://azure.microsoft.com/fr-fr/free/search/</v></cell></row><row r="2337"><cell r="K2337" t="str"><v>July</v></cell><cell r="L2337"><v>43302</v></cell><cell r="M2337" t="str"><v>Tier 1</v></cell><cell r="N2337" t="str"><v>EMEA</v></cell><cell r="O2337" t="str"><v>France</v></cell><cell r="P2337" t="str"><v>Trial</v></cell><cell r="Q2337" t="str"><v>Social</v></cell><cell r="R2337" t="str"><v>Azure</v></cell><cell r="S2337" t="str"><v>Apps & Infra</v></cell><cell r="T2337" t="str"><v>Developers & ITI's</v></cell><cell r="U2337" t="str"><v>Developers/ITPros-Azure Direct-Sponsored Post-Link Ad-FreeAcctAppsFACEBOOK12monthsChE</v></cell><cell r="V2337" t="str"><v>Behavioral Targeting</v></cell><cell r="W2337" t="str"><v>Social</v></cell><cell r="X2337" t="str"><v>1x1</v></cell></row><row r="2337"><cell r="AA2337"><v>43298</v></cell><cell r="AB2337" t="str"><v>FRA_gaPMG_AZR_AZR_Q1_19_AzureDirect-Trial-Social</v></cell><cell r="AC2337"><v>21356941</v></cell><cell r="AD2337"><v>720193</v></cell><cell r="AE2337" t="str"><v>Facebook</v></cell><cell r="AF2337"><v>3654128</v></cell><cell r="AG2337" t="str"><v>Facebook»Developers/ITPros-Azure Direct-Sponsored Post-Link Ad-FreeAcctAppsFACEBOOK12monthsChE»1x1»SocialBan»SOC»ALL»CPC»BT»D»UNK»SS»NA»Trials</v></cell><cell r="AH2337"><v>224560866</v></cell><cell r="AI2337" t="str"><v>AZR_FreeAcctAppsFACEBOOK12monthsChE_FRA_1200x628_SOC_PLAT_FR_Trial_Standard_NA_SINU_T5_1</v></cell><cell r="AJ2337"><v>103259784</v></cell></row><row r="2338"><cell r="C2338" t="str"><v>43298Facebook»Developers/ITPros-Azure Direct-Sponsored Post-Link Ad-FreeAcctAppsFACEBOOK200CreditChD»1x1»SocialBan»SOC»ALL»CPC»BT»D»UNK»SS»NA»Trials</v></cell><cell r="D2338" t="str"><v>43298224560860</v></cell><cell r="E2338" t="str"><v>43298103377773Trials</v></cell><cell r="F2338" t="str"><v>DCM</v></cell><cell r="G2338" t="str"><v>https://azure.microsoft.com/fr-fr/free/search/</v></cell></row><row r="2338"><cell r="K2338" t="str"><v>July</v></cell><cell r="L2338"><v>43302</v></cell><cell r="M2338" t="str"><v>Tier 1</v></cell><cell r="N2338" t="str"><v>EMEA</v></cell><cell r="O2338" t="str"><v>France</v></cell><cell r="P2338" t="str"><v>Trial</v></cell><cell r="Q2338" t="str"><v>Social</v></cell><cell r="R2338" t="str"><v>Azure</v></cell><cell r="S2338" t="str"><v>Apps & Infra</v></cell><cell r="T2338" t="str"><v>Developers & ITI's</v></cell><cell r="U2338" t="str"><v>Developers/ITPros-Azure Direct-Sponsored Post-Link Ad-FreeAcctAppsFACEBOOK200CreditChD</v></cell><cell r="V2338" t="str"><v>Behavioral Targeting</v></cell><cell r="W2338" t="str"><v>Social</v></cell><cell r="X2338" t="str"><v>1x1</v></cell></row><row r="2338"><cell r="AA2338"><v>43298</v></cell><cell r="AB2338" t="str"><v>FRA_gaPMG_AZR_AZR_Q1_19_AzureDirect-Trial-Social</v></cell><cell r="AC2338"><v>21356941</v></cell><cell r="AD2338"><v>720193</v></cell><cell r="AE2338" t="str"><v>Facebook</v></cell><cell r="AF2338"><v>3654128</v></cell><cell r="AG2338" t="str"><v>Facebook»Developers/ITPros-Azure Direct-Sponsored Post-Link Ad-FreeAcctAppsFACEBOOK200CreditChD»1x1»SocialBan»SOC»ALL»CPC»BT»D»UNK»SS»NA»Trials</v></cell><cell r="AH2338"><v>224560860</v></cell><cell r="AI2338" t="str"><v>AZR_FreeAcctAppsFACEBOOK200CreditChD_FRA_1200x628_SOC_PLAT_FR_Trial_Standard_NA_SINU_T4_1</v></cell><cell r="AJ2338"><v>103377773</v></cell></row><row r="2339"><cell r="C2339" t="str"><v>43298Facebook»Developers/ITPros-Azure Direct-Sponsored Post-Link Ad-FreeAcctAppsFACEBOOKDeviceChB»1x1»SocialBan»SOC»ALL»CPC»AUT»D»UNK»SS»NA»Trials</v></cell><cell r="D2339" t="str"><v>43298224560857</v></cell><cell r="E2339" t="str"><v>43298103377002Trials</v></cell><cell r="F2339" t="str"><v>DCM</v></cell><cell r="G2339" t="str"><v>https://azure.microsoft.com/fr-fr/free/search/</v></cell></row><row r="2339"><cell r="K2339" t="str"><v>July</v></cell><cell r="L2339"><v>43302</v></cell><cell r="M2339" t="str"><v>Tier 1</v></cell><cell r="N2339" t="str"><v>EMEA</v></cell><cell r="O2339" t="str"><v>France</v></cell><cell r="P2339" t="str"><v>Trial</v></cell><cell r="Q2339" t="str"><v>Social</v></cell><cell r="R2339" t="str"><v>Azure</v></cell><cell r="S2339" t="str"><v>Apps & Infra</v></cell><cell r="T2339" t="str"><v>Developers & ITI's</v></cell><cell r="U2339" t="str"><v>Developers/ITPros-Azure Direct-Sponsored Post-Link Ad-FreeAcctAppsFACEBOOKDeviceChB</v></cell><cell r="V2339" t="str"><v>Audience Targeting</v></cell><cell r="W2339" t="str"><v>Social</v></cell><cell r="X2339" t="str"><v>1x1</v></cell></row><row r="2339"><cell r="AA2339"><v>43298</v></cell><cell r="AB2339" t="str"><v>FRA_gaPMG_AZR_AZR_Q1_19_AzureDirect-Trial-Social</v></cell><cell r="AC2339"><v>21356941</v></cell><cell r="AD2339"><v>720193</v></cell><cell r="AE2339" t="str"><v>Facebook</v></cell><cell r="AF2339"><v>3654128</v></cell><cell r="AG2339" t="str"><v>Facebook»Developers/ITPros-Azure Direct-Sponsored Post-Link Ad-FreeAcctAppsFACEBOOKDeviceChB»1x1»SocialBan»SOC»ALL»CPC»AUT»D»UNK»SS»NA»Trials</v></cell><cell r="AH2339"><v>224560857</v></cell><cell r="AI2339" t="str"><v>AZR_FreeAcctAppsFACEBOOKDeviceChB_FRA_1200x628_SOC_PLAT_FR_Trial_Standard_NA_SINU_T2_1</v></cell><cell r="AJ2339"><v>103377002</v></cell></row><row r="2340"><cell r="C2340" t="str"><v>43298Facebook»Developers/ITPros-Azure Direct-Sponsored Post-Link Ad-FreeAcctAppsFACEBOOKIllustrationChC»1x1»SocialBan»SOC»ALL»CPC»AUT»D»UNK»SS»NA»Trials</v></cell><cell r="D2340" t="str"><v>43298224560854</v></cell><cell r="E2340" t="str"><v>43298103259550Trials</v></cell><cell r="F2340" t="str"><v>DCM</v></cell><cell r="G2340" t="str"><v>https://azure.microsoft.com/fr-fr/free/search/</v></cell></row><row r="2340"><cell r="K2340" t="str"><v>July</v></cell><cell r="L2340"><v>43302</v></cell><cell r="M2340" t="str"><v>Tier 1</v></cell><cell r="N2340" t="str"><v>EMEA</v></cell><cell r="O2340" t="str"><v>France</v></cell><cell r="P2340" t="str"><v>Trial</v></cell><cell r="Q2340" t="str"><v>Social</v></cell><cell r="R2340" t="str"><v>Azure</v></cell><cell r="S2340" t="str"><v>Apps & Infra</v></cell><cell r="T2340" t="str"><v>Developers & ITI's</v></cell><cell r="U2340" t="str"><v>Developers/ITPros-Azure Direct-Sponsored Post-Link Ad-FreeAcctAppsFACEBOOKIllustrationChC</v></cell><cell r="V2340" t="str"><v>Audience Targeting</v></cell><cell r="W2340" t="str"><v>Social</v></cell><cell r="X2340" t="str"><v>1x1</v></cell></row><row r="2340"><cell r="AA2340"><v>43298</v></cell><cell r="AB2340" t="str"><v>FRA_gaPMG_AZR_AZR_Q1_19_AzureDirect-Trial-Social</v></cell><cell r="AC2340"><v>21356941</v></cell><cell r="AD2340"><v>720193</v></cell><cell r="AE2340" t="str"><v>Facebook</v></cell><cell r="AF2340"><v>3654128</v></cell><cell r="AG2340" t="str"><v>Facebook»Developers/ITPros-Azure Direct-Sponsored Post-Link Ad-FreeAcctAppsFACEBOOKIllustrationChC»1x1»SocialBan»SOC»ALL»CPC»AUT»D»UNK»SS»NA»Trials</v></cell><cell r="AH2340"><v>224560854</v></cell><cell r="AI2340" t="str"><v>AZR_FreeAcctAppsFACEBOOKIllustrationChC_FRA_1200x628_SOC_PLAT_FR_Trial_Standard_NA_SINU_T3_1</v></cell><cell r="AJ2340"><v>103259550</v></cell></row><row r="2341"><cell r="C2341" t="str"><v>43298Facebook»Developers/ITPros-Azure Direct-Sponsored Post-Link Ad-FreeAcctAppsFACEBOOKLifestyleChA»1x1»SocialBan»SOC»ALL»CPC»AUT»D»UNK»SS»NA»Trials</v></cell><cell r="D2341" t="str"><v>43298224560851</v></cell><cell r="E2341" t="str"><v>43298103259562Trials</v></cell><cell r="F2341" t="str"><v>DCM</v></cell><cell r="G2341" t="str"><v>https://azure.microsoft.com/fr-fr/free/search/</v></cell></row><row r="2341"><cell r="K2341" t="str"><v>July</v></cell><cell r="L2341"><v>43302</v></cell><cell r="M2341" t="str"><v>Tier 1</v></cell><cell r="N2341" t="str"><v>EMEA</v></cell><cell r="O2341" t="str"><v>France</v></cell><cell r="P2341" t="str"><v>Trial</v></cell><cell r="Q2341" t="str"><v>Social</v></cell><cell r="R2341" t="str"><v>Azure</v></cell><cell r="S2341" t="str"><v>Apps & Infra</v></cell><cell r="T2341" t="str"><v>Developers & ITI's</v></cell><cell r="U2341" t="str"><v>Developers/ITPros-Azure Direct-Sponsored Post-Link Ad-FreeAcctAppsFACEBOOKLifestyleChA</v></cell><cell r="V2341" t="str"><v>Audience Targeting</v></cell><cell r="W2341" t="str"><v>Social</v></cell><cell r="X2341" t="str"><v>1x1</v></cell></row><row r="2341"><cell r="AA2341"><v>43298</v></cell><cell r="AB2341" t="str"><v>FRA_gaPMG_AZR_AZR_Q1_19_AzureDirect-Trial-Social</v></cell><cell r="AC2341"><v>21356941</v></cell><cell r="AD2341"><v>720193</v></cell><cell r="AE2341" t="str"><v>Facebook</v></cell><cell r="AF2341"><v>3654128</v></cell><cell r="AG2341" t="str"><v>Facebook»Developers/ITPros-Azure Direct-Sponsored Post-Link Ad-FreeAcctAppsFACEBOOKLifestyleChA»1x1»SocialBan»SOC»ALL»CPC»AUT»D»UNK»SS»NA»Trials</v></cell><cell r="AH2341"><v>224560851</v></cell><cell r="AI2341" t="str"><v>AZR_FreeAcctAppsFACEBOOKLifestyleChA_FRA_1200x628_SOC_PLAT_FR_Trial_Standard_NA_SINU_T1_1</v></cell><cell r="AJ2341"><v>103259562</v></cell></row><row r="2342"><cell r="C2342" t="str"><v>43298Facebook»Developers/ITPros-Azure Direct-Sponsored Post-Link Ad-FreeAcctRetargetingFB-Animated-ChC»1x1»SocialBan»SOC»ALL»CPC»BT»D»UNK»SS»NA»Trials</v></cell><cell r="D2342" t="str"><v>43298224560848</v></cell><cell r="E2342" t="str"><v>43298103259775Trials</v></cell><cell r="F2342" t="str"><v>DCM</v></cell><cell r="G2342" t="str"><v>https://azure.microsoft.com/fr-fr/free/search/</v></cell></row><row r="2342"><cell r="K2342" t="str"><v>July</v></cell><cell r="L2342"><v>43302</v></cell><cell r="M2342" t="str"><v>Tier 1</v></cell><cell r="N2342" t="str"><v>EMEA</v></cell><cell r="O2342" t="str"><v>France</v></cell><cell r="P2342" t="str"><v>Trial</v></cell><cell r="Q2342" t="str"><v>Social</v></cell><cell r="R2342" t="str"><v>Azure</v></cell><cell r="S2342" t="str"><v>Apps & Infra</v></cell><cell r="T2342" t="str"><v>Developers & ITI's</v></cell><cell r="U2342" t="str"><v>Developers/ITPros-Azure Direct-Sponsored Post-Link Ad-FreeAcctRetargetingFB-Animated-ChC</v></cell><cell r="V2342" t="str"><v>Behavioral Targeting</v></cell><cell r="W2342" t="str"><v>Social</v></cell><cell r="X2342" t="str"><v>1x1</v></cell></row><row r="2342"><cell r="AA2342"><v>43298</v></cell><cell r="AB2342" t="str"><v>FRA_gaPMG_AZR_AZR_Q1_19_AzureDirect-Trial-Social</v></cell><cell r="AC2342"><v>21356941</v></cell><cell r="AD2342"><v>720193</v></cell><cell r="AE2342" t="str"><v>Facebook</v></cell><cell r="AF2342"><v>3654128</v></cell><cell r="AG2342" t="str"><v>Facebook»Developers/ITPros-Azure Direct-Sponsored Post-Link Ad-FreeAcctRetargetingFB-Animated-ChC»1x1»SocialBan»SOC»ALL»CPC»BT»D»UNK»SS»NA»Trials</v></cell><cell r="AH2342"><v>224560848</v></cell><cell r="AI2342" t="str"><v>AZR_reeAcctRetargetingFB-Animated-ChC_FRA_1200x628_SOC_AZRDirect_French_NA_Facebook_SBAN_SINU_T3_1</v></cell><cell r="AJ2342"><v>103259775</v></cell></row><row r="2343"><cell r="C2343" t="str"><v>43298Facebook»Developers/ITPros-Azure Direct-Sponsored Post-Link Ad-FreeAcctRetargetingOSSFB-Logos-ChG»1x1»SocialBan»SOC»ALL»CPC»BT»D»UNK»SS»NA»Trials</v></cell><cell r="D2343" t="str"><v>43298224560842</v></cell><cell r="E2343" t="str"><v>43298103259769Trials</v></cell><cell r="F2343" t="str"><v>DCM</v></cell><cell r="G2343" t="str"><v>https://azure.microsoft.com/fr-fr/free/open-source/search/</v></cell></row><row r="2343"><cell r="K2343" t="str"><v>July</v></cell><cell r="L2343"><v>43302</v></cell><cell r="M2343" t="str"><v>Tier 1</v></cell><cell r="N2343" t="str"><v>EMEA</v></cell><cell r="O2343" t="str"><v>France</v></cell><cell r="P2343" t="str"><v>Trial</v></cell><cell r="Q2343" t="str"><v>Social</v></cell><cell r="R2343" t="str"><v>Azure</v></cell><cell r="S2343" t="str"><v>Apps & Infra</v></cell><cell r="T2343" t="str"><v>Developers & ITI's</v></cell><cell r="U2343" t="str"><v>Developers/ITPros-Azure Direct-Sponsored Post-Link Ad-FreeAcctRetargetingOSSFB-Logos-ChG</v></cell><cell r="V2343" t="str"><v>Behavioral Targeting</v></cell><cell r="W2343" t="str"><v>Social</v></cell><cell r="X2343" t="str"><v>1x1</v></cell></row><row r="2343"><cell r="AA2343"><v>43298</v></cell><cell r="AB2343" t="str"><v>FRA_gaPMG_AZR_AZR_Q1_19_AzureDirect-Trial-Social</v></cell><cell r="AC2343"><v>21356941</v></cell><cell r="AD2343"><v>720193</v></cell><cell r="AE2343" t="str"><v>Facebook</v></cell><cell r="AF2343"><v>3654128</v></cell><cell r="AG2343" t="str"><v>Facebook»Developers/ITPros-Azure Direct-Sponsored Post-Link Ad-FreeAcctRetargetingOSSFB-Logos-ChG»1x1»SocialBan»SOC»ALL»CPC»BT»D»UNK»SS»NA»Trials</v></cell><cell r="AH2343"><v>224560842</v></cell><cell r="AI2343" t="str"><v>AZR_FreeAcctRetargetingOSSFB-Logos-ChG_FRA_1200x628_SOC_AZRDirect_French_NA_Facebook_SBAN_SINU_T2_1</v></cell><cell r="AJ2343"><v>103259769</v></cell></row><row r="2344"><cell r="C2344" t="str"><v>43298Facebook»Developers/ITPros-Azure Direct-Sponsored Post-Link Ad-FreeAcctRetargetingVMFB-OnDemand-ChE»1x1»SocialBan»SOC»ALL»CPC»BT»D»UNK»SS»NA»Trials</v></cell><cell r="D2344" t="str"><v>43298224560833</v></cell><cell r="E2344" t="str"><v>43298103376990Trials</v></cell><cell r="F2344" t="str"><v>DCM</v></cell><cell r="G2344" t="str"><v>https://azure.microsoft.com/fr-fr/free/virtual-machines/search/</v></cell></row><row r="2344"><cell r="K2344" t="str"><v>July</v></cell><cell r="L2344"><v>43302</v></cell><cell r="M2344" t="str"><v>Tier 1</v></cell><cell r="N2344" t="str"><v>EMEA</v></cell><cell r="O2344" t="str"><v>France</v></cell><cell r="P2344" t="str"><v>Trial</v></cell><cell r="Q2344" t="str"><v>Social</v></cell><cell r="R2344" t="str"><v>Azure</v></cell><cell r="S2344" t="str"><v>Apps & Infra</v></cell><cell r="T2344" t="str"><v>Developers & ITI's</v></cell><cell r="U2344" t="str"><v>Developers/ITPros-Azure Direct-Sponsored Post-Link Ad-FreeAcctRetargetingVMFB-OnDemand-ChE</v></cell><cell r="V2344" t="str"><v>Behavioral Targeting</v></cell><cell r="W2344" t="str"><v>Social</v></cell><cell r="X2344" t="str"><v>1x1</v></cell></row><row r="2344"><cell r="AA2344"><v>43298</v></cell><cell r="AB2344" t="str"><v>FRA_gaPMG_AZR_AZR_Q1_19_AzureDirect-Trial-Social</v></cell><cell r="AC2344"><v>21356941</v></cell><cell r="AD2344"><v>720193</v></cell><cell r="AE2344" t="str"><v>Facebook</v></cell><cell r="AF2344"><v>3654128</v></cell><cell r="AG2344" t="str"><v>Facebook»Developers/ITPros-Azure Direct-Sponsored Post-Link Ad-FreeAcctRetargetingVMFB-OnDemand-ChE»1x1»SocialBan»SOC»ALL»CPC»BT»D»UNK»SS»NA»Trials</v></cell><cell r="AH2344"><v>224560833</v></cell><cell r="AI2344" t="str"><v>AZR_FreeAcctRetargetingVMFB-OnDemand-ChE_FRA_1200x628_SOC_AZRDirect_French_NA_Facebook_SBAN_SINU_T2_1</v></cell><cell r="AJ2344"><v>103376990</v></cell></row><row r="2345"><cell r="C2345" t="str"><v>43298Facebook»Audience & Interest Targeting»1x1»SocialBan»LIA»DT»CPC»AUT»W»NA»SS»NA»Basic Motion</v></cell><cell r="D2345" t="str"><v>43298224399962</v></cell><cell r="E2345" t="str"><v>43298103230847Motion</v></cell><cell r="F2345" t="str"><v>DCM</v></cell><cell r="G2345" t="str"><v>https://azure.microsoft.com/en-gb/pricing/purchase-options/</v></cell></row><row r="2345"><cell r="K2345" t="str"><v>July</v></cell><cell r="L2345"><v>43302</v></cell><cell r="M2345" t="str"><v>Tier 1</v></cell><cell r="N2345" t="str"><v>EMEA</v></cell><cell r="O2345" t="str"><v>United Kingdom</v></cell><cell r="P2345" t="str"><v>Trial</v></cell><cell r="Q2345" t="str"><v>Social</v></cell><cell r="R2345" t="str"><v>Azure</v></cell><cell r="S2345" t="str"><v>Apps & Infra</v></cell><cell r="T2345" t="str"><v>Developers & ITI's</v></cell><cell r="U2345" t="str"><v>Audience & Interest Targeting</v></cell><cell r="V2345" t="str"><v>Audience Targeting</v></cell><cell r="W2345" t="str"><v>Link Ad</v></cell><cell r="X2345" t="str"><v>1x1</v></cell></row><row r="2345"><cell r="AA2345"><v>43298</v></cell><cell r="AB2345" t="str"><v>GBR_gaPMG_CE_AZR_Q1_19_Trial-Social</v></cell><cell r="AC2345"><v>21337013</v></cell><cell r="AD2345"><v>720196</v></cell><cell r="AE2345" t="str"><v>Facebook</v></cell><cell r="AF2345"><v>3654128</v></cell><cell r="AG2345" t="str"><v>Facebook»Audience & Interest Targeting»1x1»SocialBan»LIA»DT»CPC»AUT»W»NA»SS»NA»Basic Motion</v></cell><cell r="AH2345"><v>224399962</v></cell><cell r="AI2345" t="str"><v>AzurePlatform_FBCTCcanvaspage-BuyNowCTA-Img3_GBR_1080x162_SOC_Plat_English_NA_Standard_NA_BN_T3_1</v></cell><cell r="AJ2345"><v>103230847</v></cell></row><row r="2346"><cell r="C2346" t="str"><v>43298Facebook»Audience & Interest Targeting»1x1»SocialBan»LIA»DT»CPC»AUT»W»NA»SS»NA»Basic Motion</v></cell><cell r="D2346" t="str"><v>43298224399962</v></cell><cell r="E2346" t="str"><v>43298103235146Motion</v></cell><cell r="F2346" t="str"><v>DCM</v></cell><cell r="G2346" t="str"><v>https://signup.azure.com/signup?offer=ms-azr-0044p&appId=102&ref=paidmedia-social-fb&redirectURL=https%3a%2f%2fazure.microsoft.com%2fen-gb%2fget-started%2fwelcome-to-azure%2f&l=en-gb&correlationId=ead86c34-1f10-49dd-a72b-6918462a2cbf</v></cell></row><row r="2346"><cell r="K2346" t="str"><v>July</v></cell><cell r="L2346"><v>43302</v></cell><cell r="M2346" t="str"><v>Tier 1</v></cell><cell r="N2346" t="str"><v>EMEA</v></cell><cell r="O2346" t="str"><v>United Kingdom</v></cell><cell r="P2346" t="str"><v>Trial</v></cell><cell r="Q2346" t="str"><v>Social</v></cell><cell r="R2346" t="str"><v>Azure</v></cell><cell r="S2346" t="str"><v>Apps & Infra</v></cell><cell r="T2346" t="str"><v>Developers & ITI's</v></cell><cell r="U2346" t="str"><v>Audience & Interest Targeting</v></cell><cell r="V2346" t="str"><v>Audience Targeting</v></cell><cell r="W2346" t="str"><v>Link Ad</v></cell><cell r="X2346" t="str"><v>1x1</v></cell></row><row r="2346"><cell r="AA2346"><v>43298</v></cell><cell r="AB2346" t="str"><v>GBR_gaPMG_CE_AZR_Q1_19_Trial-Social</v></cell><cell r="AC2346"><v>21337013</v></cell><cell r="AD2346"><v>720196</v></cell><cell r="AE2346" t="str"><v>Facebook</v></cell><cell r="AF2346"><v>3654128</v></cell><cell r="AG2346" t="str"><v>Facebook»Audience & Interest Targeting»1x1»SocialBan»LIA»DT»CPC»AUT»W»NA»SS»NA»Basic Motion</v></cell><cell r="AH2346"><v>224399962</v></cell><cell r="AI2346" t="str"><v>AzurePlatform_FBCTCcanvaspage-StartFreeCTA-Img2_GBR_1080x143 _SOC_Plat_English_NA_Standard_NA_NA_T2_1</v></cell><cell r="AJ2346"><v>103235146</v></cell></row><row r="2347"><cell r="C2347" t="str"><v>43298Facebook»Audience & Interest Targeting»1x1»SocialBan»LIA»DT»CPC»AUT»W»NA»SS»NA»Benefit 2 in Motion</v></cell><cell r="D2347" t="str"><v>43298224334170</v></cell><cell r="E2347" t="str"><v>43298103230847Motion</v></cell><cell r="F2347" t="str"><v>DCM</v></cell><cell r="G2347" t="str"><v>https://azure.microsoft.com/en-gb/pricing/purchase-options/</v></cell></row><row r="2347"><cell r="K2347" t="str"><v>July</v></cell><cell r="L2347"><v>43302</v></cell><cell r="M2347" t="str"><v>Tier 1</v></cell><cell r="N2347" t="str"><v>EMEA</v></cell><cell r="O2347" t="str"><v>United Kingdom</v></cell><cell r="P2347" t="str"><v>Trial</v></cell><cell r="Q2347" t="str"><v>Social</v></cell><cell r="R2347" t="str"><v>Azure</v></cell><cell r="S2347" t="str"><v>Apps & Infra</v></cell><cell r="T2347" t="str"><v>Developers & ITI's</v></cell><cell r="U2347" t="str"><v>Audience & Interest Targeting</v></cell><cell r="V2347" t="str"><v>Audience Targeting</v></cell><cell r="W2347" t="str"><v>Link Ad</v></cell><cell r="X2347" t="str"><v>1x1</v></cell></row><row r="2347"><cell r="AA2347"><v>43298</v></cell><cell r="AB2347" t="str"><v>GBR_gaPMG_CE_AZR_Q1_19_Trial-Social</v></cell><cell r="AC2347"><v>21337013</v></cell><cell r="AD2347"><v>720196</v></cell><cell r="AE2347" t="str"><v>Facebook</v></cell><cell r="AF2347"><v>3654128</v></cell><cell r="AG2347" t="str"><v>Facebook»Audience & Interest Targeting»1x1»SocialBan»LIA»DT»CPC»AUT»W»NA»SS»NA»Benefit 2 in Motion</v></cell><cell r="AH2347"><v>224334170</v></cell><cell r="AI2347" t="str"><v>AzurePlatform_FBCTCcanvaspage-BuyNowCTA-Img3_GBR_1080x162_SOC_Plat_English_NA_Standard_NA_BN_T3_1</v></cell><cell r="AJ2347"><v>103230847</v></cell></row><row r="2348"><cell r="C2348" t="str"><v>43298Facebook»Audience & Interest Targeting»1x1»SocialBan»LIA»DT»CPC»AUT»W»NA»SS»NA»Benefit 2 in Motion</v></cell><cell r="D2348" t="str"><v>43298224334170</v></cell><cell r="E2348" t="str"><v>43298103235146Motion</v></cell><cell r="F2348" t="str"><v>DCM</v></cell><cell r="G2348" t="str"><v>https://signup.azure.com/signup?offer=ms-azr-0044p&appId=102&ref=paidmedia-social-fb&redirectURL=https%3a%2f%2fazure.microsoft.com%2fen-gb%2fget-started%2fwelcome-to-azure%2f&l=en-gb&correlationId=ead86c34-1f10-49dd-a72b-6918462a2cbf</v></cell></row><row r="2348"><cell r="K2348" t="str"><v>July</v></cell><cell r="L2348"><v>43302</v></cell><cell r="M2348" t="str"><v>Tier 1</v></cell><cell r="N2348" t="str"><v>EMEA</v></cell><cell r="O2348" t="str"><v>United Kingdom</v></cell><cell r="P2348" t="str"><v>Trial</v></cell><cell r="Q2348" t="str"><v>Social</v></cell><cell r="R2348" t="str"><v>Azure</v></cell><cell r="S2348" t="str"><v>Apps & Infra</v></cell><cell r="T2348" t="str"><v>Developers & ITI's</v></cell><cell r="U2348" t="str"><v>Audience & Interest Targeting</v></cell><cell r="V2348" t="str"><v>Audience Targeting</v></cell><cell r="W2348" t="str"><v>Link Ad</v></cell><cell r="X2348" t="str"><v>1x1</v></cell></row><row r="2348"><cell r="AA2348"><v>43298</v></cell><cell r="AB2348" t="str"><v>GBR_gaPMG_CE_AZR_Q1_19_Trial-Social</v></cell><cell r="AC2348"><v>21337013</v></cell><cell r="AD2348"><v>720196</v></cell><cell r="AE2348" t="str"><v>Facebook</v></cell><cell r="AF2348"><v>3654128</v></cell><cell r="AG2348" t="str"><v>Facebook»Audience & Interest Targeting»1x1»SocialBan»LIA»DT»CPC»AUT»W»NA»SS»NA»Benefit 2 in Motion</v></cell><cell r="AH2348"><v>224334170</v></cell><cell r="AI2348" t="str"><v>AzurePlatform_FBCTCcanvaspage-StartFreeCTA-Img2_GBR_1080x143 _SOC_Plat_English_NA_Standard_NA_NA_T2_1</v></cell><cell r="AJ2348"><v>103235146</v></cell></row><row r="2349"><cell r="C2349" t="str"><v>43298Facebook»Audience & Interest Targeting»1x1»SocialBan»LIA»DT»CPC»AUT»W»NA»SS»NA»Brand in Motion</v></cell><cell r="D2349" t="str"><v>43298224549481</v></cell><cell r="E2349" t="str"><v>43298103235146Motion</v></cell><cell r="F2349" t="str"><v>DCM</v></cell><cell r="G2349" t="str"><v>https://signup.azure.com/signup?offer=ms-azr-0044p&appId=102&ref=paidmedia-social-fb&redirectURL=https%3a%2f%2fazure.microsoft.com%2fen-gb%2fget-started%2fwelcome-to-azure%2f&l=en-gb&correlationId=ead86c34-1f10-49dd-a72b-6918462a2cbf</v></cell></row><row r="2349"><cell r="K2349" t="str"><v>July</v></cell><cell r="L2349"><v>43302</v></cell><cell r="M2349" t="str"><v>Tier 1</v></cell><cell r="N2349" t="str"><v>EMEA</v></cell><cell r="O2349" t="str"><v>United Kingdom</v></cell><cell r="P2349" t="str"><v>Trial</v></cell><cell r="Q2349" t="str"><v>Social</v></cell><cell r="R2349" t="str"><v>Azure</v></cell><cell r="S2349" t="str"><v>Apps & Infra</v></cell><cell r="T2349" t="str"><v>Developers & ITI's</v></cell><cell r="U2349" t="str"><v>Audience & Interest Targeting</v></cell><cell r="V2349" t="str"><v>Audience Targeting</v></cell><cell r="W2349" t="str"><v>Link Ad</v></cell><cell r="X2349" t="str"><v>1x1</v></cell></row><row r="2349"><cell r="AA2349"><v>43298</v></cell><cell r="AB2349" t="str"><v>GBR_gaPMG_CE_AZR_Q1_19_Trial-Social</v></cell><cell r="AC2349"><v>21337013</v></cell><cell r="AD2349"><v>720196</v></cell><cell r="AE2349" t="str"><v>Facebook</v></cell><cell r="AF2349"><v>3654128</v></cell><cell r="AG2349" t="str"><v>Facebook»Audience & Interest Targeting»1x1»SocialBan»LIA»DT»CPC»AUT»W»NA»SS»NA»Brand in Motion</v></cell><cell r="AH2349"><v>224549481</v></cell><cell r="AI2349" t="str"><v>AzurePlatform_FBCTCcanvaspage-StartFreeCTA-Img2_GBR_1080x143 _SOC_Plat_English_NA_Standard_NA_NA_T2_1</v></cell><cell r="AJ2349"><v>103235146</v></cell></row><row r="2350"><cell r="C2350" t="str"><v>43298Facebook»Audience & Interest Targeting»1x1»SocialBan»LIA»DT»DYN»AUT»W»NA»SS»NA»Free Account Refresh- 12 months ChE</v></cell><cell r="D2350" t="str"><v>43298223567691</v></cell><cell r="E2350" t="str"><v>43298102854007hs ChE</v></cell><cell r="F2350" t="str"><v>DCM</v></cell><cell r="G2350" t="str"><v>https://azure.microsoft.com/en-gb/free/search/</v></cell></row><row r="2350"><cell r="K2350" t="str"><v>July</v></cell><cell r="L2350"><v>43302</v></cell><cell r="M2350" t="str"><v>Tier 1</v></cell><cell r="N2350" t="str"><v>EMEA</v></cell><cell r="O2350" t="str"><v>United Kingdom</v></cell><cell r="P2350" t="str"><v>Trial</v></cell><cell r="Q2350" t="str"><v>Social</v></cell><cell r="R2350" t="str"><v>Azure</v></cell><cell r="S2350" t="str"><v>Apps & Infra</v></cell><cell r="T2350" t="str"><v>Developers & ITI's</v></cell><cell r="U2350" t="str"><v>Audience & Interest Targeting</v></cell><cell r="V2350" t="str"><v>Audience Targeting</v></cell><cell r="W2350" t="str"><v>Link Ad</v></cell><cell r="X2350" t="str"><v>1x1</v></cell></row><row r="2350"><cell r="AA2350"><v>43298</v></cell><cell r="AB2350" t="str"><v>GBR_gaPMG_CE_AZR_Q1_19_Trial-Social</v></cell><cell r="AC2350"><v>21337013</v></cell><cell r="AD2350"><v>720196</v></cell><cell r="AE2350" t="str"><v>Facebook</v></cell><cell r="AF2350"><v>3654128</v></cell><cell r="AG2350" t="str"><v>Facebook»Audience & Interest Targeting»1x1»SocialBan»LIA»DT»DYN»AUT»W»NA»SS»NA»Free Account Refresh- 12 months ChE</v></cell><cell r="AH2350"><v>223567691</v></cell><cell r="AI2350" t="str"><v>AzurePlatform_FreeAcctAppsFACEBOOK12monthsChE_GBR_1200x628_SOC_PLAT_EN_Trial_Standard_NA_SU_T5_1</v></cell><cell r="AJ2350"><v>102854007</v></cell></row><row r="2351"><cell r="C2351" t="str"><v>43298Facebook»Audience & Interest Targeting»1x1»SocialBan»LIA»DT»DYN»AUT»W»NA»SS»NA»Free Account Refresh- 200 Credit ChD</v></cell><cell r="D2351" t="str"><v>43298223560359</v></cell><cell r="E2351" t="str"><v>43298103005662it ChD</v></cell><cell r="F2351" t="str"><v>DCM</v></cell><cell r="G2351" t="str"><v>https://azure.microsoft.com/en-gb/free/search/</v></cell></row><row r="2351"><cell r="K2351" t="str"><v>July</v></cell><cell r="L2351"><v>43302</v></cell><cell r="M2351" t="str"><v>Tier 1</v></cell><cell r="N2351" t="str"><v>EMEA</v></cell><cell r="O2351" t="str"><v>United Kingdom</v></cell><cell r="P2351" t="str"><v>Trial</v></cell><cell r="Q2351" t="str"><v>Social</v></cell><cell r="R2351" t="str"><v>Azure</v></cell><cell r="S2351" t="str"><v>Apps & Infra</v></cell><cell r="T2351" t="str"><v>Developers & ITI's</v></cell><cell r="U2351" t="str"><v>Audience & Interest Targeting</v></cell><cell r="V2351" t="str"><v>Audience Targeting</v></cell><cell r="W2351" t="str"><v>Link Ad</v></cell><cell r="X2351" t="str"><v>1x1</v></cell></row><row r="2351"><cell r="AA2351"><v>43298</v></cell><cell r="AB2351" t="str"><v>GBR_gaPMG_CE_AZR_Q1_19_Trial-Social</v></cell><cell r="AC2351"><v>21337013</v></cell><cell r="AD2351"><v>720196</v></cell><cell r="AE2351" t="str"><v>Facebook</v></cell><cell r="AF2351"><v>3654128</v></cell><cell r="AG2351" t="str"><v>Facebook»Audience & Interest Targeting»1x1»SocialBan»LIA»DT»DYN»AUT»W»NA»SS»NA»Free Account Refresh- 200 Credit ChD</v></cell><cell r="AH2351"><v>223560359</v></cell><cell r="AI2351" t="str"><v>AzurePlatform_FreeAcctAppsFACEBOOK200CreditChD_GBR_1200x628_SOC_PLAT_EN_Trial_Standard_NA_SU_T4_1</v></cell><cell r="AJ2351"><v>103005662</v></cell></row><row r="2352"><cell r="C2352" t="str"><v>43298Facebook»Audience & Interest Targeting»1x1»SocialBan»LIA»DT»DYN»AUT»W»NA»SS»NA»Free Account Refresh- Device ChB</v></cell><cell r="D2352" t="str"><v>43298223560353</v></cell><cell r="E2352" t="str"><v>43298102854010ce ChB</v></cell><cell r="F2352" t="str"><v>DCM</v></cell><cell r="G2352" t="str"><v>https://azure.microsoft.com/en-gb/free/search/</v></cell></row><row r="2352"><cell r="K2352" t="str"><v>July</v></cell><cell r="L2352"><v>43302</v></cell><cell r="M2352" t="str"><v>Tier 1</v></cell><cell r="N2352" t="str"><v>EMEA</v></cell><cell r="O2352" t="str"><v>United Kingdom</v></cell><cell r="P2352" t="str"><v>Trial</v></cell><cell r="Q2352" t="str"><v>Social</v></cell><cell r="R2352" t="str"><v>Azure</v></cell><cell r="S2352" t="str"><v>Apps & Infra</v></cell><cell r="T2352" t="str"><v>Developers & ITI's</v></cell><cell r="U2352" t="str"><v>Audience & Interest Targeting</v></cell><cell r="V2352" t="str"><v>Audience Targeting</v></cell><cell r="W2352" t="str"><v>Link Ad</v></cell><cell r="X2352" t="str"><v>1x1</v></cell></row><row r="2352"><cell r="AA2352"><v>43298</v></cell><cell r="AB2352" t="str"><v>GBR_gaPMG_CE_AZR_Q1_19_Trial-Social</v></cell><cell r="AC2352"><v>21337013</v></cell><cell r="AD2352"><v>720196</v></cell><cell r="AE2352" t="str"><v>Facebook</v></cell><cell r="AF2352"><v>3654128</v></cell><cell r="AG2352" t="str"><v>Facebook»Audience & Interest Targeting»1x1»SocialBan»LIA»DT»DYN»AUT»W»NA»SS»NA»Free Account Refresh- Device ChB</v></cell><cell r="AH2352"><v>223560353</v></cell><cell r="AI2352" t="str"><v>AzurePlatform_FreeAcctAppsFACEBOOKDeviceChB_GBR_1200x628_SOC_PLAT_EN_Trial_Standard_NA_SU_T2_1</v></cell><cell r="AJ2352"><v>102854010</v></cell></row><row r="2353"><cell r="C2353" t="str"><v>43298Facebook»Audience & Interest Targeting»1x1»SocialBan»LIA»DT»DYN»AUT»W»NA»SS»NA»Free Account Refresh- Illustration ChC</v></cell><cell r="D2353" t="str"><v>43298223560347</v></cell><cell r="E2353" t="str"><v>43298102857037on ChC</v></cell><cell r="F2353" t="str"><v>DCM</v></cell><cell r="G2353" t="str"><v>https://azure.microsoft.com/en-gb/free/search/</v></cell></row><row r="2353"><cell r="K2353" t="str"><v>July</v></cell><cell r="L2353"><v>43302</v></cell><cell r="M2353" t="str"><v>Tier 1</v></cell><cell r="N2353" t="str"><v>EMEA</v></cell><cell r="O2353" t="str"><v>United Kingdom</v></cell><cell r="P2353" t="str"><v>Trial</v></cell><cell r="Q2353" t="str"><v>Social</v></cell><cell r="R2353" t="str"><v>Azure</v></cell><cell r="S2353" t="str"><v>Apps & Infra</v></cell><cell r="T2353" t="str"><v>Developers & ITI's</v></cell><cell r="U2353" t="str"><v>Audience & Interest Targeting</v></cell><cell r="V2353" t="str"><v>Audience Targeting</v></cell><cell r="W2353" t="str"><v>Link Ad</v></cell><cell r="X2353" t="str"><v>1x1</v></cell></row><row r="2353"><cell r="AA2353"><v>43298</v></cell><cell r="AB2353" t="str"><v>GBR_gaPMG_CE_AZR_Q1_19_Trial-Social</v></cell><cell r="AC2353"><v>21337013</v></cell><cell r="AD2353"><v>720196</v></cell><cell r="AE2353" t="str"><v>Facebook</v></cell><cell r="AF2353"><v>3654128</v></cell><cell r="AG2353" t="str"><v>Facebook»Audience & Interest Targeting»1x1»SocialBan»LIA»DT»DYN»AUT»W»NA»SS»NA»Free Account Refresh- Illustration ChC</v></cell><cell r="AH2353"><v>223560347</v></cell><cell r="AI2353" t="str"><v>AzurePlatform_FreeAcctAppsFACEBOOKIllustrationChC_GBR_1200x628_SOC_PLAT_EN_Trial_Standard_NA_SU_T3_1</v></cell><cell r="AJ2353"><v>102857037</v></cell></row><row r="2354"><cell r="C2354" t="str"><v>43298Facebook»Audience & Interest Targeting»1x1»SocialBan»LIA»DT»DYN»AUT»W»NA»SS»NA»Free Account Refresh- Lifestyle ChA</v></cell><cell r="D2354" t="str"><v>43298223560341</v></cell><cell r="E2354" t="str"><v>43298102853597le ChA</v></cell><cell r="F2354" t="str"><v>DCM</v></cell><cell r="G2354" t="str"><v>https://azure.microsoft.com/en-gb/free/search/</v></cell></row><row r="2354"><cell r="K2354" t="str"><v>July</v></cell><cell r="L2354"><v>43302</v></cell><cell r="M2354" t="str"><v>Tier 1</v></cell><cell r="N2354" t="str"><v>EMEA</v></cell><cell r="O2354" t="str"><v>United Kingdom</v></cell><cell r="P2354" t="str"><v>Trial</v></cell><cell r="Q2354" t="str"><v>Social</v></cell><cell r="R2354" t="str"><v>Azure</v></cell><cell r="S2354" t="str"><v>Apps & Infra</v></cell><cell r="T2354" t="str"><v>Developers & ITI's</v></cell><cell r="U2354" t="str"><v>Audience & Interest Targeting</v></cell><cell r="V2354" t="str"><v>Audience Targeting</v></cell><cell r="W2354" t="str"><v>Link Ad</v></cell><cell r="X2354" t="str"><v>1x1</v></cell></row><row r="2354"><cell r="AA2354"><v>43298</v></cell><cell r="AB2354" t="str"><v>GBR_gaPMG_CE_AZR_Q1_19_Trial-Social</v></cell><cell r="AC2354"><v>21337013</v></cell><cell r="AD2354"><v>720196</v></cell><cell r="AE2354" t="str"><v>Facebook</v></cell><cell r="AF2354"><v>3654128</v></cell><cell r="AG2354" t="str"><v>Facebook»Audience & Interest Targeting»1x1»SocialBan»LIA»DT»DYN»AUT»W»NA»SS»NA»Free Account Refresh- Lifestyle ChA</v></cell><cell r="AH2354"><v>223560341</v></cell><cell r="AI2354" t="str"><v>AzurePlatform_FreeAcctAppsFACEBOOKLifestyleChA_GBR_1200x628_SOC_PLAT_EN_Trial_Standard_NA_SU_T1_1</v></cell><cell r="AJ2354"><v>102853597</v></cell></row><row r="2355"><cell r="C2355" t="str"><v>43298Facebook»Retargeting»1x1»SocialBan»LIA»DT»DYN»RT»W»NA»SS»NA»Free Account Retargeting Generic- Animated ChC</v></cell><cell r="D2355" t="str"><v>43298223560299</v></cell><cell r="E2355" t="str"><v>43298102854019ed ChC</v></cell><cell r="F2355" t="str"><v>DCM</v></cell><cell r="G2355" t="str"><v>https://azure.microsoft.com/en-gb/free/search/</v></cell></row><row r="2355"><cell r="K2355" t="str"><v>July</v></cell><cell r="L2355"><v>43302</v></cell><cell r="M2355" t="str"><v>Tier 1</v></cell><cell r="N2355" t="str"><v>EMEA</v></cell><cell r="O2355" t="str"><v>United Kingdom</v></cell><cell r="P2355" t="str"><v>Trial</v></cell><cell r="Q2355" t="str"><v>Social</v></cell><cell r="R2355" t="str"><v>Azure</v></cell><cell r="S2355" t="str"><v>Apps & Infra</v></cell><cell r="T2355" t="str"><v>Developers & ITI's</v></cell><cell r="U2355" t="str"><v>Retargeting</v></cell><cell r="V2355" t="str"><v>Retargeting</v></cell><cell r="W2355" t="str"><v>Link Ad</v></cell><cell r="X2355" t="str"><v>1x1</v></cell></row><row r="2355"><cell r="AA2355"><v>43298</v></cell><cell r="AB2355" t="str"><v>GBR_gaPMG_CE_AZR_Q1_19_Trial-Social</v></cell><cell r="AC2355"><v>21337013</v></cell><cell r="AD2355"><v>720196</v></cell><cell r="AE2355" t="str"><v>Facebook</v></cell><cell r="AF2355"><v>3654128</v></cell><cell r="AG2355" t="str"><v>Facebook»Retargeting»1x1»SocialBan»LIA»DT»DYN»RT»W»NA»SS»NA»Free Account Retargeting Generic- Animated ChC</v></cell><cell r="AH2355"><v>223560299</v></cell><cell r="AI2355" t="str"><v>AzurePlatform_FreeAcctRetargetingFB-Animated-ChC_GBR_1200x628_SOC_Plat_EN_Free Account_Standard_ANI_SU_T3_1</v></cell><cell r="AJ2355"><v>102854019</v></cell></row><row r="2356"><cell r="C2356" t="str"><v>43298Facebook»Retargeting»1x1»SocialBan»LIA»DT»DYN»RT»W»NA»SS»NA»Free Account Retargeting Generic- Global Alt ChB</v></cell><cell r="D2356" t="str"><v>43298223560356</v></cell><cell r="E2356" t="str"><v>43298102854016lt ChB</v></cell><cell r="F2356" t="str"><v>DCM</v></cell><cell r="G2356" t="str"><v>https://azure.microsoft.com/en-gb/free/search/</v></cell></row><row r="2356"><cell r="K2356" t="str"><v>July</v></cell><cell r="L2356"><v>43302</v></cell><cell r="M2356" t="str"><v>Tier 1</v></cell><cell r="N2356" t="str"><v>EMEA</v></cell><cell r="O2356" t="str"><v>United Kingdom</v></cell><cell r="P2356" t="str"><v>Trial</v></cell><cell r="Q2356" t="str"><v>Social</v></cell><cell r="R2356" t="str"><v>Azure</v></cell><cell r="S2356" t="str"><v>Apps & Infra</v></cell><cell r="T2356" t="str"><v>Developers & ITI's</v></cell><cell r="U2356" t="str"><v>Retargeting</v></cell><cell r="V2356" t="str"><v>Retargeting</v></cell><cell r="W2356" t="str"><v>Link Ad</v></cell><cell r="X2356" t="str"><v>1x1</v></cell></row><row r="2356"><cell r="AA2356"><v>43298</v></cell><cell r="AB2356" t="str"><v>GBR_gaPMG_CE_AZR_Q1_19_Trial-Social</v></cell><cell r="AC2356"><v>21337013</v></cell><cell r="AD2356"><v>720196</v></cell><cell r="AE2356" t="str"><v>Facebook</v></cell><cell r="AF2356"><v>3654128</v></cell><cell r="AG2356" t="str"><v>Facebook»Retargeting»1x1»SocialBan»LIA»DT»DYN»RT»W»NA»SS»NA»Free Account Retargeting Generic- Global Alt ChB</v></cell><cell r="AH2356"><v>223560356</v></cell><cell r="AI2356" t="str"><v>AzurePlatform_FreeAcctRetargetingFB-GlobalAlt-ChB_GBR_1200x628_SOC_Plat_EN_Free Account_Standard_NA_SU_T2_1</v></cell><cell r="AJ2356"><v>102854016</v></cell></row><row r="2357"><cell r="C2357" t="str"><v>43298Facebook»Retargeting»1x1»SocialBan»LIA»DT»DYN»RT»W»NA»SS»NA»Free Account Retargeting OSS- Logos ChG</v></cell><cell r="D2357" t="str"><v>43298223560350</v></cell><cell r="E2357" t="str"><v>43298103006547os ChG</v></cell><cell r="F2357" t="str"><v>DCM</v></cell><cell r="G2357" t="str"><v>https://azure.microsoft.com/en-gb/free/open-source/search/</v></cell></row><row r="2357"><cell r="K2357" t="str"><v>July</v></cell><cell r="L2357"><v>43302</v></cell><cell r="M2357" t="str"><v>Tier 1</v></cell><cell r="N2357" t="str"><v>EMEA</v></cell><cell r="O2357" t="str"><v>United Kingdom</v></cell><cell r="P2357" t="str"><v>Trial</v></cell><cell r="Q2357" t="str"><v>Social</v></cell><cell r="R2357" t="str"><v>Azure</v></cell><cell r="S2357" t="str"><v>Apps & Infra</v></cell><cell r="T2357" t="str"><v>Developers & ITI's</v></cell><cell r="U2357" t="str"><v>Retargeting</v></cell><cell r="V2357" t="str"><v>Retargeting</v></cell><cell r="W2357" t="str"><v>Link Ad</v></cell><cell r="X2357" t="str"><v>1x1</v></cell></row><row r="2357"><cell r="AA2357"><v>43298</v></cell><cell r="AB2357" t="str"><v>GBR_gaPMG_CE_AZR_Q1_19_Trial-Social</v></cell><cell r="AC2357"><v>21337013</v></cell><cell r="AD2357"><v>720196</v></cell><cell r="AE2357" t="str"><v>Facebook</v></cell><cell r="AF2357"><v>3654128</v></cell><cell r="AG2357" t="str"><v>Facebook»Retargeting»1x1»SocialBan»LIA»DT»DYN»RT»W»NA»SS»NA»Free Account Retargeting OSS- Logos ChG</v></cell><cell r="AH2357"><v>223560350</v></cell><cell r="AI2357" t="str"><v>AzurePlatform_FreeAcctRetargetingOSSFB-Logos-ChG_GBR_1200x628_SOC_Plat_EN_Free Account_Standard_NA_SU_T2_1</v></cell><cell r="AJ2357"><v>103006547</v></cell></row><row r="2358"><cell r="C2358" t="str"><v>43298Facebook»Retargeting»1x1»SocialBan»LIA»DT»DYN»RT»W»NA»SS»NA»Free Account Retargeting OSS- Text ChF</v></cell><cell r="D2358" t="str"><v>43298223560344</v></cell><cell r="E2358" t="str"><v>43298102861246xt ChF</v></cell><cell r="F2358" t="str"><v>DCM</v></cell><cell r="G2358" t="str"><v>https://azure.microsoft.com/en-gb/free/open-source/search/</v></cell></row><row r="2358"><cell r="K2358" t="str"><v>July</v></cell><cell r="L2358"><v>43302</v></cell><cell r="M2358" t="str"><v>Tier 1</v></cell><cell r="N2358" t="str"><v>EMEA</v></cell><cell r="O2358" t="str"><v>United Kingdom</v></cell><cell r="P2358" t="str"><v>Trial</v></cell><cell r="Q2358" t="str"><v>Social</v></cell><cell r="R2358" t="str"><v>Azure</v></cell><cell r="S2358" t="str"><v>Apps & Infra</v></cell><cell r="T2358" t="str"><v>Developers & ITI's</v></cell><cell r="U2358" t="str"><v>Retargeting</v></cell><cell r="V2358" t="str"><v>Retargeting</v></cell><cell r="W2358" t="str"><v>Link Ad</v></cell><cell r="X2358" t="str"><v>1x1</v></cell></row><row r="2358"><cell r="AA2358"><v>43298</v></cell><cell r="AB2358" t="str"><v>GBR_gaPMG_CE_AZR_Q1_19_Trial-Social</v></cell><cell r="AC2358"><v>21337013</v></cell><cell r="AD2358"><v>720196</v></cell><cell r="AE2358" t="str"><v>Facebook</v></cell><cell r="AF2358"><v>3654128</v></cell><cell r="AG2358" t="str"><v>Facebook»Retargeting»1x1»SocialBan»LIA»DT»DYN»RT»W»NA»SS»NA»Free Account Retargeting OSS- Text ChF</v></cell><cell r="AH2358"><v>223560344</v></cell><cell r="AI2358" t="str"><v>AzurePlatform_FreeAcctRetargetingOSSFB-Text-ChF_GBR_1200x628_SOC_Plat_EN_Free Account_Standard_NA_SU_T1_1</v></cell><cell r="AJ2358"><v>102861246</v></cell></row><row r="2359"><cell r="C2359" t="str"><v>43298Facebook»Retargeting»1x1»SocialBan»LIA»DT»DYN»RT»W»NA»SS»NA»Free Account Retargeting VM- 750 Hrs ChD</v></cell><cell r="D2359" t="str"><v>43298223560338</v></cell><cell r="E2359" t="str"><v>43298102853603rs ChD</v></cell><cell r="F2359" t="str"><v>DCM</v></cell><cell r="G2359" t="str"><v>https://azure.microsoft.com/en-gb/free/virtual-machines/search/</v></cell></row><row r="2359"><cell r="K2359" t="str"><v>July</v></cell><cell r="L2359"><v>43302</v></cell><cell r="M2359" t="str"><v>Tier 1</v></cell><cell r="N2359" t="str"><v>EMEA</v></cell><cell r="O2359" t="str"><v>United Kingdom</v></cell><cell r="P2359" t="str"><v>Trial</v></cell><cell r="Q2359" t="str"><v>Social</v></cell><cell r="R2359" t="str"><v>Azure</v></cell><cell r="S2359" t="str"><v>Apps & Infra</v></cell><cell r="T2359" t="str"><v>Developers & ITI's</v></cell><cell r="U2359" t="str"><v>Retargeting</v></cell><cell r="V2359" t="str"><v>Retargeting</v></cell><cell r="W2359" t="str"><v>Link Ad</v></cell><cell r="X2359" t="str"><v>1x1</v></cell></row><row r="2359"><cell r="AA2359"><v>43298</v></cell><cell r="AB2359" t="str"><v>GBR_gaPMG_CE_AZR_Q1_19_Trial-Social</v></cell><cell r="AC2359"><v>21337013</v></cell><cell r="AD2359"><v>720196</v></cell><cell r="AE2359" t="str"><v>Facebook</v></cell><cell r="AF2359"><v>3654128</v></cell><cell r="AG2359" t="str"><v>Facebook»Retargeting»1x1»SocialBan»LIA»DT»DYN»RT»W»NA»SS»NA»Free Account Retargeting VM- 750 Hrs ChD</v></cell><cell r="AH2359"><v>223560338</v></cell><cell r="AI2359" t="str"><v>AzurePlatform_FreeAcctRetargetingVMFB-750Hrs-ChD_GBR_1200x628_SOC_Plat_EN_Free Account_Standard_NA_SU_T1_1</v></cell><cell r="AJ2359"><v>102853603</v></cell></row><row r="2360"><cell r="C2360" t="str"><v>43298Facebook»AZP-Canvas-Interest&Role-Trial»1x1»Canvas»OTH»MO»CPM»PRO»X»UNK»TP»OT»Canvas-Trial</v></cell><cell r="D2360" t="str"><v>43298223298805</v></cell><cell r="E2360" t="str"><v>43298102630373-Trial</v></cell><cell r="F2360" t="str"><v>DCM</v></cell><cell r="G2360" t="str"><v>https://azure.microsoft.com/ja-jp/pricing/purchase-options/</v></cell></row><row r="2360"><cell r="K2360" t="str"><v>July</v></cell><cell r="L2360"><v>43302</v></cell><cell r="M2360" t="str"><v>Tier 1</v></cell><cell r="N2360" t="str"><v>APAC</v></cell><cell r="O2360" t="str"><v>Japan</v></cell><cell r="P2360" t="str"><v>Trial</v></cell><cell r="Q2360" t="str"><v>Social</v></cell><cell r="R2360" t="str"><v>Azure</v></cell><cell r="S2360" t="str"><v>Apps & Infra</v></cell><cell r="T2360" t="str"><v>Developers & ITI's</v></cell><cell r="U2360" t="str"><v>AZP-Canvas-Interest&Role-Trial</v></cell><cell r="V2360" t="str"><v>Prospecting</v></cell><cell r="W2360" t="str"><v>Other</v></cell><cell r="X2360" t="str"><v>1x1</v></cell></row><row r="2360"><cell r="AA2360"><v>43298</v></cell><cell r="AB2360" t="str"><v>JPN_gaPMG_AZR_AZR_Q1_19_Trial-Social</v></cell><cell r="AC2360"><v>21276694</v></cell><cell r="AD2360"><v>720195</v></cell><cell r="AE2360" t="str"><v>Facebook</v></cell><cell r="AF2360"><v>3654128</v></cell><cell r="AG2360" t="str"><v>Facebook»AZP-Canvas-Interest&Role-Trial»1x1»Canvas»OTH»MO»CPM»PRO»X»UNK»TP»OT»Canvas-Trial</v></cell><cell r="AH2360"><v>223298805</v></cell><cell r="AI2360" t="str"><v>AzurePlatform_FBCTCcanvaspage-BuyNowCTA-Img3_JPN_1080x162_SOC_Plat_Japanese_NA_Standard_NA_BN_T3_1</v></cell><cell r="AJ2360"><v>102630373</v></cell></row><row r="2361"><cell r="C2361" t="str"><v>43298Facebook»AZP-Canvas-Interest&Role-Trial»1x1»Canvas»OTH»MO»CPM»PRO»X»UNK»TP»OT»Canvas-Trial</v></cell><cell r="D2361" t="str"><v>43298223298805</v></cell><cell r="E2361" t="str"><v>43298102609621-Trial</v></cell><cell r="F2361" t="str"><v>DCM</v></cell><cell r="G2361" t="str"><v>https://signup.azure.com/signup?offer=ms-azr-0044p&appId=102&ref=paidmedia-social-fb&redirectURL=https%3a%2f%2fazure.microsoft.com%2fja-jp%2fget-started%2fwelcome-to-azure%2f&l=ja-jp&correlationId=ead86c34-1f10-49dd-a72b-6918462a2cbf</v></cell></row><row r="2361"><cell r="K2361" t="str"><v>July</v></cell><cell r="L2361"><v>43302</v></cell><cell r="M2361" t="str"><v>Tier 1</v></cell><cell r="N2361" t="str"><v>APAC</v></cell><cell r="O2361" t="str"><v>Japan</v></cell><cell r="P2361" t="str"><v>Trial</v></cell><cell r="Q2361" t="str"><v>Social</v></cell><cell r="R2361" t="str"><v>Azure</v></cell><cell r="S2361" t="str"><v>Apps & Infra</v></cell><cell r="T2361" t="str"><v>Developers & ITI's</v></cell><cell r="U2361" t="str"><v>AZP-Canvas-Interest&Role-Trial</v></cell><cell r="V2361" t="str"><v>Prospecting</v></cell><cell r="W2361" t="str"><v>Other</v></cell><cell r="X2361" t="str"><v>1x1</v></cell></row><row r="2361"><cell r="AA2361"><v>43298</v></cell><cell r="AB2361" t="str"><v>JPN_gaPMG_AZR_AZR_Q1_19_Trial-Social</v></cell><cell r="AC2361"><v>21276694</v></cell><cell r="AD2361"><v>720195</v></cell><cell r="AE2361" t="str"><v>Facebook</v></cell><cell r="AF2361"><v>3654128</v></cell><cell r="AG2361" t="str"><v>Facebook»AZP-Canvas-Interest&Role-Trial»1x1»Canvas»OTH»MO»CPM»PRO»X»UNK»TP»OT»Canvas-Trial</v></cell><cell r="AH2361"><v>223298805</v></cell><cell r="AI2361" t="str"><v>AzurePlatform_FBCTCcanvaspage-StartFreeCTA-Img2_JPN_1080x143 _SOC_Plat_Japanese_NA_Standard_NA_NA_T2_1</v></cell><cell r="AJ2361"><v>102609621</v></cell></row><row r="2362"><cell r="C2362" t="str"><v>43298Facebook»AZP-Canvas-Look a Like-Trial»1x1»Canvas»OTH»MO»CPM»PRO»X»UNK»TP»OT»Canvas-Trial</v></cell><cell r="D2362" t="str"><v>43298223297413</v></cell><cell r="E2362" t="str"><v>43298102630373-Trial</v></cell><cell r="F2362" t="str"><v>DCM</v></cell><cell r="G2362" t="str"><v>https://azure.microsoft.com/ja-jp/pricing/purchase-options/</v></cell></row><row r="2362"><cell r="K2362" t="str"><v>July</v></cell><cell r="L2362"><v>43302</v></cell><cell r="M2362" t="str"><v>Tier 1</v></cell><cell r="N2362" t="str"><v>APAC</v></cell><cell r="O2362" t="str"><v>Japan</v></cell><cell r="P2362" t="str"><v>Trial</v></cell><cell r="Q2362" t="str"><v>Social</v></cell><cell r="R2362" t="str"><v>Azure</v></cell><cell r="S2362" t="str"><v>Apps & Infra</v></cell><cell r="T2362" t="str"><v>Developers & ITI's</v></cell><cell r="U2362" t="str"><v>AZP-Canvas-Look a Like-Trial</v></cell><cell r="V2362" t="str"><v>Prospecting</v></cell><cell r="W2362" t="str"><v>Other</v></cell><cell r="X2362" t="str"><v>1x1</v></cell></row><row r="2362"><cell r="AA2362"><v>43298</v></cell><cell r="AB2362" t="str"><v>JPN_gaPMG_AZR_AZR_Q1_19_Trial-Social</v></cell><cell r="AC2362"><v>21276694</v></cell><cell r="AD2362"><v>720195</v></cell><cell r="AE2362" t="str"><v>Facebook</v></cell><cell r="AF2362"><v>3654128</v></cell><cell r="AG2362" t="str"><v>Facebook»AZP-Canvas-Look a Like-Trial»1x1»Canvas»OTH»MO»CPM»PRO»X»UNK»TP»OT»Canvas-Trial</v></cell><cell r="AH2362"><v>223297413</v></cell><cell r="AI2362" t="str"><v>AzurePlatform_FBCTCcanvaspage-BuyNowCTA-Img3_JPN_1080x162_SOC_Plat_Japanese_NA_Standard_NA_BN_T3_1</v></cell><cell r="AJ2362"><v>102630373</v></cell></row><row r="2363"><cell r="C2363" t="str"><v>43298Facebook»AZP-Canvas-Look a Like-Trial»1x1»Canvas»OTH»MO»CPM»PRO»X»UNK»TP»OT»Canvas-Trial</v></cell><cell r="D2363" t="str"><v>43298223297413</v></cell><cell r="E2363" t="str"><v>43298102609621-Trial</v></cell><cell r="F2363" t="str"><v>DCM</v></cell><cell r="G2363" t="str"><v>https://signup.azure.com/signup?offer=ms-azr-0044p&appId=102&ref=paidmedia-social-fb&redirectURL=https%3a%2f%2fazure.microsoft.com%2fja-jp%2fget-started%2fwelcome-to-azure%2f&l=ja-jp&correlationId=ead86c34-1f10-49dd-a72b-6918462a2cbf</v></cell></row><row r="2363"><cell r="K2363" t="str"><v>July</v></cell><cell r="L2363"><v>43302</v></cell><cell r="M2363" t="str"><v>Tier 1</v></cell><cell r="N2363" t="str"><v>APAC</v></cell><cell r="O2363" t="str"><v>Japan</v></cell><cell r="P2363" t="str"><v>Trial</v></cell><cell r="Q2363" t="str"><v>Social</v></cell><cell r="R2363" t="str"><v>Azure</v></cell><cell r="S2363" t="str"><v>Apps & Infra</v></cell><cell r="T2363" t="str"><v>Developers & ITI's</v></cell><cell r="U2363" t="str"><v>AZP-Canvas-Look a Like-Trial</v></cell><cell r="V2363" t="str"><v>Prospecting</v></cell><cell r="W2363" t="str"><v>Other</v></cell><cell r="X2363" t="str"><v>1x1</v></cell></row><row r="2363"><cell r="AA2363"><v>43298</v></cell><cell r="AB2363" t="str"><v>JPN_gaPMG_AZR_AZR_Q1_19_Trial-Social</v></cell><cell r="AC2363"><v>21276694</v></cell><cell r="AD2363"><v>720195</v></cell><cell r="AE2363" t="str"><v>Facebook</v></cell><cell r="AF2363"><v>3654128</v></cell><cell r="AG2363" t="str"><v>Facebook»AZP-Canvas-Look a Like-Trial»1x1»Canvas»OTH»MO»CPM»PRO»X»UNK»TP»OT»Canvas-Trial</v></cell><cell r="AH2363"><v>223297413</v></cell><cell r="AI2363" t="str"><v>AzurePlatform_FBCTCcanvaspage-StartFreeCTA-Img2_JPN_1080x143 _SOC_Plat_Japanese_NA_Standard_NA_NA_T2_1</v></cell><cell r="AJ2363"><v>102609621</v></cell></row><row r="2364"><cell r="C2364" t="str"><v>43298Facebook»AZP-Retargeting»1x1»Ban»LIA»ALL»CPM»RT»X»All»TP»OT»Free Account Retargeting Generic-ChB</v></cell><cell r="D2364" t="str"><v>43298223726377</v></cell><cell r="E2364" t="str"><v>43298102977720ic-ChB</v></cell><cell r="F2364" t="str"><v>DCM</v></cell><cell r="G2364" t="str"><v>https://azure.microsoft.com/ja-jp/free/search/</v></cell></row><row r="2364"><cell r="K2364" t="str"><v>July</v></cell><cell r="L2364"><v>43302</v></cell><cell r="M2364" t="str"><v>Tier 1</v></cell><cell r="N2364" t="str"><v>APAC</v></cell><cell r="O2364" t="str"><v>Japan</v></cell><cell r="P2364" t="str"><v>Trial</v></cell><cell r="Q2364" t="str"><v>Social</v></cell><cell r="R2364" t="str"><v>Azure</v></cell><cell r="S2364" t="str"><v>Apps & Infra</v></cell><cell r="T2364" t="str"><v>Developers & ITI's</v></cell><cell r="U2364" t="str"><v>AZP-Retargeting</v></cell><cell r="V2364" t="str"><v>Retargeting</v></cell><cell r="W2364" t="str"><v>Link Ad</v></cell><cell r="X2364" t="str"><v>1x1</v></cell></row><row r="2364"><cell r="AA2364"><v>43298</v></cell><cell r="AB2364" t="str"><v>JPN_gaPMG_AZR_AZR_Q1_19_Trial-Social</v></cell><cell r="AC2364"><v>21276694</v></cell><cell r="AD2364"><v>720195</v></cell><cell r="AE2364" t="str"><v>Facebook</v></cell><cell r="AF2364"><v>3654128</v></cell><cell r="AG2364" t="str"><v>Facebook»AZP-Retargeting»1x1»Ban»LIA»ALL»CPM»RT»X»All»TP»OT»Free Account Retargeting Generic-ChB</v></cell><cell r="AH2364"><v>223726377</v></cell><cell r="AI2364" t="str"><v>AzurePlatform_FreeAcctRetargetingFB-GlobalAlt-ChB_JPN_1200x628_SOC_Plat_JA_Free Account_Standard_NA_SU_T2_1</v></cell><cell r="AJ2364"><v>102977720</v></cell></row><row r="2365"><cell r="C2365" t="str"><v>43298Facebook»AZP-Retargeting»1x1»Ban»LIA»ALL»CPM»RT»X»All»TP»OT»Free Account Retargeting OSS-ChF</v></cell><cell r="D2365" t="str"><v>43298223726368</v></cell><cell r="E2365" t="str"><v>43298102974750SS-ChF</v></cell><cell r="F2365" t="str"><v>DCM</v></cell><cell r="G2365" t="str"><v>https://azure.microsoft.com/ja-jp/free/open-source/search/</v></cell></row><row r="2365"><cell r="K2365" t="str"><v>July</v></cell><cell r="L2365"><v>43302</v></cell><cell r="M2365" t="str"><v>Tier 1</v></cell><cell r="N2365" t="str"><v>APAC</v></cell><cell r="O2365" t="str"><v>Japan</v></cell><cell r="P2365" t="str"><v>Trial</v></cell><cell r="Q2365" t="str"><v>Social</v></cell><cell r="R2365" t="str"><v>Azure</v></cell><cell r="S2365" t="str"><v>Apps & Infra</v></cell><cell r="T2365" t="str"><v>Developers & ITI's</v></cell><cell r="U2365" t="str"><v>AZP-Retargeting</v></cell><cell r="V2365" t="str"><v>Retargeting</v></cell><cell r="W2365" t="str"><v>Link Ad</v></cell><cell r="X2365" t="str"><v>1x1</v></cell></row><row r="2365"><cell r="AA2365"><v>43298</v></cell><cell r="AB2365" t="str"><v>JPN_gaPMG_AZR_AZR_Q1_19_Trial-Social</v></cell><cell r="AC2365"><v>21276694</v></cell><cell r="AD2365"><v>720195</v></cell><cell r="AE2365" t="str"><v>Facebook</v></cell><cell r="AF2365"><v>3654128</v></cell><cell r="AG2365" t="str"><v>Facebook»AZP-Retargeting»1x1»Ban»LIA»ALL»CPM»RT»X»All»TP»OT»Free Account Retargeting OSS-ChF</v></cell><cell r="AH2365"><v>223726368</v></cell><cell r="AI2365" t="str"><v>AzurePlatform_FreeAcctRetargetingOSSFB-Text-ChF_JPN_1200x628_SOC_Plat_JA_Free Account_Standard_NA_SU_T1_1</v></cell><cell r="AJ2365"><v>102974750</v></cell></row><row r="2366"><cell r="C2366" t="str"><v>43298Facebook»AZP-Retargeting»1x1»Ban»LIA»ALL»CPM»RT»X»All»TP»OT»Free Account Retargeting OSS-ChG</v></cell><cell r="D2366" t="str"><v>43298223726365</v></cell><cell r="E2366" t="str"><v>43298102976850SS-ChG</v></cell><cell r="F2366" t="str"><v>DCM</v></cell><cell r="G2366" t="str"><v>https://azure.microsoft.com/ja-jp/free/open-source/search/</v></cell></row><row r="2366"><cell r="K2366" t="str"><v>July</v></cell><cell r="L2366"><v>43302</v></cell><cell r="M2366" t="str"><v>Tier 1</v></cell><cell r="N2366" t="str"><v>APAC</v></cell><cell r="O2366" t="str"><v>Japan</v></cell><cell r="P2366" t="str"><v>Trial</v></cell><cell r="Q2366" t="str"><v>Social</v></cell><cell r="R2366" t="str"><v>Azure</v></cell><cell r="S2366" t="str"><v>Apps & Infra</v></cell><cell r="T2366" t="str"><v>Developers & ITI's</v></cell><cell r="U2366" t="str"><v>AZP-Retargeting</v></cell><cell r="V2366" t="str"><v>Retargeting</v></cell><cell r="W2366" t="str"><v>Link Ad</v></cell><cell r="X2366" t="str"><v>1x1</v></cell></row><row r="2366"><cell r="AA2366"><v>43298</v></cell><cell r="AB2366" t="str"><v>JPN_gaPMG_AZR_AZR_Q1_19_Trial-Social</v></cell><cell r="AC2366"><v>21276694</v></cell><cell r="AD2366"><v>720195</v></cell><cell r="AE2366" t="str"><v>Facebook</v></cell><cell r="AF2366"><v>3654128</v></cell><cell r="AG2366" t="str"><v>Facebook»AZP-Retargeting»1x1»Ban»LIA»ALL»CPM»RT»X»All»TP»OT»Free Account Retargeting OSS-ChG</v></cell><cell r="AH2366"><v>223726365</v></cell><cell r="AI2366" t="str"><v>AzurePlatform_FreeAcctRetargetingOSSFB-Logos-ChG_JPN_1200x628_SOC_Plat_JA_Free Account_Standard_NA_SU_T2_1</v></cell><cell r="AJ2366"><v>102976850</v></cell></row><row r="2367"><cell r="C2367" t="str"><v>43298Facebook»AZP-Retargeting»1x1»Ban»LIA»ALL»CPM»RT»X»All»TP»OT»Free Account Retargeting VM-ChD</v></cell><cell r="D2367" t="str"><v>43298223726374</v></cell><cell r="E2367" t="str"><v>43298102971306VM-ChD</v></cell><cell r="F2367" t="str"><v>DCM</v></cell><cell r="G2367" t="str"><v>https://azure.microsoft.com/ja-jp/free/virtual-machines/search/</v></cell></row><row r="2367"><cell r="K2367" t="str"><v>July</v></cell><cell r="L2367"><v>43302</v></cell><cell r="M2367" t="str"><v>Tier 1</v></cell><cell r="N2367" t="str"><v>APAC</v></cell><cell r="O2367" t="str"><v>Japan</v></cell><cell r="P2367" t="str"><v>Trial</v></cell><cell r="Q2367" t="str"><v>Social</v></cell><cell r="R2367" t="str"><v>Azure</v></cell><cell r="S2367" t="str"><v>Apps & Infra</v></cell><cell r="T2367" t="str"><v>Developers & ITI's</v></cell><cell r="U2367" t="str"><v>AZP-Retargeting</v></cell><cell r="V2367" t="str"><v>Retargeting</v></cell><cell r="W2367" t="str"><v>Link Ad</v></cell><cell r="X2367" t="str"><v>1x1</v></cell></row><row r="2367"><cell r="AA2367"><v>43298</v></cell><cell r="AB2367" t="str"><v>JPN_gaPMG_AZR_AZR_Q1_19_Trial-Social</v></cell><cell r="AC2367"><v>21276694</v></cell><cell r="AD2367"><v>720195</v></cell><cell r="AE2367" t="str"><v>Facebook</v></cell><cell r="AF2367"><v>3654128</v></cell><cell r="AG2367" t="str"><v>Facebook»AZP-Retargeting»1x1»Ban»LIA»ALL»CPM»RT»X»All»TP»OT»Free Account Retargeting VM-ChD</v></cell><cell r="AH2367"><v>223726374</v></cell><cell r="AI2367" t="str"><v>AzurePlatform_FreeAcctRetargetingVMFB-750Hrs-ChD_JPN_1200x628_SOC_Plat_JA_Free Account_Standard_NA_SU_T1_1</v></cell><cell r="AJ2367"><v>102971306</v></cell></row><row r="2368"><cell r="C2368" t="str"><v>43298Facebook»AZP-Retargeting»1x1»Ban»LIA»ALL»CPM»RT»X»All»TP»OT»Free Account Retargeting VM-ChE</v></cell><cell r="D2368" t="str"><v>43298223726371</v></cell><cell r="E2368" t="str"><v>43298102977723VM-ChE</v></cell><cell r="F2368" t="str"><v>DCM</v></cell><cell r="G2368" t="str"><v>https://azure.microsoft.com/ja-jp/free/virtual-machines/search/</v></cell></row><row r="2368"><cell r="K2368" t="str"><v>July</v></cell><cell r="L2368"><v>43302</v></cell><cell r="M2368" t="str"><v>Tier 1</v></cell><cell r="N2368" t="str"><v>APAC</v></cell><cell r="O2368" t="str"><v>Japan</v></cell><cell r="P2368" t="str"><v>Trial</v></cell><cell r="Q2368" t="str"><v>Social</v></cell><cell r="R2368" t="str"><v>Azure</v></cell><cell r="S2368" t="str"><v>Apps & Infra</v></cell><cell r="T2368" t="str"><v>Developers & ITI's</v></cell><cell r="U2368" t="str"><v>AZP-Retargeting</v></cell><cell r="V2368" t="str"><v>Retargeting</v></cell><cell r="W2368" t="str"><v>Link Ad</v></cell><cell r="X2368" t="str"><v>1x1</v></cell></row><row r="2368"><cell r="AA2368"><v>43298</v></cell><cell r="AB2368" t="str"><v>JPN_gaPMG_AZR_AZR_Q1_19_Trial-Social</v></cell><cell r="AC2368"><v>21276694</v></cell><cell r="AD2368"><v>720195</v></cell><cell r="AE2368" t="str"><v>Facebook</v></cell><cell r="AF2368"><v>3654128</v></cell><cell r="AG2368" t="str"><v>Facebook»AZP-Retargeting»1x1»Ban»LIA»ALL»CPM»RT»X»All»TP»OT»Free Account Retargeting VM-ChE</v></cell><cell r="AH2368"><v>223726371</v></cell><cell r="AI2368" t="str"><v>AzurePlatform_FreeAcctRetargetingVMFB-OnDemand-ChE_JPN_1200x628_SOC_Plat_JA_Free Account_Standard_NA_SU_T2_1</v></cell><cell r="AJ2368"><v>102977723</v></cell></row><row r="2369"><cell r="C2369" t="str"><v>43298Facebook»AZP-Retargeting»1x1»Canvas»OTH»MO»CPM»RT»W»UNK»TP»OT»Trial-Basicmotion</v></cell><cell r="D2369" t="str"><v>43298223298811</v></cell><cell r="E2369" t="str"><v>43298102773984motion</v></cell><cell r="F2369" t="str"><v>DCM</v></cell><cell r="G2369" t="str"><v>https://azure.microsoft.com/ja-jp/free/search/</v></cell></row><row r="2369"><cell r="K2369" t="str"><v>July</v></cell><cell r="L2369"><v>43302</v></cell><cell r="M2369" t="str"><v>Tier 1</v></cell><cell r="N2369" t="str"><v>APAC</v></cell><cell r="O2369" t="str"><v>Japan</v></cell><cell r="P2369" t="str"><v>Trial</v></cell><cell r="Q2369" t="str"><v>Social</v></cell><cell r="R2369" t="str"><v>Azure</v></cell><cell r="S2369" t="str"><v>Apps & Infra</v></cell><cell r="T2369" t="str"><v>Developers & ITI's</v></cell><cell r="U2369" t="str"><v>AZP-Retargeting</v></cell><cell r="V2369" t="str"><v>Retargeting</v></cell><cell r="W2369" t="str"><v>Other</v></cell><cell r="X2369" t="str"><v>1x1</v></cell></row><row r="2369"><cell r="AA2369"><v>43298</v></cell><cell r="AB2369" t="str"><v>JPN_gaPMG_AZR_AZR_Q1_19_Trial-Social</v></cell><cell r="AC2369"><v>21276694</v></cell><cell r="AD2369"><v>720195</v></cell><cell r="AE2369" t="str"><v>Facebook</v></cell><cell r="AF2369"><v>3654128</v></cell><cell r="AG2369" t="str"><v>Facebook»AZP-Retargeting»1x1»Canvas»OTH»MO»CPM»RT»W»UNK»TP»OT»Trial-Basicmotion</v></cell><cell r="AH2369"><v>223298811</v></cell><cell r="AI2369" t="str"><v>AzurePlatform_FBCTCBasicMotion_JPN_10sec_ISV_PLAT_JA_Trial_Standard_STAN_TN_T1_1</v></cell><cell r="AJ2369"><v>102773984</v></cell></row><row r="2370"><cell r="C2370" t="str"><v>43298Facebook»AZP-Retargeting»1x1»Canvas»OTH»MO»CPM»RT»W»UNK»TP»OT»Trial-BrandinMotion</v></cell><cell r="D2370" t="str"><v>43298223298823</v></cell><cell r="E2370" t="str"><v>43298102612720Motion</v></cell><cell r="F2370" t="str"><v>DCM</v></cell><cell r="G2370" t="str"><v>https://azure.microsoft.com/ja-jp/free/search/</v></cell></row><row r="2370"><cell r="K2370" t="str"><v>July</v></cell><cell r="L2370"><v>43302</v></cell><cell r="M2370" t="str"><v>Tier 1</v></cell><cell r="N2370" t="str"><v>APAC</v></cell><cell r="O2370" t="str"><v>Japan</v></cell><cell r="P2370" t="str"><v>Trial</v></cell><cell r="Q2370" t="str"><v>Social</v></cell><cell r="R2370" t="str"><v>Azure</v></cell><cell r="S2370" t="str"><v>Apps & Infra</v></cell><cell r="T2370" t="str"><v>Developers & ITI's</v></cell><cell r="U2370" t="str"><v>AZP-Retargeting</v></cell><cell r="V2370" t="str"><v>Retargeting</v></cell><cell r="W2370" t="str"><v>Other</v></cell><cell r="X2370" t="str"><v>1x1</v></cell></row><row r="2370"><cell r="AA2370"><v>43298</v></cell><cell r="AB2370" t="str"><v>JPN_gaPMG_AZR_AZR_Q1_19_Trial-Social</v></cell><cell r="AC2370"><v>21276694</v></cell><cell r="AD2370"><v>720195</v></cell><cell r="AE2370" t="str"><v>Facebook</v></cell><cell r="AF2370"><v>3654128</v></cell><cell r="AG2370" t="str"><v>Facebook»AZP-Retargeting»1x1»Canvas»OTH»MO»CPM»RT»W»UNK»TP»OT»Trial-BrandinMotion</v></cell><cell r="AH2370"><v>223298823</v></cell><cell r="AI2370" t="str"><v>AzurePlatform_FBCTCBrandinMotion_JPN_12sec_ISV_PLAT_JA_Trial_Standard_STAN_TN_T2_1</v></cell><cell r="AJ2370"><v>102612720</v></cell></row><row r="2371"><cell r="C2371" t="str"><v>43298FACEBOOK»USA-Trial-ITD-Interest Prospecting-AZR-AZR»1 x 1»SocialBan»CAN»ALL»CPA»PRO»X»NA»SS»NA»FBCTCBasicMotion»PRC1SV</v></cell><cell r="D2371" t="str"><v>43298223934062</v></cell><cell r="E2371" t="str"><v>43298103043823PRC1SV</v></cell><cell r="F2371" t="str"><v>DCM</v></cell><cell r="G2371" t="str"><v>https://signup.azure.com/?OCID=AID%eexcid!_OLA_%ebuy!_%epid!_%ecid!</v></cell></row><row r="2371"><cell r="K2371" t="str"><v>July</v></cell><cell r="L2371"><v>43302</v></cell><cell r="M2371" t="str"><v>Tier 0</v></cell><cell r="N2371" t="str"><v>North America</v></cell><cell r="O2371" t="str"><v>United States</v></cell><cell r="P2371" t="str"><v>Trial</v></cell><cell r="Q2371" t="str"><v>Social</v></cell><cell r="R2371" t="str"><v>Azure</v></cell><cell r="S2371" t="str"><v>Apps & Infra</v></cell><cell r="T2371" t="str"><v>Developers & ITI's</v></cell><cell r="U2371" t="str"><v>USA-Trial-ITD-Interest Prospecting-AZR-AZR</v></cell><cell r="V2371" t="str"><v>Prospecting</v></cell><cell r="W2371" t="str"><v>Canvas Ad</v></cell><cell r="X2371" t="str"><v>1x1</v></cell></row><row r="2371"><cell r="AA2371"><v>43298</v></cell><cell r="AB2371" t="str"><v>USA_gaPMG_AZR_AZR_Q1_19_Direct-Social</v></cell><cell r="AC2371"><v>21358715</v></cell><cell r="AD2371"><v>720197</v></cell><cell r="AE2371" t="str"><v>Facebook</v></cell><cell r="AF2371"><v>3654128</v></cell><cell r="AG2371" t="str"><v>FACEBOOK»USA-Trial-ITD-Interest Prospecting-AZR-AZR»1 x 1»SocialBan»CAN»ALL»CPA»PRO»X»NA»SS»NA»FBCTCBasicMotion»PRC1SV</v></cell><cell r="AH2371"><v>223934062</v></cell><cell r="AI2371" t="str"><v>AzurePlatform_FBCTCBasicMotion_USA_10s_CAN_PLATFORM_English_Trial_Standard_STAN_TIN_T1_1</v></cell><cell r="AJ2371"><v>103043823</v></cell></row><row r="2372"><cell r="C2372" t="str"><v>43298FACEBOOK»USA-Trial-ITD-Interest Prospecting-AZR-AZR»1 x 1»SocialBan»CAN»ALL»CPA»PRO»X»NA»SS»NA»FBCTCBasicMotion»PRC1SV</v></cell><cell r="D2372" t="str"><v>43298223934062</v></cell><cell r="E2372" t="str"><v>43298103175984PRC1SV</v></cell><cell r="F2372" t="str"><v>DCM</v></cell><cell r="G2372" t="str"><v>https://azure.microsoft.com/en-us/pricing/purchase-options/?v=18.19&OCID=AID%eexcid!_OLA_%ebuy!_%epid!_%ecid!</v></cell></row><row r="2372"><cell r="K2372" t="str"><v>July</v></cell><cell r="L2372"><v>43302</v></cell><cell r="M2372" t="str"><v>Tier 0</v></cell><cell r="N2372" t="str"><v>North America</v></cell><cell r="O2372" t="str"><v>United States</v></cell><cell r="P2372" t="str"><v>Trial</v></cell><cell r="Q2372" t="str"><v>Social</v></cell><cell r="R2372" t="str"><v>Azure</v></cell><cell r="S2372" t="str"><v>Apps & Infra</v></cell><cell r="T2372" t="str"><v>Developers & ITI's</v></cell><cell r="U2372" t="str"><v>USA-Trial-ITD-Interest Prospecting-AZR-AZR</v></cell><cell r="V2372" t="str"><v>Prospecting</v></cell><cell r="W2372" t="str"><v>Canvas Ad</v></cell><cell r="X2372" t="str"><v>1x1</v></cell></row><row r="2372"><cell r="AA2372"><v>43298</v></cell><cell r="AB2372" t="str"><v>USA_gaPMG_AZR_AZR_Q1_19_Direct-Social</v></cell><cell r="AC2372"><v>21358715</v></cell><cell r="AD2372"><v>720197</v></cell><cell r="AE2372" t="str"><v>Facebook</v></cell><cell r="AF2372"><v>3654128</v></cell><cell r="AG2372" t="str"><v>FACEBOOK»USA-Trial-ITD-Interest Prospecting-AZR-AZR»1 x 1»SocialBan»CAN»ALL»CPA»PRO»X»NA»SS»NA»FBCTCBasicMotion»PRC1SV</v></cell><cell r="AH2372"><v>223934062</v></cell><cell r="AI2372" t="str"><v>AzurePlatform_FBCTCBasicMotion_USA_10s_CAN_PLATFORM_English_Trial_Standard_STAN_TIN_T1_2</v></cell><cell r="AJ2372"><v>103175984</v></cell></row><row r="2373"><cell r="C2373" t="str"><v>43298FACEBOOK»USA-Trial-ITD-Interest Prospecting-AZR-AZR»1 x 1»SocialBan»CAN»ALL»CPA»PRO»X»NA»SS»NA»FBCTCBenefit2inMotion»PRC1SW</v></cell><cell r="D2373" t="str"><v>43298223933138</v></cell><cell r="E2373" t="str"><v>43298103043835PRC1SW</v></cell><cell r="F2373" t="str"><v>DCM</v></cell><cell r="G2373" t="str"><v>https://signup.azure.com/?OCID=AID%eexcid!_OLA_%ebuy!_%epid!_%ecid!</v></cell></row><row r="2373"><cell r="K2373" t="str"><v>July</v></cell><cell r="L2373"><v>43302</v></cell><cell r="M2373" t="str"><v>Tier 0</v></cell><cell r="N2373" t="str"><v>North America</v></cell><cell r="O2373" t="str"><v>United States</v></cell><cell r="P2373" t="str"><v>Trial</v></cell><cell r="Q2373" t="str"><v>Social</v></cell><cell r="R2373" t="str"><v>Azure</v></cell><cell r="S2373" t="str"><v>Apps & Infra</v></cell><cell r="T2373" t="str"><v>Developers & ITI's</v></cell><cell r="U2373" t="str"><v>USA-Trial-ITD-Interest Prospecting-AZR-AZR</v></cell><cell r="V2373" t="str"><v>Prospecting</v></cell><cell r="W2373" t="str"><v>Canvas Ad</v></cell><cell r="X2373" t="str"><v>1x1</v></cell></row><row r="2373"><cell r="AA2373"><v>43298</v></cell><cell r="AB2373" t="str"><v>USA_gaPMG_AZR_AZR_Q1_19_Direct-Social</v></cell><cell r="AC2373"><v>21358715</v></cell><cell r="AD2373"><v>720197</v></cell><cell r="AE2373" t="str"><v>Facebook</v></cell><cell r="AF2373"><v>3654128</v></cell><cell r="AG2373" t="str"><v>FACEBOOK»USA-Trial-ITD-Interest Prospecting-AZR-AZR»1 x 1»SocialBan»CAN»ALL»CPA»PRO»X»NA»SS»NA»FBCTCBenefit2inMotion»PRC1SW</v></cell><cell r="AH2373"><v>223933138</v></cell><cell r="AI2373" t="str"><v>AzurePlatform_FBCTCBenefit2inMotion_USA_10s_CAN_PLATFORM_English_Trial_Standard_STAN_TIN_T4_1</v></cell><cell r="AJ2373"><v>103043835</v></cell></row><row r="2374"><cell r="C2374" t="str"><v>43298FACEBOOK»USA-Trial-ITD-Interest Prospecting-AZR-AZR»1 x 1»SocialBan»CAN»ALL»CPA»PRO»X»NA»SS»NA»FBCTCBrandinMotion»PRC1SY</v></cell><cell r="D2374" t="str"><v>43298224104929</v></cell><cell r="E2374" t="str"><v>43298103176812PRC1SY</v></cell><cell r="F2374" t="str"><v>DCM</v></cell><cell r="G2374" t="str"><v>https://signup.azure.com/?OCID=AID%eexcid!_OLA_%ebuy!_%epid!_%ecid!</v></cell></row><row r="2374"><cell r="K2374" t="str"><v>July</v></cell><cell r="L2374"><v>43302</v></cell><cell r="M2374" t="str"><v>Tier 0</v></cell><cell r="N2374" t="str"><v>North America</v></cell><cell r="O2374" t="str"><v>United States</v></cell><cell r="P2374" t="str"><v>Trial</v></cell><cell r="Q2374" t="str"><v>Social</v></cell><cell r="R2374" t="str"><v>Azure</v></cell><cell r="S2374" t="str"><v>Apps & Infra</v></cell><cell r="T2374" t="str"><v>Developers & ITI's</v></cell><cell r="U2374" t="str"><v>USA-Trial-ITD-Interest Prospecting-AZR-AZR</v></cell><cell r="V2374" t="str"><v>Prospecting</v></cell><cell r="W2374" t="str"><v>Canvas Ad</v></cell><cell r="X2374" t="str"><v>1x1</v></cell></row><row r="2374"><cell r="AA2374"><v>43298</v></cell><cell r="AB2374" t="str"><v>USA_gaPMG_AZR_AZR_Q1_19_Direct-Social</v></cell><cell r="AC2374"><v>21358715</v></cell><cell r="AD2374"><v>720197</v></cell><cell r="AE2374" t="str"><v>Facebook</v></cell><cell r="AF2374"><v>3654128</v></cell><cell r="AG2374" t="str"><v>FACEBOOK»USA-Trial-ITD-Interest Prospecting-AZR-AZR»1 x 1»SocialBan»CAN»ALL»CPA»PRO»X»NA»SS»NA»FBCTCBrandinMotion»PRC1SY</v></cell><cell r="AH2374"><v>224104929</v></cell><cell r="AI2374" t="str"><v>AzurePlatform_FBCTCBrandinMotion_USA_10s_CAN_PLATFORM_English_Trial_Standard_STAN_TIN_T2_1</v></cell><cell r="AJ2374"><v>103176812</v></cell></row><row r="2375"><cell r="C2375" t="str"><v>43298FACEBOOK»USA-Trial-ITD-Interest Prospecting-AZR-AZR»1 x 1»SocialBan»CAN»ALL»CPA»PRO»X»NA»SS»NA»FBCTCBrandinMotion»PRC1SY</v></cell><cell r="D2375" t="str"><v>43298224104929</v></cell><cell r="E2375" t="str"><v>43298103032823PRC1SY</v></cell><cell r="F2375" t="str"><v>DCM</v></cell><cell r="G2375" t="str"><v>https://azure.microsoft.com/en-us/pricing/purchase-options/?v=18.19&OCID=AID%eexcid!_OLA_%ebuy!_%epid!_%ecid!</v></cell></row><row r="2375"><cell r="K2375" t="str"><v>July</v></cell><cell r="L2375"><v>43302</v></cell><cell r="M2375" t="str"><v>Tier 0</v></cell><cell r="N2375" t="str"><v>North America</v></cell><cell r="O2375" t="str"><v>United States</v></cell><cell r="P2375" t="str"><v>Trial</v></cell><cell r="Q2375" t="str"><v>Social</v></cell><cell r="R2375" t="str"><v>Azure</v></cell><cell r="S2375" t="str"><v>Apps & Infra</v></cell><cell r="T2375" t="str"><v>Developers & ITI's</v></cell><cell r="U2375" t="str"><v>USA-Trial-ITD-Interest Prospecting-AZR-AZR</v></cell><cell r="V2375" t="str"><v>Prospecting</v></cell><cell r="W2375" t="str"><v>Canvas Ad</v></cell><cell r="X2375" t="str"><v>1x1</v></cell></row><row r="2375"><cell r="AA2375"><v>43298</v></cell><cell r="AB2375" t="str"><v>USA_gaPMG_AZR_AZR_Q1_19_Direct-Social</v></cell><cell r="AC2375"><v>21358715</v></cell><cell r="AD2375"><v>720197</v></cell><cell r="AE2375" t="str"><v>Facebook</v></cell><cell r="AF2375"><v>3654128</v></cell><cell r="AG2375" t="str"><v>FACEBOOK»USA-Trial-ITD-Interest Prospecting-AZR-AZR»1 x 1»SocialBan»CAN»ALL»CPA»PRO»X»NA»SS»NA»FBCTCBrandinMotion»PRC1SY</v></cell><cell r="AH2375"><v>224104929</v></cell><cell r="AI2375" t="str"><v>AzurePlatform_FBCTCBrandinMotion_USA_10s_CAN_PLATFORM_English_Trial_Standard_STAN_TIN_T2_2</v></cell><cell r="AJ2375"><v>103032823</v></cell></row><row r="2376"><cell r="C2376" t="str"><v>43298FACEBOOK»USA-Trial-ITD-Interest Prospecting-AZR-AZR»1 x 1»SocialBan»LIA»ALL»CPA»PRO»X»NA»SS»NA»FreeAcctDeveloperFB-AnimatedGeneric-Ch1»PRC1SZ</v></cell><cell r="D2376" t="str"><v>43298224104932</v></cell><cell r="E2376" t="str"><v>43298103176851PRC1SZ</v></cell><cell r="F2376" t="str"><v>DCM</v></cell><cell r="G2376" t="str"><v>https://azure.microsoft.com/en-us/free/search/?OCID=AID%eexcid!_OLA_%ebuy!_%epid!_%ecid!</v></cell></row><row r="2376"><cell r="K2376" t="str"><v>July</v></cell><cell r="L2376"><v>43302</v></cell><cell r="M2376" t="str"><v>Tier 0</v></cell><cell r="N2376" t="str"><v>North America</v></cell><cell r="O2376" t="str"><v>United States</v></cell><cell r="P2376" t="str"><v>Trial</v></cell><cell r="Q2376" t="str"><v>Social</v></cell><cell r="R2376" t="str"><v>Azure</v></cell><cell r="S2376" t="str"><v>Apps & Infra</v></cell><cell r="T2376" t="str"><v>Developers & ITI's</v></cell><cell r="U2376" t="str"><v>USA-Trial-ITD-Interest Prospecting-AZR-AZR</v></cell><cell r="V2376" t="str"><v>Prospecting</v></cell><cell r="W2376" t="str"><v>Link Ad</v></cell><cell r="X2376" t="str"><v>1x1</v></cell></row><row r="2376"><cell r="AA2376"><v>43298</v></cell><cell r="AB2376" t="str"><v>USA_gaPMG_AZR_AZR_Q1_19_Direct-Social</v></cell><cell r="AC2376"><v>21358715</v></cell><cell r="AD2376"><v>720197</v></cell><cell r="AE2376" t="str"><v>Facebook</v></cell><cell r="AF2376"><v>3654128</v></cell><cell r="AG2376" t="str"><v>FACEBOOK»USA-Trial-ITD-Interest Prospecting-AZR-AZR»1 x 1»SocialBan»LIA»ALL»CPA»PRO»X»NA»SS»NA»FreeAcctDeveloperFB-AnimatedGeneric-Ch1»PRC1SZ</v></cell><cell r="AH2376"><v>224104932</v></cell><cell r="AI2376" t="str"><v>AZR_FreeAcctDeveloperFB-AnimatedGeneric-Ch1_USA_1200x1200_CAN_Direct_English_Trial_Standard_ANI_LEA_T1_2</v></cell><cell r="AJ2376"><v>103176851</v></cell></row><row r="2377"><cell r="C2377" t="str"><v>43298FACEBOOK»USA-Trial-ITD-Interest Prospecting-AZR-AZR»1 x 1»SocialBan»LIA»ALL»CPA»PRO»X»NA»SS»NA»FreeAcctDeveloperFB-AnimatedGeneric-Ch1»PRC1T0</v></cell><cell r="D2377" t="str"><v>43298223934065</v></cell><cell r="E2377" t="str"><v>43298103176851PRC1T0</v></cell><cell r="F2377" t="str"><v>DCM</v></cell><cell r="G2377" t="str"><v>https://azure.microsoft.com/en-us/free/search/?OCID=AID%eexcid!_OLA_%ebuy!_%epid!_%ecid!</v></cell></row><row r="2377"><cell r="K2377" t="str"><v>July</v></cell><cell r="L2377"><v>43302</v></cell><cell r="M2377" t="str"><v>Tier 0</v></cell><cell r="N2377" t="str"><v>North America</v></cell><cell r="O2377" t="str"><v>United States</v></cell><cell r="P2377" t="str"><v>Trial</v></cell><cell r="Q2377" t="str"><v>Social</v></cell><cell r="R2377" t="str"><v>Azure</v></cell><cell r="S2377" t="str"><v>Apps & Infra</v></cell><cell r="T2377" t="str"><v>Developers & ITI's</v></cell><cell r="U2377" t="str"><v>USA-Trial-ITD-Interest Prospecting-AZR-AZR</v></cell><cell r="V2377" t="str"><v>Prospecting</v></cell><cell r="W2377" t="str"><v>Link Ad</v></cell><cell r="X2377" t="str"><v>1x1</v></cell></row><row r="2377"><cell r="AA2377"><v>43298</v></cell><cell r="AB2377" t="str"><v>USA_gaPMG_AZR_AZR_Q1_19_Direct-Social</v></cell><cell r="AC2377"><v>21358715</v></cell><cell r="AD2377"><v>720197</v></cell><cell r="AE2377" t="str"><v>Facebook</v></cell><cell r="AF2377"><v>3654128</v></cell><cell r="AG2377" t="str"><v>FACEBOOK»USA-Trial-ITD-Interest Prospecting-AZR-AZR»1 x 1»SocialBan»LIA»ALL»CPA»PRO»X»NA»SS»NA»FreeAcctDeveloperFB-AnimatedGeneric-Ch1»PRC1T0</v></cell><cell r="AH2377"><v>223934065</v></cell><cell r="AI2377" t="str"><v>AZR_FreeAcctDeveloperFB-AnimatedGeneric-Ch1_USA_1200x1200_CAN_Direct_English_Trial_Standard_ANI_LEA_T1_2</v></cell><cell r="AJ2377"><v>103176851</v></cell></row><row r="2378"><cell r="C2378" t="str"><v>43298FACEBOOK»USA-Trial-ITD-Interest Prospecting-AZR-AZR»1 x 1»SocialBan»LIA»ALL»CPA»PRO»X»NA»SS»NA»FreeAcctITProFB-AnimatedHybrid-Ch2»PRC1T5</v></cell><cell r="D2378" t="str"><v>43298223862882</v></cell><cell r="E2378" t="str"><v>43298103180583PRC1T5</v></cell><cell r="F2378" t="str"><v>DCM</v></cell></row><row r="2378"><cell r="K2378" t="str"><v>July</v></cell><cell r="L2378"><v>43302</v></cell><cell r="M2378" t="str"><v>Tier 0</v></cell><cell r="N2378" t="str"><v>North America</v></cell><cell r="O2378" t="str"><v>United States</v></cell><cell r="P2378" t="str"><v>Trial</v></cell><cell r="Q2378" t="str"><v>Social</v></cell><cell r="R2378" t="str"><v>Azure</v></cell><cell r="S2378" t="str"><v>Apps & Infra</v></cell><cell r="T2378" t="str"><v>Developers & ITI's</v></cell><cell r="U2378" t="str"><v>USA-Trial-ITD-Interest Prospecting-AZR-AZR</v></cell><cell r="V2378" t="str"><v>Prospecting</v></cell><cell r="W2378" t="str"><v>Link Ad</v></cell><cell r="X2378" t="str"><v>1x1</v></cell></row><row r="2378"><cell r="AA2378"><v>43298</v></cell><cell r="AB2378" t="str"><v>USA_gaPMG_AZR_AZR_Q1_19_Direct-Social</v></cell><cell r="AC2378"><v>21358715</v></cell><cell r="AD2378"><v>720197</v></cell><cell r="AE2378" t="str"><v>Facebook</v></cell><cell r="AF2378"><v>3654128</v></cell><cell r="AG2378" t="str"><v>FACEBOOK»USA-Trial-ITD-Interest Prospecting-AZR-AZR»1 x 1»SocialBan»LIA»ALL»CPA»PRO»X»NA»SS»NA»FreeAcctITProFB-AnimatedHybrid-Ch2»PRC1T5</v></cell><cell r="AH2378"><v>223862882</v></cell><cell r="AI2378" t="str"><v>AZR_FreeAcctITProFB-AnimatedHybrid-Ch2_USA_1200x1200_CAN_Direct_English_Trial_Standard_ANI_LEA_T2_2</v></cell><cell r="AJ2378"><v>103180583</v></cell></row><row r="2379"><cell r="C2379" t="str"><v>43298FACEBOOK»USA-Trial-ITD-Interest Prospecting-AZR-AZR»1 x 1»SocialBan»LIA»ALL»CPA»PRO»X»NA»SS»NA»FreeAcctITProFB-AnimatedSecureMngd-Ch1»PRC1T4</v></cell><cell r="D2379" t="str"><v>43298224104914</v></cell><cell r="E2379" t="str"><v>43298103176830PRC1T4</v></cell><cell r="F2379" t="str"><v>DCM</v></cell></row><row r="2379"><cell r="K2379" t="str"><v>July</v></cell><cell r="L2379"><v>43302</v></cell><cell r="M2379" t="str"><v>Tier 0</v></cell><cell r="N2379" t="str"><v>North America</v></cell><cell r="O2379" t="str"><v>United States</v></cell><cell r="P2379" t="str"><v>Trial</v></cell><cell r="Q2379" t="str"><v>Social</v></cell><cell r="R2379" t="str"><v>Azure</v></cell><cell r="S2379" t="str"><v>Apps & Infra</v></cell><cell r="T2379" t="str"><v>Developers & ITI's</v></cell><cell r="U2379" t="str"><v>USA-Trial-ITD-Interest Prospecting-AZR-AZR</v></cell><cell r="V2379" t="str"><v>Prospecting</v></cell><cell r="W2379" t="str"><v>Link Ad</v></cell><cell r="X2379" t="str"><v>1x1</v></cell></row><row r="2379"><cell r="AA2379"><v>43298</v></cell><cell r="AB2379" t="str"><v>USA_gaPMG_AZR_AZR_Q1_19_Direct-Social</v></cell><cell r="AC2379"><v>21358715</v></cell><cell r="AD2379"><v>720197</v></cell><cell r="AE2379" t="str"><v>Facebook</v></cell><cell r="AF2379"><v>3654128</v></cell><cell r="AG2379" t="str"><v>FACEBOOK»USA-Trial-ITD-Interest Prospecting-AZR-AZR»1 x 1»SocialBan»LIA»ALL»CPA»PRO»X»NA»SS»NA»FreeAcctITProFB-AnimatedSecureMngd-Ch1»PRC1T4</v></cell><cell r="AH2379"><v>224104914</v></cell><cell r="AI2379" t="str"><v>AZR_FreeAcctITProFB-AnimatedSecureMngd-Ch1_USA_1200x1200_CAN_Direct_English_Trial_Standard_ANI_LEA_T1_1</v></cell><cell r="AJ2379"><v>103176830</v></cell></row><row r="2380"><cell r="C2380" t="str"><v>43298FACEBOOK»USA-Trial-ITD-Retargeting-AZR-AZR»1 x 1»SocialBan»LIA»ALL»CPA»RT»X»NA»SS»NA»FreeAcctDeveloperFB-AnimatedAI-Ch3»PRC26H</v></cell><cell r="D2380" t="str"><v>43298223863371</v></cell><cell r="E2380" t="str"><v>43298103032778PRC26H</v></cell><cell r="F2380" t="str"><v>DCM</v></cell></row><row r="2380"><cell r="K2380" t="str"><v>July</v></cell><cell r="L2380"><v>43302</v></cell><cell r="M2380" t="str"><v>Tier 0</v></cell><cell r="N2380" t="str"><v>North America</v></cell><cell r="O2380" t="str"><v>United States</v></cell><cell r="P2380" t="str"><v>Trial</v></cell><cell r="Q2380" t="str"><v>Social</v></cell><cell r="R2380" t="str"><v>Azure</v></cell><cell r="S2380" t="str"><v>Apps & Infra</v></cell><cell r="T2380" t="str"><v>Developers & ITI's</v></cell><cell r="U2380" t="str"><v>USA-Trial-ITD-Retargeting-AZR-AZR</v></cell><cell r="V2380" t="str"><v>Retargeting</v></cell><cell r="W2380" t="str"><v>Link Ad</v></cell><cell r="X2380" t="str"><v>1x1</v></cell></row><row r="2380"><cell r="AA2380"><v>43298</v></cell><cell r="AB2380" t="str"><v>USA_gaPMG_AZR_AZR_Q1_19_Direct-Social</v></cell><cell r="AC2380"><v>21358715</v></cell><cell r="AD2380"><v>720197</v></cell><cell r="AE2380" t="str"><v>Facebook</v></cell><cell r="AF2380"><v>3654128</v></cell><cell r="AG2380" t="str"><v>FACEBOOK»USA-Trial-ITD-Retargeting-AZR-AZR»1 x 1»SocialBan»LIA»ALL»CPA»RT»X»NA»SS»NA»FreeAcctDeveloperFB-AnimatedAI-Ch3»PRC26H</v></cell><cell r="AH2380"><v>223863371</v></cell><cell r="AI2380" t="str"><v>AZR_FreeAcctDeveloperFB-AnimatedAI-Ch3_USA_1200x1200_CAN_Direct_English_Trial_Standard_ANI_LEA_T3_1</v></cell><cell r="AJ2380"><v>103032778</v></cell></row><row r="2381"><cell r="C2381" t="str"><v>43298FACEBOOK»USA-Trial-ITD-Retargeting-AZR-AZR»1 x 1»SocialBan»LIA»ALL»CPA»RT»X»NA»SS»NA»FreeAcctDeveloperFB-AnimatedData-Ch4»PRC26J</v></cell><cell r="D2381" t="str"><v>43298224106078</v></cell><cell r="E2381" t="str"><v>43298103037935PRC26J</v></cell><cell r="F2381" t="str"><v>DCM</v></cell></row><row r="2381"><cell r="K2381" t="str"><v>July</v></cell><cell r="L2381"><v>43302</v></cell><cell r="M2381" t="str"><v>Tier 0</v></cell><cell r="N2381" t="str"><v>North America</v></cell><cell r="O2381" t="str"><v>United States</v></cell><cell r="P2381" t="str"><v>Trial</v></cell><cell r="Q2381" t="str"><v>Social</v></cell><cell r="R2381" t="str"><v>Azure</v></cell><cell r="S2381" t="str"><v>Apps & Infra</v></cell><cell r="T2381" t="str"><v>Developers & ITI's</v></cell><cell r="U2381" t="str"><v>USA-Trial-ITD-Retargeting-AZR-AZR</v></cell><cell r="V2381" t="str"><v>Retargeting</v></cell><cell r="W2381" t="str"><v>Link Ad</v></cell><cell r="X2381" t="str"><v>1x1</v></cell></row><row r="2381"><cell r="AA2381"><v>43298</v></cell><cell r="AB2381" t="str"><v>USA_gaPMG_AZR_AZR_Q1_19_Direct-Social</v></cell><cell r="AC2381"><v>21358715</v></cell><cell r="AD2381"><v>720197</v></cell><cell r="AE2381" t="str"><v>Facebook</v></cell><cell r="AF2381"><v>3654128</v></cell><cell r="AG2381" t="str"><v>FACEBOOK»USA-Trial-ITD-Retargeting-AZR-AZR»1 x 1»SocialBan»LIA»ALL»CPA»RT»X»NA»SS»NA»FreeAcctDeveloperFB-AnimatedData-Ch4»PRC26J</v></cell><cell r="AH2381"><v>224106078</v></cell><cell r="AI2381" t="str"><v>AZR_FreeAcctDeveloperFB-AnimatedData-Ch4_USA_1200x1200_CAN_Direct_English_Trial_Standard_ANI_LEA_T4_2</v></cell><cell r="AJ2381"><v>103037935</v></cell></row><row r="2382"><cell r="C2382" t="str"><v>43298FACEBOOK»USA-Trial-ITD-Retargeting-AZR-AZR»1 x 1»SocialBan»LIA»ALL»CPA»RT»X»NA»SS»NA»FreeAcctITProFB-AnimatedHybrid-Ch2»PRC26N</v></cell><cell r="D2382" t="str"><v>43298223934053</v></cell><cell r="E2382" t="str"><v>43298103180583PRC26N</v></cell><cell r="F2382" t="str"><v>DCM</v></cell></row><row r="2382"><cell r="K2382" t="str"><v>July</v></cell><cell r="L2382"><v>43302</v></cell><cell r="M2382" t="str"><v>Tier 0</v></cell><cell r="N2382" t="str"><v>North America</v></cell><cell r="O2382" t="str"><v>United States</v></cell><cell r="P2382" t="str"><v>Trial</v></cell><cell r="Q2382" t="str"><v>Social</v></cell><cell r="R2382" t="str"><v>Azure</v></cell><cell r="S2382" t="str"><v>Apps & Infra</v></cell><cell r="T2382" t="str"><v>Developers & ITI's</v></cell><cell r="U2382" t="str"><v>USA-Trial-ITD-Retargeting-AZR-AZR</v></cell><cell r="V2382" t="str"><v>Retargeting</v></cell><cell r="W2382" t="str"><v>Link Ad</v></cell><cell r="X2382" t="str"><v>1x1</v></cell></row><row r="2382"><cell r="AA2382"><v>43298</v></cell><cell r="AB2382" t="str"><v>USA_gaPMG_AZR_AZR_Q1_19_Direct-Social</v></cell><cell r="AC2382"><v>21358715</v></cell><cell r="AD2382"><v>720197</v></cell><cell r="AE2382" t="str"><v>Facebook</v></cell><cell r="AF2382"><v>3654128</v></cell><cell r="AG2382" t="str"><v>FACEBOOK»USA-Trial-ITD-Retargeting-AZR-AZR»1 x 1»SocialBan»LIA»ALL»CPA»RT»X»NA»SS»NA»FreeAcctITProFB-AnimatedHybrid-Ch2»PRC26N</v></cell><cell r="AH2382"><v>223934053</v></cell><cell r="AI2382" t="str"><v>AZR_FreeAcctITProFB-AnimatedHybrid-Ch2_USA_1200x1200_CAN_Direct_English_Trial_Standard_ANI_LEA_T2_2</v></cell><cell r="AJ2382"><v>103180583</v></cell></row><row r="2383"><cell r="C2383" t="str"><v>43298FACEBOOK»USA-Trial-ITD-Retargeting-AZR-AZR»1 x 1»SocialBan»LIA»ALL»CPA»RT»X»NA»SS»NA»FreeAcctITProFB-AnimatedMigration-Ch3»PRC26P</v></cell><cell r="D2383" t="str"><v>43298223934056</v></cell><cell r="E2383" t="str"><v>43298103176827PRC26P</v></cell><cell r="F2383" t="str"><v>DCM</v></cell></row><row r="2383"><cell r="K2383" t="str"><v>July</v></cell><cell r="L2383"><v>43302</v></cell><cell r="M2383" t="str"><v>Tier 0</v></cell><cell r="N2383" t="str"><v>North America</v></cell><cell r="O2383" t="str"><v>United States</v></cell><cell r="P2383" t="str"><v>Trial</v></cell><cell r="Q2383" t="str"><v>Social</v></cell><cell r="R2383" t="str"><v>Azure</v></cell><cell r="S2383" t="str"><v>Apps & Infra</v></cell><cell r="T2383" t="str"><v>Developers & ITI's</v></cell><cell r="U2383" t="str"><v>USA-Trial-ITD-Retargeting-AZR-AZR</v></cell><cell r="V2383" t="str"><v>Retargeting</v></cell><cell r="W2383" t="str"><v>Link Ad</v></cell><cell r="X2383" t="str"><v>1x1</v></cell></row><row r="2383"><cell r="AA2383"><v>43298</v></cell><cell r="AB2383" t="str"><v>USA_gaPMG_AZR_AZR_Q1_19_Direct-Social</v></cell><cell r="AC2383"><v>21358715</v></cell><cell r="AD2383"><v>720197</v></cell><cell r="AE2383" t="str"><v>Facebook</v></cell><cell r="AF2383"><v>3654128</v></cell><cell r="AG2383" t="str"><v>FACEBOOK»USA-Trial-ITD-Retargeting-AZR-AZR»1 x 1»SocialBan»LIA»ALL»CPA»RT»X»NA»SS»NA»FreeAcctITProFB-AnimatedMigration-Ch3»PRC26P</v></cell><cell r="AH2383"><v>223934056</v></cell><cell r="AI2383" t="str"><v>AZR_FreeAcctITProFB-AnimatedMigration-Ch3_USA_1200x1200_CAN_Direct_English_Trial_Standard_ANI_LEA_T3_1</v></cell><cell r="AJ2383"><v>103176827</v></cell></row><row r="2384"><cell r="C2384" t="str"><v>43298FACEBOOK»USA-Trial-ITD-Retargeting-AZR-AZR»1 x 1»SocialBan»LIA»ALL»CPA»RT»X»NA»SS»NA»FreeAcctRetargetingFB-Credit-ChA»PRC1RV</v></cell><cell r="D2384" t="str"><v>43298224106075</v></cell><cell r="E2384" t="str"><v>43298103034917PRC1RV</v></cell><cell r="F2384" t="str"><v>DCM</v></cell><cell r="G2384" t="str"><v>https://azure.microsoft.com/en-us/free/search/?OCID=AID%eexcid!_OLA_%ebuy!_%epid!_%ecid!</v></cell></row><row r="2384"><cell r="K2384" t="str"><v>July</v></cell><cell r="L2384"><v>43302</v></cell><cell r="M2384" t="str"><v>Tier 0</v></cell><cell r="N2384" t="str"><v>North America</v></cell><cell r="O2384" t="str"><v>United States</v></cell><cell r="P2384" t="str"><v>Trial</v></cell><cell r="Q2384" t="str"><v>Social</v></cell><cell r="R2384" t="str"><v>Azure</v></cell><cell r="S2384" t="str"><v>Apps & Infra</v></cell><cell r="T2384" t="str"><v>Developers & ITI's</v></cell><cell r="U2384" t="str"><v>USA-Trial-ITD-Retargeting-AZR-AZR</v></cell><cell r="V2384" t="str"><v>Retargeting</v></cell><cell r="W2384" t="str"><v>Link Ad</v></cell><cell r="X2384" t="str"><v>1x1</v></cell></row><row r="2384"><cell r="AA2384"><v>43298</v></cell><cell r="AB2384" t="str"><v>USA_gaPMG_AZR_AZR_Q1_19_Direct-Social</v></cell><cell r="AC2384"><v>21358715</v></cell><cell r="AD2384"><v>720197</v></cell><cell r="AE2384" t="str"><v>Facebook</v></cell><cell r="AF2384"><v>3654128</v></cell><cell r="AG2384" t="str"><v>FACEBOOK»USA-Trial-ITD-Retargeting-AZR-AZR»1 x 1»SocialBan»LIA»ALL»CPA»RT»X»NA»SS»NA»FreeAcctRetargetingFB-Credit-ChA»PRC1RV</v></cell><cell r="AH2384"><v>224106075</v></cell><cell r="AI2384" t="str"><v>AzurePlatform_FreeAcctRetargetingFB-Credit-ChA_USA_1200x628_CAN_PLATFORM_English_Free Account_Standard_NA_SINU_T1_2</v></cell><cell r="AJ2384"><v>103034917</v></cell></row><row r="2385"><cell r="C2385" t="str"><v>43298FACEBOOK»USA-Trial-ITD-Retargeting-AZR-AZR»1 x 1»SocialBan»LIA»ALL»CPA»RT»X»NA»SS»NA»FreeAcctRetargetingFB-GlobalAlt-ChB»PRC1RW</v></cell><cell r="D2385" t="str"><v>43298223862756</v></cell><cell r="E2385" t="str"><v>43298103180592PRC1RW</v></cell><cell r="F2385" t="str"><v>DCM</v></cell><cell r="G2385" t="str"><v>https://azure.microsoft.com/en-us/free/search/?OCID=AID%eexcid!_OLA_%ebuy!_%epid!_%ecid!</v></cell></row><row r="2385"><cell r="K2385" t="str"><v>July</v></cell><cell r="L2385"><v>43302</v></cell><cell r="M2385" t="str"><v>Tier 0</v></cell><cell r="N2385" t="str"><v>North America</v></cell><cell r="O2385" t="str"><v>United States</v></cell><cell r="P2385" t="str"><v>Trial</v></cell><cell r="Q2385" t="str"><v>Social</v></cell><cell r="R2385" t="str"><v>Azure</v></cell><cell r="S2385" t="str"><v>Apps & Infra</v></cell><cell r="T2385" t="str"><v>Developers & ITI's</v></cell><cell r="U2385" t="str"><v>USA-Trial-ITD-Retargeting-AZR-AZR</v></cell><cell r="V2385" t="str"><v>Retargeting</v></cell><cell r="W2385" t="str"><v>Link Ad</v></cell><cell r="X2385" t="str"><v>1x1</v></cell></row><row r="2385"><cell r="AA2385"><v>43298</v></cell><cell r="AB2385" t="str"><v>USA_gaPMG_AZR_AZR_Q1_19_Direct-Social</v></cell><cell r="AC2385"><v>21358715</v></cell><cell r="AD2385"><v>720197</v></cell><cell r="AE2385" t="str"><v>Facebook</v></cell><cell r="AF2385"><v>3654128</v></cell><cell r="AG2385" t="str"><v>FACEBOOK»USA-Trial-ITD-Retargeting-AZR-AZR»1 x 1»SocialBan»LIA»ALL»CPA»RT»X»NA»SS»NA»FreeAcctRetargetingFB-GlobalAlt-ChB»PRC1RW</v></cell><cell r="AH2385"><v>223862756</v></cell><cell r="AI2385" t="str"><v>AzurePlatform_FreeAcctRetargetingFB-GlobalAlt-ChB_USA_1200x628_CAN_PLATFORM_English_Free Account_Standard_NA_SINU_T2_1</v></cell><cell r="AJ2385"><v>103180592</v></cell></row><row r="2386"><cell r="C2386" t="str"><v>43298FACEBOOK»USA-Trial-ITD-Retargeting-AZR-AZR»1 x 1»SocialBan»LIA»ALL»CPA»RT»X»NA»SS»NA»FreeAcctRetargetingVMFB-750Hrs-ChD»PRC1RY</v></cell><cell r="D2386" t="str"><v>43298223862747</v></cell><cell r="E2386" t="str"><v>43298103034911PRC1RY</v></cell><cell r="F2386" t="str"><v>DCM</v></cell><cell r="G2386" t="str"><v>https://azure.microsoft.com/en-us/free/virtual-machines/search/?OCID=AID%eexcid!_OLA_%ebuy!_%epid!_%ecid!</v></cell></row><row r="2386"><cell r="K2386" t="str"><v>July</v></cell><cell r="L2386"><v>43302</v></cell><cell r="M2386" t="str"><v>Tier 0</v></cell><cell r="N2386" t="str"><v>North America</v></cell><cell r="O2386" t="str"><v>United States</v></cell><cell r="P2386" t="str"><v>Trial</v></cell><cell r="Q2386" t="str"><v>Social</v></cell><cell r="R2386" t="str"><v>Azure</v></cell><cell r="S2386" t="str"><v>Apps & Infra</v></cell><cell r="T2386" t="str"><v>Developers & ITI's</v></cell><cell r="U2386" t="str"><v>USA-Trial-ITD-Retargeting-AZR-AZR</v></cell><cell r="V2386" t="str"><v>Retargeting</v></cell><cell r="W2386" t="str"><v>Link Ad</v></cell><cell r="X2386" t="str"><v>1x1</v></cell></row><row r="2386"><cell r="AA2386"><v>43298</v></cell><cell r="AB2386" t="str"><v>USA_gaPMG_AZR_AZR_Q1_19_Direct-Social</v></cell><cell r="AC2386"><v>21358715</v></cell><cell r="AD2386"><v>720197</v></cell><cell r="AE2386" t="str"><v>Facebook</v></cell><cell r="AF2386"><v>3654128</v></cell><cell r="AG2386" t="str"><v>FACEBOOK»USA-Trial-ITD-Retargeting-AZR-AZR»1 x 1»SocialBan»LIA»ALL»CPA»RT»X»NA»SS»NA»FreeAcctRetargetingVMFB-750Hrs-ChD»PRC1RY</v></cell><cell r="AH2386"><v>223862747</v></cell><cell r="AI2386" t="str"><v>AzurePlatform_FreeAcctRetargetingVMFB-750Hrs-ChD_USA_1200x628_CAN_PLATFORM_English_Free Account_Standard_NA_SINU_T1_1</v></cell><cell r="AJ2386"><v>103034911</v></cell></row><row r="2387"><cell r="C2387" t="str"><v>43298FACEBOOK»USA-Trial-ITD-Retargeting-AZR-AZR»1 x 1»SocialBan»LIA»ALL»CPA»RT»X»NA»SS»NA»FreeAcctRetargetingVMFB-OnDemand-ChE»PRC1S0</v></cell><cell r="D2387" t="str"><v>43298224104899</v></cell><cell r="E2387" t="str"><v>43298103180610PRC1S0</v></cell><cell r="F2387" t="str"><v>DCM</v></cell><cell r="G2387" t="str"><v>https://azure.microsoft.com/en-us/free/virtual-machines/search/?OCID=AID%eexcid!_OLA_%ebuy!_%epid!_%ecid!</v></cell></row><row r="2387"><cell r="K2387" t="str"><v>July</v></cell><cell r="L2387"><v>43302</v></cell><cell r="M2387" t="str"><v>Tier 0</v></cell><cell r="N2387" t="str"><v>North America</v></cell><cell r="O2387" t="str"><v>United States</v></cell><cell r="P2387" t="str"><v>Trial</v></cell><cell r="Q2387" t="str"><v>Social</v></cell><cell r="R2387" t="str"><v>Azure</v></cell><cell r="S2387" t="str"><v>Apps & Infra</v></cell><cell r="T2387" t="str"><v>Developers & ITI's</v></cell><cell r="U2387" t="str"><v>USA-Trial-ITD-Retargeting-AZR-AZR</v></cell><cell r="V2387" t="str"><v>Retargeting</v></cell><cell r="W2387" t="str"><v>Link Ad</v></cell><cell r="X2387" t="str"><v>1x1</v></cell></row><row r="2387"><cell r="AA2387"><v>43298</v></cell><cell r="AB2387" t="str"><v>USA_gaPMG_AZR_AZR_Q1_19_Direct-Social</v></cell><cell r="AC2387"><v>21358715</v></cell><cell r="AD2387"><v>720197</v></cell><cell r="AE2387" t="str"><v>Facebook</v></cell><cell r="AF2387"><v>3654128</v></cell><cell r="AG2387" t="str"><v>FACEBOOK»USA-Trial-ITD-Retargeting-AZR-AZR»1 x 1»SocialBan»LIA»ALL»CPA»RT»X»NA»SS»NA»FreeAcctRetargetingVMFB-OnDemand-ChE»PRC1S0</v></cell><cell r="AH2387"><v>224104899</v></cell><cell r="AI2387" t="str"><v>AzurePlatform_FreeAcctRetargetingVMFB-OnDemand-ChE_USA_1200x628_CAN_PLATFORM_English_Free Account_Standard_NA_SINU_T2_1</v></cell><cell r="AJ2387"><v>103180610</v></cell></row><row r="2388"><cell r="C2388" t="str"><v>43298FACEBOOK»USA-Trial-ITD-Retargeting-AZR-AZR»1 x 1»SocialBan»CAN»ALL»CPA»RT»X»NA»SS»NA»FBCTCBenefit2inMotion»PRC1RR</v></cell><cell r="D2388" t="str"><v>43298224104896</v></cell><cell r="E2388" t="str"><v>43298103043835PRC1RR</v></cell><cell r="F2388" t="str"><v>DCM</v></cell><cell r="G2388" t="str"><v>https://signup.azure.com/?OCID=AID%eexcid!_OLA_%ebuy!_%epid!_%ecid!</v></cell></row><row r="2388"><cell r="K2388" t="str"><v>July</v></cell><cell r="L2388"><v>43302</v></cell><cell r="M2388" t="str"><v>Tier 0</v></cell><cell r="N2388" t="str"><v>North America</v></cell><cell r="O2388" t="str"><v>United States</v></cell><cell r="P2388" t="str"><v>Trial</v></cell><cell r="Q2388" t="str"><v>Social</v></cell><cell r="R2388" t="str"><v>Azure</v></cell><cell r="S2388" t="str"><v>Apps & Infra</v></cell><cell r="T2388" t="str"><v>Developers & ITI's</v></cell><cell r="U2388" t="str"><v>USA-Trial-ITD-Retargeting-AZR-AZR</v></cell><cell r="V2388" t="str"><v>Retargeting</v></cell><cell r="W2388" t="str"><v>Canvas Ad</v></cell><cell r="X2388" t="str"><v>1x1</v></cell></row><row r="2388"><cell r="AA2388"><v>43298</v></cell><cell r="AB2388" t="str"><v>USA_gaPMG_AZR_AZR_Q1_19_Direct-Social</v></cell><cell r="AC2388"><v>21358715</v></cell><cell r="AD2388"><v>720197</v></cell><cell r="AE2388" t="str"><v>Facebook</v></cell><cell r="AF2388"><v>3654128</v></cell><cell r="AG2388" t="str"><v>FACEBOOK»USA-Trial-ITD-Retargeting-AZR-AZR»1 x 1»SocialBan»CAN»ALL»CPA»RT»X»NA»SS»NA»FBCTCBenefit2inMotion»PRC1RR</v></cell><cell r="AH2388"><v>224104896</v></cell><cell r="AI2388" t="str"><v>AzurePlatform_FBCTCBenefit2inMotion_USA_10s_CAN_PLATFORM_English_Trial_Standard_STAN_TIN_T4_1</v></cell><cell r="AJ2388"><v>103043835</v></cell></row><row r="2389"><cell r="C2389" t="str"><v>43298FACEBOOK»USA-Trial-ITD-Retargeting-AZR-AZR»1 x 1»SocialBan»CAN»ALL»CPA»RT»X»NA»SS»NA»FBCTCBrandinMotion»PRC1RT</v></cell><cell r="D2389" t="str"><v>43298224106069</v></cell><cell r="E2389" t="str"><v>43298103176812PRC1RT</v></cell><cell r="F2389" t="str"><v>DCM</v></cell><cell r="G2389" t="str"><v>https://signup.azure.com/?OCID=AID%eexcid!_OLA_%ebuy!_%epid!_%ecid!</v></cell></row><row r="2389"><cell r="K2389" t="str"><v>July</v></cell><cell r="L2389"><v>43302</v></cell><cell r="M2389" t="str"><v>Tier 0</v></cell><cell r="N2389" t="str"><v>North America</v></cell><cell r="O2389" t="str"><v>United States</v></cell><cell r="P2389" t="str"><v>Trial</v></cell><cell r="Q2389" t="str"><v>Social</v></cell><cell r="R2389" t="str"><v>Azure</v></cell><cell r="S2389" t="str"><v>Apps & Infra</v></cell><cell r="T2389" t="str"><v>Developers & ITI's</v></cell><cell r="U2389" t="str"><v>USA-Trial-ITD-Retargeting-AZR-AZR</v></cell><cell r="V2389" t="str"><v>Retargeting</v></cell><cell r="W2389" t="str"><v>Canvas Ad</v></cell><cell r="X2389" t="str"><v>1x1</v></cell></row><row r="2389"><cell r="AA2389"><v>43298</v></cell><cell r="AB2389" t="str"><v>USA_gaPMG_AZR_AZR_Q1_19_Direct-Social</v></cell><cell r="AC2389"><v>21358715</v></cell><cell r="AD2389"><v>720197</v></cell><cell r="AE2389" t="str"><v>Facebook</v></cell><cell r="AF2389"><v>3654128</v></cell><cell r="AG2389" t="str"><v>FACEBOOK»USA-Trial-ITD-Retargeting-AZR-AZR»1 x 1»SocialBan»CAN»ALL»CPA»RT»X»NA»SS»NA»FBCTCBrandinMotion»PRC1RT</v></cell><cell r="AH2389"><v>224106069</v></cell><cell r="AI2389" t="str"><v>AzurePlatform_FBCTCBrandinMotion_USA_10s_CAN_PLATFORM_English_Trial_Standard_STAN_TIN_T2_1</v></cell><cell r="AJ2389"><v>103176812</v></cell></row><row r="2390"><cell r="C2390" t="str"><v>43298FACEBOOK»USA-Trial-ITD-Trial Lookalike-AZR-AZR»1 x 1»SocialBan»CAN»ALL»CPA»LAL»X»NA»SS»NA»FBCTCBenefit2inMotion»PRC1M0</v></cell><cell r="D2390" t="str"><v>43298223862927</v></cell><cell r="E2390" t="str"><v>43298103043835PRC1M0</v></cell><cell r="F2390" t="str"><v>DCM</v></cell><cell r="G2390" t="str"><v>https://signup.azure.com/?OCID=AID%eexcid!_OLA_%ebuy!_%epid!_%ecid!</v></cell></row><row r="2390"><cell r="K2390" t="str"><v>July</v></cell><cell r="L2390"><v>43302</v></cell><cell r="M2390" t="str"><v>Tier 0</v></cell><cell r="N2390" t="str"><v>North America</v></cell><cell r="O2390" t="str"><v>United States</v></cell><cell r="P2390" t="str"><v>Trial</v></cell><cell r="Q2390" t="str"><v>Social</v></cell><cell r="R2390" t="str"><v>Azure</v></cell><cell r="S2390" t="str"><v>Apps & Infra</v></cell><cell r="T2390" t="str"><v>Developers & ITI's</v></cell><cell r="U2390" t="str"><v>USA-Trial-ITD-Trial Lookalike-AZR-AZR</v></cell><cell r="V2390" t="str"><v>Lookalike Targeting</v></cell><cell r="W2390" t="str"><v>Canvas Ad</v></cell><cell r="X2390" t="str"><v>1x1</v></cell></row><row r="2390"><cell r="AA2390"><v>43298</v></cell><cell r="AB2390" t="str"><v>USA_gaPMG_AZR_AZR_Q1_19_Direct-Social</v></cell><cell r="AC2390"><v>21358715</v></cell><cell r="AD2390"><v>720197</v></cell><cell r="AE2390" t="str"><v>Facebook</v></cell><cell r="AF2390"><v>3654128</v></cell><cell r="AG2390" t="str"><v>FACEBOOK»USA-Trial-ITD-Trial Lookalike-AZR-AZR»1 x 1»SocialBan»CAN»ALL»CPA»LAL»X»NA»SS»NA»FBCTCBenefit2inMotion»PRC1M0</v></cell><cell r="AH2390"><v>223862927</v></cell><cell r="AI2390" t="str"><v>AzurePlatform_FBCTCBenefit2inMotion_USA_10s_CAN_PLATFORM_English_Trial_Standard_STAN_TIN_T4_1</v></cell><cell r="AJ2390"><v>103043835</v></cell></row><row r="2391"><cell r="C2391" t="str"><v>43298FACEBOOK»USA-Trial-ITD-Trial Lookalike-AZR-AZR»1 x 1»SocialBan»LIA»ALL»CPA»LAL»X»NA»SS»NA»FreeAcctDeveloperFB-AnimatedAI-Ch3»PRC1M7</v></cell><cell r="D2391" t="str"><v>43298223934104</v></cell><cell r="E2391" t="str"><v>43298103032778PRC1M7</v></cell><cell r="F2391" t="str"><v>DCM</v></cell></row><row r="2391"><cell r="K2391" t="str"><v>July</v></cell><cell r="L2391"><v>43302</v></cell><cell r="M2391" t="str"><v>Tier 0</v></cell><cell r="N2391" t="str"><v>North America</v></cell><cell r="O2391" t="str"><v>United States</v></cell><cell r="P2391" t="str"><v>Trial</v></cell><cell r="Q2391" t="str"><v>Social</v></cell><cell r="R2391" t="str"><v>Azure</v></cell><cell r="S2391" t="str"><v>Apps & Infra</v></cell><cell r="T2391" t="str"><v>Developers & ITI's</v></cell><cell r="U2391" t="str"><v>USA-Trial-ITD-Trial Lookalike-AZR-AZR</v></cell><cell r="V2391" t="str"><v>Lookalike Targeting</v></cell><cell r="W2391" t="str"><v>Link Ad</v></cell><cell r="X2391" t="str"><v>1x1</v></cell></row><row r="2391"><cell r="AA2391"><v>43298</v></cell><cell r="AB2391" t="str"><v>USA_gaPMG_AZR_AZR_Q1_19_Direct-Social</v></cell><cell r="AC2391"><v>21358715</v></cell><cell r="AD2391"><v>720197</v></cell><cell r="AE2391" t="str"><v>Facebook</v></cell><cell r="AF2391"><v>3654128</v></cell><cell r="AG2391" t="str"><v>FACEBOOK»USA-Trial-ITD-Trial Lookalike-AZR-AZR»1 x 1»SocialBan»LIA»ALL»CPA»LAL»X»NA»SS»NA»FreeAcctDeveloperFB-AnimatedAI-Ch3»PRC1M7</v></cell><cell r="AH2391"><v>223934104</v></cell><cell r="AI2391" t="str"><v>AZR_FreeAcctDeveloperFB-AnimatedAI-Ch3_USA_1200x1200_CAN_Direct_English_Trial_Standard_ANI_LEA_T3_1</v></cell><cell r="AJ2391"><v>103032778</v></cell></row><row r="2392"><cell r="C2392" t="str"><v>43298FACEBOOK»USA-Trial-ITD-Trial Lookalike-AZR-AZR»1 x 1»SocialBan»LIA»ALL»CPA»LAL»X»NA»SS»NA»FreeAcctDeveloperFB-AnimatedData-Ch4»PRC1M8</v></cell><cell r="D2392" t="str"><v>43298223862933</v></cell><cell r="E2392" t="str"><v>43298103037935PRC1M8</v></cell><cell r="F2392" t="str"><v>DCM</v></cell></row><row r="2392"><cell r="K2392" t="str"><v>July</v></cell><cell r="L2392"><v>43302</v></cell><cell r="M2392" t="str"><v>Tier 0</v></cell><cell r="N2392" t="str"><v>North America</v></cell><cell r="O2392" t="str"><v>United States</v></cell><cell r="P2392" t="str"><v>Trial</v></cell><cell r="Q2392" t="str"><v>Social</v></cell><cell r="R2392" t="str"><v>Azure</v></cell><cell r="S2392" t="str"><v>Apps & Infra</v></cell><cell r="T2392" t="str"><v>Developers & ITI's</v></cell><cell r="U2392" t="str"><v>USA-Trial-ITD-Trial Lookalike-AZR-AZR</v></cell><cell r="V2392" t="str"><v>Lookalike Targeting</v></cell><cell r="W2392" t="str"><v>Link Ad</v></cell><cell r="X2392" t="str"><v>1x1</v></cell></row><row r="2392"><cell r="AA2392"><v>43298</v></cell><cell r="AB2392" t="str"><v>USA_gaPMG_AZR_AZR_Q1_19_Direct-Social</v></cell><cell r="AC2392"><v>21358715</v></cell><cell r="AD2392"><v>720197</v></cell><cell r="AE2392" t="str"><v>Facebook</v></cell><cell r="AF2392"><v>3654128</v></cell><cell r="AG2392" t="str"><v>FACEBOOK»USA-Trial-ITD-Trial Lookalike-AZR-AZR»1 x 1»SocialBan»LIA»ALL»CPA»LAL»X»NA»SS»NA»FreeAcctDeveloperFB-AnimatedData-Ch4»PRC1M8</v></cell><cell r="AH2392"><v>223862933</v></cell><cell r="AI2392" t="str"><v>AZR_FreeAcctDeveloperFB-AnimatedData-Ch4_USA_1200x1200_CAN_Direct_English_Trial_Standard_ANI_LEA_T4_2</v></cell><cell r="AJ2392"><v>103037935</v></cell></row><row r="2393"><cell r="C2393" t="str"><v>43298FACEBOOK»USA-Trial-ITD-Trial Lookalike-AZR-AZR»1 x 1»SocialBan»LIA»ALL»CPA»LAL»X»NA»SS»NA»FreeAcctITProFB-AnimatedHybrid-Ch2»PRC1MC</v></cell><cell r="D2393" t="str"><v>43298224104956</v></cell><cell r="E2393" t="str"><v>43298103180583PRC1MC</v></cell><cell r="F2393" t="str"><v>DCM</v></cell></row><row r="2393"><cell r="K2393" t="str"><v>July</v></cell><cell r="L2393"><v>43302</v></cell><cell r="M2393" t="str"><v>Tier 0</v></cell><cell r="N2393" t="str"><v>North America</v></cell><cell r="O2393" t="str"><v>United States</v></cell><cell r="P2393" t="str"><v>Trial</v></cell><cell r="Q2393" t="str"><v>Social</v></cell><cell r="R2393" t="str"><v>Azure</v></cell><cell r="S2393" t="str"><v>Apps & Infra</v></cell><cell r="T2393" t="str"><v>Developers & ITI's</v></cell><cell r="U2393" t="str"><v>USA-Trial-ITD-Trial Lookalike-AZR-AZR</v></cell><cell r="V2393" t="str"><v>Lookalike Targeting</v></cell><cell r="W2393" t="str"><v>Link Ad</v></cell><cell r="X2393" t="str"><v>1x1</v></cell></row><row r="2393"><cell r="AA2393"><v>43298</v></cell><cell r="AB2393" t="str"><v>USA_gaPMG_AZR_AZR_Q1_19_Direct-Social</v></cell><cell r="AC2393"><v>21358715</v></cell><cell r="AD2393"><v>720197</v></cell><cell r="AE2393" t="str"><v>Facebook</v></cell><cell r="AF2393"><v>3654128</v></cell><cell r="AG2393" t="str"><v>FACEBOOK»USA-Trial-ITD-Trial Lookalike-AZR-AZR»1 x 1»SocialBan»LIA»ALL»CPA»LAL»X»NA»SS»NA»FreeAcctITProFB-AnimatedHybrid-Ch2»PRC1MC</v></cell><cell r="AH2393"><v>224104956</v></cell><cell r="AI2393" t="str"><v>AZR_FreeAcctITProFB-AnimatedHybrid-Ch2_USA_1200x1200_CAN_Direct_English_Trial_Standard_ANI_LEA_T2_2</v></cell><cell r="AJ2393"><v>103180583</v></cell></row><row r="2394"><cell r="C2394" t="str"><v>43298FACEBOOK»USA-Trial-ITD-Trial Lookalike-AZR-AZR»1 x 1»SocialBan»CAN»ALL»CPA»LAL»X»NA»SS»NA»FBCTCBrandinMotion»PRC1M3</v></cell><cell r="D2394" t="str"><v>43298223862900</v></cell><cell r="E2394" t="str"><v>43298103176812PRC1M3</v></cell><cell r="F2394" t="str"><v>DCM</v></cell><cell r="G2394" t="str"><v>https://signup.azure.com/?OCID=AID%eexcid!_OLA_%ebuy!_%epid!_%ecid!</v></cell></row><row r="2394"><cell r="K2394" t="str"><v>July</v></cell><cell r="L2394"><v>43302</v></cell><cell r="M2394" t="str"><v>Tier 0</v></cell><cell r="N2394" t="str"><v>North America</v></cell><cell r="O2394" t="str"><v>United States</v></cell><cell r="P2394" t="str"><v>Trial</v></cell><cell r="Q2394" t="str"><v>Social</v></cell><cell r="R2394" t="str"><v>Azure</v></cell><cell r="S2394" t="str"><v>Apps & Infra</v></cell><cell r="T2394" t="str"><v>Developers & ITI's</v></cell><cell r="U2394" t="str"><v>USA-Trial-ITD-Trial Lookalike-AZR-AZR</v></cell><cell r="V2394" t="str"><v>Lookalike Targeting</v></cell><cell r="W2394" t="str"><v>Canvas Ad</v></cell><cell r="X2394" t="str"><v>1x1</v></cell></row><row r="2394"><cell r="AA2394"><v>43298</v></cell><cell r="AB2394" t="str"><v>USA_gaPMG_AZR_AZR_Q1_19_Direct-Social</v></cell><cell r="AC2394"><v>21358715</v></cell><cell r="AD2394"><v>720197</v></cell><cell r="AE2394" t="str"><v>Facebook</v></cell><cell r="AF2394"><v>3654128</v></cell><cell r="AG2394" t="str"><v>FACEBOOK»USA-Trial-ITD-Trial Lookalike-AZR-AZR»1 x 1»SocialBan»CAN»ALL»CPA»LAL»X»NA»SS»NA»FBCTCBrandinMotion»PRC1M3</v></cell><cell r="AH2394"><v>223862900</v></cell><cell r="AI2394" t="str"><v>AzurePlatform_FBCTCBrandinMotion_USA_10s_CAN_PLATFORM_English_Trial_Standard_STAN_TIN_T2_1</v></cell><cell r="AJ2394"><v>103176812</v></cell></row><row r="2395"><cell r="C2395" t="str"><v>43298FACEBOOK»USA-Trial-ITD-Trial Lookalike-AZR-AZR»1 x 1»SocialBan»CAN»ALL»CPA»LAL»X»NA»SS»NA»FBCTCBrandinMotion»PRC1M3</v></cell><cell r="D2395" t="str"><v>43298223862900</v></cell><cell r="E2395" t="str"><v>43298103032823PRC1M3</v></cell><cell r="F2395" t="str"><v>DCM</v></cell><cell r="G2395" t="str"><v>https://azure.microsoft.com/en-us/pricing/purchase-options/?v=18.19&OCID=AID%eexcid!_OLA_%ebuy!_%epid!_%ecid!</v></cell></row><row r="2395"><cell r="K2395" t="str"><v>July</v></cell><cell r="L2395"><v>43302</v></cell><cell r="M2395" t="str"><v>Tier 0</v></cell><cell r="N2395" t="str"><v>North America</v></cell><cell r="O2395" t="str"><v>United States</v></cell><cell r="P2395" t="str"><v>Trial</v></cell><cell r="Q2395" t="str"><v>Social</v></cell><cell r="R2395" t="str"><v>Azure</v></cell><cell r="S2395" t="str"><v>Apps & Infra</v></cell><cell r="T2395" t="str"><v>Developers & ITI's</v></cell><cell r="U2395" t="str"><v>USA-Trial-ITD-Trial Lookalike-AZR-AZR</v></cell><cell r="V2395" t="str"><v>Lookalike Targeting</v></cell><cell r="W2395" t="str"><v>Canvas Ad</v></cell><cell r="X2395" t="str"><v>1x1</v></cell></row><row r="2395"><cell r="AA2395"><v>43298</v></cell><cell r="AB2395" t="str"><v>USA_gaPMG_AZR_AZR_Q1_19_Direct-Social</v></cell><cell r="AC2395"><v>21358715</v></cell><cell r="AD2395"><v>720197</v></cell><cell r="AE2395" t="str"><v>Facebook</v></cell><cell r="AF2395"><v>3654128</v></cell><cell r="AG2395" t="str"><v>FACEBOOK»USA-Trial-ITD-Trial Lookalike-AZR-AZR»1 x 1»SocialBan»CAN»ALL»CPA»LAL»X»NA»SS»NA»FBCTCBrandinMotion»PRC1M3</v></cell><cell r="AH2395"><v>223862900</v></cell><cell r="AI2395" t="str"><v>AzurePlatform_FBCTCBrandinMotion_USA_10s_CAN_PLATFORM_English_Trial_Standard_STAN_TIN_T2_2</v></cell><cell r="AJ2395"><v>103032823</v></cell></row><row r="2396"><cell r="C2396" t="str"><v>43298FACEBOOK»USA-Trial-ITD-Trial PayGo Lookalike-AZR-AZR»1 x 1»SocialBan»CAN»ALL»CPA»LAL»X»NA»SS»NA»FBCTCBenefit2inMotion»PRC1Q1</v></cell><cell r="D2396" t="str"><v>43298224104986</v></cell><cell r="E2396" t="str"><v>43298103043835PRC1Q1</v></cell><cell r="F2396" t="str"><v>DCM</v></cell><cell r="G2396" t="str"><v>https://signup.azure.com/?OCID=AID%eexcid!_OLA_%ebuy!_%epid!_%ecid!</v></cell></row><row r="2396"><cell r="K2396" t="str"><v>July</v></cell><cell r="L2396"><v>43302</v></cell><cell r="M2396" t="str"><v>Tier 0</v></cell><cell r="N2396" t="str"><v>North America</v></cell><cell r="O2396" t="str"><v>United States</v></cell><cell r="P2396" t="str"><v>Trial</v></cell><cell r="Q2396" t="str"><v>Social</v></cell><cell r="R2396" t="str"><v>Azure</v></cell><cell r="S2396" t="str"><v>Apps & Infra</v></cell><cell r="T2396" t="str"><v>Developers & ITI's</v></cell><cell r="U2396" t="str"><v>USA-Trial-ITD-Trial PayGo Lookalike-AZR-AZR</v></cell><cell r="V2396" t="str"><v>Lookalike Targeting</v></cell><cell r="W2396" t="str"><v>Canvas Ad</v></cell><cell r="X2396" t="str"><v>1x1</v></cell></row><row r="2396"><cell r="AA2396"><v>43298</v></cell><cell r="AB2396" t="str"><v>USA_gaPMG_AZR_AZR_Q1_19_Direct-Social</v></cell><cell r="AC2396"><v>21358715</v></cell><cell r="AD2396"><v>720197</v></cell><cell r="AE2396" t="str"><v>Facebook</v></cell><cell r="AF2396"><v>3654128</v></cell><cell r="AG2396" t="str"><v>FACEBOOK»USA-Trial-ITD-Trial PayGo Lookalike-AZR-AZR»1 x 1»SocialBan»CAN»ALL»CPA»LAL»X»NA»SS»NA»FBCTCBenefit2inMotion»PRC1Q1</v></cell><cell r="AH2396"><v>224104986</v></cell><cell r="AI2396" t="str"><v>AzurePlatform_FBCTCBenefit2inMotion_USA_10s_CAN_PLATFORM_English_Trial_Standard_STAN_TIN_T4_1</v></cell><cell r="AJ2396"><v>103043835</v></cell></row><row r="2397"><cell r="C2397" t="str"><v>43298FACEBOOK»USA-Trial-ITD-Trial PayGo Lookalike-AZR-AZR»1 x 1»SocialBan»CAN»ALL»CPA»LAL»X»NA»SS»NA»FBCTCBenefit2inMotion»PRC1Q1</v></cell><cell r="D2397" t="str"><v>43298224104986</v></cell><cell r="E2397" t="str"><v>43298103178645PRC1Q1</v></cell><cell r="F2397" t="str"><v>DCM</v></cell><cell r="G2397" t="str"><v>https://azure.microsoft.com/en-us/pricing/purchase-options/?v=18.19&OCID=AID%eexcid!_OLA_%ebuy!_%epid!_%ecid!</v></cell></row><row r="2397"><cell r="K2397" t="str"><v>July</v></cell><cell r="L2397"><v>43302</v></cell><cell r="M2397" t="str"><v>Tier 0</v></cell><cell r="N2397" t="str"><v>North America</v></cell><cell r="O2397" t="str"><v>United States</v></cell><cell r="P2397" t="str"><v>Trial</v></cell><cell r="Q2397" t="str"><v>Social</v></cell><cell r="R2397" t="str"><v>Azure</v></cell><cell r="S2397" t="str"><v>Apps & Infra</v></cell><cell r="T2397" t="str"><v>Developers & ITI's</v></cell><cell r="U2397" t="str"><v>USA-Trial-ITD-Trial PayGo Lookalike-AZR-AZR</v></cell><cell r="V2397" t="str"><v>Lookalike Targeting</v></cell><cell r="W2397" t="str"><v>Canvas Ad</v></cell><cell r="X2397" t="str"><v>1x1</v></cell></row><row r="2397"><cell r="AA2397"><v>43298</v></cell><cell r="AB2397" t="str"><v>USA_gaPMG_AZR_AZR_Q1_19_Direct-Social</v></cell><cell r="AC2397"><v>21358715</v></cell><cell r="AD2397"><v>720197</v></cell><cell r="AE2397" t="str"><v>Facebook</v></cell><cell r="AF2397"><v>3654128</v></cell><cell r="AG2397" t="str"><v>FACEBOOK»USA-Trial-ITD-Trial PayGo Lookalike-AZR-AZR»1 x 1»SocialBan»CAN»ALL»CPA»LAL»X»NA»SS»NA»FBCTCBenefit2inMotion»PRC1Q1</v></cell><cell r="AH2397"><v>224104986</v></cell><cell r="AI2397" t="str"><v>AzurePlatform_FBCTCBenefit2inMotion_USA_10s_CAN_PLATFORM_English_Trial_Standard_STAN_TIN_T4_2</v></cell><cell r="AJ2397"><v>103178645</v></cell></row><row r="2398"><cell r="C2398" t="str"><v>43298FACEBOOK»USA-Trial-ITD-Trial PayGo Lookalike-AZR-AZR»1 x 1»SocialBan»CAN»ALL»CPA»LAL»X»NA»SS»NA»FBCTCBrandinMotion»PRC1Q3</v></cell><cell r="D2398" t="str"><v>43298223935349</v></cell><cell r="E2398" t="str"><v>43298103176812PRC1Q3</v></cell><cell r="F2398" t="str"><v>DCM</v></cell><cell r="G2398" t="str"><v>https://signup.azure.com/?OCID=AID%eexcid!_OLA_%ebuy!_%epid!_%ecid!</v></cell></row><row r="2398"><cell r="K2398" t="str"><v>July</v></cell><cell r="L2398"><v>43302</v></cell><cell r="M2398" t="str"><v>Tier 0</v></cell><cell r="N2398" t="str"><v>North America</v></cell><cell r="O2398" t="str"><v>United States</v></cell><cell r="P2398" t="str"><v>Trial</v></cell><cell r="Q2398" t="str"><v>Social</v></cell><cell r="R2398" t="str"><v>Azure</v></cell><cell r="S2398" t="str"><v>Apps & Infra</v></cell><cell r="T2398" t="str"><v>Developers & ITI's</v></cell><cell r="U2398" t="str"><v>USA-Trial-ITD-Trial PayGo Lookalike-AZR-AZR</v></cell><cell r="V2398" t="str"><v>Lookalike Targeting</v></cell><cell r="W2398" t="str"><v>Canvas Ad</v></cell><cell r="X2398" t="str"><v>1x1</v></cell></row><row r="2398"><cell r="AA2398"><v>43298</v></cell><cell r="AB2398" t="str"><v>USA_gaPMG_AZR_AZR_Q1_19_Direct-Social</v></cell><cell r="AC2398"><v>21358715</v></cell><cell r="AD2398"><v>720197</v></cell><cell r="AE2398" t="str"><v>Facebook</v></cell><cell r="AF2398"><v>3654128</v></cell><cell r="AG2398" t="str"><v>FACEBOOK»USA-Trial-ITD-Trial PayGo Lookalike-AZR-AZR»1 x 1»SocialBan»CAN»ALL»CPA»LAL»X»NA»SS»NA»FBCTCBrandinMotion»PRC1Q3</v></cell><cell r="AH2398"><v>223935349</v></cell><cell r="AI2398" t="str"><v>AzurePlatform_FBCTCBrandinMotion_USA_10s_CAN_PLATFORM_English_Trial_Standard_STAN_TIN_T2_1</v></cell><cell r="AJ2398"><v>103176812</v></cell></row><row r="2399"><cell r="C2399" t="str"><v>43298FACEBOOK»USA-Trial-ITD-Trial PayGo Lookalike-AZR-AZR»1 x 1»SocialBan»CAN»ALL»CPA»LAL»X»NA»SS»NA»FBCTCBrandinMotion»PRC1Q3</v></cell><cell r="D2399" t="str"><v>43298223935349</v></cell><cell r="E2399" t="str"><v>43298103032823PRC1Q3</v></cell><cell r="F2399" t="str"><v>DCM</v></cell><cell r="G2399" t="str"><v>https://azure.microsoft.com/en-us/pricing/purchase-options/?v=18.19&OCID=AID%eexcid!_OLA_%ebuy!_%epid!_%ecid!</v></cell></row><row r="2399"><cell r="K2399" t="str"><v>July</v></cell><cell r="L2399"><v>43302</v></cell><cell r="M2399" t="str"><v>Tier 0</v></cell><cell r="N2399" t="str"><v>North America</v></cell><cell r="O2399" t="str"><v>United States</v></cell><cell r="P2399" t="str"><v>Trial</v></cell><cell r="Q2399" t="str"><v>Social</v></cell><cell r="R2399" t="str"><v>Azure</v></cell><cell r="S2399" t="str"><v>Apps & Infra</v></cell><cell r="T2399" t="str"><v>Developers & ITI's</v></cell><cell r="U2399" t="str"><v>USA-Trial-ITD-Trial PayGo Lookalike-AZR-AZR</v></cell><cell r="V2399" t="str"><v>Lookalike Targeting</v></cell><cell r="W2399" t="str"><v>Canvas Ad</v></cell><cell r="X2399" t="str"><v>1x1</v></cell></row><row r="2399"><cell r="AA2399"><v>43298</v></cell><cell r="AB2399" t="str"><v>USA_gaPMG_AZR_AZR_Q1_19_Direct-Social</v></cell><cell r="AC2399"><v>21358715</v></cell><cell r="AD2399"><v>720197</v></cell><cell r="AE2399" t="str"><v>Facebook</v></cell><cell r="AF2399"><v>3654128</v></cell><cell r="AG2399" t="str"><v>FACEBOOK»USA-Trial-ITD-Trial PayGo Lookalike-AZR-AZR»1 x 1»SocialBan»CAN»ALL»CPA»LAL»X»NA»SS»NA»FBCTCBrandinMotion»PRC1Q3</v></cell><cell r="AH2399"><v>223935349</v></cell><cell r="AI2399" t="str"><v>AzurePlatform_FBCTCBrandinMotion_USA_10s_CAN_PLATFORM_English_Trial_Standard_STAN_TIN_T2_2</v></cell><cell r="AJ2399"><v>103032823</v></cell></row><row r="2400"><cell r="C2400" t="str"><v>43298FACEBOOK»USA-Trial-ITD-Trial PayGo Lookalike-AZR-AZR»1 x 1»SocialBan»LIA»ALL»CPA»LAL»X»NA»SS»NA»FreeAcctDeveloperFB-AnimatedGeneric-Ch1»PRC1Q6</v></cell><cell r="D2400" t="str"><v>43298224106129</v></cell><cell r="E2400" t="str"><v>43298103176851PRC1Q6</v></cell><cell r="F2400" t="str"><v>DCM</v></cell><cell r="G2400" t="str"><v>https://azure.microsoft.com/en-us/free/search/?OCID=AID%eexcid!_OLA_%ebuy!_%epid!_%ecid!</v></cell></row><row r="2400"><cell r="K2400" t="str"><v>July</v></cell><cell r="L2400"><v>43302</v></cell><cell r="M2400" t="str"><v>Tier 0</v></cell><cell r="N2400" t="str"><v>North America</v></cell><cell r="O2400" t="str"><v>United States</v></cell><cell r="P2400" t="str"><v>Trial</v></cell><cell r="Q2400" t="str"><v>Social</v></cell><cell r="R2400" t="str"><v>Azure</v></cell><cell r="S2400" t="str"><v>Apps & Infra</v></cell><cell r="T2400" t="str"><v>Developers & ITI's</v></cell><cell r="U2400" t="str"><v>USA-Trial-ITD-Trial PayGo Lookalike-AZR-AZR</v></cell><cell r="V2400" t="str"><v>Lookalike Targeting</v></cell><cell r="W2400" t="str"><v>Link Ad</v></cell><cell r="X2400" t="str"><v>1x1</v></cell></row><row r="2400"><cell r="AA2400"><v>43298</v></cell><cell r="AB2400" t="str"><v>USA_gaPMG_AZR_AZR_Q1_19_Direct-Social</v></cell><cell r="AC2400"><v>21358715</v></cell><cell r="AD2400"><v>720197</v></cell><cell r="AE2400" t="str"><v>Facebook</v></cell><cell r="AF2400"><v>3654128</v></cell><cell r="AG2400" t="str"><v>FACEBOOK»USA-Trial-ITD-Trial PayGo Lookalike-AZR-AZR»1 x 1»SocialBan»LIA»ALL»CPA»LAL»X»NA»SS»NA»FreeAcctDeveloperFB-AnimatedGeneric-Ch1»PRC1Q6</v></cell><cell r="AH2400"><v>224106129</v></cell><cell r="AI2400" t="str"><v>AZR_FreeAcctDeveloperFB-AnimatedGeneric-Ch1_USA_1200x1200_CAN_Direct_English_Trial_Standard_ANI_LEA_T1_2</v></cell><cell r="AJ2400"><v>103176851</v></cell></row><row r="2401"><cell r="C2401" t="str"><v>43298FACEBOOK»USA-Trial-ITD-Interest Prospecting-AZR-AZR»1 x 1»SocialBan»LIA»ALL»CPA»PRO»X»NA»SS»NA»FreeAcctDeveloperFB-AnimatedAI-Ch3»PRC1T2</v></cell><cell r="D2401" t="str"><v>43298223862765</v></cell><cell r="E2401" t="str"><v>43298103032778PRC1T2</v></cell><cell r="F2401" t="str"><v>DCM</v></cell></row><row r="2401"><cell r="K2401" t="str"><v>July</v></cell><cell r="L2401"><v>43302</v></cell><cell r="M2401" t="str"><v>Tier 0</v></cell><cell r="N2401" t="str"><v>North America</v></cell><cell r="O2401" t="str"><v>United States</v></cell><cell r="P2401" t="str"><v>Trial</v></cell><cell r="Q2401" t="str"><v>Social</v></cell><cell r="R2401" t="str"><v>Azure</v></cell><cell r="S2401" t="str"><v>Apps & Infra</v></cell><cell r="T2401" t="str"><v>Developers & ITI's</v></cell><cell r="U2401" t="str"><v>USA-Trial-ITD-Interest Prospecting-AZR-AZR</v></cell><cell r="V2401" t="str"><v>Prospecting</v></cell><cell r="W2401" t="str"><v>Link Ad</v></cell><cell r="X2401" t="str"><v>1x1</v></cell></row><row r="2401"><cell r="AA2401"><v>43298</v></cell><cell r="AB2401" t="str"><v>USA_gaPMG_AZR_AZR_Q1_19_Direct-Social</v></cell><cell r="AC2401"><v>21358715</v></cell><cell r="AD2401"><v>720197</v></cell><cell r="AE2401" t="str"><v>Facebook</v></cell><cell r="AF2401"><v>3654128</v></cell><cell r="AG2401" t="str"><v>FACEBOOK»USA-Trial-ITD-Interest Prospecting-AZR-AZR»1 x 1»SocialBan»LIA»ALL»CPA»PRO»X»NA»SS»NA»FreeAcctDeveloperFB-AnimatedAI-Ch3»PRC1T2</v></cell><cell r="AH2401"><v>223862765</v></cell><cell r="AI2401" t="str"><v>AZR_FreeAcctDeveloperFB-AnimatedAI-Ch3_USA_1200x1200_CAN_Direct_English_Trial_Standard_ANI_LEA_T3_1</v></cell><cell r="AJ2401"><v>103032778</v></cell></row><row r="2402"><cell r="C2402" t="str"><v>43298FACEBOOK»USA-Trial-ITD-Interest Prospecting-AZR-AZR»1 x 1»SocialBan»LIA»ALL»CPA»PRO»X»NA»SS»NA»FreeAcctDeveloperFB-AnimatedData-Ch4»PRC1T3</v></cell><cell r="D2402" t="str"><v>43298223863380</v></cell><cell r="E2402" t="str"><v>43298103037935PRC1T3</v></cell><cell r="F2402" t="str"><v>DCM</v></cell></row><row r="2402"><cell r="K2402" t="str"><v>July</v></cell><cell r="L2402"><v>43302</v></cell><cell r="M2402" t="str"><v>Tier 0</v></cell><cell r="N2402" t="str"><v>North America</v></cell><cell r="O2402" t="str"><v>United States</v></cell><cell r="P2402" t="str"><v>Trial</v></cell><cell r="Q2402" t="str"><v>Social</v></cell><cell r="R2402" t="str"><v>Azure</v></cell><cell r="S2402" t="str"><v>Apps & Infra</v></cell><cell r="T2402" t="str"><v>Developers & ITI's</v></cell><cell r="U2402" t="str"><v>USA-Trial-ITD-Interest Prospecting-AZR-AZR</v></cell><cell r="V2402" t="str"><v>Prospecting</v></cell><cell r="W2402" t="str"><v>Link Ad</v></cell><cell r="X2402" t="str"><v>1x1</v></cell></row><row r="2402"><cell r="AA2402"><v>43298</v></cell><cell r="AB2402" t="str"><v>USA_gaPMG_AZR_AZR_Q1_19_Direct-Social</v></cell><cell r="AC2402"><v>21358715</v></cell><cell r="AD2402"><v>720197</v></cell><cell r="AE2402" t="str"><v>Facebook</v></cell><cell r="AF2402"><v>3654128</v></cell><cell r="AG2402" t="str"><v>FACEBOOK»USA-Trial-ITD-Interest Prospecting-AZR-AZR»1 x 1»SocialBan»LIA»ALL»CPA»PRO»X»NA»SS»NA»FreeAcctDeveloperFB-AnimatedData-Ch4»PRC1T3</v></cell><cell r="AH2402"><v>223863380</v></cell><cell r="AI2402" t="str"><v>AZR_FreeAcctDeveloperFB-AnimatedData-Ch4_USA_1200x1200_CAN_Direct_English_Trial_Standard_ANI_LEA_T4_2</v></cell><cell r="AJ2402"><v>103037935</v></cell></row><row r="2403"><cell r="C2403" t="str"><v>43298FACEBOOK»USA-Trial-ITD-Interest Prospecting-AZR-AZR»1 x 1»SocialBan»LIA»ALL»CPA»PRO»X»NA»SS»NA»FreeAcctDeveloperFB-AnimatedOpenSource-Ch2»PRC1T1</v></cell><cell r="D2403" t="str"><v>43298223862885</v></cell><cell r="E2403" t="str"><v>43298103048329PRC1T1</v></cell><cell r="F2403" t="str"><v>DCM</v></cell><cell r="G2403" t="str"><v>https://azure.microsoft.com/en-us/free/open-source/search/?OCID=AID%eexcid!_OLA_%ebuy!_%epid!_%ecid!</v></cell></row><row r="2403"><cell r="K2403" t="str"><v>July</v></cell><cell r="L2403"><v>43302</v></cell><cell r="M2403" t="str"><v>Tier 0</v></cell><cell r="N2403" t="str"><v>North America</v></cell><cell r="O2403" t="str"><v>United States</v></cell><cell r="P2403" t="str"><v>Trial</v></cell><cell r="Q2403" t="str"><v>Social</v></cell><cell r="R2403" t="str"><v>Azure</v></cell><cell r="S2403" t="str"><v>Apps & Infra</v></cell><cell r="T2403" t="str"><v>Developers & ITI's</v></cell><cell r="U2403" t="str"><v>USA-Trial-ITD-Interest Prospecting-AZR-AZR</v></cell><cell r="V2403" t="str"><v>Prospecting</v></cell><cell r="W2403" t="str"><v>Link Ad</v></cell><cell r="X2403" t="str"><v>1x1</v></cell></row><row r="2403"><cell r="AA2403"><v>43298</v></cell><cell r="AB2403" t="str"><v>USA_gaPMG_AZR_AZR_Q1_19_Direct-Social</v></cell><cell r="AC2403"><v>21358715</v></cell><cell r="AD2403"><v>720197</v></cell><cell r="AE2403" t="str"><v>Facebook</v></cell><cell r="AF2403"><v>3654128</v></cell><cell r="AG2403" t="str"><v>FACEBOOK»USA-Trial-ITD-Interest Prospecting-AZR-AZR»1 x 1»SocialBan»LIA»ALL»CPA»PRO»X»NA»SS»NA»FreeAcctDeveloperFB-AnimatedOpenSource-Ch2»PRC1T1</v></cell><cell r="AH2403"><v>223862885</v></cell><cell r="AI2403" t="str"><v>AZR_FreeAcctDeveloperFB-AnimatedOpenSource-Ch2_USA_1200x1200_CAN_Direct_English_Trial_Standard_ANI_LEA_T2_1</v></cell><cell r="AJ2403"><v>103048329</v></cell></row><row r="2404"><cell r="C2404" t="str"><v>43298FACEBOOK»USA-Trial-ITD-Interest Prospecting-AZR-AZR»1 x 1»SocialBan»LIA»ALL»CPA»PRO»X»NA»SS»NA»FreeAcctITProFB-AnimatedMigration-Ch3»PRC1X2</v></cell><cell r="D2404" t="str"><v>43298224106954</v></cell><cell r="E2404" t="str"><v>43298103176827PRC1X2</v></cell><cell r="F2404" t="str"><v>DCM</v></cell></row><row r="2404"><cell r="K2404" t="str"><v>July</v></cell><cell r="L2404"><v>43302</v></cell><cell r="M2404" t="str"><v>Tier 0</v></cell><cell r="N2404" t="str"><v>North America</v></cell><cell r="O2404" t="str"><v>United States</v></cell><cell r="P2404" t="str"><v>Trial</v></cell><cell r="Q2404" t="str"><v>Social</v></cell><cell r="R2404" t="str"><v>Azure</v></cell><cell r="S2404" t="str"><v>Apps & Infra</v></cell><cell r="T2404" t="str"><v>Developers & ITI's</v></cell><cell r="U2404" t="str"><v>USA-Trial-ITD-Interest Prospecting-AZR-AZR</v></cell><cell r="V2404" t="str"><v>Prospecting</v></cell><cell r="W2404" t="str"><v>Link Ad</v></cell><cell r="X2404" t="str"><v>1x1</v></cell></row><row r="2404"><cell r="AA2404"><v>43298</v></cell><cell r="AB2404" t="str"><v>USA_gaPMG_AZR_AZR_Q1_19_Direct-Social</v></cell><cell r="AC2404"><v>21358715</v></cell><cell r="AD2404"><v>720197</v></cell><cell r="AE2404" t="str"><v>Facebook</v></cell><cell r="AF2404"><v>3654128</v></cell><cell r="AG2404" t="str"><v>FACEBOOK»USA-Trial-ITD-Interest Prospecting-AZR-AZR»1 x 1»SocialBan»LIA»ALL»CPA»PRO»X»NA»SS»NA»FreeAcctITProFB-AnimatedMigration-Ch3»PRC1X2</v></cell><cell r="AH2404"><v>224106954</v></cell><cell r="AI2404" t="str"><v>AZR_FreeAcctITProFB-AnimatedMigration-Ch3_USA_1200x1200_CAN_Direct_English_Trial_Standard_ANI_LEA_T3_1</v></cell><cell r="AJ2404"><v>103176827</v></cell></row><row r="2405"><cell r="C2405" t="str"><v>43298FACEBOOK»USA-Trial-ITD-Lead Completes-AZR-AZR»1 x 1»SocialBan»LIA»ALL»CPA»PRO»X»NA»SS»NA»FreeAcctDeveloperFB-AnimatedAI-Ch3»PRC1W1</v></cell><cell r="D2405" t="str"><v>43298223933096</v></cell><cell r="E2405" t="str"><v>43298103032778PRC1W1</v></cell><cell r="F2405" t="str"><v>DCM</v></cell></row><row r="2405"><cell r="K2405" t="str"><v>July</v></cell><cell r="L2405"><v>43302</v></cell><cell r="M2405" t="str"><v>Tier 0</v></cell><cell r="N2405" t="str"><v>North America</v></cell><cell r="O2405" t="str"><v>United States</v></cell><cell r="P2405" t="str"><v>Trial</v></cell><cell r="Q2405" t="str"><v>Social</v></cell><cell r="R2405" t="str"><v>Azure</v></cell><cell r="S2405" t="str"><v>Apps & Infra</v></cell><cell r="T2405" t="str"><v>Developers & ITI's</v></cell><cell r="U2405" t="str"><v>USA-Trial-ITD-Lead Completes-AZR-AZR</v></cell><cell r="V2405" t="str"><v>Prospecting</v></cell><cell r="W2405" t="str"><v>Link Ad</v></cell><cell r="X2405" t="str"><v>1x1</v></cell></row><row r="2405"><cell r="AA2405"><v>43298</v></cell><cell r="AB2405" t="str"><v>USA_gaPMG_AZR_AZR_Q1_19_Direct-Social</v></cell><cell r="AC2405"><v>21358715</v></cell><cell r="AD2405"><v>720197</v></cell><cell r="AE2405" t="str"><v>Facebook</v></cell><cell r="AF2405"><v>3654128</v></cell><cell r="AG2405" t="str"><v>FACEBOOK»USA-Trial-ITD-Lead Completes-AZR-AZR»1 x 1»SocialBan»LIA»ALL»CPA»PRO»X»NA»SS»NA»FreeAcctDeveloperFB-AnimatedAI-Ch3»PRC1W1</v></cell><cell r="AH2405"><v>223933096</v></cell><cell r="AI2405" t="str"><v>AZR_FreeAcctDeveloperFB-AnimatedAI-Ch3_USA_1200x1200_CAN_Direct_English_Trial_Standard_ANI_LEA_T3_1</v></cell><cell r="AJ2405"><v>103032778</v></cell></row><row r="2406"><cell r="C2406" t="str"><v>43298FACEBOOK»USA-Trial-ITD-Lead Completes-AZR-AZR»1 x 1»SocialBan»LIA»ALL»CPA»PRO»X»NA»SS»NA»FreeAcctDeveloperFB-AnimatedOpenSource-Ch2»PRC1W0</v></cell><cell r="D2406" t="str"><v>43298223933108</v></cell><cell r="E2406" t="str"><v>43298103048329PRC1W0</v></cell><cell r="F2406" t="str"><v>DCM</v></cell><cell r="G2406" t="str"><v>https://azure.microsoft.com/en-us/free/open-source/search/?OCID=AID%eexcid!_OLA_%ebuy!_%epid!_%ecid!</v></cell></row><row r="2406"><cell r="K2406" t="str"><v>July</v></cell><cell r="L2406"><v>43302</v></cell><cell r="M2406" t="str"><v>Tier 0</v></cell><cell r="N2406" t="str"><v>North America</v></cell><cell r="O2406" t="str"><v>United States</v></cell><cell r="P2406" t="str"><v>Trial</v></cell><cell r="Q2406" t="str"><v>Social</v></cell><cell r="R2406" t="str"><v>Azure</v></cell><cell r="S2406" t="str"><v>Apps & Infra</v></cell><cell r="T2406" t="str"><v>Developers & ITI's</v></cell><cell r="U2406" t="str"><v>USA-Trial-ITD-Lead Completes-AZR-AZR</v></cell><cell r="V2406" t="str"><v>Prospecting</v></cell><cell r="W2406" t="str"><v>Link Ad</v></cell><cell r="X2406" t="str"><v>1x1</v></cell></row><row r="2406"><cell r="AA2406"><v>43298</v></cell><cell r="AB2406" t="str"><v>USA_gaPMG_AZR_AZR_Q1_19_Direct-Social</v></cell><cell r="AC2406"><v>21358715</v></cell><cell r="AD2406"><v>720197</v></cell><cell r="AE2406" t="str"><v>Facebook</v></cell><cell r="AF2406"><v>3654128</v></cell><cell r="AG2406" t="str"><v>FACEBOOK»USA-Trial-ITD-Lead Completes-AZR-AZR»1 x 1»SocialBan»LIA»ALL»CPA»PRO»X»NA»SS»NA»FreeAcctDeveloperFB-AnimatedOpenSource-Ch2»PRC1W0</v></cell><cell r="AH2406"><v>223933108</v></cell><cell r="AI2406" t="str"><v>AZR_FreeAcctDeveloperFB-AnimatedOpenSource-Ch2_USA_1200x1200_CAN_Direct_English_Trial_Standard_ANI_LEA_T2_1</v></cell><cell r="AJ2406"><v>103048329</v></cell></row><row r="2407"><cell r="C2407" t="str"><v>43298FACEBOOK»USA-Trial-ITD-Lead Completes-AZR-AZR»1 x 1»SocialBan»LIA»ALL»CPA»PRO»X»NA»SS»NA»FreeAcctITProFB-AnimatedHybrid-Ch2»PRC1W5</v></cell><cell r="D2407" t="str"><v>43298224106033</v></cell><cell r="E2407" t="str"><v>43298103180583PRC1W5</v></cell><cell r="F2407" t="str"><v>DCM</v></cell></row><row r="2407"><cell r="K2407" t="str"><v>July</v></cell><cell r="L2407"><v>43302</v></cell><cell r="M2407" t="str"><v>Tier 0</v></cell><cell r="N2407" t="str"><v>North America</v></cell><cell r="O2407" t="str"><v>United States</v></cell><cell r="P2407" t="str"><v>Trial</v></cell><cell r="Q2407" t="str"><v>Social</v></cell><cell r="R2407" t="str"><v>Azure</v></cell><cell r="S2407" t="str"><v>Apps & Infra</v></cell><cell r="T2407" t="str"><v>Developers & ITI's</v></cell><cell r="U2407" t="str"><v>USA-Trial-ITD-Lead Completes-AZR-AZR</v></cell><cell r="V2407" t="str"><v>Prospecting</v></cell><cell r="W2407" t="str"><v>Link Ad</v></cell><cell r="X2407" t="str"><v>1x1</v></cell></row><row r="2407"><cell r="AA2407"><v>43298</v></cell><cell r="AB2407" t="str"><v>USA_gaPMG_AZR_AZR_Q1_19_Direct-Social</v></cell><cell r="AC2407"><v>21358715</v></cell><cell r="AD2407"><v>720197</v></cell><cell r="AE2407" t="str"><v>Facebook</v></cell><cell r="AF2407"><v>3654128</v></cell><cell r="AG2407" t="str"><v>FACEBOOK»USA-Trial-ITD-Lead Completes-AZR-AZR»1 x 1»SocialBan»LIA»ALL»CPA»PRO»X»NA»SS»NA»FreeAcctITProFB-AnimatedHybrid-Ch2»PRC1W5</v></cell><cell r="AH2407"><v>224106033</v></cell><cell r="AI2407" t="str"><v>AZR_FreeAcctITProFB-AnimatedHybrid-Ch2_USA_1200x1200_CAN_Direct_English_Trial_Standard_ANI_LEA_T2_2</v></cell><cell r="AJ2407"><v>103180583</v></cell></row><row r="2408"><cell r="C2408" t="str"><v>43298FACEBOOK»USA-Trial-ITD-Lead Completes-AZR-AZR»1 x 1»SocialBan»CAN»ALL»CPA»PRO»X»NA»SS»NA»FBCTCBasicMotion»PRC1VT</v></cell><cell r="D2408" t="str"><v>43298224106900</v></cell><cell r="E2408" t="str"><v>43298103043823PRC1VT</v></cell><cell r="F2408" t="str"><v>DCM</v></cell><cell r="G2408" t="str"><v>https://signup.azure.com/?OCID=AID%eexcid!_OLA_%ebuy!_%epid!_%ecid!</v></cell></row><row r="2408"><cell r="K2408" t="str"><v>July</v></cell><cell r="L2408"><v>43302</v></cell><cell r="M2408" t="str"><v>Tier 0</v></cell><cell r="N2408" t="str"><v>North America</v></cell><cell r="O2408" t="str"><v>United States</v></cell><cell r="P2408" t="str"><v>Trial</v></cell><cell r="Q2408" t="str"><v>Social</v></cell><cell r="R2408" t="str"><v>Azure</v></cell><cell r="S2408" t="str"><v>Apps & Infra</v></cell><cell r="T2408" t="str"><v>Developers & ITI's</v></cell><cell r="U2408" t="str"><v>USA-Trial-ITD-Lead Completes-AZR-AZR</v></cell><cell r="V2408" t="str"><v>Prospecting</v></cell><cell r="W2408" t="str"><v>Canvas Ad</v></cell><cell r="X2408" t="str"><v>1x1</v></cell></row><row r="2408"><cell r="AA2408"><v>43298</v></cell><cell r="AB2408" t="str"><v>USA_gaPMG_AZR_AZR_Q1_19_Direct-Social</v></cell><cell r="AC2408"><v>21358715</v></cell><cell r="AD2408"><v>720197</v></cell><cell r="AE2408" t="str"><v>Facebook</v></cell><cell r="AF2408"><v>3654128</v></cell><cell r="AG2408" t="str"><v>FACEBOOK»USA-Trial-ITD-Lead Completes-AZR-AZR»1 x 1»SocialBan»CAN»ALL»CPA»PRO»X»NA»SS»NA»FBCTCBasicMotion»PRC1VT</v></cell><cell r="AH2408"><v>224106900</v></cell><cell r="AI2408" t="str"><v>AzurePlatform_FBCTCBasicMotion_USA_10s_CAN_PLATFORM_English_Trial_Standard_STAN_TIN_T1_1</v></cell><cell r="AJ2408"><v>103043823</v></cell></row><row r="2409"><cell r="C2409" t="str"><v>43298FACEBOOK»USA-Trial-ITD-Lead Completes-AZR-AZR»1 x 1»SocialBan»LIA»ALL»CPA»PRO»X»NA»SS»NA»FreeAcctDeveloperFB-AnimatedGeneric-Ch1»PRC1VZ</v></cell><cell r="D2409" t="str"><v>43298223862852</v></cell><cell r="E2409" t="str"><v>43298103176851PRC1VZ</v></cell><cell r="F2409" t="str"><v>DCM</v></cell><cell r="G2409" t="str"><v>https://azure.microsoft.com/en-us/free/search/?OCID=AID%eexcid!_OLA_%ebuy!_%epid!_%ecid!</v></cell></row><row r="2409"><cell r="K2409" t="str"><v>July</v></cell><cell r="L2409"><v>43302</v></cell><cell r="M2409" t="str"><v>Tier 0</v></cell><cell r="N2409" t="str"><v>North America</v></cell><cell r="O2409" t="str"><v>United States</v></cell><cell r="P2409" t="str"><v>Trial</v></cell><cell r="Q2409" t="str"><v>Social</v></cell><cell r="R2409" t="str"><v>Azure</v></cell><cell r="S2409" t="str"><v>Apps & Infra</v></cell><cell r="T2409" t="str"><v>Developers & ITI's</v></cell><cell r="U2409" t="str"><v>USA-Trial-ITD-Lead Completes-AZR-AZR</v></cell><cell r="V2409" t="str"><v>Prospecting</v></cell><cell r="W2409" t="str"><v>Link Ad</v></cell><cell r="X2409" t="str"><v>1x1</v></cell></row><row r="2409"><cell r="AA2409"><v>43298</v></cell><cell r="AB2409" t="str"><v>USA_gaPMG_AZR_AZR_Q1_19_Direct-Social</v></cell><cell r="AC2409"><v>21358715</v></cell><cell r="AD2409"><v>720197</v></cell><cell r="AE2409" t="str"><v>Facebook</v></cell><cell r="AF2409"><v>3654128</v></cell><cell r="AG2409" t="str"><v>FACEBOOK»USA-Trial-ITD-Lead Completes-AZR-AZR»1 x 1»SocialBan»LIA»ALL»CPA»PRO»X»NA»SS»NA»FreeAcctDeveloperFB-AnimatedGeneric-Ch1»PRC1VZ</v></cell><cell r="AH2409"><v>223862852</v></cell><cell r="AI2409" t="str"><v>AZR_FreeAcctDeveloperFB-AnimatedGeneric-Ch1_USA_1200x1200_CAN_Direct_English_Trial_Standard_ANI_LEA_T1_2</v></cell><cell r="AJ2409"><v>103176851</v></cell></row><row r="2410"><cell r="C2410" t="str"><v>43298FACEBOOK»USA-Trial-ITD-Retargeting-AZR-AZR»1 x 1»SocialBan»LIA»ALL»CPA»RT»X»NA»SS»NA»FreeAcctDeveloperFB-AnimatedGeneric-Ch1»PRC26D</v></cell><cell r="D2410" t="str"><v>43298223862870</v></cell><cell r="E2410" t="str"><v>43298103176851PRC26D</v></cell><cell r="F2410" t="str"><v>DCM</v></cell><cell r="G2410" t="str"><v>https://azure.microsoft.com/en-us/free/search/?OCID=AID%eexcid!_OLA_%ebuy!_%epid!_%ecid!</v></cell></row><row r="2410"><cell r="K2410" t="str"><v>July</v></cell><cell r="L2410"><v>43302</v></cell><cell r="M2410" t="str"><v>Tier 0</v></cell><cell r="N2410" t="str"><v>North America</v></cell><cell r="O2410" t="str"><v>United States</v></cell><cell r="P2410" t="str"><v>Trial</v></cell><cell r="Q2410" t="str"><v>Social</v></cell><cell r="R2410" t="str"><v>Azure</v></cell><cell r="S2410" t="str"><v>Apps & Infra</v></cell><cell r="T2410" t="str"><v>Developers & ITI's</v></cell><cell r="U2410" t="str"><v>USA-Trial-ITD-Retargeting-AZR-AZR</v></cell><cell r="V2410" t="str"><v>Retargeting</v></cell><cell r="W2410" t="str"><v>Link Ad</v></cell><cell r="X2410" t="str"><v>1x1</v></cell></row><row r="2410"><cell r="AA2410"><v>43298</v></cell><cell r="AB2410" t="str"><v>USA_gaPMG_AZR_AZR_Q1_19_Direct-Social</v></cell><cell r="AC2410"><v>21358715</v></cell><cell r="AD2410"><v>720197</v></cell><cell r="AE2410" t="str"><v>Facebook</v></cell><cell r="AF2410"><v>3654128</v></cell><cell r="AG2410" t="str"><v>FACEBOOK»USA-Trial-ITD-Retargeting-AZR-AZR»1 x 1»SocialBan»LIA»ALL»CPA»RT»X»NA»SS»NA»FreeAcctDeveloperFB-AnimatedGeneric-Ch1»PRC26D</v></cell><cell r="AH2410"><v>223862870</v></cell><cell r="AI2410" t="str"><v>AZR_FreeAcctDeveloperFB-AnimatedGeneric-Ch1_USA_1200x1200_CAN_Direct_English_Trial_Standard_ANI_LEA_T1_2</v></cell><cell r="AJ2410"><v>103176851</v></cell></row><row r="2411"><cell r="C2411" t="str"><v>43298FACEBOOK»USA-Trial-ITD-Retargeting-AZR-AZR»1 x 1»SocialBan»LIA»ALL»CPA»RT»X»NA»SS»NA»FreeAcctRetargetingOSSFB-Logos-ChG»PRC1S2</v></cell><cell r="D2411" t="str"><v>43298224106063</v></cell><cell r="E2411" t="str"><v>43298103176008PRC1S2</v></cell><cell r="F2411" t="str"><v>DCM</v></cell><cell r="G2411" t="str"><v>https://azure.microsoft.com/en-us/free/open-source/search/?OCID=AID%eexcid!_OLA_%ebuy!_%epid!_%ecid!</v></cell></row><row r="2411"><cell r="K2411" t="str"><v>July</v></cell><cell r="L2411"><v>43302</v></cell><cell r="M2411" t="str"><v>Tier 0</v></cell><cell r="N2411" t="str"><v>North America</v></cell><cell r="O2411" t="str"><v>United States</v></cell><cell r="P2411" t="str"><v>Trial</v></cell><cell r="Q2411" t="str"><v>Social</v></cell><cell r="R2411" t="str"><v>Azure</v></cell><cell r="S2411" t="str"><v>Apps & Infra</v></cell><cell r="T2411" t="str"><v>Developers & ITI's</v></cell><cell r="U2411" t="str"><v>USA-Trial-ITD-Retargeting-AZR-AZR</v></cell><cell r="V2411" t="str"><v>Retargeting</v></cell><cell r="W2411" t="str"><v>Link Ad</v></cell><cell r="X2411" t="str"><v>1x1</v></cell></row><row r="2411"><cell r="AA2411"><v>43298</v></cell><cell r="AB2411" t="str"><v>USA_gaPMG_AZR_AZR_Q1_19_Direct-Social</v></cell><cell r="AC2411"><v>21358715</v></cell><cell r="AD2411"><v>720197</v></cell><cell r="AE2411" t="str"><v>Facebook</v></cell><cell r="AF2411"><v>3654128</v></cell><cell r="AG2411" t="str"><v>FACEBOOK»USA-Trial-ITD-Retargeting-AZR-AZR»1 x 1»SocialBan»LIA»ALL»CPA»RT»X»NA»SS»NA»FreeAcctRetargetingOSSFB-Logos-ChG»PRC1S2</v></cell><cell r="AH2411"><v>224106063</v></cell><cell r="AI2411" t="str"><v>AzurePlatform_FreeAcctRetargetingOSSFB-Logos-ChG_USA_1200x628_CAN_PLATFORM_English_Free Account_Standard_NA_SINU_T2_1</v></cell><cell r="AJ2411"><v>103176008</v></cell></row><row r="2412"><cell r="C2412" t="str"><v>43298FACEBOOK»USA-Trial-ITD-Retargeting-AZR-AZR»1 x 1»SocialBan»LIA»ALL»CPA»RT»X»NA»SS»NA»FreeAcctRetargetingOSSFB-Text-ChF»PRC1S1</v></cell><cell r="D2412" t="str"><v>43298223862753</v></cell><cell r="E2412" t="str"><v>43298103176869PRC1S1</v></cell><cell r="F2412" t="str"><v>DCM</v></cell><cell r="G2412" t="str"><v>https://azure.microsoft.com/en-us/free/open-source/search/?OCID=AID%eexcid!_OLA_%ebuy!_%epid!_%ecid!</v></cell></row><row r="2412"><cell r="K2412" t="str"><v>July</v></cell><cell r="L2412"><v>43302</v></cell><cell r="M2412" t="str"><v>Tier 0</v></cell><cell r="N2412" t="str"><v>North America</v></cell><cell r="O2412" t="str"><v>United States</v></cell><cell r="P2412" t="str"><v>Trial</v></cell><cell r="Q2412" t="str"><v>Social</v></cell><cell r="R2412" t="str"><v>Azure</v></cell><cell r="S2412" t="str"><v>Apps & Infra</v></cell><cell r="T2412" t="str"><v>Developers & ITI's</v></cell><cell r="U2412" t="str"><v>USA-Trial-ITD-Retargeting-AZR-AZR</v></cell><cell r="V2412" t="str"><v>Retargeting</v></cell><cell r="W2412" t="str"><v>Link Ad</v></cell><cell r="X2412" t="str"><v>1x1</v></cell></row><row r="2412"><cell r="AA2412"><v>43298</v></cell><cell r="AB2412" t="str"><v>USA_gaPMG_AZR_AZR_Q1_19_Direct-Social</v></cell><cell r="AC2412"><v>21358715</v></cell><cell r="AD2412"><v>720197</v></cell><cell r="AE2412" t="str"><v>Facebook</v></cell><cell r="AF2412"><v>3654128</v></cell><cell r="AG2412" t="str"><v>FACEBOOK»USA-Trial-ITD-Retargeting-AZR-AZR»1 x 1»SocialBan»LIA»ALL»CPA»RT»X»NA»SS»NA»FreeAcctRetargetingOSSFB-Text-ChF»PRC1S1</v></cell><cell r="AH2412"><v>223862753</v></cell><cell r="AI2412" t="str"><v>AzurePlatform_FreeAcctRetargetingOSSFB-Text-ChF_USA_1200x628_CAN_PLATFORM_English_Free Account_Standard_NA_SINU_T1_2</v></cell><cell r="AJ2412"><v>103176869</v></cell></row><row r="2413"><cell r="C2413" t="str"><v>43298FACEBOOK»USA-Trial-ITD-Retargeting-AZR-AZR»1 x 1»SocialBan»LIA»ALL»CPA»RT»X»NA»SS»NA»FreeAcctITProFB-AnimatedSecureMngd-Ch1»PRC26K</v></cell><cell r="D2413" t="str"><v>43298223862762</v></cell><cell r="E2413" t="str"><v>43298103176830PRC26K</v></cell><cell r="F2413" t="str"><v>DCM</v></cell></row><row r="2413"><cell r="K2413" t="str"><v>July</v></cell><cell r="L2413"><v>43302</v></cell><cell r="M2413" t="str"><v>Tier 0</v></cell><cell r="N2413" t="str"><v>North America</v></cell><cell r="O2413" t="str"><v>United States</v></cell><cell r="P2413" t="str"><v>Trial</v></cell><cell r="Q2413" t="str"><v>Social</v></cell><cell r="R2413" t="str"><v>Azure</v></cell><cell r="S2413" t="str"><v>Apps & Infra</v></cell><cell r="T2413" t="str"><v>Developers & ITI's</v></cell><cell r="U2413" t="str"><v>USA-Trial-ITD-Retargeting-AZR-AZR</v></cell><cell r="V2413" t="str"><v>Retargeting</v></cell><cell r="W2413" t="str"><v>Link Ad</v></cell><cell r="X2413" t="str"><v>1x1</v></cell></row><row r="2413"><cell r="AA2413"><v>43298</v></cell><cell r="AB2413" t="str"><v>USA_gaPMG_AZR_AZR_Q1_19_Direct-Social</v></cell><cell r="AC2413"><v>21358715</v></cell><cell r="AD2413"><v>720197</v></cell><cell r="AE2413" t="str"><v>Facebook</v></cell><cell r="AF2413"><v>3654128</v></cell><cell r="AG2413" t="str"><v>FACEBOOK»USA-Trial-ITD-Retargeting-AZR-AZR»1 x 1»SocialBan»LIA»ALL»CPA»RT»X»NA»SS»NA»FreeAcctITProFB-AnimatedSecureMngd-Ch1»PRC26K</v></cell><cell r="AH2413"><v>223862762</v></cell><cell r="AI2413" t="str"><v>AZR_FreeAcctITProFB-AnimatedSecureMngd-Ch1_USA_1200x1200_CAN_Direct_English_Trial_Standard_ANI_LEA_T1_1</v></cell><cell r="AJ2413"><v>103176830</v></cell></row><row r="2414"><cell r="C2414" t="str"><v>43298FACEBOOK»USA-Trial-ITD-Trial Lookalike-AZR-AZR»1 x 1»SocialBan»LIA»ALL»CPA»LAL»X»NA»SS»NA»FreeAcctDeveloperFB-AnimatedGeneric-Ch1»PRC1M4</v></cell><cell r="D2414" t="str"><v>43298224104941</v></cell><cell r="E2414" t="str"><v>43298103176851PRC1M4</v></cell><cell r="F2414" t="str"><v>DCM</v></cell><cell r="G2414" t="str"><v>https://azure.microsoft.com/en-us/free/search/?OCID=AID%eexcid!_OLA_%ebuy!_%epid!_%ecid!</v></cell></row><row r="2414"><cell r="K2414" t="str"><v>July</v></cell><cell r="L2414"><v>43302</v></cell><cell r="M2414" t="str"><v>Tier 0</v></cell><cell r="N2414" t="str"><v>North America</v></cell><cell r="O2414" t="str"><v>United States</v></cell><cell r="P2414" t="str"><v>Trial</v></cell><cell r="Q2414" t="str"><v>Social</v></cell><cell r="R2414" t="str"><v>Azure</v></cell><cell r="S2414" t="str"><v>Apps & Infra</v></cell><cell r="T2414" t="str"><v>Developers & ITI's</v></cell><cell r="U2414" t="str"><v>USA-Trial-ITD-Trial Lookalike-AZR-AZR</v></cell><cell r="V2414" t="str"><v>Lookalike Targeting</v></cell><cell r="W2414" t="str"><v>Link Ad</v></cell><cell r="X2414" t="str"><v>1x1</v></cell></row><row r="2414"><cell r="AA2414"><v>43298</v></cell><cell r="AB2414" t="str"><v>USA_gaPMG_AZR_AZR_Q1_19_Direct-Social</v></cell><cell r="AC2414"><v>21358715</v></cell><cell r="AD2414"><v>720197</v></cell><cell r="AE2414" t="str"><v>Facebook</v></cell><cell r="AF2414"><v>3654128</v></cell><cell r="AG2414" t="str"><v>FACEBOOK»USA-Trial-ITD-Trial Lookalike-AZR-AZR»1 x 1»SocialBan»LIA»ALL»CPA»LAL»X»NA»SS»NA»FreeAcctDeveloperFB-AnimatedGeneric-Ch1»PRC1M4</v></cell><cell r="AH2414"><v>224104941</v></cell><cell r="AI2414" t="str"><v>AZR_FreeAcctDeveloperFB-AnimatedGeneric-Ch1_USA_1200x1200_CAN_Direct_English_Trial_Standard_ANI_LEA_T1_2</v></cell><cell r="AJ2414"><v>103176851</v></cell></row><row r="2415"><cell r="C2415" t="str"><v>43298FACEBOOK»USA-Trial-ITD-Trial Lookalike-AZR-AZR»1 x 1»SocialBan»LIA»ALL»CPA»LAL»X»NA»SS»NA»FreeAcctDeveloperFB-AnimatedGeneric-Ch1»PRC1M5</v></cell><cell r="D2415" t="str"><v>43298223934083</v></cell><cell r="E2415" t="str"><v>43298103176851PRC1M5</v></cell><cell r="F2415" t="str"><v>DCM</v></cell><cell r="G2415" t="str"><v>https://azure.microsoft.com/en-us/free/search/?OCID=AID%eexcid!_OLA_%ebuy!_%epid!_%ecid!</v></cell></row><row r="2415"><cell r="K2415" t="str"><v>July</v></cell><cell r="L2415"><v>43302</v></cell><cell r="M2415" t="str"><v>Tier 0</v></cell><cell r="N2415" t="str"><v>North America</v></cell><cell r="O2415" t="str"><v>United States</v></cell><cell r="P2415" t="str"><v>Trial</v></cell><cell r="Q2415" t="str"><v>Social</v></cell><cell r="R2415" t="str"><v>Azure</v></cell><cell r="S2415" t="str"><v>Apps & Infra</v></cell><cell r="T2415" t="str"><v>Developers & ITI's</v></cell><cell r="U2415" t="str"><v>USA-Trial-ITD-Trial Lookalike-AZR-AZR</v></cell><cell r="V2415" t="str"><v>Lookalike Targeting</v></cell><cell r="W2415" t="str"><v>Link Ad</v></cell><cell r="X2415" t="str"><v>1x1</v></cell></row><row r="2415"><cell r="AA2415"><v>43298</v></cell><cell r="AB2415" t="str"><v>USA_gaPMG_AZR_AZR_Q1_19_Direct-Social</v></cell><cell r="AC2415"><v>21358715</v></cell><cell r="AD2415"><v>720197</v></cell><cell r="AE2415" t="str"><v>Facebook</v></cell><cell r="AF2415"><v>3654128</v></cell><cell r="AG2415" t="str"><v>FACEBOOK»USA-Trial-ITD-Trial Lookalike-AZR-AZR»1 x 1»SocialBan»LIA»ALL»CPA»LAL»X»NA»SS»NA»FreeAcctDeveloperFB-AnimatedGeneric-Ch1»PRC1M5</v></cell><cell r="AH2415"><v>223934083</v></cell><cell r="AI2415" t="str"><v>AZR_FreeAcctDeveloperFB-AnimatedGeneric-Ch1_USA_1200x1200_CAN_Direct_English_Trial_Standard_ANI_LEA_T1_2</v></cell><cell r="AJ2415"><v>103176851</v></cell></row><row r="2416"><cell r="C2416" t="str"><v>43298FACEBOOK»USA-Trial-ITD-Trial Lookalike-AZR-AZR»1 x 1»SocialBan»LIA»ALL»CPA»LAL»X»NA»SS»NA»FreeAcctDeveloperFB-AnimatedOpenSource-Ch2»PRC1M6</v></cell><cell r="D2416" t="str"><v>43298223935628</v></cell><cell r="E2416" t="str"><v>43298103048329PRC1M6</v></cell><cell r="F2416" t="str"><v>DCM</v></cell><cell r="G2416" t="str"><v>https://azure.microsoft.com/en-us/free/open-source/search/?OCID=AID%eexcid!_OLA_%ebuy!_%epid!_%ecid!</v></cell></row><row r="2416"><cell r="K2416" t="str"><v>July</v></cell><cell r="L2416"><v>43302</v></cell><cell r="M2416" t="str"><v>Tier 0</v></cell><cell r="N2416" t="str"><v>North America</v></cell><cell r="O2416" t="str"><v>United States</v></cell><cell r="P2416" t="str"><v>Trial</v></cell><cell r="Q2416" t="str"><v>Social</v></cell><cell r="R2416" t="str"><v>Azure</v></cell><cell r="S2416" t="str"><v>Apps & Infra</v></cell><cell r="T2416" t="str"><v>Developers & ITI's</v></cell><cell r="U2416" t="str"><v>USA-Trial-ITD-Trial Lookalike-AZR-AZR</v></cell><cell r="V2416" t="str"><v>Lookalike Targeting</v></cell><cell r="W2416" t="str"><v>Link Ad</v></cell><cell r="X2416" t="str"><v>1x1</v></cell></row><row r="2416"><cell r="AA2416"><v>43298</v></cell><cell r="AB2416" t="str"><v>USA_gaPMG_AZR_AZR_Q1_19_Direct-Social</v></cell><cell r="AC2416"><v>21358715</v></cell><cell r="AD2416"><v>720197</v></cell><cell r="AE2416" t="str"><v>Facebook</v></cell><cell r="AF2416"><v>3654128</v></cell><cell r="AG2416" t="str"><v>FACEBOOK»USA-Trial-ITD-Trial Lookalike-AZR-AZR»1 x 1»SocialBan»LIA»ALL»CPA»LAL»X»NA»SS»NA»FreeAcctDeveloperFB-AnimatedOpenSource-Ch2»PRC1M6</v></cell><cell r="AH2416"><v>223935628</v></cell><cell r="AI2416" t="str"><v>AZR_FreeAcctDeveloperFB-AnimatedOpenSource-Ch2_USA_1200x1200_CAN_Direct_English_Trial_Standard_ANI_LEA_T2_1</v></cell><cell r="AJ2416"><v>103048329</v></cell></row><row r="2417"><cell r="C2417" t="str"><v>43298FACEBOOK»USA-Trial-ITD-Trial Lookalike-AZR-AZR»1 x 1»SocialBan»LIA»ALL»CPA»LAL»X»NA»SS»NA»FreeAcctITProFB-AnimatedMigration-Ch3»PRC23N</v></cell><cell r="D2417" t="str"><v>43298223935637</v></cell><cell r="E2417" t="str"><v>43298103176827PRC23N</v></cell><cell r="F2417" t="str"><v>DCM</v></cell></row><row r="2417"><cell r="K2417" t="str"><v>July</v></cell><cell r="L2417"><v>43302</v></cell><cell r="M2417" t="str"><v>Tier 0</v></cell><cell r="N2417" t="str"><v>North America</v></cell><cell r="O2417" t="str"><v>United States</v></cell><cell r="P2417" t="str"><v>Trial</v></cell><cell r="Q2417" t="str"><v>Social</v></cell><cell r="R2417" t="str"><v>Azure</v></cell><cell r="S2417" t="str"><v>Apps & Infra</v></cell><cell r="T2417" t="str"><v>Developers & ITI's</v></cell><cell r="U2417" t="str"><v>USA-Trial-ITD-Trial Lookalike-AZR-AZR</v></cell><cell r="V2417" t="str"><v>Lookalike Targeting</v></cell><cell r="W2417" t="str"><v>Link Ad</v></cell><cell r="X2417" t="str"><v>1x1</v></cell></row><row r="2417"><cell r="AA2417"><v>43298</v></cell><cell r="AB2417" t="str"><v>USA_gaPMG_AZR_AZR_Q1_19_Direct-Social</v></cell><cell r="AC2417"><v>21358715</v></cell><cell r="AD2417"><v>720197</v></cell><cell r="AE2417" t="str"><v>Facebook</v></cell><cell r="AF2417"><v>3654128</v></cell><cell r="AG2417" t="str"><v>FACEBOOK»USA-Trial-ITD-Trial Lookalike-AZR-AZR»1 x 1»SocialBan»LIA»ALL»CPA»LAL»X»NA»SS»NA»FreeAcctITProFB-AnimatedMigration-Ch3»PRC23N</v></cell><cell r="AH2417"><v>223935637</v></cell><cell r="AI2417" t="str"><v>AZR_FreeAcctITProFB-AnimatedMigration-Ch3_USA_1200x1200_CAN_Direct_English_Trial_Standard_ANI_LEA_T3_1</v></cell><cell r="AJ2417"><v>103176827</v></cell></row><row r="2418"><cell r="C2418" t="str"><v>43298FACEBOOK»USA-Trial-ITD-Trial Lookalike-AZR-AZR»1 x 1»SocialBan»LIA»ALL»CPA»LAL»X»NA»SS»NA»FreeAcctITProFB-AnimatedSecureMngd-Ch1»PRC1M9</v></cell><cell r="D2418" t="str"><v>43298224104959</v></cell><cell r="E2418" t="str"><v>43298103176830PRC1M9</v></cell><cell r="F2418" t="str"><v>DCM</v></cell></row><row r="2418"><cell r="K2418" t="str"><v>July</v></cell><cell r="L2418"><v>43302</v></cell><cell r="M2418" t="str"><v>Tier 0</v></cell><cell r="N2418" t="str"><v>North America</v></cell><cell r="O2418" t="str"><v>United States</v></cell><cell r="P2418" t="str"><v>Trial</v></cell><cell r="Q2418" t="str"><v>Social</v></cell><cell r="R2418" t="str"><v>Azure</v></cell><cell r="S2418" t="str"><v>Apps & Infra</v></cell><cell r="T2418" t="str"><v>Developers & ITI's</v></cell><cell r="U2418" t="str"><v>USA-Trial-ITD-Trial Lookalike-AZR-AZR</v></cell><cell r="V2418" t="str"><v>Lookalike Targeting</v></cell><cell r="W2418" t="str"><v>Link Ad</v></cell><cell r="X2418" t="str"><v>1x1</v></cell></row><row r="2418"><cell r="AA2418"><v>43298</v></cell><cell r="AB2418" t="str"><v>USA_gaPMG_AZR_AZR_Q1_19_Direct-Social</v></cell><cell r="AC2418"><v>21358715</v></cell><cell r="AD2418"><v>720197</v></cell><cell r="AE2418" t="str"><v>Facebook</v></cell><cell r="AF2418"><v>3654128</v></cell><cell r="AG2418" t="str"><v>FACEBOOK»USA-Trial-ITD-Trial Lookalike-AZR-AZR»1 x 1»SocialBan»LIA»ALL»CPA»LAL»X»NA»SS»NA»FreeAcctITProFB-AnimatedSecureMngd-Ch1»PRC1M9</v></cell><cell r="AH2418"><v>224104959</v></cell><cell r="AI2418" t="str"><v>AZR_FreeAcctITProFB-AnimatedSecureMngd-Ch1_USA_1200x1200_CAN_Direct_English_Trial_Standard_ANI_LEA_T1_1</v></cell><cell r="AJ2418"><v>103176830</v></cell></row><row r="2419"><cell r="C2419" t="str"><v>43298FACEBOOK»USA-Trial-ITD-Trial Lookalike-AZR-AZR»1 x 1»SocialBan»CAN»ALL»CPA»LAL»X»NA»SS»NA»FBCTCBasicMotion»PRC1LZ</v></cell><cell r="D2419" t="str"><v>43298223862915</v></cell><cell r="E2419" t="str"><v>43298103043823PRC1LZ</v></cell><cell r="F2419" t="str"><v>DCM</v></cell><cell r="G2419" t="str"><v>https://signup.azure.com/?OCID=AID%eexcid!_OLA_%ebuy!_%epid!_%ecid!</v></cell></row><row r="2419"><cell r="K2419" t="str"><v>July</v></cell><cell r="L2419"><v>43302</v></cell><cell r="M2419" t="str"><v>Tier 0</v></cell><cell r="N2419" t="str"><v>North America</v></cell><cell r="O2419" t="str"><v>United States</v></cell><cell r="P2419" t="str"><v>Trial</v></cell><cell r="Q2419" t="str"><v>Social</v></cell><cell r="R2419" t="str"><v>Azure</v></cell><cell r="S2419" t="str"><v>Apps & Infra</v></cell><cell r="T2419" t="str"><v>Developers & ITI's</v></cell><cell r="U2419" t="str"><v>USA-Trial-ITD-Trial Lookalike-AZR-AZR</v></cell><cell r="V2419" t="str"><v>Lookalike Targeting</v></cell><cell r="W2419" t="str"><v>Canvas Ad</v></cell><cell r="X2419" t="str"><v>1x1</v></cell></row><row r="2419"><cell r="AA2419"><v>43298</v></cell><cell r="AB2419" t="str"><v>USA_gaPMG_AZR_AZR_Q1_19_Direct-Social</v></cell><cell r="AC2419"><v>21358715</v></cell><cell r="AD2419"><v>720197</v></cell><cell r="AE2419" t="str"><v>Facebook</v></cell><cell r="AF2419"><v>3654128</v></cell><cell r="AG2419" t="str"><v>FACEBOOK»USA-Trial-ITD-Trial Lookalike-AZR-AZR»1 x 1»SocialBan»CAN»ALL»CPA»LAL»X»NA»SS»NA»FBCTCBasicMotion»PRC1LZ</v></cell><cell r="AH2419"><v>223862915</v></cell><cell r="AI2419" t="str"><v>AzurePlatform_FBCTCBasicMotion_USA_10s_CAN_PLATFORM_English_Trial_Standard_STAN_TIN_T1_1</v></cell><cell r="AJ2419"><v>103043823</v></cell></row><row r="2420"><cell r="C2420" t="str"><v>43298FACEBOOK»USA-Trial-ITD-Trial Lookalike-AZR-AZR»1 x 1»SocialBan»CAN»ALL»CPA»LAL»X»NA»SS»NA»FBCTCBasicMotion»PRC1LZ</v></cell><cell r="D2420" t="str"><v>43298223862915</v></cell><cell r="E2420" t="str"><v>43298103175984PRC1LZ</v></cell><cell r="F2420" t="str"><v>DCM</v></cell><cell r="G2420" t="str"><v>https://azure.microsoft.com/en-us/pricing/purchase-options/?v=18.19&OCID=AID%eexcid!_OLA_%ebuy!_%epid!_%ecid!</v></cell></row><row r="2420"><cell r="K2420" t="str"><v>July</v></cell><cell r="L2420"><v>43302</v></cell><cell r="M2420" t="str"><v>Tier 0</v></cell><cell r="N2420" t="str"><v>North America</v></cell><cell r="O2420" t="str"><v>United States</v></cell><cell r="P2420" t="str"><v>Trial</v></cell><cell r="Q2420" t="str"><v>Social</v></cell><cell r="R2420" t="str"><v>Azure</v></cell><cell r="S2420" t="str"><v>Apps & Infra</v></cell><cell r="T2420" t="str"><v>Developers & ITI's</v></cell><cell r="U2420" t="str"><v>USA-Trial-ITD-Trial Lookalike-AZR-AZR</v></cell><cell r="V2420" t="str"><v>Lookalike Targeting</v></cell><cell r="W2420" t="str"><v>Canvas Ad</v></cell><cell r="X2420" t="str"><v>1x1</v></cell></row><row r="2420"><cell r="AA2420"><v>43298</v></cell><cell r="AB2420" t="str"><v>USA_gaPMG_AZR_AZR_Q1_19_Direct-Social</v></cell><cell r="AC2420"><v>21358715</v></cell><cell r="AD2420"><v>720197</v></cell><cell r="AE2420" t="str"><v>Facebook</v></cell><cell r="AF2420"><v>3654128</v></cell><cell r="AG2420" t="str"><v>FACEBOOK»USA-Trial-ITD-Trial Lookalike-AZR-AZR»1 x 1»SocialBan»CAN»ALL»CPA»LAL»X»NA»SS»NA»FBCTCBasicMotion»PRC1LZ</v></cell><cell r="AH2420"><v>223862915</v></cell><cell r="AI2420" t="str"><v>AzurePlatform_FBCTCBasicMotion_USA_10s_CAN_PLATFORM_English_Trial_Standard_STAN_TIN_T1_2</v></cell><cell r="AJ2420"><v>103175984</v></cell></row><row r="2421"><cell r="C2421" t="str"><v>43298FACEBOOK»USA-Trial-ITD-Trial PayGo Lookalike-AZR-AZR»1 x 1»SocialBan»CAN»ALL»CPA»LAL»X»NA»SS»NA»FBCTCBasicMotion»PRC1Q0</v></cell><cell r="D2421" t="str"><v>43298223935664</v></cell><cell r="E2421" t="str"><v>43298103043823PRC1Q0</v></cell><cell r="F2421" t="str"><v>DCM</v></cell><cell r="G2421" t="str"><v>https://signup.azure.com/?OCID=AID%eexcid!_OLA_%ebuy!_%epid!_%ecid!</v></cell></row><row r="2421"><cell r="K2421" t="str"><v>July</v></cell><cell r="L2421"><v>43302</v></cell><cell r="M2421" t="str"><v>Tier 0</v></cell><cell r="N2421" t="str"><v>North America</v></cell><cell r="O2421" t="str"><v>United States</v></cell><cell r="P2421" t="str"><v>Trial</v></cell><cell r="Q2421" t="str"><v>Social</v></cell><cell r="R2421" t="str"><v>Azure</v></cell><cell r="S2421" t="str"><v>Apps & Infra</v></cell><cell r="T2421" t="str"><v>Developers & ITI's</v></cell><cell r="U2421" t="str"><v>USA-Trial-ITD-Trial PayGo Lookalike-AZR-AZR</v></cell><cell r="V2421" t="str"><v>Lookalike Targeting</v></cell><cell r="W2421" t="str"><v>Canvas Ad</v></cell><cell r="X2421" t="str"><v>1x1</v></cell></row><row r="2421"><cell r="AA2421"><v>43298</v></cell><cell r="AB2421" t="str"><v>USA_gaPMG_AZR_AZR_Q1_19_Direct-Social</v></cell><cell r="AC2421"><v>21358715</v></cell><cell r="AD2421"><v>720197</v></cell><cell r="AE2421" t="str"><v>Facebook</v></cell><cell r="AF2421"><v>3654128</v></cell><cell r="AG2421" t="str"><v>FACEBOOK»USA-Trial-ITD-Trial PayGo Lookalike-AZR-AZR»1 x 1»SocialBan»CAN»ALL»CPA»LAL»X»NA»SS»NA»FBCTCBasicMotion»PRC1Q0</v></cell><cell r="AH2421"><v>223935664</v></cell><cell r="AI2421" t="str"><v>AzurePlatform_FBCTCBasicMotion_USA_10s_CAN_PLATFORM_English_Trial_Standard_STAN_TIN_T1_1</v></cell><cell r="AJ2421"><v>103043823</v></cell></row><row r="2422"><cell r="C2422" t="str"><v>43298FACEBOOK»USA-Trial-ITD-Trial PayGo Lookalike-AZR-AZR»1 x 1»SocialBan»CAN»ALL»CPA»LAL»X»NA»SS»NA»FBCTCBasicMotion»PRC1Q0</v></cell><cell r="D2422" t="str"><v>43298223935664</v></cell><cell r="E2422" t="str"><v>43298103175984PRC1Q0</v></cell><cell r="F2422" t="str"><v>DCM</v></cell><cell r="G2422" t="str"><v>https://azure.microsoft.com/en-us/pricing/purchase-options/?v=18.19&OCID=AID%eexcid!_OLA_%ebuy!_%epid!_%ecid!</v></cell></row><row r="2422"><cell r="K2422" t="str"><v>July</v></cell><cell r="L2422"><v>43302</v></cell><cell r="M2422" t="str"><v>Tier 0</v></cell><cell r="N2422" t="str"><v>North America</v></cell><cell r="O2422" t="str"><v>United States</v></cell><cell r="P2422" t="str"><v>Trial</v></cell><cell r="Q2422" t="str"><v>Social</v></cell><cell r="R2422" t="str"><v>Azure</v></cell><cell r="S2422" t="str"><v>Apps & Infra</v></cell><cell r="T2422" t="str"><v>Developers & ITI's</v></cell><cell r="U2422" t="str"><v>USA-Trial-ITD-Trial PayGo Lookalike-AZR-AZR</v></cell><cell r="V2422" t="str"><v>Lookalike Targeting</v></cell><cell r="W2422" t="str"><v>Canvas Ad</v></cell><cell r="X2422" t="str"><v>1x1</v></cell></row><row r="2422"><cell r="AA2422"><v>43298</v></cell><cell r="AB2422" t="str"><v>USA_gaPMG_AZR_AZR_Q1_19_Direct-Social</v></cell><cell r="AC2422"><v>21358715</v></cell><cell r="AD2422"><v>720197</v></cell><cell r="AE2422" t="str"><v>Facebook</v></cell><cell r="AF2422"><v>3654128</v></cell><cell r="AG2422" t="str"><v>FACEBOOK»USA-Trial-ITD-Trial PayGo Lookalike-AZR-AZR»1 x 1»SocialBan»CAN»ALL»CPA»LAL»X»NA»SS»NA»FBCTCBasicMotion»PRC1Q0</v></cell><cell r="AH2422"><v>223935664</v></cell><cell r="AI2422" t="str"><v>AzurePlatform_FBCTCBasicMotion_USA_10s_CAN_PLATFORM_English_Trial_Standard_STAN_TIN_T1_2</v></cell><cell r="AJ2422"><v>103175984</v></cell></row><row r="2423"><cell r="C2423" t="str"><v>43298FACEBOOK»USA-Trial-ITD-Trial PayGo Lookalike-AZR-AZR»1 x 1»SocialBan»LIA»ALL»CPA»LAL»X»NA»SS»NA»FreeAcctDeveloperFB-AnimatedAI-Ch3»PRC1Q8</v></cell><cell r="D2423" t="str"><v>43298224104983</v></cell><cell r="E2423" t="str"><v>43298103032778PRC1Q8</v></cell><cell r="F2423" t="str"><v>DCM</v></cell></row><row r="2423"><cell r="K2423" t="str"><v>July</v></cell><cell r="L2423"><v>43302</v></cell><cell r="M2423" t="str"><v>Tier 0</v></cell><cell r="N2423" t="str"><v>North America</v></cell><cell r="O2423" t="str"><v>United States</v></cell><cell r="P2423" t="str"><v>Trial</v></cell><cell r="Q2423" t="str"><v>Social</v></cell><cell r="R2423" t="str"><v>Azure</v></cell><cell r="S2423" t="str"><v>Apps & Infra</v></cell><cell r="T2423" t="str"><v>Developers & ITI's</v></cell><cell r="U2423" t="str"><v>USA-Trial-ITD-Trial PayGo Lookalike-AZR-AZR</v></cell><cell r="V2423" t="str"><v>Lookalike Targeting</v></cell><cell r="W2423" t="str"><v>Link Ad</v></cell><cell r="X2423" t="str"><v>1x1</v></cell></row><row r="2423"><cell r="AA2423"><v>43298</v></cell><cell r="AB2423" t="str"><v>USA_gaPMG_AZR_AZR_Q1_19_Direct-Social</v></cell><cell r="AC2423"><v>21358715</v></cell><cell r="AD2423"><v>720197</v></cell><cell r="AE2423" t="str"><v>Facebook</v></cell><cell r="AF2423"><v>3654128</v></cell><cell r="AG2423" t="str"><v>FACEBOOK»USA-Trial-ITD-Trial PayGo Lookalike-AZR-AZR»1 x 1»SocialBan»LIA»ALL»CPA»LAL»X»NA»SS»NA»FreeAcctDeveloperFB-AnimatedAI-Ch3»PRC1Q8</v></cell><cell r="AH2423"><v>224104983</v></cell><cell r="AI2423" t="str"><v>AZR_FreeAcctDeveloperFB-AnimatedAI-Ch3_USA_1200x1200_CAN_Direct_English_Trial_Standard_ANI_LEA_T3_1</v></cell><cell r="AJ2423"><v>103032778</v></cell></row><row r="2424"><cell r="C2424" t="str"><v>43298FACEBOOK»USA-Trial-ITD-Trial PayGo Lookalike-AZR-AZR»1 x 1»SocialBan»LIA»ALL»CPA»LAL»X»NA»SS»NA»FreeAcctDeveloperFB-AnimatedData-Ch4»PRC1Q9</v></cell><cell r="D2424" t="str"><v>43298224106990</v></cell><cell r="E2424" t="str"><v>43298103037935PRC1Q9</v></cell><cell r="F2424" t="str"><v>DCM</v></cell></row><row r="2424"><cell r="K2424" t="str"><v>July</v></cell><cell r="L2424"><v>43302</v></cell><cell r="M2424" t="str"><v>Tier 0</v></cell><cell r="N2424" t="str"><v>North America</v></cell><cell r="O2424" t="str"><v>United States</v></cell><cell r="P2424" t="str"><v>Trial</v></cell><cell r="Q2424" t="str"><v>Social</v></cell><cell r="R2424" t="str"><v>Azure</v></cell><cell r="S2424" t="str"><v>Apps & Infra</v></cell><cell r="T2424" t="str"><v>Developers & ITI's</v></cell><cell r="U2424" t="str"><v>USA-Trial-ITD-Trial PayGo Lookalike-AZR-AZR</v></cell><cell r="V2424" t="str"><v>Lookalike Targeting</v></cell><cell r="W2424" t="str"><v>Link Ad</v></cell><cell r="X2424" t="str"><v>1x1</v></cell></row><row r="2424"><cell r="AA2424"><v>43298</v></cell><cell r="AB2424" t="str"><v>USA_gaPMG_AZR_AZR_Q1_19_Direct-Social</v></cell><cell r="AC2424"><v>21358715</v></cell><cell r="AD2424"><v>720197</v></cell><cell r="AE2424" t="str"><v>Facebook</v></cell><cell r="AF2424"><v>3654128</v></cell><cell r="AG2424" t="str"><v>FACEBOOK»USA-Trial-ITD-Trial PayGo Lookalike-AZR-AZR»1 x 1»SocialBan»LIA»ALL»CPA»LAL»X»NA»SS»NA»FreeAcctDeveloperFB-AnimatedData-Ch4»PRC1Q9</v></cell><cell r="AH2424"><v>224106990</v></cell><cell r="AI2424" t="str"><v>AZR_FreeAcctDeveloperFB-AnimatedData-Ch4_USA_1200x1200_CAN_Direct_English_Trial_Standard_ANI_LEA_T4_2</v></cell><cell r="AJ2424"><v>103037935</v></cell></row><row r="2425"><cell r="C2425" t="str"><v>43298FACEBOOK»USA-Trial-ITD-Trial PayGo Lookalike-AZR-AZR»1 x 1»SocialBan»LIA»ALL»CPA»LAL»X»NA»SS»NA»FreeAcctDeveloperFB-AnimatedGeneric-Ch1»PRC1Q5</v></cell><cell r="D2425" t="str"><v>43298224104092</v></cell><cell r="E2425" t="str"><v>43298103176851PRC1Q5</v></cell><cell r="F2425" t="str"><v>DCM</v></cell><cell r="G2425" t="str"><v>https://azure.microsoft.com/en-us/free/search/?OCID=AID%eexcid!_OLA_%ebuy!_%epid!_%ecid!</v></cell></row><row r="2425"><cell r="K2425" t="str"><v>July</v></cell><cell r="L2425"><v>43302</v></cell><cell r="M2425" t="str"><v>Tier 0</v></cell><cell r="N2425" t="str"><v>North America</v></cell><cell r="O2425" t="str"><v>United States</v></cell><cell r="P2425" t="str"><v>Trial</v></cell><cell r="Q2425" t="str"><v>Social</v></cell><cell r="R2425" t="str"><v>Azure</v></cell><cell r="S2425" t="str"><v>Apps & Infra</v></cell><cell r="T2425" t="str"><v>Developers & ITI's</v></cell><cell r="U2425" t="str"><v>USA-Trial-ITD-Trial PayGo Lookalike-AZR-AZR</v></cell><cell r="V2425" t="str"><v>Lookalike Targeting</v></cell><cell r="W2425" t="str"><v>Link Ad</v></cell><cell r="X2425" t="str"><v>1x1</v></cell></row><row r="2425"><cell r="AA2425"><v>43298</v></cell><cell r="AB2425" t="str"><v>USA_gaPMG_AZR_AZR_Q1_19_Direct-Social</v></cell><cell r="AC2425"><v>21358715</v></cell><cell r="AD2425"><v>720197</v></cell><cell r="AE2425" t="str"><v>Facebook</v></cell><cell r="AF2425"><v>3654128</v></cell><cell r="AG2425" t="str"><v>FACEBOOK»USA-Trial-ITD-Trial PayGo Lookalike-AZR-AZR»1 x 1»SocialBan»LIA»ALL»CPA»LAL»X»NA»SS»NA»FreeAcctDeveloperFB-AnimatedGeneric-Ch1»PRC1Q5</v></cell><cell r="AH2425"><v>224104092</v></cell><cell r="AI2425" t="str"><v>AZR_FreeAcctDeveloperFB-AnimatedGeneric-Ch1_USA_1200x1200_CAN_Direct_English_Trial_Standard_ANI_LEA_T1_2</v></cell><cell r="AJ2425"><v>103176851</v></cell></row><row r="2426"><cell r="C2426" t="str"><v>43298FACEBOOK»USA-Trial-ITD-Trial PayGo Lookalike-AZR-AZR»1 x 1»SocialBan»LIA»ALL»CPA»LAL»X»NA»SS»NA»FreeAcctDeveloperFB-AnimatedOpenSource-Ch2»PRC1Q7</v></cell><cell r="D2426" t="str"><v>43298223862951</v></cell><cell r="E2426" t="str"><v>43298103048329PRC1Q7</v></cell><cell r="F2426" t="str"><v>DCM</v></cell><cell r="G2426" t="str"><v>https://azure.microsoft.com/en-us/free/open-source/search/?OCID=AID%eexcid!_OLA_%ebuy!_%epid!_%ecid!</v></cell></row><row r="2426"><cell r="K2426" t="str"><v>July</v></cell><cell r="L2426"><v>43302</v></cell><cell r="M2426" t="str"><v>Tier 0</v></cell><cell r="N2426" t="str"><v>North America</v></cell><cell r="O2426" t="str"><v>United States</v></cell><cell r="P2426" t="str"><v>Trial</v></cell><cell r="Q2426" t="str"><v>Social</v></cell><cell r="R2426" t="str"><v>Azure</v></cell><cell r="S2426" t="str"><v>Apps & Infra</v></cell><cell r="T2426" t="str"><v>Developers & ITI's</v></cell><cell r="U2426" t="str"><v>USA-Trial-ITD-Trial PayGo Lookalike-AZR-AZR</v></cell><cell r="V2426" t="str"><v>Lookalike Targeting</v></cell><cell r="W2426" t="str"><v>Link Ad</v></cell><cell r="X2426" t="str"><v>1x1</v></cell></row><row r="2426"><cell r="AA2426"><v>43298</v></cell><cell r="AB2426" t="str"><v>USA_gaPMG_AZR_AZR_Q1_19_Direct-Social</v></cell><cell r="AC2426"><v>21358715</v></cell><cell r="AD2426"><v>720197</v></cell><cell r="AE2426" t="str"><v>Facebook</v></cell><cell r="AF2426"><v>3654128</v></cell><cell r="AG2426" t="str"><v>FACEBOOK»USA-Trial-ITD-Trial PayGo Lookalike-AZR-AZR»1 x 1»SocialBan»LIA»ALL»CPA»LAL»X»NA»SS»NA»FreeAcctDeveloperFB-AnimatedOpenSource-Ch2»PRC1Q7</v></cell><cell r="AH2426"><v>223862951</v></cell><cell r="AI2426" t="str"><v>AZR_FreeAcctDeveloperFB-AnimatedOpenSource-Ch2_USA_1200x1200_CAN_Direct_English_Trial_Standard_ANI_LEA_T2_1</v></cell><cell r="AJ2426"><v>103048329</v></cell></row><row r="2427"><cell r="C2427" t="str"><v>43298FACEBOOK»USA-Trial-ITD-Trial PayGo Lookalike-AZR-AZR»1 x 1»SocialBan»LIA»ALL»CPA»LAL»X»NA»SS»NA»FreeAcctITProFB-AnimatedHybrid-Ch2»PRC1QC</v></cell><cell r="D2427" t="str"><v>43298223933186</v></cell><cell r="E2427" t="str"><v>43298103180583PRC1QC</v></cell><cell r="F2427" t="str"><v>DCM</v></cell></row><row r="2427"><cell r="K2427" t="str"><v>July</v></cell><cell r="L2427"><v>43302</v></cell><cell r="M2427" t="str"><v>Tier 0</v></cell><cell r="N2427" t="str"><v>North America</v></cell><cell r="O2427" t="str"><v>United States</v></cell><cell r="P2427" t="str"><v>Trial</v></cell><cell r="Q2427" t="str"><v>Social</v></cell><cell r="R2427" t="str"><v>Azure</v></cell><cell r="S2427" t="str"><v>Apps & Infra</v></cell><cell r="T2427" t="str"><v>Developers & ITI's</v></cell><cell r="U2427" t="str"><v>USA-Trial-ITD-Trial PayGo Lookalike-AZR-AZR</v></cell><cell r="V2427" t="str"><v>Lookalike Targeting</v></cell><cell r="W2427" t="str"><v>Link Ad</v></cell><cell r="X2427" t="str"><v>1x1</v></cell></row><row r="2427"><cell r="AA2427"><v>43298</v></cell><cell r="AB2427" t="str"><v>USA_gaPMG_AZR_AZR_Q1_19_Direct-Social</v></cell><cell r="AC2427"><v>21358715</v></cell><cell r="AD2427"><v>720197</v></cell><cell r="AE2427" t="str"><v>Facebook</v></cell><cell r="AF2427"><v>3654128</v></cell><cell r="AG2427" t="str"><v>FACEBOOK»USA-Trial-ITD-Trial PayGo Lookalike-AZR-AZR»1 x 1»SocialBan»LIA»ALL»CPA»LAL»X»NA»SS»NA»FreeAcctITProFB-AnimatedHybrid-Ch2»PRC1QC</v></cell><cell r="AH2427"><v>223933186</v></cell><cell r="AI2427" t="str"><v>AZR_FreeAcctITProFB-AnimatedHybrid-Ch2_USA_1200x1200_CAN_Direct_English_Trial_Standard_ANI_LEA_T2_2</v></cell><cell r="AJ2427"><v>103180583</v></cell></row><row r="2428"><cell r="C2428" t="str"><v>43298FACEBOOK»USA-Trial-ITD-Trial PayGo Lookalike-AZR-AZR»1 x 1»SocialBan»LIA»ALL»CPA»LAL»X»NA»SS»NA»FreeAcctITProFB-AnimatedMigration-Ch3»PRC23Y</v></cell><cell r="D2428" t="str"><v>43298224105904</v></cell><cell r="E2428" t="str"><v>43298103176827PRC23Y</v></cell><cell r="F2428" t="str"><v>DCM</v></cell></row><row r="2428"><cell r="K2428" t="str"><v>July</v></cell><cell r="L2428"><v>43302</v></cell><cell r="M2428" t="str"><v>Tier 0</v></cell><cell r="N2428" t="str"><v>North America</v></cell><cell r="O2428" t="str"><v>United States</v></cell><cell r="P2428" t="str"><v>Trial</v></cell><cell r="Q2428" t="str"><v>Social</v></cell><cell r="R2428" t="str"><v>Azure</v></cell><cell r="S2428" t="str"><v>Apps & Infra</v></cell><cell r="T2428" t="str"><v>Developers & ITI's</v></cell><cell r="U2428" t="str"><v>USA-Trial-ITD-Trial PayGo Lookalike-AZR-AZR</v></cell><cell r="V2428" t="str"><v>Lookalike Targeting</v></cell><cell r="W2428" t="str"><v>Link Ad</v></cell><cell r="X2428" t="str"><v>1x1</v></cell></row><row r="2428"><cell r="AA2428"><v>43298</v></cell><cell r="AB2428" t="str"><v>USA_gaPMG_AZR_AZR_Q1_19_Direct-Social</v></cell><cell r="AC2428"><v>21358715</v></cell><cell r="AD2428"><v>720197</v></cell><cell r="AE2428" t="str"><v>Facebook</v></cell><cell r="AF2428"><v>3654128</v></cell><cell r="AG2428" t="str"><v>FACEBOOK»USA-Trial-ITD-Trial PayGo Lookalike-AZR-AZR»1 x 1»SocialBan»LIA»ALL»CPA»LAL»X»NA»SS»NA»FreeAcctITProFB-AnimatedMigration-Ch3»PRC23Y</v></cell><cell r="AH2428"><v>224105904</v></cell><cell r="AI2428" t="str"><v>AZR_FreeAcctITProFB-AnimatedMigration-Ch3_USA_1200x1200_CAN_Direct_English_Trial_Standard_ANI_LEA_T3_1</v></cell><cell r="AJ2428"><v>103176827</v></cell></row><row r="2429"><cell r="C2429" t="str"><v>43298FACEBOOK»USA-Trial-ITD-Trial PayGo Lookalike-AZR-AZR»1 x 1»SocialBan»LIA»ALL»CPA»LAL»X»NA»SS»NA»FreeAcctITProFB-AnimatedSecureMngd-Ch1»PRC1QB</v></cell><cell r="D2429" t="str"><v>43298223862945</v></cell><cell r="E2429" t="str"><v>43298103176830PRC1QB</v></cell><cell r="F2429" t="str"><v>DCM</v></cell></row><row r="2429"><cell r="K2429" t="str"><v>July</v></cell><cell r="L2429"><v>43302</v></cell><cell r="M2429" t="str"><v>Tier 0</v></cell><cell r="N2429" t="str"><v>North America</v></cell><cell r="O2429" t="str"><v>United States</v></cell><cell r="P2429" t="str"><v>Trial</v></cell><cell r="Q2429" t="str"><v>Social</v></cell><cell r="R2429" t="str"><v>Azure</v></cell><cell r="S2429" t="str"><v>Apps & Infra</v></cell><cell r="T2429" t="str"><v>Developers & ITI's</v></cell><cell r="U2429" t="str"><v>USA-Trial-ITD-Trial PayGo Lookalike-AZR-AZR</v></cell><cell r="V2429" t="str"><v>Lookalike Targeting</v></cell><cell r="W2429" t="str"><v>Link Ad</v></cell><cell r="X2429" t="str"><v>1x1</v></cell></row><row r="2429"><cell r="AA2429"><v>43298</v></cell><cell r="AB2429" t="str"><v>USA_gaPMG_AZR_AZR_Q1_19_Direct-Social</v></cell><cell r="AC2429"><v>21358715</v></cell><cell r="AD2429"><v>720197</v></cell><cell r="AE2429" t="str"><v>Facebook</v></cell><cell r="AF2429"><v>3654128</v></cell><cell r="AG2429" t="str"><v>FACEBOOK»USA-Trial-ITD-Trial PayGo Lookalike-AZR-AZR»1 x 1»SocialBan»LIA»ALL»CPA»LAL»X»NA»SS»NA»FreeAcctITProFB-AnimatedSecureMngd-Ch1»PRC1QB</v></cell><cell r="AH2429"><v>223862945</v></cell><cell r="AI2429" t="str"><v>AZR_FreeAcctITProFB-AnimatedSecureMngd-Ch1_USA_1200x1200_CAN_Direct_English_Trial_Standard_ANI_LEA_T1_1</v></cell><cell r="AJ2429"><v>103176830</v></cell></row><row r="2430"><cell r="C2430" t="str"><v>43298INSTAGRAM»USA-Trial-ITD-Interest Prospecting-AZR-AZR»1 x 1»SocialBan»CAN»ALL»CPA»PRO»X»NA»SS»NA»IGCTCBenefit2inMotion»PRC2PD</v></cell><cell r="D2430" t="str"><v>43298223933084</v></cell><cell r="E2430" t="str"><v>43298103050786PRC2PD</v></cell><cell r="F2430" t="str"><v>DCM</v></cell><cell r="G2430" t="str"><v>https://azure.microsoft.com/en-us/pricing/purchase-options/?v=18.19&OCID=AID%eexcid!_OLA_%ebuy!_%epid!_%ecid!</v></cell></row><row r="2430"><cell r="K2430" t="str"><v>July</v></cell><cell r="L2430"><v>43302</v></cell><cell r="M2430" t="str"><v>Tier 0</v></cell><cell r="N2430" t="str"><v>North America</v></cell><cell r="O2430" t="str"><v>United States</v></cell><cell r="P2430" t="str"><v>Trial</v></cell><cell r="Q2430" t="str"><v>Social</v></cell><cell r="R2430" t="str"><v>Azure</v></cell><cell r="S2430" t="str"><v>Apps & Infra</v></cell><cell r="T2430" t="str"><v>Developers & ITI's</v></cell><cell r="U2430" t="str"><v>USA-Trial-ITD-Interest Prospecting-AZR-AZR</v></cell><cell r="V2430" t="str"><v>Prospecting</v></cell><cell r="W2430" t="str"><v>Canvas Ad</v></cell><cell r="X2430" t="str"><v>1x1</v></cell></row><row r="2430"><cell r="AA2430"><v>43298</v></cell><cell r="AB2430" t="str"><v>USA_gaPMG_AZR_AZR_Q1_19_Direct-Social</v></cell><cell r="AC2430"><v>21358715</v></cell><cell r="AD2430"><v>720197</v></cell><cell r="AE2430" t="str"><v>Facebook - Instagram</v></cell><cell r="AF2430"><v>3654128</v></cell><cell r="AG2430" t="str"><v>INSTAGRAM»USA-Trial-ITD-Interest Prospecting-AZR-AZR»1 x 1»SocialBan»CAN»ALL»CPA»PRO»X»NA»SS»NA»IGCTCBenefit2inMotion»PRC2PD</v></cell><cell r="AH2430"><v>223933084</v></cell><cell r="AI2430" t="str"><v>AzurePlatform_IGCTCBrandinMotion_USA_10s_CAN_PLATFORM_English_Trial_Standard_STAN_TIN_T2_2</v></cell><cell r="AJ2430"><v>103050786</v></cell></row><row r="2431"><cell r="C2431" t="str"><v>43298INSTAGRAM»USA-Trial-ITD-Interest Prospecting-AZR-AZR»1 x 1»SocialBan»CAN»ALL»CPA»PRO»X»NA»SS»NA»IGCTCBrandinMotion»PRC2PB</v></cell><cell r="D2431" t="str"><v>43298223862690</v></cell><cell r="E2431" t="str"><v>43298103050783PRC2PB</v></cell><cell r="F2431" t="str"><v>DCM</v></cell><cell r="G2431" t="str"><v>https://signup.azure.com/?OCID=AID%eexcid!_OLA_%ebuy!_%epid!_%ecid!</v></cell></row><row r="2431"><cell r="K2431" t="str"><v>July</v></cell><cell r="L2431"><v>43302</v></cell><cell r="M2431" t="str"><v>Tier 0</v></cell><cell r="N2431" t="str"><v>North America</v></cell><cell r="O2431" t="str"><v>United States</v></cell><cell r="P2431" t="str"><v>Trial</v></cell><cell r="Q2431" t="str"><v>Social</v></cell><cell r="R2431" t="str"><v>Azure</v></cell><cell r="S2431" t="str"><v>Apps & Infra</v></cell><cell r="T2431" t="str"><v>Developers & ITI's</v></cell><cell r="U2431" t="str"><v>USA-Trial-ITD-Interest Prospecting-AZR-AZR</v></cell><cell r="V2431" t="str"><v>Prospecting</v></cell><cell r="W2431" t="str"><v>Canvas Ad</v></cell><cell r="X2431" t="str"><v>1x1</v></cell></row><row r="2431"><cell r="AA2431"><v>43298</v></cell><cell r="AB2431" t="str"><v>USA_gaPMG_AZR_AZR_Q1_19_Direct-Social</v></cell><cell r="AC2431"><v>21358715</v></cell><cell r="AD2431"><v>720197</v></cell><cell r="AE2431" t="str"><v>Facebook - Instagram</v></cell><cell r="AF2431"><v>3654128</v></cell><cell r="AG2431" t="str"><v>INSTAGRAM»USA-Trial-ITD-Interest Prospecting-AZR-AZR»1 x 1»SocialBan»CAN»ALL»CPA»PRO»X»NA»SS»NA»IGCTCBrandinMotion»PRC2PB</v></cell><cell r="AH2431"><v>223862690</v></cell><cell r="AI2431" t="str"><v>AzurePlatform_IGCTCBenefit2inMotion_USA_10s_CAN_PLATFORM_English_Trial_Standard_STAN_TIN_T4_1</v></cell><cell r="AJ2431"><v>103050783</v></cell></row><row r="2432"><cell r="C2432" t="str"><v>43298INSTAGRAM»USA-Trial-ITD-Interest Prospecting-AZR-AZR»1 x 1»SocialBan»CAN»ALL»CPA»PRO»X»NA»SS»NA»IGCTCBrandinMotion»PRC2PB</v></cell><cell r="D2432" t="str"><v>43298223862690</v></cell><cell r="E2432" t="str"><v>43298103178714PRC2PB</v></cell><cell r="F2432" t="str"><v>DCM</v></cell><cell r="G2432" t="str"><v>https://azure.microsoft.com/en-us/pricing/purchase-options/?v=18.19&OCID=AID%eexcid!_OLA_%ebuy!_%epid!_%ecid!</v></cell></row><row r="2432"><cell r="K2432" t="str"><v>July</v></cell><cell r="L2432"><v>43302</v></cell><cell r="M2432" t="str"><v>Tier 0</v></cell><cell r="N2432" t="str"><v>North America</v></cell><cell r="O2432" t="str"><v>United States</v></cell><cell r="P2432" t="str"><v>Trial</v></cell><cell r="Q2432" t="str"><v>Social</v></cell><cell r="R2432" t="str"><v>Azure</v></cell><cell r="S2432" t="str"><v>Apps & Infra</v></cell><cell r="T2432" t="str"><v>Developers & ITI's</v></cell><cell r="U2432" t="str"><v>USA-Trial-ITD-Interest Prospecting-AZR-AZR</v></cell><cell r="V2432" t="str"><v>Prospecting</v></cell><cell r="W2432" t="str"><v>Canvas Ad</v></cell><cell r="X2432" t="str"><v>1x1</v></cell></row><row r="2432"><cell r="AA2432"><v>43298</v></cell><cell r="AB2432" t="str"><v>USA_gaPMG_AZR_AZR_Q1_19_Direct-Social</v></cell><cell r="AC2432"><v>21358715</v></cell><cell r="AD2432"><v>720197</v></cell><cell r="AE2432" t="str"><v>Facebook - Instagram</v></cell><cell r="AF2432"><v>3654128</v></cell><cell r="AG2432" t="str"><v>INSTAGRAM»USA-Trial-ITD-Interest Prospecting-AZR-AZR»1 x 1»SocialBan»CAN»ALL»CPA»PRO»X»NA»SS»NA»IGCTCBrandinMotion»PRC2PB</v></cell><cell r="AH2432"><v>223862690</v></cell><cell r="AI2432" t="str"><v>AzurePlatform_IGCTCBenefit2inMotion_USA_10s_CAN_PLATFORM_English_Trial_Standard_STAN_TIN_T4_2</v></cell><cell r="AJ2432"><v>103178714</v></cell></row><row r="2433"><cell r="C2433" t="str"><v>43298INSTAGRAM»USA-Trial-ITD-Retargeting-AZR-AZR»1 x 1»SocialBan»CAN»ALL»CPA»RT»X»NA»SS»NA»IGCTCBenefitinMotion»PRC2G4</v></cell><cell r="D2433" t="str"><v>43298224107536</v></cell><cell r="E2433" t="str"><v>43298103050780PRC2G4</v></cell><cell r="F2433" t="str"><v>DCM</v></cell><cell r="G2433" t="str"><v>https://signup.azure.com/?OCID=AID%eexcid!_OLA_%ebuy!_%epid!_%ecid!</v></cell></row><row r="2433"><cell r="K2433" t="str"><v>July</v></cell><cell r="L2433"><v>43302</v></cell><cell r="M2433" t="str"><v>Tier 0</v></cell><cell r="N2433" t="str"><v>North America</v></cell><cell r="O2433" t="str"><v>United States</v></cell><cell r="P2433" t="str"><v>Trial</v></cell><cell r="Q2433" t="str"><v>Social</v></cell><cell r="R2433" t="str"><v>Azure</v></cell><cell r="S2433" t="str"><v>Apps & Infra</v></cell><cell r="T2433" t="str"><v>Developers & ITI's</v></cell><cell r="U2433" t="str"><v>USA-Trial-ITD-Retargeting-AZR-AZR</v></cell><cell r="V2433" t="str"><v>Retargeting</v></cell><cell r="W2433" t="str"><v>Canvas Ad</v></cell><cell r="X2433" t="str"><v>1x1</v></cell></row><row r="2433"><cell r="AA2433"><v>43298</v></cell><cell r="AB2433" t="str"><v>USA_gaPMG_AZR_AZR_Q1_19_Direct-Social</v></cell><cell r="AC2433"><v>21358715</v></cell><cell r="AD2433"><v>720197</v></cell><cell r="AE2433" t="str"><v>Facebook - Instagram</v></cell><cell r="AF2433"><v>3654128</v></cell><cell r="AG2433" t="str"><v>INSTAGRAM»USA-Trial-ITD-Retargeting-AZR-AZR»1 x 1»SocialBan»CAN»ALL»CPA»RT»X»NA»SS»NA»IGCTCBenefitinMotion»PRC2G4</v></cell><cell r="AH2433"><v>224107536</v></cell><cell r="AI2433" t="str"><v>AzurePlatform_IGCTCBenefitinMotion_USA_10s_CAN_PLATFORM_English_Trial_Standard_STAN_TIN_T3_1</v></cell><cell r="AJ2433"><v>103050780</v></cell></row><row r="2434"><cell r="C2434" t="str"><v>43298INSTAGRAM»USA-Trial-ITD-Trial Lookalike-AZR-AZR»1 x 1»SocialBan»CAN»ALL»CPA»LAL»X»NA»SS»NA»IGCTCBenefit2inMotion»PRC2FL</v></cell><cell r="D2434" t="str"><v>43298223935022</v></cell><cell r="E2434" t="str"><v>43298103180628PRC2FL</v></cell><cell r="F2434" t="str"><v>DCM</v></cell><cell r="G2434" t="str"><v>https://signup.azure.com/?OCID=AID%eexcid!_OLA_%ebuy!_%epid!_%ecid!</v></cell></row><row r="2434"><cell r="K2434" t="str"><v>July</v></cell><cell r="L2434"><v>43302</v></cell><cell r="M2434" t="str"><v>Tier 0</v></cell><cell r="N2434" t="str"><v>North America</v></cell><cell r="O2434" t="str"><v>United States</v></cell><cell r="P2434" t="str"><v>Trial</v></cell><cell r="Q2434" t="str"><v>Social</v></cell><cell r="R2434" t="str"><v>Azure</v></cell><cell r="S2434" t="str"><v>Apps & Infra</v></cell><cell r="T2434" t="str"><v>Developers & ITI's</v></cell><cell r="U2434" t="str"><v>USA-Trial-ITD-Trial Lookalike-AZR-AZR</v></cell><cell r="V2434" t="str"><v>Lookalike Targeting</v></cell><cell r="W2434" t="str"><v>Canvas Ad</v></cell><cell r="X2434" t="str"><v>1x1</v></cell></row><row r="2434"><cell r="AA2434"><v>43298</v></cell><cell r="AB2434" t="str"><v>USA_gaPMG_AZR_AZR_Q1_19_Direct-Social</v></cell><cell r="AC2434"><v>21358715</v></cell><cell r="AD2434"><v>720197</v></cell><cell r="AE2434" t="str"><v>Facebook - Instagram</v></cell><cell r="AF2434"><v>3654128</v></cell><cell r="AG2434" t="str"><v>INSTAGRAM»USA-Trial-ITD-Trial Lookalike-AZR-AZR»1 x 1»SocialBan»CAN»ALL»CPA»LAL»X»NA»SS»NA»IGCTCBenefit2inMotion»PRC2FL</v></cell><cell r="AH2434"><v>223935022</v></cell><cell r="AI2434" t="str"><v>AzurePlatform_IGCTCBrandinMotion_USA_10s_CAN_PLATFORM_English_Trial_Standard_STAN_TIN_T2_1</v></cell><cell r="AJ2434"><v>103180628</v></cell></row><row r="2435"><cell r="C2435" t="str"><v>43298INSTAGRAM»USA-Trial-ITD-Trial Lookalike-AZR-AZR»1 x 1»SocialBan»CAN»ALL»CPA»LAL»X»NA»SS»NA»IGCTCBenefit2inMotion»PRC2FL</v></cell><cell r="D2435" t="str"><v>43298223935022</v></cell><cell r="E2435" t="str"><v>43298103050786PRC2FL</v></cell><cell r="F2435" t="str"><v>DCM</v></cell><cell r="G2435" t="str"><v>https://azure.microsoft.com/en-us/pricing/purchase-options/?v=18.19&OCID=AID%eexcid!_OLA_%ebuy!_%epid!_%ecid!</v></cell></row><row r="2435"><cell r="K2435" t="str"><v>July</v></cell><cell r="L2435"><v>43302</v></cell><cell r="M2435" t="str"><v>Tier 0</v></cell><cell r="N2435" t="str"><v>North America</v></cell><cell r="O2435" t="str"><v>United States</v></cell><cell r="P2435" t="str"><v>Trial</v></cell><cell r="Q2435" t="str"><v>Social</v></cell><cell r="R2435" t="str"><v>Azure</v></cell><cell r="S2435" t="str"><v>Apps & Infra</v></cell><cell r="T2435" t="str"><v>Developers & ITI's</v></cell><cell r="U2435" t="str"><v>USA-Trial-ITD-Trial Lookalike-AZR-AZR</v></cell><cell r="V2435" t="str"><v>Lookalike Targeting</v></cell><cell r="W2435" t="str"><v>Canvas Ad</v></cell><cell r="X2435" t="str"><v>1x1</v></cell></row><row r="2435"><cell r="AA2435"><v>43298</v></cell><cell r="AB2435" t="str"><v>USA_gaPMG_AZR_AZR_Q1_19_Direct-Social</v></cell><cell r="AC2435"><v>21358715</v></cell><cell r="AD2435"><v>720197</v></cell><cell r="AE2435" t="str"><v>Facebook - Instagram</v></cell><cell r="AF2435"><v>3654128</v></cell><cell r="AG2435" t="str"><v>INSTAGRAM»USA-Trial-ITD-Trial Lookalike-AZR-AZR»1 x 1»SocialBan»CAN»ALL»CPA»LAL»X»NA»SS»NA»IGCTCBenefit2inMotion»PRC2FL</v></cell><cell r="AH2435"><v>223935022</v></cell><cell r="AI2435" t="str"><v>AzurePlatform_IGCTCBrandinMotion_USA_10s_CAN_PLATFORM_English_Trial_Standard_STAN_TIN_T2_2</v></cell><cell r="AJ2435"><v>103050786</v></cell></row><row r="2436"><cell r="C2436" t="str"><v>43298INSTAGRAM»USA-Trial-ITD-Trial Lookalike-AZR-AZR»1 x 1»SocialBan»CAN»ALL»CPA»LAL»X»NA»SS»NA»IGCTCBrandinMotion»PRC2FH</v></cell><cell r="D2436" t="str"><v>43298223935019</v></cell><cell r="E2436" t="str"><v>43298103050783PRC2FH</v></cell><cell r="F2436" t="str"><v>DCM</v></cell><cell r="G2436" t="str"><v>https://signup.azure.com/?OCID=AID%eexcid!_OLA_%ebuy!_%epid!_%ecid!</v></cell></row><row r="2436"><cell r="K2436" t="str"><v>July</v></cell><cell r="L2436"><v>43302</v></cell><cell r="M2436" t="str"><v>Tier 0</v></cell><cell r="N2436" t="str"><v>North America</v></cell><cell r="O2436" t="str"><v>United States</v></cell><cell r="P2436" t="str"><v>Trial</v></cell><cell r="Q2436" t="str"><v>Social</v></cell><cell r="R2436" t="str"><v>Azure</v></cell><cell r="S2436" t="str"><v>Apps & Infra</v></cell><cell r="T2436" t="str"><v>Developers & ITI's</v></cell><cell r="U2436" t="str"><v>USA-Trial-ITD-Trial Lookalike-AZR-AZR</v></cell><cell r="V2436" t="str"><v>Lookalike Targeting</v></cell><cell r="W2436" t="str"><v>Canvas Ad</v></cell><cell r="X2436" t="str"><v>1x1</v></cell></row><row r="2436"><cell r="AA2436"><v>43298</v></cell><cell r="AB2436" t="str"><v>USA_gaPMG_AZR_AZR_Q1_19_Direct-Social</v></cell><cell r="AC2436"><v>21358715</v></cell><cell r="AD2436"><v>720197</v></cell><cell r="AE2436" t="str"><v>Facebook - Instagram</v></cell><cell r="AF2436"><v>3654128</v></cell><cell r="AG2436" t="str"><v>INSTAGRAM»USA-Trial-ITD-Trial Lookalike-AZR-AZR»1 x 1»SocialBan»CAN»ALL»CPA»LAL»X»NA»SS»NA»IGCTCBrandinMotion»PRC2FH</v></cell><cell r="AH2436"><v>223935019</v></cell><cell r="AI2436" t="str"><v>AzurePlatform_IGCTCBenefit2inMotion_USA_10s_CAN_PLATFORM_English_Trial_Standard_STAN_TIN_T4_1</v></cell><cell r="AJ2436"><v>103050783</v></cell></row><row r="2437"><cell r="C2437" t="str"><v>43298INSTAGRAM»USA-Trial-ITD-Trial Lookalike-AZR-AZR»1 x 1»SocialBan»CAN»ALL»CPA»LAL»X»NA»SS»NA»IGCTCBrandinMotion»PRC2FH</v></cell><cell r="D2437" t="str"><v>43298223935019</v></cell><cell r="E2437" t="str"><v>43298103178714PRC2FH</v></cell><cell r="F2437" t="str"><v>DCM</v></cell><cell r="G2437" t="str"><v>https://azure.microsoft.com/en-us/pricing/purchase-options/?v=18.19&OCID=AID%eexcid!_OLA_%ebuy!_%epid!_%ecid!</v></cell></row><row r="2437"><cell r="K2437" t="str"><v>July</v></cell><cell r="L2437"><v>43302</v></cell><cell r="M2437" t="str"><v>Tier 0</v></cell><cell r="N2437" t="str"><v>North America</v></cell><cell r="O2437" t="str"><v>United States</v></cell><cell r="P2437" t="str"><v>Trial</v></cell><cell r="Q2437" t="str"><v>Social</v></cell><cell r="R2437" t="str"><v>Azure</v></cell><cell r="S2437" t="str"><v>Apps & Infra</v></cell><cell r="T2437" t="str"><v>Developers & ITI's</v></cell><cell r="U2437" t="str"><v>USA-Trial-ITD-Trial Lookalike-AZR-AZR</v></cell><cell r="V2437" t="str"><v>Lookalike Targeting</v></cell><cell r="W2437" t="str"><v>Canvas Ad</v></cell><cell r="X2437" t="str"><v>1x1</v></cell></row><row r="2437"><cell r="AA2437"><v>43298</v></cell><cell r="AB2437" t="str"><v>USA_gaPMG_AZR_AZR_Q1_19_Direct-Social</v></cell><cell r="AC2437"><v>21358715</v></cell><cell r="AD2437"><v>720197</v></cell><cell r="AE2437" t="str"><v>Facebook - Instagram</v></cell><cell r="AF2437"><v>3654128</v></cell><cell r="AG2437" t="str"><v>INSTAGRAM»USA-Trial-ITD-Trial Lookalike-AZR-AZR»1 x 1»SocialBan»CAN»ALL»CPA»LAL»X»NA»SS»NA»IGCTCBrandinMotion»PRC2FH</v></cell><cell r="AH2437"><v>223935019</v></cell><cell r="AI2437" t="str"><v>AzurePlatform_IGCTCBenefit2inMotion_USA_10s_CAN_PLATFORM_English_Trial_Standard_STAN_TIN_T4_2</v></cell><cell r="AJ2437"><v>103178714</v></cell></row><row r="2438"><cell r="C2438" t="str"><v>43298INSTAGRAM»USA-Trial-ITD-Trial PayGo Lookalike-AZR-AZR»1 x 1»SocialBan»CAN»ALL»CPA»LAL»X»NA»SS»NA»IGCTCBrandinMotion»PRC2FW</v></cell><cell r="D2438" t="str"><v>43298223862654</v></cell><cell r="E2438" t="str"><v>43298103050783PRC2FW</v></cell><cell r="F2438" t="str"><v>DCM</v></cell><cell r="G2438" t="str"><v>https://signup.azure.com/?OCID=AID%eexcid!_OLA_%ebuy!_%epid!_%ecid!</v></cell></row><row r="2438"><cell r="K2438" t="str"><v>July</v></cell><cell r="L2438"><v>43302</v></cell><cell r="M2438" t="str"><v>Tier 0</v></cell><cell r="N2438" t="str"><v>North America</v></cell><cell r="O2438" t="str"><v>United States</v></cell><cell r="P2438" t="str"><v>Trial</v></cell><cell r="Q2438" t="str"><v>Social</v></cell><cell r="R2438" t="str"><v>Azure</v></cell><cell r="S2438" t="str"><v>Apps & Infra</v></cell><cell r="T2438" t="str"><v>Developers & ITI's</v></cell><cell r="U2438" t="str"><v>USA-Trial-ITD-Trial PayGo Lookalike-AZR-AZR</v></cell><cell r="V2438" t="str"><v>Lookalike Targeting</v></cell><cell r="W2438" t="str"><v>Canvas Ad</v></cell><cell r="X2438" t="str"><v>1x1</v></cell></row><row r="2438"><cell r="AA2438"><v>43298</v></cell><cell r="AB2438" t="str"><v>USA_gaPMG_AZR_AZR_Q1_19_Direct-Social</v></cell><cell r="AC2438"><v>21358715</v></cell><cell r="AD2438"><v>720197</v></cell><cell r="AE2438" t="str"><v>Facebook - Instagram</v></cell><cell r="AF2438"><v>3654128</v></cell><cell r="AG2438" t="str"><v>INSTAGRAM»USA-Trial-ITD-Trial PayGo Lookalike-AZR-AZR»1 x 1»SocialBan»CAN»ALL»CPA»LAL»X»NA»SS»NA»IGCTCBrandinMotion»PRC2FW</v></cell><cell r="AH2438"><v>223862654</v></cell><cell r="AI2438" t="str"><v>AzurePlatform_IGCTCBenefit2inMotion_USA_10s_CAN_PLATFORM_English_Trial_Standard_STAN_TIN_T4_1</v></cell><cell r="AJ2438"><v>103050783</v></cell></row><row r="2439"><cell r="C2439" t="str"><v>43298INSTAGRAM»USA-Trial-ITD-Trial PayGo Lookalike-AZR-AZR»1 x 1»SocialBan»CAN»ALL»CPA»LAL»X»NA»SS»NA»IGCTCBrandinMotion»PRC2FW</v></cell><cell r="D2439" t="str"><v>43298223862654</v></cell><cell r="E2439" t="str"><v>43298103178714PRC2FW</v></cell><cell r="F2439" t="str"><v>DCM</v></cell><cell r="G2439" t="str"><v>https://azure.microsoft.com/en-us/pricing/purchase-options/?v=18.19&OCID=AID%eexcid!_OLA_%ebuy!_%epid!_%ecid!</v></cell></row><row r="2439"><cell r="K2439" t="str"><v>July</v></cell><cell r="L2439"><v>43302</v></cell><cell r="M2439" t="str"><v>Tier 0</v></cell><cell r="N2439" t="str"><v>North America</v></cell><cell r="O2439" t="str"><v>United States</v></cell><cell r="P2439" t="str"><v>Trial</v></cell><cell r="Q2439" t="str"><v>Social</v></cell><cell r="R2439" t="str"><v>Azure</v></cell><cell r="S2439" t="str"><v>Apps & Infra</v></cell><cell r="T2439" t="str"><v>Developers & ITI's</v></cell><cell r="U2439" t="str"><v>USA-Trial-ITD-Trial PayGo Lookalike-AZR-AZR</v></cell><cell r="V2439" t="str"><v>Lookalike Targeting</v></cell><cell r="W2439" t="str"><v>Canvas Ad</v></cell><cell r="X2439" t="str"><v>1x1</v></cell></row><row r="2439"><cell r="AA2439"><v>43298</v></cell><cell r="AB2439" t="str"><v>USA_gaPMG_AZR_AZR_Q1_19_Direct-Social</v></cell><cell r="AC2439"><v>21358715</v></cell><cell r="AD2439"><v>720197</v></cell><cell r="AE2439" t="str"><v>Facebook - Instagram</v></cell><cell r="AF2439"><v>3654128</v></cell><cell r="AG2439" t="str"><v>INSTAGRAM»USA-Trial-ITD-Trial PayGo Lookalike-AZR-AZR»1 x 1»SocialBan»CAN»ALL»CPA»LAL»X»NA»SS»NA»IGCTCBrandinMotion»PRC2FW</v></cell><cell r="AH2439"><v>223862654</v></cell><cell r="AI2439" t="str"><v>AzurePlatform_IGCTCBenefit2inMotion_USA_10s_CAN_PLATFORM_English_Trial_Standard_STAN_TIN_T4_2</v></cell><cell r="AJ2439"><v>103178714</v></cell></row><row r="2440"><cell r="C2440" t="str"><v>43298INSTAGRAM»USA-Trial-ITD-Trial PayGo Lookalike-AZR-AZR»1 x 1»SocialBan»CAN»ALL»CPA»LAL»X»NA»SS»NA»IGCTCBenefit2inMotion»PRC2FZ</v></cell><cell r="D2440" t="str"><v>43298223933075</v></cell><cell r="E2440" t="str"><v>43298103180628PRC2FZ</v></cell><cell r="F2440" t="str"><v>DCM</v></cell><cell r="G2440" t="str"><v>https://signup.azure.com/?OCID=AID%eexcid!_OLA_%ebuy!_%epid!_%ecid!</v></cell></row><row r="2440"><cell r="K2440" t="str"><v>July</v></cell><cell r="L2440"><v>43302</v></cell><cell r="M2440" t="str"><v>Tier 0</v></cell><cell r="N2440" t="str"><v>North America</v></cell><cell r="O2440" t="str"><v>United States</v></cell><cell r="P2440" t="str"><v>Trial</v></cell><cell r="Q2440" t="str"><v>Social</v></cell><cell r="R2440" t="str"><v>Azure</v></cell><cell r="S2440" t="str"><v>Apps & Infra</v></cell><cell r="T2440" t="str"><v>Developers & ITI's</v></cell><cell r="U2440" t="str"><v>USA-Trial-ITD-Trial PayGo Lookalike-AZR-AZR</v></cell><cell r="V2440" t="str"><v>Lookalike Targeting</v></cell><cell r="W2440" t="str"><v>Canvas Ad</v></cell><cell r="X2440" t="str"><v>1x1</v></cell></row><row r="2440"><cell r="AA2440"><v>43298</v></cell><cell r="AB2440" t="str"><v>USA_gaPMG_AZR_AZR_Q1_19_Direct-Social</v></cell><cell r="AC2440"><v>21358715</v></cell><cell r="AD2440"><v>720197</v></cell><cell r="AE2440" t="str"><v>Facebook - Instagram</v></cell><cell r="AF2440"><v>3654128</v></cell><cell r="AG2440" t="str"><v>INSTAGRAM»USA-Trial-ITD-Trial PayGo Lookalike-AZR-AZR»1 x 1»SocialBan»CAN»ALL»CPA»LAL»X»NA»SS»NA»IGCTCBenefit2inMotion»PRC2FZ</v></cell><cell r="AH2440"><v>223933075</v></cell><cell r="AI2440" t="str"><v>AzurePlatform_IGCTCBrandinMotion_USA_10s_CAN_PLATFORM_English_Trial_Standard_STAN_TIN_T2_1</v></cell><cell r="AJ2440"><v>103180628</v></cell></row><row r="2441"><cell r="C2441" t="str"><v>43298INSTAGRAM»USA-Trial-ITD-Trial PayGo Lookalike-AZR-AZR»1 x 1»SocialBan»CAN»ALL»CPA»LAL»X»NA»SS»NA»IGCTCBenefit2inMotion»PRC2FZ</v></cell><cell r="D2441" t="str"><v>43298223933075</v></cell><cell r="E2441" t="str"><v>43298103050786PRC2FZ</v></cell><cell r="F2441" t="str"><v>DCM</v></cell><cell r="G2441" t="str"><v>https://azure.microsoft.com/en-us/pricing/purchase-options/?v=18.19&OCID=AID%eexcid!_OLA_%ebuy!_%epid!_%ecid!</v></cell></row><row r="2441"><cell r="K2441" t="str"><v>July</v></cell><cell r="L2441"><v>43302</v></cell><cell r="M2441" t="str"><v>Tier 0</v></cell><cell r="N2441" t="str"><v>North America</v></cell><cell r="O2441" t="str"><v>United States</v></cell><cell r="P2441" t="str"><v>Trial</v></cell><cell r="Q2441" t="str"><v>Social</v></cell><cell r="R2441" t="str"><v>Azure</v></cell><cell r="S2441" t="str"><v>Apps & Infra</v></cell><cell r="T2441" t="str"><v>Developers & ITI's</v></cell><cell r="U2441" t="str"><v>USA-Trial-ITD-Trial PayGo Lookalike-AZR-AZR</v></cell><cell r="V2441" t="str"><v>Lookalike Targeting</v></cell><cell r="W2441" t="str"><v>Canvas Ad</v></cell><cell r="X2441" t="str"><v>1x1</v></cell></row><row r="2441"><cell r="AA2441"><v>43298</v></cell><cell r="AB2441" t="str"><v>USA_gaPMG_AZR_AZR_Q1_19_Direct-Social</v></cell><cell r="AC2441"><v>21358715</v></cell><cell r="AD2441"><v>720197</v></cell><cell r="AE2441" t="str"><v>Facebook - Instagram</v></cell><cell r="AF2441"><v>3654128</v></cell><cell r="AG2441" t="str"><v>INSTAGRAM»USA-Trial-ITD-Trial PayGo Lookalike-AZR-AZR»1 x 1»SocialBan»CAN»ALL»CPA»LAL»X»NA»SS»NA»IGCTCBenefit2inMotion»PRC2FZ</v></cell><cell r="AH2441"><v>223933075</v></cell><cell r="AI2441" t="str"><v>AzurePlatform_IGCTCBrandinMotion_USA_10s_CAN_PLATFORM_English_Trial_Standard_STAN_TIN_T2_2</v></cell><cell r="AJ2441"><v>103050786</v></cell></row><row r="2442"><cell r="C2442" t="str"><v>43298INSTAGRAM»USA-Trial-ITD-Interest Prospecting-AZR-AZR»1 x 1»SocialBan»CAN»ALL»CPA»PRO»X»NA»SS»NA»IGCTCBenefitinMotion»PRC2PC</v></cell><cell r="D2442" t="str"><v>43298224104878</v></cell><cell r="E2442" t="str"><v>43298103050780PRC2PC</v></cell><cell r="F2442" t="str"><v>DCM</v></cell><cell r="G2442" t="str"><v>https://signup.azure.com/?OCID=AID%eexcid!_OLA_%ebuy!_%epid!_%ecid!</v></cell></row><row r="2442"><cell r="K2442" t="str"><v>July</v></cell><cell r="L2442"><v>43302</v></cell><cell r="M2442" t="str"><v>Tier 0</v></cell><cell r="N2442" t="str"><v>North America</v></cell><cell r="O2442" t="str"><v>United States</v></cell><cell r="P2442" t="str"><v>Trial</v></cell><cell r="Q2442" t="str"><v>Social</v></cell><cell r="R2442" t="str"><v>Azure</v></cell><cell r="S2442" t="str"><v>Apps & Infra</v></cell><cell r="T2442" t="str"><v>Developers & ITI's</v></cell><cell r="U2442" t="str"><v>USA-Trial-ITD-Interest Prospecting-AZR-AZR</v></cell><cell r="V2442" t="str"><v>Prospecting</v></cell><cell r="W2442" t="str"><v>Canvas Ad</v></cell><cell r="X2442" t="str"><v>1x1</v></cell></row><row r="2442"><cell r="AA2442"><v>43298</v></cell><cell r="AB2442" t="str"><v>USA_gaPMG_AZR_AZR_Q1_19_Direct-Social</v></cell><cell r="AC2442"><v>21358715</v></cell><cell r="AD2442"><v>720197</v></cell><cell r="AE2442" t="str"><v>Facebook - Instagram</v></cell><cell r="AF2442"><v>3654128</v></cell><cell r="AG2442" t="str"><v>INSTAGRAM»USA-Trial-ITD-Interest Prospecting-AZR-AZR»1 x 1»SocialBan»CAN»ALL»CPA»PRO»X»NA»SS»NA»IGCTCBenefitinMotion»PRC2PC</v></cell><cell r="AH2442"><v>224104878</v></cell><cell r="AI2442" t="str"><v>AzurePlatform_IGCTCBenefitinMotion_USA_10s_CAN_PLATFORM_English_Trial_Standard_STAN_TIN_T3_1</v></cell><cell r="AJ2442"><v>103050780</v></cell></row><row r="2443"><cell r="C2443" t="str"><v>43298INSTAGRAM»USA-Trial-ITD-Trial Lookalike-AZR-AZR»1 x 1»SocialBan»CAN»ALL»CPA»LAL»X»NA»SS»NA»IGCTCBasicMotion»PRC0C2</v></cell><cell r="D2443" t="str"><v>43298224107017</v></cell><cell r="E2443" t="str"><v>43298103037968PRC0C2</v></cell><cell r="F2443" t="str"><v>DCM</v></cell><cell r="G2443" t="str"><v>https://signup.azure.com/?OCID=AID%eexcid!_OLA_%ebuy!_%epid!_%ecid!</v></cell></row><row r="2443"><cell r="K2443" t="str"><v>July</v></cell><cell r="L2443"><v>43302</v></cell><cell r="M2443" t="str"><v>Tier 0</v></cell><cell r="N2443" t="str"><v>North America</v></cell><cell r="O2443" t="str"><v>United States</v></cell><cell r="P2443" t="str"><v>Trial</v></cell><cell r="Q2443" t="str"><v>Social</v></cell><cell r="R2443" t="str"><v>Azure</v></cell><cell r="S2443" t="str"><v>Apps & Infra</v></cell><cell r="T2443" t="str"><v>Developers & ITI's</v></cell><cell r="U2443" t="str"><v>USA-Trial-ITD-Trial Lookalike-AZR-AZR</v></cell><cell r="V2443" t="str"><v>Lookalike Targeting</v></cell><cell r="W2443" t="str"><v>Canvas Ad</v></cell><cell r="X2443" t="str"><v>1x1</v></cell></row><row r="2443"><cell r="AA2443"><v>43298</v></cell><cell r="AB2443" t="str"><v>USA_gaPMG_AZR_AZR_Q1_19_Direct-Social</v></cell><cell r="AC2443"><v>21358715</v></cell><cell r="AD2443"><v>720197</v></cell><cell r="AE2443" t="str"><v>Facebook - Instagram</v></cell><cell r="AF2443"><v>3654128</v></cell><cell r="AG2443" t="str"><v>INSTAGRAM»USA-Trial-ITD-Trial Lookalike-AZR-AZR»1 x 1»SocialBan»CAN»ALL»CPA»LAL»X»NA»SS»NA»IGCTCBasicMotion»PRC0C2</v></cell><cell r="AH2443"><v>224107017</v></cell><cell r="AI2443" t="str"><v>AzurePlatform_IGCTCBasicMotion_USA_10s_CAN_PLATFORM_English_Trial_Standard_STAN_TIN_T1_1</v></cell><cell r="AJ2443"><v>103037968</v></cell></row><row r="2444"><cell r="C2444" t="str"><v>43298INSTAGRAM»USA-Trial-ITD-Trial Lookalike-AZR-AZR»1 x 1»SocialBan»CAN»ALL»CPA»LAL»X»NA»SS»NA»IGCTCBasicMotion»PRC0C2</v></cell><cell r="D2444" t="str"><v>43298224107017</v></cell><cell r="E2444" t="str"><v>43298103037974PRC0C2</v></cell><cell r="F2444" t="str"><v>DCM</v></cell><cell r="G2444" t="str"><v>https://azure.microsoft.com/en-us/pricing/purchase-options/?v=18.19&OCID=AID%eexcid!_OLA_%ebuy!_%epid!_%ecid!</v></cell></row><row r="2444"><cell r="K2444" t="str"><v>July</v></cell><cell r="L2444"><v>43302</v></cell><cell r="M2444" t="str"><v>Tier 0</v></cell><cell r="N2444" t="str"><v>North America</v></cell><cell r="O2444" t="str"><v>United States</v></cell><cell r="P2444" t="str"><v>Trial</v></cell><cell r="Q2444" t="str"><v>Social</v></cell><cell r="R2444" t="str"><v>Azure</v></cell><cell r="S2444" t="str"><v>Apps & Infra</v></cell><cell r="T2444" t="str"><v>Developers & ITI's</v></cell><cell r="U2444" t="str"><v>USA-Trial-ITD-Trial Lookalike-AZR-AZR</v></cell><cell r="V2444" t="str"><v>Lookalike Targeting</v></cell><cell r="W2444" t="str"><v>Canvas Ad</v></cell><cell r="X2444" t="str"><v>1x1</v></cell></row><row r="2444"><cell r="AA2444"><v>43298</v></cell><cell r="AB2444" t="str"><v>USA_gaPMG_AZR_AZR_Q1_19_Direct-Social</v></cell><cell r="AC2444"><v>21358715</v></cell><cell r="AD2444"><v>720197</v></cell><cell r="AE2444" t="str"><v>Facebook - Instagram</v></cell><cell r="AF2444"><v>3654128</v></cell><cell r="AG2444" t="str"><v>INSTAGRAM»USA-Trial-ITD-Trial Lookalike-AZR-AZR»1 x 1»SocialBan»CAN»ALL»CPA»LAL»X»NA»SS»NA»IGCTCBasicMotion»PRC0C2</v></cell><cell r="AH2444"><v>224107017</v></cell><cell r="AI2444" t="str"><v>AzurePlatform_IGCTCBasicMotion_USA_10s_CAN_PLATFORM_English_Trial_Standard_STAN_TIN_T1_2</v></cell><cell r="AJ2444"><v>103037974</v></cell></row><row r="2445"><cell r="C2445" t="str"><v>43298INSTAGRAM»USA-Trial-ITD-Trial Lookalike-AZR-AZR»1 x 1»SocialBan»CAN»ALL»CPA»LAL»X»NA»SS»NA»IGCTCBenefitinMotion»PRC2FK</v></cell><cell r="D2445" t="str"><v>43298224107542</v></cell><cell r="E2445" t="str"><v>43298103050780PRC2FK</v></cell><cell r="F2445" t="str"><v>DCM</v></cell><cell r="G2445" t="str"><v>https://signup.azure.com/?OCID=AID%eexcid!_OLA_%ebuy!_%epid!_%ecid!</v></cell></row><row r="2445"><cell r="K2445" t="str"><v>July</v></cell><cell r="L2445"><v>43302</v></cell><cell r="M2445" t="str"><v>Tier 0</v></cell><cell r="N2445" t="str"><v>North America</v></cell><cell r="O2445" t="str"><v>United States</v></cell><cell r="P2445" t="str"><v>Trial</v></cell><cell r="Q2445" t="str"><v>Social</v></cell><cell r="R2445" t="str"><v>Azure</v></cell><cell r="S2445" t="str"><v>Apps & Infra</v></cell><cell r="T2445" t="str"><v>Developers & ITI's</v></cell><cell r="U2445" t="str"><v>USA-Trial-ITD-Trial Lookalike-AZR-AZR</v></cell><cell r="V2445" t="str"><v>Lookalike Targeting</v></cell><cell r="W2445" t="str"><v>Canvas Ad</v></cell><cell r="X2445" t="str"><v>1x1</v></cell></row><row r="2445"><cell r="AA2445"><v>43298</v></cell><cell r="AB2445" t="str"><v>USA_gaPMG_AZR_AZR_Q1_19_Direct-Social</v></cell><cell r="AC2445"><v>21358715</v></cell><cell r="AD2445"><v>720197</v></cell><cell r="AE2445" t="str"><v>Facebook - Instagram</v></cell><cell r="AF2445"><v>3654128</v></cell><cell r="AG2445" t="str"><v>INSTAGRAM»USA-Trial-ITD-Trial Lookalike-AZR-AZR»1 x 1»SocialBan»CAN»ALL»CPA»LAL»X»NA»SS»NA»IGCTCBenefitinMotion»PRC2FK</v></cell><cell r="AH2445"><v>224107542</v></cell><cell r="AI2445" t="str"><v>AzurePlatform_IGCTCBenefitinMotion_USA_10s_CAN_PLATFORM_English_Trial_Standard_STAN_TIN_T3_1</v></cell><cell r="AJ2445"><v>103050780</v></cell></row><row r="2446"><cell r="C2446" t="str"><v>43298INSTAGRAM»USA-Trial-ITD-Trial PayGo Lookalike-AZR-AZR»1 x 1»SocialBan»CAN»ALL»CPA»LAL»X»NA»SS»NA»IGCTCBasicMotion»PRC2G0</v></cell><cell r="D2446" t="str"><v>43298224106891</v></cell><cell r="E2446" t="str"><v>43298103037968PRC2G0</v></cell><cell r="F2446" t="str"><v>DCM</v></cell><cell r="G2446" t="str"><v>https://signup.azure.com/?OCID=AID%eexcid!_OLA_%ebuy!_%epid!_%ecid!</v></cell></row><row r="2446"><cell r="K2446" t="str"><v>July</v></cell><cell r="L2446"><v>43302</v></cell><cell r="M2446" t="str"><v>Tier 0</v></cell><cell r="N2446" t="str"><v>North America</v></cell><cell r="O2446" t="str"><v>United States</v></cell><cell r="P2446" t="str"><v>Trial</v></cell><cell r="Q2446" t="str"><v>Social</v></cell><cell r="R2446" t="str"><v>Azure</v></cell><cell r="S2446" t="str"><v>Apps & Infra</v></cell><cell r="T2446" t="str"><v>Developers & ITI's</v></cell><cell r="U2446" t="str"><v>USA-Trial-ITD-Trial PayGo Lookalike-AZR-AZR</v></cell><cell r="V2446" t="str"><v>Lookalike Targeting</v></cell><cell r="W2446" t="str"><v>Canvas Ad</v></cell><cell r="X2446" t="str"><v>1x1</v></cell></row><row r="2446"><cell r="AA2446"><v>43298</v></cell><cell r="AB2446" t="str"><v>USA_gaPMG_AZR_AZR_Q1_19_Direct-Social</v></cell><cell r="AC2446"><v>21358715</v></cell><cell r="AD2446"><v>720197</v></cell><cell r="AE2446" t="str"><v>Facebook - Instagram</v></cell><cell r="AF2446"><v>3654128</v></cell><cell r="AG2446" t="str"><v>INSTAGRAM»USA-Trial-ITD-Trial PayGo Lookalike-AZR-AZR»1 x 1»SocialBan»CAN»ALL»CPA»LAL»X»NA»SS»NA»IGCTCBasicMotion»PRC2G0</v></cell><cell r="AH2446"><v>224106891</v></cell><cell r="AI2446" t="str"><v>AzurePlatform_IGCTCBasicMotion_USA_10s_CAN_PLATFORM_English_Trial_Standard_STAN_TIN_T1_1</v></cell><cell r="AJ2446"><v>103037968</v></cell></row><row r="2447"><cell r="C2447" t="str"><v>43298INSTAGRAM»USA-Trial-ITD-Trial PayGo Lookalike-AZR-AZR»1 x 1»SocialBan»CAN»ALL»CPA»LAL»X»NA»SS»NA»IGCTCBasicMotion»PRC2G0</v></cell><cell r="D2447" t="str"><v>43298224106891</v></cell><cell r="E2447" t="str"><v>43298103037974PRC2G0</v></cell><cell r="F2447" t="str"><v>DCM</v></cell><cell r="G2447" t="str"><v>https://azure.microsoft.com/en-us/pricing/purchase-options/?v=18.19&OCID=AID%eexcid!_OLA_%ebuy!_%epid!_%ecid!</v></cell></row><row r="2447"><cell r="K2447" t="str"><v>July</v></cell><cell r="L2447"><v>43302</v></cell><cell r="M2447" t="str"><v>Tier 0</v></cell><cell r="N2447" t="str"><v>North America</v></cell><cell r="O2447" t="str"><v>United States</v></cell><cell r="P2447" t="str"><v>Trial</v></cell><cell r="Q2447" t="str"><v>Social</v></cell><cell r="R2447" t="str"><v>Azure</v></cell><cell r="S2447" t="str"><v>Apps & Infra</v></cell><cell r="T2447" t="str"><v>Developers & ITI's</v></cell><cell r="U2447" t="str"><v>USA-Trial-ITD-Trial PayGo Lookalike-AZR-AZR</v></cell><cell r="V2447" t="str"><v>Lookalike Targeting</v></cell><cell r="W2447" t="str"><v>Canvas Ad</v></cell><cell r="X2447" t="str"><v>1x1</v></cell></row><row r="2447"><cell r="AA2447"><v>43298</v></cell><cell r="AB2447" t="str"><v>USA_gaPMG_AZR_AZR_Q1_19_Direct-Social</v></cell><cell r="AC2447"><v>21358715</v></cell><cell r="AD2447"><v>720197</v></cell><cell r="AE2447" t="str"><v>Facebook - Instagram</v></cell><cell r="AF2447"><v>3654128</v></cell><cell r="AG2447" t="str"><v>INSTAGRAM»USA-Trial-ITD-Trial PayGo Lookalike-AZR-AZR»1 x 1»SocialBan»CAN»ALL»CPA»LAL»X»NA»SS»NA»IGCTCBasicMotion»PRC2G0</v></cell><cell r="AH2447"><v>224106891</v></cell><cell r="AI2447" t="str"><v>AzurePlatform_IGCTCBasicMotion_USA_10s_CAN_PLATFORM_English_Trial_Standard_STAN_TIN_T1_2</v></cell><cell r="AJ2447"><v>103037974</v></cell></row><row r="2448"><cell r="C2448" t="str"><v>43298INSTAGRAM»USA-Trial-ITD-Trial PayGo Lookalike-AZR-AZR»1 x 1»SocialBan»CAN»ALL»CPA»LAL»X»NA»SS»NA»IGCTCBenefitinMotion»PRC2FX</v></cell><cell r="D2448" t="str"><v>43298223933999</v></cell><cell r="E2448" t="str"><v>43298103050780PRC2FX</v></cell><cell r="F2448" t="str"><v>DCM</v></cell><cell r="G2448" t="str"><v>https://signup.azure.com/?OCID=AID%eexcid!_OLA_%ebuy!_%epid!_%ecid!</v></cell></row><row r="2448"><cell r="K2448" t="str"><v>July</v></cell><cell r="L2448"><v>43302</v></cell><cell r="M2448" t="str"><v>Tier 0</v></cell><cell r="N2448" t="str"><v>North America</v></cell><cell r="O2448" t="str"><v>United States</v></cell><cell r="P2448" t="str"><v>Trial</v></cell><cell r="Q2448" t="str"><v>Social</v></cell><cell r="R2448" t="str"><v>Azure</v></cell><cell r="S2448" t="str"><v>Apps & Infra</v></cell><cell r="T2448" t="str"><v>Developers & ITI's</v></cell><cell r="U2448" t="str"><v>USA-Trial-ITD-Trial PayGo Lookalike-AZR-AZR</v></cell><cell r="V2448" t="str"><v>Lookalike Targeting</v></cell><cell r="W2448" t="str"><v>Canvas Ad</v></cell><cell r="X2448" t="str"><v>1x1</v></cell></row><row r="2448"><cell r="AA2448"><v>43298</v></cell><cell r="AB2448" t="str"><v>USA_gaPMG_AZR_AZR_Q1_19_Direct-Social</v></cell><cell r="AC2448"><v>21358715</v></cell><cell r="AD2448"><v>720197</v></cell><cell r="AE2448" t="str"><v>Facebook - Instagram</v></cell><cell r="AF2448"><v>3654128</v></cell><cell r="AG2448" t="str"><v>INSTAGRAM»USA-Trial-ITD-Trial PayGo Lookalike-AZR-AZR»1 x 1»SocialBan»CAN»ALL»CPA»LAL»X»NA»SS»NA»IGCTCBenefitinMotion»PRC2FX</v></cell><cell r="AH2448"><v>223933999</v></cell><cell r="AI2448" t="str"><v>AzurePlatform_IGCTCBenefitinMotion_USA_10s_CAN_PLATFORM_English_Trial_Standard_STAN_TIN_T3_1</v></cell><cell r="AJ2448"><v>103050780</v></cell></row><row r="2449"><cell r="C2449" t="str"><v>43299Facebook»Audience & Interest Targeting»1x1»Canvas»OTH»DT»DYN»AUT»W»NA»SS»NA»FBCTCcanvaspage-StartFreeCTA_FBCTCcanvaspage-BuyNowCTA</v></cell><cell r="D2449" t="str"><v>43299224639151</v></cell><cell r="E2449" t="str"><v>43299103316832NowCTA</v></cell><cell r="F2449" t="str"><v>DCM</v></cell><cell r="G2449" t="str"><v>https://azure.microsoft.com/en-au/pricing/purchase-options/</v></cell></row><row r="2449"><cell r="K2449" t="str"><v>July</v></cell><cell r="L2449"><v>43302</v></cell><cell r="M2449" t="str"><v>Tier 1</v></cell><cell r="N2449" t="str"><v>APAC</v></cell><cell r="O2449" t="str"><v>Australia</v></cell><cell r="P2449" t="str"><v>Trial</v></cell><cell r="Q2449" t="str"><v>Social</v></cell><cell r="R2449" t="str"><v>Azure</v></cell><cell r="S2449" t="str"><v>Apps & Infra</v></cell><cell r="T2449" t="str"><v>Developers & ITI's</v></cell><cell r="U2449" t="str"><v>Audience & Interest Targeting</v></cell><cell r="V2449" t="str"><v>Audience Targeting</v></cell><cell r="W2449" t="str"><v>Other</v></cell><cell r="X2449" t="str"><v>1x1</v></cell></row><row r="2449"><cell r="AA2449"><v>43299</v></cell><cell r="AB2449" t="str"><v>AUS_gaPMG_AZR_AZR_Q1_19_Trial-Social</v></cell><cell r="AC2449"><v>21358568</v></cell><cell r="AD2449"><v>720191</v></cell><cell r="AE2449" t="str"><v>Facebook</v></cell><cell r="AF2449"><v>3654128</v></cell><cell r="AG2449" t="str"><v>Facebook»Audience & Interest Targeting»1x1»Canvas»OTH»DT»DYN»AUT»W»NA»SS»NA»FBCTCcanvaspage-StartFreeCTA_FBCTCcanvaspage-BuyNowCTA</v></cell><cell r="AH2449"><v>224639151</v></cell><cell r="AI2449" t="str"><v>AzurePlatform_FBCTCcanvaspage-BuyNowCTA-Img3_AUS_1080x162_SOC_Plat_English_NA_Standard_NA_BN_T3_1</v></cell><cell r="AJ2449"><v>103316832</v></cell></row><row r="2450"><cell r="C2450" t="str"><v>43299Facebook»Audience & Interest Targeting»1x1»Canvas»OTH»DT»DYN»AUT»W»NA»SS»NA»FBCTCcanvaspage-StartFreeCTA_FBCTCcanvaspage-BuyNowCTA</v></cell><cell r="D2450" t="str"><v>43299224639151</v></cell><cell r="E2450" t="str"><v>43299103316829NowCTA</v></cell><cell r="F2450" t="str"><v>DCM</v></cell><cell r="G2450" t="str"><v>https://signup.azure.com/signup?offer=ms-azr-0044p&appId=102&ref=paidmedia-social-fb&redirectURL=https%3a%2f%2fazure.microsoft.com%2fen-au%2fget-started%2fwelcome-to-azure%2f&l=en-au&correlationId=ead86c34-1f10-49dd-a72b-6918462a2cbf</v></cell></row><row r="2450"><cell r="K2450" t="str"><v>July</v></cell><cell r="L2450"><v>43302</v></cell><cell r="M2450" t="str"><v>Tier 1</v></cell><cell r="N2450" t="str"><v>APAC</v></cell><cell r="O2450" t="str"><v>Australia</v></cell><cell r="P2450" t="str"><v>Trial</v></cell><cell r="Q2450" t="str"><v>Social</v></cell><cell r="R2450" t="str"><v>Azure</v></cell><cell r="S2450" t="str"><v>Apps & Infra</v></cell><cell r="T2450" t="str"><v>Developers & ITI's</v></cell><cell r="U2450" t="str"><v>Audience & Interest Targeting</v></cell><cell r="V2450" t="str"><v>Audience Targeting</v></cell><cell r="W2450" t="str"><v>Other</v></cell><cell r="X2450" t="str"><v>1x1</v></cell></row><row r="2450"><cell r="AA2450"><v>43299</v></cell><cell r="AB2450" t="str"><v>AUS_gaPMG_AZR_AZR_Q1_19_Trial-Social</v></cell><cell r="AC2450"><v>21358568</v></cell><cell r="AD2450"><v>720191</v></cell><cell r="AE2450" t="str"><v>Facebook</v></cell><cell r="AF2450"><v>3654128</v></cell><cell r="AG2450" t="str"><v>Facebook»Audience & Interest Targeting»1x1»Canvas»OTH»DT»DYN»AUT»W»NA»SS»NA»FBCTCcanvaspage-StartFreeCTA_FBCTCcanvaspage-BuyNowCTA</v></cell><cell r="AH2450"><v>224639151</v></cell><cell r="AI2450" t="str"><v>AzurePlatform_FBCTCcanvaspage-StartFreeCTA-Img2_AUS_1080x143 _SOC_Plat_English_NA_Standard_NA_NA_T2_1</v></cell><cell r="AJ2450"><v>103316829</v></cell></row><row r="2451"><cell r="C2451" t="str"><v>43299Facebook»Audience & Interest Targeting»1x1»TextLink»OTH»DT»DYN»AUT»W»NA»SS»NA»Free Account Refresh- 12 months ChE</v></cell><cell r="D2451" t="str"><v>43299224160783</v></cell><cell r="E2451" t="str"><v>43299103051614hs ChE</v></cell><cell r="F2451" t="str"><v>DCM</v></cell></row><row r="2451"><cell r="K2451" t="str"><v>July</v></cell><cell r="L2451"><v>43302</v></cell><cell r="M2451" t="str"><v>Tier 1</v></cell><cell r="N2451" t="str"><v>APAC</v></cell><cell r="O2451" t="str"><v>Australia</v></cell><cell r="P2451" t="str"><v>Trial</v></cell><cell r="Q2451" t="str"><v>Social</v></cell><cell r="R2451" t="str"><v>Azure</v></cell><cell r="S2451" t="str"><v>Apps & Infra</v></cell><cell r="T2451" t="str"><v>Developers & ITI's</v></cell><cell r="U2451" t="str"><v>Audience & Interest Targeting</v></cell><cell r="V2451" t="str"><v>Audience Targeting</v></cell><cell r="W2451" t="str"><v>Other</v></cell><cell r="X2451" t="str"><v>1x1</v></cell></row><row r="2451"><cell r="AA2451"><v>43299</v></cell><cell r="AB2451" t="str"><v>AUS_gaPMG_AZR_AZR_Q1_19_Trial-Social</v></cell><cell r="AC2451"><v>21358568</v></cell><cell r="AD2451"><v>720191</v></cell><cell r="AE2451" t="str"><v>Facebook</v></cell><cell r="AF2451"><v>3654128</v></cell><cell r="AG2451" t="str"><v>Facebook»Audience & Interest Targeting»1x1»TextLink»OTH»DT»DYN»AUT»W»NA»SS»NA»Free Account Refresh- 12 months ChE</v></cell><cell r="AH2451"><v>224160783</v></cell><cell r="AI2451" t="str"><v>AzurePlatform_FreeAcctAppsFACEBOOK12monthsChE_AUS_1200x628_SOC_PLAT_EN_Trial_Standard_NA_SNU_T5_1</v></cell><cell r="AJ2451"><v>103051614</v></cell></row><row r="2452"><cell r="C2452" t="str"><v>43299Facebook»Audience & Interest Targeting»1x1»TextLink»OTH»DT»DYN»AUT»W»NA»SS»NA»Free Account Refresh- 200 Credit ChD</v></cell><cell r="D2452" t="str"><v>43299224160780</v></cell><cell r="E2452" t="str"><v>43299103186904it ChD</v></cell><cell r="F2452" t="str"><v>DCM</v></cell></row><row r="2452"><cell r="K2452" t="str"><v>July</v></cell><cell r="L2452"><v>43302</v></cell><cell r="M2452" t="str"><v>Tier 1</v></cell><cell r="N2452" t="str"><v>APAC</v></cell><cell r="O2452" t="str"><v>Australia</v></cell><cell r="P2452" t="str"><v>Trial</v></cell><cell r="Q2452" t="str"><v>Social</v></cell><cell r="R2452" t="str"><v>Azure</v></cell><cell r="S2452" t="str"><v>Apps & Infra</v></cell><cell r="T2452" t="str"><v>Developers & ITI's</v></cell><cell r="U2452" t="str"><v>Audience & Interest Targeting</v></cell><cell r="V2452" t="str"><v>Audience Targeting</v></cell><cell r="W2452" t="str"><v>Other</v></cell><cell r="X2452" t="str"><v>1x1</v></cell></row><row r="2452"><cell r="AA2452"><v>43299</v></cell><cell r="AB2452" t="str"><v>AUS_gaPMG_AZR_AZR_Q1_19_Trial-Social</v></cell><cell r="AC2452"><v>21358568</v></cell><cell r="AD2452"><v>720191</v></cell><cell r="AE2452" t="str"><v>Facebook</v></cell><cell r="AF2452"><v>3654128</v></cell><cell r="AG2452" t="str"><v>Facebook»Audience & Interest Targeting»1x1»TextLink»OTH»DT»DYN»AUT»W»NA»SS»NA»Free Account Refresh- 200 Credit ChD</v></cell><cell r="AH2452"><v>224160780</v></cell><cell r="AI2452" t="str"><v>AzurePlatform_FreeAcctAppsFACEBOOK200CreditChD_AUS_1200x628_SOC_PLAT_EN_Trial_Standard_NA_SNU_T4_1</v></cell><cell r="AJ2452"><v>103186904</v></cell></row><row r="2453"><cell r="C2453" t="str"><v>43299Facebook»Audience & Interest Targeting»1x1»TextLink»OTH»DT»DYN»AUT»W»NA»SS»NA»Free Account Refresh- Device ChB</v></cell><cell r="D2453" t="str"><v>43299224160777</v></cell><cell r="E2453" t="str"><v>43299103048479ce ChB</v></cell><cell r="F2453" t="str"><v>DCM</v></cell></row><row r="2453"><cell r="K2453" t="str"><v>July</v></cell><cell r="L2453"><v>43302</v></cell><cell r="M2453" t="str"><v>Tier 1</v></cell><cell r="N2453" t="str"><v>APAC</v></cell><cell r="O2453" t="str"><v>Australia</v></cell><cell r="P2453" t="str"><v>Trial</v></cell><cell r="Q2453" t="str"><v>Social</v></cell><cell r="R2453" t="str"><v>Azure</v></cell><cell r="S2453" t="str"><v>Apps & Infra</v></cell><cell r="T2453" t="str"><v>Developers & ITI's</v></cell><cell r="U2453" t="str"><v>Audience & Interest Targeting</v></cell><cell r="V2453" t="str"><v>Audience Targeting</v></cell><cell r="W2453" t="str"><v>Other</v></cell><cell r="X2453" t="str"><v>1x1</v></cell></row><row r="2453"><cell r="AA2453"><v>43299</v></cell><cell r="AB2453" t="str"><v>AUS_gaPMG_AZR_AZR_Q1_19_Trial-Social</v></cell><cell r="AC2453"><v>21358568</v></cell><cell r="AD2453"><v>720191</v></cell><cell r="AE2453" t="str"><v>Facebook</v></cell><cell r="AF2453"><v>3654128</v></cell><cell r="AG2453" t="str"><v>Facebook»Audience & Interest Targeting»1x1»TextLink»OTH»DT»DYN»AUT»W»NA»SS»NA»Free Account Refresh- Device ChB</v></cell><cell r="AH2453"><v>224160777</v></cell><cell r="AI2453" t="str"><v>AzurePlatform_FreeAcctAppsFACEBOOKDeviceChB_AUS_1200x628_SOC_PLAT_EN_Trial_Standard_NA_SNU_T2_1</v></cell><cell r="AJ2453"><v>103048479</v></cell></row><row r="2454"><cell r="C2454" t="str"><v>43299Facebook»Audience & Interest Targeting»1x1»TextLink»OTH»DT»DYN»AUT»W»NA»SS»NA»Free Account Refresh- Illustration ChC</v></cell><cell r="D2454" t="str"><v>43299224160774</v></cell><cell r="E2454" t="str"><v>43299103186910on ChC</v></cell><cell r="F2454" t="str"><v>DCM</v></cell></row><row r="2454"><cell r="K2454" t="str"><v>July</v></cell><cell r="L2454"><v>43302</v></cell><cell r="M2454" t="str"><v>Tier 1</v></cell><cell r="N2454" t="str"><v>APAC</v></cell><cell r="O2454" t="str"><v>Australia</v></cell><cell r="P2454" t="str"><v>Trial</v></cell><cell r="Q2454" t="str"><v>Social</v></cell><cell r="R2454" t="str"><v>Azure</v></cell><cell r="S2454" t="str"><v>Apps & Infra</v></cell><cell r="T2454" t="str"><v>Developers & ITI's</v></cell><cell r="U2454" t="str"><v>Audience & Interest Targeting</v></cell><cell r="V2454" t="str"><v>Audience Targeting</v></cell><cell r="W2454" t="str"><v>Other</v></cell><cell r="X2454" t="str"><v>1x1</v></cell></row><row r="2454"><cell r="AA2454"><v>43299</v></cell><cell r="AB2454" t="str"><v>AUS_gaPMG_AZR_AZR_Q1_19_Trial-Social</v></cell><cell r="AC2454"><v>21358568</v></cell><cell r="AD2454"><v>720191</v></cell><cell r="AE2454" t="str"><v>Facebook</v></cell><cell r="AF2454"><v>3654128</v></cell><cell r="AG2454" t="str"><v>Facebook»Audience & Interest Targeting»1x1»TextLink»OTH»DT»DYN»AUT»W»NA»SS»NA»Free Account Refresh- Illustration ChC</v></cell><cell r="AH2454"><v>224160774</v></cell><cell r="AI2454" t="str"><v>AzurePlatform_FreeAcctAppsFACEBOOKIllustrationChC_AUS_1200x628_SOC_PLAT_EN_Trial_Standard_NA_SNU_T3_1</v></cell><cell r="AJ2454"><v>103186910</v></cell></row><row r="2455"><cell r="C2455" t="str"><v>43299Facebook»Audience & Interest Targeting»1x1»TextLink»OTH»DT»DYN»AUT»W»NA»SS»NA»Free Account Refresh- Lifestyle ChA</v></cell><cell r="D2455" t="str"><v>43299224160771</v></cell><cell r="E2455" t="str"><v>43299103048488le ChA</v></cell><cell r="F2455" t="str"><v>DCM</v></cell></row><row r="2455"><cell r="K2455" t="str"><v>July</v></cell><cell r="L2455"><v>43302</v></cell><cell r="M2455" t="str"><v>Tier 1</v></cell><cell r="N2455" t="str"><v>APAC</v></cell><cell r="O2455" t="str"><v>Australia</v></cell><cell r="P2455" t="str"><v>Trial</v></cell><cell r="Q2455" t="str"><v>Social</v></cell><cell r="R2455" t="str"><v>Azure</v></cell><cell r="S2455" t="str"><v>Apps & Infra</v></cell><cell r="T2455" t="str"><v>Developers & ITI's</v></cell><cell r="U2455" t="str"><v>Audience & Interest Targeting</v></cell><cell r="V2455" t="str"><v>Audience Targeting</v></cell><cell r="W2455" t="str"><v>Other</v></cell><cell r="X2455" t="str"><v>1x1</v></cell></row><row r="2455"><cell r="AA2455"><v>43299</v></cell><cell r="AB2455" t="str"><v>AUS_gaPMG_AZR_AZR_Q1_19_Trial-Social</v></cell><cell r="AC2455"><v>21358568</v></cell><cell r="AD2455"><v>720191</v></cell><cell r="AE2455" t="str"><v>Facebook</v></cell><cell r="AF2455"><v>3654128</v></cell><cell r="AG2455" t="str"><v>Facebook»Audience & Interest Targeting»1x1»TextLink»OTH»DT»DYN»AUT»W»NA»SS»NA»Free Account Refresh- Lifestyle ChA</v></cell><cell r="AH2455"><v>224160771</v></cell><cell r="AI2455" t="str"><v>AzurePlatform_FreeAcctAppsFACEBOOKLifestyleChA_AUS_1200x628_SOC_PLAT_EN_Trial_Standard_NA_SNU_T1_1</v></cell><cell r="AJ2455"><v>103048488</v></cell></row><row r="2456"><cell r="C2456" t="str"><v>43299Facebook»AZR»1x1»NA»EGV»ALL»DYN»AUT»D»All»SS»NA»Free Acc CTC - T1 - FR</v></cell><cell r="D2456" t="str"><v>43299223691801</v></cell><cell r="E2456" t="str"><v>432991030533231 - FR</v></cell><cell r="F2456" t="str"><v>DCM</v></cell><cell r="G2456" t="str"><v>https://signup.azure.com/</v></cell></row><row r="2456"><cell r="K2456" t="str"><v>July</v></cell><cell r="L2456"><v>43302</v></cell><cell r="M2456" t="str"><v>Tier 1</v></cell><cell r="N2456" t="str"><v>North America</v></cell><cell r="O2456" t="str"><v>Canada</v></cell><cell r="P2456" t="str"><v>Trial</v></cell><cell r="Q2456" t="str"><v>Social</v></cell><cell r="R2456" t="str"><v>Azure</v></cell><cell r="S2456" t="str"><v>Apps & Infra</v></cell><cell r="T2456" t="str"><v>Developers & ITI's</v></cell><cell r="U2456" t="str"><v>AZR</v></cell><cell r="V2456" t="str"><v>Audience Targeting</v></cell><cell r="W2456" t="str"><v>Engagement Video</v></cell><cell r="X2456" t="str"><v>1x1</v></cell></row><row r="2456"><cell r="AA2456"><v>43299</v></cell><cell r="AB2456" t="str"><v>CAN_gaPMG_AZR_AZR_Q1_19_Trial-Social</v></cell><cell r="AC2456"><v>21337220</v></cell><cell r="AD2456"><v>720192</v></cell><cell r="AE2456" t="str"><v>Facebook</v></cell><cell r="AF2456"><v>3654128</v></cell><cell r="AG2456" t="str"><v>Facebook»AZR»1x1»NA»EGV»ALL»DYN»AUT»D»All»SS»NA»Free Acc CTC - T1 - FR</v></cell><cell r="AH2456"><v>223691801</v></cell><cell r="AI2456" t="str"><v>AzurePlatform_FBCTCBasicMotion_CAN_10s_ISV_PLAT_FR_Trial_Standard_STAN_TN_T1_1</v></cell><cell r="AJ2456"><v>103053323</v></cell></row><row r="2457"><cell r="C2457" t="str"><v>43299Facebook»AZR»1x1»NA»EGV»ALL»DYN»AUT»D»All»SS»NA»Free Acc CTC - T2 - EN</v></cell><cell r="D2457" t="str"><v>43299223691840</v></cell><cell r="E2457" t="str"><v>432991029029502 - EN</v></cell><cell r="F2457" t="str"><v>DCM</v></cell><cell r="G2457" t="str"><v>https://signup.azure.com/</v></cell></row><row r="2457"><cell r="K2457" t="str"><v>July</v></cell><cell r="L2457"><v>43302</v></cell><cell r="M2457" t="str"><v>Tier 1</v></cell><cell r="N2457" t="str"><v>North America</v></cell><cell r="O2457" t="str"><v>Canada</v></cell><cell r="P2457" t="str"><v>Trial</v></cell><cell r="Q2457" t="str"><v>Social</v></cell><cell r="R2457" t="str"><v>Azure</v></cell><cell r="S2457" t="str"><v>Apps & Infra</v></cell><cell r="T2457" t="str"><v>Developers & ITI's</v></cell><cell r="U2457" t="str"><v>AZR</v></cell><cell r="V2457" t="str"><v>Audience Targeting</v></cell><cell r="W2457" t="str"><v>Engagement Video</v></cell><cell r="X2457" t="str"><v>1x1</v></cell></row><row r="2457"><cell r="AA2457"><v>43299</v></cell><cell r="AB2457" t="str"><v>CAN_gaPMG_AZR_AZR_Q1_19_Trial-Social</v></cell><cell r="AC2457"><v>21337220</v></cell><cell r="AD2457"><v>720192</v></cell><cell r="AE2457" t="str"><v>Facebook</v></cell><cell r="AF2457"><v>3654128</v></cell><cell r="AG2457" t="str"><v>Facebook»AZR»1x1»NA»EGV»ALL»DYN»AUT»D»All»SS»NA»Free Acc CTC - T2 - EN</v></cell><cell r="AH2457"><v>223691840</v></cell><cell r="AI2457" t="str"><v>AzurePlatform_FBCTCBrandinMotion_CAN_12s_ISV_PLAT_English_Trial_Standard_STAN_TN_T2_1</v></cell><cell r="AJ2457"><v>102902950</v></cell></row><row r="2458"><cell r="C2458" t="str"><v>43299Facebook»AZR»1x1»NA»EGV»ALL»DYN»AUT»D»All»SS»NA»Free Acc CTC - T2 - FR</v></cell><cell r="D2458" t="str"><v>43299223691798</v></cell><cell r="E2458" t="str"><v>432991029163472 - FR</v></cell><cell r="F2458" t="str"><v>DCM</v></cell><cell r="G2458" t="str"><v>https://signup.azure.com/</v></cell></row><row r="2458"><cell r="K2458" t="str"><v>July</v></cell><cell r="L2458"><v>43302</v></cell><cell r="M2458" t="str"><v>Tier 1</v></cell><cell r="N2458" t="str"><v>North America</v></cell><cell r="O2458" t="str"><v>Canada</v></cell><cell r="P2458" t="str"><v>Trial</v></cell><cell r="Q2458" t="str"><v>Social</v></cell><cell r="R2458" t="str"><v>Azure</v></cell><cell r="S2458" t="str"><v>Apps & Infra</v></cell><cell r="T2458" t="str"><v>Developers & ITI's</v></cell><cell r="U2458" t="str"><v>AZR</v></cell><cell r="V2458" t="str"><v>Audience Targeting</v></cell><cell r="W2458" t="str"><v>Engagement Video</v></cell><cell r="X2458" t="str"><v>1x1</v></cell></row><row r="2458"><cell r="AA2458"><v>43299</v></cell><cell r="AB2458" t="str"><v>CAN_gaPMG_AZR_AZR_Q1_19_Trial-Social</v></cell><cell r="AC2458"><v>21337220</v></cell><cell r="AD2458"><v>720192</v></cell><cell r="AE2458" t="str"><v>Facebook</v></cell><cell r="AF2458"><v>3654128</v></cell><cell r="AG2458" t="str"><v>Facebook»AZR»1x1»NA»EGV»ALL»DYN»AUT»D»All»SS»NA»Free Acc CTC - T2 - FR</v></cell><cell r="AH2458"><v>223691798</v></cell><cell r="AI2458" t="str"><v>AzurePlatform_FBCTCBrandinMotion_CAN_12s_ISV_PLAT_FR_Trial_Standard_STAN_TN_T2_1</v></cell><cell r="AJ2458"><v>102916347</v></cell></row><row r="2459"><cell r="C2459" t="str"><v>43299Facebook»AZR»1x1»NA»EGV»ALL»DYN»AUT»D»All»SS»NA»Free Acc CTC - T4 - EN</v></cell><cell r="D2459" t="str"><v>43299223691837</v></cell><cell r="E2459" t="str"><v>432991030533144 - EN</v></cell><cell r="F2459" t="str"><v>DCM</v></cell><cell r="G2459" t="str"><v>https://signup.azure.com/</v></cell></row><row r="2459"><cell r="K2459" t="str"><v>July</v></cell><cell r="L2459"><v>43302</v></cell><cell r="M2459" t="str"><v>Tier 1</v></cell><cell r="N2459" t="str"><v>North America</v></cell><cell r="O2459" t="str"><v>Canada</v></cell><cell r="P2459" t="str"><v>Trial</v></cell><cell r="Q2459" t="str"><v>Social</v></cell><cell r="R2459" t="str"><v>Azure</v></cell><cell r="S2459" t="str"><v>Apps & Infra</v></cell><cell r="T2459" t="str"><v>Developers & ITI's</v></cell><cell r="U2459" t="str"><v>AZR</v></cell><cell r="V2459" t="str"><v>Audience Targeting</v></cell><cell r="W2459" t="str"><v>Engagement Video</v></cell><cell r="X2459" t="str"><v>1x1</v></cell></row><row r="2459"><cell r="AA2459"><v>43299</v></cell><cell r="AB2459" t="str"><v>CAN_gaPMG_AZR_AZR_Q1_19_Trial-Social</v></cell><cell r="AC2459"><v>21337220</v></cell><cell r="AD2459"><v>720192</v></cell><cell r="AE2459" t="str"><v>Facebook</v></cell><cell r="AF2459"><v>3654128</v></cell><cell r="AG2459" t="str"><v>Facebook»AZR»1x1»NA»EGV»ALL»DYN»AUT»D»All»SS»NA»Free Acc CTC - T4 - EN</v></cell><cell r="AH2459"><v>223691837</v></cell><cell r="AI2459" t="str"><v>AzurePlatform_FBCTCBenefit2inMotion_CAN_14s_ISV_PLAT_English_Trial_Standard_STAN_TN_T4_1</v></cell><cell r="AJ2459"><v>103053314</v></cell></row><row r="2460"><cell r="C2460" t="str"><v>43299Facebook»AZR»1x1»NA»SOC»ALL»DYN»PRO»D»All»SS»NA»Canvas - Start Free - EN</v></cell><cell r="D2460" t="str"><v>43299225252365</v></cell><cell r="E2460" t="str"><v>43299103807590e - EN</v></cell><cell r="F2460" t="str"><v>DCM</v></cell><cell r="G2460" t="str"><v>https://signup.azure.com/signup?offer=ms-azr-0044p&appId=102&ref=paidmedia-social-fb&redirectURL=https%3a%2f%2fazure.microsoft.com%2fen-ca%2fget-started%2fwelcome-to-azure%2f&l=en-ca&correlationId=ead86c34-1f10-49dd-a72b-6918462a2cbf</v></cell></row><row r="2460"><cell r="K2460" t="str"><v>July</v></cell><cell r="L2460"><v>43302</v></cell><cell r="M2460" t="str"><v>Tier 1</v></cell><cell r="N2460" t="str"><v>North America</v></cell><cell r="O2460" t="str"><v>Canada</v></cell><cell r="P2460" t="str"><v>Trial</v></cell><cell r="Q2460" t="str"><v>Social</v></cell><cell r="R2460" t="str"><v>Azure</v></cell><cell r="S2460" t="str"><v>Apps & Infra</v></cell><cell r="T2460" t="str"><v>Developers & ITI's</v></cell><cell r="U2460" t="str"><v>AZR</v></cell><cell r="V2460" t="str"><v>Prospecting</v></cell><cell r="W2460" t="str"><v>Social</v></cell><cell r="X2460" t="str"><v>1x1</v></cell></row><row r="2460"><cell r="AA2460"><v>43299</v></cell><cell r="AB2460" t="str"><v>CAN_gaPMG_AZR_AZR_Q1_19_Trial-Social</v></cell><cell r="AC2460"><v>21337220</v></cell><cell r="AD2460"><v>720192</v></cell><cell r="AE2460" t="str"><v>Facebook</v></cell><cell r="AF2460"><v>3654128</v></cell><cell r="AG2460" t="str"><v>Facebook»AZR»1x1»NA»SOC»ALL»DYN»PRO»D»All»SS»NA»Canvas - Start Free - EN</v></cell><cell r="AH2460"><v>225252365</v></cell><cell r="AI2460" t="str"><v>AzurePlatform_FBCTCcanvaspage-StartFreeCTA-Img2_CAN_1080x143 _SOC_Plat_English_NA_Standard_NA_NA_T2_1</v></cell><cell r="AJ2460"><v>103807590</v></cell></row><row r="2461"><cell r="C2461" t="str"><v>43299Facebook»AZR»1x1»SocialBan»NA»ALL»DYN»AUT»D»All»SS»NA»Free Acc Refresh - T1 - EN</v></cell><cell r="D2461" t="str"><v>43299223691804</v></cell><cell r="E2461" t="str"><v>432991030587171 - EN</v></cell><cell r="F2461" t="str"><v>DCM</v></cell><cell r="G2461" t="str"><v>https://azure.microsoft.com/en-CA/free/search/</v></cell></row><row r="2461"><cell r="K2461" t="str"><v>July</v></cell><cell r="L2461"><v>43302</v></cell><cell r="M2461" t="str"><v>Tier 1</v></cell><cell r="N2461" t="str"><v>North America</v></cell><cell r="O2461" t="str"><v>Canada</v></cell><cell r="P2461" t="str"><v>Trial</v></cell><cell r="Q2461" t="str"><v>Social</v></cell><cell r="R2461" t="str"><v>Azure</v></cell><cell r="S2461" t="str"><v>Apps & Infra</v></cell><cell r="T2461" t="str"><v>Developers & ITI's</v></cell><cell r="U2461" t="str"><v>AZR</v></cell><cell r="V2461" t="str"><v>Audience Targeting</v></cell><cell r="W2461" t="str"><v>NotApplicable</v></cell><cell r="X2461" t="str"><v>1x1</v></cell></row><row r="2461"><cell r="AA2461"><v>43299</v></cell><cell r="AB2461" t="str"><v>CAN_gaPMG_AZR_AZR_Q1_19_Trial-Social</v></cell><cell r="AC2461"><v>21337220</v></cell><cell r="AD2461"><v>720192</v></cell><cell r="AE2461" t="str"><v>Facebook</v></cell><cell r="AF2461"><v>3654128</v></cell><cell r="AG2461" t="str"><v>Facebook»AZR»1x1»SocialBan»NA»ALL»DYN»AUT»D»All»SS»NA»Free Acc Refresh - T1 - EN</v></cell><cell r="AH2461"><v>223691804</v></cell><cell r="AI2461" t="str"><v>AzurePlatform_FreeAcctAppsFACEBOOKLifestyleChA_CAN_1200x628_SOC_PLAT_EN_Trial_Standard_NA_SU_T1_1.png</v></cell><cell r="AJ2461"><v>103058717</v></cell></row><row r="2462"><cell r="C2462" t="str"><v>43299Facebook»AZR»1x1»SocialBan»NA»ALL»DYN»AUT»D»All»SS»NA»Free Acc Refresh - T2 - FR</v></cell><cell r="D2462" t="str"><v>43299223691768</v></cell><cell r="E2462" t="str"><v>432991029029712 - FR</v></cell><cell r="F2462" t="str"><v>DCM</v></cell><cell r="G2462" t="str"><v>https://azure.microsoft.com/fr-ca/free/search/</v></cell></row><row r="2462"><cell r="K2462" t="str"><v>July</v></cell><cell r="L2462"><v>43302</v></cell><cell r="M2462" t="str"><v>Tier 1</v></cell><cell r="N2462" t="str"><v>North America</v></cell><cell r="O2462" t="str"><v>Canada</v></cell><cell r="P2462" t="str"><v>Trial</v></cell><cell r="Q2462" t="str"><v>Social</v></cell><cell r="R2462" t="str"><v>Azure</v></cell><cell r="S2462" t="str"><v>Apps & Infra</v></cell><cell r="T2462" t="str"><v>Developers & ITI's</v></cell><cell r="U2462" t="str"><v>AZR</v></cell><cell r="V2462" t="str"><v>Audience Targeting</v></cell><cell r="W2462" t="str"><v>NotApplicable</v></cell><cell r="X2462" t="str"><v>1x1</v></cell></row><row r="2462"><cell r="AA2462"><v>43299</v></cell><cell r="AB2462" t="str"><v>CAN_gaPMG_AZR_AZR_Q1_19_Trial-Social</v></cell><cell r="AC2462"><v>21337220</v></cell><cell r="AD2462"><v>720192</v></cell><cell r="AE2462" t="str"><v>Facebook</v></cell><cell r="AF2462"><v>3654128</v></cell><cell r="AG2462" t="str"><v>Facebook»AZR»1x1»SocialBan»NA»ALL»DYN»AUT»D»All»SS»NA»Free Acc Refresh - T2 - FR</v></cell><cell r="AH2462"><v>223691768</v></cell><cell r="AI2462" t="str"><v>AzurePlatform_FreeAcctAppsFACEBOOKDeviceChB_CAN_1200x628_SOC_PLAT_FR_Trial_Standard_NA_SU_T2_1.png</v></cell><cell r="AJ2462"><v>102902971</v></cell></row><row r="2463"><cell r="C2463" t="str"><v>43299Facebook»AZR»1x1»SocialBan»NA»ALL»DYN»AUT»D»All»SS»NA»Free Acc Refresh - T3 - EN</v></cell><cell r="D2463" t="str"><v>43299223691807</v></cell><cell r="E2463" t="str"><v>432991029006853 - EN</v></cell><cell r="F2463" t="str"><v>DCM</v></cell><cell r="G2463" t="str"><v>https://azure.microsoft.com/en-CA/free/search/</v></cell></row><row r="2463"><cell r="K2463" t="str"><v>July</v></cell><cell r="L2463"><v>43302</v></cell><cell r="M2463" t="str"><v>Tier 1</v></cell><cell r="N2463" t="str"><v>North America</v></cell><cell r="O2463" t="str"><v>Canada</v></cell><cell r="P2463" t="str"><v>Trial</v></cell><cell r="Q2463" t="str"><v>Social</v></cell><cell r="R2463" t="str"><v>Azure</v></cell><cell r="S2463" t="str"><v>Apps & Infra</v></cell><cell r="T2463" t="str"><v>Developers & ITI's</v></cell><cell r="U2463" t="str"><v>AZR</v></cell><cell r="V2463" t="str"><v>Audience Targeting</v></cell><cell r="W2463" t="str"><v>NotApplicable</v></cell><cell r="X2463" t="str"><v>1x1</v></cell></row><row r="2463"><cell r="AA2463"><v>43299</v></cell><cell r="AB2463" t="str"><v>CAN_gaPMG_AZR_AZR_Q1_19_Trial-Social</v></cell><cell r="AC2463"><v>21337220</v></cell><cell r="AD2463"><v>720192</v></cell><cell r="AE2463" t="str"><v>Facebook</v></cell><cell r="AF2463"><v>3654128</v></cell><cell r="AG2463" t="str"><v>Facebook»AZR»1x1»SocialBan»NA»ALL»DYN»AUT»D»All»SS»NA»Free Acc Refresh - T3 - EN</v></cell><cell r="AH2463"><v>223691807</v></cell><cell r="AI2463" t="str"><v>AzurePlatform_FreeAcctAppsFACEBOOKIllustrationChC_CAN_1200x628_SOC_PLAT_EN_Trial_Standard_NA_SU_T3_1.png</v></cell><cell r="AJ2463"><v>102900685</v></cell></row><row r="2464"><cell r="C2464" t="str"><v>43299Facebook»AZR»1x1»SocialBan»NA»ALL»DYN»AUT»D»All»SS»NA»Free Acc Refresh - T3 - FR</v></cell><cell r="D2464" t="str"><v>43299223691765</v></cell><cell r="E2464" t="str"><v>432991030533323 - FR</v></cell><cell r="F2464" t="str"><v>DCM</v></cell><cell r="G2464" t="str"><v>https://azure.microsoft.com/fr-ca/free/search/</v></cell></row><row r="2464"><cell r="K2464" t="str"><v>July</v></cell><cell r="L2464"><v>43302</v></cell><cell r="M2464" t="str"><v>Tier 1</v></cell><cell r="N2464" t="str"><v>North America</v></cell><cell r="O2464" t="str"><v>Canada</v></cell><cell r="P2464" t="str"><v>Trial</v></cell><cell r="Q2464" t="str"><v>Social</v></cell><cell r="R2464" t="str"><v>Azure</v></cell><cell r="S2464" t="str"><v>Apps & Infra</v></cell><cell r="T2464" t="str"><v>Developers & ITI's</v></cell><cell r="U2464" t="str"><v>AZR</v></cell><cell r="V2464" t="str"><v>Audience Targeting</v></cell><cell r="W2464" t="str"><v>NotApplicable</v></cell><cell r="X2464" t="str"><v>1x1</v></cell></row><row r="2464"><cell r="AA2464"><v>43299</v></cell><cell r="AB2464" t="str"><v>CAN_gaPMG_AZR_AZR_Q1_19_Trial-Social</v></cell><cell r="AC2464"><v>21337220</v></cell><cell r="AD2464"><v>720192</v></cell><cell r="AE2464" t="str"><v>Facebook</v></cell><cell r="AF2464"><v>3654128</v></cell><cell r="AG2464" t="str"><v>Facebook»AZR»1x1»SocialBan»NA»ALL»DYN»AUT»D»All»SS»NA»Free Acc Refresh - T3 - FR</v></cell><cell r="AH2464"><v>223691765</v></cell><cell r="AI2464" t="str"><v>AzurePlatform_FreeAcctAppsFACEBOOKIllustrationChC_CAN_1200x628_SOC_PLAT_FR_Trial_Standard_NA_SU_T3_1.png</v></cell><cell r="AJ2464"><v>103053332</v></cell></row><row r="2465"><cell r="C2465" t="str"><v>43299Facebook»AZR»1x1»SocialBan»NA»ALL»DYN»AUT»D»All»SS»NA»Free Acc Refresh - T4 - EN</v></cell><cell r="D2465" t="str"><v>43299223691813</v></cell><cell r="E2465" t="str"><v>432991030533204 - EN</v></cell><cell r="F2465" t="str"><v>DCM</v></cell><cell r="G2465" t="str"><v>https://azure.microsoft.com/en-CA/free/search/</v></cell></row><row r="2465"><cell r="K2465" t="str"><v>July</v></cell><cell r="L2465"><v>43302</v></cell><cell r="M2465" t="str"><v>Tier 1</v></cell><cell r="N2465" t="str"><v>North America</v></cell><cell r="O2465" t="str"><v>Canada</v></cell><cell r="P2465" t="str"><v>Trial</v></cell><cell r="Q2465" t="str"><v>Social</v></cell><cell r="R2465" t="str"><v>Azure</v></cell><cell r="S2465" t="str"><v>Apps & Infra</v></cell><cell r="T2465" t="str"><v>Developers & ITI's</v></cell><cell r="U2465" t="str"><v>AZR</v></cell><cell r="V2465" t="str"><v>Audience Targeting</v></cell><cell r="W2465" t="str"><v>NotApplicable</v></cell><cell r="X2465" t="str"><v>1x1</v></cell></row><row r="2465"><cell r="AA2465"><v>43299</v></cell><cell r="AB2465" t="str"><v>CAN_gaPMG_AZR_AZR_Q1_19_Trial-Social</v></cell><cell r="AC2465"><v>21337220</v></cell><cell r="AD2465"><v>720192</v></cell><cell r="AE2465" t="str"><v>Facebook</v></cell><cell r="AF2465"><v>3654128</v></cell><cell r="AG2465" t="str"><v>Facebook»AZR»1x1»SocialBan»NA»ALL»DYN»AUT»D»All»SS»NA»Free Acc Refresh - T4 - EN</v></cell><cell r="AH2465"><v>223691813</v></cell><cell r="AI2465" t="str"><v>AzurePlatform_FreeAcctAppsFACEBOOK200CreditChD_CAN_1200x628_SOC_PLAT_EN_Trial_Standard_NA_SU_T4_1.png</v></cell><cell r="AJ2465"><v>103053320</v></cell></row><row r="2466"><cell r="C2466" t="str"><v>43299Facebook»AZR»1x1»SocialBan»NA»ALL»DYN»AUT»D»All»SS»NA»Free Acc Refresh - T4 - FR</v></cell><cell r="D2466" t="str"><v>43299223691771</v></cell><cell r="E2466" t="str"><v>432991029029684 - FR</v></cell><cell r="F2466" t="str"><v>DCM</v></cell><cell r="G2466" t="str"><v>https://azure.microsoft.com/fr-ca/free/search/</v></cell></row><row r="2466"><cell r="K2466" t="str"><v>July</v></cell><cell r="L2466"><v>43302</v></cell><cell r="M2466" t="str"><v>Tier 1</v></cell><cell r="N2466" t="str"><v>North America</v></cell><cell r="O2466" t="str"><v>Canada</v></cell><cell r="P2466" t="str"><v>Trial</v></cell><cell r="Q2466" t="str"><v>Social</v></cell><cell r="R2466" t="str"><v>Azure</v></cell><cell r="S2466" t="str"><v>Apps & Infra</v></cell><cell r="T2466" t="str"><v>Developers & ITI's</v></cell><cell r="U2466" t="str"><v>AZR</v></cell><cell r="V2466" t="str"><v>Audience Targeting</v></cell><cell r="W2466" t="str"><v>NotApplicable</v></cell><cell r="X2466" t="str"><v>1x1</v></cell></row><row r="2466"><cell r="AA2466"><v>43299</v></cell><cell r="AB2466" t="str"><v>CAN_gaPMG_AZR_AZR_Q1_19_Trial-Social</v></cell><cell r="AC2466"><v>21337220</v></cell><cell r="AD2466"><v>720192</v></cell><cell r="AE2466" t="str"><v>Facebook</v></cell><cell r="AF2466"><v>3654128</v></cell><cell r="AG2466" t="str"><v>Facebook»AZR»1x1»SocialBan»NA»ALL»DYN»AUT»D»All»SS»NA»Free Acc Refresh - T4 - FR</v></cell><cell r="AH2466"><v>223691771</v></cell><cell r="AI2466" t="str"><v>AzurePlatform_FreeAcctAppsFACEBOOK200CreditChD_CAN_1200x628_SOC_PLAT_FR_Trial_Standard_NA_SU_T4_1.png</v></cell><cell r="AJ2466"><v>102902968</v></cell></row><row r="2467"><cell r="C2467" t="str"><v>43299Facebook»AZR»1x1»SocialBan»NA»ALL»DYN»AUT»D»All»SS»NA»Free Acc Refresh - T5 - EN</v></cell><cell r="D2467" t="str"><v>43299223691816</v></cell><cell r="E2467" t="str"><v>432991029163415 - EN</v></cell><cell r="F2467" t="str"><v>DCM</v></cell><cell r="G2467" t="str"><v>https://azure.microsoft.com/en-CA/free/search/</v></cell></row><row r="2467"><cell r="K2467" t="str"><v>July</v></cell><cell r="L2467"><v>43302</v></cell><cell r="M2467" t="str"><v>Tier 1</v></cell><cell r="N2467" t="str"><v>North America</v></cell><cell r="O2467" t="str"><v>Canada</v></cell><cell r="P2467" t="str"><v>Trial</v></cell><cell r="Q2467" t="str"><v>Social</v></cell><cell r="R2467" t="str"><v>Azure</v></cell><cell r="S2467" t="str"><v>Apps & Infra</v></cell><cell r="T2467" t="str"><v>Developers & ITI's</v></cell><cell r="U2467" t="str"><v>AZR</v></cell><cell r="V2467" t="str"><v>Audience Targeting</v></cell><cell r="W2467" t="str"><v>NotApplicable</v></cell><cell r="X2467" t="str"><v>1x1</v></cell></row><row r="2467"><cell r="AA2467"><v>43299</v></cell><cell r="AB2467" t="str"><v>CAN_gaPMG_AZR_AZR_Q1_19_Trial-Social</v></cell><cell r="AC2467"><v>21337220</v></cell><cell r="AD2467"><v>720192</v></cell><cell r="AE2467" t="str"><v>Facebook</v></cell><cell r="AF2467"><v>3654128</v></cell><cell r="AG2467" t="str"><v>Facebook»AZR»1x1»SocialBan»NA»ALL»DYN»AUT»D»All»SS»NA»Free Acc Refresh - T5 - EN</v></cell><cell r="AH2467"><v>223691816</v></cell><cell r="AI2467" t="str"><v>AzurePlatform_FreeAcctAppsFACEBOOK12monthsChE_CAN_1200x628_SOC_PLAT_EN_Trial_Standard_NA_SU_T5_1.png</v></cell><cell r="AJ2467"><v>102916341</v></cell></row><row r="2468"><cell r="C2468" t="str"><v>43299Facebook»AZR»1x1»SocialBan»NA»ALL»DYN»AUT»D»All»SS»NA»Free Acc Refresh - T5 - FR</v></cell><cell r="D2468" t="str"><v>43299223691774</v></cell><cell r="E2468" t="str"><v>432991029163565 - FR</v></cell><cell r="F2468" t="str"><v>DCM</v></cell><cell r="G2468" t="str"><v>https://azure.microsoft.com/fr-ca/free/search/</v></cell></row><row r="2468"><cell r="K2468" t="str"><v>July</v></cell><cell r="L2468"><v>43302</v></cell><cell r="M2468" t="str"><v>Tier 1</v></cell><cell r="N2468" t="str"><v>North America</v></cell><cell r="O2468" t="str"><v>Canada</v></cell><cell r="P2468" t="str"><v>Trial</v></cell><cell r="Q2468" t="str"><v>Social</v></cell><cell r="R2468" t="str"><v>Azure</v></cell><cell r="S2468" t="str"><v>Apps & Infra</v></cell><cell r="T2468" t="str"><v>Developers & ITI's</v></cell><cell r="U2468" t="str"><v>AZR</v></cell><cell r="V2468" t="str"><v>Audience Targeting</v></cell><cell r="W2468" t="str"><v>NotApplicable</v></cell><cell r="X2468" t="str"><v>1x1</v></cell></row><row r="2468"><cell r="AA2468"><v>43299</v></cell><cell r="AB2468" t="str"><v>CAN_gaPMG_AZR_AZR_Q1_19_Trial-Social</v></cell><cell r="AC2468"><v>21337220</v></cell><cell r="AD2468"><v>720192</v></cell><cell r="AE2468" t="str"><v>Facebook</v></cell><cell r="AF2468"><v>3654128</v></cell><cell r="AG2468" t="str"><v>Facebook»AZR»1x1»SocialBan»NA»ALL»DYN»AUT»D»All»SS»NA»Free Acc Refresh - T5 - FR</v></cell><cell r="AH2468"><v>223691774</v></cell><cell r="AI2468" t="str"><v>AzurePlatform_FreeAcctAppsFACEBOOK12monthsChE_CAN_1200x628_SOC_PLAT_FR_Trial_Standard_NA_SU_T5_1.png</v></cell><cell r="AJ2468"><v>102916356</v></cell></row><row r="2469"><cell r="C2469" t="str"><v>43299Facebook»AZR»1x1»SocialBan»NA»ALL»DYN»RT»D»All»SS»NA» Free Account Retargeting OSS - T1 - FR</v></cell><cell r="D2469" t="str"><v>43299223691786</v></cell><cell r="E2469" t="str"><v>432991030587201 - FR</v></cell><cell r="F2469" t="str"><v>DCM</v></cell><cell r="G2469" t="str"><v>https://azure.microsoft.com/fr-ca/free/open-source/search/</v></cell></row><row r="2469"><cell r="K2469" t="str"><v>July</v></cell><cell r="L2469"><v>43302</v></cell><cell r="M2469" t="str"><v>Tier 1</v></cell><cell r="N2469" t="str"><v>North America</v></cell><cell r="O2469" t="str"><v>Canada</v></cell><cell r="P2469" t="str"><v>Trial</v></cell><cell r="Q2469" t="str"><v>Social</v></cell><cell r="R2469" t="str"><v>Azure</v></cell><cell r="S2469" t="str"><v>Apps & Infra</v></cell><cell r="T2469" t="str"><v>Developers & ITI's</v></cell><cell r="U2469" t="str"><v>AZR</v></cell><cell r="V2469" t="str"><v>Retargeting</v></cell><cell r="W2469" t="str"><v>NotApplicable</v></cell><cell r="X2469" t="str"><v>1x1</v></cell></row><row r="2469"><cell r="AA2469"><v>43299</v></cell><cell r="AB2469" t="str"><v>CAN_gaPMG_AZR_AZR_Q1_19_Trial-Social</v></cell><cell r="AC2469"><v>21337220</v></cell><cell r="AD2469"><v>720192</v></cell><cell r="AE2469" t="str"><v>Facebook</v></cell><cell r="AF2469"><v>3654128</v></cell><cell r="AG2469" t="str"><v>Facebook»AZR»1x1»SocialBan»NA»ALL»DYN»RT»D»All»SS»NA» Free Account Retargeting OSS - T1 - FR</v></cell><cell r="AH2469"><v>223691786</v></cell><cell r="AI2469" t="str"><v>AzurePlatform_FreeAcctRetargetingOSSFB-Text-ChF_CAN_1200x628_SOC_Plat_FR_Free Account_Standard_NA_SU_T1_1</v></cell><cell r="AJ2469"><v>103058720</v></cell></row><row r="2470"><cell r="C2470" t="str"><v>43299Facebook»AZR»1x1»SocialBan»NA»ALL»DYN»RT»D»All»SS»NA» Free Account Retargeting OSS - T2 - EN</v></cell><cell r="D2470" t="str"><v>43299223691831</v></cell><cell r="E2470" t="str"><v>432991029138002 - EN</v></cell><cell r="F2470" t="str"><v>DCM</v></cell><cell r="G2470" t="str"><v>https://azure.microsoft.com/en-ca/free/open-source/search/</v></cell></row><row r="2470"><cell r="K2470" t="str"><v>July</v></cell><cell r="L2470"><v>43302</v></cell><cell r="M2470" t="str"><v>Tier 1</v></cell><cell r="N2470" t="str"><v>North America</v></cell><cell r="O2470" t="str"><v>Canada</v></cell><cell r="P2470" t="str"><v>Trial</v></cell><cell r="Q2470" t="str"><v>Social</v></cell><cell r="R2470" t="str"><v>Azure</v></cell><cell r="S2470" t="str"><v>Apps & Infra</v></cell><cell r="T2470" t="str"><v>Developers & ITI's</v></cell><cell r="U2470" t="str"><v>AZR</v></cell><cell r="V2470" t="str"><v>Retargeting</v></cell><cell r="W2470" t="str"><v>NotApplicable</v></cell><cell r="X2470" t="str"><v>1x1</v></cell></row><row r="2470"><cell r="AA2470"><v>43299</v></cell><cell r="AB2470" t="str"><v>CAN_gaPMG_AZR_AZR_Q1_19_Trial-Social</v></cell><cell r="AC2470"><v>21337220</v></cell><cell r="AD2470"><v>720192</v></cell><cell r="AE2470" t="str"><v>Facebook</v></cell><cell r="AF2470"><v>3654128</v></cell><cell r="AG2470" t="str"><v>Facebook»AZR»1x1»SocialBan»NA»ALL»DYN»RT»D»All»SS»NA» Free Account Retargeting OSS - T2 - EN</v></cell><cell r="AH2470"><v>223691831</v></cell><cell r="AI2470" t="str"><v>AzurePlatform_FreeAcctRetargetingOSSFB-Logos-ChG_CAN_1200x628_SOC_Plat_EN_Free Account_Standard_NA_SU_T2_1</v></cell><cell r="AJ2470"><v>102913800</v></cell></row><row r="2471"><cell r="C2471" t="str"><v>43299Facebook»AZR»1x1»SocialBan»NA»ALL»DYN»RT»D»All»SS»NA» Free Account Retargeting OSS - T2 - FR</v></cell><cell r="D2471" t="str"><v>43299223691789</v></cell><cell r="E2471" t="str"><v>432991029006912 - FR</v></cell><cell r="F2471" t="str"><v>DCM</v></cell><cell r="G2471" t="str"><v>https://azure.microsoft.com/fr-ca/free/open-source/search/</v></cell></row><row r="2471"><cell r="K2471" t="str"><v>July</v></cell><cell r="L2471"><v>43302</v></cell><cell r="M2471" t="str"><v>Tier 1</v></cell><cell r="N2471" t="str"><v>North America</v></cell><cell r="O2471" t="str"><v>Canada</v></cell><cell r="P2471" t="str"><v>Trial</v></cell><cell r="Q2471" t="str"><v>Social</v></cell><cell r="R2471" t="str"><v>Azure</v></cell><cell r="S2471" t="str"><v>Apps & Infra</v></cell><cell r="T2471" t="str"><v>Developers & ITI's</v></cell><cell r="U2471" t="str"><v>AZR</v></cell><cell r="V2471" t="str"><v>Retargeting</v></cell><cell r="W2471" t="str"><v>NotApplicable</v></cell><cell r="X2471" t="str"><v>1x1</v></cell></row><row r="2471"><cell r="AA2471"><v>43299</v></cell><cell r="AB2471" t="str"><v>CAN_gaPMG_AZR_AZR_Q1_19_Trial-Social</v></cell><cell r="AC2471"><v>21337220</v></cell><cell r="AD2471"><v>720192</v></cell><cell r="AE2471" t="str"><v>Facebook</v></cell><cell r="AF2471"><v>3654128</v></cell><cell r="AG2471" t="str"><v>Facebook»AZR»1x1»SocialBan»NA»ALL»DYN»RT»D»All»SS»NA» Free Account Retargeting OSS - T2 - FR</v></cell><cell r="AH2471"><v>223691789</v></cell><cell r="AI2471" t="str"><v>AzurePlatform_FreeAcctRetargetingOSSFB-Logos-ChG_CAN_1200x628_SOC_Plat_FR_Free Account_Standard_NA_SU_T2_1</v></cell><cell r="AJ2471"><v>102900691</v></cell></row><row r="2472"><cell r="C2472" t="str"><v>43299Facebook»AZR»1x1»SocialBan»NA»ALL»DYN»RT»D»All»SS»NA»Free Account Retargeting Generic - T2 - FR</v></cell><cell r="D2472" t="str"><v>43299223691792</v></cell><cell r="E2472" t="str"><v>432991029018942 - FR</v></cell><cell r="F2472" t="str"><v>DCM</v></cell><cell r="G2472" t="str"><v>https://azure.microsoft.com/fr-ca/free/search/</v></cell></row><row r="2472"><cell r="K2472" t="str"><v>July</v></cell><cell r="L2472"><v>43302</v></cell><cell r="M2472" t="str"><v>Tier 1</v></cell><cell r="N2472" t="str"><v>North America</v></cell><cell r="O2472" t="str"><v>Canada</v></cell><cell r="P2472" t="str"><v>Trial</v></cell><cell r="Q2472" t="str"><v>Social</v></cell><cell r="R2472" t="str"><v>Azure</v></cell><cell r="S2472" t="str"><v>Apps & Infra</v></cell><cell r="T2472" t="str"><v>Developers & ITI's</v></cell><cell r="U2472" t="str"><v>AZR</v></cell><cell r="V2472" t="str"><v>Retargeting</v></cell><cell r="W2472" t="str"><v>NotApplicable</v></cell><cell r="X2472" t="str"><v>1x1</v></cell></row><row r="2472"><cell r="AA2472"><v>43299</v></cell><cell r="AB2472" t="str"><v>CAN_gaPMG_AZR_AZR_Q1_19_Trial-Social</v></cell><cell r="AC2472"><v>21337220</v></cell><cell r="AD2472"><v>720192</v></cell><cell r="AE2472" t="str"><v>Facebook</v></cell><cell r="AF2472"><v>3654128</v></cell><cell r="AG2472" t="str"><v>Facebook»AZR»1x1»SocialBan»NA»ALL»DYN»RT»D»All»SS»NA»Free Account Retargeting Generic - T2 - FR</v></cell><cell r="AH2472"><v>223691792</v></cell><cell r="AI2472" t="str"><v>AzurePlatform_FreeAcctRetargetingFB-GlobalAlt-ChB_CAN_1200x628_SOC_Plat_FR_Free Account_Standard_NA_SU_T2_1</v></cell><cell r="AJ2472"><v>102901894</v></cell></row><row r="2473"><cell r="C2473" t="str"><v>43299Facebook»AZR»1x1»SocialBan»NA»ALL»DYN»RT»D»All»SS»NA»Free Account Retargeting Generic - T3 - FR</v></cell><cell r="D2473" t="str"><v>43299223691777</v></cell><cell r="E2473" t="str"><v>432991029006973 - FR</v></cell><cell r="F2473" t="str"><v>DCM</v></cell><cell r="G2473" t="str"><v>https://azure.microsoft.com/fr-ca/free/search/</v></cell></row><row r="2473"><cell r="K2473" t="str"><v>July</v></cell><cell r="L2473"><v>43302</v></cell><cell r="M2473" t="str"><v>Tier 1</v></cell><cell r="N2473" t="str"><v>North America</v></cell><cell r="O2473" t="str"><v>Canada</v></cell><cell r="P2473" t="str"><v>Trial</v></cell><cell r="Q2473" t="str"><v>Social</v></cell><cell r="R2473" t="str"><v>Azure</v></cell><cell r="S2473" t="str"><v>Apps & Infra</v></cell><cell r="T2473" t="str"><v>Developers & ITI's</v></cell><cell r="U2473" t="str"><v>AZR</v></cell><cell r="V2473" t="str"><v>Retargeting</v></cell><cell r="W2473" t="str"><v>NotApplicable</v></cell><cell r="X2473" t="str"><v>1x1</v></cell></row><row r="2473"><cell r="AA2473"><v>43299</v></cell><cell r="AB2473" t="str"><v>CAN_gaPMG_AZR_AZR_Q1_19_Trial-Social</v></cell><cell r="AC2473"><v>21337220</v></cell><cell r="AD2473"><v>720192</v></cell><cell r="AE2473" t="str"><v>Facebook</v></cell><cell r="AF2473"><v>3654128</v></cell><cell r="AG2473" t="str"><v>Facebook»AZR»1x1»SocialBan»NA»ALL»DYN»RT»D»All»SS»NA»Free Account Retargeting Generic - T3 - FR</v></cell><cell r="AH2473"><v>223691777</v></cell><cell r="AI2473" t="str"><v>AzurePlatform_FreeAcctRetargetingFB-Animated-ChC_CAN_1200x628_SOC_Plat_FR_Free Account_Standard_ANI_SU_T3_1</v></cell><cell r="AJ2473"><v>102900697</v></cell></row><row r="2474"><cell r="C2474" t="str"><v>43299Facebook»AZR»1x1»SocialBan»NA»ALL»DYN»RT»D»All»SS»NA»Free Account Retargeting VM - T1 - EN</v></cell><cell r="D2474" t="str"><v>43299223691825</v></cell><cell r="E2474" t="str"><v>432991029163381 - EN</v></cell><cell r="F2474" t="str"><v>DCM</v></cell><cell r="G2474" t="str"><v>https://azure.microsoft.com/en-ca/free/virtual-machines/search/</v></cell></row><row r="2474"><cell r="K2474" t="str"><v>July</v></cell><cell r="L2474"><v>43302</v></cell><cell r="M2474" t="str"><v>Tier 1</v></cell><cell r="N2474" t="str"><v>North America</v></cell><cell r="O2474" t="str"><v>Canada</v></cell><cell r="P2474" t="str"><v>Trial</v></cell><cell r="Q2474" t="str"><v>Social</v></cell><cell r="R2474" t="str"><v>Azure</v></cell><cell r="S2474" t="str"><v>Apps & Infra</v></cell><cell r="T2474" t="str"><v>Developers & ITI's</v></cell><cell r="U2474" t="str"><v>AZR</v></cell><cell r="V2474" t="str"><v>Retargeting</v></cell><cell r="W2474" t="str"><v>NotApplicable</v></cell><cell r="X2474" t="str"><v>1x1</v></cell></row><row r="2474"><cell r="AA2474"><v>43299</v></cell><cell r="AB2474" t="str"><v>CAN_gaPMG_AZR_AZR_Q1_19_Trial-Social</v></cell><cell r="AC2474"><v>21337220</v></cell><cell r="AD2474"><v>720192</v></cell><cell r="AE2474" t="str"><v>Facebook</v></cell><cell r="AF2474"><v>3654128</v></cell><cell r="AG2474" t="str"><v>Facebook»AZR»1x1»SocialBan»NA»ALL»DYN»RT»D»All»SS»NA»Free Account Retargeting VM - T1 - EN</v></cell><cell r="AH2474"><v>223691825</v></cell><cell r="AI2474" t="str"><v>AzurePlatform_FreeAcctRetargetingVMFB-750Hrs-ChD_CAN_1200x628_SOC_Plat_EN_Free Account_Standard_NA_SU_T1_1</v></cell><cell r="AJ2474"><v>102916338</v></cell></row><row r="2475"><cell r="C2475" t="str"><v>43299Facebook»AZR»1x1»SocialBan»NA»ALL»DYN»RT»D»All»SS»NA»Free Account Retargeting VM - T1 - FR</v></cell><cell r="D2475" t="str"><v>43299223691783</v></cell><cell r="E2475" t="str"><v>432991030587231 - FR</v></cell><cell r="F2475" t="str"><v>DCM</v></cell><cell r="G2475" t="str"><v>https://azure.microsoft.com/fr-ca/free/virtual-machines/search/</v></cell></row><row r="2475"><cell r="K2475" t="str"><v>July</v></cell><cell r="L2475"><v>43302</v></cell><cell r="M2475" t="str"><v>Tier 1</v></cell><cell r="N2475" t="str"><v>North America</v></cell><cell r="O2475" t="str"><v>Canada</v></cell><cell r="P2475" t="str"><v>Trial</v></cell><cell r="Q2475" t="str"><v>Social</v></cell><cell r="R2475" t="str"><v>Azure</v></cell><cell r="S2475" t="str"><v>Apps & Infra</v></cell><cell r="T2475" t="str"><v>Developers & ITI's</v></cell><cell r="U2475" t="str"><v>AZR</v></cell><cell r="V2475" t="str"><v>Retargeting</v></cell><cell r="W2475" t="str"><v>NotApplicable</v></cell><cell r="X2475" t="str"><v>1x1</v></cell></row><row r="2475"><cell r="AA2475"><v>43299</v></cell><cell r="AB2475" t="str"><v>CAN_gaPMG_AZR_AZR_Q1_19_Trial-Social</v></cell><cell r="AC2475"><v>21337220</v></cell><cell r="AD2475"><v>720192</v></cell><cell r="AE2475" t="str"><v>Facebook</v></cell><cell r="AF2475"><v>3654128</v></cell><cell r="AG2475" t="str"><v>Facebook»AZR»1x1»SocialBan»NA»ALL»DYN»RT»D»All»SS»NA»Free Account Retargeting VM - T1 - FR</v></cell><cell r="AH2475"><v>223691783</v></cell><cell r="AI2475" t="str"><v>AzurePlatform_FreeAcctRetargetingVMFB-750Hrs-ChD_CAN_1200x628_SOC_Plat_FR_Free Account_Standard_NA_SU_T1_1</v></cell><cell r="AJ2475"><v>103058723</v></cell></row><row r="2476"><cell r="C2476" t="str"><v>43299Facebook»DEV-ITP-AZR-FB|CanvasAds|Interesttargeting»1x1»TextLink»CAN»DT»CPM»AUT»W»NA»SS»NA»39684020-11000</v></cell><cell r="D2476" t="str"><v>43299224009494</v></cell><cell r="E2476" t="str"><v>43299103236186-11000</v></cell><cell r="F2476" t="str"><v>DCM</v></cell><cell r="G2476" t="str"><v>https://signup.azure.com/signup?offer=ms-azr-0044p&appId=102&ref=paidmedia-social-fb&redirectURL=https%3a%2f%2fazure.microsoft.com%2fde-de%2fget-started%2fwelcome-to-azure%2f&l=de-de&correlationId=ead86c34-1f10-49dd-a72b-6918462a2cbf</v></cell></row><row r="2476"><cell r="K2476" t="str"><v>July</v></cell><cell r="L2476"><v>43302</v></cell><cell r="M2476" t="str"><v>Tier 1</v></cell><cell r="N2476" t="str"><v>EMEA</v></cell><cell r="O2476" t="str"><v>Germany</v></cell><cell r="P2476" t="str"><v>Trial</v></cell><cell r="Q2476" t="str"><v>Social</v></cell><cell r="R2476" t="str"><v>Azure</v></cell><cell r="S2476" t="str"><v>Apps & Infra</v></cell><cell r="T2476" t="str"><v>Developers & ITI's</v></cell><cell r="U2476" t="str"><v>DEV-ITP-AZR-FB|CanvasAds|Interesttargeting</v></cell><cell r="V2476" t="str"><v>Audience Targeting</v></cell><cell r="W2476" t="str"><v>Canvas Ad</v></cell><cell r="X2476" t="str"><v>1x1</v></cell></row><row r="2476"><cell r="AA2476"><v>43299</v></cell><cell r="AB2476" t="str"><v>DEU_gaPMG_AZR_AZR_Q1_19_Trial-Social- 39684</v></cell><cell r="AC2476"><v>21359477</v></cell><cell r="AD2476"><v>720194</v></cell><cell r="AE2476" t="str"><v>Facebook</v></cell><cell r="AF2476"><v>3654128</v></cell><cell r="AG2476" t="str"><v>Facebook»DEV-ITP-AZR-FB|CanvasAds|Interesttargeting»1x1»TextLink»CAN»DT»CPM»AUT»W»NA»SS»NA»39684020-11000</v></cell><cell r="AH2476"><v>224009494</v></cell><cell r="AI2476" t="str"><v>AzurePlatform_FBCTCBasicMotion-StartFreeCT_DEU_10s_ISV_PLAT_DE_Trial_Standard_STAN_TN_T1_1</v></cell><cell r="AJ2476"><v>103236186</v></cell></row><row r="2477"><cell r="C2477" t="str"><v>43299Facebook»DEV-ITP-AZR-FB|CanvasAds|Interesttargeting»1x1»TextLink»CAN»DT»CPM»AUT»W»NA»SS»NA»39684020-11000</v></cell><cell r="D2477" t="str"><v>43299224009494</v></cell><cell r="E2477" t="str"><v>43299103237290-11000</v></cell><cell r="F2477" t="str"><v>DCM</v></cell><cell r="G2477" t="str"><v>https://signup.azure.com/signup?offer=ms-azr-0044p&appId=102&ref=paidmedia-social-fb&redirectURL=https%3a%2f%2fazure.microsoft.com%2fde-de%2fget-started%2fwelcome-to-azure%2f&l=de-de&correlationId=ead86c34-1f10-49dd-a72b-6918462a2cbf</v></cell></row><row r="2477"><cell r="K2477" t="str"><v>July</v></cell><cell r="L2477"><v>43302</v></cell><cell r="M2477" t="str"><v>Tier 1</v></cell><cell r="N2477" t="str"><v>EMEA</v></cell><cell r="O2477" t="str"><v>Germany</v></cell><cell r="P2477" t="str"><v>Trial</v></cell><cell r="Q2477" t="str"><v>Social</v></cell><cell r="R2477" t="str"><v>Azure</v></cell><cell r="S2477" t="str"><v>Apps & Infra</v></cell><cell r="T2477" t="str"><v>Developers & ITI's</v></cell><cell r="U2477" t="str"><v>DEV-ITP-AZR-FB|CanvasAds|Interesttargeting</v></cell><cell r="V2477" t="str"><v>Audience Targeting</v></cell><cell r="W2477" t="str"><v>Canvas Ad</v></cell><cell r="X2477" t="str"><v>1x1</v></cell></row><row r="2477"><cell r="AA2477"><v>43299</v></cell><cell r="AB2477" t="str"><v>DEU_gaPMG_AZR_AZR_Q1_19_Trial-Social- 39684</v></cell><cell r="AC2477"><v>21359477</v></cell><cell r="AD2477"><v>720194</v></cell><cell r="AE2477" t="str"><v>Facebook</v></cell><cell r="AF2477"><v>3654128</v></cell><cell r="AG2477" t="str"><v>Facebook»DEV-ITP-AZR-FB|CanvasAds|Interesttargeting»1x1»TextLink»CAN»DT»CPM»AUT»W»NA»SS»NA»39684020-11000</v></cell><cell r="AH2477"><v>224009494</v></cell><cell r="AI2477" t="str"><v>AzurePlatform_FBCTCBenefit2inMotion-StartFreeCT_DEU_14s_ISV_PLAT_DE_Trial_Standard_STAN_TN_T4_1</v></cell><cell r="AJ2477"><v>103237290</v></cell></row><row r="2478"><cell r="C2478" t="str"><v>43299Facebook»DEV-ITP-AZR-FB|CanvasAds|Interesttargeting»1x1»TextLink»CAN»DT»CPM»AUT»W»NA»SS»NA»39684020-11000</v></cell><cell r="D2478" t="str"><v>43299224009494</v></cell><cell r="E2478" t="str"><v>43299103350059-11000</v></cell><cell r="F2478" t="str"><v>DCM</v></cell><cell r="G2478" t="str"><v>https://azure.microsoft.com/de-de/pricing/purchase-options/</v></cell></row><row r="2478"><cell r="K2478" t="str"><v>July</v></cell><cell r="L2478"><v>43302</v></cell><cell r="M2478" t="str"><v>Tier 1</v></cell><cell r="N2478" t="str"><v>EMEA</v></cell><cell r="O2478" t="str"><v>Germany</v></cell><cell r="P2478" t="str"><v>Trial</v></cell><cell r="Q2478" t="str"><v>Social</v></cell><cell r="R2478" t="str"><v>Azure</v></cell><cell r="S2478" t="str"><v>Apps & Infra</v></cell><cell r="T2478" t="str"><v>Developers & ITI's</v></cell><cell r="U2478" t="str"><v>DEV-ITP-AZR-FB|CanvasAds|Interesttargeting</v></cell><cell r="V2478" t="str"><v>Audience Targeting</v></cell><cell r="W2478" t="str"><v>Canvas Ad</v></cell><cell r="X2478" t="str"><v>1x1</v></cell></row><row r="2478"><cell r="AA2478"><v>43299</v></cell><cell r="AB2478" t="str"><v>DEU_gaPMG_AZR_AZR_Q1_19_Trial-Social- 39684</v></cell><cell r="AC2478"><v>21359477</v></cell><cell r="AD2478"><v>720194</v></cell><cell r="AE2478" t="str"><v>Facebook</v></cell><cell r="AF2478"><v>3654128</v></cell><cell r="AG2478" t="str"><v>Facebook»DEV-ITP-AZR-FB|CanvasAds|Interesttargeting»1x1»TextLink»CAN»DT»CPM»AUT»W»NA»SS»NA»39684020-11000</v></cell><cell r="AH2478"><v>224009494</v></cell><cell r="AI2478" t="str"><v>AzurePlatform_FBCTCBrandinMotion-BuyNow_DEU_12s_ISV_PLAT_DE_Trial_Standard_STAN_TN_T2_1</v></cell><cell r="AJ2478"><v>103350059</v></cell></row><row r="2479"><cell r="C2479" t="str"><v>43299Facebook»DEV-ITP-AZR-FB|CanvasAds|Interesttargeting»1x1»TextLink»CAN»DT»CPM»AUT»W»NA»SS»NA»39684020-11000</v></cell><cell r="D2479" t="str"><v>43299224009494</v></cell><cell r="E2479" t="str"><v>43299103237293-11000</v></cell><cell r="F2479" t="str"><v>DCM</v></cell><cell r="G2479" t="str"><v>https://signup.azure.com/signup?offer=ms-azr-0044p&appId=102&ref=paidmedia-social-fb&redirectURL=https%3a%2f%2fazure.microsoft.com%2fde-de%2fget-started%2fwelcome-to-azure%2f&l=de-de&correlationId=ead86c34-1f10-49dd-a72b-6918462a2cbf</v></cell></row><row r="2479"><cell r="K2479" t="str"><v>July</v></cell><cell r="L2479"><v>43302</v></cell><cell r="M2479" t="str"><v>Tier 1</v></cell><cell r="N2479" t="str"><v>EMEA</v></cell><cell r="O2479" t="str"><v>Germany</v></cell><cell r="P2479" t="str"><v>Trial</v></cell><cell r="Q2479" t="str"><v>Social</v></cell><cell r="R2479" t="str"><v>Azure</v></cell><cell r="S2479" t="str"><v>Apps & Infra</v></cell><cell r="T2479" t="str"><v>Developers & ITI's</v></cell><cell r="U2479" t="str"><v>DEV-ITP-AZR-FB|CanvasAds|Interesttargeting</v></cell><cell r="V2479" t="str"><v>Audience Targeting</v></cell><cell r="W2479" t="str"><v>Canvas Ad</v></cell><cell r="X2479" t="str"><v>1x1</v></cell></row><row r="2479"><cell r="AA2479"><v>43299</v></cell><cell r="AB2479" t="str"><v>DEU_gaPMG_AZR_AZR_Q1_19_Trial-Social- 39684</v></cell><cell r="AC2479"><v>21359477</v></cell><cell r="AD2479"><v>720194</v></cell><cell r="AE2479" t="str"><v>Facebook</v></cell><cell r="AF2479"><v>3654128</v></cell><cell r="AG2479" t="str"><v>Facebook»DEV-ITP-AZR-FB|CanvasAds|Interesttargeting»1x1»TextLink»CAN»DT»CPM»AUT»W»NA»SS»NA»39684020-11000</v></cell><cell r="AH2479"><v>224009494</v></cell><cell r="AI2479" t="str"><v>AzurePlatform_FBCTCBrandinMotion-StartFreeCT_DEU_12s_ISV_PLAT_DE_Trial_Standard_STAN_TN_T2_1</v></cell><cell r="AJ2479"><v>103237293</v></cell></row><row r="2480"><cell r="C2480" t="str"><v>43299Facebook»DEV-ITP-AZR-FB|LinkAd|CustomerAudienceRetargeting»1x1»TextLink»LIA»DT»CPM»RT»W»NA»SS»NA»39684019-11000</v></cell><cell r="D2480" t="str"><v>43299224010415</v></cell><cell r="E2480" t="str"><v>43299103043329-11000</v></cell><cell r="F2480" t="str"><v>DCM</v></cell><cell r="G2480" t="str"><v>https://azure.microsoft.com/de-de/free/open-source/search/</v></cell></row><row r="2480"><cell r="K2480" t="str"><v>July</v></cell><cell r="L2480"><v>43302</v></cell><cell r="M2480" t="str"><v>Tier 1</v></cell><cell r="N2480" t="str"><v>EMEA</v></cell><cell r="O2480" t="str"><v>Germany</v></cell><cell r="P2480" t="str"><v>Trial</v></cell><cell r="Q2480" t="str"><v>Social</v></cell><cell r="R2480" t="str"><v>Azure</v></cell><cell r="S2480" t="str"><v>Apps & Infra</v></cell><cell r="T2480" t="str"><v>Developers & ITI's</v></cell><cell r="U2480" t="str"><v>DEV-ITP-AZR-FB|LinkAd|CustomerAudienceRetargeting</v></cell><cell r="V2480" t="str"><v>Retargeting</v></cell><cell r="W2480" t="str"><v>Link Ad</v></cell><cell r="X2480" t="str"><v>1x1</v></cell></row><row r="2480"><cell r="AA2480"><v>43299</v></cell><cell r="AB2480" t="str"><v>DEU_gaPMG_AZR_AZR_Q1_19_Trial-Social- 39684</v></cell><cell r="AC2480"><v>21359477</v></cell><cell r="AD2480"><v>720194</v></cell><cell r="AE2480" t="str"><v>Facebook</v></cell><cell r="AF2480"><v>3654128</v></cell><cell r="AG2480" t="str"><v>Facebook»DEV-ITP-AZR-FB|LinkAd|CustomerAudienceRetargeting»1x1»TextLink»LIA»DT»CPM»RT»W»NA»SS»NA»39684019-11000</v></cell><cell r="AH2480"><v>224010415</v></cell><cell r="AI2480" t="str"><v>AzurePlatform_FreeAcctRetargetingOSSFB-Logos-ChG_DEU_1200x628_SOC_Plat_DE_Free Account_Standard_NA_SNU_T2_1</v></cell><cell r="AJ2480"><v>103043329</v></cell></row><row r="2481"><cell r="C2481" t="str"><v>43299Facebook»DEV-ITP-AZR-FB|LinkAd|CustomerAudienceRetargeting»1x1»TextLink»LIA»DT»CPM»RT»W»NA»SS»NA»39684019-11000</v></cell><cell r="D2481" t="str"><v>43299224010415</v></cell><cell r="E2481" t="str"><v>43299103043341-11000</v></cell><cell r="F2481" t="str"><v>DCM</v></cell><cell r="G2481" t="str"><v>https://azure.microsoft.com/de-de/free/virtual-machines/search/</v></cell></row><row r="2481"><cell r="K2481" t="str"><v>July</v></cell><cell r="L2481"><v>43302</v></cell><cell r="M2481" t="str"><v>Tier 1</v></cell><cell r="N2481" t="str"><v>EMEA</v></cell><cell r="O2481" t="str"><v>Germany</v></cell><cell r="P2481" t="str"><v>Trial</v></cell><cell r="Q2481" t="str"><v>Social</v></cell><cell r="R2481" t="str"><v>Azure</v></cell><cell r="S2481" t="str"><v>Apps & Infra</v></cell><cell r="T2481" t="str"><v>Developers & ITI's</v></cell><cell r="U2481" t="str"><v>DEV-ITP-AZR-FB|LinkAd|CustomerAudienceRetargeting</v></cell><cell r="V2481" t="str"><v>Retargeting</v></cell><cell r="W2481" t="str"><v>Link Ad</v></cell><cell r="X2481" t="str"><v>1x1</v></cell></row><row r="2481"><cell r="AA2481"><v>43299</v></cell><cell r="AB2481" t="str"><v>DEU_gaPMG_AZR_AZR_Q1_19_Trial-Social- 39684</v></cell><cell r="AC2481"><v>21359477</v></cell><cell r="AD2481"><v>720194</v></cell><cell r="AE2481" t="str"><v>Facebook</v></cell><cell r="AF2481"><v>3654128</v></cell><cell r="AG2481" t="str"><v>Facebook»DEV-ITP-AZR-FB|LinkAd|CustomerAudienceRetargeting»1x1»TextLink»LIA»DT»CPM»RT»W»NA»SS»NA»39684019-11000</v></cell><cell r="AH2481"><v>224010415</v></cell><cell r="AI2481" t="str"><v>AzurePlatform_FreeAcctRetargetingVMFB-750Hrs-ChD_DEU_1200x628_SOC_Plat_DE_Free Account_Standard_NA_SNU_T1_1</v></cell><cell r="AJ2481"><v>103043341</v></cell></row><row r="2482"><cell r="C2482" t="str"><v>43299Facebook»DEV-ITP-AZR-FB|LinkAd|CustomerAudienceRetargeting»1x1»TextLink»LIA»DT»CPM»RT»W»NA»SS»NA»39684019-11000</v></cell><cell r="D2482" t="str"><v>43299224010415</v></cell><cell r="E2482" t="str"><v>43299103043338-11000</v></cell><cell r="F2482" t="str"><v>DCM</v></cell><cell r="G2482" t="str"><v>https://azure.microsoft.com/de-de/free/virtual-machines/search/</v></cell></row><row r="2482"><cell r="K2482" t="str"><v>July</v></cell><cell r="L2482"><v>43302</v></cell><cell r="M2482" t="str"><v>Tier 1</v></cell><cell r="N2482" t="str"><v>EMEA</v></cell><cell r="O2482" t="str"><v>Germany</v></cell><cell r="P2482" t="str"><v>Trial</v></cell><cell r="Q2482" t="str"><v>Social</v></cell><cell r="R2482" t="str"><v>Azure</v></cell><cell r="S2482" t="str"><v>Apps & Infra</v></cell><cell r="T2482" t="str"><v>Developers & ITI's</v></cell><cell r="U2482" t="str"><v>DEV-ITP-AZR-FB|LinkAd|CustomerAudienceRetargeting</v></cell><cell r="V2482" t="str"><v>Retargeting</v></cell><cell r="W2482" t="str"><v>Link Ad</v></cell><cell r="X2482" t="str"><v>1x1</v></cell></row><row r="2482"><cell r="AA2482"><v>43299</v></cell><cell r="AB2482" t="str"><v>DEU_gaPMG_AZR_AZR_Q1_19_Trial-Social- 39684</v></cell><cell r="AC2482"><v>21359477</v></cell><cell r="AD2482"><v>720194</v></cell><cell r="AE2482" t="str"><v>Facebook</v></cell><cell r="AF2482"><v>3654128</v></cell><cell r="AG2482" t="str"><v>Facebook»DEV-ITP-AZR-FB|LinkAd|CustomerAudienceRetargeting»1x1»TextLink»LIA»DT»CPM»RT»W»NA»SS»NA»39684019-11000</v></cell><cell r="AH2482"><v>224010415</v></cell><cell r="AI2482" t="str"><v>AzurePlatform_FreeAcctRetargetingVMFB-OnDemand-ChE_DEU_1200x628_SOC_Plat_DE_Free Account_Standard_NA_SNU_T2_1</v></cell><cell r="AJ2482"><v>103043338</v></cell></row><row r="2483"><cell r="C2483" t="str"><v>43299Facebook»Developers/ITPros-Azure Direct-Sponsored Post-Canvas-FBCTCcanvaspage-BuyNowCTA-Img3_FBCTCBrandinMotion_FRA_14sec»1x1»Canvas»SOC»ALL»CPC»BT»D»UNK»SS»NA»Trials</v></cell><cell r="D2483" t="str"><v>43299224416918</v></cell><cell r="E2483" t="str"><v>43299103256571Trials</v></cell><cell r="F2483" t="str"><v>DCM</v></cell><cell r="G2483" t="str"><v>https://azure.microsoft.com/fr-fr/pricing/purchase-options/</v></cell></row><row r="2483"><cell r="K2483" t="str"><v>July</v></cell><cell r="L2483"><v>43302</v></cell><cell r="M2483" t="str"><v>Tier 1</v></cell><cell r="N2483" t="str"><v>EMEA</v></cell><cell r="O2483" t="str"><v>France</v></cell><cell r="P2483" t="str"><v>Trial</v></cell><cell r="Q2483" t="str"><v>Social</v></cell><cell r="R2483" t="str"><v>Azure</v></cell><cell r="S2483" t="str"><v>Apps & Infra</v></cell><cell r="T2483" t="str"><v>Developers & ITI's</v></cell><cell r="U2483" t="str"><v>Developers/ITPros-Azure Direct-Sponsored Post-Canvas-FBCTCcanvaspage-BuyNowCTA-Img3_FBCTCBrandinMotion_FRA_14sec</v></cell><cell r="V2483" t="str"><v>Behavioral Targeting</v></cell><cell r="W2483" t="str"><v>Social</v></cell><cell r="X2483" t="str"><v>1x1</v></cell></row><row r="2483"><cell r="AA2483"><v>43299</v></cell><cell r="AB2483" t="str"><v>FRA_gaPMG_AZR_AZR_Q1_19_AzureDirect-Trial-Social</v></cell><cell r="AC2483"><v>21356941</v></cell><cell r="AD2483"><v>720193</v></cell><cell r="AE2483" t="str"><v>Facebook</v></cell><cell r="AF2483"><v>3654128</v></cell><cell r="AG2483" t="str"><v>Facebook»Developers/ITPros-Azure Direct-Sponsored Post-Canvas-FBCTCcanvaspage-BuyNowCTA-Img3_FBCTCBrandinMotion_FRA_14sec»1x1»Canvas»SOC»ALL»CPC»BT»D»UNK»SS»NA»Trials</v></cell><cell r="AH2483"><v>224416918</v></cell><cell r="AI2483" t="str"><v>AZR_FBCTCcanvaspage-BuyNowCTA-Img3_FRA_1080x162_SOC_AZRDirect_French_NA_Facebook_SBAN_BN_T3_1</v></cell><cell r="AJ2483"><v>103256571</v></cell></row><row r="2484"><cell r="C2484" t="str"><v>43299Facebook»Developers/ITPros-Azure Direct-Sponsored Post-Canvas-FBCTCcanvaspage-StartFreeCTA-Img2_FBCTCBrandinMotion_FRA_14sec»1x1»Canvas»SOC»ALL»CPC»BT»D»UNK»SS»NA»Trials</v></cell><cell r="D2484" t="str"><v>43299224560872</v></cell><cell r="E2484" t="str"><v>43299103259958Trials</v></cell><cell r="F2484" t="str"><v>DCM</v></cell><cell r="G2484" t="str"><v>https://signup.azure.com/signup?offer=ms-azr-0044p&appId=102&ref=paidmedia-social-fb&redirectURL=https%3a%2f%2fazure.microsoft.com%2ffr-fr%2fget-started%2fwelcome-to-azure%2f&l=fr-fr&correlationId=ead86c34-1f10-49dd-a72b-6918462a2cbf</v></cell></row><row r="2484"><cell r="K2484" t="str"><v>July</v></cell><cell r="L2484"><v>43302</v></cell><cell r="M2484" t="str"><v>Tier 1</v></cell><cell r="N2484" t="str"><v>EMEA</v></cell><cell r="O2484" t="str"><v>France</v></cell><cell r="P2484" t="str"><v>Trial</v></cell><cell r="Q2484" t="str"><v>Social</v></cell><cell r="R2484" t="str"><v>Azure</v></cell><cell r="S2484" t="str"><v>Apps & Infra</v></cell><cell r="T2484" t="str"><v>Developers & ITI's</v></cell><cell r="U2484" t="str"><v>Developers/ITPros-Azure Direct-Sponsored Post-Canvas-FBCTCcanvaspage-StartFreeCTA-Img2_FBCTCBrandinMotion_FRA_14sec</v></cell><cell r="V2484" t="str"><v>Behavioral Targeting</v></cell><cell r="W2484" t="str"><v>Social</v></cell><cell r="X2484" t="str"><v>1x1</v></cell></row><row r="2484"><cell r="AA2484"><v>43299</v></cell><cell r="AB2484" t="str"><v>FRA_gaPMG_AZR_AZR_Q1_19_AzureDirect-Trial-Social</v></cell><cell r="AC2484"><v>21356941</v></cell><cell r="AD2484"><v>720193</v></cell><cell r="AE2484" t="str"><v>Facebook</v></cell><cell r="AF2484"><v>3654128</v></cell><cell r="AG2484" t="str"><v>Facebook»Developers/ITPros-Azure Direct-Sponsored Post-Canvas-FBCTCcanvaspage-StartFreeCTA-Img2_FBCTCBrandinMotion_FRA_14sec»1x1»Canvas»SOC»ALL»CPC»BT»D»UNK»SS»NA»Trials</v></cell><cell r="AH2484"><v>224560872</v></cell><cell r="AI2484" t="str"><v>AZR_FBCTCcanvaspage-StartFreeCTA-Img2_FRA_1080x143_SOC_AZRDirect_French_NA_Facebook_SBAN_BN_T2_1</v></cell><cell r="AJ2484"><v>103259958</v></cell></row><row r="2485"><cell r="C2485" t="str"><v>43299Facebook»Developers/ITPros-Azure Direct-Sponsored Post-Link Ad-FreeAcctRetargetingFB-GlobalAlt-ChB»1x1»SocialBan»SOC»ALL»CPC»BT»D»UNK»SS»NA»Trials</v></cell><cell r="D2485" t="str"><v>43299224560845</v></cell><cell r="E2485" t="str"><v>43299103259520Trials</v></cell><cell r="F2485" t="str"><v>DCM</v></cell><cell r="G2485" t="str"><v>https://azure.microsoft.com/fr-fr/free/search/</v></cell></row><row r="2485"><cell r="K2485" t="str"><v>July</v></cell><cell r="L2485"><v>43302</v></cell><cell r="M2485" t="str"><v>Tier 1</v></cell><cell r="N2485" t="str"><v>EMEA</v></cell><cell r="O2485" t="str"><v>France</v></cell><cell r="P2485" t="str"><v>Trial</v></cell><cell r="Q2485" t="str"><v>Social</v></cell><cell r="R2485" t="str"><v>Azure</v></cell><cell r="S2485" t="str"><v>Apps & Infra</v></cell><cell r="T2485" t="str"><v>Developers & ITI's</v></cell><cell r="U2485" t="str"><v>Developers/ITPros-Azure Direct-Sponsored Post-Link Ad-FreeAcctRetargetingFB-GlobalAlt-ChB</v></cell><cell r="V2485" t="str"><v>Behavioral Targeting</v></cell><cell r="W2485" t="str"><v>Social</v></cell><cell r="X2485" t="str"><v>1x1</v></cell></row><row r="2485"><cell r="AA2485"><v>43299</v></cell><cell r="AB2485" t="str"><v>FRA_gaPMG_AZR_AZR_Q1_19_AzureDirect-Trial-Social</v></cell><cell r="AC2485"><v>21356941</v></cell><cell r="AD2485"><v>720193</v></cell><cell r="AE2485" t="str"><v>Facebook</v></cell><cell r="AF2485"><v>3654128</v></cell><cell r="AG2485" t="str"><v>Facebook»Developers/ITPros-Azure Direct-Sponsored Post-Link Ad-FreeAcctRetargetingFB-GlobalAlt-ChB»1x1»SocialBan»SOC»ALL»CPC»BT»D»UNK»SS»NA»Trials</v></cell><cell r="AH2485"><v>224560845</v></cell><cell r="AI2485" t="str"><v>AZR_FreeAcctRetargetingFB-GlobalAlt-ChB_FRA_1200x628_SOC_AZRDirect_French_NA_Facebook_SBAN_SINU_T2_1</v></cell><cell r="AJ2485"><v>103259520</v></cell></row><row r="2486"><cell r="C2486" t="str"><v>43299Facebook»Developers/ITPros-Azure Direct-Sponsored Post-Link Ad-FreeAcctRetargetingOSSFB-Text-ChF»1x1»SocialBan»SOC»ALL»CPC»BT»D»UNK»SS»NA»Trials</v></cell><cell r="D2486" t="str"><v>43299224560839</v></cell><cell r="E2486" t="str"><v>43299103257810Trials</v></cell><cell r="F2486" t="str"><v>DCM</v></cell><cell r="G2486" t="str"><v>https://azure.microsoft.com/fr-fr/free/open-source/search/</v></cell></row><row r="2486"><cell r="K2486" t="str"><v>July</v></cell><cell r="L2486"><v>43302</v></cell><cell r="M2486" t="str"><v>Tier 1</v></cell><cell r="N2486" t="str"><v>EMEA</v></cell><cell r="O2486" t="str"><v>France</v></cell><cell r="P2486" t="str"><v>Trial</v></cell><cell r="Q2486" t="str"><v>Social</v></cell><cell r="R2486" t="str"><v>Azure</v></cell><cell r="S2486" t="str"><v>Apps & Infra</v></cell><cell r="T2486" t="str"><v>Developers & ITI's</v></cell><cell r="U2486" t="str"><v>Developers/ITPros-Azure Direct-Sponsored Post-Link Ad-FreeAcctRetargetingOSSFB-Text-ChF</v></cell><cell r="V2486" t="str"><v>Behavioral Targeting</v></cell><cell r="W2486" t="str"><v>Social</v></cell><cell r="X2486" t="str"><v>1x1</v></cell></row><row r="2486"><cell r="AA2486"><v>43299</v></cell><cell r="AB2486" t="str"><v>FRA_gaPMG_AZR_AZR_Q1_19_AzureDirect-Trial-Social</v></cell><cell r="AC2486"><v>21356941</v></cell><cell r="AD2486"><v>720193</v></cell><cell r="AE2486" t="str"><v>Facebook</v></cell><cell r="AF2486"><v>3654128</v></cell><cell r="AG2486" t="str"><v>Facebook»Developers/ITPros-Azure Direct-Sponsored Post-Link Ad-FreeAcctRetargetingOSSFB-Text-ChF»1x1»SocialBan»SOC»ALL»CPC»BT»D»UNK»SS»NA»Trials</v></cell><cell r="AH2486"><v>224560839</v></cell><cell r="AI2486" t="str"><v>AZR_FreeAcctRetargetingOSSFB-Text-ChF_FRA_1200x628_SOC_AZRDirect_French_NA_Facebook_SBAN_SINU_T1_1</v></cell><cell r="AJ2486"><v>103257810</v></cell></row><row r="2487"><cell r="C2487" t="str"><v>43299Facebook»Developers/ITPros-Azure Direct-Sponsored Post-Video Ad-FBCTCBasicMotion_FRA_10s_RTG Landing Page»1x1»05s»SOC»ALL»CPC»BT»D»UNK»SS»NA»Trials</v></cell><cell r="D2487" t="str"><v>43299224416915</v></cell><cell r="E2487" t="str"><v>43299103376981Trials</v></cell><cell r="F2487" t="str"><v>DCM</v></cell></row><row r="2487"><cell r="K2487" t="str"><v>July</v></cell><cell r="L2487"><v>43302</v></cell><cell r="M2487" t="str"><v>Tier 1</v></cell><cell r="N2487" t="str"><v>EMEA</v></cell><cell r="O2487" t="str"><v>France</v></cell><cell r="P2487" t="str"><v>Trial</v></cell><cell r="Q2487" t="str"><v>Social</v></cell><cell r="R2487" t="str"><v>Azure</v></cell><cell r="S2487" t="str"><v>Apps & Infra</v></cell><cell r="T2487" t="str"><v>Developers & ITI's</v></cell><cell r="U2487" t="str"><v>Developers/ITPros-Azure Direct-Sponsored Post-Video Ad-FBCTCBasicMotion_FRA_10s_RTG Landing Page</v></cell><cell r="V2487" t="str"><v>Behavioral Targeting</v></cell><cell r="W2487" t="str"><v>Social</v></cell><cell r="X2487" t="str"><v>1x1</v></cell></row><row r="2487"><cell r="AA2487"><v>43299</v></cell><cell r="AB2487" t="str"><v>FRA_gaPMG_AZR_AZR_Q1_19_AzureDirect-Trial-Social</v></cell><cell r="AC2487"><v>21356941</v></cell><cell r="AD2487"><v>720193</v></cell><cell r="AE2487" t="str"><v>Facebook</v></cell><cell r="AF2487"><v>3654128</v></cell><cell r="AG2487" t="str"><v>Facebook»Developers/ITPros-Azure Direct-Sponsored Post-Video Ad-FBCTCBasicMotion_FRA_10s_RTG Landing Page»1x1»05s»SOC»ALL»CPC»BT»D»UNK»SS»NA»Trials</v></cell><cell r="AH2487"><v>224416915</v></cell><cell r="AI2487" t="str"><v>AZR_FBCTCBasicMotion_FRA_10s_VIA_AZRDirect_French_NA_Facebook_STAN_TIN_T1_1</v></cell><cell r="AJ2487"><v>103376981</v></cell></row><row r="2488"><cell r="C2488" t="str"><v>43299Facebook»Developers/ITPros-Azure Direct-Sponsored Post-Video Ad-FBCTCBenefit2inMotion_FRA_14s_RTG Landing Page»1x1»06s»SOC»ALL»CPC»BT»D»UNK»SS»NA»Trials</v></cell><cell r="D2488" t="str"><v>43299224560875</v></cell><cell r="E2488" t="str"><v>43299103259766Trials</v></cell><cell r="F2488" t="str"><v>DCM</v></cell><cell r="G2488" t="str"><v>https://signup.azure.com/signup?offer=ms-azr-0044p&appId=102&ref=paidmedia-social-fb&redirectURL=https:%2F%2Fazure.microsoft.com%2Ffr-fr%2Fget-started%2Fwelcome-to-azure%2F&l=fr-fr&correlationId=ead86c34-1f10-49dd-a72b-6918462a2cbf</v></cell></row><row r="2488"><cell r="K2488" t="str"><v>July</v></cell><cell r="L2488"><v>43302</v></cell><cell r="M2488" t="str"><v>Tier 1</v></cell><cell r="N2488" t="str"><v>EMEA</v></cell><cell r="O2488" t="str"><v>France</v></cell><cell r="P2488" t="str"><v>Trial</v></cell><cell r="Q2488" t="str"><v>Social</v></cell><cell r="R2488" t="str"><v>Azure</v></cell><cell r="S2488" t="str"><v>Apps & Infra</v></cell><cell r="T2488" t="str"><v>Developers & ITI's</v></cell><cell r="U2488" t="str"><v>Developers/ITPros-Azure Direct-Sponsored Post-Video Ad-FBCTCBenefit2inMotion_FRA_14s_RTG Landing Page</v></cell><cell r="V2488" t="str"><v>Behavioral Targeting</v></cell><cell r="W2488" t="str"><v>Social</v></cell><cell r="X2488" t="str"><v>1x1</v></cell></row><row r="2488"><cell r="AA2488"><v>43299</v></cell><cell r="AB2488" t="str"><v>FRA_gaPMG_AZR_AZR_Q1_19_AzureDirect-Trial-Social</v></cell><cell r="AC2488"><v>21356941</v></cell><cell r="AD2488"><v>720193</v></cell><cell r="AE2488" t="str"><v>Facebook</v></cell><cell r="AF2488"><v>3654128</v></cell><cell r="AG2488" t="str"><v>Facebook»Developers/ITPros-Azure Direct-Sponsored Post-Video Ad-FBCTCBenefit2inMotion_FRA_14s_RTG Landing Page»1x1»06s»SOC»ALL»CPC»BT»D»UNK»SS»NA»Trials</v></cell><cell r="AH2488"><v>224560875</v></cell><cell r="AI2488" t="str"><v>AZR_FBCTCBenefit2inMotion_FRA_14s_VIA_AZRDirect_French_NA_Facebook_STAN_TIN_T4_1</v></cell><cell r="AJ2488"><v>103259766</v></cell></row><row r="2489"><cell r="C2489" t="str"><v>43299Facebook»Developers/ITPros-Azure Direct-Sponsored Post-Video Ad-FBCTCBrandinMotion_FRA_12s_RTG Landing Page»1x1»05s»SOC»ALL»CPC»BT»D»UNK»SS»NA»Trials</v></cell><cell r="D2489" t="str"><v>43299224560863</v></cell><cell r="E2489" t="str"><v>43299103256577Trials</v></cell><cell r="F2489" t="str"><v>DCM</v></cell></row><row r="2489"><cell r="K2489" t="str"><v>July</v></cell><cell r="L2489"><v>43302</v></cell><cell r="M2489" t="str"><v>Tier 1</v></cell><cell r="N2489" t="str"><v>EMEA</v></cell><cell r="O2489" t="str"><v>France</v></cell><cell r="P2489" t="str"><v>Trial</v></cell><cell r="Q2489" t="str"><v>Social</v></cell><cell r="R2489" t="str"><v>Azure</v></cell><cell r="S2489" t="str"><v>Apps & Infra</v></cell><cell r="T2489" t="str"><v>Developers & ITI's</v></cell><cell r="U2489" t="str"><v>Developers/ITPros-Azure Direct-Sponsored Post-Video Ad-FBCTCBrandinMotion_FRA_12s_RTG Landing Page</v></cell><cell r="V2489" t="str"><v>Behavioral Targeting</v></cell><cell r="W2489" t="str"><v>Social</v></cell><cell r="X2489" t="str"><v>1x1</v></cell></row><row r="2489"><cell r="AA2489"><v>43299</v></cell><cell r="AB2489" t="str"><v>FRA_gaPMG_AZR_AZR_Q1_19_AzureDirect-Trial-Social</v></cell><cell r="AC2489"><v>21356941</v></cell><cell r="AD2489"><v>720193</v></cell><cell r="AE2489" t="str"><v>Facebook</v></cell><cell r="AF2489"><v>3654128</v></cell><cell r="AG2489" t="str"><v>Facebook»Developers/ITPros-Azure Direct-Sponsored Post-Video Ad-FBCTCBrandinMotion_FRA_12s_RTG Landing Page»1x1»05s»SOC»ALL»CPC»BT»D»UNK»SS»NA»Trials</v></cell><cell r="AH2489"><v>224560863</v></cell><cell r="AI2489" t="str"><v>AZR_FBCTCBrandinMotion_FRA_12s_VIA_AZRDirect_French_NA_Facebook_STAN_TIN_T2_1</v></cell><cell r="AJ2489"><v>103256577</v></cell></row><row r="2490"><cell r="C2490" t="str"><v>43299Facebook»Developers/ITPros-Azure Direct-Sponsored Post-Link Ad-FreeAcctAppsFACEBOOK12monthsChE»1x1»SocialBan»SOC»ALL»CPC»BT»D»UNK»SS»NA»Trials</v></cell><cell r="D2490" t="str"><v>43299224560866</v></cell><cell r="E2490" t="str"><v>43299103259784Trials</v></cell><cell r="F2490" t="str"><v>DCM</v></cell><cell r="G2490" t="str"><v>https://azure.microsoft.com/fr-fr/free/search/</v></cell></row><row r="2490"><cell r="K2490" t="str"><v>July</v></cell><cell r="L2490"><v>43302</v></cell><cell r="M2490" t="str"><v>Tier 1</v></cell><cell r="N2490" t="str"><v>EMEA</v></cell><cell r="O2490" t="str"><v>France</v></cell><cell r="P2490" t="str"><v>Trial</v></cell><cell r="Q2490" t="str"><v>Social</v></cell><cell r="R2490" t="str"><v>Azure</v></cell><cell r="S2490" t="str"><v>Apps & Infra</v></cell><cell r="T2490" t="str"><v>Developers & ITI's</v></cell><cell r="U2490" t="str"><v>Developers/ITPros-Azure Direct-Sponsored Post-Link Ad-FreeAcctAppsFACEBOOK12monthsChE</v></cell><cell r="V2490" t="str"><v>Behavioral Targeting</v></cell><cell r="W2490" t="str"><v>Social</v></cell><cell r="X2490" t="str"><v>1x1</v></cell></row><row r="2490"><cell r="AA2490"><v>43299</v></cell><cell r="AB2490" t="str"><v>FRA_gaPMG_AZR_AZR_Q1_19_AzureDirect-Trial-Social</v></cell><cell r="AC2490"><v>21356941</v></cell><cell r="AD2490"><v>720193</v></cell><cell r="AE2490" t="str"><v>Facebook</v></cell><cell r="AF2490"><v>3654128</v></cell><cell r="AG2490" t="str"><v>Facebook»Developers/ITPros-Azure Direct-Sponsored Post-Link Ad-FreeAcctAppsFACEBOOK12monthsChE»1x1»SocialBan»SOC»ALL»CPC»BT»D»UNK»SS»NA»Trials</v></cell><cell r="AH2490"><v>224560866</v></cell><cell r="AI2490" t="str"><v>AZR_FreeAcctAppsFACEBOOK12monthsChE_FRA_1200x628_SOC_PLAT_FR_Trial_Standard_NA_SINU_T5_1</v></cell><cell r="AJ2490"><v>103259784</v></cell></row><row r="2491"><cell r="C2491" t="str"><v>43299Facebook»Developers/ITPros-Azure Direct-Sponsored Post-Link Ad-FreeAcctAppsFACEBOOK200CreditChD»1x1»SocialBan»SOC»ALL»CPC»BT»D»UNK»SS»NA»Trials</v></cell><cell r="D2491" t="str"><v>43299224560860</v></cell><cell r="E2491" t="str"><v>43299103377773Trials</v></cell><cell r="F2491" t="str"><v>DCM</v></cell><cell r="G2491" t="str"><v>https://azure.microsoft.com/fr-fr/free/search/</v></cell></row><row r="2491"><cell r="K2491" t="str"><v>July</v></cell><cell r="L2491"><v>43302</v></cell><cell r="M2491" t="str"><v>Tier 1</v></cell><cell r="N2491" t="str"><v>EMEA</v></cell><cell r="O2491" t="str"><v>France</v></cell><cell r="P2491" t="str"><v>Trial</v></cell><cell r="Q2491" t="str"><v>Social</v></cell><cell r="R2491" t="str"><v>Azure</v></cell><cell r="S2491" t="str"><v>Apps & Infra</v></cell><cell r="T2491" t="str"><v>Developers & ITI's</v></cell><cell r="U2491" t="str"><v>Developers/ITPros-Azure Direct-Sponsored Post-Link Ad-FreeAcctAppsFACEBOOK200CreditChD</v></cell><cell r="V2491" t="str"><v>Behavioral Targeting</v></cell><cell r="W2491" t="str"><v>Social</v></cell><cell r="X2491" t="str"><v>1x1</v></cell></row><row r="2491"><cell r="AA2491"><v>43299</v></cell><cell r="AB2491" t="str"><v>FRA_gaPMG_AZR_AZR_Q1_19_AzureDirect-Trial-Social</v></cell><cell r="AC2491"><v>21356941</v></cell><cell r="AD2491"><v>720193</v></cell><cell r="AE2491" t="str"><v>Facebook</v></cell><cell r="AF2491"><v>3654128</v></cell><cell r="AG2491" t="str"><v>Facebook»Developers/ITPros-Azure Direct-Sponsored Post-Link Ad-FreeAcctAppsFACEBOOK200CreditChD»1x1»SocialBan»SOC»ALL»CPC»BT»D»UNK»SS»NA»Trials</v></cell><cell r="AH2491"><v>224560860</v></cell><cell r="AI2491" t="str"><v>AZR_FreeAcctAppsFACEBOOK200CreditChD_FRA_1200x628_SOC_PLAT_FR_Trial_Standard_NA_SINU_T4_1</v></cell><cell r="AJ2491"><v>103377773</v></cell></row><row r="2492"><cell r="C2492" t="str"><v>43299Facebook»Developers/ITPros-Azure Direct-Sponsored Post-Link Ad-FreeAcctAppsFACEBOOKDeviceChB»1x1»SocialBan»SOC»ALL»CPC»AUT»D»UNK»SS»NA»Trials</v></cell><cell r="D2492" t="str"><v>43299224560857</v></cell><cell r="E2492" t="str"><v>43299103377002Trials</v></cell><cell r="F2492" t="str"><v>DCM</v></cell><cell r="G2492" t="str"><v>https://azure.microsoft.com/fr-fr/free/search/</v></cell></row><row r="2492"><cell r="K2492" t="str"><v>July</v></cell><cell r="L2492"><v>43302</v></cell><cell r="M2492" t="str"><v>Tier 1</v></cell><cell r="N2492" t="str"><v>EMEA</v></cell><cell r="O2492" t="str"><v>France</v></cell><cell r="P2492" t="str"><v>Trial</v></cell><cell r="Q2492" t="str"><v>Social</v></cell><cell r="R2492" t="str"><v>Azure</v></cell><cell r="S2492" t="str"><v>Apps & Infra</v></cell><cell r="T2492" t="str"><v>Developers & ITI's</v></cell><cell r="U2492" t="str"><v>Developers/ITPros-Azure Direct-Sponsored Post-Link Ad-FreeAcctAppsFACEBOOKDeviceChB</v></cell><cell r="V2492" t="str"><v>Audience Targeting</v></cell><cell r="W2492" t="str"><v>Social</v></cell><cell r="X2492" t="str"><v>1x1</v></cell></row><row r="2492"><cell r="AA2492"><v>43299</v></cell><cell r="AB2492" t="str"><v>FRA_gaPMG_AZR_AZR_Q1_19_AzureDirect-Trial-Social</v></cell><cell r="AC2492"><v>21356941</v></cell><cell r="AD2492"><v>720193</v></cell><cell r="AE2492" t="str"><v>Facebook</v></cell><cell r="AF2492"><v>3654128</v></cell><cell r="AG2492" t="str"><v>Facebook»Developers/ITPros-Azure Direct-Sponsored Post-Link Ad-FreeAcctAppsFACEBOOKDeviceChB»1x1»SocialBan»SOC»ALL»CPC»AUT»D»UNK»SS»NA»Trials</v></cell><cell r="AH2492"><v>224560857</v></cell><cell r="AI2492" t="str"><v>AZR_FreeAcctAppsFACEBOOKDeviceChB_FRA_1200x628_SOC_PLAT_FR_Trial_Standard_NA_SINU_T2_1</v></cell><cell r="AJ2492"><v>103377002</v></cell></row><row r="2493"><cell r="C2493" t="str"><v>43299Facebook»Developers/ITPros-Azure Direct-Sponsored Post-Link Ad-FreeAcctAppsFACEBOOKIllustrationChC»1x1»SocialBan»SOC»ALL»CPC»AUT»D»UNK»SS»NA»Trials</v></cell><cell r="D2493" t="str"><v>43299224560854</v></cell><cell r="E2493" t="str"><v>43299103259550Trials</v></cell><cell r="F2493" t="str"><v>DCM</v></cell><cell r="G2493" t="str"><v>https://azure.microsoft.com/fr-fr/free/search/</v></cell></row><row r="2493"><cell r="K2493" t="str"><v>July</v></cell><cell r="L2493"><v>43302</v></cell><cell r="M2493" t="str"><v>Tier 1</v></cell><cell r="N2493" t="str"><v>EMEA</v></cell><cell r="O2493" t="str"><v>France</v></cell><cell r="P2493" t="str"><v>Trial</v></cell><cell r="Q2493" t="str"><v>Social</v></cell><cell r="R2493" t="str"><v>Azure</v></cell><cell r="S2493" t="str"><v>Apps & Infra</v></cell><cell r="T2493" t="str"><v>Developers & ITI's</v></cell><cell r="U2493" t="str"><v>Developers/ITPros-Azure Direct-Sponsored Post-Link Ad-FreeAcctAppsFACEBOOKIllustrationChC</v></cell><cell r="V2493" t="str"><v>Audience Targeting</v></cell><cell r="W2493" t="str"><v>Social</v></cell><cell r="X2493" t="str"><v>1x1</v></cell></row><row r="2493"><cell r="AA2493"><v>43299</v></cell><cell r="AB2493" t="str"><v>FRA_gaPMG_AZR_AZR_Q1_19_AzureDirect-Trial-Social</v></cell><cell r="AC2493"><v>21356941</v></cell><cell r="AD2493"><v>720193</v></cell><cell r="AE2493" t="str"><v>Facebook</v></cell><cell r="AF2493"><v>3654128</v></cell><cell r="AG2493" t="str"><v>Facebook»Developers/ITPros-Azure Direct-Sponsored Post-Link Ad-FreeAcctAppsFACEBOOKIllustrationChC»1x1»SocialBan»SOC»ALL»CPC»AUT»D»UNK»SS»NA»Trials</v></cell><cell r="AH2493"><v>224560854</v></cell><cell r="AI2493" t="str"><v>AZR_FreeAcctAppsFACEBOOKIllustrationChC_FRA_1200x628_SOC_PLAT_FR_Trial_Standard_NA_SINU_T3_1</v></cell><cell r="AJ2493"><v>103259550</v></cell></row><row r="2494"><cell r="C2494" t="str"><v>43299Facebook»Developers/ITPros-Azure Direct-Sponsored Post-Link Ad-FreeAcctAppsFACEBOOKLifestyleChA»1x1»SocialBan»SOC»ALL»CPC»AUT»D»UNK»SS»NA»Trials</v></cell><cell r="D2494" t="str"><v>43299224560851</v></cell><cell r="E2494" t="str"><v>43299103259562Trials</v></cell><cell r="F2494" t="str"><v>DCM</v></cell><cell r="G2494" t="str"><v>https://azure.microsoft.com/fr-fr/free/search/</v></cell></row><row r="2494"><cell r="K2494" t="str"><v>July</v></cell><cell r="L2494"><v>43302</v></cell><cell r="M2494" t="str"><v>Tier 1</v></cell><cell r="N2494" t="str"><v>EMEA</v></cell><cell r="O2494" t="str"><v>France</v></cell><cell r="P2494" t="str"><v>Trial</v></cell><cell r="Q2494" t="str"><v>Social</v></cell><cell r="R2494" t="str"><v>Azure</v></cell><cell r="S2494" t="str"><v>Apps & Infra</v></cell><cell r="T2494" t="str"><v>Developers & ITI's</v></cell><cell r="U2494" t="str"><v>Developers/ITPros-Azure Direct-Sponsored Post-Link Ad-FreeAcctAppsFACEBOOKLifestyleChA</v></cell><cell r="V2494" t="str"><v>Audience Targeting</v></cell><cell r="W2494" t="str"><v>Social</v></cell><cell r="X2494" t="str"><v>1x1</v></cell></row><row r="2494"><cell r="AA2494"><v>43299</v></cell><cell r="AB2494" t="str"><v>FRA_gaPMG_AZR_AZR_Q1_19_AzureDirect-Trial-Social</v></cell><cell r="AC2494"><v>21356941</v></cell><cell r="AD2494"><v>720193</v></cell><cell r="AE2494" t="str"><v>Facebook</v></cell><cell r="AF2494"><v>3654128</v></cell><cell r="AG2494" t="str"><v>Facebook»Developers/ITPros-Azure Direct-Sponsored Post-Link Ad-FreeAcctAppsFACEBOOKLifestyleChA»1x1»SocialBan»SOC»ALL»CPC»AUT»D»UNK»SS»NA»Trials</v></cell><cell r="AH2494"><v>224560851</v></cell><cell r="AI2494" t="str"><v>AZR_FreeAcctAppsFACEBOOKLifestyleChA_FRA_1200x628_SOC_PLAT_FR_Trial_Standard_NA_SINU_T1_1</v></cell><cell r="AJ2494"><v>103259562</v></cell></row><row r="2495"><cell r="C2495" t="str"><v>43299Facebook»Developers/ITPros-Azure Direct-Sponsored Post-Link Ad-FreeAcctRetargetingFB-Animated-ChC»1x1»SocialBan»SOC»ALL»CPC»BT»D»UNK»SS»NA»Trials</v></cell><cell r="D2495" t="str"><v>43299224560848</v></cell><cell r="E2495" t="str"><v>43299103259775Trials</v></cell><cell r="F2495" t="str"><v>DCM</v></cell><cell r="G2495" t="str"><v>https://azure.microsoft.com/fr-fr/free/search/</v></cell></row><row r="2495"><cell r="K2495" t="str"><v>July</v></cell><cell r="L2495"><v>43302</v></cell><cell r="M2495" t="str"><v>Tier 1</v></cell><cell r="N2495" t="str"><v>EMEA</v></cell><cell r="O2495" t="str"><v>France</v></cell><cell r="P2495" t="str"><v>Trial</v></cell><cell r="Q2495" t="str"><v>Social</v></cell><cell r="R2495" t="str"><v>Azure</v></cell><cell r="S2495" t="str"><v>Apps & Infra</v></cell><cell r="T2495" t="str"><v>Developers & ITI's</v></cell><cell r="U2495" t="str"><v>Developers/ITPros-Azure Direct-Sponsored Post-Link Ad-FreeAcctRetargetingFB-Animated-ChC</v></cell><cell r="V2495" t="str"><v>Behavioral Targeting</v></cell><cell r="W2495" t="str"><v>Social</v></cell><cell r="X2495" t="str"><v>1x1</v></cell></row><row r="2495"><cell r="AA2495"><v>43299</v></cell><cell r="AB2495" t="str"><v>FRA_gaPMG_AZR_AZR_Q1_19_AzureDirect-Trial-Social</v></cell><cell r="AC2495"><v>21356941</v></cell><cell r="AD2495"><v>720193</v></cell><cell r="AE2495" t="str"><v>Facebook</v></cell><cell r="AF2495"><v>3654128</v></cell><cell r="AG2495" t="str"><v>Facebook»Developers/ITPros-Azure Direct-Sponsored Post-Link Ad-FreeAcctRetargetingFB-Animated-ChC»1x1»SocialBan»SOC»ALL»CPC»BT»D»UNK»SS»NA»Trials</v></cell><cell r="AH2495"><v>224560848</v></cell><cell r="AI2495" t="str"><v>AZR_reeAcctRetargetingFB-Animated-ChC_FRA_1200x628_SOC_AZRDirect_French_NA_Facebook_SBAN_SINU_T3_1</v></cell><cell r="AJ2495"><v>103259775</v></cell></row><row r="2496"><cell r="C2496" t="str"><v>43299Facebook»Developers/ITPros-Azure Direct-Sponsored Post-Link Ad-FreeAcctRetargetingOSSFB-Logos-ChG»1x1»SocialBan»SOC»ALL»CPC»BT»D»UNK»SS»NA»Trials</v></cell><cell r="D2496" t="str"><v>43299224560842</v></cell><cell r="E2496" t="str"><v>43299103259769Trials</v></cell><cell r="F2496" t="str"><v>DCM</v></cell><cell r="G2496" t="str"><v>https://azure.microsoft.com/fr-fr/free/open-source/search/</v></cell></row><row r="2496"><cell r="K2496" t="str"><v>July</v></cell><cell r="L2496"><v>43302</v></cell><cell r="M2496" t="str"><v>Tier 1</v></cell><cell r="N2496" t="str"><v>EMEA</v></cell><cell r="O2496" t="str"><v>France</v></cell><cell r="P2496" t="str"><v>Trial</v></cell><cell r="Q2496" t="str"><v>Social</v></cell><cell r="R2496" t="str"><v>Azure</v></cell><cell r="S2496" t="str"><v>Apps & Infra</v></cell><cell r="T2496" t="str"><v>Developers & ITI's</v></cell><cell r="U2496" t="str"><v>Developers/ITPros-Azure Direct-Sponsored Post-Link Ad-FreeAcctRetargetingOSSFB-Logos-ChG</v></cell><cell r="V2496" t="str"><v>Behavioral Targeting</v></cell><cell r="W2496" t="str"><v>Social</v></cell><cell r="X2496" t="str"><v>1x1</v></cell></row><row r="2496"><cell r="AA2496"><v>43299</v></cell><cell r="AB2496" t="str"><v>FRA_gaPMG_AZR_AZR_Q1_19_AzureDirect-Trial-Social</v></cell><cell r="AC2496"><v>21356941</v></cell><cell r="AD2496"><v>720193</v></cell><cell r="AE2496" t="str"><v>Facebook</v></cell><cell r="AF2496"><v>3654128</v></cell><cell r="AG2496" t="str"><v>Facebook»Developers/ITPros-Azure Direct-Sponsored Post-Link Ad-FreeAcctRetargetingOSSFB-Logos-ChG»1x1»SocialBan»SOC»ALL»CPC»BT»D»UNK»SS»NA»Trials</v></cell><cell r="AH2496"><v>224560842</v></cell><cell r="AI2496" t="str"><v>AZR_FreeAcctRetargetingOSSFB-Logos-ChG_FRA_1200x628_SOC_AZRDirect_French_NA_Facebook_SBAN_SINU_T2_1</v></cell><cell r="AJ2496"><v>103259769</v></cell></row><row r="2497"><cell r="C2497" t="str"><v>43299Facebook»Developers/ITPros-Azure Direct-Sponsored Post-Link Ad-FreeAcctRetargetingVMFB-OnDemand-ChE»1x1»SocialBan»SOC»ALL»CPC»BT»D»UNK»SS»NA»Trials</v></cell><cell r="D2497" t="str"><v>43299224560833</v></cell><cell r="E2497" t="str"><v>43299103376990Trials</v></cell><cell r="F2497" t="str"><v>DCM</v></cell><cell r="G2497" t="str"><v>https://azure.microsoft.com/fr-fr/free/virtual-machines/search/</v></cell></row><row r="2497"><cell r="K2497" t="str"><v>July</v></cell><cell r="L2497"><v>43302</v></cell><cell r="M2497" t="str"><v>Tier 1</v></cell><cell r="N2497" t="str"><v>EMEA</v></cell><cell r="O2497" t="str"><v>France</v></cell><cell r="P2497" t="str"><v>Trial</v></cell><cell r="Q2497" t="str"><v>Social</v></cell><cell r="R2497" t="str"><v>Azure</v></cell><cell r="S2497" t="str"><v>Apps & Infra</v></cell><cell r="T2497" t="str"><v>Developers & ITI's</v></cell><cell r="U2497" t="str"><v>Developers/ITPros-Azure Direct-Sponsored Post-Link Ad-FreeAcctRetargetingVMFB-OnDemand-ChE</v></cell><cell r="V2497" t="str"><v>Behavioral Targeting</v></cell><cell r="W2497" t="str"><v>Social</v></cell><cell r="X2497" t="str"><v>1x1</v></cell></row><row r="2497"><cell r="AA2497"><v>43299</v></cell><cell r="AB2497" t="str"><v>FRA_gaPMG_AZR_AZR_Q1_19_AzureDirect-Trial-Social</v></cell><cell r="AC2497"><v>21356941</v></cell><cell r="AD2497"><v>720193</v></cell><cell r="AE2497" t="str"><v>Facebook</v></cell><cell r="AF2497"><v>3654128</v></cell><cell r="AG2497" t="str"><v>Facebook»Developers/ITPros-Azure Direct-Sponsored Post-Link Ad-FreeAcctRetargetingVMFB-OnDemand-ChE»1x1»SocialBan»SOC»ALL»CPC»BT»D»UNK»SS»NA»Trials</v></cell><cell r="AH2497"><v>224560833</v></cell><cell r="AI2497" t="str"><v>AZR_FreeAcctRetargetingVMFB-OnDemand-ChE_FRA_1200x628_SOC_AZRDirect_French_NA_Facebook_SBAN_SINU_T2_1</v></cell><cell r="AJ2497"><v>103376990</v></cell></row><row r="2498"><cell r="C2498" t="str"><v>43299Facebook»Audience & Interest Targeting»1x1»SocialBan»LIA»DT»CPC»AUT»W»NA»SS»NA»Basic Motion</v></cell><cell r="D2498" t="str"><v>43299224399962</v></cell><cell r="E2498" t="str"><v>43299103230847Motion</v></cell><cell r="F2498" t="str"><v>DCM</v></cell><cell r="G2498" t="str"><v>https://azure.microsoft.com/en-gb/pricing/purchase-options/</v></cell></row><row r="2498"><cell r="K2498" t="str"><v>July</v></cell><cell r="L2498"><v>43302</v></cell><cell r="M2498" t="str"><v>Tier 1</v></cell><cell r="N2498" t="str"><v>EMEA</v></cell><cell r="O2498" t="str"><v>United Kingdom</v></cell><cell r="P2498" t="str"><v>Trial</v></cell><cell r="Q2498" t="str"><v>Social</v></cell><cell r="R2498" t="str"><v>Azure</v></cell><cell r="S2498" t="str"><v>Apps & Infra</v></cell><cell r="T2498" t="str"><v>Developers & ITI's</v></cell><cell r="U2498" t="str"><v>Audience & Interest Targeting</v></cell><cell r="V2498" t="str"><v>Audience Targeting</v></cell><cell r="W2498" t="str"><v>Link Ad</v></cell><cell r="X2498" t="str"><v>1x1</v></cell></row><row r="2498"><cell r="AA2498"><v>43299</v></cell><cell r="AB2498" t="str"><v>GBR_gaPMG_CE_AZR_Q1_19_Trial-Social</v></cell><cell r="AC2498"><v>21337013</v></cell><cell r="AD2498"><v>720196</v></cell><cell r="AE2498" t="str"><v>Facebook</v></cell><cell r="AF2498"><v>3654128</v></cell><cell r="AG2498" t="str"><v>Facebook»Audience & Interest Targeting»1x1»SocialBan»LIA»DT»CPC»AUT»W»NA»SS»NA»Basic Motion</v></cell><cell r="AH2498"><v>224399962</v></cell><cell r="AI2498" t="str"><v>AzurePlatform_FBCTCcanvaspage-BuyNowCTA-Img3_GBR_1080x162_SOC_Plat_English_NA_Standard_NA_BN_T3_1</v></cell><cell r="AJ2498"><v>103230847</v></cell></row><row r="2499"><cell r="C2499" t="str"><v>43299Facebook»Audience & Interest Targeting»1x1»SocialBan»LIA»DT»CPC»AUT»W»NA»SS»NA»Basic Motion</v></cell><cell r="D2499" t="str"><v>43299224399962</v></cell><cell r="E2499" t="str"><v>43299103235146Motion</v></cell><cell r="F2499" t="str"><v>DCM</v></cell><cell r="G2499" t="str"><v>https://signup.azure.com/signup?offer=ms-azr-0044p&appId=102&ref=paidmedia-social-fb&redirectURL=https%3a%2f%2fazure.microsoft.com%2fen-gb%2fget-started%2fwelcome-to-azure%2f&l=en-gb&correlationId=ead86c34-1f10-49dd-a72b-6918462a2cbf</v></cell></row><row r="2499"><cell r="K2499" t="str"><v>July</v></cell><cell r="L2499"><v>43302</v></cell><cell r="M2499" t="str"><v>Tier 1</v></cell><cell r="N2499" t="str"><v>EMEA</v></cell><cell r="O2499" t="str"><v>United Kingdom</v></cell><cell r="P2499" t="str"><v>Trial</v></cell><cell r="Q2499" t="str"><v>Social</v></cell><cell r="R2499" t="str"><v>Azure</v></cell><cell r="S2499" t="str"><v>Apps & Infra</v></cell><cell r="T2499" t="str"><v>Developers & ITI's</v></cell><cell r="U2499" t="str"><v>Audience & Interest Targeting</v></cell><cell r="V2499" t="str"><v>Audience Targeting</v></cell><cell r="W2499" t="str"><v>Link Ad</v></cell><cell r="X2499" t="str"><v>1x1</v></cell></row><row r="2499"><cell r="AA2499"><v>43299</v></cell><cell r="AB2499" t="str"><v>GBR_gaPMG_CE_AZR_Q1_19_Trial-Social</v></cell><cell r="AC2499"><v>21337013</v></cell><cell r="AD2499"><v>720196</v></cell><cell r="AE2499" t="str"><v>Facebook</v></cell><cell r="AF2499"><v>3654128</v></cell><cell r="AG2499" t="str"><v>Facebook»Audience & Interest Targeting»1x1»SocialBan»LIA»DT»CPC»AUT»W»NA»SS»NA»Basic Motion</v></cell><cell r="AH2499"><v>224399962</v></cell><cell r="AI2499" t="str"><v>AzurePlatform_FBCTCcanvaspage-StartFreeCTA-Img2_GBR_1080x143 _SOC_Plat_English_NA_Standard_NA_NA_T2_1</v></cell><cell r="AJ2499"><v>103235146</v></cell></row><row r="2500"><cell r="C2500" t="str"><v>43299Facebook»Audience & Interest Targeting»1x1»SocialBan»LIA»DT»CPC»AUT»W»NA»SS»NA»Benefit 2 in Motion</v></cell><cell r="D2500" t="str"><v>43299224334170</v></cell><cell r="E2500" t="str"><v>43299103235146Motion</v></cell><cell r="F2500" t="str"><v>DCM</v></cell><cell r="G2500" t="str"><v>https://signup.azure.com/signup?offer=ms-azr-0044p&appId=102&ref=paidmedia-social-fb&redirectURL=https%3a%2f%2fazure.microsoft.com%2fen-gb%2fget-started%2fwelcome-to-azure%2f&l=en-gb&correlationId=ead86c34-1f10-49dd-a72b-6918462a2cbf</v></cell></row><row r="2500"><cell r="K2500" t="str"><v>July</v></cell><cell r="L2500"><v>43302</v></cell><cell r="M2500" t="str"><v>Tier 1</v></cell><cell r="N2500" t="str"><v>EMEA</v></cell><cell r="O2500" t="str"><v>United Kingdom</v></cell><cell r="P2500" t="str"><v>Trial</v></cell><cell r="Q2500" t="str"><v>Social</v></cell><cell r="R2500" t="str"><v>Azure</v></cell><cell r="S2500" t="str"><v>Apps & Infra</v></cell><cell r="T2500" t="str"><v>Developers & ITI's</v></cell><cell r="U2500" t="str"><v>Audience & Interest Targeting</v></cell><cell r="V2500" t="str"><v>Audience Targeting</v></cell><cell r="W2500" t="str"><v>Link Ad</v></cell><cell r="X2500" t="str"><v>1x1</v></cell></row><row r="2500"><cell r="AA2500"><v>43299</v></cell><cell r="AB2500" t="str"><v>GBR_gaPMG_CE_AZR_Q1_19_Trial-Social</v></cell><cell r="AC2500"><v>21337013</v></cell><cell r="AD2500"><v>720196</v></cell><cell r="AE2500" t="str"><v>Facebook</v></cell><cell r="AF2500"><v>3654128</v></cell><cell r="AG2500" t="str"><v>Facebook»Audience & Interest Targeting»1x1»SocialBan»LIA»DT»CPC»AUT»W»NA»SS»NA»Benefit 2 in Motion</v></cell><cell r="AH2500"><v>224334170</v></cell><cell r="AI2500" t="str"><v>AzurePlatform_FBCTCcanvaspage-StartFreeCTA-Img2_GBR_1080x143 _SOC_Plat_English_NA_Standard_NA_NA_T2_1</v></cell><cell r="AJ2500"><v>103235146</v></cell></row><row r="2501"><cell r="C2501" t="str"><v>43299Facebook»Audience & Interest Targeting»1x1»SocialBan»LIA»DT»CPC»AUT»W»NA»SS»NA»Brand in Motion</v></cell><cell r="D2501" t="str"><v>43299224549481</v></cell><cell r="E2501" t="str"><v>43299103235146Motion</v></cell><cell r="F2501" t="str"><v>DCM</v></cell><cell r="G2501" t="str"><v>https://signup.azure.com/signup?offer=ms-azr-0044p&appId=102&ref=paidmedia-social-fb&redirectURL=https%3a%2f%2fazure.microsoft.com%2fen-gb%2fget-started%2fwelcome-to-azure%2f&l=en-gb&correlationId=ead86c34-1f10-49dd-a72b-6918462a2cbf</v></cell></row><row r="2501"><cell r="K2501" t="str"><v>July</v></cell><cell r="L2501"><v>43302</v></cell><cell r="M2501" t="str"><v>Tier 1</v></cell><cell r="N2501" t="str"><v>EMEA</v></cell><cell r="O2501" t="str"><v>United Kingdom</v></cell><cell r="P2501" t="str"><v>Trial</v></cell><cell r="Q2501" t="str"><v>Social</v></cell><cell r="R2501" t="str"><v>Azure</v></cell><cell r="S2501" t="str"><v>Apps & Infra</v></cell><cell r="T2501" t="str"><v>Developers & ITI's</v></cell><cell r="U2501" t="str"><v>Audience & Interest Targeting</v></cell><cell r="V2501" t="str"><v>Audience Targeting</v></cell><cell r="W2501" t="str"><v>Link Ad</v></cell><cell r="X2501" t="str"><v>1x1</v></cell></row><row r="2501"><cell r="AA2501"><v>43299</v></cell><cell r="AB2501" t="str"><v>GBR_gaPMG_CE_AZR_Q1_19_Trial-Social</v></cell><cell r="AC2501"><v>21337013</v></cell><cell r="AD2501"><v>720196</v></cell><cell r="AE2501" t="str"><v>Facebook</v></cell><cell r="AF2501"><v>3654128</v></cell><cell r="AG2501" t="str"><v>Facebook»Audience & Interest Targeting»1x1»SocialBan»LIA»DT»CPC»AUT»W»NA»SS»NA»Brand in Motion</v></cell><cell r="AH2501"><v>224549481</v></cell><cell r="AI2501" t="str"><v>AzurePlatform_FBCTCcanvaspage-StartFreeCTA-Img2_GBR_1080x143 _SOC_Plat_English_NA_Standard_NA_NA_T2_1</v></cell><cell r="AJ2501"><v>103235146</v></cell></row><row r="2502"><cell r="C2502" t="str"><v>43299Facebook»Audience & Interest Targeting»1x1»SocialBan»LIA»DT»DYN»AUT»W»NA»SS»NA»Free Account Refresh- 12 months ChE</v></cell><cell r="D2502" t="str"><v>43299223567691</v></cell><cell r="E2502" t="str"><v>43299102854007hs ChE</v></cell><cell r="F2502" t="str"><v>DCM</v></cell><cell r="G2502" t="str"><v>https://azure.microsoft.com/en-gb/free/search/</v></cell></row><row r="2502"><cell r="K2502" t="str"><v>July</v></cell><cell r="L2502"><v>43302</v></cell><cell r="M2502" t="str"><v>Tier 1</v></cell><cell r="N2502" t="str"><v>EMEA</v></cell><cell r="O2502" t="str"><v>United Kingdom</v></cell><cell r="P2502" t="str"><v>Trial</v></cell><cell r="Q2502" t="str"><v>Social</v></cell><cell r="R2502" t="str"><v>Azure</v></cell><cell r="S2502" t="str"><v>Apps & Infra</v></cell><cell r="T2502" t="str"><v>Developers & ITI's</v></cell><cell r="U2502" t="str"><v>Audience & Interest Targeting</v></cell><cell r="V2502" t="str"><v>Audience Targeting</v></cell><cell r="W2502" t="str"><v>Link Ad</v></cell><cell r="X2502" t="str"><v>1x1</v></cell></row><row r="2502"><cell r="AA2502"><v>43299</v></cell><cell r="AB2502" t="str"><v>GBR_gaPMG_CE_AZR_Q1_19_Trial-Social</v></cell><cell r="AC2502"><v>21337013</v></cell><cell r="AD2502"><v>720196</v></cell><cell r="AE2502" t="str"><v>Facebook</v></cell><cell r="AF2502"><v>3654128</v></cell><cell r="AG2502" t="str"><v>Facebook»Audience & Interest Targeting»1x1»SocialBan»LIA»DT»DYN»AUT»W»NA»SS»NA»Free Account Refresh- 12 months ChE</v></cell><cell r="AH2502"><v>223567691</v></cell><cell r="AI2502" t="str"><v>AzurePlatform_FreeAcctAppsFACEBOOK12monthsChE_GBR_1200x628_SOC_PLAT_EN_Trial_Standard_NA_SU_T5_1</v></cell><cell r="AJ2502"><v>102854007</v></cell></row><row r="2503"><cell r="C2503" t="str"><v>43299Facebook»Audience & Interest Targeting»1x1»SocialBan»LIA»DT»DYN»AUT»W»NA»SS»NA»Free Account Refresh- 200 Credit ChD</v></cell><cell r="D2503" t="str"><v>43299223560359</v></cell><cell r="E2503" t="str"><v>43299103005662it ChD</v></cell><cell r="F2503" t="str"><v>DCM</v></cell><cell r="G2503" t="str"><v>https://azure.microsoft.com/en-gb/free/search/</v></cell></row><row r="2503"><cell r="K2503" t="str"><v>July</v></cell><cell r="L2503"><v>43302</v></cell><cell r="M2503" t="str"><v>Tier 1</v></cell><cell r="N2503" t="str"><v>EMEA</v></cell><cell r="O2503" t="str"><v>United Kingdom</v></cell><cell r="P2503" t="str"><v>Trial</v></cell><cell r="Q2503" t="str"><v>Social</v></cell><cell r="R2503" t="str"><v>Azure</v></cell><cell r="S2503" t="str"><v>Apps & Infra</v></cell><cell r="T2503" t="str"><v>Developers & ITI's</v></cell><cell r="U2503" t="str"><v>Audience & Interest Targeting</v></cell><cell r="V2503" t="str"><v>Audience Targeting</v></cell><cell r="W2503" t="str"><v>Link Ad</v></cell><cell r="X2503" t="str"><v>1x1</v></cell></row><row r="2503"><cell r="AA2503"><v>43299</v></cell><cell r="AB2503" t="str"><v>GBR_gaPMG_CE_AZR_Q1_19_Trial-Social</v></cell><cell r="AC2503"><v>21337013</v></cell><cell r="AD2503"><v>720196</v></cell><cell r="AE2503" t="str"><v>Facebook</v></cell><cell r="AF2503"><v>3654128</v></cell><cell r="AG2503" t="str"><v>Facebook»Audience & Interest Targeting»1x1»SocialBan»LIA»DT»DYN»AUT»W»NA»SS»NA»Free Account Refresh- 200 Credit ChD</v></cell><cell r="AH2503"><v>223560359</v></cell><cell r="AI2503" t="str"><v>AzurePlatform_FreeAcctAppsFACEBOOK200CreditChD_GBR_1200x628_SOC_PLAT_EN_Trial_Standard_NA_SU_T4_1</v></cell><cell r="AJ2503"><v>103005662</v></cell></row><row r="2504"><cell r="C2504" t="str"><v>43299Facebook»Audience & Interest Targeting»1x1»SocialBan»LIA»DT»DYN»AUT»W»NA»SS»NA»Free Account Refresh- Device ChB</v></cell><cell r="D2504" t="str"><v>43299223560353</v></cell><cell r="E2504" t="str"><v>43299102854010ce ChB</v></cell><cell r="F2504" t="str"><v>DCM</v></cell><cell r="G2504" t="str"><v>https://azure.microsoft.com/en-gb/free/search/</v></cell></row><row r="2504"><cell r="K2504" t="str"><v>July</v></cell><cell r="L2504"><v>43302</v></cell><cell r="M2504" t="str"><v>Tier 1</v></cell><cell r="N2504" t="str"><v>EMEA</v></cell><cell r="O2504" t="str"><v>United Kingdom</v></cell><cell r="P2504" t="str"><v>Trial</v></cell><cell r="Q2504" t="str"><v>Social</v></cell><cell r="R2504" t="str"><v>Azure</v></cell><cell r="S2504" t="str"><v>Apps & Infra</v></cell><cell r="T2504" t="str"><v>Developers & ITI's</v></cell><cell r="U2504" t="str"><v>Audience & Interest Targeting</v></cell><cell r="V2504" t="str"><v>Audience Targeting</v></cell><cell r="W2504" t="str"><v>Link Ad</v></cell><cell r="X2504" t="str"><v>1x1</v></cell></row><row r="2504"><cell r="AA2504"><v>43299</v></cell><cell r="AB2504" t="str"><v>GBR_gaPMG_CE_AZR_Q1_19_Trial-Social</v></cell><cell r="AC2504"><v>21337013</v></cell><cell r="AD2504"><v>720196</v></cell><cell r="AE2504" t="str"><v>Facebook</v></cell><cell r="AF2504"><v>3654128</v></cell><cell r="AG2504" t="str"><v>Facebook»Audience & Interest Targeting»1x1»SocialBan»LIA»DT»DYN»AUT»W»NA»SS»NA»Free Account Refresh- Device ChB</v></cell><cell r="AH2504"><v>223560353</v></cell><cell r="AI2504" t="str"><v>AzurePlatform_FreeAcctAppsFACEBOOKDeviceChB_GBR_1200x628_SOC_PLAT_EN_Trial_Standard_NA_SU_T2_1</v></cell><cell r="AJ2504"><v>102854010</v></cell></row><row r="2505"><cell r="C2505" t="str"><v>43299Facebook»Audience & Interest Targeting»1x1»SocialBan»LIA»DT»DYN»AUT»W»NA»SS»NA»Free Account Refresh- Illustration ChC</v></cell><cell r="D2505" t="str"><v>43299223560347</v></cell><cell r="E2505" t="str"><v>43299102857037on ChC</v></cell><cell r="F2505" t="str"><v>DCM</v></cell><cell r="G2505" t="str"><v>https://azure.microsoft.com/en-gb/free/search/</v></cell></row><row r="2505"><cell r="K2505" t="str"><v>July</v></cell><cell r="L2505"><v>43302</v></cell><cell r="M2505" t="str"><v>Tier 1</v></cell><cell r="N2505" t="str"><v>EMEA</v></cell><cell r="O2505" t="str"><v>United Kingdom</v></cell><cell r="P2505" t="str"><v>Trial</v></cell><cell r="Q2505" t="str"><v>Social</v></cell><cell r="R2505" t="str"><v>Azure</v></cell><cell r="S2505" t="str"><v>Apps & Infra</v></cell><cell r="T2505" t="str"><v>Developers & ITI's</v></cell><cell r="U2505" t="str"><v>Audience & Interest Targeting</v></cell><cell r="V2505" t="str"><v>Audience Targeting</v></cell><cell r="W2505" t="str"><v>Link Ad</v></cell><cell r="X2505" t="str"><v>1x1</v></cell></row><row r="2505"><cell r="AA2505"><v>43299</v></cell><cell r="AB2505" t="str"><v>GBR_gaPMG_CE_AZR_Q1_19_Trial-Social</v></cell><cell r="AC2505"><v>21337013</v></cell><cell r="AD2505"><v>720196</v></cell><cell r="AE2505" t="str"><v>Facebook</v></cell><cell r="AF2505"><v>3654128</v></cell><cell r="AG2505" t="str"><v>Facebook»Audience & Interest Targeting»1x1»SocialBan»LIA»DT»DYN»AUT»W»NA»SS»NA»Free Account Refresh- Illustration ChC</v></cell><cell r="AH2505"><v>223560347</v></cell><cell r="AI2505" t="str"><v>AzurePlatform_FreeAcctAppsFACEBOOKIllustrationChC_GBR_1200x628_SOC_PLAT_EN_Trial_Standard_NA_SU_T3_1</v></cell><cell r="AJ2505"><v>102857037</v></cell></row><row r="2506"><cell r="C2506" t="str"><v>43299Facebook»Audience & Interest Targeting»1x1»SocialBan»LIA»DT»DYN»AUT»W»NA»SS»NA»Free Account Refresh- Lifestyle ChA</v></cell><cell r="D2506" t="str"><v>43299223560341</v></cell><cell r="E2506" t="str"><v>43299102853597le ChA</v></cell><cell r="F2506" t="str"><v>DCM</v></cell><cell r="G2506" t="str"><v>https://azure.microsoft.com/en-gb/free/search/</v></cell></row><row r="2506"><cell r="K2506" t="str"><v>July</v></cell><cell r="L2506"><v>43302</v></cell><cell r="M2506" t="str"><v>Tier 1</v></cell><cell r="N2506" t="str"><v>EMEA</v></cell><cell r="O2506" t="str"><v>United Kingdom</v></cell><cell r="P2506" t="str"><v>Trial</v></cell><cell r="Q2506" t="str"><v>Social</v></cell><cell r="R2506" t="str"><v>Azure</v></cell><cell r="S2506" t="str"><v>Apps & Infra</v></cell><cell r="T2506" t="str"><v>Developers & ITI's</v></cell><cell r="U2506" t="str"><v>Audience & Interest Targeting</v></cell><cell r="V2506" t="str"><v>Audience Targeting</v></cell><cell r="W2506" t="str"><v>Link Ad</v></cell><cell r="X2506" t="str"><v>1x1</v></cell></row><row r="2506"><cell r="AA2506"><v>43299</v></cell><cell r="AB2506" t="str"><v>GBR_gaPMG_CE_AZR_Q1_19_Trial-Social</v></cell><cell r="AC2506"><v>21337013</v></cell><cell r="AD2506"><v>720196</v></cell><cell r="AE2506" t="str"><v>Facebook</v></cell><cell r="AF2506"><v>3654128</v></cell><cell r="AG2506" t="str"><v>Facebook»Audience & Interest Targeting»1x1»SocialBan»LIA»DT»DYN»AUT»W»NA»SS»NA»Free Account Refresh- Lifestyle ChA</v></cell><cell r="AH2506"><v>223560341</v></cell><cell r="AI2506" t="str"><v>AzurePlatform_FreeAcctAppsFACEBOOKLifestyleChA_GBR_1200x628_SOC_PLAT_EN_Trial_Standard_NA_SU_T1_1</v></cell><cell r="AJ2506"><v>102853597</v></cell></row><row r="2507"><cell r="C2507" t="str"><v>43299Facebook»Retargeting»1x1»SocialBan»LIA»DT»DYN»RT»W»NA»SS»NA»Free Account Retargeting Generic- Animated ChC</v></cell><cell r="D2507" t="str"><v>43299223560299</v></cell><cell r="E2507" t="str"><v>43299102854019ed ChC</v></cell><cell r="F2507" t="str"><v>DCM</v></cell><cell r="G2507" t="str"><v>https://azure.microsoft.com/en-gb/free/search/</v></cell></row><row r="2507"><cell r="K2507" t="str"><v>July</v></cell><cell r="L2507"><v>43302</v></cell><cell r="M2507" t="str"><v>Tier 1</v></cell><cell r="N2507" t="str"><v>EMEA</v></cell><cell r="O2507" t="str"><v>United Kingdom</v></cell><cell r="P2507" t="str"><v>Trial</v></cell><cell r="Q2507" t="str"><v>Social</v></cell><cell r="R2507" t="str"><v>Azure</v></cell><cell r="S2507" t="str"><v>Apps & Infra</v></cell><cell r="T2507" t="str"><v>Developers & ITI's</v></cell><cell r="U2507" t="str"><v>Retargeting</v></cell><cell r="V2507" t="str"><v>Retargeting</v></cell><cell r="W2507" t="str"><v>Link Ad</v></cell><cell r="X2507" t="str"><v>1x1</v></cell></row><row r="2507"><cell r="AA2507"><v>43299</v></cell><cell r="AB2507" t="str"><v>GBR_gaPMG_CE_AZR_Q1_19_Trial-Social</v></cell><cell r="AC2507"><v>21337013</v></cell><cell r="AD2507"><v>720196</v></cell><cell r="AE2507" t="str"><v>Facebook</v></cell><cell r="AF2507"><v>3654128</v></cell><cell r="AG2507" t="str"><v>Facebook»Retargeting»1x1»SocialBan»LIA»DT»DYN»RT»W»NA»SS»NA»Free Account Retargeting Generic- Animated ChC</v></cell><cell r="AH2507"><v>223560299</v></cell><cell r="AI2507" t="str"><v>AzurePlatform_FreeAcctRetargetingFB-Animated-ChC_GBR_1200x628_SOC_Plat_EN_Free Account_Standard_ANI_SU_T3_1</v></cell><cell r="AJ2507"><v>102854019</v></cell></row><row r="2508"><cell r="C2508" t="str"><v>43299Facebook»Retargeting»1x1»SocialBan»LIA»DT»DYN»RT»W»NA»SS»NA»Free Account Retargeting Generic- Global Alt ChB</v></cell><cell r="D2508" t="str"><v>43299223560356</v></cell><cell r="E2508" t="str"><v>43299102854016lt ChB</v></cell><cell r="F2508" t="str"><v>DCM</v></cell><cell r="G2508" t="str"><v>https://azure.microsoft.com/en-gb/free/search/</v></cell></row><row r="2508"><cell r="K2508" t="str"><v>July</v></cell><cell r="L2508"><v>43302</v></cell><cell r="M2508" t="str"><v>Tier 1</v></cell><cell r="N2508" t="str"><v>EMEA</v></cell><cell r="O2508" t="str"><v>United Kingdom</v></cell><cell r="P2508" t="str"><v>Trial</v></cell><cell r="Q2508" t="str"><v>Social</v></cell><cell r="R2508" t="str"><v>Azure</v></cell><cell r="S2508" t="str"><v>Apps & Infra</v></cell><cell r="T2508" t="str"><v>Developers & ITI's</v></cell><cell r="U2508" t="str"><v>Retargeting</v></cell><cell r="V2508" t="str"><v>Retargeting</v></cell><cell r="W2508" t="str"><v>Link Ad</v></cell><cell r="X2508" t="str"><v>1x1</v></cell></row><row r="2508"><cell r="AA2508"><v>43299</v></cell><cell r="AB2508" t="str"><v>GBR_gaPMG_CE_AZR_Q1_19_Trial-Social</v></cell><cell r="AC2508"><v>21337013</v></cell><cell r="AD2508"><v>720196</v></cell><cell r="AE2508" t="str"><v>Facebook</v></cell><cell r="AF2508"><v>3654128</v></cell><cell r="AG2508" t="str"><v>Facebook»Retargeting»1x1»SocialBan»LIA»DT»DYN»RT»W»NA»SS»NA»Free Account Retargeting Generic- Global Alt ChB</v></cell><cell r="AH2508"><v>223560356</v></cell><cell r="AI2508" t="str"><v>AzurePlatform_FreeAcctRetargetingFB-GlobalAlt-ChB_GBR_1200x628_SOC_Plat_EN_Free Account_Standard_NA_SU_T2_1</v></cell><cell r="AJ2508"><v>102854016</v></cell></row><row r="2509"><cell r="C2509" t="str"><v>43299Facebook»Retargeting»1x1»SocialBan»LIA»DT»DYN»RT»W»NA»SS»NA»Free Account Retargeting OSS- Logos ChG</v></cell><cell r="D2509" t="str"><v>43299223560350</v></cell><cell r="E2509" t="str"><v>43299103006547os ChG</v></cell><cell r="F2509" t="str"><v>DCM</v></cell><cell r="G2509" t="str"><v>https://azure.microsoft.com/en-gb/free/open-source/search/</v></cell></row><row r="2509"><cell r="K2509" t="str"><v>July</v></cell><cell r="L2509"><v>43302</v></cell><cell r="M2509" t="str"><v>Tier 1</v></cell><cell r="N2509" t="str"><v>EMEA</v></cell><cell r="O2509" t="str"><v>United Kingdom</v></cell><cell r="P2509" t="str"><v>Trial</v></cell><cell r="Q2509" t="str"><v>Social</v></cell><cell r="R2509" t="str"><v>Azure</v></cell><cell r="S2509" t="str"><v>Apps & Infra</v></cell><cell r="T2509" t="str"><v>Developers & ITI's</v></cell><cell r="U2509" t="str"><v>Retargeting</v></cell><cell r="V2509" t="str"><v>Retargeting</v></cell><cell r="W2509" t="str"><v>Link Ad</v></cell><cell r="X2509" t="str"><v>1x1</v></cell></row><row r="2509"><cell r="AA2509"><v>43299</v></cell><cell r="AB2509" t="str"><v>GBR_gaPMG_CE_AZR_Q1_19_Trial-Social</v></cell><cell r="AC2509"><v>21337013</v></cell><cell r="AD2509"><v>720196</v></cell><cell r="AE2509" t="str"><v>Facebook</v></cell><cell r="AF2509"><v>3654128</v></cell><cell r="AG2509" t="str"><v>Facebook»Retargeting»1x1»SocialBan»LIA»DT»DYN»RT»W»NA»SS»NA»Free Account Retargeting OSS- Logos ChG</v></cell><cell r="AH2509"><v>223560350</v></cell><cell r="AI2509" t="str"><v>AzurePlatform_FreeAcctRetargetingOSSFB-Logos-ChG_GBR_1200x628_SOC_Plat_EN_Free Account_Standard_NA_SU_T2_1</v></cell><cell r="AJ2509"><v>103006547</v></cell></row><row r="2510"><cell r="C2510" t="str"><v>43299Facebook»Retargeting»1x1»SocialBan»LIA»DT»DYN»RT»W»NA»SS»NA»Free Account Retargeting OSS- Text ChF</v></cell><cell r="D2510" t="str"><v>43299223560344</v></cell><cell r="E2510" t="str"><v>43299102861246xt ChF</v></cell><cell r="F2510" t="str"><v>DCM</v></cell><cell r="G2510" t="str"><v>https://azure.microsoft.com/en-gb/free/open-source/search/</v></cell></row><row r="2510"><cell r="K2510" t="str"><v>July</v></cell><cell r="L2510"><v>43302</v></cell><cell r="M2510" t="str"><v>Tier 1</v></cell><cell r="N2510" t="str"><v>EMEA</v></cell><cell r="O2510" t="str"><v>United Kingdom</v></cell><cell r="P2510" t="str"><v>Trial</v></cell><cell r="Q2510" t="str"><v>Social</v></cell><cell r="R2510" t="str"><v>Azure</v></cell><cell r="S2510" t="str"><v>Apps & Infra</v></cell><cell r="T2510" t="str"><v>Developers & ITI's</v></cell><cell r="U2510" t="str"><v>Retargeting</v></cell><cell r="V2510" t="str"><v>Retargeting</v></cell><cell r="W2510" t="str"><v>Link Ad</v></cell><cell r="X2510" t="str"><v>1x1</v></cell></row><row r="2510"><cell r="AA2510"><v>43299</v></cell><cell r="AB2510" t="str"><v>GBR_gaPMG_CE_AZR_Q1_19_Trial-Social</v></cell><cell r="AC2510"><v>21337013</v></cell><cell r="AD2510"><v>720196</v></cell><cell r="AE2510" t="str"><v>Facebook</v></cell><cell r="AF2510"><v>3654128</v></cell><cell r="AG2510" t="str"><v>Facebook»Retargeting»1x1»SocialBan»LIA»DT»DYN»RT»W»NA»SS»NA»Free Account Retargeting OSS- Text ChF</v></cell><cell r="AH2510"><v>223560344</v></cell><cell r="AI2510" t="str"><v>AzurePlatform_FreeAcctRetargetingOSSFB-Text-ChF_GBR_1200x628_SOC_Plat_EN_Free Account_Standard_NA_SU_T1_1</v></cell><cell r="AJ2510"><v>102861246</v></cell></row><row r="2511"><cell r="C2511" t="str"><v>43299Facebook»Retargeting»1x1»SocialBan»LIA»DT»DYN»RT»W»NA»SS»NA»Free Account Retargeting VM- 750 Hrs ChD</v></cell><cell r="D2511" t="str"><v>43299223560338</v></cell><cell r="E2511" t="str"><v>43299102853603rs ChD</v></cell><cell r="F2511" t="str"><v>DCM</v></cell><cell r="G2511" t="str"><v>https://azure.microsoft.com/en-gb/free/virtual-machines/search/</v></cell></row><row r="2511"><cell r="K2511" t="str"><v>July</v></cell><cell r="L2511"><v>43302</v></cell><cell r="M2511" t="str"><v>Tier 1</v></cell><cell r="N2511" t="str"><v>EMEA</v></cell><cell r="O2511" t="str"><v>United Kingdom</v></cell><cell r="P2511" t="str"><v>Trial</v></cell><cell r="Q2511" t="str"><v>Social</v></cell><cell r="R2511" t="str"><v>Azure</v></cell><cell r="S2511" t="str"><v>Apps & Infra</v></cell><cell r="T2511" t="str"><v>Developers & ITI's</v></cell><cell r="U2511" t="str"><v>Retargeting</v></cell><cell r="V2511" t="str"><v>Retargeting</v></cell><cell r="W2511" t="str"><v>Link Ad</v></cell><cell r="X2511" t="str"><v>1x1</v></cell></row><row r="2511"><cell r="AA2511"><v>43299</v></cell><cell r="AB2511" t="str"><v>GBR_gaPMG_CE_AZR_Q1_19_Trial-Social</v></cell><cell r="AC2511"><v>21337013</v></cell><cell r="AD2511"><v>720196</v></cell><cell r="AE2511" t="str"><v>Facebook</v></cell><cell r="AF2511"><v>3654128</v></cell><cell r="AG2511" t="str"><v>Facebook»Retargeting»1x1»SocialBan»LIA»DT»DYN»RT»W»NA»SS»NA»Free Account Retargeting VM- 750 Hrs ChD</v></cell><cell r="AH2511"><v>223560338</v></cell><cell r="AI2511" t="str"><v>AzurePlatform_FreeAcctRetargetingVMFB-750Hrs-ChD_GBR_1200x628_SOC_Plat_EN_Free Account_Standard_NA_SU_T1_1</v></cell><cell r="AJ2511"><v>102853603</v></cell></row><row r="2512"><cell r="C2512" t="str"><v>43299Facebook»Retargeting»1x1»SocialBan»LIA»DT»DYN»RT»W»NA»SS»NA»Free Account Retargeting VM- On Demand ChE</v></cell><cell r="D2512" t="str"><v>43299223560332</v></cell><cell r="E2512" t="str"><v>43299102854037nd ChE</v></cell><cell r="F2512" t="str"><v>DCM</v></cell><cell r="G2512" t="str"><v>https://azure.microsoft.com/en-gb/free/virtual-machines/search/</v></cell></row><row r="2512"><cell r="K2512" t="str"><v>July</v></cell><cell r="L2512"><v>43302</v></cell><cell r="M2512" t="str"><v>Tier 1</v></cell><cell r="N2512" t="str"><v>EMEA</v></cell><cell r="O2512" t="str"><v>United Kingdom</v></cell><cell r="P2512" t="str"><v>Trial</v></cell><cell r="Q2512" t="str"><v>Social</v></cell><cell r="R2512" t="str"><v>Azure</v></cell><cell r="S2512" t="str"><v>Apps & Infra</v></cell><cell r="T2512" t="str"><v>Developers & ITI's</v></cell><cell r="U2512" t="str"><v>Retargeting</v></cell><cell r="V2512" t="str"><v>Retargeting</v></cell><cell r="W2512" t="str"><v>Link Ad</v></cell><cell r="X2512" t="str"><v>1x1</v></cell></row><row r="2512"><cell r="AA2512"><v>43299</v></cell><cell r="AB2512" t="str"><v>GBR_gaPMG_CE_AZR_Q1_19_Trial-Social</v></cell><cell r="AC2512"><v>21337013</v></cell><cell r="AD2512"><v>720196</v></cell><cell r="AE2512" t="str"><v>Facebook</v></cell><cell r="AF2512"><v>3654128</v></cell><cell r="AG2512" t="str"><v>Facebook»Retargeting»1x1»SocialBan»LIA»DT»DYN»RT»W»NA»SS»NA»Free Account Retargeting VM- On Demand ChE</v></cell><cell r="AH2512"><v>223560332</v></cell><cell r="AI2512" t="str"><v>AzurePlatform_FreeAcctRetargetingVMFB-OnDemand-ChE_GBR_1200x628_SOC_Plat_EN_Free Account_Standard_NA_SU_T2_1</v></cell><cell r="AJ2512"><v>102854037</v></cell></row><row r="2513"><cell r="C2513" t="str"><v>43299Facebook»AZP-Canvas-Interest&Role-Trial»1x1»Canvas»OTH»MO»CPM»PRO»X»UNK»TP»OT»Canvas-Trial</v></cell><cell r="D2513" t="str"><v>43299223298805</v></cell><cell r="E2513" t="str"><v>43299102609621-Trial</v></cell><cell r="F2513" t="str"><v>DCM</v></cell><cell r="G2513" t="str"><v>https://signup.azure.com/signup?offer=ms-azr-0044p&appId=102&ref=paidmedia-social-fb&redirectURL=https%3a%2f%2fazure.microsoft.com%2fja-jp%2fget-started%2fwelcome-to-azure%2f&l=ja-jp&correlationId=ead86c34-1f10-49dd-a72b-6918462a2cbf</v></cell></row><row r="2513"><cell r="K2513" t="str"><v>July</v></cell><cell r="L2513"><v>43302</v></cell><cell r="M2513" t="str"><v>Tier 1</v></cell><cell r="N2513" t="str"><v>APAC</v></cell><cell r="O2513" t="str"><v>Japan</v></cell><cell r="P2513" t="str"><v>Trial</v></cell><cell r="Q2513" t="str"><v>Social</v></cell><cell r="R2513" t="str"><v>Azure</v></cell><cell r="S2513" t="str"><v>Apps & Infra</v></cell><cell r="T2513" t="str"><v>Developers & ITI's</v></cell><cell r="U2513" t="str"><v>AZP-Canvas-Interest&Role-Trial</v></cell><cell r="V2513" t="str"><v>Prospecting</v></cell><cell r="W2513" t="str"><v>Other</v></cell><cell r="X2513" t="str"><v>1x1</v></cell></row><row r="2513"><cell r="AA2513"><v>43299</v></cell><cell r="AB2513" t="str"><v>JPN_gaPMG_AZR_AZR_Q1_19_Trial-Social</v></cell><cell r="AC2513"><v>21276694</v></cell><cell r="AD2513"><v>720195</v></cell><cell r="AE2513" t="str"><v>Facebook</v></cell><cell r="AF2513"><v>3654128</v></cell><cell r="AG2513" t="str"><v>Facebook»AZP-Canvas-Interest&Role-Trial»1x1»Canvas»OTH»MO»CPM»PRO»X»UNK»TP»OT»Canvas-Trial</v></cell><cell r="AH2513"><v>223298805</v></cell><cell r="AI2513" t="str"><v>AzurePlatform_FBCTCcanvaspage-StartFreeCTA-Img2_JPN_1080x143 _SOC_Plat_Japanese_NA_Standard_NA_NA_T2_1</v></cell><cell r="AJ2513"><v>102609621</v></cell></row><row r="2514"><cell r="C2514" t="str"><v>43299Facebook»AZP-Canvas-Look a Like-Trial»1x1»Canvas»OTH»MO»CPM»PRO»X»UNK»TP»OT»Canvas-Trial</v></cell><cell r="D2514" t="str"><v>43299223297413</v></cell><cell r="E2514" t="str"><v>43299102630373-Trial</v></cell><cell r="F2514" t="str"><v>DCM</v></cell><cell r="G2514" t="str"><v>https://azure.microsoft.com/ja-jp/pricing/purchase-options/</v></cell></row><row r="2514"><cell r="K2514" t="str"><v>July</v></cell><cell r="L2514"><v>43302</v></cell><cell r="M2514" t="str"><v>Tier 1</v></cell><cell r="N2514" t="str"><v>APAC</v></cell><cell r="O2514" t="str"><v>Japan</v></cell><cell r="P2514" t="str"><v>Trial</v></cell><cell r="Q2514" t="str"><v>Social</v></cell><cell r="R2514" t="str"><v>Azure</v></cell><cell r="S2514" t="str"><v>Apps & Infra</v></cell><cell r="T2514" t="str"><v>Developers & ITI's</v></cell><cell r="U2514" t="str"><v>AZP-Canvas-Look a Like-Trial</v></cell><cell r="V2514" t="str"><v>Prospecting</v></cell><cell r="W2514" t="str"><v>Other</v></cell><cell r="X2514" t="str"><v>1x1</v></cell></row><row r="2514"><cell r="AA2514"><v>43299</v></cell><cell r="AB2514" t="str"><v>JPN_gaPMG_AZR_AZR_Q1_19_Trial-Social</v></cell><cell r="AC2514"><v>21276694</v></cell><cell r="AD2514"><v>720195</v></cell><cell r="AE2514" t="str"><v>Facebook</v></cell><cell r="AF2514"><v>3654128</v></cell><cell r="AG2514" t="str"><v>Facebook»AZP-Canvas-Look a Like-Trial»1x1»Canvas»OTH»MO»CPM»PRO»X»UNK»TP»OT»Canvas-Trial</v></cell><cell r="AH2514"><v>223297413</v></cell><cell r="AI2514" t="str"><v>AzurePlatform_FBCTCcanvaspage-BuyNowCTA-Img3_JPN_1080x162_SOC_Plat_Japanese_NA_Standard_NA_BN_T3_1</v></cell><cell r="AJ2514"><v>102630373</v></cell></row><row r="2515"><cell r="C2515" t="str"><v>43299Facebook»AZP-Canvas-Look a Like-Trial»1x1»Canvas»OTH»MO»CPM»PRO»X»UNK»TP»OT»Canvas-Trial</v></cell><cell r="D2515" t="str"><v>43299223297413</v></cell><cell r="E2515" t="str"><v>43299102609621-Trial</v></cell><cell r="F2515" t="str"><v>DCM</v></cell><cell r="G2515" t="str"><v>https://signup.azure.com/signup?offer=ms-azr-0044p&appId=102&ref=paidmedia-social-fb&redirectURL=https%3a%2f%2fazure.microsoft.com%2fja-jp%2fget-started%2fwelcome-to-azure%2f&l=ja-jp&correlationId=ead86c34-1f10-49dd-a72b-6918462a2cbf</v></cell></row><row r="2515"><cell r="K2515" t="str"><v>July</v></cell><cell r="L2515"><v>43302</v></cell><cell r="M2515" t="str"><v>Tier 1</v></cell><cell r="N2515" t="str"><v>APAC</v></cell><cell r="O2515" t="str"><v>Japan</v></cell><cell r="P2515" t="str"><v>Trial</v></cell><cell r="Q2515" t="str"><v>Social</v></cell><cell r="R2515" t="str"><v>Azure</v></cell><cell r="S2515" t="str"><v>Apps & Infra</v></cell><cell r="T2515" t="str"><v>Developers & ITI's</v></cell><cell r="U2515" t="str"><v>AZP-Canvas-Look a Like-Trial</v></cell><cell r="V2515" t="str"><v>Prospecting</v></cell><cell r="W2515" t="str"><v>Other</v></cell><cell r="X2515" t="str"><v>1x1</v></cell></row><row r="2515"><cell r="AA2515"><v>43299</v></cell><cell r="AB2515" t="str"><v>JPN_gaPMG_AZR_AZR_Q1_19_Trial-Social</v></cell><cell r="AC2515"><v>21276694</v></cell><cell r="AD2515"><v>720195</v></cell><cell r="AE2515" t="str"><v>Facebook</v></cell><cell r="AF2515"><v>3654128</v></cell><cell r="AG2515" t="str"><v>Facebook»AZP-Canvas-Look a Like-Trial»1x1»Canvas»OTH»MO»CPM»PRO»X»UNK»TP»OT»Canvas-Trial</v></cell><cell r="AH2515"><v>223297413</v></cell><cell r="AI2515" t="str"><v>AzurePlatform_FBCTCcanvaspage-StartFreeCTA-Img2_JPN_1080x143 _SOC_Plat_Japanese_NA_Standard_NA_NA_T2_1</v></cell><cell r="AJ2515"><v>102609621</v></cell></row><row r="2516"><cell r="C2516" t="str"><v>43299Facebook»AZP-Retargeting»1x1»Ban»LIA»ALL»CPM»RT»X»All»TP»OT»Free Account Retargeting Generic-ChB</v></cell><cell r="D2516" t="str"><v>43299223726377</v></cell><cell r="E2516" t="str"><v>43299102977720ic-ChB</v></cell><cell r="F2516" t="str"><v>DCM</v></cell><cell r="G2516" t="str"><v>https://azure.microsoft.com/ja-jp/free/search/</v></cell></row><row r="2516"><cell r="K2516" t="str"><v>July</v></cell><cell r="L2516"><v>43302</v></cell><cell r="M2516" t="str"><v>Tier 1</v></cell><cell r="N2516" t="str"><v>APAC</v></cell><cell r="O2516" t="str"><v>Japan</v></cell><cell r="P2516" t="str"><v>Trial</v></cell><cell r="Q2516" t="str"><v>Social</v></cell><cell r="R2516" t="str"><v>Azure</v></cell><cell r="S2516" t="str"><v>Apps & Infra</v></cell><cell r="T2516" t="str"><v>Developers & ITI's</v></cell><cell r="U2516" t="str"><v>AZP-Retargeting</v></cell><cell r="V2516" t="str"><v>Retargeting</v></cell><cell r="W2516" t="str"><v>Link Ad</v></cell><cell r="X2516" t="str"><v>1x1</v></cell></row><row r="2516"><cell r="AA2516"><v>43299</v></cell><cell r="AB2516" t="str"><v>JPN_gaPMG_AZR_AZR_Q1_19_Trial-Social</v></cell><cell r="AC2516"><v>21276694</v></cell><cell r="AD2516"><v>720195</v></cell><cell r="AE2516" t="str"><v>Facebook</v></cell><cell r="AF2516"><v>3654128</v></cell><cell r="AG2516" t="str"><v>Facebook»AZP-Retargeting»1x1»Ban»LIA»ALL»CPM»RT»X»All»TP»OT»Free Account Retargeting Generic-ChB</v></cell><cell r="AH2516"><v>223726377</v></cell><cell r="AI2516" t="str"><v>AzurePlatform_FreeAcctRetargetingFB-GlobalAlt-ChB_JPN_1200x628_SOC_Plat_JA_Free Account_Standard_NA_SU_T2_1</v></cell><cell r="AJ2516"><v>102977720</v></cell></row><row r="2517"><cell r="C2517" t="str"><v>43299Facebook»AZP-Retargeting»1x1»Ban»LIA»ALL»CPM»RT»X»All»TP»OT»Free Account Retargeting VM-ChD</v></cell><cell r="D2517" t="str"><v>43299223726374</v></cell><cell r="E2517" t="str"><v>43299102971306VM-ChD</v></cell><cell r="F2517" t="str"><v>DCM</v></cell><cell r="G2517" t="str"><v>https://azure.microsoft.com/ja-jp/free/virtual-machines/search/</v></cell></row><row r="2517"><cell r="K2517" t="str"><v>July</v></cell><cell r="L2517"><v>43302</v></cell><cell r="M2517" t="str"><v>Tier 1</v></cell><cell r="N2517" t="str"><v>APAC</v></cell><cell r="O2517" t="str"><v>Japan</v></cell><cell r="P2517" t="str"><v>Trial</v></cell><cell r="Q2517" t="str"><v>Social</v></cell><cell r="R2517" t="str"><v>Azure</v></cell><cell r="S2517" t="str"><v>Apps & Infra</v></cell><cell r="T2517" t="str"><v>Developers & ITI's</v></cell><cell r="U2517" t="str"><v>AZP-Retargeting</v></cell><cell r="V2517" t="str"><v>Retargeting</v></cell><cell r="W2517" t="str"><v>Link Ad</v></cell><cell r="X2517" t="str"><v>1x1</v></cell></row><row r="2517"><cell r="AA2517"><v>43299</v></cell><cell r="AB2517" t="str"><v>JPN_gaPMG_AZR_AZR_Q1_19_Trial-Social</v></cell><cell r="AC2517"><v>21276694</v></cell><cell r="AD2517"><v>720195</v></cell><cell r="AE2517" t="str"><v>Facebook</v></cell><cell r="AF2517"><v>3654128</v></cell><cell r="AG2517" t="str"><v>Facebook»AZP-Retargeting»1x1»Ban»LIA»ALL»CPM»RT»X»All»TP»OT»Free Account Retargeting VM-ChD</v></cell><cell r="AH2517"><v>223726374</v></cell><cell r="AI2517" t="str"><v>AzurePlatform_FreeAcctRetargetingVMFB-750Hrs-ChD_JPN_1200x628_SOC_Plat_JA_Free Account_Standard_NA_SU_T1_1</v></cell><cell r="AJ2517"><v>102971306</v></cell></row><row r="2518"><cell r="C2518" t="str"><v>43299Facebook»AZP-Retargeting»1x1»Canvas»OTH»MO»CPM»RT»W»UNK»TP»OT»Trial-Basicmotion</v></cell><cell r="D2518" t="str"><v>43299223298811</v></cell><cell r="E2518" t="str"><v>43299102773984motion</v></cell><cell r="F2518" t="str"><v>DCM</v></cell><cell r="G2518" t="str"><v>https://azure.microsoft.com/ja-jp/free/search/</v></cell></row><row r="2518"><cell r="K2518" t="str"><v>July</v></cell><cell r="L2518"><v>43302</v></cell><cell r="M2518" t="str"><v>Tier 1</v></cell><cell r="N2518" t="str"><v>APAC</v></cell><cell r="O2518" t="str"><v>Japan</v></cell><cell r="P2518" t="str"><v>Trial</v></cell><cell r="Q2518" t="str"><v>Social</v></cell><cell r="R2518" t="str"><v>Azure</v></cell><cell r="S2518" t="str"><v>Apps & Infra</v></cell><cell r="T2518" t="str"><v>Developers & ITI's</v></cell><cell r="U2518" t="str"><v>AZP-Retargeting</v></cell><cell r="V2518" t="str"><v>Retargeting</v></cell><cell r="W2518" t="str"><v>Other</v></cell><cell r="X2518" t="str"><v>1x1</v></cell></row><row r="2518"><cell r="AA2518"><v>43299</v></cell><cell r="AB2518" t="str"><v>JPN_gaPMG_AZR_AZR_Q1_19_Trial-Social</v></cell><cell r="AC2518"><v>21276694</v></cell><cell r="AD2518"><v>720195</v></cell><cell r="AE2518" t="str"><v>Facebook</v></cell><cell r="AF2518"><v>3654128</v></cell><cell r="AG2518" t="str"><v>Facebook»AZP-Retargeting»1x1»Canvas»OTH»MO»CPM»RT»W»UNK»TP»OT»Trial-Basicmotion</v></cell><cell r="AH2518"><v>223298811</v></cell><cell r="AI2518" t="str"><v>AzurePlatform_FBCTCBasicMotion_JPN_10sec_ISV_PLAT_JA_Trial_Standard_STAN_TN_T1_1</v></cell><cell r="AJ2518"><v>102773984</v></cell></row><row r="2519"><cell r="C2519" t="str"><v>43299Facebook»AZP-Retargeting»1x1»Canvas»OTH»MO»CPM»RT»W»UNK»TP»OT»Trial-Benefit2inMotion</v></cell><cell r="D2519" t="str"><v>43299223298496</v></cell><cell r="E2519" t="str"><v>43299102630376Motion</v></cell><cell r="F2519" t="str"><v>DCM</v></cell><cell r="G2519" t="str"><v>https://azure.microsoft.com/ja-jp/free/search/</v></cell></row><row r="2519"><cell r="K2519" t="str"><v>July</v></cell><cell r="L2519"><v>43302</v></cell><cell r="M2519" t="str"><v>Tier 1</v></cell><cell r="N2519" t="str"><v>APAC</v></cell><cell r="O2519" t="str"><v>Japan</v></cell><cell r="P2519" t="str"><v>Trial</v></cell><cell r="Q2519" t="str"><v>Social</v></cell><cell r="R2519" t="str"><v>Azure</v></cell><cell r="S2519" t="str"><v>Apps & Infra</v></cell><cell r="T2519" t="str"><v>Developers & ITI's</v></cell><cell r="U2519" t="str"><v>AZP-Retargeting</v></cell><cell r="V2519" t="str"><v>Retargeting</v></cell><cell r="W2519" t="str"><v>Other</v></cell><cell r="X2519" t="str"><v>1x1</v></cell></row><row r="2519"><cell r="AA2519"><v>43299</v></cell><cell r="AB2519" t="str"><v>JPN_gaPMG_AZR_AZR_Q1_19_Trial-Social</v></cell><cell r="AC2519"><v>21276694</v></cell><cell r="AD2519"><v>720195</v></cell><cell r="AE2519" t="str"><v>Facebook</v></cell><cell r="AF2519"><v>3654128</v></cell><cell r="AG2519" t="str"><v>Facebook»AZP-Retargeting»1x1»Canvas»OTH»MO»CPM»RT»W»UNK»TP»OT»Trial-Benefit2inMotion</v></cell><cell r="AH2519"><v>223298496</v></cell><cell r="AI2519" t="str"><v>AzurePlatform_FBCTCBenefit2inMotion_JPN_14sec_ISV_PLAT_JA_Trial_Standard_STAN_TN_T4_1</v></cell><cell r="AJ2519"><v>102630376</v></cell></row><row r="2520"><cell r="C2520" t="str"><v>43299Facebook»AZP-Retargeting»1x1»Canvas»OTH»MO»CPM»RT»W»UNK»TP»OT»Trial-BrandinMotion</v></cell><cell r="D2520" t="str"><v>43299223298823</v></cell><cell r="E2520" t="str"><v>43299102612720Motion</v></cell><cell r="F2520" t="str"><v>DCM</v></cell><cell r="G2520" t="str"><v>https://azure.microsoft.com/ja-jp/free/search/</v></cell></row><row r="2520"><cell r="K2520" t="str"><v>July</v></cell><cell r="L2520"><v>43302</v></cell><cell r="M2520" t="str"><v>Tier 1</v></cell><cell r="N2520" t="str"><v>APAC</v></cell><cell r="O2520" t="str"><v>Japan</v></cell><cell r="P2520" t="str"><v>Trial</v></cell><cell r="Q2520" t="str"><v>Social</v></cell><cell r="R2520" t="str"><v>Azure</v></cell><cell r="S2520" t="str"><v>Apps & Infra</v></cell><cell r="T2520" t="str"><v>Developers & ITI's</v></cell><cell r="U2520" t="str"><v>AZP-Retargeting</v></cell><cell r="V2520" t="str"><v>Retargeting</v></cell><cell r="W2520" t="str"><v>Other</v></cell><cell r="X2520" t="str"><v>1x1</v></cell></row><row r="2520"><cell r="AA2520"><v>43299</v></cell><cell r="AB2520" t="str"><v>JPN_gaPMG_AZR_AZR_Q1_19_Trial-Social</v></cell><cell r="AC2520"><v>21276694</v></cell><cell r="AD2520"><v>720195</v></cell><cell r="AE2520" t="str"><v>Facebook</v></cell><cell r="AF2520"><v>3654128</v></cell><cell r="AG2520" t="str"><v>Facebook»AZP-Retargeting»1x1»Canvas»OTH»MO»CPM»RT»W»UNK»TP»OT»Trial-BrandinMotion</v></cell><cell r="AH2520"><v>223298823</v></cell><cell r="AI2520" t="str"><v>AzurePlatform_FBCTCBrandinMotion_JPN_12sec_ISV_PLAT_JA_Trial_Standard_STAN_TN_T2_1</v></cell><cell r="AJ2520"><v>102612720</v></cell></row><row r="2521"><cell r="C2521" t="str"><v>43299FACEBOOK»USA-Trial-ITD-Interest Prospecting-AZR-AZR»1 x 1»SocialBan»CAN»ALL»CPA»PRO»X»NA»SS»NA»FBCTCBasicMotion»PRC1SV</v></cell><cell r="D2521" t="str"><v>43299223934062</v></cell><cell r="E2521" t="str"><v>43299103043823PRC1SV</v></cell><cell r="F2521" t="str"><v>DCM</v></cell><cell r="G2521" t="str"><v>https://signup.azure.com/?OCID=AID%eexcid!_OLA_%ebuy!_%epid!_%ecid!</v></cell></row><row r="2521"><cell r="K2521" t="str"><v>July</v></cell><cell r="L2521"><v>43302</v></cell><cell r="M2521" t="str"><v>Tier 0</v></cell><cell r="N2521" t="str"><v>North America</v></cell><cell r="O2521" t="str"><v>United States</v></cell><cell r="P2521" t="str"><v>Trial</v></cell><cell r="Q2521" t="str"><v>Social</v></cell><cell r="R2521" t="str"><v>Azure</v></cell><cell r="S2521" t="str"><v>Apps & Infra</v></cell><cell r="T2521" t="str"><v>Developers & ITI's</v></cell><cell r="U2521" t="str"><v>USA-Trial-ITD-Interest Prospecting-AZR-AZR</v></cell><cell r="V2521" t="str"><v>Prospecting</v></cell><cell r="W2521" t="str"><v>Canvas Ad</v></cell><cell r="X2521" t="str"><v>1x1</v></cell></row><row r="2521"><cell r="AA2521"><v>43299</v></cell><cell r="AB2521" t="str"><v>USA_gaPMG_AZR_AZR_Q1_19_Direct-Social</v></cell><cell r="AC2521"><v>21358715</v></cell><cell r="AD2521"><v>720197</v></cell><cell r="AE2521" t="str"><v>Facebook</v></cell><cell r="AF2521"><v>3654128</v></cell><cell r="AG2521" t="str"><v>FACEBOOK»USA-Trial-ITD-Interest Prospecting-AZR-AZR»1 x 1»SocialBan»CAN»ALL»CPA»PRO»X»NA»SS»NA»FBCTCBasicMotion»PRC1SV</v></cell><cell r="AH2521"><v>223934062</v></cell><cell r="AI2521" t="str"><v>AzurePlatform_FBCTCBasicMotion_USA_10s_CAN_PLATFORM_English_Trial_Standard_STAN_TIN_T1_1</v></cell><cell r="AJ2521"><v>103043823</v></cell></row><row r="2522"><cell r="C2522" t="str"><v>43299FACEBOOK»USA-Trial-ITD-Interest Prospecting-AZR-AZR»1 x 1»SocialBan»CAN»ALL»CPA»PRO»X»NA»SS»NA»FBCTCBasicMotion»PRC1SV</v></cell><cell r="D2522" t="str"><v>43299223934062</v></cell><cell r="E2522" t="str"><v>43299103175984PRC1SV</v></cell><cell r="F2522" t="str"><v>DCM</v></cell><cell r="G2522" t="str"><v>https://azure.microsoft.com/en-us/pricing/purchase-options/?v=18.19&OCID=AID%eexcid!_OLA_%ebuy!_%epid!_%ecid!</v></cell></row><row r="2522"><cell r="K2522" t="str"><v>July</v></cell><cell r="L2522"><v>43302</v></cell><cell r="M2522" t="str"><v>Tier 0</v></cell><cell r="N2522" t="str"><v>North America</v></cell><cell r="O2522" t="str"><v>United States</v></cell><cell r="P2522" t="str"><v>Trial</v></cell><cell r="Q2522" t="str"><v>Social</v></cell><cell r="R2522" t="str"><v>Azure</v></cell><cell r="S2522" t="str"><v>Apps & Infra</v></cell><cell r="T2522" t="str"><v>Developers & ITI's</v></cell><cell r="U2522" t="str"><v>USA-Trial-ITD-Interest Prospecting-AZR-AZR</v></cell><cell r="V2522" t="str"><v>Prospecting</v></cell><cell r="W2522" t="str"><v>Canvas Ad</v></cell><cell r="X2522" t="str"><v>1x1</v></cell></row><row r="2522"><cell r="AA2522"><v>43299</v></cell><cell r="AB2522" t="str"><v>USA_gaPMG_AZR_AZR_Q1_19_Direct-Social</v></cell><cell r="AC2522"><v>21358715</v></cell><cell r="AD2522"><v>720197</v></cell><cell r="AE2522" t="str"><v>Facebook</v></cell><cell r="AF2522"><v>3654128</v></cell><cell r="AG2522" t="str"><v>FACEBOOK»USA-Trial-ITD-Interest Prospecting-AZR-AZR»1 x 1»SocialBan»CAN»ALL»CPA»PRO»X»NA»SS»NA»FBCTCBasicMotion»PRC1SV</v></cell><cell r="AH2522"><v>223934062</v></cell><cell r="AI2522" t="str"><v>AzurePlatform_FBCTCBasicMotion_USA_10s_CAN_PLATFORM_English_Trial_Standard_STAN_TIN_T1_2</v></cell><cell r="AJ2522"><v>103175984</v></cell></row><row r="2523"><cell r="C2523" t="str"><v>43299FACEBOOK»USA-Trial-ITD-Interest Prospecting-AZR-AZR»1 x 1»SocialBan»CAN»ALL»CPA»PRO»X»NA»SS»NA»FBCTCBenefit2inMotion»PRC1SW</v></cell><cell r="D2523" t="str"><v>43299223933138</v></cell><cell r="E2523" t="str"><v>43299103043835PRC1SW</v></cell><cell r="F2523" t="str"><v>DCM</v></cell><cell r="G2523" t="str"><v>https://signup.azure.com/?OCID=AID%eexcid!_OLA_%ebuy!_%epid!_%ecid!</v></cell></row><row r="2523"><cell r="K2523" t="str"><v>July</v></cell><cell r="L2523"><v>43302</v></cell><cell r="M2523" t="str"><v>Tier 0</v></cell><cell r="N2523" t="str"><v>North America</v></cell><cell r="O2523" t="str"><v>United States</v></cell><cell r="P2523" t="str"><v>Trial</v></cell><cell r="Q2523" t="str"><v>Social</v></cell><cell r="R2523" t="str"><v>Azure</v></cell><cell r="S2523" t="str"><v>Apps & Infra</v></cell><cell r="T2523" t="str"><v>Developers & ITI's</v></cell><cell r="U2523" t="str"><v>USA-Trial-ITD-Interest Prospecting-AZR-AZR</v></cell><cell r="V2523" t="str"><v>Prospecting</v></cell><cell r="W2523" t="str"><v>Canvas Ad</v></cell><cell r="X2523" t="str"><v>1x1</v></cell></row><row r="2523"><cell r="AA2523"><v>43299</v></cell><cell r="AB2523" t="str"><v>USA_gaPMG_AZR_AZR_Q1_19_Direct-Social</v></cell><cell r="AC2523"><v>21358715</v></cell><cell r="AD2523"><v>720197</v></cell><cell r="AE2523" t="str"><v>Facebook</v></cell><cell r="AF2523"><v>3654128</v></cell><cell r="AG2523" t="str"><v>FACEBOOK»USA-Trial-ITD-Interest Prospecting-AZR-AZR»1 x 1»SocialBan»CAN»ALL»CPA»PRO»X»NA»SS»NA»FBCTCBenefit2inMotion»PRC1SW</v></cell><cell r="AH2523"><v>223933138</v></cell><cell r="AI2523" t="str"><v>AzurePlatform_FBCTCBenefit2inMotion_USA_10s_CAN_PLATFORM_English_Trial_Standard_STAN_TIN_T4_1</v></cell><cell r="AJ2523"><v>103043835</v></cell></row><row r="2524"><cell r="C2524" t="str"><v>43299FACEBOOK»USA-Trial-ITD-Interest Prospecting-AZR-AZR»1 x 1»SocialBan»CAN»ALL»CPA»PRO»X»NA»SS»NA»FBCTCBrandinMotion»PRC1SY</v></cell><cell r="D2524" t="str"><v>43299224104929</v></cell><cell r="E2524" t="str"><v>43299103176812PRC1SY</v></cell><cell r="F2524" t="str"><v>DCM</v></cell><cell r="G2524" t="str"><v>https://signup.azure.com/?OCID=AID%eexcid!_OLA_%ebuy!_%epid!_%ecid!</v></cell></row><row r="2524"><cell r="K2524" t="str"><v>July</v></cell><cell r="L2524"><v>43302</v></cell><cell r="M2524" t="str"><v>Tier 0</v></cell><cell r="N2524" t="str"><v>North America</v></cell><cell r="O2524" t="str"><v>United States</v></cell><cell r="P2524" t="str"><v>Trial</v></cell><cell r="Q2524" t="str"><v>Social</v></cell><cell r="R2524" t="str"><v>Azure</v></cell><cell r="S2524" t="str"><v>Apps & Infra</v></cell><cell r="T2524" t="str"><v>Developers & ITI's</v></cell><cell r="U2524" t="str"><v>USA-Trial-ITD-Interest Prospecting-AZR-AZR</v></cell><cell r="V2524" t="str"><v>Prospecting</v></cell><cell r="W2524" t="str"><v>Canvas Ad</v></cell><cell r="X2524" t="str"><v>1x1</v></cell></row><row r="2524"><cell r="AA2524"><v>43299</v></cell><cell r="AB2524" t="str"><v>USA_gaPMG_AZR_AZR_Q1_19_Direct-Social</v></cell><cell r="AC2524"><v>21358715</v></cell><cell r="AD2524"><v>720197</v></cell><cell r="AE2524" t="str"><v>Facebook</v></cell><cell r="AF2524"><v>3654128</v></cell><cell r="AG2524" t="str"><v>FACEBOOK»USA-Trial-ITD-Interest Prospecting-AZR-AZR»1 x 1»SocialBan»CAN»ALL»CPA»PRO»X»NA»SS»NA»FBCTCBrandinMotion»PRC1SY</v></cell><cell r="AH2524"><v>224104929</v></cell><cell r="AI2524" t="str"><v>AzurePlatform_FBCTCBrandinMotion_USA_10s_CAN_PLATFORM_English_Trial_Standard_STAN_TIN_T2_1</v></cell><cell r="AJ2524"><v>103176812</v></cell></row><row r="2525"><cell r="C2525" t="str"><v>43299FACEBOOK»USA-Trial-ITD-Interest Prospecting-AZR-AZR»1 x 1»SocialBan»CAN»ALL»CPA»PRO»X»NA»SS»NA»FBCTCBrandinMotion»PRC1SY</v></cell><cell r="D2525" t="str"><v>43299224104929</v></cell><cell r="E2525" t="str"><v>43299103032823PRC1SY</v></cell><cell r="F2525" t="str"><v>DCM</v></cell><cell r="G2525" t="str"><v>https://azure.microsoft.com/en-us/pricing/purchase-options/?v=18.19&OCID=AID%eexcid!_OLA_%ebuy!_%epid!_%ecid!</v></cell></row><row r="2525"><cell r="K2525" t="str"><v>July</v></cell><cell r="L2525"><v>43302</v></cell><cell r="M2525" t="str"><v>Tier 0</v></cell><cell r="N2525" t="str"><v>North America</v></cell><cell r="O2525" t="str"><v>United States</v></cell><cell r="P2525" t="str"><v>Trial</v></cell><cell r="Q2525" t="str"><v>Social</v></cell><cell r="R2525" t="str"><v>Azure</v></cell><cell r="S2525" t="str"><v>Apps & Infra</v></cell><cell r="T2525" t="str"><v>Developers & ITI's</v></cell><cell r="U2525" t="str"><v>USA-Trial-ITD-Interest Prospecting-AZR-AZR</v></cell><cell r="V2525" t="str"><v>Prospecting</v></cell><cell r="W2525" t="str"><v>Canvas Ad</v></cell><cell r="X2525" t="str"><v>1x1</v></cell></row><row r="2525"><cell r="AA2525"><v>43299</v></cell><cell r="AB2525" t="str"><v>USA_gaPMG_AZR_AZR_Q1_19_Direct-Social</v></cell><cell r="AC2525"><v>21358715</v></cell><cell r="AD2525"><v>720197</v></cell><cell r="AE2525" t="str"><v>Facebook</v></cell><cell r="AF2525"><v>3654128</v></cell><cell r="AG2525" t="str"><v>FACEBOOK»USA-Trial-ITD-Interest Prospecting-AZR-AZR»1 x 1»SocialBan»CAN»ALL»CPA»PRO»X»NA»SS»NA»FBCTCBrandinMotion»PRC1SY</v></cell><cell r="AH2525"><v>224104929</v></cell><cell r="AI2525" t="str"><v>AzurePlatform_FBCTCBrandinMotion_USA_10s_CAN_PLATFORM_English_Trial_Standard_STAN_TIN_T2_2</v></cell><cell r="AJ2525"><v>103032823</v></cell></row><row r="2526"><cell r="C2526" t="str"><v>43299FACEBOOK»USA-Trial-ITD-Interest Prospecting-AZR-AZR»1 x 1»SocialBan»LIA»ALL»CPA»PRO»X»NA»SS»NA»FreeAcctDeveloperFB-AnimatedGeneric-Ch1»PRC1SZ</v></cell><cell r="D2526" t="str"><v>43299224104932</v></cell><cell r="E2526" t="str"><v>43299103176851PRC1SZ</v></cell><cell r="F2526" t="str"><v>DCM</v></cell><cell r="G2526" t="str"><v>https://azure.microsoft.com/en-us/free/search/?OCID=AID%eexcid!_OLA_%ebuy!_%epid!_%ecid!</v></cell></row><row r="2526"><cell r="K2526" t="str"><v>July</v></cell><cell r="L2526"><v>43302</v></cell><cell r="M2526" t="str"><v>Tier 0</v></cell><cell r="N2526" t="str"><v>North America</v></cell><cell r="O2526" t="str"><v>United States</v></cell><cell r="P2526" t="str"><v>Trial</v></cell><cell r="Q2526" t="str"><v>Social</v></cell><cell r="R2526" t="str"><v>Azure</v></cell><cell r="S2526" t="str"><v>Apps & Infra</v></cell><cell r="T2526" t="str"><v>Developers & ITI's</v></cell><cell r="U2526" t="str"><v>USA-Trial-ITD-Interest Prospecting-AZR-AZR</v></cell><cell r="V2526" t="str"><v>Prospecting</v></cell><cell r="W2526" t="str"><v>Link Ad</v></cell><cell r="X2526" t="str"><v>1x1</v></cell></row><row r="2526"><cell r="AA2526"><v>43299</v></cell><cell r="AB2526" t="str"><v>USA_gaPMG_AZR_AZR_Q1_19_Direct-Social</v></cell><cell r="AC2526"><v>21358715</v></cell><cell r="AD2526"><v>720197</v></cell><cell r="AE2526" t="str"><v>Facebook</v></cell><cell r="AF2526"><v>3654128</v></cell><cell r="AG2526" t="str"><v>FACEBOOK»USA-Trial-ITD-Interest Prospecting-AZR-AZR»1 x 1»SocialBan»LIA»ALL»CPA»PRO»X»NA»SS»NA»FreeAcctDeveloperFB-AnimatedGeneric-Ch1»PRC1SZ</v></cell><cell r="AH2526"><v>224104932</v></cell><cell r="AI2526" t="str"><v>AZR_FreeAcctDeveloperFB-AnimatedGeneric-Ch1_USA_1200x1200_CAN_Direct_English_Trial_Standard_ANI_LEA_T1_2</v></cell><cell r="AJ2526"><v>103176851</v></cell></row><row r="2527"><cell r="C2527" t="str"><v>43299FACEBOOK»USA-Trial-ITD-Interest Prospecting-AZR-AZR»1 x 1»SocialBan»LIA»ALL»CPA»PRO»X»NA»SS»NA»FreeAcctDeveloperFB-AnimatedGeneric-Ch1»PRC1T0</v></cell><cell r="D2527" t="str"><v>43299223934065</v></cell><cell r="E2527" t="str"><v>43299103176851PRC1T0</v></cell><cell r="F2527" t="str"><v>DCM</v></cell><cell r="G2527" t="str"><v>https://azure.microsoft.com/en-us/free/search/?OCID=AID%eexcid!_OLA_%ebuy!_%epid!_%ecid!</v></cell></row><row r="2527"><cell r="K2527" t="str"><v>July</v></cell><cell r="L2527"><v>43302</v></cell><cell r="M2527" t="str"><v>Tier 0</v></cell><cell r="N2527" t="str"><v>North America</v></cell><cell r="O2527" t="str"><v>United States</v></cell><cell r="P2527" t="str"><v>Trial</v></cell><cell r="Q2527" t="str"><v>Social</v></cell><cell r="R2527" t="str"><v>Azure</v></cell><cell r="S2527" t="str"><v>Apps & Infra</v></cell><cell r="T2527" t="str"><v>Developers & ITI's</v></cell><cell r="U2527" t="str"><v>USA-Trial-ITD-Interest Prospecting-AZR-AZR</v></cell><cell r="V2527" t="str"><v>Prospecting</v></cell><cell r="W2527" t="str"><v>Link Ad</v></cell><cell r="X2527" t="str"><v>1x1</v></cell></row><row r="2527"><cell r="AA2527"><v>43299</v></cell><cell r="AB2527" t="str"><v>USA_gaPMG_AZR_AZR_Q1_19_Direct-Social</v></cell><cell r="AC2527"><v>21358715</v></cell><cell r="AD2527"><v>720197</v></cell><cell r="AE2527" t="str"><v>Facebook</v></cell><cell r="AF2527"><v>3654128</v></cell><cell r="AG2527" t="str"><v>FACEBOOK»USA-Trial-ITD-Interest Prospecting-AZR-AZR»1 x 1»SocialBan»LIA»ALL»CPA»PRO»X»NA»SS»NA»FreeAcctDeveloperFB-AnimatedGeneric-Ch1»PRC1T0</v></cell><cell r="AH2527"><v>223934065</v></cell><cell r="AI2527" t="str"><v>AZR_FreeAcctDeveloperFB-AnimatedGeneric-Ch1_USA_1200x1200_CAN_Direct_English_Trial_Standard_ANI_LEA_T1_2</v></cell><cell r="AJ2527"><v>103176851</v></cell></row><row r="2528"><cell r="C2528" t="str"><v>43299FACEBOOK»USA-Trial-ITD-Interest Prospecting-AZR-AZR»1 x 1»SocialBan»LIA»ALL»CPA»PRO»X»NA»SS»NA»FreeAcctITProFB-AnimatedHybrid-Ch2»PRC1T5</v></cell><cell r="D2528" t="str"><v>43299223862882</v></cell><cell r="E2528" t="str"><v>43299103180583PRC1T5</v></cell><cell r="F2528" t="str"><v>DCM</v></cell></row><row r="2528"><cell r="K2528" t="str"><v>July</v></cell><cell r="L2528"><v>43302</v></cell><cell r="M2528" t="str"><v>Tier 0</v></cell><cell r="N2528" t="str"><v>North America</v></cell><cell r="O2528" t="str"><v>United States</v></cell><cell r="P2528" t="str"><v>Trial</v></cell><cell r="Q2528" t="str"><v>Social</v></cell><cell r="R2528" t="str"><v>Azure</v></cell><cell r="S2528" t="str"><v>Apps & Infra</v></cell><cell r="T2528" t="str"><v>Developers & ITI's</v></cell><cell r="U2528" t="str"><v>USA-Trial-ITD-Interest Prospecting-AZR-AZR</v></cell><cell r="V2528" t="str"><v>Prospecting</v></cell><cell r="W2528" t="str"><v>Link Ad</v></cell><cell r="X2528" t="str"><v>1x1</v></cell></row><row r="2528"><cell r="AA2528"><v>43299</v></cell><cell r="AB2528" t="str"><v>USA_gaPMG_AZR_AZR_Q1_19_Direct-Social</v></cell><cell r="AC2528"><v>21358715</v></cell><cell r="AD2528"><v>720197</v></cell><cell r="AE2528" t="str"><v>Facebook</v></cell><cell r="AF2528"><v>3654128</v></cell><cell r="AG2528" t="str"><v>FACEBOOK»USA-Trial-ITD-Interest Prospecting-AZR-AZR»1 x 1»SocialBan»LIA»ALL»CPA»PRO»X»NA»SS»NA»FreeAcctITProFB-AnimatedHybrid-Ch2»PRC1T5</v></cell><cell r="AH2528"><v>223862882</v></cell><cell r="AI2528" t="str"><v>AZR_FreeAcctITProFB-AnimatedHybrid-Ch2_USA_1200x1200_CAN_Direct_English_Trial_Standard_ANI_LEA_T2_2</v></cell><cell r="AJ2528"><v>103180583</v></cell></row><row r="2529"><cell r="C2529" t="str"><v>43299FACEBOOK»USA-Trial-ITD-Interest Prospecting-AZR-AZR»1 x 1»SocialBan»LIA»ALL»CPA»PRO»X»NA»SS»NA»FreeAcctITProFB-AnimatedSecureMngd-Ch1»PRC1T4</v></cell><cell r="D2529" t="str"><v>43299224104914</v></cell><cell r="E2529" t="str"><v>43299103176830PRC1T4</v></cell><cell r="F2529" t="str"><v>DCM</v></cell></row><row r="2529"><cell r="K2529" t="str"><v>July</v></cell><cell r="L2529"><v>43302</v></cell><cell r="M2529" t="str"><v>Tier 0</v></cell><cell r="N2529" t="str"><v>North America</v></cell><cell r="O2529" t="str"><v>United States</v></cell><cell r="P2529" t="str"><v>Trial</v></cell><cell r="Q2529" t="str"><v>Social</v></cell><cell r="R2529" t="str"><v>Azure</v></cell><cell r="S2529" t="str"><v>Apps & Infra</v></cell><cell r="T2529" t="str"><v>Developers & ITI's</v></cell><cell r="U2529" t="str"><v>USA-Trial-ITD-Interest Prospecting-AZR-AZR</v></cell><cell r="V2529" t="str"><v>Prospecting</v></cell><cell r="W2529" t="str"><v>Link Ad</v></cell><cell r="X2529" t="str"><v>1x1</v></cell></row><row r="2529"><cell r="AA2529"><v>43299</v></cell><cell r="AB2529" t="str"><v>USA_gaPMG_AZR_AZR_Q1_19_Direct-Social</v></cell><cell r="AC2529"><v>21358715</v></cell><cell r="AD2529"><v>720197</v></cell><cell r="AE2529" t="str"><v>Facebook</v></cell><cell r="AF2529"><v>3654128</v></cell><cell r="AG2529" t="str"><v>FACEBOOK»USA-Trial-ITD-Interest Prospecting-AZR-AZR»1 x 1»SocialBan»LIA»ALL»CPA»PRO»X»NA»SS»NA»FreeAcctITProFB-AnimatedSecureMngd-Ch1»PRC1T4</v></cell><cell r="AH2529"><v>224104914</v></cell><cell r="AI2529" t="str"><v>AZR_FreeAcctITProFB-AnimatedSecureMngd-Ch1_USA_1200x1200_CAN_Direct_English_Trial_Standard_ANI_LEA_T1_1</v></cell><cell r="AJ2529"><v>103176830</v></cell></row><row r="2530"><cell r="C2530" t="str"><v>43299FACEBOOK»USA-Trial-ITD-Interest Prospecting-AZR-AZR»1 x 1»SocialBan»CAN»ALL»CPA»PRO»X»NA»SS»NA»FBCTCBenefitinMotion»PRC1SX</v></cell><cell r="D2530" t="str"><v>43299224104077</v></cell><cell r="E2530" t="str"><v>43299103032775PRC1SX</v></cell><cell r="F2530" t="str"><v>DCM</v></cell><cell r="G2530" t="str"><v>https://signup.azure.com/?OCID=AID%eexcid!_OLA_%ebuy!_%epid!_%ecid!</v></cell></row><row r="2530"><cell r="K2530" t="str"><v>July</v></cell><cell r="L2530"><v>43302</v></cell><cell r="M2530" t="str"><v>Tier 0</v></cell><cell r="N2530" t="str"><v>North America</v></cell><cell r="O2530" t="str"><v>United States</v></cell><cell r="P2530" t="str"><v>Trial</v></cell><cell r="Q2530" t="str"><v>Social</v></cell><cell r="R2530" t="str"><v>Azure</v></cell><cell r="S2530" t="str"><v>Apps & Infra</v></cell><cell r="T2530" t="str"><v>Developers & ITI's</v></cell><cell r="U2530" t="str"><v>USA-Trial-ITD-Interest Prospecting-AZR-AZR</v></cell><cell r="V2530" t="str"><v>Prospecting</v></cell><cell r="W2530" t="str"><v>Canvas Ad</v></cell><cell r="X2530" t="str"><v>1x1</v></cell></row><row r="2530"><cell r="AA2530"><v>43299</v></cell><cell r="AB2530" t="str"><v>USA_gaPMG_AZR_AZR_Q1_19_Direct-Social</v></cell><cell r="AC2530"><v>21358715</v></cell><cell r="AD2530"><v>720197</v></cell><cell r="AE2530" t="str"><v>Facebook</v></cell><cell r="AF2530"><v>3654128</v></cell><cell r="AG2530" t="str"><v>FACEBOOK»USA-Trial-ITD-Interest Prospecting-AZR-AZR»1 x 1»SocialBan»CAN»ALL»CPA»PRO»X»NA»SS»NA»FBCTCBenefitinMotion»PRC1SX</v></cell><cell r="AH2530"><v>224104077</v></cell><cell r="AI2530" t="str"><v>AzurePlatform_FBCTCBenefitinMotion_USA_10s_CAN_PLATFORM_English_Trial_Standard_STAN_TIN_T3_1</v></cell><cell r="AJ2530"><v>103032775</v></cell></row><row r="2531"><cell r="C2531" t="str"><v>43299FACEBOOK»USA-Trial-ITD-Retargeting-AZR-AZR»1 x 1»SocialBan»LIA»ALL»CPA»RT»X»NA»SS»NA»FreeAcctDeveloperFB-AnimatedAI-Ch3»PRC26H</v></cell><cell r="D2531" t="str"><v>43299223863371</v></cell><cell r="E2531" t="str"><v>43299103032778PRC26H</v></cell><cell r="F2531" t="str"><v>DCM</v></cell></row><row r="2531"><cell r="K2531" t="str"><v>July</v></cell><cell r="L2531"><v>43302</v></cell><cell r="M2531" t="str"><v>Tier 0</v></cell><cell r="N2531" t="str"><v>North America</v></cell><cell r="O2531" t="str"><v>United States</v></cell><cell r="P2531" t="str"><v>Trial</v></cell><cell r="Q2531" t="str"><v>Social</v></cell><cell r="R2531" t="str"><v>Azure</v></cell><cell r="S2531" t="str"><v>Apps & Infra</v></cell><cell r="T2531" t="str"><v>Developers & ITI's</v></cell><cell r="U2531" t="str"><v>USA-Trial-ITD-Retargeting-AZR-AZR</v></cell><cell r="V2531" t="str"><v>Retargeting</v></cell><cell r="W2531" t="str"><v>Link Ad</v></cell><cell r="X2531" t="str"><v>1x1</v></cell></row><row r="2531"><cell r="AA2531"><v>43299</v></cell><cell r="AB2531" t="str"><v>USA_gaPMG_AZR_AZR_Q1_19_Direct-Social</v></cell><cell r="AC2531"><v>21358715</v></cell><cell r="AD2531"><v>720197</v></cell><cell r="AE2531" t="str"><v>Facebook</v></cell><cell r="AF2531"><v>3654128</v></cell><cell r="AG2531" t="str"><v>FACEBOOK»USA-Trial-ITD-Retargeting-AZR-AZR»1 x 1»SocialBan»LIA»ALL»CPA»RT»X»NA»SS»NA»FreeAcctDeveloperFB-AnimatedAI-Ch3»PRC26H</v></cell><cell r="AH2531"><v>223863371</v></cell><cell r="AI2531" t="str"><v>AZR_FreeAcctDeveloperFB-AnimatedAI-Ch3_USA_1200x1200_CAN_Direct_English_Trial_Standard_ANI_LEA_T3_1</v></cell><cell r="AJ2531"><v>103032778</v></cell></row><row r="2532"><cell r="C2532" t="str"><v>43299FACEBOOK»USA-Trial-ITD-Retargeting-AZR-AZR»1 x 1»SocialBan»LIA»ALL»CPA»RT»X»NA»SS»NA»FreeAcctDeveloperFB-AnimatedGeneric-Ch1»PRC26F</v></cell><cell r="D2532" t="str"><v>43299224105850</v></cell><cell r="E2532" t="str"><v>43299103176851PRC26F</v></cell><cell r="F2532" t="str"><v>DCM</v></cell><cell r="G2532" t="str"><v>https://azure.microsoft.com/en-us/free/search/?OCID=AID%eexcid!_OLA_%ebuy!_%epid!_%ecid!</v></cell></row><row r="2532"><cell r="K2532" t="str"><v>July</v></cell><cell r="L2532"><v>43302</v></cell><cell r="M2532" t="str"><v>Tier 0</v></cell><cell r="N2532" t="str"><v>North America</v></cell><cell r="O2532" t="str"><v>United States</v></cell><cell r="P2532" t="str"><v>Trial</v></cell><cell r="Q2532" t="str"><v>Social</v></cell><cell r="R2532" t="str"><v>Azure</v></cell><cell r="S2532" t="str"><v>Apps & Infra</v></cell><cell r="T2532" t="str"><v>Developers & ITI's</v></cell><cell r="U2532" t="str"><v>USA-Trial-ITD-Retargeting-AZR-AZR</v></cell><cell r="V2532" t="str"><v>Retargeting</v></cell><cell r="W2532" t="str"><v>Link Ad</v></cell><cell r="X2532" t="str"><v>1x1</v></cell></row><row r="2532"><cell r="AA2532"><v>43299</v></cell><cell r="AB2532" t="str"><v>USA_gaPMG_AZR_AZR_Q1_19_Direct-Social</v></cell><cell r="AC2532"><v>21358715</v></cell><cell r="AD2532"><v>720197</v></cell><cell r="AE2532" t="str"><v>Facebook</v></cell><cell r="AF2532"><v>3654128</v></cell><cell r="AG2532" t="str"><v>FACEBOOK»USA-Trial-ITD-Retargeting-AZR-AZR»1 x 1»SocialBan»LIA»ALL»CPA»RT»X»NA»SS»NA»FreeAcctDeveloperFB-AnimatedGeneric-Ch1»PRC26F</v></cell><cell r="AH2532"><v>224105850</v></cell><cell r="AI2532" t="str"><v>AZR_FreeAcctDeveloperFB-AnimatedGeneric-Ch1_USA_1200x1200_CAN_Direct_English_Trial_Standard_ANI_LEA_T1_2</v></cell><cell r="AJ2532"><v>103176851</v></cell></row><row r="2533"><cell r="C2533" t="str"><v>43299FACEBOOK»USA-Trial-ITD-Retargeting-AZR-AZR»1 x 1»SocialBan»LIA»ALL»CPA»RT»X»NA»SS»NA»FreeAcctITProFB-AnimatedHybrid-Ch2»PRC26N</v></cell><cell r="D2533" t="str"><v>43299223934053</v></cell><cell r="E2533" t="str"><v>43299103180583PRC26N</v></cell><cell r="F2533" t="str"><v>DCM</v></cell></row><row r="2533"><cell r="K2533" t="str"><v>July</v></cell><cell r="L2533"><v>43302</v></cell><cell r="M2533" t="str"><v>Tier 0</v></cell><cell r="N2533" t="str"><v>North America</v></cell><cell r="O2533" t="str"><v>United States</v></cell><cell r="P2533" t="str"><v>Trial</v></cell><cell r="Q2533" t="str"><v>Social</v></cell><cell r="R2533" t="str"><v>Azure</v></cell><cell r="S2533" t="str"><v>Apps & Infra</v></cell><cell r="T2533" t="str"><v>Developers & ITI's</v></cell><cell r="U2533" t="str"><v>USA-Trial-ITD-Retargeting-AZR-AZR</v></cell><cell r="V2533" t="str"><v>Retargeting</v></cell><cell r="W2533" t="str"><v>Link Ad</v></cell><cell r="X2533" t="str"><v>1x1</v></cell></row><row r="2533"><cell r="AA2533"><v>43299</v></cell><cell r="AB2533" t="str"><v>USA_gaPMG_AZR_AZR_Q1_19_Direct-Social</v></cell><cell r="AC2533"><v>21358715</v></cell><cell r="AD2533"><v>720197</v></cell><cell r="AE2533" t="str"><v>Facebook</v></cell><cell r="AF2533"><v>3654128</v></cell><cell r="AG2533" t="str"><v>FACEBOOK»USA-Trial-ITD-Retargeting-AZR-AZR»1 x 1»SocialBan»LIA»ALL»CPA»RT»X»NA»SS»NA»FreeAcctITProFB-AnimatedHybrid-Ch2»PRC26N</v></cell><cell r="AH2533"><v>223934053</v></cell><cell r="AI2533" t="str"><v>AZR_FreeAcctITProFB-AnimatedHybrid-Ch2_USA_1200x1200_CAN_Direct_English_Trial_Standard_ANI_LEA_T2_2</v></cell><cell r="AJ2533"><v>103180583</v></cell></row><row r="2534"><cell r="C2534" t="str"><v>43299FACEBOOK»USA-Trial-ITD-Retargeting-AZR-AZR»1 x 1»SocialBan»LIA»ALL»CPA»RT»X»NA»SS»NA»FreeAcctITProFB-AnimatedMigration-Ch3»PRC26P</v></cell><cell r="D2534" t="str"><v>43299223934056</v></cell><cell r="E2534" t="str"><v>43299103176827PRC26P</v></cell><cell r="F2534" t="str"><v>DCM</v></cell></row><row r="2534"><cell r="K2534" t="str"><v>July</v></cell><cell r="L2534"><v>43302</v></cell><cell r="M2534" t="str"><v>Tier 0</v></cell><cell r="N2534" t="str"><v>North America</v></cell><cell r="O2534" t="str"><v>United States</v></cell><cell r="P2534" t="str"><v>Trial</v></cell><cell r="Q2534" t="str"><v>Social</v></cell><cell r="R2534" t="str"><v>Azure</v></cell><cell r="S2534" t="str"><v>Apps & Infra</v></cell><cell r="T2534" t="str"><v>Developers & ITI's</v></cell><cell r="U2534" t="str"><v>USA-Trial-ITD-Retargeting-AZR-AZR</v></cell><cell r="V2534" t="str"><v>Retargeting</v></cell><cell r="W2534" t="str"><v>Link Ad</v></cell><cell r="X2534" t="str"><v>1x1</v></cell></row><row r="2534"><cell r="AA2534"><v>43299</v></cell><cell r="AB2534" t="str"><v>USA_gaPMG_AZR_AZR_Q1_19_Direct-Social</v></cell><cell r="AC2534"><v>21358715</v></cell><cell r="AD2534"><v>720197</v></cell><cell r="AE2534" t="str"><v>Facebook</v></cell><cell r="AF2534"><v>3654128</v></cell><cell r="AG2534" t="str"><v>FACEBOOK»USA-Trial-ITD-Retargeting-AZR-AZR»1 x 1»SocialBan»LIA»ALL»CPA»RT»X»NA»SS»NA»FreeAcctITProFB-AnimatedMigration-Ch3»PRC26P</v></cell><cell r="AH2534"><v>223934056</v></cell><cell r="AI2534" t="str"><v>AZR_FreeAcctITProFB-AnimatedMigration-Ch3_USA_1200x1200_CAN_Direct_English_Trial_Standard_ANI_LEA_T3_1</v></cell><cell r="AJ2534"><v>103176827</v></cell></row><row r="2535"><cell r="C2535" t="str"><v>43299FACEBOOK»USA-Trial-ITD-Retargeting-AZR-AZR»1 x 1»SocialBan»LIA»ALL»CPA»RT»X»NA»SS»NA»FreeAcctRetargetingFB-Credit-ChA»PRC1RV</v></cell><cell r="D2535" t="str"><v>43299224106075</v></cell><cell r="E2535" t="str"><v>43299103034917PRC1RV</v></cell><cell r="F2535" t="str"><v>DCM</v></cell><cell r="G2535" t="str"><v>https://azure.microsoft.com/en-us/free/search/?OCID=AID%eexcid!_OLA_%ebuy!_%epid!_%ecid!</v></cell></row><row r="2535"><cell r="K2535" t="str"><v>July</v></cell><cell r="L2535"><v>43302</v></cell><cell r="M2535" t="str"><v>Tier 0</v></cell><cell r="N2535" t="str"><v>North America</v></cell><cell r="O2535" t="str"><v>United States</v></cell><cell r="P2535" t="str"><v>Trial</v></cell><cell r="Q2535" t="str"><v>Social</v></cell><cell r="R2535" t="str"><v>Azure</v></cell><cell r="S2535" t="str"><v>Apps & Infra</v></cell><cell r="T2535" t="str"><v>Developers & ITI's</v></cell><cell r="U2535" t="str"><v>USA-Trial-ITD-Retargeting-AZR-AZR</v></cell><cell r="V2535" t="str"><v>Retargeting</v></cell><cell r="W2535" t="str"><v>Link Ad</v></cell><cell r="X2535" t="str"><v>1x1</v></cell></row><row r="2535"><cell r="AA2535"><v>43299</v></cell><cell r="AB2535" t="str"><v>USA_gaPMG_AZR_AZR_Q1_19_Direct-Social</v></cell><cell r="AC2535"><v>21358715</v></cell><cell r="AD2535"><v>720197</v></cell><cell r="AE2535" t="str"><v>Facebook</v></cell><cell r="AF2535"><v>3654128</v></cell><cell r="AG2535" t="str"><v>FACEBOOK»USA-Trial-ITD-Retargeting-AZR-AZR»1 x 1»SocialBan»LIA»ALL»CPA»RT»X»NA»SS»NA»FreeAcctRetargetingFB-Credit-ChA»PRC1RV</v></cell><cell r="AH2535"><v>224106075</v></cell><cell r="AI2535" t="str"><v>AzurePlatform_FreeAcctRetargetingFB-Credit-ChA_USA_1200x628_CAN_PLATFORM_English_Free Account_Standard_NA_SINU_T1_2</v></cell><cell r="AJ2535"><v>103034917</v></cell></row><row r="2536"><cell r="C2536" t="str"><v>43299FACEBOOK»USA-Trial-ITD-Retargeting-AZR-AZR»1 x 1»SocialBan»LIA»ALL»CPA»RT»X»NA»SS»NA»FreeAcctRetargetingFB-GlobalAlt-ChB»PRC1RW</v></cell><cell r="D2536" t="str"><v>43299223862756</v></cell><cell r="E2536" t="str"><v>43299103180592PRC1RW</v></cell><cell r="F2536" t="str"><v>DCM</v></cell><cell r="G2536" t="str"><v>https://azure.microsoft.com/en-us/free/search/?OCID=AID%eexcid!_OLA_%ebuy!_%epid!_%ecid!</v></cell></row><row r="2536"><cell r="K2536" t="str"><v>July</v></cell><cell r="L2536"><v>43302</v></cell><cell r="M2536" t="str"><v>Tier 0</v></cell><cell r="N2536" t="str"><v>North America</v></cell><cell r="O2536" t="str"><v>United States</v></cell><cell r="P2536" t="str"><v>Trial</v></cell><cell r="Q2536" t="str"><v>Social</v></cell><cell r="R2536" t="str"><v>Azure</v></cell><cell r="S2536" t="str"><v>Apps & Infra</v></cell><cell r="T2536" t="str"><v>Developers & ITI's</v></cell><cell r="U2536" t="str"><v>USA-Trial-ITD-Retargeting-AZR-AZR</v></cell><cell r="V2536" t="str"><v>Retargeting</v></cell><cell r="W2536" t="str"><v>Link Ad</v></cell><cell r="X2536" t="str"><v>1x1</v></cell></row><row r="2536"><cell r="AA2536"><v>43299</v></cell><cell r="AB2536" t="str"><v>USA_gaPMG_AZR_AZR_Q1_19_Direct-Social</v></cell><cell r="AC2536"><v>21358715</v></cell><cell r="AD2536"><v>720197</v></cell><cell r="AE2536" t="str"><v>Facebook</v></cell><cell r="AF2536"><v>3654128</v></cell><cell r="AG2536" t="str"><v>FACEBOOK»USA-Trial-ITD-Retargeting-AZR-AZR»1 x 1»SocialBan»LIA»ALL»CPA»RT»X»NA»SS»NA»FreeAcctRetargetingFB-GlobalAlt-ChB»PRC1RW</v></cell><cell r="AH2536"><v>223862756</v></cell><cell r="AI2536" t="str"><v>AzurePlatform_FreeAcctRetargetingFB-GlobalAlt-ChB_USA_1200x628_CAN_PLATFORM_English_Free Account_Standard_NA_SINU_T2_1</v></cell><cell r="AJ2536"><v>103180592</v></cell></row><row r="2537"><cell r="C2537" t="str"><v>43299FACEBOOK»USA-Trial-ITD-Retargeting-AZR-AZR»1 x 1»SocialBan»LIA»ALL»CPA»RT»X»NA»SS»NA»FreeAcctRetargetingVMFB-750Hrs-ChD»PRC1RY</v></cell><cell r="D2537" t="str"><v>43299223862747</v></cell><cell r="E2537" t="str"><v>43299103034911PRC1RY</v></cell><cell r="F2537" t="str"><v>DCM</v></cell><cell r="G2537" t="str"><v>https://azure.microsoft.com/en-us/free/virtual-machines/search/?OCID=AID%eexcid!_OLA_%ebuy!_%epid!_%ecid!</v></cell></row><row r="2537"><cell r="K2537" t="str"><v>July</v></cell><cell r="L2537"><v>43302</v></cell><cell r="M2537" t="str"><v>Tier 0</v></cell><cell r="N2537" t="str"><v>North America</v></cell><cell r="O2537" t="str"><v>United States</v></cell><cell r="P2537" t="str"><v>Trial</v></cell><cell r="Q2537" t="str"><v>Social</v></cell><cell r="R2537" t="str"><v>Azure</v></cell><cell r="S2537" t="str"><v>Apps & Infra</v></cell><cell r="T2537" t="str"><v>Developers & ITI's</v></cell><cell r="U2537" t="str"><v>USA-Trial-ITD-Retargeting-AZR-AZR</v></cell><cell r="V2537" t="str"><v>Retargeting</v></cell><cell r="W2537" t="str"><v>Link Ad</v></cell><cell r="X2537" t="str"><v>1x1</v></cell></row><row r="2537"><cell r="AA2537"><v>43299</v></cell><cell r="AB2537" t="str"><v>USA_gaPMG_AZR_AZR_Q1_19_Direct-Social</v></cell><cell r="AC2537"><v>21358715</v></cell><cell r="AD2537"><v>720197</v></cell><cell r="AE2537" t="str"><v>Facebook</v></cell><cell r="AF2537"><v>3654128</v></cell><cell r="AG2537" t="str"><v>FACEBOOK»USA-Trial-ITD-Retargeting-AZR-AZR»1 x 1»SocialBan»LIA»ALL»CPA»RT»X»NA»SS»NA»FreeAcctRetargetingVMFB-750Hrs-ChD»PRC1RY</v></cell><cell r="AH2537"><v>223862747</v></cell><cell r="AI2537" t="str"><v>AzurePlatform_FreeAcctRetargetingVMFB-750Hrs-ChD_USA_1200x628_CAN_PLATFORM_English_Free Account_Standard_NA_SINU_T1_1</v></cell><cell r="AJ2537"><v>103034911</v></cell></row><row r="2538"><cell r="C2538" t="str"><v>43299FACEBOOK»USA-Trial-ITD-Retargeting-AZR-AZR»1 x 1»SocialBan»LIA»ALL»CPA»RT»X»NA»SS»NA»FreeAcctRetargetingVMFB-OnDemand-ChE»PRC1S0</v></cell><cell r="D2538" t="str"><v>43299224104899</v></cell><cell r="E2538" t="str"><v>43299103180610PRC1S0</v></cell><cell r="F2538" t="str"><v>DCM</v></cell><cell r="G2538" t="str"><v>https://azure.microsoft.com/en-us/free/virtual-machines/search/?OCID=AID%eexcid!_OLA_%ebuy!_%epid!_%ecid!</v></cell></row><row r="2538"><cell r="K2538" t="str"><v>July</v></cell><cell r="L2538"><v>43302</v></cell><cell r="M2538" t="str"><v>Tier 0</v></cell><cell r="N2538" t="str"><v>North America</v></cell><cell r="O2538" t="str"><v>United States</v></cell><cell r="P2538" t="str"><v>Trial</v></cell><cell r="Q2538" t="str"><v>Social</v></cell><cell r="R2538" t="str"><v>Azure</v></cell><cell r="S2538" t="str"><v>Apps & Infra</v></cell><cell r="T2538" t="str"><v>Developers & ITI's</v></cell><cell r="U2538" t="str"><v>USA-Trial-ITD-Retargeting-AZR-AZR</v></cell><cell r="V2538" t="str"><v>Retargeting</v></cell><cell r="W2538" t="str"><v>Link Ad</v></cell><cell r="X2538" t="str"><v>1x1</v></cell></row><row r="2538"><cell r="AA2538"><v>43299</v></cell><cell r="AB2538" t="str"><v>USA_gaPMG_AZR_AZR_Q1_19_Direct-Social</v></cell><cell r="AC2538"><v>21358715</v></cell><cell r="AD2538"><v>720197</v></cell><cell r="AE2538" t="str"><v>Facebook</v></cell><cell r="AF2538"><v>3654128</v></cell><cell r="AG2538" t="str"><v>FACEBOOK»USA-Trial-ITD-Retargeting-AZR-AZR»1 x 1»SocialBan»LIA»ALL»CPA»RT»X»NA»SS»NA»FreeAcctRetargetingVMFB-OnDemand-ChE»PRC1S0</v></cell><cell r="AH2538"><v>224104899</v></cell><cell r="AI2538" t="str"><v>AzurePlatform_FreeAcctRetargetingVMFB-OnDemand-ChE_USA_1200x628_CAN_PLATFORM_English_Free Account_Standard_NA_SINU_T2_1</v></cell><cell r="AJ2538"><v>103180610</v></cell></row><row r="2539"><cell r="C2539" t="str"><v>43299FACEBOOK»USA-Trial-ITD-Retargeting-AZR-AZR»1 x 1»SocialBan»CAN»ALL»CPA»RT»X»NA»SS»NA»FBCTCBrandinMotion»PRC1RT</v></cell><cell r="D2539" t="str"><v>43299224106069</v></cell><cell r="E2539" t="str"><v>43299103032823PRC1RT</v></cell><cell r="F2539" t="str"><v>DCM</v></cell><cell r="G2539" t="str"><v>https://azure.microsoft.com/en-us/pricing/purchase-options/?v=18.19&OCID=AID%eexcid!_OLA_%ebuy!_%epid!_%ecid!</v></cell></row><row r="2539"><cell r="K2539" t="str"><v>July</v></cell><cell r="L2539"><v>43302</v></cell><cell r="M2539" t="str"><v>Tier 0</v></cell><cell r="N2539" t="str"><v>North America</v></cell><cell r="O2539" t="str"><v>United States</v></cell><cell r="P2539" t="str"><v>Trial</v></cell><cell r="Q2539" t="str"><v>Social</v></cell><cell r="R2539" t="str"><v>Azure</v></cell><cell r="S2539" t="str"><v>Apps & Infra</v></cell><cell r="T2539" t="str"><v>Developers & ITI's</v></cell><cell r="U2539" t="str"><v>USA-Trial-ITD-Retargeting-AZR-AZR</v></cell><cell r="V2539" t="str"><v>Retargeting</v></cell><cell r="W2539" t="str"><v>Canvas Ad</v></cell><cell r="X2539" t="str"><v>1x1</v></cell></row><row r="2539"><cell r="AA2539"><v>43299</v></cell><cell r="AB2539" t="str"><v>USA_gaPMG_AZR_AZR_Q1_19_Direct-Social</v></cell><cell r="AC2539"><v>21358715</v></cell><cell r="AD2539"><v>720197</v></cell><cell r="AE2539" t="str"><v>Facebook</v></cell><cell r="AF2539"><v>3654128</v></cell><cell r="AG2539" t="str"><v>FACEBOOK»USA-Trial-ITD-Retargeting-AZR-AZR»1 x 1»SocialBan»CAN»ALL»CPA»RT»X»NA»SS»NA»FBCTCBrandinMotion»PRC1RT</v></cell><cell r="AH2539"><v>224106069</v></cell><cell r="AI2539" t="str"><v>AzurePlatform_FBCTCBrandinMotion_USA_10s_CAN_PLATFORM_English_Trial_Standard_STAN_TIN_T2_2</v></cell><cell r="AJ2539"><v>103032823</v></cell></row><row r="2540"><cell r="C2540" t="str"><v>43299FACEBOOK»USA-Trial-ITD-Trial Lookalike-AZR-AZR»1 x 1»SocialBan»CAN»ALL»CPA»LAL»X»NA»SS»NA»FBCTCBenefit2inMotion»PRC1M0</v></cell><cell r="D2540" t="str"><v>43299223862927</v></cell><cell r="E2540" t="str"><v>43299103043835PRC1M0</v></cell><cell r="F2540" t="str"><v>DCM</v></cell><cell r="G2540" t="str"><v>https://signup.azure.com/?OCID=AID%eexcid!_OLA_%ebuy!_%epid!_%ecid!</v></cell></row><row r="2540"><cell r="K2540" t="str"><v>July</v></cell><cell r="L2540"><v>43302</v></cell><cell r="M2540" t="str"><v>Tier 0</v></cell><cell r="N2540" t="str"><v>North America</v></cell><cell r="O2540" t="str"><v>United States</v></cell><cell r="P2540" t="str"><v>Trial</v></cell><cell r="Q2540" t="str"><v>Social</v></cell><cell r="R2540" t="str"><v>Azure</v></cell><cell r="S2540" t="str"><v>Apps & Infra</v></cell><cell r="T2540" t="str"><v>Developers & ITI's</v></cell><cell r="U2540" t="str"><v>USA-Trial-ITD-Trial Lookalike-AZR-AZR</v></cell><cell r="V2540" t="str"><v>Lookalike Targeting</v></cell><cell r="W2540" t="str"><v>Canvas Ad</v></cell><cell r="X2540" t="str"><v>1x1</v></cell></row><row r="2540"><cell r="AA2540"><v>43299</v></cell><cell r="AB2540" t="str"><v>USA_gaPMG_AZR_AZR_Q1_19_Direct-Social</v></cell><cell r="AC2540"><v>21358715</v></cell><cell r="AD2540"><v>720197</v></cell><cell r="AE2540" t="str"><v>Facebook</v></cell><cell r="AF2540"><v>3654128</v></cell><cell r="AG2540" t="str"><v>FACEBOOK»USA-Trial-ITD-Trial Lookalike-AZR-AZR»1 x 1»SocialBan»CAN»ALL»CPA»LAL»X»NA»SS»NA»FBCTCBenefit2inMotion»PRC1M0</v></cell><cell r="AH2540"><v>223862927</v></cell><cell r="AI2540" t="str"><v>AzurePlatform_FBCTCBenefit2inMotion_USA_10s_CAN_PLATFORM_English_Trial_Standard_STAN_TIN_T4_1</v></cell><cell r="AJ2540"><v>103043835</v></cell></row><row r="2541"><cell r="C2541" t="str"><v>43299FACEBOOK»USA-Trial-ITD-Trial Lookalike-AZR-AZR»1 x 1»SocialBan»LIA»ALL»CPA»LAL»X»NA»SS»NA»FreeAcctDeveloperFB-AnimatedAI-Ch3»PRC1M7</v></cell><cell r="D2541" t="str"><v>43299223934104</v></cell><cell r="E2541" t="str"><v>43299103032778PRC1M7</v></cell><cell r="F2541" t="str"><v>DCM</v></cell></row><row r="2541"><cell r="K2541" t="str"><v>July</v></cell><cell r="L2541"><v>43302</v></cell><cell r="M2541" t="str"><v>Tier 0</v></cell><cell r="N2541" t="str"><v>North America</v></cell><cell r="O2541" t="str"><v>United States</v></cell><cell r="P2541" t="str"><v>Trial</v></cell><cell r="Q2541" t="str"><v>Social</v></cell><cell r="R2541" t="str"><v>Azure</v></cell><cell r="S2541" t="str"><v>Apps & Infra</v></cell><cell r="T2541" t="str"><v>Developers & ITI's</v></cell><cell r="U2541" t="str"><v>USA-Trial-ITD-Trial Lookalike-AZR-AZR</v></cell><cell r="V2541" t="str"><v>Lookalike Targeting</v></cell><cell r="W2541" t="str"><v>Link Ad</v></cell><cell r="X2541" t="str"><v>1x1</v></cell></row><row r="2541"><cell r="AA2541"><v>43299</v></cell><cell r="AB2541" t="str"><v>USA_gaPMG_AZR_AZR_Q1_19_Direct-Social</v></cell><cell r="AC2541"><v>21358715</v></cell><cell r="AD2541"><v>720197</v></cell><cell r="AE2541" t="str"><v>Facebook</v></cell><cell r="AF2541"><v>3654128</v></cell><cell r="AG2541" t="str"><v>FACEBOOK»USA-Trial-ITD-Trial Lookalike-AZR-AZR»1 x 1»SocialBan»LIA»ALL»CPA»LAL»X»NA»SS»NA»FreeAcctDeveloperFB-AnimatedAI-Ch3»PRC1M7</v></cell><cell r="AH2541"><v>223934104</v></cell><cell r="AI2541" t="str"><v>AZR_FreeAcctDeveloperFB-AnimatedAI-Ch3_USA_1200x1200_CAN_Direct_English_Trial_Standard_ANI_LEA_T3_1</v></cell><cell r="AJ2541"><v>103032778</v></cell></row><row r="2542"><cell r="C2542" t="str"><v>43299FACEBOOK»USA-Trial-ITD-Trial Lookalike-AZR-AZR»1 x 1»SocialBan»LIA»ALL»CPA»LAL»X»NA»SS»NA»FreeAcctDeveloperFB-AnimatedData-Ch4»PRC1M8</v></cell><cell r="D2542" t="str"><v>43299223862933</v></cell><cell r="E2542" t="str"><v>43299103037935PRC1M8</v></cell><cell r="F2542" t="str"><v>DCM</v></cell></row><row r="2542"><cell r="K2542" t="str"><v>July</v></cell><cell r="L2542"><v>43302</v></cell><cell r="M2542" t="str"><v>Tier 0</v></cell><cell r="N2542" t="str"><v>North America</v></cell><cell r="O2542" t="str"><v>United States</v></cell><cell r="P2542" t="str"><v>Trial</v></cell><cell r="Q2542" t="str"><v>Social</v></cell><cell r="R2542" t="str"><v>Azure</v></cell><cell r="S2542" t="str"><v>Apps & Infra</v></cell><cell r="T2542" t="str"><v>Developers & ITI's</v></cell><cell r="U2542" t="str"><v>USA-Trial-ITD-Trial Lookalike-AZR-AZR</v></cell><cell r="V2542" t="str"><v>Lookalike Targeting</v></cell><cell r="W2542" t="str"><v>Link Ad</v></cell><cell r="X2542" t="str"><v>1x1</v></cell></row><row r="2542"><cell r="AA2542"><v>43299</v></cell><cell r="AB2542" t="str"><v>USA_gaPMG_AZR_AZR_Q1_19_Direct-Social</v></cell><cell r="AC2542"><v>21358715</v></cell><cell r="AD2542"><v>720197</v></cell><cell r="AE2542" t="str"><v>Facebook</v></cell><cell r="AF2542"><v>3654128</v></cell><cell r="AG2542" t="str"><v>FACEBOOK»USA-Trial-ITD-Trial Lookalike-AZR-AZR»1 x 1»SocialBan»LIA»ALL»CPA»LAL»X»NA»SS»NA»FreeAcctDeveloperFB-AnimatedData-Ch4»PRC1M8</v></cell><cell r="AH2542"><v>223862933</v></cell><cell r="AI2542" t="str"><v>AZR_FreeAcctDeveloperFB-AnimatedData-Ch4_USA_1200x1200_CAN_Direct_English_Trial_Standard_ANI_LEA_T4_2</v></cell><cell r="AJ2542"><v>103037935</v></cell></row><row r="2543"><cell r="C2543" t="str"><v>43299FACEBOOK»USA-Trial-ITD-Trial Lookalike-AZR-AZR»1 x 1»SocialBan»LIA»ALL»CPA»LAL»X»NA»SS»NA»FreeAcctITProFB-AnimatedHybrid-Ch2»PRC1MC</v></cell><cell r="D2543" t="str"><v>43299224104956</v></cell><cell r="E2543" t="str"><v>43299103180583PRC1MC</v></cell><cell r="F2543" t="str"><v>DCM</v></cell></row><row r="2543"><cell r="K2543" t="str"><v>July</v></cell><cell r="L2543"><v>43302</v></cell><cell r="M2543" t="str"><v>Tier 0</v></cell><cell r="N2543" t="str"><v>North America</v></cell><cell r="O2543" t="str"><v>United States</v></cell><cell r="P2543" t="str"><v>Trial</v></cell><cell r="Q2543" t="str"><v>Social</v></cell><cell r="R2543" t="str"><v>Azure</v></cell><cell r="S2543" t="str"><v>Apps & Infra</v></cell><cell r="T2543" t="str"><v>Developers & ITI's</v></cell><cell r="U2543" t="str"><v>USA-Trial-ITD-Trial Lookalike-AZR-AZR</v></cell><cell r="V2543" t="str"><v>Lookalike Targeting</v></cell><cell r="W2543" t="str"><v>Link Ad</v></cell><cell r="X2543" t="str"><v>1x1</v></cell></row><row r="2543"><cell r="AA2543"><v>43299</v></cell><cell r="AB2543" t="str"><v>USA_gaPMG_AZR_AZR_Q1_19_Direct-Social</v></cell><cell r="AC2543"><v>21358715</v></cell><cell r="AD2543"><v>720197</v></cell><cell r="AE2543" t="str"><v>Facebook</v></cell><cell r="AF2543"><v>3654128</v></cell><cell r="AG2543" t="str"><v>FACEBOOK»USA-Trial-ITD-Trial Lookalike-AZR-AZR»1 x 1»SocialBan»LIA»ALL»CPA»LAL»X»NA»SS»NA»FreeAcctITProFB-AnimatedHybrid-Ch2»PRC1MC</v></cell><cell r="AH2543"><v>224104956</v></cell><cell r="AI2543" t="str"><v>AZR_FreeAcctITProFB-AnimatedHybrid-Ch2_USA_1200x1200_CAN_Direct_English_Trial_Standard_ANI_LEA_T2_2</v></cell><cell r="AJ2543"><v>103180583</v></cell></row><row r="2544"><cell r="C2544" t="str"><v>43299FACEBOOK»USA-Trial-ITD-Trial Lookalike-AZR-AZR»1 x 1»SocialBan»CAN»ALL»CPA»LAL»X»NA»SS»NA»FBCTCBrandinMotion»PRC1M3</v></cell><cell r="D2544" t="str"><v>43299223862900</v></cell><cell r="E2544" t="str"><v>43299103176812PRC1M3</v></cell><cell r="F2544" t="str"><v>DCM</v></cell><cell r="G2544" t="str"><v>https://signup.azure.com/?OCID=AID%eexcid!_OLA_%ebuy!_%epid!_%ecid!</v></cell></row><row r="2544"><cell r="K2544" t="str"><v>July</v></cell><cell r="L2544"><v>43302</v></cell><cell r="M2544" t="str"><v>Tier 0</v></cell><cell r="N2544" t="str"><v>North America</v></cell><cell r="O2544" t="str"><v>United States</v></cell><cell r="P2544" t="str"><v>Trial</v></cell><cell r="Q2544" t="str"><v>Social</v></cell><cell r="R2544" t="str"><v>Azure</v></cell><cell r="S2544" t="str"><v>Apps & Infra</v></cell><cell r="T2544" t="str"><v>Developers & ITI's</v></cell><cell r="U2544" t="str"><v>USA-Trial-ITD-Trial Lookalike-AZR-AZR</v></cell><cell r="V2544" t="str"><v>Lookalike Targeting</v></cell><cell r="W2544" t="str"><v>Canvas Ad</v></cell><cell r="X2544" t="str"><v>1x1</v></cell></row><row r="2544"><cell r="AA2544"><v>43299</v></cell><cell r="AB2544" t="str"><v>USA_gaPMG_AZR_AZR_Q1_19_Direct-Social</v></cell><cell r="AC2544"><v>21358715</v></cell><cell r="AD2544"><v>720197</v></cell><cell r="AE2544" t="str"><v>Facebook</v></cell><cell r="AF2544"><v>3654128</v></cell><cell r="AG2544" t="str"><v>FACEBOOK»USA-Trial-ITD-Trial Lookalike-AZR-AZR»1 x 1»SocialBan»CAN»ALL»CPA»LAL»X»NA»SS»NA»FBCTCBrandinMotion»PRC1M3</v></cell><cell r="AH2544"><v>223862900</v></cell><cell r="AI2544" t="str"><v>AzurePlatform_FBCTCBrandinMotion_USA_10s_CAN_PLATFORM_English_Trial_Standard_STAN_TIN_T2_1</v></cell><cell r="AJ2544"><v>103176812</v></cell></row><row r="2545"><cell r="C2545" t="str"><v>43299FACEBOOK»USA-Trial-ITD-Trial Lookalike-AZR-AZR»1 x 1»SocialBan»CAN»ALL»CPA»LAL»X»NA»SS»NA»FBCTCBrandinMotion»PRC1M3</v></cell><cell r="D2545" t="str"><v>43299223862900</v></cell><cell r="E2545" t="str"><v>43299103032823PRC1M3</v></cell><cell r="F2545" t="str"><v>DCM</v></cell><cell r="G2545" t="str"><v>https://azure.microsoft.com/en-us/pricing/purchase-options/?v=18.19&OCID=AID%eexcid!_OLA_%ebuy!_%epid!_%ecid!</v></cell></row><row r="2545"><cell r="K2545" t="str"><v>July</v></cell><cell r="L2545"><v>43302</v></cell><cell r="M2545" t="str"><v>Tier 0</v></cell><cell r="N2545" t="str"><v>North America</v></cell><cell r="O2545" t="str"><v>United States</v></cell><cell r="P2545" t="str"><v>Trial</v></cell><cell r="Q2545" t="str"><v>Social</v></cell><cell r="R2545" t="str"><v>Azure</v></cell><cell r="S2545" t="str"><v>Apps & Infra</v></cell><cell r="T2545" t="str"><v>Developers & ITI's</v></cell><cell r="U2545" t="str"><v>USA-Trial-ITD-Trial Lookalike-AZR-AZR</v></cell><cell r="V2545" t="str"><v>Lookalike Targeting</v></cell><cell r="W2545" t="str"><v>Canvas Ad</v></cell><cell r="X2545" t="str"><v>1x1</v></cell></row><row r="2545"><cell r="AA2545"><v>43299</v></cell><cell r="AB2545" t="str"><v>USA_gaPMG_AZR_AZR_Q1_19_Direct-Social</v></cell><cell r="AC2545"><v>21358715</v></cell><cell r="AD2545"><v>720197</v></cell><cell r="AE2545" t="str"><v>Facebook</v></cell><cell r="AF2545"><v>3654128</v></cell><cell r="AG2545" t="str"><v>FACEBOOK»USA-Trial-ITD-Trial Lookalike-AZR-AZR»1 x 1»SocialBan»CAN»ALL»CPA»LAL»X»NA»SS»NA»FBCTCBrandinMotion»PRC1M3</v></cell><cell r="AH2545"><v>223862900</v></cell><cell r="AI2545" t="str"><v>AzurePlatform_FBCTCBrandinMotion_USA_10s_CAN_PLATFORM_English_Trial_Standard_STAN_TIN_T2_2</v></cell><cell r="AJ2545"><v>103032823</v></cell></row><row r="2546"><cell r="C2546" t="str"><v>43299FACEBOOK»USA-Trial-ITD-Trial PayGo Lookalike-AZR-AZR»1 x 1»SocialBan»CAN»ALL»CPA»LAL»X»NA»SS»NA»FBCTCBenefit2inMotion»PRC1Q1</v></cell><cell r="D2546" t="str"><v>43299224104986</v></cell><cell r="E2546" t="str"><v>43299103043835PRC1Q1</v></cell><cell r="F2546" t="str"><v>DCM</v></cell><cell r="G2546" t="str"><v>https://signup.azure.com/?OCID=AID%eexcid!_OLA_%ebuy!_%epid!_%ecid!</v></cell></row><row r="2546"><cell r="K2546" t="str"><v>July</v></cell><cell r="L2546"><v>43302</v></cell><cell r="M2546" t="str"><v>Tier 0</v></cell><cell r="N2546" t="str"><v>North America</v></cell><cell r="O2546" t="str"><v>United States</v></cell><cell r="P2546" t="str"><v>Trial</v></cell><cell r="Q2546" t="str"><v>Social</v></cell><cell r="R2546" t="str"><v>Azure</v></cell><cell r="S2546" t="str"><v>Apps & Infra</v></cell><cell r="T2546" t="str"><v>Developers & ITI's</v></cell><cell r="U2546" t="str"><v>USA-Trial-ITD-Trial PayGo Lookalike-AZR-AZR</v></cell><cell r="V2546" t="str"><v>Lookalike Targeting</v></cell><cell r="W2546" t="str"><v>Canvas Ad</v></cell><cell r="X2546" t="str"><v>1x1</v></cell></row><row r="2546"><cell r="AA2546"><v>43299</v></cell><cell r="AB2546" t="str"><v>USA_gaPMG_AZR_AZR_Q1_19_Direct-Social</v></cell><cell r="AC2546"><v>21358715</v></cell><cell r="AD2546"><v>720197</v></cell><cell r="AE2546" t="str"><v>Facebook</v></cell><cell r="AF2546"><v>3654128</v></cell><cell r="AG2546" t="str"><v>FACEBOOK»USA-Trial-ITD-Trial PayGo Lookalike-AZR-AZR»1 x 1»SocialBan»CAN»ALL»CPA»LAL»X»NA»SS»NA»FBCTCBenefit2inMotion»PRC1Q1</v></cell><cell r="AH2546"><v>224104986</v></cell><cell r="AI2546" t="str"><v>AzurePlatform_FBCTCBenefit2inMotion_USA_10s_CAN_PLATFORM_English_Trial_Standard_STAN_TIN_T4_1</v></cell><cell r="AJ2546"><v>103043835</v></cell></row><row r="2547"><cell r="C2547" t="str"><v>43299FACEBOOK»USA-Trial-ITD-Trial PayGo Lookalike-AZR-AZR»1 x 1»SocialBan»CAN»ALL»CPA»LAL»X»NA»SS»NA»FBCTCBrandinMotion»PRC1Q3</v></cell><cell r="D2547" t="str"><v>43299223935349</v></cell><cell r="E2547" t="str"><v>43299103176812PRC1Q3</v></cell><cell r="F2547" t="str"><v>DCM</v></cell><cell r="G2547" t="str"><v>https://signup.azure.com/?OCID=AID%eexcid!_OLA_%ebuy!_%epid!_%ecid!</v></cell></row><row r="2547"><cell r="K2547" t="str"><v>July</v></cell><cell r="L2547"><v>43302</v></cell><cell r="M2547" t="str"><v>Tier 0</v></cell><cell r="N2547" t="str"><v>North America</v></cell><cell r="O2547" t="str"><v>United States</v></cell><cell r="P2547" t="str"><v>Trial</v></cell><cell r="Q2547" t="str"><v>Social</v></cell><cell r="R2547" t="str"><v>Azure</v></cell><cell r="S2547" t="str"><v>Apps & Infra</v></cell><cell r="T2547" t="str"><v>Developers & ITI's</v></cell><cell r="U2547" t="str"><v>USA-Trial-ITD-Trial PayGo Lookalike-AZR-AZR</v></cell><cell r="V2547" t="str"><v>Lookalike Targeting</v></cell><cell r="W2547" t="str"><v>Canvas Ad</v></cell><cell r="X2547" t="str"><v>1x1</v></cell></row><row r="2547"><cell r="AA2547"><v>43299</v></cell><cell r="AB2547" t="str"><v>USA_gaPMG_AZR_AZR_Q1_19_Direct-Social</v></cell><cell r="AC2547"><v>21358715</v></cell><cell r="AD2547"><v>720197</v></cell><cell r="AE2547" t="str"><v>Facebook</v></cell><cell r="AF2547"><v>3654128</v></cell><cell r="AG2547" t="str"><v>FACEBOOK»USA-Trial-ITD-Trial PayGo Lookalike-AZR-AZR»1 x 1»SocialBan»CAN»ALL»CPA»LAL»X»NA»SS»NA»FBCTCBrandinMotion»PRC1Q3</v></cell><cell r="AH2547"><v>223935349</v></cell><cell r="AI2547" t="str"><v>AzurePlatform_FBCTCBrandinMotion_USA_10s_CAN_PLATFORM_English_Trial_Standard_STAN_TIN_T2_1</v></cell><cell r="AJ2547"><v>103176812</v></cell></row><row r="2548"><cell r="C2548" t="str"><v>43299FACEBOOK»USA-Trial-ITD-Trial PayGo Lookalike-AZR-AZR»1 x 1»SocialBan»CAN»ALL»CPA»LAL»X»NA»SS»NA»FBCTCBrandinMotion»PRC1Q3</v></cell><cell r="D2548" t="str"><v>43299223935349</v></cell><cell r="E2548" t="str"><v>43299103032823PRC1Q3</v></cell><cell r="F2548" t="str"><v>DCM</v></cell><cell r="G2548" t="str"><v>https://azure.microsoft.com/en-us/pricing/purchase-options/?v=18.19&OCID=AID%eexcid!_OLA_%ebuy!_%epid!_%ecid!</v></cell></row><row r="2548"><cell r="K2548" t="str"><v>July</v></cell><cell r="L2548"><v>43302</v></cell><cell r="M2548" t="str"><v>Tier 0</v></cell><cell r="N2548" t="str"><v>North America</v></cell><cell r="O2548" t="str"><v>United States</v></cell><cell r="P2548" t="str"><v>Trial</v></cell><cell r="Q2548" t="str"><v>Social</v></cell><cell r="R2548" t="str"><v>Azure</v></cell><cell r="S2548" t="str"><v>Apps & Infra</v></cell><cell r="T2548" t="str"><v>Developers & ITI's</v></cell><cell r="U2548" t="str"><v>USA-Trial-ITD-Trial PayGo Lookalike-AZR-AZR</v></cell><cell r="V2548" t="str"><v>Lookalike Targeting</v></cell><cell r="W2548" t="str"><v>Canvas Ad</v></cell><cell r="X2548" t="str"><v>1x1</v></cell></row><row r="2548"><cell r="AA2548"><v>43299</v></cell><cell r="AB2548" t="str"><v>USA_gaPMG_AZR_AZR_Q1_19_Direct-Social</v></cell><cell r="AC2548"><v>21358715</v></cell><cell r="AD2548"><v>720197</v></cell><cell r="AE2548" t="str"><v>Facebook</v></cell><cell r="AF2548"><v>3654128</v></cell><cell r="AG2548" t="str"><v>FACEBOOK»USA-Trial-ITD-Trial PayGo Lookalike-AZR-AZR»1 x 1»SocialBan»CAN»ALL»CPA»LAL»X»NA»SS»NA»FBCTCBrandinMotion»PRC1Q3</v></cell><cell r="AH2548"><v>223935349</v></cell><cell r="AI2548" t="str"><v>AzurePlatform_FBCTCBrandinMotion_USA_10s_CAN_PLATFORM_English_Trial_Standard_STAN_TIN_T2_2</v></cell><cell r="AJ2548"><v>103032823</v></cell></row><row r="2549"><cell r="C2549" t="str"><v>43299FACEBOOK»USA-Trial-ITD-Trial PayGo Lookalike-AZR-AZR»1 x 1»SocialBan»LIA»ALL»CPA»LAL»X»NA»SS»NA»FreeAcctDeveloperFB-AnimatedGeneric-Ch1»PRC1Q6</v></cell><cell r="D2549" t="str"><v>43299224106129</v></cell><cell r="E2549" t="str"><v>43299103176851PRC1Q6</v></cell><cell r="F2549" t="str"><v>DCM</v></cell><cell r="G2549" t="str"><v>https://azure.microsoft.com/en-us/free/search/?OCID=AID%eexcid!_OLA_%ebuy!_%epid!_%ecid!</v></cell></row><row r="2549"><cell r="K2549" t="str"><v>July</v></cell><cell r="L2549"><v>43302</v></cell><cell r="M2549" t="str"><v>Tier 0</v></cell><cell r="N2549" t="str"><v>North America</v></cell><cell r="O2549" t="str"><v>United States</v></cell><cell r="P2549" t="str"><v>Trial</v></cell><cell r="Q2549" t="str"><v>Social</v></cell><cell r="R2549" t="str"><v>Azure</v></cell><cell r="S2549" t="str"><v>Apps & Infra</v></cell><cell r="T2549" t="str"><v>Developers & ITI's</v></cell><cell r="U2549" t="str"><v>USA-Trial-ITD-Trial PayGo Lookalike-AZR-AZR</v></cell><cell r="V2549" t="str"><v>Lookalike Targeting</v></cell><cell r="W2549" t="str"><v>Link Ad</v></cell><cell r="X2549" t="str"><v>1x1</v></cell></row><row r="2549"><cell r="AA2549"><v>43299</v></cell><cell r="AB2549" t="str"><v>USA_gaPMG_AZR_AZR_Q1_19_Direct-Social</v></cell><cell r="AC2549"><v>21358715</v></cell><cell r="AD2549"><v>720197</v></cell><cell r="AE2549" t="str"><v>Facebook</v></cell><cell r="AF2549"><v>3654128</v></cell><cell r="AG2549" t="str"><v>FACEBOOK»USA-Trial-ITD-Trial PayGo Lookalike-AZR-AZR»1 x 1»SocialBan»LIA»ALL»CPA»LAL»X»NA»SS»NA»FreeAcctDeveloperFB-AnimatedGeneric-Ch1»PRC1Q6</v></cell><cell r="AH2549"><v>224106129</v></cell><cell r="AI2549" t="str"><v>AZR_FreeAcctDeveloperFB-AnimatedGeneric-Ch1_USA_1200x1200_CAN_Direct_English_Trial_Standard_ANI_LEA_T1_2</v></cell><cell r="AJ2549"><v>103176851</v></cell></row><row r="2550"><cell r="C2550" t="str"><v>43299FACEBOOK»USA-Trial-ITD-Interest Prospecting-AZR-AZR»1 x 1»SocialBan»LIA»ALL»CPA»PRO»X»NA»SS»NA»FreeAcctDeveloperFB-AnimatedAI-Ch3»PRC1T2</v></cell><cell r="D2550" t="str"><v>43299223862765</v></cell><cell r="E2550" t="str"><v>43299103032778PRC1T2</v></cell><cell r="F2550" t="str"><v>DCM</v></cell></row><row r="2550"><cell r="K2550" t="str"><v>July</v></cell><cell r="L2550"><v>43302</v></cell><cell r="M2550" t="str"><v>Tier 0</v></cell><cell r="N2550" t="str"><v>North America</v></cell><cell r="O2550" t="str"><v>United States</v></cell><cell r="P2550" t="str"><v>Trial</v></cell><cell r="Q2550" t="str"><v>Social</v></cell><cell r="R2550" t="str"><v>Azure</v></cell><cell r="S2550" t="str"><v>Apps & Infra</v></cell><cell r="T2550" t="str"><v>Developers & ITI's</v></cell><cell r="U2550" t="str"><v>USA-Trial-ITD-Interest Prospecting-AZR-AZR</v></cell><cell r="V2550" t="str"><v>Prospecting</v></cell><cell r="W2550" t="str"><v>Link Ad</v></cell><cell r="X2550" t="str"><v>1x1</v></cell></row><row r="2550"><cell r="AA2550"><v>43299</v></cell><cell r="AB2550" t="str"><v>USA_gaPMG_AZR_AZR_Q1_19_Direct-Social</v></cell><cell r="AC2550"><v>21358715</v></cell><cell r="AD2550"><v>720197</v></cell><cell r="AE2550" t="str"><v>Facebook</v></cell><cell r="AF2550"><v>3654128</v></cell><cell r="AG2550" t="str"><v>FACEBOOK»USA-Trial-ITD-Interest Prospecting-AZR-AZR»1 x 1»SocialBan»LIA»ALL»CPA»PRO»X»NA»SS»NA»FreeAcctDeveloperFB-AnimatedAI-Ch3»PRC1T2</v></cell><cell r="AH2550"><v>223862765</v></cell><cell r="AI2550" t="str"><v>AZR_FreeAcctDeveloperFB-AnimatedAI-Ch3_USA_1200x1200_CAN_Direct_English_Trial_Standard_ANI_LEA_T3_1</v></cell><cell r="AJ2550"><v>103032778</v></cell></row><row r="2551"><cell r="C2551" t="str"><v>43299FACEBOOK»USA-Trial-ITD-Interest Prospecting-AZR-AZR»1 x 1»SocialBan»LIA»ALL»CPA»PRO»X»NA»SS»NA»FreeAcctDeveloperFB-AnimatedData-Ch4»PRC1T3</v></cell><cell r="D2551" t="str"><v>43299223863380</v></cell><cell r="E2551" t="str"><v>43299103037935PRC1T3</v></cell><cell r="F2551" t="str"><v>DCM</v></cell></row><row r="2551"><cell r="K2551" t="str"><v>July</v></cell><cell r="L2551"><v>43302</v></cell><cell r="M2551" t="str"><v>Tier 0</v></cell><cell r="N2551" t="str"><v>North America</v></cell><cell r="O2551" t="str"><v>United States</v></cell><cell r="P2551" t="str"><v>Trial</v></cell><cell r="Q2551" t="str"><v>Social</v></cell><cell r="R2551" t="str"><v>Azure</v></cell><cell r="S2551" t="str"><v>Apps & Infra</v></cell><cell r="T2551" t="str"><v>Developers & ITI's</v></cell><cell r="U2551" t="str"><v>USA-Trial-ITD-Interest Prospecting-AZR-AZR</v></cell><cell r="V2551" t="str"><v>Prospecting</v></cell><cell r="W2551" t="str"><v>Link Ad</v></cell><cell r="X2551" t="str"><v>1x1</v></cell></row><row r="2551"><cell r="AA2551"><v>43299</v></cell><cell r="AB2551" t="str"><v>USA_gaPMG_AZR_AZR_Q1_19_Direct-Social</v></cell><cell r="AC2551"><v>21358715</v></cell><cell r="AD2551"><v>720197</v></cell><cell r="AE2551" t="str"><v>Facebook</v></cell><cell r="AF2551"><v>3654128</v></cell><cell r="AG2551" t="str"><v>FACEBOOK»USA-Trial-ITD-Interest Prospecting-AZR-AZR»1 x 1»SocialBan»LIA»ALL»CPA»PRO»X»NA»SS»NA»FreeAcctDeveloperFB-AnimatedData-Ch4»PRC1T3</v></cell><cell r="AH2551"><v>223863380</v></cell><cell r="AI2551" t="str"><v>AZR_FreeAcctDeveloperFB-AnimatedData-Ch4_USA_1200x1200_CAN_Direct_English_Trial_Standard_ANI_LEA_T4_2</v></cell><cell r="AJ2551"><v>103037935</v></cell></row><row r="2552"><cell r="C2552" t="str"><v>43299FACEBOOK»USA-Trial-ITD-Interest Prospecting-AZR-AZR»1 x 1»SocialBan»LIA»ALL»CPA»PRO»X»NA»SS»NA»FreeAcctDeveloperFB-AnimatedOpenSource-Ch2»PRC1T1</v></cell><cell r="D2552" t="str"><v>43299223862885</v></cell><cell r="E2552" t="str"><v>43299103048329PRC1T1</v></cell><cell r="F2552" t="str"><v>DCM</v></cell><cell r="G2552" t="str"><v>https://azure.microsoft.com/en-us/free/open-source/search/?OCID=AID%eexcid!_OLA_%ebuy!_%epid!_%ecid!</v></cell></row><row r="2552"><cell r="K2552" t="str"><v>July</v></cell><cell r="L2552"><v>43302</v></cell><cell r="M2552" t="str"><v>Tier 0</v></cell><cell r="N2552" t="str"><v>North America</v></cell><cell r="O2552" t="str"><v>United States</v></cell><cell r="P2552" t="str"><v>Trial</v></cell><cell r="Q2552" t="str"><v>Social</v></cell><cell r="R2552" t="str"><v>Azure</v></cell><cell r="S2552" t="str"><v>Apps & Infra</v></cell><cell r="T2552" t="str"><v>Developers & ITI's</v></cell><cell r="U2552" t="str"><v>USA-Trial-ITD-Interest Prospecting-AZR-AZR</v></cell><cell r="V2552" t="str"><v>Prospecting</v></cell><cell r="W2552" t="str"><v>Link Ad</v></cell><cell r="X2552" t="str"><v>1x1</v></cell></row><row r="2552"><cell r="AA2552"><v>43299</v></cell><cell r="AB2552" t="str"><v>USA_gaPMG_AZR_AZR_Q1_19_Direct-Social</v></cell><cell r="AC2552"><v>21358715</v></cell><cell r="AD2552"><v>720197</v></cell><cell r="AE2552" t="str"><v>Facebook</v></cell><cell r="AF2552"><v>3654128</v></cell><cell r="AG2552" t="str"><v>FACEBOOK»USA-Trial-ITD-Interest Prospecting-AZR-AZR»1 x 1»SocialBan»LIA»ALL»CPA»PRO»X»NA»SS»NA»FreeAcctDeveloperFB-AnimatedOpenSource-Ch2»PRC1T1</v></cell><cell r="AH2552"><v>223862885</v></cell><cell r="AI2552" t="str"><v>AZR_FreeAcctDeveloperFB-AnimatedOpenSource-Ch2_USA_1200x1200_CAN_Direct_English_Trial_Standard_ANI_LEA_T2_1</v></cell><cell r="AJ2552"><v>103048329</v></cell></row><row r="2553"><cell r="C2553" t="str"><v>43299FACEBOOK»USA-Trial-ITD-Interest Prospecting-AZR-AZR»1 x 1»SocialBan»LIA»ALL»CPA»PRO»X»NA»SS»NA»FreeAcctITProFB-AnimatedMigration-Ch3»PRC1X2</v></cell><cell r="D2553" t="str"><v>43299224106954</v></cell><cell r="E2553" t="str"><v>43299103176827PRC1X2</v></cell><cell r="F2553" t="str"><v>DCM</v></cell></row><row r="2553"><cell r="K2553" t="str"><v>July</v></cell><cell r="L2553"><v>43302</v></cell><cell r="M2553" t="str"><v>Tier 0</v></cell><cell r="N2553" t="str"><v>North America</v></cell><cell r="O2553" t="str"><v>United States</v></cell><cell r="P2553" t="str"><v>Trial</v></cell><cell r="Q2553" t="str"><v>Social</v></cell><cell r="R2553" t="str"><v>Azure</v></cell><cell r="S2553" t="str"><v>Apps & Infra</v></cell><cell r="T2553" t="str"><v>Developers & ITI's</v></cell><cell r="U2553" t="str"><v>USA-Trial-ITD-Interest Prospecting-AZR-AZR</v></cell><cell r="V2553" t="str"><v>Prospecting</v></cell><cell r="W2553" t="str"><v>Link Ad</v></cell><cell r="X2553" t="str"><v>1x1</v></cell></row><row r="2553"><cell r="AA2553"><v>43299</v></cell><cell r="AB2553" t="str"><v>USA_gaPMG_AZR_AZR_Q1_19_Direct-Social</v></cell><cell r="AC2553"><v>21358715</v></cell><cell r="AD2553"><v>720197</v></cell><cell r="AE2553" t="str"><v>Facebook</v></cell><cell r="AF2553"><v>3654128</v></cell><cell r="AG2553" t="str"><v>FACEBOOK»USA-Trial-ITD-Interest Prospecting-AZR-AZR»1 x 1»SocialBan»LIA»ALL»CPA»PRO»X»NA»SS»NA»FreeAcctITProFB-AnimatedMigration-Ch3»PRC1X2</v></cell><cell r="AH2553"><v>224106954</v></cell><cell r="AI2553" t="str"><v>AZR_FreeAcctITProFB-AnimatedMigration-Ch3_USA_1200x1200_CAN_Direct_English_Trial_Standard_ANI_LEA_T3_1</v></cell><cell r="AJ2553"><v>103176827</v></cell></row><row r="2554"><cell r="C2554" t="str"><v>43299FACEBOOK»USA-Trial-ITD-Lead Completes-AZR-AZR»1 x 1»SocialBan»LIA»ALL»CPA»PRO»X»NA»SS»NA»FreeAcctDeveloperFB-AnimatedOpenSource-Ch2»PRC1W0</v></cell><cell r="D2554" t="str"><v>43299223933108</v></cell><cell r="E2554" t="str"><v>43299103048329PRC1W0</v></cell><cell r="F2554" t="str"><v>DCM</v></cell><cell r="G2554" t="str"><v>https://azure.microsoft.com/en-us/free/open-source/search/?OCID=AID%eexcid!_OLA_%ebuy!_%epid!_%ecid!</v></cell></row><row r="2554"><cell r="K2554" t="str"><v>July</v></cell><cell r="L2554"><v>43302</v></cell><cell r="M2554" t="str"><v>Tier 0</v></cell><cell r="N2554" t="str"><v>North America</v></cell><cell r="O2554" t="str"><v>United States</v></cell><cell r="P2554" t="str"><v>Trial</v></cell><cell r="Q2554" t="str"><v>Social</v></cell><cell r="R2554" t="str"><v>Azure</v></cell><cell r="S2554" t="str"><v>Apps & Infra</v></cell><cell r="T2554" t="str"><v>Developers & ITI's</v></cell><cell r="U2554" t="str"><v>USA-Trial-ITD-Lead Completes-AZR-AZR</v></cell><cell r="V2554" t="str"><v>Prospecting</v></cell><cell r="W2554" t="str"><v>Link Ad</v></cell><cell r="X2554" t="str"><v>1x1</v></cell></row><row r="2554"><cell r="AA2554"><v>43299</v></cell><cell r="AB2554" t="str"><v>USA_gaPMG_AZR_AZR_Q1_19_Direct-Social</v></cell><cell r="AC2554"><v>21358715</v></cell><cell r="AD2554"><v>720197</v></cell><cell r="AE2554" t="str"><v>Facebook</v></cell><cell r="AF2554"><v>3654128</v></cell><cell r="AG2554" t="str"><v>FACEBOOK»USA-Trial-ITD-Lead Completes-AZR-AZR»1 x 1»SocialBan»LIA»ALL»CPA»PRO»X»NA»SS»NA»FreeAcctDeveloperFB-AnimatedOpenSource-Ch2»PRC1W0</v></cell><cell r="AH2554"><v>223933108</v></cell><cell r="AI2554" t="str"><v>AZR_FreeAcctDeveloperFB-AnimatedOpenSource-Ch2_USA_1200x1200_CAN_Direct_English_Trial_Standard_ANI_LEA_T2_1</v></cell><cell r="AJ2554"><v>103048329</v></cell></row><row r="2555"><cell r="C2555" t="str"><v>43299FACEBOOK»USA-Trial-ITD-Lead Completes-AZR-AZR»1 x 1»SocialBan»LIA»ALL»CPA»PRO»X»NA»SS»NA»FreeAcctDeveloperFB-AnimatedGeneric-Ch1»PRC1VY</v></cell><cell r="D2555" t="str"><v>43299223862846</v></cell><cell r="E2555" t="str"><v>43299103176851PRC1VY</v></cell><cell r="F2555" t="str"><v>DCM</v></cell><cell r="G2555" t="str"><v>https://azure.microsoft.com/en-us/free/search/?OCID=AID%eexcid!_OLA_%ebuy!_%epid!_%ecid!</v></cell></row><row r="2555"><cell r="K2555" t="str"><v>July</v></cell><cell r="L2555"><v>43302</v></cell><cell r="M2555" t="str"><v>Tier 0</v></cell><cell r="N2555" t="str"><v>North America</v></cell><cell r="O2555" t="str"><v>United States</v></cell><cell r="P2555" t="str"><v>Trial</v></cell><cell r="Q2555" t="str"><v>Social</v></cell><cell r="R2555" t="str"><v>Azure</v></cell><cell r="S2555" t="str"><v>Apps & Infra</v></cell><cell r="T2555" t="str"><v>Developers & ITI's</v></cell><cell r="U2555" t="str"><v>USA-Trial-ITD-Lead Completes-AZR-AZR</v></cell><cell r="V2555" t="str"><v>Prospecting</v></cell><cell r="W2555" t="str"><v>Link Ad</v></cell><cell r="X2555" t="str"><v>1x1</v></cell></row><row r="2555"><cell r="AA2555"><v>43299</v></cell><cell r="AB2555" t="str"><v>USA_gaPMG_AZR_AZR_Q1_19_Direct-Social</v></cell><cell r="AC2555"><v>21358715</v></cell><cell r="AD2555"><v>720197</v></cell><cell r="AE2555" t="str"><v>Facebook</v></cell><cell r="AF2555"><v>3654128</v></cell><cell r="AG2555" t="str"><v>FACEBOOK»USA-Trial-ITD-Lead Completes-AZR-AZR»1 x 1»SocialBan»LIA»ALL»CPA»PRO»X»NA»SS»NA»FreeAcctDeveloperFB-AnimatedGeneric-Ch1»PRC1VY</v></cell><cell r="AH2555"><v>223862846</v></cell><cell r="AI2555" t="str"><v>AZR_FreeAcctDeveloperFB-AnimatedGeneric-Ch1_USA_1200x1200_CAN_Direct_English_Trial_Standard_ANI_LEA_T1_2</v></cell><cell r="AJ2555"><v>103176851</v></cell></row><row r="2556"><cell r="C2556" t="str"><v>43299FACEBOOK»USA-Trial-ITD-Retargeting-AZR-AZR»1 x 1»SocialBan»LIA»ALL»CPA»RT»X»NA»SS»NA»FreeAcctDeveloperFB-AnimatedGeneric-Ch1»PRC26D</v></cell><cell r="D2556" t="str"><v>43299223862870</v></cell><cell r="E2556" t="str"><v>43299103176851PRC26D</v></cell><cell r="F2556" t="str"><v>DCM</v></cell><cell r="G2556" t="str"><v>https://azure.microsoft.com/en-us/free/search/?OCID=AID%eexcid!_OLA_%ebuy!_%epid!_%ecid!</v></cell></row><row r="2556"><cell r="K2556" t="str"><v>July</v></cell><cell r="L2556"><v>43302</v></cell><cell r="M2556" t="str"><v>Tier 0</v></cell><cell r="N2556" t="str"><v>North America</v></cell><cell r="O2556" t="str"><v>United States</v></cell><cell r="P2556" t="str"><v>Trial</v></cell><cell r="Q2556" t="str"><v>Social</v></cell><cell r="R2556" t="str"><v>Azure</v></cell><cell r="S2556" t="str"><v>Apps & Infra</v></cell><cell r="T2556" t="str"><v>Developers & ITI's</v></cell><cell r="U2556" t="str"><v>USA-Trial-ITD-Retargeting-AZR-AZR</v></cell><cell r="V2556" t="str"><v>Retargeting</v></cell><cell r="W2556" t="str"><v>Link Ad</v></cell><cell r="X2556" t="str"><v>1x1</v></cell></row><row r="2556"><cell r="AA2556"><v>43299</v></cell><cell r="AB2556" t="str"><v>USA_gaPMG_AZR_AZR_Q1_19_Direct-Social</v></cell><cell r="AC2556"><v>21358715</v></cell><cell r="AD2556"><v>720197</v></cell><cell r="AE2556" t="str"><v>Facebook</v></cell><cell r="AF2556"><v>3654128</v></cell><cell r="AG2556" t="str"><v>FACEBOOK»USA-Trial-ITD-Retargeting-AZR-AZR»1 x 1»SocialBan»LIA»ALL»CPA»RT»X»NA»SS»NA»FreeAcctDeveloperFB-AnimatedGeneric-Ch1»PRC26D</v></cell><cell r="AH2556"><v>223862870</v></cell><cell r="AI2556" t="str"><v>AZR_FreeAcctDeveloperFB-AnimatedGeneric-Ch1_USA_1200x1200_CAN_Direct_English_Trial_Standard_ANI_LEA_T1_2</v></cell><cell r="AJ2556"><v>103176851</v></cell></row><row r="2557"><cell r="C2557" t="str"><v>43299FACEBOOK»USA-Trial-ITD-Retargeting-AZR-AZR»1 x 1»SocialBan»LIA»ALL»CPA»RT»X»NA»SS»NA»FreeAcctRetargetingOSSFB-Logos-ChG»PRC1S2</v></cell><cell r="D2557" t="str"><v>43299224106063</v></cell><cell r="E2557" t="str"><v>43299103176008PRC1S2</v></cell><cell r="F2557" t="str"><v>DCM</v></cell><cell r="G2557" t="str"><v>https://azure.microsoft.com/en-us/free/open-source/search/?OCID=AID%eexcid!_OLA_%ebuy!_%epid!_%ecid!</v></cell></row><row r="2557"><cell r="K2557" t="str"><v>July</v></cell><cell r="L2557"><v>43302</v></cell><cell r="M2557" t="str"><v>Tier 0</v></cell><cell r="N2557" t="str"><v>North America</v></cell><cell r="O2557" t="str"><v>United States</v></cell><cell r="P2557" t="str"><v>Trial</v></cell><cell r="Q2557" t="str"><v>Social</v></cell><cell r="R2557" t="str"><v>Azure</v></cell><cell r="S2557" t="str"><v>Apps & Infra</v></cell><cell r="T2557" t="str"><v>Developers & ITI's</v></cell><cell r="U2557" t="str"><v>USA-Trial-ITD-Retargeting-AZR-AZR</v></cell><cell r="V2557" t="str"><v>Retargeting</v></cell><cell r="W2557" t="str"><v>Link Ad</v></cell><cell r="X2557" t="str"><v>1x1</v></cell></row><row r="2557"><cell r="AA2557"><v>43299</v></cell><cell r="AB2557" t="str"><v>USA_gaPMG_AZR_AZR_Q1_19_Direct-Social</v></cell><cell r="AC2557"><v>21358715</v></cell><cell r="AD2557"><v>720197</v></cell><cell r="AE2557" t="str"><v>Facebook</v></cell><cell r="AF2557"><v>3654128</v></cell><cell r="AG2557" t="str"><v>FACEBOOK»USA-Trial-ITD-Retargeting-AZR-AZR»1 x 1»SocialBan»LIA»ALL»CPA»RT»X»NA»SS»NA»FreeAcctRetargetingOSSFB-Logos-ChG»PRC1S2</v></cell><cell r="AH2557"><v>224106063</v></cell><cell r="AI2557" t="str"><v>AzurePlatform_FreeAcctRetargetingOSSFB-Logos-ChG_USA_1200x628_CAN_PLATFORM_English_Free Account_Standard_NA_SINU_T2_1</v></cell><cell r="AJ2557"><v>103176008</v></cell></row><row r="2558"><cell r="C2558" t="str"><v>43299FACEBOOK»USA-Trial-ITD-Retargeting-AZR-AZR»1 x 1»SocialBan»LIA»ALL»CPA»RT»X»NA»SS»NA»FreeAcctRetargetingOSSFB-Text-ChF»PRC1S1</v></cell><cell r="D2558" t="str"><v>43299223862753</v></cell><cell r="E2558" t="str"><v>43299103176869PRC1S1</v></cell><cell r="F2558" t="str"><v>DCM</v></cell><cell r="G2558" t="str"><v>https://azure.microsoft.com/en-us/free/open-source/search/?OCID=AID%eexcid!_OLA_%ebuy!_%epid!_%ecid!</v></cell></row><row r="2558"><cell r="K2558" t="str"><v>July</v></cell><cell r="L2558"><v>43302</v></cell><cell r="M2558" t="str"><v>Tier 0</v></cell><cell r="N2558" t="str"><v>North America</v></cell><cell r="O2558" t="str"><v>United States</v></cell><cell r="P2558" t="str"><v>Trial</v></cell><cell r="Q2558" t="str"><v>Social</v></cell><cell r="R2558" t="str"><v>Azure</v></cell><cell r="S2558" t="str"><v>Apps & Infra</v></cell><cell r="T2558" t="str"><v>Developers & ITI's</v></cell><cell r="U2558" t="str"><v>USA-Trial-ITD-Retargeting-AZR-AZR</v></cell><cell r="V2558" t="str"><v>Retargeting</v></cell><cell r="W2558" t="str"><v>Link Ad</v></cell><cell r="X2558" t="str"><v>1x1</v></cell></row><row r="2558"><cell r="AA2558"><v>43299</v></cell><cell r="AB2558" t="str"><v>USA_gaPMG_AZR_AZR_Q1_19_Direct-Social</v></cell><cell r="AC2558"><v>21358715</v></cell><cell r="AD2558"><v>720197</v></cell><cell r="AE2558" t="str"><v>Facebook</v></cell><cell r="AF2558"><v>3654128</v></cell><cell r="AG2558" t="str"><v>FACEBOOK»USA-Trial-ITD-Retargeting-AZR-AZR»1 x 1»SocialBan»LIA»ALL»CPA»RT»X»NA»SS»NA»FreeAcctRetargetingOSSFB-Text-ChF»PRC1S1</v></cell><cell r="AH2558"><v>223862753</v></cell><cell r="AI2558" t="str"><v>AzurePlatform_FreeAcctRetargetingOSSFB-Text-ChF_USA_1200x628_CAN_PLATFORM_English_Free Account_Standard_NA_SINU_T1_2</v></cell><cell r="AJ2558"><v>103176869</v></cell></row><row r="2559"><cell r="C2559" t="str"><v>43299FACEBOOK»USA-Trial-ITD-Retargeting-AZR-AZR»1 x 1»SocialBan»LIA»ALL»CPA»RT»X»NA»SS»NA»FreeAcctITProFB-AnimatedSecureMngd-Ch1»PRC26K</v></cell><cell r="D2559" t="str"><v>43299223862762</v></cell><cell r="E2559" t="str"><v>43299103176830PRC26K</v></cell><cell r="F2559" t="str"><v>DCM</v></cell></row><row r="2559"><cell r="K2559" t="str"><v>July</v></cell><cell r="L2559"><v>43302</v></cell><cell r="M2559" t="str"><v>Tier 0</v></cell><cell r="N2559" t="str"><v>North America</v></cell><cell r="O2559" t="str"><v>United States</v></cell><cell r="P2559" t="str"><v>Trial</v></cell><cell r="Q2559" t="str"><v>Social</v></cell><cell r="R2559" t="str"><v>Azure</v></cell><cell r="S2559" t="str"><v>Apps & Infra</v></cell><cell r="T2559" t="str"><v>Developers & ITI's</v></cell><cell r="U2559" t="str"><v>USA-Trial-ITD-Retargeting-AZR-AZR</v></cell><cell r="V2559" t="str"><v>Retargeting</v></cell><cell r="W2559" t="str"><v>Link Ad</v></cell><cell r="X2559" t="str"><v>1x1</v></cell></row><row r="2559"><cell r="AA2559"><v>43299</v></cell><cell r="AB2559" t="str"><v>USA_gaPMG_AZR_AZR_Q1_19_Direct-Social</v></cell><cell r="AC2559"><v>21358715</v></cell><cell r="AD2559"><v>720197</v></cell><cell r="AE2559" t="str"><v>Facebook</v></cell><cell r="AF2559"><v>3654128</v></cell><cell r="AG2559" t="str"><v>FACEBOOK»USA-Trial-ITD-Retargeting-AZR-AZR»1 x 1»SocialBan»LIA»ALL»CPA»RT»X»NA»SS»NA»FreeAcctITProFB-AnimatedSecureMngd-Ch1»PRC26K</v></cell><cell r="AH2559"><v>223862762</v></cell><cell r="AI2559" t="str"><v>AZR_FreeAcctITProFB-AnimatedSecureMngd-Ch1_USA_1200x1200_CAN_Direct_English_Trial_Standard_ANI_LEA_T1_1</v></cell><cell r="AJ2559"><v>103176830</v></cell></row><row r="2560"><cell r="C2560" t="str"><v>43299FACEBOOK»USA-Trial-ITD-Trial Lookalike-AZR-AZR»1 x 1»SocialBan»LIA»ALL»CPA»LAL»X»NA»SS»NA»FreeAcctDeveloperFB-AnimatedGeneric-Ch1»PRC1M4</v></cell><cell r="D2560" t="str"><v>43299224104941</v></cell><cell r="E2560" t="str"><v>43299103176851PRC1M4</v></cell><cell r="F2560" t="str"><v>DCM</v></cell><cell r="G2560" t="str"><v>https://azure.microsoft.com/en-us/free/search/?OCID=AID%eexcid!_OLA_%ebuy!_%epid!_%ecid!</v></cell></row><row r="2560"><cell r="K2560" t="str"><v>July</v></cell><cell r="L2560"><v>43302</v></cell><cell r="M2560" t="str"><v>Tier 0</v></cell><cell r="N2560" t="str"><v>North America</v></cell><cell r="O2560" t="str"><v>United States</v></cell><cell r="P2560" t="str"><v>Trial</v></cell><cell r="Q2560" t="str"><v>Social</v></cell><cell r="R2560" t="str"><v>Azure</v></cell><cell r="S2560" t="str"><v>Apps & Infra</v></cell><cell r="T2560" t="str"><v>Developers & ITI's</v></cell><cell r="U2560" t="str"><v>USA-Trial-ITD-Trial Lookalike-AZR-AZR</v></cell><cell r="V2560" t="str"><v>Lookalike Targeting</v></cell><cell r="W2560" t="str"><v>Link Ad</v></cell><cell r="X2560" t="str"><v>1x1</v></cell></row><row r="2560"><cell r="AA2560"><v>43299</v></cell><cell r="AB2560" t="str"><v>USA_gaPMG_AZR_AZR_Q1_19_Direct-Social</v></cell><cell r="AC2560"><v>21358715</v></cell><cell r="AD2560"><v>720197</v></cell><cell r="AE2560" t="str"><v>Facebook</v></cell><cell r="AF2560"><v>3654128</v></cell><cell r="AG2560" t="str"><v>FACEBOOK»USA-Trial-ITD-Trial Lookalike-AZR-AZR»1 x 1»SocialBan»LIA»ALL»CPA»LAL»X»NA»SS»NA»FreeAcctDeveloperFB-AnimatedGeneric-Ch1»PRC1M4</v></cell><cell r="AH2560"><v>224104941</v></cell><cell r="AI2560" t="str"><v>AZR_FreeAcctDeveloperFB-AnimatedGeneric-Ch1_USA_1200x1200_CAN_Direct_English_Trial_Standard_ANI_LEA_T1_2</v></cell><cell r="AJ2560"><v>103176851</v></cell></row><row r="2561"><cell r="C2561" t="str"><v>43299FACEBOOK»USA-Trial-ITD-Trial Lookalike-AZR-AZR»1 x 1»SocialBan»LIA»ALL»CPA»LAL»X»NA»SS»NA»FreeAcctDeveloperFB-AnimatedGeneric-Ch1»PRC1M5</v></cell><cell r="D2561" t="str"><v>43299223934083</v></cell><cell r="E2561" t="str"><v>43299103176851PRC1M5</v></cell><cell r="F2561" t="str"><v>DCM</v></cell><cell r="G2561" t="str"><v>https://azure.microsoft.com/en-us/free/search/?OCID=AID%eexcid!_OLA_%ebuy!_%epid!_%ecid!</v></cell></row><row r="2561"><cell r="K2561" t="str"><v>July</v></cell><cell r="L2561"><v>43302</v></cell><cell r="M2561" t="str"><v>Tier 0</v></cell><cell r="N2561" t="str"><v>North America</v></cell><cell r="O2561" t="str"><v>United States</v></cell><cell r="P2561" t="str"><v>Trial</v></cell><cell r="Q2561" t="str"><v>Social</v></cell><cell r="R2561" t="str"><v>Azure</v></cell><cell r="S2561" t="str"><v>Apps & Infra</v></cell><cell r="T2561" t="str"><v>Developers & ITI's</v></cell><cell r="U2561" t="str"><v>USA-Trial-ITD-Trial Lookalike-AZR-AZR</v></cell><cell r="V2561" t="str"><v>Lookalike Targeting</v></cell><cell r="W2561" t="str"><v>Link Ad</v></cell><cell r="X2561" t="str"><v>1x1</v></cell></row><row r="2561"><cell r="AA2561"><v>43299</v></cell><cell r="AB2561" t="str"><v>USA_gaPMG_AZR_AZR_Q1_19_Direct-Social</v></cell><cell r="AC2561"><v>21358715</v></cell><cell r="AD2561"><v>720197</v></cell><cell r="AE2561" t="str"><v>Facebook</v></cell><cell r="AF2561"><v>3654128</v></cell><cell r="AG2561" t="str"><v>FACEBOOK»USA-Trial-ITD-Trial Lookalike-AZR-AZR»1 x 1»SocialBan»LIA»ALL»CPA»LAL»X»NA»SS»NA»FreeAcctDeveloperFB-AnimatedGeneric-Ch1»PRC1M5</v></cell><cell r="AH2561"><v>223934083</v></cell><cell r="AI2561" t="str"><v>AZR_FreeAcctDeveloperFB-AnimatedGeneric-Ch1_USA_1200x1200_CAN_Direct_English_Trial_Standard_ANI_LEA_T1_2</v></cell><cell r="AJ2561"><v>103176851</v></cell></row><row r="2562"><cell r="C2562" t="str"><v>43299FACEBOOK»USA-Trial-ITD-Trial Lookalike-AZR-AZR»1 x 1»SocialBan»LIA»ALL»CPA»LAL»X»NA»SS»NA»FreeAcctDeveloperFB-AnimatedOpenSource-Ch2»PRC1M6</v></cell><cell r="D2562" t="str"><v>43299223935628</v></cell><cell r="E2562" t="str"><v>43299103048329PRC1M6</v></cell><cell r="F2562" t="str"><v>DCM</v></cell><cell r="G2562" t="str"><v>https://azure.microsoft.com/en-us/free/open-source/search/?OCID=AID%eexcid!_OLA_%ebuy!_%epid!_%ecid!</v></cell></row><row r="2562"><cell r="K2562" t="str"><v>July</v></cell><cell r="L2562"><v>43302</v></cell><cell r="M2562" t="str"><v>Tier 0</v></cell><cell r="N2562" t="str"><v>North America</v></cell><cell r="O2562" t="str"><v>United States</v></cell><cell r="P2562" t="str"><v>Trial</v></cell><cell r="Q2562" t="str"><v>Social</v></cell><cell r="R2562" t="str"><v>Azure</v></cell><cell r="S2562" t="str"><v>Apps & Infra</v></cell><cell r="T2562" t="str"><v>Developers & ITI's</v></cell><cell r="U2562" t="str"><v>USA-Trial-ITD-Trial Lookalike-AZR-AZR</v></cell><cell r="V2562" t="str"><v>Lookalike Targeting</v></cell><cell r="W2562" t="str"><v>Link Ad</v></cell><cell r="X2562" t="str"><v>1x1</v></cell></row><row r="2562"><cell r="AA2562"><v>43299</v></cell><cell r="AB2562" t="str"><v>USA_gaPMG_AZR_AZR_Q1_19_Direct-Social</v></cell><cell r="AC2562"><v>21358715</v></cell><cell r="AD2562"><v>720197</v></cell><cell r="AE2562" t="str"><v>Facebook</v></cell><cell r="AF2562"><v>3654128</v></cell><cell r="AG2562" t="str"><v>FACEBOOK»USA-Trial-ITD-Trial Lookalike-AZR-AZR»1 x 1»SocialBan»LIA»ALL»CPA»LAL»X»NA»SS»NA»FreeAcctDeveloperFB-AnimatedOpenSource-Ch2»PRC1M6</v></cell><cell r="AH2562"><v>223935628</v></cell><cell r="AI2562" t="str"><v>AZR_FreeAcctDeveloperFB-AnimatedOpenSource-Ch2_USA_1200x1200_CAN_Direct_English_Trial_Standard_ANI_LEA_T2_1</v></cell><cell r="AJ2562"><v>103048329</v></cell></row><row r="2563"><cell r="C2563" t="str"><v>43299FACEBOOK»USA-Trial-ITD-Trial Lookalike-AZR-AZR»1 x 1»SocialBan»LIA»ALL»CPA»LAL»X»NA»SS»NA»FreeAcctITProFB-AnimatedMigration-Ch3»PRC23N</v></cell><cell r="D2563" t="str"><v>43299223935637</v></cell><cell r="E2563" t="str"><v>43299103176827PRC23N</v></cell><cell r="F2563" t="str"><v>DCM</v></cell></row><row r="2563"><cell r="K2563" t="str"><v>July</v></cell><cell r="L2563"><v>43302</v></cell><cell r="M2563" t="str"><v>Tier 0</v></cell><cell r="N2563" t="str"><v>North America</v></cell><cell r="O2563" t="str"><v>United States</v></cell><cell r="P2563" t="str"><v>Trial</v></cell><cell r="Q2563" t="str"><v>Social</v></cell><cell r="R2563" t="str"><v>Azure</v></cell><cell r="S2563" t="str"><v>Apps & Infra</v></cell><cell r="T2563" t="str"><v>Developers & ITI's</v></cell><cell r="U2563" t="str"><v>USA-Trial-ITD-Trial Lookalike-AZR-AZR</v></cell><cell r="V2563" t="str"><v>Lookalike Targeting</v></cell><cell r="W2563" t="str"><v>Link Ad</v></cell><cell r="X2563" t="str"><v>1x1</v></cell></row><row r="2563"><cell r="AA2563"><v>43299</v></cell><cell r="AB2563" t="str"><v>USA_gaPMG_AZR_AZR_Q1_19_Direct-Social</v></cell><cell r="AC2563"><v>21358715</v></cell><cell r="AD2563"><v>720197</v></cell><cell r="AE2563" t="str"><v>Facebook</v></cell><cell r="AF2563"><v>3654128</v></cell><cell r="AG2563" t="str"><v>FACEBOOK»USA-Trial-ITD-Trial Lookalike-AZR-AZR»1 x 1»SocialBan»LIA»ALL»CPA»LAL»X»NA»SS»NA»FreeAcctITProFB-AnimatedMigration-Ch3»PRC23N</v></cell><cell r="AH2563"><v>223935637</v></cell><cell r="AI2563" t="str"><v>AZR_FreeAcctITProFB-AnimatedMigration-Ch3_USA_1200x1200_CAN_Direct_English_Trial_Standard_ANI_LEA_T3_1</v></cell><cell r="AJ2563"><v>103176827</v></cell></row><row r="2564"><cell r="C2564" t="str"><v>43299FACEBOOK»USA-Trial-ITD-Trial Lookalike-AZR-AZR»1 x 1»SocialBan»LIA»ALL»CPA»LAL»X»NA»SS»NA»FreeAcctITProFB-AnimatedSecureMngd-Ch1»PRC1M9</v></cell><cell r="D2564" t="str"><v>43299224104959</v></cell><cell r="E2564" t="str"><v>43299103176830PRC1M9</v></cell><cell r="F2564" t="str"><v>DCM</v></cell></row><row r="2564"><cell r="K2564" t="str"><v>July</v></cell><cell r="L2564"><v>43302</v></cell><cell r="M2564" t="str"><v>Tier 0</v></cell><cell r="N2564" t="str"><v>North America</v></cell><cell r="O2564" t="str"><v>United States</v></cell><cell r="P2564" t="str"><v>Trial</v></cell><cell r="Q2564" t="str"><v>Social</v></cell><cell r="R2564" t="str"><v>Azure</v></cell><cell r="S2564" t="str"><v>Apps & Infra</v></cell><cell r="T2564" t="str"><v>Developers & ITI's</v></cell><cell r="U2564" t="str"><v>USA-Trial-ITD-Trial Lookalike-AZR-AZR</v></cell><cell r="V2564" t="str"><v>Lookalike Targeting</v></cell><cell r="W2564" t="str"><v>Link Ad</v></cell><cell r="X2564" t="str"><v>1x1</v></cell></row><row r="2564"><cell r="AA2564"><v>43299</v></cell><cell r="AB2564" t="str"><v>USA_gaPMG_AZR_AZR_Q1_19_Direct-Social</v></cell><cell r="AC2564"><v>21358715</v></cell><cell r="AD2564"><v>720197</v></cell><cell r="AE2564" t="str"><v>Facebook</v></cell><cell r="AF2564"><v>3654128</v></cell><cell r="AG2564" t="str"><v>FACEBOOK»USA-Trial-ITD-Trial Lookalike-AZR-AZR»1 x 1»SocialBan»LIA»ALL»CPA»LAL»X»NA»SS»NA»FreeAcctITProFB-AnimatedSecureMngd-Ch1»PRC1M9</v></cell><cell r="AH2564"><v>224104959</v></cell><cell r="AI2564" t="str"><v>AZR_FreeAcctITProFB-AnimatedSecureMngd-Ch1_USA_1200x1200_CAN_Direct_English_Trial_Standard_ANI_LEA_T1_1</v></cell><cell r="AJ2564"><v>103176830</v></cell></row><row r="2565"><cell r="C2565" t="str"><v>43299FACEBOOK»USA-Trial-ITD-Trial Lookalike-AZR-AZR»1 x 1»SocialBan»CAN»ALL»CPA»LAL»X»NA»SS»NA»FBCTCBasicMotion»PRC1LZ</v></cell><cell r="D2565" t="str"><v>43299223862915</v></cell><cell r="E2565" t="str"><v>43299103043823PRC1LZ</v></cell><cell r="F2565" t="str"><v>DCM</v></cell><cell r="G2565" t="str"><v>https://signup.azure.com/?OCID=AID%eexcid!_OLA_%ebuy!_%epid!_%ecid!</v></cell></row><row r="2565"><cell r="K2565" t="str"><v>July</v></cell><cell r="L2565"><v>43302</v></cell><cell r="M2565" t="str"><v>Tier 0</v></cell><cell r="N2565" t="str"><v>North America</v></cell><cell r="O2565" t="str"><v>United States</v></cell><cell r="P2565" t="str"><v>Trial</v></cell><cell r="Q2565" t="str"><v>Social</v></cell><cell r="R2565" t="str"><v>Azure</v></cell><cell r="S2565" t="str"><v>Apps & Infra</v></cell><cell r="T2565" t="str"><v>Developers & ITI's</v></cell><cell r="U2565" t="str"><v>USA-Trial-ITD-Trial Lookalike-AZR-AZR</v></cell><cell r="V2565" t="str"><v>Lookalike Targeting</v></cell><cell r="W2565" t="str"><v>Canvas Ad</v></cell><cell r="X2565" t="str"><v>1x1</v></cell></row><row r="2565"><cell r="AA2565"><v>43299</v></cell><cell r="AB2565" t="str"><v>USA_gaPMG_AZR_AZR_Q1_19_Direct-Social</v></cell><cell r="AC2565"><v>21358715</v></cell><cell r="AD2565"><v>720197</v></cell><cell r="AE2565" t="str"><v>Facebook</v></cell><cell r="AF2565"><v>3654128</v></cell><cell r="AG2565" t="str"><v>FACEBOOK»USA-Trial-ITD-Trial Lookalike-AZR-AZR»1 x 1»SocialBan»CAN»ALL»CPA»LAL»X»NA»SS»NA»FBCTCBasicMotion»PRC1LZ</v></cell><cell r="AH2565"><v>223862915</v></cell><cell r="AI2565" t="str"><v>AzurePlatform_FBCTCBasicMotion_USA_10s_CAN_PLATFORM_English_Trial_Standard_STAN_TIN_T1_1</v></cell><cell r="AJ2565"><v>103043823</v></cell></row><row r="2566"><cell r="C2566" t="str"><v>43299FACEBOOK»USA-Trial-ITD-Trial Lookalike-AZR-AZR»1 x 1»SocialBan»CAN»ALL»CPA»LAL»X»NA»SS»NA»FBCTCBasicMotion»PRC1LZ</v></cell><cell r="D2566" t="str"><v>43299223862915</v></cell><cell r="E2566" t="str"><v>43299103175984PRC1LZ</v></cell><cell r="F2566" t="str"><v>DCM</v></cell><cell r="G2566" t="str"><v>https://azure.microsoft.com/en-us/pricing/purchase-options/?v=18.19&OCID=AID%eexcid!_OLA_%ebuy!_%epid!_%ecid!</v></cell></row><row r="2566"><cell r="K2566" t="str"><v>July</v></cell><cell r="L2566"><v>43302</v></cell><cell r="M2566" t="str"><v>Tier 0</v></cell><cell r="N2566" t="str"><v>North America</v></cell><cell r="O2566" t="str"><v>United States</v></cell><cell r="P2566" t="str"><v>Trial</v></cell><cell r="Q2566" t="str"><v>Social</v></cell><cell r="R2566" t="str"><v>Azure</v></cell><cell r="S2566" t="str"><v>Apps & Infra</v></cell><cell r="T2566" t="str"><v>Developers & ITI's</v></cell><cell r="U2566" t="str"><v>USA-Trial-ITD-Trial Lookalike-AZR-AZR</v></cell><cell r="V2566" t="str"><v>Lookalike Targeting</v></cell><cell r="W2566" t="str"><v>Canvas Ad</v></cell><cell r="X2566" t="str"><v>1x1</v></cell></row><row r="2566"><cell r="AA2566"><v>43299</v></cell><cell r="AB2566" t="str"><v>USA_gaPMG_AZR_AZR_Q1_19_Direct-Social</v></cell><cell r="AC2566"><v>21358715</v></cell><cell r="AD2566"><v>720197</v></cell><cell r="AE2566" t="str"><v>Facebook</v></cell><cell r="AF2566"><v>3654128</v></cell><cell r="AG2566" t="str"><v>FACEBOOK»USA-Trial-ITD-Trial Lookalike-AZR-AZR»1 x 1»SocialBan»CAN»ALL»CPA»LAL»X»NA»SS»NA»FBCTCBasicMotion»PRC1LZ</v></cell><cell r="AH2566"><v>223862915</v></cell><cell r="AI2566" t="str"><v>AzurePlatform_FBCTCBasicMotion_USA_10s_CAN_PLATFORM_English_Trial_Standard_STAN_TIN_T1_2</v></cell><cell r="AJ2566"><v>103175984</v></cell></row><row r="2567"><cell r="C2567" t="str"><v>43299FACEBOOK»USA-Trial-ITD-Trial PayGo Lookalike-AZR-AZR»1 x 1»SocialBan»CAN»ALL»CPA»LAL»X»NA»SS»NA»FBCTCBasicMotion»PRC1Q0</v></cell><cell r="D2567" t="str"><v>43299223935664</v></cell><cell r="E2567" t="str"><v>43299103043823PRC1Q0</v></cell><cell r="F2567" t="str"><v>DCM</v></cell><cell r="G2567" t="str"><v>https://signup.azure.com/?OCID=AID%eexcid!_OLA_%ebuy!_%epid!_%ecid!</v></cell></row><row r="2567"><cell r="K2567" t="str"><v>July</v></cell><cell r="L2567"><v>43302</v></cell><cell r="M2567" t="str"><v>Tier 0</v></cell><cell r="N2567" t="str"><v>North America</v></cell><cell r="O2567" t="str"><v>United States</v></cell><cell r="P2567" t="str"><v>Trial</v></cell><cell r="Q2567" t="str"><v>Social</v></cell><cell r="R2567" t="str"><v>Azure</v></cell><cell r="S2567" t="str"><v>Apps & Infra</v></cell><cell r="T2567" t="str"><v>Developers & ITI's</v></cell><cell r="U2567" t="str"><v>USA-Trial-ITD-Trial PayGo Lookalike-AZR-AZR</v></cell><cell r="V2567" t="str"><v>Lookalike Targeting</v></cell><cell r="W2567" t="str"><v>Canvas Ad</v></cell><cell r="X2567" t="str"><v>1x1</v></cell></row><row r="2567"><cell r="AA2567"><v>43299</v></cell><cell r="AB2567" t="str"><v>USA_gaPMG_AZR_AZR_Q1_19_Direct-Social</v></cell><cell r="AC2567"><v>21358715</v></cell><cell r="AD2567"><v>720197</v></cell><cell r="AE2567" t="str"><v>Facebook</v></cell><cell r="AF2567"><v>3654128</v></cell><cell r="AG2567" t="str"><v>FACEBOOK»USA-Trial-ITD-Trial PayGo Lookalike-AZR-AZR»1 x 1»SocialBan»CAN»ALL»CPA»LAL»X»NA»SS»NA»FBCTCBasicMotion»PRC1Q0</v></cell><cell r="AH2567"><v>223935664</v></cell><cell r="AI2567" t="str"><v>AzurePlatform_FBCTCBasicMotion_USA_10s_CAN_PLATFORM_English_Trial_Standard_STAN_TIN_T1_1</v></cell><cell r="AJ2567"><v>103043823</v></cell></row><row r="2568"><cell r="C2568" t="str"><v>43299FACEBOOK»USA-Trial-ITD-Trial PayGo Lookalike-AZR-AZR»1 x 1»SocialBan»CAN»ALL»CPA»LAL»X»NA»SS»NA»FBCTCBasicMotion»PRC1Q0</v></cell><cell r="D2568" t="str"><v>43299223935664</v></cell><cell r="E2568" t="str"><v>43299103175984PRC1Q0</v></cell><cell r="F2568" t="str"><v>DCM</v></cell><cell r="G2568" t="str"><v>https://azure.microsoft.com/en-us/pricing/purchase-options/?v=18.19&OCID=AID%eexcid!_OLA_%ebuy!_%epid!_%ecid!</v></cell></row><row r="2568"><cell r="K2568" t="str"><v>July</v></cell><cell r="L2568"><v>43302</v></cell><cell r="M2568" t="str"><v>Tier 0</v></cell><cell r="N2568" t="str"><v>North America</v></cell><cell r="O2568" t="str"><v>United States</v></cell><cell r="P2568" t="str"><v>Trial</v></cell><cell r="Q2568" t="str"><v>Social</v></cell><cell r="R2568" t="str"><v>Azure</v></cell><cell r="S2568" t="str"><v>Apps & Infra</v></cell><cell r="T2568" t="str"><v>Developers & ITI's</v></cell><cell r="U2568" t="str"><v>USA-Trial-ITD-Trial PayGo Lookalike-AZR-AZR</v></cell><cell r="V2568" t="str"><v>Lookalike Targeting</v></cell><cell r="W2568" t="str"><v>Canvas Ad</v></cell><cell r="X2568" t="str"><v>1x1</v></cell></row><row r="2568"><cell r="AA2568"><v>43299</v></cell><cell r="AB2568" t="str"><v>USA_gaPMG_AZR_AZR_Q1_19_Direct-Social</v></cell><cell r="AC2568"><v>21358715</v></cell><cell r="AD2568"><v>720197</v></cell><cell r="AE2568" t="str"><v>Facebook</v></cell><cell r="AF2568"><v>3654128</v></cell><cell r="AG2568" t="str"><v>FACEBOOK»USA-Trial-ITD-Trial PayGo Lookalike-AZR-AZR»1 x 1»SocialBan»CAN»ALL»CPA»LAL»X»NA»SS»NA»FBCTCBasicMotion»PRC1Q0</v></cell><cell r="AH2568"><v>223935664</v></cell><cell r="AI2568" t="str"><v>AzurePlatform_FBCTCBasicMotion_USA_10s_CAN_PLATFORM_English_Trial_Standard_STAN_TIN_T1_2</v></cell><cell r="AJ2568"><v>103175984</v></cell></row><row r="2569"><cell r="C2569" t="str"><v>43299FACEBOOK»USA-Trial-ITD-Trial PayGo Lookalike-AZR-AZR»1 x 1»SocialBan»LIA»ALL»CPA»LAL»X»NA»SS»NA»FreeAcctDeveloperFB-AnimatedAI-Ch3»PRC1Q8</v></cell><cell r="D2569" t="str"><v>43299224104983</v></cell><cell r="E2569" t="str"><v>43299103032778PRC1Q8</v></cell><cell r="F2569" t="str"><v>DCM</v></cell></row><row r="2569"><cell r="K2569" t="str"><v>July</v></cell><cell r="L2569"><v>43302</v></cell><cell r="M2569" t="str"><v>Tier 0</v></cell><cell r="N2569" t="str"><v>North America</v></cell><cell r="O2569" t="str"><v>United States</v></cell><cell r="P2569" t="str"><v>Trial</v></cell><cell r="Q2569" t="str"><v>Social</v></cell><cell r="R2569" t="str"><v>Azure</v></cell><cell r="S2569" t="str"><v>Apps & Infra</v></cell><cell r="T2569" t="str"><v>Developers & ITI's</v></cell><cell r="U2569" t="str"><v>USA-Trial-ITD-Trial PayGo Lookalike-AZR-AZR</v></cell><cell r="V2569" t="str"><v>Lookalike Targeting</v></cell><cell r="W2569" t="str"><v>Link Ad</v></cell><cell r="X2569" t="str"><v>1x1</v></cell></row><row r="2569"><cell r="AA2569"><v>43299</v></cell><cell r="AB2569" t="str"><v>USA_gaPMG_AZR_AZR_Q1_19_Direct-Social</v></cell><cell r="AC2569"><v>21358715</v></cell><cell r="AD2569"><v>720197</v></cell><cell r="AE2569" t="str"><v>Facebook</v></cell><cell r="AF2569"><v>3654128</v></cell><cell r="AG2569" t="str"><v>FACEBOOK»USA-Trial-ITD-Trial PayGo Lookalike-AZR-AZR»1 x 1»SocialBan»LIA»ALL»CPA»LAL»X»NA»SS»NA»FreeAcctDeveloperFB-AnimatedAI-Ch3»PRC1Q8</v></cell><cell r="AH2569"><v>224104983</v></cell><cell r="AI2569" t="str"><v>AZR_FreeAcctDeveloperFB-AnimatedAI-Ch3_USA_1200x1200_CAN_Direct_English_Trial_Standard_ANI_LEA_T3_1</v></cell><cell r="AJ2569"><v>103032778</v></cell></row><row r="2570"><cell r="C2570" t="str"><v>43299FACEBOOK»USA-Trial-ITD-Trial PayGo Lookalike-AZR-AZR»1 x 1»SocialBan»LIA»ALL»CPA»LAL»X»NA»SS»NA»FreeAcctDeveloperFB-AnimatedData-Ch4»PRC1Q9</v></cell><cell r="D2570" t="str"><v>43299224106990</v></cell><cell r="E2570" t="str"><v>43299103037935PRC1Q9</v></cell><cell r="F2570" t="str"><v>DCM</v></cell></row><row r="2570"><cell r="K2570" t="str"><v>July</v></cell><cell r="L2570"><v>43302</v></cell><cell r="M2570" t="str"><v>Tier 0</v></cell><cell r="N2570" t="str"><v>North America</v></cell><cell r="O2570" t="str"><v>United States</v></cell><cell r="P2570" t="str"><v>Trial</v></cell><cell r="Q2570" t="str"><v>Social</v></cell><cell r="R2570" t="str"><v>Azure</v></cell><cell r="S2570" t="str"><v>Apps & Infra</v></cell><cell r="T2570" t="str"><v>Developers & ITI's</v></cell><cell r="U2570" t="str"><v>USA-Trial-ITD-Trial PayGo Lookalike-AZR-AZR</v></cell><cell r="V2570" t="str"><v>Lookalike Targeting</v></cell><cell r="W2570" t="str"><v>Link Ad</v></cell><cell r="X2570" t="str"><v>1x1</v></cell></row><row r="2570"><cell r="AA2570"><v>43299</v></cell><cell r="AB2570" t="str"><v>USA_gaPMG_AZR_AZR_Q1_19_Direct-Social</v></cell><cell r="AC2570"><v>21358715</v></cell><cell r="AD2570"><v>720197</v></cell><cell r="AE2570" t="str"><v>Facebook</v></cell><cell r="AF2570"><v>3654128</v></cell><cell r="AG2570" t="str"><v>FACEBOOK»USA-Trial-ITD-Trial PayGo Lookalike-AZR-AZR»1 x 1»SocialBan»LIA»ALL»CPA»LAL»X»NA»SS»NA»FreeAcctDeveloperFB-AnimatedData-Ch4»PRC1Q9</v></cell><cell r="AH2570"><v>224106990</v></cell><cell r="AI2570" t="str"><v>AZR_FreeAcctDeveloperFB-AnimatedData-Ch4_USA_1200x1200_CAN_Direct_English_Trial_Standard_ANI_LEA_T4_2</v></cell><cell r="AJ2570"><v>103037935</v></cell></row><row r="2571"><cell r="C2571" t="str"><v>43299FACEBOOK»USA-Trial-ITD-Trial PayGo Lookalike-AZR-AZR»1 x 1»SocialBan»LIA»ALL»CPA»LAL»X»NA»SS»NA»FreeAcctDeveloperFB-AnimatedGeneric-Ch1»PRC1Q5</v></cell><cell r="D2571" t="str"><v>43299224104092</v></cell><cell r="E2571" t="str"><v>43299103176851PRC1Q5</v></cell><cell r="F2571" t="str"><v>DCM</v></cell><cell r="G2571" t="str"><v>https://azure.microsoft.com/en-us/free/search/?OCID=AID%eexcid!_OLA_%ebuy!_%epid!_%ecid!</v></cell></row><row r="2571"><cell r="K2571" t="str"><v>July</v></cell><cell r="L2571"><v>43302</v></cell><cell r="M2571" t="str"><v>Tier 0</v></cell><cell r="N2571" t="str"><v>North America</v></cell><cell r="O2571" t="str"><v>United States</v></cell><cell r="P2571" t="str"><v>Trial</v></cell><cell r="Q2571" t="str"><v>Social</v></cell><cell r="R2571" t="str"><v>Azure</v></cell><cell r="S2571" t="str"><v>Apps & Infra</v></cell><cell r="T2571" t="str"><v>Developers & ITI's</v></cell><cell r="U2571" t="str"><v>USA-Trial-ITD-Trial PayGo Lookalike-AZR-AZR</v></cell><cell r="V2571" t="str"><v>Lookalike Targeting</v></cell><cell r="W2571" t="str"><v>Link Ad</v></cell><cell r="X2571" t="str"><v>1x1</v></cell></row><row r="2571"><cell r="AA2571"><v>43299</v></cell><cell r="AB2571" t="str"><v>USA_gaPMG_AZR_AZR_Q1_19_Direct-Social</v></cell><cell r="AC2571"><v>21358715</v></cell><cell r="AD2571"><v>720197</v></cell><cell r="AE2571" t="str"><v>Facebook</v></cell><cell r="AF2571"><v>3654128</v></cell><cell r="AG2571" t="str"><v>FACEBOOK»USA-Trial-ITD-Trial PayGo Lookalike-AZR-AZR»1 x 1»SocialBan»LIA»ALL»CPA»LAL»X»NA»SS»NA»FreeAcctDeveloperFB-AnimatedGeneric-Ch1»PRC1Q5</v></cell><cell r="AH2571"><v>224104092</v></cell><cell r="AI2571" t="str"><v>AZR_FreeAcctDeveloperFB-AnimatedGeneric-Ch1_USA_1200x1200_CAN_Direct_English_Trial_Standard_ANI_LEA_T1_2</v></cell><cell r="AJ2571"><v>103176851</v></cell></row><row r="2572"><cell r="C2572" t="str"><v>43299FACEBOOK»USA-Trial-ITD-Trial PayGo Lookalike-AZR-AZR»1 x 1»SocialBan»LIA»ALL»CPA»LAL»X»NA»SS»NA»FreeAcctDeveloperFB-AnimatedOpenSource-Ch2»PRC1Q7</v></cell><cell r="D2572" t="str"><v>43299223862951</v></cell><cell r="E2572" t="str"><v>43299103048329PRC1Q7</v></cell><cell r="F2572" t="str"><v>DCM</v></cell><cell r="G2572" t="str"><v>https://azure.microsoft.com/en-us/free/open-source/search/?OCID=AID%eexcid!_OLA_%ebuy!_%epid!_%ecid!</v></cell></row><row r="2572"><cell r="K2572" t="str"><v>July</v></cell><cell r="L2572"><v>43302</v></cell><cell r="M2572" t="str"><v>Tier 0</v></cell><cell r="N2572" t="str"><v>North America</v></cell><cell r="O2572" t="str"><v>United States</v></cell><cell r="P2572" t="str"><v>Trial</v></cell><cell r="Q2572" t="str"><v>Social</v></cell><cell r="R2572" t="str"><v>Azure</v></cell><cell r="S2572" t="str"><v>Apps & Infra</v></cell><cell r="T2572" t="str"><v>Developers & ITI's</v></cell><cell r="U2572" t="str"><v>USA-Trial-ITD-Trial PayGo Lookalike-AZR-AZR</v></cell><cell r="V2572" t="str"><v>Lookalike Targeting</v></cell><cell r="W2572" t="str"><v>Link Ad</v></cell><cell r="X2572" t="str"><v>1x1</v></cell></row><row r="2572"><cell r="AA2572"><v>43299</v></cell><cell r="AB2572" t="str"><v>USA_gaPMG_AZR_AZR_Q1_19_Direct-Social</v></cell><cell r="AC2572"><v>21358715</v></cell><cell r="AD2572"><v>720197</v></cell><cell r="AE2572" t="str"><v>Facebook</v></cell><cell r="AF2572"><v>3654128</v></cell><cell r="AG2572" t="str"><v>FACEBOOK»USA-Trial-ITD-Trial PayGo Lookalike-AZR-AZR»1 x 1»SocialBan»LIA»ALL»CPA»LAL»X»NA»SS»NA»FreeAcctDeveloperFB-AnimatedOpenSource-Ch2»PRC1Q7</v></cell><cell r="AH2572"><v>223862951</v></cell><cell r="AI2572" t="str"><v>AZR_FreeAcctDeveloperFB-AnimatedOpenSource-Ch2_USA_1200x1200_CAN_Direct_English_Trial_Standard_ANI_LEA_T2_1</v></cell><cell r="AJ2572"><v>103048329</v></cell></row><row r="2573"><cell r="C2573" t="str"><v>43299FACEBOOK»USA-Trial-ITD-Trial PayGo Lookalike-AZR-AZR»1 x 1»SocialBan»LIA»ALL»CPA»LAL»X»NA»SS»NA»FreeAcctITProFB-AnimatedHybrid-Ch2»PRC1QC</v></cell><cell r="D2573" t="str"><v>43299223933186</v></cell><cell r="E2573" t="str"><v>43299103180583PRC1QC</v></cell><cell r="F2573" t="str"><v>DCM</v></cell></row><row r="2573"><cell r="K2573" t="str"><v>July</v></cell><cell r="L2573"><v>43302</v></cell><cell r="M2573" t="str"><v>Tier 0</v></cell><cell r="N2573" t="str"><v>North America</v></cell><cell r="O2573" t="str"><v>United States</v></cell><cell r="P2573" t="str"><v>Trial</v></cell><cell r="Q2573" t="str"><v>Social</v></cell><cell r="R2573" t="str"><v>Azure</v></cell><cell r="S2573" t="str"><v>Apps & Infra</v></cell><cell r="T2573" t="str"><v>Developers & ITI's</v></cell><cell r="U2573" t="str"><v>USA-Trial-ITD-Trial PayGo Lookalike-AZR-AZR</v></cell><cell r="V2573" t="str"><v>Lookalike Targeting</v></cell><cell r="W2573" t="str"><v>Link Ad</v></cell><cell r="X2573" t="str"><v>1x1</v></cell></row><row r="2573"><cell r="AA2573"><v>43299</v></cell><cell r="AB2573" t="str"><v>USA_gaPMG_AZR_AZR_Q1_19_Direct-Social</v></cell><cell r="AC2573"><v>21358715</v></cell><cell r="AD2573"><v>720197</v></cell><cell r="AE2573" t="str"><v>Facebook</v></cell><cell r="AF2573"><v>3654128</v></cell><cell r="AG2573" t="str"><v>FACEBOOK»USA-Trial-ITD-Trial PayGo Lookalike-AZR-AZR»1 x 1»SocialBan»LIA»ALL»CPA»LAL»X»NA»SS»NA»FreeAcctITProFB-AnimatedHybrid-Ch2»PRC1QC</v></cell><cell r="AH2573"><v>223933186</v></cell><cell r="AI2573" t="str"><v>AZR_FreeAcctITProFB-AnimatedHybrid-Ch2_USA_1200x1200_CAN_Direct_English_Trial_Standard_ANI_LEA_T2_2</v></cell><cell r="AJ2573"><v>103180583</v></cell></row><row r="2574"><cell r="C2574" t="str"><v>43299FACEBOOK»USA-Trial-ITD-Trial PayGo Lookalike-AZR-AZR»1 x 1»SocialBan»LIA»ALL»CPA»LAL»X»NA»SS»NA»FreeAcctITProFB-AnimatedMigration-Ch3»PRC23Y</v></cell><cell r="D2574" t="str"><v>43299224105904</v></cell><cell r="E2574" t="str"><v>43299103176827PRC23Y</v></cell><cell r="F2574" t="str"><v>DCM</v></cell></row><row r="2574"><cell r="K2574" t="str"><v>July</v></cell><cell r="L2574"><v>43302</v></cell><cell r="M2574" t="str"><v>Tier 0</v></cell><cell r="N2574" t="str"><v>North America</v></cell><cell r="O2574" t="str"><v>United States</v></cell><cell r="P2574" t="str"><v>Trial</v></cell><cell r="Q2574" t="str"><v>Social</v></cell><cell r="R2574" t="str"><v>Azure</v></cell><cell r="S2574" t="str"><v>Apps & Infra</v></cell><cell r="T2574" t="str"><v>Developers & ITI's</v></cell><cell r="U2574" t="str"><v>USA-Trial-ITD-Trial PayGo Lookalike-AZR-AZR</v></cell><cell r="V2574" t="str"><v>Lookalike Targeting</v></cell><cell r="W2574" t="str"><v>Link Ad</v></cell><cell r="X2574" t="str"><v>1x1</v></cell></row><row r="2574"><cell r="AA2574"><v>43299</v></cell><cell r="AB2574" t="str"><v>USA_gaPMG_AZR_AZR_Q1_19_Direct-Social</v></cell><cell r="AC2574"><v>21358715</v></cell><cell r="AD2574"><v>720197</v></cell><cell r="AE2574" t="str"><v>Facebook</v></cell><cell r="AF2574"><v>3654128</v></cell><cell r="AG2574" t="str"><v>FACEBOOK»USA-Trial-ITD-Trial PayGo Lookalike-AZR-AZR»1 x 1»SocialBan»LIA»ALL»CPA»LAL»X»NA»SS»NA»FreeAcctITProFB-AnimatedMigration-Ch3»PRC23Y</v></cell><cell r="AH2574"><v>224105904</v></cell><cell r="AI2574" t="str"><v>AZR_FreeAcctITProFB-AnimatedMigration-Ch3_USA_1200x1200_CAN_Direct_English_Trial_Standard_ANI_LEA_T3_1</v></cell><cell r="AJ2574"><v>103176827</v></cell></row><row r="2575"><cell r="C2575" t="str"><v>43299FACEBOOK»USA-Trial-ITD-Trial PayGo Lookalike-AZR-AZR»1 x 1»SocialBan»LIA»ALL»CPA»LAL»X»NA»SS»NA»FreeAcctITProFB-AnimatedSecureMngd-Ch1»PRC1QB</v></cell><cell r="D2575" t="str"><v>43299223862945</v></cell><cell r="E2575" t="str"><v>43299103176830PRC1QB</v></cell><cell r="F2575" t="str"><v>DCM</v></cell></row><row r="2575"><cell r="K2575" t="str"><v>July</v></cell><cell r="L2575"><v>43302</v></cell><cell r="M2575" t="str"><v>Tier 0</v></cell><cell r="N2575" t="str"><v>North America</v></cell><cell r="O2575" t="str"><v>United States</v></cell><cell r="P2575" t="str"><v>Trial</v></cell><cell r="Q2575" t="str"><v>Social</v></cell><cell r="R2575" t="str"><v>Azure</v></cell><cell r="S2575" t="str"><v>Apps & Infra</v></cell><cell r="T2575" t="str"><v>Developers & ITI's</v></cell><cell r="U2575" t="str"><v>USA-Trial-ITD-Trial PayGo Lookalike-AZR-AZR</v></cell><cell r="V2575" t="str"><v>Lookalike Targeting</v></cell><cell r="W2575" t="str"><v>Link Ad</v></cell><cell r="X2575" t="str"><v>1x1</v></cell></row><row r="2575"><cell r="AA2575"><v>43299</v></cell><cell r="AB2575" t="str"><v>USA_gaPMG_AZR_AZR_Q1_19_Direct-Social</v></cell><cell r="AC2575"><v>21358715</v></cell><cell r="AD2575"><v>720197</v></cell><cell r="AE2575" t="str"><v>Facebook</v></cell><cell r="AF2575"><v>3654128</v></cell><cell r="AG2575" t="str"><v>FACEBOOK»USA-Trial-ITD-Trial PayGo Lookalike-AZR-AZR»1 x 1»SocialBan»LIA»ALL»CPA»LAL»X»NA»SS»NA»FreeAcctITProFB-AnimatedSecureMngd-Ch1»PRC1QB</v></cell><cell r="AH2575"><v>223862945</v></cell><cell r="AI2575" t="str"><v>AZR_FreeAcctITProFB-AnimatedSecureMngd-Ch1_USA_1200x1200_CAN_Direct_English_Trial_Standard_ANI_LEA_T1_1</v></cell><cell r="AJ2575"><v>103176830</v></cell></row><row r="2576"><cell r="C2576" t="str"><v>43299INSTAGRAM»USA-Trial-ITD-Interest Prospecting-AZR-AZR»1 x 1»SocialBan»CAN»ALL»CPA»PRO»X»NA»SS»NA»IGCTCBrandinMotion»PRC2PB</v></cell><cell r="D2576" t="str"><v>43299223862690</v></cell><cell r="E2576" t="str"><v>43299103050783PRC2PB</v></cell><cell r="F2576" t="str"><v>DCM</v></cell><cell r="G2576" t="str"><v>https://signup.azure.com/?OCID=AID%eexcid!_OLA_%ebuy!_%epid!_%ecid!</v></cell></row><row r="2576"><cell r="K2576" t="str"><v>July</v></cell><cell r="L2576"><v>43302</v></cell><cell r="M2576" t="str"><v>Tier 0</v></cell><cell r="N2576" t="str"><v>North America</v></cell><cell r="O2576" t="str"><v>United States</v></cell><cell r="P2576" t="str"><v>Trial</v></cell><cell r="Q2576" t="str"><v>Social</v></cell><cell r="R2576" t="str"><v>Azure</v></cell><cell r="S2576" t="str"><v>Apps & Infra</v></cell><cell r="T2576" t="str"><v>Developers & ITI's</v></cell><cell r="U2576" t="str"><v>USA-Trial-ITD-Interest Prospecting-AZR-AZR</v></cell><cell r="V2576" t="str"><v>Prospecting</v></cell><cell r="W2576" t="str"><v>Canvas Ad</v></cell><cell r="X2576" t="str"><v>1x1</v></cell></row><row r="2576"><cell r="AA2576"><v>43299</v></cell><cell r="AB2576" t="str"><v>USA_gaPMG_AZR_AZR_Q1_19_Direct-Social</v></cell><cell r="AC2576"><v>21358715</v></cell><cell r="AD2576"><v>720197</v></cell><cell r="AE2576" t="str"><v>Facebook - Instagram</v></cell><cell r="AF2576"><v>3654128</v></cell><cell r="AG2576" t="str"><v>INSTAGRAM»USA-Trial-ITD-Interest Prospecting-AZR-AZR»1 x 1»SocialBan»CAN»ALL»CPA»PRO»X»NA»SS»NA»IGCTCBrandinMotion»PRC2PB</v></cell><cell r="AH2576"><v>223862690</v></cell><cell r="AI2576" t="str"><v>AzurePlatform_IGCTCBenefit2inMotion_USA_10s_CAN_PLATFORM_English_Trial_Standard_STAN_TIN_T4_1</v></cell><cell r="AJ2576"><v>103050783</v></cell></row><row r="2577"><cell r="C2577" t="str"><v>43299INSTAGRAM»USA-Trial-ITD-Retargeting-AZR-AZR»1 x 1»SocialBan»CAN»ALL»CPA»RT»X»NA»SS»NA»IGCTCBenefit2inMotion»PRC2G6</v></cell><cell r="D2577" t="str"><v>43299224105001</v></cell><cell r="E2577" t="str"><v>43299103180628PRC2G6</v></cell><cell r="F2577" t="str"><v>DCM</v></cell><cell r="G2577" t="str"><v>https://signup.azure.com/?OCID=AID%eexcid!_OLA_%ebuy!_%epid!_%ecid!</v></cell></row><row r="2577"><cell r="K2577" t="str"><v>July</v></cell><cell r="L2577"><v>43302</v></cell><cell r="M2577" t="str"><v>Tier 0</v></cell><cell r="N2577" t="str"><v>North America</v></cell><cell r="O2577" t="str"><v>United States</v></cell><cell r="P2577" t="str"><v>Trial</v></cell><cell r="Q2577" t="str"><v>Social</v></cell><cell r="R2577" t="str"><v>Azure</v></cell><cell r="S2577" t="str"><v>Apps & Infra</v></cell><cell r="T2577" t="str"><v>Developers & ITI's</v></cell><cell r="U2577" t="str"><v>USA-Trial-ITD-Retargeting-AZR-AZR</v></cell><cell r="V2577" t="str"><v>Retargeting</v></cell><cell r="W2577" t="str"><v>Canvas Ad</v></cell><cell r="X2577" t="str"><v>1x1</v></cell></row><row r="2577"><cell r="AA2577"><v>43299</v></cell><cell r="AB2577" t="str"><v>USA_gaPMG_AZR_AZR_Q1_19_Direct-Social</v></cell><cell r="AC2577"><v>21358715</v></cell><cell r="AD2577"><v>720197</v></cell><cell r="AE2577" t="str"><v>Facebook - Instagram</v></cell><cell r="AF2577"><v>3654128</v></cell><cell r="AG2577" t="str"><v>INSTAGRAM»USA-Trial-ITD-Retargeting-AZR-AZR»1 x 1»SocialBan»CAN»ALL»CPA»RT»X»NA»SS»NA»IGCTCBenefit2inMotion»PRC2G6</v></cell><cell r="AH2577"><v>224105001</v></cell><cell r="AI2577" t="str"><v>AzurePlatform_IGCTCBrandinMotion_USA_10s_CAN_PLATFORM_English_Trial_Standard_STAN_TIN_T2_1</v></cell><cell r="AJ2577"><v>103180628</v></cell></row><row r="2578"><cell r="C2578" t="str"><v>43299INSTAGRAM»USA-Trial-ITD-Trial Lookalike-AZR-AZR»1 x 1»SocialBan»CAN»ALL»CPA»LAL»X»NA»SS»NA»IGCTCBrandinMotion»PRC2FH</v></cell><cell r="D2578" t="str"><v>43299223935019</v></cell><cell r="E2578" t="str"><v>43299103050783PRC2FH</v></cell><cell r="F2578" t="str"><v>DCM</v></cell><cell r="G2578" t="str"><v>https://signup.azure.com/?OCID=AID%eexcid!_OLA_%ebuy!_%epid!_%ecid!</v></cell></row><row r="2578"><cell r="K2578" t="str"><v>July</v></cell><cell r="L2578"><v>43302</v></cell><cell r="M2578" t="str"><v>Tier 0</v></cell><cell r="N2578" t="str"><v>North America</v></cell><cell r="O2578" t="str"><v>United States</v></cell><cell r="P2578" t="str"><v>Trial</v></cell><cell r="Q2578" t="str"><v>Social</v></cell><cell r="R2578" t="str"><v>Azure</v></cell><cell r="S2578" t="str"><v>Apps & Infra</v></cell><cell r="T2578" t="str"><v>Developers & ITI's</v></cell><cell r="U2578" t="str"><v>USA-Trial-ITD-Trial Lookalike-AZR-AZR</v></cell><cell r="V2578" t="str"><v>Lookalike Targeting</v></cell><cell r="W2578" t="str"><v>Canvas Ad</v></cell><cell r="X2578" t="str"><v>1x1</v></cell></row><row r="2578"><cell r="AA2578"><v>43299</v></cell><cell r="AB2578" t="str"><v>USA_gaPMG_AZR_AZR_Q1_19_Direct-Social</v></cell><cell r="AC2578"><v>21358715</v></cell><cell r="AD2578"><v>720197</v></cell><cell r="AE2578" t="str"><v>Facebook - Instagram</v></cell><cell r="AF2578"><v>3654128</v></cell><cell r="AG2578" t="str"><v>INSTAGRAM»USA-Trial-ITD-Trial Lookalike-AZR-AZR»1 x 1»SocialBan»CAN»ALL»CPA»LAL»X»NA»SS»NA»IGCTCBrandinMotion»PRC2FH</v></cell><cell r="AH2578"><v>223935019</v></cell><cell r="AI2578" t="str"><v>AzurePlatform_IGCTCBenefit2inMotion_USA_10s_CAN_PLATFORM_English_Trial_Standard_STAN_TIN_T4_1</v></cell><cell r="AJ2578"><v>103050783</v></cell></row><row r="2579"><cell r="C2579" t="str"><v>43299INSTAGRAM»USA-Trial-ITD-Trial Lookalike-AZR-AZR»1 x 1»SocialBan»CAN»ALL»CPA»LAL»X»NA»SS»NA»IGCTCBrandinMotion»PRC2FH</v></cell><cell r="D2579" t="str"><v>43299223935019</v></cell><cell r="E2579" t="str"><v>43299103178714PRC2FH</v></cell><cell r="F2579" t="str"><v>DCM</v></cell><cell r="G2579" t="str"><v>https://azure.microsoft.com/en-us/pricing/purchase-options/?v=18.19&OCID=AID%eexcid!_OLA_%ebuy!_%epid!_%ecid!</v></cell></row><row r="2579"><cell r="K2579" t="str"><v>July</v></cell><cell r="L2579"><v>43302</v></cell><cell r="M2579" t="str"><v>Tier 0</v></cell><cell r="N2579" t="str"><v>North America</v></cell><cell r="O2579" t="str"><v>United States</v></cell><cell r="P2579" t="str"><v>Trial</v></cell><cell r="Q2579" t="str"><v>Social</v></cell><cell r="R2579" t="str"><v>Azure</v></cell><cell r="S2579" t="str"><v>Apps & Infra</v></cell><cell r="T2579" t="str"><v>Developers & ITI's</v></cell><cell r="U2579" t="str"><v>USA-Trial-ITD-Trial Lookalike-AZR-AZR</v></cell><cell r="V2579" t="str"><v>Lookalike Targeting</v></cell><cell r="W2579" t="str"><v>Canvas Ad</v></cell><cell r="X2579" t="str"><v>1x1</v></cell></row><row r="2579"><cell r="AA2579"><v>43299</v></cell><cell r="AB2579" t="str"><v>USA_gaPMG_AZR_AZR_Q1_19_Direct-Social</v></cell><cell r="AC2579"><v>21358715</v></cell><cell r="AD2579"><v>720197</v></cell><cell r="AE2579" t="str"><v>Facebook - Instagram</v></cell><cell r="AF2579"><v>3654128</v></cell><cell r="AG2579" t="str"><v>INSTAGRAM»USA-Trial-ITD-Trial Lookalike-AZR-AZR»1 x 1»SocialBan»CAN»ALL»CPA»LAL»X»NA»SS»NA»IGCTCBrandinMotion»PRC2FH</v></cell><cell r="AH2579"><v>223935019</v></cell><cell r="AI2579" t="str"><v>AzurePlatform_IGCTCBenefit2inMotion_USA_10s_CAN_PLATFORM_English_Trial_Standard_STAN_TIN_T4_2</v></cell><cell r="AJ2579"><v>103178714</v></cell></row><row r="2580"><cell r="C2580" t="str"><v>43299INSTAGRAM»USA-Trial-ITD-Trial PayGo Lookalike-AZR-AZR»1 x 1»SocialBan»CAN»ALL»CPA»LAL»X»NA»SS»NA»IGCTCBenefit2inMotion»PRC2FZ</v></cell><cell r="D2580" t="str"><v>43299223933075</v></cell><cell r="E2580" t="str"><v>43299103180628PRC2FZ</v></cell><cell r="F2580" t="str"><v>DCM</v></cell><cell r="G2580" t="str"><v>https://signup.azure.com/?OCID=AID%eexcid!_OLA_%ebuy!_%epid!_%ecid!</v></cell></row><row r="2580"><cell r="K2580" t="str"><v>July</v></cell><cell r="L2580"><v>43302</v></cell><cell r="M2580" t="str"><v>Tier 0</v></cell><cell r="N2580" t="str"><v>North America</v></cell><cell r="O2580" t="str"><v>United States</v></cell><cell r="P2580" t="str"><v>Trial</v></cell><cell r="Q2580" t="str"><v>Social</v></cell><cell r="R2580" t="str"><v>Azure</v></cell><cell r="S2580" t="str"><v>Apps & Infra</v></cell><cell r="T2580" t="str"><v>Developers & ITI's</v></cell><cell r="U2580" t="str"><v>USA-Trial-ITD-Trial PayGo Lookalike-AZR-AZR</v></cell><cell r="V2580" t="str"><v>Lookalike Targeting</v></cell><cell r="W2580" t="str"><v>Canvas Ad</v></cell><cell r="X2580" t="str"><v>1x1</v></cell></row><row r="2580"><cell r="AA2580"><v>43299</v></cell><cell r="AB2580" t="str"><v>USA_gaPMG_AZR_AZR_Q1_19_Direct-Social</v></cell><cell r="AC2580"><v>21358715</v></cell><cell r="AD2580"><v>720197</v></cell><cell r="AE2580" t="str"><v>Facebook - Instagram</v></cell><cell r="AF2580"><v>3654128</v></cell><cell r="AG2580" t="str"><v>INSTAGRAM»USA-Trial-ITD-Trial PayGo Lookalike-AZR-AZR»1 x 1»SocialBan»CAN»ALL»CPA»LAL»X»NA»SS»NA»IGCTCBenefit2inMotion»PRC2FZ</v></cell><cell r="AH2580"><v>223933075</v></cell><cell r="AI2580" t="str"><v>AzurePlatform_IGCTCBrandinMotion_USA_10s_CAN_PLATFORM_English_Trial_Standard_STAN_TIN_T2_1</v></cell><cell r="AJ2580"><v>103180628</v></cell></row><row r="2581"><cell r="C2581" t="str"><v>43299INSTAGRAM»USA-Trial-ITD-Interest Prospecting-AZR-AZR»1 x 1»SocialBan»CAN»ALL»CPA»PRO»X»NA»SS»NA»IGCTCBasicMotion»PRC2PF</v></cell><cell r="D2581" t="str"><v>43299224106621</v></cell><cell r="E2581" t="str"><v>43299103037968PRC2PF</v></cell><cell r="F2581" t="str"><v>DCM</v></cell><cell r="G2581" t="str"><v>https://signup.azure.com/?OCID=AID%eexcid!_OLA_%ebuy!_%epid!_%ecid!</v></cell></row><row r="2581"><cell r="K2581" t="str"><v>July</v></cell><cell r="L2581"><v>43302</v></cell><cell r="M2581" t="str"><v>Tier 0</v></cell><cell r="N2581" t="str"><v>North America</v></cell><cell r="O2581" t="str"><v>United States</v></cell><cell r="P2581" t="str"><v>Trial</v></cell><cell r="Q2581" t="str"><v>Social</v></cell><cell r="R2581" t="str"><v>Azure</v></cell><cell r="S2581" t="str"><v>Apps & Infra</v></cell><cell r="T2581" t="str"><v>Developers & ITI's</v></cell><cell r="U2581" t="str"><v>USA-Trial-ITD-Interest Prospecting-AZR-AZR</v></cell><cell r="V2581" t="str"><v>Prospecting</v></cell><cell r="W2581" t="str"><v>Canvas Ad</v></cell><cell r="X2581" t="str"><v>1x1</v></cell></row><row r="2581"><cell r="AA2581"><v>43299</v></cell><cell r="AB2581" t="str"><v>USA_gaPMG_AZR_AZR_Q1_19_Direct-Social</v></cell><cell r="AC2581"><v>21358715</v></cell><cell r="AD2581"><v>720197</v></cell><cell r="AE2581" t="str"><v>Facebook - Instagram</v></cell><cell r="AF2581"><v>3654128</v></cell><cell r="AG2581" t="str"><v>INSTAGRAM»USA-Trial-ITD-Interest Prospecting-AZR-AZR»1 x 1»SocialBan»CAN»ALL»CPA»PRO»X»NA»SS»NA»IGCTCBasicMotion»PRC2PF</v></cell><cell r="AH2581"><v>224106621</v></cell><cell r="AI2581" t="str"><v>AzurePlatform_IGCTCBasicMotion_USA_10s_CAN_PLATFORM_English_Trial_Standard_STAN_TIN_T1_1</v></cell><cell r="AJ2581"><v>103037968</v></cell></row><row r="2582"><cell r="C2582" t="str"><v>43299INSTAGRAM»USA-Trial-ITD-Interest Prospecting-AZR-AZR»1 x 1»SocialBan»CAN»ALL»CPA»PRO»X»NA»SS»NA»IGCTCBasicMotion»PRC2PF</v></cell><cell r="D2582" t="str"><v>43299224106621</v></cell><cell r="E2582" t="str"><v>43299103037974PRC2PF</v></cell><cell r="F2582" t="str"><v>DCM</v></cell><cell r="G2582" t="str"><v>https://azure.microsoft.com/en-us/pricing/purchase-options/?v=18.19&OCID=AID%eexcid!_OLA_%ebuy!_%epid!_%ecid!</v></cell></row><row r="2582"><cell r="K2582" t="str"><v>July</v></cell><cell r="L2582"><v>43302</v></cell><cell r="M2582" t="str"><v>Tier 0</v></cell><cell r="N2582" t="str"><v>North America</v></cell><cell r="O2582" t="str"><v>United States</v></cell><cell r="P2582" t="str"><v>Trial</v></cell><cell r="Q2582" t="str"><v>Social</v></cell><cell r="R2582" t="str"><v>Azure</v></cell><cell r="S2582" t="str"><v>Apps & Infra</v></cell><cell r="T2582" t="str"><v>Developers & ITI's</v></cell><cell r="U2582" t="str"><v>USA-Trial-ITD-Interest Prospecting-AZR-AZR</v></cell><cell r="V2582" t="str"><v>Prospecting</v></cell><cell r="W2582" t="str"><v>Canvas Ad</v></cell><cell r="X2582" t="str"><v>1x1</v></cell></row><row r="2582"><cell r="AA2582"><v>43299</v></cell><cell r="AB2582" t="str"><v>USA_gaPMG_AZR_AZR_Q1_19_Direct-Social</v></cell><cell r="AC2582"><v>21358715</v></cell><cell r="AD2582"><v>720197</v></cell><cell r="AE2582" t="str"><v>Facebook - Instagram</v></cell><cell r="AF2582"><v>3654128</v></cell><cell r="AG2582" t="str"><v>INSTAGRAM»USA-Trial-ITD-Interest Prospecting-AZR-AZR»1 x 1»SocialBan»CAN»ALL»CPA»PRO»X»NA»SS»NA»IGCTCBasicMotion»PRC2PF</v></cell><cell r="AH2582"><v>224106621</v></cell><cell r="AI2582" t="str"><v>AzurePlatform_IGCTCBasicMotion_USA_10s_CAN_PLATFORM_English_Trial_Standard_STAN_TIN_T1_2</v></cell><cell r="AJ2582"><v>103037974</v></cell></row><row r="2583"><cell r="C2583" t="str"><v>43299INSTAGRAM»USA-Trial-ITD-Interest Prospecting-AZR-AZR»1 x 1»SocialBan»CAN»ALL»CPA»PRO»X»NA»SS»NA»IGCTCBenefitinMotion»PRC2PC</v></cell><cell r="D2583" t="str"><v>43299224104878</v></cell><cell r="E2583" t="str"><v>43299103050780PRC2PC</v></cell><cell r="F2583" t="str"><v>DCM</v></cell><cell r="G2583" t="str"><v>https://signup.azure.com/?OCID=AID%eexcid!_OLA_%ebuy!_%epid!_%ecid!</v></cell></row><row r="2583"><cell r="K2583" t="str"><v>July</v></cell><cell r="L2583"><v>43302</v></cell><cell r="M2583" t="str"><v>Tier 0</v></cell><cell r="N2583" t="str"><v>North America</v></cell><cell r="O2583" t="str"><v>United States</v></cell><cell r="P2583" t="str"><v>Trial</v></cell><cell r="Q2583" t="str"><v>Social</v></cell><cell r="R2583" t="str"><v>Azure</v></cell><cell r="S2583" t="str"><v>Apps & Infra</v></cell><cell r="T2583" t="str"><v>Developers & ITI's</v></cell><cell r="U2583" t="str"><v>USA-Trial-ITD-Interest Prospecting-AZR-AZR</v></cell><cell r="V2583" t="str"><v>Prospecting</v></cell><cell r="W2583" t="str"><v>Canvas Ad</v></cell><cell r="X2583" t="str"><v>1x1</v></cell></row><row r="2583"><cell r="AA2583"><v>43299</v></cell><cell r="AB2583" t="str"><v>USA_gaPMG_AZR_AZR_Q1_19_Direct-Social</v></cell><cell r="AC2583"><v>21358715</v></cell><cell r="AD2583"><v>720197</v></cell><cell r="AE2583" t="str"><v>Facebook - Instagram</v></cell><cell r="AF2583"><v>3654128</v></cell><cell r="AG2583" t="str"><v>INSTAGRAM»USA-Trial-ITD-Interest Prospecting-AZR-AZR»1 x 1»SocialBan»CAN»ALL»CPA»PRO»X»NA»SS»NA»IGCTCBenefitinMotion»PRC2PC</v></cell><cell r="AH2583"><v>224104878</v></cell><cell r="AI2583" t="str"><v>AzurePlatform_IGCTCBenefitinMotion_USA_10s_CAN_PLATFORM_English_Trial_Standard_STAN_TIN_T3_1</v></cell><cell r="AJ2583"><v>103050780</v></cell></row><row r="2584"><cell r="C2584" t="str"><v>43299INSTAGRAM»USA-Trial-ITD-Interest Prospecting-AZR-AZR»1 x 1»SocialBan»CAN»ALL»CPA»PRO»X»NA»SS»NA»IGCTCBenefitinMotion»PRC2PC</v></cell><cell r="D2584" t="str"><v>43299224104878</v></cell><cell r="E2584" t="str"><v>43299103180637PRC2PC</v></cell><cell r="F2584" t="str"><v>DCM</v></cell><cell r="G2584" t="str"><v>https://azure.microsoft.com/en-us/pricing/purchase-options/?v=18.19&OCID=AID%eexcid!_OLA_%ebuy!_%epid!_%ecid!</v></cell></row><row r="2584"><cell r="K2584" t="str"><v>July</v></cell><cell r="L2584"><v>43302</v></cell><cell r="M2584" t="str"><v>Tier 0</v></cell><cell r="N2584" t="str"><v>North America</v></cell><cell r="O2584" t="str"><v>United States</v></cell><cell r="P2584" t="str"><v>Trial</v></cell><cell r="Q2584" t="str"><v>Social</v></cell><cell r="R2584" t="str"><v>Azure</v></cell><cell r="S2584" t="str"><v>Apps & Infra</v></cell><cell r="T2584" t="str"><v>Developers & ITI's</v></cell><cell r="U2584" t="str"><v>USA-Trial-ITD-Interest Prospecting-AZR-AZR</v></cell><cell r="V2584" t="str"><v>Prospecting</v></cell><cell r="W2584" t="str"><v>Canvas Ad</v></cell><cell r="X2584" t="str"><v>1x1</v></cell></row><row r="2584"><cell r="AA2584"><v>43299</v></cell><cell r="AB2584" t="str"><v>USA_gaPMG_AZR_AZR_Q1_19_Direct-Social</v></cell><cell r="AC2584"><v>21358715</v></cell><cell r="AD2584"><v>720197</v></cell><cell r="AE2584" t="str"><v>Facebook - Instagram</v></cell><cell r="AF2584"><v>3654128</v></cell><cell r="AG2584" t="str"><v>INSTAGRAM»USA-Trial-ITD-Interest Prospecting-AZR-AZR»1 x 1»SocialBan»CAN»ALL»CPA»PRO»X»NA»SS»NA»IGCTCBenefitinMotion»PRC2PC</v></cell><cell r="AH2584"><v>224104878</v></cell><cell r="AI2584" t="str"><v>AzurePlatform_IGCTCBenefitinMotion_USA_10s_CAN_PLATFORM_English_Trial_Standard_STAN_TIN_T3_2</v></cell><cell r="AJ2584"><v>103180637</v></cell></row><row r="2585"><cell r="C2585" t="str"><v>43299INSTAGRAM»USA-Trial-ITD-Trial Lookalike-AZR-AZR»1 x 1»SocialBan»CAN»ALL»CPA»LAL»X»NA»SS»NA»IGCTCBenefitinMotion»PRC2FK</v></cell><cell r="D2585" t="str"><v>43299224107542</v></cell><cell r="E2585" t="str"><v>43299103050780PRC2FK</v></cell><cell r="F2585" t="str"><v>DCM</v></cell><cell r="G2585" t="str"><v>https://signup.azure.com/?OCID=AID%eexcid!_OLA_%ebuy!_%epid!_%ecid!</v></cell></row><row r="2585"><cell r="K2585" t="str"><v>July</v></cell><cell r="L2585"><v>43302</v></cell><cell r="M2585" t="str"><v>Tier 0</v></cell><cell r="N2585" t="str"><v>North America</v></cell><cell r="O2585" t="str"><v>United States</v></cell><cell r="P2585" t="str"><v>Trial</v></cell><cell r="Q2585" t="str"><v>Social</v></cell><cell r="R2585" t="str"><v>Azure</v></cell><cell r="S2585" t="str"><v>Apps & Infra</v></cell><cell r="T2585" t="str"><v>Developers & ITI's</v></cell><cell r="U2585" t="str"><v>USA-Trial-ITD-Trial Lookalike-AZR-AZR</v></cell><cell r="V2585" t="str"><v>Lookalike Targeting</v></cell><cell r="W2585" t="str"><v>Canvas Ad</v></cell><cell r="X2585" t="str"><v>1x1</v></cell></row><row r="2585"><cell r="AA2585"><v>43299</v></cell><cell r="AB2585" t="str"><v>USA_gaPMG_AZR_AZR_Q1_19_Direct-Social</v></cell><cell r="AC2585"><v>21358715</v></cell><cell r="AD2585"><v>720197</v></cell><cell r="AE2585" t="str"><v>Facebook - Instagram</v></cell><cell r="AF2585"><v>3654128</v></cell><cell r="AG2585" t="str"><v>INSTAGRAM»USA-Trial-ITD-Trial Lookalike-AZR-AZR»1 x 1»SocialBan»CAN»ALL»CPA»LAL»X»NA»SS»NA»IGCTCBenefitinMotion»PRC2FK</v></cell><cell r="AH2585"><v>224107542</v></cell><cell r="AI2585" t="str"><v>AzurePlatform_IGCTCBenefitinMotion_USA_10s_CAN_PLATFORM_English_Trial_Standard_STAN_TIN_T3_1</v></cell><cell r="AJ2585"><v>103050780</v></cell></row><row r="2586"><cell r="C2586" t="str"><v>43299INSTAGRAM»USA-Trial-ITD-Trial Lookalike-AZR-AZR»1 x 1»SocialBan»CAN»ALL»CPA»LAL»X»NA»SS»NA»IGCTCBenefitinMotion»PRC2FK</v></cell><cell r="D2586" t="str"><v>43299224107542</v></cell><cell r="E2586" t="str"><v>43299103180637PRC2FK</v></cell><cell r="F2586" t="str"><v>DCM</v></cell><cell r="G2586" t="str"><v>https://azure.microsoft.com/en-us/pricing/purchase-options/?v=18.19&OCID=AID%eexcid!_OLA_%ebuy!_%epid!_%ecid!</v></cell></row><row r="2586"><cell r="K2586" t="str"><v>July</v></cell><cell r="L2586"><v>43302</v></cell><cell r="M2586" t="str"><v>Tier 0</v></cell><cell r="N2586" t="str"><v>North America</v></cell><cell r="O2586" t="str"><v>United States</v></cell><cell r="P2586" t="str"><v>Trial</v></cell><cell r="Q2586" t="str"><v>Social</v></cell><cell r="R2586" t="str"><v>Azure</v></cell><cell r="S2586" t="str"><v>Apps & Infra</v></cell><cell r="T2586" t="str"><v>Developers & ITI's</v></cell><cell r="U2586" t="str"><v>USA-Trial-ITD-Trial Lookalike-AZR-AZR</v></cell><cell r="V2586" t="str"><v>Lookalike Targeting</v></cell><cell r="W2586" t="str"><v>Canvas Ad</v></cell><cell r="X2586" t="str"><v>1x1</v></cell></row><row r="2586"><cell r="AA2586"><v>43299</v></cell><cell r="AB2586" t="str"><v>USA_gaPMG_AZR_AZR_Q1_19_Direct-Social</v></cell><cell r="AC2586"><v>21358715</v></cell><cell r="AD2586"><v>720197</v></cell><cell r="AE2586" t="str"><v>Facebook - Instagram</v></cell><cell r="AF2586"><v>3654128</v></cell><cell r="AG2586" t="str"><v>INSTAGRAM»USA-Trial-ITD-Trial Lookalike-AZR-AZR»1 x 1»SocialBan»CAN»ALL»CPA»LAL»X»NA»SS»NA»IGCTCBenefitinMotion»PRC2FK</v></cell><cell r="AH2586"><v>224107542</v></cell><cell r="AI2586" t="str"><v>AzurePlatform_IGCTCBenefitinMotion_USA_10s_CAN_PLATFORM_English_Trial_Standard_STAN_TIN_T3_2</v></cell><cell r="AJ2586"><v>103180637</v></cell></row><row r="2587"><cell r="C2587" t="str"><v>43299INSTAGRAM»USA-Trial-ITD-Trial PayGo Lookalike-AZR-AZR»1 x 1»SocialBan»CAN»ALL»CPA»LAL»X»NA»SS»NA»IGCTCBasicMotion»PRC2G0</v></cell><cell r="D2587" t="str"><v>43299224106891</v></cell><cell r="E2587" t="str"><v>43299103037968PRC2G0</v></cell><cell r="F2587" t="str"><v>DCM</v></cell><cell r="G2587" t="str"><v>https://signup.azure.com/?OCID=AID%eexcid!_OLA_%ebuy!_%epid!_%ecid!</v></cell></row><row r="2587"><cell r="K2587" t="str"><v>July</v></cell><cell r="L2587"><v>43302</v></cell><cell r="M2587" t="str"><v>Tier 0</v></cell><cell r="N2587" t="str"><v>North America</v></cell><cell r="O2587" t="str"><v>United States</v></cell><cell r="P2587" t="str"><v>Trial</v></cell><cell r="Q2587" t="str"><v>Social</v></cell><cell r="R2587" t="str"><v>Azure</v></cell><cell r="S2587" t="str"><v>Apps & Infra</v></cell><cell r="T2587" t="str"><v>Developers & ITI's</v></cell><cell r="U2587" t="str"><v>USA-Trial-ITD-Trial PayGo Lookalike-AZR-AZR</v></cell><cell r="V2587" t="str"><v>Lookalike Targeting</v></cell><cell r="W2587" t="str"><v>Canvas Ad</v></cell><cell r="X2587" t="str"><v>1x1</v></cell></row><row r="2587"><cell r="AA2587"><v>43299</v></cell><cell r="AB2587" t="str"><v>USA_gaPMG_AZR_AZR_Q1_19_Direct-Social</v></cell><cell r="AC2587"><v>21358715</v></cell><cell r="AD2587"><v>720197</v></cell><cell r="AE2587" t="str"><v>Facebook - Instagram</v></cell><cell r="AF2587"><v>3654128</v></cell><cell r="AG2587" t="str"><v>INSTAGRAM»USA-Trial-ITD-Trial PayGo Lookalike-AZR-AZR»1 x 1»SocialBan»CAN»ALL»CPA»LAL»X»NA»SS»NA»IGCTCBasicMotion»PRC2G0</v></cell><cell r="AH2587"><v>224106891</v></cell><cell r="AI2587" t="str"><v>AzurePlatform_IGCTCBasicMotion_USA_10s_CAN_PLATFORM_English_Trial_Standard_STAN_TIN_T1_1</v></cell><cell r="AJ2587"><v>103037968</v></cell></row><row r="2588"><cell r="C2588" t="str"><v>43299INSTAGRAM»USA-Trial-ITD-Trial PayGo Lookalike-AZR-AZR»1 x 1»SocialBan»CAN»ALL»CPA»LAL»X»NA»SS»NA»IGCTCBasicMotion»PRC2G0</v></cell><cell r="D2588" t="str"><v>43299224106891</v></cell><cell r="E2588" t="str"><v>43299103037974PRC2G0</v></cell><cell r="F2588" t="str"><v>DCM</v></cell><cell r="G2588" t="str"><v>https://azure.microsoft.com/en-us/pricing/purchase-options/?v=18.19&OCID=AID%eexcid!_OLA_%ebuy!_%epid!_%ecid!</v></cell></row><row r="2588"><cell r="K2588" t="str"><v>July</v></cell><cell r="L2588"><v>43302</v></cell><cell r="M2588" t="str"><v>Tier 0</v></cell><cell r="N2588" t="str"><v>North America</v></cell><cell r="O2588" t="str"><v>United States</v></cell><cell r="P2588" t="str"><v>Trial</v></cell><cell r="Q2588" t="str"><v>Social</v></cell><cell r="R2588" t="str"><v>Azure</v></cell><cell r="S2588" t="str"><v>Apps & Infra</v></cell><cell r="T2588" t="str"><v>Developers & ITI's</v></cell><cell r="U2588" t="str"><v>USA-Trial-ITD-Trial PayGo Lookalike-AZR-AZR</v></cell><cell r="V2588" t="str"><v>Lookalike Targeting</v></cell><cell r="W2588" t="str"><v>Canvas Ad</v></cell><cell r="X2588" t="str"><v>1x1</v></cell></row><row r="2588"><cell r="AA2588"><v>43299</v></cell><cell r="AB2588" t="str"><v>USA_gaPMG_AZR_AZR_Q1_19_Direct-Social</v></cell><cell r="AC2588"><v>21358715</v></cell><cell r="AD2588"><v>720197</v></cell><cell r="AE2588" t="str"><v>Facebook - Instagram</v></cell><cell r="AF2588"><v>3654128</v></cell><cell r="AG2588" t="str"><v>INSTAGRAM»USA-Trial-ITD-Trial PayGo Lookalike-AZR-AZR»1 x 1»SocialBan»CAN»ALL»CPA»LAL»X»NA»SS»NA»IGCTCBasicMotion»PRC2G0</v></cell><cell r="AH2588"><v>224106891</v></cell><cell r="AI2588" t="str"><v>AzurePlatform_IGCTCBasicMotion_USA_10s_CAN_PLATFORM_English_Trial_Standard_STAN_TIN_T1_2</v></cell><cell r="AJ2588"><v>103037974</v></cell></row><row r="2589"><cell r="C2589" t="str"><v>43299INSTAGRAM»USA-Trial-ITD-Trial PayGo Lookalike-AZR-AZR»1 x 1»SocialBan»CAN»ALL»CPA»LAL»X»NA»SS»NA»IGCTCBenefitinMotion»PRC2FX</v></cell><cell r="D2589" t="str"><v>43299223933999</v></cell><cell r="E2589" t="str"><v>43299103050780PRC2FX</v></cell><cell r="F2589" t="str"><v>DCM</v></cell><cell r="G2589" t="str"><v>https://signup.azure.com/?OCID=AID%eexcid!_OLA_%ebuy!_%epid!_%ecid!</v></cell></row><row r="2589"><cell r="K2589" t="str"><v>July</v></cell><cell r="L2589"><v>43302</v></cell><cell r="M2589" t="str"><v>Tier 0</v></cell><cell r="N2589" t="str"><v>North America</v></cell><cell r="O2589" t="str"><v>United States</v></cell><cell r="P2589" t="str"><v>Trial</v></cell><cell r="Q2589" t="str"><v>Social</v></cell><cell r="R2589" t="str"><v>Azure</v></cell><cell r="S2589" t="str"><v>Apps & Infra</v></cell><cell r="T2589" t="str"><v>Developers & ITI's</v></cell><cell r="U2589" t="str"><v>USA-Trial-ITD-Trial PayGo Lookalike-AZR-AZR</v></cell><cell r="V2589" t="str"><v>Lookalike Targeting</v></cell><cell r="W2589" t="str"><v>Canvas Ad</v></cell><cell r="X2589" t="str"><v>1x1</v></cell></row><row r="2589"><cell r="AA2589"><v>43299</v></cell><cell r="AB2589" t="str"><v>USA_gaPMG_AZR_AZR_Q1_19_Direct-Social</v></cell><cell r="AC2589"><v>21358715</v></cell><cell r="AD2589"><v>720197</v></cell><cell r="AE2589" t="str"><v>Facebook - Instagram</v></cell><cell r="AF2589"><v>3654128</v></cell><cell r="AG2589" t="str"><v>INSTAGRAM»USA-Trial-ITD-Trial PayGo Lookalike-AZR-AZR»1 x 1»SocialBan»CAN»ALL»CPA»LAL»X»NA»SS»NA»IGCTCBenefitinMotion»PRC2FX</v></cell><cell r="AH2589"><v>223933999</v></cell><cell r="AI2589" t="str"><v>AzurePlatform_IGCTCBenefitinMotion_USA_10s_CAN_PLATFORM_English_Trial_Standard_STAN_TIN_T3_1</v></cell><cell r="AJ2589"><v>103050780</v></cell></row><row r="2590"><cell r="C2590" t="str"><v>43300Facebook»Audience & Interest Targeting»1x1»Canvas»OTH»DT»DYN»AUT»W»NA»SS»NA»FBCTCcanvaspage-StartFreeCTA_FBCTCcanvaspage-BuyNowCTA</v></cell><cell r="D2590" t="str"><v>43300224639151</v></cell><cell r="E2590" t="str"><v>43300103316832NowCTA</v></cell><cell r="F2590" t="str"><v>DCM</v></cell><cell r="G2590" t="str"><v>https://azure.microsoft.com/en-au/pricing/purchase-options/</v></cell></row><row r="2590"><cell r="K2590" t="str"><v>July</v></cell><cell r="L2590"><v>43302</v></cell><cell r="M2590" t="str"><v>Tier 1</v></cell><cell r="N2590" t="str"><v>APAC</v></cell><cell r="O2590" t="str"><v>Australia</v></cell><cell r="P2590" t="str"><v>Trial</v></cell><cell r="Q2590" t="str"><v>Social</v></cell><cell r="R2590" t="str"><v>Azure</v></cell><cell r="S2590" t="str"><v>Apps & Infra</v></cell><cell r="T2590" t="str"><v>Developers & ITI's</v></cell><cell r="U2590" t="str"><v>Audience & Interest Targeting</v></cell><cell r="V2590" t="str"><v>Audience Targeting</v></cell><cell r="W2590" t="str"><v>Other</v></cell><cell r="X2590" t="str"><v>1x1</v></cell></row><row r="2590"><cell r="AA2590"><v>43300</v></cell><cell r="AB2590" t="str"><v>AUS_gaPMG_AZR_AZR_Q1_19_Trial-Social</v></cell><cell r="AC2590"><v>21358568</v></cell><cell r="AD2590"><v>720191</v></cell><cell r="AE2590" t="str"><v>Facebook</v></cell><cell r="AF2590"><v>3654128</v></cell><cell r="AG2590" t="str"><v>Facebook»Audience & Interest Targeting»1x1»Canvas»OTH»DT»DYN»AUT»W»NA»SS»NA»FBCTCcanvaspage-StartFreeCTA_FBCTCcanvaspage-BuyNowCTA</v></cell><cell r="AH2590"><v>224639151</v></cell><cell r="AI2590" t="str"><v>AzurePlatform_FBCTCcanvaspage-BuyNowCTA-Img3_AUS_1080x162_SOC_Plat_English_NA_Standard_NA_BN_T3_1</v></cell><cell r="AJ2590"><v>103316832</v></cell></row><row r="2591"><cell r="C2591" t="str"><v>43300Facebook»Audience & Interest Targeting»1x1»Canvas»OTH»DT»DYN»AUT»W»NA»SS»NA»FBCTCcanvaspage-StartFreeCTA_FBCTCcanvaspage-BuyNowCTA</v></cell><cell r="D2591" t="str"><v>43300224639151</v></cell><cell r="E2591" t="str"><v>43300103316829NowCTA</v></cell><cell r="F2591" t="str"><v>DCM</v></cell><cell r="G2591" t="str"><v>https://signup.azure.com/signup?offer=ms-azr-0044p&appId=102&ref=paidmedia-social-fb&redirectURL=https%3a%2f%2fazure.microsoft.com%2fen-au%2fget-started%2fwelcome-to-azure%2f&l=en-au&correlationId=ead86c34-1f10-49dd-a72b-6918462a2cbf</v></cell></row><row r="2591"><cell r="K2591" t="str"><v>July</v></cell><cell r="L2591"><v>43302</v></cell><cell r="M2591" t="str"><v>Tier 1</v></cell><cell r="N2591" t="str"><v>APAC</v></cell><cell r="O2591" t="str"><v>Australia</v></cell><cell r="P2591" t="str"><v>Trial</v></cell><cell r="Q2591" t="str"><v>Social</v></cell><cell r="R2591" t="str"><v>Azure</v></cell><cell r="S2591" t="str"><v>Apps & Infra</v></cell><cell r="T2591" t="str"><v>Developers & ITI's</v></cell><cell r="U2591" t="str"><v>Audience & Interest Targeting</v></cell><cell r="V2591" t="str"><v>Audience Targeting</v></cell><cell r="W2591" t="str"><v>Other</v></cell><cell r="X2591" t="str"><v>1x1</v></cell></row><row r="2591"><cell r="AA2591"><v>43300</v></cell><cell r="AB2591" t="str"><v>AUS_gaPMG_AZR_AZR_Q1_19_Trial-Social</v></cell><cell r="AC2591"><v>21358568</v></cell><cell r="AD2591"><v>720191</v></cell><cell r="AE2591" t="str"><v>Facebook</v></cell><cell r="AF2591"><v>3654128</v></cell><cell r="AG2591" t="str"><v>Facebook»Audience & Interest Targeting»1x1»Canvas»OTH»DT»DYN»AUT»W»NA»SS»NA»FBCTCcanvaspage-StartFreeCTA_FBCTCcanvaspage-BuyNowCTA</v></cell><cell r="AH2591"><v>224639151</v></cell><cell r="AI2591" t="str"><v>AzurePlatform_FBCTCcanvaspage-StartFreeCTA-Img2_AUS_1080x143 _SOC_Plat_English_NA_Standard_NA_NA_T2_1</v></cell><cell r="AJ2591"><v>103316829</v></cell></row><row r="2592"><cell r="C2592" t="str"><v>43300Facebook»Audience & Interest Targeting»1x1»TextLink»OTH»DT»DYN»AUT»W»NA»SS»NA»Free Account Refresh- 12 months ChE</v></cell><cell r="D2592" t="str"><v>43300224160783</v></cell><cell r="E2592" t="str"><v>43300103051614hs ChE</v></cell><cell r="F2592" t="str"><v>DCM</v></cell></row><row r="2592"><cell r="K2592" t="str"><v>July</v></cell><cell r="L2592"><v>43302</v></cell><cell r="M2592" t="str"><v>Tier 1</v></cell><cell r="N2592" t="str"><v>APAC</v></cell><cell r="O2592" t="str"><v>Australia</v></cell><cell r="P2592" t="str"><v>Trial</v></cell><cell r="Q2592" t="str"><v>Social</v></cell><cell r="R2592" t="str"><v>Azure</v></cell><cell r="S2592" t="str"><v>Apps & Infra</v></cell><cell r="T2592" t="str"><v>Developers & ITI's</v></cell><cell r="U2592" t="str"><v>Audience & Interest Targeting</v></cell><cell r="V2592" t="str"><v>Audience Targeting</v></cell><cell r="W2592" t="str"><v>Other</v></cell><cell r="X2592" t="str"><v>1x1</v></cell></row><row r="2592"><cell r="AA2592"><v>43300</v></cell><cell r="AB2592" t="str"><v>AUS_gaPMG_AZR_AZR_Q1_19_Trial-Social</v></cell><cell r="AC2592"><v>21358568</v></cell><cell r="AD2592"><v>720191</v></cell><cell r="AE2592" t="str"><v>Facebook</v></cell><cell r="AF2592"><v>3654128</v></cell><cell r="AG2592" t="str"><v>Facebook»Audience & Interest Targeting»1x1»TextLink»OTH»DT»DYN»AUT»W»NA»SS»NA»Free Account Refresh- 12 months ChE</v></cell><cell r="AH2592"><v>224160783</v></cell><cell r="AI2592" t="str"><v>AzurePlatform_FreeAcctAppsFACEBOOK12monthsChE_AUS_1200x628_SOC_PLAT_EN_Trial_Standard_NA_SNU_T5_1</v></cell><cell r="AJ2592"><v>103051614</v></cell></row><row r="2593"><cell r="C2593" t="str"><v>43300Facebook»Audience & Interest Targeting»1x1»TextLink»OTH»DT»DYN»AUT»W»NA»SS»NA»Free Account Refresh- 200 Credit ChD</v></cell><cell r="D2593" t="str"><v>43300224160780</v></cell><cell r="E2593" t="str"><v>43300103186904it ChD</v></cell><cell r="F2593" t="str"><v>DCM</v></cell></row><row r="2593"><cell r="K2593" t="str"><v>July</v></cell><cell r="L2593"><v>43302</v></cell><cell r="M2593" t="str"><v>Tier 1</v></cell><cell r="N2593" t="str"><v>APAC</v></cell><cell r="O2593" t="str"><v>Australia</v></cell><cell r="P2593" t="str"><v>Trial</v></cell><cell r="Q2593" t="str"><v>Social</v></cell><cell r="R2593" t="str"><v>Azure</v></cell><cell r="S2593" t="str"><v>Apps & Infra</v></cell><cell r="T2593" t="str"><v>Developers & ITI's</v></cell><cell r="U2593" t="str"><v>Audience & Interest Targeting</v></cell><cell r="V2593" t="str"><v>Audience Targeting</v></cell><cell r="W2593" t="str"><v>Other</v></cell><cell r="X2593" t="str"><v>1x1</v></cell></row><row r="2593"><cell r="AA2593"><v>43300</v></cell><cell r="AB2593" t="str"><v>AUS_gaPMG_AZR_AZR_Q1_19_Trial-Social</v></cell><cell r="AC2593"><v>21358568</v></cell><cell r="AD2593"><v>720191</v></cell><cell r="AE2593" t="str"><v>Facebook</v></cell><cell r="AF2593"><v>3654128</v></cell><cell r="AG2593" t="str"><v>Facebook»Audience & Interest Targeting»1x1»TextLink»OTH»DT»DYN»AUT»W»NA»SS»NA»Free Account Refresh- 200 Credit ChD</v></cell><cell r="AH2593"><v>224160780</v></cell><cell r="AI2593" t="str"><v>AzurePlatform_FreeAcctAppsFACEBOOK200CreditChD_AUS_1200x628_SOC_PLAT_EN_Trial_Standard_NA_SNU_T4_1</v></cell><cell r="AJ2593"><v>103186904</v></cell></row><row r="2594"><cell r="C2594" t="str"><v>43300Facebook»Audience & Interest Targeting»1x1»TextLink»OTH»DT»DYN»AUT»W»NA»SS»NA»Free Account Refresh- Device ChB</v></cell><cell r="D2594" t="str"><v>43300224160777</v></cell><cell r="E2594" t="str"><v>43300103048479ce ChB</v></cell><cell r="F2594" t="str"><v>DCM</v></cell></row><row r="2594"><cell r="K2594" t="str"><v>July</v></cell><cell r="L2594"><v>43302</v></cell><cell r="M2594" t="str"><v>Tier 1</v></cell><cell r="N2594" t="str"><v>APAC</v></cell><cell r="O2594" t="str"><v>Australia</v></cell><cell r="P2594" t="str"><v>Trial</v></cell><cell r="Q2594" t="str"><v>Social</v></cell><cell r="R2594" t="str"><v>Azure</v></cell><cell r="S2594" t="str"><v>Apps & Infra</v></cell><cell r="T2594" t="str"><v>Developers & ITI's</v></cell><cell r="U2594" t="str"><v>Audience & Interest Targeting</v></cell><cell r="V2594" t="str"><v>Audience Targeting</v></cell><cell r="W2594" t="str"><v>Other</v></cell><cell r="X2594" t="str"><v>1x1</v></cell></row><row r="2594"><cell r="AA2594"><v>43300</v></cell><cell r="AB2594" t="str"><v>AUS_gaPMG_AZR_AZR_Q1_19_Trial-Social</v></cell><cell r="AC2594"><v>21358568</v></cell><cell r="AD2594"><v>720191</v></cell><cell r="AE2594" t="str"><v>Facebook</v></cell><cell r="AF2594"><v>3654128</v></cell><cell r="AG2594" t="str"><v>Facebook»Audience & Interest Targeting»1x1»TextLink»OTH»DT»DYN»AUT»W»NA»SS»NA»Free Account Refresh- Device ChB</v></cell><cell r="AH2594"><v>224160777</v></cell><cell r="AI2594" t="str"><v>AzurePlatform_FreeAcctAppsFACEBOOKDeviceChB_AUS_1200x628_SOC_PLAT_EN_Trial_Standard_NA_SNU_T2_1</v></cell><cell r="AJ2594"><v>103048479</v></cell></row><row r="2595"><cell r="C2595" t="str"><v>43300Facebook»Audience & Interest Targeting»1x1»TextLink»OTH»DT»DYN»AUT»W»NA»SS»NA»Free Account Refresh- Illustration ChC</v></cell><cell r="D2595" t="str"><v>43300224160774</v></cell><cell r="E2595" t="str"><v>43300103186910on ChC</v></cell><cell r="F2595" t="str"><v>DCM</v></cell></row><row r="2595"><cell r="K2595" t="str"><v>July</v></cell><cell r="L2595"><v>43302</v></cell><cell r="M2595" t="str"><v>Tier 1</v></cell><cell r="N2595" t="str"><v>APAC</v></cell><cell r="O2595" t="str"><v>Australia</v></cell><cell r="P2595" t="str"><v>Trial</v></cell><cell r="Q2595" t="str"><v>Social</v></cell><cell r="R2595" t="str"><v>Azure</v></cell><cell r="S2595" t="str"><v>Apps & Infra</v></cell><cell r="T2595" t="str"><v>Developers & ITI's</v></cell><cell r="U2595" t="str"><v>Audience & Interest Targeting</v></cell><cell r="V2595" t="str"><v>Audience Targeting</v></cell><cell r="W2595" t="str"><v>Other</v></cell><cell r="X2595" t="str"><v>1x1</v></cell></row><row r="2595"><cell r="AA2595"><v>43300</v></cell><cell r="AB2595" t="str"><v>AUS_gaPMG_AZR_AZR_Q1_19_Trial-Social</v></cell><cell r="AC2595"><v>21358568</v></cell><cell r="AD2595"><v>720191</v></cell><cell r="AE2595" t="str"><v>Facebook</v></cell><cell r="AF2595"><v>3654128</v></cell><cell r="AG2595" t="str"><v>Facebook»Audience & Interest Targeting»1x1»TextLink»OTH»DT»DYN»AUT»W»NA»SS»NA»Free Account Refresh- Illustration ChC</v></cell><cell r="AH2595"><v>224160774</v></cell><cell r="AI2595" t="str"><v>AzurePlatform_FreeAcctAppsFACEBOOKIllustrationChC_AUS_1200x628_SOC_PLAT_EN_Trial_Standard_NA_SNU_T3_1</v></cell><cell r="AJ2595"><v>103186910</v></cell></row><row r="2596"><cell r="C2596" t="str"><v>43300Facebook»Audience & Interest Targeting»1x1»TextLink»OTH»DT»DYN»AUT»W»NA»SS»NA»Free Account Refresh- Lifestyle ChA</v></cell><cell r="D2596" t="str"><v>43300224160771</v></cell><cell r="E2596" t="str"><v>43300103048488le ChA</v></cell><cell r="F2596" t="str"><v>DCM</v></cell></row><row r="2596"><cell r="K2596" t="str"><v>July</v></cell><cell r="L2596"><v>43302</v></cell><cell r="M2596" t="str"><v>Tier 1</v></cell><cell r="N2596" t="str"><v>APAC</v></cell><cell r="O2596" t="str"><v>Australia</v></cell><cell r="P2596" t="str"><v>Trial</v></cell><cell r="Q2596" t="str"><v>Social</v></cell><cell r="R2596" t="str"><v>Azure</v></cell><cell r="S2596" t="str"><v>Apps & Infra</v></cell><cell r="T2596" t="str"><v>Developers & ITI's</v></cell><cell r="U2596" t="str"><v>Audience & Interest Targeting</v></cell><cell r="V2596" t="str"><v>Audience Targeting</v></cell><cell r="W2596" t="str"><v>Other</v></cell><cell r="X2596" t="str"><v>1x1</v></cell></row><row r="2596"><cell r="AA2596"><v>43300</v></cell><cell r="AB2596" t="str"><v>AUS_gaPMG_AZR_AZR_Q1_19_Trial-Social</v></cell><cell r="AC2596"><v>21358568</v></cell><cell r="AD2596"><v>720191</v></cell><cell r="AE2596" t="str"><v>Facebook</v></cell><cell r="AF2596"><v>3654128</v></cell><cell r="AG2596" t="str"><v>Facebook»Audience & Interest Targeting»1x1»TextLink»OTH»DT»DYN»AUT»W»NA»SS»NA»Free Account Refresh- Lifestyle ChA</v></cell><cell r="AH2596"><v>224160771</v></cell><cell r="AI2596" t="str"><v>AzurePlatform_FreeAcctAppsFACEBOOKLifestyleChA_AUS_1200x628_SOC_PLAT_EN_Trial_Standard_NA_SNU_T1_1</v></cell><cell r="AJ2596"><v>103048488</v></cell></row><row r="2597"><cell r="C2597" t="str"><v>43300Facebook»AZR»1x1»NA»EGV»ALL»DYN»AUT»D»All»SS»NA»Free Acc CTC - T1 - EN</v></cell><cell r="D2597" t="str"><v>43300223684451</v></cell><cell r="E2597" t="str"><v>433001029018821 - EN</v></cell><cell r="F2597" t="str"><v>DCM</v></cell><cell r="G2597" t="str"><v>https://signup.azure.com/</v></cell></row><row r="2597"><cell r="K2597" t="str"><v>July</v></cell><cell r="L2597"><v>43302</v></cell><cell r="M2597" t="str"><v>Tier 1</v></cell><cell r="N2597" t="str"><v>North America</v></cell><cell r="O2597" t="str"><v>Canada</v></cell><cell r="P2597" t="str"><v>Trial</v></cell><cell r="Q2597" t="str"><v>Social</v></cell><cell r="R2597" t="str"><v>Azure</v></cell><cell r="S2597" t="str"><v>Apps & Infra</v></cell><cell r="T2597" t="str"><v>Developers & ITI's</v></cell><cell r="U2597" t="str"><v>AZR</v></cell><cell r="V2597" t="str"><v>Audience Targeting</v></cell><cell r="W2597" t="str"><v>Engagement Video</v></cell><cell r="X2597" t="str"><v>1x1</v></cell></row><row r="2597"><cell r="AA2597"><v>43300</v></cell><cell r="AB2597" t="str"><v>CAN_gaPMG_AZR_AZR_Q1_19_Trial-Social</v></cell><cell r="AC2597"><v>21337220</v></cell><cell r="AD2597"><v>720192</v></cell><cell r="AE2597" t="str"><v>Facebook</v></cell><cell r="AF2597"><v>3654128</v></cell><cell r="AG2597" t="str"><v>Facebook»AZR»1x1»NA»EGV»ALL»DYN»AUT»D»All»SS»NA»Free Acc CTC - T1 - EN</v></cell><cell r="AH2597"><v>223684451</v></cell><cell r="AI2597" t="str"><v>AzurePlatform_FBCTCBasicMotion_CAN_10s_ISV_PLAT_English_Trial_Standard_STAN_TN_T1_1</v></cell><cell r="AJ2597"><v>102901882</v></cell></row><row r="2598"><cell r="C2598" t="str"><v>43300Facebook»AZR»1x1»NA»EGV»ALL»DYN»AUT»D»All»SS»NA»Free Acc CTC - T1 - FR</v></cell><cell r="D2598" t="str"><v>43300223691801</v></cell><cell r="E2598" t="str"><v>433001030533231 - FR</v></cell><cell r="F2598" t="str"><v>DCM</v></cell><cell r="G2598" t="str"><v>https://signup.azure.com/</v></cell></row><row r="2598"><cell r="K2598" t="str"><v>July</v></cell><cell r="L2598"><v>43302</v></cell><cell r="M2598" t="str"><v>Tier 1</v></cell><cell r="N2598" t="str"><v>North America</v></cell><cell r="O2598" t="str"><v>Canada</v></cell><cell r="P2598" t="str"><v>Trial</v></cell><cell r="Q2598" t="str"><v>Social</v></cell><cell r="R2598" t="str"><v>Azure</v></cell><cell r="S2598" t="str"><v>Apps & Infra</v></cell><cell r="T2598" t="str"><v>Developers & ITI's</v></cell><cell r="U2598" t="str"><v>AZR</v></cell><cell r="V2598" t="str"><v>Audience Targeting</v></cell><cell r="W2598" t="str"><v>Engagement Video</v></cell><cell r="X2598" t="str"><v>1x1</v></cell></row><row r="2598"><cell r="AA2598"><v>43300</v></cell><cell r="AB2598" t="str"><v>CAN_gaPMG_AZR_AZR_Q1_19_Trial-Social</v></cell><cell r="AC2598"><v>21337220</v></cell><cell r="AD2598"><v>720192</v></cell><cell r="AE2598" t="str"><v>Facebook</v></cell><cell r="AF2598"><v>3654128</v></cell><cell r="AG2598" t="str"><v>Facebook»AZR»1x1»NA»EGV»ALL»DYN»AUT»D»All»SS»NA»Free Acc CTC - T1 - FR</v></cell><cell r="AH2598"><v>223691801</v></cell><cell r="AI2598" t="str"><v>AzurePlatform_FBCTCBasicMotion_CAN_10s_ISV_PLAT_FR_Trial_Standard_STAN_TN_T1_1</v></cell><cell r="AJ2598"><v>103053323</v></cell></row><row r="2599"><cell r="C2599" t="str"><v>43300Facebook»AZR»1x1»NA»EGV»ALL»DYN»AUT»D»All»SS»NA»Free Acc CTC - T2 - EN</v></cell><cell r="D2599" t="str"><v>43300223691840</v></cell><cell r="E2599" t="str"><v>433001029029502 - EN</v></cell><cell r="F2599" t="str"><v>DCM</v></cell><cell r="G2599" t="str"><v>https://signup.azure.com/</v></cell></row><row r="2599"><cell r="K2599" t="str"><v>July</v></cell><cell r="L2599"><v>43302</v></cell><cell r="M2599" t="str"><v>Tier 1</v></cell><cell r="N2599" t="str"><v>North America</v></cell><cell r="O2599" t="str"><v>Canada</v></cell><cell r="P2599" t="str"><v>Trial</v></cell><cell r="Q2599" t="str"><v>Social</v></cell><cell r="R2599" t="str"><v>Azure</v></cell><cell r="S2599" t="str"><v>Apps & Infra</v></cell><cell r="T2599" t="str"><v>Developers & ITI's</v></cell><cell r="U2599" t="str"><v>AZR</v></cell><cell r="V2599" t="str"><v>Audience Targeting</v></cell><cell r="W2599" t="str"><v>Engagement Video</v></cell><cell r="X2599" t="str"><v>1x1</v></cell></row><row r="2599"><cell r="AA2599"><v>43300</v></cell><cell r="AB2599" t="str"><v>CAN_gaPMG_AZR_AZR_Q1_19_Trial-Social</v></cell><cell r="AC2599"><v>21337220</v></cell><cell r="AD2599"><v>720192</v></cell><cell r="AE2599" t="str"><v>Facebook</v></cell><cell r="AF2599"><v>3654128</v></cell><cell r="AG2599" t="str"><v>Facebook»AZR»1x1»NA»EGV»ALL»DYN»AUT»D»All»SS»NA»Free Acc CTC - T2 - EN</v></cell><cell r="AH2599"><v>223691840</v></cell><cell r="AI2599" t="str"><v>AzurePlatform_FBCTCBrandinMotion_CAN_12s_ISV_PLAT_English_Trial_Standard_STAN_TN_T2_1</v></cell><cell r="AJ2599"><v>102902950</v></cell></row><row r="2600"><cell r="C2600" t="str"><v>43300Facebook»AZR»1x1»NA»EGV»ALL»DYN»AUT»D»All»SS»NA»Free Acc CTC - T2 - FR</v></cell><cell r="D2600" t="str"><v>43300223691798</v></cell><cell r="E2600" t="str"><v>433001029163472 - FR</v></cell><cell r="F2600" t="str"><v>DCM</v></cell><cell r="G2600" t="str"><v>https://signup.azure.com/</v></cell></row><row r="2600"><cell r="K2600" t="str"><v>July</v></cell><cell r="L2600"><v>43302</v></cell><cell r="M2600" t="str"><v>Tier 1</v></cell><cell r="N2600" t="str"><v>North America</v></cell><cell r="O2600" t="str"><v>Canada</v></cell><cell r="P2600" t="str"><v>Trial</v></cell><cell r="Q2600" t="str"><v>Social</v></cell><cell r="R2600" t="str"><v>Azure</v></cell><cell r="S2600" t="str"><v>Apps & Infra</v></cell><cell r="T2600" t="str"><v>Developers & ITI's</v></cell><cell r="U2600" t="str"><v>AZR</v></cell><cell r="V2600" t="str"><v>Audience Targeting</v></cell><cell r="W2600" t="str"><v>Engagement Video</v></cell><cell r="X2600" t="str"><v>1x1</v></cell></row><row r="2600"><cell r="AA2600"><v>43300</v></cell><cell r="AB2600" t="str"><v>CAN_gaPMG_AZR_AZR_Q1_19_Trial-Social</v></cell><cell r="AC2600"><v>21337220</v></cell><cell r="AD2600"><v>720192</v></cell><cell r="AE2600" t="str"><v>Facebook</v></cell><cell r="AF2600"><v>3654128</v></cell><cell r="AG2600" t="str"><v>Facebook»AZR»1x1»NA»EGV»ALL»DYN»AUT»D»All»SS»NA»Free Acc CTC - T2 - FR</v></cell><cell r="AH2600"><v>223691798</v></cell><cell r="AI2600" t="str"><v>AzurePlatform_FBCTCBrandinMotion_CAN_12s_ISV_PLAT_FR_Trial_Standard_STAN_TN_T2_1</v></cell><cell r="AJ2600"><v>102916347</v></cell></row><row r="2601"><cell r="C2601" t="str"><v>43300Facebook»AZR»1x1»NA»EGV»ALL»DYN»AUT»D»All»SS»NA»Free Acc CTC - T4 - EN</v></cell><cell r="D2601" t="str"><v>43300223691837</v></cell><cell r="E2601" t="str"><v>433001030533144 - EN</v></cell><cell r="F2601" t="str"><v>DCM</v></cell><cell r="G2601" t="str"><v>https://signup.azure.com/</v></cell></row><row r="2601"><cell r="K2601" t="str"><v>July</v></cell><cell r="L2601"><v>43302</v></cell><cell r="M2601" t="str"><v>Tier 1</v></cell><cell r="N2601" t="str"><v>North America</v></cell><cell r="O2601" t="str"><v>Canada</v></cell><cell r="P2601" t="str"><v>Trial</v></cell><cell r="Q2601" t="str"><v>Social</v></cell><cell r="R2601" t="str"><v>Azure</v></cell><cell r="S2601" t="str"><v>Apps & Infra</v></cell><cell r="T2601" t="str"><v>Developers & ITI's</v></cell><cell r="U2601" t="str"><v>AZR</v></cell><cell r="V2601" t="str"><v>Audience Targeting</v></cell><cell r="W2601" t="str"><v>Engagement Video</v></cell><cell r="X2601" t="str"><v>1x1</v></cell></row><row r="2601"><cell r="AA2601"><v>43300</v></cell><cell r="AB2601" t="str"><v>CAN_gaPMG_AZR_AZR_Q1_19_Trial-Social</v></cell><cell r="AC2601"><v>21337220</v></cell><cell r="AD2601"><v>720192</v></cell><cell r="AE2601" t="str"><v>Facebook</v></cell><cell r="AF2601"><v>3654128</v></cell><cell r="AG2601" t="str"><v>Facebook»AZR»1x1»NA»EGV»ALL»DYN»AUT»D»All»SS»NA»Free Acc CTC - T4 - EN</v></cell><cell r="AH2601"><v>223691837</v></cell><cell r="AI2601" t="str"><v>AzurePlatform_FBCTCBenefit2inMotion_CAN_14s_ISV_PLAT_English_Trial_Standard_STAN_TN_T4_1</v></cell><cell r="AJ2601"><v>103053314</v></cell></row><row r="2602"><cell r="C2602" t="str"><v>43300Facebook»AZR»1x1»NA»EGV»ALL»DYN»AUT»D»All»SS»NA»Free Acc CTC - T4 - FR</v></cell><cell r="D2602" t="str"><v>43300223691795</v></cell><cell r="E2602" t="str"><v>433001029006884 - FR</v></cell><cell r="F2602" t="str"><v>DCM</v></cell><cell r="G2602" t="str"><v>https://signup.azure.com/</v></cell></row><row r="2602"><cell r="K2602" t="str"><v>July</v></cell><cell r="L2602"><v>43302</v></cell><cell r="M2602" t="str"><v>Tier 1</v></cell><cell r="N2602" t="str"><v>North America</v></cell><cell r="O2602" t="str"><v>Canada</v></cell><cell r="P2602" t="str"><v>Trial</v></cell><cell r="Q2602" t="str"><v>Social</v></cell><cell r="R2602" t="str"><v>Azure</v></cell><cell r="S2602" t="str"><v>Apps & Infra</v></cell><cell r="T2602" t="str"><v>Developers & ITI's</v></cell><cell r="U2602" t="str"><v>AZR</v></cell><cell r="V2602" t="str"><v>Audience Targeting</v></cell><cell r="W2602" t="str"><v>Engagement Video</v></cell><cell r="X2602" t="str"><v>1x1</v></cell></row><row r="2602"><cell r="AA2602"><v>43300</v></cell><cell r="AB2602" t="str"><v>CAN_gaPMG_AZR_AZR_Q1_19_Trial-Social</v></cell><cell r="AC2602"><v>21337220</v></cell><cell r="AD2602"><v>720192</v></cell><cell r="AE2602" t="str"><v>Facebook</v></cell><cell r="AF2602"><v>3654128</v></cell><cell r="AG2602" t="str"><v>Facebook»AZR»1x1»NA»EGV»ALL»DYN»AUT»D»All»SS»NA»Free Acc CTC - T4 - FR</v></cell><cell r="AH2602"><v>223691795</v></cell><cell r="AI2602" t="str"><v>AzurePlatform_FBCTCBenefit2inMotion_CAN_14s_ISV_PLAT_FR_Trial_Standard_STAN_TN_T4_1</v></cell><cell r="AJ2602"><v>102900688</v></cell></row><row r="2603"><cell r="C2603" t="str"><v>43300Facebook»AZR»1x1»NA»SOC»ALL»DYN»PRO»D»All»SS»NA»Canvas - Buy Now - FR</v></cell><cell r="D2603" t="str"><v>43300225322324</v></cell><cell r="E2603" t="str"><v>43300103789915w - FR</v></cell><cell r="F2603" t="str"><v>DCM</v></cell><cell r="G2603" t="str"><v>https://azure.microsoft.com/fr-ca/pricing/purchase-options/</v></cell></row><row r="2603"><cell r="K2603" t="str"><v>July</v></cell><cell r="L2603"><v>43302</v></cell><cell r="M2603" t="str"><v>Tier 1</v></cell><cell r="N2603" t="str"><v>North America</v></cell><cell r="O2603" t="str"><v>Canada</v></cell><cell r="P2603" t="str"><v>Trial</v></cell><cell r="Q2603" t="str"><v>Social</v></cell><cell r="R2603" t="str"><v>Azure</v></cell><cell r="S2603" t="str"><v>Apps & Infra</v></cell><cell r="T2603" t="str"><v>Developers & ITI's</v></cell><cell r="U2603" t="str"><v>AZR</v></cell><cell r="V2603" t="str"><v>Prospecting</v></cell><cell r="W2603" t="str"><v>Social</v></cell><cell r="X2603" t="str"><v>1x1</v></cell></row><row r="2603"><cell r="AA2603"><v>43300</v></cell><cell r="AB2603" t="str"><v>CAN_gaPMG_AZR_AZR_Q1_19_Trial-Social</v></cell><cell r="AC2603"><v>21337220</v></cell><cell r="AD2603"><v>720192</v></cell><cell r="AE2603" t="str"><v>Facebook</v></cell><cell r="AF2603"><v>3654128</v></cell><cell r="AG2603" t="str"><v>Facebook»AZR»1x1»NA»SOC»ALL»DYN»PRO»D»All»SS»NA»Canvas - Buy Now - FR</v></cell><cell r="AH2603"><v>225322324</v></cell><cell r="AI2603" t="str"><v>AzurePlatform_FBCTCcanvaspage-BuyNowCTA-Img3_CAN_1080x162_SOC_Plat_French_NA_Standard_NA_BN_T3_1</v></cell><cell r="AJ2603"><v>103789915</v></cell></row><row r="2604"><cell r="C2604" t="str"><v>43300Facebook»AZR»1x1»NA»SOC»ALL»DYN»PRO»D»All»SS»NA»Canvas - Start Free - EN</v></cell><cell r="D2604" t="str"><v>43300225252365</v></cell><cell r="E2604" t="str"><v>43300103807590e - EN</v></cell><cell r="F2604" t="str"><v>DCM</v></cell><cell r="G2604" t="str"><v>https://signup.azure.com/signup?offer=ms-azr-0044p&appId=102&ref=paidmedia-social-fb&redirectURL=https%3a%2f%2fazure.microsoft.com%2fen-ca%2fget-started%2fwelcome-to-azure%2f&l=en-ca&correlationId=ead86c34-1f10-49dd-a72b-6918462a2cbf</v></cell></row><row r="2604"><cell r="K2604" t="str"><v>July</v></cell><cell r="L2604"><v>43302</v></cell><cell r="M2604" t="str"><v>Tier 1</v></cell><cell r="N2604" t="str"><v>North America</v></cell><cell r="O2604" t="str"><v>Canada</v></cell><cell r="P2604" t="str"><v>Trial</v></cell><cell r="Q2604" t="str"><v>Social</v></cell><cell r="R2604" t="str"><v>Azure</v></cell><cell r="S2604" t="str"><v>Apps & Infra</v></cell><cell r="T2604" t="str"><v>Developers & ITI's</v></cell><cell r="U2604" t="str"><v>AZR</v></cell><cell r="V2604" t="str"><v>Prospecting</v></cell><cell r="W2604" t="str"><v>Social</v></cell><cell r="X2604" t="str"><v>1x1</v></cell></row><row r="2604"><cell r="AA2604"><v>43300</v></cell><cell r="AB2604" t="str"><v>CAN_gaPMG_AZR_AZR_Q1_19_Trial-Social</v></cell><cell r="AC2604"><v>21337220</v></cell><cell r="AD2604"><v>720192</v></cell><cell r="AE2604" t="str"><v>Facebook</v></cell><cell r="AF2604"><v>3654128</v></cell><cell r="AG2604" t="str"><v>Facebook»AZR»1x1»NA»SOC»ALL»DYN»PRO»D»All»SS»NA»Canvas - Start Free - EN</v></cell><cell r="AH2604"><v>225252365</v></cell><cell r="AI2604" t="str"><v>AzurePlatform_FBCTCcanvaspage-StartFreeCTA-Img2_CAN_1080x143 _SOC_Plat_English_NA_Standard_NA_NA_T2_1</v></cell><cell r="AJ2604"><v>103807590</v></cell></row><row r="2605"><cell r="C2605" t="str"><v>43300Facebook»AZR»1x1»NA»SOC»ALL»DYN»PRO»D»All»SS»NA»Canvas - Start Free - FR</v></cell><cell r="D2605" t="str"><v>43300225525936</v></cell><cell r="E2605" t="str"><v>43300103902551e - FR</v></cell><cell r="F2605" t="str"><v>DCM</v></cell><cell r="G2605" t="str"><v>https://signup.azure.com/signup?offer=ms-azr-0044p&appId=102&ref=paidmedia-social-fb&redirectURL=https%3a%2f%2fazure.microsoft.com%2ffr-ca%2fget-started%2fwelcome-to-azure%2f&l=fr-ca&correlationId=ead86c34-1f10-49dd-a72b-6918462a2cbf</v></cell></row><row r="2605"><cell r="K2605" t="str"><v>July</v></cell><cell r="L2605"><v>43302</v></cell><cell r="M2605" t="str"><v>Tier 1</v></cell><cell r="N2605" t="str"><v>North America</v></cell><cell r="O2605" t="str"><v>Canada</v></cell><cell r="P2605" t="str"><v>Trial</v></cell><cell r="Q2605" t="str"><v>Social</v></cell><cell r="R2605" t="str"><v>Azure</v></cell><cell r="S2605" t="str"><v>Apps & Infra</v></cell><cell r="T2605" t="str"><v>Developers & ITI's</v></cell><cell r="U2605" t="str"><v>AZR</v></cell><cell r="V2605" t="str"><v>Prospecting</v></cell><cell r="W2605" t="str"><v>Social</v></cell><cell r="X2605" t="str"><v>1x1</v></cell></row><row r="2605"><cell r="AA2605"><v>43300</v></cell><cell r="AB2605" t="str"><v>CAN_gaPMG_AZR_AZR_Q1_19_Trial-Social</v></cell><cell r="AC2605"><v>21337220</v></cell><cell r="AD2605"><v>720192</v></cell><cell r="AE2605" t="str"><v>Facebook</v></cell><cell r="AF2605"><v>3654128</v></cell><cell r="AG2605" t="str"><v>Facebook»AZR»1x1»NA»SOC»ALL»DYN»PRO»D»All»SS»NA»Canvas - Start Free - FR</v></cell><cell r="AH2605"><v>225525936</v></cell><cell r="AI2605" t="str"><v>AzurePlatform_FBCTCcanvaspage-StartFreeCTA-Img2_CAN_1080x143 _SOC_Plat_French_NA_Standard_NA_NA_T2_1</v></cell><cell r="AJ2605"><v>103902551</v></cell></row><row r="2606"><cell r="C2606" t="str"><v>43300Facebook»AZR»1x1»SocialBan»NA»ALL»DYN»AUT»D»All»SS»NA»Free Acc Refresh - T1 - EN</v></cell><cell r="D2606" t="str"><v>43300223691804</v></cell><cell r="E2606" t="str"><v>433001030587171 - EN</v></cell><cell r="F2606" t="str"><v>DCM</v></cell><cell r="G2606" t="str"><v>https://azure.microsoft.com/en-CA/free/search/</v></cell></row><row r="2606"><cell r="K2606" t="str"><v>July</v></cell><cell r="L2606"><v>43302</v></cell><cell r="M2606" t="str"><v>Tier 1</v></cell><cell r="N2606" t="str"><v>North America</v></cell><cell r="O2606" t="str"><v>Canada</v></cell><cell r="P2606" t="str"><v>Trial</v></cell><cell r="Q2606" t="str"><v>Social</v></cell><cell r="R2606" t="str"><v>Azure</v></cell><cell r="S2606" t="str"><v>Apps & Infra</v></cell><cell r="T2606" t="str"><v>Developers & ITI's</v></cell><cell r="U2606" t="str"><v>AZR</v></cell><cell r="V2606" t="str"><v>Audience Targeting</v></cell><cell r="W2606" t="str"><v>NotApplicable</v></cell><cell r="X2606" t="str"><v>1x1</v></cell></row><row r="2606"><cell r="AA2606"><v>43300</v></cell><cell r="AB2606" t="str"><v>CAN_gaPMG_AZR_AZR_Q1_19_Trial-Social</v></cell><cell r="AC2606"><v>21337220</v></cell><cell r="AD2606"><v>720192</v></cell><cell r="AE2606" t="str"><v>Facebook</v></cell><cell r="AF2606"><v>3654128</v></cell><cell r="AG2606" t="str"><v>Facebook»AZR»1x1»SocialBan»NA»ALL»DYN»AUT»D»All»SS»NA»Free Acc Refresh - T1 - EN</v></cell><cell r="AH2606"><v>223691804</v></cell><cell r="AI2606" t="str"><v>AzurePlatform_FreeAcctAppsFACEBOOKLifestyleChA_CAN_1200x628_SOC_PLAT_EN_Trial_Standard_NA_SU_T1_1.png</v></cell><cell r="AJ2606"><v>103058717</v></cell></row><row r="2607"><cell r="C2607" t="str"><v>43300Facebook»AZR»1x1»SocialBan»NA»ALL»DYN»AUT»D»All»SS»NA»Free Acc Refresh - T2 - FR</v></cell><cell r="D2607" t="str"><v>43300223691768</v></cell><cell r="E2607" t="str"><v>433001029029712 - FR</v></cell><cell r="F2607" t="str"><v>DCM</v></cell><cell r="G2607" t="str"><v>https://azure.microsoft.com/fr-ca/free/search/</v></cell></row><row r="2607"><cell r="K2607" t="str"><v>July</v></cell><cell r="L2607"><v>43302</v></cell><cell r="M2607" t="str"><v>Tier 1</v></cell><cell r="N2607" t="str"><v>North America</v></cell><cell r="O2607" t="str"><v>Canada</v></cell><cell r="P2607" t="str"><v>Trial</v></cell><cell r="Q2607" t="str"><v>Social</v></cell><cell r="R2607" t="str"><v>Azure</v></cell><cell r="S2607" t="str"><v>Apps & Infra</v></cell><cell r="T2607" t="str"><v>Developers & ITI's</v></cell><cell r="U2607" t="str"><v>AZR</v></cell><cell r="V2607" t="str"><v>Audience Targeting</v></cell><cell r="W2607" t="str"><v>NotApplicable</v></cell><cell r="X2607" t="str"><v>1x1</v></cell></row><row r="2607"><cell r="AA2607"><v>43300</v></cell><cell r="AB2607" t="str"><v>CAN_gaPMG_AZR_AZR_Q1_19_Trial-Social</v></cell><cell r="AC2607"><v>21337220</v></cell><cell r="AD2607"><v>720192</v></cell><cell r="AE2607" t="str"><v>Facebook</v></cell><cell r="AF2607"><v>3654128</v></cell><cell r="AG2607" t="str"><v>Facebook»AZR»1x1»SocialBan»NA»ALL»DYN»AUT»D»All»SS»NA»Free Acc Refresh - T2 - FR</v></cell><cell r="AH2607"><v>223691768</v></cell><cell r="AI2607" t="str"><v>AzurePlatform_FreeAcctAppsFACEBOOKDeviceChB_CAN_1200x628_SOC_PLAT_FR_Trial_Standard_NA_SU_T2_1.png</v></cell><cell r="AJ2607"><v>102902971</v></cell></row><row r="2608"><cell r="C2608" t="str"><v>43300Facebook»AZR»1x1»SocialBan»NA»ALL»DYN»AUT»D»All»SS»NA»Free Acc Refresh - T3 - EN</v></cell><cell r="D2608" t="str"><v>43300223691807</v></cell><cell r="E2608" t="str"><v>433001029006853 - EN</v></cell><cell r="F2608" t="str"><v>DCM</v></cell><cell r="G2608" t="str"><v>https://azure.microsoft.com/en-CA/free/search/</v></cell></row><row r="2608"><cell r="K2608" t="str"><v>July</v></cell><cell r="L2608"><v>43302</v></cell><cell r="M2608" t="str"><v>Tier 1</v></cell><cell r="N2608" t="str"><v>North America</v></cell><cell r="O2608" t="str"><v>Canada</v></cell><cell r="P2608" t="str"><v>Trial</v></cell><cell r="Q2608" t="str"><v>Social</v></cell><cell r="R2608" t="str"><v>Azure</v></cell><cell r="S2608" t="str"><v>Apps & Infra</v></cell><cell r="T2608" t="str"><v>Developers & ITI's</v></cell><cell r="U2608" t="str"><v>AZR</v></cell><cell r="V2608" t="str"><v>Audience Targeting</v></cell><cell r="W2608" t="str"><v>NotApplicable</v></cell><cell r="X2608" t="str"><v>1x1</v></cell></row><row r="2608"><cell r="AA2608"><v>43300</v></cell><cell r="AB2608" t="str"><v>CAN_gaPMG_AZR_AZR_Q1_19_Trial-Social</v></cell><cell r="AC2608"><v>21337220</v></cell><cell r="AD2608"><v>720192</v></cell><cell r="AE2608" t="str"><v>Facebook</v></cell><cell r="AF2608"><v>3654128</v></cell><cell r="AG2608" t="str"><v>Facebook»AZR»1x1»SocialBan»NA»ALL»DYN»AUT»D»All»SS»NA»Free Acc Refresh - T3 - EN</v></cell><cell r="AH2608"><v>223691807</v></cell><cell r="AI2608" t="str"><v>AzurePlatform_FreeAcctAppsFACEBOOKIllustrationChC_CAN_1200x628_SOC_PLAT_EN_Trial_Standard_NA_SU_T3_1.png</v></cell><cell r="AJ2608"><v>102900685</v></cell></row><row r="2609"><cell r="C2609" t="str"><v>43300Facebook»AZR»1x1»SocialBan»NA»ALL»DYN»AUT»D»All»SS»NA»Free Acc Refresh - T3 - FR</v></cell><cell r="D2609" t="str"><v>43300223691765</v></cell><cell r="E2609" t="str"><v>433001030533323 - FR</v></cell><cell r="F2609" t="str"><v>DCM</v></cell><cell r="G2609" t="str"><v>https://azure.microsoft.com/fr-ca/free/search/</v></cell></row><row r="2609"><cell r="K2609" t="str"><v>July</v></cell><cell r="L2609"><v>43302</v></cell><cell r="M2609" t="str"><v>Tier 1</v></cell><cell r="N2609" t="str"><v>North America</v></cell><cell r="O2609" t="str"><v>Canada</v></cell><cell r="P2609" t="str"><v>Trial</v></cell><cell r="Q2609" t="str"><v>Social</v></cell><cell r="R2609" t="str"><v>Azure</v></cell><cell r="S2609" t="str"><v>Apps & Infra</v></cell><cell r="T2609" t="str"><v>Developers & ITI's</v></cell><cell r="U2609" t="str"><v>AZR</v></cell><cell r="V2609" t="str"><v>Audience Targeting</v></cell><cell r="W2609" t="str"><v>NotApplicable</v></cell><cell r="X2609" t="str"><v>1x1</v></cell></row><row r="2609"><cell r="AA2609"><v>43300</v></cell><cell r="AB2609" t="str"><v>CAN_gaPMG_AZR_AZR_Q1_19_Trial-Social</v></cell><cell r="AC2609"><v>21337220</v></cell><cell r="AD2609"><v>720192</v></cell><cell r="AE2609" t="str"><v>Facebook</v></cell><cell r="AF2609"><v>3654128</v></cell><cell r="AG2609" t="str"><v>Facebook»AZR»1x1»SocialBan»NA»ALL»DYN»AUT»D»All»SS»NA»Free Acc Refresh - T3 - FR</v></cell><cell r="AH2609"><v>223691765</v></cell><cell r="AI2609" t="str"><v>AzurePlatform_FreeAcctAppsFACEBOOKIllustrationChC_CAN_1200x628_SOC_PLAT_FR_Trial_Standard_NA_SU_T3_1.png</v></cell><cell r="AJ2609"><v>103053332</v></cell></row><row r="2610"><cell r="C2610" t="str"><v>43300Facebook»AZR»1x1»SocialBan»NA»ALL»DYN»AUT»D»All»SS»NA»Free Acc Refresh - T4 - EN</v></cell><cell r="D2610" t="str"><v>43300223691813</v></cell><cell r="E2610" t="str"><v>433001030533204 - EN</v></cell><cell r="F2610" t="str"><v>DCM</v></cell><cell r="G2610" t="str"><v>https://azure.microsoft.com/en-CA/free/search/</v></cell></row><row r="2610"><cell r="K2610" t="str"><v>July</v></cell><cell r="L2610"><v>43302</v></cell><cell r="M2610" t="str"><v>Tier 1</v></cell><cell r="N2610" t="str"><v>North America</v></cell><cell r="O2610" t="str"><v>Canada</v></cell><cell r="P2610" t="str"><v>Trial</v></cell><cell r="Q2610" t="str"><v>Social</v></cell><cell r="R2610" t="str"><v>Azure</v></cell><cell r="S2610" t="str"><v>Apps & Infra</v></cell><cell r="T2610" t="str"><v>Developers & ITI's</v></cell><cell r="U2610" t="str"><v>AZR</v></cell><cell r="V2610" t="str"><v>Audience Targeting</v></cell><cell r="W2610" t="str"><v>NotApplicable</v></cell><cell r="X2610" t="str"><v>1x1</v></cell></row><row r="2610"><cell r="AA2610"><v>43300</v></cell><cell r="AB2610" t="str"><v>CAN_gaPMG_AZR_AZR_Q1_19_Trial-Social</v></cell><cell r="AC2610"><v>21337220</v></cell><cell r="AD2610"><v>720192</v></cell><cell r="AE2610" t="str"><v>Facebook</v></cell><cell r="AF2610"><v>3654128</v></cell><cell r="AG2610" t="str"><v>Facebook»AZR»1x1»SocialBan»NA»ALL»DYN»AUT»D»All»SS»NA»Free Acc Refresh - T4 - EN</v></cell><cell r="AH2610"><v>223691813</v></cell><cell r="AI2610" t="str"><v>AzurePlatform_FreeAcctAppsFACEBOOK200CreditChD_CAN_1200x628_SOC_PLAT_EN_Trial_Standard_NA_SU_T4_1.png</v></cell><cell r="AJ2610"><v>103053320</v></cell></row><row r="2611"><cell r="C2611" t="str"><v>43300Facebook»AZR»1x1»SocialBan»NA»ALL»DYN»AUT»D»All»SS»NA»Free Acc Refresh - T4 - FR</v></cell><cell r="D2611" t="str"><v>43300223691771</v></cell><cell r="E2611" t="str"><v>433001029029684 - FR</v></cell><cell r="F2611" t="str"><v>DCM</v></cell><cell r="G2611" t="str"><v>https://azure.microsoft.com/fr-ca/free/search/</v></cell></row><row r="2611"><cell r="K2611" t="str"><v>July</v></cell><cell r="L2611"><v>43302</v></cell><cell r="M2611" t="str"><v>Tier 1</v></cell><cell r="N2611" t="str"><v>North America</v></cell><cell r="O2611" t="str"><v>Canada</v></cell><cell r="P2611" t="str"><v>Trial</v></cell><cell r="Q2611" t="str"><v>Social</v></cell><cell r="R2611" t="str"><v>Azure</v></cell><cell r="S2611" t="str"><v>Apps & Infra</v></cell><cell r="T2611" t="str"><v>Developers & ITI's</v></cell><cell r="U2611" t="str"><v>AZR</v></cell><cell r="V2611" t="str"><v>Audience Targeting</v></cell><cell r="W2611" t="str"><v>NotApplicable</v></cell><cell r="X2611" t="str"><v>1x1</v></cell></row><row r="2611"><cell r="AA2611"><v>43300</v></cell><cell r="AB2611" t="str"><v>CAN_gaPMG_AZR_AZR_Q1_19_Trial-Social</v></cell><cell r="AC2611"><v>21337220</v></cell><cell r="AD2611"><v>720192</v></cell><cell r="AE2611" t="str"><v>Facebook</v></cell><cell r="AF2611"><v>3654128</v></cell><cell r="AG2611" t="str"><v>Facebook»AZR»1x1»SocialBan»NA»ALL»DYN»AUT»D»All»SS»NA»Free Acc Refresh - T4 - FR</v></cell><cell r="AH2611"><v>223691771</v></cell><cell r="AI2611" t="str"><v>AzurePlatform_FreeAcctAppsFACEBOOK200CreditChD_CAN_1200x628_SOC_PLAT_FR_Trial_Standard_NA_SU_T4_1.png</v></cell><cell r="AJ2611"><v>102902968</v></cell></row><row r="2612"><cell r="C2612" t="str"><v>43300Facebook»AZR»1x1»SocialBan»NA»ALL»DYN»AUT»D»All»SS»NA»Free Acc Refresh - T5 - EN</v></cell><cell r="D2612" t="str"><v>43300223691816</v></cell><cell r="E2612" t="str"><v>433001029163415 - EN</v></cell><cell r="F2612" t="str"><v>DCM</v></cell><cell r="G2612" t="str"><v>https://azure.microsoft.com/en-CA/free/search/</v></cell></row><row r="2612"><cell r="K2612" t="str"><v>July</v></cell><cell r="L2612"><v>43302</v></cell><cell r="M2612" t="str"><v>Tier 1</v></cell><cell r="N2612" t="str"><v>North America</v></cell><cell r="O2612" t="str"><v>Canada</v></cell><cell r="P2612" t="str"><v>Trial</v></cell><cell r="Q2612" t="str"><v>Social</v></cell><cell r="R2612" t="str"><v>Azure</v></cell><cell r="S2612" t="str"><v>Apps & Infra</v></cell><cell r="T2612" t="str"><v>Developers & ITI's</v></cell><cell r="U2612" t="str"><v>AZR</v></cell><cell r="V2612" t="str"><v>Audience Targeting</v></cell><cell r="W2612" t="str"><v>NotApplicable</v></cell><cell r="X2612" t="str"><v>1x1</v></cell></row><row r="2612"><cell r="AA2612"><v>43300</v></cell><cell r="AB2612" t="str"><v>CAN_gaPMG_AZR_AZR_Q1_19_Trial-Social</v></cell><cell r="AC2612"><v>21337220</v></cell><cell r="AD2612"><v>720192</v></cell><cell r="AE2612" t="str"><v>Facebook</v></cell><cell r="AF2612"><v>3654128</v></cell><cell r="AG2612" t="str"><v>Facebook»AZR»1x1»SocialBan»NA»ALL»DYN»AUT»D»All»SS»NA»Free Acc Refresh - T5 - EN</v></cell><cell r="AH2612"><v>223691816</v></cell><cell r="AI2612" t="str"><v>AzurePlatform_FreeAcctAppsFACEBOOK12monthsChE_CAN_1200x628_SOC_PLAT_EN_Trial_Standard_NA_SU_T5_1.png</v></cell><cell r="AJ2612"><v>102916341</v></cell></row><row r="2613"><cell r="C2613" t="str"><v>43300Facebook»AZR»1x1»SocialBan»NA»ALL»DYN»AUT»D»All»SS»NA»Free Acc Refresh - T5 - FR</v></cell><cell r="D2613" t="str"><v>43300223691774</v></cell><cell r="E2613" t="str"><v>433001029163565 - FR</v></cell><cell r="F2613" t="str"><v>DCM</v></cell><cell r="G2613" t="str"><v>https://azure.microsoft.com/fr-ca/free/search/</v></cell></row><row r="2613"><cell r="K2613" t="str"><v>July</v></cell><cell r="L2613"><v>43302</v></cell><cell r="M2613" t="str"><v>Tier 1</v></cell><cell r="N2613" t="str"><v>North America</v></cell><cell r="O2613" t="str"><v>Canada</v></cell><cell r="P2613" t="str"><v>Trial</v></cell><cell r="Q2613" t="str"><v>Social</v></cell><cell r="R2613" t="str"><v>Azure</v></cell><cell r="S2613" t="str"><v>Apps & Infra</v></cell><cell r="T2613" t="str"><v>Developers & ITI's</v></cell><cell r="U2613" t="str"><v>AZR</v></cell><cell r="V2613" t="str"><v>Audience Targeting</v></cell><cell r="W2613" t="str"><v>NotApplicable</v></cell><cell r="X2613" t="str"><v>1x1</v></cell></row><row r="2613"><cell r="AA2613"><v>43300</v></cell><cell r="AB2613" t="str"><v>CAN_gaPMG_AZR_AZR_Q1_19_Trial-Social</v></cell><cell r="AC2613"><v>21337220</v></cell><cell r="AD2613"><v>720192</v></cell><cell r="AE2613" t="str"><v>Facebook</v></cell><cell r="AF2613"><v>3654128</v></cell><cell r="AG2613" t="str"><v>Facebook»AZR»1x1»SocialBan»NA»ALL»DYN»AUT»D»All»SS»NA»Free Acc Refresh - T5 - FR</v></cell><cell r="AH2613"><v>223691774</v></cell><cell r="AI2613" t="str"><v>AzurePlatform_FreeAcctAppsFACEBOOK12monthsChE_CAN_1200x628_SOC_PLAT_FR_Trial_Standard_NA_SU_T5_1.png</v></cell><cell r="AJ2613"><v>102916356</v></cell></row><row r="2614"><cell r="C2614" t="str"><v>43300Facebook»AZR»1x1»SocialBan»NA»ALL»DYN»RT»D»All»SS»NA» Free Account Retargeting OSS - T2 - FR</v></cell><cell r="D2614" t="str"><v>43300223691789</v></cell><cell r="E2614" t="str"><v>433001029006912 - FR</v></cell><cell r="F2614" t="str"><v>DCM</v></cell><cell r="G2614" t="str"><v>https://azure.microsoft.com/fr-ca/free/open-source/search/</v></cell></row><row r="2614"><cell r="K2614" t="str"><v>July</v></cell><cell r="L2614"><v>43302</v></cell><cell r="M2614" t="str"><v>Tier 1</v></cell><cell r="N2614" t="str"><v>North America</v></cell><cell r="O2614" t="str"><v>Canada</v></cell><cell r="P2614" t="str"><v>Trial</v></cell><cell r="Q2614" t="str"><v>Social</v></cell><cell r="R2614" t="str"><v>Azure</v></cell><cell r="S2614" t="str"><v>Apps & Infra</v></cell><cell r="T2614" t="str"><v>Developers & ITI's</v></cell><cell r="U2614" t="str"><v>AZR</v></cell><cell r="V2614" t="str"><v>Retargeting</v></cell><cell r="W2614" t="str"><v>NotApplicable</v></cell><cell r="X2614" t="str"><v>1x1</v></cell></row><row r="2614"><cell r="AA2614"><v>43300</v></cell><cell r="AB2614" t="str"><v>CAN_gaPMG_AZR_AZR_Q1_19_Trial-Social</v></cell><cell r="AC2614"><v>21337220</v></cell><cell r="AD2614"><v>720192</v></cell><cell r="AE2614" t="str"><v>Facebook</v></cell><cell r="AF2614"><v>3654128</v></cell><cell r="AG2614" t="str"><v>Facebook»AZR»1x1»SocialBan»NA»ALL»DYN»RT»D»All»SS»NA» Free Account Retargeting OSS - T2 - FR</v></cell><cell r="AH2614"><v>223691789</v></cell><cell r="AI2614" t="str"><v>AzurePlatform_FreeAcctRetargetingOSSFB-Logos-ChG_CAN_1200x628_SOC_Plat_FR_Free Account_Standard_NA_SU_T2_1</v></cell><cell r="AJ2614"><v>102900691</v></cell></row><row r="2615"><cell r="C2615" t="str"><v>43300Facebook»AZR»1x1»SocialBan»NA»ALL»DYN»RT»D»All»SS»NA»Free Account Retargeting Generic - T2 - EN</v></cell><cell r="D2615" t="str"><v>43300223691834</v></cell><cell r="E2615" t="str"><v>433001029029532 - EN</v></cell><cell r="F2615" t="str"><v>DCM</v></cell><cell r="G2615" t="str"><v>https://azure.microsoft.com/en-CA/free/search/</v></cell></row><row r="2615"><cell r="K2615" t="str"><v>July</v></cell><cell r="L2615"><v>43302</v></cell><cell r="M2615" t="str"><v>Tier 1</v></cell><cell r="N2615" t="str"><v>North America</v></cell><cell r="O2615" t="str"><v>Canada</v></cell><cell r="P2615" t="str"><v>Trial</v></cell><cell r="Q2615" t="str"><v>Social</v></cell><cell r="R2615" t="str"><v>Azure</v></cell><cell r="S2615" t="str"><v>Apps & Infra</v></cell><cell r="T2615" t="str"><v>Developers & ITI's</v></cell><cell r="U2615" t="str"><v>AZR</v></cell><cell r="V2615" t="str"><v>Retargeting</v></cell><cell r="W2615" t="str"><v>NotApplicable</v></cell><cell r="X2615" t="str"><v>1x1</v></cell></row><row r="2615"><cell r="AA2615"><v>43300</v></cell><cell r="AB2615" t="str"><v>CAN_gaPMG_AZR_AZR_Q1_19_Trial-Social</v></cell><cell r="AC2615"><v>21337220</v></cell><cell r="AD2615"><v>720192</v></cell><cell r="AE2615" t="str"><v>Facebook</v></cell><cell r="AF2615"><v>3654128</v></cell><cell r="AG2615" t="str"><v>Facebook»AZR»1x1»SocialBan»NA»ALL»DYN»RT»D»All»SS»NA»Free Account Retargeting Generic - T2 - EN</v></cell><cell r="AH2615"><v>223691834</v></cell><cell r="AI2615" t="str"><v>AzurePlatform_FreeAcctRetargetingFB-GlobalAlt-ChB_CAN_1200x628_SOC_Plat_EN_Free Account_Standard_NA_SU_T2_1</v></cell><cell r="AJ2615"><v>102902953</v></cell></row><row r="2616"><cell r="C2616" t="str"><v>43300Facebook»AZR»1x1»SocialBan»NA»ALL»DYN»RT»D»All»SS»NA»Free Account Retargeting Generic - T3 - FR</v></cell><cell r="D2616" t="str"><v>43300223691777</v></cell><cell r="E2616" t="str"><v>433001029006973 - FR</v></cell><cell r="F2616" t="str"><v>DCM</v></cell><cell r="G2616" t="str"><v>https://azure.microsoft.com/fr-ca/free/search/</v></cell></row><row r="2616"><cell r="K2616" t="str"><v>July</v></cell><cell r="L2616"><v>43302</v></cell><cell r="M2616" t="str"><v>Tier 1</v></cell><cell r="N2616" t="str"><v>North America</v></cell><cell r="O2616" t="str"><v>Canada</v></cell><cell r="P2616" t="str"><v>Trial</v></cell><cell r="Q2616" t="str"><v>Social</v></cell><cell r="R2616" t="str"><v>Azure</v></cell><cell r="S2616" t="str"><v>Apps & Infra</v></cell><cell r="T2616" t="str"><v>Developers & ITI's</v></cell><cell r="U2616" t="str"><v>AZR</v></cell><cell r="V2616" t="str"><v>Retargeting</v></cell><cell r="W2616" t="str"><v>NotApplicable</v></cell><cell r="X2616" t="str"><v>1x1</v></cell></row><row r="2616"><cell r="AA2616"><v>43300</v></cell><cell r="AB2616" t="str"><v>CAN_gaPMG_AZR_AZR_Q1_19_Trial-Social</v></cell><cell r="AC2616"><v>21337220</v></cell><cell r="AD2616"><v>720192</v></cell><cell r="AE2616" t="str"><v>Facebook</v></cell><cell r="AF2616"><v>3654128</v></cell><cell r="AG2616" t="str"><v>Facebook»AZR»1x1»SocialBan»NA»ALL»DYN»RT»D»All»SS»NA»Free Account Retargeting Generic - T3 - FR</v></cell><cell r="AH2616"><v>223691777</v></cell><cell r="AI2616" t="str"><v>AzurePlatform_FreeAcctRetargetingFB-Animated-ChC_CAN_1200x628_SOC_Plat_FR_Free Account_Standard_ANI_SU_T3_1</v></cell><cell r="AJ2616"><v>102900697</v></cell></row><row r="2617"><cell r="C2617" t="str"><v>43300Facebook»AZR»1x1»SocialBan»NA»ALL»DYN»RT»D»All»SS»NA»Free Account Retargeting VM - T1 - EN</v></cell><cell r="D2617" t="str"><v>43300223691825</v></cell><cell r="E2617" t="str"><v>433001029163381 - EN</v></cell><cell r="F2617" t="str"><v>DCM</v></cell><cell r="G2617" t="str"><v>https://azure.microsoft.com/en-ca/free/virtual-machines/search/</v></cell></row><row r="2617"><cell r="K2617" t="str"><v>July</v></cell><cell r="L2617"><v>43302</v></cell><cell r="M2617" t="str"><v>Tier 1</v></cell><cell r="N2617" t="str"><v>North America</v></cell><cell r="O2617" t="str"><v>Canada</v></cell><cell r="P2617" t="str"><v>Trial</v></cell><cell r="Q2617" t="str"><v>Social</v></cell><cell r="R2617" t="str"><v>Azure</v></cell><cell r="S2617" t="str"><v>Apps & Infra</v></cell><cell r="T2617" t="str"><v>Developers & ITI's</v></cell><cell r="U2617" t="str"><v>AZR</v></cell><cell r="V2617" t="str"><v>Retargeting</v></cell><cell r="W2617" t="str"><v>NotApplicable</v></cell><cell r="X2617" t="str"><v>1x1</v></cell></row><row r="2617"><cell r="AA2617"><v>43300</v></cell><cell r="AB2617" t="str"><v>CAN_gaPMG_AZR_AZR_Q1_19_Trial-Social</v></cell><cell r="AC2617"><v>21337220</v></cell><cell r="AD2617"><v>720192</v></cell><cell r="AE2617" t="str"><v>Facebook</v></cell><cell r="AF2617"><v>3654128</v></cell><cell r="AG2617" t="str"><v>Facebook»AZR»1x1»SocialBan»NA»ALL»DYN»RT»D»All»SS»NA»Free Account Retargeting VM - T1 - EN</v></cell><cell r="AH2617"><v>223691825</v></cell><cell r="AI2617" t="str"><v>AzurePlatform_FreeAcctRetargetingVMFB-750Hrs-ChD_CAN_1200x628_SOC_Plat_EN_Free Account_Standard_NA_SU_T1_1</v></cell><cell r="AJ2617"><v>102916338</v></cell></row><row r="2618"><cell r="C2618" t="str"><v>43300Facebook»AZR»1x1»SocialBan»NA»ALL»DYN»RT»D»All»SS»NA»Free Account Retargeting VM - T1 - FR</v></cell><cell r="D2618" t="str"><v>43300223691783</v></cell><cell r="E2618" t="str"><v>433001030587231 - FR</v></cell><cell r="F2618" t="str"><v>DCM</v></cell><cell r="G2618" t="str"><v>https://azure.microsoft.com/fr-ca/free/virtual-machines/search/</v></cell></row><row r="2618"><cell r="K2618" t="str"><v>July</v></cell><cell r="L2618"><v>43302</v></cell><cell r="M2618" t="str"><v>Tier 1</v></cell><cell r="N2618" t="str"><v>North America</v></cell><cell r="O2618" t="str"><v>Canada</v></cell><cell r="P2618" t="str"><v>Trial</v></cell><cell r="Q2618" t="str"><v>Social</v></cell><cell r="R2618" t="str"><v>Azure</v></cell><cell r="S2618" t="str"><v>Apps & Infra</v></cell><cell r="T2618" t="str"><v>Developers & ITI's</v></cell><cell r="U2618" t="str"><v>AZR</v></cell><cell r="V2618" t="str"><v>Retargeting</v></cell><cell r="W2618" t="str"><v>NotApplicable</v></cell><cell r="X2618" t="str"><v>1x1</v></cell></row><row r="2618"><cell r="AA2618"><v>43300</v></cell><cell r="AB2618" t="str"><v>CAN_gaPMG_AZR_AZR_Q1_19_Trial-Social</v></cell><cell r="AC2618"><v>21337220</v></cell><cell r="AD2618"><v>720192</v></cell><cell r="AE2618" t="str"><v>Facebook</v></cell><cell r="AF2618"><v>3654128</v></cell><cell r="AG2618" t="str"><v>Facebook»AZR»1x1»SocialBan»NA»ALL»DYN»RT»D»All»SS»NA»Free Account Retargeting VM - T1 - FR</v></cell><cell r="AH2618"><v>223691783</v></cell><cell r="AI2618" t="str"><v>AzurePlatform_FreeAcctRetargetingVMFB-750Hrs-ChD_CAN_1200x628_SOC_Plat_FR_Free Account_Standard_NA_SU_T1_1</v></cell><cell r="AJ2618"><v>103058723</v></cell></row><row r="2619"><cell r="C2619" t="str"><v>43300Facebook»AZR»1x1»SocialBan»NA»ALL»DYN»RT»D»All»SS»NA»Free Account Retargeting VM - T2 - EN</v></cell><cell r="D2619" t="str"><v>43300223691822</v></cell><cell r="E2619" t="str"><v>433001030587082 - EN</v></cell><cell r="F2619" t="str"><v>DCM</v></cell><cell r="G2619" t="str"><v>https://azure.microsoft.com/en-ca/free/virtual-machines/search/</v></cell></row><row r="2619"><cell r="K2619" t="str"><v>July</v></cell><cell r="L2619"><v>43302</v></cell><cell r="M2619" t="str"><v>Tier 1</v></cell><cell r="N2619" t="str"><v>North America</v></cell><cell r="O2619" t="str"><v>Canada</v></cell><cell r="P2619" t="str"><v>Trial</v></cell><cell r="Q2619" t="str"><v>Social</v></cell><cell r="R2619" t="str"><v>Azure</v></cell><cell r="S2619" t="str"><v>Apps & Infra</v></cell><cell r="T2619" t="str"><v>Developers & ITI's</v></cell><cell r="U2619" t="str"><v>AZR</v></cell><cell r="V2619" t="str"><v>Retargeting</v></cell><cell r="W2619" t="str"><v>NotApplicable</v></cell><cell r="X2619" t="str"><v>1x1</v></cell></row><row r="2619"><cell r="AA2619"><v>43300</v></cell><cell r="AB2619" t="str"><v>CAN_gaPMG_AZR_AZR_Q1_19_Trial-Social</v></cell><cell r="AC2619"><v>21337220</v></cell><cell r="AD2619"><v>720192</v></cell><cell r="AE2619" t="str"><v>Facebook</v></cell><cell r="AF2619"><v>3654128</v></cell><cell r="AG2619" t="str"><v>Facebook»AZR»1x1»SocialBan»NA»ALL»DYN»RT»D»All»SS»NA»Free Account Retargeting VM - T2 - EN</v></cell><cell r="AH2619"><v>223691822</v></cell><cell r="AI2619" t="str"><v>AzurePlatform_FreeAcctRetargetingVMFB-OnDemand-ChE_CAN_1200x628_SOC_Plat_EN_Free Account_Standard_NA_SU_T2_1</v></cell><cell r="AJ2619"><v>103058708</v></cell></row><row r="2620"><cell r="C2620" t="str"><v>43300Facebook»DEV-ITP-AZR-FB|CanvasAds|Interesttargeting»1x1»TextLink»CAN»DT»CPM»AUT»W»NA»SS»NA»39684020-11000</v></cell><cell r="D2620" t="str"><v>43300224009494</v></cell><cell r="E2620" t="str"><v>43300103235787-11000</v></cell><cell r="F2620" t="str"><v>DCM</v></cell><cell r="G2620" t="str"><v>https://azure.microsoft.com/de-de/pricing/purchase-options/</v></cell></row><row r="2620"><cell r="K2620" t="str"><v>July</v></cell><cell r="L2620"><v>43302</v></cell><cell r="M2620" t="str"><v>Tier 1</v></cell><cell r="N2620" t="str"><v>EMEA</v></cell><cell r="O2620" t="str"><v>Germany</v></cell><cell r="P2620" t="str"><v>Trial</v></cell><cell r="Q2620" t="str"><v>Social</v></cell><cell r="R2620" t="str"><v>Azure</v></cell><cell r="S2620" t="str"><v>Apps & Infra</v></cell><cell r="T2620" t="str"><v>Developers & ITI's</v></cell><cell r="U2620" t="str"><v>DEV-ITP-AZR-FB|CanvasAds|Interesttargeting</v></cell><cell r="V2620" t="str"><v>Audience Targeting</v></cell><cell r="W2620" t="str"><v>Canvas Ad</v></cell><cell r="X2620" t="str"><v>1x1</v></cell></row><row r="2620"><cell r="AA2620"><v>43300</v></cell><cell r="AB2620" t="str"><v>DEU_gaPMG_AZR_AZR_Q1_19_Trial-Social- 39684</v></cell><cell r="AC2620"><v>21359477</v></cell><cell r="AD2620"><v>720194</v></cell><cell r="AE2620" t="str"><v>Facebook</v></cell><cell r="AF2620"><v>3654128</v></cell><cell r="AG2620" t="str"><v>Facebook»DEV-ITP-AZR-FB|CanvasAds|Interesttargeting»1x1»TextLink»CAN»DT»CPM»AUT»W»NA»SS»NA»39684020-11000</v></cell><cell r="AH2620"><v>224009494</v></cell><cell r="AI2620" t="str"><v>AzurePlatform_FBCTCBasicMotion-BuyNow_DEU_10s_ISV_PLAT_DE_Trial_Standard_STAN_TN_T1_1</v></cell><cell r="AJ2620"><v>103235787</v></cell></row><row r="2621"><cell r="C2621" t="str"><v>43300Facebook»DEV-ITP-AZR-FB|CanvasAds|Interesttargeting»1x1»TextLink»CAN»DT»CPM»AUT»W»NA»SS»NA»39684020-11000</v></cell><cell r="D2621" t="str"><v>43300224009494</v></cell><cell r="E2621" t="str"><v>43300103236186-11000</v></cell><cell r="F2621" t="str"><v>DCM</v></cell><cell r="G2621" t="str"><v>https://signup.azure.com/signup?offer=ms-azr-0044p&appId=102&ref=paidmedia-social-fb&redirectURL=https%3a%2f%2fazure.microsoft.com%2fde-de%2fget-started%2fwelcome-to-azure%2f&l=de-de&correlationId=ead86c34-1f10-49dd-a72b-6918462a2cbf</v></cell></row><row r="2621"><cell r="K2621" t="str"><v>July</v></cell><cell r="L2621"><v>43302</v></cell><cell r="M2621" t="str"><v>Tier 1</v></cell><cell r="N2621" t="str"><v>EMEA</v></cell><cell r="O2621" t="str"><v>Germany</v></cell><cell r="P2621" t="str"><v>Trial</v></cell><cell r="Q2621" t="str"><v>Social</v></cell><cell r="R2621" t="str"><v>Azure</v></cell><cell r="S2621" t="str"><v>Apps & Infra</v></cell><cell r="T2621" t="str"><v>Developers & ITI's</v></cell><cell r="U2621" t="str"><v>DEV-ITP-AZR-FB|CanvasAds|Interesttargeting</v></cell><cell r="V2621" t="str"><v>Audience Targeting</v></cell><cell r="W2621" t="str"><v>Canvas Ad</v></cell><cell r="X2621" t="str"><v>1x1</v></cell></row><row r="2621"><cell r="AA2621"><v>43300</v></cell><cell r="AB2621" t="str"><v>DEU_gaPMG_AZR_AZR_Q1_19_Trial-Social- 39684</v></cell><cell r="AC2621"><v>21359477</v></cell><cell r="AD2621"><v>720194</v></cell><cell r="AE2621" t="str"><v>Facebook</v></cell><cell r="AF2621"><v>3654128</v></cell><cell r="AG2621" t="str"><v>Facebook»DEV-ITP-AZR-FB|CanvasAds|Interesttargeting»1x1»TextLink»CAN»DT»CPM»AUT»W»NA»SS»NA»39684020-11000</v></cell><cell r="AH2621"><v>224009494</v></cell><cell r="AI2621" t="str"><v>AzurePlatform_FBCTCBasicMotion-StartFreeCT_DEU_10s_ISV_PLAT_DE_Trial_Standard_STAN_TN_T1_1</v></cell><cell r="AJ2621"><v>103236186</v></cell></row><row r="2622"><cell r="C2622" t="str"><v>43300Facebook»DEV-ITP-AZR-FB|CanvasAds|Interesttargeting»1x1»TextLink»CAN»DT»CPM»AUT»W»NA»SS»NA»39684020-11000</v></cell><cell r="D2622" t="str"><v>43300224009494</v></cell><cell r="E2622" t="str"><v>43300103237290-11000</v></cell><cell r="F2622" t="str"><v>DCM</v></cell><cell r="G2622" t="str"><v>https://signup.azure.com/signup?offer=ms-azr-0044p&appId=102&ref=paidmedia-social-fb&redirectURL=https%3a%2f%2fazure.microsoft.com%2fde-de%2fget-started%2fwelcome-to-azure%2f&l=de-de&correlationId=ead86c34-1f10-49dd-a72b-6918462a2cbf</v></cell></row><row r="2622"><cell r="K2622" t="str"><v>July</v></cell><cell r="L2622"><v>43302</v></cell><cell r="M2622" t="str"><v>Tier 1</v></cell><cell r="N2622" t="str"><v>EMEA</v></cell><cell r="O2622" t="str"><v>Germany</v></cell><cell r="P2622" t="str"><v>Trial</v></cell><cell r="Q2622" t="str"><v>Social</v></cell><cell r="R2622" t="str"><v>Azure</v></cell><cell r="S2622" t="str"><v>Apps & Infra</v></cell><cell r="T2622" t="str"><v>Developers & ITI's</v></cell><cell r="U2622" t="str"><v>DEV-ITP-AZR-FB|CanvasAds|Interesttargeting</v></cell><cell r="V2622" t="str"><v>Audience Targeting</v></cell><cell r="W2622" t="str"><v>Canvas Ad</v></cell><cell r="X2622" t="str"><v>1x1</v></cell></row><row r="2622"><cell r="AA2622"><v>43300</v></cell><cell r="AB2622" t="str"><v>DEU_gaPMG_AZR_AZR_Q1_19_Trial-Social- 39684</v></cell><cell r="AC2622"><v>21359477</v></cell><cell r="AD2622"><v>720194</v></cell><cell r="AE2622" t="str"><v>Facebook</v></cell><cell r="AF2622"><v>3654128</v></cell><cell r="AG2622" t="str"><v>Facebook»DEV-ITP-AZR-FB|CanvasAds|Interesttargeting»1x1»TextLink»CAN»DT»CPM»AUT»W»NA»SS»NA»39684020-11000</v></cell><cell r="AH2622"><v>224009494</v></cell><cell r="AI2622" t="str"><v>AzurePlatform_FBCTCBenefit2inMotion-StartFreeCT_DEU_14s_ISV_PLAT_DE_Trial_Standard_STAN_TN_T4_1</v></cell><cell r="AJ2622"><v>103237290</v></cell></row><row r="2623"><cell r="C2623" t="str"><v>43300Facebook»DEV-ITP-AZR-FB|CanvasAds|Interesttargeting»1x1»TextLink»CAN»DT»CPM»AUT»W»NA»SS»NA»39684020-11000</v></cell><cell r="D2623" t="str"><v>43300224009494</v></cell><cell r="E2623" t="str"><v>43300103237293-11000</v></cell><cell r="F2623" t="str"><v>DCM</v></cell><cell r="G2623" t="str"><v>https://signup.azure.com/signup?offer=ms-azr-0044p&appId=102&ref=paidmedia-social-fb&redirectURL=https%3a%2f%2fazure.microsoft.com%2fde-de%2fget-started%2fwelcome-to-azure%2f&l=de-de&correlationId=ead86c34-1f10-49dd-a72b-6918462a2cbf</v></cell></row><row r="2623"><cell r="K2623" t="str"><v>July</v></cell><cell r="L2623"><v>43302</v></cell><cell r="M2623" t="str"><v>Tier 1</v></cell><cell r="N2623" t="str"><v>EMEA</v></cell><cell r="O2623" t="str"><v>Germany</v></cell><cell r="P2623" t="str"><v>Trial</v></cell><cell r="Q2623" t="str"><v>Social</v></cell><cell r="R2623" t="str"><v>Azure</v></cell><cell r="S2623" t="str"><v>Apps & Infra</v></cell><cell r="T2623" t="str"><v>Developers & ITI's</v></cell><cell r="U2623" t="str"><v>DEV-ITP-AZR-FB|CanvasAds|Interesttargeting</v></cell><cell r="V2623" t="str"><v>Audience Targeting</v></cell><cell r="W2623" t="str"><v>Canvas Ad</v></cell><cell r="X2623" t="str"><v>1x1</v></cell></row><row r="2623"><cell r="AA2623"><v>43300</v></cell><cell r="AB2623" t="str"><v>DEU_gaPMG_AZR_AZR_Q1_19_Trial-Social- 39684</v></cell><cell r="AC2623"><v>21359477</v></cell><cell r="AD2623"><v>720194</v></cell><cell r="AE2623" t="str"><v>Facebook</v></cell><cell r="AF2623"><v>3654128</v></cell><cell r="AG2623" t="str"><v>Facebook»DEV-ITP-AZR-FB|CanvasAds|Interesttargeting»1x1»TextLink»CAN»DT»CPM»AUT»W»NA»SS»NA»39684020-11000</v></cell><cell r="AH2623"><v>224009494</v></cell><cell r="AI2623" t="str"><v>AzurePlatform_FBCTCBrandinMotion-StartFreeCT_DEU_12s_ISV_PLAT_DE_Trial_Standard_STAN_TN_T2_1</v></cell><cell r="AJ2623"><v>103237293</v></cell></row><row r="2624"><cell r="C2624" t="str"><v>43300Facebook»DEV-ITP-AZR-FB|LinkAd|CustomerAudienceRetargeting»1x1»TextLink»LIA»DT»CPM»RT»W»NA»SS»NA»39684019-11000</v></cell><cell r="D2624" t="str"><v>43300224010415</v></cell><cell r="E2624" t="str"><v>43300103040320-11000</v></cell><cell r="F2624" t="str"><v>DCM</v></cell><cell r="G2624" t="str"><v>https://azure.microsoft.com/de-de/free/search/</v></cell></row><row r="2624"><cell r="K2624" t="str"><v>July</v></cell><cell r="L2624"><v>43302</v></cell><cell r="M2624" t="str"><v>Tier 1</v></cell><cell r="N2624" t="str"><v>EMEA</v></cell><cell r="O2624" t="str"><v>Germany</v></cell><cell r="P2624" t="str"><v>Trial</v></cell><cell r="Q2624" t="str"><v>Social</v></cell><cell r="R2624" t="str"><v>Azure</v></cell><cell r="S2624" t="str"><v>Apps & Infra</v></cell><cell r="T2624" t="str"><v>Developers & ITI's</v></cell><cell r="U2624" t="str"><v>DEV-ITP-AZR-FB|LinkAd|CustomerAudienceRetargeting</v></cell><cell r="V2624" t="str"><v>Retargeting</v></cell><cell r="W2624" t="str"><v>Link Ad</v></cell><cell r="X2624" t="str"><v>1x1</v></cell></row><row r="2624"><cell r="AA2624"><v>43300</v></cell><cell r="AB2624" t="str"><v>DEU_gaPMG_AZR_AZR_Q1_19_Trial-Social- 39684</v></cell><cell r="AC2624"><v>21359477</v></cell><cell r="AD2624"><v>720194</v></cell><cell r="AE2624" t="str"><v>Facebook</v></cell><cell r="AF2624"><v>3654128</v></cell><cell r="AG2624" t="str"><v>Facebook»DEV-ITP-AZR-FB|LinkAd|CustomerAudienceRetargeting»1x1»TextLink»LIA»DT»CPM»RT»W»NA»SS»NA»39684019-11000</v></cell><cell r="AH2624"><v>224010415</v></cell><cell r="AI2624" t="str"><v>AzurePlatform_FreeAcctRetargetingFB-GlobalAlt-ChB_DEU_1200x628_SOC_Plat_DE_Free Account_Standard_NA_SNU_T2_1</v></cell><cell r="AJ2624"><v>103040320</v></cell></row><row r="2625"><cell r="C2625" t="str"><v>43300Facebook»DEV-ITP-AZR-FB|LinkAd|CustomerAudienceRetargeting»1x1»TextLink»LIA»DT»CPM»RT»W»NA»SS»NA»39684019-11000</v></cell><cell r="D2625" t="str"><v>43300224010415</v></cell><cell r="E2625" t="str"><v>43300103043329-11000</v></cell><cell r="F2625" t="str"><v>DCM</v></cell><cell r="G2625" t="str"><v>https://azure.microsoft.com/de-de/free/open-source/search/</v></cell></row><row r="2625"><cell r="K2625" t="str"><v>July</v></cell><cell r="L2625"><v>43302</v></cell><cell r="M2625" t="str"><v>Tier 1</v></cell><cell r="N2625" t="str"><v>EMEA</v></cell><cell r="O2625" t="str"><v>Germany</v></cell><cell r="P2625" t="str"><v>Trial</v></cell><cell r="Q2625" t="str"><v>Social</v></cell><cell r="R2625" t="str"><v>Azure</v></cell><cell r="S2625" t="str"><v>Apps & Infra</v></cell><cell r="T2625" t="str"><v>Developers & ITI's</v></cell><cell r="U2625" t="str"><v>DEV-ITP-AZR-FB|LinkAd|CustomerAudienceRetargeting</v></cell><cell r="V2625" t="str"><v>Retargeting</v></cell><cell r="W2625" t="str"><v>Link Ad</v></cell><cell r="X2625" t="str"><v>1x1</v></cell></row><row r="2625"><cell r="AA2625"><v>43300</v></cell><cell r="AB2625" t="str"><v>DEU_gaPMG_AZR_AZR_Q1_19_Trial-Social- 39684</v></cell><cell r="AC2625"><v>21359477</v></cell><cell r="AD2625"><v>720194</v></cell><cell r="AE2625" t="str"><v>Facebook</v></cell><cell r="AF2625"><v>3654128</v></cell><cell r="AG2625" t="str"><v>Facebook»DEV-ITP-AZR-FB|LinkAd|CustomerAudienceRetargeting»1x1»TextLink»LIA»DT»CPM»RT»W»NA»SS»NA»39684019-11000</v></cell><cell r="AH2625"><v>224010415</v></cell><cell r="AI2625" t="str"><v>AzurePlatform_FreeAcctRetargetingOSSFB-Logos-ChG_DEU_1200x628_SOC_Plat_DE_Free Account_Standard_NA_SNU_T2_1</v></cell><cell r="AJ2625"><v>103043329</v></cell></row><row r="2626"><cell r="C2626" t="str"><v>43300Facebook»DEV-ITP-AZR-FB|LinkAd|CustomerAudienceRetargeting»1x1»TextLink»LIA»DT»CPM»RT»W»NA»SS»NA»39684019-11000</v></cell><cell r="D2626" t="str"><v>43300224010415</v></cell><cell r="E2626" t="str"><v>43300103043341-11000</v></cell><cell r="F2626" t="str"><v>DCM</v></cell><cell r="G2626" t="str"><v>https://azure.microsoft.com/de-de/free/virtual-machines/search/</v></cell></row><row r="2626"><cell r="K2626" t="str"><v>July</v></cell><cell r="L2626"><v>43302</v></cell><cell r="M2626" t="str"><v>Tier 1</v></cell><cell r="N2626" t="str"><v>EMEA</v></cell><cell r="O2626" t="str"><v>Germany</v></cell><cell r="P2626" t="str"><v>Trial</v></cell><cell r="Q2626" t="str"><v>Social</v></cell><cell r="R2626" t="str"><v>Azure</v></cell><cell r="S2626" t="str"><v>Apps & Infra</v></cell><cell r="T2626" t="str"><v>Developers & ITI's</v></cell><cell r="U2626" t="str"><v>DEV-ITP-AZR-FB|LinkAd|CustomerAudienceRetargeting</v></cell><cell r="V2626" t="str"><v>Retargeting</v></cell><cell r="W2626" t="str"><v>Link Ad</v></cell><cell r="X2626" t="str"><v>1x1</v></cell></row><row r="2626"><cell r="AA2626"><v>43300</v></cell><cell r="AB2626" t="str"><v>DEU_gaPMG_AZR_AZR_Q1_19_Trial-Social- 39684</v></cell><cell r="AC2626"><v>21359477</v></cell><cell r="AD2626"><v>720194</v></cell><cell r="AE2626" t="str"><v>Facebook</v></cell><cell r="AF2626"><v>3654128</v></cell><cell r="AG2626" t="str"><v>Facebook»DEV-ITP-AZR-FB|LinkAd|CustomerAudienceRetargeting»1x1»TextLink»LIA»DT»CPM»RT»W»NA»SS»NA»39684019-11000</v></cell><cell r="AH2626"><v>224010415</v></cell><cell r="AI2626" t="str"><v>AzurePlatform_FreeAcctRetargetingVMFB-750Hrs-ChD_DEU_1200x628_SOC_Plat_DE_Free Account_Standard_NA_SNU_T1_1</v></cell><cell r="AJ2626"><v>103043341</v></cell></row><row r="2627"><cell r="C2627" t="str"><v>43300Facebook»DEV-ITP-AZR-FB|LinkAd|CustomerAudienceRetargeting»1x1»TextLink»LIA»DT»CPM»RT»W»NA»SS»NA»39684019-11000</v></cell><cell r="D2627" t="str"><v>43300224010415</v></cell><cell r="E2627" t="str"><v>43300103043338-11000</v></cell><cell r="F2627" t="str"><v>DCM</v></cell><cell r="G2627" t="str"><v>https://azure.microsoft.com/de-de/free/virtual-machines/search/</v></cell></row><row r="2627"><cell r="K2627" t="str"><v>July</v></cell><cell r="L2627"><v>43302</v></cell><cell r="M2627" t="str"><v>Tier 1</v></cell><cell r="N2627" t="str"><v>EMEA</v></cell><cell r="O2627" t="str"><v>Germany</v></cell><cell r="P2627" t="str"><v>Trial</v></cell><cell r="Q2627" t="str"><v>Social</v></cell><cell r="R2627" t="str"><v>Azure</v></cell><cell r="S2627" t="str"><v>Apps & Infra</v></cell><cell r="T2627" t="str"><v>Developers & ITI's</v></cell><cell r="U2627" t="str"><v>DEV-ITP-AZR-FB|LinkAd|CustomerAudienceRetargeting</v></cell><cell r="V2627" t="str"><v>Retargeting</v></cell><cell r="W2627" t="str"><v>Link Ad</v></cell><cell r="X2627" t="str"><v>1x1</v></cell></row><row r="2627"><cell r="AA2627"><v>43300</v></cell><cell r="AB2627" t="str"><v>DEU_gaPMG_AZR_AZR_Q1_19_Trial-Social- 39684</v></cell><cell r="AC2627"><v>21359477</v></cell><cell r="AD2627"><v>720194</v></cell><cell r="AE2627" t="str"><v>Facebook</v></cell><cell r="AF2627"><v>3654128</v></cell><cell r="AG2627" t="str"><v>Facebook»DEV-ITP-AZR-FB|LinkAd|CustomerAudienceRetargeting»1x1»TextLink»LIA»DT»CPM»RT»W»NA»SS»NA»39684019-11000</v></cell><cell r="AH2627"><v>224010415</v></cell><cell r="AI2627" t="str"><v>AzurePlatform_FreeAcctRetargetingVMFB-OnDemand-ChE_DEU_1200x628_SOC_Plat_DE_Free Account_Standard_NA_SNU_T2_1</v></cell><cell r="AJ2627"><v>103043338</v></cell></row><row r="2628"><cell r="C2628" t="str"><v>43300Facebook»Developers/ITPros-Azure Direct-Sponsored Post-Canvas-FBCTCcanvaspage-BuyNowCTA-Img3_FBCTCBrandinMotion_FRA_14sec»1x1»Canvas»SOC»ALL»CPC»BT»D»UNK»SS»NA»Trials</v></cell><cell r="D2628" t="str"><v>43300224416918</v></cell><cell r="E2628" t="str"><v>43300103256571Trials</v></cell><cell r="F2628" t="str"><v>DCM</v></cell><cell r="G2628" t="str"><v>https://azure.microsoft.com/fr-fr/pricing/purchase-options/</v></cell></row><row r="2628"><cell r="K2628" t="str"><v>July</v></cell><cell r="L2628"><v>43302</v></cell><cell r="M2628" t="str"><v>Tier 1</v></cell><cell r="N2628" t="str"><v>EMEA</v></cell><cell r="O2628" t="str"><v>France</v></cell><cell r="P2628" t="str"><v>Trial</v></cell><cell r="Q2628" t="str"><v>Social</v></cell><cell r="R2628" t="str"><v>Azure</v></cell><cell r="S2628" t="str"><v>Apps & Infra</v></cell><cell r="T2628" t="str"><v>Developers & ITI's</v></cell><cell r="U2628" t="str"><v>Developers/ITPros-Azure Direct-Sponsored Post-Canvas-FBCTCcanvaspage-BuyNowCTA-Img3_FBCTCBrandinMotion_FRA_14sec</v></cell><cell r="V2628" t="str"><v>Behavioral Targeting</v></cell><cell r="W2628" t="str"><v>Social</v></cell><cell r="X2628" t="str"><v>1x1</v></cell></row><row r="2628"><cell r="AA2628"><v>43300</v></cell><cell r="AB2628" t="str"><v>FRA_gaPMG_AZR_AZR_Q1_19_AzureDirect-Trial-Social</v></cell><cell r="AC2628"><v>21356941</v></cell><cell r="AD2628"><v>720193</v></cell><cell r="AE2628" t="str"><v>Facebook</v></cell><cell r="AF2628"><v>3654128</v></cell><cell r="AG2628" t="str"><v>Facebook»Developers/ITPros-Azure Direct-Sponsored Post-Canvas-FBCTCcanvaspage-BuyNowCTA-Img3_FBCTCBrandinMotion_FRA_14sec»1x1»Canvas»SOC»ALL»CPC»BT»D»UNK»SS»NA»Trials</v></cell><cell r="AH2628"><v>224416918</v></cell><cell r="AI2628" t="str"><v>AZR_FBCTCcanvaspage-BuyNowCTA-Img3_FRA_1080x162_SOC_AZRDirect_French_NA_Facebook_SBAN_BN_T3_1</v></cell><cell r="AJ2628"><v>103256571</v></cell></row><row r="2629"><cell r="C2629" t="str"><v>43300Facebook»Developers/ITPros-Azure Direct-Sponsored Post-Canvas-FBCTCcanvaspage-StartFreeCTA-Img2_FBCTCBasicMotion_FRA_10sec»1x1»Canvas»SOC»ALL»CPC»BT»D»UNK»SS»NA»Trials</v></cell><cell r="D2629" t="str"><v>43300224560884</v></cell><cell r="E2629" t="str"><v>43300103259958Trials</v></cell><cell r="F2629" t="str"><v>DCM</v></cell><cell r="G2629" t="str"><v>https://signup.azure.com/signup?offer=ms-azr-0044p&appId=102&ref=paidmedia-social-fb&redirectURL=https%3a%2f%2fazure.microsoft.com%2ffr-fr%2fget-started%2fwelcome-to-azure%2f&l=fr-fr&correlationId=ead86c34-1f10-49dd-a72b-6918462a2cbf</v></cell></row><row r="2629"><cell r="K2629" t="str"><v>July</v></cell><cell r="L2629"><v>43302</v></cell><cell r="M2629" t="str"><v>Tier 1</v></cell><cell r="N2629" t="str"><v>EMEA</v></cell><cell r="O2629" t="str"><v>France</v></cell><cell r="P2629" t="str"><v>Trial</v></cell><cell r="Q2629" t="str"><v>Social</v></cell><cell r="R2629" t="str"><v>Azure</v></cell><cell r="S2629" t="str"><v>Apps & Infra</v></cell><cell r="T2629" t="str"><v>Developers & ITI's</v></cell><cell r="U2629" t="str"><v>Developers/ITPros-Azure Direct-Sponsored Post-Canvas-FBCTCcanvaspage-StartFreeCTA-Img2_FBCTCBasicMotion_FRA_10sec</v></cell><cell r="V2629" t="str"><v>Behavioral Targeting</v></cell><cell r="W2629" t="str"><v>Social</v></cell><cell r="X2629" t="str"><v>1x1</v></cell></row><row r="2629"><cell r="AA2629"><v>43300</v></cell><cell r="AB2629" t="str"><v>FRA_gaPMG_AZR_AZR_Q1_19_AzureDirect-Trial-Social</v></cell><cell r="AC2629"><v>21356941</v></cell><cell r="AD2629"><v>720193</v></cell><cell r="AE2629" t="str"><v>Facebook</v></cell><cell r="AF2629"><v>3654128</v></cell><cell r="AG2629" t="str"><v>Facebook»Developers/ITPros-Azure Direct-Sponsored Post-Canvas-FBCTCcanvaspage-StartFreeCTA-Img2_FBCTCBasicMotion_FRA_10sec»1x1»Canvas»SOC»ALL»CPC»BT»D»UNK»SS»NA»Trials</v></cell><cell r="AH2629"><v>224560884</v></cell><cell r="AI2629" t="str"><v>AZR_FBCTCcanvaspage-StartFreeCTA-Img2_FRA_1080x143_SOC_AZRDirect_French_NA_Facebook_SBAN_BN_T2_1</v></cell><cell r="AJ2629"><v>103259958</v></cell></row><row r="2630"><cell r="C2630" t="str"><v>43300Facebook»Developers/ITPros-Azure Direct-Sponsored Post-Canvas-FBCTCcanvaspage-StartFreeCTA-Img2_FBCTCBrandinMotion_FRA_12sec»1x1»Canvas»SOC»ALL»CPC»BT»D»UNK»SS»NA»Trials</v></cell><cell r="D2630" t="str"><v>43300224560878</v></cell><cell r="E2630" t="str"><v>43300103259958Trials</v></cell><cell r="F2630" t="str"><v>DCM</v></cell><cell r="G2630" t="str"><v>https://signup.azure.com/signup?offer=ms-azr-0044p&appId=102&ref=paidmedia-social-fb&redirectURL=https%3a%2f%2fazure.microsoft.com%2ffr-fr%2fget-started%2fwelcome-to-azure%2f&l=fr-fr&correlationId=ead86c34-1f10-49dd-a72b-6918462a2cbf</v></cell></row><row r="2630"><cell r="K2630" t="str"><v>July</v></cell><cell r="L2630"><v>43302</v></cell><cell r="M2630" t="str"><v>Tier 1</v></cell><cell r="N2630" t="str"><v>EMEA</v></cell><cell r="O2630" t="str"><v>France</v></cell><cell r="P2630" t="str"><v>Trial</v></cell><cell r="Q2630" t="str"><v>Social</v></cell><cell r="R2630" t="str"><v>Azure</v></cell><cell r="S2630" t="str"><v>Apps & Infra</v></cell><cell r="T2630" t="str"><v>Developers & ITI's</v></cell><cell r="U2630" t="str"><v>Developers/ITPros-Azure Direct-Sponsored Post-Canvas-FBCTCcanvaspage-StartFreeCTA-Img2_FBCTCBrandinMotion_FRA_12sec</v></cell><cell r="V2630" t="str"><v>Behavioral Targeting</v></cell><cell r="W2630" t="str"><v>Social</v></cell><cell r="X2630" t="str"><v>1x1</v></cell></row><row r="2630"><cell r="AA2630"><v>43300</v></cell><cell r="AB2630" t="str"><v>FRA_gaPMG_AZR_AZR_Q1_19_AzureDirect-Trial-Social</v></cell><cell r="AC2630"><v>21356941</v></cell><cell r="AD2630"><v>720193</v></cell><cell r="AE2630" t="str"><v>Facebook</v></cell><cell r="AF2630"><v>3654128</v></cell><cell r="AG2630" t="str"><v>Facebook»Developers/ITPros-Azure Direct-Sponsored Post-Canvas-FBCTCcanvaspage-StartFreeCTA-Img2_FBCTCBrandinMotion_FRA_12sec»1x1»Canvas»SOC»ALL»CPC»BT»D»UNK»SS»NA»Trials</v></cell><cell r="AH2630"><v>224560878</v></cell><cell r="AI2630" t="str"><v>AZR_FBCTCcanvaspage-StartFreeCTA-Img2_FRA_1080x143_SOC_AZRDirect_French_NA_Facebook_SBAN_BN_T2_1</v></cell><cell r="AJ2630"><v>103259958</v></cell></row><row r="2631"><cell r="C2631" t="str"><v>43300Facebook»Developers/ITPros-Azure Direct-Sponsored Post-Canvas-FBCTCcanvaspage-StartFreeCTA-Img2_FBCTCBrandinMotion_FRA_14sec»1x1»Canvas»SOC»ALL»CPC»BT»D»UNK»SS»NA»Trials</v></cell><cell r="D2631" t="str"><v>43300224560872</v></cell><cell r="E2631" t="str"><v>43300103259958Trials</v></cell><cell r="F2631" t="str"><v>DCM</v></cell><cell r="G2631" t="str"><v>https://signup.azure.com/signup?offer=ms-azr-0044p&appId=102&ref=paidmedia-social-fb&redirectURL=https%3a%2f%2fazure.microsoft.com%2ffr-fr%2fget-started%2fwelcome-to-azure%2f&l=fr-fr&correlationId=ead86c34-1f10-49dd-a72b-6918462a2cbf</v></cell></row><row r="2631"><cell r="K2631" t="str"><v>July</v></cell><cell r="L2631"><v>43302</v></cell><cell r="M2631" t="str"><v>Tier 1</v></cell><cell r="N2631" t="str"><v>EMEA</v></cell><cell r="O2631" t="str"><v>France</v></cell><cell r="P2631" t="str"><v>Trial</v></cell><cell r="Q2631" t="str"><v>Social</v></cell><cell r="R2631" t="str"><v>Azure</v></cell><cell r="S2631" t="str"><v>Apps & Infra</v></cell><cell r="T2631" t="str"><v>Developers & ITI's</v></cell><cell r="U2631" t="str"><v>Developers/ITPros-Azure Direct-Sponsored Post-Canvas-FBCTCcanvaspage-StartFreeCTA-Img2_FBCTCBrandinMotion_FRA_14sec</v></cell><cell r="V2631" t="str"><v>Behavioral Targeting</v></cell><cell r="W2631" t="str"><v>Social</v></cell><cell r="X2631" t="str"><v>1x1</v></cell></row><row r="2631"><cell r="AA2631"><v>43300</v></cell><cell r="AB2631" t="str"><v>FRA_gaPMG_AZR_AZR_Q1_19_AzureDirect-Trial-Social</v></cell><cell r="AC2631"><v>21356941</v></cell><cell r="AD2631"><v>720193</v></cell><cell r="AE2631" t="str"><v>Facebook</v></cell><cell r="AF2631"><v>3654128</v></cell><cell r="AG2631" t="str"><v>Facebook»Developers/ITPros-Azure Direct-Sponsored Post-Canvas-FBCTCcanvaspage-StartFreeCTA-Img2_FBCTCBrandinMotion_FRA_14sec»1x1»Canvas»SOC»ALL»CPC»BT»D»UNK»SS»NA»Trials</v></cell><cell r="AH2631"><v>224560872</v></cell><cell r="AI2631" t="str"><v>AZR_FBCTCcanvaspage-StartFreeCTA-Img2_FRA_1080x143_SOC_AZRDirect_French_NA_Facebook_SBAN_BN_T2_1</v></cell><cell r="AJ2631"><v>103259958</v></cell></row><row r="2632"><cell r="C2632" t="str"><v>43300Facebook»Developers/ITPros-Azure Direct-Sponsored Post-Link Ad-FreeAcctRetargetingFB-GlobalAlt-ChB»1x1»SocialBan»SOC»ALL»CPC»BT»D»UNK»SS»NA»Trials</v></cell><cell r="D2632" t="str"><v>43300224560845</v></cell><cell r="E2632" t="str"><v>43300103259520Trials</v></cell><cell r="F2632" t="str"><v>DCM</v></cell><cell r="G2632" t="str"><v>https://azure.microsoft.com/fr-fr/free/search/</v></cell></row><row r="2632"><cell r="K2632" t="str"><v>July</v></cell><cell r="L2632"><v>43302</v></cell><cell r="M2632" t="str"><v>Tier 1</v></cell><cell r="N2632" t="str"><v>EMEA</v></cell><cell r="O2632" t="str"><v>France</v></cell><cell r="P2632" t="str"><v>Trial</v></cell><cell r="Q2632" t="str"><v>Social</v></cell><cell r="R2632" t="str"><v>Azure</v></cell><cell r="S2632" t="str"><v>Apps & Infra</v></cell><cell r="T2632" t="str"><v>Developers & ITI's</v></cell><cell r="U2632" t="str"><v>Developers/ITPros-Azure Direct-Sponsored Post-Link Ad-FreeAcctRetargetingFB-GlobalAlt-ChB</v></cell><cell r="V2632" t="str"><v>Behavioral Targeting</v></cell><cell r="W2632" t="str"><v>Social</v></cell><cell r="X2632" t="str"><v>1x1</v></cell></row><row r="2632"><cell r="AA2632"><v>43300</v></cell><cell r="AB2632" t="str"><v>FRA_gaPMG_AZR_AZR_Q1_19_AzureDirect-Trial-Social</v></cell><cell r="AC2632"><v>21356941</v></cell><cell r="AD2632"><v>720193</v></cell><cell r="AE2632" t="str"><v>Facebook</v></cell><cell r="AF2632"><v>3654128</v></cell><cell r="AG2632" t="str"><v>Facebook»Developers/ITPros-Azure Direct-Sponsored Post-Link Ad-FreeAcctRetargetingFB-GlobalAlt-ChB»1x1»SocialBan»SOC»ALL»CPC»BT»D»UNK»SS»NA»Trials</v></cell><cell r="AH2632"><v>224560845</v></cell><cell r="AI2632" t="str"><v>AZR_FreeAcctRetargetingFB-GlobalAlt-ChB_FRA_1200x628_SOC_AZRDirect_French_NA_Facebook_SBAN_SINU_T2_1</v></cell><cell r="AJ2632"><v>103259520</v></cell></row><row r="2633"><cell r="C2633" t="str"><v>43300Facebook»Developers/ITPros-Azure Direct-Sponsored Post-Link Ad-FreeAcctRetargetingOSSFB-Text-ChF»1x1»SocialBan»SOC»ALL»CPC»BT»D»UNK»SS»NA»Trials</v></cell><cell r="D2633" t="str"><v>43300224560839</v></cell><cell r="E2633" t="str"><v>43300103257810Trials</v></cell><cell r="F2633" t="str"><v>DCM</v></cell><cell r="G2633" t="str"><v>https://azure.microsoft.com/fr-fr/free/open-source/search/</v></cell></row><row r="2633"><cell r="K2633" t="str"><v>July</v></cell><cell r="L2633"><v>43302</v></cell><cell r="M2633" t="str"><v>Tier 1</v></cell><cell r="N2633" t="str"><v>EMEA</v></cell><cell r="O2633" t="str"><v>France</v></cell><cell r="P2633" t="str"><v>Trial</v></cell><cell r="Q2633" t="str"><v>Social</v></cell><cell r="R2633" t="str"><v>Azure</v></cell><cell r="S2633" t="str"><v>Apps & Infra</v></cell><cell r="T2633" t="str"><v>Developers & ITI's</v></cell><cell r="U2633" t="str"><v>Developers/ITPros-Azure Direct-Sponsored Post-Link Ad-FreeAcctRetargetingOSSFB-Text-ChF</v></cell><cell r="V2633" t="str"><v>Behavioral Targeting</v></cell><cell r="W2633" t="str"><v>Social</v></cell><cell r="X2633" t="str"><v>1x1</v></cell></row><row r="2633"><cell r="AA2633"><v>43300</v></cell><cell r="AB2633" t="str"><v>FRA_gaPMG_AZR_AZR_Q1_19_AzureDirect-Trial-Social</v></cell><cell r="AC2633"><v>21356941</v></cell><cell r="AD2633"><v>720193</v></cell><cell r="AE2633" t="str"><v>Facebook</v></cell><cell r="AF2633"><v>3654128</v></cell><cell r="AG2633" t="str"><v>Facebook»Developers/ITPros-Azure Direct-Sponsored Post-Link Ad-FreeAcctRetargetingOSSFB-Text-ChF»1x1»SocialBan»SOC»ALL»CPC»BT»D»UNK»SS»NA»Trials</v></cell><cell r="AH2633"><v>224560839</v></cell><cell r="AI2633" t="str"><v>AZR_FreeAcctRetargetingOSSFB-Text-ChF_FRA_1200x628_SOC_AZRDirect_French_NA_Facebook_SBAN_SINU_T1_1</v></cell><cell r="AJ2633"><v>103257810</v></cell></row><row r="2634"><cell r="C2634" t="str"><v>43300Facebook»Developers/ITPros-Azure Direct-Sponsored Post-Video Ad-FBCTCBasicMotion_FRA_10s_RTG Landing Page»1x1»05s»SOC»ALL»CPC»BT»D»UNK»SS»NA»Trials</v></cell><cell r="D2634" t="str"><v>43300224416915</v></cell><cell r="E2634" t="str"><v>43300103376981Trials</v></cell><cell r="F2634" t="str"><v>DCM</v></cell></row><row r="2634"><cell r="K2634" t="str"><v>July</v></cell><cell r="L2634"><v>43302</v></cell><cell r="M2634" t="str"><v>Tier 1</v></cell><cell r="N2634" t="str"><v>EMEA</v></cell><cell r="O2634" t="str"><v>France</v></cell><cell r="P2634" t="str"><v>Trial</v></cell><cell r="Q2634" t="str"><v>Social</v></cell><cell r="R2634" t="str"><v>Azure</v></cell><cell r="S2634" t="str"><v>Apps & Infra</v></cell><cell r="T2634" t="str"><v>Developers & ITI's</v></cell><cell r="U2634" t="str"><v>Developers/ITPros-Azure Direct-Sponsored Post-Video Ad-FBCTCBasicMotion_FRA_10s_RTG Landing Page</v></cell><cell r="V2634" t="str"><v>Behavioral Targeting</v></cell><cell r="W2634" t="str"><v>Social</v></cell><cell r="X2634" t="str"><v>1x1</v></cell></row><row r="2634"><cell r="AA2634"><v>43300</v></cell><cell r="AB2634" t="str"><v>FRA_gaPMG_AZR_AZR_Q1_19_AzureDirect-Trial-Social</v></cell><cell r="AC2634"><v>21356941</v></cell><cell r="AD2634"><v>720193</v></cell><cell r="AE2634" t="str"><v>Facebook</v></cell><cell r="AF2634"><v>3654128</v></cell><cell r="AG2634" t="str"><v>Facebook»Developers/ITPros-Azure Direct-Sponsored Post-Video Ad-FBCTCBasicMotion_FRA_10s_RTG Landing Page»1x1»05s»SOC»ALL»CPC»BT»D»UNK»SS»NA»Trials</v></cell><cell r="AH2634"><v>224416915</v></cell><cell r="AI2634" t="str"><v>AZR_FBCTCBasicMotion_FRA_10s_VIA_AZRDirect_French_NA_Facebook_STAN_TIN_T1_1</v></cell><cell r="AJ2634"><v>103376981</v></cell></row><row r="2635"><cell r="C2635" t="str"><v>43300Facebook»Developers/ITPros-Azure Direct-Sponsored Post-Video Ad-FBCTCBenefit2inMotion_FRA_14s_RTG Landing Page»1x1»06s»SOC»ALL»CPC»BT»D»UNK»SS»NA»Trials</v></cell><cell r="D2635" t="str"><v>43300224560875</v></cell><cell r="E2635" t="str"><v>43300103259766Trials</v></cell><cell r="F2635" t="str"><v>DCM</v></cell><cell r="G2635" t="str"><v>https://signup.azure.com/signup?offer=ms-azr-0044p&appId=102&ref=paidmedia-social-fb&redirectURL=https:%2F%2Fazure.microsoft.com%2Ffr-fr%2Fget-started%2Fwelcome-to-azure%2F&l=fr-fr&correlationId=ead86c34-1f10-49dd-a72b-6918462a2cbf</v></cell></row><row r="2635"><cell r="K2635" t="str"><v>July</v></cell><cell r="L2635"><v>43302</v></cell><cell r="M2635" t="str"><v>Tier 1</v></cell><cell r="N2635" t="str"><v>EMEA</v></cell><cell r="O2635" t="str"><v>France</v></cell><cell r="P2635" t="str"><v>Trial</v></cell><cell r="Q2635" t="str"><v>Social</v></cell><cell r="R2635" t="str"><v>Azure</v></cell><cell r="S2635" t="str"><v>Apps & Infra</v></cell><cell r="T2635" t="str"><v>Developers & ITI's</v></cell><cell r="U2635" t="str"><v>Developers/ITPros-Azure Direct-Sponsored Post-Video Ad-FBCTCBenefit2inMotion_FRA_14s_RTG Landing Page</v></cell><cell r="V2635" t="str"><v>Behavioral Targeting</v></cell><cell r="W2635" t="str"><v>Social</v></cell><cell r="X2635" t="str"><v>1x1</v></cell></row><row r="2635"><cell r="AA2635"><v>43300</v></cell><cell r="AB2635" t="str"><v>FRA_gaPMG_AZR_AZR_Q1_19_AzureDirect-Trial-Social</v></cell><cell r="AC2635"><v>21356941</v></cell><cell r="AD2635"><v>720193</v></cell><cell r="AE2635" t="str"><v>Facebook</v></cell><cell r="AF2635"><v>3654128</v></cell><cell r="AG2635" t="str"><v>Facebook»Developers/ITPros-Azure Direct-Sponsored Post-Video Ad-FBCTCBenefit2inMotion_FRA_14s_RTG Landing Page»1x1»06s»SOC»ALL»CPC»BT»D»UNK»SS»NA»Trials</v></cell><cell r="AH2635"><v>224560875</v></cell><cell r="AI2635" t="str"><v>AZR_FBCTCBenefit2inMotion_FRA_14s_VIA_AZRDirect_French_NA_Facebook_STAN_TIN_T4_1</v></cell><cell r="AJ2635"><v>103259766</v></cell></row><row r="2636"><cell r="C2636" t="str"><v>43300Facebook»Developers/ITPros-Azure Direct-Sponsored Post-Video Ad-FBCTCBrandinMotion_FRA_12s_RTG Landing Page»1x1»05s»SOC»ALL»CPC»BT»D»UNK»SS»NA»Trials</v></cell><cell r="D2636" t="str"><v>43300224560863</v></cell><cell r="E2636" t="str"><v>43300103256577Trials</v></cell><cell r="F2636" t="str"><v>DCM</v></cell></row><row r="2636"><cell r="K2636" t="str"><v>July</v></cell><cell r="L2636"><v>43302</v></cell><cell r="M2636" t="str"><v>Tier 1</v></cell><cell r="N2636" t="str"><v>EMEA</v></cell><cell r="O2636" t="str"><v>France</v></cell><cell r="P2636" t="str"><v>Trial</v></cell><cell r="Q2636" t="str"><v>Social</v></cell><cell r="R2636" t="str"><v>Azure</v></cell><cell r="S2636" t="str"><v>Apps & Infra</v></cell><cell r="T2636" t="str"><v>Developers & ITI's</v></cell><cell r="U2636" t="str"><v>Developers/ITPros-Azure Direct-Sponsored Post-Video Ad-FBCTCBrandinMotion_FRA_12s_RTG Landing Page</v></cell><cell r="V2636" t="str"><v>Behavioral Targeting</v></cell><cell r="W2636" t="str"><v>Social</v></cell><cell r="X2636" t="str"><v>1x1</v></cell></row><row r="2636"><cell r="AA2636"><v>43300</v></cell><cell r="AB2636" t="str"><v>FRA_gaPMG_AZR_AZR_Q1_19_AzureDirect-Trial-Social</v></cell><cell r="AC2636"><v>21356941</v></cell><cell r="AD2636"><v>720193</v></cell><cell r="AE2636" t="str"><v>Facebook</v></cell><cell r="AF2636"><v>3654128</v></cell><cell r="AG2636" t="str"><v>Facebook»Developers/ITPros-Azure Direct-Sponsored Post-Video Ad-FBCTCBrandinMotion_FRA_12s_RTG Landing Page»1x1»05s»SOC»ALL»CPC»BT»D»UNK»SS»NA»Trials</v></cell><cell r="AH2636"><v>224560863</v></cell><cell r="AI2636" t="str"><v>AZR_FBCTCBrandinMotion_FRA_12s_VIA_AZRDirect_French_NA_Facebook_STAN_TIN_T2_1</v></cell><cell r="AJ2636"><v>103256577</v></cell></row><row r="2637"><cell r="C2637" t="str"><v>43300Facebook»Developers/ITPros-Azure Direct-Sponsored Post-Link Ad-FreeAcctAppsFACEBOOK12monthsChE»1x1»SocialBan»SOC»ALL»CPC»BT»D»UNK»SS»NA»Trials</v></cell><cell r="D2637" t="str"><v>43300224560866</v></cell><cell r="E2637" t="str"><v>43300103259784Trials</v></cell><cell r="F2637" t="str"><v>DCM</v></cell><cell r="G2637" t="str"><v>https://azure.microsoft.com/fr-fr/free/search/</v></cell></row><row r="2637"><cell r="K2637" t="str"><v>July</v></cell><cell r="L2637"><v>43302</v></cell><cell r="M2637" t="str"><v>Tier 1</v></cell><cell r="N2637" t="str"><v>EMEA</v></cell><cell r="O2637" t="str"><v>France</v></cell><cell r="P2637" t="str"><v>Trial</v></cell><cell r="Q2637" t="str"><v>Social</v></cell><cell r="R2637" t="str"><v>Azure</v></cell><cell r="S2637" t="str"><v>Apps & Infra</v></cell><cell r="T2637" t="str"><v>Developers & ITI's</v></cell><cell r="U2637" t="str"><v>Developers/ITPros-Azure Direct-Sponsored Post-Link Ad-FreeAcctAppsFACEBOOK12monthsChE</v></cell><cell r="V2637" t="str"><v>Behavioral Targeting</v></cell><cell r="W2637" t="str"><v>Social</v></cell><cell r="X2637" t="str"><v>1x1</v></cell></row><row r="2637"><cell r="AA2637"><v>43300</v></cell><cell r="AB2637" t="str"><v>FRA_gaPMG_AZR_AZR_Q1_19_AzureDirect-Trial-Social</v></cell><cell r="AC2637"><v>21356941</v></cell><cell r="AD2637"><v>720193</v></cell><cell r="AE2637" t="str"><v>Facebook</v></cell><cell r="AF2637"><v>3654128</v></cell><cell r="AG2637" t="str"><v>Facebook»Developers/ITPros-Azure Direct-Sponsored Post-Link Ad-FreeAcctAppsFACEBOOK12monthsChE»1x1»SocialBan»SOC»ALL»CPC»BT»D»UNK»SS»NA»Trials</v></cell><cell r="AH2637"><v>224560866</v></cell><cell r="AI2637" t="str"><v>AZR_FreeAcctAppsFACEBOOK12monthsChE_FRA_1200x628_SOC_PLAT_FR_Trial_Standard_NA_SINU_T5_1</v></cell><cell r="AJ2637"><v>103259784</v></cell></row><row r="2638"><cell r="C2638" t="str"><v>43300Facebook»Developers/ITPros-Azure Direct-Sponsored Post-Link Ad-FreeAcctAppsFACEBOOK200CreditChD»1x1»SocialBan»SOC»ALL»CPC»BT»D»UNK»SS»NA»Trials</v></cell><cell r="D2638" t="str"><v>43300224560860</v></cell><cell r="E2638" t="str"><v>43300103377773Trials</v></cell><cell r="F2638" t="str"><v>DCM</v></cell><cell r="G2638" t="str"><v>https://azure.microsoft.com/fr-fr/free/search/</v></cell></row><row r="2638"><cell r="K2638" t="str"><v>July</v></cell><cell r="L2638"><v>43302</v></cell><cell r="M2638" t="str"><v>Tier 1</v></cell><cell r="N2638" t="str"><v>EMEA</v></cell><cell r="O2638" t="str"><v>France</v></cell><cell r="P2638" t="str"><v>Trial</v></cell><cell r="Q2638" t="str"><v>Social</v></cell><cell r="R2638" t="str"><v>Azure</v></cell><cell r="S2638" t="str"><v>Apps & Infra</v></cell><cell r="T2638" t="str"><v>Developers & ITI's</v></cell><cell r="U2638" t="str"><v>Developers/ITPros-Azure Direct-Sponsored Post-Link Ad-FreeAcctAppsFACEBOOK200CreditChD</v></cell><cell r="V2638" t="str"><v>Behavioral Targeting</v></cell><cell r="W2638" t="str"><v>Social</v></cell><cell r="X2638" t="str"><v>1x1</v></cell></row><row r="2638"><cell r="AA2638"><v>43300</v></cell><cell r="AB2638" t="str"><v>FRA_gaPMG_AZR_AZR_Q1_19_AzureDirect-Trial-Social</v></cell><cell r="AC2638"><v>21356941</v></cell><cell r="AD2638"><v>720193</v></cell><cell r="AE2638" t="str"><v>Facebook</v></cell><cell r="AF2638"><v>3654128</v></cell><cell r="AG2638" t="str"><v>Facebook»Developers/ITPros-Azure Direct-Sponsored Post-Link Ad-FreeAcctAppsFACEBOOK200CreditChD»1x1»SocialBan»SOC»ALL»CPC»BT»D»UNK»SS»NA»Trials</v></cell><cell r="AH2638"><v>224560860</v></cell><cell r="AI2638" t="str"><v>AZR_FreeAcctAppsFACEBOOK200CreditChD_FRA_1200x628_SOC_PLAT_FR_Trial_Standard_NA_SINU_T4_1</v></cell><cell r="AJ2638"><v>103377773</v></cell></row><row r="2639"><cell r="C2639" t="str"><v>43300Facebook»Developers/ITPros-Azure Direct-Sponsored Post-Link Ad-FreeAcctAppsFACEBOOKDeviceChB»1x1»SocialBan»SOC»ALL»CPC»AUT»D»UNK»SS»NA»Trials</v></cell><cell r="D2639" t="str"><v>43300224560857</v></cell><cell r="E2639" t="str"><v>43300103377002Trials</v></cell><cell r="F2639" t="str"><v>DCM</v></cell><cell r="G2639" t="str"><v>https://azure.microsoft.com/fr-fr/free/search/</v></cell></row><row r="2639"><cell r="K2639" t="str"><v>July</v></cell><cell r="L2639"><v>43302</v></cell><cell r="M2639" t="str"><v>Tier 1</v></cell><cell r="N2639" t="str"><v>EMEA</v></cell><cell r="O2639" t="str"><v>France</v></cell><cell r="P2639" t="str"><v>Trial</v></cell><cell r="Q2639" t="str"><v>Social</v></cell><cell r="R2639" t="str"><v>Azure</v></cell><cell r="S2639" t="str"><v>Apps & Infra</v></cell><cell r="T2639" t="str"><v>Developers & ITI's</v></cell><cell r="U2639" t="str"><v>Developers/ITPros-Azure Direct-Sponsored Post-Link Ad-FreeAcctAppsFACEBOOKDeviceChB</v></cell><cell r="V2639" t="str"><v>Audience Targeting</v></cell><cell r="W2639" t="str"><v>Social</v></cell><cell r="X2639" t="str"><v>1x1</v></cell></row><row r="2639"><cell r="AA2639"><v>43300</v></cell><cell r="AB2639" t="str"><v>FRA_gaPMG_AZR_AZR_Q1_19_AzureDirect-Trial-Social</v></cell><cell r="AC2639"><v>21356941</v></cell><cell r="AD2639"><v>720193</v></cell><cell r="AE2639" t="str"><v>Facebook</v></cell><cell r="AF2639"><v>3654128</v></cell><cell r="AG2639" t="str"><v>Facebook»Developers/ITPros-Azure Direct-Sponsored Post-Link Ad-FreeAcctAppsFACEBOOKDeviceChB»1x1»SocialBan»SOC»ALL»CPC»AUT»D»UNK»SS»NA»Trials</v></cell><cell r="AH2639"><v>224560857</v></cell><cell r="AI2639" t="str"><v>AZR_FreeAcctAppsFACEBOOKDeviceChB_FRA_1200x628_SOC_PLAT_FR_Trial_Standard_NA_SINU_T2_1</v></cell><cell r="AJ2639"><v>103377002</v></cell></row><row r="2640"><cell r="C2640" t="str"><v>43300Facebook»Developers/ITPros-Azure Direct-Sponsored Post-Link Ad-FreeAcctAppsFACEBOOKIllustrationChC»1x1»SocialBan»SOC»ALL»CPC»AUT»D»UNK»SS»NA»Trials</v></cell><cell r="D2640" t="str"><v>43300224560854</v></cell><cell r="E2640" t="str"><v>43300103259550Trials</v></cell><cell r="F2640" t="str"><v>DCM</v></cell><cell r="G2640" t="str"><v>https://azure.microsoft.com/fr-fr/free/search/</v></cell></row><row r="2640"><cell r="K2640" t="str"><v>July</v></cell><cell r="L2640"><v>43302</v></cell><cell r="M2640" t="str"><v>Tier 1</v></cell><cell r="N2640" t="str"><v>EMEA</v></cell><cell r="O2640" t="str"><v>France</v></cell><cell r="P2640" t="str"><v>Trial</v></cell><cell r="Q2640" t="str"><v>Social</v></cell><cell r="R2640" t="str"><v>Azure</v></cell><cell r="S2640" t="str"><v>Apps & Infra</v></cell><cell r="T2640" t="str"><v>Developers & ITI's</v></cell><cell r="U2640" t="str"><v>Developers/ITPros-Azure Direct-Sponsored Post-Link Ad-FreeAcctAppsFACEBOOKIllustrationChC</v></cell><cell r="V2640" t="str"><v>Audience Targeting</v></cell><cell r="W2640" t="str"><v>Social</v></cell><cell r="X2640" t="str"><v>1x1</v></cell></row><row r="2640"><cell r="AA2640"><v>43300</v></cell><cell r="AB2640" t="str"><v>FRA_gaPMG_AZR_AZR_Q1_19_AzureDirect-Trial-Social</v></cell><cell r="AC2640"><v>21356941</v></cell><cell r="AD2640"><v>720193</v></cell><cell r="AE2640" t="str"><v>Facebook</v></cell><cell r="AF2640"><v>3654128</v></cell><cell r="AG2640" t="str"><v>Facebook»Developers/ITPros-Azure Direct-Sponsored Post-Link Ad-FreeAcctAppsFACEBOOKIllustrationChC»1x1»SocialBan»SOC»ALL»CPC»AUT»D»UNK»SS»NA»Trials</v></cell><cell r="AH2640"><v>224560854</v></cell><cell r="AI2640" t="str"><v>AZR_FreeAcctAppsFACEBOOKIllustrationChC_FRA_1200x628_SOC_PLAT_FR_Trial_Standard_NA_SINU_T3_1</v></cell><cell r="AJ2640"><v>103259550</v></cell></row><row r="2641"><cell r="C2641" t="str"><v>43300Facebook»Developers/ITPros-Azure Direct-Sponsored Post-Link Ad-FreeAcctAppsFACEBOOKLifestyleChA»1x1»SocialBan»SOC»ALL»CPC»AUT»D»UNK»SS»NA»Trials</v></cell><cell r="D2641" t="str"><v>43300224560851</v></cell><cell r="E2641" t="str"><v>43300103259562Trials</v></cell><cell r="F2641" t="str"><v>DCM</v></cell><cell r="G2641" t="str"><v>https://azure.microsoft.com/fr-fr/free/search/</v></cell></row><row r="2641"><cell r="K2641" t="str"><v>July</v></cell><cell r="L2641"><v>43302</v></cell><cell r="M2641" t="str"><v>Tier 1</v></cell><cell r="N2641" t="str"><v>EMEA</v></cell><cell r="O2641" t="str"><v>France</v></cell><cell r="P2641" t="str"><v>Trial</v></cell><cell r="Q2641" t="str"><v>Social</v></cell><cell r="R2641" t="str"><v>Azure</v></cell><cell r="S2641" t="str"><v>Apps & Infra</v></cell><cell r="T2641" t="str"><v>Developers & ITI's</v></cell><cell r="U2641" t="str"><v>Developers/ITPros-Azure Direct-Sponsored Post-Link Ad-FreeAcctAppsFACEBOOKLifestyleChA</v></cell><cell r="V2641" t="str"><v>Audience Targeting</v></cell><cell r="W2641" t="str"><v>Social</v></cell><cell r="X2641" t="str"><v>1x1</v></cell></row><row r="2641"><cell r="AA2641"><v>43300</v></cell><cell r="AB2641" t="str"><v>FRA_gaPMG_AZR_AZR_Q1_19_AzureDirect-Trial-Social</v></cell><cell r="AC2641"><v>21356941</v></cell><cell r="AD2641"><v>720193</v></cell><cell r="AE2641" t="str"><v>Facebook</v></cell><cell r="AF2641"><v>3654128</v></cell><cell r="AG2641" t="str"><v>Facebook»Developers/ITPros-Azure Direct-Sponsored Post-Link Ad-FreeAcctAppsFACEBOOKLifestyleChA»1x1»SocialBan»SOC»ALL»CPC»AUT»D»UNK»SS»NA»Trials</v></cell><cell r="AH2641"><v>224560851</v></cell><cell r="AI2641" t="str"><v>AZR_FreeAcctAppsFACEBOOKLifestyleChA_FRA_1200x628_SOC_PLAT_FR_Trial_Standard_NA_SINU_T1_1</v></cell><cell r="AJ2641"><v>103259562</v></cell></row><row r="2642"><cell r="C2642" t="str"><v>43300Facebook»Developers/ITPros-Azure Direct-Sponsored Post-Link Ad-FreeAcctRetargetingFB-Animated-ChC»1x1»SocialBan»SOC»ALL»CPC»BT»D»UNK»SS»NA»Trials</v></cell><cell r="D2642" t="str"><v>43300224560848</v></cell><cell r="E2642" t="str"><v>43300103259775Trials</v></cell><cell r="F2642" t="str"><v>DCM</v></cell><cell r="G2642" t="str"><v>https://azure.microsoft.com/fr-fr/free/search/</v></cell></row><row r="2642"><cell r="K2642" t="str"><v>July</v></cell><cell r="L2642"><v>43302</v></cell><cell r="M2642" t="str"><v>Tier 1</v></cell><cell r="N2642" t="str"><v>EMEA</v></cell><cell r="O2642" t="str"><v>France</v></cell><cell r="P2642" t="str"><v>Trial</v></cell><cell r="Q2642" t="str"><v>Social</v></cell><cell r="R2642" t="str"><v>Azure</v></cell><cell r="S2642" t="str"><v>Apps & Infra</v></cell><cell r="T2642" t="str"><v>Developers & ITI's</v></cell><cell r="U2642" t="str"><v>Developers/ITPros-Azure Direct-Sponsored Post-Link Ad-FreeAcctRetargetingFB-Animated-ChC</v></cell><cell r="V2642" t="str"><v>Behavioral Targeting</v></cell><cell r="W2642" t="str"><v>Social</v></cell><cell r="X2642" t="str"><v>1x1</v></cell></row><row r="2642"><cell r="AA2642"><v>43300</v></cell><cell r="AB2642" t="str"><v>FRA_gaPMG_AZR_AZR_Q1_19_AzureDirect-Trial-Social</v></cell><cell r="AC2642"><v>21356941</v></cell><cell r="AD2642"><v>720193</v></cell><cell r="AE2642" t="str"><v>Facebook</v></cell><cell r="AF2642"><v>3654128</v></cell><cell r="AG2642" t="str"><v>Facebook»Developers/ITPros-Azure Direct-Sponsored Post-Link Ad-FreeAcctRetargetingFB-Animated-ChC»1x1»SocialBan»SOC»ALL»CPC»BT»D»UNK»SS»NA»Trials</v></cell><cell r="AH2642"><v>224560848</v></cell><cell r="AI2642" t="str"><v>AZR_reeAcctRetargetingFB-Animated-ChC_FRA_1200x628_SOC_AZRDirect_French_NA_Facebook_SBAN_SINU_T3_1</v></cell><cell r="AJ2642"><v>103259775</v></cell></row><row r="2643"><cell r="C2643" t="str"><v>43300Facebook»Developers/ITPros-Azure Direct-Sponsored Post-Link Ad-FreeAcctRetargetingOSSFB-Logos-ChG»1x1»SocialBan»SOC»ALL»CPC»BT»D»UNK»SS»NA»Trials</v></cell><cell r="D2643" t="str"><v>43300224560842</v></cell><cell r="E2643" t="str"><v>43300103259769Trials</v></cell><cell r="F2643" t="str"><v>DCM</v></cell><cell r="G2643" t="str"><v>https://azure.microsoft.com/fr-fr/free/open-source/search/</v></cell></row><row r="2643"><cell r="K2643" t="str"><v>July</v></cell><cell r="L2643"><v>43302</v></cell><cell r="M2643" t="str"><v>Tier 1</v></cell><cell r="N2643" t="str"><v>EMEA</v></cell><cell r="O2643" t="str"><v>France</v></cell><cell r="P2643" t="str"><v>Trial</v></cell><cell r="Q2643" t="str"><v>Social</v></cell><cell r="R2643" t="str"><v>Azure</v></cell><cell r="S2643" t="str"><v>Apps & Infra</v></cell><cell r="T2643" t="str"><v>Developers & ITI's</v></cell><cell r="U2643" t="str"><v>Developers/ITPros-Azure Direct-Sponsored Post-Link Ad-FreeAcctRetargetingOSSFB-Logos-ChG</v></cell><cell r="V2643" t="str"><v>Behavioral Targeting</v></cell><cell r="W2643" t="str"><v>Social</v></cell><cell r="X2643" t="str"><v>1x1</v></cell></row><row r="2643"><cell r="AA2643"><v>43300</v></cell><cell r="AB2643" t="str"><v>FRA_gaPMG_AZR_AZR_Q1_19_AzureDirect-Trial-Social</v></cell><cell r="AC2643"><v>21356941</v></cell><cell r="AD2643"><v>720193</v></cell><cell r="AE2643" t="str"><v>Facebook</v></cell><cell r="AF2643"><v>3654128</v></cell><cell r="AG2643" t="str"><v>Facebook»Developers/ITPros-Azure Direct-Sponsored Post-Link Ad-FreeAcctRetargetingOSSFB-Logos-ChG»1x1»SocialBan»SOC»ALL»CPC»BT»D»UNK»SS»NA»Trials</v></cell><cell r="AH2643"><v>224560842</v></cell><cell r="AI2643" t="str"><v>AZR_FreeAcctRetargetingOSSFB-Logos-ChG_FRA_1200x628_SOC_AZRDirect_French_NA_Facebook_SBAN_SINU_T2_1</v></cell><cell r="AJ2643"><v>103259769</v></cell></row><row r="2644"><cell r="C2644" t="str"><v>43300Facebook»Developers/ITPros-Azure Direct-Sponsored Post-Link Ad-FreeAcctRetargetingVMFB-OnDemand-ChE»1x1»SocialBan»SOC»ALL»CPC»BT»D»UNK»SS»NA»Trials</v></cell><cell r="D2644" t="str"><v>43300224560833</v></cell><cell r="E2644" t="str"><v>43300103376990Trials</v></cell><cell r="F2644" t="str"><v>DCM</v></cell><cell r="G2644" t="str"><v>https://azure.microsoft.com/fr-fr/free/virtual-machines/search/</v></cell></row><row r="2644"><cell r="K2644" t="str"><v>July</v></cell><cell r="L2644"><v>43302</v></cell><cell r="M2644" t="str"><v>Tier 1</v></cell><cell r="N2644" t="str"><v>EMEA</v></cell><cell r="O2644" t="str"><v>France</v></cell><cell r="P2644" t="str"><v>Trial</v></cell><cell r="Q2644" t="str"><v>Social</v></cell><cell r="R2644" t="str"><v>Azure</v></cell><cell r="S2644" t="str"><v>Apps & Infra</v></cell><cell r="T2644" t="str"><v>Developers & ITI's</v></cell><cell r="U2644" t="str"><v>Developers/ITPros-Azure Direct-Sponsored Post-Link Ad-FreeAcctRetargetingVMFB-OnDemand-ChE</v></cell><cell r="V2644" t="str"><v>Behavioral Targeting</v></cell><cell r="W2644" t="str"><v>Social</v></cell><cell r="X2644" t="str"><v>1x1</v></cell></row><row r="2644"><cell r="AA2644"><v>43300</v></cell><cell r="AB2644" t="str"><v>FRA_gaPMG_AZR_AZR_Q1_19_AzureDirect-Trial-Social</v></cell><cell r="AC2644"><v>21356941</v></cell><cell r="AD2644"><v>720193</v></cell><cell r="AE2644" t="str"><v>Facebook</v></cell><cell r="AF2644"><v>3654128</v></cell><cell r="AG2644" t="str"><v>Facebook»Developers/ITPros-Azure Direct-Sponsored Post-Link Ad-FreeAcctRetargetingVMFB-OnDemand-ChE»1x1»SocialBan»SOC»ALL»CPC»BT»D»UNK»SS»NA»Trials</v></cell><cell r="AH2644"><v>224560833</v></cell><cell r="AI2644" t="str"><v>AZR_FreeAcctRetargetingVMFB-OnDemand-ChE_FRA_1200x628_SOC_AZRDirect_French_NA_Facebook_SBAN_SINU_T2_1</v></cell><cell r="AJ2644"><v>103376990</v></cell></row><row r="2645"><cell r="C2645" t="str"><v>43300Facebook»Audience & Interest Targeting»1x1»SocialBan»LIA»DT»CPC»AUT»W»NA»SS»NA»Basic Motion</v></cell><cell r="D2645" t="str"><v>43300224399962</v></cell><cell r="E2645" t="str"><v>43300103230847Motion</v></cell><cell r="F2645" t="str"><v>DCM</v></cell><cell r="G2645" t="str"><v>https://azure.microsoft.com/en-gb/pricing/purchase-options/</v></cell></row><row r="2645"><cell r="K2645" t="str"><v>July</v></cell><cell r="L2645"><v>43302</v></cell><cell r="M2645" t="str"><v>Tier 1</v></cell><cell r="N2645" t="str"><v>EMEA</v></cell><cell r="O2645" t="str"><v>United Kingdom</v></cell><cell r="P2645" t="str"><v>Trial</v></cell><cell r="Q2645" t="str"><v>Social</v></cell><cell r="R2645" t="str"><v>Azure</v></cell><cell r="S2645" t="str"><v>Apps & Infra</v></cell><cell r="T2645" t="str"><v>Developers & ITI's</v></cell><cell r="U2645" t="str"><v>Audience & Interest Targeting</v></cell><cell r="V2645" t="str"><v>Audience Targeting</v></cell><cell r="W2645" t="str"><v>Link Ad</v></cell><cell r="X2645" t="str"><v>1x1</v></cell></row><row r="2645"><cell r="AA2645"><v>43300</v></cell><cell r="AB2645" t="str"><v>GBR_gaPMG_CE_AZR_Q1_19_Trial-Social</v></cell><cell r="AC2645"><v>21337013</v></cell><cell r="AD2645"><v>720196</v></cell><cell r="AE2645" t="str"><v>Facebook</v></cell><cell r="AF2645"><v>3654128</v></cell><cell r="AG2645" t="str"><v>Facebook»Audience & Interest Targeting»1x1»SocialBan»LIA»DT»CPC»AUT»W»NA»SS»NA»Basic Motion</v></cell><cell r="AH2645"><v>224399962</v></cell><cell r="AI2645" t="str"><v>AzurePlatform_FBCTCcanvaspage-BuyNowCTA-Img3_GBR_1080x162_SOC_Plat_English_NA_Standard_NA_BN_T3_1</v></cell><cell r="AJ2645"><v>103230847</v></cell></row><row r="2646"><cell r="C2646" t="str"><v>43300Facebook»Audience & Interest Targeting»1x1»SocialBan»LIA»DT»CPC»AUT»W»NA»SS»NA»Basic Motion</v></cell><cell r="D2646" t="str"><v>43300224399962</v></cell><cell r="E2646" t="str"><v>43300103235146Motion</v></cell><cell r="F2646" t="str"><v>DCM</v></cell><cell r="G2646" t="str"><v>https://signup.azure.com/signup?offer=ms-azr-0044p&appId=102&ref=paidmedia-social-fb&redirectURL=https%3a%2f%2fazure.microsoft.com%2fen-gb%2fget-started%2fwelcome-to-azure%2f&l=en-gb&correlationId=ead86c34-1f10-49dd-a72b-6918462a2cbf</v></cell></row><row r="2646"><cell r="K2646" t="str"><v>July</v></cell><cell r="L2646"><v>43302</v></cell><cell r="M2646" t="str"><v>Tier 1</v></cell><cell r="N2646" t="str"><v>EMEA</v></cell><cell r="O2646" t="str"><v>United Kingdom</v></cell><cell r="P2646" t="str"><v>Trial</v></cell><cell r="Q2646" t="str"><v>Social</v></cell><cell r="R2646" t="str"><v>Azure</v></cell><cell r="S2646" t="str"><v>Apps & Infra</v></cell><cell r="T2646" t="str"><v>Developers & ITI's</v></cell><cell r="U2646" t="str"><v>Audience & Interest Targeting</v></cell><cell r="V2646" t="str"><v>Audience Targeting</v></cell><cell r="W2646" t="str"><v>Link Ad</v></cell><cell r="X2646" t="str"><v>1x1</v></cell></row><row r="2646"><cell r="AA2646"><v>43300</v></cell><cell r="AB2646" t="str"><v>GBR_gaPMG_CE_AZR_Q1_19_Trial-Social</v></cell><cell r="AC2646"><v>21337013</v></cell><cell r="AD2646"><v>720196</v></cell><cell r="AE2646" t="str"><v>Facebook</v></cell><cell r="AF2646"><v>3654128</v></cell><cell r="AG2646" t="str"><v>Facebook»Audience & Interest Targeting»1x1»SocialBan»LIA»DT»CPC»AUT»W»NA»SS»NA»Basic Motion</v></cell><cell r="AH2646"><v>224399962</v></cell><cell r="AI2646" t="str"><v>AzurePlatform_FBCTCcanvaspage-StartFreeCTA-Img2_GBR_1080x143 _SOC_Plat_English_NA_Standard_NA_NA_T2_1</v></cell><cell r="AJ2646"><v>103235146</v></cell></row><row r="2647"><cell r="C2647" t="str"><v>43300Facebook»Audience & Interest Targeting»1x1»SocialBan»LIA»DT»CPC»AUT»W»NA»SS»NA»Benefit 2 in Motion</v></cell><cell r="D2647" t="str"><v>43300224334170</v></cell><cell r="E2647" t="str"><v>43300103230847Motion</v></cell><cell r="F2647" t="str"><v>DCM</v></cell><cell r="G2647" t="str"><v>https://azure.microsoft.com/en-gb/pricing/purchase-options/</v></cell></row><row r="2647"><cell r="K2647" t="str"><v>July</v></cell><cell r="L2647"><v>43302</v></cell><cell r="M2647" t="str"><v>Tier 1</v></cell><cell r="N2647" t="str"><v>EMEA</v></cell><cell r="O2647" t="str"><v>United Kingdom</v></cell><cell r="P2647" t="str"><v>Trial</v></cell><cell r="Q2647" t="str"><v>Social</v></cell><cell r="R2647" t="str"><v>Azure</v></cell><cell r="S2647" t="str"><v>Apps & Infra</v></cell><cell r="T2647" t="str"><v>Developers & ITI's</v></cell><cell r="U2647" t="str"><v>Audience & Interest Targeting</v></cell><cell r="V2647" t="str"><v>Audience Targeting</v></cell><cell r="W2647" t="str"><v>Link Ad</v></cell><cell r="X2647" t="str"><v>1x1</v></cell></row><row r="2647"><cell r="AA2647"><v>43300</v></cell><cell r="AB2647" t="str"><v>GBR_gaPMG_CE_AZR_Q1_19_Trial-Social</v></cell><cell r="AC2647"><v>21337013</v></cell><cell r="AD2647"><v>720196</v></cell><cell r="AE2647" t="str"><v>Facebook</v></cell><cell r="AF2647"><v>3654128</v></cell><cell r="AG2647" t="str"><v>Facebook»Audience & Interest Targeting»1x1»SocialBan»LIA»DT»CPC»AUT»W»NA»SS»NA»Benefit 2 in Motion</v></cell><cell r="AH2647"><v>224334170</v></cell><cell r="AI2647" t="str"><v>AzurePlatform_FBCTCcanvaspage-BuyNowCTA-Img3_GBR_1080x162_SOC_Plat_English_NA_Standard_NA_BN_T3_1</v></cell><cell r="AJ2647"><v>103230847</v></cell></row><row r="2648"><cell r="C2648" t="str"><v>43300Facebook»Audience & Interest Targeting»1x1»SocialBan»LIA»DT»CPC»AUT»W»NA»SS»NA»Benefit 2 in Motion</v></cell><cell r="D2648" t="str"><v>43300224334170</v></cell><cell r="E2648" t="str"><v>43300103235146Motion</v></cell><cell r="F2648" t="str"><v>DCM</v></cell><cell r="G2648" t="str"><v>https://signup.azure.com/signup?offer=ms-azr-0044p&appId=102&ref=paidmedia-social-fb&redirectURL=https%3a%2f%2fazure.microsoft.com%2fen-gb%2fget-started%2fwelcome-to-azure%2f&l=en-gb&correlationId=ead86c34-1f10-49dd-a72b-6918462a2cbf</v></cell></row><row r="2648"><cell r="K2648" t="str"><v>July</v></cell><cell r="L2648"><v>43302</v></cell><cell r="M2648" t="str"><v>Tier 1</v></cell><cell r="N2648" t="str"><v>EMEA</v></cell><cell r="O2648" t="str"><v>United Kingdom</v></cell><cell r="P2648" t="str"><v>Trial</v></cell><cell r="Q2648" t="str"><v>Social</v></cell><cell r="R2648" t="str"><v>Azure</v></cell><cell r="S2648" t="str"><v>Apps & Infra</v></cell><cell r="T2648" t="str"><v>Developers & ITI's</v></cell><cell r="U2648" t="str"><v>Audience & Interest Targeting</v></cell><cell r="V2648" t="str"><v>Audience Targeting</v></cell><cell r="W2648" t="str"><v>Link Ad</v></cell><cell r="X2648" t="str"><v>1x1</v></cell></row><row r="2648"><cell r="AA2648"><v>43300</v></cell><cell r="AB2648" t="str"><v>GBR_gaPMG_CE_AZR_Q1_19_Trial-Social</v></cell><cell r="AC2648"><v>21337013</v></cell><cell r="AD2648"><v>720196</v></cell><cell r="AE2648" t="str"><v>Facebook</v></cell><cell r="AF2648"><v>3654128</v></cell><cell r="AG2648" t="str"><v>Facebook»Audience & Interest Targeting»1x1»SocialBan»LIA»DT»CPC»AUT»W»NA»SS»NA»Benefit 2 in Motion</v></cell><cell r="AH2648"><v>224334170</v></cell><cell r="AI2648" t="str"><v>AzurePlatform_FBCTCcanvaspage-StartFreeCTA-Img2_GBR_1080x143 _SOC_Plat_English_NA_Standard_NA_NA_T2_1</v></cell><cell r="AJ2648"><v>103235146</v></cell></row><row r="2649"><cell r="C2649" t="str"><v>43300Facebook»Audience & Interest Targeting»1x1»SocialBan»LIA»DT»CPC»AUT»W»NA»SS»NA»Brand in Motion</v></cell><cell r="D2649" t="str"><v>43300224549481</v></cell><cell r="E2649" t="str"><v>43300103235146Motion</v></cell><cell r="F2649" t="str"><v>DCM</v></cell><cell r="G2649" t="str"><v>https://signup.azure.com/signup?offer=ms-azr-0044p&appId=102&ref=paidmedia-social-fb&redirectURL=https%3a%2f%2fazure.microsoft.com%2fen-gb%2fget-started%2fwelcome-to-azure%2f&l=en-gb&correlationId=ead86c34-1f10-49dd-a72b-6918462a2cbf</v></cell></row><row r="2649"><cell r="K2649" t="str"><v>July</v></cell><cell r="L2649"><v>43302</v></cell><cell r="M2649" t="str"><v>Tier 1</v></cell><cell r="N2649" t="str"><v>EMEA</v></cell><cell r="O2649" t="str"><v>United Kingdom</v></cell><cell r="P2649" t="str"><v>Trial</v></cell><cell r="Q2649" t="str"><v>Social</v></cell><cell r="R2649" t="str"><v>Azure</v></cell><cell r="S2649" t="str"><v>Apps & Infra</v></cell><cell r="T2649" t="str"><v>Developers & ITI's</v></cell><cell r="U2649" t="str"><v>Audience & Interest Targeting</v></cell><cell r="V2649" t="str"><v>Audience Targeting</v></cell><cell r="W2649" t="str"><v>Link Ad</v></cell><cell r="X2649" t="str"><v>1x1</v></cell></row><row r="2649"><cell r="AA2649"><v>43300</v></cell><cell r="AB2649" t="str"><v>GBR_gaPMG_CE_AZR_Q1_19_Trial-Social</v></cell><cell r="AC2649"><v>21337013</v></cell><cell r="AD2649"><v>720196</v></cell><cell r="AE2649" t="str"><v>Facebook</v></cell><cell r="AF2649"><v>3654128</v></cell><cell r="AG2649" t="str"><v>Facebook»Audience & Interest Targeting»1x1»SocialBan»LIA»DT»CPC»AUT»W»NA»SS»NA»Brand in Motion</v></cell><cell r="AH2649"><v>224549481</v></cell><cell r="AI2649" t="str"><v>AzurePlatform_FBCTCcanvaspage-StartFreeCTA-Img2_GBR_1080x143 _SOC_Plat_English_NA_Standard_NA_NA_T2_1</v></cell><cell r="AJ2649"><v>103235146</v></cell></row><row r="2650"><cell r="C2650" t="str"><v>43300Facebook»Audience & Interest Targeting»1x1»SocialBan»LIA»DT»DYN»AUT»W»NA»SS»NA»Free Account Refresh- 12 months ChE</v></cell><cell r="D2650" t="str"><v>43300223567691</v></cell><cell r="E2650" t="str"><v>43300102854007hs ChE</v></cell><cell r="F2650" t="str"><v>DCM</v></cell><cell r="G2650" t="str"><v>https://azure.microsoft.com/en-gb/free/search/</v></cell></row><row r="2650"><cell r="K2650" t="str"><v>July</v></cell><cell r="L2650"><v>43302</v></cell><cell r="M2650" t="str"><v>Tier 1</v></cell><cell r="N2650" t="str"><v>EMEA</v></cell><cell r="O2650" t="str"><v>United Kingdom</v></cell><cell r="P2650" t="str"><v>Trial</v></cell><cell r="Q2650" t="str"><v>Social</v></cell><cell r="R2650" t="str"><v>Azure</v></cell><cell r="S2650" t="str"><v>Apps & Infra</v></cell><cell r="T2650" t="str"><v>Developers & ITI's</v></cell><cell r="U2650" t="str"><v>Audience & Interest Targeting</v></cell><cell r="V2650" t="str"><v>Audience Targeting</v></cell><cell r="W2650" t="str"><v>Link Ad</v></cell><cell r="X2650" t="str"><v>1x1</v></cell></row><row r="2650"><cell r="AA2650"><v>43300</v></cell><cell r="AB2650" t="str"><v>GBR_gaPMG_CE_AZR_Q1_19_Trial-Social</v></cell><cell r="AC2650"><v>21337013</v></cell><cell r="AD2650"><v>720196</v></cell><cell r="AE2650" t="str"><v>Facebook</v></cell><cell r="AF2650"><v>3654128</v></cell><cell r="AG2650" t="str"><v>Facebook»Audience & Interest Targeting»1x1»SocialBan»LIA»DT»DYN»AUT»W»NA»SS»NA»Free Account Refresh- 12 months ChE</v></cell><cell r="AH2650"><v>223567691</v></cell><cell r="AI2650" t="str"><v>AzurePlatform_FreeAcctAppsFACEBOOK12monthsChE_GBR_1200x628_SOC_PLAT_EN_Trial_Standard_NA_SU_T5_1</v></cell><cell r="AJ2650"><v>102854007</v></cell></row><row r="2651"><cell r="C2651" t="str"><v>43300Facebook»Audience & Interest Targeting»1x1»SocialBan»LIA»DT»DYN»AUT»W»NA»SS»NA»Free Account Refresh- 200 Credit ChD</v></cell><cell r="D2651" t="str"><v>43300223560359</v></cell><cell r="E2651" t="str"><v>43300103005662it ChD</v></cell><cell r="F2651" t="str"><v>DCM</v></cell><cell r="G2651" t="str"><v>https://azure.microsoft.com/en-gb/free/search/</v></cell></row><row r="2651"><cell r="K2651" t="str"><v>July</v></cell><cell r="L2651"><v>43302</v></cell><cell r="M2651" t="str"><v>Tier 1</v></cell><cell r="N2651" t="str"><v>EMEA</v></cell><cell r="O2651" t="str"><v>United Kingdom</v></cell><cell r="P2651" t="str"><v>Trial</v></cell><cell r="Q2651" t="str"><v>Social</v></cell><cell r="R2651" t="str"><v>Azure</v></cell><cell r="S2651" t="str"><v>Apps & Infra</v></cell><cell r="T2651" t="str"><v>Developers & ITI's</v></cell><cell r="U2651" t="str"><v>Audience & Interest Targeting</v></cell><cell r="V2651" t="str"><v>Audience Targeting</v></cell><cell r="W2651" t="str"><v>Link Ad</v></cell><cell r="X2651" t="str"><v>1x1</v></cell></row><row r="2651"><cell r="AA2651"><v>43300</v></cell><cell r="AB2651" t="str"><v>GBR_gaPMG_CE_AZR_Q1_19_Trial-Social</v></cell><cell r="AC2651"><v>21337013</v></cell><cell r="AD2651"><v>720196</v></cell><cell r="AE2651" t="str"><v>Facebook</v></cell><cell r="AF2651"><v>3654128</v></cell><cell r="AG2651" t="str"><v>Facebook»Audience & Interest Targeting»1x1»SocialBan»LIA»DT»DYN»AUT»W»NA»SS»NA»Free Account Refresh- 200 Credit ChD</v></cell><cell r="AH2651"><v>223560359</v></cell><cell r="AI2651" t="str"><v>AzurePlatform_FreeAcctAppsFACEBOOK200CreditChD_GBR_1200x628_SOC_PLAT_EN_Trial_Standard_NA_SU_T4_1</v></cell><cell r="AJ2651"><v>103005662</v></cell></row><row r="2652"><cell r="C2652" t="str"><v>43300Facebook»Audience & Interest Targeting»1x1»SocialBan»LIA»DT»DYN»AUT»W»NA»SS»NA»Free Account Refresh- Device ChB</v></cell><cell r="D2652" t="str"><v>43300223560353</v></cell><cell r="E2652" t="str"><v>43300102854010ce ChB</v></cell><cell r="F2652" t="str"><v>DCM</v></cell><cell r="G2652" t="str"><v>https://azure.microsoft.com/en-gb/free/search/</v></cell></row><row r="2652"><cell r="K2652" t="str"><v>July</v></cell><cell r="L2652"><v>43302</v></cell><cell r="M2652" t="str"><v>Tier 1</v></cell><cell r="N2652" t="str"><v>EMEA</v></cell><cell r="O2652" t="str"><v>United Kingdom</v></cell><cell r="P2652" t="str"><v>Trial</v></cell><cell r="Q2652" t="str"><v>Social</v></cell><cell r="R2652" t="str"><v>Azure</v></cell><cell r="S2652" t="str"><v>Apps & Infra</v></cell><cell r="T2652" t="str"><v>Developers & ITI's</v></cell><cell r="U2652" t="str"><v>Audience & Interest Targeting</v></cell><cell r="V2652" t="str"><v>Audience Targeting</v></cell><cell r="W2652" t="str"><v>Link Ad</v></cell><cell r="X2652" t="str"><v>1x1</v></cell></row><row r="2652"><cell r="AA2652"><v>43300</v></cell><cell r="AB2652" t="str"><v>GBR_gaPMG_CE_AZR_Q1_19_Trial-Social</v></cell><cell r="AC2652"><v>21337013</v></cell><cell r="AD2652"><v>720196</v></cell><cell r="AE2652" t="str"><v>Facebook</v></cell><cell r="AF2652"><v>3654128</v></cell><cell r="AG2652" t="str"><v>Facebook»Audience & Interest Targeting»1x1»SocialBan»LIA»DT»DYN»AUT»W»NA»SS»NA»Free Account Refresh- Device ChB</v></cell><cell r="AH2652"><v>223560353</v></cell><cell r="AI2652" t="str"><v>AzurePlatform_FreeAcctAppsFACEBOOKDeviceChB_GBR_1200x628_SOC_PLAT_EN_Trial_Standard_NA_SU_T2_1</v></cell><cell r="AJ2652"><v>102854010</v></cell></row><row r="2653"><cell r="C2653" t="str"><v>43300Facebook»Audience & Interest Targeting»1x1»SocialBan»LIA»DT»DYN»AUT»W»NA»SS»NA»Free Account Refresh- Illustration ChC</v></cell><cell r="D2653" t="str"><v>43300223560347</v></cell><cell r="E2653" t="str"><v>43300102857037on ChC</v></cell><cell r="F2653" t="str"><v>DCM</v></cell><cell r="G2653" t="str"><v>https://azure.microsoft.com/en-gb/free/search/</v></cell></row><row r="2653"><cell r="K2653" t="str"><v>July</v></cell><cell r="L2653"><v>43302</v></cell><cell r="M2653" t="str"><v>Tier 1</v></cell><cell r="N2653" t="str"><v>EMEA</v></cell><cell r="O2653" t="str"><v>United Kingdom</v></cell><cell r="P2653" t="str"><v>Trial</v></cell><cell r="Q2653" t="str"><v>Social</v></cell><cell r="R2653" t="str"><v>Azure</v></cell><cell r="S2653" t="str"><v>Apps & Infra</v></cell><cell r="T2653" t="str"><v>Developers & ITI's</v></cell><cell r="U2653" t="str"><v>Audience & Interest Targeting</v></cell><cell r="V2653" t="str"><v>Audience Targeting</v></cell><cell r="W2653" t="str"><v>Link Ad</v></cell><cell r="X2653" t="str"><v>1x1</v></cell></row><row r="2653"><cell r="AA2653"><v>43300</v></cell><cell r="AB2653" t="str"><v>GBR_gaPMG_CE_AZR_Q1_19_Trial-Social</v></cell><cell r="AC2653"><v>21337013</v></cell><cell r="AD2653"><v>720196</v></cell><cell r="AE2653" t="str"><v>Facebook</v></cell><cell r="AF2653"><v>3654128</v></cell><cell r="AG2653" t="str"><v>Facebook»Audience & Interest Targeting»1x1»SocialBan»LIA»DT»DYN»AUT»W»NA»SS»NA»Free Account Refresh- Illustration ChC</v></cell><cell r="AH2653"><v>223560347</v></cell><cell r="AI2653" t="str"><v>AzurePlatform_FreeAcctAppsFACEBOOKIllustrationChC_GBR_1200x628_SOC_PLAT_EN_Trial_Standard_NA_SU_T3_1</v></cell><cell r="AJ2653"><v>102857037</v></cell></row><row r="2654"><cell r="C2654" t="str"><v>43300Facebook»Audience & Interest Targeting»1x1»SocialBan»LIA»DT»DYN»AUT»W»NA»SS»NA»Free Account Refresh- Lifestyle ChA</v></cell><cell r="D2654" t="str"><v>43300223560341</v></cell><cell r="E2654" t="str"><v>43300102853597le ChA</v></cell><cell r="F2654" t="str"><v>DCM</v></cell><cell r="G2654" t="str"><v>https://azure.microsoft.com/en-gb/free/search/</v></cell></row><row r="2654"><cell r="K2654" t="str"><v>July</v></cell><cell r="L2654"><v>43302</v></cell><cell r="M2654" t="str"><v>Tier 1</v></cell><cell r="N2654" t="str"><v>EMEA</v></cell><cell r="O2654" t="str"><v>United Kingdom</v></cell><cell r="P2654" t="str"><v>Trial</v></cell><cell r="Q2654" t="str"><v>Social</v></cell><cell r="R2654" t="str"><v>Azure</v></cell><cell r="S2654" t="str"><v>Apps & Infra</v></cell><cell r="T2654" t="str"><v>Developers & ITI's</v></cell><cell r="U2654" t="str"><v>Audience & Interest Targeting</v></cell><cell r="V2654" t="str"><v>Audience Targeting</v></cell><cell r="W2654" t="str"><v>Link Ad</v></cell><cell r="X2654" t="str"><v>1x1</v></cell></row><row r="2654"><cell r="AA2654"><v>43300</v></cell><cell r="AB2654" t="str"><v>GBR_gaPMG_CE_AZR_Q1_19_Trial-Social</v></cell><cell r="AC2654"><v>21337013</v></cell><cell r="AD2654"><v>720196</v></cell><cell r="AE2654" t="str"><v>Facebook</v></cell><cell r="AF2654"><v>3654128</v></cell><cell r="AG2654" t="str"><v>Facebook»Audience & Interest Targeting»1x1»SocialBan»LIA»DT»DYN»AUT»W»NA»SS»NA»Free Account Refresh- Lifestyle ChA</v></cell><cell r="AH2654"><v>223560341</v></cell><cell r="AI2654" t="str"><v>AzurePlatform_FreeAcctAppsFACEBOOKLifestyleChA_GBR_1200x628_SOC_PLAT_EN_Trial_Standard_NA_SU_T1_1</v></cell><cell r="AJ2654"><v>102853597</v></cell></row><row r="2655"><cell r="C2655" t="str"><v>43300Facebook»Retargeting»1x1»SocialBan»LIA»DT»DYN»RT»W»NA»SS»NA»Free Account Retargeting Generic- Animated ChC</v></cell><cell r="D2655" t="str"><v>43300223560299</v></cell><cell r="E2655" t="str"><v>43300102854019ed ChC</v></cell><cell r="F2655" t="str"><v>DCM</v></cell><cell r="G2655" t="str"><v>https://azure.microsoft.com/en-gb/free/search/</v></cell></row><row r="2655"><cell r="K2655" t="str"><v>July</v></cell><cell r="L2655"><v>43302</v></cell><cell r="M2655" t="str"><v>Tier 1</v></cell><cell r="N2655" t="str"><v>EMEA</v></cell><cell r="O2655" t="str"><v>United Kingdom</v></cell><cell r="P2655" t="str"><v>Trial</v></cell><cell r="Q2655" t="str"><v>Social</v></cell><cell r="R2655" t="str"><v>Azure</v></cell><cell r="S2655" t="str"><v>Apps & Infra</v></cell><cell r="T2655" t="str"><v>Developers & ITI's</v></cell><cell r="U2655" t="str"><v>Retargeting</v></cell><cell r="V2655" t="str"><v>Retargeting</v></cell><cell r="W2655" t="str"><v>Link Ad</v></cell><cell r="X2655" t="str"><v>1x1</v></cell></row><row r="2655"><cell r="AA2655"><v>43300</v></cell><cell r="AB2655" t="str"><v>GBR_gaPMG_CE_AZR_Q1_19_Trial-Social</v></cell><cell r="AC2655"><v>21337013</v></cell><cell r="AD2655"><v>720196</v></cell><cell r="AE2655" t="str"><v>Facebook</v></cell><cell r="AF2655"><v>3654128</v></cell><cell r="AG2655" t="str"><v>Facebook»Retargeting»1x1»SocialBan»LIA»DT»DYN»RT»W»NA»SS»NA»Free Account Retargeting Generic- Animated ChC</v></cell><cell r="AH2655"><v>223560299</v></cell><cell r="AI2655" t="str"><v>AzurePlatform_FreeAcctRetargetingFB-Animated-ChC_GBR_1200x628_SOC_Plat_EN_Free Account_Standard_ANI_SU_T3_1</v></cell><cell r="AJ2655"><v>102854019</v></cell></row><row r="2656"><cell r="C2656" t="str"><v>43300Facebook»Retargeting»1x1»SocialBan»LIA»DT»DYN»RT»W»NA»SS»NA»Free Account Retargeting Generic- Global Alt ChB</v></cell><cell r="D2656" t="str"><v>43300223560356</v></cell><cell r="E2656" t="str"><v>43300102854016lt ChB</v></cell><cell r="F2656" t="str"><v>DCM</v></cell><cell r="G2656" t="str"><v>https://azure.microsoft.com/en-gb/free/search/</v></cell></row><row r="2656"><cell r="K2656" t="str"><v>July</v></cell><cell r="L2656"><v>43302</v></cell><cell r="M2656" t="str"><v>Tier 1</v></cell><cell r="N2656" t="str"><v>EMEA</v></cell><cell r="O2656" t="str"><v>United Kingdom</v></cell><cell r="P2656" t="str"><v>Trial</v></cell><cell r="Q2656" t="str"><v>Social</v></cell><cell r="R2656" t="str"><v>Azure</v></cell><cell r="S2656" t="str"><v>Apps & Infra</v></cell><cell r="T2656" t="str"><v>Developers & ITI's</v></cell><cell r="U2656" t="str"><v>Retargeting</v></cell><cell r="V2656" t="str"><v>Retargeting</v></cell><cell r="W2656" t="str"><v>Link Ad</v></cell><cell r="X2656" t="str"><v>1x1</v></cell></row><row r="2656"><cell r="AA2656"><v>43300</v></cell><cell r="AB2656" t="str"><v>GBR_gaPMG_CE_AZR_Q1_19_Trial-Social</v></cell><cell r="AC2656"><v>21337013</v></cell><cell r="AD2656"><v>720196</v></cell><cell r="AE2656" t="str"><v>Facebook</v></cell><cell r="AF2656"><v>3654128</v></cell><cell r="AG2656" t="str"><v>Facebook»Retargeting»1x1»SocialBan»LIA»DT»DYN»RT»W»NA»SS»NA»Free Account Retargeting Generic- Global Alt ChB</v></cell><cell r="AH2656"><v>223560356</v></cell><cell r="AI2656" t="str"><v>AzurePlatform_FreeAcctRetargetingFB-GlobalAlt-ChB_GBR_1200x628_SOC_Plat_EN_Free Account_Standard_NA_SU_T2_1</v></cell><cell r="AJ2656"><v>102854016</v></cell></row><row r="2657"><cell r="C2657" t="str"><v>43300Facebook»Retargeting»1x1»SocialBan»LIA»DT»DYN»RT»W»NA»SS»NA»Free Account Retargeting OSS- Logos ChG</v></cell><cell r="D2657" t="str"><v>43300223560350</v></cell><cell r="E2657" t="str"><v>43300103006547os ChG</v></cell><cell r="F2657" t="str"><v>DCM</v></cell><cell r="G2657" t="str"><v>https://azure.microsoft.com/en-gb/free/open-source/search/</v></cell></row><row r="2657"><cell r="K2657" t="str"><v>July</v></cell><cell r="L2657"><v>43302</v></cell><cell r="M2657" t="str"><v>Tier 1</v></cell><cell r="N2657" t="str"><v>EMEA</v></cell><cell r="O2657" t="str"><v>United Kingdom</v></cell><cell r="P2657" t="str"><v>Trial</v></cell><cell r="Q2657" t="str"><v>Social</v></cell><cell r="R2657" t="str"><v>Azure</v></cell><cell r="S2657" t="str"><v>Apps & Infra</v></cell><cell r="T2657" t="str"><v>Developers & ITI's</v></cell><cell r="U2657" t="str"><v>Retargeting</v></cell><cell r="V2657" t="str"><v>Retargeting</v></cell><cell r="W2657" t="str"><v>Link Ad</v></cell><cell r="X2657" t="str"><v>1x1</v></cell></row><row r="2657"><cell r="AA2657"><v>43300</v></cell><cell r="AB2657" t="str"><v>GBR_gaPMG_CE_AZR_Q1_19_Trial-Social</v></cell><cell r="AC2657"><v>21337013</v></cell><cell r="AD2657"><v>720196</v></cell><cell r="AE2657" t="str"><v>Facebook</v></cell><cell r="AF2657"><v>3654128</v></cell><cell r="AG2657" t="str"><v>Facebook»Retargeting»1x1»SocialBan»LIA»DT»DYN»RT»W»NA»SS»NA»Free Account Retargeting OSS- Logos ChG</v></cell><cell r="AH2657"><v>223560350</v></cell><cell r="AI2657" t="str"><v>AzurePlatform_FreeAcctRetargetingOSSFB-Logos-ChG_GBR_1200x628_SOC_Plat_EN_Free Account_Standard_NA_SU_T2_1</v></cell><cell r="AJ2657"><v>103006547</v></cell></row><row r="2658"><cell r="C2658" t="str"><v>43300Facebook»Retargeting»1x1»SocialBan»LIA»DT»DYN»RT»W»NA»SS»NA»Free Account Retargeting OSS- Text ChF</v></cell><cell r="D2658" t="str"><v>43300223560344</v></cell><cell r="E2658" t="str"><v>43300102861246xt ChF</v></cell><cell r="F2658" t="str"><v>DCM</v></cell><cell r="G2658" t="str"><v>https://azure.microsoft.com/en-gb/free/open-source/search/</v></cell></row><row r="2658"><cell r="K2658" t="str"><v>July</v></cell><cell r="L2658"><v>43302</v></cell><cell r="M2658" t="str"><v>Tier 1</v></cell><cell r="N2658" t="str"><v>EMEA</v></cell><cell r="O2658" t="str"><v>United Kingdom</v></cell><cell r="P2658" t="str"><v>Trial</v></cell><cell r="Q2658" t="str"><v>Social</v></cell><cell r="R2658" t="str"><v>Azure</v></cell><cell r="S2658" t="str"><v>Apps & Infra</v></cell><cell r="T2658" t="str"><v>Developers & ITI's</v></cell><cell r="U2658" t="str"><v>Retargeting</v></cell><cell r="V2658" t="str"><v>Retargeting</v></cell><cell r="W2658" t="str"><v>Link Ad</v></cell><cell r="X2658" t="str"><v>1x1</v></cell></row><row r="2658"><cell r="AA2658"><v>43300</v></cell><cell r="AB2658" t="str"><v>GBR_gaPMG_CE_AZR_Q1_19_Trial-Social</v></cell><cell r="AC2658"><v>21337013</v></cell><cell r="AD2658"><v>720196</v></cell><cell r="AE2658" t="str"><v>Facebook</v></cell><cell r="AF2658"><v>3654128</v></cell><cell r="AG2658" t="str"><v>Facebook»Retargeting»1x1»SocialBan»LIA»DT»DYN»RT»W»NA»SS»NA»Free Account Retargeting OSS- Text ChF</v></cell><cell r="AH2658"><v>223560344</v></cell><cell r="AI2658" t="str"><v>AzurePlatform_FreeAcctRetargetingOSSFB-Text-ChF_GBR_1200x628_SOC_Plat_EN_Free Account_Standard_NA_SU_T1_1</v></cell><cell r="AJ2658"><v>102861246</v></cell></row><row r="2659"><cell r="C2659" t="str"><v>43300Facebook»Retargeting»1x1»SocialBan»LIA»DT»DYN»RT»W»NA»SS»NA»Free Account Retargeting VM- 750 Hrs ChD</v></cell><cell r="D2659" t="str"><v>43300223560338</v></cell><cell r="E2659" t="str"><v>43300102853603rs ChD</v></cell><cell r="F2659" t="str"><v>DCM</v></cell><cell r="G2659" t="str"><v>https://azure.microsoft.com/en-gb/free/virtual-machines/search/</v></cell></row><row r="2659"><cell r="K2659" t="str"><v>July</v></cell><cell r="L2659"><v>43302</v></cell><cell r="M2659" t="str"><v>Tier 1</v></cell><cell r="N2659" t="str"><v>EMEA</v></cell><cell r="O2659" t="str"><v>United Kingdom</v></cell><cell r="P2659" t="str"><v>Trial</v></cell><cell r="Q2659" t="str"><v>Social</v></cell><cell r="R2659" t="str"><v>Azure</v></cell><cell r="S2659" t="str"><v>Apps & Infra</v></cell><cell r="T2659" t="str"><v>Developers & ITI's</v></cell><cell r="U2659" t="str"><v>Retargeting</v></cell><cell r="V2659" t="str"><v>Retargeting</v></cell><cell r="W2659" t="str"><v>Link Ad</v></cell><cell r="X2659" t="str"><v>1x1</v></cell></row><row r="2659"><cell r="AA2659"><v>43300</v></cell><cell r="AB2659" t="str"><v>GBR_gaPMG_CE_AZR_Q1_19_Trial-Social</v></cell><cell r="AC2659"><v>21337013</v></cell><cell r="AD2659"><v>720196</v></cell><cell r="AE2659" t="str"><v>Facebook</v></cell><cell r="AF2659"><v>3654128</v></cell><cell r="AG2659" t="str"><v>Facebook»Retargeting»1x1»SocialBan»LIA»DT»DYN»RT»W»NA»SS»NA»Free Account Retargeting VM- 750 Hrs ChD</v></cell><cell r="AH2659"><v>223560338</v></cell><cell r="AI2659" t="str"><v>AzurePlatform_FreeAcctRetargetingVMFB-750Hrs-ChD_GBR_1200x628_SOC_Plat_EN_Free Account_Standard_NA_SU_T1_1</v></cell><cell r="AJ2659"><v>102853603</v></cell></row><row r="2660"><cell r="C2660" t="str"><v>43300Facebook»Retargeting»1x1»SocialBan»LIA»DT»DYN»RT»W»NA»SS»NA»Free Account Retargeting VM- On Demand ChE</v></cell><cell r="D2660" t="str"><v>43300223560332</v></cell><cell r="E2660" t="str"><v>43300102854037nd ChE</v></cell><cell r="F2660" t="str"><v>DCM</v></cell><cell r="G2660" t="str"><v>https://azure.microsoft.com/en-gb/free/virtual-machines/search/</v></cell></row><row r="2660"><cell r="K2660" t="str"><v>July</v></cell><cell r="L2660"><v>43302</v></cell><cell r="M2660" t="str"><v>Tier 1</v></cell><cell r="N2660" t="str"><v>EMEA</v></cell><cell r="O2660" t="str"><v>United Kingdom</v></cell><cell r="P2660" t="str"><v>Trial</v></cell><cell r="Q2660" t="str"><v>Social</v></cell><cell r="R2660" t="str"><v>Azure</v></cell><cell r="S2660" t="str"><v>Apps & Infra</v></cell><cell r="T2660" t="str"><v>Developers & ITI's</v></cell><cell r="U2660" t="str"><v>Retargeting</v></cell><cell r="V2660" t="str"><v>Retargeting</v></cell><cell r="W2660" t="str"><v>Link Ad</v></cell><cell r="X2660" t="str"><v>1x1</v></cell></row><row r="2660"><cell r="AA2660"><v>43300</v></cell><cell r="AB2660" t="str"><v>GBR_gaPMG_CE_AZR_Q1_19_Trial-Social</v></cell><cell r="AC2660"><v>21337013</v></cell><cell r="AD2660"><v>720196</v></cell><cell r="AE2660" t="str"><v>Facebook</v></cell><cell r="AF2660"><v>3654128</v></cell><cell r="AG2660" t="str"><v>Facebook»Retargeting»1x1»SocialBan»LIA»DT»DYN»RT»W»NA»SS»NA»Free Account Retargeting VM- On Demand ChE</v></cell><cell r="AH2660"><v>223560332</v></cell><cell r="AI2660" t="str"><v>AzurePlatform_FreeAcctRetargetingVMFB-OnDemand-ChE_GBR_1200x628_SOC_Plat_EN_Free Account_Standard_NA_SU_T2_1</v></cell><cell r="AJ2660"><v>102854037</v></cell></row><row r="2661"><cell r="C2661" t="str"><v>43300Facebook»AZP-Canvas-Interest&Role-Trial»1x1»Canvas»OTH»MO»CPM»PRO»X»UNK»TP»OT»Canvas-Trial</v></cell><cell r="D2661" t="str"><v>43300223298805</v></cell><cell r="E2661" t="str"><v>43300102609621-Trial</v></cell><cell r="F2661" t="str"><v>DCM</v></cell><cell r="G2661" t="str"><v>https://signup.azure.com/signup?offer=ms-azr-0044p&appId=102&ref=paidmedia-social-fb&redirectURL=https%3a%2f%2fazure.microsoft.com%2fja-jp%2fget-started%2fwelcome-to-azure%2f&l=ja-jp&correlationId=ead86c34-1f10-49dd-a72b-6918462a2cbf</v></cell></row><row r="2661"><cell r="K2661" t="str"><v>July</v></cell><cell r="L2661"><v>43302</v></cell><cell r="M2661" t="str"><v>Tier 1</v></cell><cell r="N2661" t="str"><v>APAC</v></cell><cell r="O2661" t="str"><v>Japan</v></cell><cell r="P2661" t="str"><v>Trial</v></cell><cell r="Q2661" t="str"><v>Social</v></cell><cell r="R2661" t="str"><v>Azure</v></cell><cell r="S2661" t="str"><v>Apps & Infra</v></cell><cell r="T2661" t="str"><v>Developers & ITI's</v></cell><cell r="U2661" t="str"><v>AZP-Canvas-Interest&Role-Trial</v></cell><cell r="V2661" t="str"><v>Prospecting</v></cell><cell r="W2661" t="str"><v>Other</v></cell><cell r="X2661" t="str"><v>1x1</v></cell></row><row r="2661"><cell r="AA2661"><v>43300</v></cell><cell r="AB2661" t="str"><v>JPN_gaPMG_AZR_AZR_Q1_19_Trial-Social</v></cell><cell r="AC2661"><v>21276694</v></cell><cell r="AD2661"><v>720195</v></cell><cell r="AE2661" t="str"><v>Facebook</v></cell><cell r="AF2661"><v>3654128</v></cell><cell r="AG2661" t="str"><v>Facebook»AZP-Canvas-Interest&Role-Trial»1x1»Canvas»OTH»MO»CPM»PRO»X»UNK»TP»OT»Canvas-Trial</v></cell><cell r="AH2661"><v>223298805</v></cell><cell r="AI2661" t="str"><v>AzurePlatform_FBCTCcanvaspage-StartFreeCTA-Img2_JPN_1080x143 _SOC_Plat_Japanese_NA_Standard_NA_NA_T2_1</v></cell><cell r="AJ2661"><v>102609621</v></cell></row><row r="2662"><cell r="C2662" t="str"><v>43300Facebook»AZP-Canvas-Look a Like-Trial»1x1»Canvas»OTH»MO»CPM»PRO»X»UNK»TP»OT»Canvas-Trial</v></cell><cell r="D2662" t="str"><v>43300223297413</v></cell><cell r="E2662" t="str"><v>43300102630373-Trial</v></cell><cell r="F2662" t="str"><v>DCM</v></cell><cell r="G2662" t="str"><v>https://azure.microsoft.com/ja-jp/pricing/purchase-options/</v></cell></row><row r="2662"><cell r="K2662" t="str"><v>July</v></cell><cell r="L2662"><v>43302</v></cell><cell r="M2662" t="str"><v>Tier 1</v></cell><cell r="N2662" t="str"><v>APAC</v></cell><cell r="O2662" t="str"><v>Japan</v></cell><cell r="P2662" t="str"><v>Trial</v></cell><cell r="Q2662" t="str"><v>Social</v></cell><cell r="R2662" t="str"><v>Azure</v></cell><cell r="S2662" t="str"><v>Apps & Infra</v></cell><cell r="T2662" t="str"><v>Developers & ITI's</v></cell><cell r="U2662" t="str"><v>AZP-Canvas-Look a Like-Trial</v></cell><cell r="V2662" t="str"><v>Prospecting</v></cell><cell r="W2662" t="str"><v>Other</v></cell><cell r="X2662" t="str"><v>1x1</v></cell></row><row r="2662"><cell r="AA2662"><v>43300</v></cell><cell r="AB2662" t="str"><v>JPN_gaPMG_AZR_AZR_Q1_19_Trial-Social</v></cell><cell r="AC2662"><v>21276694</v></cell><cell r="AD2662"><v>720195</v></cell><cell r="AE2662" t="str"><v>Facebook</v></cell><cell r="AF2662"><v>3654128</v></cell><cell r="AG2662" t="str"><v>Facebook»AZP-Canvas-Look a Like-Trial»1x1»Canvas»OTH»MO»CPM»PRO»X»UNK»TP»OT»Canvas-Trial</v></cell><cell r="AH2662"><v>223297413</v></cell><cell r="AI2662" t="str"><v>AzurePlatform_FBCTCcanvaspage-BuyNowCTA-Img3_JPN_1080x162_SOC_Plat_Japanese_NA_Standard_NA_BN_T3_1</v></cell><cell r="AJ2662"><v>102630373</v></cell></row><row r="2663"><cell r="C2663" t="str"><v>43300Facebook»AZP-Canvas-Look a Like-Trial»1x1»Canvas»OTH»MO»CPM»PRO»X»UNK»TP»OT»Canvas-Trial</v></cell><cell r="D2663" t="str"><v>43300223297413</v></cell><cell r="E2663" t="str"><v>43300102609621-Trial</v></cell><cell r="F2663" t="str"><v>DCM</v></cell><cell r="G2663" t="str"><v>https://signup.azure.com/signup?offer=ms-azr-0044p&appId=102&ref=paidmedia-social-fb&redirectURL=https%3a%2f%2fazure.microsoft.com%2fja-jp%2fget-started%2fwelcome-to-azure%2f&l=ja-jp&correlationId=ead86c34-1f10-49dd-a72b-6918462a2cbf</v></cell></row><row r="2663"><cell r="K2663" t="str"><v>July</v></cell><cell r="L2663"><v>43302</v></cell><cell r="M2663" t="str"><v>Tier 1</v></cell><cell r="N2663" t="str"><v>APAC</v></cell><cell r="O2663" t="str"><v>Japan</v></cell><cell r="P2663" t="str"><v>Trial</v></cell><cell r="Q2663" t="str"><v>Social</v></cell><cell r="R2663" t="str"><v>Azure</v></cell><cell r="S2663" t="str"><v>Apps & Infra</v></cell><cell r="T2663" t="str"><v>Developers & ITI's</v></cell><cell r="U2663" t="str"><v>AZP-Canvas-Look a Like-Trial</v></cell><cell r="V2663" t="str"><v>Prospecting</v></cell><cell r="W2663" t="str"><v>Other</v></cell><cell r="X2663" t="str"><v>1x1</v></cell></row><row r="2663"><cell r="AA2663"><v>43300</v></cell><cell r="AB2663" t="str"><v>JPN_gaPMG_AZR_AZR_Q1_19_Trial-Social</v></cell><cell r="AC2663"><v>21276694</v></cell><cell r="AD2663"><v>720195</v></cell><cell r="AE2663" t="str"><v>Facebook</v></cell><cell r="AF2663"><v>3654128</v></cell><cell r="AG2663" t="str"><v>Facebook»AZP-Canvas-Look a Like-Trial»1x1»Canvas»OTH»MO»CPM»PRO»X»UNK»TP»OT»Canvas-Trial</v></cell><cell r="AH2663"><v>223297413</v></cell><cell r="AI2663" t="str"><v>AzurePlatform_FBCTCcanvaspage-StartFreeCTA-Img2_JPN_1080x143 _SOC_Plat_Japanese_NA_Standard_NA_NA_T2_1</v></cell><cell r="AJ2663"><v>102609621</v></cell></row><row r="2664"><cell r="C2664" t="str"><v>43300Facebook»AZP-Retargeting»1x1»Ban»LIA»ALL»CPM»RT»X»All»TP»OT»Free Account Retargeting Generic-ChB</v></cell><cell r="D2664" t="str"><v>43300223726377</v></cell><cell r="E2664" t="str"><v>43300102977720ic-ChB</v></cell><cell r="F2664" t="str"><v>DCM</v></cell><cell r="G2664" t="str"><v>https://azure.microsoft.com/ja-jp/free/search/</v></cell></row><row r="2664"><cell r="K2664" t="str"><v>July</v></cell><cell r="L2664"><v>43302</v></cell><cell r="M2664" t="str"><v>Tier 1</v></cell><cell r="N2664" t="str"><v>APAC</v></cell><cell r="O2664" t="str"><v>Japan</v></cell><cell r="P2664" t="str"><v>Trial</v></cell><cell r="Q2664" t="str"><v>Social</v></cell><cell r="R2664" t="str"><v>Azure</v></cell><cell r="S2664" t="str"><v>Apps & Infra</v></cell><cell r="T2664" t="str"><v>Developers & ITI's</v></cell><cell r="U2664" t="str"><v>AZP-Retargeting</v></cell><cell r="V2664" t="str"><v>Retargeting</v></cell><cell r="W2664" t="str"><v>Link Ad</v></cell><cell r="X2664" t="str"><v>1x1</v></cell></row><row r="2664"><cell r="AA2664"><v>43300</v></cell><cell r="AB2664" t="str"><v>JPN_gaPMG_AZR_AZR_Q1_19_Trial-Social</v></cell><cell r="AC2664"><v>21276694</v></cell><cell r="AD2664"><v>720195</v></cell><cell r="AE2664" t="str"><v>Facebook</v></cell><cell r="AF2664"><v>3654128</v></cell><cell r="AG2664" t="str"><v>Facebook»AZP-Retargeting»1x1»Ban»LIA»ALL»CPM»RT»X»All»TP»OT»Free Account Retargeting Generic-ChB</v></cell><cell r="AH2664"><v>223726377</v></cell><cell r="AI2664" t="str"><v>AzurePlatform_FreeAcctRetargetingFB-GlobalAlt-ChB_JPN_1200x628_SOC_Plat_JA_Free Account_Standard_NA_SU_T2_1</v></cell><cell r="AJ2664"><v>102977720</v></cell></row><row r="2665"><cell r="C2665" t="str"><v>43300Facebook»AZP-Retargeting»1x1»Ban»LIA»ALL»CPM»RT»X»All»TP»OT»Free Account Retargeting VM-ChE</v></cell><cell r="D2665" t="str"><v>43300223726371</v></cell><cell r="E2665" t="str"><v>43300102977723VM-ChE</v></cell><cell r="F2665" t="str"><v>DCM</v></cell><cell r="G2665" t="str"><v>https://azure.microsoft.com/ja-jp/free/virtual-machines/search/</v></cell></row><row r="2665"><cell r="K2665" t="str"><v>July</v></cell><cell r="L2665"><v>43302</v></cell><cell r="M2665" t="str"><v>Tier 1</v></cell><cell r="N2665" t="str"><v>APAC</v></cell><cell r="O2665" t="str"><v>Japan</v></cell><cell r="P2665" t="str"><v>Trial</v></cell><cell r="Q2665" t="str"><v>Social</v></cell><cell r="R2665" t="str"><v>Azure</v></cell><cell r="S2665" t="str"><v>Apps & Infra</v></cell><cell r="T2665" t="str"><v>Developers & ITI's</v></cell><cell r="U2665" t="str"><v>AZP-Retargeting</v></cell><cell r="V2665" t="str"><v>Retargeting</v></cell><cell r="W2665" t="str"><v>Link Ad</v></cell><cell r="X2665" t="str"><v>1x1</v></cell></row><row r="2665"><cell r="AA2665"><v>43300</v></cell><cell r="AB2665" t="str"><v>JPN_gaPMG_AZR_AZR_Q1_19_Trial-Social</v></cell><cell r="AC2665"><v>21276694</v></cell><cell r="AD2665"><v>720195</v></cell><cell r="AE2665" t="str"><v>Facebook</v></cell><cell r="AF2665"><v>3654128</v></cell><cell r="AG2665" t="str"><v>Facebook»AZP-Retargeting»1x1»Ban»LIA»ALL»CPM»RT»X»All»TP»OT»Free Account Retargeting VM-ChE</v></cell><cell r="AH2665"><v>223726371</v></cell><cell r="AI2665" t="str"><v>AzurePlatform_FreeAcctRetargetingVMFB-OnDemand-ChE_JPN_1200x628_SOC_Plat_JA_Free Account_Standard_NA_SU_T2_1</v></cell><cell r="AJ2665"><v>102977723</v></cell></row><row r="2666"><cell r="C2666" t="str"><v>43300Facebook»AZP-Retargeting»1x1»Canvas»OTH»MO»CPM»RT»W»UNK»TP»OT»Trial-Basicmotion</v></cell><cell r="D2666" t="str"><v>43300223298811</v></cell><cell r="E2666" t="str"><v>43300102773984motion</v></cell><cell r="F2666" t="str"><v>DCM</v></cell><cell r="G2666" t="str"><v>https://azure.microsoft.com/ja-jp/free/search/</v></cell></row><row r="2666"><cell r="K2666" t="str"><v>July</v></cell><cell r="L2666"><v>43302</v></cell><cell r="M2666" t="str"><v>Tier 1</v></cell><cell r="N2666" t="str"><v>APAC</v></cell><cell r="O2666" t="str"><v>Japan</v></cell><cell r="P2666" t="str"><v>Trial</v></cell><cell r="Q2666" t="str"><v>Social</v></cell><cell r="R2666" t="str"><v>Azure</v></cell><cell r="S2666" t="str"><v>Apps & Infra</v></cell><cell r="T2666" t="str"><v>Developers & ITI's</v></cell><cell r="U2666" t="str"><v>AZP-Retargeting</v></cell><cell r="V2666" t="str"><v>Retargeting</v></cell><cell r="W2666" t="str"><v>Other</v></cell><cell r="X2666" t="str"><v>1x1</v></cell></row><row r="2666"><cell r="AA2666"><v>43300</v></cell><cell r="AB2666" t="str"><v>JPN_gaPMG_AZR_AZR_Q1_19_Trial-Social</v></cell><cell r="AC2666"><v>21276694</v></cell><cell r="AD2666"><v>720195</v></cell><cell r="AE2666" t="str"><v>Facebook</v></cell><cell r="AF2666"><v>3654128</v></cell><cell r="AG2666" t="str"><v>Facebook»AZP-Retargeting»1x1»Canvas»OTH»MO»CPM»RT»W»UNK»TP»OT»Trial-Basicmotion</v></cell><cell r="AH2666"><v>223298811</v></cell><cell r="AI2666" t="str"><v>AzurePlatform_FBCTCBasicMotion_JPN_10sec_ISV_PLAT_JA_Trial_Standard_STAN_TN_T1_1</v></cell><cell r="AJ2666"><v>102773984</v></cell></row><row r="2667"><cell r="C2667" t="str"><v>43300Facebook»AZP-Retargeting»1x1»Canvas»OTH»MO»CPM»RT»W»UNK»TP»OT»Trial-BrandinMotion</v></cell><cell r="D2667" t="str"><v>43300223298823</v></cell><cell r="E2667" t="str"><v>43300102612720Motion</v></cell><cell r="F2667" t="str"><v>DCM</v></cell><cell r="G2667" t="str"><v>https://azure.microsoft.com/ja-jp/free/search/</v></cell></row><row r="2667"><cell r="K2667" t="str"><v>July</v></cell><cell r="L2667"><v>43302</v></cell><cell r="M2667" t="str"><v>Tier 1</v></cell><cell r="N2667" t="str"><v>APAC</v></cell><cell r="O2667" t="str"><v>Japan</v></cell><cell r="P2667" t="str"><v>Trial</v></cell><cell r="Q2667" t="str"><v>Social</v></cell><cell r="R2667" t="str"><v>Azure</v></cell><cell r="S2667" t="str"><v>Apps & Infra</v></cell><cell r="T2667" t="str"><v>Developers & ITI's</v></cell><cell r="U2667" t="str"><v>AZP-Retargeting</v></cell><cell r="V2667" t="str"><v>Retargeting</v></cell><cell r="W2667" t="str"><v>Other</v></cell><cell r="X2667" t="str"><v>1x1</v></cell></row><row r="2667"><cell r="AA2667"><v>43300</v></cell><cell r="AB2667" t="str"><v>JPN_gaPMG_AZR_AZR_Q1_19_Trial-Social</v></cell><cell r="AC2667"><v>21276694</v></cell><cell r="AD2667"><v>720195</v></cell><cell r="AE2667" t="str"><v>Facebook</v></cell><cell r="AF2667"><v>3654128</v></cell><cell r="AG2667" t="str"><v>Facebook»AZP-Retargeting»1x1»Canvas»OTH»MO»CPM»RT»W»UNK»TP»OT»Trial-BrandinMotion</v></cell><cell r="AH2667"><v>223298823</v></cell><cell r="AI2667" t="str"><v>AzurePlatform_FBCTCBrandinMotion_JPN_12sec_ISV_PLAT_JA_Trial_Standard_STAN_TN_T2_1</v></cell><cell r="AJ2667"><v>102612720</v></cell></row><row r="2668"><cell r="C2668" t="str"><v>43300FACEBOOK»USA-Trial-ITD-Interest Prospecting-AZR-AZR»1 x 1»SocialBan»CAN»ALL»CPA»PRO»X»NA»SS»NA»FBCTCBasicMotion»PRC1SV</v></cell><cell r="D2668" t="str"><v>43300223934062</v></cell><cell r="E2668" t="str"><v>43300103043823PRC1SV</v></cell><cell r="F2668" t="str"><v>DCM</v></cell><cell r="G2668" t="str"><v>https://signup.azure.com/?OCID=AID%eexcid!_OLA_%ebuy!_%epid!_%ecid!</v></cell></row><row r="2668"><cell r="K2668" t="str"><v>July</v></cell><cell r="L2668"><v>43302</v></cell><cell r="M2668" t="str"><v>Tier 0</v></cell><cell r="N2668" t="str"><v>North America</v></cell><cell r="O2668" t="str"><v>United States</v></cell><cell r="P2668" t="str"><v>Trial</v></cell><cell r="Q2668" t="str"><v>Social</v></cell><cell r="R2668" t="str"><v>Azure</v></cell><cell r="S2668" t="str"><v>Apps & Infra</v></cell><cell r="T2668" t="str"><v>Developers & ITI's</v></cell><cell r="U2668" t="str"><v>USA-Trial-ITD-Interest Prospecting-AZR-AZR</v></cell><cell r="V2668" t="str"><v>Prospecting</v></cell><cell r="W2668" t="str"><v>Canvas Ad</v></cell><cell r="X2668" t="str"><v>1x1</v></cell></row><row r="2668"><cell r="AA2668"><v>43300</v></cell><cell r="AB2668" t="str"><v>USA_gaPMG_AZR_AZR_Q1_19_Direct-Social</v></cell><cell r="AC2668"><v>21358715</v></cell><cell r="AD2668"><v>720197</v></cell><cell r="AE2668" t="str"><v>Facebook</v></cell><cell r="AF2668"><v>3654128</v></cell><cell r="AG2668" t="str"><v>FACEBOOK»USA-Trial-ITD-Interest Prospecting-AZR-AZR»1 x 1»SocialBan»CAN»ALL»CPA»PRO»X»NA»SS»NA»FBCTCBasicMotion»PRC1SV</v></cell><cell r="AH2668"><v>223934062</v></cell><cell r="AI2668" t="str"><v>AzurePlatform_FBCTCBasicMotion_USA_10s_CAN_PLATFORM_English_Trial_Standard_STAN_TIN_T1_1</v></cell><cell r="AJ2668"><v>103043823</v></cell></row><row r="2669"><cell r="C2669" t="str"><v>43300FACEBOOK»USA-Trial-ITD-Interest Prospecting-AZR-AZR»1 x 1»SocialBan»CAN»ALL»CPA»PRO»X»NA»SS»NA»FBCTCBasicMotion»PRC1SV</v></cell><cell r="D2669" t="str"><v>43300223934062</v></cell><cell r="E2669" t="str"><v>43300103175984PRC1SV</v></cell><cell r="F2669" t="str"><v>DCM</v></cell><cell r="G2669" t="str"><v>https://azure.microsoft.com/en-us/pricing/purchase-options/?v=18.19&OCID=AID%eexcid!_OLA_%ebuy!_%epid!_%ecid!</v></cell></row><row r="2669"><cell r="K2669" t="str"><v>July</v></cell><cell r="L2669"><v>43302</v></cell><cell r="M2669" t="str"><v>Tier 0</v></cell><cell r="N2669" t="str"><v>North America</v></cell><cell r="O2669" t="str"><v>United States</v></cell><cell r="P2669" t="str"><v>Trial</v></cell><cell r="Q2669" t="str"><v>Social</v></cell><cell r="R2669" t="str"><v>Azure</v></cell><cell r="S2669" t="str"><v>Apps & Infra</v></cell><cell r="T2669" t="str"><v>Developers & ITI's</v></cell><cell r="U2669" t="str"><v>USA-Trial-ITD-Interest Prospecting-AZR-AZR</v></cell><cell r="V2669" t="str"><v>Prospecting</v></cell><cell r="W2669" t="str"><v>Canvas Ad</v></cell><cell r="X2669" t="str"><v>1x1</v></cell></row><row r="2669"><cell r="AA2669"><v>43300</v></cell><cell r="AB2669" t="str"><v>USA_gaPMG_AZR_AZR_Q1_19_Direct-Social</v></cell><cell r="AC2669"><v>21358715</v></cell><cell r="AD2669"><v>720197</v></cell><cell r="AE2669" t="str"><v>Facebook</v></cell><cell r="AF2669"><v>3654128</v></cell><cell r="AG2669" t="str"><v>FACEBOOK»USA-Trial-ITD-Interest Prospecting-AZR-AZR»1 x 1»SocialBan»CAN»ALL»CPA»PRO»X»NA»SS»NA»FBCTCBasicMotion»PRC1SV</v></cell><cell r="AH2669"><v>223934062</v></cell><cell r="AI2669" t="str"><v>AzurePlatform_FBCTCBasicMotion_USA_10s_CAN_PLATFORM_English_Trial_Standard_STAN_TIN_T1_2</v></cell><cell r="AJ2669"><v>103175984</v></cell></row><row r="2670"><cell r="C2670" t="str"><v>43300FACEBOOK»USA-Trial-ITD-Interest Prospecting-AZR-AZR»1 x 1»SocialBan»CAN»ALL»CPA»PRO»X»NA»SS»NA»FBCTCBenefit2inMotion»PRC1SW</v></cell><cell r="D2670" t="str"><v>43300223933138</v></cell><cell r="E2670" t="str"><v>43300103043835PRC1SW</v></cell><cell r="F2670" t="str"><v>DCM</v></cell><cell r="G2670" t="str"><v>https://signup.azure.com/?OCID=AID%eexcid!_OLA_%ebuy!_%epid!_%ecid!</v></cell></row><row r="2670"><cell r="K2670" t="str"><v>July</v></cell><cell r="L2670"><v>43302</v></cell><cell r="M2670" t="str"><v>Tier 0</v></cell><cell r="N2670" t="str"><v>North America</v></cell><cell r="O2670" t="str"><v>United States</v></cell><cell r="P2670" t="str"><v>Trial</v></cell><cell r="Q2670" t="str"><v>Social</v></cell><cell r="R2670" t="str"><v>Azure</v></cell><cell r="S2670" t="str"><v>Apps & Infra</v></cell><cell r="T2670" t="str"><v>Developers & ITI's</v></cell><cell r="U2670" t="str"><v>USA-Trial-ITD-Interest Prospecting-AZR-AZR</v></cell><cell r="V2670" t="str"><v>Prospecting</v></cell><cell r="W2670" t="str"><v>Canvas Ad</v></cell><cell r="X2670" t="str"><v>1x1</v></cell></row><row r="2670"><cell r="AA2670"><v>43300</v></cell><cell r="AB2670" t="str"><v>USA_gaPMG_AZR_AZR_Q1_19_Direct-Social</v></cell><cell r="AC2670"><v>21358715</v></cell><cell r="AD2670"><v>720197</v></cell><cell r="AE2670" t="str"><v>Facebook</v></cell><cell r="AF2670"><v>3654128</v></cell><cell r="AG2670" t="str"><v>FACEBOOK»USA-Trial-ITD-Interest Prospecting-AZR-AZR»1 x 1»SocialBan»CAN»ALL»CPA»PRO»X»NA»SS»NA»FBCTCBenefit2inMotion»PRC1SW</v></cell><cell r="AH2670"><v>223933138</v></cell><cell r="AI2670" t="str"><v>AzurePlatform_FBCTCBenefit2inMotion_USA_10s_CAN_PLATFORM_English_Trial_Standard_STAN_TIN_T4_1</v></cell><cell r="AJ2670"><v>103043835</v></cell></row><row r="2671"><cell r="C2671" t="str"><v>43300FACEBOOK»USA-Trial-ITD-Interest Prospecting-AZR-AZR»1 x 1»SocialBan»CAN»ALL»CPA»PRO»X»NA»SS»NA»FBCTCBenefit2inMotion»PRC1SW</v></cell><cell r="D2671" t="str"><v>43300223933138</v></cell><cell r="E2671" t="str"><v>43300103178645PRC1SW</v></cell><cell r="F2671" t="str"><v>DCM</v></cell><cell r="G2671" t="str"><v>https://azure.microsoft.com/en-us/pricing/purchase-options/?v=18.19&OCID=AID%eexcid!_OLA_%ebuy!_%epid!_%ecid!</v></cell></row><row r="2671"><cell r="K2671" t="str"><v>July</v></cell><cell r="L2671"><v>43302</v></cell><cell r="M2671" t="str"><v>Tier 0</v></cell><cell r="N2671" t="str"><v>North America</v></cell><cell r="O2671" t="str"><v>United States</v></cell><cell r="P2671" t="str"><v>Trial</v></cell><cell r="Q2671" t="str"><v>Social</v></cell><cell r="R2671" t="str"><v>Azure</v></cell><cell r="S2671" t="str"><v>Apps & Infra</v></cell><cell r="T2671" t="str"><v>Developers & ITI's</v></cell><cell r="U2671" t="str"><v>USA-Trial-ITD-Interest Prospecting-AZR-AZR</v></cell><cell r="V2671" t="str"><v>Prospecting</v></cell><cell r="W2671" t="str"><v>Canvas Ad</v></cell><cell r="X2671" t="str"><v>1x1</v></cell></row><row r="2671"><cell r="AA2671"><v>43300</v></cell><cell r="AB2671" t="str"><v>USA_gaPMG_AZR_AZR_Q1_19_Direct-Social</v></cell><cell r="AC2671"><v>21358715</v></cell><cell r="AD2671"><v>720197</v></cell><cell r="AE2671" t="str"><v>Facebook</v></cell><cell r="AF2671"><v>3654128</v></cell><cell r="AG2671" t="str"><v>FACEBOOK»USA-Trial-ITD-Interest Prospecting-AZR-AZR»1 x 1»SocialBan»CAN»ALL»CPA»PRO»X»NA»SS»NA»FBCTCBenefit2inMotion»PRC1SW</v></cell><cell r="AH2671"><v>223933138</v></cell><cell r="AI2671" t="str"><v>AzurePlatform_FBCTCBenefit2inMotion_USA_10s_CAN_PLATFORM_English_Trial_Standard_STAN_TIN_T4_2</v></cell><cell r="AJ2671"><v>103178645</v></cell></row><row r="2672"><cell r="C2672" t="str"><v>43300FACEBOOK»USA-Trial-ITD-Interest Prospecting-AZR-AZR»1 x 1»SocialBan»CAN»ALL»CPA»PRO»X»NA»SS»NA»FBCTCBrandinMotion»PRC1SY</v></cell><cell r="D2672" t="str"><v>43300224104929</v></cell><cell r="E2672" t="str"><v>43300103176812PRC1SY</v></cell><cell r="F2672" t="str"><v>DCM</v></cell><cell r="G2672" t="str"><v>https://signup.azure.com/?OCID=AID%eexcid!_OLA_%ebuy!_%epid!_%ecid!</v></cell></row><row r="2672"><cell r="K2672" t="str"><v>July</v></cell><cell r="L2672"><v>43302</v></cell><cell r="M2672" t="str"><v>Tier 0</v></cell><cell r="N2672" t="str"><v>North America</v></cell><cell r="O2672" t="str"><v>United States</v></cell><cell r="P2672" t="str"><v>Trial</v></cell><cell r="Q2672" t="str"><v>Social</v></cell><cell r="R2672" t="str"><v>Azure</v></cell><cell r="S2672" t="str"><v>Apps & Infra</v></cell><cell r="T2672" t="str"><v>Developers & ITI's</v></cell><cell r="U2672" t="str"><v>USA-Trial-ITD-Interest Prospecting-AZR-AZR</v></cell><cell r="V2672" t="str"><v>Prospecting</v></cell><cell r="W2672" t="str"><v>Canvas Ad</v></cell><cell r="X2672" t="str"><v>1x1</v></cell></row><row r="2672"><cell r="AA2672"><v>43300</v></cell><cell r="AB2672" t="str"><v>USA_gaPMG_AZR_AZR_Q1_19_Direct-Social</v></cell><cell r="AC2672"><v>21358715</v></cell><cell r="AD2672"><v>720197</v></cell><cell r="AE2672" t="str"><v>Facebook</v></cell><cell r="AF2672"><v>3654128</v></cell><cell r="AG2672" t="str"><v>FACEBOOK»USA-Trial-ITD-Interest Prospecting-AZR-AZR»1 x 1»SocialBan»CAN»ALL»CPA»PRO»X»NA»SS»NA»FBCTCBrandinMotion»PRC1SY</v></cell><cell r="AH2672"><v>224104929</v></cell><cell r="AI2672" t="str"><v>AzurePlatform_FBCTCBrandinMotion_USA_10s_CAN_PLATFORM_English_Trial_Standard_STAN_TIN_T2_1</v></cell><cell r="AJ2672"><v>103176812</v></cell></row><row r="2673"><cell r="C2673" t="str"><v>43300FACEBOOK»USA-Trial-ITD-Interest Prospecting-AZR-AZR»1 x 1»SocialBan»CAN»ALL»CPA»PRO»X»NA»SS»NA»FBCTCBrandinMotion»PRC1SY</v></cell><cell r="D2673" t="str"><v>43300224104929</v></cell><cell r="E2673" t="str"><v>43300103032823PRC1SY</v></cell><cell r="F2673" t="str"><v>DCM</v></cell><cell r="G2673" t="str"><v>https://azure.microsoft.com/en-us/pricing/purchase-options/?v=18.19&OCID=AID%eexcid!_OLA_%ebuy!_%epid!_%ecid!</v></cell></row><row r="2673"><cell r="K2673" t="str"><v>July</v></cell><cell r="L2673"><v>43302</v></cell><cell r="M2673" t="str"><v>Tier 0</v></cell><cell r="N2673" t="str"><v>North America</v></cell><cell r="O2673" t="str"><v>United States</v></cell><cell r="P2673" t="str"><v>Trial</v></cell><cell r="Q2673" t="str"><v>Social</v></cell><cell r="R2673" t="str"><v>Azure</v></cell><cell r="S2673" t="str"><v>Apps & Infra</v></cell><cell r="T2673" t="str"><v>Developers & ITI's</v></cell><cell r="U2673" t="str"><v>USA-Trial-ITD-Interest Prospecting-AZR-AZR</v></cell><cell r="V2673" t="str"><v>Prospecting</v></cell><cell r="W2673" t="str"><v>Canvas Ad</v></cell><cell r="X2673" t="str"><v>1x1</v></cell></row><row r="2673"><cell r="AA2673"><v>43300</v></cell><cell r="AB2673" t="str"><v>USA_gaPMG_AZR_AZR_Q1_19_Direct-Social</v></cell><cell r="AC2673"><v>21358715</v></cell><cell r="AD2673"><v>720197</v></cell><cell r="AE2673" t="str"><v>Facebook</v></cell><cell r="AF2673"><v>3654128</v></cell><cell r="AG2673" t="str"><v>FACEBOOK»USA-Trial-ITD-Interest Prospecting-AZR-AZR»1 x 1»SocialBan»CAN»ALL»CPA»PRO»X»NA»SS»NA»FBCTCBrandinMotion»PRC1SY</v></cell><cell r="AH2673"><v>224104929</v></cell><cell r="AI2673" t="str"><v>AzurePlatform_FBCTCBrandinMotion_USA_10s_CAN_PLATFORM_English_Trial_Standard_STAN_TIN_T2_2</v></cell><cell r="AJ2673"><v>103032823</v></cell></row><row r="2674"><cell r="C2674" t="str"><v>43300FACEBOOK»USA-Trial-ITD-Interest Prospecting-AZR-AZR»1 x 1»SocialBan»LIA»ALL»CPA»PRO»X»NA»SS»NA»FreeAcctDeveloperFB-AnimatedGeneric-Ch1»PRC1SZ</v></cell><cell r="D2674" t="str"><v>43300224104932</v></cell><cell r="E2674" t="str"><v>43300103176851PRC1SZ</v></cell><cell r="F2674" t="str"><v>DCM</v></cell><cell r="G2674" t="str"><v>https://azure.microsoft.com/en-us/free/search/?OCID=AID%eexcid!_OLA_%ebuy!_%epid!_%ecid!</v></cell></row><row r="2674"><cell r="K2674" t="str"><v>July</v></cell><cell r="L2674"><v>43302</v></cell><cell r="M2674" t="str"><v>Tier 0</v></cell><cell r="N2674" t="str"><v>North America</v></cell><cell r="O2674" t="str"><v>United States</v></cell><cell r="P2674" t="str"><v>Trial</v></cell><cell r="Q2674" t="str"><v>Social</v></cell><cell r="R2674" t="str"><v>Azure</v></cell><cell r="S2674" t="str"><v>Apps & Infra</v></cell><cell r="T2674" t="str"><v>Developers & ITI's</v></cell><cell r="U2674" t="str"><v>USA-Trial-ITD-Interest Prospecting-AZR-AZR</v></cell><cell r="V2674" t="str"><v>Prospecting</v></cell><cell r="W2674" t="str"><v>Link Ad</v></cell><cell r="X2674" t="str"><v>1x1</v></cell></row><row r="2674"><cell r="AA2674"><v>43300</v></cell><cell r="AB2674" t="str"><v>USA_gaPMG_AZR_AZR_Q1_19_Direct-Social</v></cell><cell r="AC2674"><v>21358715</v></cell><cell r="AD2674"><v>720197</v></cell><cell r="AE2674" t="str"><v>Facebook</v></cell><cell r="AF2674"><v>3654128</v></cell><cell r="AG2674" t="str"><v>FACEBOOK»USA-Trial-ITD-Interest Prospecting-AZR-AZR»1 x 1»SocialBan»LIA»ALL»CPA»PRO»X»NA»SS»NA»FreeAcctDeveloperFB-AnimatedGeneric-Ch1»PRC1SZ</v></cell><cell r="AH2674"><v>224104932</v></cell><cell r="AI2674" t="str"><v>AZR_FreeAcctDeveloperFB-AnimatedGeneric-Ch1_USA_1200x1200_CAN_Direct_English_Trial_Standard_ANI_LEA_T1_2</v></cell><cell r="AJ2674"><v>103176851</v></cell></row><row r="2675"><cell r="C2675" t="str"><v>43300FACEBOOK»USA-Trial-ITD-Interest Prospecting-AZR-AZR»1 x 1»SocialBan»LIA»ALL»CPA»PRO»X»NA»SS»NA»FreeAcctDeveloperFB-AnimatedGeneric-Ch1»PRC1T0</v></cell><cell r="D2675" t="str"><v>43300223934065</v></cell><cell r="E2675" t="str"><v>43300103176851PRC1T0</v></cell><cell r="F2675" t="str"><v>DCM</v></cell><cell r="G2675" t="str"><v>https://azure.microsoft.com/en-us/free/search/?OCID=AID%eexcid!_OLA_%ebuy!_%epid!_%ecid!</v></cell></row><row r="2675"><cell r="K2675" t="str"><v>July</v></cell><cell r="L2675"><v>43302</v></cell><cell r="M2675" t="str"><v>Tier 0</v></cell><cell r="N2675" t="str"><v>North America</v></cell><cell r="O2675" t="str"><v>United States</v></cell><cell r="P2675" t="str"><v>Trial</v></cell><cell r="Q2675" t="str"><v>Social</v></cell><cell r="R2675" t="str"><v>Azure</v></cell><cell r="S2675" t="str"><v>Apps & Infra</v></cell><cell r="T2675" t="str"><v>Developers & ITI's</v></cell><cell r="U2675" t="str"><v>USA-Trial-ITD-Interest Prospecting-AZR-AZR</v></cell><cell r="V2675" t="str"><v>Prospecting</v></cell><cell r="W2675" t="str"><v>Link Ad</v></cell><cell r="X2675" t="str"><v>1x1</v></cell></row><row r="2675"><cell r="AA2675"><v>43300</v></cell><cell r="AB2675" t="str"><v>USA_gaPMG_AZR_AZR_Q1_19_Direct-Social</v></cell><cell r="AC2675"><v>21358715</v></cell><cell r="AD2675"><v>720197</v></cell><cell r="AE2675" t="str"><v>Facebook</v></cell><cell r="AF2675"><v>3654128</v></cell><cell r="AG2675" t="str"><v>FACEBOOK»USA-Trial-ITD-Interest Prospecting-AZR-AZR»1 x 1»SocialBan»LIA»ALL»CPA»PRO»X»NA»SS»NA»FreeAcctDeveloperFB-AnimatedGeneric-Ch1»PRC1T0</v></cell><cell r="AH2675"><v>223934065</v></cell><cell r="AI2675" t="str"><v>AZR_FreeAcctDeveloperFB-AnimatedGeneric-Ch1_USA_1200x1200_CAN_Direct_English_Trial_Standard_ANI_LEA_T1_2</v></cell><cell r="AJ2675"><v>103176851</v></cell></row><row r="2676"><cell r="C2676" t="str"><v>43300FACEBOOK»USA-Trial-ITD-Interest Prospecting-AZR-AZR»1 x 1»SocialBan»LIA»ALL»CPA»PRO»X»NA»SS»NA»FreeAcctITProFB-AnimatedHybrid-Ch2»PRC1T5</v></cell><cell r="D2676" t="str"><v>43300223862882</v></cell><cell r="E2676" t="str"><v>43300103180583PRC1T5</v></cell><cell r="F2676" t="str"><v>DCM</v></cell></row><row r="2676"><cell r="K2676" t="str"><v>July</v></cell><cell r="L2676"><v>43302</v></cell><cell r="M2676" t="str"><v>Tier 0</v></cell><cell r="N2676" t="str"><v>North America</v></cell><cell r="O2676" t="str"><v>United States</v></cell><cell r="P2676" t="str"><v>Trial</v></cell><cell r="Q2676" t="str"><v>Social</v></cell><cell r="R2676" t="str"><v>Azure</v></cell><cell r="S2676" t="str"><v>Apps & Infra</v></cell><cell r="T2676" t="str"><v>Developers & ITI's</v></cell><cell r="U2676" t="str"><v>USA-Trial-ITD-Interest Prospecting-AZR-AZR</v></cell><cell r="V2676" t="str"><v>Prospecting</v></cell><cell r="W2676" t="str"><v>Link Ad</v></cell><cell r="X2676" t="str"><v>1x1</v></cell></row><row r="2676"><cell r="AA2676"><v>43300</v></cell><cell r="AB2676" t="str"><v>USA_gaPMG_AZR_AZR_Q1_19_Direct-Social</v></cell><cell r="AC2676"><v>21358715</v></cell><cell r="AD2676"><v>720197</v></cell><cell r="AE2676" t="str"><v>Facebook</v></cell><cell r="AF2676"><v>3654128</v></cell><cell r="AG2676" t="str"><v>FACEBOOK»USA-Trial-ITD-Interest Prospecting-AZR-AZR»1 x 1»SocialBan»LIA»ALL»CPA»PRO»X»NA»SS»NA»FreeAcctITProFB-AnimatedHybrid-Ch2»PRC1T5</v></cell><cell r="AH2676"><v>223862882</v></cell><cell r="AI2676" t="str"><v>AZR_FreeAcctITProFB-AnimatedHybrid-Ch2_USA_1200x1200_CAN_Direct_English_Trial_Standard_ANI_LEA_T2_2</v></cell><cell r="AJ2676"><v>103180583</v></cell></row><row r="2677"><cell r="C2677" t="str"><v>43300FACEBOOK»USA-Trial-ITD-Interest Prospecting-AZR-AZR»1 x 1»SocialBan»LIA»ALL»CPA»PRO»X»NA»SS»NA»FreeAcctITProFB-AnimatedSecureMngd-Ch1»PRC1T4</v></cell><cell r="D2677" t="str"><v>43300224104914</v></cell><cell r="E2677" t="str"><v>43300103176830PRC1T4</v></cell><cell r="F2677" t="str"><v>DCM</v></cell></row><row r="2677"><cell r="K2677" t="str"><v>July</v></cell><cell r="L2677"><v>43302</v></cell><cell r="M2677" t="str"><v>Tier 0</v></cell><cell r="N2677" t="str"><v>North America</v></cell><cell r="O2677" t="str"><v>United States</v></cell><cell r="P2677" t="str"><v>Trial</v></cell><cell r="Q2677" t="str"><v>Social</v></cell><cell r="R2677" t="str"><v>Azure</v></cell><cell r="S2677" t="str"><v>Apps & Infra</v></cell><cell r="T2677" t="str"><v>Developers & ITI's</v></cell><cell r="U2677" t="str"><v>USA-Trial-ITD-Interest Prospecting-AZR-AZR</v></cell><cell r="V2677" t="str"><v>Prospecting</v></cell><cell r="W2677" t="str"><v>Link Ad</v></cell><cell r="X2677" t="str"><v>1x1</v></cell></row><row r="2677"><cell r="AA2677"><v>43300</v></cell><cell r="AB2677" t="str"><v>USA_gaPMG_AZR_AZR_Q1_19_Direct-Social</v></cell><cell r="AC2677"><v>21358715</v></cell><cell r="AD2677"><v>720197</v></cell><cell r="AE2677" t="str"><v>Facebook</v></cell><cell r="AF2677"><v>3654128</v></cell><cell r="AG2677" t="str"><v>FACEBOOK»USA-Trial-ITD-Interest Prospecting-AZR-AZR»1 x 1»SocialBan»LIA»ALL»CPA»PRO»X»NA»SS»NA»FreeAcctITProFB-AnimatedSecureMngd-Ch1»PRC1T4</v></cell><cell r="AH2677"><v>224104914</v></cell><cell r="AI2677" t="str"><v>AZR_FreeAcctITProFB-AnimatedSecureMngd-Ch1_USA_1200x1200_CAN_Direct_English_Trial_Standard_ANI_LEA_T1_1</v></cell><cell r="AJ2677"><v>103176830</v></cell></row><row r="2678"><cell r="C2678" t="str"><v>43300FACEBOOK»USA-Trial-ITD-Interest Prospecting-AZR-AZR»1 x 1»SocialBan»CAN»ALL»CPA»PRO»X»NA»SS»NA»FBCTCBenefitinMotion»PRC1SX</v></cell><cell r="D2678" t="str"><v>43300224104077</v></cell><cell r="E2678" t="str"><v>43300103032775PRC1SX</v></cell><cell r="F2678" t="str"><v>DCM</v></cell><cell r="G2678" t="str"><v>https://signup.azure.com/?OCID=AID%eexcid!_OLA_%ebuy!_%epid!_%ecid!</v></cell></row><row r="2678"><cell r="K2678" t="str"><v>July</v></cell><cell r="L2678"><v>43302</v></cell><cell r="M2678" t="str"><v>Tier 0</v></cell><cell r="N2678" t="str"><v>North America</v></cell><cell r="O2678" t="str"><v>United States</v></cell><cell r="P2678" t="str"><v>Trial</v></cell><cell r="Q2678" t="str"><v>Social</v></cell><cell r="R2678" t="str"><v>Azure</v></cell><cell r="S2678" t="str"><v>Apps & Infra</v></cell><cell r="T2678" t="str"><v>Developers & ITI's</v></cell><cell r="U2678" t="str"><v>USA-Trial-ITD-Interest Prospecting-AZR-AZR</v></cell><cell r="V2678" t="str"><v>Prospecting</v></cell><cell r="W2678" t="str"><v>Canvas Ad</v></cell><cell r="X2678" t="str"><v>1x1</v></cell></row><row r="2678"><cell r="AA2678"><v>43300</v></cell><cell r="AB2678" t="str"><v>USA_gaPMG_AZR_AZR_Q1_19_Direct-Social</v></cell><cell r="AC2678"><v>21358715</v></cell><cell r="AD2678"><v>720197</v></cell><cell r="AE2678" t="str"><v>Facebook</v></cell><cell r="AF2678"><v>3654128</v></cell><cell r="AG2678" t="str"><v>FACEBOOK»USA-Trial-ITD-Interest Prospecting-AZR-AZR»1 x 1»SocialBan»CAN»ALL»CPA»PRO»X»NA»SS»NA»FBCTCBenefitinMotion»PRC1SX</v></cell><cell r="AH2678"><v>224104077</v></cell><cell r="AI2678" t="str"><v>AzurePlatform_FBCTCBenefitinMotion_USA_10s_CAN_PLATFORM_English_Trial_Standard_STAN_TIN_T3_1</v></cell><cell r="AJ2678"><v>103032775</v></cell></row><row r="2679"><cell r="C2679" t="str"><v>43300FACEBOOK»USA-Trial-ITD-Interest Prospecting-AZR-AZR»1 x 1»SocialBan»CAN»ALL»CPA»PRO»X»NA»SS»NA»FBCTCBenefitinMotion»PRC1SX</v></cell><cell r="D2679" t="str"><v>43300224104077</v></cell><cell r="E2679" t="str"><v>43300103176836PRC1SX</v></cell><cell r="F2679" t="str"><v>DCM</v></cell><cell r="G2679" t="str"><v>https://azure.microsoft.com/en-us/pricing/purchase-options/?v=18.19&OCID=AID%eexcid!_OLA_%ebuy!_%epid!_%ecid!</v></cell></row><row r="2679"><cell r="K2679" t="str"><v>July</v></cell><cell r="L2679"><v>43302</v></cell><cell r="M2679" t="str"><v>Tier 0</v></cell><cell r="N2679" t="str"><v>North America</v></cell><cell r="O2679" t="str"><v>United States</v></cell><cell r="P2679" t="str"><v>Trial</v></cell><cell r="Q2679" t="str"><v>Social</v></cell><cell r="R2679" t="str"><v>Azure</v></cell><cell r="S2679" t="str"><v>Apps & Infra</v></cell><cell r="T2679" t="str"><v>Developers & ITI's</v></cell><cell r="U2679" t="str"><v>USA-Trial-ITD-Interest Prospecting-AZR-AZR</v></cell><cell r="V2679" t="str"><v>Prospecting</v></cell><cell r="W2679" t="str"><v>Canvas Ad</v></cell><cell r="X2679" t="str"><v>1x1</v></cell></row><row r="2679"><cell r="AA2679"><v>43300</v></cell><cell r="AB2679" t="str"><v>USA_gaPMG_AZR_AZR_Q1_19_Direct-Social</v></cell><cell r="AC2679"><v>21358715</v></cell><cell r="AD2679"><v>720197</v></cell><cell r="AE2679" t="str"><v>Facebook</v></cell><cell r="AF2679"><v>3654128</v></cell><cell r="AG2679" t="str"><v>FACEBOOK»USA-Trial-ITD-Interest Prospecting-AZR-AZR»1 x 1»SocialBan»CAN»ALL»CPA»PRO»X»NA»SS»NA»FBCTCBenefitinMotion»PRC1SX</v></cell><cell r="AH2679"><v>224104077</v></cell><cell r="AI2679" t="str"><v>AzurePlatform_FBCTCBenefitinMotion_USA_10s_CAN_PLATFORM_English_Trial_Standard_STAN_TIN_T3_2</v></cell><cell r="AJ2679"><v>103176836</v></cell></row><row r="2680"><cell r="C2680" t="str"><v>43300FACEBOOK»USA-Trial-ITD-Retargeting-AZR-AZR»1 x 1»SocialBan»LIA»ALL»CPA»RT»X»NA»SS»NA»FreeAcctDeveloperFB-AnimatedAI-Ch3»PRC26H</v></cell><cell r="D2680" t="str"><v>43300223863371</v></cell><cell r="E2680" t="str"><v>43300103032778PRC26H</v></cell><cell r="F2680" t="str"><v>DCM</v></cell></row><row r="2680"><cell r="K2680" t="str"><v>July</v></cell><cell r="L2680"><v>43302</v></cell><cell r="M2680" t="str"><v>Tier 0</v></cell><cell r="N2680" t="str"><v>North America</v></cell><cell r="O2680" t="str"><v>United States</v></cell><cell r="P2680" t="str"><v>Trial</v></cell><cell r="Q2680" t="str"><v>Social</v></cell><cell r="R2680" t="str"><v>Azure</v></cell><cell r="S2680" t="str"><v>Apps & Infra</v></cell><cell r="T2680" t="str"><v>Developers & ITI's</v></cell><cell r="U2680" t="str"><v>USA-Trial-ITD-Retargeting-AZR-AZR</v></cell><cell r="V2680" t="str"><v>Retargeting</v></cell><cell r="W2680" t="str"><v>Link Ad</v></cell><cell r="X2680" t="str"><v>1x1</v></cell></row><row r="2680"><cell r="AA2680"><v>43300</v></cell><cell r="AB2680" t="str"><v>USA_gaPMG_AZR_AZR_Q1_19_Direct-Social</v></cell><cell r="AC2680"><v>21358715</v></cell><cell r="AD2680"><v>720197</v></cell><cell r="AE2680" t="str"><v>Facebook</v></cell><cell r="AF2680"><v>3654128</v></cell><cell r="AG2680" t="str"><v>FACEBOOK»USA-Trial-ITD-Retargeting-AZR-AZR»1 x 1»SocialBan»LIA»ALL»CPA»RT»X»NA»SS»NA»FreeAcctDeveloperFB-AnimatedAI-Ch3»PRC26H</v></cell><cell r="AH2680"><v>223863371</v></cell><cell r="AI2680" t="str"><v>AZR_FreeAcctDeveloperFB-AnimatedAI-Ch3_USA_1200x1200_CAN_Direct_English_Trial_Standard_ANI_LEA_T3_1</v></cell><cell r="AJ2680"><v>103032778</v></cell></row><row r="2681"><cell r="C2681" t="str"><v>43300FACEBOOK»USA-Trial-ITD-Retargeting-AZR-AZR»1 x 1»SocialBan»LIA»ALL»CPA»RT»X»NA»SS»NA»FreeAcctDeveloperFB-AnimatedData-Ch4»PRC26J</v></cell><cell r="D2681" t="str"><v>43300224106078</v></cell><cell r="E2681" t="str"><v>43300103037935PRC26J</v></cell><cell r="F2681" t="str"><v>DCM</v></cell></row><row r="2681"><cell r="K2681" t="str"><v>July</v></cell><cell r="L2681"><v>43302</v></cell><cell r="M2681" t="str"><v>Tier 0</v></cell><cell r="N2681" t="str"><v>North America</v></cell><cell r="O2681" t="str"><v>United States</v></cell><cell r="P2681" t="str"><v>Trial</v></cell><cell r="Q2681" t="str"><v>Social</v></cell><cell r="R2681" t="str"><v>Azure</v></cell><cell r="S2681" t="str"><v>Apps & Infra</v></cell><cell r="T2681" t="str"><v>Developers & ITI's</v></cell><cell r="U2681" t="str"><v>USA-Trial-ITD-Retargeting-AZR-AZR</v></cell><cell r="V2681" t="str"><v>Retargeting</v></cell><cell r="W2681" t="str"><v>Link Ad</v></cell><cell r="X2681" t="str"><v>1x1</v></cell></row><row r="2681"><cell r="AA2681"><v>43300</v></cell><cell r="AB2681" t="str"><v>USA_gaPMG_AZR_AZR_Q1_19_Direct-Social</v></cell><cell r="AC2681"><v>21358715</v></cell><cell r="AD2681"><v>720197</v></cell><cell r="AE2681" t="str"><v>Facebook</v></cell><cell r="AF2681"><v>3654128</v></cell><cell r="AG2681" t="str"><v>FACEBOOK»USA-Trial-ITD-Retargeting-AZR-AZR»1 x 1»SocialBan»LIA»ALL»CPA»RT»X»NA»SS»NA»FreeAcctDeveloperFB-AnimatedData-Ch4»PRC26J</v></cell><cell r="AH2681"><v>224106078</v></cell><cell r="AI2681" t="str"><v>AZR_FreeAcctDeveloperFB-AnimatedData-Ch4_USA_1200x1200_CAN_Direct_English_Trial_Standard_ANI_LEA_T4_2</v></cell><cell r="AJ2681"><v>103037935</v></cell></row><row r="2682"><cell r="C2682" t="str"><v>43300FACEBOOK»USA-Trial-ITD-Retargeting-AZR-AZR»1 x 1»SocialBan»LIA»ALL»CPA»RT»X»NA»SS»NA»FreeAcctDeveloperFB-AnimatedGeneric-Ch1»PRC26F</v></cell><cell r="D2682" t="str"><v>43300224105850</v></cell><cell r="E2682" t="str"><v>43300103176851PRC26F</v></cell><cell r="F2682" t="str"><v>DCM</v></cell><cell r="G2682" t="str"><v>https://azure.microsoft.com/en-us/free/search/?OCID=AID%eexcid!_OLA_%ebuy!_%epid!_%ecid!</v></cell></row><row r="2682"><cell r="K2682" t="str"><v>July</v></cell><cell r="L2682"><v>43302</v></cell><cell r="M2682" t="str"><v>Tier 0</v></cell><cell r="N2682" t="str"><v>North America</v></cell><cell r="O2682" t="str"><v>United States</v></cell><cell r="P2682" t="str"><v>Trial</v></cell><cell r="Q2682" t="str"><v>Social</v></cell><cell r="R2682" t="str"><v>Azure</v></cell><cell r="S2682" t="str"><v>Apps & Infra</v></cell><cell r="T2682" t="str"><v>Developers & ITI's</v></cell><cell r="U2682" t="str"><v>USA-Trial-ITD-Retargeting-AZR-AZR</v></cell><cell r="V2682" t="str"><v>Retargeting</v></cell><cell r="W2682" t="str"><v>Link Ad</v></cell><cell r="X2682" t="str"><v>1x1</v></cell></row><row r="2682"><cell r="AA2682"><v>43300</v></cell><cell r="AB2682" t="str"><v>USA_gaPMG_AZR_AZR_Q1_19_Direct-Social</v></cell><cell r="AC2682"><v>21358715</v></cell><cell r="AD2682"><v>720197</v></cell><cell r="AE2682" t="str"><v>Facebook</v></cell><cell r="AF2682"><v>3654128</v></cell><cell r="AG2682" t="str"><v>FACEBOOK»USA-Trial-ITD-Retargeting-AZR-AZR»1 x 1»SocialBan»LIA»ALL»CPA»RT»X»NA»SS»NA»FreeAcctDeveloperFB-AnimatedGeneric-Ch1»PRC26F</v></cell><cell r="AH2682"><v>224105850</v></cell><cell r="AI2682" t="str"><v>AZR_FreeAcctDeveloperFB-AnimatedGeneric-Ch1_USA_1200x1200_CAN_Direct_English_Trial_Standard_ANI_LEA_T1_2</v></cell><cell r="AJ2682"><v>103176851</v></cell></row><row r="2683"><cell r="C2683" t="str"><v>43300FACEBOOK»USA-Trial-ITD-Retargeting-AZR-AZR»1 x 1»SocialBan»LIA»ALL»CPA»RT»X»NA»SS»NA»FreeAcctDeveloperFB-AnimatedOpenSource-Ch2»PRC26G</v></cell><cell r="D2683" t="str"><v>43300223862873</v></cell><cell r="E2683" t="str"><v>43300103048329PRC26G</v></cell><cell r="F2683" t="str"><v>DCM</v></cell><cell r="G2683" t="str"><v>https://azure.microsoft.com/en-us/free/open-source/search/?OCID=AID%eexcid!_OLA_%ebuy!_%epid!_%ecid!</v></cell></row><row r="2683"><cell r="K2683" t="str"><v>July</v></cell><cell r="L2683"><v>43302</v></cell><cell r="M2683" t="str"><v>Tier 0</v></cell><cell r="N2683" t="str"><v>North America</v></cell><cell r="O2683" t="str"><v>United States</v></cell><cell r="P2683" t="str"><v>Trial</v></cell><cell r="Q2683" t="str"><v>Social</v></cell><cell r="R2683" t="str"><v>Azure</v></cell><cell r="S2683" t="str"><v>Apps & Infra</v></cell><cell r="T2683" t="str"><v>Developers & ITI's</v></cell><cell r="U2683" t="str"><v>USA-Trial-ITD-Retargeting-AZR-AZR</v></cell><cell r="V2683" t="str"><v>Retargeting</v></cell><cell r="W2683" t="str"><v>Link Ad</v></cell><cell r="X2683" t="str"><v>1x1</v></cell></row><row r="2683"><cell r="AA2683"><v>43300</v></cell><cell r="AB2683" t="str"><v>USA_gaPMG_AZR_AZR_Q1_19_Direct-Social</v></cell><cell r="AC2683"><v>21358715</v></cell><cell r="AD2683"><v>720197</v></cell><cell r="AE2683" t="str"><v>Facebook</v></cell><cell r="AF2683"><v>3654128</v></cell><cell r="AG2683" t="str"><v>FACEBOOK»USA-Trial-ITD-Retargeting-AZR-AZR»1 x 1»SocialBan»LIA»ALL»CPA»RT»X»NA»SS»NA»FreeAcctDeveloperFB-AnimatedOpenSource-Ch2»PRC26G</v></cell><cell r="AH2683"><v>223862873</v></cell><cell r="AI2683" t="str"><v>AZR_FreeAcctDeveloperFB-AnimatedOpenSource-Ch2_USA_1200x1200_CAN_Direct_English_Trial_Standard_ANI_LEA_T2_1</v></cell><cell r="AJ2683"><v>103048329</v></cell></row><row r="2684"><cell r="C2684" t="str"><v>43300FACEBOOK»USA-Trial-ITD-Retargeting-AZR-AZR»1 x 1»SocialBan»LIA»ALL»CPA»RT»X»NA»SS»NA»FreeAcctITProFB-AnimatedHybrid-Ch2»PRC26N</v></cell><cell r="D2684" t="str"><v>43300223934053</v></cell><cell r="E2684" t="str"><v>43300103180583PRC26N</v></cell><cell r="F2684" t="str"><v>DCM</v></cell></row><row r="2684"><cell r="K2684" t="str"><v>July</v></cell><cell r="L2684"><v>43302</v></cell><cell r="M2684" t="str"><v>Tier 0</v></cell><cell r="N2684" t="str"><v>North America</v></cell><cell r="O2684" t="str"><v>United States</v></cell><cell r="P2684" t="str"><v>Trial</v></cell><cell r="Q2684" t="str"><v>Social</v></cell><cell r="R2684" t="str"><v>Azure</v></cell><cell r="S2684" t="str"><v>Apps & Infra</v></cell><cell r="T2684" t="str"><v>Developers & ITI's</v></cell><cell r="U2684" t="str"><v>USA-Trial-ITD-Retargeting-AZR-AZR</v></cell><cell r="V2684" t="str"><v>Retargeting</v></cell><cell r="W2684" t="str"><v>Link Ad</v></cell><cell r="X2684" t="str"><v>1x1</v></cell></row><row r="2684"><cell r="AA2684"><v>43300</v></cell><cell r="AB2684" t="str"><v>USA_gaPMG_AZR_AZR_Q1_19_Direct-Social</v></cell><cell r="AC2684"><v>21358715</v></cell><cell r="AD2684"><v>720197</v></cell><cell r="AE2684" t="str"><v>Facebook</v></cell><cell r="AF2684"><v>3654128</v></cell><cell r="AG2684" t="str"><v>FACEBOOK»USA-Trial-ITD-Retargeting-AZR-AZR»1 x 1»SocialBan»LIA»ALL»CPA»RT»X»NA»SS»NA»FreeAcctITProFB-AnimatedHybrid-Ch2»PRC26N</v></cell><cell r="AH2684"><v>223934053</v></cell><cell r="AI2684" t="str"><v>AZR_FreeAcctITProFB-AnimatedHybrid-Ch2_USA_1200x1200_CAN_Direct_English_Trial_Standard_ANI_LEA_T2_2</v></cell><cell r="AJ2684"><v>103180583</v></cell></row><row r="2685"><cell r="C2685" t="str"><v>43300FACEBOOK»USA-Trial-ITD-Retargeting-AZR-AZR»1 x 1»SocialBan»LIA»ALL»CPA»RT»X»NA»SS»NA»FreeAcctITProFB-AnimatedMigration-Ch3»PRC26P</v></cell><cell r="D2685" t="str"><v>43300223934056</v></cell><cell r="E2685" t="str"><v>43300103176827PRC26P</v></cell><cell r="F2685" t="str"><v>DCM</v></cell></row><row r="2685"><cell r="K2685" t="str"><v>July</v></cell><cell r="L2685"><v>43302</v></cell><cell r="M2685" t="str"><v>Tier 0</v></cell><cell r="N2685" t="str"><v>North America</v></cell><cell r="O2685" t="str"><v>United States</v></cell><cell r="P2685" t="str"><v>Trial</v></cell><cell r="Q2685" t="str"><v>Social</v></cell><cell r="R2685" t="str"><v>Azure</v></cell><cell r="S2685" t="str"><v>Apps & Infra</v></cell><cell r="T2685" t="str"><v>Developers & ITI's</v></cell><cell r="U2685" t="str"><v>USA-Trial-ITD-Retargeting-AZR-AZR</v></cell><cell r="V2685" t="str"><v>Retargeting</v></cell><cell r="W2685" t="str"><v>Link Ad</v></cell><cell r="X2685" t="str"><v>1x1</v></cell></row><row r="2685"><cell r="AA2685"><v>43300</v></cell><cell r="AB2685" t="str"><v>USA_gaPMG_AZR_AZR_Q1_19_Direct-Social</v></cell><cell r="AC2685"><v>21358715</v></cell><cell r="AD2685"><v>720197</v></cell><cell r="AE2685" t="str"><v>Facebook</v></cell><cell r="AF2685"><v>3654128</v></cell><cell r="AG2685" t="str"><v>FACEBOOK»USA-Trial-ITD-Retargeting-AZR-AZR»1 x 1»SocialBan»LIA»ALL»CPA»RT»X»NA»SS»NA»FreeAcctITProFB-AnimatedMigration-Ch3»PRC26P</v></cell><cell r="AH2685"><v>223934056</v></cell><cell r="AI2685" t="str"><v>AZR_FreeAcctITProFB-AnimatedMigration-Ch3_USA_1200x1200_CAN_Direct_English_Trial_Standard_ANI_LEA_T3_1</v></cell><cell r="AJ2685"><v>103176827</v></cell></row><row r="2686"><cell r="C2686" t="str"><v>43300FACEBOOK»USA-Trial-ITD-Retargeting-AZR-AZR»1 x 1»SocialBan»LIA»ALL»CPA»RT»X»NA»SS»NA»FreeAcctRetargetingFB-Animated-ChC»PRC1RX</v></cell><cell r="D2686" t="str"><v>43300223862864</v></cell><cell r="E2686" t="str"><v>43300103180880PRC1RX</v></cell><cell r="F2686" t="str"><v>DCM</v></cell><cell r="G2686" t="str"><v>https://azure.microsoft.com/en-us/free/search/?OCID=AID%eexcid!_OLA_%ebuy!_%epid!_%ecid!</v></cell></row><row r="2686"><cell r="K2686" t="str"><v>July</v></cell><cell r="L2686"><v>43302</v></cell><cell r="M2686" t="str"><v>Tier 0</v></cell><cell r="N2686" t="str"><v>North America</v></cell><cell r="O2686" t="str"><v>United States</v></cell><cell r="P2686" t="str"><v>Trial</v></cell><cell r="Q2686" t="str"><v>Social</v></cell><cell r="R2686" t="str"><v>Azure</v></cell><cell r="S2686" t="str"><v>Apps & Infra</v></cell><cell r="T2686" t="str"><v>Developers & ITI's</v></cell><cell r="U2686" t="str"><v>USA-Trial-ITD-Retargeting-AZR-AZR</v></cell><cell r="V2686" t="str"><v>Retargeting</v></cell><cell r="W2686" t="str"><v>Link Ad</v></cell><cell r="X2686" t="str"><v>1x1</v></cell></row><row r="2686"><cell r="AA2686"><v>43300</v></cell><cell r="AB2686" t="str"><v>USA_gaPMG_AZR_AZR_Q1_19_Direct-Social</v></cell><cell r="AC2686"><v>21358715</v></cell><cell r="AD2686"><v>720197</v></cell><cell r="AE2686" t="str"><v>Facebook</v></cell><cell r="AF2686"><v>3654128</v></cell><cell r="AG2686" t="str"><v>FACEBOOK»USA-Trial-ITD-Retargeting-AZR-AZR»1 x 1»SocialBan»LIA»ALL»CPA»RT»X»NA»SS»NA»FreeAcctRetargetingFB-Animated-ChC»PRC1RX</v></cell><cell r="AH2686"><v>223862864</v></cell><cell r="AI2686" t="str"><v>AzurePlatform_FreeAcctRetargetingFB-Animated-ChC_USA_1200x628_CAN_PLATFORM_English_Free Account_Standard_ANI_SINU_T3_2</v></cell><cell r="AJ2686"><v>103180880</v></cell></row><row r="2687"><cell r="C2687" t="str"><v>43300FACEBOOK»USA-Trial-ITD-Retargeting-AZR-AZR»1 x 1»SocialBan»LIA»ALL»CPA»RT»X»NA»SS»NA»FreeAcctRetargetingFB-Credit-ChA»PRC1RV</v></cell><cell r="D2687" t="str"><v>43300224106075</v></cell><cell r="E2687" t="str"><v>43300103034917PRC1RV</v></cell><cell r="F2687" t="str"><v>DCM</v></cell><cell r="G2687" t="str"><v>https://azure.microsoft.com/en-us/free/search/?OCID=AID%eexcid!_OLA_%ebuy!_%epid!_%ecid!</v></cell></row><row r="2687"><cell r="K2687" t="str"><v>July</v></cell><cell r="L2687"><v>43302</v></cell><cell r="M2687" t="str"><v>Tier 0</v></cell><cell r="N2687" t="str"><v>North America</v></cell><cell r="O2687" t="str"><v>United States</v></cell><cell r="P2687" t="str"><v>Trial</v></cell><cell r="Q2687" t="str"><v>Social</v></cell><cell r="R2687" t="str"><v>Azure</v></cell><cell r="S2687" t="str"><v>Apps & Infra</v></cell><cell r="T2687" t="str"><v>Developers & ITI's</v></cell><cell r="U2687" t="str"><v>USA-Trial-ITD-Retargeting-AZR-AZR</v></cell><cell r="V2687" t="str"><v>Retargeting</v></cell><cell r="W2687" t="str"><v>Link Ad</v></cell><cell r="X2687" t="str"><v>1x1</v></cell></row><row r="2687"><cell r="AA2687"><v>43300</v></cell><cell r="AB2687" t="str"><v>USA_gaPMG_AZR_AZR_Q1_19_Direct-Social</v></cell><cell r="AC2687"><v>21358715</v></cell><cell r="AD2687"><v>720197</v></cell><cell r="AE2687" t="str"><v>Facebook</v></cell><cell r="AF2687"><v>3654128</v></cell><cell r="AG2687" t="str"><v>FACEBOOK»USA-Trial-ITD-Retargeting-AZR-AZR»1 x 1»SocialBan»LIA»ALL»CPA»RT»X»NA»SS»NA»FreeAcctRetargetingFB-Credit-ChA»PRC1RV</v></cell><cell r="AH2687"><v>224106075</v></cell><cell r="AI2687" t="str"><v>AzurePlatform_FreeAcctRetargetingFB-Credit-ChA_USA_1200x628_CAN_PLATFORM_English_Free Account_Standard_NA_SINU_T1_2</v></cell><cell r="AJ2687"><v>103034917</v></cell></row><row r="2688"><cell r="C2688" t="str"><v>43300FACEBOOK»USA-Trial-ITD-Retargeting-AZR-AZR»1 x 1»SocialBan»LIA»ALL»CPA»RT»X»NA»SS»NA»FreeAcctRetargetingVMFB-750Hrs-ChD»PRC1RY</v></cell><cell r="D2688" t="str"><v>43300223862747</v></cell><cell r="E2688" t="str"><v>43300103034911PRC1RY</v></cell><cell r="F2688" t="str"><v>DCM</v></cell><cell r="G2688" t="str"><v>https://azure.microsoft.com/en-us/free/virtual-machines/search/?OCID=AID%eexcid!_OLA_%ebuy!_%epid!_%ecid!</v></cell></row><row r="2688"><cell r="K2688" t="str"><v>July</v></cell><cell r="L2688"><v>43302</v></cell><cell r="M2688" t="str"><v>Tier 0</v></cell><cell r="N2688" t="str"><v>North America</v></cell><cell r="O2688" t="str"><v>United States</v></cell><cell r="P2688" t="str"><v>Trial</v></cell><cell r="Q2688" t="str"><v>Social</v></cell><cell r="R2688" t="str"><v>Azure</v></cell><cell r="S2688" t="str"><v>Apps & Infra</v></cell><cell r="T2688" t="str"><v>Developers & ITI's</v></cell><cell r="U2688" t="str"><v>USA-Trial-ITD-Retargeting-AZR-AZR</v></cell><cell r="V2688" t="str"><v>Retargeting</v></cell><cell r="W2688" t="str"><v>Link Ad</v></cell><cell r="X2688" t="str"><v>1x1</v></cell></row><row r="2688"><cell r="AA2688"><v>43300</v></cell><cell r="AB2688" t="str"><v>USA_gaPMG_AZR_AZR_Q1_19_Direct-Social</v></cell><cell r="AC2688"><v>21358715</v></cell><cell r="AD2688"><v>720197</v></cell><cell r="AE2688" t="str"><v>Facebook</v></cell><cell r="AF2688"><v>3654128</v></cell><cell r="AG2688" t="str"><v>FACEBOOK»USA-Trial-ITD-Retargeting-AZR-AZR»1 x 1»SocialBan»LIA»ALL»CPA»RT»X»NA»SS»NA»FreeAcctRetargetingVMFB-750Hrs-ChD»PRC1RY</v></cell><cell r="AH2688"><v>223862747</v></cell><cell r="AI2688" t="str"><v>AzurePlatform_FreeAcctRetargetingVMFB-750Hrs-ChD_USA_1200x628_CAN_PLATFORM_English_Free Account_Standard_NA_SINU_T1_1</v></cell><cell r="AJ2688"><v>103034911</v></cell></row><row r="2689"><cell r="C2689" t="str"><v>43300FACEBOOK»USA-Trial-ITD-Retargeting-AZR-AZR»1 x 1»SocialBan»LIA»ALL»CPA»RT»X»NA»SS»NA»FreeAcctRetargetingVMFB-OnDemand-ChE»PRC1S0</v></cell><cell r="D2689" t="str"><v>43300224104899</v></cell><cell r="E2689" t="str"><v>43300103180610PRC1S0</v></cell><cell r="F2689" t="str"><v>DCM</v></cell><cell r="G2689" t="str"><v>https://azure.microsoft.com/en-us/free/virtual-machines/search/?OCID=AID%eexcid!_OLA_%ebuy!_%epid!_%ecid!</v></cell></row><row r="2689"><cell r="K2689" t="str"><v>July</v></cell><cell r="L2689"><v>43302</v></cell><cell r="M2689" t="str"><v>Tier 0</v></cell><cell r="N2689" t="str"><v>North America</v></cell><cell r="O2689" t="str"><v>United States</v></cell><cell r="P2689" t="str"><v>Trial</v></cell><cell r="Q2689" t="str"><v>Social</v></cell><cell r="R2689" t="str"><v>Azure</v></cell><cell r="S2689" t="str"><v>Apps & Infra</v></cell><cell r="T2689" t="str"><v>Developers & ITI's</v></cell><cell r="U2689" t="str"><v>USA-Trial-ITD-Retargeting-AZR-AZR</v></cell><cell r="V2689" t="str"><v>Retargeting</v></cell><cell r="W2689" t="str"><v>Link Ad</v></cell><cell r="X2689" t="str"><v>1x1</v></cell></row><row r="2689"><cell r="AA2689"><v>43300</v></cell><cell r="AB2689" t="str"><v>USA_gaPMG_AZR_AZR_Q1_19_Direct-Social</v></cell><cell r="AC2689"><v>21358715</v></cell><cell r="AD2689"><v>720197</v></cell><cell r="AE2689" t="str"><v>Facebook</v></cell><cell r="AF2689"><v>3654128</v></cell><cell r="AG2689" t="str"><v>FACEBOOK»USA-Trial-ITD-Retargeting-AZR-AZR»1 x 1»SocialBan»LIA»ALL»CPA»RT»X»NA»SS»NA»FreeAcctRetargetingVMFB-OnDemand-ChE»PRC1S0</v></cell><cell r="AH2689"><v>224104899</v></cell><cell r="AI2689" t="str"><v>AzurePlatform_FreeAcctRetargetingVMFB-OnDemand-ChE_USA_1200x628_CAN_PLATFORM_English_Free Account_Standard_NA_SINU_T2_1</v></cell><cell r="AJ2689"><v>103180610</v></cell></row><row r="2690"><cell r="C2690" t="str"><v>43300FACEBOOK»USA-Trial-ITD-Retargeting-AZR-AZR»1 x 1»SocialBan»CAN»ALL»CPA»RT»X»NA»SS»NA»FBCTCBenefit2inMotion»PRC1RR</v></cell><cell r="D2690" t="str"><v>43300224104896</v></cell><cell r="E2690" t="str"><v>43300103043835PRC1RR</v></cell><cell r="F2690" t="str"><v>DCM</v></cell><cell r="G2690" t="str"><v>https://signup.azure.com/?OCID=AID%eexcid!_OLA_%ebuy!_%epid!_%ecid!</v></cell></row><row r="2690"><cell r="K2690" t="str"><v>July</v></cell><cell r="L2690"><v>43302</v></cell><cell r="M2690" t="str"><v>Tier 0</v></cell><cell r="N2690" t="str"><v>North America</v></cell><cell r="O2690" t="str"><v>United States</v></cell><cell r="P2690" t="str"><v>Trial</v></cell><cell r="Q2690" t="str"><v>Social</v></cell><cell r="R2690" t="str"><v>Azure</v></cell><cell r="S2690" t="str"><v>Apps & Infra</v></cell><cell r="T2690" t="str"><v>Developers & ITI's</v></cell><cell r="U2690" t="str"><v>USA-Trial-ITD-Retargeting-AZR-AZR</v></cell><cell r="V2690" t="str"><v>Retargeting</v></cell><cell r="W2690" t="str"><v>Canvas Ad</v></cell><cell r="X2690" t="str"><v>1x1</v></cell></row><row r="2690"><cell r="AA2690"><v>43300</v></cell><cell r="AB2690" t="str"><v>USA_gaPMG_AZR_AZR_Q1_19_Direct-Social</v></cell><cell r="AC2690"><v>21358715</v></cell><cell r="AD2690"><v>720197</v></cell><cell r="AE2690" t="str"><v>Facebook</v></cell><cell r="AF2690"><v>3654128</v></cell><cell r="AG2690" t="str"><v>FACEBOOK»USA-Trial-ITD-Retargeting-AZR-AZR»1 x 1»SocialBan»CAN»ALL»CPA»RT»X»NA»SS»NA»FBCTCBenefit2inMotion»PRC1RR</v></cell><cell r="AH2690"><v>224104896</v></cell><cell r="AI2690" t="str"><v>AzurePlatform_FBCTCBenefit2inMotion_USA_10s_CAN_PLATFORM_English_Trial_Standard_STAN_TIN_T4_1</v></cell><cell r="AJ2690"><v>103043835</v></cell></row><row r="2691"><cell r="C2691" t="str"><v>43300FACEBOOK»USA-Trial-ITD-Retargeting-AZR-AZR»1 x 1»SocialBan»CAN»ALL»CPA»RT»X»NA»SS»NA»FBCTCBenefit2inMotion»PRC1RR</v></cell><cell r="D2691" t="str"><v>43300224104896</v></cell><cell r="E2691" t="str"><v>43300103178645PRC1RR</v></cell><cell r="F2691" t="str"><v>DCM</v></cell><cell r="G2691" t="str"><v>https://azure.microsoft.com/en-us/pricing/purchase-options/?v=18.19&OCID=AID%eexcid!_OLA_%ebuy!_%epid!_%ecid!</v></cell></row><row r="2691"><cell r="K2691" t="str"><v>July</v></cell><cell r="L2691"><v>43302</v></cell><cell r="M2691" t="str"><v>Tier 0</v></cell><cell r="N2691" t="str"><v>North America</v></cell><cell r="O2691" t="str"><v>United States</v></cell><cell r="P2691" t="str"><v>Trial</v></cell><cell r="Q2691" t="str"><v>Social</v></cell><cell r="R2691" t="str"><v>Azure</v></cell><cell r="S2691" t="str"><v>Apps & Infra</v></cell><cell r="T2691" t="str"><v>Developers & ITI's</v></cell><cell r="U2691" t="str"><v>USA-Trial-ITD-Retargeting-AZR-AZR</v></cell><cell r="V2691" t="str"><v>Retargeting</v></cell><cell r="W2691" t="str"><v>Canvas Ad</v></cell><cell r="X2691" t="str"><v>1x1</v></cell></row><row r="2691"><cell r="AA2691"><v>43300</v></cell><cell r="AB2691" t="str"><v>USA_gaPMG_AZR_AZR_Q1_19_Direct-Social</v></cell><cell r="AC2691"><v>21358715</v></cell><cell r="AD2691"><v>720197</v></cell><cell r="AE2691" t="str"><v>Facebook</v></cell><cell r="AF2691"><v>3654128</v></cell><cell r="AG2691" t="str"><v>FACEBOOK»USA-Trial-ITD-Retargeting-AZR-AZR»1 x 1»SocialBan»CAN»ALL»CPA»RT»X»NA»SS»NA»FBCTCBenefit2inMotion»PRC1RR</v></cell><cell r="AH2691"><v>224104896</v></cell><cell r="AI2691" t="str"><v>AzurePlatform_FBCTCBenefit2inMotion_USA_10s_CAN_PLATFORM_English_Trial_Standard_STAN_TIN_T4_2</v></cell><cell r="AJ2691"><v>103178645</v></cell></row><row r="2692"><cell r="C2692" t="str"><v>43300FACEBOOK»USA-Trial-ITD-Retargeting-AZR-AZR»1 x 1»SocialBan»CAN»ALL»CPA»RT»X»NA»SS»NA»FBCTCBrandinMotion»PRC1RT</v></cell><cell r="D2692" t="str"><v>43300224106069</v></cell><cell r="E2692" t="str"><v>43300103176812PRC1RT</v></cell><cell r="F2692" t="str"><v>DCM</v></cell><cell r="G2692" t="str"><v>https://signup.azure.com/?OCID=AID%eexcid!_OLA_%ebuy!_%epid!_%ecid!</v></cell></row><row r="2692"><cell r="K2692" t="str"><v>July</v></cell><cell r="L2692"><v>43302</v></cell><cell r="M2692" t="str"><v>Tier 0</v></cell><cell r="N2692" t="str"><v>North America</v></cell><cell r="O2692" t="str"><v>United States</v></cell><cell r="P2692" t="str"><v>Trial</v></cell><cell r="Q2692" t="str"><v>Social</v></cell><cell r="R2692" t="str"><v>Azure</v></cell><cell r="S2692" t="str"><v>Apps & Infra</v></cell><cell r="T2692" t="str"><v>Developers & ITI's</v></cell><cell r="U2692" t="str"><v>USA-Trial-ITD-Retargeting-AZR-AZR</v></cell><cell r="V2692" t="str"><v>Retargeting</v></cell><cell r="W2692" t="str"><v>Canvas Ad</v></cell><cell r="X2692" t="str"><v>1x1</v></cell></row><row r="2692"><cell r="AA2692"><v>43300</v></cell><cell r="AB2692" t="str"><v>USA_gaPMG_AZR_AZR_Q1_19_Direct-Social</v></cell><cell r="AC2692"><v>21358715</v></cell><cell r="AD2692"><v>720197</v></cell><cell r="AE2692" t="str"><v>Facebook</v></cell><cell r="AF2692"><v>3654128</v></cell><cell r="AG2692" t="str"><v>FACEBOOK»USA-Trial-ITD-Retargeting-AZR-AZR»1 x 1»SocialBan»CAN»ALL»CPA»RT»X»NA»SS»NA»FBCTCBrandinMotion»PRC1RT</v></cell><cell r="AH2692"><v>224106069</v></cell><cell r="AI2692" t="str"><v>AzurePlatform_FBCTCBrandinMotion_USA_10s_CAN_PLATFORM_English_Trial_Standard_STAN_TIN_T2_1</v></cell><cell r="AJ2692"><v>103176812</v></cell></row><row r="2693"><cell r="C2693" t="str"><v>43300FACEBOOK»USA-Trial-ITD-Retargeting-AZR-AZR»1 x 1»SocialBan»CAN»ALL»CPA»RT»X»NA»SS»NA»FBCTCBrandinMotion»PRC1RT</v></cell><cell r="D2693" t="str"><v>43300224106069</v></cell><cell r="E2693" t="str"><v>43300103032823PRC1RT</v></cell><cell r="F2693" t="str"><v>DCM</v></cell><cell r="G2693" t="str"><v>https://azure.microsoft.com/en-us/pricing/purchase-options/?v=18.19&OCID=AID%eexcid!_OLA_%ebuy!_%epid!_%ecid!</v></cell></row><row r="2693"><cell r="K2693" t="str"><v>July</v></cell><cell r="L2693"><v>43302</v></cell><cell r="M2693" t="str"><v>Tier 0</v></cell><cell r="N2693" t="str"><v>North America</v></cell><cell r="O2693" t="str"><v>United States</v></cell><cell r="P2693" t="str"><v>Trial</v></cell><cell r="Q2693" t="str"><v>Social</v></cell><cell r="R2693" t="str"><v>Azure</v></cell><cell r="S2693" t="str"><v>Apps & Infra</v></cell><cell r="T2693" t="str"><v>Developers & ITI's</v></cell><cell r="U2693" t="str"><v>USA-Trial-ITD-Retargeting-AZR-AZR</v></cell><cell r="V2693" t="str"><v>Retargeting</v></cell><cell r="W2693" t="str"><v>Canvas Ad</v></cell><cell r="X2693" t="str"><v>1x1</v></cell></row><row r="2693"><cell r="AA2693"><v>43300</v></cell><cell r="AB2693" t="str"><v>USA_gaPMG_AZR_AZR_Q1_19_Direct-Social</v></cell><cell r="AC2693"><v>21358715</v></cell><cell r="AD2693"><v>720197</v></cell><cell r="AE2693" t="str"><v>Facebook</v></cell><cell r="AF2693"><v>3654128</v></cell><cell r="AG2693" t="str"><v>FACEBOOK»USA-Trial-ITD-Retargeting-AZR-AZR»1 x 1»SocialBan»CAN»ALL»CPA»RT»X»NA»SS»NA»FBCTCBrandinMotion»PRC1RT</v></cell><cell r="AH2693"><v>224106069</v></cell><cell r="AI2693" t="str"><v>AzurePlatform_FBCTCBrandinMotion_USA_10s_CAN_PLATFORM_English_Trial_Standard_STAN_TIN_T2_2</v></cell><cell r="AJ2693"><v>103032823</v></cell></row><row r="2694"><cell r="C2694" t="str"><v>43300FACEBOOK»USA-Trial-ITD-Trial Lookalike-AZR-AZR»1 x 1»SocialBan»CAN»ALL»CPA»LAL»X»NA»SS»NA»FBCTCBenefit2inMotion»PRC1M0</v></cell><cell r="D2694" t="str"><v>43300223862927</v></cell><cell r="E2694" t="str"><v>43300103043835PRC1M0</v></cell><cell r="F2694" t="str"><v>DCM</v></cell><cell r="G2694" t="str"><v>https://signup.azure.com/?OCID=AID%eexcid!_OLA_%ebuy!_%epid!_%ecid!</v></cell></row><row r="2694"><cell r="K2694" t="str"><v>July</v></cell><cell r="L2694"><v>43302</v></cell><cell r="M2694" t="str"><v>Tier 0</v></cell><cell r="N2694" t="str"><v>North America</v></cell><cell r="O2694" t="str"><v>United States</v></cell><cell r="P2694" t="str"><v>Trial</v></cell><cell r="Q2694" t="str"><v>Social</v></cell><cell r="R2694" t="str"><v>Azure</v></cell><cell r="S2694" t="str"><v>Apps & Infra</v></cell><cell r="T2694" t="str"><v>Developers & ITI's</v></cell><cell r="U2694" t="str"><v>USA-Trial-ITD-Trial Lookalike-AZR-AZR</v></cell><cell r="V2694" t="str"><v>Lookalike Targeting</v></cell><cell r="W2694" t="str"><v>Canvas Ad</v></cell><cell r="X2694" t="str"><v>1x1</v></cell></row><row r="2694"><cell r="AA2694"><v>43300</v></cell><cell r="AB2694" t="str"><v>USA_gaPMG_AZR_AZR_Q1_19_Direct-Social</v></cell><cell r="AC2694"><v>21358715</v></cell><cell r="AD2694"><v>720197</v></cell><cell r="AE2694" t="str"><v>Facebook</v></cell><cell r="AF2694"><v>3654128</v></cell><cell r="AG2694" t="str"><v>FACEBOOK»USA-Trial-ITD-Trial Lookalike-AZR-AZR»1 x 1»SocialBan»CAN»ALL»CPA»LAL»X»NA»SS»NA»FBCTCBenefit2inMotion»PRC1M0</v></cell><cell r="AH2694"><v>223862927</v></cell><cell r="AI2694" t="str"><v>AzurePlatform_FBCTCBenefit2inMotion_USA_10s_CAN_PLATFORM_English_Trial_Standard_STAN_TIN_T4_1</v></cell><cell r="AJ2694"><v>103043835</v></cell></row><row r="2695"><cell r="C2695" t="str"><v>43300FACEBOOK»USA-Trial-ITD-Trial Lookalike-AZR-AZR»1 x 1»SocialBan»LIA»ALL»CPA»LAL»X»NA»SS»NA»FreeAcctDeveloperFB-AnimatedAI-Ch3»PRC1M7</v></cell><cell r="D2695" t="str"><v>43300223934104</v></cell><cell r="E2695" t="str"><v>43300103032778PRC1M7</v></cell><cell r="F2695" t="str"><v>DCM</v></cell></row><row r="2695"><cell r="K2695" t="str"><v>July</v></cell><cell r="L2695"><v>43302</v></cell><cell r="M2695" t="str"><v>Tier 0</v></cell><cell r="N2695" t="str"><v>North America</v></cell><cell r="O2695" t="str"><v>United States</v></cell><cell r="P2695" t="str"><v>Trial</v></cell><cell r="Q2695" t="str"><v>Social</v></cell><cell r="R2695" t="str"><v>Azure</v></cell><cell r="S2695" t="str"><v>Apps & Infra</v></cell><cell r="T2695" t="str"><v>Developers & ITI's</v></cell><cell r="U2695" t="str"><v>USA-Trial-ITD-Trial Lookalike-AZR-AZR</v></cell><cell r="V2695" t="str"><v>Lookalike Targeting</v></cell><cell r="W2695" t="str"><v>Link Ad</v></cell><cell r="X2695" t="str"><v>1x1</v></cell></row><row r="2695"><cell r="AA2695"><v>43300</v></cell><cell r="AB2695" t="str"><v>USA_gaPMG_AZR_AZR_Q1_19_Direct-Social</v></cell><cell r="AC2695"><v>21358715</v></cell><cell r="AD2695"><v>720197</v></cell><cell r="AE2695" t="str"><v>Facebook</v></cell><cell r="AF2695"><v>3654128</v></cell><cell r="AG2695" t="str"><v>FACEBOOK»USA-Trial-ITD-Trial Lookalike-AZR-AZR»1 x 1»SocialBan»LIA»ALL»CPA»LAL»X»NA»SS»NA»FreeAcctDeveloperFB-AnimatedAI-Ch3»PRC1M7</v></cell><cell r="AH2695"><v>223934104</v></cell><cell r="AI2695" t="str"><v>AZR_FreeAcctDeveloperFB-AnimatedAI-Ch3_USA_1200x1200_CAN_Direct_English_Trial_Standard_ANI_LEA_T3_1</v></cell><cell r="AJ2695"><v>103032778</v></cell></row><row r="2696"><cell r="C2696" t="str"><v>43300FACEBOOK»USA-Trial-ITD-Trial Lookalike-AZR-AZR»1 x 1»SocialBan»LIA»ALL»CPA»LAL»X»NA»SS»NA»FreeAcctDeveloperFB-AnimatedData-Ch4»PRC1M8</v></cell><cell r="D2696" t="str"><v>43300223862933</v></cell><cell r="E2696" t="str"><v>43300103037935PRC1M8</v></cell><cell r="F2696" t="str"><v>DCM</v></cell></row><row r="2696"><cell r="K2696" t="str"><v>July</v></cell><cell r="L2696"><v>43302</v></cell><cell r="M2696" t="str"><v>Tier 0</v></cell><cell r="N2696" t="str"><v>North America</v></cell><cell r="O2696" t="str"><v>United States</v></cell><cell r="P2696" t="str"><v>Trial</v></cell><cell r="Q2696" t="str"><v>Social</v></cell><cell r="R2696" t="str"><v>Azure</v></cell><cell r="S2696" t="str"><v>Apps & Infra</v></cell><cell r="T2696" t="str"><v>Developers & ITI's</v></cell><cell r="U2696" t="str"><v>USA-Trial-ITD-Trial Lookalike-AZR-AZR</v></cell><cell r="V2696" t="str"><v>Lookalike Targeting</v></cell><cell r="W2696" t="str"><v>Link Ad</v></cell><cell r="X2696" t="str"><v>1x1</v></cell></row><row r="2696"><cell r="AA2696"><v>43300</v></cell><cell r="AB2696" t="str"><v>USA_gaPMG_AZR_AZR_Q1_19_Direct-Social</v></cell><cell r="AC2696"><v>21358715</v></cell><cell r="AD2696"><v>720197</v></cell><cell r="AE2696" t="str"><v>Facebook</v></cell><cell r="AF2696"><v>3654128</v></cell><cell r="AG2696" t="str"><v>FACEBOOK»USA-Trial-ITD-Trial Lookalike-AZR-AZR»1 x 1»SocialBan»LIA»ALL»CPA»LAL»X»NA»SS»NA»FreeAcctDeveloperFB-AnimatedData-Ch4»PRC1M8</v></cell><cell r="AH2696"><v>223862933</v></cell><cell r="AI2696" t="str"><v>AZR_FreeAcctDeveloperFB-AnimatedData-Ch4_USA_1200x1200_CAN_Direct_English_Trial_Standard_ANI_LEA_T4_2</v></cell><cell r="AJ2696"><v>103037935</v></cell></row><row r="2697"><cell r="C2697" t="str"><v>43300FACEBOOK»USA-Trial-ITD-Trial Lookalike-AZR-AZR»1 x 1»SocialBan»LIA»ALL»CPA»LAL»X»NA»SS»NA»FreeAcctITProFB-AnimatedHybrid-Ch2»PRC1MC</v></cell><cell r="D2697" t="str"><v>43300224104956</v></cell><cell r="E2697" t="str"><v>43300103180583PRC1MC</v></cell><cell r="F2697" t="str"><v>DCM</v></cell></row><row r="2697"><cell r="K2697" t="str"><v>July</v></cell><cell r="L2697"><v>43302</v></cell><cell r="M2697" t="str"><v>Tier 0</v></cell><cell r="N2697" t="str"><v>North America</v></cell><cell r="O2697" t="str"><v>United States</v></cell><cell r="P2697" t="str"><v>Trial</v></cell><cell r="Q2697" t="str"><v>Social</v></cell><cell r="R2697" t="str"><v>Azure</v></cell><cell r="S2697" t="str"><v>Apps & Infra</v></cell><cell r="T2697" t="str"><v>Developers & ITI's</v></cell><cell r="U2697" t="str"><v>USA-Trial-ITD-Trial Lookalike-AZR-AZR</v></cell><cell r="V2697" t="str"><v>Lookalike Targeting</v></cell><cell r="W2697" t="str"><v>Link Ad</v></cell><cell r="X2697" t="str"><v>1x1</v></cell></row><row r="2697"><cell r="AA2697"><v>43300</v></cell><cell r="AB2697" t="str"><v>USA_gaPMG_AZR_AZR_Q1_19_Direct-Social</v></cell><cell r="AC2697"><v>21358715</v></cell><cell r="AD2697"><v>720197</v></cell><cell r="AE2697" t="str"><v>Facebook</v></cell><cell r="AF2697"><v>3654128</v></cell><cell r="AG2697" t="str"><v>FACEBOOK»USA-Trial-ITD-Trial Lookalike-AZR-AZR»1 x 1»SocialBan»LIA»ALL»CPA»LAL»X»NA»SS»NA»FreeAcctITProFB-AnimatedHybrid-Ch2»PRC1MC</v></cell><cell r="AH2697"><v>224104956</v></cell><cell r="AI2697" t="str"><v>AZR_FreeAcctITProFB-AnimatedHybrid-Ch2_USA_1200x1200_CAN_Direct_English_Trial_Standard_ANI_LEA_T2_2</v></cell><cell r="AJ2697"><v>103180583</v></cell></row><row r="2698"><cell r="C2698" t="str"><v>43300FACEBOOK»USA-Trial-ITD-Trial Lookalike-AZR-AZR»1 x 1»SocialBan»CAN»ALL»CPA»LAL»X»NA»SS»NA»FBCTCBrandinMotion»PRC1M3</v></cell><cell r="D2698" t="str"><v>43300223862900</v></cell><cell r="E2698" t="str"><v>43300103176812PRC1M3</v></cell><cell r="F2698" t="str"><v>DCM</v></cell><cell r="G2698" t="str"><v>https://signup.azure.com/?OCID=AID%eexcid!_OLA_%ebuy!_%epid!_%ecid!</v></cell></row><row r="2698"><cell r="K2698" t="str"><v>July</v></cell><cell r="L2698"><v>43302</v></cell><cell r="M2698" t="str"><v>Tier 0</v></cell><cell r="N2698" t="str"><v>North America</v></cell><cell r="O2698" t="str"><v>United States</v></cell><cell r="P2698" t="str"><v>Trial</v></cell><cell r="Q2698" t="str"><v>Social</v></cell><cell r="R2698" t="str"><v>Azure</v></cell><cell r="S2698" t="str"><v>Apps & Infra</v></cell><cell r="T2698" t="str"><v>Developers & ITI's</v></cell><cell r="U2698" t="str"><v>USA-Trial-ITD-Trial Lookalike-AZR-AZR</v></cell><cell r="V2698" t="str"><v>Lookalike Targeting</v></cell><cell r="W2698" t="str"><v>Canvas Ad</v></cell><cell r="X2698" t="str"><v>1x1</v></cell></row><row r="2698"><cell r="AA2698"><v>43300</v></cell><cell r="AB2698" t="str"><v>USA_gaPMG_AZR_AZR_Q1_19_Direct-Social</v></cell><cell r="AC2698"><v>21358715</v></cell><cell r="AD2698"><v>720197</v></cell><cell r="AE2698" t="str"><v>Facebook</v></cell><cell r="AF2698"><v>3654128</v></cell><cell r="AG2698" t="str"><v>FACEBOOK»USA-Trial-ITD-Trial Lookalike-AZR-AZR»1 x 1»SocialBan»CAN»ALL»CPA»LAL»X»NA»SS»NA»FBCTCBrandinMotion»PRC1M3</v></cell><cell r="AH2698"><v>223862900</v></cell><cell r="AI2698" t="str"><v>AzurePlatform_FBCTCBrandinMotion_USA_10s_CAN_PLATFORM_English_Trial_Standard_STAN_TIN_T2_1</v></cell><cell r="AJ2698"><v>103176812</v></cell></row><row r="2699"><cell r="C2699" t="str"><v>43300FACEBOOK»USA-Trial-ITD-Trial Lookalike-AZR-AZR»1 x 1»SocialBan»CAN»ALL»CPA»LAL»X»NA»SS»NA»FBCTCBrandinMotion»PRC1M3</v></cell><cell r="D2699" t="str"><v>43300223862900</v></cell><cell r="E2699" t="str"><v>43300103032823PRC1M3</v></cell><cell r="F2699" t="str"><v>DCM</v></cell><cell r="G2699" t="str"><v>https://azure.microsoft.com/en-us/pricing/purchase-options/?v=18.19&OCID=AID%eexcid!_OLA_%ebuy!_%epid!_%ecid!</v></cell></row><row r="2699"><cell r="K2699" t="str"><v>July</v></cell><cell r="L2699"><v>43302</v></cell><cell r="M2699" t="str"><v>Tier 0</v></cell><cell r="N2699" t="str"><v>North America</v></cell><cell r="O2699" t="str"><v>United States</v></cell><cell r="P2699" t="str"><v>Trial</v></cell><cell r="Q2699" t="str"><v>Social</v></cell><cell r="R2699" t="str"><v>Azure</v></cell><cell r="S2699" t="str"><v>Apps & Infra</v></cell><cell r="T2699" t="str"><v>Developers & ITI's</v></cell><cell r="U2699" t="str"><v>USA-Trial-ITD-Trial Lookalike-AZR-AZR</v></cell><cell r="V2699" t="str"><v>Lookalike Targeting</v></cell><cell r="W2699" t="str"><v>Canvas Ad</v></cell><cell r="X2699" t="str"><v>1x1</v></cell></row><row r="2699"><cell r="AA2699"><v>43300</v></cell><cell r="AB2699" t="str"><v>USA_gaPMG_AZR_AZR_Q1_19_Direct-Social</v></cell><cell r="AC2699"><v>21358715</v></cell><cell r="AD2699"><v>720197</v></cell><cell r="AE2699" t="str"><v>Facebook</v></cell><cell r="AF2699"><v>3654128</v></cell><cell r="AG2699" t="str"><v>FACEBOOK»USA-Trial-ITD-Trial Lookalike-AZR-AZR»1 x 1»SocialBan»CAN»ALL»CPA»LAL»X»NA»SS»NA»FBCTCBrandinMotion»PRC1M3</v></cell><cell r="AH2699"><v>223862900</v></cell><cell r="AI2699" t="str"><v>AzurePlatform_FBCTCBrandinMotion_USA_10s_CAN_PLATFORM_English_Trial_Standard_STAN_TIN_T2_2</v></cell><cell r="AJ2699"><v>103032823</v></cell></row><row r="2700"><cell r="C2700" t="str"><v>43300FACEBOOK»USA-Trial-ITD-Trial PayGo Lookalike-AZR-AZR»1 x 1»SocialBan»CAN»ALL»CPA»LAL»X»NA»SS»NA»FBCTCBenefit2inMotion»PRC1Q1</v></cell><cell r="D2700" t="str"><v>43300224104986</v></cell><cell r="E2700" t="str"><v>43300103043835PRC1Q1</v></cell><cell r="F2700" t="str"><v>DCM</v></cell><cell r="G2700" t="str"><v>https://signup.azure.com/?OCID=AID%eexcid!_OLA_%ebuy!_%epid!_%ecid!</v></cell></row><row r="2700"><cell r="K2700" t="str"><v>July</v></cell><cell r="L2700"><v>43302</v></cell><cell r="M2700" t="str"><v>Tier 0</v></cell><cell r="N2700" t="str"><v>North America</v></cell><cell r="O2700" t="str"><v>United States</v></cell><cell r="P2700" t="str"><v>Trial</v></cell><cell r="Q2700" t="str"><v>Social</v></cell><cell r="R2700" t="str"><v>Azure</v></cell><cell r="S2700" t="str"><v>Apps & Infra</v></cell><cell r="T2700" t="str"><v>Developers & ITI's</v></cell><cell r="U2700" t="str"><v>USA-Trial-ITD-Trial PayGo Lookalike-AZR-AZR</v></cell><cell r="V2700" t="str"><v>Lookalike Targeting</v></cell><cell r="W2700" t="str"><v>Canvas Ad</v></cell><cell r="X2700" t="str"><v>1x1</v></cell></row><row r="2700"><cell r="AA2700"><v>43300</v></cell><cell r="AB2700" t="str"><v>USA_gaPMG_AZR_AZR_Q1_19_Direct-Social</v></cell><cell r="AC2700"><v>21358715</v></cell><cell r="AD2700"><v>720197</v></cell><cell r="AE2700" t="str"><v>Facebook</v></cell><cell r="AF2700"><v>3654128</v></cell><cell r="AG2700" t="str"><v>FACEBOOK»USA-Trial-ITD-Trial PayGo Lookalike-AZR-AZR»1 x 1»SocialBan»CAN»ALL»CPA»LAL»X»NA»SS»NA»FBCTCBenefit2inMotion»PRC1Q1</v></cell><cell r="AH2700"><v>224104986</v></cell><cell r="AI2700" t="str"><v>AzurePlatform_FBCTCBenefit2inMotion_USA_10s_CAN_PLATFORM_English_Trial_Standard_STAN_TIN_T4_1</v></cell><cell r="AJ2700"><v>103043835</v></cell></row><row r="2701"><cell r="C2701" t="str"><v>43300FACEBOOK»USA-Trial-ITD-Trial PayGo Lookalike-AZR-AZR»1 x 1»SocialBan»CAN»ALL»CPA»LAL»X»NA»SS»NA»FBCTCBenefit2inMotion»PRC1Q1</v></cell><cell r="D2701" t="str"><v>43300224104986</v></cell><cell r="E2701" t="str"><v>43300103178645PRC1Q1</v></cell><cell r="F2701" t="str"><v>DCM</v></cell><cell r="G2701" t="str"><v>https://azure.microsoft.com/en-us/pricing/purchase-options/?v=18.19&OCID=AID%eexcid!_OLA_%ebuy!_%epid!_%ecid!</v></cell></row><row r="2701"><cell r="K2701" t="str"><v>July</v></cell><cell r="L2701"><v>43302</v></cell><cell r="M2701" t="str"><v>Tier 0</v></cell><cell r="N2701" t="str"><v>North America</v></cell><cell r="O2701" t="str"><v>United States</v></cell><cell r="P2701" t="str"><v>Trial</v></cell><cell r="Q2701" t="str"><v>Social</v></cell><cell r="R2701" t="str"><v>Azure</v></cell><cell r="S2701" t="str"><v>Apps & Infra</v></cell><cell r="T2701" t="str"><v>Developers & ITI's</v></cell><cell r="U2701" t="str"><v>USA-Trial-ITD-Trial PayGo Lookalike-AZR-AZR</v></cell><cell r="V2701" t="str"><v>Lookalike Targeting</v></cell><cell r="W2701" t="str"><v>Canvas Ad</v></cell><cell r="X2701" t="str"><v>1x1</v></cell></row><row r="2701"><cell r="AA2701"><v>43300</v></cell><cell r="AB2701" t="str"><v>USA_gaPMG_AZR_AZR_Q1_19_Direct-Social</v></cell><cell r="AC2701"><v>21358715</v></cell><cell r="AD2701"><v>720197</v></cell><cell r="AE2701" t="str"><v>Facebook</v></cell><cell r="AF2701"><v>3654128</v></cell><cell r="AG2701" t="str"><v>FACEBOOK»USA-Trial-ITD-Trial PayGo Lookalike-AZR-AZR»1 x 1»SocialBan»CAN»ALL»CPA»LAL»X»NA»SS»NA»FBCTCBenefit2inMotion»PRC1Q1</v></cell><cell r="AH2701"><v>224104986</v></cell><cell r="AI2701" t="str"><v>AzurePlatform_FBCTCBenefit2inMotion_USA_10s_CAN_PLATFORM_English_Trial_Standard_STAN_TIN_T4_2</v></cell><cell r="AJ2701"><v>103178645</v></cell></row><row r="2702"><cell r="C2702" t="str"><v>43300FACEBOOK»USA-Trial-ITD-Trial PayGo Lookalike-AZR-AZR»1 x 1»SocialBan»CAN»ALL»CPA»LAL»X»NA»SS»NA»FBCTCBrandinMotion»PRC1Q3</v></cell><cell r="D2702" t="str"><v>43300223935349</v></cell><cell r="E2702" t="str"><v>43300103176812PRC1Q3</v></cell><cell r="F2702" t="str"><v>DCM</v></cell><cell r="G2702" t="str"><v>https://signup.azure.com/?OCID=AID%eexcid!_OLA_%ebuy!_%epid!_%ecid!</v></cell></row><row r="2702"><cell r="K2702" t="str"><v>July</v></cell><cell r="L2702"><v>43302</v></cell><cell r="M2702" t="str"><v>Tier 0</v></cell><cell r="N2702" t="str"><v>North America</v></cell><cell r="O2702" t="str"><v>United States</v></cell><cell r="P2702" t="str"><v>Trial</v></cell><cell r="Q2702" t="str"><v>Social</v></cell><cell r="R2702" t="str"><v>Azure</v></cell><cell r="S2702" t="str"><v>Apps & Infra</v></cell><cell r="T2702" t="str"><v>Developers & ITI's</v></cell><cell r="U2702" t="str"><v>USA-Trial-ITD-Trial PayGo Lookalike-AZR-AZR</v></cell><cell r="V2702" t="str"><v>Lookalike Targeting</v></cell><cell r="W2702" t="str"><v>Canvas Ad</v></cell><cell r="X2702" t="str"><v>1x1</v></cell></row><row r="2702"><cell r="AA2702"><v>43300</v></cell><cell r="AB2702" t="str"><v>USA_gaPMG_AZR_AZR_Q1_19_Direct-Social</v></cell><cell r="AC2702"><v>21358715</v></cell><cell r="AD2702"><v>720197</v></cell><cell r="AE2702" t="str"><v>Facebook</v></cell><cell r="AF2702"><v>3654128</v></cell><cell r="AG2702" t="str"><v>FACEBOOK»USA-Trial-ITD-Trial PayGo Lookalike-AZR-AZR»1 x 1»SocialBan»CAN»ALL»CPA»LAL»X»NA»SS»NA»FBCTCBrandinMotion»PRC1Q3</v></cell><cell r="AH2702"><v>223935349</v></cell><cell r="AI2702" t="str"><v>AzurePlatform_FBCTCBrandinMotion_USA_10s_CAN_PLATFORM_English_Trial_Standard_STAN_TIN_T2_1</v></cell><cell r="AJ2702"><v>103176812</v></cell></row><row r="2703"><cell r="C2703" t="str"><v>43300FACEBOOK»USA-Trial-ITD-Trial PayGo Lookalike-AZR-AZR»1 x 1»SocialBan»CAN»ALL»CPA»LAL»X»NA»SS»NA»FBCTCBrandinMotion»PRC1Q3</v></cell><cell r="D2703" t="str"><v>43300223935349</v></cell><cell r="E2703" t="str"><v>43300103032823PRC1Q3</v></cell><cell r="F2703" t="str"><v>DCM</v></cell><cell r="G2703" t="str"><v>https://azure.microsoft.com/en-us/pricing/purchase-options/?v=18.19&OCID=AID%eexcid!_OLA_%ebuy!_%epid!_%ecid!</v></cell></row><row r="2703"><cell r="K2703" t="str"><v>July</v></cell><cell r="L2703"><v>43302</v></cell><cell r="M2703" t="str"><v>Tier 0</v></cell><cell r="N2703" t="str"><v>North America</v></cell><cell r="O2703" t="str"><v>United States</v></cell><cell r="P2703" t="str"><v>Trial</v></cell><cell r="Q2703" t="str"><v>Social</v></cell><cell r="R2703" t="str"><v>Azure</v></cell><cell r="S2703" t="str"><v>Apps & Infra</v></cell><cell r="T2703" t="str"><v>Developers & ITI's</v></cell><cell r="U2703" t="str"><v>USA-Trial-ITD-Trial PayGo Lookalike-AZR-AZR</v></cell><cell r="V2703" t="str"><v>Lookalike Targeting</v></cell><cell r="W2703" t="str"><v>Canvas Ad</v></cell><cell r="X2703" t="str"><v>1x1</v></cell></row><row r="2703"><cell r="AA2703"><v>43300</v></cell><cell r="AB2703" t="str"><v>USA_gaPMG_AZR_AZR_Q1_19_Direct-Social</v></cell><cell r="AC2703"><v>21358715</v></cell><cell r="AD2703"><v>720197</v></cell><cell r="AE2703" t="str"><v>Facebook</v></cell><cell r="AF2703"><v>3654128</v></cell><cell r="AG2703" t="str"><v>FACEBOOK»USA-Trial-ITD-Trial PayGo Lookalike-AZR-AZR»1 x 1»SocialBan»CAN»ALL»CPA»LAL»X»NA»SS»NA»FBCTCBrandinMotion»PRC1Q3</v></cell><cell r="AH2703"><v>223935349</v></cell><cell r="AI2703" t="str"><v>AzurePlatform_FBCTCBrandinMotion_USA_10s_CAN_PLATFORM_English_Trial_Standard_STAN_TIN_T2_2</v></cell><cell r="AJ2703"><v>103032823</v></cell></row><row r="2704"><cell r="C2704" t="str"><v>43300FACEBOOK»USA-Trial-ITD-Trial PayGo Lookalike-AZR-AZR»1 x 1»SocialBan»LIA»ALL»CPA»LAL»X»NA»SS»NA»FreeAcctDeveloperFB-AnimatedGeneric-Ch1»PRC1Q6</v></cell><cell r="D2704" t="str"><v>43300224106129</v></cell><cell r="E2704" t="str"><v>43300103176851PRC1Q6</v></cell><cell r="F2704" t="str"><v>DCM</v></cell><cell r="G2704" t="str"><v>https://azure.microsoft.com/en-us/free/search/?OCID=AID%eexcid!_OLA_%ebuy!_%epid!_%ecid!</v></cell></row><row r="2704"><cell r="K2704" t="str"><v>July</v></cell><cell r="L2704"><v>43302</v></cell><cell r="M2704" t="str"><v>Tier 0</v></cell><cell r="N2704" t="str"><v>North America</v></cell><cell r="O2704" t="str"><v>United States</v></cell><cell r="P2704" t="str"><v>Trial</v></cell><cell r="Q2704" t="str"><v>Social</v></cell><cell r="R2704" t="str"><v>Azure</v></cell><cell r="S2704" t="str"><v>Apps & Infra</v></cell><cell r="T2704" t="str"><v>Developers & ITI's</v></cell><cell r="U2704" t="str"><v>USA-Trial-ITD-Trial PayGo Lookalike-AZR-AZR</v></cell><cell r="V2704" t="str"><v>Lookalike Targeting</v></cell><cell r="W2704" t="str"><v>Link Ad</v></cell><cell r="X2704" t="str"><v>1x1</v></cell></row><row r="2704"><cell r="AA2704"><v>43300</v></cell><cell r="AB2704" t="str"><v>USA_gaPMG_AZR_AZR_Q1_19_Direct-Social</v></cell><cell r="AC2704"><v>21358715</v></cell><cell r="AD2704"><v>720197</v></cell><cell r="AE2704" t="str"><v>Facebook</v></cell><cell r="AF2704"><v>3654128</v></cell><cell r="AG2704" t="str"><v>FACEBOOK»USA-Trial-ITD-Trial PayGo Lookalike-AZR-AZR»1 x 1»SocialBan»LIA»ALL»CPA»LAL»X»NA»SS»NA»FreeAcctDeveloperFB-AnimatedGeneric-Ch1»PRC1Q6</v></cell><cell r="AH2704"><v>224106129</v></cell><cell r="AI2704" t="str"><v>AZR_FreeAcctDeveloperFB-AnimatedGeneric-Ch1_USA_1200x1200_CAN_Direct_English_Trial_Standard_ANI_LEA_T1_2</v></cell><cell r="AJ2704"><v>103176851</v></cell></row><row r="2705"><cell r="C2705" t="str"><v>43300FACEBOOK»USA-Trial-ITD-Interest Prospecting-AZR-AZR»1 x 1»SocialBan»LIA»ALL»CPA»PRO»X»NA»SS»NA»FreeAcctDeveloperFB-AnimatedAI-Ch3»PRC1T2</v></cell><cell r="D2705" t="str"><v>43300223862765</v></cell><cell r="E2705" t="str"><v>43300103032778PRC1T2</v></cell><cell r="F2705" t="str"><v>DCM</v></cell></row><row r="2705"><cell r="K2705" t="str"><v>July</v></cell><cell r="L2705"><v>43302</v></cell><cell r="M2705" t="str"><v>Tier 0</v></cell><cell r="N2705" t="str"><v>North America</v></cell><cell r="O2705" t="str"><v>United States</v></cell><cell r="P2705" t="str"><v>Trial</v></cell><cell r="Q2705" t="str"><v>Social</v></cell><cell r="R2705" t="str"><v>Azure</v></cell><cell r="S2705" t="str"><v>Apps & Infra</v></cell><cell r="T2705" t="str"><v>Developers & ITI's</v></cell><cell r="U2705" t="str"><v>USA-Trial-ITD-Interest Prospecting-AZR-AZR</v></cell><cell r="V2705" t="str"><v>Prospecting</v></cell><cell r="W2705" t="str"><v>Link Ad</v></cell><cell r="X2705" t="str"><v>1x1</v></cell></row><row r="2705"><cell r="AA2705"><v>43300</v></cell><cell r="AB2705" t="str"><v>USA_gaPMG_AZR_AZR_Q1_19_Direct-Social</v></cell><cell r="AC2705"><v>21358715</v></cell><cell r="AD2705"><v>720197</v></cell><cell r="AE2705" t="str"><v>Facebook</v></cell><cell r="AF2705"><v>3654128</v></cell><cell r="AG2705" t="str"><v>FACEBOOK»USA-Trial-ITD-Interest Prospecting-AZR-AZR»1 x 1»SocialBan»LIA»ALL»CPA»PRO»X»NA»SS»NA»FreeAcctDeveloperFB-AnimatedAI-Ch3»PRC1T2</v></cell><cell r="AH2705"><v>223862765</v></cell><cell r="AI2705" t="str"><v>AZR_FreeAcctDeveloperFB-AnimatedAI-Ch3_USA_1200x1200_CAN_Direct_English_Trial_Standard_ANI_LEA_T3_1</v></cell><cell r="AJ2705"><v>103032778</v></cell></row><row r="2706"><cell r="C2706" t="str"><v>43300FACEBOOK»USA-Trial-ITD-Interest Prospecting-AZR-AZR»1 x 1»SocialBan»LIA»ALL»CPA»PRO»X»NA»SS»NA»FreeAcctDeveloperFB-AnimatedData-Ch4»PRC1T3</v></cell><cell r="D2706" t="str"><v>43300223863380</v></cell><cell r="E2706" t="str"><v>43300103037935PRC1T3</v></cell><cell r="F2706" t="str"><v>DCM</v></cell></row><row r="2706"><cell r="K2706" t="str"><v>July</v></cell><cell r="L2706"><v>43302</v></cell><cell r="M2706" t="str"><v>Tier 0</v></cell><cell r="N2706" t="str"><v>North America</v></cell><cell r="O2706" t="str"><v>United States</v></cell><cell r="P2706" t="str"><v>Trial</v></cell><cell r="Q2706" t="str"><v>Social</v></cell><cell r="R2706" t="str"><v>Azure</v></cell><cell r="S2706" t="str"><v>Apps & Infra</v></cell><cell r="T2706" t="str"><v>Developers & ITI's</v></cell><cell r="U2706" t="str"><v>USA-Trial-ITD-Interest Prospecting-AZR-AZR</v></cell><cell r="V2706" t="str"><v>Prospecting</v></cell><cell r="W2706" t="str"><v>Link Ad</v></cell><cell r="X2706" t="str"><v>1x1</v></cell></row><row r="2706"><cell r="AA2706"><v>43300</v></cell><cell r="AB2706" t="str"><v>USA_gaPMG_AZR_AZR_Q1_19_Direct-Social</v></cell><cell r="AC2706"><v>21358715</v></cell><cell r="AD2706"><v>720197</v></cell><cell r="AE2706" t="str"><v>Facebook</v></cell><cell r="AF2706"><v>3654128</v></cell><cell r="AG2706" t="str"><v>FACEBOOK»USA-Trial-ITD-Interest Prospecting-AZR-AZR»1 x 1»SocialBan»LIA»ALL»CPA»PRO»X»NA»SS»NA»FreeAcctDeveloperFB-AnimatedData-Ch4»PRC1T3</v></cell><cell r="AH2706"><v>223863380</v></cell><cell r="AI2706" t="str"><v>AZR_FreeAcctDeveloperFB-AnimatedData-Ch4_USA_1200x1200_CAN_Direct_English_Trial_Standard_ANI_LEA_T4_2</v></cell><cell r="AJ2706"><v>103037935</v></cell></row><row r="2707"><cell r="C2707" t="str"><v>43300FACEBOOK»USA-Trial-ITD-Interest Prospecting-AZR-AZR»1 x 1»SocialBan»LIA»ALL»CPA»PRO»X»NA»SS»NA»FreeAcctDeveloperFB-AnimatedOpenSource-Ch2»PRC1T1</v></cell><cell r="D2707" t="str"><v>43300223862885</v></cell><cell r="E2707" t="str"><v>43300103048329PRC1T1</v></cell><cell r="F2707" t="str"><v>DCM</v></cell><cell r="G2707" t="str"><v>https://azure.microsoft.com/en-us/free/open-source/search/?OCID=AID%eexcid!_OLA_%ebuy!_%epid!_%ecid!</v></cell></row><row r="2707"><cell r="K2707" t="str"><v>July</v></cell><cell r="L2707"><v>43302</v></cell><cell r="M2707" t="str"><v>Tier 0</v></cell><cell r="N2707" t="str"><v>North America</v></cell><cell r="O2707" t="str"><v>United States</v></cell><cell r="P2707" t="str"><v>Trial</v></cell><cell r="Q2707" t="str"><v>Social</v></cell><cell r="R2707" t="str"><v>Azure</v></cell><cell r="S2707" t="str"><v>Apps & Infra</v></cell><cell r="T2707" t="str"><v>Developers & ITI's</v></cell><cell r="U2707" t="str"><v>USA-Trial-ITD-Interest Prospecting-AZR-AZR</v></cell><cell r="V2707" t="str"><v>Prospecting</v></cell><cell r="W2707" t="str"><v>Link Ad</v></cell><cell r="X2707" t="str"><v>1x1</v></cell></row><row r="2707"><cell r="AA2707"><v>43300</v></cell><cell r="AB2707" t="str"><v>USA_gaPMG_AZR_AZR_Q1_19_Direct-Social</v></cell><cell r="AC2707"><v>21358715</v></cell><cell r="AD2707"><v>720197</v></cell><cell r="AE2707" t="str"><v>Facebook</v></cell><cell r="AF2707"><v>3654128</v></cell><cell r="AG2707" t="str"><v>FACEBOOK»USA-Trial-ITD-Interest Prospecting-AZR-AZR»1 x 1»SocialBan»LIA»ALL»CPA»PRO»X»NA»SS»NA»FreeAcctDeveloperFB-AnimatedOpenSource-Ch2»PRC1T1</v></cell><cell r="AH2707"><v>223862885</v></cell><cell r="AI2707" t="str"><v>AZR_FreeAcctDeveloperFB-AnimatedOpenSource-Ch2_USA_1200x1200_CAN_Direct_English_Trial_Standard_ANI_LEA_T2_1</v></cell><cell r="AJ2707"><v>103048329</v></cell></row><row r="2708"><cell r="C2708" t="str"><v>43300FACEBOOK»USA-Trial-ITD-Interest Prospecting-AZR-AZR»1 x 1»SocialBan»LIA»ALL»CPA»PRO»X»NA»SS»NA»FreeAcctITProFB-AnimatedMigration-Ch3»PRC1X2</v></cell><cell r="D2708" t="str"><v>43300224106954</v></cell><cell r="E2708" t="str"><v>43300103176827PRC1X2</v></cell><cell r="F2708" t="str"><v>DCM</v></cell></row><row r="2708"><cell r="K2708" t="str"><v>July</v></cell><cell r="L2708"><v>43302</v></cell><cell r="M2708" t="str"><v>Tier 0</v></cell><cell r="N2708" t="str"><v>North America</v></cell><cell r="O2708" t="str"><v>United States</v></cell><cell r="P2708" t="str"><v>Trial</v></cell><cell r="Q2708" t="str"><v>Social</v></cell><cell r="R2708" t="str"><v>Azure</v></cell><cell r="S2708" t="str"><v>Apps & Infra</v></cell><cell r="T2708" t="str"><v>Developers & ITI's</v></cell><cell r="U2708" t="str"><v>USA-Trial-ITD-Interest Prospecting-AZR-AZR</v></cell><cell r="V2708" t="str"><v>Prospecting</v></cell><cell r="W2708" t="str"><v>Link Ad</v></cell><cell r="X2708" t="str"><v>1x1</v></cell></row><row r="2708"><cell r="AA2708"><v>43300</v></cell><cell r="AB2708" t="str"><v>USA_gaPMG_AZR_AZR_Q1_19_Direct-Social</v></cell><cell r="AC2708"><v>21358715</v></cell><cell r="AD2708"><v>720197</v></cell><cell r="AE2708" t="str"><v>Facebook</v></cell><cell r="AF2708"><v>3654128</v></cell><cell r="AG2708" t="str"><v>FACEBOOK»USA-Trial-ITD-Interest Prospecting-AZR-AZR»1 x 1»SocialBan»LIA»ALL»CPA»PRO»X»NA»SS»NA»FreeAcctITProFB-AnimatedMigration-Ch3»PRC1X2</v></cell><cell r="AH2708"><v>224106954</v></cell><cell r="AI2708" t="str"><v>AZR_FreeAcctITProFB-AnimatedMigration-Ch3_USA_1200x1200_CAN_Direct_English_Trial_Standard_ANI_LEA_T3_1</v></cell><cell r="AJ2708"><v>103176827</v></cell></row><row r="2709"><cell r="C2709" t="str"><v>43300FACEBOOK»USA-Trial-ITD-Lead Completes-AZR-AZR»1 x 1»SocialBan»CAN»ALL»CPA»PRO»X»NA»SS»NA»FBCTCBrandinMotion»PRC1VX</v></cell><cell r="D2709" t="str"><v>43300223861547</v></cell><cell r="E2709" t="str"><v>43300103176812PRC1VX</v></cell><cell r="F2709" t="str"><v>DCM</v></cell><cell r="G2709" t="str"><v>https://signup.azure.com/?OCID=AID%eexcid!_OLA_%ebuy!_%epid!_%ecid!</v></cell></row><row r="2709"><cell r="K2709" t="str"><v>July</v></cell><cell r="L2709"><v>43302</v></cell><cell r="M2709" t="str"><v>Tier 0</v></cell><cell r="N2709" t="str"><v>North America</v></cell><cell r="O2709" t="str"><v>United States</v></cell><cell r="P2709" t="str"><v>Trial</v></cell><cell r="Q2709" t="str"><v>Social</v></cell><cell r="R2709" t="str"><v>Azure</v></cell><cell r="S2709" t="str"><v>Apps & Infra</v></cell><cell r="T2709" t="str"><v>Developers & ITI's</v></cell><cell r="U2709" t="str"><v>USA-Trial-ITD-Lead Completes-AZR-AZR</v></cell><cell r="V2709" t="str"><v>Prospecting</v></cell><cell r="W2709" t="str"><v>Canvas Ad</v></cell><cell r="X2709" t="str"><v>1x1</v></cell></row><row r="2709"><cell r="AA2709"><v>43300</v></cell><cell r="AB2709" t="str"><v>USA_gaPMG_AZR_AZR_Q1_19_Direct-Social</v></cell><cell r="AC2709"><v>21358715</v></cell><cell r="AD2709"><v>720197</v></cell><cell r="AE2709" t="str"><v>Facebook</v></cell><cell r="AF2709"><v>3654128</v></cell><cell r="AG2709" t="str"><v>FACEBOOK»USA-Trial-ITD-Lead Completes-AZR-AZR»1 x 1»SocialBan»CAN»ALL»CPA»PRO»X»NA»SS»NA»FBCTCBrandinMotion»PRC1VX</v></cell><cell r="AH2709"><v>223861547</v></cell><cell r="AI2709" t="str"><v>AzurePlatform_FBCTCBrandinMotion_USA_10s_CAN_PLATFORM_English_Trial_Standard_STAN_TIN_T2_1</v></cell><cell r="AJ2709"><v>103176812</v></cell></row><row r="2710"><cell r="C2710" t="str"><v>43300FACEBOOK»USA-Trial-ITD-Lead Completes-AZR-AZR»1 x 1»SocialBan»LIA»ALL»CPA»PRO»X»NA»SS»NA»FreeAcctDeveloperFB-AnimatedAI-Ch3»PRC1W1</v></cell><cell r="D2710" t="str"><v>43300223933096</v></cell><cell r="E2710" t="str"><v>43300103032778PRC1W1</v></cell><cell r="F2710" t="str"><v>DCM</v></cell></row><row r="2710"><cell r="K2710" t="str"><v>July</v></cell><cell r="L2710"><v>43302</v></cell><cell r="M2710" t="str"><v>Tier 0</v></cell><cell r="N2710" t="str"><v>North America</v></cell><cell r="O2710" t="str"><v>United States</v></cell><cell r="P2710" t="str"><v>Trial</v></cell><cell r="Q2710" t="str"><v>Social</v></cell><cell r="R2710" t="str"><v>Azure</v></cell><cell r="S2710" t="str"><v>Apps & Infra</v></cell><cell r="T2710" t="str"><v>Developers & ITI's</v></cell><cell r="U2710" t="str"><v>USA-Trial-ITD-Lead Completes-AZR-AZR</v></cell><cell r="V2710" t="str"><v>Prospecting</v></cell><cell r="W2710" t="str"><v>Link Ad</v></cell><cell r="X2710" t="str"><v>1x1</v></cell></row><row r="2710"><cell r="AA2710"><v>43300</v></cell><cell r="AB2710" t="str"><v>USA_gaPMG_AZR_AZR_Q1_19_Direct-Social</v></cell><cell r="AC2710"><v>21358715</v></cell><cell r="AD2710"><v>720197</v></cell><cell r="AE2710" t="str"><v>Facebook</v></cell><cell r="AF2710"><v>3654128</v></cell><cell r="AG2710" t="str"><v>FACEBOOK»USA-Trial-ITD-Lead Completes-AZR-AZR»1 x 1»SocialBan»LIA»ALL»CPA»PRO»X»NA»SS»NA»FreeAcctDeveloperFB-AnimatedAI-Ch3»PRC1W1</v></cell><cell r="AH2710"><v>223933096</v></cell><cell r="AI2710" t="str"><v>AZR_FreeAcctDeveloperFB-AnimatedAI-Ch3_USA_1200x1200_CAN_Direct_English_Trial_Standard_ANI_LEA_T3_1</v></cell><cell r="AJ2710"><v>103032778</v></cell></row><row r="2711"><cell r="C2711" t="str"><v>43300FACEBOOK»USA-Trial-ITD-Lead Completes-AZR-AZR»1 x 1»SocialBan»LIA»ALL»CPA»PRO»X»NA»SS»NA»FreeAcctDeveloperFB-AnimatedOpenSource-Ch2»PRC1W0</v></cell><cell r="D2711" t="str"><v>43300223933108</v></cell><cell r="E2711" t="str"><v>43300103048329PRC1W0</v></cell><cell r="F2711" t="str"><v>DCM</v></cell><cell r="G2711" t="str"><v>https://azure.microsoft.com/en-us/free/open-source/search/?OCID=AID%eexcid!_OLA_%ebuy!_%epid!_%ecid!</v></cell></row><row r="2711"><cell r="K2711" t="str"><v>July</v></cell><cell r="L2711"><v>43302</v></cell><cell r="M2711" t="str"><v>Tier 0</v></cell><cell r="N2711" t="str"><v>North America</v></cell><cell r="O2711" t="str"><v>United States</v></cell><cell r="P2711" t="str"><v>Trial</v></cell><cell r="Q2711" t="str"><v>Social</v></cell><cell r="R2711" t="str"><v>Azure</v></cell><cell r="S2711" t="str"><v>Apps & Infra</v></cell><cell r="T2711" t="str"><v>Developers & ITI's</v></cell><cell r="U2711" t="str"><v>USA-Trial-ITD-Lead Completes-AZR-AZR</v></cell><cell r="V2711" t="str"><v>Prospecting</v></cell><cell r="W2711" t="str"><v>Link Ad</v></cell><cell r="X2711" t="str"><v>1x1</v></cell></row><row r="2711"><cell r="AA2711"><v>43300</v></cell><cell r="AB2711" t="str"><v>USA_gaPMG_AZR_AZR_Q1_19_Direct-Social</v></cell><cell r="AC2711"><v>21358715</v></cell><cell r="AD2711"><v>720197</v></cell><cell r="AE2711" t="str"><v>Facebook</v></cell><cell r="AF2711"><v>3654128</v></cell><cell r="AG2711" t="str"><v>FACEBOOK»USA-Trial-ITD-Lead Completes-AZR-AZR»1 x 1»SocialBan»LIA»ALL»CPA»PRO»X»NA»SS»NA»FreeAcctDeveloperFB-AnimatedOpenSource-Ch2»PRC1W0</v></cell><cell r="AH2711"><v>223933108</v></cell><cell r="AI2711" t="str"><v>AZR_FreeAcctDeveloperFB-AnimatedOpenSource-Ch2_USA_1200x1200_CAN_Direct_English_Trial_Standard_ANI_LEA_T2_1</v></cell><cell r="AJ2711"><v>103048329</v></cell></row><row r="2712"><cell r="C2712" t="str"><v>43300FACEBOOK»USA-Trial-ITD-Lead Completes-AZR-AZR»1 x 1»SocialBan»LIA»ALL»CPA»PRO»X»NA»SS»NA»FreeAcctITProFB-AnimatedSecureMngd-Ch1»PRC1W4</v></cell><cell r="D2712" t="str"><v>43300223862153</v></cell><cell r="E2712" t="str"><v>43300103176830PRC1W4</v></cell><cell r="F2712" t="str"><v>DCM</v></cell></row><row r="2712"><cell r="K2712" t="str"><v>July</v></cell><cell r="L2712"><v>43302</v></cell><cell r="M2712" t="str"><v>Tier 0</v></cell><cell r="N2712" t="str"><v>North America</v></cell><cell r="O2712" t="str"><v>United States</v></cell><cell r="P2712" t="str"><v>Trial</v></cell><cell r="Q2712" t="str"><v>Social</v></cell><cell r="R2712" t="str"><v>Azure</v></cell><cell r="S2712" t="str"><v>Apps & Infra</v></cell><cell r="T2712" t="str"><v>Developers & ITI's</v></cell><cell r="U2712" t="str"><v>USA-Trial-ITD-Lead Completes-AZR-AZR</v></cell><cell r="V2712" t="str"><v>Prospecting</v></cell><cell r="W2712" t="str"><v>Link Ad</v></cell><cell r="X2712" t="str"><v>1x1</v></cell></row><row r="2712"><cell r="AA2712"><v>43300</v></cell><cell r="AB2712" t="str"><v>USA_gaPMG_AZR_AZR_Q1_19_Direct-Social</v></cell><cell r="AC2712"><v>21358715</v></cell><cell r="AD2712"><v>720197</v></cell><cell r="AE2712" t="str"><v>Facebook</v></cell><cell r="AF2712"><v>3654128</v></cell><cell r="AG2712" t="str"><v>FACEBOOK»USA-Trial-ITD-Lead Completes-AZR-AZR»1 x 1»SocialBan»LIA»ALL»CPA»PRO»X»NA»SS»NA»FreeAcctITProFB-AnimatedSecureMngd-Ch1»PRC1W4</v></cell><cell r="AH2712"><v>223862153</v></cell><cell r="AI2712" t="str"><v>AZR_FreeAcctITProFB-AnimatedSecureMngd-Ch1_USA_1200x1200_CAN_Direct_English_Trial_Standard_ANI_LEA_T1_1</v></cell><cell r="AJ2712"><v>103176830</v></cell></row><row r="2713"><cell r="C2713" t="str"><v>43300FACEBOOK»USA-Trial-ITD-Lead Completes-AZR-AZR»1 x 1»SocialBan»CAN»ALL»CPA»PRO»X»NA»SS»NA»FBCTCBenefit2inMotion»PRC1VV</v></cell><cell r="D2713" t="str"><v>43300224106909</v></cell><cell r="E2713" t="str"><v>43300103043835PRC1VV</v></cell><cell r="F2713" t="str"><v>DCM</v></cell><cell r="G2713" t="str"><v>https://signup.azure.com/?OCID=AID%eexcid!_OLA_%ebuy!_%epid!_%ecid!</v></cell></row><row r="2713"><cell r="K2713" t="str"><v>July</v></cell><cell r="L2713"><v>43302</v></cell><cell r="M2713" t="str"><v>Tier 0</v></cell><cell r="N2713" t="str"><v>North America</v></cell><cell r="O2713" t="str"><v>United States</v></cell><cell r="P2713" t="str"><v>Trial</v></cell><cell r="Q2713" t="str"><v>Social</v></cell><cell r="R2713" t="str"><v>Azure</v></cell><cell r="S2713" t="str"><v>Apps & Infra</v></cell><cell r="T2713" t="str"><v>Developers & ITI's</v></cell><cell r="U2713" t="str"><v>USA-Trial-ITD-Lead Completes-AZR-AZR</v></cell><cell r="V2713" t="str"><v>Prospecting</v></cell><cell r="W2713" t="str"><v>Canvas Ad</v></cell><cell r="X2713" t="str"><v>1x1</v></cell></row><row r="2713"><cell r="AA2713"><v>43300</v></cell><cell r="AB2713" t="str"><v>USA_gaPMG_AZR_AZR_Q1_19_Direct-Social</v></cell><cell r="AC2713"><v>21358715</v></cell><cell r="AD2713"><v>720197</v></cell><cell r="AE2713" t="str"><v>Facebook</v></cell><cell r="AF2713"><v>3654128</v></cell><cell r="AG2713" t="str"><v>FACEBOOK»USA-Trial-ITD-Lead Completes-AZR-AZR»1 x 1»SocialBan»CAN»ALL»CPA»PRO»X»NA»SS»NA»FBCTCBenefit2inMotion»PRC1VV</v></cell><cell r="AH2713"><v>224106909</v></cell><cell r="AI2713" t="str"><v>AzurePlatform_FBCTCBenefit2inMotion_USA_10s_CAN_PLATFORM_English_Trial_Standard_STAN_TIN_T4_1</v></cell><cell r="AJ2713"><v>103043835</v></cell></row><row r="2714"><cell r="C2714" t="str"><v>43300FACEBOOK»USA-Trial-ITD-Lead Completes-AZR-AZR»1 x 1»SocialBan»CAN»ALL»CPA»PRO»X»NA»SS»NA»FBCTCBenefit2inMotion»PRC1VV</v></cell><cell r="D2714" t="str"><v>43300224106909</v></cell><cell r="E2714" t="str"><v>43300103178645PRC1VV</v></cell><cell r="F2714" t="str"><v>DCM</v></cell><cell r="G2714" t="str"><v>https://azure.microsoft.com/en-us/pricing/purchase-options/?v=18.19&OCID=AID%eexcid!_OLA_%ebuy!_%epid!_%ecid!</v></cell></row><row r="2714"><cell r="K2714" t="str"><v>July</v></cell><cell r="L2714"><v>43302</v></cell><cell r="M2714" t="str"><v>Tier 0</v></cell><cell r="N2714" t="str"><v>North America</v></cell><cell r="O2714" t="str"><v>United States</v></cell><cell r="P2714" t="str"><v>Trial</v></cell><cell r="Q2714" t="str"><v>Social</v></cell><cell r="R2714" t="str"><v>Azure</v></cell><cell r="S2714" t="str"><v>Apps & Infra</v></cell><cell r="T2714" t="str"><v>Developers & ITI's</v></cell><cell r="U2714" t="str"><v>USA-Trial-ITD-Lead Completes-AZR-AZR</v></cell><cell r="V2714" t="str"><v>Prospecting</v></cell><cell r="W2714" t="str"><v>Canvas Ad</v></cell><cell r="X2714" t="str"><v>1x1</v></cell></row><row r="2714"><cell r="AA2714"><v>43300</v></cell><cell r="AB2714" t="str"><v>USA_gaPMG_AZR_AZR_Q1_19_Direct-Social</v></cell><cell r="AC2714"><v>21358715</v></cell><cell r="AD2714"><v>720197</v></cell><cell r="AE2714" t="str"><v>Facebook</v></cell><cell r="AF2714"><v>3654128</v></cell><cell r="AG2714" t="str"><v>FACEBOOK»USA-Trial-ITD-Lead Completes-AZR-AZR»1 x 1»SocialBan»CAN»ALL»CPA»PRO»X»NA»SS»NA»FBCTCBenefit2inMotion»PRC1VV</v></cell><cell r="AH2714"><v>224106909</v></cell><cell r="AI2714" t="str"><v>AzurePlatform_FBCTCBenefit2inMotion_USA_10s_CAN_PLATFORM_English_Trial_Standard_STAN_TIN_T4_2</v></cell><cell r="AJ2714"><v>103178645</v></cell></row><row r="2715"><cell r="C2715" t="str"><v>43300FACEBOOK»USA-Trial-ITD-Retargeting-AZR-AZR»1 x 1»SocialBan»LIA»ALL»CPA»RT»X»NA»SS»NA»FreeAcctDeveloperFB-AnimatedGeneric-Ch1»PRC26D</v></cell><cell r="D2715" t="str"><v>43300223862870</v></cell><cell r="E2715" t="str"><v>43300103176851PRC26D</v></cell><cell r="F2715" t="str"><v>DCM</v></cell><cell r="G2715" t="str"><v>https://azure.microsoft.com/en-us/free/search/?OCID=AID%eexcid!_OLA_%ebuy!_%epid!_%ecid!</v></cell></row><row r="2715"><cell r="K2715" t="str"><v>July</v></cell><cell r="L2715"><v>43302</v></cell><cell r="M2715" t="str"><v>Tier 0</v></cell><cell r="N2715" t="str"><v>North America</v></cell><cell r="O2715" t="str"><v>United States</v></cell><cell r="P2715" t="str"><v>Trial</v></cell><cell r="Q2715" t="str"><v>Social</v></cell><cell r="R2715" t="str"><v>Azure</v></cell><cell r="S2715" t="str"><v>Apps & Infra</v></cell><cell r="T2715" t="str"><v>Developers & ITI's</v></cell><cell r="U2715" t="str"><v>USA-Trial-ITD-Retargeting-AZR-AZR</v></cell><cell r="V2715" t="str"><v>Retargeting</v></cell><cell r="W2715" t="str"><v>Link Ad</v></cell><cell r="X2715" t="str"><v>1x1</v></cell></row><row r="2715"><cell r="AA2715"><v>43300</v></cell><cell r="AB2715" t="str"><v>USA_gaPMG_AZR_AZR_Q1_19_Direct-Social</v></cell><cell r="AC2715"><v>21358715</v></cell><cell r="AD2715"><v>720197</v></cell><cell r="AE2715" t="str"><v>Facebook</v></cell><cell r="AF2715"><v>3654128</v></cell><cell r="AG2715" t="str"><v>FACEBOOK»USA-Trial-ITD-Retargeting-AZR-AZR»1 x 1»SocialBan»LIA»ALL»CPA»RT»X»NA»SS»NA»FreeAcctDeveloperFB-AnimatedGeneric-Ch1»PRC26D</v></cell><cell r="AH2715"><v>223862870</v></cell><cell r="AI2715" t="str"><v>AZR_FreeAcctDeveloperFB-AnimatedGeneric-Ch1_USA_1200x1200_CAN_Direct_English_Trial_Standard_ANI_LEA_T1_2</v></cell><cell r="AJ2715"><v>103176851</v></cell></row><row r="2716"><cell r="C2716" t="str"><v>43300FACEBOOK»USA-Trial-ITD-Retargeting-AZR-AZR»1 x 1»SocialBan»LIA»ALL»CPA»RT»X»NA»SS»NA»FreeAcctRetargetingOSSFB-Logos-ChG»PRC1S2</v></cell><cell r="D2716" t="str"><v>43300224106063</v></cell><cell r="E2716" t="str"><v>43300103176008PRC1S2</v></cell><cell r="F2716" t="str"><v>DCM</v></cell><cell r="G2716" t="str"><v>https://azure.microsoft.com/en-us/free/open-source/search/?OCID=AID%eexcid!_OLA_%ebuy!_%epid!_%ecid!</v></cell></row><row r="2716"><cell r="K2716" t="str"><v>July</v></cell><cell r="L2716"><v>43302</v></cell><cell r="M2716" t="str"><v>Tier 0</v></cell><cell r="N2716" t="str"><v>North America</v></cell><cell r="O2716" t="str"><v>United States</v></cell><cell r="P2716" t="str"><v>Trial</v></cell><cell r="Q2716" t="str"><v>Social</v></cell><cell r="R2716" t="str"><v>Azure</v></cell><cell r="S2716" t="str"><v>Apps & Infra</v></cell><cell r="T2716" t="str"><v>Developers & ITI's</v></cell><cell r="U2716" t="str"><v>USA-Trial-ITD-Retargeting-AZR-AZR</v></cell><cell r="V2716" t="str"><v>Retargeting</v></cell><cell r="W2716" t="str"><v>Link Ad</v></cell><cell r="X2716" t="str"><v>1x1</v></cell></row><row r="2716"><cell r="AA2716"><v>43300</v></cell><cell r="AB2716" t="str"><v>USA_gaPMG_AZR_AZR_Q1_19_Direct-Social</v></cell><cell r="AC2716"><v>21358715</v></cell><cell r="AD2716"><v>720197</v></cell><cell r="AE2716" t="str"><v>Facebook</v></cell><cell r="AF2716"><v>3654128</v></cell><cell r="AG2716" t="str"><v>FACEBOOK»USA-Trial-ITD-Retargeting-AZR-AZR»1 x 1»SocialBan»LIA»ALL»CPA»RT»X»NA»SS»NA»FreeAcctRetargetingOSSFB-Logos-ChG»PRC1S2</v></cell><cell r="AH2716"><v>224106063</v></cell><cell r="AI2716" t="str"><v>AzurePlatform_FreeAcctRetargetingOSSFB-Logos-ChG_USA_1200x628_CAN_PLATFORM_English_Free Account_Standard_NA_SINU_T2_1</v></cell><cell r="AJ2716"><v>103176008</v></cell></row><row r="2717"><cell r="C2717" t="str"><v>43300FACEBOOK»USA-Trial-ITD-Retargeting-AZR-AZR»1 x 1»SocialBan»LIA»ALL»CPA»RT»X»NA»SS»NA»FreeAcctRetargetingOSSFB-Text-ChF»PRC1S1</v></cell><cell r="D2717" t="str"><v>43300223862753</v></cell><cell r="E2717" t="str"><v>43300103176869PRC1S1</v></cell><cell r="F2717" t="str"><v>DCM</v></cell><cell r="G2717" t="str"><v>https://azure.microsoft.com/en-us/free/open-source/search/?OCID=AID%eexcid!_OLA_%ebuy!_%epid!_%ecid!</v></cell></row><row r="2717"><cell r="K2717" t="str"><v>July</v></cell><cell r="L2717"><v>43302</v></cell><cell r="M2717" t="str"><v>Tier 0</v></cell><cell r="N2717" t="str"><v>North America</v></cell><cell r="O2717" t="str"><v>United States</v></cell><cell r="P2717" t="str"><v>Trial</v></cell><cell r="Q2717" t="str"><v>Social</v></cell><cell r="R2717" t="str"><v>Azure</v></cell><cell r="S2717" t="str"><v>Apps & Infra</v></cell><cell r="T2717" t="str"><v>Developers & ITI's</v></cell><cell r="U2717" t="str"><v>USA-Trial-ITD-Retargeting-AZR-AZR</v></cell><cell r="V2717" t="str"><v>Retargeting</v></cell><cell r="W2717" t="str"><v>Link Ad</v></cell><cell r="X2717" t="str"><v>1x1</v></cell></row><row r="2717"><cell r="AA2717"><v>43300</v></cell><cell r="AB2717" t="str"><v>USA_gaPMG_AZR_AZR_Q1_19_Direct-Social</v></cell><cell r="AC2717"><v>21358715</v></cell><cell r="AD2717"><v>720197</v></cell><cell r="AE2717" t="str"><v>Facebook</v></cell><cell r="AF2717"><v>3654128</v></cell><cell r="AG2717" t="str"><v>FACEBOOK»USA-Trial-ITD-Retargeting-AZR-AZR»1 x 1»SocialBan»LIA»ALL»CPA»RT»X»NA»SS»NA»FreeAcctRetargetingOSSFB-Text-ChF»PRC1S1</v></cell><cell r="AH2717"><v>223862753</v></cell><cell r="AI2717" t="str"><v>AzurePlatform_FreeAcctRetargetingOSSFB-Text-ChF_USA_1200x628_CAN_PLATFORM_English_Free Account_Standard_NA_SINU_T1_2</v></cell><cell r="AJ2717"><v>103176869</v></cell></row><row r="2718"><cell r="C2718" t="str"><v>43300FACEBOOK»USA-Trial-ITD-Retargeting-AZR-AZR»1 x 1»SocialBan»CAN»ALL»CPA»RT»X»NA»SS»NA»FBCTCBasicMotion»PRC1RQ</v></cell><cell r="D2718" t="str"><v>43300224106933</v></cell><cell r="E2718" t="str"><v>43300103043823PRC1RQ</v></cell><cell r="F2718" t="str"><v>DCM</v></cell><cell r="G2718" t="str"><v>https://signup.azure.com/?OCID=AID%eexcid!_OLA_%ebuy!_%epid!_%ecid!</v></cell></row><row r="2718"><cell r="K2718" t="str"><v>July</v></cell><cell r="L2718"><v>43302</v></cell><cell r="M2718" t="str"><v>Tier 0</v></cell><cell r="N2718" t="str"><v>North America</v></cell><cell r="O2718" t="str"><v>United States</v></cell><cell r="P2718" t="str"><v>Trial</v></cell><cell r="Q2718" t="str"><v>Social</v></cell><cell r="R2718" t="str"><v>Azure</v></cell><cell r="S2718" t="str"><v>Apps & Infra</v></cell><cell r="T2718" t="str"><v>Developers & ITI's</v></cell><cell r="U2718" t="str"><v>USA-Trial-ITD-Retargeting-AZR-AZR</v></cell><cell r="V2718" t="str"><v>Retargeting</v></cell><cell r="W2718" t="str"><v>Canvas Ad</v></cell><cell r="X2718" t="str"><v>1x1</v></cell></row><row r="2718"><cell r="AA2718"><v>43300</v></cell><cell r="AB2718" t="str"><v>USA_gaPMG_AZR_AZR_Q1_19_Direct-Social</v></cell><cell r="AC2718"><v>21358715</v></cell><cell r="AD2718"><v>720197</v></cell><cell r="AE2718" t="str"><v>Facebook</v></cell><cell r="AF2718"><v>3654128</v></cell><cell r="AG2718" t="str"><v>FACEBOOK»USA-Trial-ITD-Retargeting-AZR-AZR»1 x 1»SocialBan»CAN»ALL»CPA»RT»X»NA»SS»NA»FBCTCBasicMotion»PRC1RQ</v></cell><cell r="AH2718"><v>224106933</v></cell><cell r="AI2718" t="str"><v>AzurePlatform_FBCTCBasicMotion_USA_10s_CAN_PLATFORM_English_Trial_Standard_STAN_TIN_T1_1</v></cell><cell r="AJ2718"><v>103043823</v></cell></row><row r="2719"><cell r="C2719" t="str"><v>43300FACEBOOK»USA-Trial-ITD-Retargeting-AZR-AZR»1 x 1»SocialBan»LIA»ALL»CPA»RT»X»NA»SS»NA»FreeAcctITProFB-AnimatedSecureMngd-Ch1»PRC26K</v></cell><cell r="D2719" t="str"><v>43300223862762</v></cell><cell r="E2719" t="str"><v>43300103176830PRC26K</v></cell><cell r="F2719" t="str"><v>DCM</v></cell></row><row r="2719"><cell r="K2719" t="str"><v>July</v></cell><cell r="L2719"><v>43302</v></cell><cell r="M2719" t="str"><v>Tier 0</v></cell><cell r="N2719" t="str"><v>North America</v></cell><cell r="O2719" t="str"><v>United States</v></cell><cell r="P2719" t="str"><v>Trial</v></cell><cell r="Q2719" t="str"><v>Social</v></cell><cell r="R2719" t="str"><v>Azure</v></cell><cell r="S2719" t="str"><v>Apps & Infra</v></cell><cell r="T2719" t="str"><v>Developers & ITI's</v></cell><cell r="U2719" t="str"><v>USA-Trial-ITD-Retargeting-AZR-AZR</v></cell><cell r="V2719" t="str"><v>Retargeting</v></cell><cell r="W2719" t="str"><v>Link Ad</v></cell><cell r="X2719" t="str"><v>1x1</v></cell></row><row r="2719"><cell r="AA2719"><v>43300</v></cell><cell r="AB2719" t="str"><v>USA_gaPMG_AZR_AZR_Q1_19_Direct-Social</v></cell><cell r="AC2719"><v>21358715</v></cell><cell r="AD2719"><v>720197</v></cell><cell r="AE2719" t="str"><v>Facebook</v></cell><cell r="AF2719"><v>3654128</v></cell><cell r="AG2719" t="str"><v>FACEBOOK»USA-Trial-ITD-Retargeting-AZR-AZR»1 x 1»SocialBan»LIA»ALL»CPA»RT»X»NA»SS»NA»FreeAcctITProFB-AnimatedSecureMngd-Ch1»PRC26K</v></cell><cell r="AH2719"><v>223862762</v></cell><cell r="AI2719" t="str"><v>AZR_FreeAcctITProFB-AnimatedSecureMngd-Ch1_USA_1200x1200_CAN_Direct_English_Trial_Standard_ANI_LEA_T1_1</v></cell><cell r="AJ2719"><v>103176830</v></cell></row><row r="2720"><cell r="C2720" t="str"><v>43300FACEBOOK»USA-Trial-ITD-Trial Lookalike-AZR-AZR»1 x 1»SocialBan»LIA»ALL»CPA»LAL»X»NA»SS»NA»FreeAcctDeveloperFB-AnimatedGeneric-Ch1»PRC1M4</v></cell><cell r="D2720" t="str"><v>43300224104941</v></cell><cell r="E2720" t="str"><v>43300103176851PRC1M4</v></cell><cell r="F2720" t="str"><v>DCM</v></cell><cell r="G2720" t="str"><v>https://azure.microsoft.com/en-us/free/search/?OCID=AID%eexcid!_OLA_%ebuy!_%epid!_%ecid!</v></cell></row><row r="2720"><cell r="K2720" t="str"><v>July</v></cell><cell r="L2720"><v>43302</v></cell><cell r="M2720" t="str"><v>Tier 0</v></cell><cell r="N2720" t="str"><v>North America</v></cell><cell r="O2720" t="str"><v>United States</v></cell><cell r="P2720" t="str"><v>Trial</v></cell><cell r="Q2720" t="str"><v>Social</v></cell><cell r="R2720" t="str"><v>Azure</v></cell><cell r="S2720" t="str"><v>Apps & Infra</v></cell><cell r="T2720" t="str"><v>Developers & ITI's</v></cell><cell r="U2720" t="str"><v>USA-Trial-ITD-Trial Lookalike-AZR-AZR</v></cell><cell r="V2720" t="str"><v>Lookalike Targeting</v></cell><cell r="W2720" t="str"><v>Link Ad</v></cell><cell r="X2720" t="str"><v>1x1</v></cell></row><row r="2720"><cell r="AA2720"><v>43300</v></cell><cell r="AB2720" t="str"><v>USA_gaPMG_AZR_AZR_Q1_19_Direct-Social</v></cell><cell r="AC2720"><v>21358715</v></cell><cell r="AD2720"><v>720197</v></cell><cell r="AE2720" t="str"><v>Facebook</v></cell><cell r="AF2720"><v>3654128</v></cell><cell r="AG2720" t="str"><v>FACEBOOK»USA-Trial-ITD-Trial Lookalike-AZR-AZR»1 x 1»SocialBan»LIA»ALL»CPA»LAL»X»NA»SS»NA»FreeAcctDeveloperFB-AnimatedGeneric-Ch1»PRC1M4</v></cell><cell r="AH2720"><v>224104941</v></cell><cell r="AI2720" t="str"><v>AZR_FreeAcctDeveloperFB-AnimatedGeneric-Ch1_USA_1200x1200_CAN_Direct_English_Trial_Standard_ANI_LEA_T1_2</v></cell><cell r="AJ2720"><v>103176851</v></cell></row><row r="2721"><cell r="C2721" t="str"><v>43300FACEBOOK»USA-Trial-ITD-Trial Lookalike-AZR-AZR»1 x 1»SocialBan»LIA»ALL»CPA»LAL»X»NA»SS»NA»FreeAcctDeveloperFB-AnimatedGeneric-Ch1»PRC1M5</v></cell><cell r="D2721" t="str"><v>43300223934083</v></cell><cell r="E2721" t="str"><v>43300103176851PRC1M5</v></cell><cell r="F2721" t="str"><v>DCM</v></cell><cell r="G2721" t="str"><v>https://azure.microsoft.com/en-us/free/search/?OCID=AID%eexcid!_OLA_%ebuy!_%epid!_%ecid!</v></cell></row><row r="2721"><cell r="K2721" t="str"><v>July</v></cell><cell r="L2721"><v>43302</v></cell><cell r="M2721" t="str"><v>Tier 0</v></cell><cell r="N2721" t="str"><v>North America</v></cell><cell r="O2721" t="str"><v>United States</v></cell><cell r="P2721" t="str"><v>Trial</v></cell><cell r="Q2721" t="str"><v>Social</v></cell><cell r="R2721" t="str"><v>Azure</v></cell><cell r="S2721" t="str"><v>Apps & Infra</v></cell><cell r="T2721" t="str"><v>Developers & ITI's</v></cell><cell r="U2721" t="str"><v>USA-Trial-ITD-Trial Lookalike-AZR-AZR</v></cell><cell r="V2721" t="str"><v>Lookalike Targeting</v></cell><cell r="W2721" t="str"><v>Link Ad</v></cell><cell r="X2721" t="str"><v>1x1</v></cell></row><row r="2721"><cell r="AA2721"><v>43300</v></cell><cell r="AB2721" t="str"><v>USA_gaPMG_AZR_AZR_Q1_19_Direct-Social</v></cell><cell r="AC2721"><v>21358715</v></cell><cell r="AD2721"><v>720197</v></cell><cell r="AE2721" t="str"><v>Facebook</v></cell><cell r="AF2721"><v>3654128</v></cell><cell r="AG2721" t="str"><v>FACEBOOK»USA-Trial-ITD-Trial Lookalike-AZR-AZR»1 x 1»SocialBan»LIA»ALL»CPA»LAL»X»NA»SS»NA»FreeAcctDeveloperFB-AnimatedGeneric-Ch1»PRC1M5</v></cell><cell r="AH2721"><v>223934083</v></cell><cell r="AI2721" t="str"><v>AZR_FreeAcctDeveloperFB-AnimatedGeneric-Ch1_USA_1200x1200_CAN_Direct_English_Trial_Standard_ANI_LEA_T1_2</v></cell><cell r="AJ2721"><v>103176851</v></cell></row><row r="2722"><cell r="C2722" t="str"><v>43300FACEBOOK»USA-Trial-ITD-Trial Lookalike-AZR-AZR»1 x 1»SocialBan»LIA»ALL»CPA»LAL»X»NA»SS»NA»FreeAcctDeveloperFB-AnimatedOpenSource-Ch2»PRC1M6</v></cell><cell r="D2722" t="str"><v>43300223935628</v></cell><cell r="E2722" t="str"><v>43300103048329PRC1M6</v></cell><cell r="F2722" t="str"><v>DCM</v></cell><cell r="G2722" t="str"><v>https://azure.microsoft.com/en-us/free/open-source/search/?OCID=AID%eexcid!_OLA_%ebuy!_%epid!_%ecid!</v></cell></row><row r="2722"><cell r="K2722" t="str"><v>July</v></cell><cell r="L2722"><v>43302</v></cell><cell r="M2722" t="str"><v>Tier 0</v></cell><cell r="N2722" t="str"><v>North America</v></cell><cell r="O2722" t="str"><v>United States</v></cell><cell r="P2722" t="str"><v>Trial</v></cell><cell r="Q2722" t="str"><v>Social</v></cell><cell r="R2722" t="str"><v>Azure</v></cell><cell r="S2722" t="str"><v>Apps & Infra</v></cell><cell r="T2722" t="str"><v>Developers & ITI's</v></cell><cell r="U2722" t="str"><v>USA-Trial-ITD-Trial Lookalike-AZR-AZR</v></cell><cell r="V2722" t="str"><v>Lookalike Targeting</v></cell><cell r="W2722" t="str"><v>Link Ad</v></cell><cell r="X2722" t="str"><v>1x1</v></cell></row><row r="2722"><cell r="AA2722"><v>43300</v></cell><cell r="AB2722" t="str"><v>USA_gaPMG_AZR_AZR_Q1_19_Direct-Social</v></cell><cell r="AC2722"><v>21358715</v></cell><cell r="AD2722"><v>720197</v></cell><cell r="AE2722" t="str"><v>Facebook</v></cell><cell r="AF2722"><v>3654128</v></cell><cell r="AG2722" t="str"><v>FACEBOOK»USA-Trial-ITD-Trial Lookalike-AZR-AZR»1 x 1»SocialBan»LIA»ALL»CPA»LAL»X»NA»SS»NA»FreeAcctDeveloperFB-AnimatedOpenSource-Ch2»PRC1M6</v></cell><cell r="AH2722"><v>223935628</v></cell><cell r="AI2722" t="str"><v>AZR_FreeAcctDeveloperFB-AnimatedOpenSource-Ch2_USA_1200x1200_CAN_Direct_English_Trial_Standard_ANI_LEA_T2_1</v></cell><cell r="AJ2722"><v>103048329</v></cell></row><row r="2723"><cell r="C2723" t="str"><v>43300FACEBOOK»USA-Trial-ITD-Trial Lookalike-AZR-AZR»1 x 1»SocialBan»LIA»ALL»CPA»LAL»X»NA»SS»NA»FreeAcctITProFB-AnimatedMigration-Ch3»PRC23N</v></cell><cell r="D2723" t="str"><v>43300223935637</v></cell><cell r="E2723" t="str"><v>43300103176827PRC23N</v></cell><cell r="F2723" t="str"><v>DCM</v></cell></row><row r="2723"><cell r="K2723" t="str"><v>July</v></cell><cell r="L2723"><v>43302</v></cell><cell r="M2723" t="str"><v>Tier 0</v></cell><cell r="N2723" t="str"><v>North America</v></cell><cell r="O2723" t="str"><v>United States</v></cell><cell r="P2723" t="str"><v>Trial</v></cell><cell r="Q2723" t="str"><v>Social</v></cell><cell r="R2723" t="str"><v>Azure</v></cell><cell r="S2723" t="str"><v>Apps & Infra</v></cell><cell r="T2723" t="str"><v>Developers & ITI's</v></cell><cell r="U2723" t="str"><v>USA-Trial-ITD-Trial Lookalike-AZR-AZR</v></cell><cell r="V2723" t="str"><v>Lookalike Targeting</v></cell><cell r="W2723" t="str"><v>Link Ad</v></cell><cell r="X2723" t="str"><v>1x1</v></cell></row><row r="2723"><cell r="AA2723"><v>43300</v></cell><cell r="AB2723" t="str"><v>USA_gaPMG_AZR_AZR_Q1_19_Direct-Social</v></cell><cell r="AC2723"><v>21358715</v></cell><cell r="AD2723"><v>720197</v></cell><cell r="AE2723" t="str"><v>Facebook</v></cell><cell r="AF2723"><v>3654128</v></cell><cell r="AG2723" t="str"><v>FACEBOOK»USA-Trial-ITD-Trial Lookalike-AZR-AZR»1 x 1»SocialBan»LIA»ALL»CPA»LAL»X»NA»SS»NA»FreeAcctITProFB-AnimatedMigration-Ch3»PRC23N</v></cell><cell r="AH2723"><v>223935637</v></cell><cell r="AI2723" t="str"><v>AZR_FreeAcctITProFB-AnimatedMigration-Ch3_USA_1200x1200_CAN_Direct_English_Trial_Standard_ANI_LEA_T3_1</v></cell><cell r="AJ2723"><v>103176827</v></cell></row><row r="2724"><cell r="C2724" t="str"><v>43300FACEBOOK»USA-Trial-ITD-Trial Lookalike-AZR-AZR»1 x 1»SocialBan»LIA»ALL»CPA»LAL»X»NA»SS»NA»FreeAcctITProFB-AnimatedSecureMngd-Ch1»PRC1M9</v></cell><cell r="D2724" t="str"><v>43300224104959</v></cell><cell r="E2724" t="str"><v>43300103176830PRC1M9</v></cell><cell r="F2724" t="str"><v>DCM</v></cell></row><row r="2724"><cell r="K2724" t="str"><v>July</v></cell><cell r="L2724"><v>43302</v></cell><cell r="M2724" t="str"><v>Tier 0</v></cell><cell r="N2724" t="str"><v>North America</v></cell><cell r="O2724" t="str"><v>United States</v></cell><cell r="P2724" t="str"><v>Trial</v></cell><cell r="Q2724" t="str"><v>Social</v></cell><cell r="R2724" t="str"><v>Azure</v></cell><cell r="S2724" t="str"><v>Apps & Infra</v></cell><cell r="T2724" t="str"><v>Developers & ITI's</v></cell><cell r="U2724" t="str"><v>USA-Trial-ITD-Trial Lookalike-AZR-AZR</v></cell><cell r="V2724" t="str"><v>Lookalike Targeting</v></cell><cell r="W2724" t="str"><v>Link Ad</v></cell><cell r="X2724" t="str"><v>1x1</v></cell></row><row r="2724"><cell r="AA2724"><v>43300</v></cell><cell r="AB2724" t="str"><v>USA_gaPMG_AZR_AZR_Q1_19_Direct-Social</v></cell><cell r="AC2724"><v>21358715</v></cell><cell r="AD2724"><v>720197</v></cell><cell r="AE2724" t="str"><v>Facebook</v></cell><cell r="AF2724"><v>3654128</v></cell><cell r="AG2724" t="str"><v>FACEBOOK»USA-Trial-ITD-Trial Lookalike-AZR-AZR»1 x 1»SocialBan»LIA»ALL»CPA»LAL»X»NA»SS»NA»FreeAcctITProFB-AnimatedSecureMngd-Ch1»PRC1M9</v></cell><cell r="AH2724"><v>224104959</v></cell><cell r="AI2724" t="str"><v>AZR_FreeAcctITProFB-AnimatedSecureMngd-Ch1_USA_1200x1200_CAN_Direct_English_Trial_Standard_ANI_LEA_T1_1</v></cell><cell r="AJ2724"><v>103176830</v></cell></row><row r="2725"><cell r="C2725" t="str"><v>43300FACEBOOK»USA-Trial-ITD-Trial Lookalike-AZR-AZR»1 x 1»SocialBan»CAN»ALL»CPA»LAL»X»NA»SS»NA»FBCTCBasicMotion»PRC1LZ</v></cell><cell r="D2725" t="str"><v>43300223862915</v></cell><cell r="E2725" t="str"><v>43300103043823PRC1LZ</v></cell><cell r="F2725" t="str"><v>DCM</v></cell><cell r="G2725" t="str"><v>https://signup.azure.com/?OCID=AID%eexcid!_OLA_%ebuy!_%epid!_%ecid!</v></cell></row><row r="2725"><cell r="K2725" t="str"><v>July</v></cell><cell r="L2725"><v>43302</v></cell><cell r="M2725" t="str"><v>Tier 0</v></cell><cell r="N2725" t="str"><v>North America</v></cell><cell r="O2725" t="str"><v>United States</v></cell><cell r="P2725" t="str"><v>Trial</v></cell><cell r="Q2725" t="str"><v>Social</v></cell><cell r="R2725" t="str"><v>Azure</v></cell><cell r="S2725" t="str"><v>Apps & Infra</v></cell><cell r="T2725" t="str"><v>Developers & ITI's</v></cell><cell r="U2725" t="str"><v>USA-Trial-ITD-Trial Lookalike-AZR-AZR</v></cell><cell r="V2725" t="str"><v>Lookalike Targeting</v></cell><cell r="W2725" t="str"><v>Canvas Ad</v></cell><cell r="X2725" t="str"><v>1x1</v></cell></row><row r="2725"><cell r="AA2725"><v>43300</v></cell><cell r="AB2725" t="str"><v>USA_gaPMG_AZR_AZR_Q1_19_Direct-Social</v></cell><cell r="AC2725"><v>21358715</v></cell><cell r="AD2725"><v>720197</v></cell><cell r="AE2725" t="str"><v>Facebook</v></cell><cell r="AF2725"><v>3654128</v></cell><cell r="AG2725" t="str"><v>FACEBOOK»USA-Trial-ITD-Trial Lookalike-AZR-AZR»1 x 1»SocialBan»CAN»ALL»CPA»LAL»X»NA»SS»NA»FBCTCBasicMotion»PRC1LZ</v></cell><cell r="AH2725"><v>223862915</v></cell><cell r="AI2725" t="str"><v>AzurePlatform_FBCTCBasicMotion_USA_10s_CAN_PLATFORM_English_Trial_Standard_STAN_TIN_T1_1</v></cell><cell r="AJ2725"><v>103043823</v></cell></row><row r="2726"><cell r="C2726" t="str"><v>43300FACEBOOK»USA-Trial-ITD-Trial Lookalike-AZR-AZR»1 x 1»SocialBan»CAN»ALL»CPA»LAL»X»NA»SS»NA»FBCTCBasicMotion»PRC1LZ</v></cell><cell r="D2726" t="str"><v>43300223862915</v></cell><cell r="E2726" t="str"><v>43300103175984PRC1LZ</v></cell><cell r="F2726" t="str"><v>DCM</v></cell><cell r="G2726" t="str"><v>https://azure.microsoft.com/en-us/pricing/purchase-options/?v=18.19&OCID=AID%eexcid!_OLA_%ebuy!_%epid!_%ecid!</v></cell></row><row r="2726"><cell r="K2726" t="str"><v>July</v></cell><cell r="L2726"><v>43302</v></cell><cell r="M2726" t="str"><v>Tier 0</v></cell><cell r="N2726" t="str"><v>North America</v></cell><cell r="O2726" t="str"><v>United States</v></cell><cell r="P2726" t="str"><v>Trial</v></cell><cell r="Q2726" t="str"><v>Social</v></cell><cell r="R2726" t="str"><v>Azure</v></cell><cell r="S2726" t="str"><v>Apps & Infra</v></cell><cell r="T2726" t="str"><v>Developers & ITI's</v></cell><cell r="U2726" t="str"><v>USA-Trial-ITD-Trial Lookalike-AZR-AZR</v></cell><cell r="V2726" t="str"><v>Lookalike Targeting</v></cell><cell r="W2726" t="str"><v>Canvas Ad</v></cell><cell r="X2726" t="str"><v>1x1</v></cell></row><row r="2726"><cell r="AA2726"><v>43300</v></cell><cell r="AB2726" t="str"><v>USA_gaPMG_AZR_AZR_Q1_19_Direct-Social</v></cell><cell r="AC2726"><v>21358715</v></cell><cell r="AD2726"><v>720197</v></cell><cell r="AE2726" t="str"><v>Facebook</v></cell><cell r="AF2726"><v>3654128</v></cell><cell r="AG2726" t="str"><v>FACEBOOK»USA-Trial-ITD-Trial Lookalike-AZR-AZR»1 x 1»SocialBan»CAN»ALL»CPA»LAL»X»NA»SS»NA»FBCTCBasicMotion»PRC1LZ</v></cell><cell r="AH2726"><v>223862915</v></cell><cell r="AI2726" t="str"><v>AzurePlatform_FBCTCBasicMotion_USA_10s_CAN_PLATFORM_English_Trial_Standard_STAN_TIN_T1_2</v></cell><cell r="AJ2726"><v>103175984</v></cell></row><row r="2727"><cell r="C2727" t="str"><v>43300FACEBOOK»USA-Trial-ITD-Trial PayGo Lookalike-AZR-AZR»1 x 1»SocialBan»CAN»ALL»CPA»LAL»X»NA»SS»NA»FBCTCBasicMotion»PRC1Q0</v></cell><cell r="D2727" t="str"><v>43300223935664</v></cell><cell r="E2727" t="str"><v>43300103043823PRC1Q0</v></cell><cell r="F2727" t="str"><v>DCM</v></cell><cell r="G2727" t="str"><v>https://signup.azure.com/?OCID=AID%eexcid!_OLA_%ebuy!_%epid!_%ecid!</v></cell></row><row r="2727"><cell r="K2727" t="str"><v>July</v></cell><cell r="L2727"><v>43302</v></cell><cell r="M2727" t="str"><v>Tier 0</v></cell><cell r="N2727" t="str"><v>North America</v></cell><cell r="O2727" t="str"><v>United States</v></cell><cell r="P2727" t="str"><v>Trial</v></cell><cell r="Q2727" t="str"><v>Social</v></cell><cell r="R2727" t="str"><v>Azure</v></cell><cell r="S2727" t="str"><v>Apps & Infra</v></cell><cell r="T2727" t="str"><v>Developers & ITI's</v></cell><cell r="U2727" t="str"><v>USA-Trial-ITD-Trial PayGo Lookalike-AZR-AZR</v></cell><cell r="V2727" t="str"><v>Lookalike Targeting</v></cell><cell r="W2727" t="str"><v>Canvas Ad</v></cell><cell r="X2727" t="str"><v>1x1</v></cell></row><row r="2727"><cell r="AA2727"><v>43300</v></cell><cell r="AB2727" t="str"><v>USA_gaPMG_AZR_AZR_Q1_19_Direct-Social</v></cell><cell r="AC2727"><v>21358715</v></cell><cell r="AD2727"><v>720197</v></cell><cell r="AE2727" t="str"><v>Facebook</v></cell><cell r="AF2727"><v>3654128</v></cell><cell r="AG2727" t="str"><v>FACEBOOK»USA-Trial-ITD-Trial PayGo Lookalike-AZR-AZR»1 x 1»SocialBan»CAN»ALL»CPA»LAL»X»NA»SS»NA»FBCTCBasicMotion»PRC1Q0</v></cell><cell r="AH2727"><v>223935664</v></cell><cell r="AI2727" t="str"><v>AzurePlatform_FBCTCBasicMotion_USA_10s_CAN_PLATFORM_English_Trial_Standard_STAN_TIN_T1_1</v></cell><cell r="AJ2727"><v>103043823</v></cell></row><row r="2728"><cell r="C2728" t="str"><v>43300FACEBOOK»USA-Trial-ITD-Trial PayGo Lookalike-AZR-AZR»1 x 1»SocialBan»CAN»ALL»CPA»LAL»X»NA»SS»NA»FBCTCBasicMotion»PRC1Q0</v></cell><cell r="D2728" t="str"><v>43300223935664</v></cell><cell r="E2728" t="str"><v>43300103175984PRC1Q0</v></cell><cell r="F2728" t="str"><v>DCM</v></cell><cell r="G2728" t="str"><v>https://azure.microsoft.com/en-us/pricing/purchase-options/?v=18.19&OCID=AID%eexcid!_OLA_%ebuy!_%epid!_%ecid!</v></cell></row><row r="2728"><cell r="K2728" t="str"><v>July</v></cell><cell r="L2728"><v>43302</v></cell><cell r="M2728" t="str"><v>Tier 0</v></cell><cell r="N2728" t="str"><v>North America</v></cell><cell r="O2728" t="str"><v>United States</v></cell><cell r="P2728" t="str"><v>Trial</v></cell><cell r="Q2728" t="str"><v>Social</v></cell><cell r="R2728" t="str"><v>Azure</v></cell><cell r="S2728" t="str"><v>Apps & Infra</v></cell><cell r="T2728" t="str"><v>Developers & ITI's</v></cell><cell r="U2728" t="str"><v>USA-Trial-ITD-Trial PayGo Lookalike-AZR-AZR</v></cell><cell r="V2728" t="str"><v>Lookalike Targeting</v></cell><cell r="W2728" t="str"><v>Canvas Ad</v></cell><cell r="X2728" t="str"><v>1x1</v></cell></row><row r="2728"><cell r="AA2728"><v>43300</v></cell><cell r="AB2728" t="str"><v>USA_gaPMG_AZR_AZR_Q1_19_Direct-Social</v></cell><cell r="AC2728"><v>21358715</v></cell><cell r="AD2728"><v>720197</v></cell><cell r="AE2728" t="str"><v>Facebook</v></cell><cell r="AF2728"><v>3654128</v></cell><cell r="AG2728" t="str"><v>FACEBOOK»USA-Trial-ITD-Trial PayGo Lookalike-AZR-AZR»1 x 1»SocialBan»CAN»ALL»CPA»LAL»X»NA»SS»NA»FBCTCBasicMotion»PRC1Q0</v></cell><cell r="AH2728"><v>223935664</v></cell><cell r="AI2728" t="str"><v>AzurePlatform_FBCTCBasicMotion_USA_10s_CAN_PLATFORM_English_Trial_Standard_STAN_TIN_T1_2</v></cell><cell r="AJ2728"><v>103175984</v></cell></row><row r="2729"><cell r="C2729" t="str"><v>43300FACEBOOK»USA-Trial-ITD-Trial PayGo Lookalike-AZR-AZR»1 x 1»SocialBan»LIA»ALL»CPA»LAL»X»NA»SS»NA»FreeAcctDeveloperFB-AnimatedAI-Ch3»PRC1Q8</v></cell><cell r="D2729" t="str"><v>43300224104983</v></cell><cell r="E2729" t="str"><v>43300103032778PRC1Q8</v></cell><cell r="F2729" t="str"><v>DCM</v></cell></row><row r="2729"><cell r="K2729" t="str"><v>July</v></cell><cell r="L2729"><v>43302</v></cell><cell r="M2729" t="str"><v>Tier 0</v></cell><cell r="N2729" t="str"><v>North America</v></cell><cell r="O2729" t="str"><v>United States</v></cell><cell r="P2729" t="str"><v>Trial</v></cell><cell r="Q2729" t="str"><v>Social</v></cell><cell r="R2729" t="str"><v>Azure</v></cell><cell r="S2729" t="str"><v>Apps & Infra</v></cell><cell r="T2729" t="str"><v>Developers & ITI's</v></cell><cell r="U2729" t="str"><v>USA-Trial-ITD-Trial PayGo Lookalike-AZR-AZR</v></cell><cell r="V2729" t="str"><v>Lookalike Targeting</v></cell><cell r="W2729" t="str"><v>Link Ad</v></cell><cell r="X2729" t="str"><v>1x1</v></cell></row><row r="2729"><cell r="AA2729"><v>43300</v></cell><cell r="AB2729" t="str"><v>USA_gaPMG_AZR_AZR_Q1_19_Direct-Social</v></cell><cell r="AC2729"><v>21358715</v></cell><cell r="AD2729"><v>720197</v></cell><cell r="AE2729" t="str"><v>Facebook</v></cell><cell r="AF2729"><v>3654128</v></cell><cell r="AG2729" t="str"><v>FACEBOOK»USA-Trial-ITD-Trial PayGo Lookalike-AZR-AZR»1 x 1»SocialBan»LIA»ALL»CPA»LAL»X»NA»SS»NA»FreeAcctDeveloperFB-AnimatedAI-Ch3»PRC1Q8</v></cell><cell r="AH2729"><v>224104983</v></cell><cell r="AI2729" t="str"><v>AZR_FreeAcctDeveloperFB-AnimatedAI-Ch3_USA_1200x1200_CAN_Direct_English_Trial_Standard_ANI_LEA_T3_1</v></cell><cell r="AJ2729"><v>103032778</v></cell></row><row r="2730"><cell r="C2730" t="str"><v>43300FACEBOOK»USA-Trial-ITD-Trial PayGo Lookalike-AZR-AZR»1 x 1»SocialBan»LIA»ALL»CPA»LAL»X»NA»SS»NA»FreeAcctDeveloperFB-AnimatedData-Ch4»PRC1Q9</v></cell><cell r="D2730" t="str"><v>43300224106990</v></cell><cell r="E2730" t="str"><v>43300103037935PRC1Q9</v></cell><cell r="F2730" t="str"><v>DCM</v></cell></row><row r="2730"><cell r="K2730" t="str"><v>July</v></cell><cell r="L2730"><v>43302</v></cell><cell r="M2730" t="str"><v>Tier 0</v></cell><cell r="N2730" t="str"><v>North America</v></cell><cell r="O2730" t="str"><v>United States</v></cell><cell r="P2730" t="str"><v>Trial</v></cell><cell r="Q2730" t="str"><v>Social</v></cell><cell r="R2730" t="str"><v>Azure</v></cell><cell r="S2730" t="str"><v>Apps & Infra</v></cell><cell r="T2730" t="str"><v>Developers & ITI's</v></cell><cell r="U2730" t="str"><v>USA-Trial-ITD-Trial PayGo Lookalike-AZR-AZR</v></cell><cell r="V2730" t="str"><v>Lookalike Targeting</v></cell><cell r="W2730" t="str"><v>Link Ad</v></cell><cell r="X2730" t="str"><v>1x1</v></cell></row><row r="2730"><cell r="AA2730"><v>43300</v></cell><cell r="AB2730" t="str"><v>USA_gaPMG_AZR_AZR_Q1_19_Direct-Social</v></cell><cell r="AC2730"><v>21358715</v></cell><cell r="AD2730"><v>720197</v></cell><cell r="AE2730" t="str"><v>Facebook</v></cell><cell r="AF2730"><v>3654128</v></cell><cell r="AG2730" t="str"><v>FACEBOOK»USA-Trial-ITD-Trial PayGo Lookalike-AZR-AZR»1 x 1»SocialBan»LIA»ALL»CPA»LAL»X»NA»SS»NA»FreeAcctDeveloperFB-AnimatedData-Ch4»PRC1Q9</v></cell><cell r="AH2730"><v>224106990</v></cell><cell r="AI2730" t="str"><v>AZR_FreeAcctDeveloperFB-AnimatedData-Ch4_USA_1200x1200_CAN_Direct_English_Trial_Standard_ANI_LEA_T4_2</v></cell><cell r="AJ2730"><v>103037935</v></cell></row><row r="2731"><cell r="C2731" t="str"><v>43300FACEBOOK»USA-Trial-ITD-Trial PayGo Lookalike-AZR-AZR»1 x 1»SocialBan»LIA»ALL»CPA»LAL»X»NA»SS»NA»FreeAcctDeveloperFB-AnimatedGeneric-Ch1»PRC1Q5</v></cell><cell r="D2731" t="str"><v>43300224104092</v></cell><cell r="E2731" t="str"><v>43300103176851PRC1Q5</v></cell><cell r="F2731" t="str"><v>DCM</v></cell><cell r="G2731" t="str"><v>https://azure.microsoft.com/en-us/free/search/?OCID=AID%eexcid!_OLA_%ebuy!_%epid!_%ecid!</v></cell></row><row r="2731"><cell r="K2731" t="str"><v>July</v></cell><cell r="L2731"><v>43302</v></cell><cell r="M2731" t="str"><v>Tier 0</v></cell><cell r="N2731" t="str"><v>North America</v></cell><cell r="O2731" t="str"><v>United States</v></cell><cell r="P2731" t="str"><v>Trial</v></cell><cell r="Q2731" t="str"><v>Social</v></cell><cell r="R2731" t="str"><v>Azure</v></cell><cell r="S2731" t="str"><v>Apps & Infra</v></cell><cell r="T2731" t="str"><v>Developers & ITI's</v></cell><cell r="U2731" t="str"><v>USA-Trial-ITD-Trial PayGo Lookalike-AZR-AZR</v></cell><cell r="V2731" t="str"><v>Lookalike Targeting</v></cell><cell r="W2731" t="str"><v>Link Ad</v></cell><cell r="X2731" t="str"><v>1x1</v></cell></row><row r="2731"><cell r="AA2731"><v>43300</v></cell><cell r="AB2731" t="str"><v>USA_gaPMG_AZR_AZR_Q1_19_Direct-Social</v></cell><cell r="AC2731"><v>21358715</v></cell><cell r="AD2731"><v>720197</v></cell><cell r="AE2731" t="str"><v>Facebook</v></cell><cell r="AF2731"><v>3654128</v></cell><cell r="AG2731" t="str"><v>FACEBOOK»USA-Trial-ITD-Trial PayGo Lookalike-AZR-AZR»1 x 1»SocialBan»LIA»ALL»CPA»LAL»X»NA»SS»NA»FreeAcctDeveloperFB-AnimatedGeneric-Ch1»PRC1Q5</v></cell><cell r="AH2731"><v>224104092</v></cell><cell r="AI2731" t="str"><v>AZR_FreeAcctDeveloperFB-AnimatedGeneric-Ch1_USA_1200x1200_CAN_Direct_English_Trial_Standard_ANI_LEA_T1_2</v></cell><cell r="AJ2731"><v>103176851</v></cell></row><row r="2732"><cell r="C2732" t="str"><v>43300FACEBOOK»USA-Trial-ITD-Trial PayGo Lookalike-AZR-AZR»1 x 1»SocialBan»LIA»ALL»CPA»LAL»X»NA»SS»NA»FreeAcctDeveloperFB-AnimatedOpenSource-Ch2»PRC1Q7</v></cell><cell r="D2732" t="str"><v>43300223862951</v></cell><cell r="E2732" t="str"><v>43300103048329PRC1Q7</v></cell><cell r="F2732" t="str"><v>DCM</v></cell><cell r="G2732" t="str"><v>https://azure.microsoft.com/en-us/free/open-source/search/?OCID=AID%eexcid!_OLA_%ebuy!_%epid!_%ecid!</v></cell></row><row r="2732"><cell r="K2732" t="str"><v>July</v></cell><cell r="L2732"><v>43302</v></cell><cell r="M2732" t="str"><v>Tier 0</v></cell><cell r="N2732" t="str"><v>North America</v></cell><cell r="O2732" t="str"><v>United States</v></cell><cell r="P2732" t="str"><v>Trial</v></cell><cell r="Q2732" t="str"><v>Social</v></cell><cell r="R2732" t="str"><v>Azure</v></cell><cell r="S2732" t="str"><v>Apps & Infra</v></cell><cell r="T2732" t="str"><v>Developers & ITI's</v></cell><cell r="U2732" t="str"><v>USA-Trial-ITD-Trial PayGo Lookalike-AZR-AZR</v></cell><cell r="V2732" t="str"><v>Lookalike Targeting</v></cell><cell r="W2732" t="str"><v>Link Ad</v></cell><cell r="X2732" t="str"><v>1x1</v></cell></row><row r="2732"><cell r="AA2732"><v>43300</v></cell><cell r="AB2732" t="str"><v>USA_gaPMG_AZR_AZR_Q1_19_Direct-Social</v></cell><cell r="AC2732"><v>21358715</v></cell><cell r="AD2732"><v>720197</v></cell><cell r="AE2732" t="str"><v>Facebook</v></cell><cell r="AF2732"><v>3654128</v></cell><cell r="AG2732" t="str"><v>FACEBOOK»USA-Trial-ITD-Trial PayGo Lookalike-AZR-AZR»1 x 1»SocialBan»LIA»ALL»CPA»LAL»X»NA»SS»NA»FreeAcctDeveloperFB-AnimatedOpenSource-Ch2»PRC1Q7</v></cell><cell r="AH2732"><v>223862951</v></cell><cell r="AI2732" t="str"><v>AZR_FreeAcctDeveloperFB-AnimatedOpenSource-Ch2_USA_1200x1200_CAN_Direct_English_Trial_Standard_ANI_LEA_T2_1</v></cell><cell r="AJ2732"><v>103048329</v></cell></row><row r="2733"><cell r="C2733" t="str"><v>43300FACEBOOK»USA-Trial-ITD-Trial PayGo Lookalike-AZR-AZR»1 x 1»SocialBan»LIA»ALL»CPA»LAL»X»NA»SS»NA»FreeAcctITProFB-AnimatedHybrid-Ch2»PRC1QC</v></cell><cell r="D2733" t="str"><v>43300223933186</v></cell><cell r="E2733" t="str"><v>43300103180583PRC1QC</v></cell><cell r="F2733" t="str"><v>DCM</v></cell></row><row r="2733"><cell r="K2733" t="str"><v>July</v></cell><cell r="L2733"><v>43302</v></cell><cell r="M2733" t="str"><v>Tier 0</v></cell><cell r="N2733" t="str"><v>North America</v></cell><cell r="O2733" t="str"><v>United States</v></cell><cell r="P2733" t="str"><v>Trial</v></cell><cell r="Q2733" t="str"><v>Social</v></cell><cell r="R2733" t="str"><v>Azure</v></cell><cell r="S2733" t="str"><v>Apps & Infra</v></cell><cell r="T2733" t="str"><v>Developers & ITI's</v></cell><cell r="U2733" t="str"><v>USA-Trial-ITD-Trial PayGo Lookalike-AZR-AZR</v></cell><cell r="V2733" t="str"><v>Lookalike Targeting</v></cell><cell r="W2733" t="str"><v>Link Ad</v></cell><cell r="X2733" t="str"><v>1x1</v></cell></row><row r="2733"><cell r="AA2733"><v>43300</v></cell><cell r="AB2733" t="str"><v>USA_gaPMG_AZR_AZR_Q1_19_Direct-Social</v></cell><cell r="AC2733"><v>21358715</v></cell><cell r="AD2733"><v>720197</v></cell><cell r="AE2733" t="str"><v>Facebook</v></cell><cell r="AF2733"><v>3654128</v></cell><cell r="AG2733" t="str"><v>FACEBOOK»USA-Trial-ITD-Trial PayGo Lookalike-AZR-AZR»1 x 1»SocialBan»LIA»ALL»CPA»LAL»X»NA»SS»NA»FreeAcctITProFB-AnimatedHybrid-Ch2»PRC1QC</v></cell><cell r="AH2733"><v>223933186</v></cell><cell r="AI2733" t="str"><v>AZR_FreeAcctITProFB-AnimatedHybrid-Ch2_USA_1200x1200_CAN_Direct_English_Trial_Standard_ANI_LEA_T2_2</v></cell><cell r="AJ2733"><v>103180583</v></cell></row><row r="2734"><cell r="C2734" t="str"><v>43300FACEBOOK»USA-Trial-ITD-Trial PayGo Lookalike-AZR-AZR»1 x 1»SocialBan»LIA»ALL»CPA»LAL»X»NA»SS»NA»FreeAcctITProFB-AnimatedMigration-Ch3»PRC23Y</v></cell><cell r="D2734" t="str"><v>43300224105904</v></cell><cell r="E2734" t="str"><v>43300103176827PRC23Y</v></cell><cell r="F2734" t="str"><v>DCM</v></cell></row><row r="2734"><cell r="K2734" t="str"><v>July</v></cell><cell r="L2734"><v>43302</v></cell><cell r="M2734" t="str"><v>Tier 0</v></cell><cell r="N2734" t="str"><v>North America</v></cell><cell r="O2734" t="str"><v>United States</v></cell><cell r="P2734" t="str"><v>Trial</v></cell><cell r="Q2734" t="str"><v>Social</v></cell><cell r="R2734" t="str"><v>Azure</v></cell><cell r="S2734" t="str"><v>Apps & Infra</v></cell><cell r="T2734" t="str"><v>Developers & ITI's</v></cell><cell r="U2734" t="str"><v>USA-Trial-ITD-Trial PayGo Lookalike-AZR-AZR</v></cell><cell r="V2734" t="str"><v>Lookalike Targeting</v></cell><cell r="W2734" t="str"><v>Link Ad</v></cell><cell r="X2734" t="str"><v>1x1</v></cell></row><row r="2734"><cell r="AA2734"><v>43300</v></cell><cell r="AB2734" t="str"><v>USA_gaPMG_AZR_AZR_Q1_19_Direct-Social</v></cell><cell r="AC2734"><v>21358715</v></cell><cell r="AD2734"><v>720197</v></cell><cell r="AE2734" t="str"><v>Facebook</v></cell><cell r="AF2734"><v>3654128</v></cell><cell r="AG2734" t="str"><v>FACEBOOK»USA-Trial-ITD-Trial PayGo Lookalike-AZR-AZR»1 x 1»SocialBan»LIA»ALL»CPA»LAL»X»NA»SS»NA»FreeAcctITProFB-AnimatedMigration-Ch3»PRC23Y</v></cell><cell r="AH2734"><v>224105904</v></cell><cell r="AI2734" t="str"><v>AZR_FreeAcctITProFB-AnimatedMigration-Ch3_USA_1200x1200_CAN_Direct_English_Trial_Standard_ANI_LEA_T3_1</v></cell><cell r="AJ2734"><v>103176827</v></cell></row><row r="2735"><cell r="C2735" t="str"><v>43300FACEBOOK»USA-Trial-ITD-Trial PayGo Lookalike-AZR-AZR»1 x 1»SocialBan»LIA»ALL»CPA»LAL»X»NA»SS»NA»FreeAcctITProFB-AnimatedSecureMngd-Ch1»PRC1QB</v></cell><cell r="D2735" t="str"><v>43300223862945</v></cell><cell r="E2735" t="str"><v>43300103176830PRC1QB</v></cell><cell r="F2735" t="str"><v>DCM</v></cell></row><row r="2735"><cell r="K2735" t="str"><v>July</v></cell><cell r="L2735"><v>43302</v></cell><cell r="M2735" t="str"><v>Tier 0</v></cell><cell r="N2735" t="str"><v>North America</v></cell><cell r="O2735" t="str"><v>United States</v></cell><cell r="P2735" t="str"><v>Trial</v></cell><cell r="Q2735" t="str"><v>Social</v></cell><cell r="R2735" t="str"><v>Azure</v></cell><cell r="S2735" t="str"><v>Apps & Infra</v></cell><cell r="T2735" t="str"><v>Developers & ITI's</v></cell><cell r="U2735" t="str"><v>USA-Trial-ITD-Trial PayGo Lookalike-AZR-AZR</v></cell><cell r="V2735" t="str"><v>Lookalike Targeting</v></cell><cell r="W2735" t="str"><v>Link Ad</v></cell><cell r="X2735" t="str"><v>1x1</v></cell></row><row r="2735"><cell r="AA2735"><v>43300</v></cell><cell r="AB2735" t="str"><v>USA_gaPMG_AZR_AZR_Q1_19_Direct-Social</v></cell><cell r="AC2735"><v>21358715</v></cell><cell r="AD2735"><v>720197</v></cell><cell r="AE2735" t="str"><v>Facebook</v></cell><cell r="AF2735"><v>3654128</v></cell><cell r="AG2735" t="str"><v>FACEBOOK»USA-Trial-ITD-Trial PayGo Lookalike-AZR-AZR»1 x 1»SocialBan»LIA»ALL»CPA»LAL»X»NA»SS»NA»FreeAcctITProFB-AnimatedSecureMngd-Ch1»PRC1QB</v></cell><cell r="AH2735"><v>223862945</v></cell><cell r="AI2735" t="str"><v>AZR_FreeAcctITProFB-AnimatedSecureMngd-Ch1_USA_1200x1200_CAN_Direct_English_Trial_Standard_ANI_LEA_T1_1</v></cell><cell r="AJ2735"><v>103176830</v></cell></row><row r="2736"><cell r="C2736" t="str"><v>43300INSTAGRAM»USA-Trial-ITD-Interest Prospecting-AZR-AZR»1 x 1»SocialBan»CAN»ALL»CPA»PRO»X»NA»SS»NA»IGCTCBrandinMotion»PRC2PB</v></cell><cell r="D2736" t="str"><v>43300223862690</v></cell><cell r="E2736" t="str"><v>43300103178714PRC2PB</v></cell><cell r="F2736" t="str"><v>DCM</v></cell><cell r="G2736" t="str"><v>https://azure.microsoft.com/en-us/pricing/purchase-options/?v=18.19&OCID=AID%eexcid!_OLA_%ebuy!_%epid!_%ecid!</v></cell></row><row r="2736"><cell r="K2736" t="str"><v>July</v></cell><cell r="L2736"><v>43302</v></cell><cell r="M2736" t="str"><v>Tier 0</v></cell><cell r="N2736" t="str"><v>North America</v></cell><cell r="O2736" t="str"><v>United States</v></cell><cell r="P2736" t="str"><v>Trial</v></cell><cell r="Q2736" t="str"><v>Social</v></cell><cell r="R2736" t="str"><v>Azure</v></cell><cell r="S2736" t="str"><v>Apps & Infra</v></cell><cell r="T2736" t="str"><v>Developers & ITI's</v></cell><cell r="U2736" t="str"><v>USA-Trial-ITD-Interest Prospecting-AZR-AZR</v></cell><cell r="V2736" t="str"><v>Prospecting</v></cell><cell r="W2736" t="str"><v>Canvas Ad</v></cell><cell r="X2736" t="str"><v>1x1</v></cell></row><row r="2736"><cell r="AA2736"><v>43300</v></cell><cell r="AB2736" t="str"><v>USA_gaPMG_AZR_AZR_Q1_19_Direct-Social</v></cell><cell r="AC2736"><v>21358715</v></cell><cell r="AD2736"><v>720197</v></cell><cell r="AE2736" t="str"><v>Facebook - Instagram</v></cell><cell r="AF2736"><v>3654128</v></cell><cell r="AG2736" t="str"><v>INSTAGRAM»USA-Trial-ITD-Interest Prospecting-AZR-AZR»1 x 1»SocialBan»CAN»ALL»CPA»PRO»X»NA»SS»NA»IGCTCBrandinMotion»PRC2PB</v></cell><cell r="AH2736"><v>223862690</v></cell><cell r="AI2736" t="str"><v>AzurePlatform_IGCTCBenefit2inMotion_USA_10s_CAN_PLATFORM_English_Trial_Standard_STAN_TIN_T4_2</v></cell><cell r="AJ2736"><v>103178714</v></cell></row><row r="2737"><cell r="C2737" t="str"><v>43300INSTAGRAM»USA-Trial-ITD-Trial Lookalike-AZR-AZR»1 x 1»SocialBan»CAN»ALL»CPA»LAL»X»NA»SS»NA»IGCTCBenefit2inMotion»PRC2FL</v></cell><cell r="D2737" t="str"><v>43300223935022</v></cell><cell r="E2737" t="str"><v>43300103180628PRC2FL</v></cell><cell r="F2737" t="str"><v>DCM</v></cell><cell r="G2737" t="str"><v>https://signup.azure.com/?OCID=AID%eexcid!_OLA_%ebuy!_%epid!_%ecid!</v></cell></row><row r="2737"><cell r="K2737" t="str"><v>July</v></cell><cell r="L2737"><v>43302</v></cell><cell r="M2737" t="str"><v>Tier 0</v></cell><cell r="N2737" t="str"><v>North America</v></cell><cell r="O2737" t="str"><v>United States</v></cell><cell r="P2737" t="str"><v>Trial</v></cell><cell r="Q2737" t="str"><v>Social</v></cell><cell r="R2737" t="str"><v>Azure</v></cell><cell r="S2737" t="str"><v>Apps & Infra</v></cell><cell r="T2737" t="str"><v>Developers & ITI's</v></cell><cell r="U2737" t="str"><v>USA-Trial-ITD-Trial Lookalike-AZR-AZR</v></cell><cell r="V2737" t="str"><v>Lookalike Targeting</v></cell><cell r="W2737" t="str"><v>Canvas Ad</v></cell><cell r="X2737" t="str"><v>1x1</v></cell></row><row r="2737"><cell r="AA2737"><v>43300</v></cell><cell r="AB2737" t="str"><v>USA_gaPMG_AZR_AZR_Q1_19_Direct-Social</v></cell><cell r="AC2737"><v>21358715</v></cell><cell r="AD2737"><v>720197</v></cell><cell r="AE2737" t="str"><v>Facebook - Instagram</v></cell><cell r="AF2737"><v>3654128</v></cell><cell r="AG2737" t="str"><v>INSTAGRAM»USA-Trial-ITD-Trial Lookalike-AZR-AZR»1 x 1»SocialBan»CAN»ALL»CPA»LAL»X»NA»SS»NA»IGCTCBenefit2inMotion»PRC2FL</v></cell><cell r="AH2737"><v>223935022</v></cell><cell r="AI2737" t="str"><v>AzurePlatform_IGCTCBrandinMotion_USA_10s_CAN_PLATFORM_English_Trial_Standard_STAN_TIN_T2_1</v></cell><cell r="AJ2737"><v>103180628</v></cell></row><row r="2738"><cell r="C2738" t="str"><v>43300INSTAGRAM»USA-Trial-ITD-Trial Lookalike-AZR-AZR»1 x 1»SocialBan»CAN»ALL»CPA»LAL»X»NA»SS»NA»IGCTCBenefit2inMotion»PRC2FL</v></cell><cell r="D2738" t="str"><v>43300223935022</v></cell><cell r="E2738" t="str"><v>43300103050786PRC2FL</v></cell><cell r="F2738" t="str"><v>DCM</v></cell><cell r="G2738" t="str"><v>https://azure.microsoft.com/en-us/pricing/purchase-options/?v=18.19&OCID=AID%eexcid!_OLA_%ebuy!_%epid!_%ecid!</v></cell></row><row r="2738"><cell r="K2738" t="str"><v>July</v></cell><cell r="L2738"><v>43302</v></cell><cell r="M2738" t="str"><v>Tier 0</v></cell><cell r="N2738" t="str"><v>North America</v></cell><cell r="O2738" t="str"><v>United States</v></cell><cell r="P2738" t="str"><v>Trial</v></cell><cell r="Q2738" t="str"><v>Social</v></cell><cell r="R2738" t="str"><v>Azure</v></cell><cell r="S2738" t="str"><v>Apps & Infra</v></cell><cell r="T2738" t="str"><v>Developers & ITI's</v></cell><cell r="U2738" t="str"><v>USA-Trial-ITD-Trial Lookalike-AZR-AZR</v></cell><cell r="V2738" t="str"><v>Lookalike Targeting</v></cell><cell r="W2738" t="str"><v>Canvas Ad</v></cell><cell r="X2738" t="str"><v>1x1</v></cell></row><row r="2738"><cell r="AA2738"><v>43300</v></cell><cell r="AB2738" t="str"><v>USA_gaPMG_AZR_AZR_Q1_19_Direct-Social</v></cell><cell r="AC2738"><v>21358715</v></cell><cell r="AD2738"><v>720197</v></cell><cell r="AE2738" t="str"><v>Facebook - Instagram</v></cell><cell r="AF2738"><v>3654128</v></cell><cell r="AG2738" t="str"><v>INSTAGRAM»USA-Trial-ITD-Trial Lookalike-AZR-AZR»1 x 1»SocialBan»CAN»ALL»CPA»LAL»X»NA»SS»NA»IGCTCBenefit2inMotion»PRC2FL</v></cell><cell r="AH2738"><v>223935022</v></cell><cell r="AI2738" t="str"><v>AzurePlatform_IGCTCBrandinMotion_USA_10s_CAN_PLATFORM_English_Trial_Standard_STAN_TIN_T2_2</v></cell><cell r="AJ2738"><v>103050786</v></cell></row><row r="2739"><cell r="C2739" t="str"><v>43300INSTAGRAM»USA-Trial-ITD-Trial Lookalike-AZR-AZR»1 x 1»SocialBan»CAN»ALL»CPA»LAL»X»NA»SS»NA»IGCTCBrandinMotion»PRC2FH</v></cell><cell r="D2739" t="str"><v>43300223935019</v></cell><cell r="E2739" t="str"><v>43300103050783PRC2FH</v></cell><cell r="F2739" t="str"><v>DCM</v></cell><cell r="G2739" t="str"><v>https://signup.azure.com/?OCID=AID%eexcid!_OLA_%ebuy!_%epid!_%ecid!</v></cell></row><row r="2739"><cell r="K2739" t="str"><v>July</v></cell><cell r="L2739"><v>43302</v></cell><cell r="M2739" t="str"><v>Tier 0</v></cell><cell r="N2739" t="str"><v>North America</v></cell><cell r="O2739" t="str"><v>United States</v></cell><cell r="P2739" t="str"><v>Trial</v></cell><cell r="Q2739" t="str"><v>Social</v></cell><cell r="R2739" t="str"><v>Azure</v></cell><cell r="S2739" t="str"><v>Apps & Infra</v></cell><cell r="T2739" t="str"><v>Developers & ITI's</v></cell><cell r="U2739" t="str"><v>USA-Trial-ITD-Trial Lookalike-AZR-AZR</v></cell><cell r="V2739" t="str"><v>Lookalike Targeting</v></cell><cell r="W2739" t="str"><v>Canvas Ad</v></cell><cell r="X2739" t="str"><v>1x1</v></cell></row><row r="2739"><cell r="AA2739"><v>43300</v></cell><cell r="AB2739" t="str"><v>USA_gaPMG_AZR_AZR_Q1_19_Direct-Social</v></cell><cell r="AC2739"><v>21358715</v></cell><cell r="AD2739"><v>720197</v></cell><cell r="AE2739" t="str"><v>Facebook - Instagram</v></cell><cell r="AF2739"><v>3654128</v></cell><cell r="AG2739" t="str"><v>INSTAGRAM»USA-Trial-ITD-Trial Lookalike-AZR-AZR»1 x 1»SocialBan»CAN»ALL»CPA»LAL»X»NA»SS»NA»IGCTCBrandinMotion»PRC2FH</v></cell><cell r="AH2739"><v>223935019</v></cell><cell r="AI2739" t="str"><v>AzurePlatform_IGCTCBenefit2inMotion_USA_10s_CAN_PLATFORM_English_Trial_Standard_STAN_TIN_T4_1</v></cell><cell r="AJ2739"><v>103050783</v></cell></row><row r="2740"><cell r="C2740" t="str"><v>43300INSTAGRAM»USA-Trial-ITD-Trial PayGo Lookalike-AZR-AZR»1 x 1»SocialBan»CAN»ALL»CPA»LAL»X»NA»SS»NA»IGCTCBrandinMotion»PRC2FW</v></cell><cell r="D2740" t="str"><v>43300223862654</v></cell><cell r="E2740" t="str"><v>43300103050783PRC2FW</v></cell><cell r="F2740" t="str"><v>DCM</v></cell><cell r="G2740" t="str"><v>https://signup.azure.com/?OCID=AID%eexcid!_OLA_%ebuy!_%epid!_%ecid!</v></cell></row><row r="2740"><cell r="K2740" t="str"><v>July</v></cell><cell r="L2740"><v>43302</v></cell><cell r="M2740" t="str"><v>Tier 0</v></cell><cell r="N2740" t="str"><v>North America</v></cell><cell r="O2740" t="str"><v>United States</v></cell><cell r="P2740" t="str"><v>Trial</v></cell><cell r="Q2740" t="str"><v>Social</v></cell><cell r="R2740" t="str"><v>Azure</v></cell><cell r="S2740" t="str"><v>Apps & Infra</v></cell><cell r="T2740" t="str"><v>Developers & ITI's</v></cell><cell r="U2740" t="str"><v>USA-Trial-ITD-Trial PayGo Lookalike-AZR-AZR</v></cell><cell r="V2740" t="str"><v>Lookalike Targeting</v></cell><cell r="W2740" t="str"><v>Canvas Ad</v></cell><cell r="X2740" t="str"><v>1x1</v></cell></row><row r="2740"><cell r="AA2740"><v>43300</v></cell><cell r="AB2740" t="str"><v>USA_gaPMG_AZR_AZR_Q1_19_Direct-Social</v></cell><cell r="AC2740"><v>21358715</v></cell><cell r="AD2740"><v>720197</v></cell><cell r="AE2740" t="str"><v>Facebook - Instagram</v></cell><cell r="AF2740"><v>3654128</v></cell><cell r="AG2740" t="str"><v>INSTAGRAM»USA-Trial-ITD-Trial PayGo Lookalike-AZR-AZR»1 x 1»SocialBan»CAN»ALL»CPA»LAL»X»NA»SS»NA»IGCTCBrandinMotion»PRC2FW</v></cell><cell r="AH2740"><v>223862654</v></cell><cell r="AI2740" t="str"><v>AzurePlatform_IGCTCBenefit2inMotion_USA_10s_CAN_PLATFORM_English_Trial_Standard_STAN_TIN_T4_1</v></cell><cell r="AJ2740"><v>103050783</v></cell></row><row r="2741"><cell r="C2741" t="str"><v>43300INSTAGRAM»USA-Trial-ITD-Trial PayGo Lookalike-AZR-AZR»1 x 1»SocialBan»CAN»ALL»CPA»LAL»X»NA»SS»NA»IGCTCBenefit2inMotion»PRC2FZ</v></cell><cell r="D2741" t="str"><v>43300223933075</v></cell><cell r="E2741" t="str"><v>43300103180628PRC2FZ</v></cell><cell r="F2741" t="str"><v>DCM</v></cell><cell r="G2741" t="str"><v>https://signup.azure.com/?OCID=AID%eexcid!_OLA_%ebuy!_%epid!_%ecid!</v></cell></row><row r="2741"><cell r="K2741" t="str"><v>July</v></cell><cell r="L2741"><v>43302</v></cell><cell r="M2741" t="str"><v>Tier 0</v></cell><cell r="N2741" t="str"><v>North America</v></cell><cell r="O2741" t="str"><v>United States</v></cell><cell r="P2741" t="str"><v>Trial</v></cell><cell r="Q2741" t="str"><v>Social</v></cell><cell r="R2741" t="str"><v>Azure</v></cell><cell r="S2741" t="str"><v>Apps & Infra</v></cell><cell r="T2741" t="str"><v>Developers & ITI's</v></cell><cell r="U2741" t="str"><v>USA-Trial-ITD-Trial PayGo Lookalike-AZR-AZR</v></cell><cell r="V2741" t="str"><v>Lookalike Targeting</v></cell><cell r="W2741" t="str"><v>Canvas Ad</v></cell><cell r="X2741" t="str"><v>1x1</v></cell></row><row r="2741"><cell r="AA2741"><v>43300</v></cell><cell r="AB2741" t="str"><v>USA_gaPMG_AZR_AZR_Q1_19_Direct-Social</v></cell><cell r="AC2741"><v>21358715</v></cell><cell r="AD2741"><v>720197</v></cell><cell r="AE2741" t="str"><v>Facebook - Instagram</v></cell><cell r="AF2741"><v>3654128</v></cell><cell r="AG2741" t="str"><v>INSTAGRAM»USA-Trial-ITD-Trial PayGo Lookalike-AZR-AZR»1 x 1»SocialBan»CAN»ALL»CPA»LAL»X»NA»SS»NA»IGCTCBenefit2inMotion»PRC2FZ</v></cell><cell r="AH2741"><v>223933075</v></cell><cell r="AI2741" t="str"><v>AzurePlatform_IGCTCBrandinMotion_USA_10s_CAN_PLATFORM_English_Trial_Standard_STAN_TIN_T2_1</v></cell><cell r="AJ2741"><v>103180628</v></cell></row><row r="2742"><cell r="C2742" t="str"><v>43300INSTAGRAM»USA-Trial-ITD-Trial PayGo Lookalike-AZR-AZR»1 x 1»SocialBan»CAN»ALL»CPA»LAL»X»NA»SS»NA»IGCTCBenefit2inMotion»PRC2FZ</v></cell><cell r="D2742" t="str"><v>43300223933075</v></cell><cell r="E2742" t="str"><v>43300103050786PRC2FZ</v></cell><cell r="F2742" t="str"><v>DCM</v></cell><cell r="G2742" t="str"><v>https://azure.microsoft.com/en-us/pricing/purchase-options/?v=18.19&OCID=AID%eexcid!_OLA_%ebuy!_%epid!_%ecid!</v></cell></row><row r="2742"><cell r="K2742" t="str"><v>July</v></cell><cell r="L2742"><v>43302</v></cell><cell r="M2742" t="str"><v>Tier 0</v></cell><cell r="N2742" t="str"><v>North America</v></cell><cell r="O2742" t="str"><v>United States</v></cell><cell r="P2742" t="str"><v>Trial</v></cell><cell r="Q2742" t="str"><v>Social</v></cell><cell r="R2742" t="str"><v>Azure</v></cell><cell r="S2742" t="str"><v>Apps & Infra</v></cell><cell r="T2742" t="str"><v>Developers & ITI's</v></cell><cell r="U2742" t="str"><v>USA-Trial-ITD-Trial PayGo Lookalike-AZR-AZR</v></cell><cell r="V2742" t="str"><v>Lookalike Targeting</v></cell><cell r="W2742" t="str"><v>Canvas Ad</v></cell><cell r="X2742" t="str"><v>1x1</v></cell></row><row r="2742"><cell r="AA2742"><v>43300</v></cell><cell r="AB2742" t="str"><v>USA_gaPMG_AZR_AZR_Q1_19_Direct-Social</v></cell><cell r="AC2742"><v>21358715</v></cell><cell r="AD2742"><v>720197</v></cell><cell r="AE2742" t="str"><v>Facebook - Instagram</v></cell><cell r="AF2742"><v>3654128</v></cell><cell r="AG2742" t="str"><v>INSTAGRAM»USA-Trial-ITD-Trial PayGo Lookalike-AZR-AZR»1 x 1»SocialBan»CAN»ALL»CPA»LAL»X»NA»SS»NA»IGCTCBenefit2inMotion»PRC2FZ</v></cell><cell r="AH2742"><v>223933075</v></cell><cell r="AI2742" t="str"><v>AzurePlatform_IGCTCBrandinMotion_USA_10s_CAN_PLATFORM_English_Trial_Standard_STAN_TIN_T2_2</v></cell><cell r="AJ2742"><v>103050786</v></cell></row><row r="2743"><cell r="C2743" t="str"><v>43300INSTAGRAM»USA-Trial-ITD-Interest Prospecting-AZR-AZR»1 x 1»SocialBan»CAN»ALL»CPA»PRO»X»NA»SS»NA»IGCTCBasicMotion»PRC2PF</v></cell><cell r="D2743" t="str"><v>43300224106621</v></cell><cell r="E2743" t="str"><v>43300103037968PRC2PF</v></cell><cell r="F2743" t="str"><v>DCM</v></cell><cell r="G2743" t="str"><v>https://signup.azure.com/?OCID=AID%eexcid!_OLA_%ebuy!_%epid!_%ecid!</v></cell></row><row r="2743"><cell r="K2743" t="str"><v>July</v></cell><cell r="L2743"><v>43302</v></cell><cell r="M2743" t="str"><v>Tier 0</v></cell><cell r="N2743" t="str"><v>North America</v></cell><cell r="O2743" t="str"><v>United States</v></cell><cell r="P2743" t="str"><v>Trial</v></cell><cell r="Q2743" t="str"><v>Social</v></cell><cell r="R2743" t="str"><v>Azure</v></cell><cell r="S2743" t="str"><v>Apps & Infra</v></cell><cell r="T2743" t="str"><v>Developers & ITI's</v></cell><cell r="U2743" t="str"><v>USA-Trial-ITD-Interest Prospecting-AZR-AZR</v></cell><cell r="V2743" t="str"><v>Prospecting</v></cell><cell r="W2743" t="str"><v>Canvas Ad</v></cell><cell r="X2743" t="str"><v>1x1</v></cell></row><row r="2743"><cell r="AA2743"><v>43300</v></cell><cell r="AB2743" t="str"><v>USA_gaPMG_AZR_AZR_Q1_19_Direct-Social</v></cell><cell r="AC2743"><v>21358715</v></cell><cell r="AD2743"><v>720197</v></cell><cell r="AE2743" t="str"><v>Facebook - Instagram</v></cell><cell r="AF2743"><v>3654128</v></cell><cell r="AG2743" t="str"><v>INSTAGRAM»USA-Trial-ITD-Interest Prospecting-AZR-AZR»1 x 1»SocialBan»CAN»ALL»CPA»PRO»X»NA»SS»NA»IGCTCBasicMotion»PRC2PF</v></cell><cell r="AH2743"><v>224106621</v></cell><cell r="AI2743" t="str"><v>AzurePlatform_IGCTCBasicMotion_USA_10s_CAN_PLATFORM_English_Trial_Standard_STAN_TIN_T1_1</v></cell><cell r="AJ2743"><v>103037968</v></cell></row><row r="2744"><cell r="C2744" t="str"><v>43300INSTAGRAM»USA-Trial-ITD-Interest Prospecting-AZR-AZR»1 x 1»SocialBan»CAN»ALL»CPA»PRO»X»NA»SS»NA»IGCTCBasicMotion»PRC2PF</v></cell><cell r="D2744" t="str"><v>43300224106621</v></cell><cell r="E2744" t="str"><v>43300103037974PRC2PF</v></cell><cell r="F2744" t="str"><v>DCM</v></cell><cell r="G2744" t="str"><v>https://azure.microsoft.com/en-us/pricing/purchase-options/?v=18.19&OCID=AID%eexcid!_OLA_%ebuy!_%epid!_%ecid!</v></cell></row><row r="2744"><cell r="K2744" t="str"><v>July</v></cell><cell r="L2744"><v>43302</v></cell><cell r="M2744" t="str"><v>Tier 0</v></cell><cell r="N2744" t="str"><v>North America</v></cell><cell r="O2744" t="str"><v>United States</v></cell><cell r="P2744" t="str"><v>Trial</v></cell><cell r="Q2744" t="str"><v>Social</v></cell><cell r="R2744" t="str"><v>Azure</v></cell><cell r="S2744" t="str"><v>Apps & Infra</v></cell><cell r="T2744" t="str"><v>Developers & ITI's</v></cell><cell r="U2744" t="str"><v>USA-Trial-ITD-Interest Prospecting-AZR-AZR</v></cell><cell r="V2744" t="str"><v>Prospecting</v></cell><cell r="W2744" t="str"><v>Canvas Ad</v></cell><cell r="X2744" t="str"><v>1x1</v></cell></row><row r="2744"><cell r="AA2744"><v>43300</v></cell><cell r="AB2744" t="str"><v>USA_gaPMG_AZR_AZR_Q1_19_Direct-Social</v></cell><cell r="AC2744"><v>21358715</v></cell><cell r="AD2744"><v>720197</v></cell><cell r="AE2744" t="str"><v>Facebook - Instagram</v></cell><cell r="AF2744"><v>3654128</v></cell><cell r="AG2744" t="str"><v>INSTAGRAM»USA-Trial-ITD-Interest Prospecting-AZR-AZR»1 x 1»SocialBan»CAN»ALL»CPA»PRO»X»NA»SS»NA»IGCTCBasicMotion»PRC2PF</v></cell><cell r="AH2744"><v>224106621</v></cell><cell r="AI2744" t="str"><v>AzurePlatform_IGCTCBasicMotion_USA_10s_CAN_PLATFORM_English_Trial_Standard_STAN_TIN_T1_2</v></cell><cell r="AJ2744"><v>103037974</v></cell></row><row r="2745"><cell r="C2745" t="str"><v>43300INSTAGRAM»USA-Trial-ITD-Lead Completes-AZR-AZR»1 x 1»SocialBan»CAN»ALL»CPA»PRO»X»NA»SS»NA»IGCTCBenefitinMotion»PRC2M3</v></cell><cell r="D2745" t="str"><v>43300223934041</v></cell><cell r="E2745" t="str"><v>43300103050780PRC2M3</v></cell><cell r="F2745" t="str"><v>DCM</v></cell><cell r="G2745" t="str"><v>https://signup.azure.com/?OCID=AID%eexcid!_OLA_%ebuy!_%epid!_%ecid!</v></cell></row><row r="2745"><cell r="K2745" t="str"><v>July</v></cell><cell r="L2745"><v>43302</v></cell><cell r="M2745" t="str"><v>Tier 0</v></cell><cell r="N2745" t="str"><v>North America</v></cell><cell r="O2745" t="str"><v>United States</v></cell><cell r="P2745" t="str"><v>Trial</v></cell><cell r="Q2745" t="str"><v>Social</v></cell><cell r="R2745" t="str"><v>Azure</v></cell><cell r="S2745" t="str"><v>Apps & Infra</v></cell><cell r="T2745" t="str"><v>Developers & ITI's</v></cell><cell r="U2745" t="str"><v>USA-Trial-ITD-Lead Completes-AZR-AZR</v></cell><cell r="V2745" t="str"><v>Prospecting</v></cell><cell r="W2745" t="str"><v>Canvas Ad</v></cell><cell r="X2745" t="str"><v>1x1</v></cell></row><row r="2745"><cell r="AA2745"><v>43300</v></cell><cell r="AB2745" t="str"><v>USA_gaPMG_AZR_AZR_Q1_19_Direct-Social</v></cell><cell r="AC2745"><v>21358715</v></cell><cell r="AD2745"><v>720197</v></cell><cell r="AE2745" t="str"><v>Facebook - Instagram</v></cell><cell r="AF2745"><v>3654128</v></cell><cell r="AG2745" t="str"><v>INSTAGRAM»USA-Trial-ITD-Lead Completes-AZR-AZR»1 x 1»SocialBan»CAN»ALL»CPA»PRO»X»NA»SS»NA»IGCTCBenefitinMotion»PRC2M3</v></cell><cell r="AH2745"><v>223934041</v></cell><cell r="AI2745" t="str"><v>AzurePlatform_IGCTCBenefitinMotion_USA_10s_CAN_PLATFORM_English_Trial_Standard_STAN_TIN_T3_1</v></cell><cell r="AJ2745"><v>103050780</v></cell></row><row r="2746"><cell r="C2746" t="str"><v>43300INSTAGRAM»USA-Trial-ITD-Trial Lookalike-AZR-AZR»1 x 1»SocialBan»CAN»ALL»CPA»LAL»X»NA»SS»NA»IGCTCBasicMotion»PRC0C2</v></cell><cell r="D2746" t="str"><v>43300224107017</v></cell><cell r="E2746" t="str"><v>43300103037968PRC0C2</v></cell><cell r="F2746" t="str"><v>DCM</v></cell><cell r="G2746" t="str"><v>https://signup.azure.com/?OCID=AID%eexcid!_OLA_%ebuy!_%epid!_%ecid!</v></cell></row><row r="2746"><cell r="K2746" t="str"><v>July</v></cell><cell r="L2746"><v>43302</v></cell><cell r="M2746" t="str"><v>Tier 0</v></cell><cell r="N2746" t="str"><v>North America</v></cell><cell r="O2746" t="str"><v>United States</v></cell><cell r="P2746" t="str"><v>Trial</v></cell><cell r="Q2746" t="str"><v>Social</v></cell><cell r="R2746" t="str"><v>Azure</v></cell><cell r="S2746" t="str"><v>Apps & Infra</v></cell><cell r="T2746" t="str"><v>Developers & ITI's</v></cell><cell r="U2746" t="str"><v>USA-Trial-ITD-Trial Lookalike-AZR-AZR</v></cell><cell r="V2746" t="str"><v>Lookalike Targeting</v></cell><cell r="W2746" t="str"><v>Canvas Ad</v></cell><cell r="X2746" t="str"><v>1x1</v></cell></row><row r="2746"><cell r="AA2746"><v>43300</v></cell><cell r="AB2746" t="str"><v>USA_gaPMG_AZR_AZR_Q1_19_Direct-Social</v></cell><cell r="AC2746"><v>21358715</v></cell><cell r="AD2746"><v>720197</v></cell><cell r="AE2746" t="str"><v>Facebook - Instagram</v></cell><cell r="AF2746"><v>3654128</v></cell><cell r="AG2746" t="str"><v>INSTAGRAM»USA-Trial-ITD-Trial Lookalike-AZR-AZR»1 x 1»SocialBan»CAN»ALL»CPA»LAL»X»NA»SS»NA»IGCTCBasicMotion»PRC0C2</v></cell><cell r="AH2746"><v>224107017</v></cell><cell r="AI2746" t="str"><v>AzurePlatform_IGCTCBasicMotion_USA_10s_CAN_PLATFORM_English_Trial_Standard_STAN_TIN_T1_1</v></cell><cell r="AJ2746"><v>103037968</v></cell></row><row r="2747"><cell r="C2747" t="str"><v>43300INSTAGRAM»USA-Trial-ITD-Trial Lookalike-AZR-AZR»1 x 1»SocialBan»CAN»ALL»CPA»LAL»X»NA»SS»NA»IGCTCBenefitinMotion»PRC2FK</v></cell><cell r="D2747" t="str"><v>43300224107542</v></cell><cell r="E2747" t="str"><v>43300103180637PRC2FK</v></cell><cell r="F2747" t="str"><v>DCM</v></cell><cell r="G2747" t="str"><v>https://azure.microsoft.com/en-us/pricing/purchase-options/?v=18.19&OCID=AID%eexcid!_OLA_%ebuy!_%epid!_%ecid!</v></cell></row><row r="2747"><cell r="K2747" t="str"><v>July</v></cell><cell r="L2747"><v>43302</v></cell><cell r="M2747" t="str"><v>Tier 0</v></cell><cell r="N2747" t="str"><v>North America</v></cell><cell r="O2747" t="str"><v>United States</v></cell><cell r="P2747" t="str"><v>Trial</v></cell><cell r="Q2747" t="str"><v>Social</v></cell><cell r="R2747" t="str"><v>Azure</v></cell><cell r="S2747" t="str"><v>Apps & Infra</v></cell><cell r="T2747" t="str"><v>Developers & ITI's</v></cell><cell r="U2747" t="str"><v>USA-Trial-ITD-Trial Lookalike-AZR-AZR</v></cell><cell r="V2747" t="str"><v>Lookalike Targeting</v></cell><cell r="W2747" t="str"><v>Canvas Ad</v></cell><cell r="X2747" t="str"><v>1x1</v></cell></row><row r="2747"><cell r="AA2747"><v>43300</v></cell><cell r="AB2747" t="str"><v>USA_gaPMG_AZR_AZR_Q1_19_Direct-Social</v></cell><cell r="AC2747"><v>21358715</v></cell><cell r="AD2747"><v>720197</v></cell><cell r="AE2747" t="str"><v>Facebook - Instagram</v></cell><cell r="AF2747"><v>3654128</v></cell><cell r="AG2747" t="str"><v>INSTAGRAM»USA-Trial-ITD-Trial Lookalike-AZR-AZR»1 x 1»SocialBan»CAN»ALL»CPA»LAL»X»NA»SS»NA»IGCTCBenefitinMotion»PRC2FK</v></cell><cell r="AH2747"><v>224107542</v></cell><cell r="AI2747" t="str"><v>AzurePlatform_IGCTCBenefitinMotion_USA_10s_CAN_PLATFORM_English_Trial_Standard_STAN_TIN_T3_2</v></cell><cell r="AJ2747"><v>103180637</v></cell></row><row r="2748"><cell r="C2748" t="str"><v>43300INSTAGRAM»USA-Trial-ITD-Trial PayGo Lookalike-AZR-AZR»1 x 1»SocialBan»CAN»ALL»CPA»LAL»X»NA»SS»NA»IGCTCBasicMotion»PRC2G0</v></cell><cell r="D2748" t="str"><v>43300224106891</v></cell><cell r="E2748" t="str"><v>43300103037968PRC2G0</v></cell><cell r="F2748" t="str"><v>DCM</v></cell><cell r="G2748" t="str"><v>https://signup.azure.com/?OCID=AID%eexcid!_OLA_%ebuy!_%epid!_%ecid!</v></cell></row><row r="2748"><cell r="K2748" t="str"><v>July</v></cell><cell r="L2748"><v>43302</v></cell><cell r="M2748" t="str"><v>Tier 0</v></cell><cell r="N2748" t="str"><v>North America</v></cell><cell r="O2748" t="str"><v>United States</v></cell><cell r="P2748" t="str"><v>Trial</v></cell><cell r="Q2748" t="str"><v>Social</v></cell><cell r="R2748" t="str"><v>Azure</v></cell><cell r="S2748" t="str"><v>Apps & Infra</v></cell><cell r="T2748" t="str"><v>Developers & ITI's</v></cell><cell r="U2748" t="str"><v>USA-Trial-ITD-Trial PayGo Lookalike-AZR-AZR</v></cell><cell r="V2748" t="str"><v>Lookalike Targeting</v></cell><cell r="W2748" t="str"><v>Canvas Ad</v></cell><cell r="X2748" t="str"><v>1x1</v></cell></row><row r="2748"><cell r="AA2748"><v>43300</v></cell><cell r="AB2748" t="str"><v>USA_gaPMG_AZR_AZR_Q1_19_Direct-Social</v></cell><cell r="AC2748"><v>21358715</v></cell><cell r="AD2748"><v>720197</v></cell><cell r="AE2748" t="str"><v>Facebook - Instagram</v></cell><cell r="AF2748"><v>3654128</v></cell><cell r="AG2748" t="str"><v>INSTAGRAM»USA-Trial-ITD-Trial PayGo Lookalike-AZR-AZR»1 x 1»SocialBan»CAN»ALL»CPA»LAL»X»NA»SS»NA»IGCTCBasicMotion»PRC2G0</v></cell><cell r="AH2748"><v>224106891</v></cell><cell r="AI2748" t="str"><v>AzurePlatform_IGCTCBasicMotion_USA_10s_CAN_PLATFORM_English_Trial_Standard_STAN_TIN_T1_1</v></cell><cell r="AJ2748"><v>103037968</v></cell></row><row r="2749"><cell r="C2749" t="str"><v>43300INSTAGRAM»USA-Trial-ITD-Trial PayGo Lookalike-AZR-AZR»1 x 1»SocialBan»CAN»ALL»CPA»LAL»X»NA»SS»NA»IGCTCBasicMotion»PRC2G0</v></cell><cell r="D2749" t="str"><v>43300224106891</v></cell><cell r="E2749" t="str"><v>43300103037974PRC2G0</v></cell><cell r="F2749" t="str"><v>DCM</v></cell><cell r="G2749" t="str"><v>https://azure.microsoft.com/en-us/pricing/purchase-options/?v=18.19&OCID=AID%eexcid!_OLA_%ebuy!_%epid!_%ecid!</v></cell></row><row r="2749"><cell r="K2749" t="str"><v>July</v></cell><cell r="L2749"><v>43302</v></cell><cell r="M2749" t="str"><v>Tier 0</v></cell><cell r="N2749" t="str"><v>North America</v></cell><cell r="O2749" t="str"><v>United States</v></cell><cell r="P2749" t="str"><v>Trial</v></cell><cell r="Q2749" t="str"><v>Social</v></cell><cell r="R2749" t="str"><v>Azure</v></cell><cell r="S2749" t="str"><v>Apps & Infra</v></cell><cell r="T2749" t="str"><v>Developers & ITI's</v></cell><cell r="U2749" t="str"><v>USA-Trial-ITD-Trial PayGo Lookalike-AZR-AZR</v></cell><cell r="V2749" t="str"><v>Lookalike Targeting</v></cell><cell r="W2749" t="str"><v>Canvas Ad</v></cell><cell r="X2749" t="str"><v>1x1</v></cell></row><row r="2749"><cell r="AA2749"><v>43300</v></cell><cell r="AB2749" t="str"><v>USA_gaPMG_AZR_AZR_Q1_19_Direct-Social</v></cell><cell r="AC2749"><v>21358715</v></cell><cell r="AD2749"><v>720197</v></cell><cell r="AE2749" t="str"><v>Facebook - Instagram</v></cell><cell r="AF2749"><v>3654128</v></cell><cell r="AG2749" t="str"><v>INSTAGRAM»USA-Trial-ITD-Trial PayGo Lookalike-AZR-AZR»1 x 1»SocialBan»CAN»ALL»CPA»LAL»X»NA»SS»NA»IGCTCBasicMotion»PRC2G0</v></cell><cell r="AH2749"><v>224106891</v></cell><cell r="AI2749" t="str"><v>AzurePlatform_IGCTCBasicMotion_USA_10s_CAN_PLATFORM_English_Trial_Standard_STAN_TIN_T1_2</v></cell><cell r="AJ2749"><v>103037974</v></cell></row><row r="2750"><cell r="C2750" t="str"><v>43301Facebook»Audience & Interest Targeting»1x1»Canvas»OTH»DT»DYN»AUT»W»NA»SS»NA»FBCTCcanvaspage-StartFreeCTA_FBCTCcanvaspage-BuyNowCTA</v></cell><cell r="D2750" t="str"><v>43301224639151</v></cell><cell r="E2750" t="str"><v>43301103316832NowCTA</v></cell><cell r="F2750" t="str"><v>DCM</v></cell><cell r="G2750" t="str"><v>https://azure.microsoft.com/en-au/pricing/purchase-options/</v></cell></row><row r="2750"><cell r="K2750" t="str"><v>July</v></cell><cell r="L2750"><v>43302</v></cell><cell r="M2750" t="str"><v>Tier 1</v></cell><cell r="N2750" t="str"><v>APAC</v></cell><cell r="O2750" t="str"><v>Australia</v></cell><cell r="P2750" t="str"><v>Trial</v></cell><cell r="Q2750" t="str"><v>Social</v></cell><cell r="R2750" t="str"><v>Azure</v></cell><cell r="S2750" t="str"><v>Apps & Infra</v></cell><cell r="T2750" t="str"><v>Developers & ITI's</v></cell><cell r="U2750" t="str"><v>Audience & Interest Targeting</v></cell><cell r="V2750" t="str"><v>Audience Targeting</v></cell><cell r="W2750" t="str"><v>Other</v></cell><cell r="X2750" t="str"><v>1x1</v></cell></row><row r="2750"><cell r="AA2750"><v>43301</v></cell><cell r="AB2750" t="str"><v>AUS_gaPMG_AZR_AZR_Q1_19_Trial-Social</v></cell><cell r="AC2750"><v>21358568</v></cell><cell r="AD2750"><v>720191</v></cell><cell r="AE2750" t="str"><v>Facebook</v></cell><cell r="AF2750"><v>3654128</v></cell><cell r="AG2750" t="str"><v>Facebook»Audience & Interest Targeting»1x1»Canvas»OTH»DT»DYN»AUT»W»NA»SS»NA»FBCTCcanvaspage-StartFreeCTA_FBCTCcanvaspage-BuyNowCTA</v></cell><cell r="AH2750"><v>224639151</v></cell><cell r="AI2750" t="str"><v>AzurePlatform_FBCTCcanvaspage-BuyNowCTA-Img3_AUS_1080x162_SOC_Plat_English_NA_Standard_NA_BN_T3_1</v></cell><cell r="AJ2750"><v>103316832</v></cell></row><row r="2751"><cell r="C2751" t="str"><v>43301Facebook»Audience & Interest Targeting»1x1»Canvas»OTH»DT»DYN»AUT»W»NA»SS»NA»FBCTCcanvaspage-StartFreeCTA_FBCTCcanvaspage-BuyNowCTA</v></cell><cell r="D2751" t="str"><v>43301224639151</v></cell><cell r="E2751" t="str"><v>43301103316829NowCTA</v></cell><cell r="F2751" t="str"><v>DCM</v></cell><cell r="G2751" t="str"><v>https://signup.azure.com/signup?offer=ms-azr-0044p&appId=102&ref=paidmedia-social-fb&redirectURL=https%3a%2f%2fazure.microsoft.com%2fen-au%2fget-started%2fwelcome-to-azure%2f&l=en-au&correlationId=ead86c34-1f10-49dd-a72b-6918462a2cbf</v></cell></row><row r="2751"><cell r="K2751" t="str"><v>July</v></cell><cell r="L2751"><v>43302</v></cell><cell r="M2751" t="str"><v>Tier 1</v></cell><cell r="N2751" t="str"><v>APAC</v></cell><cell r="O2751" t="str"><v>Australia</v></cell><cell r="P2751" t="str"><v>Trial</v></cell><cell r="Q2751" t="str"><v>Social</v></cell><cell r="R2751" t="str"><v>Azure</v></cell><cell r="S2751" t="str"><v>Apps & Infra</v></cell><cell r="T2751" t="str"><v>Developers & ITI's</v></cell><cell r="U2751" t="str"><v>Audience & Interest Targeting</v></cell><cell r="V2751" t="str"><v>Audience Targeting</v></cell><cell r="W2751" t="str"><v>Other</v></cell><cell r="X2751" t="str"><v>1x1</v></cell></row><row r="2751"><cell r="AA2751"><v>43301</v></cell><cell r="AB2751" t="str"><v>AUS_gaPMG_AZR_AZR_Q1_19_Trial-Social</v></cell><cell r="AC2751"><v>21358568</v></cell><cell r="AD2751"><v>720191</v></cell><cell r="AE2751" t="str"><v>Facebook</v></cell><cell r="AF2751"><v>3654128</v></cell><cell r="AG2751" t="str"><v>Facebook»Audience & Interest Targeting»1x1»Canvas»OTH»DT»DYN»AUT»W»NA»SS»NA»FBCTCcanvaspage-StartFreeCTA_FBCTCcanvaspage-BuyNowCTA</v></cell><cell r="AH2751"><v>224639151</v></cell><cell r="AI2751" t="str"><v>AzurePlatform_FBCTCcanvaspage-StartFreeCTA-Img2_AUS_1080x143 _SOC_Plat_English_NA_Standard_NA_NA_T2_1</v></cell><cell r="AJ2751"><v>103316829</v></cell></row><row r="2752"><cell r="C2752" t="str"><v>43301Facebook»Audience & Interest Targeting»1x1»TextLink»OTH»DT»DYN»AUT»W»NA»SS»NA»Free Account Refresh- 12 months ChE</v></cell><cell r="D2752" t="str"><v>43301224160783</v></cell><cell r="E2752" t="str"><v>43301103051614hs ChE</v></cell><cell r="F2752" t="str"><v>DCM</v></cell></row><row r="2752"><cell r="K2752" t="str"><v>July</v></cell><cell r="L2752"><v>43302</v></cell><cell r="M2752" t="str"><v>Tier 1</v></cell><cell r="N2752" t="str"><v>APAC</v></cell><cell r="O2752" t="str"><v>Australia</v></cell><cell r="P2752" t="str"><v>Trial</v></cell><cell r="Q2752" t="str"><v>Social</v></cell><cell r="R2752" t="str"><v>Azure</v></cell><cell r="S2752" t="str"><v>Apps & Infra</v></cell><cell r="T2752" t="str"><v>Developers & ITI's</v></cell><cell r="U2752" t="str"><v>Audience & Interest Targeting</v></cell><cell r="V2752" t="str"><v>Audience Targeting</v></cell><cell r="W2752" t="str"><v>Other</v></cell><cell r="X2752" t="str"><v>1x1</v></cell></row><row r="2752"><cell r="AA2752"><v>43301</v></cell><cell r="AB2752" t="str"><v>AUS_gaPMG_AZR_AZR_Q1_19_Trial-Social</v></cell><cell r="AC2752"><v>21358568</v></cell><cell r="AD2752"><v>720191</v></cell><cell r="AE2752" t="str"><v>Facebook</v></cell><cell r="AF2752"><v>3654128</v></cell><cell r="AG2752" t="str"><v>Facebook»Audience & Interest Targeting»1x1»TextLink»OTH»DT»DYN»AUT»W»NA»SS»NA»Free Account Refresh- 12 months ChE</v></cell><cell r="AH2752"><v>224160783</v></cell><cell r="AI2752" t="str"><v>AzurePlatform_FreeAcctAppsFACEBOOK12monthsChE_AUS_1200x628_SOC_PLAT_EN_Trial_Standard_NA_SNU_T5_1</v></cell><cell r="AJ2752"><v>103051614</v></cell></row><row r="2753"><cell r="C2753" t="str"><v>43301Facebook»Audience & Interest Targeting»1x1»TextLink»OTH»DT»DYN»AUT»W»NA»SS»NA»Free Account Refresh- 200 Credit ChD</v></cell><cell r="D2753" t="str"><v>43301224160780</v></cell><cell r="E2753" t="str"><v>43301103186904it ChD</v></cell><cell r="F2753" t="str"><v>DCM</v></cell></row><row r="2753"><cell r="K2753" t="str"><v>July</v></cell><cell r="L2753"><v>43302</v></cell><cell r="M2753" t="str"><v>Tier 1</v></cell><cell r="N2753" t="str"><v>APAC</v></cell><cell r="O2753" t="str"><v>Australia</v></cell><cell r="P2753" t="str"><v>Trial</v></cell><cell r="Q2753" t="str"><v>Social</v></cell><cell r="R2753" t="str"><v>Azure</v></cell><cell r="S2753" t="str"><v>Apps & Infra</v></cell><cell r="T2753" t="str"><v>Developers & ITI's</v></cell><cell r="U2753" t="str"><v>Audience & Interest Targeting</v></cell><cell r="V2753" t="str"><v>Audience Targeting</v></cell><cell r="W2753" t="str"><v>Other</v></cell><cell r="X2753" t="str"><v>1x1</v></cell></row><row r="2753"><cell r="AA2753"><v>43301</v></cell><cell r="AB2753" t="str"><v>AUS_gaPMG_AZR_AZR_Q1_19_Trial-Social</v></cell><cell r="AC2753"><v>21358568</v></cell><cell r="AD2753"><v>720191</v></cell><cell r="AE2753" t="str"><v>Facebook</v></cell><cell r="AF2753"><v>3654128</v></cell><cell r="AG2753" t="str"><v>Facebook»Audience & Interest Targeting»1x1»TextLink»OTH»DT»DYN»AUT»W»NA»SS»NA»Free Account Refresh- 200 Credit ChD</v></cell><cell r="AH2753"><v>224160780</v></cell><cell r="AI2753" t="str"><v>AzurePlatform_FreeAcctAppsFACEBOOK200CreditChD_AUS_1200x628_SOC_PLAT_EN_Trial_Standard_NA_SNU_T4_1</v></cell><cell r="AJ2753"><v>103186904</v></cell></row><row r="2754"><cell r="C2754" t="str"><v>43301Facebook»Audience & Interest Targeting»1x1»TextLink»OTH»DT»DYN»AUT»W»NA»SS»NA»Free Account Refresh- Device ChB</v></cell><cell r="D2754" t="str"><v>43301224160777</v></cell><cell r="E2754" t="str"><v>43301103048479ce ChB</v></cell><cell r="F2754" t="str"><v>DCM</v></cell></row><row r="2754"><cell r="K2754" t="str"><v>July</v></cell><cell r="L2754"><v>43302</v></cell><cell r="M2754" t="str"><v>Tier 1</v></cell><cell r="N2754" t="str"><v>APAC</v></cell><cell r="O2754" t="str"><v>Australia</v></cell><cell r="P2754" t="str"><v>Trial</v></cell><cell r="Q2754" t="str"><v>Social</v></cell><cell r="R2754" t="str"><v>Azure</v></cell><cell r="S2754" t="str"><v>Apps & Infra</v></cell><cell r="T2754" t="str"><v>Developers & ITI's</v></cell><cell r="U2754" t="str"><v>Audience & Interest Targeting</v></cell><cell r="V2754" t="str"><v>Audience Targeting</v></cell><cell r="W2754" t="str"><v>Other</v></cell><cell r="X2754" t="str"><v>1x1</v></cell></row><row r="2754"><cell r="AA2754"><v>43301</v></cell><cell r="AB2754" t="str"><v>AUS_gaPMG_AZR_AZR_Q1_19_Trial-Social</v></cell><cell r="AC2754"><v>21358568</v></cell><cell r="AD2754"><v>720191</v></cell><cell r="AE2754" t="str"><v>Facebook</v></cell><cell r="AF2754"><v>3654128</v></cell><cell r="AG2754" t="str"><v>Facebook»Audience & Interest Targeting»1x1»TextLink»OTH»DT»DYN»AUT»W»NA»SS»NA»Free Account Refresh- Device ChB</v></cell><cell r="AH2754"><v>224160777</v></cell><cell r="AI2754" t="str"><v>AzurePlatform_FreeAcctAppsFACEBOOKDeviceChB_AUS_1200x628_SOC_PLAT_EN_Trial_Standard_NA_SNU_T2_1</v></cell><cell r="AJ2754"><v>103048479</v></cell></row><row r="2755"><cell r="C2755" t="str"><v>43301Facebook»Audience & Interest Targeting»1x1»TextLink»OTH»DT»DYN»AUT»W»NA»SS»NA»Free Account Refresh- Illustration ChC</v></cell><cell r="D2755" t="str"><v>43301224160774</v></cell><cell r="E2755" t="str"><v>43301103186910on ChC</v></cell><cell r="F2755" t="str"><v>DCM</v></cell></row><row r="2755"><cell r="K2755" t="str"><v>July</v></cell><cell r="L2755"><v>43302</v></cell><cell r="M2755" t="str"><v>Tier 1</v></cell><cell r="N2755" t="str"><v>APAC</v></cell><cell r="O2755" t="str"><v>Australia</v></cell><cell r="P2755" t="str"><v>Trial</v></cell><cell r="Q2755" t="str"><v>Social</v></cell><cell r="R2755" t="str"><v>Azure</v></cell><cell r="S2755" t="str"><v>Apps & Infra</v></cell><cell r="T2755" t="str"><v>Developers & ITI's</v></cell><cell r="U2755" t="str"><v>Audience & Interest Targeting</v></cell><cell r="V2755" t="str"><v>Audience Targeting</v></cell><cell r="W2755" t="str"><v>Other</v></cell><cell r="X2755" t="str"><v>1x1</v></cell></row><row r="2755"><cell r="AA2755"><v>43301</v></cell><cell r="AB2755" t="str"><v>AUS_gaPMG_AZR_AZR_Q1_19_Trial-Social</v></cell><cell r="AC2755"><v>21358568</v></cell><cell r="AD2755"><v>720191</v></cell><cell r="AE2755" t="str"><v>Facebook</v></cell><cell r="AF2755"><v>3654128</v></cell><cell r="AG2755" t="str"><v>Facebook»Audience & Interest Targeting»1x1»TextLink»OTH»DT»DYN»AUT»W»NA»SS»NA»Free Account Refresh- Illustration ChC</v></cell><cell r="AH2755"><v>224160774</v></cell><cell r="AI2755" t="str"><v>AzurePlatform_FreeAcctAppsFACEBOOKIllustrationChC_AUS_1200x628_SOC_PLAT_EN_Trial_Standard_NA_SNU_T3_1</v></cell><cell r="AJ2755"><v>103186910</v></cell></row><row r="2756"><cell r="C2756" t="str"><v>43301Facebook»Audience & Interest Targeting»1x1»TextLink»OTH»DT»DYN»AUT»W»NA»SS»NA»Free Account Refresh- Lifestyle ChA</v></cell><cell r="D2756" t="str"><v>43301224160771</v></cell><cell r="E2756" t="str"><v>43301103048488le ChA</v></cell><cell r="F2756" t="str"><v>DCM</v></cell></row><row r="2756"><cell r="K2756" t="str"><v>July</v></cell><cell r="L2756"><v>43302</v></cell><cell r="M2756" t="str"><v>Tier 1</v></cell><cell r="N2756" t="str"><v>APAC</v></cell><cell r="O2756" t="str"><v>Australia</v></cell><cell r="P2756" t="str"><v>Trial</v></cell><cell r="Q2756" t="str"><v>Social</v></cell><cell r="R2756" t="str"><v>Azure</v></cell><cell r="S2756" t="str"><v>Apps & Infra</v></cell><cell r="T2756" t="str"><v>Developers & ITI's</v></cell><cell r="U2756" t="str"><v>Audience & Interest Targeting</v></cell><cell r="V2756" t="str"><v>Audience Targeting</v></cell><cell r="W2756" t="str"><v>Other</v></cell><cell r="X2756" t="str"><v>1x1</v></cell></row><row r="2756"><cell r="AA2756"><v>43301</v></cell><cell r="AB2756" t="str"><v>AUS_gaPMG_AZR_AZR_Q1_19_Trial-Social</v></cell><cell r="AC2756"><v>21358568</v></cell><cell r="AD2756"><v>720191</v></cell><cell r="AE2756" t="str"><v>Facebook</v></cell><cell r="AF2756"><v>3654128</v></cell><cell r="AG2756" t="str"><v>Facebook»Audience & Interest Targeting»1x1»TextLink»OTH»DT»DYN»AUT»W»NA»SS»NA»Free Account Refresh- Lifestyle ChA</v></cell><cell r="AH2756"><v>224160771</v></cell><cell r="AI2756" t="str"><v>AzurePlatform_FreeAcctAppsFACEBOOKLifestyleChA_AUS_1200x628_SOC_PLAT_EN_Trial_Standard_NA_SNU_T1_1</v></cell><cell r="AJ2756"><v>103048488</v></cell></row><row r="2757"><cell r="C2757" t="str"><v>43301Facebook»AZR»1x1»NA»EGV»ALL»DYN»AUT»D»All»SS»NA»Free Acc CTC - T1 - EN</v></cell><cell r="D2757" t="str"><v>43301223684451</v></cell><cell r="E2757" t="str"><v>433011029018821 - EN</v></cell><cell r="F2757" t="str"><v>DCM</v></cell><cell r="G2757" t="str"><v>https://signup.azure.com/</v></cell></row><row r="2757"><cell r="K2757" t="str"><v>July</v></cell><cell r="L2757"><v>43302</v></cell><cell r="M2757" t="str"><v>Tier 1</v></cell><cell r="N2757" t="str"><v>North America</v></cell><cell r="O2757" t="str"><v>Canada</v></cell><cell r="P2757" t="str"><v>Trial</v></cell><cell r="Q2757" t="str"><v>Social</v></cell><cell r="R2757" t="str"><v>Azure</v></cell><cell r="S2757" t="str"><v>Apps & Infra</v></cell><cell r="T2757" t="str"><v>Developers & ITI's</v></cell><cell r="U2757" t="str"><v>AZR</v></cell><cell r="V2757" t="str"><v>Audience Targeting</v></cell><cell r="W2757" t="str"><v>Engagement Video</v></cell><cell r="X2757" t="str"><v>1x1</v></cell></row><row r="2757"><cell r="AA2757"><v>43301</v></cell><cell r="AB2757" t="str"><v>CAN_gaPMG_AZR_AZR_Q1_19_Trial-Social</v></cell><cell r="AC2757"><v>21337220</v></cell><cell r="AD2757"><v>720192</v></cell><cell r="AE2757" t="str"><v>Facebook</v></cell><cell r="AF2757"><v>3654128</v></cell><cell r="AG2757" t="str"><v>Facebook»AZR»1x1»NA»EGV»ALL»DYN»AUT»D»All»SS»NA»Free Acc CTC - T1 - EN</v></cell><cell r="AH2757"><v>223684451</v></cell><cell r="AI2757" t="str"><v>AzurePlatform_FBCTCBasicMotion_CAN_10s_ISV_PLAT_English_Trial_Standard_STAN_TN_T1_1</v></cell><cell r="AJ2757"><v>102901882</v></cell></row><row r="2758"><cell r="C2758" t="str"><v>43301Facebook»AZR»1x1»NA»EGV»ALL»DYN»AUT»D»All»SS»NA»Free Acc CTC - T1 - FR</v></cell><cell r="D2758" t="str"><v>43301223691801</v></cell><cell r="E2758" t="str"><v>433011030533231 - FR</v></cell><cell r="F2758" t="str"><v>DCM</v></cell><cell r="G2758" t="str"><v>https://signup.azure.com/</v></cell></row><row r="2758"><cell r="K2758" t="str"><v>July</v></cell><cell r="L2758"><v>43302</v></cell><cell r="M2758" t="str"><v>Tier 1</v></cell><cell r="N2758" t="str"><v>North America</v></cell><cell r="O2758" t="str"><v>Canada</v></cell><cell r="P2758" t="str"><v>Trial</v></cell><cell r="Q2758" t="str"><v>Social</v></cell><cell r="R2758" t="str"><v>Azure</v></cell><cell r="S2758" t="str"><v>Apps & Infra</v></cell><cell r="T2758" t="str"><v>Developers & ITI's</v></cell><cell r="U2758" t="str"><v>AZR</v></cell><cell r="V2758" t="str"><v>Audience Targeting</v></cell><cell r="W2758" t="str"><v>Engagement Video</v></cell><cell r="X2758" t="str"><v>1x1</v></cell></row><row r="2758"><cell r="AA2758"><v>43301</v></cell><cell r="AB2758" t="str"><v>CAN_gaPMG_AZR_AZR_Q1_19_Trial-Social</v></cell><cell r="AC2758"><v>21337220</v></cell><cell r="AD2758"><v>720192</v></cell><cell r="AE2758" t="str"><v>Facebook</v></cell><cell r="AF2758"><v>3654128</v></cell><cell r="AG2758" t="str"><v>Facebook»AZR»1x1»NA»EGV»ALL»DYN»AUT»D»All»SS»NA»Free Acc CTC - T1 - FR</v></cell><cell r="AH2758"><v>223691801</v></cell><cell r="AI2758" t="str"><v>AzurePlatform_FBCTCBasicMotion_CAN_10s_ISV_PLAT_FR_Trial_Standard_STAN_TN_T1_1</v></cell><cell r="AJ2758"><v>103053323</v></cell></row><row r="2759"><cell r="C2759" t="str"><v>43301Facebook»AZR»1x1»NA»EGV»ALL»DYN»AUT»D»All»SS»NA»Free Acc CTC - T2 - EN</v></cell><cell r="D2759" t="str"><v>43301223691840</v></cell><cell r="E2759" t="str"><v>433011029029502 - EN</v></cell><cell r="F2759" t="str"><v>DCM</v></cell><cell r="G2759" t="str"><v>https://signup.azure.com/</v></cell></row><row r="2759"><cell r="K2759" t="str"><v>July</v></cell><cell r="L2759"><v>43302</v></cell><cell r="M2759" t="str"><v>Tier 1</v></cell><cell r="N2759" t="str"><v>North America</v></cell><cell r="O2759" t="str"><v>Canada</v></cell><cell r="P2759" t="str"><v>Trial</v></cell><cell r="Q2759" t="str"><v>Social</v></cell><cell r="R2759" t="str"><v>Azure</v></cell><cell r="S2759" t="str"><v>Apps & Infra</v></cell><cell r="T2759" t="str"><v>Developers & ITI's</v></cell><cell r="U2759" t="str"><v>AZR</v></cell><cell r="V2759" t="str"><v>Audience Targeting</v></cell><cell r="W2759" t="str"><v>Engagement Video</v></cell><cell r="X2759" t="str"><v>1x1</v></cell></row><row r="2759"><cell r="AA2759"><v>43301</v></cell><cell r="AB2759" t="str"><v>CAN_gaPMG_AZR_AZR_Q1_19_Trial-Social</v></cell><cell r="AC2759"><v>21337220</v></cell><cell r="AD2759"><v>720192</v></cell><cell r="AE2759" t="str"><v>Facebook</v></cell><cell r="AF2759"><v>3654128</v></cell><cell r="AG2759" t="str"><v>Facebook»AZR»1x1»NA»EGV»ALL»DYN»AUT»D»All»SS»NA»Free Acc CTC - T2 - EN</v></cell><cell r="AH2759"><v>223691840</v></cell><cell r="AI2759" t="str"><v>AzurePlatform_FBCTCBrandinMotion_CAN_12s_ISV_PLAT_English_Trial_Standard_STAN_TN_T2_1</v></cell><cell r="AJ2759"><v>102902950</v></cell></row><row r="2760"><cell r="C2760" t="str"><v>43301Facebook»AZR»1x1»NA»EGV»ALL»DYN»AUT»D»All»SS»NA»Free Acc CTC - T2 - FR</v></cell><cell r="D2760" t="str"><v>43301223691798</v></cell><cell r="E2760" t="str"><v>433011029163472 - FR</v></cell><cell r="F2760" t="str"><v>DCM</v></cell><cell r="G2760" t="str"><v>https://signup.azure.com/</v></cell></row><row r="2760"><cell r="K2760" t="str"><v>July</v></cell><cell r="L2760"><v>43302</v></cell><cell r="M2760" t="str"><v>Tier 1</v></cell><cell r="N2760" t="str"><v>North America</v></cell><cell r="O2760" t="str"><v>Canada</v></cell><cell r="P2760" t="str"><v>Trial</v></cell><cell r="Q2760" t="str"><v>Social</v></cell><cell r="R2760" t="str"><v>Azure</v></cell><cell r="S2760" t="str"><v>Apps & Infra</v></cell><cell r="T2760" t="str"><v>Developers & ITI's</v></cell><cell r="U2760" t="str"><v>AZR</v></cell><cell r="V2760" t="str"><v>Audience Targeting</v></cell><cell r="W2760" t="str"><v>Engagement Video</v></cell><cell r="X2760" t="str"><v>1x1</v></cell></row><row r="2760"><cell r="AA2760"><v>43301</v></cell><cell r="AB2760" t="str"><v>CAN_gaPMG_AZR_AZR_Q1_19_Trial-Social</v></cell><cell r="AC2760"><v>21337220</v></cell><cell r="AD2760"><v>720192</v></cell><cell r="AE2760" t="str"><v>Facebook</v></cell><cell r="AF2760"><v>3654128</v></cell><cell r="AG2760" t="str"><v>Facebook»AZR»1x1»NA»EGV»ALL»DYN»AUT»D»All»SS»NA»Free Acc CTC - T2 - FR</v></cell><cell r="AH2760"><v>223691798</v></cell><cell r="AI2760" t="str"><v>AzurePlatform_FBCTCBrandinMotion_CAN_12s_ISV_PLAT_FR_Trial_Standard_STAN_TN_T2_1</v></cell><cell r="AJ2760"><v>102916347</v></cell></row><row r="2761"><cell r="C2761" t="str"><v>43301Facebook»AZR»1x1»NA»EGV»ALL»DYN»AUT»D»All»SS»NA»Free Acc CTC - T4 - EN</v></cell><cell r="D2761" t="str"><v>43301223691837</v></cell><cell r="E2761" t="str"><v>433011030533144 - EN</v></cell><cell r="F2761" t="str"><v>DCM</v></cell><cell r="G2761" t="str"><v>https://signup.azure.com/</v></cell></row><row r="2761"><cell r="K2761" t="str"><v>July</v></cell><cell r="L2761"><v>43302</v></cell><cell r="M2761" t="str"><v>Tier 1</v></cell><cell r="N2761" t="str"><v>North America</v></cell><cell r="O2761" t="str"><v>Canada</v></cell><cell r="P2761" t="str"><v>Trial</v></cell><cell r="Q2761" t="str"><v>Social</v></cell><cell r="R2761" t="str"><v>Azure</v></cell><cell r="S2761" t="str"><v>Apps & Infra</v></cell><cell r="T2761" t="str"><v>Developers & ITI's</v></cell><cell r="U2761" t="str"><v>AZR</v></cell><cell r="V2761" t="str"><v>Audience Targeting</v></cell><cell r="W2761" t="str"><v>Engagement Video</v></cell><cell r="X2761" t="str"><v>1x1</v></cell></row><row r="2761"><cell r="AA2761"><v>43301</v></cell><cell r="AB2761" t="str"><v>CAN_gaPMG_AZR_AZR_Q1_19_Trial-Social</v></cell><cell r="AC2761"><v>21337220</v></cell><cell r="AD2761"><v>720192</v></cell><cell r="AE2761" t="str"><v>Facebook</v></cell><cell r="AF2761"><v>3654128</v></cell><cell r="AG2761" t="str"><v>Facebook»AZR»1x1»NA»EGV»ALL»DYN»AUT»D»All»SS»NA»Free Acc CTC - T4 - EN</v></cell><cell r="AH2761"><v>223691837</v></cell><cell r="AI2761" t="str"><v>AzurePlatform_FBCTCBenefit2inMotion_CAN_14s_ISV_PLAT_English_Trial_Standard_STAN_TN_T4_1</v></cell><cell r="AJ2761"><v>103053314</v></cell></row><row r="2762"><cell r="C2762" t="str"><v>43301Facebook»AZR»1x1»NA»EGV»ALL»DYN»AUT»D»All»SS»NA»Free Acc CTC - T4 - FR</v></cell><cell r="D2762" t="str"><v>43301223691795</v></cell><cell r="E2762" t="str"><v>433011029006884 - FR</v></cell><cell r="F2762" t="str"><v>DCM</v></cell><cell r="G2762" t="str"><v>https://signup.azure.com/</v></cell></row><row r="2762"><cell r="K2762" t="str"><v>July</v></cell><cell r="L2762"><v>43302</v></cell><cell r="M2762" t="str"><v>Tier 1</v></cell><cell r="N2762" t="str"><v>North America</v></cell><cell r="O2762" t="str"><v>Canada</v></cell><cell r="P2762" t="str"><v>Trial</v></cell><cell r="Q2762" t="str"><v>Social</v></cell><cell r="R2762" t="str"><v>Azure</v></cell><cell r="S2762" t="str"><v>Apps & Infra</v></cell><cell r="T2762" t="str"><v>Developers & ITI's</v></cell><cell r="U2762" t="str"><v>AZR</v></cell><cell r="V2762" t="str"><v>Audience Targeting</v></cell><cell r="W2762" t="str"><v>Engagement Video</v></cell><cell r="X2762" t="str"><v>1x1</v></cell></row><row r="2762"><cell r="AA2762"><v>43301</v></cell><cell r="AB2762" t="str"><v>CAN_gaPMG_AZR_AZR_Q1_19_Trial-Social</v></cell><cell r="AC2762"><v>21337220</v></cell><cell r="AD2762"><v>720192</v></cell><cell r="AE2762" t="str"><v>Facebook</v></cell><cell r="AF2762"><v>3654128</v></cell><cell r="AG2762" t="str"><v>Facebook»AZR»1x1»NA»EGV»ALL»DYN»AUT»D»All»SS»NA»Free Acc CTC - T4 - FR</v></cell><cell r="AH2762"><v>223691795</v></cell><cell r="AI2762" t="str"><v>AzurePlatform_FBCTCBenefit2inMotion_CAN_14s_ISV_PLAT_FR_Trial_Standard_STAN_TN_T4_1</v></cell><cell r="AJ2762"><v>102900688</v></cell></row><row r="2763"><cell r="C2763" t="str"><v>43301Facebook»AZR»1x1»NA»SOC»ALL»DYN»PRO»D»All»SS»NA»Canvas - Buy Now - FR</v></cell><cell r="D2763" t="str"><v>43301225322324</v></cell><cell r="E2763" t="str"><v>43301103789915w - FR</v></cell><cell r="F2763" t="str"><v>DCM</v></cell><cell r="G2763" t="str"><v>https://azure.microsoft.com/fr-ca/pricing/purchase-options/</v></cell></row><row r="2763"><cell r="K2763" t="str"><v>July</v></cell><cell r="L2763"><v>43302</v></cell><cell r="M2763" t="str"><v>Tier 1</v></cell><cell r="N2763" t="str"><v>North America</v></cell><cell r="O2763" t="str"><v>Canada</v></cell><cell r="P2763" t="str"><v>Trial</v></cell><cell r="Q2763" t="str"><v>Social</v></cell><cell r="R2763" t="str"><v>Azure</v></cell><cell r="S2763" t="str"><v>Apps & Infra</v></cell><cell r="T2763" t="str"><v>Developers & ITI's</v></cell><cell r="U2763" t="str"><v>AZR</v></cell><cell r="V2763" t="str"><v>Prospecting</v></cell><cell r="W2763" t="str"><v>Social</v></cell><cell r="X2763" t="str"><v>1x1</v></cell></row><row r="2763"><cell r="AA2763"><v>43301</v></cell><cell r="AB2763" t="str"><v>CAN_gaPMG_AZR_AZR_Q1_19_Trial-Social</v></cell><cell r="AC2763"><v>21337220</v></cell><cell r="AD2763"><v>720192</v></cell><cell r="AE2763" t="str"><v>Facebook</v></cell><cell r="AF2763"><v>3654128</v></cell><cell r="AG2763" t="str"><v>Facebook»AZR»1x1»NA»SOC»ALL»DYN»PRO»D»All»SS»NA»Canvas - Buy Now - FR</v></cell><cell r="AH2763"><v>225322324</v></cell><cell r="AI2763" t="str"><v>AzurePlatform_FBCTCcanvaspage-BuyNowCTA-Img3_CAN_1080x162_SOC_Plat_French_NA_Standard_NA_BN_T3_1</v></cell><cell r="AJ2763"><v>103789915</v></cell></row><row r="2764"><cell r="C2764" t="str"><v>43301Facebook»AZR»1x1»NA»SOC»ALL»DYN»PRO»D»All»SS»NA»Canvas - Start Free - EN</v></cell><cell r="D2764" t="str"><v>43301225252365</v></cell><cell r="E2764" t="str"><v>43301103807590e - EN</v></cell><cell r="F2764" t="str"><v>DCM</v></cell><cell r="G2764" t="str"><v>https://signup.azure.com/signup?offer=ms-azr-0044p&appId=102&ref=paidmedia-social-fb&redirectURL=https%3a%2f%2fazure.microsoft.com%2fen-ca%2fget-started%2fwelcome-to-azure%2f&l=en-ca&correlationId=ead86c34-1f10-49dd-a72b-6918462a2cbf</v></cell></row><row r="2764"><cell r="K2764" t="str"><v>July</v></cell><cell r="L2764"><v>43302</v></cell><cell r="M2764" t="str"><v>Tier 1</v></cell><cell r="N2764" t="str"><v>North America</v></cell><cell r="O2764" t="str"><v>Canada</v></cell><cell r="P2764" t="str"><v>Trial</v></cell><cell r="Q2764" t="str"><v>Social</v></cell><cell r="R2764" t="str"><v>Azure</v></cell><cell r="S2764" t="str"><v>Apps & Infra</v></cell><cell r="T2764" t="str"><v>Developers & ITI's</v></cell><cell r="U2764" t="str"><v>AZR</v></cell><cell r="V2764" t="str"><v>Prospecting</v></cell><cell r="W2764" t="str"><v>Social</v></cell><cell r="X2764" t="str"><v>1x1</v></cell></row><row r="2764"><cell r="AA2764"><v>43301</v></cell><cell r="AB2764" t="str"><v>CAN_gaPMG_AZR_AZR_Q1_19_Trial-Social</v></cell><cell r="AC2764"><v>21337220</v></cell><cell r="AD2764"><v>720192</v></cell><cell r="AE2764" t="str"><v>Facebook</v></cell><cell r="AF2764"><v>3654128</v></cell><cell r="AG2764" t="str"><v>Facebook»AZR»1x1»NA»SOC»ALL»DYN»PRO»D»All»SS»NA»Canvas - Start Free - EN</v></cell><cell r="AH2764"><v>225252365</v></cell><cell r="AI2764" t="str"><v>AzurePlatform_FBCTCcanvaspage-StartFreeCTA-Img2_CAN_1080x143 _SOC_Plat_English_NA_Standard_NA_NA_T2_1</v></cell><cell r="AJ2764"><v>103807590</v></cell></row><row r="2765"><cell r="C2765" t="str"><v>43301Facebook»AZR»1x1»NA»SOC»ALL»DYN»PRO»D»All»SS»NA»Canvas - Start Free - FR</v></cell><cell r="D2765" t="str"><v>43301225525936</v></cell><cell r="E2765" t="str"><v>43301103902551e - FR</v></cell><cell r="F2765" t="str"><v>DCM</v></cell><cell r="G2765" t="str"><v>https://signup.azure.com/signup?offer=ms-azr-0044p&appId=102&ref=paidmedia-social-fb&redirectURL=https%3a%2f%2fazure.microsoft.com%2ffr-ca%2fget-started%2fwelcome-to-azure%2f&l=fr-ca&correlationId=ead86c34-1f10-49dd-a72b-6918462a2cbf</v></cell></row><row r="2765"><cell r="K2765" t="str"><v>July</v></cell><cell r="L2765"><v>43302</v></cell><cell r="M2765" t="str"><v>Tier 1</v></cell><cell r="N2765" t="str"><v>North America</v></cell><cell r="O2765" t="str"><v>Canada</v></cell><cell r="P2765" t="str"><v>Trial</v></cell><cell r="Q2765" t="str"><v>Social</v></cell><cell r="R2765" t="str"><v>Azure</v></cell><cell r="S2765" t="str"><v>Apps & Infra</v></cell><cell r="T2765" t="str"><v>Developers & ITI's</v></cell><cell r="U2765" t="str"><v>AZR</v></cell><cell r="V2765" t="str"><v>Prospecting</v></cell><cell r="W2765" t="str"><v>Social</v></cell><cell r="X2765" t="str"><v>1x1</v></cell></row><row r="2765"><cell r="AA2765"><v>43301</v></cell><cell r="AB2765" t="str"><v>CAN_gaPMG_AZR_AZR_Q1_19_Trial-Social</v></cell><cell r="AC2765"><v>21337220</v></cell><cell r="AD2765"><v>720192</v></cell><cell r="AE2765" t="str"><v>Facebook</v></cell><cell r="AF2765"><v>3654128</v></cell><cell r="AG2765" t="str"><v>Facebook»AZR»1x1»NA»SOC»ALL»DYN»PRO»D»All»SS»NA»Canvas - Start Free - FR</v></cell><cell r="AH2765"><v>225525936</v></cell><cell r="AI2765" t="str"><v>AzurePlatform_FBCTCcanvaspage-StartFreeCTA-Img2_CAN_1080x143 _SOC_Plat_French_NA_Standard_NA_NA_T2_1</v></cell><cell r="AJ2765"><v>103902551</v></cell></row><row r="2766"><cell r="C2766" t="str"><v>43301Facebook»AZR»1x1»SocialBan»NA»ALL»DYN»AUT»D»All»SS»NA»Free Acc Refresh - T1 - EN</v></cell><cell r="D2766" t="str"><v>43301223691804</v></cell><cell r="E2766" t="str"><v>433011030587171 - EN</v></cell><cell r="F2766" t="str"><v>DCM</v></cell><cell r="G2766" t="str"><v>https://azure.microsoft.com/en-CA/free/search/</v></cell></row><row r="2766"><cell r="K2766" t="str"><v>July</v></cell><cell r="L2766"><v>43302</v></cell><cell r="M2766" t="str"><v>Tier 1</v></cell><cell r="N2766" t="str"><v>North America</v></cell><cell r="O2766" t="str"><v>Canada</v></cell><cell r="P2766" t="str"><v>Trial</v></cell><cell r="Q2766" t="str"><v>Social</v></cell><cell r="R2766" t="str"><v>Azure</v></cell><cell r="S2766" t="str"><v>Apps & Infra</v></cell><cell r="T2766" t="str"><v>Developers & ITI's</v></cell><cell r="U2766" t="str"><v>AZR</v></cell><cell r="V2766" t="str"><v>Audience Targeting</v></cell><cell r="W2766" t="str"><v>NotApplicable</v></cell><cell r="X2766" t="str"><v>1x1</v></cell></row><row r="2766"><cell r="AA2766"><v>43301</v></cell><cell r="AB2766" t="str"><v>CAN_gaPMG_AZR_AZR_Q1_19_Trial-Social</v></cell><cell r="AC2766"><v>21337220</v></cell><cell r="AD2766"><v>720192</v></cell><cell r="AE2766" t="str"><v>Facebook</v></cell><cell r="AF2766"><v>3654128</v></cell><cell r="AG2766" t="str"><v>Facebook»AZR»1x1»SocialBan»NA»ALL»DYN»AUT»D»All»SS»NA»Free Acc Refresh - T1 - EN</v></cell><cell r="AH2766"><v>223691804</v></cell><cell r="AI2766" t="str"><v>AzurePlatform_FreeAcctAppsFACEBOOKLifestyleChA_CAN_1200x628_SOC_PLAT_EN_Trial_Standard_NA_SU_T1_1.png</v></cell><cell r="AJ2766"><v>103058717</v></cell></row><row r="2767"><cell r="C2767" t="str"><v>43301Facebook»AZR»1x1»SocialBan»NA»ALL»DYN»AUT»D»All»SS»NA»Free Acc Refresh - T2 - EN</v></cell><cell r="D2767" t="str"><v>43301223691810</v></cell><cell r="E2767" t="str"><v>433011030587112 - EN</v></cell><cell r="F2767" t="str"><v>DCM</v></cell><cell r="G2767" t="str"><v>https://azure.microsoft.com/en-CA/free/search/</v></cell></row><row r="2767"><cell r="K2767" t="str"><v>July</v></cell><cell r="L2767"><v>43302</v></cell><cell r="M2767" t="str"><v>Tier 1</v></cell><cell r="N2767" t="str"><v>North America</v></cell><cell r="O2767" t="str"><v>Canada</v></cell><cell r="P2767" t="str"><v>Trial</v></cell><cell r="Q2767" t="str"><v>Social</v></cell><cell r="R2767" t="str"><v>Azure</v></cell><cell r="S2767" t="str"><v>Apps & Infra</v></cell><cell r="T2767" t="str"><v>Developers & ITI's</v></cell><cell r="U2767" t="str"><v>AZR</v></cell><cell r="V2767" t="str"><v>Audience Targeting</v></cell><cell r="W2767" t="str"><v>NotApplicable</v></cell><cell r="X2767" t="str"><v>1x1</v></cell></row><row r="2767"><cell r="AA2767"><v>43301</v></cell><cell r="AB2767" t="str"><v>CAN_gaPMG_AZR_AZR_Q1_19_Trial-Social</v></cell><cell r="AC2767"><v>21337220</v></cell><cell r="AD2767"><v>720192</v></cell><cell r="AE2767" t="str"><v>Facebook</v></cell><cell r="AF2767"><v>3654128</v></cell><cell r="AG2767" t="str"><v>Facebook»AZR»1x1»SocialBan»NA»ALL»DYN»AUT»D»All»SS»NA»Free Acc Refresh - T2 - EN</v></cell><cell r="AH2767"><v>223691810</v></cell><cell r="AI2767" t="str"><v>AzurePlatform_FreeAcctAppsFACEBOOKDeviceChB_CAN_1200x628_SOC_PLAT_EN_Trial_Standard_NA_SU_T2_1.png</v></cell><cell r="AJ2767"><v>103058711</v></cell></row><row r="2768"><cell r="C2768" t="str"><v>43301Facebook»AZR»1x1»SocialBan»NA»ALL»DYN»AUT»D»All»SS»NA»Free Acc Refresh - T2 - FR</v></cell><cell r="D2768" t="str"><v>43301223691768</v></cell><cell r="E2768" t="str"><v>433011029029712 - FR</v></cell><cell r="F2768" t="str"><v>DCM</v></cell><cell r="G2768" t="str"><v>https://azure.microsoft.com/fr-ca/free/search/</v></cell></row><row r="2768"><cell r="K2768" t="str"><v>July</v></cell><cell r="L2768"><v>43302</v></cell><cell r="M2768" t="str"><v>Tier 1</v></cell><cell r="N2768" t="str"><v>North America</v></cell><cell r="O2768" t="str"><v>Canada</v></cell><cell r="P2768" t="str"><v>Trial</v></cell><cell r="Q2768" t="str"><v>Social</v></cell><cell r="R2768" t="str"><v>Azure</v></cell><cell r="S2768" t="str"><v>Apps & Infra</v></cell><cell r="T2768" t="str"><v>Developers & ITI's</v></cell><cell r="U2768" t="str"><v>AZR</v></cell><cell r="V2768" t="str"><v>Audience Targeting</v></cell><cell r="W2768" t="str"><v>NotApplicable</v></cell><cell r="X2768" t="str"><v>1x1</v></cell></row><row r="2768"><cell r="AA2768"><v>43301</v></cell><cell r="AB2768" t="str"><v>CAN_gaPMG_AZR_AZR_Q1_19_Trial-Social</v></cell><cell r="AC2768"><v>21337220</v></cell><cell r="AD2768"><v>720192</v></cell><cell r="AE2768" t="str"><v>Facebook</v></cell><cell r="AF2768"><v>3654128</v></cell><cell r="AG2768" t="str"><v>Facebook»AZR»1x1»SocialBan»NA»ALL»DYN»AUT»D»All»SS»NA»Free Acc Refresh - T2 - FR</v></cell><cell r="AH2768"><v>223691768</v></cell><cell r="AI2768" t="str"><v>AzurePlatform_FreeAcctAppsFACEBOOKDeviceChB_CAN_1200x628_SOC_PLAT_FR_Trial_Standard_NA_SU_T2_1.png</v></cell><cell r="AJ2768"><v>102902971</v></cell></row><row r="2769"><cell r="C2769" t="str"><v>43301Facebook»AZR»1x1»SocialBan»NA»ALL»DYN»AUT»D»All»SS»NA»Free Acc Refresh - T3 - EN</v></cell><cell r="D2769" t="str"><v>43301223691807</v></cell><cell r="E2769" t="str"><v>433011029006853 - EN</v></cell><cell r="F2769" t="str"><v>DCM</v></cell><cell r="G2769" t="str"><v>https://azure.microsoft.com/en-CA/free/search/</v></cell></row><row r="2769"><cell r="K2769" t="str"><v>July</v></cell><cell r="L2769"><v>43302</v></cell><cell r="M2769" t="str"><v>Tier 1</v></cell><cell r="N2769" t="str"><v>North America</v></cell><cell r="O2769" t="str"><v>Canada</v></cell><cell r="P2769" t="str"><v>Trial</v></cell><cell r="Q2769" t="str"><v>Social</v></cell><cell r="R2769" t="str"><v>Azure</v></cell><cell r="S2769" t="str"><v>Apps & Infra</v></cell><cell r="T2769" t="str"><v>Developers & ITI's</v></cell><cell r="U2769" t="str"><v>AZR</v></cell><cell r="V2769" t="str"><v>Audience Targeting</v></cell><cell r="W2769" t="str"><v>NotApplicable</v></cell><cell r="X2769" t="str"><v>1x1</v></cell></row><row r="2769"><cell r="AA2769"><v>43301</v></cell><cell r="AB2769" t="str"><v>CAN_gaPMG_AZR_AZR_Q1_19_Trial-Social</v></cell><cell r="AC2769"><v>21337220</v></cell><cell r="AD2769"><v>720192</v></cell><cell r="AE2769" t="str"><v>Facebook</v></cell><cell r="AF2769"><v>3654128</v></cell><cell r="AG2769" t="str"><v>Facebook»AZR»1x1»SocialBan»NA»ALL»DYN»AUT»D»All»SS»NA»Free Acc Refresh - T3 - EN</v></cell><cell r="AH2769"><v>223691807</v></cell><cell r="AI2769" t="str"><v>AzurePlatform_FreeAcctAppsFACEBOOKIllustrationChC_CAN_1200x628_SOC_PLAT_EN_Trial_Standard_NA_SU_T3_1.png</v></cell><cell r="AJ2769"><v>102900685</v></cell></row><row r="2770"><cell r="C2770" t="str"><v>43301Facebook»AZR»1x1»SocialBan»NA»ALL»DYN»AUT»D»All»SS»NA»Free Acc Refresh - T3 - FR</v></cell><cell r="D2770" t="str"><v>43301223691765</v></cell><cell r="E2770" t="str"><v>433011030533323 - FR</v></cell><cell r="F2770" t="str"><v>DCM</v></cell><cell r="G2770" t="str"><v>https://azure.microsoft.com/fr-ca/free/search/</v></cell></row><row r="2770"><cell r="K2770" t="str"><v>July</v></cell><cell r="L2770"><v>43302</v></cell><cell r="M2770" t="str"><v>Tier 1</v></cell><cell r="N2770" t="str"><v>North America</v></cell><cell r="O2770" t="str"><v>Canada</v></cell><cell r="P2770" t="str"><v>Trial</v></cell><cell r="Q2770" t="str"><v>Social</v></cell><cell r="R2770" t="str"><v>Azure</v></cell><cell r="S2770" t="str"><v>Apps & Infra</v></cell><cell r="T2770" t="str"><v>Developers & ITI's</v></cell><cell r="U2770" t="str"><v>AZR</v></cell><cell r="V2770" t="str"><v>Audience Targeting</v></cell><cell r="W2770" t="str"><v>NotApplicable</v></cell><cell r="X2770" t="str"><v>1x1</v></cell></row><row r="2770"><cell r="AA2770"><v>43301</v></cell><cell r="AB2770" t="str"><v>CAN_gaPMG_AZR_AZR_Q1_19_Trial-Social</v></cell><cell r="AC2770"><v>21337220</v></cell><cell r="AD2770"><v>720192</v></cell><cell r="AE2770" t="str"><v>Facebook</v></cell><cell r="AF2770"><v>3654128</v></cell><cell r="AG2770" t="str"><v>Facebook»AZR»1x1»SocialBan»NA»ALL»DYN»AUT»D»All»SS»NA»Free Acc Refresh - T3 - FR</v></cell><cell r="AH2770"><v>223691765</v></cell><cell r="AI2770" t="str"><v>AzurePlatform_FreeAcctAppsFACEBOOKIllustrationChC_CAN_1200x628_SOC_PLAT_FR_Trial_Standard_NA_SU_T3_1.png</v></cell><cell r="AJ2770"><v>103053332</v></cell></row><row r="2771"><cell r="C2771" t="str"><v>43301Facebook»AZR»1x1»SocialBan»NA»ALL»DYN»AUT»D»All»SS»NA»Free Acc Refresh - T4 - EN</v></cell><cell r="D2771" t="str"><v>43301223691813</v></cell><cell r="E2771" t="str"><v>433011030533204 - EN</v></cell><cell r="F2771" t="str"><v>DCM</v></cell><cell r="G2771" t="str"><v>https://azure.microsoft.com/en-CA/free/search/</v></cell></row><row r="2771"><cell r="K2771" t="str"><v>July</v></cell><cell r="L2771"><v>43302</v></cell><cell r="M2771" t="str"><v>Tier 1</v></cell><cell r="N2771" t="str"><v>North America</v></cell><cell r="O2771" t="str"><v>Canada</v></cell><cell r="P2771" t="str"><v>Trial</v></cell><cell r="Q2771" t="str"><v>Social</v></cell><cell r="R2771" t="str"><v>Azure</v></cell><cell r="S2771" t="str"><v>Apps & Infra</v></cell><cell r="T2771" t="str"><v>Developers & ITI's</v></cell><cell r="U2771" t="str"><v>AZR</v></cell><cell r="V2771" t="str"><v>Audience Targeting</v></cell><cell r="W2771" t="str"><v>NotApplicable</v></cell><cell r="X2771" t="str"><v>1x1</v></cell></row><row r="2771"><cell r="AA2771"><v>43301</v></cell><cell r="AB2771" t="str"><v>CAN_gaPMG_AZR_AZR_Q1_19_Trial-Social</v></cell><cell r="AC2771"><v>21337220</v></cell><cell r="AD2771"><v>720192</v></cell><cell r="AE2771" t="str"><v>Facebook</v></cell><cell r="AF2771"><v>3654128</v></cell><cell r="AG2771" t="str"><v>Facebook»AZR»1x1»SocialBan»NA»ALL»DYN»AUT»D»All»SS»NA»Free Acc Refresh - T4 - EN</v></cell><cell r="AH2771"><v>223691813</v></cell><cell r="AI2771" t="str"><v>AzurePlatform_FreeAcctAppsFACEBOOK200CreditChD_CAN_1200x628_SOC_PLAT_EN_Trial_Standard_NA_SU_T4_1.png</v></cell><cell r="AJ2771"><v>103053320</v></cell></row><row r="2772"><cell r="C2772" t="str"><v>43301Facebook»AZR»1x1»SocialBan»NA»ALL»DYN»AUT»D»All»SS»NA»Free Acc Refresh - T4 - FR</v></cell><cell r="D2772" t="str"><v>43301223691771</v></cell><cell r="E2772" t="str"><v>433011029029684 - FR</v></cell><cell r="F2772" t="str"><v>DCM</v></cell><cell r="G2772" t="str"><v>https://azure.microsoft.com/fr-ca/free/search/</v></cell></row><row r="2772"><cell r="K2772" t="str"><v>July</v></cell><cell r="L2772"><v>43302</v></cell><cell r="M2772" t="str"><v>Tier 1</v></cell><cell r="N2772" t="str"><v>North America</v></cell><cell r="O2772" t="str"><v>Canada</v></cell><cell r="P2772" t="str"><v>Trial</v></cell><cell r="Q2772" t="str"><v>Social</v></cell><cell r="R2772" t="str"><v>Azure</v></cell><cell r="S2772" t="str"><v>Apps & Infra</v></cell><cell r="T2772" t="str"><v>Developers & ITI's</v></cell><cell r="U2772" t="str"><v>AZR</v></cell><cell r="V2772" t="str"><v>Audience Targeting</v></cell><cell r="W2772" t="str"><v>NotApplicable</v></cell><cell r="X2772" t="str"><v>1x1</v></cell></row><row r="2772"><cell r="AA2772"><v>43301</v></cell><cell r="AB2772" t="str"><v>CAN_gaPMG_AZR_AZR_Q1_19_Trial-Social</v></cell><cell r="AC2772"><v>21337220</v></cell><cell r="AD2772"><v>720192</v></cell><cell r="AE2772" t="str"><v>Facebook</v></cell><cell r="AF2772"><v>3654128</v></cell><cell r="AG2772" t="str"><v>Facebook»AZR»1x1»SocialBan»NA»ALL»DYN»AUT»D»All»SS»NA»Free Acc Refresh - T4 - FR</v></cell><cell r="AH2772"><v>223691771</v></cell><cell r="AI2772" t="str"><v>AzurePlatform_FreeAcctAppsFACEBOOK200CreditChD_CAN_1200x628_SOC_PLAT_FR_Trial_Standard_NA_SU_T4_1.png</v></cell><cell r="AJ2772"><v>102902968</v></cell></row><row r="2773"><cell r="C2773" t="str"><v>43301Facebook»AZR»1x1»SocialBan»NA»ALL»DYN»AUT»D»All»SS»NA»Free Acc Refresh - T5 - FR</v></cell><cell r="D2773" t="str"><v>43301223691774</v></cell><cell r="E2773" t="str"><v>433011029163565 - FR</v></cell><cell r="F2773" t="str"><v>DCM</v></cell><cell r="G2773" t="str"><v>https://azure.microsoft.com/fr-ca/free/search/</v></cell></row><row r="2773"><cell r="K2773" t="str"><v>July</v></cell><cell r="L2773"><v>43302</v></cell><cell r="M2773" t="str"><v>Tier 1</v></cell><cell r="N2773" t="str"><v>North America</v></cell><cell r="O2773" t="str"><v>Canada</v></cell><cell r="P2773" t="str"><v>Trial</v></cell><cell r="Q2773" t="str"><v>Social</v></cell><cell r="R2773" t="str"><v>Azure</v></cell><cell r="S2773" t="str"><v>Apps & Infra</v></cell><cell r="T2773" t="str"><v>Developers & ITI's</v></cell><cell r="U2773" t="str"><v>AZR</v></cell><cell r="V2773" t="str"><v>Audience Targeting</v></cell><cell r="W2773" t="str"><v>NotApplicable</v></cell><cell r="X2773" t="str"><v>1x1</v></cell></row><row r="2773"><cell r="AA2773"><v>43301</v></cell><cell r="AB2773" t="str"><v>CAN_gaPMG_AZR_AZR_Q1_19_Trial-Social</v></cell><cell r="AC2773"><v>21337220</v></cell><cell r="AD2773"><v>720192</v></cell><cell r="AE2773" t="str"><v>Facebook</v></cell><cell r="AF2773"><v>3654128</v></cell><cell r="AG2773" t="str"><v>Facebook»AZR»1x1»SocialBan»NA»ALL»DYN»AUT»D»All»SS»NA»Free Acc Refresh - T5 - FR</v></cell><cell r="AH2773"><v>223691774</v></cell><cell r="AI2773" t="str"><v>AzurePlatform_FreeAcctAppsFACEBOOK12monthsChE_CAN_1200x628_SOC_PLAT_FR_Trial_Standard_NA_SU_T5_1.png</v></cell><cell r="AJ2773"><v>102916356</v></cell></row><row r="2774"><cell r="C2774" t="str"><v>43301Facebook»AZR»1x1»SocialBan»NA»ALL»DYN»RT»D»All»SS»NA» Free Account Retargeting OSS - T2 - EN</v></cell><cell r="D2774" t="str"><v>43301223691831</v></cell><cell r="E2774" t="str"><v>433011029138002 - EN</v></cell><cell r="F2774" t="str"><v>DCM</v></cell><cell r="G2774" t="str"><v>https://azure.microsoft.com/en-ca/free/open-source/search/</v></cell></row><row r="2774"><cell r="K2774" t="str"><v>July</v></cell><cell r="L2774"><v>43302</v></cell><cell r="M2774" t="str"><v>Tier 1</v></cell><cell r="N2774" t="str"><v>North America</v></cell><cell r="O2774" t="str"><v>Canada</v></cell><cell r="P2774" t="str"><v>Trial</v></cell><cell r="Q2774" t="str"><v>Social</v></cell><cell r="R2774" t="str"><v>Azure</v></cell><cell r="S2774" t="str"><v>Apps & Infra</v></cell><cell r="T2774" t="str"><v>Developers & ITI's</v></cell><cell r="U2774" t="str"><v>AZR</v></cell><cell r="V2774" t="str"><v>Retargeting</v></cell><cell r="W2774" t="str"><v>NotApplicable</v></cell><cell r="X2774" t="str"><v>1x1</v></cell></row><row r="2774"><cell r="AA2774"><v>43301</v></cell><cell r="AB2774" t="str"><v>CAN_gaPMG_AZR_AZR_Q1_19_Trial-Social</v></cell><cell r="AC2774"><v>21337220</v></cell><cell r="AD2774"><v>720192</v></cell><cell r="AE2774" t="str"><v>Facebook</v></cell><cell r="AF2774"><v>3654128</v></cell><cell r="AG2774" t="str"><v>Facebook»AZR»1x1»SocialBan»NA»ALL»DYN»RT»D»All»SS»NA» Free Account Retargeting OSS - T2 - EN</v></cell><cell r="AH2774"><v>223691831</v></cell><cell r="AI2774" t="str"><v>AzurePlatform_FreeAcctRetargetingOSSFB-Logos-ChG_CAN_1200x628_SOC_Plat_EN_Free Account_Standard_NA_SU_T2_1</v></cell><cell r="AJ2774"><v>102913800</v></cell></row><row r="2775"><cell r="C2775" t="str"><v>43301Facebook»AZR»1x1»SocialBan»NA»ALL»DYN»RT»D»All»SS»NA»Free Account Retargeting VM - T1 - EN</v></cell><cell r="D2775" t="str"><v>43301223691825</v></cell><cell r="E2775" t="str"><v>433011029163381 - EN</v></cell><cell r="F2775" t="str"><v>DCM</v></cell><cell r="G2775" t="str"><v>https://azure.microsoft.com/en-ca/free/virtual-machines/search/</v></cell></row><row r="2775"><cell r="K2775" t="str"><v>July</v></cell><cell r="L2775"><v>43302</v></cell><cell r="M2775" t="str"><v>Tier 1</v></cell><cell r="N2775" t="str"><v>North America</v></cell><cell r="O2775" t="str"><v>Canada</v></cell><cell r="P2775" t="str"><v>Trial</v></cell><cell r="Q2775" t="str"><v>Social</v></cell><cell r="R2775" t="str"><v>Azure</v></cell><cell r="S2775" t="str"><v>Apps & Infra</v></cell><cell r="T2775" t="str"><v>Developers & ITI's</v></cell><cell r="U2775" t="str"><v>AZR</v></cell><cell r="V2775" t="str"><v>Retargeting</v></cell><cell r="W2775" t="str"><v>NotApplicable</v></cell><cell r="X2775" t="str"><v>1x1</v></cell></row><row r="2775"><cell r="AA2775"><v>43301</v></cell><cell r="AB2775" t="str"><v>CAN_gaPMG_AZR_AZR_Q1_19_Trial-Social</v></cell><cell r="AC2775"><v>21337220</v></cell><cell r="AD2775"><v>720192</v></cell><cell r="AE2775" t="str"><v>Facebook</v></cell><cell r="AF2775"><v>3654128</v></cell><cell r="AG2775" t="str"><v>Facebook»AZR»1x1»SocialBan»NA»ALL»DYN»RT»D»All»SS»NA»Free Account Retargeting VM - T1 - EN</v></cell><cell r="AH2775"><v>223691825</v></cell><cell r="AI2775" t="str"><v>AzurePlatform_FreeAcctRetargetingVMFB-750Hrs-ChD_CAN_1200x628_SOC_Plat_EN_Free Account_Standard_NA_SU_T1_1</v></cell><cell r="AJ2775"><v>102916338</v></cell></row><row r="2776"><cell r="C2776" t="str"><v>43301Facebook»AZR»1x1»SocialBan»NA»ALL»DYN»RT»D»All»SS»NA»Free Account Retargeting VM - T2 - EN</v></cell><cell r="D2776" t="str"><v>43301223691822</v></cell><cell r="E2776" t="str"><v>433011030587082 - EN</v></cell><cell r="F2776" t="str"><v>DCM</v></cell><cell r="G2776" t="str"><v>https://azure.microsoft.com/en-ca/free/virtual-machines/search/</v></cell></row><row r="2776"><cell r="K2776" t="str"><v>July</v></cell><cell r="L2776"><v>43302</v></cell><cell r="M2776" t="str"><v>Tier 1</v></cell><cell r="N2776" t="str"><v>North America</v></cell><cell r="O2776" t="str"><v>Canada</v></cell><cell r="P2776" t="str"><v>Trial</v></cell><cell r="Q2776" t="str"><v>Social</v></cell><cell r="R2776" t="str"><v>Azure</v></cell><cell r="S2776" t="str"><v>Apps & Infra</v></cell><cell r="T2776" t="str"><v>Developers & ITI's</v></cell><cell r="U2776" t="str"><v>AZR</v></cell><cell r="V2776" t="str"><v>Retargeting</v></cell><cell r="W2776" t="str"><v>NotApplicable</v></cell><cell r="X2776" t="str"><v>1x1</v></cell></row><row r="2776"><cell r="AA2776"><v>43301</v></cell><cell r="AB2776" t="str"><v>CAN_gaPMG_AZR_AZR_Q1_19_Trial-Social</v></cell><cell r="AC2776"><v>21337220</v></cell><cell r="AD2776"><v>720192</v></cell><cell r="AE2776" t="str"><v>Facebook</v></cell><cell r="AF2776"><v>3654128</v></cell><cell r="AG2776" t="str"><v>Facebook»AZR»1x1»SocialBan»NA»ALL»DYN»RT»D»All»SS»NA»Free Account Retargeting VM - T2 - EN</v></cell><cell r="AH2776"><v>223691822</v></cell><cell r="AI2776" t="str"><v>AzurePlatform_FreeAcctRetargetingVMFB-OnDemand-ChE_CAN_1200x628_SOC_Plat_EN_Free Account_Standard_NA_SU_T2_1</v></cell><cell r="AJ2776"><v>103058708</v></cell></row><row r="2777"><cell r="C2777" t="str"><v>43301Facebook»DEV-ITP-AZR-FB|CanvasAds|Interesttargeting»1x1»TextLink»CAN»DT»CPM»AUT»W»NA»SS»NA»39684020-11000</v></cell><cell r="D2777" t="str"><v>43301224009494</v></cell><cell r="E2777" t="str"><v>43301103236186-11000</v></cell><cell r="F2777" t="str"><v>DCM</v></cell><cell r="G2777" t="str"><v>https://signup.azure.com/signup?offer=ms-azr-0044p&appId=102&ref=paidmedia-social-fb&redirectURL=https%3a%2f%2fazure.microsoft.com%2fde-de%2fget-started%2fwelcome-to-azure%2f&l=de-de&correlationId=ead86c34-1f10-49dd-a72b-6918462a2cbf</v></cell></row><row r="2777"><cell r="K2777" t="str"><v>July</v></cell><cell r="L2777"><v>43302</v></cell><cell r="M2777" t="str"><v>Tier 1</v></cell><cell r="N2777" t="str"><v>EMEA</v></cell><cell r="O2777" t="str"><v>Germany</v></cell><cell r="P2777" t="str"><v>Trial</v></cell><cell r="Q2777" t="str"><v>Social</v></cell><cell r="R2777" t="str"><v>Azure</v></cell><cell r="S2777" t="str"><v>Apps & Infra</v></cell><cell r="T2777" t="str"><v>Developers & ITI's</v></cell><cell r="U2777" t="str"><v>DEV-ITP-AZR-FB|CanvasAds|Interesttargeting</v></cell><cell r="V2777" t="str"><v>Audience Targeting</v></cell><cell r="W2777" t="str"><v>Canvas Ad</v></cell><cell r="X2777" t="str"><v>1x1</v></cell></row><row r="2777"><cell r="AA2777"><v>43301</v></cell><cell r="AB2777" t="str"><v>DEU_gaPMG_AZR_AZR_Q1_19_Trial-Social- 39684</v></cell><cell r="AC2777"><v>21359477</v></cell><cell r="AD2777"><v>720194</v></cell><cell r="AE2777" t="str"><v>Facebook</v></cell><cell r="AF2777"><v>3654128</v></cell><cell r="AG2777" t="str"><v>Facebook»DEV-ITP-AZR-FB|CanvasAds|Interesttargeting»1x1»TextLink»CAN»DT»CPM»AUT»W»NA»SS»NA»39684020-11000</v></cell><cell r="AH2777"><v>224009494</v></cell><cell r="AI2777" t="str"><v>AzurePlatform_FBCTCBasicMotion-StartFreeCT_DEU_10s_ISV_PLAT_DE_Trial_Standard_STAN_TN_T1_1</v></cell><cell r="AJ2777"><v>103236186</v></cell></row><row r="2778"><cell r="C2778" t="str"><v>43301Facebook»DEV-ITP-AZR-FB|CanvasAds|Interesttargeting»1x1»TextLink»CAN»DT»CPM»AUT»W»NA»SS»NA»39684020-11000</v></cell><cell r="D2778" t="str"><v>43301224009494</v></cell><cell r="E2778" t="str"><v>43301103236189-11000</v></cell><cell r="F2778" t="str"><v>DCM</v></cell><cell r="G2778" t="str"><v>https://azure.microsoft.com/de-de/pricing/purchase-options/</v></cell></row><row r="2778"><cell r="K2778" t="str"><v>July</v></cell><cell r="L2778"><v>43302</v></cell><cell r="M2778" t="str"><v>Tier 1</v></cell><cell r="N2778" t="str"><v>EMEA</v></cell><cell r="O2778" t="str"><v>Germany</v></cell><cell r="P2778" t="str"><v>Trial</v></cell><cell r="Q2778" t="str"><v>Social</v></cell><cell r="R2778" t="str"><v>Azure</v></cell><cell r="S2778" t="str"><v>Apps & Infra</v></cell><cell r="T2778" t="str"><v>Developers & ITI's</v></cell><cell r="U2778" t="str"><v>DEV-ITP-AZR-FB|CanvasAds|Interesttargeting</v></cell><cell r="V2778" t="str"><v>Audience Targeting</v></cell><cell r="W2778" t="str"><v>Canvas Ad</v></cell><cell r="X2778" t="str"><v>1x1</v></cell></row><row r="2778"><cell r="AA2778"><v>43301</v></cell><cell r="AB2778" t="str"><v>DEU_gaPMG_AZR_AZR_Q1_19_Trial-Social- 39684</v></cell><cell r="AC2778"><v>21359477</v></cell><cell r="AD2778"><v>720194</v></cell><cell r="AE2778" t="str"><v>Facebook</v></cell><cell r="AF2778"><v>3654128</v></cell><cell r="AG2778" t="str"><v>Facebook»DEV-ITP-AZR-FB|CanvasAds|Interesttargeting»1x1»TextLink»CAN»DT»CPM»AUT»W»NA»SS»NA»39684020-11000</v></cell><cell r="AH2778"><v>224009494</v></cell><cell r="AI2778" t="str"><v>AzurePlatform_FBCTCBenefit2inMotion-BuyNow_DEU_14s_ISV_PLAT_DE_Trial_Standard_STAN_TN_T4_1</v></cell><cell r="AJ2778"><v>103236189</v></cell></row><row r="2779"><cell r="C2779" t="str"><v>43301Facebook»DEV-ITP-AZR-FB|CanvasAds|Interesttargeting»1x1»TextLink»CAN»DT»CPM»AUT»W»NA»SS»NA»39684020-11000</v></cell><cell r="D2779" t="str"><v>43301224009494</v></cell><cell r="E2779" t="str"><v>43301103237290-11000</v></cell><cell r="F2779" t="str"><v>DCM</v></cell><cell r="G2779" t="str"><v>https://signup.azure.com/signup?offer=ms-azr-0044p&appId=102&ref=paidmedia-social-fb&redirectURL=https%3a%2f%2fazure.microsoft.com%2fde-de%2fget-started%2fwelcome-to-azure%2f&l=de-de&correlationId=ead86c34-1f10-49dd-a72b-6918462a2cbf</v></cell></row><row r="2779"><cell r="K2779" t="str"><v>July</v></cell><cell r="L2779"><v>43302</v></cell><cell r="M2779" t="str"><v>Tier 1</v></cell><cell r="N2779" t="str"><v>EMEA</v></cell><cell r="O2779" t="str"><v>Germany</v></cell><cell r="P2779" t="str"><v>Trial</v></cell><cell r="Q2779" t="str"><v>Social</v></cell><cell r="R2779" t="str"><v>Azure</v></cell><cell r="S2779" t="str"><v>Apps & Infra</v></cell><cell r="T2779" t="str"><v>Developers & ITI's</v></cell><cell r="U2779" t="str"><v>DEV-ITP-AZR-FB|CanvasAds|Interesttargeting</v></cell><cell r="V2779" t="str"><v>Audience Targeting</v></cell><cell r="W2779" t="str"><v>Canvas Ad</v></cell><cell r="X2779" t="str"><v>1x1</v></cell></row><row r="2779"><cell r="AA2779"><v>43301</v></cell><cell r="AB2779" t="str"><v>DEU_gaPMG_AZR_AZR_Q1_19_Trial-Social- 39684</v></cell><cell r="AC2779"><v>21359477</v></cell><cell r="AD2779"><v>720194</v></cell><cell r="AE2779" t="str"><v>Facebook</v></cell><cell r="AF2779"><v>3654128</v></cell><cell r="AG2779" t="str"><v>Facebook»DEV-ITP-AZR-FB|CanvasAds|Interesttargeting»1x1»TextLink»CAN»DT»CPM»AUT»W»NA»SS»NA»39684020-11000</v></cell><cell r="AH2779"><v>224009494</v></cell><cell r="AI2779" t="str"><v>AzurePlatform_FBCTCBenefit2inMotion-StartFreeCT_DEU_14s_ISV_PLAT_DE_Trial_Standard_STAN_TN_T4_1</v></cell><cell r="AJ2779"><v>103237290</v></cell></row><row r="2780"><cell r="C2780" t="str"><v>43301Facebook»DEV-ITP-AZR-FB|CanvasAds|Interesttargeting»1x1»TextLink»CAN»DT»CPM»AUT»W»NA»SS»NA»39684020-11000</v></cell><cell r="D2780" t="str"><v>43301224009494</v></cell><cell r="E2780" t="str"><v>43301103237293-11000</v></cell><cell r="F2780" t="str"><v>DCM</v></cell><cell r="G2780" t="str"><v>https://signup.azure.com/signup?offer=ms-azr-0044p&appId=102&ref=paidmedia-social-fb&redirectURL=https%3a%2f%2fazure.microsoft.com%2fde-de%2fget-started%2fwelcome-to-azure%2f&l=de-de&correlationId=ead86c34-1f10-49dd-a72b-6918462a2cbf</v></cell></row><row r="2780"><cell r="K2780" t="str"><v>July</v></cell><cell r="L2780"><v>43302</v></cell><cell r="M2780" t="str"><v>Tier 1</v></cell><cell r="N2780" t="str"><v>EMEA</v></cell><cell r="O2780" t="str"><v>Germany</v></cell><cell r="P2780" t="str"><v>Trial</v></cell><cell r="Q2780" t="str"><v>Social</v></cell><cell r="R2780" t="str"><v>Azure</v></cell><cell r="S2780" t="str"><v>Apps & Infra</v></cell><cell r="T2780" t="str"><v>Developers & ITI's</v></cell><cell r="U2780" t="str"><v>DEV-ITP-AZR-FB|CanvasAds|Interesttargeting</v></cell><cell r="V2780" t="str"><v>Audience Targeting</v></cell><cell r="W2780" t="str"><v>Canvas Ad</v></cell><cell r="X2780" t="str"><v>1x1</v></cell></row><row r="2780"><cell r="AA2780"><v>43301</v></cell><cell r="AB2780" t="str"><v>DEU_gaPMG_AZR_AZR_Q1_19_Trial-Social- 39684</v></cell><cell r="AC2780"><v>21359477</v></cell><cell r="AD2780"><v>720194</v></cell><cell r="AE2780" t="str"><v>Facebook</v></cell><cell r="AF2780"><v>3654128</v></cell><cell r="AG2780" t="str"><v>Facebook»DEV-ITP-AZR-FB|CanvasAds|Interesttargeting»1x1»TextLink»CAN»DT»CPM»AUT»W»NA»SS»NA»39684020-11000</v></cell><cell r="AH2780"><v>224009494</v></cell><cell r="AI2780" t="str"><v>AzurePlatform_FBCTCBrandinMotion-StartFreeCT_DEU_12s_ISV_PLAT_DE_Trial_Standard_STAN_TN_T2_1</v></cell><cell r="AJ2780"><v>103237293</v></cell></row><row r="2781"><cell r="C2781" t="str"><v>43301Facebook»DEV-ITP-AZR-FB|LinkAd|CustomerAudienceRetargeting»1x1»TextLink»LIA»DT»CPM»RT»W»NA»SS»NA»39684019-11000</v></cell><cell r="D2781" t="str"><v>43301224010415</v></cell><cell r="E2781" t="str"><v>43301103055394-11000</v></cell><cell r="F2781" t="str"><v>DCM</v></cell><cell r="G2781" t="str"><v>https://azure.microsoft.com/de-de/free/open-source/search/</v></cell></row><row r="2781"><cell r="K2781" t="str"><v>July</v></cell><cell r="L2781"><v>43302</v></cell><cell r="M2781" t="str"><v>Tier 1</v></cell><cell r="N2781" t="str"><v>EMEA</v></cell><cell r="O2781" t="str"><v>Germany</v></cell><cell r="P2781" t="str"><v>Trial</v></cell><cell r="Q2781" t="str"><v>Social</v></cell><cell r="R2781" t="str"><v>Azure</v></cell><cell r="S2781" t="str"><v>Apps & Infra</v></cell><cell r="T2781" t="str"><v>Developers & ITI's</v></cell><cell r="U2781" t="str"><v>DEV-ITP-AZR-FB|LinkAd|CustomerAudienceRetargeting</v></cell><cell r="V2781" t="str"><v>Retargeting</v></cell><cell r="W2781" t="str"><v>Link Ad</v></cell><cell r="X2781" t="str"><v>1x1</v></cell></row><row r="2781"><cell r="AA2781"><v>43301</v></cell><cell r="AB2781" t="str"><v>DEU_gaPMG_AZR_AZR_Q1_19_Trial-Social- 39684</v></cell><cell r="AC2781"><v>21359477</v></cell><cell r="AD2781"><v>720194</v></cell><cell r="AE2781" t="str"><v>Facebook</v></cell><cell r="AF2781"><v>3654128</v></cell><cell r="AG2781" t="str"><v>Facebook»DEV-ITP-AZR-FB|LinkAd|CustomerAudienceRetargeting»1x1»TextLink»LIA»DT»CPM»RT»W»NA»SS»NA»39684019-11000</v></cell><cell r="AH2781"><v>224010415</v></cell><cell r="AI2781" t="str"><v>AzurePlatform_FreeAcctRetargetingOSSFB-Text-ChF_DEU_1200x628_SOC_Plat_DE_Free Account_Standard_NA_SNU_T1_1</v></cell><cell r="AJ2781"><v>103055394</v></cell></row><row r="2782"><cell r="C2782" t="str"><v>43301Facebook»DEV-ITP-AZR-FB|LinkAd|CustomerAudienceRetargeting»1x1»TextLink»LIA»DT»CPM»RT»W»NA»SS»NA»39684019-11000</v></cell><cell r="D2782" t="str"><v>43301224010415</v></cell><cell r="E2782" t="str"><v>43301103043338-11000</v></cell><cell r="F2782" t="str"><v>DCM</v></cell><cell r="G2782" t="str"><v>https://azure.microsoft.com/de-de/free/virtual-machines/search/</v></cell></row><row r="2782"><cell r="K2782" t="str"><v>July</v></cell><cell r="L2782"><v>43302</v></cell><cell r="M2782" t="str"><v>Tier 1</v></cell><cell r="N2782" t="str"><v>EMEA</v></cell><cell r="O2782" t="str"><v>Germany</v></cell><cell r="P2782" t="str"><v>Trial</v></cell><cell r="Q2782" t="str"><v>Social</v></cell><cell r="R2782" t="str"><v>Azure</v></cell><cell r="S2782" t="str"><v>Apps & Infra</v></cell><cell r="T2782" t="str"><v>Developers & ITI's</v></cell><cell r="U2782" t="str"><v>DEV-ITP-AZR-FB|LinkAd|CustomerAudienceRetargeting</v></cell><cell r="V2782" t="str"><v>Retargeting</v></cell><cell r="W2782" t="str"><v>Link Ad</v></cell><cell r="X2782" t="str"><v>1x1</v></cell></row><row r="2782"><cell r="AA2782"><v>43301</v></cell><cell r="AB2782" t="str"><v>DEU_gaPMG_AZR_AZR_Q1_19_Trial-Social- 39684</v></cell><cell r="AC2782"><v>21359477</v></cell><cell r="AD2782"><v>720194</v></cell><cell r="AE2782" t="str"><v>Facebook</v></cell><cell r="AF2782"><v>3654128</v></cell><cell r="AG2782" t="str"><v>Facebook»DEV-ITP-AZR-FB|LinkAd|CustomerAudienceRetargeting»1x1»TextLink»LIA»DT»CPM»RT»W»NA»SS»NA»39684019-11000</v></cell><cell r="AH2782"><v>224010415</v></cell><cell r="AI2782" t="str"><v>AzurePlatform_FreeAcctRetargetingVMFB-OnDemand-ChE_DEU_1200x628_SOC_Plat_DE_Free Account_Standard_NA_SNU_T2_1</v></cell><cell r="AJ2782"><v>103043338</v></cell></row><row r="2783"><cell r="C2783" t="str"><v>43301Facebook»Developers/ITPros-Azure Direct-Sponsored Post-Canvas-FBCTCcanvaspage-BuyNowCTA-Img3_FBCTCBrandinMotion_FRA_14sec»1x1»Canvas»SOC»ALL»CPC»BT»D»UNK»SS»NA»Trials</v></cell><cell r="D2783" t="str"><v>43301224416918</v></cell><cell r="E2783" t="str"><v>43301103256571Trials</v></cell><cell r="F2783" t="str"><v>DCM</v></cell><cell r="G2783" t="str"><v>https://azure.microsoft.com/fr-fr/pricing/purchase-options/</v></cell></row><row r="2783"><cell r="K2783" t="str"><v>July</v></cell><cell r="L2783"><v>43302</v></cell><cell r="M2783" t="str"><v>Tier 1</v></cell><cell r="N2783" t="str"><v>EMEA</v></cell><cell r="O2783" t="str"><v>France</v></cell><cell r="P2783" t="str"><v>Trial</v></cell><cell r="Q2783" t="str"><v>Social</v></cell><cell r="R2783" t="str"><v>Azure</v></cell><cell r="S2783" t="str"><v>Apps & Infra</v></cell><cell r="T2783" t="str"><v>Developers & ITI's</v></cell><cell r="U2783" t="str"><v>Developers/ITPros-Azure Direct-Sponsored Post-Canvas-FBCTCcanvaspage-BuyNowCTA-Img3_FBCTCBrandinMotion_FRA_14sec</v></cell><cell r="V2783" t="str"><v>Behavioral Targeting</v></cell><cell r="W2783" t="str"><v>Social</v></cell><cell r="X2783" t="str"><v>1x1</v></cell></row><row r="2783"><cell r="AA2783"><v>43301</v></cell><cell r="AB2783" t="str"><v>FRA_gaPMG_AZR_AZR_Q1_19_AzureDirect-Trial-Social</v></cell><cell r="AC2783"><v>21356941</v></cell><cell r="AD2783"><v>720193</v></cell><cell r="AE2783" t="str"><v>Facebook</v></cell><cell r="AF2783"><v>3654128</v></cell><cell r="AG2783" t="str"><v>Facebook»Developers/ITPros-Azure Direct-Sponsored Post-Canvas-FBCTCcanvaspage-BuyNowCTA-Img3_FBCTCBrandinMotion_FRA_14sec»1x1»Canvas»SOC»ALL»CPC»BT»D»UNK»SS»NA»Trials</v></cell><cell r="AH2783"><v>224416918</v></cell><cell r="AI2783" t="str"><v>AZR_FBCTCcanvaspage-BuyNowCTA-Img3_FRA_1080x162_SOC_AZRDirect_French_NA_Facebook_SBAN_BN_T3_1</v></cell><cell r="AJ2783"><v>103256571</v></cell></row><row r="2784"><cell r="C2784" t="str"><v>43301Facebook»Developers/ITPros-Azure Direct-Sponsored Post-Canvas-FBCTCcanvaspage-StartFreeCTA-Img2_FBCTCBasicMotion_FRA_10sec»1x1»Canvas»SOC»ALL»CPC»BT»D»UNK»SS»NA»Trials</v></cell><cell r="D2784" t="str"><v>43301224560884</v></cell><cell r="E2784" t="str"><v>43301103259958Trials</v></cell><cell r="F2784" t="str"><v>DCM</v></cell><cell r="G2784" t="str"><v>https://signup.azure.com/signup?offer=ms-azr-0044p&appId=102&ref=paidmedia-social-fb&redirectURL=https%3a%2f%2fazure.microsoft.com%2ffr-fr%2fget-started%2fwelcome-to-azure%2f&l=fr-fr&correlationId=ead86c34-1f10-49dd-a72b-6918462a2cbf</v></cell></row><row r="2784"><cell r="K2784" t="str"><v>July</v></cell><cell r="L2784"><v>43302</v></cell><cell r="M2784" t="str"><v>Tier 1</v></cell><cell r="N2784" t="str"><v>EMEA</v></cell><cell r="O2784" t="str"><v>France</v></cell><cell r="P2784" t="str"><v>Trial</v></cell><cell r="Q2784" t="str"><v>Social</v></cell><cell r="R2784" t="str"><v>Azure</v></cell><cell r="S2784" t="str"><v>Apps & Infra</v></cell><cell r="T2784" t="str"><v>Developers & ITI's</v></cell><cell r="U2784" t="str"><v>Developers/ITPros-Azure Direct-Sponsored Post-Canvas-FBCTCcanvaspage-StartFreeCTA-Img2_FBCTCBasicMotion_FRA_10sec</v></cell><cell r="V2784" t="str"><v>Behavioral Targeting</v></cell><cell r="W2784" t="str"><v>Social</v></cell><cell r="X2784" t="str"><v>1x1</v></cell></row><row r="2784"><cell r="AA2784"><v>43301</v></cell><cell r="AB2784" t="str"><v>FRA_gaPMG_AZR_AZR_Q1_19_AzureDirect-Trial-Social</v></cell><cell r="AC2784"><v>21356941</v></cell><cell r="AD2784"><v>720193</v></cell><cell r="AE2784" t="str"><v>Facebook</v></cell><cell r="AF2784"><v>3654128</v></cell><cell r="AG2784" t="str"><v>Facebook»Developers/ITPros-Azure Direct-Sponsored Post-Canvas-FBCTCcanvaspage-StartFreeCTA-Img2_FBCTCBasicMotion_FRA_10sec»1x1»Canvas»SOC»ALL»CPC»BT»D»UNK»SS»NA»Trials</v></cell><cell r="AH2784"><v>224560884</v></cell><cell r="AI2784" t="str"><v>AZR_FBCTCcanvaspage-StartFreeCTA-Img2_FRA_1080x143_SOC_AZRDirect_French_NA_Facebook_SBAN_BN_T2_1</v></cell><cell r="AJ2784"><v>103259958</v></cell></row><row r="2785"><cell r="C2785" t="str"><v>43301Facebook»Developers/ITPros-Azure Direct-Sponsored Post-Canvas-FBCTCcanvaspage-StartFreeCTA-Img2_FBCTCBrandinMotion_FRA_12sec»1x1»Canvas»SOC»ALL»CPC»BT»D»UNK»SS»NA»Trials</v></cell><cell r="D2785" t="str"><v>43301224560878</v></cell><cell r="E2785" t="str"><v>43301103259958Trials</v></cell><cell r="F2785" t="str"><v>DCM</v></cell><cell r="G2785" t="str"><v>https://signup.azure.com/signup?offer=ms-azr-0044p&appId=102&ref=paidmedia-social-fb&redirectURL=https%3a%2f%2fazure.microsoft.com%2ffr-fr%2fget-started%2fwelcome-to-azure%2f&l=fr-fr&correlationId=ead86c34-1f10-49dd-a72b-6918462a2cbf</v></cell></row><row r="2785"><cell r="K2785" t="str"><v>July</v></cell><cell r="L2785"><v>43302</v></cell><cell r="M2785" t="str"><v>Tier 1</v></cell><cell r="N2785" t="str"><v>EMEA</v></cell><cell r="O2785" t="str"><v>France</v></cell><cell r="P2785" t="str"><v>Trial</v></cell><cell r="Q2785" t="str"><v>Social</v></cell><cell r="R2785" t="str"><v>Azure</v></cell><cell r="S2785" t="str"><v>Apps & Infra</v></cell><cell r="T2785" t="str"><v>Developers & ITI's</v></cell><cell r="U2785" t="str"><v>Developers/ITPros-Azure Direct-Sponsored Post-Canvas-FBCTCcanvaspage-StartFreeCTA-Img2_FBCTCBrandinMotion_FRA_12sec</v></cell><cell r="V2785" t="str"><v>Behavioral Targeting</v></cell><cell r="W2785" t="str"><v>Social</v></cell><cell r="X2785" t="str"><v>1x1</v></cell></row><row r="2785"><cell r="AA2785"><v>43301</v></cell><cell r="AB2785" t="str"><v>FRA_gaPMG_AZR_AZR_Q1_19_AzureDirect-Trial-Social</v></cell><cell r="AC2785"><v>21356941</v></cell><cell r="AD2785"><v>720193</v></cell><cell r="AE2785" t="str"><v>Facebook</v></cell><cell r="AF2785"><v>3654128</v></cell><cell r="AG2785" t="str"><v>Facebook»Developers/ITPros-Azure Direct-Sponsored Post-Canvas-FBCTCcanvaspage-StartFreeCTA-Img2_FBCTCBrandinMotion_FRA_12sec»1x1»Canvas»SOC»ALL»CPC»BT»D»UNK»SS»NA»Trials</v></cell><cell r="AH2785"><v>224560878</v></cell><cell r="AI2785" t="str"><v>AZR_FBCTCcanvaspage-StartFreeCTA-Img2_FRA_1080x143_SOC_AZRDirect_French_NA_Facebook_SBAN_BN_T2_1</v></cell><cell r="AJ2785"><v>103259958</v></cell></row><row r="2786"><cell r="C2786" t="str"><v>43301Facebook»Developers/ITPros-Azure Direct-Sponsored Post-Canvas-FBCTCcanvaspage-StartFreeCTA-Img2_FBCTCBrandinMotion_FRA_14sec»1x1»Canvas»SOC»ALL»CPC»BT»D»UNK»SS»NA»Trials</v></cell><cell r="D2786" t="str"><v>43301224560872</v></cell><cell r="E2786" t="str"><v>43301103259958Trials</v></cell><cell r="F2786" t="str"><v>DCM</v></cell><cell r="G2786" t="str"><v>https://signup.azure.com/signup?offer=ms-azr-0044p&appId=102&ref=paidmedia-social-fb&redirectURL=https%3a%2f%2fazure.microsoft.com%2ffr-fr%2fget-started%2fwelcome-to-azure%2f&l=fr-fr&correlationId=ead86c34-1f10-49dd-a72b-6918462a2cbf</v></cell></row><row r="2786"><cell r="K2786" t="str"><v>July</v></cell><cell r="L2786"><v>43302</v></cell><cell r="M2786" t="str"><v>Tier 1</v></cell><cell r="N2786" t="str"><v>EMEA</v></cell><cell r="O2786" t="str"><v>France</v></cell><cell r="P2786" t="str"><v>Trial</v></cell><cell r="Q2786" t="str"><v>Social</v></cell><cell r="R2786" t="str"><v>Azure</v></cell><cell r="S2786" t="str"><v>Apps & Infra</v></cell><cell r="T2786" t="str"><v>Developers & ITI's</v></cell><cell r="U2786" t="str"><v>Developers/ITPros-Azure Direct-Sponsored Post-Canvas-FBCTCcanvaspage-StartFreeCTA-Img2_FBCTCBrandinMotion_FRA_14sec</v></cell><cell r="V2786" t="str"><v>Behavioral Targeting</v></cell><cell r="W2786" t="str"><v>Social</v></cell><cell r="X2786" t="str"><v>1x1</v></cell></row><row r="2786"><cell r="AA2786"><v>43301</v></cell><cell r="AB2786" t="str"><v>FRA_gaPMG_AZR_AZR_Q1_19_AzureDirect-Trial-Social</v></cell><cell r="AC2786"><v>21356941</v></cell><cell r="AD2786"><v>720193</v></cell><cell r="AE2786" t="str"><v>Facebook</v></cell><cell r="AF2786"><v>3654128</v></cell><cell r="AG2786" t="str"><v>Facebook»Developers/ITPros-Azure Direct-Sponsored Post-Canvas-FBCTCcanvaspage-StartFreeCTA-Img2_FBCTCBrandinMotion_FRA_14sec»1x1»Canvas»SOC»ALL»CPC»BT»D»UNK»SS»NA»Trials</v></cell><cell r="AH2786"><v>224560872</v></cell><cell r="AI2786" t="str"><v>AZR_FBCTCcanvaspage-StartFreeCTA-Img2_FRA_1080x143_SOC_AZRDirect_French_NA_Facebook_SBAN_BN_T2_1</v></cell><cell r="AJ2786"><v>103259958</v></cell></row><row r="2787"><cell r="C2787" t="str"><v>43301Facebook»Developers/ITPros-Azure Direct-Sponsored Post-Link Ad-FreeAcctRetargetingFB-GlobalAlt-ChB»1x1»SocialBan»SOC»ALL»CPC»BT»D»UNK»SS»NA»Trials</v></cell><cell r="D2787" t="str"><v>43301224560845</v></cell><cell r="E2787" t="str"><v>43301103259520Trials</v></cell><cell r="F2787" t="str"><v>DCM</v></cell><cell r="G2787" t="str"><v>https://azure.microsoft.com/fr-fr/free/search/</v></cell></row><row r="2787"><cell r="K2787" t="str"><v>July</v></cell><cell r="L2787"><v>43302</v></cell><cell r="M2787" t="str"><v>Tier 1</v></cell><cell r="N2787" t="str"><v>EMEA</v></cell><cell r="O2787" t="str"><v>France</v></cell><cell r="P2787" t="str"><v>Trial</v></cell><cell r="Q2787" t="str"><v>Social</v></cell><cell r="R2787" t="str"><v>Azure</v></cell><cell r="S2787" t="str"><v>Apps & Infra</v></cell><cell r="T2787" t="str"><v>Developers & ITI's</v></cell><cell r="U2787" t="str"><v>Developers/ITPros-Azure Direct-Sponsored Post-Link Ad-FreeAcctRetargetingFB-GlobalAlt-ChB</v></cell><cell r="V2787" t="str"><v>Behavioral Targeting</v></cell><cell r="W2787" t="str"><v>Social</v></cell><cell r="X2787" t="str"><v>1x1</v></cell></row><row r="2787"><cell r="AA2787"><v>43301</v></cell><cell r="AB2787" t="str"><v>FRA_gaPMG_AZR_AZR_Q1_19_AzureDirect-Trial-Social</v></cell><cell r="AC2787"><v>21356941</v></cell><cell r="AD2787"><v>720193</v></cell><cell r="AE2787" t="str"><v>Facebook</v></cell><cell r="AF2787"><v>3654128</v></cell><cell r="AG2787" t="str"><v>Facebook»Developers/ITPros-Azure Direct-Sponsored Post-Link Ad-FreeAcctRetargetingFB-GlobalAlt-ChB»1x1»SocialBan»SOC»ALL»CPC»BT»D»UNK»SS»NA»Trials</v></cell><cell r="AH2787"><v>224560845</v></cell><cell r="AI2787" t="str"><v>AZR_FreeAcctRetargetingFB-GlobalAlt-ChB_FRA_1200x628_SOC_AZRDirect_French_NA_Facebook_SBAN_SINU_T2_1</v></cell><cell r="AJ2787"><v>103259520</v></cell></row><row r="2788"><cell r="C2788" t="str"><v>43301Facebook»Developers/ITPros-Azure Direct-Sponsored Post-Link Ad-FreeAcctRetargetingOSSFB-Text-ChF»1x1»SocialBan»SOC»ALL»CPC»BT»D»UNK»SS»NA»Trials</v></cell><cell r="D2788" t="str"><v>43301224560839</v></cell><cell r="E2788" t="str"><v>43301103257810Trials</v></cell><cell r="F2788" t="str"><v>DCM</v></cell><cell r="G2788" t="str"><v>https://azure.microsoft.com/fr-fr/free/open-source/search/</v></cell></row><row r="2788"><cell r="K2788" t="str"><v>July</v></cell><cell r="L2788"><v>43302</v></cell><cell r="M2788" t="str"><v>Tier 1</v></cell><cell r="N2788" t="str"><v>EMEA</v></cell><cell r="O2788" t="str"><v>France</v></cell><cell r="P2788" t="str"><v>Trial</v></cell><cell r="Q2788" t="str"><v>Social</v></cell><cell r="R2788" t="str"><v>Azure</v></cell><cell r="S2788" t="str"><v>Apps & Infra</v></cell><cell r="T2788" t="str"><v>Developers & ITI's</v></cell><cell r="U2788" t="str"><v>Developers/ITPros-Azure Direct-Sponsored Post-Link Ad-FreeAcctRetargetingOSSFB-Text-ChF</v></cell><cell r="V2788" t="str"><v>Behavioral Targeting</v></cell><cell r="W2788" t="str"><v>Social</v></cell><cell r="X2788" t="str"><v>1x1</v></cell></row><row r="2788"><cell r="AA2788"><v>43301</v></cell><cell r="AB2788" t="str"><v>FRA_gaPMG_AZR_AZR_Q1_19_AzureDirect-Trial-Social</v></cell><cell r="AC2788"><v>21356941</v></cell><cell r="AD2788"><v>720193</v></cell><cell r="AE2788" t="str"><v>Facebook</v></cell><cell r="AF2788"><v>3654128</v></cell><cell r="AG2788" t="str"><v>Facebook»Developers/ITPros-Azure Direct-Sponsored Post-Link Ad-FreeAcctRetargetingOSSFB-Text-ChF»1x1»SocialBan»SOC»ALL»CPC»BT»D»UNK»SS»NA»Trials</v></cell><cell r="AH2788"><v>224560839</v></cell><cell r="AI2788" t="str"><v>AZR_FreeAcctRetargetingOSSFB-Text-ChF_FRA_1200x628_SOC_AZRDirect_French_NA_Facebook_SBAN_SINU_T1_1</v></cell><cell r="AJ2788"><v>103257810</v></cell></row><row r="2789"><cell r="C2789" t="str"><v>43301Facebook»Developers/ITPros-Azure Direct-Sponsored Post-Video Ad-FBCTCBasicMotion_FRA_10s_RTG Landing Page»1x1»05s»SOC»ALL»CPC»BT»D»UNK»SS»NA»Trials</v></cell><cell r="D2789" t="str"><v>43301224416915</v></cell><cell r="E2789" t="str"><v>43301103376981Trials</v></cell><cell r="F2789" t="str"><v>DCM</v></cell></row><row r="2789"><cell r="K2789" t="str"><v>July</v></cell><cell r="L2789"><v>43302</v></cell><cell r="M2789" t="str"><v>Tier 1</v></cell><cell r="N2789" t="str"><v>EMEA</v></cell><cell r="O2789" t="str"><v>France</v></cell><cell r="P2789" t="str"><v>Trial</v></cell><cell r="Q2789" t="str"><v>Social</v></cell><cell r="R2789" t="str"><v>Azure</v></cell><cell r="S2789" t="str"><v>Apps & Infra</v></cell><cell r="T2789" t="str"><v>Developers & ITI's</v></cell><cell r="U2789" t="str"><v>Developers/ITPros-Azure Direct-Sponsored Post-Video Ad-FBCTCBasicMotion_FRA_10s_RTG Landing Page</v></cell><cell r="V2789" t="str"><v>Behavioral Targeting</v></cell><cell r="W2789" t="str"><v>Social</v></cell><cell r="X2789" t="str"><v>1x1</v></cell></row><row r="2789"><cell r="AA2789"><v>43301</v></cell><cell r="AB2789" t="str"><v>FRA_gaPMG_AZR_AZR_Q1_19_AzureDirect-Trial-Social</v></cell><cell r="AC2789"><v>21356941</v></cell><cell r="AD2789"><v>720193</v></cell><cell r="AE2789" t="str"><v>Facebook</v></cell><cell r="AF2789"><v>3654128</v></cell><cell r="AG2789" t="str"><v>Facebook»Developers/ITPros-Azure Direct-Sponsored Post-Video Ad-FBCTCBasicMotion_FRA_10s_RTG Landing Page»1x1»05s»SOC»ALL»CPC»BT»D»UNK»SS»NA»Trials</v></cell><cell r="AH2789"><v>224416915</v></cell><cell r="AI2789" t="str"><v>AZR_FBCTCBasicMotion_FRA_10s_VIA_AZRDirect_French_NA_Facebook_STAN_TIN_T1_1</v></cell><cell r="AJ2789"><v>103376981</v></cell></row><row r="2790"><cell r="C2790" t="str"><v>43301Facebook»Developers/ITPros-Azure Direct-Sponsored Post-Video Ad-FBCTCBenefit2inMotion_FRA_14s_RTG Landing Page»1x1»06s»SOC»ALL»CPC»BT»D»UNK»SS»NA»Trials</v></cell><cell r="D2790" t="str"><v>43301224560875</v></cell><cell r="E2790" t="str"><v>43301103259766Trials</v></cell><cell r="F2790" t="str"><v>DCM</v></cell><cell r="G2790" t="str"><v>https://signup.azure.com/signup?offer=ms-azr-0044p&appId=102&ref=paidmedia-social-fb&redirectURL=https:%2F%2Fazure.microsoft.com%2Ffr-fr%2Fget-started%2Fwelcome-to-azure%2F&l=fr-fr&correlationId=ead86c34-1f10-49dd-a72b-6918462a2cbf</v></cell></row><row r="2790"><cell r="K2790" t="str"><v>July</v></cell><cell r="L2790"><v>43302</v></cell><cell r="M2790" t="str"><v>Tier 1</v></cell><cell r="N2790" t="str"><v>EMEA</v></cell><cell r="O2790" t="str"><v>France</v></cell><cell r="P2790" t="str"><v>Trial</v></cell><cell r="Q2790" t="str"><v>Social</v></cell><cell r="R2790" t="str"><v>Azure</v></cell><cell r="S2790" t="str"><v>Apps & Infra</v></cell><cell r="T2790" t="str"><v>Developers & ITI's</v></cell><cell r="U2790" t="str"><v>Developers/ITPros-Azure Direct-Sponsored Post-Video Ad-FBCTCBenefit2inMotion_FRA_14s_RTG Landing Page</v></cell><cell r="V2790" t="str"><v>Behavioral Targeting</v></cell><cell r="W2790" t="str"><v>Social</v></cell><cell r="X2790" t="str"><v>1x1</v></cell></row><row r="2790"><cell r="AA2790"><v>43301</v></cell><cell r="AB2790" t="str"><v>FRA_gaPMG_AZR_AZR_Q1_19_AzureDirect-Trial-Social</v></cell><cell r="AC2790"><v>21356941</v></cell><cell r="AD2790"><v>720193</v></cell><cell r="AE2790" t="str"><v>Facebook</v></cell><cell r="AF2790"><v>3654128</v></cell><cell r="AG2790" t="str"><v>Facebook»Developers/ITPros-Azure Direct-Sponsored Post-Video Ad-FBCTCBenefit2inMotion_FRA_14s_RTG Landing Page»1x1»06s»SOC»ALL»CPC»BT»D»UNK»SS»NA»Trials</v></cell><cell r="AH2790"><v>224560875</v></cell><cell r="AI2790" t="str"><v>AZR_FBCTCBenefit2inMotion_FRA_14s_VIA_AZRDirect_French_NA_Facebook_STAN_TIN_T4_1</v></cell><cell r="AJ2790"><v>103259766</v></cell></row><row r="2791"><cell r="C2791" t="str"><v>43301Facebook»Developers/ITPros-Azure Direct-Sponsored Post-Video Ad-FBCTCBrandinMotion_FRA_12s_RTG Landing Page»1x1»05s»SOC»ALL»CPC»BT»D»UNK»SS»NA»Trials</v></cell><cell r="D2791" t="str"><v>43301224560863</v></cell><cell r="E2791" t="str"><v>43301103256577Trials</v></cell><cell r="F2791" t="str"><v>DCM</v></cell></row><row r="2791"><cell r="K2791" t="str"><v>July</v></cell><cell r="L2791"><v>43302</v></cell><cell r="M2791" t="str"><v>Tier 1</v></cell><cell r="N2791" t="str"><v>EMEA</v></cell><cell r="O2791" t="str"><v>France</v></cell><cell r="P2791" t="str"><v>Trial</v></cell><cell r="Q2791" t="str"><v>Social</v></cell><cell r="R2791" t="str"><v>Azure</v></cell><cell r="S2791" t="str"><v>Apps & Infra</v></cell><cell r="T2791" t="str"><v>Developers & ITI's</v></cell><cell r="U2791" t="str"><v>Developers/ITPros-Azure Direct-Sponsored Post-Video Ad-FBCTCBrandinMotion_FRA_12s_RTG Landing Page</v></cell><cell r="V2791" t="str"><v>Behavioral Targeting</v></cell><cell r="W2791" t="str"><v>Social</v></cell><cell r="X2791" t="str"><v>1x1</v></cell></row><row r="2791"><cell r="AA2791"><v>43301</v></cell><cell r="AB2791" t="str"><v>FRA_gaPMG_AZR_AZR_Q1_19_AzureDirect-Trial-Social</v></cell><cell r="AC2791"><v>21356941</v></cell><cell r="AD2791"><v>720193</v></cell><cell r="AE2791" t="str"><v>Facebook</v></cell><cell r="AF2791"><v>3654128</v></cell><cell r="AG2791" t="str"><v>Facebook»Developers/ITPros-Azure Direct-Sponsored Post-Video Ad-FBCTCBrandinMotion_FRA_12s_RTG Landing Page»1x1»05s»SOC»ALL»CPC»BT»D»UNK»SS»NA»Trials</v></cell><cell r="AH2791"><v>224560863</v></cell><cell r="AI2791" t="str"><v>AZR_FBCTCBrandinMotion_FRA_12s_VIA_AZRDirect_French_NA_Facebook_STAN_TIN_T2_1</v></cell><cell r="AJ2791"><v>103256577</v></cell></row><row r="2792"><cell r="C2792" t="str"><v>43301Facebook»Developers/ITPros-Azure Direct-Sponsored Post-Link Ad-FreeAcctAppsFACEBOOK12monthsChE»1x1»SocialBan»SOC»ALL»CPC»BT»D»UNK»SS»NA»Trials</v></cell><cell r="D2792" t="str"><v>43301224560866</v></cell><cell r="E2792" t="str"><v>43301103259784Trials</v></cell><cell r="F2792" t="str"><v>DCM</v></cell><cell r="G2792" t="str"><v>https://azure.microsoft.com/fr-fr/free/search/</v></cell></row><row r="2792"><cell r="K2792" t="str"><v>July</v></cell><cell r="L2792"><v>43302</v></cell><cell r="M2792" t="str"><v>Tier 1</v></cell><cell r="N2792" t="str"><v>EMEA</v></cell><cell r="O2792" t="str"><v>France</v></cell><cell r="P2792" t="str"><v>Trial</v></cell><cell r="Q2792" t="str"><v>Social</v></cell><cell r="R2792" t="str"><v>Azure</v></cell><cell r="S2792" t="str"><v>Apps & Infra</v></cell><cell r="T2792" t="str"><v>Developers & ITI's</v></cell><cell r="U2792" t="str"><v>Developers/ITPros-Azure Direct-Sponsored Post-Link Ad-FreeAcctAppsFACEBOOK12monthsChE</v></cell><cell r="V2792" t="str"><v>Behavioral Targeting</v></cell><cell r="W2792" t="str"><v>Social</v></cell><cell r="X2792" t="str"><v>1x1</v></cell></row><row r="2792"><cell r="AA2792"><v>43301</v></cell><cell r="AB2792" t="str"><v>FRA_gaPMG_AZR_AZR_Q1_19_AzureDirect-Trial-Social</v></cell><cell r="AC2792"><v>21356941</v></cell><cell r="AD2792"><v>720193</v></cell><cell r="AE2792" t="str"><v>Facebook</v></cell><cell r="AF2792"><v>3654128</v></cell><cell r="AG2792" t="str"><v>Facebook»Developers/ITPros-Azure Direct-Sponsored Post-Link Ad-FreeAcctAppsFACEBOOK12monthsChE»1x1»SocialBan»SOC»ALL»CPC»BT»D»UNK»SS»NA»Trials</v></cell><cell r="AH2792"><v>224560866</v></cell><cell r="AI2792" t="str"><v>AZR_FreeAcctAppsFACEBOOK12monthsChE_FRA_1200x628_SOC_PLAT_FR_Trial_Standard_NA_SINU_T5_1</v></cell><cell r="AJ2792"><v>103259784</v></cell></row><row r="2793"><cell r="C2793" t="str"><v>43301Facebook»Developers/ITPros-Azure Direct-Sponsored Post-Link Ad-FreeAcctAppsFACEBOOK200CreditChD»1x1»SocialBan»SOC»ALL»CPC»BT»D»UNK»SS»NA»Trials</v></cell><cell r="D2793" t="str"><v>43301224560860</v></cell><cell r="E2793" t="str"><v>43301103377773Trials</v></cell><cell r="F2793" t="str"><v>DCM</v></cell><cell r="G2793" t="str"><v>https://azure.microsoft.com/fr-fr/free/search/</v></cell></row><row r="2793"><cell r="K2793" t="str"><v>July</v></cell><cell r="L2793"><v>43302</v></cell><cell r="M2793" t="str"><v>Tier 1</v></cell><cell r="N2793" t="str"><v>EMEA</v></cell><cell r="O2793" t="str"><v>France</v></cell><cell r="P2793" t="str"><v>Trial</v></cell><cell r="Q2793" t="str"><v>Social</v></cell><cell r="R2793" t="str"><v>Azure</v></cell><cell r="S2793" t="str"><v>Apps & Infra</v></cell><cell r="T2793" t="str"><v>Developers & ITI's</v></cell><cell r="U2793" t="str"><v>Developers/ITPros-Azure Direct-Sponsored Post-Link Ad-FreeAcctAppsFACEBOOK200CreditChD</v></cell><cell r="V2793" t="str"><v>Behavioral Targeting</v></cell><cell r="W2793" t="str"><v>Social</v></cell><cell r="X2793" t="str"><v>1x1</v></cell></row><row r="2793"><cell r="AA2793"><v>43301</v></cell><cell r="AB2793" t="str"><v>FRA_gaPMG_AZR_AZR_Q1_19_AzureDirect-Trial-Social</v></cell><cell r="AC2793"><v>21356941</v></cell><cell r="AD2793"><v>720193</v></cell><cell r="AE2793" t="str"><v>Facebook</v></cell><cell r="AF2793"><v>3654128</v></cell><cell r="AG2793" t="str"><v>Facebook»Developers/ITPros-Azure Direct-Sponsored Post-Link Ad-FreeAcctAppsFACEBOOK200CreditChD»1x1»SocialBan»SOC»ALL»CPC»BT»D»UNK»SS»NA»Trials</v></cell><cell r="AH2793"><v>224560860</v></cell><cell r="AI2793" t="str"><v>AZR_FreeAcctAppsFACEBOOK200CreditChD_FRA_1200x628_SOC_PLAT_FR_Trial_Standard_NA_SINU_T4_1</v></cell><cell r="AJ2793"><v>103377773</v></cell></row><row r="2794"><cell r="C2794" t="str"><v>43301Facebook»Developers/ITPros-Azure Direct-Sponsored Post-Link Ad-FreeAcctAppsFACEBOOKDeviceChB»1x1»SocialBan»SOC»ALL»CPC»AUT»D»UNK»SS»NA»Trials</v></cell><cell r="D2794" t="str"><v>43301224560857</v></cell><cell r="E2794" t="str"><v>43301103377002Trials</v></cell><cell r="F2794" t="str"><v>DCM</v></cell><cell r="G2794" t="str"><v>https://azure.microsoft.com/fr-fr/free/search/</v></cell></row><row r="2794"><cell r="K2794" t="str"><v>July</v></cell><cell r="L2794"><v>43302</v></cell><cell r="M2794" t="str"><v>Tier 1</v></cell><cell r="N2794" t="str"><v>EMEA</v></cell><cell r="O2794" t="str"><v>France</v></cell><cell r="P2794" t="str"><v>Trial</v></cell><cell r="Q2794" t="str"><v>Social</v></cell><cell r="R2794" t="str"><v>Azure</v></cell><cell r="S2794" t="str"><v>Apps & Infra</v></cell><cell r="T2794" t="str"><v>Developers & ITI's</v></cell><cell r="U2794" t="str"><v>Developers/ITPros-Azure Direct-Sponsored Post-Link Ad-FreeAcctAppsFACEBOOKDeviceChB</v></cell><cell r="V2794" t="str"><v>Audience Targeting</v></cell><cell r="W2794" t="str"><v>Social</v></cell><cell r="X2794" t="str"><v>1x1</v></cell></row><row r="2794"><cell r="AA2794"><v>43301</v></cell><cell r="AB2794" t="str"><v>FRA_gaPMG_AZR_AZR_Q1_19_AzureDirect-Trial-Social</v></cell><cell r="AC2794"><v>21356941</v></cell><cell r="AD2794"><v>720193</v></cell><cell r="AE2794" t="str"><v>Facebook</v></cell><cell r="AF2794"><v>3654128</v></cell><cell r="AG2794" t="str"><v>Facebook»Developers/ITPros-Azure Direct-Sponsored Post-Link Ad-FreeAcctAppsFACEBOOKDeviceChB»1x1»SocialBan»SOC»ALL»CPC»AUT»D»UNK»SS»NA»Trials</v></cell><cell r="AH2794"><v>224560857</v></cell><cell r="AI2794" t="str"><v>AZR_FreeAcctAppsFACEBOOKDeviceChB_FRA_1200x628_SOC_PLAT_FR_Trial_Standard_NA_SINU_T2_1</v></cell><cell r="AJ2794"><v>103377002</v></cell></row><row r="2795"><cell r="C2795" t="str"><v>43301Facebook»Developers/ITPros-Azure Direct-Sponsored Post-Link Ad-FreeAcctAppsFACEBOOKIllustrationChC»1x1»SocialBan»SOC»ALL»CPC»AUT»D»UNK»SS»NA»Trials</v></cell><cell r="D2795" t="str"><v>43301224560854</v></cell><cell r="E2795" t="str"><v>43301103259550Trials</v></cell><cell r="F2795" t="str"><v>DCM</v></cell><cell r="G2795" t="str"><v>https://azure.microsoft.com/fr-fr/free/search/</v></cell></row><row r="2795"><cell r="K2795" t="str"><v>July</v></cell><cell r="L2795"><v>43302</v></cell><cell r="M2795" t="str"><v>Tier 1</v></cell><cell r="N2795" t="str"><v>EMEA</v></cell><cell r="O2795" t="str"><v>France</v></cell><cell r="P2795" t="str"><v>Trial</v></cell><cell r="Q2795" t="str"><v>Social</v></cell><cell r="R2795" t="str"><v>Azure</v></cell><cell r="S2795" t="str"><v>Apps & Infra</v></cell><cell r="T2795" t="str"><v>Developers & ITI's</v></cell><cell r="U2795" t="str"><v>Developers/ITPros-Azure Direct-Sponsored Post-Link Ad-FreeAcctAppsFACEBOOKIllustrationChC</v></cell><cell r="V2795" t="str"><v>Audience Targeting</v></cell><cell r="W2795" t="str"><v>Social</v></cell><cell r="X2795" t="str"><v>1x1</v></cell></row><row r="2795"><cell r="AA2795"><v>43301</v></cell><cell r="AB2795" t="str"><v>FRA_gaPMG_AZR_AZR_Q1_19_AzureDirect-Trial-Social</v></cell><cell r="AC2795"><v>21356941</v></cell><cell r="AD2795"><v>720193</v></cell><cell r="AE2795" t="str"><v>Facebook</v></cell><cell r="AF2795"><v>3654128</v></cell><cell r="AG2795" t="str"><v>Facebook»Developers/ITPros-Azure Direct-Sponsored Post-Link Ad-FreeAcctAppsFACEBOOKIllustrationChC»1x1»SocialBan»SOC»ALL»CPC»AUT»D»UNK»SS»NA»Trials</v></cell><cell r="AH2795"><v>224560854</v></cell><cell r="AI2795" t="str"><v>AZR_FreeAcctAppsFACEBOOKIllustrationChC_FRA_1200x628_SOC_PLAT_FR_Trial_Standard_NA_SINU_T3_1</v></cell><cell r="AJ2795"><v>103259550</v></cell></row><row r="2796"><cell r="C2796" t="str"><v>43301Facebook»Developers/ITPros-Azure Direct-Sponsored Post-Link Ad-FreeAcctAppsFACEBOOKLifestyleChA»1x1»SocialBan»SOC»ALL»CPC»AUT»D»UNK»SS»NA»Trials</v></cell><cell r="D2796" t="str"><v>43301224560851</v></cell><cell r="E2796" t="str"><v>43301103259562Trials</v></cell><cell r="F2796" t="str"><v>DCM</v></cell><cell r="G2796" t="str"><v>https://azure.microsoft.com/fr-fr/free/search/</v></cell></row><row r="2796"><cell r="K2796" t="str"><v>July</v></cell><cell r="L2796"><v>43302</v></cell><cell r="M2796" t="str"><v>Tier 1</v></cell><cell r="N2796" t="str"><v>EMEA</v></cell><cell r="O2796" t="str"><v>France</v></cell><cell r="P2796" t="str"><v>Trial</v></cell><cell r="Q2796" t="str"><v>Social</v></cell><cell r="R2796" t="str"><v>Azure</v></cell><cell r="S2796" t="str"><v>Apps & Infra</v></cell><cell r="T2796" t="str"><v>Developers & ITI's</v></cell><cell r="U2796" t="str"><v>Developers/ITPros-Azure Direct-Sponsored Post-Link Ad-FreeAcctAppsFACEBOOKLifestyleChA</v></cell><cell r="V2796" t="str"><v>Audience Targeting</v></cell><cell r="W2796" t="str"><v>Social</v></cell><cell r="X2796" t="str"><v>1x1</v></cell></row><row r="2796"><cell r="AA2796"><v>43301</v></cell><cell r="AB2796" t="str"><v>FRA_gaPMG_AZR_AZR_Q1_19_AzureDirect-Trial-Social</v></cell><cell r="AC2796"><v>21356941</v></cell><cell r="AD2796"><v>720193</v></cell><cell r="AE2796" t="str"><v>Facebook</v></cell><cell r="AF2796"><v>3654128</v></cell><cell r="AG2796" t="str"><v>Facebook»Developers/ITPros-Azure Direct-Sponsored Post-Link Ad-FreeAcctAppsFACEBOOKLifestyleChA»1x1»SocialBan»SOC»ALL»CPC»AUT»D»UNK»SS»NA»Trials</v></cell><cell r="AH2796"><v>224560851</v></cell><cell r="AI2796" t="str"><v>AZR_FreeAcctAppsFACEBOOKLifestyleChA_FRA_1200x628_SOC_PLAT_FR_Trial_Standard_NA_SINU_T1_1</v></cell><cell r="AJ2796"><v>103259562</v></cell></row><row r="2797"><cell r="C2797" t="str"><v>43301Facebook»Developers/ITPros-Azure Direct-Sponsored Post-Link Ad-FreeAcctRetargetingFB-Animated-ChC»1x1»SocialBan»SOC»ALL»CPC»BT»D»UNK»SS»NA»Trials</v></cell><cell r="D2797" t="str"><v>43301224560848</v></cell><cell r="E2797" t="str"><v>43301103259775Trials</v></cell><cell r="F2797" t="str"><v>DCM</v></cell><cell r="G2797" t="str"><v>https://azure.microsoft.com/fr-fr/free/search/</v></cell></row><row r="2797"><cell r="K2797" t="str"><v>July</v></cell><cell r="L2797"><v>43302</v></cell><cell r="M2797" t="str"><v>Tier 1</v></cell><cell r="N2797" t="str"><v>EMEA</v></cell><cell r="O2797" t="str"><v>France</v></cell><cell r="P2797" t="str"><v>Trial</v></cell><cell r="Q2797" t="str"><v>Social</v></cell><cell r="R2797" t="str"><v>Azure</v></cell><cell r="S2797" t="str"><v>Apps & Infra</v></cell><cell r="T2797" t="str"><v>Developers & ITI's</v></cell><cell r="U2797" t="str"><v>Developers/ITPros-Azure Direct-Sponsored Post-Link Ad-FreeAcctRetargetingFB-Animated-ChC</v></cell><cell r="V2797" t="str"><v>Behavioral Targeting</v></cell><cell r="W2797" t="str"><v>Social</v></cell><cell r="X2797" t="str"><v>1x1</v></cell></row><row r="2797"><cell r="AA2797"><v>43301</v></cell><cell r="AB2797" t="str"><v>FRA_gaPMG_AZR_AZR_Q1_19_AzureDirect-Trial-Social</v></cell><cell r="AC2797"><v>21356941</v></cell><cell r="AD2797"><v>720193</v></cell><cell r="AE2797" t="str"><v>Facebook</v></cell><cell r="AF2797"><v>3654128</v></cell><cell r="AG2797" t="str"><v>Facebook»Developers/ITPros-Azure Direct-Sponsored Post-Link Ad-FreeAcctRetargetingFB-Animated-ChC»1x1»SocialBan»SOC»ALL»CPC»BT»D»UNK»SS»NA»Trials</v></cell><cell r="AH2797"><v>224560848</v></cell><cell r="AI2797" t="str"><v>AZR_reeAcctRetargetingFB-Animated-ChC_FRA_1200x628_SOC_AZRDirect_French_NA_Facebook_SBAN_SINU_T3_1</v></cell><cell r="AJ2797"><v>103259775</v></cell></row><row r="2798"><cell r="C2798" t="str"><v>43301Facebook»Developers/ITPros-Azure Direct-Sponsored Post-Link Ad-FreeAcctRetargetingVMFB-OnDemand-ChE»1x1»SocialBan»SOC»ALL»CPC»BT»D»UNK»SS»NA»Trials</v></cell><cell r="D2798" t="str"><v>43301224560833</v></cell><cell r="E2798" t="str"><v>43301103376990Trials</v></cell><cell r="F2798" t="str"><v>DCM</v></cell><cell r="G2798" t="str"><v>https://azure.microsoft.com/fr-fr/free/virtual-machines/search/</v></cell></row><row r="2798"><cell r="K2798" t="str"><v>July</v></cell><cell r="L2798"><v>43302</v></cell><cell r="M2798" t="str"><v>Tier 1</v></cell><cell r="N2798" t="str"><v>EMEA</v></cell><cell r="O2798" t="str"><v>France</v></cell><cell r="P2798" t="str"><v>Trial</v></cell><cell r="Q2798" t="str"><v>Social</v></cell><cell r="R2798" t="str"><v>Azure</v></cell><cell r="S2798" t="str"><v>Apps & Infra</v></cell><cell r="T2798" t="str"><v>Developers & ITI's</v></cell><cell r="U2798" t="str"><v>Developers/ITPros-Azure Direct-Sponsored Post-Link Ad-FreeAcctRetargetingVMFB-OnDemand-ChE</v></cell><cell r="V2798" t="str"><v>Behavioral Targeting</v></cell><cell r="W2798" t="str"><v>Social</v></cell><cell r="X2798" t="str"><v>1x1</v></cell></row><row r="2798"><cell r="AA2798"><v>43301</v></cell><cell r="AB2798" t="str"><v>FRA_gaPMG_AZR_AZR_Q1_19_AzureDirect-Trial-Social</v></cell><cell r="AC2798"><v>21356941</v></cell><cell r="AD2798"><v>720193</v></cell><cell r="AE2798" t="str"><v>Facebook</v></cell><cell r="AF2798"><v>3654128</v></cell><cell r="AG2798" t="str"><v>Facebook»Developers/ITPros-Azure Direct-Sponsored Post-Link Ad-FreeAcctRetargetingVMFB-OnDemand-ChE»1x1»SocialBan»SOC»ALL»CPC»BT»D»UNK»SS»NA»Trials</v></cell><cell r="AH2798"><v>224560833</v></cell><cell r="AI2798" t="str"><v>AZR_FreeAcctRetargetingVMFB-OnDemand-ChE_FRA_1200x628_SOC_AZRDirect_French_NA_Facebook_SBAN_SINU_T2_1</v></cell><cell r="AJ2798"><v>103376990</v></cell></row><row r="2799"><cell r="C2799" t="str"><v>43301Facebook»Audience & Interest Targeting»1x1»SocialBan»LIA»DT»CPC»AUT»W»NA»SS»NA»Basic Motion</v></cell><cell r="D2799" t="str"><v>43301224399962</v></cell><cell r="E2799" t="str"><v>43301103235146Motion</v></cell><cell r="F2799" t="str"><v>DCM</v></cell><cell r="G2799" t="str"><v>https://signup.azure.com/signup?offer=ms-azr-0044p&appId=102&ref=paidmedia-social-fb&redirectURL=https%3a%2f%2fazure.microsoft.com%2fen-gb%2fget-started%2fwelcome-to-azure%2f&l=en-gb&correlationId=ead86c34-1f10-49dd-a72b-6918462a2cbf</v></cell></row><row r="2799"><cell r="K2799" t="str"><v>July</v></cell><cell r="L2799"><v>43302</v></cell><cell r="M2799" t="str"><v>Tier 1</v></cell><cell r="N2799" t="str"><v>EMEA</v></cell><cell r="O2799" t="str"><v>United Kingdom</v></cell><cell r="P2799" t="str"><v>Trial</v></cell><cell r="Q2799" t="str"><v>Social</v></cell><cell r="R2799" t="str"><v>Azure</v></cell><cell r="S2799" t="str"><v>Apps & Infra</v></cell><cell r="T2799" t="str"><v>Developers & ITI's</v></cell><cell r="U2799" t="str"><v>Audience & Interest Targeting</v></cell><cell r="V2799" t="str"><v>Audience Targeting</v></cell><cell r="W2799" t="str"><v>Link Ad</v></cell><cell r="X2799" t="str"><v>1x1</v></cell></row><row r="2799"><cell r="AA2799"><v>43301</v></cell><cell r="AB2799" t="str"><v>GBR_gaPMG_CE_AZR_Q1_19_Trial-Social</v></cell><cell r="AC2799"><v>21337013</v></cell><cell r="AD2799"><v>720196</v></cell><cell r="AE2799" t="str"><v>Facebook</v></cell><cell r="AF2799"><v>3654128</v></cell><cell r="AG2799" t="str"><v>Facebook»Audience & Interest Targeting»1x1»SocialBan»LIA»DT»CPC»AUT»W»NA»SS»NA»Basic Motion</v></cell><cell r="AH2799"><v>224399962</v></cell><cell r="AI2799" t="str"><v>AzurePlatform_FBCTCcanvaspage-StartFreeCTA-Img2_GBR_1080x143 _SOC_Plat_English_NA_Standard_NA_NA_T2_1</v></cell><cell r="AJ2799"><v>103235146</v></cell></row><row r="2800"><cell r="C2800" t="str"><v>43301Facebook»Audience & Interest Targeting»1x1»SocialBan»LIA»DT»CPC»AUT»W»NA»SS»NA»Benefit 2 in Motion</v></cell><cell r="D2800" t="str"><v>43301224334170</v></cell><cell r="E2800" t="str"><v>43301103230847Motion</v></cell><cell r="F2800" t="str"><v>DCM</v></cell><cell r="G2800" t="str"><v>https://azure.microsoft.com/en-gb/pricing/purchase-options/</v></cell></row><row r="2800"><cell r="K2800" t="str"><v>July</v></cell><cell r="L2800"><v>43302</v></cell><cell r="M2800" t="str"><v>Tier 1</v></cell><cell r="N2800" t="str"><v>EMEA</v></cell><cell r="O2800" t="str"><v>United Kingdom</v></cell><cell r="P2800" t="str"><v>Trial</v></cell><cell r="Q2800" t="str"><v>Social</v></cell><cell r="R2800" t="str"><v>Azure</v></cell><cell r="S2800" t="str"><v>Apps & Infra</v></cell><cell r="T2800" t="str"><v>Developers & ITI's</v></cell><cell r="U2800" t="str"><v>Audience & Interest Targeting</v></cell><cell r="V2800" t="str"><v>Audience Targeting</v></cell><cell r="W2800" t="str"><v>Link Ad</v></cell><cell r="X2800" t="str"><v>1x1</v></cell></row><row r="2800"><cell r="AA2800"><v>43301</v></cell><cell r="AB2800" t="str"><v>GBR_gaPMG_CE_AZR_Q1_19_Trial-Social</v></cell><cell r="AC2800"><v>21337013</v></cell><cell r="AD2800"><v>720196</v></cell><cell r="AE2800" t="str"><v>Facebook</v></cell><cell r="AF2800"><v>3654128</v></cell><cell r="AG2800" t="str"><v>Facebook»Audience & Interest Targeting»1x1»SocialBan»LIA»DT»CPC»AUT»W»NA»SS»NA»Benefit 2 in Motion</v></cell><cell r="AH2800"><v>224334170</v></cell><cell r="AI2800" t="str"><v>AzurePlatform_FBCTCcanvaspage-BuyNowCTA-Img3_GBR_1080x162_SOC_Plat_English_NA_Standard_NA_BN_T3_1</v></cell><cell r="AJ2800"><v>103230847</v></cell></row><row r="2801"><cell r="C2801" t="str"><v>43301Facebook»Audience & Interest Targeting»1x1»SocialBan»LIA»DT»CPC»AUT»W»NA»SS»NA»Benefit 2 in Motion</v></cell><cell r="D2801" t="str"><v>43301224334170</v></cell><cell r="E2801" t="str"><v>43301103235146Motion</v></cell><cell r="F2801" t="str"><v>DCM</v></cell><cell r="G2801" t="str"><v>https://signup.azure.com/signup?offer=ms-azr-0044p&appId=102&ref=paidmedia-social-fb&redirectURL=https%3a%2f%2fazure.microsoft.com%2fen-gb%2fget-started%2fwelcome-to-azure%2f&l=en-gb&correlationId=ead86c34-1f10-49dd-a72b-6918462a2cbf</v></cell></row><row r="2801"><cell r="K2801" t="str"><v>July</v></cell><cell r="L2801"><v>43302</v></cell><cell r="M2801" t="str"><v>Tier 1</v></cell><cell r="N2801" t="str"><v>EMEA</v></cell><cell r="O2801" t="str"><v>United Kingdom</v></cell><cell r="P2801" t="str"><v>Trial</v></cell><cell r="Q2801" t="str"><v>Social</v></cell><cell r="R2801" t="str"><v>Azure</v></cell><cell r="S2801" t="str"><v>Apps & Infra</v></cell><cell r="T2801" t="str"><v>Developers & ITI's</v></cell><cell r="U2801" t="str"><v>Audience & Interest Targeting</v></cell><cell r="V2801" t="str"><v>Audience Targeting</v></cell><cell r="W2801" t="str"><v>Link Ad</v></cell><cell r="X2801" t="str"><v>1x1</v></cell></row><row r="2801"><cell r="AA2801"><v>43301</v></cell><cell r="AB2801" t="str"><v>GBR_gaPMG_CE_AZR_Q1_19_Trial-Social</v></cell><cell r="AC2801"><v>21337013</v></cell><cell r="AD2801"><v>720196</v></cell><cell r="AE2801" t="str"><v>Facebook</v></cell><cell r="AF2801"><v>3654128</v></cell><cell r="AG2801" t="str"><v>Facebook»Audience & Interest Targeting»1x1»SocialBan»LIA»DT»CPC»AUT»W»NA»SS»NA»Benefit 2 in Motion</v></cell><cell r="AH2801"><v>224334170</v></cell><cell r="AI2801" t="str"><v>AzurePlatform_FBCTCcanvaspage-StartFreeCTA-Img2_GBR_1080x143 _SOC_Plat_English_NA_Standard_NA_NA_T2_1</v></cell><cell r="AJ2801"><v>103235146</v></cell></row><row r="2802"><cell r="C2802" t="str"><v>43301Facebook»Audience & Interest Targeting»1x1»SocialBan»LIA»DT»CPC»AUT»W»NA»SS»NA»Brand in Motion</v></cell><cell r="D2802" t="str"><v>43301224549481</v></cell><cell r="E2802" t="str"><v>43301103235146Motion</v></cell><cell r="F2802" t="str"><v>DCM</v></cell><cell r="G2802" t="str"><v>https://signup.azure.com/signup?offer=ms-azr-0044p&appId=102&ref=paidmedia-social-fb&redirectURL=https%3a%2f%2fazure.microsoft.com%2fen-gb%2fget-started%2fwelcome-to-azure%2f&l=en-gb&correlationId=ead86c34-1f10-49dd-a72b-6918462a2cbf</v></cell></row><row r="2802"><cell r="K2802" t="str"><v>July</v></cell><cell r="L2802"><v>43302</v></cell><cell r="M2802" t="str"><v>Tier 1</v></cell><cell r="N2802" t="str"><v>EMEA</v></cell><cell r="O2802" t="str"><v>United Kingdom</v></cell><cell r="P2802" t="str"><v>Trial</v></cell><cell r="Q2802" t="str"><v>Social</v></cell><cell r="R2802" t="str"><v>Azure</v></cell><cell r="S2802" t="str"><v>Apps & Infra</v></cell><cell r="T2802" t="str"><v>Developers & ITI's</v></cell><cell r="U2802" t="str"><v>Audience & Interest Targeting</v></cell><cell r="V2802" t="str"><v>Audience Targeting</v></cell><cell r="W2802" t="str"><v>Link Ad</v></cell><cell r="X2802" t="str"><v>1x1</v></cell></row><row r="2802"><cell r="AA2802"><v>43301</v></cell><cell r="AB2802" t="str"><v>GBR_gaPMG_CE_AZR_Q1_19_Trial-Social</v></cell><cell r="AC2802"><v>21337013</v></cell><cell r="AD2802"><v>720196</v></cell><cell r="AE2802" t="str"><v>Facebook</v></cell><cell r="AF2802"><v>3654128</v></cell><cell r="AG2802" t="str"><v>Facebook»Audience & Interest Targeting»1x1»SocialBan»LIA»DT»CPC»AUT»W»NA»SS»NA»Brand in Motion</v></cell><cell r="AH2802"><v>224549481</v></cell><cell r="AI2802" t="str"><v>AzurePlatform_FBCTCcanvaspage-StartFreeCTA-Img2_GBR_1080x143 _SOC_Plat_English_NA_Standard_NA_NA_T2_1</v></cell><cell r="AJ2802"><v>103235146</v></cell></row><row r="2803"><cell r="C2803" t="str"><v>43301Facebook»Audience & Interest Targeting»1x1»SocialBan»LIA»DT»DYN»AUT»W»NA»SS»NA»Free Account Refresh- 12 months ChE</v></cell><cell r="D2803" t="str"><v>43301223567691</v></cell><cell r="E2803" t="str"><v>43301102854007hs ChE</v></cell><cell r="F2803" t="str"><v>DCM</v></cell><cell r="G2803" t="str"><v>https://azure.microsoft.com/en-gb/free/search/</v></cell></row><row r="2803"><cell r="K2803" t="str"><v>July</v></cell><cell r="L2803"><v>43302</v></cell><cell r="M2803" t="str"><v>Tier 1</v></cell><cell r="N2803" t="str"><v>EMEA</v></cell><cell r="O2803" t="str"><v>United Kingdom</v></cell><cell r="P2803" t="str"><v>Trial</v></cell><cell r="Q2803" t="str"><v>Social</v></cell><cell r="R2803" t="str"><v>Azure</v></cell><cell r="S2803" t="str"><v>Apps & Infra</v></cell><cell r="T2803" t="str"><v>Developers & ITI's</v></cell><cell r="U2803" t="str"><v>Audience & Interest Targeting</v></cell><cell r="V2803" t="str"><v>Audience Targeting</v></cell><cell r="W2803" t="str"><v>Link Ad</v></cell><cell r="X2803" t="str"><v>1x1</v></cell></row><row r="2803"><cell r="AA2803"><v>43301</v></cell><cell r="AB2803" t="str"><v>GBR_gaPMG_CE_AZR_Q1_19_Trial-Social</v></cell><cell r="AC2803"><v>21337013</v></cell><cell r="AD2803"><v>720196</v></cell><cell r="AE2803" t="str"><v>Facebook</v></cell><cell r="AF2803"><v>3654128</v></cell><cell r="AG2803" t="str"><v>Facebook»Audience & Interest Targeting»1x1»SocialBan»LIA»DT»DYN»AUT»W»NA»SS»NA»Free Account Refresh- 12 months ChE</v></cell><cell r="AH2803"><v>223567691</v></cell><cell r="AI2803" t="str"><v>AzurePlatform_FreeAcctAppsFACEBOOK12monthsChE_GBR_1200x628_SOC_PLAT_EN_Trial_Standard_NA_SU_T5_1</v></cell><cell r="AJ2803"><v>102854007</v></cell></row><row r="2804"><cell r="C2804" t="str"><v>43301Facebook»Audience & Interest Targeting»1x1»SocialBan»LIA»DT»DYN»AUT»W»NA»SS»NA»Free Account Refresh- 200 Credit ChD</v></cell><cell r="D2804" t="str"><v>43301223560359</v></cell><cell r="E2804" t="str"><v>43301103005662it ChD</v></cell><cell r="F2804" t="str"><v>DCM</v></cell><cell r="G2804" t="str"><v>https://azure.microsoft.com/en-gb/free/search/</v></cell></row><row r="2804"><cell r="K2804" t="str"><v>July</v></cell><cell r="L2804"><v>43302</v></cell><cell r="M2804" t="str"><v>Tier 1</v></cell><cell r="N2804" t="str"><v>EMEA</v></cell><cell r="O2804" t="str"><v>United Kingdom</v></cell><cell r="P2804" t="str"><v>Trial</v></cell><cell r="Q2804" t="str"><v>Social</v></cell><cell r="R2804" t="str"><v>Azure</v></cell><cell r="S2804" t="str"><v>Apps & Infra</v></cell><cell r="T2804" t="str"><v>Developers & ITI's</v></cell><cell r="U2804" t="str"><v>Audience & Interest Targeting</v></cell><cell r="V2804" t="str"><v>Audience Targeting</v></cell><cell r="W2804" t="str"><v>Link Ad</v></cell><cell r="X2804" t="str"><v>1x1</v></cell></row><row r="2804"><cell r="AA2804"><v>43301</v></cell><cell r="AB2804" t="str"><v>GBR_gaPMG_CE_AZR_Q1_19_Trial-Social</v></cell><cell r="AC2804"><v>21337013</v></cell><cell r="AD2804"><v>720196</v></cell><cell r="AE2804" t="str"><v>Facebook</v></cell><cell r="AF2804"><v>3654128</v></cell><cell r="AG2804" t="str"><v>Facebook»Audience & Interest Targeting»1x1»SocialBan»LIA»DT»DYN»AUT»W»NA»SS»NA»Free Account Refresh- 200 Credit ChD</v></cell><cell r="AH2804"><v>223560359</v></cell><cell r="AI2804" t="str"><v>AzurePlatform_FreeAcctAppsFACEBOOK200CreditChD_GBR_1200x628_SOC_PLAT_EN_Trial_Standard_NA_SU_T4_1</v></cell><cell r="AJ2804"><v>103005662</v></cell></row><row r="2805"><cell r="C2805" t="str"><v>43301Facebook»Audience & Interest Targeting»1x1»SocialBan»LIA»DT»DYN»AUT»W»NA»SS»NA»Free Account Refresh- Device ChB</v></cell><cell r="D2805" t="str"><v>43301223560353</v></cell><cell r="E2805" t="str"><v>43301102854010ce ChB</v></cell><cell r="F2805" t="str"><v>DCM</v></cell><cell r="G2805" t="str"><v>https://azure.microsoft.com/en-gb/free/search/</v></cell></row><row r="2805"><cell r="K2805" t="str"><v>July</v></cell><cell r="L2805"><v>43302</v></cell><cell r="M2805" t="str"><v>Tier 1</v></cell><cell r="N2805" t="str"><v>EMEA</v></cell><cell r="O2805" t="str"><v>United Kingdom</v></cell><cell r="P2805" t="str"><v>Trial</v></cell><cell r="Q2805" t="str"><v>Social</v></cell><cell r="R2805" t="str"><v>Azure</v></cell><cell r="S2805" t="str"><v>Apps & Infra</v></cell><cell r="T2805" t="str"><v>Developers & ITI's</v></cell><cell r="U2805" t="str"><v>Audience & Interest Targeting</v></cell><cell r="V2805" t="str"><v>Audience Targeting</v></cell><cell r="W2805" t="str"><v>Link Ad</v></cell><cell r="X2805" t="str"><v>1x1</v></cell></row><row r="2805"><cell r="AA2805"><v>43301</v></cell><cell r="AB2805" t="str"><v>GBR_gaPMG_CE_AZR_Q1_19_Trial-Social</v></cell><cell r="AC2805"><v>21337013</v></cell><cell r="AD2805"><v>720196</v></cell><cell r="AE2805" t="str"><v>Facebook</v></cell><cell r="AF2805"><v>3654128</v></cell><cell r="AG2805" t="str"><v>Facebook»Audience & Interest Targeting»1x1»SocialBan»LIA»DT»DYN»AUT»W»NA»SS»NA»Free Account Refresh- Device ChB</v></cell><cell r="AH2805"><v>223560353</v></cell><cell r="AI2805" t="str"><v>AzurePlatform_FreeAcctAppsFACEBOOKDeviceChB_GBR_1200x628_SOC_PLAT_EN_Trial_Standard_NA_SU_T2_1</v></cell><cell r="AJ2805"><v>102854010</v></cell></row><row r="2806"><cell r="C2806" t="str"><v>43301Facebook»Audience & Interest Targeting»1x1»SocialBan»LIA»DT»DYN»AUT»W»NA»SS»NA»Free Account Refresh- Illustration ChC</v></cell><cell r="D2806" t="str"><v>43301223560347</v></cell><cell r="E2806" t="str"><v>43301102857037on ChC</v></cell><cell r="F2806" t="str"><v>DCM</v></cell><cell r="G2806" t="str"><v>https://azure.microsoft.com/en-gb/free/search/</v></cell></row><row r="2806"><cell r="K2806" t="str"><v>July</v></cell><cell r="L2806"><v>43302</v></cell><cell r="M2806" t="str"><v>Tier 1</v></cell><cell r="N2806" t="str"><v>EMEA</v></cell><cell r="O2806" t="str"><v>United Kingdom</v></cell><cell r="P2806" t="str"><v>Trial</v></cell><cell r="Q2806" t="str"><v>Social</v></cell><cell r="R2806" t="str"><v>Azure</v></cell><cell r="S2806" t="str"><v>Apps & Infra</v></cell><cell r="T2806" t="str"><v>Developers & ITI's</v></cell><cell r="U2806" t="str"><v>Audience & Interest Targeting</v></cell><cell r="V2806" t="str"><v>Audience Targeting</v></cell><cell r="W2806" t="str"><v>Link Ad</v></cell><cell r="X2806" t="str"><v>1x1</v></cell></row><row r="2806"><cell r="AA2806"><v>43301</v></cell><cell r="AB2806" t="str"><v>GBR_gaPMG_CE_AZR_Q1_19_Trial-Social</v></cell><cell r="AC2806"><v>21337013</v></cell><cell r="AD2806"><v>720196</v></cell><cell r="AE2806" t="str"><v>Facebook</v></cell><cell r="AF2806"><v>3654128</v></cell><cell r="AG2806" t="str"><v>Facebook»Audience & Interest Targeting»1x1»SocialBan»LIA»DT»DYN»AUT»W»NA»SS»NA»Free Account Refresh- Illustration ChC</v></cell><cell r="AH2806"><v>223560347</v></cell><cell r="AI2806" t="str"><v>AzurePlatform_FreeAcctAppsFACEBOOKIllustrationChC_GBR_1200x628_SOC_PLAT_EN_Trial_Standard_NA_SU_T3_1</v></cell><cell r="AJ2806"><v>102857037</v></cell></row><row r="2807"><cell r="C2807" t="str"><v>43301Facebook»Audience & Interest Targeting»1x1»SocialBan»LIA»DT»DYN»AUT»W»NA»SS»NA»Free Account Refresh- Lifestyle ChA</v></cell><cell r="D2807" t="str"><v>43301223560341</v></cell><cell r="E2807" t="str"><v>43301102853597le ChA</v></cell><cell r="F2807" t="str"><v>DCM</v></cell><cell r="G2807" t="str"><v>https://azure.microsoft.com/en-gb/free/search/</v></cell></row><row r="2807"><cell r="K2807" t="str"><v>July</v></cell><cell r="L2807"><v>43302</v></cell><cell r="M2807" t="str"><v>Tier 1</v></cell><cell r="N2807" t="str"><v>EMEA</v></cell><cell r="O2807" t="str"><v>United Kingdom</v></cell><cell r="P2807" t="str"><v>Trial</v></cell><cell r="Q2807" t="str"><v>Social</v></cell><cell r="R2807" t="str"><v>Azure</v></cell><cell r="S2807" t="str"><v>Apps & Infra</v></cell><cell r="T2807" t="str"><v>Developers & ITI's</v></cell><cell r="U2807" t="str"><v>Audience & Interest Targeting</v></cell><cell r="V2807" t="str"><v>Audience Targeting</v></cell><cell r="W2807" t="str"><v>Link Ad</v></cell><cell r="X2807" t="str"><v>1x1</v></cell></row><row r="2807"><cell r="AA2807"><v>43301</v></cell><cell r="AB2807" t="str"><v>GBR_gaPMG_CE_AZR_Q1_19_Trial-Social</v></cell><cell r="AC2807"><v>21337013</v></cell><cell r="AD2807"><v>720196</v></cell><cell r="AE2807" t="str"><v>Facebook</v></cell><cell r="AF2807"><v>3654128</v></cell><cell r="AG2807" t="str"><v>Facebook»Audience & Interest Targeting»1x1»SocialBan»LIA»DT»DYN»AUT»W»NA»SS»NA»Free Account Refresh- Lifestyle ChA</v></cell><cell r="AH2807"><v>223560341</v></cell><cell r="AI2807" t="str"><v>AzurePlatform_FreeAcctAppsFACEBOOKLifestyleChA_GBR_1200x628_SOC_PLAT_EN_Trial_Standard_NA_SU_T1_1</v></cell><cell r="AJ2807"><v>102853597</v></cell></row><row r="2808"><cell r="C2808" t="str"><v>43301Facebook»Retargeting»1x1»SocialBan»LIA»DT»DYN»RT»W»NA»SS»NA»Free Account Retargeting Generic- Animated ChC</v></cell><cell r="D2808" t="str"><v>43301223560299</v></cell><cell r="E2808" t="str"><v>43301102854019ed ChC</v></cell><cell r="F2808" t="str"><v>DCM</v></cell><cell r="G2808" t="str"><v>https://azure.microsoft.com/en-gb/free/search/</v></cell></row><row r="2808"><cell r="K2808" t="str"><v>July</v></cell><cell r="L2808"><v>43302</v></cell><cell r="M2808" t="str"><v>Tier 1</v></cell><cell r="N2808" t="str"><v>EMEA</v></cell><cell r="O2808" t="str"><v>United Kingdom</v></cell><cell r="P2808" t="str"><v>Trial</v></cell><cell r="Q2808" t="str"><v>Social</v></cell><cell r="R2808" t="str"><v>Azure</v></cell><cell r="S2808" t="str"><v>Apps & Infra</v></cell><cell r="T2808" t="str"><v>Developers & ITI's</v></cell><cell r="U2808" t="str"><v>Retargeting</v></cell><cell r="V2808" t="str"><v>Retargeting</v></cell><cell r="W2808" t="str"><v>Link Ad</v></cell><cell r="X2808" t="str"><v>1x1</v></cell></row><row r="2808"><cell r="AA2808"><v>43301</v></cell><cell r="AB2808" t="str"><v>GBR_gaPMG_CE_AZR_Q1_19_Trial-Social</v></cell><cell r="AC2808"><v>21337013</v></cell><cell r="AD2808"><v>720196</v></cell><cell r="AE2808" t="str"><v>Facebook</v></cell><cell r="AF2808"><v>3654128</v></cell><cell r="AG2808" t="str"><v>Facebook»Retargeting»1x1»SocialBan»LIA»DT»DYN»RT»W»NA»SS»NA»Free Account Retargeting Generic- Animated ChC</v></cell><cell r="AH2808"><v>223560299</v></cell><cell r="AI2808" t="str"><v>AzurePlatform_FreeAcctRetargetingFB-Animated-ChC_GBR_1200x628_SOC_Plat_EN_Free Account_Standard_ANI_SU_T3_1</v></cell><cell r="AJ2808"><v>102854019</v></cell></row><row r="2809"><cell r="C2809" t="str"><v>43301Facebook»Retargeting»1x1»SocialBan»LIA»DT»DYN»RT»W»NA»SS»NA»Free Account Retargeting OSS- Logos ChG</v></cell><cell r="D2809" t="str"><v>43301223560350</v></cell><cell r="E2809" t="str"><v>43301103006547os ChG</v></cell><cell r="F2809" t="str"><v>DCM</v></cell><cell r="G2809" t="str"><v>https://azure.microsoft.com/en-gb/free/open-source/search/</v></cell></row><row r="2809"><cell r="K2809" t="str"><v>July</v></cell><cell r="L2809"><v>43302</v></cell><cell r="M2809" t="str"><v>Tier 1</v></cell><cell r="N2809" t="str"><v>EMEA</v></cell><cell r="O2809" t="str"><v>United Kingdom</v></cell><cell r="P2809" t="str"><v>Trial</v></cell><cell r="Q2809" t="str"><v>Social</v></cell><cell r="R2809" t="str"><v>Azure</v></cell><cell r="S2809" t="str"><v>Apps & Infra</v></cell><cell r="T2809" t="str"><v>Developers & ITI's</v></cell><cell r="U2809" t="str"><v>Retargeting</v></cell><cell r="V2809" t="str"><v>Retargeting</v></cell><cell r="W2809" t="str"><v>Link Ad</v></cell><cell r="X2809" t="str"><v>1x1</v></cell></row><row r="2809"><cell r="AA2809"><v>43301</v></cell><cell r="AB2809" t="str"><v>GBR_gaPMG_CE_AZR_Q1_19_Trial-Social</v></cell><cell r="AC2809"><v>21337013</v></cell><cell r="AD2809"><v>720196</v></cell><cell r="AE2809" t="str"><v>Facebook</v></cell><cell r="AF2809"><v>3654128</v></cell><cell r="AG2809" t="str"><v>Facebook»Retargeting»1x1»SocialBan»LIA»DT»DYN»RT»W»NA»SS»NA»Free Account Retargeting OSS- Logos ChG</v></cell><cell r="AH2809"><v>223560350</v></cell><cell r="AI2809" t="str"><v>AzurePlatform_FreeAcctRetargetingOSSFB-Logos-ChG_GBR_1200x628_SOC_Plat_EN_Free Account_Standard_NA_SU_T2_1</v></cell><cell r="AJ2809"><v>103006547</v></cell></row><row r="2810"><cell r="C2810" t="str"><v>43301Facebook»Retargeting»1x1»SocialBan»LIA»DT»DYN»RT»W»NA»SS»NA»Free Account Retargeting OSS- Text ChF</v></cell><cell r="D2810" t="str"><v>43301223560344</v></cell><cell r="E2810" t="str"><v>43301102861246xt ChF</v></cell><cell r="F2810" t="str"><v>DCM</v></cell><cell r="G2810" t="str"><v>https://azure.microsoft.com/en-gb/free/open-source/search/</v></cell></row><row r="2810"><cell r="K2810" t="str"><v>July</v></cell><cell r="L2810"><v>43302</v></cell><cell r="M2810" t="str"><v>Tier 1</v></cell><cell r="N2810" t="str"><v>EMEA</v></cell><cell r="O2810" t="str"><v>United Kingdom</v></cell><cell r="P2810" t="str"><v>Trial</v></cell><cell r="Q2810" t="str"><v>Social</v></cell><cell r="R2810" t="str"><v>Azure</v></cell><cell r="S2810" t="str"><v>Apps & Infra</v></cell><cell r="T2810" t="str"><v>Developers & ITI's</v></cell><cell r="U2810" t="str"><v>Retargeting</v></cell><cell r="V2810" t="str"><v>Retargeting</v></cell><cell r="W2810" t="str"><v>Link Ad</v></cell><cell r="X2810" t="str"><v>1x1</v></cell></row><row r="2810"><cell r="AA2810"><v>43301</v></cell><cell r="AB2810" t="str"><v>GBR_gaPMG_CE_AZR_Q1_19_Trial-Social</v></cell><cell r="AC2810"><v>21337013</v></cell><cell r="AD2810"><v>720196</v></cell><cell r="AE2810" t="str"><v>Facebook</v></cell><cell r="AF2810"><v>3654128</v></cell><cell r="AG2810" t="str"><v>Facebook»Retargeting»1x1»SocialBan»LIA»DT»DYN»RT»W»NA»SS»NA»Free Account Retargeting OSS- Text ChF</v></cell><cell r="AH2810"><v>223560344</v></cell><cell r="AI2810" t="str"><v>AzurePlatform_FreeAcctRetargetingOSSFB-Text-ChF_GBR_1200x628_SOC_Plat_EN_Free Account_Standard_NA_SU_T1_1</v></cell><cell r="AJ2810"><v>102861246</v></cell></row><row r="2811"><cell r="C2811" t="str"><v>43301Facebook»Retargeting»1x1»SocialBan»LIA»DT»DYN»RT»W»NA»SS»NA»Free Account Retargeting VM- 750 Hrs ChD</v></cell><cell r="D2811" t="str"><v>43301223560338</v></cell><cell r="E2811" t="str"><v>43301102853603rs ChD</v></cell><cell r="F2811" t="str"><v>DCM</v></cell><cell r="G2811" t="str"><v>https://azure.microsoft.com/en-gb/free/virtual-machines/search/</v></cell></row><row r="2811"><cell r="K2811" t="str"><v>July</v></cell><cell r="L2811"><v>43302</v></cell><cell r="M2811" t="str"><v>Tier 1</v></cell><cell r="N2811" t="str"><v>EMEA</v></cell><cell r="O2811" t="str"><v>United Kingdom</v></cell><cell r="P2811" t="str"><v>Trial</v></cell><cell r="Q2811" t="str"><v>Social</v></cell><cell r="R2811" t="str"><v>Azure</v></cell><cell r="S2811" t="str"><v>Apps & Infra</v></cell><cell r="T2811" t="str"><v>Developers & ITI's</v></cell><cell r="U2811" t="str"><v>Retargeting</v></cell><cell r="V2811" t="str"><v>Retargeting</v></cell><cell r="W2811" t="str"><v>Link Ad</v></cell><cell r="X2811" t="str"><v>1x1</v></cell></row><row r="2811"><cell r="AA2811"><v>43301</v></cell><cell r="AB2811" t="str"><v>GBR_gaPMG_CE_AZR_Q1_19_Trial-Social</v></cell><cell r="AC2811"><v>21337013</v></cell><cell r="AD2811"><v>720196</v></cell><cell r="AE2811" t="str"><v>Facebook</v></cell><cell r="AF2811"><v>3654128</v></cell><cell r="AG2811" t="str"><v>Facebook»Retargeting»1x1»SocialBan»LIA»DT»DYN»RT»W»NA»SS»NA»Free Account Retargeting VM- 750 Hrs ChD</v></cell><cell r="AH2811"><v>223560338</v></cell><cell r="AI2811" t="str"><v>AzurePlatform_FreeAcctRetargetingVMFB-750Hrs-ChD_GBR_1200x628_SOC_Plat_EN_Free Account_Standard_NA_SU_T1_1</v></cell><cell r="AJ2811"><v>102853603</v></cell></row><row r="2812"><cell r="C2812" t="str"><v>43301Facebook»Retargeting»1x1»SocialBan»LIA»DT»DYN»RT»W»NA»SS»NA»Free Account Retargeting VM- On Demand ChE</v></cell><cell r="D2812" t="str"><v>43301223560332</v></cell><cell r="E2812" t="str"><v>43301102854037nd ChE</v></cell><cell r="F2812" t="str"><v>DCM</v></cell><cell r="G2812" t="str"><v>https://azure.microsoft.com/en-gb/free/virtual-machines/search/</v></cell></row><row r="2812"><cell r="K2812" t="str"><v>July</v></cell><cell r="L2812"><v>43302</v></cell><cell r="M2812" t="str"><v>Tier 1</v></cell><cell r="N2812" t="str"><v>EMEA</v></cell><cell r="O2812" t="str"><v>United Kingdom</v></cell><cell r="P2812" t="str"><v>Trial</v></cell><cell r="Q2812" t="str"><v>Social</v></cell><cell r="R2812" t="str"><v>Azure</v></cell><cell r="S2812" t="str"><v>Apps & Infra</v></cell><cell r="T2812" t="str"><v>Developers & ITI's</v></cell><cell r="U2812" t="str"><v>Retargeting</v></cell><cell r="V2812" t="str"><v>Retargeting</v></cell><cell r="W2812" t="str"><v>Link Ad</v></cell><cell r="X2812" t="str"><v>1x1</v></cell></row><row r="2812"><cell r="AA2812"><v>43301</v></cell><cell r="AB2812" t="str"><v>GBR_gaPMG_CE_AZR_Q1_19_Trial-Social</v></cell><cell r="AC2812"><v>21337013</v></cell><cell r="AD2812"><v>720196</v></cell><cell r="AE2812" t="str"><v>Facebook</v></cell><cell r="AF2812"><v>3654128</v></cell><cell r="AG2812" t="str"><v>Facebook»Retargeting»1x1»SocialBan»LIA»DT»DYN»RT»W»NA»SS»NA»Free Account Retargeting VM- On Demand ChE</v></cell><cell r="AH2812"><v>223560332</v></cell><cell r="AI2812" t="str"><v>AzurePlatform_FreeAcctRetargetingVMFB-OnDemand-ChE_GBR_1200x628_SOC_Plat_EN_Free Account_Standard_NA_SU_T2_1</v></cell><cell r="AJ2812"><v>102854037</v></cell></row><row r="2813"><cell r="C2813" t="str"><v>43301Facebook»AZP-Canvas-Interest&Role-Trial»1x1»Canvas»OTH»MO»CPM»PRO»X»UNK»TP»OT»Canvas-Trial</v></cell><cell r="D2813" t="str"><v>43301223298805</v></cell><cell r="E2813" t="str"><v>43301102609621-Trial</v></cell><cell r="F2813" t="str"><v>DCM</v></cell><cell r="G2813" t="str"><v>https://signup.azure.com/signup?offer=ms-azr-0044p&appId=102&ref=paidmedia-social-fb&redirectURL=https%3a%2f%2fazure.microsoft.com%2fja-jp%2fget-started%2fwelcome-to-azure%2f&l=ja-jp&correlationId=ead86c34-1f10-49dd-a72b-6918462a2cbf</v></cell></row><row r="2813"><cell r="K2813" t="str"><v>July</v></cell><cell r="L2813"><v>43302</v></cell><cell r="M2813" t="str"><v>Tier 1</v></cell><cell r="N2813" t="str"><v>APAC</v></cell><cell r="O2813" t="str"><v>Japan</v></cell><cell r="P2813" t="str"><v>Trial</v></cell><cell r="Q2813" t="str"><v>Social</v></cell><cell r="R2813" t="str"><v>Azure</v></cell><cell r="S2813" t="str"><v>Apps & Infra</v></cell><cell r="T2813" t="str"><v>Developers & ITI's</v></cell><cell r="U2813" t="str"><v>AZP-Canvas-Interest&Role-Trial</v></cell><cell r="V2813" t="str"><v>Prospecting</v></cell><cell r="W2813" t="str"><v>Other</v></cell><cell r="X2813" t="str"><v>1x1</v></cell></row><row r="2813"><cell r="AA2813"><v>43301</v></cell><cell r="AB2813" t="str"><v>JPN_gaPMG_AZR_AZR_Q1_19_Trial-Social</v></cell><cell r="AC2813"><v>21276694</v></cell><cell r="AD2813"><v>720195</v></cell><cell r="AE2813" t="str"><v>Facebook</v></cell><cell r="AF2813"><v>3654128</v></cell><cell r="AG2813" t="str"><v>Facebook»AZP-Canvas-Interest&Role-Trial»1x1»Canvas»OTH»MO»CPM»PRO»X»UNK»TP»OT»Canvas-Trial</v></cell><cell r="AH2813"><v>223298805</v></cell><cell r="AI2813" t="str"><v>AzurePlatform_FBCTCcanvaspage-StartFreeCTA-Img2_JPN_1080x143 _SOC_Plat_Japanese_NA_Standard_NA_NA_T2_1</v></cell><cell r="AJ2813"><v>102609621</v></cell></row><row r="2814"><cell r="C2814" t="str"><v>43301Facebook»AZP-Canvas-Look a Like-Trial»1x1»Canvas»OTH»MO»CPM»PRO»X»UNK»TP»OT»Canvas-Trial</v></cell><cell r="D2814" t="str"><v>43301223297413</v></cell><cell r="E2814" t="str"><v>43301102630373-Trial</v></cell><cell r="F2814" t="str"><v>DCM</v></cell><cell r="G2814" t="str"><v>https://azure.microsoft.com/ja-jp/pricing/purchase-options/</v></cell></row><row r="2814"><cell r="K2814" t="str"><v>July</v></cell><cell r="L2814"><v>43302</v></cell><cell r="M2814" t="str"><v>Tier 1</v></cell><cell r="N2814" t="str"><v>APAC</v></cell><cell r="O2814" t="str"><v>Japan</v></cell><cell r="P2814" t="str"><v>Trial</v></cell><cell r="Q2814" t="str"><v>Social</v></cell><cell r="R2814" t="str"><v>Azure</v></cell><cell r="S2814" t="str"><v>Apps & Infra</v></cell><cell r="T2814" t="str"><v>Developers & ITI's</v></cell><cell r="U2814" t="str"><v>AZP-Canvas-Look a Like-Trial</v></cell><cell r="V2814" t="str"><v>Prospecting</v></cell><cell r="W2814" t="str"><v>Other</v></cell><cell r="X2814" t="str"><v>1x1</v></cell></row><row r="2814"><cell r="AA2814"><v>43301</v></cell><cell r="AB2814" t="str"><v>JPN_gaPMG_AZR_AZR_Q1_19_Trial-Social</v></cell><cell r="AC2814"><v>21276694</v></cell><cell r="AD2814"><v>720195</v></cell><cell r="AE2814" t="str"><v>Facebook</v></cell><cell r="AF2814"><v>3654128</v></cell><cell r="AG2814" t="str"><v>Facebook»AZP-Canvas-Look a Like-Trial»1x1»Canvas»OTH»MO»CPM»PRO»X»UNK»TP»OT»Canvas-Trial</v></cell><cell r="AH2814"><v>223297413</v></cell><cell r="AI2814" t="str"><v>AzurePlatform_FBCTCcanvaspage-BuyNowCTA-Img3_JPN_1080x162_SOC_Plat_Japanese_NA_Standard_NA_BN_T3_1</v></cell><cell r="AJ2814"><v>102630373</v></cell></row><row r="2815"><cell r="C2815" t="str"><v>43301Facebook»AZP-Canvas-Look a Like-Trial»1x1»Canvas»OTH»MO»CPM»PRO»X»UNK»TP»OT»Canvas-Trial</v></cell><cell r="D2815" t="str"><v>43301223297413</v></cell><cell r="E2815" t="str"><v>43301102609621-Trial</v></cell><cell r="F2815" t="str"><v>DCM</v></cell><cell r="G2815" t="str"><v>https://signup.azure.com/signup?offer=ms-azr-0044p&appId=102&ref=paidmedia-social-fb&redirectURL=https%3a%2f%2fazure.microsoft.com%2fja-jp%2fget-started%2fwelcome-to-azure%2f&l=ja-jp&correlationId=ead86c34-1f10-49dd-a72b-6918462a2cbf</v></cell></row><row r="2815"><cell r="K2815" t="str"><v>July</v></cell><cell r="L2815"><v>43302</v></cell><cell r="M2815" t="str"><v>Tier 1</v></cell><cell r="N2815" t="str"><v>APAC</v></cell><cell r="O2815" t="str"><v>Japan</v></cell><cell r="P2815" t="str"><v>Trial</v></cell><cell r="Q2815" t="str"><v>Social</v></cell><cell r="R2815" t="str"><v>Azure</v></cell><cell r="S2815" t="str"><v>Apps & Infra</v></cell><cell r="T2815" t="str"><v>Developers & ITI's</v></cell><cell r="U2815" t="str"><v>AZP-Canvas-Look a Like-Trial</v></cell><cell r="V2815" t="str"><v>Prospecting</v></cell><cell r="W2815" t="str"><v>Other</v></cell><cell r="X2815" t="str"><v>1x1</v></cell></row><row r="2815"><cell r="AA2815"><v>43301</v></cell><cell r="AB2815" t="str"><v>JPN_gaPMG_AZR_AZR_Q1_19_Trial-Social</v></cell><cell r="AC2815"><v>21276694</v></cell><cell r="AD2815"><v>720195</v></cell><cell r="AE2815" t="str"><v>Facebook</v></cell><cell r="AF2815"><v>3654128</v></cell><cell r="AG2815" t="str"><v>Facebook»AZP-Canvas-Look a Like-Trial»1x1»Canvas»OTH»MO»CPM»PRO»X»UNK»TP»OT»Canvas-Trial</v></cell><cell r="AH2815"><v>223297413</v></cell><cell r="AI2815" t="str"><v>AzurePlatform_FBCTCcanvaspage-StartFreeCTA-Img2_JPN_1080x143 _SOC_Plat_Japanese_NA_Standard_NA_NA_T2_1</v></cell><cell r="AJ2815"><v>102609621</v></cell></row><row r="2816"><cell r="C2816" t="str"><v>43301Facebook»AZP-Retargeting»1x1»Ban»LIA»ALL»CPM»RT»X»All»TP»OT»Free Account Retargeting OSS-ChF</v></cell><cell r="D2816" t="str"><v>43301223726368</v></cell><cell r="E2816" t="str"><v>43301102974750SS-ChF</v></cell><cell r="F2816" t="str"><v>DCM</v></cell><cell r="G2816" t="str"><v>https://azure.microsoft.com/ja-jp/free/open-source/search/</v></cell></row><row r="2816"><cell r="K2816" t="str"><v>July</v></cell><cell r="L2816"><v>43302</v></cell><cell r="M2816" t="str"><v>Tier 1</v></cell><cell r="N2816" t="str"><v>APAC</v></cell><cell r="O2816" t="str"><v>Japan</v></cell><cell r="P2816" t="str"><v>Trial</v></cell><cell r="Q2816" t="str"><v>Social</v></cell><cell r="R2816" t="str"><v>Azure</v></cell><cell r="S2816" t="str"><v>Apps & Infra</v></cell><cell r="T2816" t="str"><v>Developers & ITI's</v></cell><cell r="U2816" t="str"><v>AZP-Retargeting</v></cell><cell r="V2816" t="str"><v>Retargeting</v></cell><cell r="W2816" t="str"><v>Link Ad</v></cell><cell r="X2816" t="str"><v>1x1</v></cell></row><row r="2816"><cell r="AA2816"><v>43301</v></cell><cell r="AB2816" t="str"><v>JPN_gaPMG_AZR_AZR_Q1_19_Trial-Social</v></cell><cell r="AC2816"><v>21276694</v></cell><cell r="AD2816"><v>720195</v></cell><cell r="AE2816" t="str"><v>Facebook</v></cell><cell r="AF2816"><v>3654128</v></cell><cell r="AG2816" t="str"><v>Facebook»AZP-Retargeting»1x1»Ban»LIA»ALL»CPM»RT»X»All»TP»OT»Free Account Retargeting OSS-ChF</v></cell><cell r="AH2816"><v>223726368</v></cell><cell r="AI2816" t="str"><v>AzurePlatform_FreeAcctRetargetingOSSFB-Text-ChF_JPN_1200x628_SOC_Plat_JA_Free Account_Standard_NA_SU_T1_1</v></cell><cell r="AJ2816"><v>102974750</v></cell></row><row r="2817"><cell r="C2817" t="str"><v>43301Facebook»AZP-Retargeting»1x1»Ban»LIA»ALL»CPM»RT»X»All»TP»OT»Free Account Retargeting OSS-ChG</v></cell><cell r="D2817" t="str"><v>43301223726365</v></cell><cell r="E2817" t="str"><v>43301102976850SS-ChG</v></cell><cell r="F2817" t="str"><v>DCM</v></cell><cell r="G2817" t="str"><v>https://azure.microsoft.com/ja-jp/free/open-source/search/</v></cell></row><row r="2817"><cell r="K2817" t="str"><v>July</v></cell><cell r="L2817"><v>43302</v></cell><cell r="M2817" t="str"><v>Tier 1</v></cell><cell r="N2817" t="str"><v>APAC</v></cell><cell r="O2817" t="str"><v>Japan</v></cell><cell r="P2817" t="str"><v>Trial</v></cell><cell r="Q2817" t="str"><v>Social</v></cell><cell r="R2817" t="str"><v>Azure</v></cell><cell r="S2817" t="str"><v>Apps & Infra</v></cell><cell r="T2817" t="str"><v>Developers & ITI's</v></cell><cell r="U2817" t="str"><v>AZP-Retargeting</v></cell><cell r="V2817" t="str"><v>Retargeting</v></cell><cell r="W2817" t="str"><v>Link Ad</v></cell><cell r="X2817" t="str"><v>1x1</v></cell></row><row r="2817"><cell r="AA2817"><v>43301</v></cell><cell r="AB2817" t="str"><v>JPN_gaPMG_AZR_AZR_Q1_19_Trial-Social</v></cell><cell r="AC2817"><v>21276694</v></cell><cell r="AD2817"><v>720195</v></cell><cell r="AE2817" t="str"><v>Facebook</v></cell><cell r="AF2817"><v>3654128</v></cell><cell r="AG2817" t="str"><v>Facebook»AZP-Retargeting»1x1»Ban»LIA»ALL»CPM»RT»X»All»TP»OT»Free Account Retargeting OSS-ChG</v></cell><cell r="AH2817"><v>223726365</v></cell><cell r="AI2817" t="str"><v>AzurePlatform_FreeAcctRetargetingOSSFB-Logos-ChG_JPN_1200x628_SOC_Plat_JA_Free Account_Standard_NA_SU_T2_1</v></cell><cell r="AJ2817"><v>102976850</v></cell></row><row r="2818"><cell r="C2818" t="str"><v>43301Facebook»AZP-Retargeting»1x1»Ban»LIA»ALL»CPM»RT»X»All»TP»OT»Free Account Retargeting VM-ChE</v></cell><cell r="D2818" t="str"><v>43301223726371</v></cell><cell r="E2818" t="str"><v>43301102977723VM-ChE</v></cell><cell r="F2818" t="str"><v>DCM</v></cell><cell r="G2818" t="str"><v>https://azure.microsoft.com/ja-jp/free/virtual-machines/search/</v></cell></row><row r="2818"><cell r="K2818" t="str"><v>July</v></cell><cell r="L2818"><v>43302</v></cell><cell r="M2818" t="str"><v>Tier 1</v></cell><cell r="N2818" t="str"><v>APAC</v></cell><cell r="O2818" t="str"><v>Japan</v></cell><cell r="P2818" t="str"><v>Trial</v></cell><cell r="Q2818" t="str"><v>Social</v></cell><cell r="R2818" t="str"><v>Azure</v></cell><cell r="S2818" t="str"><v>Apps & Infra</v></cell><cell r="T2818" t="str"><v>Developers & ITI's</v></cell><cell r="U2818" t="str"><v>AZP-Retargeting</v></cell><cell r="V2818" t="str"><v>Retargeting</v></cell><cell r="W2818" t="str"><v>Link Ad</v></cell><cell r="X2818" t="str"><v>1x1</v></cell></row><row r="2818"><cell r="AA2818"><v>43301</v></cell><cell r="AB2818" t="str"><v>JPN_gaPMG_AZR_AZR_Q1_19_Trial-Social</v></cell><cell r="AC2818"><v>21276694</v></cell><cell r="AD2818"><v>720195</v></cell><cell r="AE2818" t="str"><v>Facebook</v></cell><cell r="AF2818"><v>3654128</v></cell><cell r="AG2818" t="str"><v>Facebook»AZP-Retargeting»1x1»Ban»LIA»ALL»CPM»RT»X»All»TP»OT»Free Account Retargeting VM-ChE</v></cell><cell r="AH2818"><v>223726371</v></cell><cell r="AI2818" t="str"><v>AzurePlatform_FreeAcctRetargetingVMFB-OnDemand-ChE_JPN_1200x628_SOC_Plat_JA_Free Account_Standard_NA_SU_T2_1</v></cell><cell r="AJ2818"><v>102977723</v></cell></row><row r="2819"><cell r="C2819" t="str"><v>43301Facebook»AZP-Retargeting»1x1»Canvas»OTH»MO»CPM»RT»W»UNK»TP»OT»Trial-Basicmotion</v></cell><cell r="D2819" t="str"><v>43301223298811</v></cell><cell r="E2819" t="str"><v>43301102773984motion</v></cell><cell r="F2819" t="str"><v>DCM</v></cell><cell r="G2819" t="str"><v>https://azure.microsoft.com/ja-jp/free/search/</v></cell></row><row r="2819"><cell r="K2819" t="str"><v>July</v></cell><cell r="L2819"><v>43302</v></cell><cell r="M2819" t="str"><v>Tier 1</v></cell><cell r="N2819" t="str"><v>APAC</v></cell><cell r="O2819" t="str"><v>Japan</v></cell><cell r="P2819" t="str"><v>Trial</v></cell><cell r="Q2819" t="str"><v>Social</v></cell><cell r="R2819" t="str"><v>Azure</v></cell><cell r="S2819" t="str"><v>Apps & Infra</v></cell><cell r="T2819" t="str"><v>Developers & ITI's</v></cell><cell r="U2819" t="str"><v>AZP-Retargeting</v></cell><cell r="V2819" t="str"><v>Retargeting</v></cell><cell r="W2819" t="str"><v>Other</v></cell><cell r="X2819" t="str"><v>1x1</v></cell></row><row r="2819"><cell r="AA2819"><v>43301</v></cell><cell r="AB2819" t="str"><v>JPN_gaPMG_AZR_AZR_Q1_19_Trial-Social</v></cell><cell r="AC2819"><v>21276694</v></cell><cell r="AD2819"><v>720195</v></cell><cell r="AE2819" t="str"><v>Facebook</v></cell><cell r="AF2819"><v>3654128</v></cell><cell r="AG2819" t="str"><v>Facebook»AZP-Retargeting»1x1»Canvas»OTH»MO»CPM»RT»W»UNK»TP»OT»Trial-Basicmotion</v></cell><cell r="AH2819"><v>223298811</v></cell><cell r="AI2819" t="str"><v>AzurePlatform_FBCTCBasicMotion_JPN_10sec_ISV_PLAT_JA_Trial_Standard_STAN_TN_T1_1</v></cell><cell r="AJ2819"><v>102773984</v></cell></row><row r="2820"><cell r="C2820" t="str"><v>43301Facebook»AZP-Retargeting»1x1»Canvas»OTH»MO»CPM»RT»W»UNK»TP»OT»Trial-Benefit2inMotion</v></cell><cell r="D2820" t="str"><v>43301223298496</v></cell><cell r="E2820" t="str"><v>43301102630376Motion</v></cell><cell r="F2820" t="str"><v>DCM</v></cell><cell r="G2820" t="str"><v>https://azure.microsoft.com/ja-jp/free/search/</v></cell></row><row r="2820"><cell r="K2820" t="str"><v>July</v></cell><cell r="L2820"><v>43302</v></cell><cell r="M2820" t="str"><v>Tier 1</v></cell><cell r="N2820" t="str"><v>APAC</v></cell><cell r="O2820" t="str"><v>Japan</v></cell><cell r="P2820" t="str"><v>Trial</v></cell><cell r="Q2820" t="str"><v>Social</v></cell><cell r="R2820" t="str"><v>Azure</v></cell><cell r="S2820" t="str"><v>Apps & Infra</v></cell><cell r="T2820" t="str"><v>Developers & ITI's</v></cell><cell r="U2820" t="str"><v>AZP-Retargeting</v></cell><cell r="V2820" t="str"><v>Retargeting</v></cell><cell r="W2820" t="str"><v>Other</v></cell><cell r="X2820" t="str"><v>1x1</v></cell></row><row r="2820"><cell r="AA2820"><v>43301</v></cell><cell r="AB2820" t="str"><v>JPN_gaPMG_AZR_AZR_Q1_19_Trial-Social</v></cell><cell r="AC2820"><v>21276694</v></cell><cell r="AD2820"><v>720195</v></cell><cell r="AE2820" t="str"><v>Facebook</v></cell><cell r="AF2820"><v>3654128</v></cell><cell r="AG2820" t="str"><v>Facebook»AZP-Retargeting»1x1»Canvas»OTH»MO»CPM»RT»W»UNK»TP»OT»Trial-Benefit2inMotion</v></cell><cell r="AH2820"><v>223298496</v></cell><cell r="AI2820" t="str"><v>AzurePlatform_FBCTCBenefit2inMotion_JPN_14sec_ISV_PLAT_JA_Trial_Standard_STAN_TN_T4_1</v></cell><cell r="AJ2820"><v>102630376</v></cell></row><row r="2821"><cell r="C2821" t="str"><v>43301Facebook»AZP-Retargeting»1x1»Canvas»OTH»MO»CPM»RT»W»UNK»TP»OT»Trial-BrandinMotion</v></cell><cell r="D2821" t="str"><v>43301223298823</v></cell><cell r="E2821" t="str"><v>43301102612720Motion</v></cell><cell r="F2821" t="str"><v>DCM</v></cell><cell r="G2821" t="str"><v>https://azure.microsoft.com/ja-jp/free/search/</v></cell></row><row r="2821"><cell r="K2821" t="str"><v>July</v></cell><cell r="L2821"><v>43302</v></cell><cell r="M2821" t="str"><v>Tier 1</v></cell><cell r="N2821" t="str"><v>APAC</v></cell><cell r="O2821" t="str"><v>Japan</v></cell><cell r="P2821" t="str"><v>Trial</v></cell><cell r="Q2821" t="str"><v>Social</v></cell><cell r="R2821" t="str"><v>Azure</v></cell><cell r="S2821" t="str"><v>Apps & Infra</v></cell><cell r="T2821" t="str"><v>Developers & ITI's</v></cell><cell r="U2821" t="str"><v>AZP-Retargeting</v></cell><cell r="V2821" t="str"><v>Retargeting</v></cell><cell r="W2821" t="str"><v>Other</v></cell><cell r="X2821" t="str"><v>1x1</v></cell></row><row r="2821"><cell r="AA2821"><v>43301</v></cell><cell r="AB2821" t="str"><v>JPN_gaPMG_AZR_AZR_Q1_19_Trial-Social</v></cell><cell r="AC2821"><v>21276694</v></cell><cell r="AD2821"><v>720195</v></cell><cell r="AE2821" t="str"><v>Facebook</v></cell><cell r="AF2821"><v>3654128</v></cell><cell r="AG2821" t="str"><v>Facebook»AZP-Retargeting»1x1»Canvas»OTH»MO»CPM»RT»W»UNK»TP»OT»Trial-BrandinMotion</v></cell><cell r="AH2821"><v>223298823</v></cell><cell r="AI2821" t="str"><v>AzurePlatform_FBCTCBrandinMotion_JPN_12sec_ISV_PLAT_JA_Trial_Standard_STAN_TN_T2_1</v></cell><cell r="AJ2821"><v>102612720</v></cell></row><row r="2822"><cell r="C2822" t="str"><v>43301FACEBOOK»USA-Trial-ITD-Interest Prospecting-AZR-AZR»1 x 1»SocialBan»CAN»ALL»CPA»PRO»X»NA»SS»NA»FBCTCBasicMotion»PRC1SV</v></cell><cell r="D2822" t="str"><v>43301223934062</v></cell><cell r="E2822" t="str"><v>43301103043823PRC1SV</v></cell><cell r="F2822" t="str"><v>DCM</v></cell><cell r="G2822" t="str"><v>https://signup.azure.com/?OCID=AID%eexcid!_OLA_%ebuy!_%epid!_%ecid!</v></cell></row><row r="2822"><cell r="K2822" t="str"><v>July</v></cell><cell r="L2822"><v>43302</v></cell><cell r="M2822" t="str"><v>Tier 0</v></cell><cell r="N2822" t="str"><v>North America</v></cell><cell r="O2822" t="str"><v>United States</v></cell><cell r="P2822" t="str"><v>Trial</v></cell><cell r="Q2822" t="str"><v>Social</v></cell><cell r="R2822" t="str"><v>Azure</v></cell><cell r="S2822" t="str"><v>Apps & Infra</v></cell><cell r="T2822" t="str"><v>Developers & ITI's</v></cell><cell r="U2822" t="str"><v>USA-Trial-ITD-Interest Prospecting-AZR-AZR</v></cell><cell r="V2822" t="str"><v>Prospecting</v></cell><cell r="W2822" t="str"><v>Canvas Ad</v></cell><cell r="X2822" t="str"><v>1x1</v></cell></row><row r="2822"><cell r="AA2822"><v>43301</v></cell><cell r="AB2822" t="str"><v>USA_gaPMG_AZR_AZR_Q1_19_Direct-Social</v></cell><cell r="AC2822"><v>21358715</v></cell><cell r="AD2822"><v>720197</v></cell><cell r="AE2822" t="str"><v>Facebook</v></cell><cell r="AF2822"><v>3654128</v></cell><cell r="AG2822" t="str"><v>FACEBOOK»USA-Trial-ITD-Interest Prospecting-AZR-AZR»1 x 1»SocialBan»CAN»ALL»CPA»PRO»X»NA»SS»NA»FBCTCBasicMotion»PRC1SV</v></cell><cell r="AH2822"><v>223934062</v></cell><cell r="AI2822" t="str"><v>AzurePlatform_FBCTCBasicMotion_USA_10s_CAN_PLATFORM_English_Trial_Standard_STAN_TIN_T1_1</v></cell><cell r="AJ2822"><v>103043823</v></cell></row><row r="2823"><cell r="C2823" t="str"><v>43301FACEBOOK»USA-Trial-ITD-Interest Prospecting-AZR-AZR»1 x 1»SocialBan»CAN»ALL»CPA»PRO»X»NA»SS»NA»FBCTCBasicMotion»PRC1SV</v></cell><cell r="D2823" t="str"><v>43301223934062</v></cell><cell r="E2823" t="str"><v>43301103175984PRC1SV</v></cell><cell r="F2823" t="str"><v>DCM</v></cell><cell r="G2823" t="str"><v>https://azure.microsoft.com/en-us/pricing/purchase-options/?v=18.19&OCID=AID%eexcid!_OLA_%ebuy!_%epid!_%ecid!</v></cell></row><row r="2823"><cell r="K2823" t="str"><v>July</v></cell><cell r="L2823"><v>43302</v></cell><cell r="M2823" t="str"><v>Tier 0</v></cell><cell r="N2823" t="str"><v>North America</v></cell><cell r="O2823" t="str"><v>United States</v></cell><cell r="P2823" t="str"><v>Trial</v></cell><cell r="Q2823" t="str"><v>Social</v></cell><cell r="R2823" t="str"><v>Azure</v></cell><cell r="S2823" t="str"><v>Apps & Infra</v></cell><cell r="T2823" t="str"><v>Developers & ITI's</v></cell><cell r="U2823" t="str"><v>USA-Trial-ITD-Interest Prospecting-AZR-AZR</v></cell><cell r="V2823" t="str"><v>Prospecting</v></cell><cell r="W2823" t="str"><v>Canvas Ad</v></cell><cell r="X2823" t="str"><v>1x1</v></cell></row><row r="2823"><cell r="AA2823"><v>43301</v></cell><cell r="AB2823" t="str"><v>USA_gaPMG_AZR_AZR_Q1_19_Direct-Social</v></cell><cell r="AC2823"><v>21358715</v></cell><cell r="AD2823"><v>720197</v></cell><cell r="AE2823" t="str"><v>Facebook</v></cell><cell r="AF2823"><v>3654128</v></cell><cell r="AG2823" t="str"><v>FACEBOOK»USA-Trial-ITD-Interest Prospecting-AZR-AZR»1 x 1»SocialBan»CAN»ALL»CPA»PRO»X»NA»SS»NA»FBCTCBasicMotion»PRC1SV</v></cell><cell r="AH2823"><v>223934062</v></cell><cell r="AI2823" t="str"><v>AzurePlatform_FBCTCBasicMotion_USA_10s_CAN_PLATFORM_English_Trial_Standard_STAN_TIN_T1_2</v></cell><cell r="AJ2823"><v>103175984</v></cell></row><row r="2824"><cell r="C2824" t="str"><v>43301FACEBOOK»USA-Trial-ITD-Interest Prospecting-AZR-AZR»1 x 1»SocialBan»CAN»ALL»CPA»PRO»X»NA»SS»NA»FBCTCBenefit2inMotion»PRC1SW</v></cell><cell r="D2824" t="str"><v>43301223933138</v></cell><cell r="E2824" t="str"><v>43301103043835PRC1SW</v></cell><cell r="F2824" t="str"><v>DCM</v></cell><cell r="G2824" t="str"><v>https://signup.azure.com/?OCID=AID%eexcid!_OLA_%ebuy!_%epid!_%ecid!</v></cell></row><row r="2824"><cell r="K2824" t="str"><v>July</v></cell><cell r="L2824"><v>43302</v></cell><cell r="M2824" t="str"><v>Tier 0</v></cell><cell r="N2824" t="str"><v>North America</v></cell><cell r="O2824" t="str"><v>United States</v></cell><cell r="P2824" t="str"><v>Trial</v></cell><cell r="Q2824" t="str"><v>Social</v></cell><cell r="R2824" t="str"><v>Azure</v></cell><cell r="S2824" t="str"><v>Apps & Infra</v></cell><cell r="T2824" t="str"><v>Developers & ITI's</v></cell><cell r="U2824" t="str"><v>USA-Trial-ITD-Interest Prospecting-AZR-AZR</v></cell><cell r="V2824" t="str"><v>Prospecting</v></cell><cell r="W2824" t="str"><v>Canvas Ad</v></cell><cell r="X2824" t="str"><v>1x1</v></cell></row><row r="2824"><cell r="AA2824"><v>43301</v></cell><cell r="AB2824" t="str"><v>USA_gaPMG_AZR_AZR_Q1_19_Direct-Social</v></cell><cell r="AC2824"><v>21358715</v></cell><cell r="AD2824"><v>720197</v></cell><cell r="AE2824" t="str"><v>Facebook</v></cell><cell r="AF2824"><v>3654128</v></cell><cell r="AG2824" t="str"><v>FACEBOOK»USA-Trial-ITD-Interest Prospecting-AZR-AZR»1 x 1»SocialBan»CAN»ALL»CPA»PRO»X»NA»SS»NA»FBCTCBenefit2inMotion»PRC1SW</v></cell><cell r="AH2824"><v>223933138</v></cell><cell r="AI2824" t="str"><v>AzurePlatform_FBCTCBenefit2inMotion_USA_10s_CAN_PLATFORM_English_Trial_Standard_STAN_TIN_T4_1</v></cell><cell r="AJ2824"><v>103043835</v></cell></row><row r="2825"><cell r="C2825" t="str"><v>43301FACEBOOK»USA-Trial-ITD-Interest Prospecting-AZR-AZR»1 x 1»SocialBan»CAN»ALL»CPA»PRO»X»NA»SS»NA»FBCTCBenefit2inMotion»PRC1SW</v></cell><cell r="D2825" t="str"><v>43301223933138</v></cell><cell r="E2825" t="str"><v>43301103178645PRC1SW</v></cell><cell r="F2825" t="str"><v>DCM</v></cell><cell r="G2825" t="str"><v>https://azure.microsoft.com/en-us/pricing/purchase-options/?v=18.19&OCID=AID%eexcid!_OLA_%ebuy!_%epid!_%ecid!</v></cell></row><row r="2825"><cell r="K2825" t="str"><v>July</v></cell><cell r="L2825"><v>43302</v></cell><cell r="M2825" t="str"><v>Tier 0</v></cell><cell r="N2825" t="str"><v>North America</v></cell><cell r="O2825" t="str"><v>United States</v></cell><cell r="P2825" t="str"><v>Trial</v></cell><cell r="Q2825" t="str"><v>Social</v></cell><cell r="R2825" t="str"><v>Azure</v></cell><cell r="S2825" t="str"><v>Apps & Infra</v></cell><cell r="T2825" t="str"><v>Developers & ITI's</v></cell><cell r="U2825" t="str"><v>USA-Trial-ITD-Interest Prospecting-AZR-AZR</v></cell><cell r="V2825" t="str"><v>Prospecting</v></cell><cell r="W2825" t="str"><v>Canvas Ad</v></cell><cell r="X2825" t="str"><v>1x1</v></cell></row><row r="2825"><cell r="AA2825"><v>43301</v></cell><cell r="AB2825" t="str"><v>USA_gaPMG_AZR_AZR_Q1_19_Direct-Social</v></cell><cell r="AC2825"><v>21358715</v></cell><cell r="AD2825"><v>720197</v></cell><cell r="AE2825" t="str"><v>Facebook</v></cell><cell r="AF2825"><v>3654128</v></cell><cell r="AG2825" t="str"><v>FACEBOOK»USA-Trial-ITD-Interest Prospecting-AZR-AZR»1 x 1»SocialBan»CAN»ALL»CPA»PRO»X»NA»SS»NA»FBCTCBenefit2inMotion»PRC1SW</v></cell><cell r="AH2825"><v>223933138</v></cell><cell r="AI2825" t="str"><v>AzurePlatform_FBCTCBenefit2inMotion_USA_10s_CAN_PLATFORM_English_Trial_Standard_STAN_TIN_T4_2</v></cell><cell r="AJ2825"><v>103178645</v></cell></row><row r="2826"><cell r="C2826" t="str"><v>43301FACEBOOK»USA-Trial-ITD-Interest Prospecting-AZR-AZR»1 x 1»SocialBan»CAN»ALL»CPA»PRO»X»NA»SS»NA»FBCTCBrandinMotion»PRC1SY</v></cell><cell r="D2826" t="str"><v>43301224104929</v></cell><cell r="E2826" t="str"><v>43301103176812PRC1SY</v></cell><cell r="F2826" t="str"><v>DCM</v></cell><cell r="G2826" t="str"><v>https://signup.azure.com/?OCID=AID%eexcid!_OLA_%ebuy!_%epid!_%ecid!</v></cell></row><row r="2826"><cell r="K2826" t="str"><v>July</v></cell><cell r="L2826"><v>43302</v></cell><cell r="M2826" t="str"><v>Tier 0</v></cell><cell r="N2826" t="str"><v>North America</v></cell><cell r="O2826" t="str"><v>United States</v></cell><cell r="P2826" t="str"><v>Trial</v></cell><cell r="Q2826" t="str"><v>Social</v></cell><cell r="R2826" t="str"><v>Azure</v></cell><cell r="S2826" t="str"><v>Apps & Infra</v></cell><cell r="T2826" t="str"><v>Developers & ITI's</v></cell><cell r="U2826" t="str"><v>USA-Trial-ITD-Interest Prospecting-AZR-AZR</v></cell><cell r="V2826" t="str"><v>Prospecting</v></cell><cell r="W2826" t="str"><v>Canvas Ad</v></cell><cell r="X2826" t="str"><v>1x1</v></cell></row><row r="2826"><cell r="AA2826"><v>43301</v></cell><cell r="AB2826" t="str"><v>USA_gaPMG_AZR_AZR_Q1_19_Direct-Social</v></cell><cell r="AC2826"><v>21358715</v></cell><cell r="AD2826"><v>720197</v></cell><cell r="AE2826" t="str"><v>Facebook</v></cell><cell r="AF2826"><v>3654128</v></cell><cell r="AG2826" t="str"><v>FACEBOOK»USA-Trial-ITD-Interest Prospecting-AZR-AZR»1 x 1»SocialBan»CAN»ALL»CPA»PRO»X»NA»SS»NA»FBCTCBrandinMotion»PRC1SY</v></cell><cell r="AH2826"><v>224104929</v></cell><cell r="AI2826" t="str"><v>AzurePlatform_FBCTCBrandinMotion_USA_10s_CAN_PLATFORM_English_Trial_Standard_STAN_TIN_T2_1</v></cell><cell r="AJ2826"><v>103176812</v></cell></row><row r="2827"><cell r="C2827" t="str"><v>43301FACEBOOK»USA-Trial-ITD-Interest Prospecting-AZR-AZR»1 x 1»SocialBan»CAN»ALL»CPA»PRO»X»NA»SS»NA»FBCTCBrandinMotion»PRC1SY</v></cell><cell r="D2827" t="str"><v>43301224104929</v></cell><cell r="E2827" t="str"><v>43301103032823PRC1SY</v></cell><cell r="F2827" t="str"><v>DCM</v></cell><cell r="G2827" t="str"><v>https://azure.microsoft.com/en-us/pricing/purchase-options/?v=18.19&OCID=AID%eexcid!_OLA_%ebuy!_%epid!_%ecid!</v></cell></row><row r="2827"><cell r="K2827" t="str"><v>July</v></cell><cell r="L2827"><v>43302</v></cell><cell r="M2827" t="str"><v>Tier 0</v></cell><cell r="N2827" t="str"><v>North America</v></cell><cell r="O2827" t="str"><v>United States</v></cell><cell r="P2827" t="str"><v>Trial</v></cell><cell r="Q2827" t="str"><v>Social</v></cell><cell r="R2827" t="str"><v>Azure</v></cell><cell r="S2827" t="str"><v>Apps & Infra</v></cell><cell r="T2827" t="str"><v>Developers & ITI's</v></cell><cell r="U2827" t="str"><v>USA-Trial-ITD-Interest Prospecting-AZR-AZR</v></cell><cell r="V2827" t="str"><v>Prospecting</v></cell><cell r="W2827" t="str"><v>Canvas Ad</v></cell><cell r="X2827" t="str"><v>1x1</v></cell></row><row r="2827"><cell r="AA2827"><v>43301</v></cell><cell r="AB2827" t="str"><v>USA_gaPMG_AZR_AZR_Q1_19_Direct-Social</v></cell><cell r="AC2827"><v>21358715</v></cell><cell r="AD2827"><v>720197</v></cell><cell r="AE2827" t="str"><v>Facebook</v></cell><cell r="AF2827"><v>3654128</v></cell><cell r="AG2827" t="str"><v>FACEBOOK»USA-Trial-ITD-Interest Prospecting-AZR-AZR»1 x 1»SocialBan»CAN»ALL»CPA»PRO»X»NA»SS»NA»FBCTCBrandinMotion»PRC1SY</v></cell><cell r="AH2827"><v>224104929</v></cell><cell r="AI2827" t="str"><v>AzurePlatform_FBCTCBrandinMotion_USA_10s_CAN_PLATFORM_English_Trial_Standard_STAN_TIN_T2_2</v></cell><cell r="AJ2827"><v>103032823</v></cell></row><row r="2828"><cell r="C2828" t="str"><v>43301FACEBOOK»USA-Trial-ITD-Interest Prospecting-AZR-AZR»1 x 1»SocialBan»LIA»ALL»CPA»PRO»X»NA»SS»NA»FreeAcctDeveloperFB-AnimatedGeneric-Ch1»PRC1SZ</v></cell><cell r="D2828" t="str"><v>43301224104932</v></cell><cell r="E2828" t="str"><v>43301103176851PRC1SZ</v></cell><cell r="F2828" t="str"><v>DCM</v></cell><cell r="G2828" t="str"><v>https://azure.microsoft.com/en-us/free/search/?OCID=AID%eexcid!_OLA_%ebuy!_%epid!_%ecid!</v></cell></row><row r="2828"><cell r="K2828" t="str"><v>July</v></cell><cell r="L2828"><v>43302</v></cell><cell r="M2828" t="str"><v>Tier 0</v></cell><cell r="N2828" t="str"><v>North America</v></cell><cell r="O2828" t="str"><v>United States</v></cell><cell r="P2828" t="str"><v>Trial</v></cell><cell r="Q2828" t="str"><v>Social</v></cell><cell r="R2828" t="str"><v>Azure</v></cell><cell r="S2828" t="str"><v>Apps & Infra</v></cell><cell r="T2828" t="str"><v>Developers & ITI's</v></cell><cell r="U2828" t="str"><v>USA-Trial-ITD-Interest Prospecting-AZR-AZR</v></cell><cell r="V2828" t="str"><v>Prospecting</v></cell><cell r="W2828" t="str"><v>Link Ad</v></cell><cell r="X2828" t="str"><v>1x1</v></cell></row><row r="2828"><cell r="AA2828"><v>43301</v></cell><cell r="AB2828" t="str"><v>USA_gaPMG_AZR_AZR_Q1_19_Direct-Social</v></cell><cell r="AC2828"><v>21358715</v></cell><cell r="AD2828"><v>720197</v></cell><cell r="AE2828" t="str"><v>Facebook</v></cell><cell r="AF2828"><v>3654128</v></cell><cell r="AG2828" t="str"><v>FACEBOOK»USA-Trial-ITD-Interest Prospecting-AZR-AZR»1 x 1»SocialBan»LIA»ALL»CPA»PRO»X»NA»SS»NA»FreeAcctDeveloperFB-AnimatedGeneric-Ch1»PRC1SZ</v></cell><cell r="AH2828"><v>224104932</v></cell><cell r="AI2828" t="str"><v>AZR_FreeAcctDeveloperFB-AnimatedGeneric-Ch1_USA_1200x1200_CAN_Direct_English_Trial_Standard_ANI_LEA_T1_2</v></cell><cell r="AJ2828"><v>103176851</v></cell></row><row r="2829"><cell r="C2829" t="str"><v>43301FACEBOOK»USA-Trial-ITD-Interest Prospecting-AZR-AZR»1 x 1»SocialBan»LIA»ALL»CPA»PRO»X»NA»SS»NA»FreeAcctDeveloperFB-AnimatedGeneric-Ch1»PRC1T0</v></cell><cell r="D2829" t="str"><v>43301223934065</v></cell><cell r="E2829" t="str"><v>43301103176851PRC1T0</v></cell><cell r="F2829" t="str"><v>DCM</v></cell><cell r="G2829" t="str"><v>https://azure.microsoft.com/en-us/free/search/?OCID=AID%eexcid!_OLA_%ebuy!_%epid!_%ecid!</v></cell></row><row r="2829"><cell r="K2829" t="str"><v>July</v></cell><cell r="L2829"><v>43302</v></cell><cell r="M2829" t="str"><v>Tier 0</v></cell><cell r="N2829" t="str"><v>North America</v></cell><cell r="O2829" t="str"><v>United States</v></cell><cell r="P2829" t="str"><v>Trial</v></cell><cell r="Q2829" t="str"><v>Social</v></cell><cell r="R2829" t="str"><v>Azure</v></cell><cell r="S2829" t="str"><v>Apps & Infra</v></cell><cell r="T2829" t="str"><v>Developers & ITI's</v></cell><cell r="U2829" t="str"><v>USA-Trial-ITD-Interest Prospecting-AZR-AZR</v></cell><cell r="V2829" t="str"><v>Prospecting</v></cell><cell r="W2829" t="str"><v>Link Ad</v></cell><cell r="X2829" t="str"><v>1x1</v></cell></row><row r="2829"><cell r="AA2829"><v>43301</v></cell><cell r="AB2829" t="str"><v>USA_gaPMG_AZR_AZR_Q1_19_Direct-Social</v></cell><cell r="AC2829"><v>21358715</v></cell><cell r="AD2829"><v>720197</v></cell><cell r="AE2829" t="str"><v>Facebook</v></cell><cell r="AF2829"><v>3654128</v></cell><cell r="AG2829" t="str"><v>FACEBOOK»USA-Trial-ITD-Interest Prospecting-AZR-AZR»1 x 1»SocialBan»LIA»ALL»CPA»PRO»X»NA»SS»NA»FreeAcctDeveloperFB-AnimatedGeneric-Ch1»PRC1T0</v></cell><cell r="AH2829"><v>223934065</v></cell><cell r="AI2829" t="str"><v>AZR_FreeAcctDeveloperFB-AnimatedGeneric-Ch1_USA_1200x1200_CAN_Direct_English_Trial_Standard_ANI_LEA_T1_2</v></cell><cell r="AJ2829"><v>103176851</v></cell></row><row r="2830"><cell r="C2830" t="str"><v>43301FACEBOOK»USA-Trial-ITD-Interest Prospecting-AZR-AZR»1 x 1»SocialBan»LIA»ALL»CPA»PRO»X»NA»SS»NA»FreeAcctITProFB-AnimatedHybrid-Ch2»PRC1T5</v></cell><cell r="D2830" t="str"><v>43301223862882</v></cell><cell r="E2830" t="str"><v>43301103180583PRC1T5</v></cell><cell r="F2830" t="str"><v>DCM</v></cell></row><row r="2830"><cell r="K2830" t="str"><v>July</v></cell><cell r="L2830"><v>43302</v></cell><cell r="M2830" t="str"><v>Tier 0</v></cell><cell r="N2830" t="str"><v>North America</v></cell><cell r="O2830" t="str"><v>United States</v></cell><cell r="P2830" t="str"><v>Trial</v></cell><cell r="Q2830" t="str"><v>Social</v></cell><cell r="R2830" t="str"><v>Azure</v></cell><cell r="S2830" t="str"><v>Apps & Infra</v></cell><cell r="T2830" t="str"><v>Developers & ITI's</v></cell><cell r="U2830" t="str"><v>USA-Trial-ITD-Interest Prospecting-AZR-AZR</v></cell><cell r="V2830" t="str"><v>Prospecting</v></cell><cell r="W2830" t="str"><v>Link Ad</v></cell><cell r="X2830" t="str"><v>1x1</v></cell></row><row r="2830"><cell r="AA2830"><v>43301</v></cell><cell r="AB2830" t="str"><v>USA_gaPMG_AZR_AZR_Q1_19_Direct-Social</v></cell><cell r="AC2830"><v>21358715</v></cell><cell r="AD2830"><v>720197</v></cell><cell r="AE2830" t="str"><v>Facebook</v></cell><cell r="AF2830"><v>3654128</v></cell><cell r="AG2830" t="str"><v>FACEBOOK»USA-Trial-ITD-Interest Prospecting-AZR-AZR»1 x 1»SocialBan»LIA»ALL»CPA»PRO»X»NA»SS»NA»FreeAcctITProFB-AnimatedHybrid-Ch2»PRC1T5</v></cell><cell r="AH2830"><v>223862882</v></cell><cell r="AI2830" t="str"><v>AZR_FreeAcctITProFB-AnimatedHybrid-Ch2_USA_1200x1200_CAN_Direct_English_Trial_Standard_ANI_LEA_T2_2</v></cell><cell r="AJ2830"><v>103180583</v></cell></row><row r="2831"><cell r="C2831" t="str"><v>43301FACEBOOK»USA-Trial-ITD-Interest Prospecting-AZR-AZR»1 x 1»SocialBan»LIA»ALL»CPA»PRO»X»NA»SS»NA»FreeAcctITProFB-AnimatedSecureMngd-Ch1»PRC1T4</v></cell><cell r="D2831" t="str"><v>43301224104914</v></cell><cell r="E2831" t="str"><v>43301103176830PRC1T4</v></cell><cell r="F2831" t="str"><v>DCM</v></cell></row><row r="2831"><cell r="K2831" t="str"><v>July</v></cell><cell r="L2831"><v>43302</v></cell><cell r="M2831" t="str"><v>Tier 0</v></cell><cell r="N2831" t="str"><v>North America</v></cell><cell r="O2831" t="str"><v>United States</v></cell><cell r="P2831" t="str"><v>Trial</v></cell><cell r="Q2831" t="str"><v>Social</v></cell><cell r="R2831" t="str"><v>Azure</v></cell><cell r="S2831" t="str"><v>Apps & Infra</v></cell><cell r="T2831" t="str"><v>Developers & ITI's</v></cell><cell r="U2831" t="str"><v>USA-Trial-ITD-Interest Prospecting-AZR-AZR</v></cell><cell r="V2831" t="str"><v>Prospecting</v></cell><cell r="W2831" t="str"><v>Link Ad</v></cell><cell r="X2831" t="str"><v>1x1</v></cell></row><row r="2831"><cell r="AA2831"><v>43301</v></cell><cell r="AB2831" t="str"><v>USA_gaPMG_AZR_AZR_Q1_19_Direct-Social</v></cell><cell r="AC2831"><v>21358715</v></cell><cell r="AD2831"><v>720197</v></cell><cell r="AE2831" t="str"><v>Facebook</v></cell><cell r="AF2831"><v>3654128</v></cell><cell r="AG2831" t="str"><v>FACEBOOK»USA-Trial-ITD-Interest Prospecting-AZR-AZR»1 x 1»SocialBan»LIA»ALL»CPA»PRO»X»NA»SS»NA»FreeAcctITProFB-AnimatedSecureMngd-Ch1»PRC1T4</v></cell><cell r="AH2831"><v>224104914</v></cell><cell r="AI2831" t="str"><v>AZR_FreeAcctITProFB-AnimatedSecureMngd-Ch1_USA_1200x1200_CAN_Direct_English_Trial_Standard_ANI_LEA_T1_1</v></cell><cell r="AJ2831"><v>103176830</v></cell></row><row r="2832"><cell r="C2832" t="str"><v>43301FACEBOOK»USA-Trial-ITD-Interest Prospecting-AZR-AZR»1 x 1»SocialBan»CAN»ALL»CPA»PRO»X»NA»SS»NA»FBCTCBenefitinMotion»PRC1SX</v></cell><cell r="D2832" t="str"><v>43301224104077</v></cell><cell r="E2832" t="str"><v>43301103032775PRC1SX</v></cell><cell r="F2832" t="str"><v>DCM</v></cell><cell r="G2832" t="str"><v>https://signup.azure.com/?OCID=AID%eexcid!_OLA_%ebuy!_%epid!_%ecid!</v></cell></row><row r="2832"><cell r="K2832" t="str"><v>July</v></cell><cell r="L2832"><v>43302</v></cell><cell r="M2832" t="str"><v>Tier 0</v></cell><cell r="N2832" t="str"><v>North America</v></cell><cell r="O2832" t="str"><v>United States</v></cell><cell r="P2832" t="str"><v>Trial</v></cell><cell r="Q2832" t="str"><v>Social</v></cell><cell r="R2832" t="str"><v>Azure</v></cell><cell r="S2832" t="str"><v>Apps & Infra</v></cell><cell r="T2832" t="str"><v>Developers & ITI's</v></cell><cell r="U2832" t="str"><v>USA-Trial-ITD-Interest Prospecting-AZR-AZR</v></cell><cell r="V2832" t="str"><v>Prospecting</v></cell><cell r="W2832" t="str"><v>Canvas Ad</v></cell><cell r="X2832" t="str"><v>1x1</v></cell></row><row r="2832"><cell r="AA2832"><v>43301</v></cell><cell r="AB2832" t="str"><v>USA_gaPMG_AZR_AZR_Q1_19_Direct-Social</v></cell><cell r="AC2832"><v>21358715</v></cell><cell r="AD2832"><v>720197</v></cell><cell r="AE2832" t="str"><v>Facebook</v></cell><cell r="AF2832"><v>3654128</v></cell><cell r="AG2832" t="str"><v>FACEBOOK»USA-Trial-ITD-Interest Prospecting-AZR-AZR»1 x 1»SocialBan»CAN»ALL»CPA»PRO»X»NA»SS»NA»FBCTCBenefitinMotion»PRC1SX</v></cell><cell r="AH2832"><v>224104077</v></cell><cell r="AI2832" t="str"><v>AzurePlatform_FBCTCBenefitinMotion_USA_10s_CAN_PLATFORM_English_Trial_Standard_STAN_TIN_T3_1</v></cell><cell r="AJ2832"><v>103032775</v></cell></row><row r="2833"><cell r="C2833" t="str"><v>43301FACEBOOK»USA-Trial-ITD-Interest Prospecting-AZR-AZR»1 x 1»SocialBan»CAN»ALL»CPA»PRO»X»NA»SS»NA»FBCTCBenefitinMotion»PRC1SX</v></cell><cell r="D2833" t="str"><v>43301224104077</v></cell><cell r="E2833" t="str"><v>43301103176836PRC1SX</v></cell><cell r="F2833" t="str"><v>DCM</v></cell><cell r="G2833" t="str"><v>https://azure.microsoft.com/en-us/pricing/purchase-options/?v=18.19&OCID=AID%eexcid!_OLA_%ebuy!_%epid!_%ecid!</v></cell></row><row r="2833"><cell r="K2833" t="str"><v>July</v></cell><cell r="L2833"><v>43302</v></cell><cell r="M2833" t="str"><v>Tier 0</v></cell><cell r="N2833" t="str"><v>North America</v></cell><cell r="O2833" t="str"><v>United States</v></cell><cell r="P2833" t="str"><v>Trial</v></cell><cell r="Q2833" t="str"><v>Social</v></cell><cell r="R2833" t="str"><v>Azure</v></cell><cell r="S2833" t="str"><v>Apps & Infra</v></cell><cell r="T2833" t="str"><v>Developers & ITI's</v></cell><cell r="U2833" t="str"><v>USA-Trial-ITD-Interest Prospecting-AZR-AZR</v></cell><cell r="V2833" t="str"><v>Prospecting</v></cell><cell r="W2833" t="str"><v>Canvas Ad</v></cell><cell r="X2833" t="str"><v>1x1</v></cell></row><row r="2833"><cell r="AA2833"><v>43301</v></cell><cell r="AB2833" t="str"><v>USA_gaPMG_AZR_AZR_Q1_19_Direct-Social</v></cell><cell r="AC2833"><v>21358715</v></cell><cell r="AD2833"><v>720197</v></cell><cell r="AE2833" t="str"><v>Facebook</v></cell><cell r="AF2833"><v>3654128</v></cell><cell r="AG2833" t="str"><v>FACEBOOK»USA-Trial-ITD-Interest Prospecting-AZR-AZR»1 x 1»SocialBan»CAN»ALL»CPA»PRO»X»NA»SS»NA»FBCTCBenefitinMotion»PRC1SX</v></cell><cell r="AH2833"><v>224104077</v></cell><cell r="AI2833" t="str"><v>AzurePlatform_FBCTCBenefitinMotion_USA_10s_CAN_PLATFORM_English_Trial_Standard_STAN_TIN_T3_2</v></cell><cell r="AJ2833"><v>103176836</v></cell></row><row r="2834"><cell r="C2834" t="str"><v>43301FACEBOOK»USA-Trial-ITD-Retargeting-AZR-AZR»1 x 1»SocialBan»LIA»ALL»CPA»RT»X»NA»SS»NA»FreeAcctDeveloperFB-AnimatedAI-Ch3»PRC26H</v></cell><cell r="D2834" t="str"><v>43301223863371</v></cell><cell r="E2834" t="str"><v>43301103032778PRC26H</v></cell><cell r="F2834" t="str"><v>DCM</v></cell></row><row r="2834"><cell r="K2834" t="str"><v>July</v></cell><cell r="L2834"><v>43302</v></cell><cell r="M2834" t="str"><v>Tier 0</v></cell><cell r="N2834" t="str"><v>North America</v></cell><cell r="O2834" t="str"><v>United States</v></cell><cell r="P2834" t="str"><v>Trial</v></cell><cell r="Q2834" t="str"><v>Social</v></cell><cell r="R2834" t="str"><v>Azure</v></cell><cell r="S2834" t="str"><v>Apps & Infra</v></cell><cell r="T2834" t="str"><v>Developers & ITI's</v></cell><cell r="U2834" t="str"><v>USA-Trial-ITD-Retargeting-AZR-AZR</v></cell><cell r="V2834" t="str"><v>Retargeting</v></cell><cell r="W2834" t="str"><v>Link Ad</v></cell><cell r="X2834" t="str"><v>1x1</v></cell></row><row r="2834"><cell r="AA2834"><v>43301</v></cell><cell r="AB2834" t="str"><v>USA_gaPMG_AZR_AZR_Q1_19_Direct-Social</v></cell><cell r="AC2834"><v>21358715</v></cell><cell r="AD2834"><v>720197</v></cell><cell r="AE2834" t="str"><v>Facebook</v></cell><cell r="AF2834"><v>3654128</v></cell><cell r="AG2834" t="str"><v>FACEBOOK»USA-Trial-ITD-Retargeting-AZR-AZR»1 x 1»SocialBan»LIA»ALL»CPA»RT»X»NA»SS»NA»FreeAcctDeveloperFB-AnimatedAI-Ch3»PRC26H</v></cell><cell r="AH2834"><v>223863371</v></cell><cell r="AI2834" t="str"><v>AZR_FreeAcctDeveloperFB-AnimatedAI-Ch3_USA_1200x1200_CAN_Direct_English_Trial_Standard_ANI_LEA_T3_1</v></cell><cell r="AJ2834"><v>103032778</v></cell></row><row r="2835"><cell r="C2835" t="str"><v>43301FACEBOOK»USA-Trial-ITD-Retargeting-AZR-AZR»1 x 1»SocialBan»LIA»ALL»CPA»RT»X»NA»SS»NA»FreeAcctDeveloperFB-AnimatedData-Ch4»PRC26J</v></cell><cell r="D2835" t="str"><v>43301224106078</v></cell><cell r="E2835" t="str"><v>43301103037935PRC26J</v></cell><cell r="F2835" t="str"><v>DCM</v></cell></row><row r="2835"><cell r="K2835" t="str"><v>July</v></cell><cell r="L2835"><v>43302</v></cell><cell r="M2835" t="str"><v>Tier 0</v></cell><cell r="N2835" t="str"><v>North America</v></cell><cell r="O2835" t="str"><v>United States</v></cell><cell r="P2835" t="str"><v>Trial</v></cell><cell r="Q2835" t="str"><v>Social</v></cell><cell r="R2835" t="str"><v>Azure</v></cell><cell r="S2835" t="str"><v>Apps & Infra</v></cell><cell r="T2835" t="str"><v>Developers & ITI's</v></cell><cell r="U2835" t="str"><v>USA-Trial-ITD-Retargeting-AZR-AZR</v></cell><cell r="V2835" t="str"><v>Retargeting</v></cell><cell r="W2835" t="str"><v>Link Ad</v></cell><cell r="X2835" t="str"><v>1x1</v></cell></row><row r="2835"><cell r="AA2835"><v>43301</v></cell><cell r="AB2835" t="str"><v>USA_gaPMG_AZR_AZR_Q1_19_Direct-Social</v></cell><cell r="AC2835"><v>21358715</v></cell><cell r="AD2835"><v>720197</v></cell><cell r="AE2835" t="str"><v>Facebook</v></cell><cell r="AF2835"><v>3654128</v></cell><cell r="AG2835" t="str"><v>FACEBOOK»USA-Trial-ITD-Retargeting-AZR-AZR»1 x 1»SocialBan»LIA»ALL»CPA»RT»X»NA»SS»NA»FreeAcctDeveloperFB-AnimatedData-Ch4»PRC26J</v></cell><cell r="AH2835"><v>224106078</v></cell><cell r="AI2835" t="str"><v>AZR_FreeAcctDeveloperFB-AnimatedData-Ch4_USA_1200x1200_CAN_Direct_English_Trial_Standard_ANI_LEA_T4_2</v></cell><cell r="AJ2835"><v>103037935</v></cell></row><row r="2836"><cell r="C2836" t="str"><v>43301FACEBOOK»USA-Trial-ITD-Retargeting-AZR-AZR»1 x 1»SocialBan»LIA»ALL»CPA»RT»X»NA»SS»NA»FreeAcctDeveloperFB-AnimatedGeneric-Ch1»PRC26F</v></cell><cell r="D2836" t="str"><v>43301224105850</v></cell><cell r="E2836" t="str"><v>43301103176851PRC26F</v></cell><cell r="F2836" t="str"><v>DCM</v></cell><cell r="G2836" t="str"><v>https://azure.microsoft.com/en-us/free/search/?OCID=AID%eexcid!_OLA_%ebuy!_%epid!_%ecid!</v></cell></row><row r="2836"><cell r="K2836" t="str"><v>July</v></cell><cell r="L2836"><v>43302</v></cell><cell r="M2836" t="str"><v>Tier 0</v></cell><cell r="N2836" t="str"><v>North America</v></cell><cell r="O2836" t="str"><v>United States</v></cell><cell r="P2836" t="str"><v>Trial</v></cell><cell r="Q2836" t="str"><v>Social</v></cell><cell r="R2836" t="str"><v>Azure</v></cell><cell r="S2836" t="str"><v>Apps & Infra</v></cell><cell r="T2836" t="str"><v>Developers & ITI's</v></cell><cell r="U2836" t="str"><v>USA-Trial-ITD-Retargeting-AZR-AZR</v></cell><cell r="V2836" t="str"><v>Retargeting</v></cell><cell r="W2836" t="str"><v>Link Ad</v></cell><cell r="X2836" t="str"><v>1x1</v></cell></row><row r="2836"><cell r="AA2836"><v>43301</v></cell><cell r="AB2836" t="str"><v>USA_gaPMG_AZR_AZR_Q1_19_Direct-Social</v></cell><cell r="AC2836"><v>21358715</v></cell><cell r="AD2836"><v>720197</v></cell><cell r="AE2836" t="str"><v>Facebook</v></cell><cell r="AF2836"><v>3654128</v></cell><cell r="AG2836" t="str"><v>FACEBOOK»USA-Trial-ITD-Retargeting-AZR-AZR»1 x 1»SocialBan»LIA»ALL»CPA»RT»X»NA»SS»NA»FreeAcctDeveloperFB-AnimatedGeneric-Ch1»PRC26F</v></cell><cell r="AH2836"><v>224105850</v></cell><cell r="AI2836" t="str"><v>AZR_FreeAcctDeveloperFB-AnimatedGeneric-Ch1_USA_1200x1200_CAN_Direct_English_Trial_Standard_ANI_LEA_T1_2</v></cell><cell r="AJ2836"><v>103176851</v></cell></row><row r="2837"><cell r="C2837" t="str"><v>43301FACEBOOK»USA-Trial-ITD-Retargeting-AZR-AZR»1 x 1»SocialBan»LIA»ALL»CPA»RT»X»NA»SS»NA»FreeAcctDeveloperFB-AnimatedOpenSource-Ch2»PRC26G</v></cell><cell r="D2837" t="str"><v>43301223862873</v></cell><cell r="E2837" t="str"><v>43301103048329PRC26G</v></cell><cell r="F2837" t="str"><v>DCM</v></cell><cell r="G2837" t="str"><v>https://azure.microsoft.com/en-us/free/open-source/search/?OCID=AID%eexcid!_OLA_%ebuy!_%epid!_%ecid!</v></cell></row><row r="2837"><cell r="K2837" t="str"><v>July</v></cell><cell r="L2837"><v>43302</v></cell><cell r="M2837" t="str"><v>Tier 0</v></cell><cell r="N2837" t="str"><v>North America</v></cell><cell r="O2837" t="str"><v>United States</v></cell><cell r="P2837" t="str"><v>Trial</v></cell><cell r="Q2837" t="str"><v>Social</v></cell><cell r="R2837" t="str"><v>Azure</v></cell><cell r="S2837" t="str"><v>Apps & Infra</v></cell><cell r="T2837" t="str"><v>Developers & ITI's</v></cell><cell r="U2837" t="str"><v>USA-Trial-ITD-Retargeting-AZR-AZR</v></cell><cell r="V2837" t="str"><v>Retargeting</v></cell><cell r="W2837" t="str"><v>Link Ad</v></cell><cell r="X2837" t="str"><v>1x1</v></cell></row><row r="2837"><cell r="AA2837"><v>43301</v></cell><cell r="AB2837" t="str"><v>USA_gaPMG_AZR_AZR_Q1_19_Direct-Social</v></cell><cell r="AC2837"><v>21358715</v></cell><cell r="AD2837"><v>720197</v></cell><cell r="AE2837" t="str"><v>Facebook</v></cell><cell r="AF2837"><v>3654128</v></cell><cell r="AG2837" t="str"><v>FACEBOOK»USA-Trial-ITD-Retargeting-AZR-AZR»1 x 1»SocialBan»LIA»ALL»CPA»RT»X»NA»SS»NA»FreeAcctDeveloperFB-AnimatedOpenSource-Ch2»PRC26G</v></cell><cell r="AH2837"><v>223862873</v></cell><cell r="AI2837" t="str"><v>AZR_FreeAcctDeveloperFB-AnimatedOpenSource-Ch2_USA_1200x1200_CAN_Direct_English_Trial_Standard_ANI_LEA_T2_1</v></cell><cell r="AJ2837"><v>103048329</v></cell></row><row r="2838"><cell r="C2838" t="str"><v>43301FACEBOOK»USA-Trial-ITD-Retargeting-AZR-AZR»1 x 1»SocialBan»LIA»ALL»CPA»RT»X»NA»SS»NA»FreeAcctITProFB-AnimatedHybrid-Ch2»PRC26N</v></cell><cell r="D2838" t="str"><v>43301223934053</v></cell><cell r="E2838" t="str"><v>43301103180583PRC26N</v></cell><cell r="F2838" t="str"><v>DCM</v></cell></row><row r="2838"><cell r="K2838" t="str"><v>July</v></cell><cell r="L2838"><v>43302</v></cell><cell r="M2838" t="str"><v>Tier 0</v></cell><cell r="N2838" t="str"><v>North America</v></cell><cell r="O2838" t="str"><v>United States</v></cell><cell r="P2838" t="str"><v>Trial</v></cell><cell r="Q2838" t="str"><v>Social</v></cell><cell r="R2838" t="str"><v>Azure</v></cell><cell r="S2838" t="str"><v>Apps & Infra</v></cell><cell r="T2838" t="str"><v>Developers & ITI's</v></cell><cell r="U2838" t="str"><v>USA-Trial-ITD-Retargeting-AZR-AZR</v></cell><cell r="V2838" t="str"><v>Retargeting</v></cell><cell r="W2838" t="str"><v>Link Ad</v></cell><cell r="X2838" t="str"><v>1x1</v></cell></row><row r="2838"><cell r="AA2838"><v>43301</v></cell><cell r="AB2838" t="str"><v>USA_gaPMG_AZR_AZR_Q1_19_Direct-Social</v></cell><cell r="AC2838"><v>21358715</v></cell><cell r="AD2838"><v>720197</v></cell><cell r="AE2838" t="str"><v>Facebook</v></cell><cell r="AF2838"><v>3654128</v></cell><cell r="AG2838" t="str"><v>FACEBOOK»USA-Trial-ITD-Retargeting-AZR-AZR»1 x 1»SocialBan»LIA»ALL»CPA»RT»X»NA»SS»NA»FreeAcctITProFB-AnimatedHybrid-Ch2»PRC26N</v></cell><cell r="AH2838"><v>223934053</v></cell><cell r="AI2838" t="str"><v>AZR_FreeAcctITProFB-AnimatedHybrid-Ch2_USA_1200x1200_CAN_Direct_English_Trial_Standard_ANI_LEA_T2_2</v></cell><cell r="AJ2838"><v>103180583</v></cell></row><row r="2839"><cell r="C2839" t="str"><v>43301FACEBOOK»USA-Trial-ITD-Retargeting-AZR-AZR»1 x 1»SocialBan»LIA»ALL»CPA»RT»X»NA»SS»NA»FreeAcctITProFB-AnimatedMigration-Ch3»PRC26P</v></cell><cell r="D2839" t="str"><v>43301223934056</v></cell><cell r="E2839" t="str"><v>43301103176827PRC26P</v></cell><cell r="F2839" t="str"><v>DCM</v></cell></row><row r="2839"><cell r="K2839" t="str"><v>July</v></cell><cell r="L2839"><v>43302</v></cell><cell r="M2839" t="str"><v>Tier 0</v></cell><cell r="N2839" t="str"><v>North America</v></cell><cell r="O2839" t="str"><v>United States</v></cell><cell r="P2839" t="str"><v>Trial</v></cell><cell r="Q2839" t="str"><v>Social</v></cell><cell r="R2839" t="str"><v>Azure</v></cell><cell r="S2839" t="str"><v>Apps & Infra</v></cell><cell r="T2839" t="str"><v>Developers & ITI's</v></cell><cell r="U2839" t="str"><v>USA-Trial-ITD-Retargeting-AZR-AZR</v></cell><cell r="V2839" t="str"><v>Retargeting</v></cell><cell r="W2839" t="str"><v>Link Ad</v></cell><cell r="X2839" t="str"><v>1x1</v></cell></row><row r="2839"><cell r="AA2839"><v>43301</v></cell><cell r="AB2839" t="str"><v>USA_gaPMG_AZR_AZR_Q1_19_Direct-Social</v></cell><cell r="AC2839"><v>21358715</v></cell><cell r="AD2839"><v>720197</v></cell><cell r="AE2839" t="str"><v>Facebook</v></cell><cell r="AF2839"><v>3654128</v></cell><cell r="AG2839" t="str"><v>FACEBOOK»USA-Trial-ITD-Retargeting-AZR-AZR»1 x 1»SocialBan»LIA»ALL»CPA»RT»X»NA»SS»NA»FreeAcctITProFB-AnimatedMigration-Ch3»PRC26P</v></cell><cell r="AH2839"><v>223934056</v></cell><cell r="AI2839" t="str"><v>AZR_FreeAcctITProFB-AnimatedMigration-Ch3_USA_1200x1200_CAN_Direct_English_Trial_Standard_ANI_LEA_T3_1</v></cell><cell r="AJ2839"><v>103176827</v></cell></row><row r="2840"><cell r="C2840" t="str"><v>43301FACEBOOK»USA-Trial-ITD-Retargeting-AZR-AZR»1 x 1»SocialBan»LIA»ALL»CPA»RT»X»NA»SS»NA»FreeAcctRetargetingFB-Animated-ChC»PRC1RX</v></cell><cell r="D2840" t="str"><v>43301223862864</v></cell><cell r="E2840" t="str"><v>43301103180880PRC1RX</v></cell><cell r="F2840" t="str"><v>DCM</v></cell><cell r="G2840" t="str"><v>https://azure.microsoft.com/en-us/free/search/?OCID=AID%eexcid!_OLA_%ebuy!_%epid!_%ecid!</v></cell></row><row r="2840"><cell r="K2840" t="str"><v>July</v></cell><cell r="L2840"><v>43302</v></cell><cell r="M2840" t="str"><v>Tier 0</v></cell><cell r="N2840" t="str"><v>North America</v></cell><cell r="O2840" t="str"><v>United States</v></cell><cell r="P2840" t="str"><v>Trial</v></cell><cell r="Q2840" t="str"><v>Social</v></cell><cell r="R2840" t="str"><v>Azure</v></cell><cell r="S2840" t="str"><v>Apps & Infra</v></cell><cell r="T2840" t="str"><v>Developers & ITI's</v></cell><cell r="U2840" t="str"><v>USA-Trial-ITD-Retargeting-AZR-AZR</v></cell><cell r="V2840" t="str"><v>Retargeting</v></cell><cell r="W2840" t="str"><v>Link Ad</v></cell><cell r="X2840" t="str"><v>1x1</v></cell></row><row r="2840"><cell r="AA2840"><v>43301</v></cell><cell r="AB2840" t="str"><v>USA_gaPMG_AZR_AZR_Q1_19_Direct-Social</v></cell><cell r="AC2840"><v>21358715</v></cell><cell r="AD2840"><v>720197</v></cell><cell r="AE2840" t="str"><v>Facebook</v></cell><cell r="AF2840"><v>3654128</v></cell><cell r="AG2840" t="str"><v>FACEBOOK»USA-Trial-ITD-Retargeting-AZR-AZR»1 x 1»SocialBan»LIA»ALL»CPA»RT»X»NA»SS»NA»FreeAcctRetargetingFB-Animated-ChC»PRC1RX</v></cell><cell r="AH2840"><v>223862864</v></cell><cell r="AI2840" t="str"><v>AzurePlatform_FreeAcctRetargetingFB-Animated-ChC_USA_1200x628_CAN_PLATFORM_English_Free Account_Standard_ANI_SINU_T3_2</v></cell><cell r="AJ2840"><v>103180880</v></cell></row><row r="2841"><cell r="C2841" t="str"><v>43301FACEBOOK»USA-Trial-ITD-Retargeting-AZR-AZR»1 x 1»SocialBan»LIA»ALL»CPA»RT»X»NA»SS»NA»FreeAcctRetargetingFB-Credit-ChA»PRC1RV</v></cell><cell r="D2841" t="str"><v>43301224106075</v></cell><cell r="E2841" t="str"><v>43301103034917PRC1RV</v></cell><cell r="F2841" t="str"><v>DCM</v></cell><cell r="G2841" t="str"><v>https://azure.microsoft.com/en-us/free/search/?OCID=AID%eexcid!_OLA_%ebuy!_%epid!_%ecid!</v></cell></row><row r="2841"><cell r="K2841" t="str"><v>July</v></cell><cell r="L2841"><v>43302</v></cell><cell r="M2841" t="str"><v>Tier 0</v></cell><cell r="N2841" t="str"><v>North America</v></cell><cell r="O2841" t="str"><v>United States</v></cell><cell r="P2841" t="str"><v>Trial</v></cell><cell r="Q2841" t="str"><v>Social</v></cell><cell r="R2841" t="str"><v>Azure</v></cell><cell r="S2841" t="str"><v>Apps & Infra</v></cell><cell r="T2841" t="str"><v>Developers & ITI's</v></cell><cell r="U2841" t="str"><v>USA-Trial-ITD-Retargeting-AZR-AZR</v></cell><cell r="V2841" t="str"><v>Retargeting</v></cell><cell r="W2841" t="str"><v>Link Ad</v></cell><cell r="X2841" t="str"><v>1x1</v></cell></row><row r="2841"><cell r="AA2841"><v>43301</v></cell><cell r="AB2841" t="str"><v>USA_gaPMG_AZR_AZR_Q1_19_Direct-Social</v></cell><cell r="AC2841"><v>21358715</v></cell><cell r="AD2841"><v>720197</v></cell><cell r="AE2841" t="str"><v>Facebook</v></cell><cell r="AF2841"><v>3654128</v></cell><cell r="AG2841" t="str"><v>FACEBOOK»USA-Trial-ITD-Retargeting-AZR-AZR»1 x 1»SocialBan»LIA»ALL»CPA»RT»X»NA»SS»NA»FreeAcctRetargetingFB-Credit-ChA»PRC1RV</v></cell><cell r="AH2841"><v>224106075</v></cell><cell r="AI2841" t="str"><v>AzurePlatform_FreeAcctRetargetingFB-Credit-ChA_USA_1200x628_CAN_PLATFORM_English_Free Account_Standard_NA_SINU_T1_2</v></cell><cell r="AJ2841"><v>103034917</v></cell></row><row r="2842"><cell r="C2842" t="str"><v>43301FACEBOOK»USA-Trial-ITD-Retargeting-AZR-AZR»1 x 1»SocialBan»LIA»ALL»CPA»RT»X»NA»SS»NA»FreeAcctRetargetingFB-GlobalAlt-ChB»PRC1RW</v></cell><cell r="D2842" t="str"><v>43301223862756</v></cell><cell r="E2842" t="str"><v>43301103180592PRC1RW</v></cell><cell r="F2842" t="str"><v>DCM</v></cell><cell r="G2842" t="str"><v>https://azure.microsoft.com/en-us/free/search/?OCID=AID%eexcid!_OLA_%ebuy!_%epid!_%ecid!</v></cell></row><row r="2842"><cell r="K2842" t="str"><v>July</v></cell><cell r="L2842"><v>43302</v></cell><cell r="M2842" t="str"><v>Tier 0</v></cell><cell r="N2842" t="str"><v>North America</v></cell><cell r="O2842" t="str"><v>United States</v></cell><cell r="P2842" t="str"><v>Trial</v></cell><cell r="Q2842" t="str"><v>Social</v></cell><cell r="R2842" t="str"><v>Azure</v></cell><cell r="S2842" t="str"><v>Apps & Infra</v></cell><cell r="T2842" t="str"><v>Developers & ITI's</v></cell><cell r="U2842" t="str"><v>USA-Trial-ITD-Retargeting-AZR-AZR</v></cell><cell r="V2842" t="str"><v>Retargeting</v></cell><cell r="W2842" t="str"><v>Link Ad</v></cell><cell r="X2842" t="str"><v>1x1</v></cell></row><row r="2842"><cell r="AA2842"><v>43301</v></cell><cell r="AB2842" t="str"><v>USA_gaPMG_AZR_AZR_Q1_19_Direct-Social</v></cell><cell r="AC2842"><v>21358715</v></cell><cell r="AD2842"><v>720197</v></cell><cell r="AE2842" t="str"><v>Facebook</v></cell><cell r="AF2842"><v>3654128</v></cell><cell r="AG2842" t="str"><v>FACEBOOK»USA-Trial-ITD-Retargeting-AZR-AZR»1 x 1»SocialBan»LIA»ALL»CPA»RT»X»NA»SS»NA»FreeAcctRetargetingFB-GlobalAlt-ChB»PRC1RW</v></cell><cell r="AH2842"><v>223862756</v></cell><cell r="AI2842" t="str"><v>AzurePlatform_FreeAcctRetargetingFB-GlobalAlt-ChB_USA_1200x628_CAN_PLATFORM_English_Free Account_Standard_NA_SINU_T2_1</v></cell><cell r="AJ2842"><v>103180592</v></cell></row><row r="2843"><cell r="C2843" t="str"><v>43301FACEBOOK»USA-Trial-ITD-Retargeting-AZR-AZR»1 x 1»SocialBan»LIA»ALL»CPA»RT»X»NA»SS»NA»FreeAcctRetargetingVMFB-750Hrs-ChD»PRC1RY</v></cell><cell r="D2843" t="str"><v>43301223862747</v></cell><cell r="E2843" t="str"><v>43301103034911PRC1RY</v></cell><cell r="F2843" t="str"><v>DCM</v></cell><cell r="G2843" t="str"><v>https://azure.microsoft.com/en-us/free/virtual-machines/search/?OCID=AID%eexcid!_OLA_%ebuy!_%epid!_%ecid!</v></cell></row><row r="2843"><cell r="K2843" t="str"><v>July</v></cell><cell r="L2843"><v>43302</v></cell><cell r="M2843" t="str"><v>Tier 0</v></cell><cell r="N2843" t="str"><v>North America</v></cell><cell r="O2843" t="str"><v>United States</v></cell><cell r="P2843" t="str"><v>Trial</v></cell><cell r="Q2843" t="str"><v>Social</v></cell><cell r="R2843" t="str"><v>Azure</v></cell><cell r="S2843" t="str"><v>Apps & Infra</v></cell><cell r="T2843" t="str"><v>Developers & ITI's</v></cell><cell r="U2843" t="str"><v>USA-Trial-ITD-Retargeting-AZR-AZR</v></cell><cell r="V2843" t="str"><v>Retargeting</v></cell><cell r="W2843" t="str"><v>Link Ad</v></cell><cell r="X2843" t="str"><v>1x1</v></cell></row><row r="2843"><cell r="AA2843"><v>43301</v></cell><cell r="AB2843" t="str"><v>USA_gaPMG_AZR_AZR_Q1_19_Direct-Social</v></cell><cell r="AC2843"><v>21358715</v></cell><cell r="AD2843"><v>720197</v></cell><cell r="AE2843" t="str"><v>Facebook</v></cell><cell r="AF2843"><v>3654128</v></cell><cell r="AG2843" t="str"><v>FACEBOOK»USA-Trial-ITD-Retargeting-AZR-AZR»1 x 1»SocialBan»LIA»ALL»CPA»RT»X»NA»SS»NA»FreeAcctRetargetingVMFB-750Hrs-ChD»PRC1RY</v></cell><cell r="AH2843"><v>223862747</v></cell><cell r="AI2843" t="str"><v>AzurePlatform_FreeAcctRetargetingVMFB-750Hrs-ChD_USA_1200x628_CAN_PLATFORM_English_Free Account_Standard_NA_SINU_T1_1</v></cell><cell r="AJ2843"><v>103034911</v></cell></row><row r="2844"><cell r="C2844" t="str"><v>43301FACEBOOK»USA-Trial-ITD-Retargeting-AZR-AZR»1 x 1»SocialBan»LIA»ALL»CPA»RT»X»NA»SS»NA»FreeAcctRetargetingVMFB-OnDemand-ChE»PRC1S0</v></cell><cell r="D2844" t="str"><v>43301224104899</v></cell><cell r="E2844" t="str"><v>43301103180610PRC1S0</v></cell><cell r="F2844" t="str"><v>DCM</v></cell><cell r="G2844" t="str"><v>https://azure.microsoft.com/en-us/free/virtual-machines/search/?OCID=AID%eexcid!_OLA_%ebuy!_%epid!_%ecid!</v></cell></row><row r="2844"><cell r="K2844" t="str"><v>July</v></cell><cell r="L2844"><v>43302</v></cell><cell r="M2844" t="str"><v>Tier 0</v></cell><cell r="N2844" t="str"><v>North America</v></cell><cell r="O2844" t="str"><v>United States</v></cell><cell r="P2844" t="str"><v>Trial</v></cell><cell r="Q2844" t="str"><v>Social</v></cell><cell r="R2844" t="str"><v>Azure</v></cell><cell r="S2844" t="str"><v>Apps & Infra</v></cell><cell r="T2844" t="str"><v>Developers & ITI's</v></cell><cell r="U2844" t="str"><v>USA-Trial-ITD-Retargeting-AZR-AZR</v></cell><cell r="V2844" t="str"><v>Retargeting</v></cell><cell r="W2844" t="str"><v>Link Ad</v></cell><cell r="X2844" t="str"><v>1x1</v></cell></row><row r="2844"><cell r="AA2844"><v>43301</v></cell><cell r="AB2844" t="str"><v>USA_gaPMG_AZR_AZR_Q1_19_Direct-Social</v></cell><cell r="AC2844"><v>21358715</v></cell><cell r="AD2844"><v>720197</v></cell><cell r="AE2844" t="str"><v>Facebook</v></cell><cell r="AF2844"><v>3654128</v></cell><cell r="AG2844" t="str"><v>FACEBOOK»USA-Trial-ITD-Retargeting-AZR-AZR»1 x 1»SocialBan»LIA»ALL»CPA»RT»X»NA»SS»NA»FreeAcctRetargetingVMFB-OnDemand-ChE»PRC1S0</v></cell><cell r="AH2844"><v>224104899</v></cell><cell r="AI2844" t="str"><v>AzurePlatform_FreeAcctRetargetingVMFB-OnDemand-ChE_USA_1200x628_CAN_PLATFORM_English_Free Account_Standard_NA_SINU_T2_1</v></cell><cell r="AJ2844"><v>103180610</v></cell></row><row r="2845"><cell r="C2845" t="str"><v>43301FACEBOOK»USA-Trial-ITD-Retargeting-AZR-AZR»1 x 1»SocialBan»CAN»ALL»CPA»RT»X»NA»SS»NA»FBCTCBenefit2inMotion»PRC1RR</v></cell><cell r="D2845" t="str"><v>43301224104896</v></cell><cell r="E2845" t="str"><v>43301103043835PRC1RR</v></cell><cell r="F2845" t="str"><v>DCM</v></cell><cell r="G2845" t="str"><v>https://signup.azure.com/?OCID=AID%eexcid!_OLA_%ebuy!_%epid!_%ecid!</v></cell></row><row r="2845"><cell r="K2845" t="str"><v>July</v></cell><cell r="L2845"><v>43302</v></cell><cell r="M2845" t="str"><v>Tier 0</v></cell><cell r="N2845" t="str"><v>North America</v></cell><cell r="O2845" t="str"><v>United States</v></cell><cell r="P2845" t="str"><v>Trial</v></cell><cell r="Q2845" t="str"><v>Social</v></cell><cell r="R2845" t="str"><v>Azure</v></cell><cell r="S2845" t="str"><v>Apps & Infra</v></cell><cell r="T2845" t="str"><v>Developers & ITI's</v></cell><cell r="U2845" t="str"><v>USA-Trial-ITD-Retargeting-AZR-AZR</v></cell><cell r="V2845" t="str"><v>Retargeting</v></cell><cell r="W2845" t="str"><v>Canvas Ad</v></cell><cell r="X2845" t="str"><v>1x1</v></cell></row><row r="2845"><cell r="AA2845"><v>43301</v></cell><cell r="AB2845" t="str"><v>USA_gaPMG_AZR_AZR_Q1_19_Direct-Social</v></cell><cell r="AC2845"><v>21358715</v></cell><cell r="AD2845"><v>720197</v></cell><cell r="AE2845" t="str"><v>Facebook</v></cell><cell r="AF2845"><v>3654128</v></cell><cell r="AG2845" t="str"><v>FACEBOOK»USA-Trial-ITD-Retargeting-AZR-AZR»1 x 1»SocialBan»CAN»ALL»CPA»RT»X»NA»SS»NA»FBCTCBenefit2inMotion»PRC1RR</v></cell><cell r="AH2845"><v>224104896</v></cell><cell r="AI2845" t="str"><v>AzurePlatform_FBCTCBenefit2inMotion_USA_10s_CAN_PLATFORM_English_Trial_Standard_STAN_TIN_T4_1</v></cell><cell r="AJ2845"><v>103043835</v></cell></row><row r="2846"><cell r="C2846" t="str"><v>43301FACEBOOK»USA-Trial-ITD-Retargeting-AZR-AZR»1 x 1»SocialBan»CAN»ALL»CPA»RT»X»NA»SS»NA»FBCTCBrandinMotion»PRC1RT</v></cell><cell r="D2846" t="str"><v>43301224106069</v></cell><cell r="E2846" t="str"><v>43301103176812PRC1RT</v></cell><cell r="F2846" t="str"><v>DCM</v></cell><cell r="G2846" t="str"><v>https://signup.azure.com/?OCID=AID%eexcid!_OLA_%ebuy!_%epid!_%ecid!</v></cell></row><row r="2846"><cell r="K2846" t="str"><v>July</v></cell><cell r="L2846"><v>43302</v></cell><cell r="M2846" t="str"><v>Tier 0</v></cell><cell r="N2846" t="str"><v>North America</v></cell><cell r="O2846" t="str"><v>United States</v></cell><cell r="P2846" t="str"><v>Trial</v></cell><cell r="Q2846" t="str"><v>Social</v></cell><cell r="R2846" t="str"><v>Azure</v></cell><cell r="S2846" t="str"><v>Apps & Infra</v></cell><cell r="T2846" t="str"><v>Developers & ITI's</v></cell><cell r="U2846" t="str"><v>USA-Trial-ITD-Retargeting-AZR-AZR</v></cell><cell r="V2846" t="str"><v>Retargeting</v></cell><cell r="W2846" t="str"><v>Canvas Ad</v></cell><cell r="X2846" t="str"><v>1x1</v></cell></row><row r="2846"><cell r="AA2846"><v>43301</v></cell><cell r="AB2846" t="str"><v>USA_gaPMG_AZR_AZR_Q1_19_Direct-Social</v></cell><cell r="AC2846"><v>21358715</v></cell><cell r="AD2846"><v>720197</v></cell><cell r="AE2846" t="str"><v>Facebook</v></cell><cell r="AF2846"><v>3654128</v></cell><cell r="AG2846" t="str"><v>FACEBOOK»USA-Trial-ITD-Retargeting-AZR-AZR»1 x 1»SocialBan»CAN»ALL»CPA»RT»X»NA»SS»NA»FBCTCBrandinMotion»PRC1RT</v></cell><cell r="AH2846"><v>224106069</v></cell><cell r="AI2846" t="str"><v>AzurePlatform_FBCTCBrandinMotion_USA_10s_CAN_PLATFORM_English_Trial_Standard_STAN_TIN_T2_1</v></cell><cell r="AJ2846"><v>103176812</v></cell></row><row r="2847"><cell r="C2847" t="str"><v>43301FACEBOOK»USA-Trial-ITD-Trial Lookalike-AZR-AZR»1 x 1»SocialBan»CAN»ALL»CPA»LAL»X»NA»SS»NA»FBCTCBenefitinMotion»PRC1M2</v></cell><cell r="D2847" t="str"><v>43301223862897</v></cell><cell r="E2847" t="str"><v>43301103032775PRC1M2</v></cell><cell r="F2847" t="str"><v>DCM</v></cell><cell r="G2847" t="str"><v>https://signup.azure.com/?OCID=AID%eexcid!_OLA_%ebuy!_%epid!_%ecid!</v></cell></row><row r="2847"><cell r="K2847" t="str"><v>July</v></cell><cell r="L2847"><v>43302</v></cell><cell r="M2847" t="str"><v>Tier 0</v></cell><cell r="N2847" t="str"><v>North America</v></cell><cell r="O2847" t="str"><v>United States</v></cell><cell r="P2847" t="str"><v>Trial</v></cell><cell r="Q2847" t="str"><v>Social</v></cell><cell r="R2847" t="str"><v>Azure</v></cell><cell r="S2847" t="str"><v>Apps & Infra</v></cell><cell r="T2847" t="str"><v>Developers & ITI's</v></cell><cell r="U2847" t="str"><v>USA-Trial-ITD-Trial Lookalike-AZR-AZR</v></cell><cell r="V2847" t="str"><v>Lookalike Targeting</v></cell><cell r="W2847" t="str"><v>Canvas Ad</v></cell><cell r="X2847" t="str"><v>1x1</v></cell></row><row r="2847"><cell r="AA2847"><v>43301</v></cell><cell r="AB2847" t="str"><v>USA_gaPMG_AZR_AZR_Q1_19_Direct-Social</v></cell><cell r="AC2847"><v>21358715</v></cell><cell r="AD2847"><v>720197</v></cell><cell r="AE2847" t="str"><v>Facebook</v></cell><cell r="AF2847"><v>3654128</v></cell><cell r="AG2847" t="str"><v>FACEBOOK»USA-Trial-ITD-Trial Lookalike-AZR-AZR»1 x 1»SocialBan»CAN»ALL»CPA»LAL»X»NA»SS»NA»FBCTCBenefitinMotion»PRC1M2</v></cell><cell r="AH2847"><v>223862897</v></cell><cell r="AI2847" t="str"><v>AzurePlatform_FBCTCBenefitinMotion_USA_10s_CAN_PLATFORM_English_Trial_Standard_STAN_TIN_T3_1</v></cell><cell r="AJ2847"><v>103032775</v></cell></row><row r="2848"><cell r="C2848" t="str"><v>43301FACEBOOK»USA-Trial-ITD-Trial Lookalike-AZR-AZR»1 x 1»SocialBan»LIA»ALL»CPA»LAL»X»NA»SS»NA»FreeAcctDeveloperFB-AnimatedAI-Ch3»PRC1M7</v></cell><cell r="D2848" t="str"><v>43301223934104</v></cell><cell r="E2848" t="str"><v>43301103032778PRC1M7</v></cell><cell r="F2848" t="str"><v>DCM</v></cell></row><row r="2848"><cell r="K2848" t="str"><v>July</v></cell><cell r="L2848"><v>43302</v></cell><cell r="M2848" t="str"><v>Tier 0</v></cell><cell r="N2848" t="str"><v>North America</v></cell><cell r="O2848" t="str"><v>United States</v></cell><cell r="P2848" t="str"><v>Trial</v></cell><cell r="Q2848" t="str"><v>Social</v></cell><cell r="R2848" t="str"><v>Azure</v></cell><cell r="S2848" t="str"><v>Apps & Infra</v></cell><cell r="T2848" t="str"><v>Developers & ITI's</v></cell><cell r="U2848" t="str"><v>USA-Trial-ITD-Trial Lookalike-AZR-AZR</v></cell><cell r="V2848" t="str"><v>Lookalike Targeting</v></cell><cell r="W2848" t="str"><v>Link Ad</v></cell><cell r="X2848" t="str"><v>1x1</v></cell></row><row r="2848"><cell r="AA2848"><v>43301</v></cell><cell r="AB2848" t="str"><v>USA_gaPMG_AZR_AZR_Q1_19_Direct-Social</v></cell><cell r="AC2848"><v>21358715</v></cell><cell r="AD2848"><v>720197</v></cell><cell r="AE2848" t="str"><v>Facebook</v></cell><cell r="AF2848"><v>3654128</v></cell><cell r="AG2848" t="str"><v>FACEBOOK»USA-Trial-ITD-Trial Lookalike-AZR-AZR»1 x 1»SocialBan»LIA»ALL»CPA»LAL»X»NA»SS»NA»FreeAcctDeveloperFB-AnimatedAI-Ch3»PRC1M7</v></cell><cell r="AH2848"><v>223934104</v></cell><cell r="AI2848" t="str"><v>AZR_FreeAcctDeveloperFB-AnimatedAI-Ch3_USA_1200x1200_CAN_Direct_English_Trial_Standard_ANI_LEA_T3_1</v></cell><cell r="AJ2848"><v>103032778</v></cell></row><row r="2849"><cell r="C2849" t="str"><v>43301FACEBOOK»USA-Trial-ITD-Trial Lookalike-AZR-AZR»1 x 1»SocialBan»LIA»ALL»CPA»LAL»X»NA»SS»NA»FreeAcctDeveloperFB-AnimatedData-Ch4»PRC1M8</v></cell><cell r="D2849" t="str"><v>43301223862933</v></cell><cell r="E2849" t="str"><v>43301103037935PRC1M8</v></cell><cell r="F2849" t="str"><v>DCM</v></cell></row><row r="2849"><cell r="K2849" t="str"><v>July</v></cell><cell r="L2849"><v>43302</v></cell><cell r="M2849" t="str"><v>Tier 0</v></cell><cell r="N2849" t="str"><v>North America</v></cell><cell r="O2849" t="str"><v>United States</v></cell><cell r="P2849" t="str"><v>Trial</v></cell><cell r="Q2849" t="str"><v>Social</v></cell><cell r="R2849" t="str"><v>Azure</v></cell><cell r="S2849" t="str"><v>Apps & Infra</v></cell><cell r="T2849" t="str"><v>Developers & ITI's</v></cell><cell r="U2849" t="str"><v>USA-Trial-ITD-Trial Lookalike-AZR-AZR</v></cell><cell r="V2849" t="str"><v>Lookalike Targeting</v></cell><cell r="W2849" t="str"><v>Link Ad</v></cell><cell r="X2849" t="str"><v>1x1</v></cell></row><row r="2849"><cell r="AA2849"><v>43301</v></cell><cell r="AB2849" t="str"><v>USA_gaPMG_AZR_AZR_Q1_19_Direct-Social</v></cell><cell r="AC2849"><v>21358715</v></cell><cell r="AD2849"><v>720197</v></cell><cell r="AE2849" t="str"><v>Facebook</v></cell><cell r="AF2849"><v>3654128</v></cell><cell r="AG2849" t="str"><v>FACEBOOK»USA-Trial-ITD-Trial Lookalike-AZR-AZR»1 x 1»SocialBan»LIA»ALL»CPA»LAL»X»NA»SS»NA»FreeAcctDeveloperFB-AnimatedData-Ch4»PRC1M8</v></cell><cell r="AH2849"><v>223862933</v></cell><cell r="AI2849" t="str"><v>AZR_FreeAcctDeveloperFB-AnimatedData-Ch4_USA_1200x1200_CAN_Direct_English_Trial_Standard_ANI_LEA_T4_2</v></cell><cell r="AJ2849"><v>103037935</v></cell></row><row r="2850"><cell r="C2850" t="str"><v>43301FACEBOOK»USA-Trial-ITD-Trial Lookalike-AZR-AZR»1 x 1»SocialBan»LIA»ALL»CPA»LAL»X»NA»SS»NA»FreeAcctITProFB-AnimatedHybrid-Ch2»PRC1MC</v></cell><cell r="D2850" t="str"><v>43301224104956</v></cell><cell r="E2850" t="str"><v>43301103180583PRC1MC</v></cell><cell r="F2850" t="str"><v>DCM</v></cell></row><row r="2850"><cell r="K2850" t="str"><v>July</v></cell><cell r="L2850"><v>43302</v></cell><cell r="M2850" t="str"><v>Tier 0</v></cell><cell r="N2850" t="str"><v>North America</v></cell><cell r="O2850" t="str"><v>United States</v></cell><cell r="P2850" t="str"><v>Trial</v></cell><cell r="Q2850" t="str"><v>Social</v></cell><cell r="R2850" t="str"><v>Azure</v></cell><cell r="S2850" t="str"><v>Apps & Infra</v></cell><cell r="T2850" t="str"><v>Developers & ITI's</v></cell><cell r="U2850" t="str"><v>USA-Trial-ITD-Trial Lookalike-AZR-AZR</v></cell><cell r="V2850" t="str"><v>Lookalike Targeting</v></cell><cell r="W2850" t="str"><v>Link Ad</v></cell><cell r="X2850" t="str"><v>1x1</v></cell></row><row r="2850"><cell r="AA2850"><v>43301</v></cell><cell r="AB2850" t="str"><v>USA_gaPMG_AZR_AZR_Q1_19_Direct-Social</v></cell><cell r="AC2850"><v>21358715</v></cell><cell r="AD2850"><v>720197</v></cell><cell r="AE2850" t="str"><v>Facebook</v></cell><cell r="AF2850"><v>3654128</v></cell><cell r="AG2850" t="str"><v>FACEBOOK»USA-Trial-ITD-Trial Lookalike-AZR-AZR»1 x 1»SocialBan»LIA»ALL»CPA»LAL»X»NA»SS»NA»FreeAcctITProFB-AnimatedHybrid-Ch2»PRC1MC</v></cell><cell r="AH2850"><v>224104956</v></cell><cell r="AI2850" t="str"><v>AZR_FreeAcctITProFB-AnimatedHybrid-Ch2_USA_1200x1200_CAN_Direct_English_Trial_Standard_ANI_LEA_T2_2</v></cell><cell r="AJ2850"><v>103180583</v></cell></row><row r="2851"><cell r="C2851" t="str"><v>43301FACEBOOK»USA-Trial-ITD-Trial Lookalike-AZR-AZR»1 x 1»SocialBan»CAN»ALL»CPA»LAL»X»NA»SS»NA»FBCTCBrandinMotion»PRC1M3</v></cell><cell r="D2851" t="str"><v>43301223862900</v></cell><cell r="E2851" t="str"><v>43301103176812PRC1M3</v></cell><cell r="F2851" t="str"><v>DCM</v></cell><cell r="G2851" t="str"><v>https://signup.azure.com/?OCID=AID%eexcid!_OLA_%ebuy!_%epid!_%ecid!</v></cell></row><row r="2851"><cell r="K2851" t="str"><v>July</v></cell><cell r="L2851"><v>43302</v></cell><cell r="M2851" t="str"><v>Tier 0</v></cell><cell r="N2851" t="str"><v>North America</v></cell><cell r="O2851" t="str"><v>United States</v></cell><cell r="P2851" t="str"><v>Trial</v></cell><cell r="Q2851" t="str"><v>Social</v></cell><cell r="R2851" t="str"><v>Azure</v></cell><cell r="S2851" t="str"><v>Apps & Infra</v></cell><cell r="T2851" t="str"><v>Developers & ITI's</v></cell><cell r="U2851" t="str"><v>USA-Trial-ITD-Trial Lookalike-AZR-AZR</v></cell><cell r="V2851" t="str"><v>Lookalike Targeting</v></cell><cell r="W2851" t="str"><v>Canvas Ad</v></cell><cell r="X2851" t="str"><v>1x1</v></cell></row><row r="2851"><cell r="AA2851"><v>43301</v></cell><cell r="AB2851" t="str"><v>USA_gaPMG_AZR_AZR_Q1_19_Direct-Social</v></cell><cell r="AC2851"><v>21358715</v></cell><cell r="AD2851"><v>720197</v></cell><cell r="AE2851" t="str"><v>Facebook</v></cell><cell r="AF2851"><v>3654128</v></cell><cell r="AG2851" t="str"><v>FACEBOOK»USA-Trial-ITD-Trial Lookalike-AZR-AZR»1 x 1»SocialBan»CAN»ALL»CPA»LAL»X»NA»SS»NA»FBCTCBrandinMotion»PRC1M3</v></cell><cell r="AH2851"><v>223862900</v></cell><cell r="AI2851" t="str"><v>AzurePlatform_FBCTCBrandinMotion_USA_10s_CAN_PLATFORM_English_Trial_Standard_STAN_TIN_T2_1</v></cell><cell r="AJ2851"><v>103176812</v></cell></row><row r="2852"><cell r="C2852" t="str"><v>43301FACEBOOK»USA-Trial-ITD-Trial Lookalike-AZR-AZR»1 x 1»SocialBan»CAN»ALL»CPA»LAL»X»NA»SS»NA»FBCTCBrandinMotion»PRC1M3</v></cell><cell r="D2852" t="str"><v>43301223862900</v></cell><cell r="E2852" t="str"><v>43301103032823PRC1M3</v></cell><cell r="F2852" t="str"><v>DCM</v></cell><cell r="G2852" t="str"><v>https://azure.microsoft.com/en-us/pricing/purchase-options/?v=18.19&OCID=AID%eexcid!_OLA_%ebuy!_%epid!_%ecid!</v></cell></row><row r="2852"><cell r="K2852" t="str"><v>July</v></cell><cell r="L2852"><v>43302</v></cell><cell r="M2852" t="str"><v>Tier 0</v></cell><cell r="N2852" t="str"><v>North America</v></cell><cell r="O2852" t="str"><v>United States</v></cell><cell r="P2852" t="str"><v>Trial</v></cell><cell r="Q2852" t="str"><v>Social</v></cell><cell r="R2852" t="str"><v>Azure</v></cell><cell r="S2852" t="str"><v>Apps & Infra</v></cell><cell r="T2852" t="str"><v>Developers & ITI's</v></cell><cell r="U2852" t="str"><v>USA-Trial-ITD-Trial Lookalike-AZR-AZR</v></cell><cell r="V2852" t="str"><v>Lookalike Targeting</v></cell><cell r="W2852" t="str"><v>Canvas Ad</v></cell><cell r="X2852" t="str"><v>1x1</v></cell></row><row r="2852"><cell r="AA2852"><v>43301</v></cell><cell r="AB2852" t="str"><v>USA_gaPMG_AZR_AZR_Q1_19_Direct-Social</v></cell><cell r="AC2852"><v>21358715</v></cell><cell r="AD2852"><v>720197</v></cell><cell r="AE2852" t="str"><v>Facebook</v></cell><cell r="AF2852"><v>3654128</v></cell><cell r="AG2852" t="str"><v>FACEBOOK»USA-Trial-ITD-Trial Lookalike-AZR-AZR»1 x 1»SocialBan»CAN»ALL»CPA»LAL»X»NA»SS»NA»FBCTCBrandinMotion»PRC1M3</v></cell><cell r="AH2852"><v>223862900</v></cell><cell r="AI2852" t="str"><v>AzurePlatform_FBCTCBrandinMotion_USA_10s_CAN_PLATFORM_English_Trial_Standard_STAN_TIN_T2_2</v></cell><cell r="AJ2852"><v>103032823</v></cell></row><row r="2853"><cell r="C2853" t="str"><v>43301FACEBOOK»USA-Trial-ITD-Trial PayGo Lookalike-AZR-AZR»1 x 1»SocialBan»CAN»ALL»CPA»LAL»X»NA»SS»NA»FBCTCBenefit2inMotion»PRC1Q1</v></cell><cell r="D2853" t="str"><v>43301224104986</v></cell><cell r="E2853" t="str"><v>43301103043835PRC1Q1</v></cell><cell r="F2853" t="str"><v>DCM</v></cell><cell r="G2853" t="str"><v>https://signup.azure.com/?OCID=AID%eexcid!_OLA_%ebuy!_%epid!_%ecid!</v></cell></row><row r="2853"><cell r="K2853" t="str"><v>July</v></cell><cell r="L2853"><v>43302</v></cell><cell r="M2853" t="str"><v>Tier 0</v></cell><cell r="N2853" t="str"><v>North America</v></cell><cell r="O2853" t="str"><v>United States</v></cell><cell r="P2853" t="str"><v>Trial</v></cell><cell r="Q2853" t="str"><v>Social</v></cell><cell r="R2853" t="str"><v>Azure</v></cell><cell r="S2853" t="str"><v>Apps & Infra</v></cell><cell r="T2853" t="str"><v>Developers & ITI's</v></cell><cell r="U2853" t="str"><v>USA-Trial-ITD-Trial PayGo Lookalike-AZR-AZR</v></cell><cell r="V2853" t="str"><v>Lookalike Targeting</v></cell><cell r="W2853" t="str"><v>Canvas Ad</v></cell><cell r="X2853" t="str"><v>1x1</v></cell></row><row r="2853"><cell r="AA2853"><v>43301</v></cell><cell r="AB2853" t="str"><v>USA_gaPMG_AZR_AZR_Q1_19_Direct-Social</v></cell><cell r="AC2853"><v>21358715</v></cell><cell r="AD2853"><v>720197</v></cell><cell r="AE2853" t="str"><v>Facebook</v></cell><cell r="AF2853"><v>3654128</v></cell><cell r="AG2853" t="str"><v>FACEBOOK»USA-Trial-ITD-Trial PayGo Lookalike-AZR-AZR»1 x 1»SocialBan»CAN»ALL»CPA»LAL»X»NA»SS»NA»FBCTCBenefit2inMotion»PRC1Q1</v></cell><cell r="AH2853"><v>224104986</v></cell><cell r="AI2853" t="str"><v>AzurePlatform_FBCTCBenefit2inMotion_USA_10s_CAN_PLATFORM_English_Trial_Standard_STAN_TIN_T4_1</v></cell><cell r="AJ2853"><v>103043835</v></cell></row><row r="2854"><cell r="C2854" t="str"><v>43301FACEBOOK»USA-Trial-ITD-Trial PayGo Lookalike-AZR-AZR»1 x 1»SocialBan»CAN»ALL»CPA»LAL»X»NA»SS»NA»FBCTCBenefit2inMotion»PRC1Q1</v></cell><cell r="D2854" t="str"><v>43301224104986</v></cell><cell r="E2854" t="str"><v>43301103178645PRC1Q1</v></cell><cell r="F2854" t="str"><v>DCM</v></cell><cell r="G2854" t="str"><v>https://azure.microsoft.com/en-us/pricing/purchase-options/?v=18.19&OCID=AID%eexcid!_OLA_%ebuy!_%epid!_%ecid!</v></cell></row><row r="2854"><cell r="K2854" t="str"><v>July</v></cell><cell r="L2854"><v>43302</v></cell><cell r="M2854" t="str"><v>Tier 0</v></cell><cell r="N2854" t="str"><v>North America</v></cell><cell r="O2854" t="str"><v>United States</v></cell><cell r="P2854" t="str"><v>Trial</v></cell><cell r="Q2854" t="str"><v>Social</v></cell><cell r="R2854" t="str"><v>Azure</v></cell><cell r="S2854" t="str"><v>Apps & Infra</v></cell><cell r="T2854" t="str"><v>Developers & ITI's</v></cell><cell r="U2854" t="str"><v>USA-Trial-ITD-Trial PayGo Lookalike-AZR-AZR</v></cell><cell r="V2854" t="str"><v>Lookalike Targeting</v></cell><cell r="W2854" t="str"><v>Canvas Ad</v></cell><cell r="X2854" t="str"><v>1x1</v></cell></row><row r="2854"><cell r="AA2854"><v>43301</v></cell><cell r="AB2854" t="str"><v>USA_gaPMG_AZR_AZR_Q1_19_Direct-Social</v></cell><cell r="AC2854"><v>21358715</v></cell><cell r="AD2854"><v>720197</v></cell><cell r="AE2854" t="str"><v>Facebook</v></cell><cell r="AF2854"><v>3654128</v></cell><cell r="AG2854" t="str"><v>FACEBOOK»USA-Trial-ITD-Trial PayGo Lookalike-AZR-AZR»1 x 1»SocialBan»CAN»ALL»CPA»LAL»X»NA»SS»NA»FBCTCBenefit2inMotion»PRC1Q1</v></cell><cell r="AH2854"><v>224104986</v></cell><cell r="AI2854" t="str"><v>AzurePlatform_FBCTCBenefit2inMotion_USA_10s_CAN_PLATFORM_English_Trial_Standard_STAN_TIN_T4_2</v></cell><cell r="AJ2854"><v>103178645</v></cell></row><row r="2855"><cell r="C2855" t="str"><v>43301FACEBOOK»USA-Trial-ITD-Trial PayGo Lookalike-AZR-AZR»1 x 1»SocialBan»CAN»ALL»CPA»LAL»X»NA»SS»NA»FBCTCBrandinMotion»PRC1Q3</v></cell><cell r="D2855" t="str"><v>43301223935349</v></cell><cell r="E2855" t="str"><v>43301103032823PRC1Q3</v></cell><cell r="F2855" t="str"><v>DCM</v></cell><cell r="G2855" t="str"><v>https://azure.microsoft.com/en-us/pricing/purchase-options/?v=18.19&OCID=AID%eexcid!_OLA_%ebuy!_%epid!_%ecid!</v></cell></row><row r="2855"><cell r="K2855" t="str"><v>July</v></cell><cell r="L2855"><v>43302</v></cell><cell r="M2855" t="str"><v>Tier 0</v></cell><cell r="N2855" t="str"><v>North America</v></cell><cell r="O2855" t="str"><v>United States</v></cell><cell r="P2855" t="str"><v>Trial</v></cell><cell r="Q2855" t="str"><v>Social</v></cell><cell r="R2855" t="str"><v>Azure</v></cell><cell r="S2855" t="str"><v>Apps & Infra</v></cell><cell r="T2855" t="str"><v>Developers & ITI's</v></cell><cell r="U2855" t="str"><v>USA-Trial-ITD-Trial PayGo Lookalike-AZR-AZR</v></cell><cell r="V2855" t="str"><v>Lookalike Targeting</v></cell><cell r="W2855" t="str"><v>Canvas Ad</v></cell><cell r="X2855" t="str"><v>1x1</v></cell></row><row r="2855"><cell r="AA2855"><v>43301</v></cell><cell r="AB2855" t="str"><v>USA_gaPMG_AZR_AZR_Q1_19_Direct-Social</v></cell><cell r="AC2855"><v>21358715</v></cell><cell r="AD2855"><v>720197</v></cell><cell r="AE2855" t="str"><v>Facebook</v></cell><cell r="AF2855"><v>3654128</v></cell><cell r="AG2855" t="str"><v>FACEBOOK»USA-Trial-ITD-Trial PayGo Lookalike-AZR-AZR»1 x 1»SocialBan»CAN»ALL»CPA»LAL»X»NA»SS»NA»FBCTCBrandinMotion»PRC1Q3</v></cell><cell r="AH2855"><v>223935349</v></cell><cell r="AI2855" t="str"><v>AzurePlatform_FBCTCBrandinMotion_USA_10s_CAN_PLATFORM_English_Trial_Standard_STAN_TIN_T2_2</v></cell><cell r="AJ2855"><v>103032823</v></cell></row><row r="2856"><cell r="C2856" t="str"><v>43301FACEBOOK»USA-Trial-ITD-Trial PayGo Lookalike-AZR-AZR»1 x 1»SocialBan»CAN»ALL»CPA»LAL»X»NA»SS»NA»FBCTCBenefitinMotion»PRC1Q2</v></cell><cell r="D2856" t="str"><v>43301223862960</v></cell><cell r="E2856" t="str"><v>43301103032775PRC1Q2</v></cell><cell r="F2856" t="str"><v>DCM</v></cell><cell r="G2856" t="str"><v>https://signup.azure.com/?OCID=AID%eexcid!_OLA_%ebuy!_%epid!_%ecid!</v></cell></row><row r="2856"><cell r="K2856" t="str"><v>July</v></cell><cell r="L2856"><v>43302</v></cell><cell r="M2856" t="str"><v>Tier 0</v></cell><cell r="N2856" t="str"><v>North America</v></cell><cell r="O2856" t="str"><v>United States</v></cell><cell r="P2856" t="str"><v>Trial</v></cell><cell r="Q2856" t="str"><v>Social</v></cell><cell r="R2856" t="str"><v>Azure</v></cell><cell r="S2856" t="str"><v>Apps & Infra</v></cell><cell r="T2856" t="str"><v>Developers & ITI's</v></cell><cell r="U2856" t="str"><v>USA-Trial-ITD-Trial PayGo Lookalike-AZR-AZR</v></cell><cell r="V2856" t="str"><v>Lookalike Targeting</v></cell><cell r="W2856" t="str"><v>Canvas Ad</v></cell><cell r="X2856" t="str"><v>1x1</v></cell></row><row r="2856"><cell r="AA2856"><v>43301</v></cell><cell r="AB2856" t="str"><v>USA_gaPMG_AZR_AZR_Q1_19_Direct-Social</v></cell><cell r="AC2856"><v>21358715</v></cell><cell r="AD2856"><v>720197</v></cell><cell r="AE2856" t="str"><v>Facebook</v></cell><cell r="AF2856"><v>3654128</v></cell><cell r="AG2856" t="str"><v>FACEBOOK»USA-Trial-ITD-Trial PayGo Lookalike-AZR-AZR»1 x 1»SocialBan»CAN»ALL»CPA»LAL»X»NA»SS»NA»FBCTCBenefitinMotion»PRC1Q2</v></cell><cell r="AH2856"><v>223862960</v></cell><cell r="AI2856" t="str"><v>AzurePlatform_FBCTCBenefitinMotion_USA_10s_CAN_PLATFORM_English_Trial_Standard_STAN_TIN_T3_1</v></cell><cell r="AJ2856"><v>103032775</v></cell></row><row r="2857"><cell r="C2857" t="str"><v>43301FACEBOOK»USA-Trial-ITD-Trial PayGo Lookalike-AZR-AZR»1 x 1»SocialBan»LIA»ALL»CPA»LAL»X»NA»SS»NA»FreeAcctDeveloperFB-AnimatedGeneric-Ch1»PRC1Q6</v></cell><cell r="D2857" t="str"><v>43301224106129</v></cell><cell r="E2857" t="str"><v>43301103176851PRC1Q6</v></cell><cell r="F2857" t="str"><v>DCM</v></cell><cell r="G2857" t="str"><v>https://azure.microsoft.com/en-us/free/search/?OCID=AID%eexcid!_OLA_%ebuy!_%epid!_%ecid!</v></cell></row><row r="2857"><cell r="K2857" t="str"><v>July</v></cell><cell r="L2857"><v>43302</v></cell><cell r="M2857" t="str"><v>Tier 0</v></cell><cell r="N2857" t="str"><v>North America</v></cell><cell r="O2857" t="str"><v>United States</v></cell><cell r="P2857" t="str"><v>Trial</v></cell><cell r="Q2857" t="str"><v>Social</v></cell><cell r="R2857" t="str"><v>Azure</v></cell><cell r="S2857" t="str"><v>Apps & Infra</v></cell><cell r="T2857" t="str"><v>Developers & ITI's</v></cell><cell r="U2857" t="str"><v>USA-Trial-ITD-Trial PayGo Lookalike-AZR-AZR</v></cell><cell r="V2857" t="str"><v>Lookalike Targeting</v></cell><cell r="W2857" t="str"><v>Link Ad</v></cell><cell r="X2857" t="str"><v>1x1</v></cell></row><row r="2857"><cell r="AA2857"><v>43301</v></cell><cell r="AB2857" t="str"><v>USA_gaPMG_AZR_AZR_Q1_19_Direct-Social</v></cell><cell r="AC2857"><v>21358715</v></cell><cell r="AD2857"><v>720197</v></cell><cell r="AE2857" t="str"><v>Facebook</v></cell><cell r="AF2857"><v>3654128</v></cell><cell r="AG2857" t="str"><v>FACEBOOK»USA-Trial-ITD-Trial PayGo Lookalike-AZR-AZR»1 x 1»SocialBan»LIA»ALL»CPA»LAL»X»NA»SS»NA»FreeAcctDeveloperFB-AnimatedGeneric-Ch1»PRC1Q6</v></cell><cell r="AH2857"><v>224106129</v></cell><cell r="AI2857" t="str"><v>AZR_FreeAcctDeveloperFB-AnimatedGeneric-Ch1_USA_1200x1200_CAN_Direct_English_Trial_Standard_ANI_LEA_T1_2</v></cell><cell r="AJ2857"><v>103176851</v></cell></row><row r="2858"><cell r="C2858" t="str"><v>43301FACEBOOK»USA-Trial-ITD-Interest Prospecting-AZR-AZR»1 x 1»SocialBan»LIA»ALL»CPA»PRO»X»NA»SS»NA»FreeAcctDeveloperFB-AnimatedAI-Ch3»PRC1T2</v></cell><cell r="D2858" t="str"><v>43301223862765</v></cell><cell r="E2858" t="str"><v>43301103032778PRC1T2</v></cell><cell r="F2858" t="str"><v>DCM</v></cell></row><row r="2858"><cell r="K2858" t="str"><v>July</v></cell><cell r="L2858"><v>43302</v></cell><cell r="M2858" t="str"><v>Tier 0</v></cell><cell r="N2858" t="str"><v>North America</v></cell><cell r="O2858" t="str"><v>United States</v></cell><cell r="P2858" t="str"><v>Trial</v></cell><cell r="Q2858" t="str"><v>Social</v></cell><cell r="R2858" t="str"><v>Azure</v></cell><cell r="S2858" t="str"><v>Apps & Infra</v></cell><cell r="T2858" t="str"><v>Developers & ITI's</v></cell><cell r="U2858" t="str"><v>USA-Trial-ITD-Interest Prospecting-AZR-AZR</v></cell><cell r="V2858" t="str"><v>Prospecting</v></cell><cell r="W2858" t="str"><v>Link Ad</v></cell><cell r="X2858" t="str"><v>1x1</v></cell></row><row r="2858"><cell r="AA2858"><v>43301</v></cell><cell r="AB2858" t="str"><v>USA_gaPMG_AZR_AZR_Q1_19_Direct-Social</v></cell><cell r="AC2858"><v>21358715</v></cell><cell r="AD2858"><v>720197</v></cell><cell r="AE2858" t="str"><v>Facebook</v></cell><cell r="AF2858"><v>3654128</v></cell><cell r="AG2858" t="str"><v>FACEBOOK»USA-Trial-ITD-Interest Prospecting-AZR-AZR»1 x 1»SocialBan»LIA»ALL»CPA»PRO»X»NA»SS»NA»FreeAcctDeveloperFB-AnimatedAI-Ch3»PRC1T2</v></cell><cell r="AH2858"><v>223862765</v></cell><cell r="AI2858" t="str"><v>AZR_FreeAcctDeveloperFB-AnimatedAI-Ch3_USA_1200x1200_CAN_Direct_English_Trial_Standard_ANI_LEA_T3_1</v></cell><cell r="AJ2858"><v>103032778</v></cell></row><row r="2859"><cell r="C2859" t="str"><v>43301FACEBOOK»USA-Trial-ITD-Interest Prospecting-AZR-AZR»1 x 1»SocialBan»LIA»ALL»CPA»PRO»X»NA»SS»NA»FreeAcctDeveloperFB-AnimatedData-Ch4»PRC1T3</v></cell><cell r="D2859" t="str"><v>43301223863380</v></cell><cell r="E2859" t="str"><v>43301103037935PRC1T3</v></cell><cell r="F2859" t="str"><v>DCM</v></cell></row><row r="2859"><cell r="K2859" t="str"><v>July</v></cell><cell r="L2859"><v>43302</v></cell><cell r="M2859" t="str"><v>Tier 0</v></cell><cell r="N2859" t="str"><v>North America</v></cell><cell r="O2859" t="str"><v>United States</v></cell><cell r="P2859" t="str"><v>Trial</v></cell><cell r="Q2859" t="str"><v>Social</v></cell><cell r="R2859" t="str"><v>Azure</v></cell><cell r="S2859" t="str"><v>Apps & Infra</v></cell><cell r="T2859" t="str"><v>Developers & ITI's</v></cell><cell r="U2859" t="str"><v>USA-Trial-ITD-Interest Prospecting-AZR-AZR</v></cell><cell r="V2859" t="str"><v>Prospecting</v></cell><cell r="W2859" t="str"><v>Link Ad</v></cell><cell r="X2859" t="str"><v>1x1</v></cell></row><row r="2859"><cell r="AA2859"><v>43301</v></cell><cell r="AB2859" t="str"><v>USA_gaPMG_AZR_AZR_Q1_19_Direct-Social</v></cell><cell r="AC2859"><v>21358715</v></cell><cell r="AD2859"><v>720197</v></cell><cell r="AE2859" t="str"><v>Facebook</v></cell><cell r="AF2859"><v>3654128</v></cell><cell r="AG2859" t="str"><v>FACEBOOK»USA-Trial-ITD-Interest Prospecting-AZR-AZR»1 x 1»SocialBan»LIA»ALL»CPA»PRO»X»NA»SS»NA»FreeAcctDeveloperFB-AnimatedData-Ch4»PRC1T3</v></cell><cell r="AH2859"><v>223863380</v></cell><cell r="AI2859" t="str"><v>AZR_FreeAcctDeveloperFB-AnimatedData-Ch4_USA_1200x1200_CAN_Direct_English_Trial_Standard_ANI_LEA_T4_2</v></cell><cell r="AJ2859"><v>103037935</v></cell></row><row r="2860"><cell r="C2860" t="str"><v>43301FACEBOOK»USA-Trial-ITD-Interest Prospecting-AZR-AZR»1 x 1»SocialBan»LIA»ALL»CPA»PRO»X»NA»SS»NA»FreeAcctDeveloperFB-AnimatedOpenSource-Ch2»PRC1T1</v></cell><cell r="D2860" t="str"><v>43301223862885</v></cell><cell r="E2860" t="str"><v>43301103048329PRC1T1</v></cell><cell r="F2860" t="str"><v>DCM</v></cell><cell r="G2860" t="str"><v>https://azure.microsoft.com/en-us/free/open-source/search/?OCID=AID%eexcid!_OLA_%ebuy!_%epid!_%ecid!</v></cell></row><row r="2860"><cell r="K2860" t="str"><v>July</v></cell><cell r="L2860"><v>43302</v></cell><cell r="M2860" t="str"><v>Tier 0</v></cell><cell r="N2860" t="str"><v>North America</v></cell><cell r="O2860" t="str"><v>United States</v></cell><cell r="P2860" t="str"><v>Trial</v></cell><cell r="Q2860" t="str"><v>Social</v></cell><cell r="R2860" t="str"><v>Azure</v></cell><cell r="S2860" t="str"><v>Apps & Infra</v></cell><cell r="T2860" t="str"><v>Developers & ITI's</v></cell><cell r="U2860" t="str"><v>USA-Trial-ITD-Interest Prospecting-AZR-AZR</v></cell><cell r="V2860" t="str"><v>Prospecting</v></cell><cell r="W2860" t="str"><v>Link Ad</v></cell><cell r="X2860" t="str"><v>1x1</v></cell></row><row r="2860"><cell r="AA2860"><v>43301</v></cell><cell r="AB2860" t="str"><v>USA_gaPMG_AZR_AZR_Q1_19_Direct-Social</v></cell><cell r="AC2860"><v>21358715</v></cell><cell r="AD2860"><v>720197</v></cell><cell r="AE2860" t="str"><v>Facebook</v></cell><cell r="AF2860"><v>3654128</v></cell><cell r="AG2860" t="str"><v>FACEBOOK»USA-Trial-ITD-Interest Prospecting-AZR-AZR»1 x 1»SocialBan»LIA»ALL»CPA»PRO»X»NA»SS»NA»FreeAcctDeveloperFB-AnimatedOpenSource-Ch2»PRC1T1</v></cell><cell r="AH2860"><v>223862885</v></cell><cell r="AI2860" t="str"><v>AZR_FreeAcctDeveloperFB-AnimatedOpenSource-Ch2_USA_1200x1200_CAN_Direct_English_Trial_Standard_ANI_LEA_T2_1</v></cell><cell r="AJ2860"><v>103048329</v></cell></row><row r="2861"><cell r="C2861" t="str"><v>43301FACEBOOK»USA-Trial-ITD-Interest Prospecting-AZR-AZR»1 x 1»SocialBan»LIA»ALL»CPA»PRO»X»NA»SS»NA»FreeAcctITProFB-AnimatedMigration-Ch3»PRC1X2</v></cell><cell r="D2861" t="str"><v>43301224106954</v></cell><cell r="E2861" t="str"><v>43301103176827PRC1X2</v></cell><cell r="F2861" t="str"><v>DCM</v></cell></row><row r="2861"><cell r="K2861" t="str"><v>July</v></cell><cell r="L2861"><v>43302</v></cell><cell r="M2861" t="str"><v>Tier 0</v></cell><cell r="N2861" t="str"><v>North America</v></cell><cell r="O2861" t="str"><v>United States</v></cell><cell r="P2861" t="str"><v>Trial</v></cell><cell r="Q2861" t="str"><v>Social</v></cell><cell r="R2861" t="str"><v>Azure</v></cell><cell r="S2861" t="str"><v>Apps & Infra</v></cell><cell r="T2861" t="str"><v>Developers & ITI's</v></cell><cell r="U2861" t="str"><v>USA-Trial-ITD-Interest Prospecting-AZR-AZR</v></cell><cell r="V2861" t="str"><v>Prospecting</v></cell><cell r="W2861" t="str"><v>Link Ad</v></cell><cell r="X2861" t="str"><v>1x1</v></cell></row><row r="2861"><cell r="AA2861"><v>43301</v></cell><cell r="AB2861" t="str"><v>USA_gaPMG_AZR_AZR_Q1_19_Direct-Social</v></cell><cell r="AC2861"><v>21358715</v></cell><cell r="AD2861"><v>720197</v></cell><cell r="AE2861" t="str"><v>Facebook</v></cell><cell r="AF2861"><v>3654128</v></cell><cell r="AG2861" t="str"><v>FACEBOOK»USA-Trial-ITD-Interest Prospecting-AZR-AZR»1 x 1»SocialBan»LIA»ALL»CPA»PRO»X»NA»SS»NA»FreeAcctITProFB-AnimatedMigration-Ch3»PRC1X2</v></cell><cell r="AH2861"><v>224106954</v></cell><cell r="AI2861" t="str"><v>AZR_FreeAcctITProFB-AnimatedMigration-Ch3_USA_1200x1200_CAN_Direct_English_Trial_Standard_ANI_LEA_T3_1</v></cell><cell r="AJ2861"><v>103176827</v></cell></row><row r="2862"><cell r="C2862" t="str"><v>43301FACEBOOK»USA-Trial-ITD-Lead Completes-AZR-AZR»1 x 1»SocialBan»CAN»ALL»CPA»PRO»X»NA»SS»NA»FBCTCBrandinMotion»PRC1VX</v></cell><cell r="D2862" t="str"><v>43301223861547</v></cell><cell r="E2862" t="str"><v>43301103176812PRC1VX</v></cell><cell r="F2862" t="str"><v>DCM</v></cell><cell r="G2862" t="str"><v>https://signup.azure.com/?OCID=AID%eexcid!_OLA_%ebuy!_%epid!_%ecid!</v></cell></row><row r="2862"><cell r="K2862" t="str"><v>July</v></cell><cell r="L2862"><v>43302</v></cell><cell r="M2862" t="str"><v>Tier 0</v></cell><cell r="N2862" t="str"><v>North America</v></cell><cell r="O2862" t="str"><v>United States</v></cell><cell r="P2862" t="str"><v>Trial</v></cell><cell r="Q2862" t="str"><v>Social</v></cell><cell r="R2862" t="str"><v>Azure</v></cell><cell r="S2862" t="str"><v>Apps & Infra</v></cell><cell r="T2862" t="str"><v>Developers & ITI's</v></cell><cell r="U2862" t="str"><v>USA-Trial-ITD-Lead Completes-AZR-AZR</v></cell><cell r="V2862" t="str"><v>Prospecting</v></cell><cell r="W2862" t="str"><v>Canvas Ad</v></cell><cell r="X2862" t="str"><v>1x1</v></cell></row><row r="2862"><cell r="AA2862"><v>43301</v></cell><cell r="AB2862" t="str"><v>USA_gaPMG_AZR_AZR_Q1_19_Direct-Social</v></cell><cell r="AC2862"><v>21358715</v></cell><cell r="AD2862"><v>720197</v></cell><cell r="AE2862" t="str"><v>Facebook</v></cell><cell r="AF2862"><v>3654128</v></cell><cell r="AG2862" t="str"><v>FACEBOOK»USA-Trial-ITD-Lead Completes-AZR-AZR»1 x 1»SocialBan»CAN»ALL»CPA»PRO»X»NA»SS»NA»FBCTCBrandinMotion»PRC1VX</v></cell><cell r="AH2862"><v>223861547</v></cell><cell r="AI2862" t="str"><v>AzurePlatform_FBCTCBrandinMotion_USA_10s_CAN_PLATFORM_English_Trial_Standard_STAN_TIN_T2_1</v></cell><cell r="AJ2862"><v>103176812</v></cell></row><row r="2863"><cell r="C2863" t="str"><v>43301FACEBOOK»USA-Trial-ITD-Lead Completes-AZR-AZR»1 x 1»SocialBan»CAN»ALL»CPA»PRO»X»NA»SS»NA»FBCTCBenefitinMotion»PRC1VW</v></cell><cell r="D2863" t="str"><v>43301223862843</v></cell><cell r="E2863" t="str"><v>43301103176836PRC1VW</v></cell><cell r="F2863" t="str"><v>DCM</v></cell><cell r="G2863" t="str"><v>https://azure.microsoft.com/en-us/pricing/purchase-options/?v=18.19&OCID=AID%eexcid!_OLA_%ebuy!_%epid!_%ecid!</v></cell></row><row r="2863"><cell r="K2863" t="str"><v>July</v></cell><cell r="L2863"><v>43302</v></cell><cell r="M2863" t="str"><v>Tier 0</v></cell><cell r="N2863" t="str"><v>North America</v></cell><cell r="O2863" t="str"><v>United States</v></cell><cell r="P2863" t="str"><v>Trial</v></cell><cell r="Q2863" t="str"><v>Social</v></cell><cell r="R2863" t="str"><v>Azure</v></cell><cell r="S2863" t="str"><v>Apps & Infra</v></cell><cell r="T2863" t="str"><v>Developers & ITI's</v></cell><cell r="U2863" t="str"><v>USA-Trial-ITD-Lead Completes-AZR-AZR</v></cell><cell r="V2863" t="str"><v>Prospecting</v></cell><cell r="W2863" t="str"><v>Canvas Ad</v></cell><cell r="X2863" t="str"><v>1x1</v></cell></row><row r="2863"><cell r="AA2863"><v>43301</v></cell><cell r="AB2863" t="str"><v>USA_gaPMG_AZR_AZR_Q1_19_Direct-Social</v></cell><cell r="AC2863"><v>21358715</v></cell><cell r="AD2863"><v>720197</v></cell><cell r="AE2863" t="str"><v>Facebook</v></cell><cell r="AF2863"><v>3654128</v></cell><cell r="AG2863" t="str"><v>FACEBOOK»USA-Trial-ITD-Lead Completes-AZR-AZR»1 x 1»SocialBan»CAN»ALL»CPA»PRO»X»NA»SS»NA»FBCTCBenefitinMotion»PRC1VW</v></cell><cell r="AH2863"><v>223862843</v></cell><cell r="AI2863" t="str"><v>AzurePlatform_FBCTCBenefitinMotion_USA_10s_CAN_PLATFORM_English_Trial_Standard_STAN_TIN_T3_2</v></cell><cell r="AJ2863"><v>103176836</v></cell></row><row r="2864"><cell r="C2864" t="str"><v>43301FACEBOOK»USA-Trial-ITD-Retargeting-AZR-AZR»1 x 1»SocialBan»LIA»ALL»CPA»RT»X»NA»SS»NA»FreeAcctDeveloperFB-AnimatedGeneric-Ch1»PRC26D</v></cell><cell r="D2864" t="str"><v>43301223862870</v></cell><cell r="E2864" t="str"><v>43301103176851PRC26D</v></cell><cell r="F2864" t="str"><v>DCM</v></cell><cell r="G2864" t="str"><v>https://azure.microsoft.com/en-us/free/search/?OCID=AID%eexcid!_OLA_%ebuy!_%epid!_%ecid!</v></cell></row><row r="2864"><cell r="K2864" t="str"><v>July</v></cell><cell r="L2864"><v>43302</v></cell><cell r="M2864" t="str"><v>Tier 0</v></cell><cell r="N2864" t="str"><v>North America</v></cell><cell r="O2864" t="str"><v>United States</v></cell><cell r="P2864" t="str"><v>Trial</v></cell><cell r="Q2864" t="str"><v>Social</v></cell><cell r="R2864" t="str"><v>Azure</v></cell><cell r="S2864" t="str"><v>Apps & Infra</v></cell><cell r="T2864" t="str"><v>Developers & ITI's</v></cell><cell r="U2864" t="str"><v>USA-Trial-ITD-Retargeting-AZR-AZR</v></cell><cell r="V2864" t="str"><v>Retargeting</v></cell><cell r="W2864" t="str"><v>Link Ad</v></cell><cell r="X2864" t="str"><v>1x1</v></cell></row><row r="2864"><cell r="AA2864"><v>43301</v></cell><cell r="AB2864" t="str"><v>USA_gaPMG_AZR_AZR_Q1_19_Direct-Social</v></cell><cell r="AC2864"><v>21358715</v></cell><cell r="AD2864"><v>720197</v></cell><cell r="AE2864" t="str"><v>Facebook</v></cell><cell r="AF2864"><v>3654128</v></cell><cell r="AG2864" t="str"><v>FACEBOOK»USA-Trial-ITD-Retargeting-AZR-AZR»1 x 1»SocialBan»LIA»ALL»CPA»RT»X»NA»SS»NA»FreeAcctDeveloperFB-AnimatedGeneric-Ch1»PRC26D</v></cell><cell r="AH2864"><v>223862870</v></cell><cell r="AI2864" t="str"><v>AZR_FreeAcctDeveloperFB-AnimatedGeneric-Ch1_USA_1200x1200_CAN_Direct_English_Trial_Standard_ANI_LEA_T1_2</v></cell><cell r="AJ2864"><v>103176851</v></cell></row><row r="2865"><cell r="C2865" t="str"><v>43301FACEBOOK»USA-Trial-ITD-Retargeting-AZR-AZR»1 x 1»SocialBan»LIA»ALL»CPA»RT»X»NA»SS»NA»FreeAcctRetargetingOSSFB-Logos-ChG»PRC1S2</v></cell><cell r="D2865" t="str"><v>43301224106063</v></cell><cell r="E2865" t="str"><v>43301103176008PRC1S2</v></cell><cell r="F2865" t="str"><v>DCM</v></cell><cell r="G2865" t="str"><v>https://azure.microsoft.com/en-us/free/open-source/search/?OCID=AID%eexcid!_OLA_%ebuy!_%epid!_%ecid!</v></cell></row><row r="2865"><cell r="K2865" t="str"><v>July</v></cell><cell r="L2865"><v>43302</v></cell><cell r="M2865" t="str"><v>Tier 0</v></cell><cell r="N2865" t="str"><v>North America</v></cell><cell r="O2865" t="str"><v>United States</v></cell><cell r="P2865" t="str"><v>Trial</v></cell><cell r="Q2865" t="str"><v>Social</v></cell><cell r="R2865" t="str"><v>Azure</v></cell><cell r="S2865" t="str"><v>Apps & Infra</v></cell><cell r="T2865" t="str"><v>Developers & ITI's</v></cell><cell r="U2865" t="str"><v>USA-Trial-ITD-Retargeting-AZR-AZR</v></cell><cell r="V2865" t="str"><v>Retargeting</v></cell><cell r="W2865" t="str"><v>Link Ad</v></cell><cell r="X2865" t="str"><v>1x1</v></cell></row><row r="2865"><cell r="AA2865"><v>43301</v></cell><cell r="AB2865" t="str"><v>USA_gaPMG_AZR_AZR_Q1_19_Direct-Social</v></cell><cell r="AC2865"><v>21358715</v></cell><cell r="AD2865"><v>720197</v></cell><cell r="AE2865" t="str"><v>Facebook</v></cell><cell r="AF2865"><v>3654128</v></cell><cell r="AG2865" t="str"><v>FACEBOOK»USA-Trial-ITD-Retargeting-AZR-AZR»1 x 1»SocialBan»LIA»ALL»CPA»RT»X»NA»SS»NA»FreeAcctRetargetingOSSFB-Logos-ChG»PRC1S2</v></cell><cell r="AH2865"><v>224106063</v></cell><cell r="AI2865" t="str"><v>AzurePlatform_FreeAcctRetargetingOSSFB-Logos-ChG_USA_1200x628_CAN_PLATFORM_English_Free Account_Standard_NA_SINU_T2_1</v></cell><cell r="AJ2865"><v>103176008</v></cell></row><row r="2866"><cell r="C2866" t="str"><v>43301FACEBOOK»USA-Trial-ITD-Retargeting-AZR-AZR»1 x 1»SocialBan»LIA»ALL»CPA»RT»X»NA»SS»NA»FreeAcctRetargetingOSSFB-Text-ChF»PRC1S1</v></cell><cell r="D2866" t="str"><v>43301223862753</v></cell><cell r="E2866" t="str"><v>43301103176869PRC1S1</v></cell><cell r="F2866" t="str"><v>DCM</v></cell><cell r="G2866" t="str"><v>https://azure.microsoft.com/en-us/free/open-source/search/?OCID=AID%eexcid!_OLA_%ebuy!_%epid!_%ecid!</v></cell></row><row r="2866"><cell r="K2866" t="str"><v>July</v></cell><cell r="L2866"><v>43302</v></cell><cell r="M2866" t="str"><v>Tier 0</v></cell><cell r="N2866" t="str"><v>North America</v></cell><cell r="O2866" t="str"><v>United States</v></cell><cell r="P2866" t="str"><v>Trial</v></cell><cell r="Q2866" t="str"><v>Social</v></cell><cell r="R2866" t="str"><v>Azure</v></cell><cell r="S2866" t="str"><v>Apps & Infra</v></cell><cell r="T2866" t="str"><v>Developers & ITI's</v></cell><cell r="U2866" t="str"><v>USA-Trial-ITD-Retargeting-AZR-AZR</v></cell><cell r="V2866" t="str"><v>Retargeting</v></cell><cell r="W2866" t="str"><v>Link Ad</v></cell><cell r="X2866" t="str"><v>1x1</v></cell></row><row r="2866"><cell r="AA2866"><v>43301</v></cell><cell r="AB2866" t="str"><v>USA_gaPMG_AZR_AZR_Q1_19_Direct-Social</v></cell><cell r="AC2866"><v>21358715</v></cell><cell r="AD2866"><v>720197</v></cell><cell r="AE2866" t="str"><v>Facebook</v></cell><cell r="AF2866"><v>3654128</v></cell><cell r="AG2866" t="str"><v>FACEBOOK»USA-Trial-ITD-Retargeting-AZR-AZR»1 x 1»SocialBan»LIA»ALL»CPA»RT»X»NA»SS»NA»FreeAcctRetargetingOSSFB-Text-ChF»PRC1S1</v></cell><cell r="AH2866"><v>223862753</v></cell><cell r="AI2866" t="str"><v>AzurePlatform_FreeAcctRetargetingOSSFB-Text-ChF_USA_1200x628_CAN_PLATFORM_English_Free Account_Standard_NA_SINU_T1_2</v></cell><cell r="AJ2866"><v>103176869</v></cell></row><row r="2867"><cell r="C2867" t="str"><v>43301FACEBOOK»USA-Trial-ITD-Retargeting-AZR-AZR»1 x 1»SocialBan»LIA»ALL»CPA»RT»X»NA»SS»NA»FreeAcctITProFB-AnimatedSecureMngd-Ch1»PRC26K</v></cell><cell r="D2867" t="str"><v>43301223862762</v></cell><cell r="E2867" t="str"><v>43301103176830PRC26K</v></cell><cell r="F2867" t="str"><v>DCM</v></cell></row><row r="2867"><cell r="K2867" t="str"><v>July</v></cell><cell r="L2867"><v>43302</v></cell><cell r="M2867" t="str"><v>Tier 0</v></cell><cell r="N2867" t="str"><v>North America</v></cell><cell r="O2867" t="str"><v>United States</v></cell><cell r="P2867" t="str"><v>Trial</v></cell><cell r="Q2867" t="str"><v>Social</v></cell><cell r="R2867" t="str"><v>Azure</v></cell><cell r="S2867" t="str"><v>Apps & Infra</v></cell><cell r="T2867" t="str"><v>Developers & ITI's</v></cell><cell r="U2867" t="str"><v>USA-Trial-ITD-Retargeting-AZR-AZR</v></cell><cell r="V2867" t="str"><v>Retargeting</v></cell><cell r="W2867" t="str"><v>Link Ad</v></cell><cell r="X2867" t="str"><v>1x1</v></cell></row><row r="2867"><cell r="AA2867"><v>43301</v></cell><cell r="AB2867" t="str"><v>USA_gaPMG_AZR_AZR_Q1_19_Direct-Social</v></cell><cell r="AC2867"><v>21358715</v></cell><cell r="AD2867"><v>720197</v></cell><cell r="AE2867" t="str"><v>Facebook</v></cell><cell r="AF2867"><v>3654128</v></cell><cell r="AG2867" t="str"><v>FACEBOOK»USA-Trial-ITD-Retargeting-AZR-AZR»1 x 1»SocialBan»LIA»ALL»CPA»RT»X»NA»SS»NA»FreeAcctITProFB-AnimatedSecureMngd-Ch1»PRC26K</v></cell><cell r="AH2867"><v>223862762</v></cell><cell r="AI2867" t="str"><v>AZR_FreeAcctITProFB-AnimatedSecureMngd-Ch1_USA_1200x1200_CAN_Direct_English_Trial_Standard_ANI_LEA_T1_1</v></cell><cell r="AJ2867"><v>103176830</v></cell></row><row r="2868"><cell r="C2868" t="str"><v>43301FACEBOOK»USA-Trial-ITD-Trial Lookalike-AZR-AZR»1 x 1»SocialBan»LIA»ALL»CPA»LAL»X»NA»SS»NA»FreeAcctDeveloperFB-AnimatedGeneric-Ch1»PRC1M4</v></cell><cell r="D2868" t="str"><v>43301224104941</v></cell><cell r="E2868" t="str"><v>43301103176851PRC1M4</v></cell><cell r="F2868" t="str"><v>DCM</v></cell><cell r="G2868" t="str"><v>https://azure.microsoft.com/en-us/free/search/?OCID=AID%eexcid!_OLA_%ebuy!_%epid!_%ecid!</v></cell></row><row r="2868"><cell r="K2868" t="str"><v>July</v></cell><cell r="L2868"><v>43302</v></cell><cell r="M2868" t="str"><v>Tier 0</v></cell><cell r="N2868" t="str"><v>North America</v></cell><cell r="O2868" t="str"><v>United States</v></cell><cell r="P2868" t="str"><v>Trial</v></cell><cell r="Q2868" t="str"><v>Social</v></cell><cell r="R2868" t="str"><v>Azure</v></cell><cell r="S2868" t="str"><v>Apps & Infra</v></cell><cell r="T2868" t="str"><v>Developers & ITI's</v></cell><cell r="U2868" t="str"><v>USA-Trial-ITD-Trial Lookalike-AZR-AZR</v></cell><cell r="V2868" t="str"><v>Lookalike Targeting</v></cell><cell r="W2868" t="str"><v>Link Ad</v></cell><cell r="X2868" t="str"><v>1x1</v></cell></row><row r="2868"><cell r="AA2868"><v>43301</v></cell><cell r="AB2868" t="str"><v>USA_gaPMG_AZR_AZR_Q1_19_Direct-Social</v></cell><cell r="AC2868"><v>21358715</v></cell><cell r="AD2868"><v>720197</v></cell><cell r="AE2868" t="str"><v>Facebook</v></cell><cell r="AF2868"><v>3654128</v></cell><cell r="AG2868" t="str"><v>FACEBOOK»USA-Trial-ITD-Trial Lookalike-AZR-AZR»1 x 1»SocialBan»LIA»ALL»CPA»LAL»X»NA»SS»NA»FreeAcctDeveloperFB-AnimatedGeneric-Ch1»PRC1M4</v></cell><cell r="AH2868"><v>224104941</v></cell><cell r="AI2868" t="str"><v>AZR_FreeAcctDeveloperFB-AnimatedGeneric-Ch1_USA_1200x1200_CAN_Direct_English_Trial_Standard_ANI_LEA_T1_2</v></cell><cell r="AJ2868"><v>103176851</v></cell></row><row r="2869"><cell r="C2869" t="str"><v>43301FACEBOOK»USA-Trial-ITD-Trial Lookalike-AZR-AZR»1 x 1»SocialBan»LIA»ALL»CPA»LAL»X»NA»SS»NA»FreeAcctDeveloperFB-AnimatedGeneric-Ch1»PRC1M5</v></cell><cell r="D2869" t="str"><v>43301223934083</v></cell><cell r="E2869" t="str"><v>43301103176851PRC1M5</v></cell><cell r="F2869" t="str"><v>DCM</v></cell><cell r="G2869" t="str"><v>https://azure.microsoft.com/en-us/free/search/?OCID=AID%eexcid!_OLA_%ebuy!_%epid!_%ecid!</v></cell></row><row r="2869"><cell r="K2869" t="str"><v>July</v></cell><cell r="L2869"><v>43302</v></cell><cell r="M2869" t="str"><v>Tier 0</v></cell><cell r="N2869" t="str"><v>North America</v></cell><cell r="O2869" t="str"><v>United States</v></cell><cell r="P2869" t="str"><v>Trial</v></cell><cell r="Q2869" t="str"><v>Social</v></cell><cell r="R2869" t="str"><v>Azure</v></cell><cell r="S2869" t="str"><v>Apps & Infra</v></cell><cell r="T2869" t="str"><v>Developers & ITI's</v></cell><cell r="U2869" t="str"><v>USA-Trial-ITD-Trial Lookalike-AZR-AZR</v></cell><cell r="V2869" t="str"><v>Lookalike Targeting</v></cell><cell r="W2869" t="str"><v>Link Ad</v></cell><cell r="X2869" t="str"><v>1x1</v></cell></row><row r="2869"><cell r="AA2869"><v>43301</v></cell><cell r="AB2869" t="str"><v>USA_gaPMG_AZR_AZR_Q1_19_Direct-Social</v></cell><cell r="AC2869"><v>21358715</v></cell><cell r="AD2869"><v>720197</v></cell><cell r="AE2869" t="str"><v>Facebook</v></cell><cell r="AF2869"><v>3654128</v></cell><cell r="AG2869" t="str"><v>FACEBOOK»USA-Trial-ITD-Trial Lookalike-AZR-AZR»1 x 1»SocialBan»LIA»ALL»CPA»LAL»X»NA»SS»NA»FreeAcctDeveloperFB-AnimatedGeneric-Ch1»PRC1M5</v></cell><cell r="AH2869"><v>223934083</v></cell><cell r="AI2869" t="str"><v>AZR_FreeAcctDeveloperFB-AnimatedGeneric-Ch1_USA_1200x1200_CAN_Direct_English_Trial_Standard_ANI_LEA_T1_2</v></cell><cell r="AJ2869"><v>103176851</v></cell></row><row r="2870"><cell r="C2870" t="str"><v>43301FACEBOOK»USA-Trial-ITD-Trial Lookalike-AZR-AZR»1 x 1»SocialBan»LIA»ALL»CPA»LAL»X»NA»SS»NA»FreeAcctDeveloperFB-AnimatedOpenSource-Ch2»PRC1M6</v></cell><cell r="D2870" t="str"><v>43301223935628</v></cell><cell r="E2870" t="str"><v>43301103048329PRC1M6</v></cell><cell r="F2870" t="str"><v>DCM</v></cell><cell r="G2870" t="str"><v>https://azure.microsoft.com/en-us/free/open-source/search/?OCID=AID%eexcid!_OLA_%ebuy!_%epid!_%ecid!</v></cell></row><row r="2870"><cell r="K2870" t="str"><v>July</v></cell><cell r="L2870"><v>43302</v></cell><cell r="M2870" t="str"><v>Tier 0</v></cell><cell r="N2870" t="str"><v>North America</v></cell><cell r="O2870" t="str"><v>United States</v></cell><cell r="P2870" t="str"><v>Trial</v></cell><cell r="Q2870" t="str"><v>Social</v></cell><cell r="R2870" t="str"><v>Azure</v></cell><cell r="S2870" t="str"><v>Apps & Infra</v></cell><cell r="T2870" t="str"><v>Developers & ITI's</v></cell><cell r="U2870" t="str"><v>USA-Trial-ITD-Trial Lookalike-AZR-AZR</v></cell><cell r="V2870" t="str"><v>Lookalike Targeting</v></cell><cell r="W2870" t="str"><v>Link Ad</v></cell><cell r="X2870" t="str"><v>1x1</v></cell></row><row r="2870"><cell r="AA2870"><v>43301</v></cell><cell r="AB2870" t="str"><v>USA_gaPMG_AZR_AZR_Q1_19_Direct-Social</v></cell><cell r="AC2870"><v>21358715</v></cell><cell r="AD2870"><v>720197</v></cell><cell r="AE2870" t="str"><v>Facebook</v></cell><cell r="AF2870"><v>3654128</v></cell><cell r="AG2870" t="str"><v>FACEBOOK»USA-Trial-ITD-Trial Lookalike-AZR-AZR»1 x 1»SocialBan»LIA»ALL»CPA»LAL»X»NA»SS»NA»FreeAcctDeveloperFB-AnimatedOpenSource-Ch2»PRC1M6</v></cell><cell r="AH2870"><v>223935628</v></cell><cell r="AI2870" t="str"><v>AZR_FreeAcctDeveloperFB-AnimatedOpenSource-Ch2_USA_1200x1200_CAN_Direct_English_Trial_Standard_ANI_LEA_T2_1</v></cell><cell r="AJ2870"><v>103048329</v></cell></row><row r="2871"><cell r="C2871" t="str"><v>43301FACEBOOK»USA-Trial-ITD-Trial Lookalike-AZR-AZR»1 x 1»SocialBan»LIA»ALL»CPA»LAL»X»NA»SS»NA»FreeAcctITProFB-AnimatedMigration-Ch3»PRC23N</v></cell><cell r="D2871" t="str"><v>43301223935637</v></cell><cell r="E2871" t="str"><v>43301103176827PRC23N</v></cell><cell r="F2871" t="str"><v>DCM</v></cell></row><row r="2871"><cell r="K2871" t="str"><v>July</v></cell><cell r="L2871"><v>43302</v></cell><cell r="M2871" t="str"><v>Tier 0</v></cell><cell r="N2871" t="str"><v>North America</v></cell><cell r="O2871" t="str"><v>United States</v></cell><cell r="P2871" t="str"><v>Trial</v></cell><cell r="Q2871" t="str"><v>Social</v></cell><cell r="R2871" t="str"><v>Azure</v></cell><cell r="S2871" t="str"><v>Apps & Infra</v></cell><cell r="T2871" t="str"><v>Developers & ITI's</v></cell><cell r="U2871" t="str"><v>USA-Trial-ITD-Trial Lookalike-AZR-AZR</v></cell><cell r="V2871" t="str"><v>Lookalike Targeting</v></cell><cell r="W2871" t="str"><v>Link Ad</v></cell><cell r="X2871" t="str"><v>1x1</v></cell></row><row r="2871"><cell r="AA2871"><v>43301</v></cell><cell r="AB2871" t="str"><v>USA_gaPMG_AZR_AZR_Q1_19_Direct-Social</v></cell><cell r="AC2871"><v>21358715</v></cell><cell r="AD2871"><v>720197</v></cell><cell r="AE2871" t="str"><v>Facebook</v></cell><cell r="AF2871"><v>3654128</v></cell><cell r="AG2871" t="str"><v>FACEBOOK»USA-Trial-ITD-Trial Lookalike-AZR-AZR»1 x 1»SocialBan»LIA»ALL»CPA»LAL»X»NA»SS»NA»FreeAcctITProFB-AnimatedMigration-Ch3»PRC23N</v></cell><cell r="AH2871"><v>223935637</v></cell><cell r="AI2871" t="str"><v>AZR_FreeAcctITProFB-AnimatedMigration-Ch3_USA_1200x1200_CAN_Direct_English_Trial_Standard_ANI_LEA_T3_1</v></cell><cell r="AJ2871"><v>103176827</v></cell></row><row r="2872"><cell r="C2872" t="str"><v>43301FACEBOOK»USA-Trial-ITD-Trial Lookalike-AZR-AZR»1 x 1»SocialBan»LIA»ALL»CPA»LAL»X»NA»SS»NA»FreeAcctITProFB-AnimatedSecureMngd-Ch1»PRC1M9</v></cell><cell r="D2872" t="str"><v>43301224104959</v></cell><cell r="E2872" t="str"><v>43301103176830PRC1M9</v></cell><cell r="F2872" t="str"><v>DCM</v></cell></row><row r="2872"><cell r="K2872" t="str"><v>July</v></cell><cell r="L2872"><v>43302</v></cell><cell r="M2872" t="str"><v>Tier 0</v></cell><cell r="N2872" t="str"><v>North America</v></cell><cell r="O2872" t="str"><v>United States</v></cell><cell r="P2872" t="str"><v>Trial</v></cell><cell r="Q2872" t="str"><v>Social</v></cell><cell r="R2872" t="str"><v>Azure</v></cell><cell r="S2872" t="str"><v>Apps & Infra</v></cell><cell r="T2872" t="str"><v>Developers & ITI's</v></cell><cell r="U2872" t="str"><v>USA-Trial-ITD-Trial Lookalike-AZR-AZR</v></cell><cell r="V2872" t="str"><v>Lookalike Targeting</v></cell><cell r="W2872" t="str"><v>Link Ad</v></cell><cell r="X2872" t="str"><v>1x1</v></cell></row><row r="2872"><cell r="AA2872"><v>43301</v></cell><cell r="AB2872" t="str"><v>USA_gaPMG_AZR_AZR_Q1_19_Direct-Social</v></cell><cell r="AC2872"><v>21358715</v></cell><cell r="AD2872"><v>720197</v></cell><cell r="AE2872" t="str"><v>Facebook</v></cell><cell r="AF2872"><v>3654128</v></cell><cell r="AG2872" t="str"><v>FACEBOOK»USA-Trial-ITD-Trial Lookalike-AZR-AZR»1 x 1»SocialBan»LIA»ALL»CPA»LAL»X»NA»SS»NA»FreeAcctITProFB-AnimatedSecureMngd-Ch1»PRC1M9</v></cell><cell r="AH2872"><v>224104959</v></cell><cell r="AI2872" t="str"><v>AZR_FreeAcctITProFB-AnimatedSecureMngd-Ch1_USA_1200x1200_CAN_Direct_English_Trial_Standard_ANI_LEA_T1_1</v></cell><cell r="AJ2872"><v>103176830</v></cell></row><row r="2873"><cell r="C2873" t="str"><v>43301FACEBOOK»USA-Trial-ITD-Trial Lookalike-AZR-AZR»1 x 1»SocialBan»CAN»ALL»CPA»LAL»X»NA»SS»NA»FBCTCBasicMotion»PRC1LZ</v></cell><cell r="D2873" t="str"><v>43301223862915</v></cell><cell r="E2873" t="str"><v>43301103043823PRC1LZ</v></cell><cell r="F2873" t="str"><v>DCM</v></cell><cell r="G2873" t="str"><v>https://signup.azure.com/?OCID=AID%eexcid!_OLA_%ebuy!_%epid!_%ecid!</v></cell></row><row r="2873"><cell r="K2873" t="str"><v>July</v></cell><cell r="L2873"><v>43302</v></cell><cell r="M2873" t="str"><v>Tier 0</v></cell><cell r="N2873" t="str"><v>North America</v></cell><cell r="O2873" t="str"><v>United States</v></cell><cell r="P2873" t="str"><v>Trial</v></cell><cell r="Q2873" t="str"><v>Social</v></cell><cell r="R2873" t="str"><v>Azure</v></cell><cell r="S2873" t="str"><v>Apps & Infra</v></cell><cell r="T2873" t="str"><v>Developers & ITI's</v></cell><cell r="U2873" t="str"><v>USA-Trial-ITD-Trial Lookalike-AZR-AZR</v></cell><cell r="V2873" t="str"><v>Lookalike Targeting</v></cell><cell r="W2873" t="str"><v>Canvas Ad</v></cell><cell r="X2873" t="str"><v>1x1</v></cell></row><row r="2873"><cell r="AA2873"><v>43301</v></cell><cell r="AB2873" t="str"><v>USA_gaPMG_AZR_AZR_Q1_19_Direct-Social</v></cell><cell r="AC2873"><v>21358715</v></cell><cell r="AD2873"><v>720197</v></cell><cell r="AE2873" t="str"><v>Facebook</v></cell><cell r="AF2873"><v>3654128</v></cell><cell r="AG2873" t="str"><v>FACEBOOK»USA-Trial-ITD-Trial Lookalike-AZR-AZR»1 x 1»SocialBan»CAN»ALL»CPA»LAL»X»NA»SS»NA»FBCTCBasicMotion»PRC1LZ</v></cell><cell r="AH2873"><v>223862915</v></cell><cell r="AI2873" t="str"><v>AzurePlatform_FBCTCBasicMotion_USA_10s_CAN_PLATFORM_English_Trial_Standard_STAN_TIN_T1_1</v></cell><cell r="AJ2873"><v>103043823</v></cell></row><row r="2874"><cell r="C2874" t="str"><v>43301FACEBOOK»USA-Trial-ITD-Trial Lookalike-AZR-AZR»1 x 1»SocialBan»CAN»ALL»CPA»LAL»X»NA»SS»NA»FBCTCBasicMotion»PRC1LZ</v></cell><cell r="D2874" t="str"><v>43301223862915</v></cell><cell r="E2874" t="str"><v>43301103175984PRC1LZ</v></cell><cell r="F2874" t="str"><v>DCM</v></cell><cell r="G2874" t="str"><v>https://azure.microsoft.com/en-us/pricing/purchase-options/?v=18.19&OCID=AID%eexcid!_OLA_%ebuy!_%epid!_%ecid!</v></cell></row><row r="2874"><cell r="K2874" t="str"><v>July</v></cell><cell r="L2874"><v>43302</v></cell><cell r="M2874" t="str"><v>Tier 0</v></cell><cell r="N2874" t="str"><v>North America</v></cell><cell r="O2874" t="str"><v>United States</v></cell><cell r="P2874" t="str"><v>Trial</v></cell><cell r="Q2874" t="str"><v>Social</v></cell><cell r="R2874" t="str"><v>Azure</v></cell><cell r="S2874" t="str"><v>Apps & Infra</v></cell><cell r="T2874" t="str"><v>Developers & ITI's</v></cell><cell r="U2874" t="str"><v>USA-Trial-ITD-Trial Lookalike-AZR-AZR</v></cell><cell r="V2874" t="str"><v>Lookalike Targeting</v></cell><cell r="W2874" t="str"><v>Canvas Ad</v></cell><cell r="X2874" t="str"><v>1x1</v></cell></row><row r="2874"><cell r="AA2874"><v>43301</v></cell><cell r="AB2874" t="str"><v>USA_gaPMG_AZR_AZR_Q1_19_Direct-Social</v></cell><cell r="AC2874"><v>21358715</v></cell><cell r="AD2874"><v>720197</v></cell><cell r="AE2874" t="str"><v>Facebook</v></cell><cell r="AF2874"><v>3654128</v></cell><cell r="AG2874" t="str"><v>FACEBOOK»USA-Trial-ITD-Trial Lookalike-AZR-AZR»1 x 1»SocialBan»CAN»ALL»CPA»LAL»X»NA»SS»NA»FBCTCBasicMotion»PRC1LZ</v></cell><cell r="AH2874"><v>223862915</v></cell><cell r="AI2874" t="str"><v>AzurePlatform_FBCTCBasicMotion_USA_10s_CAN_PLATFORM_English_Trial_Standard_STAN_TIN_T1_2</v></cell><cell r="AJ2874"><v>103175984</v></cell></row><row r="2875"><cell r="C2875" t="str"><v>43301FACEBOOK»USA-Trial-ITD-Trial PayGo Lookalike-AZR-AZR»1 x 1»SocialBan»CAN»ALL»CPA»LAL»X»NA»SS»NA»FBCTCBasicMotion»PRC1Q0</v></cell><cell r="D2875" t="str"><v>43301223935664</v></cell><cell r="E2875" t="str"><v>43301103043823PRC1Q0</v></cell><cell r="F2875" t="str"><v>DCM</v></cell><cell r="G2875" t="str"><v>https://signup.azure.com/?OCID=AID%eexcid!_OLA_%ebuy!_%epid!_%ecid!</v></cell></row><row r="2875"><cell r="K2875" t="str"><v>July</v></cell><cell r="L2875"><v>43302</v></cell><cell r="M2875" t="str"><v>Tier 0</v></cell><cell r="N2875" t="str"><v>North America</v></cell><cell r="O2875" t="str"><v>United States</v></cell><cell r="P2875" t="str"><v>Trial</v></cell><cell r="Q2875" t="str"><v>Social</v></cell><cell r="R2875" t="str"><v>Azure</v></cell><cell r="S2875" t="str"><v>Apps & Infra</v></cell><cell r="T2875" t="str"><v>Developers & ITI's</v></cell><cell r="U2875" t="str"><v>USA-Trial-ITD-Trial PayGo Lookalike-AZR-AZR</v></cell><cell r="V2875" t="str"><v>Lookalike Targeting</v></cell><cell r="W2875" t="str"><v>Canvas Ad</v></cell><cell r="X2875" t="str"><v>1x1</v></cell></row><row r="2875"><cell r="AA2875"><v>43301</v></cell><cell r="AB2875" t="str"><v>USA_gaPMG_AZR_AZR_Q1_19_Direct-Social</v></cell><cell r="AC2875"><v>21358715</v></cell><cell r="AD2875"><v>720197</v></cell><cell r="AE2875" t="str"><v>Facebook</v></cell><cell r="AF2875"><v>3654128</v></cell><cell r="AG2875" t="str"><v>FACEBOOK»USA-Trial-ITD-Trial PayGo Lookalike-AZR-AZR»1 x 1»SocialBan»CAN»ALL»CPA»LAL»X»NA»SS»NA»FBCTCBasicMotion»PRC1Q0</v></cell><cell r="AH2875"><v>223935664</v></cell><cell r="AI2875" t="str"><v>AzurePlatform_FBCTCBasicMotion_USA_10s_CAN_PLATFORM_English_Trial_Standard_STAN_TIN_T1_1</v></cell><cell r="AJ2875"><v>103043823</v></cell></row><row r="2876"><cell r="C2876" t="str"><v>43301FACEBOOK»USA-Trial-ITD-Trial PayGo Lookalike-AZR-AZR»1 x 1»SocialBan»CAN»ALL»CPA»LAL»X»NA»SS»NA»FBCTCBasicMotion»PRC1Q0</v></cell><cell r="D2876" t="str"><v>43301223935664</v></cell><cell r="E2876" t="str"><v>43301103175984PRC1Q0</v></cell><cell r="F2876" t="str"><v>DCM</v></cell><cell r="G2876" t="str"><v>https://azure.microsoft.com/en-us/pricing/purchase-options/?v=18.19&OCID=AID%eexcid!_OLA_%ebuy!_%epid!_%ecid!</v></cell></row><row r="2876"><cell r="K2876" t="str"><v>July</v></cell><cell r="L2876"><v>43302</v></cell><cell r="M2876" t="str"><v>Tier 0</v></cell><cell r="N2876" t="str"><v>North America</v></cell><cell r="O2876" t="str"><v>United States</v></cell><cell r="P2876" t="str"><v>Trial</v></cell><cell r="Q2876" t="str"><v>Social</v></cell><cell r="R2876" t="str"><v>Azure</v></cell><cell r="S2876" t="str"><v>Apps & Infra</v></cell><cell r="T2876" t="str"><v>Developers & ITI's</v></cell><cell r="U2876" t="str"><v>USA-Trial-ITD-Trial PayGo Lookalike-AZR-AZR</v></cell><cell r="V2876" t="str"><v>Lookalike Targeting</v></cell><cell r="W2876" t="str"><v>Canvas Ad</v></cell><cell r="X2876" t="str"><v>1x1</v></cell></row><row r="2876"><cell r="AA2876"><v>43301</v></cell><cell r="AB2876" t="str"><v>USA_gaPMG_AZR_AZR_Q1_19_Direct-Social</v></cell><cell r="AC2876"><v>21358715</v></cell><cell r="AD2876"><v>720197</v></cell><cell r="AE2876" t="str"><v>Facebook</v></cell><cell r="AF2876"><v>3654128</v></cell><cell r="AG2876" t="str"><v>FACEBOOK»USA-Trial-ITD-Trial PayGo Lookalike-AZR-AZR»1 x 1»SocialBan»CAN»ALL»CPA»LAL»X»NA»SS»NA»FBCTCBasicMotion»PRC1Q0</v></cell><cell r="AH2876"><v>223935664</v></cell><cell r="AI2876" t="str"><v>AzurePlatform_FBCTCBasicMotion_USA_10s_CAN_PLATFORM_English_Trial_Standard_STAN_TIN_T1_2</v></cell><cell r="AJ2876"><v>103175984</v></cell></row><row r="2877"><cell r="C2877" t="str"><v>43301FACEBOOK»USA-Trial-ITD-Trial PayGo Lookalike-AZR-AZR»1 x 1»SocialBan»LIA»ALL»CPA»LAL»X»NA»SS»NA»FreeAcctDeveloperFB-AnimatedAI-Ch3»PRC1Q8</v></cell><cell r="D2877" t="str"><v>43301224104983</v></cell><cell r="E2877" t="str"><v>43301103032778PRC1Q8</v></cell><cell r="F2877" t="str"><v>DCM</v></cell></row><row r="2877"><cell r="K2877" t="str"><v>July</v></cell><cell r="L2877"><v>43302</v></cell><cell r="M2877" t="str"><v>Tier 0</v></cell><cell r="N2877" t="str"><v>North America</v></cell><cell r="O2877" t="str"><v>United States</v></cell><cell r="P2877" t="str"><v>Trial</v></cell><cell r="Q2877" t="str"><v>Social</v></cell><cell r="R2877" t="str"><v>Azure</v></cell><cell r="S2877" t="str"><v>Apps & Infra</v></cell><cell r="T2877" t="str"><v>Developers & ITI's</v></cell><cell r="U2877" t="str"><v>USA-Trial-ITD-Trial PayGo Lookalike-AZR-AZR</v></cell><cell r="V2877" t="str"><v>Lookalike Targeting</v></cell><cell r="W2877" t="str"><v>Link Ad</v></cell><cell r="X2877" t="str"><v>1x1</v></cell></row><row r="2877"><cell r="AA2877"><v>43301</v></cell><cell r="AB2877" t="str"><v>USA_gaPMG_AZR_AZR_Q1_19_Direct-Social</v></cell><cell r="AC2877"><v>21358715</v></cell><cell r="AD2877"><v>720197</v></cell><cell r="AE2877" t="str"><v>Facebook</v></cell><cell r="AF2877"><v>3654128</v></cell><cell r="AG2877" t="str"><v>FACEBOOK»USA-Trial-ITD-Trial PayGo Lookalike-AZR-AZR»1 x 1»SocialBan»LIA»ALL»CPA»LAL»X»NA»SS»NA»FreeAcctDeveloperFB-AnimatedAI-Ch3»PRC1Q8</v></cell><cell r="AH2877"><v>224104983</v></cell><cell r="AI2877" t="str"><v>AZR_FreeAcctDeveloperFB-AnimatedAI-Ch3_USA_1200x1200_CAN_Direct_English_Trial_Standard_ANI_LEA_T3_1</v></cell><cell r="AJ2877"><v>103032778</v></cell></row><row r="2878"><cell r="C2878" t="str"><v>43301FACEBOOK»USA-Trial-ITD-Trial PayGo Lookalike-AZR-AZR»1 x 1»SocialBan»LIA»ALL»CPA»LAL»X»NA»SS»NA»FreeAcctDeveloperFB-AnimatedData-Ch4»PRC1Q9</v></cell><cell r="D2878" t="str"><v>43301224106990</v></cell><cell r="E2878" t="str"><v>43301103037935PRC1Q9</v></cell><cell r="F2878" t="str"><v>DCM</v></cell></row><row r="2878"><cell r="K2878" t="str"><v>July</v></cell><cell r="L2878"><v>43302</v></cell><cell r="M2878" t="str"><v>Tier 0</v></cell><cell r="N2878" t="str"><v>North America</v></cell><cell r="O2878" t="str"><v>United States</v></cell><cell r="P2878" t="str"><v>Trial</v></cell><cell r="Q2878" t="str"><v>Social</v></cell><cell r="R2878" t="str"><v>Azure</v></cell><cell r="S2878" t="str"><v>Apps & Infra</v></cell><cell r="T2878" t="str"><v>Developers & ITI's</v></cell><cell r="U2878" t="str"><v>USA-Trial-ITD-Trial PayGo Lookalike-AZR-AZR</v></cell><cell r="V2878" t="str"><v>Lookalike Targeting</v></cell><cell r="W2878" t="str"><v>Link Ad</v></cell><cell r="X2878" t="str"><v>1x1</v></cell></row><row r="2878"><cell r="AA2878"><v>43301</v></cell><cell r="AB2878" t="str"><v>USA_gaPMG_AZR_AZR_Q1_19_Direct-Social</v></cell><cell r="AC2878"><v>21358715</v></cell><cell r="AD2878"><v>720197</v></cell><cell r="AE2878" t="str"><v>Facebook</v></cell><cell r="AF2878"><v>3654128</v></cell><cell r="AG2878" t="str"><v>FACEBOOK»USA-Trial-ITD-Trial PayGo Lookalike-AZR-AZR»1 x 1»SocialBan»LIA»ALL»CPA»LAL»X»NA»SS»NA»FreeAcctDeveloperFB-AnimatedData-Ch4»PRC1Q9</v></cell><cell r="AH2878"><v>224106990</v></cell><cell r="AI2878" t="str"><v>AZR_FreeAcctDeveloperFB-AnimatedData-Ch4_USA_1200x1200_CAN_Direct_English_Trial_Standard_ANI_LEA_T4_2</v></cell><cell r="AJ2878"><v>103037935</v></cell></row><row r="2879"><cell r="C2879" t="str"><v>43301FACEBOOK»USA-Trial-ITD-Trial PayGo Lookalike-AZR-AZR»1 x 1»SocialBan»LIA»ALL»CPA»LAL»X»NA»SS»NA»FreeAcctDeveloperFB-AnimatedOpenSource-Ch2»PRC1Q7</v></cell><cell r="D2879" t="str"><v>43301223862951</v></cell><cell r="E2879" t="str"><v>43301103048329PRC1Q7</v></cell><cell r="F2879" t="str"><v>DCM</v></cell><cell r="G2879" t="str"><v>https://azure.microsoft.com/en-us/free/open-source/search/?OCID=AID%eexcid!_OLA_%ebuy!_%epid!_%ecid!</v></cell></row><row r="2879"><cell r="K2879" t="str"><v>July</v></cell><cell r="L2879"><v>43302</v></cell><cell r="M2879" t="str"><v>Tier 0</v></cell><cell r="N2879" t="str"><v>North America</v></cell><cell r="O2879" t="str"><v>United States</v></cell><cell r="P2879" t="str"><v>Trial</v></cell><cell r="Q2879" t="str"><v>Social</v></cell><cell r="R2879" t="str"><v>Azure</v></cell><cell r="S2879" t="str"><v>Apps & Infra</v></cell><cell r="T2879" t="str"><v>Developers & ITI's</v></cell><cell r="U2879" t="str"><v>USA-Trial-ITD-Trial PayGo Lookalike-AZR-AZR</v></cell><cell r="V2879" t="str"><v>Lookalike Targeting</v></cell><cell r="W2879" t="str"><v>Link Ad</v></cell><cell r="X2879" t="str"><v>1x1</v></cell></row><row r="2879"><cell r="AA2879"><v>43301</v></cell><cell r="AB2879" t="str"><v>USA_gaPMG_AZR_AZR_Q1_19_Direct-Social</v></cell><cell r="AC2879"><v>21358715</v></cell><cell r="AD2879"><v>720197</v></cell><cell r="AE2879" t="str"><v>Facebook</v></cell><cell r="AF2879"><v>3654128</v></cell><cell r="AG2879" t="str"><v>FACEBOOK»USA-Trial-ITD-Trial PayGo Lookalike-AZR-AZR»1 x 1»SocialBan»LIA»ALL»CPA»LAL»X»NA»SS»NA»FreeAcctDeveloperFB-AnimatedOpenSource-Ch2»PRC1Q7</v></cell><cell r="AH2879"><v>223862951</v></cell><cell r="AI2879" t="str"><v>AZR_FreeAcctDeveloperFB-AnimatedOpenSource-Ch2_USA_1200x1200_CAN_Direct_English_Trial_Standard_ANI_LEA_T2_1</v></cell><cell r="AJ2879"><v>103048329</v></cell></row><row r="2880"><cell r="C2880" t="str"><v>43301FACEBOOK»USA-Trial-ITD-Trial PayGo Lookalike-AZR-AZR»1 x 1»SocialBan»LIA»ALL»CPA»LAL»X»NA»SS»NA»FreeAcctITProFB-AnimatedSecureMngd-Ch1»PRC1QB</v></cell><cell r="D2880" t="str"><v>43301223862945</v></cell><cell r="E2880" t="str"><v>43301103176830PRC1QB</v></cell><cell r="F2880" t="str"><v>DCM</v></cell></row><row r="2880"><cell r="K2880" t="str"><v>July</v></cell><cell r="L2880"><v>43302</v></cell><cell r="M2880" t="str"><v>Tier 0</v></cell><cell r="N2880" t="str"><v>North America</v></cell><cell r="O2880" t="str"><v>United States</v></cell><cell r="P2880" t="str"><v>Trial</v></cell><cell r="Q2880" t="str"><v>Social</v></cell><cell r="R2880" t="str"><v>Azure</v></cell><cell r="S2880" t="str"><v>Apps & Infra</v></cell><cell r="T2880" t="str"><v>Developers & ITI's</v></cell><cell r="U2880" t="str"><v>USA-Trial-ITD-Trial PayGo Lookalike-AZR-AZR</v></cell><cell r="V2880" t="str"><v>Lookalike Targeting</v></cell><cell r="W2880" t="str"><v>Link Ad</v></cell><cell r="X2880" t="str"><v>1x1</v></cell></row><row r="2880"><cell r="AA2880"><v>43301</v></cell><cell r="AB2880" t="str"><v>USA_gaPMG_AZR_AZR_Q1_19_Direct-Social</v></cell><cell r="AC2880"><v>21358715</v></cell><cell r="AD2880"><v>720197</v></cell><cell r="AE2880" t="str"><v>Facebook</v></cell><cell r="AF2880"><v>3654128</v></cell><cell r="AG2880" t="str"><v>FACEBOOK»USA-Trial-ITD-Trial PayGo Lookalike-AZR-AZR»1 x 1»SocialBan»LIA»ALL»CPA»LAL»X»NA»SS»NA»FreeAcctITProFB-AnimatedSecureMngd-Ch1»PRC1QB</v></cell><cell r="AH2880"><v>223862945</v></cell><cell r="AI2880" t="str"><v>AZR_FreeAcctITProFB-AnimatedSecureMngd-Ch1_USA_1200x1200_CAN_Direct_English_Trial_Standard_ANI_LEA_T1_1</v></cell><cell r="AJ2880"><v>103176830</v></cell></row><row r="2881"><cell r="C2881" t="str"><v>43301INSTAGRAM»USA-Trial-ITD-Interest Prospecting-AZR-AZR»1 x 1»SocialBan»CAN»ALL»CPA»PRO»X»NA»SS»NA»IGCTCBrandinMotion»PRC2PB</v></cell><cell r="D2881" t="str"><v>43301223862690</v></cell><cell r="E2881" t="str"><v>43301103050783PRC2PB</v></cell><cell r="F2881" t="str"><v>DCM</v></cell><cell r="G2881" t="str"><v>https://signup.azure.com/?OCID=AID%eexcid!_OLA_%ebuy!_%epid!_%ecid!</v></cell></row><row r="2881"><cell r="K2881" t="str"><v>July</v></cell><cell r="L2881"><v>43302</v></cell><cell r="M2881" t="str"><v>Tier 0</v></cell><cell r="N2881" t="str"><v>North America</v></cell><cell r="O2881" t="str"><v>United States</v></cell><cell r="P2881" t="str"><v>Trial</v></cell><cell r="Q2881" t="str"><v>Social</v></cell><cell r="R2881" t="str"><v>Azure</v></cell><cell r="S2881" t="str"><v>Apps & Infra</v></cell><cell r="T2881" t="str"><v>Developers & ITI's</v></cell><cell r="U2881" t="str"><v>USA-Trial-ITD-Interest Prospecting-AZR-AZR</v></cell><cell r="V2881" t="str"><v>Prospecting</v></cell><cell r="W2881" t="str"><v>Canvas Ad</v></cell><cell r="X2881" t="str"><v>1x1</v></cell></row><row r="2881"><cell r="AA2881"><v>43301</v></cell><cell r="AB2881" t="str"><v>USA_gaPMG_AZR_AZR_Q1_19_Direct-Social</v></cell><cell r="AC2881"><v>21358715</v></cell><cell r="AD2881"><v>720197</v></cell><cell r="AE2881" t="str"><v>Facebook - Instagram</v></cell><cell r="AF2881"><v>3654128</v></cell><cell r="AG2881" t="str"><v>INSTAGRAM»USA-Trial-ITD-Interest Prospecting-AZR-AZR»1 x 1»SocialBan»CAN»ALL»CPA»PRO»X»NA»SS»NA»IGCTCBrandinMotion»PRC2PB</v></cell><cell r="AH2881"><v>223862690</v></cell><cell r="AI2881" t="str"><v>AzurePlatform_IGCTCBenefit2inMotion_USA_10s_CAN_PLATFORM_English_Trial_Standard_STAN_TIN_T4_1</v></cell><cell r="AJ2881"><v>103050783</v></cell></row><row r="2882"><cell r="C2882" t="str"><v>43301INSTAGRAM»USA-Trial-ITD-Retargeting-AZR-AZR»1 x 1»SocialBan»CAN»ALL»CPA»RT»X»NA»SS»NA»IGCTCBrandinMotion»PRC2G3</v></cell><cell r="D2882" t="str"><v>43301224107014</v></cell><cell r="E2882" t="str"><v>43301103050783PRC2G3</v></cell><cell r="F2882" t="str"><v>DCM</v></cell><cell r="G2882" t="str"><v>https://signup.azure.com/?OCID=AID%eexcid!_OLA_%ebuy!_%epid!_%ecid!</v></cell></row><row r="2882"><cell r="K2882" t="str"><v>July</v></cell><cell r="L2882"><v>43302</v></cell><cell r="M2882" t="str"><v>Tier 0</v></cell><cell r="N2882" t="str"><v>North America</v></cell><cell r="O2882" t="str"><v>United States</v></cell><cell r="P2882" t="str"><v>Trial</v></cell><cell r="Q2882" t="str"><v>Social</v></cell><cell r="R2882" t="str"><v>Azure</v></cell><cell r="S2882" t="str"><v>Apps & Infra</v></cell><cell r="T2882" t="str"><v>Developers & ITI's</v></cell><cell r="U2882" t="str"><v>USA-Trial-ITD-Retargeting-AZR-AZR</v></cell><cell r="V2882" t="str"><v>Retargeting</v></cell><cell r="W2882" t="str"><v>Canvas Ad</v></cell><cell r="X2882" t="str"><v>1x1</v></cell></row><row r="2882"><cell r="AA2882"><v>43301</v></cell><cell r="AB2882" t="str"><v>USA_gaPMG_AZR_AZR_Q1_19_Direct-Social</v></cell><cell r="AC2882"><v>21358715</v></cell><cell r="AD2882"><v>720197</v></cell><cell r="AE2882" t="str"><v>Facebook - Instagram</v></cell><cell r="AF2882"><v>3654128</v></cell><cell r="AG2882" t="str"><v>INSTAGRAM»USA-Trial-ITD-Retargeting-AZR-AZR»1 x 1»SocialBan»CAN»ALL»CPA»RT»X»NA»SS»NA»IGCTCBrandinMotion»PRC2G3</v></cell><cell r="AH2882"><v>224107014</v></cell><cell r="AI2882" t="str"><v>AzurePlatform_IGCTCBenefit2inMotion_USA_10s_CAN_PLATFORM_English_Trial_Standard_STAN_TIN_T4_1</v></cell><cell r="AJ2882"><v>103050783</v></cell></row><row r="2883"><cell r="C2883" t="str"><v>43301INSTAGRAM»USA-Trial-ITD-Retargeting-AZR-AZR»1 x 1»SocialBan»CAN»ALL»CPA»RT»X»NA»SS»NA»IGCTCBasicMotion»PRC2G7</v></cell><cell r="D2883" t="str"><v>43301223935007</v></cell><cell r="E2883" t="str"><v>43301103037968PRC2G7</v></cell><cell r="F2883" t="str"><v>DCM</v></cell><cell r="G2883" t="str"><v>https://signup.azure.com/?OCID=AID%eexcid!_OLA_%ebuy!_%epid!_%ecid!</v></cell></row><row r="2883"><cell r="K2883" t="str"><v>July</v></cell><cell r="L2883"><v>43302</v></cell><cell r="M2883" t="str"><v>Tier 0</v></cell><cell r="N2883" t="str"><v>North America</v></cell><cell r="O2883" t="str"><v>United States</v></cell><cell r="P2883" t="str"><v>Trial</v></cell><cell r="Q2883" t="str"><v>Social</v></cell><cell r="R2883" t="str"><v>Azure</v></cell><cell r="S2883" t="str"><v>Apps & Infra</v></cell><cell r="T2883" t="str"><v>Developers & ITI's</v></cell><cell r="U2883" t="str"><v>USA-Trial-ITD-Retargeting-AZR-AZR</v></cell><cell r="V2883" t="str"><v>Retargeting</v></cell><cell r="W2883" t="str"><v>Canvas Ad</v></cell><cell r="X2883" t="str"><v>1x1</v></cell></row><row r="2883"><cell r="AA2883"><v>43301</v></cell><cell r="AB2883" t="str"><v>USA_gaPMG_AZR_AZR_Q1_19_Direct-Social</v></cell><cell r="AC2883"><v>21358715</v></cell><cell r="AD2883"><v>720197</v></cell><cell r="AE2883" t="str"><v>Facebook - Instagram</v></cell><cell r="AF2883"><v>3654128</v></cell><cell r="AG2883" t="str"><v>INSTAGRAM»USA-Trial-ITD-Retargeting-AZR-AZR»1 x 1»SocialBan»CAN»ALL»CPA»RT»X»NA»SS»NA»IGCTCBasicMotion»PRC2G7</v></cell><cell r="AH2883"><v>223935007</v></cell><cell r="AI2883" t="str"><v>AzurePlatform_IGCTCBasicMotion_USA_10s_CAN_PLATFORM_English_Trial_Standard_STAN_TIN_T1_1</v></cell><cell r="AJ2883"><v>103037968</v></cell></row><row r="2884"><cell r="C2884" t="str"><v>43301INSTAGRAM»USA-Trial-ITD-Trial Lookalike-AZR-AZR»1 x 1»SocialBan»CAN»ALL»CPA»LAL»X»NA»SS»NA»IGCTCBenefit2inMotion»PRC2FL</v></cell><cell r="D2884" t="str"><v>43301223935022</v></cell><cell r="E2884" t="str"><v>43301103180628PRC2FL</v></cell><cell r="F2884" t="str"><v>DCM</v></cell><cell r="G2884" t="str"><v>https://signup.azure.com/?OCID=AID%eexcid!_OLA_%ebuy!_%epid!_%ecid!</v></cell></row><row r="2884"><cell r="K2884" t="str"><v>July</v></cell><cell r="L2884"><v>43302</v></cell><cell r="M2884" t="str"><v>Tier 0</v></cell><cell r="N2884" t="str"><v>North America</v></cell><cell r="O2884" t="str"><v>United States</v></cell><cell r="P2884" t="str"><v>Trial</v></cell><cell r="Q2884" t="str"><v>Social</v></cell><cell r="R2884" t="str"><v>Azure</v></cell><cell r="S2884" t="str"><v>Apps & Infra</v></cell><cell r="T2884" t="str"><v>Developers & ITI's</v></cell><cell r="U2884" t="str"><v>USA-Trial-ITD-Trial Lookalike-AZR-AZR</v></cell><cell r="V2884" t="str"><v>Lookalike Targeting</v></cell><cell r="W2884" t="str"><v>Canvas Ad</v></cell><cell r="X2884" t="str"><v>1x1</v></cell></row><row r="2884"><cell r="AA2884"><v>43301</v></cell><cell r="AB2884" t="str"><v>USA_gaPMG_AZR_AZR_Q1_19_Direct-Social</v></cell><cell r="AC2884"><v>21358715</v></cell><cell r="AD2884"><v>720197</v></cell><cell r="AE2884" t="str"><v>Facebook - Instagram</v></cell><cell r="AF2884"><v>3654128</v></cell><cell r="AG2884" t="str"><v>INSTAGRAM»USA-Trial-ITD-Trial Lookalike-AZR-AZR»1 x 1»SocialBan»CAN»ALL»CPA»LAL»X»NA»SS»NA»IGCTCBenefit2inMotion»PRC2FL</v></cell><cell r="AH2884"><v>223935022</v></cell><cell r="AI2884" t="str"><v>AzurePlatform_IGCTCBrandinMotion_USA_10s_CAN_PLATFORM_English_Trial_Standard_STAN_TIN_T2_1</v></cell><cell r="AJ2884"><v>103180628</v></cell></row><row r="2885"><cell r="C2885" t="str"><v>43301INSTAGRAM»USA-Trial-ITD-Trial Lookalike-AZR-AZR»1 x 1»SocialBan»CAN»ALL»CPA»LAL»X»NA»SS»NA»IGCTCBenefit2inMotion»PRC2FL</v></cell><cell r="D2885" t="str"><v>43301223935022</v></cell><cell r="E2885" t="str"><v>43301103050786PRC2FL</v></cell><cell r="F2885" t="str"><v>DCM</v></cell><cell r="G2885" t="str"><v>https://azure.microsoft.com/en-us/pricing/purchase-options/?v=18.19&OCID=AID%eexcid!_OLA_%ebuy!_%epid!_%ecid!</v></cell></row><row r="2885"><cell r="K2885" t="str"><v>July</v></cell><cell r="L2885"><v>43302</v></cell><cell r="M2885" t="str"><v>Tier 0</v></cell><cell r="N2885" t="str"><v>North America</v></cell><cell r="O2885" t="str"><v>United States</v></cell><cell r="P2885" t="str"><v>Trial</v></cell><cell r="Q2885" t="str"><v>Social</v></cell><cell r="R2885" t="str"><v>Azure</v></cell><cell r="S2885" t="str"><v>Apps & Infra</v></cell><cell r="T2885" t="str"><v>Developers & ITI's</v></cell><cell r="U2885" t="str"><v>USA-Trial-ITD-Trial Lookalike-AZR-AZR</v></cell><cell r="V2885" t="str"><v>Lookalike Targeting</v></cell><cell r="W2885" t="str"><v>Canvas Ad</v></cell><cell r="X2885" t="str"><v>1x1</v></cell></row><row r="2885"><cell r="AA2885"><v>43301</v></cell><cell r="AB2885" t="str"><v>USA_gaPMG_AZR_AZR_Q1_19_Direct-Social</v></cell><cell r="AC2885"><v>21358715</v></cell><cell r="AD2885"><v>720197</v></cell><cell r="AE2885" t="str"><v>Facebook - Instagram</v></cell><cell r="AF2885"><v>3654128</v></cell><cell r="AG2885" t="str"><v>INSTAGRAM»USA-Trial-ITD-Trial Lookalike-AZR-AZR»1 x 1»SocialBan»CAN»ALL»CPA»LAL»X»NA»SS»NA»IGCTCBenefit2inMotion»PRC2FL</v></cell><cell r="AH2885"><v>223935022</v></cell><cell r="AI2885" t="str"><v>AzurePlatform_IGCTCBrandinMotion_USA_10s_CAN_PLATFORM_English_Trial_Standard_STAN_TIN_T2_2</v></cell><cell r="AJ2885"><v>103050786</v></cell></row><row r="2886"><cell r="C2886" t="str"><v>43301INSTAGRAM»USA-Trial-ITD-Trial PayGo Lookalike-AZR-AZR»1 x 1»SocialBan»CAN»ALL»CPA»LAL»X»NA»SS»NA»IGCTCBrandinMotion»PRC2FW</v></cell><cell r="D2886" t="str"><v>43301223862654</v></cell><cell r="E2886" t="str"><v>43301103050783PRC2FW</v></cell><cell r="F2886" t="str"><v>DCM</v></cell><cell r="G2886" t="str"><v>https://signup.azure.com/?OCID=AID%eexcid!_OLA_%ebuy!_%epid!_%ecid!</v></cell></row><row r="2886"><cell r="K2886" t="str"><v>July</v></cell><cell r="L2886"><v>43302</v></cell><cell r="M2886" t="str"><v>Tier 0</v></cell><cell r="N2886" t="str"><v>North America</v></cell><cell r="O2886" t="str"><v>United States</v></cell><cell r="P2886" t="str"><v>Trial</v></cell><cell r="Q2886" t="str"><v>Social</v></cell><cell r="R2886" t="str"><v>Azure</v></cell><cell r="S2886" t="str"><v>Apps & Infra</v></cell><cell r="T2886" t="str"><v>Developers & ITI's</v></cell><cell r="U2886" t="str"><v>USA-Trial-ITD-Trial PayGo Lookalike-AZR-AZR</v></cell><cell r="V2886" t="str"><v>Lookalike Targeting</v></cell><cell r="W2886" t="str"><v>Canvas Ad</v></cell><cell r="X2886" t="str"><v>1x1</v></cell></row><row r="2886"><cell r="AA2886"><v>43301</v></cell><cell r="AB2886" t="str"><v>USA_gaPMG_AZR_AZR_Q1_19_Direct-Social</v></cell><cell r="AC2886"><v>21358715</v></cell><cell r="AD2886"><v>720197</v></cell><cell r="AE2886" t="str"><v>Facebook - Instagram</v></cell><cell r="AF2886"><v>3654128</v></cell><cell r="AG2886" t="str"><v>INSTAGRAM»USA-Trial-ITD-Trial PayGo Lookalike-AZR-AZR»1 x 1»SocialBan»CAN»ALL»CPA»LAL»X»NA»SS»NA»IGCTCBrandinMotion»PRC2FW</v></cell><cell r="AH2886"><v>223862654</v></cell><cell r="AI2886" t="str"><v>AzurePlatform_IGCTCBenefit2inMotion_USA_10s_CAN_PLATFORM_English_Trial_Standard_STAN_TIN_T4_1</v></cell><cell r="AJ2886"><v>103050783</v></cell></row><row r="2887"><cell r="C2887" t="str"><v>43301INSTAGRAM»USA-Trial-ITD-Interest Prospecting-AZR-AZR»1 x 1»SocialBan»CAN»ALL»CPA»PRO»X»NA»SS»NA»IGCTCBasicMotion»PRC2PF</v></cell><cell r="D2887" t="str"><v>43301224106621</v></cell><cell r="E2887" t="str"><v>43301103037968PRC2PF</v></cell><cell r="F2887" t="str"><v>DCM</v></cell><cell r="G2887" t="str"><v>https://signup.azure.com/?OCID=AID%eexcid!_OLA_%ebuy!_%epid!_%ecid!</v></cell></row><row r="2887"><cell r="K2887" t="str"><v>July</v></cell><cell r="L2887"><v>43302</v></cell><cell r="M2887" t="str"><v>Tier 0</v></cell><cell r="N2887" t="str"><v>North America</v></cell><cell r="O2887" t="str"><v>United States</v></cell><cell r="P2887" t="str"><v>Trial</v></cell><cell r="Q2887" t="str"><v>Social</v></cell><cell r="R2887" t="str"><v>Azure</v></cell><cell r="S2887" t="str"><v>Apps & Infra</v></cell><cell r="T2887" t="str"><v>Developers & ITI's</v></cell><cell r="U2887" t="str"><v>USA-Trial-ITD-Interest Prospecting-AZR-AZR</v></cell><cell r="V2887" t="str"><v>Prospecting</v></cell><cell r="W2887" t="str"><v>Canvas Ad</v></cell><cell r="X2887" t="str"><v>1x1</v></cell></row><row r="2887"><cell r="AA2887"><v>43301</v></cell><cell r="AB2887" t="str"><v>USA_gaPMG_AZR_AZR_Q1_19_Direct-Social</v></cell><cell r="AC2887"><v>21358715</v></cell><cell r="AD2887"><v>720197</v></cell><cell r="AE2887" t="str"><v>Facebook - Instagram</v></cell><cell r="AF2887"><v>3654128</v></cell><cell r="AG2887" t="str"><v>INSTAGRAM»USA-Trial-ITD-Interest Prospecting-AZR-AZR»1 x 1»SocialBan»CAN»ALL»CPA»PRO»X»NA»SS»NA»IGCTCBasicMotion»PRC2PF</v></cell><cell r="AH2887"><v>224106621</v></cell><cell r="AI2887" t="str"><v>AzurePlatform_IGCTCBasicMotion_USA_10s_CAN_PLATFORM_English_Trial_Standard_STAN_TIN_T1_1</v></cell><cell r="AJ2887"><v>103037968</v></cell></row><row r="2888"><cell r="C2888" t="str"><v>43301INSTAGRAM»USA-Trial-ITD-Interest Prospecting-AZR-AZR»1 x 1»SocialBan»CAN»ALL»CPA»PRO»X»NA»SS»NA»IGCTCBenefitinMotion»PRC2PC</v></cell><cell r="D2888" t="str"><v>43301224104878</v></cell><cell r="E2888" t="str"><v>43301103050780PRC2PC</v></cell><cell r="F2888" t="str"><v>DCM</v></cell><cell r="G2888" t="str"><v>https://signup.azure.com/?OCID=AID%eexcid!_OLA_%ebuy!_%epid!_%ecid!</v></cell></row><row r="2888"><cell r="K2888" t="str"><v>July</v></cell><cell r="L2888"><v>43302</v></cell><cell r="M2888" t="str"><v>Tier 0</v></cell><cell r="N2888" t="str"><v>North America</v></cell><cell r="O2888" t="str"><v>United States</v></cell><cell r="P2888" t="str"><v>Trial</v></cell><cell r="Q2888" t="str"><v>Social</v></cell><cell r="R2888" t="str"><v>Azure</v></cell><cell r="S2888" t="str"><v>Apps & Infra</v></cell><cell r="T2888" t="str"><v>Developers & ITI's</v></cell><cell r="U2888" t="str"><v>USA-Trial-ITD-Interest Prospecting-AZR-AZR</v></cell><cell r="V2888" t="str"><v>Prospecting</v></cell><cell r="W2888" t="str"><v>Canvas Ad</v></cell><cell r="X2888" t="str"><v>1x1</v></cell></row><row r="2888"><cell r="AA2888"><v>43301</v></cell><cell r="AB2888" t="str"><v>USA_gaPMG_AZR_AZR_Q1_19_Direct-Social</v></cell><cell r="AC2888"><v>21358715</v></cell><cell r="AD2888"><v>720197</v></cell><cell r="AE2888" t="str"><v>Facebook - Instagram</v></cell><cell r="AF2888"><v>3654128</v></cell><cell r="AG2888" t="str"><v>INSTAGRAM»USA-Trial-ITD-Interest Prospecting-AZR-AZR»1 x 1»SocialBan»CAN»ALL»CPA»PRO»X»NA»SS»NA»IGCTCBenefitinMotion»PRC2PC</v></cell><cell r="AH2888"><v>224104878</v></cell><cell r="AI2888" t="str"><v>AzurePlatform_IGCTCBenefitinMotion_USA_10s_CAN_PLATFORM_English_Trial_Standard_STAN_TIN_T3_1</v></cell><cell r="AJ2888"><v>103050780</v></cell></row><row r="2889"><cell r="C2889" t="str"><v>43301INSTAGRAM»USA-Trial-ITD-Interest Prospecting-AZR-AZR»1 x 1»SocialBan»CAN»ALL»CPA»PRO»X»NA»SS»NA»IGCTCBenefitinMotion»PRC2PC</v></cell><cell r="D2889" t="str"><v>43301224104878</v></cell><cell r="E2889" t="str"><v>43301103180637PRC2PC</v></cell><cell r="F2889" t="str"><v>DCM</v></cell><cell r="G2889" t="str"><v>https://azure.microsoft.com/en-us/pricing/purchase-options/?v=18.19&OCID=AID%eexcid!_OLA_%ebuy!_%epid!_%ecid!</v></cell></row><row r="2889"><cell r="K2889" t="str"><v>July</v></cell><cell r="L2889"><v>43302</v></cell><cell r="M2889" t="str"><v>Tier 0</v></cell><cell r="N2889" t="str"><v>North America</v></cell><cell r="O2889" t="str"><v>United States</v></cell><cell r="P2889" t="str"><v>Trial</v></cell><cell r="Q2889" t="str"><v>Social</v></cell><cell r="R2889" t="str"><v>Azure</v></cell><cell r="S2889" t="str"><v>Apps & Infra</v></cell><cell r="T2889" t="str"><v>Developers & ITI's</v></cell><cell r="U2889" t="str"><v>USA-Trial-ITD-Interest Prospecting-AZR-AZR</v></cell><cell r="V2889" t="str"><v>Prospecting</v></cell><cell r="W2889" t="str"><v>Canvas Ad</v></cell><cell r="X2889" t="str"><v>1x1</v></cell></row><row r="2889"><cell r="AA2889"><v>43301</v></cell><cell r="AB2889" t="str"><v>USA_gaPMG_AZR_AZR_Q1_19_Direct-Social</v></cell><cell r="AC2889"><v>21358715</v></cell><cell r="AD2889"><v>720197</v></cell><cell r="AE2889" t="str"><v>Facebook - Instagram</v></cell><cell r="AF2889"><v>3654128</v></cell><cell r="AG2889" t="str"><v>INSTAGRAM»USA-Trial-ITD-Interest Prospecting-AZR-AZR»1 x 1»SocialBan»CAN»ALL»CPA»PRO»X»NA»SS»NA»IGCTCBenefitinMotion»PRC2PC</v></cell><cell r="AH2889"><v>224104878</v></cell><cell r="AI2889" t="str"><v>AzurePlatform_IGCTCBenefitinMotion_USA_10s_CAN_PLATFORM_English_Trial_Standard_STAN_TIN_T3_2</v></cell><cell r="AJ2889"><v>103180637</v></cell></row><row r="2890"><cell r="C2890" t="str"><v>43301INSTAGRAM»USA-Trial-ITD-Trial Lookalike-AZR-AZR»1 x 1»SocialBan»CAN»ALL»CPA»LAL»X»NA»SS»NA»IGCTCBasicMotion»PRC0C2</v></cell><cell r="D2890" t="str"><v>43301224107017</v></cell><cell r="E2890" t="str"><v>43301103037968PRC0C2</v></cell><cell r="F2890" t="str"><v>DCM</v></cell><cell r="G2890" t="str"><v>https://signup.azure.com/?OCID=AID%eexcid!_OLA_%ebuy!_%epid!_%ecid!</v></cell></row><row r="2890"><cell r="K2890" t="str"><v>July</v></cell><cell r="L2890"><v>43302</v></cell><cell r="M2890" t="str"><v>Tier 0</v></cell><cell r="N2890" t="str"><v>North America</v></cell><cell r="O2890" t="str"><v>United States</v></cell><cell r="P2890" t="str"><v>Trial</v></cell><cell r="Q2890" t="str"><v>Social</v></cell><cell r="R2890" t="str"><v>Azure</v></cell><cell r="S2890" t="str"><v>Apps & Infra</v></cell><cell r="T2890" t="str"><v>Developers & ITI's</v></cell><cell r="U2890" t="str"><v>USA-Trial-ITD-Trial Lookalike-AZR-AZR</v></cell><cell r="V2890" t="str"><v>Lookalike Targeting</v></cell><cell r="W2890" t="str"><v>Canvas Ad</v></cell><cell r="X2890" t="str"><v>1x1</v></cell></row><row r="2890"><cell r="AA2890"><v>43301</v></cell><cell r="AB2890" t="str"><v>USA_gaPMG_AZR_AZR_Q1_19_Direct-Social</v></cell><cell r="AC2890"><v>21358715</v></cell><cell r="AD2890"><v>720197</v></cell><cell r="AE2890" t="str"><v>Facebook - Instagram</v></cell><cell r="AF2890"><v>3654128</v></cell><cell r="AG2890" t="str"><v>INSTAGRAM»USA-Trial-ITD-Trial Lookalike-AZR-AZR»1 x 1»SocialBan»CAN»ALL»CPA»LAL»X»NA»SS»NA»IGCTCBasicMotion»PRC0C2</v></cell><cell r="AH2890"><v>224107017</v></cell><cell r="AI2890" t="str"><v>AzurePlatform_IGCTCBasicMotion_USA_10s_CAN_PLATFORM_English_Trial_Standard_STAN_TIN_T1_1</v></cell><cell r="AJ2890"><v>103037968</v></cell></row><row r="2891"><cell r="C2891" t="str"><v>43301INSTAGRAM»USA-Trial-ITD-Trial PayGo Lookalike-AZR-AZR»1 x 1»SocialBan»CAN»ALL»CPA»LAL»X»NA»SS»NA»IGCTCBasicMotion»PRC2G0</v></cell><cell r="D2891" t="str"><v>43301224106891</v></cell><cell r="E2891" t="str"><v>43301103037968PRC2G0</v></cell><cell r="F2891" t="str"><v>DCM</v></cell><cell r="G2891" t="str"><v>https://signup.azure.com/?OCID=AID%eexcid!_OLA_%ebuy!_%epid!_%ecid!</v></cell></row><row r="2891"><cell r="K2891" t="str"><v>July</v></cell><cell r="L2891"><v>43302</v></cell><cell r="M2891" t="str"><v>Tier 0</v></cell><cell r="N2891" t="str"><v>North America</v></cell><cell r="O2891" t="str"><v>United States</v></cell><cell r="P2891" t="str"><v>Trial</v></cell><cell r="Q2891" t="str"><v>Social</v></cell><cell r="R2891" t="str"><v>Azure</v></cell><cell r="S2891" t="str"><v>Apps & Infra</v></cell><cell r="T2891" t="str"><v>Developers & ITI's</v></cell><cell r="U2891" t="str"><v>USA-Trial-ITD-Trial PayGo Lookalike-AZR-AZR</v></cell><cell r="V2891" t="str"><v>Lookalike Targeting</v></cell><cell r="W2891" t="str"><v>Canvas Ad</v></cell><cell r="X2891" t="str"><v>1x1</v></cell></row><row r="2891"><cell r="AA2891"><v>43301</v></cell><cell r="AB2891" t="str"><v>USA_gaPMG_AZR_AZR_Q1_19_Direct-Social</v></cell><cell r="AC2891"><v>21358715</v></cell><cell r="AD2891"><v>720197</v></cell><cell r="AE2891" t="str"><v>Facebook - Instagram</v></cell><cell r="AF2891"><v>3654128</v></cell><cell r="AG2891" t="str"><v>INSTAGRAM»USA-Trial-ITD-Trial PayGo Lookalike-AZR-AZR»1 x 1»SocialBan»CAN»ALL»CPA»LAL»X»NA»SS»NA»IGCTCBasicMotion»PRC2G0</v></cell><cell r="AH2891"><v>224106891</v></cell><cell r="AI2891" t="str"><v>AzurePlatform_IGCTCBasicMotion_USA_10s_CAN_PLATFORM_English_Trial_Standard_STAN_TIN_T1_1</v></cell><cell r="AJ2891"><v>103037968</v></cell></row><row r="2892"><cell r="C2892" t="str"><v>43301INSTAGRAM»USA-Trial-ITD-Trial PayGo Lookalike-AZR-AZR»1 x 1»SocialBan»CAN»ALL»CPA»LAL»X»NA»SS»NA»IGCTCBasicMotion»PRC2G0</v></cell><cell r="D2892" t="str"><v>43301224106891</v></cell><cell r="E2892" t="str"><v>43301103037974PRC2G0</v></cell><cell r="F2892" t="str"><v>DCM</v></cell><cell r="G2892" t="str"><v>https://azure.microsoft.com/en-us/pricing/purchase-options/?v=18.19&OCID=AID%eexcid!_OLA_%ebuy!_%epid!_%ecid!</v></cell></row><row r="2892"><cell r="K2892" t="str"><v>July</v></cell><cell r="L2892"><v>43302</v></cell><cell r="M2892" t="str"><v>Tier 0</v></cell><cell r="N2892" t="str"><v>North America</v></cell><cell r="O2892" t="str"><v>United States</v></cell><cell r="P2892" t="str"><v>Trial</v></cell><cell r="Q2892" t="str"><v>Social</v></cell><cell r="R2892" t="str"><v>Azure</v></cell><cell r="S2892" t="str"><v>Apps & Infra</v></cell><cell r="T2892" t="str"><v>Developers & ITI's</v></cell><cell r="U2892" t="str"><v>USA-Trial-ITD-Trial PayGo Lookalike-AZR-AZR</v></cell><cell r="V2892" t="str"><v>Lookalike Targeting</v></cell><cell r="W2892" t="str"><v>Canvas Ad</v></cell><cell r="X2892" t="str"><v>1x1</v></cell></row><row r="2892"><cell r="AA2892"><v>43301</v></cell><cell r="AB2892" t="str"><v>USA_gaPMG_AZR_AZR_Q1_19_Direct-Social</v></cell><cell r="AC2892"><v>21358715</v></cell><cell r="AD2892"><v>720197</v></cell><cell r="AE2892" t="str"><v>Facebook - Instagram</v></cell><cell r="AF2892"><v>3654128</v></cell><cell r="AG2892" t="str"><v>INSTAGRAM»USA-Trial-ITD-Trial PayGo Lookalike-AZR-AZR»1 x 1»SocialBan»CAN»ALL»CPA»LAL»X»NA»SS»NA»IGCTCBasicMotion»PRC2G0</v></cell><cell r="AH2892"><v>224106891</v></cell><cell r="AI2892" t="str"><v>AzurePlatform_IGCTCBasicMotion_USA_10s_CAN_PLATFORM_English_Trial_Standard_STAN_TIN_T1_2</v></cell><cell r="AJ2892"><v>103037974</v></cell></row><row r="2893"><cell r="C2893" t="str"><v>43302Facebook»Audience & Interest Targeting»1x1»Canvas»OTH»DT»DYN»AUT»W»NA»SS»NA»FBCTCcanvaspage-StartFreeCTA_FBCTCcanvaspage-BuyNowCTA</v></cell><cell r="D2893" t="str"><v>43302224639151</v></cell><cell r="E2893" t="str"><v>43302103316832NowCTA</v></cell><cell r="F2893" t="str"><v>DCM</v></cell><cell r="G2893" t="str"><v>https://azure.microsoft.com/en-au/pricing/purchase-options/</v></cell></row><row r="2893"><cell r="K2893" t="str"><v>July</v></cell><cell r="L2893"><v>43302</v></cell><cell r="M2893" t="str"><v>Tier 1</v></cell><cell r="N2893" t="str"><v>APAC</v></cell><cell r="O2893" t="str"><v>Australia</v></cell><cell r="P2893" t="str"><v>Trial</v></cell><cell r="Q2893" t="str"><v>Social</v></cell><cell r="R2893" t="str"><v>Azure</v></cell><cell r="S2893" t="str"><v>Apps & Infra</v></cell><cell r="T2893" t="str"><v>Developers & ITI's</v></cell><cell r="U2893" t="str"><v>Audience & Interest Targeting</v></cell><cell r="V2893" t="str"><v>Audience Targeting</v></cell><cell r="W2893" t="str"><v>Other</v></cell><cell r="X2893" t="str"><v>1x1</v></cell></row><row r="2893"><cell r="AA2893"><v>43302</v></cell><cell r="AB2893" t="str"><v>AUS_gaPMG_AZR_AZR_Q1_19_Trial-Social</v></cell><cell r="AC2893"><v>21358568</v></cell><cell r="AD2893"><v>720191</v></cell><cell r="AE2893" t="str"><v>Facebook</v></cell><cell r="AF2893"><v>3654128</v></cell><cell r="AG2893" t="str"><v>Facebook»Audience & Interest Targeting»1x1»Canvas»OTH»DT»DYN»AUT»W»NA»SS»NA»FBCTCcanvaspage-StartFreeCTA_FBCTCcanvaspage-BuyNowCTA</v></cell><cell r="AH2893"><v>224639151</v></cell><cell r="AI2893" t="str"><v>AzurePlatform_FBCTCcanvaspage-BuyNowCTA-Img3_AUS_1080x162_SOC_Plat_English_NA_Standard_NA_BN_T3_1</v></cell><cell r="AJ2893"><v>103316832</v></cell></row><row r="2894"><cell r="C2894" t="str"><v>43302Facebook»Audience & Interest Targeting»1x1»Canvas»OTH»DT»DYN»AUT»W»NA»SS»NA»FBCTCcanvaspage-StartFreeCTA_FBCTCcanvaspage-BuyNowCTA</v></cell><cell r="D2894" t="str"><v>43302224639151</v></cell><cell r="E2894" t="str"><v>43302103316829NowCTA</v></cell><cell r="F2894" t="str"><v>DCM</v></cell><cell r="G2894" t="str"><v>https://signup.azure.com/signup?offer=ms-azr-0044p&appId=102&ref=paidmedia-social-fb&redirectURL=https%3a%2f%2fazure.microsoft.com%2fen-au%2fget-started%2fwelcome-to-azure%2f&l=en-au&correlationId=ead86c34-1f10-49dd-a72b-6918462a2cbf</v></cell></row><row r="2894"><cell r="K2894" t="str"><v>July</v></cell><cell r="L2894"><v>43302</v></cell><cell r="M2894" t="str"><v>Tier 1</v></cell><cell r="N2894" t="str"><v>APAC</v></cell><cell r="O2894" t="str"><v>Australia</v></cell><cell r="P2894" t="str"><v>Trial</v></cell><cell r="Q2894" t="str"><v>Social</v></cell><cell r="R2894" t="str"><v>Azure</v></cell><cell r="S2894" t="str"><v>Apps & Infra</v></cell><cell r="T2894" t="str"><v>Developers & ITI's</v></cell><cell r="U2894" t="str"><v>Audience & Interest Targeting</v></cell><cell r="V2894" t="str"><v>Audience Targeting</v></cell><cell r="W2894" t="str"><v>Other</v></cell><cell r="X2894" t="str"><v>1x1</v></cell></row><row r="2894"><cell r="AA2894"><v>43302</v></cell><cell r="AB2894" t="str"><v>AUS_gaPMG_AZR_AZR_Q1_19_Trial-Social</v></cell><cell r="AC2894"><v>21358568</v></cell><cell r="AD2894"><v>720191</v></cell><cell r="AE2894" t="str"><v>Facebook</v></cell><cell r="AF2894"><v>3654128</v></cell><cell r="AG2894" t="str"><v>Facebook»Audience & Interest Targeting»1x1»Canvas»OTH»DT»DYN»AUT»W»NA»SS»NA»FBCTCcanvaspage-StartFreeCTA_FBCTCcanvaspage-BuyNowCTA</v></cell><cell r="AH2894"><v>224639151</v></cell><cell r="AI2894" t="str"><v>AzurePlatform_FBCTCcanvaspage-StartFreeCTA-Img2_AUS_1080x143 _SOC_Plat_English_NA_Standard_NA_NA_T2_1</v></cell><cell r="AJ2894"><v>103316829</v></cell></row><row r="2895"><cell r="C2895" t="str"><v>43302Facebook»Audience & Interest Targeting»1x1»TextLink»OTH»DT»DYN»AUT»W»NA»SS»NA»Free Account Refresh- 12 months ChE</v></cell><cell r="D2895" t="str"><v>43302224160783</v></cell><cell r="E2895" t="str"><v>43302103051614hs ChE</v></cell><cell r="F2895" t="str"><v>DCM</v></cell></row><row r="2895"><cell r="K2895" t="str"><v>July</v></cell><cell r="L2895"><v>43302</v></cell><cell r="M2895" t="str"><v>Tier 1</v></cell><cell r="N2895" t="str"><v>APAC</v></cell><cell r="O2895" t="str"><v>Australia</v></cell><cell r="P2895" t="str"><v>Trial</v></cell><cell r="Q2895" t="str"><v>Social</v></cell><cell r="R2895" t="str"><v>Azure</v></cell><cell r="S2895" t="str"><v>Apps & Infra</v></cell><cell r="T2895" t="str"><v>Developers & ITI's</v></cell><cell r="U2895" t="str"><v>Audience & Interest Targeting</v></cell><cell r="V2895" t="str"><v>Audience Targeting</v></cell><cell r="W2895" t="str"><v>Other</v></cell><cell r="X2895" t="str"><v>1x1</v></cell></row><row r="2895"><cell r="AA2895"><v>43302</v></cell><cell r="AB2895" t="str"><v>AUS_gaPMG_AZR_AZR_Q1_19_Trial-Social</v></cell><cell r="AC2895"><v>21358568</v></cell><cell r="AD2895"><v>720191</v></cell><cell r="AE2895" t="str"><v>Facebook</v></cell><cell r="AF2895"><v>3654128</v></cell><cell r="AG2895" t="str"><v>Facebook»Audience & Interest Targeting»1x1»TextLink»OTH»DT»DYN»AUT»W»NA»SS»NA»Free Account Refresh- 12 months ChE</v></cell><cell r="AH2895"><v>224160783</v></cell><cell r="AI2895" t="str"><v>AzurePlatform_FreeAcctAppsFACEBOOK12monthsChE_AUS_1200x628_SOC_PLAT_EN_Trial_Standard_NA_SNU_T5_1</v></cell><cell r="AJ2895"><v>103051614</v></cell></row><row r="2896"><cell r="C2896" t="str"><v>43302Facebook»Audience & Interest Targeting»1x1»TextLink»OTH»DT»DYN»AUT»W»NA»SS»NA»Free Account Refresh- Device ChB</v></cell><cell r="D2896" t="str"><v>43302224160777</v></cell><cell r="E2896" t="str"><v>43302103048479ce ChB</v></cell><cell r="F2896" t="str"><v>DCM</v></cell></row><row r="2896"><cell r="K2896" t="str"><v>July</v></cell><cell r="L2896"><v>43302</v></cell><cell r="M2896" t="str"><v>Tier 1</v></cell><cell r="N2896" t="str"><v>APAC</v></cell><cell r="O2896" t="str"><v>Australia</v></cell><cell r="P2896" t="str"><v>Trial</v></cell><cell r="Q2896" t="str"><v>Social</v></cell><cell r="R2896" t="str"><v>Azure</v></cell><cell r="S2896" t="str"><v>Apps & Infra</v></cell><cell r="T2896" t="str"><v>Developers & ITI's</v></cell><cell r="U2896" t="str"><v>Audience & Interest Targeting</v></cell><cell r="V2896" t="str"><v>Audience Targeting</v></cell><cell r="W2896" t="str"><v>Other</v></cell><cell r="X2896" t="str"><v>1x1</v></cell></row><row r="2896"><cell r="AA2896"><v>43302</v></cell><cell r="AB2896" t="str"><v>AUS_gaPMG_AZR_AZR_Q1_19_Trial-Social</v></cell><cell r="AC2896"><v>21358568</v></cell><cell r="AD2896"><v>720191</v></cell><cell r="AE2896" t="str"><v>Facebook</v></cell><cell r="AF2896"><v>3654128</v></cell><cell r="AG2896" t="str"><v>Facebook»Audience & Interest Targeting»1x1»TextLink»OTH»DT»DYN»AUT»W»NA»SS»NA»Free Account Refresh- Device ChB</v></cell><cell r="AH2896"><v>224160777</v></cell><cell r="AI2896" t="str"><v>AzurePlatform_FreeAcctAppsFACEBOOKDeviceChB_AUS_1200x628_SOC_PLAT_EN_Trial_Standard_NA_SNU_T2_1</v></cell><cell r="AJ2896"><v>103048479</v></cell></row><row r="2897"><cell r="C2897" t="str"><v>43302Facebook»Audience & Interest Targeting»1x1»TextLink»OTH»DT»DYN»AUT»W»NA»SS»NA»Free Account Refresh- Illustration ChC</v></cell><cell r="D2897" t="str"><v>43302224160774</v></cell><cell r="E2897" t="str"><v>43302103186910on ChC</v></cell><cell r="F2897" t="str"><v>DCM</v></cell></row><row r="2897"><cell r="K2897" t="str"><v>July</v></cell><cell r="L2897"><v>43302</v></cell><cell r="M2897" t="str"><v>Tier 1</v></cell><cell r="N2897" t="str"><v>APAC</v></cell><cell r="O2897" t="str"><v>Australia</v></cell><cell r="P2897" t="str"><v>Trial</v></cell><cell r="Q2897" t="str"><v>Social</v></cell><cell r="R2897" t="str"><v>Azure</v></cell><cell r="S2897" t="str"><v>Apps & Infra</v></cell><cell r="T2897" t="str"><v>Developers & ITI's</v></cell><cell r="U2897" t="str"><v>Audience & Interest Targeting</v></cell><cell r="V2897" t="str"><v>Audience Targeting</v></cell><cell r="W2897" t="str"><v>Other</v></cell><cell r="X2897" t="str"><v>1x1</v></cell></row><row r="2897"><cell r="AA2897"><v>43302</v></cell><cell r="AB2897" t="str"><v>AUS_gaPMG_AZR_AZR_Q1_19_Trial-Social</v></cell><cell r="AC2897"><v>21358568</v></cell><cell r="AD2897"><v>720191</v></cell><cell r="AE2897" t="str"><v>Facebook</v></cell><cell r="AF2897"><v>3654128</v></cell><cell r="AG2897" t="str"><v>Facebook»Audience & Interest Targeting»1x1»TextLink»OTH»DT»DYN»AUT»W»NA»SS»NA»Free Account Refresh- Illustration ChC</v></cell><cell r="AH2897"><v>224160774</v></cell><cell r="AI2897" t="str"><v>AzurePlatform_FreeAcctAppsFACEBOOKIllustrationChC_AUS_1200x628_SOC_PLAT_EN_Trial_Standard_NA_SNU_T3_1</v></cell><cell r="AJ2897"><v>103186910</v></cell></row><row r="2898"><cell r="C2898" t="str"><v>43302Facebook»Audience & Interest Targeting»1x1»TextLink»OTH»DT»DYN»AUT»W»NA»SS»NA»Free Account Refresh- Lifestyle ChA</v></cell><cell r="D2898" t="str"><v>43302224160771</v></cell><cell r="E2898" t="str"><v>43302103048488le ChA</v></cell><cell r="F2898" t="str"><v>DCM</v></cell></row><row r="2898"><cell r="K2898" t="str"><v>July</v></cell><cell r="L2898"><v>43302</v></cell><cell r="M2898" t="str"><v>Tier 1</v></cell><cell r="N2898" t="str"><v>APAC</v></cell><cell r="O2898" t="str"><v>Australia</v></cell><cell r="P2898" t="str"><v>Trial</v></cell><cell r="Q2898" t="str"><v>Social</v></cell><cell r="R2898" t="str"><v>Azure</v></cell><cell r="S2898" t="str"><v>Apps & Infra</v></cell><cell r="T2898" t="str"><v>Developers & ITI's</v></cell><cell r="U2898" t="str"><v>Audience & Interest Targeting</v></cell><cell r="V2898" t="str"><v>Audience Targeting</v></cell><cell r="W2898" t="str"><v>Other</v></cell><cell r="X2898" t="str"><v>1x1</v></cell></row><row r="2898"><cell r="AA2898"><v>43302</v></cell><cell r="AB2898" t="str"><v>AUS_gaPMG_AZR_AZR_Q1_19_Trial-Social</v></cell><cell r="AC2898"><v>21358568</v></cell><cell r="AD2898"><v>720191</v></cell><cell r="AE2898" t="str"><v>Facebook</v></cell><cell r="AF2898"><v>3654128</v></cell><cell r="AG2898" t="str"><v>Facebook»Audience & Interest Targeting»1x1»TextLink»OTH»DT»DYN»AUT»W»NA»SS»NA»Free Account Refresh- Lifestyle ChA</v></cell><cell r="AH2898"><v>224160771</v></cell><cell r="AI2898" t="str"><v>AzurePlatform_FreeAcctAppsFACEBOOKLifestyleChA_AUS_1200x628_SOC_PLAT_EN_Trial_Standard_NA_SNU_T1_1</v></cell><cell r="AJ2898"><v>103048488</v></cell></row><row r="2899"><cell r="C2899" t="str"><v>43302Facebook»AZR»1x1»NA»EGV»ALL»DYN»AUT»D»All»SS»NA»Free Acc CTC - T2 - EN</v></cell><cell r="D2899" t="str"><v>43302223691840</v></cell><cell r="E2899" t="str"><v>433021029029502 - EN</v></cell><cell r="F2899" t="str"><v>DCM</v></cell><cell r="G2899" t="str"><v>https://signup.azure.com/</v></cell></row><row r="2899"><cell r="K2899" t="str"><v>July</v></cell><cell r="L2899"><v>43302</v></cell><cell r="M2899" t="str"><v>Tier 1</v></cell><cell r="N2899" t="str"><v>North America</v></cell><cell r="O2899" t="str"><v>Canada</v></cell><cell r="P2899" t="str"><v>Trial</v></cell><cell r="Q2899" t="str"><v>Social</v></cell><cell r="R2899" t="str"><v>Azure</v></cell><cell r="S2899" t="str"><v>Apps & Infra</v></cell><cell r="T2899" t="str"><v>Developers & ITI's</v></cell><cell r="U2899" t="str"><v>AZR</v></cell><cell r="V2899" t="str"><v>Audience Targeting</v></cell><cell r="W2899" t="str"><v>Engagement Video</v></cell><cell r="X2899" t="str"><v>1x1</v></cell></row><row r="2899"><cell r="AA2899"><v>43302</v></cell><cell r="AB2899" t="str"><v>CAN_gaPMG_AZR_AZR_Q1_19_Trial-Social</v></cell><cell r="AC2899"><v>21337220</v></cell><cell r="AD2899"><v>720192</v></cell><cell r="AE2899" t="str"><v>Facebook</v></cell><cell r="AF2899"><v>3654128</v></cell><cell r="AG2899" t="str"><v>Facebook»AZR»1x1»NA»EGV»ALL»DYN»AUT»D»All»SS»NA»Free Acc CTC - T2 - EN</v></cell><cell r="AH2899"><v>223691840</v></cell><cell r="AI2899" t="str"><v>AzurePlatform_FBCTCBrandinMotion_CAN_12s_ISV_PLAT_English_Trial_Standard_STAN_TN_T2_1</v></cell><cell r="AJ2899"><v>102902950</v></cell></row><row r="2900"><cell r="C2900" t="str"><v>43302Facebook»AZR»1x1»NA»EGV»ALL»DYN»AUT»D»All»SS»NA»Free Acc CTC - T4 - EN</v></cell><cell r="D2900" t="str"><v>43302223691837</v></cell><cell r="E2900" t="str"><v>433021030533144 - EN</v></cell><cell r="F2900" t="str"><v>DCM</v></cell><cell r="G2900" t="str"><v>https://signup.azure.com/</v></cell></row><row r="2900"><cell r="K2900" t="str"><v>July</v></cell><cell r="L2900"><v>43302</v></cell><cell r="M2900" t="str"><v>Tier 1</v></cell><cell r="N2900" t="str"><v>North America</v></cell><cell r="O2900" t="str"><v>Canada</v></cell><cell r="P2900" t="str"><v>Trial</v></cell><cell r="Q2900" t="str"><v>Social</v></cell><cell r="R2900" t="str"><v>Azure</v></cell><cell r="S2900" t="str"><v>Apps & Infra</v></cell><cell r="T2900" t="str"><v>Developers & ITI's</v></cell><cell r="U2900" t="str"><v>AZR</v></cell><cell r="V2900" t="str"><v>Audience Targeting</v></cell><cell r="W2900" t="str"><v>Engagement Video</v></cell><cell r="X2900" t="str"><v>1x1</v></cell></row><row r="2900"><cell r="AA2900"><v>43302</v></cell><cell r="AB2900" t="str"><v>CAN_gaPMG_AZR_AZR_Q1_19_Trial-Social</v></cell><cell r="AC2900"><v>21337220</v></cell><cell r="AD2900"><v>720192</v></cell><cell r="AE2900" t="str"><v>Facebook</v></cell><cell r="AF2900"><v>3654128</v></cell><cell r="AG2900" t="str"><v>Facebook»AZR»1x1»NA»EGV»ALL»DYN»AUT»D»All»SS»NA»Free Acc CTC - T4 - EN</v></cell><cell r="AH2900"><v>223691837</v></cell><cell r="AI2900" t="str"><v>AzurePlatform_FBCTCBenefit2inMotion_CAN_14s_ISV_PLAT_English_Trial_Standard_STAN_TN_T4_1</v></cell><cell r="AJ2900"><v>103053314</v></cell></row><row r="2901"><cell r="C2901" t="str"><v>43302Facebook»AZR»1x1»NA»EGV»ALL»DYN»AUT»D»All»SS»NA»Free Acc CTC - T4 - FR</v></cell><cell r="D2901" t="str"><v>43302223691795</v></cell><cell r="E2901" t="str"><v>433021029006884 - FR</v></cell><cell r="F2901" t="str"><v>DCM</v></cell><cell r="G2901" t="str"><v>https://signup.azure.com/</v></cell></row><row r="2901"><cell r="K2901" t="str"><v>July</v></cell><cell r="L2901"><v>43302</v></cell><cell r="M2901" t="str"><v>Tier 1</v></cell><cell r="N2901" t="str"><v>North America</v></cell><cell r="O2901" t="str"><v>Canada</v></cell><cell r="P2901" t="str"><v>Trial</v></cell><cell r="Q2901" t="str"><v>Social</v></cell><cell r="R2901" t="str"><v>Azure</v></cell><cell r="S2901" t="str"><v>Apps & Infra</v></cell><cell r="T2901" t="str"><v>Developers & ITI's</v></cell><cell r="U2901" t="str"><v>AZR</v></cell><cell r="V2901" t="str"><v>Audience Targeting</v></cell><cell r="W2901" t="str"><v>Engagement Video</v></cell><cell r="X2901" t="str"><v>1x1</v></cell></row><row r="2901"><cell r="AA2901"><v>43302</v></cell><cell r="AB2901" t="str"><v>CAN_gaPMG_AZR_AZR_Q1_19_Trial-Social</v></cell><cell r="AC2901"><v>21337220</v></cell><cell r="AD2901"><v>720192</v></cell><cell r="AE2901" t="str"><v>Facebook</v></cell><cell r="AF2901"><v>3654128</v></cell><cell r="AG2901" t="str"><v>Facebook»AZR»1x1»NA»EGV»ALL»DYN»AUT»D»All»SS»NA»Free Acc CTC - T4 - FR</v></cell><cell r="AH2901"><v>223691795</v></cell><cell r="AI2901" t="str"><v>AzurePlatform_FBCTCBenefit2inMotion_CAN_14s_ISV_PLAT_FR_Trial_Standard_STAN_TN_T4_1</v></cell><cell r="AJ2901"><v>102900688</v></cell></row><row r="2902"><cell r="C2902" t="str"><v>43302Facebook»AZR»1x1»NA»SOC»ALL»DYN»PRO»D»All»SS»NA»Canvas - Buy Now - EN</v></cell><cell r="D2902" t="str"><v>43302225322327</v></cell><cell r="E2902" t="str"><v>43302103902287w - EN</v></cell><cell r="F2902" t="str"><v>DCM</v></cell><cell r="G2902" t="str"><v>https://azure.microsoft.com/en-ca/pricing/purchase-options/</v></cell></row><row r="2902"><cell r="K2902" t="str"><v>July</v></cell><cell r="L2902"><v>43302</v></cell><cell r="M2902" t="str"><v>Tier 1</v></cell><cell r="N2902" t="str"><v>North America</v></cell><cell r="O2902" t="str"><v>Canada</v></cell><cell r="P2902" t="str"><v>Trial</v></cell><cell r="Q2902" t="str"><v>Social</v></cell><cell r="R2902" t="str"><v>Azure</v></cell><cell r="S2902" t="str"><v>Apps & Infra</v></cell><cell r="T2902" t="str"><v>Developers & ITI's</v></cell><cell r="U2902" t="str"><v>AZR</v></cell><cell r="V2902" t="str"><v>Prospecting</v></cell><cell r="W2902" t="str"><v>Social</v></cell><cell r="X2902" t="str"><v>1x1</v></cell></row><row r="2902"><cell r="AA2902"><v>43302</v></cell><cell r="AB2902" t="str"><v>CAN_gaPMG_AZR_AZR_Q1_19_Trial-Social</v></cell><cell r="AC2902"><v>21337220</v></cell><cell r="AD2902"><v>720192</v></cell><cell r="AE2902" t="str"><v>Facebook</v></cell><cell r="AF2902"><v>3654128</v></cell><cell r="AG2902" t="str"><v>Facebook»AZR»1x1»NA»SOC»ALL»DYN»PRO»D»All»SS»NA»Canvas - Buy Now - EN</v></cell><cell r="AH2902"><v>225322327</v></cell><cell r="AI2902" t="str"><v>AzurePlatform_FBCTCcanvaspage-BuyNowCTA-Img3_CAN_1080x162_SOC_Plat_English_NA_Standard_NA_BN_T3_1</v></cell><cell r="AJ2902"><v>103902287</v></cell></row><row r="2903"><cell r="C2903" t="str"><v>43302Facebook»AZR»1x1»NA»SOC»ALL»DYN»PRO»D»All»SS»NA»Canvas - Start Free - EN</v></cell><cell r="D2903" t="str"><v>43302225252365</v></cell><cell r="E2903" t="str"><v>43302103807590e - EN</v></cell><cell r="F2903" t="str"><v>DCM</v></cell><cell r="G2903" t="str"><v>https://signup.azure.com/signup?offer=ms-azr-0044p&appId=102&ref=paidmedia-social-fb&redirectURL=https%3a%2f%2fazure.microsoft.com%2fen-ca%2fget-started%2fwelcome-to-azure%2f&l=en-ca&correlationId=ead86c34-1f10-49dd-a72b-6918462a2cbf</v></cell></row><row r="2903"><cell r="K2903" t="str"><v>July</v></cell><cell r="L2903"><v>43302</v></cell><cell r="M2903" t="str"><v>Tier 1</v></cell><cell r="N2903" t="str"><v>North America</v></cell><cell r="O2903" t="str"><v>Canada</v></cell><cell r="P2903" t="str"><v>Trial</v></cell><cell r="Q2903" t="str"><v>Social</v></cell><cell r="R2903" t="str"><v>Azure</v></cell><cell r="S2903" t="str"><v>Apps & Infra</v></cell><cell r="T2903" t="str"><v>Developers & ITI's</v></cell><cell r="U2903" t="str"><v>AZR</v></cell><cell r="V2903" t="str"><v>Prospecting</v></cell><cell r="W2903" t="str"><v>Social</v></cell><cell r="X2903" t="str"><v>1x1</v></cell></row><row r="2903"><cell r="AA2903"><v>43302</v></cell><cell r="AB2903" t="str"><v>CAN_gaPMG_AZR_AZR_Q1_19_Trial-Social</v></cell><cell r="AC2903"><v>21337220</v></cell><cell r="AD2903"><v>720192</v></cell><cell r="AE2903" t="str"><v>Facebook</v></cell><cell r="AF2903"><v>3654128</v></cell><cell r="AG2903" t="str"><v>Facebook»AZR»1x1»NA»SOC»ALL»DYN»PRO»D»All»SS»NA»Canvas - Start Free - EN</v></cell><cell r="AH2903"><v>225252365</v></cell><cell r="AI2903" t="str"><v>AzurePlatform_FBCTCcanvaspage-StartFreeCTA-Img2_CAN_1080x143 _SOC_Plat_English_NA_Standard_NA_NA_T2_1</v></cell><cell r="AJ2903"><v>103807590</v></cell></row><row r="2904"><cell r="C2904" t="str"><v>43302Facebook»AZR»1x1»NA»SOC»ALL»DYN»PRO»D»All»SS»NA»Canvas - Start Free - FR</v></cell><cell r="D2904" t="str"><v>43302225525936</v></cell><cell r="E2904" t="str"><v>43302103902551e - FR</v></cell><cell r="F2904" t="str"><v>DCM</v></cell><cell r="G2904" t="str"><v>https://signup.azure.com/signup?offer=ms-azr-0044p&appId=102&ref=paidmedia-social-fb&redirectURL=https%3a%2f%2fazure.microsoft.com%2ffr-ca%2fget-started%2fwelcome-to-azure%2f&l=fr-ca&correlationId=ead86c34-1f10-49dd-a72b-6918462a2cbf</v></cell></row><row r="2904"><cell r="K2904" t="str"><v>July</v></cell><cell r="L2904"><v>43302</v></cell><cell r="M2904" t="str"><v>Tier 1</v></cell><cell r="N2904" t="str"><v>North America</v></cell><cell r="O2904" t="str"><v>Canada</v></cell><cell r="P2904" t="str"><v>Trial</v></cell><cell r="Q2904" t="str"><v>Social</v></cell><cell r="R2904" t="str"><v>Azure</v></cell><cell r="S2904" t="str"><v>Apps & Infra</v></cell><cell r="T2904" t="str"><v>Developers & ITI's</v></cell><cell r="U2904" t="str"><v>AZR</v></cell><cell r="V2904" t="str"><v>Prospecting</v></cell><cell r="W2904" t="str"><v>Social</v></cell><cell r="X2904" t="str"><v>1x1</v></cell></row><row r="2904"><cell r="AA2904"><v>43302</v></cell><cell r="AB2904" t="str"><v>CAN_gaPMG_AZR_AZR_Q1_19_Trial-Social</v></cell><cell r="AC2904"><v>21337220</v></cell><cell r="AD2904"><v>720192</v></cell><cell r="AE2904" t="str"><v>Facebook</v></cell><cell r="AF2904"><v>3654128</v></cell><cell r="AG2904" t="str"><v>Facebook»AZR»1x1»NA»SOC»ALL»DYN»PRO»D»All»SS»NA»Canvas - Start Free - FR</v></cell><cell r="AH2904"><v>225525936</v></cell><cell r="AI2904" t="str"><v>AzurePlatform_FBCTCcanvaspage-StartFreeCTA-Img2_CAN_1080x143 _SOC_Plat_French_NA_Standard_NA_NA_T2_1</v></cell><cell r="AJ2904"><v>103902551</v></cell></row><row r="2905"><cell r="C2905" t="str"><v>43302Facebook»AZR»1x1»SocialBan»NA»ALL»DYN»AUT»D»All»SS»NA»Free Acc Refresh - T2 - EN</v></cell><cell r="D2905" t="str"><v>43302223691810</v></cell><cell r="E2905" t="str"><v>433021030587112 - EN</v></cell><cell r="F2905" t="str"><v>DCM</v></cell><cell r="G2905" t="str"><v>https://azure.microsoft.com/en-CA/free/search/</v></cell></row><row r="2905"><cell r="K2905" t="str"><v>July</v></cell><cell r="L2905"><v>43302</v></cell><cell r="M2905" t="str"><v>Tier 1</v></cell><cell r="N2905" t="str"><v>North America</v></cell><cell r="O2905" t="str"><v>Canada</v></cell><cell r="P2905" t="str"><v>Trial</v></cell><cell r="Q2905" t="str"><v>Social</v></cell><cell r="R2905" t="str"><v>Azure</v></cell><cell r="S2905" t="str"><v>Apps & Infra</v></cell><cell r="T2905" t="str"><v>Developers & ITI's</v></cell><cell r="U2905" t="str"><v>AZR</v></cell><cell r="V2905" t="str"><v>Audience Targeting</v></cell><cell r="W2905" t="str"><v>NotApplicable</v></cell><cell r="X2905" t="str"><v>1x1</v></cell></row><row r="2905"><cell r="AA2905"><v>43302</v></cell><cell r="AB2905" t="str"><v>CAN_gaPMG_AZR_AZR_Q1_19_Trial-Social</v></cell><cell r="AC2905"><v>21337220</v></cell><cell r="AD2905"><v>720192</v></cell><cell r="AE2905" t="str"><v>Facebook</v></cell><cell r="AF2905"><v>3654128</v></cell><cell r="AG2905" t="str"><v>Facebook»AZR»1x1»SocialBan»NA»ALL»DYN»AUT»D»All»SS»NA»Free Acc Refresh - T2 - EN</v></cell><cell r="AH2905"><v>223691810</v></cell><cell r="AI2905" t="str"><v>AzurePlatform_FreeAcctAppsFACEBOOKDeviceChB_CAN_1200x628_SOC_PLAT_EN_Trial_Standard_NA_SU_T2_1.png</v></cell><cell r="AJ2905"><v>103058711</v></cell></row><row r="2906"><cell r="C2906" t="str"><v>43302Facebook»AZR»1x1»SocialBan»NA»ALL»DYN»AUT»D»All»SS»NA»Free Acc Refresh - T2 - FR</v></cell><cell r="D2906" t="str"><v>43302223691768</v></cell><cell r="E2906" t="str"><v>433021029029712 - FR</v></cell><cell r="F2906" t="str"><v>DCM</v></cell><cell r="G2906" t="str"><v>https://azure.microsoft.com/fr-ca/free/search/</v></cell></row><row r="2906"><cell r="K2906" t="str"><v>July</v></cell><cell r="L2906"><v>43302</v></cell><cell r="M2906" t="str"><v>Tier 1</v></cell><cell r="N2906" t="str"><v>North America</v></cell><cell r="O2906" t="str"><v>Canada</v></cell><cell r="P2906" t="str"><v>Trial</v></cell><cell r="Q2906" t="str"><v>Social</v></cell><cell r="R2906" t="str"><v>Azure</v></cell><cell r="S2906" t="str"><v>Apps & Infra</v></cell><cell r="T2906" t="str"><v>Developers & ITI's</v></cell><cell r="U2906" t="str"><v>AZR</v></cell><cell r="V2906" t="str"><v>Audience Targeting</v></cell><cell r="W2906" t="str"><v>NotApplicable</v></cell><cell r="X2906" t="str"><v>1x1</v></cell></row><row r="2906"><cell r="AA2906"><v>43302</v></cell><cell r="AB2906" t="str"><v>CAN_gaPMG_AZR_AZR_Q1_19_Trial-Social</v></cell><cell r="AC2906"><v>21337220</v></cell><cell r="AD2906"><v>720192</v></cell><cell r="AE2906" t="str"><v>Facebook</v></cell><cell r="AF2906"><v>3654128</v></cell><cell r="AG2906" t="str"><v>Facebook»AZR»1x1»SocialBan»NA»ALL»DYN»AUT»D»All»SS»NA»Free Acc Refresh - T2 - FR</v></cell><cell r="AH2906"><v>223691768</v></cell><cell r="AI2906" t="str"><v>AzurePlatform_FreeAcctAppsFACEBOOKDeviceChB_CAN_1200x628_SOC_PLAT_FR_Trial_Standard_NA_SU_T2_1.png</v></cell><cell r="AJ2906"><v>102902971</v></cell></row><row r="2907"><cell r="C2907" t="str"><v>43302Facebook»AZR»1x1»SocialBan»NA»ALL»DYN»AUT»D»All»SS»NA»Free Acc Refresh - T3 - EN</v></cell><cell r="D2907" t="str"><v>43302223691807</v></cell><cell r="E2907" t="str"><v>433021029006853 - EN</v></cell><cell r="F2907" t="str"><v>DCM</v></cell><cell r="G2907" t="str"><v>https://azure.microsoft.com/en-CA/free/search/</v></cell></row><row r="2907"><cell r="K2907" t="str"><v>July</v></cell><cell r="L2907"><v>43302</v></cell><cell r="M2907" t="str"><v>Tier 1</v></cell><cell r="N2907" t="str"><v>North America</v></cell><cell r="O2907" t="str"><v>Canada</v></cell><cell r="P2907" t="str"><v>Trial</v></cell><cell r="Q2907" t="str"><v>Social</v></cell><cell r="R2907" t="str"><v>Azure</v></cell><cell r="S2907" t="str"><v>Apps & Infra</v></cell><cell r="T2907" t="str"><v>Developers & ITI's</v></cell><cell r="U2907" t="str"><v>AZR</v></cell><cell r="V2907" t="str"><v>Audience Targeting</v></cell><cell r="W2907" t="str"><v>NotApplicable</v></cell><cell r="X2907" t="str"><v>1x1</v></cell></row><row r="2907"><cell r="AA2907"><v>43302</v></cell><cell r="AB2907" t="str"><v>CAN_gaPMG_AZR_AZR_Q1_19_Trial-Social</v></cell><cell r="AC2907"><v>21337220</v></cell><cell r="AD2907"><v>720192</v></cell><cell r="AE2907" t="str"><v>Facebook</v></cell><cell r="AF2907"><v>3654128</v></cell><cell r="AG2907" t="str"><v>Facebook»AZR»1x1»SocialBan»NA»ALL»DYN»AUT»D»All»SS»NA»Free Acc Refresh - T3 - EN</v></cell><cell r="AH2907"><v>223691807</v></cell><cell r="AI2907" t="str"><v>AzurePlatform_FreeAcctAppsFACEBOOKIllustrationChC_CAN_1200x628_SOC_PLAT_EN_Trial_Standard_NA_SU_T3_1.png</v></cell><cell r="AJ2907"><v>102900685</v></cell></row><row r="2908"><cell r="C2908" t="str"><v>43302Facebook»AZR»1x1»SocialBan»NA»ALL»DYN»AUT»D»All»SS»NA»Free Acc Refresh - T5 - EN</v></cell><cell r="D2908" t="str"><v>43302223691816</v></cell><cell r="E2908" t="str"><v>433021029163415 - EN</v></cell><cell r="F2908" t="str"><v>DCM</v></cell><cell r="G2908" t="str"><v>https://azure.microsoft.com/en-CA/free/search/</v></cell></row><row r="2908"><cell r="K2908" t="str"><v>July</v></cell><cell r="L2908"><v>43302</v></cell><cell r="M2908" t="str"><v>Tier 1</v></cell><cell r="N2908" t="str"><v>North America</v></cell><cell r="O2908" t="str"><v>Canada</v></cell><cell r="P2908" t="str"><v>Trial</v></cell><cell r="Q2908" t="str"><v>Social</v></cell><cell r="R2908" t="str"><v>Azure</v></cell><cell r="S2908" t="str"><v>Apps & Infra</v></cell><cell r="T2908" t="str"><v>Developers & ITI's</v></cell><cell r="U2908" t="str"><v>AZR</v></cell><cell r="V2908" t="str"><v>Audience Targeting</v></cell><cell r="W2908" t="str"><v>NotApplicable</v></cell><cell r="X2908" t="str"><v>1x1</v></cell></row><row r="2908"><cell r="AA2908"><v>43302</v></cell><cell r="AB2908" t="str"><v>CAN_gaPMG_AZR_AZR_Q1_19_Trial-Social</v></cell><cell r="AC2908"><v>21337220</v></cell><cell r="AD2908"><v>720192</v></cell><cell r="AE2908" t="str"><v>Facebook</v></cell><cell r="AF2908"><v>3654128</v></cell><cell r="AG2908" t="str"><v>Facebook»AZR»1x1»SocialBan»NA»ALL»DYN»AUT»D»All»SS»NA»Free Acc Refresh - T5 - EN</v></cell><cell r="AH2908"><v>223691816</v></cell><cell r="AI2908" t="str"><v>AzurePlatform_FreeAcctAppsFACEBOOK12monthsChE_CAN_1200x628_SOC_PLAT_EN_Trial_Standard_NA_SU_T5_1.png</v></cell><cell r="AJ2908"><v>102916341</v></cell></row><row r="2909"><cell r="C2909" t="str"><v>43302Facebook»AZR»1x1»SocialBan»NA»ALL»DYN»RT»D»All»SS»NA» Free Account Retargeting OSS - T1 - EN</v></cell><cell r="D2909" t="str"><v>43302223691828</v></cell><cell r="E2909" t="str"><v>433021029029561 - EN</v></cell><cell r="F2909" t="str"><v>DCM</v></cell><cell r="G2909" t="str"><v>https://azure.microsoft.com/en-ca/free/open-source/search/</v></cell></row><row r="2909"><cell r="K2909" t="str"><v>July</v></cell><cell r="L2909"><v>43302</v></cell><cell r="M2909" t="str"><v>Tier 1</v></cell><cell r="N2909" t="str"><v>North America</v></cell><cell r="O2909" t="str"><v>Canada</v></cell><cell r="P2909" t="str"><v>Trial</v></cell><cell r="Q2909" t="str"><v>Social</v></cell><cell r="R2909" t="str"><v>Azure</v></cell><cell r="S2909" t="str"><v>Apps & Infra</v></cell><cell r="T2909" t="str"><v>Developers & ITI's</v></cell><cell r="U2909" t="str"><v>AZR</v></cell><cell r="V2909" t="str"><v>Retargeting</v></cell><cell r="W2909" t="str"><v>NotApplicable</v></cell><cell r="X2909" t="str"><v>1x1</v></cell></row><row r="2909"><cell r="AA2909"><v>43302</v></cell><cell r="AB2909" t="str"><v>CAN_gaPMG_AZR_AZR_Q1_19_Trial-Social</v></cell><cell r="AC2909"><v>21337220</v></cell><cell r="AD2909"><v>720192</v></cell><cell r="AE2909" t="str"><v>Facebook</v></cell><cell r="AF2909"><v>3654128</v></cell><cell r="AG2909" t="str"><v>Facebook»AZR»1x1»SocialBan»NA»ALL»DYN»RT»D»All»SS»NA» Free Account Retargeting OSS - T1 - EN</v></cell><cell r="AH2909"><v>223691828</v></cell><cell r="AI2909" t="str"><v>AzurePlatform_FreeAcctRetargetingOSSFB-Text-ChF_CAN_1200x628_SOC_Plat_EN_Free Account_Standard_NA_SU_T1_1</v></cell><cell r="AJ2909"><v>102902956</v></cell></row><row r="2910"><cell r="C2910" t="str"><v>43302Facebook»AZR»1x1»SocialBan»NA»ALL»DYN»RT»D»All»SS»NA»Free Account Retargeting Generic - T2 - EN</v></cell><cell r="D2910" t="str"><v>43302223691834</v></cell><cell r="E2910" t="str"><v>433021029029532 - EN</v></cell><cell r="F2910" t="str"><v>DCM</v></cell><cell r="G2910" t="str"><v>https://azure.microsoft.com/en-CA/free/search/</v></cell></row><row r="2910"><cell r="K2910" t="str"><v>July</v></cell><cell r="L2910"><v>43302</v></cell><cell r="M2910" t="str"><v>Tier 1</v></cell><cell r="N2910" t="str"><v>North America</v></cell><cell r="O2910" t="str"><v>Canada</v></cell><cell r="P2910" t="str"><v>Trial</v></cell><cell r="Q2910" t="str"><v>Social</v></cell><cell r="R2910" t="str"><v>Azure</v></cell><cell r="S2910" t="str"><v>Apps & Infra</v></cell><cell r="T2910" t="str"><v>Developers & ITI's</v></cell><cell r="U2910" t="str"><v>AZR</v></cell><cell r="V2910" t="str"><v>Retargeting</v></cell><cell r="W2910" t="str"><v>NotApplicable</v></cell><cell r="X2910" t="str"><v>1x1</v></cell></row><row r="2910"><cell r="AA2910"><v>43302</v></cell><cell r="AB2910" t="str"><v>CAN_gaPMG_AZR_AZR_Q1_19_Trial-Social</v></cell><cell r="AC2910"><v>21337220</v></cell><cell r="AD2910"><v>720192</v></cell><cell r="AE2910" t="str"><v>Facebook</v></cell><cell r="AF2910"><v>3654128</v></cell><cell r="AG2910" t="str"><v>Facebook»AZR»1x1»SocialBan»NA»ALL»DYN»RT»D»All»SS»NA»Free Account Retargeting Generic - T2 - EN</v></cell><cell r="AH2910"><v>223691834</v></cell><cell r="AI2910" t="str"><v>AzurePlatform_FreeAcctRetargetingFB-GlobalAlt-ChB_CAN_1200x628_SOC_Plat_EN_Free Account_Standard_NA_SU_T2_1</v></cell><cell r="AJ2910"><v>102902953</v></cell></row><row r="2911"><cell r="C2911" t="str"><v>43302Facebook»AZR»1x1»SocialBan»NA»ALL»DYN»RT»D»All»SS»NA»Free Account Retargeting Generic - T3 - FR</v></cell><cell r="D2911" t="str"><v>43302223691777</v></cell><cell r="E2911" t="str"><v>433021029006973 - FR</v></cell><cell r="F2911" t="str"><v>DCM</v></cell><cell r="G2911" t="str"><v>https://azure.microsoft.com/fr-ca/free/search/</v></cell></row><row r="2911"><cell r="K2911" t="str"><v>July</v></cell><cell r="L2911"><v>43302</v></cell><cell r="M2911" t="str"><v>Tier 1</v></cell><cell r="N2911" t="str"><v>North America</v></cell><cell r="O2911" t="str"><v>Canada</v></cell><cell r="P2911" t="str"><v>Trial</v></cell><cell r="Q2911" t="str"><v>Social</v></cell><cell r="R2911" t="str"><v>Azure</v></cell><cell r="S2911" t="str"><v>Apps & Infra</v></cell><cell r="T2911" t="str"><v>Developers & ITI's</v></cell><cell r="U2911" t="str"><v>AZR</v></cell><cell r="V2911" t="str"><v>Retargeting</v></cell><cell r="W2911" t="str"><v>NotApplicable</v></cell><cell r="X2911" t="str"><v>1x1</v></cell></row><row r="2911"><cell r="AA2911"><v>43302</v></cell><cell r="AB2911" t="str"><v>CAN_gaPMG_AZR_AZR_Q1_19_Trial-Social</v></cell><cell r="AC2911"><v>21337220</v></cell><cell r="AD2911"><v>720192</v></cell><cell r="AE2911" t="str"><v>Facebook</v></cell><cell r="AF2911"><v>3654128</v></cell><cell r="AG2911" t="str"><v>Facebook»AZR»1x1»SocialBan»NA»ALL»DYN»RT»D»All»SS»NA»Free Account Retargeting Generic - T3 - FR</v></cell><cell r="AH2911"><v>223691777</v></cell><cell r="AI2911" t="str"><v>AzurePlatform_FreeAcctRetargetingFB-Animated-ChC_CAN_1200x628_SOC_Plat_FR_Free Account_Standard_ANI_SU_T3_1</v></cell><cell r="AJ2911"><v>102900697</v></cell></row><row r="2912"><cell r="C2912" t="str"><v>43302Facebook»AZR»1x1»SocialBan»NA»ALL»DYN»RT»D»All»SS»NA»Free Account Retargeting VM - T1 - EN</v></cell><cell r="D2912" t="str"><v>43302223691825</v></cell><cell r="E2912" t="str"><v>433021029163381 - EN</v></cell><cell r="F2912" t="str"><v>DCM</v></cell><cell r="G2912" t="str"><v>https://azure.microsoft.com/en-ca/free/virtual-machines/search/</v></cell></row><row r="2912"><cell r="K2912" t="str"><v>July</v></cell><cell r="L2912"><v>43302</v></cell><cell r="M2912" t="str"><v>Tier 1</v></cell><cell r="N2912" t="str"><v>North America</v></cell><cell r="O2912" t="str"><v>Canada</v></cell><cell r="P2912" t="str"><v>Trial</v></cell><cell r="Q2912" t="str"><v>Social</v></cell><cell r="R2912" t="str"><v>Azure</v></cell><cell r="S2912" t="str"><v>Apps & Infra</v></cell><cell r="T2912" t="str"><v>Developers & ITI's</v></cell><cell r="U2912" t="str"><v>AZR</v></cell><cell r="V2912" t="str"><v>Retargeting</v></cell><cell r="W2912" t="str"><v>NotApplicable</v></cell><cell r="X2912" t="str"><v>1x1</v></cell></row><row r="2912"><cell r="AA2912"><v>43302</v></cell><cell r="AB2912" t="str"><v>CAN_gaPMG_AZR_AZR_Q1_19_Trial-Social</v></cell><cell r="AC2912"><v>21337220</v></cell><cell r="AD2912"><v>720192</v></cell><cell r="AE2912" t="str"><v>Facebook</v></cell><cell r="AF2912"><v>3654128</v></cell><cell r="AG2912" t="str"><v>Facebook»AZR»1x1»SocialBan»NA»ALL»DYN»RT»D»All»SS»NA»Free Account Retargeting VM - T1 - EN</v></cell><cell r="AH2912"><v>223691825</v></cell><cell r="AI2912" t="str"><v>AzurePlatform_FreeAcctRetargetingVMFB-750Hrs-ChD_CAN_1200x628_SOC_Plat_EN_Free Account_Standard_NA_SU_T1_1</v></cell><cell r="AJ2912"><v>102916338</v></cell></row><row r="2913"><cell r="C2913" t="str"><v>43302Facebook»DEV-ITP-AZR-FB|CanvasAds|Interesttargeting»1x1»TextLink»CAN»DT»CPM»AUT»W»NA»SS»NA»39684020-11000</v></cell><cell r="D2913" t="str"><v>43302224009494</v></cell><cell r="E2913" t="str"><v>43302103236186-11000</v></cell><cell r="F2913" t="str"><v>DCM</v></cell><cell r="G2913" t="str"><v>https://signup.azure.com/signup?offer=ms-azr-0044p&appId=102&ref=paidmedia-social-fb&redirectURL=https%3a%2f%2fazure.microsoft.com%2fde-de%2fget-started%2fwelcome-to-azure%2f&l=de-de&correlationId=ead86c34-1f10-49dd-a72b-6918462a2cbf</v></cell></row><row r="2913"><cell r="K2913" t="str"><v>July</v></cell><cell r="L2913"><v>43302</v></cell><cell r="M2913" t="str"><v>Tier 1</v></cell><cell r="N2913" t="str"><v>EMEA</v></cell><cell r="O2913" t="str"><v>Germany</v></cell><cell r="P2913" t="str"><v>Trial</v></cell><cell r="Q2913" t="str"><v>Social</v></cell><cell r="R2913" t="str"><v>Azure</v></cell><cell r="S2913" t="str"><v>Apps & Infra</v></cell><cell r="T2913" t="str"><v>Developers & ITI's</v></cell><cell r="U2913" t="str"><v>DEV-ITP-AZR-FB|CanvasAds|Interesttargeting</v></cell><cell r="V2913" t="str"><v>Audience Targeting</v></cell><cell r="W2913" t="str"><v>Canvas Ad</v></cell><cell r="X2913" t="str"><v>1x1</v></cell></row><row r="2913"><cell r="AA2913"><v>43302</v></cell><cell r="AB2913" t="str"><v>DEU_gaPMG_AZR_AZR_Q1_19_Trial-Social- 39684</v></cell><cell r="AC2913"><v>21359477</v></cell><cell r="AD2913"><v>720194</v></cell><cell r="AE2913" t="str"><v>Facebook</v></cell><cell r="AF2913"><v>3654128</v></cell><cell r="AG2913" t="str"><v>Facebook»DEV-ITP-AZR-FB|CanvasAds|Interesttargeting»1x1»TextLink»CAN»DT»CPM»AUT»W»NA»SS»NA»39684020-11000</v></cell><cell r="AH2913"><v>224009494</v></cell><cell r="AI2913" t="str"><v>AzurePlatform_FBCTCBasicMotion-StartFreeCT_DEU_10s_ISV_PLAT_DE_Trial_Standard_STAN_TN_T1_1</v></cell><cell r="AJ2913"><v>103236186</v></cell></row><row r="2914"><cell r="C2914" t="str"><v>43302Facebook»DEV-ITP-AZR-FB|CanvasAds|Interesttargeting»1x1»TextLink»CAN»DT»CPM»AUT»W»NA»SS»NA»39684020-11000</v></cell><cell r="D2914" t="str"><v>43302224009494</v></cell><cell r="E2914" t="str"><v>43302103236189-11000</v></cell><cell r="F2914" t="str"><v>DCM</v></cell><cell r="G2914" t="str"><v>https://azure.microsoft.com/de-de/pricing/purchase-options/</v></cell></row><row r="2914"><cell r="K2914" t="str"><v>July</v></cell><cell r="L2914"><v>43302</v></cell><cell r="M2914" t="str"><v>Tier 1</v></cell><cell r="N2914" t="str"><v>EMEA</v></cell><cell r="O2914" t="str"><v>Germany</v></cell><cell r="P2914" t="str"><v>Trial</v></cell><cell r="Q2914" t="str"><v>Social</v></cell><cell r="R2914" t="str"><v>Azure</v></cell><cell r="S2914" t="str"><v>Apps & Infra</v></cell><cell r="T2914" t="str"><v>Developers & ITI's</v></cell><cell r="U2914" t="str"><v>DEV-ITP-AZR-FB|CanvasAds|Interesttargeting</v></cell><cell r="V2914" t="str"><v>Audience Targeting</v></cell><cell r="W2914" t="str"><v>Canvas Ad</v></cell><cell r="X2914" t="str"><v>1x1</v></cell></row><row r="2914"><cell r="AA2914"><v>43302</v></cell><cell r="AB2914" t="str"><v>DEU_gaPMG_AZR_AZR_Q1_19_Trial-Social- 39684</v></cell><cell r="AC2914"><v>21359477</v></cell><cell r="AD2914"><v>720194</v></cell><cell r="AE2914" t="str"><v>Facebook</v></cell><cell r="AF2914"><v>3654128</v></cell><cell r="AG2914" t="str"><v>Facebook»DEV-ITP-AZR-FB|CanvasAds|Interesttargeting»1x1»TextLink»CAN»DT»CPM»AUT»W»NA»SS»NA»39684020-11000</v></cell><cell r="AH2914"><v>224009494</v></cell><cell r="AI2914" t="str"><v>AzurePlatform_FBCTCBenefit2inMotion-BuyNow_DEU_14s_ISV_PLAT_DE_Trial_Standard_STAN_TN_T4_1</v></cell><cell r="AJ2914"><v>103236189</v></cell></row><row r="2915"><cell r="C2915" t="str"><v>43302Facebook»DEV-ITP-AZR-FB|CanvasAds|Interesttargeting»1x1»TextLink»CAN»DT»CPM»AUT»W»NA»SS»NA»39684020-11000</v></cell><cell r="D2915" t="str"><v>43302224009494</v></cell><cell r="E2915" t="str"><v>43302103237290-11000</v></cell><cell r="F2915" t="str"><v>DCM</v></cell><cell r="G2915" t="str"><v>https://signup.azure.com/signup?offer=ms-azr-0044p&appId=102&ref=paidmedia-social-fb&redirectURL=https%3a%2f%2fazure.microsoft.com%2fde-de%2fget-started%2fwelcome-to-azure%2f&l=de-de&correlationId=ead86c34-1f10-49dd-a72b-6918462a2cbf</v></cell></row><row r="2915"><cell r="K2915" t="str"><v>July</v></cell><cell r="L2915"><v>43302</v></cell><cell r="M2915" t="str"><v>Tier 1</v></cell><cell r="N2915" t="str"><v>EMEA</v></cell><cell r="O2915" t="str"><v>Germany</v></cell><cell r="P2915" t="str"><v>Trial</v></cell><cell r="Q2915" t="str"><v>Social</v></cell><cell r="R2915" t="str"><v>Azure</v></cell><cell r="S2915" t="str"><v>Apps & Infra</v></cell><cell r="T2915" t="str"><v>Developers & ITI's</v></cell><cell r="U2915" t="str"><v>DEV-ITP-AZR-FB|CanvasAds|Interesttargeting</v></cell><cell r="V2915" t="str"><v>Audience Targeting</v></cell><cell r="W2915" t="str"><v>Canvas Ad</v></cell><cell r="X2915" t="str"><v>1x1</v></cell></row><row r="2915"><cell r="AA2915"><v>43302</v></cell><cell r="AB2915" t="str"><v>DEU_gaPMG_AZR_AZR_Q1_19_Trial-Social- 39684</v></cell><cell r="AC2915"><v>21359477</v></cell><cell r="AD2915"><v>720194</v></cell><cell r="AE2915" t="str"><v>Facebook</v></cell><cell r="AF2915"><v>3654128</v></cell><cell r="AG2915" t="str"><v>Facebook»DEV-ITP-AZR-FB|CanvasAds|Interesttargeting»1x1»TextLink»CAN»DT»CPM»AUT»W»NA»SS»NA»39684020-11000</v></cell><cell r="AH2915"><v>224009494</v></cell><cell r="AI2915" t="str"><v>AzurePlatform_FBCTCBenefit2inMotion-StartFreeCT_DEU_14s_ISV_PLAT_DE_Trial_Standard_STAN_TN_T4_1</v></cell><cell r="AJ2915"><v>103237290</v></cell></row><row r="2916"><cell r="C2916" t="str"><v>43302Facebook»DEV-ITP-AZR-FB|CanvasAds|Interesttargeting»1x1»TextLink»CAN»DT»CPM»AUT»W»NA»SS»NA»39684020-11000</v></cell><cell r="D2916" t="str"><v>43302224009494</v></cell><cell r="E2916" t="str"><v>43302103237293-11000</v></cell><cell r="F2916" t="str"><v>DCM</v></cell><cell r="G2916" t="str"><v>https://signup.azure.com/signup?offer=ms-azr-0044p&appId=102&ref=paidmedia-social-fb&redirectURL=https%3a%2f%2fazure.microsoft.com%2fde-de%2fget-started%2fwelcome-to-azure%2f&l=de-de&correlationId=ead86c34-1f10-49dd-a72b-6918462a2cbf</v></cell></row><row r="2916"><cell r="K2916" t="str"><v>July</v></cell><cell r="L2916"><v>43302</v></cell><cell r="M2916" t="str"><v>Tier 1</v></cell><cell r="N2916" t="str"><v>EMEA</v></cell><cell r="O2916" t="str"><v>Germany</v></cell><cell r="P2916" t="str"><v>Trial</v></cell><cell r="Q2916" t="str"><v>Social</v></cell><cell r="R2916" t="str"><v>Azure</v></cell><cell r="S2916" t="str"><v>Apps & Infra</v></cell><cell r="T2916" t="str"><v>Developers & ITI's</v></cell><cell r="U2916" t="str"><v>DEV-ITP-AZR-FB|CanvasAds|Interesttargeting</v></cell><cell r="V2916" t="str"><v>Audience Targeting</v></cell><cell r="W2916" t="str"><v>Canvas Ad</v></cell><cell r="X2916" t="str"><v>1x1</v></cell></row><row r="2916"><cell r="AA2916"><v>43302</v></cell><cell r="AB2916" t="str"><v>DEU_gaPMG_AZR_AZR_Q1_19_Trial-Social- 39684</v></cell><cell r="AC2916"><v>21359477</v></cell><cell r="AD2916"><v>720194</v></cell><cell r="AE2916" t="str"><v>Facebook</v></cell><cell r="AF2916"><v>3654128</v></cell><cell r="AG2916" t="str"><v>Facebook»DEV-ITP-AZR-FB|CanvasAds|Interesttargeting»1x1»TextLink»CAN»DT»CPM»AUT»W»NA»SS»NA»39684020-11000</v></cell><cell r="AH2916"><v>224009494</v></cell><cell r="AI2916" t="str"><v>AzurePlatform_FBCTCBrandinMotion-StartFreeCT_DEU_12s_ISV_PLAT_DE_Trial_Standard_STAN_TN_T2_1</v></cell><cell r="AJ2916"><v>103237293</v></cell></row><row r="2917"><cell r="C2917" t="str"><v>43302Facebook»DEV-ITP-AZR-FB|LinkAd|CustomerAudienceRetargeting»1x1»TextLink»LIA»DT»CPM»RT»W»NA»SS»NA»39684019-11000</v></cell><cell r="D2917" t="str"><v>43302224010415</v></cell><cell r="E2917" t="str"><v>43302103040320-11000</v></cell><cell r="F2917" t="str"><v>DCM</v></cell><cell r="G2917" t="str"><v>https://azure.microsoft.com/de-de/free/search/</v></cell></row><row r="2917"><cell r="K2917" t="str"><v>July</v></cell><cell r="L2917"><v>43302</v></cell><cell r="M2917" t="str"><v>Tier 1</v></cell><cell r="N2917" t="str"><v>EMEA</v></cell><cell r="O2917" t="str"><v>Germany</v></cell><cell r="P2917" t="str"><v>Trial</v></cell><cell r="Q2917" t="str"><v>Social</v></cell><cell r="R2917" t="str"><v>Azure</v></cell><cell r="S2917" t="str"><v>Apps & Infra</v></cell><cell r="T2917" t="str"><v>Developers & ITI's</v></cell><cell r="U2917" t="str"><v>DEV-ITP-AZR-FB|LinkAd|CustomerAudienceRetargeting</v></cell><cell r="V2917" t="str"><v>Retargeting</v></cell><cell r="W2917" t="str"><v>Link Ad</v></cell><cell r="X2917" t="str"><v>1x1</v></cell></row><row r="2917"><cell r="AA2917"><v>43302</v></cell><cell r="AB2917" t="str"><v>DEU_gaPMG_AZR_AZR_Q1_19_Trial-Social- 39684</v></cell><cell r="AC2917"><v>21359477</v></cell><cell r="AD2917"><v>720194</v></cell><cell r="AE2917" t="str"><v>Facebook</v></cell><cell r="AF2917"><v>3654128</v></cell><cell r="AG2917" t="str"><v>Facebook»DEV-ITP-AZR-FB|LinkAd|CustomerAudienceRetargeting»1x1»TextLink»LIA»DT»CPM»RT»W»NA»SS»NA»39684019-11000</v></cell><cell r="AH2917"><v>224010415</v></cell><cell r="AI2917" t="str"><v>AzurePlatform_FreeAcctRetargetingFB-GlobalAlt-ChB_DEU_1200x628_SOC_Plat_DE_Free Account_Standard_NA_SNU_T2_1</v></cell><cell r="AJ2917"><v>103040320</v></cell></row><row r="2918"><cell r="C2918" t="str"><v>43302Facebook»DEV-ITP-AZR-FB|LinkAd|CustomerAudienceRetargeting»1x1»TextLink»LIA»DT»CPM»RT»W»NA»SS»NA»39684019-11000</v></cell><cell r="D2918" t="str"><v>43302224010415</v></cell><cell r="E2918" t="str"><v>43302103055394-11000</v></cell><cell r="F2918" t="str"><v>DCM</v></cell><cell r="G2918" t="str"><v>https://azure.microsoft.com/de-de/free/open-source/search/</v></cell></row><row r="2918"><cell r="K2918" t="str"><v>July</v></cell><cell r="L2918"><v>43302</v></cell><cell r="M2918" t="str"><v>Tier 1</v></cell><cell r="N2918" t="str"><v>EMEA</v></cell><cell r="O2918" t="str"><v>Germany</v></cell><cell r="P2918" t="str"><v>Trial</v></cell><cell r="Q2918" t="str"><v>Social</v></cell><cell r="R2918" t="str"><v>Azure</v></cell><cell r="S2918" t="str"><v>Apps & Infra</v></cell><cell r="T2918" t="str"><v>Developers & ITI's</v></cell><cell r="U2918" t="str"><v>DEV-ITP-AZR-FB|LinkAd|CustomerAudienceRetargeting</v></cell><cell r="V2918" t="str"><v>Retargeting</v></cell><cell r="W2918" t="str"><v>Link Ad</v></cell><cell r="X2918" t="str"><v>1x1</v></cell></row><row r="2918"><cell r="AA2918"><v>43302</v></cell><cell r="AB2918" t="str"><v>DEU_gaPMG_AZR_AZR_Q1_19_Trial-Social- 39684</v></cell><cell r="AC2918"><v>21359477</v></cell><cell r="AD2918"><v>720194</v></cell><cell r="AE2918" t="str"><v>Facebook</v></cell><cell r="AF2918"><v>3654128</v></cell><cell r="AG2918" t="str"><v>Facebook»DEV-ITP-AZR-FB|LinkAd|CustomerAudienceRetargeting»1x1»TextLink»LIA»DT»CPM»RT»W»NA»SS»NA»39684019-11000</v></cell><cell r="AH2918"><v>224010415</v></cell><cell r="AI2918" t="str"><v>AzurePlatform_FreeAcctRetargetingOSSFB-Text-ChF_DEU_1200x628_SOC_Plat_DE_Free Account_Standard_NA_SNU_T1_1</v></cell><cell r="AJ2918"><v>103055394</v></cell></row><row r="2919"><cell r="C2919" t="str"><v>43302Facebook»DEV-ITP-AZR-FB|LinkAd|CustomerAudienceRetargeting»1x1»TextLink»LIA»DT»CPM»RT»W»NA»SS»NA»39684019-11000</v></cell><cell r="D2919" t="str"><v>43302224010415</v></cell><cell r="E2919" t="str"><v>43302103043341-11000</v></cell><cell r="F2919" t="str"><v>DCM</v></cell><cell r="G2919" t="str"><v>https://azure.microsoft.com/de-de/free/virtual-machines/search/</v></cell></row><row r="2919"><cell r="K2919" t="str"><v>July</v></cell><cell r="L2919"><v>43302</v></cell><cell r="M2919" t="str"><v>Tier 1</v></cell><cell r="N2919" t="str"><v>EMEA</v></cell><cell r="O2919" t="str"><v>Germany</v></cell><cell r="P2919" t="str"><v>Trial</v></cell><cell r="Q2919" t="str"><v>Social</v></cell><cell r="R2919" t="str"><v>Azure</v></cell><cell r="S2919" t="str"><v>Apps & Infra</v></cell><cell r="T2919" t="str"><v>Developers & ITI's</v></cell><cell r="U2919" t="str"><v>DEV-ITP-AZR-FB|LinkAd|CustomerAudienceRetargeting</v></cell><cell r="V2919" t="str"><v>Retargeting</v></cell><cell r="W2919" t="str"><v>Link Ad</v></cell><cell r="X2919" t="str"><v>1x1</v></cell></row><row r="2919"><cell r="AA2919"><v>43302</v></cell><cell r="AB2919" t="str"><v>DEU_gaPMG_AZR_AZR_Q1_19_Trial-Social- 39684</v></cell><cell r="AC2919"><v>21359477</v></cell><cell r="AD2919"><v>720194</v></cell><cell r="AE2919" t="str"><v>Facebook</v></cell><cell r="AF2919"><v>3654128</v></cell><cell r="AG2919" t="str"><v>Facebook»DEV-ITP-AZR-FB|LinkAd|CustomerAudienceRetargeting»1x1»TextLink»LIA»DT»CPM»RT»W»NA»SS»NA»39684019-11000</v></cell><cell r="AH2919"><v>224010415</v></cell><cell r="AI2919" t="str"><v>AzurePlatform_FreeAcctRetargetingVMFB-750Hrs-ChD_DEU_1200x628_SOC_Plat_DE_Free Account_Standard_NA_SNU_T1_1</v></cell><cell r="AJ2919"><v>103043341</v></cell></row><row r="2920"><cell r="C2920" t="str"><v>43302Facebook»DEV-ITP-AZR-FB|LinkAd|CustomerAudienceRetargeting»1x1»TextLink»LIA»DT»CPM»RT»W»NA»SS»NA»39684019-11000</v></cell><cell r="D2920" t="str"><v>43302224010415</v></cell><cell r="E2920" t="str"><v>43302103043338-11000</v></cell><cell r="F2920" t="str"><v>DCM</v></cell><cell r="G2920" t="str"><v>https://azure.microsoft.com/de-de/free/virtual-machines/search/</v></cell></row><row r="2920"><cell r="K2920" t="str"><v>July</v></cell><cell r="L2920"><v>43302</v></cell><cell r="M2920" t="str"><v>Tier 1</v></cell><cell r="N2920" t="str"><v>EMEA</v></cell><cell r="O2920" t="str"><v>Germany</v></cell><cell r="P2920" t="str"><v>Trial</v></cell><cell r="Q2920" t="str"><v>Social</v></cell><cell r="R2920" t="str"><v>Azure</v></cell><cell r="S2920" t="str"><v>Apps & Infra</v></cell><cell r="T2920" t="str"><v>Developers & ITI's</v></cell><cell r="U2920" t="str"><v>DEV-ITP-AZR-FB|LinkAd|CustomerAudienceRetargeting</v></cell><cell r="V2920" t="str"><v>Retargeting</v></cell><cell r="W2920" t="str"><v>Link Ad</v></cell><cell r="X2920" t="str"><v>1x1</v></cell></row><row r="2920"><cell r="AA2920"><v>43302</v></cell><cell r="AB2920" t="str"><v>DEU_gaPMG_AZR_AZR_Q1_19_Trial-Social- 39684</v></cell><cell r="AC2920"><v>21359477</v></cell><cell r="AD2920"><v>720194</v></cell><cell r="AE2920" t="str"><v>Facebook</v></cell><cell r="AF2920"><v>3654128</v></cell><cell r="AG2920" t="str"><v>Facebook»DEV-ITP-AZR-FB|LinkAd|CustomerAudienceRetargeting»1x1»TextLink»LIA»DT»CPM»RT»W»NA»SS»NA»39684019-11000</v></cell><cell r="AH2920"><v>224010415</v></cell><cell r="AI2920" t="str"><v>AzurePlatform_FreeAcctRetargetingVMFB-OnDemand-ChE_DEU_1200x628_SOC_Plat_DE_Free Account_Standard_NA_SNU_T2_1</v></cell><cell r="AJ2920"><v>103043338</v></cell></row><row r="2921"><cell r="C2921" t="str"><v>43302Facebook»Developers/ITPros-Azure Direct-Sponsored Post-Canvas-FBCTCcanvaspage-BuyNowCTA-Img3_FBCTCBasicMotion_FRA_10sec»1x1»Canvas»SOC»ALL»CPC»BT»D»UNK»SS»NA»Trials</v></cell><cell r="D2921" t="str"><v>43302224369893</v></cell><cell r="E2921" t="str"><v>43302103256571Trials</v></cell><cell r="F2921" t="str"><v>DCM</v></cell><cell r="G2921" t="str"><v>https://azure.microsoft.com/fr-fr/pricing/purchase-options/</v></cell></row><row r="2921"><cell r="K2921" t="str"><v>July</v></cell><cell r="L2921"><v>43302</v></cell><cell r="M2921" t="str"><v>Tier 1</v></cell><cell r="N2921" t="str"><v>EMEA</v></cell><cell r="O2921" t="str"><v>France</v></cell><cell r="P2921" t="str"><v>Trial</v></cell><cell r="Q2921" t="str"><v>Social</v></cell><cell r="R2921" t="str"><v>Azure</v></cell><cell r="S2921" t="str"><v>Apps & Infra</v></cell><cell r="T2921" t="str"><v>Developers & ITI's</v></cell><cell r="U2921" t="str"><v>Developers/ITPros-Azure Direct-Sponsored Post-Canvas-FBCTCcanvaspage-BuyNowCTA-Img3_FBCTCBasicMotion_FRA_10sec</v></cell><cell r="V2921" t="str"><v>Behavioral Targeting</v></cell><cell r="W2921" t="str"><v>Social</v></cell><cell r="X2921" t="str"><v>1x1</v></cell></row><row r="2921"><cell r="AA2921"><v>43302</v></cell><cell r="AB2921" t="str"><v>FRA_gaPMG_AZR_AZR_Q1_19_AzureDirect-Trial-Social</v></cell><cell r="AC2921"><v>21356941</v></cell><cell r="AD2921"><v>720193</v></cell><cell r="AE2921" t="str"><v>Facebook</v></cell><cell r="AF2921"><v>3654128</v></cell><cell r="AG2921" t="str"><v>Facebook»Developers/ITPros-Azure Direct-Sponsored Post-Canvas-FBCTCcanvaspage-BuyNowCTA-Img3_FBCTCBasicMotion_FRA_10sec»1x1»Canvas»SOC»ALL»CPC»BT»D»UNK»SS»NA»Trials</v></cell><cell r="AH2921"><v>224369893</v></cell><cell r="AI2921" t="str"><v>AZR_FBCTCcanvaspage-BuyNowCTA-Img3_FRA_1080x162_SOC_AZRDirect_French_NA_Facebook_SBAN_BN_T3_1</v></cell><cell r="AJ2921"><v>103256571</v></cell></row><row r="2922"><cell r="C2922" t="str"><v>43302Facebook»Developers/ITPros-Azure Direct-Sponsored Post-Canvas-FBCTCcanvaspage-BuyNowCTA-Img3_FBCTCBrandinMotion_FRA_14sec»1x1»Canvas»SOC»ALL»CPC»BT»D»UNK»SS»NA»Trials</v></cell><cell r="D2922" t="str"><v>43302224416918</v></cell><cell r="E2922" t="str"><v>43302103256571Trials</v></cell><cell r="F2922" t="str"><v>DCM</v></cell><cell r="G2922" t="str"><v>https://azure.microsoft.com/fr-fr/pricing/purchase-options/</v></cell></row><row r="2922"><cell r="K2922" t="str"><v>July</v></cell><cell r="L2922"><v>43302</v></cell><cell r="M2922" t="str"><v>Tier 1</v></cell><cell r="N2922" t="str"><v>EMEA</v></cell><cell r="O2922" t="str"><v>France</v></cell><cell r="P2922" t="str"><v>Trial</v></cell><cell r="Q2922" t="str"><v>Social</v></cell><cell r="R2922" t="str"><v>Azure</v></cell><cell r="S2922" t="str"><v>Apps & Infra</v></cell><cell r="T2922" t="str"><v>Developers & ITI's</v></cell><cell r="U2922" t="str"><v>Developers/ITPros-Azure Direct-Sponsored Post-Canvas-FBCTCcanvaspage-BuyNowCTA-Img3_FBCTCBrandinMotion_FRA_14sec</v></cell><cell r="V2922" t="str"><v>Behavioral Targeting</v></cell><cell r="W2922" t="str"><v>Social</v></cell><cell r="X2922" t="str"><v>1x1</v></cell></row><row r="2922"><cell r="AA2922"><v>43302</v></cell><cell r="AB2922" t="str"><v>FRA_gaPMG_AZR_AZR_Q1_19_AzureDirect-Trial-Social</v></cell><cell r="AC2922"><v>21356941</v></cell><cell r="AD2922"><v>720193</v></cell><cell r="AE2922" t="str"><v>Facebook</v></cell><cell r="AF2922"><v>3654128</v></cell><cell r="AG2922" t="str"><v>Facebook»Developers/ITPros-Azure Direct-Sponsored Post-Canvas-FBCTCcanvaspage-BuyNowCTA-Img3_FBCTCBrandinMotion_FRA_14sec»1x1»Canvas»SOC»ALL»CPC»BT»D»UNK»SS»NA»Trials</v></cell><cell r="AH2922"><v>224416918</v></cell><cell r="AI2922" t="str"><v>AZR_FBCTCcanvaspage-BuyNowCTA-Img3_FRA_1080x162_SOC_AZRDirect_French_NA_Facebook_SBAN_BN_T3_1</v></cell><cell r="AJ2922"><v>103256571</v></cell></row><row r="2923"><cell r="C2923" t="str"><v>43302Facebook»Developers/ITPros-Azure Direct-Sponsored Post-Canvas-FBCTCcanvaspage-StartFreeCTA-Img2_FBCTCBasicMotion_FRA_10sec»1x1»Canvas»SOC»ALL»CPC»BT»D»UNK»SS»NA»Trials</v></cell><cell r="D2923" t="str"><v>43302224560884</v></cell><cell r="E2923" t="str"><v>43302103259958Trials</v></cell><cell r="F2923" t="str"><v>DCM</v></cell><cell r="G2923" t="str"><v>https://signup.azure.com/signup?offer=ms-azr-0044p&appId=102&ref=paidmedia-social-fb&redirectURL=https%3a%2f%2fazure.microsoft.com%2ffr-fr%2fget-started%2fwelcome-to-azure%2f&l=fr-fr&correlationId=ead86c34-1f10-49dd-a72b-6918462a2cbf</v></cell></row><row r="2923"><cell r="K2923" t="str"><v>July</v></cell><cell r="L2923"><v>43302</v></cell><cell r="M2923" t="str"><v>Tier 1</v></cell><cell r="N2923" t="str"><v>EMEA</v></cell><cell r="O2923" t="str"><v>France</v></cell><cell r="P2923" t="str"><v>Trial</v></cell><cell r="Q2923" t="str"><v>Social</v></cell><cell r="R2923" t="str"><v>Azure</v></cell><cell r="S2923" t="str"><v>Apps & Infra</v></cell><cell r="T2923" t="str"><v>Developers & ITI's</v></cell><cell r="U2923" t="str"><v>Developers/ITPros-Azure Direct-Sponsored Post-Canvas-FBCTCcanvaspage-StartFreeCTA-Img2_FBCTCBasicMotion_FRA_10sec</v></cell><cell r="V2923" t="str"><v>Behavioral Targeting</v></cell><cell r="W2923" t="str"><v>Social</v></cell><cell r="X2923" t="str"><v>1x1</v></cell></row><row r="2923"><cell r="AA2923"><v>43302</v></cell><cell r="AB2923" t="str"><v>FRA_gaPMG_AZR_AZR_Q1_19_AzureDirect-Trial-Social</v></cell><cell r="AC2923"><v>21356941</v></cell><cell r="AD2923"><v>720193</v></cell><cell r="AE2923" t="str"><v>Facebook</v></cell><cell r="AF2923"><v>3654128</v></cell><cell r="AG2923" t="str"><v>Facebook»Developers/ITPros-Azure Direct-Sponsored Post-Canvas-FBCTCcanvaspage-StartFreeCTA-Img2_FBCTCBasicMotion_FRA_10sec»1x1»Canvas»SOC»ALL»CPC»BT»D»UNK»SS»NA»Trials</v></cell><cell r="AH2923"><v>224560884</v></cell><cell r="AI2923" t="str"><v>AZR_FBCTCcanvaspage-StartFreeCTA-Img2_FRA_1080x143_SOC_AZRDirect_French_NA_Facebook_SBAN_BN_T2_1</v></cell><cell r="AJ2923"><v>103259958</v></cell></row><row r="2924"><cell r="C2924" t="str"><v>43302Facebook»Developers/ITPros-Azure Direct-Sponsored Post-Canvas-FBCTCcanvaspage-StartFreeCTA-Img2_FBCTCBrandinMotion_FRA_12sec»1x1»Canvas»SOC»ALL»CPC»BT»D»UNK»SS»NA»Trials</v></cell><cell r="D2924" t="str"><v>43302224560878</v></cell><cell r="E2924" t="str"><v>43302103259958Trials</v></cell><cell r="F2924" t="str"><v>DCM</v></cell><cell r="G2924" t="str"><v>https://signup.azure.com/signup?offer=ms-azr-0044p&appId=102&ref=paidmedia-social-fb&redirectURL=https%3a%2f%2fazure.microsoft.com%2ffr-fr%2fget-started%2fwelcome-to-azure%2f&l=fr-fr&correlationId=ead86c34-1f10-49dd-a72b-6918462a2cbf</v></cell></row><row r="2924"><cell r="K2924" t="str"><v>July</v></cell><cell r="L2924"><v>43302</v></cell><cell r="M2924" t="str"><v>Tier 1</v></cell><cell r="N2924" t="str"><v>EMEA</v></cell><cell r="O2924" t="str"><v>France</v></cell><cell r="P2924" t="str"><v>Trial</v></cell><cell r="Q2924" t="str"><v>Social</v></cell><cell r="R2924" t="str"><v>Azure</v></cell><cell r="S2924" t="str"><v>Apps & Infra</v></cell><cell r="T2924" t="str"><v>Developers & ITI's</v></cell><cell r="U2924" t="str"><v>Developers/ITPros-Azure Direct-Sponsored Post-Canvas-FBCTCcanvaspage-StartFreeCTA-Img2_FBCTCBrandinMotion_FRA_12sec</v></cell><cell r="V2924" t="str"><v>Behavioral Targeting</v></cell><cell r="W2924" t="str"><v>Social</v></cell><cell r="X2924" t="str"><v>1x1</v></cell></row><row r="2924"><cell r="AA2924"><v>43302</v></cell><cell r="AB2924" t="str"><v>FRA_gaPMG_AZR_AZR_Q1_19_AzureDirect-Trial-Social</v></cell><cell r="AC2924"><v>21356941</v></cell><cell r="AD2924"><v>720193</v></cell><cell r="AE2924" t="str"><v>Facebook</v></cell><cell r="AF2924"><v>3654128</v></cell><cell r="AG2924" t="str"><v>Facebook»Developers/ITPros-Azure Direct-Sponsored Post-Canvas-FBCTCcanvaspage-StartFreeCTA-Img2_FBCTCBrandinMotion_FRA_12sec»1x1»Canvas»SOC»ALL»CPC»BT»D»UNK»SS»NA»Trials</v></cell><cell r="AH2924"><v>224560878</v></cell><cell r="AI2924" t="str"><v>AZR_FBCTCcanvaspage-StartFreeCTA-Img2_FRA_1080x143_SOC_AZRDirect_French_NA_Facebook_SBAN_BN_T2_1</v></cell><cell r="AJ2924"><v>103259958</v></cell></row><row r="2925"><cell r="C2925" t="str"><v>43302Facebook»Developers/ITPros-Azure Direct-Sponsored Post-Canvas-FBCTCcanvaspage-StartFreeCTA-Img2_FBCTCBrandinMotion_FRA_14sec»1x1»Canvas»SOC»ALL»CPC»BT»D»UNK»SS»NA»Trials</v></cell><cell r="D2925" t="str"><v>43302224560872</v></cell><cell r="E2925" t="str"><v>43302103259958Trials</v></cell><cell r="F2925" t="str"><v>DCM</v></cell><cell r="G2925" t="str"><v>https://signup.azure.com/signup?offer=ms-azr-0044p&appId=102&ref=paidmedia-social-fb&redirectURL=https%3a%2f%2fazure.microsoft.com%2ffr-fr%2fget-started%2fwelcome-to-azure%2f&l=fr-fr&correlationId=ead86c34-1f10-49dd-a72b-6918462a2cbf</v></cell></row><row r="2925"><cell r="K2925" t="str"><v>July</v></cell><cell r="L2925"><v>43302</v></cell><cell r="M2925" t="str"><v>Tier 1</v></cell><cell r="N2925" t="str"><v>EMEA</v></cell><cell r="O2925" t="str"><v>France</v></cell><cell r="P2925" t="str"><v>Trial</v></cell><cell r="Q2925" t="str"><v>Social</v></cell><cell r="R2925" t="str"><v>Azure</v></cell><cell r="S2925" t="str"><v>Apps & Infra</v></cell><cell r="T2925" t="str"><v>Developers & ITI's</v></cell><cell r="U2925" t="str"><v>Developers/ITPros-Azure Direct-Sponsored Post-Canvas-FBCTCcanvaspage-StartFreeCTA-Img2_FBCTCBrandinMotion_FRA_14sec</v></cell><cell r="V2925" t="str"><v>Behavioral Targeting</v></cell><cell r="W2925" t="str"><v>Social</v></cell><cell r="X2925" t="str"><v>1x1</v></cell></row><row r="2925"><cell r="AA2925"><v>43302</v></cell><cell r="AB2925" t="str"><v>FRA_gaPMG_AZR_AZR_Q1_19_AzureDirect-Trial-Social</v></cell><cell r="AC2925"><v>21356941</v></cell><cell r="AD2925"><v>720193</v></cell><cell r="AE2925" t="str"><v>Facebook</v></cell><cell r="AF2925"><v>3654128</v></cell><cell r="AG2925" t="str"><v>Facebook»Developers/ITPros-Azure Direct-Sponsored Post-Canvas-FBCTCcanvaspage-StartFreeCTA-Img2_FBCTCBrandinMotion_FRA_14sec»1x1»Canvas»SOC»ALL»CPC»BT»D»UNK»SS»NA»Trials</v></cell><cell r="AH2925"><v>224560872</v></cell><cell r="AI2925" t="str"><v>AZR_FBCTCcanvaspage-StartFreeCTA-Img2_FRA_1080x143_SOC_AZRDirect_French_NA_Facebook_SBAN_BN_T2_1</v></cell><cell r="AJ2925"><v>103259958</v></cell></row><row r="2926"><cell r="C2926" t="str"><v>43302Facebook»Developers/ITPros-Azure Direct-Sponsored Post-Link Ad-FreeAcctRetargetingFB-GlobalAlt-ChB»1x1»SocialBan»SOC»ALL»CPC»BT»D»UNK»SS»NA»Trials</v></cell><cell r="D2926" t="str"><v>43302224560845</v></cell><cell r="E2926" t="str"><v>43302103259520Trials</v></cell><cell r="F2926" t="str"><v>DCM</v></cell><cell r="G2926" t="str"><v>https://azure.microsoft.com/fr-fr/free/search/</v></cell></row><row r="2926"><cell r="K2926" t="str"><v>July</v></cell><cell r="L2926"><v>43302</v></cell><cell r="M2926" t="str"><v>Tier 1</v></cell><cell r="N2926" t="str"><v>EMEA</v></cell><cell r="O2926" t="str"><v>France</v></cell><cell r="P2926" t="str"><v>Trial</v></cell><cell r="Q2926" t="str"><v>Social</v></cell><cell r="R2926" t="str"><v>Azure</v></cell><cell r="S2926" t="str"><v>Apps & Infra</v></cell><cell r="T2926" t="str"><v>Developers & ITI's</v></cell><cell r="U2926" t="str"><v>Developers/ITPros-Azure Direct-Sponsored Post-Link Ad-FreeAcctRetargetingFB-GlobalAlt-ChB</v></cell><cell r="V2926" t="str"><v>Behavioral Targeting</v></cell><cell r="W2926" t="str"><v>Social</v></cell><cell r="X2926" t="str"><v>1x1</v></cell></row><row r="2926"><cell r="AA2926"><v>43302</v></cell><cell r="AB2926" t="str"><v>FRA_gaPMG_AZR_AZR_Q1_19_AzureDirect-Trial-Social</v></cell><cell r="AC2926"><v>21356941</v></cell><cell r="AD2926"><v>720193</v></cell><cell r="AE2926" t="str"><v>Facebook</v></cell><cell r="AF2926"><v>3654128</v></cell><cell r="AG2926" t="str"><v>Facebook»Developers/ITPros-Azure Direct-Sponsored Post-Link Ad-FreeAcctRetargetingFB-GlobalAlt-ChB»1x1»SocialBan»SOC»ALL»CPC»BT»D»UNK»SS»NA»Trials</v></cell><cell r="AH2926"><v>224560845</v></cell><cell r="AI2926" t="str"><v>AZR_FreeAcctRetargetingFB-GlobalAlt-ChB_FRA_1200x628_SOC_AZRDirect_French_NA_Facebook_SBAN_SINU_T2_1</v></cell><cell r="AJ2926"><v>103259520</v></cell></row><row r="2927"><cell r="C2927" t="str"><v>43302Facebook»Developers/ITPros-Azure Direct-Sponsored Post-Link Ad-FreeAcctRetargetingOSSFB-Text-ChF»1x1»SocialBan»SOC»ALL»CPC»BT»D»UNK»SS»NA»Trials</v></cell><cell r="D2927" t="str"><v>43302224560839</v></cell><cell r="E2927" t="str"><v>43302103257810Trials</v></cell><cell r="F2927" t="str"><v>DCM</v></cell><cell r="G2927" t="str"><v>https://azure.microsoft.com/fr-fr/free/open-source/search/</v></cell></row><row r="2927"><cell r="K2927" t="str"><v>July</v></cell><cell r="L2927"><v>43302</v></cell><cell r="M2927" t="str"><v>Tier 1</v></cell><cell r="N2927" t="str"><v>EMEA</v></cell><cell r="O2927" t="str"><v>France</v></cell><cell r="P2927" t="str"><v>Trial</v></cell><cell r="Q2927" t="str"><v>Social</v></cell><cell r="R2927" t="str"><v>Azure</v></cell><cell r="S2927" t="str"><v>Apps & Infra</v></cell><cell r="T2927" t="str"><v>Developers & ITI's</v></cell><cell r="U2927" t="str"><v>Developers/ITPros-Azure Direct-Sponsored Post-Link Ad-FreeAcctRetargetingOSSFB-Text-ChF</v></cell><cell r="V2927" t="str"><v>Behavioral Targeting</v></cell><cell r="W2927" t="str"><v>Social</v></cell><cell r="X2927" t="str"><v>1x1</v></cell></row><row r="2927"><cell r="AA2927"><v>43302</v></cell><cell r="AB2927" t="str"><v>FRA_gaPMG_AZR_AZR_Q1_19_AzureDirect-Trial-Social</v></cell><cell r="AC2927"><v>21356941</v></cell><cell r="AD2927"><v>720193</v></cell><cell r="AE2927" t="str"><v>Facebook</v></cell><cell r="AF2927"><v>3654128</v></cell><cell r="AG2927" t="str"><v>Facebook»Developers/ITPros-Azure Direct-Sponsored Post-Link Ad-FreeAcctRetargetingOSSFB-Text-ChF»1x1»SocialBan»SOC»ALL»CPC»BT»D»UNK»SS»NA»Trials</v></cell><cell r="AH2927"><v>224560839</v></cell><cell r="AI2927" t="str"><v>AZR_FreeAcctRetargetingOSSFB-Text-ChF_FRA_1200x628_SOC_AZRDirect_French_NA_Facebook_SBAN_SINU_T1_1</v></cell><cell r="AJ2927"><v>103257810</v></cell></row><row r="2928"><cell r="C2928" t="str"><v>43302Facebook»Developers/ITPros-Azure Direct-Sponsored Post-Link Ad-FreeAcctRetargetingVMFB-750Hrs-ChD»1x1»SocialBan»SOC»ALL»CPC»BT»D»UNK»SS»NA»Trials</v></cell><cell r="D2928" t="str"><v>43302224560836</v></cell><cell r="E2928" t="str"><v>43302103259010Trials</v></cell><cell r="F2928" t="str"><v>DCM</v></cell><cell r="G2928" t="str"><v>https://azure.microsoft.com/fr-fr/free/virtual-machines/search/</v></cell></row><row r="2928"><cell r="K2928" t="str"><v>July</v></cell><cell r="L2928"><v>43302</v></cell><cell r="M2928" t="str"><v>Tier 1</v></cell><cell r="N2928" t="str"><v>EMEA</v></cell><cell r="O2928" t="str"><v>France</v></cell><cell r="P2928" t="str"><v>Trial</v></cell><cell r="Q2928" t="str"><v>Social</v></cell><cell r="R2928" t="str"><v>Azure</v></cell><cell r="S2928" t="str"><v>Apps & Infra</v></cell><cell r="T2928" t="str"><v>Developers & ITI's</v></cell><cell r="U2928" t="str"><v>Developers/ITPros-Azure Direct-Sponsored Post-Link Ad-FreeAcctRetargetingVMFB-750Hrs-ChD</v></cell><cell r="V2928" t="str"><v>Behavioral Targeting</v></cell><cell r="W2928" t="str"><v>Social</v></cell><cell r="X2928" t="str"><v>1x1</v></cell></row><row r="2928"><cell r="AA2928"><v>43302</v></cell><cell r="AB2928" t="str"><v>FRA_gaPMG_AZR_AZR_Q1_19_AzureDirect-Trial-Social</v></cell><cell r="AC2928"><v>21356941</v></cell><cell r="AD2928"><v>720193</v></cell><cell r="AE2928" t="str"><v>Facebook</v></cell><cell r="AF2928"><v>3654128</v></cell><cell r="AG2928" t="str"><v>Facebook»Developers/ITPros-Azure Direct-Sponsored Post-Link Ad-FreeAcctRetargetingVMFB-750Hrs-ChD»1x1»SocialBan»SOC»ALL»CPC»BT»D»UNK»SS»NA»Trials</v></cell><cell r="AH2928"><v>224560836</v></cell><cell r="AI2928" t="str"><v>AZR_FreeAcctRetargetingVMFB-750Hrs-ChD_FRA_1200x628_SOC_AZRDirect_French_NA_Facebook_SBAN_SINU_T1_1</v></cell><cell r="AJ2928"><v>103259010</v></cell></row><row r="2929"><cell r="C2929" t="str"><v>43302Facebook»Developers/ITPros-Azure Direct-Sponsored Post-Video Ad-FBCTCBasicMotion_FRA_10s_RTG Landing Page»1x1»05s»SOC»ALL»CPC»BT»D»UNK»SS»NA»Trials</v></cell><cell r="D2929" t="str"><v>43302224416915</v></cell><cell r="E2929" t="str"><v>43302103376981Trials</v></cell><cell r="F2929" t="str"><v>DCM</v></cell></row><row r="2929"><cell r="K2929" t="str"><v>July</v></cell><cell r="L2929"><v>43302</v></cell><cell r="M2929" t="str"><v>Tier 1</v></cell><cell r="N2929" t="str"><v>EMEA</v></cell><cell r="O2929" t="str"><v>France</v></cell><cell r="P2929" t="str"><v>Trial</v></cell><cell r="Q2929" t="str"><v>Social</v></cell><cell r="R2929" t="str"><v>Azure</v></cell><cell r="S2929" t="str"><v>Apps & Infra</v></cell><cell r="T2929" t="str"><v>Developers & ITI's</v></cell><cell r="U2929" t="str"><v>Developers/ITPros-Azure Direct-Sponsored Post-Video Ad-FBCTCBasicMotion_FRA_10s_RTG Landing Page</v></cell><cell r="V2929" t="str"><v>Behavioral Targeting</v></cell><cell r="W2929" t="str"><v>Social</v></cell><cell r="X2929" t="str"><v>1x1</v></cell></row><row r="2929"><cell r="AA2929"><v>43302</v></cell><cell r="AB2929" t="str"><v>FRA_gaPMG_AZR_AZR_Q1_19_AzureDirect-Trial-Social</v></cell><cell r="AC2929"><v>21356941</v></cell><cell r="AD2929"><v>720193</v></cell><cell r="AE2929" t="str"><v>Facebook</v></cell><cell r="AF2929"><v>3654128</v></cell><cell r="AG2929" t="str"><v>Facebook»Developers/ITPros-Azure Direct-Sponsored Post-Video Ad-FBCTCBasicMotion_FRA_10s_RTG Landing Page»1x1»05s»SOC»ALL»CPC»BT»D»UNK»SS»NA»Trials</v></cell><cell r="AH2929"><v>224416915</v></cell><cell r="AI2929" t="str"><v>AZR_FBCTCBasicMotion_FRA_10s_VIA_AZRDirect_French_NA_Facebook_STAN_TIN_T1_1</v></cell><cell r="AJ2929"><v>103376981</v></cell></row><row r="2930"><cell r="C2930" t="str"><v>43302Facebook»Developers/ITPros-Azure Direct-Sponsored Post-Video Ad-FBCTCBenefit2inMotion_FRA_14s_RTG Landing Page»1x1»06s»SOC»ALL»CPC»BT»D»UNK»SS»NA»Trials</v></cell><cell r="D2930" t="str"><v>43302224560875</v></cell><cell r="E2930" t="str"><v>43302103259766Trials</v></cell><cell r="F2930" t="str"><v>DCM</v></cell><cell r="G2930" t="str"><v>https://signup.azure.com/signup?offer=ms-azr-0044p&appId=102&ref=paidmedia-social-fb&redirectURL=https:%2F%2Fazure.microsoft.com%2Ffr-fr%2Fget-started%2Fwelcome-to-azure%2F&l=fr-fr&correlationId=ead86c34-1f10-49dd-a72b-6918462a2cbf</v></cell></row><row r="2930"><cell r="K2930" t="str"><v>July</v></cell><cell r="L2930"><v>43302</v></cell><cell r="M2930" t="str"><v>Tier 1</v></cell><cell r="N2930" t="str"><v>EMEA</v></cell><cell r="O2930" t="str"><v>France</v></cell><cell r="P2930" t="str"><v>Trial</v></cell><cell r="Q2930" t="str"><v>Social</v></cell><cell r="R2930" t="str"><v>Azure</v></cell><cell r="S2930" t="str"><v>Apps & Infra</v></cell><cell r="T2930" t="str"><v>Developers & ITI's</v></cell><cell r="U2930" t="str"><v>Developers/ITPros-Azure Direct-Sponsored Post-Video Ad-FBCTCBenefit2inMotion_FRA_14s_RTG Landing Page</v></cell><cell r="V2930" t="str"><v>Behavioral Targeting</v></cell><cell r="W2930" t="str"><v>Social</v></cell><cell r="X2930" t="str"><v>1x1</v></cell></row><row r="2930"><cell r="AA2930"><v>43302</v></cell><cell r="AB2930" t="str"><v>FRA_gaPMG_AZR_AZR_Q1_19_AzureDirect-Trial-Social</v></cell><cell r="AC2930"><v>21356941</v></cell><cell r="AD2930"><v>720193</v></cell><cell r="AE2930" t="str"><v>Facebook</v></cell><cell r="AF2930"><v>3654128</v></cell><cell r="AG2930" t="str"><v>Facebook»Developers/ITPros-Azure Direct-Sponsored Post-Video Ad-FBCTCBenefit2inMotion_FRA_14s_RTG Landing Page»1x1»06s»SOC»ALL»CPC»BT»D»UNK»SS»NA»Trials</v></cell><cell r="AH2930"><v>224560875</v></cell><cell r="AI2930" t="str"><v>AZR_FBCTCBenefit2inMotion_FRA_14s_VIA_AZRDirect_French_NA_Facebook_STAN_TIN_T4_1</v></cell><cell r="AJ2930"><v>103259766</v></cell></row><row r="2931"><cell r="C2931" t="str"><v>43302Facebook»Developers/ITPros-Azure Direct-Sponsored Post-Video Ad-FBCTCBrandinMotion_FRA_12s_RTG Landing Page»1x1»05s»SOC»ALL»CPC»BT»D»UNK»SS»NA»Trials</v></cell><cell r="D2931" t="str"><v>43302224560863</v></cell><cell r="E2931" t="str"><v>43302103256577Trials</v></cell><cell r="F2931" t="str"><v>DCM</v></cell></row><row r="2931"><cell r="K2931" t="str"><v>July</v></cell><cell r="L2931"><v>43302</v></cell><cell r="M2931" t="str"><v>Tier 1</v></cell><cell r="N2931" t="str"><v>EMEA</v></cell><cell r="O2931" t="str"><v>France</v></cell><cell r="P2931" t="str"><v>Trial</v></cell><cell r="Q2931" t="str"><v>Social</v></cell><cell r="R2931" t="str"><v>Azure</v></cell><cell r="S2931" t="str"><v>Apps & Infra</v></cell><cell r="T2931" t="str"><v>Developers & ITI's</v></cell><cell r="U2931" t="str"><v>Developers/ITPros-Azure Direct-Sponsored Post-Video Ad-FBCTCBrandinMotion_FRA_12s_RTG Landing Page</v></cell><cell r="V2931" t="str"><v>Behavioral Targeting</v></cell><cell r="W2931" t="str"><v>Social</v></cell><cell r="X2931" t="str"><v>1x1</v></cell></row><row r="2931"><cell r="AA2931"><v>43302</v></cell><cell r="AB2931" t="str"><v>FRA_gaPMG_AZR_AZR_Q1_19_AzureDirect-Trial-Social</v></cell><cell r="AC2931"><v>21356941</v></cell><cell r="AD2931"><v>720193</v></cell><cell r="AE2931" t="str"><v>Facebook</v></cell><cell r="AF2931"><v>3654128</v></cell><cell r="AG2931" t="str"><v>Facebook»Developers/ITPros-Azure Direct-Sponsored Post-Video Ad-FBCTCBrandinMotion_FRA_12s_RTG Landing Page»1x1»05s»SOC»ALL»CPC»BT»D»UNK»SS»NA»Trials</v></cell><cell r="AH2931"><v>224560863</v></cell><cell r="AI2931" t="str"><v>AZR_FBCTCBrandinMotion_FRA_12s_VIA_AZRDirect_French_NA_Facebook_STAN_TIN_T2_1</v></cell><cell r="AJ2931"><v>103256577</v></cell></row><row r="2932"><cell r="C2932" t="str"><v>43302Facebook»Developers/ITPros-Azure Direct-Sponsored Post-Link Ad-FreeAcctRetargetingFB-Animated-ChC»1x1»SocialBan»SOC»ALL»CPC»BT»D»UNK»SS»NA»Trials</v></cell><cell r="D2932" t="str"><v>43302224560848</v></cell><cell r="E2932" t="str"><v>43302103259775Trials</v></cell><cell r="F2932" t="str"><v>DCM</v></cell><cell r="G2932" t="str"><v>https://azure.microsoft.com/fr-fr/free/search/</v></cell></row><row r="2932"><cell r="K2932" t="str"><v>July</v></cell><cell r="L2932"><v>43302</v></cell><cell r="M2932" t="str"><v>Tier 1</v></cell><cell r="N2932" t="str"><v>EMEA</v></cell><cell r="O2932" t="str"><v>France</v></cell><cell r="P2932" t="str"><v>Trial</v></cell><cell r="Q2932" t="str"><v>Social</v></cell><cell r="R2932" t="str"><v>Azure</v></cell><cell r="S2932" t="str"><v>Apps & Infra</v></cell><cell r="T2932" t="str"><v>Developers & ITI's</v></cell><cell r="U2932" t="str"><v>Developers/ITPros-Azure Direct-Sponsored Post-Link Ad-FreeAcctRetargetingFB-Animated-ChC</v></cell><cell r="V2932" t="str"><v>Behavioral Targeting</v></cell><cell r="W2932" t="str"><v>Social</v></cell><cell r="X2932" t="str"><v>1x1</v></cell></row><row r="2932"><cell r="AA2932"><v>43302</v></cell><cell r="AB2932" t="str"><v>FRA_gaPMG_AZR_AZR_Q1_19_AzureDirect-Trial-Social</v></cell><cell r="AC2932"><v>21356941</v></cell><cell r="AD2932"><v>720193</v></cell><cell r="AE2932" t="str"><v>Facebook</v></cell><cell r="AF2932"><v>3654128</v></cell><cell r="AG2932" t="str"><v>Facebook»Developers/ITPros-Azure Direct-Sponsored Post-Link Ad-FreeAcctRetargetingFB-Animated-ChC»1x1»SocialBan»SOC»ALL»CPC»BT»D»UNK»SS»NA»Trials</v></cell><cell r="AH2932"><v>224560848</v></cell><cell r="AI2932" t="str"><v>AZR_reeAcctRetargetingFB-Animated-ChC_FRA_1200x628_SOC_AZRDirect_French_NA_Facebook_SBAN_SINU_T3_1</v></cell><cell r="AJ2932"><v>103259775</v></cell></row><row r="2933"><cell r="C2933" t="str"><v>43302Facebook»Developers/ITPros-Azure Direct-Sponsored Post-Link Ad-FreeAcctRetargetingOSSFB-Logos-ChG»1x1»SocialBan»SOC»ALL»CPC»BT»D»UNK»SS»NA»Trials</v></cell><cell r="D2933" t="str"><v>43302224560842</v></cell><cell r="E2933" t="str"><v>43302103259769Trials</v></cell><cell r="F2933" t="str"><v>DCM</v></cell><cell r="G2933" t="str"><v>https://azure.microsoft.com/fr-fr/free/open-source/search/</v></cell></row><row r="2933"><cell r="K2933" t="str"><v>July</v></cell><cell r="L2933"><v>43302</v></cell><cell r="M2933" t="str"><v>Tier 1</v></cell><cell r="N2933" t="str"><v>EMEA</v></cell><cell r="O2933" t="str"><v>France</v></cell><cell r="P2933" t="str"><v>Trial</v></cell><cell r="Q2933" t="str"><v>Social</v></cell><cell r="R2933" t="str"><v>Azure</v></cell><cell r="S2933" t="str"><v>Apps & Infra</v></cell><cell r="T2933" t="str"><v>Developers & ITI's</v></cell><cell r="U2933" t="str"><v>Developers/ITPros-Azure Direct-Sponsored Post-Link Ad-FreeAcctRetargetingOSSFB-Logos-ChG</v></cell><cell r="V2933" t="str"><v>Behavioral Targeting</v></cell><cell r="W2933" t="str"><v>Social</v></cell><cell r="X2933" t="str"><v>1x1</v></cell></row><row r="2933"><cell r="AA2933"><v>43302</v></cell><cell r="AB2933" t="str"><v>FRA_gaPMG_AZR_AZR_Q1_19_AzureDirect-Trial-Social</v></cell><cell r="AC2933"><v>21356941</v></cell><cell r="AD2933"><v>720193</v></cell><cell r="AE2933" t="str"><v>Facebook</v></cell><cell r="AF2933"><v>3654128</v></cell><cell r="AG2933" t="str"><v>Facebook»Developers/ITPros-Azure Direct-Sponsored Post-Link Ad-FreeAcctRetargetingOSSFB-Logos-ChG»1x1»SocialBan»SOC»ALL»CPC»BT»D»UNK»SS»NA»Trials</v></cell><cell r="AH2933"><v>224560842</v></cell><cell r="AI2933" t="str"><v>AZR_FreeAcctRetargetingOSSFB-Logos-ChG_FRA_1200x628_SOC_AZRDirect_French_NA_Facebook_SBAN_SINU_T2_1</v></cell><cell r="AJ2933"><v>103259769</v></cell></row><row r="2934"><cell r="C2934" t="str"><v>43302Facebook»Developers/ITPros-Azure Direct-Sponsored Post-Link Ad-FreeAcctRetargetingVMFB-OnDemand-ChE»1x1»SocialBan»SOC»ALL»CPC»BT»D»UNK»SS»NA»Trials</v></cell><cell r="D2934" t="str"><v>43302224560833</v></cell><cell r="E2934" t="str"><v>43302103376990Trials</v></cell><cell r="F2934" t="str"><v>DCM</v></cell><cell r="G2934" t="str"><v>https://azure.microsoft.com/fr-fr/free/virtual-machines/search/</v></cell></row><row r="2934"><cell r="K2934" t="str"><v>July</v></cell><cell r="L2934"><v>43302</v></cell><cell r="M2934" t="str"><v>Tier 1</v></cell><cell r="N2934" t="str"><v>EMEA</v></cell><cell r="O2934" t="str"><v>France</v></cell><cell r="P2934" t="str"><v>Trial</v></cell><cell r="Q2934" t="str"><v>Social</v></cell><cell r="R2934" t="str"><v>Azure</v></cell><cell r="S2934" t="str"><v>Apps & Infra</v></cell><cell r="T2934" t="str"><v>Developers & ITI's</v></cell><cell r="U2934" t="str"><v>Developers/ITPros-Azure Direct-Sponsored Post-Link Ad-FreeAcctRetargetingVMFB-OnDemand-ChE</v></cell><cell r="V2934" t="str"><v>Behavioral Targeting</v></cell><cell r="W2934" t="str"><v>Social</v></cell><cell r="X2934" t="str"><v>1x1</v></cell></row><row r="2934"><cell r="AA2934"><v>43302</v></cell><cell r="AB2934" t="str"><v>FRA_gaPMG_AZR_AZR_Q1_19_AzureDirect-Trial-Social</v></cell><cell r="AC2934"><v>21356941</v></cell><cell r="AD2934"><v>720193</v></cell><cell r="AE2934" t="str"><v>Facebook</v></cell><cell r="AF2934"><v>3654128</v></cell><cell r="AG2934" t="str"><v>Facebook»Developers/ITPros-Azure Direct-Sponsored Post-Link Ad-FreeAcctRetargetingVMFB-OnDemand-ChE»1x1»SocialBan»SOC»ALL»CPC»BT»D»UNK»SS»NA»Trials</v></cell><cell r="AH2934"><v>224560833</v></cell><cell r="AI2934" t="str"><v>AZR_FreeAcctRetargetingVMFB-OnDemand-ChE_FRA_1200x628_SOC_AZRDirect_French_NA_Facebook_SBAN_SINU_T2_1</v></cell><cell r="AJ2934"><v>103376990</v></cell></row><row r="2935"><cell r="C2935" t="str"><v>43302Facebook»Audience & Interest Targeting»1x1»SocialBan»LIA»DT»CPC»AUT»W»NA»SS»NA»Basic Motion</v></cell><cell r="D2935" t="str"><v>43302224399962</v></cell><cell r="E2935" t="str"><v>43302103230847Motion</v></cell><cell r="F2935" t="str"><v>DCM</v></cell><cell r="G2935" t="str"><v>https://azure.microsoft.com/en-gb/pricing/purchase-options/</v></cell></row><row r="2935"><cell r="K2935" t="str"><v>July</v></cell><cell r="L2935"><v>43302</v></cell><cell r="M2935" t="str"><v>Tier 1</v></cell><cell r="N2935" t="str"><v>EMEA</v></cell><cell r="O2935" t="str"><v>United Kingdom</v></cell><cell r="P2935" t="str"><v>Trial</v></cell><cell r="Q2935" t="str"><v>Social</v></cell><cell r="R2935" t="str"><v>Azure</v></cell><cell r="S2935" t="str"><v>Apps & Infra</v></cell><cell r="T2935" t="str"><v>Developers & ITI's</v></cell><cell r="U2935" t="str"><v>Audience & Interest Targeting</v></cell><cell r="V2935" t="str"><v>Audience Targeting</v></cell><cell r="W2935" t="str"><v>Link Ad</v></cell><cell r="X2935" t="str"><v>1x1</v></cell></row><row r="2935"><cell r="AA2935"><v>43302</v></cell><cell r="AB2935" t="str"><v>GBR_gaPMG_CE_AZR_Q1_19_Trial-Social</v></cell><cell r="AC2935"><v>21337013</v></cell><cell r="AD2935"><v>720196</v></cell><cell r="AE2935" t="str"><v>Facebook</v></cell><cell r="AF2935"><v>3654128</v></cell><cell r="AG2935" t="str"><v>Facebook»Audience & Interest Targeting»1x1»SocialBan»LIA»DT»CPC»AUT»W»NA»SS»NA»Basic Motion</v></cell><cell r="AH2935"><v>224399962</v></cell><cell r="AI2935" t="str"><v>AzurePlatform_FBCTCcanvaspage-BuyNowCTA-Img3_GBR_1080x162_SOC_Plat_English_NA_Standard_NA_BN_T3_1</v></cell><cell r="AJ2935"><v>103230847</v></cell></row><row r="2936"><cell r="C2936" t="str"><v>43302Facebook»Audience & Interest Targeting»1x1»SocialBan»LIA»DT»CPC»AUT»W»NA»SS»NA»Basic Motion</v></cell><cell r="D2936" t="str"><v>43302224399962</v></cell><cell r="E2936" t="str"><v>43302103235146Motion</v></cell><cell r="F2936" t="str"><v>DCM</v></cell><cell r="G2936" t="str"><v>https://signup.azure.com/signup?offer=ms-azr-0044p&appId=102&ref=paidmedia-social-fb&redirectURL=https%3a%2f%2fazure.microsoft.com%2fen-gb%2fget-started%2fwelcome-to-azure%2f&l=en-gb&correlationId=ead86c34-1f10-49dd-a72b-6918462a2cbf</v></cell></row><row r="2936"><cell r="K2936" t="str"><v>July</v></cell><cell r="L2936"><v>43302</v></cell><cell r="M2936" t="str"><v>Tier 1</v></cell><cell r="N2936" t="str"><v>EMEA</v></cell><cell r="O2936" t="str"><v>United Kingdom</v></cell><cell r="P2936" t="str"><v>Trial</v></cell><cell r="Q2936" t="str"><v>Social</v></cell><cell r="R2936" t="str"><v>Azure</v></cell><cell r="S2936" t="str"><v>Apps & Infra</v></cell><cell r="T2936" t="str"><v>Developers & ITI's</v></cell><cell r="U2936" t="str"><v>Audience & Interest Targeting</v></cell><cell r="V2936" t="str"><v>Audience Targeting</v></cell><cell r="W2936" t="str"><v>Link Ad</v></cell><cell r="X2936" t="str"><v>1x1</v></cell></row><row r="2936"><cell r="AA2936"><v>43302</v></cell><cell r="AB2936" t="str"><v>GBR_gaPMG_CE_AZR_Q1_19_Trial-Social</v></cell><cell r="AC2936"><v>21337013</v></cell><cell r="AD2936"><v>720196</v></cell><cell r="AE2936" t="str"><v>Facebook</v></cell><cell r="AF2936"><v>3654128</v></cell><cell r="AG2936" t="str"><v>Facebook»Audience & Interest Targeting»1x1»SocialBan»LIA»DT»CPC»AUT»W»NA»SS»NA»Basic Motion</v></cell><cell r="AH2936"><v>224399962</v></cell><cell r="AI2936" t="str"><v>AzurePlatform_FBCTCcanvaspage-StartFreeCTA-Img2_GBR_1080x143 _SOC_Plat_English_NA_Standard_NA_NA_T2_1</v></cell><cell r="AJ2936"><v>103235146</v></cell></row><row r="2937"><cell r="C2937" t="str"><v>43302Facebook»Audience & Interest Targeting»1x1»SocialBan»LIA»DT»CPC»AUT»W»NA»SS»NA»Benefit 2 in Motion</v></cell><cell r="D2937" t="str"><v>43302224334170</v></cell><cell r="E2937" t="str"><v>43302103230847Motion</v></cell><cell r="F2937" t="str"><v>DCM</v></cell><cell r="G2937" t="str"><v>https://azure.microsoft.com/en-gb/pricing/purchase-options/</v></cell></row><row r="2937"><cell r="K2937" t="str"><v>July</v></cell><cell r="L2937"><v>43302</v></cell><cell r="M2937" t="str"><v>Tier 1</v></cell><cell r="N2937" t="str"><v>EMEA</v></cell><cell r="O2937" t="str"><v>United Kingdom</v></cell><cell r="P2937" t="str"><v>Trial</v></cell><cell r="Q2937" t="str"><v>Social</v></cell><cell r="R2937" t="str"><v>Azure</v></cell><cell r="S2937" t="str"><v>Apps & Infra</v></cell><cell r="T2937" t="str"><v>Developers & ITI's</v></cell><cell r="U2937" t="str"><v>Audience & Interest Targeting</v></cell><cell r="V2937" t="str"><v>Audience Targeting</v></cell><cell r="W2937" t="str"><v>Link Ad</v></cell><cell r="X2937" t="str"><v>1x1</v></cell></row><row r="2937"><cell r="AA2937"><v>43302</v></cell><cell r="AB2937" t="str"><v>GBR_gaPMG_CE_AZR_Q1_19_Trial-Social</v></cell><cell r="AC2937"><v>21337013</v></cell><cell r="AD2937"><v>720196</v></cell><cell r="AE2937" t="str"><v>Facebook</v></cell><cell r="AF2937"><v>3654128</v></cell><cell r="AG2937" t="str"><v>Facebook»Audience & Interest Targeting»1x1»SocialBan»LIA»DT»CPC»AUT»W»NA»SS»NA»Benefit 2 in Motion</v></cell><cell r="AH2937"><v>224334170</v></cell><cell r="AI2937" t="str"><v>AzurePlatform_FBCTCcanvaspage-BuyNowCTA-Img3_GBR_1080x162_SOC_Plat_English_NA_Standard_NA_BN_T3_1</v></cell><cell r="AJ2937"><v>103230847</v></cell></row><row r="2938"><cell r="C2938" t="str"><v>43302Facebook»Audience & Interest Targeting»1x1»SocialBan»LIA»DT»CPC»AUT»W»NA»SS»NA»Benefit 2 in Motion</v></cell><cell r="D2938" t="str"><v>43302224334170</v></cell><cell r="E2938" t="str"><v>43302103235146Motion</v></cell><cell r="F2938" t="str"><v>DCM</v></cell><cell r="G2938" t="str"><v>https://signup.azure.com/signup?offer=ms-azr-0044p&appId=102&ref=paidmedia-social-fb&redirectURL=https%3a%2f%2fazure.microsoft.com%2fen-gb%2fget-started%2fwelcome-to-azure%2f&l=en-gb&correlationId=ead86c34-1f10-49dd-a72b-6918462a2cbf</v></cell></row><row r="2938"><cell r="K2938" t="str"><v>July</v></cell><cell r="L2938"><v>43302</v></cell><cell r="M2938" t="str"><v>Tier 1</v></cell><cell r="N2938" t="str"><v>EMEA</v></cell><cell r="O2938" t="str"><v>United Kingdom</v></cell><cell r="P2938" t="str"><v>Trial</v></cell><cell r="Q2938" t="str"><v>Social</v></cell><cell r="R2938" t="str"><v>Azure</v></cell><cell r="S2938" t="str"><v>Apps & Infra</v></cell><cell r="T2938" t="str"><v>Developers & ITI's</v></cell><cell r="U2938" t="str"><v>Audience & Interest Targeting</v></cell><cell r="V2938" t="str"><v>Audience Targeting</v></cell><cell r="W2938" t="str"><v>Link Ad</v></cell><cell r="X2938" t="str"><v>1x1</v></cell></row><row r="2938"><cell r="AA2938"><v>43302</v></cell><cell r="AB2938" t="str"><v>GBR_gaPMG_CE_AZR_Q1_19_Trial-Social</v></cell><cell r="AC2938"><v>21337013</v></cell><cell r="AD2938"><v>720196</v></cell><cell r="AE2938" t="str"><v>Facebook</v></cell><cell r="AF2938"><v>3654128</v></cell><cell r="AG2938" t="str"><v>Facebook»Audience & Interest Targeting»1x1»SocialBan»LIA»DT»CPC»AUT»W»NA»SS»NA»Benefit 2 in Motion</v></cell><cell r="AH2938"><v>224334170</v></cell><cell r="AI2938" t="str"><v>AzurePlatform_FBCTCcanvaspage-StartFreeCTA-Img2_GBR_1080x143 _SOC_Plat_English_NA_Standard_NA_NA_T2_1</v></cell><cell r="AJ2938"><v>103235146</v></cell></row><row r="2939"><cell r="C2939" t="str"><v>43302Facebook»Audience & Interest Targeting»1x1»SocialBan»LIA»DT»CPC»AUT»W»NA»SS»NA»Brand in Motion</v></cell><cell r="D2939" t="str"><v>43302224549481</v></cell><cell r="E2939" t="str"><v>43302103235146Motion</v></cell><cell r="F2939" t="str"><v>DCM</v></cell><cell r="G2939" t="str"><v>https://signup.azure.com/signup?offer=ms-azr-0044p&appId=102&ref=paidmedia-social-fb&redirectURL=https%3a%2f%2fazure.microsoft.com%2fen-gb%2fget-started%2fwelcome-to-azure%2f&l=en-gb&correlationId=ead86c34-1f10-49dd-a72b-6918462a2cbf</v></cell></row><row r="2939"><cell r="K2939" t="str"><v>July</v></cell><cell r="L2939"><v>43302</v></cell><cell r="M2939" t="str"><v>Tier 1</v></cell><cell r="N2939" t="str"><v>EMEA</v></cell><cell r="O2939" t="str"><v>United Kingdom</v></cell><cell r="P2939" t="str"><v>Trial</v></cell><cell r="Q2939" t="str"><v>Social</v></cell><cell r="R2939" t="str"><v>Azure</v></cell><cell r="S2939" t="str"><v>Apps & Infra</v></cell><cell r="T2939" t="str"><v>Developers & ITI's</v></cell><cell r="U2939" t="str"><v>Audience & Interest Targeting</v></cell><cell r="V2939" t="str"><v>Audience Targeting</v></cell><cell r="W2939" t="str"><v>Link Ad</v></cell><cell r="X2939" t="str"><v>1x1</v></cell></row><row r="2939"><cell r="AA2939"><v>43302</v></cell><cell r="AB2939" t="str"><v>GBR_gaPMG_CE_AZR_Q1_19_Trial-Social</v></cell><cell r="AC2939"><v>21337013</v></cell><cell r="AD2939"><v>720196</v></cell><cell r="AE2939" t="str"><v>Facebook</v></cell><cell r="AF2939"><v>3654128</v></cell><cell r="AG2939" t="str"><v>Facebook»Audience & Interest Targeting»1x1»SocialBan»LIA»DT»CPC»AUT»W»NA»SS»NA»Brand in Motion</v></cell><cell r="AH2939"><v>224549481</v></cell><cell r="AI2939" t="str"><v>AzurePlatform_FBCTCcanvaspage-StartFreeCTA-Img2_GBR_1080x143 _SOC_Plat_English_NA_Standard_NA_NA_T2_1</v></cell><cell r="AJ2939"><v>103235146</v></cell></row><row r="2940"><cell r="C2940" t="str"><v>43302Facebook»Audience & Interest Targeting»1x1»SocialBan»LIA»DT»DYN»AUT»W»NA»SS»NA»Free Account Refresh- 12 months ChE</v></cell><cell r="D2940" t="str"><v>43302223567691</v></cell><cell r="E2940" t="str"><v>43302102854007hs ChE</v></cell><cell r="F2940" t="str"><v>DCM</v></cell><cell r="G2940" t="str"><v>https://azure.microsoft.com/en-gb/free/search/</v></cell></row><row r="2940"><cell r="K2940" t="str"><v>July</v></cell><cell r="L2940"><v>43302</v></cell><cell r="M2940" t="str"><v>Tier 1</v></cell><cell r="N2940" t="str"><v>EMEA</v></cell><cell r="O2940" t="str"><v>United Kingdom</v></cell><cell r="P2940" t="str"><v>Trial</v></cell><cell r="Q2940" t="str"><v>Social</v></cell><cell r="R2940" t="str"><v>Azure</v></cell><cell r="S2940" t="str"><v>Apps & Infra</v></cell><cell r="T2940" t="str"><v>Developers & ITI's</v></cell><cell r="U2940" t="str"><v>Audience & Interest Targeting</v></cell><cell r="V2940" t="str"><v>Audience Targeting</v></cell><cell r="W2940" t="str"><v>Link Ad</v></cell><cell r="X2940" t="str"><v>1x1</v></cell></row><row r="2940"><cell r="AA2940"><v>43302</v></cell><cell r="AB2940" t="str"><v>GBR_gaPMG_CE_AZR_Q1_19_Trial-Social</v></cell><cell r="AC2940"><v>21337013</v></cell><cell r="AD2940"><v>720196</v></cell><cell r="AE2940" t="str"><v>Facebook</v></cell><cell r="AF2940"><v>3654128</v></cell><cell r="AG2940" t="str"><v>Facebook»Audience & Interest Targeting»1x1»SocialBan»LIA»DT»DYN»AUT»W»NA»SS»NA»Free Account Refresh- 12 months ChE</v></cell><cell r="AH2940"><v>223567691</v></cell><cell r="AI2940" t="str"><v>AzurePlatform_FreeAcctAppsFACEBOOK12monthsChE_GBR_1200x628_SOC_PLAT_EN_Trial_Standard_NA_SU_T5_1</v></cell><cell r="AJ2940"><v>102854007</v></cell></row><row r="2941"><cell r="C2941" t="str"><v>43302Facebook»Audience & Interest Targeting»1x1»SocialBan»LIA»DT»DYN»AUT»W»NA»SS»NA»Free Account Refresh- 200 Credit ChD</v></cell><cell r="D2941" t="str"><v>43302223560359</v></cell><cell r="E2941" t="str"><v>43302103005662it ChD</v></cell><cell r="F2941" t="str"><v>DCM</v></cell><cell r="G2941" t="str"><v>https://azure.microsoft.com/en-gb/free/search/</v></cell></row><row r="2941"><cell r="K2941" t="str"><v>July</v></cell><cell r="L2941"><v>43302</v></cell><cell r="M2941" t="str"><v>Tier 1</v></cell><cell r="N2941" t="str"><v>EMEA</v></cell><cell r="O2941" t="str"><v>United Kingdom</v></cell><cell r="P2941" t="str"><v>Trial</v></cell><cell r="Q2941" t="str"><v>Social</v></cell><cell r="R2941" t="str"><v>Azure</v></cell><cell r="S2941" t="str"><v>Apps & Infra</v></cell><cell r="T2941" t="str"><v>Developers & ITI's</v></cell><cell r="U2941" t="str"><v>Audience & Interest Targeting</v></cell><cell r="V2941" t="str"><v>Audience Targeting</v></cell><cell r="W2941" t="str"><v>Link Ad</v></cell><cell r="X2941" t="str"><v>1x1</v></cell></row><row r="2941"><cell r="AA2941"><v>43302</v></cell><cell r="AB2941" t="str"><v>GBR_gaPMG_CE_AZR_Q1_19_Trial-Social</v></cell><cell r="AC2941"><v>21337013</v></cell><cell r="AD2941"><v>720196</v></cell><cell r="AE2941" t="str"><v>Facebook</v></cell><cell r="AF2941"><v>3654128</v></cell><cell r="AG2941" t="str"><v>Facebook»Audience & Interest Targeting»1x1»SocialBan»LIA»DT»DYN»AUT»W»NA»SS»NA»Free Account Refresh- 200 Credit ChD</v></cell><cell r="AH2941"><v>223560359</v></cell><cell r="AI2941" t="str"><v>AzurePlatform_FreeAcctAppsFACEBOOK200CreditChD_GBR_1200x628_SOC_PLAT_EN_Trial_Standard_NA_SU_T4_1</v></cell><cell r="AJ2941"><v>103005662</v></cell></row><row r="2942"><cell r="C2942" t="str"><v>43302Facebook»Audience & Interest Targeting»1x1»SocialBan»LIA»DT»DYN»AUT»W»NA»SS»NA»Free Account Refresh- Device ChB</v></cell><cell r="D2942" t="str"><v>43302223560353</v></cell><cell r="E2942" t="str"><v>43302102854010ce ChB</v></cell><cell r="F2942" t="str"><v>DCM</v></cell><cell r="G2942" t="str"><v>https://azure.microsoft.com/en-gb/free/search/</v></cell></row><row r="2942"><cell r="K2942" t="str"><v>July</v></cell><cell r="L2942"><v>43302</v></cell><cell r="M2942" t="str"><v>Tier 1</v></cell><cell r="N2942" t="str"><v>EMEA</v></cell><cell r="O2942" t="str"><v>United Kingdom</v></cell><cell r="P2942" t="str"><v>Trial</v></cell><cell r="Q2942" t="str"><v>Social</v></cell><cell r="R2942" t="str"><v>Azure</v></cell><cell r="S2942" t="str"><v>Apps & Infra</v></cell><cell r="T2942" t="str"><v>Developers & ITI's</v></cell><cell r="U2942" t="str"><v>Audience & Interest Targeting</v></cell><cell r="V2942" t="str"><v>Audience Targeting</v></cell><cell r="W2942" t="str"><v>Link Ad</v></cell><cell r="X2942" t="str"><v>1x1</v></cell></row><row r="2942"><cell r="AA2942"><v>43302</v></cell><cell r="AB2942" t="str"><v>GBR_gaPMG_CE_AZR_Q1_19_Trial-Social</v></cell><cell r="AC2942"><v>21337013</v></cell><cell r="AD2942"><v>720196</v></cell><cell r="AE2942" t="str"><v>Facebook</v></cell><cell r="AF2942"><v>3654128</v></cell><cell r="AG2942" t="str"><v>Facebook»Audience & Interest Targeting»1x1»SocialBan»LIA»DT»DYN»AUT»W»NA»SS»NA»Free Account Refresh- Device ChB</v></cell><cell r="AH2942"><v>223560353</v></cell><cell r="AI2942" t="str"><v>AzurePlatform_FreeAcctAppsFACEBOOKDeviceChB_GBR_1200x628_SOC_PLAT_EN_Trial_Standard_NA_SU_T2_1</v></cell><cell r="AJ2942"><v>102854010</v></cell></row><row r="2943"><cell r="C2943" t="str"><v>43302Facebook»Audience & Interest Targeting»1x1»SocialBan»LIA»DT»DYN»AUT»W»NA»SS»NA»Free Account Refresh- Illustration ChC</v></cell><cell r="D2943" t="str"><v>43302223560347</v></cell><cell r="E2943" t="str"><v>43302102857037on ChC</v></cell><cell r="F2943" t="str"><v>DCM</v></cell><cell r="G2943" t="str"><v>https://azure.microsoft.com/en-gb/free/search/</v></cell></row><row r="2943"><cell r="K2943" t="str"><v>July</v></cell><cell r="L2943"><v>43302</v></cell><cell r="M2943" t="str"><v>Tier 1</v></cell><cell r="N2943" t="str"><v>EMEA</v></cell><cell r="O2943" t="str"><v>United Kingdom</v></cell><cell r="P2943" t="str"><v>Trial</v></cell><cell r="Q2943" t="str"><v>Social</v></cell><cell r="R2943" t="str"><v>Azure</v></cell><cell r="S2943" t="str"><v>Apps & Infra</v></cell><cell r="T2943" t="str"><v>Developers & ITI's</v></cell><cell r="U2943" t="str"><v>Audience & Interest Targeting</v></cell><cell r="V2943" t="str"><v>Audience Targeting</v></cell><cell r="W2943" t="str"><v>Link Ad</v></cell><cell r="X2943" t="str"><v>1x1</v></cell></row><row r="2943"><cell r="AA2943"><v>43302</v></cell><cell r="AB2943" t="str"><v>GBR_gaPMG_CE_AZR_Q1_19_Trial-Social</v></cell><cell r="AC2943"><v>21337013</v></cell><cell r="AD2943"><v>720196</v></cell><cell r="AE2943" t="str"><v>Facebook</v></cell><cell r="AF2943"><v>3654128</v></cell><cell r="AG2943" t="str"><v>Facebook»Audience & Interest Targeting»1x1»SocialBan»LIA»DT»DYN»AUT»W»NA»SS»NA»Free Account Refresh- Illustration ChC</v></cell><cell r="AH2943"><v>223560347</v></cell><cell r="AI2943" t="str"><v>AzurePlatform_FreeAcctAppsFACEBOOKIllustrationChC_GBR_1200x628_SOC_PLAT_EN_Trial_Standard_NA_SU_T3_1</v></cell><cell r="AJ2943"><v>102857037</v></cell></row><row r="2944"><cell r="C2944" t="str"><v>43302Facebook»Audience & Interest Targeting»1x1»SocialBan»LIA»DT»DYN»AUT»W»NA»SS»NA»Free Account Refresh- Lifestyle ChA</v></cell><cell r="D2944" t="str"><v>43302223560341</v></cell><cell r="E2944" t="str"><v>43302102853597le ChA</v></cell><cell r="F2944" t="str"><v>DCM</v></cell><cell r="G2944" t="str"><v>https://azure.microsoft.com/en-gb/free/search/</v></cell></row><row r="2944"><cell r="K2944" t="str"><v>July</v></cell><cell r="L2944"><v>43302</v></cell><cell r="M2944" t="str"><v>Tier 1</v></cell><cell r="N2944" t="str"><v>EMEA</v></cell><cell r="O2944" t="str"><v>United Kingdom</v></cell><cell r="P2944" t="str"><v>Trial</v></cell><cell r="Q2944" t="str"><v>Social</v></cell><cell r="R2944" t="str"><v>Azure</v></cell><cell r="S2944" t="str"><v>Apps & Infra</v></cell><cell r="T2944" t="str"><v>Developers & ITI's</v></cell><cell r="U2944" t="str"><v>Audience & Interest Targeting</v></cell><cell r="V2944" t="str"><v>Audience Targeting</v></cell><cell r="W2944" t="str"><v>Link Ad</v></cell><cell r="X2944" t="str"><v>1x1</v></cell></row><row r="2944"><cell r="AA2944"><v>43302</v></cell><cell r="AB2944" t="str"><v>GBR_gaPMG_CE_AZR_Q1_19_Trial-Social</v></cell><cell r="AC2944"><v>21337013</v></cell><cell r="AD2944"><v>720196</v></cell><cell r="AE2944" t="str"><v>Facebook</v></cell><cell r="AF2944"><v>3654128</v></cell><cell r="AG2944" t="str"><v>Facebook»Audience & Interest Targeting»1x1»SocialBan»LIA»DT»DYN»AUT»W»NA»SS»NA»Free Account Refresh- Lifestyle ChA</v></cell><cell r="AH2944"><v>223560341</v></cell><cell r="AI2944" t="str"><v>AzurePlatform_FreeAcctAppsFACEBOOKLifestyleChA_GBR_1200x628_SOC_PLAT_EN_Trial_Standard_NA_SU_T1_1</v></cell><cell r="AJ2944"><v>102853597</v></cell></row><row r="2945"><cell r="C2945" t="str"><v>43302Facebook»Retargeting»1x1»SocialBan»LIA»DT»DYN»RT»W»NA»SS»NA»Free Account Retargeting Generic- Animated ChC</v></cell><cell r="D2945" t="str"><v>43302223560299</v></cell><cell r="E2945" t="str"><v>43302102854019ed ChC</v></cell><cell r="F2945" t="str"><v>DCM</v></cell><cell r="G2945" t="str"><v>https://azure.microsoft.com/en-gb/free/search/</v></cell></row><row r="2945"><cell r="K2945" t="str"><v>July</v></cell><cell r="L2945"><v>43302</v></cell><cell r="M2945" t="str"><v>Tier 1</v></cell><cell r="N2945" t="str"><v>EMEA</v></cell><cell r="O2945" t="str"><v>United Kingdom</v></cell><cell r="P2945" t="str"><v>Trial</v></cell><cell r="Q2945" t="str"><v>Social</v></cell><cell r="R2945" t="str"><v>Azure</v></cell><cell r="S2945" t="str"><v>Apps & Infra</v></cell><cell r="T2945" t="str"><v>Developers & ITI's</v></cell><cell r="U2945" t="str"><v>Retargeting</v></cell><cell r="V2945" t="str"><v>Retargeting</v></cell><cell r="W2945" t="str"><v>Link Ad</v></cell><cell r="X2945" t="str"><v>1x1</v></cell></row><row r="2945"><cell r="AA2945"><v>43302</v></cell><cell r="AB2945" t="str"><v>GBR_gaPMG_CE_AZR_Q1_19_Trial-Social</v></cell><cell r="AC2945"><v>21337013</v></cell><cell r="AD2945"><v>720196</v></cell><cell r="AE2945" t="str"><v>Facebook</v></cell><cell r="AF2945"><v>3654128</v></cell><cell r="AG2945" t="str"><v>Facebook»Retargeting»1x1»SocialBan»LIA»DT»DYN»RT»W»NA»SS»NA»Free Account Retargeting Generic- Animated ChC</v></cell><cell r="AH2945"><v>223560299</v></cell><cell r="AI2945" t="str"><v>AzurePlatform_FreeAcctRetargetingFB-Animated-ChC_GBR_1200x628_SOC_Plat_EN_Free Account_Standard_ANI_SU_T3_1</v></cell><cell r="AJ2945"><v>102854019</v></cell></row><row r="2946"><cell r="C2946" t="str"><v>43302Facebook»Retargeting»1x1»SocialBan»LIA»DT»DYN»RT»W»NA»SS»NA»Free Account Retargeting Generic- Global Alt ChB</v></cell><cell r="D2946" t="str"><v>43302223560356</v></cell><cell r="E2946" t="str"><v>43302102854016lt ChB</v></cell><cell r="F2946" t="str"><v>DCM</v></cell><cell r="G2946" t="str"><v>https://azure.microsoft.com/en-gb/free/search/</v></cell></row><row r="2946"><cell r="K2946" t="str"><v>July</v></cell><cell r="L2946"><v>43302</v></cell><cell r="M2946" t="str"><v>Tier 1</v></cell><cell r="N2946" t="str"><v>EMEA</v></cell><cell r="O2946" t="str"><v>United Kingdom</v></cell><cell r="P2946" t="str"><v>Trial</v></cell><cell r="Q2946" t="str"><v>Social</v></cell><cell r="R2946" t="str"><v>Azure</v></cell><cell r="S2946" t="str"><v>Apps & Infra</v></cell><cell r="T2946" t="str"><v>Developers & ITI's</v></cell><cell r="U2946" t="str"><v>Retargeting</v></cell><cell r="V2946" t="str"><v>Retargeting</v></cell><cell r="W2946" t="str"><v>Link Ad</v></cell><cell r="X2946" t="str"><v>1x1</v></cell></row><row r="2946"><cell r="AA2946"><v>43302</v></cell><cell r="AB2946" t="str"><v>GBR_gaPMG_CE_AZR_Q1_19_Trial-Social</v></cell><cell r="AC2946"><v>21337013</v></cell><cell r="AD2946"><v>720196</v></cell><cell r="AE2946" t="str"><v>Facebook</v></cell><cell r="AF2946"><v>3654128</v></cell><cell r="AG2946" t="str"><v>Facebook»Retargeting»1x1»SocialBan»LIA»DT»DYN»RT»W»NA»SS»NA»Free Account Retargeting Generic- Global Alt ChB</v></cell><cell r="AH2946"><v>223560356</v></cell><cell r="AI2946" t="str"><v>AzurePlatform_FreeAcctRetargetingFB-GlobalAlt-ChB_GBR_1200x628_SOC_Plat_EN_Free Account_Standard_NA_SU_T2_1</v></cell><cell r="AJ2946"><v>102854016</v></cell></row><row r="2947"><cell r="C2947" t="str"><v>43302Facebook»Retargeting»1x1»SocialBan»LIA»DT»DYN»RT»W»NA»SS»NA»Free Account Retargeting OSS- Text ChF</v></cell><cell r="D2947" t="str"><v>43302223560344</v></cell><cell r="E2947" t="str"><v>43302102861246xt ChF</v></cell><cell r="F2947" t="str"><v>DCM</v></cell><cell r="G2947" t="str"><v>https://azure.microsoft.com/en-gb/free/open-source/search/</v></cell></row><row r="2947"><cell r="K2947" t="str"><v>July</v></cell><cell r="L2947"><v>43302</v></cell><cell r="M2947" t="str"><v>Tier 1</v></cell><cell r="N2947" t="str"><v>EMEA</v></cell><cell r="O2947" t="str"><v>United Kingdom</v></cell><cell r="P2947" t="str"><v>Trial</v></cell><cell r="Q2947" t="str"><v>Social</v></cell><cell r="R2947" t="str"><v>Azure</v></cell><cell r="S2947" t="str"><v>Apps & Infra</v></cell><cell r="T2947" t="str"><v>Developers & ITI's</v></cell><cell r="U2947" t="str"><v>Retargeting</v></cell><cell r="V2947" t="str"><v>Retargeting</v></cell><cell r="W2947" t="str"><v>Link Ad</v></cell><cell r="X2947" t="str"><v>1x1</v></cell></row><row r="2947"><cell r="AA2947"><v>43302</v></cell><cell r="AB2947" t="str"><v>GBR_gaPMG_CE_AZR_Q1_19_Trial-Social</v></cell><cell r="AC2947"><v>21337013</v></cell><cell r="AD2947"><v>720196</v></cell><cell r="AE2947" t="str"><v>Facebook</v></cell><cell r="AF2947"><v>3654128</v></cell><cell r="AG2947" t="str"><v>Facebook»Retargeting»1x1»SocialBan»LIA»DT»DYN»RT»W»NA»SS»NA»Free Account Retargeting OSS- Text ChF</v></cell><cell r="AH2947"><v>223560344</v></cell><cell r="AI2947" t="str"><v>AzurePlatform_FreeAcctRetargetingOSSFB-Text-ChF_GBR_1200x628_SOC_Plat_EN_Free Account_Standard_NA_SU_T1_1</v></cell><cell r="AJ2947"><v>102861246</v></cell></row><row r="2948"><cell r="C2948" t="str"><v>43302Facebook»Retargeting»1x1»SocialBan»LIA»DT»DYN»RT»W»NA»SS»NA»Free Account Retargeting VM- 750 Hrs ChD</v></cell><cell r="D2948" t="str"><v>43302223560338</v></cell><cell r="E2948" t="str"><v>43302102853603rs ChD</v></cell><cell r="F2948" t="str"><v>DCM</v></cell><cell r="G2948" t="str"><v>https://azure.microsoft.com/en-gb/free/virtual-machines/search/</v></cell></row><row r="2948"><cell r="K2948" t="str"><v>July</v></cell><cell r="L2948"><v>43302</v></cell><cell r="M2948" t="str"><v>Tier 1</v></cell><cell r="N2948" t="str"><v>EMEA</v></cell><cell r="O2948" t="str"><v>United Kingdom</v></cell><cell r="P2948" t="str"><v>Trial</v></cell><cell r="Q2948" t="str"><v>Social</v></cell><cell r="R2948" t="str"><v>Azure</v></cell><cell r="S2948" t="str"><v>Apps & Infra</v></cell><cell r="T2948" t="str"><v>Developers & ITI's</v></cell><cell r="U2948" t="str"><v>Retargeting</v></cell><cell r="V2948" t="str"><v>Retargeting</v></cell><cell r="W2948" t="str"><v>Link Ad</v></cell><cell r="X2948" t="str"><v>1x1</v></cell></row><row r="2948"><cell r="AA2948"><v>43302</v></cell><cell r="AB2948" t="str"><v>GBR_gaPMG_CE_AZR_Q1_19_Trial-Social</v></cell><cell r="AC2948"><v>21337013</v></cell><cell r="AD2948"><v>720196</v></cell><cell r="AE2948" t="str"><v>Facebook</v></cell><cell r="AF2948"><v>3654128</v></cell><cell r="AG2948" t="str"><v>Facebook»Retargeting»1x1»SocialBan»LIA»DT»DYN»RT»W»NA»SS»NA»Free Account Retargeting VM- 750 Hrs ChD</v></cell><cell r="AH2948"><v>223560338</v></cell><cell r="AI2948" t="str"><v>AzurePlatform_FreeAcctRetargetingVMFB-750Hrs-ChD_GBR_1200x628_SOC_Plat_EN_Free Account_Standard_NA_SU_T1_1</v></cell><cell r="AJ2948"><v>102853603</v></cell></row><row r="2949"><cell r="C2949" t="str"><v>43302Facebook»AZP-Canvas-Interest&Role-Trial»1x1»Canvas»OTH»MO»CPM»PRO»X»UNK»TP»OT»Canvas-Trial</v></cell><cell r="D2949" t="str"><v>43302223298805</v></cell><cell r="E2949" t="str"><v>43302102609621-Trial</v></cell><cell r="F2949" t="str"><v>DCM</v></cell><cell r="G2949" t="str"><v>https://signup.azure.com/signup?offer=ms-azr-0044p&appId=102&ref=paidmedia-social-fb&redirectURL=https%3a%2f%2fazure.microsoft.com%2fja-jp%2fget-started%2fwelcome-to-azure%2f&l=ja-jp&correlationId=ead86c34-1f10-49dd-a72b-6918462a2cbf</v></cell></row><row r="2949"><cell r="K2949" t="str"><v>July</v></cell><cell r="L2949"><v>43302</v></cell><cell r="M2949" t="str"><v>Tier 1</v></cell><cell r="N2949" t="str"><v>APAC</v></cell><cell r="O2949" t="str"><v>Japan</v></cell><cell r="P2949" t="str"><v>Trial</v></cell><cell r="Q2949" t="str"><v>Social</v></cell><cell r="R2949" t="str"><v>Azure</v></cell><cell r="S2949" t="str"><v>Apps & Infra</v></cell><cell r="T2949" t="str"><v>Developers & ITI's</v></cell><cell r="U2949" t="str"><v>AZP-Canvas-Interest&Role-Trial</v></cell><cell r="V2949" t="str"><v>Prospecting</v></cell><cell r="W2949" t="str"><v>Other</v></cell><cell r="X2949" t="str"><v>1x1</v></cell></row><row r="2949"><cell r="AA2949"><v>43302</v></cell><cell r="AB2949" t="str"><v>JPN_gaPMG_AZR_AZR_Q1_19_Trial-Social</v></cell><cell r="AC2949"><v>21276694</v></cell><cell r="AD2949"><v>720195</v></cell><cell r="AE2949" t="str"><v>Facebook</v></cell><cell r="AF2949"><v>3654128</v></cell><cell r="AG2949" t="str"><v>Facebook»AZP-Canvas-Interest&Role-Trial»1x1»Canvas»OTH»MO»CPM»PRO»X»UNK»TP»OT»Canvas-Trial</v></cell><cell r="AH2949"><v>223298805</v></cell><cell r="AI2949" t="str"><v>AzurePlatform_FBCTCcanvaspage-StartFreeCTA-Img2_JPN_1080x143 _SOC_Plat_Japanese_NA_Standard_NA_NA_T2_1</v></cell><cell r="AJ2949"><v>102609621</v></cell></row><row r="2950"><cell r="C2950" t="str"><v>43302Facebook»AZP-Canvas-Look a Like-Trial»1x1»Canvas»OTH»MO»CPM»PRO»X»UNK»TP»OT»Canvas-Trial</v></cell><cell r="D2950" t="str"><v>43302223297413</v></cell><cell r="E2950" t="str"><v>43302102630373-Trial</v></cell><cell r="F2950" t="str"><v>DCM</v></cell><cell r="G2950" t="str"><v>https://azure.microsoft.com/ja-jp/pricing/purchase-options/</v></cell></row><row r="2950"><cell r="K2950" t="str"><v>July</v></cell><cell r="L2950"><v>43302</v></cell><cell r="M2950" t="str"><v>Tier 1</v></cell><cell r="N2950" t="str"><v>APAC</v></cell><cell r="O2950" t="str"><v>Japan</v></cell><cell r="P2950" t="str"><v>Trial</v></cell><cell r="Q2950" t="str"><v>Social</v></cell><cell r="R2950" t="str"><v>Azure</v></cell><cell r="S2950" t="str"><v>Apps & Infra</v></cell><cell r="T2950" t="str"><v>Developers & ITI's</v></cell><cell r="U2950" t="str"><v>AZP-Canvas-Look a Like-Trial</v></cell><cell r="V2950" t="str"><v>Prospecting</v></cell><cell r="W2950" t="str"><v>Other</v></cell><cell r="X2950" t="str"><v>1x1</v></cell></row><row r="2950"><cell r="AA2950"><v>43302</v></cell><cell r="AB2950" t="str"><v>JPN_gaPMG_AZR_AZR_Q1_19_Trial-Social</v></cell><cell r="AC2950"><v>21276694</v></cell><cell r="AD2950"><v>720195</v></cell><cell r="AE2950" t="str"><v>Facebook</v></cell><cell r="AF2950"><v>3654128</v></cell><cell r="AG2950" t="str"><v>Facebook»AZP-Canvas-Look a Like-Trial»1x1»Canvas»OTH»MO»CPM»PRO»X»UNK»TP»OT»Canvas-Trial</v></cell><cell r="AH2950"><v>223297413</v></cell><cell r="AI2950" t="str"><v>AzurePlatform_FBCTCcanvaspage-BuyNowCTA-Img3_JPN_1080x162_SOC_Plat_Japanese_NA_Standard_NA_BN_T3_1</v></cell><cell r="AJ2950"><v>102630373</v></cell></row><row r="2951"><cell r="C2951" t="str"><v>43302Facebook»AZP-Canvas-Look a Like-Trial»1x1»Canvas»OTH»MO»CPM»PRO»X»UNK»TP»OT»Canvas-Trial</v></cell><cell r="D2951" t="str"><v>43302223297413</v></cell><cell r="E2951" t="str"><v>43302102609621-Trial</v></cell><cell r="F2951" t="str"><v>DCM</v></cell><cell r="G2951" t="str"><v>https://signup.azure.com/signup?offer=ms-azr-0044p&appId=102&ref=paidmedia-social-fb&redirectURL=https%3a%2f%2fazure.microsoft.com%2fja-jp%2fget-started%2fwelcome-to-azure%2f&l=ja-jp&correlationId=ead86c34-1f10-49dd-a72b-6918462a2cbf</v></cell></row><row r="2951"><cell r="K2951" t="str"><v>July</v></cell><cell r="L2951"><v>43302</v></cell><cell r="M2951" t="str"><v>Tier 1</v></cell><cell r="N2951" t="str"><v>APAC</v></cell><cell r="O2951" t="str"><v>Japan</v></cell><cell r="P2951" t="str"><v>Trial</v></cell><cell r="Q2951" t="str"><v>Social</v></cell><cell r="R2951" t="str"><v>Azure</v></cell><cell r="S2951" t="str"><v>Apps & Infra</v></cell><cell r="T2951" t="str"><v>Developers & ITI's</v></cell><cell r="U2951" t="str"><v>AZP-Canvas-Look a Like-Trial</v></cell><cell r="V2951" t="str"><v>Prospecting</v></cell><cell r="W2951" t="str"><v>Other</v></cell><cell r="X2951" t="str"><v>1x1</v></cell></row><row r="2951"><cell r="AA2951"><v>43302</v></cell><cell r="AB2951" t="str"><v>JPN_gaPMG_AZR_AZR_Q1_19_Trial-Social</v></cell><cell r="AC2951"><v>21276694</v></cell><cell r="AD2951"><v>720195</v></cell><cell r="AE2951" t="str"><v>Facebook</v></cell><cell r="AF2951"><v>3654128</v></cell><cell r="AG2951" t="str"><v>Facebook»AZP-Canvas-Look a Like-Trial»1x1»Canvas»OTH»MO»CPM»PRO»X»UNK»TP»OT»Canvas-Trial</v></cell><cell r="AH2951"><v>223297413</v></cell><cell r="AI2951" t="str"><v>AzurePlatform_FBCTCcanvaspage-StartFreeCTA-Img2_JPN_1080x143 _SOC_Plat_Japanese_NA_Standard_NA_NA_T2_1</v></cell><cell r="AJ2951"><v>102609621</v></cell></row><row r="2952"><cell r="C2952" t="str"><v>43302Facebook»AZP-Retargeting»1x1»Ban»LIA»ALL»CPM»RT»X»All»TP»OT»Free Account Retargeting Generic-ChB</v></cell><cell r="D2952" t="str"><v>43302223726377</v></cell><cell r="E2952" t="str"><v>43302102977720ic-ChB</v></cell><cell r="F2952" t="str"><v>DCM</v></cell><cell r="G2952" t="str"><v>https://azure.microsoft.com/ja-jp/free/search/</v></cell></row><row r="2952"><cell r="K2952" t="str"><v>July</v></cell><cell r="L2952"><v>43302</v></cell><cell r="M2952" t="str"><v>Tier 1</v></cell><cell r="N2952" t="str"><v>APAC</v></cell><cell r="O2952" t="str"><v>Japan</v></cell><cell r="P2952" t="str"><v>Trial</v></cell><cell r="Q2952" t="str"><v>Social</v></cell><cell r="R2952" t="str"><v>Azure</v></cell><cell r="S2952" t="str"><v>Apps & Infra</v></cell><cell r="T2952" t="str"><v>Developers & ITI's</v></cell><cell r="U2952" t="str"><v>AZP-Retargeting</v></cell><cell r="V2952" t="str"><v>Retargeting</v></cell><cell r="W2952" t="str"><v>Link Ad</v></cell><cell r="X2952" t="str"><v>1x1</v></cell></row><row r="2952"><cell r="AA2952"><v>43302</v></cell><cell r="AB2952" t="str"><v>JPN_gaPMG_AZR_AZR_Q1_19_Trial-Social</v></cell><cell r="AC2952"><v>21276694</v></cell><cell r="AD2952"><v>720195</v></cell><cell r="AE2952" t="str"><v>Facebook</v></cell><cell r="AF2952"><v>3654128</v></cell><cell r="AG2952" t="str"><v>Facebook»AZP-Retargeting»1x1»Ban»LIA»ALL»CPM»RT»X»All»TP»OT»Free Account Retargeting Generic-ChB</v></cell><cell r="AH2952"><v>223726377</v></cell><cell r="AI2952" t="str"><v>AzurePlatform_FreeAcctRetargetingFB-GlobalAlt-ChB_JPN_1200x628_SOC_Plat_JA_Free Account_Standard_NA_SU_T2_1</v></cell><cell r="AJ2952"><v>102977720</v></cell></row><row r="2953"><cell r="C2953" t="str"><v>43302Facebook»AZP-Retargeting»1x1»Ban»LIA»ALL»CPM»RT»X»All»TP»OT»Free Account Retargeting OSS-ChG</v></cell><cell r="D2953" t="str"><v>43302223726365</v></cell><cell r="E2953" t="str"><v>43302102976850SS-ChG</v></cell><cell r="F2953" t="str"><v>DCM</v></cell><cell r="G2953" t="str"><v>https://azure.microsoft.com/ja-jp/free/open-source/search/</v></cell></row><row r="2953"><cell r="K2953" t="str"><v>July</v></cell><cell r="L2953"><v>43302</v></cell><cell r="M2953" t="str"><v>Tier 1</v></cell><cell r="N2953" t="str"><v>APAC</v></cell><cell r="O2953" t="str"><v>Japan</v></cell><cell r="P2953" t="str"><v>Trial</v></cell><cell r="Q2953" t="str"><v>Social</v></cell><cell r="R2953" t="str"><v>Azure</v></cell><cell r="S2953" t="str"><v>Apps & Infra</v></cell><cell r="T2953" t="str"><v>Developers & ITI's</v></cell><cell r="U2953" t="str"><v>AZP-Retargeting</v></cell><cell r="V2953" t="str"><v>Retargeting</v></cell><cell r="W2953" t="str"><v>Link Ad</v></cell><cell r="X2953" t="str"><v>1x1</v></cell></row><row r="2953"><cell r="AA2953"><v>43302</v></cell><cell r="AB2953" t="str"><v>JPN_gaPMG_AZR_AZR_Q1_19_Trial-Social</v></cell><cell r="AC2953"><v>21276694</v></cell><cell r="AD2953"><v>720195</v></cell><cell r="AE2953" t="str"><v>Facebook</v></cell><cell r="AF2953"><v>3654128</v></cell><cell r="AG2953" t="str"><v>Facebook»AZP-Retargeting»1x1»Ban»LIA»ALL»CPM»RT»X»All»TP»OT»Free Account Retargeting OSS-ChG</v></cell><cell r="AH2953"><v>223726365</v></cell><cell r="AI2953" t="str"><v>AzurePlatform_FreeAcctRetargetingOSSFB-Logos-ChG_JPN_1200x628_SOC_Plat_JA_Free Account_Standard_NA_SU_T2_1</v></cell><cell r="AJ2953"><v>102976850</v></cell></row><row r="2954"><cell r="C2954" t="str"><v>43302Facebook»AZP-Retargeting»1x1»Ban»LIA»ALL»CPM»RT»X»All»TP»OT»Free Account Retargeting VM-ChE</v></cell><cell r="D2954" t="str"><v>43302223726371</v></cell><cell r="E2954" t="str"><v>43302102977723VM-ChE</v></cell><cell r="F2954" t="str"><v>DCM</v></cell><cell r="G2954" t="str"><v>https://azure.microsoft.com/ja-jp/free/virtual-machines/search/</v></cell></row><row r="2954"><cell r="K2954" t="str"><v>July</v></cell><cell r="L2954"><v>43302</v></cell><cell r="M2954" t="str"><v>Tier 1</v></cell><cell r="N2954" t="str"><v>APAC</v></cell><cell r="O2954" t="str"><v>Japan</v></cell><cell r="P2954" t="str"><v>Trial</v></cell><cell r="Q2954" t="str"><v>Social</v></cell><cell r="R2954" t="str"><v>Azure</v></cell><cell r="S2954" t="str"><v>Apps & Infra</v></cell><cell r="T2954" t="str"><v>Developers & ITI's</v></cell><cell r="U2954" t="str"><v>AZP-Retargeting</v></cell><cell r="V2954" t="str"><v>Retargeting</v></cell><cell r="W2954" t="str"><v>Link Ad</v></cell><cell r="X2954" t="str"><v>1x1</v></cell></row><row r="2954"><cell r="AA2954"><v>43302</v></cell><cell r="AB2954" t="str"><v>JPN_gaPMG_AZR_AZR_Q1_19_Trial-Social</v></cell><cell r="AC2954"><v>21276694</v></cell><cell r="AD2954"><v>720195</v></cell><cell r="AE2954" t="str"><v>Facebook</v></cell><cell r="AF2954"><v>3654128</v></cell><cell r="AG2954" t="str"><v>Facebook»AZP-Retargeting»1x1»Ban»LIA»ALL»CPM»RT»X»All»TP»OT»Free Account Retargeting VM-ChE</v></cell><cell r="AH2954"><v>223726371</v></cell><cell r="AI2954" t="str"><v>AzurePlatform_FreeAcctRetargetingVMFB-OnDemand-ChE_JPN_1200x628_SOC_Plat_JA_Free Account_Standard_NA_SU_T2_1</v></cell><cell r="AJ2954"><v>102977723</v></cell></row><row r="2955"><cell r="C2955" t="str"><v>43302Facebook»AZP-Retargeting»1x1»Canvas»OTH»MO»CPM»RT»W»UNK»TP»OT»Trial-Benefit2inMotion</v></cell><cell r="D2955" t="str"><v>43302223298496</v></cell><cell r="E2955" t="str"><v>43302102630376Motion</v></cell><cell r="F2955" t="str"><v>DCM</v></cell><cell r="G2955" t="str"><v>https://azure.microsoft.com/ja-jp/free/search/</v></cell></row><row r="2955"><cell r="K2955" t="str"><v>July</v></cell><cell r="L2955"><v>43302</v></cell><cell r="M2955" t="str"><v>Tier 1</v></cell><cell r="N2955" t="str"><v>APAC</v></cell><cell r="O2955" t="str"><v>Japan</v></cell><cell r="P2955" t="str"><v>Trial</v></cell><cell r="Q2955" t="str"><v>Social</v></cell><cell r="R2955" t="str"><v>Azure</v></cell><cell r="S2955" t="str"><v>Apps & Infra</v></cell><cell r="T2955" t="str"><v>Developers & ITI's</v></cell><cell r="U2955" t="str"><v>AZP-Retargeting</v></cell><cell r="V2955" t="str"><v>Retargeting</v></cell><cell r="W2955" t="str"><v>Other</v></cell><cell r="X2955" t="str"><v>1x1</v></cell></row><row r="2955"><cell r="AA2955"><v>43302</v></cell><cell r="AB2955" t="str"><v>JPN_gaPMG_AZR_AZR_Q1_19_Trial-Social</v></cell><cell r="AC2955"><v>21276694</v></cell><cell r="AD2955"><v>720195</v></cell><cell r="AE2955" t="str"><v>Facebook</v></cell><cell r="AF2955"><v>3654128</v></cell><cell r="AG2955" t="str"><v>Facebook»AZP-Retargeting»1x1»Canvas»OTH»MO»CPM»RT»W»UNK»TP»OT»Trial-Benefit2inMotion</v></cell><cell r="AH2955"><v>223298496</v></cell><cell r="AI2955" t="str"><v>AzurePlatform_FBCTCBenefit2inMotion_JPN_14sec_ISV_PLAT_JA_Trial_Standard_STAN_TN_T4_1</v></cell><cell r="AJ2955"><v>102630376</v></cell></row><row r="2956"><cell r="C2956" t="str"><v>43302Facebook»AZP-Retargeting»1x1»Canvas»OTH»MO»CPM»RT»W»UNK»TP»OT»Trial-BrandinMotion</v></cell><cell r="D2956" t="str"><v>43302223298823</v></cell><cell r="E2956" t="str"><v>43302102612720Motion</v></cell><cell r="F2956" t="str"><v>DCM</v></cell><cell r="G2956" t="str"><v>https://azure.microsoft.com/ja-jp/free/search/</v></cell></row><row r="2956"><cell r="K2956" t="str"><v>July</v></cell><cell r="L2956"><v>43302</v></cell><cell r="M2956" t="str"><v>Tier 1</v></cell><cell r="N2956" t="str"><v>APAC</v></cell><cell r="O2956" t="str"><v>Japan</v></cell><cell r="P2956" t="str"><v>Trial</v></cell><cell r="Q2956" t="str"><v>Social</v></cell><cell r="R2956" t="str"><v>Azure</v></cell><cell r="S2956" t="str"><v>Apps & Infra</v></cell><cell r="T2956" t="str"><v>Developers & ITI's</v></cell><cell r="U2956" t="str"><v>AZP-Retargeting</v></cell><cell r="V2956" t="str"><v>Retargeting</v></cell><cell r="W2956" t="str"><v>Other</v></cell><cell r="X2956" t="str"><v>1x1</v></cell></row><row r="2956"><cell r="AA2956"><v>43302</v></cell><cell r="AB2956" t="str"><v>JPN_gaPMG_AZR_AZR_Q1_19_Trial-Social</v></cell><cell r="AC2956"><v>21276694</v></cell><cell r="AD2956"><v>720195</v></cell><cell r="AE2956" t="str"><v>Facebook</v></cell><cell r="AF2956"><v>3654128</v></cell><cell r="AG2956" t="str"><v>Facebook»AZP-Retargeting»1x1»Canvas»OTH»MO»CPM»RT»W»UNK»TP»OT»Trial-BrandinMotion</v></cell><cell r="AH2956"><v>223298823</v></cell><cell r="AI2956" t="str"><v>AzurePlatform_FBCTCBrandinMotion_JPN_12sec_ISV_PLAT_JA_Trial_Standard_STAN_TN_T2_1</v></cell><cell r="AJ2956"><v>102612720</v></cell></row><row r="2957"><cell r="C2957" t="str"><v>43302FACEBOOK»USA-Trial-ITD-Interest Prospecting-AZR-AZR»1 x 1»SocialBan»CAN»ALL»CPA»PRO»X»NA»SS»NA»FBCTCBasicMotion»PRC1SV</v></cell><cell r="D2957" t="str"><v>43302223934062</v></cell><cell r="E2957" t="str"><v>43302103043823PRC1SV</v></cell><cell r="F2957" t="str"><v>DCM</v></cell><cell r="G2957" t="str"><v>https://signup.azure.com/?OCID=AID%eexcid!_OLA_%ebuy!_%epid!_%ecid!</v></cell></row><row r="2957"><cell r="K2957" t="str"><v>July</v></cell><cell r="L2957"><v>43302</v></cell><cell r="M2957" t="str"><v>Tier 0</v></cell><cell r="N2957" t="str"><v>North America</v></cell><cell r="O2957" t="str"><v>United States</v></cell><cell r="P2957" t="str"><v>Trial</v></cell><cell r="Q2957" t="str"><v>Social</v></cell><cell r="R2957" t="str"><v>Azure</v></cell><cell r="S2957" t="str"><v>Apps & Infra</v></cell><cell r="T2957" t="str"><v>Developers & ITI's</v></cell><cell r="U2957" t="str"><v>USA-Trial-ITD-Interest Prospecting-AZR-AZR</v></cell><cell r="V2957" t="str"><v>Prospecting</v></cell><cell r="W2957" t="str"><v>Canvas Ad</v></cell><cell r="X2957" t="str"><v>1x1</v></cell></row><row r="2957"><cell r="AA2957"><v>43302</v></cell><cell r="AB2957" t="str"><v>USA_gaPMG_AZR_AZR_Q1_19_Direct-Social</v></cell><cell r="AC2957"><v>21358715</v></cell><cell r="AD2957"><v>720197</v></cell><cell r="AE2957" t="str"><v>Facebook</v></cell><cell r="AF2957"><v>3654128</v></cell><cell r="AG2957" t="str"><v>FACEBOOK»USA-Trial-ITD-Interest Prospecting-AZR-AZR»1 x 1»SocialBan»CAN»ALL»CPA»PRO»X»NA»SS»NA»FBCTCBasicMotion»PRC1SV</v></cell><cell r="AH2957"><v>223934062</v></cell><cell r="AI2957" t="str"><v>AzurePlatform_FBCTCBasicMotion_USA_10s_CAN_PLATFORM_English_Trial_Standard_STAN_TIN_T1_1</v></cell><cell r="AJ2957"><v>103043823</v></cell></row><row r="2958"><cell r="C2958" t="str"><v>43302FACEBOOK»USA-Trial-ITD-Interest Prospecting-AZR-AZR»1 x 1»SocialBan»CAN»ALL»CPA»PRO»X»NA»SS»NA»FBCTCBasicMotion»PRC1SV</v></cell><cell r="D2958" t="str"><v>43302223934062</v></cell><cell r="E2958" t="str"><v>43302103175984PRC1SV</v></cell><cell r="F2958" t="str"><v>DCM</v></cell><cell r="G2958" t="str"><v>https://azure.microsoft.com/en-us/pricing/purchase-options/?v=18.19&OCID=AID%eexcid!_OLA_%ebuy!_%epid!_%ecid!</v></cell></row><row r="2958"><cell r="K2958" t="str"><v>July</v></cell><cell r="L2958"><v>43302</v></cell><cell r="M2958" t="str"><v>Tier 0</v></cell><cell r="N2958" t="str"><v>North America</v></cell><cell r="O2958" t="str"><v>United States</v></cell><cell r="P2958" t="str"><v>Trial</v></cell><cell r="Q2958" t="str"><v>Social</v></cell><cell r="R2958" t="str"><v>Azure</v></cell><cell r="S2958" t="str"><v>Apps & Infra</v></cell><cell r="T2958" t="str"><v>Developers & ITI's</v></cell><cell r="U2958" t="str"><v>USA-Trial-ITD-Interest Prospecting-AZR-AZR</v></cell><cell r="V2958" t="str"><v>Prospecting</v></cell><cell r="W2958" t="str"><v>Canvas Ad</v></cell><cell r="X2958" t="str"><v>1x1</v></cell></row><row r="2958"><cell r="AA2958"><v>43302</v></cell><cell r="AB2958" t="str"><v>USA_gaPMG_AZR_AZR_Q1_19_Direct-Social</v></cell><cell r="AC2958"><v>21358715</v></cell><cell r="AD2958"><v>720197</v></cell><cell r="AE2958" t="str"><v>Facebook</v></cell><cell r="AF2958"><v>3654128</v></cell><cell r="AG2958" t="str"><v>FACEBOOK»USA-Trial-ITD-Interest Prospecting-AZR-AZR»1 x 1»SocialBan»CAN»ALL»CPA»PRO»X»NA»SS»NA»FBCTCBasicMotion»PRC1SV</v></cell><cell r="AH2958"><v>223934062</v></cell><cell r="AI2958" t="str"><v>AzurePlatform_FBCTCBasicMotion_USA_10s_CAN_PLATFORM_English_Trial_Standard_STAN_TIN_T1_2</v></cell><cell r="AJ2958"><v>103175984</v></cell></row><row r="2959"><cell r="C2959" t="str"><v>43302FACEBOOK»USA-Trial-ITD-Interest Prospecting-AZR-AZR»1 x 1»SocialBan»CAN»ALL»CPA»PRO»X»NA»SS»NA»FBCTCBenefit2inMotion»PRC1SW</v></cell><cell r="D2959" t="str"><v>43302223933138</v></cell><cell r="E2959" t="str"><v>43302103043835PRC1SW</v></cell><cell r="F2959" t="str"><v>DCM</v></cell><cell r="G2959" t="str"><v>https://signup.azure.com/?OCID=AID%eexcid!_OLA_%ebuy!_%epid!_%ecid!</v></cell></row><row r="2959"><cell r="K2959" t="str"><v>July</v></cell><cell r="L2959"><v>43302</v></cell><cell r="M2959" t="str"><v>Tier 0</v></cell><cell r="N2959" t="str"><v>North America</v></cell><cell r="O2959" t="str"><v>United States</v></cell><cell r="P2959" t="str"><v>Trial</v></cell><cell r="Q2959" t="str"><v>Social</v></cell><cell r="R2959" t="str"><v>Azure</v></cell><cell r="S2959" t="str"><v>Apps & Infra</v></cell><cell r="T2959" t="str"><v>Developers & ITI's</v></cell><cell r="U2959" t="str"><v>USA-Trial-ITD-Interest Prospecting-AZR-AZR</v></cell><cell r="V2959" t="str"><v>Prospecting</v></cell><cell r="W2959" t="str"><v>Canvas Ad</v></cell><cell r="X2959" t="str"><v>1x1</v></cell></row><row r="2959"><cell r="AA2959"><v>43302</v></cell><cell r="AB2959" t="str"><v>USA_gaPMG_AZR_AZR_Q1_19_Direct-Social</v></cell><cell r="AC2959"><v>21358715</v></cell><cell r="AD2959"><v>720197</v></cell><cell r="AE2959" t="str"><v>Facebook</v></cell><cell r="AF2959"><v>3654128</v></cell><cell r="AG2959" t="str"><v>FACEBOOK»USA-Trial-ITD-Interest Prospecting-AZR-AZR»1 x 1»SocialBan»CAN»ALL»CPA»PRO»X»NA»SS»NA»FBCTCBenefit2inMotion»PRC1SW</v></cell><cell r="AH2959"><v>223933138</v></cell><cell r="AI2959" t="str"><v>AzurePlatform_FBCTCBenefit2inMotion_USA_10s_CAN_PLATFORM_English_Trial_Standard_STAN_TIN_T4_1</v></cell><cell r="AJ2959"><v>103043835</v></cell></row><row r="2960"><cell r="C2960" t="str"><v>43302FACEBOOK»USA-Trial-ITD-Interest Prospecting-AZR-AZR»1 x 1»SocialBan»CAN»ALL»CPA»PRO»X»NA»SS»NA»FBCTCBenefit2inMotion»PRC1SW</v></cell><cell r="D2960" t="str"><v>43302223933138</v></cell><cell r="E2960" t="str"><v>43302103178645PRC1SW</v></cell><cell r="F2960" t="str"><v>DCM</v></cell><cell r="G2960" t="str"><v>https://azure.microsoft.com/en-us/pricing/purchase-options/?v=18.19&OCID=AID%eexcid!_OLA_%ebuy!_%epid!_%ecid!</v></cell></row><row r="2960"><cell r="K2960" t="str"><v>July</v></cell><cell r="L2960"><v>43302</v></cell><cell r="M2960" t="str"><v>Tier 0</v></cell><cell r="N2960" t="str"><v>North America</v></cell><cell r="O2960" t="str"><v>United States</v></cell><cell r="P2960" t="str"><v>Trial</v></cell><cell r="Q2960" t="str"><v>Social</v></cell><cell r="R2960" t="str"><v>Azure</v></cell><cell r="S2960" t="str"><v>Apps & Infra</v></cell><cell r="T2960" t="str"><v>Developers & ITI's</v></cell><cell r="U2960" t="str"><v>USA-Trial-ITD-Interest Prospecting-AZR-AZR</v></cell><cell r="V2960" t="str"><v>Prospecting</v></cell><cell r="W2960" t="str"><v>Canvas Ad</v></cell><cell r="X2960" t="str"><v>1x1</v></cell></row><row r="2960"><cell r="AA2960"><v>43302</v></cell><cell r="AB2960" t="str"><v>USA_gaPMG_AZR_AZR_Q1_19_Direct-Social</v></cell><cell r="AC2960"><v>21358715</v></cell><cell r="AD2960"><v>720197</v></cell><cell r="AE2960" t="str"><v>Facebook</v></cell><cell r="AF2960"><v>3654128</v></cell><cell r="AG2960" t="str"><v>FACEBOOK»USA-Trial-ITD-Interest Prospecting-AZR-AZR»1 x 1»SocialBan»CAN»ALL»CPA»PRO»X»NA»SS»NA»FBCTCBenefit2inMotion»PRC1SW</v></cell><cell r="AH2960"><v>223933138</v></cell><cell r="AI2960" t="str"><v>AzurePlatform_FBCTCBenefit2inMotion_USA_10s_CAN_PLATFORM_English_Trial_Standard_STAN_TIN_T4_2</v></cell><cell r="AJ2960"><v>103178645</v></cell></row><row r="2961"><cell r="C2961" t="str"><v>43302FACEBOOK»USA-Trial-ITD-Interest Prospecting-AZR-AZR»1 x 1»SocialBan»CAN»ALL»CPA»PRO»X»NA»SS»NA»FBCTCBrandinMotion»PRC1SY</v></cell><cell r="D2961" t="str"><v>43302224104929</v></cell><cell r="E2961" t="str"><v>43302103176812PRC1SY</v></cell><cell r="F2961" t="str"><v>DCM</v></cell><cell r="G2961" t="str"><v>https://signup.azure.com/?OCID=AID%eexcid!_OLA_%ebuy!_%epid!_%ecid!</v></cell></row><row r="2961"><cell r="K2961" t="str"><v>July</v></cell><cell r="L2961"><v>43302</v></cell><cell r="M2961" t="str"><v>Tier 0</v></cell><cell r="N2961" t="str"><v>North America</v></cell><cell r="O2961" t="str"><v>United States</v></cell><cell r="P2961" t="str"><v>Trial</v></cell><cell r="Q2961" t="str"><v>Social</v></cell><cell r="R2961" t="str"><v>Azure</v></cell><cell r="S2961" t="str"><v>Apps & Infra</v></cell><cell r="T2961" t="str"><v>Developers & ITI's</v></cell><cell r="U2961" t="str"><v>USA-Trial-ITD-Interest Prospecting-AZR-AZR</v></cell><cell r="V2961" t="str"><v>Prospecting</v></cell><cell r="W2961" t="str"><v>Canvas Ad</v></cell><cell r="X2961" t="str"><v>1x1</v></cell></row><row r="2961"><cell r="AA2961"><v>43302</v></cell><cell r="AB2961" t="str"><v>USA_gaPMG_AZR_AZR_Q1_19_Direct-Social</v></cell><cell r="AC2961"><v>21358715</v></cell><cell r="AD2961"><v>720197</v></cell><cell r="AE2961" t="str"><v>Facebook</v></cell><cell r="AF2961"><v>3654128</v></cell><cell r="AG2961" t="str"><v>FACEBOOK»USA-Trial-ITD-Interest Prospecting-AZR-AZR»1 x 1»SocialBan»CAN»ALL»CPA»PRO»X»NA»SS»NA»FBCTCBrandinMotion»PRC1SY</v></cell><cell r="AH2961"><v>224104929</v></cell><cell r="AI2961" t="str"><v>AzurePlatform_FBCTCBrandinMotion_USA_10s_CAN_PLATFORM_English_Trial_Standard_STAN_TIN_T2_1</v></cell><cell r="AJ2961"><v>103176812</v></cell></row><row r="2962"><cell r="C2962" t="str"><v>43302FACEBOOK»USA-Trial-ITD-Interest Prospecting-AZR-AZR»1 x 1»SocialBan»CAN»ALL»CPA»PRO»X»NA»SS»NA»FBCTCBrandinMotion»PRC1SY</v></cell><cell r="D2962" t="str"><v>43302224104929</v></cell><cell r="E2962" t="str"><v>43302103032823PRC1SY</v></cell><cell r="F2962" t="str"><v>DCM</v></cell><cell r="G2962" t="str"><v>https://azure.microsoft.com/en-us/pricing/purchase-options/?v=18.19&OCID=AID%eexcid!_OLA_%ebuy!_%epid!_%ecid!</v></cell></row><row r="2962"><cell r="K2962" t="str"><v>July</v></cell><cell r="L2962"><v>43302</v></cell><cell r="M2962" t="str"><v>Tier 0</v></cell><cell r="N2962" t="str"><v>North America</v></cell><cell r="O2962" t="str"><v>United States</v></cell><cell r="P2962" t="str"><v>Trial</v></cell><cell r="Q2962" t="str"><v>Social</v></cell><cell r="R2962" t="str"><v>Azure</v></cell><cell r="S2962" t="str"><v>Apps & Infra</v></cell><cell r="T2962" t="str"><v>Developers & ITI's</v></cell><cell r="U2962" t="str"><v>USA-Trial-ITD-Interest Prospecting-AZR-AZR</v></cell><cell r="V2962" t="str"><v>Prospecting</v></cell><cell r="W2962" t="str"><v>Canvas Ad</v></cell><cell r="X2962" t="str"><v>1x1</v></cell></row><row r="2962"><cell r="AA2962"><v>43302</v></cell><cell r="AB2962" t="str"><v>USA_gaPMG_AZR_AZR_Q1_19_Direct-Social</v></cell><cell r="AC2962"><v>21358715</v></cell><cell r="AD2962"><v>720197</v></cell><cell r="AE2962" t="str"><v>Facebook</v></cell><cell r="AF2962"><v>3654128</v></cell><cell r="AG2962" t="str"><v>FACEBOOK»USA-Trial-ITD-Interest Prospecting-AZR-AZR»1 x 1»SocialBan»CAN»ALL»CPA»PRO»X»NA»SS»NA»FBCTCBrandinMotion»PRC1SY</v></cell><cell r="AH2962"><v>224104929</v></cell><cell r="AI2962" t="str"><v>AzurePlatform_FBCTCBrandinMotion_USA_10s_CAN_PLATFORM_English_Trial_Standard_STAN_TIN_T2_2</v></cell><cell r="AJ2962"><v>103032823</v></cell></row><row r="2963"><cell r="C2963" t="str"><v>43302FACEBOOK»USA-Trial-ITD-Interest Prospecting-AZR-AZR»1 x 1»SocialBan»LIA»ALL»CPA»PRO»X»NA»SS»NA»FreeAcctDeveloperFB-AnimatedGeneric-Ch1»PRC1SZ</v></cell><cell r="D2963" t="str"><v>43302224104932</v></cell><cell r="E2963" t="str"><v>43302103176851PRC1SZ</v></cell><cell r="F2963" t="str"><v>DCM</v></cell><cell r="G2963" t="str"><v>https://azure.microsoft.com/en-us/free/search/?OCID=AID%eexcid!_OLA_%ebuy!_%epid!_%ecid!</v></cell></row><row r="2963"><cell r="K2963" t="str"><v>July</v></cell><cell r="L2963"><v>43302</v></cell><cell r="M2963" t="str"><v>Tier 0</v></cell><cell r="N2963" t="str"><v>North America</v></cell><cell r="O2963" t="str"><v>United States</v></cell><cell r="P2963" t="str"><v>Trial</v></cell><cell r="Q2963" t="str"><v>Social</v></cell><cell r="R2963" t="str"><v>Azure</v></cell><cell r="S2963" t="str"><v>Apps & Infra</v></cell><cell r="T2963" t="str"><v>Developers & ITI's</v></cell><cell r="U2963" t="str"><v>USA-Trial-ITD-Interest Prospecting-AZR-AZR</v></cell><cell r="V2963" t="str"><v>Prospecting</v></cell><cell r="W2963" t="str"><v>Link Ad</v></cell><cell r="X2963" t="str"><v>1x1</v></cell></row><row r="2963"><cell r="AA2963"><v>43302</v></cell><cell r="AB2963" t="str"><v>USA_gaPMG_AZR_AZR_Q1_19_Direct-Social</v></cell><cell r="AC2963"><v>21358715</v></cell><cell r="AD2963"><v>720197</v></cell><cell r="AE2963" t="str"><v>Facebook</v></cell><cell r="AF2963"><v>3654128</v></cell><cell r="AG2963" t="str"><v>FACEBOOK»USA-Trial-ITD-Interest Prospecting-AZR-AZR»1 x 1»SocialBan»LIA»ALL»CPA»PRO»X»NA»SS»NA»FreeAcctDeveloperFB-AnimatedGeneric-Ch1»PRC1SZ</v></cell><cell r="AH2963"><v>224104932</v></cell><cell r="AI2963" t="str"><v>AZR_FreeAcctDeveloperFB-AnimatedGeneric-Ch1_USA_1200x1200_CAN_Direct_English_Trial_Standard_ANI_LEA_T1_2</v></cell><cell r="AJ2963"><v>103176851</v></cell></row><row r="2964"><cell r="C2964" t="str"><v>43302FACEBOOK»USA-Trial-ITD-Interest Prospecting-AZR-AZR»1 x 1»SocialBan»LIA»ALL»CPA»PRO»X»NA»SS»NA»FreeAcctDeveloperFB-AnimatedGeneric-Ch1»PRC1T0</v></cell><cell r="D2964" t="str"><v>43302223934065</v></cell><cell r="E2964" t="str"><v>43302103176851PRC1T0</v></cell><cell r="F2964" t="str"><v>DCM</v></cell><cell r="G2964" t="str"><v>https://azure.microsoft.com/en-us/free/search/?OCID=AID%eexcid!_OLA_%ebuy!_%epid!_%ecid!</v></cell></row><row r="2964"><cell r="K2964" t="str"><v>July</v></cell><cell r="L2964"><v>43302</v></cell><cell r="M2964" t="str"><v>Tier 0</v></cell><cell r="N2964" t="str"><v>North America</v></cell><cell r="O2964" t="str"><v>United States</v></cell><cell r="P2964" t="str"><v>Trial</v></cell><cell r="Q2964" t="str"><v>Social</v></cell><cell r="R2964" t="str"><v>Azure</v></cell><cell r="S2964" t="str"><v>Apps & Infra</v></cell><cell r="T2964" t="str"><v>Developers & ITI's</v></cell><cell r="U2964" t="str"><v>USA-Trial-ITD-Interest Prospecting-AZR-AZR</v></cell><cell r="V2964" t="str"><v>Prospecting</v></cell><cell r="W2964" t="str"><v>Link Ad</v></cell><cell r="X2964" t="str"><v>1x1</v></cell></row><row r="2964"><cell r="AA2964"><v>43302</v></cell><cell r="AB2964" t="str"><v>USA_gaPMG_AZR_AZR_Q1_19_Direct-Social</v></cell><cell r="AC2964"><v>21358715</v></cell><cell r="AD2964"><v>720197</v></cell><cell r="AE2964" t="str"><v>Facebook</v></cell><cell r="AF2964"><v>3654128</v></cell><cell r="AG2964" t="str"><v>FACEBOOK»USA-Trial-ITD-Interest Prospecting-AZR-AZR»1 x 1»SocialBan»LIA»ALL»CPA»PRO»X»NA»SS»NA»FreeAcctDeveloperFB-AnimatedGeneric-Ch1»PRC1T0</v></cell><cell r="AH2964"><v>223934065</v></cell><cell r="AI2964" t="str"><v>AZR_FreeAcctDeveloperFB-AnimatedGeneric-Ch1_USA_1200x1200_CAN_Direct_English_Trial_Standard_ANI_LEA_T1_2</v></cell><cell r="AJ2964"><v>103176851</v></cell></row><row r="2965"><cell r="C2965" t="str"><v>43302FACEBOOK»USA-Trial-ITD-Interest Prospecting-AZR-AZR»1 x 1»SocialBan»LIA»ALL»CPA»PRO»X»NA»SS»NA»FreeAcctITProFB-AnimatedHybrid-Ch2»PRC1T5</v></cell><cell r="D2965" t="str"><v>43302223862882</v></cell><cell r="E2965" t="str"><v>43302103180583PRC1T5</v></cell><cell r="F2965" t="str"><v>DCM</v></cell></row><row r="2965"><cell r="K2965" t="str"><v>July</v></cell><cell r="L2965"><v>43302</v></cell><cell r="M2965" t="str"><v>Tier 0</v></cell><cell r="N2965" t="str"><v>North America</v></cell><cell r="O2965" t="str"><v>United States</v></cell><cell r="P2965" t="str"><v>Trial</v></cell><cell r="Q2965" t="str"><v>Social</v></cell><cell r="R2965" t="str"><v>Azure</v></cell><cell r="S2965" t="str"><v>Apps & Infra</v></cell><cell r="T2965" t="str"><v>Developers & ITI's</v></cell><cell r="U2965" t="str"><v>USA-Trial-ITD-Interest Prospecting-AZR-AZR</v></cell><cell r="V2965" t="str"><v>Prospecting</v></cell><cell r="W2965" t="str"><v>Link Ad</v></cell><cell r="X2965" t="str"><v>1x1</v></cell></row><row r="2965"><cell r="AA2965"><v>43302</v></cell><cell r="AB2965" t="str"><v>USA_gaPMG_AZR_AZR_Q1_19_Direct-Social</v></cell><cell r="AC2965"><v>21358715</v></cell><cell r="AD2965"><v>720197</v></cell><cell r="AE2965" t="str"><v>Facebook</v></cell><cell r="AF2965"><v>3654128</v></cell><cell r="AG2965" t="str"><v>FACEBOOK»USA-Trial-ITD-Interest Prospecting-AZR-AZR»1 x 1»SocialBan»LIA»ALL»CPA»PRO»X»NA»SS»NA»FreeAcctITProFB-AnimatedHybrid-Ch2»PRC1T5</v></cell><cell r="AH2965"><v>223862882</v></cell><cell r="AI2965" t="str"><v>AZR_FreeAcctITProFB-AnimatedHybrid-Ch2_USA_1200x1200_CAN_Direct_English_Trial_Standard_ANI_LEA_T2_2</v></cell><cell r="AJ2965"><v>103180583</v></cell></row><row r="2966"><cell r="C2966" t="str"><v>43302FACEBOOK»USA-Trial-ITD-Interest Prospecting-AZR-AZR»1 x 1»SocialBan»LIA»ALL»CPA»PRO»X»NA»SS»NA»FreeAcctITProFB-AnimatedSecureMngd-Ch1»PRC1T4</v></cell><cell r="D2966" t="str"><v>43302224104914</v></cell><cell r="E2966" t="str"><v>43302103176830PRC1T4</v></cell><cell r="F2966" t="str"><v>DCM</v></cell></row><row r="2966"><cell r="K2966" t="str"><v>July</v></cell><cell r="L2966"><v>43302</v></cell><cell r="M2966" t="str"><v>Tier 0</v></cell><cell r="N2966" t="str"><v>North America</v></cell><cell r="O2966" t="str"><v>United States</v></cell><cell r="P2966" t="str"><v>Trial</v></cell><cell r="Q2966" t="str"><v>Social</v></cell><cell r="R2966" t="str"><v>Azure</v></cell><cell r="S2966" t="str"><v>Apps & Infra</v></cell><cell r="T2966" t="str"><v>Developers & ITI's</v></cell><cell r="U2966" t="str"><v>USA-Trial-ITD-Interest Prospecting-AZR-AZR</v></cell><cell r="V2966" t="str"><v>Prospecting</v></cell><cell r="W2966" t="str"><v>Link Ad</v></cell><cell r="X2966" t="str"><v>1x1</v></cell></row><row r="2966"><cell r="AA2966"><v>43302</v></cell><cell r="AB2966" t="str"><v>USA_gaPMG_AZR_AZR_Q1_19_Direct-Social</v></cell><cell r="AC2966"><v>21358715</v></cell><cell r="AD2966"><v>720197</v></cell><cell r="AE2966" t="str"><v>Facebook</v></cell><cell r="AF2966"><v>3654128</v></cell><cell r="AG2966" t="str"><v>FACEBOOK»USA-Trial-ITD-Interest Prospecting-AZR-AZR»1 x 1»SocialBan»LIA»ALL»CPA»PRO»X»NA»SS»NA»FreeAcctITProFB-AnimatedSecureMngd-Ch1»PRC1T4</v></cell><cell r="AH2966"><v>224104914</v></cell><cell r="AI2966" t="str"><v>AZR_FreeAcctITProFB-AnimatedSecureMngd-Ch1_USA_1200x1200_CAN_Direct_English_Trial_Standard_ANI_LEA_T1_1</v></cell><cell r="AJ2966"><v>103176830</v></cell></row><row r="2967"><cell r="C2967" t="str"><v>43302FACEBOOK»USA-Trial-ITD-Interest Prospecting-AZR-AZR»1 x 1»SocialBan»CAN»ALL»CPA»PRO»X»NA»SS»NA»FBCTCBenefitinMotion»PRC1SX</v></cell><cell r="D2967" t="str"><v>43302224104077</v></cell><cell r="E2967" t="str"><v>43302103032775PRC1SX</v></cell><cell r="F2967" t="str"><v>DCM</v></cell><cell r="G2967" t="str"><v>https://signup.azure.com/?OCID=AID%eexcid!_OLA_%ebuy!_%epid!_%ecid!</v></cell></row><row r="2967"><cell r="K2967" t="str"><v>July</v></cell><cell r="L2967"><v>43302</v></cell><cell r="M2967" t="str"><v>Tier 0</v></cell><cell r="N2967" t="str"><v>North America</v></cell><cell r="O2967" t="str"><v>United States</v></cell><cell r="P2967" t="str"><v>Trial</v></cell><cell r="Q2967" t="str"><v>Social</v></cell><cell r="R2967" t="str"><v>Azure</v></cell><cell r="S2967" t="str"><v>Apps & Infra</v></cell><cell r="T2967" t="str"><v>Developers & ITI's</v></cell><cell r="U2967" t="str"><v>USA-Trial-ITD-Interest Prospecting-AZR-AZR</v></cell><cell r="V2967" t="str"><v>Prospecting</v></cell><cell r="W2967" t="str"><v>Canvas Ad</v></cell><cell r="X2967" t="str"><v>1x1</v></cell></row><row r="2967"><cell r="AA2967"><v>43302</v></cell><cell r="AB2967" t="str"><v>USA_gaPMG_AZR_AZR_Q1_19_Direct-Social</v></cell><cell r="AC2967"><v>21358715</v></cell><cell r="AD2967"><v>720197</v></cell><cell r="AE2967" t="str"><v>Facebook</v></cell><cell r="AF2967"><v>3654128</v></cell><cell r="AG2967" t="str"><v>FACEBOOK»USA-Trial-ITD-Interest Prospecting-AZR-AZR»1 x 1»SocialBan»CAN»ALL»CPA»PRO»X»NA»SS»NA»FBCTCBenefitinMotion»PRC1SX</v></cell><cell r="AH2967"><v>224104077</v></cell><cell r="AI2967" t="str"><v>AzurePlatform_FBCTCBenefitinMotion_USA_10s_CAN_PLATFORM_English_Trial_Standard_STAN_TIN_T3_1</v></cell><cell r="AJ2967"><v>103032775</v></cell></row><row r="2968"><cell r="C2968" t="str"><v>43302FACEBOOK»USA-Trial-ITD-Retargeting-AZR-AZR»1 x 1»SocialBan»LIA»ALL»CPA»RT»X»NA»SS»NA»FreeAcctDeveloperFB-AnimatedAI-Ch3»PRC26H</v></cell><cell r="D2968" t="str"><v>43302223863371</v></cell><cell r="E2968" t="str"><v>43302103032778PRC26H</v></cell><cell r="F2968" t="str"><v>DCM</v></cell></row><row r="2968"><cell r="K2968" t="str"><v>July</v></cell><cell r="L2968"><v>43302</v></cell><cell r="M2968" t="str"><v>Tier 0</v></cell><cell r="N2968" t="str"><v>North America</v></cell><cell r="O2968" t="str"><v>United States</v></cell><cell r="P2968" t="str"><v>Trial</v></cell><cell r="Q2968" t="str"><v>Social</v></cell><cell r="R2968" t="str"><v>Azure</v></cell><cell r="S2968" t="str"><v>Apps & Infra</v></cell><cell r="T2968" t="str"><v>Developers & ITI's</v></cell><cell r="U2968" t="str"><v>USA-Trial-ITD-Retargeting-AZR-AZR</v></cell><cell r="V2968" t="str"><v>Retargeting</v></cell><cell r="W2968" t="str"><v>Link Ad</v></cell><cell r="X2968" t="str"><v>1x1</v></cell></row><row r="2968"><cell r="AA2968"><v>43302</v></cell><cell r="AB2968" t="str"><v>USA_gaPMG_AZR_AZR_Q1_19_Direct-Social</v></cell><cell r="AC2968"><v>21358715</v></cell><cell r="AD2968"><v>720197</v></cell><cell r="AE2968" t="str"><v>Facebook</v></cell><cell r="AF2968"><v>3654128</v></cell><cell r="AG2968" t="str"><v>FACEBOOK»USA-Trial-ITD-Retargeting-AZR-AZR»1 x 1»SocialBan»LIA»ALL»CPA»RT»X»NA»SS»NA»FreeAcctDeveloperFB-AnimatedAI-Ch3»PRC26H</v></cell><cell r="AH2968"><v>223863371</v></cell><cell r="AI2968" t="str"><v>AZR_FreeAcctDeveloperFB-AnimatedAI-Ch3_USA_1200x1200_CAN_Direct_English_Trial_Standard_ANI_LEA_T3_1</v></cell><cell r="AJ2968"><v>103032778</v></cell></row><row r="2969"><cell r="C2969" t="str"><v>43302FACEBOOK»USA-Trial-ITD-Retargeting-AZR-AZR»1 x 1»SocialBan»LIA»ALL»CPA»RT»X»NA»SS»NA»FreeAcctDeveloperFB-AnimatedData-Ch4»PRC26J</v></cell><cell r="D2969" t="str"><v>43302224106078</v></cell><cell r="E2969" t="str"><v>43302103037935PRC26J</v></cell><cell r="F2969" t="str"><v>DCM</v></cell></row><row r="2969"><cell r="K2969" t="str"><v>July</v></cell><cell r="L2969"><v>43302</v></cell><cell r="M2969" t="str"><v>Tier 0</v></cell><cell r="N2969" t="str"><v>North America</v></cell><cell r="O2969" t="str"><v>United States</v></cell><cell r="P2969" t="str"><v>Trial</v></cell><cell r="Q2969" t="str"><v>Social</v></cell><cell r="R2969" t="str"><v>Azure</v></cell><cell r="S2969" t="str"><v>Apps & Infra</v></cell><cell r="T2969" t="str"><v>Developers & ITI's</v></cell><cell r="U2969" t="str"><v>USA-Trial-ITD-Retargeting-AZR-AZR</v></cell><cell r="V2969" t="str"><v>Retargeting</v></cell><cell r="W2969" t="str"><v>Link Ad</v></cell><cell r="X2969" t="str"><v>1x1</v></cell></row><row r="2969"><cell r="AA2969"><v>43302</v></cell><cell r="AB2969" t="str"><v>USA_gaPMG_AZR_AZR_Q1_19_Direct-Social</v></cell><cell r="AC2969"><v>21358715</v></cell><cell r="AD2969"><v>720197</v></cell><cell r="AE2969" t="str"><v>Facebook</v></cell><cell r="AF2969"><v>3654128</v></cell><cell r="AG2969" t="str"><v>FACEBOOK»USA-Trial-ITD-Retargeting-AZR-AZR»1 x 1»SocialBan»LIA»ALL»CPA»RT»X»NA»SS»NA»FreeAcctDeveloperFB-AnimatedData-Ch4»PRC26J</v></cell><cell r="AH2969"><v>224106078</v></cell><cell r="AI2969" t="str"><v>AZR_FreeAcctDeveloperFB-AnimatedData-Ch4_USA_1200x1200_CAN_Direct_English_Trial_Standard_ANI_LEA_T4_2</v></cell><cell r="AJ2969"><v>103037935</v></cell></row><row r="2970"><cell r="C2970" t="str"><v>43302FACEBOOK»USA-Trial-ITD-Retargeting-AZR-AZR»1 x 1»SocialBan»LIA»ALL»CPA»RT»X»NA»SS»NA»FreeAcctDeveloperFB-AnimatedGeneric-Ch1»PRC26F</v></cell><cell r="D2970" t="str"><v>43302224105850</v></cell><cell r="E2970" t="str"><v>43302103176851PRC26F</v></cell><cell r="F2970" t="str"><v>DCM</v></cell><cell r="G2970" t="str"><v>https://azure.microsoft.com/en-us/free/search/?OCID=AID%eexcid!_OLA_%ebuy!_%epid!_%ecid!</v></cell></row><row r="2970"><cell r="K2970" t="str"><v>July</v></cell><cell r="L2970"><v>43302</v></cell><cell r="M2970" t="str"><v>Tier 0</v></cell><cell r="N2970" t="str"><v>North America</v></cell><cell r="O2970" t="str"><v>United States</v></cell><cell r="P2970" t="str"><v>Trial</v></cell><cell r="Q2970" t="str"><v>Social</v></cell><cell r="R2970" t="str"><v>Azure</v></cell><cell r="S2970" t="str"><v>Apps & Infra</v></cell><cell r="T2970" t="str"><v>Developers & ITI's</v></cell><cell r="U2970" t="str"><v>USA-Trial-ITD-Retargeting-AZR-AZR</v></cell><cell r="V2970" t="str"><v>Retargeting</v></cell><cell r="W2970" t="str"><v>Link Ad</v></cell><cell r="X2970" t="str"><v>1x1</v></cell></row><row r="2970"><cell r="AA2970"><v>43302</v></cell><cell r="AB2970" t="str"><v>USA_gaPMG_AZR_AZR_Q1_19_Direct-Social</v></cell><cell r="AC2970"><v>21358715</v></cell><cell r="AD2970"><v>720197</v></cell><cell r="AE2970" t="str"><v>Facebook</v></cell><cell r="AF2970"><v>3654128</v></cell><cell r="AG2970" t="str"><v>FACEBOOK»USA-Trial-ITD-Retargeting-AZR-AZR»1 x 1»SocialBan»LIA»ALL»CPA»RT»X»NA»SS»NA»FreeAcctDeveloperFB-AnimatedGeneric-Ch1»PRC26F</v></cell><cell r="AH2970"><v>224105850</v></cell><cell r="AI2970" t="str"><v>AZR_FreeAcctDeveloperFB-AnimatedGeneric-Ch1_USA_1200x1200_CAN_Direct_English_Trial_Standard_ANI_LEA_T1_2</v></cell><cell r="AJ2970"><v>103176851</v></cell></row><row r="2971"><cell r="C2971" t="str"><v>43302FACEBOOK»USA-Trial-ITD-Retargeting-AZR-AZR»1 x 1»SocialBan»LIA»ALL»CPA»RT»X»NA»SS»NA»FreeAcctDeveloperFB-AnimatedOpenSource-Ch2»PRC26G</v></cell><cell r="D2971" t="str"><v>43302223862873</v></cell><cell r="E2971" t="str"><v>43302103048329PRC26G</v></cell><cell r="F2971" t="str"><v>DCM</v></cell><cell r="G2971" t="str"><v>https://azure.microsoft.com/en-us/free/open-source/search/?OCID=AID%eexcid!_OLA_%ebuy!_%epid!_%ecid!</v></cell></row><row r="2971"><cell r="K2971" t="str"><v>July</v></cell><cell r="L2971"><v>43302</v></cell><cell r="M2971" t="str"><v>Tier 0</v></cell><cell r="N2971" t="str"><v>North America</v></cell><cell r="O2971" t="str"><v>United States</v></cell><cell r="P2971" t="str"><v>Trial</v></cell><cell r="Q2971" t="str"><v>Social</v></cell><cell r="R2971" t="str"><v>Azure</v></cell><cell r="S2971" t="str"><v>Apps & Infra</v></cell><cell r="T2971" t="str"><v>Developers & ITI's</v></cell><cell r="U2971" t="str"><v>USA-Trial-ITD-Retargeting-AZR-AZR</v></cell><cell r="V2971" t="str"><v>Retargeting</v></cell><cell r="W2971" t="str"><v>Link Ad</v></cell><cell r="X2971" t="str"><v>1x1</v></cell></row><row r="2971"><cell r="AA2971"><v>43302</v></cell><cell r="AB2971" t="str"><v>USA_gaPMG_AZR_AZR_Q1_19_Direct-Social</v></cell><cell r="AC2971"><v>21358715</v></cell><cell r="AD2971"><v>720197</v></cell><cell r="AE2971" t="str"><v>Facebook</v></cell><cell r="AF2971"><v>3654128</v></cell><cell r="AG2971" t="str"><v>FACEBOOK»USA-Trial-ITD-Retargeting-AZR-AZR»1 x 1»SocialBan»LIA»ALL»CPA»RT»X»NA»SS»NA»FreeAcctDeveloperFB-AnimatedOpenSource-Ch2»PRC26G</v></cell><cell r="AH2971"><v>223862873</v></cell><cell r="AI2971" t="str"><v>AZR_FreeAcctDeveloperFB-AnimatedOpenSource-Ch2_USA_1200x1200_CAN_Direct_English_Trial_Standard_ANI_LEA_T2_1</v></cell><cell r="AJ2971"><v>103048329</v></cell></row><row r="2972"><cell r="C2972" t="str"><v>43302FACEBOOK»USA-Trial-ITD-Retargeting-AZR-AZR»1 x 1»SocialBan»LIA»ALL»CPA»RT»X»NA»SS»NA»FreeAcctITProFB-AnimatedHybrid-Ch2»PRC26N</v></cell><cell r="D2972" t="str"><v>43302223934053</v></cell><cell r="E2972" t="str"><v>43302103180583PRC26N</v></cell><cell r="F2972" t="str"><v>DCM</v></cell></row><row r="2972"><cell r="K2972" t="str"><v>July</v></cell><cell r="L2972"><v>43302</v></cell><cell r="M2972" t="str"><v>Tier 0</v></cell><cell r="N2972" t="str"><v>North America</v></cell><cell r="O2972" t="str"><v>United States</v></cell><cell r="P2972" t="str"><v>Trial</v></cell><cell r="Q2972" t="str"><v>Social</v></cell><cell r="R2972" t="str"><v>Azure</v></cell><cell r="S2972" t="str"><v>Apps & Infra</v></cell><cell r="T2972" t="str"><v>Developers & ITI's</v></cell><cell r="U2972" t="str"><v>USA-Trial-ITD-Retargeting-AZR-AZR</v></cell><cell r="V2972" t="str"><v>Retargeting</v></cell><cell r="W2972" t="str"><v>Link Ad</v></cell><cell r="X2972" t="str"><v>1x1</v></cell></row><row r="2972"><cell r="AA2972"><v>43302</v></cell><cell r="AB2972" t="str"><v>USA_gaPMG_AZR_AZR_Q1_19_Direct-Social</v></cell><cell r="AC2972"><v>21358715</v></cell><cell r="AD2972"><v>720197</v></cell><cell r="AE2972" t="str"><v>Facebook</v></cell><cell r="AF2972"><v>3654128</v></cell><cell r="AG2972" t="str"><v>FACEBOOK»USA-Trial-ITD-Retargeting-AZR-AZR»1 x 1»SocialBan»LIA»ALL»CPA»RT»X»NA»SS»NA»FreeAcctITProFB-AnimatedHybrid-Ch2»PRC26N</v></cell><cell r="AH2972"><v>223934053</v></cell><cell r="AI2972" t="str"><v>AZR_FreeAcctITProFB-AnimatedHybrid-Ch2_USA_1200x1200_CAN_Direct_English_Trial_Standard_ANI_LEA_T2_2</v></cell><cell r="AJ2972"><v>103180583</v></cell></row><row r="2973"><cell r="C2973" t="str"><v>43302FACEBOOK»USA-Trial-ITD-Retargeting-AZR-AZR»1 x 1»SocialBan»LIA»ALL»CPA»RT»X»NA»SS»NA»FreeAcctITProFB-AnimatedMigration-Ch3»PRC26P</v></cell><cell r="D2973" t="str"><v>43302223934056</v></cell><cell r="E2973" t="str"><v>43302103176827PRC26P</v></cell><cell r="F2973" t="str"><v>DCM</v></cell></row><row r="2973"><cell r="K2973" t="str"><v>July</v></cell><cell r="L2973"><v>43302</v></cell><cell r="M2973" t="str"><v>Tier 0</v></cell><cell r="N2973" t="str"><v>North America</v></cell><cell r="O2973" t="str"><v>United States</v></cell><cell r="P2973" t="str"><v>Trial</v></cell><cell r="Q2973" t="str"><v>Social</v></cell><cell r="R2973" t="str"><v>Azure</v></cell><cell r="S2973" t="str"><v>Apps & Infra</v></cell><cell r="T2973" t="str"><v>Developers & ITI's</v></cell><cell r="U2973" t="str"><v>USA-Trial-ITD-Retargeting-AZR-AZR</v></cell><cell r="V2973" t="str"><v>Retargeting</v></cell><cell r="W2973" t="str"><v>Link Ad</v></cell><cell r="X2973" t="str"><v>1x1</v></cell></row><row r="2973"><cell r="AA2973"><v>43302</v></cell><cell r="AB2973" t="str"><v>USA_gaPMG_AZR_AZR_Q1_19_Direct-Social</v></cell><cell r="AC2973"><v>21358715</v></cell><cell r="AD2973"><v>720197</v></cell><cell r="AE2973" t="str"><v>Facebook</v></cell><cell r="AF2973"><v>3654128</v></cell><cell r="AG2973" t="str"><v>FACEBOOK»USA-Trial-ITD-Retargeting-AZR-AZR»1 x 1»SocialBan»LIA»ALL»CPA»RT»X»NA»SS»NA»FreeAcctITProFB-AnimatedMigration-Ch3»PRC26P</v></cell><cell r="AH2973"><v>223934056</v></cell><cell r="AI2973" t="str"><v>AZR_FreeAcctITProFB-AnimatedMigration-Ch3_USA_1200x1200_CAN_Direct_English_Trial_Standard_ANI_LEA_T3_1</v></cell><cell r="AJ2973"><v>103176827</v></cell></row><row r="2974"><cell r="C2974" t="str"><v>43302FACEBOOK»USA-Trial-ITD-Retargeting-AZR-AZR»1 x 1»SocialBan»LIA»ALL»CPA»RT»X»NA»SS»NA»FreeAcctRetargetingFB-Animated-ChC»PRC1RX</v></cell><cell r="D2974" t="str"><v>43302223862864</v></cell><cell r="E2974" t="str"><v>43302103180880PRC1RX</v></cell><cell r="F2974" t="str"><v>DCM</v></cell><cell r="G2974" t="str"><v>https://azure.microsoft.com/en-us/free/search/?OCID=AID%eexcid!_OLA_%ebuy!_%epid!_%ecid!</v></cell></row><row r="2974"><cell r="K2974" t="str"><v>July</v></cell><cell r="L2974"><v>43302</v></cell><cell r="M2974" t="str"><v>Tier 0</v></cell><cell r="N2974" t="str"><v>North America</v></cell><cell r="O2974" t="str"><v>United States</v></cell><cell r="P2974" t="str"><v>Trial</v></cell><cell r="Q2974" t="str"><v>Social</v></cell><cell r="R2974" t="str"><v>Azure</v></cell><cell r="S2974" t="str"><v>Apps & Infra</v></cell><cell r="T2974" t="str"><v>Developers & ITI's</v></cell><cell r="U2974" t="str"><v>USA-Trial-ITD-Retargeting-AZR-AZR</v></cell><cell r="V2974" t="str"><v>Retargeting</v></cell><cell r="W2974" t="str"><v>Link Ad</v></cell><cell r="X2974" t="str"><v>1x1</v></cell></row><row r="2974"><cell r="AA2974"><v>43302</v></cell><cell r="AB2974" t="str"><v>USA_gaPMG_AZR_AZR_Q1_19_Direct-Social</v></cell><cell r="AC2974"><v>21358715</v></cell><cell r="AD2974"><v>720197</v></cell><cell r="AE2974" t="str"><v>Facebook</v></cell><cell r="AF2974"><v>3654128</v></cell><cell r="AG2974" t="str"><v>FACEBOOK»USA-Trial-ITD-Retargeting-AZR-AZR»1 x 1»SocialBan»LIA»ALL»CPA»RT»X»NA»SS»NA»FreeAcctRetargetingFB-Animated-ChC»PRC1RX</v></cell><cell r="AH2974"><v>223862864</v></cell><cell r="AI2974" t="str"><v>AzurePlatform_FreeAcctRetargetingFB-Animated-ChC_USA_1200x628_CAN_PLATFORM_English_Free Account_Standard_ANI_SINU_T3_2</v></cell><cell r="AJ2974"><v>103180880</v></cell></row><row r="2975"><cell r="C2975" t="str"><v>43302FACEBOOK»USA-Trial-ITD-Retargeting-AZR-AZR»1 x 1»SocialBan»LIA»ALL»CPA»RT»X»NA»SS»NA»FreeAcctRetargetingFB-Credit-ChA»PRC1RV</v></cell><cell r="D2975" t="str"><v>43302224106075</v></cell><cell r="E2975" t="str"><v>43302103034917PRC1RV</v></cell><cell r="F2975" t="str"><v>DCM</v></cell><cell r="G2975" t="str"><v>https://azure.microsoft.com/en-us/free/search/?OCID=AID%eexcid!_OLA_%ebuy!_%epid!_%ecid!</v></cell></row><row r="2975"><cell r="K2975" t="str"><v>July</v></cell><cell r="L2975"><v>43302</v></cell><cell r="M2975" t="str"><v>Tier 0</v></cell><cell r="N2975" t="str"><v>North America</v></cell><cell r="O2975" t="str"><v>United States</v></cell><cell r="P2975" t="str"><v>Trial</v></cell><cell r="Q2975" t="str"><v>Social</v></cell><cell r="R2975" t="str"><v>Azure</v></cell><cell r="S2975" t="str"><v>Apps & Infra</v></cell><cell r="T2975" t="str"><v>Developers & ITI's</v></cell><cell r="U2975" t="str"><v>USA-Trial-ITD-Retargeting-AZR-AZR</v></cell><cell r="V2975" t="str"><v>Retargeting</v></cell><cell r="W2975" t="str"><v>Link Ad</v></cell><cell r="X2975" t="str"><v>1x1</v></cell></row><row r="2975"><cell r="AA2975"><v>43302</v></cell><cell r="AB2975" t="str"><v>USA_gaPMG_AZR_AZR_Q1_19_Direct-Social</v></cell><cell r="AC2975"><v>21358715</v></cell><cell r="AD2975"><v>720197</v></cell><cell r="AE2975" t="str"><v>Facebook</v></cell><cell r="AF2975"><v>3654128</v></cell><cell r="AG2975" t="str"><v>FACEBOOK»USA-Trial-ITD-Retargeting-AZR-AZR»1 x 1»SocialBan»LIA»ALL»CPA»RT»X»NA»SS»NA»FreeAcctRetargetingFB-Credit-ChA»PRC1RV</v></cell><cell r="AH2975"><v>224106075</v></cell><cell r="AI2975" t="str"><v>AzurePlatform_FreeAcctRetargetingFB-Credit-ChA_USA_1200x628_CAN_PLATFORM_English_Free Account_Standard_NA_SINU_T1_2</v></cell><cell r="AJ2975"><v>103034917</v></cell></row><row r="2976"><cell r="C2976" t="str"><v>43302FACEBOOK»USA-Trial-ITD-Retargeting-AZR-AZR»1 x 1»SocialBan»LIA»ALL»CPA»RT»X»NA»SS»NA»FreeAcctRetargetingFB-GlobalAlt-ChB»PRC1RW</v></cell><cell r="D2976" t="str"><v>43302223862756</v></cell><cell r="E2976" t="str"><v>43302103180592PRC1RW</v></cell><cell r="F2976" t="str"><v>DCM</v></cell><cell r="G2976" t="str"><v>https://azure.microsoft.com/en-us/free/search/?OCID=AID%eexcid!_OLA_%ebuy!_%epid!_%ecid!</v></cell></row><row r="2976"><cell r="K2976" t="str"><v>July</v></cell><cell r="L2976"><v>43302</v></cell><cell r="M2976" t="str"><v>Tier 0</v></cell><cell r="N2976" t="str"><v>North America</v></cell><cell r="O2976" t="str"><v>United States</v></cell><cell r="P2976" t="str"><v>Trial</v></cell><cell r="Q2976" t="str"><v>Social</v></cell><cell r="R2976" t="str"><v>Azure</v></cell><cell r="S2976" t="str"><v>Apps & Infra</v></cell><cell r="T2976" t="str"><v>Developers & ITI's</v></cell><cell r="U2976" t="str"><v>USA-Trial-ITD-Retargeting-AZR-AZR</v></cell><cell r="V2976" t="str"><v>Retargeting</v></cell><cell r="W2976" t="str"><v>Link Ad</v></cell><cell r="X2976" t="str"><v>1x1</v></cell></row><row r="2976"><cell r="AA2976"><v>43302</v></cell><cell r="AB2976" t="str"><v>USA_gaPMG_AZR_AZR_Q1_19_Direct-Social</v></cell><cell r="AC2976"><v>21358715</v></cell><cell r="AD2976"><v>720197</v></cell><cell r="AE2976" t="str"><v>Facebook</v></cell><cell r="AF2976"><v>3654128</v></cell><cell r="AG2976" t="str"><v>FACEBOOK»USA-Trial-ITD-Retargeting-AZR-AZR»1 x 1»SocialBan»LIA»ALL»CPA»RT»X»NA»SS»NA»FreeAcctRetargetingFB-GlobalAlt-ChB»PRC1RW</v></cell><cell r="AH2976"><v>223862756</v></cell><cell r="AI2976" t="str"><v>AzurePlatform_FreeAcctRetargetingFB-GlobalAlt-ChB_USA_1200x628_CAN_PLATFORM_English_Free Account_Standard_NA_SINU_T2_1</v></cell><cell r="AJ2976"><v>103180592</v></cell></row><row r="2977"><cell r="C2977" t="str"><v>43302FACEBOOK»USA-Trial-ITD-Retargeting-AZR-AZR»1 x 1»SocialBan»LIA»ALL»CPA»RT»X»NA»SS»NA»FreeAcctRetargetingVMFB-750Hrs-ChD»PRC1RY</v></cell><cell r="D2977" t="str"><v>43302223862747</v></cell><cell r="E2977" t="str"><v>43302103034911PRC1RY</v></cell><cell r="F2977" t="str"><v>DCM</v></cell><cell r="G2977" t="str"><v>https://azure.microsoft.com/en-us/free/virtual-machines/search/?OCID=AID%eexcid!_OLA_%ebuy!_%epid!_%ecid!</v></cell></row><row r="2977"><cell r="K2977" t="str"><v>July</v></cell><cell r="L2977"><v>43302</v></cell><cell r="M2977" t="str"><v>Tier 0</v></cell><cell r="N2977" t="str"><v>North America</v></cell><cell r="O2977" t="str"><v>United States</v></cell><cell r="P2977" t="str"><v>Trial</v></cell><cell r="Q2977" t="str"><v>Social</v></cell><cell r="R2977" t="str"><v>Azure</v></cell><cell r="S2977" t="str"><v>Apps & Infra</v></cell><cell r="T2977" t="str"><v>Developers & ITI's</v></cell><cell r="U2977" t="str"><v>USA-Trial-ITD-Retargeting-AZR-AZR</v></cell><cell r="V2977" t="str"><v>Retargeting</v></cell><cell r="W2977" t="str"><v>Link Ad</v></cell><cell r="X2977" t="str"><v>1x1</v></cell></row><row r="2977"><cell r="AA2977"><v>43302</v></cell><cell r="AB2977" t="str"><v>USA_gaPMG_AZR_AZR_Q1_19_Direct-Social</v></cell><cell r="AC2977"><v>21358715</v></cell><cell r="AD2977"><v>720197</v></cell><cell r="AE2977" t="str"><v>Facebook</v></cell><cell r="AF2977"><v>3654128</v></cell><cell r="AG2977" t="str"><v>FACEBOOK»USA-Trial-ITD-Retargeting-AZR-AZR»1 x 1»SocialBan»LIA»ALL»CPA»RT»X»NA»SS»NA»FreeAcctRetargetingVMFB-750Hrs-ChD»PRC1RY</v></cell><cell r="AH2977"><v>223862747</v></cell><cell r="AI2977" t="str"><v>AzurePlatform_FreeAcctRetargetingVMFB-750Hrs-ChD_USA_1200x628_CAN_PLATFORM_English_Free Account_Standard_NA_SINU_T1_1</v></cell><cell r="AJ2977"><v>103034911</v></cell></row><row r="2978"><cell r="C2978" t="str"><v>43302FACEBOOK»USA-Trial-ITD-Retargeting-AZR-AZR»1 x 1»SocialBan»LIA»ALL»CPA»RT»X»NA»SS»NA»FreeAcctRetargetingVMFB-OnDemand-ChE»PRC1S0</v></cell><cell r="D2978" t="str"><v>43302224104899</v></cell><cell r="E2978" t="str"><v>43302103180610PRC1S0</v></cell><cell r="F2978" t="str"><v>DCM</v></cell><cell r="G2978" t="str"><v>https://azure.microsoft.com/en-us/free/virtual-machines/search/?OCID=AID%eexcid!_OLA_%ebuy!_%epid!_%ecid!</v></cell></row><row r="2978"><cell r="K2978" t="str"><v>July</v></cell><cell r="L2978"><v>43302</v></cell><cell r="M2978" t="str"><v>Tier 0</v></cell><cell r="N2978" t="str"><v>North America</v></cell><cell r="O2978" t="str"><v>United States</v></cell><cell r="P2978" t="str"><v>Trial</v></cell><cell r="Q2978" t="str"><v>Social</v></cell><cell r="R2978" t="str"><v>Azure</v></cell><cell r="S2978" t="str"><v>Apps & Infra</v></cell><cell r="T2978" t="str"><v>Developers & ITI's</v></cell><cell r="U2978" t="str"><v>USA-Trial-ITD-Retargeting-AZR-AZR</v></cell><cell r="V2978" t="str"><v>Retargeting</v></cell><cell r="W2978" t="str"><v>Link Ad</v></cell><cell r="X2978" t="str"><v>1x1</v></cell></row><row r="2978"><cell r="AA2978"><v>43302</v></cell><cell r="AB2978" t="str"><v>USA_gaPMG_AZR_AZR_Q1_19_Direct-Social</v></cell><cell r="AC2978"><v>21358715</v></cell><cell r="AD2978"><v>720197</v></cell><cell r="AE2978" t="str"><v>Facebook</v></cell><cell r="AF2978"><v>3654128</v></cell><cell r="AG2978" t="str"><v>FACEBOOK»USA-Trial-ITD-Retargeting-AZR-AZR»1 x 1»SocialBan»LIA»ALL»CPA»RT»X»NA»SS»NA»FreeAcctRetargetingVMFB-OnDemand-ChE»PRC1S0</v></cell><cell r="AH2978"><v>224104899</v></cell><cell r="AI2978" t="str"><v>AzurePlatform_FreeAcctRetargetingVMFB-OnDemand-ChE_USA_1200x628_CAN_PLATFORM_English_Free Account_Standard_NA_SINU_T2_1</v></cell><cell r="AJ2978"><v>103180610</v></cell></row><row r="2979"><cell r="C2979" t="str"><v>43302FACEBOOK»USA-Trial-ITD-Retargeting-AZR-AZR»1 x 1»SocialBan»CAN»ALL»CPA»RT»X»NA»SS»NA»FBCTCBenefit2inMotion»PRC1RR</v></cell><cell r="D2979" t="str"><v>43302224104896</v></cell><cell r="E2979" t="str"><v>43302103043835PRC1RR</v></cell><cell r="F2979" t="str"><v>DCM</v></cell><cell r="G2979" t="str"><v>https://signup.azure.com/?OCID=AID%eexcid!_OLA_%ebuy!_%epid!_%ecid!</v></cell></row><row r="2979"><cell r="K2979" t="str"><v>July</v></cell><cell r="L2979"><v>43302</v></cell><cell r="M2979" t="str"><v>Tier 0</v></cell><cell r="N2979" t="str"><v>North America</v></cell><cell r="O2979" t="str"><v>United States</v></cell><cell r="P2979" t="str"><v>Trial</v></cell><cell r="Q2979" t="str"><v>Social</v></cell><cell r="R2979" t="str"><v>Azure</v></cell><cell r="S2979" t="str"><v>Apps & Infra</v></cell><cell r="T2979" t="str"><v>Developers & ITI's</v></cell><cell r="U2979" t="str"><v>USA-Trial-ITD-Retargeting-AZR-AZR</v></cell><cell r="V2979" t="str"><v>Retargeting</v></cell><cell r="W2979" t="str"><v>Canvas Ad</v></cell><cell r="X2979" t="str"><v>1x1</v></cell></row><row r="2979"><cell r="AA2979"><v>43302</v></cell><cell r="AB2979" t="str"><v>USA_gaPMG_AZR_AZR_Q1_19_Direct-Social</v></cell><cell r="AC2979"><v>21358715</v></cell><cell r="AD2979"><v>720197</v></cell><cell r="AE2979" t="str"><v>Facebook</v></cell><cell r="AF2979"><v>3654128</v></cell><cell r="AG2979" t="str"><v>FACEBOOK»USA-Trial-ITD-Retargeting-AZR-AZR»1 x 1»SocialBan»CAN»ALL»CPA»RT»X»NA»SS»NA»FBCTCBenefit2inMotion»PRC1RR</v></cell><cell r="AH2979"><v>224104896</v></cell><cell r="AI2979" t="str"><v>AzurePlatform_FBCTCBenefit2inMotion_USA_10s_CAN_PLATFORM_English_Trial_Standard_STAN_TIN_T4_1</v></cell><cell r="AJ2979"><v>103043835</v></cell></row><row r="2980"><cell r="C2980" t="str"><v>43302FACEBOOK»USA-Trial-ITD-Trial Lookalike-AZR-AZR»1 x 1»SocialBan»CAN»ALL»CPA»LAL»X»NA»SS»NA»FBCTCBenefit2inMotion»PRC1M0</v></cell><cell r="D2980" t="str"><v>43302223862927</v></cell><cell r="E2980" t="str"><v>43302103043835PRC1M0</v></cell><cell r="F2980" t="str"><v>DCM</v></cell><cell r="G2980" t="str"><v>https://signup.azure.com/?OCID=AID%eexcid!_OLA_%ebuy!_%epid!_%ecid!</v></cell></row><row r="2980"><cell r="K2980" t="str"><v>July</v></cell><cell r="L2980"><v>43302</v></cell><cell r="M2980" t="str"><v>Tier 0</v></cell><cell r="N2980" t="str"><v>North America</v></cell><cell r="O2980" t="str"><v>United States</v></cell><cell r="P2980" t="str"><v>Trial</v></cell><cell r="Q2980" t="str"><v>Social</v></cell><cell r="R2980" t="str"><v>Azure</v></cell><cell r="S2980" t="str"><v>Apps & Infra</v></cell><cell r="T2980" t="str"><v>Developers & ITI's</v></cell><cell r="U2980" t="str"><v>USA-Trial-ITD-Trial Lookalike-AZR-AZR</v></cell><cell r="V2980" t="str"><v>Lookalike Targeting</v></cell><cell r="W2980" t="str"><v>Canvas Ad</v></cell><cell r="X2980" t="str"><v>1x1</v></cell></row><row r="2980"><cell r="AA2980"><v>43302</v></cell><cell r="AB2980" t="str"><v>USA_gaPMG_AZR_AZR_Q1_19_Direct-Social</v></cell><cell r="AC2980"><v>21358715</v></cell><cell r="AD2980"><v>720197</v></cell><cell r="AE2980" t="str"><v>Facebook</v></cell><cell r="AF2980"><v>3654128</v></cell><cell r="AG2980" t="str"><v>FACEBOOK»USA-Trial-ITD-Trial Lookalike-AZR-AZR»1 x 1»SocialBan»CAN»ALL»CPA»LAL»X»NA»SS»NA»FBCTCBenefit2inMotion»PRC1M0</v></cell><cell r="AH2980"><v>223862927</v></cell><cell r="AI2980" t="str"><v>AzurePlatform_FBCTCBenefit2inMotion_USA_10s_CAN_PLATFORM_English_Trial_Standard_STAN_TIN_T4_1</v></cell><cell r="AJ2980"><v>103043835</v></cell></row><row r="2981"><cell r="C2981" t="str"><v>43302FACEBOOK»USA-Trial-ITD-Trial Lookalike-AZR-AZR»1 x 1»SocialBan»CAN»ALL»CPA»LAL»X»NA»SS»NA»FBCTCBenefit2inMotion»PRC1M0</v></cell><cell r="D2981" t="str"><v>43302223862927</v></cell><cell r="E2981" t="str"><v>43302103178645PRC1M0</v></cell><cell r="F2981" t="str"><v>DCM</v></cell><cell r="G2981" t="str"><v>https://azure.microsoft.com/en-us/pricing/purchase-options/?v=18.19&OCID=AID%eexcid!_OLA_%ebuy!_%epid!_%ecid!</v></cell></row><row r="2981"><cell r="K2981" t="str"><v>July</v></cell><cell r="L2981"><v>43302</v></cell><cell r="M2981" t="str"><v>Tier 0</v></cell><cell r="N2981" t="str"><v>North America</v></cell><cell r="O2981" t="str"><v>United States</v></cell><cell r="P2981" t="str"><v>Trial</v></cell><cell r="Q2981" t="str"><v>Social</v></cell><cell r="R2981" t="str"><v>Azure</v></cell><cell r="S2981" t="str"><v>Apps & Infra</v></cell><cell r="T2981" t="str"><v>Developers & ITI's</v></cell><cell r="U2981" t="str"><v>USA-Trial-ITD-Trial Lookalike-AZR-AZR</v></cell><cell r="V2981" t="str"><v>Lookalike Targeting</v></cell><cell r="W2981" t="str"><v>Canvas Ad</v></cell><cell r="X2981" t="str"><v>1x1</v></cell></row><row r="2981"><cell r="AA2981"><v>43302</v></cell><cell r="AB2981" t="str"><v>USA_gaPMG_AZR_AZR_Q1_19_Direct-Social</v></cell><cell r="AC2981"><v>21358715</v></cell><cell r="AD2981"><v>720197</v></cell><cell r="AE2981" t="str"><v>Facebook</v></cell><cell r="AF2981"><v>3654128</v></cell><cell r="AG2981" t="str"><v>FACEBOOK»USA-Trial-ITD-Trial Lookalike-AZR-AZR»1 x 1»SocialBan»CAN»ALL»CPA»LAL»X»NA»SS»NA»FBCTCBenefit2inMotion»PRC1M0</v></cell><cell r="AH2981"><v>223862927</v></cell><cell r="AI2981" t="str"><v>AzurePlatform_FBCTCBenefit2inMotion_USA_10s_CAN_PLATFORM_English_Trial_Standard_STAN_TIN_T4_2</v></cell><cell r="AJ2981"><v>103178645</v></cell></row><row r="2982"><cell r="C2982" t="str"><v>43302FACEBOOK»USA-Trial-ITD-Trial Lookalike-AZR-AZR»1 x 1»SocialBan»CAN»ALL»CPA»LAL»X»NA»SS»NA»FBCTCBenefitinMotion»PRC1M2</v></cell><cell r="D2982" t="str"><v>43302223862897</v></cell><cell r="E2982" t="str"><v>43302103032775PRC1M2</v></cell><cell r="F2982" t="str"><v>DCM</v></cell><cell r="G2982" t="str"><v>https://signup.azure.com/?OCID=AID%eexcid!_OLA_%ebuy!_%epid!_%ecid!</v></cell></row><row r="2982"><cell r="K2982" t="str"><v>July</v></cell><cell r="L2982"><v>43302</v></cell><cell r="M2982" t="str"><v>Tier 0</v></cell><cell r="N2982" t="str"><v>North America</v></cell><cell r="O2982" t="str"><v>United States</v></cell><cell r="P2982" t="str"><v>Trial</v></cell><cell r="Q2982" t="str"><v>Social</v></cell><cell r="R2982" t="str"><v>Azure</v></cell><cell r="S2982" t="str"><v>Apps & Infra</v></cell><cell r="T2982" t="str"><v>Developers & ITI's</v></cell><cell r="U2982" t="str"><v>USA-Trial-ITD-Trial Lookalike-AZR-AZR</v></cell><cell r="V2982" t="str"><v>Lookalike Targeting</v></cell><cell r="W2982" t="str"><v>Canvas Ad</v></cell><cell r="X2982" t="str"><v>1x1</v></cell></row><row r="2982"><cell r="AA2982"><v>43302</v></cell><cell r="AB2982" t="str"><v>USA_gaPMG_AZR_AZR_Q1_19_Direct-Social</v></cell><cell r="AC2982"><v>21358715</v></cell><cell r="AD2982"><v>720197</v></cell><cell r="AE2982" t="str"><v>Facebook</v></cell><cell r="AF2982"><v>3654128</v></cell><cell r="AG2982" t="str"><v>FACEBOOK»USA-Trial-ITD-Trial Lookalike-AZR-AZR»1 x 1»SocialBan»CAN»ALL»CPA»LAL»X»NA»SS»NA»FBCTCBenefitinMotion»PRC1M2</v></cell><cell r="AH2982"><v>223862897</v></cell><cell r="AI2982" t="str"><v>AzurePlatform_FBCTCBenefitinMotion_USA_10s_CAN_PLATFORM_English_Trial_Standard_STAN_TIN_T3_1</v></cell><cell r="AJ2982"><v>103032775</v></cell></row><row r="2983"><cell r="C2983" t="str"><v>43302FACEBOOK»USA-Trial-ITD-Trial Lookalike-AZR-AZR»1 x 1»SocialBan»LIA»ALL»CPA»LAL»X»NA»SS»NA»FreeAcctDeveloperFB-AnimatedAI-Ch3»PRC1M7</v></cell><cell r="D2983" t="str"><v>43302223934104</v></cell><cell r="E2983" t="str"><v>43302103032778PRC1M7</v></cell><cell r="F2983" t="str"><v>DCM</v></cell></row><row r="2983"><cell r="K2983" t="str"><v>July</v></cell><cell r="L2983"><v>43302</v></cell><cell r="M2983" t="str"><v>Tier 0</v></cell><cell r="N2983" t="str"><v>North America</v></cell><cell r="O2983" t="str"><v>United States</v></cell><cell r="P2983" t="str"><v>Trial</v></cell><cell r="Q2983" t="str"><v>Social</v></cell><cell r="R2983" t="str"><v>Azure</v></cell><cell r="S2983" t="str"><v>Apps & Infra</v></cell><cell r="T2983" t="str"><v>Developers & ITI's</v></cell><cell r="U2983" t="str"><v>USA-Trial-ITD-Trial Lookalike-AZR-AZR</v></cell><cell r="V2983" t="str"><v>Lookalike Targeting</v></cell><cell r="W2983" t="str"><v>Link Ad</v></cell><cell r="X2983" t="str"><v>1x1</v></cell></row><row r="2983"><cell r="AA2983"><v>43302</v></cell><cell r="AB2983" t="str"><v>USA_gaPMG_AZR_AZR_Q1_19_Direct-Social</v></cell><cell r="AC2983"><v>21358715</v></cell><cell r="AD2983"><v>720197</v></cell><cell r="AE2983" t="str"><v>Facebook</v></cell><cell r="AF2983"><v>3654128</v></cell><cell r="AG2983" t="str"><v>FACEBOOK»USA-Trial-ITD-Trial Lookalike-AZR-AZR»1 x 1»SocialBan»LIA»ALL»CPA»LAL»X»NA»SS»NA»FreeAcctDeveloperFB-AnimatedAI-Ch3»PRC1M7</v></cell><cell r="AH2983"><v>223934104</v></cell><cell r="AI2983" t="str"><v>AZR_FreeAcctDeveloperFB-AnimatedAI-Ch3_USA_1200x1200_CAN_Direct_English_Trial_Standard_ANI_LEA_T3_1</v></cell><cell r="AJ2983"><v>103032778</v></cell></row><row r="2984"><cell r="C2984" t="str"><v>43302FACEBOOK»USA-Trial-ITD-Trial Lookalike-AZR-AZR»1 x 1»SocialBan»LIA»ALL»CPA»LAL»X»NA»SS»NA»FreeAcctDeveloperFB-AnimatedData-Ch4»PRC1M8</v></cell><cell r="D2984" t="str"><v>43302223862933</v></cell><cell r="E2984" t="str"><v>43302103037935PRC1M8</v></cell><cell r="F2984" t="str"><v>DCM</v></cell></row><row r="2984"><cell r="K2984" t="str"><v>July</v></cell><cell r="L2984"><v>43302</v></cell><cell r="M2984" t="str"><v>Tier 0</v></cell><cell r="N2984" t="str"><v>North America</v></cell><cell r="O2984" t="str"><v>United States</v></cell><cell r="P2984" t="str"><v>Trial</v></cell><cell r="Q2984" t="str"><v>Social</v></cell><cell r="R2984" t="str"><v>Azure</v></cell><cell r="S2984" t="str"><v>Apps & Infra</v></cell><cell r="T2984" t="str"><v>Developers & ITI's</v></cell><cell r="U2984" t="str"><v>USA-Trial-ITD-Trial Lookalike-AZR-AZR</v></cell><cell r="V2984" t="str"><v>Lookalike Targeting</v></cell><cell r="W2984" t="str"><v>Link Ad</v></cell><cell r="X2984" t="str"><v>1x1</v></cell></row><row r="2984"><cell r="AA2984"><v>43302</v></cell><cell r="AB2984" t="str"><v>USA_gaPMG_AZR_AZR_Q1_19_Direct-Social</v></cell><cell r="AC2984"><v>21358715</v></cell><cell r="AD2984"><v>720197</v></cell><cell r="AE2984" t="str"><v>Facebook</v></cell><cell r="AF2984"><v>3654128</v></cell><cell r="AG2984" t="str"><v>FACEBOOK»USA-Trial-ITD-Trial Lookalike-AZR-AZR»1 x 1»SocialBan»LIA»ALL»CPA»LAL»X»NA»SS»NA»FreeAcctDeveloperFB-AnimatedData-Ch4»PRC1M8</v></cell><cell r="AH2984"><v>223862933</v></cell><cell r="AI2984" t="str"><v>AZR_FreeAcctDeveloperFB-AnimatedData-Ch4_USA_1200x1200_CAN_Direct_English_Trial_Standard_ANI_LEA_T4_2</v></cell><cell r="AJ2984"><v>103037935</v></cell></row><row r="2985"><cell r="C2985" t="str"><v>43302FACEBOOK»USA-Trial-ITD-Trial Lookalike-AZR-AZR»1 x 1»SocialBan»LIA»ALL»CPA»LAL»X»NA»SS»NA»FreeAcctITProFB-AnimatedHybrid-Ch2»PRC1MC</v></cell><cell r="D2985" t="str"><v>43302224104956</v></cell><cell r="E2985" t="str"><v>43302103180583PRC1MC</v></cell><cell r="F2985" t="str"><v>DCM</v></cell></row><row r="2985"><cell r="K2985" t="str"><v>July</v></cell><cell r="L2985"><v>43302</v></cell><cell r="M2985" t="str"><v>Tier 0</v></cell><cell r="N2985" t="str"><v>North America</v></cell><cell r="O2985" t="str"><v>United States</v></cell><cell r="P2985" t="str"><v>Trial</v></cell><cell r="Q2985" t="str"><v>Social</v></cell><cell r="R2985" t="str"><v>Azure</v></cell><cell r="S2985" t="str"><v>Apps & Infra</v></cell><cell r="T2985" t="str"><v>Developers & ITI's</v></cell><cell r="U2985" t="str"><v>USA-Trial-ITD-Trial Lookalike-AZR-AZR</v></cell><cell r="V2985" t="str"><v>Lookalike Targeting</v></cell><cell r="W2985" t="str"><v>Link Ad</v></cell><cell r="X2985" t="str"><v>1x1</v></cell></row><row r="2985"><cell r="AA2985"><v>43302</v></cell><cell r="AB2985" t="str"><v>USA_gaPMG_AZR_AZR_Q1_19_Direct-Social</v></cell><cell r="AC2985"><v>21358715</v></cell><cell r="AD2985"><v>720197</v></cell><cell r="AE2985" t="str"><v>Facebook</v></cell><cell r="AF2985"><v>3654128</v></cell><cell r="AG2985" t="str"><v>FACEBOOK»USA-Trial-ITD-Trial Lookalike-AZR-AZR»1 x 1»SocialBan»LIA»ALL»CPA»LAL»X»NA»SS»NA»FreeAcctITProFB-AnimatedHybrid-Ch2»PRC1MC</v></cell><cell r="AH2985"><v>224104956</v></cell><cell r="AI2985" t="str"><v>AZR_FreeAcctITProFB-AnimatedHybrid-Ch2_USA_1200x1200_CAN_Direct_English_Trial_Standard_ANI_LEA_T2_2</v></cell><cell r="AJ2985"><v>103180583</v></cell></row><row r="2986"><cell r="C2986" t="str"><v>43302FACEBOOK»USA-Trial-ITD-Trial Lookalike-AZR-AZR»1 x 1»SocialBan»CAN»ALL»CPA»LAL»X»NA»SS»NA»FBCTCBrandinMotion»PRC1M3</v></cell><cell r="D2986" t="str"><v>43302223862900</v></cell><cell r="E2986" t="str"><v>43302103176812PRC1M3</v></cell><cell r="F2986" t="str"><v>DCM</v></cell><cell r="G2986" t="str"><v>https://signup.azure.com/?OCID=AID%eexcid!_OLA_%ebuy!_%epid!_%ecid!</v></cell></row><row r="2986"><cell r="K2986" t="str"><v>July</v></cell><cell r="L2986"><v>43302</v></cell><cell r="M2986" t="str"><v>Tier 0</v></cell><cell r="N2986" t="str"><v>North America</v></cell><cell r="O2986" t="str"><v>United States</v></cell><cell r="P2986" t="str"><v>Trial</v></cell><cell r="Q2986" t="str"><v>Social</v></cell><cell r="R2986" t="str"><v>Azure</v></cell><cell r="S2986" t="str"><v>Apps & Infra</v></cell><cell r="T2986" t="str"><v>Developers & ITI's</v></cell><cell r="U2986" t="str"><v>USA-Trial-ITD-Trial Lookalike-AZR-AZR</v></cell><cell r="V2986" t="str"><v>Lookalike Targeting</v></cell><cell r="W2986" t="str"><v>Canvas Ad</v></cell><cell r="X2986" t="str"><v>1x1</v></cell></row><row r="2986"><cell r="AA2986"><v>43302</v></cell><cell r="AB2986" t="str"><v>USA_gaPMG_AZR_AZR_Q1_19_Direct-Social</v></cell><cell r="AC2986"><v>21358715</v></cell><cell r="AD2986"><v>720197</v></cell><cell r="AE2986" t="str"><v>Facebook</v></cell><cell r="AF2986"><v>3654128</v></cell><cell r="AG2986" t="str"><v>FACEBOOK»USA-Trial-ITD-Trial Lookalike-AZR-AZR»1 x 1»SocialBan»CAN»ALL»CPA»LAL»X»NA»SS»NA»FBCTCBrandinMotion»PRC1M3</v></cell><cell r="AH2986"><v>223862900</v></cell><cell r="AI2986" t="str"><v>AzurePlatform_FBCTCBrandinMotion_USA_10s_CAN_PLATFORM_English_Trial_Standard_STAN_TIN_T2_1</v></cell><cell r="AJ2986"><v>103176812</v></cell></row><row r="2987"><cell r="C2987" t="str"><v>43302FACEBOOK»USA-Trial-ITD-Trial Lookalike-AZR-AZR»1 x 1»SocialBan»CAN»ALL»CPA»LAL»X»NA»SS»NA»FBCTCBrandinMotion»PRC1M3</v></cell><cell r="D2987" t="str"><v>43302223862900</v></cell><cell r="E2987" t="str"><v>43302103032823PRC1M3</v></cell><cell r="F2987" t="str"><v>DCM</v></cell><cell r="G2987" t="str"><v>https://azure.microsoft.com/en-us/pricing/purchase-options/?v=18.19&OCID=AID%eexcid!_OLA_%ebuy!_%epid!_%ecid!</v></cell></row><row r="2987"><cell r="K2987" t="str"><v>July</v></cell><cell r="L2987"><v>43302</v></cell><cell r="M2987" t="str"><v>Tier 0</v></cell><cell r="N2987" t="str"><v>North America</v></cell><cell r="O2987" t="str"><v>United States</v></cell><cell r="P2987" t="str"><v>Trial</v></cell><cell r="Q2987" t="str"><v>Social</v></cell><cell r="R2987" t="str"><v>Azure</v></cell><cell r="S2987" t="str"><v>Apps & Infra</v></cell><cell r="T2987" t="str"><v>Developers & ITI's</v></cell><cell r="U2987" t="str"><v>USA-Trial-ITD-Trial Lookalike-AZR-AZR</v></cell><cell r="V2987" t="str"><v>Lookalike Targeting</v></cell><cell r="W2987" t="str"><v>Canvas Ad</v></cell><cell r="X2987" t="str"><v>1x1</v></cell></row><row r="2987"><cell r="AA2987"><v>43302</v></cell><cell r="AB2987" t="str"><v>USA_gaPMG_AZR_AZR_Q1_19_Direct-Social</v></cell><cell r="AC2987"><v>21358715</v></cell><cell r="AD2987"><v>720197</v></cell><cell r="AE2987" t="str"><v>Facebook</v></cell><cell r="AF2987"><v>3654128</v></cell><cell r="AG2987" t="str"><v>FACEBOOK»USA-Trial-ITD-Trial Lookalike-AZR-AZR»1 x 1»SocialBan»CAN»ALL»CPA»LAL»X»NA»SS»NA»FBCTCBrandinMotion»PRC1M3</v></cell><cell r="AH2987"><v>223862900</v></cell><cell r="AI2987" t="str"><v>AzurePlatform_FBCTCBrandinMotion_USA_10s_CAN_PLATFORM_English_Trial_Standard_STAN_TIN_T2_2</v></cell><cell r="AJ2987"><v>103032823</v></cell></row><row r="2988"><cell r="C2988" t="str"><v>43302FACEBOOK»USA-Trial-ITD-Trial PayGo Lookalike-AZR-AZR»1 x 1»SocialBan»CAN»ALL»CPA»LAL»X»NA»SS»NA»FBCTCBenefit2inMotion»PRC1Q1</v></cell><cell r="D2988" t="str"><v>43302224104986</v></cell><cell r="E2988" t="str"><v>43302103043835PRC1Q1</v></cell><cell r="F2988" t="str"><v>DCM</v></cell><cell r="G2988" t="str"><v>https://signup.azure.com/?OCID=AID%eexcid!_OLA_%ebuy!_%epid!_%ecid!</v></cell></row><row r="2988"><cell r="K2988" t="str"><v>July</v></cell><cell r="L2988"><v>43302</v></cell><cell r="M2988" t="str"><v>Tier 0</v></cell><cell r="N2988" t="str"><v>North America</v></cell><cell r="O2988" t="str"><v>United States</v></cell><cell r="P2988" t="str"><v>Trial</v></cell><cell r="Q2988" t="str"><v>Social</v></cell><cell r="R2988" t="str"><v>Azure</v></cell><cell r="S2988" t="str"><v>Apps & Infra</v></cell><cell r="T2988" t="str"><v>Developers & ITI's</v></cell><cell r="U2988" t="str"><v>USA-Trial-ITD-Trial PayGo Lookalike-AZR-AZR</v></cell><cell r="V2988" t="str"><v>Lookalike Targeting</v></cell><cell r="W2988" t="str"><v>Canvas Ad</v></cell><cell r="X2988" t="str"><v>1x1</v></cell></row><row r="2988"><cell r="AA2988"><v>43302</v></cell><cell r="AB2988" t="str"><v>USA_gaPMG_AZR_AZR_Q1_19_Direct-Social</v></cell><cell r="AC2988"><v>21358715</v></cell><cell r="AD2988"><v>720197</v></cell><cell r="AE2988" t="str"><v>Facebook</v></cell><cell r="AF2988"><v>3654128</v></cell><cell r="AG2988" t="str"><v>FACEBOOK»USA-Trial-ITD-Trial PayGo Lookalike-AZR-AZR»1 x 1»SocialBan»CAN»ALL»CPA»LAL»X»NA»SS»NA»FBCTCBenefit2inMotion»PRC1Q1</v></cell><cell r="AH2988"><v>224104986</v></cell><cell r="AI2988" t="str"><v>AzurePlatform_FBCTCBenefit2inMotion_USA_10s_CAN_PLATFORM_English_Trial_Standard_STAN_TIN_T4_1</v></cell><cell r="AJ2988"><v>103043835</v></cell></row><row r="2989"><cell r="C2989" t="str"><v>43302FACEBOOK»USA-Trial-ITD-Trial PayGo Lookalike-AZR-AZR»1 x 1»SocialBan»CAN»ALL»CPA»LAL»X»NA»SS»NA»FBCTCBrandinMotion»PRC1Q3</v></cell><cell r="D2989" t="str"><v>43302223935349</v></cell><cell r="E2989" t="str"><v>43302103032823PRC1Q3</v></cell><cell r="F2989" t="str"><v>DCM</v></cell><cell r="G2989" t="str"><v>https://azure.microsoft.com/en-us/pricing/purchase-options/?v=18.19&OCID=AID%eexcid!_OLA_%ebuy!_%epid!_%ecid!</v></cell></row><row r="2989"><cell r="K2989" t="str"><v>July</v></cell><cell r="L2989"><v>43302</v></cell><cell r="M2989" t="str"><v>Tier 0</v></cell><cell r="N2989" t="str"><v>North America</v></cell><cell r="O2989" t="str"><v>United States</v></cell><cell r="P2989" t="str"><v>Trial</v></cell><cell r="Q2989" t="str"><v>Social</v></cell><cell r="R2989" t="str"><v>Azure</v></cell><cell r="S2989" t="str"><v>Apps & Infra</v></cell><cell r="T2989" t="str"><v>Developers & ITI's</v></cell><cell r="U2989" t="str"><v>USA-Trial-ITD-Trial PayGo Lookalike-AZR-AZR</v></cell><cell r="V2989" t="str"><v>Lookalike Targeting</v></cell><cell r="W2989" t="str"><v>Canvas Ad</v></cell><cell r="X2989" t="str"><v>1x1</v></cell></row><row r="2989"><cell r="AA2989"><v>43302</v></cell><cell r="AB2989" t="str"><v>USA_gaPMG_AZR_AZR_Q1_19_Direct-Social</v></cell><cell r="AC2989"><v>21358715</v></cell><cell r="AD2989"><v>720197</v></cell><cell r="AE2989" t="str"><v>Facebook</v></cell><cell r="AF2989"><v>3654128</v></cell><cell r="AG2989" t="str"><v>FACEBOOK»USA-Trial-ITD-Trial PayGo Lookalike-AZR-AZR»1 x 1»SocialBan»CAN»ALL»CPA»LAL»X»NA»SS»NA»FBCTCBrandinMotion»PRC1Q3</v></cell><cell r="AH2989"><v>223935349</v></cell><cell r="AI2989" t="str"><v>AzurePlatform_FBCTCBrandinMotion_USA_10s_CAN_PLATFORM_English_Trial_Standard_STAN_TIN_T2_2</v></cell><cell r="AJ2989"><v>103032823</v></cell></row><row r="2990"><cell r="C2990" t="str"><v>43302FACEBOOK»USA-Trial-ITD-Trial PayGo Lookalike-AZR-AZR»1 x 1»SocialBan»LIA»ALL»CPA»LAL»X»NA»SS»NA»FreeAcctDeveloperFB-AnimatedGeneric-Ch1»PRC1Q6</v></cell><cell r="D2990" t="str"><v>43302224106129</v></cell><cell r="E2990" t="str"><v>43302103176851PRC1Q6</v></cell><cell r="F2990" t="str"><v>DCM</v></cell><cell r="G2990" t="str"><v>https://azure.microsoft.com/en-us/free/search/?OCID=AID%eexcid!_OLA_%ebuy!_%epid!_%ecid!</v></cell></row><row r="2990"><cell r="K2990" t="str"><v>July</v></cell><cell r="L2990"><v>43302</v></cell><cell r="M2990" t="str"><v>Tier 0</v></cell><cell r="N2990" t="str"><v>North America</v></cell><cell r="O2990" t="str"><v>United States</v></cell><cell r="P2990" t="str"><v>Trial</v></cell><cell r="Q2990" t="str"><v>Social</v></cell><cell r="R2990" t="str"><v>Azure</v></cell><cell r="S2990" t="str"><v>Apps & Infra</v></cell><cell r="T2990" t="str"><v>Developers & ITI's</v></cell><cell r="U2990" t="str"><v>USA-Trial-ITD-Trial PayGo Lookalike-AZR-AZR</v></cell><cell r="V2990" t="str"><v>Lookalike Targeting</v></cell><cell r="W2990" t="str"><v>Link Ad</v></cell><cell r="X2990" t="str"><v>1x1</v></cell></row><row r="2990"><cell r="AA2990"><v>43302</v></cell><cell r="AB2990" t="str"><v>USA_gaPMG_AZR_AZR_Q1_19_Direct-Social</v></cell><cell r="AC2990"><v>21358715</v></cell><cell r="AD2990"><v>720197</v></cell><cell r="AE2990" t="str"><v>Facebook</v></cell><cell r="AF2990"><v>3654128</v></cell><cell r="AG2990" t="str"><v>FACEBOOK»USA-Trial-ITD-Trial PayGo Lookalike-AZR-AZR»1 x 1»SocialBan»LIA»ALL»CPA»LAL»X»NA»SS»NA»FreeAcctDeveloperFB-AnimatedGeneric-Ch1»PRC1Q6</v></cell><cell r="AH2990"><v>224106129</v></cell><cell r="AI2990" t="str"><v>AZR_FreeAcctDeveloperFB-AnimatedGeneric-Ch1_USA_1200x1200_CAN_Direct_English_Trial_Standard_ANI_LEA_T1_2</v></cell><cell r="AJ2990"><v>103176851</v></cell></row><row r="2991"><cell r="C2991" t="str"><v>43302FACEBOOK»USA-Trial-ITD-Interest Prospecting-AZR-AZR»1 x 1»SocialBan»LIA»ALL»CPA»PRO»X»NA»SS»NA»FreeAcctDeveloperFB-AnimatedAI-Ch3»PRC1T2</v></cell><cell r="D2991" t="str"><v>43302223862765</v></cell><cell r="E2991" t="str"><v>43302103032778PRC1T2</v></cell><cell r="F2991" t="str"><v>DCM</v></cell></row><row r="2991"><cell r="K2991" t="str"><v>July</v></cell><cell r="L2991"><v>43302</v></cell><cell r="M2991" t="str"><v>Tier 0</v></cell><cell r="N2991" t="str"><v>North America</v></cell><cell r="O2991" t="str"><v>United States</v></cell><cell r="P2991" t="str"><v>Trial</v></cell><cell r="Q2991" t="str"><v>Social</v></cell><cell r="R2991" t="str"><v>Azure</v></cell><cell r="S2991" t="str"><v>Apps & Infra</v></cell><cell r="T2991" t="str"><v>Developers & ITI's</v></cell><cell r="U2991" t="str"><v>USA-Trial-ITD-Interest Prospecting-AZR-AZR</v></cell><cell r="V2991" t="str"><v>Prospecting</v></cell><cell r="W2991" t="str"><v>Link Ad</v></cell><cell r="X2991" t="str"><v>1x1</v></cell></row><row r="2991"><cell r="AA2991"><v>43302</v></cell><cell r="AB2991" t="str"><v>USA_gaPMG_AZR_AZR_Q1_19_Direct-Social</v></cell><cell r="AC2991"><v>21358715</v></cell><cell r="AD2991"><v>720197</v></cell><cell r="AE2991" t="str"><v>Facebook</v></cell><cell r="AF2991"><v>3654128</v></cell><cell r="AG2991" t="str"><v>FACEBOOK»USA-Trial-ITD-Interest Prospecting-AZR-AZR»1 x 1»SocialBan»LIA»ALL»CPA»PRO»X»NA»SS»NA»FreeAcctDeveloperFB-AnimatedAI-Ch3»PRC1T2</v></cell><cell r="AH2991"><v>223862765</v></cell><cell r="AI2991" t="str"><v>AZR_FreeAcctDeveloperFB-AnimatedAI-Ch3_USA_1200x1200_CAN_Direct_English_Trial_Standard_ANI_LEA_T3_1</v></cell><cell r="AJ2991"><v>103032778</v></cell></row><row r="2992"><cell r="C2992" t="str"><v>43302FACEBOOK»USA-Trial-ITD-Interest Prospecting-AZR-AZR»1 x 1»SocialBan»LIA»ALL»CPA»PRO»X»NA»SS»NA»FreeAcctDeveloperFB-AnimatedData-Ch4»PRC1T3</v></cell><cell r="D2992" t="str"><v>43302223863380</v></cell><cell r="E2992" t="str"><v>43302103037935PRC1T3</v></cell><cell r="F2992" t="str"><v>DCM</v></cell></row><row r="2992"><cell r="K2992" t="str"><v>July</v></cell><cell r="L2992"><v>43302</v></cell><cell r="M2992" t="str"><v>Tier 0</v></cell><cell r="N2992" t="str"><v>North America</v></cell><cell r="O2992" t="str"><v>United States</v></cell><cell r="P2992" t="str"><v>Trial</v></cell><cell r="Q2992" t="str"><v>Social</v></cell><cell r="R2992" t="str"><v>Azure</v></cell><cell r="S2992" t="str"><v>Apps & Infra</v></cell><cell r="T2992" t="str"><v>Developers & ITI's</v></cell><cell r="U2992" t="str"><v>USA-Trial-ITD-Interest Prospecting-AZR-AZR</v></cell><cell r="V2992" t="str"><v>Prospecting</v></cell><cell r="W2992" t="str"><v>Link Ad</v></cell><cell r="X2992" t="str"><v>1x1</v></cell></row><row r="2992"><cell r="AA2992"><v>43302</v></cell><cell r="AB2992" t="str"><v>USA_gaPMG_AZR_AZR_Q1_19_Direct-Social</v></cell><cell r="AC2992"><v>21358715</v></cell><cell r="AD2992"><v>720197</v></cell><cell r="AE2992" t="str"><v>Facebook</v></cell><cell r="AF2992"><v>3654128</v></cell><cell r="AG2992" t="str"><v>FACEBOOK»USA-Trial-ITD-Interest Prospecting-AZR-AZR»1 x 1»SocialBan»LIA»ALL»CPA»PRO»X»NA»SS»NA»FreeAcctDeveloperFB-AnimatedData-Ch4»PRC1T3</v></cell><cell r="AH2992"><v>223863380</v></cell><cell r="AI2992" t="str"><v>AZR_FreeAcctDeveloperFB-AnimatedData-Ch4_USA_1200x1200_CAN_Direct_English_Trial_Standard_ANI_LEA_T4_2</v></cell><cell r="AJ2992"><v>103037935</v></cell></row><row r="2993"><cell r="C2993" t="str"><v>43302FACEBOOK»USA-Trial-ITD-Interest Prospecting-AZR-AZR»1 x 1»SocialBan»LIA»ALL»CPA»PRO»X»NA»SS»NA»FreeAcctDeveloperFB-AnimatedOpenSource-Ch2»PRC1T1</v></cell><cell r="D2993" t="str"><v>43302223862885</v></cell><cell r="E2993" t="str"><v>43302103048329PRC1T1</v></cell><cell r="F2993" t="str"><v>DCM</v></cell><cell r="G2993" t="str"><v>https://azure.microsoft.com/en-us/free/open-source/search/?OCID=AID%eexcid!_OLA_%ebuy!_%epid!_%ecid!</v></cell></row><row r="2993"><cell r="K2993" t="str"><v>July</v></cell><cell r="L2993"><v>43302</v></cell><cell r="M2993" t="str"><v>Tier 0</v></cell><cell r="N2993" t="str"><v>North America</v></cell><cell r="O2993" t="str"><v>United States</v></cell><cell r="P2993" t="str"><v>Trial</v></cell><cell r="Q2993" t="str"><v>Social</v></cell><cell r="R2993" t="str"><v>Azure</v></cell><cell r="S2993" t="str"><v>Apps & Infra</v></cell><cell r="T2993" t="str"><v>Developers & ITI's</v></cell><cell r="U2993" t="str"><v>USA-Trial-ITD-Interest Prospecting-AZR-AZR</v></cell><cell r="V2993" t="str"><v>Prospecting</v></cell><cell r="W2993" t="str"><v>Link Ad</v></cell><cell r="X2993" t="str"><v>1x1</v></cell></row><row r="2993"><cell r="AA2993"><v>43302</v></cell><cell r="AB2993" t="str"><v>USA_gaPMG_AZR_AZR_Q1_19_Direct-Social</v></cell><cell r="AC2993"><v>21358715</v></cell><cell r="AD2993"><v>720197</v></cell><cell r="AE2993" t="str"><v>Facebook</v></cell><cell r="AF2993"><v>3654128</v></cell><cell r="AG2993" t="str"><v>FACEBOOK»USA-Trial-ITD-Interest Prospecting-AZR-AZR»1 x 1»SocialBan»LIA»ALL»CPA»PRO»X»NA»SS»NA»FreeAcctDeveloperFB-AnimatedOpenSource-Ch2»PRC1T1</v></cell><cell r="AH2993"><v>223862885</v></cell><cell r="AI2993" t="str"><v>AZR_FreeAcctDeveloperFB-AnimatedOpenSource-Ch2_USA_1200x1200_CAN_Direct_English_Trial_Standard_ANI_LEA_T2_1</v></cell><cell r="AJ2993"><v>103048329</v></cell></row><row r="2994"><cell r="C2994" t="str"><v>43302FACEBOOK»USA-Trial-ITD-Interest Prospecting-AZR-AZR»1 x 1»SocialBan»LIA»ALL»CPA»PRO»X»NA»SS»NA»FreeAcctITProFB-AnimatedMigration-Ch3»PRC1X2</v></cell><cell r="D2994" t="str"><v>43302224106954</v></cell><cell r="E2994" t="str"><v>43302103176827PRC1X2</v></cell><cell r="F2994" t="str"><v>DCM</v></cell></row><row r="2994"><cell r="K2994" t="str"><v>July</v></cell><cell r="L2994"><v>43302</v></cell><cell r="M2994" t="str"><v>Tier 0</v></cell><cell r="N2994" t="str"><v>North America</v></cell><cell r="O2994" t="str"><v>United States</v></cell><cell r="P2994" t="str"><v>Trial</v></cell><cell r="Q2994" t="str"><v>Social</v></cell><cell r="R2994" t="str"><v>Azure</v></cell><cell r="S2994" t="str"><v>Apps & Infra</v></cell><cell r="T2994" t="str"><v>Developers & ITI's</v></cell><cell r="U2994" t="str"><v>USA-Trial-ITD-Interest Prospecting-AZR-AZR</v></cell><cell r="V2994" t="str"><v>Prospecting</v></cell><cell r="W2994" t="str"><v>Link Ad</v></cell><cell r="X2994" t="str"><v>1x1</v></cell></row><row r="2994"><cell r="AA2994"><v>43302</v></cell><cell r="AB2994" t="str"><v>USA_gaPMG_AZR_AZR_Q1_19_Direct-Social</v></cell><cell r="AC2994"><v>21358715</v></cell><cell r="AD2994"><v>720197</v></cell><cell r="AE2994" t="str"><v>Facebook</v></cell><cell r="AF2994"><v>3654128</v></cell><cell r="AG2994" t="str"><v>FACEBOOK»USA-Trial-ITD-Interest Prospecting-AZR-AZR»1 x 1»SocialBan»LIA»ALL»CPA»PRO»X»NA»SS»NA»FreeAcctITProFB-AnimatedMigration-Ch3»PRC1X2</v></cell><cell r="AH2994"><v>224106954</v></cell><cell r="AI2994" t="str"><v>AZR_FreeAcctITProFB-AnimatedMigration-Ch3_USA_1200x1200_CAN_Direct_English_Trial_Standard_ANI_LEA_T3_1</v></cell><cell r="AJ2994"><v>103176827</v></cell></row><row r="2995"><cell r="C2995" t="str"><v>43302FACEBOOK»USA-Trial-ITD-Lead Completes-AZR-AZR»1 x 1»SocialBan»CAN»ALL»CPA»PRO»X»NA»SS»NA»FBCTCBrandinMotion»PRC1VX</v></cell><cell r="D2995" t="str"><v>43302223861547</v></cell><cell r="E2995" t="str"><v>43302103176812PRC1VX</v></cell><cell r="F2995" t="str"><v>DCM</v></cell><cell r="G2995" t="str"><v>https://signup.azure.com/?OCID=AID%eexcid!_OLA_%ebuy!_%epid!_%ecid!</v></cell></row><row r="2995"><cell r="K2995" t="str"><v>July</v></cell><cell r="L2995"><v>43302</v></cell><cell r="M2995" t="str"><v>Tier 0</v></cell><cell r="N2995" t="str"><v>North America</v></cell><cell r="O2995" t="str"><v>United States</v></cell><cell r="P2995" t="str"><v>Trial</v></cell><cell r="Q2995" t="str"><v>Social</v></cell><cell r="R2995" t="str"><v>Azure</v></cell><cell r="S2995" t="str"><v>Apps & Infra</v></cell><cell r="T2995" t="str"><v>Developers & ITI's</v></cell><cell r="U2995" t="str"><v>USA-Trial-ITD-Lead Completes-AZR-AZR</v></cell><cell r="V2995" t="str"><v>Prospecting</v></cell><cell r="W2995" t="str"><v>Canvas Ad</v></cell><cell r="X2995" t="str"><v>1x1</v></cell></row><row r="2995"><cell r="AA2995"><v>43302</v></cell><cell r="AB2995" t="str"><v>USA_gaPMG_AZR_AZR_Q1_19_Direct-Social</v></cell><cell r="AC2995"><v>21358715</v></cell><cell r="AD2995"><v>720197</v></cell><cell r="AE2995" t="str"><v>Facebook</v></cell><cell r="AF2995"><v>3654128</v></cell><cell r="AG2995" t="str"><v>FACEBOOK»USA-Trial-ITD-Lead Completes-AZR-AZR»1 x 1»SocialBan»CAN»ALL»CPA»PRO»X»NA»SS»NA»FBCTCBrandinMotion»PRC1VX</v></cell><cell r="AH2995"><v>223861547</v></cell><cell r="AI2995" t="str"><v>AzurePlatform_FBCTCBrandinMotion_USA_10s_CAN_PLATFORM_English_Trial_Standard_STAN_TIN_T2_1</v></cell><cell r="AJ2995"><v>103176812</v></cell></row><row r="2996"><cell r="C2996" t="str"><v>43302FACEBOOK»USA-Trial-ITD-Lead Completes-AZR-AZR»1 x 1»SocialBan»LIA»ALL»CPA»PRO»X»NA»SS»NA»FreeAcctITProFB-AnimatedHybrid-Ch2»PRC1W5</v></cell><cell r="D2996" t="str"><v>43302224106033</v></cell><cell r="E2996" t="str"><v>43302103180583PRC1W5</v></cell><cell r="F2996" t="str"><v>DCM</v></cell></row><row r="2996"><cell r="K2996" t="str"><v>July</v></cell><cell r="L2996"><v>43302</v></cell><cell r="M2996" t="str"><v>Tier 0</v></cell><cell r="N2996" t="str"><v>North America</v></cell><cell r="O2996" t="str"><v>United States</v></cell><cell r="P2996" t="str"><v>Trial</v></cell><cell r="Q2996" t="str"><v>Social</v></cell><cell r="R2996" t="str"><v>Azure</v></cell><cell r="S2996" t="str"><v>Apps & Infra</v></cell><cell r="T2996" t="str"><v>Developers & ITI's</v></cell><cell r="U2996" t="str"><v>USA-Trial-ITD-Lead Completes-AZR-AZR</v></cell><cell r="V2996" t="str"><v>Prospecting</v></cell><cell r="W2996" t="str"><v>Link Ad</v></cell><cell r="X2996" t="str"><v>1x1</v></cell></row><row r="2996"><cell r="AA2996"><v>43302</v></cell><cell r="AB2996" t="str"><v>USA_gaPMG_AZR_AZR_Q1_19_Direct-Social</v></cell><cell r="AC2996"><v>21358715</v></cell><cell r="AD2996"><v>720197</v></cell><cell r="AE2996" t="str"><v>Facebook</v></cell><cell r="AF2996"><v>3654128</v></cell><cell r="AG2996" t="str"><v>FACEBOOK»USA-Trial-ITD-Lead Completes-AZR-AZR»1 x 1»SocialBan»LIA»ALL»CPA»PRO»X»NA»SS»NA»FreeAcctITProFB-AnimatedHybrid-Ch2»PRC1W5</v></cell><cell r="AH2996"><v>224106033</v></cell><cell r="AI2996" t="str"><v>AZR_FreeAcctITProFB-AnimatedHybrid-Ch2_USA_1200x1200_CAN_Direct_English_Trial_Standard_ANI_LEA_T2_2</v></cell><cell r="AJ2996"><v>103180583</v></cell></row><row r="2997"><cell r="C2997" t="str"><v>43302FACEBOOK»USA-Trial-ITD-Retargeting-AZR-AZR»1 x 1»SocialBan»LIA»ALL»CPA»RT»X»NA»SS»NA»FreeAcctRetargetingOSSFB-Logos-ChG»PRC1S2</v></cell><cell r="D2997" t="str"><v>43302224106063</v></cell><cell r="E2997" t="str"><v>43302103176008PRC1S2</v></cell><cell r="F2997" t="str"><v>DCM</v></cell><cell r="G2997" t="str"><v>https://azure.microsoft.com/en-us/free/open-source/search/?OCID=AID%eexcid!_OLA_%ebuy!_%epid!_%ecid!</v></cell></row><row r="2997"><cell r="K2997" t="str"><v>July</v></cell><cell r="L2997"><v>43302</v></cell><cell r="M2997" t="str"><v>Tier 0</v></cell><cell r="N2997" t="str"><v>North America</v></cell><cell r="O2997" t="str"><v>United States</v></cell><cell r="P2997" t="str"><v>Trial</v></cell><cell r="Q2997" t="str"><v>Social</v></cell><cell r="R2997" t="str"><v>Azure</v></cell><cell r="S2997" t="str"><v>Apps & Infra</v></cell><cell r="T2997" t="str"><v>Developers & ITI's</v></cell><cell r="U2997" t="str"><v>USA-Trial-ITD-Retargeting-AZR-AZR</v></cell><cell r="V2997" t="str"><v>Retargeting</v></cell><cell r="W2997" t="str"><v>Link Ad</v></cell><cell r="X2997" t="str"><v>1x1</v></cell></row><row r="2997"><cell r="AA2997"><v>43302</v></cell><cell r="AB2997" t="str"><v>USA_gaPMG_AZR_AZR_Q1_19_Direct-Social</v></cell><cell r="AC2997"><v>21358715</v></cell><cell r="AD2997"><v>720197</v></cell><cell r="AE2997" t="str"><v>Facebook</v></cell><cell r="AF2997"><v>3654128</v></cell><cell r="AG2997" t="str"><v>FACEBOOK»USA-Trial-ITD-Retargeting-AZR-AZR»1 x 1»SocialBan»LIA»ALL»CPA»RT»X»NA»SS»NA»FreeAcctRetargetingOSSFB-Logos-ChG»PRC1S2</v></cell><cell r="AH2997"><v>224106063</v></cell><cell r="AI2997" t="str"><v>AzurePlatform_FreeAcctRetargetingOSSFB-Logos-ChG_USA_1200x628_CAN_PLATFORM_English_Free Account_Standard_NA_SINU_T2_1</v></cell><cell r="AJ2997"><v>103176008</v></cell></row><row r="2998"><cell r="C2998" t="str"><v>43302FACEBOOK»USA-Trial-ITD-Retargeting-AZR-AZR»1 x 1»SocialBan»LIA»ALL»CPA»RT»X»NA»SS»NA»FreeAcctRetargetingOSSFB-Text-ChF»PRC1S1</v></cell><cell r="D2998" t="str"><v>43302223862753</v></cell><cell r="E2998" t="str"><v>43302103176869PRC1S1</v></cell><cell r="F2998" t="str"><v>DCM</v></cell><cell r="G2998" t="str"><v>https://azure.microsoft.com/en-us/free/open-source/search/?OCID=AID%eexcid!_OLA_%ebuy!_%epid!_%ecid!</v></cell></row><row r="2998"><cell r="K2998" t="str"><v>July</v></cell><cell r="L2998"><v>43302</v></cell><cell r="M2998" t="str"><v>Tier 0</v></cell><cell r="N2998" t="str"><v>North America</v></cell><cell r="O2998" t="str"><v>United States</v></cell><cell r="P2998" t="str"><v>Trial</v></cell><cell r="Q2998" t="str"><v>Social</v></cell><cell r="R2998" t="str"><v>Azure</v></cell><cell r="S2998" t="str"><v>Apps & Infra</v></cell><cell r="T2998" t="str"><v>Developers & ITI's</v></cell><cell r="U2998" t="str"><v>USA-Trial-ITD-Retargeting-AZR-AZR</v></cell><cell r="V2998" t="str"><v>Retargeting</v></cell><cell r="W2998" t="str"><v>Link Ad</v></cell><cell r="X2998" t="str"><v>1x1</v></cell></row><row r="2998"><cell r="AA2998"><v>43302</v></cell><cell r="AB2998" t="str"><v>USA_gaPMG_AZR_AZR_Q1_19_Direct-Social</v></cell><cell r="AC2998"><v>21358715</v></cell><cell r="AD2998"><v>720197</v></cell><cell r="AE2998" t="str"><v>Facebook</v></cell><cell r="AF2998"><v>3654128</v></cell><cell r="AG2998" t="str"><v>FACEBOOK»USA-Trial-ITD-Retargeting-AZR-AZR»1 x 1»SocialBan»LIA»ALL»CPA»RT»X»NA»SS»NA»FreeAcctRetargetingOSSFB-Text-ChF»PRC1S1</v></cell><cell r="AH2998"><v>223862753</v></cell><cell r="AI2998" t="str"><v>AzurePlatform_FreeAcctRetargetingOSSFB-Text-ChF_USA_1200x628_CAN_PLATFORM_English_Free Account_Standard_NA_SINU_T1_2</v></cell><cell r="AJ2998"><v>103176869</v></cell></row><row r="2999"><cell r="C2999" t="str"><v>43302FACEBOOK»USA-Trial-ITD-Retargeting-AZR-AZR»1 x 1»SocialBan»CAN»ALL»CPA»RT»X»NA»SS»NA»FBCTCBasicMotion»PRC1RQ</v></cell><cell r="D2999" t="str"><v>43302224106933</v></cell><cell r="E2999" t="str"><v>43302103043823PRC1RQ</v></cell><cell r="F2999" t="str"><v>DCM</v></cell><cell r="G2999" t="str"><v>https://signup.azure.com/?OCID=AID%eexcid!_OLA_%ebuy!_%epid!_%ecid!</v></cell></row><row r="2999"><cell r="K2999" t="str"><v>July</v></cell><cell r="L2999"><v>43302</v></cell><cell r="M2999" t="str"><v>Tier 0</v></cell><cell r="N2999" t="str"><v>North America</v></cell><cell r="O2999" t="str"><v>United States</v></cell><cell r="P2999" t="str"><v>Trial</v></cell><cell r="Q2999" t="str"><v>Social</v></cell><cell r="R2999" t="str"><v>Azure</v></cell><cell r="S2999" t="str"><v>Apps & Infra</v></cell><cell r="T2999" t="str"><v>Developers & ITI's</v></cell><cell r="U2999" t="str"><v>USA-Trial-ITD-Retargeting-AZR-AZR</v></cell><cell r="V2999" t="str"><v>Retargeting</v></cell><cell r="W2999" t="str"><v>Canvas Ad</v></cell><cell r="X2999" t="str"><v>1x1</v></cell></row><row r="2999"><cell r="AA2999"><v>43302</v></cell><cell r="AB2999" t="str"><v>USA_gaPMG_AZR_AZR_Q1_19_Direct-Social</v></cell><cell r="AC2999"><v>21358715</v></cell><cell r="AD2999"><v>720197</v></cell><cell r="AE2999" t="str"><v>Facebook</v></cell><cell r="AF2999"><v>3654128</v></cell><cell r="AG2999" t="str"><v>FACEBOOK»USA-Trial-ITD-Retargeting-AZR-AZR»1 x 1»SocialBan»CAN»ALL»CPA»RT»X»NA»SS»NA»FBCTCBasicMotion»PRC1RQ</v></cell><cell r="AH2999"><v>224106933</v></cell><cell r="AI2999" t="str"><v>AzurePlatform_FBCTCBasicMotion_USA_10s_CAN_PLATFORM_English_Trial_Standard_STAN_TIN_T1_1</v></cell><cell r="AJ2999"><v>103043823</v></cell></row><row r="3000"><cell r="C3000" t="str"><v>43302FACEBOOK»USA-Trial-ITD-Retargeting-AZR-AZR»1 x 1»SocialBan»LIA»ALL»CPA»RT»X»NA»SS»NA»FreeAcctITProFB-AnimatedSecureMngd-Ch1»PRC26K</v></cell><cell r="D3000" t="str"><v>43302223862762</v></cell><cell r="E3000" t="str"><v>43302103176830PRC26K</v></cell><cell r="F3000" t="str"><v>DCM</v></cell></row><row r="3000"><cell r="K3000" t="str"><v>July</v></cell><cell r="L3000"><v>43302</v></cell><cell r="M3000" t="str"><v>Tier 0</v></cell><cell r="N3000" t="str"><v>North America</v></cell><cell r="O3000" t="str"><v>United States</v></cell><cell r="P3000" t="str"><v>Trial</v></cell><cell r="Q3000" t="str"><v>Social</v></cell><cell r="R3000" t="str"><v>Azure</v></cell><cell r="S3000" t="str"><v>Apps & Infra</v></cell><cell r="T3000" t="str"><v>Developers & ITI's</v></cell><cell r="U3000" t="str"><v>USA-Trial-ITD-Retargeting-AZR-AZR</v></cell><cell r="V3000" t="str"><v>Retargeting</v></cell><cell r="W3000" t="str"><v>Link Ad</v></cell><cell r="X3000" t="str"><v>1x1</v></cell></row><row r="3000"><cell r="AA3000"><v>43302</v></cell><cell r="AB3000" t="str"><v>USA_gaPMG_AZR_AZR_Q1_19_Direct-Social</v></cell><cell r="AC3000"><v>21358715</v></cell><cell r="AD3000"><v>720197</v></cell><cell r="AE3000" t="str"><v>Facebook</v></cell><cell r="AF3000"><v>3654128</v></cell><cell r="AG3000" t="str"><v>FACEBOOK»USA-Trial-ITD-Retargeting-AZR-AZR»1 x 1»SocialBan»LIA»ALL»CPA»RT»X»NA»SS»NA»FreeAcctITProFB-AnimatedSecureMngd-Ch1»PRC26K</v></cell><cell r="AH3000"><v>223862762</v></cell><cell r="AI3000" t="str"><v>AZR_FreeAcctITProFB-AnimatedSecureMngd-Ch1_USA_1200x1200_CAN_Direct_English_Trial_Standard_ANI_LEA_T1_1</v></cell><cell r="AJ3000"><v>103176830</v></cell></row><row r="3001"><cell r="C3001" t="str"><v>43302FACEBOOK»USA-Trial-ITD-Trial Lookalike-AZR-AZR»1 x 1»SocialBan»LIA»ALL»CPA»LAL»X»NA»SS»NA»FreeAcctDeveloperFB-AnimatedGeneric-Ch1»PRC1M4</v></cell><cell r="D3001" t="str"><v>43302224104941</v></cell><cell r="E3001" t="str"><v>43302103176851PRC1M4</v></cell><cell r="F3001" t="str"><v>DCM</v></cell><cell r="G3001" t="str"><v>https://azure.microsoft.com/en-us/free/search/?OCID=AID%eexcid!_OLA_%ebuy!_%epid!_%ecid!</v></cell></row><row r="3001"><cell r="K3001" t="str"><v>July</v></cell><cell r="L3001"><v>43302</v></cell><cell r="M3001" t="str"><v>Tier 0</v></cell><cell r="N3001" t="str"><v>North America</v></cell><cell r="O3001" t="str"><v>United States</v></cell><cell r="P3001" t="str"><v>Trial</v></cell><cell r="Q3001" t="str"><v>Social</v></cell><cell r="R3001" t="str"><v>Azure</v></cell><cell r="S3001" t="str"><v>Apps & Infra</v></cell><cell r="T3001" t="str"><v>Developers & ITI's</v></cell><cell r="U3001" t="str"><v>USA-Trial-ITD-Trial Lookalike-AZR-AZR</v></cell><cell r="V3001" t="str"><v>Lookalike Targeting</v></cell><cell r="W3001" t="str"><v>Link Ad</v></cell><cell r="X3001" t="str"><v>1x1</v></cell></row><row r="3001"><cell r="AA3001"><v>43302</v></cell><cell r="AB3001" t="str"><v>USA_gaPMG_AZR_AZR_Q1_19_Direct-Social</v></cell><cell r="AC3001"><v>21358715</v></cell><cell r="AD3001"><v>720197</v></cell><cell r="AE3001" t="str"><v>Facebook</v></cell><cell r="AF3001"><v>3654128</v></cell><cell r="AG3001" t="str"><v>FACEBOOK»USA-Trial-ITD-Trial Lookalike-AZR-AZR»1 x 1»SocialBan»LIA»ALL»CPA»LAL»X»NA»SS»NA»FreeAcctDeveloperFB-AnimatedGeneric-Ch1»PRC1M4</v></cell><cell r="AH3001"><v>224104941</v></cell><cell r="AI3001" t="str"><v>AZR_FreeAcctDeveloperFB-AnimatedGeneric-Ch1_USA_1200x1200_CAN_Direct_English_Trial_Standard_ANI_LEA_T1_2</v></cell><cell r="AJ3001"><v>103176851</v></cell></row><row r="3002"><cell r="C3002" t="str"><v>43302FACEBOOK»USA-Trial-ITD-Trial Lookalike-AZR-AZR»1 x 1»SocialBan»LIA»ALL»CPA»LAL»X»NA»SS»NA»FreeAcctDeveloperFB-AnimatedGeneric-Ch1»PRC1M5</v></cell><cell r="D3002" t="str"><v>43302223934083</v></cell><cell r="E3002" t="str"><v>43302103176851PRC1M5</v></cell><cell r="F3002" t="str"><v>DCM</v></cell><cell r="G3002" t="str"><v>https://azure.microsoft.com/en-us/free/search/?OCID=AID%eexcid!_OLA_%ebuy!_%epid!_%ecid!</v></cell></row><row r="3002"><cell r="K3002" t="str"><v>July</v></cell><cell r="L3002"><v>43302</v></cell><cell r="M3002" t="str"><v>Tier 0</v></cell><cell r="N3002" t="str"><v>North America</v></cell><cell r="O3002" t="str"><v>United States</v></cell><cell r="P3002" t="str"><v>Trial</v></cell><cell r="Q3002" t="str"><v>Social</v></cell><cell r="R3002" t="str"><v>Azure</v></cell><cell r="S3002" t="str"><v>Apps & Infra</v></cell><cell r="T3002" t="str"><v>Developers & ITI's</v></cell><cell r="U3002" t="str"><v>USA-Trial-ITD-Trial Lookalike-AZR-AZR</v></cell><cell r="V3002" t="str"><v>Lookalike Targeting</v></cell><cell r="W3002" t="str"><v>Link Ad</v></cell><cell r="X3002" t="str"><v>1x1</v></cell></row><row r="3002"><cell r="AA3002"><v>43302</v></cell><cell r="AB3002" t="str"><v>USA_gaPMG_AZR_AZR_Q1_19_Direct-Social</v></cell><cell r="AC3002"><v>21358715</v></cell><cell r="AD3002"><v>720197</v></cell><cell r="AE3002" t="str"><v>Facebook</v></cell><cell r="AF3002"><v>3654128</v></cell><cell r="AG3002" t="str"><v>FACEBOOK»USA-Trial-ITD-Trial Lookalike-AZR-AZR»1 x 1»SocialBan»LIA»ALL»CPA»LAL»X»NA»SS»NA»FreeAcctDeveloperFB-AnimatedGeneric-Ch1»PRC1M5</v></cell><cell r="AH3002"><v>223934083</v></cell><cell r="AI3002" t="str"><v>AZR_FreeAcctDeveloperFB-AnimatedGeneric-Ch1_USA_1200x1200_CAN_Direct_English_Trial_Standard_ANI_LEA_T1_2</v></cell><cell r="AJ3002"><v>103176851</v></cell></row><row r="3003"><cell r="C3003" t="str"><v>43302FACEBOOK»USA-Trial-ITD-Trial Lookalike-AZR-AZR»1 x 1»SocialBan»LIA»ALL»CPA»LAL»X»NA»SS»NA»FreeAcctDeveloperFB-AnimatedOpenSource-Ch2»PRC1M6</v></cell><cell r="D3003" t="str"><v>43302223935628</v></cell><cell r="E3003" t="str"><v>43302103048329PRC1M6</v></cell><cell r="F3003" t="str"><v>DCM</v></cell><cell r="G3003" t="str"><v>https://azure.microsoft.com/en-us/free/open-source/search/?OCID=AID%eexcid!_OLA_%ebuy!_%epid!_%ecid!</v></cell></row><row r="3003"><cell r="K3003" t="str"><v>July</v></cell><cell r="L3003"><v>43302</v></cell><cell r="M3003" t="str"><v>Tier 0</v></cell><cell r="N3003" t="str"><v>North America</v></cell><cell r="O3003" t="str"><v>United States</v></cell><cell r="P3003" t="str"><v>Trial</v></cell><cell r="Q3003" t="str"><v>Social</v></cell><cell r="R3003" t="str"><v>Azure</v></cell><cell r="S3003" t="str"><v>Apps & Infra</v></cell><cell r="T3003" t="str"><v>Developers & ITI's</v></cell><cell r="U3003" t="str"><v>USA-Trial-ITD-Trial Lookalike-AZR-AZR</v></cell><cell r="V3003" t="str"><v>Lookalike Targeting</v></cell><cell r="W3003" t="str"><v>Link Ad</v></cell><cell r="X3003" t="str"><v>1x1</v></cell></row><row r="3003"><cell r="AA3003"><v>43302</v></cell><cell r="AB3003" t="str"><v>USA_gaPMG_AZR_AZR_Q1_19_Direct-Social</v></cell><cell r="AC3003"><v>21358715</v></cell><cell r="AD3003"><v>720197</v></cell><cell r="AE3003" t="str"><v>Facebook</v></cell><cell r="AF3003"><v>3654128</v></cell><cell r="AG3003" t="str"><v>FACEBOOK»USA-Trial-ITD-Trial Lookalike-AZR-AZR»1 x 1»SocialBan»LIA»ALL»CPA»LAL»X»NA»SS»NA»FreeAcctDeveloperFB-AnimatedOpenSource-Ch2»PRC1M6</v></cell><cell r="AH3003"><v>223935628</v></cell><cell r="AI3003" t="str"><v>AZR_FreeAcctDeveloperFB-AnimatedOpenSource-Ch2_USA_1200x1200_CAN_Direct_English_Trial_Standard_ANI_LEA_T2_1</v></cell><cell r="AJ3003"><v>103048329</v></cell></row><row r="3004"><cell r="C3004" t="str"><v>43302FACEBOOK»USA-Trial-ITD-Trial Lookalike-AZR-AZR»1 x 1»SocialBan»LIA»ALL»CPA»LAL»X»NA»SS»NA»FreeAcctITProFB-AnimatedMigration-Ch3»PRC23N</v></cell><cell r="D3004" t="str"><v>43302223935637</v></cell><cell r="E3004" t="str"><v>43302103176827PRC23N</v></cell><cell r="F3004" t="str"><v>DCM</v></cell></row><row r="3004"><cell r="K3004" t="str"><v>July</v></cell><cell r="L3004"><v>43302</v></cell><cell r="M3004" t="str"><v>Tier 0</v></cell><cell r="N3004" t="str"><v>North America</v></cell><cell r="O3004" t="str"><v>United States</v></cell><cell r="P3004" t="str"><v>Trial</v></cell><cell r="Q3004" t="str"><v>Social</v></cell><cell r="R3004" t="str"><v>Azure</v></cell><cell r="S3004" t="str"><v>Apps & Infra</v></cell><cell r="T3004" t="str"><v>Developers & ITI's</v></cell><cell r="U3004" t="str"><v>USA-Trial-ITD-Trial Lookalike-AZR-AZR</v></cell><cell r="V3004" t="str"><v>Lookalike Targeting</v></cell><cell r="W3004" t="str"><v>Link Ad</v></cell><cell r="X3004" t="str"><v>1x1</v></cell></row><row r="3004"><cell r="AA3004"><v>43302</v></cell><cell r="AB3004" t="str"><v>USA_gaPMG_AZR_AZR_Q1_19_Direct-Social</v></cell><cell r="AC3004"><v>21358715</v></cell><cell r="AD3004"><v>720197</v></cell><cell r="AE3004" t="str"><v>Facebook</v></cell><cell r="AF3004"><v>3654128</v></cell><cell r="AG3004" t="str"><v>FACEBOOK»USA-Trial-ITD-Trial Lookalike-AZR-AZR»1 x 1»SocialBan»LIA»ALL»CPA»LAL»X»NA»SS»NA»FreeAcctITProFB-AnimatedMigration-Ch3»PRC23N</v></cell><cell r="AH3004"><v>223935637</v></cell><cell r="AI3004" t="str"><v>AZR_FreeAcctITProFB-AnimatedMigration-Ch3_USA_1200x1200_CAN_Direct_English_Trial_Standard_ANI_LEA_T3_1</v></cell><cell r="AJ3004"><v>103176827</v></cell></row><row r="3005"><cell r="C3005" t="str"><v>43302FACEBOOK»USA-Trial-ITD-Trial Lookalike-AZR-AZR»1 x 1»SocialBan»LIA»ALL»CPA»LAL»X»NA»SS»NA»FreeAcctITProFB-AnimatedSecureMngd-Ch1»PRC1M9</v></cell><cell r="D3005" t="str"><v>43302224104959</v></cell><cell r="E3005" t="str"><v>43302103176830PRC1M9</v></cell><cell r="F3005" t="str"><v>DCM</v></cell></row><row r="3005"><cell r="K3005" t="str"><v>July</v></cell><cell r="L3005"><v>43302</v></cell><cell r="M3005" t="str"><v>Tier 0</v></cell><cell r="N3005" t="str"><v>North America</v></cell><cell r="O3005" t="str"><v>United States</v></cell><cell r="P3005" t="str"><v>Trial</v></cell><cell r="Q3005" t="str"><v>Social</v></cell><cell r="R3005" t="str"><v>Azure</v></cell><cell r="S3005" t="str"><v>Apps & Infra</v></cell><cell r="T3005" t="str"><v>Developers & ITI's</v></cell><cell r="U3005" t="str"><v>USA-Trial-ITD-Trial Lookalike-AZR-AZR</v></cell><cell r="V3005" t="str"><v>Lookalike Targeting</v></cell><cell r="W3005" t="str"><v>Link Ad</v></cell><cell r="X3005" t="str"><v>1x1</v></cell></row><row r="3005"><cell r="AA3005"><v>43302</v></cell><cell r="AB3005" t="str"><v>USA_gaPMG_AZR_AZR_Q1_19_Direct-Social</v></cell><cell r="AC3005"><v>21358715</v></cell><cell r="AD3005"><v>720197</v></cell><cell r="AE3005" t="str"><v>Facebook</v></cell><cell r="AF3005"><v>3654128</v></cell><cell r="AG3005" t="str"><v>FACEBOOK»USA-Trial-ITD-Trial Lookalike-AZR-AZR»1 x 1»SocialBan»LIA»ALL»CPA»LAL»X»NA»SS»NA»FreeAcctITProFB-AnimatedSecureMngd-Ch1»PRC1M9</v></cell><cell r="AH3005"><v>224104959</v></cell><cell r="AI3005" t="str"><v>AZR_FreeAcctITProFB-AnimatedSecureMngd-Ch1_USA_1200x1200_CAN_Direct_English_Trial_Standard_ANI_LEA_T1_1</v></cell><cell r="AJ3005"><v>103176830</v></cell></row><row r="3006"><cell r="C3006" t="str"><v>43302FACEBOOK»USA-Trial-ITD-Trial Lookalike-AZR-AZR»1 x 1»SocialBan»CAN»ALL»CPA»LAL»X»NA»SS»NA»FBCTCBasicMotion»PRC1LZ</v></cell><cell r="D3006" t="str"><v>43302223862915</v></cell><cell r="E3006" t="str"><v>43302103043823PRC1LZ</v></cell><cell r="F3006" t="str"><v>DCM</v></cell><cell r="G3006" t="str"><v>https://signup.azure.com/?OCID=AID%eexcid!_OLA_%ebuy!_%epid!_%ecid!</v></cell></row><row r="3006"><cell r="K3006" t="str"><v>July</v></cell><cell r="L3006"><v>43302</v></cell><cell r="M3006" t="str"><v>Tier 0</v></cell><cell r="N3006" t="str"><v>North America</v></cell><cell r="O3006" t="str"><v>United States</v></cell><cell r="P3006" t="str"><v>Trial</v></cell><cell r="Q3006" t="str"><v>Social</v></cell><cell r="R3006" t="str"><v>Azure</v></cell><cell r="S3006" t="str"><v>Apps & Infra</v></cell><cell r="T3006" t="str"><v>Developers & ITI's</v></cell><cell r="U3006" t="str"><v>USA-Trial-ITD-Trial Lookalike-AZR-AZR</v></cell><cell r="V3006" t="str"><v>Lookalike Targeting</v></cell><cell r="W3006" t="str"><v>Canvas Ad</v></cell><cell r="X3006" t="str"><v>1x1</v></cell></row><row r="3006"><cell r="AA3006"><v>43302</v></cell><cell r="AB3006" t="str"><v>USA_gaPMG_AZR_AZR_Q1_19_Direct-Social</v></cell><cell r="AC3006"><v>21358715</v></cell><cell r="AD3006"><v>720197</v></cell><cell r="AE3006" t="str"><v>Facebook</v></cell><cell r="AF3006"><v>3654128</v></cell><cell r="AG3006" t="str"><v>FACEBOOK»USA-Trial-ITD-Trial Lookalike-AZR-AZR»1 x 1»SocialBan»CAN»ALL»CPA»LAL»X»NA»SS»NA»FBCTCBasicMotion»PRC1LZ</v></cell><cell r="AH3006"><v>223862915</v></cell><cell r="AI3006" t="str"><v>AzurePlatform_FBCTCBasicMotion_USA_10s_CAN_PLATFORM_English_Trial_Standard_STAN_TIN_T1_1</v></cell><cell r="AJ3006"><v>103043823</v></cell></row><row r="3007"><cell r="C3007" t="str"><v>43302FACEBOOK»USA-Trial-ITD-Trial Lookalike-AZR-AZR»1 x 1»SocialBan»CAN»ALL»CPA»LAL»X»NA»SS»NA»FBCTCBasicMotion»PRC1LZ</v></cell><cell r="D3007" t="str"><v>43302223862915</v></cell><cell r="E3007" t="str"><v>43302103175984PRC1LZ</v></cell><cell r="F3007" t="str"><v>DCM</v></cell><cell r="G3007" t="str"><v>https://azure.microsoft.com/en-us/pricing/purchase-options/?v=18.19&OCID=AID%eexcid!_OLA_%ebuy!_%epid!_%ecid!</v></cell></row><row r="3007"><cell r="K3007" t="str"><v>July</v></cell><cell r="L3007"><v>43302</v></cell><cell r="M3007" t="str"><v>Tier 0</v></cell><cell r="N3007" t="str"><v>North America</v></cell><cell r="O3007" t="str"><v>United States</v></cell><cell r="P3007" t="str"><v>Trial</v></cell><cell r="Q3007" t="str"><v>Social</v></cell><cell r="R3007" t="str"><v>Azure</v></cell><cell r="S3007" t="str"><v>Apps & Infra</v></cell><cell r="T3007" t="str"><v>Developers & ITI's</v></cell><cell r="U3007" t="str"><v>USA-Trial-ITD-Trial Lookalike-AZR-AZR</v></cell><cell r="V3007" t="str"><v>Lookalike Targeting</v></cell><cell r="W3007" t="str"><v>Canvas Ad</v></cell><cell r="X3007" t="str"><v>1x1</v></cell></row><row r="3007"><cell r="AA3007"><v>43302</v></cell><cell r="AB3007" t="str"><v>USA_gaPMG_AZR_AZR_Q1_19_Direct-Social</v></cell><cell r="AC3007"><v>21358715</v></cell><cell r="AD3007"><v>720197</v></cell><cell r="AE3007" t="str"><v>Facebook</v></cell><cell r="AF3007"><v>3654128</v></cell><cell r="AG3007" t="str"><v>FACEBOOK»USA-Trial-ITD-Trial Lookalike-AZR-AZR»1 x 1»SocialBan»CAN»ALL»CPA»LAL»X»NA»SS»NA»FBCTCBasicMotion»PRC1LZ</v></cell><cell r="AH3007"><v>223862915</v></cell><cell r="AI3007" t="str"><v>AzurePlatform_FBCTCBasicMotion_USA_10s_CAN_PLATFORM_English_Trial_Standard_STAN_TIN_T1_2</v></cell><cell r="AJ3007"><v>103175984</v></cell></row><row r="3008"><cell r="C3008" t="str"><v>43302FACEBOOK»USA-Trial-ITD-Trial PayGo Lookalike-AZR-AZR»1 x 1»SocialBan»CAN»ALL»CPA»LAL»X»NA»SS»NA»FBCTCBasicMotion»PRC1Q0</v></cell><cell r="D3008" t="str"><v>43302223935664</v></cell><cell r="E3008" t="str"><v>43302103043823PRC1Q0</v></cell><cell r="F3008" t="str"><v>DCM</v></cell><cell r="G3008" t="str"><v>https://signup.azure.com/?OCID=AID%eexcid!_OLA_%ebuy!_%epid!_%ecid!</v></cell></row><row r="3008"><cell r="K3008" t="str"><v>July</v></cell><cell r="L3008"><v>43302</v></cell><cell r="M3008" t="str"><v>Tier 0</v></cell><cell r="N3008" t="str"><v>North America</v></cell><cell r="O3008" t="str"><v>United States</v></cell><cell r="P3008" t="str"><v>Trial</v></cell><cell r="Q3008" t="str"><v>Social</v></cell><cell r="R3008" t="str"><v>Azure</v></cell><cell r="S3008" t="str"><v>Apps & Infra</v></cell><cell r="T3008" t="str"><v>Developers & ITI's</v></cell><cell r="U3008" t="str"><v>USA-Trial-ITD-Trial PayGo Lookalike-AZR-AZR</v></cell><cell r="V3008" t="str"><v>Lookalike Targeting</v></cell><cell r="W3008" t="str"><v>Canvas Ad</v></cell><cell r="X3008" t="str"><v>1x1</v></cell></row><row r="3008"><cell r="AA3008"><v>43302</v></cell><cell r="AB3008" t="str"><v>USA_gaPMG_AZR_AZR_Q1_19_Direct-Social</v></cell><cell r="AC3008"><v>21358715</v></cell><cell r="AD3008"><v>720197</v></cell><cell r="AE3008" t="str"><v>Facebook</v></cell><cell r="AF3008"><v>3654128</v></cell><cell r="AG3008" t="str"><v>FACEBOOK»USA-Trial-ITD-Trial PayGo Lookalike-AZR-AZR»1 x 1»SocialBan»CAN»ALL»CPA»LAL»X»NA»SS»NA»FBCTCBasicMotion»PRC1Q0</v></cell><cell r="AH3008"><v>223935664</v></cell><cell r="AI3008" t="str"><v>AzurePlatform_FBCTCBasicMotion_USA_10s_CAN_PLATFORM_English_Trial_Standard_STAN_TIN_T1_1</v></cell><cell r="AJ3008"><v>103043823</v></cell></row><row r="3009"><cell r="C3009" t="str"><v>43302FACEBOOK»USA-Trial-ITD-Trial PayGo Lookalike-AZR-AZR»1 x 1»SocialBan»CAN»ALL»CPA»LAL»X»NA»SS»NA»FBCTCBasicMotion»PRC1Q0</v></cell><cell r="D3009" t="str"><v>43302223935664</v></cell><cell r="E3009" t="str"><v>43302103175984PRC1Q0</v></cell><cell r="F3009" t="str"><v>DCM</v></cell><cell r="G3009" t="str"><v>https://azure.microsoft.com/en-us/pricing/purchase-options/?v=18.19&OCID=AID%eexcid!_OLA_%ebuy!_%epid!_%ecid!</v></cell></row><row r="3009"><cell r="K3009" t="str"><v>July</v></cell><cell r="L3009"><v>43302</v></cell><cell r="M3009" t="str"><v>Tier 0</v></cell><cell r="N3009" t="str"><v>North America</v></cell><cell r="O3009" t="str"><v>United States</v></cell><cell r="P3009" t="str"><v>Trial</v></cell><cell r="Q3009" t="str"><v>Social</v></cell><cell r="R3009" t="str"><v>Azure</v></cell><cell r="S3009" t="str"><v>Apps & Infra</v></cell><cell r="T3009" t="str"><v>Developers & ITI's</v></cell><cell r="U3009" t="str"><v>USA-Trial-ITD-Trial PayGo Lookalike-AZR-AZR</v></cell><cell r="V3009" t="str"><v>Lookalike Targeting</v></cell><cell r="W3009" t="str"><v>Canvas Ad</v></cell><cell r="X3009" t="str"><v>1x1</v></cell></row><row r="3009"><cell r="AA3009"><v>43302</v></cell><cell r="AB3009" t="str"><v>USA_gaPMG_AZR_AZR_Q1_19_Direct-Social</v></cell><cell r="AC3009"><v>21358715</v></cell><cell r="AD3009"><v>720197</v></cell><cell r="AE3009" t="str"><v>Facebook</v></cell><cell r="AF3009"><v>3654128</v></cell><cell r="AG3009" t="str"><v>FACEBOOK»USA-Trial-ITD-Trial PayGo Lookalike-AZR-AZR»1 x 1»SocialBan»CAN»ALL»CPA»LAL»X»NA»SS»NA»FBCTCBasicMotion»PRC1Q0</v></cell><cell r="AH3009"><v>223935664</v></cell><cell r="AI3009" t="str"><v>AzurePlatform_FBCTCBasicMotion_USA_10s_CAN_PLATFORM_English_Trial_Standard_STAN_TIN_T1_2</v></cell><cell r="AJ3009"><v>103175984</v></cell></row><row r="3010"><cell r="C3010" t="str"><v>43302FACEBOOK»USA-Trial-ITD-Trial PayGo Lookalike-AZR-AZR»1 x 1»SocialBan»LIA»ALL»CPA»LAL»X»NA»SS»NA»FreeAcctDeveloperFB-AnimatedAI-Ch3»PRC1Q8</v></cell><cell r="D3010" t="str"><v>43302224104983</v></cell><cell r="E3010" t="str"><v>43302103032778PRC1Q8</v></cell><cell r="F3010" t="str"><v>DCM</v></cell></row><row r="3010"><cell r="K3010" t="str"><v>July</v></cell><cell r="L3010"><v>43302</v></cell><cell r="M3010" t="str"><v>Tier 0</v></cell><cell r="N3010" t="str"><v>North America</v></cell><cell r="O3010" t="str"><v>United States</v></cell><cell r="P3010" t="str"><v>Trial</v></cell><cell r="Q3010" t="str"><v>Social</v></cell><cell r="R3010" t="str"><v>Azure</v></cell><cell r="S3010" t="str"><v>Apps & Infra</v></cell><cell r="T3010" t="str"><v>Developers & ITI's</v></cell><cell r="U3010" t="str"><v>USA-Trial-ITD-Trial PayGo Lookalike-AZR-AZR</v></cell><cell r="V3010" t="str"><v>Lookalike Targeting</v></cell><cell r="W3010" t="str"><v>Link Ad</v></cell><cell r="X3010" t="str"><v>1x1</v></cell></row><row r="3010"><cell r="AA3010"><v>43302</v></cell><cell r="AB3010" t="str"><v>USA_gaPMG_AZR_AZR_Q1_19_Direct-Social</v></cell><cell r="AC3010"><v>21358715</v></cell><cell r="AD3010"><v>720197</v></cell><cell r="AE3010" t="str"><v>Facebook</v></cell><cell r="AF3010"><v>3654128</v></cell><cell r="AG3010" t="str"><v>FACEBOOK»USA-Trial-ITD-Trial PayGo Lookalike-AZR-AZR»1 x 1»SocialBan»LIA»ALL»CPA»LAL»X»NA»SS»NA»FreeAcctDeveloperFB-AnimatedAI-Ch3»PRC1Q8</v></cell><cell r="AH3010"><v>224104983</v></cell><cell r="AI3010" t="str"><v>AZR_FreeAcctDeveloperFB-AnimatedAI-Ch3_USA_1200x1200_CAN_Direct_English_Trial_Standard_ANI_LEA_T3_1</v></cell><cell r="AJ3010"><v>103032778</v></cell></row><row r="3011"><cell r="C3011" t="str"><v>43302FACEBOOK»USA-Trial-ITD-Trial PayGo Lookalike-AZR-AZR»1 x 1»SocialBan»LIA»ALL»CPA»LAL»X»NA»SS»NA»FreeAcctDeveloperFB-AnimatedData-Ch4»PRC1Q9</v></cell><cell r="D3011" t="str"><v>43302224106990</v></cell><cell r="E3011" t="str"><v>43302103037935PRC1Q9</v></cell><cell r="F3011" t="str"><v>DCM</v></cell></row><row r="3011"><cell r="K3011" t="str"><v>July</v></cell><cell r="L3011"><v>43302</v></cell><cell r="M3011" t="str"><v>Tier 0</v></cell><cell r="N3011" t="str"><v>North America</v></cell><cell r="O3011" t="str"><v>United States</v></cell><cell r="P3011" t="str"><v>Trial</v></cell><cell r="Q3011" t="str"><v>Social</v></cell><cell r="R3011" t="str"><v>Azure</v></cell><cell r="S3011" t="str"><v>Apps & Infra</v></cell><cell r="T3011" t="str"><v>Developers & ITI's</v></cell><cell r="U3011" t="str"><v>USA-Trial-ITD-Trial PayGo Lookalike-AZR-AZR</v></cell><cell r="V3011" t="str"><v>Lookalike Targeting</v></cell><cell r="W3011" t="str"><v>Link Ad</v></cell><cell r="X3011" t="str"><v>1x1</v></cell></row><row r="3011"><cell r="AA3011"><v>43302</v></cell><cell r="AB3011" t="str"><v>USA_gaPMG_AZR_AZR_Q1_19_Direct-Social</v></cell><cell r="AC3011"><v>21358715</v></cell><cell r="AD3011"><v>720197</v></cell><cell r="AE3011" t="str"><v>Facebook</v></cell><cell r="AF3011"><v>3654128</v></cell><cell r="AG3011" t="str"><v>FACEBOOK»USA-Trial-ITD-Trial PayGo Lookalike-AZR-AZR»1 x 1»SocialBan»LIA»ALL»CPA»LAL»X»NA»SS»NA»FreeAcctDeveloperFB-AnimatedData-Ch4»PRC1Q9</v></cell><cell r="AH3011"><v>224106990</v></cell><cell r="AI3011" t="str"><v>AZR_FreeAcctDeveloperFB-AnimatedData-Ch4_USA_1200x1200_CAN_Direct_English_Trial_Standard_ANI_LEA_T4_2</v></cell><cell r="AJ3011"><v>103037935</v></cell></row><row r="3012"><cell r="C3012" t="str"><v>43302FACEBOOK»USA-Trial-ITD-Trial PayGo Lookalike-AZR-AZR»1 x 1»SocialBan»LIA»ALL»CPA»LAL»X»NA»SS»NA»FreeAcctDeveloperFB-AnimatedGeneric-Ch1»PRC1Q5</v></cell><cell r="D3012" t="str"><v>43302224104092</v></cell><cell r="E3012" t="str"><v>43302103176851PRC1Q5</v></cell><cell r="F3012" t="str"><v>DCM</v></cell><cell r="G3012" t="str"><v>https://azure.microsoft.com/en-us/free/search/?OCID=AID%eexcid!_OLA_%ebuy!_%epid!_%ecid!</v></cell></row><row r="3012"><cell r="K3012" t="str"><v>July</v></cell><cell r="L3012"><v>43302</v></cell><cell r="M3012" t="str"><v>Tier 0</v></cell><cell r="N3012" t="str"><v>North America</v></cell><cell r="O3012" t="str"><v>United States</v></cell><cell r="P3012" t="str"><v>Trial</v></cell><cell r="Q3012" t="str"><v>Social</v></cell><cell r="R3012" t="str"><v>Azure</v></cell><cell r="S3012" t="str"><v>Apps & Infra</v></cell><cell r="T3012" t="str"><v>Developers & ITI's</v></cell><cell r="U3012" t="str"><v>USA-Trial-ITD-Trial PayGo Lookalike-AZR-AZR</v></cell><cell r="V3012" t="str"><v>Lookalike Targeting</v></cell><cell r="W3012" t="str"><v>Link Ad</v></cell><cell r="X3012" t="str"><v>1x1</v></cell></row><row r="3012"><cell r="AA3012"><v>43302</v></cell><cell r="AB3012" t="str"><v>USA_gaPMG_AZR_AZR_Q1_19_Direct-Social</v></cell><cell r="AC3012"><v>21358715</v></cell><cell r="AD3012"><v>720197</v></cell><cell r="AE3012" t="str"><v>Facebook</v></cell><cell r="AF3012"><v>3654128</v></cell><cell r="AG3012" t="str"><v>FACEBOOK»USA-Trial-ITD-Trial PayGo Lookalike-AZR-AZR»1 x 1»SocialBan»LIA»ALL»CPA»LAL»X»NA»SS»NA»FreeAcctDeveloperFB-AnimatedGeneric-Ch1»PRC1Q5</v></cell><cell r="AH3012"><v>224104092</v></cell><cell r="AI3012" t="str"><v>AZR_FreeAcctDeveloperFB-AnimatedGeneric-Ch1_USA_1200x1200_CAN_Direct_English_Trial_Standard_ANI_LEA_T1_2</v></cell><cell r="AJ3012"><v>103176851</v></cell></row><row r="3013"><cell r="C3013" t="str"><v>43302FACEBOOK»USA-Trial-ITD-Trial PayGo Lookalike-AZR-AZR»1 x 1»SocialBan»LIA»ALL»CPA»LAL»X»NA»SS»NA»FreeAcctITProFB-AnimatedHybrid-Ch2»PRC1QC</v></cell><cell r="D3013" t="str"><v>43302223933186</v></cell><cell r="E3013" t="str"><v>43302103180583PRC1QC</v></cell><cell r="F3013" t="str"><v>DCM</v></cell></row><row r="3013"><cell r="K3013" t="str"><v>July</v></cell><cell r="L3013"><v>43302</v></cell><cell r="M3013" t="str"><v>Tier 0</v></cell><cell r="N3013" t="str"><v>North America</v></cell><cell r="O3013" t="str"><v>United States</v></cell><cell r="P3013" t="str"><v>Trial</v></cell><cell r="Q3013" t="str"><v>Social</v></cell><cell r="R3013" t="str"><v>Azure</v></cell><cell r="S3013" t="str"><v>Apps & Infra</v></cell><cell r="T3013" t="str"><v>Developers & ITI's</v></cell><cell r="U3013" t="str"><v>USA-Trial-ITD-Trial PayGo Lookalike-AZR-AZR</v></cell><cell r="V3013" t="str"><v>Lookalike Targeting</v></cell><cell r="W3013" t="str"><v>Link Ad</v></cell><cell r="X3013" t="str"><v>1x1</v></cell></row><row r="3013"><cell r="AA3013"><v>43302</v></cell><cell r="AB3013" t="str"><v>USA_gaPMG_AZR_AZR_Q1_19_Direct-Social</v></cell><cell r="AC3013"><v>21358715</v></cell><cell r="AD3013"><v>720197</v></cell><cell r="AE3013" t="str"><v>Facebook</v></cell><cell r="AF3013"><v>3654128</v></cell><cell r="AG3013" t="str"><v>FACEBOOK»USA-Trial-ITD-Trial PayGo Lookalike-AZR-AZR»1 x 1»SocialBan»LIA»ALL»CPA»LAL»X»NA»SS»NA»FreeAcctITProFB-AnimatedHybrid-Ch2»PRC1QC</v></cell><cell r="AH3013"><v>223933186</v></cell><cell r="AI3013" t="str"><v>AZR_FreeAcctITProFB-AnimatedHybrid-Ch2_USA_1200x1200_CAN_Direct_English_Trial_Standard_ANI_LEA_T2_2</v></cell><cell r="AJ3013"><v>103180583</v></cell></row><row r="3014"><cell r="C3014" t="str"><v>43302FACEBOOK»USA-Trial-ITD-Trial PayGo Lookalike-AZR-AZR»1 x 1»SocialBan»LIA»ALL»CPA»LAL»X»NA»SS»NA»FreeAcctITProFB-AnimatedMigration-Ch3»PRC23Y</v></cell><cell r="D3014" t="str"><v>43302224105904</v></cell><cell r="E3014" t="str"><v>43302103176827PRC23Y</v></cell><cell r="F3014" t="str"><v>DCM</v></cell></row><row r="3014"><cell r="K3014" t="str"><v>July</v></cell><cell r="L3014"><v>43302</v></cell><cell r="M3014" t="str"><v>Tier 0</v></cell><cell r="N3014" t="str"><v>North America</v></cell><cell r="O3014" t="str"><v>United States</v></cell><cell r="P3014" t="str"><v>Trial</v></cell><cell r="Q3014" t="str"><v>Social</v></cell><cell r="R3014" t="str"><v>Azure</v></cell><cell r="S3014" t="str"><v>Apps & Infra</v></cell><cell r="T3014" t="str"><v>Developers & ITI's</v></cell><cell r="U3014" t="str"><v>USA-Trial-ITD-Trial PayGo Lookalike-AZR-AZR</v></cell><cell r="V3014" t="str"><v>Lookalike Targeting</v></cell><cell r="W3014" t="str"><v>Link Ad</v></cell><cell r="X3014" t="str"><v>1x1</v></cell></row><row r="3014"><cell r="AA3014"><v>43302</v></cell><cell r="AB3014" t="str"><v>USA_gaPMG_AZR_AZR_Q1_19_Direct-Social</v></cell><cell r="AC3014"><v>21358715</v></cell><cell r="AD3014"><v>720197</v></cell><cell r="AE3014" t="str"><v>Facebook</v></cell><cell r="AF3014"><v>3654128</v></cell><cell r="AG3014" t="str"><v>FACEBOOK»USA-Trial-ITD-Trial PayGo Lookalike-AZR-AZR»1 x 1»SocialBan»LIA»ALL»CPA»LAL»X»NA»SS»NA»FreeAcctITProFB-AnimatedMigration-Ch3»PRC23Y</v></cell><cell r="AH3014"><v>224105904</v></cell><cell r="AI3014" t="str"><v>AZR_FreeAcctITProFB-AnimatedMigration-Ch3_USA_1200x1200_CAN_Direct_English_Trial_Standard_ANI_LEA_T3_1</v></cell><cell r="AJ3014"><v>103176827</v></cell></row><row r="3015"><cell r="C3015" t="str"><v>43302FACEBOOK»USA-Trial-ITD-Trial PayGo Lookalike-AZR-AZR»1 x 1»SocialBan»LIA»ALL»CPA»LAL»X»NA»SS»NA»FreeAcctITProFB-AnimatedSecureMngd-Ch1»PRC1QB</v></cell><cell r="D3015" t="str"><v>43302223862945</v></cell><cell r="E3015" t="str"><v>43302103176830PRC1QB</v></cell><cell r="F3015" t="str"><v>DCM</v></cell></row><row r="3015"><cell r="K3015" t="str"><v>July</v></cell><cell r="L3015"><v>43302</v></cell><cell r="M3015" t="str"><v>Tier 0</v></cell><cell r="N3015" t="str"><v>North America</v></cell><cell r="O3015" t="str"><v>United States</v></cell><cell r="P3015" t="str"><v>Trial</v></cell><cell r="Q3015" t="str"><v>Social</v></cell><cell r="R3015" t="str"><v>Azure</v></cell><cell r="S3015" t="str"><v>Apps & Infra</v></cell><cell r="T3015" t="str"><v>Developers & ITI's</v></cell><cell r="U3015" t="str"><v>USA-Trial-ITD-Trial PayGo Lookalike-AZR-AZR</v></cell><cell r="V3015" t="str"><v>Lookalike Targeting</v></cell><cell r="W3015" t="str"><v>Link Ad</v></cell><cell r="X3015" t="str"><v>1x1</v></cell></row><row r="3015"><cell r="AA3015"><v>43302</v></cell><cell r="AB3015" t="str"><v>USA_gaPMG_AZR_AZR_Q1_19_Direct-Social</v></cell><cell r="AC3015"><v>21358715</v></cell><cell r="AD3015"><v>720197</v></cell><cell r="AE3015" t="str"><v>Facebook</v></cell><cell r="AF3015"><v>3654128</v></cell><cell r="AG3015" t="str"><v>FACEBOOK»USA-Trial-ITD-Trial PayGo Lookalike-AZR-AZR»1 x 1»SocialBan»LIA»ALL»CPA»LAL»X»NA»SS»NA»FreeAcctITProFB-AnimatedSecureMngd-Ch1»PRC1QB</v></cell><cell r="AH3015"><v>223862945</v></cell><cell r="AI3015" t="str"><v>AZR_FreeAcctITProFB-AnimatedSecureMngd-Ch1_USA_1200x1200_CAN_Direct_English_Trial_Standard_ANI_LEA_T1_1</v></cell><cell r="AJ3015"><v>103176830</v></cell></row><row r="3016"><cell r="C3016" t="str"><v>43302INSTAGRAM»USA-Trial-ITD-Interest Prospecting-AZR-AZR»1 x 1»SocialBan»CAN»ALL»CPA»PRO»X»NA»SS»NA»IGCTCBenefit2inMotion»PRC2PD</v></cell><cell r="D3016" t="str"><v>43302223933084</v></cell><cell r="E3016" t="str"><v>43302103180628PRC2PD</v></cell><cell r="F3016" t="str"><v>DCM</v></cell><cell r="G3016" t="str"><v>https://signup.azure.com/?OCID=AID%eexcid!_OLA_%ebuy!_%epid!_%ecid!</v></cell></row><row r="3016"><cell r="K3016" t="str"><v>July</v></cell><cell r="L3016"><v>43302</v></cell><cell r="M3016" t="str"><v>Tier 0</v></cell><cell r="N3016" t="str"><v>North America</v></cell><cell r="O3016" t="str"><v>United States</v></cell><cell r="P3016" t="str"><v>Trial</v></cell><cell r="Q3016" t="str"><v>Social</v></cell><cell r="R3016" t="str"><v>Azure</v></cell><cell r="S3016" t="str"><v>Apps & Infra</v></cell><cell r="T3016" t="str"><v>Developers & ITI's</v></cell><cell r="U3016" t="str"><v>USA-Trial-ITD-Interest Prospecting-AZR-AZR</v></cell><cell r="V3016" t="str"><v>Prospecting</v></cell><cell r="W3016" t="str"><v>Canvas Ad</v></cell><cell r="X3016" t="str"><v>1x1</v></cell></row><row r="3016"><cell r="AA3016"><v>43302</v></cell><cell r="AB3016" t="str"><v>USA_gaPMG_AZR_AZR_Q1_19_Direct-Social</v></cell><cell r="AC3016"><v>21358715</v></cell><cell r="AD3016"><v>720197</v></cell><cell r="AE3016" t="str"><v>Facebook - Instagram</v></cell><cell r="AF3016"><v>3654128</v></cell><cell r="AG3016" t="str"><v>INSTAGRAM»USA-Trial-ITD-Interest Prospecting-AZR-AZR»1 x 1»SocialBan»CAN»ALL»CPA»PRO»X»NA»SS»NA»IGCTCBenefit2inMotion»PRC2PD</v></cell><cell r="AH3016"><v>223933084</v></cell><cell r="AI3016" t="str"><v>AzurePlatform_IGCTCBrandinMotion_USA_10s_CAN_PLATFORM_English_Trial_Standard_STAN_TIN_T2_1</v></cell><cell r="AJ3016"><v>103180628</v></cell></row><row r="3017"><cell r="C3017" t="str"><v>43302INSTAGRAM»USA-Trial-ITD-Interest Prospecting-AZR-AZR»1 x 1»SocialBan»CAN»ALL»CPA»PRO»X»NA»SS»NA»IGCTCBrandinMotion»PRC2PB</v></cell><cell r="D3017" t="str"><v>43302223862690</v></cell><cell r="E3017" t="str"><v>43302103050783PRC2PB</v></cell><cell r="F3017" t="str"><v>DCM</v></cell><cell r="G3017" t="str"><v>https://signup.azure.com/?OCID=AID%eexcid!_OLA_%ebuy!_%epid!_%ecid!</v></cell></row><row r="3017"><cell r="K3017" t="str"><v>July</v></cell><cell r="L3017"><v>43302</v></cell><cell r="M3017" t="str"><v>Tier 0</v></cell><cell r="N3017" t="str"><v>North America</v></cell><cell r="O3017" t="str"><v>United States</v></cell><cell r="P3017" t="str"><v>Trial</v></cell><cell r="Q3017" t="str"><v>Social</v></cell><cell r="R3017" t="str"><v>Azure</v></cell><cell r="S3017" t="str"><v>Apps & Infra</v></cell><cell r="T3017" t="str"><v>Developers & ITI's</v></cell><cell r="U3017" t="str"><v>USA-Trial-ITD-Interest Prospecting-AZR-AZR</v></cell><cell r="V3017" t="str"><v>Prospecting</v></cell><cell r="W3017" t="str"><v>Canvas Ad</v></cell><cell r="X3017" t="str"><v>1x1</v></cell></row><row r="3017"><cell r="AA3017"><v>43302</v></cell><cell r="AB3017" t="str"><v>USA_gaPMG_AZR_AZR_Q1_19_Direct-Social</v></cell><cell r="AC3017"><v>21358715</v></cell><cell r="AD3017"><v>720197</v></cell><cell r="AE3017" t="str"><v>Facebook - Instagram</v></cell><cell r="AF3017"><v>3654128</v></cell><cell r="AG3017" t="str"><v>INSTAGRAM»USA-Trial-ITD-Interest Prospecting-AZR-AZR»1 x 1»SocialBan»CAN»ALL»CPA»PRO»X»NA»SS»NA»IGCTCBrandinMotion»PRC2PB</v></cell><cell r="AH3017"><v>223862690</v></cell><cell r="AI3017" t="str"><v>AzurePlatform_IGCTCBenefit2inMotion_USA_10s_CAN_PLATFORM_English_Trial_Standard_STAN_TIN_T4_1</v></cell><cell r="AJ3017"><v>103050783</v></cell></row><row r="3018"><cell r="C3018" t="str"><v>43302INSTAGRAM»USA-Trial-ITD-Interest Prospecting-AZR-AZR»1 x 1»SocialBan»CAN»ALL»CPA»PRO»X»NA»SS»NA»IGCTCBrandinMotion»PRC2PB</v></cell><cell r="D3018" t="str"><v>43302223862690</v></cell><cell r="E3018" t="str"><v>43302103178714PRC2PB</v></cell><cell r="F3018" t="str"><v>DCM</v></cell><cell r="G3018" t="str"><v>https://azure.microsoft.com/en-us/pricing/purchase-options/?v=18.19&OCID=AID%eexcid!_OLA_%ebuy!_%epid!_%ecid!</v></cell></row><row r="3018"><cell r="K3018" t="str"><v>July</v></cell><cell r="L3018"><v>43302</v></cell><cell r="M3018" t="str"><v>Tier 0</v></cell><cell r="N3018" t="str"><v>North America</v></cell><cell r="O3018" t="str"><v>United States</v></cell><cell r="P3018" t="str"><v>Trial</v></cell><cell r="Q3018" t="str"><v>Social</v></cell><cell r="R3018" t="str"><v>Azure</v></cell><cell r="S3018" t="str"><v>Apps & Infra</v></cell><cell r="T3018" t="str"><v>Developers & ITI's</v></cell><cell r="U3018" t="str"><v>USA-Trial-ITD-Interest Prospecting-AZR-AZR</v></cell><cell r="V3018" t="str"><v>Prospecting</v></cell><cell r="W3018" t="str"><v>Canvas Ad</v></cell><cell r="X3018" t="str"><v>1x1</v></cell></row><row r="3018"><cell r="AA3018"><v>43302</v></cell><cell r="AB3018" t="str"><v>USA_gaPMG_AZR_AZR_Q1_19_Direct-Social</v></cell><cell r="AC3018"><v>21358715</v></cell><cell r="AD3018"><v>720197</v></cell><cell r="AE3018" t="str"><v>Facebook - Instagram</v></cell><cell r="AF3018"><v>3654128</v></cell><cell r="AG3018" t="str"><v>INSTAGRAM»USA-Trial-ITD-Interest Prospecting-AZR-AZR»1 x 1»SocialBan»CAN»ALL»CPA»PRO»X»NA»SS»NA»IGCTCBrandinMotion»PRC2PB</v></cell><cell r="AH3018"><v>223862690</v></cell><cell r="AI3018" t="str"><v>AzurePlatform_IGCTCBenefit2inMotion_USA_10s_CAN_PLATFORM_English_Trial_Standard_STAN_TIN_T4_2</v></cell><cell r="AJ3018"><v>103178714</v></cell></row><row r="3019"><cell r="C3019" t="str"><v>43302INSTAGRAM»USA-Trial-ITD-Retargeting-AZR-AZR»1 x 1»SocialBan»CAN»ALL»CPA»RT»X»NA»SS»NA»IGCTCBenefitinMotion»PRC2G4</v></cell><cell r="D3019" t="str"><v>43302224107536</v></cell><cell r="E3019" t="str"><v>43302103050780PRC2G4</v></cell><cell r="F3019" t="str"><v>DCM</v></cell><cell r="G3019" t="str"><v>https://signup.azure.com/?OCID=AID%eexcid!_OLA_%ebuy!_%epid!_%ecid!</v></cell></row><row r="3019"><cell r="K3019" t="str"><v>July</v></cell><cell r="L3019"><v>43302</v></cell><cell r="M3019" t="str"><v>Tier 0</v></cell><cell r="N3019" t="str"><v>North America</v></cell><cell r="O3019" t="str"><v>United States</v></cell><cell r="P3019" t="str"><v>Trial</v></cell><cell r="Q3019" t="str"><v>Social</v></cell><cell r="R3019" t="str"><v>Azure</v></cell><cell r="S3019" t="str"><v>Apps & Infra</v></cell><cell r="T3019" t="str"><v>Developers & ITI's</v></cell><cell r="U3019" t="str"><v>USA-Trial-ITD-Retargeting-AZR-AZR</v></cell><cell r="V3019" t="str"><v>Retargeting</v></cell><cell r="W3019" t="str"><v>Canvas Ad</v></cell><cell r="X3019" t="str"><v>1x1</v></cell></row><row r="3019"><cell r="AA3019"><v>43302</v></cell><cell r="AB3019" t="str"><v>USA_gaPMG_AZR_AZR_Q1_19_Direct-Social</v></cell><cell r="AC3019"><v>21358715</v></cell><cell r="AD3019"><v>720197</v></cell><cell r="AE3019" t="str"><v>Facebook - Instagram</v></cell><cell r="AF3019"><v>3654128</v></cell><cell r="AG3019" t="str"><v>INSTAGRAM»USA-Trial-ITD-Retargeting-AZR-AZR»1 x 1»SocialBan»CAN»ALL»CPA»RT»X»NA»SS»NA»IGCTCBenefitinMotion»PRC2G4</v></cell><cell r="AH3019"><v>224107536</v></cell><cell r="AI3019" t="str"><v>AzurePlatform_IGCTCBenefitinMotion_USA_10s_CAN_PLATFORM_English_Trial_Standard_STAN_TIN_T3_1</v></cell><cell r="AJ3019"><v>103050780</v></cell></row><row r="3020"><cell r="C3020" t="str"><v>43302INSTAGRAM»USA-Trial-ITD-Trial Lookalike-AZR-AZR»1 x 1»SocialBan»CAN»ALL»CPA»LAL»X»NA»SS»NA»IGCTCBenefit2inMotion»PRC2FL</v></cell><cell r="D3020" t="str"><v>43302223935022</v></cell><cell r="E3020" t="str"><v>43302103180628PRC2FL</v></cell><cell r="F3020" t="str"><v>DCM</v></cell><cell r="G3020" t="str"><v>https://signup.azure.com/?OCID=AID%eexcid!_OLA_%ebuy!_%epid!_%ecid!</v></cell></row><row r="3020"><cell r="K3020" t="str"><v>July</v></cell><cell r="L3020"><v>43302</v></cell><cell r="M3020" t="str"><v>Tier 0</v></cell><cell r="N3020" t="str"><v>North America</v></cell><cell r="O3020" t="str"><v>United States</v></cell><cell r="P3020" t="str"><v>Trial</v></cell><cell r="Q3020" t="str"><v>Social</v></cell><cell r="R3020" t="str"><v>Azure</v></cell><cell r="S3020" t="str"><v>Apps & Infra</v></cell><cell r="T3020" t="str"><v>Developers & ITI's</v></cell><cell r="U3020" t="str"><v>USA-Trial-ITD-Trial Lookalike-AZR-AZR</v></cell><cell r="V3020" t="str"><v>Lookalike Targeting</v></cell><cell r="W3020" t="str"><v>Canvas Ad</v></cell><cell r="X3020" t="str"><v>1x1</v></cell></row><row r="3020"><cell r="AA3020"><v>43302</v></cell><cell r="AB3020" t="str"><v>USA_gaPMG_AZR_AZR_Q1_19_Direct-Social</v></cell><cell r="AC3020"><v>21358715</v></cell><cell r="AD3020"><v>720197</v></cell><cell r="AE3020" t="str"><v>Facebook - Instagram</v></cell><cell r="AF3020"><v>3654128</v></cell><cell r="AG3020" t="str"><v>INSTAGRAM»USA-Trial-ITD-Trial Lookalike-AZR-AZR»1 x 1»SocialBan»CAN»ALL»CPA»LAL»X»NA»SS»NA»IGCTCBenefit2inMotion»PRC2FL</v></cell><cell r="AH3020"><v>223935022</v></cell><cell r="AI3020" t="str"><v>AzurePlatform_IGCTCBrandinMotion_USA_10s_CAN_PLATFORM_English_Trial_Standard_STAN_TIN_T2_1</v></cell><cell r="AJ3020"><v>103180628</v></cell></row><row r="3021"><cell r="C3021" t="str"><v>43302INSTAGRAM»USA-Trial-ITD-Trial Lookalike-AZR-AZR»1 x 1»SocialBan»CAN»ALL»CPA»LAL»X»NA»SS»NA»IGCTCBenefit2inMotion»PRC2FL</v></cell><cell r="D3021" t="str"><v>43302223935022</v></cell><cell r="E3021" t="str"><v>43302103050786PRC2FL</v></cell><cell r="F3021" t="str"><v>DCM</v></cell><cell r="G3021" t="str"><v>https://azure.microsoft.com/en-us/pricing/purchase-options/?v=18.19&OCID=AID%eexcid!_OLA_%ebuy!_%epid!_%ecid!</v></cell></row><row r="3021"><cell r="K3021" t="str"><v>July</v></cell><cell r="L3021"><v>43302</v></cell><cell r="M3021" t="str"><v>Tier 0</v></cell><cell r="N3021" t="str"><v>North America</v></cell><cell r="O3021" t="str"><v>United States</v></cell><cell r="P3021" t="str"><v>Trial</v></cell><cell r="Q3021" t="str"><v>Social</v></cell><cell r="R3021" t="str"><v>Azure</v></cell><cell r="S3021" t="str"><v>Apps & Infra</v></cell><cell r="T3021" t="str"><v>Developers & ITI's</v></cell><cell r="U3021" t="str"><v>USA-Trial-ITD-Trial Lookalike-AZR-AZR</v></cell><cell r="V3021" t="str"><v>Lookalike Targeting</v></cell><cell r="W3021" t="str"><v>Canvas Ad</v></cell><cell r="X3021" t="str"><v>1x1</v></cell></row><row r="3021"><cell r="AA3021"><v>43302</v></cell><cell r="AB3021" t="str"><v>USA_gaPMG_AZR_AZR_Q1_19_Direct-Social</v></cell><cell r="AC3021"><v>21358715</v></cell><cell r="AD3021"><v>720197</v></cell><cell r="AE3021" t="str"><v>Facebook - Instagram</v></cell><cell r="AF3021"><v>3654128</v></cell><cell r="AG3021" t="str"><v>INSTAGRAM»USA-Trial-ITD-Trial Lookalike-AZR-AZR»1 x 1»SocialBan»CAN»ALL»CPA»LAL»X»NA»SS»NA»IGCTCBenefit2inMotion»PRC2FL</v></cell><cell r="AH3021"><v>223935022</v></cell><cell r="AI3021" t="str"><v>AzurePlatform_IGCTCBrandinMotion_USA_10s_CAN_PLATFORM_English_Trial_Standard_STAN_TIN_T2_2</v></cell><cell r="AJ3021"><v>103050786</v></cell></row><row r="3022"><cell r="C3022" t="str"><v>43302INSTAGRAM»USA-Trial-ITD-Trial Lookalike-AZR-AZR»1 x 1»SocialBan»CAN»ALL»CPA»LAL»X»NA»SS»NA»IGCTCBrandinMotion»PRC2FH</v></cell><cell r="D3022" t="str"><v>43302223935019</v></cell><cell r="E3022" t="str"><v>43302103050783PRC2FH</v></cell><cell r="F3022" t="str"><v>DCM</v></cell><cell r="G3022" t="str"><v>https://signup.azure.com/?OCID=AID%eexcid!_OLA_%ebuy!_%epid!_%ecid!</v></cell></row><row r="3022"><cell r="K3022" t="str"><v>July</v></cell><cell r="L3022"><v>43302</v></cell><cell r="M3022" t="str"><v>Tier 0</v></cell><cell r="N3022" t="str"><v>North America</v></cell><cell r="O3022" t="str"><v>United States</v></cell><cell r="P3022" t="str"><v>Trial</v></cell><cell r="Q3022" t="str"><v>Social</v></cell><cell r="R3022" t="str"><v>Azure</v></cell><cell r="S3022" t="str"><v>Apps & Infra</v></cell><cell r="T3022" t="str"><v>Developers & ITI's</v></cell><cell r="U3022" t="str"><v>USA-Trial-ITD-Trial Lookalike-AZR-AZR</v></cell><cell r="V3022" t="str"><v>Lookalike Targeting</v></cell><cell r="W3022" t="str"><v>Canvas Ad</v></cell><cell r="X3022" t="str"><v>1x1</v></cell></row><row r="3022"><cell r="AA3022"><v>43302</v></cell><cell r="AB3022" t="str"><v>USA_gaPMG_AZR_AZR_Q1_19_Direct-Social</v></cell><cell r="AC3022"><v>21358715</v></cell><cell r="AD3022"><v>720197</v></cell><cell r="AE3022" t="str"><v>Facebook - Instagram</v></cell><cell r="AF3022"><v>3654128</v></cell><cell r="AG3022" t="str"><v>INSTAGRAM»USA-Trial-ITD-Trial Lookalike-AZR-AZR»1 x 1»SocialBan»CAN»ALL»CPA»LAL»X»NA»SS»NA»IGCTCBrandinMotion»PRC2FH</v></cell><cell r="AH3022"><v>223935019</v></cell><cell r="AI3022" t="str"><v>AzurePlatform_IGCTCBenefit2inMotion_USA_10s_CAN_PLATFORM_English_Trial_Standard_STAN_TIN_T4_1</v></cell><cell r="AJ3022"><v>103050783</v></cell></row><row r="3023"><cell r="C3023" t="str"><v>43302INSTAGRAM»USA-Trial-ITD-Trial PayGo Lookalike-AZR-AZR»1 x 1»SocialBan»CAN»ALL»CPA»LAL»X»NA»SS»NA»IGCTCBrandinMotion»PRC2FW</v></cell><cell r="D3023" t="str"><v>43302223862654</v></cell><cell r="E3023" t="str"><v>43302103050783PRC2FW</v></cell><cell r="F3023" t="str"><v>DCM</v></cell><cell r="G3023" t="str"><v>https://signup.azure.com/?OCID=AID%eexcid!_OLA_%ebuy!_%epid!_%ecid!</v></cell></row><row r="3023"><cell r="K3023" t="str"><v>July</v></cell><cell r="L3023"><v>43302</v></cell><cell r="M3023" t="str"><v>Tier 0</v></cell><cell r="N3023" t="str"><v>North America</v></cell><cell r="O3023" t="str"><v>United States</v></cell><cell r="P3023" t="str"><v>Trial</v></cell><cell r="Q3023" t="str"><v>Social</v></cell><cell r="R3023" t="str"><v>Azure</v></cell><cell r="S3023" t="str"><v>Apps & Infra</v></cell><cell r="T3023" t="str"><v>Developers & ITI's</v></cell><cell r="U3023" t="str"><v>USA-Trial-ITD-Trial PayGo Lookalike-AZR-AZR</v></cell><cell r="V3023" t="str"><v>Lookalike Targeting</v></cell><cell r="W3023" t="str"><v>Canvas Ad</v></cell><cell r="X3023" t="str"><v>1x1</v></cell></row><row r="3023"><cell r="AA3023"><v>43302</v></cell><cell r="AB3023" t="str"><v>USA_gaPMG_AZR_AZR_Q1_19_Direct-Social</v></cell><cell r="AC3023"><v>21358715</v></cell><cell r="AD3023"><v>720197</v></cell><cell r="AE3023" t="str"><v>Facebook - Instagram</v></cell><cell r="AF3023"><v>3654128</v></cell><cell r="AG3023" t="str"><v>INSTAGRAM»USA-Trial-ITD-Trial PayGo Lookalike-AZR-AZR»1 x 1»SocialBan»CAN»ALL»CPA»LAL»X»NA»SS»NA»IGCTCBrandinMotion»PRC2FW</v></cell><cell r="AH3023"><v>223862654</v></cell><cell r="AI3023" t="str"><v>AzurePlatform_IGCTCBenefit2inMotion_USA_10s_CAN_PLATFORM_English_Trial_Standard_STAN_TIN_T4_1</v></cell><cell r="AJ3023"><v>103050783</v></cell></row><row r="3024"><cell r="C3024" t="str"><v>43302INSTAGRAM»USA-Trial-ITD-Trial PayGo Lookalike-AZR-AZR»1 x 1»SocialBan»CAN»ALL»CPA»LAL»X»NA»SS»NA»IGCTCBrandinMotion»PRC2FW</v></cell><cell r="D3024" t="str"><v>43302223862654</v></cell><cell r="E3024" t="str"><v>43302103178714PRC2FW</v></cell><cell r="F3024" t="str"><v>DCM</v></cell><cell r="G3024" t="str"><v>https://azure.microsoft.com/en-us/pricing/purchase-options/?v=18.19&OCID=AID%eexcid!_OLA_%ebuy!_%epid!_%ecid!</v></cell></row><row r="3024"><cell r="K3024" t="str"><v>July</v></cell><cell r="L3024"><v>43302</v></cell><cell r="M3024" t="str"><v>Tier 0</v></cell><cell r="N3024" t="str"><v>North America</v></cell><cell r="O3024" t="str"><v>United States</v></cell><cell r="P3024" t="str"><v>Trial</v></cell><cell r="Q3024" t="str"><v>Social</v></cell><cell r="R3024" t="str"><v>Azure</v></cell><cell r="S3024" t="str"><v>Apps & Infra</v></cell><cell r="T3024" t="str"><v>Developers & ITI's</v></cell><cell r="U3024" t="str"><v>USA-Trial-ITD-Trial PayGo Lookalike-AZR-AZR</v></cell><cell r="V3024" t="str"><v>Lookalike Targeting</v></cell><cell r="W3024" t="str"><v>Canvas Ad</v></cell><cell r="X3024" t="str"><v>1x1</v></cell></row><row r="3024"><cell r="AA3024"><v>43302</v></cell><cell r="AB3024" t="str"><v>USA_gaPMG_AZR_AZR_Q1_19_Direct-Social</v></cell><cell r="AC3024"><v>21358715</v></cell><cell r="AD3024"><v>720197</v></cell><cell r="AE3024" t="str"><v>Facebook - Instagram</v></cell><cell r="AF3024"><v>3654128</v></cell><cell r="AG3024" t="str"><v>INSTAGRAM»USA-Trial-ITD-Trial PayGo Lookalike-AZR-AZR»1 x 1»SocialBan»CAN»ALL»CPA»LAL»X»NA»SS»NA»IGCTCBrandinMotion»PRC2FW</v></cell><cell r="AH3024"><v>223862654</v></cell><cell r="AI3024" t="str"><v>AzurePlatform_IGCTCBenefit2inMotion_USA_10s_CAN_PLATFORM_English_Trial_Standard_STAN_TIN_T4_2</v></cell><cell r="AJ3024"><v>103178714</v></cell></row><row r="3025"><cell r="C3025" t="str"><v>43302INSTAGRAM»USA-Trial-ITD-Trial PayGo Lookalike-AZR-AZR»1 x 1»SocialBan»CAN»ALL»CPA»LAL»X»NA»SS»NA»IGCTCBenefit2inMotion»PRC2FZ</v></cell><cell r="D3025" t="str"><v>43302223933075</v></cell><cell r="E3025" t="str"><v>43302103180628PRC2FZ</v></cell><cell r="F3025" t="str"><v>DCM</v></cell><cell r="G3025" t="str"><v>https://signup.azure.com/?OCID=AID%eexcid!_OLA_%ebuy!_%epid!_%ecid!</v></cell></row><row r="3025"><cell r="K3025" t="str"><v>July</v></cell><cell r="L3025"><v>43302</v></cell><cell r="M3025" t="str"><v>Tier 0</v></cell><cell r="N3025" t="str"><v>North America</v></cell><cell r="O3025" t="str"><v>United States</v></cell><cell r="P3025" t="str"><v>Trial</v></cell><cell r="Q3025" t="str"><v>Social</v></cell><cell r="R3025" t="str"><v>Azure</v></cell><cell r="S3025" t="str"><v>Apps & Infra</v></cell><cell r="T3025" t="str"><v>Developers & ITI's</v></cell><cell r="U3025" t="str"><v>USA-Trial-ITD-Trial PayGo Lookalike-AZR-AZR</v></cell><cell r="V3025" t="str"><v>Lookalike Targeting</v></cell><cell r="W3025" t="str"><v>Canvas Ad</v></cell><cell r="X3025" t="str"><v>1x1</v></cell></row><row r="3025"><cell r="AA3025"><v>43302</v></cell><cell r="AB3025" t="str"><v>USA_gaPMG_AZR_AZR_Q1_19_Direct-Social</v></cell><cell r="AC3025"><v>21358715</v></cell><cell r="AD3025"><v>720197</v></cell><cell r="AE3025" t="str"><v>Facebook - Instagram</v></cell><cell r="AF3025"><v>3654128</v></cell><cell r="AG3025" t="str"><v>INSTAGRAM»USA-Trial-ITD-Trial PayGo Lookalike-AZR-AZR»1 x 1»SocialBan»CAN»ALL»CPA»LAL»X»NA»SS»NA»IGCTCBenefit2inMotion»PRC2FZ</v></cell><cell r="AH3025"><v>223933075</v></cell><cell r="AI3025" t="str"><v>AzurePlatform_IGCTCBrandinMotion_USA_10s_CAN_PLATFORM_English_Trial_Standard_STAN_TIN_T2_1</v></cell><cell r="AJ3025"><v>103180628</v></cell></row><row r="3026"><cell r="C3026" t="str"><v>43302INSTAGRAM»USA-Trial-ITD-Trial Lookalike-AZR-AZR»1 x 1»SocialBan»CAN»ALL»CPA»LAL»X»NA»SS»NA»IGCTCBasicMotion»PRC0C2</v></cell><cell r="D3026" t="str"><v>43302224107017</v></cell><cell r="E3026" t="str"><v>43302103037968PRC0C2</v></cell><cell r="F3026" t="str"><v>DCM</v></cell><cell r="G3026" t="str"><v>https://signup.azure.com/?OCID=AID%eexcid!_OLA_%ebuy!_%epid!_%ecid!</v></cell></row><row r="3026"><cell r="K3026" t="str"><v>July</v></cell><cell r="L3026"><v>43302</v></cell><cell r="M3026" t="str"><v>Tier 0</v></cell><cell r="N3026" t="str"><v>North America</v></cell><cell r="O3026" t="str"><v>United States</v></cell><cell r="P3026" t="str"><v>Trial</v></cell><cell r="Q3026" t="str"><v>Social</v></cell><cell r="R3026" t="str"><v>Azure</v></cell><cell r="S3026" t="str"><v>Apps & Infra</v></cell><cell r="T3026" t="str"><v>Developers & ITI's</v></cell><cell r="U3026" t="str"><v>USA-Trial-ITD-Trial Lookalike-AZR-AZR</v></cell><cell r="V3026" t="str"><v>Lookalike Targeting</v></cell><cell r="W3026" t="str"><v>Canvas Ad</v></cell><cell r="X3026" t="str"><v>1x1</v></cell></row><row r="3026"><cell r="AA3026"><v>43302</v></cell><cell r="AB3026" t="str"><v>USA_gaPMG_AZR_AZR_Q1_19_Direct-Social</v></cell><cell r="AC3026"><v>21358715</v></cell><cell r="AD3026"><v>720197</v></cell><cell r="AE3026" t="str"><v>Facebook - Instagram</v></cell><cell r="AF3026"><v>3654128</v></cell><cell r="AG3026" t="str"><v>INSTAGRAM»USA-Trial-ITD-Trial Lookalike-AZR-AZR»1 x 1»SocialBan»CAN»ALL»CPA»LAL»X»NA»SS»NA»IGCTCBasicMotion»PRC0C2</v></cell><cell r="AH3026"><v>224107017</v></cell><cell r="AI3026" t="str"><v>AzurePlatform_IGCTCBasicMotion_USA_10s_CAN_PLATFORM_English_Trial_Standard_STAN_TIN_T1_1</v></cell><cell r="AJ3026"><v>103037968</v></cell></row><row r="3027"><cell r="C3027" t="str"><v>43302INSTAGRAM»USA-Trial-ITD-Trial PayGo Lookalike-AZR-AZR»1 x 1»SocialBan»CAN»ALL»CPA»LAL»X»NA»SS»NA»IGCTCBasicMotion»PRC2G0</v></cell><cell r="D3027" t="str"><v>43302224106891</v></cell><cell r="E3027" t="str"><v>43302103037968PRC2G0</v></cell><cell r="F3027" t="str"><v>DCM</v></cell><cell r="G3027" t="str"><v>https://signup.azure.com/?OCID=AID%eexcid!_OLA_%ebuy!_%epid!_%ecid!</v></cell></row><row r="3027"><cell r="K3027" t="str"><v>July</v></cell><cell r="L3027"><v>43302</v></cell><cell r="M3027" t="str"><v>Tier 0</v></cell><cell r="N3027" t="str"><v>North America</v></cell><cell r="O3027" t="str"><v>United States</v></cell><cell r="P3027" t="str"><v>Trial</v></cell><cell r="Q3027" t="str"><v>Social</v></cell><cell r="R3027" t="str"><v>Azure</v></cell><cell r="S3027" t="str"><v>Apps & Infra</v></cell><cell r="T3027" t="str"><v>Developers & ITI's</v></cell><cell r="U3027" t="str"><v>USA-Trial-ITD-Trial PayGo Lookalike-AZR-AZR</v></cell><cell r="V3027" t="str"><v>Lookalike Targeting</v></cell><cell r="W3027" t="str"><v>Canvas Ad</v></cell><cell r="X3027" t="str"><v>1x1</v></cell></row><row r="3027"><cell r="AA3027"><v>43302</v></cell><cell r="AB3027" t="str"><v>USA_gaPMG_AZR_AZR_Q1_19_Direct-Social</v></cell><cell r="AC3027"><v>21358715</v></cell><cell r="AD3027"><v>720197</v></cell><cell r="AE3027" t="str"><v>Facebook - Instagram</v></cell><cell r="AF3027"><v>3654128</v></cell><cell r="AG3027" t="str"><v>INSTAGRAM»USA-Trial-ITD-Trial PayGo Lookalike-AZR-AZR»1 x 1»SocialBan»CAN»ALL»CPA»LAL»X»NA»SS»NA»IGCTCBasicMotion»PRC2G0</v></cell><cell r="AH3027"><v>224106891</v></cell><cell r="AI3027" t="str"><v>AzurePlatform_IGCTCBasicMotion_USA_10s_CAN_PLATFORM_English_Trial_Standard_STAN_TIN_T1_1</v></cell><cell r="AJ3027"><v>103037968</v></cell></row><row r="3028"><cell r="C3028" t="str"><v>43302INSTAGRAM»USA-Trial-ITD-Trial PayGo Lookalike-AZR-AZR»1 x 1»SocialBan»CAN»ALL»CPA»LAL»X»NA»SS»NA»IGCTCBasicMotion»PRC2G0</v></cell><cell r="D3028" t="str"><v>43302224106891</v></cell><cell r="E3028" t="str"><v>43302103037974PRC2G0</v></cell><cell r="F3028" t="str"><v>DCM</v></cell><cell r="G3028" t="str"><v>https://azure.microsoft.com/en-us/pricing/purchase-options/?v=18.19&OCID=AID%eexcid!_OLA_%ebuy!_%epid!_%ecid!</v></cell></row><row r="3028"><cell r="K3028" t="str"><v>July</v></cell><cell r="L3028"><v>43302</v></cell><cell r="M3028" t="str"><v>Tier 0</v></cell><cell r="N3028" t="str"><v>North America</v></cell><cell r="O3028" t="str"><v>United States</v></cell><cell r="P3028" t="str"><v>Trial</v></cell><cell r="Q3028" t="str"><v>Social</v></cell><cell r="R3028" t="str"><v>Azure</v></cell><cell r="S3028" t="str"><v>Apps & Infra</v></cell><cell r="T3028" t="str"><v>Developers & ITI's</v></cell><cell r="U3028" t="str"><v>USA-Trial-ITD-Trial PayGo Lookalike-AZR-AZR</v></cell><cell r="V3028" t="str"><v>Lookalike Targeting</v></cell><cell r="W3028" t="str"><v>Canvas Ad</v></cell><cell r="X3028" t="str"><v>1x1</v></cell></row><row r="3028"><cell r="AA3028"><v>43302</v></cell><cell r="AB3028" t="str"><v>USA_gaPMG_AZR_AZR_Q1_19_Direct-Social</v></cell><cell r="AC3028"><v>21358715</v></cell><cell r="AD3028"><v>720197</v></cell><cell r="AE3028" t="str"><v>Facebook - Instagram</v></cell><cell r="AF3028"><v>3654128</v></cell><cell r="AG3028" t="str"><v>INSTAGRAM»USA-Trial-ITD-Trial PayGo Lookalike-AZR-AZR»1 x 1»SocialBan»CAN»ALL»CPA»LAL»X»NA»SS»NA»IGCTCBasicMotion»PRC2G0</v></cell><cell r="AH3028"><v>224106891</v></cell><cell r="AI3028" t="str"><v>AzurePlatform_IGCTCBasicMotion_USA_10s_CAN_PLATFORM_English_Trial_Standard_STAN_TIN_T1_2</v></cell><cell r="AJ3028"><v>103037974</v></cell></row><row r="3029"><cell r="C3029" t="str"><v>43302INSTAGRAM»USA-Trial-ITD-Trial PayGo Lookalike-AZR-AZR»1 x 1»SocialBan»CAN»ALL»CPA»LAL»X»NA»SS»NA»IGCTCBenefitinMotion»PRC2FX</v></cell><cell r="D3029" t="str"><v>43302223933999</v></cell><cell r="E3029" t="str"><v>43302103050780PRC2FX</v></cell><cell r="F3029" t="str"><v>DCM</v></cell><cell r="G3029" t="str"><v>https://signup.azure.com/?OCID=AID%eexcid!_OLA_%ebuy!_%epid!_%ecid!</v></cell></row><row r="3029"><cell r="K3029" t="str"><v>July</v></cell><cell r="L3029"><v>43302</v></cell><cell r="M3029" t="str"><v>Tier 0</v></cell><cell r="N3029" t="str"><v>North America</v></cell><cell r="O3029" t="str"><v>United States</v></cell><cell r="P3029" t="str"><v>Trial</v></cell><cell r="Q3029" t="str"><v>Social</v></cell><cell r="R3029" t="str"><v>Azure</v></cell><cell r="S3029" t="str"><v>Apps & Infra</v></cell><cell r="T3029" t="str"><v>Developers & ITI's</v></cell><cell r="U3029" t="str"><v>USA-Trial-ITD-Trial PayGo Lookalike-AZR-AZR</v></cell><cell r="V3029" t="str"><v>Lookalike Targeting</v></cell><cell r="W3029" t="str"><v>Canvas Ad</v></cell><cell r="X3029" t="str"><v>1x1</v></cell></row><row r="3029"><cell r="AA3029"><v>43302</v></cell><cell r="AB3029" t="str"><v>USA_gaPMG_AZR_AZR_Q1_19_Direct-Social</v></cell><cell r="AC3029"><v>21358715</v></cell><cell r="AD3029"><v>720197</v></cell><cell r="AE3029" t="str"><v>Facebook - Instagram</v></cell><cell r="AF3029"><v>3654128</v></cell><cell r="AG3029" t="str"><v>INSTAGRAM»USA-Trial-ITD-Trial PayGo Lookalike-AZR-AZR»1 x 1»SocialBan»CAN»ALL»CPA»LAL»X»NA»SS»NA»IGCTCBenefitinMotion»PRC2FX</v></cell><cell r="AH3029"><v>223933999</v></cell><cell r="AI3029" t="str"><v>AzurePlatform_IGCTCBenefitinMotion_USA_10s_CAN_PLATFORM_English_Trial_Standard_STAN_TIN_T3_1</v></cell><cell r="AJ3029"><v>103050780</v></cell></row><row r="3030"><cell r="C3030" t="str"><v>43303Facebook»Audience & Interest Targeting»1x1»Canvas»OTH»DT»DYN»AUT»W»NA»SS»NA»FBCTCcanvaspage-StartFreeCTA_FBCTCcanvaspage-BuyNowCTA</v></cell><cell r="D3030" t="str"><v>43303224639151</v></cell><cell r="E3030" t="str"><v>43303103316832NowCTA</v></cell><cell r="F3030" t="str"><v>DCM</v></cell><cell r="G3030" t="str"><v>https://azure.microsoft.com/en-au/pricing/purchase-options/</v></cell></row><row r="3030"><cell r="K3030" t="str"><v>July</v></cell><cell r="L3030"><v>43309</v></cell><cell r="M3030" t="str"><v>Tier 1</v></cell><cell r="N3030" t="str"><v>APAC</v></cell><cell r="O3030" t="str"><v>Australia</v></cell><cell r="P3030" t="str"><v>Trial</v></cell><cell r="Q3030" t="str"><v>Social</v></cell><cell r="R3030" t="str"><v>Azure</v></cell><cell r="S3030" t="str"><v>Apps & Infra</v></cell><cell r="T3030" t="str"><v>Developers & ITI's</v></cell><cell r="U3030" t="str"><v>Audience & Interest Targeting</v></cell><cell r="V3030" t="str"><v>Audience Targeting</v></cell><cell r="W3030" t="str"><v>Other</v></cell><cell r="X3030" t="str"><v>1x1</v></cell></row><row r="3030"><cell r="AA3030"><v>43303</v></cell><cell r="AB3030" t="str"><v>AUS_gaPMG_AZR_AZR_Q1_19_Trial-Social</v></cell><cell r="AC3030"><v>21358568</v></cell><cell r="AD3030"><v>720191</v></cell><cell r="AE3030" t="str"><v>Facebook</v></cell><cell r="AF3030"><v>3654128</v></cell><cell r="AG3030" t="str"><v>Facebook»Audience & Interest Targeting»1x1»Canvas»OTH»DT»DYN»AUT»W»NA»SS»NA»FBCTCcanvaspage-StartFreeCTA_FBCTCcanvaspage-BuyNowCTA</v></cell><cell r="AH3030"><v>224639151</v></cell><cell r="AI3030" t="str"><v>AzurePlatform_FBCTCcanvaspage-BuyNowCTA-Img3_AUS_1080x162_SOC_Plat_English_NA_Standard_NA_BN_T3_1</v></cell><cell r="AJ3030"><v>103316832</v></cell></row><row r="3031"><cell r="C3031" t="str"><v>43303Facebook»Audience & Interest Targeting»1x1»Canvas»OTH»DT»DYN»AUT»W»NA»SS»NA»FBCTCcanvaspage-StartFreeCTA_FBCTCcanvaspage-BuyNowCTA</v></cell><cell r="D3031" t="str"><v>43303224639151</v></cell><cell r="E3031" t="str"><v>43303103316829NowCTA</v></cell><cell r="F3031" t="str"><v>DCM</v></cell><cell r="G3031" t="str"><v>https://signup.azure.com/signup?offer=ms-azr-0044p&appId=102&ref=paidmedia-social-fb&redirectURL=https%3a%2f%2fazure.microsoft.com%2fen-au%2fget-started%2fwelcome-to-azure%2f&l=en-au&correlationId=ead86c34-1f10-49dd-a72b-6918462a2cbf</v></cell></row><row r="3031"><cell r="K3031" t="str"><v>July</v></cell><cell r="L3031"><v>43309</v></cell><cell r="M3031" t="str"><v>Tier 1</v></cell><cell r="N3031" t="str"><v>APAC</v></cell><cell r="O3031" t="str"><v>Australia</v></cell><cell r="P3031" t="str"><v>Trial</v></cell><cell r="Q3031" t="str"><v>Social</v></cell><cell r="R3031" t="str"><v>Azure</v></cell><cell r="S3031" t="str"><v>Apps & Infra</v></cell><cell r="T3031" t="str"><v>Developers & ITI's</v></cell><cell r="U3031" t="str"><v>Audience & Interest Targeting</v></cell><cell r="V3031" t="str"><v>Audience Targeting</v></cell><cell r="W3031" t="str"><v>Other</v></cell><cell r="X3031" t="str"><v>1x1</v></cell></row><row r="3031"><cell r="AA3031"><v>43303</v></cell><cell r="AB3031" t="str"><v>AUS_gaPMG_AZR_AZR_Q1_19_Trial-Social</v></cell><cell r="AC3031"><v>21358568</v></cell><cell r="AD3031"><v>720191</v></cell><cell r="AE3031" t="str"><v>Facebook</v></cell><cell r="AF3031"><v>3654128</v></cell><cell r="AG3031" t="str"><v>Facebook»Audience & Interest Targeting»1x1»Canvas»OTH»DT»DYN»AUT»W»NA»SS»NA»FBCTCcanvaspage-StartFreeCTA_FBCTCcanvaspage-BuyNowCTA</v></cell><cell r="AH3031"><v>224639151</v></cell><cell r="AI3031" t="str"><v>AzurePlatform_FBCTCcanvaspage-StartFreeCTA-Img2_AUS_1080x143 _SOC_Plat_English_NA_Standard_NA_NA_T2_1</v></cell><cell r="AJ3031"><v>103316829</v></cell></row><row r="3032"><cell r="C3032" t="str"><v>43303Facebook»Audience & Interest Targeting»1x1»TextLink»OTH»DT»DYN»AUT»W»NA»SS»NA»Free Account Refresh- 12 months ChE</v></cell><cell r="D3032" t="str"><v>43303224160783</v></cell><cell r="E3032" t="str"><v>43303103051614hs ChE</v></cell><cell r="F3032" t="str"><v>DCM</v></cell></row><row r="3032"><cell r="K3032" t="str"><v>July</v></cell><cell r="L3032"><v>43309</v></cell><cell r="M3032" t="str"><v>Tier 1</v></cell><cell r="N3032" t="str"><v>APAC</v></cell><cell r="O3032" t="str"><v>Australia</v></cell><cell r="P3032" t="str"><v>Trial</v></cell><cell r="Q3032" t="str"><v>Social</v></cell><cell r="R3032" t="str"><v>Azure</v></cell><cell r="S3032" t="str"><v>Apps & Infra</v></cell><cell r="T3032" t="str"><v>Developers & ITI's</v></cell><cell r="U3032" t="str"><v>Audience & Interest Targeting</v></cell><cell r="V3032" t="str"><v>Audience Targeting</v></cell><cell r="W3032" t="str"><v>Other</v></cell><cell r="X3032" t="str"><v>1x1</v></cell></row><row r="3032"><cell r="AA3032"><v>43303</v></cell><cell r="AB3032" t="str"><v>AUS_gaPMG_AZR_AZR_Q1_19_Trial-Social</v></cell><cell r="AC3032"><v>21358568</v></cell><cell r="AD3032"><v>720191</v></cell><cell r="AE3032" t="str"><v>Facebook</v></cell><cell r="AF3032"><v>3654128</v></cell><cell r="AG3032" t="str"><v>Facebook»Audience & Interest Targeting»1x1»TextLink»OTH»DT»DYN»AUT»W»NA»SS»NA»Free Account Refresh- 12 months ChE</v></cell><cell r="AH3032"><v>224160783</v></cell><cell r="AI3032" t="str"><v>AzurePlatform_FreeAcctAppsFACEBOOK12monthsChE_AUS_1200x628_SOC_PLAT_EN_Trial_Standard_NA_SNU_T5_1</v></cell><cell r="AJ3032"><v>103051614</v></cell></row><row r="3033"><cell r="C3033" t="str"><v>43303Facebook»Audience & Interest Targeting»1x1»TextLink»OTH»DT»DYN»AUT»W»NA»SS»NA»Free Account Refresh- 200 Credit ChD</v></cell><cell r="D3033" t="str"><v>43303224160780</v></cell><cell r="E3033" t="str"><v>43303103186904it ChD</v></cell><cell r="F3033" t="str"><v>DCM</v></cell></row><row r="3033"><cell r="K3033" t="str"><v>July</v></cell><cell r="L3033"><v>43309</v></cell><cell r="M3033" t="str"><v>Tier 1</v></cell><cell r="N3033" t="str"><v>APAC</v></cell><cell r="O3033" t="str"><v>Australia</v></cell><cell r="P3033" t="str"><v>Trial</v></cell><cell r="Q3033" t="str"><v>Social</v></cell><cell r="R3033" t="str"><v>Azure</v></cell><cell r="S3033" t="str"><v>Apps & Infra</v></cell><cell r="T3033" t="str"><v>Developers & ITI's</v></cell><cell r="U3033" t="str"><v>Audience & Interest Targeting</v></cell><cell r="V3033" t="str"><v>Audience Targeting</v></cell><cell r="W3033" t="str"><v>Other</v></cell><cell r="X3033" t="str"><v>1x1</v></cell></row><row r="3033"><cell r="AA3033"><v>43303</v></cell><cell r="AB3033" t="str"><v>AUS_gaPMG_AZR_AZR_Q1_19_Trial-Social</v></cell><cell r="AC3033"><v>21358568</v></cell><cell r="AD3033"><v>720191</v></cell><cell r="AE3033" t="str"><v>Facebook</v></cell><cell r="AF3033"><v>3654128</v></cell><cell r="AG3033" t="str"><v>Facebook»Audience & Interest Targeting»1x1»TextLink»OTH»DT»DYN»AUT»W»NA»SS»NA»Free Account Refresh- 200 Credit ChD</v></cell><cell r="AH3033"><v>224160780</v></cell><cell r="AI3033" t="str"><v>AzurePlatform_FreeAcctAppsFACEBOOK200CreditChD_AUS_1200x628_SOC_PLAT_EN_Trial_Standard_NA_SNU_T4_1</v></cell><cell r="AJ3033"><v>103186904</v></cell></row><row r="3034"><cell r="C3034" t="str"><v>43303Facebook»Audience & Interest Targeting»1x1»TextLink»OTH»DT»DYN»AUT»W»NA»SS»NA»Free Account Refresh- Device ChB</v></cell><cell r="D3034" t="str"><v>43303224160777</v></cell><cell r="E3034" t="str"><v>43303103048479ce ChB</v></cell><cell r="F3034" t="str"><v>DCM</v></cell></row><row r="3034"><cell r="K3034" t="str"><v>July</v></cell><cell r="L3034"><v>43309</v></cell><cell r="M3034" t="str"><v>Tier 1</v></cell><cell r="N3034" t="str"><v>APAC</v></cell><cell r="O3034" t="str"><v>Australia</v></cell><cell r="P3034" t="str"><v>Trial</v></cell><cell r="Q3034" t="str"><v>Social</v></cell><cell r="R3034" t="str"><v>Azure</v></cell><cell r="S3034" t="str"><v>Apps & Infra</v></cell><cell r="T3034" t="str"><v>Developers & ITI's</v></cell><cell r="U3034" t="str"><v>Audience & Interest Targeting</v></cell><cell r="V3034" t="str"><v>Audience Targeting</v></cell><cell r="W3034" t="str"><v>Other</v></cell><cell r="X3034" t="str"><v>1x1</v></cell></row><row r="3034"><cell r="AA3034"><v>43303</v></cell><cell r="AB3034" t="str"><v>AUS_gaPMG_AZR_AZR_Q1_19_Trial-Social</v></cell><cell r="AC3034"><v>21358568</v></cell><cell r="AD3034"><v>720191</v></cell><cell r="AE3034" t="str"><v>Facebook</v></cell><cell r="AF3034"><v>3654128</v></cell><cell r="AG3034" t="str"><v>Facebook»Audience & Interest Targeting»1x1»TextLink»OTH»DT»DYN»AUT»W»NA»SS»NA»Free Account Refresh- Device ChB</v></cell><cell r="AH3034"><v>224160777</v></cell><cell r="AI3034" t="str"><v>AzurePlatform_FreeAcctAppsFACEBOOKDeviceChB_AUS_1200x628_SOC_PLAT_EN_Trial_Standard_NA_SNU_T2_1</v></cell><cell r="AJ3034"><v>103048479</v></cell></row><row r="3035"><cell r="C3035" t="str"><v>43303Facebook»Audience & Interest Targeting»1x1»TextLink»OTH»DT»DYN»AUT»W»NA»SS»NA»Free Account Refresh- Illustration ChC</v></cell><cell r="D3035" t="str"><v>43303224160774</v></cell><cell r="E3035" t="str"><v>43303103186910on ChC</v></cell><cell r="F3035" t="str"><v>DCM</v></cell></row><row r="3035"><cell r="K3035" t="str"><v>July</v></cell><cell r="L3035"><v>43309</v></cell><cell r="M3035" t="str"><v>Tier 1</v></cell><cell r="N3035" t="str"><v>APAC</v></cell><cell r="O3035" t="str"><v>Australia</v></cell><cell r="P3035" t="str"><v>Trial</v></cell><cell r="Q3035" t="str"><v>Social</v></cell><cell r="R3035" t="str"><v>Azure</v></cell><cell r="S3035" t="str"><v>Apps & Infra</v></cell><cell r="T3035" t="str"><v>Developers & ITI's</v></cell><cell r="U3035" t="str"><v>Audience & Interest Targeting</v></cell><cell r="V3035" t="str"><v>Audience Targeting</v></cell><cell r="W3035" t="str"><v>Other</v></cell><cell r="X3035" t="str"><v>1x1</v></cell></row><row r="3035"><cell r="AA3035"><v>43303</v></cell><cell r="AB3035" t="str"><v>AUS_gaPMG_AZR_AZR_Q1_19_Trial-Social</v></cell><cell r="AC3035"><v>21358568</v></cell><cell r="AD3035"><v>720191</v></cell><cell r="AE3035" t="str"><v>Facebook</v></cell><cell r="AF3035"><v>3654128</v></cell><cell r="AG3035" t="str"><v>Facebook»Audience & Interest Targeting»1x1»TextLink»OTH»DT»DYN»AUT»W»NA»SS»NA»Free Account Refresh- Illustration ChC</v></cell><cell r="AH3035"><v>224160774</v></cell><cell r="AI3035" t="str"><v>AzurePlatform_FreeAcctAppsFACEBOOKIllustrationChC_AUS_1200x628_SOC_PLAT_EN_Trial_Standard_NA_SNU_T3_1</v></cell><cell r="AJ3035"><v>103186910</v></cell></row><row r="3036"><cell r="C3036" t="str"><v>43303Facebook»Audience & Interest Targeting»1x1»TextLink»OTH»DT»DYN»AUT»W»NA»SS»NA»Free Account Refresh- Lifestyle ChA</v></cell><cell r="D3036" t="str"><v>43303224160771</v></cell><cell r="E3036" t="str"><v>43303103048488le ChA</v></cell><cell r="F3036" t="str"><v>DCM</v></cell></row><row r="3036"><cell r="K3036" t="str"><v>July</v></cell><cell r="L3036"><v>43309</v></cell><cell r="M3036" t="str"><v>Tier 1</v></cell><cell r="N3036" t="str"><v>APAC</v></cell><cell r="O3036" t="str"><v>Australia</v></cell><cell r="P3036" t="str"><v>Trial</v></cell><cell r="Q3036" t="str"><v>Social</v></cell><cell r="R3036" t="str"><v>Azure</v></cell><cell r="S3036" t="str"><v>Apps & Infra</v></cell><cell r="T3036" t="str"><v>Developers & ITI's</v></cell><cell r="U3036" t="str"><v>Audience & Interest Targeting</v></cell><cell r="V3036" t="str"><v>Audience Targeting</v></cell><cell r="W3036" t="str"><v>Other</v></cell><cell r="X3036" t="str"><v>1x1</v></cell></row><row r="3036"><cell r="AA3036"><v>43303</v></cell><cell r="AB3036" t="str"><v>AUS_gaPMG_AZR_AZR_Q1_19_Trial-Social</v></cell><cell r="AC3036"><v>21358568</v></cell><cell r="AD3036"><v>720191</v></cell><cell r="AE3036" t="str"><v>Facebook</v></cell><cell r="AF3036"><v>3654128</v></cell><cell r="AG3036" t="str"><v>Facebook»Audience & Interest Targeting»1x1»TextLink»OTH»DT»DYN»AUT»W»NA»SS»NA»Free Account Refresh- Lifestyle ChA</v></cell><cell r="AH3036"><v>224160771</v></cell><cell r="AI3036" t="str"><v>AzurePlatform_FreeAcctAppsFACEBOOKLifestyleChA_AUS_1200x628_SOC_PLAT_EN_Trial_Standard_NA_SNU_T1_1</v></cell><cell r="AJ3036"><v>103048488</v></cell></row><row r="3037"><cell r="C3037" t="str"><v>43303Facebook»AZR»1x1»NA»EGV»ALL»DYN»AUT»D»All»SS»NA»Free Acc CTC - T1 - EN</v></cell><cell r="D3037" t="str"><v>43303223684451</v></cell><cell r="E3037" t="str"><v>433031029018821 - EN</v></cell><cell r="F3037" t="str"><v>DCM</v></cell><cell r="G3037" t="str"><v>https://signup.azure.com/</v></cell></row><row r="3037"><cell r="K3037" t="str"><v>July</v></cell><cell r="L3037"><v>43309</v></cell><cell r="M3037" t="str"><v>Tier 1</v></cell><cell r="N3037" t="str"><v>North America</v></cell><cell r="O3037" t="str"><v>Canada</v></cell><cell r="P3037" t="str"><v>Trial</v></cell><cell r="Q3037" t="str"><v>Social</v></cell><cell r="R3037" t="str"><v>Azure</v></cell><cell r="S3037" t="str"><v>Apps & Infra</v></cell><cell r="T3037" t="str"><v>Developers & ITI's</v></cell><cell r="U3037" t="str"><v>AZR</v></cell><cell r="V3037" t="str"><v>Audience Targeting</v></cell><cell r="W3037" t="str"><v>Engagement Video</v></cell><cell r="X3037" t="str"><v>1x1</v></cell></row><row r="3037"><cell r="AA3037"><v>43303</v></cell><cell r="AB3037" t="str"><v>CAN_gaPMG_AZR_AZR_Q1_19_Trial-Social</v></cell><cell r="AC3037"><v>21337220</v></cell><cell r="AD3037"><v>720192</v></cell><cell r="AE3037" t="str"><v>Facebook</v></cell><cell r="AF3037"><v>3654128</v></cell><cell r="AG3037" t="str"><v>Facebook»AZR»1x1»NA»EGV»ALL»DYN»AUT»D»All»SS»NA»Free Acc CTC - T1 - EN</v></cell><cell r="AH3037"><v>223684451</v></cell><cell r="AI3037" t="str"><v>AzurePlatform_FBCTCBasicMotion_CAN_10s_ISV_PLAT_English_Trial_Standard_STAN_TN_T1_1</v></cell><cell r="AJ3037"><v>102901882</v></cell></row><row r="3038"><cell r="C3038" t="str"><v>43303Facebook»AZR»1x1»NA»EGV»ALL»DYN»AUT»D»All»SS»NA»Free Acc CTC - T1 - FR</v></cell><cell r="D3038" t="str"><v>43303223691801</v></cell><cell r="E3038" t="str"><v>433031030533231 - FR</v></cell><cell r="F3038" t="str"><v>DCM</v></cell><cell r="G3038" t="str"><v>https://signup.azure.com/</v></cell></row><row r="3038"><cell r="K3038" t="str"><v>July</v></cell><cell r="L3038"><v>43309</v></cell><cell r="M3038" t="str"><v>Tier 1</v></cell><cell r="N3038" t="str"><v>North America</v></cell><cell r="O3038" t="str"><v>Canada</v></cell><cell r="P3038" t="str"><v>Trial</v></cell><cell r="Q3038" t="str"><v>Social</v></cell><cell r="R3038" t="str"><v>Azure</v></cell><cell r="S3038" t="str"><v>Apps & Infra</v></cell><cell r="T3038" t="str"><v>Developers & ITI's</v></cell><cell r="U3038" t="str"><v>AZR</v></cell><cell r="V3038" t="str"><v>Audience Targeting</v></cell><cell r="W3038" t="str"><v>Engagement Video</v></cell><cell r="X3038" t="str"><v>1x1</v></cell></row><row r="3038"><cell r="AA3038"><v>43303</v></cell><cell r="AB3038" t="str"><v>CAN_gaPMG_AZR_AZR_Q1_19_Trial-Social</v></cell><cell r="AC3038"><v>21337220</v></cell><cell r="AD3038"><v>720192</v></cell><cell r="AE3038" t="str"><v>Facebook</v></cell><cell r="AF3038"><v>3654128</v></cell><cell r="AG3038" t="str"><v>Facebook»AZR»1x1»NA»EGV»ALL»DYN»AUT»D»All»SS»NA»Free Acc CTC - T1 - FR</v></cell><cell r="AH3038"><v>223691801</v></cell><cell r="AI3038" t="str"><v>AzurePlatform_FBCTCBasicMotion_CAN_10s_ISV_PLAT_FR_Trial_Standard_STAN_TN_T1_1</v></cell><cell r="AJ3038"><v>103053323</v></cell></row><row r="3039"><cell r="C3039" t="str"><v>43303Facebook»AZR»1x1»NA»EGV»ALL»DYN»AUT»D»All»SS»NA»Free Acc CTC - T2 - EN</v></cell><cell r="D3039" t="str"><v>43303223691840</v></cell><cell r="E3039" t="str"><v>433031029029502 - EN</v></cell><cell r="F3039" t="str"><v>DCM</v></cell><cell r="G3039" t="str"><v>https://signup.azure.com/</v></cell></row><row r="3039"><cell r="K3039" t="str"><v>July</v></cell><cell r="L3039"><v>43309</v></cell><cell r="M3039" t="str"><v>Tier 1</v></cell><cell r="N3039" t="str"><v>North America</v></cell><cell r="O3039" t="str"><v>Canada</v></cell><cell r="P3039" t="str"><v>Trial</v></cell><cell r="Q3039" t="str"><v>Social</v></cell><cell r="R3039" t="str"><v>Azure</v></cell><cell r="S3039" t="str"><v>Apps & Infra</v></cell><cell r="T3039" t="str"><v>Developers & ITI's</v></cell><cell r="U3039" t="str"><v>AZR</v></cell><cell r="V3039" t="str"><v>Audience Targeting</v></cell><cell r="W3039" t="str"><v>Engagement Video</v></cell><cell r="X3039" t="str"><v>1x1</v></cell></row><row r="3039"><cell r="AA3039"><v>43303</v></cell><cell r="AB3039" t="str"><v>CAN_gaPMG_AZR_AZR_Q1_19_Trial-Social</v></cell><cell r="AC3039"><v>21337220</v></cell><cell r="AD3039"><v>720192</v></cell><cell r="AE3039" t="str"><v>Facebook</v></cell><cell r="AF3039"><v>3654128</v></cell><cell r="AG3039" t="str"><v>Facebook»AZR»1x1»NA»EGV»ALL»DYN»AUT»D»All»SS»NA»Free Acc CTC - T2 - EN</v></cell><cell r="AH3039"><v>223691840</v></cell><cell r="AI3039" t="str"><v>AzurePlatform_FBCTCBrandinMotion_CAN_12s_ISV_PLAT_English_Trial_Standard_STAN_TN_T2_1</v></cell><cell r="AJ3039"><v>102902950</v></cell></row><row r="3040"><cell r="C3040" t="str"><v>43303Facebook»AZR»1x1»NA»EGV»ALL»DYN»AUT»D»All»SS»NA»Free Acc CTC - T2 - FR</v></cell><cell r="D3040" t="str"><v>43303223691798</v></cell><cell r="E3040" t="str"><v>433031029163472 - FR</v></cell><cell r="F3040" t="str"><v>DCM</v></cell><cell r="G3040" t="str"><v>https://signup.azure.com/</v></cell></row><row r="3040"><cell r="K3040" t="str"><v>July</v></cell><cell r="L3040"><v>43309</v></cell><cell r="M3040" t="str"><v>Tier 1</v></cell><cell r="N3040" t="str"><v>North America</v></cell><cell r="O3040" t="str"><v>Canada</v></cell><cell r="P3040" t="str"><v>Trial</v></cell><cell r="Q3040" t="str"><v>Social</v></cell><cell r="R3040" t="str"><v>Azure</v></cell><cell r="S3040" t="str"><v>Apps & Infra</v></cell><cell r="T3040" t="str"><v>Developers & ITI's</v></cell><cell r="U3040" t="str"><v>AZR</v></cell><cell r="V3040" t="str"><v>Audience Targeting</v></cell><cell r="W3040" t="str"><v>Engagement Video</v></cell><cell r="X3040" t="str"><v>1x1</v></cell></row><row r="3040"><cell r="AA3040"><v>43303</v></cell><cell r="AB3040" t="str"><v>CAN_gaPMG_AZR_AZR_Q1_19_Trial-Social</v></cell><cell r="AC3040"><v>21337220</v></cell><cell r="AD3040"><v>720192</v></cell><cell r="AE3040" t="str"><v>Facebook</v></cell><cell r="AF3040"><v>3654128</v></cell><cell r="AG3040" t="str"><v>Facebook»AZR»1x1»NA»EGV»ALL»DYN»AUT»D»All»SS»NA»Free Acc CTC - T2 - FR</v></cell><cell r="AH3040"><v>223691798</v></cell><cell r="AI3040" t="str"><v>AzurePlatform_FBCTCBrandinMotion_CAN_12s_ISV_PLAT_FR_Trial_Standard_STAN_TN_T2_1</v></cell><cell r="AJ3040"><v>102916347</v></cell></row><row r="3041"><cell r="C3041" t="str"><v>43303Facebook»AZR»1x1»NA»EGV»ALL»DYN»AUT»D»All»SS»NA»Free Acc CTC - T4 - EN</v></cell><cell r="D3041" t="str"><v>43303223691837</v></cell><cell r="E3041" t="str"><v>433031030533144 - EN</v></cell><cell r="F3041" t="str"><v>DCM</v></cell><cell r="G3041" t="str"><v>https://signup.azure.com/</v></cell></row><row r="3041"><cell r="K3041" t="str"><v>July</v></cell><cell r="L3041"><v>43309</v></cell><cell r="M3041" t="str"><v>Tier 1</v></cell><cell r="N3041" t="str"><v>North America</v></cell><cell r="O3041" t="str"><v>Canada</v></cell><cell r="P3041" t="str"><v>Trial</v></cell><cell r="Q3041" t="str"><v>Social</v></cell><cell r="R3041" t="str"><v>Azure</v></cell><cell r="S3041" t="str"><v>Apps & Infra</v></cell><cell r="T3041" t="str"><v>Developers & ITI's</v></cell><cell r="U3041" t="str"><v>AZR</v></cell><cell r="V3041" t="str"><v>Audience Targeting</v></cell><cell r="W3041" t="str"><v>Engagement Video</v></cell><cell r="X3041" t="str"><v>1x1</v></cell></row><row r="3041"><cell r="AA3041"><v>43303</v></cell><cell r="AB3041" t="str"><v>CAN_gaPMG_AZR_AZR_Q1_19_Trial-Social</v></cell><cell r="AC3041"><v>21337220</v></cell><cell r="AD3041"><v>720192</v></cell><cell r="AE3041" t="str"><v>Facebook</v></cell><cell r="AF3041"><v>3654128</v></cell><cell r="AG3041" t="str"><v>Facebook»AZR»1x1»NA»EGV»ALL»DYN»AUT»D»All»SS»NA»Free Acc CTC - T4 - EN</v></cell><cell r="AH3041"><v>223691837</v></cell><cell r="AI3041" t="str"><v>AzurePlatform_FBCTCBenefit2inMotion_CAN_14s_ISV_PLAT_English_Trial_Standard_STAN_TN_T4_1</v></cell><cell r="AJ3041"><v>103053314</v></cell></row><row r="3042"><cell r="C3042" t="str"><v>43303Facebook»AZR»1x1»NA»EGV»ALL»DYN»AUT»D»All»SS»NA»Free Acc CTC - T4 - FR</v></cell><cell r="D3042" t="str"><v>43303223691795</v></cell><cell r="E3042" t="str"><v>433031029006884 - FR</v></cell><cell r="F3042" t="str"><v>DCM</v></cell><cell r="G3042" t="str"><v>https://signup.azure.com/</v></cell></row><row r="3042"><cell r="K3042" t="str"><v>July</v></cell><cell r="L3042"><v>43309</v></cell><cell r="M3042" t="str"><v>Tier 1</v></cell><cell r="N3042" t="str"><v>North America</v></cell><cell r="O3042" t="str"><v>Canada</v></cell><cell r="P3042" t="str"><v>Trial</v></cell><cell r="Q3042" t="str"><v>Social</v></cell><cell r="R3042" t="str"><v>Azure</v></cell><cell r="S3042" t="str"><v>Apps & Infra</v></cell><cell r="T3042" t="str"><v>Developers & ITI's</v></cell><cell r="U3042" t="str"><v>AZR</v></cell><cell r="V3042" t="str"><v>Audience Targeting</v></cell><cell r="W3042" t="str"><v>Engagement Video</v></cell><cell r="X3042" t="str"><v>1x1</v></cell></row><row r="3042"><cell r="AA3042"><v>43303</v></cell><cell r="AB3042" t="str"><v>CAN_gaPMG_AZR_AZR_Q1_19_Trial-Social</v></cell><cell r="AC3042"><v>21337220</v></cell><cell r="AD3042"><v>720192</v></cell><cell r="AE3042" t="str"><v>Facebook</v></cell><cell r="AF3042"><v>3654128</v></cell><cell r="AG3042" t="str"><v>Facebook»AZR»1x1»NA»EGV»ALL»DYN»AUT»D»All»SS»NA»Free Acc CTC - T4 - FR</v></cell><cell r="AH3042"><v>223691795</v></cell><cell r="AI3042" t="str"><v>AzurePlatform_FBCTCBenefit2inMotion_CAN_14s_ISV_PLAT_FR_Trial_Standard_STAN_TN_T4_1</v></cell><cell r="AJ3042"><v>102900688</v></cell></row><row r="3043"><cell r="C3043" t="str"><v>43303Facebook»AZR»1x1»NA»SOC»ALL»DYN»PRO»D»All»SS»NA»Canvas - Buy Now - EN</v></cell><cell r="D3043" t="str"><v>43303225322327</v></cell><cell r="E3043" t="str"><v>43303103902287w - EN</v></cell><cell r="F3043" t="str"><v>DCM</v></cell><cell r="G3043" t="str"><v>https://azure.microsoft.com/en-ca/pricing/purchase-options/</v></cell></row><row r="3043"><cell r="K3043" t="str"><v>July</v></cell><cell r="L3043"><v>43309</v></cell><cell r="M3043" t="str"><v>Tier 1</v></cell><cell r="N3043" t="str"><v>North America</v></cell><cell r="O3043" t="str"><v>Canada</v></cell><cell r="P3043" t="str"><v>Trial</v></cell><cell r="Q3043" t="str"><v>Social</v></cell><cell r="R3043" t="str"><v>Azure</v></cell><cell r="S3043" t="str"><v>Apps & Infra</v></cell><cell r="T3043" t="str"><v>Developers & ITI's</v></cell><cell r="U3043" t="str"><v>AZR</v></cell><cell r="V3043" t="str"><v>Prospecting</v></cell><cell r="W3043" t="str"><v>Social</v></cell><cell r="X3043" t="str"><v>1x1</v></cell></row><row r="3043"><cell r="AA3043"><v>43303</v></cell><cell r="AB3043" t="str"><v>CAN_gaPMG_AZR_AZR_Q1_19_Trial-Social</v></cell><cell r="AC3043"><v>21337220</v></cell><cell r="AD3043"><v>720192</v></cell><cell r="AE3043" t="str"><v>Facebook</v></cell><cell r="AF3043"><v>3654128</v></cell><cell r="AG3043" t="str"><v>Facebook»AZR»1x1»NA»SOC»ALL»DYN»PRO»D»All»SS»NA»Canvas - Buy Now - EN</v></cell><cell r="AH3043"><v>225322327</v></cell><cell r="AI3043" t="str"><v>AzurePlatform_FBCTCcanvaspage-BuyNowCTA-Img3_CAN_1080x162_SOC_Plat_English_NA_Standard_NA_BN_T3_1</v></cell><cell r="AJ3043"><v>103902287</v></cell></row><row r="3044"><cell r="C3044" t="str"><v>43303Facebook»AZR»1x1»NA»SOC»ALL»DYN»PRO»D»All»SS»NA»Canvas - Start Free - EN</v></cell><cell r="D3044" t="str"><v>43303225252365</v></cell><cell r="E3044" t="str"><v>43303103807590e - EN</v></cell><cell r="F3044" t="str"><v>DCM</v></cell><cell r="G3044" t="str"><v>https://signup.azure.com/signup?offer=ms-azr-0044p&appId=102&ref=paidmedia-social-fb&redirectURL=https%3a%2f%2fazure.microsoft.com%2fen-ca%2fget-started%2fwelcome-to-azure%2f&l=en-ca&correlationId=ead86c34-1f10-49dd-a72b-6918462a2cbf</v></cell></row><row r="3044"><cell r="K3044" t="str"><v>July</v></cell><cell r="L3044"><v>43309</v></cell><cell r="M3044" t="str"><v>Tier 1</v></cell><cell r="N3044" t="str"><v>North America</v></cell><cell r="O3044" t="str"><v>Canada</v></cell><cell r="P3044" t="str"><v>Trial</v></cell><cell r="Q3044" t="str"><v>Social</v></cell><cell r="R3044" t="str"><v>Azure</v></cell><cell r="S3044" t="str"><v>Apps & Infra</v></cell><cell r="T3044" t="str"><v>Developers & ITI's</v></cell><cell r="U3044" t="str"><v>AZR</v></cell><cell r="V3044" t="str"><v>Prospecting</v></cell><cell r="W3044" t="str"><v>Social</v></cell><cell r="X3044" t="str"><v>1x1</v></cell></row><row r="3044"><cell r="AA3044"><v>43303</v></cell><cell r="AB3044" t="str"><v>CAN_gaPMG_AZR_AZR_Q1_19_Trial-Social</v></cell><cell r="AC3044"><v>21337220</v></cell><cell r="AD3044"><v>720192</v></cell><cell r="AE3044" t="str"><v>Facebook</v></cell><cell r="AF3044"><v>3654128</v></cell><cell r="AG3044" t="str"><v>Facebook»AZR»1x1»NA»SOC»ALL»DYN»PRO»D»All»SS»NA»Canvas - Start Free - EN</v></cell><cell r="AH3044"><v>225252365</v></cell><cell r="AI3044" t="str"><v>AzurePlatform_FBCTCcanvaspage-StartFreeCTA-Img2_CAN_1080x143 _SOC_Plat_English_NA_Standard_NA_NA_T2_1</v></cell><cell r="AJ3044"><v>103807590</v></cell></row><row r="3045"><cell r="C3045" t="str"><v>43303Facebook»AZR»1x1»NA»SOC»ALL»DYN»PRO»D»All»SS»NA»Canvas - Start Free - FR</v></cell><cell r="D3045" t="str"><v>43303225525936</v></cell><cell r="E3045" t="str"><v>43303103902551e - FR</v></cell><cell r="F3045" t="str"><v>DCM</v></cell><cell r="G3045" t="str"><v>https://signup.azure.com/signup?offer=ms-azr-0044p&appId=102&ref=paidmedia-social-fb&redirectURL=https%3a%2f%2fazure.microsoft.com%2ffr-ca%2fget-started%2fwelcome-to-azure%2f&l=fr-ca&correlationId=ead86c34-1f10-49dd-a72b-6918462a2cbf</v></cell></row><row r="3045"><cell r="K3045" t="str"><v>July</v></cell><cell r="L3045"><v>43309</v></cell><cell r="M3045" t="str"><v>Tier 1</v></cell><cell r="N3045" t="str"><v>North America</v></cell><cell r="O3045" t="str"><v>Canada</v></cell><cell r="P3045" t="str"><v>Trial</v></cell><cell r="Q3045" t="str"><v>Social</v></cell><cell r="R3045" t="str"><v>Azure</v></cell><cell r="S3045" t="str"><v>Apps & Infra</v></cell><cell r="T3045" t="str"><v>Developers & ITI's</v></cell><cell r="U3045" t="str"><v>AZR</v></cell><cell r="V3045" t="str"><v>Prospecting</v></cell><cell r="W3045" t="str"><v>Social</v></cell><cell r="X3045" t="str"><v>1x1</v></cell></row><row r="3045"><cell r="AA3045"><v>43303</v></cell><cell r="AB3045" t="str"><v>CAN_gaPMG_AZR_AZR_Q1_19_Trial-Social</v></cell><cell r="AC3045"><v>21337220</v></cell><cell r="AD3045"><v>720192</v></cell><cell r="AE3045" t="str"><v>Facebook</v></cell><cell r="AF3045"><v>3654128</v></cell><cell r="AG3045" t="str"><v>Facebook»AZR»1x1»NA»SOC»ALL»DYN»PRO»D»All»SS»NA»Canvas - Start Free - FR</v></cell><cell r="AH3045"><v>225525936</v></cell><cell r="AI3045" t="str"><v>AzurePlatform_FBCTCcanvaspage-StartFreeCTA-Img2_CAN_1080x143 _SOC_Plat_French_NA_Standard_NA_NA_T2_1</v></cell><cell r="AJ3045"><v>103902551</v></cell></row><row r="3046"><cell r="C3046" t="str"><v>43303Facebook»AZR»1x1»SocialBan»NA»ALL»DYN»AUT»D»All»SS»NA»Free Acc Refresh - T2 - FR</v></cell><cell r="D3046" t="str"><v>43303223691768</v></cell><cell r="E3046" t="str"><v>433031029029712 - FR</v></cell><cell r="F3046" t="str"><v>DCM</v></cell><cell r="G3046" t="str"><v>https://azure.microsoft.com/fr-ca/free/search/</v></cell></row><row r="3046"><cell r="K3046" t="str"><v>July</v></cell><cell r="L3046"><v>43309</v></cell><cell r="M3046" t="str"><v>Tier 1</v></cell><cell r="N3046" t="str"><v>North America</v></cell><cell r="O3046" t="str"><v>Canada</v></cell><cell r="P3046" t="str"><v>Trial</v></cell><cell r="Q3046" t="str"><v>Social</v></cell><cell r="R3046" t="str"><v>Azure</v></cell><cell r="S3046" t="str"><v>Apps & Infra</v></cell><cell r="T3046" t="str"><v>Developers & ITI's</v></cell><cell r="U3046" t="str"><v>AZR</v></cell><cell r="V3046" t="str"><v>Audience Targeting</v></cell><cell r="W3046" t="str"><v>NotApplicable</v></cell><cell r="X3046" t="str"><v>1x1</v></cell></row><row r="3046"><cell r="AA3046"><v>43303</v></cell><cell r="AB3046" t="str"><v>CAN_gaPMG_AZR_AZR_Q1_19_Trial-Social</v></cell><cell r="AC3046"><v>21337220</v></cell><cell r="AD3046"><v>720192</v></cell><cell r="AE3046" t="str"><v>Facebook</v></cell><cell r="AF3046"><v>3654128</v></cell><cell r="AG3046" t="str"><v>Facebook»AZR»1x1»SocialBan»NA»ALL»DYN»AUT»D»All»SS»NA»Free Acc Refresh - T2 - FR</v></cell><cell r="AH3046"><v>223691768</v></cell><cell r="AI3046" t="str"><v>AzurePlatform_FreeAcctAppsFACEBOOKDeviceChB_CAN_1200x628_SOC_PLAT_FR_Trial_Standard_NA_SU_T2_1.png</v></cell><cell r="AJ3046"><v>102902971</v></cell></row><row r="3047"><cell r="C3047" t="str"><v>43303Facebook»AZR»1x1»SocialBan»NA»ALL»DYN»AUT»D»All»SS»NA»Free Acc Refresh - T3 - EN</v></cell><cell r="D3047" t="str"><v>43303223691807</v></cell><cell r="E3047" t="str"><v>433031029006853 - EN</v></cell><cell r="F3047" t="str"><v>DCM</v></cell><cell r="G3047" t="str"><v>https://azure.microsoft.com/en-CA/free/search/</v></cell></row><row r="3047"><cell r="K3047" t="str"><v>July</v></cell><cell r="L3047"><v>43309</v></cell><cell r="M3047" t="str"><v>Tier 1</v></cell><cell r="N3047" t="str"><v>North America</v></cell><cell r="O3047" t="str"><v>Canada</v></cell><cell r="P3047" t="str"><v>Trial</v></cell><cell r="Q3047" t="str"><v>Social</v></cell><cell r="R3047" t="str"><v>Azure</v></cell><cell r="S3047" t="str"><v>Apps & Infra</v></cell><cell r="T3047" t="str"><v>Developers & ITI's</v></cell><cell r="U3047" t="str"><v>AZR</v></cell><cell r="V3047" t="str"><v>Audience Targeting</v></cell><cell r="W3047" t="str"><v>NotApplicable</v></cell><cell r="X3047" t="str"><v>1x1</v></cell></row><row r="3047"><cell r="AA3047"><v>43303</v></cell><cell r="AB3047" t="str"><v>CAN_gaPMG_AZR_AZR_Q1_19_Trial-Social</v></cell><cell r="AC3047"><v>21337220</v></cell><cell r="AD3047"><v>720192</v></cell><cell r="AE3047" t="str"><v>Facebook</v></cell><cell r="AF3047"><v>3654128</v></cell><cell r="AG3047" t="str"><v>Facebook»AZR»1x1»SocialBan»NA»ALL»DYN»AUT»D»All»SS»NA»Free Acc Refresh - T3 - EN</v></cell><cell r="AH3047"><v>223691807</v></cell><cell r="AI3047" t="str"><v>AzurePlatform_FreeAcctAppsFACEBOOKIllustrationChC_CAN_1200x628_SOC_PLAT_EN_Trial_Standard_NA_SU_T3_1.png</v></cell><cell r="AJ3047"><v>102900685</v></cell></row><row r="3048"><cell r="C3048" t="str"><v>43303Facebook»AZR»1x1»SocialBan»NA»ALL»DYN»AUT»D»All»SS»NA»Free Acc Refresh - T3 - FR</v></cell><cell r="D3048" t="str"><v>43303223691765</v></cell><cell r="E3048" t="str"><v>433031030533323 - FR</v></cell><cell r="F3048" t="str"><v>DCM</v></cell><cell r="G3048" t="str"><v>https://azure.microsoft.com/fr-ca/free/search/</v></cell></row><row r="3048"><cell r="K3048" t="str"><v>July</v></cell><cell r="L3048"><v>43309</v></cell><cell r="M3048" t="str"><v>Tier 1</v></cell><cell r="N3048" t="str"><v>North America</v></cell><cell r="O3048" t="str"><v>Canada</v></cell><cell r="P3048" t="str"><v>Trial</v></cell><cell r="Q3048" t="str"><v>Social</v></cell><cell r="R3048" t="str"><v>Azure</v></cell><cell r="S3048" t="str"><v>Apps & Infra</v></cell><cell r="T3048" t="str"><v>Developers & ITI's</v></cell><cell r="U3048" t="str"><v>AZR</v></cell><cell r="V3048" t="str"><v>Audience Targeting</v></cell><cell r="W3048" t="str"><v>NotApplicable</v></cell><cell r="X3048" t="str"><v>1x1</v></cell></row><row r="3048"><cell r="AA3048"><v>43303</v></cell><cell r="AB3048" t="str"><v>CAN_gaPMG_AZR_AZR_Q1_19_Trial-Social</v></cell><cell r="AC3048"><v>21337220</v></cell><cell r="AD3048"><v>720192</v></cell><cell r="AE3048" t="str"><v>Facebook</v></cell><cell r="AF3048"><v>3654128</v></cell><cell r="AG3048" t="str"><v>Facebook»AZR»1x1»SocialBan»NA»ALL»DYN»AUT»D»All»SS»NA»Free Acc Refresh - T3 - FR</v></cell><cell r="AH3048"><v>223691765</v></cell><cell r="AI3048" t="str"><v>AzurePlatform_FreeAcctAppsFACEBOOKIllustrationChC_CAN_1200x628_SOC_PLAT_FR_Trial_Standard_NA_SU_T3_1.png</v></cell><cell r="AJ3048"><v>103053332</v></cell></row><row r="3049"><cell r="C3049" t="str"><v>43303Facebook»AZR»1x1»SocialBan»NA»ALL»DYN»AUT»D»All»SS»NA»Free Acc Refresh - T4 - EN</v></cell><cell r="D3049" t="str"><v>43303223691813</v></cell><cell r="E3049" t="str"><v>433031030533204 - EN</v></cell><cell r="F3049" t="str"><v>DCM</v></cell><cell r="G3049" t="str"><v>https://azure.microsoft.com/en-CA/free/search/</v></cell></row><row r="3049"><cell r="K3049" t="str"><v>July</v></cell><cell r="L3049"><v>43309</v></cell><cell r="M3049" t="str"><v>Tier 1</v></cell><cell r="N3049" t="str"><v>North America</v></cell><cell r="O3049" t="str"><v>Canada</v></cell><cell r="P3049" t="str"><v>Trial</v></cell><cell r="Q3049" t="str"><v>Social</v></cell><cell r="R3049" t="str"><v>Azure</v></cell><cell r="S3049" t="str"><v>Apps & Infra</v></cell><cell r="T3049" t="str"><v>Developers & ITI's</v></cell><cell r="U3049" t="str"><v>AZR</v></cell><cell r="V3049" t="str"><v>Audience Targeting</v></cell><cell r="W3049" t="str"><v>NotApplicable</v></cell><cell r="X3049" t="str"><v>1x1</v></cell></row><row r="3049"><cell r="AA3049"><v>43303</v></cell><cell r="AB3049" t="str"><v>CAN_gaPMG_AZR_AZR_Q1_19_Trial-Social</v></cell><cell r="AC3049"><v>21337220</v></cell><cell r="AD3049"><v>720192</v></cell><cell r="AE3049" t="str"><v>Facebook</v></cell><cell r="AF3049"><v>3654128</v></cell><cell r="AG3049" t="str"><v>Facebook»AZR»1x1»SocialBan»NA»ALL»DYN»AUT»D»All»SS»NA»Free Acc Refresh - T4 - EN</v></cell><cell r="AH3049"><v>223691813</v></cell><cell r="AI3049" t="str"><v>AzurePlatform_FreeAcctAppsFACEBOOK200CreditChD_CAN_1200x628_SOC_PLAT_EN_Trial_Standard_NA_SU_T4_1.png</v></cell><cell r="AJ3049"><v>103053320</v></cell></row><row r="3050"><cell r="C3050" t="str"><v>43303Facebook»AZR»1x1»SocialBan»NA»ALL»DYN»AUT»D»All»SS»NA»Free Acc Refresh - T5 - EN</v></cell><cell r="D3050" t="str"><v>43303223691816</v></cell><cell r="E3050" t="str"><v>433031029163415 - EN</v></cell><cell r="F3050" t="str"><v>DCM</v></cell><cell r="G3050" t="str"><v>https://azure.microsoft.com/en-CA/free/search/</v></cell></row><row r="3050"><cell r="K3050" t="str"><v>July</v></cell><cell r="L3050"><v>43309</v></cell><cell r="M3050" t="str"><v>Tier 1</v></cell><cell r="N3050" t="str"><v>North America</v></cell><cell r="O3050" t="str"><v>Canada</v></cell><cell r="P3050" t="str"><v>Trial</v></cell><cell r="Q3050" t="str"><v>Social</v></cell><cell r="R3050" t="str"><v>Azure</v></cell><cell r="S3050" t="str"><v>Apps & Infra</v></cell><cell r="T3050" t="str"><v>Developers & ITI's</v></cell><cell r="U3050" t="str"><v>AZR</v></cell><cell r="V3050" t="str"><v>Audience Targeting</v></cell><cell r="W3050" t="str"><v>NotApplicable</v></cell><cell r="X3050" t="str"><v>1x1</v></cell></row><row r="3050"><cell r="AA3050"><v>43303</v></cell><cell r="AB3050" t="str"><v>CAN_gaPMG_AZR_AZR_Q1_19_Trial-Social</v></cell><cell r="AC3050"><v>21337220</v></cell><cell r="AD3050"><v>720192</v></cell><cell r="AE3050" t="str"><v>Facebook</v></cell><cell r="AF3050"><v>3654128</v></cell><cell r="AG3050" t="str"><v>Facebook»AZR»1x1»SocialBan»NA»ALL»DYN»AUT»D»All»SS»NA»Free Acc Refresh - T5 - EN</v></cell><cell r="AH3050"><v>223691816</v></cell><cell r="AI3050" t="str"><v>AzurePlatform_FreeAcctAppsFACEBOOK12monthsChE_CAN_1200x628_SOC_PLAT_EN_Trial_Standard_NA_SU_T5_1.png</v></cell><cell r="AJ3050"><v>102916341</v></cell></row><row r="3051"><cell r="C3051" t="str"><v>43303Facebook»AZR»1x1»SocialBan»NA»ALL»DYN»AUT»D»All»SS»NA»Free Acc Refresh - T5 - FR</v></cell><cell r="D3051" t="str"><v>43303223691774</v></cell><cell r="E3051" t="str"><v>433031029163565 - FR</v></cell><cell r="F3051" t="str"><v>DCM</v></cell><cell r="G3051" t="str"><v>https://azure.microsoft.com/fr-ca/free/search/</v></cell></row><row r="3051"><cell r="K3051" t="str"><v>July</v></cell><cell r="L3051"><v>43309</v></cell><cell r="M3051" t="str"><v>Tier 1</v></cell><cell r="N3051" t="str"><v>North America</v></cell><cell r="O3051" t="str"><v>Canada</v></cell><cell r="P3051" t="str"><v>Trial</v></cell><cell r="Q3051" t="str"><v>Social</v></cell><cell r="R3051" t="str"><v>Azure</v></cell><cell r="S3051" t="str"><v>Apps & Infra</v></cell><cell r="T3051" t="str"><v>Developers & ITI's</v></cell><cell r="U3051" t="str"><v>AZR</v></cell><cell r="V3051" t="str"><v>Audience Targeting</v></cell><cell r="W3051" t="str"><v>NotApplicable</v></cell><cell r="X3051" t="str"><v>1x1</v></cell></row><row r="3051"><cell r="AA3051"><v>43303</v></cell><cell r="AB3051" t="str"><v>CAN_gaPMG_AZR_AZR_Q1_19_Trial-Social</v></cell><cell r="AC3051"><v>21337220</v></cell><cell r="AD3051"><v>720192</v></cell><cell r="AE3051" t="str"><v>Facebook</v></cell><cell r="AF3051"><v>3654128</v></cell><cell r="AG3051" t="str"><v>Facebook»AZR»1x1»SocialBan»NA»ALL»DYN»AUT»D»All»SS»NA»Free Acc Refresh - T5 - FR</v></cell><cell r="AH3051"><v>223691774</v></cell><cell r="AI3051" t="str"><v>AzurePlatform_FreeAcctAppsFACEBOOK12monthsChE_CAN_1200x628_SOC_PLAT_FR_Trial_Standard_NA_SU_T5_1.png</v></cell><cell r="AJ3051"><v>102916356</v></cell></row><row r="3052"><cell r="C3052" t="str"><v>43303Facebook»AZR»1x1»SocialBan»NA»ALL»DYN»RT»D»All»SS»NA» Free Account Retargeting OSS - T1 - EN</v></cell><cell r="D3052" t="str"><v>43303223691828</v></cell><cell r="E3052" t="str"><v>433031029029561 - EN</v></cell><cell r="F3052" t="str"><v>DCM</v></cell><cell r="G3052" t="str"><v>https://azure.microsoft.com/en-ca/free/open-source/search/</v></cell></row><row r="3052"><cell r="K3052" t="str"><v>July</v></cell><cell r="L3052"><v>43309</v></cell><cell r="M3052" t="str"><v>Tier 1</v></cell><cell r="N3052" t="str"><v>North America</v></cell><cell r="O3052" t="str"><v>Canada</v></cell><cell r="P3052" t="str"><v>Trial</v></cell><cell r="Q3052" t="str"><v>Social</v></cell><cell r="R3052" t="str"><v>Azure</v></cell><cell r="S3052" t="str"><v>Apps & Infra</v></cell><cell r="T3052" t="str"><v>Developers & ITI's</v></cell><cell r="U3052" t="str"><v>AZR</v></cell><cell r="V3052" t="str"><v>Retargeting</v></cell><cell r="W3052" t="str"><v>NotApplicable</v></cell><cell r="X3052" t="str"><v>1x1</v></cell></row><row r="3052"><cell r="AA3052"><v>43303</v></cell><cell r="AB3052" t="str"><v>CAN_gaPMG_AZR_AZR_Q1_19_Trial-Social</v></cell><cell r="AC3052"><v>21337220</v></cell><cell r="AD3052"><v>720192</v></cell><cell r="AE3052" t="str"><v>Facebook</v></cell><cell r="AF3052"><v>3654128</v></cell><cell r="AG3052" t="str"><v>Facebook»AZR»1x1»SocialBan»NA»ALL»DYN»RT»D»All»SS»NA» Free Account Retargeting OSS - T1 - EN</v></cell><cell r="AH3052"><v>223691828</v></cell><cell r="AI3052" t="str"><v>AzurePlatform_FreeAcctRetargetingOSSFB-Text-ChF_CAN_1200x628_SOC_Plat_EN_Free Account_Standard_NA_SU_T1_1</v></cell><cell r="AJ3052"><v>102902956</v></cell></row><row r="3053"><cell r="C3053" t="str"><v>43303Facebook»AZR»1x1»SocialBan»NA»ALL»DYN»RT»D»All»SS»NA» Free Account Retargeting OSS - T1 - FR</v></cell><cell r="D3053" t="str"><v>43303223691786</v></cell><cell r="E3053" t="str"><v>433031030587201 - FR</v></cell><cell r="F3053" t="str"><v>DCM</v></cell><cell r="G3053" t="str"><v>https://azure.microsoft.com/fr-ca/free/open-source/search/</v></cell></row><row r="3053"><cell r="K3053" t="str"><v>July</v></cell><cell r="L3053"><v>43309</v></cell><cell r="M3053" t="str"><v>Tier 1</v></cell><cell r="N3053" t="str"><v>North America</v></cell><cell r="O3053" t="str"><v>Canada</v></cell><cell r="P3053" t="str"><v>Trial</v></cell><cell r="Q3053" t="str"><v>Social</v></cell><cell r="R3053" t="str"><v>Azure</v></cell><cell r="S3053" t="str"><v>Apps & Infra</v></cell><cell r="T3053" t="str"><v>Developers & ITI's</v></cell><cell r="U3053" t="str"><v>AZR</v></cell><cell r="V3053" t="str"><v>Retargeting</v></cell><cell r="W3053" t="str"><v>NotApplicable</v></cell><cell r="X3053" t="str"><v>1x1</v></cell></row><row r="3053"><cell r="AA3053"><v>43303</v></cell><cell r="AB3053" t="str"><v>CAN_gaPMG_AZR_AZR_Q1_19_Trial-Social</v></cell><cell r="AC3053"><v>21337220</v></cell><cell r="AD3053"><v>720192</v></cell><cell r="AE3053" t="str"><v>Facebook</v></cell><cell r="AF3053"><v>3654128</v></cell><cell r="AG3053" t="str"><v>Facebook»AZR»1x1»SocialBan»NA»ALL»DYN»RT»D»All»SS»NA» Free Account Retargeting OSS - T1 - FR</v></cell><cell r="AH3053"><v>223691786</v></cell><cell r="AI3053" t="str"><v>AzurePlatform_FreeAcctRetargetingOSSFB-Text-ChF_CAN_1200x628_SOC_Plat_FR_Free Account_Standard_NA_SU_T1_1</v></cell><cell r="AJ3053"><v>103058720</v></cell></row><row r="3054"><cell r="C3054" t="str"><v>43303Facebook»AZR»1x1»SocialBan»NA»ALL»DYN»RT»D»All»SS»NA» Free Account Retargeting OSS - T2 - EN</v></cell><cell r="D3054" t="str"><v>43303223691831</v></cell><cell r="E3054" t="str"><v>433031029138002 - EN</v></cell><cell r="F3054" t="str"><v>DCM</v></cell><cell r="G3054" t="str"><v>https://azure.microsoft.com/en-ca/free/open-source/search/</v></cell></row><row r="3054"><cell r="K3054" t="str"><v>July</v></cell><cell r="L3054"><v>43309</v></cell><cell r="M3054" t="str"><v>Tier 1</v></cell><cell r="N3054" t="str"><v>North America</v></cell><cell r="O3054" t="str"><v>Canada</v></cell><cell r="P3054" t="str"><v>Trial</v></cell><cell r="Q3054" t="str"><v>Social</v></cell><cell r="R3054" t="str"><v>Azure</v></cell><cell r="S3054" t="str"><v>Apps & Infra</v></cell><cell r="T3054" t="str"><v>Developers & ITI's</v></cell><cell r="U3054" t="str"><v>AZR</v></cell><cell r="V3054" t="str"><v>Retargeting</v></cell><cell r="W3054" t="str"><v>NotApplicable</v></cell><cell r="X3054" t="str"><v>1x1</v></cell></row><row r="3054"><cell r="AA3054"><v>43303</v></cell><cell r="AB3054" t="str"><v>CAN_gaPMG_AZR_AZR_Q1_19_Trial-Social</v></cell><cell r="AC3054"><v>21337220</v></cell><cell r="AD3054"><v>720192</v></cell><cell r="AE3054" t="str"><v>Facebook</v></cell><cell r="AF3054"><v>3654128</v></cell><cell r="AG3054" t="str"><v>Facebook»AZR»1x1»SocialBan»NA»ALL»DYN»RT»D»All»SS»NA» Free Account Retargeting OSS - T2 - EN</v></cell><cell r="AH3054"><v>223691831</v></cell><cell r="AI3054" t="str"><v>AzurePlatform_FreeAcctRetargetingOSSFB-Logos-ChG_CAN_1200x628_SOC_Plat_EN_Free Account_Standard_NA_SU_T2_1</v></cell><cell r="AJ3054"><v>102913800</v></cell></row><row r="3055"><cell r="C3055" t="str"><v>43303Facebook»AZR»1x1»SocialBan»NA»ALL»DYN»RT»D»All»SS»NA» Free Account Retargeting OSS - T2 - FR</v></cell><cell r="D3055" t="str"><v>43303223691789</v></cell><cell r="E3055" t="str"><v>433031029006912 - FR</v></cell><cell r="F3055" t="str"><v>DCM</v></cell><cell r="G3055" t="str"><v>https://azure.microsoft.com/fr-ca/free/open-source/search/</v></cell></row><row r="3055"><cell r="K3055" t="str"><v>July</v></cell><cell r="L3055"><v>43309</v></cell><cell r="M3055" t="str"><v>Tier 1</v></cell><cell r="N3055" t="str"><v>North America</v></cell><cell r="O3055" t="str"><v>Canada</v></cell><cell r="P3055" t="str"><v>Trial</v></cell><cell r="Q3055" t="str"><v>Social</v></cell><cell r="R3055" t="str"><v>Azure</v></cell><cell r="S3055" t="str"><v>Apps & Infra</v></cell><cell r="T3055" t="str"><v>Developers & ITI's</v></cell><cell r="U3055" t="str"><v>AZR</v></cell><cell r="V3055" t="str"><v>Retargeting</v></cell><cell r="W3055" t="str"><v>NotApplicable</v></cell><cell r="X3055" t="str"><v>1x1</v></cell></row><row r="3055"><cell r="AA3055"><v>43303</v></cell><cell r="AB3055" t="str"><v>CAN_gaPMG_AZR_AZR_Q1_19_Trial-Social</v></cell><cell r="AC3055"><v>21337220</v></cell><cell r="AD3055"><v>720192</v></cell><cell r="AE3055" t="str"><v>Facebook</v></cell><cell r="AF3055"><v>3654128</v></cell><cell r="AG3055" t="str"><v>Facebook»AZR»1x1»SocialBan»NA»ALL»DYN»RT»D»All»SS»NA» Free Account Retargeting OSS - T2 - FR</v></cell><cell r="AH3055"><v>223691789</v></cell><cell r="AI3055" t="str"><v>AzurePlatform_FreeAcctRetargetingOSSFB-Logos-ChG_CAN_1200x628_SOC_Plat_FR_Free Account_Standard_NA_SU_T2_1</v></cell><cell r="AJ3055"><v>102900691</v></cell></row><row r="3056"><cell r="C3056" t="str"><v>43303Facebook»AZR»1x1»SocialBan»NA»ALL»DYN»RT»D»All»SS»NA»Free Account Retargeting Generic - T2 - EN</v></cell><cell r="D3056" t="str"><v>43303223691834</v></cell><cell r="E3056" t="str"><v>433031029029532 - EN</v></cell><cell r="F3056" t="str"><v>DCM</v></cell><cell r="G3056" t="str"><v>https://azure.microsoft.com/en-CA/free/search/</v></cell></row><row r="3056"><cell r="K3056" t="str"><v>July</v></cell><cell r="L3056"><v>43309</v></cell><cell r="M3056" t="str"><v>Tier 1</v></cell><cell r="N3056" t="str"><v>North America</v></cell><cell r="O3056" t="str"><v>Canada</v></cell><cell r="P3056" t="str"><v>Trial</v></cell><cell r="Q3056" t="str"><v>Social</v></cell><cell r="R3056" t="str"><v>Azure</v></cell><cell r="S3056" t="str"><v>Apps & Infra</v></cell><cell r="T3056" t="str"><v>Developers & ITI's</v></cell><cell r="U3056" t="str"><v>AZR</v></cell><cell r="V3056" t="str"><v>Retargeting</v></cell><cell r="W3056" t="str"><v>NotApplicable</v></cell><cell r="X3056" t="str"><v>1x1</v></cell></row><row r="3056"><cell r="AA3056"><v>43303</v></cell><cell r="AB3056" t="str"><v>CAN_gaPMG_AZR_AZR_Q1_19_Trial-Social</v></cell><cell r="AC3056"><v>21337220</v></cell><cell r="AD3056"><v>720192</v></cell><cell r="AE3056" t="str"><v>Facebook</v></cell><cell r="AF3056"><v>3654128</v></cell><cell r="AG3056" t="str"><v>Facebook»AZR»1x1»SocialBan»NA»ALL»DYN»RT»D»All»SS»NA»Free Account Retargeting Generic - T2 - EN</v></cell><cell r="AH3056"><v>223691834</v></cell><cell r="AI3056" t="str"><v>AzurePlatform_FreeAcctRetargetingFB-GlobalAlt-ChB_CAN_1200x628_SOC_Plat_EN_Free Account_Standard_NA_SU_T2_1</v></cell><cell r="AJ3056"><v>102902953</v></cell></row><row r="3057"><cell r="C3057" t="str"><v>43303Facebook»AZR»1x1»SocialBan»NA»ALL»DYN»RT»D»All»SS»NA»Free Account Retargeting Generic - T3 - EN</v></cell><cell r="D3057" t="str"><v>43303223691819</v></cell><cell r="E3057" t="str"><v>433031029006823 - EN</v></cell><cell r="F3057" t="str"><v>DCM</v></cell><cell r="G3057" t="str"><v>https://azure.microsoft.com/en-CA/free/search/</v></cell></row><row r="3057"><cell r="K3057" t="str"><v>July</v></cell><cell r="L3057"><v>43309</v></cell><cell r="M3057" t="str"><v>Tier 1</v></cell><cell r="N3057" t="str"><v>North America</v></cell><cell r="O3057" t="str"><v>Canada</v></cell><cell r="P3057" t="str"><v>Trial</v></cell><cell r="Q3057" t="str"><v>Social</v></cell><cell r="R3057" t="str"><v>Azure</v></cell><cell r="S3057" t="str"><v>Apps & Infra</v></cell><cell r="T3057" t="str"><v>Developers & ITI's</v></cell><cell r="U3057" t="str"><v>AZR</v></cell><cell r="V3057" t="str"><v>Retargeting</v></cell><cell r="W3057" t="str"><v>NotApplicable</v></cell><cell r="X3057" t="str"><v>1x1</v></cell></row><row r="3057"><cell r="AA3057"><v>43303</v></cell><cell r="AB3057" t="str"><v>CAN_gaPMG_AZR_AZR_Q1_19_Trial-Social</v></cell><cell r="AC3057"><v>21337220</v></cell><cell r="AD3057"><v>720192</v></cell><cell r="AE3057" t="str"><v>Facebook</v></cell><cell r="AF3057"><v>3654128</v></cell><cell r="AG3057" t="str"><v>Facebook»AZR»1x1»SocialBan»NA»ALL»DYN»RT»D»All»SS»NA»Free Account Retargeting Generic - T3 - EN</v></cell><cell r="AH3057"><v>223691819</v></cell><cell r="AI3057" t="str"><v>AzurePlatform_FreeAcctRetargetingFB-Animated-ChC_CAN_1200x628_SOC_Plat_EN_Free Account_Standard_ANI_SU_T3_1</v></cell><cell r="AJ3057"><v>102900682</v></cell></row><row r="3058"><cell r="C3058" t="str"><v>43303Facebook»AZR»1x1»SocialBan»NA»ALL»DYN»RT»D»All»SS»NA»Free Account Retargeting Generic - T3 - FR</v></cell><cell r="D3058" t="str"><v>43303223691777</v></cell><cell r="E3058" t="str"><v>433031029006973 - FR</v></cell><cell r="F3058" t="str"><v>DCM</v></cell><cell r="G3058" t="str"><v>https://azure.microsoft.com/fr-ca/free/search/</v></cell></row><row r="3058"><cell r="K3058" t="str"><v>July</v></cell><cell r="L3058"><v>43309</v></cell><cell r="M3058" t="str"><v>Tier 1</v></cell><cell r="N3058" t="str"><v>North America</v></cell><cell r="O3058" t="str"><v>Canada</v></cell><cell r="P3058" t="str"><v>Trial</v></cell><cell r="Q3058" t="str"><v>Social</v></cell><cell r="R3058" t="str"><v>Azure</v></cell><cell r="S3058" t="str"><v>Apps & Infra</v></cell><cell r="T3058" t="str"><v>Developers & ITI's</v></cell><cell r="U3058" t="str"><v>AZR</v></cell><cell r="V3058" t="str"><v>Retargeting</v></cell><cell r="W3058" t="str"><v>NotApplicable</v></cell><cell r="X3058" t="str"><v>1x1</v></cell></row><row r="3058"><cell r="AA3058"><v>43303</v></cell><cell r="AB3058" t="str"><v>CAN_gaPMG_AZR_AZR_Q1_19_Trial-Social</v></cell><cell r="AC3058"><v>21337220</v></cell><cell r="AD3058"><v>720192</v></cell><cell r="AE3058" t="str"><v>Facebook</v></cell><cell r="AF3058"><v>3654128</v></cell><cell r="AG3058" t="str"><v>Facebook»AZR»1x1»SocialBan»NA»ALL»DYN»RT»D»All»SS»NA»Free Account Retargeting Generic - T3 - FR</v></cell><cell r="AH3058"><v>223691777</v></cell><cell r="AI3058" t="str"><v>AzurePlatform_FreeAcctRetargetingFB-Animated-ChC_CAN_1200x628_SOC_Plat_FR_Free Account_Standard_ANI_SU_T3_1</v></cell><cell r="AJ3058"><v>102900697</v></cell></row><row r="3059"><cell r="C3059" t="str"><v>43303Facebook»AZR»1x1»SocialBan»NA»ALL»DYN»RT»D»All»SS»NA»Free Account Retargeting VM - T1 - EN</v></cell><cell r="D3059" t="str"><v>43303223691825</v></cell><cell r="E3059" t="str"><v>433031029163381 - EN</v></cell><cell r="F3059" t="str"><v>DCM</v></cell><cell r="G3059" t="str"><v>https://azure.microsoft.com/en-ca/free/virtual-machines/search/</v></cell></row><row r="3059"><cell r="K3059" t="str"><v>July</v></cell><cell r="L3059"><v>43309</v></cell><cell r="M3059" t="str"><v>Tier 1</v></cell><cell r="N3059" t="str"><v>North America</v></cell><cell r="O3059" t="str"><v>Canada</v></cell><cell r="P3059" t="str"><v>Trial</v></cell><cell r="Q3059" t="str"><v>Social</v></cell><cell r="R3059" t="str"><v>Azure</v></cell><cell r="S3059" t="str"><v>Apps & Infra</v></cell><cell r="T3059" t="str"><v>Developers & ITI's</v></cell><cell r="U3059" t="str"><v>AZR</v></cell><cell r="V3059" t="str"><v>Retargeting</v></cell><cell r="W3059" t="str"><v>NotApplicable</v></cell><cell r="X3059" t="str"><v>1x1</v></cell></row><row r="3059"><cell r="AA3059"><v>43303</v></cell><cell r="AB3059" t="str"><v>CAN_gaPMG_AZR_AZR_Q1_19_Trial-Social</v></cell><cell r="AC3059"><v>21337220</v></cell><cell r="AD3059"><v>720192</v></cell><cell r="AE3059" t="str"><v>Facebook</v></cell><cell r="AF3059"><v>3654128</v></cell><cell r="AG3059" t="str"><v>Facebook»AZR»1x1»SocialBan»NA»ALL»DYN»RT»D»All»SS»NA»Free Account Retargeting VM - T1 - EN</v></cell><cell r="AH3059"><v>223691825</v></cell><cell r="AI3059" t="str"><v>AzurePlatform_FreeAcctRetargetingVMFB-750Hrs-ChD_CAN_1200x628_SOC_Plat_EN_Free Account_Standard_NA_SU_T1_1</v></cell><cell r="AJ3059"><v>102916338</v></cell></row><row r="3060"><cell r="C3060" t="str"><v>43303Facebook»AZR»1x1»SocialBan»NA»ALL»DYN»RT»D»All»SS»NA»Free Account Retargeting VM - T2 - FR</v></cell><cell r="D3060" t="str"><v>43303223691780</v></cell><cell r="E3060" t="str"><v>433031030587262 - FR</v></cell><cell r="F3060" t="str"><v>DCM</v></cell><cell r="G3060" t="str"><v>https://azure.microsoft.com/fr-ca/free/virtual-machines/search/</v></cell></row><row r="3060"><cell r="K3060" t="str"><v>July</v></cell><cell r="L3060"><v>43309</v></cell><cell r="M3060" t="str"><v>Tier 1</v></cell><cell r="N3060" t="str"><v>North America</v></cell><cell r="O3060" t="str"><v>Canada</v></cell><cell r="P3060" t="str"><v>Trial</v></cell><cell r="Q3060" t="str"><v>Social</v></cell><cell r="R3060" t="str"><v>Azure</v></cell><cell r="S3060" t="str"><v>Apps & Infra</v></cell><cell r="T3060" t="str"><v>Developers & ITI's</v></cell><cell r="U3060" t="str"><v>AZR</v></cell><cell r="V3060" t="str"><v>Retargeting</v></cell><cell r="W3060" t="str"><v>NotApplicable</v></cell><cell r="X3060" t="str"><v>1x1</v></cell></row><row r="3060"><cell r="AA3060"><v>43303</v></cell><cell r="AB3060" t="str"><v>CAN_gaPMG_AZR_AZR_Q1_19_Trial-Social</v></cell><cell r="AC3060"><v>21337220</v></cell><cell r="AD3060"><v>720192</v></cell><cell r="AE3060" t="str"><v>Facebook</v></cell><cell r="AF3060"><v>3654128</v></cell><cell r="AG3060" t="str"><v>Facebook»AZR»1x1»SocialBan»NA»ALL»DYN»RT»D»All»SS»NA»Free Account Retargeting VM - T2 - FR</v></cell><cell r="AH3060"><v>223691780</v></cell><cell r="AI3060" t="str"><v>AzurePlatform_FreeAcctRetargetingVMFB-OnDemand-ChE_CAN_1200x628_SOC_Plat_FR_Free Account_Standard_NA_SU_T2_1</v></cell><cell r="AJ3060"><v>103058726</v></cell></row><row r="3061"><cell r="C3061" t="str"><v>43303Facebook»DEV-ITP-AZR-FB|CanvasAds|Interesttargeting»1x1»TextLink»CAN»DT»CPM»AUT»W»NA»SS»NA»39684020-11000</v></cell><cell r="D3061" t="str"><v>43303224009494</v></cell><cell r="E3061" t="str"><v>43303103236186-11000</v></cell><cell r="F3061" t="str"><v>DCM</v></cell><cell r="G3061" t="str"><v>https://signup.azure.com/signup?offer=ms-azr-0044p&appId=102&ref=paidmedia-social-fb&redirectURL=https%3a%2f%2fazure.microsoft.com%2fde-de%2fget-started%2fwelcome-to-azure%2f&l=de-de&correlationId=ead86c34-1f10-49dd-a72b-6918462a2cbf</v></cell></row><row r="3061"><cell r="K3061" t="str"><v>July</v></cell><cell r="L3061"><v>43309</v></cell><cell r="M3061" t="str"><v>Tier 1</v></cell><cell r="N3061" t="str"><v>EMEA</v></cell><cell r="O3061" t="str"><v>Germany</v></cell><cell r="P3061" t="str"><v>Trial</v></cell><cell r="Q3061" t="str"><v>Social</v></cell><cell r="R3061" t="str"><v>Azure</v></cell><cell r="S3061" t="str"><v>Apps & Infra</v></cell><cell r="T3061" t="str"><v>Developers & ITI's</v></cell><cell r="U3061" t="str"><v>DEV-ITP-AZR-FB|CanvasAds|Interesttargeting</v></cell><cell r="V3061" t="str"><v>Audience Targeting</v></cell><cell r="W3061" t="str"><v>Canvas Ad</v></cell><cell r="X3061" t="str"><v>1x1</v></cell></row><row r="3061"><cell r="AA3061"><v>43303</v></cell><cell r="AB3061" t="str"><v>DEU_gaPMG_AZR_AZR_Q1_19_Trial-Social- 39684</v></cell><cell r="AC3061"><v>21359477</v></cell><cell r="AD3061"><v>720194</v></cell><cell r="AE3061" t="str"><v>Facebook</v></cell><cell r="AF3061"><v>3654128</v></cell><cell r="AG3061" t="str"><v>Facebook»DEV-ITP-AZR-FB|CanvasAds|Interesttargeting»1x1»TextLink»CAN»DT»CPM»AUT»W»NA»SS»NA»39684020-11000</v></cell><cell r="AH3061"><v>224009494</v></cell><cell r="AI3061" t="str"><v>AzurePlatform_FBCTCBasicMotion-StartFreeCT_DEU_10s_ISV_PLAT_DE_Trial_Standard_STAN_TN_T1_1</v></cell><cell r="AJ3061"><v>103236186</v></cell></row><row r="3062"><cell r="C3062" t="str"><v>43303Facebook»DEV-ITP-AZR-FB|CanvasAds|Interesttargeting»1x1»TextLink»CAN»DT»CPM»AUT»W»NA»SS»NA»39684020-11000</v></cell><cell r="D3062" t="str"><v>43303224009494</v></cell><cell r="E3062" t="str"><v>43303103236189-11000</v></cell><cell r="F3062" t="str"><v>DCM</v></cell><cell r="G3062" t="str"><v>https://azure.microsoft.com/de-de/pricing/purchase-options/</v></cell></row><row r="3062"><cell r="K3062" t="str"><v>July</v></cell><cell r="L3062"><v>43309</v></cell><cell r="M3062" t="str"><v>Tier 1</v></cell><cell r="N3062" t="str"><v>EMEA</v></cell><cell r="O3062" t="str"><v>Germany</v></cell><cell r="P3062" t="str"><v>Trial</v></cell><cell r="Q3062" t="str"><v>Social</v></cell><cell r="R3062" t="str"><v>Azure</v></cell><cell r="S3062" t="str"><v>Apps & Infra</v></cell><cell r="T3062" t="str"><v>Developers & ITI's</v></cell><cell r="U3062" t="str"><v>DEV-ITP-AZR-FB|CanvasAds|Interesttargeting</v></cell><cell r="V3062" t="str"><v>Audience Targeting</v></cell><cell r="W3062" t="str"><v>Canvas Ad</v></cell><cell r="X3062" t="str"><v>1x1</v></cell></row><row r="3062"><cell r="AA3062"><v>43303</v></cell><cell r="AB3062" t="str"><v>DEU_gaPMG_AZR_AZR_Q1_19_Trial-Social- 39684</v></cell><cell r="AC3062"><v>21359477</v></cell><cell r="AD3062"><v>720194</v></cell><cell r="AE3062" t="str"><v>Facebook</v></cell><cell r="AF3062"><v>3654128</v></cell><cell r="AG3062" t="str"><v>Facebook»DEV-ITP-AZR-FB|CanvasAds|Interesttargeting»1x1»TextLink»CAN»DT»CPM»AUT»W»NA»SS»NA»39684020-11000</v></cell><cell r="AH3062"><v>224009494</v></cell><cell r="AI3062" t="str"><v>AzurePlatform_FBCTCBenefit2inMotion-BuyNow_DEU_14s_ISV_PLAT_DE_Trial_Standard_STAN_TN_T4_1</v></cell><cell r="AJ3062"><v>103236189</v></cell></row><row r="3063"><cell r="C3063" t="str"><v>43303Facebook»DEV-ITP-AZR-FB|CanvasAds|Interesttargeting»1x1»TextLink»CAN»DT»CPM»AUT»W»NA»SS»NA»39684020-11000</v></cell><cell r="D3063" t="str"><v>43303224009494</v></cell><cell r="E3063" t="str"><v>43303103237290-11000</v></cell><cell r="F3063" t="str"><v>DCM</v></cell><cell r="G3063" t="str"><v>https://signup.azure.com/signup?offer=ms-azr-0044p&appId=102&ref=paidmedia-social-fb&redirectURL=https%3a%2f%2fazure.microsoft.com%2fde-de%2fget-started%2fwelcome-to-azure%2f&l=de-de&correlationId=ead86c34-1f10-49dd-a72b-6918462a2cbf</v></cell></row><row r="3063"><cell r="K3063" t="str"><v>July</v></cell><cell r="L3063"><v>43309</v></cell><cell r="M3063" t="str"><v>Tier 1</v></cell><cell r="N3063" t="str"><v>EMEA</v></cell><cell r="O3063" t="str"><v>Germany</v></cell><cell r="P3063" t="str"><v>Trial</v></cell><cell r="Q3063" t="str"><v>Social</v></cell><cell r="R3063" t="str"><v>Azure</v></cell><cell r="S3063" t="str"><v>Apps & Infra</v></cell><cell r="T3063" t="str"><v>Developers & ITI's</v></cell><cell r="U3063" t="str"><v>DEV-ITP-AZR-FB|CanvasAds|Interesttargeting</v></cell><cell r="V3063" t="str"><v>Audience Targeting</v></cell><cell r="W3063" t="str"><v>Canvas Ad</v></cell><cell r="X3063" t="str"><v>1x1</v></cell></row><row r="3063"><cell r="AA3063"><v>43303</v></cell><cell r="AB3063" t="str"><v>DEU_gaPMG_AZR_AZR_Q1_19_Trial-Social- 39684</v></cell><cell r="AC3063"><v>21359477</v></cell><cell r="AD3063"><v>720194</v></cell><cell r="AE3063" t="str"><v>Facebook</v></cell><cell r="AF3063"><v>3654128</v></cell><cell r="AG3063" t="str"><v>Facebook»DEV-ITP-AZR-FB|CanvasAds|Interesttargeting»1x1»TextLink»CAN»DT»CPM»AUT»W»NA»SS»NA»39684020-11000</v></cell><cell r="AH3063"><v>224009494</v></cell><cell r="AI3063" t="str"><v>AzurePlatform_FBCTCBenefit2inMotion-StartFreeCT_DEU_14s_ISV_PLAT_DE_Trial_Standard_STAN_TN_T4_1</v></cell><cell r="AJ3063"><v>103237290</v></cell></row><row r="3064"><cell r="C3064" t="str"><v>43303Facebook»DEV-ITP-AZR-FB|CanvasAds|Interesttargeting»1x1»TextLink»CAN»DT»CPM»AUT»W»NA»SS»NA»39684020-11000</v></cell><cell r="D3064" t="str"><v>43303224009494</v></cell><cell r="E3064" t="str"><v>43303103350059-11000</v></cell><cell r="F3064" t="str"><v>DCM</v></cell><cell r="G3064" t="str"><v>https://azure.microsoft.com/de-de/pricing/purchase-options/</v></cell></row><row r="3064"><cell r="K3064" t="str"><v>July</v></cell><cell r="L3064"><v>43309</v></cell><cell r="M3064" t="str"><v>Tier 1</v></cell><cell r="N3064" t="str"><v>EMEA</v></cell><cell r="O3064" t="str"><v>Germany</v></cell><cell r="P3064" t="str"><v>Trial</v></cell><cell r="Q3064" t="str"><v>Social</v></cell><cell r="R3064" t="str"><v>Azure</v></cell><cell r="S3064" t="str"><v>Apps & Infra</v></cell><cell r="T3064" t="str"><v>Developers & ITI's</v></cell><cell r="U3064" t="str"><v>DEV-ITP-AZR-FB|CanvasAds|Interesttargeting</v></cell><cell r="V3064" t="str"><v>Audience Targeting</v></cell><cell r="W3064" t="str"><v>Canvas Ad</v></cell><cell r="X3064" t="str"><v>1x1</v></cell></row><row r="3064"><cell r="AA3064"><v>43303</v></cell><cell r="AB3064" t="str"><v>DEU_gaPMG_AZR_AZR_Q1_19_Trial-Social- 39684</v></cell><cell r="AC3064"><v>21359477</v></cell><cell r="AD3064"><v>720194</v></cell><cell r="AE3064" t="str"><v>Facebook</v></cell><cell r="AF3064"><v>3654128</v></cell><cell r="AG3064" t="str"><v>Facebook»DEV-ITP-AZR-FB|CanvasAds|Interesttargeting»1x1»TextLink»CAN»DT»CPM»AUT»W»NA»SS»NA»39684020-11000</v></cell><cell r="AH3064"><v>224009494</v></cell><cell r="AI3064" t="str"><v>AzurePlatform_FBCTCBrandinMotion-BuyNow_DEU_12s_ISV_PLAT_DE_Trial_Standard_STAN_TN_T2_1</v></cell><cell r="AJ3064"><v>103350059</v></cell></row><row r="3065"><cell r="C3065" t="str"><v>43303Facebook»DEV-ITP-AZR-FB|CanvasAds|Interesttargeting»1x1»TextLink»CAN»DT»CPM»AUT»W»NA»SS»NA»39684020-11000</v></cell><cell r="D3065" t="str"><v>43303224009494</v></cell><cell r="E3065" t="str"><v>43303103237293-11000</v></cell><cell r="F3065" t="str"><v>DCM</v></cell><cell r="G3065" t="str"><v>https://signup.azure.com/signup?offer=ms-azr-0044p&appId=102&ref=paidmedia-social-fb&redirectURL=https%3a%2f%2fazure.microsoft.com%2fde-de%2fget-started%2fwelcome-to-azure%2f&l=de-de&correlationId=ead86c34-1f10-49dd-a72b-6918462a2cbf</v></cell></row><row r="3065"><cell r="K3065" t="str"><v>July</v></cell><cell r="L3065"><v>43309</v></cell><cell r="M3065" t="str"><v>Tier 1</v></cell><cell r="N3065" t="str"><v>EMEA</v></cell><cell r="O3065" t="str"><v>Germany</v></cell><cell r="P3065" t="str"><v>Trial</v></cell><cell r="Q3065" t="str"><v>Social</v></cell><cell r="R3065" t="str"><v>Azure</v></cell><cell r="S3065" t="str"><v>Apps & Infra</v></cell><cell r="T3065" t="str"><v>Developers & ITI's</v></cell><cell r="U3065" t="str"><v>DEV-ITP-AZR-FB|CanvasAds|Interesttargeting</v></cell><cell r="V3065" t="str"><v>Audience Targeting</v></cell><cell r="W3065" t="str"><v>Canvas Ad</v></cell><cell r="X3065" t="str"><v>1x1</v></cell></row><row r="3065"><cell r="AA3065"><v>43303</v></cell><cell r="AB3065" t="str"><v>DEU_gaPMG_AZR_AZR_Q1_19_Trial-Social- 39684</v></cell><cell r="AC3065"><v>21359477</v></cell><cell r="AD3065"><v>720194</v></cell><cell r="AE3065" t="str"><v>Facebook</v></cell><cell r="AF3065"><v>3654128</v></cell><cell r="AG3065" t="str"><v>Facebook»DEV-ITP-AZR-FB|CanvasAds|Interesttargeting»1x1»TextLink»CAN»DT»CPM»AUT»W»NA»SS»NA»39684020-11000</v></cell><cell r="AH3065"><v>224009494</v></cell><cell r="AI3065" t="str"><v>AzurePlatform_FBCTCBrandinMotion-StartFreeCT_DEU_12s_ISV_PLAT_DE_Trial_Standard_STAN_TN_T2_1</v></cell><cell r="AJ3065"><v>103237293</v></cell></row><row r="3066"><cell r="C3066" t="str"><v>43303Facebook»DEV-ITP-AZR-FB|LinkAd|CustomerAudienceRetargeting»1x1»TextLink»LIA»DT»CPM»RT»W»NA»SS»NA»39684019-11000</v></cell><cell r="D3066" t="str"><v>43303224010415</v></cell><cell r="E3066" t="str"><v>43303103043329-11000</v></cell><cell r="F3066" t="str"><v>DCM</v></cell><cell r="G3066" t="str"><v>https://azure.microsoft.com/de-de/free/open-source/search/</v></cell></row><row r="3066"><cell r="K3066" t="str"><v>July</v></cell><cell r="L3066"><v>43309</v></cell><cell r="M3066" t="str"><v>Tier 1</v></cell><cell r="N3066" t="str"><v>EMEA</v></cell><cell r="O3066" t="str"><v>Germany</v></cell><cell r="P3066" t="str"><v>Trial</v></cell><cell r="Q3066" t="str"><v>Social</v></cell><cell r="R3066" t="str"><v>Azure</v></cell><cell r="S3066" t="str"><v>Apps & Infra</v></cell><cell r="T3066" t="str"><v>Developers & ITI's</v></cell><cell r="U3066" t="str"><v>DEV-ITP-AZR-FB|LinkAd|CustomerAudienceRetargeting</v></cell><cell r="V3066" t="str"><v>Retargeting</v></cell><cell r="W3066" t="str"><v>Link Ad</v></cell><cell r="X3066" t="str"><v>1x1</v></cell></row><row r="3066"><cell r="AA3066"><v>43303</v></cell><cell r="AB3066" t="str"><v>DEU_gaPMG_AZR_AZR_Q1_19_Trial-Social- 39684</v></cell><cell r="AC3066"><v>21359477</v></cell><cell r="AD3066"><v>720194</v></cell><cell r="AE3066" t="str"><v>Facebook</v></cell><cell r="AF3066"><v>3654128</v></cell><cell r="AG3066" t="str"><v>Facebook»DEV-ITP-AZR-FB|LinkAd|CustomerAudienceRetargeting»1x1»TextLink»LIA»DT»CPM»RT»W»NA»SS»NA»39684019-11000</v></cell><cell r="AH3066"><v>224010415</v></cell><cell r="AI3066" t="str"><v>AzurePlatform_FreeAcctRetargetingOSSFB-Logos-ChG_DEU_1200x628_SOC_Plat_DE_Free Account_Standard_NA_SNU_T2_1</v></cell><cell r="AJ3066"><v>103043329</v></cell></row><row r="3067"><cell r="C3067" t="str"><v>43303Facebook»DEV-ITP-AZR-FB|LinkAd|CustomerAudienceRetargeting»1x1»TextLink»LIA»DT»CPM»RT»W»NA»SS»NA»39684019-11000</v></cell><cell r="D3067" t="str"><v>43303224010415</v></cell><cell r="E3067" t="str"><v>43303103043341-11000</v></cell><cell r="F3067" t="str"><v>DCM</v></cell><cell r="G3067" t="str"><v>https://azure.microsoft.com/de-de/free/virtual-machines/search/</v></cell></row><row r="3067"><cell r="K3067" t="str"><v>July</v></cell><cell r="L3067"><v>43309</v></cell><cell r="M3067" t="str"><v>Tier 1</v></cell><cell r="N3067" t="str"><v>EMEA</v></cell><cell r="O3067" t="str"><v>Germany</v></cell><cell r="P3067" t="str"><v>Trial</v></cell><cell r="Q3067" t="str"><v>Social</v></cell><cell r="R3067" t="str"><v>Azure</v></cell><cell r="S3067" t="str"><v>Apps & Infra</v></cell><cell r="T3067" t="str"><v>Developers & ITI's</v></cell><cell r="U3067" t="str"><v>DEV-ITP-AZR-FB|LinkAd|CustomerAudienceRetargeting</v></cell><cell r="V3067" t="str"><v>Retargeting</v></cell><cell r="W3067" t="str"><v>Link Ad</v></cell><cell r="X3067" t="str"><v>1x1</v></cell></row><row r="3067"><cell r="AA3067"><v>43303</v></cell><cell r="AB3067" t="str"><v>DEU_gaPMG_AZR_AZR_Q1_19_Trial-Social- 39684</v></cell><cell r="AC3067"><v>21359477</v></cell><cell r="AD3067"><v>720194</v></cell><cell r="AE3067" t="str"><v>Facebook</v></cell><cell r="AF3067"><v>3654128</v></cell><cell r="AG3067" t="str"><v>Facebook»DEV-ITP-AZR-FB|LinkAd|CustomerAudienceRetargeting»1x1»TextLink»LIA»DT»CPM»RT»W»NA»SS»NA»39684019-11000</v></cell><cell r="AH3067"><v>224010415</v></cell><cell r="AI3067" t="str"><v>AzurePlatform_FreeAcctRetargetingVMFB-750Hrs-ChD_DEU_1200x628_SOC_Plat_DE_Free Account_Standard_NA_SNU_T1_1</v></cell><cell r="AJ3067"><v>103043341</v></cell></row><row r="3068"><cell r="C3068" t="str"><v>43303Facebook»DEV-ITP-AZR-FB|LinkAd|CustomerAudienceRetargeting»1x1»TextLink»LIA»DT»CPM»RT»W»NA»SS»NA»39684019-11000</v></cell><cell r="D3068" t="str"><v>43303224010415</v></cell><cell r="E3068" t="str"><v>43303103043338-11000</v></cell><cell r="F3068" t="str"><v>DCM</v></cell><cell r="G3068" t="str"><v>https://azure.microsoft.com/de-de/free/virtual-machines/search/</v></cell></row><row r="3068"><cell r="K3068" t="str"><v>July</v></cell><cell r="L3068"><v>43309</v></cell><cell r="M3068" t="str"><v>Tier 1</v></cell><cell r="N3068" t="str"><v>EMEA</v></cell><cell r="O3068" t="str"><v>Germany</v></cell><cell r="P3068" t="str"><v>Trial</v></cell><cell r="Q3068" t="str"><v>Social</v></cell><cell r="R3068" t="str"><v>Azure</v></cell><cell r="S3068" t="str"><v>Apps & Infra</v></cell><cell r="T3068" t="str"><v>Developers & ITI's</v></cell><cell r="U3068" t="str"><v>DEV-ITP-AZR-FB|LinkAd|CustomerAudienceRetargeting</v></cell><cell r="V3068" t="str"><v>Retargeting</v></cell><cell r="W3068" t="str"><v>Link Ad</v></cell><cell r="X3068" t="str"><v>1x1</v></cell></row><row r="3068"><cell r="AA3068"><v>43303</v></cell><cell r="AB3068" t="str"><v>DEU_gaPMG_AZR_AZR_Q1_19_Trial-Social- 39684</v></cell><cell r="AC3068"><v>21359477</v></cell><cell r="AD3068"><v>720194</v></cell><cell r="AE3068" t="str"><v>Facebook</v></cell><cell r="AF3068"><v>3654128</v></cell><cell r="AG3068" t="str"><v>Facebook»DEV-ITP-AZR-FB|LinkAd|CustomerAudienceRetargeting»1x1»TextLink»LIA»DT»CPM»RT»W»NA»SS»NA»39684019-11000</v></cell><cell r="AH3068"><v>224010415</v></cell><cell r="AI3068" t="str"><v>AzurePlatform_FreeAcctRetargetingVMFB-OnDemand-ChE_DEU_1200x628_SOC_Plat_DE_Free Account_Standard_NA_SNU_T2_1</v></cell><cell r="AJ3068"><v>103043338</v></cell></row><row r="3069"><cell r="C3069" t="str"><v>43303Facebook»Developers/ITPros-Azure Direct-Sponsored Post-Canvas-FBCTCcanvaspage-BuyNowCTA-Img3_FBCTCBasicMotion_FRA_10sec»1x1»Canvas»SOC»ALL»CPC»BT»D»UNK»SS»NA»Trials</v></cell><cell r="D3069" t="str"><v>43303224369893</v></cell><cell r="E3069" t="str"><v>43303103256571Trials</v></cell><cell r="F3069" t="str"><v>DCM</v></cell><cell r="G3069" t="str"><v>https://azure.microsoft.com/fr-fr/pricing/purchase-options/</v></cell></row><row r="3069"><cell r="K3069" t="str"><v>July</v></cell><cell r="L3069"><v>43309</v></cell><cell r="M3069" t="str"><v>Tier 1</v></cell><cell r="N3069" t="str"><v>EMEA</v></cell><cell r="O3069" t="str"><v>France</v></cell><cell r="P3069" t="str"><v>Trial</v></cell><cell r="Q3069" t="str"><v>Social</v></cell><cell r="R3069" t="str"><v>Azure</v></cell><cell r="S3069" t="str"><v>Apps & Infra</v></cell><cell r="T3069" t="str"><v>Developers & ITI's</v></cell><cell r="U3069" t="str"><v>Developers/ITPros-Azure Direct-Sponsored Post-Canvas-FBCTCcanvaspage-BuyNowCTA-Img3_FBCTCBasicMotion_FRA_10sec</v></cell><cell r="V3069" t="str"><v>Behavioral Targeting</v></cell><cell r="W3069" t="str"><v>Social</v></cell><cell r="X3069" t="str"><v>1x1</v></cell></row><row r="3069"><cell r="AA3069"><v>43303</v></cell><cell r="AB3069" t="str"><v>FRA_gaPMG_AZR_AZR_Q1_19_AzureDirect-Trial-Social</v></cell><cell r="AC3069"><v>21356941</v></cell><cell r="AD3069"><v>720193</v></cell><cell r="AE3069" t="str"><v>Facebook</v></cell><cell r="AF3069"><v>3654128</v></cell><cell r="AG3069" t="str"><v>Facebook»Developers/ITPros-Azure Direct-Sponsored Post-Canvas-FBCTCcanvaspage-BuyNowCTA-Img3_FBCTCBasicMotion_FRA_10sec»1x1»Canvas»SOC»ALL»CPC»BT»D»UNK»SS»NA»Trials</v></cell><cell r="AH3069"><v>224369893</v></cell><cell r="AI3069" t="str"><v>AZR_FBCTCcanvaspage-BuyNowCTA-Img3_FRA_1080x162_SOC_AZRDirect_French_NA_Facebook_SBAN_BN_T3_1</v></cell><cell r="AJ3069"><v>103256571</v></cell></row><row r="3070"><cell r="C3070" t="str"><v>43303Facebook»Developers/ITPros-Azure Direct-Sponsored Post-Canvas-FBCTCcanvaspage-BuyNowCTA-Img3_FBCTCBrandinMotion_FRA_14sec»1x1»Canvas»SOC»ALL»CPC»BT»D»UNK»SS»NA»Trials</v></cell><cell r="D3070" t="str"><v>43303224416918</v></cell><cell r="E3070" t="str"><v>43303103256571Trials</v></cell><cell r="F3070" t="str"><v>DCM</v></cell><cell r="G3070" t="str"><v>https://azure.microsoft.com/fr-fr/pricing/purchase-options/</v></cell></row><row r="3070"><cell r="K3070" t="str"><v>July</v></cell><cell r="L3070"><v>43309</v></cell><cell r="M3070" t="str"><v>Tier 1</v></cell><cell r="N3070" t="str"><v>EMEA</v></cell><cell r="O3070" t="str"><v>France</v></cell><cell r="P3070" t="str"><v>Trial</v></cell><cell r="Q3070" t="str"><v>Social</v></cell><cell r="R3070" t="str"><v>Azure</v></cell><cell r="S3070" t="str"><v>Apps & Infra</v></cell><cell r="T3070" t="str"><v>Developers & ITI's</v></cell><cell r="U3070" t="str"><v>Developers/ITPros-Azure Direct-Sponsored Post-Canvas-FBCTCcanvaspage-BuyNowCTA-Img3_FBCTCBrandinMotion_FRA_14sec</v></cell><cell r="V3070" t="str"><v>Behavioral Targeting</v></cell><cell r="W3070" t="str"><v>Social</v></cell><cell r="X3070" t="str"><v>1x1</v></cell></row><row r="3070"><cell r="AA3070"><v>43303</v></cell><cell r="AB3070" t="str"><v>FRA_gaPMG_AZR_AZR_Q1_19_AzureDirect-Trial-Social</v></cell><cell r="AC3070"><v>21356941</v></cell><cell r="AD3070"><v>720193</v></cell><cell r="AE3070" t="str"><v>Facebook</v></cell><cell r="AF3070"><v>3654128</v></cell><cell r="AG3070" t="str"><v>Facebook»Developers/ITPros-Azure Direct-Sponsored Post-Canvas-FBCTCcanvaspage-BuyNowCTA-Img3_FBCTCBrandinMotion_FRA_14sec»1x1»Canvas»SOC»ALL»CPC»BT»D»UNK»SS»NA»Trials</v></cell><cell r="AH3070"><v>224416918</v></cell><cell r="AI3070" t="str"><v>AZR_FBCTCcanvaspage-BuyNowCTA-Img3_FRA_1080x162_SOC_AZRDirect_French_NA_Facebook_SBAN_BN_T3_1</v></cell><cell r="AJ3070"><v>103256571</v></cell></row><row r="3071"><cell r="C3071" t="str"><v>43303Facebook»Developers/ITPros-Azure Direct-Sponsored Post-Canvas-FBCTCcanvaspage-StartFreeCTA-Img2_FBCTCBasicMotion_FRA_10sec»1x1»Canvas»SOC»ALL»CPC»BT»D»UNK»SS»NA»Trials</v></cell><cell r="D3071" t="str"><v>43303224560884</v></cell><cell r="E3071" t="str"><v>43303103259958Trials</v></cell><cell r="F3071" t="str"><v>DCM</v></cell><cell r="G3071" t="str"><v>https://signup.azure.com/signup?offer=ms-azr-0044p&appId=102&ref=paidmedia-social-fb&redirectURL=https%3a%2f%2fazure.microsoft.com%2ffr-fr%2fget-started%2fwelcome-to-azure%2f&l=fr-fr&correlationId=ead86c34-1f10-49dd-a72b-6918462a2cbf</v></cell></row><row r="3071"><cell r="K3071" t="str"><v>July</v></cell><cell r="L3071"><v>43309</v></cell><cell r="M3071" t="str"><v>Tier 1</v></cell><cell r="N3071" t="str"><v>EMEA</v></cell><cell r="O3071" t="str"><v>France</v></cell><cell r="P3071" t="str"><v>Trial</v></cell><cell r="Q3071" t="str"><v>Social</v></cell><cell r="R3071" t="str"><v>Azure</v></cell><cell r="S3071" t="str"><v>Apps & Infra</v></cell><cell r="T3071" t="str"><v>Developers & ITI's</v></cell><cell r="U3071" t="str"><v>Developers/ITPros-Azure Direct-Sponsored Post-Canvas-FBCTCcanvaspage-StartFreeCTA-Img2_FBCTCBasicMotion_FRA_10sec</v></cell><cell r="V3071" t="str"><v>Behavioral Targeting</v></cell><cell r="W3071" t="str"><v>Social</v></cell><cell r="X3071" t="str"><v>1x1</v></cell></row><row r="3071"><cell r="AA3071"><v>43303</v></cell><cell r="AB3071" t="str"><v>FRA_gaPMG_AZR_AZR_Q1_19_AzureDirect-Trial-Social</v></cell><cell r="AC3071"><v>21356941</v></cell><cell r="AD3071"><v>720193</v></cell><cell r="AE3071" t="str"><v>Facebook</v></cell><cell r="AF3071"><v>3654128</v></cell><cell r="AG3071" t="str"><v>Facebook»Developers/ITPros-Azure Direct-Sponsored Post-Canvas-FBCTCcanvaspage-StartFreeCTA-Img2_FBCTCBasicMotion_FRA_10sec»1x1»Canvas»SOC»ALL»CPC»BT»D»UNK»SS»NA»Trials</v></cell><cell r="AH3071"><v>224560884</v></cell><cell r="AI3071" t="str"><v>AZR_FBCTCcanvaspage-StartFreeCTA-Img2_FRA_1080x143_SOC_AZRDirect_French_NA_Facebook_SBAN_BN_T2_1</v></cell><cell r="AJ3071"><v>103259958</v></cell></row><row r="3072"><cell r="C3072" t="str"><v>43303Facebook»Developers/ITPros-Azure Direct-Sponsored Post-Canvas-FBCTCcanvaspage-StartFreeCTA-Img2_FBCTCBrandinMotion_FRA_12sec»1x1»Canvas»SOC»ALL»CPC»BT»D»UNK»SS»NA»Trials</v></cell><cell r="D3072" t="str"><v>43303224560878</v></cell><cell r="E3072" t="str"><v>43303103259958Trials</v></cell><cell r="F3072" t="str"><v>DCM</v></cell><cell r="G3072" t="str"><v>https://signup.azure.com/signup?offer=ms-azr-0044p&appId=102&ref=paidmedia-social-fb&redirectURL=https%3a%2f%2fazure.microsoft.com%2ffr-fr%2fget-started%2fwelcome-to-azure%2f&l=fr-fr&correlationId=ead86c34-1f10-49dd-a72b-6918462a2cbf</v></cell></row><row r="3072"><cell r="K3072" t="str"><v>July</v></cell><cell r="L3072"><v>43309</v></cell><cell r="M3072" t="str"><v>Tier 1</v></cell><cell r="N3072" t="str"><v>EMEA</v></cell><cell r="O3072" t="str"><v>France</v></cell><cell r="P3072" t="str"><v>Trial</v></cell><cell r="Q3072" t="str"><v>Social</v></cell><cell r="R3072" t="str"><v>Azure</v></cell><cell r="S3072" t="str"><v>Apps & Infra</v></cell><cell r="T3072" t="str"><v>Developers & ITI's</v></cell><cell r="U3072" t="str"><v>Developers/ITPros-Azure Direct-Sponsored Post-Canvas-FBCTCcanvaspage-StartFreeCTA-Img2_FBCTCBrandinMotion_FRA_12sec</v></cell><cell r="V3072" t="str"><v>Behavioral Targeting</v></cell><cell r="W3072" t="str"><v>Social</v></cell><cell r="X3072" t="str"><v>1x1</v></cell></row><row r="3072"><cell r="AA3072"><v>43303</v></cell><cell r="AB3072" t="str"><v>FRA_gaPMG_AZR_AZR_Q1_19_AzureDirect-Trial-Social</v></cell><cell r="AC3072"><v>21356941</v></cell><cell r="AD3072"><v>720193</v></cell><cell r="AE3072" t="str"><v>Facebook</v></cell><cell r="AF3072"><v>3654128</v></cell><cell r="AG3072" t="str"><v>Facebook»Developers/ITPros-Azure Direct-Sponsored Post-Canvas-FBCTCcanvaspage-StartFreeCTA-Img2_FBCTCBrandinMotion_FRA_12sec»1x1»Canvas»SOC»ALL»CPC»BT»D»UNK»SS»NA»Trials</v></cell><cell r="AH3072"><v>224560878</v></cell><cell r="AI3072" t="str"><v>AZR_FBCTCcanvaspage-StartFreeCTA-Img2_FRA_1080x143_SOC_AZRDirect_French_NA_Facebook_SBAN_BN_T2_1</v></cell><cell r="AJ3072"><v>103259958</v></cell></row><row r="3073"><cell r="C3073" t="str"><v>43303Facebook»Developers/ITPros-Azure Direct-Sponsored Post-Canvas-FBCTCcanvaspage-StartFreeCTA-Img2_FBCTCBrandinMotion_FRA_14sec»1x1»Canvas»SOC»ALL»CPC»BT»D»UNK»SS»NA»Trials</v></cell><cell r="D3073" t="str"><v>43303224560872</v></cell><cell r="E3073" t="str"><v>43303103259958Trials</v></cell><cell r="F3073" t="str"><v>DCM</v></cell><cell r="G3073" t="str"><v>https://signup.azure.com/signup?offer=ms-azr-0044p&appId=102&ref=paidmedia-social-fb&redirectURL=https%3a%2f%2fazure.microsoft.com%2ffr-fr%2fget-started%2fwelcome-to-azure%2f&l=fr-fr&correlationId=ead86c34-1f10-49dd-a72b-6918462a2cbf</v></cell></row><row r="3073"><cell r="K3073" t="str"><v>July</v></cell><cell r="L3073"><v>43309</v></cell><cell r="M3073" t="str"><v>Tier 1</v></cell><cell r="N3073" t="str"><v>EMEA</v></cell><cell r="O3073" t="str"><v>France</v></cell><cell r="P3073" t="str"><v>Trial</v></cell><cell r="Q3073" t="str"><v>Social</v></cell><cell r="R3073" t="str"><v>Azure</v></cell><cell r="S3073" t="str"><v>Apps & Infra</v></cell><cell r="T3073" t="str"><v>Developers & ITI's</v></cell><cell r="U3073" t="str"><v>Developers/ITPros-Azure Direct-Sponsored Post-Canvas-FBCTCcanvaspage-StartFreeCTA-Img2_FBCTCBrandinMotion_FRA_14sec</v></cell><cell r="V3073" t="str"><v>Behavioral Targeting</v></cell><cell r="W3073" t="str"><v>Social</v></cell><cell r="X3073" t="str"><v>1x1</v></cell></row><row r="3073"><cell r="AA3073"><v>43303</v></cell><cell r="AB3073" t="str"><v>FRA_gaPMG_AZR_AZR_Q1_19_AzureDirect-Trial-Social</v></cell><cell r="AC3073"><v>21356941</v></cell><cell r="AD3073"><v>720193</v></cell><cell r="AE3073" t="str"><v>Facebook</v></cell><cell r="AF3073"><v>3654128</v></cell><cell r="AG3073" t="str"><v>Facebook»Developers/ITPros-Azure Direct-Sponsored Post-Canvas-FBCTCcanvaspage-StartFreeCTA-Img2_FBCTCBrandinMotion_FRA_14sec»1x1»Canvas»SOC»ALL»CPC»BT»D»UNK»SS»NA»Trials</v></cell><cell r="AH3073"><v>224560872</v></cell><cell r="AI3073" t="str"><v>AZR_FBCTCcanvaspage-StartFreeCTA-Img2_FRA_1080x143_SOC_AZRDirect_French_NA_Facebook_SBAN_BN_T2_1</v></cell><cell r="AJ3073"><v>103259958</v></cell></row><row r="3074"><cell r="C3074" t="str"><v>43303Facebook»Developers/ITPros-Azure Direct-Sponsored Post-Link Ad-FreeAcctRetargetingFB-GlobalAlt-ChB»1x1»SocialBan»SOC»ALL»CPC»BT»D»UNK»SS»NA»Trials</v></cell><cell r="D3074" t="str"><v>43303224560845</v></cell><cell r="E3074" t="str"><v>43303103259520Trials</v></cell><cell r="F3074" t="str"><v>DCM</v></cell><cell r="G3074" t="str"><v>https://azure.microsoft.com/fr-fr/free/search/</v></cell></row><row r="3074"><cell r="K3074" t="str"><v>July</v></cell><cell r="L3074"><v>43309</v></cell><cell r="M3074" t="str"><v>Tier 1</v></cell><cell r="N3074" t="str"><v>EMEA</v></cell><cell r="O3074" t="str"><v>France</v></cell><cell r="P3074" t="str"><v>Trial</v></cell><cell r="Q3074" t="str"><v>Social</v></cell><cell r="R3074" t="str"><v>Azure</v></cell><cell r="S3074" t="str"><v>Apps & Infra</v></cell><cell r="T3074" t="str"><v>Developers & ITI's</v></cell><cell r="U3074" t="str"><v>Developers/ITPros-Azure Direct-Sponsored Post-Link Ad-FreeAcctRetargetingFB-GlobalAlt-ChB</v></cell><cell r="V3074" t="str"><v>Behavioral Targeting</v></cell><cell r="W3074" t="str"><v>Social</v></cell><cell r="X3074" t="str"><v>1x1</v></cell></row><row r="3074"><cell r="AA3074"><v>43303</v></cell><cell r="AB3074" t="str"><v>FRA_gaPMG_AZR_AZR_Q1_19_AzureDirect-Trial-Social</v></cell><cell r="AC3074"><v>21356941</v></cell><cell r="AD3074"><v>720193</v></cell><cell r="AE3074" t="str"><v>Facebook</v></cell><cell r="AF3074"><v>3654128</v></cell><cell r="AG3074" t="str"><v>Facebook»Developers/ITPros-Azure Direct-Sponsored Post-Link Ad-FreeAcctRetargetingFB-GlobalAlt-ChB»1x1»SocialBan»SOC»ALL»CPC»BT»D»UNK»SS»NA»Trials</v></cell><cell r="AH3074"><v>224560845</v></cell><cell r="AI3074" t="str"><v>AZR_FreeAcctRetargetingFB-GlobalAlt-ChB_FRA_1200x628_SOC_AZRDirect_French_NA_Facebook_SBAN_SINU_T2_1</v></cell><cell r="AJ3074"><v>103259520</v></cell></row><row r="3075"><cell r="C3075" t="str"><v>43303Facebook»Developers/ITPros-Azure Direct-Sponsored Post-Link Ad-FreeAcctRetargetingOSSFB-Text-ChF»1x1»SocialBan»SOC»ALL»CPC»BT»D»UNK»SS»NA»Trials</v></cell><cell r="D3075" t="str"><v>43303224560839</v></cell><cell r="E3075" t="str"><v>43303103257810Trials</v></cell><cell r="F3075" t="str"><v>DCM</v></cell><cell r="G3075" t="str"><v>https://azure.microsoft.com/fr-fr/free/open-source/search/</v></cell></row><row r="3075"><cell r="K3075" t="str"><v>July</v></cell><cell r="L3075"><v>43309</v></cell><cell r="M3075" t="str"><v>Tier 1</v></cell><cell r="N3075" t="str"><v>EMEA</v></cell><cell r="O3075" t="str"><v>France</v></cell><cell r="P3075" t="str"><v>Trial</v></cell><cell r="Q3075" t="str"><v>Social</v></cell><cell r="R3075" t="str"><v>Azure</v></cell><cell r="S3075" t="str"><v>Apps & Infra</v></cell><cell r="T3075" t="str"><v>Developers & ITI's</v></cell><cell r="U3075" t="str"><v>Developers/ITPros-Azure Direct-Sponsored Post-Link Ad-FreeAcctRetargetingOSSFB-Text-ChF</v></cell><cell r="V3075" t="str"><v>Behavioral Targeting</v></cell><cell r="W3075" t="str"><v>Social</v></cell><cell r="X3075" t="str"><v>1x1</v></cell></row><row r="3075"><cell r="AA3075"><v>43303</v></cell><cell r="AB3075" t="str"><v>FRA_gaPMG_AZR_AZR_Q1_19_AzureDirect-Trial-Social</v></cell><cell r="AC3075"><v>21356941</v></cell><cell r="AD3075"><v>720193</v></cell><cell r="AE3075" t="str"><v>Facebook</v></cell><cell r="AF3075"><v>3654128</v></cell><cell r="AG3075" t="str"><v>Facebook»Developers/ITPros-Azure Direct-Sponsored Post-Link Ad-FreeAcctRetargetingOSSFB-Text-ChF»1x1»SocialBan»SOC»ALL»CPC»BT»D»UNK»SS»NA»Trials</v></cell><cell r="AH3075"><v>224560839</v></cell><cell r="AI3075" t="str"><v>AZR_FreeAcctRetargetingOSSFB-Text-ChF_FRA_1200x628_SOC_AZRDirect_French_NA_Facebook_SBAN_SINU_T1_1</v></cell><cell r="AJ3075"><v>103257810</v></cell></row><row r="3076"><cell r="C3076" t="str"><v>43303Facebook»Developers/ITPros-Azure Direct-Sponsored Post-Link Ad-FreeAcctRetargetingVMFB-750Hrs-ChD»1x1»SocialBan»SOC»ALL»CPC»BT»D»UNK»SS»NA»Trials</v></cell><cell r="D3076" t="str"><v>43303224560836</v></cell><cell r="E3076" t="str"><v>43303103259010Trials</v></cell><cell r="F3076" t="str"><v>DCM</v></cell><cell r="G3076" t="str"><v>https://azure.microsoft.com/fr-fr/free/virtual-machines/search/</v></cell></row><row r="3076"><cell r="K3076" t="str"><v>July</v></cell><cell r="L3076"><v>43309</v></cell><cell r="M3076" t="str"><v>Tier 1</v></cell><cell r="N3076" t="str"><v>EMEA</v></cell><cell r="O3076" t="str"><v>France</v></cell><cell r="P3076" t="str"><v>Trial</v></cell><cell r="Q3076" t="str"><v>Social</v></cell><cell r="R3076" t="str"><v>Azure</v></cell><cell r="S3076" t="str"><v>Apps & Infra</v></cell><cell r="T3076" t="str"><v>Developers & ITI's</v></cell><cell r="U3076" t="str"><v>Developers/ITPros-Azure Direct-Sponsored Post-Link Ad-FreeAcctRetargetingVMFB-750Hrs-ChD</v></cell><cell r="V3076" t="str"><v>Behavioral Targeting</v></cell><cell r="W3076" t="str"><v>Social</v></cell><cell r="X3076" t="str"><v>1x1</v></cell></row><row r="3076"><cell r="AA3076"><v>43303</v></cell><cell r="AB3076" t="str"><v>FRA_gaPMG_AZR_AZR_Q1_19_AzureDirect-Trial-Social</v></cell><cell r="AC3076"><v>21356941</v></cell><cell r="AD3076"><v>720193</v></cell><cell r="AE3076" t="str"><v>Facebook</v></cell><cell r="AF3076"><v>3654128</v></cell><cell r="AG3076" t="str"><v>Facebook»Developers/ITPros-Azure Direct-Sponsored Post-Link Ad-FreeAcctRetargetingVMFB-750Hrs-ChD»1x1»SocialBan»SOC»ALL»CPC»BT»D»UNK»SS»NA»Trials</v></cell><cell r="AH3076"><v>224560836</v></cell><cell r="AI3076" t="str"><v>AZR_FreeAcctRetargetingVMFB-750Hrs-ChD_FRA_1200x628_SOC_AZRDirect_French_NA_Facebook_SBAN_SINU_T1_1</v></cell><cell r="AJ3076"><v>103259010</v></cell></row><row r="3077"><cell r="C3077" t="str"><v>43303Facebook»Developers/ITPros-Azure Direct-Sponsored Post-Video Ad-FBCTCBasicMotion_FRA_10s_RTG Landing Page»1x1»05s»SOC»ALL»CPC»BT»D»UNK»SS»NA»Trials</v></cell><cell r="D3077" t="str"><v>43303224416915</v></cell><cell r="E3077" t="str"><v>43303103376981Trials</v></cell><cell r="F3077" t="str"><v>DCM</v></cell></row><row r="3077"><cell r="K3077" t="str"><v>July</v></cell><cell r="L3077"><v>43309</v></cell><cell r="M3077" t="str"><v>Tier 1</v></cell><cell r="N3077" t="str"><v>EMEA</v></cell><cell r="O3077" t="str"><v>France</v></cell><cell r="P3077" t="str"><v>Trial</v></cell><cell r="Q3077" t="str"><v>Social</v></cell><cell r="R3077" t="str"><v>Azure</v></cell><cell r="S3077" t="str"><v>Apps & Infra</v></cell><cell r="T3077" t="str"><v>Developers & ITI's</v></cell><cell r="U3077" t="str"><v>Developers/ITPros-Azure Direct-Sponsored Post-Video Ad-FBCTCBasicMotion_FRA_10s_RTG Landing Page</v></cell><cell r="V3077" t="str"><v>Behavioral Targeting</v></cell><cell r="W3077" t="str"><v>Social</v></cell><cell r="X3077" t="str"><v>1x1</v></cell></row><row r="3077"><cell r="AA3077"><v>43303</v></cell><cell r="AB3077" t="str"><v>FRA_gaPMG_AZR_AZR_Q1_19_AzureDirect-Trial-Social</v></cell><cell r="AC3077"><v>21356941</v></cell><cell r="AD3077"><v>720193</v></cell><cell r="AE3077" t="str"><v>Facebook</v></cell><cell r="AF3077"><v>3654128</v></cell><cell r="AG3077" t="str"><v>Facebook»Developers/ITPros-Azure Direct-Sponsored Post-Video Ad-FBCTCBasicMotion_FRA_10s_RTG Landing Page»1x1»05s»SOC»ALL»CPC»BT»D»UNK»SS»NA»Trials</v></cell><cell r="AH3077"><v>224416915</v></cell><cell r="AI3077" t="str"><v>AZR_FBCTCBasicMotion_FRA_10s_VIA_AZRDirect_French_NA_Facebook_STAN_TIN_T1_1</v></cell><cell r="AJ3077"><v>103376981</v></cell></row><row r="3078"><cell r="C3078" t="str"><v>43303Facebook»Developers/ITPros-Azure Direct-Sponsored Post-Video Ad-FBCTCBenefit2inMotion_FRA_14s_RTG Landing Page»1x1»06s»SOC»ALL»CPC»BT»D»UNK»SS»NA»Trials</v></cell><cell r="D3078" t="str"><v>43303224560875</v></cell><cell r="E3078" t="str"><v>43303103259766Trials</v></cell><cell r="F3078" t="str"><v>DCM</v></cell><cell r="G3078" t="str"><v>https://signup.azure.com/signup?offer=ms-azr-0044p&appId=102&ref=paidmedia-social-fb&redirectURL=https:%2F%2Fazure.microsoft.com%2Ffr-fr%2Fget-started%2Fwelcome-to-azure%2F&l=fr-fr&correlationId=ead86c34-1f10-49dd-a72b-6918462a2cbf</v></cell></row><row r="3078"><cell r="K3078" t="str"><v>July</v></cell><cell r="L3078"><v>43309</v></cell><cell r="M3078" t="str"><v>Tier 1</v></cell><cell r="N3078" t="str"><v>EMEA</v></cell><cell r="O3078" t="str"><v>France</v></cell><cell r="P3078" t="str"><v>Trial</v></cell><cell r="Q3078" t="str"><v>Social</v></cell><cell r="R3078" t="str"><v>Azure</v></cell><cell r="S3078" t="str"><v>Apps & Infra</v></cell><cell r="T3078" t="str"><v>Developers & ITI's</v></cell><cell r="U3078" t="str"><v>Developers/ITPros-Azure Direct-Sponsored Post-Video Ad-FBCTCBenefit2inMotion_FRA_14s_RTG Landing Page</v></cell><cell r="V3078" t="str"><v>Behavioral Targeting</v></cell><cell r="W3078" t="str"><v>Social</v></cell><cell r="X3078" t="str"><v>1x1</v></cell></row><row r="3078"><cell r="AA3078"><v>43303</v></cell><cell r="AB3078" t="str"><v>FRA_gaPMG_AZR_AZR_Q1_19_AzureDirect-Trial-Social</v></cell><cell r="AC3078"><v>21356941</v></cell><cell r="AD3078"><v>720193</v></cell><cell r="AE3078" t="str"><v>Facebook</v></cell><cell r="AF3078"><v>3654128</v></cell><cell r="AG3078" t="str"><v>Facebook»Developers/ITPros-Azure Direct-Sponsored Post-Video Ad-FBCTCBenefit2inMotion_FRA_14s_RTG Landing Page»1x1»06s»SOC»ALL»CPC»BT»D»UNK»SS»NA»Trials</v></cell><cell r="AH3078"><v>224560875</v></cell><cell r="AI3078" t="str"><v>AZR_FBCTCBenefit2inMotion_FRA_14s_VIA_AZRDirect_French_NA_Facebook_STAN_TIN_T4_1</v></cell><cell r="AJ3078"><v>103259766</v></cell></row><row r="3079"><cell r="C3079" t="str"><v>43303Facebook»Developers/ITPros-Azure Direct-Sponsored Post-Video Ad-FBCTCBrandinMotion_FRA_12s_RTG Landing Page»1x1»05s»SOC»ALL»CPC»BT»D»UNK»SS»NA»Trials</v></cell><cell r="D3079" t="str"><v>43303224560863</v></cell><cell r="E3079" t="str"><v>43303103256577Trials</v></cell><cell r="F3079" t="str"><v>DCM</v></cell></row><row r="3079"><cell r="K3079" t="str"><v>July</v></cell><cell r="L3079"><v>43309</v></cell><cell r="M3079" t="str"><v>Tier 1</v></cell><cell r="N3079" t="str"><v>EMEA</v></cell><cell r="O3079" t="str"><v>France</v></cell><cell r="P3079" t="str"><v>Trial</v></cell><cell r="Q3079" t="str"><v>Social</v></cell><cell r="R3079" t="str"><v>Azure</v></cell><cell r="S3079" t="str"><v>Apps & Infra</v></cell><cell r="T3079" t="str"><v>Developers & ITI's</v></cell><cell r="U3079" t="str"><v>Developers/ITPros-Azure Direct-Sponsored Post-Video Ad-FBCTCBrandinMotion_FRA_12s_RTG Landing Page</v></cell><cell r="V3079" t="str"><v>Behavioral Targeting</v></cell><cell r="W3079" t="str"><v>Social</v></cell><cell r="X3079" t="str"><v>1x1</v></cell></row><row r="3079"><cell r="AA3079"><v>43303</v></cell><cell r="AB3079" t="str"><v>FRA_gaPMG_AZR_AZR_Q1_19_AzureDirect-Trial-Social</v></cell><cell r="AC3079"><v>21356941</v></cell><cell r="AD3079"><v>720193</v></cell><cell r="AE3079" t="str"><v>Facebook</v></cell><cell r="AF3079"><v>3654128</v></cell><cell r="AG3079" t="str"><v>Facebook»Developers/ITPros-Azure Direct-Sponsored Post-Video Ad-FBCTCBrandinMotion_FRA_12s_RTG Landing Page»1x1»05s»SOC»ALL»CPC»BT»D»UNK»SS»NA»Trials</v></cell><cell r="AH3079"><v>224560863</v></cell><cell r="AI3079" t="str"><v>AZR_FBCTCBrandinMotion_FRA_12s_VIA_AZRDirect_French_NA_Facebook_STAN_TIN_T2_1</v></cell><cell r="AJ3079"><v>103256577</v></cell></row><row r="3080"><cell r="C3080" t="str"><v>43303Facebook»Developers/ITPros-Azure Direct-Sponsored Post-Canvas-FBCTCcanvaspage-BuyNowCTA-Img3_FBCTCBrandinMotion_FRA_12sec»1x1»Canvas»SOC»ALL»CPC»BT»D»UNK»SS»NA»Trials</v></cell><cell r="D3080" t="str"><v>43303224416924</v></cell><cell r="E3080" t="str"><v>43303103256571Trials</v></cell><cell r="F3080" t="str"><v>DCM</v></cell><cell r="G3080" t="str"><v>https://azure.microsoft.com/fr-fr/pricing/purchase-options/</v></cell></row><row r="3080"><cell r="K3080" t="str"><v>July</v></cell><cell r="L3080"><v>43309</v></cell><cell r="M3080" t="str"><v>Tier 1</v></cell><cell r="N3080" t="str"><v>EMEA</v></cell><cell r="O3080" t="str"><v>France</v></cell><cell r="P3080" t="str"><v>Trial</v></cell><cell r="Q3080" t="str"><v>Social</v></cell><cell r="R3080" t="str"><v>Azure</v></cell><cell r="S3080" t="str"><v>Apps & Infra</v></cell><cell r="T3080" t="str"><v>Developers & ITI's</v></cell><cell r="U3080" t="str"><v>Developers/ITPros-Azure Direct-Sponsored Post-Canvas-FBCTCcanvaspage-BuyNowCTA-Img3_FBCTCBrandinMotion_FRA_12sec</v></cell><cell r="V3080" t="str"><v>Behavioral Targeting</v></cell><cell r="W3080" t="str"><v>Social</v></cell><cell r="X3080" t="str"><v>1x1</v></cell></row><row r="3080"><cell r="AA3080"><v>43303</v></cell><cell r="AB3080" t="str"><v>FRA_gaPMG_AZR_AZR_Q1_19_AzureDirect-Trial-Social</v></cell><cell r="AC3080"><v>21356941</v></cell><cell r="AD3080"><v>720193</v></cell><cell r="AE3080" t="str"><v>Facebook</v></cell><cell r="AF3080"><v>3654128</v></cell><cell r="AG3080" t="str"><v>Facebook»Developers/ITPros-Azure Direct-Sponsored Post-Canvas-FBCTCcanvaspage-BuyNowCTA-Img3_FBCTCBrandinMotion_FRA_12sec»1x1»Canvas»SOC»ALL»CPC»BT»D»UNK»SS»NA»Trials</v></cell><cell r="AH3080"><v>224416924</v></cell><cell r="AI3080" t="str"><v>AZR_FBCTCcanvaspage-BuyNowCTA-Img3_FRA_1080x162_SOC_AZRDirect_French_NA_Facebook_SBAN_BN_T3_1</v></cell><cell r="AJ3080"><v>103256571</v></cell></row><row r="3081"><cell r="C3081" t="str"><v>43303Facebook»Developers/ITPros-Azure Direct-Sponsored Post-Link Ad-FreeAcctRetargetingFB-Animated-ChC»1x1»SocialBan»SOC»ALL»CPC»BT»D»UNK»SS»NA»Trials</v></cell><cell r="D3081" t="str"><v>43303224560848</v></cell><cell r="E3081" t="str"><v>43303103259775Trials</v></cell><cell r="F3081" t="str"><v>DCM</v></cell><cell r="G3081" t="str"><v>https://azure.microsoft.com/fr-fr/free/search/</v></cell></row><row r="3081"><cell r="K3081" t="str"><v>July</v></cell><cell r="L3081"><v>43309</v></cell><cell r="M3081" t="str"><v>Tier 1</v></cell><cell r="N3081" t="str"><v>EMEA</v></cell><cell r="O3081" t="str"><v>France</v></cell><cell r="P3081" t="str"><v>Trial</v></cell><cell r="Q3081" t="str"><v>Social</v></cell><cell r="R3081" t="str"><v>Azure</v></cell><cell r="S3081" t="str"><v>Apps & Infra</v></cell><cell r="T3081" t="str"><v>Developers & ITI's</v></cell><cell r="U3081" t="str"><v>Developers/ITPros-Azure Direct-Sponsored Post-Link Ad-FreeAcctRetargetingFB-Animated-ChC</v></cell><cell r="V3081" t="str"><v>Behavioral Targeting</v></cell><cell r="W3081" t="str"><v>Social</v></cell><cell r="X3081" t="str"><v>1x1</v></cell></row><row r="3081"><cell r="AA3081"><v>43303</v></cell><cell r="AB3081" t="str"><v>FRA_gaPMG_AZR_AZR_Q1_19_AzureDirect-Trial-Social</v></cell><cell r="AC3081"><v>21356941</v></cell><cell r="AD3081"><v>720193</v></cell><cell r="AE3081" t="str"><v>Facebook</v></cell><cell r="AF3081"><v>3654128</v></cell><cell r="AG3081" t="str"><v>Facebook»Developers/ITPros-Azure Direct-Sponsored Post-Link Ad-FreeAcctRetargetingFB-Animated-ChC»1x1»SocialBan»SOC»ALL»CPC»BT»D»UNK»SS»NA»Trials</v></cell><cell r="AH3081"><v>224560848</v></cell><cell r="AI3081" t="str"><v>AZR_reeAcctRetargetingFB-Animated-ChC_FRA_1200x628_SOC_AZRDirect_French_NA_Facebook_SBAN_SINU_T3_1</v></cell><cell r="AJ3081"><v>103259775</v></cell></row><row r="3082"><cell r="C3082" t="str"><v>43303Facebook»Developers/ITPros-Azure Direct-Sponsored Post-Link Ad-FreeAcctRetargetingOSSFB-Logos-ChG»1x1»SocialBan»SOC»ALL»CPC»BT»D»UNK»SS»NA»Trials</v></cell><cell r="D3082" t="str"><v>43303224560842</v></cell><cell r="E3082" t="str"><v>43303103259769Trials</v></cell><cell r="F3082" t="str"><v>DCM</v></cell><cell r="G3082" t="str"><v>https://azure.microsoft.com/fr-fr/free/open-source/search/</v></cell></row><row r="3082"><cell r="K3082" t="str"><v>July</v></cell><cell r="L3082"><v>43309</v></cell><cell r="M3082" t="str"><v>Tier 1</v></cell><cell r="N3082" t="str"><v>EMEA</v></cell><cell r="O3082" t="str"><v>France</v></cell><cell r="P3082" t="str"><v>Trial</v></cell><cell r="Q3082" t="str"><v>Social</v></cell><cell r="R3082" t="str"><v>Azure</v></cell><cell r="S3082" t="str"><v>Apps & Infra</v></cell><cell r="T3082" t="str"><v>Developers & ITI's</v></cell><cell r="U3082" t="str"><v>Developers/ITPros-Azure Direct-Sponsored Post-Link Ad-FreeAcctRetargetingOSSFB-Logos-ChG</v></cell><cell r="V3082" t="str"><v>Behavioral Targeting</v></cell><cell r="W3082" t="str"><v>Social</v></cell><cell r="X3082" t="str"><v>1x1</v></cell></row><row r="3082"><cell r="AA3082"><v>43303</v></cell><cell r="AB3082" t="str"><v>FRA_gaPMG_AZR_AZR_Q1_19_AzureDirect-Trial-Social</v></cell><cell r="AC3082"><v>21356941</v></cell><cell r="AD3082"><v>720193</v></cell><cell r="AE3082" t="str"><v>Facebook</v></cell><cell r="AF3082"><v>3654128</v></cell><cell r="AG3082" t="str"><v>Facebook»Developers/ITPros-Azure Direct-Sponsored Post-Link Ad-FreeAcctRetargetingOSSFB-Logos-ChG»1x1»SocialBan»SOC»ALL»CPC»BT»D»UNK»SS»NA»Trials</v></cell><cell r="AH3082"><v>224560842</v></cell><cell r="AI3082" t="str"><v>AZR_FreeAcctRetargetingOSSFB-Logos-ChG_FRA_1200x628_SOC_AZRDirect_French_NA_Facebook_SBAN_SINU_T2_1</v></cell><cell r="AJ3082"><v>103259769</v></cell></row><row r="3083"><cell r="C3083" t="str"><v>43303Facebook»Developers/ITPros-Azure Direct-Sponsored Post-Link Ad-FreeAcctRetargetingVMFB-OnDemand-ChE»1x1»SocialBan»SOC»ALL»CPC»BT»D»UNK»SS»NA»Trials</v></cell><cell r="D3083" t="str"><v>43303224560833</v></cell><cell r="E3083" t="str"><v>43303103376990Trials</v></cell><cell r="F3083" t="str"><v>DCM</v></cell><cell r="G3083" t="str"><v>https://azure.microsoft.com/fr-fr/free/virtual-machines/search/</v></cell></row><row r="3083"><cell r="K3083" t="str"><v>July</v></cell><cell r="L3083"><v>43309</v></cell><cell r="M3083" t="str"><v>Tier 1</v></cell><cell r="N3083" t="str"><v>EMEA</v></cell><cell r="O3083" t="str"><v>France</v></cell><cell r="P3083" t="str"><v>Trial</v></cell><cell r="Q3083" t="str"><v>Social</v></cell><cell r="R3083" t="str"><v>Azure</v></cell><cell r="S3083" t="str"><v>Apps & Infra</v></cell><cell r="T3083" t="str"><v>Developers & ITI's</v></cell><cell r="U3083" t="str"><v>Developers/ITPros-Azure Direct-Sponsored Post-Link Ad-FreeAcctRetargetingVMFB-OnDemand-ChE</v></cell><cell r="V3083" t="str"><v>Behavioral Targeting</v></cell><cell r="W3083" t="str"><v>Social</v></cell><cell r="X3083" t="str"><v>1x1</v></cell></row><row r="3083"><cell r="AA3083"><v>43303</v></cell><cell r="AB3083" t="str"><v>FRA_gaPMG_AZR_AZR_Q1_19_AzureDirect-Trial-Social</v></cell><cell r="AC3083"><v>21356941</v></cell><cell r="AD3083"><v>720193</v></cell><cell r="AE3083" t="str"><v>Facebook</v></cell><cell r="AF3083"><v>3654128</v></cell><cell r="AG3083" t="str"><v>Facebook»Developers/ITPros-Azure Direct-Sponsored Post-Link Ad-FreeAcctRetargetingVMFB-OnDemand-ChE»1x1»SocialBan»SOC»ALL»CPC»BT»D»UNK»SS»NA»Trials</v></cell><cell r="AH3083"><v>224560833</v></cell><cell r="AI3083" t="str"><v>AZR_FreeAcctRetargetingVMFB-OnDemand-ChE_FRA_1200x628_SOC_AZRDirect_French_NA_Facebook_SBAN_SINU_T2_1</v></cell><cell r="AJ3083"><v>103376990</v></cell></row><row r="3084"><cell r="C3084" t="str"><v>43303Facebook»Audience & Interest Targeting»1x1»SocialBan»LIA»DT»CPC»AUT»W»NA»SS»NA»Basic Motion</v></cell><cell r="D3084" t="str"><v>43303224399962</v></cell><cell r="E3084" t="str"><v>43303103230847Motion</v></cell><cell r="F3084" t="str"><v>DCM</v></cell><cell r="G3084" t="str"><v>https://azure.microsoft.com/en-gb/pricing/purchase-options/</v></cell></row><row r="3084"><cell r="K3084" t="str"><v>July</v></cell><cell r="L3084"><v>43309</v></cell><cell r="M3084" t="str"><v>Tier 1</v></cell><cell r="N3084" t="str"><v>EMEA</v></cell><cell r="O3084" t="str"><v>United Kingdom</v></cell><cell r="P3084" t="str"><v>Trial</v></cell><cell r="Q3084" t="str"><v>Social</v></cell><cell r="R3084" t="str"><v>Azure</v></cell><cell r="S3084" t="str"><v>Apps & Infra</v></cell><cell r="T3084" t="str"><v>Developers & ITI's</v></cell><cell r="U3084" t="str"><v>Audience & Interest Targeting</v></cell><cell r="V3084" t="str"><v>Audience Targeting</v></cell><cell r="W3084" t="str"><v>Link Ad</v></cell><cell r="X3084" t="str"><v>1x1</v></cell></row><row r="3084"><cell r="AA3084"><v>43303</v></cell><cell r="AB3084" t="str"><v>GBR_gaPMG_CE_AZR_Q1_19_Trial-Social</v></cell><cell r="AC3084"><v>21337013</v></cell><cell r="AD3084"><v>720196</v></cell><cell r="AE3084" t="str"><v>Facebook</v></cell><cell r="AF3084"><v>3654128</v></cell><cell r="AG3084" t="str"><v>Facebook»Audience & Interest Targeting»1x1»SocialBan»LIA»DT»CPC»AUT»W»NA»SS»NA»Basic Motion</v></cell><cell r="AH3084"><v>224399962</v></cell><cell r="AI3084" t="str"><v>AzurePlatform_FBCTCcanvaspage-BuyNowCTA-Img3_GBR_1080x162_SOC_Plat_English_NA_Standard_NA_BN_T3_1</v></cell><cell r="AJ3084"><v>103230847</v></cell></row><row r="3085"><cell r="C3085" t="str"><v>43303Facebook»Audience & Interest Targeting»1x1»SocialBan»LIA»DT»CPC»AUT»W»NA»SS»NA»Basic Motion</v></cell><cell r="D3085" t="str"><v>43303224399962</v></cell><cell r="E3085" t="str"><v>43303103235146Motion</v></cell><cell r="F3085" t="str"><v>DCM</v></cell><cell r="G3085" t="str"><v>https://signup.azure.com/signup?offer=ms-azr-0044p&appId=102&ref=paidmedia-social-fb&redirectURL=https%3a%2f%2fazure.microsoft.com%2fen-gb%2fget-started%2fwelcome-to-azure%2f&l=en-gb&correlationId=ead86c34-1f10-49dd-a72b-6918462a2cbf</v></cell></row><row r="3085"><cell r="K3085" t="str"><v>July</v></cell><cell r="L3085"><v>43309</v></cell><cell r="M3085" t="str"><v>Tier 1</v></cell><cell r="N3085" t="str"><v>EMEA</v></cell><cell r="O3085" t="str"><v>United Kingdom</v></cell><cell r="P3085" t="str"><v>Trial</v></cell><cell r="Q3085" t="str"><v>Social</v></cell><cell r="R3085" t="str"><v>Azure</v></cell><cell r="S3085" t="str"><v>Apps & Infra</v></cell><cell r="T3085" t="str"><v>Developers & ITI's</v></cell><cell r="U3085" t="str"><v>Audience & Interest Targeting</v></cell><cell r="V3085" t="str"><v>Audience Targeting</v></cell><cell r="W3085" t="str"><v>Link Ad</v></cell><cell r="X3085" t="str"><v>1x1</v></cell></row><row r="3085"><cell r="AA3085"><v>43303</v></cell><cell r="AB3085" t="str"><v>GBR_gaPMG_CE_AZR_Q1_19_Trial-Social</v></cell><cell r="AC3085"><v>21337013</v></cell><cell r="AD3085"><v>720196</v></cell><cell r="AE3085" t="str"><v>Facebook</v></cell><cell r="AF3085"><v>3654128</v></cell><cell r="AG3085" t="str"><v>Facebook»Audience & Interest Targeting»1x1»SocialBan»LIA»DT»CPC»AUT»W»NA»SS»NA»Basic Motion</v></cell><cell r="AH3085"><v>224399962</v></cell><cell r="AI3085" t="str"><v>AzurePlatform_FBCTCcanvaspage-StartFreeCTA-Img2_GBR_1080x143 _SOC_Plat_English_NA_Standard_NA_NA_T2_1</v></cell><cell r="AJ3085"><v>103235146</v></cell></row><row r="3086"><cell r="C3086" t="str"><v>43303Facebook»Audience & Interest Targeting»1x1»SocialBan»LIA»DT»CPC»AUT»W»NA»SS»NA»Benefit 2 in Motion</v></cell><cell r="D3086" t="str"><v>43303224334170</v></cell><cell r="E3086" t="str"><v>43303103235146Motion</v></cell><cell r="F3086" t="str"><v>DCM</v></cell><cell r="G3086" t="str"><v>https://signup.azure.com/signup?offer=ms-azr-0044p&appId=102&ref=paidmedia-social-fb&redirectURL=https%3a%2f%2fazure.microsoft.com%2fen-gb%2fget-started%2fwelcome-to-azure%2f&l=en-gb&correlationId=ead86c34-1f10-49dd-a72b-6918462a2cbf</v></cell></row><row r="3086"><cell r="K3086" t="str"><v>July</v></cell><cell r="L3086"><v>43309</v></cell><cell r="M3086" t="str"><v>Tier 1</v></cell><cell r="N3086" t="str"><v>EMEA</v></cell><cell r="O3086" t="str"><v>United Kingdom</v></cell><cell r="P3086" t="str"><v>Trial</v></cell><cell r="Q3086" t="str"><v>Social</v></cell><cell r="R3086" t="str"><v>Azure</v></cell><cell r="S3086" t="str"><v>Apps & Infra</v></cell><cell r="T3086" t="str"><v>Developers & ITI's</v></cell><cell r="U3086" t="str"><v>Audience & Interest Targeting</v></cell><cell r="V3086" t="str"><v>Audience Targeting</v></cell><cell r="W3086" t="str"><v>Link Ad</v></cell><cell r="X3086" t="str"><v>1x1</v></cell></row><row r="3086"><cell r="AA3086"><v>43303</v></cell><cell r="AB3086" t="str"><v>GBR_gaPMG_CE_AZR_Q1_19_Trial-Social</v></cell><cell r="AC3086"><v>21337013</v></cell><cell r="AD3086"><v>720196</v></cell><cell r="AE3086" t="str"><v>Facebook</v></cell><cell r="AF3086"><v>3654128</v></cell><cell r="AG3086" t="str"><v>Facebook»Audience & Interest Targeting»1x1»SocialBan»LIA»DT»CPC»AUT»W»NA»SS»NA»Benefit 2 in Motion</v></cell><cell r="AH3086"><v>224334170</v></cell><cell r="AI3086" t="str"><v>AzurePlatform_FBCTCcanvaspage-StartFreeCTA-Img2_GBR_1080x143 _SOC_Plat_English_NA_Standard_NA_NA_T2_1</v></cell><cell r="AJ3086"><v>103235146</v></cell></row><row r="3087"><cell r="C3087" t="str"><v>43303Facebook»Audience & Interest Targeting»1x1»SocialBan»LIA»DT»CPC»AUT»W»NA»SS»NA»Brand in Motion</v></cell><cell r="D3087" t="str"><v>43303224549481</v></cell><cell r="E3087" t="str"><v>43303103235146Motion</v></cell><cell r="F3087" t="str"><v>DCM</v></cell><cell r="G3087" t="str"><v>https://signup.azure.com/signup?offer=ms-azr-0044p&appId=102&ref=paidmedia-social-fb&redirectURL=https%3a%2f%2fazure.microsoft.com%2fen-gb%2fget-started%2fwelcome-to-azure%2f&l=en-gb&correlationId=ead86c34-1f10-49dd-a72b-6918462a2cbf</v></cell></row><row r="3087"><cell r="K3087" t="str"><v>July</v></cell><cell r="L3087"><v>43309</v></cell><cell r="M3087" t="str"><v>Tier 1</v></cell><cell r="N3087" t="str"><v>EMEA</v></cell><cell r="O3087" t="str"><v>United Kingdom</v></cell><cell r="P3087" t="str"><v>Trial</v></cell><cell r="Q3087" t="str"><v>Social</v></cell><cell r="R3087" t="str"><v>Azure</v></cell><cell r="S3087" t="str"><v>Apps & Infra</v></cell><cell r="T3087" t="str"><v>Developers & ITI's</v></cell><cell r="U3087" t="str"><v>Audience & Interest Targeting</v></cell><cell r="V3087" t="str"><v>Audience Targeting</v></cell><cell r="W3087" t="str"><v>Link Ad</v></cell><cell r="X3087" t="str"><v>1x1</v></cell></row><row r="3087"><cell r="AA3087"><v>43303</v></cell><cell r="AB3087" t="str"><v>GBR_gaPMG_CE_AZR_Q1_19_Trial-Social</v></cell><cell r="AC3087"><v>21337013</v></cell><cell r="AD3087"><v>720196</v></cell><cell r="AE3087" t="str"><v>Facebook</v></cell><cell r="AF3087"><v>3654128</v></cell><cell r="AG3087" t="str"><v>Facebook»Audience & Interest Targeting»1x1»SocialBan»LIA»DT»CPC»AUT»W»NA»SS»NA»Brand in Motion</v></cell><cell r="AH3087"><v>224549481</v></cell><cell r="AI3087" t="str"><v>AzurePlatform_FBCTCcanvaspage-StartFreeCTA-Img2_GBR_1080x143 _SOC_Plat_English_NA_Standard_NA_NA_T2_1</v></cell><cell r="AJ3087"><v>103235146</v></cell></row><row r="3088"><cell r="C3088" t="str"><v>43303Facebook»Audience & Interest Targeting»1x1»SocialBan»LIA»DT»DYN»AUT»W»NA»SS»NA»Free Account Refresh- 12 months ChE</v></cell><cell r="D3088" t="str"><v>43303223567691</v></cell><cell r="E3088" t="str"><v>43303102854007hs ChE</v></cell><cell r="F3088" t="str"><v>DCM</v></cell><cell r="G3088" t="str"><v>https://azure.microsoft.com/en-gb/free/search/</v></cell></row><row r="3088"><cell r="K3088" t="str"><v>July</v></cell><cell r="L3088"><v>43309</v></cell><cell r="M3088" t="str"><v>Tier 1</v></cell><cell r="N3088" t="str"><v>EMEA</v></cell><cell r="O3088" t="str"><v>United Kingdom</v></cell><cell r="P3088" t="str"><v>Trial</v></cell><cell r="Q3088" t="str"><v>Social</v></cell><cell r="R3088" t="str"><v>Azure</v></cell><cell r="S3088" t="str"><v>Apps & Infra</v></cell><cell r="T3088" t="str"><v>Developers & ITI's</v></cell><cell r="U3088" t="str"><v>Audience & Interest Targeting</v></cell><cell r="V3088" t="str"><v>Audience Targeting</v></cell><cell r="W3088" t="str"><v>Link Ad</v></cell><cell r="X3088" t="str"><v>1x1</v></cell></row><row r="3088"><cell r="AA3088"><v>43303</v></cell><cell r="AB3088" t="str"><v>GBR_gaPMG_CE_AZR_Q1_19_Trial-Social</v></cell><cell r="AC3088"><v>21337013</v></cell><cell r="AD3088"><v>720196</v></cell><cell r="AE3088" t="str"><v>Facebook</v></cell><cell r="AF3088"><v>3654128</v></cell><cell r="AG3088" t="str"><v>Facebook»Audience & Interest Targeting»1x1»SocialBan»LIA»DT»DYN»AUT»W»NA»SS»NA»Free Account Refresh- 12 months ChE</v></cell><cell r="AH3088"><v>223567691</v></cell><cell r="AI3088" t="str"><v>AzurePlatform_FreeAcctAppsFACEBOOK12monthsChE_GBR_1200x628_SOC_PLAT_EN_Trial_Standard_NA_SU_T5_1</v></cell><cell r="AJ3088"><v>102854007</v></cell></row><row r="3089"><cell r="C3089" t="str"><v>43303Facebook»Audience & Interest Targeting»1x1»SocialBan»LIA»DT»DYN»AUT»W»NA»SS»NA»Free Account Refresh- 200 Credit ChD</v></cell><cell r="D3089" t="str"><v>43303223560359</v></cell><cell r="E3089" t="str"><v>43303103005662it ChD</v></cell><cell r="F3089" t="str"><v>DCM</v></cell><cell r="G3089" t="str"><v>https://azure.microsoft.com/en-gb/free/search/</v></cell></row><row r="3089"><cell r="K3089" t="str"><v>July</v></cell><cell r="L3089"><v>43309</v></cell><cell r="M3089" t="str"><v>Tier 1</v></cell><cell r="N3089" t="str"><v>EMEA</v></cell><cell r="O3089" t="str"><v>United Kingdom</v></cell><cell r="P3089" t="str"><v>Trial</v></cell><cell r="Q3089" t="str"><v>Social</v></cell><cell r="R3089" t="str"><v>Azure</v></cell><cell r="S3089" t="str"><v>Apps & Infra</v></cell><cell r="T3089" t="str"><v>Developers & ITI's</v></cell><cell r="U3089" t="str"><v>Audience & Interest Targeting</v></cell><cell r="V3089" t="str"><v>Audience Targeting</v></cell><cell r="W3089" t="str"><v>Link Ad</v></cell><cell r="X3089" t="str"><v>1x1</v></cell></row><row r="3089"><cell r="AA3089"><v>43303</v></cell><cell r="AB3089" t="str"><v>GBR_gaPMG_CE_AZR_Q1_19_Trial-Social</v></cell><cell r="AC3089"><v>21337013</v></cell><cell r="AD3089"><v>720196</v></cell><cell r="AE3089" t="str"><v>Facebook</v></cell><cell r="AF3089"><v>3654128</v></cell><cell r="AG3089" t="str"><v>Facebook»Audience & Interest Targeting»1x1»SocialBan»LIA»DT»DYN»AUT»W»NA»SS»NA»Free Account Refresh- 200 Credit ChD</v></cell><cell r="AH3089"><v>223560359</v></cell><cell r="AI3089" t="str"><v>AzurePlatform_FreeAcctAppsFACEBOOK200CreditChD_GBR_1200x628_SOC_PLAT_EN_Trial_Standard_NA_SU_T4_1</v></cell><cell r="AJ3089"><v>103005662</v></cell></row><row r="3090"><cell r="C3090" t="str"><v>43303Facebook»Audience & Interest Targeting»1x1»SocialBan»LIA»DT»DYN»AUT»W»NA»SS»NA»Free Account Refresh- Device ChB</v></cell><cell r="D3090" t="str"><v>43303223560353</v></cell><cell r="E3090" t="str"><v>43303102854010ce ChB</v></cell><cell r="F3090" t="str"><v>DCM</v></cell><cell r="G3090" t="str"><v>https://azure.microsoft.com/en-gb/free/search/</v></cell></row><row r="3090"><cell r="K3090" t="str"><v>July</v></cell><cell r="L3090"><v>43309</v></cell><cell r="M3090" t="str"><v>Tier 1</v></cell><cell r="N3090" t="str"><v>EMEA</v></cell><cell r="O3090" t="str"><v>United Kingdom</v></cell><cell r="P3090" t="str"><v>Trial</v></cell><cell r="Q3090" t="str"><v>Social</v></cell><cell r="R3090" t="str"><v>Azure</v></cell><cell r="S3090" t="str"><v>Apps & Infra</v></cell><cell r="T3090" t="str"><v>Developers & ITI's</v></cell><cell r="U3090" t="str"><v>Audience & Interest Targeting</v></cell><cell r="V3090" t="str"><v>Audience Targeting</v></cell><cell r="W3090" t="str"><v>Link Ad</v></cell><cell r="X3090" t="str"><v>1x1</v></cell></row><row r="3090"><cell r="AA3090"><v>43303</v></cell><cell r="AB3090" t="str"><v>GBR_gaPMG_CE_AZR_Q1_19_Trial-Social</v></cell><cell r="AC3090"><v>21337013</v></cell><cell r="AD3090"><v>720196</v></cell><cell r="AE3090" t="str"><v>Facebook</v></cell><cell r="AF3090"><v>3654128</v></cell><cell r="AG3090" t="str"><v>Facebook»Audience & Interest Targeting»1x1»SocialBan»LIA»DT»DYN»AUT»W»NA»SS»NA»Free Account Refresh- Device ChB</v></cell><cell r="AH3090"><v>223560353</v></cell><cell r="AI3090" t="str"><v>AzurePlatform_FreeAcctAppsFACEBOOKDeviceChB_GBR_1200x628_SOC_PLAT_EN_Trial_Standard_NA_SU_T2_1</v></cell><cell r="AJ3090"><v>102854010</v></cell></row><row r="3091"><cell r="C3091" t="str"><v>43303Facebook»Audience & Interest Targeting»1x1»SocialBan»LIA»DT»DYN»AUT»W»NA»SS»NA»Free Account Refresh- Illustration ChC</v></cell><cell r="D3091" t="str"><v>43303223560347</v></cell><cell r="E3091" t="str"><v>43303102857037on ChC</v></cell><cell r="F3091" t="str"><v>DCM</v></cell><cell r="G3091" t="str"><v>https://azure.microsoft.com/en-gb/free/search/</v></cell></row><row r="3091"><cell r="K3091" t="str"><v>July</v></cell><cell r="L3091"><v>43309</v></cell><cell r="M3091" t="str"><v>Tier 1</v></cell><cell r="N3091" t="str"><v>EMEA</v></cell><cell r="O3091" t="str"><v>United Kingdom</v></cell><cell r="P3091" t="str"><v>Trial</v></cell><cell r="Q3091" t="str"><v>Social</v></cell><cell r="R3091" t="str"><v>Azure</v></cell><cell r="S3091" t="str"><v>Apps & Infra</v></cell><cell r="T3091" t="str"><v>Developers & ITI's</v></cell><cell r="U3091" t="str"><v>Audience & Interest Targeting</v></cell><cell r="V3091" t="str"><v>Audience Targeting</v></cell><cell r="W3091" t="str"><v>Link Ad</v></cell><cell r="X3091" t="str"><v>1x1</v></cell></row><row r="3091"><cell r="AA3091"><v>43303</v></cell><cell r="AB3091" t="str"><v>GBR_gaPMG_CE_AZR_Q1_19_Trial-Social</v></cell><cell r="AC3091"><v>21337013</v></cell><cell r="AD3091"><v>720196</v></cell><cell r="AE3091" t="str"><v>Facebook</v></cell><cell r="AF3091"><v>3654128</v></cell><cell r="AG3091" t="str"><v>Facebook»Audience & Interest Targeting»1x1»SocialBan»LIA»DT»DYN»AUT»W»NA»SS»NA»Free Account Refresh- Illustration ChC</v></cell><cell r="AH3091"><v>223560347</v></cell><cell r="AI3091" t="str"><v>AzurePlatform_FreeAcctAppsFACEBOOKIllustrationChC_GBR_1200x628_SOC_PLAT_EN_Trial_Standard_NA_SU_T3_1</v></cell><cell r="AJ3091"><v>102857037</v></cell></row><row r="3092"><cell r="C3092" t="str"><v>43303Facebook»Audience & Interest Targeting»1x1»SocialBan»LIA»DT»DYN»AUT»W»NA»SS»NA»Free Account Refresh- Lifestyle ChA</v></cell><cell r="D3092" t="str"><v>43303223560341</v></cell><cell r="E3092" t="str"><v>43303102853597le ChA</v></cell><cell r="F3092" t="str"><v>DCM</v></cell><cell r="G3092" t="str"><v>https://azure.microsoft.com/en-gb/free/search/</v></cell></row><row r="3092"><cell r="K3092" t="str"><v>July</v></cell><cell r="L3092"><v>43309</v></cell><cell r="M3092" t="str"><v>Tier 1</v></cell><cell r="N3092" t="str"><v>EMEA</v></cell><cell r="O3092" t="str"><v>United Kingdom</v></cell><cell r="P3092" t="str"><v>Trial</v></cell><cell r="Q3092" t="str"><v>Social</v></cell><cell r="R3092" t="str"><v>Azure</v></cell><cell r="S3092" t="str"><v>Apps & Infra</v></cell><cell r="T3092" t="str"><v>Developers & ITI's</v></cell><cell r="U3092" t="str"><v>Audience & Interest Targeting</v></cell><cell r="V3092" t="str"><v>Audience Targeting</v></cell><cell r="W3092" t="str"><v>Link Ad</v></cell><cell r="X3092" t="str"><v>1x1</v></cell></row><row r="3092"><cell r="AA3092"><v>43303</v></cell><cell r="AB3092" t="str"><v>GBR_gaPMG_CE_AZR_Q1_19_Trial-Social</v></cell><cell r="AC3092"><v>21337013</v></cell><cell r="AD3092"><v>720196</v></cell><cell r="AE3092" t="str"><v>Facebook</v></cell><cell r="AF3092"><v>3654128</v></cell><cell r="AG3092" t="str"><v>Facebook»Audience & Interest Targeting»1x1»SocialBan»LIA»DT»DYN»AUT»W»NA»SS»NA»Free Account Refresh- Lifestyle ChA</v></cell><cell r="AH3092"><v>223560341</v></cell><cell r="AI3092" t="str"><v>AzurePlatform_FreeAcctAppsFACEBOOKLifestyleChA_GBR_1200x628_SOC_PLAT_EN_Trial_Standard_NA_SU_T1_1</v></cell><cell r="AJ3092"><v>102853597</v></cell></row><row r="3093"><cell r="C3093" t="str"><v>43303Facebook»Retargeting»1x1»SocialBan»LIA»DT»DYN»RT»W»NA»SS»NA»Free Account Retargeting Generic- Animated ChC</v></cell><cell r="D3093" t="str"><v>43303223560299</v></cell><cell r="E3093" t="str"><v>43303102854019ed ChC</v></cell><cell r="F3093" t="str"><v>DCM</v></cell><cell r="G3093" t="str"><v>https://azure.microsoft.com/en-gb/free/search/</v></cell></row><row r="3093"><cell r="K3093" t="str"><v>July</v></cell><cell r="L3093"><v>43309</v></cell><cell r="M3093" t="str"><v>Tier 1</v></cell><cell r="N3093" t="str"><v>EMEA</v></cell><cell r="O3093" t="str"><v>United Kingdom</v></cell><cell r="P3093" t="str"><v>Trial</v></cell><cell r="Q3093" t="str"><v>Social</v></cell><cell r="R3093" t="str"><v>Azure</v></cell><cell r="S3093" t="str"><v>Apps & Infra</v></cell><cell r="T3093" t="str"><v>Developers & ITI's</v></cell><cell r="U3093" t="str"><v>Retargeting</v></cell><cell r="V3093" t="str"><v>Retargeting</v></cell><cell r="W3093" t="str"><v>Link Ad</v></cell><cell r="X3093" t="str"><v>1x1</v></cell></row><row r="3093"><cell r="AA3093"><v>43303</v></cell><cell r="AB3093" t="str"><v>GBR_gaPMG_CE_AZR_Q1_19_Trial-Social</v></cell><cell r="AC3093"><v>21337013</v></cell><cell r="AD3093"><v>720196</v></cell><cell r="AE3093" t="str"><v>Facebook</v></cell><cell r="AF3093"><v>3654128</v></cell><cell r="AG3093" t="str"><v>Facebook»Retargeting»1x1»SocialBan»LIA»DT»DYN»RT»W»NA»SS»NA»Free Account Retargeting Generic- Animated ChC</v></cell><cell r="AH3093"><v>223560299</v></cell><cell r="AI3093" t="str"><v>AzurePlatform_FreeAcctRetargetingFB-Animated-ChC_GBR_1200x628_SOC_Plat_EN_Free Account_Standard_ANI_SU_T3_1</v></cell><cell r="AJ3093"><v>102854019</v></cell></row><row r="3094"><cell r="C3094" t="str"><v>43303Facebook»Retargeting»1x1»SocialBan»LIA»DT»DYN»RT»W»NA»SS»NA»Free Account Retargeting Generic- Global Alt ChB</v></cell><cell r="D3094" t="str"><v>43303223560356</v></cell><cell r="E3094" t="str"><v>43303102854016lt ChB</v></cell><cell r="F3094" t="str"><v>DCM</v></cell><cell r="G3094" t="str"><v>https://azure.microsoft.com/en-gb/free/search/</v></cell></row><row r="3094"><cell r="K3094" t="str"><v>July</v></cell><cell r="L3094"><v>43309</v></cell><cell r="M3094" t="str"><v>Tier 1</v></cell><cell r="N3094" t="str"><v>EMEA</v></cell><cell r="O3094" t="str"><v>United Kingdom</v></cell><cell r="P3094" t="str"><v>Trial</v></cell><cell r="Q3094" t="str"><v>Social</v></cell><cell r="R3094" t="str"><v>Azure</v></cell><cell r="S3094" t="str"><v>Apps & Infra</v></cell><cell r="T3094" t="str"><v>Developers & ITI's</v></cell><cell r="U3094" t="str"><v>Retargeting</v></cell><cell r="V3094" t="str"><v>Retargeting</v></cell><cell r="W3094" t="str"><v>Link Ad</v></cell><cell r="X3094" t="str"><v>1x1</v></cell></row><row r="3094"><cell r="AA3094"><v>43303</v></cell><cell r="AB3094" t="str"><v>GBR_gaPMG_CE_AZR_Q1_19_Trial-Social</v></cell><cell r="AC3094"><v>21337013</v></cell><cell r="AD3094"><v>720196</v></cell><cell r="AE3094" t="str"><v>Facebook</v></cell><cell r="AF3094"><v>3654128</v></cell><cell r="AG3094" t="str"><v>Facebook»Retargeting»1x1»SocialBan»LIA»DT»DYN»RT»W»NA»SS»NA»Free Account Retargeting Generic- Global Alt ChB</v></cell><cell r="AH3094"><v>223560356</v></cell><cell r="AI3094" t="str"><v>AzurePlatform_FreeAcctRetargetingFB-GlobalAlt-ChB_GBR_1200x628_SOC_Plat_EN_Free Account_Standard_NA_SU_T2_1</v></cell><cell r="AJ3094"><v>102854016</v></cell></row><row r="3095"><cell r="C3095" t="str"><v>43303Facebook»Retargeting»1x1»SocialBan»LIA»DT»DYN»RT»W»NA»SS»NA»Free Account Retargeting OSS- Logos ChG</v></cell><cell r="D3095" t="str"><v>43303223560350</v></cell><cell r="E3095" t="str"><v>43303103006547os ChG</v></cell><cell r="F3095" t="str"><v>DCM</v></cell><cell r="G3095" t="str"><v>https://azure.microsoft.com/en-gb/free/open-source/search/</v></cell></row><row r="3095"><cell r="K3095" t="str"><v>July</v></cell><cell r="L3095"><v>43309</v></cell><cell r="M3095" t="str"><v>Tier 1</v></cell><cell r="N3095" t="str"><v>EMEA</v></cell><cell r="O3095" t="str"><v>United Kingdom</v></cell><cell r="P3095" t="str"><v>Trial</v></cell><cell r="Q3095" t="str"><v>Social</v></cell><cell r="R3095" t="str"><v>Azure</v></cell><cell r="S3095" t="str"><v>Apps & Infra</v></cell><cell r="T3095" t="str"><v>Developers & ITI's</v></cell><cell r="U3095" t="str"><v>Retargeting</v></cell><cell r="V3095" t="str"><v>Retargeting</v></cell><cell r="W3095" t="str"><v>Link Ad</v></cell><cell r="X3095" t="str"><v>1x1</v></cell></row><row r="3095"><cell r="AA3095"><v>43303</v></cell><cell r="AB3095" t="str"><v>GBR_gaPMG_CE_AZR_Q1_19_Trial-Social</v></cell><cell r="AC3095"><v>21337013</v></cell><cell r="AD3095"><v>720196</v></cell><cell r="AE3095" t="str"><v>Facebook</v></cell><cell r="AF3095"><v>3654128</v></cell><cell r="AG3095" t="str"><v>Facebook»Retargeting»1x1»SocialBan»LIA»DT»DYN»RT»W»NA»SS»NA»Free Account Retargeting OSS- Logos ChG</v></cell><cell r="AH3095"><v>223560350</v></cell><cell r="AI3095" t="str"><v>AzurePlatform_FreeAcctRetargetingOSSFB-Logos-ChG_GBR_1200x628_SOC_Plat_EN_Free Account_Standard_NA_SU_T2_1</v></cell><cell r="AJ3095"><v>103006547</v></cell></row><row r="3096"><cell r="C3096" t="str"><v>43303Facebook»Retargeting»1x1»SocialBan»LIA»DT»DYN»RT»W»NA»SS»NA»Free Account Retargeting VM- 750 Hrs ChD</v></cell><cell r="D3096" t="str"><v>43303223560338</v></cell><cell r="E3096" t="str"><v>43303102853603rs ChD</v></cell><cell r="F3096" t="str"><v>DCM</v></cell><cell r="G3096" t="str"><v>https://azure.microsoft.com/en-gb/free/virtual-machines/search/</v></cell></row><row r="3096"><cell r="K3096" t="str"><v>July</v></cell><cell r="L3096"><v>43309</v></cell><cell r="M3096" t="str"><v>Tier 1</v></cell><cell r="N3096" t="str"><v>EMEA</v></cell><cell r="O3096" t="str"><v>United Kingdom</v></cell><cell r="P3096" t="str"><v>Trial</v></cell><cell r="Q3096" t="str"><v>Social</v></cell><cell r="R3096" t="str"><v>Azure</v></cell><cell r="S3096" t="str"><v>Apps & Infra</v></cell><cell r="T3096" t="str"><v>Developers & ITI's</v></cell><cell r="U3096" t="str"><v>Retargeting</v></cell><cell r="V3096" t="str"><v>Retargeting</v></cell><cell r="W3096" t="str"><v>Link Ad</v></cell><cell r="X3096" t="str"><v>1x1</v></cell></row><row r="3096"><cell r="AA3096"><v>43303</v></cell><cell r="AB3096" t="str"><v>GBR_gaPMG_CE_AZR_Q1_19_Trial-Social</v></cell><cell r="AC3096"><v>21337013</v></cell><cell r="AD3096"><v>720196</v></cell><cell r="AE3096" t="str"><v>Facebook</v></cell><cell r="AF3096"><v>3654128</v></cell><cell r="AG3096" t="str"><v>Facebook»Retargeting»1x1»SocialBan»LIA»DT»DYN»RT»W»NA»SS»NA»Free Account Retargeting VM- 750 Hrs ChD</v></cell><cell r="AH3096"><v>223560338</v></cell><cell r="AI3096" t="str"><v>AzurePlatform_FreeAcctRetargetingVMFB-750Hrs-ChD_GBR_1200x628_SOC_Plat_EN_Free Account_Standard_NA_SU_T1_1</v></cell><cell r="AJ3096"><v>102853603</v></cell></row><row r="3097"><cell r="C3097" t="str"><v>43303Facebook»Retargeting»1x1»SocialBan»LIA»DT»DYN»RT»W»NA»SS»NA»Free Account Retargeting VM- On Demand ChE</v></cell><cell r="D3097" t="str"><v>43303223560332</v></cell><cell r="E3097" t="str"><v>43303102854037nd ChE</v></cell><cell r="F3097" t="str"><v>DCM</v></cell><cell r="G3097" t="str"><v>https://azure.microsoft.com/en-gb/free/virtual-machines/search/</v></cell></row><row r="3097"><cell r="K3097" t="str"><v>July</v></cell><cell r="L3097"><v>43309</v></cell><cell r="M3097" t="str"><v>Tier 1</v></cell><cell r="N3097" t="str"><v>EMEA</v></cell><cell r="O3097" t="str"><v>United Kingdom</v></cell><cell r="P3097" t="str"><v>Trial</v></cell><cell r="Q3097" t="str"><v>Social</v></cell><cell r="R3097" t="str"><v>Azure</v></cell><cell r="S3097" t="str"><v>Apps & Infra</v></cell><cell r="T3097" t="str"><v>Developers & ITI's</v></cell><cell r="U3097" t="str"><v>Retargeting</v></cell><cell r="V3097" t="str"><v>Retargeting</v></cell><cell r="W3097" t="str"><v>Link Ad</v></cell><cell r="X3097" t="str"><v>1x1</v></cell></row><row r="3097"><cell r="AA3097"><v>43303</v></cell><cell r="AB3097" t="str"><v>GBR_gaPMG_CE_AZR_Q1_19_Trial-Social</v></cell><cell r="AC3097"><v>21337013</v></cell><cell r="AD3097"><v>720196</v></cell><cell r="AE3097" t="str"><v>Facebook</v></cell><cell r="AF3097"><v>3654128</v></cell><cell r="AG3097" t="str"><v>Facebook»Retargeting»1x1»SocialBan»LIA»DT»DYN»RT»W»NA»SS»NA»Free Account Retargeting VM- On Demand ChE</v></cell><cell r="AH3097"><v>223560332</v></cell><cell r="AI3097" t="str"><v>AzurePlatform_FreeAcctRetargetingVMFB-OnDemand-ChE_GBR_1200x628_SOC_Plat_EN_Free Account_Standard_NA_SU_T2_1</v></cell><cell r="AJ3097"><v>102854037</v></cell></row><row r="3098"><cell r="C3098" t="str"><v>43303Facebook»AZP-Canvas-Interest&Role-Trial»1x1»Canvas»OTH»MO»CPM»PRO»X»UNK»TP»OT»Canvas-Trial</v></cell><cell r="D3098" t="str"><v>43303223298805</v></cell><cell r="E3098" t="str"><v>43303102630373-Trial</v></cell><cell r="F3098" t="str"><v>DCM</v></cell><cell r="G3098" t="str"><v>https://azure.microsoft.com/ja-jp/pricing/purchase-options/</v></cell></row><row r="3098"><cell r="K3098" t="str"><v>July</v></cell><cell r="L3098"><v>43309</v></cell><cell r="M3098" t="str"><v>Tier 1</v></cell><cell r="N3098" t="str"><v>APAC</v></cell><cell r="O3098" t="str"><v>Japan</v></cell><cell r="P3098" t="str"><v>Trial</v></cell><cell r="Q3098" t="str"><v>Social</v></cell><cell r="R3098" t="str"><v>Azure</v></cell><cell r="S3098" t="str"><v>Apps & Infra</v></cell><cell r="T3098" t="str"><v>Developers & ITI's</v></cell><cell r="U3098" t="str"><v>AZP-Canvas-Interest&Role-Trial</v></cell><cell r="V3098" t="str"><v>Prospecting</v></cell><cell r="W3098" t="str"><v>Other</v></cell><cell r="X3098" t="str"><v>1x1</v></cell></row><row r="3098"><cell r="AA3098"><v>43303</v></cell><cell r="AB3098" t="str"><v>JPN_gaPMG_AZR_AZR_Q1_19_Trial-Social</v></cell><cell r="AC3098"><v>21276694</v></cell><cell r="AD3098"><v>720195</v></cell><cell r="AE3098" t="str"><v>Facebook</v></cell><cell r="AF3098"><v>3654128</v></cell><cell r="AG3098" t="str"><v>Facebook»AZP-Canvas-Interest&Role-Trial»1x1»Canvas»OTH»MO»CPM»PRO»X»UNK»TP»OT»Canvas-Trial</v></cell><cell r="AH3098"><v>223298805</v></cell><cell r="AI3098" t="str"><v>AzurePlatform_FBCTCcanvaspage-BuyNowCTA-Img3_JPN_1080x162_SOC_Plat_Japanese_NA_Standard_NA_BN_T3_1</v></cell><cell r="AJ3098"><v>102630373</v></cell></row><row r="3099"><cell r="C3099" t="str"><v>43303Facebook»AZP-Canvas-Interest&Role-Trial»1x1»Canvas»OTH»MO»CPM»PRO»X»UNK»TP»OT»Canvas-Trial</v></cell><cell r="D3099" t="str"><v>43303223298805</v></cell><cell r="E3099" t="str"><v>43303102609621-Trial</v></cell><cell r="F3099" t="str"><v>DCM</v></cell><cell r="G3099" t="str"><v>https://signup.azure.com/signup?offer=ms-azr-0044p&appId=102&ref=paidmedia-social-fb&redirectURL=https%3a%2f%2fazure.microsoft.com%2fja-jp%2fget-started%2fwelcome-to-azure%2f&l=ja-jp&correlationId=ead86c34-1f10-49dd-a72b-6918462a2cbf</v></cell></row><row r="3099"><cell r="K3099" t="str"><v>July</v></cell><cell r="L3099"><v>43309</v></cell><cell r="M3099" t="str"><v>Tier 1</v></cell><cell r="N3099" t="str"><v>APAC</v></cell><cell r="O3099" t="str"><v>Japan</v></cell><cell r="P3099" t="str"><v>Trial</v></cell><cell r="Q3099" t="str"><v>Social</v></cell><cell r="R3099" t="str"><v>Azure</v></cell><cell r="S3099" t="str"><v>Apps & Infra</v></cell><cell r="T3099" t="str"><v>Developers & ITI's</v></cell><cell r="U3099" t="str"><v>AZP-Canvas-Interest&Role-Trial</v></cell><cell r="V3099" t="str"><v>Prospecting</v></cell><cell r="W3099" t="str"><v>Other</v></cell><cell r="X3099" t="str"><v>1x1</v></cell></row><row r="3099"><cell r="AA3099"><v>43303</v></cell><cell r="AB3099" t="str"><v>JPN_gaPMG_AZR_AZR_Q1_19_Trial-Social</v></cell><cell r="AC3099"><v>21276694</v></cell><cell r="AD3099"><v>720195</v></cell><cell r="AE3099" t="str"><v>Facebook</v></cell><cell r="AF3099"><v>3654128</v></cell><cell r="AG3099" t="str"><v>Facebook»AZP-Canvas-Interest&Role-Trial»1x1»Canvas»OTH»MO»CPM»PRO»X»UNK»TP»OT»Canvas-Trial</v></cell><cell r="AH3099"><v>223298805</v></cell><cell r="AI3099" t="str"><v>AzurePlatform_FBCTCcanvaspage-StartFreeCTA-Img2_JPN_1080x143 _SOC_Plat_Japanese_NA_Standard_NA_NA_T2_1</v></cell><cell r="AJ3099"><v>102609621</v></cell></row><row r="3100"><cell r="C3100" t="str"><v>43303Facebook»AZP-Canvas-Look a Like-Trial»1x1»Canvas»OTH»MO»CPM»PRO»X»UNK»TP»OT»Canvas-Trial</v></cell><cell r="D3100" t="str"><v>43303223297413</v></cell><cell r="E3100" t="str"><v>43303102630373-Trial</v></cell><cell r="F3100" t="str"><v>DCM</v></cell><cell r="G3100" t="str"><v>https://azure.microsoft.com/ja-jp/pricing/purchase-options/</v></cell></row><row r="3100"><cell r="K3100" t="str"><v>July</v></cell><cell r="L3100"><v>43309</v></cell><cell r="M3100" t="str"><v>Tier 1</v></cell><cell r="N3100" t="str"><v>APAC</v></cell><cell r="O3100" t="str"><v>Japan</v></cell><cell r="P3100" t="str"><v>Trial</v></cell><cell r="Q3100" t="str"><v>Social</v></cell><cell r="R3100" t="str"><v>Azure</v></cell><cell r="S3100" t="str"><v>Apps & Infra</v></cell><cell r="T3100" t="str"><v>Developers & ITI's</v></cell><cell r="U3100" t="str"><v>AZP-Canvas-Look a Like-Trial</v></cell><cell r="V3100" t="str"><v>Prospecting</v></cell><cell r="W3100" t="str"><v>Other</v></cell><cell r="X3100" t="str"><v>1x1</v></cell></row><row r="3100"><cell r="AA3100"><v>43303</v></cell><cell r="AB3100" t="str"><v>JPN_gaPMG_AZR_AZR_Q1_19_Trial-Social</v></cell><cell r="AC3100"><v>21276694</v></cell><cell r="AD3100"><v>720195</v></cell><cell r="AE3100" t="str"><v>Facebook</v></cell><cell r="AF3100"><v>3654128</v></cell><cell r="AG3100" t="str"><v>Facebook»AZP-Canvas-Look a Like-Trial»1x1»Canvas»OTH»MO»CPM»PRO»X»UNK»TP»OT»Canvas-Trial</v></cell><cell r="AH3100"><v>223297413</v></cell><cell r="AI3100" t="str"><v>AzurePlatform_FBCTCcanvaspage-BuyNowCTA-Img3_JPN_1080x162_SOC_Plat_Japanese_NA_Standard_NA_BN_T3_1</v></cell><cell r="AJ3100"><v>102630373</v></cell></row><row r="3101"><cell r="C3101" t="str"><v>43303Facebook»AZP-Canvas-Look a Like-Trial»1x1»Canvas»OTH»MO»CPM»PRO»X»UNK»TP»OT»Canvas-Trial</v></cell><cell r="D3101" t="str"><v>43303223297413</v></cell><cell r="E3101" t="str"><v>43303102609621-Trial</v></cell><cell r="F3101" t="str"><v>DCM</v></cell><cell r="G3101" t="str"><v>https://signup.azure.com/signup?offer=ms-azr-0044p&appId=102&ref=paidmedia-social-fb&redirectURL=https%3a%2f%2fazure.microsoft.com%2fja-jp%2fget-started%2fwelcome-to-azure%2f&l=ja-jp&correlationId=ead86c34-1f10-49dd-a72b-6918462a2cbf</v></cell></row><row r="3101"><cell r="K3101" t="str"><v>July</v></cell><cell r="L3101"><v>43309</v></cell><cell r="M3101" t="str"><v>Tier 1</v></cell><cell r="N3101" t="str"><v>APAC</v></cell><cell r="O3101" t="str"><v>Japan</v></cell><cell r="P3101" t="str"><v>Trial</v></cell><cell r="Q3101" t="str"><v>Social</v></cell><cell r="R3101" t="str"><v>Azure</v></cell><cell r="S3101" t="str"><v>Apps & Infra</v></cell><cell r="T3101" t="str"><v>Developers & ITI's</v></cell><cell r="U3101" t="str"><v>AZP-Canvas-Look a Like-Trial</v></cell><cell r="V3101" t="str"><v>Prospecting</v></cell><cell r="W3101" t="str"><v>Other</v></cell><cell r="X3101" t="str"><v>1x1</v></cell></row><row r="3101"><cell r="AA3101"><v>43303</v></cell><cell r="AB3101" t="str"><v>JPN_gaPMG_AZR_AZR_Q1_19_Trial-Social</v></cell><cell r="AC3101"><v>21276694</v></cell><cell r="AD3101"><v>720195</v></cell><cell r="AE3101" t="str"><v>Facebook</v></cell><cell r="AF3101"><v>3654128</v></cell><cell r="AG3101" t="str"><v>Facebook»AZP-Canvas-Look a Like-Trial»1x1»Canvas»OTH»MO»CPM»PRO»X»UNK»TP»OT»Canvas-Trial</v></cell><cell r="AH3101"><v>223297413</v></cell><cell r="AI3101" t="str"><v>AzurePlatform_FBCTCcanvaspage-StartFreeCTA-Img2_JPN_1080x143 _SOC_Plat_Japanese_NA_Standard_NA_NA_T2_1</v></cell><cell r="AJ3101"><v>102609621</v></cell></row><row r="3102"><cell r="C3102" t="str"><v>43303Facebook»AZP-Retargeting»1x1»Ban»LIA»ALL»CPM»RT»X»All»TP»OT»Free Account Retargeting OSS-ChF</v></cell><cell r="D3102" t="str"><v>43303223726368</v></cell><cell r="E3102" t="str"><v>43303102974750SS-ChF</v></cell><cell r="F3102" t="str"><v>DCM</v></cell><cell r="G3102" t="str"><v>https://azure.microsoft.com/ja-jp/free/open-source/search/</v></cell></row><row r="3102"><cell r="K3102" t="str"><v>July</v></cell><cell r="L3102"><v>43309</v></cell><cell r="M3102" t="str"><v>Tier 1</v></cell><cell r="N3102" t="str"><v>APAC</v></cell><cell r="O3102" t="str"><v>Japan</v></cell><cell r="P3102" t="str"><v>Trial</v></cell><cell r="Q3102" t="str"><v>Social</v></cell><cell r="R3102" t="str"><v>Azure</v></cell><cell r="S3102" t="str"><v>Apps & Infra</v></cell><cell r="T3102" t="str"><v>Developers & ITI's</v></cell><cell r="U3102" t="str"><v>AZP-Retargeting</v></cell><cell r="V3102" t="str"><v>Retargeting</v></cell><cell r="W3102" t="str"><v>Link Ad</v></cell><cell r="X3102" t="str"><v>1x1</v></cell></row><row r="3102"><cell r="AA3102"><v>43303</v></cell><cell r="AB3102" t="str"><v>JPN_gaPMG_AZR_AZR_Q1_19_Trial-Social</v></cell><cell r="AC3102"><v>21276694</v></cell><cell r="AD3102"><v>720195</v></cell><cell r="AE3102" t="str"><v>Facebook</v></cell><cell r="AF3102"><v>3654128</v></cell><cell r="AG3102" t="str"><v>Facebook»AZP-Retargeting»1x1»Ban»LIA»ALL»CPM»RT»X»All»TP»OT»Free Account Retargeting OSS-ChF</v></cell><cell r="AH3102"><v>223726368</v></cell><cell r="AI3102" t="str"><v>AzurePlatform_FreeAcctRetargetingOSSFB-Text-ChF_JPN_1200x628_SOC_Plat_JA_Free Account_Standard_NA_SU_T1_1</v></cell><cell r="AJ3102"><v>102974750</v></cell></row><row r="3103"><cell r="C3103" t="str"><v>43303Facebook»AZP-Retargeting»1x1»Ban»LIA»ALL»CPM»RT»X»All»TP»OT»Free Account Retargeting VM-ChD</v></cell><cell r="D3103" t="str"><v>43303223726374</v></cell><cell r="E3103" t="str"><v>43303102971306VM-ChD</v></cell><cell r="F3103" t="str"><v>DCM</v></cell><cell r="G3103" t="str"><v>https://azure.microsoft.com/ja-jp/free/virtual-machines/search/</v></cell></row><row r="3103"><cell r="K3103" t="str"><v>July</v></cell><cell r="L3103"><v>43309</v></cell><cell r="M3103" t="str"><v>Tier 1</v></cell><cell r="N3103" t="str"><v>APAC</v></cell><cell r="O3103" t="str"><v>Japan</v></cell><cell r="P3103" t="str"><v>Trial</v></cell><cell r="Q3103" t="str"><v>Social</v></cell><cell r="R3103" t="str"><v>Azure</v></cell><cell r="S3103" t="str"><v>Apps & Infra</v></cell><cell r="T3103" t="str"><v>Developers & ITI's</v></cell><cell r="U3103" t="str"><v>AZP-Retargeting</v></cell><cell r="V3103" t="str"><v>Retargeting</v></cell><cell r="W3103" t="str"><v>Link Ad</v></cell><cell r="X3103" t="str"><v>1x1</v></cell></row><row r="3103"><cell r="AA3103"><v>43303</v></cell><cell r="AB3103" t="str"><v>JPN_gaPMG_AZR_AZR_Q1_19_Trial-Social</v></cell><cell r="AC3103"><v>21276694</v></cell><cell r="AD3103"><v>720195</v></cell><cell r="AE3103" t="str"><v>Facebook</v></cell><cell r="AF3103"><v>3654128</v></cell><cell r="AG3103" t="str"><v>Facebook»AZP-Retargeting»1x1»Ban»LIA»ALL»CPM»RT»X»All»TP»OT»Free Account Retargeting VM-ChD</v></cell><cell r="AH3103"><v>223726374</v></cell><cell r="AI3103" t="str"><v>AzurePlatform_FreeAcctRetargetingVMFB-750Hrs-ChD_JPN_1200x628_SOC_Plat_JA_Free Account_Standard_NA_SU_T1_1</v></cell><cell r="AJ3103"><v>102971306</v></cell></row><row r="3104"><cell r="C3104" t="str"><v>43303Facebook»AZP-Retargeting»1x1»Ban»LIA»ALL»CPM»RT»X»All»TP»OT»Free Account Retargeting VM-ChE</v></cell><cell r="D3104" t="str"><v>43303223726371</v></cell><cell r="E3104" t="str"><v>43303102977723VM-ChE</v></cell><cell r="F3104" t="str"><v>DCM</v></cell><cell r="G3104" t="str"><v>https://azure.microsoft.com/ja-jp/free/virtual-machines/search/</v></cell></row><row r="3104"><cell r="K3104" t="str"><v>July</v></cell><cell r="L3104"><v>43309</v></cell><cell r="M3104" t="str"><v>Tier 1</v></cell><cell r="N3104" t="str"><v>APAC</v></cell><cell r="O3104" t="str"><v>Japan</v></cell><cell r="P3104" t="str"><v>Trial</v></cell><cell r="Q3104" t="str"><v>Social</v></cell><cell r="R3104" t="str"><v>Azure</v></cell><cell r="S3104" t="str"><v>Apps & Infra</v></cell><cell r="T3104" t="str"><v>Developers & ITI's</v></cell><cell r="U3104" t="str"><v>AZP-Retargeting</v></cell><cell r="V3104" t="str"><v>Retargeting</v></cell><cell r="W3104" t="str"><v>Link Ad</v></cell><cell r="X3104" t="str"><v>1x1</v></cell></row><row r="3104"><cell r="AA3104"><v>43303</v></cell><cell r="AB3104" t="str"><v>JPN_gaPMG_AZR_AZR_Q1_19_Trial-Social</v></cell><cell r="AC3104"><v>21276694</v></cell><cell r="AD3104"><v>720195</v></cell><cell r="AE3104" t="str"><v>Facebook</v></cell><cell r="AF3104"><v>3654128</v></cell><cell r="AG3104" t="str"><v>Facebook»AZP-Retargeting»1x1»Ban»LIA»ALL»CPM»RT»X»All»TP»OT»Free Account Retargeting VM-ChE</v></cell><cell r="AH3104"><v>223726371</v></cell><cell r="AI3104" t="str"><v>AzurePlatform_FreeAcctRetargetingVMFB-OnDemand-ChE_JPN_1200x628_SOC_Plat_JA_Free Account_Standard_NA_SU_T2_1</v></cell><cell r="AJ3104"><v>102977723</v></cell></row><row r="3105"><cell r="C3105" t="str"><v>43303Facebook»AZP-Retargeting»1x1»Canvas»OTH»MO»CPM»RT»W»UNK»TP»OT»Trial-Basicmotion</v></cell><cell r="D3105" t="str"><v>43303223298811</v></cell><cell r="E3105" t="str"><v>43303102773984motion</v></cell><cell r="F3105" t="str"><v>DCM</v></cell><cell r="G3105" t="str"><v>https://azure.microsoft.com/ja-jp/free/search/</v></cell></row><row r="3105"><cell r="K3105" t="str"><v>July</v></cell><cell r="L3105"><v>43309</v></cell><cell r="M3105" t="str"><v>Tier 1</v></cell><cell r="N3105" t="str"><v>APAC</v></cell><cell r="O3105" t="str"><v>Japan</v></cell><cell r="P3105" t="str"><v>Trial</v></cell><cell r="Q3105" t="str"><v>Social</v></cell><cell r="R3105" t="str"><v>Azure</v></cell><cell r="S3105" t="str"><v>Apps & Infra</v></cell><cell r="T3105" t="str"><v>Developers & ITI's</v></cell><cell r="U3105" t="str"><v>AZP-Retargeting</v></cell><cell r="V3105" t="str"><v>Retargeting</v></cell><cell r="W3105" t="str"><v>Other</v></cell><cell r="X3105" t="str"><v>1x1</v></cell></row><row r="3105"><cell r="AA3105"><v>43303</v></cell><cell r="AB3105" t="str"><v>JPN_gaPMG_AZR_AZR_Q1_19_Trial-Social</v></cell><cell r="AC3105"><v>21276694</v></cell><cell r="AD3105"><v>720195</v></cell><cell r="AE3105" t="str"><v>Facebook</v></cell><cell r="AF3105"><v>3654128</v></cell><cell r="AG3105" t="str"><v>Facebook»AZP-Retargeting»1x1»Canvas»OTH»MO»CPM»RT»W»UNK»TP»OT»Trial-Basicmotion</v></cell><cell r="AH3105"><v>223298811</v></cell><cell r="AI3105" t="str"><v>AzurePlatform_FBCTCBasicMotion_JPN_10sec_ISV_PLAT_JA_Trial_Standard_STAN_TN_T1_1</v></cell><cell r="AJ3105"><v>102773984</v></cell></row><row r="3106"><cell r="C3106" t="str"><v>43303FACEBOOK»USA-Trial-ITD-Interest Prospecting-AZR-AZR»1 x 1»SocialBan»CAN»ALL»CPA»PRO»X»NA»SS»NA»FBCTCBasicMotion»PRC1SV</v></cell><cell r="D3106" t="str"><v>43303223934062</v></cell><cell r="E3106" t="str"><v>43303103043823PRC1SV</v></cell><cell r="F3106" t="str"><v>DCM</v></cell><cell r="G3106" t="str"><v>https://signup.azure.com/?OCID=AID%eexcid!_OLA_%ebuy!_%epid!_%ecid!</v></cell></row><row r="3106"><cell r="K3106" t="str"><v>July</v></cell><cell r="L3106"><v>43309</v></cell><cell r="M3106" t="str"><v>Tier 0</v></cell><cell r="N3106" t="str"><v>North America</v></cell><cell r="O3106" t="str"><v>United States</v></cell><cell r="P3106" t="str"><v>Trial</v></cell><cell r="Q3106" t="str"><v>Social</v></cell><cell r="R3106" t="str"><v>Azure</v></cell><cell r="S3106" t="str"><v>Apps & Infra</v></cell><cell r="T3106" t="str"><v>Developers & ITI's</v></cell><cell r="U3106" t="str"><v>USA-Trial-ITD-Interest Prospecting-AZR-AZR</v></cell><cell r="V3106" t="str"><v>Prospecting</v></cell><cell r="W3106" t="str"><v>Canvas Ad</v></cell><cell r="X3106" t="str"><v>1x1</v></cell></row><row r="3106"><cell r="AA3106"><v>43303</v></cell><cell r="AB3106" t="str"><v>USA_gaPMG_AZR_AZR_Q1_19_Direct-Social</v></cell><cell r="AC3106"><v>21358715</v></cell><cell r="AD3106"><v>720197</v></cell><cell r="AE3106" t="str"><v>Facebook</v></cell><cell r="AF3106"><v>3654128</v></cell><cell r="AG3106" t="str"><v>FACEBOOK»USA-Trial-ITD-Interest Prospecting-AZR-AZR»1 x 1»SocialBan»CAN»ALL»CPA»PRO»X»NA»SS»NA»FBCTCBasicMotion»PRC1SV</v></cell><cell r="AH3106"><v>223934062</v></cell><cell r="AI3106" t="str"><v>AzurePlatform_FBCTCBasicMotion_USA_10s_CAN_PLATFORM_English_Trial_Standard_STAN_TIN_T1_1</v></cell><cell r="AJ3106"><v>103043823</v></cell></row><row r="3107"><cell r="C3107" t="str"><v>43303FACEBOOK»USA-Trial-ITD-Interest Prospecting-AZR-AZR»1 x 1»SocialBan»CAN»ALL»CPA»PRO»X»NA»SS»NA»FBCTCBasicMotion»PRC1SV</v></cell><cell r="D3107" t="str"><v>43303223934062</v></cell><cell r="E3107" t="str"><v>43303103175984PRC1SV</v></cell><cell r="F3107" t="str"><v>DCM</v></cell><cell r="G3107" t="str"><v>https://azure.microsoft.com/en-us/pricing/purchase-options/?v=18.19&OCID=AID%eexcid!_OLA_%ebuy!_%epid!_%ecid!</v></cell></row><row r="3107"><cell r="K3107" t="str"><v>July</v></cell><cell r="L3107"><v>43309</v></cell><cell r="M3107" t="str"><v>Tier 0</v></cell><cell r="N3107" t="str"><v>North America</v></cell><cell r="O3107" t="str"><v>United States</v></cell><cell r="P3107" t="str"><v>Trial</v></cell><cell r="Q3107" t="str"><v>Social</v></cell><cell r="R3107" t="str"><v>Azure</v></cell><cell r="S3107" t="str"><v>Apps & Infra</v></cell><cell r="T3107" t="str"><v>Developers & ITI's</v></cell><cell r="U3107" t="str"><v>USA-Trial-ITD-Interest Prospecting-AZR-AZR</v></cell><cell r="V3107" t="str"><v>Prospecting</v></cell><cell r="W3107" t="str"><v>Canvas Ad</v></cell><cell r="X3107" t="str"><v>1x1</v></cell></row><row r="3107"><cell r="AA3107"><v>43303</v></cell><cell r="AB3107" t="str"><v>USA_gaPMG_AZR_AZR_Q1_19_Direct-Social</v></cell><cell r="AC3107"><v>21358715</v></cell><cell r="AD3107"><v>720197</v></cell><cell r="AE3107" t="str"><v>Facebook</v></cell><cell r="AF3107"><v>3654128</v></cell><cell r="AG3107" t="str"><v>FACEBOOK»USA-Trial-ITD-Interest Prospecting-AZR-AZR»1 x 1»SocialBan»CAN»ALL»CPA»PRO»X»NA»SS»NA»FBCTCBasicMotion»PRC1SV</v></cell><cell r="AH3107"><v>223934062</v></cell><cell r="AI3107" t="str"><v>AzurePlatform_FBCTCBasicMotion_USA_10s_CAN_PLATFORM_English_Trial_Standard_STAN_TIN_T1_2</v></cell><cell r="AJ3107"><v>103175984</v></cell></row><row r="3108"><cell r="C3108" t="str"><v>43303FACEBOOK»USA-Trial-ITD-Interest Prospecting-AZR-AZR»1 x 1»SocialBan»CAN»ALL»CPA»PRO»X»NA»SS»NA»FBCTCBenefit2inMotion»PRC1SW</v></cell><cell r="D3108" t="str"><v>43303223933138</v></cell><cell r="E3108" t="str"><v>43303103043835PRC1SW</v></cell><cell r="F3108" t="str"><v>DCM</v></cell><cell r="G3108" t="str"><v>https://signup.azure.com/?OCID=AID%eexcid!_OLA_%ebuy!_%epid!_%ecid!</v></cell></row><row r="3108"><cell r="K3108" t="str"><v>July</v></cell><cell r="L3108"><v>43309</v></cell><cell r="M3108" t="str"><v>Tier 0</v></cell><cell r="N3108" t="str"><v>North America</v></cell><cell r="O3108" t="str"><v>United States</v></cell><cell r="P3108" t="str"><v>Trial</v></cell><cell r="Q3108" t="str"><v>Social</v></cell><cell r="R3108" t="str"><v>Azure</v></cell><cell r="S3108" t="str"><v>Apps & Infra</v></cell><cell r="T3108" t="str"><v>Developers & ITI's</v></cell><cell r="U3108" t="str"><v>USA-Trial-ITD-Interest Prospecting-AZR-AZR</v></cell><cell r="V3108" t="str"><v>Prospecting</v></cell><cell r="W3108" t="str"><v>Canvas Ad</v></cell><cell r="X3108" t="str"><v>1x1</v></cell></row><row r="3108"><cell r="AA3108"><v>43303</v></cell><cell r="AB3108" t="str"><v>USA_gaPMG_AZR_AZR_Q1_19_Direct-Social</v></cell><cell r="AC3108"><v>21358715</v></cell><cell r="AD3108"><v>720197</v></cell><cell r="AE3108" t="str"><v>Facebook</v></cell><cell r="AF3108"><v>3654128</v></cell><cell r="AG3108" t="str"><v>FACEBOOK»USA-Trial-ITD-Interest Prospecting-AZR-AZR»1 x 1»SocialBan»CAN»ALL»CPA»PRO»X»NA»SS»NA»FBCTCBenefit2inMotion»PRC1SW</v></cell><cell r="AH3108"><v>223933138</v></cell><cell r="AI3108" t="str"><v>AzurePlatform_FBCTCBenefit2inMotion_USA_10s_CAN_PLATFORM_English_Trial_Standard_STAN_TIN_T4_1</v></cell><cell r="AJ3108"><v>103043835</v></cell></row><row r="3109"><cell r="C3109" t="str"><v>43303FACEBOOK»USA-Trial-ITD-Interest Prospecting-AZR-AZR»1 x 1»SocialBan»CAN»ALL»CPA»PRO»X»NA»SS»NA»FBCTCBenefit2inMotion»PRC1SW</v></cell><cell r="D3109" t="str"><v>43303223933138</v></cell><cell r="E3109" t="str"><v>43303103178645PRC1SW</v></cell><cell r="F3109" t="str"><v>DCM</v></cell><cell r="G3109" t="str"><v>https://azure.microsoft.com/en-us/pricing/purchase-options/?v=18.19&OCID=AID%eexcid!_OLA_%ebuy!_%epid!_%ecid!</v></cell></row><row r="3109"><cell r="K3109" t="str"><v>July</v></cell><cell r="L3109"><v>43309</v></cell><cell r="M3109" t="str"><v>Tier 0</v></cell><cell r="N3109" t="str"><v>North America</v></cell><cell r="O3109" t="str"><v>United States</v></cell><cell r="P3109" t="str"><v>Trial</v></cell><cell r="Q3109" t="str"><v>Social</v></cell><cell r="R3109" t="str"><v>Azure</v></cell><cell r="S3109" t="str"><v>Apps & Infra</v></cell><cell r="T3109" t="str"><v>Developers & ITI's</v></cell><cell r="U3109" t="str"><v>USA-Trial-ITD-Interest Prospecting-AZR-AZR</v></cell><cell r="V3109" t="str"><v>Prospecting</v></cell><cell r="W3109" t="str"><v>Canvas Ad</v></cell><cell r="X3109" t="str"><v>1x1</v></cell></row><row r="3109"><cell r="AA3109"><v>43303</v></cell><cell r="AB3109" t="str"><v>USA_gaPMG_AZR_AZR_Q1_19_Direct-Social</v></cell><cell r="AC3109"><v>21358715</v></cell><cell r="AD3109"><v>720197</v></cell><cell r="AE3109" t="str"><v>Facebook</v></cell><cell r="AF3109"><v>3654128</v></cell><cell r="AG3109" t="str"><v>FACEBOOK»USA-Trial-ITD-Interest Prospecting-AZR-AZR»1 x 1»SocialBan»CAN»ALL»CPA»PRO»X»NA»SS»NA»FBCTCBenefit2inMotion»PRC1SW</v></cell><cell r="AH3109"><v>223933138</v></cell><cell r="AI3109" t="str"><v>AzurePlatform_FBCTCBenefit2inMotion_USA_10s_CAN_PLATFORM_English_Trial_Standard_STAN_TIN_T4_2</v></cell><cell r="AJ3109"><v>103178645</v></cell></row><row r="3110"><cell r="C3110" t="str"><v>43303FACEBOOK»USA-Trial-ITD-Interest Prospecting-AZR-AZR»1 x 1»SocialBan»CAN»ALL»CPA»PRO»X»NA»SS»NA»FBCTCBrandinMotion»PRC1SY</v></cell><cell r="D3110" t="str"><v>43303224104929</v></cell><cell r="E3110" t="str"><v>43303103176812PRC1SY</v></cell><cell r="F3110" t="str"><v>DCM</v></cell><cell r="G3110" t="str"><v>https://signup.azure.com/?OCID=AID%eexcid!_OLA_%ebuy!_%epid!_%ecid!</v></cell></row><row r="3110"><cell r="K3110" t="str"><v>July</v></cell><cell r="L3110"><v>43309</v></cell><cell r="M3110" t="str"><v>Tier 0</v></cell><cell r="N3110" t="str"><v>North America</v></cell><cell r="O3110" t="str"><v>United States</v></cell><cell r="P3110" t="str"><v>Trial</v></cell><cell r="Q3110" t="str"><v>Social</v></cell><cell r="R3110" t="str"><v>Azure</v></cell><cell r="S3110" t="str"><v>Apps & Infra</v></cell><cell r="T3110" t="str"><v>Developers & ITI's</v></cell><cell r="U3110" t="str"><v>USA-Trial-ITD-Interest Prospecting-AZR-AZR</v></cell><cell r="V3110" t="str"><v>Prospecting</v></cell><cell r="W3110" t="str"><v>Canvas Ad</v></cell><cell r="X3110" t="str"><v>1x1</v></cell></row><row r="3110"><cell r="AA3110"><v>43303</v></cell><cell r="AB3110" t="str"><v>USA_gaPMG_AZR_AZR_Q1_19_Direct-Social</v></cell><cell r="AC3110"><v>21358715</v></cell><cell r="AD3110"><v>720197</v></cell><cell r="AE3110" t="str"><v>Facebook</v></cell><cell r="AF3110"><v>3654128</v></cell><cell r="AG3110" t="str"><v>FACEBOOK»USA-Trial-ITD-Interest Prospecting-AZR-AZR»1 x 1»SocialBan»CAN»ALL»CPA»PRO»X»NA»SS»NA»FBCTCBrandinMotion»PRC1SY</v></cell><cell r="AH3110"><v>224104929</v></cell><cell r="AI3110" t="str"><v>AzurePlatform_FBCTCBrandinMotion_USA_10s_CAN_PLATFORM_English_Trial_Standard_STAN_TIN_T2_1</v></cell><cell r="AJ3110"><v>103176812</v></cell></row><row r="3111"><cell r="C3111" t="str"><v>43303FACEBOOK»USA-Trial-ITD-Interest Prospecting-AZR-AZR»1 x 1»SocialBan»CAN»ALL»CPA»PRO»X»NA»SS»NA»FBCTCBrandinMotion»PRC1SY</v></cell><cell r="D3111" t="str"><v>43303224104929</v></cell><cell r="E3111" t="str"><v>43303103032823PRC1SY</v></cell><cell r="F3111" t="str"><v>DCM</v></cell><cell r="G3111" t="str"><v>https://azure.microsoft.com/en-us/pricing/purchase-options/?v=18.19&OCID=AID%eexcid!_OLA_%ebuy!_%epid!_%ecid!</v></cell></row><row r="3111"><cell r="K3111" t="str"><v>July</v></cell><cell r="L3111"><v>43309</v></cell><cell r="M3111" t="str"><v>Tier 0</v></cell><cell r="N3111" t="str"><v>North America</v></cell><cell r="O3111" t="str"><v>United States</v></cell><cell r="P3111" t="str"><v>Trial</v></cell><cell r="Q3111" t="str"><v>Social</v></cell><cell r="R3111" t="str"><v>Azure</v></cell><cell r="S3111" t="str"><v>Apps & Infra</v></cell><cell r="T3111" t="str"><v>Developers & ITI's</v></cell><cell r="U3111" t="str"><v>USA-Trial-ITD-Interest Prospecting-AZR-AZR</v></cell><cell r="V3111" t="str"><v>Prospecting</v></cell><cell r="W3111" t="str"><v>Canvas Ad</v></cell><cell r="X3111" t="str"><v>1x1</v></cell></row><row r="3111"><cell r="AA3111"><v>43303</v></cell><cell r="AB3111" t="str"><v>USA_gaPMG_AZR_AZR_Q1_19_Direct-Social</v></cell><cell r="AC3111"><v>21358715</v></cell><cell r="AD3111"><v>720197</v></cell><cell r="AE3111" t="str"><v>Facebook</v></cell><cell r="AF3111"><v>3654128</v></cell><cell r="AG3111" t="str"><v>FACEBOOK»USA-Trial-ITD-Interest Prospecting-AZR-AZR»1 x 1»SocialBan»CAN»ALL»CPA»PRO»X»NA»SS»NA»FBCTCBrandinMotion»PRC1SY</v></cell><cell r="AH3111"><v>224104929</v></cell><cell r="AI3111" t="str"><v>AzurePlatform_FBCTCBrandinMotion_USA_10s_CAN_PLATFORM_English_Trial_Standard_STAN_TIN_T2_2</v></cell><cell r="AJ3111"><v>103032823</v></cell></row><row r="3112"><cell r="C3112" t="str"><v>43303FACEBOOK»USA-Trial-ITD-Interest Prospecting-AZR-AZR»1 x 1»SocialBan»LIA»ALL»CPA»PRO»X»NA»SS»NA»FreeAcctDeveloperFB-AnimatedGeneric-Ch1»PRC1SZ</v></cell><cell r="D3112" t="str"><v>43303224104932</v></cell><cell r="E3112" t="str"><v>43303103176851PRC1SZ</v></cell><cell r="F3112" t="str"><v>DCM</v></cell><cell r="G3112" t="str"><v>https://azure.microsoft.com/en-us/free/search/?OCID=AID%eexcid!_OLA_%ebuy!_%epid!_%ecid!</v></cell></row><row r="3112"><cell r="K3112" t="str"><v>July</v></cell><cell r="L3112"><v>43309</v></cell><cell r="M3112" t="str"><v>Tier 0</v></cell><cell r="N3112" t="str"><v>North America</v></cell><cell r="O3112" t="str"><v>United States</v></cell><cell r="P3112" t="str"><v>Trial</v></cell><cell r="Q3112" t="str"><v>Social</v></cell><cell r="R3112" t="str"><v>Azure</v></cell><cell r="S3112" t="str"><v>Apps & Infra</v></cell><cell r="T3112" t="str"><v>Developers & ITI's</v></cell><cell r="U3112" t="str"><v>USA-Trial-ITD-Interest Prospecting-AZR-AZR</v></cell><cell r="V3112" t="str"><v>Prospecting</v></cell><cell r="W3112" t="str"><v>Link Ad</v></cell><cell r="X3112" t="str"><v>1x1</v></cell></row><row r="3112"><cell r="AA3112"><v>43303</v></cell><cell r="AB3112" t="str"><v>USA_gaPMG_AZR_AZR_Q1_19_Direct-Social</v></cell><cell r="AC3112"><v>21358715</v></cell><cell r="AD3112"><v>720197</v></cell><cell r="AE3112" t="str"><v>Facebook</v></cell><cell r="AF3112"><v>3654128</v></cell><cell r="AG3112" t="str"><v>FACEBOOK»USA-Trial-ITD-Interest Prospecting-AZR-AZR»1 x 1»SocialBan»LIA»ALL»CPA»PRO»X»NA»SS»NA»FreeAcctDeveloperFB-AnimatedGeneric-Ch1»PRC1SZ</v></cell><cell r="AH3112"><v>224104932</v></cell><cell r="AI3112" t="str"><v>AZR_FreeAcctDeveloperFB-AnimatedGeneric-Ch1_USA_1200x1200_CAN_Direct_English_Trial_Standard_ANI_LEA_T1_2</v></cell><cell r="AJ3112"><v>103176851</v></cell></row><row r="3113"><cell r="C3113" t="str"><v>43303FACEBOOK»USA-Trial-ITD-Interest Prospecting-AZR-AZR»1 x 1»SocialBan»LIA»ALL»CPA»PRO»X»NA»SS»NA»FreeAcctDeveloperFB-AnimatedGeneric-Ch1»PRC1T0</v></cell><cell r="D3113" t="str"><v>43303223934065</v></cell><cell r="E3113" t="str"><v>43303103176851PRC1T0</v></cell><cell r="F3113" t="str"><v>DCM</v></cell><cell r="G3113" t="str"><v>https://azure.microsoft.com/en-us/free/search/?OCID=AID%eexcid!_OLA_%ebuy!_%epid!_%ecid!</v></cell></row><row r="3113"><cell r="K3113" t="str"><v>July</v></cell><cell r="L3113"><v>43309</v></cell><cell r="M3113" t="str"><v>Tier 0</v></cell><cell r="N3113" t="str"><v>North America</v></cell><cell r="O3113" t="str"><v>United States</v></cell><cell r="P3113" t="str"><v>Trial</v></cell><cell r="Q3113" t="str"><v>Social</v></cell><cell r="R3113" t="str"><v>Azure</v></cell><cell r="S3113" t="str"><v>Apps & Infra</v></cell><cell r="T3113" t="str"><v>Developers & ITI's</v></cell><cell r="U3113" t="str"><v>USA-Trial-ITD-Interest Prospecting-AZR-AZR</v></cell><cell r="V3113" t="str"><v>Prospecting</v></cell><cell r="W3113" t="str"><v>Link Ad</v></cell><cell r="X3113" t="str"><v>1x1</v></cell></row><row r="3113"><cell r="AA3113"><v>43303</v></cell><cell r="AB3113" t="str"><v>USA_gaPMG_AZR_AZR_Q1_19_Direct-Social</v></cell><cell r="AC3113"><v>21358715</v></cell><cell r="AD3113"><v>720197</v></cell><cell r="AE3113" t="str"><v>Facebook</v></cell><cell r="AF3113"><v>3654128</v></cell><cell r="AG3113" t="str"><v>FACEBOOK»USA-Trial-ITD-Interest Prospecting-AZR-AZR»1 x 1»SocialBan»LIA»ALL»CPA»PRO»X»NA»SS»NA»FreeAcctDeveloperFB-AnimatedGeneric-Ch1»PRC1T0</v></cell><cell r="AH3113"><v>223934065</v></cell><cell r="AI3113" t="str"><v>AZR_FreeAcctDeveloperFB-AnimatedGeneric-Ch1_USA_1200x1200_CAN_Direct_English_Trial_Standard_ANI_LEA_T1_2</v></cell><cell r="AJ3113"><v>103176851</v></cell></row><row r="3114"><cell r="C3114" t="str"><v>43303FACEBOOK»USA-Trial-ITD-Interest Prospecting-AZR-AZR»1 x 1»SocialBan»LIA»ALL»CPA»PRO»X»NA»SS»NA»FreeAcctITProFB-AnimatedHybrid-Ch2»PRC1T5</v></cell><cell r="D3114" t="str"><v>43303223862882</v></cell><cell r="E3114" t="str"><v>43303103180583PRC1T5</v></cell><cell r="F3114" t="str"><v>DCM</v></cell></row><row r="3114"><cell r="K3114" t="str"><v>July</v></cell><cell r="L3114"><v>43309</v></cell><cell r="M3114" t="str"><v>Tier 0</v></cell><cell r="N3114" t="str"><v>North America</v></cell><cell r="O3114" t="str"><v>United States</v></cell><cell r="P3114" t="str"><v>Trial</v></cell><cell r="Q3114" t="str"><v>Social</v></cell><cell r="R3114" t="str"><v>Azure</v></cell><cell r="S3114" t="str"><v>Apps & Infra</v></cell><cell r="T3114" t="str"><v>Developers & ITI's</v></cell><cell r="U3114" t="str"><v>USA-Trial-ITD-Interest Prospecting-AZR-AZR</v></cell><cell r="V3114" t="str"><v>Prospecting</v></cell><cell r="W3114" t="str"><v>Link Ad</v></cell><cell r="X3114" t="str"><v>1x1</v></cell></row><row r="3114"><cell r="AA3114"><v>43303</v></cell><cell r="AB3114" t="str"><v>USA_gaPMG_AZR_AZR_Q1_19_Direct-Social</v></cell><cell r="AC3114"><v>21358715</v></cell><cell r="AD3114"><v>720197</v></cell><cell r="AE3114" t="str"><v>Facebook</v></cell><cell r="AF3114"><v>3654128</v></cell><cell r="AG3114" t="str"><v>FACEBOOK»USA-Trial-ITD-Interest Prospecting-AZR-AZR»1 x 1»SocialBan»LIA»ALL»CPA»PRO»X»NA»SS»NA»FreeAcctITProFB-AnimatedHybrid-Ch2»PRC1T5</v></cell><cell r="AH3114"><v>223862882</v></cell><cell r="AI3114" t="str"><v>AZR_FreeAcctITProFB-AnimatedHybrid-Ch2_USA_1200x1200_CAN_Direct_English_Trial_Standard_ANI_LEA_T2_2</v></cell><cell r="AJ3114"><v>103180583</v></cell></row><row r="3115"><cell r="C3115" t="str"><v>43303FACEBOOK»USA-Trial-ITD-Interest Prospecting-AZR-AZR»1 x 1»SocialBan»LIA»ALL»CPA»PRO»X»NA»SS»NA»FreeAcctITProFB-AnimatedSecureMngd-Ch1»PRC1T4</v></cell><cell r="D3115" t="str"><v>43303224104914</v></cell><cell r="E3115" t="str"><v>43303103176830PRC1T4</v></cell><cell r="F3115" t="str"><v>DCM</v></cell></row><row r="3115"><cell r="K3115" t="str"><v>July</v></cell><cell r="L3115"><v>43309</v></cell><cell r="M3115" t="str"><v>Tier 0</v></cell><cell r="N3115" t="str"><v>North America</v></cell><cell r="O3115" t="str"><v>United States</v></cell><cell r="P3115" t="str"><v>Trial</v></cell><cell r="Q3115" t="str"><v>Social</v></cell><cell r="R3115" t="str"><v>Azure</v></cell><cell r="S3115" t="str"><v>Apps & Infra</v></cell><cell r="T3115" t="str"><v>Developers & ITI's</v></cell><cell r="U3115" t="str"><v>USA-Trial-ITD-Interest Prospecting-AZR-AZR</v></cell><cell r="V3115" t="str"><v>Prospecting</v></cell><cell r="W3115" t="str"><v>Link Ad</v></cell><cell r="X3115" t="str"><v>1x1</v></cell></row><row r="3115"><cell r="AA3115"><v>43303</v></cell><cell r="AB3115" t="str"><v>USA_gaPMG_AZR_AZR_Q1_19_Direct-Social</v></cell><cell r="AC3115"><v>21358715</v></cell><cell r="AD3115"><v>720197</v></cell><cell r="AE3115" t="str"><v>Facebook</v></cell><cell r="AF3115"><v>3654128</v></cell><cell r="AG3115" t="str"><v>FACEBOOK»USA-Trial-ITD-Interest Prospecting-AZR-AZR»1 x 1»SocialBan»LIA»ALL»CPA»PRO»X»NA»SS»NA»FreeAcctITProFB-AnimatedSecureMngd-Ch1»PRC1T4</v></cell><cell r="AH3115"><v>224104914</v></cell><cell r="AI3115" t="str"><v>AZR_FreeAcctITProFB-AnimatedSecureMngd-Ch1_USA_1200x1200_CAN_Direct_English_Trial_Standard_ANI_LEA_T1_1</v></cell><cell r="AJ3115"><v>103176830</v></cell></row><row r="3116"><cell r="C3116" t="str"><v>43303FACEBOOK»USA-Trial-ITD-Interest Prospecting-AZR-AZR»1 x 1»SocialBan»CAN»ALL»CPA»PRO»X»NA»SS»NA»FBCTCBenefitinMotion»PRC1SX</v></cell><cell r="D3116" t="str"><v>43303224104077</v></cell><cell r="E3116" t="str"><v>43303103032775PRC1SX</v></cell><cell r="F3116" t="str"><v>DCM</v></cell><cell r="G3116" t="str"><v>https://signup.azure.com/?OCID=AID%eexcid!_OLA_%ebuy!_%epid!_%ecid!</v></cell></row><row r="3116"><cell r="K3116" t="str"><v>July</v></cell><cell r="L3116"><v>43309</v></cell><cell r="M3116" t="str"><v>Tier 0</v></cell><cell r="N3116" t="str"><v>North America</v></cell><cell r="O3116" t="str"><v>United States</v></cell><cell r="P3116" t="str"><v>Trial</v></cell><cell r="Q3116" t="str"><v>Social</v></cell><cell r="R3116" t="str"><v>Azure</v></cell><cell r="S3116" t="str"><v>Apps & Infra</v></cell><cell r="T3116" t="str"><v>Developers & ITI's</v></cell><cell r="U3116" t="str"><v>USA-Trial-ITD-Interest Prospecting-AZR-AZR</v></cell><cell r="V3116" t="str"><v>Prospecting</v></cell><cell r="W3116" t="str"><v>Canvas Ad</v></cell><cell r="X3116" t="str"><v>1x1</v></cell></row><row r="3116"><cell r="AA3116"><v>43303</v></cell><cell r="AB3116" t="str"><v>USA_gaPMG_AZR_AZR_Q1_19_Direct-Social</v></cell><cell r="AC3116"><v>21358715</v></cell><cell r="AD3116"><v>720197</v></cell><cell r="AE3116" t="str"><v>Facebook</v></cell><cell r="AF3116"><v>3654128</v></cell><cell r="AG3116" t="str"><v>FACEBOOK»USA-Trial-ITD-Interest Prospecting-AZR-AZR»1 x 1»SocialBan»CAN»ALL»CPA»PRO»X»NA»SS»NA»FBCTCBenefitinMotion»PRC1SX</v></cell><cell r="AH3116"><v>224104077</v></cell><cell r="AI3116" t="str"><v>AzurePlatform_FBCTCBenefitinMotion_USA_10s_CAN_PLATFORM_English_Trial_Standard_STAN_TIN_T3_1</v></cell><cell r="AJ3116"><v>103032775</v></cell></row><row r="3117"><cell r="C3117" t="str"><v>43303FACEBOOK»USA-Trial-ITD-Retargeting-AZR-AZR»1 x 1»SocialBan»LIA»ALL»CPA»RT»X»NA»SS»NA»FreeAcctDeveloperFB-AnimatedAI-Ch3»PRC26H</v></cell><cell r="D3117" t="str"><v>43303223863371</v></cell><cell r="E3117" t="str"><v>43303103032778PRC26H</v></cell><cell r="F3117" t="str"><v>DCM</v></cell></row><row r="3117"><cell r="K3117" t="str"><v>July</v></cell><cell r="L3117"><v>43309</v></cell><cell r="M3117" t="str"><v>Tier 0</v></cell><cell r="N3117" t="str"><v>North America</v></cell><cell r="O3117" t="str"><v>United States</v></cell><cell r="P3117" t="str"><v>Trial</v></cell><cell r="Q3117" t="str"><v>Social</v></cell><cell r="R3117" t="str"><v>Azure</v></cell><cell r="S3117" t="str"><v>Apps & Infra</v></cell><cell r="T3117" t="str"><v>Developers & ITI's</v></cell><cell r="U3117" t="str"><v>USA-Trial-ITD-Retargeting-AZR-AZR</v></cell><cell r="V3117" t="str"><v>Retargeting</v></cell><cell r="W3117" t="str"><v>Link Ad</v></cell><cell r="X3117" t="str"><v>1x1</v></cell></row><row r="3117"><cell r="AA3117"><v>43303</v></cell><cell r="AB3117" t="str"><v>USA_gaPMG_AZR_AZR_Q1_19_Direct-Social</v></cell><cell r="AC3117"><v>21358715</v></cell><cell r="AD3117"><v>720197</v></cell><cell r="AE3117" t="str"><v>Facebook</v></cell><cell r="AF3117"><v>3654128</v></cell><cell r="AG3117" t="str"><v>FACEBOOK»USA-Trial-ITD-Retargeting-AZR-AZR»1 x 1»SocialBan»LIA»ALL»CPA»RT»X»NA»SS»NA»FreeAcctDeveloperFB-AnimatedAI-Ch3»PRC26H</v></cell><cell r="AH3117"><v>223863371</v></cell><cell r="AI3117" t="str"><v>AZR_FreeAcctDeveloperFB-AnimatedAI-Ch3_USA_1200x1200_CAN_Direct_English_Trial_Standard_ANI_LEA_T3_1</v></cell><cell r="AJ3117"><v>103032778</v></cell></row><row r="3118"><cell r="C3118" t="str"><v>43303FACEBOOK»USA-Trial-ITD-Retargeting-AZR-AZR»1 x 1»SocialBan»LIA»ALL»CPA»RT»X»NA»SS»NA»FreeAcctDeveloperFB-AnimatedData-Ch4»PRC26J</v></cell><cell r="D3118" t="str"><v>43303224106078</v></cell><cell r="E3118" t="str"><v>43303103037935PRC26J</v></cell><cell r="F3118" t="str"><v>DCM</v></cell></row><row r="3118"><cell r="K3118" t="str"><v>July</v></cell><cell r="L3118"><v>43309</v></cell><cell r="M3118" t="str"><v>Tier 0</v></cell><cell r="N3118" t="str"><v>North America</v></cell><cell r="O3118" t="str"><v>United States</v></cell><cell r="P3118" t="str"><v>Trial</v></cell><cell r="Q3118" t="str"><v>Social</v></cell><cell r="R3118" t="str"><v>Azure</v></cell><cell r="S3118" t="str"><v>Apps & Infra</v></cell><cell r="T3118" t="str"><v>Developers & ITI's</v></cell><cell r="U3118" t="str"><v>USA-Trial-ITD-Retargeting-AZR-AZR</v></cell><cell r="V3118" t="str"><v>Retargeting</v></cell><cell r="W3118" t="str"><v>Link Ad</v></cell><cell r="X3118" t="str"><v>1x1</v></cell></row><row r="3118"><cell r="AA3118"><v>43303</v></cell><cell r="AB3118" t="str"><v>USA_gaPMG_AZR_AZR_Q1_19_Direct-Social</v></cell><cell r="AC3118"><v>21358715</v></cell><cell r="AD3118"><v>720197</v></cell><cell r="AE3118" t="str"><v>Facebook</v></cell><cell r="AF3118"><v>3654128</v></cell><cell r="AG3118" t="str"><v>FACEBOOK»USA-Trial-ITD-Retargeting-AZR-AZR»1 x 1»SocialBan»LIA»ALL»CPA»RT»X»NA»SS»NA»FreeAcctDeveloperFB-AnimatedData-Ch4»PRC26J</v></cell><cell r="AH3118"><v>224106078</v></cell><cell r="AI3118" t="str"><v>AZR_FreeAcctDeveloperFB-AnimatedData-Ch4_USA_1200x1200_CAN_Direct_English_Trial_Standard_ANI_LEA_T4_2</v></cell><cell r="AJ3118"><v>103037935</v></cell></row><row r="3119"><cell r="C3119" t="str"><v>43303FACEBOOK»USA-Trial-ITD-Retargeting-AZR-AZR»1 x 1»SocialBan»LIA»ALL»CPA»RT»X»NA»SS»NA»FreeAcctDeveloperFB-AnimatedGeneric-Ch1»PRC26F</v></cell><cell r="D3119" t="str"><v>43303224105850</v></cell><cell r="E3119" t="str"><v>43303103176851PRC26F</v></cell><cell r="F3119" t="str"><v>DCM</v></cell><cell r="G3119" t="str"><v>https://azure.microsoft.com/en-us/free/search/?OCID=AID%eexcid!_OLA_%ebuy!_%epid!_%ecid!</v></cell></row><row r="3119"><cell r="K3119" t="str"><v>July</v></cell><cell r="L3119"><v>43309</v></cell><cell r="M3119" t="str"><v>Tier 0</v></cell><cell r="N3119" t="str"><v>North America</v></cell><cell r="O3119" t="str"><v>United States</v></cell><cell r="P3119" t="str"><v>Trial</v></cell><cell r="Q3119" t="str"><v>Social</v></cell><cell r="R3119" t="str"><v>Azure</v></cell><cell r="S3119" t="str"><v>Apps & Infra</v></cell><cell r="T3119" t="str"><v>Developers & ITI's</v></cell><cell r="U3119" t="str"><v>USA-Trial-ITD-Retargeting-AZR-AZR</v></cell><cell r="V3119" t="str"><v>Retargeting</v></cell><cell r="W3119" t="str"><v>Link Ad</v></cell><cell r="X3119" t="str"><v>1x1</v></cell></row><row r="3119"><cell r="AA3119"><v>43303</v></cell><cell r="AB3119" t="str"><v>USA_gaPMG_AZR_AZR_Q1_19_Direct-Social</v></cell><cell r="AC3119"><v>21358715</v></cell><cell r="AD3119"><v>720197</v></cell><cell r="AE3119" t="str"><v>Facebook</v></cell><cell r="AF3119"><v>3654128</v></cell><cell r="AG3119" t="str"><v>FACEBOOK»USA-Trial-ITD-Retargeting-AZR-AZR»1 x 1»SocialBan»LIA»ALL»CPA»RT»X»NA»SS»NA»FreeAcctDeveloperFB-AnimatedGeneric-Ch1»PRC26F</v></cell><cell r="AH3119"><v>224105850</v></cell><cell r="AI3119" t="str"><v>AZR_FreeAcctDeveloperFB-AnimatedGeneric-Ch1_USA_1200x1200_CAN_Direct_English_Trial_Standard_ANI_LEA_T1_2</v></cell><cell r="AJ3119"><v>103176851</v></cell></row><row r="3120"><cell r="C3120" t="str"><v>43303FACEBOOK»USA-Trial-ITD-Retargeting-AZR-AZR»1 x 1»SocialBan»LIA»ALL»CPA»RT»X»NA»SS»NA»FreeAcctITProFB-AnimatedHybrid-Ch2»PRC26N</v></cell><cell r="D3120" t="str"><v>43303223934053</v></cell><cell r="E3120" t="str"><v>43303103180583PRC26N</v></cell><cell r="F3120" t="str"><v>DCM</v></cell></row><row r="3120"><cell r="K3120" t="str"><v>July</v></cell><cell r="L3120"><v>43309</v></cell><cell r="M3120" t="str"><v>Tier 0</v></cell><cell r="N3120" t="str"><v>North America</v></cell><cell r="O3120" t="str"><v>United States</v></cell><cell r="P3120" t="str"><v>Trial</v></cell><cell r="Q3120" t="str"><v>Social</v></cell><cell r="R3120" t="str"><v>Azure</v></cell><cell r="S3120" t="str"><v>Apps & Infra</v></cell><cell r="T3120" t="str"><v>Developers & ITI's</v></cell><cell r="U3120" t="str"><v>USA-Trial-ITD-Retargeting-AZR-AZR</v></cell><cell r="V3120" t="str"><v>Retargeting</v></cell><cell r="W3120" t="str"><v>Link Ad</v></cell><cell r="X3120" t="str"><v>1x1</v></cell></row><row r="3120"><cell r="AA3120"><v>43303</v></cell><cell r="AB3120" t="str"><v>USA_gaPMG_AZR_AZR_Q1_19_Direct-Social</v></cell><cell r="AC3120"><v>21358715</v></cell><cell r="AD3120"><v>720197</v></cell><cell r="AE3120" t="str"><v>Facebook</v></cell><cell r="AF3120"><v>3654128</v></cell><cell r="AG3120" t="str"><v>FACEBOOK»USA-Trial-ITD-Retargeting-AZR-AZR»1 x 1»SocialBan»LIA»ALL»CPA»RT»X»NA»SS»NA»FreeAcctITProFB-AnimatedHybrid-Ch2»PRC26N</v></cell><cell r="AH3120"><v>223934053</v></cell><cell r="AI3120" t="str"><v>AZR_FreeAcctITProFB-AnimatedHybrid-Ch2_USA_1200x1200_CAN_Direct_English_Trial_Standard_ANI_LEA_T2_2</v></cell><cell r="AJ3120"><v>103180583</v></cell></row><row r="3121"><cell r="C3121" t="str"><v>43303FACEBOOK»USA-Trial-ITD-Retargeting-AZR-AZR»1 x 1»SocialBan»LIA»ALL»CPA»RT»X»NA»SS»NA»FreeAcctITProFB-AnimatedMigration-Ch3»PRC26P</v></cell><cell r="D3121" t="str"><v>43303223934056</v></cell><cell r="E3121" t="str"><v>43303103176827PRC26P</v></cell><cell r="F3121" t="str"><v>DCM</v></cell></row><row r="3121"><cell r="K3121" t="str"><v>July</v></cell><cell r="L3121"><v>43309</v></cell><cell r="M3121" t="str"><v>Tier 0</v></cell><cell r="N3121" t="str"><v>North America</v></cell><cell r="O3121" t="str"><v>United States</v></cell><cell r="P3121" t="str"><v>Trial</v></cell><cell r="Q3121" t="str"><v>Social</v></cell><cell r="R3121" t="str"><v>Azure</v></cell><cell r="S3121" t="str"><v>Apps & Infra</v></cell><cell r="T3121" t="str"><v>Developers & ITI's</v></cell><cell r="U3121" t="str"><v>USA-Trial-ITD-Retargeting-AZR-AZR</v></cell><cell r="V3121" t="str"><v>Retargeting</v></cell><cell r="W3121" t="str"><v>Link Ad</v></cell><cell r="X3121" t="str"><v>1x1</v></cell></row><row r="3121"><cell r="AA3121"><v>43303</v></cell><cell r="AB3121" t="str"><v>USA_gaPMG_AZR_AZR_Q1_19_Direct-Social</v></cell><cell r="AC3121"><v>21358715</v></cell><cell r="AD3121"><v>720197</v></cell><cell r="AE3121" t="str"><v>Facebook</v></cell><cell r="AF3121"><v>3654128</v></cell><cell r="AG3121" t="str"><v>FACEBOOK»USA-Trial-ITD-Retargeting-AZR-AZR»1 x 1»SocialBan»LIA»ALL»CPA»RT»X»NA»SS»NA»FreeAcctITProFB-AnimatedMigration-Ch3»PRC26P</v></cell><cell r="AH3121"><v>223934056</v></cell><cell r="AI3121" t="str"><v>AZR_FreeAcctITProFB-AnimatedMigration-Ch3_USA_1200x1200_CAN_Direct_English_Trial_Standard_ANI_LEA_T3_1</v></cell><cell r="AJ3121"><v>103176827</v></cell></row><row r="3122"><cell r="C3122" t="str"><v>43303FACEBOOK»USA-Trial-ITD-Retargeting-AZR-AZR»1 x 1»SocialBan»LIA»ALL»CPA»RT»X»NA»SS»NA»FreeAcctRetargetingFB-Animated-ChC»PRC1RX</v></cell><cell r="D3122" t="str"><v>43303223862864</v></cell><cell r="E3122" t="str"><v>43303103180880PRC1RX</v></cell><cell r="F3122" t="str"><v>DCM</v></cell><cell r="G3122" t="str"><v>https://azure.microsoft.com/en-us/free/search/?OCID=AID%eexcid!_OLA_%ebuy!_%epid!_%ecid!</v></cell></row><row r="3122"><cell r="K3122" t="str"><v>July</v></cell><cell r="L3122"><v>43309</v></cell><cell r="M3122" t="str"><v>Tier 0</v></cell><cell r="N3122" t="str"><v>North America</v></cell><cell r="O3122" t="str"><v>United States</v></cell><cell r="P3122" t="str"><v>Trial</v></cell><cell r="Q3122" t="str"><v>Social</v></cell><cell r="R3122" t="str"><v>Azure</v></cell><cell r="S3122" t="str"><v>Apps & Infra</v></cell><cell r="T3122" t="str"><v>Developers & ITI's</v></cell><cell r="U3122" t="str"><v>USA-Trial-ITD-Retargeting-AZR-AZR</v></cell><cell r="V3122" t="str"><v>Retargeting</v></cell><cell r="W3122" t="str"><v>Link Ad</v></cell><cell r="X3122" t="str"><v>1x1</v></cell></row><row r="3122"><cell r="AA3122"><v>43303</v></cell><cell r="AB3122" t="str"><v>USA_gaPMG_AZR_AZR_Q1_19_Direct-Social</v></cell><cell r="AC3122"><v>21358715</v></cell><cell r="AD3122"><v>720197</v></cell><cell r="AE3122" t="str"><v>Facebook</v></cell><cell r="AF3122"><v>3654128</v></cell><cell r="AG3122" t="str"><v>FACEBOOK»USA-Trial-ITD-Retargeting-AZR-AZR»1 x 1»SocialBan»LIA»ALL»CPA»RT»X»NA»SS»NA»FreeAcctRetargetingFB-Animated-ChC»PRC1RX</v></cell><cell r="AH3122"><v>223862864</v></cell><cell r="AI3122" t="str"><v>AzurePlatform_FreeAcctRetargetingFB-Animated-ChC_USA_1200x628_CAN_PLATFORM_English_Free Account_Standard_ANI_SINU_T3_2</v></cell><cell r="AJ3122"><v>103180880</v></cell></row><row r="3123"><cell r="C3123" t="str"><v>43303FACEBOOK»USA-Trial-ITD-Retargeting-AZR-AZR»1 x 1»SocialBan»LIA»ALL»CPA»RT»X»NA»SS»NA»FreeAcctRetargetingFB-Credit-ChA»PRC1RV</v></cell><cell r="D3123" t="str"><v>43303224106075</v></cell><cell r="E3123" t="str"><v>43303103034917PRC1RV</v></cell><cell r="F3123" t="str"><v>DCM</v></cell><cell r="G3123" t="str"><v>https://azure.microsoft.com/en-us/free/search/?OCID=AID%eexcid!_OLA_%ebuy!_%epid!_%ecid!</v></cell></row><row r="3123"><cell r="K3123" t="str"><v>July</v></cell><cell r="L3123"><v>43309</v></cell><cell r="M3123" t="str"><v>Tier 0</v></cell><cell r="N3123" t="str"><v>North America</v></cell><cell r="O3123" t="str"><v>United States</v></cell><cell r="P3123" t="str"><v>Trial</v></cell><cell r="Q3123" t="str"><v>Social</v></cell><cell r="R3123" t="str"><v>Azure</v></cell><cell r="S3123" t="str"><v>Apps & Infra</v></cell><cell r="T3123" t="str"><v>Developers & ITI's</v></cell><cell r="U3123" t="str"><v>USA-Trial-ITD-Retargeting-AZR-AZR</v></cell><cell r="V3123" t="str"><v>Retargeting</v></cell><cell r="W3123" t="str"><v>Link Ad</v></cell><cell r="X3123" t="str"><v>1x1</v></cell></row><row r="3123"><cell r="AA3123"><v>43303</v></cell><cell r="AB3123" t="str"><v>USA_gaPMG_AZR_AZR_Q1_19_Direct-Social</v></cell><cell r="AC3123"><v>21358715</v></cell><cell r="AD3123"><v>720197</v></cell><cell r="AE3123" t="str"><v>Facebook</v></cell><cell r="AF3123"><v>3654128</v></cell><cell r="AG3123" t="str"><v>FACEBOOK»USA-Trial-ITD-Retargeting-AZR-AZR»1 x 1»SocialBan»LIA»ALL»CPA»RT»X»NA»SS»NA»FreeAcctRetargetingFB-Credit-ChA»PRC1RV</v></cell><cell r="AH3123"><v>224106075</v></cell><cell r="AI3123" t="str"><v>AzurePlatform_FreeAcctRetargetingFB-Credit-ChA_USA_1200x628_CAN_PLATFORM_English_Free Account_Standard_NA_SINU_T1_2</v></cell><cell r="AJ3123"><v>103034917</v></cell></row><row r="3124"><cell r="C3124" t="str"><v>43303FACEBOOK»USA-Trial-ITD-Retargeting-AZR-AZR»1 x 1»SocialBan»LIA»ALL»CPA»RT»X»NA»SS»NA»FreeAcctRetargetingFB-GlobalAlt-ChB»PRC1RW</v></cell><cell r="D3124" t="str"><v>43303223862756</v></cell><cell r="E3124" t="str"><v>43303103180592PRC1RW</v></cell><cell r="F3124" t="str"><v>DCM</v></cell><cell r="G3124" t="str"><v>https://azure.microsoft.com/en-us/free/search/?OCID=AID%eexcid!_OLA_%ebuy!_%epid!_%ecid!</v></cell></row><row r="3124"><cell r="K3124" t="str"><v>July</v></cell><cell r="L3124"><v>43309</v></cell><cell r="M3124" t="str"><v>Tier 0</v></cell><cell r="N3124" t="str"><v>North America</v></cell><cell r="O3124" t="str"><v>United States</v></cell><cell r="P3124" t="str"><v>Trial</v></cell><cell r="Q3124" t="str"><v>Social</v></cell><cell r="R3124" t="str"><v>Azure</v></cell><cell r="S3124" t="str"><v>Apps & Infra</v></cell><cell r="T3124" t="str"><v>Developers & ITI's</v></cell><cell r="U3124" t="str"><v>USA-Trial-ITD-Retargeting-AZR-AZR</v></cell><cell r="V3124" t="str"><v>Retargeting</v></cell><cell r="W3124" t="str"><v>Link Ad</v></cell><cell r="X3124" t="str"><v>1x1</v></cell></row><row r="3124"><cell r="AA3124"><v>43303</v></cell><cell r="AB3124" t="str"><v>USA_gaPMG_AZR_AZR_Q1_19_Direct-Social</v></cell><cell r="AC3124"><v>21358715</v></cell><cell r="AD3124"><v>720197</v></cell><cell r="AE3124" t="str"><v>Facebook</v></cell><cell r="AF3124"><v>3654128</v></cell><cell r="AG3124" t="str"><v>FACEBOOK»USA-Trial-ITD-Retargeting-AZR-AZR»1 x 1»SocialBan»LIA»ALL»CPA»RT»X»NA»SS»NA»FreeAcctRetargetingFB-GlobalAlt-ChB»PRC1RW</v></cell><cell r="AH3124"><v>223862756</v></cell><cell r="AI3124" t="str"><v>AzurePlatform_FreeAcctRetargetingFB-GlobalAlt-ChB_USA_1200x628_CAN_PLATFORM_English_Free Account_Standard_NA_SINU_T2_1</v></cell><cell r="AJ3124"><v>103180592</v></cell></row><row r="3125"><cell r="C3125" t="str"><v>43303FACEBOOK»USA-Trial-ITD-Retargeting-AZR-AZR»1 x 1»SocialBan»LIA»ALL»CPA»RT»X»NA»SS»NA»FreeAcctRetargetingVMFB-750Hrs-ChD»PRC1RY</v></cell><cell r="D3125" t="str"><v>43303223862747</v></cell><cell r="E3125" t="str"><v>43303103034911PRC1RY</v></cell><cell r="F3125" t="str"><v>DCM</v></cell><cell r="G3125" t="str"><v>https://azure.microsoft.com/en-us/free/virtual-machines/search/?OCID=AID%eexcid!_OLA_%ebuy!_%epid!_%ecid!</v></cell></row><row r="3125"><cell r="K3125" t="str"><v>July</v></cell><cell r="L3125"><v>43309</v></cell><cell r="M3125" t="str"><v>Tier 0</v></cell><cell r="N3125" t="str"><v>North America</v></cell><cell r="O3125" t="str"><v>United States</v></cell><cell r="P3125" t="str"><v>Trial</v></cell><cell r="Q3125" t="str"><v>Social</v></cell><cell r="R3125" t="str"><v>Azure</v></cell><cell r="S3125" t="str"><v>Apps & Infra</v></cell><cell r="T3125" t="str"><v>Developers & ITI's</v></cell><cell r="U3125" t="str"><v>USA-Trial-ITD-Retargeting-AZR-AZR</v></cell><cell r="V3125" t="str"><v>Retargeting</v></cell><cell r="W3125" t="str"><v>Link Ad</v></cell><cell r="X3125" t="str"><v>1x1</v></cell></row><row r="3125"><cell r="AA3125"><v>43303</v></cell><cell r="AB3125" t="str"><v>USA_gaPMG_AZR_AZR_Q1_19_Direct-Social</v></cell><cell r="AC3125"><v>21358715</v></cell><cell r="AD3125"><v>720197</v></cell><cell r="AE3125" t="str"><v>Facebook</v></cell><cell r="AF3125"><v>3654128</v></cell><cell r="AG3125" t="str"><v>FACEBOOK»USA-Trial-ITD-Retargeting-AZR-AZR»1 x 1»SocialBan»LIA»ALL»CPA»RT»X»NA»SS»NA»FreeAcctRetargetingVMFB-750Hrs-ChD»PRC1RY</v></cell><cell r="AH3125"><v>223862747</v></cell><cell r="AI3125" t="str"><v>AzurePlatform_FreeAcctRetargetingVMFB-750Hrs-ChD_USA_1200x628_CAN_PLATFORM_English_Free Account_Standard_NA_SINU_T1_1</v></cell><cell r="AJ3125"><v>103034911</v></cell></row><row r="3126"><cell r="C3126" t="str"><v>43303FACEBOOK»USA-Trial-ITD-Retargeting-AZR-AZR»1 x 1»SocialBan»LIA»ALL»CPA»RT»X»NA»SS»NA»FreeAcctRetargetingVMFB-OnDemand-ChE»PRC1S0</v></cell><cell r="D3126" t="str"><v>43303224104899</v></cell><cell r="E3126" t="str"><v>43303103180610PRC1S0</v></cell><cell r="F3126" t="str"><v>DCM</v></cell><cell r="G3126" t="str"><v>https://azure.microsoft.com/en-us/free/virtual-machines/search/?OCID=AID%eexcid!_OLA_%ebuy!_%epid!_%ecid!</v></cell></row><row r="3126"><cell r="K3126" t="str"><v>July</v></cell><cell r="L3126"><v>43309</v></cell><cell r="M3126" t="str"><v>Tier 0</v></cell><cell r="N3126" t="str"><v>North America</v></cell><cell r="O3126" t="str"><v>United States</v></cell><cell r="P3126" t="str"><v>Trial</v></cell><cell r="Q3126" t="str"><v>Social</v></cell><cell r="R3126" t="str"><v>Azure</v></cell><cell r="S3126" t="str"><v>Apps & Infra</v></cell><cell r="T3126" t="str"><v>Developers & ITI's</v></cell><cell r="U3126" t="str"><v>USA-Trial-ITD-Retargeting-AZR-AZR</v></cell><cell r="V3126" t="str"><v>Retargeting</v></cell><cell r="W3126" t="str"><v>Link Ad</v></cell><cell r="X3126" t="str"><v>1x1</v></cell></row><row r="3126"><cell r="AA3126"><v>43303</v></cell><cell r="AB3126" t="str"><v>USA_gaPMG_AZR_AZR_Q1_19_Direct-Social</v></cell><cell r="AC3126"><v>21358715</v></cell><cell r="AD3126"><v>720197</v></cell><cell r="AE3126" t="str"><v>Facebook</v></cell><cell r="AF3126"><v>3654128</v></cell><cell r="AG3126" t="str"><v>FACEBOOK»USA-Trial-ITD-Retargeting-AZR-AZR»1 x 1»SocialBan»LIA»ALL»CPA»RT»X»NA»SS»NA»FreeAcctRetargetingVMFB-OnDemand-ChE»PRC1S0</v></cell><cell r="AH3126"><v>224104899</v></cell><cell r="AI3126" t="str"><v>AzurePlatform_FreeAcctRetargetingVMFB-OnDemand-ChE_USA_1200x628_CAN_PLATFORM_English_Free Account_Standard_NA_SINU_T2_1</v></cell><cell r="AJ3126"><v>103180610</v></cell></row><row r="3127"><cell r="C3127" t="str"><v>43303FACEBOOK»USA-Trial-ITD-Retargeting-AZR-AZR»1 x 1»SocialBan»CAN»ALL»CPA»RT»X»NA»SS»NA»FBCTCBenefit2inMotion»PRC1RR</v></cell><cell r="D3127" t="str"><v>43303224104896</v></cell><cell r="E3127" t="str"><v>43303103043835PRC1RR</v></cell><cell r="F3127" t="str"><v>DCM</v></cell><cell r="G3127" t="str"><v>https://signup.azure.com/?OCID=AID%eexcid!_OLA_%ebuy!_%epid!_%ecid!</v></cell></row><row r="3127"><cell r="K3127" t="str"><v>July</v></cell><cell r="L3127"><v>43309</v></cell><cell r="M3127" t="str"><v>Tier 0</v></cell><cell r="N3127" t="str"><v>North America</v></cell><cell r="O3127" t="str"><v>United States</v></cell><cell r="P3127" t="str"><v>Trial</v></cell><cell r="Q3127" t="str"><v>Social</v></cell><cell r="R3127" t="str"><v>Azure</v></cell><cell r="S3127" t="str"><v>Apps & Infra</v></cell><cell r="T3127" t="str"><v>Developers & ITI's</v></cell><cell r="U3127" t="str"><v>USA-Trial-ITD-Retargeting-AZR-AZR</v></cell><cell r="V3127" t="str"><v>Retargeting</v></cell><cell r="W3127" t="str"><v>Canvas Ad</v></cell><cell r="X3127" t="str"><v>1x1</v></cell></row><row r="3127"><cell r="AA3127"><v>43303</v></cell><cell r="AB3127" t="str"><v>USA_gaPMG_AZR_AZR_Q1_19_Direct-Social</v></cell><cell r="AC3127"><v>21358715</v></cell><cell r="AD3127"><v>720197</v></cell><cell r="AE3127" t="str"><v>Facebook</v></cell><cell r="AF3127"><v>3654128</v></cell><cell r="AG3127" t="str"><v>FACEBOOK»USA-Trial-ITD-Retargeting-AZR-AZR»1 x 1»SocialBan»CAN»ALL»CPA»RT»X»NA»SS»NA»FBCTCBenefit2inMotion»PRC1RR</v></cell><cell r="AH3127"><v>224104896</v></cell><cell r="AI3127" t="str"><v>AzurePlatform_FBCTCBenefit2inMotion_USA_10s_CAN_PLATFORM_English_Trial_Standard_STAN_TIN_T4_1</v></cell><cell r="AJ3127"><v>103043835</v></cell></row><row r="3128"><cell r="C3128" t="str"><v>43303FACEBOOK»USA-Trial-ITD-Retargeting-AZR-AZR»1 x 1»SocialBan»CAN»ALL»CPA»RT»X»NA»SS»NA»FBCTCBrandinMotion»PRC1RT</v></cell><cell r="D3128" t="str"><v>43303224106069</v></cell><cell r="E3128" t="str"><v>43303103176812PRC1RT</v></cell><cell r="F3128" t="str"><v>DCM</v></cell><cell r="G3128" t="str"><v>https://signup.azure.com/?OCID=AID%eexcid!_OLA_%ebuy!_%epid!_%ecid!</v></cell></row><row r="3128"><cell r="K3128" t="str"><v>July</v></cell><cell r="L3128"><v>43309</v></cell><cell r="M3128" t="str"><v>Tier 0</v></cell><cell r="N3128" t="str"><v>North America</v></cell><cell r="O3128" t="str"><v>United States</v></cell><cell r="P3128" t="str"><v>Trial</v></cell><cell r="Q3128" t="str"><v>Social</v></cell><cell r="R3128" t="str"><v>Azure</v></cell><cell r="S3128" t="str"><v>Apps & Infra</v></cell><cell r="T3128" t="str"><v>Developers & ITI's</v></cell><cell r="U3128" t="str"><v>USA-Trial-ITD-Retargeting-AZR-AZR</v></cell><cell r="V3128" t="str"><v>Retargeting</v></cell><cell r="W3128" t="str"><v>Canvas Ad</v></cell><cell r="X3128" t="str"><v>1x1</v></cell></row><row r="3128"><cell r="AA3128"><v>43303</v></cell><cell r="AB3128" t="str"><v>USA_gaPMG_AZR_AZR_Q1_19_Direct-Social</v></cell><cell r="AC3128"><v>21358715</v></cell><cell r="AD3128"><v>720197</v></cell><cell r="AE3128" t="str"><v>Facebook</v></cell><cell r="AF3128"><v>3654128</v></cell><cell r="AG3128" t="str"><v>FACEBOOK»USA-Trial-ITD-Retargeting-AZR-AZR»1 x 1»SocialBan»CAN»ALL»CPA»RT»X»NA»SS»NA»FBCTCBrandinMotion»PRC1RT</v></cell><cell r="AH3128"><v>224106069</v></cell><cell r="AI3128" t="str"><v>AzurePlatform_FBCTCBrandinMotion_USA_10s_CAN_PLATFORM_English_Trial_Standard_STAN_TIN_T2_1</v></cell><cell r="AJ3128"><v>103176812</v></cell></row><row r="3129"><cell r="C3129" t="str"><v>43303FACEBOOK»USA-Trial-ITD-Retargeting-AZR-AZR»1 x 1»SocialBan»CAN»ALL»CPA»RT»X»NA»SS»NA»FBCTCBrandinMotion»PRC1RT</v></cell><cell r="D3129" t="str"><v>43303224106069</v></cell><cell r="E3129" t="str"><v>43303103032823PRC1RT</v></cell><cell r="F3129" t="str"><v>DCM</v></cell><cell r="G3129" t="str"><v>https://azure.microsoft.com/en-us/pricing/purchase-options/?v=18.19&OCID=AID%eexcid!_OLA_%ebuy!_%epid!_%ecid!</v></cell></row><row r="3129"><cell r="K3129" t="str"><v>July</v></cell><cell r="L3129"><v>43309</v></cell><cell r="M3129" t="str"><v>Tier 0</v></cell><cell r="N3129" t="str"><v>North America</v></cell><cell r="O3129" t="str"><v>United States</v></cell><cell r="P3129" t="str"><v>Trial</v></cell><cell r="Q3129" t="str"><v>Social</v></cell><cell r="R3129" t="str"><v>Azure</v></cell><cell r="S3129" t="str"><v>Apps & Infra</v></cell><cell r="T3129" t="str"><v>Developers & ITI's</v></cell><cell r="U3129" t="str"><v>USA-Trial-ITD-Retargeting-AZR-AZR</v></cell><cell r="V3129" t="str"><v>Retargeting</v></cell><cell r="W3129" t="str"><v>Canvas Ad</v></cell><cell r="X3129" t="str"><v>1x1</v></cell></row><row r="3129"><cell r="AA3129"><v>43303</v></cell><cell r="AB3129" t="str"><v>USA_gaPMG_AZR_AZR_Q1_19_Direct-Social</v></cell><cell r="AC3129"><v>21358715</v></cell><cell r="AD3129"><v>720197</v></cell><cell r="AE3129" t="str"><v>Facebook</v></cell><cell r="AF3129"><v>3654128</v></cell><cell r="AG3129" t="str"><v>FACEBOOK»USA-Trial-ITD-Retargeting-AZR-AZR»1 x 1»SocialBan»CAN»ALL»CPA»RT»X»NA»SS»NA»FBCTCBrandinMotion»PRC1RT</v></cell><cell r="AH3129"><v>224106069</v></cell><cell r="AI3129" t="str"><v>AzurePlatform_FBCTCBrandinMotion_USA_10s_CAN_PLATFORM_English_Trial_Standard_STAN_TIN_T2_2</v></cell><cell r="AJ3129"><v>103032823</v></cell></row><row r="3130"><cell r="C3130" t="str"><v>43303FACEBOOK»USA-Trial-ITD-Trial Lookalike-AZR-AZR»1 x 1»SocialBan»CAN»ALL»CPA»LAL»X»NA»SS»NA»FBCTCBenefit2inMotion»PRC1M0</v></cell><cell r="D3130" t="str"><v>43303223862927</v></cell><cell r="E3130" t="str"><v>43303103043835PRC1M0</v></cell><cell r="F3130" t="str"><v>DCM</v></cell><cell r="G3130" t="str"><v>https://signup.azure.com/?OCID=AID%eexcid!_OLA_%ebuy!_%epid!_%ecid!</v></cell></row><row r="3130"><cell r="K3130" t="str"><v>July</v></cell><cell r="L3130"><v>43309</v></cell><cell r="M3130" t="str"><v>Tier 0</v></cell><cell r="N3130" t="str"><v>North America</v></cell><cell r="O3130" t="str"><v>United States</v></cell><cell r="P3130" t="str"><v>Trial</v></cell><cell r="Q3130" t="str"><v>Social</v></cell><cell r="R3130" t="str"><v>Azure</v></cell><cell r="S3130" t="str"><v>Apps & Infra</v></cell><cell r="T3130" t="str"><v>Developers & ITI's</v></cell><cell r="U3130" t="str"><v>USA-Trial-ITD-Trial Lookalike-AZR-AZR</v></cell><cell r="V3130" t="str"><v>Lookalike Targeting</v></cell><cell r="W3130" t="str"><v>Canvas Ad</v></cell><cell r="X3130" t="str"><v>1x1</v></cell></row><row r="3130"><cell r="AA3130"><v>43303</v></cell><cell r="AB3130" t="str"><v>USA_gaPMG_AZR_AZR_Q1_19_Direct-Social</v></cell><cell r="AC3130"><v>21358715</v></cell><cell r="AD3130"><v>720197</v></cell><cell r="AE3130" t="str"><v>Facebook</v></cell><cell r="AF3130"><v>3654128</v></cell><cell r="AG3130" t="str"><v>FACEBOOK»USA-Trial-ITD-Trial Lookalike-AZR-AZR»1 x 1»SocialBan»CAN»ALL»CPA»LAL»X»NA»SS»NA»FBCTCBenefit2inMotion»PRC1M0</v></cell><cell r="AH3130"><v>223862927</v></cell><cell r="AI3130" t="str"><v>AzurePlatform_FBCTCBenefit2inMotion_USA_10s_CAN_PLATFORM_English_Trial_Standard_STAN_TIN_T4_1</v></cell><cell r="AJ3130"><v>103043835</v></cell></row><row r="3131"><cell r="C3131" t="str"><v>43303FACEBOOK»USA-Trial-ITD-Trial Lookalike-AZR-AZR»1 x 1»SocialBan»LIA»ALL»CPA»LAL»X»NA»SS»NA»FreeAcctDeveloperFB-AnimatedAI-Ch3»PRC1M7</v></cell><cell r="D3131" t="str"><v>43303223934104</v></cell><cell r="E3131" t="str"><v>43303103032778PRC1M7</v></cell><cell r="F3131" t="str"><v>DCM</v></cell></row><row r="3131"><cell r="K3131" t="str"><v>July</v></cell><cell r="L3131"><v>43309</v></cell><cell r="M3131" t="str"><v>Tier 0</v></cell><cell r="N3131" t="str"><v>North America</v></cell><cell r="O3131" t="str"><v>United States</v></cell><cell r="P3131" t="str"><v>Trial</v></cell><cell r="Q3131" t="str"><v>Social</v></cell><cell r="R3131" t="str"><v>Azure</v></cell><cell r="S3131" t="str"><v>Apps & Infra</v></cell><cell r="T3131" t="str"><v>Developers & ITI's</v></cell><cell r="U3131" t="str"><v>USA-Trial-ITD-Trial Lookalike-AZR-AZR</v></cell><cell r="V3131" t="str"><v>Lookalike Targeting</v></cell><cell r="W3131" t="str"><v>Link Ad</v></cell><cell r="X3131" t="str"><v>1x1</v></cell></row><row r="3131"><cell r="AA3131"><v>43303</v></cell><cell r="AB3131" t="str"><v>USA_gaPMG_AZR_AZR_Q1_19_Direct-Social</v></cell><cell r="AC3131"><v>21358715</v></cell><cell r="AD3131"><v>720197</v></cell><cell r="AE3131" t="str"><v>Facebook</v></cell><cell r="AF3131"><v>3654128</v></cell><cell r="AG3131" t="str"><v>FACEBOOK»USA-Trial-ITD-Trial Lookalike-AZR-AZR»1 x 1»SocialBan»LIA»ALL»CPA»LAL»X»NA»SS»NA»FreeAcctDeveloperFB-AnimatedAI-Ch3»PRC1M7</v></cell><cell r="AH3131"><v>223934104</v></cell><cell r="AI3131" t="str"><v>AZR_FreeAcctDeveloperFB-AnimatedAI-Ch3_USA_1200x1200_CAN_Direct_English_Trial_Standard_ANI_LEA_T3_1</v></cell><cell r="AJ3131"><v>103032778</v></cell></row><row r="3132"><cell r="C3132" t="str"><v>43303FACEBOOK»USA-Trial-ITD-Trial Lookalike-AZR-AZR»1 x 1»SocialBan»LIA»ALL»CPA»LAL»X»NA»SS»NA»FreeAcctDeveloperFB-AnimatedData-Ch4»PRC1M8</v></cell><cell r="D3132" t="str"><v>43303223862933</v></cell><cell r="E3132" t="str"><v>43303103037935PRC1M8</v></cell><cell r="F3132" t="str"><v>DCM</v></cell></row><row r="3132"><cell r="K3132" t="str"><v>July</v></cell><cell r="L3132"><v>43309</v></cell><cell r="M3132" t="str"><v>Tier 0</v></cell><cell r="N3132" t="str"><v>North America</v></cell><cell r="O3132" t="str"><v>United States</v></cell><cell r="P3132" t="str"><v>Trial</v></cell><cell r="Q3132" t="str"><v>Social</v></cell><cell r="R3132" t="str"><v>Azure</v></cell><cell r="S3132" t="str"><v>Apps & Infra</v></cell><cell r="T3132" t="str"><v>Developers & ITI's</v></cell><cell r="U3132" t="str"><v>USA-Trial-ITD-Trial Lookalike-AZR-AZR</v></cell><cell r="V3132" t="str"><v>Lookalike Targeting</v></cell><cell r="W3132" t="str"><v>Link Ad</v></cell><cell r="X3132" t="str"><v>1x1</v></cell></row><row r="3132"><cell r="AA3132"><v>43303</v></cell><cell r="AB3132" t="str"><v>USA_gaPMG_AZR_AZR_Q1_19_Direct-Social</v></cell><cell r="AC3132"><v>21358715</v></cell><cell r="AD3132"><v>720197</v></cell><cell r="AE3132" t="str"><v>Facebook</v></cell><cell r="AF3132"><v>3654128</v></cell><cell r="AG3132" t="str"><v>FACEBOOK»USA-Trial-ITD-Trial Lookalike-AZR-AZR»1 x 1»SocialBan»LIA»ALL»CPA»LAL»X»NA»SS»NA»FreeAcctDeveloperFB-AnimatedData-Ch4»PRC1M8</v></cell><cell r="AH3132"><v>223862933</v></cell><cell r="AI3132" t="str"><v>AZR_FreeAcctDeveloperFB-AnimatedData-Ch4_USA_1200x1200_CAN_Direct_English_Trial_Standard_ANI_LEA_T4_2</v></cell><cell r="AJ3132"><v>103037935</v></cell></row><row r="3133"><cell r="C3133" t="str"><v>43303FACEBOOK»USA-Trial-ITD-Trial Lookalike-AZR-AZR»1 x 1»SocialBan»LIA»ALL»CPA»LAL»X»NA»SS»NA»FreeAcctITProFB-AnimatedHybrid-Ch2»PRC1MC</v></cell><cell r="D3133" t="str"><v>43303224104956</v></cell><cell r="E3133" t="str"><v>43303103180583PRC1MC</v></cell><cell r="F3133" t="str"><v>DCM</v></cell></row><row r="3133"><cell r="K3133" t="str"><v>July</v></cell><cell r="L3133"><v>43309</v></cell><cell r="M3133" t="str"><v>Tier 0</v></cell><cell r="N3133" t="str"><v>North America</v></cell><cell r="O3133" t="str"><v>United States</v></cell><cell r="P3133" t="str"><v>Trial</v></cell><cell r="Q3133" t="str"><v>Social</v></cell><cell r="R3133" t="str"><v>Azure</v></cell><cell r="S3133" t="str"><v>Apps & Infra</v></cell><cell r="T3133" t="str"><v>Developers & ITI's</v></cell><cell r="U3133" t="str"><v>USA-Trial-ITD-Trial Lookalike-AZR-AZR</v></cell><cell r="V3133" t="str"><v>Lookalike Targeting</v></cell><cell r="W3133" t="str"><v>Link Ad</v></cell><cell r="X3133" t="str"><v>1x1</v></cell></row><row r="3133"><cell r="AA3133"><v>43303</v></cell><cell r="AB3133" t="str"><v>USA_gaPMG_AZR_AZR_Q1_19_Direct-Social</v></cell><cell r="AC3133"><v>21358715</v></cell><cell r="AD3133"><v>720197</v></cell><cell r="AE3133" t="str"><v>Facebook</v></cell><cell r="AF3133"><v>3654128</v></cell><cell r="AG3133" t="str"><v>FACEBOOK»USA-Trial-ITD-Trial Lookalike-AZR-AZR»1 x 1»SocialBan»LIA»ALL»CPA»LAL»X»NA»SS»NA»FreeAcctITProFB-AnimatedHybrid-Ch2»PRC1MC</v></cell><cell r="AH3133"><v>224104956</v></cell><cell r="AI3133" t="str"><v>AZR_FreeAcctITProFB-AnimatedHybrid-Ch2_USA_1200x1200_CAN_Direct_English_Trial_Standard_ANI_LEA_T2_2</v></cell><cell r="AJ3133"><v>103180583</v></cell></row><row r="3134"><cell r="C3134" t="str"><v>43303FACEBOOK»USA-Trial-ITD-Trial Lookalike-AZR-AZR»1 x 1»SocialBan»CAN»ALL»CPA»LAL»X»NA»SS»NA»FBCTCBrandinMotion»PRC1M3</v></cell><cell r="D3134" t="str"><v>43303223862900</v></cell><cell r="E3134" t="str"><v>43303103176812PRC1M3</v></cell><cell r="F3134" t="str"><v>DCM</v></cell><cell r="G3134" t="str"><v>https://signup.azure.com/?OCID=AID%eexcid!_OLA_%ebuy!_%epid!_%ecid!</v></cell></row><row r="3134"><cell r="K3134" t="str"><v>July</v></cell><cell r="L3134"><v>43309</v></cell><cell r="M3134" t="str"><v>Tier 0</v></cell><cell r="N3134" t="str"><v>North America</v></cell><cell r="O3134" t="str"><v>United States</v></cell><cell r="P3134" t="str"><v>Trial</v></cell><cell r="Q3134" t="str"><v>Social</v></cell><cell r="R3134" t="str"><v>Azure</v></cell><cell r="S3134" t="str"><v>Apps & Infra</v></cell><cell r="T3134" t="str"><v>Developers & ITI's</v></cell><cell r="U3134" t="str"><v>USA-Trial-ITD-Trial Lookalike-AZR-AZR</v></cell><cell r="V3134" t="str"><v>Lookalike Targeting</v></cell><cell r="W3134" t="str"><v>Canvas Ad</v></cell><cell r="X3134" t="str"><v>1x1</v></cell></row><row r="3134"><cell r="AA3134"><v>43303</v></cell><cell r="AB3134" t="str"><v>USA_gaPMG_AZR_AZR_Q1_19_Direct-Social</v></cell><cell r="AC3134"><v>21358715</v></cell><cell r="AD3134"><v>720197</v></cell><cell r="AE3134" t="str"><v>Facebook</v></cell><cell r="AF3134"><v>3654128</v></cell><cell r="AG3134" t="str"><v>FACEBOOK»USA-Trial-ITD-Trial Lookalike-AZR-AZR»1 x 1»SocialBan»CAN»ALL»CPA»LAL»X»NA»SS»NA»FBCTCBrandinMotion»PRC1M3</v></cell><cell r="AH3134"><v>223862900</v></cell><cell r="AI3134" t="str"><v>AzurePlatform_FBCTCBrandinMotion_USA_10s_CAN_PLATFORM_English_Trial_Standard_STAN_TIN_T2_1</v></cell><cell r="AJ3134"><v>103176812</v></cell></row><row r="3135"><cell r="C3135" t="str"><v>43303FACEBOOK»USA-Trial-ITD-Trial Lookalike-AZR-AZR»1 x 1»SocialBan»CAN»ALL»CPA»LAL»X»NA»SS»NA»FBCTCBrandinMotion»PRC1M3</v></cell><cell r="D3135" t="str"><v>43303223862900</v></cell><cell r="E3135" t="str"><v>43303103032823PRC1M3</v></cell><cell r="F3135" t="str"><v>DCM</v></cell><cell r="G3135" t="str"><v>https://azure.microsoft.com/en-us/pricing/purchase-options/?v=18.19&OCID=AID%eexcid!_OLA_%ebuy!_%epid!_%ecid!</v></cell></row><row r="3135"><cell r="K3135" t="str"><v>July</v></cell><cell r="L3135"><v>43309</v></cell><cell r="M3135" t="str"><v>Tier 0</v></cell><cell r="N3135" t="str"><v>North America</v></cell><cell r="O3135" t="str"><v>United States</v></cell><cell r="P3135" t="str"><v>Trial</v></cell><cell r="Q3135" t="str"><v>Social</v></cell><cell r="R3135" t="str"><v>Azure</v></cell><cell r="S3135" t="str"><v>Apps & Infra</v></cell><cell r="T3135" t="str"><v>Developers & ITI's</v></cell><cell r="U3135" t="str"><v>USA-Trial-ITD-Trial Lookalike-AZR-AZR</v></cell><cell r="V3135" t="str"><v>Lookalike Targeting</v></cell><cell r="W3135" t="str"><v>Canvas Ad</v></cell><cell r="X3135" t="str"><v>1x1</v></cell></row><row r="3135"><cell r="AA3135"><v>43303</v></cell><cell r="AB3135" t="str"><v>USA_gaPMG_AZR_AZR_Q1_19_Direct-Social</v></cell><cell r="AC3135"><v>21358715</v></cell><cell r="AD3135"><v>720197</v></cell><cell r="AE3135" t="str"><v>Facebook</v></cell><cell r="AF3135"><v>3654128</v></cell><cell r="AG3135" t="str"><v>FACEBOOK»USA-Trial-ITD-Trial Lookalike-AZR-AZR»1 x 1»SocialBan»CAN»ALL»CPA»LAL»X»NA»SS»NA»FBCTCBrandinMotion»PRC1M3</v></cell><cell r="AH3135"><v>223862900</v></cell><cell r="AI3135" t="str"><v>AzurePlatform_FBCTCBrandinMotion_USA_10s_CAN_PLATFORM_English_Trial_Standard_STAN_TIN_T2_2</v></cell><cell r="AJ3135"><v>103032823</v></cell></row><row r="3136"><cell r="C3136" t="str"><v>43303FACEBOOK»USA-Trial-ITD-Trial PayGo Lookalike-AZR-AZR»1 x 1»SocialBan»CAN»ALL»CPA»LAL»X»NA»SS»NA»FBCTCBenefit2inMotion»PRC1Q1</v></cell><cell r="D3136" t="str"><v>43303224104986</v></cell><cell r="E3136" t="str"><v>43303103043835PRC1Q1</v></cell><cell r="F3136" t="str"><v>DCM</v></cell><cell r="G3136" t="str"><v>https://signup.azure.com/?OCID=AID%eexcid!_OLA_%ebuy!_%epid!_%ecid!</v></cell></row><row r="3136"><cell r="K3136" t="str"><v>July</v></cell><cell r="L3136"><v>43309</v></cell><cell r="M3136" t="str"><v>Tier 0</v></cell><cell r="N3136" t="str"><v>North America</v></cell><cell r="O3136" t="str"><v>United States</v></cell><cell r="P3136" t="str"><v>Trial</v></cell><cell r="Q3136" t="str"><v>Social</v></cell><cell r="R3136" t="str"><v>Azure</v></cell><cell r="S3136" t="str"><v>Apps & Infra</v></cell><cell r="T3136" t="str"><v>Developers & ITI's</v></cell><cell r="U3136" t="str"><v>USA-Trial-ITD-Trial PayGo Lookalike-AZR-AZR</v></cell><cell r="V3136" t="str"><v>Lookalike Targeting</v></cell><cell r="W3136" t="str"><v>Canvas Ad</v></cell><cell r="X3136" t="str"><v>1x1</v></cell></row><row r="3136"><cell r="AA3136"><v>43303</v></cell><cell r="AB3136" t="str"><v>USA_gaPMG_AZR_AZR_Q1_19_Direct-Social</v></cell><cell r="AC3136"><v>21358715</v></cell><cell r="AD3136"><v>720197</v></cell><cell r="AE3136" t="str"><v>Facebook</v></cell><cell r="AF3136"><v>3654128</v></cell><cell r="AG3136" t="str"><v>FACEBOOK»USA-Trial-ITD-Trial PayGo Lookalike-AZR-AZR»1 x 1»SocialBan»CAN»ALL»CPA»LAL»X»NA»SS»NA»FBCTCBenefit2inMotion»PRC1Q1</v></cell><cell r="AH3136"><v>224104986</v></cell><cell r="AI3136" t="str"><v>AzurePlatform_FBCTCBenefit2inMotion_USA_10s_CAN_PLATFORM_English_Trial_Standard_STAN_TIN_T4_1</v></cell><cell r="AJ3136"><v>103043835</v></cell></row><row r="3137"><cell r="C3137" t="str"><v>43303FACEBOOK»USA-Trial-ITD-Trial PayGo Lookalike-AZR-AZR»1 x 1»SocialBan»CAN»ALL»CPA»LAL»X»NA»SS»NA»FBCTCBrandinMotion»PRC1Q3</v></cell><cell r="D3137" t="str"><v>43303223935349</v></cell><cell r="E3137" t="str"><v>43303103176812PRC1Q3</v></cell><cell r="F3137" t="str"><v>DCM</v></cell><cell r="G3137" t="str"><v>https://signup.azure.com/?OCID=AID%eexcid!_OLA_%ebuy!_%epid!_%ecid!</v></cell></row><row r="3137"><cell r="K3137" t="str"><v>July</v></cell><cell r="L3137"><v>43309</v></cell><cell r="M3137" t="str"><v>Tier 0</v></cell><cell r="N3137" t="str"><v>North America</v></cell><cell r="O3137" t="str"><v>United States</v></cell><cell r="P3137" t="str"><v>Trial</v></cell><cell r="Q3137" t="str"><v>Social</v></cell><cell r="R3137" t="str"><v>Azure</v></cell><cell r="S3137" t="str"><v>Apps & Infra</v></cell><cell r="T3137" t="str"><v>Developers & ITI's</v></cell><cell r="U3137" t="str"><v>USA-Trial-ITD-Trial PayGo Lookalike-AZR-AZR</v></cell><cell r="V3137" t="str"><v>Lookalike Targeting</v></cell><cell r="W3137" t="str"><v>Canvas Ad</v></cell><cell r="X3137" t="str"><v>1x1</v></cell></row><row r="3137"><cell r="AA3137"><v>43303</v></cell><cell r="AB3137" t="str"><v>USA_gaPMG_AZR_AZR_Q1_19_Direct-Social</v></cell><cell r="AC3137"><v>21358715</v></cell><cell r="AD3137"><v>720197</v></cell><cell r="AE3137" t="str"><v>Facebook</v></cell><cell r="AF3137"><v>3654128</v></cell><cell r="AG3137" t="str"><v>FACEBOOK»USA-Trial-ITD-Trial PayGo Lookalike-AZR-AZR»1 x 1»SocialBan»CAN»ALL»CPA»LAL»X»NA»SS»NA»FBCTCBrandinMotion»PRC1Q3</v></cell><cell r="AH3137"><v>223935349</v></cell><cell r="AI3137" t="str"><v>AzurePlatform_FBCTCBrandinMotion_USA_10s_CAN_PLATFORM_English_Trial_Standard_STAN_TIN_T2_1</v></cell><cell r="AJ3137"><v>103176812</v></cell></row><row r="3138"><cell r="C3138" t="str"><v>43303FACEBOOK»USA-Trial-ITD-Trial PayGo Lookalike-AZR-AZR»1 x 1»SocialBan»LIA»ALL»CPA»LAL»X»NA»SS»NA»FreeAcctDeveloperFB-AnimatedGeneric-Ch1»PRC1Q6</v></cell><cell r="D3138" t="str"><v>43303224106129</v></cell><cell r="E3138" t="str"><v>43303103176851PRC1Q6</v></cell><cell r="F3138" t="str"><v>DCM</v></cell><cell r="G3138" t="str"><v>https://azure.microsoft.com/en-us/free/search/?OCID=AID%eexcid!_OLA_%ebuy!_%epid!_%ecid!</v></cell></row><row r="3138"><cell r="K3138" t="str"><v>July</v></cell><cell r="L3138"><v>43309</v></cell><cell r="M3138" t="str"><v>Tier 0</v></cell><cell r="N3138" t="str"><v>North America</v></cell><cell r="O3138" t="str"><v>United States</v></cell><cell r="P3138" t="str"><v>Trial</v></cell><cell r="Q3138" t="str"><v>Social</v></cell><cell r="R3138" t="str"><v>Azure</v></cell><cell r="S3138" t="str"><v>Apps & Infra</v></cell><cell r="T3138" t="str"><v>Developers & ITI's</v></cell><cell r="U3138" t="str"><v>USA-Trial-ITD-Trial PayGo Lookalike-AZR-AZR</v></cell><cell r="V3138" t="str"><v>Lookalike Targeting</v></cell><cell r="W3138" t="str"><v>Link Ad</v></cell><cell r="X3138" t="str"><v>1x1</v></cell></row><row r="3138"><cell r="AA3138"><v>43303</v></cell><cell r="AB3138" t="str"><v>USA_gaPMG_AZR_AZR_Q1_19_Direct-Social</v></cell><cell r="AC3138"><v>21358715</v></cell><cell r="AD3138"><v>720197</v></cell><cell r="AE3138" t="str"><v>Facebook</v></cell><cell r="AF3138"><v>3654128</v></cell><cell r="AG3138" t="str"><v>FACEBOOK»USA-Trial-ITD-Trial PayGo Lookalike-AZR-AZR»1 x 1»SocialBan»LIA»ALL»CPA»LAL»X»NA»SS»NA»FreeAcctDeveloperFB-AnimatedGeneric-Ch1»PRC1Q6</v></cell><cell r="AH3138"><v>224106129</v></cell><cell r="AI3138" t="str"><v>AZR_FreeAcctDeveloperFB-AnimatedGeneric-Ch1_USA_1200x1200_CAN_Direct_English_Trial_Standard_ANI_LEA_T1_2</v></cell><cell r="AJ3138"><v>103176851</v></cell></row><row r="3139"><cell r="C3139" t="str"><v>43303FACEBOOK»USA-Trial-ITD-Interest Prospecting-AZR-AZR»1 x 1»SocialBan»LIA»ALL»CPA»PRO»X»NA»SS»NA»FreeAcctDeveloperFB-AnimatedAI-Ch3»PRC1T2</v></cell><cell r="D3139" t="str"><v>43303223862765</v></cell><cell r="E3139" t="str"><v>43303103032778PRC1T2</v></cell><cell r="F3139" t="str"><v>DCM</v></cell></row><row r="3139"><cell r="K3139" t="str"><v>July</v></cell><cell r="L3139"><v>43309</v></cell><cell r="M3139" t="str"><v>Tier 0</v></cell><cell r="N3139" t="str"><v>North America</v></cell><cell r="O3139" t="str"><v>United States</v></cell><cell r="P3139" t="str"><v>Trial</v></cell><cell r="Q3139" t="str"><v>Social</v></cell><cell r="R3139" t="str"><v>Azure</v></cell><cell r="S3139" t="str"><v>Apps & Infra</v></cell><cell r="T3139" t="str"><v>Developers & ITI's</v></cell><cell r="U3139" t="str"><v>USA-Trial-ITD-Interest Prospecting-AZR-AZR</v></cell><cell r="V3139" t="str"><v>Prospecting</v></cell><cell r="W3139" t="str"><v>Link Ad</v></cell><cell r="X3139" t="str"><v>1x1</v></cell></row><row r="3139"><cell r="AA3139"><v>43303</v></cell><cell r="AB3139" t="str"><v>USA_gaPMG_AZR_AZR_Q1_19_Direct-Social</v></cell><cell r="AC3139"><v>21358715</v></cell><cell r="AD3139"><v>720197</v></cell><cell r="AE3139" t="str"><v>Facebook</v></cell><cell r="AF3139"><v>3654128</v></cell><cell r="AG3139" t="str"><v>FACEBOOK»USA-Trial-ITD-Interest Prospecting-AZR-AZR»1 x 1»SocialBan»LIA»ALL»CPA»PRO»X»NA»SS»NA»FreeAcctDeveloperFB-AnimatedAI-Ch3»PRC1T2</v></cell><cell r="AH3139"><v>223862765</v></cell><cell r="AI3139" t="str"><v>AZR_FreeAcctDeveloperFB-AnimatedAI-Ch3_USA_1200x1200_CAN_Direct_English_Trial_Standard_ANI_LEA_T3_1</v></cell><cell r="AJ3139"><v>103032778</v></cell></row><row r="3140"><cell r="C3140" t="str"><v>43303FACEBOOK»USA-Trial-ITD-Interest Prospecting-AZR-AZR»1 x 1»SocialBan»LIA»ALL»CPA»PRO»X»NA»SS»NA»FreeAcctDeveloperFB-AnimatedData-Ch4»PRC1T3</v></cell><cell r="D3140" t="str"><v>43303223863380</v></cell><cell r="E3140" t="str"><v>43303103037935PRC1T3</v></cell><cell r="F3140" t="str"><v>DCM</v></cell></row><row r="3140"><cell r="K3140" t="str"><v>July</v></cell><cell r="L3140"><v>43309</v></cell><cell r="M3140" t="str"><v>Tier 0</v></cell><cell r="N3140" t="str"><v>North America</v></cell><cell r="O3140" t="str"><v>United States</v></cell><cell r="P3140" t="str"><v>Trial</v></cell><cell r="Q3140" t="str"><v>Social</v></cell><cell r="R3140" t="str"><v>Azure</v></cell><cell r="S3140" t="str"><v>Apps & Infra</v></cell><cell r="T3140" t="str"><v>Developers & ITI's</v></cell><cell r="U3140" t="str"><v>USA-Trial-ITD-Interest Prospecting-AZR-AZR</v></cell><cell r="V3140" t="str"><v>Prospecting</v></cell><cell r="W3140" t="str"><v>Link Ad</v></cell><cell r="X3140" t="str"><v>1x1</v></cell></row><row r="3140"><cell r="AA3140"><v>43303</v></cell><cell r="AB3140" t="str"><v>USA_gaPMG_AZR_AZR_Q1_19_Direct-Social</v></cell><cell r="AC3140"><v>21358715</v></cell><cell r="AD3140"><v>720197</v></cell><cell r="AE3140" t="str"><v>Facebook</v></cell><cell r="AF3140"><v>3654128</v></cell><cell r="AG3140" t="str"><v>FACEBOOK»USA-Trial-ITD-Interest Prospecting-AZR-AZR»1 x 1»SocialBan»LIA»ALL»CPA»PRO»X»NA»SS»NA»FreeAcctDeveloperFB-AnimatedData-Ch4»PRC1T3</v></cell><cell r="AH3140"><v>223863380</v></cell><cell r="AI3140" t="str"><v>AZR_FreeAcctDeveloperFB-AnimatedData-Ch4_USA_1200x1200_CAN_Direct_English_Trial_Standard_ANI_LEA_T4_2</v></cell><cell r="AJ3140"><v>103037935</v></cell></row><row r="3141"><cell r="C3141" t="str"><v>43303FACEBOOK»USA-Trial-ITD-Interest Prospecting-AZR-AZR»1 x 1»SocialBan»LIA»ALL»CPA»PRO»X»NA»SS»NA»FreeAcctDeveloperFB-AnimatedOpenSource-Ch2»PRC1T1</v></cell><cell r="D3141" t="str"><v>43303223862885</v></cell><cell r="E3141" t="str"><v>43303103048329PRC1T1</v></cell><cell r="F3141" t="str"><v>DCM</v></cell><cell r="G3141" t="str"><v>https://azure.microsoft.com/en-us/free/open-source/search/?OCID=AID%eexcid!_OLA_%ebuy!_%epid!_%ecid!</v></cell></row><row r="3141"><cell r="K3141" t="str"><v>July</v></cell><cell r="L3141"><v>43309</v></cell><cell r="M3141" t="str"><v>Tier 0</v></cell><cell r="N3141" t="str"><v>North America</v></cell><cell r="O3141" t="str"><v>United States</v></cell><cell r="P3141" t="str"><v>Trial</v></cell><cell r="Q3141" t="str"><v>Social</v></cell><cell r="R3141" t="str"><v>Azure</v></cell><cell r="S3141" t="str"><v>Apps & Infra</v></cell><cell r="T3141" t="str"><v>Developers & ITI's</v></cell><cell r="U3141" t="str"><v>USA-Trial-ITD-Interest Prospecting-AZR-AZR</v></cell><cell r="V3141" t="str"><v>Prospecting</v></cell><cell r="W3141" t="str"><v>Link Ad</v></cell><cell r="X3141" t="str"><v>1x1</v></cell></row><row r="3141"><cell r="AA3141"><v>43303</v></cell><cell r="AB3141" t="str"><v>USA_gaPMG_AZR_AZR_Q1_19_Direct-Social</v></cell><cell r="AC3141"><v>21358715</v></cell><cell r="AD3141"><v>720197</v></cell><cell r="AE3141" t="str"><v>Facebook</v></cell><cell r="AF3141"><v>3654128</v></cell><cell r="AG3141" t="str"><v>FACEBOOK»USA-Trial-ITD-Interest Prospecting-AZR-AZR»1 x 1»SocialBan»LIA»ALL»CPA»PRO»X»NA»SS»NA»FreeAcctDeveloperFB-AnimatedOpenSource-Ch2»PRC1T1</v></cell><cell r="AH3141"><v>223862885</v></cell><cell r="AI3141" t="str"><v>AZR_FreeAcctDeveloperFB-AnimatedOpenSource-Ch2_USA_1200x1200_CAN_Direct_English_Trial_Standard_ANI_LEA_T2_1</v></cell><cell r="AJ3141"><v>103048329</v></cell></row><row r="3142"><cell r="C3142" t="str"><v>43303FACEBOOK»USA-Trial-ITD-Interest Prospecting-AZR-AZR»1 x 1»SocialBan»LIA»ALL»CPA»PRO»X»NA»SS»NA»FreeAcctITProFB-AnimatedMigration-Ch3»PRC1X2</v></cell><cell r="D3142" t="str"><v>43303224106954</v></cell><cell r="E3142" t="str"><v>43303103176827PRC1X2</v></cell><cell r="F3142" t="str"><v>DCM</v></cell></row><row r="3142"><cell r="K3142" t="str"><v>July</v></cell><cell r="L3142"><v>43309</v></cell><cell r="M3142" t="str"><v>Tier 0</v></cell><cell r="N3142" t="str"><v>North America</v></cell><cell r="O3142" t="str"><v>United States</v></cell><cell r="P3142" t="str"><v>Trial</v></cell><cell r="Q3142" t="str"><v>Social</v></cell><cell r="R3142" t="str"><v>Azure</v></cell><cell r="S3142" t="str"><v>Apps & Infra</v></cell><cell r="T3142" t="str"><v>Developers & ITI's</v></cell><cell r="U3142" t="str"><v>USA-Trial-ITD-Interest Prospecting-AZR-AZR</v></cell><cell r="V3142" t="str"><v>Prospecting</v></cell><cell r="W3142" t="str"><v>Link Ad</v></cell><cell r="X3142" t="str"><v>1x1</v></cell></row><row r="3142"><cell r="AA3142"><v>43303</v></cell><cell r="AB3142" t="str"><v>USA_gaPMG_AZR_AZR_Q1_19_Direct-Social</v></cell><cell r="AC3142"><v>21358715</v></cell><cell r="AD3142"><v>720197</v></cell><cell r="AE3142" t="str"><v>Facebook</v></cell><cell r="AF3142"><v>3654128</v></cell><cell r="AG3142" t="str"><v>FACEBOOK»USA-Trial-ITD-Interest Prospecting-AZR-AZR»1 x 1»SocialBan»LIA»ALL»CPA»PRO»X»NA»SS»NA»FreeAcctITProFB-AnimatedMigration-Ch3»PRC1X2</v></cell><cell r="AH3142"><v>224106954</v></cell><cell r="AI3142" t="str"><v>AZR_FreeAcctITProFB-AnimatedMigration-Ch3_USA_1200x1200_CAN_Direct_English_Trial_Standard_ANI_LEA_T3_1</v></cell><cell r="AJ3142"><v>103176827</v></cell></row><row r="3143"><cell r="C3143" t="str"><v>43303FACEBOOK»USA-Trial-ITD-Lead Completes-AZR-AZR»1 x 1»SocialBan»CAN»ALL»CPA»PRO»X»NA»SS»NA»FBCTCBrandinMotion»PRC1VX</v></cell><cell r="D3143" t="str"><v>43303223861547</v></cell><cell r="E3143" t="str"><v>43303103176812PRC1VX</v></cell><cell r="F3143" t="str"><v>DCM</v></cell><cell r="G3143" t="str"><v>https://signup.azure.com/?OCID=AID%eexcid!_OLA_%ebuy!_%epid!_%ecid!</v></cell></row><row r="3143"><cell r="K3143" t="str"><v>July</v></cell><cell r="L3143"><v>43309</v></cell><cell r="M3143" t="str"><v>Tier 0</v></cell><cell r="N3143" t="str"><v>North America</v></cell><cell r="O3143" t="str"><v>United States</v></cell><cell r="P3143" t="str"><v>Trial</v></cell><cell r="Q3143" t="str"><v>Social</v></cell><cell r="R3143" t="str"><v>Azure</v></cell><cell r="S3143" t="str"><v>Apps & Infra</v></cell><cell r="T3143" t="str"><v>Developers & ITI's</v></cell><cell r="U3143" t="str"><v>USA-Trial-ITD-Lead Completes-AZR-AZR</v></cell><cell r="V3143" t="str"><v>Prospecting</v></cell><cell r="W3143" t="str"><v>Canvas Ad</v></cell><cell r="X3143" t="str"><v>1x1</v></cell></row><row r="3143"><cell r="AA3143"><v>43303</v></cell><cell r="AB3143" t="str"><v>USA_gaPMG_AZR_AZR_Q1_19_Direct-Social</v></cell><cell r="AC3143"><v>21358715</v></cell><cell r="AD3143"><v>720197</v></cell><cell r="AE3143" t="str"><v>Facebook</v></cell><cell r="AF3143"><v>3654128</v></cell><cell r="AG3143" t="str"><v>FACEBOOK»USA-Trial-ITD-Lead Completes-AZR-AZR»1 x 1»SocialBan»CAN»ALL»CPA»PRO»X»NA»SS»NA»FBCTCBrandinMotion»PRC1VX</v></cell><cell r="AH3143"><v>223861547</v></cell><cell r="AI3143" t="str"><v>AzurePlatform_FBCTCBrandinMotion_USA_10s_CAN_PLATFORM_English_Trial_Standard_STAN_TIN_T2_1</v></cell><cell r="AJ3143"><v>103176812</v></cell></row><row r="3144"><cell r="C3144" t="str"><v>43303FACEBOOK»USA-Trial-ITD-Lead Completes-AZR-AZR»1 x 1»SocialBan»LIA»ALL»CPA»PRO»X»NA»SS»NA»FreeAcctDeveloperFB-AnimatedAI-Ch3»PRC1W1</v></cell><cell r="D3144" t="str"><v>43303223933096</v></cell><cell r="E3144" t="str"><v>43303103032778PRC1W1</v></cell><cell r="F3144" t="str"><v>DCM</v></cell></row><row r="3144"><cell r="K3144" t="str"><v>July</v></cell><cell r="L3144"><v>43309</v></cell><cell r="M3144" t="str"><v>Tier 0</v></cell><cell r="N3144" t="str"><v>North America</v></cell><cell r="O3144" t="str"><v>United States</v></cell><cell r="P3144" t="str"><v>Trial</v></cell><cell r="Q3144" t="str"><v>Social</v></cell><cell r="R3144" t="str"><v>Azure</v></cell><cell r="S3144" t="str"><v>Apps & Infra</v></cell><cell r="T3144" t="str"><v>Developers & ITI's</v></cell><cell r="U3144" t="str"><v>USA-Trial-ITD-Lead Completes-AZR-AZR</v></cell><cell r="V3144" t="str"><v>Prospecting</v></cell><cell r="W3144" t="str"><v>Link Ad</v></cell><cell r="X3144" t="str"><v>1x1</v></cell></row><row r="3144"><cell r="AA3144"><v>43303</v></cell><cell r="AB3144" t="str"><v>USA_gaPMG_AZR_AZR_Q1_19_Direct-Social</v></cell><cell r="AC3144"><v>21358715</v></cell><cell r="AD3144"><v>720197</v></cell><cell r="AE3144" t="str"><v>Facebook</v></cell><cell r="AF3144"><v>3654128</v></cell><cell r="AG3144" t="str"><v>FACEBOOK»USA-Trial-ITD-Lead Completes-AZR-AZR»1 x 1»SocialBan»LIA»ALL»CPA»PRO»X»NA»SS»NA»FreeAcctDeveloperFB-AnimatedAI-Ch3»PRC1W1</v></cell><cell r="AH3144"><v>223933096</v></cell><cell r="AI3144" t="str"><v>AZR_FreeAcctDeveloperFB-AnimatedAI-Ch3_USA_1200x1200_CAN_Direct_English_Trial_Standard_ANI_LEA_T3_1</v></cell><cell r="AJ3144"><v>103032778</v></cell></row><row r="3145"><cell r="C3145" t="str"><v>43303FACEBOOK»USA-Trial-ITD-Lead Completes-AZR-AZR»1 x 1»SocialBan»CAN»ALL»CPA»PRO»X»NA»SS»NA»FBCTCBasicMotion»PRC1VT</v></cell><cell r="D3145" t="str"><v>43303224106900</v></cell><cell r="E3145" t="str"><v>43303103043823PRC1VT</v></cell><cell r="F3145" t="str"><v>DCM</v></cell><cell r="G3145" t="str"><v>https://signup.azure.com/?OCID=AID%eexcid!_OLA_%ebuy!_%epid!_%ecid!</v></cell></row><row r="3145"><cell r="K3145" t="str"><v>July</v></cell><cell r="L3145"><v>43309</v></cell><cell r="M3145" t="str"><v>Tier 0</v></cell><cell r="N3145" t="str"><v>North America</v></cell><cell r="O3145" t="str"><v>United States</v></cell><cell r="P3145" t="str"><v>Trial</v></cell><cell r="Q3145" t="str"><v>Social</v></cell><cell r="R3145" t="str"><v>Azure</v></cell><cell r="S3145" t="str"><v>Apps & Infra</v></cell><cell r="T3145" t="str"><v>Developers & ITI's</v></cell><cell r="U3145" t="str"><v>USA-Trial-ITD-Lead Completes-AZR-AZR</v></cell><cell r="V3145" t="str"><v>Prospecting</v></cell><cell r="W3145" t="str"><v>Canvas Ad</v></cell><cell r="X3145" t="str"><v>1x1</v></cell></row><row r="3145"><cell r="AA3145"><v>43303</v></cell><cell r="AB3145" t="str"><v>USA_gaPMG_AZR_AZR_Q1_19_Direct-Social</v></cell><cell r="AC3145"><v>21358715</v></cell><cell r="AD3145"><v>720197</v></cell><cell r="AE3145" t="str"><v>Facebook</v></cell><cell r="AF3145"><v>3654128</v></cell><cell r="AG3145" t="str"><v>FACEBOOK»USA-Trial-ITD-Lead Completes-AZR-AZR»1 x 1»SocialBan»CAN»ALL»CPA»PRO»X»NA»SS»NA»FBCTCBasicMotion»PRC1VT</v></cell><cell r="AH3145"><v>224106900</v></cell><cell r="AI3145" t="str"><v>AzurePlatform_FBCTCBasicMotion_USA_10s_CAN_PLATFORM_English_Trial_Standard_STAN_TIN_T1_1</v></cell><cell r="AJ3145"><v>103043823</v></cell></row><row r="3146"><cell r="C3146" t="str"><v>43303FACEBOOK»USA-Trial-ITD-Retargeting-AZR-AZR»1 x 1»SocialBan»LIA»ALL»CPA»RT»X»NA»SS»NA»FreeAcctDeveloperFB-AnimatedGeneric-Ch1»PRC26D</v></cell><cell r="D3146" t="str"><v>43303223862870</v></cell><cell r="E3146" t="str"><v>43303103176851PRC26D</v></cell><cell r="F3146" t="str"><v>DCM</v></cell><cell r="G3146" t="str"><v>https://azure.microsoft.com/en-us/free/search/?OCID=AID%eexcid!_OLA_%ebuy!_%epid!_%ecid!</v></cell></row><row r="3146"><cell r="K3146" t="str"><v>July</v></cell><cell r="L3146"><v>43309</v></cell><cell r="M3146" t="str"><v>Tier 0</v></cell><cell r="N3146" t="str"><v>North America</v></cell><cell r="O3146" t="str"><v>United States</v></cell><cell r="P3146" t="str"><v>Trial</v></cell><cell r="Q3146" t="str"><v>Social</v></cell><cell r="R3146" t="str"><v>Azure</v></cell><cell r="S3146" t="str"><v>Apps & Infra</v></cell><cell r="T3146" t="str"><v>Developers & ITI's</v></cell><cell r="U3146" t="str"><v>USA-Trial-ITD-Retargeting-AZR-AZR</v></cell><cell r="V3146" t="str"><v>Retargeting</v></cell><cell r="W3146" t="str"><v>Link Ad</v></cell><cell r="X3146" t="str"><v>1x1</v></cell></row><row r="3146"><cell r="AA3146"><v>43303</v></cell><cell r="AB3146" t="str"><v>USA_gaPMG_AZR_AZR_Q1_19_Direct-Social</v></cell><cell r="AC3146"><v>21358715</v></cell><cell r="AD3146"><v>720197</v></cell><cell r="AE3146" t="str"><v>Facebook</v></cell><cell r="AF3146"><v>3654128</v></cell><cell r="AG3146" t="str"><v>FACEBOOK»USA-Trial-ITD-Retargeting-AZR-AZR»1 x 1»SocialBan»LIA»ALL»CPA»RT»X»NA»SS»NA»FreeAcctDeveloperFB-AnimatedGeneric-Ch1»PRC26D</v></cell><cell r="AH3146"><v>223862870</v></cell><cell r="AI3146" t="str"><v>AZR_FreeAcctDeveloperFB-AnimatedGeneric-Ch1_USA_1200x1200_CAN_Direct_English_Trial_Standard_ANI_LEA_T1_2</v></cell><cell r="AJ3146"><v>103176851</v></cell></row><row r="3147"><cell r="C3147" t="str"><v>43303FACEBOOK»USA-Trial-ITD-Retargeting-AZR-AZR»1 x 1»SocialBan»LIA»ALL»CPA»RT»X»NA»SS»NA»FreeAcctRetargetingOSSFB-Logos-ChG»PRC1S2</v></cell><cell r="D3147" t="str"><v>43303224106063</v></cell><cell r="E3147" t="str"><v>43303103176008PRC1S2</v></cell><cell r="F3147" t="str"><v>DCM</v></cell><cell r="G3147" t="str"><v>https://azure.microsoft.com/en-us/free/open-source/search/?OCID=AID%eexcid!_OLA_%ebuy!_%epid!_%ecid!</v></cell></row><row r="3147"><cell r="K3147" t="str"><v>July</v></cell><cell r="L3147"><v>43309</v></cell><cell r="M3147" t="str"><v>Tier 0</v></cell><cell r="N3147" t="str"><v>North America</v></cell><cell r="O3147" t="str"><v>United States</v></cell><cell r="P3147" t="str"><v>Trial</v></cell><cell r="Q3147" t="str"><v>Social</v></cell><cell r="R3147" t="str"><v>Azure</v></cell><cell r="S3147" t="str"><v>Apps & Infra</v></cell><cell r="T3147" t="str"><v>Developers & ITI's</v></cell><cell r="U3147" t="str"><v>USA-Trial-ITD-Retargeting-AZR-AZR</v></cell><cell r="V3147" t="str"><v>Retargeting</v></cell><cell r="W3147" t="str"><v>Link Ad</v></cell><cell r="X3147" t="str"><v>1x1</v></cell></row><row r="3147"><cell r="AA3147"><v>43303</v></cell><cell r="AB3147" t="str"><v>USA_gaPMG_AZR_AZR_Q1_19_Direct-Social</v></cell><cell r="AC3147"><v>21358715</v></cell><cell r="AD3147"><v>720197</v></cell><cell r="AE3147" t="str"><v>Facebook</v></cell><cell r="AF3147"><v>3654128</v></cell><cell r="AG3147" t="str"><v>FACEBOOK»USA-Trial-ITD-Retargeting-AZR-AZR»1 x 1»SocialBan»LIA»ALL»CPA»RT»X»NA»SS»NA»FreeAcctRetargetingOSSFB-Logos-ChG»PRC1S2</v></cell><cell r="AH3147"><v>224106063</v></cell><cell r="AI3147" t="str"><v>AzurePlatform_FreeAcctRetargetingOSSFB-Logos-ChG_USA_1200x628_CAN_PLATFORM_English_Free Account_Standard_NA_SINU_T2_1</v></cell><cell r="AJ3147"><v>103176008</v></cell></row><row r="3148"><cell r="C3148" t="str"><v>43303FACEBOOK»USA-Trial-ITD-Retargeting-AZR-AZR»1 x 1»SocialBan»LIA»ALL»CPA»RT»X»NA»SS»NA»FreeAcctRetargetingOSSFB-Text-ChF»PRC1S1</v></cell><cell r="D3148" t="str"><v>43303223862753</v></cell><cell r="E3148" t="str"><v>43303103176869PRC1S1</v></cell><cell r="F3148" t="str"><v>DCM</v></cell><cell r="G3148" t="str"><v>https://azure.microsoft.com/en-us/free/open-source/search/?OCID=AID%eexcid!_OLA_%ebuy!_%epid!_%ecid!</v></cell></row><row r="3148"><cell r="K3148" t="str"><v>July</v></cell><cell r="L3148"><v>43309</v></cell><cell r="M3148" t="str"><v>Tier 0</v></cell><cell r="N3148" t="str"><v>North America</v></cell><cell r="O3148" t="str"><v>United States</v></cell><cell r="P3148" t="str"><v>Trial</v></cell><cell r="Q3148" t="str"><v>Social</v></cell><cell r="R3148" t="str"><v>Azure</v></cell><cell r="S3148" t="str"><v>Apps & Infra</v></cell><cell r="T3148" t="str"><v>Developers & ITI's</v></cell><cell r="U3148" t="str"><v>USA-Trial-ITD-Retargeting-AZR-AZR</v></cell><cell r="V3148" t="str"><v>Retargeting</v></cell><cell r="W3148" t="str"><v>Link Ad</v></cell><cell r="X3148" t="str"><v>1x1</v></cell></row><row r="3148"><cell r="AA3148"><v>43303</v></cell><cell r="AB3148" t="str"><v>USA_gaPMG_AZR_AZR_Q1_19_Direct-Social</v></cell><cell r="AC3148"><v>21358715</v></cell><cell r="AD3148"><v>720197</v></cell><cell r="AE3148" t="str"><v>Facebook</v></cell><cell r="AF3148"><v>3654128</v></cell><cell r="AG3148" t="str"><v>FACEBOOK»USA-Trial-ITD-Retargeting-AZR-AZR»1 x 1»SocialBan»LIA»ALL»CPA»RT»X»NA»SS»NA»FreeAcctRetargetingOSSFB-Text-ChF»PRC1S1</v></cell><cell r="AH3148"><v>223862753</v></cell><cell r="AI3148" t="str"><v>AzurePlatform_FreeAcctRetargetingOSSFB-Text-ChF_USA_1200x628_CAN_PLATFORM_English_Free Account_Standard_NA_SINU_T1_2</v></cell><cell r="AJ3148"><v>103176869</v></cell></row><row r="3149"><cell r="C3149" t="str"><v>43303FACEBOOK»USA-Trial-ITD-Retargeting-AZR-AZR»1 x 1»SocialBan»CAN»ALL»CPA»RT»X»NA»SS»NA»FBCTCBasicMotion»PRC1RQ</v></cell><cell r="D3149" t="str"><v>43303224106933</v></cell><cell r="E3149" t="str"><v>43303103175984PRC1RQ</v></cell><cell r="F3149" t="str"><v>DCM</v></cell><cell r="G3149" t="str"><v>https://azure.microsoft.com/en-us/pricing/purchase-options/?v=18.19&OCID=AID%eexcid!_OLA_%ebuy!_%epid!_%ecid!</v></cell></row><row r="3149"><cell r="K3149" t="str"><v>July</v></cell><cell r="L3149"><v>43309</v></cell><cell r="M3149" t="str"><v>Tier 0</v></cell><cell r="N3149" t="str"><v>North America</v></cell><cell r="O3149" t="str"><v>United States</v></cell><cell r="P3149" t="str"><v>Trial</v></cell><cell r="Q3149" t="str"><v>Social</v></cell><cell r="R3149" t="str"><v>Azure</v></cell><cell r="S3149" t="str"><v>Apps & Infra</v></cell><cell r="T3149" t="str"><v>Developers & ITI's</v></cell><cell r="U3149" t="str"><v>USA-Trial-ITD-Retargeting-AZR-AZR</v></cell><cell r="V3149" t="str"><v>Retargeting</v></cell><cell r="W3149" t="str"><v>Canvas Ad</v></cell><cell r="X3149" t="str"><v>1x1</v></cell></row><row r="3149"><cell r="AA3149"><v>43303</v></cell><cell r="AB3149" t="str"><v>USA_gaPMG_AZR_AZR_Q1_19_Direct-Social</v></cell><cell r="AC3149"><v>21358715</v></cell><cell r="AD3149"><v>720197</v></cell><cell r="AE3149" t="str"><v>Facebook</v></cell><cell r="AF3149"><v>3654128</v></cell><cell r="AG3149" t="str"><v>FACEBOOK»USA-Trial-ITD-Retargeting-AZR-AZR»1 x 1»SocialBan»CAN»ALL»CPA»RT»X»NA»SS»NA»FBCTCBasicMotion»PRC1RQ</v></cell><cell r="AH3149"><v>224106933</v></cell><cell r="AI3149" t="str"><v>AzurePlatform_FBCTCBasicMotion_USA_10s_CAN_PLATFORM_English_Trial_Standard_STAN_TIN_T1_2</v></cell><cell r="AJ3149"><v>103175984</v></cell></row><row r="3150"><cell r="C3150" t="str"><v>43303FACEBOOK»USA-Trial-ITD-Retargeting-AZR-AZR»1 x 1»SocialBan»LIA»ALL»CPA»RT»X»NA»SS»NA»FreeAcctITProFB-AnimatedSecureMngd-Ch1»PRC26K</v></cell><cell r="D3150" t="str"><v>43303223862762</v></cell><cell r="E3150" t="str"><v>43303103176830PRC26K</v></cell><cell r="F3150" t="str"><v>DCM</v></cell></row><row r="3150"><cell r="K3150" t="str"><v>July</v></cell><cell r="L3150"><v>43309</v></cell><cell r="M3150" t="str"><v>Tier 0</v></cell><cell r="N3150" t="str"><v>North America</v></cell><cell r="O3150" t="str"><v>United States</v></cell><cell r="P3150" t="str"><v>Trial</v></cell><cell r="Q3150" t="str"><v>Social</v></cell><cell r="R3150" t="str"><v>Azure</v></cell><cell r="S3150" t="str"><v>Apps & Infra</v></cell><cell r="T3150" t="str"><v>Developers & ITI's</v></cell><cell r="U3150" t="str"><v>USA-Trial-ITD-Retargeting-AZR-AZR</v></cell><cell r="V3150" t="str"><v>Retargeting</v></cell><cell r="W3150" t="str"><v>Link Ad</v></cell><cell r="X3150" t="str"><v>1x1</v></cell></row><row r="3150"><cell r="AA3150"><v>43303</v></cell><cell r="AB3150" t="str"><v>USA_gaPMG_AZR_AZR_Q1_19_Direct-Social</v></cell><cell r="AC3150"><v>21358715</v></cell><cell r="AD3150"><v>720197</v></cell><cell r="AE3150" t="str"><v>Facebook</v></cell><cell r="AF3150"><v>3654128</v></cell><cell r="AG3150" t="str"><v>FACEBOOK»USA-Trial-ITD-Retargeting-AZR-AZR»1 x 1»SocialBan»LIA»ALL»CPA»RT»X»NA»SS»NA»FreeAcctITProFB-AnimatedSecureMngd-Ch1»PRC26K</v></cell><cell r="AH3150"><v>223862762</v></cell><cell r="AI3150" t="str"><v>AZR_FreeAcctITProFB-AnimatedSecureMngd-Ch1_USA_1200x1200_CAN_Direct_English_Trial_Standard_ANI_LEA_T1_1</v></cell><cell r="AJ3150"><v>103176830</v></cell></row><row r="3151"><cell r="C3151" t="str"><v>43303FACEBOOK»USA-Trial-ITD-Trial Lookalike-AZR-AZR»1 x 1»SocialBan»LIA»ALL»CPA»LAL»X»NA»SS»NA»FreeAcctDeveloperFB-AnimatedGeneric-Ch1»PRC1M4</v></cell><cell r="D3151" t="str"><v>43303224104941</v></cell><cell r="E3151" t="str"><v>43303103176851PRC1M4</v></cell><cell r="F3151" t="str"><v>DCM</v></cell><cell r="G3151" t="str"><v>https://azure.microsoft.com/en-us/free/search/?OCID=AID%eexcid!_OLA_%ebuy!_%epid!_%ecid!</v></cell></row><row r="3151"><cell r="K3151" t="str"><v>July</v></cell><cell r="L3151"><v>43309</v></cell><cell r="M3151" t="str"><v>Tier 0</v></cell><cell r="N3151" t="str"><v>North America</v></cell><cell r="O3151" t="str"><v>United States</v></cell><cell r="P3151" t="str"><v>Trial</v></cell><cell r="Q3151" t="str"><v>Social</v></cell><cell r="R3151" t="str"><v>Azure</v></cell><cell r="S3151" t="str"><v>Apps & Infra</v></cell><cell r="T3151" t="str"><v>Developers & ITI's</v></cell><cell r="U3151" t="str"><v>USA-Trial-ITD-Trial Lookalike-AZR-AZR</v></cell><cell r="V3151" t="str"><v>Lookalike Targeting</v></cell><cell r="W3151" t="str"><v>Link Ad</v></cell><cell r="X3151" t="str"><v>1x1</v></cell></row><row r="3151"><cell r="AA3151"><v>43303</v></cell><cell r="AB3151" t="str"><v>USA_gaPMG_AZR_AZR_Q1_19_Direct-Social</v></cell><cell r="AC3151"><v>21358715</v></cell><cell r="AD3151"><v>720197</v></cell><cell r="AE3151" t="str"><v>Facebook</v></cell><cell r="AF3151"><v>3654128</v></cell><cell r="AG3151" t="str"><v>FACEBOOK»USA-Trial-ITD-Trial Lookalike-AZR-AZR»1 x 1»SocialBan»LIA»ALL»CPA»LAL»X»NA»SS»NA»FreeAcctDeveloperFB-AnimatedGeneric-Ch1»PRC1M4</v></cell><cell r="AH3151"><v>224104941</v></cell><cell r="AI3151" t="str"><v>AZR_FreeAcctDeveloperFB-AnimatedGeneric-Ch1_USA_1200x1200_CAN_Direct_English_Trial_Standard_ANI_LEA_T1_2</v></cell><cell r="AJ3151"><v>103176851</v></cell></row><row r="3152"><cell r="C3152" t="str"><v>43303FACEBOOK»USA-Trial-ITD-Trial Lookalike-AZR-AZR»1 x 1»SocialBan»LIA»ALL»CPA»LAL»X»NA»SS»NA»FreeAcctDeveloperFB-AnimatedGeneric-Ch1»PRC1M5</v></cell><cell r="D3152" t="str"><v>43303223934083</v></cell><cell r="E3152" t="str"><v>43303103176851PRC1M5</v></cell><cell r="F3152" t="str"><v>DCM</v></cell><cell r="G3152" t="str"><v>https://azure.microsoft.com/en-us/free/search/?OCID=AID%eexcid!_OLA_%ebuy!_%epid!_%ecid!</v></cell></row><row r="3152"><cell r="K3152" t="str"><v>July</v></cell><cell r="L3152"><v>43309</v></cell><cell r="M3152" t="str"><v>Tier 0</v></cell><cell r="N3152" t="str"><v>North America</v></cell><cell r="O3152" t="str"><v>United States</v></cell><cell r="P3152" t="str"><v>Trial</v></cell><cell r="Q3152" t="str"><v>Social</v></cell><cell r="R3152" t="str"><v>Azure</v></cell><cell r="S3152" t="str"><v>Apps & Infra</v></cell><cell r="T3152" t="str"><v>Developers & ITI's</v></cell><cell r="U3152" t="str"><v>USA-Trial-ITD-Trial Lookalike-AZR-AZR</v></cell><cell r="V3152" t="str"><v>Lookalike Targeting</v></cell><cell r="W3152" t="str"><v>Link Ad</v></cell><cell r="X3152" t="str"><v>1x1</v></cell></row><row r="3152"><cell r="AA3152"><v>43303</v></cell><cell r="AB3152" t="str"><v>USA_gaPMG_AZR_AZR_Q1_19_Direct-Social</v></cell><cell r="AC3152"><v>21358715</v></cell><cell r="AD3152"><v>720197</v></cell><cell r="AE3152" t="str"><v>Facebook</v></cell><cell r="AF3152"><v>3654128</v></cell><cell r="AG3152" t="str"><v>FACEBOOK»USA-Trial-ITD-Trial Lookalike-AZR-AZR»1 x 1»SocialBan»LIA»ALL»CPA»LAL»X»NA»SS»NA»FreeAcctDeveloperFB-AnimatedGeneric-Ch1»PRC1M5</v></cell><cell r="AH3152"><v>223934083</v></cell><cell r="AI3152" t="str"><v>AZR_FreeAcctDeveloperFB-AnimatedGeneric-Ch1_USA_1200x1200_CAN_Direct_English_Trial_Standard_ANI_LEA_T1_2</v></cell><cell r="AJ3152"><v>103176851</v></cell></row><row r="3153"><cell r="C3153" t="str"><v>43303FACEBOOK»USA-Trial-ITD-Trial Lookalike-AZR-AZR»1 x 1»SocialBan»LIA»ALL»CPA»LAL»X»NA»SS»NA»FreeAcctITProFB-AnimatedMigration-Ch3»PRC23N</v></cell><cell r="D3153" t="str"><v>43303223935637</v></cell><cell r="E3153" t="str"><v>43303103176827PRC23N</v></cell><cell r="F3153" t="str"><v>DCM</v></cell></row><row r="3153"><cell r="K3153" t="str"><v>July</v></cell><cell r="L3153"><v>43309</v></cell><cell r="M3153" t="str"><v>Tier 0</v></cell><cell r="N3153" t="str"><v>North America</v></cell><cell r="O3153" t="str"><v>United States</v></cell><cell r="P3153" t="str"><v>Trial</v></cell><cell r="Q3153" t="str"><v>Social</v></cell><cell r="R3153" t="str"><v>Azure</v></cell><cell r="S3153" t="str"><v>Apps & Infra</v></cell><cell r="T3153" t="str"><v>Developers & ITI's</v></cell><cell r="U3153" t="str"><v>USA-Trial-ITD-Trial Lookalike-AZR-AZR</v></cell><cell r="V3153" t="str"><v>Lookalike Targeting</v></cell><cell r="W3153" t="str"><v>Link Ad</v></cell><cell r="X3153" t="str"><v>1x1</v></cell></row><row r="3153"><cell r="AA3153"><v>43303</v></cell><cell r="AB3153" t="str"><v>USA_gaPMG_AZR_AZR_Q1_19_Direct-Social</v></cell><cell r="AC3153"><v>21358715</v></cell><cell r="AD3153"><v>720197</v></cell><cell r="AE3153" t="str"><v>Facebook</v></cell><cell r="AF3153"><v>3654128</v></cell><cell r="AG3153" t="str"><v>FACEBOOK»USA-Trial-ITD-Trial Lookalike-AZR-AZR»1 x 1»SocialBan»LIA»ALL»CPA»LAL»X»NA»SS»NA»FreeAcctITProFB-AnimatedMigration-Ch3»PRC23N</v></cell><cell r="AH3153"><v>223935637</v></cell><cell r="AI3153" t="str"><v>AZR_FreeAcctITProFB-AnimatedMigration-Ch3_USA_1200x1200_CAN_Direct_English_Trial_Standard_ANI_LEA_T3_1</v></cell><cell r="AJ3153"><v>103176827</v></cell></row><row r="3154"><cell r="C3154" t="str"><v>43303FACEBOOK»USA-Trial-ITD-Trial Lookalike-AZR-AZR»1 x 1»SocialBan»LIA»ALL»CPA»LAL»X»NA»SS»NA»FreeAcctITProFB-AnimatedSecureMngd-Ch1»PRC1M9</v></cell><cell r="D3154" t="str"><v>43303224104959</v></cell><cell r="E3154" t="str"><v>43303103176830PRC1M9</v></cell><cell r="F3154" t="str"><v>DCM</v></cell></row><row r="3154"><cell r="K3154" t="str"><v>July</v></cell><cell r="L3154"><v>43309</v></cell><cell r="M3154" t="str"><v>Tier 0</v></cell><cell r="N3154" t="str"><v>North America</v></cell><cell r="O3154" t="str"><v>United States</v></cell><cell r="P3154" t="str"><v>Trial</v></cell><cell r="Q3154" t="str"><v>Social</v></cell><cell r="R3154" t="str"><v>Azure</v></cell><cell r="S3154" t="str"><v>Apps & Infra</v></cell><cell r="T3154" t="str"><v>Developers & ITI's</v></cell><cell r="U3154" t="str"><v>USA-Trial-ITD-Trial Lookalike-AZR-AZR</v></cell><cell r="V3154" t="str"><v>Lookalike Targeting</v></cell><cell r="W3154" t="str"><v>Link Ad</v></cell><cell r="X3154" t="str"><v>1x1</v></cell></row><row r="3154"><cell r="AA3154"><v>43303</v></cell><cell r="AB3154" t="str"><v>USA_gaPMG_AZR_AZR_Q1_19_Direct-Social</v></cell><cell r="AC3154"><v>21358715</v></cell><cell r="AD3154"><v>720197</v></cell><cell r="AE3154" t="str"><v>Facebook</v></cell><cell r="AF3154"><v>3654128</v></cell><cell r="AG3154" t="str"><v>FACEBOOK»USA-Trial-ITD-Trial Lookalike-AZR-AZR»1 x 1»SocialBan»LIA»ALL»CPA»LAL»X»NA»SS»NA»FreeAcctITProFB-AnimatedSecureMngd-Ch1»PRC1M9</v></cell><cell r="AH3154"><v>224104959</v></cell><cell r="AI3154" t="str"><v>AZR_FreeAcctITProFB-AnimatedSecureMngd-Ch1_USA_1200x1200_CAN_Direct_English_Trial_Standard_ANI_LEA_T1_1</v></cell><cell r="AJ3154"><v>103176830</v></cell></row><row r="3155"><cell r="C3155" t="str"><v>43303FACEBOOK»USA-Trial-ITD-Trial Lookalike-AZR-AZR»1 x 1»SocialBan»CAN»ALL»CPA»LAL»X»NA»SS»NA»FBCTCBasicMotion»PRC1LZ</v></cell><cell r="D3155" t="str"><v>43303223862915</v></cell><cell r="E3155" t="str"><v>43303103043823PRC1LZ</v></cell><cell r="F3155" t="str"><v>DCM</v></cell><cell r="G3155" t="str"><v>https://signup.azure.com/?OCID=AID%eexcid!_OLA_%ebuy!_%epid!_%ecid!</v></cell></row><row r="3155"><cell r="K3155" t="str"><v>July</v></cell><cell r="L3155"><v>43309</v></cell><cell r="M3155" t="str"><v>Tier 0</v></cell><cell r="N3155" t="str"><v>North America</v></cell><cell r="O3155" t="str"><v>United States</v></cell><cell r="P3155" t="str"><v>Trial</v></cell><cell r="Q3155" t="str"><v>Social</v></cell><cell r="R3155" t="str"><v>Azure</v></cell><cell r="S3155" t="str"><v>Apps & Infra</v></cell><cell r="T3155" t="str"><v>Developers & ITI's</v></cell><cell r="U3155" t="str"><v>USA-Trial-ITD-Trial Lookalike-AZR-AZR</v></cell><cell r="V3155" t="str"><v>Lookalike Targeting</v></cell><cell r="W3155" t="str"><v>Canvas Ad</v></cell><cell r="X3155" t="str"><v>1x1</v></cell></row><row r="3155"><cell r="AA3155"><v>43303</v></cell><cell r="AB3155" t="str"><v>USA_gaPMG_AZR_AZR_Q1_19_Direct-Social</v></cell><cell r="AC3155"><v>21358715</v></cell><cell r="AD3155"><v>720197</v></cell><cell r="AE3155" t="str"><v>Facebook</v></cell><cell r="AF3155"><v>3654128</v></cell><cell r="AG3155" t="str"><v>FACEBOOK»USA-Trial-ITD-Trial Lookalike-AZR-AZR»1 x 1»SocialBan»CAN»ALL»CPA»LAL»X»NA»SS»NA»FBCTCBasicMotion»PRC1LZ</v></cell><cell r="AH3155"><v>223862915</v></cell><cell r="AI3155" t="str"><v>AzurePlatform_FBCTCBasicMotion_USA_10s_CAN_PLATFORM_English_Trial_Standard_STAN_TIN_T1_1</v></cell><cell r="AJ3155"><v>103043823</v></cell></row><row r="3156"><cell r="C3156" t="str"><v>43303FACEBOOK»USA-Trial-ITD-Trial Lookalike-AZR-AZR»1 x 1»SocialBan»CAN»ALL»CPA»LAL»X»NA»SS»NA»FBCTCBasicMotion»PRC1LZ</v></cell><cell r="D3156" t="str"><v>43303223862915</v></cell><cell r="E3156" t="str"><v>43303103175984PRC1LZ</v></cell><cell r="F3156" t="str"><v>DCM</v></cell><cell r="G3156" t="str"><v>https://azure.microsoft.com/en-us/pricing/purchase-options/?v=18.19&OCID=AID%eexcid!_OLA_%ebuy!_%epid!_%ecid!</v></cell></row><row r="3156"><cell r="K3156" t="str"><v>July</v></cell><cell r="L3156"><v>43309</v></cell><cell r="M3156" t="str"><v>Tier 0</v></cell><cell r="N3156" t="str"><v>North America</v></cell><cell r="O3156" t="str"><v>United States</v></cell><cell r="P3156" t="str"><v>Trial</v></cell><cell r="Q3156" t="str"><v>Social</v></cell><cell r="R3156" t="str"><v>Azure</v></cell><cell r="S3156" t="str"><v>Apps & Infra</v></cell><cell r="T3156" t="str"><v>Developers & ITI's</v></cell><cell r="U3156" t="str"><v>USA-Trial-ITD-Trial Lookalike-AZR-AZR</v></cell><cell r="V3156" t="str"><v>Lookalike Targeting</v></cell><cell r="W3156" t="str"><v>Canvas Ad</v></cell><cell r="X3156" t="str"><v>1x1</v></cell></row><row r="3156"><cell r="AA3156"><v>43303</v></cell><cell r="AB3156" t="str"><v>USA_gaPMG_AZR_AZR_Q1_19_Direct-Social</v></cell><cell r="AC3156"><v>21358715</v></cell><cell r="AD3156"><v>720197</v></cell><cell r="AE3156" t="str"><v>Facebook</v></cell><cell r="AF3156"><v>3654128</v></cell><cell r="AG3156" t="str"><v>FACEBOOK»USA-Trial-ITD-Trial Lookalike-AZR-AZR»1 x 1»SocialBan»CAN»ALL»CPA»LAL»X»NA»SS»NA»FBCTCBasicMotion»PRC1LZ</v></cell><cell r="AH3156"><v>223862915</v></cell><cell r="AI3156" t="str"><v>AzurePlatform_FBCTCBasicMotion_USA_10s_CAN_PLATFORM_English_Trial_Standard_STAN_TIN_T1_2</v></cell><cell r="AJ3156"><v>103175984</v></cell></row><row r="3157"><cell r="C3157" t="str"><v>43303FACEBOOK»USA-Trial-ITD-Trial PayGo Lookalike-AZR-AZR»1 x 1»SocialBan»CAN»ALL»CPA»LAL»X»NA»SS»NA»FBCTCBasicMotion»PRC1Q0</v></cell><cell r="D3157" t="str"><v>43303223935664</v></cell><cell r="E3157" t="str"><v>43303103043823PRC1Q0</v></cell><cell r="F3157" t="str"><v>DCM</v></cell><cell r="G3157" t="str"><v>https://signup.azure.com/?OCID=AID%eexcid!_OLA_%ebuy!_%epid!_%ecid!</v></cell></row><row r="3157"><cell r="K3157" t="str"><v>July</v></cell><cell r="L3157"><v>43309</v></cell><cell r="M3157" t="str"><v>Tier 0</v></cell><cell r="N3157" t="str"><v>North America</v></cell><cell r="O3157" t="str"><v>United States</v></cell><cell r="P3157" t="str"><v>Trial</v></cell><cell r="Q3157" t="str"><v>Social</v></cell><cell r="R3157" t="str"><v>Azure</v></cell><cell r="S3157" t="str"><v>Apps & Infra</v></cell><cell r="T3157" t="str"><v>Developers & ITI's</v></cell><cell r="U3157" t="str"><v>USA-Trial-ITD-Trial PayGo Lookalike-AZR-AZR</v></cell><cell r="V3157" t="str"><v>Lookalike Targeting</v></cell><cell r="W3157" t="str"><v>Canvas Ad</v></cell><cell r="X3157" t="str"><v>1x1</v></cell></row><row r="3157"><cell r="AA3157"><v>43303</v></cell><cell r="AB3157" t="str"><v>USA_gaPMG_AZR_AZR_Q1_19_Direct-Social</v></cell><cell r="AC3157"><v>21358715</v></cell><cell r="AD3157"><v>720197</v></cell><cell r="AE3157" t="str"><v>Facebook</v></cell><cell r="AF3157"><v>3654128</v></cell><cell r="AG3157" t="str"><v>FACEBOOK»USA-Trial-ITD-Trial PayGo Lookalike-AZR-AZR»1 x 1»SocialBan»CAN»ALL»CPA»LAL»X»NA»SS»NA»FBCTCBasicMotion»PRC1Q0</v></cell><cell r="AH3157"><v>223935664</v></cell><cell r="AI3157" t="str"><v>AzurePlatform_FBCTCBasicMotion_USA_10s_CAN_PLATFORM_English_Trial_Standard_STAN_TIN_T1_1</v></cell><cell r="AJ3157"><v>103043823</v></cell></row><row r="3158"><cell r="C3158" t="str"><v>43303FACEBOOK»USA-Trial-ITD-Trial PayGo Lookalike-AZR-AZR»1 x 1»SocialBan»CAN»ALL»CPA»LAL»X»NA»SS»NA»FBCTCBasicMotion»PRC1Q0</v></cell><cell r="D3158" t="str"><v>43303223935664</v></cell><cell r="E3158" t="str"><v>43303103175984PRC1Q0</v></cell><cell r="F3158" t="str"><v>DCM</v></cell><cell r="G3158" t="str"><v>https://azure.microsoft.com/en-us/pricing/purchase-options/?v=18.19&OCID=AID%eexcid!_OLA_%ebuy!_%epid!_%ecid!</v></cell></row><row r="3158"><cell r="K3158" t="str"><v>July</v></cell><cell r="L3158"><v>43309</v></cell><cell r="M3158" t="str"><v>Tier 0</v></cell><cell r="N3158" t="str"><v>North America</v></cell><cell r="O3158" t="str"><v>United States</v></cell><cell r="P3158" t="str"><v>Trial</v></cell><cell r="Q3158" t="str"><v>Social</v></cell><cell r="R3158" t="str"><v>Azure</v></cell><cell r="S3158" t="str"><v>Apps & Infra</v></cell><cell r="T3158" t="str"><v>Developers & ITI's</v></cell><cell r="U3158" t="str"><v>USA-Trial-ITD-Trial PayGo Lookalike-AZR-AZR</v></cell><cell r="V3158" t="str"><v>Lookalike Targeting</v></cell><cell r="W3158" t="str"><v>Canvas Ad</v></cell><cell r="X3158" t="str"><v>1x1</v></cell></row><row r="3158"><cell r="AA3158"><v>43303</v></cell><cell r="AB3158" t="str"><v>USA_gaPMG_AZR_AZR_Q1_19_Direct-Social</v></cell><cell r="AC3158"><v>21358715</v></cell><cell r="AD3158"><v>720197</v></cell><cell r="AE3158" t="str"><v>Facebook</v></cell><cell r="AF3158"><v>3654128</v></cell><cell r="AG3158" t="str"><v>FACEBOOK»USA-Trial-ITD-Trial PayGo Lookalike-AZR-AZR»1 x 1»SocialBan»CAN»ALL»CPA»LAL»X»NA»SS»NA»FBCTCBasicMotion»PRC1Q0</v></cell><cell r="AH3158"><v>223935664</v></cell><cell r="AI3158" t="str"><v>AzurePlatform_FBCTCBasicMotion_USA_10s_CAN_PLATFORM_English_Trial_Standard_STAN_TIN_T1_2</v></cell><cell r="AJ3158"><v>103175984</v></cell></row><row r="3159"><cell r="C3159" t="str"><v>43303FACEBOOK»USA-Trial-ITD-Trial PayGo Lookalike-AZR-AZR»1 x 1»SocialBan»LIA»ALL»CPA»LAL»X»NA»SS»NA»FreeAcctDeveloperFB-AnimatedAI-Ch3»PRC1Q8</v></cell><cell r="D3159" t="str"><v>43303224104983</v></cell><cell r="E3159" t="str"><v>43303103032778PRC1Q8</v></cell><cell r="F3159" t="str"><v>DCM</v></cell></row><row r="3159"><cell r="K3159" t="str"><v>July</v></cell><cell r="L3159"><v>43309</v></cell><cell r="M3159" t="str"><v>Tier 0</v></cell><cell r="N3159" t="str"><v>North America</v></cell><cell r="O3159" t="str"><v>United States</v></cell><cell r="P3159" t="str"><v>Trial</v></cell><cell r="Q3159" t="str"><v>Social</v></cell><cell r="R3159" t="str"><v>Azure</v></cell><cell r="S3159" t="str"><v>Apps & Infra</v></cell><cell r="T3159" t="str"><v>Developers & ITI's</v></cell><cell r="U3159" t="str"><v>USA-Trial-ITD-Trial PayGo Lookalike-AZR-AZR</v></cell><cell r="V3159" t="str"><v>Lookalike Targeting</v></cell><cell r="W3159" t="str"><v>Link Ad</v></cell><cell r="X3159" t="str"><v>1x1</v></cell></row><row r="3159"><cell r="AA3159"><v>43303</v></cell><cell r="AB3159" t="str"><v>USA_gaPMG_AZR_AZR_Q1_19_Direct-Social</v></cell><cell r="AC3159"><v>21358715</v></cell><cell r="AD3159"><v>720197</v></cell><cell r="AE3159" t="str"><v>Facebook</v></cell><cell r="AF3159"><v>3654128</v></cell><cell r="AG3159" t="str"><v>FACEBOOK»USA-Trial-ITD-Trial PayGo Lookalike-AZR-AZR»1 x 1»SocialBan»LIA»ALL»CPA»LAL»X»NA»SS»NA»FreeAcctDeveloperFB-AnimatedAI-Ch3»PRC1Q8</v></cell><cell r="AH3159"><v>224104983</v></cell><cell r="AI3159" t="str"><v>AZR_FreeAcctDeveloperFB-AnimatedAI-Ch3_USA_1200x1200_CAN_Direct_English_Trial_Standard_ANI_LEA_T3_1</v></cell><cell r="AJ3159"><v>103032778</v></cell></row><row r="3160"><cell r="C3160" t="str"><v>43303FACEBOOK»USA-Trial-ITD-Trial PayGo Lookalike-AZR-AZR»1 x 1»SocialBan»LIA»ALL»CPA»LAL»X»NA»SS»NA»FreeAcctDeveloperFB-AnimatedData-Ch4»PRC1Q9</v></cell><cell r="D3160" t="str"><v>43303224106990</v></cell><cell r="E3160" t="str"><v>43303103037935PRC1Q9</v></cell><cell r="F3160" t="str"><v>DCM</v></cell></row><row r="3160"><cell r="K3160" t="str"><v>July</v></cell><cell r="L3160"><v>43309</v></cell><cell r="M3160" t="str"><v>Tier 0</v></cell><cell r="N3160" t="str"><v>North America</v></cell><cell r="O3160" t="str"><v>United States</v></cell><cell r="P3160" t="str"><v>Trial</v></cell><cell r="Q3160" t="str"><v>Social</v></cell><cell r="R3160" t="str"><v>Azure</v></cell><cell r="S3160" t="str"><v>Apps & Infra</v></cell><cell r="T3160" t="str"><v>Developers & ITI's</v></cell><cell r="U3160" t="str"><v>USA-Trial-ITD-Trial PayGo Lookalike-AZR-AZR</v></cell><cell r="V3160" t="str"><v>Lookalike Targeting</v></cell><cell r="W3160" t="str"><v>Link Ad</v></cell><cell r="X3160" t="str"><v>1x1</v></cell></row><row r="3160"><cell r="AA3160"><v>43303</v></cell><cell r="AB3160" t="str"><v>USA_gaPMG_AZR_AZR_Q1_19_Direct-Social</v></cell><cell r="AC3160"><v>21358715</v></cell><cell r="AD3160"><v>720197</v></cell><cell r="AE3160" t="str"><v>Facebook</v></cell><cell r="AF3160"><v>3654128</v></cell><cell r="AG3160" t="str"><v>FACEBOOK»USA-Trial-ITD-Trial PayGo Lookalike-AZR-AZR»1 x 1»SocialBan»LIA»ALL»CPA»LAL»X»NA»SS»NA»FreeAcctDeveloperFB-AnimatedData-Ch4»PRC1Q9</v></cell><cell r="AH3160"><v>224106990</v></cell><cell r="AI3160" t="str"><v>AZR_FreeAcctDeveloperFB-AnimatedData-Ch4_USA_1200x1200_CAN_Direct_English_Trial_Standard_ANI_LEA_T4_2</v></cell><cell r="AJ3160"><v>103037935</v></cell></row><row r="3161"><cell r="C3161" t="str"><v>43303FACEBOOK»USA-Trial-ITD-Trial PayGo Lookalike-AZR-AZR»1 x 1»SocialBan»LIA»ALL»CPA»LAL»X»NA»SS»NA»FreeAcctDeveloperFB-AnimatedGeneric-Ch1»PRC1Q5</v></cell><cell r="D3161" t="str"><v>43303224104092</v></cell><cell r="E3161" t="str"><v>43303103176851PRC1Q5</v></cell><cell r="F3161" t="str"><v>DCM</v></cell><cell r="G3161" t="str"><v>https://azure.microsoft.com/en-us/free/search/?OCID=AID%eexcid!_OLA_%ebuy!_%epid!_%ecid!</v></cell></row><row r="3161"><cell r="K3161" t="str"><v>July</v></cell><cell r="L3161"><v>43309</v></cell><cell r="M3161" t="str"><v>Tier 0</v></cell><cell r="N3161" t="str"><v>North America</v></cell><cell r="O3161" t="str"><v>United States</v></cell><cell r="P3161" t="str"><v>Trial</v></cell><cell r="Q3161" t="str"><v>Social</v></cell><cell r="R3161" t="str"><v>Azure</v></cell><cell r="S3161" t="str"><v>Apps & Infra</v></cell><cell r="T3161" t="str"><v>Developers & ITI's</v></cell><cell r="U3161" t="str"><v>USA-Trial-ITD-Trial PayGo Lookalike-AZR-AZR</v></cell><cell r="V3161" t="str"><v>Lookalike Targeting</v></cell><cell r="W3161" t="str"><v>Link Ad</v></cell><cell r="X3161" t="str"><v>1x1</v></cell></row><row r="3161"><cell r="AA3161"><v>43303</v></cell><cell r="AB3161" t="str"><v>USA_gaPMG_AZR_AZR_Q1_19_Direct-Social</v></cell><cell r="AC3161"><v>21358715</v></cell><cell r="AD3161"><v>720197</v></cell><cell r="AE3161" t="str"><v>Facebook</v></cell><cell r="AF3161"><v>3654128</v></cell><cell r="AG3161" t="str"><v>FACEBOOK»USA-Trial-ITD-Trial PayGo Lookalike-AZR-AZR»1 x 1»SocialBan»LIA»ALL»CPA»LAL»X»NA»SS»NA»FreeAcctDeveloperFB-AnimatedGeneric-Ch1»PRC1Q5</v></cell><cell r="AH3161"><v>224104092</v></cell><cell r="AI3161" t="str"><v>AZR_FreeAcctDeveloperFB-AnimatedGeneric-Ch1_USA_1200x1200_CAN_Direct_English_Trial_Standard_ANI_LEA_T1_2</v></cell><cell r="AJ3161"><v>103176851</v></cell></row><row r="3162"><cell r="C3162" t="str"><v>43303FACEBOOK»USA-Trial-ITD-Trial PayGo Lookalike-AZR-AZR»1 x 1»SocialBan»LIA»ALL»CPA»LAL»X»NA»SS»NA»FreeAcctDeveloperFB-AnimatedOpenSource-Ch2»PRC1Q7</v></cell><cell r="D3162" t="str"><v>43303223862951</v></cell><cell r="E3162" t="str"><v>43303103048329PRC1Q7</v></cell><cell r="F3162" t="str"><v>DCM</v></cell><cell r="G3162" t="str"><v>https://azure.microsoft.com/en-us/free/open-source/search/?OCID=AID%eexcid!_OLA_%ebuy!_%epid!_%ecid!</v></cell></row><row r="3162"><cell r="K3162" t="str"><v>July</v></cell><cell r="L3162"><v>43309</v></cell><cell r="M3162" t="str"><v>Tier 0</v></cell><cell r="N3162" t="str"><v>North America</v></cell><cell r="O3162" t="str"><v>United States</v></cell><cell r="P3162" t="str"><v>Trial</v></cell><cell r="Q3162" t="str"><v>Social</v></cell><cell r="R3162" t="str"><v>Azure</v></cell><cell r="S3162" t="str"><v>Apps & Infra</v></cell><cell r="T3162" t="str"><v>Developers & ITI's</v></cell><cell r="U3162" t="str"><v>USA-Trial-ITD-Trial PayGo Lookalike-AZR-AZR</v></cell><cell r="V3162" t="str"><v>Lookalike Targeting</v></cell><cell r="W3162" t="str"><v>Link Ad</v></cell><cell r="X3162" t="str"><v>1x1</v></cell></row><row r="3162"><cell r="AA3162"><v>43303</v></cell><cell r="AB3162" t="str"><v>USA_gaPMG_AZR_AZR_Q1_19_Direct-Social</v></cell><cell r="AC3162"><v>21358715</v></cell><cell r="AD3162"><v>720197</v></cell><cell r="AE3162" t="str"><v>Facebook</v></cell><cell r="AF3162"><v>3654128</v></cell><cell r="AG3162" t="str"><v>FACEBOOK»USA-Trial-ITD-Trial PayGo Lookalike-AZR-AZR»1 x 1»SocialBan»LIA»ALL»CPA»LAL»X»NA»SS»NA»FreeAcctDeveloperFB-AnimatedOpenSource-Ch2»PRC1Q7</v></cell><cell r="AH3162"><v>223862951</v></cell><cell r="AI3162" t="str"><v>AZR_FreeAcctDeveloperFB-AnimatedOpenSource-Ch2_USA_1200x1200_CAN_Direct_English_Trial_Standard_ANI_LEA_T2_1</v></cell><cell r="AJ3162"><v>103048329</v></cell></row><row r="3163"><cell r="C3163" t="str"><v>43303FACEBOOK»USA-Trial-ITD-Trial PayGo Lookalike-AZR-AZR»1 x 1»SocialBan»LIA»ALL»CPA»LAL»X»NA»SS»NA»FreeAcctITProFB-AnimatedHybrid-Ch2»PRC1QC</v></cell><cell r="D3163" t="str"><v>43303223933186</v></cell><cell r="E3163" t="str"><v>43303103180583PRC1QC</v></cell><cell r="F3163" t="str"><v>DCM</v></cell></row><row r="3163"><cell r="K3163" t="str"><v>July</v></cell><cell r="L3163"><v>43309</v></cell><cell r="M3163" t="str"><v>Tier 0</v></cell><cell r="N3163" t="str"><v>North America</v></cell><cell r="O3163" t="str"><v>United States</v></cell><cell r="P3163" t="str"><v>Trial</v></cell><cell r="Q3163" t="str"><v>Social</v></cell><cell r="R3163" t="str"><v>Azure</v></cell><cell r="S3163" t="str"><v>Apps & Infra</v></cell><cell r="T3163" t="str"><v>Developers & ITI's</v></cell><cell r="U3163" t="str"><v>USA-Trial-ITD-Trial PayGo Lookalike-AZR-AZR</v></cell><cell r="V3163" t="str"><v>Lookalike Targeting</v></cell><cell r="W3163" t="str"><v>Link Ad</v></cell><cell r="X3163" t="str"><v>1x1</v></cell></row><row r="3163"><cell r="AA3163"><v>43303</v></cell><cell r="AB3163" t="str"><v>USA_gaPMG_AZR_AZR_Q1_19_Direct-Social</v></cell><cell r="AC3163"><v>21358715</v></cell><cell r="AD3163"><v>720197</v></cell><cell r="AE3163" t="str"><v>Facebook</v></cell><cell r="AF3163"><v>3654128</v></cell><cell r="AG3163" t="str"><v>FACEBOOK»USA-Trial-ITD-Trial PayGo Lookalike-AZR-AZR»1 x 1»SocialBan»LIA»ALL»CPA»LAL»X»NA»SS»NA»FreeAcctITProFB-AnimatedHybrid-Ch2»PRC1QC</v></cell><cell r="AH3163"><v>223933186</v></cell><cell r="AI3163" t="str"><v>AZR_FreeAcctITProFB-AnimatedHybrid-Ch2_USA_1200x1200_CAN_Direct_English_Trial_Standard_ANI_LEA_T2_2</v></cell><cell r="AJ3163"><v>103180583</v></cell></row><row r="3164"><cell r="C3164" t="str"><v>43303FACEBOOK»USA-Trial-ITD-Trial PayGo Lookalike-AZR-AZR»1 x 1»SocialBan»LIA»ALL»CPA»LAL»X»NA»SS»NA»FreeAcctITProFB-AnimatedMigration-Ch3»PRC23Y</v></cell><cell r="D3164" t="str"><v>43303224105904</v></cell><cell r="E3164" t="str"><v>43303103176827PRC23Y</v></cell><cell r="F3164" t="str"><v>DCM</v></cell></row><row r="3164"><cell r="K3164" t="str"><v>July</v></cell><cell r="L3164"><v>43309</v></cell><cell r="M3164" t="str"><v>Tier 0</v></cell><cell r="N3164" t="str"><v>North America</v></cell><cell r="O3164" t="str"><v>United States</v></cell><cell r="P3164" t="str"><v>Trial</v></cell><cell r="Q3164" t="str"><v>Social</v></cell><cell r="R3164" t="str"><v>Azure</v></cell><cell r="S3164" t="str"><v>Apps & Infra</v></cell><cell r="T3164" t="str"><v>Developers & ITI's</v></cell><cell r="U3164" t="str"><v>USA-Trial-ITD-Trial PayGo Lookalike-AZR-AZR</v></cell><cell r="V3164" t="str"><v>Lookalike Targeting</v></cell><cell r="W3164" t="str"><v>Link Ad</v></cell><cell r="X3164" t="str"><v>1x1</v></cell></row><row r="3164"><cell r="AA3164"><v>43303</v></cell><cell r="AB3164" t="str"><v>USA_gaPMG_AZR_AZR_Q1_19_Direct-Social</v></cell><cell r="AC3164"><v>21358715</v></cell><cell r="AD3164"><v>720197</v></cell><cell r="AE3164" t="str"><v>Facebook</v></cell><cell r="AF3164"><v>3654128</v></cell><cell r="AG3164" t="str"><v>FACEBOOK»USA-Trial-ITD-Trial PayGo Lookalike-AZR-AZR»1 x 1»SocialBan»LIA»ALL»CPA»LAL»X»NA»SS»NA»FreeAcctITProFB-AnimatedMigration-Ch3»PRC23Y</v></cell><cell r="AH3164"><v>224105904</v></cell><cell r="AI3164" t="str"><v>AZR_FreeAcctITProFB-AnimatedMigration-Ch3_USA_1200x1200_CAN_Direct_English_Trial_Standard_ANI_LEA_T3_1</v></cell><cell r="AJ3164"><v>103176827</v></cell></row><row r="3165"><cell r="C3165" t="str"><v>43303FACEBOOK»USA-Trial-ITD-Trial PayGo Lookalike-AZR-AZR»1 x 1»SocialBan»LIA»ALL»CPA»LAL»X»NA»SS»NA»FreeAcctITProFB-AnimatedSecureMngd-Ch1»PRC1QB</v></cell><cell r="D3165" t="str"><v>43303223862945</v></cell><cell r="E3165" t="str"><v>43303103176830PRC1QB</v></cell><cell r="F3165" t="str"><v>DCM</v></cell></row><row r="3165"><cell r="K3165" t="str"><v>July</v></cell><cell r="L3165"><v>43309</v></cell><cell r="M3165" t="str"><v>Tier 0</v></cell><cell r="N3165" t="str"><v>North America</v></cell><cell r="O3165" t="str"><v>United States</v></cell><cell r="P3165" t="str"><v>Trial</v></cell><cell r="Q3165" t="str"><v>Social</v></cell><cell r="R3165" t="str"><v>Azure</v></cell><cell r="S3165" t="str"><v>Apps & Infra</v></cell><cell r="T3165" t="str"><v>Developers & ITI's</v></cell><cell r="U3165" t="str"><v>USA-Trial-ITD-Trial PayGo Lookalike-AZR-AZR</v></cell><cell r="V3165" t="str"><v>Lookalike Targeting</v></cell><cell r="W3165" t="str"><v>Link Ad</v></cell><cell r="X3165" t="str"><v>1x1</v></cell></row><row r="3165"><cell r="AA3165"><v>43303</v></cell><cell r="AB3165" t="str"><v>USA_gaPMG_AZR_AZR_Q1_19_Direct-Social</v></cell><cell r="AC3165"><v>21358715</v></cell><cell r="AD3165"><v>720197</v></cell><cell r="AE3165" t="str"><v>Facebook</v></cell><cell r="AF3165"><v>3654128</v></cell><cell r="AG3165" t="str"><v>FACEBOOK»USA-Trial-ITD-Trial PayGo Lookalike-AZR-AZR»1 x 1»SocialBan»LIA»ALL»CPA»LAL»X»NA»SS»NA»FreeAcctITProFB-AnimatedSecureMngd-Ch1»PRC1QB</v></cell><cell r="AH3165"><v>223862945</v></cell><cell r="AI3165" t="str"><v>AZR_FreeAcctITProFB-AnimatedSecureMngd-Ch1_USA_1200x1200_CAN_Direct_English_Trial_Standard_ANI_LEA_T1_1</v></cell><cell r="AJ3165"><v>103176830</v></cell></row><row r="3166"><cell r="C3166" t="str"><v>43303INSTAGRAM»USA-Trial-ITD-Interest Prospecting-AZR-AZR»1 x 1»SocialBan»CAN»ALL»CPA»PRO»X»NA»SS»NA»IGCTCBrandinMotion»PRC2PB</v></cell><cell r="D3166" t="str"><v>43303223862690</v></cell><cell r="E3166" t="str"><v>43303103050783PRC2PB</v></cell><cell r="F3166" t="str"><v>DCM</v></cell><cell r="G3166" t="str"><v>https://signup.azure.com/?OCID=AID%eexcid!_OLA_%ebuy!_%epid!_%ecid!</v></cell></row><row r="3166"><cell r="K3166" t="str"><v>July</v></cell><cell r="L3166"><v>43309</v></cell><cell r="M3166" t="str"><v>Tier 0</v></cell><cell r="N3166" t="str"><v>North America</v></cell><cell r="O3166" t="str"><v>United States</v></cell><cell r="P3166" t="str"><v>Trial</v></cell><cell r="Q3166" t="str"><v>Social</v></cell><cell r="R3166" t="str"><v>Azure</v></cell><cell r="S3166" t="str"><v>Apps & Infra</v></cell><cell r="T3166" t="str"><v>Developers & ITI's</v></cell><cell r="U3166" t="str"><v>USA-Trial-ITD-Interest Prospecting-AZR-AZR</v></cell><cell r="V3166" t="str"><v>Prospecting</v></cell><cell r="W3166" t="str"><v>Canvas Ad</v></cell><cell r="X3166" t="str"><v>1x1</v></cell></row><row r="3166"><cell r="AA3166"><v>43303</v></cell><cell r="AB3166" t="str"><v>USA_gaPMG_AZR_AZR_Q1_19_Direct-Social</v></cell><cell r="AC3166"><v>21358715</v></cell><cell r="AD3166"><v>720197</v></cell><cell r="AE3166" t="str"><v>Facebook - Instagram</v></cell><cell r="AF3166"><v>3654128</v></cell><cell r="AG3166" t="str"><v>INSTAGRAM»USA-Trial-ITD-Interest Prospecting-AZR-AZR»1 x 1»SocialBan»CAN»ALL»CPA»PRO»X»NA»SS»NA»IGCTCBrandinMotion»PRC2PB</v></cell><cell r="AH3166"><v>223862690</v></cell><cell r="AI3166" t="str"><v>AzurePlatform_IGCTCBenefit2inMotion_USA_10s_CAN_PLATFORM_English_Trial_Standard_STAN_TIN_T4_1</v></cell><cell r="AJ3166"><v>103050783</v></cell></row><row r="3167"><cell r="C3167" t="str"><v>43303INSTAGRAM»USA-Trial-ITD-Retargeting-AZR-AZR»1 x 1»SocialBan»CAN»ALL»CPA»RT»X»NA»SS»NA»IGCTCBenefitinMotion»PRC2G4</v></cell><cell r="D3167" t="str"><v>43303224107536</v></cell><cell r="E3167" t="str"><v>43303103050780PRC2G4</v></cell><cell r="F3167" t="str"><v>DCM</v></cell><cell r="G3167" t="str"><v>https://signup.azure.com/?OCID=AID%eexcid!_OLA_%ebuy!_%epid!_%ecid!</v></cell></row><row r="3167"><cell r="K3167" t="str"><v>July</v></cell><cell r="L3167"><v>43309</v></cell><cell r="M3167" t="str"><v>Tier 0</v></cell><cell r="N3167" t="str"><v>North America</v></cell><cell r="O3167" t="str"><v>United States</v></cell><cell r="P3167" t="str"><v>Trial</v></cell><cell r="Q3167" t="str"><v>Social</v></cell><cell r="R3167" t="str"><v>Azure</v></cell><cell r="S3167" t="str"><v>Apps & Infra</v></cell><cell r="T3167" t="str"><v>Developers & ITI's</v></cell><cell r="U3167" t="str"><v>USA-Trial-ITD-Retargeting-AZR-AZR</v></cell><cell r="V3167" t="str"><v>Retargeting</v></cell><cell r="W3167" t="str"><v>Canvas Ad</v></cell><cell r="X3167" t="str"><v>1x1</v></cell></row><row r="3167"><cell r="AA3167"><v>43303</v></cell><cell r="AB3167" t="str"><v>USA_gaPMG_AZR_AZR_Q1_19_Direct-Social</v></cell><cell r="AC3167"><v>21358715</v></cell><cell r="AD3167"><v>720197</v></cell><cell r="AE3167" t="str"><v>Facebook - Instagram</v></cell><cell r="AF3167"><v>3654128</v></cell><cell r="AG3167" t="str"><v>INSTAGRAM»USA-Trial-ITD-Retargeting-AZR-AZR»1 x 1»SocialBan»CAN»ALL»CPA»RT»X»NA»SS»NA»IGCTCBenefitinMotion»PRC2G4</v></cell><cell r="AH3167"><v>224107536</v></cell><cell r="AI3167" t="str"><v>AzurePlatform_IGCTCBenefitinMotion_USA_10s_CAN_PLATFORM_English_Trial_Standard_STAN_TIN_T3_1</v></cell><cell r="AJ3167"><v>103050780</v></cell></row><row r="3168"><cell r="C3168" t="str"><v>43303INSTAGRAM»USA-Trial-ITD-Retargeting-AZR-AZR»1 x 1»SocialBan»CAN»ALL»CPA»RT»X»NA»SS»NA»IGCTCBenefitinMotion»PRC2G4</v></cell><cell r="D3168" t="str"><v>43303224107536</v></cell><cell r="E3168" t="str"><v>43303103180637PRC2G4</v></cell><cell r="F3168" t="str"><v>DCM</v></cell><cell r="G3168" t="str"><v>https://azure.microsoft.com/en-us/pricing/purchase-options/?v=18.19&OCID=AID%eexcid!_OLA_%ebuy!_%epid!_%ecid!</v></cell></row><row r="3168"><cell r="K3168" t="str"><v>July</v></cell><cell r="L3168"><v>43309</v></cell><cell r="M3168" t="str"><v>Tier 0</v></cell><cell r="N3168" t="str"><v>North America</v></cell><cell r="O3168" t="str"><v>United States</v></cell><cell r="P3168" t="str"><v>Trial</v></cell><cell r="Q3168" t="str"><v>Social</v></cell><cell r="R3168" t="str"><v>Azure</v></cell><cell r="S3168" t="str"><v>Apps & Infra</v></cell><cell r="T3168" t="str"><v>Developers & ITI's</v></cell><cell r="U3168" t="str"><v>USA-Trial-ITD-Retargeting-AZR-AZR</v></cell><cell r="V3168" t="str"><v>Retargeting</v></cell><cell r="W3168" t="str"><v>Canvas Ad</v></cell><cell r="X3168" t="str"><v>1x1</v></cell></row><row r="3168"><cell r="AA3168"><v>43303</v></cell><cell r="AB3168" t="str"><v>USA_gaPMG_AZR_AZR_Q1_19_Direct-Social</v></cell><cell r="AC3168"><v>21358715</v></cell><cell r="AD3168"><v>720197</v></cell><cell r="AE3168" t="str"><v>Facebook - Instagram</v></cell><cell r="AF3168"><v>3654128</v></cell><cell r="AG3168" t="str"><v>INSTAGRAM»USA-Trial-ITD-Retargeting-AZR-AZR»1 x 1»SocialBan»CAN»ALL»CPA»RT»X»NA»SS»NA»IGCTCBenefitinMotion»PRC2G4</v></cell><cell r="AH3168"><v>224107536</v></cell><cell r="AI3168" t="str"><v>AzurePlatform_IGCTCBenefitinMotion_USA_10s_CAN_PLATFORM_English_Trial_Standard_STAN_TIN_T3_2</v></cell><cell r="AJ3168"><v>103180637</v></cell></row><row r="3169"><cell r="C3169" t="str"><v>43303INSTAGRAM»USA-Trial-ITD-Trial Lookalike-AZR-AZR»1 x 1»SocialBan»CAN»ALL»CPA»LAL»X»NA»SS»NA»IGCTCBenefit2inMotion»PRC2FL</v></cell><cell r="D3169" t="str"><v>43303223935022</v></cell><cell r="E3169" t="str"><v>43303103180628PRC2FL</v></cell><cell r="F3169" t="str"><v>DCM</v></cell><cell r="G3169" t="str"><v>https://signup.azure.com/?OCID=AID%eexcid!_OLA_%ebuy!_%epid!_%ecid!</v></cell></row><row r="3169"><cell r="K3169" t="str"><v>July</v></cell><cell r="L3169"><v>43309</v></cell><cell r="M3169" t="str"><v>Tier 0</v></cell><cell r="N3169" t="str"><v>North America</v></cell><cell r="O3169" t="str"><v>United States</v></cell><cell r="P3169" t="str"><v>Trial</v></cell><cell r="Q3169" t="str"><v>Social</v></cell><cell r="R3169" t="str"><v>Azure</v></cell><cell r="S3169" t="str"><v>Apps & Infra</v></cell><cell r="T3169" t="str"><v>Developers & ITI's</v></cell><cell r="U3169" t="str"><v>USA-Trial-ITD-Trial Lookalike-AZR-AZR</v></cell><cell r="V3169" t="str"><v>Lookalike Targeting</v></cell><cell r="W3169" t="str"><v>Canvas Ad</v></cell><cell r="X3169" t="str"><v>1x1</v></cell></row><row r="3169"><cell r="AA3169"><v>43303</v></cell><cell r="AB3169" t="str"><v>USA_gaPMG_AZR_AZR_Q1_19_Direct-Social</v></cell><cell r="AC3169"><v>21358715</v></cell><cell r="AD3169"><v>720197</v></cell><cell r="AE3169" t="str"><v>Facebook - Instagram</v></cell><cell r="AF3169"><v>3654128</v></cell><cell r="AG3169" t="str"><v>INSTAGRAM»USA-Trial-ITD-Trial Lookalike-AZR-AZR»1 x 1»SocialBan»CAN»ALL»CPA»LAL»X»NA»SS»NA»IGCTCBenefit2inMotion»PRC2FL</v></cell><cell r="AH3169"><v>223935022</v></cell><cell r="AI3169" t="str"><v>AzurePlatform_IGCTCBrandinMotion_USA_10s_CAN_PLATFORM_English_Trial_Standard_STAN_TIN_T2_1</v></cell><cell r="AJ3169"><v>103180628</v></cell></row><row r="3170"><cell r="C3170" t="str"><v>43303INSTAGRAM»USA-Trial-ITD-Trial Lookalike-AZR-AZR»1 x 1»SocialBan»CAN»ALL»CPA»LAL»X»NA»SS»NA»IGCTCBenefit2inMotion»PRC2FL</v></cell><cell r="D3170" t="str"><v>43303223935022</v></cell><cell r="E3170" t="str"><v>43303103050786PRC2FL</v></cell><cell r="F3170" t="str"><v>DCM</v></cell><cell r="G3170" t="str"><v>https://azure.microsoft.com/en-us/pricing/purchase-options/?v=18.19&OCID=AID%eexcid!_OLA_%ebuy!_%epid!_%ecid!</v></cell></row><row r="3170"><cell r="K3170" t="str"><v>July</v></cell><cell r="L3170"><v>43309</v></cell><cell r="M3170" t="str"><v>Tier 0</v></cell><cell r="N3170" t="str"><v>North America</v></cell><cell r="O3170" t="str"><v>United States</v></cell><cell r="P3170" t="str"><v>Trial</v></cell><cell r="Q3170" t="str"><v>Social</v></cell><cell r="R3170" t="str"><v>Azure</v></cell><cell r="S3170" t="str"><v>Apps & Infra</v></cell><cell r="T3170" t="str"><v>Developers & ITI's</v></cell><cell r="U3170" t="str"><v>USA-Trial-ITD-Trial Lookalike-AZR-AZR</v></cell><cell r="V3170" t="str"><v>Lookalike Targeting</v></cell><cell r="W3170" t="str"><v>Canvas Ad</v></cell><cell r="X3170" t="str"><v>1x1</v></cell></row><row r="3170"><cell r="AA3170"><v>43303</v></cell><cell r="AB3170" t="str"><v>USA_gaPMG_AZR_AZR_Q1_19_Direct-Social</v></cell><cell r="AC3170"><v>21358715</v></cell><cell r="AD3170"><v>720197</v></cell><cell r="AE3170" t="str"><v>Facebook - Instagram</v></cell><cell r="AF3170"><v>3654128</v></cell><cell r="AG3170" t="str"><v>INSTAGRAM»USA-Trial-ITD-Trial Lookalike-AZR-AZR»1 x 1»SocialBan»CAN»ALL»CPA»LAL»X»NA»SS»NA»IGCTCBenefit2inMotion»PRC2FL</v></cell><cell r="AH3170"><v>223935022</v></cell><cell r="AI3170" t="str"><v>AzurePlatform_IGCTCBrandinMotion_USA_10s_CAN_PLATFORM_English_Trial_Standard_STAN_TIN_T2_2</v></cell><cell r="AJ3170"><v>103050786</v></cell></row><row r="3171"><cell r="C3171" t="str"><v>43303INSTAGRAM»USA-Trial-ITD-Trial Lookalike-AZR-AZR»1 x 1»SocialBan»CAN»ALL»CPA»LAL»X»NA»SS»NA»IGCTCBrandinMotion»PRC2FH</v></cell><cell r="D3171" t="str"><v>43303223935019</v></cell><cell r="E3171" t="str"><v>43303103050783PRC2FH</v></cell><cell r="F3171" t="str"><v>DCM</v></cell><cell r="G3171" t="str"><v>https://signup.azure.com/?OCID=AID%eexcid!_OLA_%ebuy!_%epid!_%ecid!</v></cell></row><row r="3171"><cell r="K3171" t="str"><v>July</v></cell><cell r="L3171"><v>43309</v></cell><cell r="M3171" t="str"><v>Tier 0</v></cell><cell r="N3171" t="str"><v>North America</v></cell><cell r="O3171" t="str"><v>United States</v></cell><cell r="P3171" t="str"><v>Trial</v></cell><cell r="Q3171" t="str"><v>Social</v></cell><cell r="R3171" t="str"><v>Azure</v></cell><cell r="S3171" t="str"><v>Apps & Infra</v></cell><cell r="T3171" t="str"><v>Developers & ITI's</v></cell><cell r="U3171" t="str"><v>USA-Trial-ITD-Trial Lookalike-AZR-AZR</v></cell><cell r="V3171" t="str"><v>Lookalike Targeting</v></cell><cell r="W3171" t="str"><v>Canvas Ad</v></cell><cell r="X3171" t="str"><v>1x1</v></cell></row><row r="3171"><cell r="AA3171"><v>43303</v></cell><cell r="AB3171" t="str"><v>USA_gaPMG_AZR_AZR_Q1_19_Direct-Social</v></cell><cell r="AC3171"><v>21358715</v></cell><cell r="AD3171"><v>720197</v></cell><cell r="AE3171" t="str"><v>Facebook - Instagram</v></cell><cell r="AF3171"><v>3654128</v></cell><cell r="AG3171" t="str"><v>INSTAGRAM»USA-Trial-ITD-Trial Lookalike-AZR-AZR»1 x 1»SocialBan»CAN»ALL»CPA»LAL»X»NA»SS»NA»IGCTCBrandinMotion»PRC2FH</v></cell><cell r="AH3171"><v>223935019</v></cell><cell r="AI3171" t="str"><v>AzurePlatform_IGCTCBenefit2inMotion_USA_10s_CAN_PLATFORM_English_Trial_Standard_STAN_TIN_T4_1</v></cell><cell r="AJ3171"><v>103050783</v></cell></row><row r="3172"><cell r="C3172" t="str"><v>43303INSTAGRAM»USA-Trial-ITD-Trial Lookalike-AZR-AZR»1 x 1»SocialBan»CAN»ALL»CPA»LAL»X»NA»SS»NA»IGCTCBrandinMotion»PRC2FH</v></cell><cell r="D3172" t="str"><v>43303223935019</v></cell><cell r="E3172" t="str"><v>43303103178714PRC2FH</v></cell><cell r="F3172" t="str"><v>DCM</v></cell><cell r="G3172" t="str"><v>https://azure.microsoft.com/en-us/pricing/purchase-options/?v=18.19&OCID=AID%eexcid!_OLA_%ebuy!_%epid!_%ecid!</v></cell></row><row r="3172"><cell r="K3172" t="str"><v>July</v></cell><cell r="L3172"><v>43309</v></cell><cell r="M3172" t="str"><v>Tier 0</v></cell><cell r="N3172" t="str"><v>North America</v></cell><cell r="O3172" t="str"><v>United States</v></cell><cell r="P3172" t="str"><v>Trial</v></cell><cell r="Q3172" t="str"><v>Social</v></cell><cell r="R3172" t="str"><v>Azure</v></cell><cell r="S3172" t="str"><v>Apps & Infra</v></cell><cell r="T3172" t="str"><v>Developers & ITI's</v></cell><cell r="U3172" t="str"><v>USA-Trial-ITD-Trial Lookalike-AZR-AZR</v></cell><cell r="V3172" t="str"><v>Lookalike Targeting</v></cell><cell r="W3172" t="str"><v>Canvas Ad</v></cell><cell r="X3172" t="str"><v>1x1</v></cell></row><row r="3172"><cell r="AA3172"><v>43303</v></cell><cell r="AB3172" t="str"><v>USA_gaPMG_AZR_AZR_Q1_19_Direct-Social</v></cell><cell r="AC3172"><v>21358715</v></cell><cell r="AD3172"><v>720197</v></cell><cell r="AE3172" t="str"><v>Facebook - Instagram</v></cell><cell r="AF3172"><v>3654128</v></cell><cell r="AG3172" t="str"><v>INSTAGRAM»USA-Trial-ITD-Trial Lookalike-AZR-AZR»1 x 1»SocialBan»CAN»ALL»CPA»LAL»X»NA»SS»NA»IGCTCBrandinMotion»PRC2FH</v></cell><cell r="AH3172"><v>223935019</v></cell><cell r="AI3172" t="str"><v>AzurePlatform_IGCTCBenefit2inMotion_USA_10s_CAN_PLATFORM_English_Trial_Standard_STAN_TIN_T4_2</v></cell><cell r="AJ3172"><v>103178714</v></cell></row><row r="3173"><cell r="C3173" t="str"><v>43303INSTAGRAM»USA-Trial-ITD-Interest Prospecting-AZR-AZR»1 x 1»SocialBan»CAN»ALL»CPA»PRO»X»NA»SS»NA»IGCTCBasicMotion»PRC2PF</v></cell><cell r="D3173" t="str"><v>43303224106621</v></cell><cell r="E3173" t="str"><v>43303103037968PRC2PF</v></cell><cell r="F3173" t="str"><v>DCM</v></cell><cell r="G3173" t="str"><v>https://signup.azure.com/?OCID=AID%eexcid!_OLA_%ebuy!_%epid!_%ecid!</v></cell></row><row r="3173"><cell r="K3173" t="str"><v>July</v></cell><cell r="L3173"><v>43309</v></cell><cell r="M3173" t="str"><v>Tier 0</v></cell><cell r="N3173" t="str"><v>North America</v></cell><cell r="O3173" t="str"><v>United States</v></cell><cell r="P3173" t="str"><v>Trial</v></cell><cell r="Q3173" t="str"><v>Social</v></cell><cell r="R3173" t="str"><v>Azure</v></cell><cell r="S3173" t="str"><v>Apps & Infra</v></cell><cell r="T3173" t="str"><v>Developers & ITI's</v></cell><cell r="U3173" t="str"><v>USA-Trial-ITD-Interest Prospecting-AZR-AZR</v></cell><cell r="V3173" t="str"><v>Prospecting</v></cell><cell r="W3173" t="str"><v>Canvas Ad</v></cell><cell r="X3173" t="str"><v>1x1</v></cell></row><row r="3173"><cell r="AA3173"><v>43303</v></cell><cell r="AB3173" t="str"><v>USA_gaPMG_AZR_AZR_Q1_19_Direct-Social</v></cell><cell r="AC3173"><v>21358715</v></cell><cell r="AD3173"><v>720197</v></cell><cell r="AE3173" t="str"><v>Facebook - Instagram</v></cell><cell r="AF3173"><v>3654128</v></cell><cell r="AG3173" t="str"><v>INSTAGRAM»USA-Trial-ITD-Interest Prospecting-AZR-AZR»1 x 1»SocialBan»CAN»ALL»CPA»PRO»X»NA»SS»NA»IGCTCBasicMotion»PRC2PF</v></cell><cell r="AH3173"><v>224106621</v></cell><cell r="AI3173" t="str"><v>AzurePlatform_IGCTCBasicMotion_USA_10s_CAN_PLATFORM_English_Trial_Standard_STAN_TIN_T1_1</v></cell><cell r="AJ3173"><v>103037968</v></cell></row><row r="3174"><cell r="C3174" t="str"><v>43303INSTAGRAM»USA-Trial-ITD-Interest Prospecting-AZR-AZR»1 x 1»SocialBan»CAN»ALL»CPA»PRO»X»NA»SS»NA»IGCTCBasicMotion»PRC2PF</v></cell><cell r="D3174" t="str"><v>43303224106621</v></cell><cell r="E3174" t="str"><v>43303103037974PRC2PF</v></cell><cell r="F3174" t="str"><v>DCM</v></cell><cell r="G3174" t="str"><v>https://azure.microsoft.com/en-us/pricing/purchase-options/?v=18.19&OCID=AID%eexcid!_OLA_%ebuy!_%epid!_%ecid!</v></cell></row><row r="3174"><cell r="K3174" t="str"><v>July</v></cell><cell r="L3174"><v>43309</v></cell><cell r="M3174" t="str"><v>Tier 0</v></cell><cell r="N3174" t="str"><v>North America</v></cell><cell r="O3174" t="str"><v>United States</v></cell><cell r="P3174" t="str"><v>Trial</v></cell><cell r="Q3174" t="str"><v>Social</v></cell><cell r="R3174" t="str"><v>Azure</v></cell><cell r="S3174" t="str"><v>Apps & Infra</v></cell><cell r="T3174" t="str"><v>Developers & ITI's</v></cell><cell r="U3174" t="str"><v>USA-Trial-ITD-Interest Prospecting-AZR-AZR</v></cell><cell r="V3174" t="str"><v>Prospecting</v></cell><cell r="W3174" t="str"><v>Canvas Ad</v></cell><cell r="X3174" t="str"><v>1x1</v></cell></row><row r="3174"><cell r="AA3174"><v>43303</v></cell><cell r="AB3174" t="str"><v>USA_gaPMG_AZR_AZR_Q1_19_Direct-Social</v></cell><cell r="AC3174"><v>21358715</v></cell><cell r="AD3174"><v>720197</v></cell><cell r="AE3174" t="str"><v>Facebook - Instagram</v></cell><cell r="AF3174"><v>3654128</v></cell><cell r="AG3174" t="str"><v>INSTAGRAM»USA-Trial-ITD-Interest Prospecting-AZR-AZR»1 x 1»SocialBan»CAN»ALL»CPA»PRO»X»NA»SS»NA»IGCTCBasicMotion»PRC2PF</v></cell><cell r="AH3174"><v>224106621</v></cell><cell r="AI3174" t="str"><v>AzurePlatform_IGCTCBasicMotion_USA_10s_CAN_PLATFORM_English_Trial_Standard_STAN_TIN_T1_2</v></cell><cell r="AJ3174"><v>103037974</v></cell></row><row r="3175"><cell r="C3175" t="str"><v>43303INSTAGRAM»USA-Trial-ITD-Interest Prospecting-AZR-AZR»1 x 1»SocialBan»CAN»ALL»CPA»PRO»X»NA»SS»NA»IGCTCBenefitinMotion»PRC2PC</v></cell><cell r="D3175" t="str"><v>43303224104878</v></cell><cell r="E3175" t="str"><v>43303103050780PRC2PC</v></cell><cell r="F3175" t="str"><v>DCM</v></cell><cell r="G3175" t="str"><v>https://signup.azure.com/?OCID=AID%eexcid!_OLA_%ebuy!_%epid!_%ecid!</v></cell></row><row r="3175"><cell r="K3175" t="str"><v>July</v></cell><cell r="L3175"><v>43309</v></cell><cell r="M3175" t="str"><v>Tier 0</v></cell><cell r="N3175" t="str"><v>North America</v></cell><cell r="O3175" t="str"><v>United States</v></cell><cell r="P3175" t="str"><v>Trial</v></cell><cell r="Q3175" t="str"><v>Social</v></cell><cell r="R3175" t="str"><v>Azure</v></cell><cell r="S3175" t="str"><v>Apps & Infra</v></cell><cell r="T3175" t="str"><v>Developers & ITI's</v></cell><cell r="U3175" t="str"><v>USA-Trial-ITD-Interest Prospecting-AZR-AZR</v></cell><cell r="V3175" t="str"><v>Prospecting</v></cell><cell r="W3175" t="str"><v>Canvas Ad</v></cell><cell r="X3175" t="str"><v>1x1</v></cell></row><row r="3175"><cell r="AA3175"><v>43303</v></cell><cell r="AB3175" t="str"><v>USA_gaPMG_AZR_AZR_Q1_19_Direct-Social</v></cell><cell r="AC3175"><v>21358715</v></cell><cell r="AD3175"><v>720197</v></cell><cell r="AE3175" t="str"><v>Facebook - Instagram</v></cell><cell r="AF3175"><v>3654128</v></cell><cell r="AG3175" t="str"><v>INSTAGRAM»USA-Trial-ITD-Interest Prospecting-AZR-AZR»1 x 1»SocialBan»CAN»ALL»CPA»PRO»X»NA»SS»NA»IGCTCBenefitinMotion»PRC2PC</v></cell><cell r="AH3175"><v>224104878</v></cell><cell r="AI3175" t="str"><v>AzurePlatform_IGCTCBenefitinMotion_USA_10s_CAN_PLATFORM_English_Trial_Standard_STAN_TIN_T3_1</v></cell><cell r="AJ3175"><v>103050780</v></cell></row><row r="3176"><cell r="C3176" t="str"><v>43303INSTAGRAM»USA-Trial-ITD-Trial PayGo Lookalike-AZR-AZR»1 x 1»SocialBan»CAN»ALL»CPA»LAL»X»NA»SS»NA»IGCTCBasicMotion»PRC2G0</v></cell><cell r="D3176" t="str"><v>43303224106891</v></cell><cell r="E3176" t="str"><v>43303103037968PRC2G0</v></cell><cell r="F3176" t="str"><v>DCM</v></cell><cell r="G3176" t="str"><v>https://signup.azure.com/?OCID=AID%eexcid!_OLA_%ebuy!_%epid!_%ecid!</v></cell></row><row r="3176"><cell r="K3176" t="str"><v>July</v></cell><cell r="L3176"><v>43309</v></cell><cell r="M3176" t="str"><v>Tier 0</v></cell><cell r="N3176" t="str"><v>North America</v></cell><cell r="O3176" t="str"><v>United States</v></cell><cell r="P3176" t="str"><v>Trial</v></cell><cell r="Q3176" t="str"><v>Social</v></cell><cell r="R3176" t="str"><v>Azure</v></cell><cell r="S3176" t="str"><v>Apps & Infra</v></cell><cell r="T3176" t="str"><v>Developers & ITI's</v></cell><cell r="U3176" t="str"><v>USA-Trial-ITD-Trial PayGo Lookalike-AZR-AZR</v></cell><cell r="V3176" t="str"><v>Lookalike Targeting</v></cell><cell r="W3176" t="str"><v>Canvas Ad</v></cell><cell r="X3176" t="str"><v>1x1</v></cell></row><row r="3176"><cell r="AA3176"><v>43303</v></cell><cell r="AB3176" t="str"><v>USA_gaPMG_AZR_AZR_Q1_19_Direct-Social</v></cell><cell r="AC3176"><v>21358715</v></cell><cell r="AD3176"><v>720197</v></cell><cell r="AE3176" t="str"><v>Facebook - Instagram</v></cell><cell r="AF3176"><v>3654128</v></cell><cell r="AG3176" t="str"><v>INSTAGRAM»USA-Trial-ITD-Trial PayGo Lookalike-AZR-AZR»1 x 1»SocialBan»CAN»ALL»CPA»LAL»X»NA»SS»NA»IGCTCBasicMotion»PRC2G0</v></cell><cell r="AH3176"><v>224106891</v></cell><cell r="AI3176" t="str"><v>AzurePlatform_IGCTCBasicMotion_USA_10s_CAN_PLATFORM_English_Trial_Standard_STAN_TIN_T1_1</v></cell><cell r="AJ3176"><v>103037968</v></cell></row><row r="3177"><cell r="C3177" t="str"><v>43303INSTAGRAM»USA-Trial-ITD-Trial PayGo Lookalike-AZR-AZR»1 x 1»SocialBan»CAN»ALL»CPA»LAL»X»NA»SS»NA»IGCTCBasicMotion»PRC2G0</v></cell><cell r="D3177" t="str"><v>43303224106891</v></cell><cell r="E3177" t="str"><v>43303103037974PRC2G0</v></cell><cell r="F3177" t="str"><v>DCM</v></cell><cell r="G3177" t="str"><v>https://azure.microsoft.com/en-us/pricing/purchase-options/?v=18.19&OCID=AID%eexcid!_OLA_%ebuy!_%epid!_%ecid!</v></cell></row><row r="3177"><cell r="K3177" t="str"><v>July</v></cell><cell r="L3177"><v>43309</v></cell><cell r="M3177" t="str"><v>Tier 0</v></cell><cell r="N3177" t="str"><v>North America</v></cell><cell r="O3177" t="str"><v>United States</v></cell><cell r="P3177" t="str"><v>Trial</v></cell><cell r="Q3177" t="str"><v>Social</v></cell><cell r="R3177" t="str"><v>Azure</v></cell><cell r="S3177" t="str"><v>Apps & Infra</v></cell><cell r="T3177" t="str"><v>Developers & ITI's</v></cell><cell r="U3177" t="str"><v>USA-Trial-ITD-Trial PayGo Lookalike-AZR-AZR</v></cell><cell r="V3177" t="str"><v>Lookalike Targeting</v></cell><cell r="W3177" t="str"><v>Canvas Ad</v></cell><cell r="X3177" t="str"><v>1x1</v></cell></row><row r="3177"><cell r="AA3177"><v>43303</v></cell><cell r="AB3177" t="str"><v>USA_gaPMG_AZR_AZR_Q1_19_Direct-Social</v></cell><cell r="AC3177"><v>21358715</v></cell><cell r="AD3177"><v>720197</v></cell><cell r="AE3177" t="str"><v>Facebook - Instagram</v></cell><cell r="AF3177"><v>3654128</v></cell><cell r="AG3177" t="str"><v>INSTAGRAM»USA-Trial-ITD-Trial PayGo Lookalike-AZR-AZR»1 x 1»SocialBan»CAN»ALL»CPA»LAL»X»NA»SS»NA»IGCTCBasicMotion»PRC2G0</v></cell><cell r="AH3177"><v>224106891</v></cell><cell r="AI3177" t="str"><v>AzurePlatform_IGCTCBasicMotion_USA_10s_CAN_PLATFORM_English_Trial_Standard_STAN_TIN_T1_2</v></cell><cell r="AJ3177"><v>103037974</v></cell></row><row r="3178"><cell r="C3178" t="str"><v>43303INSTAGRAM»USA-Trial-ITD-Trial PayGo Lookalike-AZR-AZR»1 x 1»SocialBan»CAN»ALL»CPA»LAL»X»NA»SS»NA»IGCTCBenefitinMotion»PRC2FX</v></cell><cell r="D3178" t="str"><v>43303223933999</v></cell><cell r="E3178" t="str"><v>43303103050780PRC2FX</v></cell><cell r="F3178" t="str"><v>DCM</v></cell><cell r="G3178" t="str"><v>https://signup.azure.com/?OCID=AID%eexcid!_OLA_%ebuy!_%epid!_%ecid!</v></cell></row><row r="3178"><cell r="K3178" t="str"><v>July</v></cell><cell r="L3178"><v>43309</v></cell><cell r="M3178" t="str"><v>Tier 0</v></cell><cell r="N3178" t="str"><v>North America</v></cell><cell r="O3178" t="str"><v>United States</v></cell><cell r="P3178" t="str"><v>Trial</v></cell><cell r="Q3178" t="str"><v>Social</v></cell><cell r="R3178" t="str"><v>Azure</v></cell><cell r="S3178" t="str"><v>Apps & Infra</v></cell><cell r="T3178" t="str"><v>Developers & ITI's</v></cell><cell r="U3178" t="str"><v>USA-Trial-ITD-Trial PayGo Lookalike-AZR-AZR</v></cell><cell r="V3178" t="str"><v>Lookalike Targeting</v></cell><cell r="W3178" t="str"><v>Canvas Ad</v></cell><cell r="X3178" t="str"><v>1x1</v></cell></row><row r="3178"><cell r="AA3178"><v>43303</v></cell><cell r="AB3178" t="str"><v>USA_gaPMG_AZR_AZR_Q1_19_Direct-Social</v></cell><cell r="AC3178"><v>21358715</v></cell><cell r="AD3178"><v>720197</v></cell><cell r="AE3178" t="str"><v>Facebook - Instagram</v></cell><cell r="AF3178"><v>3654128</v></cell><cell r="AG3178" t="str"><v>INSTAGRAM»USA-Trial-ITD-Trial PayGo Lookalike-AZR-AZR»1 x 1»SocialBan»CAN»ALL»CPA»LAL»X»NA»SS»NA»IGCTCBenefitinMotion»PRC2FX</v></cell><cell r="AH3178"><v>223933999</v></cell><cell r="AI3178" t="str"><v>AzurePlatform_IGCTCBenefitinMotion_USA_10s_CAN_PLATFORM_English_Trial_Standard_STAN_TIN_T3_1</v></cell><cell r="AJ3178"><v>103050780</v></cell></row><row r="3179"><cell r="C3179" t="str"><v>43303INSTAGRAM»USA-Trial-ITD-Trial PayGo Lookalike-AZR-AZR»1 x 1»SocialBan»CAN»ALL»CPA»LAL»X»NA»SS»NA»IGCTCBenefitinMotion»PRC2FX</v></cell><cell r="D3179" t="str"><v>43303223933999</v></cell><cell r="E3179" t="str"><v>43303103180637PRC2FX</v></cell><cell r="F3179" t="str"><v>DCM</v></cell><cell r="G3179" t="str"><v>https://azure.microsoft.com/en-us/pricing/purchase-options/?v=18.19&OCID=AID%eexcid!_OLA_%ebuy!_%epid!_%ecid!</v></cell></row><row r="3179"><cell r="K3179" t="str"><v>July</v></cell><cell r="L3179"><v>43309</v></cell><cell r="M3179" t="str"><v>Tier 0</v></cell><cell r="N3179" t="str"><v>North America</v></cell><cell r="O3179" t="str"><v>United States</v></cell><cell r="P3179" t="str"><v>Trial</v></cell><cell r="Q3179" t="str"><v>Social</v></cell><cell r="R3179" t="str"><v>Azure</v></cell><cell r="S3179" t="str"><v>Apps & Infra</v></cell><cell r="T3179" t="str"><v>Developers & ITI's</v></cell><cell r="U3179" t="str"><v>USA-Trial-ITD-Trial PayGo Lookalike-AZR-AZR</v></cell><cell r="V3179" t="str"><v>Lookalike Targeting</v></cell><cell r="W3179" t="str"><v>Canvas Ad</v></cell><cell r="X3179" t="str"><v>1x1</v></cell></row><row r="3179"><cell r="AA3179"><v>43303</v></cell><cell r="AB3179" t="str"><v>USA_gaPMG_AZR_AZR_Q1_19_Direct-Social</v></cell><cell r="AC3179"><v>21358715</v></cell><cell r="AD3179"><v>720197</v></cell><cell r="AE3179" t="str"><v>Facebook - Instagram</v></cell><cell r="AF3179"><v>3654128</v></cell><cell r="AG3179" t="str"><v>INSTAGRAM»USA-Trial-ITD-Trial PayGo Lookalike-AZR-AZR»1 x 1»SocialBan»CAN»ALL»CPA»LAL»X»NA»SS»NA»IGCTCBenefitinMotion»PRC2FX</v></cell><cell r="AH3179"><v>223933999</v></cell><cell r="AI3179" t="str"><v>AzurePlatform_IGCTCBenefitinMotion_USA_10s_CAN_PLATFORM_English_Trial_Standard_STAN_TIN_T3_2</v></cell><cell r="AJ3179"><v>103180637</v></cell></row><row r="3180"><cell r="C3180" t="str"><v>43304Facebook»Audience & Interest Targeting»1x1»Canvas»OTH»DT»DYN»AUT»W»NA»SS»NA»FBCTCcanvaspage-StartFreeCTA_FBCTCcanvaspage-BuyNowCTA</v></cell><cell r="D3180" t="str"><v>43304224639151</v></cell><cell r="E3180" t="str"><v>43304103316832NowCTA</v></cell><cell r="F3180" t="str"><v>DCM</v></cell><cell r="G3180" t="str"><v>https://azure.microsoft.com/en-au/pricing/purchase-options/</v></cell></row><row r="3180"><cell r="K3180" t="str"><v>July</v></cell><cell r="L3180"><v>43309</v></cell><cell r="M3180" t="str"><v>Tier 1</v></cell><cell r="N3180" t="str"><v>APAC</v></cell><cell r="O3180" t="str"><v>Australia</v></cell><cell r="P3180" t="str"><v>Trial</v></cell><cell r="Q3180" t="str"><v>Social</v></cell><cell r="R3180" t="str"><v>Azure</v></cell><cell r="S3180" t="str"><v>Apps & Infra</v></cell><cell r="T3180" t="str"><v>Developers & ITI's</v></cell><cell r="U3180" t="str"><v>Audience & Interest Targeting</v></cell><cell r="V3180" t="str"><v>Audience Targeting</v></cell><cell r="W3180" t="str"><v>Other</v></cell><cell r="X3180" t="str"><v>1x1</v></cell></row><row r="3180"><cell r="AA3180"><v>43304</v></cell><cell r="AB3180" t="str"><v>AUS_gaPMG_AZR_AZR_Q1_19_Trial-Social</v></cell><cell r="AC3180"><v>21358568</v></cell><cell r="AD3180"><v>720191</v></cell><cell r="AE3180" t="str"><v>Facebook</v></cell><cell r="AF3180"><v>3654128</v></cell><cell r="AG3180" t="str"><v>Facebook»Audience & Interest Targeting»1x1»Canvas»OTH»DT»DYN»AUT»W»NA»SS»NA»FBCTCcanvaspage-StartFreeCTA_FBCTCcanvaspage-BuyNowCTA</v></cell><cell r="AH3180"><v>224639151</v></cell><cell r="AI3180" t="str"><v>AzurePlatform_FBCTCcanvaspage-BuyNowCTA-Img3_AUS_1080x162_SOC_Plat_English_NA_Standard_NA_BN_T3_1</v></cell><cell r="AJ3180"><v>103316832</v></cell></row><row r="3181"><cell r="C3181" t="str"><v>43304Facebook»Audience & Interest Targeting»1x1»Canvas»OTH»DT»DYN»AUT»W»NA»SS»NA»FBCTCcanvaspage-StartFreeCTA_FBCTCcanvaspage-BuyNowCTA</v></cell><cell r="D3181" t="str"><v>43304224639151</v></cell><cell r="E3181" t="str"><v>43304103316829NowCTA</v></cell><cell r="F3181" t="str"><v>DCM</v></cell><cell r="G3181" t="str"><v>https://signup.azure.com/signup?offer=ms-azr-0044p&appId=102&ref=paidmedia-social-fb&redirectURL=https%3a%2f%2fazure.microsoft.com%2fen-au%2fget-started%2fwelcome-to-azure%2f&l=en-au&correlationId=ead86c34-1f10-49dd-a72b-6918462a2cbf</v></cell></row><row r="3181"><cell r="K3181" t="str"><v>July</v></cell><cell r="L3181"><v>43309</v></cell><cell r="M3181" t="str"><v>Tier 1</v></cell><cell r="N3181" t="str"><v>APAC</v></cell><cell r="O3181" t="str"><v>Australia</v></cell><cell r="P3181" t="str"><v>Trial</v></cell><cell r="Q3181" t="str"><v>Social</v></cell><cell r="R3181" t="str"><v>Azure</v></cell><cell r="S3181" t="str"><v>Apps & Infra</v></cell><cell r="T3181" t="str"><v>Developers & ITI's</v></cell><cell r="U3181" t="str"><v>Audience & Interest Targeting</v></cell><cell r="V3181" t="str"><v>Audience Targeting</v></cell><cell r="W3181" t="str"><v>Other</v></cell><cell r="X3181" t="str"><v>1x1</v></cell></row><row r="3181"><cell r="AA3181"><v>43304</v></cell><cell r="AB3181" t="str"><v>AUS_gaPMG_AZR_AZR_Q1_19_Trial-Social</v></cell><cell r="AC3181"><v>21358568</v></cell><cell r="AD3181"><v>720191</v></cell><cell r="AE3181" t="str"><v>Facebook</v></cell><cell r="AF3181"><v>3654128</v></cell><cell r="AG3181" t="str"><v>Facebook»Audience & Interest Targeting»1x1»Canvas»OTH»DT»DYN»AUT»W»NA»SS»NA»FBCTCcanvaspage-StartFreeCTA_FBCTCcanvaspage-BuyNowCTA</v></cell><cell r="AH3181"><v>224639151</v></cell><cell r="AI3181" t="str"><v>AzurePlatform_FBCTCcanvaspage-StartFreeCTA-Img2_AUS_1080x143 _SOC_Plat_English_NA_Standard_NA_NA_T2_1</v></cell><cell r="AJ3181"><v>103316829</v></cell></row><row r="3182"><cell r="C3182" t="str"><v>43304Facebook»Audience & Interest Targeting»1x1»TextLink»OTH»DT»DYN»AUT»W»NA»SS»NA»Free Account Refresh- 12 months ChE</v></cell><cell r="D3182" t="str"><v>43304224160783</v></cell><cell r="E3182" t="str"><v>43304103051614hs ChE</v></cell><cell r="F3182" t="str"><v>DCM</v></cell></row><row r="3182"><cell r="K3182" t="str"><v>July</v></cell><cell r="L3182"><v>43309</v></cell><cell r="M3182" t="str"><v>Tier 1</v></cell><cell r="N3182" t="str"><v>APAC</v></cell><cell r="O3182" t="str"><v>Australia</v></cell><cell r="P3182" t="str"><v>Trial</v></cell><cell r="Q3182" t="str"><v>Social</v></cell><cell r="R3182" t="str"><v>Azure</v></cell><cell r="S3182" t="str"><v>Apps & Infra</v></cell><cell r="T3182" t="str"><v>Developers & ITI's</v></cell><cell r="U3182" t="str"><v>Audience & Interest Targeting</v></cell><cell r="V3182" t="str"><v>Audience Targeting</v></cell><cell r="W3182" t="str"><v>Other</v></cell><cell r="X3182" t="str"><v>1x1</v></cell></row><row r="3182"><cell r="AA3182"><v>43304</v></cell><cell r="AB3182" t="str"><v>AUS_gaPMG_AZR_AZR_Q1_19_Trial-Social</v></cell><cell r="AC3182"><v>21358568</v></cell><cell r="AD3182"><v>720191</v></cell><cell r="AE3182" t="str"><v>Facebook</v></cell><cell r="AF3182"><v>3654128</v></cell><cell r="AG3182" t="str"><v>Facebook»Audience & Interest Targeting»1x1»TextLink»OTH»DT»DYN»AUT»W»NA»SS»NA»Free Account Refresh- 12 months ChE</v></cell><cell r="AH3182"><v>224160783</v></cell><cell r="AI3182" t="str"><v>AzurePlatform_FreeAcctAppsFACEBOOK12monthsChE_AUS_1200x628_SOC_PLAT_EN_Trial_Standard_NA_SNU_T5_1</v></cell><cell r="AJ3182"><v>103051614</v></cell></row><row r="3183"><cell r="C3183" t="str"><v>43304Facebook»Audience & Interest Targeting»1x1»TextLink»OTH»DT»DYN»AUT»W»NA»SS»NA»Free Account Refresh- 200 Credit ChD</v></cell><cell r="D3183" t="str"><v>43304224160780</v></cell><cell r="E3183" t="str"><v>43304103186904it ChD</v></cell><cell r="F3183" t="str"><v>DCM</v></cell></row><row r="3183"><cell r="K3183" t="str"><v>July</v></cell><cell r="L3183"><v>43309</v></cell><cell r="M3183" t="str"><v>Tier 1</v></cell><cell r="N3183" t="str"><v>APAC</v></cell><cell r="O3183" t="str"><v>Australia</v></cell><cell r="P3183" t="str"><v>Trial</v></cell><cell r="Q3183" t="str"><v>Social</v></cell><cell r="R3183" t="str"><v>Azure</v></cell><cell r="S3183" t="str"><v>Apps & Infra</v></cell><cell r="T3183" t="str"><v>Developers & ITI's</v></cell><cell r="U3183" t="str"><v>Audience & Interest Targeting</v></cell><cell r="V3183" t="str"><v>Audience Targeting</v></cell><cell r="W3183" t="str"><v>Other</v></cell><cell r="X3183" t="str"><v>1x1</v></cell></row><row r="3183"><cell r="AA3183"><v>43304</v></cell><cell r="AB3183" t="str"><v>AUS_gaPMG_AZR_AZR_Q1_19_Trial-Social</v></cell><cell r="AC3183"><v>21358568</v></cell><cell r="AD3183"><v>720191</v></cell><cell r="AE3183" t="str"><v>Facebook</v></cell><cell r="AF3183"><v>3654128</v></cell><cell r="AG3183" t="str"><v>Facebook»Audience & Interest Targeting»1x1»TextLink»OTH»DT»DYN»AUT»W»NA»SS»NA»Free Account Refresh- 200 Credit ChD</v></cell><cell r="AH3183"><v>224160780</v></cell><cell r="AI3183" t="str"><v>AzurePlatform_FreeAcctAppsFACEBOOK200CreditChD_AUS_1200x628_SOC_PLAT_EN_Trial_Standard_NA_SNU_T4_1</v></cell><cell r="AJ3183"><v>103186904</v></cell></row><row r="3184"><cell r="C3184" t="str"><v>43304Facebook»Audience & Interest Targeting»1x1»TextLink»OTH»DT»DYN»AUT»W»NA»SS»NA»Free Account Refresh- Device ChB</v></cell><cell r="D3184" t="str"><v>43304224160777</v></cell><cell r="E3184" t="str"><v>43304103048479ce ChB</v></cell><cell r="F3184" t="str"><v>DCM</v></cell></row><row r="3184"><cell r="K3184" t="str"><v>July</v></cell><cell r="L3184"><v>43309</v></cell><cell r="M3184" t="str"><v>Tier 1</v></cell><cell r="N3184" t="str"><v>APAC</v></cell><cell r="O3184" t="str"><v>Australia</v></cell><cell r="P3184" t="str"><v>Trial</v></cell><cell r="Q3184" t="str"><v>Social</v></cell><cell r="R3184" t="str"><v>Azure</v></cell><cell r="S3184" t="str"><v>Apps & Infra</v></cell><cell r="T3184" t="str"><v>Developers & ITI's</v></cell><cell r="U3184" t="str"><v>Audience & Interest Targeting</v></cell><cell r="V3184" t="str"><v>Audience Targeting</v></cell><cell r="W3184" t="str"><v>Other</v></cell><cell r="X3184" t="str"><v>1x1</v></cell></row><row r="3184"><cell r="AA3184"><v>43304</v></cell><cell r="AB3184" t="str"><v>AUS_gaPMG_AZR_AZR_Q1_19_Trial-Social</v></cell><cell r="AC3184"><v>21358568</v></cell><cell r="AD3184"><v>720191</v></cell><cell r="AE3184" t="str"><v>Facebook</v></cell><cell r="AF3184"><v>3654128</v></cell><cell r="AG3184" t="str"><v>Facebook»Audience & Interest Targeting»1x1»TextLink»OTH»DT»DYN»AUT»W»NA»SS»NA»Free Account Refresh- Device ChB</v></cell><cell r="AH3184"><v>224160777</v></cell><cell r="AI3184" t="str"><v>AzurePlatform_FreeAcctAppsFACEBOOKDeviceChB_AUS_1200x628_SOC_PLAT_EN_Trial_Standard_NA_SNU_T2_1</v></cell><cell r="AJ3184"><v>103048479</v></cell></row><row r="3185"><cell r="C3185" t="str"><v>43304Facebook»Audience & Interest Targeting»1x1»TextLink»OTH»DT»DYN»AUT»W»NA»SS»NA»Free Account Refresh- Illustration ChC</v></cell><cell r="D3185" t="str"><v>43304224160774</v></cell><cell r="E3185" t="str"><v>43304103186910on ChC</v></cell><cell r="F3185" t="str"><v>DCM</v></cell></row><row r="3185"><cell r="K3185" t="str"><v>July</v></cell><cell r="L3185"><v>43309</v></cell><cell r="M3185" t="str"><v>Tier 1</v></cell><cell r="N3185" t="str"><v>APAC</v></cell><cell r="O3185" t="str"><v>Australia</v></cell><cell r="P3185" t="str"><v>Trial</v></cell><cell r="Q3185" t="str"><v>Social</v></cell><cell r="R3185" t="str"><v>Azure</v></cell><cell r="S3185" t="str"><v>Apps & Infra</v></cell><cell r="T3185" t="str"><v>Developers & ITI's</v></cell><cell r="U3185" t="str"><v>Audience & Interest Targeting</v></cell><cell r="V3185" t="str"><v>Audience Targeting</v></cell><cell r="W3185" t="str"><v>Other</v></cell><cell r="X3185" t="str"><v>1x1</v></cell></row><row r="3185"><cell r="AA3185"><v>43304</v></cell><cell r="AB3185" t="str"><v>AUS_gaPMG_AZR_AZR_Q1_19_Trial-Social</v></cell><cell r="AC3185"><v>21358568</v></cell><cell r="AD3185"><v>720191</v></cell><cell r="AE3185" t="str"><v>Facebook</v></cell><cell r="AF3185"><v>3654128</v></cell><cell r="AG3185" t="str"><v>Facebook»Audience & Interest Targeting»1x1»TextLink»OTH»DT»DYN»AUT»W»NA»SS»NA»Free Account Refresh- Illustration ChC</v></cell><cell r="AH3185"><v>224160774</v></cell><cell r="AI3185" t="str"><v>AzurePlatform_FreeAcctAppsFACEBOOKIllustrationChC_AUS_1200x628_SOC_PLAT_EN_Trial_Standard_NA_SNU_T3_1</v></cell><cell r="AJ3185"><v>103186910</v></cell></row><row r="3186"><cell r="C3186" t="str"><v>43304Facebook»Audience & Interest Targeting»1x1»TextLink»OTH»DT»DYN»AUT»W»NA»SS»NA»Free Account Refresh- Lifestyle ChA</v></cell><cell r="D3186" t="str"><v>43304224160771</v></cell><cell r="E3186" t="str"><v>43304103048488le ChA</v></cell><cell r="F3186" t="str"><v>DCM</v></cell></row><row r="3186"><cell r="K3186" t="str"><v>July</v></cell><cell r="L3186"><v>43309</v></cell><cell r="M3186" t="str"><v>Tier 1</v></cell><cell r="N3186" t="str"><v>APAC</v></cell><cell r="O3186" t="str"><v>Australia</v></cell><cell r="P3186" t="str"><v>Trial</v></cell><cell r="Q3186" t="str"><v>Social</v></cell><cell r="R3186" t="str"><v>Azure</v></cell><cell r="S3186" t="str"><v>Apps & Infra</v></cell><cell r="T3186" t="str"><v>Developers & ITI's</v></cell><cell r="U3186" t="str"><v>Audience & Interest Targeting</v></cell><cell r="V3186" t="str"><v>Audience Targeting</v></cell><cell r="W3186" t="str"><v>Other</v></cell><cell r="X3186" t="str"><v>1x1</v></cell></row><row r="3186"><cell r="AA3186"><v>43304</v></cell><cell r="AB3186" t="str"><v>AUS_gaPMG_AZR_AZR_Q1_19_Trial-Social</v></cell><cell r="AC3186"><v>21358568</v></cell><cell r="AD3186"><v>720191</v></cell><cell r="AE3186" t="str"><v>Facebook</v></cell><cell r="AF3186"><v>3654128</v></cell><cell r="AG3186" t="str"><v>Facebook»Audience & Interest Targeting»1x1»TextLink»OTH»DT»DYN»AUT»W»NA»SS»NA»Free Account Refresh- Lifestyle ChA</v></cell><cell r="AH3186"><v>224160771</v></cell><cell r="AI3186" t="str"><v>AzurePlatform_FreeAcctAppsFACEBOOKLifestyleChA_AUS_1200x628_SOC_PLAT_EN_Trial_Standard_NA_SNU_T1_1</v></cell><cell r="AJ3186"><v>103048488</v></cell></row><row r="3187"><cell r="C3187" t="str"><v>43304Facebook»AZR»1x1»NA»EGV»ALL»DYN»AUT»D»All»SS»NA»Free Acc CTC - T1 - EN</v></cell><cell r="D3187" t="str"><v>43304223684451</v></cell><cell r="E3187" t="str"><v>433041029018821 - EN</v></cell><cell r="F3187" t="str"><v>DCM</v></cell><cell r="G3187" t="str"><v>https://signup.azure.com/</v></cell></row><row r="3187"><cell r="K3187" t="str"><v>July</v></cell><cell r="L3187"><v>43309</v></cell><cell r="M3187" t="str"><v>Tier 1</v></cell><cell r="N3187" t="str"><v>North America</v></cell><cell r="O3187" t="str"><v>Canada</v></cell><cell r="P3187" t="str"><v>Trial</v></cell><cell r="Q3187" t="str"><v>Social</v></cell><cell r="R3187" t="str"><v>Azure</v></cell><cell r="S3187" t="str"><v>Apps & Infra</v></cell><cell r="T3187" t="str"><v>Developers & ITI's</v></cell><cell r="U3187" t="str"><v>AZR</v></cell><cell r="V3187" t="str"><v>Audience Targeting</v></cell><cell r="W3187" t="str"><v>Engagement Video</v></cell><cell r="X3187" t="str"><v>1x1</v></cell></row><row r="3187"><cell r="AA3187"><v>43304</v></cell><cell r="AB3187" t="str"><v>CAN_gaPMG_AZR_AZR_Q1_19_Trial-Social</v></cell><cell r="AC3187"><v>21337220</v></cell><cell r="AD3187"><v>720192</v></cell><cell r="AE3187" t="str"><v>Facebook</v></cell><cell r="AF3187"><v>3654128</v></cell><cell r="AG3187" t="str"><v>Facebook»AZR»1x1»NA»EGV»ALL»DYN»AUT»D»All»SS»NA»Free Acc CTC - T1 - EN</v></cell><cell r="AH3187"><v>223684451</v></cell><cell r="AI3187" t="str"><v>AzurePlatform_FBCTCBasicMotion_CAN_10s_ISV_PLAT_English_Trial_Standard_STAN_TN_T1_1</v></cell><cell r="AJ3187"><v>102901882</v></cell></row><row r="3188"><cell r="C3188" t="str"><v>43304Facebook»AZR»1x1»NA»EGV»ALL»DYN»AUT»D»All»SS»NA»Free Acc CTC - T1 - FR</v></cell><cell r="D3188" t="str"><v>43304223691801</v></cell><cell r="E3188" t="str"><v>433041030533231 - FR</v></cell><cell r="F3188" t="str"><v>DCM</v></cell><cell r="G3188" t="str"><v>https://signup.azure.com/</v></cell></row><row r="3188"><cell r="K3188" t="str"><v>July</v></cell><cell r="L3188"><v>43309</v></cell><cell r="M3188" t="str"><v>Tier 1</v></cell><cell r="N3188" t="str"><v>North America</v></cell><cell r="O3188" t="str"><v>Canada</v></cell><cell r="P3188" t="str"><v>Trial</v></cell><cell r="Q3188" t="str"><v>Social</v></cell><cell r="R3188" t="str"><v>Azure</v></cell><cell r="S3188" t="str"><v>Apps & Infra</v></cell><cell r="T3188" t="str"><v>Developers & ITI's</v></cell><cell r="U3188" t="str"><v>AZR</v></cell><cell r="V3188" t="str"><v>Audience Targeting</v></cell><cell r="W3188" t="str"><v>Engagement Video</v></cell><cell r="X3188" t="str"><v>1x1</v></cell></row><row r="3188"><cell r="AA3188"><v>43304</v></cell><cell r="AB3188" t="str"><v>CAN_gaPMG_AZR_AZR_Q1_19_Trial-Social</v></cell><cell r="AC3188"><v>21337220</v></cell><cell r="AD3188"><v>720192</v></cell><cell r="AE3188" t="str"><v>Facebook</v></cell><cell r="AF3188"><v>3654128</v></cell><cell r="AG3188" t="str"><v>Facebook»AZR»1x1»NA»EGV»ALL»DYN»AUT»D»All»SS»NA»Free Acc CTC - T1 - FR</v></cell><cell r="AH3188"><v>223691801</v></cell><cell r="AI3188" t="str"><v>AzurePlatform_FBCTCBasicMotion_CAN_10s_ISV_PLAT_FR_Trial_Standard_STAN_TN_T1_1</v></cell><cell r="AJ3188"><v>103053323</v></cell></row><row r="3189"><cell r="C3189" t="str"><v>43304Facebook»AZR»1x1»NA»EGV»ALL»DYN»AUT»D»All»SS»NA»Free Acc CTC - T2 - EN</v></cell><cell r="D3189" t="str"><v>43304223691840</v></cell><cell r="E3189" t="str"><v>433041029029502 - EN</v></cell><cell r="F3189" t="str"><v>DCM</v></cell><cell r="G3189" t="str"><v>https://signup.azure.com/</v></cell></row><row r="3189"><cell r="K3189" t="str"><v>July</v></cell><cell r="L3189"><v>43309</v></cell><cell r="M3189" t="str"><v>Tier 1</v></cell><cell r="N3189" t="str"><v>North America</v></cell><cell r="O3189" t="str"><v>Canada</v></cell><cell r="P3189" t="str"><v>Trial</v></cell><cell r="Q3189" t="str"><v>Social</v></cell><cell r="R3189" t="str"><v>Azure</v></cell><cell r="S3189" t="str"><v>Apps & Infra</v></cell><cell r="T3189" t="str"><v>Developers & ITI's</v></cell><cell r="U3189" t="str"><v>AZR</v></cell><cell r="V3189" t="str"><v>Audience Targeting</v></cell><cell r="W3189" t="str"><v>Engagement Video</v></cell><cell r="X3189" t="str"><v>1x1</v></cell></row><row r="3189"><cell r="AA3189"><v>43304</v></cell><cell r="AB3189" t="str"><v>CAN_gaPMG_AZR_AZR_Q1_19_Trial-Social</v></cell><cell r="AC3189"><v>21337220</v></cell><cell r="AD3189"><v>720192</v></cell><cell r="AE3189" t="str"><v>Facebook</v></cell><cell r="AF3189"><v>3654128</v></cell><cell r="AG3189" t="str"><v>Facebook»AZR»1x1»NA»EGV»ALL»DYN»AUT»D»All»SS»NA»Free Acc CTC - T2 - EN</v></cell><cell r="AH3189"><v>223691840</v></cell><cell r="AI3189" t="str"><v>AzurePlatform_FBCTCBrandinMotion_CAN_12s_ISV_PLAT_English_Trial_Standard_STAN_TN_T2_1</v></cell><cell r="AJ3189"><v>102902950</v></cell></row><row r="3190"><cell r="C3190" t="str"><v>43304Facebook»AZR»1x1»NA»EGV»ALL»DYN»AUT»D»All»SS»NA»Free Acc CTC - T2 - FR</v></cell><cell r="D3190" t="str"><v>43304223691798</v></cell><cell r="E3190" t="str"><v>433041029163472 - FR</v></cell><cell r="F3190" t="str"><v>DCM</v></cell><cell r="G3190" t="str"><v>https://signup.azure.com/</v></cell></row><row r="3190"><cell r="K3190" t="str"><v>July</v></cell><cell r="L3190"><v>43309</v></cell><cell r="M3190" t="str"><v>Tier 1</v></cell><cell r="N3190" t="str"><v>North America</v></cell><cell r="O3190" t="str"><v>Canada</v></cell><cell r="P3190" t="str"><v>Trial</v></cell><cell r="Q3190" t="str"><v>Social</v></cell><cell r="R3190" t="str"><v>Azure</v></cell><cell r="S3190" t="str"><v>Apps & Infra</v></cell><cell r="T3190" t="str"><v>Developers & ITI's</v></cell><cell r="U3190" t="str"><v>AZR</v></cell><cell r="V3190" t="str"><v>Audience Targeting</v></cell><cell r="W3190" t="str"><v>Engagement Video</v></cell><cell r="X3190" t="str"><v>1x1</v></cell></row><row r="3190"><cell r="AA3190"><v>43304</v></cell><cell r="AB3190" t="str"><v>CAN_gaPMG_AZR_AZR_Q1_19_Trial-Social</v></cell><cell r="AC3190"><v>21337220</v></cell><cell r="AD3190"><v>720192</v></cell><cell r="AE3190" t="str"><v>Facebook</v></cell><cell r="AF3190"><v>3654128</v></cell><cell r="AG3190" t="str"><v>Facebook»AZR»1x1»NA»EGV»ALL»DYN»AUT»D»All»SS»NA»Free Acc CTC - T2 - FR</v></cell><cell r="AH3190"><v>223691798</v></cell><cell r="AI3190" t="str"><v>AzurePlatform_FBCTCBrandinMotion_CAN_12s_ISV_PLAT_FR_Trial_Standard_STAN_TN_T2_1</v></cell><cell r="AJ3190"><v>102916347</v></cell></row><row r="3191"><cell r="C3191" t="str"><v>43304Facebook»AZR»1x1»NA»EGV»ALL»DYN»AUT»D»All»SS»NA»Free Acc CTC - T4 - EN</v></cell><cell r="D3191" t="str"><v>43304223691837</v></cell><cell r="E3191" t="str"><v>433041030533144 - EN</v></cell><cell r="F3191" t="str"><v>DCM</v></cell><cell r="G3191" t="str"><v>https://signup.azure.com/</v></cell></row><row r="3191"><cell r="K3191" t="str"><v>July</v></cell><cell r="L3191"><v>43309</v></cell><cell r="M3191" t="str"><v>Tier 1</v></cell><cell r="N3191" t="str"><v>North America</v></cell><cell r="O3191" t="str"><v>Canada</v></cell><cell r="P3191" t="str"><v>Trial</v></cell><cell r="Q3191" t="str"><v>Social</v></cell><cell r="R3191" t="str"><v>Azure</v></cell><cell r="S3191" t="str"><v>Apps & Infra</v></cell><cell r="T3191" t="str"><v>Developers & ITI's</v></cell><cell r="U3191" t="str"><v>AZR</v></cell><cell r="V3191" t="str"><v>Audience Targeting</v></cell><cell r="W3191" t="str"><v>Engagement Video</v></cell><cell r="X3191" t="str"><v>1x1</v></cell></row><row r="3191"><cell r="AA3191"><v>43304</v></cell><cell r="AB3191" t="str"><v>CAN_gaPMG_AZR_AZR_Q1_19_Trial-Social</v></cell><cell r="AC3191"><v>21337220</v></cell><cell r="AD3191"><v>720192</v></cell><cell r="AE3191" t="str"><v>Facebook</v></cell><cell r="AF3191"><v>3654128</v></cell><cell r="AG3191" t="str"><v>Facebook»AZR»1x1»NA»EGV»ALL»DYN»AUT»D»All»SS»NA»Free Acc CTC - T4 - EN</v></cell><cell r="AH3191"><v>223691837</v></cell><cell r="AI3191" t="str"><v>AzurePlatform_FBCTCBenefit2inMotion_CAN_14s_ISV_PLAT_English_Trial_Standard_STAN_TN_T4_1</v></cell><cell r="AJ3191"><v>103053314</v></cell></row><row r="3192"><cell r="C3192" t="str"><v>43304Facebook»AZR»1x1»NA»EGV»ALL»DYN»AUT»D»All»SS»NA»Free Acc CTC - T4 - FR</v></cell><cell r="D3192" t="str"><v>43304223691795</v></cell><cell r="E3192" t="str"><v>433041029006884 - FR</v></cell><cell r="F3192" t="str"><v>DCM</v></cell><cell r="G3192" t="str"><v>https://signup.azure.com/</v></cell></row><row r="3192"><cell r="K3192" t="str"><v>July</v></cell><cell r="L3192"><v>43309</v></cell><cell r="M3192" t="str"><v>Tier 1</v></cell><cell r="N3192" t="str"><v>North America</v></cell><cell r="O3192" t="str"><v>Canada</v></cell><cell r="P3192" t="str"><v>Trial</v></cell><cell r="Q3192" t="str"><v>Social</v></cell><cell r="R3192" t="str"><v>Azure</v></cell><cell r="S3192" t="str"><v>Apps & Infra</v></cell><cell r="T3192" t="str"><v>Developers & ITI's</v></cell><cell r="U3192" t="str"><v>AZR</v></cell><cell r="V3192" t="str"><v>Audience Targeting</v></cell><cell r="W3192" t="str"><v>Engagement Video</v></cell><cell r="X3192" t="str"><v>1x1</v></cell></row><row r="3192"><cell r="AA3192"><v>43304</v></cell><cell r="AB3192" t="str"><v>CAN_gaPMG_AZR_AZR_Q1_19_Trial-Social</v></cell><cell r="AC3192"><v>21337220</v></cell><cell r="AD3192"><v>720192</v></cell><cell r="AE3192" t="str"><v>Facebook</v></cell><cell r="AF3192"><v>3654128</v></cell><cell r="AG3192" t="str"><v>Facebook»AZR»1x1»NA»EGV»ALL»DYN»AUT»D»All»SS»NA»Free Acc CTC - T4 - FR</v></cell><cell r="AH3192"><v>223691795</v></cell><cell r="AI3192" t="str"><v>AzurePlatform_FBCTCBenefit2inMotion_CAN_14s_ISV_PLAT_FR_Trial_Standard_STAN_TN_T4_1</v></cell><cell r="AJ3192"><v>102900688</v></cell></row><row r="3193"><cell r="C3193" t="str"><v>43304Facebook»AZR»1x1»NA»SOC»ALL»DYN»PRO»D»All»SS»NA»Canvas - Buy Now - EN</v></cell><cell r="D3193" t="str"><v>43304225322327</v></cell><cell r="E3193" t="str"><v>43304103902287w - EN</v></cell><cell r="F3193" t="str"><v>DCM</v></cell><cell r="G3193" t="str"><v>https://azure.microsoft.com/en-ca/pricing/purchase-options/</v></cell></row><row r="3193"><cell r="K3193" t="str"><v>July</v></cell><cell r="L3193"><v>43309</v></cell><cell r="M3193" t="str"><v>Tier 1</v></cell><cell r="N3193" t="str"><v>North America</v></cell><cell r="O3193" t="str"><v>Canada</v></cell><cell r="P3193" t="str"><v>Trial</v></cell><cell r="Q3193" t="str"><v>Social</v></cell><cell r="R3193" t="str"><v>Azure</v></cell><cell r="S3193" t="str"><v>Apps & Infra</v></cell><cell r="T3193" t="str"><v>Developers & ITI's</v></cell><cell r="U3193" t="str"><v>AZR</v></cell><cell r="V3193" t="str"><v>Prospecting</v></cell><cell r="W3193" t="str"><v>Social</v></cell><cell r="X3193" t="str"><v>1x1</v></cell></row><row r="3193"><cell r="AA3193"><v>43304</v></cell><cell r="AB3193" t="str"><v>CAN_gaPMG_AZR_AZR_Q1_19_Trial-Social</v></cell><cell r="AC3193"><v>21337220</v></cell><cell r="AD3193"><v>720192</v></cell><cell r="AE3193" t="str"><v>Facebook</v></cell><cell r="AF3193"><v>3654128</v></cell><cell r="AG3193" t="str"><v>Facebook»AZR»1x1»NA»SOC»ALL»DYN»PRO»D»All»SS»NA»Canvas - Buy Now - EN</v></cell><cell r="AH3193"><v>225322327</v></cell><cell r="AI3193" t="str"><v>AzurePlatform_FBCTCcanvaspage-BuyNowCTA-Img3_CAN_1080x162_SOC_Plat_English_NA_Standard_NA_BN_T3_1</v></cell><cell r="AJ3193"><v>103902287</v></cell></row><row r="3194"><cell r="C3194" t="str"><v>43304Facebook»AZR»1x1»NA»SOC»ALL»DYN»PRO»D»All»SS»NA»Canvas - Buy Now - FR</v></cell><cell r="D3194" t="str"><v>43304225322324</v></cell><cell r="E3194" t="str"><v>43304103789915w - FR</v></cell><cell r="F3194" t="str"><v>DCM</v></cell><cell r="G3194" t="str"><v>https://azure.microsoft.com/fr-ca/pricing/purchase-options/</v></cell></row><row r="3194"><cell r="K3194" t="str"><v>July</v></cell><cell r="L3194"><v>43309</v></cell><cell r="M3194" t="str"><v>Tier 1</v></cell><cell r="N3194" t="str"><v>North America</v></cell><cell r="O3194" t="str"><v>Canada</v></cell><cell r="P3194" t="str"><v>Trial</v></cell><cell r="Q3194" t="str"><v>Social</v></cell><cell r="R3194" t="str"><v>Azure</v></cell><cell r="S3194" t="str"><v>Apps & Infra</v></cell><cell r="T3194" t="str"><v>Developers & ITI's</v></cell><cell r="U3194" t="str"><v>AZR</v></cell><cell r="V3194" t="str"><v>Prospecting</v></cell><cell r="W3194" t="str"><v>Social</v></cell><cell r="X3194" t="str"><v>1x1</v></cell></row><row r="3194"><cell r="AA3194"><v>43304</v></cell><cell r="AB3194" t="str"><v>CAN_gaPMG_AZR_AZR_Q1_19_Trial-Social</v></cell><cell r="AC3194"><v>21337220</v></cell><cell r="AD3194"><v>720192</v></cell><cell r="AE3194" t="str"><v>Facebook</v></cell><cell r="AF3194"><v>3654128</v></cell><cell r="AG3194" t="str"><v>Facebook»AZR»1x1»NA»SOC»ALL»DYN»PRO»D»All»SS»NA»Canvas - Buy Now - FR</v></cell><cell r="AH3194"><v>225322324</v></cell><cell r="AI3194" t="str"><v>AzurePlatform_FBCTCcanvaspage-BuyNowCTA-Img3_CAN_1080x162_SOC_Plat_French_NA_Standard_NA_BN_T3_1</v></cell><cell r="AJ3194"><v>103789915</v></cell></row><row r="3195"><cell r="C3195" t="str"><v>43304Facebook»AZR»1x1»NA»SOC»ALL»DYN»PRO»D»All»SS»NA»Canvas - Start Free - EN</v></cell><cell r="D3195" t="str"><v>43304225252365</v></cell><cell r="E3195" t="str"><v>43304103807590e - EN</v></cell><cell r="F3195" t="str"><v>DCM</v></cell><cell r="G3195" t="str"><v>https://signup.azure.com/signup?offer=ms-azr-0044p&appId=102&ref=paidmedia-social-fb&redirectURL=https%3a%2f%2fazure.microsoft.com%2fen-ca%2fget-started%2fwelcome-to-azure%2f&l=en-ca&correlationId=ead86c34-1f10-49dd-a72b-6918462a2cbf</v></cell></row><row r="3195"><cell r="K3195" t="str"><v>July</v></cell><cell r="L3195"><v>43309</v></cell><cell r="M3195" t="str"><v>Tier 1</v></cell><cell r="N3195" t="str"><v>North America</v></cell><cell r="O3195" t="str"><v>Canada</v></cell><cell r="P3195" t="str"><v>Trial</v></cell><cell r="Q3195" t="str"><v>Social</v></cell><cell r="R3195" t="str"><v>Azure</v></cell><cell r="S3195" t="str"><v>Apps & Infra</v></cell><cell r="T3195" t="str"><v>Developers & ITI's</v></cell><cell r="U3195" t="str"><v>AZR</v></cell><cell r="V3195" t="str"><v>Prospecting</v></cell><cell r="W3195" t="str"><v>Social</v></cell><cell r="X3195" t="str"><v>1x1</v></cell></row><row r="3195"><cell r="AA3195"><v>43304</v></cell><cell r="AB3195" t="str"><v>CAN_gaPMG_AZR_AZR_Q1_19_Trial-Social</v></cell><cell r="AC3195"><v>21337220</v></cell><cell r="AD3195"><v>720192</v></cell><cell r="AE3195" t="str"><v>Facebook</v></cell><cell r="AF3195"><v>3654128</v></cell><cell r="AG3195" t="str"><v>Facebook»AZR»1x1»NA»SOC»ALL»DYN»PRO»D»All»SS»NA»Canvas - Start Free - EN</v></cell><cell r="AH3195"><v>225252365</v></cell><cell r="AI3195" t="str"><v>AzurePlatform_FBCTCcanvaspage-StartFreeCTA-Img2_CAN_1080x143 _SOC_Plat_English_NA_Standard_NA_NA_T2_1</v></cell><cell r="AJ3195"><v>103807590</v></cell></row><row r="3196"><cell r="C3196" t="str"><v>43304Facebook»AZR»1x1»NA»SOC»ALL»DYN»PRO»D»All»SS»NA»Canvas - Start Free - FR</v></cell><cell r="D3196" t="str"><v>43304225525936</v></cell><cell r="E3196" t="str"><v>43304103902551e - FR</v></cell><cell r="F3196" t="str"><v>DCM</v></cell><cell r="G3196" t="str"><v>https://signup.azure.com/signup?offer=ms-azr-0044p&appId=102&ref=paidmedia-social-fb&redirectURL=https%3a%2f%2fazure.microsoft.com%2ffr-ca%2fget-started%2fwelcome-to-azure%2f&l=fr-ca&correlationId=ead86c34-1f10-49dd-a72b-6918462a2cbf</v></cell></row><row r="3196"><cell r="K3196" t="str"><v>July</v></cell><cell r="L3196"><v>43309</v></cell><cell r="M3196" t="str"><v>Tier 1</v></cell><cell r="N3196" t="str"><v>North America</v></cell><cell r="O3196" t="str"><v>Canada</v></cell><cell r="P3196" t="str"><v>Trial</v></cell><cell r="Q3196" t="str"><v>Social</v></cell><cell r="R3196" t="str"><v>Azure</v></cell><cell r="S3196" t="str"><v>Apps & Infra</v></cell><cell r="T3196" t="str"><v>Developers & ITI's</v></cell><cell r="U3196" t="str"><v>AZR</v></cell><cell r="V3196" t="str"><v>Prospecting</v></cell><cell r="W3196" t="str"><v>Social</v></cell><cell r="X3196" t="str"><v>1x1</v></cell></row><row r="3196"><cell r="AA3196"><v>43304</v></cell><cell r="AB3196" t="str"><v>CAN_gaPMG_AZR_AZR_Q1_19_Trial-Social</v></cell><cell r="AC3196"><v>21337220</v></cell><cell r="AD3196"><v>720192</v></cell><cell r="AE3196" t="str"><v>Facebook</v></cell><cell r="AF3196"><v>3654128</v></cell><cell r="AG3196" t="str"><v>Facebook»AZR»1x1»NA»SOC»ALL»DYN»PRO»D»All»SS»NA»Canvas - Start Free - FR</v></cell><cell r="AH3196"><v>225525936</v></cell><cell r="AI3196" t="str"><v>AzurePlatform_FBCTCcanvaspage-StartFreeCTA-Img2_CAN_1080x143 _SOC_Plat_French_NA_Standard_NA_NA_T2_1</v></cell><cell r="AJ3196"><v>103902551</v></cell></row><row r="3197"><cell r="C3197" t="str"><v>43304Facebook»AZR»1x1»SocialBan»NA»ALL»DYN»AUT»D»All»SS»NA»Free Acc Refresh - T1 - FR</v></cell><cell r="D3197" t="str"><v>43304223691762</v></cell><cell r="E3197" t="str"><v>433041029029741 - FR</v></cell><cell r="F3197" t="str"><v>DCM</v></cell><cell r="G3197" t="str"><v>https://azure.microsoft.com/fr-ca/free/search/</v></cell></row><row r="3197"><cell r="K3197" t="str"><v>July</v></cell><cell r="L3197"><v>43309</v></cell><cell r="M3197" t="str"><v>Tier 1</v></cell><cell r="N3197" t="str"><v>North America</v></cell><cell r="O3197" t="str"><v>Canada</v></cell><cell r="P3197" t="str"><v>Trial</v></cell><cell r="Q3197" t="str"><v>Social</v></cell><cell r="R3197" t="str"><v>Azure</v></cell><cell r="S3197" t="str"><v>Apps & Infra</v></cell><cell r="T3197" t="str"><v>Developers & ITI's</v></cell><cell r="U3197" t="str"><v>AZR</v></cell><cell r="V3197" t="str"><v>Audience Targeting</v></cell><cell r="W3197" t="str"><v>NotApplicable</v></cell><cell r="X3197" t="str"><v>1x1</v></cell></row><row r="3197"><cell r="AA3197"><v>43304</v></cell><cell r="AB3197" t="str"><v>CAN_gaPMG_AZR_AZR_Q1_19_Trial-Social</v></cell><cell r="AC3197"><v>21337220</v></cell><cell r="AD3197"><v>720192</v></cell><cell r="AE3197" t="str"><v>Facebook</v></cell><cell r="AF3197"><v>3654128</v></cell><cell r="AG3197" t="str"><v>Facebook»AZR»1x1»SocialBan»NA»ALL»DYN»AUT»D»All»SS»NA»Free Acc Refresh - T1 - FR</v></cell><cell r="AH3197"><v>223691762</v></cell><cell r="AI3197" t="str"><v>AzurePlatform_FreeAcctAppsFACEBOOKLifestyleChA_CAN_1200x628_SOC_PLAT_FR_Trial_Standard_NA_SU_T1_1.png</v></cell><cell r="AJ3197"><v>102902974</v></cell></row><row r="3198"><cell r="C3198" t="str"><v>43304Facebook»AZR»1x1»SocialBan»NA»ALL»DYN»AUT»D»All»SS»NA»Free Acc Refresh - T2 - FR</v></cell><cell r="D3198" t="str"><v>43304223691768</v></cell><cell r="E3198" t="str"><v>433041029029712 - FR</v></cell><cell r="F3198" t="str"><v>DCM</v></cell><cell r="G3198" t="str"><v>https://azure.microsoft.com/fr-ca/free/search/</v></cell></row><row r="3198"><cell r="K3198" t="str"><v>July</v></cell><cell r="L3198"><v>43309</v></cell><cell r="M3198" t="str"><v>Tier 1</v></cell><cell r="N3198" t="str"><v>North America</v></cell><cell r="O3198" t="str"><v>Canada</v></cell><cell r="P3198" t="str"><v>Trial</v></cell><cell r="Q3198" t="str"><v>Social</v></cell><cell r="R3198" t="str"><v>Azure</v></cell><cell r="S3198" t="str"><v>Apps & Infra</v></cell><cell r="T3198" t="str"><v>Developers & ITI's</v></cell><cell r="U3198" t="str"><v>AZR</v></cell><cell r="V3198" t="str"><v>Audience Targeting</v></cell><cell r="W3198" t="str"><v>NotApplicable</v></cell><cell r="X3198" t="str"><v>1x1</v></cell></row><row r="3198"><cell r="AA3198"><v>43304</v></cell><cell r="AB3198" t="str"><v>CAN_gaPMG_AZR_AZR_Q1_19_Trial-Social</v></cell><cell r="AC3198"><v>21337220</v></cell><cell r="AD3198"><v>720192</v></cell><cell r="AE3198" t="str"><v>Facebook</v></cell><cell r="AF3198"><v>3654128</v></cell><cell r="AG3198" t="str"><v>Facebook»AZR»1x1»SocialBan»NA»ALL»DYN»AUT»D»All»SS»NA»Free Acc Refresh - T2 - FR</v></cell><cell r="AH3198"><v>223691768</v></cell><cell r="AI3198" t="str"><v>AzurePlatform_FreeAcctAppsFACEBOOKDeviceChB_CAN_1200x628_SOC_PLAT_FR_Trial_Standard_NA_SU_T2_1.png</v></cell><cell r="AJ3198"><v>102902971</v></cell></row><row r="3199"><cell r="C3199" t="str"><v>43304Facebook»AZR»1x1»SocialBan»NA»ALL»DYN»AUT»D»All»SS»NA»Free Acc Refresh - T3 - EN</v></cell><cell r="D3199" t="str"><v>43304223691807</v></cell><cell r="E3199" t="str"><v>433041029006853 - EN</v></cell><cell r="F3199" t="str"><v>DCM</v></cell><cell r="G3199" t="str"><v>https://azure.microsoft.com/en-CA/free/search/</v></cell></row><row r="3199"><cell r="K3199" t="str"><v>July</v></cell><cell r="L3199"><v>43309</v></cell><cell r="M3199" t="str"><v>Tier 1</v></cell><cell r="N3199" t="str"><v>North America</v></cell><cell r="O3199" t="str"><v>Canada</v></cell><cell r="P3199" t="str"><v>Trial</v></cell><cell r="Q3199" t="str"><v>Social</v></cell><cell r="R3199" t="str"><v>Azure</v></cell><cell r="S3199" t="str"><v>Apps & Infra</v></cell><cell r="T3199" t="str"><v>Developers & ITI's</v></cell><cell r="U3199" t="str"><v>AZR</v></cell><cell r="V3199" t="str"><v>Audience Targeting</v></cell><cell r="W3199" t="str"><v>NotApplicable</v></cell><cell r="X3199" t="str"><v>1x1</v></cell></row><row r="3199"><cell r="AA3199"><v>43304</v></cell><cell r="AB3199" t="str"><v>CAN_gaPMG_AZR_AZR_Q1_19_Trial-Social</v></cell><cell r="AC3199"><v>21337220</v></cell><cell r="AD3199"><v>720192</v></cell><cell r="AE3199" t="str"><v>Facebook</v></cell><cell r="AF3199"><v>3654128</v></cell><cell r="AG3199" t="str"><v>Facebook»AZR»1x1»SocialBan»NA»ALL»DYN»AUT»D»All»SS»NA»Free Acc Refresh - T3 - EN</v></cell><cell r="AH3199"><v>223691807</v></cell><cell r="AI3199" t="str"><v>AzurePlatform_FreeAcctAppsFACEBOOKIllustrationChC_CAN_1200x628_SOC_PLAT_EN_Trial_Standard_NA_SU_T3_1.png</v></cell><cell r="AJ3199"><v>102900685</v></cell></row><row r="3200"><cell r="C3200" t="str"><v>43304Facebook»AZR»1x1»SocialBan»NA»ALL»DYN»AUT»D»All»SS»NA»Free Acc Refresh - T5 - FR</v></cell><cell r="D3200" t="str"><v>43304223691774</v></cell><cell r="E3200" t="str"><v>433041029163565 - FR</v></cell><cell r="F3200" t="str"><v>DCM</v></cell><cell r="G3200" t="str"><v>https://azure.microsoft.com/fr-ca/free/search/</v></cell></row><row r="3200"><cell r="K3200" t="str"><v>July</v></cell><cell r="L3200"><v>43309</v></cell><cell r="M3200" t="str"><v>Tier 1</v></cell><cell r="N3200" t="str"><v>North America</v></cell><cell r="O3200" t="str"><v>Canada</v></cell><cell r="P3200" t="str"><v>Trial</v></cell><cell r="Q3200" t="str"><v>Social</v></cell><cell r="R3200" t="str"><v>Azure</v></cell><cell r="S3200" t="str"><v>Apps & Infra</v></cell><cell r="T3200" t="str"><v>Developers & ITI's</v></cell><cell r="U3200" t="str"><v>AZR</v></cell><cell r="V3200" t="str"><v>Audience Targeting</v></cell><cell r="W3200" t="str"><v>NotApplicable</v></cell><cell r="X3200" t="str"><v>1x1</v></cell></row><row r="3200"><cell r="AA3200"><v>43304</v></cell><cell r="AB3200" t="str"><v>CAN_gaPMG_AZR_AZR_Q1_19_Trial-Social</v></cell><cell r="AC3200"><v>21337220</v></cell><cell r="AD3200"><v>720192</v></cell><cell r="AE3200" t="str"><v>Facebook</v></cell><cell r="AF3200"><v>3654128</v></cell><cell r="AG3200" t="str"><v>Facebook»AZR»1x1»SocialBan»NA»ALL»DYN»AUT»D»All»SS»NA»Free Acc Refresh - T5 - FR</v></cell><cell r="AH3200"><v>223691774</v></cell><cell r="AI3200" t="str"><v>AzurePlatform_FreeAcctAppsFACEBOOK12monthsChE_CAN_1200x628_SOC_PLAT_FR_Trial_Standard_NA_SU_T5_1.png</v></cell><cell r="AJ3200"><v>102916356</v></cell></row><row r="3201"><cell r="C3201" t="str"><v>43304Facebook»AZR»1x1»SocialBan»NA»ALL»DYN»RT»D»All»SS»NA» Free Account Retargeting OSS - T2 - EN</v></cell><cell r="D3201" t="str"><v>43304223691831</v></cell><cell r="E3201" t="str"><v>433041029138002 - EN</v></cell><cell r="F3201" t="str"><v>DCM</v></cell><cell r="G3201" t="str"><v>https://azure.microsoft.com/en-ca/free/open-source/search/</v></cell></row><row r="3201"><cell r="K3201" t="str"><v>July</v></cell><cell r="L3201"><v>43309</v></cell><cell r="M3201" t="str"><v>Tier 1</v></cell><cell r="N3201" t="str"><v>North America</v></cell><cell r="O3201" t="str"><v>Canada</v></cell><cell r="P3201" t="str"><v>Trial</v></cell><cell r="Q3201" t="str"><v>Social</v></cell><cell r="R3201" t="str"><v>Azure</v></cell><cell r="S3201" t="str"><v>Apps & Infra</v></cell><cell r="T3201" t="str"><v>Developers & ITI's</v></cell><cell r="U3201" t="str"><v>AZR</v></cell><cell r="V3201" t="str"><v>Retargeting</v></cell><cell r="W3201" t="str"><v>NotApplicable</v></cell><cell r="X3201" t="str"><v>1x1</v></cell></row><row r="3201"><cell r="AA3201"><v>43304</v></cell><cell r="AB3201" t="str"><v>CAN_gaPMG_AZR_AZR_Q1_19_Trial-Social</v></cell><cell r="AC3201"><v>21337220</v></cell><cell r="AD3201"><v>720192</v></cell><cell r="AE3201" t="str"><v>Facebook</v></cell><cell r="AF3201"><v>3654128</v></cell><cell r="AG3201" t="str"><v>Facebook»AZR»1x1»SocialBan»NA»ALL»DYN»RT»D»All»SS»NA» Free Account Retargeting OSS - T2 - EN</v></cell><cell r="AH3201"><v>223691831</v></cell><cell r="AI3201" t="str"><v>AzurePlatform_FreeAcctRetargetingOSSFB-Logos-ChG_CAN_1200x628_SOC_Plat_EN_Free Account_Standard_NA_SU_T2_1</v></cell><cell r="AJ3201"><v>102913800</v></cell></row><row r="3202"><cell r="C3202" t="str"><v>43304Facebook»AZR»1x1»SocialBan»NA»ALL»DYN»RT»D»All»SS»NA» Free Account Retargeting OSS - T2 - FR</v></cell><cell r="D3202" t="str"><v>43304223691789</v></cell><cell r="E3202" t="str"><v>433041029006912 - FR</v></cell><cell r="F3202" t="str"><v>DCM</v></cell><cell r="G3202" t="str"><v>https://azure.microsoft.com/fr-ca/free/open-source/search/</v></cell></row><row r="3202"><cell r="K3202" t="str"><v>July</v></cell><cell r="L3202"><v>43309</v></cell><cell r="M3202" t="str"><v>Tier 1</v></cell><cell r="N3202" t="str"><v>North America</v></cell><cell r="O3202" t="str"><v>Canada</v></cell><cell r="P3202" t="str"><v>Trial</v></cell><cell r="Q3202" t="str"><v>Social</v></cell><cell r="R3202" t="str"><v>Azure</v></cell><cell r="S3202" t="str"><v>Apps & Infra</v></cell><cell r="T3202" t="str"><v>Developers & ITI's</v></cell><cell r="U3202" t="str"><v>AZR</v></cell><cell r="V3202" t="str"><v>Retargeting</v></cell><cell r="W3202" t="str"><v>NotApplicable</v></cell><cell r="X3202" t="str"><v>1x1</v></cell></row><row r="3202"><cell r="AA3202"><v>43304</v></cell><cell r="AB3202" t="str"><v>CAN_gaPMG_AZR_AZR_Q1_19_Trial-Social</v></cell><cell r="AC3202"><v>21337220</v></cell><cell r="AD3202"><v>720192</v></cell><cell r="AE3202" t="str"><v>Facebook</v></cell><cell r="AF3202"><v>3654128</v></cell><cell r="AG3202" t="str"><v>Facebook»AZR»1x1»SocialBan»NA»ALL»DYN»RT»D»All»SS»NA» Free Account Retargeting OSS - T2 - FR</v></cell><cell r="AH3202"><v>223691789</v></cell><cell r="AI3202" t="str"><v>AzurePlatform_FreeAcctRetargetingOSSFB-Logos-ChG_CAN_1200x628_SOC_Plat_FR_Free Account_Standard_NA_SU_T2_1</v></cell><cell r="AJ3202"><v>102900691</v></cell></row><row r="3203"><cell r="C3203" t="str"><v>43304Facebook»AZR»1x1»SocialBan»NA»ALL»DYN»RT»D»All»SS»NA»Free Account Retargeting Generic - T2 - EN</v></cell><cell r="D3203" t="str"><v>43304223691834</v></cell><cell r="E3203" t="str"><v>433041029029532 - EN</v></cell><cell r="F3203" t="str"><v>DCM</v></cell><cell r="G3203" t="str"><v>https://azure.microsoft.com/en-CA/free/search/</v></cell></row><row r="3203"><cell r="K3203" t="str"><v>July</v></cell><cell r="L3203"><v>43309</v></cell><cell r="M3203" t="str"><v>Tier 1</v></cell><cell r="N3203" t="str"><v>North America</v></cell><cell r="O3203" t="str"><v>Canada</v></cell><cell r="P3203" t="str"><v>Trial</v></cell><cell r="Q3203" t="str"><v>Social</v></cell><cell r="R3203" t="str"><v>Azure</v></cell><cell r="S3203" t="str"><v>Apps & Infra</v></cell><cell r="T3203" t="str"><v>Developers & ITI's</v></cell><cell r="U3203" t="str"><v>AZR</v></cell><cell r="V3203" t="str"><v>Retargeting</v></cell><cell r="W3203" t="str"><v>NotApplicable</v></cell><cell r="X3203" t="str"><v>1x1</v></cell></row><row r="3203"><cell r="AA3203"><v>43304</v></cell><cell r="AB3203" t="str"><v>CAN_gaPMG_AZR_AZR_Q1_19_Trial-Social</v></cell><cell r="AC3203"><v>21337220</v></cell><cell r="AD3203"><v>720192</v></cell><cell r="AE3203" t="str"><v>Facebook</v></cell><cell r="AF3203"><v>3654128</v></cell><cell r="AG3203" t="str"><v>Facebook»AZR»1x1»SocialBan»NA»ALL»DYN»RT»D»All»SS»NA»Free Account Retargeting Generic - T2 - EN</v></cell><cell r="AH3203"><v>223691834</v></cell><cell r="AI3203" t="str"><v>AzurePlatform_FreeAcctRetargetingFB-GlobalAlt-ChB_CAN_1200x628_SOC_Plat_EN_Free Account_Standard_NA_SU_T2_1</v></cell><cell r="AJ3203"><v>102902953</v></cell></row><row r="3204"><cell r="C3204" t="str"><v>43304Facebook»AZR»1x1»SocialBan»NA»ALL»DYN»RT»D»All»SS»NA»Free Account Retargeting Generic - T3 - EN</v></cell><cell r="D3204" t="str"><v>43304223691819</v></cell><cell r="E3204" t="str"><v>433041029006823 - EN</v></cell><cell r="F3204" t="str"><v>DCM</v></cell><cell r="G3204" t="str"><v>https://azure.microsoft.com/en-CA/free/search/</v></cell></row><row r="3204"><cell r="K3204" t="str"><v>July</v></cell><cell r="L3204"><v>43309</v></cell><cell r="M3204" t="str"><v>Tier 1</v></cell><cell r="N3204" t="str"><v>North America</v></cell><cell r="O3204" t="str"><v>Canada</v></cell><cell r="P3204" t="str"><v>Trial</v></cell><cell r="Q3204" t="str"><v>Social</v></cell><cell r="R3204" t="str"><v>Azure</v></cell><cell r="S3204" t="str"><v>Apps & Infra</v></cell><cell r="T3204" t="str"><v>Developers & ITI's</v></cell><cell r="U3204" t="str"><v>AZR</v></cell><cell r="V3204" t="str"><v>Retargeting</v></cell><cell r="W3204" t="str"><v>NotApplicable</v></cell><cell r="X3204" t="str"><v>1x1</v></cell></row><row r="3204"><cell r="AA3204"><v>43304</v></cell><cell r="AB3204" t="str"><v>CAN_gaPMG_AZR_AZR_Q1_19_Trial-Social</v></cell><cell r="AC3204"><v>21337220</v></cell><cell r="AD3204"><v>720192</v></cell><cell r="AE3204" t="str"><v>Facebook</v></cell><cell r="AF3204"><v>3654128</v></cell><cell r="AG3204" t="str"><v>Facebook»AZR»1x1»SocialBan»NA»ALL»DYN»RT»D»All»SS»NA»Free Account Retargeting Generic - T3 - EN</v></cell><cell r="AH3204"><v>223691819</v></cell><cell r="AI3204" t="str"><v>AzurePlatform_FreeAcctRetargetingFB-Animated-ChC_CAN_1200x628_SOC_Plat_EN_Free Account_Standard_ANI_SU_T3_1</v></cell><cell r="AJ3204"><v>102900682</v></cell></row><row r="3205"><cell r="C3205" t="str"><v>43304Facebook»AZR»1x1»SocialBan»NA»ALL»DYN»RT»D»All»SS»NA»Free Account Retargeting VM - T1 - EN</v></cell><cell r="D3205" t="str"><v>43304223691825</v></cell><cell r="E3205" t="str"><v>433041029163381 - EN</v></cell><cell r="F3205" t="str"><v>DCM</v></cell><cell r="G3205" t="str"><v>https://azure.microsoft.com/en-ca/free/virtual-machines/search/</v></cell></row><row r="3205"><cell r="K3205" t="str"><v>July</v></cell><cell r="L3205"><v>43309</v></cell><cell r="M3205" t="str"><v>Tier 1</v></cell><cell r="N3205" t="str"><v>North America</v></cell><cell r="O3205" t="str"><v>Canada</v></cell><cell r="P3205" t="str"><v>Trial</v></cell><cell r="Q3205" t="str"><v>Social</v></cell><cell r="R3205" t="str"><v>Azure</v></cell><cell r="S3205" t="str"><v>Apps & Infra</v></cell><cell r="T3205" t="str"><v>Developers & ITI's</v></cell><cell r="U3205" t="str"><v>AZR</v></cell><cell r="V3205" t="str"><v>Retargeting</v></cell><cell r="W3205" t="str"><v>NotApplicable</v></cell><cell r="X3205" t="str"><v>1x1</v></cell></row><row r="3205"><cell r="AA3205"><v>43304</v></cell><cell r="AB3205" t="str"><v>CAN_gaPMG_AZR_AZR_Q1_19_Trial-Social</v></cell><cell r="AC3205"><v>21337220</v></cell><cell r="AD3205"><v>720192</v></cell><cell r="AE3205" t="str"><v>Facebook</v></cell><cell r="AF3205"><v>3654128</v></cell><cell r="AG3205" t="str"><v>Facebook»AZR»1x1»SocialBan»NA»ALL»DYN»RT»D»All»SS»NA»Free Account Retargeting VM - T1 - EN</v></cell><cell r="AH3205"><v>223691825</v></cell><cell r="AI3205" t="str"><v>AzurePlatform_FreeAcctRetargetingVMFB-750Hrs-ChD_CAN_1200x628_SOC_Plat_EN_Free Account_Standard_NA_SU_T1_1</v></cell><cell r="AJ3205"><v>102916338</v></cell></row><row r="3206"><cell r="C3206" t="str"><v>43304Facebook»AZR»1x1»SocialBan»NA»ALL»DYN»RT»D»All»SS»NA»Free Account Retargeting VM - T1 - FR</v></cell><cell r="D3206" t="str"><v>43304223691783</v></cell><cell r="E3206" t="str"><v>433041030587231 - FR</v></cell><cell r="F3206" t="str"><v>DCM</v></cell><cell r="G3206" t="str"><v>https://azure.microsoft.com/fr-ca/free/virtual-machines/search/</v></cell></row><row r="3206"><cell r="K3206" t="str"><v>July</v></cell><cell r="L3206"><v>43309</v></cell><cell r="M3206" t="str"><v>Tier 1</v></cell><cell r="N3206" t="str"><v>North America</v></cell><cell r="O3206" t="str"><v>Canada</v></cell><cell r="P3206" t="str"><v>Trial</v></cell><cell r="Q3206" t="str"><v>Social</v></cell><cell r="R3206" t="str"><v>Azure</v></cell><cell r="S3206" t="str"><v>Apps & Infra</v></cell><cell r="T3206" t="str"><v>Developers & ITI's</v></cell><cell r="U3206" t="str"><v>AZR</v></cell><cell r="V3206" t="str"><v>Retargeting</v></cell><cell r="W3206" t="str"><v>NotApplicable</v></cell><cell r="X3206" t="str"><v>1x1</v></cell></row><row r="3206"><cell r="AA3206"><v>43304</v></cell><cell r="AB3206" t="str"><v>CAN_gaPMG_AZR_AZR_Q1_19_Trial-Social</v></cell><cell r="AC3206"><v>21337220</v></cell><cell r="AD3206"><v>720192</v></cell><cell r="AE3206" t="str"><v>Facebook</v></cell><cell r="AF3206"><v>3654128</v></cell><cell r="AG3206" t="str"><v>Facebook»AZR»1x1»SocialBan»NA»ALL»DYN»RT»D»All»SS»NA»Free Account Retargeting VM - T1 - FR</v></cell><cell r="AH3206"><v>223691783</v></cell><cell r="AI3206" t="str"><v>AzurePlatform_FreeAcctRetargetingVMFB-750Hrs-ChD_CAN_1200x628_SOC_Plat_FR_Free Account_Standard_NA_SU_T1_1</v></cell><cell r="AJ3206"><v>103058723</v></cell></row><row r="3207"><cell r="C3207" t="str"><v>43304Facebook»DEV-ITP-AZR-FB|CanvasAds|Interesttargeting»1x1»TextLink»CAN»DT»CPM»AUT»W»NA»SS»NA»39684020-11000</v></cell><cell r="D3207" t="str"><v>43304224009494</v></cell><cell r="E3207" t="str"><v>43304103236186-11000</v></cell><cell r="F3207" t="str"><v>DCM</v></cell><cell r="G3207" t="str"><v>https://signup.azure.com/signup?offer=ms-azr-0044p&appId=102&ref=paidmedia-social-fb&redirectURL=https%3a%2f%2fazure.microsoft.com%2fde-de%2fget-started%2fwelcome-to-azure%2f&l=de-de&correlationId=ead86c34-1f10-49dd-a72b-6918462a2cbf</v></cell></row><row r="3207"><cell r="K3207" t="str"><v>July</v></cell><cell r="L3207"><v>43309</v></cell><cell r="M3207" t="str"><v>Tier 1</v></cell><cell r="N3207" t="str"><v>EMEA</v></cell><cell r="O3207" t="str"><v>Germany</v></cell><cell r="P3207" t="str"><v>Trial</v></cell><cell r="Q3207" t="str"><v>Social</v></cell><cell r="R3207" t="str"><v>Azure</v></cell><cell r="S3207" t="str"><v>Apps & Infra</v></cell><cell r="T3207" t="str"><v>Developers & ITI's</v></cell><cell r="U3207" t="str"><v>DEV-ITP-AZR-FB|CanvasAds|Interesttargeting</v></cell><cell r="V3207" t="str"><v>Audience Targeting</v></cell><cell r="W3207" t="str"><v>Canvas Ad</v></cell><cell r="X3207" t="str"><v>1x1</v></cell></row><row r="3207"><cell r="AA3207"><v>43304</v></cell><cell r="AB3207" t="str"><v>DEU_gaPMG_AZR_AZR_Q1_19_Trial-Social- 39684</v></cell><cell r="AC3207"><v>21359477</v></cell><cell r="AD3207"><v>720194</v></cell><cell r="AE3207" t="str"><v>Facebook</v></cell><cell r="AF3207"><v>3654128</v></cell><cell r="AG3207" t="str"><v>Facebook»DEV-ITP-AZR-FB|CanvasAds|Interesttargeting»1x1»TextLink»CAN»DT»CPM»AUT»W»NA»SS»NA»39684020-11000</v></cell><cell r="AH3207"><v>224009494</v></cell><cell r="AI3207" t="str"><v>AzurePlatform_FBCTCBasicMotion-StartFreeCT_DEU_10s_ISV_PLAT_DE_Trial_Standard_STAN_TN_T1_1</v></cell><cell r="AJ3207"><v>103236186</v></cell></row><row r="3208"><cell r="C3208" t="str"><v>43304Facebook»DEV-ITP-AZR-FB|CanvasAds|Interesttargeting»1x1»TextLink»CAN»DT»CPM»AUT»W»NA»SS»NA»39684020-11000</v></cell><cell r="D3208" t="str"><v>43304224009494</v></cell><cell r="E3208" t="str"><v>43304103237290-11000</v></cell><cell r="F3208" t="str"><v>DCM</v></cell><cell r="G3208" t="str"><v>https://signup.azure.com/signup?offer=ms-azr-0044p&appId=102&ref=paidmedia-social-fb&redirectURL=https%3a%2f%2fazure.microsoft.com%2fde-de%2fget-started%2fwelcome-to-azure%2f&l=de-de&correlationId=ead86c34-1f10-49dd-a72b-6918462a2cbf</v></cell></row><row r="3208"><cell r="K3208" t="str"><v>July</v></cell><cell r="L3208"><v>43309</v></cell><cell r="M3208" t="str"><v>Tier 1</v></cell><cell r="N3208" t="str"><v>EMEA</v></cell><cell r="O3208" t="str"><v>Germany</v></cell><cell r="P3208" t="str"><v>Trial</v></cell><cell r="Q3208" t="str"><v>Social</v></cell><cell r="R3208" t="str"><v>Azure</v></cell><cell r="S3208" t="str"><v>Apps & Infra</v></cell><cell r="T3208" t="str"><v>Developers & ITI's</v></cell><cell r="U3208" t="str"><v>DEV-ITP-AZR-FB|CanvasAds|Interesttargeting</v></cell><cell r="V3208" t="str"><v>Audience Targeting</v></cell><cell r="W3208" t="str"><v>Canvas Ad</v></cell><cell r="X3208" t="str"><v>1x1</v></cell></row><row r="3208"><cell r="AA3208"><v>43304</v></cell><cell r="AB3208" t="str"><v>DEU_gaPMG_AZR_AZR_Q1_19_Trial-Social- 39684</v></cell><cell r="AC3208"><v>21359477</v></cell><cell r="AD3208"><v>720194</v></cell><cell r="AE3208" t="str"><v>Facebook</v></cell><cell r="AF3208"><v>3654128</v></cell><cell r="AG3208" t="str"><v>Facebook»DEV-ITP-AZR-FB|CanvasAds|Interesttargeting»1x1»TextLink»CAN»DT»CPM»AUT»W»NA»SS»NA»39684020-11000</v></cell><cell r="AH3208"><v>224009494</v></cell><cell r="AI3208" t="str"><v>AzurePlatform_FBCTCBenefit2inMotion-StartFreeCT_DEU_14s_ISV_PLAT_DE_Trial_Standard_STAN_TN_T4_1</v></cell><cell r="AJ3208"><v>103237290</v></cell></row><row r="3209"><cell r="C3209" t="str"><v>43304Facebook»DEV-ITP-AZR-FB|CanvasAds|Interesttargeting»1x1»TextLink»CAN»DT»CPM»AUT»W»NA»SS»NA»39684020-11000</v></cell><cell r="D3209" t="str"><v>43304224009494</v></cell><cell r="E3209" t="str"><v>43304103350059-11000</v></cell><cell r="F3209" t="str"><v>DCM</v></cell><cell r="G3209" t="str"><v>https://azure.microsoft.com/de-de/pricing/purchase-options/</v></cell></row><row r="3209"><cell r="K3209" t="str"><v>July</v></cell><cell r="L3209"><v>43309</v></cell><cell r="M3209" t="str"><v>Tier 1</v></cell><cell r="N3209" t="str"><v>EMEA</v></cell><cell r="O3209" t="str"><v>Germany</v></cell><cell r="P3209" t="str"><v>Trial</v></cell><cell r="Q3209" t="str"><v>Social</v></cell><cell r="R3209" t="str"><v>Azure</v></cell><cell r="S3209" t="str"><v>Apps & Infra</v></cell><cell r="T3209" t="str"><v>Developers & ITI's</v></cell><cell r="U3209" t="str"><v>DEV-ITP-AZR-FB|CanvasAds|Interesttargeting</v></cell><cell r="V3209" t="str"><v>Audience Targeting</v></cell><cell r="W3209" t="str"><v>Canvas Ad</v></cell><cell r="X3209" t="str"><v>1x1</v></cell></row><row r="3209"><cell r="AA3209"><v>43304</v></cell><cell r="AB3209" t="str"><v>DEU_gaPMG_AZR_AZR_Q1_19_Trial-Social- 39684</v></cell><cell r="AC3209"><v>21359477</v></cell><cell r="AD3209"><v>720194</v></cell><cell r="AE3209" t="str"><v>Facebook</v></cell><cell r="AF3209"><v>3654128</v></cell><cell r="AG3209" t="str"><v>Facebook»DEV-ITP-AZR-FB|CanvasAds|Interesttargeting»1x1»TextLink»CAN»DT»CPM»AUT»W»NA»SS»NA»39684020-11000</v></cell><cell r="AH3209"><v>224009494</v></cell><cell r="AI3209" t="str"><v>AzurePlatform_FBCTCBrandinMotion-BuyNow_DEU_12s_ISV_PLAT_DE_Trial_Standard_STAN_TN_T2_1</v></cell><cell r="AJ3209"><v>103350059</v></cell></row><row r="3210"><cell r="C3210" t="str"><v>43304Facebook»DEV-ITP-AZR-FB|CanvasAds|Interesttargeting»1x1»TextLink»CAN»DT»CPM»AUT»W»NA»SS»NA»39684020-11000</v></cell><cell r="D3210" t="str"><v>43304224009494</v></cell><cell r="E3210" t="str"><v>43304103237293-11000</v></cell><cell r="F3210" t="str"><v>DCM</v></cell><cell r="G3210" t="str"><v>https://signup.azure.com/signup?offer=ms-azr-0044p&appId=102&ref=paidmedia-social-fb&redirectURL=https%3a%2f%2fazure.microsoft.com%2fde-de%2fget-started%2fwelcome-to-azure%2f&l=de-de&correlationId=ead86c34-1f10-49dd-a72b-6918462a2cbf</v></cell></row><row r="3210"><cell r="K3210" t="str"><v>July</v></cell><cell r="L3210"><v>43309</v></cell><cell r="M3210" t="str"><v>Tier 1</v></cell><cell r="N3210" t="str"><v>EMEA</v></cell><cell r="O3210" t="str"><v>Germany</v></cell><cell r="P3210" t="str"><v>Trial</v></cell><cell r="Q3210" t="str"><v>Social</v></cell><cell r="R3210" t="str"><v>Azure</v></cell><cell r="S3210" t="str"><v>Apps & Infra</v></cell><cell r="T3210" t="str"><v>Developers & ITI's</v></cell><cell r="U3210" t="str"><v>DEV-ITP-AZR-FB|CanvasAds|Interesttargeting</v></cell><cell r="V3210" t="str"><v>Audience Targeting</v></cell><cell r="W3210" t="str"><v>Canvas Ad</v></cell><cell r="X3210" t="str"><v>1x1</v></cell></row><row r="3210"><cell r="AA3210"><v>43304</v></cell><cell r="AB3210" t="str"><v>DEU_gaPMG_AZR_AZR_Q1_19_Trial-Social- 39684</v></cell><cell r="AC3210"><v>21359477</v></cell><cell r="AD3210"><v>720194</v></cell><cell r="AE3210" t="str"><v>Facebook</v></cell><cell r="AF3210"><v>3654128</v></cell><cell r="AG3210" t="str"><v>Facebook»DEV-ITP-AZR-FB|CanvasAds|Interesttargeting»1x1»TextLink»CAN»DT»CPM»AUT»W»NA»SS»NA»39684020-11000</v></cell><cell r="AH3210"><v>224009494</v></cell><cell r="AI3210" t="str"><v>AzurePlatform_FBCTCBrandinMotion-StartFreeCT_DEU_12s_ISV_PLAT_DE_Trial_Standard_STAN_TN_T2_1</v></cell><cell r="AJ3210"><v>103237293</v></cell></row><row r="3211"><cell r="C3211" t="str"><v>43304Facebook»DEV-ITP-AZR-FB|LinkAd|CustomerAudienceRetargeting»1x1»TextLink»LIA»DT»CPM»RT»W»NA»SS»NA»39684019-11000</v></cell><cell r="D3211" t="str"><v>43304224010415</v></cell><cell r="E3211" t="str"><v>43304103040320-11000</v></cell><cell r="F3211" t="str"><v>DCM</v></cell><cell r="G3211" t="str"><v>https://azure.microsoft.com/de-de/free/search/</v></cell></row><row r="3211"><cell r="K3211" t="str"><v>July</v></cell><cell r="L3211"><v>43309</v></cell><cell r="M3211" t="str"><v>Tier 1</v></cell><cell r="N3211" t="str"><v>EMEA</v></cell><cell r="O3211" t="str"><v>Germany</v></cell><cell r="P3211" t="str"><v>Trial</v></cell><cell r="Q3211" t="str"><v>Social</v></cell><cell r="R3211" t="str"><v>Azure</v></cell><cell r="S3211" t="str"><v>Apps & Infra</v></cell><cell r="T3211" t="str"><v>Developers & ITI's</v></cell><cell r="U3211" t="str"><v>DEV-ITP-AZR-FB|LinkAd|CustomerAudienceRetargeting</v></cell><cell r="V3211" t="str"><v>Retargeting</v></cell><cell r="W3211" t="str"><v>Link Ad</v></cell><cell r="X3211" t="str"><v>1x1</v></cell></row><row r="3211"><cell r="AA3211"><v>43304</v></cell><cell r="AB3211" t="str"><v>DEU_gaPMG_AZR_AZR_Q1_19_Trial-Social- 39684</v></cell><cell r="AC3211"><v>21359477</v></cell><cell r="AD3211"><v>720194</v></cell><cell r="AE3211" t="str"><v>Facebook</v></cell><cell r="AF3211"><v>3654128</v></cell><cell r="AG3211" t="str"><v>Facebook»DEV-ITP-AZR-FB|LinkAd|CustomerAudienceRetargeting»1x1»TextLink»LIA»DT»CPM»RT»W»NA»SS»NA»39684019-11000</v></cell><cell r="AH3211"><v>224010415</v></cell><cell r="AI3211" t="str"><v>AzurePlatform_FreeAcctRetargetingFB-GlobalAlt-ChB_DEU_1200x628_SOC_Plat_DE_Free Account_Standard_NA_SNU_T2_1</v></cell><cell r="AJ3211"><v>103040320</v></cell></row><row r="3212"><cell r="C3212" t="str"><v>43304Facebook»DEV-ITP-AZR-FB|LinkAd|CustomerAudienceRetargeting»1x1»TextLink»LIA»DT»CPM»RT»W»NA»SS»NA»39684019-11000</v></cell><cell r="D3212" t="str"><v>43304224010415</v></cell><cell r="E3212" t="str"><v>43304103055394-11000</v></cell><cell r="F3212" t="str"><v>DCM</v></cell><cell r="G3212" t="str"><v>https://azure.microsoft.com/de-de/free/open-source/search/</v></cell></row><row r="3212"><cell r="K3212" t="str"><v>July</v></cell><cell r="L3212"><v>43309</v></cell><cell r="M3212" t="str"><v>Tier 1</v></cell><cell r="N3212" t="str"><v>EMEA</v></cell><cell r="O3212" t="str"><v>Germany</v></cell><cell r="P3212" t="str"><v>Trial</v></cell><cell r="Q3212" t="str"><v>Social</v></cell><cell r="R3212" t="str"><v>Azure</v></cell><cell r="S3212" t="str"><v>Apps & Infra</v></cell><cell r="T3212" t="str"><v>Developers & ITI's</v></cell><cell r="U3212" t="str"><v>DEV-ITP-AZR-FB|LinkAd|CustomerAudienceRetargeting</v></cell><cell r="V3212" t="str"><v>Retargeting</v></cell><cell r="W3212" t="str"><v>Link Ad</v></cell><cell r="X3212" t="str"><v>1x1</v></cell></row><row r="3212"><cell r="AA3212"><v>43304</v></cell><cell r="AB3212" t="str"><v>DEU_gaPMG_AZR_AZR_Q1_19_Trial-Social- 39684</v></cell><cell r="AC3212"><v>21359477</v></cell><cell r="AD3212"><v>720194</v></cell><cell r="AE3212" t="str"><v>Facebook</v></cell><cell r="AF3212"><v>3654128</v></cell><cell r="AG3212" t="str"><v>Facebook»DEV-ITP-AZR-FB|LinkAd|CustomerAudienceRetargeting»1x1»TextLink»LIA»DT»CPM»RT»W»NA»SS»NA»39684019-11000</v></cell><cell r="AH3212"><v>224010415</v></cell><cell r="AI3212" t="str"><v>AzurePlatform_FreeAcctRetargetingOSSFB-Text-ChF_DEU_1200x628_SOC_Plat_DE_Free Account_Standard_NA_SNU_T1_1</v></cell><cell r="AJ3212"><v>103055394</v></cell></row><row r="3213"><cell r="C3213" t="str"><v>43304Facebook»DEV-ITP-AZR-FB|LinkAd|CustomerAudienceRetargeting»1x1»TextLink»LIA»DT»CPM»RT»W»NA»SS»NA»39684019-11000</v></cell><cell r="D3213" t="str"><v>43304224010415</v></cell><cell r="E3213" t="str"><v>43304103043341-11000</v></cell><cell r="F3213" t="str"><v>DCM</v></cell><cell r="G3213" t="str"><v>https://azure.microsoft.com/de-de/free/virtual-machines/search/</v></cell></row><row r="3213"><cell r="K3213" t="str"><v>July</v></cell><cell r="L3213"><v>43309</v></cell><cell r="M3213" t="str"><v>Tier 1</v></cell><cell r="N3213" t="str"><v>EMEA</v></cell><cell r="O3213" t="str"><v>Germany</v></cell><cell r="P3213" t="str"><v>Trial</v></cell><cell r="Q3213" t="str"><v>Social</v></cell><cell r="R3213" t="str"><v>Azure</v></cell><cell r="S3213" t="str"><v>Apps & Infra</v></cell><cell r="T3213" t="str"><v>Developers & ITI's</v></cell><cell r="U3213" t="str"><v>DEV-ITP-AZR-FB|LinkAd|CustomerAudienceRetargeting</v></cell><cell r="V3213" t="str"><v>Retargeting</v></cell><cell r="W3213" t="str"><v>Link Ad</v></cell><cell r="X3213" t="str"><v>1x1</v></cell></row><row r="3213"><cell r="AA3213"><v>43304</v></cell><cell r="AB3213" t="str"><v>DEU_gaPMG_AZR_AZR_Q1_19_Trial-Social- 39684</v></cell><cell r="AC3213"><v>21359477</v></cell><cell r="AD3213"><v>720194</v></cell><cell r="AE3213" t="str"><v>Facebook</v></cell><cell r="AF3213"><v>3654128</v></cell><cell r="AG3213" t="str"><v>Facebook»DEV-ITP-AZR-FB|LinkAd|CustomerAudienceRetargeting»1x1»TextLink»LIA»DT»CPM»RT»W»NA»SS»NA»39684019-11000</v></cell><cell r="AH3213"><v>224010415</v></cell><cell r="AI3213" t="str"><v>AzurePlatform_FreeAcctRetargetingVMFB-750Hrs-ChD_DEU_1200x628_SOC_Plat_DE_Free Account_Standard_NA_SNU_T1_1</v></cell><cell r="AJ3213"><v>103043341</v></cell></row><row r="3214"><cell r="C3214" t="str"><v>43304Facebook»Developers/ITPros-Azure Direct-Sponsored Post-Canvas-FBCTCcanvaspage-BuyNowCTA-Img3_FBCTCBrandinMotion_FRA_14sec»1x1»Canvas»SOC»ALL»CPC»BT»D»UNK»SS»NA»Trials</v></cell><cell r="D3214" t="str"><v>43304224416918</v></cell><cell r="E3214" t="str"><v>43304103256571Trials</v></cell><cell r="F3214" t="str"><v>DCM</v></cell><cell r="G3214" t="str"><v>https://azure.microsoft.com/fr-fr/pricing/purchase-options/</v></cell></row><row r="3214"><cell r="K3214" t="str"><v>July</v></cell><cell r="L3214"><v>43309</v></cell><cell r="M3214" t="str"><v>Tier 1</v></cell><cell r="N3214" t="str"><v>EMEA</v></cell><cell r="O3214" t="str"><v>France</v></cell><cell r="P3214" t="str"><v>Trial</v></cell><cell r="Q3214" t="str"><v>Social</v></cell><cell r="R3214" t="str"><v>Azure</v></cell><cell r="S3214" t="str"><v>Apps & Infra</v></cell><cell r="T3214" t="str"><v>Developers & ITI's</v></cell><cell r="U3214" t="str"><v>Developers/ITPros-Azure Direct-Sponsored Post-Canvas-FBCTCcanvaspage-BuyNowCTA-Img3_FBCTCBrandinMotion_FRA_14sec</v></cell><cell r="V3214" t="str"><v>Behavioral Targeting</v></cell><cell r="W3214" t="str"><v>Social</v></cell><cell r="X3214" t="str"><v>1x1</v></cell></row><row r="3214"><cell r="AA3214"><v>43304</v></cell><cell r="AB3214" t="str"><v>FRA_gaPMG_AZR_AZR_Q1_19_AzureDirect-Trial-Social</v></cell><cell r="AC3214"><v>21356941</v></cell><cell r="AD3214"><v>720193</v></cell><cell r="AE3214" t="str"><v>Facebook</v></cell><cell r="AF3214"><v>3654128</v></cell><cell r="AG3214" t="str"><v>Facebook»Developers/ITPros-Azure Direct-Sponsored Post-Canvas-FBCTCcanvaspage-BuyNowCTA-Img3_FBCTCBrandinMotion_FRA_14sec»1x1»Canvas»SOC»ALL»CPC»BT»D»UNK»SS»NA»Trials</v></cell><cell r="AH3214"><v>224416918</v></cell><cell r="AI3214" t="str"><v>AZR_FBCTCcanvaspage-BuyNowCTA-Img3_FRA_1080x162_SOC_AZRDirect_French_NA_Facebook_SBAN_BN_T3_1</v></cell><cell r="AJ3214"><v>103256571</v></cell></row><row r="3215"><cell r="C3215" t="str"><v>43304Facebook»Developers/ITPros-Azure Direct-Sponsored Post-Canvas-FBCTCcanvaspage-StartFreeCTA-Img2_FBCTCBasicMotion_FRA_10sec»1x1»Canvas»SOC»ALL»CPC»BT»D»UNK»SS»NA»Trials</v></cell><cell r="D3215" t="str"><v>43304224560884</v></cell><cell r="E3215" t="str"><v>43304103259958Trials</v></cell><cell r="F3215" t="str"><v>DCM</v></cell><cell r="G3215" t="str"><v>https://signup.azure.com/signup?offer=ms-azr-0044p&appId=102&ref=paidmedia-social-fb&redirectURL=https%3a%2f%2fazure.microsoft.com%2ffr-fr%2fget-started%2fwelcome-to-azure%2f&l=fr-fr&correlationId=ead86c34-1f10-49dd-a72b-6918462a2cbf</v></cell></row><row r="3215"><cell r="K3215" t="str"><v>July</v></cell><cell r="L3215"><v>43309</v></cell><cell r="M3215" t="str"><v>Tier 1</v></cell><cell r="N3215" t="str"><v>EMEA</v></cell><cell r="O3215" t="str"><v>France</v></cell><cell r="P3215" t="str"><v>Trial</v></cell><cell r="Q3215" t="str"><v>Social</v></cell><cell r="R3215" t="str"><v>Azure</v></cell><cell r="S3215" t="str"><v>Apps & Infra</v></cell><cell r="T3215" t="str"><v>Developers & ITI's</v></cell><cell r="U3215" t="str"><v>Developers/ITPros-Azure Direct-Sponsored Post-Canvas-FBCTCcanvaspage-StartFreeCTA-Img2_FBCTCBasicMotion_FRA_10sec</v></cell><cell r="V3215" t="str"><v>Behavioral Targeting</v></cell><cell r="W3215" t="str"><v>Social</v></cell><cell r="X3215" t="str"><v>1x1</v></cell></row><row r="3215"><cell r="AA3215"><v>43304</v></cell><cell r="AB3215" t="str"><v>FRA_gaPMG_AZR_AZR_Q1_19_AzureDirect-Trial-Social</v></cell><cell r="AC3215"><v>21356941</v></cell><cell r="AD3215"><v>720193</v></cell><cell r="AE3215" t="str"><v>Facebook</v></cell><cell r="AF3215"><v>3654128</v></cell><cell r="AG3215" t="str"><v>Facebook»Developers/ITPros-Azure Direct-Sponsored Post-Canvas-FBCTCcanvaspage-StartFreeCTA-Img2_FBCTCBasicMotion_FRA_10sec»1x1»Canvas»SOC»ALL»CPC»BT»D»UNK»SS»NA»Trials</v></cell><cell r="AH3215"><v>224560884</v></cell><cell r="AI3215" t="str"><v>AZR_FBCTCcanvaspage-StartFreeCTA-Img2_FRA_1080x143_SOC_AZRDirect_French_NA_Facebook_SBAN_BN_T2_1</v></cell><cell r="AJ3215"><v>103259958</v></cell></row><row r="3216"><cell r="C3216" t="str"><v>43304Facebook»Developers/ITPros-Azure Direct-Sponsored Post-Canvas-FBCTCcanvaspage-StartFreeCTA-Img2_FBCTCBrandinMotion_FRA_14sec»1x1»Canvas»SOC»ALL»CPC»BT»D»UNK»SS»NA»Trials</v></cell><cell r="D3216" t="str"><v>43304224560872</v></cell><cell r="E3216" t="str"><v>43304103259958Trials</v></cell><cell r="F3216" t="str"><v>DCM</v></cell><cell r="G3216" t="str"><v>https://signup.azure.com/signup?offer=ms-azr-0044p&appId=102&ref=paidmedia-social-fb&redirectURL=https%3a%2f%2fazure.microsoft.com%2ffr-fr%2fget-started%2fwelcome-to-azure%2f&l=fr-fr&correlationId=ead86c34-1f10-49dd-a72b-6918462a2cbf</v></cell></row><row r="3216"><cell r="K3216" t="str"><v>July</v></cell><cell r="L3216"><v>43309</v></cell><cell r="M3216" t="str"><v>Tier 1</v></cell><cell r="N3216" t="str"><v>EMEA</v></cell><cell r="O3216" t="str"><v>France</v></cell><cell r="P3216" t="str"><v>Trial</v></cell><cell r="Q3216" t="str"><v>Social</v></cell><cell r="R3216" t="str"><v>Azure</v></cell><cell r="S3216" t="str"><v>Apps & Infra</v></cell><cell r="T3216" t="str"><v>Developers & ITI's</v></cell><cell r="U3216" t="str"><v>Developers/ITPros-Azure Direct-Sponsored Post-Canvas-FBCTCcanvaspage-StartFreeCTA-Img2_FBCTCBrandinMotion_FRA_14sec</v></cell><cell r="V3216" t="str"><v>Behavioral Targeting</v></cell><cell r="W3216" t="str"><v>Social</v></cell><cell r="X3216" t="str"><v>1x1</v></cell></row><row r="3216"><cell r="AA3216"><v>43304</v></cell><cell r="AB3216" t="str"><v>FRA_gaPMG_AZR_AZR_Q1_19_AzureDirect-Trial-Social</v></cell><cell r="AC3216"><v>21356941</v></cell><cell r="AD3216"><v>720193</v></cell><cell r="AE3216" t="str"><v>Facebook</v></cell><cell r="AF3216"><v>3654128</v></cell><cell r="AG3216" t="str"><v>Facebook»Developers/ITPros-Azure Direct-Sponsored Post-Canvas-FBCTCcanvaspage-StartFreeCTA-Img2_FBCTCBrandinMotion_FRA_14sec»1x1»Canvas»SOC»ALL»CPC»BT»D»UNK»SS»NA»Trials</v></cell><cell r="AH3216"><v>224560872</v></cell><cell r="AI3216" t="str"><v>AZR_FBCTCcanvaspage-StartFreeCTA-Img2_FRA_1080x143_SOC_AZRDirect_French_NA_Facebook_SBAN_BN_T2_1</v></cell><cell r="AJ3216"><v>103259958</v></cell></row><row r="3217"><cell r="C3217" t="str"><v>43304Facebook»Developers/ITPros-Azure Direct-Sponsored Post-Link Ad-FreeAcctRetargetingFB-GlobalAlt-ChB»1x1»SocialBan»SOC»ALL»CPC»BT»D»UNK»SS»NA»Trials</v></cell><cell r="D3217" t="str"><v>43304224560845</v></cell><cell r="E3217" t="str"><v>43304103259520Trials</v></cell><cell r="F3217" t="str"><v>DCM</v></cell><cell r="G3217" t="str"><v>https://azure.microsoft.com/fr-fr/free/search/</v></cell></row><row r="3217"><cell r="K3217" t="str"><v>July</v></cell><cell r="L3217"><v>43309</v></cell><cell r="M3217" t="str"><v>Tier 1</v></cell><cell r="N3217" t="str"><v>EMEA</v></cell><cell r="O3217" t="str"><v>France</v></cell><cell r="P3217" t="str"><v>Trial</v></cell><cell r="Q3217" t="str"><v>Social</v></cell><cell r="R3217" t="str"><v>Azure</v></cell><cell r="S3217" t="str"><v>Apps & Infra</v></cell><cell r="T3217" t="str"><v>Developers & ITI's</v></cell><cell r="U3217" t="str"><v>Developers/ITPros-Azure Direct-Sponsored Post-Link Ad-FreeAcctRetargetingFB-GlobalAlt-ChB</v></cell><cell r="V3217" t="str"><v>Behavioral Targeting</v></cell><cell r="W3217" t="str"><v>Social</v></cell><cell r="X3217" t="str"><v>1x1</v></cell></row><row r="3217"><cell r="AA3217"><v>43304</v></cell><cell r="AB3217" t="str"><v>FRA_gaPMG_AZR_AZR_Q1_19_AzureDirect-Trial-Social</v></cell><cell r="AC3217"><v>21356941</v></cell><cell r="AD3217"><v>720193</v></cell><cell r="AE3217" t="str"><v>Facebook</v></cell><cell r="AF3217"><v>3654128</v></cell><cell r="AG3217" t="str"><v>Facebook»Developers/ITPros-Azure Direct-Sponsored Post-Link Ad-FreeAcctRetargetingFB-GlobalAlt-ChB»1x1»SocialBan»SOC»ALL»CPC»BT»D»UNK»SS»NA»Trials</v></cell><cell r="AH3217"><v>224560845</v></cell><cell r="AI3217" t="str"><v>AZR_FreeAcctRetargetingFB-GlobalAlt-ChB_FRA_1200x628_SOC_AZRDirect_French_NA_Facebook_SBAN_SINU_T2_1</v></cell><cell r="AJ3217"><v>103259520</v></cell></row><row r="3218"><cell r="C3218" t="str"><v>43304Facebook»Developers/ITPros-Azure Direct-Sponsored Post-Link Ad-FreeAcctRetargetingOSSFB-Text-ChF»1x1»SocialBan»SOC»ALL»CPC»BT»D»UNK»SS»NA»Trials</v></cell><cell r="D3218" t="str"><v>43304224560839</v></cell><cell r="E3218" t="str"><v>43304103257810Trials</v></cell><cell r="F3218" t="str"><v>DCM</v></cell><cell r="G3218" t="str"><v>https://azure.microsoft.com/fr-fr/free/open-source/search/</v></cell></row><row r="3218"><cell r="K3218" t="str"><v>July</v></cell><cell r="L3218"><v>43309</v></cell><cell r="M3218" t="str"><v>Tier 1</v></cell><cell r="N3218" t="str"><v>EMEA</v></cell><cell r="O3218" t="str"><v>France</v></cell><cell r="P3218" t="str"><v>Trial</v></cell><cell r="Q3218" t="str"><v>Social</v></cell><cell r="R3218" t="str"><v>Azure</v></cell><cell r="S3218" t="str"><v>Apps & Infra</v></cell><cell r="T3218" t="str"><v>Developers & ITI's</v></cell><cell r="U3218" t="str"><v>Developers/ITPros-Azure Direct-Sponsored Post-Link Ad-FreeAcctRetargetingOSSFB-Text-ChF</v></cell><cell r="V3218" t="str"><v>Behavioral Targeting</v></cell><cell r="W3218" t="str"><v>Social</v></cell><cell r="X3218" t="str"><v>1x1</v></cell></row><row r="3218"><cell r="AA3218"><v>43304</v></cell><cell r="AB3218" t="str"><v>FRA_gaPMG_AZR_AZR_Q1_19_AzureDirect-Trial-Social</v></cell><cell r="AC3218"><v>21356941</v></cell><cell r="AD3218"><v>720193</v></cell><cell r="AE3218" t="str"><v>Facebook</v></cell><cell r="AF3218"><v>3654128</v></cell><cell r="AG3218" t="str"><v>Facebook»Developers/ITPros-Azure Direct-Sponsored Post-Link Ad-FreeAcctRetargetingOSSFB-Text-ChF»1x1»SocialBan»SOC»ALL»CPC»BT»D»UNK»SS»NA»Trials</v></cell><cell r="AH3218"><v>224560839</v></cell><cell r="AI3218" t="str"><v>AZR_FreeAcctRetargetingOSSFB-Text-ChF_FRA_1200x628_SOC_AZRDirect_French_NA_Facebook_SBAN_SINU_T1_1</v></cell><cell r="AJ3218"><v>103257810</v></cell></row><row r="3219"><cell r="C3219" t="str"><v>43304Facebook»Developers/ITPros-Azure Direct-Sponsored Post-Link Ad-FreeAcctRetargetingVMFB-750Hrs-ChD»1x1»SocialBan»SOC»ALL»CPC»BT»D»UNK»SS»NA»Trials</v></cell><cell r="D3219" t="str"><v>43304224560836</v></cell><cell r="E3219" t="str"><v>43304103259010Trials</v></cell><cell r="F3219" t="str"><v>DCM</v></cell><cell r="G3219" t="str"><v>https://azure.microsoft.com/fr-fr/free/virtual-machines/search/</v></cell></row><row r="3219"><cell r="K3219" t="str"><v>July</v></cell><cell r="L3219"><v>43309</v></cell><cell r="M3219" t="str"><v>Tier 1</v></cell><cell r="N3219" t="str"><v>EMEA</v></cell><cell r="O3219" t="str"><v>France</v></cell><cell r="P3219" t="str"><v>Trial</v></cell><cell r="Q3219" t="str"><v>Social</v></cell><cell r="R3219" t="str"><v>Azure</v></cell><cell r="S3219" t="str"><v>Apps & Infra</v></cell><cell r="T3219" t="str"><v>Developers & ITI's</v></cell><cell r="U3219" t="str"><v>Developers/ITPros-Azure Direct-Sponsored Post-Link Ad-FreeAcctRetargetingVMFB-750Hrs-ChD</v></cell><cell r="V3219" t="str"><v>Behavioral Targeting</v></cell><cell r="W3219" t="str"><v>Social</v></cell><cell r="X3219" t="str"><v>1x1</v></cell></row><row r="3219"><cell r="AA3219"><v>43304</v></cell><cell r="AB3219" t="str"><v>FRA_gaPMG_AZR_AZR_Q1_19_AzureDirect-Trial-Social</v></cell><cell r="AC3219"><v>21356941</v></cell><cell r="AD3219"><v>720193</v></cell><cell r="AE3219" t="str"><v>Facebook</v></cell><cell r="AF3219"><v>3654128</v></cell><cell r="AG3219" t="str"><v>Facebook»Developers/ITPros-Azure Direct-Sponsored Post-Link Ad-FreeAcctRetargetingVMFB-750Hrs-ChD»1x1»SocialBan»SOC»ALL»CPC»BT»D»UNK»SS»NA»Trials</v></cell><cell r="AH3219"><v>224560836</v></cell><cell r="AI3219" t="str"><v>AZR_FreeAcctRetargetingVMFB-750Hrs-ChD_FRA_1200x628_SOC_AZRDirect_French_NA_Facebook_SBAN_SINU_T1_1</v></cell><cell r="AJ3219"><v>103259010</v></cell></row><row r="3220"><cell r="C3220" t="str"><v>43304Facebook»Developers/ITPros-Azure Direct-Sponsored Post-Video Ad-FBCTCBasicMotion_FRA_10s_RTG Landing Page»1x1»05s»SOC»ALL»CPC»BT»D»UNK»SS»NA»Trials</v></cell><cell r="D3220" t="str"><v>43304224416915</v></cell><cell r="E3220" t="str"><v>43304103376981Trials</v></cell><cell r="F3220" t="str"><v>DCM</v></cell></row><row r="3220"><cell r="K3220" t="str"><v>July</v></cell><cell r="L3220"><v>43309</v></cell><cell r="M3220" t="str"><v>Tier 1</v></cell><cell r="N3220" t="str"><v>EMEA</v></cell><cell r="O3220" t="str"><v>France</v></cell><cell r="P3220" t="str"><v>Trial</v></cell><cell r="Q3220" t="str"><v>Social</v></cell><cell r="R3220" t="str"><v>Azure</v></cell><cell r="S3220" t="str"><v>Apps & Infra</v></cell><cell r="T3220" t="str"><v>Developers & ITI's</v></cell><cell r="U3220" t="str"><v>Developers/ITPros-Azure Direct-Sponsored Post-Video Ad-FBCTCBasicMotion_FRA_10s_RTG Landing Page</v></cell><cell r="V3220" t="str"><v>Behavioral Targeting</v></cell><cell r="W3220" t="str"><v>Social</v></cell><cell r="X3220" t="str"><v>1x1</v></cell></row><row r="3220"><cell r="AA3220"><v>43304</v></cell><cell r="AB3220" t="str"><v>FRA_gaPMG_AZR_AZR_Q1_19_AzureDirect-Trial-Social</v></cell><cell r="AC3220"><v>21356941</v></cell><cell r="AD3220"><v>720193</v></cell><cell r="AE3220" t="str"><v>Facebook</v></cell><cell r="AF3220"><v>3654128</v></cell><cell r="AG3220" t="str"><v>Facebook»Developers/ITPros-Azure Direct-Sponsored Post-Video Ad-FBCTCBasicMotion_FRA_10s_RTG Landing Page»1x1»05s»SOC»ALL»CPC»BT»D»UNK»SS»NA»Trials</v></cell><cell r="AH3220"><v>224416915</v></cell><cell r="AI3220" t="str"><v>AZR_FBCTCBasicMotion_FRA_10s_VIA_AZRDirect_French_NA_Facebook_STAN_TIN_T1_1</v></cell><cell r="AJ3220"><v>103376981</v></cell></row><row r="3221"><cell r="C3221" t="str"><v>43304Facebook»Developers/ITPros-Azure Direct-Sponsored Post-Video Ad-FBCTCBenefit2inMotion_FRA_14s_RTG Landing Page»1x1»06s»SOC»ALL»CPC»BT»D»UNK»SS»NA»Trials</v></cell><cell r="D3221" t="str"><v>43304224560875</v></cell><cell r="E3221" t="str"><v>43304103259766Trials</v></cell><cell r="F3221" t="str"><v>DCM</v></cell><cell r="G3221" t="str"><v>https://signup.azure.com/signup?offer=ms-azr-0044p&appId=102&ref=paidmedia-social-fb&redirectURL=https:%2F%2Fazure.microsoft.com%2Ffr-fr%2Fget-started%2Fwelcome-to-azure%2F&l=fr-fr&correlationId=ead86c34-1f10-49dd-a72b-6918462a2cbf</v></cell></row><row r="3221"><cell r="K3221" t="str"><v>July</v></cell><cell r="L3221"><v>43309</v></cell><cell r="M3221" t="str"><v>Tier 1</v></cell><cell r="N3221" t="str"><v>EMEA</v></cell><cell r="O3221" t="str"><v>France</v></cell><cell r="P3221" t="str"><v>Trial</v></cell><cell r="Q3221" t="str"><v>Social</v></cell><cell r="R3221" t="str"><v>Azure</v></cell><cell r="S3221" t="str"><v>Apps & Infra</v></cell><cell r="T3221" t="str"><v>Developers & ITI's</v></cell><cell r="U3221" t="str"><v>Developers/ITPros-Azure Direct-Sponsored Post-Video Ad-FBCTCBenefit2inMotion_FRA_14s_RTG Landing Page</v></cell><cell r="V3221" t="str"><v>Behavioral Targeting</v></cell><cell r="W3221" t="str"><v>Social</v></cell><cell r="X3221" t="str"><v>1x1</v></cell></row><row r="3221"><cell r="AA3221"><v>43304</v></cell><cell r="AB3221" t="str"><v>FRA_gaPMG_AZR_AZR_Q1_19_AzureDirect-Trial-Social</v></cell><cell r="AC3221"><v>21356941</v></cell><cell r="AD3221"><v>720193</v></cell><cell r="AE3221" t="str"><v>Facebook</v></cell><cell r="AF3221"><v>3654128</v></cell><cell r="AG3221" t="str"><v>Facebook»Developers/ITPros-Azure Direct-Sponsored Post-Video Ad-FBCTCBenefit2inMotion_FRA_14s_RTG Landing Page»1x1»06s»SOC»ALL»CPC»BT»D»UNK»SS»NA»Trials</v></cell><cell r="AH3221"><v>224560875</v></cell><cell r="AI3221" t="str"><v>AZR_FBCTCBenefit2inMotion_FRA_14s_VIA_AZRDirect_French_NA_Facebook_STAN_TIN_T4_1</v></cell><cell r="AJ3221"><v>103259766</v></cell></row><row r="3222"><cell r="C3222" t="str"><v>43304Facebook»Developers/ITPros-Azure Direct-Sponsored Post-Video Ad-FBCTCBrandinMotion_FRA_12s_RTG Landing Page»1x1»05s»SOC»ALL»CPC»BT»D»UNK»SS»NA»Trials</v></cell><cell r="D3222" t="str"><v>43304224560863</v></cell><cell r="E3222" t="str"><v>43304103256577Trials</v></cell><cell r="F3222" t="str"><v>DCM</v></cell></row><row r="3222"><cell r="K3222" t="str"><v>July</v></cell><cell r="L3222"><v>43309</v></cell><cell r="M3222" t="str"><v>Tier 1</v></cell><cell r="N3222" t="str"><v>EMEA</v></cell><cell r="O3222" t="str"><v>France</v></cell><cell r="P3222" t="str"><v>Trial</v></cell><cell r="Q3222" t="str"><v>Social</v></cell><cell r="R3222" t="str"><v>Azure</v></cell><cell r="S3222" t="str"><v>Apps & Infra</v></cell><cell r="T3222" t="str"><v>Developers & ITI's</v></cell><cell r="U3222" t="str"><v>Developers/ITPros-Azure Direct-Sponsored Post-Video Ad-FBCTCBrandinMotion_FRA_12s_RTG Landing Page</v></cell><cell r="V3222" t="str"><v>Behavioral Targeting</v></cell><cell r="W3222" t="str"><v>Social</v></cell><cell r="X3222" t="str"><v>1x1</v></cell></row><row r="3222"><cell r="AA3222"><v>43304</v></cell><cell r="AB3222" t="str"><v>FRA_gaPMG_AZR_AZR_Q1_19_AzureDirect-Trial-Social</v></cell><cell r="AC3222"><v>21356941</v></cell><cell r="AD3222"><v>720193</v></cell><cell r="AE3222" t="str"><v>Facebook</v></cell><cell r="AF3222"><v>3654128</v></cell><cell r="AG3222" t="str"><v>Facebook»Developers/ITPros-Azure Direct-Sponsored Post-Video Ad-FBCTCBrandinMotion_FRA_12s_RTG Landing Page»1x1»05s»SOC»ALL»CPC»BT»D»UNK»SS»NA»Trials</v></cell><cell r="AH3222"><v>224560863</v></cell><cell r="AI3222" t="str"><v>AZR_FBCTCBrandinMotion_FRA_12s_VIA_AZRDirect_French_NA_Facebook_STAN_TIN_T2_1</v></cell><cell r="AJ3222"><v>103256577</v></cell></row><row r="3223"><cell r="C3223" t="str"><v>43304Facebook»Developers/ITPros-Azure Direct-Sponsored Post-Canvas-FBCTCcanvaspage-BuyNowCTA-Img3_FBCTCBrandinMotion_FRA_12sec»1x1»Canvas»SOC»ALL»CPC»BT»D»UNK»SS»NA»Trials</v></cell><cell r="D3223" t="str"><v>43304224416924</v></cell><cell r="E3223" t="str"><v>43304103256571Trials</v></cell><cell r="F3223" t="str"><v>DCM</v></cell><cell r="G3223" t="str"><v>https://azure.microsoft.com/fr-fr/pricing/purchase-options/</v></cell></row><row r="3223"><cell r="K3223" t="str"><v>July</v></cell><cell r="L3223"><v>43309</v></cell><cell r="M3223" t="str"><v>Tier 1</v></cell><cell r="N3223" t="str"><v>EMEA</v></cell><cell r="O3223" t="str"><v>France</v></cell><cell r="P3223" t="str"><v>Trial</v></cell><cell r="Q3223" t="str"><v>Social</v></cell><cell r="R3223" t="str"><v>Azure</v></cell><cell r="S3223" t="str"><v>Apps & Infra</v></cell><cell r="T3223" t="str"><v>Developers & ITI's</v></cell><cell r="U3223" t="str"><v>Developers/ITPros-Azure Direct-Sponsored Post-Canvas-FBCTCcanvaspage-BuyNowCTA-Img3_FBCTCBrandinMotion_FRA_12sec</v></cell><cell r="V3223" t="str"><v>Behavioral Targeting</v></cell><cell r="W3223" t="str"><v>Social</v></cell><cell r="X3223" t="str"><v>1x1</v></cell></row><row r="3223"><cell r="AA3223"><v>43304</v></cell><cell r="AB3223" t="str"><v>FRA_gaPMG_AZR_AZR_Q1_19_AzureDirect-Trial-Social</v></cell><cell r="AC3223"><v>21356941</v></cell><cell r="AD3223"><v>720193</v></cell><cell r="AE3223" t="str"><v>Facebook</v></cell><cell r="AF3223"><v>3654128</v></cell><cell r="AG3223" t="str"><v>Facebook»Developers/ITPros-Azure Direct-Sponsored Post-Canvas-FBCTCcanvaspage-BuyNowCTA-Img3_FBCTCBrandinMotion_FRA_12sec»1x1»Canvas»SOC»ALL»CPC»BT»D»UNK»SS»NA»Trials</v></cell><cell r="AH3223"><v>224416924</v></cell><cell r="AI3223" t="str"><v>AZR_FBCTCcanvaspage-BuyNowCTA-Img3_FRA_1080x162_SOC_AZRDirect_French_NA_Facebook_SBAN_BN_T3_1</v></cell><cell r="AJ3223"><v>103256571</v></cell></row><row r="3224"><cell r="C3224" t="str"><v>43304Facebook»Developers/ITPros-Azure Direct-Sponsored Post-Link Ad-FreeAcctAppsFACEBOOK12monthsChE»1x1»SocialBan»SOC»ALL»CPC»BT»D»UNK»SS»NA»Trials</v></cell><cell r="D3224" t="str"><v>43304224560866</v></cell><cell r="E3224" t="str"><v>43304103259784Trials</v></cell><cell r="F3224" t="str"><v>DCM</v></cell><cell r="G3224" t="str"><v>https://azure.microsoft.com/fr-fr/free/search/</v></cell></row><row r="3224"><cell r="K3224" t="str"><v>July</v></cell><cell r="L3224"><v>43309</v></cell><cell r="M3224" t="str"><v>Tier 1</v></cell><cell r="N3224" t="str"><v>EMEA</v></cell><cell r="O3224" t="str"><v>France</v></cell><cell r="P3224" t="str"><v>Trial</v></cell><cell r="Q3224" t="str"><v>Social</v></cell><cell r="R3224" t="str"><v>Azure</v></cell><cell r="S3224" t="str"><v>Apps & Infra</v></cell><cell r="T3224" t="str"><v>Developers & ITI's</v></cell><cell r="U3224" t="str"><v>Developers/ITPros-Azure Direct-Sponsored Post-Link Ad-FreeAcctAppsFACEBOOK12monthsChE</v></cell><cell r="V3224" t="str"><v>Behavioral Targeting</v></cell><cell r="W3224" t="str"><v>Social</v></cell><cell r="X3224" t="str"><v>1x1</v></cell></row><row r="3224"><cell r="AA3224"><v>43304</v></cell><cell r="AB3224" t="str"><v>FRA_gaPMG_AZR_AZR_Q1_19_AzureDirect-Trial-Social</v></cell><cell r="AC3224"><v>21356941</v></cell><cell r="AD3224"><v>720193</v></cell><cell r="AE3224" t="str"><v>Facebook</v></cell><cell r="AF3224"><v>3654128</v></cell><cell r="AG3224" t="str"><v>Facebook»Developers/ITPros-Azure Direct-Sponsored Post-Link Ad-FreeAcctAppsFACEBOOK12monthsChE»1x1»SocialBan»SOC»ALL»CPC»BT»D»UNK»SS»NA»Trials</v></cell><cell r="AH3224"><v>224560866</v></cell><cell r="AI3224" t="str"><v>AZR_FreeAcctAppsFACEBOOK12monthsChE_FRA_1200x628_SOC_PLAT_FR_Trial_Standard_NA_SINU_T5_1</v></cell><cell r="AJ3224"><v>103259784</v></cell></row><row r="3225"><cell r="C3225" t="str"><v>43304Facebook»Developers/ITPros-Azure Direct-Sponsored Post-Link Ad-FreeAcctAppsFACEBOOK200CreditChD»1x1»SocialBan»SOC»ALL»CPC»BT»D»UNK»SS»NA»Trials</v></cell><cell r="D3225" t="str"><v>43304224560860</v></cell><cell r="E3225" t="str"><v>43304103377773Trials</v></cell><cell r="F3225" t="str"><v>DCM</v></cell><cell r="G3225" t="str"><v>https://azure.microsoft.com/fr-fr/free/search/</v></cell></row><row r="3225"><cell r="K3225" t="str"><v>July</v></cell><cell r="L3225"><v>43309</v></cell><cell r="M3225" t="str"><v>Tier 1</v></cell><cell r="N3225" t="str"><v>EMEA</v></cell><cell r="O3225" t="str"><v>France</v></cell><cell r="P3225" t="str"><v>Trial</v></cell><cell r="Q3225" t="str"><v>Social</v></cell><cell r="R3225" t="str"><v>Azure</v></cell><cell r="S3225" t="str"><v>Apps & Infra</v></cell><cell r="T3225" t="str"><v>Developers & ITI's</v></cell><cell r="U3225" t="str"><v>Developers/ITPros-Azure Direct-Sponsored Post-Link Ad-FreeAcctAppsFACEBOOK200CreditChD</v></cell><cell r="V3225" t="str"><v>Behavioral Targeting</v></cell><cell r="W3225" t="str"><v>Social</v></cell><cell r="X3225" t="str"><v>1x1</v></cell></row><row r="3225"><cell r="AA3225"><v>43304</v></cell><cell r="AB3225" t="str"><v>FRA_gaPMG_AZR_AZR_Q1_19_AzureDirect-Trial-Social</v></cell><cell r="AC3225"><v>21356941</v></cell><cell r="AD3225"><v>720193</v></cell><cell r="AE3225" t="str"><v>Facebook</v></cell><cell r="AF3225"><v>3654128</v></cell><cell r="AG3225" t="str"><v>Facebook»Developers/ITPros-Azure Direct-Sponsored Post-Link Ad-FreeAcctAppsFACEBOOK200CreditChD»1x1»SocialBan»SOC»ALL»CPC»BT»D»UNK»SS»NA»Trials</v></cell><cell r="AH3225"><v>224560860</v></cell><cell r="AI3225" t="str"><v>AZR_FreeAcctAppsFACEBOOK200CreditChD_FRA_1200x628_SOC_PLAT_FR_Trial_Standard_NA_SINU_T4_1</v></cell><cell r="AJ3225"><v>103377773</v></cell></row><row r="3226"><cell r="C3226" t="str"><v>43304Facebook»Developers/ITPros-Azure Direct-Sponsored Post-Link Ad-FreeAcctAppsFACEBOOKDeviceChB»1x1»SocialBan»SOC»ALL»CPC»AUT»D»UNK»SS»NA»Trials</v></cell><cell r="D3226" t="str"><v>43304224560857</v></cell><cell r="E3226" t="str"><v>43304103377002Trials</v></cell><cell r="F3226" t="str"><v>DCM</v></cell><cell r="G3226" t="str"><v>https://azure.microsoft.com/fr-fr/free/search/</v></cell></row><row r="3226"><cell r="K3226" t="str"><v>July</v></cell><cell r="L3226"><v>43309</v></cell><cell r="M3226" t="str"><v>Tier 1</v></cell><cell r="N3226" t="str"><v>EMEA</v></cell><cell r="O3226" t="str"><v>France</v></cell><cell r="P3226" t="str"><v>Trial</v></cell><cell r="Q3226" t="str"><v>Social</v></cell><cell r="R3226" t="str"><v>Azure</v></cell><cell r="S3226" t="str"><v>Apps & Infra</v></cell><cell r="T3226" t="str"><v>Developers & ITI's</v></cell><cell r="U3226" t="str"><v>Developers/ITPros-Azure Direct-Sponsored Post-Link Ad-FreeAcctAppsFACEBOOKDeviceChB</v></cell><cell r="V3226" t="str"><v>Audience Targeting</v></cell><cell r="W3226" t="str"><v>Social</v></cell><cell r="X3226" t="str"><v>1x1</v></cell></row><row r="3226"><cell r="AA3226"><v>43304</v></cell><cell r="AB3226" t="str"><v>FRA_gaPMG_AZR_AZR_Q1_19_AzureDirect-Trial-Social</v></cell><cell r="AC3226"><v>21356941</v></cell><cell r="AD3226"><v>720193</v></cell><cell r="AE3226" t="str"><v>Facebook</v></cell><cell r="AF3226"><v>3654128</v></cell><cell r="AG3226" t="str"><v>Facebook»Developers/ITPros-Azure Direct-Sponsored Post-Link Ad-FreeAcctAppsFACEBOOKDeviceChB»1x1»SocialBan»SOC»ALL»CPC»AUT»D»UNK»SS»NA»Trials</v></cell><cell r="AH3226"><v>224560857</v></cell><cell r="AI3226" t="str"><v>AZR_FreeAcctAppsFACEBOOKDeviceChB_FRA_1200x628_SOC_PLAT_FR_Trial_Standard_NA_SINU_T2_1</v></cell><cell r="AJ3226"><v>103377002</v></cell></row><row r="3227"><cell r="C3227" t="str"><v>43304Facebook»Developers/ITPros-Azure Direct-Sponsored Post-Link Ad-FreeAcctAppsFACEBOOKIllustrationChC»1x1»SocialBan»SOC»ALL»CPC»AUT»D»UNK»SS»NA»Trials</v></cell><cell r="D3227" t="str"><v>43304224560854</v></cell><cell r="E3227" t="str"><v>43304103259550Trials</v></cell><cell r="F3227" t="str"><v>DCM</v></cell><cell r="G3227" t="str"><v>https://azure.microsoft.com/fr-fr/free/search/</v></cell></row><row r="3227"><cell r="K3227" t="str"><v>July</v></cell><cell r="L3227"><v>43309</v></cell><cell r="M3227" t="str"><v>Tier 1</v></cell><cell r="N3227" t="str"><v>EMEA</v></cell><cell r="O3227" t="str"><v>France</v></cell><cell r="P3227" t="str"><v>Trial</v></cell><cell r="Q3227" t="str"><v>Social</v></cell><cell r="R3227" t="str"><v>Azure</v></cell><cell r="S3227" t="str"><v>Apps & Infra</v></cell><cell r="T3227" t="str"><v>Developers & ITI's</v></cell><cell r="U3227" t="str"><v>Developers/ITPros-Azure Direct-Sponsored Post-Link Ad-FreeAcctAppsFACEBOOKIllustrationChC</v></cell><cell r="V3227" t="str"><v>Audience Targeting</v></cell><cell r="W3227" t="str"><v>Social</v></cell><cell r="X3227" t="str"><v>1x1</v></cell></row><row r="3227"><cell r="AA3227"><v>43304</v></cell><cell r="AB3227" t="str"><v>FRA_gaPMG_AZR_AZR_Q1_19_AzureDirect-Trial-Social</v></cell><cell r="AC3227"><v>21356941</v></cell><cell r="AD3227"><v>720193</v></cell><cell r="AE3227" t="str"><v>Facebook</v></cell><cell r="AF3227"><v>3654128</v></cell><cell r="AG3227" t="str"><v>Facebook»Developers/ITPros-Azure Direct-Sponsored Post-Link Ad-FreeAcctAppsFACEBOOKIllustrationChC»1x1»SocialBan»SOC»ALL»CPC»AUT»D»UNK»SS»NA»Trials</v></cell><cell r="AH3227"><v>224560854</v></cell><cell r="AI3227" t="str"><v>AZR_FreeAcctAppsFACEBOOKIllustrationChC_FRA_1200x628_SOC_PLAT_FR_Trial_Standard_NA_SINU_T3_1</v></cell><cell r="AJ3227"><v>103259550</v></cell></row><row r="3228"><cell r="C3228" t="str"><v>43304Facebook»Developers/ITPros-Azure Direct-Sponsored Post-Link Ad-FreeAcctAppsFACEBOOKLifestyleChA»1x1»SocialBan»SOC»ALL»CPC»AUT»D»UNK»SS»NA»Trials</v></cell><cell r="D3228" t="str"><v>43304224560851</v></cell><cell r="E3228" t="str"><v>43304103259562Trials</v></cell><cell r="F3228" t="str"><v>DCM</v></cell><cell r="G3228" t="str"><v>https://azure.microsoft.com/fr-fr/free/search/</v></cell></row><row r="3228"><cell r="K3228" t="str"><v>July</v></cell><cell r="L3228"><v>43309</v></cell><cell r="M3228" t="str"><v>Tier 1</v></cell><cell r="N3228" t="str"><v>EMEA</v></cell><cell r="O3228" t="str"><v>France</v></cell><cell r="P3228" t="str"><v>Trial</v></cell><cell r="Q3228" t="str"><v>Social</v></cell><cell r="R3228" t="str"><v>Azure</v></cell><cell r="S3228" t="str"><v>Apps & Infra</v></cell><cell r="T3228" t="str"><v>Developers & ITI's</v></cell><cell r="U3228" t="str"><v>Developers/ITPros-Azure Direct-Sponsored Post-Link Ad-FreeAcctAppsFACEBOOKLifestyleChA</v></cell><cell r="V3228" t="str"><v>Audience Targeting</v></cell><cell r="W3228" t="str"><v>Social</v></cell><cell r="X3228" t="str"><v>1x1</v></cell></row><row r="3228"><cell r="AA3228"><v>43304</v></cell><cell r="AB3228" t="str"><v>FRA_gaPMG_AZR_AZR_Q1_19_AzureDirect-Trial-Social</v></cell><cell r="AC3228"><v>21356941</v></cell><cell r="AD3228"><v>720193</v></cell><cell r="AE3228" t="str"><v>Facebook</v></cell><cell r="AF3228"><v>3654128</v></cell><cell r="AG3228" t="str"><v>Facebook»Developers/ITPros-Azure Direct-Sponsored Post-Link Ad-FreeAcctAppsFACEBOOKLifestyleChA»1x1»SocialBan»SOC»ALL»CPC»AUT»D»UNK»SS»NA»Trials</v></cell><cell r="AH3228"><v>224560851</v></cell><cell r="AI3228" t="str"><v>AZR_FreeAcctAppsFACEBOOKLifestyleChA_FRA_1200x628_SOC_PLAT_FR_Trial_Standard_NA_SINU_T1_1</v></cell><cell r="AJ3228"><v>103259562</v></cell></row><row r="3229"><cell r="C3229" t="str"><v>43304Facebook»Developers/ITPros-Azure Direct-Sponsored Post-Link Ad-FreeAcctRetargetingFB-Animated-ChC»1x1»SocialBan»SOC»ALL»CPC»BT»D»UNK»SS»NA»Trials</v></cell><cell r="D3229" t="str"><v>43304224560848</v></cell><cell r="E3229" t="str"><v>43304103259775Trials</v></cell><cell r="F3229" t="str"><v>DCM</v></cell><cell r="G3229" t="str"><v>https://azure.microsoft.com/fr-fr/free/search/</v></cell></row><row r="3229"><cell r="K3229" t="str"><v>July</v></cell><cell r="L3229"><v>43309</v></cell><cell r="M3229" t="str"><v>Tier 1</v></cell><cell r="N3229" t="str"><v>EMEA</v></cell><cell r="O3229" t="str"><v>France</v></cell><cell r="P3229" t="str"><v>Trial</v></cell><cell r="Q3229" t="str"><v>Social</v></cell><cell r="R3229" t="str"><v>Azure</v></cell><cell r="S3229" t="str"><v>Apps & Infra</v></cell><cell r="T3229" t="str"><v>Developers & ITI's</v></cell><cell r="U3229" t="str"><v>Developers/ITPros-Azure Direct-Sponsored Post-Link Ad-FreeAcctRetargetingFB-Animated-ChC</v></cell><cell r="V3229" t="str"><v>Behavioral Targeting</v></cell><cell r="W3229" t="str"><v>Social</v></cell><cell r="X3229" t="str"><v>1x1</v></cell></row><row r="3229"><cell r="AA3229"><v>43304</v></cell><cell r="AB3229" t="str"><v>FRA_gaPMG_AZR_AZR_Q1_19_AzureDirect-Trial-Social</v></cell><cell r="AC3229"><v>21356941</v></cell><cell r="AD3229"><v>720193</v></cell><cell r="AE3229" t="str"><v>Facebook</v></cell><cell r="AF3229"><v>3654128</v></cell><cell r="AG3229" t="str"><v>Facebook»Developers/ITPros-Azure Direct-Sponsored Post-Link Ad-FreeAcctRetargetingFB-Animated-ChC»1x1»SocialBan»SOC»ALL»CPC»BT»D»UNK»SS»NA»Trials</v></cell><cell r="AH3229"><v>224560848</v></cell><cell r="AI3229" t="str"><v>AZR_reeAcctRetargetingFB-Animated-ChC_FRA_1200x628_SOC_AZRDirect_French_NA_Facebook_SBAN_SINU_T3_1</v></cell><cell r="AJ3229"><v>103259775</v></cell></row><row r="3230"><cell r="C3230" t="str"><v>43304Facebook»Developers/ITPros-Azure Direct-Sponsored Post-Link Ad-FreeAcctRetargetingOSSFB-Logos-ChG»1x1»SocialBan»SOC»ALL»CPC»BT»D»UNK»SS»NA»Trials</v></cell><cell r="D3230" t="str"><v>43304224560842</v></cell><cell r="E3230" t="str"><v>43304103259769Trials</v></cell><cell r="F3230" t="str"><v>DCM</v></cell><cell r="G3230" t="str"><v>https://azure.microsoft.com/fr-fr/free/open-source/search/</v></cell></row><row r="3230"><cell r="K3230" t="str"><v>July</v></cell><cell r="L3230"><v>43309</v></cell><cell r="M3230" t="str"><v>Tier 1</v></cell><cell r="N3230" t="str"><v>EMEA</v></cell><cell r="O3230" t="str"><v>France</v></cell><cell r="P3230" t="str"><v>Trial</v></cell><cell r="Q3230" t="str"><v>Social</v></cell><cell r="R3230" t="str"><v>Azure</v></cell><cell r="S3230" t="str"><v>Apps & Infra</v></cell><cell r="T3230" t="str"><v>Developers & ITI's</v></cell><cell r="U3230" t="str"><v>Developers/ITPros-Azure Direct-Sponsored Post-Link Ad-FreeAcctRetargetingOSSFB-Logos-ChG</v></cell><cell r="V3230" t="str"><v>Behavioral Targeting</v></cell><cell r="W3230" t="str"><v>Social</v></cell><cell r="X3230" t="str"><v>1x1</v></cell></row><row r="3230"><cell r="AA3230"><v>43304</v></cell><cell r="AB3230" t="str"><v>FRA_gaPMG_AZR_AZR_Q1_19_AzureDirect-Trial-Social</v></cell><cell r="AC3230"><v>21356941</v></cell><cell r="AD3230"><v>720193</v></cell><cell r="AE3230" t="str"><v>Facebook</v></cell><cell r="AF3230"><v>3654128</v></cell><cell r="AG3230" t="str"><v>Facebook»Developers/ITPros-Azure Direct-Sponsored Post-Link Ad-FreeAcctRetargetingOSSFB-Logos-ChG»1x1»SocialBan»SOC»ALL»CPC»BT»D»UNK»SS»NA»Trials</v></cell><cell r="AH3230"><v>224560842</v></cell><cell r="AI3230" t="str"><v>AZR_FreeAcctRetargetingOSSFB-Logos-ChG_FRA_1200x628_SOC_AZRDirect_French_NA_Facebook_SBAN_SINU_T2_1</v></cell><cell r="AJ3230"><v>103259769</v></cell></row><row r="3231"><cell r="C3231" t="str"><v>43304Facebook»Developers/ITPros-Azure Direct-Sponsored Post-Link Ad-FreeAcctRetargetingVMFB-OnDemand-ChE»1x1»SocialBan»SOC»ALL»CPC»BT»D»UNK»SS»NA»Trials</v></cell><cell r="D3231" t="str"><v>43304224560833</v></cell><cell r="E3231" t="str"><v>43304103376990Trials</v></cell><cell r="F3231" t="str"><v>DCM</v></cell><cell r="G3231" t="str"><v>https://azure.microsoft.com/fr-fr/free/virtual-machines/search/</v></cell></row><row r="3231"><cell r="K3231" t="str"><v>July</v></cell><cell r="L3231"><v>43309</v></cell><cell r="M3231" t="str"><v>Tier 1</v></cell><cell r="N3231" t="str"><v>EMEA</v></cell><cell r="O3231" t="str"><v>France</v></cell><cell r="P3231" t="str"><v>Trial</v></cell><cell r="Q3231" t="str"><v>Social</v></cell><cell r="R3231" t="str"><v>Azure</v></cell><cell r="S3231" t="str"><v>Apps & Infra</v></cell><cell r="T3231" t="str"><v>Developers & ITI's</v></cell><cell r="U3231" t="str"><v>Developers/ITPros-Azure Direct-Sponsored Post-Link Ad-FreeAcctRetargetingVMFB-OnDemand-ChE</v></cell><cell r="V3231" t="str"><v>Behavioral Targeting</v></cell><cell r="W3231" t="str"><v>Social</v></cell><cell r="X3231" t="str"><v>1x1</v></cell></row><row r="3231"><cell r="AA3231"><v>43304</v></cell><cell r="AB3231" t="str"><v>FRA_gaPMG_AZR_AZR_Q1_19_AzureDirect-Trial-Social</v></cell><cell r="AC3231"><v>21356941</v></cell><cell r="AD3231"><v>720193</v></cell><cell r="AE3231" t="str"><v>Facebook</v></cell><cell r="AF3231"><v>3654128</v></cell><cell r="AG3231" t="str"><v>Facebook»Developers/ITPros-Azure Direct-Sponsored Post-Link Ad-FreeAcctRetargetingVMFB-OnDemand-ChE»1x1»SocialBan»SOC»ALL»CPC»BT»D»UNK»SS»NA»Trials</v></cell><cell r="AH3231"><v>224560833</v></cell><cell r="AI3231" t="str"><v>AZR_FreeAcctRetargetingVMFB-OnDemand-ChE_FRA_1200x628_SOC_AZRDirect_French_NA_Facebook_SBAN_SINU_T2_1</v></cell><cell r="AJ3231"><v>103376990</v></cell></row><row r="3232"><cell r="C3232" t="str"><v>43304Facebook»Audience & Interest Targeting»1x1»SocialBan»LIA»DT»CPC»AUT»W»NA»SS»NA»Basic Motion</v></cell><cell r="D3232" t="str"><v>43304224399962</v></cell><cell r="E3232" t="str"><v>43304103230847Motion</v></cell><cell r="F3232" t="str"><v>DCM</v></cell><cell r="G3232" t="str"><v>https://azure.microsoft.com/en-gb/pricing/purchase-options/</v></cell></row><row r="3232"><cell r="K3232" t="str"><v>July</v></cell><cell r="L3232"><v>43309</v></cell><cell r="M3232" t="str"><v>Tier 1</v></cell><cell r="N3232" t="str"><v>EMEA</v></cell><cell r="O3232" t="str"><v>United Kingdom</v></cell><cell r="P3232" t="str"><v>Trial</v></cell><cell r="Q3232" t="str"><v>Social</v></cell><cell r="R3232" t="str"><v>Azure</v></cell><cell r="S3232" t="str"><v>Apps & Infra</v></cell><cell r="T3232" t="str"><v>Developers & ITI's</v></cell><cell r="U3232" t="str"><v>Audience & Interest Targeting</v></cell><cell r="V3232" t="str"><v>Audience Targeting</v></cell><cell r="W3232" t="str"><v>Link Ad</v></cell><cell r="X3232" t="str"><v>1x1</v></cell></row><row r="3232"><cell r="AA3232"><v>43304</v></cell><cell r="AB3232" t="str"><v>GBR_gaPMG_CE_AZR_Q1_19_Trial-Social</v></cell><cell r="AC3232"><v>21337013</v></cell><cell r="AD3232"><v>720196</v></cell><cell r="AE3232" t="str"><v>Facebook</v></cell><cell r="AF3232"><v>3654128</v></cell><cell r="AG3232" t="str"><v>Facebook»Audience & Interest Targeting»1x1»SocialBan»LIA»DT»CPC»AUT»W»NA»SS»NA»Basic Motion</v></cell><cell r="AH3232"><v>224399962</v></cell><cell r="AI3232" t="str"><v>AzurePlatform_FBCTCcanvaspage-BuyNowCTA-Img3_GBR_1080x162_SOC_Plat_English_NA_Standard_NA_BN_T3_1</v></cell><cell r="AJ3232"><v>103230847</v></cell></row><row r="3233"><cell r="C3233" t="str"><v>43304Facebook»Audience & Interest Targeting»1x1»SocialBan»LIA»DT»CPC»AUT»W»NA»SS»NA»Basic Motion</v></cell><cell r="D3233" t="str"><v>43304224399962</v></cell><cell r="E3233" t="str"><v>43304103235146Motion</v></cell><cell r="F3233" t="str"><v>DCM</v></cell><cell r="G3233" t="str"><v>https://signup.azure.com/signup?offer=ms-azr-0044p&appId=102&ref=paidmedia-social-fb&redirectURL=https%3a%2f%2fazure.microsoft.com%2fen-gb%2fget-started%2fwelcome-to-azure%2f&l=en-gb&correlationId=ead86c34-1f10-49dd-a72b-6918462a2cbf</v></cell></row><row r="3233"><cell r="K3233" t="str"><v>July</v></cell><cell r="L3233"><v>43309</v></cell><cell r="M3233" t="str"><v>Tier 1</v></cell><cell r="N3233" t="str"><v>EMEA</v></cell><cell r="O3233" t="str"><v>United Kingdom</v></cell><cell r="P3233" t="str"><v>Trial</v></cell><cell r="Q3233" t="str"><v>Social</v></cell><cell r="R3233" t="str"><v>Azure</v></cell><cell r="S3233" t="str"><v>Apps & Infra</v></cell><cell r="T3233" t="str"><v>Developers & ITI's</v></cell><cell r="U3233" t="str"><v>Audience & Interest Targeting</v></cell><cell r="V3233" t="str"><v>Audience Targeting</v></cell><cell r="W3233" t="str"><v>Link Ad</v></cell><cell r="X3233" t="str"><v>1x1</v></cell></row><row r="3233"><cell r="AA3233"><v>43304</v></cell><cell r="AB3233" t="str"><v>GBR_gaPMG_CE_AZR_Q1_19_Trial-Social</v></cell><cell r="AC3233"><v>21337013</v></cell><cell r="AD3233"><v>720196</v></cell><cell r="AE3233" t="str"><v>Facebook</v></cell><cell r="AF3233"><v>3654128</v></cell><cell r="AG3233" t="str"><v>Facebook»Audience & Interest Targeting»1x1»SocialBan»LIA»DT»CPC»AUT»W»NA»SS»NA»Basic Motion</v></cell><cell r="AH3233"><v>224399962</v></cell><cell r="AI3233" t="str"><v>AzurePlatform_FBCTCcanvaspage-StartFreeCTA-Img2_GBR_1080x143 _SOC_Plat_English_NA_Standard_NA_NA_T2_1</v></cell><cell r="AJ3233"><v>103235146</v></cell></row><row r="3234"><cell r="C3234" t="str"><v>43304Facebook»Audience & Interest Targeting»1x1»SocialBan»LIA»DT»CPC»AUT»W»NA»SS»NA»Benefit 2 in Motion</v></cell><cell r="D3234" t="str"><v>43304224334170</v></cell><cell r="E3234" t="str"><v>43304103230847Motion</v></cell><cell r="F3234" t="str"><v>DCM</v></cell><cell r="G3234" t="str"><v>https://azure.microsoft.com/en-gb/pricing/purchase-options/</v></cell></row><row r="3234"><cell r="K3234" t="str"><v>July</v></cell><cell r="L3234"><v>43309</v></cell><cell r="M3234" t="str"><v>Tier 1</v></cell><cell r="N3234" t="str"><v>EMEA</v></cell><cell r="O3234" t="str"><v>United Kingdom</v></cell><cell r="P3234" t="str"><v>Trial</v></cell><cell r="Q3234" t="str"><v>Social</v></cell><cell r="R3234" t="str"><v>Azure</v></cell><cell r="S3234" t="str"><v>Apps & Infra</v></cell><cell r="T3234" t="str"><v>Developers & ITI's</v></cell><cell r="U3234" t="str"><v>Audience & Interest Targeting</v></cell><cell r="V3234" t="str"><v>Audience Targeting</v></cell><cell r="W3234" t="str"><v>Link Ad</v></cell><cell r="X3234" t="str"><v>1x1</v></cell></row><row r="3234"><cell r="AA3234"><v>43304</v></cell><cell r="AB3234" t="str"><v>GBR_gaPMG_CE_AZR_Q1_19_Trial-Social</v></cell><cell r="AC3234"><v>21337013</v></cell><cell r="AD3234"><v>720196</v></cell><cell r="AE3234" t="str"><v>Facebook</v></cell><cell r="AF3234"><v>3654128</v></cell><cell r="AG3234" t="str"><v>Facebook»Audience & Interest Targeting»1x1»SocialBan»LIA»DT»CPC»AUT»W»NA»SS»NA»Benefit 2 in Motion</v></cell><cell r="AH3234"><v>224334170</v></cell><cell r="AI3234" t="str"><v>AzurePlatform_FBCTCcanvaspage-BuyNowCTA-Img3_GBR_1080x162_SOC_Plat_English_NA_Standard_NA_BN_T3_1</v></cell><cell r="AJ3234"><v>103230847</v></cell></row><row r="3235"><cell r="C3235" t="str"><v>43304Facebook»Audience & Interest Targeting»1x1»SocialBan»LIA»DT»CPC»AUT»W»NA»SS»NA»Benefit 2 in Motion</v></cell><cell r="D3235" t="str"><v>43304224334170</v></cell><cell r="E3235" t="str"><v>43304103235146Motion</v></cell><cell r="F3235" t="str"><v>DCM</v></cell><cell r="G3235" t="str"><v>https://signup.azure.com/signup?offer=ms-azr-0044p&appId=102&ref=paidmedia-social-fb&redirectURL=https%3a%2f%2fazure.microsoft.com%2fen-gb%2fget-started%2fwelcome-to-azure%2f&l=en-gb&correlationId=ead86c34-1f10-49dd-a72b-6918462a2cbf</v></cell></row><row r="3235"><cell r="K3235" t="str"><v>July</v></cell><cell r="L3235"><v>43309</v></cell><cell r="M3235" t="str"><v>Tier 1</v></cell><cell r="N3235" t="str"><v>EMEA</v></cell><cell r="O3235" t="str"><v>United Kingdom</v></cell><cell r="P3235" t="str"><v>Trial</v></cell><cell r="Q3235" t="str"><v>Social</v></cell><cell r="R3235" t="str"><v>Azure</v></cell><cell r="S3235" t="str"><v>Apps & Infra</v></cell><cell r="T3235" t="str"><v>Developers & ITI's</v></cell><cell r="U3235" t="str"><v>Audience & Interest Targeting</v></cell><cell r="V3235" t="str"><v>Audience Targeting</v></cell><cell r="W3235" t="str"><v>Link Ad</v></cell><cell r="X3235" t="str"><v>1x1</v></cell></row><row r="3235"><cell r="AA3235"><v>43304</v></cell><cell r="AB3235" t="str"><v>GBR_gaPMG_CE_AZR_Q1_19_Trial-Social</v></cell><cell r="AC3235"><v>21337013</v></cell><cell r="AD3235"><v>720196</v></cell><cell r="AE3235" t="str"><v>Facebook</v></cell><cell r="AF3235"><v>3654128</v></cell><cell r="AG3235" t="str"><v>Facebook»Audience & Interest Targeting»1x1»SocialBan»LIA»DT»CPC»AUT»W»NA»SS»NA»Benefit 2 in Motion</v></cell><cell r="AH3235"><v>224334170</v></cell><cell r="AI3235" t="str"><v>AzurePlatform_FBCTCcanvaspage-StartFreeCTA-Img2_GBR_1080x143 _SOC_Plat_English_NA_Standard_NA_NA_T2_1</v></cell><cell r="AJ3235"><v>103235146</v></cell></row><row r="3236"><cell r="C3236" t="str"><v>43304Facebook»Audience & Interest Targeting»1x1»SocialBan»LIA»DT»CPC»AUT»W»NA»SS»NA»Brand in Motion</v></cell><cell r="D3236" t="str"><v>43304224549481</v></cell><cell r="E3236" t="str"><v>43304103235146Motion</v></cell><cell r="F3236" t="str"><v>DCM</v></cell><cell r="G3236" t="str"><v>https://signup.azure.com/signup?offer=ms-azr-0044p&appId=102&ref=paidmedia-social-fb&redirectURL=https%3a%2f%2fazure.microsoft.com%2fen-gb%2fget-started%2fwelcome-to-azure%2f&l=en-gb&correlationId=ead86c34-1f10-49dd-a72b-6918462a2cbf</v></cell></row><row r="3236"><cell r="K3236" t="str"><v>July</v></cell><cell r="L3236"><v>43309</v></cell><cell r="M3236" t="str"><v>Tier 1</v></cell><cell r="N3236" t="str"><v>EMEA</v></cell><cell r="O3236" t="str"><v>United Kingdom</v></cell><cell r="P3236" t="str"><v>Trial</v></cell><cell r="Q3236" t="str"><v>Social</v></cell><cell r="R3236" t="str"><v>Azure</v></cell><cell r="S3236" t="str"><v>Apps & Infra</v></cell><cell r="T3236" t="str"><v>Developers & ITI's</v></cell><cell r="U3236" t="str"><v>Audience & Interest Targeting</v></cell><cell r="V3236" t="str"><v>Audience Targeting</v></cell><cell r="W3236" t="str"><v>Link Ad</v></cell><cell r="X3236" t="str"><v>1x1</v></cell></row><row r="3236"><cell r="AA3236"><v>43304</v></cell><cell r="AB3236" t="str"><v>GBR_gaPMG_CE_AZR_Q1_19_Trial-Social</v></cell><cell r="AC3236"><v>21337013</v></cell><cell r="AD3236"><v>720196</v></cell><cell r="AE3236" t="str"><v>Facebook</v></cell><cell r="AF3236"><v>3654128</v></cell><cell r="AG3236" t="str"><v>Facebook»Audience & Interest Targeting»1x1»SocialBan»LIA»DT»CPC»AUT»W»NA»SS»NA»Brand in Motion</v></cell><cell r="AH3236"><v>224549481</v></cell><cell r="AI3236" t="str"><v>AzurePlatform_FBCTCcanvaspage-StartFreeCTA-Img2_GBR_1080x143 _SOC_Plat_English_NA_Standard_NA_NA_T2_1</v></cell><cell r="AJ3236"><v>103235146</v></cell></row><row r="3237"><cell r="C3237" t="str"><v>43304Facebook»Audience & Interest Targeting»1x1»SocialBan»LIA»DT»DYN»AUT»W»NA»SS»NA»Free Account Refresh- 12 months ChE</v></cell><cell r="D3237" t="str"><v>43304223567691</v></cell><cell r="E3237" t="str"><v>43304102854007hs ChE</v></cell><cell r="F3237" t="str"><v>DCM</v></cell><cell r="G3237" t="str"><v>https://azure.microsoft.com/en-gb/free/search/</v></cell></row><row r="3237"><cell r="K3237" t="str"><v>July</v></cell><cell r="L3237"><v>43309</v></cell><cell r="M3237" t="str"><v>Tier 1</v></cell><cell r="N3237" t="str"><v>EMEA</v></cell><cell r="O3237" t="str"><v>United Kingdom</v></cell><cell r="P3237" t="str"><v>Trial</v></cell><cell r="Q3237" t="str"><v>Social</v></cell><cell r="R3237" t="str"><v>Azure</v></cell><cell r="S3237" t="str"><v>Apps & Infra</v></cell><cell r="T3237" t="str"><v>Developers & ITI's</v></cell><cell r="U3237" t="str"><v>Audience & Interest Targeting</v></cell><cell r="V3237" t="str"><v>Audience Targeting</v></cell><cell r="W3237" t="str"><v>Link Ad</v></cell><cell r="X3237" t="str"><v>1x1</v></cell></row><row r="3237"><cell r="AA3237"><v>43304</v></cell><cell r="AB3237" t="str"><v>GBR_gaPMG_CE_AZR_Q1_19_Trial-Social</v></cell><cell r="AC3237"><v>21337013</v></cell><cell r="AD3237"><v>720196</v></cell><cell r="AE3237" t="str"><v>Facebook</v></cell><cell r="AF3237"><v>3654128</v></cell><cell r="AG3237" t="str"><v>Facebook»Audience & Interest Targeting»1x1»SocialBan»LIA»DT»DYN»AUT»W»NA»SS»NA»Free Account Refresh- 12 months ChE</v></cell><cell r="AH3237"><v>223567691</v></cell><cell r="AI3237" t="str"><v>AzurePlatform_FreeAcctAppsFACEBOOK12monthsChE_GBR_1200x628_SOC_PLAT_EN_Trial_Standard_NA_SU_T5_1</v></cell><cell r="AJ3237"><v>102854007</v></cell></row><row r="3238"><cell r="C3238" t="str"><v>43304Facebook»Audience & Interest Targeting»1x1»SocialBan»LIA»DT»DYN»AUT»W»NA»SS»NA»Free Account Refresh- 200 Credit ChD</v></cell><cell r="D3238" t="str"><v>43304223560359</v></cell><cell r="E3238" t="str"><v>43304103005662it ChD</v></cell><cell r="F3238" t="str"><v>DCM</v></cell><cell r="G3238" t="str"><v>https://azure.microsoft.com/en-gb/free/search/</v></cell></row><row r="3238"><cell r="K3238" t="str"><v>July</v></cell><cell r="L3238"><v>43309</v></cell><cell r="M3238" t="str"><v>Tier 1</v></cell><cell r="N3238" t="str"><v>EMEA</v></cell><cell r="O3238" t="str"><v>United Kingdom</v></cell><cell r="P3238" t="str"><v>Trial</v></cell><cell r="Q3238" t="str"><v>Social</v></cell><cell r="R3238" t="str"><v>Azure</v></cell><cell r="S3238" t="str"><v>Apps & Infra</v></cell><cell r="T3238" t="str"><v>Developers & ITI's</v></cell><cell r="U3238" t="str"><v>Audience & Interest Targeting</v></cell><cell r="V3238" t="str"><v>Audience Targeting</v></cell><cell r="W3238" t="str"><v>Link Ad</v></cell><cell r="X3238" t="str"><v>1x1</v></cell></row><row r="3238"><cell r="AA3238"><v>43304</v></cell><cell r="AB3238" t="str"><v>GBR_gaPMG_CE_AZR_Q1_19_Trial-Social</v></cell><cell r="AC3238"><v>21337013</v></cell><cell r="AD3238"><v>720196</v></cell><cell r="AE3238" t="str"><v>Facebook</v></cell><cell r="AF3238"><v>3654128</v></cell><cell r="AG3238" t="str"><v>Facebook»Audience & Interest Targeting»1x1»SocialBan»LIA»DT»DYN»AUT»W»NA»SS»NA»Free Account Refresh- 200 Credit ChD</v></cell><cell r="AH3238"><v>223560359</v></cell><cell r="AI3238" t="str"><v>AzurePlatform_FreeAcctAppsFACEBOOK200CreditChD_GBR_1200x628_SOC_PLAT_EN_Trial_Standard_NA_SU_T4_1</v></cell><cell r="AJ3238"><v>103005662</v></cell></row><row r="3239"><cell r="C3239" t="str"><v>43304Facebook»Audience & Interest Targeting»1x1»SocialBan»LIA»DT»DYN»AUT»W»NA»SS»NA»Free Account Refresh- Device ChB</v></cell><cell r="D3239" t="str"><v>43304223560353</v></cell><cell r="E3239" t="str"><v>43304102854010ce ChB</v></cell><cell r="F3239" t="str"><v>DCM</v></cell><cell r="G3239" t="str"><v>https://azure.microsoft.com/en-gb/free/search/</v></cell></row><row r="3239"><cell r="K3239" t="str"><v>July</v></cell><cell r="L3239"><v>43309</v></cell><cell r="M3239" t="str"><v>Tier 1</v></cell><cell r="N3239" t="str"><v>EMEA</v></cell><cell r="O3239" t="str"><v>United Kingdom</v></cell><cell r="P3239" t="str"><v>Trial</v></cell><cell r="Q3239" t="str"><v>Social</v></cell><cell r="R3239" t="str"><v>Azure</v></cell><cell r="S3239" t="str"><v>Apps & Infra</v></cell><cell r="T3239" t="str"><v>Developers & ITI's</v></cell><cell r="U3239" t="str"><v>Audience & Interest Targeting</v></cell><cell r="V3239" t="str"><v>Audience Targeting</v></cell><cell r="W3239" t="str"><v>Link Ad</v></cell><cell r="X3239" t="str"><v>1x1</v></cell></row><row r="3239"><cell r="AA3239"><v>43304</v></cell><cell r="AB3239" t="str"><v>GBR_gaPMG_CE_AZR_Q1_19_Trial-Social</v></cell><cell r="AC3239"><v>21337013</v></cell><cell r="AD3239"><v>720196</v></cell><cell r="AE3239" t="str"><v>Facebook</v></cell><cell r="AF3239"><v>3654128</v></cell><cell r="AG3239" t="str"><v>Facebook»Audience & Interest Targeting»1x1»SocialBan»LIA»DT»DYN»AUT»W»NA»SS»NA»Free Account Refresh- Device ChB</v></cell><cell r="AH3239"><v>223560353</v></cell><cell r="AI3239" t="str"><v>AzurePlatform_FreeAcctAppsFACEBOOKDeviceChB_GBR_1200x628_SOC_PLAT_EN_Trial_Standard_NA_SU_T2_1</v></cell><cell r="AJ3239"><v>102854010</v></cell></row><row r="3240"><cell r="C3240" t="str"><v>43304Facebook»Audience & Interest Targeting»1x1»SocialBan»LIA»DT»DYN»AUT»W»NA»SS»NA»Free Account Refresh- Illustration ChC</v></cell><cell r="D3240" t="str"><v>43304223560347</v></cell><cell r="E3240" t="str"><v>43304102857037on ChC</v></cell><cell r="F3240" t="str"><v>DCM</v></cell><cell r="G3240" t="str"><v>https://azure.microsoft.com/en-gb/free/search/</v></cell></row><row r="3240"><cell r="K3240" t="str"><v>July</v></cell><cell r="L3240"><v>43309</v></cell><cell r="M3240" t="str"><v>Tier 1</v></cell><cell r="N3240" t="str"><v>EMEA</v></cell><cell r="O3240" t="str"><v>United Kingdom</v></cell><cell r="P3240" t="str"><v>Trial</v></cell><cell r="Q3240" t="str"><v>Social</v></cell><cell r="R3240" t="str"><v>Azure</v></cell><cell r="S3240" t="str"><v>Apps & Infra</v></cell><cell r="T3240" t="str"><v>Developers & ITI's</v></cell><cell r="U3240" t="str"><v>Audience & Interest Targeting</v></cell><cell r="V3240" t="str"><v>Audience Targeting</v></cell><cell r="W3240" t="str"><v>Link Ad</v></cell><cell r="X3240" t="str"><v>1x1</v></cell></row><row r="3240"><cell r="AA3240"><v>43304</v></cell><cell r="AB3240" t="str"><v>GBR_gaPMG_CE_AZR_Q1_19_Trial-Social</v></cell><cell r="AC3240"><v>21337013</v></cell><cell r="AD3240"><v>720196</v></cell><cell r="AE3240" t="str"><v>Facebook</v></cell><cell r="AF3240"><v>3654128</v></cell><cell r="AG3240" t="str"><v>Facebook»Audience & Interest Targeting»1x1»SocialBan»LIA»DT»DYN»AUT»W»NA»SS»NA»Free Account Refresh- Illustration ChC</v></cell><cell r="AH3240"><v>223560347</v></cell><cell r="AI3240" t="str"><v>AzurePlatform_FreeAcctAppsFACEBOOKIllustrationChC_GBR_1200x628_SOC_PLAT_EN_Trial_Standard_NA_SU_T3_1</v></cell><cell r="AJ3240"><v>102857037</v></cell></row><row r="3241"><cell r="C3241" t="str"><v>43304Facebook»Audience & Interest Targeting»1x1»SocialBan»LIA»DT»DYN»AUT»W»NA»SS»NA»Free Account Refresh- Lifestyle ChA</v></cell><cell r="D3241" t="str"><v>43304223560341</v></cell><cell r="E3241" t="str"><v>43304102853597le ChA</v></cell><cell r="F3241" t="str"><v>DCM</v></cell><cell r="G3241" t="str"><v>https://azure.microsoft.com/en-gb/free/search/</v></cell></row><row r="3241"><cell r="K3241" t="str"><v>July</v></cell><cell r="L3241"><v>43309</v></cell><cell r="M3241" t="str"><v>Tier 1</v></cell><cell r="N3241" t="str"><v>EMEA</v></cell><cell r="O3241" t="str"><v>United Kingdom</v></cell><cell r="P3241" t="str"><v>Trial</v></cell><cell r="Q3241" t="str"><v>Social</v></cell><cell r="R3241" t="str"><v>Azure</v></cell><cell r="S3241" t="str"><v>Apps & Infra</v></cell><cell r="T3241" t="str"><v>Developers & ITI's</v></cell><cell r="U3241" t="str"><v>Audience & Interest Targeting</v></cell><cell r="V3241" t="str"><v>Audience Targeting</v></cell><cell r="W3241" t="str"><v>Link Ad</v></cell><cell r="X3241" t="str"><v>1x1</v></cell></row><row r="3241"><cell r="AA3241"><v>43304</v></cell><cell r="AB3241" t="str"><v>GBR_gaPMG_CE_AZR_Q1_19_Trial-Social</v></cell><cell r="AC3241"><v>21337013</v></cell><cell r="AD3241"><v>720196</v></cell><cell r="AE3241" t="str"><v>Facebook</v></cell><cell r="AF3241"><v>3654128</v></cell><cell r="AG3241" t="str"><v>Facebook»Audience & Interest Targeting»1x1»SocialBan»LIA»DT»DYN»AUT»W»NA»SS»NA»Free Account Refresh- Lifestyle ChA</v></cell><cell r="AH3241"><v>223560341</v></cell><cell r="AI3241" t="str"><v>AzurePlatform_FreeAcctAppsFACEBOOKLifestyleChA_GBR_1200x628_SOC_PLAT_EN_Trial_Standard_NA_SU_T1_1</v></cell><cell r="AJ3241"><v>102853597</v></cell></row><row r="3242"><cell r="C3242" t="str"><v>43304Facebook»Retargeting»1x1»SocialBan»LIA»DT»DYN»RT»W»NA»SS»NA»Free Account Retargeting Generic- Animated ChC</v></cell><cell r="D3242" t="str"><v>43304223560299</v></cell><cell r="E3242" t="str"><v>43304102854019ed ChC</v></cell><cell r="F3242" t="str"><v>DCM</v></cell><cell r="G3242" t="str"><v>https://azure.microsoft.com/en-gb/free/search/</v></cell></row><row r="3242"><cell r="K3242" t="str"><v>July</v></cell><cell r="L3242"><v>43309</v></cell><cell r="M3242" t="str"><v>Tier 1</v></cell><cell r="N3242" t="str"><v>EMEA</v></cell><cell r="O3242" t="str"><v>United Kingdom</v></cell><cell r="P3242" t="str"><v>Trial</v></cell><cell r="Q3242" t="str"><v>Social</v></cell><cell r="R3242" t="str"><v>Azure</v></cell><cell r="S3242" t="str"><v>Apps & Infra</v></cell><cell r="T3242" t="str"><v>Developers & ITI's</v></cell><cell r="U3242" t="str"><v>Retargeting</v></cell><cell r="V3242" t="str"><v>Retargeting</v></cell><cell r="W3242" t="str"><v>Link Ad</v></cell><cell r="X3242" t="str"><v>1x1</v></cell></row><row r="3242"><cell r="AA3242"><v>43304</v></cell><cell r="AB3242" t="str"><v>GBR_gaPMG_CE_AZR_Q1_19_Trial-Social</v></cell><cell r="AC3242"><v>21337013</v></cell><cell r="AD3242"><v>720196</v></cell><cell r="AE3242" t="str"><v>Facebook</v></cell><cell r="AF3242"><v>3654128</v></cell><cell r="AG3242" t="str"><v>Facebook»Retargeting»1x1»SocialBan»LIA»DT»DYN»RT»W»NA»SS»NA»Free Account Retargeting Generic- Animated ChC</v></cell><cell r="AH3242"><v>223560299</v></cell><cell r="AI3242" t="str"><v>AzurePlatform_FreeAcctRetargetingFB-Animated-ChC_GBR_1200x628_SOC_Plat_EN_Free Account_Standard_ANI_SU_T3_1</v></cell><cell r="AJ3242"><v>102854019</v></cell></row><row r="3243"><cell r="C3243" t="str"><v>43304Facebook»Retargeting»1x1»SocialBan»LIA»DT»DYN»RT»W»NA»SS»NA»Free Account Retargeting Generic- Global Alt ChB</v></cell><cell r="D3243" t="str"><v>43304223560356</v></cell><cell r="E3243" t="str"><v>43304102854016lt ChB</v></cell><cell r="F3243" t="str"><v>DCM</v></cell><cell r="G3243" t="str"><v>https://azure.microsoft.com/en-gb/free/search/</v></cell></row><row r="3243"><cell r="K3243" t="str"><v>July</v></cell><cell r="L3243"><v>43309</v></cell><cell r="M3243" t="str"><v>Tier 1</v></cell><cell r="N3243" t="str"><v>EMEA</v></cell><cell r="O3243" t="str"><v>United Kingdom</v></cell><cell r="P3243" t="str"><v>Trial</v></cell><cell r="Q3243" t="str"><v>Social</v></cell><cell r="R3243" t="str"><v>Azure</v></cell><cell r="S3243" t="str"><v>Apps & Infra</v></cell><cell r="T3243" t="str"><v>Developers & ITI's</v></cell><cell r="U3243" t="str"><v>Retargeting</v></cell><cell r="V3243" t="str"><v>Retargeting</v></cell><cell r="W3243" t="str"><v>Link Ad</v></cell><cell r="X3243" t="str"><v>1x1</v></cell></row><row r="3243"><cell r="AA3243"><v>43304</v></cell><cell r="AB3243" t="str"><v>GBR_gaPMG_CE_AZR_Q1_19_Trial-Social</v></cell><cell r="AC3243"><v>21337013</v></cell><cell r="AD3243"><v>720196</v></cell><cell r="AE3243" t="str"><v>Facebook</v></cell><cell r="AF3243"><v>3654128</v></cell><cell r="AG3243" t="str"><v>Facebook»Retargeting»1x1»SocialBan»LIA»DT»DYN»RT»W»NA»SS»NA»Free Account Retargeting Generic- Global Alt ChB</v></cell><cell r="AH3243"><v>223560356</v></cell><cell r="AI3243" t="str"><v>AzurePlatform_FreeAcctRetargetingFB-GlobalAlt-ChB_GBR_1200x628_SOC_Plat_EN_Free Account_Standard_NA_SU_T2_1</v></cell><cell r="AJ3243"><v>102854016</v></cell></row><row r="3244"><cell r="C3244" t="str"><v>43304Facebook»Retargeting»1x1»SocialBan»LIA»DT»DYN»RT»W»NA»SS»NA»Free Account Retargeting OSS- Logos ChG</v></cell><cell r="D3244" t="str"><v>43304223560350</v></cell><cell r="E3244" t="str"><v>43304103006547os ChG</v></cell><cell r="F3244" t="str"><v>DCM</v></cell><cell r="G3244" t="str"><v>https://azure.microsoft.com/en-gb/free/open-source/search/</v></cell></row><row r="3244"><cell r="K3244" t="str"><v>July</v></cell><cell r="L3244"><v>43309</v></cell><cell r="M3244" t="str"><v>Tier 1</v></cell><cell r="N3244" t="str"><v>EMEA</v></cell><cell r="O3244" t="str"><v>United Kingdom</v></cell><cell r="P3244" t="str"><v>Trial</v></cell><cell r="Q3244" t="str"><v>Social</v></cell><cell r="R3244" t="str"><v>Azure</v></cell><cell r="S3244" t="str"><v>Apps & Infra</v></cell><cell r="T3244" t="str"><v>Developers & ITI's</v></cell><cell r="U3244" t="str"><v>Retargeting</v></cell><cell r="V3244" t="str"><v>Retargeting</v></cell><cell r="W3244" t="str"><v>Link Ad</v></cell><cell r="X3244" t="str"><v>1x1</v></cell></row><row r="3244"><cell r="AA3244"><v>43304</v></cell><cell r="AB3244" t="str"><v>GBR_gaPMG_CE_AZR_Q1_19_Trial-Social</v></cell><cell r="AC3244"><v>21337013</v></cell><cell r="AD3244"><v>720196</v></cell><cell r="AE3244" t="str"><v>Facebook</v></cell><cell r="AF3244"><v>3654128</v></cell><cell r="AG3244" t="str"><v>Facebook»Retargeting»1x1»SocialBan»LIA»DT»DYN»RT»W»NA»SS»NA»Free Account Retargeting OSS- Logos ChG</v></cell><cell r="AH3244"><v>223560350</v></cell><cell r="AI3244" t="str"><v>AzurePlatform_FreeAcctRetargetingOSSFB-Logos-ChG_GBR_1200x628_SOC_Plat_EN_Free Account_Standard_NA_SU_T2_1</v></cell><cell r="AJ3244"><v>103006547</v></cell></row><row r="3245"><cell r="C3245" t="str"><v>43304Facebook»Retargeting»1x1»SocialBan»LIA»DT»DYN»RT»W»NA»SS»NA»Free Account Retargeting OSS- Text ChF</v></cell><cell r="D3245" t="str"><v>43304223560344</v></cell><cell r="E3245" t="str"><v>43304102861246xt ChF</v></cell><cell r="F3245" t="str"><v>DCM</v></cell><cell r="G3245" t="str"><v>https://azure.microsoft.com/en-gb/free/open-source/search/</v></cell></row><row r="3245"><cell r="K3245" t="str"><v>July</v></cell><cell r="L3245"><v>43309</v></cell><cell r="M3245" t="str"><v>Tier 1</v></cell><cell r="N3245" t="str"><v>EMEA</v></cell><cell r="O3245" t="str"><v>United Kingdom</v></cell><cell r="P3245" t="str"><v>Trial</v></cell><cell r="Q3245" t="str"><v>Social</v></cell><cell r="R3245" t="str"><v>Azure</v></cell><cell r="S3245" t="str"><v>Apps & Infra</v></cell><cell r="T3245" t="str"><v>Developers & ITI's</v></cell><cell r="U3245" t="str"><v>Retargeting</v></cell><cell r="V3245" t="str"><v>Retargeting</v></cell><cell r="W3245" t="str"><v>Link Ad</v></cell><cell r="X3245" t="str"><v>1x1</v></cell></row><row r="3245"><cell r="AA3245"><v>43304</v></cell><cell r="AB3245" t="str"><v>GBR_gaPMG_CE_AZR_Q1_19_Trial-Social</v></cell><cell r="AC3245"><v>21337013</v></cell><cell r="AD3245"><v>720196</v></cell><cell r="AE3245" t="str"><v>Facebook</v></cell><cell r="AF3245"><v>3654128</v></cell><cell r="AG3245" t="str"><v>Facebook»Retargeting»1x1»SocialBan»LIA»DT»DYN»RT»W»NA»SS»NA»Free Account Retargeting OSS- Text ChF</v></cell><cell r="AH3245"><v>223560344</v></cell><cell r="AI3245" t="str"><v>AzurePlatform_FreeAcctRetargetingOSSFB-Text-ChF_GBR_1200x628_SOC_Plat_EN_Free Account_Standard_NA_SU_T1_1</v></cell><cell r="AJ3245"><v>102861246</v></cell></row><row r="3246"><cell r="C3246" t="str"><v>43304Facebook»Retargeting»1x1»SocialBan»LIA»DT»DYN»RT»W»NA»SS»NA»Free Account Retargeting VM- 750 Hrs ChD</v></cell><cell r="D3246" t="str"><v>43304223560338</v></cell><cell r="E3246" t="str"><v>43304102853603rs ChD</v></cell><cell r="F3246" t="str"><v>DCM</v></cell><cell r="G3246" t="str"><v>https://azure.microsoft.com/en-gb/free/virtual-machines/search/</v></cell></row><row r="3246"><cell r="K3246" t="str"><v>July</v></cell><cell r="L3246"><v>43309</v></cell><cell r="M3246" t="str"><v>Tier 1</v></cell><cell r="N3246" t="str"><v>EMEA</v></cell><cell r="O3246" t="str"><v>United Kingdom</v></cell><cell r="P3246" t="str"><v>Trial</v></cell><cell r="Q3246" t="str"><v>Social</v></cell><cell r="R3246" t="str"><v>Azure</v></cell><cell r="S3246" t="str"><v>Apps & Infra</v></cell><cell r="T3246" t="str"><v>Developers & ITI's</v></cell><cell r="U3246" t="str"><v>Retargeting</v></cell><cell r="V3246" t="str"><v>Retargeting</v></cell><cell r="W3246" t="str"><v>Link Ad</v></cell><cell r="X3246" t="str"><v>1x1</v></cell></row><row r="3246"><cell r="AA3246"><v>43304</v></cell><cell r="AB3246" t="str"><v>GBR_gaPMG_CE_AZR_Q1_19_Trial-Social</v></cell><cell r="AC3246"><v>21337013</v></cell><cell r="AD3246"><v>720196</v></cell><cell r="AE3246" t="str"><v>Facebook</v></cell><cell r="AF3246"><v>3654128</v></cell><cell r="AG3246" t="str"><v>Facebook»Retargeting»1x1»SocialBan»LIA»DT»DYN»RT»W»NA»SS»NA»Free Account Retargeting VM- 750 Hrs ChD</v></cell><cell r="AH3246"><v>223560338</v></cell><cell r="AI3246" t="str"><v>AzurePlatform_FreeAcctRetargetingVMFB-750Hrs-ChD_GBR_1200x628_SOC_Plat_EN_Free Account_Standard_NA_SU_T1_1</v></cell><cell r="AJ3246"><v>102853603</v></cell></row><row r="3247"><cell r="C3247" t="str"><v>43304Facebook»Retargeting»1x1»SocialBan»LIA»DT»DYN»RT»W»NA»SS»NA»Free Account Retargeting VM- On Demand ChE</v></cell><cell r="D3247" t="str"><v>43304223560332</v></cell><cell r="E3247" t="str"><v>43304102854037nd ChE</v></cell><cell r="F3247" t="str"><v>DCM</v></cell><cell r="G3247" t="str"><v>https://azure.microsoft.com/en-gb/free/virtual-machines/search/</v></cell></row><row r="3247"><cell r="K3247" t="str"><v>July</v></cell><cell r="L3247"><v>43309</v></cell><cell r="M3247" t="str"><v>Tier 1</v></cell><cell r="N3247" t="str"><v>EMEA</v></cell><cell r="O3247" t="str"><v>United Kingdom</v></cell><cell r="P3247" t="str"><v>Trial</v></cell><cell r="Q3247" t="str"><v>Social</v></cell><cell r="R3247" t="str"><v>Azure</v></cell><cell r="S3247" t="str"><v>Apps & Infra</v></cell><cell r="T3247" t="str"><v>Developers & ITI's</v></cell><cell r="U3247" t="str"><v>Retargeting</v></cell><cell r="V3247" t="str"><v>Retargeting</v></cell><cell r="W3247" t="str"><v>Link Ad</v></cell><cell r="X3247" t="str"><v>1x1</v></cell></row><row r="3247"><cell r="AA3247"><v>43304</v></cell><cell r="AB3247" t="str"><v>GBR_gaPMG_CE_AZR_Q1_19_Trial-Social</v></cell><cell r="AC3247"><v>21337013</v></cell><cell r="AD3247"><v>720196</v></cell><cell r="AE3247" t="str"><v>Facebook</v></cell><cell r="AF3247"><v>3654128</v></cell><cell r="AG3247" t="str"><v>Facebook»Retargeting»1x1»SocialBan»LIA»DT»DYN»RT»W»NA»SS»NA»Free Account Retargeting VM- On Demand ChE</v></cell><cell r="AH3247"><v>223560332</v></cell><cell r="AI3247" t="str"><v>AzurePlatform_FreeAcctRetargetingVMFB-OnDemand-ChE_GBR_1200x628_SOC_Plat_EN_Free Account_Standard_NA_SU_T2_1</v></cell><cell r="AJ3247"><v>102854037</v></cell></row><row r="3248"><cell r="C3248" t="str"><v>43304Facebook»AZP-Canvas-Interest&Role-Trial»1x1»Canvas»OTH»MO»CPM»PRO»X»UNK»TP»OT»Canvas-Trial</v></cell><cell r="D3248" t="str"><v>43304223298805</v></cell><cell r="E3248" t="str"><v>43304102609621-Trial</v></cell><cell r="F3248" t="str"><v>DCM</v></cell><cell r="G3248" t="str"><v>https://signup.azure.com/signup?offer=ms-azr-0044p&appId=102&ref=paidmedia-social-fb&redirectURL=https%3a%2f%2fazure.microsoft.com%2fja-jp%2fget-started%2fwelcome-to-azure%2f&l=ja-jp&correlationId=ead86c34-1f10-49dd-a72b-6918462a2cbf</v></cell></row><row r="3248"><cell r="K3248" t="str"><v>July</v></cell><cell r="L3248"><v>43309</v></cell><cell r="M3248" t="str"><v>Tier 1</v></cell><cell r="N3248" t="str"><v>APAC</v></cell><cell r="O3248" t="str"><v>Japan</v></cell><cell r="P3248" t="str"><v>Trial</v></cell><cell r="Q3248" t="str"><v>Social</v></cell><cell r="R3248" t="str"><v>Azure</v></cell><cell r="S3248" t="str"><v>Apps & Infra</v></cell><cell r="T3248" t="str"><v>Developers & ITI's</v></cell><cell r="U3248" t="str"><v>AZP-Canvas-Interest&Role-Trial</v></cell><cell r="V3248" t="str"><v>Prospecting</v></cell><cell r="W3248" t="str"><v>Other</v></cell><cell r="X3248" t="str"><v>1x1</v></cell></row><row r="3248"><cell r="AA3248"><v>43304</v></cell><cell r="AB3248" t="str"><v>JPN_gaPMG_AZR_AZR_Q1_19_Trial-Social</v></cell><cell r="AC3248"><v>21276694</v></cell><cell r="AD3248"><v>720195</v></cell><cell r="AE3248" t="str"><v>Facebook</v></cell><cell r="AF3248"><v>3654128</v></cell><cell r="AG3248" t="str"><v>Facebook»AZP-Canvas-Interest&Role-Trial»1x1»Canvas»OTH»MO»CPM»PRO»X»UNK»TP»OT»Canvas-Trial</v></cell><cell r="AH3248"><v>223298805</v></cell><cell r="AI3248" t="str"><v>AzurePlatform_FBCTCcanvaspage-StartFreeCTA-Img2_JPN_1080x143 _SOC_Plat_Japanese_NA_Standard_NA_NA_T2_1</v></cell><cell r="AJ3248"><v>102609621</v></cell></row><row r="3249"><cell r="C3249" t="str"><v>43304Facebook»AZP-Canvas-Look a Like-Trial»1x1»Canvas»OTH»MO»CPM»PRO»X»UNK»TP»OT»Canvas-Trial</v></cell><cell r="D3249" t="str"><v>43304223297413</v></cell><cell r="E3249" t="str"><v>43304102630373-Trial</v></cell><cell r="F3249" t="str"><v>DCM</v></cell><cell r="G3249" t="str"><v>https://azure.microsoft.com/ja-jp/pricing/purchase-options/</v></cell></row><row r="3249"><cell r="K3249" t="str"><v>July</v></cell><cell r="L3249"><v>43309</v></cell><cell r="M3249" t="str"><v>Tier 1</v></cell><cell r="N3249" t="str"><v>APAC</v></cell><cell r="O3249" t="str"><v>Japan</v></cell><cell r="P3249" t="str"><v>Trial</v></cell><cell r="Q3249" t="str"><v>Social</v></cell><cell r="R3249" t="str"><v>Azure</v></cell><cell r="S3249" t="str"><v>Apps & Infra</v></cell><cell r="T3249" t="str"><v>Developers & ITI's</v></cell><cell r="U3249" t="str"><v>AZP-Canvas-Look a Like-Trial</v></cell><cell r="V3249" t="str"><v>Prospecting</v></cell><cell r="W3249" t="str"><v>Other</v></cell><cell r="X3249" t="str"><v>1x1</v></cell></row><row r="3249"><cell r="AA3249"><v>43304</v></cell><cell r="AB3249" t="str"><v>JPN_gaPMG_AZR_AZR_Q1_19_Trial-Social</v></cell><cell r="AC3249"><v>21276694</v></cell><cell r="AD3249"><v>720195</v></cell><cell r="AE3249" t="str"><v>Facebook</v></cell><cell r="AF3249"><v>3654128</v></cell><cell r="AG3249" t="str"><v>Facebook»AZP-Canvas-Look a Like-Trial»1x1»Canvas»OTH»MO»CPM»PRO»X»UNK»TP»OT»Canvas-Trial</v></cell><cell r="AH3249"><v>223297413</v></cell><cell r="AI3249" t="str"><v>AzurePlatform_FBCTCcanvaspage-BuyNowCTA-Img3_JPN_1080x162_SOC_Plat_Japanese_NA_Standard_NA_BN_T3_1</v></cell><cell r="AJ3249"><v>102630373</v></cell></row><row r="3250"><cell r="C3250" t="str"><v>43304Facebook»AZP-Canvas-Look a Like-Trial»1x1»Canvas»OTH»MO»CPM»PRO»X»UNK»TP»OT»Canvas-Trial</v></cell><cell r="D3250" t="str"><v>43304223297413</v></cell><cell r="E3250" t="str"><v>43304102609621-Trial</v></cell><cell r="F3250" t="str"><v>DCM</v></cell><cell r="G3250" t="str"><v>https://signup.azure.com/signup?offer=ms-azr-0044p&appId=102&ref=paidmedia-social-fb&redirectURL=https%3a%2f%2fazure.microsoft.com%2fja-jp%2fget-started%2fwelcome-to-azure%2f&l=ja-jp&correlationId=ead86c34-1f10-49dd-a72b-6918462a2cbf</v></cell></row><row r="3250"><cell r="K3250" t="str"><v>July</v></cell><cell r="L3250"><v>43309</v></cell><cell r="M3250" t="str"><v>Tier 1</v></cell><cell r="N3250" t="str"><v>APAC</v></cell><cell r="O3250" t="str"><v>Japan</v></cell><cell r="P3250" t="str"><v>Trial</v></cell><cell r="Q3250" t="str"><v>Social</v></cell><cell r="R3250" t="str"><v>Azure</v></cell><cell r="S3250" t="str"><v>Apps & Infra</v></cell><cell r="T3250" t="str"><v>Developers & ITI's</v></cell><cell r="U3250" t="str"><v>AZP-Canvas-Look a Like-Trial</v></cell><cell r="V3250" t="str"><v>Prospecting</v></cell><cell r="W3250" t="str"><v>Other</v></cell><cell r="X3250" t="str"><v>1x1</v></cell></row><row r="3250"><cell r="AA3250"><v>43304</v></cell><cell r="AB3250" t="str"><v>JPN_gaPMG_AZR_AZR_Q1_19_Trial-Social</v></cell><cell r="AC3250"><v>21276694</v></cell><cell r="AD3250"><v>720195</v></cell><cell r="AE3250" t="str"><v>Facebook</v></cell><cell r="AF3250"><v>3654128</v></cell><cell r="AG3250" t="str"><v>Facebook»AZP-Canvas-Look a Like-Trial»1x1»Canvas»OTH»MO»CPM»PRO»X»UNK»TP»OT»Canvas-Trial</v></cell><cell r="AH3250"><v>223297413</v></cell><cell r="AI3250" t="str"><v>AzurePlatform_FBCTCcanvaspage-StartFreeCTA-Img2_JPN_1080x143 _SOC_Plat_Japanese_NA_Standard_NA_NA_T2_1</v></cell><cell r="AJ3250"><v>102609621</v></cell></row><row r="3251"><cell r="C3251" t="str"><v>43304Facebook»AZP-Retargeting»1x1»Ban»LIA»ALL»CPM»RT»X»All»TP»OT»Free Account Retargeting Generic-ChB</v></cell><cell r="D3251" t="str"><v>43304223726377</v></cell><cell r="E3251" t="str"><v>43304102977720ic-ChB</v></cell><cell r="F3251" t="str"><v>DCM</v></cell><cell r="G3251" t="str"><v>https://azure.microsoft.com/ja-jp/free/search/</v></cell></row><row r="3251"><cell r="K3251" t="str"><v>July</v></cell><cell r="L3251"><v>43309</v></cell><cell r="M3251" t="str"><v>Tier 1</v></cell><cell r="N3251" t="str"><v>APAC</v></cell><cell r="O3251" t="str"><v>Japan</v></cell><cell r="P3251" t="str"><v>Trial</v></cell><cell r="Q3251" t="str"><v>Social</v></cell><cell r="R3251" t="str"><v>Azure</v></cell><cell r="S3251" t="str"><v>Apps & Infra</v></cell><cell r="T3251" t="str"><v>Developers & ITI's</v></cell><cell r="U3251" t="str"><v>AZP-Retargeting</v></cell><cell r="V3251" t="str"><v>Retargeting</v></cell><cell r="W3251" t="str"><v>Link Ad</v></cell><cell r="X3251" t="str"><v>1x1</v></cell></row><row r="3251"><cell r="AA3251"><v>43304</v></cell><cell r="AB3251" t="str"><v>JPN_gaPMG_AZR_AZR_Q1_19_Trial-Social</v></cell><cell r="AC3251"><v>21276694</v></cell><cell r="AD3251"><v>720195</v></cell><cell r="AE3251" t="str"><v>Facebook</v></cell><cell r="AF3251"><v>3654128</v></cell><cell r="AG3251" t="str"><v>Facebook»AZP-Retargeting»1x1»Ban»LIA»ALL»CPM»RT»X»All»TP»OT»Free Account Retargeting Generic-ChB</v></cell><cell r="AH3251"><v>223726377</v></cell><cell r="AI3251" t="str"><v>AzurePlatform_FreeAcctRetargetingFB-GlobalAlt-ChB_JPN_1200x628_SOC_Plat_JA_Free Account_Standard_NA_SU_T2_1</v></cell><cell r="AJ3251"><v>102977720</v></cell></row><row r="3252"><cell r="C3252" t="str"><v>43304Facebook»AZP-Retargeting»1x1»Ban»LIA»ALL»CPM»RT»X»All»TP»OT»Free Account Retargeting OSS-ChF</v></cell><cell r="D3252" t="str"><v>43304223726368</v></cell><cell r="E3252" t="str"><v>43304102974750SS-ChF</v></cell><cell r="F3252" t="str"><v>DCM</v></cell><cell r="G3252" t="str"><v>https://azure.microsoft.com/ja-jp/free/open-source/search/</v></cell></row><row r="3252"><cell r="K3252" t="str"><v>July</v></cell><cell r="L3252"><v>43309</v></cell><cell r="M3252" t="str"><v>Tier 1</v></cell><cell r="N3252" t="str"><v>APAC</v></cell><cell r="O3252" t="str"><v>Japan</v></cell><cell r="P3252" t="str"><v>Trial</v></cell><cell r="Q3252" t="str"><v>Social</v></cell><cell r="R3252" t="str"><v>Azure</v></cell><cell r="S3252" t="str"><v>Apps & Infra</v></cell><cell r="T3252" t="str"><v>Developers & ITI's</v></cell><cell r="U3252" t="str"><v>AZP-Retargeting</v></cell><cell r="V3252" t="str"><v>Retargeting</v></cell><cell r="W3252" t="str"><v>Link Ad</v></cell><cell r="X3252" t="str"><v>1x1</v></cell></row><row r="3252"><cell r="AA3252"><v>43304</v></cell><cell r="AB3252" t="str"><v>JPN_gaPMG_AZR_AZR_Q1_19_Trial-Social</v></cell><cell r="AC3252"><v>21276694</v></cell><cell r="AD3252"><v>720195</v></cell><cell r="AE3252" t="str"><v>Facebook</v></cell><cell r="AF3252"><v>3654128</v></cell><cell r="AG3252" t="str"><v>Facebook»AZP-Retargeting»1x1»Ban»LIA»ALL»CPM»RT»X»All»TP»OT»Free Account Retargeting OSS-ChF</v></cell><cell r="AH3252"><v>223726368</v></cell><cell r="AI3252" t="str"><v>AzurePlatform_FreeAcctRetargetingOSSFB-Text-ChF_JPN_1200x628_SOC_Plat_JA_Free Account_Standard_NA_SU_T1_1</v></cell><cell r="AJ3252"><v>102974750</v></cell></row><row r="3253"><cell r="C3253" t="str"><v>43304Facebook»AZP-Retargeting»1x1»Ban»LIA»ALL»CPM»RT»X»All»TP»OT»Free Account Retargeting OSS-ChG</v></cell><cell r="D3253" t="str"><v>43304223726365</v></cell><cell r="E3253" t="str"><v>43304102976850SS-ChG</v></cell><cell r="F3253" t="str"><v>DCM</v></cell><cell r="G3253" t="str"><v>https://azure.microsoft.com/ja-jp/free/open-source/search/</v></cell></row><row r="3253"><cell r="K3253" t="str"><v>July</v></cell><cell r="L3253"><v>43309</v></cell><cell r="M3253" t="str"><v>Tier 1</v></cell><cell r="N3253" t="str"><v>APAC</v></cell><cell r="O3253" t="str"><v>Japan</v></cell><cell r="P3253" t="str"><v>Trial</v></cell><cell r="Q3253" t="str"><v>Social</v></cell><cell r="R3253" t="str"><v>Azure</v></cell><cell r="S3253" t="str"><v>Apps & Infra</v></cell><cell r="T3253" t="str"><v>Developers & ITI's</v></cell><cell r="U3253" t="str"><v>AZP-Retargeting</v></cell><cell r="V3253" t="str"><v>Retargeting</v></cell><cell r="W3253" t="str"><v>Link Ad</v></cell><cell r="X3253" t="str"><v>1x1</v></cell></row><row r="3253"><cell r="AA3253"><v>43304</v></cell><cell r="AB3253" t="str"><v>JPN_gaPMG_AZR_AZR_Q1_19_Trial-Social</v></cell><cell r="AC3253"><v>21276694</v></cell><cell r="AD3253"><v>720195</v></cell><cell r="AE3253" t="str"><v>Facebook</v></cell><cell r="AF3253"><v>3654128</v></cell><cell r="AG3253" t="str"><v>Facebook»AZP-Retargeting»1x1»Ban»LIA»ALL»CPM»RT»X»All»TP»OT»Free Account Retargeting OSS-ChG</v></cell><cell r="AH3253"><v>223726365</v></cell><cell r="AI3253" t="str"><v>AzurePlatform_FreeAcctRetargetingOSSFB-Logos-ChG_JPN_1200x628_SOC_Plat_JA_Free Account_Standard_NA_SU_T2_1</v></cell><cell r="AJ3253"><v>102976850</v></cell></row><row r="3254"><cell r="C3254" t="str"><v>43304Facebook»AZP-Retargeting»1x1»Ban»LIA»ALL»CPM»RT»X»All»TP»OT»Free Account Retargeting VM-ChD</v></cell><cell r="D3254" t="str"><v>43304223726374</v></cell><cell r="E3254" t="str"><v>43304102971306VM-ChD</v></cell><cell r="F3254" t="str"><v>DCM</v></cell><cell r="G3254" t="str"><v>https://azure.microsoft.com/ja-jp/free/virtual-machines/search/</v></cell></row><row r="3254"><cell r="K3254" t="str"><v>July</v></cell><cell r="L3254"><v>43309</v></cell><cell r="M3254" t="str"><v>Tier 1</v></cell><cell r="N3254" t="str"><v>APAC</v></cell><cell r="O3254" t="str"><v>Japan</v></cell><cell r="P3254" t="str"><v>Trial</v></cell><cell r="Q3254" t="str"><v>Social</v></cell><cell r="R3254" t="str"><v>Azure</v></cell><cell r="S3254" t="str"><v>Apps & Infra</v></cell><cell r="T3254" t="str"><v>Developers & ITI's</v></cell><cell r="U3254" t="str"><v>AZP-Retargeting</v></cell><cell r="V3254" t="str"><v>Retargeting</v></cell><cell r="W3254" t="str"><v>Link Ad</v></cell><cell r="X3254" t="str"><v>1x1</v></cell></row><row r="3254"><cell r="AA3254"><v>43304</v></cell><cell r="AB3254" t="str"><v>JPN_gaPMG_AZR_AZR_Q1_19_Trial-Social</v></cell><cell r="AC3254"><v>21276694</v></cell><cell r="AD3254"><v>720195</v></cell><cell r="AE3254" t="str"><v>Facebook</v></cell><cell r="AF3254"><v>3654128</v></cell><cell r="AG3254" t="str"><v>Facebook»AZP-Retargeting»1x1»Ban»LIA»ALL»CPM»RT»X»All»TP»OT»Free Account Retargeting VM-ChD</v></cell><cell r="AH3254"><v>223726374</v></cell><cell r="AI3254" t="str"><v>AzurePlatform_FreeAcctRetargetingVMFB-750Hrs-ChD_JPN_1200x628_SOC_Plat_JA_Free Account_Standard_NA_SU_T1_1</v></cell><cell r="AJ3254"><v>102971306</v></cell></row><row r="3255"><cell r="C3255" t="str"><v>43304Facebook»AZP-Retargeting»1x1»Canvas»OTH»MO»CPM»RT»W»UNK»TP»OT»Trial-Basicmotion</v></cell><cell r="D3255" t="str"><v>43304223298811</v></cell><cell r="E3255" t="str"><v>43304102773984motion</v></cell><cell r="F3255" t="str"><v>DCM</v></cell><cell r="G3255" t="str"><v>https://azure.microsoft.com/ja-jp/free/search/</v></cell></row><row r="3255"><cell r="K3255" t="str"><v>July</v></cell><cell r="L3255"><v>43309</v></cell><cell r="M3255" t="str"><v>Tier 1</v></cell><cell r="N3255" t="str"><v>APAC</v></cell><cell r="O3255" t="str"><v>Japan</v></cell><cell r="P3255" t="str"><v>Trial</v></cell><cell r="Q3255" t="str"><v>Social</v></cell><cell r="R3255" t="str"><v>Azure</v></cell><cell r="S3255" t="str"><v>Apps & Infra</v></cell><cell r="T3255" t="str"><v>Developers & ITI's</v></cell><cell r="U3255" t="str"><v>AZP-Retargeting</v></cell><cell r="V3255" t="str"><v>Retargeting</v></cell><cell r="W3255" t="str"><v>Other</v></cell><cell r="X3255" t="str"><v>1x1</v></cell></row><row r="3255"><cell r="AA3255"><v>43304</v></cell><cell r="AB3255" t="str"><v>JPN_gaPMG_AZR_AZR_Q1_19_Trial-Social</v></cell><cell r="AC3255"><v>21276694</v></cell><cell r="AD3255"><v>720195</v></cell><cell r="AE3255" t="str"><v>Facebook</v></cell><cell r="AF3255"><v>3654128</v></cell><cell r="AG3255" t="str"><v>Facebook»AZP-Retargeting»1x1»Canvas»OTH»MO»CPM»RT»W»UNK»TP»OT»Trial-Basicmotion</v></cell><cell r="AH3255"><v>223298811</v></cell><cell r="AI3255" t="str"><v>AzurePlatform_FBCTCBasicMotion_JPN_10sec_ISV_PLAT_JA_Trial_Standard_STAN_TN_T1_1</v></cell><cell r="AJ3255"><v>102773984</v></cell></row><row r="3256"><cell r="C3256" t="str"><v>43304Facebook»AZP-Retargeting»1x1»Canvas»OTH»MO»CPM»RT»W»UNK»TP»OT»Trial-BrandinMotion</v></cell><cell r="D3256" t="str"><v>43304223298823</v></cell><cell r="E3256" t="str"><v>43304102612720Motion</v></cell><cell r="F3256" t="str"><v>DCM</v></cell><cell r="G3256" t="str"><v>https://azure.microsoft.com/ja-jp/free/search/</v></cell></row><row r="3256"><cell r="K3256" t="str"><v>July</v></cell><cell r="L3256"><v>43309</v></cell><cell r="M3256" t="str"><v>Tier 1</v></cell><cell r="N3256" t="str"><v>APAC</v></cell><cell r="O3256" t="str"><v>Japan</v></cell><cell r="P3256" t="str"><v>Trial</v></cell><cell r="Q3256" t="str"><v>Social</v></cell><cell r="R3256" t="str"><v>Azure</v></cell><cell r="S3256" t="str"><v>Apps & Infra</v></cell><cell r="T3256" t="str"><v>Developers & ITI's</v></cell><cell r="U3256" t="str"><v>AZP-Retargeting</v></cell><cell r="V3256" t="str"><v>Retargeting</v></cell><cell r="W3256" t="str"><v>Other</v></cell><cell r="X3256" t="str"><v>1x1</v></cell></row><row r="3256"><cell r="AA3256"><v>43304</v></cell><cell r="AB3256" t="str"><v>JPN_gaPMG_AZR_AZR_Q1_19_Trial-Social</v></cell><cell r="AC3256"><v>21276694</v></cell><cell r="AD3256"><v>720195</v></cell><cell r="AE3256" t="str"><v>Facebook</v></cell><cell r="AF3256"><v>3654128</v></cell><cell r="AG3256" t="str"><v>Facebook»AZP-Retargeting»1x1»Canvas»OTH»MO»CPM»RT»W»UNK»TP»OT»Trial-BrandinMotion</v></cell><cell r="AH3256"><v>223298823</v></cell><cell r="AI3256" t="str"><v>AzurePlatform_FBCTCBrandinMotion_JPN_12sec_ISV_PLAT_JA_Trial_Standard_STAN_TN_T2_1</v></cell><cell r="AJ3256"><v>102612720</v></cell></row><row r="3257"><cell r="C3257" t="str"><v>43304FACEBOOK»USA-Trial-ITD-Interest Prospecting-AZR-AZR»1 x 1»SocialBan»CAN»ALL»CPA»PRO»X»NA»SS»NA»FBCTCBasicMotion»PRC1SV</v></cell><cell r="D3257" t="str"><v>43304223934062</v></cell><cell r="E3257" t="str"><v>43304103043823PRC1SV</v></cell><cell r="F3257" t="str"><v>DCM</v></cell><cell r="G3257" t="str"><v>https://signup.azure.com/?OCID=AID%eexcid!_OLA_%ebuy!_%epid!_%ecid!</v></cell></row><row r="3257"><cell r="K3257" t="str"><v>July</v></cell><cell r="L3257"><v>43309</v></cell><cell r="M3257" t="str"><v>Tier 0</v></cell><cell r="N3257" t="str"><v>North America</v></cell><cell r="O3257" t="str"><v>United States</v></cell><cell r="P3257" t="str"><v>Trial</v></cell><cell r="Q3257" t="str"><v>Social</v></cell><cell r="R3257" t="str"><v>Azure</v></cell><cell r="S3257" t="str"><v>Apps & Infra</v></cell><cell r="T3257" t="str"><v>Developers & ITI's</v></cell><cell r="U3257" t="str"><v>USA-Trial-ITD-Interest Prospecting-AZR-AZR</v></cell><cell r="V3257" t="str"><v>Prospecting</v></cell><cell r="W3257" t="str"><v>Canvas Ad</v></cell><cell r="X3257" t="str"><v>1x1</v></cell></row><row r="3257"><cell r="AA3257"><v>43304</v></cell><cell r="AB3257" t="str"><v>USA_gaPMG_AZR_AZR_Q1_19_Direct-Social</v></cell><cell r="AC3257"><v>21358715</v></cell><cell r="AD3257"><v>720197</v></cell><cell r="AE3257" t="str"><v>Facebook</v></cell><cell r="AF3257"><v>3654128</v></cell><cell r="AG3257" t="str"><v>FACEBOOK»USA-Trial-ITD-Interest Prospecting-AZR-AZR»1 x 1»SocialBan»CAN»ALL»CPA»PRO»X»NA»SS»NA»FBCTCBasicMotion»PRC1SV</v></cell><cell r="AH3257"><v>223934062</v></cell><cell r="AI3257" t="str"><v>AzurePlatform_FBCTCBasicMotion_USA_10s_CAN_PLATFORM_English_Trial_Standard_STAN_TIN_T1_1</v></cell><cell r="AJ3257"><v>103043823</v></cell></row><row r="3258"><cell r="C3258" t="str"><v>43304FACEBOOK»USA-Trial-ITD-Interest Prospecting-AZR-AZR»1 x 1»SocialBan»CAN»ALL»CPA»PRO»X»NA»SS»NA»FBCTCBasicMotion»PRC1SV</v></cell><cell r="D3258" t="str"><v>43304223934062</v></cell><cell r="E3258" t="str"><v>43304103175984PRC1SV</v></cell><cell r="F3258" t="str"><v>DCM</v></cell><cell r="G3258" t="str"><v>https://azure.microsoft.com/en-us/pricing/purchase-options/?v=18.19&OCID=AID%eexcid!_OLA_%ebuy!_%epid!_%ecid!</v></cell></row><row r="3258"><cell r="K3258" t="str"><v>July</v></cell><cell r="L3258"><v>43309</v></cell><cell r="M3258" t="str"><v>Tier 0</v></cell><cell r="N3258" t="str"><v>North America</v></cell><cell r="O3258" t="str"><v>United States</v></cell><cell r="P3258" t="str"><v>Trial</v></cell><cell r="Q3258" t="str"><v>Social</v></cell><cell r="R3258" t="str"><v>Azure</v></cell><cell r="S3258" t="str"><v>Apps & Infra</v></cell><cell r="T3258" t="str"><v>Developers & ITI's</v></cell><cell r="U3258" t="str"><v>USA-Trial-ITD-Interest Prospecting-AZR-AZR</v></cell><cell r="V3258" t="str"><v>Prospecting</v></cell><cell r="W3258" t="str"><v>Canvas Ad</v></cell><cell r="X3258" t="str"><v>1x1</v></cell></row><row r="3258"><cell r="AA3258"><v>43304</v></cell><cell r="AB3258" t="str"><v>USA_gaPMG_AZR_AZR_Q1_19_Direct-Social</v></cell><cell r="AC3258"><v>21358715</v></cell><cell r="AD3258"><v>720197</v></cell><cell r="AE3258" t="str"><v>Facebook</v></cell><cell r="AF3258"><v>3654128</v></cell><cell r="AG3258" t="str"><v>FACEBOOK»USA-Trial-ITD-Interest Prospecting-AZR-AZR»1 x 1»SocialBan»CAN»ALL»CPA»PRO»X»NA»SS»NA»FBCTCBasicMotion»PRC1SV</v></cell><cell r="AH3258"><v>223934062</v></cell><cell r="AI3258" t="str"><v>AzurePlatform_FBCTCBasicMotion_USA_10s_CAN_PLATFORM_English_Trial_Standard_STAN_TIN_T1_2</v></cell><cell r="AJ3258"><v>103175984</v></cell></row><row r="3259"><cell r="C3259" t="str"><v>43304FACEBOOK»USA-Trial-ITD-Interest Prospecting-AZR-AZR»1 x 1»SocialBan»CAN»ALL»CPA»PRO»X»NA»SS»NA»FBCTCBenefit2inMotion»PRC1SW</v></cell><cell r="D3259" t="str"><v>43304223933138</v></cell><cell r="E3259" t="str"><v>43304103043835PRC1SW</v></cell><cell r="F3259" t="str"><v>DCM</v></cell><cell r="G3259" t="str"><v>https://signup.azure.com/?OCID=AID%eexcid!_OLA_%ebuy!_%epid!_%ecid!</v></cell></row><row r="3259"><cell r="K3259" t="str"><v>July</v></cell><cell r="L3259"><v>43309</v></cell><cell r="M3259" t="str"><v>Tier 0</v></cell><cell r="N3259" t="str"><v>North America</v></cell><cell r="O3259" t="str"><v>United States</v></cell><cell r="P3259" t="str"><v>Trial</v></cell><cell r="Q3259" t="str"><v>Social</v></cell><cell r="R3259" t="str"><v>Azure</v></cell><cell r="S3259" t="str"><v>Apps & Infra</v></cell><cell r="T3259" t="str"><v>Developers & ITI's</v></cell><cell r="U3259" t="str"><v>USA-Trial-ITD-Interest Prospecting-AZR-AZR</v></cell><cell r="V3259" t="str"><v>Prospecting</v></cell><cell r="W3259" t="str"><v>Canvas Ad</v></cell><cell r="X3259" t="str"><v>1x1</v></cell></row><row r="3259"><cell r="AA3259"><v>43304</v></cell><cell r="AB3259" t="str"><v>USA_gaPMG_AZR_AZR_Q1_19_Direct-Social</v></cell><cell r="AC3259"><v>21358715</v></cell><cell r="AD3259"><v>720197</v></cell><cell r="AE3259" t="str"><v>Facebook</v></cell><cell r="AF3259"><v>3654128</v></cell><cell r="AG3259" t="str"><v>FACEBOOK»USA-Trial-ITD-Interest Prospecting-AZR-AZR»1 x 1»SocialBan»CAN»ALL»CPA»PRO»X»NA»SS»NA»FBCTCBenefit2inMotion»PRC1SW</v></cell><cell r="AH3259"><v>223933138</v></cell><cell r="AI3259" t="str"><v>AzurePlatform_FBCTCBenefit2inMotion_USA_10s_CAN_PLATFORM_English_Trial_Standard_STAN_TIN_T4_1</v></cell><cell r="AJ3259"><v>103043835</v></cell></row><row r="3260"><cell r="C3260" t="str"><v>43304FACEBOOK»USA-Trial-ITD-Interest Prospecting-AZR-AZR»1 x 1»SocialBan»CAN»ALL»CPA»PRO»X»NA»SS»NA»FBCTCBenefit2inMotion»PRC1SW</v></cell><cell r="D3260" t="str"><v>43304223933138</v></cell><cell r="E3260" t="str"><v>43304103178645PRC1SW</v></cell><cell r="F3260" t="str"><v>DCM</v></cell><cell r="G3260" t="str"><v>https://azure.microsoft.com/en-us/pricing/purchase-options/?v=18.19&OCID=AID%eexcid!_OLA_%ebuy!_%epid!_%ecid!</v></cell></row><row r="3260"><cell r="K3260" t="str"><v>July</v></cell><cell r="L3260"><v>43309</v></cell><cell r="M3260" t="str"><v>Tier 0</v></cell><cell r="N3260" t="str"><v>North America</v></cell><cell r="O3260" t="str"><v>United States</v></cell><cell r="P3260" t="str"><v>Trial</v></cell><cell r="Q3260" t="str"><v>Social</v></cell><cell r="R3260" t="str"><v>Azure</v></cell><cell r="S3260" t="str"><v>Apps & Infra</v></cell><cell r="T3260" t="str"><v>Developers & ITI's</v></cell><cell r="U3260" t="str"><v>USA-Trial-ITD-Interest Prospecting-AZR-AZR</v></cell><cell r="V3260" t="str"><v>Prospecting</v></cell><cell r="W3260" t="str"><v>Canvas Ad</v></cell><cell r="X3260" t="str"><v>1x1</v></cell></row><row r="3260"><cell r="AA3260"><v>43304</v></cell><cell r="AB3260" t="str"><v>USA_gaPMG_AZR_AZR_Q1_19_Direct-Social</v></cell><cell r="AC3260"><v>21358715</v></cell><cell r="AD3260"><v>720197</v></cell><cell r="AE3260" t="str"><v>Facebook</v></cell><cell r="AF3260"><v>3654128</v></cell><cell r="AG3260" t="str"><v>FACEBOOK»USA-Trial-ITD-Interest Prospecting-AZR-AZR»1 x 1»SocialBan»CAN»ALL»CPA»PRO»X»NA»SS»NA»FBCTCBenefit2inMotion»PRC1SW</v></cell><cell r="AH3260"><v>223933138</v></cell><cell r="AI3260" t="str"><v>AzurePlatform_FBCTCBenefit2inMotion_USA_10s_CAN_PLATFORM_English_Trial_Standard_STAN_TIN_T4_2</v></cell><cell r="AJ3260"><v>103178645</v></cell></row><row r="3261"><cell r="C3261" t="str"><v>43304FACEBOOK»USA-Trial-ITD-Interest Prospecting-AZR-AZR»1 x 1»SocialBan»CAN»ALL»CPA»PRO»X»NA»SS»NA»FBCTCBrandinMotion»PRC1SY</v></cell><cell r="D3261" t="str"><v>43304224104929</v></cell><cell r="E3261" t="str"><v>43304103176812PRC1SY</v></cell><cell r="F3261" t="str"><v>DCM</v></cell><cell r="G3261" t="str"><v>https://signup.azure.com/?OCID=AID%eexcid!_OLA_%ebuy!_%epid!_%ecid!</v></cell></row><row r="3261"><cell r="K3261" t="str"><v>July</v></cell><cell r="L3261"><v>43309</v></cell><cell r="M3261" t="str"><v>Tier 0</v></cell><cell r="N3261" t="str"><v>North America</v></cell><cell r="O3261" t="str"><v>United States</v></cell><cell r="P3261" t="str"><v>Trial</v></cell><cell r="Q3261" t="str"><v>Social</v></cell><cell r="R3261" t="str"><v>Azure</v></cell><cell r="S3261" t="str"><v>Apps & Infra</v></cell><cell r="T3261" t="str"><v>Developers & ITI's</v></cell><cell r="U3261" t="str"><v>USA-Trial-ITD-Interest Prospecting-AZR-AZR</v></cell><cell r="V3261" t="str"><v>Prospecting</v></cell><cell r="W3261" t="str"><v>Canvas Ad</v></cell><cell r="X3261" t="str"><v>1x1</v></cell></row><row r="3261"><cell r="AA3261"><v>43304</v></cell><cell r="AB3261" t="str"><v>USA_gaPMG_AZR_AZR_Q1_19_Direct-Social</v></cell><cell r="AC3261"><v>21358715</v></cell><cell r="AD3261"><v>720197</v></cell><cell r="AE3261" t="str"><v>Facebook</v></cell><cell r="AF3261"><v>3654128</v></cell><cell r="AG3261" t="str"><v>FACEBOOK»USA-Trial-ITD-Interest Prospecting-AZR-AZR»1 x 1»SocialBan»CAN»ALL»CPA»PRO»X»NA»SS»NA»FBCTCBrandinMotion»PRC1SY</v></cell><cell r="AH3261"><v>224104929</v></cell><cell r="AI3261" t="str"><v>AzurePlatform_FBCTCBrandinMotion_USA_10s_CAN_PLATFORM_English_Trial_Standard_STAN_TIN_T2_1</v></cell><cell r="AJ3261"><v>103176812</v></cell></row><row r="3262"><cell r="C3262" t="str"><v>43304FACEBOOK»USA-Trial-ITD-Interest Prospecting-AZR-AZR»1 x 1»SocialBan»CAN»ALL»CPA»PRO»X»NA»SS»NA»FBCTCBrandinMotion»PRC1SY</v></cell><cell r="D3262" t="str"><v>43304224104929</v></cell><cell r="E3262" t="str"><v>43304103032823PRC1SY</v></cell><cell r="F3262" t="str"><v>DCM</v></cell><cell r="G3262" t="str"><v>https://azure.microsoft.com/en-us/pricing/purchase-options/?v=18.19&OCID=AID%eexcid!_OLA_%ebuy!_%epid!_%ecid!</v></cell></row><row r="3262"><cell r="K3262" t="str"><v>July</v></cell><cell r="L3262"><v>43309</v></cell><cell r="M3262" t="str"><v>Tier 0</v></cell><cell r="N3262" t="str"><v>North America</v></cell><cell r="O3262" t="str"><v>United States</v></cell><cell r="P3262" t="str"><v>Trial</v></cell><cell r="Q3262" t="str"><v>Social</v></cell><cell r="R3262" t="str"><v>Azure</v></cell><cell r="S3262" t="str"><v>Apps & Infra</v></cell><cell r="T3262" t="str"><v>Developers & ITI's</v></cell><cell r="U3262" t="str"><v>USA-Trial-ITD-Interest Prospecting-AZR-AZR</v></cell><cell r="V3262" t="str"><v>Prospecting</v></cell><cell r="W3262" t="str"><v>Canvas Ad</v></cell><cell r="X3262" t="str"><v>1x1</v></cell></row><row r="3262"><cell r="AA3262"><v>43304</v></cell><cell r="AB3262" t="str"><v>USA_gaPMG_AZR_AZR_Q1_19_Direct-Social</v></cell><cell r="AC3262"><v>21358715</v></cell><cell r="AD3262"><v>720197</v></cell><cell r="AE3262" t="str"><v>Facebook</v></cell><cell r="AF3262"><v>3654128</v></cell><cell r="AG3262" t="str"><v>FACEBOOK»USA-Trial-ITD-Interest Prospecting-AZR-AZR»1 x 1»SocialBan»CAN»ALL»CPA»PRO»X»NA»SS»NA»FBCTCBrandinMotion»PRC1SY</v></cell><cell r="AH3262"><v>224104929</v></cell><cell r="AI3262" t="str"><v>AzurePlatform_FBCTCBrandinMotion_USA_10s_CAN_PLATFORM_English_Trial_Standard_STAN_TIN_T2_2</v></cell><cell r="AJ3262"><v>103032823</v></cell></row><row r="3263"><cell r="C3263" t="str"><v>43304FACEBOOK»USA-Trial-ITD-Interest Prospecting-AZR-AZR»1 x 1»SocialBan»LIA»ALL»CPA»PRO»X»NA»SS»NA»FreeAcctDeveloperFB-AnimatedGeneric-Ch1»PRC1SZ</v></cell><cell r="D3263" t="str"><v>43304224104932</v></cell><cell r="E3263" t="str"><v>43304103176851PRC1SZ</v></cell><cell r="F3263" t="str"><v>DCM</v></cell><cell r="G3263" t="str"><v>https://azure.microsoft.com/en-us/free/search/?OCID=AID%eexcid!_OLA_%ebuy!_%epid!_%ecid!</v></cell></row><row r="3263"><cell r="K3263" t="str"><v>July</v></cell><cell r="L3263"><v>43309</v></cell><cell r="M3263" t="str"><v>Tier 0</v></cell><cell r="N3263" t="str"><v>North America</v></cell><cell r="O3263" t="str"><v>United States</v></cell><cell r="P3263" t="str"><v>Trial</v></cell><cell r="Q3263" t="str"><v>Social</v></cell><cell r="R3263" t="str"><v>Azure</v></cell><cell r="S3263" t="str"><v>Apps & Infra</v></cell><cell r="T3263" t="str"><v>Developers & ITI's</v></cell><cell r="U3263" t="str"><v>USA-Trial-ITD-Interest Prospecting-AZR-AZR</v></cell><cell r="V3263" t="str"><v>Prospecting</v></cell><cell r="W3263" t="str"><v>Link Ad</v></cell><cell r="X3263" t="str"><v>1x1</v></cell></row><row r="3263"><cell r="AA3263"><v>43304</v></cell><cell r="AB3263" t="str"><v>USA_gaPMG_AZR_AZR_Q1_19_Direct-Social</v></cell><cell r="AC3263"><v>21358715</v></cell><cell r="AD3263"><v>720197</v></cell><cell r="AE3263" t="str"><v>Facebook</v></cell><cell r="AF3263"><v>3654128</v></cell><cell r="AG3263" t="str"><v>FACEBOOK»USA-Trial-ITD-Interest Prospecting-AZR-AZR»1 x 1»SocialBan»LIA»ALL»CPA»PRO»X»NA»SS»NA»FreeAcctDeveloperFB-AnimatedGeneric-Ch1»PRC1SZ</v></cell><cell r="AH3263"><v>224104932</v></cell><cell r="AI3263" t="str"><v>AZR_FreeAcctDeveloperFB-AnimatedGeneric-Ch1_USA_1200x1200_CAN_Direct_English_Trial_Standard_ANI_LEA_T1_2</v></cell><cell r="AJ3263"><v>103176851</v></cell></row><row r="3264"><cell r="C3264" t="str"><v>43304FACEBOOK»USA-Trial-ITD-Interest Prospecting-AZR-AZR»1 x 1»SocialBan»LIA»ALL»CPA»PRO»X»NA»SS»NA»FreeAcctDeveloperFB-AnimatedGeneric-Ch1»PRC1T0</v></cell><cell r="D3264" t="str"><v>43304223934065</v></cell><cell r="E3264" t="str"><v>43304103176851PRC1T0</v></cell><cell r="F3264" t="str"><v>DCM</v></cell><cell r="G3264" t="str"><v>https://azure.microsoft.com/en-us/free/search/?OCID=AID%eexcid!_OLA_%ebuy!_%epid!_%ecid!</v></cell></row><row r="3264"><cell r="K3264" t="str"><v>July</v></cell><cell r="L3264"><v>43309</v></cell><cell r="M3264" t="str"><v>Tier 0</v></cell><cell r="N3264" t="str"><v>North America</v></cell><cell r="O3264" t="str"><v>United States</v></cell><cell r="P3264" t="str"><v>Trial</v></cell><cell r="Q3264" t="str"><v>Social</v></cell><cell r="R3264" t="str"><v>Azure</v></cell><cell r="S3264" t="str"><v>Apps & Infra</v></cell><cell r="T3264" t="str"><v>Developers & ITI's</v></cell><cell r="U3264" t="str"><v>USA-Trial-ITD-Interest Prospecting-AZR-AZR</v></cell><cell r="V3264" t="str"><v>Prospecting</v></cell><cell r="W3264" t="str"><v>Link Ad</v></cell><cell r="X3264" t="str"><v>1x1</v></cell></row><row r="3264"><cell r="AA3264"><v>43304</v></cell><cell r="AB3264" t="str"><v>USA_gaPMG_AZR_AZR_Q1_19_Direct-Social</v></cell><cell r="AC3264"><v>21358715</v></cell><cell r="AD3264"><v>720197</v></cell><cell r="AE3264" t="str"><v>Facebook</v></cell><cell r="AF3264"><v>3654128</v></cell><cell r="AG3264" t="str"><v>FACEBOOK»USA-Trial-ITD-Interest Prospecting-AZR-AZR»1 x 1»SocialBan»LIA»ALL»CPA»PRO»X»NA»SS»NA»FreeAcctDeveloperFB-AnimatedGeneric-Ch1»PRC1T0</v></cell><cell r="AH3264"><v>223934065</v></cell><cell r="AI3264" t="str"><v>AZR_FreeAcctDeveloperFB-AnimatedGeneric-Ch1_USA_1200x1200_CAN_Direct_English_Trial_Standard_ANI_LEA_T1_2</v></cell><cell r="AJ3264"><v>103176851</v></cell></row><row r="3265"><cell r="C3265" t="str"><v>43304FACEBOOK»USA-Trial-ITD-Interest Prospecting-AZR-AZR»1 x 1»SocialBan»LIA»ALL»CPA»PRO»X»NA»SS»NA»FreeAcctITProFB-AnimatedHybrid-Ch2»PRC1T5</v></cell><cell r="D3265" t="str"><v>43304223862882</v></cell><cell r="E3265" t="str"><v>43304103180583PRC1T5</v></cell><cell r="F3265" t="str"><v>DCM</v></cell></row><row r="3265"><cell r="K3265" t="str"><v>July</v></cell><cell r="L3265"><v>43309</v></cell><cell r="M3265" t="str"><v>Tier 0</v></cell><cell r="N3265" t="str"><v>North America</v></cell><cell r="O3265" t="str"><v>United States</v></cell><cell r="P3265" t="str"><v>Trial</v></cell><cell r="Q3265" t="str"><v>Social</v></cell><cell r="R3265" t="str"><v>Azure</v></cell><cell r="S3265" t="str"><v>Apps & Infra</v></cell><cell r="T3265" t="str"><v>Developers & ITI's</v></cell><cell r="U3265" t="str"><v>USA-Trial-ITD-Interest Prospecting-AZR-AZR</v></cell><cell r="V3265" t="str"><v>Prospecting</v></cell><cell r="W3265" t="str"><v>Link Ad</v></cell><cell r="X3265" t="str"><v>1x1</v></cell></row><row r="3265"><cell r="AA3265"><v>43304</v></cell><cell r="AB3265" t="str"><v>USA_gaPMG_AZR_AZR_Q1_19_Direct-Social</v></cell><cell r="AC3265"><v>21358715</v></cell><cell r="AD3265"><v>720197</v></cell><cell r="AE3265" t="str"><v>Facebook</v></cell><cell r="AF3265"><v>3654128</v></cell><cell r="AG3265" t="str"><v>FACEBOOK»USA-Trial-ITD-Interest Prospecting-AZR-AZR»1 x 1»SocialBan»LIA»ALL»CPA»PRO»X»NA»SS»NA»FreeAcctITProFB-AnimatedHybrid-Ch2»PRC1T5</v></cell><cell r="AH3265"><v>223862882</v></cell><cell r="AI3265" t="str"><v>AZR_FreeAcctITProFB-AnimatedHybrid-Ch2_USA_1200x1200_CAN_Direct_English_Trial_Standard_ANI_LEA_T2_2</v></cell><cell r="AJ3265"><v>103180583</v></cell></row><row r="3266"><cell r="C3266" t="str"><v>43304FACEBOOK»USA-Trial-ITD-Interest Prospecting-AZR-AZR»1 x 1»SocialBan»LIA»ALL»CPA»PRO»X»NA»SS»NA»FreeAcctITProFB-AnimatedSecureMngd-Ch1»PRC1T4</v></cell><cell r="D3266" t="str"><v>43304224104914</v></cell><cell r="E3266" t="str"><v>43304103176830PRC1T4</v></cell><cell r="F3266" t="str"><v>DCM</v></cell></row><row r="3266"><cell r="K3266" t="str"><v>July</v></cell><cell r="L3266"><v>43309</v></cell><cell r="M3266" t="str"><v>Tier 0</v></cell><cell r="N3266" t="str"><v>North America</v></cell><cell r="O3266" t="str"><v>United States</v></cell><cell r="P3266" t="str"><v>Trial</v></cell><cell r="Q3266" t="str"><v>Social</v></cell><cell r="R3266" t="str"><v>Azure</v></cell><cell r="S3266" t="str"><v>Apps & Infra</v></cell><cell r="T3266" t="str"><v>Developers & ITI's</v></cell><cell r="U3266" t="str"><v>USA-Trial-ITD-Interest Prospecting-AZR-AZR</v></cell><cell r="V3266" t="str"><v>Prospecting</v></cell><cell r="W3266" t="str"><v>Link Ad</v></cell><cell r="X3266" t="str"><v>1x1</v></cell></row><row r="3266"><cell r="AA3266"><v>43304</v></cell><cell r="AB3266" t="str"><v>USA_gaPMG_AZR_AZR_Q1_19_Direct-Social</v></cell><cell r="AC3266"><v>21358715</v></cell><cell r="AD3266"><v>720197</v></cell><cell r="AE3266" t="str"><v>Facebook</v></cell><cell r="AF3266"><v>3654128</v></cell><cell r="AG3266" t="str"><v>FACEBOOK»USA-Trial-ITD-Interest Prospecting-AZR-AZR»1 x 1»SocialBan»LIA»ALL»CPA»PRO»X»NA»SS»NA»FreeAcctITProFB-AnimatedSecureMngd-Ch1»PRC1T4</v></cell><cell r="AH3266"><v>224104914</v></cell><cell r="AI3266" t="str"><v>AZR_FreeAcctITProFB-AnimatedSecureMngd-Ch1_USA_1200x1200_CAN_Direct_English_Trial_Standard_ANI_LEA_T1_1</v></cell><cell r="AJ3266"><v>103176830</v></cell></row><row r="3267"><cell r="C3267" t="str"><v>43304FACEBOOK»USA-Trial-ITD-Interest Prospecting-AZR-AZR»1 x 1»SocialBan»CAN»ALL»CPA»PRO»X»NA»SS»NA»FBCTCBenefitinMotion»PRC1SX</v></cell><cell r="D3267" t="str"><v>43304224104077</v></cell><cell r="E3267" t="str"><v>43304103032775PRC1SX</v></cell><cell r="F3267" t="str"><v>DCM</v></cell><cell r="G3267" t="str"><v>https://signup.azure.com/?OCID=AID%eexcid!_OLA_%ebuy!_%epid!_%ecid!</v></cell></row><row r="3267"><cell r="K3267" t="str"><v>July</v></cell><cell r="L3267"><v>43309</v></cell><cell r="M3267" t="str"><v>Tier 0</v></cell><cell r="N3267" t="str"><v>North America</v></cell><cell r="O3267" t="str"><v>United States</v></cell><cell r="P3267" t="str"><v>Trial</v></cell><cell r="Q3267" t="str"><v>Social</v></cell><cell r="R3267" t="str"><v>Azure</v></cell><cell r="S3267" t="str"><v>Apps & Infra</v></cell><cell r="T3267" t="str"><v>Developers & ITI's</v></cell><cell r="U3267" t="str"><v>USA-Trial-ITD-Interest Prospecting-AZR-AZR</v></cell><cell r="V3267" t="str"><v>Prospecting</v></cell><cell r="W3267" t="str"><v>Canvas Ad</v></cell><cell r="X3267" t="str"><v>1x1</v></cell></row><row r="3267"><cell r="AA3267"><v>43304</v></cell><cell r="AB3267" t="str"><v>USA_gaPMG_AZR_AZR_Q1_19_Direct-Social</v></cell><cell r="AC3267"><v>21358715</v></cell><cell r="AD3267"><v>720197</v></cell><cell r="AE3267" t="str"><v>Facebook</v></cell><cell r="AF3267"><v>3654128</v></cell><cell r="AG3267" t="str"><v>FACEBOOK»USA-Trial-ITD-Interest Prospecting-AZR-AZR»1 x 1»SocialBan»CAN»ALL»CPA»PRO»X»NA»SS»NA»FBCTCBenefitinMotion»PRC1SX</v></cell><cell r="AH3267"><v>224104077</v></cell><cell r="AI3267" t="str"><v>AzurePlatform_FBCTCBenefitinMotion_USA_10s_CAN_PLATFORM_English_Trial_Standard_STAN_TIN_T3_1</v></cell><cell r="AJ3267"><v>103032775</v></cell></row><row r="3268"><cell r="C3268" t="str"><v>43304FACEBOOK»USA-Trial-ITD-Interest Prospecting-AZR-AZR»1 x 1»SocialBan»CAN»ALL»CPA»PRO»X»NA»SS»NA»FBCTCBenefitinMotion»PRC1SX</v></cell><cell r="D3268" t="str"><v>43304224104077</v></cell><cell r="E3268" t="str"><v>43304103176836PRC1SX</v></cell><cell r="F3268" t="str"><v>DCM</v></cell><cell r="G3268" t="str"><v>https://azure.microsoft.com/en-us/pricing/purchase-options/?v=18.19&OCID=AID%eexcid!_OLA_%ebuy!_%epid!_%ecid!</v></cell></row><row r="3268"><cell r="K3268" t="str"><v>July</v></cell><cell r="L3268"><v>43309</v></cell><cell r="M3268" t="str"><v>Tier 0</v></cell><cell r="N3268" t="str"><v>North America</v></cell><cell r="O3268" t="str"><v>United States</v></cell><cell r="P3268" t="str"><v>Trial</v></cell><cell r="Q3268" t="str"><v>Social</v></cell><cell r="R3268" t="str"><v>Azure</v></cell><cell r="S3268" t="str"><v>Apps & Infra</v></cell><cell r="T3268" t="str"><v>Developers & ITI's</v></cell><cell r="U3268" t="str"><v>USA-Trial-ITD-Interest Prospecting-AZR-AZR</v></cell><cell r="V3268" t="str"><v>Prospecting</v></cell><cell r="W3268" t="str"><v>Canvas Ad</v></cell><cell r="X3268" t="str"><v>1x1</v></cell></row><row r="3268"><cell r="AA3268"><v>43304</v></cell><cell r="AB3268" t="str"><v>USA_gaPMG_AZR_AZR_Q1_19_Direct-Social</v></cell><cell r="AC3268"><v>21358715</v></cell><cell r="AD3268"><v>720197</v></cell><cell r="AE3268" t="str"><v>Facebook</v></cell><cell r="AF3268"><v>3654128</v></cell><cell r="AG3268" t="str"><v>FACEBOOK»USA-Trial-ITD-Interest Prospecting-AZR-AZR»1 x 1»SocialBan»CAN»ALL»CPA»PRO»X»NA»SS»NA»FBCTCBenefitinMotion»PRC1SX</v></cell><cell r="AH3268"><v>224104077</v></cell><cell r="AI3268" t="str"><v>AzurePlatform_FBCTCBenefitinMotion_USA_10s_CAN_PLATFORM_English_Trial_Standard_STAN_TIN_T3_2</v></cell><cell r="AJ3268"><v>103176836</v></cell></row><row r="3269"><cell r="C3269" t="str"><v>43304FACEBOOK»USA-Trial-ITD-Retargeting-AZR-AZR»1 x 1»SocialBan»LIA»ALL»CPA»RT»X»NA»SS»NA»FreeAcctDeveloperFB-AnimatedAI-Ch3»PRC26H</v></cell><cell r="D3269" t="str"><v>43304223863371</v></cell><cell r="E3269" t="str"><v>43304103032778PRC26H</v></cell><cell r="F3269" t="str"><v>DCM</v></cell></row><row r="3269"><cell r="K3269" t="str"><v>July</v></cell><cell r="L3269"><v>43309</v></cell><cell r="M3269" t="str"><v>Tier 0</v></cell><cell r="N3269" t="str"><v>North America</v></cell><cell r="O3269" t="str"><v>United States</v></cell><cell r="P3269" t="str"><v>Trial</v></cell><cell r="Q3269" t="str"><v>Social</v></cell><cell r="R3269" t="str"><v>Azure</v></cell><cell r="S3269" t="str"><v>Apps & Infra</v></cell><cell r="T3269" t="str"><v>Developers & ITI's</v></cell><cell r="U3269" t="str"><v>USA-Trial-ITD-Retargeting-AZR-AZR</v></cell><cell r="V3269" t="str"><v>Retargeting</v></cell><cell r="W3269" t="str"><v>Link Ad</v></cell><cell r="X3269" t="str"><v>1x1</v></cell></row><row r="3269"><cell r="AA3269"><v>43304</v></cell><cell r="AB3269" t="str"><v>USA_gaPMG_AZR_AZR_Q1_19_Direct-Social</v></cell><cell r="AC3269"><v>21358715</v></cell><cell r="AD3269"><v>720197</v></cell><cell r="AE3269" t="str"><v>Facebook</v></cell><cell r="AF3269"><v>3654128</v></cell><cell r="AG3269" t="str"><v>FACEBOOK»USA-Trial-ITD-Retargeting-AZR-AZR»1 x 1»SocialBan»LIA»ALL»CPA»RT»X»NA»SS»NA»FreeAcctDeveloperFB-AnimatedAI-Ch3»PRC26H</v></cell><cell r="AH3269"><v>223863371</v></cell><cell r="AI3269" t="str"><v>AZR_FreeAcctDeveloperFB-AnimatedAI-Ch3_USA_1200x1200_CAN_Direct_English_Trial_Standard_ANI_LEA_T3_1</v></cell><cell r="AJ3269"><v>103032778</v></cell></row><row r="3270"><cell r="C3270" t="str"><v>43304FACEBOOK»USA-Trial-ITD-Retargeting-AZR-AZR»1 x 1»SocialBan»LIA»ALL»CPA»RT»X»NA»SS»NA»FreeAcctDeveloperFB-AnimatedData-Ch4»PRC26J</v></cell><cell r="D3270" t="str"><v>43304224106078</v></cell><cell r="E3270" t="str"><v>43304103037935PRC26J</v></cell><cell r="F3270" t="str"><v>DCM</v></cell></row><row r="3270"><cell r="K3270" t="str"><v>July</v></cell><cell r="L3270"><v>43309</v></cell><cell r="M3270" t="str"><v>Tier 0</v></cell><cell r="N3270" t="str"><v>North America</v></cell><cell r="O3270" t="str"><v>United States</v></cell><cell r="P3270" t="str"><v>Trial</v></cell><cell r="Q3270" t="str"><v>Social</v></cell><cell r="R3270" t="str"><v>Azure</v></cell><cell r="S3270" t="str"><v>Apps & Infra</v></cell><cell r="T3270" t="str"><v>Developers & ITI's</v></cell><cell r="U3270" t="str"><v>USA-Trial-ITD-Retargeting-AZR-AZR</v></cell><cell r="V3270" t="str"><v>Retargeting</v></cell><cell r="W3270" t="str"><v>Link Ad</v></cell><cell r="X3270" t="str"><v>1x1</v></cell></row><row r="3270"><cell r="AA3270"><v>43304</v></cell><cell r="AB3270" t="str"><v>USA_gaPMG_AZR_AZR_Q1_19_Direct-Social</v></cell><cell r="AC3270"><v>21358715</v></cell><cell r="AD3270"><v>720197</v></cell><cell r="AE3270" t="str"><v>Facebook</v></cell><cell r="AF3270"><v>3654128</v></cell><cell r="AG3270" t="str"><v>FACEBOOK»USA-Trial-ITD-Retargeting-AZR-AZR»1 x 1»SocialBan»LIA»ALL»CPA»RT»X»NA»SS»NA»FreeAcctDeveloperFB-AnimatedData-Ch4»PRC26J</v></cell><cell r="AH3270"><v>224106078</v></cell><cell r="AI3270" t="str"><v>AZR_FreeAcctDeveloperFB-AnimatedData-Ch4_USA_1200x1200_CAN_Direct_English_Trial_Standard_ANI_LEA_T4_2</v></cell><cell r="AJ3270"><v>103037935</v></cell></row><row r="3271"><cell r="C3271" t="str"><v>43304FACEBOOK»USA-Trial-ITD-Retargeting-AZR-AZR»1 x 1»SocialBan»LIA»ALL»CPA»RT»X»NA»SS»NA»FreeAcctDeveloperFB-AnimatedGeneric-Ch1»PRC26F</v></cell><cell r="D3271" t="str"><v>43304224105850</v></cell><cell r="E3271" t="str"><v>43304103176851PRC26F</v></cell><cell r="F3271" t="str"><v>DCM</v></cell><cell r="G3271" t="str"><v>https://azure.microsoft.com/en-us/free/search/?OCID=AID%eexcid!_OLA_%ebuy!_%epid!_%ecid!</v></cell></row><row r="3271"><cell r="K3271" t="str"><v>July</v></cell><cell r="L3271"><v>43309</v></cell><cell r="M3271" t="str"><v>Tier 0</v></cell><cell r="N3271" t="str"><v>North America</v></cell><cell r="O3271" t="str"><v>United States</v></cell><cell r="P3271" t="str"><v>Trial</v></cell><cell r="Q3271" t="str"><v>Social</v></cell><cell r="R3271" t="str"><v>Azure</v></cell><cell r="S3271" t="str"><v>Apps & Infra</v></cell><cell r="T3271" t="str"><v>Developers & ITI's</v></cell><cell r="U3271" t="str"><v>USA-Trial-ITD-Retargeting-AZR-AZR</v></cell><cell r="V3271" t="str"><v>Retargeting</v></cell><cell r="W3271" t="str"><v>Link Ad</v></cell><cell r="X3271" t="str"><v>1x1</v></cell></row><row r="3271"><cell r="AA3271"><v>43304</v></cell><cell r="AB3271" t="str"><v>USA_gaPMG_AZR_AZR_Q1_19_Direct-Social</v></cell><cell r="AC3271"><v>21358715</v></cell><cell r="AD3271"><v>720197</v></cell><cell r="AE3271" t="str"><v>Facebook</v></cell><cell r="AF3271"><v>3654128</v></cell><cell r="AG3271" t="str"><v>FACEBOOK»USA-Trial-ITD-Retargeting-AZR-AZR»1 x 1»SocialBan»LIA»ALL»CPA»RT»X»NA»SS»NA»FreeAcctDeveloperFB-AnimatedGeneric-Ch1»PRC26F</v></cell><cell r="AH3271"><v>224105850</v></cell><cell r="AI3271" t="str"><v>AZR_FreeAcctDeveloperFB-AnimatedGeneric-Ch1_USA_1200x1200_CAN_Direct_English_Trial_Standard_ANI_LEA_T1_2</v></cell><cell r="AJ3271"><v>103176851</v></cell></row><row r="3272"><cell r="C3272" t="str"><v>43304FACEBOOK»USA-Trial-ITD-Retargeting-AZR-AZR»1 x 1»SocialBan»LIA»ALL»CPA»RT»X»NA»SS»NA»FreeAcctDeveloperFB-AnimatedOpenSource-Ch2»PRC26G</v></cell><cell r="D3272" t="str"><v>43304223862873</v></cell><cell r="E3272" t="str"><v>43304103048329PRC26G</v></cell><cell r="F3272" t="str"><v>DCM</v></cell><cell r="G3272" t="str"><v>https://azure.microsoft.com/en-us/free/open-source/search/?OCID=AID%eexcid!_OLA_%ebuy!_%epid!_%ecid!</v></cell></row><row r="3272"><cell r="K3272" t="str"><v>July</v></cell><cell r="L3272"><v>43309</v></cell><cell r="M3272" t="str"><v>Tier 0</v></cell><cell r="N3272" t="str"><v>North America</v></cell><cell r="O3272" t="str"><v>United States</v></cell><cell r="P3272" t="str"><v>Trial</v></cell><cell r="Q3272" t="str"><v>Social</v></cell><cell r="R3272" t="str"><v>Azure</v></cell><cell r="S3272" t="str"><v>Apps & Infra</v></cell><cell r="T3272" t="str"><v>Developers & ITI's</v></cell><cell r="U3272" t="str"><v>USA-Trial-ITD-Retargeting-AZR-AZR</v></cell><cell r="V3272" t="str"><v>Retargeting</v></cell><cell r="W3272" t="str"><v>Link Ad</v></cell><cell r="X3272" t="str"><v>1x1</v></cell></row><row r="3272"><cell r="AA3272"><v>43304</v></cell><cell r="AB3272" t="str"><v>USA_gaPMG_AZR_AZR_Q1_19_Direct-Social</v></cell><cell r="AC3272"><v>21358715</v></cell><cell r="AD3272"><v>720197</v></cell><cell r="AE3272" t="str"><v>Facebook</v></cell><cell r="AF3272"><v>3654128</v></cell><cell r="AG3272" t="str"><v>FACEBOOK»USA-Trial-ITD-Retargeting-AZR-AZR»1 x 1»SocialBan»LIA»ALL»CPA»RT»X»NA»SS»NA»FreeAcctDeveloperFB-AnimatedOpenSource-Ch2»PRC26G</v></cell><cell r="AH3272"><v>223862873</v></cell><cell r="AI3272" t="str"><v>AZR_FreeAcctDeveloperFB-AnimatedOpenSource-Ch2_USA_1200x1200_CAN_Direct_English_Trial_Standard_ANI_LEA_T2_1</v></cell><cell r="AJ3272"><v>103048329</v></cell></row><row r="3273"><cell r="C3273" t="str"><v>43304FACEBOOK»USA-Trial-ITD-Retargeting-AZR-AZR»1 x 1»SocialBan»LIA»ALL»CPA»RT»X»NA»SS»NA»FreeAcctITProFB-AnimatedHybrid-Ch2»PRC26N</v></cell><cell r="D3273" t="str"><v>43304223934053</v></cell><cell r="E3273" t="str"><v>43304103180583PRC26N</v></cell><cell r="F3273" t="str"><v>DCM</v></cell></row><row r="3273"><cell r="K3273" t="str"><v>July</v></cell><cell r="L3273"><v>43309</v></cell><cell r="M3273" t="str"><v>Tier 0</v></cell><cell r="N3273" t="str"><v>North America</v></cell><cell r="O3273" t="str"><v>United States</v></cell><cell r="P3273" t="str"><v>Trial</v></cell><cell r="Q3273" t="str"><v>Social</v></cell><cell r="R3273" t="str"><v>Azure</v></cell><cell r="S3273" t="str"><v>Apps & Infra</v></cell><cell r="T3273" t="str"><v>Developers & ITI's</v></cell><cell r="U3273" t="str"><v>USA-Trial-ITD-Retargeting-AZR-AZR</v></cell><cell r="V3273" t="str"><v>Retargeting</v></cell><cell r="W3273" t="str"><v>Link Ad</v></cell><cell r="X3273" t="str"><v>1x1</v></cell></row><row r="3273"><cell r="AA3273"><v>43304</v></cell><cell r="AB3273" t="str"><v>USA_gaPMG_AZR_AZR_Q1_19_Direct-Social</v></cell><cell r="AC3273"><v>21358715</v></cell><cell r="AD3273"><v>720197</v></cell><cell r="AE3273" t="str"><v>Facebook</v></cell><cell r="AF3273"><v>3654128</v></cell><cell r="AG3273" t="str"><v>FACEBOOK»USA-Trial-ITD-Retargeting-AZR-AZR»1 x 1»SocialBan»LIA»ALL»CPA»RT»X»NA»SS»NA»FreeAcctITProFB-AnimatedHybrid-Ch2»PRC26N</v></cell><cell r="AH3273"><v>223934053</v></cell><cell r="AI3273" t="str"><v>AZR_FreeAcctITProFB-AnimatedHybrid-Ch2_USA_1200x1200_CAN_Direct_English_Trial_Standard_ANI_LEA_T2_2</v></cell><cell r="AJ3273"><v>103180583</v></cell></row><row r="3274"><cell r="C3274" t="str"><v>43304FACEBOOK»USA-Trial-ITD-Retargeting-AZR-AZR»1 x 1»SocialBan»LIA»ALL»CPA»RT»X»NA»SS»NA»FreeAcctITProFB-AnimatedMigration-Ch3»PRC26P</v></cell><cell r="D3274" t="str"><v>43304223934056</v></cell><cell r="E3274" t="str"><v>43304103176827PRC26P</v></cell><cell r="F3274" t="str"><v>DCM</v></cell></row><row r="3274"><cell r="K3274" t="str"><v>July</v></cell><cell r="L3274"><v>43309</v></cell><cell r="M3274" t="str"><v>Tier 0</v></cell><cell r="N3274" t="str"><v>North America</v></cell><cell r="O3274" t="str"><v>United States</v></cell><cell r="P3274" t="str"><v>Trial</v></cell><cell r="Q3274" t="str"><v>Social</v></cell><cell r="R3274" t="str"><v>Azure</v></cell><cell r="S3274" t="str"><v>Apps & Infra</v></cell><cell r="T3274" t="str"><v>Developers & ITI's</v></cell><cell r="U3274" t="str"><v>USA-Trial-ITD-Retargeting-AZR-AZR</v></cell><cell r="V3274" t="str"><v>Retargeting</v></cell><cell r="W3274" t="str"><v>Link Ad</v></cell><cell r="X3274" t="str"><v>1x1</v></cell></row><row r="3274"><cell r="AA3274"><v>43304</v></cell><cell r="AB3274" t="str"><v>USA_gaPMG_AZR_AZR_Q1_19_Direct-Social</v></cell><cell r="AC3274"><v>21358715</v></cell><cell r="AD3274"><v>720197</v></cell><cell r="AE3274" t="str"><v>Facebook</v></cell><cell r="AF3274"><v>3654128</v></cell><cell r="AG3274" t="str"><v>FACEBOOK»USA-Trial-ITD-Retargeting-AZR-AZR»1 x 1»SocialBan»LIA»ALL»CPA»RT»X»NA»SS»NA»FreeAcctITProFB-AnimatedMigration-Ch3»PRC26P</v></cell><cell r="AH3274"><v>223934056</v></cell><cell r="AI3274" t="str"><v>AZR_FreeAcctITProFB-AnimatedMigration-Ch3_USA_1200x1200_CAN_Direct_English_Trial_Standard_ANI_LEA_T3_1</v></cell><cell r="AJ3274"><v>103176827</v></cell></row><row r="3275"><cell r="C3275" t="str"><v>43304FACEBOOK»USA-Trial-ITD-Retargeting-AZR-AZR»1 x 1»SocialBan»LIA»ALL»CPA»RT»X»NA»SS»NA»FreeAcctRetargetingFB-Animated-ChC»PRC1RX</v></cell><cell r="D3275" t="str"><v>43304223862864</v></cell><cell r="E3275" t="str"><v>43304103180880PRC1RX</v></cell><cell r="F3275" t="str"><v>DCM</v></cell><cell r="G3275" t="str"><v>https://azure.microsoft.com/en-us/free/search/?OCID=AID%eexcid!_OLA_%ebuy!_%epid!_%ecid!</v></cell></row><row r="3275"><cell r="K3275" t="str"><v>July</v></cell><cell r="L3275"><v>43309</v></cell><cell r="M3275" t="str"><v>Tier 0</v></cell><cell r="N3275" t="str"><v>North America</v></cell><cell r="O3275" t="str"><v>United States</v></cell><cell r="P3275" t="str"><v>Trial</v></cell><cell r="Q3275" t="str"><v>Social</v></cell><cell r="R3275" t="str"><v>Azure</v></cell><cell r="S3275" t="str"><v>Apps & Infra</v></cell><cell r="T3275" t="str"><v>Developers & ITI's</v></cell><cell r="U3275" t="str"><v>USA-Trial-ITD-Retargeting-AZR-AZR</v></cell><cell r="V3275" t="str"><v>Retargeting</v></cell><cell r="W3275" t="str"><v>Link Ad</v></cell><cell r="X3275" t="str"><v>1x1</v></cell></row><row r="3275"><cell r="AA3275"><v>43304</v></cell><cell r="AB3275" t="str"><v>USA_gaPMG_AZR_AZR_Q1_19_Direct-Social</v></cell><cell r="AC3275"><v>21358715</v></cell><cell r="AD3275"><v>720197</v></cell><cell r="AE3275" t="str"><v>Facebook</v></cell><cell r="AF3275"><v>3654128</v></cell><cell r="AG3275" t="str"><v>FACEBOOK»USA-Trial-ITD-Retargeting-AZR-AZR»1 x 1»SocialBan»LIA»ALL»CPA»RT»X»NA»SS»NA»FreeAcctRetargetingFB-Animated-ChC»PRC1RX</v></cell><cell r="AH3275"><v>223862864</v></cell><cell r="AI3275" t="str"><v>AzurePlatform_FreeAcctRetargetingFB-Animated-ChC_USA_1200x628_CAN_PLATFORM_English_Free Account_Standard_ANI_SINU_T3_2</v></cell><cell r="AJ3275"><v>103180880</v></cell></row><row r="3276"><cell r="C3276" t="str"><v>43304FACEBOOK»USA-Trial-ITD-Retargeting-AZR-AZR»1 x 1»SocialBan»LIA»ALL»CPA»RT»X»NA»SS»NA»FreeAcctRetargetingFB-Credit-ChA»PRC1RV</v></cell><cell r="D3276" t="str"><v>43304224106075</v></cell><cell r="E3276" t="str"><v>43304103034917PRC1RV</v></cell><cell r="F3276" t="str"><v>DCM</v></cell><cell r="G3276" t="str"><v>https://azure.microsoft.com/en-us/free/search/?OCID=AID%eexcid!_OLA_%ebuy!_%epid!_%ecid!</v></cell></row><row r="3276"><cell r="K3276" t="str"><v>July</v></cell><cell r="L3276"><v>43309</v></cell><cell r="M3276" t="str"><v>Tier 0</v></cell><cell r="N3276" t="str"><v>North America</v></cell><cell r="O3276" t="str"><v>United States</v></cell><cell r="P3276" t="str"><v>Trial</v></cell><cell r="Q3276" t="str"><v>Social</v></cell><cell r="R3276" t="str"><v>Azure</v></cell><cell r="S3276" t="str"><v>Apps & Infra</v></cell><cell r="T3276" t="str"><v>Developers & ITI's</v></cell><cell r="U3276" t="str"><v>USA-Trial-ITD-Retargeting-AZR-AZR</v></cell><cell r="V3276" t="str"><v>Retargeting</v></cell><cell r="W3276" t="str"><v>Link Ad</v></cell><cell r="X3276" t="str"><v>1x1</v></cell></row><row r="3276"><cell r="AA3276"><v>43304</v></cell><cell r="AB3276" t="str"><v>USA_gaPMG_AZR_AZR_Q1_19_Direct-Social</v></cell><cell r="AC3276"><v>21358715</v></cell><cell r="AD3276"><v>720197</v></cell><cell r="AE3276" t="str"><v>Facebook</v></cell><cell r="AF3276"><v>3654128</v></cell><cell r="AG3276" t="str"><v>FACEBOOK»USA-Trial-ITD-Retargeting-AZR-AZR»1 x 1»SocialBan»LIA»ALL»CPA»RT»X»NA»SS»NA»FreeAcctRetargetingFB-Credit-ChA»PRC1RV</v></cell><cell r="AH3276"><v>224106075</v></cell><cell r="AI3276" t="str"><v>AzurePlatform_FreeAcctRetargetingFB-Credit-ChA_USA_1200x628_CAN_PLATFORM_English_Free Account_Standard_NA_SINU_T1_2</v></cell><cell r="AJ3276"><v>103034917</v></cell></row><row r="3277"><cell r="C3277" t="str"><v>43304FACEBOOK»USA-Trial-ITD-Retargeting-AZR-AZR»1 x 1»SocialBan»LIA»ALL»CPA»RT»X»NA»SS»NA»FreeAcctRetargetingFB-GlobalAlt-ChB»PRC1RW</v></cell><cell r="D3277" t="str"><v>43304223862756</v></cell><cell r="E3277" t="str"><v>43304103180592PRC1RW</v></cell><cell r="F3277" t="str"><v>DCM</v></cell><cell r="G3277" t="str"><v>https://azure.microsoft.com/en-us/free/search/?OCID=AID%eexcid!_OLA_%ebuy!_%epid!_%ecid!</v></cell></row><row r="3277"><cell r="K3277" t="str"><v>July</v></cell><cell r="L3277"><v>43309</v></cell><cell r="M3277" t="str"><v>Tier 0</v></cell><cell r="N3277" t="str"><v>North America</v></cell><cell r="O3277" t="str"><v>United States</v></cell><cell r="P3277" t="str"><v>Trial</v></cell><cell r="Q3277" t="str"><v>Social</v></cell><cell r="R3277" t="str"><v>Azure</v></cell><cell r="S3277" t="str"><v>Apps & Infra</v></cell><cell r="T3277" t="str"><v>Developers & ITI's</v></cell><cell r="U3277" t="str"><v>USA-Trial-ITD-Retargeting-AZR-AZR</v></cell><cell r="V3277" t="str"><v>Retargeting</v></cell><cell r="W3277" t="str"><v>Link Ad</v></cell><cell r="X3277" t="str"><v>1x1</v></cell></row><row r="3277"><cell r="AA3277"><v>43304</v></cell><cell r="AB3277" t="str"><v>USA_gaPMG_AZR_AZR_Q1_19_Direct-Social</v></cell><cell r="AC3277"><v>21358715</v></cell><cell r="AD3277"><v>720197</v></cell><cell r="AE3277" t="str"><v>Facebook</v></cell><cell r="AF3277"><v>3654128</v></cell><cell r="AG3277" t="str"><v>FACEBOOK»USA-Trial-ITD-Retargeting-AZR-AZR»1 x 1»SocialBan»LIA»ALL»CPA»RT»X»NA»SS»NA»FreeAcctRetargetingFB-GlobalAlt-ChB»PRC1RW</v></cell><cell r="AH3277"><v>223862756</v></cell><cell r="AI3277" t="str"><v>AzurePlatform_FreeAcctRetargetingFB-GlobalAlt-ChB_USA_1200x628_CAN_PLATFORM_English_Free Account_Standard_NA_SINU_T2_1</v></cell><cell r="AJ3277"><v>103180592</v></cell></row><row r="3278"><cell r="C3278" t="str"><v>43304FACEBOOK»USA-Trial-ITD-Retargeting-AZR-AZR»1 x 1»SocialBan»LIA»ALL»CPA»RT»X»NA»SS»NA»FreeAcctRetargetingVMFB-750Hrs-ChD»PRC1RY</v></cell><cell r="D3278" t="str"><v>43304223862747</v></cell><cell r="E3278" t="str"><v>43304103034911PRC1RY</v></cell><cell r="F3278" t="str"><v>DCM</v></cell><cell r="G3278" t="str"><v>https://azure.microsoft.com/en-us/free/virtual-machines/search/?OCID=AID%eexcid!_OLA_%ebuy!_%epid!_%ecid!</v></cell></row><row r="3278"><cell r="K3278" t="str"><v>July</v></cell><cell r="L3278"><v>43309</v></cell><cell r="M3278" t="str"><v>Tier 0</v></cell><cell r="N3278" t="str"><v>North America</v></cell><cell r="O3278" t="str"><v>United States</v></cell><cell r="P3278" t="str"><v>Trial</v></cell><cell r="Q3278" t="str"><v>Social</v></cell><cell r="R3278" t="str"><v>Azure</v></cell><cell r="S3278" t="str"><v>Apps & Infra</v></cell><cell r="T3278" t="str"><v>Developers & ITI's</v></cell><cell r="U3278" t="str"><v>USA-Trial-ITD-Retargeting-AZR-AZR</v></cell><cell r="V3278" t="str"><v>Retargeting</v></cell><cell r="W3278" t="str"><v>Link Ad</v></cell><cell r="X3278" t="str"><v>1x1</v></cell></row><row r="3278"><cell r="AA3278"><v>43304</v></cell><cell r="AB3278" t="str"><v>USA_gaPMG_AZR_AZR_Q1_19_Direct-Social</v></cell><cell r="AC3278"><v>21358715</v></cell><cell r="AD3278"><v>720197</v></cell><cell r="AE3278" t="str"><v>Facebook</v></cell><cell r="AF3278"><v>3654128</v></cell><cell r="AG3278" t="str"><v>FACEBOOK»USA-Trial-ITD-Retargeting-AZR-AZR»1 x 1»SocialBan»LIA»ALL»CPA»RT»X»NA»SS»NA»FreeAcctRetargetingVMFB-750Hrs-ChD»PRC1RY</v></cell><cell r="AH3278"><v>223862747</v></cell><cell r="AI3278" t="str"><v>AzurePlatform_FreeAcctRetargetingVMFB-750Hrs-ChD_USA_1200x628_CAN_PLATFORM_English_Free Account_Standard_NA_SINU_T1_1</v></cell><cell r="AJ3278"><v>103034911</v></cell></row><row r="3279"><cell r="C3279" t="str"><v>43304FACEBOOK»USA-Trial-ITD-Retargeting-AZR-AZR»1 x 1»SocialBan»LIA»ALL»CPA»RT»X»NA»SS»NA»FreeAcctRetargetingVMFB-OnDemand-ChE»PRC1S0</v></cell><cell r="D3279" t="str"><v>43304224104899</v></cell><cell r="E3279" t="str"><v>43304103180610PRC1S0</v></cell><cell r="F3279" t="str"><v>DCM</v></cell><cell r="G3279" t="str"><v>https://azure.microsoft.com/en-us/free/virtual-machines/search/?OCID=AID%eexcid!_OLA_%ebuy!_%epid!_%ecid!</v></cell></row><row r="3279"><cell r="K3279" t="str"><v>July</v></cell><cell r="L3279"><v>43309</v></cell><cell r="M3279" t="str"><v>Tier 0</v></cell><cell r="N3279" t="str"><v>North America</v></cell><cell r="O3279" t="str"><v>United States</v></cell><cell r="P3279" t="str"><v>Trial</v></cell><cell r="Q3279" t="str"><v>Social</v></cell><cell r="R3279" t="str"><v>Azure</v></cell><cell r="S3279" t="str"><v>Apps & Infra</v></cell><cell r="T3279" t="str"><v>Developers & ITI's</v></cell><cell r="U3279" t="str"><v>USA-Trial-ITD-Retargeting-AZR-AZR</v></cell><cell r="V3279" t="str"><v>Retargeting</v></cell><cell r="W3279" t="str"><v>Link Ad</v></cell><cell r="X3279" t="str"><v>1x1</v></cell></row><row r="3279"><cell r="AA3279"><v>43304</v></cell><cell r="AB3279" t="str"><v>USA_gaPMG_AZR_AZR_Q1_19_Direct-Social</v></cell><cell r="AC3279"><v>21358715</v></cell><cell r="AD3279"><v>720197</v></cell><cell r="AE3279" t="str"><v>Facebook</v></cell><cell r="AF3279"><v>3654128</v></cell><cell r="AG3279" t="str"><v>FACEBOOK»USA-Trial-ITD-Retargeting-AZR-AZR»1 x 1»SocialBan»LIA»ALL»CPA»RT»X»NA»SS»NA»FreeAcctRetargetingVMFB-OnDemand-ChE»PRC1S0</v></cell><cell r="AH3279"><v>224104899</v></cell><cell r="AI3279" t="str"><v>AzurePlatform_FreeAcctRetargetingVMFB-OnDemand-ChE_USA_1200x628_CAN_PLATFORM_English_Free Account_Standard_NA_SINU_T2_1</v></cell><cell r="AJ3279"><v>103180610</v></cell></row><row r="3280"><cell r="C3280" t="str"><v>43304FACEBOOK»USA-Trial-ITD-Retargeting-AZR-AZR»1 x 1»SocialBan»CAN»ALL»CPA»RT»X»NA»SS»NA»FBCTCBenefit2inMotion»PRC1RR</v></cell><cell r="D3280" t="str"><v>43304224104896</v></cell><cell r="E3280" t="str"><v>43304103043835PRC1RR</v></cell><cell r="F3280" t="str"><v>DCM</v></cell><cell r="G3280" t="str"><v>https://signup.azure.com/?OCID=AID%eexcid!_OLA_%ebuy!_%epid!_%ecid!</v></cell></row><row r="3280"><cell r="K3280" t="str"><v>July</v></cell><cell r="L3280"><v>43309</v></cell><cell r="M3280" t="str"><v>Tier 0</v></cell><cell r="N3280" t="str"><v>North America</v></cell><cell r="O3280" t="str"><v>United States</v></cell><cell r="P3280" t="str"><v>Trial</v></cell><cell r="Q3280" t="str"><v>Social</v></cell><cell r="R3280" t="str"><v>Azure</v></cell><cell r="S3280" t="str"><v>Apps & Infra</v></cell><cell r="T3280" t="str"><v>Developers & ITI's</v></cell><cell r="U3280" t="str"><v>USA-Trial-ITD-Retargeting-AZR-AZR</v></cell><cell r="V3280" t="str"><v>Retargeting</v></cell><cell r="W3280" t="str"><v>Canvas Ad</v></cell><cell r="X3280" t="str"><v>1x1</v></cell></row><row r="3280"><cell r="AA3280"><v>43304</v></cell><cell r="AB3280" t="str"><v>USA_gaPMG_AZR_AZR_Q1_19_Direct-Social</v></cell><cell r="AC3280"><v>21358715</v></cell><cell r="AD3280"><v>720197</v></cell><cell r="AE3280" t="str"><v>Facebook</v></cell><cell r="AF3280"><v>3654128</v></cell><cell r="AG3280" t="str"><v>FACEBOOK»USA-Trial-ITD-Retargeting-AZR-AZR»1 x 1»SocialBan»CAN»ALL»CPA»RT»X»NA»SS»NA»FBCTCBenefit2inMotion»PRC1RR</v></cell><cell r="AH3280"><v>224104896</v></cell><cell r="AI3280" t="str"><v>AzurePlatform_FBCTCBenefit2inMotion_USA_10s_CAN_PLATFORM_English_Trial_Standard_STAN_TIN_T4_1</v></cell><cell r="AJ3280"><v>103043835</v></cell></row><row r="3281"><cell r="C3281" t="str"><v>43304FACEBOOK»USA-Trial-ITD-Retargeting-AZR-AZR»1 x 1»SocialBan»CAN»ALL»CPA»RT»X»NA»SS»NA»FBCTCBenefit2inMotion»PRC1RR</v></cell><cell r="D3281" t="str"><v>43304224104896</v></cell><cell r="E3281" t="str"><v>43304103178645PRC1RR</v></cell><cell r="F3281" t="str"><v>DCM</v></cell><cell r="G3281" t="str"><v>https://azure.microsoft.com/en-us/pricing/purchase-options/?v=18.19&OCID=AID%eexcid!_OLA_%ebuy!_%epid!_%ecid!</v></cell></row><row r="3281"><cell r="K3281" t="str"><v>July</v></cell><cell r="L3281"><v>43309</v></cell><cell r="M3281" t="str"><v>Tier 0</v></cell><cell r="N3281" t="str"><v>North America</v></cell><cell r="O3281" t="str"><v>United States</v></cell><cell r="P3281" t="str"><v>Trial</v></cell><cell r="Q3281" t="str"><v>Social</v></cell><cell r="R3281" t="str"><v>Azure</v></cell><cell r="S3281" t="str"><v>Apps & Infra</v></cell><cell r="T3281" t="str"><v>Developers & ITI's</v></cell><cell r="U3281" t="str"><v>USA-Trial-ITD-Retargeting-AZR-AZR</v></cell><cell r="V3281" t="str"><v>Retargeting</v></cell><cell r="W3281" t="str"><v>Canvas Ad</v></cell><cell r="X3281" t="str"><v>1x1</v></cell></row><row r="3281"><cell r="AA3281"><v>43304</v></cell><cell r="AB3281" t="str"><v>USA_gaPMG_AZR_AZR_Q1_19_Direct-Social</v></cell><cell r="AC3281"><v>21358715</v></cell><cell r="AD3281"><v>720197</v></cell><cell r="AE3281" t="str"><v>Facebook</v></cell><cell r="AF3281"><v>3654128</v></cell><cell r="AG3281" t="str"><v>FACEBOOK»USA-Trial-ITD-Retargeting-AZR-AZR»1 x 1»SocialBan»CAN»ALL»CPA»RT»X»NA»SS»NA»FBCTCBenefit2inMotion»PRC1RR</v></cell><cell r="AH3281"><v>224104896</v></cell><cell r="AI3281" t="str"><v>AzurePlatform_FBCTCBenefit2inMotion_USA_10s_CAN_PLATFORM_English_Trial_Standard_STAN_TIN_T4_2</v></cell><cell r="AJ3281"><v>103178645</v></cell></row><row r="3282"><cell r="C3282" t="str"><v>43304FACEBOOK»USA-Trial-ITD-Retargeting-AZR-AZR»1 x 1»SocialBan»CAN»ALL»CPA»RT»X»NA»SS»NA»FBCTCBrandinMotion»PRC1RT</v></cell><cell r="D3282" t="str"><v>43304224106069</v></cell><cell r="E3282" t="str"><v>43304103176812PRC1RT</v></cell><cell r="F3282" t="str"><v>DCM</v></cell><cell r="G3282" t="str"><v>https://signup.azure.com/?OCID=AID%eexcid!_OLA_%ebuy!_%epid!_%ecid!</v></cell></row><row r="3282"><cell r="K3282" t="str"><v>July</v></cell><cell r="L3282"><v>43309</v></cell><cell r="M3282" t="str"><v>Tier 0</v></cell><cell r="N3282" t="str"><v>North America</v></cell><cell r="O3282" t="str"><v>United States</v></cell><cell r="P3282" t="str"><v>Trial</v></cell><cell r="Q3282" t="str"><v>Social</v></cell><cell r="R3282" t="str"><v>Azure</v></cell><cell r="S3282" t="str"><v>Apps & Infra</v></cell><cell r="T3282" t="str"><v>Developers & ITI's</v></cell><cell r="U3282" t="str"><v>USA-Trial-ITD-Retargeting-AZR-AZR</v></cell><cell r="V3282" t="str"><v>Retargeting</v></cell><cell r="W3282" t="str"><v>Canvas Ad</v></cell><cell r="X3282" t="str"><v>1x1</v></cell></row><row r="3282"><cell r="AA3282"><v>43304</v></cell><cell r="AB3282" t="str"><v>USA_gaPMG_AZR_AZR_Q1_19_Direct-Social</v></cell><cell r="AC3282"><v>21358715</v></cell><cell r="AD3282"><v>720197</v></cell><cell r="AE3282" t="str"><v>Facebook</v></cell><cell r="AF3282"><v>3654128</v></cell><cell r="AG3282" t="str"><v>FACEBOOK»USA-Trial-ITD-Retargeting-AZR-AZR»1 x 1»SocialBan»CAN»ALL»CPA»RT»X»NA»SS»NA»FBCTCBrandinMotion»PRC1RT</v></cell><cell r="AH3282"><v>224106069</v></cell><cell r="AI3282" t="str"><v>AzurePlatform_FBCTCBrandinMotion_USA_10s_CAN_PLATFORM_English_Trial_Standard_STAN_TIN_T2_1</v></cell><cell r="AJ3282"><v>103176812</v></cell></row><row r="3283"><cell r="C3283" t="str"><v>43304FACEBOOK»USA-Trial-ITD-Trial Lookalike-AZR-AZR»1 x 1»SocialBan»CAN»ALL»CPA»LAL»X»NA»SS»NA»FBCTCBenefit2inMotion»PRC1M0</v></cell><cell r="D3283" t="str"><v>43304223862927</v></cell><cell r="E3283" t="str"><v>43304103043835PRC1M0</v></cell><cell r="F3283" t="str"><v>DCM</v></cell><cell r="G3283" t="str"><v>https://signup.azure.com/?OCID=AID%eexcid!_OLA_%ebuy!_%epid!_%ecid!</v></cell></row><row r="3283"><cell r="K3283" t="str"><v>July</v></cell><cell r="L3283"><v>43309</v></cell><cell r="M3283" t="str"><v>Tier 0</v></cell><cell r="N3283" t="str"><v>North America</v></cell><cell r="O3283" t="str"><v>United States</v></cell><cell r="P3283" t="str"><v>Trial</v></cell><cell r="Q3283" t="str"><v>Social</v></cell><cell r="R3283" t="str"><v>Azure</v></cell><cell r="S3283" t="str"><v>Apps & Infra</v></cell><cell r="T3283" t="str"><v>Developers & ITI's</v></cell><cell r="U3283" t="str"><v>USA-Trial-ITD-Trial Lookalike-AZR-AZR</v></cell><cell r="V3283" t="str"><v>Lookalike Targeting</v></cell><cell r="W3283" t="str"><v>Canvas Ad</v></cell><cell r="X3283" t="str"><v>1x1</v></cell></row><row r="3283"><cell r="AA3283"><v>43304</v></cell><cell r="AB3283" t="str"><v>USA_gaPMG_AZR_AZR_Q1_19_Direct-Social</v></cell><cell r="AC3283"><v>21358715</v></cell><cell r="AD3283"><v>720197</v></cell><cell r="AE3283" t="str"><v>Facebook</v></cell><cell r="AF3283"><v>3654128</v></cell><cell r="AG3283" t="str"><v>FACEBOOK»USA-Trial-ITD-Trial Lookalike-AZR-AZR»1 x 1»SocialBan»CAN»ALL»CPA»LAL»X»NA»SS»NA»FBCTCBenefit2inMotion»PRC1M0</v></cell><cell r="AH3283"><v>223862927</v></cell><cell r="AI3283" t="str"><v>AzurePlatform_FBCTCBenefit2inMotion_USA_10s_CAN_PLATFORM_English_Trial_Standard_STAN_TIN_T4_1</v></cell><cell r="AJ3283"><v>103043835</v></cell></row><row r="3284"><cell r="C3284" t="str"><v>43304FACEBOOK»USA-Trial-ITD-Trial Lookalike-AZR-AZR»1 x 1»SocialBan»CAN»ALL»CPA»LAL»X»NA»SS»NA»FBCTCBenefit2inMotion»PRC1M0</v></cell><cell r="D3284" t="str"><v>43304223862927</v></cell><cell r="E3284" t="str"><v>43304103178645PRC1M0</v></cell><cell r="F3284" t="str"><v>DCM</v></cell><cell r="G3284" t="str"><v>https://azure.microsoft.com/en-us/pricing/purchase-options/?v=18.19&OCID=AID%eexcid!_OLA_%ebuy!_%epid!_%ecid!</v></cell></row><row r="3284"><cell r="K3284" t="str"><v>July</v></cell><cell r="L3284"><v>43309</v></cell><cell r="M3284" t="str"><v>Tier 0</v></cell><cell r="N3284" t="str"><v>North America</v></cell><cell r="O3284" t="str"><v>United States</v></cell><cell r="P3284" t="str"><v>Trial</v></cell><cell r="Q3284" t="str"><v>Social</v></cell><cell r="R3284" t="str"><v>Azure</v></cell><cell r="S3284" t="str"><v>Apps & Infra</v></cell><cell r="T3284" t="str"><v>Developers & ITI's</v></cell><cell r="U3284" t="str"><v>USA-Trial-ITD-Trial Lookalike-AZR-AZR</v></cell><cell r="V3284" t="str"><v>Lookalike Targeting</v></cell><cell r="W3284" t="str"><v>Canvas Ad</v></cell><cell r="X3284" t="str"><v>1x1</v></cell></row><row r="3284"><cell r="AA3284"><v>43304</v></cell><cell r="AB3284" t="str"><v>USA_gaPMG_AZR_AZR_Q1_19_Direct-Social</v></cell><cell r="AC3284"><v>21358715</v></cell><cell r="AD3284"><v>720197</v></cell><cell r="AE3284" t="str"><v>Facebook</v></cell><cell r="AF3284"><v>3654128</v></cell><cell r="AG3284" t="str"><v>FACEBOOK»USA-Trial-ITD-Trial Lookalike-AZR-AZR»1 x 1»SocialBan»CAN»ALL»CPA»LAL»X»NA»SS»NA»FBCTCBenefit2inMotion»PRC1M0</v></cell><cell r="AH3284"><v>223862927</v></cell><cell r="AI3284" t="str"><v>AzurePlatform_FBCTCBenefit2inMotion_USA_10s_CAN_PLATFORM_English_Trial_Standard_STAN_TIN_T4_2</v></cell><cell r="AJ3284"><v>103178645</v></cell></row><row r="3285"><cell r="C3285" t="str"><v>43304FACEBOOK»USA-Trial-ITD-Trial Lookalike-AZR-AZR»1 x 1»SocialBan»LIA»ALL»CPA»LAL»X»NA»SS»NA»FreeAcctDeveloperFB-AnimatedAI-Ch3»PRC1M7</v></cell><cell r="D3285" t="str"><v>43304223934104</v></cell><cell r="E3285" t="str"><v>43304103032778PRC1M7</v></cell><cell r="F3285" t="str"><v>DCM</v></cell></row><row r="3285"><cell r="K3285" t="str"><v>July</v></cell><cell r="L3285"><v>43309</v></cell><cell r="M3285" t="str"><v>Tier 0</v></cell><cell r="N3285" t="str"><v>North America</v></cell><cell r="O3285" t="str"><v>United States</v></cell><cell r="P3285" t="str"><v>Trial</v></cell><cell r="Q3285" t="str"><v>Social</v></cell><cell r="R3285" t="str"><v>Azure</v></cell><cell r="S3285" t="str"><v>Apps & Infra</v></cell><cell r="T3285" t="str"><v>Developers & ITI's</v></cell><cell r="U3285" t="str"><v>USA-Trial-ITD-Trial Lookalike-AZR-AZR</v></cell><cell r="V3285" t="str"><v>Lookalike Targeting</v></cell><cell r="W3285" t="str"><v>Link Ad</v></cell><cell r="X3285" t="str"><v>1x1</v></cell></row><row r="3285"><cell r="AA3285"><v>43304</v></cell><cell r="AB3285" t="str"><v>USA_gaPMG_AZR_AZR_Q1_19_Direct-Social</v></cell><cell r="AC3285"><v>21358715</v></cell><cell r="AD3285"><v>720197</v></cell><cell r="AE3285" t="str"><v>Facebook</v></cell><cell r="AF3285"><v>3654128</v></cell><cell r="AG3285" t="str"><v>FACEBOOK»USA-Trial-ITD-Trial Lookalike-AZR-AZR»1 x 1»SocialBan»LIA»ALL»CPA»LAL»X»NA»SS»NA»FreeAcctDeveloperFB-AnimatedAI-Ch3»PRC1M7</v></cell><cell r="AH3285"><v>223934104</v></cell><cell r="AI3285" t="str"><v>AZR_FreeAcctDeveloperFB-AnimatedAI-Ch3_USA_1200x1200_CAN_Direct_English_Trial_Standard_ANI_LEA_T3_1</v></cell><cell r="AJ3285"><v>103032778</v></cell></row><row r="3286"><cell r="C3286" t="str"><v>43304FACEBOOK»USA-Trial-ITD-Trial Lookalike-AZR-AZR»1 x 1»SocialBan»LIA»ALL»CPA»LAL»X»NA»SS»NA»FreeAcctDeveloperFB-AnimatedData-Ch4»PRC1M8</v></cell><cell r="D3286" t="str"><v>43304223862933</v></cell><cell r="E3286" t="str"><v>43304103037935PRC1M8</v></cell><cell r="F3286" t="str"><v>DCM</v></cell></row><row r="3286"><cell r="K3286" t="str"><v>July</v></cell><cell r="L3286"><v>43309</v></cell><cell r="M3286" t="str"><v>Tier 0</v></cell><cell r="N3286" t="str"><v>North America</v></cell><cell r="O3286" t="str"><v>United States</v></cell><cell r="P3286" t="str"><v>Trial</v></cell><cell r="Q3286" t="str"><v>Social</v></cell><cell r="R3286" t="str"><v>Azure</v></cell><cell r="S3286" t="str"><v>Apps & Infra</v></cell><cell r="T3286" t="str"><v>Developers & ITI's</v></cell><cell r="U3286" t="str"><v>USA-Trial-ITD-Trial Lookalike-AZR-AZR</v></cell><cell r="V3286" t="str"><v>Lookalike Targeting</v></cell><cell r="W3286" t="str"><v>Link Ad</v></cell><cell r="X3286" t="str"><v>1x1</v></cell></row><row r="3286"><cell r="AA3286"><v>43304</v></cell><cell r="AB3286" t="str"><v>USA_gaPMG_AZR_AZR_Q1_19_Direct-Social</v></cell><cell r="AC3286"><v>21358715</v></cell><cell r="AD3286"><v>720197</v></cell><cell r="AE3286" t="str"><v>Facebook</v></cell><cell r="AF3286"><v>3654128</v></cell><cell r="AG3286" t="str"><v>FACEBOOK»USA-Trial-ITD-Trial Lookalike-AZR-AZR»1 x 1»SocialBan»LIA»ALL»CPA»LAL»X»NA»SS»NA»FreeAcctDeveloperFB-AnimatedData-Ch4»PRC1M8</v></cell><cell r="AH3286"><v>223862933</v></cell><cell r="AI3286" t="str"><v>AZR_FreeAcctDeveloperFB-AnimatedData-Ch4_USA_1200x1200_CAN_Direct_English_Trial_Standard_ANI_LEA_T4_2</v></cell><cell r="AJ3286"><v>103037935</v></cell></row><row r="3287"><cell r="C3287" t="str"><v>43304FACEBOOK»USA-Trial-ITD-Trial Lookalike-AZR-AZR»1 x 1»SocialBan»LIA»ALL»CPA»LAL»X»NA»SS»NA»FreeAcctITProFB-AnimatedHybrid-Ch2»PRC1MC</v></cell><cell r="D3287" t="str"><v>43304224104956</v></cell><cell r="E3287" t="str"><v>43304103180583PRC1MC</v></cell><cell r="F3287" t="str"><v>DCM</v></cell></row><row r="3287"><cell r="K3287" t="str"><v>July</v></cell><cell r="L3287"><v>43309</v></cell><cell r="M3287" t="str"><v>Tier 0</v></cell><cell r="N3287" t="str"><v>North America</v></cell><cell r="O3287" t="str"><v>United States</v></cell><cell r="P3287" t="str"><v>Trial</v></cell><cell r="Q3287" t="str"><v>Social</v></cell><cell r="R3287" t="str"><v>Azure</v></cell><cell r="S3287" t="str"><v>Apps & Infra</v></cell><cell r="T3287" t="str"><v>Developers & ITI's</v></cell><cell r="U3287" t="str"><v>USA-Trial-ITD-Trial Lookalike-AZR-AZR</v></cell><cell r="V3287" t="str"><v>Lookalike Targeting</v></cell><cell r="W3287" t="str"><v>Link Ad</v></cell><cell r="X3287" t="str"><v>1x1</v></cell></row><row r="3287"><cell r="AA3287"><v>43304</v></cell><cell r="AB3287" t="str"><v>USA_gaPMG_AZR_AZR_Q1_19_Direct-Social</v></cell><cell r="AC3287"><v>21358715</v></cell><cell r="AD3287"><v>720197</v></cell><cell r="AE3287" t="str"><v>Facebook</v></cell><cell r="AF3287"><v>3654128</v></cell><cell r="AG3287" t="str"><v>FACEBOOK»USA-Trial-ITD-Trial Lookalike-AZR-AZR»1 x 1»SocialBan»LIA»ALL»CPA»LAL»X»NA»SS»NA»FreeAcctITProFB-AnimatedHybrid-Ch2»PRC1MC</v></cell><cell r="AH3287"><v>224104956</v></cell><cell r="AI3287" t="str"><v>AZR_FreeAcctITProFB-AnimatedHybrid-Ch2_USA_1200x1200_CAN_Direct_English_Trial_Standard_ANI_LEA_T2_2</v></cell><cell r="AJ3287"><v>103180583</v></cell></row><row r="3288"><cell r="C3288" t="str"><v>43304FACEBOOK»USA-Trial-ITD-Trial Lookalike-AZR-AZR»1 x 1»SocialBan»CAN»ALL»CPA»LAL»X»NA»SS»NA»FBCTCBrandinMotion»PRC1M3</v></cell><cell r="D3288" t="str"><v>43304223862900</v></cell><cell r="E3288" t="str"><v>43304103176812PRC1M3</v></cell><cell r="F3288" t="str"><v>DCM</v></cell><cell r="G3288" t="str"><v>https://signup.azure.com/?OCID=AID%eexcid!_OLA_%ebuy!_%epid!_%ecid!</v></cell></row><row r="3288"><cell r="K3288" t="str"><v>July</v></cell><cell r="L3288"><v>43309</v></cell><cell r="M3288" t="str"><v>Tier 0</v></cell><cell r="N3288" t="str"><v>North America</v></cell><cell r="O3288" t="str"><v>United States</v></cell><cell r="P3288" t="str"><v>Trial</v></cell><cell r="Q3288" t="str"><v>Social</v></cell><cell r="R3288" t="str"><v>Azure</v></cell><cell r="S3288" t="str"><v>Apps & Infra</v></cell><cell r="T3288" t="str"><v>Developers & ITI's</v></cell><cell r="U3288" t="str"><v>USA-Trial-ITD-Trial Lookalike-AZR-AZR</v></cell><cell r="V3288" t="str"><v>Lookalike Targeting</v></cell><cell r="W3288" t="str"><v>Canvas Ad</v></cell><cell r="X3288" t="str"><v>1x1</v></cell></row><row r="3288"><cell r="AA3288"><v>43304</v></cell><cell r="AB3288" t="str"><v>USA_gaPMG_AZR_AZR_Q1_19_Direct-Social</v></cell><cell r="AC3288"><v>21358715</v></cell><cell r="AD3288"><v>720197</v></cell><cell r="AE3288" t="str"><v>Facebook</v></cell><cell r="AF3288"><v>3654128</v></cell><cell r="AG3288" t="str"><v>FACEBOOK»USA-Trial-ITD-Trial Lookalike-AZR-AZR»1 x 1»SocialBan»CAN»ALL»CPA»LAL»X»NA»SS»NA»FBCTCBrandinMotion»PRC1M3</v></cell><cell r="AH3288"><v>223862900</v></cell><cell r="AI3288" t="str"><v>AzurePlatform_FBCTCBrandinMotion_USA_10s_CAN_PLATFORM_English_Trial_Standard_STAN_TIN_T2_1</v></cell><cell r="AJ3288"><v>103176812</v></cell></row><row r="3289"><cell r="C3289" t="str"><v>43304FACEBOOK»USA-Trial-ITD-Trial PayGo Lookalike-AZR-AZR»1 x 1»SocialBan»CAN»ALL»CPA»LAL»X»NA»SS»NA»FBCTCBenefit2inMotion»PRC1Q1</v></cell><cell r="D3289" t="str"><v>43304224104986</v></cell><cell r="E3289" t="str"><v>43304103043835PRC1Q1</v></cell><cell r="F3289" t="str"><v>DCM</v></cell><cell r="G3289" t="str"><v>https://signup.azure.com/?OCID=AID%eexcid!_OLA_%ebuy!_%epid!_%ecid!</v></cell></row><row r="3289"><cell r="K3289" t="str"><v>July</v></cell><cell r="L3289"><v>43309</v></cell><cell r="M3289" t="str"><v>Tier 0</v></cell><cell r="N3289" t="str"><v>North America</v></cell><cell r="O3289" t="str"><v>United States</v></cell><cell r="P3289" t="str"><v>Trial</v></cell><cell r="Q3289" t="str"><v>Social</v></cell><cell r="R3289" t="str"><v>Azure</v></cell><cell r="S3289" t="str"><v>Apps & Infra</v></cell><cell r="T3289" t="str"><v>Developers & ITI's</v></cell><cell r="U3289" t="str"><v>USA-Trial-ITD-Trial PayGo Lookalike-AZR-AZR</v></cell><cell r="V3289" t="str"><v>Lookalike Targeting</v></cell><cell r="W3289" t="str"><v>Canvas Ad</v></cell><cell r="X3289" t="str"><v>1x1</v></cell></row><row r="3289"><cell r="AA3289"><v>43304</v></cell><cell r="AB3289" t="str"><v>USA_gaPMG_AZR_AZR_Q1_19_Direct-Social</v></cell><cell r="AC3289"><v>21358715</v></cell><cell r="AD3289"><v>720197</v></cell><cell r="AE3289" t="str"><v>Facebook</v></cell><cell r="AF3289"><v>3654128</v></cell><cell r="AG3289" t="str"><v>FACEBOOK»USA-Trial-ITD-Trial PayGo Lookalike-AZR-AZR»1 x 1»SocialBan»CAN»ALL»CPA»LAL»X»NA»SS»NA»FBCTCBenefit2inMotion»PRC1Q1</v></cell><cell r="AH3289"><v>224104986</v></cell><cell r="AI3289" t="str"><v>AzurePlatform_FBCTCBenefit2inMotion_USA_10s_CAN_PLATFORM_English_Trial_Standard_STAN_TIN_T4_1</v></cell><cell r="AJ3289"><v>103043835</v></cell></row><row r="3290"><cell r="C3290" t="str"><v>43304FACEBOOK»USA-Trial-ITD-Trial PayGo Lookalike-AZR-AZR»1 x 1»SocialBan»CAN»ALL»CPA»LAL»X»NA»SS»NA»FBCTCBenefit2inMotion»PRC1Q1</v></cell><cell r="D3290" t="str"><v>43304224104986</v></cell><cell r="E3290" t="str"><v>43304103178645PRC1Q1</v></cell><cell r="F3290" t="str"><v>DCM</v></cell><cell r="G3290" t="str"><v>https://azure.microsoft.com/en-us/pricing/purchase-options/?v=18.19&OCID=AID%eexcid!_OLA_%ebuy!_%epid!_%ecid!</v></cell></row><row r="3290"><cell r="K3290" t="str"><v>July</v></cell><cell r="L3290"><v>43309</v></cell><cell r="M3290" t="str"><v>Tier 0</v></cell><cell r="N3290" t="str"><v>North America</v></cell><cell r="O3290" t="str"><v>United States</v></cell><cell r="P3290" t="str"><v>Trial</v></cell><cell r="Q3290" t="str"><v>Social</v></cell><cell r="R3290" t="str"><v>Azure</v></cell><cell r="S3290" t="str"><v>Apps & Infra</v></cell><cell r="T3290" t="str"><v>Developers & ITI's</v></cell><cell r="U3290" t="str"><v>USA-Trial-ITD-Trial PayGo Lookalike-AZR-AZR</v></cell><cell r="V3290" t="str"><v>Lookalike Targeting</v></cell><cell r="W3290" t="str"><v>Canvas Ad</v></cell><cell r="X3290" t="str"><v>1x1</v></cell></row><row r="3290"><cell r="AA3290"><v>43304</v></cell><cell r="AB3290" t="str"><v>USA_gaPMG_AZR_AZR_Q1_19_Direct-Social</v></cell><cell r="AC3290"><v>21358715</v></cell><cell r="AD3290"><v>720197</v></cell><cell r="AE3290" t="str"><v>Facebook</v></cell><cell r="AF3290"><v>3654128</v></cell><cell r="AG3290" t="str"><v>FACEBOOK»USA-Trial-ITD-Trial PayGo Lookalike-AZR-AZR»1 x 1»SocialBan»CAN»ALL»CPA»LAL»X»NA»SS»NA»FBCTCBenefit2inMotion»PRC1Q1</v></cell><cell r="AH3290"><v>224104986</v></cell><cell r="AI3290" t="str"><v>AzurePlatform_FBCTCBenefit2inMotion_USA_10s_CAN_PLATFORM_English_Trial_Standard_STAN_TIN_T4_2</v></cell><cell r="AJ3290"><v>103178645</v></cell></row><row r="3291"><cell r="C3291" t="str"><v>43304FACEBOOK»USA-Trial-ITD-Trial PayGo Lookalike-AZR-AZR»1 x 1»SocialBan»CAN»ALL»CPA»LAL»X»NA»SS»NA»FBCTCBrandinMotion»PRC1Q3</v></cell><cell r="D3291" t="str"><v>43304223935349</v></cell><cell r="E3291" t="str"><v>43304103176812PRC1Q3</v></cell><cell r="F3291" t="str"><v>DCM</v></cell><cell r="G3291" t="str"><v>https://signup.azure.com/?OCID=AID%eexcid!_OLA_%ebuy!_%epid!_%ecid!</v></cell></row><row r="3291"><cell r="K3291" t="str"><v>July</v></cell><cell r="L3291"><v>43309</v></cell><cell r="M3291" t="str"><v>Tier 0</v></cell><cell r="N3291" t="str"><v>North America</v></cell><cell r="O3291" t="str"><v>United States</v></cell><cell r="P3291" t="str"><v>Trial</v></cell><cell r="Q3291" t="str"><v>Social</v></cell><cell r="R3291" t="str"><v>Azure</v></cell><cell r="S3291" t="str"><v>Apps & Infra</v></cell><cell r="T3291" t="str"><v>Developers & ITI's</v></cell><cell r="U3291" t="str"><v>USA-Trial-ITD-Trial PayGo Lookalike-AZR-AZR</v></cell><cell r="V3291" t="str"><v>Lookalike Targeting</v></cell><cell r="W3291" t="str"><v>Canvas Ad</v></cell><cell r="X3291" t="str"><v>1x1</v></cell></row><row r="3291"><cell r="AA3291"><v>43304</v></cell><cell r="AB3291" t="str"><v>USA_gaPMG_AZR_AZR_Q1_19_Direct-Social</v></cell><cell r="AC3291"><v>21358715</v></cell><cell r="AD3291"><v>720197</v></cell><cell r="AE3291" t="str"><v>Facebook</v></cell><cell r="AF3291"><v>3654128</v></cell><cell r="AG3291" t="str"><v>FACEBOOK»USA-Trial-ITD-Trial PayGo Lookalike-AZR-AZR»1 x 1»SocialBan»CAN»ALL»CPA»LAL»X»NA»SS»NA»FBCTCBrandinMotion»PRC1Q3</v></cell><cell r="AH3291"><v>223935349</v></cell><cell r="AI3291" t="str"><v>AzurePlatform_FBCTCBrandinMotion_USA_10s_CAN_PLATFORM_English_Trial_Standard_STAN_TIN_T2_1</v></cell><cell r="AJ3291"><v>103176812</v></cell></row><row r="3292"><cell r="C3292" t="str"><v>43304FACEBOOK»USA-Trial-ITD-Interest Prospecting-AZR-AZR»1 x 1»SocialBan»LIA»ALL»CPA»PRO»X»NA»SS»NA»FreeAcctDeveloperFB-AnimatedAI-Ch3»PRC1T2</v></cell><cell r="D3292" t="str"><v>43304223862765</v></cell><cell r="E3292" t="str"><v>43304103032778PRC1T2</v></cell><cell r="F3292" t="str"><v>DCM</v></cell></row><row r="3292"><cell r="K3292" t="str"><v>July</v></cell><cell r="L3292"><v>43309</v></cell><cell r="M3292" t="str"><v>Tier 0</v></cell><cell r="N3292" t="str"><v>North America</v></cell><cell r="O3292" t="str"><v>United States</v></cell><cell r="P3292" t="str"><v>Trial</v></cell><cell r="Q3292" t="str"><v>Social</v></cell><cell r="R3292" t="str"><v>Azure</v></cell><cell r="S3292" t="str"><v>Apps & Infra</v></cell><cell r="T3292" t="str"><v>Developers & ITI's</v></cell><cell r="U3292" t="str"><v>USA-Trial-ITD-Interest Prospecting-AZR-AZR</v></cell><cell r="V3292" t="str"><v>Prospecting</v></cell><cell r="W3292" t="str"><v>Link Ad</v></cell><cell r="X3292" t="str"><v>1x1</v></cell></row><row r="3292"><cell r="AA3292"><v>43304</v></cell><cell r="AB3292" t="str"><v>USA_gaPMG_AZR_AZR_Q1_19_Direct-Social</v></cell><cell r="AC3292"><v>21358715</v></cell><cell r="AD3292"><v>720197</v></cell><cell r="AE3292" t="str"><v>Facebook</v></cell><cell r="AF3292"><v>3654128</v></cell><cell r="AG3292" t="str"><v>FACEBOOK»USA-Trial-ITD-Interest Prospecting-AZR-AZR»1 x 1»SocialBan»LIA»ALL»CPA»PRO»X»NA»SS»NA»FreeAcctDeveloperFB-AnimatedAI-Ch3»PRC1T2</v></cell><cell r="AH3292"><v>223862765</v></cell><cell r="AI3292" t="str"><v>AZR_FreeAcctDeveloperFB-AnimatedAI-Ch3_USA_1200x1200_CAN_Direct_English_Trial_Standard_ANI_LEA_T3_1</v></cell><cell r="AJ3292"><v>103032778</v></cell></row><row r="3293"><cell r="C3293" t="str"><v>43304FACEBOOK»USA-Trial-ITD-Interest Prospecting-AZR-AZR»1 x 1»SocialBan»LIA»ALL»CPA»PRO»X»NA»SS»NA»FreeAcctDeveloperFB-AnimatedData-Ch4»PRC1T3</v></cell><cell r="D3293" t="str"><v>43304223863380</v></cell><cell r="E3293" t="str"><v>43304103037935PRC1T3</v></cell><cell r="F3293" t="str"><v>DCM</v></cell></row><row r="3293"><cell r="K3293" t="str"><v>July</v></cell><cell r="L3293"><v>43309</v></cell><cell r="M3293" t="str"><v>Tier 0</v></cell><cell r="N3293" t="str"><v>North America</v></cell><cell r="O3293" t="str"><v>United States</v></cell><cell r="P3293" t="str"><v>Trial</v></cell><cell r="Q3293" t="str"><v>Social</v></cell><cell r="R3293" t="str"><v>Azure</v></cell><cell r="S3293" t="str"><v>Apps & Infra</v></cell><cell r="T3293" t="str"><v>Developers & ITI's</v></cell><cell r="U3293" t="str"><v>USA-Trial-ITD-Interest Prospecting-AZR-AZR</v></cell><cell r="V3293" t="str"><v>Prospecting</v></cell><cell r="W3293" t="str"><v>Link Ad</v></cell><cell r="X3293" t="str"><v>1x1</v></cell></row><row r="3293"><cell r="AA3293"><v>43304</v></cell><cell r="AB3293" t="str"><v>USA_gaPMG_AZR_AZR_Q1_19_Direct-Social</v></cell><cell r="AC3293"><v>21358715</v></cell><cell r="AD3293"><v>720197</v></cell><cell r="AE3293" t="str"><v>Facebook</v></cell><cell r="AF3293"><v>3654128</v></cell><cell r="AG3293" t="str"><v>FACEBOOK»USA-Trial-ITD-Interest Prospecting-AZR-AZR»1 x 1»SocialBan»LIA»ALL»CPA»PRO»X»NA»SS»NA»FreeAcctDeveloperFB-AnimatedData-Ch4»PRC1T3</v></cell><cell r="AH3293"><v>223863380</v></cell><cell r="AI3293" t="str"><v>AZR_FreeAcctDeveloperFB-AnimatedData-Ch4_USA_1200x1200_CAN_Direct_English_Trial_Standard_ANI_LEA_T4_2</v></cell><cell r="AJ3293"><v>103037935</v></cell></row><row r="3294"><cell r="C3294" t="str"><v>43304FACEBOOK»USA-Trial-ITD-Interest Prospecting-AZR-AZR»1 x 1»SocialBan»LIA»ALL»CPA»PRO»X»NA»SS»NA»FreeAcctDeveloperFB-AnimatedOpenSource-Ch2»PRC1T1</v></cell><cell r="D3294" t="str"><v>43304223862885</v></cell><cell r="E3294" t="str"><v>43304103048329PRC1T1</v></cell><cell r="F3294" t="str"><v>DCM</v></cell><cell r="G3294" t="str"><v>https://azure.microsoft.com/en-us/free/open-source/search/?OCID=AID%eexcid!_OLA_%ebuy!_%epid!_%ecid!</v></cell></row><row r="3294"><cell r="K3294" t="str"><v>July</v></cell><cell r="L3294"><v>43309</v></cell><cell r="M3294" t="str"><v>Tier 0</v></cell><cell r="N3294" t="str"><v>North America</v></cell><cell r="O3294" t="str"><v>United States</v></cell><cell r="P3294" t="str"><v>Trial</v></cell><cell r="Q3294" t="str"><v>Social</v></cell><cell r="R3294" t="str"><v>Azure</v></cell><cell r="S3294" t="str"><v>Apps & Infra</v></cell><cell r="T3294" t="str"><v>Developers & ITI's</v></cell><cell r="U3294" t="str"><v>USA-Trial-ITD-Interest Prospecting-AZR-AZR</v></cell><cell r="V3294" t="str"><v>Prospecting</v></cell><cell r="W3294" t="str"><v>Link Ad</v></cell><cell r="X3294" t="str"><v>1x1</v></cell></row><row r="3294"><cell r="AA3294"><v>43304</v></cell><cell r="AB3294" t="str"><v>USA_gaPMG_AZR_AZR_Q1_19_Direct-Social</v></cell><cell r="AC3294"><v>21358715</v></cell><cell r="AD3294"><v>720197</v></cell><cell r="AE3294" t="str"><v>Facebook</v></cell><cell r="AF3294"><v>3654128</v></cell><cell r="AG3294" t="str"><v>FACEBOOK»USA-Trial-ITD-Interest Prospecting-AZR-AZR»1 x 1»SocialBan»LIA»ALL»CPA»PRO»X»NA»SS»NA»FreeAcctDeveloperFB-AnimatedOpenSource-Ch2»PRC1T1</v></cell><cell r="AH3294"><v>223862885</v></cell><cell r="AI3294" t="str"><v>AZR_FreeAcctDeveloperFB-AnimatedOpenSource-Ch2_USA_1200x1200_CAN_Direct_English_Trial_Standard_ANI_LEA_T2_1</v></cell><cell r="AJ3294"><v>103048329</v></cell></row><row r="3295"><cell r="C3295" t="str"><v>43304FACEBOOK»USA-Trial-ITD-Interest Prospecting-AZR-AZR»1 x 1»SocialBan»LIA»ALL»CPA»PRO»X»NA»SS»NA»FreeAcctITProFB-AnimatedMigration-Ch3»PRC1X2</v></cell><cell r="D3295" t="str"><v>43304224106954</v></cell><cell r="E3295" t="str"><v>43304103176827PRC1X2</v></cell><cell r="F3295" t="str"><v>DCM</v></cell></row><row r="3295"><cell r="K3295" t="str"><v>July</v></cell><cell r="L3295"><v>43309</v></cell><cell r="M3295" t="str"><v>Tier 0</v></cell><cell r="N3295" t="str"><v>North America</v></cell><cell r="O3295" t="str"><v>United States</v></cell><cell r="P3295" t="str"><v>Trial</v></cell><cell r="Q3295" t="str"><v>Social</v></cell><cell r="R3295" t="str"><v>Azure</v></cell><cell r="S3295" t="str"><v>Apps & Infra</v></cell><cell r="T3295" t="str"><v>Developers & ITI's</v></cell><cell r="U3295" t="str"><v>USA-Trial-ITD-Interest Prospecting-AZR-AZR</v></cell><cell r="V3295" t="str"><v>Prospecting</v></cell><cell r="W3295" t="str"><v>Link Ad</v></cell><cell r="X3295" t="str"><v>1x1</v></cell></row><row r="3295"><cell r="AA3295"><v>43304</v></cell><cell r="AB3295" t="str"><v>USA_gaPMG_AZR_AZR_Q1_19_Direct-Social</v></cell><cell r="AC3295"><v>21358715</v></cell><cell r="AD3295"><v>720197</v></cell><cell r="AE3295" t="str"><v>Facebook</v></cell><cell r="AF3295"><v>3654128</v></cell><cell r="AG3295" t="str"><v>FACEBOOK»USA-Trial-ITD-Interest Prospecting-AZR-AZR»1 x 1»SocialBan»LIA»ALL»CPA»PRO»X»NA»SS»NA»FreeAcctITProFB-AnimatedMigration-Ch3»PRC1X2</v></cell><cell r="AH3295"><v>224106954</v></cell><cell r="AI3295" t="str"><v>AZR_FreeAcctITProFB-AnimatedMigration-Ch3_USA_1200x1200_CAN_Direct_English_Trial_Standard_ANI_LEA_T3_1</v></cell><cell r="AJ3295"><v>103176827</v></cell></row><row r="3296"><cell r="C3296" t="str"><v>43304FACEBOOK»USA-Trial-ITD-Lead Completes-AZR-AZR»1 x 1»SocialBan»CAN»ALL»CPA»PRO»X»NA»SS»NA»FBCTCBrandinMotion»PRC1VX</v></cell><cell r="D3296" t="str"><v>43304223861547</v></cell><cell r="E3296" t="str"><v>43304103176812PRC1VX</v></cell><cell r="F3296" t="str"><v>DCM</v></cell><cell r="G3296" t="str"><v>https://signup.azure.com/?OCID=AID%eexcid!_OLA_%ebuy!_%epid!_%ecid!</v></cell></row><row r="3296"><cell r="K3296" t="str"><v>July</v></cell><cell r="L3296"><v>43309</v></cell><cell r="M3296" t="str"><v>Tier 0</v></cell><cell r="N3296" t="str"><v>North America</v></cell><cell r="O3296" t="str"><v>United States</v></cell><cell r="P3296" t="str"><v>Trial</v></cell><cell r="Q3296" t="str"><v>Social</v></cell><cell r="R3296" t="str"><v>Azure</v></cell><cell r="S3296" t="str"><v>Apps & Infra</v></cell><cell r="T3296" t="str"><v>Developers & ITI's</v></cell><cell r="U3296" t="str"><v>USA-Trial-ITD-Lead Completes-AZR-AZR</v></cell><cell r="V3296" t="str"><v>Prospecting</v></cell><cell r="W3296" t="str"><v>Canvas Ad</v></cell><cell r="X3296" t="str"><v>1x1</v></cell></row><row r="3296"><cell r="AA3296"><v>43304</v></cell><cell r="AB3296" t="str"><v>USA_gaPMG_AZR_AZR_Q1_19_Direct-Social</v></cell><cell r="AC3296"><v>21358715</v></cell><cell r="AD3296"><v>720197</v></cell><cell r="AE3296" t="str"><v>Facebook</v></cell><cell r="AF3296"><v>3654128</v></cell><cell r="AG3296" t="str"><v>FACEBOOK»USA-Trial-ITD-Lead Completes-AZR-AZR»1 x 1»SocialBan»CAN»ALL»CPA»PRO»X»NA»SS»NA»FBCTCBrandinMotion»PRC1VX</v></cell><cell r="AH3296"><v>223861547</v></cell><cell r="AI3296" t="str"><v>AzurePlatform_FBCTCBrandinMotion_USA_10s_CAN_PLATFORM_English_Trial_Standard_STAN_TIN_T2_1</v></cell><cell r="AJ3296"><v>103176812</v></cell></row><row r="3297"><cell r="C3297" t="str"><v>43304FACEBOOK»USA-Trial-ITD-Lead Completes-AZR-AZR»1 x 1»SocialBan»LIA»ALL»CPA»PRO»X»NA»SS»NA»FreeAcctDeveloperFB-AnimatedAI-Ch3»PRC1W1</v></cell><cell r="D3297" t="str"><v>43304223933096</v></cell><cell r="E3297" t="str"><v>43304103032778PRC1W1</v></cell><cell r="F3297" t="str"><v>DCM</v></cell></row><row r="3297"><cell r="K3297" t="str"><v>July</v></cell><cell r="L3297"><v>43309</v></cell><cell r="M3297" t="str"><v>Tier 0</v></cell><cell r="N3297" t="str"><v>North America</v></cell><cell r="O3297" t="str"><v>United States</v></cell><cell r="P3297" t="str"><v>Trial</v></cell><cell r="Q3297" t="str"><v>Social</v></cell><cell r="R3297" t="str"><v>Azure</v></cell><cell r="S3297" t="str"><v>Apps & Infra</v></cell><cell r="T3297" t="str"><v>Developers & ITI's</v></cell><cell r="U3297" t="str"><v>USA-Trial-ITD-Lead Completes-AZR-AZR</v></cell><cell r="V3297" t="str"><v>Prospecting</v></cell><cell r="W3297" t="str"><v>Link Ad</v></cell><cell r="X3297" t="str"><v>1x1</v></cell></row><row r="3297"><cell r="AA3297"><v>43304</v></cell><cell r="AB3297" t="str"><v>USA_gaPMG_AZR_AZR_Q1_19_Direct-Social</v></cell><cell r="AC3297"><v>21358715</v></cell><cell r="AD3297"><v>720197</v></cell><cell r="AE3297" t="str"><v>Facebook</v></cell><cell r="AF3297"><v>3654128</v></cell><cell r="AG3297" t="str"><v>FACEBOOK»USA-Trial-ITD-Lead Completes-AZR-AZR»1 x 1»SocialBan»LIA»ALL»CPA»PRO»X»NA»SS»NA»FreeAcctDeveloperFB-AnimatedAI-Ch3»PRC1W1</v></cell><cell r="AH3297"><v>223933096</v></cell><cell r="AI3297" t="str"><v>AZR_FreeAcctDeveloperFB-AnimatedAI-Ch3_USA_1200x1200_CAN_Direct_English_Trial_Standard_ANI_LEA_T3_1</v></cell><cell r="AJ3297"><v>103032778</v></cell></row><row r="3298"><cell r="C3298" t="str"><v>43304FACEBOOK»USA-Trial-ITD-Lead Completes-AZR-AZR»1 x 1»SocialBan»LIA»ALL»CPA»PRO»X»NA»SS»NA»FreeAcctITProFB-AnimatedHybrid-Ch2»PRC1W5</v></cell><cell r="D3298" t="str"><v>43304224106033</v></cell><cell r="E3298" t="str"><v>43304103180583PRC1W5</v></cell><cell r="F3298" t="str"><v>DCM</v></cell></row><row r="3298"><cell r="K3298" t="str"><v>July</v></cell><cell r="L3298"><v>43309</v></cell><cell r="M3298" t="str"><v>Tier 0</v></cell><cell r="N3298" t="str"><v>North America</v></cell><cell r="O3298" t="str"><v>United States</v></cell><cell r="P3298" t="str"><v>Trial</v></cell><cell r="Q3298" t="str"><v>Social</v></cell><cell r="R3298" t="str"><v>Azure</v></cell><cell r="S3298" t="str"><v>Apps & Infra</v></cell><cell r="T3298" t="str"><v>Developers & ITI's</v></cell><cell r="U3298" t="str"><v>USA-Trial-ITD-Lead Completes-AZR-AZR</v></cell><cell r="V3298" t="str"><v>Prospecting</v></cell><cell r="W3298" t="str"><v>Link Ad</v></cell><cell r="X3298" t="str"><v>1x1</v></cell></row><row r="3298"><cell r="AA3298"><v>43304</v></cell><cell r="AB3298" t="str"><v>USA_gaPMG_AZR_AZR_Q1_19_Direct-Social</v></cell><cell r="AC3298"><v>21358715</v></cell><cell r="AD3298"><v>720197</v></cell><cell r="AE3298" t="str"><v>Facebook</v></cell><cell r="AF3298"><v>3654128</v></cell><cell r="AG3298" t="str"><v>FACEBOOK»USA-Trial-ITD-Lead Completes-AZR-AZR»1 x 1»SocialBan»LIA»ALL»CPA»PRO»X»NA»SS»NA»FreeAcctITProFB-AnimatedHybrid-Ch2»PRC1W5</v></cell><cell r="AH3298"><v>224106033</v></cell><cell r="AI3298" t="str"><v>AZR_FreeAcctITProFB-AnimatedHybrid-Ch2_USA_1200x1200_CAN_Direct_English_Trial_Standard_ANI_LEA_T2_2</v></cell><cell r="AJ3298"><v>103180583</v></cell></row><row r="3299"><cell r="C3299" t="str"><v>43304FACEBOOK»USA-Trial-ITD-Retargeting-AZR-AZR»1 x 1»SocialBan»LIA»ALL»CPA»RT»X»NA»SS»NA»FreeAcctDeveloperFB-AnimatedGeneric-Ch1»PRC26D</v></cell><cell r="D3299" t="str"><v>43304223862870</v></cell><cell r="E3299" t="str"><v>43304103176851PRC26D</v></cell><cell r="F3299" t="str"><v>DCM</v></cell><cell r="G3299" t="str"><v>https://azure.microsoft.com/en-us/free/search/?OCID=AID%eexcid!_OLA_%ebuy!_%epid!_%ecid!</v></cell></row><row r="3299"><cell r="K3299" t="str"><v>July</v></cell><cell r="L3299"><v>43309</v></cell><cell r="M3299" t="str"><v>Tier 0</v></cell><cell r="N3299" t="str"><v>North America</v></cell><cell r="O3299" t="str"><v>United States</v></cell><cell r="P3299" t="str"><v>Trial</v></cell><cell r="Q3299" t="str"><v>Social</v></cell><cell r="R3299" t="str"><v>Azure</v></cell><cell r="S3299" t="str"><v>Apps & Infra</v></cell><cell r="T3299" t="str"><v>Developers & ITI's</v></cell><cell r="U3299" t="str"><v>USA-Trial-ITD-Retargeting-AZR-AZR</v></cell><cell r="V3299" t="str"><v>Retargeting</v></cell><cell r="W3299" t="str"><v>Link Ad</v></cell><cell r="X3299" t="str"><v>1x1</v></cell></row><row r="3299"><cell r="AA3299"><v>43304</v></cell><cell r="AB3299" t="str"><v>USA_gaPMG_AZR_AZR_Q1_19_Direct-Social</v></cell><cell r="AC3299"><v>21358715</v></cell><cell r="AD3299"><v>720197</v></cell><cell r="AE3299" t="str"><v>Facebook</v></cell><cell r="AF3299"><v>3654128</v></cell><cell r="AG3299" t="str"><v>FACEBOOK»USA-Trial-ITD-Retargeting-AZR-AZR»1 x 1»SocialBan»LIA»ALL»CPA»RT»X»NA»SS»NA»FreeAcctDeveloperFB-AnimatedGeneric-Ch1»PRC26D</v></cell><cell r="AH3299"><v>223862870</v></cell><cell r="AI3299" t="str"><v>AZR_FreeAcctDeveloperFB-AnimatedGeneric-Ch1_USA_1200x1200_CAN_Direct_English_Trial_Standard_ANI_LEA_T1_2</v></cell><cell r="AJ3299"><v>103176851</v></cell></row><row r="3300"><cell r="C3300" t="str"><v>43304FACEBOOK»USA-Trial-ITD-Retargeting-AZR-AZR»1 x 1»SocialBan»LIA»ALL»CPA»RT»X»NA»SS»NA»FreeAcctRetargetingOSSFB-Logos-ChG»PRC1S2</v></cell><cell r="D3300" t="str"><v>43304224106063</v></cell><cell r="E3300" t="str"><v>43304103176008PRC1S2</v></cell><cell r="F3300" t="str"><v>DCM</v></cell><cell r="G3300" t="str"><v>https://azure.microsoft.com/en-us/free/open-source/search/?OCID=AID%eexcid!_OLA_%ebuy!_%epid!_%ecid!</v></cell></row><row r="3300"><cell r="K3300" t="str"><v>July</v></cell><cell r="L3300"><v>43309</v></cell><cell r="M3300" t="str"><v>Tier 0</v></cell><cell r="N3300" t="str"><v>North America</v></cell><cell r="O3300" t="str"><v>United States</v></cell><cell r="P3300" t="str"><v>Trial</v></cell><cell r="Q3300" t="str"><v>Social</v></cell><cell r="R3300" t="str"><v>Azure</v></cell><cell r="S3300" t="str"><v>Apps & Infra</v></cell><cell r="T3300" t="str"><v>Developers & ITI's</v></cell><cell r="U3300" t="str"><v>USA-Trial-ITD-Retargeting-AZR-AZR</v></cell><cell r="V3300" t="str"><v>Retargeting</v></cell><cell r="W3300" t="str"><v>Link Ad</v></cell><cell r="X3300" t="str"><v>1x1</v></cell></row><row r="3300"><cell r="AA3300"><v>43304</v></cell><cell r="AB3300" t="str"><v>USA_gaPMG_AZR_AZR_Q1_19_Direct-Social</v></cell><cell r="AC3300"><v>21358715</v></cell><cell r="AD3300"><v>720197</v></cell><cell r="AE3300" t="str"><v>Facebook</v></cell><cell r="AF3300"><v>3654128</v></cell><cell r="AG3300" t="str"><v>FACEBOOK»USA-Trial-ITD-Retargeting-AZR-AZR»1 x 1»SocialBan»LIA»ALL»CPA»RT»X»NA»SS»NA»FreeAcctRetargetingOSSFB-Logos-ChG»PRC1S2</v></cell><cell r="AH3300"><v>224106063</v></cell><cell r="AI3300" t="str"><v>AzurePlatform_FreeAcctRetargetingOSSFB-Logos-ChG_USA_1200x628_CAN_PLATFORM_English_Free Account_Standard_NA_SINU_T2_1</v></cell><cell r="AJ3300"><v>103176008</v></cell></row><row r="3301"><cell r="C3301" t="str"><v>43304FACEBOOK»USA-Trial-ITD-Retargeting-AZR-AZR»1 x 1»SocialBan»LIA»ALL»CPA»RT»X»NA»SS»NA»FreeAcctRetargetingOSSFB-Text-ChF»PRC1S1</v></cell><cell r="D3301" t="str"><v>43304223862753</v></cell><cell r="E3301" t="str"><v>43304103176869PRC1S1</v></cell><cell r="F3301" t="str"><v>DCM</v></cell><cell r="G3301" t="str"><v>https://azure.microsoft.com/en-us/free/open-source/search/?OCID=AID%eexcid!_OLA_%ebuy!_%epid!_%ecid!</v></cell></row><row r="3301"><cell r="K3301" t="str"><v>July</v></cell><cell r="L3301"><v>43309</v></cell><cell r="M3301" t="str"><v>Tier 0</v></cell><cell r="N3301" t="str"><v>North America</v></cell><cell r="O3301" t="str"><v>United States</v></cell><cell r="P3301" t="str"><v>Trial</v></cell><cell r="Q3301" t="str"><v>Social</v></cell><cell r="R3301" t="str"><v>Azure</v></cell><cell r="S3301" t="str"><v>Apps & Infra</v></cell><cell r="T3301" t="str"><v>Developers & ITI's</v></cell><cell r="U3301" t="str"><v>USA-Trial-ITD-Retargeting-AZR-AZR</v></cell><cell r="V3301" t="str"><v>Retargeting</v></cell><cell r="W3301" t="str"><v>Link Ad</v></cell><cell r="X3301" t="str"><v>1x1</v></cell></row><row r="3301"><cell r="AA3301"><v>43304</v></cell><cell r="AB3301" t="str"><v>USA_gaPMG_AZR_AZR_Q1_19_Direct-Social</v></cell><cell r="AC3301"><v>21358715</v></cell><cell r="AD3301"><v>720197</v></cell><cell r="AE3301" t="str"><v>Facebook</v></cell><cell r="AF3301"><v>3654128</v></cell><cell r="AG3301" t="str"><v>FACEBOOK»USA-Trial-ITD-Retargeting-AZR-AZR»1 x 1»SocialBan»LIA»ALL»CPA»RT»X»NA»SS»NA»FreeAcctRetargetingOSSFB-Text-ChF»PRC1S1</v></cell><cell r="AH3301"><v>223862753</v></cell><cell r="AI3301" t="str"><v>AzurePlatform_FreeAcctRetargetingOSSFB-Text-ChF_USA_1200x628_CAN_PLATFORM_English_Free Account_Standard_NA_SINU_T1_2</v></cell><cell r="AJ3301"><v>103176869</v></cell></row><row r="3302"><cell r="C3302" t="str"><v>43304FACEBOOK»USA-Trial-ITD-Retargeting-AZR-AZR»1 x 1»SocialBan»CAN»ALL»CPA»RT»X»NA»SS»NA»FBCTCBasicMotion»PRC1RQ</v></cell><cell r="D3302" t="str"><v>43304224106933</v></cell><cell r="E3302" t="str"><v>43304103043823PRC1RQ</v></cell><cell r="F3302" t="str"><v>DCM</v></cell><cell r="G3302" t="str"><v>https://signup.azure.com/?OCID=AID%eexcid!_OLA_%ebuy!_%epid!_%ecid!</v></cell></row><row r="3302"><cell r="K3302" t="str"><v>July</v></cell><cell r="L3302"><v>43309</v></cell><cell r="M3302" t="str"><v>Tier 0</v></cell><cell r="N3302" t="str"><v>North America</v></cell><cell r="O3302" t="str"><v>United States</v></cell><cell r="P3302" t="str"><v>Trial</v></cell><cell r="Q3302" t="str"><v>Social</v></cell><cell r="R3302" t="str"><v>Azure</v></cell><cell r="S3302" t="str"><v>Apps & Infra</v></cell><cell r="T3302" t="str"><v>Developers & ITI's</v></cell><cell r="U3302" t="str"><v>USA-Trial-ITD-Retargeting-AZR-AZR</v></cell><cell r="V3302" t="str"><v>Retargeting</v></cell><cell r="W3302" t="str"><v>Canvas Ad</v></cell><cell r="X3302" t="str"><v>1x1</v></cell></row><row r="3302"><cell r="AA3302"><v>43304</v></cell><cell r="AB3302" t="str"><v>USA_gaPMG_AZR_AZR_Q1_19_Direct-Social</v></cell><cell r="AC3302"><v>21358715</v></cell><cell r="AD3302"><v>720197</v></cell><cell r="AE3302" t="str"><v>Facebook</v></cell><cell r="AF3302"><v>3654128</v></cell><cell r="AG3302" t="str"><v>FACEBOOK»USA-Trial-ITD-Retargeting-AZR-AZR»1 x 1»SocialBan»CAN»ALL»CPA»RT»X»NA»SS»NA»FBCTCBasicMotion»PRC1RQ</v></cell><cell r="AH3302"><v>224106933</v></cell><cell r="AI3302" t="str"><v>AzurePlatform_FBCTCBasicMotion_USA_10s_CAN_PLATFORM_English_Trial_Standard_STAN_TIN_T1_1</v></cell><cell r="AJ3302"><v>103043823</v></cell></row><row r="3303"><cell r="C3303" t="str"><v>43304FACEBOOK»USA-Trial-ITD-Retargeting-AZR-AZR»1 x 1»SocialBan»LIA»ALL»CPA»RT»X»NA»SS»NA»FreeAcctITProFB-AnimatedSecureMngd-Ch1»PRC26K</v></cell><cell r="D3303" t="str"><v>43304223862762</v></cell><cell r="E3303" t="str"><v>43304103176830PRC26K</v></cell><cell r="F3303" t="str"><v>DCM</v></cell></row><row r="3303"><cell r="K3303" t="str"><v>July</v></cell><cell r="L3303"><v>43309</v></cell><cell r="M3303" t="str"><v>Tier 0</v></cell><cell r="N3303" t="str"><v>North America</v></cell><cell r="O3303" t="str"><v>United States</v></cell><cell r="P3303" t="str"><v>Trial</v></cell><cell r="Q3303" t="str"><v>Social</v></cell><cell r="R3303" t="str"><v>Azure</v></cell><cell r="S3303" t="str"><v>Apps & Infra</v></cell><cell r="T3303" t="str"><v>Developers & ITI's</v></cell><cell r="U3303" t="str"><v>USA-Trial-ITD-Retargeting-AZR-AZR</v></cell><cell r="V3303" t="str"><v>Retargeting</v></cell><cell r="W3303" t="str"><v>Link Ad</v></cell><cell r="X3303" t="str"><v>1x1</v></cell></row><row r="3303"><cell r="AA3303"><v>43304</v></cell><cell r="AB3303" t="str"><v>USA_gaPMG_AZR_AZR_Q1_19_Direct-Social</v></cell><cell r="AC3303"><v>21358715</v></cell><cell r="AD3303"><v>720197</v></cell><cell r="AE3303" t="str"><v>Facebook</v></cell><cell r="AF3303"><v>3654128</v></cell><cell r="AG3303" t="str"><v>FACEBOOK»USA-Trial-ITD-Retargeting-AZR-AZR»1 x 1»SocialBan»LIA»ALL»CPA»RT»X»NA»SS»NA»FreeAcctITProFB-AnimatedSecureMngd-Ch1»PRC26K</v></cell><cell r="AH3303"><v>223862762</v></cell><cell r="AI3303" t="str"><v>AZR_FreeAcctITProFB-AnimatedSecureMngd-Ch1_USA_1200x1200_CAN_Direct_English_Trial_Standard_ANI_LEA_T1_1</v></cell><cell r="AJ3303"><v>103176830</v></cell></row><row r="3304"><cell r="C3304" t="str"><v>43304FACEBOOK»USA-Trial-ITD-Trial Lookalike-AZR-AZR»1 x 1»SocialBan»LIA»ALL»CPA»LAL»X»NA»SS»NA»FreeAcctDeveloperFB-AnimatedGeneric-Ch1»PRC1M4</v></cell><cell r="D3304" t="str"><v>43304224104941</v></cell><cell r="E3304" t="str"><v>43304103176851PRC1M4</v></cell><cell r="F3304" t="str"><v>DCM</v></cell><cell r="G3304" t="str"><v>https://azure.microsoft.com/en-us/free/search/?OCID=AID%eexcid!_OLA_%ebuy!_%epid!_%ecid!</v></cell></row><row r="3304"><cell r="K3304" t="str"><v>July</v></cell><cell r="L3304"><v>43309</v></cell><cell r="M3304" t="str"><v>Tier 0</v></cell><cell r="N3304" t="str"><v>North America</v></cell><cell r="O3304" t="str"><v>United States</v></cell><cell r="P3304" t="str"><v>Trial</v></cell><cell r="Q3304" t="str"><v>Social</v></cell><cell r="R3304" t="str"><v>Azure</v></cell><cell r="S3304" t="str"><v>Apps & Infra</v></cell><cell r="T3304" t="str"><v>Developers & ITI's</v></cell><cell r="U3304" t="str"><v>USA-Trial-ITD-Trial Lookalike-AZR-AZR</v></cell><cell r="V3304" t="str"><v>Lookalike Targeting</v></cell><cell r="W3304" t="str"><v>Link Ad</v></cell><cell r="X3304" t="str"><v>1x1</v></cell></row><row r="3304"><cell r="AA3304"><v>43304</v></cell><cell r="AB3304" t="str"><v>USA_gaPMG_AZR_AZR_Q1_19_Direct-Social</v></cell><cell r="AC3304"><v>21358715</v></cell><cell r="AD3304"><v>720197</v></cell><cell r="AE3304" t="str"><v>Facebook</v></cell><cell r="AF3304"><v>3654128</v></cell><cell r="AG3304" t="str"><v>FACEBOOK»USA-Trial-ITD-Trial Lookalike-AZR-AZR»1 x 1»SocialBan»LIA»ALL»CPA»LAL»X»NA»SS»NA»FreeAcctDeveloperFB-AnimatedGeneric-Ch1»PRC1M4</v></cell><cell r="AH3304"><v>224104941</v></cell><cell r="AI3304" t="str"><v>AZR_FreeAcctDeveloperFB-AnimatedGeneric-Ch1_USA_1200x1200_CAN_Direct_English_Trial_Standard_ANI_LEA_T1_2</v></cell><cell r="AJ3304"><v>103176851</v></cell></row><row r="3305"><cell r="C3305" t="str"><v>43304FACEBOOK»USA-Trial-ITD-Trial Lookalike-AZR-AZR»1 x 1»SocialBan»LIA»ALL»CPA»LAL»X»NA»SS»NA»FreeAcctDeveloperFB-AnimatedGeneric-Ch1»PRC1M5</v></cell><cell r="D3305" t="str"><v>43304223934083</v></cell><cell r="E3305" t="str"><v>43304103176851PRC1M5</v></cell><cell r="F3305" t="str"><v>DCM</v></cell><cell r="G3305" t="str"><v>https://azure.microsoft.com/en-us/free/search/?OCID=AID%eexcid!_OLA_%ebuy!_%epid!_%ecid!</v></cell></row><row r="3305"><cell r="K3305" t="str"><v>July</v></cell><cell r="L3305"><v>43309</v></cell><cell r="M3305" t="str"><v>Tier 0</v></cell><cell r="N3305" t="str"><v>North America</v></cell><cell r="O3305" t="str"><v>United States</v></cell><cell r="P3305" t="str"><v>Trial</v></cell><cell r="Q3305" t="str"><v>Social</v></cell><cell r="R3305" t="str"><v>Azure</v></cell><cell r="S3305" t="str"><v>Apps & Infra</v></cell><cell r="T3305" t="str"><v>Developers & ITI's</v></cell><cell r="U3305" t="str"><v>USA-Trial-ITD-Trial Lookalike-AZR-AZR</v></cell><cell r="V3305" t="str"><v>Lookalike Targeting</v></cell><cell r="W3305" t="str"><v>Link Ad</v></cell><cell r="X3305" t="str"><v>1x1</v></cell></row><row r="3305"><cell r="AA3305"><v>43304</v></cell><cell r="AB3305" t="str"><v>USA_gaPMG_AZR_AZR_Q1_19_Direct-Social</v></cell><cell r="AC3305"><v>21358715</v></cell><cell r="AD3305"><v>720197</v></cell><cell r="AE3305" t="str"><v>Facebook</v></cell><cell r="AF3305"><v>3654128</v></cell><cell r="AG3305" t="str"><v>FACEBOOK»USA-Trial-ITD-Trial Lookalike-AZR-AZR»1 x 1»SocialBan»LIA»ALL»CPA»LAL»X»NA»SS»NA»FreeAcctDeveloperFB-AnimatedGeneric-Ch1»PRC1M5</v></cell><cell r="AH3305"><v>223934083</v></cell><cell r="AI3305" t="str"><v>AZR_FreeAcctDeveloperFB-AnimatedGeneric-Ch1_USA_1200x1200_CAN_Direct_English_Trial_Standard_ANI_LEA_T1_2</v></cell><cell r="AJ3305"><v>103176851</v></cell></row><row r="3306"><cell r="C3306" t="str"><v>43304FACEBOOK»USA-Trial-ITD-Trial Lookalike-AZR-AZR»1 x 1»SocialBan»LIA»ALL»CPA»LAL»X»NA»SS»NA»FreeAcctITProFB-AnimatedMigration-Ch3»PRC23N</v></cell><cell r="D3306" t="str"><v>43304223935637</v></cell><cell r="E3306" t="str"><v>43304103176827PRC23N</v></cell><cell r="F3306" t="str"><v>DCM</v></cell></row><row r="3306"><cell r="K3306" t="str"><v>July</v></cell><cell r="L3306"><v>43309</v></cell><cell r="M3306" t="str"><v>Tier 0</v></cell><cell r="N3306" t="str"><v>North America</v></cell><cell r="O3306" t="str"><v>United States</v></cell><cell r="P3306" t="str"><v>Trial</v></cell><cell r="Q3306" t="str"><v>Social</v></cell><cell r="R3306" t="str"><v>Azure</v></cell><cell r="S3306" t="str"><v>Apps & Infra</v></cell><cell r="T3306" t="str"><v>Developers & ITI's</v></cell><cell r="U3306" t="str"><v>USA-Trial-ITD-Trial Lookalike-AZR-AZR</v></cell><cell r="V3306" t="str"><v>Lookalike Targeting</v></cell><cell r="W3306" t="str"><v>Link Ad</v></cell><cell r="X3306" t="str"><v>1x1</v></cell></row><row r="3306"><cell r="AA3306"><v>43304</v></cell><cell r="AB3306" t="str"><v>USA_gaPMG_AZR_AZR_Q1_19_Direct-Social</v></cell><cell r="AC3306"><v>21358715</v></cell><cell r="AD3306"><v>720197</v></cell><cell r="AE3306" t="str"><v>Facebook</v></cell><cell r="AF3306"><v>3654128</v></cell><cell r="AG3306" t="str"><v>FACEBOOK»USA-Trial-ITD-Trial Lookalike-AZR-AZR»1 x 1»SocialBan»LIA»ALL»CPA»LAL»X»NA»SS»NA»FreeAcctITProFB-AnimatedMigration-Ch3»PRC23N</v></cell><cell r="AH3306"><v>223935637</v></cell><cell r="AI3306" t="str"><v>AZR_FreeAcctITProFB-AnimatedMigration-Ch3_USA_1200x1200_CAN_Direct_English_Trial_Standard_ANI_LEA_T3_1</v></cell><cell r="AJ3306"><v>103176827</v></cell></row><row r="3307"><cell r="C3307" t="str"><v>43304FACEBOOK»USA-Trial-ITD-Trial Lookalike-AZR-AZR»1 x 1»SocialBan»LIA»ALL»CPA»LAL»X»NA»SS»NA»FreeAcctITProFB-AnimatedSecureMngd-Ch1»PRC1M9</v></cell><cell r="D3307" t="str"><v>43304224104959</v></cell><cell r="E3307" t="str"><v>43304103176830PRC1M9</v></cell><cell r="F3307" t="str"><v>DCM</v></cell></row><row r="3307"><cell r="K3307" t="str"><v>July</v></cell><cell r="L3307"><v>43309</v></cell><cell r="M3307" t="str"><v>Tier 0</v></cell><cell r="N3307" t="str"><v>North America</v></cell><cell r="O3307" t="str"><v>United States</v></cell><cell r="P3307" t="str"><v>Trial</v></cell><cell r="Q3307" t="str"><v>Social</v></cell><cell r="R3307" t="str"><v>Azure</v></cell><cell r="S3307" t="str"><v>Apps & Infra</v></cell><cell r="T3307" t="str"><v>Developers & ITI's</v></cell><cell r="U3307" t="str"><v>USA-Trial-ITD-Trial Lookalike-AZR-AZR</v></cell><cell r="V3307" t="str"><v>Lookalike Targeting</v></cell><cell r="W3307" t="str"><v>Link Ad</v></cell><cell r="X3307" t="str"><v>1x1</v></cell></row><row r="3307"><cell r="AA3307"><v>43304</v></cell><cell r="AB3307" t="str"><v>USA_gaPMG_AZR_AZR_Q1_19_Direct-Social</v></cell><cell r="AC3307"><v>21358715</v></cell><cell r="AD3307"><v>720197</v></cell><cell r="AE3307" t="str"><v>Facebook</v></cell><cell r="AF3307"><v>3654128</v></cell><cell r="AG3307" t="str"><v>FACEBOOK»USA-Trial-ITD-Trial Lookalike-AZR-AZR»1 x 1»SocialBan»LIA»ALL»CPA»LAL»X»NA»SS»NA»FreeAcctITProFB-AnimatedSecureMngd-Ch1»PRC1M9</v></cell><cell r="AH3307"><v>224104959</v></cell><cell r="AI3307" t="str"><v>AZR_FreeAcctITProFB-AnimatedSecureMngd-Ch1_USA_1200x1200_CAN_Direct_English_Trial_Standard_ANI_LEA_T1_1</v></cell><cell r="AJ3307"><v>103176830</v></cell></row><row r="3308"><cell r="C3308" t="str"><v>43304FACEBOOK»USA-Trial-ITD-Trial Lookalike-AZR-AZR»1 x 1»SocialBan»CAN»ALL»CPA»LAL»X»NA»SS»NA»FBCTCBasicMotion»PRC1LZ</v></cell><cell r="D3308" t="str"><v>43304223862915</v></cell><cell r="E3308" t="str"><v>43304103043823PRC1LZ</v></cell><cell r="F3308" t="str"><v>DCM</v></cell><cell r="G3308" t="str"><v>https://signup.azure.com/?OCID=AID%eexcid!_OLA_%ebuy!_%epid!_%ecid!</v></cell></row><row r="3308"><cell r="K3308" t="str"><v>July</v></cell><cell r="L3308"><v>43309</v></cell><cell r="M3308" t="str"><v>Tier 0</v></cell><cell r="N3308" t="str"><v>North America</v></cell><cell r="O3308" t="str"><v>United States</v></cell><cell r="P3308" t="str"><v>Trial</v></cell><cell r="Q3308" t="str"><v>Social</v></cell><cell r="R3308" t="str"><v>Azure</v></cell><cell r="S3308" t="str"><v>Apps & Infra</v></cell><cell r="T3308" t="str"><v>Developers & ITI's</v></cell><cell r="U3308" t="str"><v>USA-Trial-ITD-Trial Lookalike-AZR-AZR</v></cell><cell r="V3308" t="str"><v>Lookalike Targeting</v></cell><cell r="W3308" t="str"><v>Canvas Ad</v></cell><cell r="X3308" t="str"><v>1x1</v></cell></row><row r="3308"><cell r="AA3308"><v>43304</v></cell><cell r="AB3308" t="str"><v>USA_gaPMG_AZR_AZR_Q1_19_Direct-Social</v></cell><cell r="AC3308"><v>21358715</v></cell><cell r="AD3308"><v>720197</v></cell><cell r="AE3308" t="str"><v>Facebook</v></cell><cell r="AF3308"><v>3654128</v></cell><cell r="AG3308" t="str"><v>FACEBOOK»USA-Trial-ITD-Trial Lookalike-AZR-AZR»1 x 1»SocialBan»CAN»ALL»CPA»LAL»X»NA»SS»NA»FBCTCBasicMotion»PRC1LZ</v></cell><cell r="AH3308"><v>223862915</v></cell><cell r="AI3308" t="str"><v>AzurePlatform_FBCTCBasicMotion_USA_10s_CAN_PLATFORM_English_Trial_Standard_STAN_TIN_T1_1</v></cell><cell r="AJ3308"><v>103043823</v></cell></row><row r="3309"><cell r="C3309" t="str"><v>43304FACEBOOK»USA-Trial-ITD-Trial Lookalike-AZR-AZR»1 x 1»SocialBan»CAN»ALL»CPA»LAL»X»NA»SS»NA»FBCTCBasicMotion»PRC1LZ</v></cell><cell r="D3309" t="str"><v>43304223862915</v></cell><cell r="E3309" t="str"><v>43304103175984PRC1LZ</v></cell><cell r="F3309" t="str"><v>DCM</v></cell><cell r="G3309" t="str"><v>https://azure.microsoft.com/en-us/pricing/purchase-options/?v=18.19&OCID=AID%eexcid!_OLA_%ebuy!_%epid!_%ecid!</v></cell></row><row r="3309"><cell r="K3309" t="str"><v>July</v></cell><cell r="L3309"><v>43309</v></cell><cell r="M3309" t="str"><v>Tier 0</v></cell><cell r="N3309" t="str"><v>North America</v></cell><cell r="O3309" t="str"><v>United States</v></cell><cell r="P3309" t="str"><v>Trial</v></cell><cell r="Q3309" t="str"><v>Social</v></cell><cell r="R3309" t="str"><v>Azure</v></cell><cell r="S3309" t="str"><v>Apps & Infra</v></cell><cell r="T3309" t="str"><v>Developers & ITI's</v></cell><cell r="U3309" t="str"><v>USA-Trial-ITD-Trial Lookalike-AZR-AZR</v></cell><cell r="V3309" t="str"><v>Lookalike Targeting</v></cell><cell r="W3309" t="str"><v>Canvas Ad</v></cell><cell r="X3309" t="str"><v>1x1</v></cell></row><row r="3309"><cell r="AA3309"><v>43304</v></cell><cell r="AB3309" t="str"><v>USA_gaPMG_AZR_AZR_Q1_19_Direct-Social</v></cell><cell r="AC3309"><v>21358715</v></cell><cell r="AD3309"><v>720197</v></cell><cell r="AE3309" t="str"><v>Facebook</v></cell><cell r="AF3309"><v>3654128</v></cell><cell r="AG3309" t="str"><v>FACEBOOK»USA-Trial-ITD-Trial Lookalike-AZR-AZR»1 x 1»SocialBan»CAN»ALL»CPA»LAL»X»NA»SS»NA»FBCTCBasicMotion»PRC1LZ</v></cell><cell r="AH3309"><v>223862915</v></cell><cell r="AI3309" t="str"><v>AzurePlatform_FBCTCBasicMotion_USA_10s_CAN_PLATFORM_English_Trial_Standard_STAN_TIN_T1_2</v></cell><cell r="AJ3309"><v>103175984</v></cell></row><row r="3310"><cell r="C3310" t="str"><v>43304FACEBOOK»USA-Trial-ITD-Trial PayGo Lookalike-AZR-AZR»1 x 1»SocialBan»CAN»ALL»CPA»LAL»X»NA»SS»NA»FBCTCBasicMotion»PRC1Q0</v></cell><cell r="D3310" t="str"><v>43304223935664</v></cell><cell r="E3310" t="str"><v>43304103043823PRC1Q0</v></cell><cell r="F3310" t="str"><v>DCM</v></cell><cell r="G3310" t="str"><v>https://signup.azure.com/?OCID=AID%eexcid!_OLA_%ebuy!_%epid!_%ecid!</v></cell></row><row r="3310"><cell r="K3310" t="str"><v>July</v></cell><cell r="L3310"><v>43309</v></cell><cell r="M3310" t="str"><v>Tier 0</v></cell><cell r="N3310" t="str"><v>North America</v></cell><cell r="O3310" t="str"><v>United States</v></cell><cell r="P3310" t="str"><v>Trial</v></cell><cell r="Q3310" t="str"><v>Social</v></cell><cell r="R3310" t="str"><v>Azure</v></cell><cell r="S3310" t="str"><v>Apps & Infra</v></cell><cell r="T3310" t="str"><v>Developers & ITI's</v></cell><cell r="U3310" t="str"><v>USA-Trial-ITD-Trial PayGo Lookalike-AZR-AZR</v></cell><cell r="V3310" t="str"><v>Lookalike Targeting</v></cell><cell r="W3310" t="str"><v>Canvas Ad</v></cell><cell r="X3310" t="str"><v>1x1</v></cell></row><row r="3310"><cell r="AA3310"><v>43304</v></cell><cell r="AB3310" t="str"><v>USA_gaPMG_AZR_AZR_Q1_19_Direct-Social</v></cell><cell r="AC3310"><v>21358715</v></cell><cell r="AD3310"><v>720197</v></cell><cell r="AE3310" t="str"><v>Facebook</v></cell><cell r="AF3310"><v>3654128</v></cell><cell r="AG3310" t="str"><v>FACEBOOK»USA-Trial-ITD-Trial PayGo Lookalike-AZR-AZR»1 x 1»SocialBan»CAN»ALL»CPA»LAL»X»NA»SS»NA»FBCTCBasicMotion»PRC1Q0</v></cell><cell r="AH3310"><v>223935664</v></cell><cell r="AI3310" t="str"><v>AzurePlatform_FBCTCBasicMotion_USA_10s_CAN_PLATFORM_English_Trial_Standard_STAN_TIN_T1_1</v></cell><cell r="AJ3310"><v>103043823</v></cell></row><row r="3311"><cell r="C3311" t="str"><v>43304FACEBOOK»USA-Trial-ITD-Trial PayGo Lookalike-AZR-AZR»1 x 1»SocialBan»CAN»ALL»CPA»LAL»X»NA»SS»NA»FBCTCBasicMotion»PRC1Q0</v></cell><cell r="D3311" t="str"><v>43304223935664</v></cell><cell r="E3311" t="str"><v>43304103175984PRC1Q0</v></cell><cell r="F3311" t="str"><v>DCM</v></cell><cell r="G3311" t="str"><v>https://azure.microsoft.com/en-us/pricing/purchase-options/?v=18.19&OCID=AID%eexcid!_OLA_%ebuy!_%epid!_%ecid!</v></cell></row><row r="3311"><cell r="K3311" t="str"><v>July</v></cell><cell r="L3311"><v>43309</v></cell><cell r="M3311" t="str"><v>Tier 0</v></cell><cell r="N3311" t="str"><v>North America</v></cell><cell r="O3311" t="str"><v>United States</v></cell><cell r="P3311" t="str"><v>Trial</v></cell><cell r="Q3311" t="str"><v>Social</v></cell><cell r="R3311" t="str"><v>Azure</v></cell><cell r="S3311" t="str"><v>Apps & Infra</v></cell><cell r="T3311" t="str"><v>Developers & ITI's</v></cell><cell r="U3311" t="str"><v>USA-Trial-ITD-Trial PayGo Lookalike-AZR-AZR</v></cell><cell r="V3311" t="str"><v>Lookalike Targeting</v></cell><cell r="W3311" t="str"><v>Canvas Ad</v></cell><cell r="X3311" t="str"><v>1x1</v></cell></row><row r="3311"><cell r="AA3311"><v>43304</v></cell><cell r="AB3311" t="str"><v>USA_gaPMG_AZR_AZR_Q1_19_Direct-Social</v></cell><cell r="AC3311"><v>21358715</v></cell><cell r="AD3311"><v>720197</v></cell><cell r="AE3311" t="str"><v>Facebook</v></cell><cell r="AF3311"><v>3654128</v></cell><cell r="AG3311" t="str"><v>FACEBOOK»USA-Trial-ITD-Trial PayGo Lookalike-AZR-AZR»1 x 1»SocialBan»CAN»ALL»CPA»LAL»X»NA»SS»NA»FBCTCBasicMotion»PRC1Q0</v></cell><cell r="AH3311"><v>223935664</v></cell><cell r="AI3311" t="str"><v>AzurePlatform_FBCTCBasicMotion_USA_10s_CAN_PLATFORM_English_Trial_Standard_STAN_TIN_T1_2</v></cell><cell r="AJ3311"><v>103175984</v></cell></row><row r="3312"><cell r="C3312" t="str"><v>43304FACEBOOK»USA-Trial-ITD-Trial PayGo Lookalike-AZR-AZR»1 x 1»SocialBan»LIA»ALL»CPA»LAL»X»NA»SS»NA»FreeAcctDeveloperFB-AnimatedAI-Ch3»PRC1Q8</v></cell><cell r="D3312" t="str"><v>43304224104983</v></cell><cell r="E3312" t="str"><v>43304103032778PRC1Q8</v></cell><cell r="F3312" t="str"><v>DCM</v></cell></row><row r="3312"><cell r="K3312" t="str"><v>July</v></cell><cell r="L3312"><v>43309</v></cell><cell r="M3312" t="str"><v>Tier 0</v></cell><cell r="N3312" t="str"><v>North America</v></cell><cell r="O3312" t="str"><v>United States</v></cell><cell r="P3312" t="str"><v>Trial</v></cell><cell r="Q3312" t="str"><v>Social</v></cell><cell r="R3312" t="str"><v>Azure</v></cell><cell r="S3312" t="str"><v>Apps & Infra</v></cell><cell r="T3312" t="str"><v>Developers & ITI's</v></cell><cell r="U3312" t="str"><v>USA-Trial-ITD-Trial PayGo Lookalike-AZR-AZR</v></cell><cell r="V3312" t="str"><v>Lookalike Targeting</v></cell><cell r="W3312" t="str"><v>Link Ad</v></cell><cell r="X3312" t="str"><v>1x1</v></cell></row><row r="3312"><cell r="AA3312"><v>43304</v></cell><cell r="AB3312" t="str"><v>USA_gaPMG_AZR_AZR_Q1_19_Direct-Social</v></cell><cell r="AC3312"><v>21358715</v></cell><cell r="AD3312"><v>720197</v></cell><cell r="AE3312" t="str"><v>Facebook</v></cell><cell r="AF3312"><v>3654128</v></cell><cell r="AG3312" t="str"><v>FACEBOOK»USA-Trial-ITD-Trial PayGo Lookalike-AZR-AZR»1 x 1»SocialBan»LIA»ALL»CPA»LAL»X»NA»SS»NA»FreeAcctDeveloperFB-AnimatedAI-Ch3»PRC1Q8</v></cell><cell r="AH3312"><v>224104983</v></cell><cell r="AI3312" t="str"><v>AZR_FreeAcctDeveloperFB-AnimatedAI-Ch3_USA_1200x1200_CAN_Direct_English_Trial_Standard_ANI_LEA_T3_1</v></cell><cell r="AJ3312"><v>103032778</v></cell></row><row r="3313"><cell r="C3313" t="str"><v>43304FACEBOOK»USA-Trial-ITD-Trial PayGo Lookalike-AZR-AZR»1 x 1»SocialBan»LIA»ALL»CPA»LAL»X»NA»SS»NA»FreeAcctDeveloperFB-AnimatedData-Ch4»PRC1Q9</v></cell><cell r="D3313" t="str"><v>43304224106990</v></cell><cell r="E3313" t="str"><v>43304103037935PRC1Q9</v></cell><cell r="F3313" t="str"><v>DCM</v></cell></row><row r="3313"><cell r="K3313" t="str"><v>July</v></cell><cell r="L3313"><v>43309</v></cell><cell r="M3313" t="str"><v>Tier 0</v></cell><cell r="N3313" t="str"><v>North America</v></cell><cell r="O3313" t="str"><v>United States</v></cell><cell r="P3313" t="str"><v>Trial</v></cell><cell r="Q3313" t="str"><v>Social</v></cell><cell r="R3313" t="str"><v>Azure</v></cell><cell r="S3313" t="str"><v>Apps & Infra</v></cell><cell r="T3313" t="str"><v>Developers & ITI's</v></cell><cell r="U3313" t="str"><v>USA-Trial-ITD-Trial PayGo Lookalike-AZR-AZR</v></cell><cell r="V3313" t="str"><v>Lookalike Targeting</v></cell><cell r="W3313" t="str"><v>Link Ad</v></cell><cell r="X3313" t="str"><v>1x1</v></cell></row><row r="3313"><cell r="AA3313"><v>43304</v></cell><cell r="AB3313" t="str"><v>USA_gaPMG_AZR_AZR_Q1_19_Direct-Social</v></cell><cell r="AC3313"><v>21358715</v></cell><cell r="AD3313"><v>720197</v></cell><cell r="AE3313" t="str"><v>Facebook</v></cell><cell r="AF3313"><v>3654128</v></cell><cell r="AG3313" t="str"><v>FACEBOOK»USA-Trial-ITD-Trial PayGo Lookalike-AZR-AZR»1 x 1»SocialBan»LIA»ALL»CPA»LAL»X»NA»SS»NA»FreeAcctDeveloperFB-AnimatedData-Ch4»PRC1Q9</v></cell><cell r="AH3313"><v>224106990</v></cell><cell r="AI3313" t="str"><v>AZR_FreeAcctDeveloperFB-AnimatedData-Ch4_USA_1200x1200_CAN_Direct_English_Trial_Standard_ANI_LEA_T4_2</v></cell><cell r="AJ3313"><v>103037935</v></cell></row><row r="3314"><cell r="C3314" t="str"><v>43304FACEBOOK»USA-Trial-ITD-Trial PayGo Lookalike-AZR-AZR»1 x 1»SocialBan»LIA»ALL»CPA»LAL»X»NA»SS»NA»FreeAcctDeveloperFB-AnimatedGeneric-Ch1»PRC1Q5</v></cell><cell r="D3314" t="str"><v>43304224104092</v></cell><cell r="E3314" t="str"><v>43304103176851PRC1Q5</v></cell><cell r="F3314" t="str"><v>DCM</v></cell><cell r="G3314" t="str"><v>https://azure.microsoft.com/en-us/free/search/?OCID=AID%eexcid!_OLA_%ebuy!_%epid!_%ecid!</v></cell></row><row r="3314"><cell r="K3314" t="str"><v>July</v></cell><cell r="L3314"><v>43309</v></cell><cell r="M3314" t="str"><v>Tier 0</v></cell><cell r="N3314" t="str"><v>North America</v></cell><cell r="O3314" t="str"><v>United States</v></cell><cell r="P3314" t="str"><v>Trial</v></cell><cell r="Q3314" t="str"><v>Social</v></cell><cell r="R3314" t="str"><v>Azure</v></cell><cell r="S3314" t="str"><v>Apps & Infra</v></cell><cell r="T3314" t="str"><v>Developers & ITI's</v></cell><cell r="U3314" t="str"><v>USA-Trial-ITD-Trial PayGo Lookalike-AZR-AZR</v></cell><cell r="V3314" t="str"><v>Lookalike Targeting</v></cell><cell r="W3314" t="str"><v>Link Ad</v></cell><cell r="X3314" t="str"><v>1x1</v></cell></row><row r="3314"><cell r="AA3314"><v>43304</v></cell><cell r="AB3314" t="str"><v>USA_gaPMG_AZR_AZR_Q1_19_Direct-Social</v></cell><cell r="AC3314"><v>21358715</v></cell><cell r="AD3314"><v>720197</v></cell><cell r="AE3314" t="str"><v>Facebook</v></cell><cell r="AF3314"><v>3654128</v></cell><cell r="AG3314" t="str"><v>FACEBOOK»USA-Trial-ITD-Trial PayGo Lookalike-AZR-AZR»1 x 1»SocialBan»LIA»ALL»CPA»LAL»X»NA»SS»NA»FreeAcctDeveloperFB-AnimatedGeneric-Ch1»PRC1Q5</v></cell><cell r="AH3314"><v>224104092</v></cell><cell r="AI3314" t="str"><v>AZR_FreeAcctDeveloperFB-AnimatedGeneric-Ch1_USA_1200x1200_CAN_Direct_English_Trial_Standard_ANI_LEA_T1_2</v></cell><cell r="AJ3314"><v>103176851</v></cell></row><row r="3315"><cell r="C3315" t="str"><v>43304FACEBOOK»USA-Trial-ITD-Trial PayGo Lookalike-AZR-AZR»1 x 1»SocialBan»LIA»ALL»CPA»LAL»X»NA»SS»NA»FreeAcctDeveloperFB-AnimatedOpenSource-Ch2»PRC1Q7</v></cell><cell r="D3315" t="str"><v>43304223862951</v></cell><cell r="E3315" t="str"><v>43304103048329PRC1Q7</v></cell><cell r="F3315" t="str"><v>DCM</v></cell><cell r="G3315" t="str"><v>https://azure.microsoft.com/en-us/free/open-source/search/?OCID=AID%eexcid!_OLA_%ebuy!_%epid!_%ecid!</v></cell></row><row r="3315"><cell r="K3315" t="str"><v>July</v></cell><cell r="L3315"><v>43309</v></cell><cell r="M3315" t="str"><v>Tier 0</v></cell><cell r="N3315" t="str"><v>North America</v></cell><cell r="O3315" t="str"><v>United States</v></cell><cell r="P3315" t="str"><v>Trial</v></cell><cell r="Q3315" t="str"><v>Social</v></cell><cell r="R3315" t="str"><v>Azure</v></cell><cell r="S3315" t="str"><v>Apps & Infra</v></cell><cell r="T3315" t="str"><v>Developers & ITI's</v></cell><cell r="U3315" t="str"><v>USA-Trial-ITD-Trial PayGo Lookalike-AZR-AZR</v></cell><cell r="V3315" t="str"><v>Lookalike Targeting</v></cell><cell r="W3315" t="str"><v>Link Ad</v></cell><cell r="X3315" t="str"><v>1x1</v></cell></row><row r="3315"><cell r="AA3315"><v>43304</v></cell><cell r="AB3315" t="str"><v>USA_gaPMG_AZR_AZR_Q1_19_Direct-Social</v></cell><cell r="AC3315"><v>21358715</v></cell><cell r="AD3315"><v>720197</v></cell><cell r="AE3315" t="str"><v>Facebook</v></cell><cell r="AF3315"><v>3654128</v></cell><cell r="AG3315" t="str"><v>FACEBOOK»USA-Trial-ITD-Trial PayGo Lookalike-AZR-AZR»1 x 1»SocialBan»LIA»ALL»CPA»LAL»X»NA»SS»NA»FreeAcctDeveloperFB-AnimatedOpenSource-Ch2»PRC1Q7</v></cell><cell r="AH3315"><v>223862951</v></cell><cell r="AI3315" t="str"><v>AZR_FreeAcctDeveloperFB-AnimatedOpenSource-Ch2_USA_1200x1200_CAN_Direct_English_Trial_Standard_ANI_LEA_T2_1</v></cell><cell r="AJ3315"><v>103048329</v></cell></row><row r="3316"><cell r="C3316" t="str"><v>43304FACEBOOK»USA-Trial-ITD-Trial PayGo Lookalike-AZR-AZR»1 x 1»SocialBan»LIA»ALL»CPA»LAL»X»NA»SS»NA»FreeAcctITProFB-AnimatedHybrid-Ch2»PRC1QC</v></cell><cell r="D3316" t="str"><v>43304223933186</v></cell><cell r="E3316" t="str"><v>43304103180583PRC1QC</v></cell><cell r="F3316" t="str"><v>DCM</v></cell></row><row r="3316"><cell r="K3316" t="str"><v>July</v></cell><cell r="L3316"><v>43309</v></cell><cell r="M3316" t="str"><v>Tier 0</v></cell><cell r="N3316" t="str"><v>North America</v></cell><cell r="O3316" t="str"><v>United States</v></cell><cell r="P3316" t="str"><v>Trial</v></cell><cell r="Q3316" t="str"><v>Social</v></cell><cell r="R3316" t="str"><v>Azure</v></cell><cell r="S3316" t="str"><v>Apps & Infra</v></cell><cell r="T3316" t="str"><v>Developers & ITI's</v></cell><cell r="U3316" t="str"><v>USA-Trial-ITD-Trial PayGo Lookalike-AZR-AZR</v></cell><cell r="V3316" t="str"><v>Lookalike Targeting</v></cell><cell r="W3316" t="str"><v>Link Ad</v></cell><cell r="X3316" t="str"><v>1x1</v></cell></row><row r="3316"><cell r="AA3316"><v>43304</v></cell><cell r="AB3316" t="str"><v>USA_gaPMG_AZR_AZR_Q1_19_Direct-Social</v></cell><cell r="AC3316"><v>21358715</v></cell><cell r="AD3316"><v>720197</v></cell><cell r="AE3316" t="str"><v>Facebook</v></cell><cell r="AF3316"><v>3654128</v></cell><cell r="AG3316" t="str"><v>FACEBOOK»USA-Trial-ITD-Trial PayGo Lookalike-AZR-AZR»1 x 1»SocialBan»LIA»ALL»CPA»LAL»X»NA»SS»NA»FreeAcctITProFB-AnimatedHybrid-Ch2»PRC1QC</v></cell><cell r="AH3316"><v>223933186</v></cell><cell r="AI3316" t="str"><v>AZR_FreeAcctITProFB-AnimatedHybrid-Ch2_USA_1200x1200_CAN_Direct_English_Trial_Standard_ANI_LEA_T2_2</v></cell><cell r="AJ3316"><v>103180583</v></cell></row><row r="3317"><cell r="C3317" t="str"><v>43304FACEBOOK»USA-Trial-ITD-Trial PayGo Lookalike-AZR-AZR»1 x 1»SocialBan»LIA»ALL»CPA»LAL»X»NA»SS»NA»FreeAcctITProFB-AnimatedMigration-Ch3»PRC23Y</v></cell><cell r="D3317" t="str"><v>43304224105904</v></cell><cell r="E3317" t="str"><v>43304103176827PRC23Y</v></cell><cell r="F3317" t="str"><v>DCM</v></cell></row><row r="3317"><cell r="K3317" t="str"><v>July</v></cell><cell r="L3317"><v>43309</v></cell><cell r="M3317" t="str"><v>Tier 0</v></cell><cell r="N3317" t="str"><v>North America</v></cell><cell r="O3317" t="str"><v>United States</v></cell><cell r="P3317" t="str"><v>Trial</v></cell><cell r="Q3317" t="str"><v>Social</v></cell><cell r="R3317" t="str"><v>Azure</v></cell><cell r="S3317" t="str"><v>Apps & Infra</v></cell><cell r="T3317" t="str"><v>Developers & ITI's</v></cell><cell r="U3317" t="str"><v>USA-Trial-ITD-Trial PayGo Lookalike-AZR-AZR</v></cell><cell r="V3317" t="str"><v>Lookalike Targeting</v></cell><cell r="W3317" t="str"><v>Link Ad</v></cell><cell r="X3317" t="str"><v>1x1</v></cell></row><row r="3317"><cell r="AA3317"><v>43304</v></cell><cell r="AB3317" t="str"><v>USA_gaPMG_AZR_AZR_Q1_19_Direct-Social</v></cell><cell r="AC3317"><v>21358715</v></cell><cell r="AD3317"><v>720197</v></cell><cell r="AE3317" t="str"><v>Facebook</v></cell><cell r="AF3317"><v>3654128</v></cell><cell r="AG3317" t="str"><v>FACEBOOK»USA-Trial-ITD-Trial PayGo Lookalike-AZR-AZR»1 x 1»SocialBan»LIA»ALL»CPA»LAL»X»NA»SS»NA»FreeAcctITProFB-AnimatedMigration-Ch3»PRC23Y</v></cell><cell r="AH3317"><v>224105904</v></cell><cell r="AI3317" t="str"><v>AZR_FreeAcctITProFB-AnimatedMigration-Ch3_USA_1200x1200_CAN_Direct_English_Trial_Standard_ANI_LEA_T3_1</v></cell><cell r="AJ3317"><v>103176827</v></cell></row><row r="3318"><cell r="C3318" t="str"><v>43304FACEBOOK»USA-Trial-ITD-Trial PayGo Lookalike-AZR-AZR»1 x 1»SocialBan»LIA»ALL»CPA»LAL»X»NA»SS»NA»FreeAcctITProFB-AnimatedSecureMngd-Ch1»PRC1QB</v></cell><cell r="D3318" t="str"><v>43304223862945</v></cell><cell r="E3318" t="str"><v>43304103176830PRC1QB</v></cell><cell r="F3318" t="str"><v>DCM</v></cell></row><row r="3318"><cell r="K3318" t="str"><v>July</v></cell><cell r="L3318"><v>43309</v></cell><cell r="M3318" t="str"><v>Tier 0</v></cell><cell r="N3318" t="str"><v>North America</v></cell><cell r="O3318" t="str"><v>United States</v></cell><cell r="P3318" t="str"><v>Trial</v></cell><cell r="Q3318" t="str"><v>Social</v></cell><cell r="R3318" t="str"><v>Azure</v></cell><cell r="S3318" t="str"><v>Apps & Infra</v></cell><cell r="T3318" t="str"><v>Developers & ITI's</v></cell><cell r="U3318" t="str"><v>USA-Trial-ITD-Trial PayGo Lookalike-AZR-AZR</v></cell><cell r="V3318" t="str"><v>Lookalike Targeting</v></cell><cell r="W3318" t="str"><v>Link Ad</v></cell><cell r="X3318" t="str"><v>1x1</v></cell></row><row r="3318"><cell r="AA3318"><v>43304</v></cell><cell r="AB3318" t="str"><v>USA_gaPMG_AZR_AZR_Q1_19_Direct-Social</v></cell><cell r="AC3318"><v>21358715</v></cell><cell r="AD3318"><v>720197</v></cell><cell r="AE3318" t="str"><v>Facebook</v></cell><cell r="AF3318"><v>3654128</v></cell><cell r="AG3318" t="str"><v>FACEBOOK»USA-Trial-ITD-Trial PayGo Lookalike-AZR-AZR»1 x 1»SocialBan»LIA»ALL»CPA»LAL»X»NA»SS»NA»FreeAcctITProFB-AnimatedSecureMngd-Ch1»PRC1QB</v></cell><cell r="AH3318"><v>223862945</v></cell><cell r="AI3318" t="str"><v>AZR_FreeAcctITProFB-AnimatedSecureMngd-Ch1_USA_1200x1200_CAN_Direct_English_Trial_Standard_ANI_LEA_T1_1</v></cell><cell r="AJ3318"><v>103176830</v></cell></row><row r="3319"><cell r="C3319" t="str"><v>43304INSTAGRAM»USA-Trial-ITD-Interest Prospecting-AZR-AZR»1 x 1»SocialBan»CAN»ALL»CPA»PRO»X»NA»SS»NA»IGCTCBrandinMotion»PRC2PB</v></cell><cell r="D3319" t="str"><v>43304223862690</v></cell><cell r="E3319" t="str"><v>43304103050783PRC2PB</v></cell><cell r="F3319" t="str"><v>DCM</v></cell><cell r="G3319" t="str"><v>https://signup.azure.com/?OCID=AID%eexcid!_OLA_%ebuy!_%epid!_%ecid!</v></cell></row><row r="3319"><cell r="K3319" t="str"><v>July</v></cell><cell r="L3319"><v>43309</v></cell><cell r="M3319" t="str"><v>Tier 0</v></cell><cell r="N3319" t="str"><v>North America</v></cell><cell r="O3319" t="str"><v>United States</v></cell><cell r="P3319" t="str"><v>Trial</v></cell><cell r="Q3319" t="str"><v>Social</v></cell><cell r="R3319" t="str"><v>Azure</v></cell><cell r="S3319" t="str"><v>Apps & Infra</v></cell><cell r="T3319" t="str"><v>Developers & ITI's</v></cell><cell r="U3319" t="str"><v>USA-Trial-ITD-Interest Prospecting-AZR-AZR</v></cell><cell r="V3319" t="str"><v>Prospecting</v></cell><cell r="W3319" t="str"><v>Canvas Ad</v></cell><cell r="X3319" t="str"><v>1x1</v></cell></row><row r="3319"><cell r="AA3319"><v>43304</v></cell><cell r="AB3319" t="str"><v>USA_gaPMG_AZR_AZR_Q1_19_Direct-Social</v></cell><cell r="AC3319"><v>21358715</v></cell><cell r="AD3319"><v>720197</v></cell><cell r="AE3319" t="str"><v>Facebook - Instagram</v></cell><cell r="AF3319"><v>3654128</v></cell><cell r="AG3319" t="str"><v>INSTAGRAM»USA-Trial-ITD-Interest Prospecting-AZR-AZR»1 x 1»SocialBan»CAN»ALL»CPA»PRO»X»NA»SS»NA»IGCTCBrandinMotion»PRC2PB</v></cell><cell r="AH3319"><v>223862690</v></cell><cell r="AI3319" t="str"><v>AzurePlatform_IGCTCBenefit2inMotion_USA_10s_CAN_PLATFORM_English_Trial_Standard_STAN_TIN_T4_1</v></cell><cell r="AJ3319"><v>103050783</v></cell></row><row r="3320"><cell r="C3320" t="str"><v>43304INSTAGRAM»USA-Trial-ITD-Interest Prospecting-AZR-AZR»1 x 1»SocialBan»CAN»ALL»CPA»PRO»X»NA»SS»NA»IGCTCBrandinMotion»PRC2PB</v></cell><cell r="D3320" t="str"><v>43304223862690</v></cell><cell r="E3320" t="str"><v>43304103178714PRC2PB</v></cell><cell r="F3320" t="str"><v>DCM</v></cell><cell r="G3320" t="str"><v>https://azure.microsoft.com/en-us/pricing/purchase-options/?v=18.19&OCID=AID%eexcid!_OLA_%ebuy!_%epid!_%ecid!</v></cell></row><row r="3320"><cell r="K3320" t="str"><v>July</v></cell><cell r="L3320"><v>43309</v></cell><cell r="M3320" t="str"><v>Tier 0</v></cell><cell r="N3320" t="str"><v>North America</v></cell><cell r="O3320" t="str"><v>United States</v></cell><cell r="P3320" t="str"><v>Trial</v></cell><cell r="Q3320" t="str"><v>Social</v></cell><cell r="R3320" t="str"><v>Azure</v></cell><cell r="S3320" t="str"><v>Apps & Infra</v></cell><cell r="T3320" t="str"><v>Developers & ITI's</v></cell><cell r="U3320" t="str"><v>USA-Trial-ITD-Interest Prospecting-AZR-AZR</v></cell><cell r="V3320" t="str"><v>Prospecting</v></cell><cell r="W3320" t="str"><v>Canvas Ad</v></cell><cell r="X3320" t="str"><v>1x1</v></cell></row><row r="3320"><cell r="AA3320"><v>43304</v></cell><cell r="AB3320" t="str"><v>USA_gaPMG_AZR_AZR_Q1_19_Direct-Social</v></cell><cell r="AC3320"><v>21358715</v></cell><cell r="AD3320"><v>720197</v></cell><cell r="AE3320" t="str"><v>Facebook - Instagram</v></cell><cell r="AF3320"><v>3654128</v></cell><cell r="AG3320" t="str"><v>INSTAGRAM»USA-Trial-ITD-Interest Prospecting-AZR-AZR»1 x 1»SocialBan»CAN»ALL»CPA»PRO»X»NA»SS»NA»IGCTCBrandinMotion»PRC2PB</v></cell><cell r="AH3320"><v>223862690</v></cell><cell r="AI3320" t="str"><v>AzurePlatform_IGCTCBenefit2inMotion_USA_10s_CAN_PLATFORM_English_Trial_Standard_STAN_TIN_T4_2</v></cell><cell r="AJ3320"><v>103178714</v></cell></row><row r="3321"><cell r="C3321" t="str"><v>43304INSTAGRAM»USA-Trial-ITD-Retargeting-AZR-AZR»1 x 1»SocialBan»CAN»ALL»CPA»RT»X»NA»SS»NA»IGCTCBrandinMotion»PRC2G3</v></cell><cell r="D3321" t="str"><v>43304224107014</v></cell><cell r="E3321" t="str"><v>43304103050783PRC2G3</v></cell><cell r="F3321" t="str"><v>DCM</v></cell><cell r="G3321" t="str"><v>https://signup.azure.com/?OCID=AID%eexcid!_OLA_%ebuy!_%epid!_%ecid!</v></cell></row><row r="3321"><cell r="K3321" t="str"><v>July</v></cell><cell r="L3321"><v>43309</v></cell><cell r="M3321" t="str"><v>Tier 0</v></cell><cell r="N3321" t="str"><v>North America</v></cell><cell r="O3321" t="str"><v>United States</v></cell><cell r="P3321" t="str"><v>Trial</v></cell><cell r="Q3321" t="str"><v>Social</v></cell><cell r="R3321" t="str"><v>Azure</v></cell><cell r="S3321" t="str"><v>Apps & Infra</v></cell><cell r="T3321" t="str"><v>Developers & ITI's</v></cell><cell r="U3321" t="str"><v>USA-Trial-ITD-Retargeting-AZR-AZR</v></cell><cell r="V3321" t="str"><v>Retargeting</v></cell><cell r="W3321" t="str"><v>Canvas Ad</v></cell><cell r="X3321" t="str"><v>1x1</v></cell></row><row r="3321"><cell r="AA3321"><v>43304</v></cell><cell r="AB3321" t="str"><v>USA_gaPMG_AZR_AZR_Q1_19_Direct-Social</v></cell><cell r="AC3321"><v>21358715</v></cell><cell r="AD3321"><v>720197</v></cell><cell r="AE3321" t="str"><v>Facebook - Instagram</v></cell><cell r="AF3321"><v>3654128</v></cell><cell r="AG3321" t="str"><v>INSTAGRAM»USA-Trial-ITD-Retargeting-AZR-AZR»1 x 1»SocialBan»CAN»ALL»CPA»RT»X»NA»SS»NA»IGCTCBrandinMotion»PRC2G3</v></cell><cell r="AH3321"><v>224107014</v></cell><cell r="AI3321" t="str"><v>AzurePlatform_IGCTCBenefit2inMotion_USA_10s_CAN_PLATFORM_English_Trial_Standard_STAN_TIN_T4_1</v></cell><cell r="AJ3321"><v>103050783</v></cell></row><row r="3322"><cell r="C3322" t="str"><v>43304INSTAGRAM»USA-Trial-ITD-Trial Lookalike-AZR-AZR»1 x 1»SocialBan»CAN»ALL»CPA»LAL»X»NA»SS»NA»IGCTCBenefit2inMotion»PRC2FL</v></cell><cell r="D3322" t="str"><v>43304223935022</v></cell><cell r="E3322" t="str"><v>43304103180628PRC2FL</v></cell><cell r="F3322" t="str"><v>DCM</v></cell><cell r="G3322" t="str"><v>https://signup.azure.com/?OCID=AID%eexcid!_OLA_%ebuy!_%epid!_%ecid!</v></cell></row><row r="3322"><cell r="K3322" t="str"><v>July</v></cell><cell r="L3322"><v>43309</v></cell><cell r="M3322" t="str"><v>Tier 0</v></cell><cell r="N3322" t="str"><v>North America</v></cell><cell r="O3322" t="str"><v>United States</v></cell><cell r="P3322" t="str"><v>Trial</v></cell><cell r="Q3322" t="str"><v>Social</v></cell><cell r="R3322" t="str"><v>Azure</v></cell><cell r="S3322" t="str"><v>Apps & Infra</v></cell><cell r="T3322" t="str"><v>Developers & ITI's</v></cell><cell r="U3322" t="str"><v>USA-Trial-ITD-Trial Lookalike-AZR-AZR</v></cell><cell r="V3322" t="str"><v>Lookalike Targeting</v></cell><cell r="W3322" t="str"><v>Canvas Ad</v></cell><cell r="X3322" t="str"><v>1x1</v></cell></row><row r="3322"><cell r="AA3322"><v>43304</v></cell><cell r="AB3322" t="str"><v>USA_gaPMG_AZR_AZR_Q1_19_Direct-Social</v></cell><cell r="AC3322"><v>21358715</v></cell><cell r="AD3322"><v>720197</v></cell><cell r="AE3322" t="str"><v>Facebook - Instagram</v></cell><cell r="AF3322"><v>3654128</v></cell><cell r="AG3322" t="str"><v>INSTAGRAM»USA-Trial-ITD-Trial Lookalike-AZR-AZR»1 x 1»SocialBan»CAN»ALL»CPA»LAL»X»NA»SS»NA»IGCTCBenefit2inMotion»PRC2FL</v></cell><cell r="AH3322"><v>223935022</v></cell><cell r="AI3322" t="str"><v>AzurePlatform_IGCTCBrandinMotion_USA_10s_CAN_PLATFORM_English_Trial_Standard_STAN_TIN_T2_1</v></cell><cell r="AJ3322"><v>103180628</v></cell></row><row r="3323"><cell r="C3323" t="str"><v>43304INSTAGRAM»USA-Trial-ITD-Trial Lookalike-AZR-AZR»1 x 1»SocialBan»CAN»ALL»CPA»LAL»X»NA»SS»NA»IGCTCBrandinMotion»PRC2FH</v></cell><cell r="D3323" t="str"><v>43304223935019</v></cell><cell r="E3323" t="str"><v>43304103178714PRC2FH</v></cell><cell r="F3323" t="str"><v>DCM</v></cell><cell r="G3323" t="str"><v>https://azure.microsoft.com/en-us/pricing/purchase-options/?v=18.19&OCID=AID%eexcid!_OLA_%ebuy!_%epid!_%ecid!</v></cell></row><row r="3323"><cell r="K3323" t="str"><v>July</v></cell><cell r="L3323"><v>43309</v></cell><cell r="M3323" t="str"><v>Tier 0</v></cell><cell r="N3323" t="str"><v>North America</v></cell><cell r="O3323" t="str"><v>United States</v></cell><cell r="P3323" t="str"><v>Trial</v></cell><cell r="Q3323" t="str"><v>Social</v></cell><cell r="R3323" t="str"><v>Azure</v></cell><cell r="S3323" t="str"><v>Apps & Infra</v></cell><cell r="T3323" t="str"><v>Developers & ITI's</v></cell><cell r="U3323" t="str"><v>USA-Trial-ITD-Trial Lookalike-AZR-AZR</v></cell><cell r="V3323" t="str"><v>Lookalike Targeting</v></cell><cell r="W3323" t="str"><v>Canvas Ad</v></cell><cell r="X3323" t="str"><v>1x1</v></cell></row><row r="3323"><cell r="AA3323"><v>43304</v></cell><cell r="AB3323" t="str"><v>USA_gaPMG_AZR_AZR_Q1_19_Direct-Social</v></cell><cell r="AC3323"><v>21358715</v></cell><cell r="AD3323"><v>720197</v></cell><cell r="AE3323" t="str"><v>Facebook - Instagram</v></cell><cell r="AF3323"><v>3654128</v></cell><cell r="AG3323" t="str"><v>INSTAGRAM»USA-Trial-ITD-Trial Lookalike-AZR-AZR»1 x 1»SocialBan»CAN»ALL»CPA»LAL»X»NA»SS»NA»IGCTCBrandinMotion»PRC2FH</v></cell><cell r="AH3323"><v>223935019</v></cell><cell r="AI3323" t="str"><v>AzurePlatform_IGCTCBenefit2inMotion_USA_10s_CAN_PLATFORM_English_Trial_Standard_STAN_TIN_T4_2</v></cell><cell r="AJ3323"><v>103178714</v></cell></row><row r="3324"><cell r="C3324" t="str"><v>43304INSTAGRAM»USA-Trial-ITD-Trial PayGo Lookalike-AZR-AZR»1 x 1»SocialBan»CAN»ALL»CPA»LAL»X»NA»SS»NA»IGCTCBrandinMotion»PRC2FW</v></cell><cell r="D3324" t="str"><v>43304223862654</v></cell><cell r="E3324" t="str"><v>43304103050783PRC2FW</v></cell><cell r="F3324" t="str"><v>DCM</v></cell><cell r="G3324" t="str"><v>https://signup.azure.com/?OCID=AID%eexcid!_OLA_%ebuy!_%epid!_%ecid!</v></cell></row><row r="3324"><cell r="K3324" t="str"><v>July</v></cell><cell r="L3324"><v>43309</v></cell><cell r="M3324" t="str"><v>Tier 0</v></cell><cell r="N3324" t="str"><v>North America</v></cell><cell r="O3324" t="str"><v>United States</v></cell><cell r="P3324" t="str"><v>Trial</v></cell><cell r="Q3324" t="str"><v>Social</v></cell><cell r="R3324" t="str"><v>Azure</v></cell><cell r="S3324" t="str"><v>Apps & Infra</v></cell><cell r="T3324" t="str"><v>Developers & ITI's</v></cell><cell r="U3324" t="str"><v>USA-Trial-ITD-Trial PayGo Lookalike-AZR-AZR</v></cell><cell r="V3324" t="str"><v>Lookalike Targeting</v></cell><cell r="W3324" t="str"><v>Canvas Ad</v></cell><cell r="X3324" t="str"><v>1x1</v></cell></row><row r="3324"><cell r="AA3324"><v>43304</v></cell><cell r="AB3324" t="str"><v>USA_gaPMG_AZR_AZR_Q1_19_Direct-Social</v></cell><cell r="AC3324"><v>21358715</v></cell><cell r="AD3324"><v>720197</v></cell><cell r="AE3324" t="str"><v>Facebook - Instagram</v></cell><cell r="AF3324"><v>3654128</v></cell><cell r="AG3324" t="str"><v>INSTAGRAM»USA-Trial-ITD-Trial PayGo Lookalike-AZR-AZR»1 x 1»SocialBan»CAN»ALL»CPA»LAL»X»NA»SS»NA»IGCTCBrandinMotion»PRC2FW</v></cell><cell r="AH3324"><v>223862654</v></cell><cell r="AI3324" t="str"><v>AzurePlatform_IGCTCBenefit2inMotion_USA_10s_CAN_PLATFORM_English_Trial_Standard_STAN_TIN_T4_1</v></cell><cell r="AJ3324"><v>103050783</v></cell></row><row r="3325"><cell r="C3325" t="str"><v>43304INSTAGRAM»USA-Trial-ITD-Interest Prospecting-AZR-AZR»1 x 1»SocialBan»CAN»ALL»CPA»PRO»X»NA»SS»NA»IGCTCBasicMotion»PRC2PF</v></cell><cell r="D3325" t="str"><v>43304224106621</v></cell><cell r="E3325" t="str"><v>43304103037968PRC2PF</v></cell><cell r="F3325" t="str"><v>DCM</v></cell><cell r="G3325" t="str"><v>https://signup.azure.com/?OCID=AID%eexcid!_OLA_%ebuy!_%epid!_%ecid!</v></cell></row><row r="3325"><cell r="K3325" t="str"><v>July</v></cell><cell r="L3325"><v>43309</v></cell><cell r="M3325" t="str"><v>Tier 0</v></cell><cell r="N3325" t="str"><v>North America</v></cell><cell r="O3325" t="str"><v>United States</v></cell><cell r="P3325" t="str"><v>Trial</v></cell><cell r="Q3325" t="str"><v>Social</v></cell><cell r="R3325" t="str"><v>Azure</v></cell><cell r="S3325" t="str"><v>Apps & Infra</v></cell><cell r="T3325" t="str"><v>Developers & ITI's</v></cell><cell r="U3325" t="str"><v>USA-Trial-ITD-Interest Prospecting-AZR-AZR</v></cell><cell r="V3325" t="str"><v>Prospecting</v></cell><cell r="W3325" t="str"><v>Canvas Ad</v></cell><cell r="X3325" t="str"><v>1x1</v></cell></row><row r="3325"><cell r="AA3325"><v>43304</v></cell><cell r="AB3325" t="str"><v>USA_gaPMG_AZR_AZR_Q1_19_Direct-Social</v></cell><cell r="AC3325"><v>21358715</v></cell><cell r="AD3325"><v>720197</v></cell><cell r="AE3325" t="str"><v>Facebook - Instagram</v></cell><cell r="AF3325"><v>3654128</v></cell><cell r="AG3325" t="str"><v>INSTAGRAM»USA-Trial-ITD-Interest Prospecting-AZR-AZR»1 x 1»SocialBan»CAN»ALL»CPA»PRO»X»NA»SS»NA»IGCTCBasicMotion»PRC2PF</v></cell><cell r="AH3325"><v>224106621</v></cell><cell r="AI3325" t="str"><v>AzurePlatform_IGCTCBasicMotion_USA_10s_CAN_PLATFORM_English_Trial_Standard_STAN_TIN_T1_1</v></cell><cell r="AJ3325"><v>103037968</v></cell></row><row r="3326"><cell r="C3326" t="str"><v>43304INSTAGRAM»USA-Trial-ITD-Interest Prospecting-AZR-AZR»1 x 1»SocialBan»CAN»ALL»CPA»PRO»X»NA»SS»NA»IGCTCBasicMotion»PRC2PF</v></cell><cell r="D3326" t="str"><v>43304224106621</v></cell><cell r="E3326" t="str"><v>43304103037974PRC2PF</v></cell><cell r="F3326" t="str"><v>DCM</v></cell><cell r="G3326" t="str"><v>https://azure.microsoft.com/en-us/pricing/purchase-options/?v=18.19&OCID=AID%eexcid!_OLA_%ebuy!_%epid!_%ecid!</v></cell></row><row r="3326"><cell r="K3326" t="str"><v>July</v></cell><cell r="L3326"><v>43309</v></cell><cell r="M3326" t="str"><v>Tier 0</v></cell><cell r="N3326" t="str"><v>North America</v></cell><cell r="O3326" t="str"><v>United States</v></cell><cell r="P3326" t="str"><v>Trial</v></cell><cell r="Q3326" t="str"><v>Social</v></cell><cell r="R3326" t="str"><v>Azure</v></cell><cell r="S3326" t="str"><v>Apps & Infra</v></cell><cell r="T3326" t="str"><v>Developers & ITI's</v></cell><cell r="U3326" t="str"><v>USA-Trial-ITD-Interest Prospecting-AZR-AZR</v></cell><cell r="V3326" t="str"><v>Prospecting</v></cell><cell r="W3326" t="str"><v>Canvas Ad</v></cell><cell r="X3326" t="str"><v>1x1</v></cell></row><row r="3326"><cell r="AA3326"><v>43304</v></cell><cell r="AB3326" t="str"><v>USA_gaPMG_AZR_AZR_Q1_19_Direct-Social</v></cell><cell r="AC3326"><v>21358715</v></cell><cell r="AD3326"><v>720197</v></cell><cell r="AE3326" t="str"><v>Facebook - Instagram</v></cell><cell r="AF3326"><v>3654128</v></cell><cell r="AG3326" t="str"><v>INSTAGRAM»USA-Trial-ITD-Interest Prospecting-AZR-AZR»1 x 1»SocialBan»CAN»ALL»CPA»PRO»X»NA»SS»NA»IGCTCBasicMotion»PRC2PF</v></cell><cell r="AH3326"><v>224106621</v></cell><cell r="AI3326" t="str"><v>AzurePlatform_IGCTCBasicMotion_USA_10s_CAN_PLATFORM_English_Trial_Standard_STAN_TIN_T1_2</v></cell><cell r="AJ3326"><v>103037974</v></cell></row><row r="3327"><cell r="C3327" t="str"><v>43304INSTAGRAM»USA-Trial-ITD-Interest Prospecting-AZR-AZR»1 x 1»SocialBan»CAN»ALL»CPA»PRO»X»NA»SS»NA»IGCTCBenefitinMotion»PRC2PC</v></cell><cell r="D3327" t="str"><v>43304224104878</v></cell><cell r="E3327" t="str"><v>43304103050780PRC2PC</v></cell><cell r="F3327" t="str"><v>DCM</v></cell><cell r="G3327" t="str"><v>https://signup.azure.com/?OCID=AID%eexcid!_OLA_%ebuy!_%epid!_%ecid!</v></cell></row><row r="3327"><cell r="K3327" t="str"><v>July</v></cell><cell r="L3327"><v>43309</v></cell><cell r="M3327" t="str"><v>Tier 0</v></cell><cell r="N3327" t="str"><v>North America</v></cell><cell r="O3327" t="str"><v>United States</v></cell><cell r="P3327" t="str"><v>Trial</v></cell><cell r="Q3327" t="str"><v>Social</v></cell><cell r="R3327" t="str"><v>Azure</v></cell><cell r="S3327" t="str"><v>Apps & Infra</v></cell><cell r="T3327" t="str"><v>Developers & ITI's</v></cell><cell r="U3327" t="str"><v>USA-Trial-ITD-Interest Prospecting-AZR-AZR</v></cell><cell r="V3327" t="str"><v>Prospecting</v></cell><cell r="W3327" t="str"><v>Canvas Ad</v></cell><cell r="X3327" t="str"><v>1x1</v></cell></row><row r="3327"><cell r="AA3327"><v>43304</v></cell><cell r="AB3327" t="str"><v>USA_gaPMG_AZR_AZR_Q1_19_Direct-Social</v></cell><cell r="AC3327"><v>21358715</v></cell><cell r="AD3327"><v>720197</v></cell><cell r="AE3327" t="str"><v>Facebook - Instagram</v></cell><cell r="AF3327"><v>3654128</v></cell><cell r="AG3327" t="str"><v>INSTAGRAM»USA-Trial-ITD-Interest Prospecting-AZR-AZR»1 x 1»SocialBan»CAN»ALL»CPA»PRO»X»NA»SS»NA»IGCTCBenefitinMotion»PRC2PC</v></cell><cell r="AH3327"><v>224104878</v></cell><cell r="AI3327" t="str"><v>AzurePlatform_IGCTCBenefitinMotion_USA_10s_CAN_PLATFORM_English_Trial_Standard_STAN_TIN_T3_1</v></cell><cell r="AJ3327"><v>103050780</v></cell></row><row r="3328"><cell r="C3328" t="str"><v>43304INSTAGRAM»USA-Trial-ITD-Trial Lookalike-AZR-AZR»1 x 1»SocialBan»CAN»ALL»CPA»LAL»X»NA»SS»NA»IGCTCBasicMotion»PRC0C2</v></cell><cell r="D3328" t="str"><v>43304224107017</v></cell><cell r="E3328" t="str"><v>43304103037968PRC0C2</v></cell><cell r="F3328" t="str"><v>DCM</v></cell><cell r="G3328" t="str"><v>https://signup.azure.com/?OCID=AID%eexcid!_OLA_%ebuy!_%epid!_%ecid!</v></cell></row><row r="3328"><cell r="K3328" t="str"><v>July</v></cell><cell r="L3328"><v>43309</v></cell><cell r="M3328" t="str"><v>Tier 0</v></cell><cell r="N3328" t="str"><v>North America</v></cell><cell r="O3328" t="str"><v>United States</v></cell><cell r="P3328" t="str"><v>Trial</v></cell><cell r="Q3328" t="str"><v>Social</v></cell><cell r="R3328" t="str"><v>Azure</v></cell><cell r="S3328" t="str"><v>Apps & Infra</v></cell><cell r="T3328" t="str"><v>Developers & ITI's</v></cell><cell r="U3328" t="str"><v>USA-Trial-ITD-Trial Lookalike-AZR-AZR</v></cell><cell r="V3328" t="str"><v>Lookalike Targeting</v></cell><cell r="W3328" t="str"><v>Canvas Ad</v></cell><cell r="X3328" t="str"><v>1x1</v></cell></row><row r="3328"><cell r="AA3328"><v>43304</v></cell><cell r="AB3328" t="str"><v>USA_gaPMG_AZR_AZR_Q1_19_Direct-Social</v></cell><cell r="AC3328"><v>21358715</v></cell><cell r="AD3328"><v>720197</v></cell><cell r="AE3328" t="str"><v>Facebook - Instagram</v></cell><cell r="AF3328"><v>3654128</v></cell><cell r="AG3328" t="str"><v>INSTAGRAM»USA-Trial-ITD-Trial Lookalike-AZR-AZR»1 x 1»SocialBan»CAN»ALL»CPA»LAL»X»NA»SS»NA»IGCTCBasicMotion»PRC0C2</v></cell><cell r="AH3328"><v>224107017</v></cell><cell r="AI3328" t="str"><v>AzurePlatform_IGCTCBasicMotion_USA_10s_CAN_PLATFORM_English_Trial_Standard_STAN_TIN_T1_1</v></cell><cell r="AJ3328"><v>103037968</v></cell></row><row r="3329"><cell r="C3329" t="str"><v>43304INSTAGRAM»USA-Trial-ITD-Trial PayGo Lookalike-AZR-AZR»1 x 1»SocialBan»CAN»ALL»CPA»LAL»X»NA»SS»NA»IGCTCBasicMotion»PRC2G0</v></cell><cell r="D3329" t="str"><v>43304224106891</v></cell><cell r="E3329" t="str"><v>43304103037968PRC2G0</v></cell><cell r="F3329" t="str"><v>DCM</v></cell><cell r="G3329" t="str"><v>https://signup.azure.com/?OCID=AID%eexcid!_OLA_%ebuy!_%epid!_%ecid!</v></cell></row><row r="3329"><cell r="K3329" t="str"><v>July</v></cell><cell r="L3329"><v>43309</v></cell><cell r="M3329" t="str"><v>Tier 0</v></cell><cell r="N3329" t="str"><v>North America</v></cell><cell r="O3329" t="str"><v>United States</v></cell><cell r="P3329" t="str"><v>Trial</v></cell><cell r="Q3329" t="str"><v>Social</v></cell><cell r="R3329" t="str"><v>Azure</v></cell><cell r="S3329" t="str"><v>Apps & Infra</v></cell><cell r="T3329" t="str"><v>Developers & ITI's</v></cell><cell r="U3329" t="str"><v>USA-Trial-ITD-Trial PayGo Lookalike-AZR-AZR</v></cell><cell r="V3329" t="str"><v>Lookalike Targeting</v></cell><cell r="W3329" t="str"><v>Canvas Ad</v></cell><cell r="X3329" t="str"><v>1x1</v></cell></row><row r="3329"><cell r="AA3329"><v>43304</v></cell><cell r="AB3329" t="str"><v>USA_gaPMG_AZR_AZR_Q1_19_Direct-Social</v></cell><cell r="AC3329"><v>21358715</v></cell><cell r="AD3329"><v>720197</v></cell><cell r="AE3329" t="str"><v>Facebook - Instagram</v></cell><cell r="AF3329"><v>3654128</v></cell><cell r="AG3329" t="str"><v>INSTAGRAM»USA-Trial-ITD-Trial PayGo Lookalike-AZR-AZR»1 x 1»SocialBan»CAN»ALL»CPA»LAL»X»NA»SS»NA»IGCTCBasicMotion»PRC2G0</v></cell><cell r="AH3329"><v>224106891</v></cell><cell r="AI3329" t="str"><v>AzurePlatform_IGCTCBasicMotion_USA_10s_CAN_PLATFORM_English_Trial_Standard_STAN_TIN_T1_1</v></cell><cell r="AJ3329"><v>103037968</v></cell></row><row r="3330"><cell r="C3330" t="str"><v>43305Facebook»Audience & Interest Targeting»1x1»Canvas»OTH»DT»DYN»AUT»W»NA»SS»NA»FBCTCcanvaspage-StartFreeCTA_FBCTCcanvaspage-BuyNowCTA</v></cell><cell r="D3330" t="str"><v>43305224639151</v></cell><cell r="E3330" t="str"><v>43305103316832NowCTA</v></cell><cell r="F3330" t="str"><v>DCM</v></cell><cell r="G3330" t="str"><v>https://azure.microsoft.com/en-au/pricing/purchase-options/</v></cell></row><row r="3330"><cell r="K3330" t="str"><v>July</v></cell><cell r="L3330"><v>43309</v></cell><cell r="M3330" t="str"><v>Tier 1</v></cell><cell r="N3330" t="str"><v>APAC</v></cell><cell r="O3330" t="str"><v>Australia</v></cell><cell r="P3330" t="str"><v>Trial</v></cell><cell r="Q3330" t="str"><v>Social</v></cell><cell r="R3330" t="str"><v>Azure</v></cell><cell r="S3330" t="str"><v>Apps & Infra</v></cell><cell r="T3330" t="str"><v>Developers & ITI's</v></cell><cell r="U3330" t="str"><v>Audience & Interest Targeting</v></cell><cell r="V3330" t="str"><v>Audience Targeting</v></cell><cell r="W3330" t="str"><v>Other</v></cell><cell r="X3330" t="str"><v>1x1</v></cell></row><row r="3330"><cell r="AA3330"><v>43305</v></cell><cell r="AB3330" t="str"><v>AUS_gaPMG_AZR_AZR_Q1_19_Trial-Social</v></cell><cell r="AC3330"><v>21358568</v></cell><cell r="AD3330"><v>720191</v></cell><cell r="AE3330" t="str"><v>Facebook</v></cell><cell r="AF3330"><v>3654128</v></cell><cell r="AG3330" t="str"><v>Facebook»Audience & Interest Targeting»1x1»Canvas»OTH»DT»DYN»AUT»W»NA»SS»NA»FBCTCcanvaspage-StartFreeCTA_FBCTCcanvaspage-BuyNowCTA</v></cell><cell r="AH3330"><v>224639151</v></cell><cell r="AI3330" t="str"><v>AzurePlatform_FBCTCcanvaspage-BuyNowCTA-Img3_AUS_1080x162_SOC_Plat_English_NA_Standard_NA_BN_T3_1</v></cell><cell r="AJ3330"><v>103316832</v></cell></row><row r="3331"><cell r="C3331" t="str"><v>43305Facebook»Audience & Interest Targeting»1x1»Canvas»OTH»DT»DYN»AUT»W»NA»SS»NA»FBCTCcanvaspage-StartFreeCTA_FBCTCcanvaspage-BuyNowCTA</v></cell><cell r="D3331" t="str"><v>43305224639151</v></cell><cell r="E3331" t="str"><v>43305103316829NowCTA</v></cell><cell r="F3331" t="str"><v>DCM</v></cell><cell r="G3331" t="str"><v>https://signup.azure.com/signup?offer=ms-azr-0044p&appId=102&ref=paidmedia-social-fb&redirectURL=https%3a%2f%2fazure.microsoft.com%2fen-au%2fget-started%2fwelcome-to-azure%2f&l=en-au&correlationId=ead86c34-1f10-49dd-a72b-6918462a2cbf</v></cell></row><row r="3331"><cell r="K3331" t="str"><v>July</v></cell><cell r="L3331"><v>43309</v></cell><cell r="M3331" t="str"><v>Tier 1</v></cell><cell r="N3331" t="str"><v>APAC</v></cell><cell r="O3331" t="str"><v>Australia</v></cell><cell r="P3331" t="str"><v>Trial</v></cell><cell r="Q3331" t="str"><v>Social</v></cell><cell r="R3331" t="str"><v>Azure</v></cell><cell r="S3331" t="str"><v>Apps & Infra</v></cell><cell r="T3331" t="str"><v>Developers & ITI's</v></cell><cell r="U3331" t="str"><v>Audience & Interest Targeting</v></cell><cell r="V3331" t="str"><v>Audience Targeting</v></cell><cell r="W3331" t="str"><v>Other</v></cell><cell r="X3331" t="str"><v>1x1</v></cell></row><row r="3331"><cell r="AA3331"><v>43305</v></cell><cell r="AB3331" t="str"><v>AUS_gaPMG_AZR_AZR_Q1_19_Trial-Social</v></cell><cell r="AC3331"><v>21358568</v></cell><cell r="AD3331"><v>720191</v></cell><cell r="AE3331" t="str"><v>Facebook</v></cell><cell r="AF3331"><v>3654128</v></cell><cell r="AG3331" t="str"><v>Facebook»Audience & Interest Targeting»1x1»Canvas»OTH»DT»DYN»AUT»W»NA»SS»NA»FBCTCcanvaspage-StartFreeCTA_FBCTCcanvaspage-BuyNowCTA</v></cell><cell r="AH3331"><v>224639151</v></cell><cell r="AI3331" t="str"><v>AzurePlatform_FBCTCcanvaspage-StartFreeCTA-Img2_AUS_1080x143 _SOC_Plat_English_NA_Standard_NA_NA_T2_1</v></cell><cell r="AJ3331"><v>103316829</v></cell></row><row r="3332"><cell r="C3332" t="str"><v>43305Facebook»Audience & Interest Targeting»1x1»TextLink»OTH»DT»DYN»AUT»W»NA»SS»NA»Free Account Refresh- 12 months ChE</v></cell><cell r="D3332" t="str"><v>43305224160783</v></cell><cell r="E3332" t="str"><v>43305103051614hs ChE</v></cell><cell r="F3332" t="str"><v>DCM</v></cell></row><row r="3332"><cell r="K3332" t="str"><v>July</v></cell><cell r="L3332"><v>43309</v></cell><cell r="M3332" t="str"><v>Tier 1</v></cell><cell r="N3332" t="str"><v>APAC</v></cell><cell r="O3332" t="str"><v>Australia</v></cell><cell r="P3332" t="str"><v>Trial</v></cell><cell r="Q3332" t="str"><v>Social</v></cell><cell r="R3332" t="str"><v>Azure</v></cell><cell r="S3332" t="str"><v>Apps & Infra</v></cell><cell r="T3332" t="str"><v>Developers & ITI's</v></cell><cell r="U3332" t="str"><v>Audience & Interest Targeting</v></cell><cell r="V3332" t="str"><v>Audience Targeting</v></cell><cell r="W3332" t="str"><v>Other</v></cell><cell r="X3332" t="str"><v>1x1</v></cell></row><row r="3332"><cell r="AA3332"><v>43305</v></cell><cell r="AB3332" t="str"><v>AUS_gaPMG_AZR_AZR_Q1_19_Trial-Social</v></cell><cell r="AC3332"><v>21358568</v></cell><cell r="AD3332"><v>720191</v></cell><cell r="AE3332" t="str"><v>Facebook</v></cell><cell r="AF3332"><v>3654128</v></cell><cell r="AG3332" t="str"><v>Facebook»Audience & Interest Targeting»1x1»TextLink»OTH»DT»DYN»AUT»W»NA»SS»NA»Free Account Refresh- 12 months ChE</v></cell><cell r="AH3332"><v>224160783</v></cell><cell r="AI3332" t="str"><v>AzurePlatform_FreeAcctAppsFACEBOOK12monthsChE_AUS_1200x628_SOC_PLAT_EN_Trial_Standard_NA_SNU_T5_1</v></cell><cell r="AJ3332"><v>103051614</v></cell></row><row r="3333"><cell r="C3333" t="str"><v>43305Facebook»Audience & Interest Targeting»1x1»TextLink»OTH»DT»DYN»AUT»W»NA»SS»NA»Free Account Refresh- 200 Credit ChD</v></cell><cell r="D3333" t="str"><v>43305224160780</v></cell><cell r="E3333" t="str"><v>43305103186904it ChD</v></cell><cell r="F3333" t="str"><v>DCM</v></cell></row><row r="3333"><cell r="K3333" t="str"><v>July</v></cell><cell r="L3333"><v>43309</v></cell><cell r="M3333" t="str"><v>Tier 1</v></cell><cell r="N3333" t="str"><v>APAC</v></cell><cell r="O3333" t="str"><v>Australia</v></cell><cell r="P3333" t="str"><v>Trial</v></cell><cell r="Q3333" t="str"><v>Social</v></cell><cell r="R3333" t="str"><v>Azure</v></cell><cell r="S3333" t="str"><v>Apps & Infra</v></cell><cell r="T3333" t="str"><v>Developers & ITI's</v></cell><cell r="U3333" t="str"><v>Audience & Interest Targeting</v></cell><cell r="V3333" t="str"><v>Audience Targeting</v></cell><cell r="W3333" t="str"><v>Other</v></cell><cell r="X3333" t="str"><v>1x1</v></cell></row><row r="3333"><cell r="AA3333"><v>43305</v></cell><cell r="AB3333" t="str"><v>AUS_gaPMG_AZR_AZR_Q1_19_Trial-Social</v></cell><cell r="AC3333"><v>21358568</v></cell><cell r="AD3333"><v>720191</v></cell><cell r="AE3333" t="str"><v>Facebook</v></cell><cell r="AF3333"><v>3654128</v></cell><cell r="AG3333" t="str"><v>Facebook»Audience & Interest Targeting»1x1»TextLink»OTH»DT»DYN»AUT»W»NA»SS»NA»Free Account Refresh- 200 Credit ChD</v></cell><cell r="AH3333"><v>224160780</v></cell><cell r="AI3333" t="str"><v>AzurePlatform_FreeAcctAppsFACEBOOK200CreditChD_AUS_1200x628_SOC_PLAT_EN_Trial_Standard_NA_SNU_T4_1</v></cell><cell r="AJ3333"><v>103186904</v></cell></row><row r="3334"><cell r="C3334" t="str"><v>43305Facebook»Audience & Interest Targeting»1x1»TextLink»OTH»DT»DYN»AUT»W»NA»SS»NA»Free Account Refresh- Device ChB</v></cell><cell r="D3334" t="str"><v>43305224160777</v></cell><cell r="E3334" t="str"><v>43305103048479ce ChB</v></cell><cell r="F3334" t="str"><v>DCM</v></cell></row><row r="3334"><cell r="K3334" t="str"><v>July</v></cell><cell r="L3334"><v>43309</v></cell><cell r="M3334" t="str"><v>Tier 1</v></cell><cell r="N3334" t="str"><v>APAC</v></cell><cell r="O3334" t="str"><v>Australia</v></cell><cell r="P3334" t="str"><v>Trial</v></cell><cell r="Q3334" t="str"><v>Social</v></cell><cell r="R3334" t="str"><v>Azure</v></cell><cell r="S3334" t="str"><v>Apps & Infra</v></cell><cell r="T3334" t="str"><v>Developers & ITI's</v></cell><cell r="U3334" t="str"><v>Audience & Interest Targeting</v></cell><cell r="V3334" t="str"><v>Audience Targeting</v></cell><cell r="W3334" t="str"><v>Other</v></cell><cell r="X3334" t="str"><v>1x1</v></cell></row><row r="3334"><cell r="AA3334"><v>43305</v></cell><cell r="AB3334" t="str"><v>AUS_gaPMG_AZR_AZR_Q1_19_Trial-Social</v></cell><cell r="AC3334"><v>21358568</v></cell><cell r="AD3334"><v>720191</v></cell><cell r="AE3334" t="str"><v>Facebook</v></cell><cell r="AF3334"><v>3654128</v></cell><cell r="AG3334" t="str"><v>Facebook»Audience & Interest Targeting»1x1»TextLink»OTH»DT»DYN»AUT»W»NA»SS»NA»Free Account Refresh- Device ChB</v></cell><cell r="AH3334"><v>224160777</v></cell><cell r="AI3334" t="str"><v>AzurePlatform_FreeAcctAppsFACEBOOKDeviceChB_AUS_1200x628_SOC_PLAT_EN_Trial_Standard_NA_SNU_T2_1</v></cell><cell r="AJ3334"><v>103048479</v></cell></row><row r="3335"><cell r="C3335" t="str"><v>43305Facebook»Audience & Interest Targeting»1x1»TextLink»OTH»DT»DYN»AUT»W»NA»SS»NA»Free Account Refresh- Illustration ChC</v></cell><cell r="D3335" t="str"><v>43305224160774</v></cell><cell r="E3335" t="str"><v>43305103186910on ChC</v></cell><cell r="F3335" t="str"><v>DCM</v></cell></row><row r="3335"><cell r="K3335" t="str"><v>July</v></cell><cell r="L3335"><v>43309</v></cell><cell r="M3335" t="str"><v>Tier 1</v></cell><cell r="N3335" t="str"><v>APAC</v></cell><cell r="O3335" t="str"><v>Australia</v></cell><cell r="P3335" t="str"><v>Trial</v></cell><cell r="Q3335" t="str"><v>Social</v></cell><cell r="R3335" t="str"><v>Azure</v></cell><cell r="S3335" t="str"><v>Apps & Infra</v></cell><cell r="T3335" t="str"><v>Developers & ITI's</v></cell><cell r="U3335" t="str"><v>Audience & Interest Targeting</v></cell><cell r="V3335" t="str"><v>Audience Targeting</v></cell><cell r="W3335" t="str"><v>Other</v></cell><cell r="X3335" t="str"><v>1x1</v></cell></row><row r="3335"><cell r="AA3335"><v>43305</v></cell><cell r="AB3335" t="str"><v>AUS_gaPMG_AZR_AZR_Q1_19_Trial-Social</v></cell><cell r="AC3335"><v>21358568</v></cell><cell r="AD3335"><v>720191</v></cell><cell r="AE3335" t="str"><v>Facebook</v></cell><cell r="AF3335"><v>3654128</v></cell><cell r="AG3335" t="str"><v>Facebook»Audience & Interest Targeting»1x1»TextLink»OTH»DT»DYN»AUT»W»NA»SS»NA»Free Account Refresh- Illustration ChC</v></cell><cell r="AH3335"><v>224160774</v></cell><cell r="AI3335" t="str"><v>AzurePlatform_FreeAcctAppsFACEBOOKIllustrationChC_AUS_1200x628_SOC_PLAT_EN_Trial_Standard_NA_SNU_T3_1</v></cell><cell r="AJ3335"><v>103186910</v></cell></row><row r="3336"><cell r="C3336" t="str"><v>43305Facebook»Audience & Interest Targeting»1x1»TextLink»OTH»DT»DYN»AUT»W»NA»SS»NA»Free Account Refresh- Lifestyle ChA</v></cell><cell r="D3336" t="str"><v>43305224160771</v></cell><cell r="E3336" t="str"><v>43305103048488le ChA</v></cell><cell r="F3336" t="str"><v>DCM</v></cell></row><row r="3336"><cell r="K3336" t="str"><v>July</v></cell><cell r="L3336"><v>43309</v></cell><cell r="M3336" t="str"><v>Tier 1</v></cell><cell r="N3336" t="str"><v>APAC</v></cell><cell r="O3336" t="str"><v>Australia</v></cell><cell r="P3336" t="str"><v>Trial</v></cell><cell r="Q3336" t="str"><v>Social</v></cell><cell r="R3336" t="str"><v>Azure</v></cell><cell r="S3336" t="str"><v>Apps & Infra</v></cell><cell r="T3336" t="str"><v>Developers & ITI's</v></cell><cell r="U3336" t="str"><v>Audience & Interest Targeting</v></cell><cell r="V3336" t="str"><v>Audience Targeting</v></cell><cell r="W3336" t="str"><v>Other</v></cell><cell r="X3336" t="str"><v>1x1</v></cell></row><row r="3336"><cell r="AA3336"><v>43305</v></cell><cell r="AB3336" t="str"><v>AUS_gaPMG_AZR_AZR_Q1_19_Trial-Social</v></cell><cell r="AC3336"><v>21358568</v></cell><cell r="AD3336"><v>720191</v></cell><cell r="AE3336" t="str"><v>Facebook</v></cell><cell r="AF3336"><v>3654128</v></cell><cell r="AG3336" t="str"><v>Facebook»Audience & Interest Targeting»1x1»TextLink»OTH»DT»DYN»AUT»W»NA»SS»NA»Free Account Refresh- Lifestyle ChA</v></cell><cell r="AH3336"><v>224160771</v></cell><cell r="AI3336" t="str"><v>AzurePlatform_FreeAcctAppsFACEBOOKLifestyleChA_AUS_1200x628_SOC_PLAT_EN_Trial_Standard_NA_SNU_T1_1</v></cell><cell r="AJ3336"><v>103048488</v></cell></row><row r="3337"><cell r="C3337" t="str"><v>43305Facebook»AZR»1x1»NA»EGV»ALL»DYN»AUT»D»All»SS»NA»Free Acc CTC - T1 - EN</v></cell><cell r="D3337" t="str"><v>43305223684451</v></cell><cell r="E3337" t="str"><v>433051029018821 - EN</v></cell><cell r="F3337" t="str"><v>DCM</v></cell><cell r="G3337" t="str"><v>https://signup.azure.com/</v></cell></row><row r="3337"><cell r="K3337" t="str"><v>July</v></cell><cell r="L3337"><v>43309</v></cell><cell r="M3337" t="str"><v>Tier 1</v></cell><cell r="N3337" t="str"><v>North America</v></cell><cell r="O3337" t="str"><v>Canada</v></cell><cell r="P3337" t="str"><v>Trial</v></cell><cell r="Q3337" t="str"><v>Social</v></cell><cell r="R3337" t="str"><v>Azure</v></cell><cell r="S3337" t="str"><v>Apps & Infra</v></cell><cell r="T3337" t="str"><v>Developers & ITI's</v></cell><cell r="U3337" t="str"><v>AZR</v></cell><cell r="V3337" t="str"><v>Audience Targeting</v></cell><cell r="W3337" t="str"><v>Engagement Video</v></cell><cell r="X3337" t="str"><v>1x1</v></cell></row><row r="3337"><cell r="AA3337"><v>43305</v></cell><cell r="AB3337" t="str"><v>CAN_gaPMG_AZR_AZR_Q1_19_Trial-Social</v></cell><cell r="AC3337"><v>21337220</v></cell><cell r="AD3337"><v>720192</v></cell><cell r="AE3337" t="str"><v>Facebook</v></cell><cell r="AF3337"><v>3654128</v></cell><cell r="AG3337" t="str"><v>Facebook»AZR»1x1»NA»EGV»ALL»DYN»AUT»D»All»SS»NA»Free Acc CTC - T1 - EN</v></cell><cell r="AH3337"><v>223684451</v></cell><cell r="AI3337" t="str"><v>AzurePlatform_FBCTCBasicMotion_CAN_10s_ISV_PLAT_English_Trial_Standard_STAN_TN_T1_1</v></cell><cell r="AJ3337"><v>102901882</v></cell></row><row r="3338"><cell r="C3338" t="str"><v>43305Facebook»AZR»1x1»NA»EGV»ALL»DYN»AUT»D»All»SS»NA»Free Acc CTC - T1 - FR</v></cell><cell r="D3338" t="str"><v>43305223691801</v></cell><cell r="E3338" t="str"><v>433051030533231 - FR</v></cell><cell r="F3338" t="str"><v>DCM</v></cell><cell r="G3338" t="str"><v>https://signup.azure.com/</v></cell></row><row r="3338"><cell r="K3338" t="str"><v>July</v></cell><cell r="L3338"><v>43309</v></cell><cell r="M3338" t="str"><v>Tier 1</v></cell><cell r="N3338" t="str"><v>North America</v></cell><cell r="O3338" t="str"><v>Canada</v></cell><cell r="P3338" t="str"><v>Trial</v></cell><cell r="Q3338" t="str"><v>Social</v></cell><cell r="R3338" t="str"><v>Azure</v></cell><cell r="S3338" t="str"><v>Apps & Infra</v></cell><cell r="T3338" t="str"><v>Developers & ITI's</v></cell><cell r="U3338" t="str"><v>AZR</v></cell><cell r="V3338" t="str"><v>Audience Targeting</v></cell><cell r="W3338" t="str"><v>Engagement Video</v></cell><cell r="X3338" t="str"><v>1x1</v></cell></row><row r="3338"><cell r="AA3338"><v>43305</v></cell><cell r="AB3338" t="str"><v>CAN_gaPMG_AZR_AZR_Q1_19_Trial-Social</v></cell><cell r="AC3338"><v>21337220</v></cell><cell r="AD3338"><v>720192</v></cell><cell r="AE3338" t="str"><v>Facebook</v></cell><cell r="AF3338"><v>3654128</v></cell><cell r="AG3338" t="str"><v>Facebook»AZR»1x1»NA»EGV»ALL»DYN»AUT»D»All»SS»NA»Free Acc CTC - T1 - FR</v></cell><cell r="AH3338"><v>223691801</v></cell><cell r="AI3338" t="str"><v>AzurePlatform_FBCTCBasicMotion_CAN_10s_ISV_PLAT_FR_Trial_Standard_STAN_TN_T1_1</v></cell><cell r="AJ3338"><v>103053323</v></cell></row><row r="3339"><cell r="C3339" t="str"><v>43305Facebook»AZR»1x1»NA»EGV»ALL»DYN»AUT»D»All»SS»NA»Free Acc CTC - T2 - EN</v></cell><cell r="D3339" t="str"><v>43305223691840</v></cell><cell r="E3339" t="str"><v>433051029029502 - EN</v></cell><cell r="F3339" t="str"><v>DCM</v></cell><cell r="G3339" t="str"><v>https://signup.azure.com/</v></cell></row><row r="3339"><cell r="K3339" t="str"><v>July</v></cell><cell r="L3339"><v>43309</v></cell><cell r="M3339" t="str"><v>Tier 1</v></cell><cell r="N3339" t="str"><v>North America</v></cell><cell r="O3339" t="str"><v>Canada</v></cell><cell r="P3339" t="str"><v>Trial</v></cell><cell r="Q3339" t="str"><v>Social</v></cell><cell r="R3339" t="str"><v>Azure</v></cell><cell r="S3339" t="str"><v>Apps & Infra</v></cell><cell r="T3339" t="str"><v>Developers & ITI's</v></cell><cell r="U3339" t="str"><v>AZR</v></cell><cell r="V3339" t="str"><v>Audience Targeting</v></cell><cell r="W3339" t="str"><v>Engagement Video</v></cell><cell r="X3339" t="str"><v>1x1</v></cell></row><row r="3339"><cell r="AA3339"><v>43305</v></cell><cell r="AB3339" t="str"><v>CAN_gaPMG_AZR_AZR_Q1_19_Trial-Social</v></cell><cell r="AC3339"><v>21337220</v></cell><cell r="AD3339"><v>720192</v></cell><cell r="AE3339" t="str"><v>Facebook</v></cell><cell r="AF3339"><v>3654128</v></cell><cell r="AG3339" t="str"><v>Facebook»AZR»1x1»NA»EGV»ALL»DYN»AUT»D»All»SS»NA»Free Acc CTC - T2 - EN</v></cell><cell r="AH3339"><v>223691840</v></cell><cell r="AI3339" t="str"><v>AzurePlatform_FBCTCBrandinMotion_CAN_12s_ISV_PLAT_English_Trial_Standard_STAN_TN_T2_1</v></cell><cell r="AJ3339"><v>102902950</v></cell></row><row r="3340"><cell r="C3340" t="str"><v>43305Facebook»AZR»1x1»NA»EGV»ALL»DYN»AUT»D»All»SS»NA»Free Acc CTC - T2 - FR</v></cell><cell r="D3340" t="str"><v>43305223691798</v></cell><cell r="E3340" t="str"><v>433051029163472 - FR</v></cell><cell r="F3340" t="str"><v>DCM</v></cell><cell r="G3340" t="str"><v>https://signup.azure.com/</v></cell></row><row r="3340"><cell r="K3340" t="str"><v>July</v></cell><cell r="L3340"><v>43309</v></cell><cell r="M3340" t="str"><v>Tier 1</v></cell><cell r="N3340" t="str"><v>North America</v></cell><cell r="O3340" t="str"><v>Canada</v></cell><cell r="P3340" t="str"><v>Trial</v></cell><cell r="Q3340" t="str"><v>Social</v></cell><cell r="R3340" t="str"><v>Azure</v></cell><cell r="S3340" t="str"><v>Apps & Infra</v></cell><cell r="T3340" t="str"><v>Developers & ITI's</v></cell><cell r="U3340" t="str"><v>AZR</v></cell><cell r="V3340" t="str"><v>Audience Targeting</v></cell><cell r="W3340" t="str"><v>Engagement Video</v></cell><cell r="X3340" t="str"><v>1x1</v></cell></row><row r="3340"><cell r="AA3340"><v>43305</v></cell><cell r="AB3340" t="str"><v>CAN_gaPMG_AZR_AZR_Q1_19_Trial-Social</v></cell><cell r="AC3340"><v>21337220</v></cell><cell r="AD3340"><v>720192</v></cell><cell r="AE3340" t="str"><v>Facebook</v></cell><cell r="AF3340"><v>3654128</v></cell><cell r="AG3340" t="str"><v>Facebook»AZR»1x1»NA»EGV»ALL»DYN»AUT»D»All»SS»NA»Free Acc CTC - T2 - FR</v></cell><cell r="AH3340"><v>223691798</v></cell><cell r="AI3340" t="str"><v>AzurePlatform_FBCTCBrandinMotion_CAN_12s_ISV_PLAT_FR_Trial_Standard_STAN_TN_T2_1</v></cell><cell r="AJ3340"><v>102916347</v></cell></row><row r="3341"><cell r="C3341" t="str"><v>43305Facebook»AZR»1x1»NA»EGV»ALL»DYN»AUT»D»All»SS»NA»Free Acc CTC - T4 - EN</v></cell><cell r="D3341" t="str"><v>43305223691837</v></cell><cell r="E3341" t="str"><v>433051030533144 - EN</v></cell><cell r="F3341" t="str"><v>DCM</v></cell><cell r="G3341" t="str"><v>https://signup.azure.com/</v></cell></row><row r="3341"><cell r="K3341" t="str"><v>July</v></cell><cell r="L3341"><v>43309</v></cell><cell r="M3341" t="str"><v>Tier 1</v></cell><cell r="N3341" t="str"><v>North America</v></cell><cell r="O3341" t="str"><v>Canada</v></cell><cell r="P3341" t="str"><v>Trial</v></cell><cell r="Q3341" t="str"><v>Social</v></cell><cell r="R3341" t="str"><v>Azure</v></cell><cell r="S3341" t="str"><v>Apps & Infra</v></cell><cell r="T3341" t="str"><v>Developers & ITI's</v></cell><cell r="U3341" t="str"><v>AZR</v></cell><cell r="V3341" t="str"><v>Audience Targeting</v></cell><cell r="W3341" t="str"><v>Engagement Video</v></cell><cell r="X3341" t="str"><v>1x1</v></cell></row><row r="3341"><cell r="AA3341"><v>43305</v></cell><cell r="AB3341" t="str"><v>CAN_gaPMG_AZR_AZR_Q1_19_Trial-Social</v></cell><cell r="AC3341"><v>21337220</v></cell><cell r="AD3341"><v>720192</v></cell><cell r="AE3341" t="str"><v>Facebook</v></cell><cell r="AF3341"><v>3654128</v></cell><cell r="AG3341" t="str"><v>Facebook»AZR»1x1»NA»EGV»ALL»DYN»AUT»D»All»SS»NA»Free Acc CTC - T4 - EN</v></cell><cell r="AH3341"><v>223691837</v></cell><cell r="AI3341" t="str"><v>AzurePlatform_FBCTCBenefit2inMotion_CAN_14s_ISV_PLAT_English_Trial_Standard_STAN_TN_T4_1</v></cell><cell r="AJ3341"><v>103053314</v></cell></row><row r="3342"><cell r="C3342" t="str"><v>43305Facebook»AZR»1x1»NA»EGV»ALL»DYN»AUT»D»All»SS»NA»Free Acc CTC - T4 - FR</v></cell><cell r="D3342" t="str"><v>43305223691795</v></cell><cell r="E3342" t="str"><v>433051029006884 - FR</v></cell><cell r="F3342" t="str"><v>DCM</v></cell><cell r="G3342" t="str"><v>https://signup.azure.com/</v></cell></row><row r="3342"><cell r="K3342" t="str"><v>July</v></cell><cell r="L3342"><v>43309</v></cell><cell r="M3342" t="str"><v>Tier 1</v></cell><cell r="N3342" t="str"><v>North America</v></cell><cell r="O3342" t="str"><v>Canada</v></cell><cell r="P3342" t="str"><v>Trial</v></cell><cell r="Q3342" t="str"><v>Social</v></cell><cell r="R3342" t="str"><v>Azure</v></cell><cell r="S3342" t="str"><v>Apps & Infra</v></cell><cell r="T3342" t="str"><v>Developers & ITI's</v></cell><cell r="U3342" t="str"><v>AZR</v></cell><cell r="V3342" t="str"><v>Audience Targeting</v></cell><cell r="W3342" t="str"><v>Engagement Video</v></cell><cell r="X3342" t="str"><v>1x1</v></cell></row><row r="3342"><cell r="AA3342"><v>43305</v></cell><cell r="AB3342" t="str"><v>CAN_gaPMG_AZR_AZR_Q1_19_Trial-Social</v></cell><cell r="AC3342"><v>21337220</v></cell><cell r="AD3342"><v>720192</v></cell><cell r="AE3342" t="str"><v>Facebook</v></cell><cell r="AF3342"><v>3654128</v></cell><cell r="AG3342" t="str"><v>Facebook»AZR»1x1»NA»EGV»ALL»DYN»AUT»D»All»SS»NA»Free Acc CTC - T4 - FR</v></cell><cell r="AH3342"><v>223691795</v></cell><cell r="AI3342" t="str"><v>AzurePlatform_FBCTCBenefit2inMotion_CAN_14s_ISV_PLAT_FR_Trial_Standard_STAN_TN_T4_1</v></cell><cell r="AJ3342"><v>102900688</v></cell></row><row r="3343"><cell r="C3343" t="str"><v>43305Facebook»AZR»1x1»NA»SOC»ALL»DYN»PRO»D»All»SS»NA»Canvas - Buy Now - EN</v></cell><cell r="D3343" t="str"><v>43305225322327</v></cell><cell r="E3343" t="str"><v>43305103902287w - EN</v></cell><cell r="F3343" t="str"><v>DCM</v></cell><cell r="G3343" t="str"><v>https://azure.microsoft.com/en-ca/pricing/purchase-options/</v></cell></row><row r="3343"><cell r="K3343" t="str"><v>July</v></cell><cell r="L3343"><v>43309</v></cell><cell r="M3343" t="str"><v>Tier 1</v></cell><cell r="N3343" t="str"><v>North America</v></cell><cell r="O3343" t="str"><v>Canada</v></cell><cell r="P3343" t="str"><v>Trial</v></cell><cell r="Q3343" t="str"><v>Social</v></cell><cell r="R3343" t="str"><v>Azure</v></cell><cell r="S3343" t="str"><v>Apps & Infra</v></cell><cell r="T3343" t="str"><v>Developers & ITI's</v></cell><cell r="U3343" t="str"><v>AZR</v></cell><cell r="V3343" t="str"><v>Prospecting</v></cell><cell r="W3343" t="str"><v>Social</v></cell><cell r="X3343" t="str"><v>1x1</v></cell></row><row r="3343"><cell r="AA3343"><v>43305</v></cell><cell r="AB3343" t="str"><v>CAN_gaPMG_AZR_AZR_Q1_19_Trial-Social</v></cell><cell r="AC3343"><v>21337220</v></cell><cell r="AD3343"><v>720192</v></cell><cell r="AE3343" t="str"><v>Facebook</v></cell><cell r="AF3343"><v>3654128</v></cell><cell r="AG3343" t="str"><v>Facebook»AZR»1x1»NA»SOC»ALL»DYN»PRO»D»All»SS»NA»Canvas - Buy Now - EN</v></cell><cell r="AH3343"><v>225322327</v></cell><cell r="AI3343" t="str"><v>AzurePlatform_FBCTCcanvaspage-BuyNowCTA-Img3_CAN_1080x162_SOC_Plat_English_NA_Standard_NA_BN_T3_1</v></cell><cell r="AJ3343"><v>103902287</v></cell></row><row r="3344"><cell r="C3344" t="str"><v>43305Facebook»AZR»1x1»NA»SOC»ALL»DYN»PRO»D»All»SS»NA»Canvas - Start Free - EN</v></cell><cell r="D3344" t="str"><v>43305225252365</v></cell><cell r="E3344" t="str"><v>43305103807590e - EN</v></cell><cell r="F3344" t="str"><v>DCM</v></cell><cell r="G3344" t="str"><v>https://signup.azure.com/signup?offer=ms-azr-0044p&appId=102&ref=paidmedia-social-fb&redirectURL=https%3a%2f%2fazure.microsoft.com%2fen-ca%2fget-started%2fwelcome-to-azure%2f&l=en-ca&correlationId=ead86c34-1f10-49dd-a72b-6918462a2cbf</v></cell></row><row r="3344"><cell r="K3344" t="str"><v>July</v></cell><cell r="L3344"><v>43309</v></cell><cell r="M3344" t="str"><v>Tier 1</v></cell><cell r="N3344" t="str"><v>North America</v></cell><cell r="O3344" t="str"><v>Canada</v></cell><cell r="P3344" t="str"><v>Trial</v></cell><cell r="Q3344" t="str"><v>Social</v></cell><cell r="R3344" t="str"><v>Azure</v></cell><cell r="S3344" t="str"><v>Apps & Infra</v></cell><cell r="T3344" t="str"><v>Developers & ITI's</v></cell><cell r="U3344" t="str"><v>AZR</v></cell><cell r="V3344" t="str"><v>Prospecting</v></cell><cell r="W3344" t="str"><v>Social</v></cell><cell r="X3344" t="str"><v>1x1</v></cell></row><row r="3344"><cell r="AA3344"><v>43305</v></cell><cell r="AB3344" t="str"><v>CAN_gaPMG_AZR_AZR_Q1_19_Trial-Social</v></cell><cell r="AC3344"><v>21337220</v></cell><cell r="AD3344"><v>720192</v></cell><cell r="AE3344" t="str"><v>Facebook</v></cell><cell r="AF3344"><v>3654128</v></cell><cell r="AG3344" t="str"><v>Facebook»AZR»1x1»NA»SOC»ALL»DYN»PRO»D»All»SS»NA»Canvas - Start Free - EN</v></cell><cell r="AH3344"><v>225252365</v></cell><cell r="AI3344" t="str"><v>AzurePlatform_FBCTCcanvaspage-StartFreeCTA-Img2_CAN_1080x143 _SOC_Plat_English_NA_Standard_NA_NA_T2_1</v></cell><cell r="AJ3344"><v>103807590</v></cell></row><row r="3345"><cell r="C3345" t="str"><v>43305Facebook»AZR»1x1»NA»SOC»ALL»DYN»PRO»D»All»SS»NA»Canvas - Start Free - FR</v></cell><cell r="D3345" t="str"><v>43305225525936</v></cell><cell r="E3345" t="str"><v>43305103902551e - FR</v></cell><cell r="F3345" t="str"><v>DCM</v></cell><cell r="G3345" t="str"><v>https://signup.azure.com/signup?offer=ms-azr-0044p&appId=102&ref=paidmedia-social-fb&redirectURL=https%3a%2f%2fazure.microsoft.com%2ffr-ca%2fget-started%2fwelcome-to-azure%2f&l=fr-ca&correlationId=ead86c34-1f10-49dd-a72b-6918462a2cbf</v></cell></row><row r="3345"><cell r="K3345" t="str"><v>July</v></cell><cell r="L3345"><v>43309</v></cell><cell r="M3345" t="str"><v>Tier 1</v></cell><cell r="N3345" t="str"><v>North America</v></cell><cell r="O3345" t="str"><v>Canada</v></cell><cell r="P3345" t="str"><v>Trial</v></cell><cell r="Q3345" t="str"><v>Social</v></cell><cell r="R3345" t="str"><v>Azure</v></cell><cell r="S3345" t="str"><v>Apps & Infra</v></cell><cell r="T3345" t="str"><v>Developers & ITI's</v></cell><cell r="U3345" t="str"><v>AZR</v></cell><cell r="V3345" t="str"><v>Prospecting</v></cell><cell r="W3345" t="str"><v>Social</v></cell><cell r="X3345" t="str"><v>1x1</v></cell></row><row r="3345"><cell r="AA3345"><v>43305</v></cell><cell r="AB3345" t="str"><v>CAN_gaPMG_AZR_AZR_Q1_19_Trial-Social</v></cell><cell r="AC3345"><v>21337220</v></cell><cell r="AD3345"><v>720192</v></cell><cell r="AE3345" t="str"><v>Facebook</v></cell><cell r="AF3345"><v>3654128</v></cell><cell r="AG3345" t="str"><v>Facebook»AZR»1x1»NA»SOC»ALL»DYN»PRO»D»All»SS»NA»Canvas - Start Free - FR</v></cell><cell r="AH3345"><v>225525936</v></cell><cell r="AI3345" t="str"><v>AzurePlatform_FBCTCcanvaspage-StartFreeCTA-Img2_CAN_1080x143 _SOC_Plat_French_NA_Standard_NA_NA_T2_1</v></cell><cell r="AJ3345"><v>103902551</v></cell></row><row r="3346"><cell r="C3346" t="str"><v>43305Facebook»AZR»1x1»SocialBan»NA»ALL»DYN»AUT»D»All»SS»NA»Free Acc Refresh - T2 - EN</v></cell><cell r="D3346" t="str"><v>43305223691810</v></cell><cell r="E3346" t="str"><v>433051030587112 - EN</v></cell><cell r="F3346" t="str"><v>DCM</v></cell><cell r="G3346" t="str"><v>https://azure.microsoft.com/en-CA/free/search/</v></cell></row><row r="3346"><cell r="K3346" t="str"><v>July</v></cell><cell r="L3346"><v>43309</v></cell><cell r="M3346" t="str"><v>Tier 1</v></cell><cell r="N3346" t="str"><v>North America</v></cell><cell r="O3346" t="str"><v>Canada</v></cell><cell r="P3346" t="str"><v>Trial</v></cell><cell r="Q3346" t="str"><v>Social</v></cell><cell r="R3346" t="str"><v>Azure</v></cell><cell r="S3346" t="str"><v>Apps & Infra</v></cell><cell r="T3346" t="str"><v>Developers & ITI's</v></cell><cell r="U3346" t="str"><v>AZR</v></cell><cell r="V3346" t="str"><v>Audience Targeting</v></cell><cell r="W3346" t="str"><v>NotApplicable</v></cell><cell r="X3346" t="str"><v>1x1</v></cell></row><row r="3346"><cell r="AA3346"><v>43305</v></cell><cell r="AB3346" t="str"><v>CAN_gaPMG_AZR_AZR_Q1_19_Trial-Social</v></cell><cell r="AC3346"><v>21337220</v></cell><cell r="AD3346"><v>720192</v></cell><cell r="AE3346" t="str"><v>Facebook</v></cell><cell r="AF3346"><v>3654128</v></cell><cell r="AG3346" t="str"><v>Facebook»AZR»1x1»SocialBan»NA»ALL»DYN»AUT»D»All»SS»NA»Free Acc Refresh - T2 - EN</v></cell><cell r="AH3346"><v>223691810</v></cell><cell r="AI3346" t="str"><v>AzurePlatform_FreeAcctAppsFACEBOOKDeviceChB_CAN_1200x628_SOC_PLAT_EN_Trial_Standard_NA_SU_T2_1.png</v></cell><cell r="AJ3346"><v>103058711</v></cell></row><row r="3347"><cell r="C3347" t="str"><v>43305Facebook»AZR»1x1»SocialBan»NA»ALL»DYN»AUT»D»All»SS»NA»Free Acc Refresh - T2 - FR</v></cell><cell r="D3347" t="str"><v>43305223691768</v></cell><cell r="E3347" t="str"><v>433051029029712 - FR</v></cell><cell r="F3347" t="str"><v>DCM</v></cell><cell r="G3347" t="str"><v>https://azure.microsoft.com/fr-ca/free/search/</v></cell></row><row r="3347"><cell r="K3347" t="str"><v>July</v></cell><cell r="L3347"><v>43309</v></cell><cell r="M3347" t="str"><v>Tier 1</v></cell><cell r="N3347" t="str"><v>North America</v></cell><cell r="O3347" t="str"><v>Canada</v></cell><cell r="P3347" t="str"><v>Trial</v></cell><cell r="Q3347" t="str"><v>Social</v></cell><cell r="R3347" t="str"><v>Azure</v></cell><cell r="S3347" t="str"><v>Apps & Infra</v></cell><cell r="T3347" t="str"><v>Developers & ITI's</v></cell><cell r="U3347" t="str"><v>AZR</v></cell><cell r="V3347" t="str"><v>Audience Targeting</v></cell><cell r="W3347" t="str"><v>NotApplicable</v></cell><cell r="X3347" t="str"><v>1x1</v></cell></row><row r="3347"><cell r="AA3347"><v>43305</v></cell><cell r="AB3347" t="str"><v>CAN_gaPMG_AZR_AZR_Q1_19_Trial-Social</v></cell><cell r="AC3347"><v>21337220</v></cell><cell r="AD3347"><v>720192</v></cell><cell r="AE3347" t="str"><v>Facebook</v></cell><cell r="AF3347"><v>3654128</v></cell><cell r="AG3347" t="str"><v>Facebook»AZR»1x1»SocialBan»NA»ALL»DYN»AUT»D»All»SS»NA»Free Acc Refresh - T2 - FR</v></cell><cell r="AH3347"><v>223691768</v></cell><cell r="AI3347" t="str"><v>AzurePlatform_FreeAcctAppsFACEBOOKDeviceChB_CAN_1200x628_SOC_PLAT_FR_Trial_Standard_NA_SU_T2_1.png</v></cell><cell r="AJ3347"><v>102902971</v></cell></row><row r="3348"><cell r="C3348" t="str"><v>43305Facebook»AZR»1x1»SocialBan»NA»ALL»DYN»AUT»D»All»SS»NA»Free Acc Refresh - T3 - EN</v></cell><cell r="D3348" t="str"><v>43305223691807</v></cell><cell r="E3348" t="str"><v>433051029006853 - EN</v></cell><cell r="F3348" t="str"><v>DCM</v></cell><cell r="G3348" t="str"><v>https://azure.microsoft.com/en-CA/free/search/</v></cell></row><row r="3348"><cell r="K3348" t="str"><v>July</v></cell><cell r="L3348"><v>43309</v></cell><cell r="M3348" t="str"><v>Tier 1</v></cell><cell r="N3348" t="str"><v>North America</v></cell><cell r="O3348" t="str"><v>Canada</v></cell><cell r="P3348" t="str"><v>Trial</v></cell><cell r="Q3348" t="str"><v>Social</v></cell><cell r="R3348" t="str"><v>Azure</v></cell><cell r="S3348" t="str"><v>Apps & Infra</v></cell><cell r="T3348" t="str"><v>Developers & ITI's</v></cell><cell r="U3348" t="str"><v>AZR</v></cell><cell r="V3348" t="str"><v>Audience Targeting</v></cell><cell r="W3348" t="str"><v>NotApplicable</v></cell><cell r="X3348" t="str"><v>1x1</v></cell></row><row r="3348"><cell r="AA3348"><v>43305</v></cell><cell r="AB3348" t="str"><v>CAN_gaPMG_AZR_AZR_Q1_19_Trial-Social</v></cell><cell r="AC3348"><v>21337220</v></cell><cell r="AD3348"><v>720192</v></cell><cell r="AE3348" t="str"><v>Facebook</v></cell><cell r="AF3348"><v>3654128</v></cell><cell r="AG3348" t="str"><v>Facebook»AZR»1x1»SocialBan»NA»ALL»DYN»AUT»D»All»SS»NA»Free Acc Refresh - T3 - EN</v></cell><cell r="AH3348"><v>223691807</v></cell><cell r="AI3348" t="str"><v>AzurePlatform_FreeAcctAppsFACEBOOKIllustrationChC_CAN_1200x628_SOC_PLAT_EN_Trial_Standard_NA_SU_T3_1.png</v></cell><cell r="AJ3348"><v>102900685</v></cell></row><row r="3349"><cell r="C3349" t="str"><v>43305Facebook»AZR»1x1»SocialBan»NA»ALL»DYN»AUT»D»All»SS»NA»Free Acc Refresh - T3 - FR</v></cell><cell r="D3349" t="str"><v>43305223691765</v></cell><cell r="E3349" t="str"><v>433051030533323 - FR</v></cell><cell r="F3349" t="str"><v>DCM</v></cell><cell r="G3349" t="str"><v>https://azure.microsoft.com/fr-ca/free/search/</v></cell></row><row r="3349"><cell r="K3349" t="str"><v>July</v></cell><cell r="L3349"><v>43309</v></cell><cell r="M3349" t="str"><v>Tier 1</v></cell><cell r="N3349" t="str"><v>North America</v></cell><cell r="O3349" t="str"><v>Canada</v></cell><cell r="P3349" t="str"><v>Trial</v></cell><cell r="Q3349" t="str"><v>Social</v></cell><cell r="R3349" t="str"><v>Azure</v></cell><cell r="S3349" t="str"><v>Apps & Infra</v></cell><cell r="T3349" t="str"><v>Developers & ITI's</v></cell><cell r="U3349" t="str"><v>AZR</v></cell><cell r="V3349" t="str"><v>Audience Targeting</v></cell><cell r="W3349" t="str"><v>NotApplicable</v></cell><cell r="X3349" t="str"><v>1x1</v></cell></row><row r="3349"><cell r="AA3349"><v>43305</v></cell><cell r="AB3349" t="str"><v>CAN_gaPMG_AZR_AZR_Q1_19_Trial-Social</v></cell><cell r="AC3349"><v>21337220</v></cell><cell r="AD3349"><v>720192</v></cell><cell r="AE3349" t="str"><v>Facebook</v></cell><cell r="AF3349"><v>3654128</v></cell><cell r="AG3349" t="str"><v>Facebook»AZR»1x1»SocialBan»NA»ALL»DYN»AUT»D»All»SS»NA»Free Acc Refresh - T3 - FR</v></cell><cell r="AH3349"><v>223691765</v></cell><cell r="AI3349" t="str"><v>AzurePlatform_FreeAcctAppsFACEBOOKIllustrationChC_CAN_1200x628_SOC_PLAT_FR_Trial_Standard_NA_SU_T3_1.png</v></cell><cell r="AJ3349"><v>103053332</v></cell></row><row r="3350"><cell r="C3350" t="str"><v>43305Facebook»AZR»1x1»SocialBan»NA»ALL»DYN»AUT»D»All»SS»NA»Free Acc Refresh - T4 - EN</v></cell><cell r="D3350" t="str"><v>43305223691813</v></cell><cell r="E3350" t="str"><v>433051030533204 - EN</v></cell><cell r="F3350" t="str"><v>DCM</v></cell><cell r="G3350" t="str"><v>https://azure.microsoft.com/en-CA/free/search/</v></cell></row><row r="3350"><cell r="K3350" t="str"><v>July</v></cell><cell r="L3350"><v>43309</v></cell><cell r="M3350" t="str"><v>Tier 1</v></cell><cell r="N3350" t="str"><v>North America</v></cell><cell r="O3350" t="str"><v>Canada</v></cell><cell r="P3350" t="str"><v>Trial</v></cell><cell r="Q3350" t="str"><v>Social</v></cell><cell r="R3350" t="str"><v>Azure</v></cell><cell r="S3350" t="str"><v>Apps & Infra</v></cell><cell r="T3350" t="str"><v>Developers & ITI's</v></cell><cell r="U3350" t="str"><v>AZR</v></cell><cell r="V3350" t="str"><v>Audience Targeting</v></cell><cell r="W3350" t="str"><v>NotApplicable</v></cell><cell r="X3350" t="str"><v>1x1</v></cell></row><row r="3350"><cell r="AA3350"><v>43305</v></cell><cell r="AB3350" t="str"><v>CAN_gaPMG_AZR_AZR_Q1_19_Trial-Social</v></cell><cell r="AC3350"><v>21337220</v></cell><cell r="AD3350"><v>720192</v></cell><cell r="AE3350" t="str"><v>Facebook</v></cell><cell r="AF3350"><v>3654128</v></cell><cell r="AG3350" t="str"><v>Facebook»AZR»1x1»SocialBan»NA»ALL»DYN»AUT»D»All»SS»NA»Free Acc Refresh - T4 - EN</v></cell><cell r="AH3350"><v>223691813</v></cell><cell r="AI3350" t="str"><v>AzurePlatform_FreeAcctAppsFACEBOOK200CreditChD_CAN_1200x628_SOC_PLAT_EN_Trial_Standard_NA_SU_T4_1.png</v></cell><cell r="AJ3350"><v>103053320</v></cell></row><row r="3351"><cell r="C3351" t="str"><v>43305Facebook»AZR»1x1»SocialBan»NA»ALL»DYN»AUT»D»All»SS»NA»Free Acc Refresh - T5 - EN</v></cell><cell r="D3351" t="str"><v>43305223691816</v></cell><cell r="E3351" t="str"><v>433051029163415 - EN</v></cell><cell r="F3351" t="str"><v>DCM</v></cell><cell r="G3351" t="str"><v>https://azure.microsoft.com/en-CA/free/search/</v></cell></row><row r="3351"><cell r="K3351" t="str"><v>July</v></cell><cell r="L3351"><v>43309</v></cell><cell r="M3351" t="str"><v>Tier 1</v></cell><cell r="N3351" t="str"><v>North America</v></cell><cell r="O3351" t="str"><v>Canada</v></cell><cell r="P3351" t="str"><v>Trial</v></cell><cell r="Q3351" t="str"><v>Social</v></cell><cell r="R3351" t="str"><v>Azure</v></cell><cell r="S3351" t="str"><v>Apps & Infra</v></cell><cell r="T3351" t="str"><v>Developers & ITI's</v></cell><cell r="U3351" t="str"><v>AZR</v></cell><cell r="V3351" t="str"><v>Audience Targeting</v></cell><cell r="W3351" t="str"><v>NotApplicable</v></cell><cell r="X3351" t="str"><v>1x1</v></cell></row><row r="3351"><cell r="AA3351"><v>43305</v></cell><cell r="AB3351" t="str"><v>CAN_gaPMG_AZR_AZR_Q1_19_Trial-Social</v></cell><cell r="AC3351"><v>21337220</v></cell><cell r="AD3351"><v>720192</v></cell><cell r="AE3351" t="str"><v>Facebook</v></cell><cell r="AF3351"><v>3654128</v></cell><cell r="AG3351" t="str"><v>Facebook»AZR»1x1»SocialBan»NA»ALL»DYN»AUT»D»All»SS»NA»Free Acc Refresh - T5 - EN</v></cell><cell r="AH3351"><v>223691816</v></cell><cell r="AI3351" t="str"><v>AzurePlatform_FreeAcctAppsFACEBOOK12monthsChE_CAN_1200x628_SOC_PLAT_EN_Trial_Standard_NA_SU_T5_1.png</v></cell><cell r="AJ3351"><v>102916341</v></cell></row><row r="3352"><cell r="C3352" t="str"><v>43305Facebook»AZR»1x1»SocialBan»NA»ALL»DYN»AUT»D»All»SS»NA»Free Acc Refresh - T5 - FR</v></cell><cell r="D3352" t="str"><v>43305223691774</v></cell><cell r="E3352" t="str"><v>433051029163565 - FR</v></cell><cell r="F3352" t="str"><v>DCM</v></cell><cell r="G3352" t="str"><v>https://azure.microsoft.com/fr-ca/free/search/</v></cell></row><row r="3352"><cell r="K3352" t="str"><v>July</v></cell><cell r="L3352"><v>43309</v></cell><cell r="M3352" t="str"><v>Tier 1</v></cell><cell r="N3352" t="str"><v>North America</v></cell><cell r="O3352" t="str"><v>Canada</v></cell><cell r="P3352" t="str"><v>Trial</v></cell><cell r="Q3352" t="str"><v>Social</v></cell><cell r="R3352" t="str"><v>Azure</v></cell><cell r="S3352" t="str"><v>Apps & Infra</v></cell><cell r="T3352" t="str"><v>Developers & ITI's</v></cell><cell r="U3352" t="str"><v>AZR</v></cell><cell r="V3352" t="str"><v>Audience Targeting</v></cell><cell r="W3352" t="str"><v>NotApplicable</v></cell><cell r="X3352" t="str"><v>1x1</v></cell></row><row r="3352"><cell r="AA3352"><v>43305</v></cell><cell r="AB3352" t="str"><v>CAN_gaPMG_AZR_AZR_Q1_19_Trial-Social</v></cell><cell r="AC3352"><v>21337220</v></cell><cell r="AD3352"><v>720192</v></cell><cell r="AE3352" t="str"><v>Facebook</v></cell><cell r="AF3352"><v>3654128</v></cell><cell r="AG3352" t="str"><v>Facebook»AZR»1x1»SocialBan»NA»ALL»DYN»AUT»D»All»SS»NA»Free Acc Refresh - T5 - FR</v></cell><cell r="AH3352"><v>223691774</v></cell><cell r="AI3352" t="str"><v>AzurePlatform_FreeAcctAppsFACEBOOK12monthsChE_CAN_1200x628_SOC_PLAT_FR_Trial_Standard_NA_SU_T5_1.png</v></cell><cell r="AJ3352"><v>102916356</v></cell></row><row r="3353"><cell r="C3353" t="str"><v>43305Facebook»AZR»1x1»SocialBan»NA»ALL»DYN»RT»D»All»SS»NA» Free Account Retargeting OSS - T1 - EN</v></cell><cell r="D3353" t="str"><v>43305223691828</v></cell><cell r="E3353" t="str"><v>433051029029561 - EN</v></cell><cell r="F3353" t="str"><v>DCM</v></cell><cell r="G3353" t="str"><v>https://azure.microsoft.com/en-ca/free/open-source/search/</v></cell></row><row r="3353"><cell r="K3353" t="str"><v>July</v></cell><cell r="L3353"><v>43309</v></cell><cell r="M3353" t="str"><v>Tier 1</v></cell><cell r="N3353" t="str"><v>North America</v></cell><cell r="O3353" t="str"><v>Canada</v></cell><cell r="P3353" t="str"><v>Trial</v></cell><cell r="Q3353" t="str"><v>Social</v></cell><cell r="R3353" t="str"><v>Azure</v></cell><cell r="S3353" t="str"><v>Apps & Infra</v></cell><cell r="T3353" t="str"><v>Developers & ITI's</v></cell><cell r="U3353" t="str"><v>AZR</v></cell><cell r="V3353" t="str"><v>Retargeting</v></cell><cell r="W3353" t="str"><v>NotApplicable</v></cell><cell r="X3353" t="str"><v>1x1</v></cell></row><row r="3353"><cell r="AA3353"><v>43305</v></cell><cell r="AB3353" t="str"><v>CAN_gaPMG_AZR_AZR_Q1_19_Trial-Social</v></cell><cell r="AC3353"><v>21337220</v></cell><cell r="AD3353"><v>720192</v></cell><cell r="AE3353" t="str"><v>Facebook</v></cell><cell r="AF3353"><v>3654128</v></cell><cell r="AG3353" t="str"><v>Facebook»AZR»1x1»SocialBan»NA»ALL»DYN»RT»D»All»SS»NA» Free Account Retargeting OSS - T1 - EN</v></cell><cell r="AH3353"><v>223691828</v></cell><cell r="AI3353" t="str"><v>AzurePlatform_FreeAcctRetargetingOSSFB-Text-ChF_CAN_1200x628_SOC_Plat_EN_Free Account_Standard_NA_SU_T1_1</v></cell><cell r="AJ3353"><v>102902956</v></cell></row><row r="3354"><cell r="C3354" t="str"><v>43305Facebook»AZR»1x1»SocialBan»NA»ALL»DYN»RT»D»All»SS»NA» Free Account Retargeting OSS - T2 - EN</v></cell><cell r="D3354" t="str"><v>43305223691831</v></cell><cell r="E3354" t="str"><v>433051029138002 - EN</v></cell><cell r="F3354" t="str"><v>DCM</v></cell><cell r="G3354" t="str"><v>https://azure.microsoft.com/en-ca/free/open-source/search/</v></cell></row><row r="3354"><cell r="K3354" t="str"><v>July</v></cell><cell r="L3354"><v>43309</v></cell><cell r="M3354" t="str"><v>Tier 1</v></cell><cell r="N3354" t="str"><v>North America</v></cell><cell r="O3354" t="str"><v>Canada</v></cell><cell r="P3354" t="str"><v>Trial</v></cell><cell r="Q3354" t="str"><v>Social</v></cell><cell r="R3354" t="str"><v>Azure</v></cell><cell r="S3354" t="str"><v>Apps & Infra</v></cell><cell r="T3354" t="str"><v>Developers & ITI's</v></cell><cell r="U3354" t="str"><v>AZR</v></cell><cell r="V3354" t="str"><v>Retargeting</v></cell><cell r="W3354" t="str"><v>NotApplicable</v></cell><cell r="X3354" t="str"><v>1x1</v></cell></row><row r="3354"><cell r="AA3354"><v>43305</v></cell><cell r="AB3354" t="str"><v>CAN_gaPMG_AZR_AZR_Q1_19_Trial-Social</v></cell><cell r="AC3354"><v>21337220</v></cell><cell r="AD3354"><v>720192</v></cell><cell r="AE3354" t="str"><v>Facebook</v></cell><cell r="AF3354"><v>3654128</v></cell><cell r="AG3354" t="str"><v>Facebook»AZR»1x1»SocialBan»NA»ALL»DYN»RT»D»All»SS»NA» Free Account Retargeting OSS - T2 - EN</v></cell><cell r="AH3354"><v>223691831</v></cell><cell r="AI3354" t="str"><v>AzurePlatform_FreeAcctRetargetingOSSFB-Logos-ChG_CAN_1200x628_SOC_Plat_EN_Free Account_Standard_NA_SU_T2_1</v></cell><cell r="AJ3354"><v>102913800</v></cell></row><row r="3355"><cell r="C3355" t="str"><v>43305Facebook»AZR»1x1»SocialBan»NA»ALL»DYN»RT»D»All»SS»NA»Free Account Retargeting Generic - T2 - EN</v></cell><cell r="D3355" t="str"><v>43305223691834</v></cell><cell r="E3355" t="str"><v>433051029029532 - EN</v></cell><cell r="F3355" t="str"><v>DCM</v></cell><cell r="G3355" t="str"><v>https://azure.microsoft.com/en-CA/free/search/</v></cell></row><row r="3355"><cell r="K3355" t="str"><v>July</v></cell><cell r="L3355"><v>43309</v></cell><cell r="M3355" t="str"><v>Tier 1</v></cell><cell r="N3355" t="str"><v>North America</v></cell><cell r="O3355" t="str"><v>Canada</v></cell><cell r="P3355" t="str"><v>Trial</v></cell><cell r="Q3355" t="str"><v>Social</v></cell><cell r="R3355" t="str"><v>Azure</v></cell><cell r="S3355" t="str"><v>Apps & Infra</v></cell><cell r="T3355" t="str"><v>Developers & ITI's</v></cell><cell r="U3355" t="str"><v>AZR</v></cell><cell r="V3355" t="str"><v>Retargeting</v></cell><cell r="W3355" t="str"><v>NotApplicable</v></cell><cell r="X3355" t="str"><v>1x1</v></cell></row><row r="3355"><cell r="AA3355"><v>43305</v></cell><cell r="AB3355" t="str"><v>CAN_gaPMG_AZR_AZR_Q1_19_Trial-Social</v></cell><cell r="AC3355"><v>21337220</v></cell><cell r="AD3355"><v>720192</v></cell><cell r="AE3355" t="str"><v>Facebook</v></cell><cell r="AF3355"><v>3654128</v></cell><cell r="AG3355" t="str"><v>Facebook»AZR»1x1»SocialBan»NA»ALL»DYN»RT»D»All»SS»NA»Free Account Retargeting Generic - T2 - EN</v></cell><cell r="AH3355"><v>223691834</v></cell><cell r="AI3355" t="str"><v>AzurePlatform_FreeAcctRetargetingFB-GlobalAlt-ChB_CAN_1200x628_SOC_Plat_EN_Free Account_Standard_NA_SU_T2_1</v></cell><cell r="AJ3355"><v>102902953</v></cell></row><row r="3356"><cell r="C3356" t="str"><v>43305Facebook»AZR»1x1»SocialBan»NA»ALL»DYN»RT»D»All»SS»NA»Free Account Retargeting VM - T1 - EN</v></cell><cell r="D3356" t="str"><v>43305223691825</v></cell><cell r="E3356" t="str"><v>433051029163381 - EN</v></cell><cell r="F3356" t="str"><v>DCM</v></cell><cell r="G3356" t="str"><v>https://azure.microsoft.com/en-ca/free/virtual-machines/search/</v></cell></row><row r="3356"><cell r="K3356" t="str"><v>July</v></cell><cell r="L3356"><v>43309</v></cell><cell r="M3356" t="str"><v>Tier 1</v></cell><cell r="N3356" t="str"><v>North America</v></cell><cell r="O3356" t="str"><v>Canada</v></cell><cell r="P3356" t="str"><v>Trial</v></cell><cell r="Q3356" t="str"><v>Social</v></cell><cell r="R3356" t="str"><v>Azure</v></cell><cell r="S3356" t="str"><v>Apps & Infra</v></cell><cell r="T3356" t="str"><v>Developers & ITI's</v></cell><cell r="U3356" t="str"><v>AZR</v></cell><cell r="V3356" t="str"><v>Retargeting</v></cell><cell r="W3356" t="str"><v>NotApplicable</v></cell><cell r="X3356" t="str"><v>1x1</v></cell></row><row r="3356"><cell r="AA3356"><v>43305</v></cell><cell r="AB3356" t="str"><v>CAN_gaPMG_AZR_AZR_Q1_19_Trial-Social</v></cell><cell r="AC3356"><v>21337220</v></cell><cell r="AD3356"><v>720192</v></cell><cell r="AE3356" t="str"><v>Facebook</v></cell><cell r="AF3356"><v>3654128</v></cell><cell r="AG3356" t="str"><v>Facebook»AZR»1x1»SocialBan»NA»ALL»DYN»RT»D»All»SS»NA»Free Account Retargeting VM - T1 - EN</v></cell><cell r="AH3356"><v>223691825</v></cell><cell r="AI3356" t="str"><v>AzurePlatform_FreeAcctRetargetingVMFB-750Hrs-ChD_CAN_1200x628_SOC_Plat_EN_Free Account_Standard_NA_SU_T1_1</v></cell><cell r="AJ3356"><v>102916338</v></cell></row><row r="3357"><cell r="C3357" t="str"><v>43305Facebook»AZR»1x1»SocialBan»NA»ALL»DYN»RT»D»All»SS»NA»Free Account Retargeting VM - T1 - FR</v></cell><cell r="D3357" t="str"><v>43305223691783</v></cell><cell r="E3357" t="str"><v>433051030587231 - FR</v></cell><cell r="F3357" t="str"><v>DCM</v></cell><cell r="G3357" t="str"><v>https://azure.microsoft.com/fr-ca/free/virtual-machines/search/</v></cell></row><row r="3357"><cell r="K3357" t="str"><v>July</v></cell><cell r="L3357"><v>43309</v></cell><cell r="M3357" t="str"><v>Tier 1</v></cell><cell r="N3357" t="str"><v>North America</v></cell><cell r="O3357" t="str"><v>Canada</v></cell><cell r="P3357" t="str"><v>Trial</v></cell><cell r="Q3357" t="str"><v>Social</v></cell><cell r="R3357" t="str"><v>Azure</v></cell><cell r="S3357" t="str"><v>Apps & Infra</v></cell><cell r="T3357" t="str"><v>Developers & ITI's</v></cell><cell r="U3357" t="str"><v>AZR</v></cell><cell r="V3357" t="str"><v>Retargeting</v></cell><cell r="W3357" t="str"><v>NotApplicable</v></cell><cell r="X3357" t="str"><v>1x1</v></cell></row><row r="3357"><cell r="AA3357"><v>43305</v></cell><cell r="AB3357" t="str"><v>CAN_gaPMG_AZR_AZR_Q1_19_Trial-Social</v></cell><cell r="AC3357"><v>21337220</v></cell><cell r="AD3357"><v>720192</v></cell><cell r="AE3357" t="str"><v>Facebook</v></cell><cell r="AF3357"><v>3654128</v></cell><cell r="AG3357" t="str"><v>Facebook»AZR»1x1»SocialBan»NA»ALL»DYN»RT»D»All»SS»NA»Free Account Retargeting VM - T1 - FR</v></cell><cell r="AH3357"><v>223691783</v></cell><cell r="AI3357" t="str"><v>AzurePlatform_FreeAcctRetargetingVMFB-750Hrs-ChD_CAN_1200x628_SOC_Plat_FR_Free Account_Standard_NA_SU_T1_1</v></cell><cell r="AJ3357"><v>103058723</v></cell></row><row r="3358"><cell r="C3358" t="str"><v>43305Facebook»AZR»1x1»SocialBan»NA»ALL»DYN»RT»D»All»SS»NA»Free Account Retargeting VM - T2 - EN</v></cell><cell r="D3358" t="str"><v>43305223691822</v></cell><cell r="E3358" t="str"><v>433051030587082 - EN</v></cell><cell r="F3358" t="str"><v>DCM</v></cell><cell r="G3358" t="str"><v>https://azure.microsoft.com/en-ca/free/virtual-machines/search/</v></cell></row><row r="3358"><cell r="K3358" t="str"><v>July</v></cell><cell r="L3358"><v>43309</v></cell><cell r="M3358" t="str"><v>Tier 1</v></cell><cell r="N3358" t="str"><v>North America</v></cell><cell r="O3358" t="str"><v>Canada</v></cell><cell r="P3358" t="str"><v>Trial</v></cell><cell r="Q3358" t="str"><v>Social</v></cell><cell r="R3358" t="str"><v>Azure</v></cell><cell r="S3358" t="str"><v>Apps & Infra</v></cell><cell r="T3358" t="str"><v>Developers & ITI's</v></cell><cell r="U3358" t="str"><v>AZR</v></cell><cell r="V3358" t="str"><v>Retargeting</v></cell><cell r="W3358" t="str"><v>NotApplicable</v></cell><cell r="X3358" t="str"><v>1x1</v></cell></row><row r="3358"><cell r="AA3358"><v>43305</v></cell><cell r="AB3358" t="str"><v>CAN_gaPMG_AZR_AZR_Q1_19_Trial-Social</v></cell><cell r="AC3358"><v>21337220</v></cell><cell r="AD3358"><v>720192</v></cell><cell r="AE3358" t="str"><v>Facebook</v></cell><cell r="AF3358"><v>3654128</v></cell><cell r="AG3358" t="str"><v>Facebook»AZR»1x1»SocialBan»NA»ALL»DYN»RT»D»All»SS»NA»Free Account Retargeting VM - T2 - EN</v></cell><cell r="AH3358"><v>223691822</v></cell><cell r="AI3358" t="str"><v>AzurePlatform_FreeAcctRetargetingVMFB-OnDemand-ChE_CAN_1200x628_SOC_Plat_EN_Free Account_Standard_NA_SU_T2_1</v></cell><cell r="AJ3358"><v>103058708</v></cell></row><row r="3359"><cell r="C3359" t="str"><v>43305Facebook»DEV-ITP-AZR-FB|CanvasAds|Interesttargeting»1x1»TextLink»CAN»DT»CPM»AUT»W»NA»SS»NA»39684020-11000</v></cell><cell r="D3359" t="str"><v>43305224009494</v></cell><cell r="E3359" t="str"><v>43305103236186-11000</v></cell><cell r="F3359" t="str"><v>DCM</v></cell><cell r="G3359" t="str"><v>https://signup.azure.com/signup?offer=ms-azr-0044p&appId=102&ref=paidmedia-social-fb&redirectURL=https%3a%2f%2fazure.microsoft.com%2fde-de%2fget-started%2fwelcome-to-azure%2f&l=de-de&correlationId=ead86c34-1f10-49dd-a72b-6918462a2cbf</v></cell></row><row r="3359"><cell r="K3359" t="str"><v>July</v></cell><cell r="L3359"><v>43309</v></cell><cell r="M3359" t="str"><v>Tier 1</v></cell><cell r="N3359" t="str"><v>EMEA</v></cell><cell r="O3359" t="str"><v>Germany</v></cell><cell r="P3359" t="str"><v>Trial</v></cell><cell r="Q3359" t="str"><v>Social</v></cell><cell r="R3359" t="str"><v>Azure</v></cell><cell r="S3359" t="str"><v>Apps & Infra</v></cell><cell r="T3359" t="str"><v>Developers & ITI's</v></cell><cell r="U3359" t="str"><v>DEV-ITP-AZR-FB|CanvasAds|Interesttargeting</v></cell><cell r="V3359" t="str"><v>Audience Targeting</v></cell><cell r="W3359" t="str"><v>Canvas Ad</v></cell><cell r="X3359" t="str"><v>1x1</v></cell></row><row r="3359"><cell r="AA3359"><v>43305</v></cell><cell r="AB3359" t="str"><v>DEU_gaPMG_AZR_AZR_Q1_19_Trial-Social- 39684</v></cell><cell r="AC3359"><v>21359477</v></cell><cell r="AD3359"><v>720194</v></cell><cell r="AE3359" t="str"><v>Facebook</v></cell><cell r="AF3359"><v>3654128</v></cell><cell r="AG3359" t="str"><v>Facebook»DEV-ITP-AZR-FB|CanvasAds|Interesttargeting»1x1»TextLink»CAN»DT»CPM»AUT»W»NA»SS»NA»39684020-11000</v></cell><cell r="AH3359"><v>224009494</v></cell><cell r="AI3359" t="str"><v>AzurePlatform_FBCTCBasicMotion-StartFreeCT_DEU_10s_ISV_PLAT_DE_Trial_Standard_STAN_TN_T1_1</v></cell><cell r="AJ3359"><v>103236186</v></cell></row><row r="3360"><cell r="C3360" t="str"><v>43305Facebook»DEV-ITP-AZR-FB|CanvasAds|Interesttargeting»1x1»TextLink»CAN»DT»CPM»AUT»W»NA»SS»NA»39684020-11000</v></cell><cell r="D3360" t="str"><v>43305224009494</v></cell><cell r="E3360" t="str"><v>43305103237290-11000</v></cell><cell r="F3360" t="str"><v>DCM</v></cell><cell r="G3360" t="str"><v>https://signup.azure.com/signup?offer=ms-azr-0044p&appId=102&ref=paidmedia-social-fb&redirectURL=https%3a%2f%2fazure.microsoft.com%2fde-de%2fget-started%2fwelcome-to-azure%2f&l=de-de&correlationId=ead86c34-1f10-49dd-a72b-6918462a2cbf</v></cell></row><row r="3360"><cell r="K3360" t="str"><v>July</v></cell><cell r="L3360"><v>43309</v></cell><cell r="M3360" t="str"><v>Tier 1</v></cell><cell r="N3360" t="str"><v>EMEA</v></cell><cell r="O3360" t="str"><v>Germany</v></cell><cell r="P3360" t="str"><v>Trial</v></cell><cell r="Q3360" t="str"><v>Social</v></cell><cell r="R3360" t="str"><v>Azure</v></cell><cell r="S3360" t="str"><v>Apps & Infra</v></cell><cell r="T3360" t="str"><v>Developers & ITI's</v></cell><cell r="U3360" t="str"><v>DEV-ITP-AZR-FB|CanvasAds|Interesttargeting</v></cell><cell r="V3360" t="str"><v>Audience Targeting</v></cell><cell r="W3360" t="str"><v>Canvas Ad</v></cell><cell r="X3360" t="str"><v>1x1</v></cell></row><row r="3360"><cell r="AA3360"><v>43305</v></cell><cell r="AB3360" t="str"><v>DEU_gaPMG_AZR_AZR_Q1_19_Trial-Social- 39684</v></cell><cell r="AC3360"><v>21359477</v></cell><cell r="AD3360"><v>720194</v></cell><cell r="AE3360" t="str"><v>Facebook</v></cell><cell r="AF3360"><v>3654128</v></cell><cell r="AG3360" t="str"><v>Facebook»DEV-ITP-AZR-FB|CanvasAds|Interesttargeting»1x1»TextLink»CAN»DT»CPM»AUT»W»NA»SS»NA»39684020-11000</v></cell><cell r="AH3360"><v>224009494</v></cell><cell r="AI3360" t="str"><v>AzurePlatform_FBCTCBenefit2inMotion-StartFreeCT_DEU_14s_ISV_PLAT_DE_Trial_Standard_STAN_TN_T4_1</v></cell><cell r="AJ3360"><v>103237290</v></cell></row><row r="3361"><cell r="C3361" t="str"><v>43305Facebook»DEV-ITP-AZR-FB|CanvasAds|Interesttargeting»1x1»TextLink»CAN»DT»CPM»AUT»W»NA»SS»NA»39684020-11000</v></cell><cell r="D3361" t="str"><v>43305224009494</v></cell><cell r="E3361" t="str"><v>43305103350059-11000</v></cell><cell r="F3361" t="str"><v>DCM</v></cell><cell r="G3361" t="str"><v>https://azure.microsoft.com/de-de/pricing/purchase-options/</v></cell></row><row r="3361"><cell r="K3361" t="str"><v>July</v></cell><cell r="L3361"><v>43309</v></cell><cell r="M3361" t="str"><v>Tier 1</v></cell><cell r="N3361" t="str"><v>EMEA</v></cell><cell r="O3361" t="str"><v>Germany</v></cell><cell r="P3361" t="str"><v>Trial</v></cell><cell r="Q3361" t="str"><v>Social</v></cell><cell r="R3361" t="str"><v>Azure</v></cell><cell r="S3361" t="str"><v>Apps & Infra</v></cell><cell r="T3361" t="str"><v>Developers & ITI's</v></cell><cell r="U3361" t="str"><v>DEV-ITP-AZR-FB|CanvasAds|Interesttargeting</v></cell><cell r="V3361" t="str"><v>Audience Targeting</v></cell><cell r="W3361" t="str"><v>Canvas Ad</v></cell><cell r="X3361" t="str"><v>1x1</v></cell></row><row r="3361"><cell r="AA3361"><v>43305</v></cell><cell r="AB3361" t="str"><v>DEU_gaPMG_AZR_AZR_Q1_19_Trial-Social- 39684</v></cell><cell r="AC3361"><v>21359477</v></cell><cell r="AD3361"><v>720194</v></cell><cell r="AE3361" t="str"><v>Facebook</v></cell><cell r="AF3361"><v>3654128</v></cell><cell r="AG3361" t="str"><v>Facebook»DEV-ITP-AZR-FB|CanvasAds|Interesttargeting»1x1»TextLink»CAN»DT»CPM»AUT»W»NA»SS»NA»39684020-11000</v></cell><cell r="AH3361"><v>224009494</v></cell><cell r="AI3361" t="str"><v>AzurePlatform_FBCTCBrandinMotion-BuyNow_DEU_12s_ISV_PLAT_DE_Trial_Standard_STAN_TN_T2_1</v></cell><cell r="AJ3361"><v>103350059</v></cell></row><row r="3362"><cell r="C3362" t="str"><v>43305Facebook»DEV-ITP-AZR-FB|CanvasAds|Interesttargeting»1x1»TextLink»CAN»DT»CPM»AUT»W»NA»SS»NA»39684020-11000</v></cell><cell r="D3362" t="str"><v>43305224009494</v></cell><cell r="E3362" t="str"><v>43305103237293-11000</v></cell><cell r="F3362" t="str"><v>DCM</v></cell><cell r="G3362" t="str"><v>https://signup.azure.com/signup?offer=ms-azr-0044p&appId=102&ref=paidmedia-social-fb&redirectURL=https%3a%2f%2fazure.microsoft.com%2fde-de%2fget-started%2fwelcome-to-azure%2f&l=de-de&correlationId=ead86c34-1f10-49dd-a72b-6918462a2cbf</v></cell></row><row r="3362"><cell r="K3362" t="str"><v>July</v></cell><cell r="L3362"><v>43309</v></cell><cell r="M3362" t="str"><v>Tier 1</v></cell><cell r="N3362" t="str"><v>EMEA</v></cell><cell r="O3362" t="str"><v>Germany</v></cell><cell r="P3362" t="str"><v>Trial</v></cell><cell r="Q3362" t="str"><v>Social</v></cell><cell r="R3362" t="str"><v>Azure</v></cell><cell r="S3362" t="str"><v>Apps & Infra</v></cell><cell r="T3362" t="str"><v>Developers & ITI's</v></cell><cell r="U3362" t="str"><v>DEV-ITP-AZR-FB|CanvasAds|Interesttargeting</v></cell><cell r="V3362" t="str"><v>Audience Targeting</v></cell><cell r="W3362" t="str"><v>Canvas Ad</v></cell><cell r="X3362" t="str"><v>1x1</v></cell></row><row r="3362"><cell r="AA3362"><v>43305</v></cell><cell r="AB3362" t="str"><v>DEU_gaPMG_AZR_AZR_Q1_19_Trial-Social- 39684</v></cell><cell r="AC3362"><v>21359477</v></cell><cell r="AD3362"><v>720194</v></cell><cell r="AE3362" t="str"><v>Facebook</v></cell><cell r="AF3362"><v>3654128</v></cell><cell r="AG3362" t="str"><v>Facebook»DEV-ITP-AZR-FB|CanvasAds|Interesttargeting»1x1»TextLink»CAN»DT»CPM»AUT»W»NA»SS»NA»39684020-11000</v></cell><cell r="AH3362"><v>224009494</v></cell><cell r="AI3362" t="str"><v>AzurePlatform_FBCTCBrandinMotion-StartFreeCT_DEU_12s_ISV_PLAT_DE_Trial_Standard_STAN_TN_T2_1</v></cell><cell r="AJ3362"><v>103237293</v></cell></row><row r="3363"><cell r="C3363" t="str"><v>43305Facebook»DEV-ITP-AZR-FB|LinkAd|CustomerAudienceRetargeting»1x1»TextLink»LIA»DT»CPM»RT»W»NA»SS»NA»39684019-11000</v></cell><cell r="D3363" t="str"><v>43305224010415</v></cell><cell r="E3363" t="str"><v>43305103040320-11000</v></cell><cell r="F3363" t="str"><v>DCM</v></cell><cell r="G3363" t="str"><v>https://azure.microsoft.com/de-de/free/search/</v></cell></row><row r="3363"><cell r="K3363" t="str"><v>July</v></cell><cell r="L3363"><v>43309</v></cell><cell r="M3363" t="str"><v>Tier 1</v></cell><cell r="N3363" t="str"><v>EMEA</v></cell><cell r="O3363" t="str"><v>Germany</v></cell><cell r="P3363" t="str"><v>Trial</v></cell><cell r="Q3363" t="str"><v>Social</v></cell><cell r="R3363" t="str"><v>Azure</v></cell><cell r="S3363" t="str"><v>Apps & Infra</v></cell><cell r="T3363" t="str"><v>Developers & ITI's</v></cell><cell r="U3363" t="str"><v>DEV-ITP-AZR-FB|LinkAd|CustomerAudienceRetargeting</v></cell><cell r="V3363" t="str"><v>Retargeting</v></cell><cell r="W3363" t="str"><v>Link Ad</v></cell><cell r="X3363" t="str"><v>1x1</v></cell></row><row r="3363"><cell r="AA3363"><v>43305</v></cell><cell r="AB3363" t="str"><v>DEU_gaPMG_AZR_AZR_Q1_19_Trial-Social- 39684</v></cell><cell r="AC3363"><v>21359477</v></cell><cell r="AD3363"><v>720194</v></cell><cell r="AE3363" t="str"><v>Facebook</v></cell><cell r="AF3363"><v>3654128</v></cell><cell r="AG3363" t="str"><v>Facebook»DEV-ITP-AZR-FB|LinkAd|CustomerAudienceRetargeting»1x1»TextLink»LIA»DT»CPM»RT»W»NA»SS»NA»39684019-11000</v></cell><cell r="AH3363"><v>224010415</v></cell><cell r="AI3363" t="str"><v>AzurePlatform_FreeAcctRetargetingFB-GlobalAlt-ChB_DEU_1200x628_SOC_Plat_DE_Free Account_Standard_NA_SNU_T2_1</v></cell><cell r="AJ3363"><v>103040320</v></cell></row><row r="3364"><cell r="C3364" t="str"><v>43305Facebook»DEV-ITP-AZR-FB|LinkAd|CustomerAudienceRetargeting»1x1»TextLink»LIA»DT»CPM»RT»W»NA»SS»NA»39684019-11000</v></cell><cell r="D3364" t="str"><v>43305224010415</v></cell><cell r="E3364" t="str"><v>43305103055394-11000</v></cell><cell r="F3364" t="str"><v>DCM</v></cell><cell r="G3364" t="str"><v>https://azure.microsoft.com/de-de/free/open-source/search/</v></cell></row><row r="3364"><cell r="K3364" t="str"><v>July</v></cell><cell r="L3364"><v>43309</v></cell><cell r="M3364" t="str"><v>Tier 1</v></cell><cell r="N3364" t="str"><v>EMEA</v></cell><cell r="O3364" t="str"><v>Germany</v></cell><cell r="P3364" t="str"><v>Trial</v></cell><cell r="Q3364" t="str"><v>Social</v></cell><cell r="R3364" t="str"><v>Azure</v></cell><cell r="S3364" t="str"><v>Apps & Infra</v></cell><cell r="T3364" t="str"><v>Developers & ITI's</v></cell><cell r="U3364" t="str"><v>DEV-ITP-AZR-FB|LinkAd|CustomerAudienceRetargeting</v></cell><cell r="V3364" t="str"><v>Retargeting</v></cell><cell r="W3364" t="str"><v>Link Ad</v></cell><cell r="X3364" t="str"><v>1x1</v></cell></row><row r="3364"><cell r="AA3364"><v>43305</v></cell><cell r="AB3364" t="str"><v>DEU_gaPMG_AZR_AZR_Q1_19_Trial-Social- 39684</v></cell><cell r="AC3364"><v>21359477</v></cell><cell r="AD3364"><v>720194</v></cell><cell r="AE3364" t="str"><v>Facebook</v></cell><cell r="AF3364"><v>3654128</v></cell><cell r="AG3364" t="str"><v>Facebook»DEV-ITP-AZR-FB|LinkAd|CustomerAudienceRetargeting»1x1»TextLink»LIA»DT»CPM»RT»W»NA»SS»NA»39684019-11000</v></cell><cell r="AH3364"><v>224010415</v></cell><cell r="AI3364" t="str"><v>AzurePlatform_FreeAcctRetargetingOSSFB-Text-ChF_DEU_1200x628_SOC_Plat_DE_Free Account_Standard_NA_SNU_T1_1</v></cell><cell r="AJ3364"><v>103055394</v></cell></row><row r="3365"><cell r="C3365" t="str"><v>43305Facebook»DEV-ITP-AZR-FB|LinkAd|CustomerAudienceRetargeting»1x1»TextLink»LIA»DT»CPM»RT»W»NA»SS»NA»39684019-11000</v></cell><cell r="D3365" t="str"><v>43305224010415</v></cell><cell r="E3365" t="str"><v>43305103043341-11000</v></cell><cell r="F3365" t="str"><v>DCM</v></cell><cell r="G3365" t="str"><v>https://azure.microsoft.com/de-de/free/virtual-machines/search/</v></cell></row><row r="3365"><cell r="K3365" t="str"><v>July</v></cell><cell r="L3365"><v>43309</v></cell><cell r="M3365" t="str"><v>Tier 1</v></cell><cell r="N3365" t="str"><v>EMEA</v></cell><cell r="O3365" t="str"><v>Germany</v></cell><cell r="P3365" t="str"><v>Trial</v></cell><cell r="Q3365" t="str"><v>Social</v></cell><cell r="R3365" t="str"><v>Azure</v></cell><cell r="S3365" t="str"><v>Apps & Infra</v></cell><cell r="T3365" t="str"><v>Developers & ITI's</v></cell><cell r="U3365" t="str"><v>DEV-ITP-AZR-FB|LinkAd|CustomerAudienceRetargeting</v></cell><cell r="V3365" t="str"><v>Retargeting</v></cell><cell r="W3365" t="str"><v>Link Ad</v></cell><cell r="X3365" t="str"><v>1x1</v></cell></row><row r="3365"><cell r="AA3365"><v>43305</v></cell><cell r="AB3365" t="str"><v>DEU_gaPMG_AZR_AZR_Q1_19_Trial-Social- 39684</v></cell><cell r="AC3365"><v>21359477</v></cell><cell r="AD3365"><v>720194</v></cell><cell r="AE3365" t="str"><v>Facebook</v></cell><cell r="AF3365"><v>3654128</v></cell><cell r="AG3365" t="str"><v>Facebook»DEV-ITP-AZR-FB|LinkAd|CustomerAudienceRetargeting»1x1»TextLink»LIA»DT»CPM»RT»W»NA»SS»NA»39684019-11000</v></cell><cell r="AH3365"><v>224010415</v></cell><cell r="AI3365" t="str"><v>AzurePlatform_FreeAcctRetargetingVMFB-750Hrs-ChD_DEU_1200x628_SOC_Plat_DE_Free Account_Standard_NA_SNU_T1_1</v></cell><cell r="AJ3365"><v>103043341</v></cell></row><row r="3366"><cell r="C3366" t="str"><v>43305Facebook»DEV-ITP-AZR-FB|LinkAd|CustomerAudienceRetargeting»1x1»TextLink»LIA»DT»CPM»RT»W»NA»SS»NA»39684019-11000</v></cell><cell r="D3366" t="str"><v>43305224010415</v></cell><cell r="E3366" t="str"><v>43305103043338-11000</v></cell><cell r="F3366" t="str"><v>DCM</v></cell><cell r="G3366" t="str"><v>https://azure.microsoft.com/de-de/free/virtual-machines/search/</v></cell></row><row r="3366"><cell r="K3366" t="str"><v>July</v></cell><cell r="L3366"><v>43309</v></cell><cell r="M3366" t="str"><v>Tier 1</v></cell><cell r="N3366" t="str"><v>EMEA</v></cell><cell r="O3366" t="str"><v>Germany</v></cell><cell r="P3366" t="str"><v>Trial</v></cell><cell r="Q3366" t="str"><v>Social</v></cell><cell r="R3366" t="str"><v>Azure</v></cell><cell r="S3366" t="str"><v>Apps & Infra</v></cell><cell r="T3366" t="str"><v>Developers & ITI's</v></cell><cell r="U3366" t="str"><v>DEV-ITP-AZR-FB|LinkAd|CustomerAudienceRetargeting</v></cell><cell r="V3366" t="str"><v>Retargeting</v></cell><cell r="W3366" t="str"><v>Link Ad</v></cell><cell r="X3366" t="str"><v>1x1</v></cell></row><row r="3366"><cell r="AA3366"><v>43305</v></cell><cell r="AB3366" t="str"><v>DEU_gaPMG_AZR_AZR_Q1_19_Trial-Social- 39684</v></cell><cell r="AC3366"><v>21359477</v></cell><cell r="AD3366"><v>720194</v></cell><cell r="AE3366" t="str"><v>Facebook</v></cell><cell r="AF3366"><v>3654128</v></cell><cell r="AG3366" t="str"><v>Facebook»DEV-ITP-AZR-FB|LinkAd|CustomerAudienceRetargeting»1x1»TextLink»LIA»DT»CPM»RT»W»NA»SS»NA»39684019-11000</v></cell><cell r="AH3366"><v>224010415</v></cell><cell r="AI3366" t="str"><v>AzurePlatform_FreeAcctRetargetingVMFB-OnDemand-ChE_DEU_1200x628_SOC_Plat_DE_Free Account_Standard_NA_SNU_T2_1</v></cell><cell r="AJ3366"><v>103043338</v></cell></row><row r="3367"><cell r="C3367" t="str"><v>43305Facebook»Developers/ITPros-Azure Direct-Sponsored Post-Canvas-FBCTCcanvaspage-BuyNowCTA-Img3_FBCTCBrandinMotion_FRA_14sec»1x1»Canvas»SOC»ALL»CPC»BT»D»UNK»SS»NA»Trials</v></cell><cell r="D3367" t="str"><v>43305224416918</v></cell><cell r="E3367" t="str"><v>43305103256571Trials</v></cell><cell r="F3367" t="str"><v>DCM</v></cell><cell r="G3367" t="str"><v>https://azure.microsoft.com/fr-fr/pricing/purchase-options/</v></cell></row><row r="3367"><cell r="K3367" t="str"><v>July</v></cell><cell r="L3367"><v>43309</v></cell><cell r="M3367" t="str"><v>Tier 1</v></cell><cell r="N3367" t="str"><v>EMEA</v></cell><cell r="O3367" t="str"><v>France</v></cell><cell r="P3367" t="str"><v>Trial</v></cell><cell r="Q3367" t="str"><v>Social</v></cell><cell r="R3367" t="str"><v>Azure</v></cell><cell r="S3367" t="str"><v>Apps & Infra</v></cell><cell r="T3367" t="str"><v>Developers & ITI's</v></cell><cell r="U3367" t="str"><v>Developers/ITPros-Azure Direct-Sponsored Post-Canvas-FBCTCcanvaspage-BuyNowCTA-Img3_FBCTCBrandinMotion_FRA_14sec</v></cell><cell r="V3367" t="str"><v>Behavioral Targeting</v></cell><cell r="W3367" t="str"><v>Social</v></cell><cell r="X3367" t="str"><v>1x1</v></cell></row><row r="3367"><cell r="AA3367"><v>43305</v></cell><cell r="AB3367" t="str"><v>FRA_gaPMG_AZR_AZR_Q1_19_AzureDirect-Trial-Social</v></cell><cell r="AC3367"><v>21356941</v></cell><cell r="AD3367"><v>720193</v></cell><cell r="AE3367" t="str"><v>Facebook</v></cell><cell r="AF3367"><v>3654128</v></cell><cell r="AG3367" t="str"><v>Facebook»Developers/ITPros-Azure Direct-Sponsored Post-Canvas-FBCTCcanvaspage-BuyNowCTA-Img3_FBCTCBrandinMotion_FRA_14sec»1x1»Canvas»SOC»ALL»CPC»BT»D»UNK»SS»NA»Trials</v></cell><cell r="AH3367"><v>224416918</v></cell><cell r="AI3367" t="str"><v>AZR_FBCTCcanvaspage-BuyNowCTA-Img3_FRA_1080x162_SOC_AZRDirect_French_NA_Facebook_SBAN_BN_T3_1</v></cell><cell r="AJ3367"><v>103256571</v></cell></row><row r="3368"><cell r="C3368" t="str"><v>43305Facebook»Developers/ITPros-Azure Direct-Sponsored Post-Canvas-FBCTCcanvaspage-StartFreeCTA-Img2_FBCTCBrandinMotion_FRA_14sec»1x1»Canvas»SOC»ALL»CPC»BT»D»UNK»SS»NA»Trials</v></cell><cell r="D3368" t="str"><v>43305224560872</v></cell><cell r="E3368" t="str"><v>43305103259958Trials</v></cell><cell r="F3368" t="str"><v>DCM</v></cell><cell r="G3368" t="str"><v>https://signup.azure.com/signup?offer=ms-azr-0044p&appId=102&ref=paidmedia-social-fb&redirectURL=https%3a%2f%2fazure.microsoft.com%2ffr-fr%2fget-started%2fwelcome-to-azure%2f&l=fr-fr&correlationId=ead86c34-1f10-49dd-a72b-6918462a2cbf</v></cell></row><row r="3368"><cell r="K3368" t="str"><v>July</v></cell><cell r="L3368"><v>43309</v></cell><cell r="M3368" t="str"><v>Tier 1</v></cell><cell r="N3368" t="str"><v>EMEA</v></cell><cell r="O3368" t="str"><v>France</v></cell><cell r="P3368" t="str"><v>Trial</v></cell><cell r="Q3368" t="str"><v>Social</v></cell><cell r="R3368" t="str"><v>Azure</v></cell><cell r="S3368" t="str"><v>Apps & Infra</v></cell><cell r="T3368" t="str"><v>Developers & ITI's</v></cell><cell r="U3368" t="str"><v>Developers/ITPros-Azure Direct-Sponsored Post-Canvas-FBCTCcanvaspage-StartFreeCTA-Img2_FBCTCBrandinMotion_FRA_14sec</v></cell><cell r="V3368" t="str"><v>Behavioral Targeting</v></cell><cell r="W3368" t="str"><v>Social</v></cell><cell r="X3368" t="str"><v>1x1</v></cell></row><row r="3368"><cell r="AA3368"><v>43305</v></cell><cell r="AB3368" t="str"><v>FRA_gaPMG_AZR_AZR_Q1_19_AzureDirect-Trial-Social</v></cell><cell r="AC3368"><v>21356941</v></cell><cell r="AD3368"><v>720193</v></cell><cell r="AE3368" t="str"><v>Facebook</v></cell><cell r="AF3368"><v>3654128</v></cell><cell r="AG3368" t="str"><v>Facebook»Developers/ITPros-Azure Direct-Sponsored Post-Canvas-FBCTCcanvaspage-StartFreeCTA-Img2_FBCTCBrandinMotion_FRA_14sec»1x1»Canvas»SOC»ALL»CPC»BT»D»UNK»SS»NA»Trials</v></cell><cell r="AH3368"><v>224560872</v></cell><cell r="AI3368" t="str"><v>AZR_FBCTCcanvaspage-StartFreeCTA-Img2_FRA_1080x143_SOC_AZRDirect_French_NA_Facebook_SBAN_BN_T2_1</v></cell><cell r="AJ3368"><v>103259958</v></cell></row><row r="3369"><cell r="C3369" t="str"><v>43305Facebook»Developers/ITPros-Azure Direct-Sponsored Post-Link Ad-FreeAcctRetargetingFB-GlobalAlt-ChB»1x1»SocialBan»SOC»ALL»CPC»BT»D»UNK»SS»NA»Trials</v></cell><cell r="D3369" t="str"><v>43305224560845</v></cell><cell r="E3369" t="str"><v>43305103259520Trials</v></cell><cell r="F3369" t="str"><v>DCM</v></cell><cell r="G3369" t="str"><v>https://azure.microsoft.com/fr-fr/free/search/</v></cell></row><row r="3369"><cell r="K3369" t="str"><v>July</v></cell><cell r="L3369"><v>43309</v></cell><cell r="M3369" t="str"><v>Tier 1</v></cell><cell r="N3369" t="str"><v>EMEA</v></cell><cell r="O3369" t="str"><v>France</v></cell><cell r="P3369" t="str"><v>Trial</v></cell><cell r="Q3369" t="str"><v>Social</v></cell><cell r="R3369" t="str"><v>Azure</v></cell><cell r="S3369" t="str"><v>Apps & Infra</v></cell><cell r="T3369" t="str"><v>Developers & ITI's</v></cell><cell r="U3369" t="str"><v>Developers/ITPros-Azure Direct-Sponsored Post-Link Ad-FreeAcctRetargetingFB-GlobalAlt-ChB</v></cell><cell r="V3369" t="str"><v>Behavioral Targeting</v></cell><cell r="W3369" t="str"><v>Social</v></cell><cell r="X3369" t="str"><v>1x1</v></cell></row><row r="3369"><cell r="AA3369"><v>43305</v></cell><cell r="AB3369" t="str"><v>FRA_gaPMG_AZR_AZR_Q1_19_AzureDirect-Trial-Social</v></cell><cell r="AC3369"><v>21356941</v></cell><cell r="AD3369"><v>720193</v></cell><cell r="AE3369" t="str"><v>Facebook</v></cell><cell r="AF3369"><v>3654128</v></cell><cell r="AG3369" t="str"><v>Facebook»Developers/ITPros-Azure Direct-Sponsored Post-Link Ad-FreeAcctRetargetingFB-GlobalAlt-ChB»1x1»SocialBan»SOC»ALL»CPC»BT»D»UNK»SS»NA»Trials</v></cell><cell r="AH3369"><v>224560845</v></cell><cell r="AI3369" t="str"><v>AZR_FreeAcctRetargetingFB-GlobalAlt-ChB_FRA_1200x628_SOC_AZRDirect_French_NA_Facebook_SBAN_SINU_T2_1</v></cell><cell r="AJ3369"><v>103259520</v></cell></row><row r="3370"><cell r="C3370" t="str"><v>43305Facebook»Developers/ITPros-Azure Direct-Sponsored Post-Link Ad-FreeAcctRetargetingOSSFB-Text-ChF»1x1»SocialBan»SOC»ALL»CPC»BT»D»UNK»SS»NA»Trials</v></cell><cell r="D3370" t="str"><v>43305224560839</v></cell><cell r="E3370" t="str"><v>43305103257810Trials</v></cell><cell r="F3370" t="str"><v>DCM</v></cell><cell r="G3370" t="str"><v>https://azure.microsoft.com/fr-fr/free/open-source/search/</v></cell></row><row r="3370"><cell r="K3370" t="str"><v>July</v></cell><cell r="L3370"><v>43309</v></cell><cell r="M3370" t="str"><v>Tier 1</v></cell><cell r="N3370" t="str"><v>EMEA</v></cell><cell r="O3370" t="str"><v>France</v></cell><cell r="P3370" t="str"><v>Trial</v></cell><cell r="Q3370" t="str"><v>Social</v></cell><cell r="R3370" t="str"><v>Azure</v></cell><cell r="S3370" t="str"><v>Apps & Infra</v></cell><cell r="T3370" t="str"><v>Developers & ITI's</v></cell><cell r="U3370" t="str"><v>Developers/ITPros-Azure Direct-Sponsored Post-Link Ad-FreeAcctRetargetingOSSFB-Text-ChF</v></cell><cell r="V3370" t="str"><v>Behavioral Targeting</v></cell><cell r="W3370" t="str"><v>Social</v></cell><cell r="X3370" t="str"><v>1x1</v></cell></row><row r="3370"><cell r="AA3370"><v>43305</v></cell><cell r="AB3370" t="str"><v>FRA_gaPMG_AZR_AZR_Q1_19_AzureDirect-Trial-Social</v></cell><cell r="AC3370"><v>21356941</v></cell><cell r="AD3370"><v>720193</v></cell><cell r="AE3370" t="str"><v>Facebook</v></cell><cell r="AF3370"><v>3654128</v></cell><cell r="AG3370" t="str"><v>Facebook»Developers/ITPros-Azure Direct-Sponsored Post-Link Ad-FreeAcctRetargetingOSSFB-Text-ChF»1x1»SocialBan»SOC»ALL»CPC»BT»D»UNK»SS»NA»Trials</v></cell><cell r="AH3370"><v>224560839</v></cell><cell r="AI3370" t="str"><v>AZR_FreeAcctRetargetingOSSFB-Text-ChF_FRA_1200x628_SOC_AZRDirect_French_NA_Facebook_SBAN_SINU_T1_1</v></cell><cell r="AJ3370"><v>103257810</v></cell></row><row r="3371"><cell r="C3371" t="str"><v>43305Facebook»Developers/ITPros-Azure Direct-Sponsored Post-Link Ad-FreeAcctRetargetingVMFB-750Hrs-ChD»1x1»SocialBan»SOC»ALL»CPC»BT»D»UNK»SS»NA»Trials</v></cell><cell r="D3371" t="str"><v>43305224560836</v></cell><cell r="E3371" t="str"><v>43305103259010Trials</v></cell><cell r="F3371" t="str"><v>DCM</v></cell><cell r="G3371" t="str"><v>https://azure.microsoft.com/fr-fr/free/virtual-machines/search/</v></cell></row><row r="3371"><cell r="K3371" t="str"><v>July</v></cell><cell r="L3371"><v>43309</v></cell><cell r="M3371" t="str"><v>Tier 1</v></cell><cell r="N3371" t="str"><v>EMEA</v></cell><cell r="O3371" t="str"><v>France</v></cell><cell r="P3371" t="str"><v>Trial</v></cell><cell r="Q3371" t="str"><v>Social</v></cell><cell r="R3371" t="str"><v>Azure</v></cell><cell r="S3371" t="str"><v>Apps & Infra</v></cell><cell r="T3371" t="str"><v>Developers & ITI's</v></cell><cell r="U3371" t="str"><v>Developers/ITPros-Azure Direct-Sponsored Post-Link Ad-FreeAcctRetargetingVMFB-750Hrs-ChD</v></cell><cell r="V3371" t="str"><v>Behavioral Targeting</v></cell><cell r="W3371" t="str"><v>Social</v></cell><cell r="X3371" t="str"><v>1x1</v></cell></row><row r="3371"><cell r="AA3371"><v>43305</v></cell><cell r="AB3371" t="str"><v>FRA_gaPMG_AZR_AZR_Q1_19_AzureDirect-Trial-Social</v></cell><cell r="AC3371"><v>21356941</v></cell><cell r="AD3371"><v>720193</v></cell><cell r="AE3371" t="str"><v>Facebook</v></cell><cell r="AF3371"><v>3654128</v></cell><cell r="AG3371" t="str"><v>Facebook»Developers/ITPros-Azure Direct-Sponsored Post-Link Ad-FreeAcctRetargetingVMFB-750Hrs-ChD»1x1»SocialBan»SOC»ALL»CPC»BT»D»UNK»SS»NA»Trials</v></cell><cell r="AH3371"><v>224560836</v></cell><cell r="AI3371" t="str"><v>AZR_FreeAcctRetargetingVMFB-750Hrs-ChD_FRA_1200x628_SOC_AZRDirect_French_NA_Facebook_SBAN_SINU_T1_1</v></cell><cell r="AJ3371"><v>103259010</v></cell></row><row r="3372"><cell r="C3372" t="str"><v>43305Facebook»Developers/ITPros-Azure Direct-Sponsored Post-Video Ad-FBCTCBasicMotion_FRA_10s_RTG Landing Page»1x1»05s»SOC»ALL»CPC»BT»D»UNK»SS»NA»Trials</v></cell><cell r="D3372" t="str"><v>43305224416915</v></cell><cell r="E3372" t="str"><v>43305103376981Trials</v></cell><cell r="F3372" t="str"><v>DCM</v></cell></row><row r="3372"><cell r="K3372" t="str"><v>July</v></cell><cell r="L3372"><v>43309</v></cell><cell r="M3372" t="str"><v>Tier 1</v></cell><cell r="N3372" t="str"><v>EMEA</v></cell><cell r="O3372" t="str"><v>France</v></cell><cell r="P3372" t="str"><v>Trial</v></cell><cell r="Q3372" t="str"><v>Social</v></cell><cell r="R3372" t="str"><v>Azure</v></cell><cell r="S3372" t="str"><v>Apps & Infra</v></cell><cell r="T3372" t="str"><v>Developers & ITI's</v></cell><cell r="U3372" t="str"><v>Developers/ITPros-Azure Direct-Sponsored Post-Video Ad-FBCTCBasicMotion_FRA_10s_RTG Landing Page</v></cell><cell r="V3372" t="str"><v>Behavioral Targeting</v></cell><cell r="W3372" t="str"><v>Social</v></cell><cell r="X3372" t="str"><v>1x1</v></cell></row><row r="3372"><cell r="AA3372"><v>43305</v></cell><cell r="AB3372" t="str"><v>FRA_gaPMG_AZR_AZR_Q1_19_AzureDirect-Trial-Social</v></cell><cell r="AC3372"><v>21356941</v></cell><cell r="AD3372"><v>720193</v></cell><cell r="AE3372" t="str"><v>Facebook</v></cell><cell r="AF3372"><v>3654128</v></cell><cell r="AG3372" t="str"><v>Facebook»Developers/ITPros-Azure Direct-Sponsored Post-Video Ad-FBCTCBasicMotion_FRA_10s_RTG Landing Page»1x1»05s»SOC»ALL»CPC»BT»D»UNK»SS»NA»Trials</v></cell><cell r="AH3372"><v>224416915</v></cell><cell r="AI3372" t="str"><v>AZR_FBCTCBasicMotion_FRA_10s_VIA_AZRDirect_French_NA_Facebook_STAN_TIN_T1_1</v></cell><cell r="AJ3372"><v>103376981</v></cell></row><row r="3373"><cell r="C3373" t="str"><v>43305Facebook»Developers/ITPros-Azure Direct-Sponsored Post-Video Ad-FBCTCBenefit2inMotion_FRA_14s_RTG Landing Page»1x1»06s»SOC»ALL»CPC»BT»D»UNK»SS»NA»Trials</v></cell><cell r="D3373" t="str"><v>43305224560875</v></cell><cell r="E3373" t="str"><v>43305103259766Trials</v></cell><cell r="F3373" t="str"><v>DCM</v></cell><cell r="G3373" t="str"><v>https://signup.azure.com/signup?offer=ms-azr-0044p&appId=102&ref=paidmedia-social-fb&redirectURL=https:%2F%2Fazure.microsoft.com%2Ffr-fr%2Fget-started%2Fwelcome-to-azure%2F&l=fr-fr&correlationId=ead86c34-1f10-49dd-a72b-6918462a2cbf</v></cell></row><row r="3373"><cell r="K3373" t="str"><v>July</v></cell><cell r="L3373"><v>43309</v></cell><cell r="M3373" t="str"><v>Tier 1</v></cell><cell r="N3373" t="str"><v>EMEA</v></cell><cell r="O3373" t="str"><v>France</v></cell><cell r="P3373" t="str"><v>Trial</v></cell><cell r="Q3373" t="str"><v>Social</v></cell><cell r="R3373" t="str"><v>Azure</v></cell><cell r="S3373" t="str"><v>Apps & Infra</v></cell><cell r="T3373" t="str"><v>Developers & ITI's</v></cell><cell r="U3373" t="str"><v>Developers/ITPros-Azure Direct-Sponsored Post-Video Ad-FBCTCBenefit2inMotion_FRA_14s_RTG Landing Page</v></cell><cell r="V3373" t="str"><v>Behavioral Targeting</v></cell><cell r="W3373" t="str"><v>Social</v></cell><cell r="X3373" t="str"><v>1x1</v></cell></row><row r="3373"><cell r="AA3373"><v>43305</v></cell><cell r="AB3373" t="str"><v>FRA_gaPMG_AZR_AZR_Q1_19_AzureDirect-Trial-Social</v></cell><cell r="AC3373"><v>21356941</v></cell><cell r="AD3373"><v>720193</v></cell><cell r="AE3373" t="str"><v>Facebook</v></cell><cell r="AF3373"><v>3654128</v></cell><cell r="AG3373" t="str"><v>Facebook»Developers/ITPros-Azure Direct-Sponsored Post-Video Ad-FBCTCBenefit2inMotion_FRA_14s_RTG Landing Page»1x1»06s»SOC»ALL»CPC»BT»D»UNK»SS»NA»Trials</v></cell><cell r="AH3373"><v>224560875</v></cell><cell r="AI3373" t="str"><v>AZR_FBCTCBenefit2inMotion_FRA_14s_VIA_AZRDirect_French_NA_Facebook_STAN_TIN_T4_1</v></cell><cell r="AJ3373"><v>103259766</v></cell></row><row r="3374"><cell r="C3374" t="str"><v>43305Facebook»Developers/ITPros-Azure Direct-Sponsored Post-Video Ad-FBCTCBrandinMotion_FRA_12s_RTG Landing Page»1x1»05s»SOC»ALL»CPC»BT»D»UNK»SS»NA»Trials</v></cell><cell r="D3374" t="str"><v>43305224560863</v></cell><cell r="E3374" t="str"><v>43305103256577Trials</v></cell><cell r="F3374" t="str"><v>DCM</v></cell></row><row r="3374"><cell r="K3374" t="str"><v>July</v></cell><cell r="L3374"><v>43309</v></cell><cell r="M3374" t="str"><v>Tier 1</v></cell><cell r="N3374" t="str"><v>EMEA</v></cell><cell r="O3374" t="str"><v>France</v></cell><cell r="P3374" t="str"><v>Trial</v></cell><cell r="Q3374" t="str"><v>Social</v></cell><cell r="R3374" t="str"><v>Azure</v></cell><cell r="S3374" t="str"><v>Apps & Infra</v></cell><cell r="T3374" t="str"><v>Developers & ITI's</v></cell><cell r="U3374" t="str"><v>Developers/ITPros-Azure Direct-Sponsored Post-Video Ad-FBCTCBrandinMotion_FRA_12s_RTG Landing Page</v></cell><cell r="V3374" t="str"><v>Behavioral Targeting</v></cell><cell r="W3374" t="str"><v>Social</v></cell><cell r="X3374" t="str"><v>1x1</v></cell></row><row r="3374"><cell r="AA3374"><v>43305</v></cell><cell r="AB3374" t="str"><v>FRA_gaPMG_AZR_AZR_Q1_19_AzureDirect-Trial-Social</v></cell><cell r="AC3374"><v>21356941</v></cell><cell r="AD3374"><v>720193</v></cell><cell r="AE3374" t="str"><v>Facebook</v></cell><cell r="AF3374"><v>3654128</v></cell><cell r="AG3374" t="str"><v>Facebook»Developers/ITPros-Azure Direct-Sponsored Post-Video Ad-FBCTCBrandinMotion_FRA_12s_RTG Landing Page»1x1»05s»SOC»ALL»CPC»BT»D»UNK»SS»NA»Trials</v></cell><cell r="AH3374"><v>224560863</v></cell><cell r="AI3374" t="str"><v>AZR_FBCTCBrandinMotion_FRA_12s_VIA_AZRDirect_French_NA_Facebook_STAN_TIN_T2_1</v></cell><cell r="AJ3374"><v>103256577</v></cell></row><row r="3375"><cell r="C3375" t="str"><v>43305Facebook»Developers/ITPros-Azure Direct-Sponsored Post-Link Ad-FreeAcctRetargetingFB-Animated-ChC»1x1»SocialBan»SOC»ALL»CPC»BT»D»UNK»SS»NA»Trials</v></cell><cell r="D3375" t="str"><v>43305224560848</v></cell><cell r="E3375" t="str"><v>43305103259775Trials</v></cell><cell r="F3375" t="str"><v>DCM</v></cell><cell r="G3375" t="str"><v>https://azure.microsoft.com/fr-fr/free/search/</v></cell></row><row r="3375"><cell r="K3375" t="str"><v>July</v></cell><cell r="L3375"><v>43309</v></cell><cell r="M3375" t="str"><v>Tier 1</v></cell><cell r="N3375" t="str"><v>EMEA</v></cell><cell r="O3375" t="str"><v>France</v></cell><cell r="P3375" t="str"><v>Trial</v></cell><cell r="Q3375" t="str"><v>Social</v></cell><cell r="R3375" t="str"><v>Azure</v></cell><cell r="S3375" t="str"><v>Apps & Infra</v></cell><cell r="T3375" t="str"><v>Developers & ITI's</v></cell><cell r="U3375" t="str"><v>Developers/ITPros-Azure Direct-Sponsored Post-Link Ad-FreeAcctRetargetingFB-Animated-ChC</v></cell><cell r="V3375" t="str"><v>Behavioral Targeting</v></cell><cell r="W3375" t="str"><v>Social</v></cell><cell r="X3375" t="str"><v>1x1</v></cell></row><row r="3375"><cell r="AA3375"><v>43305</v></cell><cell r="AB3375" t="str"><v>FRA_gaPMG_AZR_AZR_Q1_19_AzureDirect-Trial-Social</v></cell><cell r="AC3375"><v>21356941</v></cell><cell r="AD3375"><v>720193</v></cell><cell r="AE3375" t="str"><v>Facebook</v></cell><cell r="AF3375"><v>3654128</v></cell><cell r="AG3375" t="str"><v>Facebook»Developers/ITPros-Azure Direct-Sponsored Post-Link Ad-FreeAcctRetargetingFB-Animated-ChC»1x1»SocialBan»SOC»ALL»CPC»BT»D»UNK»SS»NA»Trials</v></cell><cell r="AH3375"><v>224560848</v></cell><cell r="AI3375" t="str"><v>AZR_reeAcctRetargetingFB-Animated-ChC_FRA_1200x628_SOC_AZRDirect_French_NA_Facebook_SBAN_SINU_T3_1</v></cell><cell r="AJ3375"><v>103259775</v></cell></row><row r="3376"><cell r="C3376" t="str"><v>43305Facebook»Developers/ITPros-Azure Direct-Sponsored Post-Link Ad-FreeAcctRetargetingOSSFB-Logos-ChG»1x1»SocialBan»SOC»ALL»CPC»BT»D»UNK»SS»NA»Trials</v></cell><cell r="D3376" t="str"><v>43305224560842</v></cell><cell r="E3376" t="str"><v>43305103259769Trials</v></cell><cell r="F3376" t="str"><v>DCM</v></cell><cell r="G3376" t="str"><v>https://azure.microsoft.com/fr-fr/free/open-source/search/</v></cell></row><row r="3376"><cell r="K3376" t="str"><v>July</v></cell><cell r="L3376"><v>43309</v></cell><cell r="M3376" t="str"><v>Tier 1</v></cell><cell r="N3376" t="str"><v>EMEA</v></cell><cell r="O3376" t="str"><v>France</v></cell><cell r="P3376" t="str"><v>Trial</v></cell><cell r="Q3376" t="str"><v>Social</v></cell><cell r="R3376" t="str"><v>Azure</v></cell><cell r="S3376" t="str"><v>Apps & Infra</v></cell><cell r="T3376" t="str"><v>Developers & ITI's</v></cell><cell r="U3376" t="str"><v>Developers/ITPros-Azure Direct-Sponsored Post-Link Ad-FreeAcctRetargetingOSSFB-Logos-ChG</v></cell><cell r="V3376" t="str"><v>Behavioral Targeting</v></cell><cell r="W3376" t="str"><v>Social</v></cell><cell r="X3376" t="str"><v>1x1</v></cell></row><row r="3376"><cell r="AA3376"><v>43305</v></cell><cell r="AB3376" t="str"><v>FRA_gaPMG_AZR_AZR_Q1_19_AzureDirect-Trial-Social</v></cell><cell r="AC3376"><v>21356941</v></cell><cell r="AD3376"><v>720193</v></cell><cell r="AE3376" t="str"><v>Facebook</v></cell><cell r="AF3376"><v>3654128</v></cell><cell r="AG3376" t="str"><v>Facebook»Developers/ITPros-Azure Direct-Sponsored Post-Link Ad-FreeAcctRetargetingOSSFB-Logos-ChG»1x1»SocialBan»SOC»ALL»CPC»BT»D»UNK»SS»NA»Trials</v></cell><cell r="AH3376"><v>224560842</v></cell><cell r="AI3376" t="str"><v>AZR_FreeAcctRetargetingOSSFB-Logos-ChG_FRA_1200x628_SOC_AZRDirect_French_NA_Facebook_SBAN_SINU_T2_1</v></cell><cell r="AJ3376"><v>103259769</v></cell></row><row r="3377"><cell r="C3377" t="str"><v>43305Facebook»Developers/ITPros-Azure Direct-Sponsored Post-Link Ad-FreeAcctRetargetingVMFB-OnDemand-ChE»1x1»SocialBan»SOC»ALL»CPC»BT»D»UNK»SS»NA»Trials</v></cell><cell r="D3377" t="str"><v>43305224560833</v></cell><cell r="E3377" t="str"><v>43305103376990Trials</v></cell><cell r="F3377" t="str"><v>DCM</v></cell><cell r="G3377" t="str"><v>https://azure.microsoft.com/fr-fr/free/virtual-machines/search/</v></cell></row><row r="3377"><cell r="K3377" t="str"><v>July</v></cell><cell r="L3377"><v>43309</v></cell><cell r="M3377" t="str"><v>Tier 1</v></cell><cell r="N3377" t="str"><v>EMEA</v></cell><cell r="O3377" t="str"><v>France</v></cell><cell r="P3377" t="str"><v>Trial</v></cell><cell r="Q3377" t="str"><v>Social</v></cell><cell r="R3377" t="str"><v>Azure</v></cell><cell r="S3377" t="str"><v>Apps & Infra</v></cell><cell r="T3377" t="str"><v>Developers & ITI's</v></cell><cell r="U3377" t="str"><v>Developers/ITPros-Azure Direct-Sponsored Post-Link Ad-FreeAcctRetargetingVMFB-OnDemand-ChE</v></cell><cell r="V3377" t="str"><v>Behavioral Targeting</v></cell><cell r="W3377" t="str"><v>Social</v></cell><cell r="X3377" t="str"><v>1x1</v></cell></row><row r="3377"><cell r="AA3377"><v>43305</v></cell><cell r="AB3377" t="str"><v>FRA_gaPMG_AZR_AZR_Q1_19_AzureDirect-Trial-Social</v></cell><cell r="AC3377"><v>21356941</v></cell><cell r="AD3377"><v>720193</v></cell><cell r="AE3377" t="str"><v>Facebook</v></cell><cell r="AF3377"><v>3654128</v></cell><cell r="AG3377" t="str"><v>Facebook»Developers/ITPros-Azure Direct-Sponsored Post-Link Ad-FreeAcctRetargetingVMFB-OnDemand-ChE»1x1»SocialBan»SOC»ALL»CPC»BT»D»UNK»SS»NA»Trials</v></cell><cell r="AH3377"><v>224560833</v></cell><cell r="AI3377" t="str"><v>AZR_FreeAcctRetargetingVMFB-OnDemand-ChE_FRA_1200x628_SOC_AZRDirect_French_NA_Facebook_SBAN_SINU_T2_1</v></cell><cell r="AJ3377"><v>103376990</v></cell></row><row r="3378"><cell r="C3378" t="str"><v>43305Facebook»Audience & Interest Targeting»1x1»SocialBan»LIA»DT»CPC»AUT»W»NA»SS»NA»Benefit 2 in Motion</v></cell><cell r="D3378" t="str"><v>43305224334170</v></cell><cell r="E3378" t="str"><v>43305103235146Motion</v></cell><cell r="F3378" t="str"><v>DCM</v></cell><cell r="G3378" t="str"><v>https://signup.azure.com/signup?offer=ms-azr-0044p&appId=102&ref=paidmedia-social-fb&redirectURL=https%3a%2f%2fazure.microsoft.com%2fen-gb%2fget-started%2fwelcome-to-azure%2f&l=en-gb&correlationId=ead86c34-1f10-49dd-a72b-6918462a2cbf</v></cell></row><row r="3378"><cell r="K3378" t="str"><v>July</v></cell><cell r="L3378"><v>43309</v></cell><cell r="M3378" t="str"><v>Tier 1</v></cell><cell r="N3378" t="str"><v>EMEA</v></cell><cell r="O3378" t="str"><v>United Kingdom</v></cell><cell r="P3378" t="str"><v>Trial</v></cell><cell r="Q3378" t="str"><v>Social</v></cell><cell r="R3378" t="str"><v>Azure</v></cell><cell r="S3378" t="str"><v>Apps & Infra</v></cell><cell r="T3378" t="str"><v>Developers & ITI's</v></cell><cell r="U3378" t="str"><v>Audience & Interest Targeting</v></cell><cell r="V3378" t="str"><v>Audience Targeting</v></cell><cell r="W3378" t="str"><v>Link Ad</v></cell><cell r="X3378" t="str"><v>1x1</v></cell></row><row r="3378"><cell r="AA3378"><v>43305</v></cell><cell r="AB3378" t="str"><v>GBR_gaPMG_CE_AZR_Q1_19_Trial-Social</v></cell><cell r="AC3378"><v>21337013</v></cell><cell r="AD3378"><v>720196</v></cell><cell r="AE3378" t="str"><v>Facebook</v></cell><cell r="AF3378"><v>3654128</v></cell><cell r="AG3378" t="str"><v>Facebook»Audience & Interest Targeting»1x1»SocialBan»LIA»DT»CPC»AUT»W»NA»SS»NA»Benefit 2 in Motion</v></cell><cell r="AH3378"><v>224334170</v></cell><cell r="AI3378" t="str"><v>AzurePlatform_FBCTCcanvaspage-StartFreeCTA-Img2_GBR_1080x143 _SOC_Plat_English_NA_Standard_NA_NA_T2_1</v></cell><cell r="AJ3378"><v>103235146</v></cell></row><row r="3379"><cell r="C3379" t="str"><v>43305Facebook»Audience & Interest Targeting»1x1»SocialBan»LIA»DT»CPC»AUT»W»NA»SS»NA»Brand in Motion</v></cell><cell r="D3379" t="str"><v>43305224549481</v></cell><cell r="E3379" t="str"><v>43305103235146Motion</v></cell><cell r="F3379" t="str"><v>DCM</v></cell><cell r="G3379" t="str"><v>https://signup.azure.com/signup?offer=ms-azr-0044p&appId=102&ref=paidmedia-social-fb&redirectURL=https%3a%2f%2fazure.microsoft.com%2fen-gb%2fget-started%2fwelcome-to-azure%2f&l=en-gb&correlationId=ead86c34-1f10-49dd-a72b-6918462a2cbf</v></cell></row><row r="3379"><cell r="K3379" t="str"><v>July</v></cell><cell r="L3379"><v>43309</v></cell><cell r="M3379" t="str"><v>Tier 1</v></cell><cell r="N3379" t="str"><v>EMEA</v></cell><cell r="O3379" t="str"><v>United Kingdom</v></cell><cell r="P3379" t="str"><v>Trial</v></cell><cell r="Q3379" t="str"><v>Social</v></cell><cell r="R3379" t="str"><v>Azure</v></cell><cell r="S3379" t="str"><v>Apps & Infra</v></cell><cell r="T3379" t="str"><v>Developers & ITI's</v></cell><cell r="U3379" t="str"><v>Audience & Interest Targeting</v></cell><cell r="V3379" t="str"><v>Audience Targeting</v></cell><cell r="W3379" t="str"><v>Link Ad</v></cell><cell r="X3379" t="str"><v>1x1</v></cell></row><row r="3379"><cell r="AA3379"><v>43305</v></cell><cell r="AB3379" t="str"><v>GBR_gaPMG_CE_AZR_Q1_19_Trial-Social</v></cell><cell r="AC3379"><v>21337013</v></cell><cell r="AD3379"><v>720196</v></cell><cell r="AE3379" t="str"><v>Facebook</v></cell><cell r="AF3379"><v>3654128</v></cell><cell r="AG3379" t="str"><v>Facebook»Audience & Interest Targeting»1x1»SocialBan»LIA»DT»CPC»AUT»W»NA»SS»NA»Brand in Motion</v></cell><cell r="AH3379"><v>224549481</v></cell><cell r="AI3379" t="str"><v>AzurePlatform_FBCTCcanvaspage-StartFreeCTA-Img2_GBR_1080x143 _SOC_Plat_English_NA_Standard_NA_NA_T2_1</v></cell><cell r="AJ3379"><v>103235146</v></cell></row><row r="3380"><cell r="C3380" t="str"><v>43305Facebook»Audience & Interest Targeting»1x1»SocialBan»LIA»DT»DYN»AUT»W»NA»SS»NA»Free Account Refresh- 12 months ChE</v></cell><cell r="D3380" t="str"><v>43305223567691</v></cell><cell r="E3380" t="str"><v>43305102854007hs ChE</v></cell><cell r="F3380" t="str"><v>DCM</v></cell><cell r="G3380" t="str"><v>https://azure.microsoft.com/en-gb/free/search/</v></cell></row><row r="3380"><cell r="K3380" t="str"><v>July</v></cell><cell r="L3380"><v>43309</v></cell><cell r="M3380" t="str"><v>Tier 1</v></cell><cell r="N3380" t="str"><v>EMEA</v></cell><cell r="O3380" t="str"><v>United Kingdom</v></cell><cell r="P3380" t="str"><v>Trial</v></cell><cell r="Q3380" t="str"><v>Social</v></cell><cell r="R3380" t="str"><v>Azure</v></cell><cell r="S3380" t="str"><v>Apps & Infra</v></cell><cell r="T3380" t="str"><v>Developers & ITI's</v></cell><cell r="U3380" t="str"><v>Audience & Interest Targeting</v></cell><cell r="V3380" t="str"><v>Audience Targeting</v></cell><cell r="W3380" t="str"><v>Link Ad</v></cell><cell r="X3380" t="str"><v>1x1</v></cell></row><row r="3380"><cell r="AA3380"><v>43305</v></cell><cell r="AB3380" t="str"><v>GBR_gaPMG_CE_AZR_Q1_19_Trial-Social</v></cell><cell r="AC3380"><v>21337013</v></cell><cell r="AD3380"><v>720196</v></cell><cell r="AE3380" t="str"><v>Facebook</v></cell><cell r="AF3380"><v>3654128</v></cell><cell r="AG3380" t="str"><v>Facebook»Audience & Interest Targeting»1x1»SocialBan»LIA»DT»DYN»AUT»W»NA»SS»NA»Free Account Refresh- 12 months ChE</v></cell><cell r="AH3380"><v>223567691</v></cell><cell r="AI3380" t="str"><v>AzurePlatform_FreeAcctAppsFACEBOOK12monthsChE_GBR_1200x628_SOC_PLAT_EN_Trial_Standard_NA_SU_T5_1</v></cell><cell r="AJ3380"><v>102854007</v></cell></row><row r="3381"><cell r="C3381" t="str"><v>43305Facebook»Audience & Interest Targeting»1x1»SocialBan»LIA»DT»DYN»AUT»W»NA»SS»NA»Free Account Refresh- 200 Credit ChD</v></cell><cell r="D3381" t="str"><v>43305223560359</v></cell><cell r="E3381" t="str"><v>43305103005662it ChD</v></cell><cell r="F3381" t="str"><v>DCM</v></cell><cell r="G3381" t="str"><v>https://azure.microsoft.com/en-gb/free/search/</v></cell></row><row r="3381"><cell r="K3381" t="str"><v>July</v></cell><cell r="L3381"><v>43309</v></cell><cell r="M3381" t="str"><v>Tier 1</v></cell><cell r="N3381" t="str"><v>EMEA</v></cell><cell r="O3381" t="str"><v>United Kingdom</v></cell><cell r="P3381" t="str"><v>Trial</v></cell><cell r="Q3381" t="str"><v>Social</v></cell><cell r="R3381" t="str"><v>Azure</v></cell><cell r="S3381" t="str"><v>Apps & Infra</v></cell><cell r="T3381" t="str"><v>Developers & ITI's</v></cell><cell r="U3381" t="str"><v>Audience & Interest Targeting</v></cell><cell r="V3381" t="str"><v>Audience Targeting</v></cell><cell r="W3381" t="str"><v>Link Ad</v></cell><cell r="X3381" t="str"><v>1x1</v></cell></row><row r="3381"><cell r="AA3381"><v>43305</v></cell><cell r="AB3381" t="str"><v>GBR_gaPMG_CE_AZR_Q1_19_Trial-Social</v></cell><cell r="AC3381"><v>21337013</v></cell><cell r="AD3381"><v>720196</v></cell><cell r="AE3381" t="str"><v>Facebook</v></cell><cell r="AF3381"><v>3654128</v></cell><cell r="AG3381" t="str"><v>Facebook»Audience & Interest Targeting»1x1»SocialBan»LIA»DT»DYN»AUT»W»NA»SS»NA»Free Account Refresh- 200 Credit ChD</v></cell><cell r="AH3381"><v>223560359</v></cell><cell r="AI3381" t="str"><v>AzurePlatform_FreeAcctAppsFACEBOOK200CreditChD_GBR_1200x628_SOC_PLAT_EN_Trial_Standard_NA_SU_T4_1</v></cell><cell r="AJ3381"><v>103005662</v></cell></row><row r="3382"><cell r="C3382" t="str"><v>43305Facebook»Audience & Interest Targeting»1x1»SocialBan»LIA»DT»DYN»AUT»W»NA»SS»NA»Free Account Refresh- Device ChB</v></cell><cell r="D3382" t="str"><v>43305223560353</v></cell><cell r="E3382" t="str"><v>43305102854010ce ChB</v></cell><cell r="F3382" t="str"><v>DCM</v></cell><cell r="G3382" t="str"><v>https://azure.microsoft.com/en-gb/free/search/</v></cell></row><row r="3382"><cell r="K3382" t="str"><v>July</v></cell><cell r="L3382"><v>43309</v></cell><cell r="M3382" t="str"><v>Tier 1</v></cell><cell r="N3382" t="str"><v>EMEA</v></cell><cell r="O3382" t="str"><v>United Kingdom</v></cell><cell r="P3382" t="str"><v>Trial</v></cell><cell r="Q3382" t="str"><v>Social</v></cell><cell r="R3382" t="str"><v>Azure</v></cell><cell r="S3382" t="str"><v>Apps & Infra</v></cell><cell r="T3382" t="str"><v>Developers & ITI's</v></cell><cell r="U3382" t="str"><v>Audience & Interest Targeting</v></cell><cell r="V3382" t="str"><v>Audience Targeting</v></cell><cell r="W3382" t="str"><v>Link Ad</v></cell><cell r="X3382" t="str"><v>1x1</v></cell></row><row r="3382"><cell r="AA3382"><v>43305</v></cell><cell r="AB3382" t="str"><v>GBR_gaPMG_CE_AZR_Q1_19_Trial-Social</v></cell><cell r="AC3382"><v>21337013</v></cell><cell r="AD3382"><v>720196</v></cell><cell r="AE3382" t="str"><v>Facebook</v></cell><cell r="AF3382"><v>3654128</v></cell><cell r="AG3382" t="str"><v>Facebook»Audience & Interest Targeting»1x1»SocialBan»LIA»DT»DYN»AUT»W»NA»SS»NA»Free Account Refresh- Device ChB</v></cell><cell r="AH3382"><v>223560353</v></cell><cell r="AI3382" t="str"><v>AzurePlatform_FreeAcctAppsFACEBOOKDeviceChB_GBR_1200x628_SOC_PLAT_EN_Trial_Standard_NA_SU_T2_1</v></cell><cell r="AJ3382"><v>102854010</v></cell></row><row r="3383"><cell r="C3383" t="str"><v>43305Facebook»Audience & Interest Targeting»1x1»SocialBan»LIA»DT»DYN»AUT»W»NA»SS»NA»Free Account Refresh- Illustration ChC</v></cell><cell r="D3383" t="str"><v>43305223560347</v></cell><cell r="E3383" t="str"><v>43305102857037on ChC</v></cell><cell r="F3383" t="str"><v>DCM</v></cell><cell r="G3383" t="str"><v>https://azure.microsoft.com/en-gb/free/search/</v></cell></row><row r="3383"><cell r="K3383" t="str"><v>July</v></cell><cell r="L3383"><v>43309</v></cell><cell r="M3383" t="str"><v>Tier 1</v></cell><cell r="N3383" t="str"><v>EMEA</v></cell><cell r="O3383" t="str"><v>United Kingdom</v></cell><cell r="P3383" t="str"><v>Trial</v></cell><cell r="Q3383" t="str"><v>Social</v></cell><cell r="R3383" t="str"><v>Azure</v></cell><cell r="S3383" t="str"><v>Apps & Infra</v></cell><cell r="T3383" t="str"><v>Developers & ITI's</v></cell><cell r="U3383" t="str"><v>Audience & Interest Targeting</v></cell><cell r="V3383" t="str"><v>Audience Targeting</v></cell><cell r="W3383" t="str"><v>Link Ad</v></cell><cell r="X3383" t="str"><v>1x1</v></cell></row><row r="3383"><cell r="AA3383"><v>43305</v></cell><cell r="AB3383" t="str"><v>GBR_gaPMG_CE_AZR_Q1_19_Trial-Social</v></cell><cell r="AC3383"><v>21337013</v></cell><cell r="AD3383"><v>720196</v></cell><cell r="AE3383" t="str"><v>Facebook</v></cell><cell r="AF3383"><v>3654128</v></cell><cell r="AG3383" t="str"><v>Facebook»Audience & Interest Targeting»1x1»SocialBan»LIA»DT»DYN»AUT»W»NA»SS»NA»Free Account Refresh- Illustration ChC</v></cell><cell r="AH3383"><v>223560347</v></cell><cell r="AI3383" t="str"><v>AzurePlatform_FreeAcctAppsFACEBOOKIllustrationChC_GBR_1200x628_SOC_PLAT_EN_Trial_Standard_NA_SU_T3_1</v></cell><cell r="AJ3383"><v>102857037</v></cell></row><row r="3384"><cell r="C3384" t="str"><v>43305Facebook»Audience & Interest Targeting»1x1»SocialBan»LIA»DT»DYN»AUT»W»NA»SS»NA»Free Account Refresh- Lifestyle ChA</v></cell><cell r="D3384" t="str"><v>43305223560341</v></cell><cell r="E3384" t="str"><v>43305102853597le ChA</v></cell><cell r="F3384" t="str"><v>DCM</v></cell><cell r="G3384" t="str"><v>https://azure.microsoft.com/en-gb/free/search/</v></cell></row><row r="3384"><cell r="K3384" t="str"><v>July</v></cell><cell r="L3384"><v>43309</v></cell><cell r="M3384" t="str"><v>Tier 1</v></cell><cell r="N3384" t="str"><v>EMEA</v></cell><cell r="O3384" t="str"><v>United Kingdom</v></cell><cell r="P3384" t="str"><v>Trial</v></cell><cell r="Q3384" t="str"><v>Social</v></cell><cell r="R3384" t="str"><v>Azure</v></cell><cell r="S3384" t="str"><v>Apps & Infra</v></cell><cell r="T3384" t="str"><v>Developers & ITI's</v></cell><cell r="U3384" t="str"><v>Audience & Interest Targeting</v></cell><cell r="V3384" t="str"><v>Audience Targeting</v></cell><cell r="W3384" t="str"><v>Link Ad</v></cell><cell r="X3384" t="str"><v>1x1</v></cell></row><row r="3384"><cell r="AA3384"><v>43305</v></cell><cell r="AB3384" t="str"><v>GBR_gaPMG_CE_AZR_Q1_19_Trial-Social</v></cell><cell r="AC3384"><v>21337013</v></cell><cell r="AD3384"><v>720196</v></cell><cell r="AE3384" t="str"><v>Facebook</v></cell><cell r="AF3384"><v>3654128</v></cell><cell r="AG3384" t="str"><v>Facebook»Audience & Interest Targeting»1x1»SocialBan»LIA»DT»DYN»AUT»W»NA»SS»NA»Free Account Refresh- Lifestyle ChA</v></cell><cell r="AH3384"><v>223560341</v></cell><cell r="AI3384" t="str"><v>AzurePlatform_FreeAcctAppsFACEBOOKLifestyleChA_GBR_1200x628_SOC_PLAT_EN_Trial_Standard_NA_SU_T1_1</v></cell><cell r="AJ3384"><v>102853597</v></cell></row><row r="3385"><cell r="C3385" t="str"><v>43305Facebook»Retargeting»1x1»SocialBan»LIA»DT»DYN»RT»W»NA»SS»NA»Free Account Retargeting Generic- Animated ChC</v></cell><cell r="D3385" t="str"><v>43305223560299</v></cell><cell r="E3385" t="str"><v>43305102854019ed ChC</v></cell><cell r="F3385" t="str"><v>DCM</v></cell><cell r="G3385" t="str"><v>https://azure.microsoft.com/en-gb/free/search/</v></cell></row><row r="3385"><cell r="K3385" t="str"><v>July</v></cell><cell r="L3385"><v>43309</v></cell><cell r="M3385" t="str"><v>Tier 1</v></cell><cell r="N3385" t="str"><v>EMEA</v></cell><cell r="O3385" t="str"><v>United Kingdom</v></cell><cell r="P3385" t="str"><v>Trial</v></cell><cell r="Q3385" t="str"><v>Social</v></cell><cell r="R3385" t="str"><v>Azure</v></cell><cell r="S3385" t="str"><v>Apps & Infra</v></cell><cell r="T3385" t="str"><v>Developers & ITI's</v></cell><cell r="U3385" t="str"><v>Retargeting</v></cell><cell r="V3385" t="str"><v>Retargeting</v></cell><cell r="W3385" t="str"><v>Link Ad</v></cell><cell r="X3385" t="str"><v>1x1</v></cell></row><row r="3385"><cell r="AA3385"><v>43305</v></cell><cell r="AB3385" t="str"><v>GBR_gaPMG_CE_AZR_Q1_19_Trial-Social</v></cell><cell r="AC3385"><v>21337013</v></cell><cell r="AD3385"><v>720196</v></cell><cell r="AE3385" t="str"><v>Facebook</v></cell><cell r="AF3385"><v>3654128</v></cell><cell r="AG3385" t="str"><v>Facebook»Retargeting»1x1»SocialBan»LIA»DT»DYN»RT»W»NA»SS»NA»Free Account Retargeting Generic- Animated ChC</v></cell><cell r="AH3385"><v>223560299</v></cell><cell r="AI3385" t="str"><v>AzurePlatform_FreeAcctRetargetingFB-Animated-ChC_GBR_1200x628_SOC_Plat_EN_Free Account_Standard_ANI_SU_T3_1</v></cell><cell r="AJ3385"><v>102854019</v></cell></row><row r="3386"><cell r="C3386" t="str"><v>43305Facebook»Retargeting»1x1»SocialBan»LIA»DT»DYN»RT»W»NA»SS»NA»Free Account Retargeting Generic- Global Alt ChB</v></cell><cell r="D3386" t="str"><v>43305223560356</v></cell><cell r="E3386" t="str"><v>43305102854016lt ChB</v></cell><cell r="F3386" t="str"><v>DCM</v></cell><cell r="G3386" t="str"><v>https://azure.microsoft.com/en-gb/free/search/</v></cell></row><row r="3386"><cell r="K3386" t="str"><v>July</v></cell><cell r="L3386"><v>43309</v></cell><cell r="M3386" t="str"><v>Tier 1</v></cell><cell r="N3386" t="str"><v>EMEA</v></cell><cell r="O3386" t="str"><v>United Kingdom</v></cell><cell r="P3386" t="str"><v>Trial</v></cell><cell r="Q3386" t="str"><v>Social</v></cell><cell r="R3386" t="str"><v>Azure</v></cell><cell r="S3386" t="str"><v>Apps & Infra</v></cell><cell r="T3386" t="str"><v>Developers & ITI's</v></cell><cell r="U3386" t="str"><v>Retargeting</v></cell><cell r="V3386" t="str"><v>Retargeting</v></cell><cell r="W3386" t="str"><v>Link Ad</v></cell><cell r="X3386" t="str"><v>1x1</v></cell></row><row r="3386"><cell r="AA3386"><v>43305</v></cell><cell r="AB3386" t="str"><v>GBR_gaPMG_CE_AZR_Q1_19_Trial-Social</v></cell><cell r="AC3386"><v>21337013</v></cell><cell r="AD3386"><v>720196</v></cell><cell r="AE3386" t="str"><v>Facebook</v></cell><cell r="AF3386"><v>3654128</v></cell><cell r="AG3386" t="str"><v>Facebook»Retargeting»1x1»SocialBan»LIA»DT»DYN»RT»W»NA»SS»NA»Free Account Retargeting Generic- Global Alt ChB</v></cell><cell r="AH3386"><v>223560356</v></cell><cell r="AI3386" t="str"><v>AzurePlatform_FreeAcctRetargetingFB-GlobalAlt-ChB_GBR_1200x628_SOC_Plat_EN_Free Account_Standard_NA_SU_T2_1</v></cell><cell r="AJ3386"><v>102854016</v></cell></row><row r="3387"><cell r="C3387" t="str"><v>43305Facebook»Retargeting»1x1»SocialBan»LIA»DT»DYN»RT»W»NA»SS»NA»Free Account Retargeting OSS- Logos ChG</v></cell><cell r="D3387" t="str"><v>43305223560350</v></cell><cell r="E3387" t="str"><v>43305103006547os ChG</v></cell><cell r="F3387" t="str"><v>DCM</v></cell><cell r="G3387" t="str"><v>https://azure.microsoft.com/en-gb/free/open-source/search/</v></cell></row><row r="3387"><cell r="K3387" t="str"><v>July</v></cell><cell r="L3387"><v>43309</v></cell><cell r="M3387" t="str"><v>Tier 1</v></cell><cell r="N3387" t="str"><v>EMEA</v></cell><cell r="O3387" t="str"><v>United Kingdom</v></cell><cell r="P3387" t="str"><v>Trial</v></cell><cell r="Q3387" t="str"><v>Social</v></cell><cell r="R3387" t="str"><v>Azure</v></cell><cell r="S3387" t="str"><v>Apps & Infra</v></cell><cell r="T3387" t="str"><v>Developers & ITI's</v></cell><cell r="U3387" t="str"><v>Retargeting</v></cell><cell r="V3387" t="str"><v>Retargeting</v></cell><cell r="W3387" t="str"><v>Link Ad</v></cell><cell r="X3387" t="str"><v>1x1</v></cell></row><row r="3387"><cell r="AA3387"><v>43305</v></cell><cell r="AB3387" t="str"><v>GBR_gaPMG_CE_AZR_Q1_19_Trial-Social</v></cell><cell r="AC3387"><v>21337013</v></cell><cell r="AD3387"><v>720196</v></cell><cell r="AE3387" t="str"><v>Facebook</v></cell><cell r="AF3387"><v>3654128</v></cell><cell r="AG3387" t="str"><v>Facebook»Retargeting»1x1»SocialBan»LIA»DT»DYN»RT»W»NA»SS»NA»Free Account Retargeting OSS- Logos ChG</v></cell><cell r="AH3387"><v>223560350</v></cell><cell r="AI3387" t="str"><v>AzurePlatform_FreeAcctRetargetingOSSFB-Logos-ChG_GBR_1200x628_SOC_Plat_EN_Free Account_Standard_NA_SU_T2_1</v></cell><cell r="AJ3387"><v>103006547</v></cell></row><row r="3388"><cell r="C3388" t="str"><v>43305Facebook»Retargeting»1x1»SocialBan»LIA»DT»DYN»RT»W»NA»SS»NA»Free Account Retargeting OSS- Text ChF</v></cell><cell r="D3388" t="str"><v>43305223560344</v></cell><cell r="E3388" t="str"><v>43305102861246xt ChF</v></cell><cell r="F3388" t="str"><v>DCM</v></cell><cell r="G3388" t="str"><v>https://azure.microsoft.com/en-gb/free/open-source/search/</v></cell></row><row r="3388"><cell r="K3388" t="str"><v>July</v></cell><cell r="L3388"><v>43309</v></cell><cell r="M3388" t="str"><v>Tier 1</v></cell><cell r="N3388" t="str"><v>EMEA</v></cell><cell r="O3388" t="str"><v>United Kingdom</v></cell><cell r="P3388" t="str"><v>Trial</v></cell><cell r="Q3388" t="str"><v>Social</v></cell><cell r="R3388" t="str"><v>Azure</v></cell><cell r="S3388" t="str"><v>Apps & Infra</v></cell><cell r="T3388" t="str"><v>Developers & ITI's</v></cell><cell r="U3388" t="str"><v>Retargeting</v></cell><cell r="V3388" t="str"><v>Retargeting</v></cell><cell r="W3388" t="str"><v>Link Ad</v></cell><cell r="X3388" t="str"><v>1x1</v></cell></row><row r="3388"><cell r="AA3388"><v>43305</v></cell><cell r="AB3388" t="str"><v>GBR_gaPMG_CE_AZR_Q1_19_Trial-Social</v></cell><cell r="AC3388"><v>21337013</v></cell><cell r="AD3388"><v>720196</v></cell><cell r="AE3388" t="str"><v>Facebook</v></cell><cell r="AF3388"><v>3654128</v></cell><cell r="AG3388" t="str"><v>Facebook»Retargeting»1x1»SocialBan»LIA»DT»DYN»RT»W»NA»SS»NA»Free Account Retargeting OSS- Text ChF</v></cell><cell r="AH3388"><v>223560344</v></cell><cell r="AI3388" t="str"><v>AzurePlatform_FreeAcctRetargetingOSSFB-Text-ChF_GBR_1200x628_SOC_Plat_EN_Free Account_Standard_NA_SU_T1_1</v></cell><cell r="AJ3388"><v>102861246</v></cell></row><row r="3389"><cell r="C3389" t="str"><v>43305Facebook»Retargeting»1x1»SocialBan»LIA»DT»DYN»RT»W»NA»SS»NA»Free Account Retargeting VM- 750 Hrs ChD</v></cell><cell r="D3389" t="str"><v>43305223560338</v></cell><cell r="E3389" t="str"><v>43305102853603rs ChD</v></cell><cell r="F3389" t="str"><v>DCM</v></cell><cell r="G3389" t="str"><v>https://azure.microsoft.com/en-gb/free/virtual-machines/search/</v></cell></row><row r="3389"><cell r="K3389" t="str"><v>July</v></cell><cell r="L3389"><v>43309</v></cell><cell r="M3389" t="str"><v>Tier 1</v></cell><cell r="N3389" t="str"><v>EMEA</v></cell><cell r="O3389" t="str"><v>United Kingdom</v></cell><cell r="P3389" t="str"><v>Trial</v></cell><cell r="Q3389" t="str"><v>Social</v></cell><cell r="R3389" t="str"><v>Azure</v></cell><cell r="S3389" t="str"><v>Apps & Infra</v></cell><cell r="T3389" t="str"><v>Developers & ITI's</v></cell><cell r="U3389" t="str"><v>Retargeting</v></cell><cell r="V3389" t="str"><v>Retargeting</v></cell><cell r="W3389" t="str"><v>Link Ad</v></cell><cell r="X3389" t="str"><v>1x1</v></cell></row><row r="3389"><cell r="AA3389"><v>43305</v></cell><cell r="AB3389" t="str"><v>GBR_gaPMG_CE_AZR_Q1_19_Trial-Social</v></cell><cell r="AC3389"><v>21337013</v></cell><cell r="AD3389"><v>720196</v></cell><cell r="AE3389" t="str"><v>Facebook</v></cell><cell r="AF3389"><v>3654128</v></cell><cell r="AG3389" t="str"><v>Facebook»Retargeting»1x1»SocialBan»LIA»DT»DYN»RT»W»NA»SS»NA»Free Account Retargeting VM- 750 Hrs ChD</v></cell><cell r="AH3389"><v>223560338</v></cell><cell r="AI3389" t="str"><v>AzurePlatform_FreeAcctRetargetingVMFB-750Hrs-ChD_GBR_1200x628_SOC_Plat_EN_Free Account_Standard_NA_SU_T1_1</v></cell><cell r="AJ3389"><v>102853603</v></cell></row><row r="3390"><cell r="C3390" t="str"><v>43305Facebook»Retargeting»1x1»SocialBan»LIA»DT»DYN»RT»W»NA»SS»NA»Free Account Retargeting VM- On Demand ChE</v></cell><cell r="D3390" t="str"><v>43305223560332</v></cell><cell r="E3390" t="str"><v>43305102854037nd ChE</v></cell><cell r="F3390" t="str"><v>DCM</v></cell><cell r="G3390" t="str"><v>https://azure.microsoft.com/en-gb/free/virtual-machines/search/</v></cell></row><row r="3390"><cell r="K3390" t="str"><v>July</v></cell><cell r="L3390"><v>43309</v></cell><cell r="M3390" t="str"><v>Tier 1</v></cell><cell r="N3390" t="str"><v>EMEA</v></cell><cell r="O3390" t="str"><v>United Kingdom</v></cell><cell r="P3390" t="str"><v>Trial</v></cell><cell r="Q3390" t="str"><v>Social</v></cell><cell r="R3390" t="str"><v>Azure</v></cell><cell r="S3390" t="str"><v>Apps & Infra</v></cell><cell r="T3390" t="str"><v>Developers & ITI's</v></cell><cell r="U3390" t="str"><v>Retargeting</v></cell><cell r="V3390" t="str"><v>Retargeting</v></cell><cell r="W3390" t="str"><v>Link Ad</v></cell><cell r="X3390" t="str"><v>1x1</v></cell></row><row r="3390"><cell r="AA3390"><v>43305</v></cell><cell r="AB3390" t="str"><v>GBR_gaPMG_CE_AZR_Q1_19_Trial-Social</v></cell><cell r="AC3390"><v>21337013</v></cell><cell r="AD3390"><v>720196</v></cell><cell r="AE3390" t="str"><v>Facebook</v></cell><cell r="AF3390"><v>3654128</v></cell><cell r="AG3390" t="str"><v>Facebook»Retargeting»1x1»SocialBan»LIA»DT»DYN»RT»W»NA»SS»NA»Free Account Retargeting VM- On Demand ChE</v></cell><cell r="AH3390"><v>223560332</v></cell><cell r="AI3390" t="str"><v>AzurePlatform_FreeAcctRetargetingVMFB-OnDemand-ChE_GBR_1200x628_SOC_Plat_EN_Free Account_Standard_NA_SU_T2_1</v></cell><cell r="AJ3390"><v>102854037</v></cell></row><row r="3391"><cell r="C3391" t="str"><v>43305Facebook»AZP-Canvas-Interest&Role-Trial»1x1»Canvas»OTH»MO»CPM»PRO»X»UNK»TP»OT»Canvas-Trial</v></cell><cell r="D3391" t="str"><v>43305223298805</v></cell><cell r="E3391" t="str"><v>43305102630373-Trial</v></cell><cell r="F3391" t="str"><v>DCM</v></cell><cell r="G3391" t="str"><v>https://azure.microsoft.com/ja-jp/pricing/purchase-options/</v></cell></row><row r="3391"><cell r="K3391" t="str"><v>July</v></cell><cell r="L3391"><v>43309</v></cell><cell r="M3391" t="str"><v>Tier 1</v></cell><cell r="N3391" t="str"><v>APAC</v></cell><cell r="O3391" t="str"><v>Japan</v></cell><cell r="P3391" t="str"><v>Trial</v></cell><cell r="Q3391" t="str"><v>Social</v></cell><cell r="R3391" t="str"><v>Azure</v></cell><cell r="S3391" t="str"><v>Apps & Infra</v></cell><cell r="T3391" t="str"><v>Developers & ITI's</v></cell><cell r="U3391" t="str"><v>AZP-Canvas-Interest&Role-Trial</v></cell><cell r="V3391" t="str"><v>Prospecting</v></cell><cell r="W3391" t="str"><v>Other</v></cell><cell r="X3391" t="str"><v>1x1</v></cell></row><row r="3391"><cell r="AA3391"><v>43305</v></cell><cell r="AB3391" t="str"><v>JPN_gaPMG_AZR_AZR_Q1_19_Trial-Social</v></cell><cell r="AC3391"><v>21276694</v></cell><cell r="AD3391"><v>720195</v></cell><cell r="AE3391" t="str"><v>Facebook</v></cell><cell r="AF3391"><v>3654128</v></cell><cell r="AG3391" t="str"><v>Facebook»AZP-Canvas-Interest&Role-Trial»1x1»Canvas»OTH»MO»CPM»PRO»X»UNK»TP»OT»Canvas-Trial</v></cell><cell r="AH3391"><v>223298805</v></cell><cell r="AI3391" t="str"><v>AzurePlatform_FBCTCcanvaspage-BuyNowCTA-Img3_JPN_1080x162_SOC_Plat_Japanese_NA_Standard_NA_BN_T3_1</v></cell><cell r="AJ3391"><v>102630373</v></cell></row><row r="3392"><cell r="C3392" t="str"><v>43305Facebook»AZP-Canvas-Interest&Role-Trial»1x1»Canvas»OTH»MO»CPM»PRO»X»UNK»TP»OT»Canvas-Trial</v></cell><cell r="D3392" t="str"><v>43305223298805</v></cell><cell r="E3392" t="str"><v>43305102609621-Trial</v></cell><cell r="F3392" t="str"><v>DCM</v></cell><cell r="G3392" t="str"><v>https://signup.azure.com/signup?offer=ms-azr-0044p&appId=102&ref=paidmedia-social-fb&redirectURL=https%3a%2f%2fazure.microsoft.com%2fja-jp%2fget-started%2fwelcome-to-azure%2f&l=ja-jp&correlationId=ead86c34-1f10-49dd-a72b-6918462a2cbf</v></cell></row><row r="3392"><cell r="K3392" t="str"><v>July</v></cell><cell r="L3392"><v>43309</v></cell><cell r="M3392" t="str"><v>Tier 1</v></cell><cell r="N3392" t="str"><v>APAC</v></cell><cell r="O3392" t="str"><v>Japan</v></cell><cell r="P3392" t="str"><v>Trial</v></cell><cell r="Q3392" t="str"><v>Social</v></cell><cell r="R3392" t="str"><v>Azure</v></cell><cell r="S3392" t="str"><v>Apps & Infra</v></cell><cell r="T3392" t="str"><v>Developers & ITI's</v></cell><cell r="U3392" t="str"><v>AZP-Canvas-Interest&Role-Trial</v></cell><cell r="V3392" t="str"><v>Prospecting</v></cell><cell r="W3392" t="str"><v>Other</v></cell><cell r="X3392" t="str"><v>1x1</v></cell></row><row r="3392"><cell r="AA3392"><v>43305</v></cell><cell r="AB3392" t="str"><v>JPN_gaPMG_AZR_AZR_Q1_19_Trial-Social</v></cell><cell r="AC3392"><v>21276694</v></cell><cell r="AD3392"><v>720195</v></cell><cell r="AE3392" t="str"><v>Facebook</v></cell><cell r="AF3392"><v>3654128</v></cell><cell r="AG3392" t="str"><v>Facebook»AZP-Canvas-Interest&Role-Trial»1x1»Canvas»OTH»MO»CPM»PRO»X»UNK»TP»OT»Canvas-Trial</v></cell><cell r="AH3392"><v>223298805</v></cell><cell r="AI3392" t="str"><v>AzurePlatform_FBCTCcanvaspage-StartFreeCTA-Img2_JPN_1080x143 _SOC_Plat_Japanese_NA_Standard_NA_NA_T2_1</v></cell><cell r="AJ3392"><v>102609621</v></cell></row><row r="3393"><cell r="C3393" t="str"><v>43305Facebook»AZP-Canvas-Look a Like-Trial»1x1»Canvas»OTH»MO»CPM»PRO»X»UNK»TP»OT»Canvas-Trial</v></cell><cell r="D3393" t="str"><v>43305223297413</v></cell><cell r="E3393" t="str"><v>43305102609621-Trial</v></cell><cell r="F3393" t="str"><v>DCM</v></cell><cell r="G3393" t="str"><v>https://signup.azure.com/signup?offer=ms-azr-0044p&appId=102&ref=paidmedia-social-fb&redirectURL=https%3a%2f%2fazure.microsoft.com%2fja-jp%2fget-started%2fwelcome-to-azure%2f&l=ja-jp&correlationId=ead86c34-1f10-49dd-a72b-6918462a2cbf</v></cell></row><row r="3393"><cell r="K3393" t="str"><v>July</v></cell><cell r="L3393"><v>43309</v></cell><cell r="M3393" t="str"><v>Tier 1</v></cell><cell r="N3393" t="str"><v>APAC</v></cell><cell r="O3393" t="str"><v>Japan</v></cell><cell r="P3393" t="str"><v>Trial</v></cell><cell r="Q3393" t="str"><v>Social</v></cell><cell r="R3393" t="str"><v>Azure</v></cell><cell r="S3393" t="str"><v>Apps & Infra</v></cell><cell r="T3393" t="str"><v>Developers & ITI's</v></cell><cell r="U3393" t="str"><v>AZP-Canvas-Look a Like-Trial</v></cell><cell r="V3393" t="str"><v>Prospecting</v></cell><cell r="W3393" t="str"><v>Other</v></cell><cell r="X3393" t="str"><v>1x1</v></cell></row><row r="3393"><cell r="AA3393"><v>43305</v></cell><cell r="AB3393" t="str"><v>JPN_gaPMG_AZR_AZR_Q1_19_Trial-Social</v></cell><cell r="AC3393"><v>21276694</v></cell><cell r="AD3393"><v>720195</v></cell><cell r="AE3393" t="str"><v>Facebook</v></cell><cell r="AF3393"><v>3654128</v></cell><cell r="AG3393" t="str"><v>Facebook»AZP-Canvas-Look a Like-Trial»1x1»Canvas»OTH»MO»CPM»PRO»X»UNK»TP»OT»Canvas-Trial</v></cell><cell r="AH3393"><v>223297413</v></cell><cell r="AI3393" t="str"><v>AzurePlatform_FBCTCcanvaspage-StartFreeCTA-Img2_JPN_1080x143 _SOC_Plat_Japanese_NA_Standard_NA_NA_T2_1</v></cell><cell r="AJ3393"><v>102609621</v></cell></row><row r="3394"><cell r="C3394" t="str"><v>43305Facebook»AZP-Retargeting»1x1»Ban»LIA»ALL»CPM»RT»X»All»TP»OT»Free Account Retargeting OSS-ChF</v></cell><cell r="D3394" t="str"><v>43305223726368</v></cell><cell r="E3394" t="str"><v>43305102974750SS-ChF</v></cell><cell r="F3394" t="str"><v>DCM</v></cell><cell r="G3394" t="str"><v>https://azure.microsoft.com/ja-jp/free/open-source/search/</v></cell></row><row r="3394"><cell r="K3394" t="str"><v>July</v></cell><cell r="L3394"><v>43309</v></cell><cell r="M3394" t="str"><v>Tier 1</v></cell><cell r="N3394" t="str"><v>APAC</v></cell><cell r="O3394" t="str"><v>Japan</v></cell><cell r="P3394" t="str"><v>Trial</v></cell><cell r="Q3394" t="str"><v>Social</v></cell><cell r="R3394" t="str"><v>Azure</v></cell><cell r="S3394" t="str"><v>Apps & Infra</v></cell><cell r="T3394" t="str"><v>Developers & ITI's</v></cell><cell r="U3394" t="str"><v>AZP-Retargeting</v></cell><cell r="V3394" t="str"><v>Retargeting</v></cell><cell r="W3394" t="str"><v>Link Ad</v></cell><cell r="X3394" t="str"><v>1x1</v></cell></row><row r="3394"><cell r="AA3394"><v>43305</v></cell><cell r="AB3394" t="str"><v>JPN_gaPMG_AZR_AZR_Q1_19_Trial-Social</v></cell><cell r="AC3394"><v>21276694</v></cell><cell r="AD3394"><v>720195</v></cell><cell r="AE3394" t="str"><v>Facebook</v></cell><cell r="AF3394"><v>3654128</v></cell><cell r="AG3394" t="str"><v>Facebook»AZP-Retargeting»1x1»Ban»LIA»ALL»CPM»RT»X»All»TP»OT»Free Account Retargeting OSS-ChF</v></cell><cell r="AH3394"><v>223726368</v></cell><cell r="AI3394" t="str"><v>AzurePlatform_FreeAcctRetargetingOSSFB-Text-ChF_JPN_1200x628_SOC_Plat_JA_Free Account_Standard_NA_SU_T1_1</v></cell><cell r="AJ3394"><v>102974750</v></cell></row><row r="3395"><cell r="C3395" t="str"><v>43305Facebook»AZP-Retargeting»1x1»Ban»LIA»ALL»CPM»RT»X»All»TP»OT»Free Account Retargeting OSS-ChG</v></cell><cell r="D3395" t="str"><v>43305223726365</v></cell><cell r="E3395" t="str"><v>43305102976850SS-ChG</v></cell><cell r="F3395" t="str"><v>DCM</v></cell><cell r="G3395" t="str"><v>https://azure.microsoft.com/ja-jp/free/open-source/search/</v></cell></row><row r="3395"><cell r="K3395" t="str"><v>July</v></cell><cell r="L3395"><v>43309</v></cell><cell r="M3395" t="str"><v>Tier 1</v></cell><cell r="N3395" t="str"><v>APAC</v></cell><cell r="O3395" t="str"><v>Japan</v></cell><cell r="P3395" t="str"><v>Trial</v></cell><cell r="Q3395" t="str"><v>Social</v></cell><cell r="R3395" t="str"><v>Azure</v></cell><cell r="S3395" t="str"><v>Apps & Infra</v></cell><cell r="T3395" t="str"><v>Developers & ITI's</v></cell><cell r="U3395" t="str"><v>AZP-Retargeting</v></cell><cell r="V3395" t="str"><v>Retargeting</v></cell><cell r="W3395" t="str"><v>Link Ad</v></cell><cell r="X3395" t="str"><v>1x1</v></cell></row><row r="3395"><cell r="AA3395"><v>43305</v></cell><cell r="AB3395" t="str"><v>JPN_gaPMG_AZR_AZR_Q1_19_Trial-Social</v></cell><cell r="AC3395"><v>21276694</v></cell><cell r="AD3395"><v>720195</v></cell><cell r="AE3395" t="str"><v>Facebook</v></cell><cell r="AF3395"><v>3654128</v></cell><cell r="AG3395" t="str"><v>Facebook»AZP-Retargeting»1x1»Ban»LIA»ALL»CPM»RT»X»All»TP»OT»Free Account Retargeting OSS-ChG</v></cell><cell r="AH3395"><v>223726365</v></cell><cell r="AI3395" t="str"><v>AzurePlatform_FreeAcctRetargetingOSSFB-Logos-ChG_JPN_1200x628_SOC_Plat_JA_Free Account_Standard_NA_SU_T2_1</v></cell><cell r="AJ3395"><v>102976850</v></cell></row><row r="3396"><cell r="C3396" t="str"><v>43305Facebook»AZP-Retargeting»1x1»Ban»LIA»ALL»CPM»RT»X»All»TP»OT»Free Account Retargeting VM-ChD</v></cell><cell r="D3396" t="str"><v>43305223726374</v></cell><cell r="E3396" t="str"><v>43305102971306VM-ChD</v></cell><cell r="F3396" t="str"><v>DCM</v></cell><cell r="G3396" t="str"><v>https://azure.microsoft.com/ja-jp/free/virtual-machines/search/</v></cell></row><row r="3396"><cell r="K3396" t="str"><v>July</v></cell><cell r="L3396"><v>43309</v></cell><cell r="M3396" t="str"><v>Tier 1</v></cell><cell r="N3396" t="str"><v>APAC</v></cell><cell r="O3396" t="str"><v>Japan</v></cell><cell r="P3396" t="str"><v>Trial</v></cell><cell r="Q3396" t="str"><v>Social</v></cell><cell r="R3396" t="str"><v>Azure</v></cell><cell r="S3396" t="str"><v>Apps & Infra</v></cell><cell r="T3396" t="str"><v>Developers & ITI's</v></cell><cell r="U3396" t="str"><v>AZP-Retargeting</v></cell><cell r="V3396" t="str"><v>Retargeting</v></cell><cell r="W3396" t="str"><v>Link Ad</v></cell><cell r="X3396" t="str"><v>1x1</v></cell></row><row r="3396"><cell r="AA3396"><v>43305</v></cell><cell r="AB3396" t="str"><v>JPN_gaPMG_AZR_AZR_Q1_19_Trial-Social</v></cell><cell r="AC3396"><v>21276694</v></cell><cell r="AD3396"><v>720195</v></cell><cell r="AE3396" t="str"><v>Facebook</v></cell><cell r="AF3396"><v>3654128</v></cell><cell r="AG3396" t="str"><v>Facebook»AZP-Retargeting»1x1»Ban»LIA»ALL»CPM»RT»X»All»TP»OT»Free Account Retargeting VM-ChD</v></cell><cell r="AH3396"><v>223726374</v></cell><cell r="AI3396" t="str"><v>AzurePlatform_FreeAcctRetargetingVMFB-750Hrs-ChD_JPN_1200x628_SOC_Plat_JA_Free Account_Standard_NA_SU_T1_1</v></cell><cell r="AJ3396"><v>102971306</v></cell></row><row r="3397"><cell r="C3397" t="str"><v>43305Facebook»AZP-Retargeting»1x1»Canvas»OTH»MO»CPM»RT»W»UNK»TP»OT»Trial-Basicmotion</v></cell><cell r="D3397" t="str"><v>43305223298811</v></cell><cell r="E3397" t="str"><v>43305102773984motion</v></cell><cell r="F3397" t="str"><v>DCM</v></cell><cell r="G3397" t="str"><v>https://azure.microsoft.com/ja-jp/free/search/</v></cell></row><row r="3397"><cell r="K3397" t="str"><v>July</v></cell><cell r="L3397"><v>43309</v></cell><cell r="M3397" t="str"><v>Tier 1</v></cell><cell r="N3397" t="str"><v>APAC</v></cell><cell r="O3397" t="str"><v>Japan</v></cell><cell r="P3397" t="str"><v>Trial</v></cell><cell r="Q3397" t="str"><v>Social</v></cell><cell r="R3397" t="str"><v>Azure</v></cell><cell r="S3397" t="str"><v>Apps & Infra</v></cell><cell r="T3397" t="str"><v>Developers & ITI's</v></cell><cell r="U3397" t="str"><v>AZP-Retargeting</v></cell><cell r="V3397" t="str"><v>Retargeting</v></cell><cell r="W3397" t="str"><v>Other</v></cell><cell r="X3397" t="str"><v>1x1</v></cell></row><row r="3397"><cell r="AA3397"><v>43305</v></cell><cell r="AB3397" t="str"><v>JPN_gaPMG_AZR_AZR_Q1_19_Trial-Social</v></cell><cell r="AC3397"><v>21276694</v></cell><cell r="AD3397"><v>720195</v></cell><cell r="AE3397" t="str"><v>Facebook</v></cell><cell r="AF3397"><v>3654128</v></cell><cell r="AG3397" t="str"><v>Facebook»AZP-Retargeting»1x1»Canvas»OTH»MO»CPM»RT»W»UNK»TP»OT»Trial-Basicmotion</v></cell><cell r="AH3397"><v>223298811</v></cell><cell r="AI3397" t="str"><v>AzurePlatform_FBCTCBasicMotion_JPN_10sec_ISV_PLAT_JA_Trial_Standard_STAN_TN_T1_1</v></cell><cell r="AJ3397"><v>102773984</v></cell></row><row r="3398"><cell r="C3398" t="str"><v>43305Facebook»AZP-Retargeting»1x1»Newsfeed»LIA»ALL»CPM»RT»X»UNK»SS»NA»Developer-Generic</v></cell><cell r="D3398" t="str"><v>43305225671576</v></cell><cell r="E3398" t="str"><v>43305104060550eneric</v></cell><cell r="F3398" t="str"><v>DCM</v></cell><cell r="G3398" t="str"><v>https://azure.microsoft.com/ja-jp/free/</v></cell></row><row r="3398"><cell r="K3398" t="str"><v>July</v></cell><cell r="L3398"><v>43309</v></cell><cell r="M3398" t="str"><v>Tier 1</v></cell><cell r="N3398" t="str"><v>APAC</v></cell><cell r="O3398" t="str"><v>Japan</v></cell><cell r="P3398" t="str"><v>Trial</v></cell><cell r="Q3398" t="str"><v>Social</v></cell><cell r="R3398" t="str"><v>Azure</v></cell><cell r="S3398" t="str"><v>Apps & Infra</v></cell><cell r="T3398" t="str"><v>Developers & ITI's</v></cell><cell r="U3398" t="str"><v>AZP-Retargeting</v></cell><cell r="V3398" t="str"><v>Retargeting</v></cell><cell r="W3398" t="str"><v>Link Ad</v></cell><cell r="X3398" t="str"><v>1x1</v></cell></row><row r="3398"><cell r="AA3398"><v>43305</v></cell><cell r="AB3398" t="str"><v>JPN_gaPMG_AZR_AZR_Q1_19_Trial-Social</v></cell><cell r="AC3398"><v>21276694</v></cell><cell r="AD3398"><v>720195</v></cell><cell r="AE3398" t="str"><v>Facebook</v></cell><cell r="AF3398"><v>3654128</v></cell><cell r="AG3398" t="str"><v>Facebook»AZP-Retargeting»1x1»Newsfeed»LIA»ALL»CPM»RT»X»UNK»SS»NA»Developer-Generic</v></cell><cell r="AH3398"><v>225671576</v></cell><cell r="AI3398" t="str"><v>AZR_FreeAcctDeveloperFB-AnimatedGeneric-Ch1_JPN_1200x1200_SOC_Direct_JA_Trial_Standard_ANI_LEA_T1_1</v></cell><cell r="AJ3398"><v>104060550</v></cell></row><row r="3399"><cell r="C3399" t="str"><v>43305Facebook»AZP-Retargeting»1x1»Newsfeed»LIA»ALL»CPM»RT»X»UNK»SS»NA»Developer-Open Source</v></cell><cell r="D3399" t="str"><v>43305225671573</v></cell><cell r="E3399" t="str"><v>43305104060553Source</v></cell><cell r="F3399" t="str"><v>DCM</v></cell><cell r="G3399" t="str"><v>https://azure.microsoft.com/ja-jp/free/</v></cell></row><row r="3399"><cell r="K3399" t="str"><v>July</v></cell><cell r="L3399"><v>43309</v></cell><cell r="M3399" t="str"><v>Tier 1</v></cell><cell r="N3399" t="str"><v>APAC</v></cell><cell r="O3399" t="str"><v>Japan</v></cell><cell r="P3399" t="str"><v>Trial</v></cell><cell r="Q3399" t="str"><v>Social</v></cell><cell r="R3399" t="str"><v>Azure</v></cell><cell r="S3399" t="str"><v>Apps & Infra</v></cell><cell r="T3399" t="str"><v>Developers & ITI's</v></cell><cell r="U3399" t="str"><v>AZP-Retargeting</v></cell><cell r="V3399" t="str"><v>Retargeting</v></cell><cell r="W3399" t="str"><v>Link Ad</v></cell><cell r="X3399" t="str"><v>1x1</v></cell></row><row r="3399"><cell r="AA3399"><v>43305</v></cell><cell r="AB3399" t="str"><v>JPN_gaPMG_AZR_AZR_Q1_19_Trial-Social</v></cell><cell r="AC3399"><v>21276694</v></cell><cell r="AD3399"><v>720195</v></cell><cell r="AE3399" t="str"><v>Facebook</v></cell><cell r="AF3399"><v>3654128</v></cell><cell r="AG3399" t="str"><v>Facebook»AZP-Retargeting»1x1»Newsfeed»LIA»ALL»CPM»RT»X»UNK»SS»NA»Developer-Open Source</v></cell><cell r="AH3399"><v>225671573</v></cell><cell r="AI3399" t="str"><v>AZR_FreeAcctDeveloperFB-AnimatedOpenSource-Ch2_JPN_1200x1200_SOC_Direct_JA_Trial_Standard_ANI_LEA_T2_1</v></cell><cell r="AJ3399"><v>104060553</v></cell></row><row r="3400"><cell r="C3400" t="str"><v>43305Facebook»AZP-Canvas-Interest&Role-Trial»1x1»Canvas»CAN»ALL»CPM»PRO»X»UNK»SS»NA»Developer-Intelligent Data</v></cell><cell r="D3400" t="str"><v>43305225761737</v></cell><cell r="E3400" t="str"><v>43305104060547t Data</v></cell><cell r="F3400" t="str"><v>DCM</v></cell><cell r="G3400" t="str"><v>https://azure.microsoft.com/ja-jp/pricing/purchase-options/</v></cell></row><row r="3400"><cell r="K3400" t="str"><v>July</v></cell><cell r="L3400"><v>43309</v></cell><cell r="M3400" t="str"><v>Tier 1</v></cell><cell r="N3400" t="str"><v>APAC</v></cell><cell r="O3400" t="str"><v>Japan</v></cell><cell r="P3400" t="str"><v>Trial</v></cell><cell r="Q3400" t="str"><v>Social</v></cell><cell r="R3400" t="str"><v>Azure</v></cell><cell r="S3400" t="str"><v>Apps & Infra</v></cell><cell r="T3400" t="str"><v>Developers & ITI's</v></cell><cell r="U3400" t="str"><v>AZP-Canvas-Interest&Role-Trial</v></cell><cell r="V3400" t="str"><v>Prospecting</v></cell><cell r="W3400" t="str"><v>Canvas Ad</v></cell><cell r="X3400" t="str"><v>1x1</v></cell></row><row r="3400"><cell r="AA3400"><v>43305</v></cell><cell r="AB3400" t="str"><v>JPN_gaPMG_AZR_AZR_Q1_19_Trial-Social</v></cell><cell r="AC3400"><v>21276694</v></cell><cell r="AD3400"><v>720195</v></cell><cell r="AE3400" t="str"><v>Facebook</v></cell><cell r="AF3400"><v>3654128</v></cell><cell r="AG3400" t="str"><v>Facebook»AZP-Canvas-Interest&Role-Trial»1x1»Canvas»CAN»ALL»CPM»PRO»X»UNK»SS»NA»Developer-Intelligent Data</v></cell><cell r="AH3400"><v>225761737</v></cell><cell r="AI3400" t="str"><v>AZR_FBCTCcanvaspage-BuyNowCTA-Img3_JPN_1080x162_SOC_Plat_Japanese_NA_Standard_NA_BN_T3_1</v></cell><cell r="AJ3400"><v>104060547</v></cell></row><row r="3401"><cell r="C3401" t="str"><v>43305Facebook»AZP-Canvas-Look a Like-Trial»1x1»Canvas»CAN»ALL»CPM»LAL»X»UNK»SS»NA»Developer-AI</v></cell><cell r="D3401" t="str"><v>43305225761713</v></cell><cell r="E3401" t="str"><v>43305104061321per-AI</v></cell><cell r="F3401" t="str"><v>DCM</v></cell><cell r="G3401" t="str"><v>https://signup.azure.com/signup?offer=ms-azr-0044p&appId=102&ref=paidmedia-social-fb&redirectURL=https%3a%2f%2fazure.microsoft.com%2fja-jp%2fget-started%2fwelcome-to-azure%2f&l=ja-jp&correlationId=ead86c34-1f10-49dd-a72b-6918462a2cbf</v></cell></row><row r="3401"><cell r="K3401" t="str"><v>July</v></cell><cell r="L3401"><v>43309</v></cell><cell r="M3401" t="str"><v>Tier 1</v></cell><cell r="N3401" t="str"><v>APAC</v></cell><cell r="O3401" t="str"><v>Japan</v></cell><cell r="P3401" t="str"><v>Trial</v></cell><cell r="Q3401" t="str"><v>Social</v></cell><cell r="R3401" t="str"><v>Azure</v></cell><cell r="S3401" t="str"><v>Apps & Infra</v></cell><cell r="T3401" t="str"><v>Developers & ITI's</v></cell><cell r="U3401" t="str"><v>AZP-Canvas-Look a Like-Trial</v></cell><cell r="V3401" t="str"><v>Lookalike Targeting</v></cell><cell r="W3401" t="str"><v>Canvas Ad</v></cell><cell r="X3401" t="str"><v>1x1</v></cell></row><row r="3401"><cell r="AA3401"><v>43305</v></cell><cell r="AB3401" t="str"><v>JPN_gaPMG_AZR_AZR_Q1_19_Trial-Social</v></cell><cell r="AC3401"><v>21276694</v></cell><cell r="AD3401"><v>720195</v></cell><cell r="AE3401" t="str"><v>Facebook</v></cell><cell r="AF3401"><v>3654128</v></cell><cell r="AG3401" t="str"><v>Facebook»AZP-Canvas-Look a Like-Trial»1x1»Canvas»CAN»ALL»CPM»LAL»X»UNK»SS»NA»Developer-AI</v></cell><cell r="AH3401"><v>225761713</v></cell><cell r="AI3401" t="str"><v>AZR_FBCTCcanvaspage-StartFreeCTA-Img2_JPN_1080x143 _SOC_Plat_Japanese_NA_Standard_NA_NA_T2_1</v></cell><cell r="AJ3401"><v>104061321</v></cell></row><row r="3402"><cell r="C3402" t="str"><v>43305Facebook»AZP-Canvas-Look a Like-Trial»1x1»Canvas»CAN»ALL»CPM»LAL»X»UNK»SS»NA»Developer-Generic</v></cell><cell r="D3402" t="str"><v>43305225761719</v></cell><cell r="E3402" t="str"><v>43305104060547eneric</v></cell><cell r="F3402" t="str"><v>DCM</v></cell><cell r="G3402" t="str"><v>https://azure.microsoft.com/ja-jp/pricing/purchase-options/</v></cell></row><row r="3402"><cell r="K3402" t="str"><v>July</v></cell><cell r="L3402"><v>43309</v></cell><cell r="M3402" t="str"><v>Tier 1</v></cell><cell r="N3402" t="str"><v>APAC</v></cell><cell r="O3402" t="str"><v>Japan</v></cell><cell r="P3402" t="str"><v>Trial</v></cell><cell r="Q3402" t="str"><v>Social</v></cell><cell r="R3402" t="str"><v>Azure</v></cell><cell r="S3402" t="str"><v>Apps & Infra</v></cell><cell r="T3402" t="str"><v>Developers & ITI's</v></cell><cell r="U3402" t="str"><v>AZP-Canvas-Look a Like-Trial</v></cell><cell r="V3402" t="str"><v>Lookalike Targeting</v></cell><cell r="W3402" t="str"><v>Canvas Ad</v></cell><cell r="X3402" t="str"><v>1x1</v></cell></row><row r="3402"><cell r="AA3402"><v>43305</v></cell><cell r="AB3402" t="str"><v>JPN_gaPMG_AZR_AZR_Q1_19_Trial-Social</v></cell><cell r="AC3402"><v>21276694</v></cell><cell r="AD3402"><v>720195</v></cell><cell r="AE3402" t="str"><v>Facebook</v></cell><cell r="AF3402"><v>3654128</v></cell><cell r="AG3402" t="str"><v>Facebook»AZP-Canvas-Look a Like-Trial»1x1»Canvas»CAN»ALL»CPM»LAL»X»UNK»SS»NA»Developer-Generic</v></cell><cell r="AH3402"><v>225761719</v></cell><cell r="AI3402" t="str"><v>AZR_FBCTCcanvaspage-BuyNowCTA-Img3_JPN_1080x162_SOC_Plat_Japanese_NA_Standard_NA_BN_T3_1</v></cell><cell r="AJ3402"><v>104060547</v></cell></row><row r="3403"><cell r="C3403" t="str"><v>43305Facebook»AZP-Canvas-Look a Like-Trial»1x1»Canvas»CAN»ALL»CPM»LAL»X»UNK»SS»NA»Developer-Generic</v></cell><cell r="D3403" t="str"><v>43305225761719</v></cell><cell r="E3403" t="str"><v>43305104061321eneric</v></cell><cell r="F3403" t="str"><v>DCM</v></cell><cell r="G3403" t="str"><v>https://signup.azure.com/signup?offer=ms-azr-0044p&appId=102&ref=paidmedia-social-fb&redirectURL=https%3a%2f%2fazure.microsoft.com%2fja-jp%2fget-started%2fwelcome-to-azure%2f&l=ja-jp&correlationId=ead86c34-1f10-49dd-a72b-6918462a2cbf</v></cell></row><row r="3403"><cell r="K3403" t="str"><v>July</v></cell><cell r="L3403"><v>43309</v></cell><cell r="M3403" t="str"><v>Tier 1</v></cell><cell r="N3403" t="str"><v>APAC</v></cell><cell r="O3403" t="str"><v>Japan</v></cell><cell r="P3403" t="str"><v>Trial</v></cell><cell r="Q3403" t="str"><v>Social</v></cell><cell r="R3403" t="str"><v>Azure</v></cell><cell r="S3403" t="str"><v>Apps & Infra</v></cell><cell r="T3403" t="str"><v>Developers & ITI's</v></cell><cell r="U3403" t="str"><v>AZP-Canvas-Look a Like-Trial</v></cell><cell r="V3403" t="str"><v>Lookalike Targeting</v></cell><cell r="W3403" t="str"><v>Canvas Ad</v></cell><cell r="X3403" t="str"><v>1x1</v></cell></row><row r="3403"><cell r="AA3403"><v>43305</v></cell><cell r="AB3403" t="str"><v>JPN_gaPMG_AZR_AZR_Q1_19_Trial-Social</v></cell><cell r="AC3403"><v>21276694</v></cell><cell r="AD3403"><v>720195</v></cell><cell r="AE3403" t="str"><v>Facebook</v></cell><cell r="AF3403"><v>3654128</v></cell><cell r="AG3403" t="str"><v>Facebook»AZP-Canvas-Look a Like-Trial»1x1»Canvas»CAN»ALL»CPM»LAL»X»UNK»SS»NA»Developer-Generic</v></cell><cell r="AH3403"><v>225761719</v></cell><cell r="AI3403" t="str"><v>AZR_FBCTCcanvaspage-StartFreeCTA-Img2_JPN_1080x143 _SOC_Plat_Japanese_NA_Standard_NA_NA_T2_1</v></cell><cell r="AJ3403"><v>104061321</v></cell></row><row r="3404"><cell r="C3404" t="str"><v>43305FACEBOOK»USA-Trial-ITD-Interest Prospecting-AZR-AZR»1 x 1»SocialBan»CAN»ALL»CPA»PRO»X»NA»SS»NA»FBCTCBasicMotion»PRC1SV</v></cell><cell r="D3404" t="str"><v>43305223934062</v></cell><cell r="E3404" t="str"><v>43305103043823PRC1SV</v></cell><cell r="F3404" t="str"><v>DCM</v></cell><cell r="G3404" t="str"><v>https://signup.azure.com/?OCID=AID%eexcid!_OLA_%ebuy!_%epid!_%ecid!</v></cell></row><row r="3404"><cell r="K3404" t="str"><v>July</v></cell><cell r="L3404"><v>43309</v></cell><cell r="M3404" t="str"><v>Tier 0</v></cell><cell r="N3404" t="str"><v>North America</v></cell><cell r="O3404" t="str"><v>United States</v></cell><cell r="P3404" t="str"><v>Trial</v></cell><cell r="Q3404" t="str"><v>Social</v></cell><cell r="R3404" t="str"><v>Azure</v></cell><cell r="S3404" t="str"><v>Apps & Infra</v></cell><cell r="T3404" t="str"><v>Developers & ITI's</v></cell><cell r="U3404" t="str"><v>USA-Trial-ITD-Interest Prospecting-AZR-AZR</v></cell><cell r="V3404" t="str"><v>Prospecting</v></cell><cell r="W3404" t="str"><v>Canvas Ad</v></cell><cell r="X3404" t="str"><v>1x1</v></cell></row><row r="3404"><cell r="AA3404"><v>43305</v></cell><cell r="AB3404" t="str"><v>USA_gaPMG_AZR_AZR_Q1_19_Direct-Social</v></cell><cell r="AC3404"><v>21358715</v></cell><cell r="AD3404"><v>720197</v></cell><cell r="AE3404" t="str"><v>Facebook</v></cell><cell r="AF3404"><v>3654128</v></cell><cell r="AG3404" t="str"><v>FACEBOOK»USA-Trial-ITD-Interest Prospecting-AZR-AZR»1 x 1»SocialBan»CAN»ALL»CPA»PRO»X»NA»SS»NA»FBCTCBasicMotion»PRC1SV</v></cell><cell r="AH3404"><v>223934062</v></cell><cell r="AI3404" t="str"><v>AzurePlatform_FBCTCBasicMotion_USA_10s_CAN_PLATFORM_English_Trial_Standard_STAN_TIN_T1_1</v></cell><cell r="AJ3404"><v>103043823</v></cell></row><row r="3405"><cell r="C3405" t="str"><v>43305FACEBOOK»USA-Trial-ITD-Interest Prospecting-AZR-AZR»1 x 1»SocialBan»CAN»ALL»CPA»PRO»X»NA»SS»NA»FBCTCBasicMotion»PRC1SV</v></cell><cell r="D3405" t="str"><v>43305223934062</v></cell><cell r="E3405" t="str"><v>43305103175984PRC1SV</v></cell><cell r="F3405" t="str"><v>DCM</v></cell><cell r="G3405" t="str"><v>https://azure.microsoft.com/en-us/pricing/purchase-options/?v=18.19&OCID=AID%eexcid!_OLA_%ebuy!_%epid!_%ecid!</v></cell></row><row r="3405"><cell r="K3405" t="str"><v>July</v></cell><cell r="L3405"><v>43309</v></cell><cell r="M3405" t="str"><v>Tier 0</v></cell><cell r="N3405" t="str"><v>North America</v></cell><cell r="O3405" t="str"><v>United States</v></cell><cell r="P3405" t="str"><v>Trial</v></cell><cell r="Q3405" t="str"><v>Social</v></cell><cell r="R3405" t="str"><v>Azure</v></cell><cell r="S3405" t="str"><v>Apps & Infra</v></cell><cell r="T3405" t="str"><v>Developers & ITI's</v></cell><cell r="U3405" t="str"><v>USA-Trial-ITD-Interest Prospecting-AZR-AZR</v></cell><cell r="V3405" t="str"><v>Prospecting</v></cell><cell r="W3405" t="str"><v>Canvas Ad</v></cell><cell r="X3405" t="str"><v>1x1</v></cell></row><row r="3405"><cell r="AA3405"><v>43305</v></cell><cell r="AB3405" t="str"><v>USA_gaPMG_AZR_AZR_Q1_19_Direct-Social</v></cell><cell r="AC3405"><v>21358715</v></cell><cell r="AD3405"><v>720197</v></cell><cell r="AE3405" t="str"><v>Facebook</v></cell><cell r="AF3405"><v>3654128</v></cell><cell r="AG3405" t="str"><v>FACEBOOK»USA-Trial-ITD-Interest Prospecting-AZR-AZR»1 x 1»SocialBan»CAN»ALL»CPA»PRO»X»NA»SS»NA»FBCTCBasicMotion»PRC1SV</v></cell><cell r="AH3405"><v>223934062</v></cell><cell r="AI3405" t="str"><v>AzurePlatform_FBCTCBasicMotion_USA_10s_CAN_PLATFORM_English_Trial_Standard_STAN_TIN_T1_2</v></cell><cell r="AJ3405"><v>103175984</v></cell></row><row r="3406"><cell r="C3406" t="str"><v>43305FACEBOOK»USA-Trial-ITD-Interest Prospecting-AZR-AZR»1 x 1»SocialBan»CAN»ALL»CPA»PRO»X»NA»SS»NA»FBCTCBenefit2inMotion»PRC1SW</v></cell><cell r="D3406" t="str"><v>43305223933138</v></cell><cell r="E3406" t="str"><v>43305103043835PRC1SW</v></cell><cell r="F3406" t="str"><v>DCM</v></cell><cell r="G3406" t="str"><v>https://signup.azure.com/?OCID=AID%eexcid!_OLA_%ebuy!_%epid!_%ecid!</v></cell></row><row r="3406"><cell r="K3406" t="str"><v>July</v></cell><cell r="L3406"><v>43309</v></cell><cell r="M3406" t="str"><v>Tier 0</v></cell><cell r="N3406" t="str"><v>North America</v></cell><cell r="O3406" t="str"><v>United States</v></cell><cell r="P3406" t="str"><v>Trial</v></cell><cell r="Q3406" t="str"><v>Social</v></cell><cell r="R3406" t="str"><v>Azure</v></cell><cell r="S3406" t="str"><v>Apps & Infra</v></cell><cell r="T3406" t="str"><v>Developers & ITI's</v></cell><cell r="U3406" t="str"><v>USA-Trial-ITD-Interest Prospecting-AZR-AZR</v></cell><cell r="V3406" t="str"><v>Prospecting</v></cell><cell r="W3406" t="str"><v>Canvas Ad</v></cell><cell r="X3406" t="str"><v>1x1</v></cell></row><row r="3406"><cell r="AA3406"><v>43305</v></cell><cell r="AB3406" t="str"><v>USA_gaPMG_AZR_AZR_Q1_19_Direct-Social</v></cell><cell r="AC3406"><v>21358715</v></cell><cell r="AD3406"><v>720197</v></cell><cell r="AE3406" t="str"><v>Facebook</v></cell><cell r="AF3406"><v>3654128</v></cell><cell r="AG3406" t="str"><v>FACEBOOK»USA-Trial-ITD-Interest Prospecting-AZR-AZR»1 x 1»SocialBan»CAN»ALL»CPA»PRO»X»NA»SS»NA»FBCTCBenefit2inMotion»PRC1SW</v></cell><cell r="AH3406"><v>223933138</v></cell><cell r="AI3406" t="str"><v>AzurePlatform_FBCTCBenefit2inMotion_USA_10s_CAN_PLATFORM_English_Trial_Standard_STAN_TIN_T4_1</v></cell><cell r="AJ3406"><v>103043835</v></cell></row><row r="3407"><cell r="C3407" t="str"><v>43305FACEBOOK»USA-Trial-ITD-Interest Prospecting-AZR-AZR»1 x 1»SocialBan»CAN»ALL»CPA»PRO»X»NA»SS»NA»FBCTCBrandinMotion»PRC1SY</v></cell><cell r="D3407" t="str"><v>43305224104929</v></cell><cell r="E3407" t="str"><v>43305103176812PRC1SY</v></cell><cell r="F3407" t="str"><v>DCM</v></cell><cell r="G3407" t="str"><v>https://signup.azure.com/?OCID=AID%eexcid!_OLA_%ebuy!_%epid!_%ecid!</v></cell></row><row r="3407"><cell r="K3407" t="str"><v>July</v></cell><cell r="L3407"><v>43309</v></cell><cell r="M3407" t="str"><v>Tier 0</v></cell><cell r="N3407" t="str"><v>North America</v></cell><cell r="O3407" t="str"><v>United States</v></cell><cell r="P3407" t="str"><v>Trial</v></cell><cell r="Q3407" t="str"><v>Social</v></cell><cell r="R3407" t="str"><v>Azure</v></cell><cell r="S3407" t="str"><v>Apps & Infra</v></cell><cell r="T3407" t="str"><v>Developers & ITI's</v></cell><cell r="U3407" t="str"><v>USA-Trial-ITD-Interest Prospecting-AZR-AZR</v></cell><cell r="V3407" t="str"><v>Prospecting</v></cell><cell r="W3407" t="str"><v>Canvas Ad</v></cell><cell r="X3407" t="str"><v>1x1</v></cell></row><row r="3407"><cell r="AA3407"><v>43305</v></cell><cell r="AB3407" t="str"><v>USA_gaPMG_AZR_AZR_Q1_19_Direct-Social</v></cell><cell r="AC3407"><v>21358715</v></cell><cell r="AD3407"><v>720197</v></cell><cell r="AE3407" t="str"><v>Facebook</v></cell><cell r="AF3407"><v>3654128</v></cell><cell r="AG3407" t="str"><v>FACEBOOK»USA-Trial-ITD-Interest Prospecting-AZR-AZR»1 x 1»SocialBan»CAN»ALL»CPA»PRO»X»NA»SS»NA»FBCTCBrandinMotion»PRC1SY</v></cell><cell r="AH3407"><v>224104929</v></cell><cell r="AI3407" t="str"><v>AzurePlatform_FBCTCBrandinMotion_USA_10s_CAN_PLATFORM_English_Trial_Standard_STAN_TIN_T2_1</v></cell><cell r="AJ3407"><v>103176812</v></cell></row><row r="3408"><cell r="C3408" t="str"><v>43305FACEBOOK»USA-Trial-ITD-Interest Prospecting-AZR-AZR»1 x 1»SocialBan»CAN»ALL»CPA»PRO»X»NA»SS»NA»FBCTCBrandinMotion»PRC1SY</v></cell><cell r="D3408" t="str"><v>43305224104929</v></cell><cell r="E3408" t="str"><v>43305103032823PRC1SY</v></cell><cell r="F3408" t="str"><v>DCM</v></cell><cell r="G3408" t="str"><v>https://azure.microsoft.com/en-us/pricing/purchase-options/?v=18.19&OCID=AID%eexcid!_OLA_%ebuy!_%epid!_%ecid!</v></cell></row><row r="3408"><cell r="K3408" t="str"><v>July</v></cell><cell r="L3408"><v>43309</v></cell><cell r="M3408" t="str"><v>Tier 0</v></cell><cell r="N3408" t="str"><v>North America</v></cell><cell r="O3408" t="str"><v>United States</v></cell><cell r="P3408" t="str"><v>Trial</v></cell><cell r="Q3408" t="str"><v>Social</v></cell><cell r="R3408" t="str"><v>Azure</v></cell><cell r="S3408" t="str"><v>Apps & Infra</v></cell><cell r="T3408" t="str"><v>Developers & ITI's</v></cell><cell r="U3408" t="str"><v>USA-Trial-ITD-Interest Prospecting-AZR-AZR</v></cell><cell r="V3408" t="str"><v>Prospecting</v></cell><cell r="W3408" t="str"><v>Canvas Ad</v></cell><cell r="X3408" t="str"><v>1x1</v></cell></row><row r="3408"><cell r="AA3408"><v>43305</v></cell><cell r="AB3408" t="str"><v>USA_gaPMG_AZR_AZR_Q1_19_Direct-Social</v></cell><cell r="AC3408"><v>21358715</v></cell><cell r="AD3408"><v>720197</v></cell><cell r="AE3408" t="str"><v>Facebook</v></cell><cell r="AF3408"><v>3654128</v></cell><cell r="AG3408" t="str"><v>FACEBOOK»USA-Trial-ITD-Interest Prospecting-AZR-AZR»1 x 1»SocialBan»CAN»ALL»CPA»PRO»X»NA»SS»NA»FBCTCBrandinMotion»PRC1SY</v></cell><cell r="AH3408"><v>224104929</v></cell><cell r="AI3408" t="str"><v>AzurePlatform_FBCTCBrandinMotion_USA_10s_CAN_PLATFORM_English_Trial_Standard_STAN_TIN_T2_2</v></cell><cell r="AJ3408"><v>103032823</v></cell></row><row r="3409"><cell r="C3409" t="str"><v>43305FACEBOOK»USA-Trial-ITD-Interest Prospecting-AZR-AZR»1 x 1»SocialBan»LIA»ALL»CPA»PRO»X»NA»SS»NA»FreeAcctDeveloperFB-AnimatedGeneric-Ch1»PRC1SZ</v></cell><cell r="D3409" t="str"><v>43305224104932</v></cell><cell r="E3409" t="str"><v>43305103176851PRC1SZ</v></cell><cell r="F3409" t="str"><v>DCM</v></cell><cell r="G3409" t="str"><v>https://azure.microsoft.com/en-us/free/search/?OCID=AID%eexcid!_OLA_%ebuy!_%epid!_%ecid!</v></cell></row><row r="3409"><cell r="K3409" t="str"><v>July</v></cell><cell r="L3409"><v>43309</v></cell><cell r="M3409" t="str"><v>Tier 0</v></cell><cell r="N3409" t="str"><v>North America</v></cell><cell r="O3409" t="str"><v>United States</v></cell><cell r="P3409" t="str"><v>Trial</v></cell><cell r="Q3409" t="str"><v>Social</v></cell><cell r="R3409" t="str"><v>Azure</v></cell><cell r="S3409" t="str"><v>Apps & Infra</v></cell><cell r="T3409" t="str"><v>Developers & ITI's</v></cell><cell r="U3409" t="str"><v>USA-Trial-ITD-Interest Prospecting-AZR-AZR</v></cell><cell r="V3409" t="str"><v>Prospecting</v></cell><cell r="W3409" t="str"><v>Link Ad</v></cell><cell r="X3409" t="str"><v>1x1</v></cell></row><row r="3409"><cell r="AA3409"><v>43305</v></cell><cell r="AB3409" t="str"><v>USA_gaPMG_AZR_AZR_Q1_19_Direct-Social</v></cell><cell r="AC3409"><v>21358715</v></cell><cell r="AD3409"><v>720197</v></cell><cell r="AE3409" t="str"><v>Facebook</v></cell><cell r="AF3409"><v>3654128</v></cell><cell r="AG3409" t="str"><v>FACEBOOK»USA-Trial-ITD-Interest Prospecting-AZR-AZR»1 x 1»SocialBan»LIA»ALL»CPA»PRO»X»NA»SS»NA»FreeAcctDeveloperFB-AnimatedGeneric-Ch1»PRC1SZ</v></cell><cell r="AH3409"><v>224104932</v></cell><cell r="AI3409" t="str"><v>AZR_FreeAcctDeveloperFB-AnimatedGeneric-Ch1_USA_1200x1200_CAN_Direct_English_Trial_Standard_ANI_LEA_T1_2</v></cell><cell r="AJ3409"><v>103176851</v></cell></row><row r="3410"><cell r="C3410" t="str"><v>43305FACEBOOK»USA-Trial-ITD-Interest Prospecting-AZR-AZR»1 x 1»SocialBan»LIA»ALL»CPA»PRO»X»NA»SS»NA»FreeAcctDeveloperFB-AnimatedGeneric-Ch1»PRC1T0</v></cell><cell r="D3410" t="str"><v>43305223934065</v></cell><cell r="E3410" t="str"><v>43305103176851PRC1T0</v></cell><cell r="F3410" t="str"><v>DCM</v></cell><cell r="G3410" t="str"><v>https://azure.microsoft.com/en-us/free/search/?OCID=AID%eexcid!_OLA_%ebuy!_%epid!_%ecid!</v></cell></row><row r="3410"><cell r="K3410" t="str"><v>July</v></cell><cell r="L3410"><v>43309</v></cell><cell r="M3410" t="str"><v>Tier 0</v></cell><cell r="N3410" t="str"><v>North America</v></cell><cell r="O3410" t="str"><v>United States</v></cell><cell r="P3410" t="str"><v>Trial</v></cell><cell r="Q3410" t="str"><v>Social</v></cell><cell r="R3410" t="str"><v>Azure</v></cell><cell r="S3410" t="str"><v>Apps & Infra</v></cell><cell r="T3410" t="str"><v>Developers & ITI's</v></cell><cell r="U3410" t="str"><v>USA-Trial-ITD-Interest Prospecting-AZR-AZR</v></cell><cell r="V3410" t="str"><v>Prospecting</v></cell><cell r="W3410" t="str"><v>Link Ad</v></cell><cell r="X3410" t="str"><v>1x1</v></cell></row><row r="3410"><cell r="AA3410"><v>43305</v></cell><cell r="AB3410" t="str"><v>USA_gaPMG_AZR_AZR_Q1_19_Direct-Social</v></cell><cell r="AC3410"><v>21358715</v></cell><cell r="AD3410"><v>720197</v></cell><cell r="AE3410" t="str"><v>Facebook</v></cell><cell r="AF3410"><v>3654128</v></cell><cell r="AG3410" t="str"><v>FACEBOOK»USA-Trial-ITD-Interest Prospecting-AZR-AZR»1 x 1»SocialBan»LIA»ALL»CPA»PRO»X»NA»SS»NA»FreeAcctDeveloperFB-AnimatedGeneric-Ch1»PRC1T0</v></cell><cell r="AH3410"><v>223934065</v></cell><cell r="AI3410" t="str"><v>AZR_FreeAcctDeveloperFB-AnimatedGeneric-Ch1_USA_1200x1200_CAN_Direct_English_Trial_Standard_ANI_LEA_T1_2</v></cell><cell r="AJ3410"><v>103176851</v></cell></row><row r="3411"><cell r="C3411" t="str"><v>43305FACEBOOK»USA-Trial-ITD-Interest Prospecting-AZR-AZR»1 x 1»SocialBan»LIA»ALL»CPA»PRO»X»NA»SS»NA»FreeAcctITProFB-AnimatedHybrid-Ch2»PRC1T5</v></cell><cell r="D3411" t="str"><v>43305223862882</v></cell><cell r="E3411" t="str"><v>43305103180583PRC1T5</v></cell><cell r="F3411" t="str"><v>DCM</v></cell></row><row r="3411"><cell r="K3411" t="str"><v>July</v></cell><cell r="L3411"><v>43309</v></cell><cell r="M3411" t="str"><v>Tier 0</v></cell><cell r="N3411" t="str"><v>North America</v></cell><cell r="O3411" t="str"><v>United States</v></cell><cell r="P3411" t="str"><v>Trial</v></cell><cell r="Q3411" t="str"><v>Social</v></cell><cell r="R3411" t="str"><v>Azure</v></cell><cell r="S3411" t="str"><v>Apps & Infra</v></cell><cell r="T3411" t="str"><v>Developers & ITI's</v></cell><cell r="U3411" t="str"><v>USA-Trial-ITD-Interest Prospecting-AZR-AZR</v></cell><cell r="V3411" t="str"><v>Prospecting</v></cell><cell r="W3411" t="str"><v>Link Ad</v></cell><cell r="X3411" t="str"><v>1x1</v></cell></row><row r="3411"><cell r="AA3411"><v>43305</v></cell><cell r="AB3411" t="str"><v>USA_gaPMG_AZR_AZR_Q1_19_Direct-Social</v></cell><cell r="AC3411"><v>21358715</v></cell><cell r="AD3411"><v>720197</v></cell><cell r="AE3411" t="str"><v>Facebook</v></cell><cell r="AF3411"><v>3654128</v></cell><cell r="AG3411" t="str"><v>FACEBOOK»USA-Trial-ITD-Interest Prospecting-AZR-AZR»1 x 1»SocialBan»LIA»ALL»CPA»PRO»X»NA»SS»NA»FreeAcctITProFB-AnimatedHybrid-Ch2»PRC1T5</v></cell><cell r="AH3411"><v>223862882</v></cell><cell r="AI3411" t="str"><v>AZR_FreeAcctITProFB-AnimatedHybrid-Ch2_USA_1200x1200_CAN_Direct_English_Trial_Standard_ANI_LEA_T2_2</v></cell><cell r="AJ3411"><v>103180583</v></cell></row><row r="3412"><cell r="C3412" t="str"><v>43305FACEBOOK»USA-Trial-ITD-Interest Prospecting-AZR-AZR»1 x 1»SocialBan»LIA»ALL»CPA»PRO»X»NA»SS»NA»FreeAcctITProFB-AnimatedSecureMngd-Ch1»PRC1T4</v></cell><cell r="D3412" t="str"><v>43305224104914</v></cell><cell r="E3412" t="str"><v>43305103176830PRC1T4</v></cell><cell r="F3412" t="str"><v>DCM</v></cell></row><row r="3412"><cell r="K3412" t="str"><v>July</v></cell><cell r="L3412"><v>43309</v></cell><cell r="M3412" t="str"><v>Tier 0</v></cell><cell r="N3412" t="str"><v>North America</v></cell><cell r="O3412" t="str"><v>United States</v></cell><cell r="P3412" t="str"><v>Trial</v></cell><cell r="Q3412" t="str"><v>Social</v></cell><cell r="R3412" t="str"><v>Azure</v></cell><cell r="S3412" t="str"><v>Apps & Infra</v></cell><cell r="T3412" t="str"><v>Developers & ITI's</v></cell><cell r="U3412" t="str"><v>USA-Trial-ITD-Interest Prospecting-AZR-AZR</v></cell><cell r="V3412" t="str"><v>Prospecting</v></cell><cell r="W3412" t="str"><v>Link Ad</v></cell><cell r="X3412" t="str"><v>1x1</v></cell></row><row r="3412"><cell r="AA3412"><v>43305</v></cell><cell r="AB3412" t="str"><v>USA_gaPMG_AZR_AZR_Q1_19_Direct-Social</v></cell><cell r="AC3412"><v>21358715</v></cell><cell r="AD3412"><v>720197</v></cell><cell r="AE3412" t="str"><v>Facebook</v></cell><cell r="AF3412"><v>3654128</v></cell><cell r="AG3412" t="str"><v>FACEBOOK»USA-Trial-ITD-Interest Prospecting-AZR-AZR»1 x 1»SocialBan»LIA»ALL»CPA»PRO»X»NA»SS»NA»FreeAcctITProFB-AnimatedSecureMngd-Ch1»PRC1T4</v></cell><cell r="AH3412"><v>224104914</v></cell><cell r="AI3412" t="str"><v>AZR_FreeAcctITProFB-AnimatedSecureMngd-Ch1_USA_1200x1200_CAN_Direct_English_Trial_Standard_ANI_LEA_T1_1</v></cell><cell r="AJ3412"><v>103176830</v></cell></row><row r="3413"><cell r="C3413" t="str"><v>43305FACEBOOK»USA-Trial-ITD-Interest Prospecting-AZR-AZR»1 x 1»SocialBan»CAN»ALL»CPA»PRO»X»NA»SS»NA»FBCTCBenefitinMotion»PRC1SX</v></cell><cell r="D3413" t="str"><v>43305224104077</v></cell><cell r="E3413" t="str"><v>43305103032775PRC1SX</v></cell><cell r="F3413" t="str"><v>DCM</v></cell><cell r="G3413" t="str"><v>https://signup.azure.com/?OCID=AID%eexcid!_OLA_%ebuy!_%epid!_%ecid!</v></cell></row><row r="3413"><cell r="K3413" t="str"><v>July</v></cell><cell r="L3413"><v>43309</v></cell><cell r="M3413" t="str"><v>Tier 0</v></cell><cell r="N3413" t="str"><v>North America</v></cell><cell r="O3413" t="str"><v>United States</v></cell><cell r="P3413" t="str"><v>Trial</v></cell><cell r="Q3413" t="str"><v>Social</v></cell><cell r="R3413" t="str"><v>Azure</v></cell><cell r="S3413" t="str"><v>Apps & Infra</v></cell><cell r="T3413" t="str"><v>Developers & ITI's</v></cell><cell r="U3413" t="str"><v>USA-Trial-ITD-Interest Prospecting-AZR-AZR</v></cell><cell r="V3413" t="str"><v>Prospecting</v></cell><cell r="W3413" t="str"><v>Canvas Ad</v></cell><cell r="X3413" t="str"><v>1x1</v></cell></row><row r="3413"><cell r="AA3413"><v>43305</v></cell><cell r="AB3413" t="str"><v>USA_gaPMG_AZR_AZR_Q1_19_Direct-Social</v></cell><cell r="AC3413"><v>21358715</v></cell><cell r="AD3413"><v>720197</v></cell><cell r="AE3413" t="str"><v>Facebook</v></cell><cell r="AF3413"><v>3654128</v></cell><cell r="AG3413" t="str"><v>FACEBOOK»USA-Trial-ITD-Interest Prospecting-AZR-AZR»1 x 1»SocialBan»CAN»ALL»CPA»PRO»X»NA»SS»NA»FBCTCBenefitinMotion»PRC1SX</v></cell><cell r="AH3413"><v>224104077</v></cell><cell r="AI3413" t="str"><v>AzurePlatform_FBCTCBenefitinMotion_USA_10s_CAN_PLATFORM_English_Trial_Standard_STAN_TIN_T3_1</v></cell><cell r="AJ3413"><v>103032775</v></cell></row><row r="3414"><cell r="C3414" t="str"><v>43305FACEBOOK»USA-Trial-ITD-Interest Prospecting-AZR-AZR»1 x 1»SocialBan»CCA»ALL»CPA»PRO»X»NA»SS»NA»Azure Developer Facebook Collections»PRSGV0</v></cell><cell r="D3414" t="str"><v>43305225283843</v></cell><cell r="E3414" t="str"><v>43305103874423PRSGV0</v></cell><cell r="F3414" t="str"><v>DCM</v></cell><cell r="G3414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3414"><cell r="K3414" t="str"><v>July</v></cell><cell r="L3414"><v>43309</v></cell><cell r="M3414" t="str"><v>Tier 0</v></cell><cell r="N3414" t="str"><v>North America</v></cell><cell r="O3414" t="str"><v>United States</v></cell><cell r="P3414" t="str"><v>Trial</v></cell><cell r="Q3414" t="str"><v>Social</v></cell><cell r="R3414" t="str"><v>Azure</v></cell><cell r="S3414" t="str"><v>Apps & Infra</v></cell><cell r="T3414" t="str"><v>Developers & ITI's</v></cell><cell r="U3414" t="str"><v>USA-Trial-ITD-Interest Prospecting-AZR-AZR</v></cell><cell r="V3414" t="str"><v>Prospecting</v></cell><cell r="W3414" t="str"><v>Canvas Collection Ad</v></cell><cell r="X3414" t="str"><v>1x1</v></cell></row><row r="3414"><cell r="AA3414"><v>43305</v></cell><cell r="AB3414" t="str"><v>USA_gaPMG_AZR_AZR_Q1_19_Direct-Social</v></cell><cell r="AC3414"><v>21358715</v></cell><cell r="AD3414"><v>720197</v></cell><cell r="AE3414" t="str"><v>Facebook</v></cell><cell r="AF3414"><v>3654128</v></cell><cell r="AG3414" t="str"><v>FACEBOOK»USA-Trial-ITD-Interest Prospecting-AZR-AZR»1 x 1»SocialBan»CCA»ALL»CPA»PRO»X»NA»SS»NA»Azure Developer Facebook Collections»PRSGV0</v></cell><cell r="AH3414"><v>225283843</v></cell><cell r="AI3414" t="str"><v>AZR_FBCollections-TryAzureFreeCTA-Img1_USA_1200x182_SOC_Plat_EN_NA_Standard_NA_TIN_T1_1</v></cell><cell r="AJ3414"><v>103874423</v></cell></row><row r="3415"><cell r="C3415" t="str"><v>43305FACEBOOK»USA-Trial-ITD-Retargeting-AZR-AZR»1 x 1»SocialBan»LIA»ALL»CPA»RT»X»NA»SS»NA»FreeAcctDeveloperFB-AnimatedAI-Ch3»PRC26H</v></cell><cell r="D3415" t="str"><v>43305223863371</v></cell><cell r="E3415" t="str"><v>43305103032778PRC26H</v></cell><cell r="F3415" t="str"><v>DCM</v></cell></row><row r="3415"><cell r="K3415" t="str"><v>July</v></cell><cell r="L3415"><v>43309</v></cell><cell r="M3415" t="str"><v>Tier 0</v></cell><cell r="N3415" t="str"><v>North America</v></cell><cell r="O3415" t="str"><v>United States</v></cell><cell r="P3415" t="str"><v>Trial</v></cell><cell r="Q3415" t="str"><v>Social</v></cell><cell r="R3415" t="str"><v>Azure</v></cell><cell r="S3415" t="str"><v>Apps & Infra</v></cell><cell r="T3415" t="str"><v>Developers & ITI's</v></cell><cell r="U3415" t="str"><v>USA-Trial-ITD-Retargeting-AZR-AZR</v></cell><cell r="V3415" t="str"><v>Retargeting</v></cell><cell r="W3415" t="str"><v>Link Ad</v></cell><cell r="X3415" t="str"><v>1x1</v></cell></row><row r="3415"><cell r="AA3415"><v>43305</v></cell><cell r="AB3415" t="str"><v>USA_gaPMG_AZR_AZR_Q1_19_Direct-Social</v></cell><cell r="AC3415"><v>21358715</v></cell><cell r="AD3415"><v>720197</v></cell><cell r="AE3415" t="str"><v>Facebook</v></cell><cell r="AF3415"><v>3654128</v></cell><cell r="AG3415" t="str"><v>FACEBOOK»USA-Trial-ITD-Retargeting-AZR-AZR»1 x 1»SocialBan»LIA»ALL»CPA»RT»X»NA»SS»NA»FreeAcctDeveloperFB-AnimatedAI-Ch3»PRC26H</v></cell><cell r="AH3415"><v>223863371</v></cell><cell r="AI3415" t="str"><v>AZR_FreeAcctDeveloperFB-AnimatedAI-Ch3_USA_1200x1200_CAN_Direct_English_Trial_Standard_ANI_LEA_T3_1</v></cell><cell r="AJ3415"><v>103032778</v></cell></row><row r="3416"><cell r="C3416" t="str"><v>43305FACEBOOK»USA-Trial-ITD-Retargeting-AZR-AZR»1 x 1»SocialBan»LIA»ALL»CPA»RT»X»NA»SS»NA»FreeAcctDeveloperFB-AnimatedData-Ch4»PRC26J</v></cell><cell r="D3416" t="str"><v>43305224106078</v></cell><cell r="E3416" t="str"><v>43305103037935PRC26J</v></cell><cell r="F3416" t="str"><v>DCM</v></cell></row><row r="3416"><cell r="K3416" t="str"><v>July</v></cell><cell r="L3416"><v>43309</v></cell><cell r="M3416" t="str"><v>Tier 0</v></cell><cell r="N3416" t="str"><v>North America</v></cell><cell r="O3416" t="str"><v>United States</v></cell><cell r="P3416" t="str"><v>Trial</v></cell><cell r="Q3416" t="str"><v>Social</v></cell><cell r="R3416" t="str"><v>Azure</v></cell><cell r="S3416" t="str"><v>Apps & Infra</v></cell><cell r="T3416" t="str"><v>Developers & ITI's</v></cell><cell r="U3416" t="str"><v>USA-Trial-ITD-Retargeting-AZR-AZR</v></cell><cell r="V3416" t="str"><v>Retargeting</v></cell><cell r="W3416" t="str"><v>Link Ad</v></cell><cell r="X3416" t="str"><v>1x1</v></cell></row><row r="3416"><cell r="AA3416"><v>43305</v></cell><cell r="AB3416" t="str"><v>USA_gaPMG_AZR_AZR_Q1_19_Direct-Social</v></cell><cell r="AC3416"><v>21358715</v></cell><cell r="AD3416"><v>720197</v></cell><cell r="AE3416" t="str"><v>Facebook</v></cell><cell r="AF3416"><v>3654128</v></cell><cell r="AG3416" t="str"><v>FACEBOOK»USA-Trial-ITD-Retargeting-AZR-AZR»1 x 1»SocialBan»LIA»ALL»CPA»RT»X»NA»SS»NA»FreeAcctDeveloperFB-AnimatedData-Ch4»PRC26J</v></cell><cell r="AH3416"><v>224106078</v></cell><cell r="AI3416" t="str"><v>AZR_FreeAcctDeveloperFB-AnimatedData-Ch4_USA_1200x1200_CAN_Direct_English_Trial_Standard_ANI_LEA_T4_2</v></cell><cell r="AJ3416"><v>103037935</v></cell></row><row r="3417"><cell r="C3417" t="str"><v>43305FACEBOOK»USA-Trial-ITD-Retargeting-AZR-AZR»1 x 1»SocialBan»LIA»ALL»CPA»RT»X»NA»SS»NA»FreeAcctDeveloperFB-AnimatedOpenSource-Ch2»PRC26G</v></cell><cell r="D3417" t="str"><v>43305223862873</v></cell><cell r="E3417" t="str"><v>43305103048329PRC26G</v></cell><cell r="F3417" t="str"><v>DCM</v></cell><cell r="G3417" t="str"><v>https://azure.microsoft.com/en-us/free/open-source/search/?OCID=AID%eexcid!_OLA_%ebuy!_%epid!_%ecid!</v></cell></row><row r="3417"><cell r="K3417" t="str"><v>July</v></cell><cell r="L3417"><v>43309</v></cell><cell r="M3417" t="str"><v>Tier 0</v></cell><cell r="N3417" t="str"><v>North America</v></cell><cell r="O3417" t="str"><v>United States</v></cell><cell r="P3417" t="str"><v>Trial</v></cell><cell r="Q3417" t="str"><v>Social</v></cell><cell r="R3417" t="str"><v>Azure</v></cell><cell r="S3417" t="str"><v>Apps & Infra</v></cell><cell r="T3417" t="str"><v>Developers & ITI's</v></cell><cell r="U3417" t="str"><v>USA-Trial-ITD-Retargeting-AZR-AZR</v></cell><cell r="V3417" t="str"><v>Retargeting</v></cell><cell r="W3417" t="str"><v>Link Ad</v></cell><cell r="X3417" t="str"><v>1x1</v></cell></row><row r="3417"><cell r="AA3417"><v>43305</v></cell><cell r="AB3417" t="str"><v>USA_gaPMG_AZR_AZR_Q1_19_Direct-Social</v></cell><cell r="AC3417"><v>21358715</v></cell><cell r="AD3417"><v>720197</v></cell><cell r="AE3417" t="str"><v>Facebook</v></cell><cell r="AF3417"><v>3654128</v></cell><cell r="AG3417" t="str"><v>FACEBOOK»USA-Trial-ITD-Retargeting-AZR-AZR»1 x 1»SocialBan»LIA»ALL»CPA»RT»X»NA»SS»NA»FreeAcctDeveloperFB-AnimatedOpenSource-Ch2»PRC26G</v></cell><cell r="AH3417"><v>223862873</v></cell><cell r="AI3417" t="str"><v>AZR_FreeAcctDeveloperFB-AnimatedOpenSource-Ch2_USA_1200x1200_CAN_Direct_English_Trial_Standard_ANI_LEA_T2_1</v></cell><cell r="AJ3417"><v>103048329</v></cell></row><row r="3418"><cell r="C3418" t="str"><v>43305FACEBOOK»USA-Trial-ITD-Retargeting-AZR-AZR»1 x 1»SocialBan»LIA»ALL»CPA»RT»X»NA»SS»NA»FreeAcctITProFB-AnimatedHybrid-Ch2»PRC26N</v></cell><cell r="D3418" t="str"><v>43305223934053</v></cell><cell r="E3418" t="str"><v>43305103180583PRC26N</v></cell><cell r="F3418" t="str"><v>DCM</v></cell></row><row r="3418"><cell r="K3418" t="str"><v>July</v></cell><cell r="L3418"><v>43309</v></cell><cell r="M3418" t="str"><v>Tier 0</v></cell><cell r="N3418" t="str"><v>North America</v></cell><cell r="O3418" t="str"><v>United States</v></cell><cell r="P3418" t="str"><v>Trial</v></cell><cell r="Q3418" t="str"><v>Social</v></cell><cell r="R3418" t="str"><v>Azure</v></cell><cell r="S3418" t="str"><v>Apps & Infra</v></cell><cell r="T3418" t="str"><v>Developers & ITI's</v></cell><cell r="U3418" t="str"><v>USA-Trial-ITD-Retargeting-AZR-AZR</v></cell><cell r="V3418" t="str"><v>Retargeting</v></cell><cell r="W3418" t="str"><v>Link Ad</v></cell><cell r="X3418" t="str"><v>1x1</v></cell></row><row r="3418"><cell r="AA3418"><v>43305</v></cell><cell r="AB3418" t="str"><v>USA_gaPMG_AZR_AZR_Q1_19_Direct-Social</v></cell><cell r="AC3418"><v>21358715</v></cell><cell r="AD3418"><v>720197</v></cell><cell r="AE3418" t="str"><v>Facebook</v></cell><cell r="AF3418"><v>3654128</v></cell><cell r="AG3418" t="str"><v>FACEBOOK»USA-Trial-ITD-Retargeting-AZR-AZR»1 x 1»SocialBan»LIA»ALL»CPA»RT»X»NA»SS»NA»FreeAcctITProFB-AnimatedHybrid-Ch2»PRC26N</v></cell><cell r="AH3418"><v>223934053</v></cell><cell r="AI3418" t="str"><v>AZR_FreeAcctITProFB-AnimatedHybrid-Ch2_USA_1200x1200_CAN_Direct_English_Trial_Standard_ANI_LEA_T2_2</v></cell><cell r="AJ3418"><v>103180583</v></cell></row><row r="3419"><cell r="C3419" t="str"><v>43305FACEBOOK»USA-Trial-ITD-Retargeting-AZR-AZR»1 x 1»SocialBan»LIA»ALL»CPA»RT»X»NA»SS»NA»FreeAcctITProFB-AnimatedMigration-Ch3»PRC26P</v></cell><cell r="D3419" t="str"><v>43305223934056</v></cell><cell r="E3419" t="str"><v>43305103176827PRC26P</v></cell><cell r="F3419" t="str"><v>DCM</v></cell></row><row r="3419"><cell r="K3419" t="str"><v>July</v></cell><cell r="L3419"><v>43309</v></cell><cell r="M3419" t="str"><v>Tier 0</v></cell><cell r="N3419" t="str"><v>North America</v></cell><cell r="O3419" t="str"><v>United States</v></cell><cell r="P3419" t="str"><v>Trial</v></cell><cell r="Q3419" t="str"><v>Social</v></cell><cell r="R3419" t="str"><v>Azure</v></cell><cell r="S3419" t="str"><v>Apps & Infra</v></cell><cell r="T3419" t="str"><v>Developers & ITI's</v></cell><cell r="U3419" t="str"><v>USA-Trial-ITD-Retargeting-AZR-AZR</v></cell><cell r="V3419" t="str"><v>Retargeting</v></cell><cell r="W3419" t="str"><v>Link Ad</v></cell><cell r="X3419" t="str"><v>1x1</v></cell></row><row r="3419"><cell r="AA3419"><v>43305</v></cell><cell r="AB3419" t="str"><v>USA_gaPMG_AZR_AZR_Q1_19_Direct-Social</v></cell><cell r="AC3419"><v>21358715</v></cell><cell r="AD3419"><v>720197</v></cell><cell r="AE3419" t="str"><v>Facebook</v></cell><cell r="AF3419"><v>3654128</v></cell><cell r="AG3419" t="str"><v>FACEBOOK»USA-Trial-ITD-Retargeting-AZR-AZR»1 x 1»SocialBan»LIA»ALL»CPA»RT»X»NA»SS»NA»FreeAcctITProFB-AnimatedMigration-Ch3»PRC26P</v></cell><cell r="AH3419"><v>223934056</v></cell><cell r="AI3419" t="str"><v>AZR_FreeAcctITProFB-AnimatedMigration-Ch3_USA_1200x1200_CAN_Direct_English_Trial_Standard_ANI_LEA_T3_1</v></cell><cell r="AJ3419"><v>103176827</v></cell></row><row r="3420"><cell r="C3420" t="str"><v>43305FACEBOOK»USA-Trial-ITD-Retargeting-AZR-AZR»1 x 1»SocialBan»LIA»ALL»CPA»RT»X»NA»SS»NA»FreeAcctRetargetingFB-Animated-ChC»PRC1RX</v></cell><cell r="D3420" t="str"><v>43305223862864</v></cell><cell r="E3420" t="str"><v>43305103180880PRC1RX</v></cell><cell r="F3420" t="str"><v>DCM</v></cell><cell r="G3420" t="str"><v>https://azure.microsoft.com/en-us/free/search/?OCID=AID%eexcid!_OLA_%ebuy!_%epid!_%ecid!</v></cell></row><row r="3420"><cell r="K3420" t="str"><v>July</v></cell><cell r="L3420"><v>43309</v></cell><cell r="M3420" t="str"><v>Tier 0</v></cell><cell r="N3420" t="str"><v>North America</v></cell><cell r="O3420" t="str"><v>United States</v></cell><cell r="P3420" t="str"><v>Trial</v></cell><cell r="Q3420" t="str"><v>Social</v></cell><cell r="R3420" t="str"><v>Azure</v></cell><cell r="S3420" t="str"><v>Apps & Infra</v></cell><cell r="T3420" t="str"><v>Developers & ITI's</v></cell><cell r="U3420" t="str"><v>USA-Trial-ITD-Retargeting-AZR-AZR</v></cell><cell r="V3420" t="str"><v>Retargeting</v></cell><cell r="W3420" t="str"><v>Link Ad</v></cell><cell r="X3420" t="str"><v>1x1</v></cell></row><row r="3420"><cell r="AA3420"><v>43305</v></cell><cell r="AB3420" t="str"><v>USA_gaPMG_AZR_AZR_Q1_19_Direct-Social</v></cell><cell r="AC3420"><v>21358715</v></cell><cell r="AD3420"><v>720197</v></cell><cell r="AE3420" t="str"><v>Facebook</v></cell><cell r="AF3420"><v>3654128</v></cell><cell r="AG3420" t="str"><v>FACEBOOK»USA-Trial-ITD-Retargeting-AZR-AZR»1 x 1»SocialBan»LIA»ALL»CPA»RT»X»NA»SS»NA»FreeAcctRetargetingFB-Animated-ChC»PRC1RX</v></cell><cell r="AH3420"><v>223862864</v></cell><cell r="AI3420" t="str"><v>AzurePlatform_FreeAcctRetargetingFB-Animated-ChC_USA_1200x628_CAN_PLATFORM_English_Free Account_Standard_ANI_SINU_T3_2</v></cell><cell r="AJ3420"><v>103180880</v></cell></row><row r="3421"><cell r="C3421" t="str"><v>43305FACEBOOK»USA-Trial-ITD-Retargeting-AZR-AZR»1 x 1»SocialBan»LIA»ALL»CPA»RT»X»NA»SS»NA»FreeAcctRetargetingFB-Credit-ChA»PRC1RV</v></cell><cell r="D3421" t="str"><v>43305224106075</v></cell><cell r="E3421" t="str"><v>43305103034917PRC1RV</v></cell><cell r="F3421" t="str"><v>DCM</v></cell><cell r="G3421" t="str"><v>https://azure.microsoft.com/en-us/free/search/?OCID=AID%eexcid!_OLA_%ebuy!_%epid!_%ecid!</v></cell></row><row r="3421"><cell r="K3421" t="str"><v>July</v></cell><cell r="L3421"><v>43309</v></cell><cell r="M3421" t="str"><v>Tier 0</v></cell><cell r="N3421" t="str"><v>North America</v></cell><cell r="O3421" t="str"><v>United States</v></cell><cell r="P3421" t="str"><v>Trial</v></cell><cell r="Q3421" t="str"><v>Social</v></cell><cell r="R3421" t="str"><v>Azure</v></cell><cell r="S3421" t="str"><v>Apps & Infra</v></cell><cell r="T3421" t="str"><v>Developers & ITI's</v></cell><cell r="U3421" t="str"><v>USA-Trial-ITD-Retargeting-AZR-AZR</v></cell><cell r="V3421" t="str"><v>Retargeting</v></cell><cell r="W3421" t="str"><v>Link Ad</v></cell><cell r="X3421" t="str"><v>1x1</v></cell></row><row r="3421"><cell r="AA3421"><v>43305</v></cell><cell r="AB3421" t="str"><v>USA_gaPMG_AZR_AZR_Q1_19_Direct-Social</v></cell><cell r="AC3421"><v>21358715</v></cell><cell r="AD3421"><v>720197</v></cell><cell r="AE3421" t="str"><v>Facebook</v></cell><cell r="AF3421"><v>3654128</v></cell><cell r="AG3421" t="str"><v>FACEBOOK»USA-Trial-ITD-Retargeting-AZR-AZR»1 x 1»SocialBan»LIA»ALL»CPA»RT»X»NA»SS»NA»FreeAcctRetargetingFB-Credit-ChA»PRC1RV</v></cell><cell r="AH3421"><v>224106075</v></cell><cell r="AI3421" t="str"><v>AzurePlatform_FreeAcctRetargetingFB-Credit-ChA_USA_1200x628_CAN_PLATFORM_English_Free Account_Standard_NA_SINU_T1_2</v></cell><cell r="AJ3421"><v>103034917</v></cell></row><row r="3422"><cell r="C3422" t="str"><v>43305FACEBOOK»USA-Trial-ITD-Retargeting-AZR-AZR»1 x 1»SocialBan»LIA»ALL»CPA»RT»X»NA»SS»NA»FreeAcctRetargetingFB-GlobalAlt-ChB»PRC1RW</v></cell><cell r="D3422" t="str"><v>43305223862756</v></cell><cell r="E3422" t="str"><v>43305103180592PRC1RW</v></cell><cell r="F3422" t="str"><v>DCM</v></cell><cell r="G3422" t="str"><v>https://azure.microsoft.com/en-us/free/search/?OCID=AID%eexcid!_OLA_%ebuy!_%epid!_%ecid!</v></cell></row><row r="3422"><cell r="K3422" t="str"><v>July</v></cell><cell r="L3422"><v>43309</v></cell><cell r="M3422" t="str"><v>Tier 0</v></cell><cell r="N3422" t="str"><v>North America</v></cell><cell r="O3422" t="str"><v>United States</v></cell><cell r="P3422" t="str"><v>Trial</v></cell><cell r="Q3422" t="str"><v>Social</v></cell><cell r="R3422" t="str"><v>Azure</v></cell><cell r="S3422" t="str"><v>Apps & Infra</v></cell><cell r="T3422" t="str"><v>Developers & ITI's</v></cell><cell r="U3422" t="str"><v>USA-Trial-ITD-Retargeting-AZR-AZR</v></cell><cell r="V3422" t="str"><v>Retargeting</v></cell><cell r="W3422" t="str"><v>Link Ad</v></cell><cell r="X3422" t="str"><v>1x1</v></cell></row><row r="3422"><cell r="AA3422"><v>43305</v></cell><cell r="AB3422" t="str"><v>USA_gaPMG_AZR_AZR_Q1_19_Direct-Social</v></cell><cell r="AC3422"><v>21358715</v></cell><cell r="AD3422"><v>720197</v></cell><cell r="AE3422" t="str"><v>Facebook</v></cell><cell r="AF3422"><v>3654128</v></cell><cell r="AG3422" t="str"><v>FACEBOOK»USA-Trial-ITD-Retargeting-AZR-AZR»1 x 1»SocialBan»LIA»ALL»CPA»RT»X»NA»SS»NA»FreeAcctRetargetingFB-GlobalAlt-ChB»PRC1RW</v></cell><cell r="AH3422"><v>223862756</v></cell><cell r="AI3422" t="str"><v>AzurePlatform_FreeAcctRetargetingFB-GlobalAlt-ChB_USA_1200x628_CAN_PLATFORM_English_Free Account_Standard_NA_SINU_T2_1</v></cell><cell r="AJ3422"><v>103180592</v></cell></row><row r="3423"><cell r="C3423" t="str"><v>43305FACEBOOK»USA-Trial-ITD-Retargeting-AZR-AZR»1 x 1»SocialBan»LIA»ALL»CPA»RT»X»NA»SS»NA»FreeAcctRetargetingVMFB-750Hrs-ChD»PRC1RY</v></cell><cell r="D3423" t="str"><v>43305223862747</v></cell><cell r="E3423" t="str"><v>43305103034911PRC1RY</v></cell><cell r="F3423" t="str"><v>DCM</v></cell><cell r="G3423" t="str"><v>https://azure.microsoft.com/en-us/free/virtual-machines/search/?OCID=AID%eexcid!_OLA_%ebuy!_%epid!_%ecid!</v></cell></row><row r="3423"><cell r="K3423" t="str"><v>July</v></cell><cell r="L3423"><v>43309</v></cell><cell r="M3423" t="str"><v>Tier 0</v></cell><cell r="N3423" t="str"><v>North America</v></cell><cell r="O3423" t="str"><v>United States</v></cell><cell r="P3423" t="str"><v>Trial</v></cell><cell r="Q3423" t="str"><v>Social</v></cell><cell r="R3423" t="str"><v>Azure</v></cell><cell r="S3423" t="str"><v>Apps & Infra</v></cell><cell r="T3423" t="str"><v>Developers & ITI's</v></cell><cell r="U3423" t="str"><v>USA-Trial-ITD-Retargeting-AZR-AZR</v></cell><cell r="V3423" t="str"><v>Retargeting</v></cell><cell r="W3423" t="str"><v>Link Ad</v></cell><cell r="X3423" t="str"><v>1x1</v></cell></row><row r="3423"><cell r="AA3423"><v>43305</v></cell><cell r="AB3423" t="str"><v>USA_gaPMG_AZR_AZR_Q1_19_Direct-Social</v></cell><cell r="AC3423"><v>21358715</v></cell><cell r="AD3423"><v>720197</v></cell><cell r="AE3423" t="str"><v>Facebook</v></cell><cell r="AF3423"><v>3654128</v></cell><cell r="AG3423" t="str"><v>FACEBOOK»USA-Trial-ITD-Retargeting-AZR-AZR»1 x 1»SocialBan»LIA»ALL»CPA»RT»X»NA»SS»NA»FreeAcctRetargetingVMFB-750Hrs-ChD»PRC1RY</v></cell><cell r="AH3423"><v>223862747</v></cell><cell r="AI3423" t="str"><v>AzurePlatform_FreeAcctRetargetingVMFB-750Hrs-ChD_USA_1200x628_CAN_PLATFORM_English_Free Account_Standard_NA_SINU_T1_1</v></cell><cell r="AJ3423"><v>103034911</v></cell></row><row r="3424"><cell r="C3424" t="str"><v>43305FACEBOOK»USA-Trial-ITD-Retargeting-AZR-AZR»1 x 1»SocialBan»LIA»ALL»CPA»RT»X»NA»SS»NA»FreeAcctRetargetingVMFB-OnDemand-ChE»PRC1S0</v></cell><cell r="D3424" t="str"><v>43305224104899</v></cell><cell r="E3424" t="str"><v>43305103180610PRC1S0</v></cell><cell r="F3424" t="str"><v>DCM</v></cell><cell r="G3424" t="str"><v>https://azure.microsoft.com/en-us/free/virtual-machines/search/?OCID=AID%eexcid!_OLA_%ebuy!_%epid!_%ecid!</v></cell></row><row r="3424"><cell r="K3424" t="str"><v>July</v></cell><cell r="L3424"><v>43309</v></cell><cell r="M3424" t="str"><v>Tier 0</v></cell><cell r="N3424" t="str"><v>North America</v></cell><cell r="O3424" t="str"><v>United States</v></cell><cell r="P3424" t="str"><v>Trial</v></cell><cell r="Q3424" t="str"><v>Social</v></cell><cell r="R3424" t="str"><v>Azure</v></cell><cell r="S3424" t="str"><v>Apps & Infra</v></cell><cell r="T3424" t="str"><v>Developers & ITI's</v></cell><cell r="U3424" t="str"><v>USA-Trial-ITD-Retargeting-AZR-AZR</v></cell><cell r="V3424" t="str"><v>Retargeting</v></cell><cell r="W3424" t="str"><v>Link Ad</v></cell><cell r="X3424" t="str"><v>1x1</v></cell></row><row r="3424"><cell r="AA3424"><v>43305</v></cell><cell r="AB3424" t="str"><v>USA_gaPMG_AZR_AZR_Q1_19_Direct-Social</v></cell><cell r="AC3424"><v>21358715</v></cell><cell r="AD3424"><v>720197</v></cell><cell r="AE3424" t="str"><v>Facebook</v></cell><cell r="AF3424"><v>3654128</v></cell><cell r="AG3424" t="str"><v>FACEBOOK»USA-Trial-ITD-Retargeting-AZR-AZR»1 x 1»SocialBan»LIA»ALL»CPA»RT»X»NA»SS»NA»FreeAcctRetargetingVMFB-OnDemand-ChE»PRC1S0</v></cell><cell r="AH3424"><v>224104899</v></cell><cell r="AI3424" t="str"><v>AzurePlatform_FreeAcctRetargetingVMFB-OnDemand-ChE_USA_1200x628_CAN_PLATFORM_English_Free Account_Standard_NA_SINU_T2_1</v></cell><cell r="AJ3424"><v>103180610</v></cell></row><row r="3425"><cell r="C3425" t="str"><v>43305FACEBOOK»USA-Trial-ITD-Retargeting-AZR-AZR»1 x 1»SocialBan»CAN»ALL»CPA»RT»X»NA»SS»NA»FBCTCBenefit2inMotion»PRC1RR</v></cell><cell r="D3425" t="str"><v>43305224104896</v></cell><cell r="E3425" t="str"><v>43305103043835PRC1RR</v></cell><cell r="F3425" t="str"><v>DCM</v></cell><cell r="G3425" t="str"><v>https://signup.azure.com/?OCID=AID%eexcid!_OLA_%ebuy!_%epid!_%ecid!</v></cell></row><row r="3425"><cell r="K3425" t="str"><v>July</v></cell><cell r="L3425"><v>43309</v></cell><cell r="M3425" t="str"><v>Tier 0</v></cell><cell r="N3425" t="str"><v>North America</v></cell><cell r="O3425" t="str"><v>United States</v></cell><cell r="P3425" t="str"><v>Trial</v></cell><cell r="Q3425" t="str"><v>Social</v></cell><cell r="R3425" t="str"><v>Azure</v></cell><cell r="S3425" t="str"><v>Apps & Infra</v></cell><cell r="T3425" t="str"><v>Developers & ITI's</v></cell><cell r="U3425" t="str"><v>USA-Trial-ITD-Retargeting-AZR-AZR</v></cell><cell r="V3425" t="str"><v>Retargeting</v></cell><cell r="W3425" t="str"><v>Canvas Ad</v></cell><cell r="X3425" t="str"><v>1x1</v></cell></row><row r="3425"><cell r="AA3425"><v>43305</v></cell><cell r="AB3425" t="str"><v>USA_gaPMG_AZR_AZR_Q1_19_Direct-Social</v></cell><cell r="AC3425"><v>21358715</v></cell><cell r="AD3425"><v>720197</v></cell><cell r="AE3425" t="str"><v>Facebook</v></cell><cell r="AF3425"><v>3654128</v></cell><cell r="AG3425" t="str"><v>FACEBOOK»USA-Trial-ITD-Retargeting-AZR-AZR»1 x 1»SocialBan»CAN»ALL»CPA»RT»X»NA»SS»NA»FBCTCBenefit2inMotion»PRC1RR</v></cell><cell r="AH3425"><v>224104896</v></cell><cell r="AI3425" t="str"><v>AzurePlatform_FBCTCBenefit2inMotion_USA_10s_CAN_PLATFORM_English_Trial_Standard_STAN_TIN_T4_1</v></cell><cell r="AJ3425"><v>103043835</v></cell></row><row r="3426"><cell r="C3426" t="str"><v>43305FACEBOOK»USA-Trial-ITD-Retargeting-AZR-AZR»1 x 1»SocialBan»CAN»ALL»CPA»RT»X»NA»SS»NA»FBCTCBrandinMotion»PRC1RT</v></cell><cell r="D3426" t="str"><v>43305224106069</v></cell><cell r="E3426" t="str"><v>43305103176812PRC1RT</v></cell><cell r="F3426" t="str"><v>DCM</v></cell><cell r="G3426" t="str"><v>https://signup.azure.com/?OCID=AID%eexcid!_OLA_%ebuy!_%epid!_%ecid!</v></cell></row><row r="3426"><cell r="K3426" t="str"><v>July</v></cell><cell r="L3426"><v>43309</v></cell><cell r="M3426" t="str"><v>Tier 0</v></cell><cell r="N3426" t="str"><v>North America</v></cell><cell r="O3426" t="str"><v>United States</v></cell><cell r="P3426" t="str"><v>Trial</v></cell><cell r="Q3426" t="str"><v>Social</v></cell><cell r="R3426" t="str"><v>Azure</v></cell><cell r="S3426" t="str"><v>Apps & Infra</v></cell><cell r="T3426" t="str"><v>Developers & ITI's</v></cell><cell r="U3426" t="str"><v>USA-Trial-ITD-Retargeting-AZR-AZR</v></cell><cell r="V3426" t="str"><v>Retargeting</v></cell><cell r="W3426" t="str"><v>Canvas Ad</v></cell><cell r="X3426" t="str"><v>1x1</v></cell></row><row r="3426"><cell r="AA3426"><v>43305</v></cell><cell r="AB3426" t="str"><v>USA_gaPMG_AZR_AZR_Q1_19_Direct-Social</v></cell><cell r="AC3426"><v>21358715</v></cell><cell r="AD3426"><v>720197</v></cell><cell r="AE3426" t="str"><v>Facebook</v></cell><cell r="AF3426"><v>3654128</v></cell><cell r="AG3426" t="str"><v>FACEBOOK»USA-Trial-ITD-Retargeting-AZR-AZR»1 x 1»SocialBan»CAN»ALL»CPA»RT»X»NA»SS»NA»FBCTCBrandinMotion»PRC1RT</v></cell><cell r="AH3426"><v>224106069</v></cell><cell r="AI3426" t="str"><v>AzurePlatform_FBCTCBrandinMotion_USA_10s_CAN_PLATFORM_English_Trial_Standard_STAN_TIN_T2_1</v></cell><cell r="AJ3426"><v>103176812</v></cell></row><row r="3427"><cell r="C3427" t="str"><v>43305FACEBOOK»USA-Trial-ITD-Trial Lookalike-AZR-AZR»1 x 1»SocialBan»CAN»ALL»CPA»LAL»X»NA»SS»NA»FBCTCBenefit2inMotion»PRC1M0</v></cell><cell r="D3427" t="str"><v>43305223862927</v></cell><cell r="E3427" t="str"><v>43305103043835PRC1M0</v></cell><cell r="F3427" t="str"><v>DCM</v></cell><cell r="G3427" t="str"><v>https://signup.azure.com/?OCID=AID%eexcid!_OLA_%ebuy!_%epid!_%ecid!</v></cell></row><row r="3427"><cell r="K3427" t="str"><v>July</v></cell><cell r="L3427"><v>43309</v></cell><cell r="M3427" t="str"><v>Tier 0</v></cell><cell r="N3427" t="str"><v>North America</v></cell><cell r="O3427" t="str"><v>United States</v></cell><cell r="P3427" t="str"><v>Trial</v></cell><cell r="Q3427" t="str"><v>Social</v></cell><cell r="R3427" t="str"><v>Azure</v></cell><cell r="S3427" t="str"><v>Apps & Infra</v></cell><cell r="T3427" t="str"><v>Developers & ITI's</v></cell><cell r="U3427" t="str"><v>USA-Trial-ITD-Trial Lookalike-AZR-AZR</v></cell><cell r="V3427" t="str"><v>Lookalike Targeting</v></cell><cell r="W3427" t="str"><v>Canvas Ad</v></cell><cell r="X3427" t="str"><v>1x1</v></cell></row><row r="3427"><cell r="AA3427"><v>43305</v></cell><cell r="AB3427" t="str"><v>USA_gaPMG_AZR_AZR_Q1_19_Direct-Social</v></cell><cell r="AC3427"><v>21358715</v></cell><cell r="AD3427"><v>720197</v></cell><cell r="AE3427" t="str"><v>Facebook</v></cell><cell r="AF3427"><v>3654128</v></cell><cell r="AG3427" t="str"><v>FACEBOOK»USA-Trial-ITD-Trial Lookalike-AZR-AZR»1 x 1»SocialBan»CAN»ALL»CPA»LAL»X»NA»SS»NA»FBCTCBenefit2inMotion»PRC1M0</v></cell><cell r="AH3427"><v>223862927</v></cell><cell r="AI3427" t="str"><v>AzurePlatform_FBCTCBenefit2inMotion_USA_10s_CAN_PLATFORM_English_Trial_Standard_STAN_TIN_T4_1</v></cell><cell r="AJ3427"><v>103043835</v></cell></row><row r="3428"><cell r="C3428" t="str"><v>43305FACEBOOK»USA-Trial-ITD-Trial Lookalike-AZR-AZR»1 x 1»SocialBan»CAN»ALL»CPA»LAL»X»NA»SS»NA»FBCTCBenefit2inMotion»PRC1M0</v></cell><cell r="D3428" t="str"><v>43305223862927</v></cell><cell r="E3428" t="str"><v>43305103178645PRC1M0</v></cell><cell r="F3428" t="str"><v>DCM</v></cell><cell r="G3428" t="str"><v>https://azure.microsoft.com/en-us/pricing/purchase-options/?v=18.19&OCID=AID%eexcid!_OLA_%ebuy!_%epid!_%ecid!</v></cell></row><row r="3428"><cell r="K3428" t="str"><v>July</v></cell><cell r="L3428"><v>43309</v></cell><cell r="M3428" t="str"><v>Tier 0</v></cell><cell r="N3428" t="str"><v>North America</v></cell><cell r="O3428" t="str"><v>United States</v></cell><cell r="P3428" t="str"><v>Trial</v></cell><cell r="Q3428" t="str"><v>Social</v></cell><cell r="R3428" t="str"><v>Azure</v></cell><cell r="S3428" t="str"><v>Apps & Infra</v></cell><cell r="T3428" t="str"><v>Developers & ITI's</v></cell><cell r="U3428" t="str"><v>USA-Trial-ITD-Trial Lookalike-AZR-AZR</v></cell><cell r="V3428" t="str"><v>Lookalike Targeting</v></cell><cell r="W3428" t="str"><v>Canvas Ad</v></cell><cell r="X3428" t="str"><v>1x1</v></cell></row><row r="3428"><cell r="AA3428"><v>43305</v></cell><cell r="AB3428" t="str"><v>USA_gaPMG_AZR_AZR_Q1_19_Direct-Social</v></cell><cell r="AC3428"><v>21358715</v></cell><cell r="AD3428"><v>720197</v></cell><cell r="AE3428" t="str"><v>Facebook</v></cell><cell r="AF3428"><v>3654128</v></cell><cell r="AG3428" t="str"><v>FACEBOOK»USA-Trial-ITD-Trial Lookalike-AZR-AZR»1 x 1»SocialBan»CAN»ALL»CPA»LAL»X»NA»SS»NA»FBCTCBenefit2inMotion»PRC1M0</v></cell><cell r="AH3428"><v>223862927</v></cell><cell r="AI3428" t="str"><v>AzurePlatform_FBCTCBenefit2inMotion_USA_10s_CAN_PLATFORM_English_Trial_Standard_STAN_TIN_T4_2</v></cell><cell r="AJ3428"><v>103178645</v></cell></row><row r="3429"><cell r="C3429" t="str"><v>43305FACEBOOK»USA-Trial-ITD-Trial Lookalike-AZR-AZR»1 x 1»SocialBan»LIA»ALL»CPA»LAL»X»NA»SS»NA»FreeAcctDeveloperFB-AnimatedAI-Ch3»PRC1M7</v></cell><cell r="D3429" t="str"><v>43305223934104</v></cell><cell r="E3429" t="str"><v>43305103032778PRC1M7</v></cell><cell r="F3429" t="str"><v>DCM</v></cell></row><row r="3429"><cell r="K3429" t="str"><v>July</v></cell><cell r="L3429"><v>43309</v></cell><cell r="M3429" t="str"><v>Tier 0</v></cell><cell r="N3429" t="str"><v>North America</v></cell><cell r="O3429" t="str"><v>United States</v></cell><cell r="P3429" t="str"><v>Trial</v></cell><cell r="Q3429" t="str"><v>Social</v></cell><cell r="R3429" t="str"><v>Azure</v></cell><cell r="S3429" t="str"><v>Apps & Infra</v></cell><cell r="T3429" t="str"><v>Developers & ITI's</v></cell><cell r="U3429" t="str"><v>USA-Trial-ITD-Trial Lookalike-AZR-AZR</v></cell><cell r="V3429" t="str"><v>Lookalike Targeting</v></cell><cell r="W3429" t="str"><v>Link Ad</v></cell><cell r="X3429" t="str"><v>1x1</v></cell></row><row r="3429"><cell r="AA3429"><v>43305</v></cell><cell r="AB3429" t="str"><v>USA_gaPMG_AZR_AZR_Q1_19_Direct-Social</v></cell><cell r="AC3429"><v>21358715</v></cell><cell r="AD3429"><v>720197</v></cell><cell r="AE3429" t="str"><v>Facebook</v></cell><cell r="AF3429"><v>3654128</v></cell><cell r="AG3429" t="str"><v>FACEBOOK»USA-Trial-ITD-Trial Lookalike-AZR-AZR»1 x 1»SocialBan»LIA»ALL»CPA»LAL»X»NA»SS»NA»FreeAcctDeveloperFB-AnimatedAI-Ch3»PRC1M7</v></cell><cell r="AH3429"><v>223934104</v></cell><cell r="AI3429" t="str"><v>AZR_FreeAcctDeveloperFB-AnimatedAI-Ch3_USA_1200x1200_CAN_Direct_English_Trial_Standard_ANI_LEA_T3_1</v></cell><cell r="AJ3429"><v>103032778</v></cell></row><row r="3430"><cell r="C3430" t="str"><v>43305FACEBOOK»USA-Trial-ITD-Trial Lookalike-AZR-AZR»1 x 1»SocialBan»LIA»ALL»CPA»LAL»X»NA»SS»NA»FreeAcctDeveloperFB-AnimatedData-Ch4»PRC1M8</v></cell><cell r="D3430" t="str"><v>43305223862933</v></cell><cell r="E3430" t="str"><v>43305103037935PRC1M8</v></cell><cell r="F3430" t="str"><v>DCM</v></cell></row><row r="3430"><cell r="K3430" t="str"><v>July</v></cell><cell r="L3430"><v>43309</v></cell><cell r="M3430" t="str"><v>Tier 0</v></cell><cell r="N3430" t="str"><v>North America</v></cell><cell r="O3430" t="str"><v>United States</v></cell><cell r="P3430" t="str"><v>Trial</v></cell><cell r="Q3430" t="str"><v>Social</v></cell><cell r="R3430" t="str"><v>Azure</v></cell><cell r="S3430" t="str"><v>Apps & Infra</v></cell><cell r="T3430" t="str"><v>Developers & ITI's</v></cell><cell r="U3430" t="str"><v>USA-Trial-ITD-Trial Lookalike-AZR-AZR</v></cell><cell r="V3430" t="str"><v>Lookalike Targeting</v></cell><cell r="W3430" t="str"><v>Link Ad</v></cell><cell r="X3430" t="str"><v>1x1</v></cell></row><row r="3430"><cell r="AA3430"><v>43305</v></cell><cell r="AB3430" t="str"><v>USA_gaPMG_AZR_AZR_Q1_19_Direct-Social</v></cell><cell r="AC3430"><v>21358715</v></cell><cell r="AD3430"><v>720197</v></cell><cell r="AE3430" t="str"><v>Facebook</v></cell><cell r="AF3430"><v>3654128</v></cell><cell r="AG3430" t="str"><v>FACEBOOK»USA-Trial-ITD-Trial Lookalike-AZR-AZR»1 x 1»SocialBan»LIA»ALL»CPA»LAL»X»NA»SS»NA»FreeAcctDeveloperFB-AnimatedData-Ch4»PRC1M8</v></cell><cell r="AH3430"><v>223862933</v></cell><cell r="AI3430" t="str"><v>AZR_FreeAcctDeveloperFB-AnimatedData-Ch4_USA_1200x1200_CAN_Direct_English_Trial_Standard_ANI_LEA_T4_2</v></cell><cell r="AJ3430"><v>103037935</v></cell></row><row r="3431"><cell r="C3431" t="str"><v>43305FACEBOOK»USA-Trial-ITD-Trial Lookalike-AZR-AZR»1 x 1»SocialBan»LIA»ALL»CPA»LAL»X»NA»SS»NA»FreeAcctITProFB-AnimatedHybrid-Ch2»PRC1MC</v></cell><cell r="D3431" t="str"><v>43305224104956</v></cell><cell r="E3431" t="str"><v>43305103180583PRC1MC</v></cell><cell r="F3431" t="str"><v>DCM</v></cell></row><row r="3431"><cell r="K3431" t="str"><v>July</v></cell><cell r="L3431"><v>43309</v></cell><cell r="M3431" t="str"><v>Tier 0</v></cell><cell r="N3431" t="str"><v>North America</v></cell><cell r="O3431" t="str"><v>United States</v></cell><cell r="P3431" t="str"><v>Trial</v></cell><cell r="Q3431" t="str"><v>Social</v></cell><cell r="R3431" t="str"><v>Azure</v></cell><cell r="S3431" t="str"><v>Apps & Infra</v></cell><cell r="T3431" t="str"><v>Developers & ITI's</v></cell><cell r="U3431" t="str"><v>USA-Trial-ITD-Trial Lookalike-AZR-AZR</v></cell><cell r="V3431" t="str"><v>Lookalike Targeting</v></cell><cell r="W3431" t="str"><v>Link Ad</v></cell><cell r="X3431" t="str"><v>1x1</v></cell></row><row r="3431"><cell r="AA3431"><v>43305</v></cell><cell r="AB3431" t="str"><v>USA_gaPMG_AZR_AZR_Q1_19_Direct-Social</v></cell><cell r="AC3431"><v>21358715</v></cell><cell r="AD3431"><v>720197</v></cell><cell r="AE3431" t="str"><v>Facebook</v></cell><cell r="AF3431"><v>3654128</v></cell><cell r="AG3431" t="str"><v>FACEBOOK»USA-Trial-ITD-Trial Lookalike-AZR-AZR»1 x 1»SocialBan»LIA»ALL»CPA»LAL»X»NA»SS»NA»FreeAcctITProFB-AnimatedHybrid-Ch2»PRC1MC</v></cell><cell r="AH3431"><v>224104956</v></cell><cell r="AI3431" t="str"><v>AZR_FreeAcctITProFB-AnimatedHybrid-Ch2_USA_1200x1200_CAN_Direct_English_Trial_Standard_ANI_LEA_T2_2</v></cell><cell r="AJ3431"><v>103180583</v></cell></row><row r="3432"><cell r="C3432" t="str"><v>43305FACEBOOK»USA-Trial-ITD-Trial Lookalike-AZR-AZR»1 x 1»SocialBan»CAN»ALL»CPA»LAL»X»NA»SS»NA»FBCTCBrandinMotion»PRC1M3</v></cell><cell r="D3432" t="str"><v>43305223862900</v></cell><cell r="E3432" t="str"><v>43305103176812PRC1M3</v></cell><cell r="F3432" t="str"><v>DCM</v></cell><cell r="G3432" t="str"><v>https://signup.azure.com/?OCID=AID%eexcid!_OLA_%ebuy!_%epid!_%ecid!</v></cell></row><row r="3432"><cell r="K3432" t="str"><v>July</v></cell><cell r="L3432"><v>43309</v></cell><cell r="M3432" t="str"><v>Tier 0</v></cell><cell r="N3432" t="str"><v>North America</v></cell><cell r="O3432" t="str"><v>United States</v></cell><cell r="P3432" t="str"><v>Trial</v></cell><cell r="Q3432" t="str"><v>Social</v></cell><cell r="R3432" t="str"><v>Azure</v></cell><cell r="S3432" t="str"><v>Apps & Infra</v></cell><cell r="T3432" t="str"><v>Developers & ITI's</v></cell><cell r="U3432" t="str"><v>USA-Trial-ITD-Trial Lookalike-AZR-AZR</v></cell><cell r="V3432" t="str"><v>Lookalike Targeting</v></cell><cell r="W3432" t="str"><v>Canvas Ad</v></cell><cell r="X3432" t="str"><v>1x1</v></cell></row><row r="3432"><cell r="AA3432"><v>43305</v></cell><cell r="AB3432" t="str"><v>USA_gaPMG_AZR_AZR_Q1_19_Direct-Social</v></cell><cell r="AC3432"><v>21358715</v></cell><cell r="AD3432"><v>720197</v></cell><cell r="AE3432" t="str"><v>Facebook</v></cell><cell r="AF3432"><v>3654128</v></cell><cell r="AG3432" t="str"><v>FACEBOOK»USA-Trial-ITD-Trial Lookalike-AZR-AZR»1 x 1»SocialBan»CAN»ALL»CPA»LAL»X»NA»SS»NA»FBCTCBrandinMotion»PRC1M3</v></cell><cell r="AH3432"><v>223862900</v></cell><cell r="AI3432" t="str"><v>AzurePlatform_FBCTCBrandinMotion_USA_10s_CAN_PLATFORM_English_Trial_Standard_STAN_TIN_T2_1</v></cell><cell r="AJ3432"><v>103176812</v></cell></row><row r="3433"><cell r="C3433" t="str"><v>43305FACEBOOK»USA-Trial-ITD-Trial Lookalike-AZR-AZR»1 x 1»SocialBan»CAN»ALL»CPA»LAL»X»NA»SS»NA»FBCTCBrandinMotion»PRC1M3</v></cell><cell r="D3433" t="str"><v>43305223862900</v></cell><cell r="E3433" t="str"><v>43305103032823PRC1M3</v></cell><cell r="F3433" t="str"><v>DCM</v></cell><cell r="G3433" t="str"><v>https://azure.microsoft.com/en-us/pricing/purchase-options/?v=18.19&OCID=AID%eexcid!_OLA_%ebuy!_%epid!_%ecid!</v></cell></row><row r="3433"><cell r="K3433" t="str"><v>July</v></cell><cell r="L3433"><v>43309</v></cell><cell r="M3433" t="str"><v>Tier 0</v></cell><cell r="N3433" t="str"><v>North America</v></cell><cell r="O3433" t="str"><v>United States</v></cell><cell r="P3433" t="str"><v>Trial</v></cell><cell r="Q3433" t="str"><v>Social</v></cell><cell r="R3433" t="str"><v>Azure</v></cell><cell r="S3433" t="str"><v>Apps & Infra</v></cell><cell r="T3433" t="str"><v>Developers & ITI's</v></cell><cell r="U3433" t="str"><v>USA-Trial-ITD-Trial Lookalike-AZR-AZR</v></cell><cell r="V3433" t="str"><v>Lookalike Targeting</v></cell><cell r="W3433" t="str"><v>Canvas Ad</v></cell><cell r="X3433" t="str"><v>1x1</v></cell></row><row r="3433"><cell r="AA3433"><v>43305</v></cell><cell r="AB3433" t="str"><v>USA_gaPMG_AZR_AZR_Q1_19_Direct-Social</v></cell><cell r="AC3433"><v>21358715</v></cell><cell r="AD3433"><v>720197</v></cell><cell r="AE3433" t="str"><v>Facebook</v></cell><cell r="AF3433"><v>3654128</v></cell><cell r="AG3433" t="str"><v>FACEBOOK»USA-Trial-ITD-Trial Lookalike-AZR-AZR»1 x 1»SocialBan»CAN»ALL»CPA»LAL»X»NA»SS»NA»FBCTCBrandinMotion»PRC1M3</v></cell><cell r="AH3433"><v>223862900</v></cell><cell r="AI3433" t="str"><v>AzurePlatform_FBCTCBrandinMotion_USA_10s_CAN_PLATFORM_English_Trial_Standard_STAN_TIN_T2_2</v></cell><cell r="AJ3433"><v>103032823</v></cell></row><row r="3434"><cell r="C3434" t="str"><v>43305FACEBOOK»USA-Trial-ITD-Trial PayGo Lookalike-AZR-AZR»1 x 1»SocialBan»CAN»ALL»CPA»LAL»X»NA»SS»NA»FBCTCBenefit2inMotion»PRC1Q1</v></cell><cell r="D3434" t="str"><v>43305224104986</v></cell><cell r="E3434" t="str"><v>43305103043835PRC1Q1</v></cell><cell r="F3434" t="str"><v>DCM</v></cell><cell r="G3434" t="str"><v>https://signup.azure.com/?OCID=AID%eexcid!_OLA_%ebuy!_%epid!_%ecid!</v></cell></row><row r="3434"><cell r="K3434" t="str"><v>July</v></cell><cell r="L3434"><v>43309</v></cell><cell r="M3434" t="str"><v>Tier 0</v></cell><cell r="N3434" t="str"><v>North America</v></cell><cell r="O3434" t="str"><v>United States</v></cell><cell r="P3434" t="str"><v>Trial</v></cell><cell r="Q3434" t="str"><v>Social</v></cell><cell r="R3434" t="str"><v>Azure</v></cell><cell r="S3434" t="str"><v>Apps & Infra</v></cell><cell r="T3434" t="str"><v>Developers & ITI's</v></cell><cell r="U3434" t="str"><v>USA-Trial-ITD-Trial PayGo Lookalike-AZR-AZR</v></cell><cell r="V3434" t="str"><v>Lookalike Targeting</v></cell><cell r="W3434" t="str"><v>Canvas Ad</v></cell><cell r="X3434" t="str"><v>1x1</v></cell></row><row r="3434"><cell r="AA3434"><v>43305</v></cell><cell r="AB3434" t="str"><v>USA_gaPMG_AZR_AZR_Q1_19_Direct-Social</v></cell><cell r="AC3434"><v>21358715</v></cell><cell r="AD3434"><v>720197</v></cell><cell r="AE3434" t="str"><v>Facebook</v></cell><cell r="AF3434"><v>3654128</v></cell><cell r="AG3434" t="str"><v>FACEBOOK»USA-Trial-ITD-Trial PayGo Lookalike-AZR-AZR»1 x 1»SocialBan»CAN»ALL»CPA»LAL»X»NA»SS»NA»FBCTCBenefit2inMotion»PRC1Q1</v></cell><cell r="AH3434"><v>224104986</v></cell><cell r="AI3434" t="str"><v>AzurePlatform_FBCTCBenefit2inMotion_USA_10s_CAN_PLATFORM_English_Trial_Standard_STAN_TIN_T4_1</v></cell><cell r="AJ3434"><v>103043835</v></cell></row><row r="3435"><cell r="C3435" t="str"><v>43305FACEBOOK»USA-Trial-ITD-Trial PayGo Lookalike-AZR-AZR»1 x 1»SocialBan»CAN»ALL»CPA»LAL»X»NA»SS»NA»FBCTCBenefit2inMotion»PRC1Q1</v></cell><cell r="D3435" t="str"><v>43305224104986</v></cell><cell r="E3435" t="str"><v>43305103178645PRC1Q1</v></cell><cell r="F3435" t="str"><v>DCM</v></cell><cell r="G3435" t="str"><v>https://azure.microsoft.com/en-us/pricing/purchase-options/?v=18.19&OCID=AID%eexcid!_OLA_%ebuy!_%epid!_%ecid!</v></cell></row><row r="3435"><cell r="K3435" t="str"><v>July</v></cell><cell r="L3435"><v>43309</v></cell><cell r="M3435" t="str"><v>Tier 0</v></cell><cell r="N3435" t="str"><v>North America</v></cell><cell r="O3435" t="str"><v>United States</v></cell><cell r="P3435" t="str"><v>Trial</v></cell><cell r="Q3435" t="str"><v>Social</v></cell><cell r="R3435" t="str"><v>Azure</v></cell><cell r="S3435" t="str"><v>Apps & Infra</v></cell><cell r="T3435" t="str"><v>Developers & ITI's</v></cell><cell r="U3435" t="str"><v>USA-Trial-ITD-Trial PayGo Lookalike-AZR-AZR</v></cell><cell r="V3435" t="str"><v>Lookalike Targeting</v></cell><cell r="W3435" t="str"><v>Canvas Ad</v></cell><cell r="X3435" t="str"><v>1x1</v></cell></row><row r="3435"><cell r="AA3435"><v>43305</v></cell><cell r="AB3435" t="str"><v>USA_gaPMG_AZR_AZR_Q1_19_Direct-Social</v></cell><cell r="AC3435"><v>21358715</v></cell><cell r="AD3435"><v>720197</v></cell><cell r="AE3435" t="str"><v>Facebook</v></cell><cell r="AF3435"><v>3654128</v></cell><cell r="AG3435" t="str"><v>FACEBOOK»USA-Trial-ITD-Trial PayGo Lookalike-AZR-AZR»1 x 1»SocialBan»CAN»ALL»CPA»LAL»X»NA»SS»NA»FBCTCBenefit2inMotion»PRC1Q1</v></cell><cell r="AH3435"><v>224104986</v></cell><cell r="AI3435" t="str"><v>AzurePlatform_FBCTCBenefit2inMotion_USA_10s_CAN_PLATFORM_English_Trial_Standard_STAN_TIN_T4_2</v></cell><cell r="AJ3435"><v>103178645</v></cell></row><row r="3436"><cell r="C3436" t="str"><v>43305FACEBOOK»USA-Trial-ITD-Trial PayGo Lookalike-AZR-AZR»1 x 1»SocialBan»CAN»ALL»CPA»LAL»X»NA»SS»NA»FBCTCBrandinMotion»PRC1Q3</v></cell><cell r="D3436" t="str"><v>43305223935349</v></cell><cell r="E3436" t="str"><v>43305103176812PRC1Q3</v></cell><cell r="F3436" t="str"><v>DCM</v></cell><cell r="G3436" t="str"><v>https://signup.azure.com/?OCID=AID%eexcid!_OLA_%ebuy!_%epid!_%ecid!</v></cell></row><row r="3436"><cell r="K3436" t="str"><v>July</v></cell><cell r="L3436"><v>43309</v></cell><cell r="M3436" t="str"><v>Tier 0</v></cell><cell r="N3436" t="str"><v>North America</v></cell><cell r="O3436" t="str"><v>United States</v></cell><cell r="P3436" t="str"><v>Trial</v></cell><cell r="Q3436" t="str"><v>Social</v></cell><cell r="R3436" t="str"><v>Azure</v></cell><cell r="S3436" t="str"><v>Apps & Infra</v></cell><cell r="T3436" t="str"><v>Developers & ITI's</v></cell><cell r="U3436" t="str"><v>USA-Trial-ITD-Trial PayGo Lookalike-AZR-AZR</v></cell><cell r="V3436" t="str"><v>Lookalike Targeting</v></cell><cell r="W3436" t="str"><v>Canvas Ad</v></cell><cell r="X3436" t="str"><v>1x1</v></cell></row><row r="3436"><cell r="AA3436"><v>43305</v></cell><cell r="AB3436" t="str"><v>USA_gaPMG_AZR_AZR_Q1_19_Direct-Social</v></cell><cell r="AC3436"><v>21358715</v></cell><cell r="AD3436"><v>720197</v></cell><cell r="AE3436" t="str"><v>Facebook</v></cell><cell r="AF3436"><v>3654128</v></cell><cell r="AG3436" t="str"><v>FACEBOOK»USA-Trial-ITD-Trial PayGo Lookalike-AZR-AZR»1 x 1»SocialBan»CAN»ALL»CPA»LAL»X»NA»SS»NA»FBCTCBrandinMotion»PRC1Q3</v></cell><cell r="AH3436"><v>223935349</v></cell><cell r="AI3436" t="str"><v>AzurePlatform_FBCTCBrandinMotion_USA_10s_CAN_PLATFORM_English_Trial_Standard_STAN_TIN_T2_1</v></cell><cell r="AJ3436"><v>103176812</v></cell></row><row r="3437"><cell r="C3437" t="str"><v>43305FACEBOOK»USA-Trial-ITD-Trial PayGo Lookalike-AZR-AZR»1 x 1»SocialBan»LIA»ALL»CPA»LAL»X»NA»SS»NA»FreeAcctDeveloperFB-AnimatedGeneric-Ch1»PRC1Q6</v></cell><cell r="D3437" t="str"><v>43305224106129</v></cell><cell r="E3437" t="str"><v>43305103176851PRC1Q6</v></cell><cell r="F3437" t="str"><v>DCM</v></cell><cell r="G3437" t="str"><v>https://azure.microsoft.com/en-us/free/search/?OCID=AID%eexcid!_OLA_%ebuy!_%epid!_%ecid!</v></cell></row><row r="3437"><cell r="K3437" t="str"><v>July</v></cell><cell r="L3437"><v>43309</v></cell><cell r="M3437" t="str"><v>Tier 0</v></cell><cell r="N3437" t="str"><v>North America</v></cell><cell r="O3437" t="str"><v>United States</v></cell><cell r="P3437" t="str"><v>Trial</v></cell><cell r="Q3437" t="str"><v>Social</v></cell><cell r="R3437" t="str"><v>Azure</v></cell><cell r="S3437" t="str"><v>Apps & Infra</v></cell><cell r="T3437" t="str"><v>Developers & ITI's</v></cell><cell r="U3437" t="str"><v>USA-Trial-ITD-Trial PayGo Lookalike-AZR-AZR</v></cell><cell r="V3437" t="str"><v>Lookalike Targeting</v></cell><cell r="W3437" t="str"><v>Link Ad</v></cell><cell r="X3437" t="str"><v>1x1</v></cell></row><row r="3437"><cell r="AA3437"><v>43305</v></cell><cell r="AB3437" t="str"><v>USA_gaPMG_AZR_AZR_Q1_19_Direct-Social</v></cell><cell r="AC3437"><v>21358715</v></cell><cell r="AD3437"><v>720197</v></cell><cell r="AE3437" t="str"><v>Facebook</v></cell><cell r="AF3437"><v>3654128</v></cell><cell r="AG3437" t="str"><v>FACEBOOK»USA-Trial-ITD-Trial PayGo Lookalike-AZR-AZR»1 x 1»SocialBan»LIA»ALL»CPA»LAL»X»NA»SS»NA»FreeAcctDeveloperFB-AnimatedGeneric-Ch1»PRC1Q6</v></cell><cell r="AH3437"><v>224106129</v></cell><cell r="AI3437" t="str"><v>AZR_FreeAcctDeveloperFB-AnimatedGeneric-Ch1_USA_1200x1200_CAN_Direct_English_Trial_Standard_ANI_LEA_T1_2</v></cell><cell r="AJ3437"><v>103176851</v></cell></row><row r="3438"><cell r="C3438" t="str"><v>43305FACEBOOK»USA-Trial-ITD-Trial PayGo Lookalike-AZR-AZR»1 x 1»SocialBan»CCA»ALL»CPA»LAL»X»NA»SS»NA»Azure Developer Facebook Collections»PRSH6K</v></cell><cell r="D3438" t="str"><v>43305225217676</v></cell><cell r="E3438" t="str"><v>43305103873631PRSH6K</v></cell><cell r="F3438" t="str"><v>DCM</v></cell><cell r="G3438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3438"><cell r="K3438" t="str"><v>July</v></cell><cell r="L3438"><v>43309</v></cell><cell r="M3438" t="str"><v>Tier 0</v></cell><cell r="N3438" t="str"><v>North America</v></cell><cell r="O3438" t="str"><v>United States</v></cell><cell r="P3438" t="str"><v>Trial</v></cell><cell r="Q3438" t="str"><v>Social</v></cell><cell r="R3438" t="str"><v>Azure</v></cell><cell r="S3438" t="str"><v>Apps & Infra</v></cell><cell r="T3438" t="str"><v>Developers & ITI's</v></cell><cell r="U3438" t="str"><v>USA-Trial-ITD-Trial PayGo Lookalike-AZR-AZR</v></cell><cell r="V3438" t="str"><v>Lookalike Targeting</v></cell><cell r="W3438" t="str"><v>Canvas Collection Ad</v></cell><cell r="X3438" t="str"><v>1x1</v></cell></row><row r="3438"><cell r="AA3438"><v>43305</v></cell><cell r="AB3438" t="str"><v>USA_gaPMG_AZR_AZR_Q1_19_Direct-Social</v></cell><cell r="AC3438"><v>21358715</v></cell><cell r="AD3438"><v>720197</v></cell><cell r="AE3438" t="str"><v>Facebook</v></cell><cell r="AF3438"><v>3654128</v></cell><cell r="AG3438" t="str"><v>FACEBOOK»USA-Trial-ITD-Trial PayGo Lookalike-AZR-AZR»1 x 1»SocialBan»CCA»ALL»CPA»LAL»X»NA»SS»NA»Azure Developer Facebook Collections»PRSH6K</v></cell><cell r="AH3438"><v>225217676</v></cell><cell r="AI3438" t="str"><v>AZR_FBCollections-OSSTryAzureFreeCTA-Img3_USA_1200x182_SOC_Plat_EN_NA_Standard_NA_TIN_T1_3</v></cell><cell r="AJ3438"><v>103873631</v></cell></row><row r="3439"><cell r="C3439" t="str"><v>43305FACEBOOK»USA-Trial-ITD-Interest Prospecting-AZR-AZR»1 x 1»SocialBan»LIA»ALL»CPA»PRO»X»NA»SS»NA»FreeAcctDeveloperFB-AnimatedAI-Ch3»PRC1T2</v></cell><cell r="D3439" t="str"><v>43305223862765</v></cell><cell r="E3439" t="str"><v>43305103032778PRC1T2</v></cell><cell r="F3439" t="str"><v>DCM</v></cell></row><row r="3439"><cell r="K3439" t="str"><v>July</v></cell><cell r="L3439"><v>43309</v></cell><cell r="M3439" t="str"><v>Tier 0</v></cell><cell r="N3439" t="str"><v>North America</v></cell><cell r="O3439" t="str"><v>United States</v></cell><cell r="P3439" t="str"><v>Trial</v></cell><cell r="Q3439" t="str"><v>Social</v></cell><cell r="R3439" t="str"><v>Azure</v></cell><cell r="S3439" t="str"><v>Apps & Infra</v></cell><cell r="T3439" t="str"><v>Developers & ITI's</v></cell><cell r="U3439" t="str"><v>USA-Trial-ITD-Interest Prospecting-AZR-AZR</v></cell><cell r="V3439" t="str"><v>Prospecting</v></cell><cell r="W3439" t="str"><v>Link Ad</v></cell><cell r="X3439" t="str"><v>1x1</v></cell></row><row r="3439"><cell r="AA3439"><v>43305</v></cell><cell r="AB3439" t="str"><v>USA_gaPMG_AZR_AZR_Q1_19_Direct-Social</v></cell><cell r="AC3439"><v>21358715</v></cell><cell r="AD3439"><v>720197</v></cell><cell r="AE3439" t="str"><v>Facebook</v></cell><cell r="AF3439"><v>3654128</v></cell><cell r="AG3439" t="str"><v>FACEBOOK»USA-Trial-ITD-Interest Prospecting-AZR-AZR»1 x 1»SocialBan»LIA»ALL»CPA»PRO»X»NA»SS»NA»FreeAcctDeveloperFB-AnimatedAI-Ch3»PRC1T2</v></cell><cell r="AH3439"><v>223862765</v></cell><cell r="AI3439" t="str"><v>AZR_FreeAcctDeveloperFB-AnimatedAI-Ch3_USA_1200x1200_CAN_Direct_English_Trial_Standard_ANI_LEA_T3_1</v></cell><cell r="AJ3439"><v>103032778</v></cell></row><row r="3440"><cell r="C3440" t="str"><v>43305FACEBOOK»USA-Trial-ITD-Interest Prospecting-AZR-AZR»1 x 1»SocialBan»LIA»ALL»CPA»PRO»X»NA»SS»NA»FreeAcctDeveloperFB-AnimatedData-Ch4»PRC1T3</v></cell><cell r="D3440" t="str"><v>43305223863380</v></cell><cell r="E3440" t="str"><v>43305103037935PRC1T3</v></cell><cell r="F3440" t="str"><v>DCM</v></cell></row><row r="3440"><cell r="K3440" t="str"><v>July</v></cell><cell r="L3440"><v>43309</v></cell><cell r="M3440" t="str"><v>Tier 0</v></cell><cell r="N3440" t="str"><v>North America</v></cell><cell r="O3440" t="str"><v>United States</v></cell><cell r="P3440" t="str"><v>Trial</v></cell><cell r="Q3440" t="str"><v>Social</v></cell><cell r="R3440" t="str"><v>Azure</v></cell><cell r="S3440" t="str"><v>Apps & Infra</v></cell><cell r="T3440" t="str"><v>Developers & ITI's</v></cell><cell r="U3440" t="str"><v>USA-Trial-ITD-Interest Prospecting-AZR-AZR</v></cell><cell r="V3440" t="str"><v>Prospecting</v></cell><cell r="W3440" t="str"><v>Link Ad</v></cell><cell r="X3440" t="str"><v>1x1</v></cell></row><row r="3440"><cell r="AA3440"><v>43305</v></cell><cell r="AB3440" t="str"><v>USA_gaPMG_AZR_AZR_Q1_19_Direct-Social</v></cell><cell r="AC3440"><v>21358715</v></cell><cell r="AD3440"><v>720197</v></cell><cell r="AE3440" t="str"><v>Facebook</v></cell><cell r="AF3440"><v>3654128</v></cell><cell r="AG3440" t="str"><v>FACEBOOK»USA-Trial-ITD-Interest Prospecting-AZR-AZR»1 x 1»SocialBan»LIA»ALL»CPA»PRO»X»NA»SS»NA»FreeAcctDeveloperFB-AnimatedData-Ch4»PRC1T3</v></cell><cell r="AH3440"><v>223863380</v></cell><cell r="AI3440" t="str"><v>AZR_FreeAcctDeveloperFB-AnimatedData-Ch4_USA_1200x1200_CAN_Direct_English_Trial_Standard_ANI_LEA_T4_2</v></cell><cell r="AJ3440"><v>103037935</v></cell></row><row r="3441"><cell r="C3441" t="str"><v>43305FACEBOOK»USA-Trial-ITD-Interest Prospecting-AZR-AZR»1 x 1»SocialBan»LIA»ALL»CPA»PRO»X»NA»SS»NA»FreeAcctDeveloperFB-AnimatedOpenSource-Ch2»PRC1T1</v></cell><cell r="D3441" t="str"><v>43305223862885</v></cell><cell r="E3441" t="str"><v>43305103048329PRC1T1</v></cell><cell r="F3441" t="str"><v>DCM</v></cell><cell r="G3441" t="str"><v>https://azure.microsoft.com/en-us/free/open-source/search/?OCID=AID%eexcid!_OLA_%ebuy!_%epid!_%ecid!</v></cell></row><row r="3441"><cell r="K3441" t="str"><v>July</v></cell><cell r="L3441"><v>43309</v></cell><cell r="M3441" t="str"><v>Tier 0</v></cell><cell r="N3441" t="str"><v>North America</v></cell><cell r="O3441" t="str"><v>United States</v></cell><cell r="P3441" t="str"><v>Trial</v></cell><cell r="Q3441" t="str"><v>Social</v></cell><cell r="R3441" t="str"><v>Azure</v></cell><cell r="S3441" t="str"><v>Apps & Infra</v></cell><cell r="T3441" t="str"><v>Developers & ITI's</v></cell><cell r="U3441" t="str"><v>USA-Trial-ITD-Interest Prospecting-AZR-AZR</v></cell><cell r="V3441" t="str"><v>Prospecting</v></cell><cell r="W3441" t="str"><v>Link Ad</v></cell><cell r="X3441" t="str"><v>1x1</v></cell></row><row r="3441"><cell r="AA3441"><v>43305</v></cell><cell r="AB3441" t="str"><v>USA_gaPMG_AZR_AZR_Q1_19_Direct-Social</v></cell><cell r="AC3441"><v>21358715</v></cell><cell r="AD3441"><v>720197</v></cell><cell r="AE3441" t="str"><v>Facebook</v></cell><cell r="AF3441"><v>3654128</v></cell><cell r="AG3441" t="str"><v>FACEBOOK»USA-Trial-ITD-Interest Prospecting-AZR-AZR»1 x 1»SocialBan»LIA»ALL»CPA»PRO»X»NA»SS»NA»FreeAcctDeveloperFB-AnimatedOpenSource-Ch2»PRC1T1</v></cell><cell r="AH3441"><v>223862885</v></cell><cell r="AI3441" t="str"><v>AZR_FreeAcctDeveloperFB-AnimatedOpenSource-Ch2_USA_1200x1200_CAN_Direct_English_Trial_Standard_ANI_LEA_T2_1</v></cell><cell r="AJ3441"><v>103048329</v></cell></row><row r="3442"><cell r="C3442" t="str"><v>43305FACEBOOK»USA-Trial-ITD-Lead Completes-AZR-AZR»1 x 1»SocialBan»CAN»ALL»CPA»PRO»X»NA»SS»NA»FBCTCBrandinMotion»PRC1VX</v></cell><cell r="D3442" t="str"><v>43305223861547</v></cell><cell r="E3442" t="str"><v>43305103176812PRC1VX</v></cell><cell r="F3442" t="str"><v>DCM</v></cell><cell r="G3442" t="str"><v>https://signup.azure.com/?OCID=AID%eexcid!_OLA_%ebuy!_%epid!_%ecid!</v></cell></row><row r="3442"><cell r="K3442" t="str"><v>July</v></cell><cell r="L3442"><v>43309</v></cell><cell r="M3442" t="str"><v>Tier 0</v></cell><cell r="N3442" t="str"><v>North America</v></cell><cell r="O3442" t="str"><v>United States</v></cell><cell r="P3442" t="str"><v>Trial</v></cell><cell r="Q3442" t="str"><v>Social</v></cell><cell r="R3442" t="str"><v>Azure</v></cell><cell r="S3442" t="str"><v>Apps & Infra</v></cell><cell r="T3442" t="str"><v>Developers & ITI's</v></cell><cell r="U3442" t="str"><v>USA-Trial-ITD-Lead Completes-AZR-AZR</v></cell><cell r="V3442" t="str"><v>Prospecting</v></cell><cell r="W3442" t="str"><v>Canvas Ad</v></cell><cell r="X3442" t="str"><v>1x1</v></cell></row><row r="3442"><cell r="AA3442"><v>43305</v></cell><cell r="AB3442" t="str"><v>USA_gaPMG_AZR_AZR_Q1_19_Direct-Social</v></cell><cell r="AC3442"><v>21358715</v></cell><cell r="AD3442"><v>720197</v></cell><cell r="AE3442" t="str"><v>Facebook</v></cell><cell r="AF3442"><v>3654128</v></cell><cell r="AG3442" t="str"><v>FACEBOOK»USA-Trial-ITD-Lead Completes-AZR-AZR»1 x 1»SocialBan»CAN»ALL»CPA»PRO»X»NA»SS»NA»FBCTCBrandinMotion»PRC1VX</v></cell><cell r="AH3442"><v>223861547</v></cell><cell r="AI3442" t="str"><v>AzurePlatform_FBCTCBrandinMotion_USA_10s_CAN_PLATFORM_English_Trial_Standard_STAN_TIN_T2_1</v></cell><cell r="AJ3442"><v>103176812</v></cell></row><row r="3443"><cell r="C3443" t="str"><v>43305FACEBOOK»USA-Trial-ITD-Lead Completes-AZR-AZR»1 x 1»SocialBan»LIA»ALL»CPA»PRO»X»NA»SS»NA»FreeAcctDeveloperFB-AnimatedAI-Ch3»PRC1W1</v></cell><cell r="D3443" t="str"><v>43305223933096</v></cell><cell r="E3443" t="str"><v>43305103032778PRC1W1</v></cell><cell r="F3443" t="str"><v>DCM</v></cell></row><row r="3443"><cell r="K3443" t="str"><v>July</v></cell><cell r="L3443"><v>43309</v></cell><cell r="M3443" t="str"><v>Tier 0</v></cell><cell r="N3443" t="str"><v>North America</v></cell><cell r="O3443" t="str"><v>United States</v></cell><cell r="P3443" t="str"><v>Trial</v></cell><cell r="Q3443" t="str"><v>Social</v></cell><cell r="R3443" t="str"><v>Azure</v></cell><cell r="S3443" t="str"><v>Apps & Infra</v></cell><cell r="T3443" t="str"><v>Developers & ITI's</v></cell><cell r="U3443" t="str"><v>USA-Trial-ITD-Lead Completes-AZR-AZR</v></cell><cell r="V3443" t="str"><v>Prospecting</v></cell><cell r="W3443" t="str"><v>Link Ad</v></cell><cell r="X3443" t="str"><v>1x1</v></cell></row><row r="3443"><cell r="AA3443"><v>43305</v></cell><cell r="AB3443" t="str"><v>USA_gaPMG_AZR_AZR_Q1_19_Direct-Social</v></cell><cell r="AC3443"><v>21358715</v></cell><cell r="AD3443"><v>720197</v></cell><cell r="AE3443" t="str"><v>Facebook</v></cell><cell r="AF3443"><v>3654128</v></cell><cell r="AG3443" t="str"><v>FACEBOOK»USA-Trial-ITD-Lead Completes-AZR-AZR»1 x 1»SocialBan»LIA»ALL»CPA»PRO»X»NA»SS»NA»FreeAcctDeveloperFB-AnimatedAI-Ch3»PRC1W1</v></cell><cell r="AH3443"><v>223933096</v></cell><cell r="AI3443" t="str"><v>AZR_FreeAcctDeveloperFB-AnimatedAI-Ch3_USA_1200x1200_CAN_Direct_English_Trial_Standard_ANI_LEA_T3_1</v></cell><cell r="AJ3443"><v>103032778</v></cell></row><row r="3444"><cell r="C3444" t="str"><v>43305FACEBOOK»USA-Trial-ITD-Lead Completes-AZR-AZR»1 x 1»SocialBan»LIA»ALL»CPA»PRO»X»NA»SS»NA»FreeAcctDeveloperFB-AnimatedGeneric-Ch1»PRC1VZ</v></cell><cell r="D3444" t="str"><v>43305223862852</v></cell><cell r="E3444" t="str"><v>43305103176851PRC1VZ</v></cell><cell r="F3444" t="str"><v>DCM</v></cell><cell r="G3444" t="str"><v>https://azure.microsoft.com/en-us/free/search/?OCID=AID%eexcid!_OLA_%ebuy!_%epid!_%ecid!</v></cell></row><row r="3444"><cell r="K3444" t="str"><v>July</v></cell><cell r="L3444"><v>43309</v></cell><cell r="M3444" t="str"><v>Tier 0</v></cell><cell r="N3444" t="str"><v>North America</v></cell><cell r="O3444" t="str"><v>United States</v></cell><cell r="P3444" t="str"><v>Trial</v></cell><cell r="Q3444" t="str"><v>Social</v></cell><cell r="R3444" t="str"><v>Azure</v></cell><cell r="S3444" t="str"><v>Apps & Infra</v></cell><cell r="T3444" t="str"><v>Developers & ITI's</v></cell><cell r="U3444" t="str"><v>USA-Trial-ITD-Lead Completes-AZR-AZR</v></cell><cell r="V3444" t="str"><v>Prospecting</v></cell><cell r="W3444" t="str"><v>Link Ad</v></cell><cell r="X3444" t="str"><v>1x1</v></cell></row><row r="3444"><cell r="AA3444"><v>43305</v></cell><cell r="AB3444" t="str"><v>USA_gaPMG_AZR_AZR_Q1_19_Direct-Social</v></cell><cell r="AC3444"><v>21358715</v></cell><cell r="AD3444"><v>720197</v></cell><cell r="AE3444" t="str"><v>Facebook</v></cell><cell r="AF3444"><v>3654128</v></cell><cell r="AG3444" t="str"><v>FACEBOOK»USA-Trial-ITD-Lead Completes-AZR-AZR»1 x 1»SocialBan»LIA»ALL»CPA»PRO»X»NA»SS»NA»FreeAcctDeveloperFB-AnimatedGeneric-Ch1»PRC1VZ</v></cell><cell r="AH3444"><v>223862852</v></cell><cell r="AI3444" t="str"><v>AZR_FreeAcctDeveloperFB-AnimatedGeneric-Ch1_USA_1200x1200_CAN_Direct_English_Trial_Standard_ANI_LEA_T1_2</v></cell><cell r="AJ3444"><v>103176851</v></cell></row><row r="3445"><cell r="C3445" t="str"><v>43305FACEBOOK»USA-Trial-ITD-Retargeting-AZR-AZR»1 x 1»SocialBan»LIA»ALL»CPA»RT»X»NA»SS»NA»FreeAcctDeveloperFB-AnimatedGeneric-Ch1»PRC26D</v></cell><cell r="D3445" t="str"><v>43305223862870</v></cell><cell r="E3445" t="str"><v>43305103176851PRC26D</v></cell><cell r="F3445" t="str"><v>DCM</v></cell><cell r="G3445" t="str"><v>https://azure.microsoft.com/en-us/free/search/?OCID=AID%eexcid!_OLA_%ebuy!_%epid!_%ecid!</v></cell></row><row r="3445"><cell r="K3445" t="str"><v>July</v></cell><cell r="L3445"><v>43309</v></cell><cell r="M3445" t="str"><v>Tier 0</v></cell><cell r="N3445" t="str"><v>North America</v></cell><cell r="O3445" t="str"><v>United States</v></cell><cell r="P3445" t="str"><v>Trial</v></cell><cell r="Q3445" t="str"><v>Social</v></cell><cell r="R3445" t="str"><v>Azure</v></cell><cell r="S3445" t="str"><v>Apps & Infra</v></cell><cell r="T3445" t="str"><v>Developers & ITI's</v></cell><cell r="U3445" t="str"><v>USA-Trial-ITD-Retargeting-AZR-AZR</v></cell><cell r="V3445" t="str"><v>Retargeting</v></cell><cell r="W3445" t="str"><v>Link Ad</v></cell><cell r="X3445" t="str"><v>1x1</v></cell></row><row r="3445"><cell r="AA3445"><v>43305</v></cell><cell r="AB3445" t="str"><v>USA_gaPMG_AZR_AZR_Q1_19_Direct-Social</v></cell><cell r="AC3445"><v>21358715</v></cell><cell r="AD3445"><v>720197</v></cell><cell r="AE3445" t="str"><v>Facebook</v></cell><cell r="AF3445"><v>3654128</v></cell><cell r="AG3445" t="str"><v>FACEBOOK»USA-Trial-ITD-Retargeting-AZR-AZR»1 x 1»SocialBan»LIA»ALL»CPA»RT»X»NA»SS»NA»FreeAcctDeveloperFB-AnimatedGeneric-Ch1»PRC26D</v></cell><cell r="AH3445"><v>223862870</v></cell><cell r="AI3445" t="str"><v>AZR_FreeAcctDeveloperFB-AnimatedGeneric-Ch1_USA_1200x1200_CAN_Direct_English_Trial_Standard_ANI_LEA_T1_2</v></cell><cell r="AJ3445"><v>103176851</v></cell></row><row r="3446"><cell r="C3446" t="str"><v>43305FACEBOOK»USA-Trial-ITD-Retargeting-AZR-AZR»1 x 1»SocialBan»LIA»ALL»CPA»RT»X»NA»SS»NA»FreeAcctRetargetingOSSFB-Text-ChF»PRC1S1</v></cell><cell r="D3446" t="str"><v>43305223862753</v></cell><cell r="E3446" t="str"><v>43305103176869PRC1S1</v></cell><cell r="F3446" t="str"><v>DCM</v></cell><cell r="G3446" t="str"><v>https://azure.microsoft.com/en-us/free/open-source/search/?OCID=AID%eexcid!_OLA_%ebuy!_%epid!_%ecid!</v></cell></row><row r="3446"><cell r="K3446" t="str"><v>July</v></cell><cell r="L3446"><v>43309</v></cell><cell r="M3446" t="str"><v>Tier 0</v></cell><cell r="N3446" t="str"><v>North America</v></cell><cell r="O3446" t="str"><v>United States</v></cell><cell r="P3446" t="str"><v>Trial</v></cell><cell r="Q3446" t="str"><v>Social</v></cell><cell r="R3446" t="str"><v>Azure</v></cell><cell r="S3446" t="str"><v>Apps & Infra</v></cell><cell r="T3446" t="str"><v>Developers & ITI's</v></cell><cell r="U3446" t="str"><v>USA-Trial-ITD-Retargeting-AZR-AZR</v></cell><cell r="V3446" t="str"><v>Retargeting</v></cell><cell r="W3446" t="str"><v>Link Ad</v></cell><cell r="X3446" t="str"><v>1x1</v></cell></row><row r="3446"><cell r="AA3446"><v>43305</v></cell><cell r="AB3446" t="str"><v>USA_gaPMG_AZR_AZR_Q1_19_Direct-Social</v></cell><cell r="AC3446"><v>21358715</v></cell><cell r="AD3446"><v>720197</v></cell><cell r="AE3446" t="str"><v>Facebook</v></cell><cell r="AF3446"><v>3654128</v></cell><cell r="AG3446" t="str"><v>FACEBOOK»USA-Trial-ITD-Retargeting-AZR-AZR»1 x 1»SocialBan»LIA»ALL»CPA»RT»X»NA»SS»NA»FreeAcctRetargetingOSSFB-Text-ChF»PRC1S1</v></cell><cell r="AH3446"><v>223862753</v></cell><cell r="AI3446" t="str"><v>AzurePlatform_FreeAcctRetargetingOSSFB-Text-ChF_USA_1200x628_CAN_PLATFORM_English_Free Account_Standard_NA_SINU_T1_2</v></cell><cell r="AJ3446"><v>103176869</v></cell></row><row r="3447"><cell r="C3447" t="str"><v>43305FACEBOOK»USA-Trial-ITD-Retargeting-AZR-AZR»1 x 1»SocialBan»CAN»ALL»CPA»RT»X»NA»SS»NA»FBCTCBasicMotion»PRC1RQ</v></cell><cell r="D3447" t="str"><v>43305224106933</v></cell><cell r="E3447" t="str"><v>43305103043823PRC1RQ</v></cell><cell r="F3447" t="str"><v>DCM</v></cell><cell r="G3447" t="str"><v>https://signup.azure.com/?OCID=AID%eexcid!_OLA_%ebuy!_%epid!_%ecid!</v></cell></row><row r="3447"><cell r="K3447" t="str"><v>July</v></cell><cell r="L3447"><v>43309</v></cell><cell r="M3447" t="str"><v>Tier 0</v></cell><cell r="N3447" t="str"><v>North America</v></cell><cell r="O3447" t="str"><v>United States</v></cell><cell r="P3447" t="str"><v>Trial</v></cell><cell r="Q3447" t="str"><v>Social</v></cell><cell r="R3447" t="str"><v>Azure</v></cell><cell r="S3447" t="str"><v>Apps & Infra</v></cell><cell r="T3447" t="str"><v>Developers & ITI's</v></cell><cell r="U3447" t="str"><v>USA-Trial-ITD-Retargeting-AZR-AZR</v></cell><cell r="V3447" t="str"><v>Retargeting</v></cell><cell r="W3447" t="str"><v>Canvas Ad</v></cell><cell r="X3447" t="str"><v>1x1</v></cell></row><row r="3447"><cell r="AA3447"><v>43305</v></cell><cell r="AB3447" t="str"><v>USA_gaPMG_AZR_AZR_Q1_19_Direct-Social</v></cell><cell r="AC3447"><v>21358715</v></cell><cell r="AD3447"><v>720197</v></cell><cell r="AE3447" t="str"><v>Facebook</v></cell><cell r="AF3447"><v>3654128</v></cell><cell r="AG3447" t="str"><v>FACEBOOK»USA-Trial-ITD-Retargeting-AZR-AZR»1 x 1»SocialBan»CAN»ALL»CPA»RT»X»NA»SS»NA»FBCTCBasicMotion»PRC1RQ</v></cell><cell r="AH3447"><v>224106933</v></cell><cell r="AI3447" t="str"><v>AzurePlatform_FBCTCBasicMotion_USA_10s_CAN_PLATFORM_English_Trial_Standard_STAN_TIN_T1_1</v></cell><cell r="AJ3447"><v>103043823</v></cell></row><row r="3448"><cell r="C3448" t="str"><v>43305FACEBOOK»USA-Trial-ITD-Retargeting-AZR-AZR»1 x 1»SocialBan»CAN»ALL»CPA»RT»X»NA»SS»NA»FBCTCBasicMotion»PRC1RQ</v></cell><cell r="D3448" t="str"><v>43305224106933</v></cell><cell r="E3448" t="str"><v>43305103175984PRC1RQ</v></cell><cell r="F3448" t="str"><v>DCM</v></cell><cell r="G3448" t="str"><v>https://azure.microsoft.com/en-us/pricing/purchase-options/?v=18.19&OCID=AID%eexcid!_OLA_%ebuy!_%epid!_%ecid!</v></cell></row><row r="3448"><cell r="K3448" t="str"><v>July</v></cell><cell r="L3448"><v>43309</v></cell><cell r="M3448" t="str"><v>Tier 0</v></cell><cell r="N3448" t="str"><v>North America</v></cell><cell r="O3448" t="str"><v>United States</v></cell><cell r="P3448" t="str"><v>Trial</v></cell><cell r="Q3448" t="str"><v>Social</v></cell><cell r="R3448" t="str"><v>Azure</v></cell><cell r="S3448" t="str"><v>Apps & Infra</v></cell><cell r="T3448" t="str"><v>Developers & ITI's</v></cell><cell r="U3448" t="str"><v>USA-Trial-ITD-Retargeting-AZR-AZR</v></cell><cell r="V3448" t="str"><v>Retargeting</v></cell><cell r="W3448" t="str"><v>Canvas Ad</v></cell><cell r="X3448" t="str"><v>1x1</v></cell></row><row r="3448"><cell r="AA3448"><v>43305</v></cell><cell r="AB3448" t="str"><v>USA_gaPMG_AZR_AZR_Q1_19_Direct-Social</v></cell><cell r="AC3448"><v>21358715</v></cell><cell r="AD3448"><v>720197</v></cell><cell r="AE3448" t="str"><v>Facebook</v></cell><cell r="AF3448"><v>3654128</v></cell><cell r="AG3448" t="str"><v>FACEBOOK»USA-Trial-ITD-Retargeting-AZR-AZR»1 x 1»SocialBan»CAN»ALL»CPA»RT»X»NA»SS»NA»FBCTCBasicMotion»PRC1RQ</v></cell><cell r="AH3448"><v>224106933</v></cell><cell r="AI3448" t="str"><v>AzurePlatform_FBCTCBasicMotion_USA_10s_CAN_PLATFORM_English_Trial_Standard_STAN_TIN_T1_2</v></cell><cell r="AJ3448"><v>103175984</v></cell></row><row r="3449"><cell r="C3449" t="str"><v>43305FACEBOOK»USA-Trial-ITD-Retargeting-AZR-AZR»1 x 1»SocialBan»LIA»ALL»CPA»RT»X»NA»SS»NA»FreeAcctITProFB-AnimatedSecureMngd-Ch1»PRC26K</v></cell><cell r="D3449" t="str"><v>43305223862762</v></cell><cell r="E3449" t="str"><v>43305103176830PRC26K</v></cell><cell r="F3449" t="str"><v>DCM</v></cell></row><row r="3449"><cell r="K3449" t="str"><v>July</v></cell><cell r="L3449"><v>43309</v></cell><cell r="M3449" t="str"><v>Tier 0</v></cell><cell r="N3449" t="str"><v>North America</v></cell><cell r="O3449" t="str"><v>United States</v></cell><cell r="P3449" t="str"><v>Trial</v></cell><cell r="Q3449" t="str"><v>Social</v></cell><cell r="R3449" t="str"><v>Azure</v></cell><cell r="S3449" t="str"><v>Apps & Infra</v></cell><cell r="T3449" t="str"><v>Developers & ITI's</v></cell><cell r="U3449" t="str"><v>USA-Trial-ITD-Retargeting-AZR-AZR</v></cell><cell r="V3449" t="str"><v>Retargeting</v></cell><cell r="W3449" t="str"><v>Link Ad</v></cell><cell r="X3449" t="str"><v>1x1</v></cell></row><row r="3449"><cell r="AA3449"><v>43305</v></cell><cell r="AB3449" t="str"><v>USA_gaPMG_AZR_AZR_Q1_19_Direct-Social</v></cell><cell r="AC3449"><v>21358715</v></cell><cell r="AD3449"><v>720197</v></cell><cell r="AE3449" t="str"><v>Facebook</v></cell><cell r="AF3449"><v>3654128</v></cell><cell r="AG3449" t="str"><v>FACEBOOK»USA-Trial-ITD-Retargeting-AZR-AZR»1 x 1»SocialBan»LIA»ALL»CPA»RT»X»NA»SS»NA»FreeAcctITProFB-AnimatedSecureMngd-Ch1»PRC26K</v></cell><cell r="AH3449"><v>223862762</v></cell><cell r="AI3449" t="str"><v>AZR_FreeAcctITProFB-AnimatedSecureMngd-Ch1_USA_1200x1200_CAN_Direct_English_Trial_Standard_ANI_LEA_T1_1</v></cell><cell r="AJ3449"><v>103176830</v></cell></row><row r="3450"><cell r="C3450" t="str"><v>43305FACEBOOK»USA-Trial-ITD-Trial Lookalike-AZR-AZR»1 x 1»SocialBan»LIA»ALL»CPA»LAL»X»NA»SS»NA»FreeAcctDeveloperFB-AnimatedGeneric-Ch1»PRC1M4</v></cell><cell r="D3450" t="str"><v>43305224104941</v></cell><cell r="E3450" t="str"><v>43305103176851PRC1M4</v></cell><cell r="F3450" t="str"><v>DCM</v></cell><cell r="G3450" t="str"><v>https://azure.microsoft.com/en-us/free/search/?OCID=AID%eexcid!_OLA_%ebuy!_%epid!_%ecid!</v></cell></row><row r="3450"><cell r="K3450" t="str"><v>July</v></cell><cell r="L3450"><v>43309</v></cell><cell r="M3450" t="str"><v>Tier 0</v></cell><cell r="N3450" t="str"><v>North America</v></cell><cell r="O3450" t="str"><v>United States</v></cell><cell r="P3450" t="str"><v>Trial</v></cell><cell r="Q3450" t="str"><v>Social</v></cell><cell r="R3450" t="str"><v>Azure</v></cell><cell r="S3450" t="str"><v>Apps & Infra</v></cell><cell r="T3450" t="str"><v>Developers & ITI's</v></cell><cell r="U3450" t="str"><v>USA-Trial-ITD-Trial Lookalike-AZR-AZR</v></cell><cell r="V3450" t="str"><v>Lookalike Targeting</v></cell><cell r="W3450" t="str"><v>Link Ad</v></cell><cell r="X3450" t="str"><v>1x1</v></cell></row><row r="3450"><cell r="AA3450"><v>43305</v></cell><cell r="AB3450" t="str"><v>USA_gaPMG_AZR_AZR_Q1_19_Direct-Social</v></cell><cell r="AC3450"><v>21358715</v></cell><cell r="AD3450"><v>720197</v></cell><cell r="AE3450" t="str"><v>Facebook</v></cell><cell r="AF3450"><v>3654128</v></cell><cell r="AG3450" t="str"><v>FACEBOOK»USA-Trial-ITD-Trial Lookalike-AZR-AZR»1 x 1»SocialBan»LIA»ALL»CPA»LAL»X»NA»SS»NA»FreeAcctDeveloperFB-AnimatedGeneric-Ch1»PRC1M4</v></cell><cell r="AH3450"><v>224104941</v></cell><cell r="AI3450" t="str"><v>AZR_FreeAcctDeveloperFB-AnimatedGeneric-Ch1_USA_1200x1200_CAN_Direct_English_Trial_Standard_ANI_LEA_T1_2</v></cell><cell r="AJ3450"><v>103176851</v></cell></row><row r="3451"><cell r="C3451" t="str"><v>43305FACEBOOK»USA-Trial-ITD-Trial Lookalike-AZR-AZR»1 x 1»SocialBan»LIA»ALL»CPA»LAL»X»NA»SS»NA»FreeAcctDeveloperFB-AnimatedGeneric-Ch1»PRC1M5</v></cell><cell r="D3451" t="str"><v>43305223934083</v></cell><cell r="E3451" t="str"><v>43305103176851PRC1M5</v></cell><cell r="F3451" t="str"><v>DCM</v></cell><cell r="G3451" t="str"><v>https://azure.microsoft.com/en-us/free/search/?OCID=AID%eexcid!_OLA_%ebuy!_%epid!_%ecid!</v></cell></row><row r="3451"><cell r="K3451" t="str"><v>July</v></cell><cell r="L3451"><v>43309</v></cell><cell r="M3451" t="str"><v>Tier 0</v></cell><cell r="N3451" t="str"><v>North America</v></cell><cell r="O3451" t="str"><v>United States</v></cell><cell r="P3451" t="str"><v>Trial</v></cell><cell r="Q3451" t="str"><v>Social</v></cell><cell r="R3451" t="str"><v>Azure</v></cell><cell r="S3451" t="str"><v>Apps & Infra</v></cell><cell r="T3451" t="str"><v>Developers & ITI's</v></cell><cell r="U3451" t="str"><v>USA-Trial-ITD-Trial Lookalike-AZR-AZR</v></cell><cell r="V3451" t="str"><v>Lookalike Targeting</v></cell><cell r="W3451" t="str"><v>Link Ad</v></cell><cell r="X3451" t="str"><v>1x1</v></cell></row><row r="3451"><cell r="AA3451"><v>43305</v></cell><cell r="AB3451" t="str"><v>USA_gaPMG_AZR_AZR_Q1_19_Direct-Social</v></cell><cell r="AC3451"><v>21358715</v></cell><cell r="AD3451"><v>720197</v></cell><cell r="AE3451" t="str"><v>Facebook</v></cell><cell r="AF3451"><v>3654128</v></cell><cell r="AG3451" t="str"><v>FACEBOOK»USA-Trial-ITD-Trial Lookalike-AZR-AZR»1 x 1»SocialBan»LIA»ALL»CPA»LAL»X»NA»SS»NA»FreeAcctDeveloperFB-AnimatedGeneric-Ch1»PRC1M5</v></cell><cell r="AH3451"><v>223934083</v></cell><cell r="AI3451" t="str"><v>AZR_FreeAcctDeveloperFB-AnimatedGeneric-Ch1_USA_1200x1200_CAN_Direct_English_Trial_Standard_ANI_LEA_T1_2</v></cell><cell r="AJ3451"><v>103176851</v></cell></row><row r="3452"><cell r="C3452" t="str"><v>43305FACEBOOK»USA-Trial-ITD-Trial Lookalike-AZR-AZR»1 x 1»SocialBan»LIA»ALL»CPA»LAL»X»NA»SS»NA»FreeAcctDeveloperFB-AnimatedOpenSource-Ch2»PRC1M6</v></cell><cell r="D3452" t="str"><v>43305223935628</v></cell><cell r="E3452" t="str"><v>43305103048329PRC1M6</v></cell><cell r="F3452" t="str"><v>DCM</v></cell><cell r="G3452" t="str"><v>https://azure.microsoft.com/en-us/free/open-source/search/?OCID=AID%eexcid!_OLA_%ebuy!_%epid!_%ecid!</v></cell></row><row r="3452"><cell r="K3452" t="str"><v>July</v></cell><cell r="L3452"><v>43309</v></cell><cell r="M3452" t="str"><v>Tier 0</v></cell><cell r="N3452" t="str"><v>North America</v></cell><cell r="O3452" t="str"><v>United States</v></cell><cell r="P3452" t="str"><v>Trial</v></cell><cell r="Q3452" t="str"><v>Social</v></cell><cell r="R3452" t="str"><v>Azure</v></cell><cell r="S3452" t="str"><v>Apps & Infra</v></cell><cell r="T3452" t="str"><v>Developers & ITI's</v></cell><cell r="U3452" t="str"><v>USA-Trial-ITD-Trial Lookalike-AZR-AZR</v></cell><cell r="V3452" t="str"><v>Lookalike Targeting</v></cell><cell r="W3452" t="str"><v>Link Ad</v></cell><cell r="X3452" t="str"><v>1x1</v></cell></row><row r="3452"><cell r="AA3452"><v>43305</v></cell><cell r="AB3452" t="str"><v>USA_gaPMG_AZR_AZR_Q1_19_Direct-Social</v></cell><cell r="AC3452"><v>21358715</v></cell><cell r="AD3452"><v>720197</v></cell><cell r="AE3452" t="str"><v>Facebook</v></cell><cell r="AF3452"><v>3654128</v></cell><cell r="AG3452" t="str"><v>FACEBOOK»USA-Trial-ITD-Trial Lookalike-AZR-AZR»1 x 1»SocialBan»LIA»ALL»CPA»LAL»X»NA»SS»NA»FreeAcctDeveloperFB-AnimatedOpenSource-Ch2»PRC1M6</v></cell><cell r="AH3452"><v>223935628</v></cell><cell r="AI3452" t="str"><v>AZR_FreeAcctDeveloperFB-AnimatedOpenSource-Ch2_USA_1200x1200_CAN_Direct_English_Trial_Standard_ANI_LEA_T2_1</v></cell><cell r="AJ3452"><v>103048329</v></cell></row><row r="3453"><cell r="C3453" t="str"><v>43305FACEBOOK»USA-Trial-ITD-Trial Lookalike-AZR-AZR»1 x 1»SocialBan»LIA»ALL»CPA»LAL»X»NA»SS»NA»FreeAcctITProFB-AnimatedMigration-Ch3»PRC23N</v></cell><cell r="D3453" t="str"><v>43305223935637</v></cell><cell r="E3453" t="str"><v>43305103176827PRC23N</v></cell><cell r="F3453" t="str"><v>DCM</v></cell></row><row r="3453"><cell r="K3453" t="str"><v>July</v></cell><cell r="L3453"><v>43309</v></cell><cell r="M3453" t="str"><v>Tier 0</v></cell><cell r="N3453" t="str"><v>North America</v></cell><cell r="O3453" t="str"><v>United States</v></cell><cell r="P3453" t="str"><v>Trial</v></cell><cell r="Q3453" t="str"><v>Social</v></cell><cell r="R3453" t="str"><v>Azure</v></cell><cell r="S3453" t="str"><v>Apps & Infra</v></cell><cell r="T3453" t="str"><v>Developers & ITI's</v></cell><cell r="U3453" t="str"><v>USA-Trial-ITD-Trial Lookalike-AZR-AZR</v></cell><cell r="V3453" t="str"><v>Lookalike Targeting</v></cell><cell r="W3453" t="str"><v>Link Ad</v></cell><cell r="X3453" t="str"><v>1x1</v></cell></row><row r="3453"><cell r="AA3453"><v>43305</v></cell><cell r="AB3453" t="str"><v>USA_gaPMG_AZR_AZR_Q1_19_Direct-Social</v></cell><cell r="AC3453"><v>21358715</v></cell><cell r="AD3453"><v>720197</v></cell><cell r="AE3453" t="str"><v>Facebook</v></cell><cell r="AF3453"><v>3654128</v></cell><cell r="AG3453" t="str"><v>FACEBOOK»USA-Trial-ITD-Trial Lookalike-AZR-AZR»1 x 1»SocialBan»LIA»ALL»CPA»LAL»X»NA»SS»NA»FreeAcctITProFB-AnimatedMigration-Ch3»PRC23N</v></cell><cell r="AH3453"><v>223935637</v></cell><cell r="AI3453" t="str"><v>AZR_FreeAcctITProFB-AnimatedMigration-Ch3_USA_1200x1200_CAN_Direct_English_Trial_Standard_ANI_LEA_T3_1</v></cell><cell r="AJ3453"><v>103176827</v></cell></row><row r="3454"><cell r="C3454" t="str"><v>43305FACEBOOK»USA-Trial-ITD-Trial Lookalike-AZR-AZR»1 x 1»SocialBan»LIA»ALL»CPA»LAL»X»NA»SS»NA»FreeAcctITProFB-AnimatedSecureMngd-Ch1»PRC1M9</v></cell><cell r="D3454" t="str"><v>43305224104959</v></cell><cell r="E3454" t="str"><v>43305103176830PRC1M9</v></cell><cell r="F3454" t="str"><v>DCM</v></cell></row><row r="3454"><cell r="K3454" t="str"><v>July</v></cell><cell r="L3454"><v>43309</v></cell><cell r="M3454" t="str"><v>Tier 0</v></cell><cell r="N3454" t="str"><v>North America</v></cell><cell r="O3454" t="str"><v>United States</v></cell><cell r="P3454" t="str"><v>Trial</v></cell><cell r="Q3454" t="str"><v>Social</v></cell><cell r="R3454" t="str"><v>Azure</v></cell><cell r="S3454" t="str"><v>Apps & Infra</v></cell><cell r="T3454" t="str"><v>Developers & ITI's</v></cell><cell r="U3454" t="str"><v>USA-Trial-ITD-Trial Lookalike-AZR-AZR</v></cell><cell r="V3454" t="str"><v>Lookalike Targeting</v></cell><cell r="W3454" t="str"><v>Link Ad</v></cell><cell r="X3454" t="str"><v>1x1</v></cell></row><row r="3454"><cell r="AA3454"><v>43305</v></cell><cell r="AB3454" t="str"><v>USA_gaPMG_AZR_AZR_Q1_19_Direct-Social</v></cell><cell r="AC3454"><v>21358715</v></cell><cell r="AD3454"><v>720197</v></cell><cell r="AE3454" t="str"><v>Facebook</v></cell><cell r="AF3454"><v>3654128</v></cell><cell r="AG3454" t="str"><v>FACEBOOK»USA-Trial-ITD-Trial Lookalike-AZR-AZR»1 x 1»SocialBan»LIA»ALL»CPA»LAL»X»NA»SS»NA»FreeAcctITProFB-AnimatedSecureMngd-Ch1»PRC1M9</v></cell><cell r="AH3454"><v>224104959</v></cell><cell r="AI3454" t="str"><v>AZR_FreeAcctITProFB-AnimatedSecureMngd-Ch1_USA_1200x1200_CAN_Direct_English_Trial_Standard_ANI_LEA_T1_1</v></cell><cell r="AJ3454"><v>103176830</v></cell></row><row r="3455"><cell r="C3455" t="str"><v>43305FACEBOOK»USA-Trial-ITD-Trial Lookalike-AZR-AZR»1 x 1»SocialBan»CAN»ALL»CPA»LAL»X»NA»SS»NA»FBCTCBasicMotion»PRC1LZ</v></cell><cell r="D3455" t="str"><v>43305223862915</v></cell><cell r="E3455" t="str"><v>43305103043823PRC1LZ</v></cell><cell r="F3455" t="str"><v>DCM</v></cell><cell r="G3455" t="str"><v>https://signup.azure.com/?OCID=AID%eexcid!_OLA_%ebuy!_%epid!_%ecid!</v></cell></row><row r="3455"><cell r="K3455" t="str"><v>July</v></cell><cell r="L3455"><v>43309</v></cell><cell r="M3455" t="str"><v>Tier 0</v></cell><cell r="N3455" t="str"><v>North America</v></cell><cell r="O3455" t="str"><v>United States</v></cell><cell r="P3455" t="str"><v>Trial</v></cell><cell r="Q3455" t="str"><v>Social</v></cell><cell r="R3455" t="str"><v>Azure</v></cell><cell r="S3455" t="str"><v>Apps & Infra</v></cell><cell r="T3455" t="str"><v>Developers & ITI's</v></cell><cell r="U3455" t="str"><v>USA-Trial-ITD-Trial Lookalike-AZR-AZR</v></cell><cell r="V3455" t="str"><v>Lookalike Targeting</v></cell><cell r="W3455" t="str"><v>Canvas Ad</v></cell><cell r="X3455" t="str"><v>1x1</v></cell></row><row r="3455"><cell r="AA3455"><v>43305</v></cell><cell r="AB3455" t="str"><v>USA_gaPMG_AZR_AZR_Q1_19_Direct-Social</v></cell><cell r="AC3455"><v>21358715</v></cell><cell r="AD3455"><v>720197</v></cell><cell r="AE3455" t="str"><v>Facebook</v></cell><cell r="AF3455"><v>3654128</v></cell><cell r="AG3455" t="str"><v>FACEBOOK»USA-Trial-ITD-Trial Lookalike-AZR-AZR»1 x 1»SocialBan»CAN»ALL»CPA»LAL»X»NA»SS»NA»FBCTCBasicMotion»PRC1LZ</v></cell><cell r="AH3455"><v>223862915</v></cell><cell r="AI3455" t="str"><v>AzurePlatform_FBCTCBasicMotion_USA_10s_CAN_PLATFORM_English_Trial_Standard_STAN_TIN_T1_1</v></cell><cell r="AJ3455"><v>103043823</v></cell></row><row r="3456"><cell r="C3456" t="str"><v>43305FACEBOOK»USA-Trial-ITD-Trial Lookalike-AZR-AZR»1 x 1»SocialBan»CAN»ALL»CPA»LAL»X»NA»SS»NA»FBCTCBasicMotion»PRC1LZ</v></cell><cell r="D3456" t="str"><v>43305223862915</v></cell><cell r="E3456" t="str"><v>43305103175984PRC1LZ</v></cell><cell r="F3456" t="str"><v>DCM</v></cell><cell r="G3456" t="str"><v>https://azure.microsoft.com/en-us/pricing/purchase-options/?v=18.19&OCID=AID%eexcid!_OLA_%ebuy!_%epid!_%ecid!</v></cell></row><row r="3456"><cell r="K3456" t="str"><v>July</v></cell><cell r="L3456"><v>43309</v></cell><cell r="M3456" t="str"><v>Tier 0</v></cell><cell r="N3456" t="str"><v>North America</v></cell><cell r="O3456" t="str"><v>United States</v></cell><cell r="P3456" t="str"><v>Trial</v></cell><cell r="Q3456" t="str"><v>Social</v></cell><cell r="R3456" t="str"><v>Azure</v></cell><cell r="S3456" t="str"><v>Apps & Infra</v></cell><cell r="T3456" t="str"><v>Developers & ITI's</v></cell><cell r="U3456" t="str"><v>USA-Trial-ITD-Trial Lookalike-AZR-AZR</v></cell><cell r="V3456" t="str"><v>Lookalike Targeting</v></cell><cell r="W3456" t="str"><v>Canvas Ad</v></cell><cell r="X3456" t="str"><v>1x1</v></cell></row><row r="3456"><cell r="AA3456"><v>43305</v></cell><cell r="AB3456" t="str"><v>USA_gaPMG_AZR_AZR_Q1_19_Direct-Social</v></cell><cell r="AC3456"><v>21358715</v></cell><cell r="AD3456"><v>720197</v></cell><cell r="AE3456" t="str"><v>Facebook</v></cell><cell r="AF3456"><v>3654128</v></cell><cell r="AG3456" t="str"><v>FACEBOOK»USA-Trial-ITD-Trial Lookalike-AZR-AZR»1 x 1»SocialBan»CAN»ALL»CPA»LAL»X»NA»SS»NA»FBCTCBasicMotion»PRC1LZ</v></cell><cell r="AH3456"><v>223862915</v></cell><cell r="AI3456" t="str"><v>AzurePlatform_FBCTCBasicMotion_USA_10s_CAN_PLATFORM_English_Trial_Standard_STAN_TIN_T1_2</v></cell><cell r="AJ3456"><v>103175984</v></cell></row><row r="3457"><cell r="C3457" t="str"><v>43305FACEBOOK»USA-Trial-ITD-Trial PayGo Lookalike-AZR-AZR»1 x 1»SocialBan»CAN»ALL»CPA»LAL»X»NA»SS»NA»FBCTCBasicMotion»PRC1Q0</v></cell><cell r="D3457" t="str"><v>43305223935664</v></cell><cell r="E3457" t="str"><v>43305103043823PRC1Q0</v></cell><cell r="F3457" t="str"><v>DCM</v></cell><cell r="G3457" t="str"><v>https://signup.azure.com/?OCID=AID%eexcid!_OLA_%ebuy!_%epid!_%ecid!</v></cell></row><row r="3457"><cell r="K3457" t="str"><v>July</v></cell><cell r="L3457"><v>43309</v></cell><cell r="M3457" t="str"><v>Tier 0</v></cell><cell r="N3457" t="str"><v>North America</v></cell><cell r="O3457" t="str"><v>United States</v></cell><cell r="P3457" t="str"><v>Trial</v></cell><cell r="Q3457" t="str"><v>Social</v></cell><cell r="R3457" t="str"><v>Azure</v></cell><cell r="S3457" t="str"><v>Apps & Infra</v></cell><cell r="T3457" t="str"><v>Developers & ITI's</v></cell><cell r="U3457" t="str"><v>USA-Trial-ITD-Trial PayGo Lookalike-AZR-AZR</v></cell><cell r="V3457" t="str"><v>Lookalike Targeting</v></cell><cell r="W3457" t="str"><v>Canvas Ad</v></cell><cell r="X3457" t="str"><v>1x1</v></cell></row><row r="3457"><cell r="AA3457"><v>43305</v></cell><cell r="AB3457" t="str"><v>USA_gaPMG_AZR_AZR_Q1_19_Direct-Social</v></cell><cell r="AC3457"><v>21358715</v></cell><cell r="AD3457"><v>720197</v></cell><cell r="AE3457" t="str"><v>Facebook</v></cell><cell r="AF3457"><v>3654128</v></cell><cell r="AG3457" t="str"><v>FACEBOOK»USA-Trial-ITD-Trial PayGo Lookalike-AZR-AZR»1 x 1»SocialBan»CAN»ALL»CPA»LAL»X»NA»SS»NA»FBCTCBasicMotion»PRC1Q0</v></cell><cell r="AH3457"><v>223935664</v></cell><cell r="AI3457" t="str"><v>AzurePlatform_FBCTCBasicMotion_USA_10s_CAN_PLATFORM_English_Trial_Standard_STAN_TIN_T1_1</v></cell><cell r="AJ3457"><v>103043823</v></cell></row><row r="3458"><cell r="C3458" t="str"><v>43305FACEBOOK»USA-Trial-ITD-Trial PayGo Lookalike-AZR-AZR»1 x 1»SocialBan»CAN»ALL»CPA»LAL»X»NA»SS»NA»FBCTCBasicMotion»PRC1Q0</v></cell><cell r="D3458" t="str"><v>43305223935664</v></cell><cell r="E3458" t="str"><v>43305103175984PRC1Q0</v></cell><cell r="F3458" t="str"><v>DCM</v></cell><cell r="G3458" t="str"><v>https://azure.microsoft.com/en-us/pricing/purchase-options/?v=18.19&OCID=AID%eexcid!_OLA_%ebuy!_%epid!_%ecid!</v></cell></row><row r="3458"><cell r="K3458" t="str"><v>July</v></cell><cell r="L3458"><v>43309</v></cell><cell r="M3458" t="str"><v>Tier 0</v></cell><cell r="N3458" t="str"><v>North America</v></cell><cell r="O3458" t="str"><v>United States</v></cell><cell r="P3458" t="str"><v>Trial</v></cell><cell r="Q3458" t="str"><v>Social</v></cell><cell r="R3458" t="str"><v>Azure</v></cell><cell r="S3458" t="str"><v>Apps & Infra</v></cell><cell r="T3458" t="str"><v>Developers & ITI's</v></cell><cell r="U3458" t="str"><v>USA-Trial-ITD-Trial PayGo Lookalike-AZR-AZR</v></cell><cell r="V3458" t="str"><v>Lookalike Targeting</v></cell><cell r="W3458" t="str"><v>Canvas Ad</v></cell><cell r="X3458" t="str"><v>1x1</v></cell></row><row r="3458"><cell r="AA3458"><v>43305</v></cell><cell r="AB3458" t="str"><v>USA_gaPMG_AZR_AZR_Q1_19_Direct-Social</v></cell><cell r="AC3458"><v>21358715</v></cell><cell r="AD3458"><v>720197</v></cell><cell r="AE3458" t="str"><v>Facebook</v></cell><cell r="AF3458"><v>3654128</v></cell><cell r="AG3458" t="str"><v>FACEBOOK»USA-Trial-ITD-Trial PayGo Lookalike-AZR-AZR»1 x 1»SocialBan»CAN»ALL»CPA»LAL»X»NA»SS»NA»FBCTCBasicMotion»PRC1Q0</v></cell><cell r="AH3458"><v>223935664</v></cell><cell r="AI3458" t="str"><v>AzurePlatform_FBCTCBasicMotion_USA_10s_CAN_PLATFORM_English_Trial_Standard_STAN_TIN_T1_2</v></cell><cell r="AJ3458"><v>103175984</v></cell></row><row r="3459"><cell r="C3459" t="str"><v>43305FACEBOOK»USA-Trial-ITD-Trial PayGo Lookalike-AZR-AZR»1 x 1»SocialBan»LIA»ALL»CPA»LAL»X»NA»SS»NA»FreeAcctDeveloperFB-AnimatedAI-Ch3»PRC1Q8</v></cell><cell r="D3459" t="str"><v>43305224104983</v></cell><cell r="E3459" t="str"><v>43305103032778PRC1Q8</v></cell><cell r="F3459" t="str"><v>DCM</v></cell></row><row r="3459"><cell r="K3459" t="str"><v>July</v></cell><cell r="L3459"><v>43309</v></cell><cell r="M3459" t="str"><v>Tier 0</v></cell><cell r="N3459" t="str"><v>North America</v></cell><cell r="O3459" t="str"><v>United States</v></cell><cell r="P3459" t="str"><v>Trial</v></cell><cell r="Q3459" t="str"><v>Social</v></cell><cell r="R3459" t="str"><v>Azure</v></cell><cell r="S3459" t="str"><v>Apps & Infra</v></cell><cell r="T3459" t="str"><v>Developers & ITI's</v></cell><cell r="U3459" t="str"><v>USA-Trial-ITD-Trial PayGo Lookalike-AZR-AZR</v></cell><cell r="V3459" t="str"><v>Lookalike Targeting</v></cell><cell r="W3459" t="str"><v>Link Ad</v></cell><cell r="X3459" t="str"><v>1x1</v></cell></row><row r="3459"><cell r="AA3459"><v>43305</v></cell><cell r="AB3459" t="str"><v>USA_gaPMG_AZR_AZR_Q1_19_Direct-Social</v></cell><cell r="AC3459"><v>21358715</v></cell><cell r="AD3459"><v>720197</v></cell><cell r="AE3459" t="str"><v>Facebook</v></cell><cell r="AF3459"><v>3654128</v></cell><cell r="AG3459" t="str"><v>FACEBOOK»USA-Trial-ITD-Trial PayGo Lookalike-AZR-AZR»1 x 1»SocialBan»LIA»ALL»CPA»LAL»X»NA»SS»NA»FreeAcctDeveloperFB-AnimatedAI-Ch3»PRC1Q8</v></cell><cell r="AH3459"><v>224104983</v></cell><cell r="AI3459" t="str"><v>AZR_FreeAcctDeveloperFB-AnimatedAI-Ch3_USA_1200x1200_CAN_Direct_English_Trial_Standard_ANI_LEA_T3_1</v></cell><cell r="AJ3459"><v>103032778</v></cell></row><row r="3460"><cell r="C3460" t="str"><v>43305FACEBOOK»USA-Trial-ITD-Trial PayGo Lookalike-AZR-AZR»1 x 1»SocialBan»LIA»ALL»CPA»LAL»X»NA»SS»NA»FreeAcctDeveloperFB-AnimatedData-Ch4»PRC1Q9</v></cell><cell r="D3460" t="str"><v>43305224106990</v></cell><cell r="E3460" t="str"><v>43305103037935PRC1Q9</v></cell><cell r="F3460" t="str"><v>DCM</v></cell></row><row r="3460"><cell r="K3460" t="str"><v>July</v></cell><cell r="L3460"><v>43309</v></cell><cell r="M3460" t="str"><v>Tier 0</v></cell><cell r="N3460" t="str"><v>North America</v></cell><cell r="O3460" t="str"><v>United States</v></cell><cell r="P3460" t="str"><v>Trial</v></cell><cell r="Q3460" t="str"><v>Social</v></cell><cell r="R3460" t="str"><v>Azure</v></cell><cell r="S3460" t="str"><v>Apps & Infra</v></cell><cell r="T3460" t="str"><v>Developers & ITI's</v></cell><cell r="U3460" t="str"><v>USA-Trial-ITD-Trial PayGo Lookalike-AZR-AZR</v></cell><cell r="V3460" t="str"><v>Lookalike Targeting</v></cell><cell r="W3460" t="str"><v>Link Ad</v></cell><cell r="X3460" t="str"><v>1x1</v></cell></row><row r="3460"><cell r="AA3460"><v>43305</v></cell><cell r="AB3460" t="str"><v>USA_gaPMG_AZR_AZR_Q1_19_Direct-Social</v></cell><cell r="AC3460"><v>21358715</v></cell><cell r="AD3460"><v>720197</v></cell><cell r="AE3460" t="str"><v>Facebook</v></cell><cell r="AF3460"><v>3654128</v></cell><cell r="AG3460" t="str"><v>FACEBOOK»USA-Trial-ITD-Trial PayGo Lookalike-AZR-AZR»1 x 1»SocialBan»LIA»ALL»CPA»LAL»X»NA»SS»NA»FreeAcctDeveloperFB-AnimatedData-Ch4»PRC1Q9</v></cell><cell r="AH3460"><v>224106990</v></cell><cell r="AI3460" t="str"><v>AZR_FreeAcctDeveloperFB-AnimatedData-Ch4_USA_1200x1200_CAN_Direct_English_Trial_Standard_ANI_LEA_T4_2</v></cell><cell r="AJ3460"><v>103037935</v></cell></row><row r="3461"><cell r="C3461" t="str"><v>43305FACEBOOK»USA-Trial-ITD-Trial PayGo Lookalike-AZR-AZR»1 x 1»SocialBan»LIA»ALL»CPA»LAL»X»NA»SS»NA»FreeAcctDeveloperFB-AnimatedGeneric-Ch1»PRC1Q5</v></cell><cell r="D3461" t="str"><v>43305224104092</v></cell><cell r="E3461" t="str"><v>43305103176851PRC1Q5</v></cell><cell r="F3461" t="str"><v>DCM</v></cell><cell r="G3461" t="str"><v>https://azure.microsoft.com/en-us/free/search/?OCID=AID%eexcid!_OLA_%ebuy!_%epid!_%ecid!</v></cell></row><row r="3461"><cell r="K3461" t="str"><v>July</v></cell><cell r="L3461"><v>43309</v></cell><cell r="M3461" t="str"><v>Tier 0</v></cell><cell r="N3461" t="str"><v>North America</v></cell><cell r="O3461" t="str"><v>United States</v></cell><cell r="P3461" t="str"><v>Trial</v></cell><cell r="Q3461" t="str"><v>Social</v></cell><cell r="R3461" t="str"><v>Azure</v></cell><cell r="S3461" t="str"><v>Apps & Infra</v></cell><cell r="T3461" t="str"><v>Developers & ITI's</v></cell><cell r="U3461" t="str"><v>USA-Trial-ITD-Trial PayGo Lookalike-AZR-AZR</v></cell><cell r="V3461" t="str"><v>Lookalike Targeting</v></cell><cell r="W3461" t="str"><v>Link Ad</v></cell><cell r="X3461" t="str"><v>1x1</v></cell></row><row r="3461"><cell r="AA3461"><v>43305</v></cell><cell r="AB3461" t="str"><v>USA_gaPMG_AZR_AZR_Q1_19_Direct-Social</v></cell><cell r="AC3461"><v>21358715</v></cell><cell r="AD3461"><v>720197</v></cell><cell r="AE3461" t="str"><v>Facebook</v></cell><cell r="AF3461"><v>3654128</v></cell><cell r="AG3461" t="str"><v>FACEBOOK»USA-Trial-ITD-Trial PayGo Lookalike-AZR-AZR»1 x 1»SocialBan»LIA»ALL»CPA»LAL»X»NA»SS»NA»FreeAcctDeveloperFB-AnimatedGeneric-Ch1»PRC1Q5</v></cell><cell r="AH3461"><v>224104092</v></cell><cell r="AI3461" t="str"><v>AZR_FreeAcctDeveloperFB-AnimatedGeneric-Ch1_USA_1200x1200_CAN_Direct_English_Trial_Standard_ANI_LEA_T1_2</v></cell><cell r="AJ3461"><v>103176851</v></cell></row><row r="3462"><cell r="C3462" t="str"><v>43305FACEBOOK»USA-Trial-ITD-Trial PayGo Lookalike-AZR-AZR»1 x 1»SocialBan»LIA»ALL»CPA»LAL»X»NA»SS»NA»FreeAcctDeveloperFB-AnimatedOpenSource-Ch2»PRC1Q7</v></cell><cell r="D3462" t="str"><v>43305223862951</v></cell><cell r="E3462" t="str"><v>43305103048329PRC1Q7</v></cell><cell r="F3462" t="str"><v>DCM</v></cell><cell r="G3462" t="str"><v>https://azure.microsoft.com/en-us/free/open-source/search/?OCID=AID%eexcid!_OLA_%ebuy!_%epid!_%ecid!</v></cell></row><row r="3462"><cell r="K3462" t="str"><v>July</v></cell><cell r="L3462"><v>43309</v></cell><cell r="M3462" t="str"><v>Tier 0</v></cell><cell r="N3462" t="str"><v>North America</v></cell><cell r="O3462" t="str"><v>United States</v></cell><cell r="P3462" t="str"><v>Trial</v></cell><cell r="Q3462" t="str"><v>Social</v></cell><cell r="R3462" t="str"><v>Azure</v></cell><cell r="S3462" t="str"><v>Apps & Infra</v></cell><cell r="T3462" t="str"><v>Developers & ITI's</v></cell><cell r="U3462" t="str"><v>USA-Trial-ITD-Trial PayGo Lookalike-AZR-AZR</v></cell><cell r="V3462" t="str"><v>Lookalike Targeting</v></cell><cell r="W3462" t="str"><v>Link Ad</v></cell><cell r="X3462" t="str"><v>1x1</v></cell></row><row r="3462"><cell r="AA3462"><v>43305</v></cell><cell r="AB3462" t="str"><v>USA_gaPMG_AZR_AZR_Q1_19_Direct-Social</v></cell><cell r="AC3462"><v>21358715</v></cell><cell r="AD3462"><v>720197</v></cell><cell r="AE3462" t="str"><v>Facebook</v></cell><cell r="AF3462"><v>3654128</v></cell><cell r="AG3462" t="str"><v>FACEBOOK»USA-Trial-ITD-Trial PayGo Lookalike-AZR-AZR»1 x 1»SocialBan»LIA»ALL»CPA»LAL»X»NA»SS»NA»FreeAcctDeveloperFB-AnimatedOpenSource-Ch2»PRC1Q7</v></cell><cell r="AH3462"><v>223862951</v></cell><cell r="AI3462" t="str"><v>AZR_FreeAcctDeveloperFB-AnimatedOpenSource-Ch2_USA_1200x1200_CAN_Direct_English_Trial_Standard_ANI_LEA_T2_1</v></cell><cell r="AJ3462"><v>103048329</v></cell></row><row r="3463"><cell r="C3463" t="str"><v>43305FACEBOOK»USA-Trial-ITD-Trial PayGo Lookalike-AZR-AZR»1 x 1»SocialBan»LIA»ALL»CPA»LAL»X»NA»SS»NA»FreeAcctITProFB-AnimatedHybrid-Ch2»PRC1QC</v></cell><cell r="D3463" t="str"><v>43305223933186</v></cell><cell r="E3463" t="str"><v>43305103180583PRC1QC</v></cell><cell r="F3463" t="str"><v>DCM</v></cell></row><row r="3463"><cell r="K3463" t="str"><v>July</v></cell><cell r="L3463"><v>43309</v></cell><cell r="M3463" t="str"><v>Tier 0</v></cell><cell r="N3463" t="str"><v>North America</v></cell><cell r="O3463" t="str"><v>United States</v></cell><cell r="P3463" t="str"><v>Trial</v></cell><cell r="Q3463" t="str"><v>Social</v></cell><cell r="R3463" t="str"><v>Azure</v></cell><cell r="S3463" t="str"><v>Apps & Infra</v></cell><cell r="T3463" t="str"><v>Developers & ITI's</v></cell><cell r="U3463" t="str"><v>USA-Trial-ITD-Trial PayGo Lookalike-AZR-AZR</v></cell><cell r="V3463" t="str"><v>Lookalike Targeting</v></cell><cell r="W3463" t="str"><v>Link Ad</v></cell><cell r="X3463" t="str"><v>1x1</v></cell></row><row r="3463"><cell r="AA3463"><v>43305</v></cell><cell r="AB3463" t="str"><v>USA_gaPMG_AZR_AZR_Q1_19_Direct-Social</v></cell><cell r="AC3463"><v>21358715</v></cell><cell r="AD3463"><v>720197</v></cell><cell r="AE3463" t="str"><v>Facebook</v></cell><cell r="AF3463"><v>3654128</v></cell><cell r="AG3463" t="str"><v>FACEBOOK»USA-Trial-ITD-Trial PayGo Lookalike-AZR-AZR»1 x 1»SocialBan»LIA»ALL»CPA»LAL»X»NA»SS»NA»FreeAcctITProFB-AnimatedHybrid-Ch2»PRC1QC</v></cell><cell r="AH3463"><v>223933186</v></cell><cell r="AI3463" t="str"><v>AZR_FreeAcctITProFB-AnimatedHybrid-Ch2_USA_1200x1200_CAN_Direct_English_Trial_Standard_ANI_LEA_T2_2</v></cell><cell r="AJ3463"><v>103180583</v></cell></row><row r="3464"><cell r="C3464" t="str"><v>43305FACEBOOK»USA-Trial-ITD-Trial PayGo Lookalike-AZR-AZR»1 x 1»SocialBan»LIA»ALL»CPA»LAL»X»NA»SS»NA»FreeAcctITProFB-AnimatedMigration-Ch3»PRC23Y</v></cell><cell r="D3464" t="str"><v>43305224105904</v></cell><cell r="E3464" t="str"><v>43305103176827PRC23Y</v></cell><cell r="F3464" t="str"><v>DCM</v></cell></row><row r="3464"><cell r="K3464" t="str"><v>July</v></cell><cell r="L3464"><v>43309</v></cell><cell r="M3464" t="str"><v>Tier 0</v></cell><cell r="N3464" t="str"><v>North America</v></cell><cell r="O3464" t="str"><v>United States</v></cell><cell r="P3464" t="str"><v>Trial</v></cell><cell r="Q3464" t="str"><v>Social</v></cell><cell r="R3464" t="str"><v>Azure</v></cell><cell r="S3464" t="str"><v>Apps & Infra</v></cell><cell r="T3464" t="str"><v>Developers & ITI's</v></cell><cell r="U3464" t="str"><v>USA-Trial-ITD-Trial PayGo Lookalike-AZR-AZR</v></cell><cell r="V3464" t="str"><v>Lookalike Targeting</v></cell><cell r="W3464" t="str"><v>Link Ad</v></cell><cell r="X3464" t="str"><v>1x1</v></cell></row><row r="3464"><cell r="AA3464"><v>43305</v></cell><cell r="AB3464" t="str"><v>USA_gaPMG_AZR_AZR_Q1_19_Direct-Social</v></cell><cell r="AC3464"><v>21358715</v></cell><cell r="AD3464"><v>720197</v></cell><cell r="AE3464" t="str"><v>Facebook</v></cell><cell r="AF3464"><v>3654128</v></cell><cell r="AG3464" t="str"><v>FACEBOOK»USA-Trial-ITD-Trial PayGo Lookalike-AZR-AZR»1 x 1»SocialBan»LIA»ALL»CPA»LAL»X»NA»SS»NA»FreeAcctITProFB-AnimatedMigration-Ch3»PRC23Y</v></cell><cell r="AH3464"><v>224105904</v></cell><cell r="AI3464" t="str"><v>AZR_FreeAcctITProFB-AnimatedMigration-Ch3_USA_1200x1200_CAN_Direct_English_Trial_Standard_ANI_LEA_T3_1</v></cell><cell r="AJ3464"><v>103176827</v></cell></row><row r="3465"><cell r="C3465" t="str"><v>43305FACEBOOK»USA-Trial-ITD-Trial PayGo Lookalike-AZR-AZR»1 x 1»SocialBan»LIA»ALL»CPA»LAL»X»NA»SS»NA»FreeAcctITProFB-AnimatedSecureMngd-Ch1»PRC1QB</v></cell><cell r="D3465" t="str"><v>43305223862945</v></cell><cell r="E3465" t="str"><v>43305103176830PRC1QB</v></cell><cell r="F3465" t="str"><v>DCM</v></cell></row><row r="3465"><cell r="K3465" t="str"><v>July</v></cell><cell r="L3465"><v>43309</v></cell><cell r="M3465" t="str"><v>Tier 0</v></cell><cell r="N3465" t="str"><v>North America</v></cell><cell r="O3465" t="str"><v>United States</v></cell><cell r="P3465" t="str"><v>Trial</v></cell><cell r="Q3465" t="str"><v>Social</v></cell><cell r="R3465" t="str"><v>Azure</v></cell><cell r="S3465" t="str"><v>Apps & Infra</v></cell><cell r="T3465" t="str"><v>Developers & ITI's</v></cell><cell r="U3465" t="str"><v>USA-Trial-ITD-Trial PayGo Lookalike-AZR-AZR</v></cell><cell r="V3465" t="str"><v>Lookalike Targeting</v></cell><cell r="W3465" t="str"><v>Link Ad</v></cell><cell r="X3465" t="str"><v>1x1</v></cell></row><row r="3465"><cell r="AA3465"><v>43305</v></cell><cell r="AB3465" t="str"><v>USA_gaPMG_AZR_AZR_Q1_19_Direct-Social</v></cell><cell r="AC3465"><v>21358715</v></cell><cell r="AD3465"><v>720197</v></cell><cell r="AE3465" t="str"><v>Facebook</v></cell><cell r="AF3465"><v>3654128</v></cell><cell r="AG3465" t="str"><v>FACEBOOK»USA-Trial-ITD-Trial PayGo Lookalike-AZR-AZR»1 x 1»SocialBan»LIA»ALL»CPA»LAL»X»NA»SS»NA»FreeAcctITProFB-AnimatedSecureMngd-Ch1»PRC1QB</v></cell><cell r="AH3465"><v>223862945</v></cell><cell r="AI3465" t="str"><v>AZR_FreeAcctITProFB-AnimatedSecureMngd-Ch1_USA_1200x1200_CAN_Direct_English_Trial_Standard_ANI_LEA_T1_1</v></cell><cell r="AJ3465"><v>103176830</v></cell></row><row r="3466"><cell r="C3466" t="str"><v>43305INSTAGRAM»USA-Trial-ITD-Interest Prospecting-AZR-AZR»1 x 1»SocialBan»CAN»ALL»CPA»PRO»X»NA»SS»NA»IGCTCBrandinMotion»PRC2PB</v></cell><cell r="D3466" t="str"><v>43305223862690</v></cell><cell r="E3466" t="str"><v>43305103050783PRC2PB</v></cell><cell r="F3466" t="str"><v>DCM</v></cell><cell r="G3466" t="str"><v>https://signup.azure.com/?OCID=AID%eexcid!_OLA_%ebuy!_%epid!_%ecid!</v></cell></row><row r="3466"><cell r="K3466" t="str"><v>July</v></cell><cell r="L3466"><v>43309</v></cell><cell r="M3466" t="str"><v>Tier 0</v></cell><cell r="N3466" t="str"><v>North America</v></cell><cell r="O3466" t="str"><v>United States</v></cell><cell r="P3466" t="str"><v>Trial</v></cell><cell r="Q3466" t="str"><v>Social</v></cell><cell r="R3466" t="str"><v>Azure</v></cell><cell r="S3466" t="str"><v>Apps & Infra</v></cell><cell r="T3466" t="str"><v>Developers & ITI's</v></cell><cell r="U3466" t="str"><v>USA-Trial-ITD-Interest Prospecting-AZR-AZR</v></cell><cell r="V3466" t="str"><v>Prospecting</v></cell><cell r="W3466" t="str"><v>Canvas Ad</v></cell><cell r="X3466" t="str"><v>1x1</v></cell></row><row r="3466"><cell r="AA3466"><v>43305</v></cell><cell r="AB3466" t="str"><v>USA_gaPMG_AZR_AZR_Q1_19_Direct-Social</v></cell><cell r="AC3466"><v>21358715</v></cell><cell r="AD3466"><v>720197</v></cell><cell r="AE3466" t="str"><v>Facebook - Instagram</v></cell><cell r="AF3466"><v>3654128</v></cell><cell r="AG3466" t="str"><v>INSTAGRAM»USA-Trial-ITD-Interest Prospecting-AZR-AZR»1 x 1»SocialBan»CAN»ALL»CPA»PRO»X»NA»SS»NA»IGCTCBrandinMotion»PRC2PB</v></cell><cell r="AH3466"><v>223862690</v></cell><cell r="AI3466" t="str"><v>AzurePlatform_IGCTCBenefit2inMotion_USA_10s_CAN_PLATFORM_English_Trial_Standard_STAN_TIN_T4_1</v></cell><cell r="AJ3466"><v>103050783</v></cell></row><row r="3467"><cell r="C3467" t="str"><v>43305INSTAGRAM»USA-Trial-ITD-Interest Prospecting-AZR-AZR»1 x 1»SocialBan»CAN»ALL»CPA»PRO»X»NA»SS»NA»IGCTCBrandinMotion»PRC2PB</v></cell><cell r="D3467" t="str"><v>43305223862690</v></cell><cell r="E3467" t="str"><v>43305103178714PRC2PB</v></cell><cell r="F3467" t="str"><v>DCM</v></cell><cell r="G3467" t="str"><v>https://azure.microsoft.com/en-us/pricing/purchase-options/?v=18.19&OCID=AID%eexcid!_OLA_%ebuy!_%epid!_%ecid!</v></cell></row><row r="3467"><cell r="K3467" t="str"><v>July</v></cell><cell r="L3467"><v>43309</v></cell><cell r="M3467" t="str"><v>Tier 0</v></cell><cell r="N3467" t="str"><v>North America</v></cell><cell r="O3467" t="str"><v>United States</v></cell><cell r="P3467" t="str"><v>Trial</v></cell><cell r="Q3467" t="str"><v>Social</v></cell><cell r="R3467" t="str"><v>Azure</v></cell><cell r="S3467" t="str"><v>Apps & Infra</v></cell><cell r="T3467" t="str"><v>Developers & ITI's</v></cell><cell r="U3467" t="str"><v>USA-Trial-ITD-Interest Prospecting-AZR-AZR</v></cell><cell r="V3467" t="str"><v>Prospecting</v></cell><cell r="W3467" t="str"><v>Canvas Ad</v></cell><cell r="X3467" t="str"><v>1x1</v></cell></row><row r="3467"><cell r="AA3467"><v>43305</v></cell><cell r="AB3467" t="str"><v>USA_gaPMG_AZR_AZR_Q1_19_Direct-Social</v></cell><cell r="AC3467"><v>21358715</v></cell><cell r="AD3467"><v>720197</v></cell><cell r="AE3467" t="str"><v>Facebook - Instagram</v></cell><cell r="AF3467"><v>3654128</v></cell><cell r="AG3467" t="str"><v>INSTAGRAM»USA-Trial-ITD-Interest Prospecting-AZR-AZR»1 x 1»SocialBan»CAN»ALL»CPA»PRO»X»NA»SS»NA»IGCTCBrandinMotion»PRC2PB</v></cell><cell r="AH3467"><v>223862690</v></cell><cell r="AI3467" t="str"><v>AzurePlatform_IGCTCBenefit2inMotion_USA_10s_CAN_PLATFORM_English_Trial_Standard_STAN_TIN_T4_2</v></cell><cell r="AJ3467"><v>103178714</v></cell></row><row r="3468"><cell r="C3468" t="str"><v>43305INSTAGRAM»USA-Trial-ITD-Retargeting-AZR-AZR»1 x 1»SocialBan»CAN»ALL»CPA»RT»X»NA»SS»NA»IGCTCBenefitinMotion»PRC2G4</v></cell><cell r="D3468" t="str"><v>43305224107536</v></cell><cell r="E3468" t="str"><v>43305103050780PRC2G4</v></cell><cell r="F3468" t="str"><v>DCM</v></cell><cell r="G3468" t="str"><v>https://signup.azure.com/?OCID=AID%eexcid!_OLA_%ebuy!_%epid!_%ecid!</v></cell></row><row r="3468"><cell r="K3468" t="str"><v>July</v></cell><cell r="L3468"><v>43309</v></cell><cell r="M3468" t="str"><v>Tier 0</v></cell><cell r="N3468" t="str"><v>North America</v></cell><cell r="O3468" t="str"><v>United States</v></cell><cell r="P3468" t="str"><v>Trial</v></cell><cell r="Q3468" t="str"><v>Social</v></cell><cell r="R3468" t="str"><v>Azure</v></cell><cell r="S3468" t="str"><v>Apps & Infra</v></cell><cell r="T3468" t="str"><v>Developers & ITI's</v></cell><cell r="U3468" t="str"><v>USA-Trial-ITD-Retargeting-AZR-AZR</v></cell><cell r="V3468" t="str"><v>Retargeting</v></cell><cell r="W3468" t="str"><v>Canvas Ad</v></cell><cell r="X3468" t="str"><v>1x1</v></cell></row><row r="3468"><cell r="AA3468"><v>43305</v></cell><cell r="AB3468" t="str"><v>USA_gaPMG_AZR_AZR_Q1_19_Direct-Social</v></cell><cell r="AC3468"><v>21358715</v></cell><cell r="AD3468"><v>720197</v></cell><cell r="AE3468" t="str"><v>Facebook - Instagram</v></cell><cell r="AF3468"><v>3654128</v></cell><cell r="AG3468" t="str"><v>INSTAGRAM»USA-Trial-ITD-Retargeting-AZR-AZR»1 x 1»SocialBan»CAN»ALL»CPA»RT»X»NA»SS»NA»IGCTCBenefitinMotion»PRC2G4</v></cell><cell r="AH3468"><v>224107536</v></cell><cell r="AI3468" t="str"><v>AzurePlatform_IGCTCBenefitinMotion_USA_10s_CAN_PLATFORM_English_Trial_Standard_STAN_TIN_T3_1</v></cell><cell r="AJ3468"><v>103050780</v></cell></row><row r="3469"><cell r="C3469" t="str"><v>43305INSTAGRAM»USA-Trial-ITD-Retargeting-AZR-AZR»1 x 1»SocialBan»CAN»ALL»CPA»RT»X»NA»SS»NA»IGCTCBenefitinMotion»PRC2G4</v></cell><cell r="D3469" t="str"><v>43305224107536</v></cell><cell r="E3469" t="str"><v>43305103180637PRC2G4</v></cell><cell r="F3469" t="str"><v>DCM</v></cell><cell r="G3469" t="str"><v>https://azure.microsoft.com/en-us/pricing/purchase-options/?v=18.19&OCID=AID%eexcid!_OLA_%ebuy!_%epid!_%ecid!</v></cell></row><row r="3469"><cell r="K3469" t="str"><v>July</v></cell><cell r="L3469"><v>43309</v></cell><cell r="M3469" t="str"><v>Tier 0</v></cell><cell r="N3469" t="str"><v>North America</v></cell><cell r="O3469" t="str"><v>United States</v></cell><cell r="P3469" t="str"><v>Trial</v></cell><cell r="Q3469" t="str"><v>Social</v></cell><cell r="R3469" t="str"><v>Azure</v></cell><cell r="S3469" t="str"><v>Apps & Infra</v></cell><cell r="T3469" t="str"><v>Developers & ITI's</v></cell><cell r="U3469" t="str"><v>USA-Trial-ITD-Retargeting-AZR-AZR</v></cell><cell r="V3469" t="str"><v>Retargeting</v></cell><cell r="W3469" t="str"><v>Canvas Ad</v></cell><cell r="X3469" t="str"><v>1x1</v></cell></row><row r="3469"><cell r="AA3469"><v>43305</v></cell><cell r="AB3469" t="str"><v>USA_gaPMG_AZR_AZR_Q1_19_Direct-Social</v></cell><cell r="AC3469"><v>21358715</v></cell><cell r="AD3469"><v>720197</v></cell><cell r="AE3469" t="str"><v>Facebook - Instagram</v></cell><cell r="AF3469"><v>3654128</v></cell><cell r="AG3469" t="str"><v>INSTAGRAM»USA-Trial-ITD-Retargeting-AZR-AZR»1 x 1»SocialBan»CAN»ALL»CPA»RT»X»NA»SS»NA»IGCTCBenefitinMotion»PRC2G4</v></cell><cell r="AH3469"><v>224107536</v></cell><cell r="AI3469" t="str"><v>AzurePlatform_IGCTCBenefitinMotion_USA_10s_CAN_PLATFORM_English_Trial_Standard_STAN_TIN_T3_2</v></cell><cell r="AJ3469"><v>103180637</v></cell></row><row r="3470"><cell r="C3470" t="str"><v>43305INSTAGRAM»USA-Trial-ITD-Trial Lookalike-AZR-AZR»1 x 1»SocialBan»CAN»ALL»CPA»LAL»X»NA»SS»NA»IGCTCBenefit2inMotion»PRC2FL</v></cell><cell r="D3470" t="str"><v>43305223935022</v></cell><cell r="E3470" t="str"><v>43305103180628PRC2FL</v></cell><cell r="F3470" t="str"><v>DCM</v></cell><cell r="G3470" t="str"><v>https://signup.azure.com/?OCID=AID%eexcid!_OLA_%ebuy!_%epid!_%ecid!</v></cell></row><row r="3470"><cell r="K3470" t="str"><v>July</v></cell><cell r="L3470"><v>43309</v></cell><cell r="M3470" t="str"><v>Tier 0</v></cell><cell r="N3470" t="str"><v>North America</v></cell><cell r="O3470" t="str"><v>United States</v></cell><cell r="P3470" t="str"><v>Trial</v></cell><cell r="Q3470" t="str"><v>Social</v></cell><cell r="R3470" t="str"><v>Azure</v></cell><cell r="S3470" t="str"><v>Apps & Infra</v></cell><cell r="T3470" t="str"><v>Developers & ITI's</v></cell><cell r="U3470" t="str"><v>USA-Trial-ITD-Trial Lookalike-AZR-AZR</v></cell><cell r="V3470" t="str"><v>Lookalike Targeting</v></cell><cell r="W3470" t="str"><v>Canvas Ad</v></cell><cell r="X3470" t="str"><v>1x1</v></cell></row><row r="3470"><cell r="AA3470"><v>43305</v></cell><cell r="AB3470" t="str"><v>USA_gaPMG_AZR_AZR_Q1_19_Direct-Social</v></cell><cell r="AC3470"><v>21358715</v></cell><cell r="AD3470"><v>720197</v></cell><cell r="AE3470" t="str"><v>Facebook - Instagram</v></cell><cell r="AF3470"><v>3654128</v></cell><cell r="AG3470" t="str"><v>INSTAGRAM»USA-Trial-ITD-Trial Lookalike-AZR-AZR»1 x 1»SocialBan»CAN»ALL»CPA»LAL»X»NA»SS»NA»IGCTCBenefit2inMotion»PRC2FL</v></cell><cell r="AH3470"><v>223935022</v></cell><cell r="AI3470" t="str"><v>AzurePlatform_IGCTCBrandinMotion_USA_10s_CAN_PLATFORM_English_Trial_Standard_STAN_TIN_T2_1</v></cell><cell r="AJ3470"><v>103180628</v></cell></row><row r="3471"><cell r="C3471" t="str"><v>43305INSTAGRAM»USA-Trial-ITD-Trial Lookalike-AZR-AZR»1 x 1»SocialBan»CAN»ALL»CPA»LAL»X»NA»SS»NA»IGCTCBenefit2inMotion»PRC2FL</v></cell><cell r="D3471" t="str"><v>43305223935022</v></cell><cell r="E3471" t="str"><v>43305103050786PRC2FL</v></cell><cell r="F3471" t="str"><v>DCM</v></cell><cell r="G3471" t="str"><v>https://azure.microsoft.com/en-us/pricing/purchase-options/?v=18.19&OCID=AID%eexcid!_OLA_%ebuy!_%epid!_%ecid!</v></cell></row><row r="3471"><cell r="K3471" t="str"><v>July</v></cell><cell r="L3471"><v>43309</v></cell><cell r="M3471" t="str"><v>Tier 0</v></cell><cell r="N3471" t="str"><v>North America</v></cell><cell r="O3471" t="str"><v>United States</v></cell><cell r="P3471" t="str"><v>Trial</v></cell><cell r="Q3471" t="str"><v>Social</v></cell><cell r="R3471" t="str"><v>Azure</v></cell><cell r="S3471" t="str"><v>Apps & Infra</v></cell><cell r="T3471" t="str"><v>Developers & ITI's</v></cell><cell r="U3471" t="str"><v>USA-Trial-ITD-Trial Lookalike-AZR-AZR</v></cell><cell r="V3471" t="str"><v>Lookalike Targeting</v></cell><cell r="W3471" t="str"><v>Canvas Ad</v></cell><cell r="X3471" t="str"><v>1x1</v></cell></row><row r="3471"><cell r="AA3471"><v>43305</v></cell><cell r="AB3471" t="str"><v>USA_gaPMG_AZR_AZR_Q1_19_Direct-Social</v></cell><cell r="AC3471"><v>21358715</v></cell><cell r="AD3471"><v>720197</v></cell><cell r="AE3471" t="str"><v>Facebook - Instagram</v></cell><cell r="AF3471"><v>3654128</v></cell><cell r="AG3471" t="str"><v>INSTAGRAM»USA-Trial-ITD-Trial Lookalike-AZR-AZR»1 x 1»SocialBan»CAN»ALL»CPA»LAL»X»NA»SS»NA»IGCTCBenefit2inMotion»PRC2FL</v></cell><cell r="AH3471"><v>223935022</v></cell><cell r="AI3471" t="str"><v>AzurePlatform_IGCTCBrandinMotion_USA_10s_CAN_PLATFORM_English_Trial_Standard_STAN_TIN_T2_2</v></cell><cell r="AJ3471"><v>103050786</v></cell></row><row r="3472"><cell r="C3472" t="str"><v>43305INSTAGRAM»USA-Trial-ITD-Trial Lookalike-AZR-AZR»1 x 1»SocialBan»CAN»ALL»CPA»LAL»X»NA»SS»NA»IGCTCBrandinMotion»PRC2FH</v></cell><cell r="D3472" t="str"><v>43305223935019</v></cell><cell r="E3472" t="str"><v>43305103050783PRC2FH</v></cell><cell r="F3472" t="str"><v>DCM</v></cell><cell r="G3472" t="str"><v>https://signup.azure.com/?OCID=AID%eexcid!_OLA_%ebuy!_%epid!_%ecid!</v></cell></row><row r="3472"><cell r="K3472" t="str"><v>July</v></cell><cell r="L3472"><v>43309</v></cell><cell r="M3472" t="str"><v>Tier 0</v></cell><cell r="N3472" t="str"><v>North America</v></cell><cell r="O3472" t="str"><v>United States</v></cell><cell r="P3472" t="str"><v>Trial</v></cell><cell r="Q3472" t="str"><v>Social</v></cell><cell r="R3472" t="str"><v>Azure</v></cell><cell r="S3472" t="str"><v>Apps & Infra</v></cell><cell r="T3472" t="str"><v>Developers & ITI's</v></cell><cell r="U3472" t="str"><v>USA-Trial-ITD-Trial Lookalike-AZR-AZR</v></cell><cell r="V3472" t="str"><v>Lookalike Targeting</v></cell><cell r="W3472" t="str"><v>Canvas Ad</v></cell><cell r="X3472" t="str"><v>1x1</v></cell></row><row r="3472"><cell r="AA3472"><v>43305</v></cell><cell r="AB3472" t="str"><v>USA_gaPMG_AZR_AZR_Q1_19_Direct-Social</v></cell><cell r="AC3472"><v>21358715</v></cell><cell r="AD3472"><v>720197</v></cell><cell r="AE3472" t="str"><v>Facebook - Instagram</v></cell><cell r="AF3472"><v>3654128</v></cell><cell r="AG3472" t="str"><v>INSTAGRAM»USA-Trial-ITD-Trial Lookalike-AZR-AZR»1 x 1»SocialBan»CAN»ALL»CPA»LAL»X»NA»SS»NA»IGCTCBrandinMotion»PRC2FH</v></cell><cell r="AH3472"><v>223935019</v></cell><cell r="AI3472" t="str"><v>AzurePlatform_IGCTCBenefit2inMotion_USA_10s_CAN_PLATFORM_English_Trial_Standard_STAN_TIN_T4_1</v></cell><cell r="AJ3472"><v>103050783</v></cell></row><row r="3473"><cell r="C3473" t="str"><v>43305INSTAGRAM»USA-Trial-ITD-Trial Lookalike-AZR-AZR»1 x 1»SocialBan»CAN»ALL»CPA»LAL»X»NA»SS»NA»IGCTCBrandinMotion»PRC2FH</v></cell><cell r="D3473" t="str"><v>43305223935019</v></cell><cell r="E3473" t="str"><v>43305103178714PRC2FH</v></cell><cell r="F3473" t="str"><v>DCM</v></cell><cell r="G3473" t="str"><v>https://azure.microsoft.com/en-us/pricing/purchase-options/?v=18.19&OCID=AID%eexcid!_OLA_%ebuy!_%epid!_%ecid!</v></cell></row><row r="3473"><cell r="K3473" t="str"><v>July</v></cell><cell r="L3473"><v>43309</v></cell><cell r="M3473" t="str"><v>Tier 0</v></cell><cell r="N3473" t="str"><v>North America</v></cell><cell r="O3473" t="str"><v>United States</v></cell><cell r="P3473" t="str"><v>Trial</v></cell><cell r="Q3473" t="str"><v>Social</v></cell><cell r="R3473" t="str"><v>Azure</v></cell><cell r="S3473" t="str"><v>Apps & Infra</v></cell><cell r="T3473" t="str"><v>Developers & ITI's</v></cell><cell r="U3473" t="str"><v>USA-Trial-ITD-Trial Lookalike-AZR-AZR</v></cell><cell r="V3473" t="str"><v>Lookalike Targeting</v></cell><cell r="W3473" t="str"><v>Canvas Ad</v></cell><cell r="X3473" t="str"><v>1x1</v></cell></row><row r="3473"><cell r="AA3473"><v>43305</v></cell><cell r="AB3473" t="str"><v>USA_gaPMG_AZR_AZR_Q1_19_Direct-Social</v></cell><cell r="AC3473"><v>21358715</v></cell><cell r="AD3473"><v>720197</v></cell><cell r="AE3473" t="str"><v>Facebook - Instagram</v></cell><cell r="AF3473"><v>3654128</v></cell><cell r="AG3473" t="str"><v>INSTAGRAM»USA-Trial-ITD-Trial Lookalike-AZR-AZR»1 x 1»SocialBan»CAN»ALL»CPA»LAL»X»NA»SS»NA»IGCTCBrandinMotion»PRC2FH</v></cell><cell r="AH3473"><v>223935019</v></cell><cell r="AI3473" t="str"><v>AzurePlatform_IGCTCBenefit2inMotion_USA_10s_CAN_PLATFORM_English_Trial_Standard_STAN_TIN_T4_2</v></cell><cell r="AJ3473"><v>103178714</v></cell></row><row r="3474"><cell r="C3474" t="str"><v>43305INSTAGRAM»USA-Trial-ITD-Trial PayGo Lookalike-AZR-AZR»1 x 1»SocialBan»CAN»ALL»CPA»LAL»X»NA»SS»NA»IGCTCBrandinMotion»PRC2FW</v></cell><cell r="D3474" t="str"><v>43305223862654</v></cell><cell r="E3474" t="str"><v>43305103050783PRC2FW</v></cell><cell r="F3474" t="str"><v>DCM</v></cell><cell r="G3474" t="str"><v>https://signup.azure.com/?OCID=AID%eexcid!_OLA_%ebuy!_%epid!_%ecid!</v></cell></row><row r="3474"><cell r="K3474" t="str"><v>July</v></cell><cell r="L3474"><v>43309</v></cell><cell r="M3474" t="str"><v>Tier 0</v></cell><cell r="N3474" t="str"><v>North America</v></cell><cell r="O3474" t="str"><v>United States</v></cell><cell r="P3474" t="str"><v>Trial</v></cell><cell r="Q3474" t="str"><v>Social</v></cell><cell r="R3474" t="str"><v>Azure</v></cell><cell r="S3474" t="str"><v>Apps & Infra</v></cell><cell r="T3474" t="str"><v>Developers & ITI's</v></cell><cell r="U3474" t="str"><v>USA-Trial-ITD-Trial PayGo Lookalike-AZR-AZR</v></cell><cell r="V3474" t="str"><v>Lookalike Targeting</v></cell><cell r="W3474" t="str"><v>Canvas Ad</v></cell><cell r="X3474" t="str"><v>1x1</v></cell></row><row r="3474"><cell r="AA3474"><v>43305</v></cell><cell r="AB3474" t="str"><v>USA_gaPMG_AZR_AZR_Q1_19_Direct-Social</v></cell><cell r="AC3474"><v>21358715</v></cell><cell r="AD3474"><v>720197</v></cell><cell r="AE3474" t="str"><v>Facebook - Instagram</v></cell><cell r="AF3474"><v>3654128</v></cell><cell r="AG3474" t="str"><v>INSTAGRAM»USA-Trial-ITD-Trial PayGo Lookalike-AZR-AZR»1 x 1»SocialBan»CAN»ALL»CPA»LAL»X»NA»SS»NA»IGCTCBrandinMotion»PRC2FW</v></cell><cell r="AH3474"><v>223862654</v></cell><cell r="AI3474" t="str"><v>AzurePlatform_IGCTCBenefit2inMotion_USA_10s_CAN_PLATFORM_English_Trial_Standard_STAN_TIN_T4_1</v></cell><cell r="AJ3474"><v>103050783</v></cell></row><row r="3475"><cell r="C3475" t="str"><v>43305INSTAGRAM»USA-Trial-ITD-Trial PayGo Lookalike-AZR-AZR»1 x 1»SocialBan»CAN»ALL»CPA»LAL»X»NA»SS»NA»IGCTCBenefit2inMotion»PRC2FZ</v></cell><cell r="D3475" t="str"><v>43305223933075</v></cell><cell r="E3475" t="str"><v>43305103180628PRC2FZ</v></cell><cell r="F3475" t="str"><v>DCM</v></cell><cell r="G3475" t="str"><v>https://signup.azure.com/?OCID=AID%eexcid!_OLA_%ebuy!_%epid!_%ecid!</v></cell></row><row r="3475"><cell r="K3475" t="str"><v>July</v></cell><cell r="L3475"><v>43309</v></cell><cell r="M3475" t="str"><v>Tier 0</v></cell><cell r="N3475" t="str"><v>North America</v></cell><cell r="O3475" t="str"><v>United States</v></cell><cell r="P3475" t="str"><v>Trial</v></cell><cell r="Q3475" t="str"><v>Social</v></cell><cell r="R3475" t="str"><v>Azure</v></cell><cell r="S3475" t="str"><v>Apps & Infra</v></cell><cell r="T3475" t="str"><v>Developers & ITI's</v></cell><cell r="U3475" t="str"><v>USA-Trial-ITD-Trial PayGo Lookalike-AZR-AZR</v></cell><cell r="V3475" t="str"><v>Lookalike Targeting</v></cell><cell r="W3475" t="str"><v>Canvas Ad</v></cell><cell r="X3475" t="str"><v>1x1</v></cell></row><row r="3475"><cell r="AA3475"><v>43305</v></cell><cell r="AB3475" t="str"><v>USA_gaPMG_AZR_AZR_Q1_19_Direct-Social</v></cell><cell r="AC3475"><v>21358715</v></cell><cell r="AD3475"><v>720197</v></cell><cell r="AE3475" t="str"><v>Facebook - Instagram</v></cell><cell r="AF3475"><v>3654128</v></cell><cell r="AG3475" t="str"><v>INSTAGRAM»USA-Trial-ITD-Trial PayGo Lookalike-AZR-AZR»1 x 1»SocialBan»CAN»ALL»CPA»LAL»X»NA»SS»NA»IGCTCBenefit2inMotion»PRC2FZ</v></cell><cell r="AH3475"><v>223933075</v></cell><cell r="AI3475" t="str"><v>AzurePlatform_IGCTCBrandinMotion_USA_10s_CAN_PLATFORM_English_Trial_Standard_STAN_TIN_T2_1</v></cell><cell r="AJ3475"><v>103180628</v></cell></row><row r="3476"><cell r="C3476" t="str"><v>43305INSTAGRAM»USA-Trial-ITD-Interest Prospecting-AZR-AZR»1 x 1»SocialBan»CAN»ALL»CPA»PRO»X»NA»SS»NA»IGCTCBasicMotion»PRC2PF</v></cell><cell r="D3476" t="str"><v>43305224106621</v></cell><cell r="E3476" t="str"><v>43305103037968PRC2PF</v></cell><cell r="F3476" t="str"><v>DCM</v></cell><cell r="G3476" t="str"><v>https://signup.azure.com/?OCID=AID%eexcid!_OLA_%ebuy!_%epid!_%ecid!</v></cell></row><row r="3476"><cell r="K3476" t="str"><v>July</v></cell><cell r="L3476"><v>43309</v></cell><cell r="M3476" t="str"><v>Tier 0</v></cell><cell r="N3476" t="str"><v>North America</v></cell><cell r="O3476" t="str"><v>United States</v></cell><cell r="P3476" t="str"><v>Trial</v></cell><cell r="Q3476" t="str"><v>Social</v></cell><cell r="R3476" t="str"><v>Azure</v></cell><cell r="S3476" t="str"><v>Apps & Infra</v></cell><cell r="T3476" t="str"><v>Developers & ITI's</v></cell><cell r="U3476" t="str"><v>USA-Trial-ITD-Interest Prospecting-AZR-AZR</v></cell><cell r="V3476" t="str"><v>Prospecting</v></cell><cell r="W3476" t="str"><v>Canvas Ad</v></cell><cell r="X3476" t="str"><v>1x1</v></cell></row><row r="3476"><cell r="AA3476"><v>43305</v></cell><cell r="AB3476" t="str"><v>USA_gaPMG_AZR_AZR_Q1_19_Direct-Social</v></cell><cell r="AC3476"><v>21358715</v></cell><cell r="AD3476"><v>720197</v></cell><cell r="AE3476" t="str"><v>Facebook - Instagram</v></cell><cell r="AF3476"><v>3654128</v></cell><cell r="AG3476" t="str"><v>INSTAGRAM»USA-Trial-ITD-Interest Prospecting-AZR-AZR»1 x 1»SocialBan»CAN»ALL»CPA»PRO»X»NA»SS»NA»IGCTCBasicMotion»PRC2PF</v></cell><cell r="AH3476"><v>224106621</v></cell><cell r="AI3476" t="str"><v>AzurePlatform_IGCTCBasicMotion_USA_10s_CAN_PLATFORM_English_Trial_Standard_STAN_TIN_T1_1</v></cell><cell r="AJ3476"><v>103037968</v></cell></row><row r="3477"><cell r="C3477" t="str"><v>43305INSTAGRAM»USA-Trial-ITD-Interest Prospecting-AZR-AZR»1 x 1»SocialBan»CAN»ALL»CPA»PRO»X»NA»SS»NA»IGCTCBenefitinMotion»PRC2PC</v></cell><cell r="D3477" t="str"><v>43305224104878</v></cell><cell r="E3477" t="str"><v>43305103050780PRC2PC</v></cell><cell r="F3477" t="str"><v>DCM</v></cell><cell r="G3477" t="str"><v>https://signup.azure.com/?OCID=AID%eexcid!_OLA_%ebuy!_%epid!_%ecid!</v></cell></row><row r="3477"><cell r="K3477" t="str"><v>July</v></cell><cell r="L3477"><v>43309</v></cell><cell r="M3477" t="str"><v>Tier 0</v></cell><cell r="N3477" t="str"><v>North America</v></cell><cell r="O3477" t="str"><v>United States</v></cell><cell r="P3477" t="str"><v>Trial</v></cell><cell r="Q3477" t="str"><v>Social</v></cell><cell r="R3477" t="str"><v>Azure</v></cell><cell r="S3477" t="str"><v>Apps & Infra</v></cell><cell r="T3477" t="str"><v>Developers & ITI's</v></cell><cell r="U3477" t="str"><v>USA-Trial-ITD-Interest Prospecting-AZR-AZR</v></cell><cell r="V3477" t="str"><v>Prospecting</v></cell><cell r="W3477" t="str"><v>Canvas Ad</v></cell><cell r="X3477" t="str"><v>1x1</v></cell></row><row r="3477"><cell r="AA3477"><v>43305</v></cell><cell r="AB3477" t="str"><v>USA_gaPMG_AZR_AZR_Q1_19_Direct-Social</v></cell><cell r="AC3477"><v>21358715</v></cell><cell r="AD3477"><v>720197</v></cell><cell r="AE3477" t="str"><v>Facebook - Instagram</v></cell><cell r="AF3477"><v>3654128</v></cell><cell r="AG3477" t="str"><v>INSTAGRAM»USA-Trial-ITD-Interest Prospecting-AZR-AZR»1 x 1»SocialBan»CAN»ALL»CPA»PRO»X»NA»SS»NA»IGCTCBenefitinMotion»PRC2PC</v></cell><cell r="AH3477"><v>224104878</v></cell><cell r="AI3477" t="str"><v>AzurePlatform_IGCTCBenefitinMotion_USA_10s_CAN_PLATFORM_English_Trial_Standard_STAN_TIN_T3_1</v></cell><cell r="AJ3477"><v>103050780</v></cell></row><row r="3478"><cell r="C3478" t="str"><v>43305INSTAGRAM»USA-Trial-ITD-Interest Prospecting-AZR-AZR»1 x 1»SocialBan»CAN»ALL»CPA»PRO»X»NA»SS»NA»IGCTCBenefitinMotion»PRC2PC</v></cell><cell r="D3478" t="str"><v>43305224104878</v></cell><cell r="E3478" t="str"><v>43305103180637PRC2PC</v></cell><cell r="F3478" t="str"><v>DCM</v></cell><cell r="G3478" t="str"><v>https://azure.microsoft.com/en-us/pricing/purchase-options/?v=18.19&OCID=AID%eexcid!_OLA_%ebuy!_%epid!_%ecid!</v></cell></row><row r="3478"><cell r="K3478" t="str"><v>July</v></cell><cell r="L3478"><v>43309</v></cell><cell r="M3478" t="str"><v>Tier 0</v></cell><cell r="N3478" t="str"><v>North America</v></cell><cell r="O3478" t="str"><v>United States</v></cell><cell r="P3478" t="str"><v>Trial</v></cell><cell r="Q3478" t="str"><v>Social</v></cell><cell r="R3478" t="str"><v>Azure</v></cell><cell r="S3478" t="str"><v>Apps & Infra</v></cell><cell r="T3478" t="str"><v>Developers & ITI's</v></cell><cell r="U3478" t="str"><v>USA-Trial-ITD-Interest Prospecting-AZR-AZR</v></cell><cell r="V3478" t="str"><v>Prospecting</v></cell><cell r="W3478" t="str"><v>Canvas Ad</v></cell><cell r="X3478" t="str"><v>1x1</v></cell></row><row r="3478"><cell r="AA3478"><v>43305</v></cell><cell r="AB3478" t="str"><v>USA_gaPMG_AZR_AZR_Q1_19_Direct-Social</v></cell><cell r="AC3478"><v>21358715</v></cell><cell r="AD3478"><v>720197</v></cell><cell r="AE3478" t="str"><v>Facebook - Instagram</v></cell><cell r="AF3478"><v>3654128</v></cell><cell r="AG3478" t="str"><v>INSTAGRAM»USA-Trial-ITD-Interest Prospecting-AZR-AZR»1 x 1»SocialBan»CAN»ALL»CPA»PRO»X»NA»SS»NA»IGCTCBenefitinMotion»PRC2PC</v></cell><cell r="AH3478"><v>224104878</v></cell><cell r="AI3478" t="str"><v>AzurePlatform_IGCTCBenefitinMotion_USA_10s_CAN_PLATFORM_English_Trial_Standard_STAN_TIN_T3_2</v></cell><cell r="AJ3478"><v>103180637</v></cell></row><row r="3479"><cell r="C3479" t="str"><v>43305INSTAGRAM»USA-Trial-ITD-Trial Lookalike-AZR-AZR»1 x 1»SocialBan»CAN»ALL»CPA»LAL»X»NA»SS»NA»IGCTCBasicMotion»PRC0C2</v></cell><cell r="D3479" t="str"><v>43305224107017</v></cell><cell r="E3479" t="str"><v>43305103037968PRC0C2</v></cell><cell r="F3479" t="str"><v>DCM</v></cell><cell r="G3479" t="str"><v>https://signup.azure.com/?OCID=AID%eexcid!_OLA_%ebuy!_%epid!_%ecid!</v></cell></row><row r="3479"><cell r="K3479" t="str"><v>July</v></cell><cell r="L3479"><v>43309</v></cell><cell r="M3479" t="str"><v>Tier 0</v></cell><cell r="N3479" t="str"><v>North America</v></cell><cell r="O3479" t="str"><v>United States</v></cell><cell r="P3479" t="str"><v>Trial</v></cell><cell r="Q3479" t="str"><v>Social</v></cell><cell r="R3479" t="str"><v>Azure</v></cell><cell r="S3479" t="str"><v>Apps & Infra</v></cell><cell r="T3479" t="str"><v>Developers & ITI's</v></cell><cell r="U3479" t="str"><v>USA-Trial-ITD-Trial Lookalike-AZR-AZR</v></cell><cell r="V3479" t="str"><v>Lookalike Targeting</v></cell><cell r="W3479" t="str"><v>Canvas Ad</v></cell><cell r="X3479" t="str"><v>1x1</v></cell></row><row r="3479"><cell r="AA3479"><v>43305</v></cell><cell r="AB3479" t="str"><v>USA_gaPMG_AZR_AZR_Q1_19_Direct-Social</v></cell><cell r="AC3479"><v>21358715</v></cell><cell r="AD3479"><v>720197</v></cell><cell r="AE3479" t="str"><v>Facebook - Instagram</v></cell><cell r="AF3479"><v>3654128</v></cell><cell r="AG3479" t="str"><v>INSTAGRAM»USA-Trial-ITD-Trial Lookalike-AZR-AZR»1 x 1»SocialBan»CAN»ALL»CPA»LAL»X»NA»SS»NA»IGCTCBasicMotion»PRC0C2</v></cell><cell r="AH3479"><v>224107017</v></cell><cell r="AI3479" t="str"><v>AzurePlatform_IGCTCBasicMotion_USA_10s_CAN_PLATFORM_English_Trial_Standard_STAN_TIN_T1_1</v></cell><cell r="AJ3479"><v>103037968</v></cell></row><row r="3480"><cell r="C3480" t="str"><v>43305INSTAGRAM»USA-Trial-ITD-Trial Lookalike-AZR-AZR»1 x 1»SocialBan»CAN»ALL»CPA»LAL»X»NA»SS»NA»IGCTCBasicMotion»PRC0C2</v></cell><cell r="D3480" t="str"><v>43305224107017</v></cell><cell r="E3480" t="str"><v>43305103037974PRC0C2</v></cell><cell r="F3480" t="str"><v>DCM</v></cell><cell r="G3480" t="str"><v>https://azure.microsoft.com/en-us/pricing/purchase-options/?v=18.19&OCID=AID%eexcid!_OLA_%ebuy!_%epid!_%ecid!</v></cell></row><row r="3480"><cell r="K3480" t="str"><v>July</v></cell><cell r="L3480"><v>43309</v></cell><cell r="M3480" t="str"><v>Tier 0</v></cell><cell r="N3480" t="str"><v>North America</v></cell><cell r="O3480" t="str"><v>United States</v></cell><cell r="P3480" t="str"><v>Trial</v></cell><cell r="Q3480" t="str"><v>Social</v></cell><cell r="R3480" t="str"><v>Azure</v></cell><cell r="S3480" t="str"><v>Apps & Infra</v></cell><cell r="T3480" t="str"><v>Developers & ITI's</v></cell><cell r="U3480" t="str"><v>USA-Trial-ITD-Trial Lookalike-AZR-AZR</v></cell><cell r="V3480" t="str"><v>Lookalike Targeting</v></cell><cell r="W3480" t="str"><v>Canvas Ad</v></cell><cell r="X3480" t="str"><v>1x1</v></cell></row><row r="3480"><cell r="AA3480"><v>43305</v></cell><cell r="AB3480" t="str"><v>USA_gaPMG_AZR_AZR_Q1_19_Direct-Social</v></cell><cell r="AC3480"><v>21358715</v></cell><cell r="AD3480"><v>720197</v></cell><cell r="AE3480" t="str"><v>Facebook - Instagram</v></cell><cell r="AF3480"><v>3654128</v></cell><cell r="AG3480" t="str"><v>INSTAGRAM»USA-Trial-ITD-Trial Lookalike-AZR-AZR»1 x 1»SocialBan»CAN»ALL»CPA»LAL»X»NA»SS»NA»IGCTCBasicMotion»PRC0C2</v></cell><cell r="AH3480"><v>224107017</v></cell><cell r="AI3480" t="str"><v>AzurePlatform_IGCTCBasicMotion_USA_10s_CAN_PLATFORM_English_Trial_Standard_STAN_TIN_T1_2</v></cell><cell r="AJ3480"><v>103037974</v></cell></row><row r="3481"><cell r="C3481" t="str"><v>43305INSTAGRAM»USA-Trial-ITD-Trial Lookalike-AZR-AZR»1 x 1»SocialBan»CAN»ALL»CPA»LAL»X»NA»SS»NA»IGCTCBenefitinMotion»PRC2FK</v></cell><cell r="D3481" t="str"><v>43305224107542</v></cell><cell r="E3481" t="str"><v>43305103050780PRC2FK</v></cell><cell r="F3481" t="str"><v>DCM</v></cell><cell r="G3481" t="str"><v>https://signup.azure.com/?OCID=AID%eexcid!_OLA_%ebuy!_%epid!_%ecid!</v></cell></row><row r="3481"><cell r="K3481" t="str"><v>July</v></cell><cell r="L3481"><v>43309</v></cell><cell r="M3481" t="str"><v>Tier 0</v></cell><cell r="N3481" t="str"><v>North America</v></cell><cell r="O3481" t="str"><v>United States</v></cell><cell r="P3481" t="str"><v>Trial</v></cell><cell r="Q3481" t="str"><v>Social</v></cell><cell r="R3481" t="str"><v>Azure</v></cell><cell r="S3481" t="str"><v>Apps & Infra</v></cell><cell r="T3481" t="str"><v>Developers & ITI's</v></cell><cell r="U3481" t="str"><v>USA-Trial-ITD-Trial Lookalike-AZR-AZR</v></cell><cell r="V3481" t="str"><v>Lookalike Targeting</v></cell><cell r="W3481" t="str"><v>Canvas Ad</v></cell><cell r="X3481" t="str"><v>1x1</v></cell></row><row r="3481"><cell r="AA3481"><v>43305</v></cell><cell r="AB3481" t="str"><v>USA_gaPMG_AZR_AZR_Q1_19_Direct-Social</v></cell><cell r="AC3481"><v>21358715</v></cell><cell r="AD3481"><v>720197</v></cell><cell r="AE3481" t="str"><v>Facebook - Instagram</v></cell><cell r="AF3481"><v>3654128</v></cell><cell r="AG3481" t="str"><v>INSTAGRAM»USA-Trial-ITD-Trial Lookalike-AZR-AZR»1 x 1»SocialBan»CAN»ALL»CPA»LAL»X»NA»SS»NA»IGCTCBenefitinMotion»PRC2FK</v></cell><cell r="AH3481"><v>224107542</v></cell><cell r="AI3481" t="str"><v>AzurePlatform_IGCTCBenefitinMotion_USA_10s_CAN_PLATFORM_English_Trial_Standard_STAN_TIN_T3_1</v></cell><cell r="AJ3481"><v>103050780</v></cell></row><row r="3482"><cell r="C3482" t="str"><v>43305INSTAGRAM»USA-Trial-ITD-Trial Lookalike-AZR-AZR»1 x 1»SocialBan»CAN»ALL»CPA»LAL»X»NA»SS»NA»IGCTCBenefitinMotion»PRC2FK</v></cell><cell r="D3482" t="str"><v>43305224107542</v></cell><cell r="E3482" t="str"><v>43305103180637PRC2FK</v></cell><cell r="F3482" t="str"><v>DCM</v></cell><cell r="G3482" t="str"><v>https://azure.microsoft.com/en-us/pricing/purchase-options/?v=18.19&OCID=AID%eexcid!_OLA_%ebuy!_%epid!_%ecid!</v></cell></row><row r="3482"><cell r="K3482" t="str"><v>July</v></cell><cell r="L3482"><v>43309</v></cell><cell r="M3482" t="str"><v>Tier 0</v></cell><cell r="N3482" t="str"><v>North America</v></cell><cell r="O3482" t="str"><v>United States</v></cell><cell r="P3482" t="str"><v>Trial</v></cell><cell r="Q3482" t="str"><v>Social</v></cell><cell r="R3482" t="str"><v>Azure</v></cell><cell r="S3482" t="str"><v>Apps & Infra</v></cell><cell r="T3482" t="str"><v>Developers & ITI's</v></cell><cell r="U3482" t="str"><v>USA-Trial-ITD-Trial Lookalike-AZR-AZR</v></cell><cell r="V3482" t="str"><v>Lookalike Targeting</v></cell><cell r="W3482" t="str"><v>Canvas Ad</v></cell><cell r="X3482" t="str"><v>1x1</v></cell></row><row r="3482"><cell r="AA3482"><v>43305</v></cell><cell r="AB3482" t="str"><v>USA_gaPMG_AZR_AZR_Q1_19_Direct-Social</v></cell><cell r="AC3482"><v>21358715</v></cell><cell r="AD3482"><v>720197</v></cell><cell r="AE3482" t="str"><v>Facebook - Instagram</v></cell><cell r="AF3482"><v>3654128</v></cell><cell r="AG3482" t="str"><v>INSTAGRAM»USA-Trial-ITD-Trial Lookalike-AZR-AZR»1 x 1»SocialBan»CAN»ALL»CPA»LAL»X»NA»SS»NA»IGCTCBenefitinMotion»PRC2FK</v></cell><cell r="AH3482"><v>224107542</v></cell><cell r="AI3482" t="str"><v>AzurePlatform_IGCTCBenefitinMotion_USA_10s_CAN_PLATFORM_English_Trial_Standard_STAN_TIN_T3_2</v></cell><cell r="AJ3482"><v>103180637</v></cell></row><row r="3483"><cell r="C3483" t="str"><v>43305INSTAGRAM»USA-Trial-ITD-Trial PayGo Lookalike-AZR-AZR»1 x 1»SocialBan»CAN»ALL»CPA»LAL»X»NA»SS»NA»IGCTCBasicMotion»PRC2G0</v></cell><cell r="D3483" t="str"><v>43305224106891</v></cell><cell r="E3483" t="str"><v>43305103037968PRC2G0</v></cell><cell r="F3483" t="str"><v>DCM</v></cell><cell r="G3483" t="str"><v>https://signup.azure.com/?OCID=AID%eexcid!_OLA_%ebuy!_%epid!_%ecid!</v></cell></row><row r="3483"><cell r="K3483" t="str"><v>July</v></cell><cell r="L3483"><v>43309</v></cell><cell r="M3483" t="str"><v>Tier 0</v></cell><cell r="N3483" t="str"><v>North America</v></cell><cell r="O3483" t="str"><v>United States</v></cell><cell r="P3483" t="str"><v>Trial</v></cell><cell r="Q3483" t="str"><v>Social</v></cell><cell r="R3483" t="str"><v>Azure</v></cell><cell r="S3483" t="str"><v>Apps & Infra</v></cell><cell r="T3483" t="str"><v>Developers & ITI's</v></cell><cell r="U3483" t="str"><v>USA-Trial-ITD-Trial PayGo Lookalike-AZR-AZR</v></cell><cell r="V3483" t="str"><v>Lookalike Targeting</v></cell><cell r="W3483" t="str"><v>Canvas Ad</v></cell><cell r="X3483" t="str"><v>1x1</v></cell></row><row r="3483"><cell r="AA3483"><v>43305</v></cell><cell r="AB3483" t="str"><v>USA_gaPMG_AZR_AZR_Q1_19_Direct-Social</v></cell><cell r="AC3483"><v>21358715</v></cell><cell r="AD3483"><v>720197</v></cell><cell r="AE3483" t="str"><v>Facebook - Instagram</v></cell><cell r="AF3483"><v>3654128</v></cell><cell r="AG3483" t="str"><v>INSTAGRAM»USA-Trial-ITD-Trial PayGo Lookalike-AZR-AZR»1 x 1»SocialBan»CAN»ALL»CPA»LAL»X»NA»SS»NA»IGCTCBasicMotion»PRC2G0</v></cell><cell r="AH3483"><v>224106891</v></cell><cell r="AI3483" t="str"><v>AzurePlatform_IGCTCBasicMotion_USA_10s_CAN_PLATFORM_English_Trial_Standard_STAN_TIN_T1_1</v></cell><cell r="AJ3483"><v>103037968</v></cell></row><row r="3484"><cell r="C3484" t="str"><v>43306Facebook»Audience & Interest Targeting»1x1»Canvas»OTH»DT»DYN»AUT»W»NA»SS»NA»FBCTCcanvaspage-StartFreeCTA_FBCTCcanvaspage-BuyNowCTA</v></cell><cell r="D3484" t="str"><v>43306224639151</v></cell><cell r="E3484" t="str"><v>43306103316832NowCTA</v></cell><cell r="F3484" t="str"><v>DCM</v></cell><cell r="G3484" t="str"><v>https://azure.microsoft.com/en-au/pricing/purchase-options/</v></cell></row><row r="3484"><cell r="K3484" t="str"><v>July</v></cell><cell r="L3484"><v>43309</v></cell><cell r="M3484" t="str"><v>Tier 1</v></cell><cell r="N3484" t="str"><v>APAC</v></cell><cell r="O3484" t="str"><v>Australia</v></cell><cell r="P3484" t="str"><v>Trial</v></cell><cell r="Q3484" t="str"><v>Social</v></cell><cell r="R3484" t="str"><v>Azure</v></cell><cell r="S3484" t="str"><v>Apps & Infra</v></cell><cell r="T3484" t="str"><v>Developers & ITI's</v></cell><cell r="U3484" t="str"><v>Audience & Interest Targeting</v></cell><cell r="V3484" t="str"><v>Audience Targeting</v></cell><cell r="W3484" t="str"><v>Other</v></cell><cell r="X3484" t="str"><v>1x1</v></cell></row><row r="3484"><cell r="AA3484"><v>43306</v></cell><cell r="AB3484" t="str"><v>AUS_gaPMG_AZR_AZR_Q1_19_Trial-Social</v></cell><cell r="AC3484"><v>21358568</v></cell><cell r="AD3484"><v>720191</v></cell><cell r="AE3484" t="str"><v>Facebook</v></cell><cell r="AF3484"><v>3654128</v></cell><cell r="AG3484" t="str"><v>Facebook»Audience & Interest Targeting»1x1»Canvas»OTH»DT»DYN»AUT»W»NA»SS»NA»FBCTCcanvaspage-StartFreeCTA_FBCTCcanvaspage-BuyNowCTA</v></cell><cell r="AH3484"><v>224639151</v></cell><cell r="AI3484" t="str"><v>AzurePlatform_FBCTCcanvaspage-BuyNowCTA-Img3_AUS_1080x162_SOC_Plat_English_NA_Standard_NA_BN_T3_1</v></cell><cell r="AJ3484"><v>103316832</v></cell></row><row r="3485"><cell r="C3485" t="str"><v>43306Facebook»Audience & Interest Targeting»1x1»Canvas»OTH»DT»DYN»AUT»W»NA»SS»NA»FBCTCcanvaspage-StartFreeCTA_FBCTCcanvaspage-BuyNowCTA</v></cell><cell r="D3485" t="str"><v>43306224639151</v></cell><cell r="E3485" t="str"><v>43306103316829NowCTA</v></cell><cell r="F3485" t="str"><v>DCM</v></cell><cell r="G3485" t="str"><v>https://signup.azure.com/signup?offer=ms-azr-0044p&appId=102&ref=paidmedia-social-fb&redirectURL=https%3a%2f%2fazure.microsoft.com%2fen-au%2fget-started%2fwelcome-to-azure%2f&l=en-au&correlationId=ead86c34-1f10-49dd-a72b-6918462a2cbf</v></cell></row><row r="3485"><cell r="K3485" t="str"><v>July</v></cell><cell r="L3485"><v>43309</v></cell><cell r="M3485" t="str"><v>Tier 1</v></cell><cell r="N3485" t="str"><v>APAC</v></cell><cell r="O3485" t="str"><v>Australia</v></cell><cell r="P3485" t="str"><v>Trial</v></cell><cell r="Q3485" t="str"><v>Social</v></cell><cell r="R3485" t="str"><v>Azure</v></cell><cell r="S3485" t="str"><v>Apps & Infra</v></cell><cell r="T3485" t="str"><v>Developers & ITI's</v></cell><cell r="U3485" t="str"><v>Audience & Interest Targeting</v></cell><cell r="V3485" t="str"><v>Audience Targeting</v></cell><cell r="W3485" t="str"><v>Other</v></cell><cell r="X3485" t="str"><v>1x1</v></cell></row><row r="3485"><cell r="AA3485"><v>43306</v></cell><cell r="AB3485" t="str"><v>AUS_gaPMG_AZR_AZR_Q1_19_Trial-Social</v></cell><cell r="AC3485"><v>21358568</v></cell><cell r="AD3485"><v>720191</v></cell><cell r="AE3485" t="str"><v>Facebook</v></cell><cell r="AF3485"><v>3654128</v></cell><cell r="AG3485" t="str"><v>Facebook»Audience & Interest Targeting»1x1»Canvas»OTH»DT»DYN»AUT»W»NA»SS»NA»FBCTCcanvaspage-StartFreeCTA_FBCTCcanvaspage-BuyNowCTA</v></cell><cell r="AH3485"><v>224639151</v></cell><cell r="AI3485" t="str"><v>AzurePlatform_FBCTCcanvaspage-StartFreeCTA-Img2_AUS_1080x143 _SOC_Plat_English_NA_Standard_NA_NA_T2_1</v></cell><cell r="AJ3485"><v>103316829</v></cell></row><row r="3486"><cell r="C3486" t="str"><v>43306Facebook»Audience & Interest Targeting»1x1»TextLink»OTH»DT»DYN»AUT»W»NA»SS»NA»Free Account Refresh- 200 Credit ChD</v></cell><cell r="D3486" t="str"><v>43306224160780</v></cell><cell r="E3486" t="str"><v>43306103186904it ChD</v></cell><cell r="F3486" t="str"><v>DCM</v></cell></row><row r="3486"><cell r="K3486" t="str"><v>July</v></cell><cell r="L3486"><v>43309</v></cell><cell r="M3486" t="str"><v>Tier 1</v></cell><cell r="N3486" t="str"><v>APAC</v></cell><cell r="O3486" t="str"><v>Australia</v></cell><cell r="P3486" t="str"><v>Trial</v></cell><cell r="Q3486" t="str"><v>Social</v></cell><cell r="R3486" t="str"><v>Azure</v></cell><cell r="S3486" t="str"><v>Apps & Infra</v></cell><cell r="T3486" t="str"><v>Developers & ITI's</v></cell><cell r="U3486" t="str"><v>Audience & Interest Targeting</v></cell><cell r="V3486" t="str"><v>Audience Targeting</v></cell><cell r="W3486" t="str"><v>Other</v></cell><cell r="X3486" t="str"><v>1x1</v></cell></row><row r="3486"><cell r="AA3486"><v>43306</v></cell><cell r="AB3486" t="str"><v>AUS_gaPMG_AZR_AZR_Q1_19_Trial-Social</v></cell><cell r="AC3486"><v>21358568</v></cell><cell r="AD3486"><v>720191</v></cell><cell r="AE3486" t="str"><v>Facebook</v></cell><cell r="AF3486"><v>3654128</v></cell><cell r="AG3486" t="str"><v>Facebook»Audience & Interest Targeting»1x1»TextLink»OTH»DT»DYN»AUT»W»NA»SS»NA»Free Account Refresh- 200 Credit ChD</v></cell><cell r="AH3486"><v>224160780</v></cell><cell r="AI3486" t="str"><v>AzurePlatform_FreeAcctAppsFACEBOOK200CreditChD_AUS_1200x628_SOC_PLAT_EN_Trial_Standard_NA_SNU_T4_1</v></cell><cell r="AJ3486"><v>103186904</v></cell></row><row r="3487"><cell r="C3487" t="str"><v>43306Facebook»Audience & Interest Targeting»1x1»TextLink»OTH»DT»DYN»AUT»W»NA»SS»NA»Free Account Refresh- Device ChB</v></cell><cell r="D3487" t="str"><v>43306224160777</v></cell><cell r="E3487" t="str"><v>43306103048479ce ChB</v></cell><cell r="F3487" t="str"><v>DCM</v></cell></row><row r="3487"><cell r="K3487" t="str"><v>July</v></cell><cell r="L3487"><v>43309</v></cell><cell r="M3487" t="str"><v>Tier 1</v></cell><cell r="N3487" t="str"><v>APAC</v></cell><cell r="O3487" t="str"><v>Australia</v></cell><cell r="P3487" t="str"><v>Trial</v></cell><cell r="Q3487" t="str"><v>Social</v></cell><cell r="R3487" t="str"><v>Azure</v></cell><cell r="S3487" t="str"><v>Apps & Infra</v></cell><cell r="T3487" t="str"><v>Developers & ITI's</v></cell><cell r="U3487" t="str"><v>Audience & Interest Targeting</v></cell><cell r="V3487" t="str"><v>Audience Targeting</v></cell><cell r="W3487" t="str"><v>Other</v></cell><cell r="X3487" t="str"><v>1x1</v></cell></row><row r="3487"><cell r="AA3487"><v>43306</v></cell><cell r="AB3487" t="str"><v>AUS_gaPMG_AZR_AZR_Q1_19_Trial-Social</v></cell><cell r="AC3487"><v>21358568</v></cell><cell r="AD3487"><v>720191</v></cell><cell r="AE3487" t="str"><v>Facebook</v></cell><cell r="AF3487"><v>3654128</v></cell><cell r="AG3487" t="str"><v>Facebook»Audience & Interest Targeting»1x1»TextLink»OTH»DT»DYN»AUT»W»NA»SS»NA»Free Account Refresh- Device ChB</v></cell><cell r="AH3487"><v>224160777</v></cell><cell r="AI3487" t="str"><v>AzurePlatform_FreeAcctAppsFACEBOOKDeviceChB_AUS_1200x628_SOC_PLAT_EN_Trial_Standard_NA_SNU_T2_1</v></cell><cell r="AJ3487"><v>103048479</v></cell></row><row r="3488"><cell r="C3488" t="str"><v>43306Facebook»Audience & Interest Targeting»1x1»TextLink»OTH»DT»DYN»AUT»W»NA»SS»NA»Free Account Refresh- Illustration ChC</v></cell><cell r="D3488" t="str"><v>43306224160774</v></cell><cell r="E3488" t="str"><v>43306103186910on ChC</v></cell><cell r="F3488" t="str"><v>DCM</v></cell></row><row r="3488"><cell r="K3488" t="str"><v>July</v></cell><cell r="L3488"><v>43309</v></cell><cell r="M3488" t="str"><v>Tier 1</v></cell><cell r="N3488" t="str"><v>APAC</v></cell><cell r="O3488" t="str"><v>Australia</v></cell><cell r="P3488" t="str"><v>Trial</v></cell><cell r="Q3488" t="str"><v>Social</v></cell><cell r="R3488" t="str"><v>Azure</v></cell><cell r="S3488" t="str"><v>Apps & Infra</v></cell><cell r="T3488" t="str"><v>Developers & ITI's</v></cell><cell r="U3488" t="str"><v>Audience & Interest Targeting</v></cell><cell r="V3488" t="str"><v>Audience Targeting</v></cell><cell r="W3488" t="str"><v>Other</v></cell><cell r="X3488" t="str"><v>1x1</v></cell></row><row r="3488"><cell r="AA3488"><v>43306</v></cell><cell r="AB3488" t="str"><v>AUS_gaPMG_AZR_AZR_Q1_19_Trial-Social</v></cell><cell r="AC3488"><v>21358568</v></cell><cell r="AD3488"><v>720191</v></cell><cell r="AE3488" t="str"><v>Facebook</v></cell><cell r="AF3488"><v>3654128</v></cell><cell r="AG3488" t="str"><v>Facebook»Audience & Interest Targeting»1x1»TextLink»OTH»DT»DYN»AUT»W»NA»SS»NA»Free Account Refresh- Illustration ChC</v></cell><cell r="AH3488"><v>224160774</v></cell><cell r="AI3488" t="str"><v>AzurePlatform_FreeAcctAppsFACEBOOKIllustrationChC_AUS_1200x628_SOC_PLAT_EN_Trial_Standard_NA_SNU_T3_1</v></cell><cell r="AJ3488"><v>103186910</v></cell></row><row r="3489"><cell r="C3489" t="str"><v>43306Facebook»Audience & Interest Targeting»1x1»TextLink»OTH»DT»DYN»AUT»W»NA»SS»NA»Free Account Refresh- Lifestyle ChA</v></cell><cell r="D3489" t="str"><v>43306224160771</v></cell><cell r="E3489" t="str"><v>43306103048488le ChA</v></cell><cell r="F3489" t="str"><v>DCM</v></cell></row><row r="3489"><cell r="K3489" t="str"><v>July</v></cell><cell r="L3489"><v>43309</v></cell><cell r="M3489" t="str"><v>Tier 1</v></cell><cell r="N3489" t="str"><v>APAC</v></cell><cell r="O3489" t="str"><v>Australia</v></cell><cell r="P3489" t="str"><v>Trial</v></cell><cell r="Q3489" t="str"><v>Social</v></cell><cell r="R3489" t="str"><v>Azure</v></cell><cell r="S3489" t="str"><v>Apps & Infra</v></cell><cell r="T3489" t="str"><v>Developers & ITI's</v></cell><cell r="U3489" t="str"><v>Audience & Interest Targeting</v></cell><cell r="V3489" t="str"><v>Audience Targeting</v></cell><cell r="W3489" t="str"><v>Other</v></cell><cell r="X3489" t="str"><v>1x1</v></cell></row><row r="3489"><cell r="AA3489"><v>43306</v></cell><cell r="AB3489" t="str"><v>AUS_gaPMG_AZR_AZR_Q1_19_Trial-Social</v></cell><cell r="AC3489"><v>21358568</v></cell><cell r="AD3489"><v>720191</v></cell><cell r="AE3489" t="str"><v>Facebook</v></cell><cell r="AF3489"><v>3654128</v></cell><cell r="AG3489" t="str"><v>Facebook»Audience & Interest Targeting»1x1»TextLink»OTH»DT»DYN»AUT»W»NA»SS»NA»Free Account Refresh- Lifestyle ChA</v></cell><cell r="AH3489"><v>224160771</v></cell><cell r="AI3489" t="str"><v>AzurePlatform_FreeAcctAppsFACEBOOKLifestyleChA_AUS_1200x628_SOC_PLAT_EN_Trial_Standard_NA_SNU_T1_1</v></cell><cell r="AJ3489"><v>103048488</v></cell></row><row r="3490"><cell r="C3490" t="str"><v>43306Facebook»AZR»1x1»NA»EGV»ALL»DYN»AUT»D»All»SS»NA»Free Acc CTC - T1 - EN</v></cell><cell r="D3490" t="str"><v>43306223684451</v></cell><cell r="E3490" t="str"><v>433061029018821 - EN</v></cell><cell r="F3490" t="str"><v>DCM</v></cell><cell r="G3490" t="str"><v>https://signup.azure.com/</v></cell></row><row r="3490"><cell r="K3490" t="str"><v>July</v></cell><cell r="L3490"><v>43309</v></cell><cell r="M3490" t="str"><v>Tier 1</v></cell><cell r="N3490" t="str"><v>North America</v></cell><cell r="O3490" t="str"><v>Canada</v></cell><cell r="P3490" t="str"><v>Trial</v></cell><cell r="Q3490" t="str"><v>Social</v></cell><cell r="R3490" t="str"><v>Azure</v></cell><cell r="S3490" t="str"><v>Apps & Infra</v></cell><cell r="T3490" t="str"><v>Developers & ITI's</v></cell><cell r="U3490" t="str"><v>AZR</v></cell><cell r="V3490" t="str"><v>Audience Targeting</v></cell><cell r="W3490" t="str"><v>Engagement Video</v></cell><cell r="X3490" t="str"><v>1x1</v></cell></row><row r="3490"><cell r="AA3490"><v>43306</v></cell><cell r="AB3490" t="str"><v>CAN_gaPMG_AZR_AZR_Q1_19_Trial-Social</v></cell><cell r="AC3490"><v>21337220</v></cell><cell r="AD3490"><v>720192</v></cell><cell r="AE3490" t="str"><v>Facebook</v></cell><cell r="AF3490"><v>3654128</v></cell><cell r="AG3490" t="str"><v>Facebook»AZR»1x1»NA»EGV»ALL»DYN»AUT»D»All»SS»NA»Free Acc CTC - T1 - EN</v></cell><cell r="AH3490"><v>223684451</v></cell><cell r="AI3490" t="str"><v>AzurePlatform_FBCTCBasicMotion_CAN_10s_ISV_PLAT_English_Trial_Standard_STAN_TN_T1_1</v></cell><cell r="AJ3490"><v>102901882</v></cell></row><row r="3491"><cell r="C3491" t="str"><v>43306Facebook»AZR»1x1»NA»EGV»ALL»DYN»AUT»D»All»SS»NA»Free Acc CTC - T2 - EN</v></cell><cell r="D3491" t="str"><v>43306223691840</v></cell><cell r="E3491" t="str"><v>433061029029502 - EN</v></cell><cell r="F3491" t="str"><v>DCM</v></cell><cell r="G3491" t="str"><v>https://signup.azure.com/</v></cell></row><row r="3491"><cell r="K3491" t="str"><v>July</v></cell><cell r="L3491"><v>43309</v></cell><cell r="M3491" t="str"><v>Tier 1</v></cell><cell r="N3491" t="str"><v>North America</v></cell><cell r="O3491" t="str"><v>Canada</v></cell><cell r="P3491" t="str"><v>Trial</v></cell><cell r="Q3491" t="str"><v>Social</v></cell><cell r="R3491" t="str"><v>Azure</v></cell><cell r="S3491" t="str"><v>Apps & Infra</v></cell><cell r="T3491" t="str"><v>Developers & ITI's</v></cell><cell r="U3491" t="str"><v>AZR</v></cell><cell r="V3491" t="str"><v>Audience Targeting</v></cell><cell r="W3491" t="str"><v>Engagement Video</v></cell><cell r="X3491" t="str"><v>1x1</v></cell></row><row r="3491"><cell r="AA3491"><v>43306</v></cell><cell r="AB3491" t="str"><v>CAN_gaPMG_AZR_AZR_Q1_19_Trial-Social</v></cell><cell r="AC3491"><v>21337220</v></cell><cell r="AD3491"><v>720192</v></cell><cell r="AE3491" t="str"><v>Facebook</v></cell><cell r="AF3491"><v>3654128</v></cell><cell r="AG3491" t="str"><v>Facebook»AZR»1x1»NA»EGV»ALL»DYN»AUT»D»All»SS»NA»Free Acc CTC - T2 - EN</v></cell><cell r="AH3491"><v>223691840</v></cell><cell r="AI3491" t="str"><v>AzurePlatform_FBCTCBrandinMotion_CAN_12s_ISV_PLAT_English_Trial_Standard_STAN_TN_T2_1</v></cell><cell r="AJ3491"><v>102902950</v></cell></row><row r="3492"><cell r="C3492" t="str"><v>43306Facebook»AZR»1x1»NA»EGV»ALL»DYN»AUT»D»All»SS»NA»Free Acc CTC - T2 - FR</v></cell><cell r="D3492" t="str"><v>43306223691798</v></cell><cell r="E3492" t="str"><v>433061029163472 - FR</v></cell><cell r="F3492" t="str"><v>DCM</v></cell><cell r="G3492" t="str"><v>https://signup.azure.com/</v></cell></row><row r="3492"><cell r="K3492" t="str"><v>July</v></cell><cell r="L3492"><v>43309</v></cell><cell r="M3492" t="str"><v>Tier 1</v></cell><cell r="N3492" t="str"><v>North America</v></cell><cell r="O3492" t="str"><v>Canada</v></cell><cell r="P3492" t="str"><v>Trial</v></cell><cell r="Q3492" t="str"><v>Social</v></cell><cell r="R3492" t="str"><v>Azure</v></cell><cell r="S3492" t="str"><v>Apps & Infra</v></cell><cell r="T3492" t="str"><v>Developers & ITI's</v></cell><cell r="U3492" t="str"><v>AZR</v></cell><cell r="V3492" t="str"><v>Audience Targeting</v></cell><cell r="W3492" t="str"><v>Engagement Video</v></cell><cell r="X3492" t="str"><v>1x1</v></cell></row><row r="3492"><cell r="AA3492"><v>43306</v></cell><cell r="AB3492" t="str"><v>CAN_gaPMG_AZR_AZR_Q1_19_Trial-Social</v></cell><cell r="AC3492"><v>21337220</v></cell><cell r="AD3492"><v>720192</v></cell><cell r="AE3492" t="str"><v>Facebook</v></cell><cell r="AF3492"><v>3654128</v></cell><cell r="AG3492" t="str"><v>Facebook»AZR»1x1»NA»EGV»ALL»DYN»AUT»D»All»SS»NA»Free Acc CTC - T2 - FR</v></cell><cell r="AH3492"><v>223691798</v></cell><cell r="AI3492" t="str"><v>AzurePlatform_FBCTCBrandinMotion_CAN_12s_ISV_PLAT_FR_Trial_Standard_STAN_TN_T2_1</v></cell><cell r="AJ3492"><v>102916347</v></cell></row><row r="3493"><cell r="C3493" t="str"><v>43306Facebook»AZR»1x1»NA»EGV»ALL»DYN»AUT»D»All»SS»NA»Free Acc CTC - T4 - EN</v></cell><cell r="D3493" t="str"><v>43306223691837</v></cell><cell r="E3493" t="str"><v>433061030533144 - EN</v></cell><cell r="F3493" t="str"><v>DCM</v></cell><cell r="G3493" t="str"><v>https://signup.azure.com/</v></cell></row><row r="3493"><cell r="K3493" t="str"><v>July</v></cell><cell r="L3493"><v>43309</v></cell><cell r="M3493" t="str"><v>Tier 1</v></cell><cell r="N3493" t="str"><v>North America</v></cell><cell r="O3493" t="str"><v>Canada</v></cell><cell r="P3493" t="str"><v>Trial</v></cell><cell r="Q3493" t="str"><v>Social</v></cell><cell r="R3493" t="str"><v>Azure</v></cell><cell r="S3493" t="str"><v>Apps & Infra</v></cell><cell r="T3493" t="str"><v>Developers & ITI's</v></cell><cell r="U3493" t="str"><v>AZR</v></cell><cell r="V3493" t="str"><v>Audience Targeting</v></cell><cell r="W3493" t="str"><v>Engagement Video</v></cell><cell r="X3493" t="str"><v>1x1</v></cell></row><row r="3493"><cell r="AA3493"><v>43306</v></cell><cell r="AB3493" t="str"><v>CAN_gaPMG_AZR_AZR_Q1_19_Trial-Social</v></cell><cell r="AC3493"><v>21337220</v></cell><cell r="AD3493"><v>720192</v></cell><cell r="AE3493" t="str"><v>Facebook</v></cell><cell r="AF3493"><v>3654128</v></cell><cell r="AG3493" t="str"><v>Facebook»AZR»1x1»NA»EGV»ALL»DYN»AUT»D»All»SS»NA»Free Acc CTC - T4 - EN</v></cell><cell r="AH3493"><v>223691837</v></cell><cell r="AI3493" t="str"><v>AzurePlatform_FBCTCBenefit2inMotion_CAN_14s_ISV_PLAT_English_Trial_Standard_STAN_TN_T4_1</v></cell><cell r="AJ3493"><v>103053314</v></cell></row><row r="3494"><cell r="C3494" t="str"><v>43306Facebook»AZR»1x1»NA»EGV»ALL»DYN»AUT»D»All»SS»NA»Free Acc CTC - T4 - FR</v></cell><cell r="D3494" t="str"><v>43306223691795</v></cell><cell r="E3494" t="str"><v>433061029006884 - FR</v></cell><cell r="F3494" t="str"><v>DCM</v></cell><cell r="G3494" t="str"><v>https://signup.azure.com/</v></cell></row><row r="3494"><cell r="K3494" t="str"><v>July</v></cell><cell r="L3494"><v>43309</v></cell><cell r="M3494" t="str"><v>Tier 1</v></cell><cell r="N3494" t="str"><v>North America</v></cell><cell r="O3494" t="str"><v>Canada</v></cell><cell r="P3494" t="str"><v>Trial</v></cell><cell r="Q3494" t="str"><v>Social</v></cell><cell r="R3494" t="str"><v>Azure</v></cell><cell r="S3494" t="str"><v>Apps & Infra</v></cell><cell r="T3494" t="str"><v>Developers & ITI's</v></cell><cell r="U3494" t="str"><v>AZR</v></cell><cell r="V3494" t="str"><v>Audience Targeting</v></cell><cell r="W3494" t="str"><v>Engagement Video</v></cell><cell r="X3494" t="str"><v>1x1</v></cell></row><row r="3494"><cell r="AA3494"><v>43306</v></cell><cell r="AB3494" t="str"><v>CAN_gaPMG_AZR_AZR_Q1_19_Trial-Social</v></cell><cell r="AC3494"><v>21337220</v></cell><cell r="AD3494"><v>720192</v></cell><cell r="AE3494" t="str"><v>Facebook</v></cell><cell r="AF3494"><v>3654128</v></cell><cell r="AG3494" t="str"><v>Facebook»AZR»1x1»NA»EGV»ALL»DYN»AUT»D»All»SS»NA»Free Acc CTC - T4 - FR</v></cell><cell r="AH3494"><v>223691795</v></cell><cell r="AI3494" t="str"><v>AzurePlatform_FBCTCBenefit2inMotion_CAN_14s_ISV_PLAT_FR_Trial_Standard_STAN_TN_T4_1</v></cell><cell r="AJ3494"><v>102900688</v></cell></row><row r="3495"><cell r="C3495" t="str"><v>43306Facebook»AZR»1x1»NA»SOC»ALL»DYN»PRO»D»All»SS»NA»Canvas - Buy Now - EN</v></cell><cell r="D3495" t="str"><v>43306225322327</v></cell><cell r="E3495" t="str"><v>43306103902287w - EN</v></cell><cell r="F3495" t="str"><v>DCM</v></cell><cell r="G3495" t="str"><v>https://azure.microsoft.com/en-ca/pricing/purchase-options/</v></cell></row><row r="3495"><cell r="K3495" t="str"><v>July</v></cell><cell r="L3495"><v>43309</v></cell><cell r="M3495" t="str"><v>Tier 1</v></cell><cell r="N3495" t="str"><v>North America</v></cell><cell r="O3495" t="str"><v>Canada</v></cell><cell r="P3495" t="str"><v>Trial</v></cell><cell r="Q3495" t="str"><v>Social</v></cell><cell r="R3495" t="str"><v>Azure</v></cell><cell r="S3495" t="str"><v>Apps & Infra</v></cell><cell r="T3495" t="str"><v>Developers & ITI's</v></cell><cell r="U3495" t="str"><v>AZR</v></cell><cell r="V3495" t="str"><v>Prospecting</v></cell><cell r="W3495" t="str"><v>Social</v></cell><cell r="X3495" t="str"><v>1x1</v></cell></row><row r="3495"><cell r="AA3495"><v>43306</v></cell><cell r="AB3495" t="str"><v>CAN_gaPMG_AZR_AZR_Q1_19_Trial-Social</v></cell><cell r="AC3495"><v>21337220</v></cell><cell r="AD3495"><v>720192</v></cell><cell r="AE3495" t="str"><v>Facebook</v></cell><cell r="AF3495"><v>3654128</v></cell><cell r="AG3495" t="str"><v>Facebook»AZR»1x1»NA»SOC»ALL»DYN»PRO»D»All»SS»NA»Canvas - Buy Now - EN</v></cell><cell r="AH3495"><v>225322327</v></cell><cell r="AI3495" t="str"><v>AzurePlatform_FBCTCcanvaspage-BuyNowCTA-Img3_CAN_1080x162_SOC_Plat_English_NA_Standard_NA_BN_T3_1</v></cell><cell r="AJ3495"><v>103902287</v></cell></row><row r="3496"><cell r="C3496" t="str"><v>43306Facebook»AZR»1x1»NA»SOC»ALL»DYN»PRO»D»All»SS»NA»Canvas - Buy Now - FR</v></cell><cell r="D3496" t="str"><v>43306225322324</v></cell><cell r="E3496" t="str"><v>43306103789915w - FR</v></cell><cell r="F3496" t="str"><v>DCM</v></cell><cell r="G3496" t="str"><v>https://azure.microsoft.com/fr-ca/pricing/purchase-options/</v></cell></row><row r="3496"><cell r="K3496" t="str"><v>July</v></cell><cell r="L3496"><v>43309</v></cell><cell r="M3496" t="str"><v>Tier 1</v></cell><cell r="N3496" t="str"><v>North America</v></cell><cell r="O3496" t="str"><v>Canada</v></cell><cell r="P3496" t="str"><v>Trial</v></cell><cell r="Q3496" t="str"><v>Social</v></cell><cell r="R3496" t="str"><v>Azure</v></cell><cell r="S3496" t="str"><v>Apps & Infra</v></cell><cell r="T3496" t="str"><v>Developers & ITI's</v></cell><cell r="U3496" t="str"><v>AZR</v></cell><cell r="V3496" t="str"><v>Prospecting</v></cell><cell r="W3496" t="str"><v>Social</v></cell><cell r="X3496" t="str"><v>1x1</v></cell></row><row r="3496"><cell r="AA3496"><v>43306</v></cell><cell r="AB3496" t="str"><v>CAN_gaPMG_AZR_AZR_Q1_19_Trial-Social</v></cell><cell r="AC3496"><v>21337220</v></cell><cell r="AD3496"><v>720192</v></cell><cell r="AE3496" t="str"><v>Facebook</v></cell><cell r="AF3496"><v>3654128</v></cell><cell r="AG3496" t="str"><v>Facebook»AZR»1x1»NA»SOC»ALL»DYN»PRO»D»All»SS»NA»Canvas - Buy Now - FR</v></cell><cell r="AH3496"><v>225322324</v></cell><cell r="AI3496" t="str"><v>AzurePlatform_FBCTCcanvaspage-BuyNowCTA-Img3_CAN_1080x162_SOC_Plat_French_NA_Standard_NA_BN_T3_1</v></cell><cell r="AJ3496"><v>103789915</v></cell></row><row r="3497"><cell r="C3497" t="str"><v>43306Facebook»AZR»1x1»NA»SOC»ALL»DYN»PRO»D»All»SS»NA»Canvas - Start Free - EN</v></cell><cell r="D3497" t="str"><v>43306225252365</v></cell><cell r="E3497" t="str"><v>43306103807590e - EN</v></cell><cell r="F3497" t="str"><v>DCM</v></cell><cell r="G3497" t="str"><v>https://signup.azure.com/signup?offer=ms-azr-0044p&appId=102&ref=paidmedia-social-fb&redirectURL=https%3a%2f%2fazure.microsoft.com%2fen-ca%2fget-started%2fwelcome-to-azure%2f&l=en-ca&correlationId=ead86c34-1f10-49dd-a72b-6918462a2cbf</v></cell></row><row r="3497"><cell r="K3497" t="str"><v>July</v></cell><cell r="L3497"><v>43309</v></cell><cell r="M3497" t="str"><v>Tier 1</v></cell><cell r="N3497" t="str"><v>North America</v></cell><cell r="O3497" t="str"><v>Canada</v></cell><cell r="P3497" t="str"><v>Trial</v></cell><cell r="Q3497" t="str"><v>Social</v></cell><cell r="R3497" t="str"><v>Azure</v></cell><cell r="S3497" t="str"><v>Apps & Infra</v></cell><cell r="T3497" t="str"><v>Developers & ITI's</v></cell><cell r="U3497" t="str"><v>AZR</v></cell><cell r="V3497" t="str"><v>Prospecting</v></cell><cell r="W3497" t="str"><v>Social</v></cell><cell r="X3497" t="str"><v>1x1</v></cell></row><row r="3497"><cell r="AA3497"><v>43306</v></cell><cell r="AB3497" t="str"><v>CAN_gaPMG_AZR_AZR_Q1_19_Trial-Social</v></cell><cell r="AC3497"><v>21337220</v></cell><cell r="AD3497"><v>720192</v></cell><cell r="AE3497" t="str"><v>Facebook</v></cell><cell r="AF3497"><v>3654128</v></cell><cell r="AG3497" t="str"><v>Facebook»AZR»1x1»NA»SOC»ALL»DYN»PRO»D»All»SS»NA»Canvas - Start Free - EN</v></cell><cell r="AH3497"><v>225252365</v></cell><cell r="AI3497" t="str"><v>AzurePlatform_FBCTCcanvaspage-StartFreeCTA-Img2_CAN_1080x143 _SOC_Plat_English_NA_Standard_NA_NA_T2_1</v></cell><cell r="AJ3497"><v>103807590</v></cell></row><row r="3498"><cell r="C3498" t="str"><v>43306Facebook»AZR»1x1»NA»SOC»ALL»DYN»PRO»D»All»SS»NA»Canvas - Start Free - FR</v></cell><cell r="D3498" t="str"><v>43306225525936</v></cell><cell r="E3498" t="str"><v>43306103902551e - FR</v></cell><cell r="F3498" t="str"><v>DCM</v></cell><cell r="G3498" t="str"><v>https://signup.azure.com/signup?offer=ms-azr-0044p&appId=102&ref=paidmedia-social-fb&redirectURL=https%3a%2f%2fazure.microsoft.com%2ffr-ca%2fget-started%2fwelcome-to-azure%2f&l=fr-ca&correlationId=ead86c34-1f10-49dd-a72b-6918462a2cbf</v></cell></row><row r="3498"><cell r="K3498" t="str"><v>July</v></cell><cell r="L3498"><v>43309</v></cell><cell r="M3498" t="str"><v>Tier 1</v></cell><cell r="N3498" t="str"><v>North America</v></cell><cell r="O3498" t="str"><v>Canada</v></cell><cell r="P3498" t="str"><v>Trial</v></cell><cell r="Q3498" t="str"><v>Social</v></cell><cell r="R3498" t="str"><v>Azure</v></cell><cell r="S3498" t="str"><v>Apps & Infra</v></cell><cell r="T3498" t="str"><v>Developers & ITI's</v></cell><cell r="U3498" t="str"><v>AZR</v></cell><cell r="V3498" t="str"><v>Prospecting</v></cell><cell r="W3498" t="str"><v>Social</v></cell><cell r="X3498" t="str"><v>1x1</v></cell></row><row r="3498"><cell r="AA3498"><v>43306</v></cell><cell r="AB3498" t="str"><v>CAN_gaPMG_AZR_AZR_Q1_19_Trial-Social</v></cell><cell r="AC3498"><v>21337220</v></cell><cell r="AD3498"><v>720192</v></cell><cell r="AE3498" t="str"><v>Facebook</v></cell><cell r="AF3498"><v>3654128</v></cell><cell r="AG3498" t="str"><v>Facebook»AZR»1x1»NA»SOC»ALL»DYN»PRO»D»All»SS»NA»Canvas - Start Free - FR</v></cell><cell r="AH3498"><v>225525936</v></cell><cell r="AI3498" t="str"><v>AzurePlatform_FBCTCcanvaspage-StartFreeCTA-Img2_CAN_1080x143 _SOC_Plat_French_NA_Standard_NA_NA_T2_1</v></cell><cell r="AJ3498"><v>103902551</v></cell></row><row r="3499"><cell r="C3499" t="str"><v>43306Facebook»AZR»1x1»SocialBan»NA»ALL»DYN»AUT»D»All»SS»NA»Free Acc Refresh - T1 - EN</v></cell><cell r="D3499" t="str"><v>43306223691804</v></cell><cell r="E3499" t="str"><v>433061030587171 - EN</v></cell><cell r="F3499" t="str"><v>DCM</v></cell><cell r="G3499" t="str"><v>https://azure.microsoft.com/en-CA/free/search/</v></cell></row><row r="3499"><cell r="K3499" t="str"><v>July</v></cell><cell r="L3499"><v>43309</v></cell><cell r="M3499" t="str"><v>Tier 1</v></cell><cell r="N3499" t="str"><v>North America</v></cell><cell r="O3499" t="str"><v>Canada</v></cell><cell r="P3499" t="str"><v>Trial</v></cell><cell r="Q3499" t="str"><v>Social</v></cell><cell r="R3499" t="str"><v>Azure</v></cell><cell r="S3499" t="str"><v>Apps & Infra</v></cell><cell r="T3499" t="str"><v>Developers & ITI's</v></cell><cell r="U3499" t="str"><v>AZR</v></cell><cell r="V3499" t="str"><v>Audience Targeting</v></cell><cell r="W3499" t="str"><v>NotApplicable</v></cell><cell r="X3499" t="str"><v>1x1</v></cell></row><row r="3499"><cell r="AA3499"><v>43306</v></cell><cell r="AB3499" t="str"><v>CAN_gaPMG_AZR_AZR_Q1_19_Trial-Social</v></cell><cell r="AC3499"><v>21337220</v></cell><cell r="AD3499"><v>720192</v></cell><cell r="AE3499" t="str"><v>Facebook</v></cell><cell r="AF3499"><v>3654128</v></cell><cell r="AG3499" t="str"><v>Facebook»AZR»1x1»SocialBan»NA»ALL»DYN»AUT»D»All»SS»NA»Free Acc Refresh - T1 - EN</v></cell><cell r="AH3499"><v>223691804</v></cell><cell r="AI3499" t="str"><v>AzurePlatform_FreeAcctAppsFACEBOOKLifestyleChA_CAN_1200x628_SOC_PLAT_EN_Trial_Standard_NA_SU_T1_1.png</v></cell><cell r="AJ3499"><v>103058717</v></cell></row><row r="3500"><cell r="C3500" t="str"><v>43306Facebook»AZR»1x1»SocialBan»NA»ALL»DYN»AUT»D»All»SS»NA»Free Acc Refresh - T1 - FR</v></cell><cell r="D3500" t="str"><v>43306223691762</v></cell><cell r="E3500" t="str"><v>433061029029741 - FR</v></cell><cell r="F3500" t="str"><v>DCM</v></cell><cell r="G3500" t="str"><v>https://azure.microsoft.com/fr-ca/free/search/</v></cell></row><row r="3500"><cell r="K3500" t="str"><v>July</v></cell><cell r="L3500"><v>43309</v></cell><cell r="M3500" t="str"><v>Tier 1</v></cell><cell r="N3500" t="str"><v>North America</v></cell><cell r="O3500" t="str"><v>Canada</v></cell><cell r="P3500" t="str"><v>Trial</v></cell><cell r="Q3500" t="str"><v>Social</v></cell><cell r="R3500" t="str"><v>Azure</v></cell><cell r="S3500" t="str"><v>Apps & Infra</v></cell><cell r="T3500" t="str"><v>Developers & ITI's</v></cell><cell r="U3500" t="str"><v>AZR</v></cell><cell r="V3500" t="str"><v>Audience Targeting</v></cell><cell r="W3500" t="str"><v>NotApplicable</v></cell><cell r="X3500" t="str"><v>1x1</v></cell></row><row r="3500"><cell r="AA3500"><v>43306</v></cell><cell r="AB3500" t="str"><v>CAN_gaPMG_AZR_AZR_Q1_19_Trial-Social</v></cell><cell r="AC3500"><v>21337220</v></cell><cell r="AD3500"><v>720192</v></cell><cell r="AE3500" t="str"><v>Facebook</v></cell><cell r="AF3500"><v>3654128</v></cell><cell r="AG3500" t="str"><v>Facebook»AZR»1x1»SocialBan»NA»ALL»DYN»AUT»D»All»SS»NA»Free Acc Refresh - T1 - FR</v></cell><cell r="AH3500"><v>223691762</v></cell><cell r="AI3500" t="str"><v>AzurePlatform_FreeAcctAppsFACEBOOKLifestyleChA_CAN_1200x628_SOC_PLAT_FR_Trial_Standard_NA_SU_T1_1.png</v></cell><cell r="AJ3500"><v>102902974</v></cell></row><row r="3501"><cell r="C3501" t="str"><v>43306Facebook»AZR»1x1»SocialBan»NA»ALL»DYN»AUT»D»All»SS»NA»Free Acc Refresh - T2 - EN</v></cell><cell r="D3501" t="str"><v>43306223691810</v></cell><cell r="E3501" t="str"><v>433061030587112 - EN</v></cell><cell r="F3501" t="str"><v>DCM</v></cell><cell r="G3501" t="str"><v>https://azure.microsoft.com/en-CA/free/search/</v></cell></row><row r="3501"><cell r="K3501" t="str"><v>July</v></cell><cell r="L3501"><v>43309</v></cell><cell r="M3501" t="str"><v>Tier 1</v></cell><cell r="N3501" t="str"><v>North America</v></cell><cell r="O3501" t="str"><v>Canada</v></cell><cell r="P3501" t="str"><v>Trial</v></cell><cell r="Q3501" t="str"><v>Social</v></cell><cell r="R3501" t="str"><v>Azure</v></cell><cell r="S3501" t="str"><v>Apps & Infra</v></cell><cell r="T3501" t="str"><v>Developers & ITI's</v></cell><cell r="U3501" t="str"><v>AZR</v></cell><cell r="V3501" t="str"><v>Audience Targeting</v></cell><cell r="W3501" t="str"><v>NotApplicable</v></cell><cell r="X3501" t="str"><v>1x1</v></cell></row><row r="3501"><cell r="AA3501"><v>43306</v></cell><cell r="AB3501" t="str"><v>CAN_gaPMG_AZR_AZR_Q1_19_Trial-Social</v></cell><cell r="AC3501"><v>21337220</v></cell><cell r="AD3501"><v>720192</v></cell><cell r="AE3501" t="str"><v>Facebook</v></cell><cell r="AF3501"><v>3654128</v></cell><cell r="AG3501" t="str"><v>Facebook»AZR»1x1»SocialBan»NA»ALL»DYN»AUT»D»All»SS»NA»Free Acc Refresh - T2 - EN</v></cell><cell r="AH3501"><v>223691810</v></cell><cell r="AI3501" t="str"><v>AzurePlatform_FreeAcctAppsFACEBOOKDeviceChB_CAN_1200x628_SOC_PLAT_EN_Trial_Standard_NA_SU_T2_1.png</v></cell><cell r="AJ3501"><v>103058711</v></cell></row><row r="3502"><cell r="C3502" t="str"><v>43306Facebook»AZR»1x1»SocialBan»NA»ALL»DYN»AUT»D»All»SS»NA»Free Acc Refresh - T2 - FR</v></cell><cell r="D3502" t="str"><v>43306223691768</v></cell><cell r="E3502" t="str"><v>433061029029712 - FR</v></cell><cell r="F3502" t="str"><v>DCM</v></cell><cell r="G3502" t="str"><v>https://azure.microsoft.com/fr-ca/free/search/</v></cell></row><row r="3502"><cell r="K3502" t="str"><v>July</v></cell><cell r="L3502"><v>43309</v></cell><cell r="M3502" t="str"><v>Tier 1</v></cell><cell r="N3502" t="str"><v>North America</v></cell><cell r="O3502" t="str"><v>Canada</v></cell><cell r="P3502" t="str"><v>Trial</v></cell><cell r="Q3502" t="str"><v>Social</v></cell><cell r="R3502" t="str"><v>Azure</v></cell><cell r="S3502" t="str"><v>Apps & Infra</v></cell><cell r="T3502" t="str"><v>Developers & ITI's</v></cell><cell r="U3502" t="str"><v>AZR</v></cell><cell r="V3502" t="str"><v>Audience Targeting</v></cell><cell r="W3502" t="str"><v>NotApplicable</v></cell><cell r="X3502" t="str"><v>1x1</v></cell></row><row r="3502"><cell r="AA3502"><v>43306</v></cell><cell r="AB3502" t="str"><v>CAN_gaPMG_AZR_AZR_Q1_19_Trial-Social</v></cell><cell r="AC3502"><v>21337220</v></cell><cell r="AD3502"><v>720192</v></cell><cell r="AE3502" t="str"><v>Facebook</v></cell><cell r="AF3502"><v>3654128</v></cell><cell r="AG3502" t="str"><v>Facebook»AZR»1x1»SocialBan»NA»ALL»DYN»AUT»D»All»SS»NA»Free Acc Refresh - T2 - FR</v></cell><cell r="AH3502"><v>223691768</v></cell><cell r="AI3502" t="str"><v>AzurePlatform_FreeAcctAppsFACEBOOKDeviceChB_CAN_1200x628_SOC_PLAT_FR_Trial_Standard_NA_SU_T2_1.png</v></cell><cell r="AJ3502"><v>102902971</v></cell></row><row r="3503"><cell r="C3503" t="str"><v>43306Facebook»AZR»1x1»SocialBan»NA»ALL»DYN»AUT»D»All»SS»NA»Free Acc Refresh - T3 - EN</v></cell><cell r="D3503" t="str"><v>43306223691807</v></cell><cell r="E3503" t="str"><v>433061029006853 - EN</v></cell><cell r="F3503" t="str"><v>DCM</v></cell><cell r="G3503" t="str"><v>https://azure.microsoft.com/en-CA/free/search/</v></cell></row><row r="3503"><cell r="K3503" t="str"><v>July</v></cell><cell r="L3503"><v>43309</v></cell><cell r="M3503" t="str"><v>Tier 1</v></cell><cell r="N3503" t="str"><v>North America</v></cell><cell r="O3503" t="str"><v>Canada</v></cell><cell r="P3503" t="str"><v>Trial</v></cell><cell r="Q3503" t="str"><v>Social</v></cell><cell r="R3503" t="str"><v>Azure</v></cell><cell r="S3503" t="str"><v>Apps & Infra</v></cell><cell r="T3503" t="str"><v>Developers & ITI's</v></cell><cell r="U3503" t="str"><v>AZR</v></cell><cell r="V3503" t="str"><v>Audience Targeting</v></cell><cell r="W3503" t="str"><v>NotApplicable</v></cell><cell r="X3503" t="str"><v>1x1</v></cell></row><row r="3503"><cell r="AA3503"><v>43306</v></cell><cell r="AB3503" t="str"><v>CAN_gaPMG_AZR_AZR_Q1_19_Trial-Social</v></cell><cell r="AC3503"><v>21337220</v></cell><cell r="AD3503"><v>720192</v></cell><cell r="AE3503" t="str"><v>Facebook</v></cell><cell r="AF3503"><v>3654128</v></cell><cell r="AG3503" t="str"><v>Facebook»AZR»1x1»SocialBan»NA»ALL»DYN»AUT»D»All»SS»NA»Free Acc Refresh - T3 - EN</v></cell><cell r="AH3503"><v>223691807</v></cell><cell r="AI3503" t="str"><v>AzurePlatform_FreeAcctAppsFACEBOOKIllustrationChC_CAN_1200x628_SOC_PLAT_EN_Trial_Standard_NA_SU_T3_1.png</v></cell><cell r="AJ3503"><v>102900685</v></cell></row><row r="3504"><cell r="C3504" t="str"><v>43306Facebook»AZR»1x1»SocialBan»NA»ALL»DYN»AUT»D»All»SS»NA»Free Acc Refresh - T3 - FR</v></cell><cell r="D3504" t="str"><v>43306223691765</v></cell><cell r="E3504" t="str"><v>433061030533323 - FR</v></cell><cell r="F3504" t="str"><v>DCM</v></cell><cell r="G3504" t="str"><v>https://azure.microsoft.com/fr-ca/free/search/</v></cell></row><row r="3504"><cell r="K3504" t="str"><v>July</v></cell><cell r="L3504"><v>43309</v></cell><cell r="M3504" t="str"><v>Tier 1</v></cell><cell r="N3504" t="str"><v>North America</v></cell><cell r="O3504" t="str"><v>Canada</v></cell><cell r="P3504" t="str"><v>Trial</v></cell><cell r="Q3504" t="str"><v>Social</v></cell><cell r="R3504" t="str"><v>Azure</v></cell><cell r="S3504" t="str"><v>Apps & Infra</v></cell><cell r="T3504" t="str"><v>Developers & ITI's</v></cell><cell r="U3504" t="str"><v>AZR</v></cell><cell r="V3504" t="str"><v>Audience Targeting</v></cell><cell r="W3504" t="str"><v>NotApplicable</v></cell><cell r="X3504" t="str"><v>1x1</v></cell></row><row r="3504"><cell r="AA3504"><v>43306</v></cell><cell r="AB3504" t="str"><v>CAN_gaPMG_AZR_AZR_Q1_19_Trial-Social</v></cell><cell r="AC3504"><v>21337220</v></cell><cell r="AD3504"><v>720192</v></cell><cell r="AE3504" t="str"><v>Facebook</v></cell><cell r="AF3504"><v>3654128</v></cell><cell r="AG3504" t="str"><v>Facebook»AZR»1x1»SocialBan»NA»ALL»DYN»AUT»D»All»SS»NA»Free Acc Refresh - T3 - FR</v></cell><cell r="AH3504"><v>223691765</v></cell><cell r="AI3504" t="str"><v>AzurePlatform_FreeAcctAppsFACEBOOKIllustrationChC_CAN_1200x628_SOC_PLAT_FR_Trial_Standard_NA_SU_T3_1.png</v></cell><cell r="AJ3504"><v>103053332</v></cell></row><row r="3505"><cell r="C3505" t="str"><v>43306Facebook»AZR»1x1»SocialBan»NA»ALL»DYN»AUT»D»All»SS»NA»Free Acc Refresh - T4 - EN</v></cell><cell r="D3505" t="str"><v>43306223691813</v></cell><cell r="E3505" t="str"><v>433061030533204 - EN</v></cell><cell r="F3505" t="str"><v>DCM</v></cell><cell r="G3505" t="str"><v>https://azure.microsoft.com/en-CA/free/search/</v></cell></row><row r="3505"><cell r="K3505" t="str"><v>July</v></cell><cell r="L3505"><v>43309</v></cell><cell r="M3505" t="str"><v>Tier 1</v></cell><cell r="N3505" t="str"><v>North America</v></cell><cell r="O3505" t="str"><v>Canada</v></cell><cell r="P3505" t="str"><v>Trial</v></cell><cell r="Q3505" t="str"><v>Social</v></cell><cell r="R3505" t="str"><v>Azure</v></cell><cell r="S3505" t="str"><v>Apps & Infra</v></cell><cell r="T3505" t="str"><v>Developers & ITI's</v></cell><cell r="U3505" t="str"><v>AZR</v></cell><cell r="V3505" t="str"><v>Audience Targeting</v></cell><cell r="W3505" t="str"><v>NotApplicable</v></cell><cell r="X3505" t="str"><v>1x1</v></cell></row><row r="3505"><cell r="AA3505"><v>43306</v></cell><cell r="AB3505" t="str"><v>CAN_gaPMG_AZR_AZR_Q1_19_Trial-Social</v></cell><cell r="AC3505"><v>21337220</v></cell><cell r="AD3505"><v>720192</v></cell><cell r="AE3505" t="str"><v>Facebook</v></cell><cell r="AF3505"><v>3654128</v></cell><cell r="AG3505" t="str"><v>Facebook»AZR»1x1»SocialBan»NA»ALL»DYN»AUT»D»All»SS»NA»Free Acc Refresh - T4 - EN</v></cell><cell r="AH3505"><v>223691813</v></cell><cell r="AI3505" t="str"><v>AzurePlatform_FreeAcctAppsFACEBOOK200CreditChD_CAN_1200x628_SOC_PLAT_EN_Trial_Standard_NA_SU_T4_1.png</v></cell><cell r="AJ3505"><v>103053320</v></cell></row><row r="3506"><cell r="C3506" t="str"><v>43306Facebook»AZR»1x1»SocialBan»NA»ALL»DYN»AUT»D»All»SS»NA»Free Acc Refresh - T4 - FR</v></cell><cell r="D3506" t="str"><v>43306223691771</v></cell><cell r="E3506" t="str"><v>433061029029684 - FR</v></cell><cell r="F3506" t="str"><v>DCM</v></cell><cell r="G3506" t="str"><v>https://azure.microsoft.com/fr-ca/free/search/</v></cell></row><row r="3506"><cell r="K3506" t="str"><v>July</v></cell><cell r="L3506"><v>43309</v></cell><cell r="M3506" t="str"><v>Tier 1</v></cell><cell r="N3506" t="str"><v>North America</v></cell><cell r="O3506" t="str"><v>Canada</v></cell><cell r="P3506" t="str"><v>Trial</v></cell><cell r="Q3506" t="str"><v>Social</v></cell><cell r="R3506" t="str"><v>Azure</v></cell><cell r="S3506" t="str"><v>Apps & Infra</v></cell><cell r="T3506" t="str"><v>Developers & ITI's</v></cell><cell r="U3506" t="str"><v>AZR</v></cell><cell r="V3506" t="str"><v>Audience Targeting</v></cell><cell r="W3506" t="str"><v>NotApplicable</v></cell><cell r="X3506" t="str"><v>1x1</v></cell></row><row r="3506"><cell r="AA3506"><v>43306</v></cell><cell r="AB3506" t="str"><v>CAN_gaPMG_AZR_AZR_Q1_19_Trial-Social</v></cell><cell r="AC3506"><v>21337220</v></cell><cell r="AD3506"><v>720192</v></cell><cell r="AE3506" t="str"><v>Facebook</v></cell><cell r="AF3506"><v>3654128</v></cell><cell r="AG3506" t="str"><v>Facebook»AZR»1x1»SocialBan»NA»ALL»DYN»AUT»D»All»SS»NA»Free Acc Refresh - T4 - FR</v></cell><cell r="AH3506"><v>223691771</v></cell><cell r="AI3506" t="str"><v>AzurePlatform_FreeAcctAppsFACEBOOK200CreditChD_CAN_1200x628_SOC_PLAT_FR_Trial_Standard_NA_SU_T4_1.png</v></cell><cell r="AJ3506"><v>102902968</v></cell></row><row r="3507"><cell r="C3507" t="str"><v>43306Facebook»AZR»1x1»SocialBan»NA»ALL»DYN»AUT»D»All»SS»NA»Free Acc Refresh - T5 - FR</v></cell><cell r="D3507" t="str"><v>43306223691774</v></cell><cell r="E3507" t="str"><v>433061029163565 - FR</v></cell><cell r="F3507" t="str"><v>DCM</v></cell><cell r="G3507" t="str"><v>https://azure.microsoft.com/fr-ca/free/search/</v></cell></row><row r="3507"><cell r="K3507" t="str"><v>July</v></cell><cell r="L3507"><v>43309</v></cell><cell r="M3507" t="str"><v>Tier 1</v></cell><cell r="N3507" t="str"><v>North America</v></cell><cell r="O3507" t="str"><v>Canada</v></cell><cell r="P3507" t="str"><v>Trial</v></cell><cell r="Q3507" t="str"><v>Social</v></cell><cell r="R3507" t="str"><v>Azure</v></cell><cell r="S3507" t="str"><v>Apps & Infra</v></cell><cell r="T3507" t="str"><v>Developers & ITI's</v></cell><cell r="U3507" t="str"><v>AZR</v></cell><cell r="V3507" t="str"><v>Audience Targeting</v></cell><cell r="W3507" t="str"><v>NotApplicable</v></cell><cell r="X3507" t="str"><v>1x1</v></cell></row><row r="3507"><cell r="AA3507"><v>43306</v></cell><cell r="AB3507" t="str"><v>CAN_gaPMG_AZR_AZR_Q1_19_Trial-Social</v></cell><cell r="AC3507"><v>21337220</v></cell><cell r="AD3507"><v>720192</v></cell><cell r="AE3507" t="str"><v>Facebook</v></cell><cell r="AF3507"><v>3654128</v></cell><cell r="AG3507" t="str"><v>Facebook»AZR»1x1»SocialBan»NA»ALL»DYN»AUT»D»All»SS»NA»Free Acc Refresh - T5 - FR</v></cell><cell r="AH3507"><v>223691774</v></cell><cell r="AI3507" t="str"><v>AzurePlatform_FreeAcctAppsFACEBOOK12monthsChE_CAN_1200x628_SOC_PLAT_FR_Trial_Standard_NA_SU_T5_1.png</v></cell><cell r="AJ3507"><v>102916356</v></cell></row><row r="3508"><cell r="C3508" t="str"><v>43306Facebook»AZR»1x1»SocialBan»NA»ALL»DYN»RT»D»All»SS»NA» Free Account Retargeting OSS - T1 - EN</v></cell><cell r="D3508" t="str"><v>43306223691828</v></cell><cell r="E3508" t="str"><v>433061029029561 - EN</v></cell><cell r="F3508" t="str"><v>DCM</v></cell><cell r="G3508" t="str"><v>https://azure.microsoft.com/en-ca/free/open-source/search/</v></cell></row><row r="3508"><cell r="K3508" t="str"><v>July</v></cell><cell r="L3508"><v>43309</v></cell><cell r="M3508" t="str"><v>Tier 1</v></cell><cell r="N3508" t="str"><v>North America</v></cell><cell r="O3508" t="str"><v>Canada</v></cell><cell r="P3508" t="str"><v>Trial</v></cell><cell r="Q3508" t="str"><v>Social</v></cell><cell r="R3508" t="str"><v>Azure</v></cell><cell r="S3508" t="str"><v>Apps & Infra</v></cell><cell r="T3508" t="str"><v>Developers & ITI's</v></cell><cell r="U3508" t="str"><v>AZR</v></cell><cell r="V3508" t="str"><v>Retargeting</v></cell><cell r="W3508" t="str"><v>NotApplicable</v></cell><cell r="X3508" t="str"><v>1x1</v></cell></row><row r="3508"><cell r="AA3508"><v>43306</v></cell><cell r="AB3508" t="str"><v>CAN_gaPMG_AZR_AZR_Q1_19_Trial-Social</v></cell><cell r="AC3508"><v>21337220</v></cell><cell r="AD3508"><v>720192</v></cell><cell r="AE3508" t="str"><v>Facebook</v></cell><cell r="AF3508"><v>3654128</v></cell><cell r="AG3508" t="str"><v>Facebook»AZR»1x1»SocialBan»NA»ALL»DYN»RT»D»All»SS»NA» Free Account Retargeting OSS - T1 - EN</v></cell><cell r="AH3508"><v>223691828</v></cell><cell r="AI3508" t="str"><v>AzurePlatform_FreeAcctRetargetingOSSFB-Text-ChF_CAN_1200x628_SOC_Plat_EN_Free Account_Standard_NA_SU_T1_1</v></cell><cell r="AJ3508"><v>102902956</v></cell></row><row r="3509"><cell r="C3509" t="str"><v>43306Facebook»AZR»1x1»SocialBan»NA»ALL»DYN»RT»D»All»SS»NA» Free Account Retargeting OSS - T1 - FR</v></cell><cell r="D3509" t="str"><v>43306223691786</v></cell><cell r="E3509" t="str"><v>433061030587201 - FR</v></cell><cell r="F3509" t="str"><v>DCM</v></cell><cell r="G3509" t="str"><v>https://azure.microsoft.com/fr-ca/free/open-source/search/</v></cell></row><row r="3509"><cell r="K3509" t="str"><v>July</v></cell><cell r="L3509"><v>43309</v></cell><cell r="M3509" t="str"><v>Tier 1</v></cell><cell r="N3509" t="str"><v>North America</v></cell><cell r="O3509" t="str"><v>Canada</v></cell><cell r="P3509" t="str"><v>Trial</v></cell><cell r="Q3509" t="str"><v>Social</v></cell><cell r="R3509" t="str"><v>Azure</v></cell><cell r="S3509" t="str"><v>Apps & Infra</v></cell><cell r="T3509" t="str"><v>Developers & ITI's</v></cell><cell r="U3509" t="str"><v>AZR</v></cell><cell r="V3509" t="str"><v>Retargeting</v></cell><cell r="W3509" t="str"><v>NotApplicable</v></cell><cell r="X3509" t="str"><v>1x1</v></cell></row><row r="3509"><cell r="AA3509"><v>43306</v></cell><cell r="AB3509" t="str"><v>CAN_gaPMG_AZR_AZR_Q1_19_Trial-Social</v></cell><cell r="AC3509"><v>21337220</v></cell><cell r="AD3509"><v>720192</v></cell><cell r="AE3509" t="str"><v>Facebook</v></cell><cell r="AF3509"><v>3654128</v></cell><cell r="AG3509" t="str"><v>Facebook»AZR»1x1»SocialBan»NA»ALL»DYN»RT»D»All»SS»NA» Free Account Retargeting OSS - T1 - FR</v></cell><cell r="AH3509"><v>223691786</v></cell><cell r="AI3509" t="str"><v>AzurePlatform_FreeAcctRetargetingOSSFB-Text-ChF_CAN_1200x628_SOC_Plat_FR_Free Account_Standard_NA_SU_T1_1</v></cell><cell r="AJ3509"><v>103058720</v></cell></row><row r="3510"><cell r="C3510" t="str"><v>43306Facebook»AZR»1x1»SocialBan»NA»ALL»DYN»RT»D»All»SS»NA» Free Account Retargeting OSS - T2 - EN</v></cell><cell r="D3510" t="str"><v>43306223691831</v></cell><cell r="E3510" t="str"><v>433061029138002 - EN</v></cell><cell r="F3510" t="str"><v>DCM</v></cell><cell r="G3510" t="str"><v>https://azure.microsoft.com/en-ca/free/open-source/search/</v></cell></row><row r="3510"><cell r="K3510" t="str"><v>July</v></cell><cell r="L3510"><v>43309</v></cell><cell r="M3510" t="str"><v>Tier 1</v></cell><cell r="N3510" t="str"><v>North America</v></cell><cell r="O3510" t="str"><v>Canada</v></cell><cell r="P3510" t="str"><v>Trial</v></cell><cell r="Q3510" t="str"><v>Social</v></cell><cell r="R3510" t="str"><v>Azure</v></cell><cell r="S3510" t="str"><v>Apps & Infra</v></cell><cell r="T3510" t="str"><v>Developers & ITI's</v></cell><cell r="U3510" t="str"><v>AZR</v></cell><cell r="V3510" t="str"><v>Retargeting</v></cell><cell r="W3510" t="str"><v>NotApplicable</v></cell><cell r="X3510" t="str"><v>1x1</v></cell></row><row r="3510"><cell r="AA3510"><v>43306</v></cell><cell r="AB3510" t="str"><v>CAN_gaPMG_AZR_AZR_Q1_19_Trial-Social</v></cell><cell r="AC3510"><v>21337220</v></cell><cell r="AD3510"><v>720192</v></cell><cell r="AE3510" t="str"><v>Facebook</v></cell><cell r="AF3510"><v>3654128</v></cell><cell r="AG3510" t="str"><v>Facebook»AZR»1x1»SocialBan»NA»ALL»DYN»RT»D»All»SS»NA» Free Account Retargeting OSS - T2 - EN</v></cell><cell r="AH3510"><v>223691831</v></cell><cell r="AI3510" t="str"><v>AzurePlatform_FreeAcctRetargetingOSSFB-Logos-ChG_CAN_1200x628_SOC_Plat_EN_Free Account_Standard_NA_SU_T2_1</v></cell><cell r="AJ3510"><v>102913800</v></cell></row><row r="3511"><cell r="C3511" t="str"><v>43306Facebook»AZR»1x1»SocialBan»NA»ALL»DYN»RT»D»All»SS»NA»Free Account Retargeting Generic - T2 - EN</v></cell><cell r="D3511" t="str"><v>43306223691834</v></cell><cell r="E3511" t="str"><v>433061029029532 - EN</v></cell><cell r="F3511" t="str"><v>DCM</v></cell><cell r="G3511" t="str"><v>https://azure.microsoft.com/en-CA/free/search/</v></cell></row><row r="3511"><cell r="K3511" t="str"><v>July</v></cell><cell r="L3511"><v>43309</v></cell><cell r="M3511" t="str"><v>Tier 1</v></cell><cell r="N3511" t="str"><v>North America</v></cell><cell r="O3511" t="str"><v>Canada</v></cell><cell r="P3511" t="str"><v>Trial</v></cell><cell r="Q3511" t="str"><v>Social</v></cell><cell r="R3511" t="str"><v>Azure</v></cell><cell r="S3511" t="str"><v>Apps & Infra</v></cell><cell r="T3511" t="str"><v>Developers & ITI's</v></cell><cell r="U3511" t="str"><v>AZR</v></cell><cell r="V3511" t="str"><v>Retargeting</v></cell><cell r="W3511" t="str"><v>NotApplicable</v></cell><cell r="X3511" t="str"><v>1x1</v></cell></row><row r="3511"><cell r="AA3511"><v>43306</v></cell><cell r="AB3511" t="str"><v>CAN_gaPMG_AZR_AZR_Q1_19_Trial-Social</v></cell><cell r="AC3511"><v>21337220</v></cell><cell r="AD3511"><v>720192</v></cell><cell r="AE3511" t="str"><v>Facebook</v></cell><cell r="AF3511"><v>3654128</v></cell><cell r="AG3511" t="str"><v>Facebook»AZR»1x1»SocialBan»NA»ALL»DYN»RT»D»All»SS»NA»Free Account Retargeting Generic - T2 - EN</v></cell><cell r="AH3511"><v>223691834</v></cell><cell r="AI3511" t="str"><v>AzurePlatform_FreeAcctRetargetingFB-GlobalAlt-ChB_CAN_1200x628_SOC_Plat_EN_Free Account_Standard_NA_SU_T2_1</v></cell><cell r="AJ3511"><v>102902953</v></cell></row><row r="3512"><cell r="C3512" t="str"><v>43306Facebook»AZR»1x1»SocialBan»NA»ALL»DYN»RT»D»All»SS»NA»Free Account Retargeting Generic - T2 - FR</v></cell><cell r="D3512" t="str"><v>43306223691792</v></cell><cell r="E3512" t="str"><v>433061029018942 - FR</v></cell><cell r="F3512" t="str"><v>DCM</v></cell><cell r="G3512" t="str"><v>https://azure.microsoft.com/fr-ca/free/search/</v></cell></row><row r="3512"><cell r="K3512" t="str"><v>July</v></cell><cell r="L3512"><v>43309</v></cell><cell r="M3512" t="str"><v>Tier 1</v></cell><cell r="N3512" t="str"><v>North America</v></cell><cell r="O3512" t="str"><v>Canada</v></cell><cell r="P3512" t="str"><v>Trial</v></cell><cell r="Q3512" t="str"><v>Social</v></cell><cell r="R3512" t="str"><v>Azure</v></cell><cell r="S3512" t="str"><v>Apps & Infra</v></cell><cell r="T3512" t="str"><v>Developers & ITI's</v></cell><cell r="U3512" t="str"><v>AZR</v></cell><cell r="V3512" t="str"><v>Retargeting</v></cell><cell r="W3512" t="str"><v>NotApplicable</v></cell><cell r="X3512" t="str"><v>1x1</v></cell></row><row r="3512"><cell r="AA3512"><v>43306</v></cell><cell r="AB3512" t="str"><v>CAN_gaPMG_AZR_AZR_Q1_19_Trial-Social</v></cell><cell r="AC3512"><v>21337220</v></cell><cell r="AD3512"><v>720192</v></cell><cell r="AE3512" t="str"><v>Facebook</v></cell><cell r="AF3512"><v>3654128</v></cell><cell r="AG3512" t="str"><v>Facebook»AZR»1x1»SocialBan»NA»ALL»DYN»RT»D»All»SS»NA»Free Account Retargeting Generic - T2 - FR</v></cell><cell r="AH3512"><v>223691792</v></cell><cell r="AI3512" t="str"><v>AzurePlatform_FreeAcctRetargetingFB-GlobalAlt-ChB_CAN_1200x628_SOC_Plat_FR_Free Account_Standard_NA_SU_T2_1</v></cell><cell r="AJ3512"><v>102901894</v></cell></row><row r="3513"><cell r="C3513" t="str"><v>43306Facebook»AZR»1x1»SocialBan»NA»ALL»DYN»RT»D»All»SS»NA»Free Account Retargeting Generic - T3 - FR</v></cell><cell r="D3513" t="str"><v>43306223691777</v></cell><cell r="E3513" t="str"><v>433061029006973 - FR</v></cell><cell r="F3513" t="str"><v>DCM</v></cell><cell r="G3513" t="str"><v>https://azure.microsoft.com/fr-ca/free/search/</v></cell></row><row r="3513"><cell r="K3513" t="str"><v>July</v></cell><cell r="L3513"><v>43309</v></cell><cell r="M3513" t="str"><v>Tier 1</v></cell><cell r="N3513" t="str"><v>North America</v></cell><cell r="O3513" t="str"><v>Canada</v></cell><cell r="P3513" t="str"><v>Trial</v></cell><cell r="Q3513" t="str"><v>Social</v></cell><cell r="R3513" t="str"><v>Azure</v></cell><cell r="S3513" t="str"><v>Apps & Infra</v></cell><cell r="T3513" t="str"><v>Developers & ITI's</v></cell><cell r="U3513" t="str"><v>AZR</v></cell><cell r="V3513" t="str"><v>Retargeting</v></cell><cell r="W3513" t="str"><v>NotApplicable</v></cell><cell r="X3513" t="str"><v>1x1</v></cell></row><row r="3513"><cell r="AA3513"><v>43306</v></cell><cell r="AB3513" t="str"><v>CAN_gaPMG_AZR_AZR_Q1_19_Trial-Social</v></cell><cell r="AC3513"><v>21337220</v></cell><cell r="AD3513"><v>720192</v></cell><cell r="AE3513" t="str"><v>Facebook</v></cell><cell r="AF3513"><v>3654128</v></cell><cell r="AG3513" t="str"><v>Facebook»AZR»1x1»SocialBan»NA»ALL»DYN»RT»D»All»SS»NA»Free Account Retargeting Generic - T3 - FR</v></cell><cell r="AH3513"><v>223691777</v></cell><cell r="AI3513" t="str"><v>AzurePlatform_FreeAcctRetargetingFB-Animated-ChC_CAN_1200x628_SOC_Plat_FR_Free Account_Standard_ANI_SU_T3_1</v></cell><cell r="AJ3513"><v>102900697</v></cell></row><row r="3514"><cell r="C3514" t="str"><v>43306Facebook»AZR»1x1»SocialBan»NA»ALL»DYN»RT»D»All»SS»NA»Free Account Retargeting VM - T1 - EN</v></cell><cell r="D3514" t="str"><v>43306223691825</v></cell><cell r="E3514" t="str"><v>433061029163381 - EN</v></cell><cell r="F3514" t="str"><v>DCM</v></cell><cell r="G3514" t="str"><v>https://azure.microsoft.com/en-ca/free/virtual-machines/search/</v></cell></row><row r="3514"><cell r="K3514" t="str"><v>July</v></cell><cell r="L3514"><v>43309</v></cell><cell r="M3514" t="str"><v>Tier 1</v></cell><cell r="N3514" t="str"><v>North America</v></cell><cell r="O3514" t="str"><v>Canada</v></cell><cell r="P3514" t="str"><v>Trial</v></cell><cell r="Q3514" t="str"><v>Social</v></cell><cell r="R3514" t="str"><v>Azure</v></cell><cell r="S3514" t="str"><v>Apps & Infra</v></cell><cell r="T3514" t="str"><v>Developers & ITI's</v></cell><cell r="U3514" t="str"><v>AZR</v></cell><cell r="V3514" t="str"><v>Retargeting</v></cell><cell r="W3514" t="str"><v>NotApplicable</v></cell><cell r="X3514" t="str"><v>1x1</v></cell></row><row r="3514"><cell r="AA3514"><v>43306</v></cell><cell r="AB3514" t="str"><v>CAN_gaPMG_AZR_AZR_Q1_19_Trial-Social</v></cell><cell r="AC3514"><v>21337220</v></cell><cell r="AD3514"><v>720192</v></cell><cell r="AE3514" t="str"><v>Facebook</v></cell><cell r="AF3514"><v>3654128</v></cell><cell r="AG3514" t="str"><v>Facebook»AZR»1x1»SocialBan»NA»ALL»DYN»RT»D»All»SS»NA»Free Account Retargeting VM - T1 - EN</v></cell><cell r="AH3514"><v>223691825</v></cell><cell r="AI3514" t="str"><v>AzurePlatform_FreeAcctRetargetingVMFB-750Hrs-ChD_CAN_1200x628_SOC_Plat_EN_Free Account_Standard_NA_SU_T1_1</v></cell><cell r="AJ3514"><v>102916338</v></cell></row><row r="3515"><cell r="C3515" t="str"><v>43306Facebook»AZR»1x1»SocialBan»NA»ALL»DYN»RT»D»All»SS»NA»Free Account Retargeting VM - T1 - FR</v></cell><cell r="D3515" t="str"><v>43306223691783</v></cell><cell r="E3515" t="str"><v>433061030587231 - FR</v></cell><cell r="F3515" t="str"><v>DCM</v></cell><cell r="G3515" t="str"><v>https://azure.microsoft.com/fr-ca/free/virtual-machines/search/</v></cell></row><row r="3515"><cell r="K3515" t="str"><v>July</v></cell><cell r="L3515"><v>43309</v></cell><cell r="M3515" t="str"><v>Tier 1</v></cell><cell r="N3515" t="str"><v>North America</v></cell><cell r="O3515" t="str"><v>Canada</v></cell><cell r="P3515" t="str"><v>Trial</v></cell><cell r="Q3515" t="str"><v>Social</v></cell><cell r="R3515" t="str"><v>Azure</v></cell><cell r="S3515" t="str"><v>Apps & Infra</v></cell><cell r="T3515" t="str"><v>Developers & ITI's</v></cell><cell r="U3515" t="str"><v>AZR</v></cell><cell r="V3515" t="str"><v>Retargeting</v></cell><cell r="W3515" t="str"><v>NotApplicable</v></cell><cell r="X3515" t="str"><v>1x1</v></cell></row><row r="3515"><cell r="AA3515"><v>43306</v></cell><cell r="AB3515" t="str"><v>CAN_gaPMG_AZR_AZR_Q1_19_Trial-Social</v></cell><cell r="AC3515"><v>21337220</v></cell><cell r="AD3515"><v>720192</v></cell><cell r="AE3515" t="str"><v>Facebook</v></cell><cell r="AF3515"><v>3654128</v></cell><cell r="AG3515" t="str"><v>Facebook»AZR»1x1»SocialBan»NA»ALL»DYN»RT»D»All»SS»NA»Free Account Retargeting VM - T1 - FR</v></cell><cell r="AH3515"><v>223691783</v></cell><cell r="AI3515" t="str"><v>AzurePlatform_FreeAcctRetargetingVMFB-750Hrs-ChD_CAN_1200x628_SOC_Plat_FR_Free Account_Standard_NA_SU_T1_1</v></cell><cell r="AJ3515"><v>103058723</v></cell></row><row r="3516"><cell r="C3516" t="str"><v>43306Facebook»AZR»1x1»SocialBan»NA»ALL»DYN»RT»D»All»SS»NA»Free Account Retargeting VM - T2 - EN</v></cell><cell r="D3516" t="str"><v>43306223691822</v></cell><cell r="E3516" t="str"><v>433061030587082 - EN</v></cell><cell r="F3516" t="str"><v>DCM</v></cell><cell r="G3516" t="str"><v>https://azure.microsoft.com/en-ca/free/virtual-machines/search/</v></cell></row><row r="3516"><cell r="K3516" t="str"><v>July</v></cell><cell r="L3516"><v>43309</v></cell><cell r="M3516" t="str"><v>Tier 1</v></cell><cell r="N3516" t="str"><v>North America</v></cell><cell r="O3516" t="str"><v>Canada</v></cell><cell r="P3516" t="str"><v>Trial</v></cell><cell r="Q3516" t="str"><v>Social</v></cell><cell r="R3516" t="str"><v>Azure</v></cell><cell r="S3516" t="str"><v>Apps & Infra</v></cell><cell r="T3516" t="str"><v>Developers & ITI's</v></cell><cell r="U3516" t="str"><v>AZR</v></cell><cell r="V3516" t="str"><v>Retargeting</v></cell><cell r="W3516" t="str"><v>NotApplicable</v></cell><cell r="X3516" t="str"><v>1x1</v></cell></row><row r="3516"><cell r="AA3516"><v>43306</v></cell><cell r="AB3516" t="str"><v>CAN_gaPMG_AZR_AZR_Q1_19_Trial-Social</v></cell><cell r="AC3516"><v>21337220</v></cell><cell r="AD3516"><v>720192</v></cell><cell r="AE3516" t="str"><v>Facebook</v></cell><cell r="AF3516"><v>3654128</v></cell><cell r="AG3516" t="str"><v>Facebook»AZR»1x1»SocialBan»NA»ALL»DYN»RT»D»All»SS»NA»Free Account Retargeting VM - T2 - EN</v></cell><cell r="AH3516"><v>223691822</v></cell><cell r="AI3516" t="str"><v>AzurePlatform_FreeAcctRetargetingVMFB-OnDemand-ChE_CAN_1200x628_SOC_Plat_EN_Free Account_Standard_NA_SU_T2_1</v></cell><cell r="AJ3516"><v>103058708</v></cell></row><row r="3517"><cell r="C3517" t="str"><v>43306Facebook»DEV-ITP-AZR-FB|CanvasAds|Interesttargeting»1x1»TextLink»CAN»DT»CPM»AUT»W»NA»SS»NA»39684020-11000</v></cell><cell r="D3517" t="str"><v>43306224009494</v></cell><cell r="E3517" t="str"><v>43306103236186-11000</v></cell><cell r="F3517" t="str"><v>DCM</v></cell><cell r="G3517" t="str"><v>https://signup.azure.com/signup?offer=ms-azr-0044p&appId=102&ref=paidmedia-social-fb&redirectURL=https%3a%2f%2fazure.microsoft.com%2fde-de%2fget-started%2fwelcome-to-azure%2f&l=de-de&correlationId=ead86c34-1f10-49dd-a72b-6918462a2cbf</v></cell></row><row r="3517"><cell r="K3517" t="str"><v>July</v></cell><cell r="L3517"><v>43309</v></cell><cell r="M3517" t="str"><v>Tier 1</v></cell><cell r="N3517" t="str"><v>EMEA</v></cell><cell r="O3517" t="str"><v>Germany</v></cell><cell r="P3517" t="str"><v>Trial</v></cell><cell r="Q3517" t="str"><v>Social</v></cell><cell r="R3517" t="str"><v>Azure</v></cell><cell r="S3517" t="str"><v>Apps & Infra</v></cell><cell r="T3517" t="str"><v>Developers & ITI's</v></cell><cell r="U3517" t="str"><v>DEV-ITP-AZR-FB|CanvasAds|Interesttargeting</v></cell><cell r="V3517" t="str"><v>Audience Targeting</v></cell><cell r="W3517" t="str"><v>Canvas Ad</v></cell><cell r="X3517" t="str"><v>1x1</v></cell></row><row r="3517"><cell r="AA3517"><v>43306</v></cell><cell r="AB3517" t="str"><v>DEU_gaPMG_AZR_AZR_Q1_19_Trial-Social- 39684</v></cell><cell r="AC3517"><v>21359477</v></cell><cell r="AD3517"><v>720194</v></cell><cell r="AE3517" t="str"><v>Facebook</v></cell><cell r="AF3517"><v>3654128</v></cell><cell r="AG3517" t="str"><v>Facebook»DEV-ITP-AZR-FB|CanvasAds|Interesttargeting»1x1»TextLink»CAN»DT»CPM»AUT»W»NA»SS»NA»39684020-11000</v></cell><cell r="AH3517"><v>224009494</v></cell><cell r="AI3517" t="str"><v>AzurePlatform_FBCTCBasicMotion-StartFreeCT_DEU_10s_ISV_PLAT_DE_Trial_Standard_STAN_TN_T1_1</v></cell><cell r="AJ3517"><v>103236186</v></cell></row><row r="3518"><cell r="C3518" t="str"><v>43306Facebook»DEV-ITP-AZR-FB|CanvasAds|Interesttargeting»1x1»TextLink»CAN»DT»CPM»AUT»W»NA»SS»NA»39684020-11000</v></cell><cell r="D3518" t="str"><v>43306224009494</v></cell><cell r="E3518" t="str"><v>43306103237290-11000</v></cell><cell r="F3518" t="str"><v>DCM</v></cell><cell r="G3518" t="str"><v>https://signup.azure.com/signup?offer=ms-azr-0044p&appId=102&ref=paidmedia-social-fb&redirectURL=https%3a%2f%2fazure.microsoft.com%2fde-de%2fget-started%2fwelcome-to-azure%2f&l=de-de&correlationId=ead86c34-1f10-49dd-a72b-6918462a2cbf</v></cell></row><row r="3518"><cell r="K3518" t="str"><v>July</v></cell><cell r="L3518"><v>43309</v></cell><cell r="M3518" t="str"><v>Tier 1</v></cell><cell r="N3518" t="str"><v>EMEA</v></cell><cell r="O3518" t="str"><v>Germany</v></cell><cell r="P3518" t="str"><v>Trial</v></cell><cell r="Q3518" t="str"><v>Social</v></cell><cell r="R3518" t="str"><v>Azure</v></cell><cell r="S3518" t="str"><v>Apps & Infra</v></cell><cell r="T3518" t="str"><v>Developers & ITI's</v></cell><cell r="U3518" t="str"><v>DEV-ITP-AZR-FB|CanvasAds|Interesttargeting</v></cell><cell r="V3518" t="str"><v>Audience Targeting</v></cell><cell r="W3518" t="str"><v>Canvas Ad</v></cell><cell r="X3518" t="str"><v>1x1</v></cell></row><row r="3518"><cell r="AA3518"><v>43306</v></cell><cell r="AB3518" t="str"><v>DEU_gaPMG_AZR_AZR_Q1_19_Trial-Social- 39684</v></cell><cell r="AC3518"><v>21359477</v></cell><cell r="AD3518"><v>720194</v></cell><cell r="AE3518" t="str"><v>Facebook</v></cell><cell r="AF3518"><v>3654128</v></cell><cell r="AG3518" t="str"><v>Facebook»DEV-ITP-AZR-FB|CanvasAds|Interesttargeting»1x1»TextLink»CAN»DT»CPM»AUT»W»NA»SS»NA»39684020-11000</v></cell><cell r="AH3518"><v>224009494</v></cell><cell r="AI3518" t="str"><v>AzurePlatform_FBCTCBenefit2inMotion-StartFreeCT_DEU_14s_ISV_PLAT_DE_Trial_Standard_STAN_TN_T4_1</v></cell><cell r="AJ3518"><v>103237290</v></cell></row><row r="3519"><cell r="C3519" t="str"><v>43306Facebook»DEV-ITP-AZR-FB|CanvasAds|Interesttargeting»1x1»TextLink»CAN»DT»CPM»AUT»W»NA»SS»NA»39684020-11000</v></cell><cell r="D3519" t="str"><v>43306224009494</v></cell><cell r="E3519" t="str"><v>43306103350059-11000</v></cell><cell r="F3519" t="str"><v>DCM</v></cell><cell r="G3519" t="str"><v>https://azure.microsoft.com/de-de/pricing/purchase-options/</v></cell></row><row r="3519"><cell r="K3519" t="str"><v>July</v></cell><cell r="L3519"><v>43309</v></cell><cell r="M3519" t="str"><v>Tier 1</v></cell><cell r="N3519" t="str"><v>EMEA</v></cell><cell r="O3519" t="str"><v>Germany</v></cell><cell r="P3519" t="str"><v>Trial</v></cell><cell r="Q3519" t="str"><v>Social</v></cell><cell r="R3519" t="str"><v>Azure</v></cell><cell r="S3519" t="str"><v>Apps & Infra</v></cell><cell r="T3519" t="str"><v>Developers & ITI's</v></cell><cell r="U3519" t="str"><v>DEV-ITP-AZR-FB|CanvasAds|Interesttargeting</v></cell><cell r="V3519" t="str"><v>Audience Targeting</v></cell><cell r="W3519" t="str"><v>Canvas Ad</v></cell><cell r="X3519" t="str"><v>1x1</v></cell></row><row r="3519"><cell r="AA3519"><v>43306</v></cell><cell r="AB3519" t="str"><v>DEU_gaPMG_AZR_AZR_Q1_19_Trial-Social- 39684</v></cell><cell r="AC3519"><v>21359477</v></cell><cell r="AD3519"><v>720194</v></cell><cell r="AE3519" t="str"><v>Facebook</v></cell><cell r="AF3519"><v>3654128</v></cell><cell r="AG3519" t="str"><v>Facebook»DEV-ITP-AZR-FB|CanvasAds|Interesttargeting»1x1»TextLink»CAN»DT»CPM»AUT»W»NA»SS»NA»39684020-11000</v></cell><cell r="AH3519"><v>224009494</v></cell><cell r="AI3519" t="str"><v>AzurePlatform_FBCTCBrandinMotion-BuyNow_DEU_12s_ISV_PLAT_DE_Trial_Standard_STAN_TN_T2_1</v></cell><cell r="AJ3519"><v>103350059</v></cell></row><row r="3520"><cell r="C3520" t="str"><v>43306Facebook»DEV-ITP-AZR-FB|CanvasAds|Interesttargeting»1x1»TextLink»CAN»DT»CPM»AUT»W»NA»SS»NA»39684020-11000</v></cell><cell r="D3520" t="str"><v>43306224009494</v></cell><cell r="E3520" t="str"><v>43306103237293-11000</v></cell><cell r="F3520" t="str"><v>DCM</v></cell><cell r="G3520" t="str"><v>https://signup.azure.com/signup?offer=ms-azr-0044p&appId=102&ref=paidmedia-social-fb&redirectURL=https%3a%2f%2fazure.microsoft.com%2fde-de%2fget-started%2fwelcome-to-azure%2f&l=de-de&correlationId=ead86c34-1f10-49dd-a72b-6918462a2cbf</v></cell></row><row r="3520"><cell r="K3520" t="str"><v>July</v></cell><cell r="L3520"><v>43309</v></cell><cell r="M3520" t="str"><v>Tier 1</v></cell><cell r="N3520" t="str"><v>EMEA</v></cell><cell r="O3520" t="str"><v>Germany</v></cell><cell r="P3520" t="str"><v>Trial</v></cell><cell r="Q3520" t="str"><v>Social</v></cell><cell r="R3520" t="str"><v>Azure</v></cell><cell r="S3520" t="str"><v>Apps & Infra</v></cell><cell r="T3520" t="str"><v>Developers & ITI's</v></cell><cell r="U3520" t="str"><v>DEV-ITP-AZR-FB|CanvasAds|Interesttargeting</v></cell><cell r="V3520" t="str"><v>Audience Targeting</v></cell><cell r="W3520" t="str"><v>Canvas Ad</v></cell><cell r="X3520" t="str"><v>1x1</v></cell></row><row r="3520"><cell r="AA3520"><v>43306</v></cell><cell r="AB3520" t="str"><v>DEU_gaPMG_AZR_AZR_Q1_19_Trial-Social- 39684</v></cell><cell r="AC3520"><v>21359477</v></cell><cell r="AD3520"><v>720194</v></cell><cell r="AE3520" t="str"><v>Facebook</v></cell><cell r="AF3520"><v>3654128</v></cell><cell r="AG3520" t="str"><v>Facebook»DEV-ITP-AZR-FB|CanvasAds|Interesttargeting»1x1»TextLink»CAN»DT»CPM»AUT»W»NA»SS»NA»39684020-11000</v></cell><cell r="AH3520"><v>224009494</v></cell><cell r="AI3520" t="str"><v>AzurePlatform_FBCTCBrandinMotion-StartFreeCT_DEU_12s_ISV_PLAT_DE_Trial_Standard_STAN_TN_T2_1</v></cell><cell r="AJ3520"><v>103237293</v></cell></row><row r="3521"><cell r="C3521" t="str"><v>43306Facebook»DEV-ITP-AZR-FB|LinkAd|CustomerAudienceRetargeting»1x1»TextLink»LIA»DT»CPM»RT»W»NA»SS»NA»39684019-11000</v></cell><cell r="D3521" t="str"><v>43306224010415</v></cell><cell r="E3521" t="str"><v>43306103048548-11000</v></cell><cell r="F3521" t="str"><v>DCM</v></cell><cell r="G3521" t="str"><v>https://azure.microsoft.com/de-de/free/search/</v></cell></row><row r="3521"><cell r="K3521" t="str"><v>July</v></cell><cell r="L3521"><v>43309</v></cell><cell r="M3521" t="str"><v>Tier 1</v></cell><cell r="N3521" t="str"><v>EMEA</v></cell><cell r="O3521" t="str"><v>Germany</v></cell><cell r="P3521" t="str"><v>Trial</v></cell><cell r="Q3521" t="str"><v>Social</v></cell><cell r="R3521" t="str"><v>Azure</v></cell><cell r="S3521" t="str"><v>Apps & Infra</v></cell><cell r="T3521" t="str"><v>Developers & ITI's</v></cell><cell r="U3521" t="str"><v>DEV-ITP-AZR-FB|LinkAd|CustomerAudienceRetargeting</v></cell><cell r="V3521" t="str"><v>Retargeting</v></cell><cell r="W3521" t="str"><v>Link Ad</v></cell><cell r="X3521" t="str"><v>1x1</v></cell></row><row r="3521"><cell r="AA3521"><v>43306</v></cell><cell r="AB3521" t="str"><v>DEU_gaPMG_AZR_AZR_Q1_19_Trial-Social- 39684</v></cell><cell r="AC3521"><v>21359477</v></cell><cell r="AD3521"><v>720194</v></cell><cell r="AE3521" t="str"><v>Facebook</v></cell><cell r="AF3521"><v>3654128</v></cell><cell r="AG3521" t="str"><v>Facebook»DEV-ITP-AZR-FB|LinkAd|CustomerAudienceRetargeting»1x1»TextLink»LIA»DT»CPM»RT»W»NA»SS»NA»39684019-11000</v></cell><cell r="AH3521"><v>224010415</v></cell><cell r="AI3521" t="str"><v>AzurePlatform_FreeAcctRetargetingFB-Animated-ChC_DEU_1200x628_SOC_Plat_DE_Free Account_Standard_ANI_SNU_T3_1</v></cell><cell r="AJ3521"><v>103048548</v></cell></row><row r="3522"><cell r="C3522" t="str"><v>43306Facebook»DEV-ITP-AZR-FB|LinkAd|CustomerAudienceRetargeting»1x1»TextLink»LIA»DT»CPM»RT»W»NA»SS»NA»39684019-11000</v></cell><cell r="D3522" t="str"><v>43306224010415</v></cell><cell r="E3522" t="str"><v>43306103040320-11000</v></cell><cell r="F3522" t="str"><v>DCM</v></cell><cell r="G3522" t="str"><v>https://azure.microsoft.com/de-de/free/search/</v></cell></row><row r="3522"><cell r="K3522" t="str"><v>July</v></cell><cell r="L3522"><v>43309</v></cell><cell r="M3522" t="str"><v>Tier 1</v></cell><cell r="N3522" t="str"><v>EMEA</v></cell><cell r="O3522" t="str"><v>Germany</v></cell><cell r="P3522" t="str"><v>Trial</v></cell><cell r="Q3522" t="str"><v>Social</v></cell><cell r="R3522" t="str"><v>Azure</v></cell><cell r="S3522" t="str"><v>Apps & Infra</v></cell><cell r="T3522" t="str"><v>Developers & ITI's</v></cell><cell r="U3522" t="str"><v>DEV-ITP-AZR-FB|LinkAd|CustomerAudienceRetargeting</v></cell><cell r="V3522" t="str"><v>Retargeting</v></cell><cell r="W3522" t="str"><v>Link Ad</v></cell><cell r="X3522" t="str"><v>1x1</v></cell></row><row r="3522"><cell r="AA3522"><v>43306</v></cell><cell r="AB3522" t="str"><v>DEU_gaPMG_AZR_AZR_Q1_19_Trial-Social- 39684</v></cell><cell r="AC3522"><v>21359477</v></cell><cell r="AD3522"><v>720194</v></cell><cell r="AE3522" t="str"><v>Facebook</v></cell><cell r="AF3522"><v>3654128</v></cell><cell r="AG3522" t="str"><v>Facebook»DEV-ITP-AZR-FB|LinkAd|CustomerAudienceRetargeting»1x1»TextLink»LIA»DT»CPM»RT»W»NA»SS»NA»39684019-11000</v></cell><cell r="AH3522"><v>224010415</v></cell><cell r="AI3522" t="str"><v>AzurePlatform_FreeAcctRetargetingFB-GlobalAlt-ChB_DEU_1200x628_SOC_Plat_DE_Free Account_Standard_NA_SNU_T2_1</v></cell><cell r="AJ3522"><v>103040320</v></cell></row><row r="3523"><cell r="C3523" t="str"><v>43306Facebook»DEV-ITP-AZR-FB|LinkAd|CustomerAudienceRetargeting»1x1»TextLink»LIA»DT»CPM»RT»W»NA»SS»NA»39684019-11000</v></cell><cell r="D3523" t="str"><v>43306224010415</v></cell><cell r="E3523" t="str"><v>43306103043329-11000</v></cell><cell r="F3523" t="str"><v>DCM</v></cell><cell r="G3523" t="str"><v>https://azure.microsoft.com/de-de/free/open-source/search/</v></cell></row><row r="3523"><cell r="K3523" t="str"><v>July</v></cell><cell r="L3523"><v>43309</v></cell><cell r="M3523" t="str"><v>Tier 1</v></cell><cell r="N3523" t="str"><v>EMEA</v></cell><cell r="O3523" t="str"><v>Germany</v></cell><cell r="P3523" t="str"><v>Trial</v></cell><cell r="Q3523" t="str"><v>Social</v></cell><cell r="R3523" t="str"><v>Azure</v></cell><cell r="S3523" t="str"><v>Apps & Infra</v></cell><cell r="T3523" t="str"><v>Developers & ITI's</v></cell><cell r="U3523" t="str"><v>DEV-ITP-AZR-FB|LinkAd|CustomerAudienceRetargeting</v></cell><cell r="V3523" t="str"><v>Retargeting</v></cell><cell r="W3523" t="str"><v>Link Ad</v></cell><cell r="X3523" t="str"><v>1x1</v></cell></row><row r="3523"><cell r="AA3523"><v>43306</v></cell><cell r="AB3523" t="str"><v>DEU_gaPMG_AZR_AZR_Q1_19_Trial-Social- 39684</v></cell><cell r="AC3523"><v>21359477</v></cell><cell r="AD3523"><v>720194</v></cell><cell r="AE3523" t="str"><v>Facebook</v></cell><cell r="AF3523"><v>3654128</v></cell><cell r="AG3523" t="str"><v>Facebook»DEV-ITP-AZR-FB|LinkAd|CustomerAudienceRetargeting»1x1»TextLink»LIA»DT»CPM»RT»W»NA»SS»NA»39684019-11000</v></cell><cell r="AH3523"><v>224010415</v></cell><cell r="AI3523" t="str"><v>AzurePlatform_FreeAcctRetargetingOSSFB-Logos-ChG_DEU_1200x628_SOC_Plat_DE_Free Account_Standard_NA_SNU_T2_1</v></cell><cell r="AJ3523"><v>103043329</v></cell></row><row r="3524"><cell r="C3524" t="str"><v>43306Facebook»DEV-ITP-AZR-FB|LinkAd|CustomerAudienceRetargeting»1x1»TextLink»LIA»DT»CPM»RT»W»NA»SS»NA»39684019-11000</v></cell><cell r="D3524" t="str"><v>43306224010415</v></cell><cell r="E3524" t="str"><v>43306103043341-11000</v></cell><cell r="F3524" t="str"><v>DCM</v></cell><cell r="G3524" t="str"><v>https://azure.microsoft.com/de-de/free/virtual-machines/search/</v></cell></row><row r="3524"><cell r="K3524" t="str"><v>July</v></cell><cell r="L3524"><v>43309</v></cell><cell r="M3524" t="str"><v>Tier 1</v></cell><cell r="N3524" t="str"><v>EMEA</v></cell><cell r="O3524" t="str"><v>Germany</v></cell><cell r="P3524" t="str"><v>Trial</v></cell><cell r="Q3524" t="str"><v>Social</v></cell><cell r="R3524" t="str"><v>Azure</v></cell><cell r="S3524" t="str"><v>Apps & Infra</v></cell><cell r="T3524" t="str"><v>Developers & ITI's</v></cell><cell r="U3524" t="str"><v>DEV-ITP-AZR-FB|LinkAd|CustomerAudienceRetargeting</v></cell><cell r="V3524" t="str"><v>Retargeting</v></cell><cell r="W3524" t="str"><v>Link Ad</v></cell><cell r="X3524" t="str"><v>1x1</v></cell></row><row r="3524"><cell r="AA3524"><v>43306</v></cell><cell r="AB3524" t="str"><v>DEU_gaPMG_AZR_AZR_Q1_19_Trial-Social- 39684</v></cell><cell r="AC3524"><v>21359477</v></cell><cell r="AD3524"><v>720194</v></cell><cell r="AE3524" t="str"><v>Facebook</v></cell><cell r="AF3524"><v>3654128</v></cell><cell r="AG3524" t="str"><v>Facebook»DEV-ITP-AZR-FB|LinkAd|CustomerAudienceRetargeting»1x1»TextLink»LIA»DT»CPM»RT»W»NA»SS»NA»39684019-11000</v></cell><cell r="AH3524"><v>224010415</v></cell><cell r="AI3524" t="str"><v>AzurePlatform_FreeAcctRetargetingVMFB-750Hrs-ChD_DEU_1200x628_SOC_Plat_DE_Free Account_Standard_NA_SNU_T1_1</v></cell><cell r="AJ3524"><v>103043341</v></cell></row><row r="3525"><cell r="C3525" t="str"><v>43306Facebook»Developers/ITPros-Azure Direct-Sponsored Post-Canvas-FBCTCcanvaspage-BuyNowCTA-Img3_FBCTCBrandinMotion_FRA_14sec»1x1»Canvas»SOC»ALL»CPC»BT»D»UNK»SS»NA»Trials</v></cell><cell r="D3525" t="str"><v>43306224416918</v></cell><cell r="E3525" t="str"><v>43306103256571Trials</v></cell><cell r="F3525" t="str"><v>DCM</v></cell><cell r="G3525" t="str"><v>https://azure.microsoft.com/fr-fr/pricing/purchase-options/</v></cell></row><row r="3525"><cell r="K3525" t="str"><v>July</v></cell><cell r="L3525"><v>43309</v></cell><cell r="M3525" t="str"><v>Tier 1</v></cell><cell r="N3525" t="str"><v>EMEA</v></cell><cell r="O3525" t="str"><v>France</v></cell><cell r="P3525" t="str"><v>Trial</v></cell><cell r="Q3525" t="str"><v>Social</v></cell><cell r="R3525" t="str"><v>Azure</v></cell><cell r="S3525" t="str"><v>Apps & Infra</v></cell><cell r="T3525" t="str"><v>Developers & ITI's</v></cell><cell r="U3525" t="str"><v>Developers/ITPros-Azure Direct-Sponsored Post-Canvas-FBCTCcanvaspage-BuyNowCTA-Img3_FBCTCBrandinMotion_FRA_14sec</v></cell><cell r="V3525" t="str"><v>Behavioral Targeting</v></cell><cell r="W3525" t="str"><v>Social</v></cell><cell r="X3525" t="str"><v>1x1</v></cell></row><row r="3525"><cell r="AA3525"><v>43306</v></cell><cell r="AB3525" t="str"><v>FRA_gaPMG_AZR_AZR_Q1_19_AzureDirect-Trial-Social</v></cell><cell r="AC3525"><v>21356941</v></cell><cell r="AD3525"><v>720193</v></cell><cell r="AE3525" t="str"><v>Facebook</v></cell><cell r="AF3525"><v>3654128</v></cell><cell r="AG3525" t="str"><v>Facebook»Developers/ITPros-Azure Direct-Sponsored Post-Canvas-FBCTCcanvaspage-BuyNowCTA-Img3_FBCTCBrandinMotion_FRA_14sec»1x1»Canvas»SOC»ALL»CPC»BT»D»UNK»SS»NA»Trials</v></cell><cell r="AH3525"><v>224416918</v></cell><cell r="AI3525" t="str"><v>AZR_FBCTCcanvaspage-BuyNowCTA-Img3_FRA_1080x162_SOC_AZRDirect_French_NA_Facebook_SBAN_BN_T3_1</v></cell><cell r="AJ3525"><v>103256571</v></cell></row><row r="3526"><cell r="C3526" t="str"><v>43306Facebook»Developers/ITPros-Azure Direct-Sponsored Post-Canvas-FBCTCcanvaspage-StartFreeCTA-Img2_FBCTCBrandinMotion_FRA_14sec»1x1»Canvas»SOC»ALL»CPC»BT»D»UNK»SS»NA»Trials</v></cell><cell r="D3526" t="str"><v>43306224560872</v></cell><cell r="E3526" t="str"><v>43306103259958Trials</v></cell><cell r="F3526" t="str"><v>DCM</v></cell><cell r="G3526" t="str"><v>https://signup.azure.com/signup?offer=ms-azr-0044p&appId=102&ref=paidmedia-social-fb&redirectURL=https%3a%2f%2fazure.microsoft.com%2ffr-fr%2fget-started%2fwelcome-to-azure%2f&l=fr-fr&correlationId=ead86c34-1f10-49dd-a72b-6918462a2cbf</v></cell></row><row r="3526"><cell r="K3526" t="str"><v>July</v></cell><cell r="L3526"><v>43309</v></cell><cell r="M3526" t="str"><v>Tier 1</v></cell><cell r="N3526" t="str"><v>EMEA</v></cell><cell r="O3526" t="str"><v>France</v></cell><cell r="P3526" t="str"><v>Trial</v></cell><cell r="Q3526" t="str"><v>Social</v></cell><cell r="R3526" t="str"><v>Azure</v></cell><cell r="S3526" t="str"><v>Apps & Infra</v></cell><cell r="T3526" t="str"><v>Developers & ITI's</v></cell><cell r="U3526" t="str"><v>Developers/ITPros-Azure Direct-Sponsored Post-Canvas-FBCTCcanvaspage-StartFreeCTA-Img2_FBCTCBrandinMotion_FRA_14sec</v></cell><cell r="V3526" t="str"><v>Behavioral Targeting</v></cell><cell r="W3526" t="str"><v>Social</v></cell><cell r="X3526" t="str"><v>1x1</v></cell></row><row r="3526"><cell r="AA3526"><v>43306</v></cell><cell r="AB3526" t="str"><v>FRA_gaPMG_AZR_AZR_Q1_19_AzureDirect-Trial-Social</v></cell><cell r="AC3526"><v>21356941</v></cell><cell r="AD3526"><v>720193</v></cell><cell r="AE3526" t="str"><v>Facebook</v></cell><cell r="AF3526"><v>3654128</v></cell><cell r="AG3526" t="str"><v>Facebook»Developers/ITPros-Azure Direct-Sponsored Post-Canvas-FBCTCcanvaspage-StartFreeCTA-Img2_FBCTCBrandinMotion_FRA_14sec»1x1»Canvas»SOC»ALL»CPC»BT»D»UNK»SS»NA»Trials</v></cell><cell r="AH3526"><v>224560872</v></cell><cell r="AI3526" t="str"><v>AZR_FBCTCcanvaspage-StartFreeCTA-Img2_FRA_1080x143_SOC_AZRDirect_French_NA_Facebook_SBAN_BN_T2_1</v></cell><cell r="AJ3526"><v>103259958</v></cell></row><row r="3527"><cell r="C3527" t="str"><v>43306Facebook»Developers/ITPros-Azure Direct-Sponsored Post-Link Ad-FreeAcctRetargetingFB-GlobalAlt-ChB»1x1»SocialBan»SOC»ALL»CPC»BT»D»UNK»SS»NA»Trials</v></cell><cell r="D3527" t="str"><v>43306224560845</v></cell><cell r="E3527" t="str"><v>43306103259520Trials</v></cell><cell r="F3527" t="str"><v>DCM</v></cell><cell r="G3527" t="str"><v>https://azure.microsoft.com/fr-fr/free/search/</v></cell></row><row r="3527"><cell r="K3527" t="str"><v>July</v></cell><cell r="L3527"><v>43309</v></cell><cell r="M3527" t="str"><v>Tier 1</v></cell><cell r="N3527" t="str"><v>EMEA</v></cell><cell r="O3527" t="str"><v>France</v></cell><cell r="P3527" t="str"><v>Trial</v></cell><cell r="Q3527" t="str"><v>Social</v></cell><cell r="R3527" t="str"><v>Azure</v></cell><cell r="S3527" t="str"><v>Apps & Infra</v></cell><cell r="T3527" t="str"><v>Developers & ITI's</v></cell><cell r="U3527" t="str"><v>Developers/ITPros-Azure Direct-Sponsored Post-Link Ad-FreeAcctRetargetingFB-GlobalAlt-ChB</v></cell><cell r="V3527" t="str"><v>Behavioral Targeting</v></cell><cell r="W3527" t="str"><v>Social</v></cell><cell r="X3527" t="str"><v>1x1</v></cell></row><row r="3527"><cell r="AA3527"><v>43306</v></cell><cell r="AB3527" t="str"><v>FRA_gaPMG_AZR_AZR_Q1_19_AzureDirect-Trial-Social</v></cell><cell r="AC3527"><v>21356941</v></cell><cell r="AD3527"><v>720193</v></cell><cell r="AE3527" t="str"><v>Facebook</v></cell><cell r="AF3527"><v>3654128</v></cell><cell r="AG3527" t="str"><v>Facebook»Developers/ITPros-Azure Direct-Sponsored Post-Link Ad-FreeAcctRetargetingFB-GlobalAlt-ChB»1x1»SocialBan»SOC»ALL»CPC»BT»D»UNK»SS»NA»Trials</v></cell><cell r="AH3527"><v>224560845</v></cell><cell r="AI3527" t="str"><v>AZR_FreeAcctRetargetingFB-GlobalAlt-ChB_FRA_1200x628_SOC_AZRDirect_French_NA_Facebook_SBAN_SINU_T2_1</v></cell><cell r="AJ3527"><v>103259520</v></cell></row><row r="3528"><cell r="C3528" t="str"><v>43306Facebook»Developers/ITPros-Azure Direct-Sponsored Post-Link Ad-FreeAcctRetargetingOSSFB-Text-ChF»1x1»SocialBan»SOC»ALL»CPC»BT»D»UNK»SS»NA»Trials</v></cell><cell r="D3528" t="str"><v>43306224560839</v></cell><cell r="E3528" t="str"><v>43306103257810Trials</v></cell><cell r="F3528" t="str"><v>DCM</v></cell><cell r="G3528" t="str"><v>https://azure.microsoft.com/fr-fr/free/open-source/search/</v></cell></row><row r="3528"><cell r="K3528" t="str"><v>July</v></cell><cell r="L3528"><v>43309</v></cell><cell r="M3528" t="str"><v>Tier 1</v></cell><cell r="N3528" t="str"><v>EMEA</v></cell><cell r="O3528" t="str"><v>France</v></cell><cell r="P3528" t="str"><v>Trial</v></cell><cell r="Q3528" t="str"><v>Social</v></cell><cell r="R3528" t="str"><v>Azure</v></cell><cell r="S3528" t="str"><v>Apps & Infra</v></cell><cell r="T3528" t="str"><v>Developers & ITI's</v></cell><cell r="U3528" t="str"><v>Developers/ITPros-Azure Direct-Sponsored Post-Link Ad-FreeAcctRetargetingOSSFB-Text-ChF</v></cell><cell r="V3528" t="str"><v>Behavioral Targeting</v></cell><cell r="W3528" t="str"><v>Social</v></cell><cell r="X3528" t="str"><v>1x1</v></cell></row><row r="3528"><cell r="AA3528"><v>43306</v></cell><cell r="AB3528" t="str"><v>FRA_gaPMG_AZR_AZR_Q1_19_AzureDirect-Trial-Social</v></cell><cell r="AC3528"><v>21356941</v></cell><cell r="AD3528"><v>720193</v></cell><cell r="AE3528" t="str"><v>Facebook</v></cell><cell r="AF3528"><v>3654128</v></cell><cell r="AG3528" t="str"><v>Facebook»Developers/ITPros-Azure Direct-Sponsored Post-Link Ad-FreeAcctRetargetingOSSFB-Text-ChF»1x1»SocialBan»SOC»ALL»CPC»BT»D»UNK»SS»NA»Trials</v></cell><cell r="AH3528"><v>224560839</v></cell><cell r="AI3528" t="str"><v>AZR_FreeAcctRetargetingOSSFB-Text-ChF_FRA_1200x628_SOC_AZRDirect_French_NA_Facebook_SBAN_SINU_T1_1</v></cell><cell r="AJ3528"><v>103257810</v></cell></row><row r="3529"><cell r="C3529" t="str"><v>43306Facebook»Developers/ITPros-Azure Direct-Sponsored Post-Link Ad-FreeAcctRetargetingVMFB-750Hrs-ChD»1x1»SocialBan»SOC»ALL»CPC»BT»D»UNK»SS»NA»Trials</v></cell><cell r="D3529" t="str"><v>43306224560836</v></cell><cell r="E3529" t="str"><v>43306103259010Trials</v></cell><cell r="F3529" t="str"><v>DCM</v></cell><cell r="G3529" t="str"><v>https://azure.microsoft.com/fr-fr/free/virtual-machines/search/</v></cell></row><row r="3529"><cell r="K3529" t="str"><v>July</v></cell><cell r="L3529"><v>43309</v></cell><cell r="M3529" t="str"><v>Tier 1</v></cell><cell r="N3529" t="str"><v>EMEA</v></cell><cell r="O3529" t="str"><v>France</v></cell><cell r="P3529" t="str"><v>Trial</v></cell><cell r="Q3529" t="str"><v>Social</v></cell><cell r="R3529" t="str"><v>Azure</v></cell><cell r="S3529" t="str"><v>Apps & Infra</v></cell><cell r="T3529" t="str"><v>Developers & ITI's</v></cell><cell r="U3529" t="str"><v>Developers/ITPros-Azure Direct-Sponsored Post-Link Ad-FreeAcctRetargetingVMFB-750Hrs-ChD</v></cell><cell r="V3529" t="str"><v>Behavioral Targeting</v></cell><cell r="W3529" t="str"><v>Social</v></cell><cell r="X3529" t="str"><v>1x1</v></cell></row><row r="3529"><cell r="AA3529"><v>43306</v></cell><cell r="AB3529" t="str"><v>FRA_gaPMG_AZR_AZR_Q1_19_AzureDirect-Trial-Social</v></cell><cell r="AC3529"><v>21356941</v></cell><cell r="AD3529"><v>720193</v></cell><cell r="AE3529" t="str"><v>Facebook</v></cell><cell r="AF3529"><v>3654128</v></cell><cell r="AG3529" t="str"><v>Facebook»Developers/ITPros-Azure Direct-Sponsored Post-Link Ad-FreeAcctRetargetingVMFB-750Hrs-ChD»1x1»SocialBan»SOC»ALL»CPC»BT»D»UNK»SS»NA»Trials</v></cell><cell r="AH3529"><v>224560836</v></cell><cell r="AI3529" t="str"><v>AZR_FreeAcctRetargetingVMFB-750Hrs-ChD_FRA_1200x628_SOC_AZRDirect_French_NA_Facebook_SBAN_SINU_T1_1</v></cell><cell r="AJ3529"><v>103259010</v></cell></row><row r="3530"><cell r="C3530" t="str"><v>43306Facebook»Developers/ITPros-Azure Direct-Sponsored Post-Video Ad-FBCTCBasicMotion_FRA_10s_RTG Landing Page»1x1»05s»SOC»ALL»CPC»BT»D»UNK»SS»NA»Trials</v></cell><cell r="D3530" t="str"><v>43306224416915</v></cell><cell r="E3530" t="str"><v>43306103376981Trials</v></cell><cell r="F3530" t="str"><v>DCM</v></cell></row><row r="3530"><cell r="K3530" t="str"><v>July</v></cell><cell r="L3530"><v>43309</v></cell><cell r="M3530" t="str"><v>Tier 1</v></cell><cell r="N3530" t="str"><v>EMEA</v></cell><cell r="O3530" t="str"><v>France</v></cell><cell r="P3530" t="str"><v>Trial</v></cell><cell r="Q3530" t="str"><v>Social</v></cell><cell r="R3530" t="str"><v>Azure</v></cell><cell r="S3530" t="str"><v>Apps & Infra</v></cell><cell r="T3530" t="str"><v>Developers & ITI's</v></cell><cell r="U3530" t="str"><v>Developers/ITPros-Azure Direct-Sponsored Post-Video Ad-FBCTCBasicMotion_FRA_10s_RTG Landing Page</v></cell><cell r="V3530" t="str"><v>Behavioral Targeting</v></cell><cell r="W3530" t="str"><v>Social</v></cell><cell r="X3530" t="str"><v>1x1</v></cell></row><row r="3530"><cell r="AA3530"><v>43306</v></cell><cell r="AB3530" t="str"><v>FRA_gaPMG_AZR_AZR_Q1_19_AzureDirect-Trial-Social</v></cell><cell r="AC3530"><v>21356941</v></cell><cell r="AD3530"><v>720193</v></cell><cell r="AE3530" t="str"><v>Facebook</v></cell><cell r="AF3530"><v>3654128</v></cell><cell r="AG3530" t="str"><v>Facebook»Developers/ITPros-Azure Direct-Sponsored Post-Video Ad-FBCTCBasicMotion_FRA_10s_RTG Landing Page»1x1»05s»SOC»ALL»CPC»BT»D»UNK»SS»NA»Trials</v></cell><cell r="AH3530"><v>224416915</v></cell><cell r="AI3530" t="str"><v>AZR_FBCTCBasicMotion_FRA_10s_VIA_AZRDirect_French_NA_Facebook_STAN_TIN_T1_1</v></cell><cell r="AJ3530"><v>103376981</v></cell></row><row r="3531"><cell r="C3531" t="str"><v>43306Facebook»Developers/ITPros-Azure Direct-Sponsored Post-Video Ad-FBCTCBenefit2inMotion_FRA_14s_RTG Landing Page»1x1»06s»SOC»ALL»CPC»BT»D»UNK»SS»NA»Trials</v></cell><cell r="D3531" t="str"><v>43306224560875</v></cell><cell r="E3531" t="str"><v>43306103259766Trials</v></cell><cell r="F3531" t="str"><v>DCM</v></cell><cell r="G3531" t="str"><v>https://signup.azure.com/signup?offer=ms-azr-0044p&appId=102&ref=paidmedia-social-fb&redirectURL=https:%2F%2Fazure.microsoft.com%2Ffr-fr%2Fget-started%2Fwelcome-to-azure%2F&l=fr-fr&correlationId=ead86c34-1f10-49dd-a72b-6918462a2cbf</v></cell></row><row r="3531"><cell r="K3531" t="str"><v>July</v></cell><cell r="L3531"><v>43309</v></cell><cell r="M3531" t="str"><v>Tier 1</v></cell><cell r="N3531" t="str"><v>EMEA</v></cell><cell r="O3531" t="str"><v>France</v></cell><cell r="P3531" t="str"><v>Trial</v></cell><cell r="Q3531" t="str"><v>Social</v></cell><cell r="R3531" t="str"><v>Azure</v></cell><cell r="S3531" t="str"><v>Apps & Infra</v></cell><cell r="T3531" t="str"><v>Developers & ITI's</v></cell><cell r="U3531" t="str"><v>Developers/ITPros-Azure Direct-Sponsored Post-Video Ad-FBCTCBenefit2inMotion_FRA_14s_RTG Landing Page</v></cell><cell r="V3531" t="str"><v>Behavioral Targeting</v></cell><cell r="W3531" t="str"><v>Social</v></cell><cell r="X3531" t="str"><v>1x1</v></cell></row><row r="3531"><cell r="AA3531"><v>43306</v></cell><cell r="AB3531" t="str"><v>FRA_gaPMG_AZR_AZR_Q1_19_AzureDirect-Trial-Social</v></cell><cell r="AC3531"><v>21356941</v></cell><cell r="AD3531"><v>720193</v></cell><cell r="AE3531" t="str"><v>Facebook</v></cell><cell r="AF3531"><v>3654128</v></cell><cell r="AG3531" t="str"><v>Facebook»Developers/ITPros-Azure Direct-Sponsored Post-Video Ad-FBCTCBenefit2inMotion_FRA_14s_RTG Landing Page»1x1»06s»SOC»ALL»CPC»BT»D»UNK»SS»NA»Trials</v></cell><cell r="AH3531"><v>224560875</v></cell><cell r="AI3531" t="str"><v>AZR_FBCTCBenefit2inMotion_FRA_14s_VIA_AZRDirect_French_NA_Facebook_STAN_TIN_T4_1</v></cell><cell r="AJ3531"><v>103259766</v></cell></row><row r="3532"><cell r="C3532" t="str"><v>43306Facebook»Developers/ITPros-Azure Direct-Sponsored Post-Video Ad-FBCTCBrandinMotion_FRA_12s_RTG Landing Page»1x1»05s»SOC»ALL»CPC»BT»D»UNK»SS»NA»Trials</v></cell><cell r="D3532" t="str"><v>43306224560863</v></cell><cell r="E3532" t="str"><v>43306103256577Trials</v></cell><cell r="F3532" t="str"><v>DCM</v></cell></row><row r="3532"><cell r="K3532" t="str"><v>July</v></cell><cell r="L3532"><v>43309</v></cell><cell r="M3532" t="str"><v>Tier 1</v></cell><cell r="N3532" t="str"><v>EMEA</v></cell><cell r="O3532" t="str"><v>France</v></cell><cell r="P3532" t="str"><v>Trial</v></cell><cell r="Q3532" t="str"><v>Social</v></cell><cell r="R3532" t="str"><v>Azure</v></cell><cell r="S3532" t="str"><v>Apps & Infra</v></cell><cell r="T3532" t="str"><v>Developers & ITI's</v></cell><cell r="U3532" t="str"><v>Developers/ITPros-Azure Direct-Sponsored Post-Video Ad-FBCTCBrandinMotion_FRA_12s_RTG Landing Page</v></cell><cell r="V3532" t="str"><v>Behavioral Targeting</v></cell><cell r="W3532" t="str"><v>Social</v></cell><cell r="X3532" t="str"><v>1x1</v></cell></row><row r="3532"><cell r="AA3532"><v>43306</v></cell><cell r="AB3532" t="str"><v>FRA_gaPMG_AZR_AZR_Q1_19_AzureDirect-Trial-Social</v></cell><cell r="AC3532"><v>21356941</v></cell><cell r="AD3532"><v>720193</v></cell><cell r="AE3532" t="str"><v>Facebook</v></cell><cell r="AF3532"><v>3654128</v></cell><cell r="AG3532" t="str"><v>Facebook»Developers/ITPros-Azure Direct-Sponsored Post-Video Ad-FBCTCBrandinMotion_FRA_12s_RTG Landing Page»1x1»05s»SOC»ALL»CPC»BT»D»UNK»SS»NA»Trials</v></cell><cell r="AH3532"><v>224560863</v></cell><cell r="AI3532" t="str"><v>AZR_FBCTCBrandinMotion_FRA_12s_VIA_AZRDirect_French_NA_Facebook_STAN_TIN_T2_1</v></cell><cell r="AJ3532"><v>103256577</v></cell></row><row r="3533"><cell r="C3533" t="str"><v>43306Facebook»Developers/ITPros-Azure Direct-Sponsored Post-Link Ad-FreeAcctRetargetingFB-Animated-ChC»1x1»SocialBan»SOC»ALL»CPC»BT»D»UNK»SS»NA»Trials</v></cell><cell r="D3533" t="str"><v>43306224560848</v></cell><cell r="E3533" t="str"><v>43306103259775Trials</v></cell><cell r="F3533" t="str"><v>DCM</v></cell><cell r="G3533" t="str"><v>https://azure.microsoft.com/fr-fr/free/search/</v></cell></row><row r="3533"><cell r="K3533" t="str"><v>July</v></cell><cell r="L3533"><v>43309</v></cell><cell r="M3533" t="str"><v>Tier 1</v></cell><cell r="N3533" t="str"><v>EMEA</v></cell><cell r="O3533" t="str"><v>France</v></cell><cell r="P3533" t="str"><v>Trial</v></cell><cell r="Q3533" t="str"><v>Social</v></cell><cell r="R3533" t="str"><v>Azure</v></cell><cell r="S3533" t="str"><v>Apps & Infra</v></cell><cell r="T3533" t="str"><v>Developers & ITI's</v></cell><cell r="U3533" t="str"><v>Developers/ITPros-Azure Direct-Sponsored Post-Link Ad-FreeAcctRetargetingFB-Animated-ChC</v></cell><cell r="V3533" t="str"><v>Behavioral Targeting</v></cell><cell r="W3533" t="str"><v>Social</v></cell><cell r="X3533" t="str"><v>1x1</v></cell></row><row r="3533"><cell r="AA3533"><v>43306</v></cell><cell r="AB3533" t="str"><v>FRA_gaPMG_AZR_AZR_Q1_19_AzureDirect-Trial-Social</v></cell><cell r="AC3533"><v>21356941</v></cell><cell r="AD3533"><v>720193</v></cell><cell r="AE3533" t="str"><v>Facebook</v></cell><cell r="AF3533"><v>3654128</v></cell><cell r="AG3533" t="str"><v>Facebook»Developers/ITPros-Azure Direct-Sponsored Post-Link Ad-FreeAcctRetargetingFB-Animated-ChC»1x1»SocialBan»SOC»ALL»CPC»BT»D»UNK»SS»NA»Trials</v></cell><cell r="AH3533"><v>224560848</v></cell><cell r="AI3533" t="str"><v>AZR_reeAcctRetargetingFB-Animated-ChC_FRA_1200x628_SOC_AZRDirect_French_NA_Facebook_SBAN_SINU_T3_1</v></cell><cell r="AJ3533"><v>103259775</v></cell></row><row r="3534"><cell r="C3534" t="str"><v>43306Facebook»Developers/ITPros-Azure Direct-Sponsored Post-Link Ad-FreeAcctRetargetingOSSFB-Logos-ChG»1x1»SocialBan»SOC»ALL»CPC»BT»D»UNK»SS»NA»Trials</v></cell><cell r="D3534" t="str"><v>43306224560842</v></cell><cell r="E3534" t="str"><v>43306103259769Trials</v></cell><cell r="F3534" t="str"><v>DCM</v></cell><cell r="G3534" t="str"><v>https://azure.microsoft.com/fr-fr/free/open-source/search/</v></cell></row><row r="3534"><cell r="K3534" t="str"><v>July</v></cell><cell r="L3534"><v>43309</v></cell><cell r="M3534" t="str"><v>Tier 1</v></cell><cell r="N3534" t="str"><v>EMEA</v></cell><cell r="O3534" t="str"><v>France</v></cell><cell r="P3534" t="str"><v>Trial</v></cell><cell r="Q3534" t="str"><v>Social</v></cell><cell r="R3534" t="str"><v>Azure</v></cell><cell r="S3534" t="str"><v>Apps & Infra</v></cell><cell r="T3534" t="str"><v>Developers & ITI's</v></cell><cell r="U3534" t="str"><v>Developers/ITPros-Azure Direct-Sponsored Post-Link Ad-FreeAcctRetargetingOSSFB-Logos-ChG</v></cell><cell r="V3534" t="str"><v>Behavioral Targeting</v></cell><cell r="W3534" t="str"><v>Social</v></cell><cell r="X3534" t="str"><v>1x1</v></cell></row><row r="3534"><cell r="AA3534"><v>43306</v></cell><cell r="AB3534" t="str"><v>FRA_gaPMG_AZR_AZR_Q1_19_AzureDirect-Trial-Social</v></cell><cell r="AC3534"><v>21356941</v></cell><cell r="AD3534"><v>720193</v></cell><cell r="AE3534" t="str"><v>Facebook</v></cell><cell r="AF3534"><v>3654128</v></cell><cell r="AG3534" t="str"><v>Facebook»Developers/ITPros-Azure Direct-Sponsored Post-Link Ad-FreeAcctRetargetingOSSFB-Logos-ChG»1x1»SocialBan»SOC»ALL»CPC»BT»D»UNK»SS»NA»Trials</v></cell><cell r="AH3534"><v>224560842</v></cell><cell r="AI3534" t="str"><v>AZR_FreeAcctRetargetingOSSFB-Logos-ChG_FRA_1200x628_SOC_AZRDirect_French_NA_Facebook_SBAN_SINU_T2_1</v></cell><cell r="AJ3534"><v>103259769</v></cell></row><row r="3535"><cell r="C3535" t="str"><v>43306Facebook»Developers/ITPros-Azure Direct-Sponsored Post-Link Ad-FreeAcctRetargetingVMFB-OnDemand-ChE»1x1»SocialBan»SOC»ALL»CPC»BT»D»UNK»SS»NA»Trials</v></cell><cell r="D3535" t="str"><v>43306224560833</v></cell><cell r="E3535" t="str"><v>43306103376990Trials</v></cell><cell r="F3535" t="str"><v>DCM</v></cell><cell r="G3535" t="str"><v>https://azure.microsoft.com/fr-fr/free/virtual-machines/search/</v></cell></row><row r="3535"><cell r="K3535" t="str"><v>July</v></cell><cell r="L3535"><v>43309</v></cell><cell r="M3535" t="str"><v>Tier 1</v></cell><cell r="N3535" t="str"><v>EMEA</v></cell><cell r="O3535" t="str"><v>France</v></cell><cell r="P3535" t="str"><v>Trial</v></cell><cell r="Q3535" t="str"><v>Social</v></cell><cell r="R3535" t="str"><v>Azure</v></cell><cell r="S3535" t="str"><v>Apps & Infra</v></cell><cell r="T3535" t="str"><v>Developers & ITI's</v></cell><cell r="U3535" t="str"><v>Developers/ITPros-Azure Direct-Sponsored Post-Link Ad-FreeAcctRetargetingVMFB-OnDemand-ChE</v></cell><cell r="V3535" t="str"><v>Behavioral Targeting</v></cell><cell r="W3535" t="str"><v>Social</v></cell><cell r="X3535" t="str"><v>1x1</v></cell></row><row r="3535"><cell r="AA3535"><v>43306</v></cell><cell r="AB3535" t="str"><v>FRA_gaPMG_AZR_AZR_Q1_19_AzureDirect-Trial-Social</v></cell><cell r="AC3535"><v>21356941</v></cell><cell r="AD3535"><v>720193</v></cell><cell r="AE3535" t="str"><v>Facebook</v></cell><cell r="AF3535"><v>3654128</v></cell><cell r="AG3535" t="str"><v>Facebook»Developers/ITPros-Azure Direct-Sponsored Post-Link Ad-FreeAcctRetargetingVMFB-OnDemand-ChE»1x1»SocialBan»SOC»ALL»CPC»BT»D»UNK»SS»NA»Trials</v></cell><cell r="AH3535"><v>224560833</v></cell><cell r="AI3535" t="str"><v>AZR_FreeAcctRetargetingVMFB-OnDemand-ChE_FRA_1200x628_SOC_AZRDirect_French_NA_Facebook_SBAN_SINU_T2_1</v></cell><cell r="AJ3535"><v>103376990</v></cell></row><row r="3536"><cell r="C3536" t="str"><v>43306Facebook»Audience & Interest Targeting»1x1»SocialBan»LIA»DT»CPC»AUT»W»NA»SS»NA»Basic Motion</v></cell><cell r="D3536" t="str"><v>43306224399962</v></cell><cell r="E3536" t="str"><v>43306103235146Motion</v></cell><cell r="F3536" t="str"><v>DCM</v></cell><cell r="G3536" t="str"><v>https://signup.azure.com/signup?offer=ms-azr-0044p&appId=102&ref=paidmedia-social-fb&redirectURL=https%3a%2f%2fazure.microsoft.com%2fen-gb%2fget-started%2fwelcome-to-azure%2f&l=en-gb&correlationId=ead86c34-1f10-49dd-a72b-6918462a2cbf</v></cell></row><row r="3536"><cell r="K3536" t="str"><v>July</v></cell><cell r="L3536"><v>43309</v></cell><cell r="M3536" t="str"><v>Tier 1</v></cell><cell r="N3536" t="str"><v>EMEA</v></cell><cell r="O3536" t="str"><v>United Kingdom</v></cell><cell r="P3536" t="str"><v>Trial</v></cell><cell r="Q3536" t="str"><v>Social</v></cell><cell r="R3536" t="str"><v>Azure</v></cell><cell r="S3536" t="str"><v>Apps & Infra</v></cell><cell r="T3536" t="str"><v>Developers & ITI's</v></cell><cell r="U3536" t="str"><v>Audience & Interest Targeting</v></cell><cell r="V3536" t="str"><v>Audience Targeting</v></cell><cell r="W3536" t="str"><v>Link Ad</v></cell><cell r="X3536" t="str"><v>1x1</v></cell></row><row r="3536"><cell r="AA3536"><v>43306</v></cell><cell r="AB3536" t="str"><v>GBR_gaPMG_CE_AZR_Q1_19_Trial-Social</v></cell><cell r="AC3536"><v>21337013</v></cell><cell r="AD3536"><v>720196</v></cell><cell r="AE3536" t="str"><v>Facebook</v></cell><cell r="AF3536"><v>3654128</v></cell><cell r="AG3536" t="str"><v>Facebook»Audience & Interest Targeting»1x1»SocialBan»LIA»DT»CPC»AUT»W»NA»SS»NA»Basic Motion</v></cell><cell r="AH3536"><v>224399962</v></cell><cell r="AI3536" t="str"><v>AzurePlatform_FBCTCcanvaspage-StartFreeCTA-Img2_GBR_1080x143 _SOC_Plat_English_NA_Standard_NA_NA_T2_1</v></cell><cell r="AJ3536"><v>103235146</v></cell></row><row r="3537"><cell r="C3537" t="str"><v>43306Facebook»Audience & Interest Targeting»1x1»SocialBan»LIA»DT»CPC»AUT»W»NA»SS»NA»Benefit 2 in Motion</v></cell><cell r="D3537" t="str"><v>43306224334170</v></cell><cell r="E3537" t="str"><v>43306103235146Motion</v></cell><cell r="F3537" t="str"><v>DCM</v></cell><cell r="G3537" t="str"><v>https://signup.azure.com/signup?offer=ms-azr-0044p&appId=102&ref=paidmedia-social-fb&redirectURL=https%3a%2f%2fazure.microsoft.com%2fen-gb%2fget-started%2fwelcome-to-azure%2f&l=en-gb&correlationId=ead86c34-1f10-49dd-a72b-6918462a2cbf</v></cell></row><row r="3537"><cell r="K3537" t="str"><v>July</v></cell><cell r="L3537"><v>43309</v></cell><cell r="M3537" t="str"><v>Tier 1</v></cell><cell r="N3537" t="str"><v>EMEA</v></cell><cell r="O3537" t="str"><v>United Kingdom</v></cell><cell r="P3537" t="str"><v>Trial</v></cell><cell r="Q3537" t="str"><v>Social</v></cell><cell r="R3537" t="str"><v>Azure</v></cell><cell r="S3537" t="str"><v>Apps & Infra</v></cell><cell r="T3537" t="str"><v>Developers & ITI's</v></cell><cell r="U3537" t="str"><v>Audience & Interest Targeting</v></cell><cell r="V3537" t="str"><v>Audience Targeting</v></cell><cell r="W3537" t="str"><v>Link Ad</v></cell><cell r="X3537" t="str"><v>1x1</v></cell></row><row r="3537"><cell r="AA3537"><v>43306</v></cell><cell r="AB3537" t="str"><v>GBR_gaPMG_CE_AZR_Q1_19_Trial-Social</v></cell><cell r="AC3537"><v>21337013</v></cell><cell r="AD3537"><v>720196</v></cell><cell r="AE3537" t="str"><v>Facebook</v></cell><cell r="AF3537"><v>3654128</v></cell><cell r="AG3537" t="str"><v>Facebook»Audience & Interest Targeting»1x1»SocialBan»LIA»DT»CPC»AUT»W»NA»SS»NA»Benefit 2 in Motion</v></cell><cell r="AH3537"><v>224334170</v></cell><cell r="AI3537" t="str"><v>AzurePlatform_FBCTCcanvaspage-StartFreeCTA-Img2_GBR_1080x143 _SOC_Plat_English_NA_Standard_NA_NA_T2_1</v></cell><cell r="AJ3537"><v>103235146</v></cell></row><row r="3538"><cell r="C3538" t="str"><v>43306Facebook»Audience & Interest Targeting»1x1»SocialBan»LIA»DT»CPC»AUT»W»NA»SS»NA»Brand in Motion</v></cell><cell r="D3538" t="str"><v>43306224549481</v></cell><cell r="E3538" t="str"><v>43306103235146Motion</v></cell><cell r="F3538" t="str"><v>DCM</v></cell><cell r="G3538" t="str"><v>https://signup.azure.com/signup?offer=ms-azr-0044p&appId=102&ref=paidmedia-social-fb&redirectURL=https%3a%2f%2fazure.microsoft.com%2fen-gb%2fget-started%2fwelcome-to-azure%2f&l=en-gb&correlationId=ead86c34-1f10-49dd-a72b-6918462a2cbf</v></cell></row><row r="3538"><cell r="K3538" t="str"><v>July</v></cell><cell r="L3538"><v>43309</v></cell><cell r="M3538" t="str"><v>Tier 1</v></cell><cell r="N3538" t="str"><v>EMEA</v></cell><cell r="O3538" t="str"><v>United Kingdom</v></cell><cell r="P3538" t="str"><v>Trial</v></cell><cell r="Q3538" t="str"><v>Social</v></cell><cell r="R3538" t="str"><v>Azure</v></cell><cell r="S3538" t="str"><v>Apps & Infra</v></cell><cell r="T3538" t="str"><v>Developers & ITI's</v></cell><cell r="U3538" t="str"><v>Audience & Interest Targeting</v></cell><cell r="V3538" t="str"><v>Audience Targeting</v></cell><cell r="W3538" t="str"><v>Link Ad</v></cell><cell r="X3538" t="str"><v>1x1</v></cell></row><row r="3538"><cell r="AA3538"><v>43306</v></cell><cell r="AB3538" t="str"><v>GBR_gaPMG_CE_AZR_Q1_19_Trial-Social</v></cell><cell r="AC3538"><v>21337013</v></cell><cell r="AD3538"><v>720196</v></cell><cell r="AE3538" t="str"><v>Facebook</v></cell><cell r="AF3538"><v>3654128</v></cell><cell r="AG3538" t="str"><v>Facebook»Audience & Interest Targeting»1x1»SocialBan»LIA»DT»CPC»AUT»W»NA»SS»NA»Brand in Motion</v></cell><cell r="AH3538"><v>224549481</v></cell><cell r="AI3538" t="str"><v>AzurePlatform_FBCTCcanvaspage-StartFreeCTA-Img2_GBR_1080x143 _SOC_Plat_English_NA_Standard_NA_NA_T2_1</v></cell><cell r="AJ3538"><v>103235146</v></cell></row><row r="3539"><cell r="C3539" t="str"><v>43306Facebook»Audience & Interest Targeting»1x1»SocialBan»LIA»DT»DYN»AUT»W»NA»SS»NA»Free Account Refresh- 12 months ChE</v></cell><cell r="D3539" t="str"><v>43306223567691</v></cell><cell r="E3539" t="str"><v>43306102854007hs ChE</v></cell><cell r="F3539" t="str"><v>DCM</v></cell><cell r="G3539" t="str"><v>https://azure.microsoft.com/en-gb/free/search/</v></cell></row><row r="3539"><cell r="K3539" t="str"><v>July</v></cell><cell r="L3539"><v>43309</v></cell><cell r="M3539" t="str"><v>Tier 1</v></cell><cell r="N3539" t="str"><v>EMEA</v></cell><cell r="O3539" t="str"><v>United Kingdom</v></cell><cell r="P3539" t="str"><v>Trial</v></cell><cell r="Q3539" t="str"><v>Social</v></cell><cell r="R3539" t="str"><v>Azure</v></cell><cell r="S3539" t="str"><v>Apps & Infra</v></cell><cell r="T3539" t="str"><v>Developers & ITI's</v></cell><cell r="U3539" t="str"><v>Audience & Interest Targeting</v></cell><cell r="V3539" t="str"><v>Audience Targeting</v></cell><cell r="W3539" t="str"><v>Link Ad</v></cell><cell r="X3539" t="str"><v>1x1</v></cell></row><row r="3539"><cell r="AA3539"><v>43306</v></cell><cell r="AB3539" t="str"><v>GBR_gaPMG_CE_AZR_Q1_19_Trial-Social</v></cell><cell r="AC3539"><v>21337013</v></cell><cell r="AD3539"><v>720196</v></cell><cell r="AE3539" t="str"><v>Facebook</v></cell><cell r="AF3539"><v>3654128</v></cell><cell r="AG3539" t="str"><v>Facebook»Audience & Interest Targeting»1x1»SocialBan»LIA»DT»DYN»AUT»W»NA»SS»NA»Free Account Refresh- 12 months ChE</v></cell><cell r="AH3539"><v>223567691</v></cell><cell r="AI3539" t="str"><v>AzurePlatform_FreeAcctAppsFACEBOOK12monthsChE_GBR_1200x628_SOC_PLAT_EN_Trial_Standard_NA_SU_T5_1</v></cell><cell r="AJ3539"><v>102854007</v></cell></row><row r="3540"><cell r="C3540" t="str"><v>43306Facebook»Audience & Interest Targeting»1x1»SocialBan»LIA»DT»DYN»AUT»W»NA»SS»NA»Free Account Refresh- 200 Credit ChD</v></cell><cell r="D3540" t="str"><v>43306223560359</v></cell><cell r="E3540" t="str"><v>43306103005662it ChD</v></cell><cell r="F3540" t="str"><v>DCM</v></cell><cell r="G3540" t="str"><v>https://azure.microsoft.com/en-gb/free/search/</v></cell></row><row r="3540"><cell r="K3540" t="str"><v>July</v></cell><cell r="L3540"><v>43309</v></cell><cell r="M3540" t="str"><v>Tier 1</v></cell><cell r="N3540" t="str"><v>EMEA</v></cell><cell r="O3540" t="str"><v>United Kingdom</v></cell><cell r="P3540" t="str"><v>Trial</v></cell><cell r="Q3540" t="str"><v>Social</v></cell><cell r="R3540" t="str"><v>Azure</v></cell><cell r="S3540" t="str"><v>Apps & Infra</v></cell><cell r="T3540" t="str"><v>Developers & ITI's</v></cell><cell r="U3540" t="str"><v>Audience & Interest Targeting</v></cell><cell r="V3540" t="str"><v>Audience Targeting</v></cell><cell r="W3540" t="str"><v>Link Ad</v></cell><cell r="X3540" t="str"><v>1x1</v></cell></row><row r="3540"><cell r="AA3540"><v>43306</v></cell><cell r="AB3540" t="str"><v>GBR_gaPMG_CE_AZR_Q1_19_Trial-Social</v></cell><cell r="AC3540"><v>21337013</v></cell><cell r="AD3540"><v>720196</v></cell><cell r="AE3540" t="str"><v>Facebook</v></cell><cell r="AF3540"><v>3654128</v></cell><cell r="AG3540" t="str"><v>Facebook»Audience & Interest Targeting»1x1»SocialBan»LIA»DT»DYN»AUT»W»NA»SS»NA»Free Account Refresh- 200 Credit ChD</v></cell><cell r="AH3540"><v>223560359</v></cell><cell r="AI3540" t="str"><v>AzurePlatform_FreeAcctAppsFACEBOOK200CreditChD_GBR_1200x628_SOC_PLAT_EN_Trial_Standard_NA_SU_T4_1</v></cell><cell r="AJ3540"><v>103005662</v></cell></row><row r="3541"><cell r="C3541" t="str"><v>43306Facebook»Audience & Interest Targeting»1x1»SocialBan»LIA»DT»DYN»AUT»W»NA»SS»NA»Free Account Refresh- Device ChB</v></cell><cell r="D3541" t="str"><v>43306223560353</v></cell><cell r="E3541" t="str"><v>43306102854010ce ChB</v></cell><cell r="F3541" t="str"><v>DCM</v></cell><cell r="G3541" t="str"><v>https://azure.microsoft.com/en-gb/free/search/</v></cell></row><row r="3541"><cell r="K3541" t="str"><v>July</v></cell><cell r="L3541"><v>43309</v></cell><cell r="M3541" t="str"><v>Tier 1</v></cell><cell r="N3541" t="str"><v>EMEA</v></cell><cell r="O3541" t="str"><v>United Kingdom</v></cell><cell r="P3541" t="str"><v>Trial</v></cell><cell r="Q3541" t="str"><v>Social</v></cell><cell r="R3541" t="str"><v>Azure</v></cell><cell r="S3541" t="str"><v>Apps & Infra</v></cell><cell r="T3541" t="str"><v>Developers & ITI's</v></cell><cell r="U3541" t="str"><v>Audience & Interest Targeting</v></cell><cell r="V3541" t="str"><v>Audience Targeting</v></cell><cell r="W3541" t="str"><v>Link Ad</v></cell><cell r="X3541" t="str"><v>1x1</v></cell></row><row r="3541"><cell r="AA3541"><v>43306</v></cell><cell r="AB3541" t="str"><v>GBR_gaPMG_CE_AZR_Q1_19_Trial-Social</v></cell><cell r="AC3541"><v>21337013</v></cell><cell r="AD3541"><v>720196</v></cell><cell r="AE3541" t="str"><v>Facebook</v></cell><cell r="AF3541"><v>3654128</v></cell><cell r="AG3541" t="str"><v>Facebook»Audience & Interest Targeting»1x1»SocialBan»LIA»DT»DYN»AUT»W»NA»SS»NA»Free Account Refresh- Device ChB</v></cell><cell r="AH3541"><v>223560353</v></cell><cell r="AI3541" t="str"><v>AzurePlatform_FreeAcctAppsFACEBOOKDeviceChB_GBR_1200x628_SOC_PLAT_EN_Trial_Standard_NA_SU_T2_1</v></cell><cell r="AJ3541"><v>102854010</v></cell></row><row r="3542"><cell r="C3542" t="str"><v>43306Facebook»Audience & Interest Targeting»1x1»SocialBan»LIA»DT»DYN»AUT»W»NA»SS»NA»Free Account Refresh- Illustration ChC</v></cell><cell r="D3542" t="str"><v>43306223560347</v></cell><cell r="E3542" t="str"><v>43306102857037on ChC</v></cell><cell r="F3542" t="str"><v>DCM</v></cell><cell r="G3542" t="str"><v>https://azure.microsoft.com/en-gb/free/search/</v></cell></row><row r="3542"><cell r="K3542" t="str"><v>July</v></cell><cell r="L3542"><v>43309</v></cell><cell r="M3542" t="str"><v>Tier 1</v></cell><cell r="N3542" t="str"><v>EMEA</v></cell><cell r="O3542" t="str"><v>United Kingdom</v></cell><cell r="P3542" t="str"><v>Trial</v></cell><cell r="Q3542" t="str"><v>Social</v></cell><cell r="R3542" t="str"><v>Azure</v></cell><cell r="S3542" t="str"><v>Apps & Infra</v></cell><cell r="T3542" t="str"><v>Developers & ITI's</v></cell><cell r="U3542" t="str"><v>Audience & Interest Targeting</v></cell><cell r="V3542" t="str"><v>Audience Targeting</v></cell><cell r="W3542" t="str"><v>Link Ad</v></cell><cell r="X3542" t="str"><v>1x1</v></cell></row><row r="3542"><cell r="AA3542"><v>43306</v></cell><cell r="AB3542" t="str"><v>GBR_gaPMG_CE_AZR_Q1_19_Trial-Social</v></cell><cell r="AC3542"><v>21337013</v></cell><cell r="AD3542"><v>720196</v></cell><cell r="AE3542" t="str"><v>Facebook</v></cell><cell r="AF3542"><v>3654128</v></cell><cell r="AG3542" t="str"><v>Facebook»Audience & Interest Targeting»1x1»SocialBan»LIA»DT»DYN»AUT»W»NA»SS»NA»Free Account Refresh- Illustration ChC</v></cell><cell r="AH3542"><v>223560347</v></cell><cell r="AI3542" t="str"><v>AzurePlatform_FreeAcctAppsFACEBOOKIllustrationChC_GBR_1200x628_SOC_PLAT_EN_Trial_Standard_NA_SU_T3_1</v></cell><cell r="AJ3542"><v>102857037</v></cell></row><row r="3543"><cell r="C3543" t="str"><v>43306Facebook»Audience & Interest Targeting»1x1»SocialBan»LIA»DT»DYN»AUT»W»NA»SS»NA»Free Account Refresh- Lifestyle ChA</v></cell><cell r="D3543" t="str"><v>43306223560341</v></cell><cell r="E3543" t="str"><v>43306102853597le ChA</v></cell><cell r="F3543" t="str"><v>DCM</v></cell><cell r="G3543" t="str"><v>https://azure.microsoft.com/en-gb/free/search/</v></cell></row><row r="3543"><cell r="K3543" t="str"><v>July</v></cell><cell r="L3543"><v>43309</v></cell><cell r="M3543" t="str"><v>Tier 1</v></cell><cell r="N3543" t="str"><v>EMEA</v></cell><cell r="O3543" t="str"><v>United Kingdom</v></cell><cell r="P3543" t="str"><v>Trial</v></cell><cell r="Q3543" t="str"><v>Social</v></cell><cell r="R3543" t="str"><v>Azure</v></cell><cell r="S3543" t="str"><v>Apps & Infra</v></cell><cell r="T3543" t="str"><v>Developers & ITI's</v></cell><cell r="U3543" t="str"><v>Audience & Interest Targeting</v></cell><cell r="V3543" t="str"><v>Audience Targeting</v></cell><cell r="W3543" t="str"><v>Link Ad</v></cell><cell r="X3543" t="str"><v>1x1</v></cell></row><row r="3543"><cell r="AA3543"><v>43306</v></cell><cell r="AB3543" t="str"><v>GBR_gaPMG_CE_AZR_Q1_19_Trial-Social</v></cell><cell r="AC3543"><v>21337013</v></cell><cell r="AD3543"><v>720196</v></cell><cell r="AE3543" t="str"><v>Facebook</v></cell><cell r="AF3543"><v>3654128</v></cell><cell r="AG3543" t="str"><v>Facebook»Audience & Interest Targeting»1x1»SocialBan»LIA»DT»DYN»AUT»W»NA»SS»NA»Free Account Refresh- Lifestyle ChA</v></cell><cell r="AH3543"><v>223560341</v></cell><cell r="AI3543" t="str"><v>AzurePlatform_FreeAcctAppsFACEBOOKLifestyleChA_GBR_1200x628_SOC_PLAT_EN_Trial_Standard_NA_SU_T1_1</v></cell><cell r="AJ3543"><v>102853597</v></cell></row><row r="3544"><cell r="C3544" t="str"><v>43306Facebook»Retargeting»1x1»SocialBan»LIA»DT»DYN»RT»W»NA»SS»NA»Free Account Retargeting Generic- Animated ChC</v></cell><cell r="D3544" t="str"><v>43306223560299</v></cell><cell r="E3544" t="str"><v>43306102854019ed ChC</v></cell><cell r="F3544" t="str"><v>DCM</v></cell><cell r="G3544" t="str"><v>https://azure.microsoft.com/en-gb/free/search/</v></cell></row><row r="3544"><cell r="K3544" t="str"><v>July</v></cell><cell r="L3544"><v>43309</v></cell><cell r="M3544" t="str"><v>Tier 1</v></cell><cell r="N3544" t="str"><v>EMEA</v></cell><cell r="O3544" t="str"><v>United Kingdom</v></cell><cell r="P3544" t="str"><v>Trial</v></cell><cell r="Q3544" t="str"><v>Social</v></cell><cell r="R3544" t="str"><v>Azure</v></cell><cell r="S3544" t="str"><v>Apps & Infra</v></cell><cell r="T3544" t="str"><v>Developers & ITI's</v></cell><cell r="U3544" t="str"><v>Retargeting</v></cell><cell r="V3544" t="str"><v>Retargeting</v></cell><cell r="W3544" t="str"><v>Link Ad</v></cell><cell r="X3544" t="str"><v>1x1</v></cell></row><row r="3544"><cell r="AA3544"><v>43306</v></cell><cell r="AB3544" t="str"><v>GBR_gaPMG_CE_AZR_Q1_19_Trial-Social</v></cell><cell r="AC3544"><v>21337013</v></cell><cell r="AD3544"><v>720196</v></cell><cell r="AE3544" t="str"><v>Facebook</v></cell><cell r="AF3544"><v>3654128</v></cell><cell r="AG3544" t="str"><v>Facebook»Retargeting»1x1»SocialBan»LIA»DT»DYN»RT»W»NA»SS»NA»Free Account Retargeting Generic- Animated ChC</v></cell><cell r="AH3544"><v>223560299</v></cell><cell r="AI3544" t="str"><v>AzurePlatform_FreeAcctRetargetingFB-Animated-ChC_GBR_1200x628_SOC_Plat_EN_Free Account_Standard_ANI_SU_T3_1</v></cell><cell r="AJ3544"><v>102854019</v></cell></row><row r="3545"><cell r="C3545" t="str"><v>43306Facebook»Retargeting»1x1»SocialBan»LIA»DT»DYN»RT»W»NA»SS»NA»Free Account Retargeting Generic- Global Alt ChB</v></cell><cell r="D3545" t="str"><v>43306223560356</v></cell><cell r="E3545" t="str"><v>43306102854016lt ChB</v></cell><cell r="F3545" t="str"><v>DCM</v></cell><cell r="G3545" t="str"><v>https://azure.microsoft.com/en-gb/free/search/</v></cell></row><row r="3545"><cell r="K3545" t="str"><v>July</v></cell><cell r="L3545"><v>43309</v></cell><cell r="M3545" t="str"><v>Tier 1</v></cell><cell r="N3545" t="str"><v>EMEA</v></cell><cell r="O3545" t="str"><v>United Kingdom</v></cell><cell r="P3545" t="str"><v>Trial</v></cell><cell r="Q3545" t="str"><v>Social</v></cell><cell r="R3545" t="str"><v>Azure</v></cell><cell r="S3545" t="str"><v>Apps & Infra</v></cell><cell r="T3545" t="str"><v>Developers & ITI's</v></cell><cell r="U3545" t="str"><v>Retargeting</v></cell><cell r="V3545" t="str"><v>Retargeting</v></cell><cell r="W3545" t="str"><v>Link Ad</v></cell><cell r="X3545" t="str"><v>1x1</v></cell></row><row r="3545"><cell r="AA3545"><v>43306</v></cell><cell r="AB3545" t="str"><v>GBR_gaPMG_CE_AZR_Q1_19_Trial-Social</v></cell><cell r="AC3545"><v>21337013</v></cell><cell r="AD3545"><v>720196</v></cell><cell r="AE3545" t="str"><v>Facebook</v></cell><cell r="AF3545"><v>3654128</v></cell><cell r="AG3545" t="str"><v>Facebook»Retargeting»1x1»SocialBan»LIA»DT»DYN»RT»W»NA»SS»NA»Free Account Retargeting Generic- Global Alt ChB</v></cell><cell r="AH3545"><v>223560356</v></cell><cell r="AI3545" t="str"><v>AzurePlatform_FreeAcctRetargetingFB-GlobalAlt-ChB_GBR_1200x628_SOC_Plat_EN_Free Account_Standard_NA_SU_T2_1</v></cell><cell r="AJ3545"><v>102854016</v></cell></row><row r="3546"><cell r="C3546" t="str"><v>43306Facebook»Retargeting»1x1»SocialBan»LIA»DT»DYN»RT»W»NA»SS»NA»Free Account Retargeting OSS- Logos ChG</v></cell><cell r="D3546" t="str"><v>43306223560350</v></cell><cell r="E3546" t="str"><v>43306103006547os ChG</v></cell><cell r="F3546" t="str"><v>DCM</v></cell><cell r="G3546" t="str"><v>https://azure.microsoft.com/en-gb/free/open-source/search/</v></cell></row><row r="3546"><cell r="K3546" t="str"><v>July</v></cell><cell r="L3546"><v>43309</v></cell><cell r="M3546" t="str"><v>Tier 1</v></cell><cell r="N3546" t="str"><v>EMEA</v></cell><cell r="O3546" t="str"><v>United Kingdom</v></cell><cell r="P3546" t="str"><v>Trial</v></cell><cell r="Q3546" t="str"><v>Social</v></cell><cell r="R3546" t="str"><v>Azure</v></cell><cell r="S3546" t="str"><v>Apps & Infra</v></cell><cell r="T3546" t="str"><v>Developers & ITI's</v></cell><cell r="U3546" t="str"><v>Retargeting</v></cell><cell r="V3546" t="str"><v>Retargeting</v></cell><cell r="W3546" t="str"><v>Link Ad</v></cell><cell r="X3546" t="str"><v>1x1</v></cell></row><row r="3546"><cell r="AA3546"><v>43306</v></cell><cell r="AB3546" t="str"><v>GBR_gaPMG_CE_AZR_Q1_19_Trial-Social</v></cell><cell r="AC3546"><v>21337013</v></cell><cell r="AD3546"><v>720196</v></cell><cell r="AE3546" t="str"><v>Facebook</v></cell><cell r="AF3546"><v>3654128</v></cell><cell r="AG3546" t="str"><v>Facebook»Retargeting»1x1»SocialBan»LIA»DT»DYN»RT»W»NA»SS»NA»Free Account Retargeting OSS- Logos ChG</v></cell><cell r="AH3546"><v>223560350</v></cell><cell r="AI3546" t="str"><v>AzurePlatform_FreeAcctRetargetingOSSFB-Logos-ChG_GBR_1200x628_SOC_Plat_EN_Free Account_Standard_NA_SU_T2_1</v></cell><cell r="AJ3546"><v>103006547</v></cell></row><row r="3547"><cell r="C3547" t="str"><v>43306Facebook»Retargeting»1x1»SocialBan»LIA»DT»DYN»RT»W»NA»SS»NA»Free Account Retargeting OSS- Text ChF</v></cell><cell r="D3547" t="str"><v>43306223560344</v></cell><cell r="E3547" t="str"><v>43306102861246xt ChF</v></cell><cell r="F3547" t="str"><v>DCM</v></cell><cell r="G3547" t="str"><v>https://azure.microsoft.com/en-gb/free/open-source/search/</v></cell></row><row r="3547"><cell r="K3547" t="str"><v>July</v></cell><cell r="L3547"><v>43309</v></cell><cell r="M3547" t="str"><v>Tier 1</v></cell><cell r="N3547" t="str"><v>EMEA</v></cell><cell r="O3547" t="str"><v>United Kingdom</v></cell><cell r="P3547" t="str"><v>Trial</v></cell><cell r="Q3547" t="str"><v>Social</v></cell><cell r="R3547" t="str"><v>Azure</v></cell><cell r="S3547" t="str"><v>Apps & Infra</v></cell><cell r="T3547" t="str"><v>Developers & ITI's</v></cell><cell r="U3547" t="str"><v>Retargeting</v></cell><cell r="V3547" t="str"><v>Retargeting</v></cell><cell r="W3547" t="str"><v>Link Ad</v></cell><cell r="X3547" t="str"><v>1x1</v></cell></row><row r="3547"><cell r="AA3547"><v>43306</v></cell><cell r="AB3547" t="str"><v>GBR_gaPMG_CE_AZR_Q1_19_Trial-Social</v></cell><cell r="AC3547"><v>21337013</v></cell><cell r="AD3547"><v>720196</v></cell><cell r="AE3547" t="str"><v>Facebook</v></cell><cell r="AF3547"><v>3654128</v></cell><cell r="AG3547" t="str"><v>Facebook»Retargeting»1x1»SocialBan»LIA»DT»DYN»RT»W»NA»SS»NA»Free Account Retargeting OSS- Text ChF</v></cell><cell r="AH3547"><v>223560344</v></cell><cell r="AI3547" t="str"><v>AzurePlatform_FreeAcctRetargetingOSSFB-Text-ChF_GBR_1200x628_SOC_Plat_EN_Free Account_Standard_NA_SU_T1_1</v></cell><cell r="AJ3547"><v>102861246</v></cell></row><row r="3548"><cell r="C3548" t="str"><v>43306Facebook»Retargeting»1x1»SocialBan»LIA»DT»DYN»RT»W»NA»SS»NA»Free Account Retargeting VM- 750 Hrs ChD</v></cell><cell r="D3548" t="str"><v>43306223560338</v></cell><cell r="E3548" t="str"><v>43306102853603rs ChD</v></cell><cell r="F3548" t="str"><v>DCM</v></cell><cell r="G3548" t="str"><v>https://azure.microsoft.com/en-gb/free/virtual-machines/search/</v></cell></row><row r="3548"><cell r="K3548" t="str"><v>July</v></cell><cell r="L3548"><v>43309</v></cell><cell r="M3548" t="str"><v>Tier 1</v></cell><cell r="N3548" t="str"><v>EMEA</v></cell><cell r="O3548" t="str"><v>United Kingdom</v></cell><cell r="P3548" t="str"><v>Trial</v></cell><cell r="Q3548" t="str"><v>Social</v></cell><cell r="R3548" t="str"><v>Azure</v></cell><cell r="S3548" t="str"><v>Apps & Infra</v></cell><cell r="T3548" t="str"><v>Developers & ITI's</v></cell><cell r="U3548" t="str"><v>Retargeting</v></cell><cell r="V3548" t="str"><v>Retargeting</v></cell><cell r="W3548" t="str"><v>Link Ad</v></cell><cell r="X3548" t="str"><v>1x1</v></cell></row><row r="3548"><cell r="AA3548"><v>43306</v></cell><cell r="AB3548" t="str"><v>GBR_gaPMG_CE_AZR_Q1_19_Trial-Social</v></cell><cell r="AC3548"><v>21337013</v></cell><cell r="AD3548"><v>720196</v></cell><cell r="AE3548" t="str"><v>Facebook</v></cell><cell r="AF3548"><v>3654128</v></cell><cell r="AG3548" t="str"><v>Facebook»Retargeting»1x1»SocialBan»LIA»DT»DYN»RT»W»NA»SS»NA»Free Account Retargeting VM- 750 Hrs ChD</v></cell><cell r="AH3548"><v>223560338</v></cell><cell r="AI3548" t="str"><v>AzurePlatform_FreeAcctRetargetingVMFB-750Hrs-ChD_GBR_1200x628_SOC_Plat_EN_Free Account_Standard_NA_SU_T1_1</v></cell><cell r="AJ3548"><v>102853603</v></cell></row><row r="3549"><cell r="C3549" t="str"><v>43306Facebook»Retargeting»1x1»SocialBan»LIA»DT»DYN»RT»W»NA»SS»NA»Free Account Retargeting VM- On Demand ChE</v></cell><cell r="D3549" t="str"><v>43306223560332</v></cell><cell r="E3549" t="str"><v>43306102854037nd ChE</v></cell><cell r="F3549" t="str"><v>DCM</v></cell><cell r="G3549" t="str"><v>https://azure.microsoft.com/en-gb/free/virtual-machines/search/</v></cell></row><row r="3549"><cell r="K3549" t="str"><v>July</v></cell><cell r="L3549"><v>43309</v></cell><cell r="M3549" t="str"><v>Tier 1</v></cell><cell r="N3549" t="str"><v>EMEA</v></cell><cell r="O3549" t="str"><v>United Kingdom</v></cell><cell r="P3549" t="str"><v>Trial</v></cell><cell r="Q3549" t="str"><v>Social</v></cell><cell r="R3549" t="str"><v>Azure</v></cell><cell r="S3549" t="str"><v>Apps & Infra</v></cell><cell r="T3549" t="str"><v>Developers & ITI's</v></cell><cell r="U3549" t="str"><v>Retargeting</v></cell><cell r="V3549" t="str"><v>Retargeting</v></cell><cell r="W3549" t="str"><v>Link Ad</v></cell><cell r="X3549" t="str"><v>1x1</v></cell></row><row r="3549"><cell r="AA3549"><v>43306</v></cell><cell r="AB3549" t="str"><v>GBR_gaPMG_CE_AZR_Q1_19_Trial-Social</v></cell><cell r="AC3549"><v>21337013</v></cell><cell r="AD3549"><v>720196</v></cell><cell r="AE3549" t="str"><v>Facebook</v></cell><cell r="AF3549"><v>3654128</v></cell><cell r="AG3549" t="str"><v>Facebook»Retargeting»1x1»SocialBan»LIA»DT»DYN»RT»W»NA»SS»NA»Free Account Retargeting VM- On Demand ChE</v></cell><cell r="AH3549"><v>223560332</v></cell><cell r="AI3549" t="str"><v>AzurePlatform_FreeAcctRetargetingVMFB-OnDemand-ChE_GBR_1200x628_SOC_Plat_EN_Free Account_Standard_NA_SU_T2_1</v></cell><cell r="AJ3549"><v>102854037</v></cell></row><row r="3550"><cell r="C3550" t="str"><v>43306Facebook»AZP-Canvas-Interest&Role-Trial»1x1»Canvas»OTH»MO»CPM»PRO»X»UNK»TP»OT»Canvas-Trial</v></cell><cell r="D3550" t="str"><v>43306223298805</v></cell><cell r="E3550" t="str"><v>43306102630373-Trial</v></cell><cell r="F3550" t="str"><v>DCM</v></cell><cell r="G3550" t="str"><v>https://azure.microsoft.com/ja-jp/pricing/purchase-options/</v></cell></row><row r="3550"><cell r="K3550" t="str"><v>July</v></cell><cell r="L3550"><v>43309</v></cell><cell r="M3550" t="str"><v>Tier 1</v></cell><cell r="N3550" t="str"><v>APAC</v></cell><cell r="O3550" t="str"><v>Japan</v></cell><cell r="P3550" t="str"><v>Trial</v></cell><cell r="Q3550" t="str"><v>Social</v></cell><cell r="R3550" t="str"><v>Azure</v></cell><cell r="S3550" t="str"><v>Apps & Infra</v></cell><cell r="T3550" t="str"><v>Developers & ITI's</v></cell><cell r="U3550" t="str"><v>AZP-Canvas-Interest&Role-Trial</v></cell><cell r="V3550" t="str"><v>Prospecting</v></cell><cell r="W3550" t="str"><v>Other</v></cell><cell r="X3550" t="str"><v>1x1</v></cell></row><row r="3550"><cell r="AA3550"><v>43306</v></cell><cell r="AB3550" t="str"><v>JPN_gaPMG_AZR_AZR_Q1_19_Trial-Social</v></cell><cell r="AC3550"><v>21276694</v></cell><cell r="AD3550"><v>720195</v></cell><cell r="AE3550" t="str"><v>Facebook</v></cell><cell r="AF3550"><v>3654128</v></cell><cell r="AG3550" t="str"><v>Facebook»AZP-Canvas-Interest&Role-Trial»1x1»Canvas»OTH»MO»CPM»PRO»X»UNK»TP»OT»Canvas-Trial</v></cell><cell r="AH3550"><v>223298805</v></cell><cell r="AI3550" t="str"><v>AzurePlatform_FBCTCcanvaspage-BuyNowCTA-Img3_JPN_1080x162_SOC_Plat_Japanese_NA_Standard_NA_BN_T3_1</v></cell><cell r="AJ3550"><v>102630373</v></cell></row><row r="3551"><cell r="C3551" t="str"><v>43306Facebook»AZP-Canvas-Interest&Role-Trial»1x1»Canvas»OTH»MO»CPM»PRO»X»UNK»TP»OT»Canvas-Trial</v></cell><cell r="D3551" t="str"><v>43306223298805</v></cell><cell r="E3551" t="str"><v>43306102609621-Trial</v></cell><cell r="F3551" t="str"><v>DCM</v></cell><cell r="G3551" t="str"><v>https://signup.azure.com/signup?offer=ms-azr-0044p&appId=102&ref=paidmedia-social-fb&redirectURL=https%3a%2f%2fazure.microsoft.com%2fja-jp%2fget-started%2fwelcome-to-azure%2f&l=ja-jp&correlationId=ead86c34-1f10-49dd-a72b-6918462a2cbf</v></cell></row><row r="3551"><cell r="K3551" t="str"><v>July</v></cell><cell r="L3551"><v>43309</v></cell><cell r="M3551" t="str"><v>Tier 1</v></cell><cell r="N3551" t="str"><v>APAC</v></cell><cell r="O3551" t="str"><v>Japan</v></cell><cell r="P3551" t="str"><v>Trial</v></cell><cell r="Q3551" t="str"><v>Social</v></cell><cell r="R3551" t="str"><v>Azure</v></cell><cell r="S3551" t="str"><v>Apps & Infra</v></cell><cell r="T3551" t="str"><v>Developers & ITI's</v></cell><cell r="U3551" t="str"><v>AZP-Canvas-Interest&Role-Trial</v></cell><cell r="V3551" t="str"><v>Prospecting</v></cell><cell r="W3551" t="str"><v>Other</v></cell><cell r="X3551" t="str"><v>1x1</v></cell></row><row r="3551"><cell r="AA3551"><v>43306</v></cell><cell r="AB3551" t="str"><v>JPN_gaPMG_AZR_AZR_Q1_19_Trial-Social</v></cell><cell r="AC3551"><v>21276694</v></cell><cell r="AD3551"><v>720195</v></cell><cell r="AE3551" t="str"><v>Facebook</v></cell><cell r="AF3551"><v>3654128</v></cell><cell r="AG3551" t="str"><v>Facebook»AZP-Canvas-Interest&Role-Trial»1x1»Canvas»OTH»MO»CPM»PRO»X»UNK»TP»OT»Canvas-Trial</v></cell><cell r="AH3551"><v>223298805</v></cell><cell r="AI3551" t="str"><v>AzurePlatform_FBCTCcanvaspage-StartFreeCTA-Img2_JPN_1080x143 _SOC_Plat_Japanese_NA_Standard_NA_NA_T2_1</v></cell><cell r="AJ3551"><v>102609621</v></cell></row><row r="3552"><cell r="C3552" t="str"><v>43306Facebook»AZP-Canvas-Look a Like-Trial»1x1»Canvas»OTH»MO»CPM»PRO»X»UNK»TP»OT»Canvas-Trial</v></cell><cell r="D3552" t="str"><v>43306223297413</v></cell><cell r="E3552" t="str"><v>43306102609621-Trial</v></cell><cell r="F3552" t="str"><v>DCM</v></cell><cell r="G3552" t="str"><v>https://signup.azure.com/signup?offer=ms-azr-0044p&appId=102&ref=paidmedia-social-fb&redirectURL=https%3a%2f%2fazure.microsoft.com%2fja-jp%2fget-started%2fwelcome-to-azure%2f&l=ja-jp&correlationId=ead86c34-1f10-49dd-a72b-6918462a2cbf</v></cell></row><row r="3552"><cell r="K3552" t="str"><v>July</v></cell><cell r="L3552"><v>43309</v></cell><cell r="M3552" t="str"><v>Tier 1</v></cell><cell r="N3552" t="str"><v>APAC</v></cell><cell r="O3552" t="str"><v>Japan</v></cell><cell r="P3552" t="str"><v>Trial</v></cell><cell r="Q3552" t="str"><v>Social</v></cell><cell r="R3552" t="str"><v>Azure</v></cell><cell r="S3552" t="str"><v>Apps & Infra</v></cell><cell r="T3552" t="str"><v>Developers & ITI's</v></cell><cell r="U3552" t="str"><v>AZP-Canvas-Look a Like-Trial</v></cell><cell r="V3552" t="str"><v>Prospecting</v></cell><cell r="W3552" t="str"><v>Other</v></cell><cell r="X3552" t="str"><v>1x1</v></cell></row><row r="3552"><cell r="AA3552"><v>43306</v></cell><cell r="AB3552" t="str"><v>JPN_gaPMG_AZR_AZR_Q1_19_Trial-Social</v></cell><cell r="AC3552"><v>21276694</v></cell><cell r="AD3552"><v>720195</v></cell><cell r="AE3552" t="str"><v>Facebook</v></cell><cell r="AF3552"><v>3654128</v></cell><cell r="AG3552" t="str"><v>Facebook»AZP-Canvas-Look a Like-Trial»1x1»Canvas»OTH»MO»CPM»PRO»X»UNK»TP»OT»Canvas-Trial</v></cell><cell r="AH3552"><v>223297413</v></cell><cell r="AI3552" t="str"><v>AzurePlatform_FBCTCcanvaspage-StartFreeCTA-Img2_JPN_1080x143 _SOC_Plat_Japanese_NA_Standard_NA_NA_T2_1</v></cell><cell r="AJ3552"><v>102609621</v></cell></row><row r="3553"><cell r="C3553" t="str"><v>43306Facebook»AZP-Retargeting»1x1»Ban»LIA»ALL»CPM»RT»X»All»TP»OT»Free Account Retargeting Generic-ChB</v></cell><cell r="D3553" t="str"><v>43306223726377</v></cell><cell r="E3553" t="str"><v>43306102977720ic-ChB</v></cell><cell r="F3553" t="str"><v>DCM</v></cell><cell r="G3553" t="str"><v>https://azure.microsoft.com/ja-jp/free/search/</v></cell></row><row r="3553"><cell r="K3553" t="str"><v>July</v></cell><cell r="L3553"><v>43309</v></cell><cell r="M3553" t="str"><v>Tier 1</v></cell><cell r="N3553" t="str"><v>APAC</v></cell><cell r="O3553" t="str"><v>Japan</v></cell><cell r="P3553" t="str"><v>Trial</v></cell><cell r="Q3553" t="str"><v>Social</v></cell><cell r="R3553" t="str"><v>Azure</v></cell><cell r="S3553" t="str"><v>Apps & Infra</v></cell><cell r="T3553" t="str"><v>Developers & ITI's</v></cell><cell r="U3553" t="str"><v>AZP-Retargeting</v></cell><cell r="V3553" t="str"><v>Retargeting</v></cell><cell r="W3553" t="str"><v>Link Ad</v></cell><cell r="X3553" t="str"><v>1x1</v></cell></row><row r="3553"><cell r="AA3553"><v>43306</v></cell><cell r="AB3553" t="str"><v>JPN_gaPMG_AZR_AZR_Q1_19_Trial-Social</v></cell><cell r="AC3553"><v>21276694</v></cell><cell r="AD3553"><v>720195</v></cell><cell r="AE3553" t="str"><v>Facebook</v></cell><cell r="AF3553"><v>3654128</v></cell><cell r="AG3553" t="str"><v>Facebook»AZP-Retargeting»1x1»Ban»LIA»ALL»CPM»RT»X»All»TP»OT»Free Account Retargeting Generic-ChB</v></cell><cell r="AH3553"><v>223726377</v></cell><cell r="AI3553" t="str"><v>AzurePlatform_FreeAcctRetargetingFB-GlobalAlt-ChB_JPN_1200x628_SOC_Plat_JA_Free Account_Standard_NA_SU_T2_1</v></cell><cell r="AJ3553"><v>102977720</v></cell></row><row r="3554"><cell r="C3554" t="str"><v>43306Facebook»AZP-Retargeting»1x1»Ban»LIA»ALL»CPM»RT»X»All»TP»OT»Free Account Retargeting OSS-ChF</v></cell><cell r="D3554" t="str"><v>43306223726368</v></cell><cell r="E3554" t="str"><v>43306102974750SS-ChF</v></cell><cell r="F3554" t="str"><v>DCM</v></cell><cell r="G3554" t="str"><v>https://azure.microsoft.com/ja-jp/free/open-source/search/</v></cell></row><row r="3554"><cell r="K3554" t="str"><v>July</v></cell><cell r="L3554"><v>43309</v></cell><cell r="M3554" t="str"><v>Tier 1</v></cell><cell r="N3554" t="str"><v>APAC</v></cell><cell r="O3554" t="str"><v>Japan</v></cell><cell r="P3554" t="str"><v>Trial</v></cell><cell r="Q3554" t="str"><v>Social</v></cell><cell r="R3554" t="str"><v>Azure</v></cell><cell r="S3554" t="str"><v>Apps & Infra</v></cell><cell r="T3554" t="str"><v>Developers & ITI's</v></cell><cell r="U3554" t="str"><v>AZP-Retargeting</v></cell><cell r="V3554" t="str"><v>Retargeting</v></cell><cell r="W3554" t="str"><v>Link Ad</v></cell><cell r="X3554" t="str"><v>1x1</v></cell></row><row r="3554"><cell r="AA3554"><v>43306</v></cell><cell r="AB3554" t="str"><v>JPN_gaPMG_AZR_AZR_Q1_19_Trial-Social</v></cell><cell r="AC3554"><v>21276694</v></cell><cell r="AD3554"><v>720195</v></cell><cell r="AE3554" t="str"><v>Facebook</v></cell><cell r="AF3554"><v>3654128</v></cell><cell r="AG3554" t="str"><v>Facebook»AZP-Retargeting»1x1»Ban»LIA»ALL»CPM»RT»X»All»TP»OT»Free Account Retargeting OSS-ChF</v></cell><cell r="AH3554"><v>223726368</v></cell><cell r="AI3554" t="str"><v>AzurePlatform_FreeAcctRetargetingOSSFB-Text-ChF_JPN_1200x628_SOC_Plat_JA_Free Account_Standard_NA_SU_T1_1</v></cell><cell r="AJ3554"><v>102974750</v></cell></row><row r="3555"><cell r="C3555" t="str"><v>43306Facebook»AZP-Retargeting»1x1»Ban»LIA»ALL»CPM»RT»X»All»TP»OT»Free Account Retargeting OSS-ChG</v></cell><cell r="D3555" t="str"><v>43306223726365</v></cell><cell r="E3555" t="str"><v>43306102976850SS-ChG</v></cell><cell r="F3555" t="str"><v>DCM</v></cell><cell r="G3555" t="str"><v>https://azure.microsoft.com/ja-jp/free/open-source/search/</v></cell></row><row r="3555"><cell r="K3555" t="str"><v>July</v></cell><cell r="L3555"><v>43309</v></cell><cell r="M3555" t="str"><v>Tier 1</v></cell><cell r="N3555" t="str"><v>APAC</v></cell><cell r="O3555" t="str"><v>Japan</v></cell><cell r="P3555" t="str"><v>Trial</v></cell><cell r="Q3555" t="str"><v>Social</v></cell><cell r="R3555" t="str"><v>Azure</v></cell><cell r="S3555" t="str"><v>Apps & Infra</v></cell><cell r="T3555" t="str"><v>Developers & ITI's</v></cell><cell r="U3555" t="str"><v>AZP-Retargeting</v></cell><cell r="V3555" t="str"><v>Retargeting</v></cell><cell r="W3555" t="str"><v>Link Ad</v></cell><cell r="X3555" t="str"><v>1x1</v></cell></row><row r="3555"><cell r="AA3555"><v>43306</v></cell><cell r="AB3555" t="str"><v>JPN_gaPMG_AZR_AZR_Q1_19_Trial-Social</v></cell><cell r="AC3555"><v>21276694</v></cell><cell r="AD3555"><v>720195</v></cell><cell r="AE3555" t="str"><v>Facebook</v></cell><cell r="AF3555"><v>3654128</v></cell><cell r="AG3555" t="str"><v>Facebook»AZP-Retargeting»1x1»Ban»LIA»ALL»CPM»RT»X»All»TP»OT»Free Account Retargeting OSS-ChG</v></cell><cell r="AH3555"><v>223726365</v></cell><cell r="AI3555" t="str"><v>AzurePlatform_FreeAcctRetargetingOSSFB-Logos-ChG_JPN_1200x628_SOC_Plat_JA_Free Account_Standard_NA_SU_T2_1</v></cell><cell r="AJ3555"><v>102976850</v></cell></row><row r="3556"><cell r="C3556" t="str"><v>43306Facebook»AZP-Retargeting»1x1»Ban»LIA»ALL»CPM»RT»X»All»TP»OT»Free Account Retargeting VM-ChD</v></cell><cell r="D3556" t="str"><v>43306223726374</v></cell><cell r="E3556" t="str"><v>43306102971306VM-ChD</v></cell><cell r="F3556" t="str"><v>DCM</v></cell><cell r="G3556" t="str"><v>https://azure.microsoft.com/ja-jp/free/virtual-machines/search/</v></cell></row><row r="3556"><cell r="K3556" t="str"><v>July</v></cell><cell r="L3556"><v>43309</v></cell><cell r="M3556" t="str"><v>Tier 1</v></cell><cell r="N3556" t="str"><v>APAC</v></cell><cell r="O3556" t="str"><v>Japan</v></cell><cell r="P3556" t="str"><v>Trial</v></cell><cell r="Q3556" t="str"><v>Social</v></cell><cell r="R3556" t="str"><v>Azure</v></cell><cell r="S3556" t="str"><v>Apps & Infra</v></cell><cell r="T3556" t="str"><v>Developers & ITI's</v></cell><cell r="U3556" t="str"><v>AZP-Retargeting</v></cell><cell r="V3556" t="str"><v>Retargeting</v></cell><cell r="W3556" t="str"><v>Link Ad</v></cell><cell r="X3556" t="str"><v>1x1</v></cell></row><row r="3556"><cell r="AA3556"><v>43306</v></cell><cell r="AB3556" t="str"><v>JPN_gaPMG_AZR_AZR_Q1_19_Trial-Social</v></cell><cell r="AC3556"><v>21276694</v></cell><cell r="AD3556"><v>720195</v></cell><cell r="AE3556" t="str"><v>Facebook</v></cell><cell r="AF3556"><v>3654128</v></cell><cell r="AG3556" t="str"><v>Facebook»AZP-Retargeting»1x1»Ban»LIA»ALL»CPM»RT»X»All»TP»OT»Free Account Retargeting VM-ChD</v></cell><cell r="AH3556"><v>223726374</v></cell><cell r="AI3556" t="str"><v>AzurePlatform_FreeAcctRetargetingVMFB-750Hrs-ChD_JPN_1200x628_SOC_Plat_JA_Free Account_Standard_NA_SU_T1_1</v></cell><cell r="AJ3556"><v>102971306</v></cell></row><row r="3557"><cell r="C3557" t="str"><v>43306Facebook»AZP-Retargeting»1x1»Canvas»OTH»MO»CPM»RT»W»UNK»TP»OT»Trial-Basicmotion</v></cell><cell r="D3557" t="str"><v>43306223298811</v></cell><cell r="E3557" t="str"><v>43306102773984motion</v></cell><cell r="F3557" t="str"><v>DCM</v></cell><cell r="G3557" t="str"><v>https://azure.microsoft.com/ja-jp/free/search/</v></cell></row><row r="3557"><cell r="K3557" t="str"><v>July</v></cell><cell r="L3557"><v>43309</v></cell><cell r="M3557" t="str"><v>Tier 1</v></cell><cell r="N3557" t="str"><v>APAC</v></cell><cell r="O3557" t="str"><v>Japan</v></cell><cell r="P3557" t="str"><v>Trial</v></cell><cell r="Q3557" t="str"><v>Social</v></cell><cell r="R3557" t="str"><v>Azure</v></cell><cell r="S3557" t="str"><v>Apps & Infra</v></cell><cell r="T3557" t="str"><v>Developers & ITI's</v></cell><cell r="U3557" t="str"><v>AZP-Retargeting</v></cell><cell r="V3557" t="str"><v>Retargeting</v></cell><cell r="W3557" t="str"><v>Other</v></cell><cell r="X3557" t="str"><v>1x1</v></cell></row><row r="3557"><cell r="AA3557"><v>43306</v></cell><cell r="AB3557" t="str"><v>JPN_gaPMG_AZR_AZR_Q1_19_Trial-Social</v></cell><cell r="AC3557"><v>21276694</v></cell><cell r="AD3557"><v>720195</v></cell><cell r="AE3557" t="str"><v>Facebook</v></cell><cell r="AF3557"><v>3654128</v></cell><cell r="AG3557" t="str"><v>Facebook»AZP-Retargeting»1x1»Canvas»OTH»MO»CPM»RT»W»UNK»TP»OT»Trial-Basicmotion</v></cell><cell r="AH3557"><v>223298811</v></cell><cell r="AI3557" t="str"><v>AzurePlatform_FBCTCBasicMotion_JPN_10sec_ISV_PLAT_JA_Trial_Standard_STAN_TN_T1_1</v></cell><cell r="AJ3557"><v>102773984</v></cell></row><row r="3558"><cell r="C3558" t="str"><v>43306Facebook»AZP-Retargeting»1x1»Canvas»OTH»MO»CPM»RT»W»UNK»TP»OT»Trial-Benefit2inMotion</v></cell><cell r="D3558" t="str"><v>43306223298496</v></cell><cell r="E3558" t="str"><v>43306102630376Motion</v></cell><cell r="F3558" t="str"><v>DCM</v></cell><cell r="G3558" t="str"><v>https://azure.microsoft.com/ja-jp/free/search/</v></cell></row><row r="3558"><cell r="K3558" t="str"><v>July</v></cell><cell r="L3558"><v>43309</v></cell><cell r="M3558" t="str"><v>Tier 1</v></cell><cell r="N3558" t="str"><v>APAC</v></cell><cell r="O3558" t="str"><v>Japan</v></cell><cell r="P3558" t="str"><v>Trial</v></cell><cell r="Q3558" t="str"><v>Social</v></cell><cell r="R3558" t="str"><v>Azure</v></cell><cell r="S3558" t="str"><v>Apps & Infra</v></cell><cell r="T3558" t="str"><v>Developers & ITI's</v></cell><cell r="U3558" t="str"><v>AZP-Retargeting</v></cell><cell r="V3558" t="str"><v>Retargeting</v></cell><cell r="W3558" t="str"><v>Other</v></cell><cell r="X3558" t="str"><v>1x1</v></cell></row><row r="3558"><cell r="AA3558"><v>43306</v></cell><cell r="AB3558" t="str"><v>JPN_gaPMG_AZR_AZR_Q1_19_Trial-Social</v></cell><cell r="AC3558"><v>21276694</v></cell><cell r="AD3558"><v>720195</v></cell><cell r="AE3558" t="str"><v>Facebook</v></cell><cell r="AF3558"><v>3654128</v></cell><cell r="AG3558" t="str"><v>Facebook»AZP-Retargeting»1x1»Canvas»OTH»MO»CPM»RT»W»UNK»TP»OT»Trial-Benefit2inMotion</v></cell><cell r="AH3558"><v>223298496</v></cell><cell r="AI3558" t="str"><v>AzurePlatform_FBCTCBenefit2inMotion_JPN_14sec_ISV_PLAT_JA_Trial_Standard_STAN_TN_T4_1</v></cell><cell r="AJ3558"><v>102630376</v></cell></row><row r="3559"><cell r="C3559" t="str"><v>43306Facebook»AZP-Retargeting»1x1»Canvas»OTH»MO»CPM»RT»W»UNK»TP»OT»Trial-BrandinMotion</v></cell><cell r="D3559" t="str"><v>43306223298823</v></cell><cell r="E3559" t="str"><v>43306102612720Motion</v></cell><cell r="F3559" t="str"><v>DCM</v></cell><cell r="G3559" t="str"><v>https://azure.microsoft.com/ja-jp/free/search/</v></cell></row><row r="3559"><cell r="K3559" t="str"><v>July</v></cell><cell r="L3559"><v>43309</v></cell><cell r="M3559" t="str"><v>Tier 1</v></cell><cell r="N3559" t="str"><v>APAC</v></cell><cell r="O3559" t="str"><v>Japan</v></cell><cell r="P3559" t="str"><v>Trial</v></cell><cell r="Q3559" t="str"><v>Social</v></cell><cell r="R3559" t="str"><v>Azure</v></cell><cell r="S3559" t="str"><v>Apps & Infra</v></cell><cell r="T3559" t="str"><v>Developers & ITI's</v></cell><cell r="U3559" t="str"><v>AZP-Retargeting</v></cell><cell r="V3559" t="str"><v>Retargeting</v></cell><cell r="W3559" t="str"><v>Other</v></cell><cell r="X3559" t="str"><v>1x1</v></cell></row><row r="3559"><cell r="AA3559"><v>43306</v></cell><cell r="AB3559" t="str"><v>JPN_gaPMG_AZR_AZR_Q1_19_Trial-Social</v></cell><cell r="AC3559"><v>21276694</v></cell><cell r="AD3559"><v>720195</v></cell><cell r="AE3559" t="str"><v>Facebook</v></cell><cell r="AF3559"><v>3654128</v></cell><cell r="AG3559" t="str"><v>Facebook»AZP-Retargeting»1x1»Canvas»OTH»MO»CPM»RT»W»UNK»TP»OT»Trial-BrandinMotion</v></cell><cell r="AH3559"><v>223298823</v></cell><cell r="AI3559" t="str"><v>AzurePlatform_FBCTCBrandinMotion_JPN_12sec_ISV_PLAT_JA_Trial_Standard_STAN_TN_T2_1</v></cell><cell r="AJ3559"><v>102612720</v></cell></row><row r="3560"><cell r="C3560" t="str"><v>43306FACEBOOK»USA-Trial-ITD-Interest Prospecting-AZR-AZR»1 x 1»SocialBan»CAN»ALL»CPA»PRO»X»NA»SS»NA»FBCTCBasicMotion»PRC1SV</v></cell><cell r="D3560" t="str"><v>43306223934062</v></cell><cell r="E3560" t="str"><v>43306103043823PRC1SV</v></cell><cell r="F3560" t="str"><v>DCM</v></cell><cell r="G3560" t="str"><v>https://signup.azure.com/?OCID=AID%eexcid!_OLA_%ebuy!_%epid!_%ecid!</v></cell></row><row r="3560"><cell r="K3560" t="str"><v>July</v></cell><cell r="L3560"><v>43309</v></cell><cell r="M3560" t="str"><v>Tier 0</v></cell><cell r="N3560" t="str"><v>North America</v></cell><cell r="O3560" t="str"><v>United States</v></cell><cell r="P3560" t="str"><v>Trial</v></cell><cell r="Q3560" t="str"><v>Social</v></cell><cell r="R3560" t="str"><v>Azure</v></cell><cell r="S3560" t="str"><v>Apps & Infra</v></cell><cell r="T3560" t="str"><v>Developers & ITI's</v></cell><cell r="U3560" t="str"><v>USA-Trial-ITD-Interest Prospecting-AZR-AZR</v></cell><cell r="V3560" t="str"><v>Prospecting</v></cell><cell r="W3560" t="str"><v>Canvas Ad</v></cell><cell r="X3560" t="str"><v>1x1</v></cell></row><row r="3560"><cell r="AA3560"><v>43306</v></cell><cell r="AB3560" t="str"><v>USA_gaPMG_AZR_AZR_Q1_19_Direct-Social</v></cell><cell r="AC3560"><v>21358715</v></cell><cell r="AD3560"><v>720197</v></cell><cell r="AE3560" t="str"><v>Facebook</v></cell><cell r="AF3560"><v>3654128</v></cell><cell r="AG3560" t="str"><v>FACEBOOK»USA-Trial-ITD-Interest Prospecting-AZR-AZR»1 x 1»SocialBan»CAN»ALL»CPA»PRO»X»NA»SS»NA»FBCTCBasicMotion»PRC1SV</v></cell><cell r="AH3560"><v>223934062</v></cell><cell r="AI3560" t="str"><v>AzurePlatform_FBCTCBasicMotion_USA_10s_CAN_PLATFORM_English_Trial_Standard_STAN_TIN_T1_1</v></cell><cell r="AJ3560"><v>103043823</v></cell></row><row r="3561"><cell r="C3561" t="str"><v>43306FACEBOOK»USA-Trial-ITD-Interest Prospecting-AZR-AZR»1 x 1»SocialBan»CAN»ALL»CPA»PRO»X»NA»SS»NA»FBCTCBenefit2inMotion»PRC1SW</v></cell><cell r="D3561" t="str"><v>43306223933138</v></cell><cell r="E3561" t="str"><v>43306103043835PRC1SW</v></cell><cell r="F3561" t="str"><v>DCM</v></cell><cell r="G3561" t="str"><v>https://signup.azure.com/?OCID=AID%eexcid!_OLA_%ebuy!_%epid!_%ecid!</v></cell></row><row r="3561"><cell r="K3561" t="str"><v>July</v></cell><cell r="L3561"><v>43309</v></cell><cell r="M3561" t="str"><v>Tier 0</v></cell><cell r="N3561" t="str"><v>North America</v></cell><cell r="O3561" t="str"><v>United States</v></cell><cell r="P3561" t="str"><v>Trial</v></cell><cell r="Q3561" t="str"><v>Social</v></cell><cell r="R3561" t="str"><v>Azure</v></cell><cell r="S3561" t="str"><v>Apps & Infra</v></cell><cell r="T3561" t="str"><v>Developers & ITI's</v></cell><cell r="U3561" t="str"><v>USA-Trial-ITD-Interest Prospecting-AZR-AZR</v></cell><cell r="V3561" t="str"><v>Prospecting</v></cell><cell r="W3561" t="str"><v>Canvas Ad</v></cell><cell r="X3561" t="str"><v>1x1</v></cell></row><row r="3561"><cell r="AA3561"><v>43306</v></cell><cell r="AB3561" t="str"><v>USA_gaPMG_AZR_AZR_Q1_19_Direct-Social</v></cell><cell r="AC3561"><v>21358715</v></cell><cell r="AD3561"><v>720197</v></cell><cell r="AE3561" t="str"><v>Facebook</v></cell><cell r="AF3561"><v>3654128</v></cell><cell r="AG3561" t="str"><v>FACEBOOK»USA-Trial-ITD-Interest Prospecting-AZR-AZR»1 x 1»SocialBan»CAN»ALL»CPA»PRO»X»NA»SS»NA»FBCTCBenefit2inMotion»PRC1SW</v></cell><cell r="AH3561"><v>223933138</v></cell><cell r="AI3561" t="str"><v>AzurePlatform_FBCTCBenefit2inMotion_USA_10s_CAN_PLATFORM_English_Trial_Standard_STAN_TIN_T4_1</v></cell><cell r="AJ3561"><v>103043835</v></cell></row><row r="3562"><cell r="C3562" t="str"><v>43306FACEBOOK»USA-Trial-ITD-Interest Prospecting-AZR-AZR»1 x 1»SocialBan»CAN»ALL»CPA»PRO»X»NA»SS»NA»FBCTCBenefit2inMotion»PRC1SW</v></cell><cell r="D3562" t="str"><v>43306223933138</v></cell><cell r="E3562" t="str"><v>43306103178645PRC1SW</v></cell><cell r="F3562" t="str"><v>DCM</v></cell><cell r="G3562" t="str"><v>https://azure.microsoft.com/en-us/pricing/purchase-options/?v=18.19&OCID=AID%eexcid!_OLA_%ebuy!_%epid!_%ecid!</v></cell></row><row r="3562"><cell r="K3562" t="str"><v>July</v></cell><cell r="L3562"><v>43309</v></cell><cell r="M3562" t="str"><v>Tier 0</v></cell><cell r="N3562" t="str"><v>North America</v></cell><cell r="O3562" t="str"><v>United States</v></cell><cell r="P3562" t="str"><v>Trial</v></cell><cell r="Q3562" t="str"><v>Social</v></cell><cell r="R3562" t="str"><v>Azure</v></cell><cell r="S3562" t="str"><v>Apps & Infra</v></cell><cell r="T3562" t="str"><v>Developers & ITI's</v></cell><cell r="U3562" t="str"><v>USA-Trial-ITD-Interest Prospecting-AZR-AZR</v></cell><cell r="V3562" t="str"><v>Prospecting</v></cell><cell r="W3562" t="str"><v>Canvas Ad</v></cell><cell r="X3562" t="str"><v>1x1</v></cell></row><row r="3562"><cell r="AA3562"><v>43306</v></cell><cell r="AB3562" t="str"><v>USA_gaPMG_AZR_AZR_Q1_19_Direct-Social</v></cell><cell r="AC3562"><v>21358715</v></cell><cell r="AD3562"><v>720197</v></cell><cell r="AE3562" t="str"><v>Facebook</v></cell><cell r="AF3562"><v>3654128</v></cell><cell r="AG3562" t="str"><v>FACEBOOK»USA-Trial-ITD-Interest Prospecting-AZR-AZR»1 x 1»SocialBan»CAN»ALL»CPA»PRO»X»NA»SS»NA»FBCTCBenefit2inMotion»PRC1SW</v></cell><cell r="AH3562"><v>223933138</v></cell><cell r="AI3562" t="str"><v>AzurePlatform_FBCTCBenefit2inMotion_USA_10s_CAN_PLATFORM_English_Trial_Standard_STAN_TIN_T4_2</v></cell><cell r="AJ3562"><v>103178645</v></cell></row><row r="3563"><cell r="C3563" t="str"><v>43306FACEBOOK»USA-Trial-ITD-Interest Prospecting-AZR-AZR»1 x 1»SocialBan»CAN»ALL»CPA»PRO»X»NA»SS»NA»FBCTCBrandinMotion»PRC1SY</v></cell><cell r="D3563" t="str"><v>43306224104929</v></cell><cell r="E3563" t="str"><v>43306103176812PRC1SY</v></cell><cell r="F3563" t="str"><v>DCM</v></cell><cell r="G3563" t="str"><v>https://signup.azure.com/?OCID=AID%eexcid!_OLA_%ebuy!_%epid!_%ecid!</v></cell></row><row r="3563"><cell r="K3563" t="str"><v>July</v></cell><cell r="L3563"><v>43309</v></cell><cell r="M3563" t="str"><v>Tier 0</v></cell><cell r="N3563" t="str"><v>North America</v></cell><cell r="O3563" t="str"><v>United States</v></cell><cell r="P3563" t="str"><v>Trial</v></cell><cell r="Q3563" t="str"><v>Social</v></cell><cell r="R3563" t="str"><v>Azure</v></cell><cell r="S3563" t="str"><v>Apps & Infra</v></cell><cell r="T3563" t="str"><v>Developers & ITI's</v></cell><cell r="U3563" t="str"><v>USA-Trial-ITD-Interest Prospecting-AZR-AZR</v></cell><cell r="V3563" t="str"><v>Prospecting</v></cell><cell r="W3563" t="str"><v>Canvas Ad</v></cell><cell r="X3563" t="str"><v>1x1</v></cell></row><row r="3563"><cell r="AA3563"><v>43306</v></cell><cell r="AB3563" t="str"><v>USA_gaPMG_AZR_AZR_Q1_19_Direct-Social</v></cell><cell r="AC3563"><v>21358715</v></cell><cell r="AD3563"><v>720197</v></cell><cell r="AE3563" t="str"><v>Facebook</v></cell><cell r="AF3563"><v>3654128</v></cell><cell r="AG3563" t="str"><v>FACEBOOK»USA-Trial-ITD-Interest Prospecting-AZR-AZR»1 x 1»SocialBan»CAN»ALL»CPA»PRO»X»NA»SS»NA»FBCTCBrandinMotion»PRC1SY</v></cell><cell r="AH3563"><v>224104929</v></cell><cell r="AI3563" t="str"><v>AzurePlatform_FBCTCBrandinMotion_USA_10s_CAN_PLATFORM_English_Trial_Standard_STAN_TIN_T2_1</v></cell><cell r="AJ3563"><v>103176812</v></cell></row><row r="3564"><cell r="C3564" t="str"><v>43306FACEBOOK»USA-Trial-ITD-Interest Prospecting-AZR-AZR»1 x 1»SocialBan»CAN»ALL»CPA»PRO»X»NA»SS»NA»FBCTCBrandinMotion»PRC1SY</v></cell><cell r="D3564" t="str"><v>43306224104929</v></cell><cell r="E3564" t="str"><v>43306103032823PRC1SY</v></cell><cell r="F3564" t="str"><v>DCM</v></cell><cell r="G3564" t="str"><v>https://azure.microsoft.com/en-us/pricing/purchase-options/?v=18.19&OCID=AID%eexcid!_OLA_%ebuy!_%epid!_%ecid!</v></cell></row><row r="3564"><cell r="K3564" t="str"><v>July</v></cell><cell r="L3564"><v>43309</v></cell><cell r="M3564" t="str"><v>Tier 0</v></cell><cell r="N3564" t="str"><v>North America</v></cell><cell r="O3564" t="str"><v>United States</v></cell><cell r="P3564" t="str"><v>Trial</v></cell><cell r="Q3564" t="str"><v>Social</v></cell><cell r="R3564" t="str"><v>Azure</v></cell><cell r="S3564" t="str"><v>Apps & Infra</v></cell><cell r="T3564" t="str"><v>Developers & ITI's</v></cell><cell r="U3564" t="str"><v>USA-Trial-ITD-Interest Prospecting-AZR-AZR</v></cell><cell r="V3564" t="str"><v>Prospecting</v></cell><cell r="W3564" t="str"><v>Canvas Ad</v></cell><cell r="X3564" t="str"><v>1x1</v></cell></row><row r="3564"><cell r="AA3564"><v>43306</v></cell><cell r="AB3564" t="str"><v>USA_gaPMG_AZR_AZR_Q1_19_Direct-Social</v></cell><cell r="AC3564"><v>21358715</v></cell><cell r="AD3564"><v>720197</v></cell><cell r="AE3564" t="str"><v>Facebook</v></cell><cell r="AF3564"><v>3654128</v></cell><cell r="AG3564" t="str"><v>FACEBOOK»USA-Trial-ITD-Interest Prospecting-AZR-AZR»1 x 1»SocialBan»CAN»ALL»CPA»PRO»X»NA»SS»NA»FBCTCBrandinMotion»PRC1SY</v></cell><cell r="AH3564"><v>224104929</v></cell><cell r="AI3564" t="str"><v>AzurePlatform_FBCTCBrandinMotion_USA_10s_CAN_PLATFORM_English_Trial_Standard_STAN_TIN_T2_2</v></cell><cell r="AJ3564"><v>103032823</v></cell></row><row r="3565"><cell r="C3565" t="str"><v>43306FACEBOOK»USA-Trial-ITD-Interest Prospecting-AZR-AZR»1 x 1»SocialBan»LIA»ALL»CPA»PRO»X»NA»SS»NA»FreeAcctDeveloperFB-AnimatedGeneric-Ch1»PRC1SZ</v></cell><cell r="D3565" t="str"><v>43306224104932</v></cell><cell r="E3565" t="str"><v>43306103176851PRC1SZ</v></cell><cell r="F3565" t="str"><v>DCM</v></cell><cell r="G3565" t="str"><v>https://azure.microsoft.com/en-us/free/search/?OCID=AID%eexcid!_OLA_%ebuy!_%epid!_%ecid!</v></cell></row><row r="3565"><cell r="K3565" t="str"><v>July</v></cell><cell r="L3565"><v>43309</v></cell><cell r="M3565" t="str"><v>Tier 0</v></cell><cell r="N3565" t="str"><v>North America</v></cell><cell r="O3565" t="str"><v>United States</v></cell><cell r="P3565" t="str"><v>Trial</v></cell><cell r="Q3565" t="str"><v>Social</v></cell><cell r="R3565" t="str"><v>Azure</v></cell><cell r="S3565" t="str"><v>Apps & Infra</v></cell><cell r="T3565" t="str"><v>Developers & ITI's</v></cell><cell r="U3565" t="str"><v>USA-Trial-ITD-Interest Prospecting-AZR-AZR</v></cell><cell r="V3565" t="str"><v>Prospecting</v></cell><cell r="W3565" t="str"><v>Link Ad</v></cell><cell r="X3565" t="str"><v>1x1</v></cell></row><row r="3565"><cell r="AA3565"><v>43306</v></cell><cell r="AB3565" t="str"><v>USA_gaPMG_AZR_AZR_Q1_19_Direct-Social</v></cell><cell r="AC3565"><v>21358715</v></cell><cell r="AD3565"><v>720197</v></cell><cell r="AE3565" t="str"><v>Facebook</v></cell><cell r="AF3565"><v>3654128</v></cell><cell r="AG3565" t="str"><v>FACEBOOK»USA-Trial-ITD-Interest Prospecting-AZR-AZR»1 x 1»SocialBan»LIA»ALL»CPA»PRO»X»NA»SS»NA»FreeAcctDeveloperFB-AnimatedGeneric-Ch1»PRC1SZ</v></cell><cell r="AH3565"><v>224104932</v></cell><cell r="AI3565" t="str"><v>AZR_FreeAcctDeveloperFB-AnimatedGeneric-Ch1_USA_1200x1200_CAN_Direct_English_Trial_Standard_ANI_LEA_T1_2</v></cell><cell r="AJ3565"><v>103176851</v></cell></row><row r="3566"><cell r="C3566" t="str"><v>43306FACEBOOK»USA-Trial-ITD-Interest Prospecting-AZR-AZR»1 x 1»SocialBan»LIA»ALL»CPA»PRO»X»NA»SS»NA»FreeAcctDeveloperFB-AnimatedGeneric-Ch1»PRC1T0</v></cell><cell r="D3566" t="str"><v>43306223934065</v></cell><cell r="E3566" t="str"><v>43306103176851PRC1T0</v></cell><cell r="F3566" t="str"><v>DCM</v></cell><cell r="G3566" t="str"><v>https://azure.microsoft.com/en-us/free/search/?OCID=AID%eexcid!_OLA_%ebuy!_%epid!_%ecid!</v></cell></row><row r="3566"><cell r="K3566" t="str"><v>July</v></cell><cell r="L3566"><v>43309</v></cell><cell r="M3566" t="str"><v>Tier 0</v></cell><cell r="N3566" t="str"><v>North America</v></cell><cell r="O3566" t="str"><v>United States</v></cell><cell r="P3566" t="str"><v>Trial</v></cell><cell r="Q3566" t="str"><v>Social</v></cell><cell r="R3566" t="str"><v>Azure</v></cell><cell r="S3566" t="str"><v>Apps & Infra</v></cell><cell r="T3566" t="str"><v>Developers & ITI's</v></cell><cell r="U3566" t="str"><v>USA-Trial-ITD-Interest Prospecting-AZR-AZR</v></cell><cell r="V3566" t="str"><v>Prospecting</v></cell><cell r="W3566" t="str"><v>Link Ad</v></cell><cell r="X3566" t="str"><v>1x1</v></cell></row><row r="3566"><cell r="AA3566"><v>43306</v></cell><cell r="AB3566" t="str"><v>USA_gaPMG_AZR_AZR_Q1_19_Direct-Social</v></cell><cell r="AC3566"><v>21358715</v></cell><cell r="AD3566"><v>720197</v></cell><cell r="AE3566" t="str"><v>Facebook</v></cell><cell r="AF3566"><v>3654128</v></cell><cell r="AG3566" t="str"><v>FACEBOOK»USA-Trial-ITD-Interest Prospecting-AZR-AZR»1 x 1»SocialBan»LIA»ALL»CPA»PRO»X»NA»SS»NA»FreeAcctDeveloperFB-AnimatedGeneric-Ch1»PRC1T0</v></cell><cell r="AH3566"><v>223934065</v></cell><cell r="AI3566" t="str"><v>AZR_FreeAcctDeveloperFB-AnimatedGeneric-Ch1_USA_1200x1200_CAN_Direct_English_Trial_Standard_ANI_LEA_T1_2</v></cell><cell r="AJ3566"><v>103176851</v></cell></row><row r="3567"><cell r="C3567" t="str"><v>43306FACEBOOK»USA-Trial-ITD-Interest Prospecting-AZR-AZR»1 x 1»SocialBan»LIA»ALL»CPA»PRO»X»NA»SS»NA»FreeAcctITProFB-AnimatedHybrid-Ch2»PRC1T5</v></cell><cell r="D3567" t="str"><v>43306223862882</v></cell><cell r="E3567" t="str"><v>43306103180583PRC1T5</v></cell><cell r="F3567" t="str"><v>DCM</v></cell></row><row r="3567"><cell r="K3567" t="str"><v>July</v></cell><cell r="L3567"><v>43309</v></cell><cell r="M3567" t="str"><v>Tier 0</v></cell><cell r="N3567" t="str"><v>North America</v></cell><cell r="O3567" t="str"><v>United States</v></cell><cell r="P3567" t="str"><v>Trial</v></cell><cell r="Q3567" t="str"><v>Social</v></cell><cell r="R3567" t="str"><v>Azure</v></cell><cell r="S3567" t="str"><v>Apps & Infra</v></cell><cell r="T3567" t="str"><v>Developers & ITI's</v></cell><cell r="U3567" t="str"><v>USA-Trial-ITD-Interest Prospecting-AZR-AZR</v></cell><cell r="V3567" t="str"><v>Prospecting</v></cell><cell r="W3567" t="str"><v>Link Ad</v></cell><cell r="X3567" t="str"><v>1x1</v></cell></row><row r="3567"><cell r="AA3567"><v>43306</v></cell><cell r="AB3567" t="str"><v>USA_gaPMG_AZR_AZR_Q1_19_Direct-Social</v></cell><cell r="AC3567"><v>21358715</v></cell><cell r="AD3567"><v>720197</v></cell><cell r="AE3567" t="str"><v>Facebook</v></cell><cell r="AF3567"><v>3654128</v></cell><cell r="AG3567" t="str"><v>FACEBOOK»USA-Trial-ITD-Interest Prospecting-AZR-AZR»1 x 1»SocialBan»LIA»ALL»CPA»PRO»X»NA»SS»NA»FreeAcctITProFB-AnimatedHybrid-Ch2»PRC1T5</v></cell><cell r="AH3567"><v>223862882</v></cell><cell r="AI3567" t="str"><v>AZR_FreeAcctITProFB-AnimatedHybrid-Ch2_USA_1200x1200_CAN_Direct_English_Trial_Standard_ANI_LEA_T2_2</v></cell><cell r="AJ3567"><v>103180583</v></cell></row><row r="3568"><cell r="C3568" t="str"><v>43306FACEBOOK»USA-Trial-ITD-Interest Prospecting-AZR-AZR»1 x 1»SocialBan»LIA»ALL»CPA»PRO»X»NA»SS»NA»FreeAcctITProFB-AnimatedSecureMngd-Ch1»PRC1T4</v></cell><cell r="D3568" t="str"><v>43306224104914</v></cell><cell r="E3568" t="str"><v>43306103176830PRC1T4</v></cell><cell r="F3568" t="str"><v>DCM</v></cell></row><row r="3568"><cell r="K3568" t="str"><v>July</v></cell><cell r="L3568"><v>43309</v></cell><cell r="M3568" t="str"><v>Tier 0</v></cell><cell r="N3568" t="str"><v>North America</v></cell><cell r="O3568" t="str"><v>United States</v></cell><cell r="P3568" t="str"><v>Trial</v></cell><cell r="Q3568" t="str"><v>Social</v></cell><cell r="R3568" t="str"><v>Azure</v></cell><cell r="S3568" t="str"><v>Apps & Infra</v></cell><cell r="T3568" t="str"><v>Developers & ITI's</v></cell><cell r="U3568" t="str"><v>USA-Trial-ITD-Interest Prospecting-AZR-AZR</v></cell><cell r="V3568" t="str"><v>Prospecting</v></cell><cell r="W3568" t="str"><v>Link Ad</v></cell><cell r="X3568" t="str"><v>1x1</v></cell></row><row r="3568"><cell r="AA3568"><v>43306</v></cell><cell r="AB3568" t="str"><v>USA_gaPMG_AZR_AZR_Q1_19_Direct-Social</v></cell><cell r="AC3568"><v>21358715</v></cell><cell r="AD3568"><v>720197</v></cell><cell r="AE3568" t="str"><v>Facebook</v></cell><cell r="AF3568"><v>3654128</v></cell><cell r="AG3568" t="str"><v>FACEBOOK»USA-Trial-ITD-Interest Prospecting-AZR-AZR»1 x 1»SocialBan»LIA»ALL»CPA»PRO»X»NA»SS»NA»FreeAcctITProFB-AnimatedSecureMngd-Ch1»PRC1T4</v></cell><cell r="AH3568"><v>224104914</v></cell><cell r="AI3568" t="str"><v>AZR_FreeAcctITProFB-AnimatedSecureMngd-Ch1_USA_1200x1200_CAN_Direct_English_Trial_Standard_ANI_LEA_T1_1</v></cell><cell r="AJ3568"><v>103176830</v></cell></row><row r="3569"><cell r="C3569" t="str"><v>43306FACEBOOK»USA-Trial-ITD-Interest Prospecting-AZR-AZR»1 x 1»SocialBan»CAN»ALL»CPA»PRO»X»NA»SS»NA»FBCTCBenefitinMotion»PRC1SX</v></cell><cell r="D3569" t="str"><v>43306224104077</v></cell><cell r="E3569" t="str"><v>43306103032775PRC1SX</v></cell><cell r="F3569" t="str"><v>DCM</v></cell><cell r="G3569" t="str"><v>https://signup.azure.com/?OCID=AID%eexcid!_OLA_%ebuy!_%epid!_%ecid!</v></cell></row><row r="3569"><cell r="K3569" t="str"><v>July</v></cell><cell r="L3569"><v>43309</v></cell><cell r="M3569" t="str"><v>Tier 0</v></cell><cell r="N3569" t="str"><v>North America</v></cell><cell r="O3569" t="str"><v>United States</v></cell><cell r="P3569" t="str"><v>Trial</v></cell><cell r="Q3569" t="str"><v>Social</v></cell><cell r="R3569" t="str"><v>Azure</v></cell><cell r="S3569" t="str"><v>Apps & Infra</v></cell><cell r="T3569" t="str"><v>Developers & ITI's</v></cell><cell r="U3569" t="str"><v>USA-Trial-ITD-Interest Prospecting-AZR-AZR</v></cell><cell r="V3569" t="str"><v>Prospecting</v></cell><cell r="W3569" t="str"><v>Canvas Ad</v></cell><cell r="X3569" t="str"><v>1x1</v></cell></row><row r="3569"><cell r="AA3569"><v>43306</v></cell><cell r="AB3569" t="str"><v>USA_gaPMG_AZR_AZR_Q1_19_Direct-Social</v></cell><cell r="AC3569"><v>21358715</v></cell><cell r="AD3569"><v>720197</v></cell><cell r="AE3569" t="str"><v>Facebook</v></cell><cell r="AF3569"><v>3654128</v></cell><cell r="AG3569" t="str"><v>FACEBOOK»USA-Trial-ITD-Interest Prospecting-AZR-AZR»1 x 1»SocialBan»CAN»ALL»CPA»PRO»X»NA»SS»NA»FBCTCBenefitinMotion»PRC1SX</v></cell><cell r="AH3569"><v>224104077</v></cell><cell r="AI3569" t="str"><v>AzurePlatform_FBCTCBenefitinMotion_USA_10s_CAN_PLATFORM_English_Trial_Standard_STAN_TIN_T3_1</v></cell><cell r="AJ3569"><v>103032775</v></cell></row><row r="3570"><cell r="C3570" t="str"><v>43306FACEBOOK»USA-Trial-ITD-Interest Prospecting-AZR-AZR»1 x 1»SocialBan»CCA»ALL»CPA»PRO»X»NA»SS»NA»Azure Developer Facebook Collections»PRSGV0</v></cell><cell r="D3570" t="str"><v>43306225283843</v></cell><cell r="E3570" t="str"><v>43306103773177PRSGV0</v></cell><cell r="F3570" t="str"><v>DCM</v></cell><cell r="G3570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3570"><cell r="K3570" t="str"><v>July</v></cell><cell r="L3570"><v>43309</v></cell><cell r="M3570" t="str"><v>Tier 0</v></cell><cell r="N3570" t="str"><v>North America</v></cell><cell r="O3570" t="str"><v>United States</v></cell><cell r="P3570" t="str"><v>Trial</v></cell><cell r="Q3570" t="str"><v>Social</v></cell><cell r="R3570" t="str"><v>Azure</v></cell><cell r="S3570" t="str"><v>Apps & Infra</v></cell><cell r="T3570" t="str"><v>Developers & ITI's</v></cell><cell r="U3570" t="str"><v>USA-Trial-ITD-Interest Prospecting-AZR-AZR</v></cell><cell r="V3570" t="str"><v>Prospecting</v></cell><cell r="W3570" t="str"><v>Canvas Collection Ad</v></cell><cell r="X3570" t="str"><v>1x1</v></cell></row><row r="3570"><cell r="AA3570"><v>43306</v></cell><cell r="AB3570" t="str"><v>USA_gaPMG_AZR_AZR_Q1_19_Direct-Social</v></cell><cell r="AC3570"><v>21358715</v></cell><cell r="AD3570"><v>720197</v></cell><cell r="AE3570" t="str"><v>Facebook</v></cell><cell r="AF3570"><v>3654128</v></cell><cell r="AG3570" t="str"><v>FACEBOOK»USA-Trial-ITD-Interest Prospecting-AZR-AZR»1 x 1»SocialBan»CCA»ALL»CPA»PRO»X»NA»SS»NA»Azure Developer Facebook Collections»PRSGV0</v></cell><cell r="AH3570"><v>225283843</v></cell><cell r="AI3570" t="str"><v>AZR_FBCollections-AITryAzureFreeCTA-Img2_USA_1200x182_SOC_Plat_EN_NA_Standard_NA_TIN_T1_2</v></cell><cell r="AJ3570"><v>103773177</v></cell></row><row r="3571"><cell r="C3571" t="str"><v>43306FACEBOOK»USA-Trial-ITD-Interest Prospecting-AZR-AZR»1 x 1»SocialBan»CCA»ALL»CPA»PRO»X»NA»SS»NA»Azure Developer Facebook Collections»PRSGV0</v></cell><cell r="D3571" t="str"><v>43306225283843</v></cell><cell r="E3571" t="str"><v>43306103874423PRSGV0</v></cell><cell r="F3571" t="str"><v>DCM</v></cell><cell r="G3571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3571"><cell r="K3571" t="str"><v>July</v></cell><cell r="L3571"><v>43309</v></cell><cell r="M3571" t="str"><v>Tier 0</v></cell><cell r="N3571" t="str"><v>North America</v></cell><cell r="O3571" t="str"><v>United States</v></cell><cell r="P3571" t="str"><v>Trial</v></cell><cell r="Q3571" t="str"><v>Social</v></cell><cell r="R3571" t="str"><v>Azure</v></cell><cell r="S3571" t="str"><v>Apps & Infra</v></cell><cell r="T3571" t="str"><v>Developers & ITI's</v></cell><cell r="U3571" t="str"><v>USA-Trial-ITD-Interest Prospecting-AZR-AZR</v></cell><cell r="V3571" t="str"><v>Prospecting</v></cell><cell r="W3571" t="str"><v>Canvas Collection Ad</v></cell><cell r="X3571" t="str"><v>1x1</v></cell></row><row r="3571"><cell r="AA3571"><v>43306</v></cell><cell r="AB3571" t="str"><v>USA_gaPMG_AZR_AZR_Q1_19_Direct-Social</v></cell><cell r="AC3571"><v>21358715</v></cell><cell r="AD3571"><v>720197</v></cell><cell r="AE3571" t="str"><v>Facebook</v></cell><cell r="AF3571"><v>3654128</v></cell><cell r="AG3571" t="str"><v>FACEBOOK»USA-Trial-ITD-Interest Prospecting-AZR-AZR»1 x 1»SocialBan»CCA»ALL»CPA»PRO»X»NA»SS»NA»Azure Developer Facebook Collections»PRSGV0</v></cell><cell r="AH3571"><v>225283843</v></cell><cell r="AI3571" t="str"><v>AZR_FBCollections-TryAzureFreeCTA-Img1_USA_1200x182_SOC_Plat_EN_NA_Standard_NA_TIN_T1_1</v></cell><cell r="AJ3571"><v>103874423</v></cell></row><row r="3572"><cell r="C3572" t="str"><v>43306FACEBOOK»USA-Trial-ITD-Retargeting-AZR-AZR»1 x 1»SocialBan»LIA»ALL»CPA»RT»X»NA»SS»NA»FreeAcctDeveloperFB-AnimatedAI-Ch3»PRC26H</v></cell><cell r="D3572" t="str"><v>43306223863371</v></cell><cell r="E3572" t="str"><v>43306103032778PRC26H</v></cell><cell r="F3572" t="str"><v>DCM</v></cell></row><row r="3572"><cell r="K3572" t="str"><v>July</v></cell><cell r="L3572"><v>43309</v></cell><cell r="M3572" t="str"><v>Tier 0</v></cell><cell r="N3572" t="str"><v>North America</v></cell><cell r="O3572" t="str"><v>United States</v></cell><cell r="P3572" t="str"><v>Trial</v></cell><cell r="Q3572" t="str"><v>Social</v></cell><cell r="R3572" t="str"><v>Azure</v></cell><cell r="S3572" t="str"><v>Apps & Infra</v></cell><cell r="T3572" t="str"><v>Developers & ITI's</v></cell><cell r="U3572" t="str"><v>USA-Trial-ITD-Retargeting-AZR-AZR</v></cell><cell r="V3572" t="str"><v>Retargeting</v></cell><cell r="W3572" t="str"><v>Link Ad</v></cell><cell r="X3572" t="str"><v>1x1</v></cell></row><row r="3572"><cell r="AA3572"><v>43306</v></cell><cell r="AB3572" t="str"><v>USA_gaPMG_AZR_AZR_Q1_19_Direct-Social</v></cell><cell r="AC3572"><v>21358715</v></cell><cell r="AD3572"><v>720197</v></cell><cell r="AE3572" t="str"><v>Facebook</v></cell><cell r="AF3572"><v>3654128</v></cell><cell r="AG3572" t="str"><v>FACEBOOK»USA-Trial-ITD-Retargeting-AZR-AZR»1 x 1»SocialBan»LIA»ALL»CPA»RT»X»NA»SS»NA»FreeAcctDeveloperFB-AnimatedAI-Ch3»PRC26H</v></cell><cell r="AH3572"><v>223863371</v></cell><cell r="AI3572" t="str"><v>AZR_FreeAcctDeveloperFB-AnimatedAI-Ch3_USA_1200x1200_CAN_Direct_English_Trial_Standard_ANI_LEA_T3_1</v></cell><cell r="AJ3572"><v>103032778</v></cell></row><row r="3573"><cell r="C3573" t="str"><v>43306FACEBOOK»USA-Trial-ITD-Retargeting-AZR-AZR»1 x 1»SocialBan»LIA»ALL»CPA»RT»X»NA»SS»NA»FreeAcctDeveloperFB-AnimatedData-Ch4»PRC26J</v></cell><cell r="D3573" t="str"><v>43306224106078</v></cell><cell r="E3573" t="str"><v>43306103037935PRC26J</v></cell><cell r="F3573" t="str"><v>DCM</v></cell></row><row r="3573"><cell r="K3573" t="str"><v>July</v></cell><cell r="L3573"><v>43309</v></cell><cell r="M3573" t="str"><v>Tier 0</v></cell><cell r="N3573" t="str"><v>North America</v></cell><cell r="O3573" t="str"><v>United States</v></cell><cell r="P3573" t="str"><v>Trial</v></cell><cell r="Q3573" t="str"><v>Social</v></cell><cell r="R3573" t="str"><v>Azure</v></cell><cell r="S3573" t="str"><v>Apps & Infra</v></cell><cell r="T3573" t="str"><v>Developers & ITI's</v></cell><cell r="U3573" t="str"><v>USA-Trial-ITD-Retargeting-AZR-AZR</v></cell><cell r="V3573" t="str"><v>Retargeting</v></cell><cell r="W3573" t="str"><v>Link Ad</v></cell><cell r="X3573" t="str"><v>1x1</v></cell></row><row r="3573"><cell r="AA3573"><v>43306</v></cell><cell r="AB3573" t="str"><v>USA_gaPMG_AZR_AZR_Q1_19_Direct-Social</v></cell><cell r="AC3573"><v>21358715</v></cell><cell r="AD3573"><v>720197</v></cell><cell r="AE3573" t="str"><v>Facebook</v></cell><cell r="AF3573"><v>3654128</v></cell><cell r="AG3573" t="str"><v>FACEBOOK»USA-Trial-ITD-Retargeting-AZR-AZR»1 x 1»SocialBan»LIA»ALL»CPA»RT»X»NA»SS»NA»FreeAcctDeveloperFB-AnimatedData-Ch4»PRC26J</v></cell><cell r="AH3573"><v>224106078</v></cell><cell r="AI3573" t="str"><v>AZR_FreeAcctDeveloperFB-AnimatedData-Ch4_USA_1200x1200_CAN_Direct_English_Trial_Standard_ANI_LEA_T4_2</v></cell><cell r="AJ3573"><v>103037935</v></cell></row><row r="3574"><cell r="C3574" t="str"><v>43306FACEBOOK»USA-Trial-ITD-Retargeting-AZR-AZR»1 x 1»SocialBan»LIA»ALL»CPA»RT»X»NA»SS»NA»FreeAcctDeveloperFB-AnimatedGeneric-Ch1»PRC26F</v></cell><cell r="D3574" t="str"><v>43306224105850</v></cell><cell r="E3574" t="str"><v>43306103176851PRC26F</v></cell><cell r="F3574" t="str"><v>DCM</v></cell><cell r="G3574" t="str"><v>https://azure.microsoft.com/en-us/free/search/?OCID=AID%eexcid!_OLA_%ebuy!_%epid!_%ecid!</v></cell></row><row r="3574"><cell r="K3574" t="str"><v>July</v></cell><cell r="L3574"><v>43309</v></cell><cell r="M3574" t="str"><v>Tier 0</v></cell><cell r="N3574" t="str"><v>North America</v></cell><cell r="O3574" t="str"><v>United States</v></cell><cell r="P3574" t="str"><v>Trial</v></cell><cell r="Q3574" t="str"><v>Social</v></cell><cell r="R3574" t="str"><v>Azure</v></cell><cell r="S3574" t="str"><v>Apps & Infra</v></cell><cell r="T3574" t="str"><v>Developers & ITI's</v></cell><cell r="U3574" t="str"><v>USA-Trial-ITD-Retargeting-AZR-AZR</v></cell><cell r="V3574" t="str"><v>Retargeting</v></cell><cell r="W3574" t="str"><v>Link Ad</v></cell><cell r="X3574" t="str"><v>1x1</v></cell></row><row r="3574"><cell r="AA3574"><v>43306</v></cell><cell r="AB3574" t="str"><v>USA_gaPMG_AZR_AZR_Q1_19_Direct-Social</v></cell><cell r="AC3574"><v>21358715</v></cell><cell r="AD3574"><v>720197</v></cell><cell r="AE3574" t="str"><v>Facebook</v></cell><cell r="AF3574"><v>3654128</v></cell><cell r="AG3574" t="str"><v>FACEBOOK»USA-Trial-ITD-Retargeting-AZR-AZR»1 x 1»SocialBan»LIA»ALL»CPA»RT»X»NA»SS»NA»FreeAcctDeveloperFB-AnimatedGeneric-Ch1»PRC26F</v></cell><cell r="AH3574"><v>224105850</v></cell><cell r="AI3574" t="str"><v>AZR_FreeAcctDeveloperFB-AnimatedGeneric-Ch1_USA_1200x1200_CAN_Direct_English_Trial_Standard_ANI_LEA_T1_2</v></cell><cell r="AJ3574"><v>103176851</v></cell></row><row r="3575"><cell r="C3575" t="str"><v>43306FACEBOOK»USA-Trial-ITD-Retargeting-AZR-AZR»1 x 1»SocialBan»LIA»ALL»CPA»RT»X»NA»SS»NA»FreeAcctDeveloperFB-AnimatedOpenSource-Ch2»PRC26G</v></cell><cell r="D3575" t="str"><v>43306223862873</v></cell><cell r="E3575" t="str"><v>43306103048329PRC26G</v></cell><cell r="F3575" t="str"><v>DCM</v></cell><cell r="G3575" t="str"><v>https://azure.microsoft.com/en-us/free/open-source/search/?OCID=AID%eexcid!_OLA_%ebuy!_%epid!_%ecid!</v></cell></row><row r="3575"><cell r="K3575" t="str"><v>July</v></cell><cell r="L3575"><v>43309</v></cell><cell r="M3575" t="str"><v>Tier 0</v></cell><cell r="N3575" t="str"><v>North America</v></cell><cell r="O3575" t="str"><v>United States</v></cell><cell r="P3575" t="str"><v>Trial</v></cell><cell r="Q3575" t="str"><v>Social</v></cell><cell r="R3575" t="str"><v>Azure</v></cell><cell r="S3575" t="str"><v>Apps & Infra</v></cell><cell r="T3575" t="str"><v>Developers & ITI's</v></cell><cell r="U3575" t="str"><v>USA-Trial-ITD-Retargeting-AZR-AZR</v></cell><cell r="V3575" t="str"><v>Retargeting</v></cell><cell r="W3575" t="str"><v>Link Ad</v></cell><cell r="X3575" t="str"><v>1x1</v></cell></row><row r="3575"><cell r="AA3575"><v>43306</v></cell><cell r="AB3575" t="str"><v>USA_gaPMG_AZR_AZR_Q1_19_Direct-Social</v></cell><cell r="AC3575"><v>21358715</v></cell><cell r="AD3575"><v>720197</v></cell><cell r="AE3575" t="str"><v>Facebook</v></cell><cell r="AF3575"><v>3654128</v></cell><cell r="AG3575" t="str"><v>FACEBOOK»USA-Trial-ITD-Retargeting-AZR-AZR»1 x 1»SocialBan»LIA»ALL»CPA»RT»X»NA»SS»NA»FreeAcctDeveloperFB-AnimatedOpenSource-Ch2»PRC26G</v></cell><cell r="AH3575"><v>223862873</v></cell><cell r="AI3575" t="str"><v>AZR_FreeAcctDeveloperFB-AnimatedOpenSource-Ch2_USA_1200x1200_CAN_Direct_English_Trial_Standard_ANI_LEA_T2_1</v></cell><cell r="AJ3575"><v>103048329</v></cell></row><row r="3576"><cell r="C3576" t="str"><v>43306FACEBOOK»USA-Trial-ITD-Retargeting-AZR-AZR»1 x 1»SocialBan»LIA»ALL»CPA»RT»X»NA»SS»NA»FreeAcctITProFB-AnimatedHybrid-Ch2»PRC26N</v></cell><cell r="D3576" t="str"><v>43306223934053</v></cell><cell r="E3576" t="str"><v>43306103180583PRC26N</v></cell><cell r="F3576" t="str"><v>DCM</v></cell></row><row r="3576"><cell r="K3576" t="str"><v>July</v></cell><cell r="L3576"><v>43309</v></cell><cell r="M3576" t="str"><v>Tier 0</v></cell><cell r="N3576" t="str"><v>North America</v></cell><cell r="O3576" t="str"><v>United States</v></cell><cell r="P3576" t="str"><v>Trial</v></cell><cell r="Q3576" t="str"><v>Social</v></cell><cell r="R3576" t="str"><v>Azure</v></cell><cell r="S3576" t="str"><v>Apps & Infra</v></cell><cell r="T3576" t="str"><v>Developers & ITI's</v></cell><cell r="U3576" t="str"><v>USA-Trial-ITD-Retargeting-AZR-AZR</v></cell><cell r="V3576" t="str"><v>Retargeting</v></cell><cell r="W3576" t="str"><v>Link Ad</v></cell><cell r="X3576" t="str"><v>1x1</v></cell></row><row r="3576"><cell r="AA3576"><v>43306</v></cell><cell r="AB3576" t="str"><v>USA_gaPMG_AZR_AZR_Q1_19_Direct-Social</v></cell><cell r="AC3576"><v>21358715</v></cell><cell r="AD3576"><v>720197</v></cell><cell r="AE3576" t="str"><v>Facebook</v></cell><cell r="AF3576"><v>3654128</v></cell><cell r="AG3576" t="str"><v>FACEBOOK»USA-Trial-ITD-Retargeting-AZR-AZR»1 x 1»SocialBan»LIA»ALL»CPA»RT»X»NA»SS»NA»FreeAcctITProFB-AnimatedHybrid-Ch2»PRC26N</v></cell><cell r="AH3576"><v>223934053</v></cell><cell r="AI3576" t="str"><v>AZR_FreeAcctITProFB-AnimatedHybrid-Ch2_USA_1200x1200_CAN_Direct_English_Trial_Standard_ANI_LEA_T2_2</v></cell><cell r="AJ3576"><v>103180583</v></cell></row><row r="3577"><cell r="C3577" t="str"><v>43306FACEBOOK»USA-Trial-ITD-Retargeting-AZR-AZR»1 x 1»SocialBan»LIA»ALL»CPA»RT»X»NA»SS»NA»FreeAcctITProFB-AnimatedMigration-Ch3»PRC26P</v></cell><cell r="D3577" t="str"><v>43306223934056</v></cell><cell r="E3577" t="str"><v>43306103176827PRC26P</v></cell><cell r="F3577" t="str"><v>DCM</v></cell></row><row r="3577"><cell r="K3577" t="str"><v>July</v></cell><cell r="L3577"><v>43309</v></cell><cell r="M3577" t="str"><v>Tier 0</v></cell><cell r="N3577" t="str"><v>North America</v></cell><cell r="O3577" t="str"><v>United States</v></cell><cell r="P3577" t="str"><v>Trial</v></cell><cell r="Q3577" t="str"><v>Social</v></cell><cell r="R3577" t="str"><v>Azure</v></cell><cell r="S3577" t="str"><v>Apps & Infra</v></cell><cell r="T3577" t="str"><v>Developers & ITI's</v></cell><cell r="U3577" t="str"><v>USA-Trial-ITD-Retargeting-AZR-AZR</v></cell><cell r="V3577" t="str"><v>Retargeting</v></cell><cell r="W3577" t="str"><v>Link Ad</v></cell><cell r="X3577" t="str"><v>1x1</v></cell></row><row r="3577"><cell r="AA3577"><v>43306</v></cell><cell r="AB3577" t="str"><v>USA_gaPMG_AZR_AZR_Q1_19_Direct-Social</v></cell><cell r="AC3577"><v>21358715</v></cell><cell r="AD3577"><v>720197</v></cell><cell r="AE3577" t="str"><v>Facebook</v></cell><cell r="AF3577"><v>3654128</v></cell><cell r="AG3577" t="str"><v>FACEBOOK»USA-Trial-ITD-Retargeting-AZR-AZR»1 x 1»SocialBan»LIA»ALL»CPA»RT»X»NA»SS»NA»FreeAcctITProFB-AnimatedMigration-Ch3»PRC26P</v></cell><cell r="AH3577"><v>223934056</v></cell><cell r="AI3577" t="str"><v>AZR_FreeAcctITProFB-AnimatedMigration-Ch3_USA_1200x1200_CAN_Direct_English_Trial_Standard_ANI_LEA_T3_1</v></cell><cell r="AJ3577"><v>103176827</v></cell></row><row r="3578"><cell r="C3578" t="str"><v>43306FACEBOOK»USA-Trial-ITD-Retargeting-AZR-AZR»1 x 1»SocialBan»LIA»ALL»CPA»RT»X»NA»SS»NA»FreeAcctRetargetingFB-Animated-ChC»PRC1RX</v></cell><cell r="D3578" t="str"><v>43306223862864</v></cell><cell r="E3578" t="str"><v>43306103180880PRC1RX</v></cell><cell r="F3578" t="str"><v>DCM</v></cell><cell r="G3578" t="str"><v>https://azure.microsoft.com/en-us/free/search/?OCID=AID%eexcid!_OLA_%ebuy!_%epid!_%ecid!</v></cell></row><row r="3578"><cell r="K3578" t="str"><v>July</v></cell><cell r="L3578"><v>43309</v></cell><cell r="M3578" t="str"><v>Tier 0</v></cell><cell r="N3578" t="str"><v>North America</v></cell><cell r="O3578" t="str"><v>United States</v></cell><cell r="P3578" t="str"><v>Trial</v></cell><cell r="Q3578" t="str"><v>Social</v></cell><cell r="R3578" t="str"><v>Azure</v></cell><cell r="S3578" t="str"><v>Apps & Infra</v></cell><cell r="T3578" t="str"><v>Developers & ITI's</v></cell><cell r="U3578" t="str"><v>USA-Trial-ITD-Retargeting-AZR-AZR</v></cell><cell r="V3578" t="str"><v>Retargeting</v></cell><cell r="W3578" t="str"><v>Link Ad</v></cell><cell r="X3578" t="str"><v>1x1</v></cell></row><row r="3578"><cell r="AA3578"><v>43306</v></cell><cell r="AB3578" t="str"><v>USA_gaPMG_AZR_AZR_Q1_19_Direct-Social</v></cell><cell r="AC3578"><v>21358715</v></cell><cell r="AD3578"><v>720197</v></cell><cell r="AE3578" t="str"><v>Facebook</v></cell><cell r="AF3578"><v>3654128</v></cell><cell r="AG3578" t="str"><v>FACEBOOK»USA-Trial-ITD-Retargeting-AZR-AZR»1 x 1»SocialBan»LIA»ALL»CPA»RT»X»NA»SS»NA»FreeAcctRetargetingFB-Animated-ChC»PRC1RX</v></cell><cell r="AH3578"><v>223862864</v></cell><cell r="AI3578" t="str"><v>AzurePlatform_FreeAcctRetargetingFB-Animated-ChC_USA_1200x628_CAN_PLATFORM_English_Free Account_Standard_ANI_SINU_T3_2</v></cell><cell r="AJ3578"><v>103180880</v></cell></row><row r="3579"><cell r="C3579" t="str"><v>43306FACEBOOK»USA-Trial-ITD-Retargeting-AZR-AZR»1 x 1»SocialBan»LIA»ALL»CPA»RT»X»NA»SS»NA»FreeAcctRetargetingFB-Credit-ChA»PRC1RV</v></cell><cell r="D3579" t="str"><v>43306224106075</v></cell><cell r="E3579" t="str"><v>43306103034917PRC1RV</v></cell><cell r="F3579" t="str"><v>DCM</v></cell><cell r="G3579" t="str"><v>https://azure.microsoft.com/en-us/free/search/?OCID=AID%eexcid!_OLA_%ebuy!_%epid!_%ecid!</v></cell></row><row r="3579"><cell r="K3579" t="str"><v>July</v></cell><cell r="L3579"><v>43309</v></cell><cell r="M3579" t="str"><v>Tier 0</v></cell><cell r="N3579" t="str"><v>North America</v></cell><cell r="O3579" t="str"><v>United States</v></cell><cell r="P3579" t="str"><v>Trial</v></cell><cell r="Q3579" t="str"><v>Social</v></cell><cell r="R3579" t="str"><v>Azure</v></cell><cell r="S3579" t="str"><v>Apps & Infra</v></cell><cell r="T3579" t="str"><v>Developers & ITI's</v></cell><cell r="U3579" t="str"><v>USA-Trial-ITD-Retargeting-AZR-AZR</v></cell><cell r="V3579" t="str"><v>Retargeting</v></cell><cell r="W3579" t="str"><v>Link Ad</v></cell><cell r="X3579" t="str"><v>1x1</v></cell></row><row r="3579"><cell r="AA3579"><v>43306</v></cell><cell r="AB3579" t="str"><v>USA_gaPMG_AZR_AZR_Q1_19_Direct-Social</v></cell><cell r="AC3579"><v>21358715</v></cell><cell r="AD3579"><v>720197</v></cell><cell r="AE3579" t="str"><v>Facebook</v></cell><cell r="AF3579"><v>3654128</v></cell><cell r="AG3579" t="str"><v>FACEBOOK»USA-Trial-ITD-Retargeting-AZR-AZR»1 x 1»SocialBan»LIA»ALL»CPA»RT»X»NA»SS»NA»FreeAcctRetargetingFB-Credit-ChA»PRC1RV</v></cell><cell r="AH3579"><v>224106075</v></cell><cell r="AI3579" t="str"><v>AzurePlatform_FreeAcctRetargetingFB-Credit-ChA_USA_1200x628_CAN_PLATFORM_English_Free Account_Standard_NA_SINU_T1_2</v></cell><cell r="AJ3579"><v>103034917</v></cell></row><row r="3580"><cell r="C3580" t="str"><v>43306FACEBOOK»USA-Trial-ITD-Retargeting-AZR-AZR»1 x 1»SocialBan»LIA»ALL»CPA»RT»X»NA»SS»NA»FreeAcctRetargetingFB-GlobalAlt-ChB»PRC1RW</v></cell><cell r="D3580" t="str"><v>43306223862756</v></cell><cell r="E3580" t="str"><v>43306103180592PRC1RW</v></cell><cell r="F3580" t="str"><v>DCM</v></cell><cell r="G3580" t="str"><v>https://azure.microsoft.com/en-us/free/search/?OCID=AID%eexcid!_OLA_%ebuy!_%epid!_%ecid!</v></cell></row><row r="3580"><cell r="K3580" t="str"><v>July</v></cell><cell r="L3580"><v>43309</v></cell><cell r="M3580" t="str"><v>Tier 0</v></cell><cell r="N3580" t="str"><v>North America</v></cell><cell r="O3580" t="str"><v>United States</v></cell><cell r="P3580" t="str"><v>Trial</v></cell><cell r="Q3580" t="str"><v>Social</v></cell><cell r="R3580" t="str"><v>Azure</v></cell><cell r="S3580" t="str"><v>Apps & Infra</v></cell><cell r="T3580" t="str"><v>Developers & ITI's</v></cell><cell r="U3580" t="str"><v>USA-Trial-ITD-Retargeting-AZR-AZR</v></cell><cell r="V3580" t="str"><v>Retargeting</v></cell><cell r="W3580" t="str"><v>Link Ad</v></cell><cell r="X3580" t="str"><v>1x1</v></cell></row><row r="3580"><cell r="AA3580"><v>43306</v></cell><cell r="AB3580" t="str"><v>USA_gaPMG_AZR_AZR_Q1_19_Direct-Social</v></cell><cell r="AC3580"><v>21358715</v></cell><cell r="AD3580"><v>720197</v></cell><cell r="AE3580" t="str"><v>Facebook</v></cell><cell r="AF3580"><v>3654128</v></cell><cell r="AG3580" t="str"><v>FACEBOOK»USA-Trial-ITD-Retargeting-AZR-AZR»1 x 1»SocialBan»LIA»ALL»CPA»RT»X»NA»SS»NA»FreeAcctRetargetingFB-GlobalAlt-ChB»PRC1RW</v></cell><cell r="AH3580"><v>223862756</v></cell><cell r="AI3580" t="str"><v>AzurePlatform_FreeAcctRetargetingFB-GlobalAlt-ChB_USA_1200x628_CAN_PLATFORM_English_Free Account_Standard_NA_SINU_T2_1</v></cell><cell r="AJ3580"><v>103180592</v></cell></row><row r="3581"><cell r="C3581" t="str"><v>43306FACEBOOK»USA-Trial-ITD-Retargeting-AZR-AZR»1 x 1»SocialBan»LIA»ALL»CPA»RT»X»NA»SS»NA»FreeAcctRetargetingVMFB-750Hrs-ChD»PRC1RY</v></cell><cell r="D3581" t="str"><v>43306223862747</v></cell><cell r="E3581" t="str"><v>43306103034911PRC1RY</v></cell><cell r="F3581" t="str"><v>DCM</v></cell><cell r="G3581" t="str"><v>https://azure.microsoft.com/en-us/free/virtual-machines/search/?OCID=AID%eexcid!_OLA_%ebuy!_%epid!_%ecid!</v></cell></row><row r="3581"><cell r="K3581" t="str"><v>July</v></cell><cell r="L3581"><v>43309</v></cell><cell r="M3581" t="str"><v>Tier 0</v></cell><cell r="N3581" t="str"><v>North America</v></cell><cell r="O3581" t="str"><v>United States</v></cell><cell r="P3581" t="str"><v>Trial</v></cell><cell r="Q3581" t="str"><v>Social</v></cell><cell r="R3581" t="str"><v>Azure</v></cell><cell r="S3581" t="str"><v>Apps & Infra</v></cell><cell r="T3581" t="str"><v>Developers & ITI's</v></cell><cell r="U3581" t="str"><v>USA-Trial-ITD-Retargeting-AZR-AZR</v></cell><cell r="V3581" t="str"><v>Retargeting</v></cell><cell r="W3581" t="str"><v>Link Ad</v></cell><cell r="X3581" t="str"><v>1x1</v></cell></row><row r="3581"><cell r="AA3581"><v>43306</v></cell><cell r="AB3581" t="str"><v>USA_gaPMG_AZR_AZR_Q1_19_Direct-Social</v></cell><cell r="AC3581"><v>21358715</v></cell><cell r="AD3581"><v>720197</v></cell><cell r="AE3581" t="str"><v>Facebook</v></cell><cell r="AF3581"><v>3654128</v></cell><cell r="AG3581" t="str"><v>FACEBOOK»USA-Trial-ITD-Retargeting-AZR-AZR»1 x 1»SocialBan»LIA»ALL»CPA»RT»X»NA»SS»NA»FreeAcctRetargetingVMFB-750Hrs-ChD»PRC1RY</v></cell><cell r="AH3581"><v>223862747</v></cell><cell r="AI3581" t="str"><v>AzurePlatform_FreeAcctRetargetingVMFB-750Hrs-ChD_USA_1200x628_CAN_PLATFORM_English_Free Account_Standard_NA_SINU_T1_1</v></cell><cell r="AJ3581"><v>103034911</v></cell></row><row r="3582"><cell r="C3582" t="str"><v>43306FACEBOOK»USA-Trial-ITD-Retargeting-AZR-AZR»1 x 1»SocialBan»LIA»ALL»CPA»RT»X»NA»SS»NA»FreeAcctRetargetingVMFB-OnDemand-ChE»PRC1S0</v></cell><cell r="D3582" t="str"><v>43306224104899</v></cell><cell r="E3582" t="str"><v>43306103180610PRC1S0</v></cell><cell r="F3582" t="str"><v>DCM</v></cell><cell r="G3582" t="str"><v>https://azure.microsoft.com/en-us/free/virtual-machines/search/?OCID=AID%eexcid!_OLA_%ebuy!_%epid!_%ecid!</v></cell></row><row r="3582"><cell r="K3582" t="str"><v>July</v></cell><cell r="L3582"><v>43309</v></cell><cell r="M3582" t="str"><v>Tier 0</v></cell><cell r="N3582" t="str"><v>North America</v></cell><cell r="O3582" t="str"><v>United States</v></cell><cell r="P3582" t="str"><v>Trial</v></cell><cell r="Q3582" t="str"><v>Social</v></cell><cell r="R3582" t="str"><v>Azure</v></cell><cell r="S3582" t="str"><v>Apps & Infra</v></cell><cell r="T3582" t="str"><v>Developers & ITI's</v></cell><cell r="U3582" t="str"><v>USA-Trial-ITD-Retargeting-AZR-AZR</v></cell><cell r="V3582" t="str"><v>Retargeting</v></cell><cell r="W3582" t="str"><v>Link Ad</v></cell><cell r="X3582" t="str"><v>1x1</v></cell></row><row r="3582"><cell r="AA3582"><v>43306</v></cell><cell r="AB3582" t="str"><v>USA_gaPMG_AZR_AZR_Q1_19_Direct-Social</v></cell><cell r="AC3582"><v>21358715</v></cell><cell r="AD3582"><v>720197</v></cell><cell r="AE3582" t="str"><v>Facebook</v></cell><cell r="AF3582"><v>3654128</v></cell><cell r="AG3582" t="str"><v>FACEBOOK»USA-Trial-ITD-Retargeting-AZR-AZR»1 x 1»SocialBan»LIA»ALL»CPA»RT»X»NA»SS»NA»FreeAcctRetargetingVMFB-OnDemand-ChE»PRC1S0</v></cell><cell r="AH3582"><v>224104899</v></cell><cell r="AI3582" t="str"><v>AzurePlatform_FreeAcctRetargetingVMFB-OnDemand-ChE_USA_1200x628_CAN_PLATFORM_English_Free Account_Standard_NA_SINU_T2_1</v></cell><cell r="AJ3582"><v>103180610</v></cell></row><row r="3583"><cell r="C3583" t="str"><v>43306FACEBOOK»USA-Trial-ITD-Retargeting-AZR-AZR»1 x 1»SocialBan»CAN»ALL»CPA»RT»X»NA»SS»NA»FBCTCBenefit2inMotion»PRC1RR</v></cell><cell r="D3583" t="str"><v>43306224104896</v></cell><cell r="E3583" t="str"><v>43306103043835PRC1RR</v></cell><cell r="F3583" t="str"><v>DCM</v></cell><cell r="G3583" t="str"><v>https://signup.azure.com/?OCID=AID%eexcid!_OLA_%ebuy!_%epid!_%ecid!</v></cell></row><row r="3583"><cell r="K3583" t="str"><v>July</v></cell><cell r="L3583"><v>43309</v></cell><cell r="M3583" t="str"><v>Tier 0</v></cell><cell r="N3583" t="str"><v>North America</v></cell><cell r="O3583" t="str"><v>United States</v></cell><cell r="P3583" t="str"><v>Trial</v></cell><cell r="Q3583" t="str"><v>Social</v></cell><cell r="R3583" t="str"><v>Azure</v></cell><cell r="S3583" t="str"><v>Apps & Infra</v></cell><cell r="T3583" t="str"><v>Developers & ITI's</v></cell><cell r="U3583" t="str"><v>USA-Trial-ITD-Retargeting-AZR-AZR</v></cell><cell r="V3583" t="str"><v>Retargeting</v></cell><cell r="W3583" t="str"><v>Canvas Ad</v></cell><cell r="X3583" t="str"><v>1x1</v></cell></row><row r="3583"><cell r="AA3583"><v>43306</v></cell><cell r="AB3583" t="str"><v>USA_gaPMG_AZR_AZR_Q1_19_Direct-Social</v></cell><cell r="AC3583"><v>21358715</v></cell><cell r="AD3583"><v>720197</v></cell><cell r="AE3583" t="str"><v>Facebook</v></cell><cell r="AF3583"><v>3654128</v></cell><cell r="AG3583" t="str"><v>FACEBOOK»USA-Trial-ITD-Retargeting-AZR-AZR»1 x 1»SocialBan»CAN»ALL»CPA»RT»X»NA»SS»NA»FBCTCBenefit2inMotion»PRC1RR</v></cell><cell r="AH3583"><v>224104896</v></cell><cell r="AI3583" t="str"><v>AzurePlatform_FBCTCBenefit2inMotion_USA_10s_CAN_PLATFORM_English_Trial_Standard_STAN_TIN_T4_1</v></cell><cell r="AJ3583"><v>103043835</v></cell></row><row r="3584"><cell r="C3584" t="str"><v>43306FACEBOOK»USA-Trial-ITD-Retargeting-AZR-AZR»1 x 1»SocialBan»CAN»ALL»CPA»RT»X»NA»SS»NA»FBCTCBenefit2inMotion»PRC1RR</v></cell><cell r="D3584" t="str"><v>43306224104896</v></cell><cell r="E3584" t="str"><v>43306103178645PRC1RR</v></cell><cell r="F3584" t="str"><v>DCM</v></cell><cell r="G3584" t="str"><v>https://azure.microsoft.com/en-us/pricing/purchase-options/?v=18.19&OCID=AID%eexcid!_OLA_%ebuy!_%epid!_%ecid!</v></cell></row><row r="3584"><cell r="K3584" t="str"><v>July</v></cell><cell r="L3584"><v>43309</v></cell><cell r="M3584" t="str"><v>Tier 0</v></cell><cell r="N3584" t="str"><v>North America</v></cell><cell r="O3584" t="str"><v>United States</v></cell><cell r="P3584" t="str"><v>Trial</v></cell><cell r="Q3584" t="str"><v>Social</v></cell><cell r="R3584" t="str"><v>Azure</v></cell><cell r="S3584" t="str"><v>Apps & Infra</v></cell><cell r="T3584" t="str"><v>Developers & ITI's</v></cell><cell r="U3584" t="str"><v>USA-Trial-ITD-Retargeting-AZR-AZR</v></cell><cell r="V3584" t="str"><v>Retargeting</v></cell><cell r="W3584" t="str"><v>Canvas Ad</v></cell><cell r="X3584" t="str"><v>1x1</v></cell></row><row r="3584"><cell r="AA3584"><v>43306</v></cell><cell r="AB3584" t="str"><v>USA_gaPMG_AZR_AZR_Q1_19_Direct-Social</v></cell><cell r="AC3584"><v>21358715</v></cell><cell r="AD3584"><v>720197</v></cell><cell r="AE3584" t="str"><v>Facebook</v></cell><cell r="AF3584"><v>3654128</v></cell><cell r="AG3584" t="str"><v>FACEBOOK»USA-Trial-ITD-Retargeting-AZR-AZR»1 x 1»SocialBan»CAN»ALL»CPA»RT»X»NA»SS»NA»FBCTCBenefit2inMotion»PRC1RR</v></cell><cell r="AH3584"><v>224104896</v></cell><cell r="AI3584" t="str"><v>AzurePlatform_FBCTCBenefit2inMotion_USA_10s_CAN_PLATFORM_English_Trial_Standard_STAN_TIN_T4_2</v></cell><cell r="AJ3584"><v>103178645</v></cell></row><row r="3585"><cell r="C3585" t="str"><v>43306FACEBOOK»USA-Trial-ITD-Retargeting-AZR-AZR»1 x 1»SocialBan»CAN»ALL»CPA»RT»X»NA»SS»NA»FBCTCBrandinMotion»PRC1RT</v></cell><cell r="D3585" t="str"><v>43306224106069</v></cell><cell r="E3585" t="str"><v>43306103176812PRC1RT</v></cell><cell r="F3585" t="str"><v>DCM</v></cell><cell r="G3585" t="str"><v>https://signup.azure.com/?OCID=AID%eexcid!_OLA_%ebuy!_%epid!_%ecid!</v></cell></row><row r="3585"><cell r="K3585" t="str"><v>July</v></cell><cell r="L3585"><v>43309</v></cell><cell r="M3585" t="str"><v>Tier 0</v></cell><cell r="N3585" t="str"><v>North America</v></cell><cell r="O3585" t="str"><v>United States</v></cell><cell r="P3585" t="str"><v>Trial</v></cell><cell r="Q3585" t="str"><v>Social</v></cell><cell r="R3585" t="str"><v>Azure</v></cell><cell r="S3585" t="str"><v>Apps & Infra</v></cell><cell r="T3585" t="str"><v>Developers & ITI's</v></cell><cell r="U3585" t="str"><v>USA-Trial-ITD-Retargeting-AZR-AZR</v></cell><cell r="V3585" t="str"><v>Retargeting</v></cell><cell r="W3585" t="str"><v>Canvas Ad</v></cell><cell r="X3585" t="str"><v>1x1</v></cell></row><row r="3585"><cell r="AA3585"><v>43306</v></cell><cell r="AB3585" t="str"><v>USA_gaPMG_AZR_AZR_Q1_19_Direct-Social</v></cell><cell r="AC3585"><v>21358715</v></cell><cell r="AD3585"><v>720197</v></cell><cell r="AE3585" t="str"><v>Facebook</v></cell><cell r="AF3585"><v>3654128</v></cell><cell r="AG3585" t="str"><v>FACEBOOK»USA-Trial-ITD-Retargeting-AZR-AZR»1 x 1»SocialBan»CAN»ALL»CPA»RT»X»NA»SS»NA»FBCTCBrandinMotion»PRC1RT</v></cell><cell r="AH3585"><v>224106069</v></cell><cell r="AI3585" t="str"><v>AzurePlatform_FBCTCBrandinMotion_USA_10s_CAN_PLATFORM_English_Trial_Standard_STAN_TIN_T2_1</v></cell><cell r="AJ3585"><v>103176812</v></cell></row><row r="3586"><cell r="C3586" t="str"><v>43306FACEBOOK»USA-Trial-ITD-Trial Lookalike-AZR-AZR»1 x 1»SocialBan»CAN»ALL»CPA»LAL»X»NA»SS»NA»FBCTCBenefit2inMotion»PRC1M0</v></cell><cell r="D3586" t="str"><v>43306223862927</v></cell><cell r="E3586" t="str"><v>43306103043835PRC1M0</v></cell><cell r="F3586" t="str"><v>DCM</v></cell><cell r="G3586" t="str"><v>https://signup.azure.com/?OCID=AID%eexcid!_OLA_%ebuy!_%epid!_%ecid!</v></cell></row><row r="3586"><cell r="K3586" t="str"><v>July</v></cell><cell r="L3586"><v>43309</v></cell><cell r="M3586" t="str"><v>Tier 0</v></cell><cell r="N3586" t="str"><v>North America</v></cell><cell r="O3586" t="str"><v>United States</v></cell><cell r="P3586" t="str"><v>Trial</v></cell><cell r="Q3586" t="str"><v>Social</v></cell><cell r="R3586" t="str"><v>Azure</v></cell><cell r="S3586" t="str"><v>Apps & Infra</v></cell><cell r="T3586" t="str"><v>Developers & ITI's</v></cell><cell r="U3586" t="str"><v>USA-Trial-ITD-Trial Lookalike-AZR-AZR</v></cell><cell r="V3586" t="str"><v>Lookalike Targeting</v></cell><cell r="W3586" t="str"><v>Canvas Ad</v></cell><cell r="X3586" t="str"><v>1x1</v></cell></row><row r="3586"><cell r="AA3586"><v>43306</v></cell><cell r="AB3586" t="str"><v>USA_gaPMG_AZR_AZR_Q1_19_Direct-Social</v></cell><cell r="AC3586"><v>21358715</v></cell><cell r="AD3586"><v>720197</v></cell><cell r="AE3586" t="str"><v>Facebook</v></cell><cell r="AF3586"><v>3654128</v></cell><cell r="AG3586" t="str"><v>FACEBOOK»USA-Trial-ITD-Trial Lookalike-AZR-AZR»1 x 1»SocialBan»CAN»ALL»CPA»LAL»X»NA»SS»NA»FBCTCBenefit2inMotion»PRC1M0</v></cell><cell r="AH3586"><v>223862927</v></cell><cell r="AI3586" t="str"><v>AzurePlatform_FBCTCBenefit2inMotion_USA_10s_CAN_PLATFORM_English_Trial_Standard_STAN_TIN_T4_1</v></cell><cell r="AJ3586"><v>103043835</v></cell></row><row r="3587"><cell r="C3587" t="str"><v>43306FACEBOOK»USA-Trial-ITD-Trial Lookalike-AZR-AZR»1 x 1»SocialBan»CAN»ALL»CPA»LAL»X»NA»SS»NA»FBCTCBenefit2inMotion»PRC1M0</v></cell><cell r="D3587" t="str"><v>43306223862927</v></cell><cell r="E3587" t="str"><v>43306103178645PRC1M0</v></cell><cell r="F3587" t="str"><v>DCM</v></cell><cell r="G3587" t="str"><v>https://azure.microsoft.com/en-us/pricing/purchase-options/?v=18.19&OCID=AID%eexcid!_OLA_%ebuy!_%epid!_%ecid!</v></cell></row><row r="3587"><cell r="K3587" t="str"><v>July</v></cell><cell r="L3587"><v>43309</v></cell><cell r="M3587" t="str"><v>Tier 0</v></cell><cell r="N3587" t="str"><v>North America</v></cell><cell r="O3587" t="str"><v>United States</v></cell><cell r="P3587" t="str"><v>Trial</v></cell><cell r="Q3587" t="str"><v>Social</v></cell><cell r="R3587" t="str"><v>Azure</v></cell><cell r="S3587" t="str"><v>Apps & Infra</v></cell><cell r="T3587" t="str"><v>Developers & ITI's</v></cell><cell r="U3587" t="str"><v>USA-Trial-ITD-Trial Lookalike-AZR-AZR</v></cell><cell r="V3587" t="str"><v>Lookalike Targeting</v></cell><cell r="W3587" t="str"><v>Canvas Ad</v></cell><cell r="X3587" t="str"><v>1x1</v></cell></row><row r="3587"><cell r="AA3587"><v>43306</v></cell><cell r="AB3587" t="str"><v>USA_gaPMG_AZR_AZR_Q1_19_Direct-Social</v></cell><cell r="AC3587"><v>21358715</v></cell><cell r="AD3587"><v>720197</v></cell><cell r="AE3587" t="str"><v>Facebook</v></cell><cell r="AF3587"><v>3654128</v></cell><cell r="AG3587" t="str"><v>FACEBOOK»USA-Trial-ITD-Trial Lookalike-AZR-AZR»1 x 1»SocialBan»CAN»ALL»CPA»LAL»X»NA»SS»NA»FBCTCBenefit2inMotion»PRC1M0</v></cell><cell r="AH3587"><v>223862927</v></cell><cell r="AI3587" t="str"><v>AzurePlatform_FBCTCBenefit2inMotion_USA_10s_CAN_PLATFORM_English_Trial_Standard_STAN_TIN_T4_2</v></cell><cell r="AJ3587"><v>103178645</v></cell></row><row r="3588"><cell r="C3588" t="str"><v>43306FACEBOOK»USA-Trial-ITD-Trial Lookalike-AZR-AZR»1 x 1»SocialBan»CAN»ALL»CPA»LAL»X»NA»SS»NA»FBCTCBenefitinMotion»PRC1M2</v></cell><cell r="D3588" t="str"><v>43306223862897</v></cell><cell r="E3588" t="str"><v>43306103032775PRC1M2</v></cell><cell r="F3588" t="str"><v>DCM</v></cell><cell r="G3588" t="str"><v>https://signup.azure.com/?OCID=AID%eexcid!_OLA_%ebuy!_%epid!_%ecid!</v></cell></row><row r="3588"><cell r="K3588" t="str"><v>July</v></cell><cell r="L3588"><v>43309</v></cell><cell r="M3588" t="str"><v>Tier 0</v></cell><cell r="N3588" t="str"><v>North America</v></cell><cell r="O3588" t="str"><v>United States</v></cell><cell r="P3588" t="str"><v>Trial</v></cell><cell r="Q3588" t="str"><v>Social</v></cell><cell r="R3588" t="str"><v>Azure</v></cell><cell r="S3588" t="str"><v>Apps & Infra</v></cell><cell r="T3588" t="str"><v>Developers & ITI's</v></cell><cell r="U3588" t="str"><v>USA-Trial-ITD-Trial Lookalike-AZR-AZR</v></cell><cell r="V3588" t="str"><v>Lookalike Targeting</v></cell><cell r="W3588" t="str"><v>Canvas Ad</v></cell><cell r="X3588" t="str"><v>1x1</v></cell></row><row r="3588"><cell r="AA3588"><v>43306</v></cell><cell r="AB3588" t="str"><v>USA_gaPMG_AZR_AZR_Q1_19_Direct-Social</v></cell><cell r="AC3588"><v>21358715</v></cell><cell r="AD3588"><v>720197</v></cell><cell r="AE3588" t="str"><v>Facebook</v></cell><cell r="AF3588"><v>3654128</v></cell><cell r="AG3588" t="str"><v>FACEBOOK»USA-Trial-ITD-Trial Lookalike-AZR-AZR»1 x 1»SocialBan»CAN»ALL»CPA»LAL»X»NA»SS»NA»FBCTCBenefitinMotion»PRC1M2</v></cell><cell r="AH3588"><v>223862897</v></cell><cell r="AI3588" t="str"><v>AzurePlatform_FBCTCBenefitinMotion_USA_10s_CAN_PLATFORM_English_Trial_Standard_STAN_TIN_T3_1</v></cell><cell r="AJ3588"><v>103032775</v></cell></row><row r="3589"><cell r="C3589" t="str"><v>43306FACEBOOK»USA-Trial-ITD-Trial Lookalike-AZR-AZR»1 x 1»SocialBan»LIA»ALL»CPA»LAL»X»NA»SS»NA»FreeAcctDeveloperFB-AnimatedAI-Ch3»PRC1M7</v></cell><cell r="D3589" t="str"><v>43306223934104</v></cell><cell r="E3589" t="str"><v>43306103032778PRC1M7</v></cell><cell r="F3589" t="str"><v>DCM</v></cell></row><row r="3589"><cell r="K3589" t="str"><v>July</v></cell><cell r="L3589"><v>43309</v></cell><cell r="M3589" t="str"><v>Tier 0</v></cell><cell r="N3589" t="str"><v>North America</v></cell><cell r="O3589" t="str"><v>United States</v></cell><cell r="P3589" t="str"><v>Trial</v></cell><cell r="Q3589" t="str"><v>Social</v></cell><cell r="R3589" t="str"><v>Azure</v></cell><cell r="S3589" t="str"><v>Apps & Infra</v></cell><cell r="T3589" t="str"><v>Developers & ITI's</v></cell><cell r="U3589" t="str"><v>USA-Trial-ITD-Trial Lookalike-AZR-AZR</v></cell><cell r="V3589" t="str"><v>Lookalike Targeting</v></cell><cell r="W3589" t="str"><v>Link Ad</v></cell><cell r="X3589" t="str"><v>1x1</v></cell></row><row r="3589"><cell r="AA3589"><v>43306</v></cell><cell r="AB3589" t="str"><v>USA_gaPMG_AZR_AZR_Q1_19_Direct-Social</v></cell><cell r="AC3589"><v>21358715</v></cell><cell r="AD3589"><v>720197</v></cell><cell r="AE3589" t="str"><v>Facebook</v></cell><cell r="AF3589"><v>3654128</v></cell><cell r="AG3589" t="str"><v>FACEBOOK»USA-Trial-ITD-Trial Lookalike-AZR-AZR»1 x 1»SocialBan»LIA»ALL»CPA»LAL»X»NA»SS»NA»FreeAcctDeveloperFB-AnimatedAI-Ch3»PRC1M7</v></cell><cell r="AH3589"><v>223934104</v></cell><cell r="AI3589" t="str"><v>AZR_FreeAcctDeveloperFB-AnimatedAI-Ch3_USA_1200x1200_CAN_Direct_English_Trial_Standard_ANI_LEA_T3_1</v></cell><cell r="AJ3589"><v>103032778</v></cell></row><row r="3590"><cell r="C3590" t="str"><v>43306FACEBOOK»USA-Trial-ITD-Trial Lookalike-AZR-AZR»1 x 1»SocialBan»LIA»ALL»CPA»LAL»X»NA»SS»NA»FreeAcctDeveloperFB-AnimatedData-Ch4»PRC1M8</v></cell><cell r="D3590" t="str"><v>43306223862933</v></cell><cell r="E3590" t="str"><v>43306103037935PRC1M8</v></cell><cell r="F3590" t="str"><v>DCM</v></cell></row><row r="3590"><cell r="K3590" t="str"><v>July</v></cell><cell r="L3590"><v>43309</v></cell><cell r="M3590" t="str"><v>Tier 0</v></cell><cell r="N3590" t="str"><v>North America</v></cell><cell r="O3590" t="str"><v>United States</v></cell><cell r="P3590" t="str"><v>Trial</v></cell><cell r="Q3590" t="str"><v>Social</v></cell><cell r="R3590" t="str"><v>Azure</v></cell><cell r="S3590" t="str"><v>Apps & Infra</v></cell><cell r="T3590" t="str"><v>Developers & ITI's</v></cell><cell r="U3590" t="str"><v>USA-Trial-ITD-Trial Lookalike-AZR-AZR</v></cell><cell r="V3590" t="str"><v>Lookalike Targeting</v></cell><cell r="W3590" t="str"><v>Link Ad</v></cell><cell r="X3590" t="str"><v>1x1</v></cell></row><row r="3590"><cell r="AA3590"><v>43306</v></cell><cell r="AB3590" t="str"><v>USA_gaPMG_AZR_AZR_Q1_19_Direct-Social</v></cell><cell r="AC3590"><v>21358715</v></cell><cell r="AD3590"><v>720197</v></cell><cell r="AE3590" t="str"><v>Facebook</v></cell><cell r="AF3590"><v>3654128</v></cell><cell r="AG3590" t="str"><v>FACEBOOK»USA-Trial-ITD-Trial Lookalike-AZR-AZR»1 x 1»SocialBan»LIA»ALL»CPA»LAL»X»NA»SS»NA»FreeAcctDeveloperFB-AnimatedData-Ch4»PRC1M8</v></cell><cell r="AH3590"><v>223862933</v></cell><cell r="AI3590" t="str"><v>AZR_FreeAcctDeveloperFB-AnimatedData-Ch4_USA_1200x1200_CAN_Direct_English_Trial_Standard_ANI_LEA_T4_2</v></cell><cell r="AJ3590"><v>103037935</v></cell></row><row r="3591"><cell r="C3591" t="str"><v>43306FACEBOOK»USA-Trial-ITD-Trial Lookalike-AZR-AZR»1 x 1»SocialBan»LIA»ALL»CPA»LAL»X»NA»SS»NA»FreeAcctITProFB-AnimatedHybrid-Ch2»PRC1MC</v></cell><cell r="D3591" t="str"><v>43306224104956</v></cell><cell r="E3591" t="str"><v>43306103180583PRC1MC</v></cell><cell r="F3591" t="str"><v>DCM</v></cell></row><row r="3591"><cell r="K3591" t="str"><v>July</v></cell><cell r="L3591"><v>43309</v></cell><cell r="M3591" t="str"><v>Tier 0</v></cell><cell r="N3591" t="str"><v>North America</v></cell><cell r="O3591" t="str"><v>United States</v></cell><cell r="P3591" t="str"><v>Trial</v></cell><cell r="Q3591" t="str"><v>Social</v></cell><cell r="R3591" t="str"><v>Azure</v></cell><cell r="S3591" t="str"><v>Apps & Infra</v></cell><cell r="T3591" t="str"><v>Developers & ITI's</v></cell><cell r="U3591" t="str"><v>USA-Trial-ITD-Trial Lookalike-AZR-AZR</v></cell><cell r="V3591" t="str"><v>Lookalike Targeting</v></cell><cell r="W3591" t="str"><v>Link Ad</v></cell><cell r="X3591" t="str"><v>1x1</v></cell></row><row r="3591"><cell r="AA3591"><v>43306</v></cell><cell r="AB3591" t="str"><v>USA_gaPMG_AZR_AZR_Q1_19_Direct-Social</v></cell><cell r="AC3591"><v>21358715</v></cell><cell r="AD3591"><v>720197</v></cell><cell r="AE3591" t="str"><v>Facebook</v></cell><cell r="AF3591"><v>3654128</v></cell><cell r="AG3591" t="str"><v>FACEBOOK»USA-Trial-ITD-Trial Lookalike-AZR-AZR»1 x 1»SocialBan»LIA»ALL»CPA»LAL»X»NA»SS»NA»FreeAcctITProFB-AnimatedHybrid-Ch2»PRC1MC</v></cell><cell r="AH3591"><v>224104956</v></cell><cell r="AI3591" t="str"><v>AZR_FreeAcctITProFB-AnimatedHybrid-Ch2_USA_1200x1200_CAN_Direct_English_Trial_Standard_ANI_LEA_T2_2</v></cell><cell r="AJ3591"><v>103180583</v></cell></row><row r="3592"><cell r="C3592" t="str"><v>43306FACEBOOK»USA-Trial-ITD-Trial Lookalike-AZR-AZR»1 x 1»SocialBan»CAN»ALL»CPA»LAL»X»NA»SS»NA»FBCTCBrandinMotion»PRC1M3</v></cell><cell r="D3592" t="str"><v>43306223862900</v></cell><cell r="E3592" t="str"><v>43306103176812PRC1M3</v></cell><cell r="F3592" t="str"><v>DCM</v></cell><cell r="G3592" t="str"><v>https://signup.azure.com/?OCID=AID%eexcid!_OLA_%ebuy!_%epid!_%ecid!</v></cell></row><row r="3592"><cell r="K3592" t="str"><v>July</v></cell><cell r="L3592"><v>43309</v></cell><cell r="M3592" t="str"><v>Tier 0</v></cell><cell r="N3592" t="str"><v>North America</v></cell><cell r="O3592" t="str"><v>United States</v></cell><cell r="P3592" t="str"><v>Trial</v></cell><cell r="Q3592" t="str"><v>Social</v></cell><cell r="R3592" t="str"><v>Azure</v></cell><cell r="S3592" t="str"><v>Apps & Infra</v></cell><cell r="T3592" t="str"><v>Developers & ITI's</v></cell><cell r="U3592" t="str"><v>USA-Trial-ITD-Trial Lookalike-AZR-AZR</v></cell><cell r="V3592" t="str"><v>Lookalike Targeting</v></cell><cell r="W3592" t="str"><v>Canvas Ad</v></cell><cell r="X3592" t="str"><v>1x1</v></cell></row><row r="3592"><cell r="AA3592"><v>43306</v></cell><cell r="AB3592" t="str"><v>USA_gaPMG_AZR_AZR_Q1_19_Direct-Social</v></cell><cell r="AC3592"><v>21358715</v></cell><cell r="AD3592"><v>720197</v></cell><cell r="AE3592" t="str"><v>Facebook</v></cell><cell r="AF3592"><v>3654128</v></cell><cell r="AG3592" t="str"><v>FACEBOOK»USA-Trial-ITD-Trial Lookalike-AZR-AZR»1 x 1»SocialBan»CAN»ALL»CPA»LAL»X»NA»SS»NA»FBCTCBrandinMotion»PRC1M3</v></cell><cell r="AH3592"><v>223862900</v></cell><cell r="AI3592" t="str"><v>AzurePlatform_FBCTCBrandinMotion_USA_10s_CAN_PLATFORM_English_Trial_Standard_STAN_TIN_T2_1</v></cell><cell r="AJ3592"><v>103176812</v></cell></row><row r="3593"><cell r="C3593" t="str"><v>43306FACEBOOK»USA-Trial-ITD-Trial Lookalike-AZR-AZR»1 x 1»SocialBan»CAN»ALL»CPA»LAL»X»NA»SS»NA»FBCTCBrandinMotion»PRC1M3</v></cell><cell r="D3593" t="str"><v>43306223862900</v></cell><cell r="E3593" t="str"><v>43306103032823PRC1M3</v></cell><cell r="F3593" t="str"><v>DCM</v></cell><cell r="G3593" t="str"><v>https://azure.microsoft.com/en-us/pricing/purchase-options/?v=18.19&OCID=AID%eexcid!_OLA_%ebuy!_%epid!_%ecid!</v></cell></row><row r="3593"><cell r="K3593" t="str"><v>July</v></cell><cell r="L3593"><v>43309</v></cell><cell r="M3593" t="str"><v>Tier 0</v></cell><cell r="N3593" t="str"><v>North America</v></cell><cell r="O3593" t="str"><v>United States</v></cell><cell r="P3593" t="str"><v>Trial</v></cell><cell r="Q3593" t="str"><v>Social</v></cell><cell r="R3593" t="str"><v>Azure</v></cell><cell r="S3593" t="str"><v>Apps & Infra</v></cell><cell r="T3593" t="str"><v>Developers & ITI's</v></cell><cell r="U3593" t="str"><v>USA-Trial-ITD-Trial Lookalike-AZR-AZR</v></cell><cell r="V3593" t="str"><v>Lookalike Targeting</v></cell><cell r="W3593" t="str"><v>Canvas Ad</v></cell><cell r="X3593" t="str"><v>1x1</v></cell></row><row r="3593"><cell r="AA3593"><v>43306</v></cell><cell r="AB3593" t="str"><v>USA_gaPMG_AZR_AZR_Q1_19_Direct-Social</v></cell><cell r="AC3593"><v>21358715</v></cell><cell r="AD3593"><v>720197</v></cell><cell r="AE3593" t="str"><v>Facebook</v></cell><cell r="AF3593"><v>3654128</v></cell><cell r="AG3593" t="str"><v>FACEBOOK»USA-Trial-ITD-Trial Lookalike-AZR-AZR»1 x 1»SocialBan»CAN»ALL»CPA»LAL»X»NA»SS»NA»FBCTCBrandinMotion»PRC1M3</v></cell><cell r="AH3593"><v>223862900</v></cell><cell r="AI3593" t="str"><v>AzurePlatform_FBCTCBrandinMotion_USA_10s_CAN_PLATFORM_English_Trial_Standard_STAN_TIN_T2_2</v></cell><cell r="AJ3593"><v>103032823</v></cell></row><row r="3594"><cell r="C3594" t="str"><v>43306FACEBOOK»USA-Trial-ITD-Trial PayGo Lookalike-AZR-AZR»1 x 1»SocialBan»CAN»ALL»CPA»LAL»X»NA»SS»NA»FBCTCBenefit2inMotion»PRC1Q1</v></cell><cell r="D3594" t="str"><v>43306224104986</v></cell><cell r="E3594" t="str"><v>43306103043835PRC1Q1</v></cell><cell r="F3594" t="str"><v>DCM</v></cell><cell r="G3594" t="str"><v>https://signup.azure.com/?OCID=AID%eexcid!_OLA_%ebuy!_%epid!_%ecid!</v></cell></row><row r="3594"><cell r="K3594" t="str"><v>July</v></cell><cell r="L3594"><v>43309</v></cell><cell r="M3594" t="str"><v>Tier 0</v></cell><cell r="N3594" t="str"><v>North America</v></cell><cell r="O3594" t="str"><v>United States</v></cell><cell r="P3594" t="str"><v>Trial</v></cell><cell r="Q3594" t="str"><v>Social</v></cell><cell r="R3594" t="str"><v>Azure</v></cell><cell r="S3594" t="str"><v>Apps & Infra</v></cell><cell r="T3594" t="str"><v>Developers & ITI's</v></cell><cell r="U3594" t="str"><v>USA-Trial-ITD-Trial PayGo Lookalike-AZR-AZR</v></cell><cell r="V3594" t="str"><v>Lookalike Targeting</v></cell><cell r="W3594" t="str"><v>Canvas Ad</v></cell><cell r="X3594" t="str"><v>1x1</v></cell></row><row r="3594"><cell r="AA3594"><v>43306</v></cell><cell r="AB3594" t="str"><v>USA_gaPMG_AZR_AZR_Q1_19_Direct-Social</v></cell><cell r="AC3594"><v>21358715</v></cell><cell r="AD3594"><v>720197</v></cell><cell r="AE3594" t="str"><v>Facebook</v></cell><cell r="AF3594"><v>3654128</v></cell><cell r="AG3594" t="str"><v>FACEBOOK»USA-Trial-ITD-Trial PayGo Lookalike-AZR-AZR»1 x 1»SocialBan»CAN»ALL»CPA»LAL»X»NA»SS»NA»FBCTCBenefit2inMotion»PRC1Q1</v></cell><cell r="AH3594"><v>224104986</v></cell><cell r="AI3594" t="str"><v>AzurePlatform_FBCTCBenefit2inMotion_USA_10s_CAN_PLATFORM_English_Trial_Standard_STAN_TIN_T4_1</v></cell><cell r="AJ3594"><v>103043835</v></cell></row><row r="3595"><cell r="C3595" t="str"><v>43306FACEBOOK»USA-Trial-ITD-Trial PayGo Lookalike-AZR-AZR»1 x 1»SocialBan»CAN»ALL»CPA»LAL»X»NA»SS»NA»FBCTCBenefit2inMotion»PRC1Q1</v></cell><cell r="D3595" t="str"><v>43306224104986</v></cell><cell r="E3595" t="str"><v>43306103178645PRC1Q1</v></cell><cell r="F3595" t="str"><v>DCM</v></cell><cell r="G3595" t="str"><v>https://azure.microsoft.com/en-us/pricing/purchase-options/?v=18.19&OCID=AID%eexcid!_OLA_%ebuy!_%epid!_%ecid!</v></cell></row><row r="3595"><cell r="K3595" t="str"><v>July</v></cell><cell r="L3595"><v>43309</v></cell><cell r="M3595" t="str"><v>Tier 0</v></cell><cell r="N3595" t="str"><v>North America</v></cell><cell r="O3595" t="str"><v>United States</v></cell><cell r="P3595" t="str"><v>Trial</v></cell><cell r="Q3595" t="str"><v>Social</v></cell><cell r="R3595" t="str"><v>Azure</v></cell><cell r="S3595" t="str"><v>Apps & Infra</v></cell><cell r="T3595" t="str"><v>Developers & ITI's</v></cell><cell r="U3595" t="str"><v>USA-Trial-ITD-Trial PayGo Lookalike-AZR-AZR</v></cell><cell r="V3595" t="str"><v>Lookalike Targeting</v></cell><cell r="W3595" t="str"><v>Canvas Ad</v></cell><cell r="X3595" t="str"><v>1x1</v></cell></row><row r="3595"><cell r="AA3595"><v>43306</v></cell><cell r="AB3595" t="str"><v>USA_gaPMG_AZR_AZR_Q1_19_Direct-Social</v></cell><cell r="AC3595"><v>21358715</v></cell><cell r="AD3595"><v>720197</v></cell><cell r="AE3595" t="str"><v>Facebook</v></cell><cell r="AF3595"><v>3654128</v></cell><cell r="AG3595" t="str"><v>FACEBOOK»USA-Trial-ITD-Trial PayGo Lookalike-AZR-AZR»1 x 1»SocialBan»CAN»ALL»CPA»LAL»X»NA»SS»NA»FBCTCBenefit2inMotion»PRC1Q1</v></cell><cell r="AH3595"><v>224104986</v></cell><cell r="AI3595" t="str"><v>AzurePlatform_FBCTCBenefit2inMotion_USA_10s_CAN_PLATFORM_English_Trial_Standard_STAN_TIN_T4_2</v></cell><cell r="AJ3595"><v>103178645</v></cell></row><row r="3596"><cell r="C3596" t="str"><v>43306FACEBOOK»USA-Trial-ITD-Trial PayGo Lookalike-AZR-AZR»1 x 1»SocialBan»CAN»ALL»CPA»LAL»X»NA»SS»NA»FBCTCBrandinMotion»PRC1Q3</v></cell><cell r="D3596" t="str"><v>43306223935349</v></cell><cell r="E3596" t="str"><v>43306103176812PRC1Q3</v></cell><cell r="F3596" t="str"><v>DCM</v></cell><cell r="G3596" t="str"><v>https://signup.azure.com/?OCID=AID%eexcid!_OLA_%ebuy!_%epid!_%ecid!</v></cell></row><row r="3596"><cell r="K3596" t="str"><v>July</v></cell><cell r="L3596"><v>43309</v></cell><cell r="M3596" t="str"><v>Tier 0</v></cell><cell r="N3596" t="str"><v>North America</v></cell><cell r="O3596" t="str"><v>United States</v></cell><cell r="P3596" t="str"><v>Trial</v></cell><cell r="Q3596" t="str"><v>Social</v></cell><cell r="R3596" t="str"><v>Azure</v></cell><cell r="S3596" t="str"><v>Apps & Infra</v></cell><cell r="T3596" t="str"><v>Developers & ITI's</v></cell><cell r="U3596" t="str"><v>USA-Trial-ITD-Trial PayGo Lookalike-AZR-AZR</v></cell><cell r="V3596" t="str"><v>Lookalike Targeting</v></cell><cell r="W3596" t="str"><v>Canvas Ad</v></cell><cell r="X3596" t="str"><v>1x1</v></cell></row><row r="3596"><cell r="AA3596"><v>43306</v></cell><cell r="AB3596" t="str"><v>USA_gaPMG_AZR_AZR_Q1_19_Direct-Social</v></cell><cell r="AC3596"><v>21358715</v></cell><cell r="AD3596"><v>720197</v></cell><cell r="AE3596" t="str"><v>Facebook</v></cell><cell r="AF3596"><v>3654128</v></cell><cell r="AG3596" t="str"><v>FACEBOOK»USA-Trial-ITD-Trial PayGo Lookalike-AZR-AZR»1 x 1»SocialBan»CAN»ALL»CPA»LAL»X»NA»SS»NA»FBCTCBrandinMotion»PRC1Q3</v></cell><cell r="AH3596"><v>223935349</v></cell><cell r="AI3596" t="str"><v>AzurePlatform_FBCTCBrandinMotion_USA_10s_CAN_PLATFORM_English_Trial_Standard_STAN_TIN_T2_1</v></cell><cell r="AJ3596"><v>103176812</v></cell></row><row r="3597"><cell r="C3597" t="str"><v>43306FACEBOOK»USA-Trial-ITD-Trial PayGo Lookalike-AZR-AZR»1 x 1»SocialBan»CAN»ALL»CPA»LAL»X»NA»SS»NA»FBCTCBenefitinMotion»PRC1Q2</v></cell><cell r="D3597" t="str"><v>43306223862960</v></cell><cell r="E3597" t="str"><v>43306103032775PRC1Q2</v></cell><cell r="F3597" t="str"><v>DCM</v></cell><cell r="G3597" t="str"><v>https://signup.azure.com/?OCID=AID%eexcid!_OLA_%ebuy!_%epid!_%ecid!</v></cell></row><row r="3597"><cell r="K3597" t="str"><v>July</v></cell><cell r="L3597"><v>43309</v></cell><cell r="M3597" t="str"><v>Tier 0</v></cell><cell r="N3597" t="str"><v>North America</v></cell><cell r="O3597" t="str"><v>United States</v></cell><cell r="P3597" t="str"><v>Trial</v></cell><cell r="Q3597" t="str"><v>Social</v></cell><cell r="R3597" t="str"><v>Azure</v></cell><cell r="S3597" t="str"><v>Apps & Infra</v></cell><cell r="T3597" t="str"><v>Developers & ITI's</v></cell><cell r="U3597" t="str"><v>USA-Trial-ITD-Trial PayGo Lookalike-AZR-AZR</v></cell><cell r="V3597" t="str"><v>Lookalike Targeting</v></cell><cell r="W3597" t="str"><v>Canvas Ad</v></cell><cell r="X3597" t="str"><v>1x1</v></cell></row><row r="3597"><cell r="AA3597"><v>43306</v></cell><cell r="AB3597" t="str"><v>USA_gaPMG_AZR_AZR_Q1_19_Direct-Social</v></cell><cell r="AC3597"><v>21358715</v></cell><cell r="AD3597"><v>720197</v></cell><cell r="AE3597" t="str"><v>Facebook</v></cell><cell r="AF3597"><v>3654128</v></cell><cell r="AG3597" t="str"><v>FACEBOOK»USA-Trial-ITD-Trial PayGo Lookalike-AZR-AZR»1 x 1»SocialBan»CAN»ALL»CPA»LAL»X»NA»SS»NA»FBCTCBenefitinMotion»PRC1Q2</v></cell><cell r="AH3597"><v>223862960</v></cell><cell r="AI3597" t="str"><v>AzurePlatform_FBCTCBenefitinMotion_USA_10s_CAN_PLATFORM_English_Trial_Standard_STAN_TIN_T3_1</v></cell><cell r="AJ3597"><v>103032775</v></cell></row><row r="3598"><cell r="C3598" t="str"><v>43306FACEBOOK»USA-Trial-ITD-Trial PayGo Lookalike-AZR-AZR»1 x 1»SocialBan»CAN»ALL»CPA»LAL»X»NA»SS»NA»FBCTCBenefitinMotion»PRC1Q2</v></cell><cell r="D3598" t="str"><v>43306223862960</v></cell><cell r="E3598" t="str"><v>43306103176836PRC1Q2</v></cell><cell r="F3598" t="str"><v>DCM</v></cell><cell r="G3598" t="str"><v>https://azure.microsoft.com/en-us/pricing/purchase-options/?v=18.19&OCID=AID%eexcid!_OLA_%ebuy!_%epid!_%ecid!</v></cell></row><row r="3598"><cell r="K3598" t="str"><v>July</v></cell><cell r="L3598"><v>43309</v></cell><cell r="M3598" t="str"><v>Tier 0</v></cell><cell r="N3598" t="str"><v>North America</v></cell><cell r="O3598" t="str"><v>United States</v></cell><cell r="P3598" t="str"><v>Trial</v></cell><cell r="Q3598" t="str"><v>Social</v></cell><cell r="R3598" t="str"><v>Azure</v></cell><cell r="S3598" t="str"><v>Apps & Infra</v></cell><cell r="T3598" t="str"><v>Developers & ITI's</v></cell><cell r="U3598" t="str"><v>USA-Trial-ITD-Trial PayGo Lookalike-AZR-AZR</v></cell><cell r="V3598" t="str"><v>Lookalike Targeting</v></cell><cell r="W3598" t="str"><v>Canvas Ad</v></cell><cell r="X3598" t="str"><v>1x1</v></cell></row><row r="3598"><cell r="AA3598"><v>43306</v></cell><cell r="AB3598" t="str"><v>USA_gaPMG_AZR_AZR_Q1_19_Direct-Social</v></cell><cell r="AC3598"><v>21358715</v></cell><cell r="AD3598"><v>720197</v></cell><cell r="AE3598" t="str"><v>Facebook</v></cell><cell r="AF3598"><v>3654128</v></cell><cell r="AG3598" t="str"><v>FACEBOOK»USA-Trial-ITD-Trial PayGo Lookalike-AZR-AZR»1 x 1»SocialBan»CAN»ALL»CPA»LAL»X»NA»SS»NA»FBCTCBenefitinMotion»PRC1Q2</v></cell><cell r="AH3598"><v>223862960</v></cell><cell r="AI3598" t="str"><v>AzurePlatform_FBCTCBenefitinMotion_USA_10s_CAN_PLATFORM_English_Trial_Standard_STAN_TIN_T3_2</v></cell><cell r="AJ3598"><v>103176836</v></cell></row><row r="3599"><cell r="C3599" t="str"><v>43306FACEBOOK»USA-Trial-ITD-Trial PayGo Lookalike-AZR-AZR»1 x 1»SocialBan»LIA»ALL»CPA»LAL»X»NA»SS»NA»FreeAcctDeveloperFB-AnimatedGeneric-Ch1»PRC1Q6</v></cell><cell r="D3599" t="str"><v>43306224106129</v></cell><cell r="E3599" t="str"><v>43306103176851PRC1Q6</v></cell><cell r="F3599" t="str"><v>DCM</v></cell><cell r="G3599" t="str"><v>https://azure.microsoft.com/en-us/free/search/?OCID=AID%eexcid!_OLA_%ebuy!_%epid!_%ecid!</v></cell></row><row r="3599"><cell r="K3599" t="str"><v>July</v></cell><cell r="L3599"><v>43309</v></cell><cell r="M3599" t="str"><v>Tier 0</v></cell><cell r="N3599" t="str"><v>North America</v></cell><cell r="O3599" t="str"><v>United States</v></cell><cell r="P3599" t="str"><v>Trial</v></cell><cell r="Q3599" t="str"><v>Social</v></cell><cell r="R3599" t="str"><v>Azure</v></cell><cell r="S3599" t="str"><v>Apps & Infra</v></cell><cell r="T3599" t="str"><v>Developers & ITI's</v></cell><cell r="U3599" t="str"><v>USA-Trial-ITD-Trial PayGo Lookalike-AZR-AZR</v></cell><cell r="V3599" t="str"><v>Lookalike Targeting</v></cell><cell r="W3599" t="str"><v>Link Ad</v></cell><cell r="X3599" t="str"><v>1x1</v></cell></row><row r="3599"><cell r="AA3599"><v>43306</v></cell><cell r="AB3599" t="str"><v>USA_gaPMG_AZR_AZR_Q1_19_Direct-Social</v></cell><cell r="AC3599"><v>21358715</v></cell><cell r="AD3599"><v>720197</v></cell><cell r="AE3599" t="str"><v>Facebook</v></cell><cell r="AF3599"><v>3654128</v></cell><cell r="AG3599" t="str"><v>FACEBOOK»USA-Trial-ITD-Trial PayGo Lookalike-AZR-AZR»1 x 1»SocialBan»LIA»ALL»CPA»LAL»X»NA»SS»NA»FreeAcctDeveloperFB-AnimatedGeneric-Ch1»PRC1Q6</v></cell><cell r="AH3599"><v>224106129</v></cell><cell r="AI3599" t="str"><v>AZR_FreeAcctDeveloperFB-AnimatedGeneric-Ch1_USA_1200x1200_CAN_Direct_English_Trial_Standard_ANI_LEA_T1_2</v></cell><cell r="AJ3599"><v>103176851</v></cell></row><row r="3600"><cell r="C3600" t="str"><v>43306FACEBOOK»USA-Trial-ITD-Trial PayGo Lookalike-AZR-AZR»1 x 1»SocialBan»CCA»ALL»CPA»LAL»X»NA»SS»NA»Azure Developer Facebook Collections»PRSH6K</v></cell><cell r="D3600" t="str"><v>43306225217676</v></cell><cell r="E3600" t="str"><v>43306103773177PRSH6K</v></cell><cell r="F3600" t="str"><v>DCM</v></cell><cell r="G3600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3600"><cell r="K3600" t="str"><v>July</v></cell><cell r="L3600"><v>43309</v></cell><cell r="M3600" t="str"><v>Tier 0</v></cell><cell r="N3600" t="str"><v>North America</v></cell><cell r="O3600" t="str"><v>United States</v></cell><cell r="P3600" t="str"><v>Trial</v></cell><cell r="Q3600" t="str"><v>Social</v></cell><cell r="R3600" t="str"><v>Azure</v></cell><cell r="S3600" t="str"><v>Apps & Infra</v></cell><cell r="T3600" t="str"><v>Developers & ITI's</v></cell><cell r="U3600" t="str"><v>USA-Trial-ITD-Trial PayGo Lookalike-AZR-AZR</v></cell><cell r="V3600" t="str"><v>Lookalike Targeting</v></cell><cell r="W3600" t="str"><v>Canvas Collection Ad</v></cell><cell r="X3600" t="str"><v>1x1</v></cell></row><row r="3600"><cell r="AA3600"><v>43306</v></cell><cell r="AB3600" t="str"><v>USA_gaPMG_AZR_AZR_Q1_19_Direct-Social</v></cell><cell r="AC3600"><v>21358715</v></cell><cell r="AD3600"><v>720197</v></cell><cell r="AE3600" t="str"><v>Facebook</v></cell><cell r="AF3600"><v>3654128</v></cell><cell r="AG3600" t="str"><v>FACEBOOK»USA-Trial-ITD-Trial PayGo Lookalike-AZR-AZR»1 x 1»SocialBan»CCA»ALL»CPA»LAL»X»NA»SS»NA»Azure Developer Facebook Collections»PRSH6K</v></cell><cell r="AH3600"><v>225217676</v></cell><cell r="AI3600" t="str"><v>AZR_FBCollections-AITryAzureFreeCTA-Img2_USA_1200x182_SOC_Plat_EN_NA_Standard_NA_TIN_T1_2</v></cell><cell r="AJ3600"><v>103773177</v></cell></row><row r="3601"><cell r="C3601" t="str"><v>43306FACEBOOK»USA-Trial-ITD-Trial PayGo Lookalike-AZR-AZR»1 x 1»SocialBan»CCA»ALL»CPA»LAL»X»NA»SS»NA»Azure Developer Facebook Collections»PRSH6K</v></cell><cell r="D3601" t="str"><v>43306225217676</v></cell><cell r="E3601" t="str"><v>43306103776921PRSH6K</v></cell><cell r="F3601" t="str"><v>DCM</v></cell><cell r="G3601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3601"><cell r="K3601" t="str"><v>July</v></cell><cell r="L3601"><v>43309</v></cell><cell r="M3601" t="str"><v>Tier 0</v></cell><cell r="N3601" t="str"><v>North America</v></cell><cell r="O3601" t="str"><v>United States</v></cell><cell r="P3601" t="str"><v>Trial</v></cell><cell r="Q3601" t="str"><v>Social</v></cell><cell r="R3601" t="str"><v>Azure</v></cell><cell r="S3601" t="str"><v>Apps & Infra</v></cell><cell r="T3601" t="str"><v>Developers & ITI's</v></cell><cell r="U3601" t="str"><v>USA-Trial-ITD-Trial PayGo Lookalike-AZR-AZR</v></cell><cell r="V3601" t="str"><v>Lookalike Targeting</v></cell><cell r="W3601" t="str"><v>Canvas Collection Ad</v></cell><cell r="X3601" t="str"><v>1x1</v></cell></row><row r="3601"><cell r="AA3601"><v>43306</v></cell><cell r="AB3601" t="str"><v>USA_gaPMG_AZR_AZR_Q1_19_Direct-Social</v></cell><cell r="AC3601"><v>21358715</v></cell><cell r="AD3601"><v>720197</v></cell><cell r="AE3601" t="str"><v>Facebook</v></cell><cell r="AF3601"><v>3654128</v></cell><cell r="AG3601" t="str"><v>FACEBOOK»USA-Trial-ITD-Trial PayGo Lookalike-AZR-AZR»1 x 1»SocialBan»CCA»ALL»CPA»LAL»X»NA»SS»NA»Azure Developer Facebook Collections»PRSH6K</v></cell><cell r="AH3601"><v>225217676</v></cell><cell r="AI3601" t="str"><v>AZR_FBCollections-FreeStuffTryAzureFreeCTA-Img5_USA_1200x182_SOC_Plat_EN_NA_Standard_NA_TIN_T1_5</v></cell><cell r="AJ3601"><v>103776921</v></cell></row><row r="3602"><cell r="C3602" t="str"><v>43306FACEBOOK»USA-Trial-ITD-Trial PayGo Lookalike-AZR-AZR»1 x 1»SocialBan»CCA»ALL»CPA»LAL»X»NA»SS»NA»Azure Developer Facebook Collections»PRSH6K</v></cell><cell r="D3602" t="str"><v>43306225217676</v></cell><cell r="E3602" t="str"><v>43306103873631PRSH6K</v></cell><cell r="F3602" t="str"><v>DCM</v></cell><cell r="G3602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3602"><cell r="K3602" t="str"><v>July</v></cell><cell r="L3602"><v>43309</v></cell><cell r="M3602" t="str"><v>Tier 0</v></cell><cell r="N3602" t="str"><v>North America</v></cell><cell r="O3602" t="str"><v>United States</v></cell><cell r="P3602" t="str"><v>Trial</v></cell><cell r="Q3602" t="str"><v>Social</v></cell><cell r="R3602" t="str"><v>Azure</v></cell><cell r="S3602" t="str"><v>Apps & Infra</v></cell><cell r="T3602" t="str"><v>Developers & ITI's</v></cell><cell r="U3602" t="str"><v>USA-Trial-ITD-Trial PayGo Lookalike-AZR-AZR</v></cell><cell r="V3602" t="str"><v>Lookalike Targeting</v></cell><cell r="W3602" t="str"><v>Canvas Collection Ad</v></cell><cell r="X3602" t="str"><v>1x1</v></cell></row><row r="3602"><cell r="AA3602"><v>43306</v></cell><cell r="AB3602" t="str"><v>USA_gaPMG_AZR_AZR_Q1_19_Direct-Social</v></cell><cell r="AC3602"><v>21358715</v></cell><cell r="AD3602"><v>720197</v></cell><cell r="AE3602" t="str"><v>Facebook</v></cell><cell r="AF3602"><v>3654128</v></cell><cell r="AG3602" t="str"><v>FACEBOOK»USA-Trial-ITD-Trial PayGo Lookalike-AZR-AZR»1 x 1»SocialBan»CCA»ALL»CPA»LAL»X»NA»SS»NA»Azure Developer Facebook Collections»PRSH6K</v></cell><cell r="AH3602"><v>225217676</v></cell><cell r="AI3602" t="str"><v>AZR_FBCollections-OSSTryAzureFreeCTA-Img3_USA_1200x182_SOC_Plat_EN_NA_Standard_NA_TIN_T1_3</v></cell><cell r="AJ3602"><v>103873631</v></cell></row><row r="3603"><cell r="C3603" t="str"><v>43306FACEBOOK»USA-Trial-ITD-Trial PayGo Lookalike-AZR-AZR»1 x 1»SocialBan»CCA»ALL»CPA»LAL»X»NA»SS»NA»Azure Developer Facebook Collections»PRSH6K</v></cell><cell r="D3603" t="str"><v>43306225217676</v></cell><cell r="E3603" t="str"><v>43306103773180PRSH6K</v></cell><cell r="F3603" t="str"><v>DCM</v></cell><cell r="G3603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3603"><cell r="K3603" t="str"><v>July</v></cell><cell r="L3603"><v>43309</v></cell><cell r="M3603" t="str"><v>Tier 0</v></cell><cell r="N3603" t="str"><v>North America</v></cell><cell r="O3603" t="str"><v>United States</v></cell><cell r="P3603" t="str"><v>Trial</v></cell><cell r="Q3603" t="str"><v>Social</v></cell><cell r="R3603" t="str"><v>Azure</v></cell><cell r="S3603" t="str"><v>Apps & Infra</v></cell><cell r="T3603" t="str"><v>Developers & ITI's</v></cell><cell r="U3603" t="str"><v>USA-Trial-ITD-Trial PayGo Lookalike-AZR-AZR</v></cell><cell r="V3603" t="str"><v>Lookalike Targeting</v></cell><cell r="W3603" t="str"><v>Canvas Collection Ad</v></cell><cell r="X3603" t="str"><v>1x1</v></cell></row><row r="3603"><cell r="AA3603"><v>43306</v></cell><cell r="AB3603" t="str"><v>USA_gaPMG_AZR_AZR_Q1_19_Direct-Social</v></cell><cell r="AC3603"><v>21358715</v></cell><cell r="AD3603"><v>720197</v></cell><cell r="AE3603" t="str"><v>Facebook</v></cell><cell r="AF3603"><v>3654128</v></cell><cell r="AG3603" t="str"><v>FACEBOOK»USA-Trial-ITD-Trial PayGo Lookalike-AZR-AZR»1 x 1»SocialBan»CCA»ALL»CPA»LAL»X»NA»SS»NA»Azure Developer Facebook Collections»PRSH6K</v></cell><cell r="AH3603"><v>225217676</v></cell><cell r="AI3603" t="str"><v>AZR_FBCollections-SmartDataTryAzureFreeCTA-Img4_USA_1200x182_SOC_Plat_EN_NA_Standard_NA_TIN_T1_4</v></cell><cell r="AJ3603"><v>103773180</v></cell></row><row r="3604"><cell r="C3604" t="str"><v>43306FACEBOOK»USA-Trial-ITD-Interest Prospecting-AZR-AZR»1 x 1»SocialBan»LIA»ALL»CPA»PRO»X»NA»SS»NA»FreeAcctDeveloperFB-AnimatedAI-Ch3»PRC1T2</v></cell><cell r="D3604" t="str"><v>43306223862765</v></cell><cell r="E3604" t="str"><v>43306103032778PRC1T2</v></cell><cell r="F3604" t="str"><v>DCM</v></cell></row><row r="3604"><cell r="K3604" t="str"><v>July</v></cell><cell r="L3604"><v>43309</v></cell><cell r="M3604" t="str"><v>Tier 0</v></cell><cell r="N3604" t="str"><v>North America</v></cell><cell r="O3604" t="str"><v>United States</v></cell><cell r="P3604" t="str"><v>Trial</v></cell><cell r="Q3604" t="str"><v>Social</v></cell><cell r="R3604" t="str"><v>Azure</v></cell><cell r="S3604" t="str"><v>Apps & Infra</v></cell><cell r="T3604" t="str"><v>Developers & ITI's</v></cell><cell r="U3604" t="str"><v>USA-Trial-ITD-Interest Prospecting-AZR-AZR</v></cell><cell r="V3604" t="str"><v>Prospecting</v></cell><cell r="W3604" t="str"><v>Link Ad</v></cell><cell r="X3604" t="str"><v>1x1</v></cell></row><row r="3604"><cell r="AA3604"><v>43306</v></cell><cell r="AB3604" t="str"><v>USA_gaPMG_AZR_AZR_Q1_19_Direct-Social</v></cell><cell r="AC3604"><v>21358715</v></cell><cell r="AD3604"><v>720197</v></cell><cell r="AE3604" t="str"><v>Facebook</v></cell><cell r="AF3604"><v>3654128</v></cell><cell r="AG3604" t="str"><v>FACEBOOK»USA-Trial-ITD-Interest Prospecting-AZR-AZR»1 x 1»SocialBan»LIA»ALL»CPA»PRO»X»NA»SS»NA»FreeAcctDeveloperFB-AnimatedAI-Ch3»PRC1T2</v></cell><cell r="AH3604"><v>223862765</v></cell><cell r="AI3604" t="str"><v>AZR_FreeAcctDeveloperFB-AnimatedAI-Ch3_USA_1200x1200_CAN_Direct_English_Trial_Standard_ANI_LEA_T3_1</v></cell><cell r="AJ3604"><v>103032778</v></cell></row><row r="3605"><cell r="C3605" t="str"><v>43306FACEBOOK»USA-Trial-ITD-Interest Prospecting-AZR-AZR»1 x 1»SocialBan»LIA»ALL»CPA»PRO»X»NA»SS»NA»FreeAcctDeveloperFB-AnimatedData-Ch4»PRC1T3</v></cell><cell r="D3605" t="str"><v>43306223863380</v></cell><cell r="E3605" t="str"><v>43306103037935PRC1T3</v></cell><cell r="F3605" t="str"><v>DCM</v></cell></row><row r="3605"><cell r="K3605" t="str"><v>July</v></cell><cell r="L3605"><v>43309</v></cell><cell r="M3605" t="str"><v>Tier 0</v></cell><cell r="N3605" t="str"><v>North America</v></cell><cell r="O3605" t="str"><v>United States</v></cell><cell r="P3605" t="str"><v>Trial</v></cell><cell r="Q3605" t="str"><v>Social</v></cell><cell r="R3605" t="str"><v>Azure</v></cell><cell r="S3605" t="str"><v>Apps & Infra</v></cell><cell r="T3605" t="str"><v>Developers & ITI's</v></cell><cell r="U3605" t="str"><v>USA-Trial-ITD-Interest Prospecting-AZR-AZR</v></cell><cell r="V3605" t="str"><v>Prospecting</v></cell><cell r="W3605" t="str"><v>Link Ad</v></cell><cell r="X3605" t="str"><v>1x1</v></cell></row><row r="3605"><cell r="AA3605"><v>43306</v></cell><cell r="AB3605" t="str"><v>USA_gaPMG_AZR_AZR_Q1_19_Direct-Social</v></cell><cell r="AC3605"><v>21358715</v></cell><cell r="AD3605"><v>720197</v></cell><cell r="AE3605" t="str"><v>Facebook</v></cell><cell r="AF3605"><v>3654128</v></cell><cell r="AG3605" t="str"><v>FACEBOOK»USA-Trial-ITD-Interest Prospecting-AZR-AZR»1 x 1»SocialBan»LIA»ALL»CPA»PRO»X»NA»SS»NA»FreeAcctDeveloperFB-AnimatedData-Ch4»PRC1T3</v></cell><cell r="AH3605"><v>223863380</v></cell><cell r="AI3605" t="str"><v>AZR_FreeAcctDeveloperFB-AnimatedData-Ch4_USA_1200x1200_CAN_Direct_English_Trial_Standard_ANI_LEA_T4_2</v></cell><cell r="AJ3605"><v>103037935</v></cell></row><row r="3606"><cell r="C3606" t="str"><v>43306FACEBOOK»USA-Trial-ITD-Interest Prospecting-AZR-AZR»1 x 1»SocialBan»LIA»ALL»CPA»PRO»X»NA»SS»NA»FreeAcctDeveloperFB-AnimatedOpenSource-Ch2»PRC1T1</v></cell><cell r="D3606" t="str"><v>43306223862885</v></cell><cell r="E3606" t="str"><v>43306103048329PRC1T1</v></cell><cell r="F3606" t="str"><v>DCM</v></cell><cell r="G3606" t="str"><v>https://azure.microsoft.com/en-us/free/open-source/search/?OCID=AID%eexcid!_OLA_%ebuy!_%epid!_%ecid!</v></cell></row><row r="3606"><cell r="K3606" t="str"><v>July</v></cell><cell r="L3606"><v>43309</v></cell><cell r="M3606" t="str"><v>Tier 0</v></cell><cell r="N3606" t="str"><v>North America</v></cell><cell r="O3606" t="str"><v>United States</v></cell><cell r="P3606" t="str"><v>Trial</v></cell><cell r="Q3606" t="str"><v>Social</v></cell><cell r="R3606" t="str"><v>Azure</v></cell><cell r="S3606" t="str"><v>Apps & Infra</v></cell><cell r="T3606" t="str"><v>Developers & ITI's</v></cell><cell r="U3606" t="str"><v>USA-Trial-ITD-Interest Prospecting-AZR-AZR</v></cell><cell r="V3606" t="str"><v>Prospecting</v></cell><cell r="W3606" t="str"><v>Link Ad</v></cell><cell r="X3606" t="str"><v>1x1</v></cell></row><row r="3606"><cell r="AA3606"><v>43306</v></cell><cell r="AB3606" t="str"><v>USA_gaPMG_AZR_AZR_Q1_19_Direct-Social</v></cell><cell r="AC3606"><v>21358715</v></cell><cell r="AD3606"><v>720197</v></cell><cell r="AE3606" t="str"><v>Facebook</v></cell><cell r="AF3606"><v>3654128</v></cell><cell r="AG3606" t="str"><v>FACEBOOK»USA-Trial-ITD-Interest Prospecting-AZR-AZR»1 x 1»SocialBan»LIA»ALL»CPA»PRO»X»NA»SS»NA»FreeAcctDeveloperFB-AnimatedOpenSource-Ch2»PRC1T1</v></cell><cell r="AH3606"><v>223862885</v></cell><cell r="AI3606" t="str"><v>AZR_FreeAcctDeveloperFB-AnimatedOpenSource-Ch2_USA_1200x1200_CAN_Direct_English_Trial_Standard_ANI_LEA_T2_1</v></cell><cell r="AJ3606"><v>103048329</v></cell></row><row r="3607"><cell r="C3607" t="str"><v>43306FACEBOOK»USA-Trial-ITD-Interest Prospecting-AZR-AZR»1 x 1»SocialBan»LIA»ALL»CPA»PRO»X»NA»SS»NA»FreeAcctITProFB-AnimatedMigration-Ch3»PRC1X2</v></cell><cell r="D3607" t="str"><v>43306224106954</v></cell><cell r="E3607" t="str"><v>43306103176827PRC1X2</v></cell><cell r="F3607" t="str"><v>DCM</v></cell></row><row r="3607"><cell r="K3607" t="str"><v>July</v></cell><cell r="L3607"><v>43309</v></cell><cell r="M3607" t="str"><v>Tier 0</v></cell><cell r="N3607" t="str"><v>North America</v></cell><cell r="O3607" t="str"><v>United States</v></cell><cell r="P3607" t="str"><v>Trial</v></cell><cell r="Q3607" t="str"><v>Social</v></cell><cell r="R3607" t="str"><v>Azure</v></cell><cell r="S3607" t="str"><v>Apps & Infra</v></cell><cell r="T3607" t="str"><v>Developers & ITI's</v></cell><cell r="U3607" t="str"><v>USA-Trial-ITD-Interest Prospecting-AZR-AZR</v></cell><cell r="V3607" t="str"><v>Prospecting</v></cell><cell r="W3607" t="str"><v>Link Ad</v></cell><cell r="X3607" t="str"><v>1x1</v></cell></row><row r="3607"><cell r="AA3607"><v>43306</v></cell><cell r="AB3607" t="str"><v>USA_gaPMG_AZR_AZR_Q1_19_Direct-Social</v></cell><cell r="AC3607"><v>21358715</v></cell><cell r="AD3607"><v>720197</v></cell><cell r="AE3607" t="str"><v>Facebook</v></cell><cell r="AF3607"><v>3654128</v></cell><cell r="AG3607" t="str"><v>FACEBOOK»USA-Trial-ITD-Interest Prospecting-AZR-AZR»1 x 1»SocialBan»LIA»ALL»CPA»PRO»X»NA»SS»NA»FreeAcctITProFB-AnimatedMigration-Ch3»PRC1X2</v></cell><cell r="AH3607"><v>224106954</v></cell><cell r="AI3607" t="str"><v>AZR_FreeAcctITProFB-AnimatedMigration-Ch3_USA_1200x1200_CAN_Direct_English_Trial_Standard_ANI_LEA_T3_1</v></cell><cell r="AJ3607"><v>103176827</v></cell></row><row r="3608"><cell r="C3608" t="str"><v>43306FACEBOOK»USA-Trial-ITD-Lead Completes-AZR-AZR»1 x 1»SocialBan»CAN»ALL»CPA»PRO»X»NA»SS»NA»FBCTCBrandinMotion»PRC1VX</v></cell><cell r="D3608" t="str"><v>43306223861547</v></cell><cell r="E3608" t="str"><v>43306103176812PRC1VX</v></cell><cell r="F3608" t="str"><v>DCM</v></cell><cell r="G3608" t="str"><v>https://signup.azure.com/?OCID=AID%eexcid!_OLA_%ebuy!_%epid!_%ecid!</v></cell></row><row r="3608"><cell r="K3608" t="str"><v>July</v></cell><cell r="L3608"><v>43309</v></cell><cell r="M3608" t="str"><v>Tier 0</v></cell><cell r="N3608" t="str"><v>North America</v></cell><cell r="O3608" t="str"><v>United States</v></cell><cell r="P3608" t="str"><v>Trial</v></cell><cell r="Q3608" t="str"><v>Social</v></cell><cell r="R3608" t="str"><v>Azure</v></cell><cell r="S3608" t="str"><v>Apps & Infra</v></cell><cell r="T3608" t="str"><v>Developers & ITI's</v></cell><cell r="U3608" t="str"><v>USA-Trial-ITD-Lead Completes-AZR-AZR</v></cell><cell r="V3608" t="str"><v>Prospecting</v></cell><cell r="W3608" t="str"><v>Canvas Ad</v></cell><cell r="X3608" t="str"><v>1x1</v></cell></row><row r="3608"><cell r="AA3608"><v>43306</v></cell><cell r="AB3608" t="str"><v>USA_gaPMG_AZR_AZR_Q1_19_Direct-Social</v></cell><cell r="AC3608"><v>21358715</v></cell><cell r="AD3608"><v>720197</v></cell><cell r="AE3608" t="str"><v>Facebook</v></cell><cell r="AF3608"><v>3654128</v></cell><cell r="AG3608" t="str"><v>FACEBOOK»USA-Trial-ITD-Lead Completes-AZR-AZR»1 x 1»SocialBan»CAN»ALL»CPA»PRO»X»NA»SS»NA»FBCTCBrandinMotion»PRC1VX</v></cell><cell r="AH3608"><v>223861547</v></cell><cell r="AI3608" t="str"><v>AzurePlatform_FBCTCBrandinMotion_USA_10s_CAN_PLATFORM_English_Trial_Standard_STAN_TIN_T2_1</v></cell><cell r="AJ3608"><v>103176812</v></cell></row><row r="3609"><cell r="C3609" t="str"><v>43306FACEBOOK»USA-Trial-ITD-Lead Completes-AZR-AZR»1 x 1»SocialBan»CAN»ALL»CPA»PRO»X»NA»SS»NA»FBCTCBrandinMotion»PRC1VX</v></cell><cell r="D3609" t="str"><v>43306223861547</v></cell><cell r="E3609" t="str"><v>43306103032823PRC1VX</v></cell><cell r="F3609" t="str"><v>DCM</v></cell><cell r="G3609" t="str"><v>https://azure.microsoft.com/en-us/pricing/purchase-options/?v=18.19&OCID=AID%eexcid!_OLA_%ebuy!_%epid!_%ecid!</v></cell></row><row r="3609"><cell r="K3609" t="str"><v>July</v></cell><cell r="L3609"><v>43309</v></cell><cell r="M3609" t="str"><v>Tier 0</v></cell><cell r="N3609" t="str"><v>North America</v></cell><cell r="O3609" t="str"><v>United States</v></cell><cell r="P3609" t="str"><v>Trial</v></cell><cell r="Q3609" t="str"><v>Social</v></cell><cell r="R3609" t="str"><v>Azure</v></cell><cell r="S3609" t="str"><v>Apps & Infra</v></cell><cell r="T3609" t="str"><v>Developers & ITI's</v></cell><cell r="U3609" t="str"><v>USA-Trial-ITD-Lead Completes-AZR-AZR</v></cell><cell r="V3609" t="str"><v>Prospecting</v></cell><cell r="W3609" t="str"><v>Canvas Ad</v></cell><cell r="X3609" t="str"><v>1x1</v></cell></row><row r="3609"><cell r="AA3609"><v>43306</v></cell><cell r="AB3609" t="str"><v>USA_gaPMG_AZR_AZR_Q1_19_Direct-Social</v></cell><cell r="AC3609"><v>21358715</v></cell><cell r="AD3609"><v>720197</v></cell><cell r="AE3609" t="str"><v>Facebook</v></cell><cell r="AF3609"><v>3654128</v></cell><cell r="AG3609" t="str"><v>FACEBOOK»USA-Trial-ITD-Lead Completes-AZR-AZR»1 x 1»SocialBan»CAN»ALL»CPA»PRO»X»NA»SS»NA»FBCTCBrandinMotion»PRC1VX</v></cell><cell r="AH3609"><v>223861547</v></cell><cell r="AI3609" t="str"><v>AzurePlatform_FBCTCBrandinMotion_USA_10s_CAN_PLATFORM_English_Trial_Standard_STAN_TIN_T2_2</v></cell><cell r="AJ3609"><v>103032823</v></cell></row><row r="3610"><cell r="C3610" t="str"><v>43306FACEBOOK»USA-Trial-ITD-Retargeting-AZR-AZR»1 x 1»SocialBan»LIA»ALL»CPA»RT»X»NA»SS»NA»FreeAcctDeveloperFB-AnimatedGeneric-Ch1»PRC26D</v></cell><cell r="D3610" t="str"><v>43306223862870</v></cell><cell r="E3610" t="str"><v>43306103176851PRC26D</v></cell><cell r="F3610" t="str"><v>DCM</v></cell><cell r="G3610" t="str"><v>https://azure.microsoft.com/en-us/free/search/?OCID=AID%eexcid!_OLA_%ebuy!_%epid!_%ecid!</v></cell></row><row r="3610"><cell r="K3610" t="str"><v>July</v></cell><cell r="L3610"><v>43309</v></cell><cell r="M3610" t="str"><v>Tier 0</v></cell><cell r="N3610" t="str"><v>North America</v></cell><cell r="O3610" t="str"><v>United States</v></cell><cell r="P3610" t="str"><v>Trial</v></cell><cell r="Q3610" t="str"><v>Social</v></cell><cell r="R3610" t="str"><v>Azure</v></cell><cell r="S3610" t="str"><v>Apps & Infra</v></cell><cell r="T3610" t="str"><v>Developers & ITI's</v></cell><cell r="U3610" t="str"><v>USA-Trial-ITD-Retargeting-AZR-AZR</v></cell><cell r="V3610" t="str"><v>Retargeting</v></cell><cell r="W3610" t="str"><v>Link Ad</v></cell><cell r="X3610" t="str"><v>1x1</v></cell></row><row r="3610"><cell r="AA3610"><v>43306</v></cell><cell r="AB3610" t="str"><v>USA_gaPMG_AZR_AZR_Q1_19_Direct-Social</v></cell><cell r="AC3610"><v>21358715</v></cell><cell r="AD3610"><v>720197</v></cell><cell r="AE3610" t="str"><v>Facebook</v></cell><cell r="AF3610"><v>3654128</v></cell><cell r="AG3610" t="str"><v>FACEBOOK»USA-Trial-ITD-Retargeting-AZR-AZR»1 x 1»SocialBan»LIA»ALL»CPA»RT»X»NA»SS»NA»FreeAcctDeveloperFB-AnimatedGeneric-Ch1»PRC26D</v></cell><cell r="AH3610"><v>223862870</v></cell><cell r="AI3610" t="str"><v>AZR_FreeAcctDeveloperFB-AnimatedGeneric-Ch1_USA_1200x1200_CAN_Direct_English_Trial_Standard_ANI_LEA_T1_2</v></cell><cell r="AJ3610"><v>103176851</v></cell></row><row r="3611"><cell r="C3611" t="str"><v>43306FACEBOOK»USA-Trial-ITD-Retargeting-AZR-AZR»1 x 1»SocialBan»LIA»ALL»CPA»RT»X»NA»SS»NA»FreeAcctRetargetingOSSFB-Logos-ChG»PRC1S2</v></cell><cell r="D3611" t="str"><v>43306224106063</v></cell><cell r="E3611" t="str"><v>43306103176008PRC1S2</v></cell><cell r="F3611" t="str"><v>DCM</v></cell><cell r="G3611" t="str"><v>https://azure.microsoft.com/en-us/free/open-source/search/?OCID=AID%eexcid!_OLA_%ebuy!_%epid!_%ecid!</v></cell></row><row r="3611"><cell r="K3611" t="str"><v>July</v></cell><cell r="L3611"><v>43309</v></cell><cell r="M3611" t="str"><v>Tier 0</v></cell><cell r="N3611" t="str"><v>North America</v></cell><cell r="O3611" t="str"><v>United States</v></cell><cell r="P3611" t="str"><v>Trial</v></cell><cell r="Q3611" t="str"><v>Social</v></cell><cell r="R3611" t="str"><v>Azure</v></cell><cell r="S3611" t="str"><v>Apps & Infra</v></cell><cell r="T3611" t="str"><v>Developers & ITI's</v></cell><cell r="U3611" t="str"><v>USA-Trial-ITD-Retargeting-AZR-AZR</v></cell><cell r="V3611" t="str"><v>Retargeting</v></cell><cell r="W3611" t="str"><v>Link Ad</v></cell><cell r="X3611" t="str"><v>1x1</v></cell></row><row r="3611"><cell r="AA3611"><v>43306</v></cell><cell r="AB3611" t="str"><v>USA_gaPMG_AZR_AZR_Q1_19_Direct-Social</v></cell><cell r="AC3611"><v>21358715</v></cell><cell r="AD3611"><v>720197</v></cell><cell r="AE3611" t="str"><v>Facebook</v></cell><cell r="AF3611"><v>3654128</v></cell><cell r="AG3611" t="str"><v>FACEBOOK»USA-Trial-ITD-Retargeting-AZR-AZR»1 x 1»SocialBan»LIA»ALL»CPA»RT»X»NA»SS»NA»FreeAcctRetargetingOSSFB-Logos-ChG»PRC1S2</v></cell><cell r="AH3611"><v>224106063</v></cell><cell r="AI3611" t="str"><v>AzurePlatform_FreeAcctRetargetingOSSFB-Logos-ChG_USA_1200x628_CAN_PLATFORM_English_Free Account_Standard_NA_SINU_T2_1</v></cell><cell r="AJ3611"><v>103176008</v></cell></row><row r="3612"><cell r="C3612" t="str"><v>43306FACEBOOK»USA-Trial-ITD-Retargeting-AZR-AZR»1 x 1»SocialBan»LIA»ALL»CPA»RT»X»NA»SS»NA»FreeAcctRetargetingOSSFB-Text-ChF»PRC1S1</v></cell><cell r="D3612" t="str"><v>43306223862753</v></cell><cell r="E3612" t="str"><v>43306103176869PRC1S1</v></cell><cell r="F3612" t="str"><v>DCM</v></cell><cell r="G3612" t="str"><v>https://azure.microsoft.com/en-us/free/open-source/search/?OCID=AID%eexcid!_OLA_%ebuy!_%epid!_%ecid!</v></cell></row><row r="3612"><cell r="K3612" t="str"><v>July</v></cell><cell r="L3612"><v>43309</v></cell><cell r="M3612" t="str"><v>Tier 0</v></cell><cell r="N3612" t="str"><v>North America</v></cell><cell r="O3612" t="str"><v>United States</v></cell><cell r="P3612" t="str"><v>Trial</v></cell><cell r="Q3612" t="str"><v>Social</v></cell><cell r="R3612" t="str"><v>Azure</v></cell><cell r="S3612" t="str"><v>Apps & Infra</v></cell><cell r="T3612" t="str"><v>Developers & ITI's</v></cell><cell r="U3612" t="str"><v>USA-Trial-ITD-Retargeting-AZR-AZR</v></cell><cell r="V3612" t="str"><v>Retargeting</v></cell><cell r="W3612" t="str"><v>Link Ad</v></cell><cell r="X3612" t="str"><v>1x1</v></cell></row><row r="3612"><cell r="AA3612"><v>43306</v></cell><cell r="AB3612" t="str"><v>USA_gaPMG_AZR_AZR_Q1_19_Direct-Social</v></cell><cell r="AC3612"><v>21358715</v></cell><cell r="AD3612"><v>720197</v></cell><cell r="AE3612" t="str"><v>Facebook</v></cell><cell r="AF3612"><v>3654128</v></cell><cell r="AG3612" t="str"><v>FACEBOOK»USA-Trial-ITD-Retargeting-AZR-AZR»1 x 1»SocialBan»LIA»ALL»CPA»RT»X»NA»SS»NA»FreeAcctRetargetingOSSFB-Text-ChF»PRC1S1</v></cell><cell r="AH3612"><v>223862753</v></cell><cell r="AI3612" t="str"><v>AzurePlatform_FreeAcctRetargetingOSSFB-Text-ChF_USA_1200x628_CAN_PLATFORM_English_Free Account_Standard_NA_SINU_T1_2</v></cell><cell r="AJ3612"><v>103176869</v></cell></row><row r="3613"><cell r="C3613" t="str"><v>43306FACEBOOK»USA-Trial-ITD-Retargeting-AZR-AZR»1 x 1»SocialBan»CAN»ALL»CPA»RT»X»NA»SS»NA»FBCTCBasicMotion»PRC1RQ</v></cell><cell r="D3613" t="str"><v>43306224106933</v></cell><cell r="E3613" t="str"><v>43306103043823PRC1RQ</v></cell><cell r="F3613" t="str"><v>DCM</v></cell><cell r="G3613" t="str"><v>https://signup.azure.com/?OCID=AID%eexcid!_OLA_%ebuy!_%epid!_%ecid!</v></cell></row><row r="3613"><cell r="K3613" t="str"><v>July</v></cell><cell r="L3613"><v>43309</v></cell><cell r="M3613" t="str"><v>Tier 0</v></cell><cell r="N3613" t="str"><v>North America</v></cell><cell r="O3613" t="str"><v>United States</v></cell><cell r="P3613" t="str"><v>Trial</v></cell><cell r="Q3613" t="str"><v>Social</v></cell><cell r="R3613" t="str"><v>Azure</v></cell><cell r="S3613" t="str"><v>Apps & Infra</v></cell><cell r="T3613" t="str"><v>Developers & ITI's</v></cell><cell r="U3613" t="str"><v>USA-Trial-ITD-Retargeting-AZR-AZR</v></cell><cell r="V3613" t="str"><v>Retargeting</v></cell><cell r="W3613" t="str"><v>Canvas Ad</v></cell><cell r="X3613" t="str"><v>1x1</v></cell></row><row r="3613"><cell r="AA3613"><v>43306</v></cell><cell r="AB3613" t="str"><v>USA_gaPMG_AZR_AZR_Q1_19_Direct-Social</v></cell><cell r="AC3613"><v>21358715</v></cell><cell r="AD3613"><v>720197</v></cell><cell r="AE3613" t="str"><v>Facebook</v></cell><cell r="AF3613"><v>3654128</v></cell><cell r="AG3613" t="str"><v>FACEBOOK»USA-Trial-ITD-Retargeting-AZR-AZR»1 x 1»SocialBan»CAN»ALL»CPA»RT»X»NA»SS»NA»FBCTCBasicMotion»PRC1RQ</v></cell><cell r="AH3613"><v>224106933</v></cell><cell r="AI3613" t="str"><v>AzurePlatform_FBCTCBasicMotion_USA_10s_CAN_PLATFORM_English_Trial_Standard_STAN_TIN_T1_1</v></cell><cell r="AJ3613"><v>103043823</v></cell></row><row r="3614"><cell r="C3614" t="str"><v>43306FACEBOOK»USA-Trial-ITD-Retargeting-AZR-AZR»1 x 1»SocialBan»CAN»ALL»CPA»RT»X»NA»SS»NA»FBCTCBasicMotion»PRC1RQ</v></cell><cell r="D3614" t="str"><v>43306224106933</v></cell><cell r="E3614" t="str"><v>43306103175984PRC1RQ</v></cell><cell r="F3614" t="str"><v>DCM</v></cell><cell r="G3614" t="str"><v>https://azure.microsoft.com/en-us/pricing/purchase-options/?v=18.19&OCID=AID%eexcid!_OLA_%ebuy!_%epid!_%ecid!</v></cell></row><row r="3614"><cell r="K3614" t="str"><v>July</v></cell><cell r="L3614"><v>43309</v></cell><cell r="M3614" t="str"><v>Tier 0</v></cell><cell r="N3614" t="str"><v>North America</v></cell><cell r="O3614" t="str"><v>United States</v></cell><cell r="P3614" t="str"><v>Trial</v></cell><cell r="Q3614" t="str"><v>Social</v></cell><cell r="R3614" t="str"><v>Azure</v></cell><cell r="S3614" t="str"><v>Apps & Infra</v></cell><cell r="T3614" t="str"><v>Developers & ITI's</v></cell><cell r="U3614" t="str"><v>USA-Trial-ITD-Retargeting-AZR-AZR</v></cell><cell r="V3614" t="str"><v>Retargeting</v></cell><cell r="W3614" t="str"><v>Canvas Ad</v></cell><cell r="X3614" t="str"><v>1x1</v></cell></row><row r="3614"><cell r="AA3614"><v>43306</v></cell><cell r="AB3614" t="str"><v>USA_gaPMG_AZR_AZR_Q1_19_Direct-Social</v></cell><cell r="AC3614"><v>21358715</v></cell><cell r="AD3614"><v>720197</v></cell><cell r="AE3614" t="str"><v>Facebook</v></cell><cell r="AF3614"><v>3654128</v></cell><cell r="AG3614" t="str"><v>FACEBOOK»USA-Trial-ITD-Retargeting-AZR-AZR»1 x 1»SocialBan»CAN»ALL»CPA»RT»X»NA»SS»NA»FBCTCBasicMotion»PRC1RQ</v></cell><cell r="AH3614"><v>224106933</v></cell><cell r="AI3614" t="str"><v>AzurePlatform_FBCTCBasicMotion_USA_10s_CAN_PLATFORM_English_Trial_Standard_STAN_TIN_T1_2</v></cell><cell r="AJ3614"><v>103175984</v></cell></row><row r="3615"><cell r="C3615" t="str"><v>43306FACEBOOK»USA-Trial-ITD-Trial Lookalike-AZR-AZR»1 x 1»SocialBan»LIA»ALL»CPA»LAL»X»NA»SS»NA»FreeAcctDeveloperFB-AnimatedGeneric-Ch1»PRC1M4</v></cell><cell r="D3615" t="str"><v>43306224104941</v></cell><cell r="E3615" t="str"><v>43306103176851PRC1M4</v></cell><cell r="F3615" t="str"><v>DCM</v></cell><cell r="G3615" t="str"><v>https://azure.microsoft.com/en-us/free/search/?OCID=AID%eexcid!_OLA_%ebuy!_%epid!_%ecid!</v></cell></row><row r="3615"><cell r="K3615" t="str"><v>July</v></cell><cell r="L3615"><v>43309</v></cell><cell r="M3615" t="str"><v>Tier 0</v></cell><cell r="N3615" t="str"><v>North America</v></cell><cell r="O3615" t="str"><v>United States</v></cell><cell r="P3615" t="str"><v>Trial</v></cell><cell r="Q3615" t="str"><v>Social</v></cell><cell r="R3615" t="str"><v>Azure</v></cell><cell r="S3615" t="str"><v>Apps & Infra</v></cell><cell r="T3615" t="str"><v>Developers & ITI's</v></cell><cell r="U3615" t="str"><v>USA-Trial-ITD-Trial Lookalike-AZR-AZR</v></cell><cell r="V3615" t="str"><v>Lookalike Targeting</v></cell><cell r="W3615" t="str"><v>Link Ad</v></cell><cell r="X3615" t="str"><v>1x1</v></cell></row><row r="3615"><cell r="AA3615"><v>43306</v></cell><cell r="AB3615" t="str"><v>USA_gaPMG_AZR_AZR_Q1_19_Direct-Social</v></cell><cell r="AC3615"><v>21358715</v></cell><cell r="AD3615"><v>720197</v></cell><cell r="AE3615" t="str"><v>Facebook</v></cell><cell r="AF3615"><v>3654128</v></cell><cell r="AG3615" t="str"><v>FACEBOOK»USA-Trial-ITD-Trial Lookalike-AZR-AZR»1 x 1»SocialBan»LIA»ALL»CPA»LAL»X»NA»SS»NA»FreeAcctDeveloperFB-AnimatedGeneric-Ch1»PRC1M4</v></cell><cell r="AH3615"><v>224104941</v></cell><cell r="AI3615" t="str"><v>AZR_FreeAcctDeveloperFB-AnimatedGeneric-Ch1_USA_1200x1200_CAN_Direct_English_Trial_Standard_ANI_LEA_T1_2</v></cell><cell r="AJ3615"><v>103176851</v></cell></row><row r="3616"><cell r="C3616" t="str"><v>43306FACEBOOK»USA-Trial-ITD-Trial Lookalike-AZR-AZR»1 x 1»SocialBan»LIA»ALL»CPA»LAL»X»NA»SS»NA»FreeAcctDeveloperFB-AnimatedGeneric-Ch1»PRC1M5</v></cell><cell r="D3616" t="str"><v>43306223934083</v></cell><cell r="E3616" t="str"><v>43306103176851PRC1M5</v></cell><cell r="F3616" t="str"><v>DCM</v></cell><cell r="G3616" t="str"><v>https://azure.microsoft.com/en-us/free/search/?OCID=AID%eexcid!_OLA_%ebuy!_%epid!_%ecid!</v></cell></row><row r="3616"><cell r="K3616" t="str"><v>July</v></cell><cell r="L3616"><v>43309</v></cell><cell r="M3616" t="str"><v>Tier 0</v></cell><cell r="N3616" t="str"><v>North America</v></cell><cell r="O3616" t="str"><v>United States</v></cell><cell r="P3616" t="str"><v>Trial</v></cell><cell r="Q3616" t="str"><v>Social</v></cell><cell r="R3616" t="str"><v>Azure</v></cell><cell r="S3616" t="str"><v>Apps & Infra</v></cell><cell r="T3616" t="str"><v>Developers & ITI's</v></cell><cell r="U3616" t="str"><v>USA-Trial-ITD-Trial Lookalike-AZR-AZR</v></cell><cell r="V3616" t="str"><v>Lookalike Targeting</v></cell><cell r="W3616" t="str"><v>Link Ad</v></cell><cell r="X3616" t="str"><v>1x1</v></cell></row><row r="3616"><cell r="AA3616"><v>43306</v></cell><cell r="AB3616" t="str"><v>USA_gaPMG_AZR_AZR_Q1_19_Direct-Social</v></cell><cell r="AC3616"><v>21358715</v></cell><cell r="AD3616"><v>720197</v></cell><cell r="AE3616" t="str"><v>Facebook</v></cell><cell r="AF3616"><v>3654128</v></cell><cell r="AG3616" t="str"><v>FACEBOOK»USA-Trial-ITD-Trial Lookalike-AZR-AZR»1 x 1»SocialBan»LIA»ALL»CPA»LAL»X»NA»SS»NA»FreeAcctDeveloperFB-AnimatedGeneric-Ch1»PRC1M5</v></cell><cell r="AH3616"><v>223934083</v></cell><cell r="AI3616" t="str"><v>AZR_FreeAcctDeveloperFB-AnimatedGeneric-Ch1_USA_1200x1200_CAN_Direct_English_Trial_Standard_ANI_LEA_T1_2</v></cell><cell r="AJ3616"><v>103176851</v></cell></row><row r="3617"><cell r="C3617" t="str"><v>43306FACEBOOK»USA-Trial-ITD-Trial Lookalike-AZR-AZR»1 x 1»SocialBan»LIA»ALL»CPA»LAL»X»NA»SS»NA»FreeAcctDeveloperFB-AnimatedOpenSource-Ch2»PRC1M6</v></cell><cell r="D3617" t="str"><v>43306223935628</v></cell><cell r="E3617" t="str"><v>43306103048329PRC1M6</v></cell><cell r="F3617" t="str"><v>DCM</v></cell><cell r="G3617" t="str"><v>https://azure.microsoft.com/en-us/free/open-source/search/?OCID=AID%eexcid!_OLA_%ebuy!_%epid!_%ecid!</v></cell></row><row r="3617"><cell r="K3617" t="str"><v>July</v></cell><cell r="L3617"><v>43309</v></cell><cell r="M3617" t="str"><v>Tier 0</v></cell><cell r="N3617" t="str"><v>North America</v></cell><cell r="O3617" t="str"><v>United States</v></cell><cell r="P3617" t="str"><v>Trial</v></cell><cell r="Q3617" t="str"><v>Social</v></cell><cell r="R3617" t="str"><v>Azure</v></cell><cell r="S3617" t="str"><v>Apps & Infra</v></cell><cell r="T3617" t="str"><v>Developers & ITI's</v></cell><cell r="U3617" t="str"><v>USA-Trial-ITD-Trial Lookalike-AZR-AZR</v></cell><cell r="V3617" t="str"><v>Lookalike Targeting</v></cell><cell r="W3617" t="str"><v>Link Ad</v></cell><cell r="X3617" t="str"><v>1x1</v></cell></row><row r="3617"><cell r="AA3617"><v>43306</v></cell><cell r="AB3617" t="str"><v>USA_gaPMG_AZR_AZR_Q1_19_Direct-Social</v></cell><cell r="AC3617"><v>21358715</v></cell><cell r="AD3617"><v>720197</v></cell><cell r="AE3617" t="str"><v>Facebook</v></cell><cell r="AF3617"><v>3654128</v></cell><cell r="AG3617" t="str"><v>FACEBOOK»USA-Trial-ITD-Trial Lookalike-AZR-AZR»1 x 1»SocialBan»LIA»ALL»CPA»LAL»X»NA»SS»NA»FreeAcctDeveloperFB-AnimatedOpenSource-Ch2»PRC1M6</v></cell><cell r="AH3617"><v>223935628</v></cell><cell r="AI3617" t="str"><v>AZR_FreeAcctDeveloperFB-AnimatedOpenSource-Ch2_USA_1200x1200_CAN_Direct_English_Trial_Standard_ANI_LEA_T2_1</v></cell><cell r="AJ3617"><v>103048329</v></cell></row><row r="3618"><cell r="C3618" t="str"><v>43306FACEBOOK»USA-Trial-ITD-Trial Lookalike-AZR-AZR»1 x 1»SocialBan»LIA»ALL»CPA»LAL»X»NA»SS»NA»FreeAcctITProFB-AnimatedMigration-Ch3»PRC23N</v></cell><cell r="D3618" t="str"><v>43306223935637</v></cell><cell r="E3618" t="str"><v>43306103176827PRC23N</v></cell><cell r="F3618" t="str"><v>DCM</v></cell></row><row r="3618"><cell r="K3618" t="str"><v>July</v></cell><cell r="L3618"><v>43309</v></cell><cell r="M3618" t="str"><v>Tier 0</v></cell><cell r="N3618" t="str"><v>North America</v></cell><cell r="O3618" t="str"><v>United States</v></cell><cell r="P3618" t="str"><v>Trial</v></cell><cell r="Q3618" t="str"><v>Social</v></cell><cell r="R3618" t="str"><v>Azure</v></cell><cell r="S3618" t="str"><v>Apps & Infra</v></cell><cell r="T3618" t="str"><v>Developers & ITI's</v></cell><cell r="U3618" t="str"><v>USA-Trial-ITD-Trial Lookalike-AZR-AZR</v></cell><cell r="V3618" t="str"><v>Lookalike Targeting</v></cell><cell r="W3618" t="str"><v>Link Ad</v></cell><cell r="X3618" t="str"><v>1x1</v></cell></row><row r="3618"><cell r="AA3618"><v>43306</v></cell><cell r="AB3618" t="str"><v>USA_gaPMG_AZR_AZR_Q1_19_Direct-Social</v></cell><cell r="AC3618"><v>21358715</v></cell><cell r="AD3618"><v>720197</v></cell><cell r="AE3618" t="str"><v>Facebook</v></cell><cell r="AF3618"><v>3654128</v></cell><cell r="AG3618" t="str"><v>FACEBOOK»USA-Trial-ITD-Trial Lookalike-AZR-AZR»1 x 1»SocialBan»LIA»ALL»CPA»LAL»X»NA»SS»NA»FreeAcctITProFB-AnimatedMigration-Ch3»PRC23N</v></cell><cell r="AH3618"><v>223935637</v></cell><cell r="AI3618" t="str"><v>AZR_FreeAcctITProFB-AnimatedMigration-Ch3_USA_1200x1200_CAN_Direct_English_Trial_Standard_ANI_LEA_T3_1</v></cell><cell r="AJ3618"><v>103176827</v></cell></row><row r="3619"><cell r="C3619" t="str"><v>43306FACEBOOK»USA-Trial-ITD-Trial Lookalike-AZR-AZR»1 x 1»SocialBan»LIA»ALL»CPA»LAL»X»NA»SS»NA»FreeAcctITProFB-AnimatedSecureMngd-Ch1»PRC1M9</v></cell><cell r="D3619" t="str"><v>43306224104959</v></cell><cell r="E3619" t="str"><v>43306103176830PRC1M9</v></cell><cell r="F3619" t="str"><v>DCM</v></cell></row><row r="3619"><cell r="K3619" t="str"><v>July</v></cell><cell r="L3619"><v>43309</v></cell><cell r="M3619" t="str"><v>Tier 0</v></cell><cell r="N3619" t="str"><v>North America</v></cell><cell r="O3619" t="str"><v>United States</v></cell><cell r="P3619" t="str"><v>Trial</v></cell><cell r="Q3619" t="str"><v>Social</v></cell><cell r="R3619" t="str"><v>Azure</v></cell><cell r="S3619" t="str"><v>Apps & Infra</v></cell><cell r="T3619" t="str"><v>Developers & ITI's</v></cell><cell r="U3619" t="str"><v>USA-Trial-ITD-Trial Lookalike-AZR-AZR</v></cell><cell r="V3619" t="str"><v>Lookalike Targeting</v></cell><cell r="W3619" t="str"><v>Link Ad</v></cell><cell r="X3619" t="str"><v>1x1</v></cell></row><row r="3619"><cell r="AA3619"><v>43306</v></cell><cell r="AB3619" t="str"><v>USA_gaPMG_AZR_AZR_Q1_19_Direct-Social</v></cell><cell r="AC3619"><v>21358715</v></cell><cell r="AD3619"><v>720197</v></cell><cell r="AE3619" t="str"><v>Facebook</v></cell><cell r="AF3619"><v>3654128</v></cell><cell r="AG3619" t="str"><v>FACEBOOK»USA-Trial-ITD-Trial Lookalike-AZR-AZR»1 x 1»SocialBan»LIA»ALL»CPA»LAL»X»NA»SS»NA»FreeAcctITProFB-AnimatedSecureMngd-Ch1»PRC1M9</v></cell><cell r="AH3619"><v>224104959</v></cell><cell r="AI3619" t="str"><v>AZR_FreeAcctITProFB-AnimatedSecureMngd-Ch1_USA_1200x1200_CAN_Direct_English_Trial_Standard_ANI_LEA_T1_1</v></cell><cell r="AJ3619"><v>103176830</v></cell></row><row r="3620"><cell r="C3620" t="str"><v>43306FACEBOOK»USA-Trial-ITD-Trial Lookalike-AZR-AZR»1 x 1»SocialBan»CAN»ALL»CPA»LAL»X»NA»SS»NA»FBCTCBasicMotion»PRC1LZ</v></cell><cell r="D3620" t="str"><v>43306223862915</v></cell><cell r="E3620" t="str"><v>43306103043823PRC1LZ</v></cell><cell r="F3620" t="str"><v>DCM</v></cell><cell r="G3620" t="str"><v>https://signup.azure.com/?OCID=AID%eexcid!_OLA_%ebuy!_%epid!_%ecid!</v></cell></row><row r="3620"><cell r="K3620" t="str"><v>July</v></cell><cell r="L3620"><v>43309</v></cell><cell r="M3620" t="str"><v>Tier 0</v></cell><cell r="N3620" t="str"><v>North America</v></cell><cell r="O3620" t="str"><v>United States</v></cell><cell r="P3620" t="str"><v>Trial</v></cell><cell r="Q3620" t="str"><v>Social</v></cell><cell r="R3620" t="str"><v>Azure</v></cell><cell r="S3620" t="str"><v>Apps & Infra</v></cell><cell r="T3620" t="str"><v>Developers & ITI's</v></cell><cell r="U3620" t="str"><v>USA-Trial-ITD-Trial Lookalike-AZR-AZR</v></cell><cell r="V3620" t="str"><v>Lookalike Targeting</v></cell><cell r="W3620" t="str"><v>Canvas Ad</v></cell><cell r="X3620" t="str"><v>1x1</v></cell></row><row r="3620"><cell r="AA3620"><v>43306</v></cell><cell r="AB3620" t="str"><v>USA_gaPMG_AZR_AZR_Q1_19_Direct-Social</v></cell><cell r="AC3620"><v>21358715</v></cell><cell r="AD3620"><v>720197</v></cell><cell r="AE3620" t="str"><v>Facebook</v></cell><cell r="AF3620"><v>3654128</v></cell><cell r="AG3620" t="str"><v>FACEBOOK»USA-Trial-ITD-Trial Lookalike-AZR-AZR»1 x 1»SocialBan»CAN»ALL»CPA»LAL»X»NA»SS»NA»FBCTCBasicMotion»PRC1LZ</v></cell><cell r="AH3620"><v>223862915</v></cell><cell r="AI3620" t="str"><v>AzurePlatform_FBCTCBasicMotion_USA_10s_CAN_PLATFORM_English_Trial_Standard_STAN_TIN_T1_1</v></cell><cell r="AJ3620"><v>103043823</v></cell></row><row r="3621"><cell r="C3621" t="str"><v>43306FACEBOOK»USA-Trial-ITD-Trial Lookalike-AZR-AZR»1 x 1»SocialBan»CAN»ALL»CPA»LAL»X»NA»SS»NA»FBCTCBasicMotion»PRC1LZ</v></cell><cell r="D3621" t="str"><v>43306223862915</v></cell><cell r="E3621" t="str"><v>43306103175984PRC1LZ</v></cell><cell r="F3621" t="str"><v>DCM</v></cell><cell r="G3621" t="str"><v>https://azure.microsoft.com/en-us/pricing/purchase-options/?v=18.19&OCID=AID%eexcid!_OLA_%ebuy!_%epid!_%ecid!</v></cell></row><row r="3621"><cell r="K3621" t="str"><v>July</v></cell><cell r="L3621"><v>43309</v></cell><cell r="M3621" t="str"><v>Tier 0</v></cell><cell r="N3621" t="str"><v>North America</v></cell><cell r="O3621" t="str"><v>United States</v></cell><cell r="P3621" t="str"><v>Trial</v></cell><cell r="Q3621" t="str"><v>Social</v></cell><cell r="R3621" t="str"><v>Azure</v></cell><cell r="S3621" t="str"><v>Apps & Infra</v></cell><cell r="T3621" t="str"><v>Developers & ITI's</v></cell><cell r="U3621" t="str"><v>USA-Trial-ITD-Trial Lookalike-AZR-AZR</v></cell><cell r="V3621" t="str"><v>Lookalike Targeting</v></cell><cell r="W3621" t="str"><v>Canvas Ad</v></cell><cell r="X3621" t="str"><v>1x1</v></cell></row><row r="3621"><cell r="AA3621"><v>43306</v></cell><cell r="AB3621" t="str"><v>USA_gaPMG_AZR_AZR_Q1_19_Direct-Social</v></cell><cell r="AC3621"><v>21358715</v></cell><cell r="AD3621"><v>720197</v></cell><cell r="AE3621" t="str"><v>Facebook</v></cell><cell r="AF3621"><v>3654128</v></cell><cell r="AG3621" t="str"><v>FACEBOOK»USA-Trial-ITD-Trial Lookalike-AZR-AZR»1 x 1»SocialBan»CAN»ALL»CPA»LAL»X»NA»SS»NA»FBCTCBasicMotion»PRC1LZ</v></cell><cell r="AH3621"><v>223862915</v></cell><cell r="AI3621" t="str"><v>AzurePlatform_FBCTCBasicMotion_USA_10s_CAN_PLATFORM_English_Trial_Standard_STAN_TIN_T1_2</v></cell><cell r="AJ3621"><v>103175984</v></cell></row><row r="3622"><cell r="C3622" t="str"><v>43306FACEBOOK»USA-Trial-ITD-Trial PayGo Lookalike-AZR-AZR»1 x 1»SocialBan»CAN»ALL»CPA»LAL»X»NA»SS»NA»FBCTCBasicMotion»PRC1Q0</v></cell><cell r="D3622" t="str"><v>43306223935664</v></cell><cell r="E3622" t="str"><v>43306103043823PRC1Q0</v></cell><cell r="F3622" t="str"><v>DCM</v></cell><cell r="G3622" t="str"><v>https://signup.azure.com/?OCID=AID%eexcid!_OLA_%ebuy!_%epid!_%ecid!</v></cell></row><row r="3622"><cell r="K3622" t="str"><v>July</v></cell><cell r="L3622"><v>43309</v></cell><cell r="M3622" t="str"><v>Tier 0</v></cell><cell r="N3622" t="str"><v>North America</v></cell><cell r="O3622" t="str"><v>United States</v></cell><cell r="P3622" t="str"><v>Trial</v></cell><cell r="Q3622" t="str"><v>Social</v></cell><cell r="R3622" t="str"><v>Azure</v></cell><cell r="S3622" t="str"><v>Apps & Infra</v></cell><cell r="T3622" t="str"><v>Developers & ITI's</v></cell><cell r="U3622" t="str"><v>USA-Trial-ITD-Trial PayGo Lookalike-AZR-AZR</v></cell><cell r="V3622" t="str"><v>Lookalike Targeting</v></cell><cell r="W3622" t="str"><v>Canvas Ad</v></cell><cell r="X3622" t="str"><v>1x1</v></cell></row><row r="3622"><cell r="AA3622"><v>43306</v></cell><cell r="AB3622" t="str"><v>USA_gaPMG_AZR_AZR_Q1_19_Direct-Social</v></cell><cell r="AC3622"><v>21358715</v></cell><cell r="AD3622"><v>720197</v></cell><cell r="AE3622" t="str"><v>Facebook</v></cell><cell r="AF3622"><v>3654128</v></cell><cell r="AG3622" t="str"><v>FACEBOOK»USA-Trial-ITD-Trial PayGo Lookalike-AZR-AZR»1 x 1»SocialBan»CAN»ALL»CPA»LAL»X»NA»SS»NA»FBCTCBasicMotion»PRC1Q0</v></cell><cell r="AH3622"><v>223935664</v></cell><cell r="AI3622" t="str"><v>AzurePlatform_FBCTCBasicMotion_USA_10s_CAN_PLATFORM_English_Trial_Standard_STAN_TIN_T1_1</v></cell><cell r="AJ3622"><v>103043823</v></cell></row><row r="3623"><cell r="C3623" t="str"><v>43306FACEBOOK»USA-Trial-ITD-Trial PayGo Lookalike-AZR-AZR»1 x 1»SocialBan»LIA»ALL»CPA»LAL»X»NA»SS»NA»FreeAcctDeveloperFB-AnimatedAI-Ch3»PRC1Q8</v></cell><cell r="D3623" t="str"><v>43306224104983</v></cell><cell r="E3623" t="str"><v>43306103032778PRC1Q8</v></cell><cell r="F3623" t="str"><v>DCM</v></cell></row><row r="3623"><cell r="K3623" t="str"><v>July</v></cell><cell r="L3623"><v>43309</v></cell><cell r="M3623" t="str"><v>Tier 0</v></cell><cell r="N3623" t="str"><v>North America</v></cell><cell r="O3623" t="str"><v>United States</v></cell><cell r="P3623" t="str"><v>Trial</v></cell><cell r="Q3623" t="str"><v>Social</v></cell><cell r="R3623" t="str"><v>Azure</v></cell><cell r="S3623" t="str"><v>Apps & Infra</v></cell><cell r="T3623" t="str"><v>Developers & ITI's</v></cell><cell r="U3623" t="str"><v>USA-Trial-ITD-Trial PayGo Lookalike-AZR-AZR</v></cell><cell r="V3623" t="str"><v>Lookalike Targeting</v></cell><cell r="W3623" t="str"><v>Link Ad</v></cell><cell r="X3623" t="str"><v>1x1</v></cell></row><row r="3623"><cell r="AA3623"><v>43306</v></cell><cell r="AB3623" t="str"><v>USA_gaPMG_AZR_AZR_Q1_19_Direct-Social</v></cell><cell r="AC3623"><v>21358715</v></cell><cell r="AD3623"><v>720197</v></cell><cell r="AE3623" t="str"><v>Facebook</v></cell><cell r="AF3623"><v>3654128</v></cell><cell r="AG3623" t="str"><v>FACEBOOK»USA-Trial-ITD-Trial PayGo Lookalike-AZR-AZR»1 x 1»SocialBan»LIA»ALL»CPA»LAL»X»NA»SS»NA»FreeAcctDeveloperFB-AnimatedAI-Ch3»PRC1Q8</v></cell><cell r="AH3623"><v>224104983</v></cell><cell r="AI3623" t="str"><v>AZR_FreeAcctDeveloperFB-AnimatedAI-Ch3_USA_1200x1200_CAN_Direct_English_Trial_Standard_ANI_LEA_T3_1</v></cell><cell r="AJ3623"><v>103032778</v></cell></row><row r="3624"><cell r="C3624" t="str"><v>43306FACEBOOK»USA-Trial-ITD-Trial PayGo Lookalike-AZR-AZR»1 x 1»SocialBan»LIA»ALL»CPA»LAL»X»NA»SS»NA»FreeAcctDeveloperFB-AnimatedData-Ch4»PRC1Q9</v></cell><cell r="D3624" t="str"><v>43306224106990</v></cell><cell r="E3624" t="str"><v>43306103037935PRC1Q9</v></cell><cell r="F3624" t="str"><v>DCM</v></cell></row><row r="3624"><cell r="K3624" t="str"><v>July</v></cell><cell r="L3624"><v>43309</v></cell><cell r="M3624" t="str"><v>Tier 0</v></cell><cell r="N3624" t="str"><v>North America</v></cell><cell r="O3624" t="str"><v>United States</v></cell><cell r="P3624" t="str"><v>Trial</v></cell><cell r="Q3624" t="str"><v>Social</v></cell><cell r="R3624" t="str"><v>Azure</v></cell><cell r="S3624" t="str"><v>Apps & Infra</v></cell><cell r="T3624" t="str"><v>Developers & ITI's</v></cell><cell r="U3624" t="str"><v>USA-Trial-ITD-Trial PayGo Lookalike-AZR-AZR</v></cell><cell r="V3624" t="str"><v>Lookalike Targeting</v></cell><cell r="W3624" t="str"><v>Link Ad</v></cell><cell r="X3624" t="str"><v>1x1</v></cell></row><row r="3624"><cell r="AA3624"><v>43306</v></cell><cell r="AB3624" t="str"><v>USA_gaPMG_AZR_AZR_Q1_19_Direct-Social</v></cell><cell r="AC3624"><v>21358715</v></cell><cell r="AD3624"><v>720197</v></cell><cell r="AE3624" t="str"><v>Facebook</v></cell><cell r="AF3624"><v>3654128</v></cell><cell r="AG3624" t="str"><v>FACEBOOK»USA-Trial-ITD-Trial PayGo Lookalike-AZR-AZR»1 x 1»SocialBan»LIA»ALL»CPA»LAL»X»NA»SS»NA»FreeAcctDeveloperFB-AnimatedData-Ch4»PRC1Q9</v></cell><cell r="AH3624"><v>224106990</v></cell><cell r="AI3624" t="str"><v>AZR_FreeAcctDeveloperFB-AnimatedData-Ch4_USA_1200x1200_CAN_Direct_English_Trial_Standard_ANI_LEA_T4_2</v></cell><cell r="AJ3624"><v>103037935</v></cell></row><row r="3625"><cell r="C3625" t="str"><v>43306FACEBOOK»USA-Trial-ITD-Trial PayGo Lookalike-AZR-AZR»1 x 1»SocialBan»LIA»ALL»CPA»LAL»X»NA»SS»NA»FreeAcctDeveloperFB-AnimatedGeneric-Ch1»PRC1Q5</v></cell><cell r="D3625" t="str"><v>43306224104092</v></cell><cell r="E3625" t="str"><v>43306103176851PRC1Q5</v></cell><cell r="F3625" t="str"><v>DCM</v></cell><cell r="G3625" t="str"><v>https://azure.microsoft.com/en-us/free/search/?OCID=AID%eexcid!_OLA_%ebuy!_%epid!_%ecid!</v></cell></row><row r="3625"><cell r="K3625" t="str"><v>July</v></cell><cell r="L3625"><v>43309</v></cell><cell r="M3625" t="str"><v>Tier 0</v></cell><cell r="N3625" t="str"><v>North America</v></cell><cell r="O3625" t="str"><v>United States</v></cell><cell r="P3625" t="str"><v>Trial</v></cell><cell r="Q3625" t="str"><v>Social</v></cell><cell r="R3625" t="str"><v>Azure</v></cell><cell r="S3625" t="str"><v>Apps & Infra</v></cell><cell r="T3625" t="str"><v>Developers & ITI's</v></cell><cell r="U3625" t="str"><v>USA-Trial-ITD-Trial PayGo Lookalike-AZR-AZR</v></cell><cell r="V3625" t="str"><v>Lookalike Targeting</v></cell><cell r="W3625" t="str"><v>Link Ad</v></cell><cell r="X3625" t="str"><v>1x1</v></cell></row><row r="3625"><cell r="AA3625"><v>43306</v></cell><cell r="AB3625" t="str"><v>USA_gaPMG_AZR_AZR_Q1_19_Direct-Social</v></cell><cell r="AC3625"><v>21358715</v></cell><cell r="AD3625"><v>720197</v></cell><cell r="AE3625" t="str"><v>Facebook</v></cell><cell r="AF3625"><v>3654128</v></cell><cell r="AG3625" t="str"><v>FACEBOOK»USA-Trial-ITD-Trial PayGo Lookalike-AZR-AZR»1 x 1»SocialBan»LIA»ALL»CPA»LAL»X»NA»SS»NA»FreeAcctDeveloperFB-AnimatedGeneric-Ch1»PRC1Q5</v></cell><cell r="AH3625"><v>224104092</v></cell><cell r="AI3625" t="str"><v>AZR_FreeAcctDeveloperFB-AnimatedGeneric-Ch1_USA_1200x1200_CAN_Direct_English_Trial_Standard_ANI_LEA_T1_2</v></cell><cell r="AJ3625"><v>103176851</v></cell></row><row r="3626"><cell r="C3626" t="str"><v>43306FACEBOOK»USA-Trial-ITD-Trial PayGo Lookalike-AZR-AZR»1 x 1»SocialBan»LIA»ALL»CPA»LAL»X»NA»SS»NA»FreeAcctDeveloperFB-AnimatedOpenSource-Ch2»PRC1Q7</v></cell><cell r="D3626" t="str"><v>43306223862951</v></cell><cell r="E3626" t="str"><v>43306103048329PRC1Q7</v></cell><cell r="F3626" t="str"><v>DCM</v></cell><cell r="G3626" t="str"><v>https://azure.microsoft.com/en-us/free/open-source/search/?OCID=AID%eexcid!_OLA_%ebuy!_%epid!_%ecid!</v></cell></row><row r="3626"><cell r="K3626" t="str"><v>July</v></cell><cell r="L3626"><v>43309</v></cell><cell r="M3626" t="str"><v>Tier 0</v></cell><cell r="N3626" t="str"><v>North America</v></cell><cell r="O3626" t="str"><v>United States</v></cell><cell r="P3626" t="str"><v>Trial</v></cell><cell r="Q3626" t="str"><v>Social</v></cell><cell r="R3626" t="str"><v>Azure</v></cell><cell r="S3626" t="str"><v>Apps & Infra</v></cell><cell r="T3626" t="str"><v>Developers & ITI's</v></cell><cell r="U3626" t="str"><v>USA-Trial-ITD-Trial PayGo Lookalike-AZR-AZR</v></cell><cell r="V3626" t="str"><v>Lookalike Targeting</v></cell><cell r="W3626" t="str"><v>Link Ad</v></cell><cell r="X3626" t="str"><v>1x1</v></cell></row><row r="3626"><cell r="AA3626"><v>43306</v></cell><cell r="AB3626" t="str"><v>USA_gaPMG_AZR_AZR_Q1_19_Direct-Social</v></cell><cell r="AC3626"><v>21358715</v></cell><cell r="AD3626"><v>720197</v></cell><cell r="AE3626" t="str"><v>Facebook</v></cell><cell r="AF3626"><v>3654128</v></cell><cell r="AG3626" t="str"><v>FACEBOOK»USA-Trial-ITD-Trial PayGo Lookalike-AZR-AZR»1 x 1»SocialBan»LIA»ALL»CPA»LAL»X»NA»SS»NA»FreeAcctDeveloperFB-AnimatedOpenSource-Ch2»PRC1Q7</v></cell><cell r="AH3626"><v>223862951</v></cell><cell r="AI3626" t="str"><v>AZR_FreeAcctDeveloperFB-AnimatedOpenSource-Ch2_USA_1200x1200_CAN_Direct_English_Trial_Standard_ANI_LEA_T2_1</v></cell><cell r="AJ3626"><v>103048329</v></cell></row><row r="3627"><cell r="C3627" t="str"><v>43306FACEBOOK»USA-Trial-ITD-Trial PayGo Lookalike-AZR-AZR»1 x 1»SocialBan»LIA»ALL»CPA»LAL»X»NA»SS»NA»FreeAcctITProFB-AnimatedHybrid-Ch2»PRC1QC</v></cell><cell r="D3627" t="str"><v>43306223933186</v></cell><cell r="E3627" t="str"><v>43306103180583PRC1QC</v></cell><cell r="F3627" t="str"><v>DCM</v></cell></row><row r="3627"><cell r="K3627" t="str"><v>July</v></cell><cell r="L3627"><v>43309</v></cell><cell r="M3627" t="str"><v>Tier 0</v></cell><cell r="N3627" t="str"><v>North America</v></cell><cell r="O3627" t="str"><v>United States</v></cell><cell r="P3627" t="str"><v>Trial</v></cell><cell r="Q3627" t="str"><v>Social</v></cell><cell r="R3627" t="str"><v>Azure</v></cell><cell r="S3627" t="str"><v>Apps & Infra</v></cell><cell r="T3627" t="str"><v>Developers & ITI's</v></cell><cell r="U3627" t="str"><v>USA-Trial-ITD-Trial PayGo Lookalike-AZR-AZR</v></cell><cell r="V3627" t="str"><v>Lookalike Targeting</v></cell><cell r="W3627" t="str"><v>Link Ad</v></cell><cell r="X3627" t="str"><v>1x1</v></cell></row><row r="3627"><cell r="AA3627"><v>43306</v></cell><cell r="AB3627" t="str"><v>USA_gaPMG_AZR_AZR_Q1_19_Direct-Social</v></cell><cell r="AC3627"><v>21358715</v></cell><cell r="AD3627"><v>720197</v></cell><cell r="AE3627" t="str"><v>Facebook</v></cell><cell r="AF3627"><v>3654128</v></cell><cell r="AG3627" t="str"><v>FACEBOOK»USA-Trial-ITD-Trial PayGo Lookalike-AZR-AZR»1 x 1»SocialBan»LIA»ALL»CPA»LAL»X»NA»SS»NA»FreeAcctITProFB-AnimatedHybrid-Ch2»PRC1QC</v></cell><cell r="AH3627"><v>223933186</v></cell><cell r="AI3627" t="str"><v>AZR_FreeAcctITProFB-AnimatedHybrid-Ch2_USA_1200x1200_CAN_Direct_English_Trial_Standard_ANI_LEA_T2_2</v></cell><cell r="AJ3627"><v>103180583</v></cell></row><row r="3628"><cell r="C3628" t="str"><v>43306FACEBOOK»USA-Trial-ITD-Trial PayGo Lookalike-AZR-AZR»1 x 1»SocialBan»LIA»ALL»CPA»LAL»X»NA»SS»NA»FreeAcctITProFB-AnimatedMigration-Ch3»PRC23Y</v></cell><cell r="D3628" t="str"><v>43306224105904</v></cell><cell r="E3628" t="str"><v>43306103176827PRC23Y</v></cell><cell r="F3628" t="str"><v>DCM</v></cell></row><row r="3628"><cell r="K3628" t="str"><v>July</v></cell><cell r="L3628"><v>43309</v></cell><cell r="M3628" t="str"><v>Tier 0</v></cell><cell r="N3628" t="str"><v>North America</v></cell><cell r="O3628" t="str"><v>United States</v></cell><cell r="P3628" t="str"><v>Trial</v></cell><cell r="Q3628" t="str"><v>Social</v></cell><cell r="R3628" t="str"><v>Azure</v></cell><cell r="S3628" t="str"><v>Apps & Infra</v></cell><cell r="T3628" t="str"><v>Developers & ITI's</v></cell><cell r="U3628" t="str"><v>USA-Trial-ITD-Trial PayGo Lookalike-AZR-AZR</v></cell><cell r="V3628" t="str"><v>Lookalike Targeting</v></cell><cell r="W3628" t="str"><v>Link Ad</v></cell><cell r="X3628" t="str"><v>1x1</v></cell></row><row r="3628"><cell r="AA3628"><v>43306</v></cell><cell r="AB3628" t="str"><v>USA_gaPMG_AZR_AZR_Q1_19_Direct-Social</v></cell><cell r="AC3628"><v>21358715</v></cell><cell r="AD3628"><v>720197</v></cell><cell r="AE3628" t="str"><v>Facebook</v></cell><cell r="AF3628"><v>3654128</v></cell><cell r="AG3628" t="str"><v>FACEBOOK»USA-Trial-ITD-Trial PayGo Lookalike-AZR-AZR»1 x 1»SocialBan»LIA»ALL»CPA»LAL»X»NA»SS»NA»FreeAcctITProFB-AnimatedMigration-Ch3»PRC23Y</v></cell><cell r="AH3628"><v>224105904</v></cell><cell r="AI3628" t="str"><v>AZR_FreeAcctITProFB-AnimatedMigration-Ch3_USA_1200x1200_CAN_Direct_English_Trial_Standard_ANI_LEA_T3_1</v></cell><cell r="AJ3628"><v>103176827</v></cell></row><row r="3629"><cell r="C3629" t="str"><v>43306FACEBOOK»USA-Trial-ITD-Trial PayGo Lookalike-AZR-AZR»1 x 1»SocialBan»LIA»ALL»CPA»LAL»X»NA»SS»NA»FreeAcctITProFB-AnimatedSecureMngd-Ch1»PRC1QB</v></cell><cell r="D3629" t="str"><v>43306223862945</v></cell><cell r="E3629" t="str"><v>43306103176830PRC1QB</v></cell><cell r="F3629" t="str"><v>DCM</v></cell></row><row r="3629"><cell r="K3629" t="str"><v>July</v></cell><cell r="L3629"><v>43309</v></cell><cell r="M3629" t="str"><v>Tier 0</v></cell><cell r="N3629" t="str"><v>North America</v></cell><cell r="O3629" t="str"><v>United States</v></cell><cell r="P3629" t="str"><v>Trial</v></cell><cell r="Q3629" t="str"><v>Social</v></cell><cell r="R3629" t="str"><v>Azure</v></cell><cell r="S3629" t="str"><v>Apps & Infra</v></cell><cell r="T3629" t="str"><v>Developers & ITI's</v></cell><cell r="U3629" t="str"><v>USA-Trial-ITD-Trial PayGo Lookalike-AZR-AZR</v></cell><cell r="V3629" t="str"><v>Lookalike Targeting</v></cell><cell r="W3629" t="str"><v>Link Ad</v></cell><cell r="X3629" t="str"><v>1x1</v></cell></row><row r="3629"><cell r="AA3629"><v>43306</v></cell><cell r="AB3629" t="str"><v>USA_gaPMG_AZR_AZR_Q1_19_Direct-Social</v></cell><cell r="AC3629"><v>21358715</v></cell><cell r="AD3629"><v>720197</v></cell><cell r="AE3629" t="str"><v>Facebook</v></cell><cell r="AF3629"><v>3654128</v></cell><cell r="AG3629" t="str"><v>FACEBOOK»USA-Trial-ITD-Trial PayGo Lookalike-AZR-AZR»1 x 1»SocialBan»LIA»ALL»CPA»LAL»X»NA»SS»NA»FreeAcctITProFB-AnimatedSecureMngd-Ch1»PRC1QB</v></cell><cell r="AH3629"><v>223862945</v></cell><cell r="AI3629" t="str"><v>AZR_FreeAcctITProFB-AnimatedSecureMngd-Ch1_USA_1200x1200_CAN_Direct_English_Trial_Standard_ANI_LEA_T1_1</v></cell><cell r="AJ3629"><v>103176830</v></cell></row><row r="3630"><cell r="C3630" t="str"><v>43306INSTAGRAM»USA-Trial-ITD-Interest Prospecting-AZR-AZR»1 x 1»SocialBan»CAN»ALL»CPA»PRO»X»NA»SS»NA»IGCTCBrandinMotion»PRC2PB</v></cell><cell r="D3630" t="str"><v>43306223862690</v></cell><cell r="E3630" t="str"><v>43306103050783PRC2PB</v></cell><cell r="F3630" t="str"><v>DCM</v></cell><cell r="G3630" t="str"><v>https://signup.azure.com/?OCID=AID%eexcid!_OLA_%ebuy!_%epid!_%ecid!</v></cell></row><row r="3630"><cell r="K3630" t="str"><v>July</v></cell><cell r="L3630"><v>43309</v></cell><cell r="M3630" t="str"><v>Tier 0</v></cell><cell r="N3630" t="str"><v>North America</v></cell><cell r="O3630" t="str"><v>United States</v></cell><cell r="P3630" t="str"><v>Trial</v></cell><cell r="Q3630" t="str"><v>Social</v></cell><cell r="R3630" t="str"><v>Azure</v></cell><cell r="S3630" t="str"><v>Apps & Infra</v></cell><cell r="T3630" t="str"><v>Developers & ITI's</v></cell><cell r="U3630" t="str"><v>USA-Trial-ITD-Interest Prospecting-AZR-AZR</v></cell><cell r="V3630" t="str"><v>Prospecting</v></cell><cell r="W3630" t="str"><v>Canvas Ad</v></cell><cell r="X3630" t="str"><v>1x1</v></cell></row><row r="3630"><cell r="AA3630"><v>43306</v></cell><cell r="AB3630" t="str"><v>USA_gaPMG_AZR_AZR_Q1_19_Direct-Social</v></cell><cell r="AC3630"><v>21358715</v></cell><cell r="AD3630"><v>720197</v></cell><cell r="AE3630" t="str"><v>Facebook - Instagram</v></cell><cell r="AF3630"><v>3654128</v></cell><cell r="AG3630" t="str"><v>INSTAGRAM»USA-Trial-ITD-Interest Prospecting-AZR-AZR»1 x 1»SocialBan»CAN»ALL»CPA»PRO»X»NA»SS»NA»IGCTCBrandinMotion»PRC2PB</v></cell><cell r="AH3630"><v>223862690</v></cell><cell r="AI3630" t="str"><v>AzurePlatform_IGCTCBenefit2inMotion_USA_10s_CAN_PLATFORM_English_Trial_Standard_STAN_TIN_T4_1</v></cell><cell r="AJ3630"><v>103050783</v></cell></row><row r="3631"><cell r="C3631" t="str"><v>43306INSTAGRAM»USA-Trial-ITD-Interest Prospecting-AZR-AZR»1 x 1»SocialBan»CAN»ALL»CPA»PRO»X»NA»SS»NA»IGCTCBrandinMotion»PRC2PB</v></cell><cell r="D3631" t="str"><v>43306223862690</v></cell><cell r="E3631" t="str"><v>43306103178714PRC2PB</v></cell><cell r="F3631" t="str"><v>DCM</v></cell><cell r="G3631" t="str"><v>https://azure.microsoft.com/en-us/pricing/purchase-options/?v=18.19&OCID=AID%eexcid!_OLA_%ebuy!_%epid!_%ecid!</v></cell></row><row r="3631"><cell r="K3631" t="str"><v>July</v></cell><cell r="L3631"><v>43309</v></cell><cell r="M3631" t="str"><v>Tier 0</v></cell><cell r="N3631" t="str"><v>North America</v></cell><cell r="O3631" t="str"><v>United States</v></cell><cell r="P3631" t="str"><v>Trial</v></cell><cell r="Q3631" t="str"><v>Social</v></cell><cell r="R3631" t="str"><v>Azure</v></cell><cell r="S3631" t="str"><v>Apps & Infra</v></cell><cell r="T3631" t="str"><v>Developers & ITI's</v></cell><cell r="U3631" t="str"><v>USA-Trial-ITD-Interest Prospecting-AZR-AZR</v></cell><cell r="V3631" t="str"><v>Prospecting</v></cell><cell r="W3631" t="str"><v>Canvas Ad</v></cell><cell r="X3631" t="str"><v>1x1</v></cell></row><row r="3631"><cell r="AA3631"><v>43306</v></cell><cell r="AB3631" t="str"><v>USA_gaPMG_AZR_AZR_Q1_19_Direct-Social</v></cell><cell r="AC3631"><v>21358715</v></cell><cell r="AD3631"><v>720197</v></cell><cell r="AE3631" t="str"><v>Facebook - Instagram</v></cell><cell r="AF3631"><v>3654128</v></cell><cell r="AG3631" t="str"><v>INSTAGRAM»USA-Trial-ITD-Interest Prospecting-AZR-AZR»1 x 1»SocialBan»CAN»ALL»CPA»PRO»X»NA»SS»NA»IGCTCBrandinMotion»PRC2PB</v></cell><cell r="AH3631"><v>223862690</v></cell><cell r="AI3631" t="str"><v>AzurePlatform_IGCTCBenefit2inMotion_USA_10s_CAN_PLATFORM_English_Trial_Standard_STAN_TIN_T4_2</v></cell><cell r="AJ3631"><v>103178714</v></cell></row><row r="3632"><cell r="C3632" t="str"><v>43306INSTAGRAM»USA-Trial-ITD-Retargeting-AZR-AZR»1 x 1»SocialBan»CAN»ALL»CPA»RT»X»NA»SS»NA»IGCTCBrandinMotion»PRC2G3</v></cell><cell r="D3632" t="str"><v>43306224107014</v></cell><cell r="E3632" t="str"><v>43306103050783PRC2G3</v></cell><cell r="F3632" t="str"><v>DCM</v></cell><cell r="G3632" t="str"><v>https://signup.azure.com/?OCID=AID%eexcid!_OLA_%ebuy!_%epid!_%ecid!</v></cell></row><row r="3632"><cell r="K3632" t="str"><v>July</v></cell><cell r="L3632"><v>43309</v></cell><cell r="M3632" t="str"><v>Tier 0</v></cell><cell r="N3632" t="str"><v>North America</v></cell><cell r="O3632" t="str"><v>United States</v></cell><cell r="P3632" t="str"><v>Trial</v></cell><cell r="Q3632" t="str"><v>Social</v></cell><cell r="R3632" t="str"><v>Azure</v></cell><cell r="S3632" t="str"><v>Apps & Infra</v></cell><cell r="T3632" t="str"><v>Developers & ITI's</v></cell><cell r="U3632" t="str"><v>USA-Trial-ITD-Retargeting-AZR-AZR</v></cell><cell r="V3632" t="str"><v>Retargeting</v></cell><cell r="W3632" t="str"><v>Canvas Ad</v></cell><cell r="X3632" t="str"><v>1x1</v></cell></row><row r="3632"><cell r="AA3632"><v>43306</v></cell><cell r="AB3632" t="str"><v>USA_gaPMG_AZR_AZR_Q1_19_Direct-Social</v></cell><cell r="AC3632"><v>21358715</v></cell><cell r="AD3632"><v>720197</v></cell><cell r="AE3632" t="str"><v>Facebook - Instagram</v></cell><cell r="AF3632"><v>3654128</v></cell><cell r="AG3632" t="str"><v>INSTAGRAM»USA-Trial-ITD-Retargeting-AZR-AZR»1 x 1»SocialBan»CAN»ALL»CPA»RT»X»NA»SS»NA»IGCTCBrandinMotion»PRC2G3</v></cell><cell r="AH3632"><v>224107014</v></cell><cell r="AI3632" t="str"><v>AzurePlatform_IGCTCBenefit2inMotion_USA_10s_CAN_PLATFORM_English_Trial_Standard_STAN_TIN_T4_1</v></cell><cell r="AJ3632"><v>103050783</v></cell></row><row r="3633"><cell r="C3633" t="str"><v>43306INSTAGRAM»USA-Trial-ITD-Retargeting-AZR-AZR»1 x 1»SocialBan»CAN»ALL»CPA»RT»X»NA»SS»NA»IGCTCBenefitinMotion»PRC2G4</v></cell><cell r="D3633" t="str"><v>43306224107536</v></cell><cell r="E3633" t="str"><v>43306103050780PRC2G4</v></cell><cell r="F3633" t="str"><v>DCM</v></cell><cell r="G3633" t="str"><v>https://signup.azure.com/?OCID=AID%eexcid!_OLA_%ebuy!_%epid!_%ecid!</v></cell></row><row r="3633"><cell r="K3633" t="str"><v>July</v></cell><cell r="L3633"><v>43309</v></cell><cell r="M3633" t="str"><v>Tier 0</v></cell><cell r="N3633" t="str"><v>North America</v></cell><cell r="O3633" t="str"><v>United States</v></cell><cell r="P3633" t="str"><v>Trial</v></cell><cell r="Q3633" t="str"><v>Social</v></cell><cell r="R3633" t="str"><v>Azure</v></cell><cell r="S3633" t="str"><v>Apps & Infra</v></cell><cell r="T3633" t="str"><v>Developers & ITI's</v></cell><cell r="U3633" t="str"><v>USA-Trial-ITD-Retargeting-AZR-AZR</v></cell><cell r="V3633" t="str"><v>Retargeting</v></cell><cell r="W3633" t="str"><v>Canvas Ad</v></cell><cell r="X3633" t="str"><v>1x1</v></cell></row><row r="3633"><cell r="AA3633"><v>43306</v></cell><cell r="AB3633" t="str"><v>USA_gaPMG_AZR_AZR_Q1_19_Direct-Social</v></cell><cell r="AC3633"><v>21358715</v></cell><cell r="AD3633"><v>720197</v></cell><cell r="AE3633" t="str"><v>Facebook - Instagram</v></cell><cell r="AF3633"><v>3654128</v></cell><cell r="AG3633" t="str"><v>INSTAGRAM»USA-Trial-ITD-Retargeting-AZR-AZR»1 x 1»SocialBan»CAN»ALL»CPA»RT»X»NA»SS»NA»IGCTCBenefitinMotion»PRC2G4</v></cell><cell r="AH3633"><v>224107536</v></cell><cell r="AI3633" t="str"><v>AzurePlatform_IGCTCBenefitinMotion_USA_10s_CAN_PLATFORM_English_Trial_Standard_STAN_TIN_T3_1</v></cell><cell r="AJ3633"><v>103050780</v></cell></row><row r="3634"><cell r="C3634" t="str"><v>43306INSTAGRAM»USA-Trial-ITD-Trial Lookalike-AZR-AZR»1 x 1»SocialBan»CAN»ALL»CPA»LAL»X»NA»SS»NA»IGCTCBenefit2inMotion»PRC2FL</v></cell><cell r="D3634" t="str"><v>43306223935022</v></cell><cell r="E3634" t="str"><v>43306103180628PRC2FL</v></cell><cell r="F3634" t="str"><v>DCM</v></cell><cell r="G3634" t="str"><v>https://signup.azure.com/?OCID=AID%eexcid!_OLA_%ebuy!_%epid!_%ecid!</v></cell></row><row r="3634"><cell r="K3634" t="str"><v>July</v></cell><cell r="L3634"><v>43309</v></cell><cell r="M3634" t="str"><v>Tier 0</v></cell><cell r="N3634" t="str"><v>North America</v></cell><cell r="O3634" t="str"><v>United States</v></cell><cell r="P3634" t="str"><v>Trial</v></cell><cell r="Q3634" t="str"><v>Social</v></cell><cell r="R3634" t="str"><v>Azure</v></cell><cell r="S3634" t="str"><v>Apps & Infra</v></cell><cell r="T3634" t="str"><v>Developers & ITI's</v></cell><cell r="U3634" t="str"><v>USA-Trial-ITD-Trial Lookalike-AZR-AZR</v></cell><cell r="V3634" t="str"><v>Lookalike Targeting</v></cell><cell r="W3634" t="str"><v>Canvas Ad</v></cell><cell r="X3634" t="str"><v>1x1</v></cell></row><row r="3634"><cell r="AA3634"><v>43306</v></cell><cell r="AB3634" t="str"><v>USA_gaPMG_AZR_AZR_Q1_19_Direct-Social</v></cell><cell r="AC3634"><v>21358715</v></cell><cell r="AD3634"><v>720197</v></cell><cell r="AE3634" t="str"><v>Facebook - Instagram</v></cell><cell r="AF3634"><v>3654128</v></cell><cell r="AG3634" t="str"><v>INSTAGRAM»USA-Trial-ITD-Trial Lookalike-AZR-AZR»1 x 1»SocialBan»CAN»ALL»CPA»LAL»X»NA»SS»NA»IGCTCBenefit2inMotion»PRC2FL</v></cell><cell r="AH3634"><v>223935022</v></cell><cell r="AI3634" t="str"><v>AzurePlatform_IGCTCBrandinMotion_USA_10s_CAN_PLATFORM_English_Trial_Standard_STAN_TIN_T2_1</v></cell><cell r="AJ3634"><v>103180628</v></cell></row><row r="3635"><cell r="C3635" t="str"><v>43306INSTAGRAM»USA-Trial-ITD-Trial Lookalike-AZR-AZR»1 x 1»SocialBan»CAN»ALL»CPA»LAL»X»NA»SS»NA»IGCTCBrandinMotion»PRC2FH</v></cell><cell r="D3635" t="str"><v>43306223935019</v></cell><cell r="E3635" t="str"><v>43306103050783PRC2FH</v></cell><cell r="F3635" t="str"><v>DCM</v></cell><cell r="G3635" t="str"><v>https://signup.azure.com/?OCID=AID%eexcid!_OLA_%ebuy!_%epid!_%ecid!</v></cell></row><row r="3635"><cell r="K3635" t="str"><v>July</v></cell><cell r="L3635"><v>43309</v></cell><cell r="M3635" t="str"><v>Tier 0</v></cell><cell r="N3635" t="str"><v>North America</v></cell><cell r="O3635" t="str"><v>United States</v></cell><cell r="P3635" t="str"><v>Trial</v></cell><cell r="Q3635" t="str"><v>Social</v></cell><cell r="R3635" t="str"><v>Azure</v></cell><cell r="S3635" t="str"><v>Apps & Infra</v></cell><cell r="T3635" t="str"><v>Developers & ITI's</v></cell><cell r="U3635" t="str"><v>USA-Trial-ITD-Trial Lookalike-AZR-AZR</v></cell><cell r="V3635" t="str"><v>Lookalike Targeting</v></cell><cell r="W3635" t="str"><v>Canvas Ad</v></cell><cell r="X3635" t="str"><v>1x1</v></cell></row><row r="3635"><cell r="AA3635"><v>43306</v></cell><cell r="AB3635" t="str"><v>USA_gaPMG_AZR_AZR_Q1_19_Direct-Social</v></cell><cell r="AC3635"><v>21358715</v></cell><cell r="AD3635"><v>720197</v></cell><cell r="AE3635" t="str"><v>Facebook - Instagram</v></cell><cell r="AF3635"><v>3654128</v></cell><cell r="AG3635" t="str"><v>INSTAGRAM»USA-Trial-ITD-Trial Lookalike-AZR-AZR»1 x 1»SocialBan»CAN»ALL»CPA»LAL»X»NA»SS»NA»IGCTCBrandinMotion»PRC2FH</v></cell><cell r="AH3635"><v>223935019</v></cell><cell r="AI3635" t="str"><v>AzurePlatform_IGCTCBenefit2inMotion_USA_10s_CAN_PLATFORM_English_Trial_Standard_STAN_TIN_T4_1</v></cell><cell r="AJ3635"><v>103050783</v></cell></row><row r="3636"><cell r="C3636" t="str"><v>43306INSTAGRAM»USA-Trial-ITD-Interest Prospecting-AZR-AZR»1 x 1»SocialBan»CAN»ALL»CPA»PRO»X»NA»SS»NA»IGCTCBasicMotion»PRC2PF</v></cell><cell r="D3636" t="str"><v>43306224106621</v></cell><cell r="E3636" t="str"><v>43306103037968PRC2PF</v></cell><cell r="F3636" t="str"><v>DCM</v></cell><cell r="G3636" t="str"><v>https://signup.azure.com/?OCID=AID%eexcid!_OLA_%ebuy!_%epid!_%ecid!</v></cell></row><row r="3636"><cell r="K3636" t="str"><v>July</v></cell><cell r="L3636"><v>43309</v></cell><cell r="M3636" t="str"><v>Tier 0</v></cell><cell r="N3636" t="str"><v>North America</v></cell><cell r="O3636" t="str"><v>United States</v></cell><cell r="P3636" t="str"><v>Trial</v></cell><cell r="Q3636" t="str"><v>Social</v></cell><cell r="R3636" t="str"><v>Azure</v></cell><cell r="S3636" t="str"><v>Apps & Infra</v></cell><cell r="T3636" t="str"><v>Developers & ITI's</v></cell><cell r="U3636" t="str"><v>USA-Trial-ITD-Interest Prospecting-AZR-AZR</v></cell><cell r="V3636" t="str"><v>Prospecting</v></cell><cell r="W3636" t="str"><v>Canvas Ad</v></cell><cell r="X3636" t="str"><v>1x1</v></cell></row><row r="3636"><cell r="AA3636"><v>43306</v></cell><cell r="AB3636" t="str"><v>USA_gaPMG_AZR_AZR_Q1_19_Direct-Social</v></cell><cell r="AC3636"><v>21358715</v></cell><cell r="AD3636"><v>720197</v></cell><cell r="AE3636" t="str"><v>Facebook - Instagram</v></cell><cell r="AF3636"><v>3654128</v></cell><cell r="AG3636" t="str"><v>INSTAGRAM»USA-Trial-ITD-Interest Prospecting-AZR-AZR»1 x 1»SocialBan»CAN»ALL»CPA»PRO»X»NA»SS»NA»IGCTCBasicMotion»PRC2PF</v></cell><cell r="AH3636"><v>224106621</v></cell><cell r="AI3636" t="str"><v>AzurePlatform_IGCTCBasicMotion_USA_10s_CAN_PLATFORM_English_Trial_Standard_STAN_TIN_T1_1</v></cell><cell r="AJ3636"><v>103037968</v></cell></row><row r="3637"><cell r="C3637" t="str"><v>43306INSTAGRAM»USA-Trial-ITD-Interest Prospecting-AZR-AZR»1 x 1»SocialBan»CAN»ALL»CPA»PRO»X»NA»SS»NA»IGCTCBenefitinMotion»PRC2PC</v></cell><cell r="D3637" t="str"><v>43306224104878</v></cell><cell r="E3637" t="str"><v>43306103050780PRC2PC</v></cell><cell r="F3637" t="str"><v>DCM</v></cell><cell r="G3637" t="str"><v>https://signup.azure.com/?OCID=AID%eexcid!_OLA_%ebuy!_%epid!_%ecid!</v></cell></row><row r="3637"><cell r="K3637" t="str"><v>July</v></cell><cell r="L3637"><v>43309</v></cell><cell r="M3637" t="str"><v>Tier 0</v></cell><cell r="N3637" t="str"><v>North America</v></cell><cell r="O3637" t="str"><v>United States</v></cell><cell r="P3637" t="str"><v>Trial</v></cell><cell r="Q3637" t="str"><v>Social</v></cell><cell r="R3637" t="str"><v>Azure</v></cell><cell r="S3637" t="str"><v>Apps & Infra</v></cell><cell r="T3637" t="str"><v>Developers & ITI's</v></cell><cell r="U3637" t="str"><v>USA-Trial-ITD-Interest Prospecting-AZR-AZR</v></cell><cell r="V3637" t="str"><v>Prospecting</v></cell><cell r="W3637" t="str"><v>Canvas Ad</v></cell><cell r="X3637" t="str"><v>1x1</v></cell></row><row r="3637"><cell r="AA3637"><v>43306</v></cell><cell r="AB3637" t="str"><v>USA_gaPMG_AZR_AZR_Q1_19_Direct-Social</v></cell><cell r="AC3637"><v>21358715</v></cell><cell r="AD3637"><v>720197</v></cell><cell r="AE3637" t="str"><v>Facebook - Instagram</v></cell><cell r="AF3637"><v>3654128</v></cell><cell r="AG3637" t="str"><v>INSTAGRAM»USA-Trial-ITD-Interest Prospecting-AZR-AZR»1 x 1»SocialBan»CAN»ALL»CPA»PRO»X»NA»SS»NA»IGCTCBenefitinMotion»PRC2PC</v></cell><cell r="AH3637"><v>224104878</v></cell><cell r="AI3637" t="str"><v>AzurePlatform_IGCTCBenefitinMotion_USA_10s_CAN_PLATFORM_English_Trial_Standard_STAN_TIN_T3_1</v></cell><cell r="AJ3637"><v>103050780</v></cell></row><row r="3638"><cell r="C3638" t="str"><v>43306INSTAGRAM»USA-Trial-ITD-Trial Lookalike-AZR-AZR»1 x 1»SocialBan»CAN»ALL»CPA»LAL»X»NA»SS»NA»IGCTCBasicMotion»PRC0C2</v></cell><cell r="D3638" t="str"><v>43306224107017</v></cell><cell r="E3638" t="str"><v>43306103037968PRC0C2</v></cell><cell r="F3638" t="str"><v>DCM</v></cell><cell r="G3638" t="str"><v>https://signup.azure.com/?OCID=AID%eexcid!_OLA_%ebuy!_%epid!_%ecid!</v></cell></row><row r="3638"><cell r="K3638" t="str"><v>July</v></cell><cell r="L3638"><v>43309</v></cell><cell r="M3638" t="str"><v>Tier 0</v></cell><cell r="N3638" t="str"><v>North America</v></cell><cell r="O3638" t="str"><v>United States</v></cell><cell r="P3638" t="str"><v>Trial</v></cell><cell r="Q3638" t="str"><v>Social</v></cell><cell r="R3638" t="str"><v>Azure</v></cell><cell r="S3638" t="str"><v>Apps & Infra</v></cell><cell r="T3638" t="str"><v>Developers & ITI's</v></cell><cell r="U3638" t="str"><v>USA-Trial-ITD-Trial Lookalike-AZR-AZR</v></cell><cell r="V3638" t="str"><v>Lookalike Targeting</v></cell><cell r="W3638" t="str"><v>Canvas Ad</v></cell><cell r="X3638" t="str"><v>1x1</v></cell></row><row r="3638"><cell r="AA3638"><v>43306</v></cell><cell r="AB3638" t="str"><v>USA_gaPMG_AZR_AZR_Q1_19_Direct-Social</v></cell><cell r="AC3638"><v>21358715</v></cell><cell r="AD3638"><v>720197</v></cell><cell r="AE3638" t="str"><v>Facebook - Instagram</v></cell><cell r="AF3638"><v>3654128</v></cell><cell r="AG3638" t="str"><v>INSTAGRAM»USA-Trial-ITD-Trial Lookalike-AZR-AZR»1 x 1»SocialBan»CAN»ALL»CPA»LAL»X»NA»SS»NA»IGCTCBasicMotion»PRC0C2</v></cell><cell r="AH3638"><v>224107017</v></cell><cell r="AI3638" t="str"><v>AzurePlatform_IGCTCBasicMotion_USA_10s_CAN_PLATFORM_English_Trial_Standard_STAN_TIN_T1_1</v></cell><cell r="AJ3638"><v>103037968</v></cell></row><row r="3639"><cell r="C3639" t="str"><v>43306INSTAGRAM»USA-Trial-ITD-Trial Lookalike-AZR-AZR»1 x 1»SocialBan»CAN»ALL»CPA»LAL»X»NA»SS»NA»IGCTCBenefitinMotion»PRC2FK</v></cell><cell r="D3639" t="str"><v>43306224107542</v></cell><cell r="E3639" t="str"><v>43306103050780PRC2FK</v></cell><cell r="F3639" t="str"><v>DCM</v></cell><cell r="G3639" t="str"><v>https://signup.azure.com/?OCID=AID%eexcid!_OLA_%ebuy!_%epid!_%ecid!</v></cell></row><row r="3639"><cell r="K3639" t="str"><v>July</v></cell><cell r="L3639"><v>43309</v></cell><cell r="M3639" t="str"><v>Tier 0</v></cell><cell r="N3639" t="str"><v>North America</v></cell><cell r="O3639" t="str"><v>United States</v></cell><cell r="P3639" t="str"><v>Trial</v></cell><cell r="Q3639" t="str"><v>Social</v></cell><cell r="R3639" t="str"><v>Azure</v></cell><cell r="S3639" t="str"><v>Apps & Infra</v></cell><cell r="T3639" t="str"><v>Developers & ITI's</v></cell><cell r="U3639" t="str"><v>USA-Trial-ITD-Trial Lookalike-AZR-AZR</v></cell><cell r="V3639" t="str"><v>Lookalike Targeting</v></cell><cell r="W3639" t="str"><v>Canvas Ad</v></cell><cell r="X3639" t="str"><v>1x1</v></cell></row><row r="3639"><cell r="AA3639"><v>43306</v></cell><cell r="AB3639" t="str"><v>USA_gaPMG_AZR_AZR_Q1_19_Direct-Social</v></cell><cell r="AC3639"><v>21358715</v></cell><cell r="AD3639"><v>720197</v></cell><cell r="AE3639" t="str"><v>Facebook - Instagram</v></cell><cell r="AF3639"><v>3654128</v></cell><cell r="AG3639" t="str"><v>INSTAGRAM»USA-Trial-ITD-Trial Lookalike-AZR-AZR»1 x 1»SocialBan»CAN»ALL»CPA»LAL»X»NA»SS»NA»IGCTCBenefitinMotion»PRC2FK</v></cell><cell r="AH3639"><v>224107542</v></cell><cell r="AI3639" t="str"><v>AzurePlatform_IGCTCBenefitinMotion_USA_10s_CAN_PLATFORM_English_Trial_Standard_STAN_TIN_T3_1</v></cell><cell r="AJ3639"><v>103050780</v></cell></row><row r="3640"><cell r="C3640" t="str"><v>43306INSTAGRAM»USA-Trial-ITD-Trial PayGo Lookalike-AZR-AZR»1 x 1»SocialBan»CAN»ALL»CPA»LAL»X»NA»SS»NA»IGCTCBasicMotion»PRC2G0</v></cell><cell r="D3640" t="str"><v>43306224106891</v></cell><cell r="E3640" t="str"><v>43306103037968PRC2G0</v></cell><cell r="F3640" t="str"><v>DCM</v></cell><cell r="G3640" t="str"><v>https://signup.azure.com/?OCID=AID%eexcid!_OLA_%ebuy!_%epid!_%ecid!</v></cell></row><row r="3640"><cell r="K3640" t="str"><v>July</v></cell><cell r="L3640"><v>43309</v></cell><cell r="M3640" t="str"><v>Tier 0</v></cell><cell r="N3640" t="str"><v>North America</v></cell><cell r="O3640" t="str"><v>United States</v></cell><cell r="P3640" t="str"><v>Trial</v></cell><cell r="Q3640" t="str"><v>Social</v></cell><cell r="R3640" t="str"><v>Azure</v></cell><cell r="S3640" t="str"><v>Apps & Infra</v></cell><cell r="T3640" t="str"><v>Developers & ITI's</v></cell><cell r="U3640" t="str"><v>USA-Trial-ITD-Trial PayGo Lookalike-AZR-AZR</v></cell><cell r="V3640" t="str"><v>Lookalike Targeting</v></cell><cell r="W3640" t="str"><v>Canvas Ad</v></cell><cell r="X3640" t="str"><v>1x1</v></cell></row><row r="3640"><cell r="AA3640"><v>43306</v></cell><cell r="AB3640" t="str"><v>USA_gaPMG_AZR_AZR_Q1_19_Direct-Social</v></cell><cell r="AC3640"><v>21358715</v></cell><cell r="AD3640"><v>720197</v></cell><cell r="AE3640" t="str"><v>Facebook - Instagram</v></cell><cell r="AF3640"><v>3654128</v></cell><cell r="AG3640" t="str"><v>INSTAGRAM»USA-Trial-ITD-Trial PayGo Lookalike-AZR-AZR»1 x 1»SocialBan»CAN»ALL»CPA»LAL»X»NA»SS»NA»IGCTCBasicMotion»PRC2G0</v></cell><cell r="AH3640"><v>224106891</v></cell><cell r="AI3640" t="str"><v>AzurePlatform_IGCTCBasicMotion_USA_10s_CAN_PLATFORM_English_Trial_Standard_STAN_TIN_T1_1</v></cell><cell r="AJ3640"><v>103037968</v></cell></row><row r="3641"><cell r="C3641" t="str"><v>43306INSTAGRAM»USA-Trial-ITD-Trial PayGo Lookalike-AZR-AZR»1 x 1»SocialBan»CAN»ALL»CPA»LAL»X»NA»SS»NA»IGCTCBasicMotion»PRC2G0</v></cell><cell r="D3641" t="str"><v>43306224106891</v></cell><cell r="E3641" t="str"><v>43306103037974PRC2G0</v></cell><cell r="F3641" t="str"><v>DCM</v></cell><cell r="G3641" t="str"><v>https://azure.microsoft.com/en-us/pricing/purchase-options/?v=18.19&OCID=AID%eexcid!_OLA_%ebuy!_%epid!_%ecid!</v></cell></row><row r="3641"><cell r="K3641" t="str"><v>July</v></cell><cell r="L3641"><v>43309</v></cell><cell r="M3641" t="str"><v>Tier 0</v></cell><cell r="N3641" t="str"><v>North America</v></cell><cell r="O3641" t="str"><v>United States</v></cell><cell r="P3641" t="str"><v>Trial</v></cell><cell r="Q3641" t="str"><v>Social</v></cell><cell r="R3641" t="str"><v>Azure</v></cell><cell r="S3641" t="str"><v>Apps & Infra</v></cell><cell r="T3641" t="str"><v>Developers & ITI's</v></cell><cell r="U3641" t="str"><v>USA-Trial-ITD-Trial PayGo Lookalike-AZR-AZR</v></cell><cell r="V3641" t="str"><v>Lookalike Targeting</v></cell><cell r="W3641" t="str"><v>Canvas Ad</v></cell><cell r="X3641" t="str"><v>1x1</v></cell></row><row r="3641"><cell r="AA3641"><v>43306</v></cell><cell r="AB3641" t="str"><v>USA_gaPMG_AZR_AZR_Q1_19_Direct-Social</v></cell><cell r="AC3641"><v>21358715</v></cell><cell r="AD3641"><v>720197</v></cell><cell r="AE3641" t="str"><v>Facebook - Instagram</v></cell><cell r="AF3641"><v>3654128</v></cell><cell r="AG3641" t="str"><v>INSTAGRAM»USA-Trial-ITD-Trial PayGo Lookalike-AZR-AZR»1 x 1»SocialBan»CAN»ALL»CPA»LAL»X»NA»SS»NA»IGCTCBasicMotion»PRC2G0</v></cell><cell r="AH3641"><v>224106891</v></cell><cell r="AI3641" t="str"><v>AzurePlatform_IGCTCBasicMotion_USA_10s_CAN_PLATFORM_English_Trial_Standard_STAN_TIN_T1_2</v></cell><cell r="AJ3641"><v>103037974</v></cell></row><row r="3642"><cell r="C3642" t="str"><v>43307Facebook»Audience & Interest Targeting»1x1»Canvas»OTH»DT»DYN»AUT»W»NA»SS»NA»FBCTCcanvaspage-StartFreeCTA_FBCTCcanvaspage-BuyNowCTA</v></cell><cell r="D3642" t="str"><v>43307224639151</v></cell><cell r="E3642" t="str"><v>43307103316832NowCTA</v></cell><cell r="F3642" t="str"><v>DCM</v></cell><cell r="G3642" t="str"><v>https://azure.microsoft.com/en-au/pricing/purchase-options/</v></cell></row><row r="3642"><cell r="K3642" t="str"><v>July</v></cell><cell r="L3642"><v>43309</v></cell><cell r="M3642" t="str"><v>Tier 1</v></cell><cell r="N3642" t="str"><v>APAC</v></cell><cell r="O3642" t="str"><v>Australia</v></cell><cell r="P3642" t="str"><v>Trial</v></cell><cell r="Q3642" t="str"><v>Social</v></cell><cell r="R3642" t="str"><v>Azure</v></cell><cell r="S3642" t="str"><v>Apps & Infra</v></cell><cell r="T3642" t="str"><v>Developers & ITI's</v></cell><cell r="U3642" t="str"><v>Audience & Interest Targeting</v></cell><cell r="V3642" t="str"><v>Audience Targeting</v></cell><cell r="W3642" t="str"><v>Other</v></cell><cell r="X3642" t="str"><v>1x1</v></cell></row><row r="3642"><cell r="AA3642"><v>43307</v></cell><cell r="AB3642" t="str"><v>AUS_gaPMG_AZR_AZR_Q1_19_Trial-Social</v></cell><cell r="AC3642"><v>21358568</v></cell><cell r="AD3642"><v>720191</v></cell><cell r="AE3642" t="str"><v>Facebook</v></cell><cell r="AF3642"><v>3654128</v></cell><cell r="AG3642" t="str"><v>Facebook»Audience & Interest Targeting»1x1»Canvas»OTH»DT»DYN»AUT»W»NA»SS»NA»FBCTCcanvaspage-StartFreeCTA_FBCTCcanvaspage-BuyNowCTA</v></cell><cell r="AH3642"><v>224639151</v></cell><cell r="AI3642" t="str"><v>AzurePlatform_FBCTCcanvaspage-BuyNowCTA-Img3_AUS_1080x162_SOC_Plat_English_NA_Standard_NA_BN_T3_1</v></cell><cell r="AJ3642"><v>103316832</v></cell></row><row r="3643"><cell r="C3643" t="str"><v>43307Facebook»Audience & Interest Targeting»1x1»Canvas»OTH»DT»DYN»AUT»W»NA»SS»NA»FBCTCcanvaspage-StartFreeCTA_FBCTCcanvaspage-BuyNowCTA</v></cell><cell r="D3643" t="str"><v>43307224639151</v></cell><cell r="E3643" t="str"><v>43307103316829NowCTA</v></cell><cell r="F3643" t="str"><v>DCM</v></cell><cell r="G3643" t="str"><v>https://signup.azure.com/signup?offer=ms-azr-0044p&appId=102&ref=paidmedia-social-fb&redirectURL=https%3a%2f%2fazure.microsoft.com%2fen-au%2fget-started%2fwelcome-to-azure%2f&l=en-au&correlationId=ead86c34-1f10-49dd-a72b-6918462a2cbf</v></cell></row><row r="3643"><cell r="K3643" t="str"><v>July</v></cell><cell r="L3643"><v>43309</v></cell><cell r="M3643" t="str"><v>Tier 1</v></cell><cell r="N3643" t="str"><v>APAC</v></cell><cell r="O3643" t="str"><v>Australia</v></cell><cell r="P3643" t="str"><v>Trial</v></cell><cell r="Q3643" t="str"><v>Social</v></cell><cell r="R3643" t="str"><v>Azure</v></cell><cell r="S3643" t="str"><v>Apps & Infra</v></cell><cell r="T3643" t="str"><v>Developers & ITI's</v></cell><cell r="U3643" t="str"><v>Audience & Interest Targeting</v></cell><cell r="V3643" t="str"><v>Audience Targeting</v></cell><cell r="W3643" t="str"><v>Other</v></cell><cell r="X3643" t="str"><v>1x1</v></cell></row><row r="3643"><cell r="AA3643"><v>43307</v></cell><cell r="AB3643" t="str"><v>AUS_gaPMG_AZR_AZR_Q1_19_Trial-Social</v></cell><cell r="AC3643"><v>21358568</v></cell><cell r="AD3643"><v>720191</v></cell><cell r="AE3643" t="str"><v>Facebook</v></cell><cell r="AF3643"><v>3654128</v></cell><cell r="AG3643" t="str"><v>Facebook»Audience & Interest Targeting»1x1»Canvas»OTH»DT»DYN»AUT»W»NA»SS»NA»FBCTCcanvaspage-StartFreeCTA_FBCTCcanvaspage-BuyNowCTA</v></cell><cell r="AH3643"><v>224639151</v></cell><cell r="AI3643" t="str"><v>AzurePlatform_FBCTCcanvaspage-StartFreeCTA-Img2_AUS_1080x143 _SOC_Plat_English_NA_Standard_NA_NA_T2_1</v></cell><cell r="AJ3643"><v>103316829</v></cell></row><row r="3644"><cell r="C3644" t="str"><v>43307Facebook»Audience & Interest Targeting»1x1»TextLink»OTH»DT»DYN»AUT»W»NA»SS»NA»Free Account Refresh- 12 months ChE</v></cell><cell r="D3644" t="str"><v>43307224160783</v></cell><cell r="E3644" t="str"><v>43307103051614hs ChE</v></cell><cell r="F3644" t="str"><v>DCM</v></cell></row><row r="3644"><cell r="K3644" t="str"><v>July</v></cell><cell r="L3644"><v>43309</v></cell><cell r="M3644" t="str"><v>Tier 1</v></cell><cell r="N3644" t="str"><v>APAC</v></cell><cell r="O3644" t="str"><v>Australia</v></cell><cell r="P3644" t="str"><v>Trial</v></cell><cell r="Q3644" t="str"><v>Social</v></cell><cell r="R3644" t="str"><v>Azure</v></cell><cell r="S3644" t="str"><v>Apps & Infra</v></cell><cell r="T3644" t="str"><v>Developers & ITI's</v></cell><cell r="U3644" t="str"><v>Audience & Interest Targeting</v></cell><cell r="V3644" t="str"><v>Audience Targeting</v></cell><cell r="W3644" t="str"><v>Other</v></cell><cell r="X3644" t="str"><v>1x1</v></cell></row><row r="3644"><cell r="AA3644"><v>43307</v></cell><cell r="AB3644" t="str"><v>AUS_gaPMG_AZR_AZR_Q1_19_Trial-Social</v></cell><cell r="AC3644"><v>21358568</v></cell><cell r="AD3644"><v>720191</v></cell><cell r="AE3644" t="str"><v>Facebook</v></cell><cell r="AF3644"><v>3654128</v></cell><cell r="AG3644" t="str"><v>Facebook»Audience & Interest Targeting»1x1»TextLink»OTH»DT»DYN»AUT»W»NA»SS»NA»Free Account Refresh- 12 months ChE</v></cell><cell r="AH3644"><v>224160783</v></cell><cell r="AI3644" t="str"><v>AzurePlatform_FreeAcctAppsFACEBOOK12monthsChE_AUS_1200x628_SOC_PLAT_EN_Trial_Standard_NA_SNU_T5_1</v></cell><cell r="AJ3644"><v>103051614</v></cell></row><row r="3645"><cell r="C3645" t="str"><v>43307Facebook»Audience & Interest Targeting»1x1»TextLink»OTH»DT»DYN»AUT»W»NA»SS»NA»Free Account Refresh- 200 Credit ChD</v></cell><cell r="D3645" t="str"><v>43307224160780</v></cell><cell r="E3645" t="str"><v>43307103186904it ChD</v></cell><cell r="F3645" t="str"><v>DCM</v></cell></row><row r="3645"><cell r="K3645" t="str"><v>July</v></cell><cell r="L3645"><v>43309</v></cell><cell r="M3645" t="str"><v>Tier 1</v></cell><cell r="N3645" t="str"><v>APAC</v></cell><cell r="O3645" t="str"><v>Australia</v></cell><cell r="P3645" t="str"><v>Trial</v></cell><cell r="Q3645" t="str"><v>Social</v></cell><cell r="R3645" t="str"><v>Azure</v></cell><cell r="S3645" t="str"><v>Apps & Infra</v></cell><cell r="T3645" t="str"><v>Developers & ITI's</v></cell><cell r="U3645" t="str"><v>Audience & Interest Targeting</v></cell><cell r="V3645" t="str"><v>Audience Targeting</v></cell><cell r="W3645" t="str"><v>Other</v></cell><cell r="X3645" t="str"><v>1x1</v></cell></row><row r="3645"><cell r="AA3645"><v>43307</v></cell><cell r="AB3645" t="str"><v>AUS_gaPMG_AZR_AZR_Q1_19_Trial-Social</v></cell><cell r="AC3645"><v>21358568</v></cell><cell r="AD3645"><v>720191</v></cell><cell r="AE3645" t="str"><v>Facebook</v></cell><cell r="AF3645"><v>3654128</v></cell><cell r="AG3645" t="str"><v>Facebook»Audience & Interest Targeting»1x1»TextLink»OTH»DT»DYN»AUT»W»NA»SS»NA»Free Account Refresh- 200 Credit ChD</v></cell><cell r="AH3645"><v>224160780</v></cell><cell r="AI3645" t="str"><v>AzurePlatform_FreeAcctAppsFACEBOOK200CreditChD_AUS_1200x628_SOC_PLAT_EN_Trial_Standard_NA_SNU_T4_1</v></cell><cell r="AJ3645"><v>103186904</v></cell></row><row r="3646"><cell r="C3646" t="str"><v>43307Facebook»Audience & Interest Targeting»1x1»TextLink»OTH»DT»DYN»AUT»W»NA»SS»NA»Free Account Refresh- Device ChB</v></cell><cell r="D3646" t="str"><v>43307224160777</v></cell><cell r="E3646" t="str"><v>43307103048479ce ChB</v></cell><cell r="F3646" t="str"><v>DCM</v></cell></row><row r="3646"><cell r="K3646" t="str"><v>July</v></cell><cell r="L3646"><v>43309</v></cell><cell r="M3646" t="str"><v>Tier 1</v></cell><cell r="N3646" t="str"><v>APAC</v></cell><cell r="O3646" t="str"><v>Australia</v></cell><cell r="P3646" t="str"><v>Trial</v></cell><cell r="Q3646" t="str"><v>Social</v></cell><cell r="R3646" t="str"><v>Azure</v></cell><cell r="S3646" t="str"><v>Apps & Infra</v></cell><cell r="T3646" t="str"><v>Developers & ITI's</v></cell><cell r="U3646" t="str"><v>Audience & Interest Targeting</v></cell><cell r="V3646" t="str"><v>Audience Targeting</v></cell><cell r="W3646" t="str"><v>Other</v></cell><cell r="X3646" t="str"><v>1x1</v></cell></row><row r="3646"><cell r="AA3646"><v>43307</v></cell><cell r="AB3646" t="str"><v>AUS_gaPMG_AZR_AZR_Q1_19_Trial-Social</v></cell><cell r="AC3646"><v>21358568</v></cell><cell r="AD3646"><v>720191</v></cell><cell r="AE3646" t="str"><v>Facebook</v></cell><cell r="AF3646"><v>3654128</v></cell><cell r="AG3646" t="str"><v>Facebook»Audience & Interest Targeting»1x1»TextLink»OTH»DT»DYN»AUT»W»NA»SS»NA»Free Account Refresh- Device ChB</v></cell><cell r="AH3646"><v>224160777</v></cell><cell r="AI3646" t="str"><v>AzurePlatform_FreeAcctAppsFACEBOOKDeviceChB_AUS_1200x628_SOC_PLAT_EN_Trial_Standard_NA_SNU_T2_1</v></cell><cell r="AJ3646"><v>103048479</v></cell></row><row r="3647"><cell r="C3647" t="str"><v>43307Facebook»Audience & Interest Targeting»1x1»TextLink»OTH»DT»DYN»AUT»W»NA»SS»NA»Free Account Refresh- Illustration ChC</v></cell><cell r="D3647" t="str"><v>43307224160774</v></cell><cell r="E3647" t="str"><v>43307103186910on ChC</v></cell><cell r="F3647" t="str"><v>DCM</v></cell></row><row r="3647"><cell r="K3647" t="str"><v>July</v></cell><cell r="L3647"><v>43309</v></cell><cell r="M3647" t="str"><v>Tier 1</v></cell><cell r="N3647" t="str"><v>APAC</v></cell><cell r="O3647" t="str"><v>Australia</v></cell><cell r="P3647" t="str"><v>Trial</v></cell><cell r="Q3647" t="str"><v>Social</v></cell><cell r="R3647" t="str"><v>Azure</v></cell><cell r="S3647" t="str"><v>Apps & Infra</v></cell><cell r="T3647" t="str"><v>Developers & ITI's</v></cell><cell r="U3647" t="str"><v>Audience & Interest Targeting</v></cell><cell r="V3647" t="str"><v>Audience Targeting</v></cell><cell r="W3647" t="str"><v>Other</v></cell><cell r="X3647" t="str"><v>1x1</v></cell></row><row r="3647"><cell r="AA3647"><v>43307</v></cell><cell r="AB3647" t="str"><v>AUS_gaPMG_AZR_AZR_Q1_19_Trial-Social</v></cell><cell r="AC3647"><v>21358568</v></cell><cell r="AD3647"><v>720191</v></cell><cell r="AE3647" t="str"><v>Facebook</v></cell><cell r="AF3647"><v>3654128</v></cell><cell r="AG3647" t="str"><v>Facebook»Audience & Interest Targeting»1x1»TextLink»OTH»DT»DYN»AUT»W»NA»SS»NA»Free Account Refresh- Illustration ChC</v></cell><cell r="AH3647"><v>224160774</v></cell><cell r="AI3647" t="str"><v>AzurePlatform_FreeAcctAppsFACEBOOKIllustrationChC_AUS_1200x628_SOC_PLAT_EN_Trial_Standard_NA_SNU_T3_1</v></cell><cell r="AJ3647"><v>103186910</v></cell></row><row r="3648"><cell r="C3648" t="str"><v>43307Facebook»Audience & Interest Targeting»1x1»TextLink»OTH»DT»DYN»AUT»W»NA»SS»NA»Free Account Refresh- Lifestyle ChA</v></cell><cell r="D3648" t="str"><v>43307224160771</v></cell><cell r="E3648" t="str"><v>43307103048488le ChA</v></cell><cell r="F3648" t="str"><v>DCM</v></cell></row><row r="3648"><cell r="K3648" t="str"><v>July</v></cell><cell r="L3648"><v>43309</v></cell><cell r="M3648" t="str"><v>Tier 1</v></cell><cell r="N3648" t="str"><v>APAC</v></cell><cell r="O3648" t="str"><v>Australia</v></cell><cell r="P3648" t="str"><v>Trial</v></cell><cell r="Q3648" t="str"><v>Social</v></cell><cell r="R3648" t="str"><v>Azure</v></cell><cell r="S3648" t="str"><v>Apps & Infra</v></cell><cell r="T3648" t="str"><v>Developers & ITI's</v></cell><cell r="U3648" t="str"><v>Audience & Interest Targeting</v></cell><cell r="V3648" t="str"><v>Audience Targeting</v></cell><cell r="W3648" t="str"><v>Other</v></cell><cell r="X3648" t="str"><v>1x1</v></cell></row><row r="3648"><cell r="AA3648"><v>43307</v></cell><cell r="AB3648" t="str"><v>AUS_gaPMG_AZR_AZR_Q1_19_Trial-Social</v></cell><cell r="AC3648"><v>21358568</v></cell><cell r="AD3648"><v>720191</v></cell><cell r="AE3648" t="str"><v>Facebook</v></cell><cell r="AF3648"><v>3654128</v></cell><cell r="AG3648" t="str"><v>Facebook»Audience & Interest Targeting»1x1»TextLink»OTH»DT»DYN»AUT»W»NA»SS»NA»Free Account Refresh- Lifestyle ChA</v></cell><cell r="AH3648"><v>224160771</v></cell><cell r="AI3648" t="str"><v>AzurePlatform_FreeAcctAppsFACEBOOKLifestyleChA_AUS_1200x628_SOC_PLAT_EN_Trial_Standard_NA_SNU_T1_1</v></cell><cell r="AJ3648"><v>103048488</v></cell></row><row r="3649"><cell r="C3649" t="str"><v>43307Facebook»AZR»1x1»NA»EGV»ALL»DYN»AUT»D»All»SS»NA»Free Acc CTC - T1 - FR</v></cell><cell r="D3649" t="str"><v>43307223691801</v></cell><cell r="E3649" t="str"><v>433071030533231 - FR</v></cell><cell r="F3649" t="str"><v>DCM</v></cell><cell r="G3649" t="str"><v>https://signup.azure.com/</v></cell></row><row r="3649"><cell r="K3649" t="str"><v>July</v></cell><cell r="L3649"><v>43309</v></cell><cell r="M3649" t="str"><v>Tier 1</v></cell><cell r="N3649" t="str"><v>North America</v></cell><cell r="O3649" t="str"><v>Canada</v></cell><cell r="P3649" t="str"><v>Trial</v></cell><cell r="Q3649" t="str"><v>Social</v></cell><cell r="R3649" t="str"><v>Azure</v></cell><cell r="S3649" t="str"><v>Apps & Infra</v></cell><cell r="T3649" t="str"><v>Developers & ITI's</v></cell><cell r="U3649" t="str"><v>AZR</v></cell><cell r="V3649" t="str"><v>Audience Targeting</v></cell><cell r="W3649" t="str"><v>Engagement Video</v></cell><cell r="X3649" t="str"><v>1x1</v></cell></row><row r="3649"><cell r="AA3649"><v>43307</v></cell><cell r="AB3649" t="str"><v>CAN_gaPMG_AZR_AZR_Q1_19_Trial-Social</v></cell><cell r="AC3649"><v>21337220</v></cell><cell r="AD3649"><v>720192</v></cell><cell r="AE3649" t="str"><v>Facebook</v></cell><cell r="AF3649"><v>3654128</v></cell><cell r="AG3649" t="str"><v>Facebook»AZR»1x1»NA»EGV»ALL»DYN»AUT»D»All»SS»NA»Free Acc CTC - T1 - FR</v></cell><cell r="AH3649"><v>223691801</v></cell><cell r="AI3649" t="str"><v>AzurePlatform_FBCTCBasicMotion_CAN_10s_ISV_PLAT_FR_Trial_Standard_STAN_TN_T1_1</v></cell><cell r="AJ3649"><v>103053323</v></cell></row><row r="3650"><cell r="C3650" t="str"><v>43307Facebook»AZR»1x1»NA»EGV»ALL»DYN»AUT»D»All»SS»NA»Free Acc CTC - T2 - EN</v></cell><cell r="D3650" t="str"><v>43307223691840</v></cell><cell r="E3650" t="str"><v>433071029029502 - EN</v></cell><cell r="F3650" t="str"><v>DCM</v></cell><cell r="G3650" t="str"><v>https://signup.azure.com/</v></cell></row><row r="3650"><cell r="K3650" t="str"><v>July</v></cell><cell r="L3650"><v>43309</v></cell><cell r="M3650" t="str"><v>Tier 1</v></cell><cell r="N3650" t="str"><v>North America</v></cell><cell r="O3650" t="str"><v>Canada</v></cell><cell r="P3650" t="str"><v>Trial</v></cell><cell r="Q3650" t="str"><v>Social</v></cell><cell r="R3650" t="str"><v>Azure</v></cell><cell r="S3650" t="str"><v>Apps & Infra</v></cell><cell r="T3650" t="str"><v>Developers & ITI's</v></cell><cell r="U3650" t="str"><v>AZR</v></cell><cell r="V3650" t="str"><v>Audience Targeting</v></cell><cell r="W3650" t="str"><v>Engagement Video</v></cell><cell r="X3650" t="str"><v>1x1</v></cell></row><row r="3650"><cell r="AA3650"><v>43307</v></cell><cell r="AB3650" t="str"><v>CAN_gaPMG_AZR_AZR_Q1_19_Trial-Social</v></cell><cell r="AC3650"><v>21337220</v></cell><cell r="AD3650"><v>720192</v></cell><cell r="AE3650" t="str"><v>Facebook</v></cell><cell r="AF3650"><v>3654128</v></cell><cell r="AG3650" t="str"><v>Facebook»AZR»1x1»NA»EGV»ALL»DYN»AUT»D»All»SS»NA»Free Acc CTC - T2 - EN</v></cell><cell r="AH3650"><v>223691840</v></cell><cell r="AI3650" t="str"><v>AzurePlatform_FBCTCBrandinMotion_CAN_12s_ISV_PLAT_English_Trial_Standard_STAN_TN_T2_1</v></cell><cell r="AJ3650"><v>102902950</v></cell></row><row r="3651"><cell r="C3651" t="str"><v>43307Facebook»AZR»1x1»NA»EGV»ALL»DYN»AUT»D»All»SS»NA»Free Acc CTC - T4 - EN</v></cell><cell r="D3651" t="str"><v>43307223691837</v></cell><cell r="E3651" t="str"><v>433071030533144 - EN</v></cell><cell r="F3651" t="str"><v>DCM</v></cell><cell r="G3651" t="str"><v>https://signup.azure.com/</v></cell></row><row r="3651"><cell r="K3651" t="str"><v>July</v></cell><cell r="L3651"><v>43309</v></cell><cell r="M3651" t="str"><v>Tier 1</v></cell><cell r="N3651" t="str"><v>North America</v></cell><cell r="O3651" t="str"><v>Canada</v></cell><cell r="P3651" t="str"><v>Trial</v></cell><cell r="Q3651" t="str"><v>Social</v></cell><cell r="R3651" t="str"><v>Azure</v></cell><cell r="S3651" t="str"><v>Apps & Infra</v></cell><cell r="T3651" t="str"><v>Developers & ITI's</v></cell><cell r="U3651" t="str"><v>AZR</v></cell><cell r="V3651" t="str"><v>Audience Targeting</v></cell><cell r="W3651" t="str"><v>Engagement Video</v></cell><cell r="X3651" t="str"><v>1x1</v></cell></row><row r="3651"><cell r="AA3651"><v>43307</v></cell><cell r="AB3651" t="str"><v>CAN_gaPMG_AZR_AZR_Q1_19_Trial-Social</v></cell><cell r="AC3651"><v>21337220</v></cell><cell r="AD3651"><v>720192</v></cell><cell r="AE3651" t="str"><v>Facebook</v></cell><cell r="AF3651"><v>3654128</v></cell><cell r="AG3651" t="str"><v>Facebook»AZR»1x1»NA»EGV»ALL»DYN»AUT»D»All»SS»NA»Free Acc CTC - T4 - EN</v></cell><cell r="AH3651"><v>223691837</v></cell><cell r="AI3651" t="str"><v>AzurePlatform_FBCTCBenefit2inMotion_CAN_14s_ISV_PLAT_English_Trial_Standard_STAN_TN_T4_1</v></cell><cell r="AJ3651"><v>103053314</v></cell></row><row r="3652"><cell r="C3652" t="str"><v>43307Facebook»AZR»1x1»NA»SOC»ALL»DYN»PRO»D»All»SS»NA»Canvas - Buy Now - EN</v></cell><cell r="D3652" t="str"><v>43307225322327</v></cell><cell r="E3652" t="str"><v>43307103902287w - EN</v></cell><cell r="F3652" t="str"><v>DCM</v></cell><cell r="G3652" t="str"><v>https://azure.microsoft.com/en-ca/pricing/purchase-options/</v></cell></row><row r="3652"><cell r="K3652" t="str"><v>July</v></cell><cell r="L3652"><v>43309</v></cell><cell r="M3652" t="str"><v>Tier 1</v></cell><cell r="N3652" t="str"><v>North America</v></cell><cell r="O3652" t="str"><v>Canada</v></cell><cell r="P3652" t="str"><v>Trial</v></cell><cell r="Q3652" t="str"><v>Social</v></cell><cell r="R3652" t="str"><v>Azure</v></cell><cell r="S3652" t="str"><v>Apps & Infra</v></cell><cell r="T3652" t="str"><v>Developers & ITI's</v></cell><cell r="U3652" t="str"><v>AZR</v></cell><cell r="V3652" t="str"><v>Prospecting</v></cell><cell r="W3652" t="str"><v>Social</v></cell><cell r="X3652" t="str"><v>1x1</v></cell></row><row r="3652"><cell r="AA3652"><v>43307</v></cell><cell r="AB3652" t="str"><v>CAN_gaPMG_AZR_AZR_Q1_19_Trial-Social</v></cell><cell r="AC3652"><v>21337220</v></cell><cell r="AD3652"><v>720192</v></cell><cell r="AE3652" t="str"><v>Facebook</v></cell><cell r="AF3652"><v>3654128</v></cell><cell r="AG3652" t="str"><v>Facebook»AZR»1x1»NA»SOC»ALL»DYN»PRO»D»All»SS»NA»Canvas - Buy Now - EN</v></cell><cell r="AH3652"><v>225322327</v></cell><cell r="AI3652" t="str"><v>AzurePlatform_FBCTCcanvaspage-BuyNowCTA-Img3_CAN_1080x162_SOC_Plat_English_NA_Standard_NA_BN_T3_1</v></cell><cell r="AJ3652"><v>103902287</v></cell></row><row r="3653"><cell r="C3653" t="str"><v>43307Facebook»AZR»1x1»NA»SOC»ALL»DYN»PRO»D»All»SS»NA»Canvas - Buy Now - FR</v></cell><cell r="D3653" t="str"><v>43307225322324</v></cell><cell r="E3653" t="str"><v>43307103789915w - FR</v></cell><cell r="F3653" t="str"><v>DCM</v></cell><cell r="G3653" t="str"><v>https://azure.microsoft.com/fr-ca/pricing/purchase-options/</v></cell></row><row r="3653"><cell r="K3653" t="str"><v>July</v></cell><cell r="L3653"><v>43309</v></cell><cell r="M3653" t="str"><v>Tier 1</v></cell><cell r="N3653" t="str"><v>North America</v></cell><cell r="O3653" t="str"><v>Canada</v></cell><cell r="P3653" t="str"><v>Trial</v></cell><cell r="Q3653" t="str"><v>Social</v></cell><cell r="R3653" t="str"><v>Azure</v></cell><cell r="S3653" t="str"><v>Apps & Infra</v></cell><cell r="T3653" t="str"><v>Developers & ITI's</v></cell><cell r="U3653" t="str"><v>AZR</v></cell><cell r="V3653" t="str"><v>Prospecting</v></cell><cell r="W3653" t="str"><v>Social</v></cell><cell r="X3653" t="str"><v>1x1</v></cell></row><row r="3653"><cell r="AA3653"><v>43307</v></cell><cell r="AB3653" t="str"><v>CAN_gaPMG_AZR_AZR_Q1_19_Trial-Social</v></cell><cell r="AC3653"><v>21337220</v></cell><cell r="AD3653"><v>720192</v></cell><cell r="AE3653" t="str"><v>Facebook</v></cell><cell r="AF3653"><v>3654128</v></cell><cell r="AG3653" t="str"><v>Facebook»AZR»1x1»NA»SOC»ALL»DYN»PRO»D»All»SS»NA»Canvas - Buy Now - FR</v></cell><cell r="AH3653"><v>225322324</v></cell><cell r="AI3653" t="str"><v>AzurePlatform_FBCTCcanvaspage-BuyNowCTA-Img3_CAN_1080x162_SOC_Plat_French_NA_Standard_NA_BN_T3_1</v></cell><cell r="AJ3653"><v>103789915</v></cell></row><row r="3654"><cell r="C3654" t="str"><v>43307Facebook»AZR»1x1»NA»SOC»ALL»DYN»PRO»D»All»SS»NA»Canvas - Start Free - EN</v></cell><cell r="D3654" t="str"><v>43307225252365</v></cell><cell r="E3654" t="str"><v>43307103807590e - EN</v></cell><cell r="F3654" t="str"><v>DCM</v></cell><cell r="G3654" t="str"><v>https://signup.azure.com/signup?offer=ms-azr-0044p&appId=102&ref=paidmedia-social-fb&redirectURL=https%3a%2f%2fazure.microsoft.com%2fen-ca%2fget-started%2fwelcome-to-azure%2f&l=en-ca&correlationId=ead86c34-1f10-49dd-a72b-6918462a2cbf</v></cell></row><row r="3654"><cell r="K3654" t="str"><v>July</v></cell><cell r="L3654"><v>43309</v></cell><cell r="M3654" t="str"><v>Tier 1</v></cell><cell r="N3654" t="str"><v>North America</v></cell><cell r="O3654" t="str"><v>Canada</v></cell><cell r="P3654" t="str"><v>Trial</v></cell><cell r="Q3654" t="str"><v>Social</v></cell><cell r="R3654" t="str"><v>Azure</v></cell><cell r="S3654" t="str"><v>Apps & Infra</v></cell><cell r="T3654" t="str"><v>Developers & ITI's</v></cell><cell r="U3654" t="str"><v>AZR</v></cell><cell r="V3654" t="str"><v>Prospecting</v></cell><cell r="W3654" t="str"><v>Social</v></cell><cell r="X3654" t="str"><v>1x1</v></cell></row><row r="3654"><cell r="AA3654"><v>43307</v></cell><cell r="AB3654" t="str"><v>CAN_gaPMG_AZR_AZR_Q1_19_Trial-Social</v></cell><cell r="AC3654"><v>21337220</v></cell><cell r="AD3654"><v>720192</v></cell><cell r="AE3654" t="str"><v>Facebook</v></cell><cell r="AF3654"><v>3654128</v></cell><cell r="AG3654" t="str"><v>Facebook»AZR»1x1»NA»SOC»ALL»DYN»PRO»D»All»SS»NA»Canvas - Start Free - EN</v></cell><cell r="AH3654"><v>225252365</v></cell><cell r="AI3654" t="str"><v>AzurePlatform_FBCTCcanvaspage-StartFreeCTA-Img2_CAN_1080x143 _SOC_Plat_English_NA_Standard_NA_NA_T2_1</v></cell><cell r="AJ3654"><v>103807590</v></cell></row><row r="3655"><cell r="C3655" t="str"><v>43307Facebook»AZR»1x1»NA»SOC»ALL»DYN»PRO»D»All»SS»NA»Canvas - Start Free - FR</v></cell><cell r="D3655" t="str"><v>43307225525936</v></cell><cell r="E3655" t="str"><v>43307103902551e - FR</v></cell><cell r="F3655" t="str"><v>DCM</v></cell><cell r="G3655" t="str"><v>https://signup.azure.com/signup?offer=ms-azr-0044p&appId=102&ref=paidmedia-social-fb&redirectURL=https%3a%2f%2fazure.microsoft.com%2ffr-ca%2fget-started%2fwelcome-to-azure%2f&l=fr-ca&correlationId=ead86c34-1f10-49dd-a72b-6918462a2cbf</v></cell></row><row r="3655"><cell r="K3655" t="str"><v>July</v></cell><cell r="L3655"><v>43309</v></cell><cell r="M3655" t="str"><v>Tier 1</v></cell><cell r="N3655" t="str"><v>North America</v></cell><cell r="O3655" t="str"><v>Canada</v></cell><cell r="P3655" t="str"><v>Trial</v></cell><cell r="Q3655" t="str"><v>Social</v></cell><cell r="R3655" t="str"><v>Azure</v></cell><cell r="S3655" t="str"><v>Apps & Infra</v></cell><cell r="T3655" t="str"><v>Developers & ITI's</v></cell><cell r="U3655" t="str"><v>AZR</v></cell><cell r="V3655" t="str"><v>Prospecting</v></cell><cell r="W3655" t="str"><v>Social</v></cell><cell r="X3655" t="str"><v>1x1</v></cell></row><row r="3655"><cell r="AA3655"><v>43307</v></cell><cell r="AB3655" t="str"><v>CAN_gaPMG_AZR_AZR_Q1_19_Trial-Social</v></cell><cell r="AC3655"><v>21337220</v></cell><cell r="AD3655"><v>720192</v></cell><cell r="AE3655" t="str"><v>Facebook</v></cell><cell r="AF3655"><v>3654128</v></cell><cell r="AG3655" t="str"><v>Facebook»AZR»1x1»NA»SOC»ALL»DYN»PRO»D»All»SS»NA»Canvas - Start Free - FR</v></cell><cell r="AH3655"><v>225525936</v></cell><cell r="AI3655" t="str"><v>AzurePlatform_FBCTCcanvaspage-StartFreeCTA-Img2_CAN_1080x143 _SOC_Plat_French_NA_Standard_NA_NA_T2_1</v></cell><cell r="AJ3655"><v>103902551</v></cell></row><row r="3656"><cell r="C3656" t="str"><v>43307Facebook»AZR»1x1»SocialBan»NA»ALL»DYN»AUT»D»All»SS»NA»Free Acc Refresh - T2 - EN</v></cell><cell r="D3656" t="str"><v>43307223691810</v></cell><cell r="E3656" t="str"><v>433071030587112 - EN</v></cell><cell r="F3656" t="str"><v>DCM</v></cell><cell r="G3656" t="str"><v>https://azure.microsoft.com/en-CA/free/search/</v></cell></row><row r="3656"><cell r="K3656" t="str"><v>July</v></cell><cell r="L3656"><v>43309</v></cell><cell r="M3656" t="str"><v>Tier 1</v></cell><cell r="N3656" t="str"><v>North America</v></cell><cell r="O3656" t="str"><v>Canada</v></cell><cell r="P3656" t="str"><v>Trial</v></cell><cell r="Q3656" t="str"><v>Social</v></cell><cell r="R3656" t="str"><v>Azure</v></cell><cell r="S3656" t="str"><v>Apps & Infra</v></cell><cell r="T3656" t="str"><v>Developers & ITI's</v></cell><cell r="U3656" t="str"><v>AZR</v></cell><cell r="V3656" t="str"><v>Audience Targeting</v></cell><cell r="W3656" t="str"><v>NotApplicable</v></cell><cell r="X3656" t="str"><v>1x1</v></cell></row><row r="3656"><cell r="AA3656"><v>43307</v></cell><cell r="AB3656" t="str"><v>CAN_gaPMG_AZR_AZR_Q1_19_Trial-Social</v></cell><cell r="AC3656"><v>21337220</v></cell><cell r="AD3656"><v>720192</v></cell><cell r="AE3656" t="str"><v>Facebook</v></cell><cell r="AF3656"><v>3654128</v></cell><cell r="AG3656" t="str"><v>Facebook»AZR»1x1»SocialBan»NA»ALL»DYN»AUT»D»All»SS»NA»Free Acc Refresh - T2 - EN</v></cell><cell r="AH3656"><v>223691810</v></cell><cell r="AI3656" t="str"><v>AzurePlatform_FreeAcctAppsFACEBOOKDeviceChB_CAN_1200x628_SOC_PLAT_EN_Trial_Standard_NA_SU_T2_1.png</v></cell><cell r="AJ3656"><v>103058711</v></cell></row><row r="3657"><cell r="C3657" t="str"><v>43307Facebook»AZR»1x1»SocialBan»NA»ALL»DYN»AUT»D»All»SS»NA»Free Acc Refresh - T3 - EN</v></cell><cell r="D3657" t="str"><v>43307223691807</v></cell><cell r="E3657" t="str"><v>433071029006853 - EN</v></cell><cell r="F3657" t="str"><v>DCM</v></cell><cell r="G3657" t="str"><v>https://azure.microsoft.com/en-CA/free/search/</v></cell></row><row r="3657"><cell r="K3657" t="str"><v>July</v></cell><cell r="L3657"><v>43309</v></cell><cell r="M3657" t="str"><v>Tier 1</v></cell><cell r="N3657" t="str"><v>North America</v></cell><cell r="O3657" t="str"><v>Canada</v></cell><cell r="P3657" t="str"><v>Trial</v></cell><cell r="Q3657" t="str"><v>Social</v></cell><cell r="R3657" t="str"><v>Azure</v></cell><cell r="S3657" t="str"><v>Apps & Infra</v></cell><cell r="T3657" t="str"><v>Developers & ITI's</v></cell><cell r="U3657" t="str"><v>AZR</v></cell><cell r="V3657" t="str"><v>Audience Targeting</v></cell><cell r="W3657" t="str"><v>NotApplicable</v></cell><cell r="X3657" t="str"><v>1x1</v></cell></row><row r="3657"><cell r="AA3657"><v>43307</v></cell><cell r="AB3657" t="str"><v>CAN_gaPMG_AZR_AZR_Q1_19_Trial-Social</v></cell><cell r="AC3657"><v>21337220</v></cell><cell r="AD3657"><v>720192</v></cell><cell r="AE3657" t="str"><v>Facebook</v></cell><cell r="AF3657"><v>3654128</v></cell><cell r="AG3657" t="str"><v>Facebook»AZR»1x1»SocialBan»NA»ALL»DYN»AUT»D»All»SS»NA»Free Acc Refresh - T3 - EN</v></cell><cell r="AH3657"><v>223691807</v></cell><cell r="AI3657" t="str"><v>AzurePlatform_FreeAcctAppsFACEBOOKIllustrationChC_CAN_1200x628_SOC_PLAT_EN_Trial_Standard_NA_SU_T3_1.png</v></cell><cell r="AJ3657"><v>102900685</v></cell></row><row r="3658"><cell r="C3658" t="str"><v>43307Facebook»AZR»1x1»SocialBan»NA»ALL»DYN»AUT»D»All»SS»NA»Free Acc Refresh - T3 - FR</v></cell><cell r="D3658" t="str"><v>43307223691765</v></cell><cell r="E3658" t="str"><v>433071030533323 - FR</v></cell><cell r="F3658" t="str"><v>DCM</v></cell><cell r="G3658" t="str"><v>https://azure.microsoft.com/fr-ca/free/search/</v></cell></row><row r="3658"><cell r="K3658" t="str"><v>July</v></cell><cell r="L3658"><v>43309</v></cell><cell r="M3658" t="str"><v>Tier 1</v></cell><cell r="N3658" t="str"><v>North America</v></cell><cell r="O3658" t="str"><v>Canada</v></cell><cell r="P3658" t="str"><v>Trial</v></cell><cell r="Q3658" t="str"><v>Social</v></cell><cell r="R3658" t="str"><v>Azure</v></cell><cell r="S3658" t="str"><v>Apps & Infra</v></cell><cell r="T3658" t="str"><v>Developers & ITI's</v></cell><cell r="U3658" t="str"><v>AZR</v></cell><cell r="V3658" t="str"><v>Audience Targeting</v></cell><cell r="W3658" t="str"><v>NotApplicable</v></cell><cell r="X3658" t="str"><v>1x1</v></cell></row><row r="3658"><cell r="AA3658"><v>43307</v></cell><cell r="AB3658" t="str"><v>CAN_gaPMG_AZR_AZR_Q1_19_Trial-Social</v></cell><cell r="AC3658"><v>21337220</v></cell><cell r="AD3658"><v>720192</v></cell><cell r="AE3658" t="str"><v>Facebook</v></cell><cell r="AF3658"><v>3654128</v></cell><cell r="AG3658" t="str"><v>Facebook»AZR»1x1»SocialBan»NA»ALL»DYN»AUT»D»All»SS»NA»Free Acc Refresh - T3 - FR</v></cell><cell r="AH3658"><v>223691765</v></cell><cell r="AI3658" t="str"><v>AzurePlatform_FreeAcctAppsFACEBOOKIllustrationChC_CAN_1200x628_SOC_PLAT_FR_Trial_Standard_NA_SU_T3_1.png</v></cell><cell r="AJ3658"><v>103053332</v></cell></row><row r="3659"><cell r="C3659" t="str"><v>43307Facebook»AZR»1x1»SocialBan»NA»ALL»DYN»AUT»D»All»SS»NA»Free Acc Refresh - T4 - EN</v></cell><cell r="D3659" t="str"><v>43307223691813</v></cell><cell r="E3659" t="str"><v>433071030533204 - EN</v></cell><cell r="F3659" t="str"><v>DCM</v></cell><cell r="G3659" t="str"><v>https://azure.microsoft.com/en-CA/free/search/</v></cell></row><row r="3659"><cell r="K3659" t="str"><v>July</v></cell><cell r="L3659"><v>43309</v></cell><cell r="M3659" t="str"><v>Tier 1</v></cell><cell r="N3659" t="str"><v>North America</v></cell><cell r="O3659" t="str"><v>Canada</v></cell><cell r="P3659" t="str"><v>Trial</v></cell><cell r="Q3659" t="str"><v>Social</v></cell><cell r="R3659" t="str"><v>Azure</v></cell><cell r="S3659" t="str"><v>Apps & Infra</v></cell><cell r="T3659" t="str"><v>Developers & ITI's</v></cell><cell r="U3659" t="str"><v>AZR</v></cell><cell r="V3659" t="str"><v>Audience Targeting</v></cell><cell r="W3659" t="str"><v>NotApplicable</v></cell><cell r="X3659" t="str"><v>1x1</v></cell></row><row r="3659"><cell r="AA3659"><v>43307</v></cell><cell r="AB3659" t="str"><v>CAN_gaPMG_AZR_AZR_Q1_19_Trial-Social</v></cell><cell r="AC3659"><v>21337220</v></cell><cell r="AD3659"><v>720192</v></cell><cell r="AE3659" t="str"><v>Facebook</v></cell><cell r="AF3659"><v>3654128</v></cell><cell r="AG3659" t="str"><v>Facebook»AZR»1x1»SocialBan»NA»ALL»DYN»AUT»D»All»SS»NA»Free Acc Refresh - T4 - EN</v></cell><cell r="AH3659"><v>223691813</v></cell><cell r="AI3659" t="str"><v>AzurePlatform_FreeAcctAppsFACEBOOK200CreditChD_CAN_1200x628_SOC_PLAT_EN_Trial_Standard_NA_SU_T4_1.png</v></cell><cell r="AJ3659"><v>103053320</v></cell></row><row r="3660"><cell r="C3660" t="str"><v>43307Facebook»AZR»1x1»SocialBan»NA»ALL»DYN»AUT»D»All»SS»NA»Free Acc Refresh - T5 - EN</v></cell><cell r="D3660" t="str"><v>43307223691816</v></cell><cell r="E3660" t="str"><v>433071029163415 - EN</v></cell><cell r="F3660" t="str"><v>DCM</v></cell><cell r="G3660" t="str"><v>https://azure.microsoft.com/en-CA/free/search/</v></cell></row><row r="3660"><cell r="K3660" t="str"><v>July</v></cell><cell r="L3660"><v>43309</v></cell><cell r="M3660" t="str"><v>Tier 1</v></cell><cell r="N3660" t="str"><v>North America</v></cell><cell r="O3660" t="str"><v>Canada</v></cell><cell r="P3660" t="str"><v>Trial</v></cell><cell r="Q3660" t="str"><v>Social</v></cell><cell r="R3660" t="str"><v>Azure</v></cell><cell r="S3660" t="str"><v>Apps & Infra</v></cell><cell r="T3660" t="str"><v>Developers & ITI's</v></cell><cell r="U3660" t="str"><v>AZR</v></cell><cell r="V3660" t="str"><v>Audience Targeting</v></cell><cell r="W3660" t="str"><v>NotApplicable</v></cell><cell r="X3660" t="str"><v>1x1</v></cell></row><row r="3660"><cell r="AA3660"><v>43307</v></cell><cell r="AB3660" t="str"><v>CAN_gaPMG_AZR_AZR_Q1_19_Trial-Social</v></cell><cell r="AC3660"><v>21337220</v></cell><cell r="AD3660"><v>720192</v></cell><cell r="AE3660" t="str"><v>Facebook</v></cell><cell r="AF3660"><v>3654128</v></cell><cell r="AG3660" t="str"><v>Facebook»AZR»1x1»SocialBan»NA»ALL»DYN»AUT»D»All»SS»NA»Free Acc Refresh - T5 - EN</v></cell><cell r="AH3660"><v>223691816</v></cell><cell r="AI3660" t="str"><v>AzurePlatform_FreeAcctAppsFACEBOOK12monthsChE_CAN_1200x628_SOC_PLAT_EN_Trial_Standard_NA_SU_T5_1.png</v></cell><cell r="AJ3660"><v>102916341</v></cell></row><row r="3661"><cell r="C3661" t="str"><v>43307Facebook»AZR»1x1»SocialBan»NA»ALL»DYN»RT»D»All»SS»NA» Free Account Retargeting OSS - T2 - EN</v></cell><cell r="D3661" t="str"><v>43307223691831</v></cell><cell r="E3661" t="str"><v>433071029138002 - EN</v></cell><cell r="F3661" t="str"><v>DCM</v></cell><cell r="G3661" t="str"><v>https://azure.microsoft.com/en-ca/free/open-source/search/</v></cell></row><row r="3661"><cell r="K3661" t="str"><v>July</v></cell><cell r="L3661"><v>43309</v></cell><cell r="M3661" t="str"><v>Tier 1</v></cell><cell r="N3661" t="str"><v>North America</v></cell><cell r="O3661" t="str"><v>Canada</v></cell><cell r="P3661" t="str"><v>Trial</v></cell><cell r="Q3661" t="str"><v>Social</v></cell><cell r="R3661" t="str"><v>Azure</v></cell><cell r="S3661" t="str"><v>Apps & Infra</v></cell><cell r="T3661" t="str"><v>Developers & ITI's</v></cell><cell r="U3661" t="str"><v>AZR</v></cell><cell r="V3661" t="str"><v>Retargeting</v></cell><cell r="W3661" t="str"><v>NotApplicable</v></cell><cell r="X3661" t="str"><v>1x1</v></cell></row><row r="3661"><cell r="AA3661"><v>43307</v></cell><cell r="AB3661" t="str"><v>CAN_gaPMG_AZR_AZR_Q1_19_Trial-Social</v></cell><cell r="AC3661"><v>21337220</v></cell><cell r="AD3661"><v>720192</v></cell><cell r="AE3661" t="str"><v>Facebook</v></cell><cell r="AF3661"><v>3654128</v></cell><cell r="AG3661" t="str"><v>Facebook»AZR»1x1»SocialBan»NA»ALL»DYN»RT»D»All»SS»NA» Free Account Retargeting OSS - T2 - EN</v></cell><cell r="AH3661"><v>223691831</v></cell><cell r="AI3661" t="str"><v>AzurePlatform_FreeAcctRetargetingOSSFB-Logos-ChG_CAN_1200x628_SOC_Plat_EN_Free Account_Standard_NA_SU_T2_1</v></cell><cell r="AJ3661"><v>102913800</v></cell></row><row r="3662"><cell r="C3662" t="str"><v>43307Facebook»AZR»1x1»SocialBan»NA»ALL»DYN»RT»D»All»SS»NA»Free Account Retargeting Generic - T2 - EN</v></cell><cell r="D3662" t="str"><v>43307223691834</v></cell><cell r="E3662" t="str"><v>433071029029532 - EN</v></cell><cell r="F3662" t="str"><v>DCM</v></cell><cell r="G3662" t="str"><v>https://azure.microsoft.com/en-CA/free/search/</v></cell></row><row r="3662"><cell r="K3662" t="str"><v>July</v></cell><cell r="L3662"><v>43309</v></cell><cell r="M3662" t="str"><v>Tier 1</v></cell><cell r="N3662" t="str"><v>North America</v></cell><cell r="O3662" t="str"><v>Canada</v></cell><cell r="P3662" t="str"><v>Trial</v></cell><cell r="Q3662" t="str"><v>Social</v></cell><cell r="R3662" t="str"><v>Azure</v></cell><cell r="S3662" t="str"><v>Apps & Infra</v></cell><cell r="T3662" t="str"><v>Developers & ITI's</v></cell><cell r="U3662" t="str"><v>AZR</v></cell><cell r="V3662" t="str"><v>Retargeting</v></cell><cell r="W3662" t="str"><v>NotApplicable</v></cell><cell r="X3662" t="str"><v>1x1</v></cell></row><row r="3662"><cell r="AA3662"><v>43307</v></cell><cell r="AB3662" t="str"><v>CAN_gaPMG_AZR_AZR_Q1_19_Trial-Social</v></cell><cell r="AC3662"><v>21337220</v></cell><cell r="AD3662"><v>720192</v></cell><cell r="AE3662" t="str"><v>Facebook</v></cell><cell r="AF3662"><v>3654128</v></cell><cell r="AG3662" t="str"><v>Facebook»AZR»1x1»SocialBan»NA»ALL»DYN»RT»D»All»SS»NA»Free Account Retargeting Generic - T2 - EN</v></cell><cell r="AH3662"><v>223691834</v></cell><cell r="AI3662" t="str"><v>AzurePlatform_FreeAcctRetargetingFB-GlobalAlt-ChB_CAN_1200x628_SOC_Plat_EN_Free Account_Standard_NA_SU_T2_1</v></cell><cell r="AJ3662"><v>102902953</v></cell></row><row r="3663"><cell r="C3663" t="str"><v>43307Facebook»AZR»1x1»SocialBan»NA»ALL»DYN»RT»D»All»SS»NA»Free Account Retargeting Generic - T2 - FR</v></cell><cell r="D3663" t="str"><v>43307223691792</v></cell><cell r="E3663" t="str"><v>433071029018942 - FR</v></cell><cell r="F3663" t="str"><v>DCM</v></cell><cell r="G3663" t="str"><v>https://azure.microsoft.com/fr-ca/free/search/</v></cell></row><row r="3663"><cell r="K3663" t="str"><v>July</v></cell><cell r="L3663"><v>43309</v></cell><cell r="M3663" t="str"><v>Tier 1</v></cell><cell r="N3663" t="str"><v>North America</v></cell><cell r="O3663" t="str"><v>Canada</v></cell><cell r="P3663" t="str"><v>Trial</v></cell><cell r="Q3663" t="str"><v>Social</v></cell><cell r="R3663" t="str"><v>Azure</v></cell><cell r="S3663" t="str"><v>Apps & Infra</v></cell><cell r="T3663" t="str"><v>Developers & ITI's</v></cell><cell r="U3663" t="str"><v>AZR</v></cell><cell r="V3663" t="str"><v>Retargeting</v></cell><cell r="W3663" t="str"><v>NotApplicable</v></cell><cell r="X3663" t="str"><v>1x1</v></cell></row><row r="3663"><cell r="AA3663"><v>43307</v></cell><cell r="AB3663" t="str"><v>CAN_gaPMG_AZR_AZR_Q1_19_Trial-Social</v></cell><cell r="AC3663"><v>21337220</v></cell><cell r="AD3663"><v>720192</v></cell><cell r="AE3663" t="str"><v>Facebook</v></cell><cell r="AF3663"><v>3654128</v></cell><cell r="AG3663" t="str"><v>Facebook»AZR»1x1»SocialBan»NA»ALL»DYN»RT»D»All»SS»NA»Free Account Retargeting Generic - T2 - FR</v></cell><cell r="AH3663"><v>223691792</v></cell><cell r="AI3663" t="str"><v>AzurePlatform_FreeAcctRetargetingFB-GlobalAlt-ChB_CAN_1200x628_SOC_Plat_FR_Free Account_Standard_NA_SU_T2_1</v></cell><cell r="AJ3663"><v>102901894</v></cell></row><row r="3664"><cell r="C3664" t="str"><v>43307Facebook»AZR»1x1»SocialBan»NA»ALL»DYN»RT»D»All»SS»NA»Free Account Retargeting Generic - T3 - EN</v></cell><cell r="D3664" t="str"><v>43307223691819</v></cell><cell r="E3664" t="str"><v>433071029006823 - EN</v></cell><cell r="F3664" t="str"><v>DCM</v></cell><cell r="G3664" t="str"><v>https://azure.microsoft.com/en-CA/free/search/</v></cell></row><row r="3664"><cell r="K3664" t="str"><v>July</v></cell><cell r="L3664"><v>43309</v></cell><cell r="M3664" t="str"><v>Tier 1</v></cell><cell r="N3664" t="str"><v>North America</v></cell><cell r="O3664" t="str"><v>Canada</v></cell><cell r="P3664" t="str"><v>Trial</v></cell><cell r="Q3664" t="str"><v>Social</v></cell><cell r="R3664" t="str"><v>Azure</v></cell><cell r="S3664" t="str"><v>Apps & Infra</v></cell><cell r="T3664" t="str"><v>Developers & ITI's</v></cell><cell r="U3664" t="str"><v>AZR</v></cell><cell r="V3664" t="str"><v>Retargeting</v></cell><cell r="W3664" t="str"><v>NotApplicable</v></cell><cell r="X3664" t="str"><v>1x1</v></cell></row><row r="3664"><cell r="AA3664"><v>43307</v></cell><cell r="AB3664" t="str"><v>CAN_gaPMG_AZR_AZR_Q1_19_Trial-Social</v></cell><cell r="AC3664"><v>21337220</v></cell><cell r="AD3664"><v>720192</v></cell><cell r="AE3664" t="str"><v>Facebook</v></cell><cell r="AF3664"><v>3654128</v></cell><cell r="AG3664" t="str"><v>Facebook»AZR»1x1»SocialBan»NA»ALL»DYN»RT»D»All»SS»NA»Free Account Retargeting Generic - T3 - EN</v></cell><cell r="AH3664"><v>223691819</v></cell><cell r="AI3664" t="str"><v>AzurePlatform_FreeAcctRetargetingFB-Animated-ChC_CAN_1200x628_SOC_Plat_EN_Free Account_Standard_ANI_SU_T3_1</v></cell><cell r="AJ3664"><v>102900682</v></cell></row><row r="3665"><cell r="C3665" t="str"><v>43307Facebook»AZR»1x1»SocialBan»NA»ALL»DYN»RT»D»All»SS»NA»Free Account Retargeting Generic - T3 - FR</v></cell><cell r="D3665" t="str"><v>43307223691777</v></cell><cell r="E3665" t="str"><v>433071029006973 - FR</v></cell><cell r="F3665" t="str"><v>DCM</v></cell><cell r="G3665" t="str"><v>https://azure.microsoft.com/fr-ca/free/search/</v></cell></row><row r="3665"><cell r="K3665" t="str"><v>July</v></cell><cell r="L3665"><v>43309</v></cell><cell r="M3665" t="str"><v>Tier 1</v></cell><cell r="N3665" t="str"><v>North America</v></cell><cell r="O3665" t="str"><v>Canada</v></cell><cell r="P3665" t="str"><v>Trial</v></cell><cell r="Q3665" t="str"><v>Social</v></cell><cell r="R3665" t="str"><v>Azure</v></cell><cell r="S3665" t="str"><v>Apps & Infra</v></cell><cell r="T3665" t="str"><v>Developers & ITI's</v></cell><cell r="U3665" t="str"><v>AZR</v></cell><cell r="V3665" t="str"><v>Retargeting</v></cell><cell r="W3665" t="str"><v>NotApplicable</v></cell><cell r="X3665" t="str"><v>1x1</v></cell></row><row r="3665"><cell r="AA3665"><v>43307</v></cell><cell r="AB3665" t="str"><v>CAN_gaPMG_AZR_AZR_Q1_19_Trial-Social</v></cell><cell r="AC3665"><v>21337220</v></cell><cell r="AD3665"><v>720192</v></cell><cell r="AE3665" t="str"><v>Facebook</v></cell><cell r="AF3665"><v>3654128</v></cell><cell r="AG3665" t="str"><v>Facebook»AZR»1x1»SocialBan»NA»ALL»DYN»RT»D»All»SS»NA»Free Account Retargeting Generic - T3 - FR</v></cell><cell r="AH3665"><v>223691777</v></cell><cell r="AI3665" t="str"><v>AzurePlatform_FreeAcctRetargetingFB-Animated-ChC_CAN_1200x628_SOC_Plat_FR_Free Account_Standard_ANI_SU_T3_1</v></cell><cell r="AJ3665"><v>102900697</v></cell></row><row r="3666"><cell r="C3666" t="str"><v>43307Facebook»AZR»1x1»SocialBan»NA»ALL»DYN»RT»D»All»SS»NA»Free Account Retargeting VM - T1 - EN</v></cell><cell r="D3666" t="str"><v>43307223691825</v></cell><cell r="E3666" t="str"><v>433071029163381 - EN</v></cell><cell r="F3666" t="str"><v>DCM</v></cell><cell r="G3666" t="str"><v>https://azure.microsoft.com/en-ca/free/virtual-machines/search/</v></cell></row><row r="3666"><cell r="K3666" t="str"><v>July</v></cell><cell r="L3666"><v>43309</v></cell><cell r="M3666" t="str"><v>Tier 1</v></cell><cell r="N3666" t="str"><v>North America</v></cell><cell r="O3666" t="str"><v>Canada</v></cell><cell r="P3666" t="str"><v>Trial</v></cell><cell r="Q3666" t="str"><v>Social</v></cell><cell r="R3666" t="str"><v>Azure</v></cell><cell r="S3666" t="str"><v>Apps & Infra</v></cell><cell r="T3666" t="str"><v>Developers & ITI's</v></cell><cell r="U3666" t="str"><v>AZR</v></cell><cell r="V3666" t="str"><v>Retargeting</v></cell><cell r="W3666" t="str"><v>NotApplicable</v></cell><cell r="X3666" t="str"><v>1x1</v></cell></row><row r="3666"><cell r="AA3666"><v>43307</v></cell><cell r="AB3666" t="str"><v>CAN_gaPMG_AZR_AZR_Q1_19_Trial-Social</v></cell><cell r="AC3666"><v>21337220</v></cell><cell r="AD3666"><v>720192</v></cell><cell r="AE3666" t="str"><v>Facebook</v></cell><cell r="AF3666"><v>3654128</v></cell><cell r="AG3666" t="str"><v>Facebook»AZR»1x1»SocialBan»NA»ALL»DYN»RT»D»All»SS»NA»Free Account Retargeting VM - T1 - EN</v></cell><cell r="AH3666"><v>223691825</v></cell><cell r="AI3666" t="str"><v>AzurePlatform_FreeAcctRetargetingVMFB-750Hrs-ChD_CAN_1200x628_SOC_Plat_EN_Free Account_Standard_NA_SU_T1_1</v></cell><cell r="AJ3666"><v>102916338</v></cell></row><row r="3667"><cell r="C3667" t="str"><v>43307Facebook»AZR»1x1»SocialBan»NA»ALL»DYN»RT»D»All»SS»NA»Free Account Retargeting VM - T1 - FR</v></cell><cell r="D3667" t="str"><v>43307223691783</v></cell><cell r="E3667" t="str"><v>433071030587231 - FR</v></cell><cell r="F3667" t="str"><v>DCM</v></cell><cell r="G3667" t="str"><v>https://azure.microsoft.com/fr-ca/free/virtual-machines/search/</v></cell></row><row r="3667"><cell r="K3667" t="str"><v>July</v></cell><cell r="L3667"><v>43309</v></cell><cell r="M3667" t="str"><v>Tier 1</v></cell><cell r="N3667" t="str"><v>North America</v></cell><cell r="O3667" t="str"><v>Canada</v></cell><cell r="P3667" t="str"><v>Trial</v></cell><cell r="Q3667" t="str"><v>Social</v></cell><cell r="R3667" t="str"><v>Azure</v></cell><cell r="S3667" t="str"><v>Apps & Infra</v></cell><cell r="T3667" t="str"><v>Developers & ITI's</v></cell><cell r="U3667" t="str"><v>AZR</v></cell><cell r="V3667" t="str"><v>Retargeting</v></cell><cell r="W3667" t="str"><v>NotApplicable</v></cell><cell r="X3667" t="str"><v>1x1</v></cell></row><row r="3667"><cell r="AA3667"><v>43307</v></cell><cell r="AB3667" t="str"><v>CAN_gaPMG_AZR_AZR_Q1_19_Trial-Social</v></cell><cell r="AC3667"><v>21337220</v></cell><cell r="AD3667"><v>720192</v></cell><cell r="AE3667" t="str"><v>Facebook</v></cell><cell r="AF3667"><v>3654128</v></cell><cell r="AG3667" t="str"><v>Facebook»AZR»1x1»SocialBan»NA»ALL»DYN»RT»D»All»SS»NA»Free Account Retargeting VM - T1 - FR</v></cell><cell r="AH3667"><v>223691783</v></cell><cell r="AI3667" t="str"><v>AzurePlatform_FreeAcctRetargetingVMFB-750Hrs-ChD_CAN_1200x628_SOC_Plat_FR_Free Account_Standard_NA_SU_T1_1</v></cell><cell r="AJ3667"><v>103058723</v></cell></row><row r="3668"><cell r="C3668" t="str"><v>43307Facebook»AZR»1x1»SocialBan»NA»ALL»DYN»RT»D»All»SS»NA»Free Account Retargeting VM - T2 - EN</v></cell><cell r="D3668" t="str"><v>43307223691822</v></cell><cell r="E3668" t="str"><v>433071030587082 - EN</v></cell><cell r="F3668" t="str"><v>DCM</v></cell><cell r="G3668" t="str"><v>https://azure.microsoft.com/en-ca/free/virtual-machines/search/</v></cell></row><row r="3668"><cell r="K3668" t="str"><v>July</v></cell><cell r="L3668"><v>43309</v></cell><cell r="M3668" t="str"><v>Tier 1</v></cell><cell r="N3668" t="str"><v>North America</v></cell><cell r="O3668" t="str"><v>Canada</v></cell><cell r="P3668" t="str"><v>Trial</v></cell><cell r="Q3668" t="str"><v>Social</v></cell><cell r="R3668" t="str"><v>Azure</v></cell><cell r="S3668" t="str"><v>Apps & Infra</v></cell><cell r="T3668" t="str"><v>Developers & ITI's</v></cell><cell r="U3668" t="str"><v>AZR</v></cell><cell r="V3668" t="str"><v>Retargeting</v></cell><cell r="W3668" t="str"><v>NotApplicable</v></cell><cell r="X3668" t="str"><v>1x1</v></cell></row><row r="3668"><cell r="AA3668"><v>43307</v></cell><cell r="AB3668" t="str"><v>CAN_gaPMG_AZR_AZR_Q1_19_Trial-Social</v></cell><cell r="AC3668"><v>21337220</v></cell><cell r="AD3668"><v>720192</v></cell><cell r="AE3668" t="str"><v>Facebook</v></cell><cell r="AF3668"><v>3654128</v></cell><cell r="AG3668" t="str"><v>Facebook»AZR»1x1»SocialBan»NA»ALL»DYN»RT»D»All»SS»NA»Free Account Retargeting VM - T2 - EN</v></cell><cell r="AH3668"><v>223691822</v></cell><cell r="AI3668" t="str"><v>AzurePlatform_FreeAcctRetargetingVMFB-OnDemand-ChE_CAN_1200x628_SOC_Plat_EN_Free Account_Standard_NA_SU_T2_1</v></cell><cell r="AJ3668"><v>103058708</v></cell></row><row r="3669"><cell r="C3669" t="str"><v>43307Facebook»AZR»1x1»SocialBan»NA»ALL»DYN»RT»D»All»SS»NA»Free Account Retargeting VM - T2 - FR</v></cell><cell r="D3669" t="str"><v>43307223691780</v></cell><cell r="E3669" t="str"><v>433071030587262 - FR</v></cell><cell r="F3669" t="str"><v>DCM</v></cell><cell r="G3669" t="str"><v>https://azure.microsoft.com/fr-ca/free/virtual-machines/search/</v></cell></row><row r="3669"><cell r="K3669" t="str"><v>July</v></cell><cell r="L3669"><v>43309</v></cell><cell r="M3669" t="str"><v>Tier 1</v></cell><cell r="N3669" t="str"><v>North America</v></cell><cell r="O3669" t="str"><v>Canada</v></cell><cell r="P3669" t="str"><v>Trial</v></cell><cell r="Q3669" t="str"><v>Social</v></cell><cell r="R3669" t="str"><v>Azure</v></cell><cell r="S3669" t="str"><v>Apps & Infra</v></cell><cell r="T3669" t="str"><v>Developers & ITI's</v></cell><cell r="U3669" t="str"><v>AZR</v></cell><cell r="V3669" t="str"><v>Retargeting</v></cell><cell r="W3669" t="str"><v>NotApplicable</v></cell><cell r="X3669" t="str"><v>1x1</v></cell></row><row r="3669"><cell r="AA3669"><v>43307</v></cell><cell r="AB3669" t="str"><v>CAN_gaPMG_AZR_AZR_Q1_19_Trial-Social</v></cell><cell r="AC3669"><v>21337220</v></cell><cell r="AD3669"><v>720192</v></cell><cell r="AE3669" t="str"><v>Facebook</v></cell><cell r="AF3669"><v>3654128</v></cell><cell r="AG3669" t="str"><v>Facebook»AZR»1x1»SocialBan»NA»ALL»DYN»RT»D»All»SS»NA»Free Account Retargeting VM - T2 - FR</v></cell><cell r="AH3669"><v>223691780</v></cell><cell r="AI3669" t="str"><v>AzurePlatform_FreeAcctRetargetingVMFB-OnDemand-ChE_CAN_1200x628_SOC_Plat_FR_Free Account_Standard_NA_SU_T2_1</v></cell><cell r="AJ3669"><v>103058726</v></cell></row><row r="3670"><cell r="C3670" t="str"><v>43307Facebook»DEV-ITP-AZR-FB|CanvasAds|Interesttargeting»1x1»TextLink»CAN»DT»CPM»AUT»W»NA»SS»NA»39684020-11000</v></cell><cell r="D3670" t="str"><v>43307224009494</v></cell><cell r="E3670" t="str"><v>43307103236186-11000</v></cell><cell r="F3670" t="str"><v>DCM</v></cell><cell r="G3670" t="str"><v>https://signup.azure.com/signup?offer=ms-azr-0044p&appId=102&ref=paidmedia-social-fb&redirectURL=https%3a%2f%2fazure.microsoft.com%2fde-de%2fget-started%2fwelcome-to-azure%2f&l=de-de&correlationId=ead86c34-1f10-49dd-a72b-6918462a2cbf</v></cell></row><row r="3670"><cell r="K3670" t="str"><v>July</v></cell><cell r="L3670"><v>43309</v></cell><cell r="M3670" t="str"><v>Tier 1</v></cell><cell r="N3670" t="str"><v>EMEA</v></cell><cell r="O3670" t="str"><v>Germany</v></cell><cell r="P3670" t="str"><v>Trial</v></cell><cell r="Q3670" t="str"><v>Social</v></cell><cell r="R3670" t="str"><v>Azure</v></cell><cell r="S3670" t="str"><v>Apps & Infra</v></cell><cell r="T3670" t="str"><v>Developers & ITI's</v></cell><cell r="U3670" t="str"><v>DEV-ITP-AZR-FB|CanvasAds|Interesttargeting</v></cell><cell r="V3670" t="str"><v>Audience Targeting</v></cell><cell r="W3670" t="str"><v>Canvas Ad</v></cell><cell r="X3670" t="str"><v>1x1</v></cell></row><row r="3670"><cell r="AA3670"><v>43307</v></cell><cell r="AB3670" t="str"><v>DEU_gaPMG_AZR_AZR_Q1_19_Trial-Social- 39684</v></cell><cell r="AC3670"><v>21359477</v></cell><cell r="AD3670"><v>720194</v></cell><cell r="AE3670" t="str"><v>Facebook</v></cell><cell r="AF3670"><v>3654128</v></cell><cell r="AG3670" t="str"><v>Facebook»DEV-ITP-AZR-FB|CanvasAds|Interesttargeting»1x1»TextLink»CAN»DT»CPM»AUT»W»NA»SS»NA»39684020-11000</v></cell><cell r="AH3670"><v>224009494</v></cell><cell r="AI3670" t="str"><v>AzurePlatform_FBCTCBasicMotion-StartFreeCT_DEU_10s_ISV_PLAT_DE_Trial_Standard_STAN_TN_T1_1</v></cell><cell r="AJ3670"><v>103236186</v></cell></row><row r="3671"><cell r="C3671" t="str"><v>43307Facebook»DEV-ITP-AZR-FB|CanvasAds|Interesttargeting»1x1»TextLink»CAN»DT»CPM»AUT»W»NA»SS»NA»39684020-11000</v></cell><cell r="D3671" t="str"><v>43307224009494</v></cell><cell r="E3671" t="str"><v>43307103236189-11000</v></cell><cell r="F3671" t="str"><v>DCM</v></cell><cell r="G3671" t="str"><v>https://azure.microsoft.com/de-de/pricing/purchase-options/</v></cell></row><row r="3671"><cell r="K3671" t="str"><v>July</v></cell><cell r="L3671"><v>43309</v></cell><cell r="M3671" t="str"><v>Tier 1</v></cell><cell r="N3671" t="str"><v>EMEA</v></cell><cell r="O3671" t="str"><v>Germany</v></cell><cell r="P3671" t="str"><v>Trial</v></cell><cell r="Q3671" t="str"><v>Social</v></cell><cell r="R3671" t="str"><v>Azure</v></cell><cell r="S3671" t="str"><v>Apps & Infra</v></cell><cell r="T3671" t="str"><v>Developers & ITI's</v></cell><cell r="U3671" t="str"><v>DEV-ITP-AZR-FB|CanvasAds|Interesttargeting</v></cell><cell r="V3671" t="str"><v>Audience Targeting</v></cell><cell r="W3671" t="str"><v>Canvas Ad</v></cell><cell r="X3671" t="str"><v>1x1</v></cell></row><row r="3671"><cell r="AA3671"><v>43307</v></cell><cell r="AB3671" t="str"><v>DEU_gaPMG_AZR_AZR_Q1_19_Trial-Social- 39684</v></cell><cell r="AC3671"><v>21359477</v></cell><cell r="AD3671"><v>720194</v></cell><cell r="AE3671" t="str"><v>Facebook</v></cell><cell r="AF3671"><v>3654128</v></cell><cell r="AG3671" t="str"><v>Facebook»DEV-ITP-AZR-FB|CanvasAds|Interesttargeting»1x1»TextLink»CAN»DT»CPM»AUT»W»NA»SS»NA»39684020-11000</v></cell><cell r="AH3671"><v>224009494</v></cell><cell r="AI3671" t="str"><v>AzurePlatform_FBCTCBenefit2inMotion-BuyNow_DEU_14s_ISV_PLAT_DE_Trial_Standard_STAN_TN_T4_1</v></cell><cell r="AJ3671"><v>103236189</v></cell></row><row r="3672"><cell r="C3672" t="str"><v>43307Facebook»DEV-ITP-AZR-FB|CanvasAds|Interesttargeting»1x1»TextLink»CAN»DT»CPM»AUT»W»NA»SS»NA»39684020-11000</v></cell><cell r="D3672" t="str"><v>43307224009494</v></cell><cell r="E3672" t="str"><v>43307103237290-11000</v></cell><cell r="F3672" t="str"><v>DCM</v></cell><cell r="G3672" t="str"><v>https://signup.azure.com/signup?offer=ms-azr-0044p&appId=102&ref=paidmedia-social-fb&redirectURL=https%3a%2f%2fazure.microsoft.com%2fde-de%2fget-started%2fwelcome-to-azure%2f&l=de-de&correlationId=ead86c34-1f10-49dd-a72b-6918462a2cbf</v></cell></row><row r="3672"><cell r="K3672" t="str"><v>July</v></cell><cell r="L3672"><v>43309</v></cell><cell r="M3672" t="str"><v>Tier 1</v></cell><cell r="N3672" t="str"><v>EMEA</v></cell><cell r="O3672" t="str"><v>Germany</v></cell><cell r="P3672" t="str"><v>Trial</v></cell><cell r="Q3672" t="str"><v>Social</v></cell><cell r="R3672" t="str"><v>Azure</v></cell><cell r="S3672" t="str"><v>Apps & Infra</v></cell><cell r="T3672" t="str"><v>Developers & ITI's</v></cell><cell r="U3672" t="str"><v>DEV-ITP-AZR-FB|CanvasAds|Interesttargeting</v></cell><cell r="V3672" t="str"><v>Audience Targeting</v></cell><cell r="W3672" t="str"><v>Canvas Ad</v></cell><cell r="X3672" t="str"><v>1x1</v></cell></row><row r="3672"><cell r="AA3672"><v>43307</v></cell><cell r="AB3672" t="str"><v>DEU_gaPMG_AZR_AZR_Q1_19_Trial-Social- 39684</v></cell><cell r="AC3672"><v>21359477</v></cell><cell r="AD3672"><v>720194</v></cell><cell r="AE3672" t="str"><v>Facebook</v></cell><cell r="AF3672"><v>3654128</v></cell><cell r="AG3672" t="str"><v>Facebook»DEV-ITP-AZR-FB|CanvasAds|Interesttargeting»1x1»TextLink»CAN»DT»CPM»AUT»W»NA»SS»NA»39684020-11000</v></cell><cell r="AH3672"><v>224009494</v></cell><cell r="AI3672" t="str"><v>AzurePlatform_FBCTCBenefit2inMotion-StartFreeCT_DEU_14s_ISV_PLAT_DE_Trial_Standard_STAN_TN_T4_1</v></cell><cell r="AJ3672"><v>103237290</v></cell></row><row r="3673"><cell r="C3673" t="str"><v>43307Facebook»DEV-ITP-AZR-FB|CanvasAds|Interesttargeting»1x1»TextLink»CAN»DT»CPM»AUT»W»NA»SS»NA»39684020-11000</v></cell><cell r="D3673" t="str"><v>43307224009494</v></cell><cell r="E3673" t="str"><v>43307103350059-11000</v></cell><cell r="F3673" t="str"><v>DCM</v></cell><cell r="G3673" t="str"><v>https://azure.microsoft.com/de-de/pricing/purchase-options/</v></cell></row><row r="3673"><cell r="K3673" t="str"><v>July</v></cell><cell r="L3673"><v>43309</v></cell><cell r="M3673" t="str"><v>Tier 1</v></cell><cell r="N3673" t="str"><v>EMEA</v></cell><cell r="O3673" t="str"><v>Germany</v></cell><cell r="P3673" t="str"><v>Trial</v></cell><cell r="Q3673" t="str"><v>Social</v></cell><cell r="R3673" t="str"><v>Azure</v></cell><cell r="S3673" t="str"><v>Apps & Infra</v></cell><cell r="T3673" t="str"><v>Developers & ITI's</v></cell><cell r="U3673" t="str"><v>DEV-ITP-AZR-FB|CanvasAds|Interesttargeting</v></cell><cell r="V3673" t="str"><v>Audience Targeting</v></cell><cell r="W3673" t="str"><v>Canvas Ad</v></cell><cell r="X3673" t="str"><v>1x1</v></cell></row><row r="3673"><cell r="AA3673"><v>43307</v></cell><cell r="AB3673" t="str"><v>DEU_gaPMG_AZR_AZR_Q1_19_Trial-Social- 39684</v></cell><cell r="AC3673"><v>21359477</v></cell><cell r="AD3673"><v>720194</v></cell><cell r="AE3673" t="str"><v>Facebook</v></cell><cell r="AF3673"><v>3654128</v></cell><cell r="AG3673" t="str"><v>Facebook»DEV-ITP-AZR-FB|CanvasAds|Interesttargeting»1x1»TextLink»CAN»DT»CPM»AUT»W»NA»SS»NA»39684020-11000</v></cell><cell r="AH3673"><v>224009494</v></cell><cell r="AI3673" t="str"><v>AzurePlatform_FBCTCBrandinMotion-BuyNow_DEU_12s_ISV_PLAT_DE_Trial_Standard_STAN_TN_T2_1</v></cell><cell r="AJ3673"><v>103350059</v></cell></row><row r="3674"><cell r="C3674" t="str"><v>43307Facebook»DEV-ITP-AZR-FB|CanvasAds|Interesttargeting»1x1»TextLink»CAN»DT»CPM»AUT»W»NA»SS»NA»39684020-11000</v></cell><cell r="D3674" t="str"><v>43307224009494</v></cell><cell r="E3674" t="str"><v>43307103237293-11000</v></cell><cell r="F3674" t="str"><v>DCM</v></cell><cell r="G3674" t="str"><v>https://signup.azure.com/signup?offer=ms-azr-0044p&appId=102&ref=paidmedia-social-fb&redirectURL=https%3a%2f%2fazure.microsoft.com%2fde-de%2fget-started%2fwelcome-to-azure%2f&l=de-de&correlationId=ead86c34-1f10-49dd-a72b-6918462a2cbf</v></cell></row><row r="3674"><cell r="K3674" t="str"><v>July</v></cell><cell r="L3674"><v>43309</v></cell><cell r="M3674" t="str"><v>Tier 1</v></cell><cell r="N3674" t="str"><v>EMEA</v></cell><cell r="O3674" t="str"><v>Germany</v></cell><cell r="P3674" t="str"><v>Trial</v></cell><cell r="Q3674" t="str"><v>Social</v></cell><cell r="R3674" t="str"><v>Azure</v></cell><cell r="S3674" t="str"><v>Apps & Infra</v></cell><cell r="T3674" t="str"><v>Developers & ITI's</v></cell><cell r="U3674" t="str"><v>DEV-ITP-AZR-FB|CanvasAds|Interesttargeting</v></cell><cell r="V3674" t="str"><v>Audience Targeting</v></cell><cell r="W3674" t="str"><v>Canvas Ad</v></cell><cell r="X3674" t="str"><v>1x1</v></cell></row><row r="3674"><cell r="AA3674"><v>43307</v></cell><cell r="AB3674" t="str"><v>DEU_gaPMG_AZR_AZR_Q1_19_Trial-Social- 39684</v></cell><cell r="AC3674"><v>21359477</v></cell><cell r="AD3674"><v>720194</v></cell><cell r="AE3674" t="str"><v>Facebook</v></cell><cell r="AF3674"><v>3654128</v></cell><cell r="AG3674" t="str"><v>Facebook»DEV-ITP-AZR-FB|CanvasAds|Interesttargeting»1x1»TextLink»CAN»DT»CPM»AUT»W»NA»SS»NA»39684020-11000</v></cell><cell r="AH3674"><v>224009494</v></cell><cell r="AI3674" t="str"><v>AzurePlatform_FBCTCBrandinMotion-StartFreeCT_DEU_12s_ISV_PLAT_DE_Trial_Standard_STAN_TN_T2_1</v></cell><cell r="AJ3674"><v>103237293</v></cell></row><row r="3675"><cell r="C3675" t="str"><v>43307Facebook»DEV-ITP-AZR-FB|LinkAd|CustomerAudienceRetargeting»1x1»TextLink»LIA»DT»CPM»RT»W»NA»SS»NA»39684019-11000</v></cell><cell r="D3675" t="str"><v>43307224010415</v></cell><cell r="E3675" t="str"><v>43307103040320-11000</v></cell><cell r="F3675" t="str"><v>DCM</v></cell><cell r="G3675" t="str"><v>https://azure.microsoft.com/de-de/free/search/</v></cell></row><row r="3675"><cell r="K3675" t="str"><v>July</v></cell><cell r="L3675"><v>43309</v></cell><cell r="M3675" t="str"><v>Tier 1</v></cell><cell r="N3675" t="str"><v>EMEA</v></cell><cell r="O3675" t="str"><v>Germany</v></cell><cell r="P3675" t="str"><v>Trial</v></cell><cell r="Q3675" t="str"><v>Social</v></cell><cell r="R3675" t="str"><v>Azure</v></cell><cell r="S3675" t="str"><v>Apps & Infra</v></cell><cell r="T3675" t="str"><v>Developers & ITI's</v></cell><cell r="U3675" t="str"><v>DEV-ITP-AZR-FB|LinkAd|CustomerAudienceRetargeting</v></cell><cell r="V3675" t="str"><v>Retargeting</v></cell><cell r="W3675" t="str"><v>Link Ad</v></cell><cell r="X3675" t="str"><v>1x1</v></cell></row><row r="3675"><cell r="AA3675"><v>43307</v></cell><cell r="AB3675" t="str"><v>DEU_gaPMG_AZR_AZR_Q1_19_Trial-Social- 39684</v></cell><cell r="AC3675"><v>21359477</v></cell><cell r="AD3675"><v>720194</v></cell><cell r="AE3675" t="str"><v>Facebook</v></cell><cell r="AF3675"><v>3654128</v></cell><cell r="AG3675" t="str"><v>Facebook»DEV-ITP-AZR-FB|LinkAd|CustomerAudienceRetargeting»1x1»TextLink»LIA»DT»CPM»RT»W»NA»SS»NA»39684019-11000</v></cell><cell r="AH3675"><v>224010415</v></cell><cell r="AI3675" t="str"><v>AzurePlatform_FreeAcctRetargetingFB-GlobalAlt-ChB_DEU_1200x628_SOC_Plat_DE_Free Account_Standard_NA_SNU_T2_1</v></cell><cell r="AJ3675"><v>103040320</v></cell></row><row r="3676"><cell r="C3676" t="str"><v>43307Facebook»DEV-ITP-AZR-FB|LinkAd|CustomerAudienceRetargeting»1x1»TextLink»LIA»DT»CPM»RT»W»NA»SS»NA»39684019-11000</v></cell><cell r="D3676" t="str"><v>43307224010415</v></cell><cell r="E3676" t="str"><v>43307103043341-11000</v></cell><cell r="F3676" t="str"><v>DCM</v></cell><cell r="G3676" t="str"><v>https://azure.microsoft.com/de-de/free/virtual-machines/search/</v></cell></row><row r="3676"><cell r="K3676" t="str"><v>July</v></cell><cell r="L3676"><v>43309</v></cell><cell r="M3676" t="str"><v>Tier 1</v></cell><cell r="N3676" t="str"><v>EMEA</v></cell><cell r="O3676" t="str"><v>Germany</v></cell><cell r="P3676" t="str"><v>Trial</v></cell><cell r="Q3676" t="str"><v>Social</v></cell><cell r="R3676" t="str"><v>Azure</v></cell><cell r="S3676" t="str"><v>Apps & Infra</v></cell><cell r="T3676" t="str"><v>Developers & ITI's</v></cell><cell r="U3676" t="str"><v>DEV-ITP-AZR-FB|LinkAd|CustomerAudienceRetargeting</v></cell><cell r="V3676" t="str"><v>Retargeting</v></cell><cell r="W3676" t="str"><v>Link Ad</v></cell><cell r="X3676" t="str"><v>1x1</v></cell></row><row r="3676"><cell r="AA3676"><v>43307</v></cell><cell r="AB3676" t="str"><v>DEU_gaPMG_AZR_AZR_Q1_19_Trial-Social- 39684</v></cell><cell r="AC3676"><v>21359477</v></cell><cell r="AD3676"><v>720194</v></cell><cell r="AE3676" t="str"><v>Facebook</v></cell><cell r="AF3676"><v>3654128</v></cell><cell r="AG3676" t="str"><v>Facebook»DEV-ITP-AZR-FB|LinkAd|CustomerAudienceRetargeting»1x1»TextLink»LIA»DT»CPM»RT»W»NA»SS»NA»39684019-11000</v></cell><cell r="AH3676"><v>224010415</v></cell><cell r="AI3676" t="str"><v>AzurePlatform_FreeAcctRetargetingVMFB-750Hrs-ChD_DEU_1200x628_SOC_Plat_DE_Free Account_Standard_NA_SNU_T1_1</v></cell><cell r="AJ3676"><v>103043341</v></cell></row><row r="3677"><cell r="C3677" t="str"><v>43307Facebook»Developers/ITPros-Azure Direct-Sponsored Post-Canvas-FBCTCcanvaspage-StartFreeCTA-Img2_FBCTCBrandinMotion_FRA_14sec»1x1»Canvas»SOC»ALL»CPC»BT»D»UNK»SS»NA»Trials</v></cell><cell r="D3677" t="str"><v>43307224560872</v></cell><cell r="E3677" t="str"><v>43307103259958Trials</v></cell><cell r="F3677" t="str"><v>DCM</v></cell><cell r="G3677" t="str"><v>https://signup.azure.com/signup?offer=ms-azr-0044p&appId=102&ref=paidmedia-social-fb&redirectURL=https%3a%2f%2fazure.microsoft.com%2ffr-fr%2fget-started%2fwelcome-to-azure%2f&l=fr-fr&correlationId=ead86c34-1f10-49dd-a72b-6918462a2cbf</v></cell></row><row r="3677"><cell r="K3677" t="str"><v>July</v></cell><cell r="L3677"><v>43309</v></cell><cell r="M3677" t="str"><v>Tier 1</v></cell><cell r="N3677" t="str"><v>EMEA</v></cell><cell r="O3677" t="str"><v>France</v></cell><cell r="P3677" t="str"><v>Trial</v></cell><cell r="Q3677" t="str"><v>Social</v></cell><cell r="R3677" t="str"><v>Azure</v></cell><cell r="S3677" t="str"><v>Apps & Infra</v></cell><cell r="T3677" t="str"><v>Developers & ITI's</v></cell><cell r="U3677" t="str"><v>Developers/ITPros-Azure Direct-Sponsored Post-Canvas-FBCTCcanvaspage-StartFreeCTA-Img2_FBCTCBrandinMotion_FRA_14sec</v></cell><cell r="V3677" t="str"><v>Behavioral Targeting</v></cell><cell r="W3677" t="str"><v>Social</v></cell><cell r="X3677" t="str"><v>1x1</v></cell></row><row r="3677"><cell r="AA3677"><v>43307</v></cell><cell r="AB3677" t="str"><v>FRA_gaPMG_AZR_AZR_Q1_19_AzureDirect-Trial-Social</v></cell><cell r="AC3677"><v>21356941</v></cell><cell r="AD3677"><v>720193</v></cell><cell r="AE3677" t="str"><v>Facebook</v></cell><cell r="AF3677"><v>3654128</v></cell><cell r="AG3677" t="str"><v>Facebook»Developers/ITPros-Azure Direct-Sponsored Post-Canvas-FBCTCcanvaspage-StartFreeCTA-Img2_FBCTCBrandinMotion_FRA_14sec»1x1»Canvas»SOC»ALL»CPC»BT»D»UNK»SS»NA»Trials</v></cell><cell r="AH3677"><v>224560872</v></cell><cell r="AI3677" t="str"><v>AZR_FBCTCcanvaspage-StartFreeCTA-Img2_FRA_1080x143_SOC_AZRDirect_French_NA_Facebook_SBAN_BN_T2_1</v></cell><cell r="AJ3677"><v>103259958</v></cell></row><row r="3678"><cell r="C3678" t="str"><v>43307Facebook»Developers/ITPros-Azure Direct-Sponsored Post-Video Ad-FBCTCBasicMotion_FRA_10s_RTG Landing Page»1x1»05s»SOC»ALL»CPC»BT»D»UNK»SS»NA»Trials</v></cell><cell r="D3678" t="str"><v>43307224416915</v></cell><cell r="E3678" t="str"><v>43307103376981Trials</v></cell><cell r="F3678" t="str"><v>DCM</v></cell></row><row r="3678"><cell r="K3678" t="str"><v>July</v></cell><cell r="L3678"><v>43309</v></cell><cell r="M3678" t="str"><v>Tier 1</v></cell><cell r="N3678" t="str"><v>EMEA</v></cell><cell r="O3678" t="str"><v>France</v></cell><cell r="P3678" t="str"><v>Trial</v></cell><cell r="Q3678" t="str"><v>Social</v></cell><cell r="R3678" t="str"><v>Azure</v></cell><cell r="S3678" t="str"><v>Apps & Infra</v></cell><cell r="T3678" t="str"><v>Developers & ITI's</v></cell><cell r="U3678" t="str"><v>Developers/ITPros-Azure Direct-Sponsored Post-Video Ad-FBCTCBasicMotion_FRA_10s_RTG Landing Page</v></cell><cell r="V3678" t="str"><v>Behavioral Targeting</v></cell><cell r="W3678" t="str"><v>Social</v></cell><cell r="X3678" t="str"><v>1x1</v></cell></row><row r="3678"><cell r="AA3678"><v>43307</v></cell><cell r="AB3678" t="str"><v>FRA_gaPMG_AZR_AZR_Q1_19_AzureDirect-Trial-Social</v></cell><cell r="AC3678"><v>21356941</v></cell><cell r="AD3678"><v>720193</v></cell><cell r="AE3678" t="str"><v>Facebook</v></cell><cell r="AF3678"><v>3654128</v></cell><cell r="AG3678" t="str"><v>Facebook»Developers/ITPros-Azure Direct-Sponsored Post-Video Ad-FBCTCBasicMotion_FRA_10s_RTG Landing Page»1x1»05s»SOC»ALL»CPC»BT»D»UNK»SS»NA»Trials</v></cell><cell r="AH3678"><v>224416915</v></cell><cell r="AI3678" t="str"><v>AZR_FBCTCBasicMotion_FRA_10s_VIA_AZRDirect_French_NA_Facebook_STAN_TIN_T1_1</v></cell><cell r="AJ3678"><v>103376981</v></cell></row><row r="3679"><cell r="C3679" t="str"><v>43307Facebook»Developers/ITPros-Azure Direct-Sponsored Post-Video Ad-FBCTCBenefit2inMotion_FRA_14s_RTG Landing Page»1x1»06s»SOC»ALL»CPC»BT»D»UNK»SS»NA»Trials</v></cell><cell r="D3679" t="str"><v>43307224560875</v></cell><cell r="E3679" t="str"><v>43307103259766Trials</v></cell><cell r="F3679" t="str"><v>DCM</v></cell><cell r="G3679" t="str"><v>https://signup.azure.com/signup?offer=ms-azr-0044p&appId=102&ref=paidmedia-social-fb&redirectURL=https:%2F%2Fazure.microsoft.com%2Ffr-fr%2Fget-started%2Fwelcome-to-azure%2F&l=fr-fr&correlationId=ead86c34-1f10-49dd-a72b-6918462a2cbf</v></cell></row><row r="3679"><cell r="K3679" t="str"><v>July</v></cell><cell r="L3679"><v>43309</v></cell><cell r="M3679" t="str"><v>Tier 1</v></cell><cell r="N3679" t="str"><v>EMEA</v></cell><cell r="O3679" t="str"><v>France</v></cell><cell r="P3679" t="str"><v>Trial</v></cell><cell r="Q3679" t="str"><v>Social</v></cell><cell r="R3679" t="str"><v>Azure</v></cell><cell r="S3679" t="str"><v>Apps & Infra</v></cell><cell r="T3679" t="str"><v>Developers & ITI's</v></cell><cell r="U3679" t="str"><v>Developers/ITPros-Azure Direct-Sponsored Post-Video Ad-FBCTCBenefit2inMotion_FRA_14s_RTG Landing Page</v></cell><cell r="V3679" t="str"><v>Behavioral Targeting</v></cell><cell r="W3679" t="str"><v>Social</v></cell><cell r="X3679" t="str"><v>1x1</v></cell></row><row r="3679"><cell r="AA3679"><v>43307</v></cell><cell r="AB3679" t="str"><v>FRA_gaPMG_AZR_AZR_Q1_19_AzureDirect-Trial-Social</v></cell><cell r="AC3679"><v>21356941</v></cell><cell r="AD3679"><v>720193</v></cell><cell r="AE3679" t="str"><v>Facebook</v></cell><cell r="AF3679"><v>3654128</v></cell><cell r="AG3679" t="str"><v>Facebook»Developers/ITPros-Azure Direct-Sponsored Post-Video Ad-FBCTCBenefit2inMotion_FRA_14s_RTG Landing Page»1x1»06s»SOC»ALL»CPC»BT»D»UNK»SS»NA»Trials</v></cell><cell r="AH3679"><v>224560875</v></cell><cell r="AI3679" t="str"><v>AZR_FBCTCBenefit2inMotion_FRA_14s_VIA_AZRDirect_French_NA_Facebook_STAN_TIN_T4_1</v></cell><cell r="AJ3679"><v>103259766</v></cell></row><row r="3680"><cell r="C3680" t="str"><v>43307Facebook»Audience & Interest Targeting»1x1»SocialBan»LIA»DT»CPC»AUT»W»NA»SS»NA»Benefit 2 in Motion</v></cell><cell r="D3680" t="str"><v>43307224334170</v></cell><cell r="E3680" t="str"><v>43307103235146Motion</v></cell><cell r="F3680" t="str"><v>DCM</v></cell><cell r="G3680" t="str"><v>https://signup.azure.com/signup?offer=ms-azr-0044p&appId=102&ref=paidmedia-social-fb&redirectURL=https%3a%2f%2fazure.microsoft.com%2fen-gb%2fget-started%2fwelcome-to-azure%2f&l=en-gb&correlationId=ead86c34-1f10-49dd-a72b-6918462a2cbf</v></cell></row><row r="3680"><cell r="K3680" t="str"><v>July</v></cell><cell r="L3680"><v>43309</v></cell><cell r="M3680" t="str"><v>Tier 1</v></cell><cell r="N3680" t="str"><v>EMEA</v></cell><cell r="O3680" t="str"><v>United Kingdom</v></cell><cell r="P3680" t="str"><v>Trial</v></cell><cell r="Q3680" t="str"><v>Social</v></cell><cell r="R3680" t="str"><v>Azure</v></cell><cell r="S3680" t="str"><v>Apps & Infra</v></cell><cell r="T3680" t="str"><v>Developers & ITI's</v></cell><cell r="U3680" t="str"><v>Audience & Interest Targeting</v></cell><cell r="V3680" t="str"><v>Audience Targeting</v></cell><cell r="W3680" t="str"><v>Link Ad</v></cell><cell r="X3680" t="str"><v>1x1</v></cell></row><row r="3680"><cell r="AA3680"><v>43307</v></cell><cell r="AB3680" t="str"><v>GBR_gaPMG_CE_AZR_Q1_19_Trial-Social</v></cell><cell r="AC3680"><v>21337013</v></cell><cell r="AD3680"><v>720196</v></cell><cell r="AE3680" t="str"><v>Facebook</v></cell><cell r="AF3680"><v>3654128</v></cell><cell r="AG3680" t="str"><v>Facebook»Audience & Interest Targeting»1x1»SocialBan»LIA»DT»CPC»AUT»W»NA»SS»NA»Benefit 2 in Motion</v></cell><cell r="AH3680"><v>224334170</v></cell><cell r="AI3680" t="str"><v>AzurePlatform_FBCTCcanvaspage-StartFreeCTA-Img2_GBR_1080x143 _SOC_Plat_English_NA_Standard_NA_NA_T2_1</v></cell><cell r="AJ3680"><v>103235146</v></cell></row><row r="3681"><cell r="C3681" t="str"><v>43307Facebook»Audience & Interest Targeting»1x1»SocialBan»LIA»DT»CPC»AUT»W»NA»SS»NA»Brand in Motion</v></cell><cell r="D3681" t="str"><v>43307224549481</v></cell><cell r="E3681" t="str"><v>43307103235146Motion</v></cell><cell r="F3681" t="str"><v>DCM</v></cell><cell r="G3681" t="str"><v>https://signup.azure.com/signup?offer=ms-azr-0044p&appId=102&ref=paidmedia-social-fb&redirectURL=https%3a%2f%2fazure.microsoft.com%2fen-gb%2fget-started%2fwelcome-to-azure%2f&l=en-gb&correlationId=ead86c34-1f10-49dd-a72b-6918462a2cbf</v></cell></row><row r="3681"><cell r="K3681" t="str"><v>July</v></cell><cell r="L3681"><v>43309</v></cell><cell r="M3681" t="str"><v>Tier 1</v></cell><cell r="N3681" t="str"><v>EMEA</v></cell><cell r="O3681" t="str"><v>United Kingdom</v></cell><cell r="P3681" t="str"><v>Trial</v></cell><cell r="Q3681" t="str"><v>Social</v></cell><cell r="R3681" t="str"><v>Azure</v></cell><cell r="S3681" t="str"><v>Apps & Infra</v></cell><cell r="T3681" t="str"><v>Developers & ITI's</v></cell><cell r="U3681" t="str"><v>Audience & Interest Targeting</v></cell><cell r="V3681" t="str"><v>Audience Targeting</v></cell><cell r="W3681" t="str"><v>Link Ad</v></cell><cell r="X3681" t="str"><v>1x1</v></cell></row><row r="3681"><cell r="AA3681"><v>43307</v></cell><cell r="AB3681" t="str"><v>GBR_gaPMG_CE_AZR_Q1_19_Trial-Social</v></cell><cell r="AC3681"><v>21337013</v></cell><cell r="AD3681"><v>720196</v></cell><cell r="AE3681" t="str"><v>Facebook</v></cell><cell r="AF3681"><v>3654128</v></cell><cell r="AG3681" t="str"><v>Facebook»Audience & Interest Targeting»1x1»SocialBan»LIA»DT»CPC»AUT»W»NA»SS»NA»Brand in Motion</v></cell><cell r="AH3681"><v>224549481</v></cell><cell r="AI3681" t="str"><v>AzurePlatform_FBCTCcanvaspage-StartFreeCTA-Img2_GBR_1080x143 _SOC_Plat_English_NA_Standard_NA_NA_T2_1</v></cell><cell r="AJ3681"><v>103235146</v></cell></row><row r="3682"><cell r="C3682" t="str"><v>43307Facebook»Audience & Interest Targeting»1x1»SocialBan»LIA»DT»DYN»AUT»W»NA»SS»NA»Free Account Refresh- 12 months ChE</v></cell><cell r="D3682" t="str"><v>43307223567691</v></cell><cell r="E3682" t="str"><v>43307102854007hs ChE</v></cell><cell r="F3682" t="str"><v>DCM</v></cell><cell r="G3682" t="str"><v>https://azure.microsoft.com/en-gb/free/search/</v></cell></row><row r="3682"><cell r="K3682" t="str"><v>July</v></cell><cell r="L3682"><v>43309</v></cell><cell r="M3682" t="str"><v>Tier 1</v></cell><cell r="N3682" t="str"><v>EMEA</v></cell><cell r="O3682" t="str"><v>United Kingdom</v></cell><cell r="P3682" t="str"><v>Trial</v></cell><cell r="Q3682" t="str"><v>Social</v></cell><cell r="R3682" t="str"><v>Azure</v></cell><cell r="S3682" t="str"><v>Apps & Infra</v></cell><cell r="T3682" t="str"><v>Developers & ITI's</v></cell><cell r="U3682" t="str"><v>Audience & Interest Targeting</v></cell><cell r="V3682" t="str"><v>Audience Targeting</v></cell><cell r="W3682" t="str"><v>Link Ad</v></cell><cell r="X3682" t="str"><v>1x1</v></cell></row><row r="3682"><cell r="AA3682"><v>43307</v></cell><cell r="AB3682" t="str"><v>GBR_gaPMG_CE_AZR_Q1_19_Trial-Social</v></cell><cell r="AC3682"><v>21337013</v></cell><cell r="AD3682"><v>720196</v></cell><cell r="AE3682" t="str"><v>Facebook</v></cell><cell r="AF3682"><v>3654128</v></cell><cell r="AG3682" t="str"><v>Facebook»Audience & Interest Targeting»1x1»SocialBan»LIA»DT»DYN»AUT»W»NA»SS»NA»Free Account Refresh- 12 months ChE</v></cell><cell r="AH3682"><v>223567691</v></cell><cell r="AI3682" t="str"><v>AzurePlatform_FreeAcctAppsFACEBOOK12monthsChE_GBR_1200x628_SOC_PLAT_EN_Trial_Standard_NA_SU_T5_1</v></cell><cell r="AJ3682"><v>102854007</v></cell></row><row r="3683"><cell r="C3683" t="str"><v>43307Facebook»Audience & Interest Targeting»1x1»SocialBan»LIA»DT»DYN»AUT»W»NA»SS»NA»Free Account Refresh- 200 Credit ChD</v></cell><cell r="D3683" t="str"><v>43307223560359</v></cell><cell r="E3683" t="str"><v>43307103005662it ChD</v></cell><cell r="F3683" t="str"><v>DCM</v></cell><cell r="G3683" t="str"><v>https://azure.microsoft.com/en-gb/free/search/</v></cell></row><row r="3683"><cell r="K3683" t="str"><v>July</v></cell><cell r="L3683"><v>43309</v></cell><cell r="M3683" t="str"><v>Tier 1</v></cell><cell r="N3683" t="str"><v>EMEA</v></cell><cell r="O3683" t="str"><v>United Kingdom</v></cell><cell r="P3683" t="str"><v>Trial</v></cell><cell r="Q3683" t="str"><v>Social</v></cell><cell r="R3683" t="str"><v>Azure</v></cell><cell r="S3683" t="str"><v>Apps & Infra</v></cell><cell r="T3683" t="str"><v>Developers & ITI's</v></cell><cell r="U3683" t="str"><v>Audience & Interest Targeting</v></cell><cell r="V3683" t="str"><v>Audience Targeting</v></cell><cell r="W3683" t="str"><v>Link Ad</v></cell><cell r="X3683" t="str"><v>1x1</v></cell></row><row r="3683"><cell r="AA3683"><v>43307</v></cell><cell r="AB3683" t="str"><v>GBR_gaPMG_CE_AZR_Q1_19_Trial-Social</v></cell><cell r="AC3683"><v>21337013</v></cell><cell r="AD3683"><v>720196</v></cell><cell r="AE3683" t="str"><v>Facebook</v></cell><cell r="AF3683"><v>3654128</v></cell><cell r="AG3683" t="str"><v>Facebook»Audience & Interest Targeting»1x1»SocialBan»LIA»DT»DYN»AUT»W»NA»SS»NA»Free Account Refresh- 200 Credit ChD</v></cell><cell r="AH3683"><v>223560359</v></cell><cell r="AI3683" t="str"><v>AzurePlatform_FreeAcctAppsFACEBOOK200CreditChD_GBR_1200x628_SOC_PLAT_EN_Trial_Standard_NA_SU_T4_1</v></cell><cell r="AJ3683"><v>103005662</v></cell></row><row r="3684"><cell r="C3684" t="str"><v>43307Facebook»Audience & Interest Targeting»1x1»SocialBan»LIA»DT»DYN»AUT»W»NA»SS»NA»Free Account Refresh- Device ChB</v></cell><cell r="D3684" t="str"><v>43307223560353</v></cell><cell r="E3684" t="str"><v>43307102854010ce ChB</v></cell><cell r="F3684" t="str"><v>DCM</v></cell><cell r="G3684" t="str"><v>https://azure.microsoft.com/en-gb/free/search/</v></cell></row><row r="3684"><cell r="K3684" t="str"><v>July</v></cell><cell r="L3684"><v>43309</v></cell><cell r="M3684" t="str"><v>Tier 1</v></cell><cell r="N3684" t="str"><v>EMEA</v></cell><cell r="O3684" t="str"><v>United Kingdom</v></cell><cell r="P3684" t="str"><v>Trial</v></cell><cell r="Q3684" t="str"><v>Social</v></cell><cell r="R3684" t="str"><v>Azure</v></cell><cell r="S3684" t="str"><v>Apps & Infra</v></cell><cell r="T3684" t="str"><v>Developers & ITI's</v></cell><cell r="U3684" t="str"><v>Audience & Interest Targeting</v></cell><cell r="V3684" t="str"><v>Audience Targeting</v></cell><cell r="W3684" t="str"><v>Link Ad</v></cell><cell r="X3684" t="str"><v>1x1</v></cell></row><row r="3684"><cell r="AA3684"><v>43307</v></cell><cell r="AB3684" t="str"><v>GBR_gaPMG_CE_AZR_Q1_19_Trial-Social</v></cell><cell r="AC3684"><v>21337013</v></cell><cell r="AD3684"><v>720196</v></cell><cell r="AE3684" t="str"><v>Facebook</v></cell><cell r="AF3684"><v>3654128</v></cell><cell r="AG3684" t="str"><v>Facebook»Audience & Interest Targeting»1x1»SocialBan»LIA»DT»DYN»AUT»W»NA»SS»NA»Free Account Refresh- Device ChB</v></cell><cell r="AH3684"><v>223560353</v></cell><cell r="AI3684" t="str"><v>AzurePlatform_FreeAcctAppsFACEBOOKDeviceChB_GBR_1200x628_SOC_PLAT_EN_Trial_Standard_NA_SU_T2_1</v></cell><cell r="AJ3684"><v>102854010</v></cell></row><row r="3685"><cell r="C3685" t="str"><v>43307Facebook»Audience & Interest Targeting»1x1»SocialBan»LIA»DT»DYN»AUT»W»NA»SS»NA»Free Account Refresh- Illustration ChC</v></cell><cell r="D3685" t="str"><v>43307223560347</v></cell><cell r="E3685" t="str"><v>43307102857037on ChC</v></cell><cell r="F3685" t="str"><v>DCM</v></cell><cell r="G3685" t="str"><v>https://azure.microsoft.com/en-gb/free/search/</v></cell></row><row r="3685"><cell r="K3685" t="str"><v>July</v></cell><cell r="L3685"><v>43309</v></cell><cell r="M3685" t="str"><v>Tier 1</v></cell><cell r="N3685" t="str"><v>EMEA</v></cell><cell r="O3685" t="str"><v>United Kingdom</v></cell><cell r="P3685" t="str"><v>Trial</v></cell><cell r="Q3685" t="str"><v>Social</v></cell><cell r="R3685" t="str"><v>Azure</v></cell><cell r="S3685" t="str"><v>Apps & Infra</v></cell><cell r="T3685" t="str"><v>Developers & ITI's</v></cell><cell r="U3685" t="str"><v>Audience & Interest Targeting</v></cell><cell r="V3685" t="str"><v>Audience Targeting</v></cell><cell r="W3685" t="str"><v>Link Ad</v></cell><cell r="X3685" t="str"><v>1x1</v></cell></row><row r="3685"><cell r="AA3685"><v>43307</v></cell><cell r="AB3685" t="str"><v>GBR_gaPMG_CE_AZR_Q1_19_Trial-Social</v></cell><cell r="AC3685"><v>21337013</v></cell><cell r="AD3685"><v>720196</v></cell><cell r="AE3685" t="str"><v>Facebook</v></cell><cell r="AF3685"><v>3654128</v></cell><cell r="AG3685" t="str"><v>Facebook»Audience & Interest Targeting»1x1»SocialBan»LIA»DT»DYN»AUT»W»NA»SS»NA»Free Account Refresh- Illustration ChC</v></cell><cell r="AH3685"><v>223560347</v></cell><cell r="AI3685" t="str"><v>AzurePlatform_FreeAcctAppsFACEBOOKIllustrationChC_GBR_1200x628_SOC_PLAT_EN_Trial_Standard_NA_SU_T3_1</v></cell><cell r="AJ3685"><v>102857037</v></cell></row><row r="3686"><cell r="C3686" t="str"><v>43307Facebook»Audience & Interest Targeting»1x1»SocialBan»LIA»DT»DYN»AUT»W»NA»SS»NA»Free Account Refresh- Lifestyle ChA</v></cell><cell r="D3686" t="str"><v>43307223560341</v></cell><cell r="E3686" t="str"><v>43307102853597le ChA</v></cell><cell r="F3686" t="str"><v>DCM</v></cell><cell r="G3686" t="str"><v>https://azure.microsoft.com/en-gb/free/search/</v></cell></row><row r="3686"><cell r="K3686" t="str"><v>July</v></cell><cell r="L3686"><v>43309</v></cell><cell r="M3686" t="str"><v>Tier 1</v></cell><cell r="N3686" t="str"><v>EMEA</v></cell><cell r="O3686" t="str"><v>United Kingdom</v></cell><cell r="P3686" t="str"><v>Trial</v></cell><cell r="Q3686" t="str"><v>Social</v></cell><cell r="R3686" t="str"><v>Azure</v></cell><cell r="S3686" t="str"><v>Apps & Infra</v></cell><cell r="T3686" t="str"><v>Developers & ITI's</v></cell><cell r="U3686" t="str"><v>Audience & Interest Targeting</v></cell><cell r="V3686" t="str"><v>Audience Targeting</v></cell><cell r="W3686" t="str"><v>Link Ad</v></cell><cell r="X3686" t="str"><v>1x1</v></cell></row><row r="3686"><cell r="AA3686"><v>43307</v></cell><cell r="AB3686" t="str"><v>GBR_gaPMG_CE_AZR_Q1_19_Trial-Social</v></cell><cell r="AC3686"><v>21337013</v></cell><cell r="AD3686"><v>720196</v></cell><cell r="AE3686" t="str"><v>Facebook</v></cell><cell r="AF3686"><v>3654128</v></cell><cell r="AG3686" t="str"><v>Facebook»Audience & Interest Targeting»1x1»SocialBan»LIA»DT»DYN»AUT»W»NA»SS»NA»Free Account Refresh- Lifestyle ChA</v></cell><cell r="AH3686"><v>223560341</v></cell><cell r="AI3686" t="str"><v>AzurePlatform_FreeAcctAppsFACEBOOKLifestyleChA_GBR_1200x628_SOC_PLAT_EN_Trial_Standard_NA_SU_T1_1</v></cell><cell r="AJ3686"><v>102853597</v></cell></row><row r="3687"><cell r="C3687" t="str"><v>43307Facebook»Retargeting»1x1»SocialBan»LIA»DT»DYN»RT»W»NA»SS»NA»Free Account Retargeting Generic- Animated ChC</v></cell><cell r="D3687" t="str"><v>43307223560299</v></cell><cell r="E3687" t="str"><v>43307102854019ed ChC</v></cell><cell r="F3687" t="str"><v>DCM</v></cell><cell r="G3687" t="str"><v>https://azure.microsoft.com/en-gb/free/search/</v></cell></row><row r="3687"><cell r="K3687" t="str"><v>July</v></cell><cell r="L3687"><v>43309</v></cell><cell r="M3687" t="str"><v>Tier 1</v></cell><cell r="N3687" t="str"><v>EMEA</v></cell><cell r="O3687" t="str"><v>United Kingdom</v></cell><cell r="P3687" t="str"><v>Trial</v></cell><cell r="Q3687" t="str"><v>Social</v></cell><cell r="R3687" t="str"><v>Azure</v></cell><cell r="S3687" t="str"><v>Apps & Infra</v></cell><cell r="T3687" t="str"><v>Developers & ITI's</v></cell><cell r="U3687" t="str"><v>Retargeting</v></cell><cell r="V3687" t="str"><v>Retargeting</v></cell><cell r="W3687" t="str"><v>Link Ad</v></cell><cell r="X3687" t="str"><v>1x1</v></cell></row><row r="3687"><cell r="AA3687"><v>43307</v></cell><cell r="AB3687" t="str"><v>GBR_gaPMG_CE_AZR_Q1_19_Trial-Social</v></cell><cell r="AC3687"><v>21337013</v></cell><cell r="AD3687"><v>720196</v></cell><cell r="AE3687" t="str"><v>Facebook</v></cell><cell r="AF3687"><v>3654128</v></cell><cell r="AG3687" t="str"><v>Facebook»Retargeting»1x1»SocialBan»LIA»DT»DYN»RT»W»NA»SS»NA»Free Account Retargeting Generic- Animated ChC</v></cell><cell r="AH3687"><v>223560299</v></cell><cell r="AI3687" t="str"><v>AzurePlatform_FreeAcctRetargetingFB-Animated-ChC_GBR_1200x628_SOC_Plat_EN_Free Account_Standard_ANI_SU_T3_1</v></cell><cell r="AJ3687"><v>102854019</v></cell></row><row r="3688"><cell r="C3688" t="str"><v>43307Facebook»Retargeting»1x1»SocialBan»LIA»DT»DYN»RT»W»NA»SS»NA»Free Account Retargeting OSS- Logos ChG</v></cell><cell r="D3688" t="str"><v>43307223560350</v></cell><cell r="E3688" t="str"><v>43307103006547os ChG</v></cell><cell r="F3688" t="str"><v>DCM</v></cell><cell r="G3688" t="str"><v>https://azure.microsoft.com/en-gb/free/open-source/search/</v></cell></row><row r="3688"><cell r="K3688" t="str"><v>July</v></cell><cell r="L3688"><v>43309</v></cell><cell r="M3688" t="str"><v>Tier 1</v></cell><cell r="N3688" t="str"><v>EMEA</v></cell><cell r="O3688" t="str"><v>United Kingdom</v></cell><cell r="P3688" t="str"><v>Trial</v></cell><cell r="Q3688" t="str"><v>Social</v></cell><cell r="R3688" t="str"><v>Azure</v></cell><cell r="S3688" t="str"><v>Apps & Infra</v></cell><cell r="T3688" t="str"><v>Developers & ITI's</v></cell><cell r="U3688" t="str"><v>Retargeting</v></cell><cell r="V3688" t="str"><v>Retargeting</v></cell><cell r="W3688" t="str"><v>Link Ad</v></cell><cell r="X3688" t="str"><v>1x1</v></cell></row><row r="3688"><cell r="AA3688"><v>43307</v></cell><cell r="AB3688" t="str"><v>GBR_gaPMG_CE_AZR_Q1_19_Trial-Social</v></cell><cell r="AC3688"><v>21337013</v></cell><cell r="AD3688"><v>720196</v></cell><cell r="AE3688" t="str"><v>Facebook</v></cell><cell r="AF3688"><v>3654128</v></cell><cell r="AG3688" t="str"><v>Facebook»Retargeting»1x1»SocialBan»LIA»DT»DYN»RT»W»NA»SS»NA»Free Account Retargeting OSS- Logos ChG</v></cell><cell r="AH3688"><v>223560350</v></cell><cell r="AI3688" t="str"><v>AzurePlatform_FreeAcctRetargetingOSSFB-Logos-ChG_GBR_1200x628_SOC_Plat_EN_Free Account_Standard_NA_SU_T2_1</v></cell><cell r="AJ3688"><v>103006547</v></cell></row><row r="3689"><cell r="C3689" t="str"><v>43307Facebook»Retargeting»1x1»SocialBan»LIA»DT»DYN»RT»W»NA»SS»NA»Free Account Retargeting OSS- Text ChF</v></cell><cell r="D3689" t="str"><v>43307223560344</v></cell><cell r="E3689" t="str"><v>43307102861246xt ChF</v></cell><cell r="F3689" t="str"><v>DCM</v></cell><cell r="G3689" t="str"><v>https://azure.microsoft.com/en-gb/free/open-source/search/</v></cell></row><row r="3689"><cell r="K3689" t="str"><v>July</v></cell><cell r="L3689"><v>43309</v></cell><cell r="M3689" t="str"><v>Tier 1</v></cell><cell r="N3689" t="str"><v>EMEA</v></cell><cell r="O3689" t="str"><v>United Kingdom</v></cell><cell r="P3689" t="str"><v>Trial</v></cell><cell r="Q3689" t="str"><v>Social</v></cell><cell r="R3689" t="str"><v>Azure</v></cell><cell r="S3689" t="str"><v>Apps & Infra</v></cell><cell r="T3689" t="str"><v>Developers & ITI's</v></cell><cell r="U3689" t="str"><v>Retargeting</v></cell><cell r="V3689" t="str"><v>Retargeting</v></cell><cell r="W3689" t="str"><v>Link Ad</v></cell><cell r="X3689" t="str"><v>1x1</v></cell></row><row r="3689"><cell r="AA3689"><v>43307</v></cell><cell r="AB3689" t="str"><v>GBR_gaPMG_CE_AZR_Q1_19_Trial-Social</v></cell><cell r="AC3689"><v>21337013</v></cell><cell r="AD3689"><v>720196</v></cell><cell r="AE3689" t="str"><v>Facebook</v></cell><cell r="AF3689"><v>3654128</v></cell><cell r="AG3689" t="str"><v>Facebook»Retargeting»1x1»SocialBan»LIA»DT»DYN»RT»W»NA»SS»NA»Free Account Retargeting OSS- Text ChF</v></cell><cell r="AH3689"><v>223560344</v></cell><cell r="AI3689" t="str"><v>AzurePlatform_FreeAcctRetargetingOSSFB-Text-ChF_GBR_1200x628_SOC_Plat_EN_Free Account_Standard_NA_SU_T1_1</v></cell><cell r="AJ3689"><v>102861246</v></cell></row><row r="3690"><cell r="C3690" t="str"><v>43307Facebook»Retargeting»1x1»SocialBan»LIA»DT»DYN»RT»W»NA»SS»NA»Free Account Retargeting VM- 750 Hrs ChD</v></cell><cell r="D3690" t="str"><v>43307223560338</v></cell><cell r="E3690" t="str"><v>43307102853603rs ChD</v></cell><cell r="F3690" t="str"><v>DCM</v></cell><cell r="G3690" t="str"><v>https://azure.microsoft.com/en-gb/free/virtual-machines/search/</v></cell></row><row r="3690"><cell r="K3690" t="str"><v>July</v></cell><cell r="L3690"><v>43309</v></cell><cell r="M3690" t="str"><v>Tier 1</v></cell><cell r="N3690" t="str"><v>EMEA</v></cell><cell r="O3690" t="str"><v>United Kingdom</v></cell><cell r="P3690" t="str"><v>Trial</v></cell><cell r="Q3690" t="str"><v>Social</v></cell><cell r="R3690" t="str"><v>Azure</v></cell><cell r="S3690" t="str"><v>Apps & Infra</v></cell><cell r="T3690" t="str"><v>Developers & ITI's</v></cell><cell r="U3690" t="str"><v>Retargeting</v></cell><cell r="V3690" t="str"><v>Retargeting</v></cell><cell r="W3690" t="str"><v>Link Ad</v></cell><cell r="X3690" t="str"><v>1x1</v></cell></row><row r="3690"><cell r="AA3690"><v>43307</v></cell><cell r="AB3690" t="str"><v>GBR_gaPMG_CE_AZR_Q1_19_Trial-Social</v></cell><cell r="AC3690"><v>21337013</v></cell><cell r="AD3690"><v>720196</v></cell><cell r="AE3690" t="str"><v>Facebook</v></cell><cell r="AF3690"><v>3654128</v></cell><cell r="AG3690" t="str"><v>Facebook»Retargeting»1x1»SocialBan»LIA»DT»DYN»RT»W»NA»SS»NA»Free Account Retargeting VM- 750 Hrs ChD</v></cell><cell r="AH3690"><v>223560338</v></cell><cell r="AI3690" t="str"><v>AzurePlatform_FreeAcctRetargetingVMFB-750Hrs-ChD_GBR_1200x628_SOC_Plat_EN_Free Account_Standard_NA_SU_T1_1</v></cell><cell r="AJ3690"><v>102853603</v></cell></row><row r="3691"><cell r="C3691" t="str"><v>43307Facebook»Retargeting»1x1»SocialBan»LIA»DT»DYN»RT»W»NA»SS»NA»Free Account Retargeting VM- On Demand ChE</v></cell><cell r="D3691" t="str"><v>43307223560332</v></cell><cell r="E3691" t="str"><v>43307102854037nd ChE</v></cell><cell r="F3691" t="str"><v>DCM</v></cell><cell r="G3691" t="str"><v>https://azure.microsoft.com/en-gb/free/virtual-machines/search/</v></cell></row><row r="3691"><cell r="K3691" t="str"><v>July</v></cell><cell r="L3691"><v>43309</v></cell><cell r="M3691" t="str"><v>Tier 1</v></cell><cell r="N3691" t="str"><v>EMEA</v></cell><cell r="O3691" t="str"><v>United Kingdom</v></cell><cell r="P3691" t="str"><v>Trial</v></cell><cell r="Q3691" t="str"><v>Social</v></cell><cell r="R3691" t="str"><v>Azure</v></cell><cell r="S3691" t="str"><v>Apps & Infra</v></cell><cell r="T3691" t="str"><v>Developers & ITI's</v></cell><cell r="U3691" t="str"><v>Retargeting</v></cell><cell r="V3691" t="str"><v>Retargeting</v></cell><cell r="W3691" t="str"><v>Link Ad</v></cell><cell r="X3691" t="str"><v>1x1</v></cell></row><row r="3691"><cell r="AA3691"><v>43307</v></cell><cell r="AB3691" t="str"><v>GBR_gaPMG_CE_AZR_Q1_19_Trial-Social</v></cell><cell r="AC3691"><v>21337013</v></cell><cell r="AD3691"><v>720196</v></cell><cell r="AE3691" t="str"><v>Facebook</v></cell><cell r="AF3691"><v>3654128</v></cell><cell r="AG3691" t="str"><v>Facebook»Retargeting»1x1»SocialBan»LIA»DT»DYN»RT»W»NA»SS»NA»Free Account Retargeting VM- On Demand ChE</v></cell><cell r="AH3691"><v>223560332</v></cell><cell r="AI3691" t="str"><v>AzurePlatform_FreeAcctRetargetingVMFB-OnDemand-ChE_GBR_1200x628_SOC_Plat_EN_Free Account_Standard_NA_SU_T2_1</v></cell><cell r="AJ3691"><v>102854037</v></cell></row><row r="3692"><cell r="C3692" t="str"><v>43307Facebook»AZP-Canvas-Interest&Role-Trial»1x1»Canvas»OTH»MO»CPM»PRO»X»UNK»TP»OT»Canvas-Trial</v></cell><cell r="D3692" t="str"><v>43307223298805</v></cell><cell r="E3692" t="str"><v>43307102630373-Trial</v></cell><cell r="F3692" t="str"><v>DCM</v></cell><cell r="G3692" t="str"><v>https://azure.microsoft.com/ja-jp/pricing/purchase-options/</v></cell></row><row r="3692"><cell r="K3692" t="str"><v>July</v></cell><cell r="L3692"><v>43309</v></cell><cell r="M3692" t="str"><v>Tier 1</v></cell><cell r="N3692" t="str"><v>APAC</v></cell><cell r="O3692" t="str"><v>Japan</v></cell><cell r="P3692" t="str"><v>Trial</v></cell><cell r="Q3692" t="str"><v>Social</v></cell><cell r="R3692" t="str"><v>Azure</v></cell><cell r="S3692" t="str"><v>Apps & Infra</v></cell><cell r="T3692" t="str"><v>Developers & ITI's</v></cell><cell r="U3692" t="str"><v>AZP-Canvas-Interest&Role-Trial</v></cell><cell r="V3692" t="str"><v>Prospecting</v></cell><cell r="W3692" t="str"><v>Other</v></cell><cell r="X3692" t="str"><v>1x1</v></cell></row><row r="3692"><cell r="AA3692"><v>43307</v></cell><cell r="AB3692" t="str"><v>JPN_gaPMG_AZR_AZR_Q1_19_Trial-Social</v></cell><cell r="AC3692"><v>21276694</v></cell><cell r="AD3692"><v>720195</v></cell><cell r="AE3692" t="str"><v>Facebook</v></cell><cell r="AF3692"><v>3654128</v></cell><cell r="AG3692" t="str"><v>Facebook»AZP-Canvas-Interest&Role-Trial»1x1»Canvas»OTH»MO»CPM»PRO»X»UNK»TP»OT»Canvas-Trial</v></cell><cell r="AH3692"><v>223298805</v></cell><cell r="AI3692" t="str"><v>AzurePlatform_FBCTCcanvaspage-BuyNowCTA-Img3_JPN_1080x162_SOC_Plat_Japanese_NA_Standard_NA_BN_T3_1</v></cell><cell r="AJ3692"><v>102630373</v></cell></row><row r="3693"><cell r="C3693" t="str"><v>43307Facebook»AZP-Canvas-Interest&Role-Trial»1x1»Canvas»OTH»MO»CPM»PRO»X»UNK»TP»OT»Canvas-Trial</v></cell><cell r="D3693" t="str"><v>43307223298805</v></cell><cell r="E3693" t="str"><v>43307102609621-Trial</v></cell><cell r="F3693" t="str"><v>DCM</v></cell><cell r="G3693" t="str"><v>https://signup.azure.com/signup?offer=ms-azr-0044p&appId=102&ref=paidmedia-social-fb&redirectURL=https%3a%2f%2fazure.microsoft.com%2fja-jp%2fget-started%2fwelcome-to-azure%2f&l=ja-jp&correlationId=ead86c34-1f10-49dd-a72b-6918462a2cbf</v></cell></row><row r="3693"><cell r="K3693" t="str"><v>July</v></cell><cell r="L3693"><v>43309</v></cell><cell r="M3693" t="str"><v>Tier 1</v></cell><cell r="N3693" t="str"><v>APAC</v></cell><cell r="O3693" t="str"><v>Japan</v></cell><cell r="P3693" t="str"><v>Trial</v></cell><cell r="Q3693" t="str"><v>Social</v></cell><cell r="R3693" t="str"><v>Azure</v></cell><cell r="S3693" t="str"><v>Apps & Infra</v></cell><cell r="T3693" t="str"><v>Developers & ITI's</v></cell><cell r="U3693" t="str"><v>AZP-Canvas-Interest&Role-Trial</v></cell><cell r="V3693" t="str"><v>Prospecting</v></cell><cell r="W3693" t="str"><v>Other</v></cell><cell r="X3693" t="str"><v>1x1</v></cell></row><row r="3693"><cell r="AA3693"><v>43307</v></cell><cell r="AB3693" t="str"><v>JPN_gaPMG_AZR_AZR_Q1_19_Trial-Social</v></cell><cell r="AC3693"><v>21276694</v></cell><cell r="AD3693"><v>720195</v></cell><cell r="AE3693" t="str"><v>Facebook</v></cell><cell r="AF3693"><v>3654128</v></cell><cell r="AG3693" t="str"><v>Facebook»AZP-Canvas-Interest&Role-Trial»1x1»Canvas»OTH»MO»CPM»PRO»X»UNK»TP»OT»Canvas-Trial</v></cell><cell r="AH3693"><v>223298805</v></cell><cell r="AI3693" t="str"><v>AzurePlatform_FBCTCcanvaspage-StartFreeCTA-Img2_JPN_1080x143 _SOC_Plat_Japanese_NA_Standard_NA_NA_T2_1</v></cell><cell r="AJ3693"><v>102609621</v></cell></row><row r="3694"><cell r="C3694" t="str"><v>43307Facebook»AZP-Canvas-Look a Like-Trial»1x1»Canvas»OTH»MO»CPM»PRO»X»UNK»TP»OT»Canvas-Trial</v></cell><cell r="D3694" t="str"><v>43307223297413</v></cell><cell r="E3694" t="str"><v>43307102630373-Trial</v></cell><cell r="F3694" t="str"><v>DCM</v></cell><cell r="G3694" t="str"><v>https://azure.microsoft.com/ja-jp/pricing/purchase-options/</v></cell></row><row r="3694"><cell r="K3694" t="str"><v>July</v></cell><cell r="L3694"><v>43309</v></cell><cell r="M3694" t="str"><v>Tier 1</v></cell><cell r="N3694" t="str"><v>APAC</v></cell><cell r="O3694" t="str"><v>Japan</v></cell><cell r="P3694" t="str"><v>Trial</v></cell><cell r="Q3694" t="str"><v>Social</v></cell><cell r="R3694" t="str"><v>Azure</v></cell><cell r="S3694" t="str"><v>Apps & Infra</v></cell><cell r="T3694" t="str"><v>Developers & ITI's</v></cell><cell r="U3694" t="str"><v>AZP-Canvas-Look a Like-Trial</v></cell><cell r="V3694" t="str"><v>Prospecting</v></cell><cell r="W3694" t="str"><v>Other</v></cell><cell r="X3694" t="str"><v>1x1</v></cell></row><row r="3694"><cell r="AA3694"><v>43307</v></cell><cell r="AB3694" t="str"><v>JPN_gaPMG_AZR_AZR_Q1_19_Trial-Social</v></cell><cell r="AC3694"><v>21276694</v></cell><cell r="AD3694"><v>720195</v></cell><cell r="AE3694" t="str"><v>Facebook</v></cell><cell r="AF3694"><v>3654128</v></cell><cell r="AG3694" t="str"><v>Facebook»AZP-Canvas-Look a Like-Trial»1x1»Canvas»OTH»MO»CPM»PRO»X»UNK»TP»OT»Canvas-Trial</v></cell><cell r="AH3694"><v>223297413</v></cell><cell r="AI3694" t="str"><v>AzurePlatform_FBCTCcanvaspage-BuyNowCTA-Img3_JPN_1080x162_SOC_Plat_Japanese_NA_Standard_NA_BN_T3_1</v></cell><cell r="AJ3694"><v>102630373</v></cell></row><row r="3695"><cell r="C3695" t="str"><v>43307Facebook»AZP-Canvas-Look a Like-Trial»1x1»Canvas»OTH»MO»CPM»PRO»X»UNK»TP»OT»Canvas-Trial</v></cell><cell r="D3695" t="str"><v>43307223297413</v></cell><cell r="E3695" t="str"><v>43307102609621-Trial</v></cell><cell r="F3695" t="str"><v>DCM</v></cell><cell r="G3695" t="str"><v>https://signup.azure.com/signup?offer=ms-azr-0044p&appId=102&ref=paidmedia-social-fb&redirectURL=https%3a%2f%2fazure.microsoft.com%2fja-jp%2fget-started%2fwelcome-to-azure%2f&l=ja-jp&correlationId=ead86c34-1f10-49dd-a72b-6918462a2cbf</v></cell></row><row r="3695"><cell r="K3695" t="str"><v>July</v></cell><cell r="L3695"><v>43309</v></cell><cell r="M3695" t="str"><v>Tier 1</v></cell><cell r="N3695" t="str"><v>APAC</v></cell><cell r="O3695" t="str"><v>Japan</v></cell><cell r="P3695" t="str"><v>Trial</v></cell><cell r="Q3695" t="str"><v>Social</v></cell><cell r="R3695" t="str"><v>Azure</v></cell><cell r="S3695" t="str"><v>Apps & Infra</v></cell><cell r="T3695" t="str"><v>Developers & ITI's</v></cell><cell r="U3695" t="str"><v>AZP-Canvas-Look a Like-Trial</v></cell><cell r="V3695" t="str"><v>Prospecting</v></cell><cell r="W3695" t="str"><v>Other</v></cell><cell r="X3695" t="str"><v>1x1</v></cell></row><row r="3695"><cell r="AA3695"><v>43307</v></cell><cell r="AB3695" t="str"><v>JPN_gaPMG_AZR_AZR_Q1_19_Trial-Social</v></cell><cell r="AC3695"><v>21276694</v></cell><cell r="AD3695"><v>720195</v></cell><cell r="AE3695" t="str"><v>Facebook</v></cell><cell r="AF3695"><v>3654128</v></cell><cell r="AG3695" t="str"><v>Facebook»AZP-Canvas-Look a Like-Trial»1x1»Canvas»OTH»MO»CPM»PRO»X»UNK»TP»OT»Canvas-Trial</v></cell><cell r="AH3695"><v>223297413</v></cell><cell r="AI3695" t="str"><v>AzurePlatform_FBCTCcanvaspage-StartFreeCTA-Img2_JPN_1080x143 _SOC_Plat_Japanese_NA_Standard_NA_NA_T2_1</v></cell><cell r="AJ3695"><v>102609621</v></cell></row><row r="3696"><cell r="C3696" t="str"><v>43307Facebook»AZP-Retargeting»1x1»Ban»LIA»ALL»CPM»RT»X»All»TP»OT»Free Account Retargeting Generic-ChB</v></cell><cell r="D3696" t="str"><v>43307223726377</v></cell><cell r="E3696" t="str"><v>43307102977720ic-ChB</v></cell><cell r="F3696" t="str"><v>DCM</v></cell><cell r="G3696" t="str"><v>https://azure.microsoft.com/ja-jp/free/search/</v></cell></row><row r="3696"><cell r="K3696" t="str"><v>July</v></cell><cell r="L3696"><v>43309</v></cell><cell r="M3696" t="str"><v>Tier 1</v></cell><cell r="N3696" t="str"><v>APAC</v></cell><cell r="O3696" t="str"><v>Japan</v></cell><cell r="P3696" t="str"><v>Trial</v></cell><cell r="Q3696" t="str"><v>Social</v></cell><cell r="R3696" t="str"><v>Azure</v></cell><cell r="S3696" t="str"><v>Apps & Infra</v></cell><cell r="T3696" t="str"><v>Developers & ITI's</v></cell><cell r="U3696" t="str"><v>AZP-Retargeting</v></cell><cell r="V3696" t="str"><v>Retargeting</v></cell><cell r="W3696" t="str"><v>Link Ad</v></cell><cell r="X3696" t="str"><v>1x1</v></cell></row><row r="3696"><cell r="AA3696"><v>43307</v></cell><cell r="AB3696" t="str"><v>JPN_gaPMG_AZR_AZR_Q1_19_Trial-Social</v></cell><cell r="AC3696"><v>21276694</v></cell><cell r="AD3696"><v>720195</v></cell><cell r="AE3696" t="str"><v>Facebook</v></cell><cell r="AF3696"><v>3654128</v></cell><cell r="AG3696" t="str"><v>Facebook»AZP-Retargeting»1x1»Ban»LIA»ALL»CPM»RT»X»All»TP»OT»Free Account Retargeting Generic-ChB</v></cell><cell r="AH3696"><v>223726377</v></cell><cell r="AI3696" t="str"><v>AzurePlatform_FreeAcctRetargetingFB-GlobalAlt-ChB_JPN_1200x628_SOC_Plat_JA_Free Account_Standard_NA_SU_T2_1</v></cell><cell r="AJ3696"><v>102977720</v></cell></row><row r="3697"><cell r="C3697" t="str"><v>43307Facebook»AZP-Retargeting»1x1»Ban»LIA»ALL»CPM»RT»X»All»TP»OT»Free Account Retargeting OSS-ChF</v></cell><cell r="D3697" t="str"><v>43307223726368</v></cell><cell r="E3697" t="str"><v>43307102974750SS-ChF</v></cell><cell r="F3697" t="str"><v>DCM</v></cell><cell r="G3697" t="str"><v>https://azure.microsoft.com/ja-jp/free/open-source/search/</v></cell></row><row r="3697"><cell r="K3697" t="str"><v>July</v></cell><cell r="L3697"><v>43309</v></cell><cell r="M3697" t="str"><v>Tier 1</v></cell><cell r="N3697" t="str"><v>APAC</v></cell><cell r="O3697" t="str"><v>Japan</v></cell><cell r="P3697" t="str"><v>Trial</v></cell><cell r="Q3697" t="str"><v>Social</v></cell><cell r="R3697" t="str"><v>Azure</v></cell><cell r="S3697" t="str"><v>Apps & Infra</v></cell><cell r="T3697" t="str"><v>Developers & ITI's</v></cell><cell r="U3697" t="str"><v>AZP-Retargeting</v></cell><cell r="V3697" t="str"><v>Retargeting</v></cell><cell r="W3697" t="str"><v>Link Ad</v></cell><cell r="X3697" t="str"><v>1x1</v></cell></row><row r="3697"><cell r="AA3697"><v>43307</v></cell><cell r="AB3697" t="str"><v>JPN_gaPMG_AZR_AZR_Q1_19_Trial-Social</v></cell><cell r="AC3697"><v>21276694</v></cell><cell r="AD3697"><v>720195</v></cell><cell r="AE3697" t="str"><v>Facebook</v></cell><cell r="AF3697"><v>3654128</v></cell><cell r="AG3697" t="str"><v>Facebook»AZP-Retargeting»1x1»Ban»LIA»ALL»CPM»RT»X»All»TP»OT»Free Account Retargeting OSS-ChF</v></cell><cell r="AH3697"><v>223726368</v></cell><cell r="AI3697" t="str"><v>AzurePlatform_FreeAcctRetargetingOSSFB-Text-ChF_JPN_1200x628_SOC_Plat_JA_Free Account_Standard_NA_SU_T1_1</v></cell><cell r="AJ3697"><v>102974750</v></cell></row><row r="3698"><cell r="C3698" t="str"><v>43307Facebook»AZP-Retargeting»1x1»Ban»LIA»ALL»CPM»RT»X»All»TP»OT»Free Account Retargeting VM-ChD</v></cell><cell r="D3698" t="str"><v>43307223726374</v></cell><cell r="E3698" t="str"><v>43307102971306VM-ChD</v></cell><cell r="F3698" t="str"><v>DCM</v></cell><cell r="G3698" t="str"><v>https://azure.microsoft.com/ja-jp/free/virtual-machines/search/</v></cell></row><row r="3698"><cell r="K3698" t="str"><v>July</v></cell><cell r="L3698"><v>43309</v></cell><cell r="M3698" t="str"><v>Tier 1</v></cell><cell r="N3698" t="str"><v>APAC</v></cell><cell r="O3698" t="str"><v>Japan</v></cell><cell r="P3698" t="str"><v>Trial</v></cell><cell r="Q3698" t="str"><v>Social</v></cell><cell r="R3698" t="str"><v>Azure</v></cell><cell r="S3698" t="str"><v>Apps & Infra</v></cell><cell r="T3698" t="str"><v>Developers & ITI's</v></cell><cell r="U3698" t="str"><v>AZP-Retargeting</v></cell><cell r="V3698" t="str"><v>Retargeting</v></cell><cell r="W3698" t="str"><v>Link Ad</v></cell><cell r="X3698" t="str"><v>1x1</v></cell></row><row r="3698"><cell r="AA3698"><v>43307</v></cell><cell r="AB3698" t="str"><v>JPN_gaPMG_AZR_AZR_Q1_19_Trial-Social</v></cell><cell r="AC3698"><v>21276694</v></cell><cell r="AD3698"><v>720195</v></cell><cell r="AE3698" t="str"><v>Facebook</v></cell><cell r="AF3698"><v>3654128</v></cell><cell r="AG3698" t="str"><v>Facebook»AZP-Retargeting»1x1»Ban»LIA»ALL»CPM»RT»X»All»TP»OT»Free Account Retargeting VM-ChD</v></cell><cell r="AH3698"><v>223726374</v></cell><cell r="AI3698" t="str"><v>AzurePlatform_FreeAcctRetargetingVMFB-750Hrs-ChD_JPN_1200x628_SOC_Plat_JA_Free Account_Standard_NA_SU_T1_1</v></cell><cell r="AJ3698"><v>102971306</v></cell></row><row r="3699"><cell r="C3699" t="str"><v>43307Facebook»AZP-Retargeting»1x1»Canvas»OTH»MO»CPM»RT»W»UNK»TP»OT»Trial-Basicmotion</v></cell><cell r="D3699" t="str"><v>43307223298811</v></cell><cell r="E3699" t="str"><v>43307102773984motion</v></cell><cell r="F3699" t="str"><v>DCM</v></cell><cell r="G3699" t="str"><v>https://azure.microsoft.com/ja-jp/free/search/</v></cell></row><row r="3699"><cell r="K3699" t="str"><v>July</v></cell><cell r="L3699"><v>43309</v></cell><cell r="M3699" t="str"><v>Tier 1</v></cell><cell r="N3699" t="str"><v>APAC</v></cell><cell r="O3699" t="str"><v>Japan</v></cell><cell r="P3699" t="str"><v>Trial</v></cell><cell r="Q3699" t="str"><v>Social</v></cell><cell r="R3699" t="str"><v>Azure</v></cell><cell r="S3699" t="str"><v>Apps & Infra</v></cell><cell r="T3699" t="str"><v>Developers & ITI's</v></cell><cell r="U3699" t="str"><v>AZP-Retargeting</v></cell><cell r="V3699" t="str"><v>Retargeting</v></cell><cell r="W3699" t="str"><v>Other</v></cell><cell r="X3699" t="str"><v>1x1</v></cell></row><row r="3699"><cell r="AA3699"><v>43307</v></cell><cell r="AB3699" t="str"><v>JPN_gaPMG_AZR_AZR_Q1_19_Trial-Social</v></cell><cell r="AC3699"><v>21276694</v></cell><cell r="AD3699"><v>720195</v></cell><cell r="AE3699" t="str"><v>Facebook</v></cell><cell r="AF3699"><v>3654128</v></cell><cell r="AG3699" t="str"><v>Facebook»AZP-Retargeting»1x1»Canvas»OTH»MO»CPM»RT»W»UNK»TP»OT»Trial-Basicmotion</v></cell><cell r="AH3699"><v>223298811</v></cell><cell r="AI3699" t="str"><v>AzurePlatform_FBCTCBasicMotion_JPN_10sec_ISV_PLAT_JA_Trial_Standard_STAN_TN_T1_1</v></cell><cell r="AJ3699"><v>102773984</v></cell></row><row r="3700"><cell r="C3700" t="str"><v>43307Facebook»AZP-Retargeting»1x1»Newsfeed»LIA»ALL»CPM»RT»X»UNK»SS»NA»Developer-Generic</v></cell><cell r="D3700" t="str"><v>43307225671576</v></cell><cell r="E3700" t="str"><v>43307104060550eneric</v></cell><cell r="F3700" t="str"><v>DCM</v></cell><cell r="G3700" t="str"><v>https://azure.microsoft.com/ja-jp/free/</v></cell></row><row r="3700"><cell r="K3700" t="str"><v>July</v></cell><cell r="L3700"><v>43309</v></cell><cell r="M3700" t="str"><v>Tier 1</v></cell><cell r="N3700" t="str"><v>APAC</v></cell><cell r="O3700" t="str"><v>Japan</v></cell><cell r="P3700" t="str"><v>Trial</v></cell><cell r="Q3700" t="str"><v>Social</v></cell><cell r="R3700" t="str"><v>Azure</v></cell><cell r="S3700" t="str"><v>Apps & Infra</v></cell><cell r="T3700" t="str"><v>Developers & ITI's</v></cell><cell r="U3700" t="str"><v>AZP-Retargeting</v></cell><cell r="V3700" t="str"><v>Retargeting</v></cell><cell r="W3700" t="str"><v>Link Ad</v></cell><cell r="X3700" t="str"><v>1x1</v></cell></row><row r="3700"><cell r="AA3700"><v>43307</v></cell><cell r="AB3700" t="str"><v>JPN_gaPMG_AZR_AZR_Q1_19_Trial-Social</v></cell><cell r="AC3700"><v>21276694</v></cell><cell r="AD3700"><v>720195</v></cell><cell r="AE3700" t="str"><v>Facebook</v></cell><cell r="AF3700"><v>3654128</v></cell><cell r="AG3700" t="str"><v>Facebook»AZP-Retargeting»1x1»Newsfeed»LIA»ALL»CPM»RT»X»UNK»SS»NA»Developer-Generic</v></cell><cell r="AH3700"><v>225671576</v></cell><cell r="AI3700" t="str"><v>AZR_FreeAcctDeveloperFB-AnimatedGeneric-Ch1_JPN_1200x1200_SOC_Direct_JA_Trial_Standard_ANI_LEA_T1_1</v></cell><cell r="AJ3700"><v>104060550</v></cell></row><row r="3701"><cell r="C3701" t="str"><v>43307Facebook»AZP-Retargeting»1x1»Newsfeed»LIA»ALL»CPM»RT»X»UNK»SS»NA»Developer-Intelligent Data</v></cell><cell r="D3701" t="str"><v>43307225761746</v></cell><cell r="E3701" t="str"><v>43307104064204t Data</v></cell><cell r="F3701" t="str"><v>DCM</v></cell><cell r="G3701" t="str"><v>https://azure.microsoft.com/ja-jp/free/</v></cell></row><row r="3701"><cell r="K3701" t="str"><v>July</v></cell><cell r="L3701"><v>43309</v></cell><cell r="M3701" t="str"><v>Tier 1</v></cell><cell r="N3701" t="str"><v>APAC</v></cell><cell r="O3701" t="str"><v>Japan</v></cell><cell r="P3701" t="str"><v>Trial</v></cell><cell r="Q3701" t="str"><v>Social</v></cell><cell r="R3701" t="str"><v>Azure</v></cell><cell r="S3701" t="str"><v>Apps & Infra</v></cell><cell r="T3701" t="str"><v>Developers & ITI's</v></cell><cell r="U3701" t="str"><v>AZP-Retargeting</v></cell><cell r="V3701" t="str"><v>Retargeting</v></cell><cell r="W3701" t="str"><v>Link Ad</v></cell><cell r="X3701" t="str"><v>1x1</v></cell></row><row r="3701"><cell r="AA3701"><v>43307</v></cell><cell r="AB3701" t="str"><v>JPN_gaPMG_AZR_AZR_Q1_19_Trial-Social</v></cell><cell r="AC3701"><v>21276694</v></cell><cell r="AD3701"><v>720195</v></cell><cell r="AE3701" t="str"><v>Facebook</v></cell><cell r="AF3701"><v>3654128</v></cell><cell r="AG3701" t="str"><v>Facebook»AZP-Retargeting»1x1»Newsfeed»LIA»ALL»CPM»RT»X»UNK»SS»NA»Developer-Intelligent Data</v></cell><cell r="AH3701"><v>225761746</v></cell><cell r="AI3701" t="str"><v>AZR_FreeAcctDeveloperFB-AnimatedData-Ch4_JPN_1200x1200_SOC_Direct_JA_Trial_Standard_ANI_LEA_T4_1</v></cell><cell r="AJ3701"><v>104064204</v></cell></row><row r="3702"><cell r="C3702" t="str"><v>43307Facebook»AZP-Retargeting»1x1»Newsfeed»LIA»ALL»CPM»RT»X»UNK»SS»NA»Developer-Open Source</v></cell><cell r="D3702" t="str"><v>43307225671573</v></cell><cell r="E3702" t="str"><v>43307104060553Source</v></cell><cell r="F3702" t="str"><v>DCM</v></cell><cell r="G3702" t="str"><v>https://azure.microsoft.com/ja-jp/free/</v></cell></row><row r="3702"><cell r="K3702" t="str"><v>July</v></cell><cell r="L3702"><v>43309</v></cell><cell r="M3702" t="str"><v>Tier 1</v></cell><cell r="N3702" t="str"><v>APAC</v></cell><cell r="O3702" t="str"><v>Japan</v></cell><cell r="P3702" t="str"><v>Trial</v></cell><cell r="Q3702" t="str"><v>Social</v></cell><cell r="R3702" t="str"><v>Azure</v></cell><cell r="S3702" t="str"><v>Apps & Infra</v></cell><cell r="T3702" t="str"><v>Developers & ITI's</v></cell><cell r="U3702" t="str"><v>AZP-Retargeting</v></cell><cell r="V3702" t="str"><v>Retargeting</v></cell><cell r="W3702" t="str"><v>Link Ad</v></cell><cell r="X3702" t="str"><v>1x1</v></cell></row><row r="3702"><cell r="AA3702"><v>43307</v></cell><cell r="AB3702" t="str"><v>JPN_gaPMG_AZR_AZR_Q1_19_Trial-Social</v></cell><cell r="AC3702"><v>21276694</v></cell><cell r="AD3702"><v>720195</v></cell><cell r="AE3702" t="str"><v>Facebook</v></cell><cell r="AF3702"><v>3654128</v></cell><cell r="AG3702" t="str"><v>Facebook»AZP-Retargeting»1x1»Newsfeed»LIA»ALL»CPM»RT»X»UNK»SS»NA»Developer-Open Source</v></cell><cell r="AH3702"><v>225671573</v></cell><cell r="AI3702" t="str"><v>AZR_FreeAcctDeveloperFB-AnimatedOpenSource-Ch2_JPN_1200x1200_SOC_Direct_JA_Trial_Standard_ANI_LEA_T2_1</v></cell><cell r="AJ3702"><v>104060553</v></cell></row><row r="3703"><cell r="C3703" t="str"><v>43307Facebook»AZP-Retargeting»1x1»Canvas»OTH»MO»CPM»RT»W»UNK»TP»OT»Trial-Benefit2inMotion</v></cell><cell r="D3703" t="str"><v>43307223298496</v></cell><cell r="E3703" t="str"><v>43307102630376Motion</v></cell><cell r="F3703" t="str"><v>DCM</v></cell><cell r="G3703" t="str"><v>https://azure.microsoft.com/ja-jp/free/search/</v></cell></row><row r="3703"><cell r="K3703" t="str"><v>July</v></cell><cell r="L3703"><v>43309</v></cell><cell r="M3703" t="str"><v>Tier 1</v></cell><cell r="N3703" t="str"><v>APAC</v></cell><cell r="O3703" t="str"><v>Japan</v></cell><cell r="P3703" t="str"><v>Trial</v></cell><cell r="Q3703" t="str"><v>Social</v></cell><cell r="R3703" t="str"><v>Azure</v></cell><cell r="S3703" t="str"><v>Apps & Infra</v></cell><cell r="T3703" t="str"><v>Developers & ITI's</v></cell><cell r="U3703" t="str"><v>AZP-Retargeting</v></cell><cell r="V3703" t="str"><v>Retargeting</v></cell><cell r="W3703" t="str"><v>Other</v></cell><cell r="X3703" t="str"><v>1x1</v></cell></row><row r="3703"><cell r="AA3703"><v>43307</v></cell><cell r="AB3703" t="str"><v>JPN_gaPMG_AZR_AZR_Q1_19_Trial-Social</v></cell><cell r="AC3703"><v>21276694</v></cell><cell r="AD3703"><v>720195</v></cell><cell r="AE3703" t="str"><v>Facebook</v></cell><cell r="AF3703"><v>3654128</v></cell><cell r="AG3703" t="str"><v>Facebook»AZP-Retargeting»1x1»Canvas»OTH»MO»CPM»RT»W»UNK»TP»OT»Trial-Benefit2inMotion</v></cell><cell r="AH3703"><v>223298496</v></cell><cell r="AI3703" t="str"><v>AzurePlatform_FBCTCBenefit2inMotion_JPN_14sec_ISV_PLAT_JA_Trial_Standard_STAN_TN_T4_1</v></cell><cell r="AJ3703"><v>102630376</v></cell></row><row r="3704"><cell r="C3704" t="str"><v>43307Facebook»AZP-Retargeting»1x1»Canvas»OTH»MO»CPM»RT»W»UNK»TP»OT»Trial-BrandinMotion</v></cell><cell r="D3704" t="str"><v>43307223298823</v></cell><cell r="E3704" t="str"><v>43307102612720Motion</v></cell><cell r="F3704" t="str"><v>DCM</v></cell><cell r="G3704" t="str"><v>https://azure.microsoft.com/ja-jp/free/search/</v></cell></row><row r="3704"><cell r="K3704" t="str"><v>July</v></cell><cell r="L3704"><v>43309</v></cell><cell r="M3704" t="str"><v>Tier 1</v></cell><cell r="N3704" t="str"><v>APAC</v></cell><cell r="O3704" t="str"><v>Japan</v></cell><cell r="P3704" t="str"><v>Trial</v></cell><cell r="Q3704" t="str"><v>Social</v></cell><cell r="R3704" t="str"><v>Azure</v></cell><cell r="S3704" t="str"><v>Apps & Infra</v></cell><cell r="T3704" t="str"><v>Developers & ITI's</v></cell><cell r="U3704" t="str"><v>AZP-Retargeting</v></cell><cell r="V3704" t="str"><v>Retargeting</v></cell><cell r="W3704" t="str"><v>Other</v></cell><cell r="X3704" t="str"><v>1x1</v></cell></row><row r="3704"><cell r="AA3704"><v>43307</v></cell><cell r="AB3704" t="str"><v>JPN_gaPMG_AZR_AZR_Q1_19_Trial-Social</v></cell><cell r="AC3704"><v>21276694</v></cell><cell r="AD3704"><v>720195</v></cell><cell r="AE3704" t="str"><v>Facebook</v></cell><cell r="AF3704"><v>3654128</v></cell><cell r="AG3704" t="str"><v>Facebook»AZP-Retargeting»1x1»Canvas»OTH»MO»CPM»RT»W»UNK»TP»OT»Trial-BrandinMotion</v></cell><cell r="AH3704"><v>223298823</v></cell><cell r="AI3704" t="str"><v>AzurePlatform_FBCTCBrandinMotion_JPN_12sec_ISV_PLAT_JA_Trial_Standard_STAN_TN_T2_1</v></cell><cell r="AJ3704"><v>102612720</v></cell></row><row r="3705"><cell r="C3705" t="str"><v>43307Facebook»AZP-Retargeting»1x1»Newsfeed»LIA»ALL»CPM»RT»X»UNK»SS»NA»Developer-AI</v></cell><cell r="D3705" t="str"><v>43307225761752</v></cell><cell r="E3705" t="str"><v>43307104061324per-AI</v></cell><cell r="F3705" t="str"><v>DCM</v></cell><cell r="G3705" t="str"><v>https://azure.microsoft.com/ja-jp/free/</v></cell></row><row r="3705"><cell r="K3705" t="str"><v>July</v></cell><cell r="L3705"><v>43309</v></cell><cell r="M3705" t="str"><v>Tier 1</v></cell><cell r="N3705" t="str"><v>APAC</v></cell><cell r="O3705" t="str"><v>Japan</v></cell><cell r="P3705" t="str"><v>Trial</v></cell><cell r="Q3705" t="str"><v>Social</v></cell><cell r="R3705" t="str"><v>Azure</v></cell><cell r="S3705" t="str"><v>Apps & Infra</v></cell><cell r="T3705" t="str"><v>Developers & ITI's</v></cell><cell r="U3705" t="str"><v>AZP-Retargeting</v></cell><cell r="V3705" t="str"><v>Retargeting</v></cell><cell r="W3705" t="str"><v>Link Ad</v></cell><cell r="X3705" t="str"><v>1x1</v></cell></row><row r="3705"><cell r="AA3705"><v>43307</v></cell><cell r="AB3705" t="str"><v>JPN_gaPMG_AZR_AZR_Q1_19_Trial-Social</v></cell><cell r="AC3705"><v>21276694</v></cell><cell r="AD3705"><v>720195</v></cell><cell r="AE3705" t="str"><v>Facebook</v></cell><cell r="AF3705"><v>3654128</v></cell><cell r="AG3705" t="str"><v>Facebook»AZP-Retargeting»1x1»Newsfeed»LIA»ALL»CPM»RT»X»UNK»SS»NA»Developer-AI</v></cell><cell r="AH3705"><v>225761752</v></cell><cell r="AI3705" t="str"><v>AZR_FreeAcctDeveloperFB-AnimatedAI-Ch3_JPN_1200x1200_SOC_Direct_JA_Trial_Standard_ANI_LEA_T3_1</v></cell><cell r="AJ3705"><v>104061324</v></cell></row><row r="3706"><cell r="C3706" t="str"><v>43307Facebook»AZP-Retargeting»1x1»Newsfeed»LIA»ALL»CPM»RT»X»UNK»SS»NA»IT Pro-Hybrid</v></cell><cell r="D3706" t="str"><v>43307225761734</v></cell><cell r="E3706" t="str"><v>43307104057152Hybrid</v></cell><cell r="F3706" t="str"><v>DCM</v></cell><cell r="G3706" t="str"><v>https://azure.microsoft.com/ja-jp/free/</v></cell></row><row r="3706"><cell r="K3706" t="str"><v>July</v></cell><cell r="L3706"><v>43309</v></cell><cell r="M3706" t="str"><v>Tier 1</v></cell><cell r="N3706" t="str"><v>APAC</v></cell><cell r="O3706" t="str"><v>Japan</v></cell><cell r="P3706" t="str"><v>Trial</v></cell><cell r="Q3706" t="str"><v>Social</v></cell><cell r="R3706" t="str"><v>Azure</v></cell><cell r="S3706" t="str"><v>Apps & Infra</v></cell><cell r="T3706" t="str"><v>Developers & ITI's</v></cell><cell r="U3706" t="str"><v>AZP-Retargeting</v></cell><cell r="V3706" t="str"><v>Retargeting</v></cell><cell r="W3706" t="str"><v>Link Ad</v></cell><cell r="X3706" t="str"><v>1x1</v></cell></row><row r="3706"><cell r="AA3706"><v>43307</v></cell><cell r="AB3706" t="str"><v>JPN_gaPMG_AZR_AZR_Q1_19_Trial-Social</v></cell><cell r="AC3706"><v>21276694</v></cell><cell r="AD3706"><v>720195</v></cell><cell r="AE3706" t="str"><v>Facebook</v></cell><cell r="AF3706"><v>3654128</v></cell><cell r="AG3706" t="str"><v>Facebook»AZP-Retargeting»1x1»Newsfeed»LIA»ALL»CPM»RT»X»UNK»SS»NA»IT Pro-Hybrid</v></cell><cell r="AH3706"><v>225761734</v></cell><cell r="AI3706" t="str"><v>AZR_FreeAcctITProFB-AnimatedHybrid-Ch2_JPN_1200x1200_SOC_Direct_JA_Trial_Standard_ANI_LEA_T2_1</v></cell><cell r="AJ3706"><v>104057152</v></cell></row><row r="3707"><cell r="C3707" t="str"><v>43307Facebook»AZP-Retargeting»1x1»Newsfeed»LIA»ALL»CPM»RT»X»UNK»SS»NA»IT Pro-Migration</v></cell><cell r="D3707" t="str"><v>43307225761728</v></cell><cell r="E3707" t="str"><v>43307104063229ration</v></cell><cell r="F3707" t="str"><v>DCM</v></cell><cell r="G3707" t="str"><v>https://azure.microsoft.com/ja-jp/free/</v></cell></row><row r="3707"><cell r="K3707" t="str"><v>July</v></cell><cell r="L3707"><v>43309</v></cell><cell r="M3707" t="str"><v>Tier 1</v></cell><cell r="N3707" t="str"><v>APAC</v></cell><cell r="O3707" t="str"><v>Japan</v></cell><cell r="P3707" t="str"><v>Trial</v></cell><cell r="Q3707" t="str"><v>Social</v></cell><cell r="R3707" t="str"><v>Azure</v></cell><cell r="S3707" t="str"><v>Apps & Infra</v></cell><cell r="T3707" t="str"><v>Developers & ITI's</v></cell><cell r="U3707" t="str"><v>AZP-Retargeting</v></cell><cell r="V3707" t="str"><v>Retargeting</v></cell><cell r="W3707" t="str"><v>Link Ad</v></cell><cell r="X3707" t="str"><v>1x1</v></cell></row><row r="3707"><cell r="AA3707"><v>43307</v></cell><cell r="AB3707" t="str"><v>JPN_gaPMG_AZR_AZR_Q1_19_Trial-Social</v></cell><cell r="AC3707"><v>21276694</v></cell><cell r="AD3707"><v>720195</v></cell><cell r="AE3707" t="str"><v>Facebook</v></cell><cell r="AF3707"><v>3654128</v></cell><cell r="AG3707" t="str"><v>Facebook»AZP-Retargeting»1x1»Newsfeed»LIA»ALL»CPM»RT»X»UNK»SS»NA»IT Pro-Migration</v></cell><cell r="AH3707"><v>225761728</v></cell><cell r="AI3707" t="str"><v>AZR_FreeAcctITProFB-AnimatedMigration-Ch3_JPN_1200x1200_SOC_Direct_JA_Trial_Standard_ANI_LEA_T3_1</v></cell><cell r="AJ3707"><v>104063229</v></cell></row><row r="3708"><cell r="C3708" t="str"><v>43307Facebook»AZP-Retargeting»1x1»Newsfeed»LIA»ALL»CPM»RT»X»UNK»SS»NA»IT Pro-Secure</v></cell><cell r="D3708" t="str"><v>43307225761740</v></cell><cell r="E3708" t="str"><v>43307104056945Secure</v></cell><cell r="F3708" t="str"><v>DCM</v></cell><cell r="G3708" t="str"><v>https://azure.microsoft.com/ja-jp/free/</v></cell></row><row r="3708"><cell r="K3708" t="str"><v>July</v></cell><cell r="L3708"><v>43309</v></cell><cell r="M3708" t="str"><v>Tier 1</v></cell><cell r="N3708" t="str"><v>APAC</v></cell><cell r="O3708" t="str"><v>Japan</v></cell><cell r="P3708" t="str"><v>Trial</v></cell><cell r="Q3708" t="str"><v>Social</v></cell><cell r="R3708" t="str"><v>Azure</v></cell><cell r="S3708" t="str"><v>Apps & Infra</v></cell><cell r="T3708" t="str"><v>Developers & ITI's</v></cell><cell r="U3708" t="str"><v>AZP-Retargeting</v></cell><cell r="V3708" t="str"><v>Retargeting</v></cell><cell r="W3708" t="str"><v>Link Ad</v></cell><cell r="X3708" t="str"><v>1x1</v></cell></row><row r="3708"><cell r="AA3708"><v>43307</v></cell><cell r="AB3708" t="str"><v>JPN_gaPMG_AZR_AZR_Q1_19_Trial-Social</v></cell><cell r="AC3708"><v>21276694</v></cell><cell r="AD3708"><v>720195</v></cell><cell r="AE3708" t="str"><v>Facebook</v></cell><cell r="AF3708"><v>3654128</v></cell><cell r="AG3708" t="str"><v>Facebook»AZP-Retargeting»1x1»Newsfeed»LIA»ALL»CPM»RT»X»UNK»SS»NA»IT Pro-Secure</v></cell><cell r="AH3708"><v>225761740</v></cell><cell r="AI3708" t="str"><v>AZR_FreeAcctITProFB-AnimatedSecureMngd-Ch1_JPN_1200x1200_SOC_Direct_JA_Trial_Standard_ANI_LEA_T1_1</v></cell><cell r="AJ3708"><v>104056945</v></cell></row><row r="3709"><cell r="C3709" t="str"><v>43307FACEBOOK»USA-Trial-ITD-Interest Prospecting-AZR-AZR»1 x 1»SocialBan»CAN»ALL»CPA»PRO»X»NA»SS»NA»FBCTCBasicMotion»PRC1SV</v></cell><cell r="D3709" t="str"><v>43307223934062</v></cell><cell r="E3709" t="str"><v>43307103043823PRC1SV</v></cell><cell r="F3709" t="str"><v>DCM</v></cell><cell r="G3709" t="str"><v>https://signup.azure.com/?OCID=AID%eexcid!_OLA_%ebuy!_%epid!_%ecid!</v></cell></row><row r="3709"><cell r="K3709" t="str"><v>July</v></cell><cell r="L3709"><v>43309</v></cell><cell r="M3709" t="str"><v>Tier 0</v></cell><cell r="N3709" t="str"><v>North America</v></cell><cell r="O3709" t="str"><v>United States</v></cell><cell r="P3709" t="str"><v>Trial</v></cell><cell r="Q3709" t="str"><v>Social</v></cell><cell r="R3709" t="str"><v>Azure</v></cell><cell r="S3709" t="str"><v>Apps & Infra</v></cell><cell r="T3709" t="str"><v>Developers & ITI's</v></cell><cell r="U3709" t="str"><v>USA-Trial-ITD-Interest Prospecting-AZR-AZR</v></cell><cell r="V3709" t="str"><v>Prospecting</v></cell><cell r="W3709" t="str"><v>Canvas Ad</v></cell><cell r="X3709" t="str"><v>1x1</v></cell></row><row r="3709"><cell r="AA3709"><v>43307</v></cell><cell r="AB3709" t="str"><v>USA_gaPMG_AZR_AZR_Q1_19_Direct-Social</v></cell><cell r="AC3709"><v>21358715</v></cell><cell r="AD3709"><v>720197</v></cell><cell r="AE3709" t="str"><v>Facebook</v></cell><cell r="AF3709"><v>3654128</v></cell><cell r="AG3709" t="str"><v>FACEBOOK»USA-Trial-ITD-Interest Prospecting-AZR-AZR»1 x 1»SocialBan»CAN»ALL»CPA»PRO»X»NA»SS»NA»FBCTCBasicMotion»PRC1SV</v></cell><cell r="AH3709"><v>223934062</v></cell><cell r="AI3709" t="str"><v>AzurePlatform_FBCTCBasicMotion_USA_10s_CAN_PLATFORM_English_Trial_Standard_STAN_TIN_T1_1</v></cell><cell r="AJ3709"><v>103043823</v></cell></row><row r="3710"><cell r="C3710" t="str"><v>43307FACEBOOK»USA-Trial-ITD-Interest Prospecting-AZR-AZR»1 x 1»SocialBan»CAN»ALL»CPA»PRO»X»NA»SS»NA»FBCTCBasicMotion»PRC1SV</v></cell><cell r="D3710" t="str"><v>43307223934062</v></cell><cell r="E3710" t="str"><v>43307103175984PRC1SV</v></cell><cell r="F3710" t="str"><v>DCM</v></cell><cell r="G3710" t="str"><v>https://azure.microsoft.com/en-us/pricing/purchase-options/?v=18.19&OCID=AID%eexcid!_OLA_%ebuy!_%epid!_%ecid!</v></cell></row><row r="3710"><cell r="K3710" t="str"><v>July</v></cell><cell r="L3710"><v>43309</v></cell><cell r="M3710" t="str"><v>Tier 0</v></cell><cell r="N3710" t="str"><v>North America</v></cell><cell r="O3710" t="str"><v>United States</v></cell><cell r="P3710" t="str"><v>Trial</v></cell><cell r="Q3710" t="str"><v>Social</v></cell><cell r="R3710" t="str"><v>Azure</v></cell><cell r="S3710" t="str"><v>Apps & Infra</v></cell><cell r="T3710" t="str"><v>Developers & ITI's</v></cell><cell r="U3710" t="str"><v>USA-Trial-ITD-Interest Prospecting-AZR-AZR</v></cell><cell r="V3710" t="str"><v>Prospecting</v></cell><cell r="W3710" t="str"><v>Canvas Ad</v></cell><cell r="X3710" t="str"><v>1x1</v></cell></row><row r="3710"><cell r="AA3710"><v>43307</v></cell><cell r="AB3710" t="str"><v>USA_gaPMG_AZR_AZR_Q1_19_Direct-Social</v></cell><cell r="AC3710"><v>21358715</v></cell><cell r="AD3710"><v>720197</v></cell><cell r="AE3710" t="str"><v>Facebook</v></cell><cell r="AF3710"><v>3654128</v></cell><cell r="AG3710" t="str"><v>FACEBOOK»USA-Trial-ITD-Interest Prospecting-AZR-AZR»1 x 1»SocialBan»CAN»ALL»CPA»PRO»X»NA»SS»NA»FBCTCBasicMotion»PRC1SV</v></cell><cell r="AH3710"><v>223934062</v></cell><cell r="AI3710" t="str"><v>AzurePlatform_FBCTCBasicMotion_USA_10s_CAN_PLATFORM_English_Trial_Standard_STAN_TIN_T1_2</v></cell><cell r="AJ3710"><v>103175984</v></cell></row><row r="3711"><cell r="C3711" t="str"><v>43307FACEBOOK»USA-Trial-ITD-Interest Prospecting-AZR-AZR»1 x 1»SocialBan»CAN»ALL»CPA»PRO»X»NA»SS»NA»FBCTCBenefit2inMotion»PRC1SW</v></cell><cell r="D3711" t="str"><v>43307223933138</v></cell><cell r="E3711" t="str"><v>43307103043835PRC1SW</v></cell><cell r="F3711" t="str"><v>DCM</v></cell><cell r="G3711" t="str"><v>https://signup.azure.com/?OCID=AID%eexcid!_OLA_%ebuy!_%epid!_%ecid!</v></cell></row><row r="3711"><cell r="K3711" t="str"><v>July</v></cell><cell r="L3711"><v>43309</v></cell><cell r="M3711" t="str"><v>Tier 0</v></cell><cell r="N3711" t="str"><v>North America</v></cell><cell r="O3711" t="str"><v>United States</v></cell><cell r="P3711" t="str"><v>Trial</v></cell><cell r="Q3711" t="str"><v>Social</v></cell><cell r="R3711" t="str"><v>Azure</v></cell><cell r="S3711" t="str"><v>Apps & Infra</v></cell><cell r="T3711" t="str"><v>Developers & ITI's</v></cell><cell r="U3711" t="str"><v>USA-Trial-ITD-Interest Prospecting-AZR-AZR</v></cell><cell r="V3711" t="str"><v>Prospecting</v></cell><cell r="W3711" t="str"><v>Canvas Ad</v></cell><cell r="X3711" t="str"><v>1x1</v></cell></row><row r="3711"><cell r="AA3711"><v>43307</v></cell><cell r="AB3711" t="str"><v>USA_gaPMG_AZR_AZR_Q1_19_Direct-Social</v></cell><cell r="AC3711"><v>21358715</v></cell><cell r="AD3711"><v>720197</v></cell><cell r="AE3711" t="str"><v>Facebook</v></cell><cell r="AF3711"><v>3654128</v></cell><cell r="AG3711" t="str"><v>FACEBOOK»USA-Trial-ITD-Interest Prospecting-AZR-AZR»1 x 1»SocialBan»CAN»ALL»CPA»PRO»X»NA»SS»NA»FBCTCBenefit2inMotion»PRC1SW</v></cell><cell r="AH3711"><v>223933138</v></cell><cell r="AI3711" t="str"><v>AzurePlatform_FBCTCBenefit2inMotion_USA_10s_CAN_PLATFORM_English_Trial_Standard_STAN_TIN_T4_1</v></cell><cell r="AJ3711"><v>103043835</v></cell></row><row r="3712"><cell r="C3712" t="str"><v>43307FACEBOOK»USA-Trial-ITD-Interest Prospecting-AZR-AZR»1 x 1»SocialBan»CAN»ALL»CPA»PRO»X»NA»SS»NA»FBCTCBrandinMotion»PRC1SY</v></cell><cell r="D3712" t="str"><v>43307224104929</v></cell><cell r="E3712" t="str"><v>43307103176812PRC1SY</v></cell><cell r="F3712" t="str"><v>DCM</v></cell><cell r="G3712" t="str"><v>https://signup.azure.com/?OCID=AID%eexcid!_OLA_%ebuy!_%epid!_%ecid!</v></cell></row><row r="3712"><cell r="K3712" t="str"><v>July</v></cell><cell r="L3712"><v>43309</v></cell><cell r="M3712" t="str"><v>Tier 0</v></cell><cell r="N3712" t="str"><v>North America</v></cell><cell r="O3712" t="str"><v>United States</v></cell><cell r="P3712" t="str"><v>Trial</v></cell><cell r="Q3712" t="str"><v>Social</v></cell><cell r="R3712" t="str"><v>Azure</v></cell><cell r="S3712" t="str"><v>Apps & Infra</v></cell><cell r="T3712" t="str"><v>Developers & ITI's</v></cell><cell r="U3712" t="str"><v>USA-Trial-ITD-Interest Prospecting-AZR-AZR</v></cell><cell r="V3712" t="str"><v>Prospecting</v></cell><cell r="W3712" t="str"><v>Canvas Ad</v></cell><cell r="X3712" t="str"><v>1x1</v></cell></row><row r="3712"><cell r="AA3712"><v>43307</v></cell><cell r="AB3712" t="str"><v>USA_gaPMG_AZR_AZR_Q1_19_Direct-Social</v></cell><cell r="AC3712"><v>21358715</v></cell><cell r="AD3712"><v>720197</v></cell><cell r="AE3712" t="str"><v>Facebook</v></cell><cell r="AF3712"><v>3654128</v></cell><cell r="AG3712" t="str"><v>FACEBOOK»USA-Trial-ITD-Interest Prospecting-AZR-AZR»1 x 1»SocialBan»CAN»ALL»CPA»PRO»X»NA»SS»NA»FBCTCBrandinMotion»PRC1SY</v></cell><cell r="AH3712"><v>224104929</v></cell><cell r="AI3712" t="str"><v>AzurePlatform_FBCTCBrandinMotion_USA_10s_CAN_PLATFORM_English_Trial_Standard_STAN_TIN_T2_1</v></cell><cell r="AJ3712"><v>103176812</v></cell></row><row r="3713"><cell r="C3713" t="str"><v>43307FACEBOOK»USA-Trial-ITD-Interest Prospecting-AZR-AZR»1 x 1»SocialBan»CAN»ALL»CPA»PRO»X»NA»SS»NA»FBCTCBrandinMotion»PRC1SY</v></cell><cell r="D3713" t="str"><v>43307224104929</v></cell><cell r="E3713" t="str"><v>43307103032823PRC1SY</v></cell><cell r="F3713" t="str"><v>DCM</v></cell><cell r="G3713" t="str"><v>https://azure.microsoft.com/en-us/pricing/purchase-options/?v=18.19&OCID=AID%eexcid!_OLA_%ebuy!_%epid!_%ecid!</v></cell></row><row r="3713"><cell r="K3713" t="str"><v>July</v></cell><cell r="L3713"><v>43309</v></cell><cell r="M3713" t="str"><v>Tier 0</v></cell><cell r="N3713" t="str"><v>North America</v></cell><cell r="O3713" t="str"><v>United States</v></cell><cell r="P3713" t="str"><v>Trial</v></cell><cell r="Q3713" t="str"><v>Social</v></cell><cell r="R3713" t="str"><v>Azure</v></cell><cell r="S3713" t="str"><v>Apps & Infra</v></cell><cell r="T3713" t="str"><v>Developers & ITI's</v></cell><cell r="U3713" t="str"><v>USA-Trial-ITD-Interest Prospecting-AZR-AZR</v></cell><cell r="V3713" t="str"><v>Prospecting</v></cell><cell r="W3713" t="str"><v>Canvas Ad</v></cell><cell r="X3713" t="str"><v>1x1</v></cell></row><row r="3713"><cell r="AA3713"><v>43307</v></cell><cell r="AB3713" t="str"><v>USA_gaPMG_AZR_AZR_Q1_19_Direct-Social</v></cell><cell r="AC3713"><v>21358715</v></cell><cell r="AD3713"><v>720197</v></cell><cell r="AE3713" t="str"><v>Facebook</v></cell><cell r="AF3713"><v>3654128</v></cell><cell r="AG3713" t="str"><v>FACEBOOK»USA-Trial-ITD-Interest Prospecting-AZR-AZR»1 x 1»SocialBan»CAN»ALL»CPA»PRO»X»NA»SS»NA»FBCTCBrandinMotion»PRC1SY</v></cell><cell r="AH3713"><v>224104929</v></cell><cell r="AI3713" t="str"><v>AzurePlatform_FBCTCBrandinMotion_USA_10s_CAN_PLATFORM_English_Trial_Standard_STAN_TIN_T2_2</v></cell><cell r="AJ3713"><v>103032823</v></cell></row><row r="3714"><cell r="C3714" t="str"><v>43307FACEBOOK»USA-Trial-ITD-Interest Prospecting-AZR-AZR»1 x 1»SocialBan»LIA»ALL»CPA»PRO»X»NA»SS»NA»FreeAcctDeveloperFB-AnimatedGeneric-Ch1»PRC1SZ</v></cell><cell r="D3714" t="str"><v>43307224104932</v></cell><cell r="E3714" t="str"><v>43307103176851PRC1SZ</v></cell><cell r="F3714" t="str"><v>DCM</v></cell><cell r="G3714" t="str"><v>https://azure.microsoft.com/en-us/free/search/?OCID=AID%eexcid!_OLA_%ebuy!_%epid!_%ecid!</v></cell></row><row r="3714"><cell r="K3714" t="str"><v>July</v></cell><cell r="L3714"><v>43309</v></cell><cell r="M3714" t="str"><v>Tier 0</v></cell><cell r="N3714" t="str"><v>North America</v></cell><cell r="O3714" t="str"><v>United States</v></cell><cell r="P3714" t="str"><v>Trial</v></cell><cell r="Q3714" t="str"><v>Social</v></cell><cell r="R3714" t="str"><v>Azure</v></cell><cell r="S3714" t="str"><v>Apps & Infra</v></cell><cell r="T3714" t="str"><v>Developers & ITI's</v></cell><cell r="U3714" t="str"><v>USA-Trial-ITD-Interest Prospecting-AZR-AZR</v></cell><cell r="V3714" t="str"><v>Prospecting</v></cell><cell r="W3714" t="str"><v>Link Ad</v></cell><cell r="X3714" t="str"><v>1x1</v></cell></row><row r="3714"><cell r="AA3714"><v>43307</v></cell><cell r="AB3714" t="str"><v>USA_gaPMG_AZR_AZR_Q1_19_Direct-Social</v></cell><cell r="AC3714"><v>21358715</v></cell><cell r="AD3714"><v>720197</v></cell><cell r="AE3714" t="str"><v>Facebook</v></cell><cell r="AF3714"><v>3654128</v></cell><cell r="AG3714" t="str"><v>FACEBOOK»USA-Trial-ITD-Interest Prospecting-AZR-AZR»1 x 1»SocialBan»LIA»ALL»CPA»PRO»X»NA»SS»NA»FreeAcctDeveloperFB-AnimatedGeneric-Ch1»PRC1SZ</v></cell><cell r="AH3714"><v>224104932</v></cell><cell r="AI3714" t="str"><v>AZR_FreeAcctDeveloperFB-AnimatedGeneric-Ch1_USA_1200x1200_CAN_Direct_English_Trial_Standard_ANI_LEA_T1_2</v></cell><cell r="AJ3714"><v>103176851</v></cell></row><row r="3715"><cell r="C3715" t="str"><v>43307FACEBOOK»USA-Trial-ITD-Interest Prospecting-AZR-AZR»1 x 1»SocialBan»LIA»ALL»CPA»PRO»X»NA»SS»NA»FreeAcctDeveloperFB-AnimatedGeneric-Ch1»PRC1T0</v></cell><cell r="D3715" t="str"><v>43307223934065</v></cell><cell r="E3715" t="str"><v>43307103176851PRC1T0</v></cell><cell r="F3715" t="str"><v>DCM</v></cell><cell r="G3715" t="str"><v>https://azure.microsoft.com/en-us/free/search/?OCID=AID%eexcid!_OLA_%ebuy!_%epid!_%ecid!</v></cell></row><row r="3715"><cell r="K3715" t="str"><v>July</v></cell><cell r="L3715"><v>43309</v></cell><cell r="M3715" t="str"><v>Tier 0</v></cell><cell r="N3715" t="str"><v>North America</v></cell><cell r="O3715" t="str"><v>United States</v></cell><cell r="P3715" t="str"><v>Trial</v></cell><cell r="Q3715" t="str"><v>Social</v></cell><cell r="R3715" t="str"><v>Azure</v></cell><cell r="S3715" t="str"><v>Apps & Infra</v></cell><cell r="T3715" t="str"><v>Developers & ITI's</v></cell><cell r="U3715" t="str"><v>USA-Trial-ITD-Interest Prospecting-AZR-AZR</v></cell><cell r="V3715" t="str"><v>Prospecting</v></cell><cell r="W3715" t="str"><v>Link Ad</v></cell><cell r="X3715" t="str"><v>1x1</v></cell></row><row r="3715"><cell r="AA3715"><v>43307</v></cell><cell r="AB3715" t="str"><v>USA_gaPMG_AZR_AZR_Q1_19_Direct-Social</v></cell><cell r="AC3715"><v>21358715</v></cell><cell r="AD3715"><v>720197</v></cell><cell r="AE3715" t="str"><v>Facebook</v></cell><cell r="AF3715"><v>3654128</v></cell><cell r="AG3715" t="str"><v>FACEBOOK»USA-Trial-ITD-Interest Prospecting-AZR-AZR»1 x 1»SocialBan»LIA»ALL»CPA»PRO»X»NA»SS»NA»FreeAcctDeveloperFB-AnimatedGeneric-Ch1»PRC1T0</v></cell><cell r="AH3715"><v>223934065</v></cell><cell r="AI3715" t="str"><v>AZR_FreeAcctDeveloperFB-AnimatedGeneric-Ch1_USA_1200x1200_CAN_Direct_English_Trial_Standard_ANI_LEA_T1_2</v></cell><cell r="AJ3715"><v>103176851</v></cell></row><row r="3716"><cell r="C3716" t="str"><v>43307FACEBOOK»USA-Trial-ITD-Interest Prospecting-AZR-AZR»1 x 1»SocialBan»LIA»ALL»CPA»PRO»X»NA»SS»NA»FreeAcctITProFB-AnimatedHybrid-Ch2»PRC1T5</v></cell><cell r="D3716" t="str"><v>43307223862882</v></cell><cell r="E3716" t="str"><v>43307103180583PRC1T5</v></cell><cell r="F3716" t="str"><v>DCM</v></cell></row><row r="3716"><cell r="K3716" t="str"><v>July</v></cell><cell r="L3716"><v>43309</v></cell><cell r="M3716" t="str"><v>Tier 0</v></cell><cell r="N3716" t="str"><v>North America</v></cell><cell r="O3716" t="str"><v>United States</v></cell><cell r="P3716" t="str"><v>Trial</v></cell><cell r="Q3716" t="str"><v>Social</v></cell><cell r="R3716" t="str"><v>Azure</v></cell><cell r="S3716" t="str"><v>Apps & Infra</v></cell><cell r="T3716" t="str"><v>Developers & ITI's</v></cell><cell r="U3716" t="str"><v>USA-Trial-ITD-Interest Prospecting-AZR-AZR</v></cell><cell r="V3716" t="str"><v>Prospecting</v></cell><cell r="W3716" t="str"><v>Link Ad</v></cell><cell r="X3716" t="str"><v>1x1</v></cell></row><row r="3716"><cell r="AA3716"><v>43307</v></cell><cell r="AB3716" t="str"><v>USA_gaPMG_AZR_AZR_Q1_19_Direct-Social</v></cell><cell r="AC3716"><v>21358715</v></cell><cell r="AD3716"><v>720197</v></cell><cell r="AE3716" t="str"><v>Facebook</v></cell><cell r="AF3716"><v>3654128</v></cell><cell r="AG3716" t="str"><v>FACEBOOK»USA-Trial-ITD-Interest Prospecting-AZR-AZR»1 x 1»SocialBan»LIA»ALL»CPA»PRO»X»NA»SS»NA»FreeAcctITProFB-AnimatedHybrid-Ch2»PRC1T5</v></cell><cell r="AH3716"><v>223862882</v></cell><cell r="AI3716" t="str"><v>AZR_FreeAcctITProFB-AnimatedHybrid-Ch2_USA_1200x1200_CAN_Direct_English_Trial_Standard_ANI_LEA_T2_2</v></cell><cell r="AJ3716"><v>103180583</v></cell></row><row r="3717"><cell r="C3717" t="str"><v>43307FACEBOOK»USA-Trial-ITD-Interest Prospecting-AZR-AZR»1 x 1»SocialBan»LIA»ALL»CPA»PRO»X»NA»SS»NA»FreeAcctITProFB-AnimatedSecureMngd-Ch1»PRC1T4</v></cell><cell r="D3717" t="str"><v>43307224104914</v></cell><cell r="E3717" t="str"><v>43307103176830PRC1T4</v></cell><cell r="F3717" t="str"><v>DCM</v></cell></row><row r="3717"><cell r="K3717" t="str"><v>July</v></cell><cell r="L3717"><v>43309</v></cell><cell r="M3717" t="str"><v>Tier 0</v></cell><cell r="N3717" t="str"><v>North America</v></cell><cell r="O3717" t="str"><v>United States</v></cell><cell r="P3717" t="str"><v>Trial</v></cell><cell r="Q3717" t="str"><v>Social</v></cell><cell r="R3717" t="str"><v>Azure</v></cell><cell r="S3717" t="str"><v>Apps & Infra</v></cell><cell r="T3717" t="str"><v>Developers & ITI's</v></cell><cell r="U3717" t="str"><v>USA-Trial-ITD-Interest Prospecting-AZR-AZR</v></cell><cell r="V3717" t="str"><v>Prospecting</v></cell><cell r="W3717" t="str"><v>Link Ad</v></cell><cell r="X3717" t="str"><v>1x1</v></cell></row><row r="3717"><cell r="AA3717"><v>43307</v></cell><cell r="AB3717" t="str"><v>USA_gaPMG_AZR_AZR_Q1_19_Direct-Social</v></cell><cell r="AC3717"><v>21358715</v></cell><cell r="AD3717"><v>720197</v></cell><cell r="AE3717" t="str"><v>Facebook</v></cell><cell r="AF3717"><v>3654128</v></cell><cell r="AG3717" t="str"><v>FACEBOOK»USA-Trial-ITD-Interest Prospecting-AZR-AZR»1 x 1»SocialBan»LIA»ALL»CPA»PRO»X»NA»SS»NA»FreeAcctITProFB-AnimatedSecureMngd-Ch1»PRC1T4</v></cell><cell r="AH3717"><v>224104914</v></cell><cell r="AI3717" t="str"><v>AZR_FreeAcctITProFB-AnimatedSecureMngd-Ch1_USA_1200x1200_CAN_Direct_English_Trial_Standard_ANI_LEA_T1_1</v></cell><cell r="AJ3717"><v>103176830</v></cell></row><row r="3718"><cell r="C3718" t="str"><v>43307FACEBOOK»USA-Trial-ITD-Interest Prospecting-AZR-AZR»1 x 1»SocialBan»CAN»ALL»CPA»PRO»X»NA»SS»NA»FBCTCBenefitinMotion»PRC1SX</v></cell><cell r="D3718" t="str"><v>43307224104077</v></cell><cell r="E3718" t="str"><v>43307103032775PRC1SX</v></cell><cell r="F3718" t="str"><v>DCM</v></cell><cell r="G3718" t="str"><v>https://signup.azure.com/?OCID=AID%eexcid!_OLA_%ebuy!_%epid!_%ecid!</v></cell></row><row r="3718"><cell r="K3718" t="str"><v>July</v></cell><cell r="L3718"><v>43309</v></cell><cell r="M3718" t="str"><v>Tier 0</v></cell><cell r="N3718" t="str"><v>North America</v></cell><cell r="O3718" t="str"><v>United States</v></cell><cell r="P3718" t="str"><v>Trial</v></cell><cell r="Q3718" t="str"><v>Social</v></cell><cell r="R3718" t="str"><v>Azure</v></cell><cell r="S3718" t="str"><v>Apps & Infra</v></cell><cell r="T3718" t="str"><v>Developers & ITI's</v></cell><cell r="U3718" t="str"><v>USA-Trial-ITD-Interest Prospecting-AZR-AZR</v></cell><cell r="V3718" t="str"><v>Prospecting</v></cell><cell r="W3718" t="str"><v>Canvas Ad</v></cell><cell r="X3718" t="str"><v>1x1</v></cell></row><row r="3718"><cell r="AA3718"><v>43307</v></cell><cell r="AB3718" t="str"><v>USA_gaPMG_AZR_AZR_Q1_19_Direct-Social</v></cell><cell r="AC3718"><v>21358715</v></cell><cell r="AD3718"><v>720197</v></cell><cell r="AE3718" t="str"><v>Facebook</v></cell><cell r="AF3718"><v>3654128</v></cell><cell r="AG3718" t="str"><v>FACEBOOK»USA-Trial-ITD-Interest Prospecting-AZR-AZR»1 x 1»SocialBan»CAN»ALL»CPA»PRO»X»NA»SS»NA»FBCTCBenefitinMotion»PRC1SX</v></cell><cell r="AH3718"><v>224104077</v></cell><cell r="AI3718" t="str"><v>AzurePlatform_FBCTCBenefitinMotion_USA_10s_CAN_PLATFORM_English_Trial_Standard_STAN_TIN_T3_1</v></cell><cell r="AJ3718"><v>103032775</v></cell></row><row r="3719"><cell r="C3719" t="str"><v>43307FACEBOOK»USA-Trial-ITD-Retargeting-AZR-AZR»1 x 1»SocialBan»LIA»ALL»CPA»RT»X»NA»SS»NA»FreeAcctDeveloperFB-AnimatedAI-Ch3»PRC26H</v></cell><cell r="D3719" t="str"><v>43307223863371</v></cell><cell r="E3719" t="str"><v>43307103032778PRC26H</v></cell><cell r="F3719" t="str"><v>DCM</v></cell></row><row r="3719"><cell r="K3719" t="str"><v>July</v></cell><cell r="L3719"><v>43309</v></cell><cell r="M3719" t="str"><v>Tier 0</v></cell><cell r="N3719" t="str"><v>North America</v></cell><cell r="O3719" t="str"><v>United States</v></cell><cell r="P3719" t="str"><v>Trial</v></cell><cell r="Q3719" t="str"><v>Social</v></cell><cell r="R3719" t="str"><v>Azure</v></cell><cell r="S3719" t="str"><v>Apps & Infra</v></cell><cell r="T3719" t="str"><v>Developers & ITI's</v></cell><cell r="U3719" t="str"><v>USA-Trial-ITD-Retargeting-AZR-AZR</v></cell><cell r="V3719" t="str"><v>Retargeting</v></cell><cell r="W3719" t="str"><v>Link Ad</v></cell><cell r="X3719" t="str"><v>1x1</v></cell></row><row r="3719"><cell r="AA3719"><v>43307</v></cell><cell r="AB3719" t="str"><v>USA_gaPMG_AZR_AZR_Q1_19_Direct-Social</v></cell><cell r="AC3719"><v>21358715</v></cell><cell r="AD3719"><v>720197</v></cell><cell r="AE3719" t="str"><v>Facebook</v></cell><cell r="AF3719"><v>3654128</v></cell><cell r="AG3719" t="str"><v>FACEBOOK»USA-Trial-ITD-Retargeting-AZR-AZR»1 x 1»SocialBan»LIA»ALL»CPA»RT»X»NA»SS»NA»FreeAcctDeveloperFB-AnimatedAI-Ch3»PRC26H</v></cell><cell r="AH3719"><v>223863371</v></cell><cell r="AI3719" t="str"><v>AZR_FreeAcctDeveloperFB-AnimatedAI-Ch3_USA_1200x1200_CAN_Direct_English_Trial_Standard_ANI_LEA_T3_1</v></cell><cell r="AJ3719"><v>103032778</v></cell></row><row r="3720"><cell r="C3720" t="str"><v>43307FACEBOOK»USA-Trial-ITD-Retargeting-AZR-AZR»1 x 1»SocialBan»LIA»ALL»CPA»RT»X»NA»SS»NA»FreeAcctDeveloperFB-AnimatedData-Ch4»PRC26J</v></cell><cell r="D3720" t="str"><v>43307224106078</v></cell><cell r="E3720" t="str"><v>43307103037935PRC26J</v></cell><cell r="F3720" t="str"><v>DCM</v></cell></row><row r="3720"><cell r="K3720" t="str"><v>July</v></cell><cell r="L3720"><v>43309</v></cell><cell r="M3720" t="str"><v>Tier 0</v></cell><cell r="N3720" t="str"><v>North America</v></cell><cell r="O3720" t="str"><v>United States</v></cell><cell r="P3720" t="str"><v>Trial</v></cell><cell r="Q3720" t="str"><v>Social</v></cell><cell r="R3720" t="str"><v>Azure</v></cell><cell r="S3720" t="str"><v>Apps & Infra</v></cell><cell r="T3720" t="str"><v>Developers & ITI's</v></cell><cell r="U3720" t="str"><v>USA-Trial-ITD-Retargeting-AZR-AZR</v></cell><cell r="V3720" t="str"><v>Retargeting</v></cell><cell r="W3720" t="str"><v>Link Ad</v></cell><cell r="X3720" t="str"><v>1x1</v></cell></row><row r="3720"><cell r="AA3720"><v>43307</v></cell><cell r="AB3720" t="str"><v>USA_gaPMG_AZR_AZR_Q1_19_Direct-Social</v></cell><cell r="AC3720"><v>21358715</v></cell><cell r="AD3720"><v>720197</v></cell><cell r="AE3720" t="str"><v>Facebook</v></cell><cell r="AF3720"><v>3654128</v></cell><cell r="AG3720" t="str"><v>FACEBOOK»USA-Trial-ITD-Retargeting-AZR-AZR»1 x 1»SocialBan»LIA»ALL»CPA»RT»X»NA»SS»NA»FreeAcctDeveloperFB-AnimatedData-Ch4»PRC26J</v></cell><cell r="AH3720"><v>224106078</v></cell><cell r="AI3720" t="str"><v>AZR_FreeAcctDeveloperFB-AnimatedData-Ch4_USA_1200x1200_CAN_Direct_English_Trial_Standard_ANI_LEA_T4_2</v></cell><cell r="AJ3720"><v>103037935</v></cell></row><row r="3721"><cell r="C3721" t="str"><v>43307FACEBOOK»USA-Trial-ITD-Retargeting-AZR-AZR»1 x 1»SocialBan»LIA»ALL»CPA»RT»X»NA»SS»NA»FreeAcctDeveloperFB-AnimatedGeneric-Ch1»PRC26F</v></cell><cell r="D3721" t="str"><v>43307224105850</v></cell><cell r="E3721" t="str"><v>43307103176851PRC26F</v></cell><cell r="F3721" t="str"><v>DCM</v></cell><cell r="G3721" t="str"><v>https://azure.microsoft.com/en-us/free/search/?OCID=AID%eexcid!_OLA_%ebuy!_%epid!_%ecid!</v></cell></row><row r="3721"><cell r="K3721" t="str"><v>July</v></cell><cell r="L3721"><v>43309</v></cell><cell r="M3721" t="str"><v>Tier 0</v></cell><cell r="N3721" t="str"><v>North America</v></cell><cell r="O3721" t="str"><v>United States</v></cell><cell r="P3721" t="str"><v>Trial</v></cell><cell r="Q3721" t="str"><v>Social</v></cell><cell r="R3721" t="str"><v>Azure</v></cell><cell r="S3721" t="str"><v>Apps & Infra</v></cell><cell r="T3721" t="str"><v>Developers & ITI's</v></cell><cell r="U3721" t="str"><v>USA-Trial-ITD-Retargeting-AZR-AZR</v></cell><cell r="V3721" t="str"><v>Retargeting</v></cell><cell r="W3721" t="str"><v>Link Ad</v></cell><cell r="X3721" t="str"><v>1x1</v></cell></row><row r="3721"><cell r="AA3721"><v>43307</v></cell><cell r="AB3721" t="str"><v>USA_gaPMG_AZR_AZR_Q1_19_Direct-Social</v></cell><cell r="AC3721"><v>21358715</v></cell><cell r="AD3721"><v>720197</v></cell><cell r="AE3721" t="str"><v>Facebook</v></cell><cell r="AF3721"><v>3654128</v></cell><cell r="AG3721" t="str"><v>FACEBOOK»USA-Trial-ITD-Retargeting-AZR-AZR»1 x 1»SocialBan»LIA»ALL»CPA»RT»X»NA»SS»NA»FreeAcctDeveloperFB-AnimatedGeneric-Ch1»PRC26F</v></cell><cell r="AH3721"><v>224105850</v></cell><cell r="AI3721" t="str"><v>AZR_FreeAcctDeveloperFB-AnimatedGeneric-Ch1_USA_1200x1200_CAN_Direct_English_Trial_Standard_ANI_LEA_T1_2</v></cell><cell r="AJ3721"><v>103176851</v></cell></row><row r="3722"><cell r="C3722" t="str"><v>43307FACEBOOK»USA-Trial-ITD-Retargeting-AZR-AZR»1 x 1»SocialBan»LIA»ALL»CPA»RT»X»NA»SS»NA»FreeAcctDeveloperFB-AnimatedOpenSource-Ch2»PRC26G</v></cell><cell r="D3722" t="str"><v>43307223862873</v></cell><cell r="E3722" t="str"><v>43307103048329PRC26G</v></cell><cell r="F3722" t="str"><v>DCM</v></cell><cell r="G3722" t="str"><v>https://azure.microsoft.com/en-us/free/open-source/search/?OCID=AID%eexcid!_OLA_%ebuy!_%epid!_%ecid!</v></cell></row><row r="3722"><cell r="K3722" t="str"><v>July</v></cell><cell r="L3722"><v>43309</v></cell><cell r="M3722" t="str"><v>Tier 0</v></cell><cell r="N3722" t="str"><v>North America</v></cell><cell r="O3722" t="str"><v>United States</v></cell><cell r="P3722" t="str"><v>Trial</v></cell><cell r="Q3722" t="str"><v>Social</v></cell><cell r="R3722" t="str"><v>Azure</v></cell><cell r="S3722" t="str"><v>Apps & Infra</v></cell><cell r="T3722" t="str"><v>Developers & ITI's</v></cell><cell r="U3722" t="str"><v>USA-Trial-ITD-Retargeting-AZR-AZR</v></cell><cell r="V3722" t="str"><v>Retargeting</v></cell><cell r="W3722" t="str"><v>Link Ad</v></cell><cell r="X3722" t="str"><v>1x1</v></cell></row><row r="3722"><cell r="AA3722"><v>43307</v></cell><cell r="AB3722" t="str"><v>USA_gaPMG_AZR_AZR_Q1_19_Direct-Social</v></cell><cell r="AC3722"><v>21358715</v></cell><cell r="AD3722"><v>720197</v></cell><cell r="AE3722" t="str"><v>Facebook</v></cell><cell r="AF3722"><v>3654128</v></cell><cell r="AG3722" t="str"><v>FACEBOOK»USA-Trial-ITD-Retargeting-AZR-AZR»1 x 1»SocialBan»LIA»ALL»CPA»RT»X»NA»SS»NA»FreeAcctDeveloperFB-AnimatedOpenSource-Ch2»PRC26G</v></cell><cell r="AH3722"><v>223862873</v></cell><cell r="AI3722" t="str"><v>AZR_FreeAcctDeveloperFB-AnimatedOpenSource-Ch2_USA_1200x1200_CAN_Direct_English_Trial_Standard_ANI_LEA_T2_1</v></cell><cell r="AJ3722"><v>103048329</v></cell></row><row r="3723"><cell r="C3723" t="str"><v>43307FACEBOOK»USA-Trial-ITD-Retargeting-AZR-AZR»1 x 1»SocialBan»LIA»ALL»CPA»RT»X»NA»SS»NA»FreeAcctITProFB-AnimatedHybrid-Ch2»PRC26N</v></cell><cell r="D3723" t="str"><v>43307223934053</v></cell><cell r="E3723" t="str"><v>43307103180583PRC26N</v></cell><cell r="F3723" t="str"><v>DCM</v></cell></row><row r="3723"><cell r="K3723" t="str"><v>July</v></cell><cell r="L3723"><v>43309</v></cell><cell r="M3723" t="str"><v>Tier 0</v></cell><cell r="N3723" t="str"><v>North America</v></cell><cell r="O3723" t="str"><v>United States</v></cell><cell r="P3723" t="str"><v>Trial</v></cell><cell r="Q3723" t="str"><v>Social</v></cell><cell r="R3723" t="str"><v>Azure</v></cell><cell r="S3723" t="str"><v>Apps & Infra</v></cell><cell r="T3723" t="str"><v>Developers & ITI's</v></cell><cell r="U3723" t="str"><v>USA-Trial-ITD-Retargeting-AZR-AZR</v></cell><cell r="V3723" t="str"><v>Retargeting</v></cell><cell r="W3723" t="str"><v>Link Ad</v></cell><cell r="X3723" t="str"><v>1x1</v></cell></row><row r="3723"><cell r="AA3723"><v>43307</v></cell><cell r="AB3723" t="str"><v>USA_gaPMG_AZR_AZR_Q1_19_Direct-Social</v></cell><cell r="AC3723"><v>21358715</v></cell><cell r="AD3723"><v>720197</v></cell><cell r="AE3723" t="str"><v>Facebook</v></cell><cell r="AF3723"><v>3654128</v></cell><cell r="AG3723" t="str"><v>FACEBOOK»USA-Trial-ITD-Retargeting-AZR-AZR»1 x 1»SocialBan»LIA»ALL»CPA»RT»X»NA»SS»NA»FreeAcctITProFB-AnimatedHybrid-Ch2»PRC26N</v></cell><cell r="AH3723"><v>223934053</v></cell><cell r="AI3723" t="str"><v>AZR_FreeAcctITProFB-AnimatedHybrid-Ch2_USA_1200x1200_CAN_Direct_English_Trial_Standard_ANI_LEA_T2_2</v></cell><cell r="AJ3723"><v>103180583</v></cell></row><row r="3724"><cell r="C3724" t="str"><v>43307FACEBOOK»USA-Trial-ITD-Retargeting-AZR-AZR»1 x 1»SocialBan»LIA»ALL»CPA»RT»X»NA»SS»NA»FreeAcctITProFB-AnimatedMigration-Ch3»PRC26P</v></cell><cell r="D3724" t="str"><v>43307223934056</v></cell><cell r="E3724" t="str"><v>43307103176827PRC26P</v></cell><cell r="F3724" t="str"><v>DCM</v></cell></row><row r="3724"><cell r="K3724" t="str"><v>July</v></cell><cell r="L3724"><v>43309</v></cell><cell r="M3724" t="str"><v>Tier 0</v></cell><cell r="N3724" t="str"><v>North America</v></cell><cell r="O3724" t="str"><v>United States</v></cell><cell r="P3724" t="str"><v>Trial</v></cell><cell r="Q3724" t="str"><v>Social</v></cell><cell r="R3724" t="str"><v>Azure</v></cell><cell r="S3724" t="str"><v>Apps & Infra</v></cell><cell r="T3724" t="str"><v>Developers & ITI's</v></cell><cell r="U3724" t="str"><v>USA-Trial-ITD-Retargeting-AZR-AZR</v></cell><cell r="V3724" t="str"><v>Retargeting</v></cell><cell r="W3724" t="str"><v>Link Ad</v></cell><cell r="X3724" t="str"><v>1x1</v></cell></row><row r="3724"><cell r="AA3724"><v>43307</v></cell><cell r="AB3724" t="str"><v>USA_gaPMG_AZR_AZR_Q1_19_Direct-Social</v></cell><cell r="AC3724"><v>21358715</v></cell><cell r="AD3724"><v>720197</v></cell><cell r="AE3724" t="str"><v>Facebook</v></cell><cell r="AF3724"><v>3654128</v></cell><cell r="AG3724" t="str"><v>FACEBOOK»USA-Trial-ITD-Retargeting-AZR-AZR»1 x 1»SocialBan»LIA»ALL»CPA»RT»X»NA»SS»NA»FreeAcctITProFB-AnimatedMigration-Ch3»PRC26P</v></cell><cell r="AH3724"><v>223934056</v></cell><cell r="AI3724" t="str"><v>AZR_FreeAcctITProFB-AnimatedMigration-Ch3_USA_1200x1200_CAN_Direct_English_Trial_Standard_ANI_LEA_T3_1</v></cell><cell r="AJ3724"><v>103176827</v></cell></row><row r="3725"><cell r="C3725" t="str"><v>43307FACEBOOK»USA-Trial-ITD-Retargeting-AZR-AZR»1 x 1»SocialBan»LIA»ALL»CPA»RT»X»NA»SS»NA»FreeAcctRetargetingFB-Animated-ChC»PRC1RX</v></cell><cell r="D3725" t="str"><v>43307223862864</v></cell><cell r="E3725" t="str"><v>43307103180880PRC1RX</v></cell><cell r="F3725" t="str"><v>DCM</v></cell><cell r="G3725" t="str"><v>https://azure.microsoft.com/en-us/free/search/?OCID=AID%eexcid!_OLA_%ebuy!_%epid!_%ecid!</v></cell></row><row r="3725"><cell r="K3725" t="str"><v>July</v></cell><cell r="L3725"><v>43309</v></cell><cell r="M3725" t="str"><v>Tier 0</v></cell><cell r="N3725" t="str"><v>North America</v></cell><cell r="O3725" t="str"><v>United States</v></cell><cell r="P3725" t="str"><v>Trial</v></cell><cell r="Q3725" t="str"><v>Social</v></cell><cell r="R3725" t="str"><v>Azure</v></cell><cell r="S3725" t="str"><v>Apps & Infra</v></cell><cell r="T3725" t="str"><v>Developers & ITI's</v></cell><cell r="U3725" t="str"><v>USA-Trial-ITD-Retargeting-AZR-AZR</v></cell><cell r="V3725" t="str"><v>Retargeting</v></cell><cell r="W3725" t="str"><v>Link Ad</v></cell><cell r="X3725" t="str"><v>1x1</v></cell></row><row r="3725"><cell r="AA3725"><v>43307</v></cell><cell r="AB3725" t="str"><v>USA_gaPMG_AZR_AZR_Q1_19_Direct-Social</v></cell><cell r="AC3725"><v>21358715</v></cell><cell r="AD3725"><v>720197</v></cell><cell r="AE3725" t="str"><v>Facebook</v></cell><cell r="AF3725"><v>3654128</v></cell><cell r="AG3725" t="str"><v>FACEBOOK»USA-Trial-ITD-Retargeting-AZR-AZR»1 x 1»SocialBan»LIA»ALL»CPA»RT»X»NA»SS»NA»FreeAcctRetargetingFB-Animated-ChC»PRC1RX</v></cell><cell r="AH3725"><v>223862864</v></cell><cell r="AI3725" t="str"><v>AzurePlatform_FreeAcctRetargetingFB-Animated-ChC_USA_1200x628_CAN_PLATFORM_English_Free Account_Standard_ANI_SINU_T3_2</v></cell><cell r="AJ3725"><v>103180880</v></cell></row><row r="3726"><cell r="C3726" t="str"><v>43307FACEBOOK»USA-Trial-ITD-Retargeting-AZR-AZR»1 x 1»SocialBan»LIA»ALL»CPA»RT»X»NA»SS»NA»FreeAcctRetargetingFB-Credit-ChA»PRC1RV</v></cell><cell r="D3726" t="str"><v>43307224106075</v></cell><cell r="E3726" t="str"><v>43307103034917PRC1RV</v></cell><cell r="F3726" t="str"><v>DCM</v></cell><cell r="G3726" t="str"><v>https://azure.microsoft.com/en-us/free/search/?OCID=AID%eexcid!_OLA_%ebuy!_%epid!_%ecid!</v></cell></row><row r="3726"><cell r="K3726" t="str"><v>July</v></cell><cell r="L3726"><v>43309</v></cell><cell r="M3726" t="str"><v>Tier 0</v></cell><cell r="N3726" t="str"><v>North America</v></cell><cell r="O3726" t="str"><v>United States</v></cell><cell r="P3726" t="str"><v>Trial</v></cell><cell r="Q3726" t="str"><v>Social</v></cell><cell r="R3726" t="str"><v>Azure</v></cell><cell r="S3726" t="str"><v>Apps & Infra</v></cell><cell r="T3726" t="str"><v>Developers & ITI's</v></cell><cell r="U3726" t="str"><v>USA-Trial-ITD-Retargeting-AZR-AZR</v></cell><cell r="V3726" t="str"><v>Retargeting</v></cell><cell r="W3726" t="str"><v>Link Ad</v></cell><cell r="X3726" t="str"><v>1x1</v></cell></row><row r="3726"><cell r="AA3726"><v>43307</v></cell><cell r="AB3726" t="str"><v>USA_gaPMG_AZR_AZR_Q1_19_Direct-Social</v></cell><cell r="AC3726"><v>21358715</v></cell><cell r="AD3726"><v>720197</v></cell><cell r="AE3726" t="str"><v>Facebook</v></cell><cell r="AF3726"><v>3654128</v></cell><cell r="AG3726" t="str"><v>FACEBOOK»USA-Trial-ITD-Retargeting-AZR-AZR»1 x 1»SocialBan»LIA»ALL»CPA»RT»X»NA»SS»NA»FreeAcctRetargetingFB-Credit-ChA»PRC1RV</v></cell><cell r="AH3726"><v>224106075</v></cell><cell r="AI3726" t="str"><v>AzurePlatform_FreeAcctRetargetingFB-Credit-ChA_USA_1200x628_CAN_PLATFORM_English_Free Account_Standard_NA_SINU_T1_2</v></cell><cell r="AJ3726"><v>103034917</v></cell></row><row r="3727"><cell r="C3727" t="str"><v>43307FACEBOOK»USA-Trial-ITD-Retargeting-AZR-AZR»1 x 1»SocialBan»LIA»ALL»CPA»RT»X»NA»SS»NA»FreeAcctRetargetingFB-GlobalAlt-ChB»PRC1RW</v></cell><cell r="D3727" t="str"><v>43307223862756</v></cell><cell r="E3727" t="str"><v>43307103180592PRC1RW</v></cell><cell r="F3727" t="str"><v>DCM</v></cell><cell r="G3727" t="str"><v>https://azure.microsoft.com/en-us/free/search/?OCID=AID%eexcid!_OLA_%ebuy!_%epid!_%ecid!</v></cell></row><row r="3727"><cell r="K3727" t="str"><v>July</v></cell><cell r="L3727"><v>43309</v></cell><cell r="M3727" t="str"><v>Tier 0</v></cell><cell r="N3727" t="str"><v>North America</v></cell><cell r="O3727" t="str"><v>United States</v></cell><cell r="P3727" t="str"><v>Trial</v></cell><cell r="Q3727" t="str"><v>Social</v></cell><cell r="R3727" t="str"><v>Azure</v></cell><cell r="S3727" t="str"><v>Apps & Infra</v></cell><cell r="T3727" t="str"><v>Developers & ITI's</v></cell><cell r="U3727" t="str"><v>USA-Trial-ITD-Retargeting-AZR-AZR</v></cell><cell r="V3727" t="str"><v>Retargeting</v></cell><cell r="W3727" t="str"><v>Link Ad</v></cell><cell r="X3727" t="str"><v>1x1</v></cell></row><row r="3727"><cell r="AA3727"><v>43307</v></cell><cell r="AB3727" t="str"><v>USA_gaPMG_AZR_AZR_Q1_19_Direct-Social</v></cell><cell r="AC3727"><v>21358715</v></cell><cell r="AD3727"><v>720197</v></cell><cell r="AE3727" t="str"><v>Facebook</v></cell><cell r="AF3727"><v>3654128</v></cell><cell r="AG3727" t="str"><v>FACEBOOK»USA-Trial-ITD-Retargeting-AZR-AZR»1 x 1»SocialBan»LIA»ALL»CPA»RT»X»NA»SS»NA»FreeAcctRetargetingFB-GlobalAlt-ChB»PRC1RW</v></cell><cell r="AH3727"><v>223862756</v></cell><cell r="AI3727" t="str"><v>AzurePlatform_FreeAcctRetargetingFB-GlobalAlt-ChB_USA_1200x628_CAN_PLATFORM_English_Free Account_Standard_NA_SINU_T2_1</v></cell><cell r="AJ3727"><v>103180592</v></cell></row><row r="3728"><cell r="C3728" t="str"><v>43307FACEBOOK»USA-Trial-ITD-Retargeting-AZR-AZR»1 x 1»SocialBan»LIA»ALL»CPA»RT»X»NA»SS»NA»FreeAcctRetargetingVMFB-750Hrs-ChD»PRC1RY</v></cell><cell r="D3728" t="str"><v>43307223862747</v></cell><cell r="E3728" t="str"><v>43307103034911PRC1RY</v></cell><cell r="F3728" t="str"><v>DCM</v></cell><cell r="G3728" t="str"><v>https://azure.microsoft.com/en-us/free/virtual-machines/search/?OCID=AID%eexcid!_OLA_%ebuy!_%epid!_%ecid!</v></cell></row><row r="3728"><cell r="K3728" t="str"><v>July</v></cell><cell r="L3728"><v>43309</v></cell><cell r="M3728" t="str"><v>Tier 0</v></cell><cell r="N3728" t="str"><v>North America</v></cell><cell r="O3728" t="str"><v>United States</v></cell><cell r="P3728" t="str"><v>Trial</v></cell><cell r="Q3728" t="str"><v>Social</v></cell><cell r="R3728" t="str"><v>Azure</v></cell><cell r="S3728" t="str"><v>Apps & Infra</v></cell><cell r="T3728" t="str"><v>Developers & ITI's</v></cell><cell r="U3728" t="str"><v>USA-Trial-ITD-Retargeting-AZR-AZR</v></cell><cell r="V3728" t="str"><v>Retargeting</v></cell><cell r="W3728" t="str"><v>Link Ad</v></cell><cell r="X3728" t="str"><v>1x1</v></cell></row><row r="3728"><cell r="AA3728"><v>43307</v></cell><cell r="AB3728" t="str"><v>USA_gaPMG_AZR_AZR_Q1_19_Direct-Social</v></cell><cell r="AC3728"><v>21358715</v></cell><cell r="AD3728"><v>720197</v></cell><cell r="AE3728" t="str"><v>Facebook</v></cell><cell r="AF3728"><v>3654128</v></cell><cell r="AG3728" t="str"><v>FACEBOOK»USA-Trial-ITD-Retargeting-AZR-AZR»1 x 1»SocialBan»LIA»ALL»CPA»RT»X»NA»SS»NA»FreeAcctRetargetingVMFB-750Hrs-ChD»PRC1RY</v></cell><cell r="AH3728"><v>223862747</v></cell><cell r="AI3728" t="str"><v>AzurePlatform_FreeAcctRetargetingVMFB-750Hrs-ChD_USA_1200x628_CAN_PLATFORM_English_Free Account_Standard_NA_SINU_T1_1</v></cell><cell r="AJ3728"><v>103034911</v></cell></row><row r="3729"><cell r="C3729" t="str"><v>43307FACEBOOK»USA-Trial-ITD-Retargeting-AZR-AZR»1 x 1»SocialBan»LIA»ALL»CPA»RT»X»NA»SS»NA»FreeAcctRetargetingVMFB-OnDemand-ChE»PRC1S0</v></cell><cell r="D3729" t="str"><v>43307224104899</v></cell><cell r="E3729" t="str"><v>43307103180610PRC1S0</v></cell><cell r="F3729" t="str"><v>DCM</v></cell><cell r="G3729" t="str"><v>https://azure.microsoft.com/en-us/free/virtual-machines/search/?OCID=AID%eexcid!_OLA_%ebuy!_%epid!_%ecid!</v></cell></row><row r="3729"><cell r="K3729" t="str"><v>July</v></cell><cell r="L3729"><v>43309</v></cell><cell r="M3729" t="str"><v>Tier 0</v></cell><cell r="N3729" t="str"><v>North America</v></cell><cell r="O3729" t="str"><v>United States</v></cell><cell r="P3729" t="str"><v>Trial</v></cell><cell r="Q3729" t="str"><v>Social</v></cell><cell r="R3729" t="str"><v>Azure</v></cell><cell r="S3729" t="str"><v>Apps & Infra</v></cell><cell r="T3729" t="str"><v>Developers & ITI's</v></cell><cell r="U3729" t="str"><v>USA-Trial-ITD-Retargeting-AZR-AZR</v></cell><cell r="V3729" t="str"><v>Retargeting</v></cell><cell r="W3729" t="str"><v>Link Ad</v></cell><cell r="X3729" t="str"><v>1x1</v></cell></row><row r="3729"><cell r="AA3729"><v>43307</v></cell><cell r="AB3729" t="str"><v>USA_gaPMG_AZR_AZR_Q1_19_Direct-Social</v></cell><cell r="AC3729"><v>21358715</v></cell><cell r="AD3729"><v>720197</v></cell><cell r="AE3729" t="str"><v>Facebook</v></cell><cell r="AF3729"><v>3654128</v></cell><cell r="AG3729" t="str"><v>FACEBOOK»USA-Trial-ITD-Retargeting-AZR-AZR»1 x 1»SocialBan»LIA»ALL»CPA»RT»X»NA»SS»NA»FreeAcctRetargetingVMFB-OnDemand-ChE»PRC1S0</v></cell><cell r="AH3729"><v>224104899</v></cell><cell r="AI3729" t="str"><v>AzurePlatform_FreeAcctRetargetingVMFB-OnDemand-ChE_USA_1200x628_CAN_PLATFORM_English_Free Account_Standard_NA_SINU_T2_1</v></cell><cell r="AJ3729"><v>103180610</v></cell></row><row r="3730"><cell r="C3730" t="str"><v>43307FACEBOOK»USA-Trial-ITD-Retargeting-AZR-AZR»1 x 1»SocialBan»CAN»ALL»CPA»RT»X»NA»SS»NA»FBCTCBrandinMotion»PRC1RT</v></cell><cell r="D3730" t="str"><v>43307224106069</v></cell><cell r="E3730" t="str"><v>43307103176812PRC1RT</v></cell><cell r="F3730" t="str"><v>DCM</v></cell><cell r="G3730" t="str"><v>https://signup.azure.com/?OCID=AID%eexcid!_OLA_%ebuy!_%epid!_%ecid!</v></cell></row><row r="3730"><cell r="K3730" t="str"><v>July</v></cell><cell r="L3730"><v>43309</v></cell><cell r="M3730" t="str"><v>Tier 0</v></cell><cell r="N3730" t="str"><v>North America</v></cell><cell r="O3730" t="str"><v>United States</v></cell><cell r="P3730" t="str"><v>Trial</v></cell><cell r="Q3730" t="str"><v>Social</v></cell><cell r="R3730" t="str"><v>Azure</v></cell><cell r="S3730" t="str"><v>Apps & Infra</v></cell><cell r="T3730" t="str"><v>Developers & ITI's</v></cell><cell r="U3730" t="str"><v>USA-Trial-ITD-Retargeting-AZR-AZR</v></cell><cell r="V3730" t="str"><v>Retargeting</v></cell><cell r="W3730" t="str"><v>Canvas Ad</v></cell><cell r="X3730" t="str"><v>1x1</v></cell></row><row r="3730"><cell r="AA3730"><v>43307</v></cell><cell r="AB3730" t="str"><v>USA_gaPMG_AZR_AZR_Q1_19_Direct-Social</v></cell><cell r="AC3730"><v>21358715</v></cell><cell r="AD3730"><v>720197</v></cell><cell r="AE3730" t="str"><v>Facebook</v></cell><cell r="AF3730"><v>3654128</v></cell><cell r="AG3730" t="str"><v>FACEBOOK»USA-Trial-ITD-Retargeting-AZR-AZR»1 x 1»SocialBan»CAN»ALL»CPA»RT»X»NA»SS»NA»FBCTCBrandinMotion»PRC1RT</v></cell><cell r="AH3730"><v>224106069</v></cell><cell r="AI3730" t="str"><v>AzurePlatform_FBCTCBrandinMotion_USA_10s_CAN_PLATFORM_English_Trial_Standard_STAN_TIN_T2_1</v></cell><cell r="AJ3730"><v>103176812</v></cell></row><row r="3731"><cell r="C3731" t="str"><v>43307FACEBOOK»USA-Trial-ITD-Trial Lookalike-AZR-AZR»1 x 1»SocialBan»CAN»ALL»CPA»LAL»X»NA»SS»NA»FBCTCBenefit2inMotion»PRC1M0</v></cell><cell r="D3731" t="str"><v>43307223862927</v></cell><cell r="E3731" t="str"><v>43307103043835PRC1M0</v></cell><cell r="F3731" t="str"><v>DCM</v></cell><cell r="G3731" t="str"><v>https://signup.azure.com/?OCID=AID%eexcid!_OLA_%ebuy!_%epid!_%ecid!</v></cell></row><row r="3731"><cell r="K3731" t="str"><v>July</v></cell><cell r="L3731"><v>43309</v></cell><cell r="M3731" t="str"><v>Tier 0</v></cell><cell r="N3731" t="str"><v>North America</v></cell><cell r="O3731" t="str"><v>United States</v></cell><cell r="P3731" t="str"><v>Trial</v></cell><cell r="Q3731" t="str"><v>Social</v></cell><cell r="R3731" t="str"><v>Azure</v></cell><cell r="S3731" t="str"><v>Apps & Infra</v></cell><cell r="T3731" t="str"><v>Developers & ITI's</v></cell><cell r="U3731" t="str"><v>USA-Trial-ITD-Trial Lookalike-AZR-AZR</v></cell><cell r="V3731" t="str"><v>Lookalike Targeting</v></cell><cell r="W3731" t="str"><v>Canvas Ad</v></cell><cell r="X3731" t="str"><v>1x1</v></cell></row><row r="3731"><cell r="AA3731"><v>43307</v></cell><cell r="AB3731" t="str"><v>USA_gaPMG_AZR_AZR_Q1_19_Direct-Social</v></cell><cell r="AC3731"><v>21358715</v></cell><cell r="AD3731"><v>720197</v></cell><cell r="AE3731" t="str"><v>Facebook</v></cell><cell r="AF3731"><v>3654128</v></cell><cell r="AG3731" t="str"><v>FACEBOOK»USA-Trial-ITD-Trial Lookalike-AZR-AZR»1 x 1»SocialBan»CAN»ALL»CPA»LAL»X»NA»SS»NA»FBCTCBenefit2inMotion»PRC1M0</v></cell><cell r="AH3731"><v>223862927</v></cell><cell r="AI3731" t="str"><v>AzurePlatform_FBCTCBenefit2inMotion_USA_10s_CAN_PLATFORM_English_Trial_Standard_STAN_TIN_T4_1</v></cell><cell r="AJ3731"><v>103043835</v></cell></row><row r="3732"><cell r="C3732" t="str"><v>43307FACEBOOK»USA-Trial-ITD-Trial Lookalike-AZR-AZR»1 x 1»SocialBan»CAN»ALL»CPA»LAL»X»NA»SS»NA»FBCTCBenefitinMotion»PRC1M2</v></cell><cell r="D3732" t="str"><v>43307223862897</v></cell><cell r="E3732" t="str"><v>43307103176836PRC1M2</v></cell><cell r="F3732" t="str"><v>DCM</v></cell><cell r="G3732" t="str"><v>https://azure.microsoft.com/en-us/pricing/purchase-options/?v=18.19&OCID=AID%eexcid!_OLA_%ebuy!_%epid!_%ecid!</v></cell></row><row r="3732"><cell r="K3732" t="str"><v>July</v></cell><cell r="L3732"><v>43309</v></cell><cell r="M3732" t="str"><v>Tier 0</v></cell><cell r="N3732" t="str"><v>North America</v></cell><cell r="O3732" t="str"><v>United States</v></cell><cell r="P3732" t="str"><v>Trial</v></cell><cell r="Q3732" t="str"><v>Social</v></cell><cell r="R3732" t="str"><v>Azure</v></cell><cell r="S3732" t="str"><v>Apps & Infra</v></cell><cell r="T3732" t="str"><v>Developers & ITI's</v></cell><cell r="U3732" t="str"><v>USA-Trial-ITD-Trial Lookalike-AZR-AZR</v></cell><cell r="V3732" t="str"><v>Lookalike Targeting</v></cell><cell r="W3732" t="str"><v>Canvas Ad</v></cell><cell r="X3732" t="str"><v>1x1</v></cell></row><row r="3732"><cell r="AA3732"><v>43307</v></cell><cell r="AB3732" t="str"><v>USA_gaPMG_AZR_AZR_Q1_19_Direct-Social</v></cell><cell r="AC3732"><v>21358715</v></cell><cell r="AD3732"><v>720197</v></cell><cell r="AE3732" t="str"><v>Facebook</v></cell><cell r="AF3732"><v>3654128</v></cell><cell r="AG3732" t="str"><v>FACEBOOK»USA-Trial-ITD-Trial Lookalike-AZR-AZR»1 x 1»SocialBan»CAN»ALL»CPA»LAL»X»NA»SS»NA»FBCTCBenefitinMotion»PRC1M2</v></cell><cell r="AH3732"><v>223862897</v></cell><cell r="AI3732" t="str"><v>AzurePlatform_FBCTCBenefitinMotion_USA_10s_CAN_PLATFORM_English_Trial_Standard_STAN_TIN_T3_2</v></cell><cell r="AJ3732"><v>103176836</v></cell></row><row r="3733"><cell r="C3733" t="str"><v>43307FACEBOOK»USA-Trial-ITD-Trial Lookalike-AZR-AZR»1 x 1»SocialBan»LIA»ALL»CPA»LAL»X»NA»SS»NA»FreeAcctDeveloperFB-AnimatedAI-Ch3»PRC1M7</v></cell><cell r="D3733" t="str"><v>43307223934104</v></cell><cell r="E3733" t="str"><v>43307103032778PRC1M7</v></cell><cell r="F3733" t="str"><v>DCM</v></cell></row><row r="3733"><cell r="K3733" t="str"><v>July</v></cell><cell r="L3733"><v>43309</v></cell><cell r="M3733" t="str"><v>Tier 0</v></cell><cell r="N3733" t="str"><v>North America</v></cell><cell r="O3733" t="str"><v>United States</v></cell><cell r="P3733" t="str"><v>Trial</v></cell><cell r="Q3733" t="str"><v>Social</v></cell><cell r="R3733" t="str"><v>Azure</v></cell><cell r="S3733" t="str"><v>Apps & Infra</v></cell><cell r="T3733" t="str"><v>Developers & ITI's</v></cell><cell r="U3733" t="str"><v>USA-Trial-ITD-Trial Lookalike-AZR-AZR</v></cell><cell r="V3733" t="str"><v>Lookalike Targeting</v></cell><cell r="W3733" t="str"><v>Link Ad</v></cell><cell r="X3733" t="str"><v>1x1</v></cell></row><row r="3733"><cell r="AA3733"><v>43307</v></cell><cell r="AB3733" t="str"><v>USA_gaPMG_AZR_AZR_Q1_19_Direct-Social</v></cell><cell r="AC3733"><v>21358715</v></cell><cell r="AD3733"><v>720197</v></cell><cell r="AE3733" t="str"><v>Facebook</v></cell><cell r="AF3733"><v>3654128</v></cell><cell r="AG3733" t="str"><v>FACEBOOK»USA-Trial-ITD-Trial Lookalike-AZR-AZR»1 x 1»SocialBan»LIA»ALL»CPA»LAL»X»NA»SS»NA»FreeAcctDeveloperFB-AnimatedAI-Ch3»PRC1M7</v></cell><cell r="AH3733"><v>223934104</v></cell><cell r="AI3733" t="str"><v>AZR_FreeAcctDeveloperFB-AnimatedAI-Ch3_USA_1200x1200_CAN_Direct_English_Trial_Standard_ANI_LEA_T3_1</v></cell><cell r="AJ3733"><v>103032778</v></cell></row><row r="3734"><cell r="C3734" t="str"><v>43307FACEBOOK»USA-Trial-ITD-Trial Lookalike-AZR-AZR»1 x 1»SocialBan»LIA»ALL»CPA»LAL»X»NA»SS»NA»FreeAcctDeveloperFB-AnimatedData-Ch4»PRC1M8</v></cell><cell r="D3734" t="str"><v>43307223862933</v></cell><cell r="E3734" t="str"><v>43307103037935PRC1M8</v></cell><cell r="F3734" t="str"><v>DCM</v></cell></row><row r="3734"><cell r="K3734" t="str"><v>July</v></cell><cell r="L3734"><v>43309</v></cell><cell r="M3734" t="str"><v>Tier 0</v></cell><cell r="N3734" t="str"><v>North America</v></cell><cell r="O3734" t="str"><v>United States</v></cell><cell r="P3734" t="str"><v>Trial</v></cell><cell r="Q3734" t="str"><v>Social</v></cell><cell r="R3734" t="str"><v>Azure</v></cell><cell r="S3734" t="str"><v>Apps & Infra</v></cell><cell r="T3734" t="str"><v>Developers & ITI's</v></cell><cell r="U3734" t="str"><v>USA-Trial-ITD-Trial Lookalike-AZR-AZR</v></cell><cell r="V3734" t="str"><v>Lookalike Targeting</v></cell><cell r="W3734" t="str"><v>Link Ad</v></cell><cell r="X3734" t="str"><v>1x1</v></cell></row><row r="3734"><cell r="AA3734"><v>43307</v></cell><cell r="AB3734" t="str"><v>USA_gaPMG_AZR_AZR_Q1_19_Direct-Social</v></cell><cell r="AC3734"><v>21358715</v></cell><cell r="AD3734"><v>720197</v></cell><cell r="AE3734" t="str"><v>Facebook</v></cell><cell r="AF3734"><v>3654128</v></cell><cell r="AG3734" t="str"><v>FACEBOOK»USA-Trial-ITD-Trial Lookalike-AZR-AZR»1 x 1»SocialBan»LIA»ALL»CPA»LAL»X»NA»SS»NA»FreeAcctDeveloperFB-AnimatedData-Ch4»PRC1M8</v></cell><cell r="AH3734"><v>223862933</v></cell><cell r="AI3734" t="str"><v>AZR_FreeAcctDeveloperFB-AnimatedData-Ch4_USA_1200x1200_CAN_Direct_English_Trial_Standard_ANI_LEA_T4_2</v></cell><cell r="AJ3734"><v>103037935</v></cell></row><row r="3735"><cell r="C3735" t="str"><v>43307FACEBOOK»USA-Trial-ITD-Trial Lookalike-AZR-AZR»1 x 1»SocialBan»LIA»ALL»CPA»LAL»X»NA»SS»NA»FreeAcctITProFB-AnimatedHybrid-Ch2»PRC1MC</v></cell><cell r="D3735" t="str"><v>43307224104956</v></cell><cell r="E3735" t="str"><v>43307103180583PRC1MC</v></cell><cell r="F3735" t="str"><v>DCM</v></cell></row><row r="3735"><cell r="K3735" t="str"><v>July</v></cell><cell r="L3735"><v>43309</v></cell><cell r="M3735" t="str"><v>Tier 0</v></cell><cell r="N3735" t="str"><v>North America</v></cell><cell r="O3735" t="str"><v>United States</v></cell><cell r="P3735" t="str"><v>Trial</v></cell><cell r="Q3735" t="str"><v>Social</v></cell><cell r="R3735" t="str"><v>Azure</v></cell><cell r="S3735" t="str"><v>Apps & Infra</v></cell><cell r="T3735" t="str"><v>Developers & ITI's</v></cell><cell r="U3735" t="str"><v>USA-Trial-ITD-Trial Lookalike-AZR-AZR</v></cell><cell r="V3735" t="str"><v>Lookalike Targeting</v></cell><cell r="W3735" t="str"><v>Link Ad</v></cell><cell r="X3735" t="str"><v>1x1</v></cell></row><row r="3735"><cell r="AA3735"><v>43307</v></cell><cell r="AB3735" t="str"><v>USA_gaPMG_AZR_AZR_Q1_19_Direct-Social</v></cell><cell r="AC3735"><v>21358715</v></cell><cell r="AD3735"><v>720197</v></cell><cell r="AE3735" t="str"><v>Facebook</v></cell><cell r="AF3735"><v>3654128</v></cell><cell r="AG3735" t="str"><v>FACEBOOK»USA-Trial-ITD-Trial Lookalike-AZR-AZR»1 x 1»SocialBan»LIA»ALL»CPA»LAL»X»NA»SS»NA»FreeAcctITProFB-AnimatedHybrid-Ch2»PRC1MC</v></cell><cell r="AH3735"><v>224104956</v></cell><cell r="AI3735" t="str"><v>AZR_FreeAcctITProFB-AnimatedHybrid-Ch2_USA_1200x1200_CAN_Direct_English_Trial_Standard_ANI_LEA_T2_2</v></cell><cell r="AJ3735"><v>103180583</v></cell></row><row r="3736"><cell r="C3736" t="str"><v>43307FACEBOOK»USA-Trial-ITD-Trial Lookalike-AZR-AZR»1 x 1»SocialBan»CAN»ALL»CPA»LAL»X»NA»SS»NA»FBCTCBrandinMotion»PRC1M3</v></cell><cell r="D3736" t="str"><v>43307223862900</v></cell><cell r="E3736" t="str"><v>43307103176812PRC1M3</v></cell><cell r="F3736" t="str"><v>DCM</v></cell><cell r="G3736" t="str"><v>https://signup.azure.com/?OCID=AID%eexcid!_OLA_%ebuy!_%epid!_%ecid!</v></cell></row><row r="3736"><cell r="K3736" t="str"><v>July</v></cell><cell r="L3736"><v>43309</v></cell><cell r="M3736" t="str"><v>Tier 0</v></cell><cell r="N3736" t="str"><v>North America</v></cell><cell r="O3736" t="str"><v>United States</v></cell><cell r="P3736" t="str"><v>Trial</v></cell><cell r="Q3736" t="str"><v>Social</v></cell><cell r="R3736" t="str"><v>Azure</v></cell><cell r="S3736" t="str"><v>Apps & Infra</v></cell><cell r="T3736" t="str"><v>Developers & ITI's</v></cell><cell r="U3736" t="str"><v>USA-Trial-ITD-Trial Lookalike-AZR-AZR</v></cell><cell r="V3736" t="str"><v>Lookalike Targeting</v></cell><cell r="W3736" t="str"><v>Canvas Ad</v></cell><cell r="X3736" t="str"><v>1x1</v></cell></row><row r="3736"><cell r="AA3736"><v>43307</v></cell><cell r="AB3736" t="str"><v>USA_gaPMG_AZR_AZR_Q1_19_Direct-Social</v></cell><cell r="AC3736"><v>21358715</v></cell><cell r="AD3736"><v>720197</v></cell><cell r="AE3736" t="str"><v>Facebook</v></cell><cell r="AF3736"><v>3654128</v></cell><cell r="AG3736" t="str"><v>FACEBOOK»USA-Trial-ITD-Trial Lookalike-AZR-AZR»1 x 1»SocialBan»CAN»ALL»CPA»LAL»X»NA»SS»NA»FBCTCBrandinMotion»PRC1M3</v></cell><cell r="AH3736"><v>223862900</v></cell><cell r="AI3736" t="str"><v>AzurePlatform_FBCTCBrandinMotion_USA_10s_CAN_PLATFORM_English_Trial_Standard_STAN_TIN_T2_1</v></cell><cell r="AJ3736"><v>103176812</v></cell></row><row r="3737"><cell r="C3737" t="str"><v>43307FACEBOOK»USA-Trial-ITD-Trial Lookalike-AZR-AZR»1 x 1»SocialBan»CAN»ALL»CPA»LAL»X»NA»SS»NA»FBCTCBrandinMotion»PRC1M3</v></cell><cell r="D3737" t="str"><v>43307223862900</v></cell><cell r="E3737" t="str"><v>43307103032823PRC1M3</v></cell><cell r="F3737" t="str"><v>DCM</v></cell><cell r="G3737" t="str"><v>https://azure.microsoft.com/en-us/pricing/purchase-options/?v=18.19&OCID=AID%eexcid!_OLA_%ebuy!_%epid!_%ecid!</v></cell></row><row r="3737"><cell r="K3737" t="str"><v>July</v></cell><cell r="L3737"><v>43309</v></cell><cell r="M3737" t="str"><v>Tier 0</v></cell><cell r="N3737" t="str"><v>North America</v></cell><cell r="O3737" t="str"><v>United States</v></cell><cell r="P3737" t="str"><v>Trial</v></cell><cell r="Q3737" t="str"><v>Social</v></cell><cell r="R3737" t="str"><v>Azure</v></cell><cell r="S3737" t="str"><v>Apps & Infra</v></cell><cell r="T3737" t="str"><v>Developers & ITI's</v></cell><cell r="U3737" t="str"><v>USA-Trial-ITD-Trial Lookalike-AZR-AZR</v></cell><cell r="V3737" t="str"><v>Lookalike Targeting</v></cell><cell r="W3737" t="str"><v>Canvas Ad</v></cell><cell r="X3737" t="str"><v>1x1</v></cell></row><row r="3737"><cell r="AA3737"><v>43307</v></cell><cell r="AB3737" t="str"><v>USA_gaPMG_AZR_AZR_Q1_19_Direct-Social</v></cell><cell r="AC3737"><v>21358715</v></cell><cell r="AD3737"><v>720197</v></cell><cell r="AE3737" t="str"><v>Facebook</v></cell><cell r="AF3737"><v>3654128</v></cell><cell r="AG3737" t="str"><v>FACEBOOK»USA-Trial-ITD-Trial Lookalike-AZR-AZR»1 x 1»SocialBan»CAN»ALL»CPA»LAL»X»NA»SS»NA»FBCTCBrandinMotion»PRC1M3</v></cell><cell r="AH3737"><v>223862900</v></cell><cell r="AI3737" t="str"><v>AzurePlatform_FBCTCBrandinMotion_USA_10s_CAN_PLATFORM_English_Trial_Standard_STAN_TIN_T2_2</v></cell><cell r="AJ3737"><v>103032823</v></cell></row><row r="3738"><cell r="C3738" t="str"><v>43307FACEBOOK»USA-Trial-ITD-Trial PayGo Lookalike-AZR-AZR»1 x 1»SocialBan»CAN»ALL»CPA»LAL»X»NA»SS»NA»FBCTCBenefit2inMotion»PRC1Q1</v></cell><cell r="D3738" t="str"><v>43307224104986</v></cell><cell r="E3738" t="str"><v>43307103043835PRC1Q1</v></cell><cell r="F3738" t="str"><v>DCM</v></cell><cell r="G3738" t="str"><v>https://signup.azure.com/?OCID=AID%eexcid!_OLA_%ebuy!_%epid!_%ecid!</v></cell></row><row r="3738"><cell r="K3738" t="str"><v>July</v></cell><cell r="L3738"><v>43309</v></cell><cell r="M3738" t="str"><v>Tier 0</v></cell><cell r="N3738" t="str"><v>North America</v></cell><cell r="O3738" t="str"><v>United States</v></cell><cell r="P3738" t="str"><v>Trial</v></cell><cell r="Q3738" t="str"><v>Social</v></cell><cell r="R3738" t="str"><v>Azure</v></cell><cell r="S3738" t="str"><v>Apps & Infra</v></cell><cell r="T3738" t="str"><v>Developers & ITI's</v></cell><cell r="U3738" t="str"><v>USA-Trial-ITD-Trial PayGo Lookalike-AZR-AZR</v></cell><cell r="V3738" t="str"><v>Lookalike Targeting</v></cell><cell r="W3738" t="str"><v>Canvas Ad</v></cell><cell r="X3738" t="str"><v>1x1</v></cell></row><row r="3738"><cell r="AA3738"><v>43307</v></cell><cell r="AB3738" t="str"><v>USA_gaPMG_AZR_AZR_Q1_19_Direct-Social</v></cell><cell r="AC3738"><v>21358715</v></cell><cell r="AD3738"><v>720197</v></cell><cell r="AE3738" t="str"><v>Facebook</v></cell><cell r="AF3738"><v>3654128</v></cell><cell r="AG3738" t="str"><v>FACEBOOK»USA-Trial-ITD-Trial PayGo Lookalike-AZR-AZR»1 x 1»SocialBan»CAN»ALL»CPA»LAL»X»NA»SS»NA»FBCTCBenefit2inMotion»PRC1Q1</v></cell><cell r="AH3738"><v>224104986</v></cell><cell r="AI3738" t="str"><v>AzurePlatform_FBCTCBenefit2inMotion_USA_10s_CAN_PLATFORM_English_Trial_Standard_STAN_TIN_T4_1</v></cell><cell r="AJ3738"><v>103043835</v></cell></row><row r="3739"><cell r="C3739" t="str"><v>43307FACEBOOK»USA-Trial-ITD-Trial PayGo Lookalike-AZR-AZR»1 x 1»SocialBan»CAN»ALL»CPA»LAL»X»NA»SS»NA»FBCTCBenefit2inMotion»PRC1Q1</v></cell><cell r="D3739" t="str"><v>43307224104986</v></cell><cell r="E3739" t="str"><v>43307103178645PRC1Q1</v></cell><cell r="F3739" t="str"><v>DCM</v></cell><cell r="G3739" t="str"><v>https://azure.microsoft.com/en-us/pricing/purchase-options/?v=18.19&OCID=AID%eexcid!_OLA_%ebuy!_%epid!_%ecid!</v></cell></row><row r="3739"><cell r="K3739" t="str"><v>July</v></cell><cell r="L3739"><v>43309</v></cell><cell r="M3739" t="str"><v>Tier 0</v></cell><cell r="N3739" t="str"><v>North America</v></cell><cell r="O3739" t="str"><v>United States</v></cell><cell r="P3739" t="str"><v>Trial</v></cell><cell r="Q3739" t="str"><v>Social</v></cell><cell r="R3739" t="str"><v>Azure</v></cell><cell r="S3739" t="str"><v>Apps & Infra</v></cell><cell r="T3739" t="str"><v>Developers & ITI's</v></cell><cell r="U3739" t="str"><v>USA-Trial-ITD-Trial PayGo Lookalike-AZR-AZR</v></cell><cell r="V3739" t="str"><v>Lookalike Targeting</v></cell><cell r="W3739" t="str"><v>Canvas Ad</v></cell><cell r="X3739" t="str"><v>1x1</v></cell></row><row r="3739"><cell r="AA3739"><v>43307</v></cell><cell r="AB3739" t="str"><v>USA_gaPMG_AZR_AZR_Q1_19_Direct-Social</v></cell><cell r="AC3739"><v>21358715</v></cell><cell r="AD3739"><v>720197</v></cell><cell r="AE3739" t="str"><v>Facebook</v></cell><cell r="AF3739"><v>3654128</v></cell><cell r="AG3739" t="str"><v>FACEBOOK»USA-Trial-ITD-Trial PayGo Lookalike-AZR-AZR»1 x 1»SocialBan»CAN»ALL»CPA»LAL»X»NA»SS»NA»FBCTCBenefit2inMotion»PRC1Q1</v></cell><cell r="AH3739"><v>224104986</v></cell><cell r="AI3739" t="str"><v>AzurePlatform_FBCTCBenefit2inMotion_USA_10s_CAN_PLATFORM_English_Trial_Standard_STAN_TIN_T4_2</v></cell><cell r="AJ3739"><v>103178645</v></cell></row><row r="3740"><cell r="C3740" t="str"><v>43307FACEBOOK»USA-Trial-ITD-Trial PayGo Lookalike-AZR-AZR»1 x 1»SocialBan»CAN»ALL»CPA»LAL»X»NA»SS»NA»FBCTCBrandinMotion»PRC1Q3</v></cell><cell r="D3740" t="str"><v>43307223935349</v></cell><cell r="E3740" t="str"><v>43307103176812PRC1Q3</v></cell><cell r="F3740" t="str"><v>DCM</v></cell><cell r="G3740" t="str"><v>https://signup.azure.com/?OCID=AID%eexcid!_OLA_%ebuy!_%epid!_%ecid!</v></cell></row><row r="3740"><cell r="K3740" t="str"><v>July</v></cell><cell r="L3740"><v>43309</v></cell><cell r="M3740" t="str"><v>Tier 0</v></cell><cell r="N3740" t="str"><v>North America</v></cell><cell r="O3740" t="str"><v>United States</v></cell><cell r="P3740" t="str"><v>Trial</v></cell><cell r="Q3740" t="str"><v>Social</v></cell><cell r="R3740" t="str"><v>Azure</v></cell><cell r="S3740" t="str"><v>Apps & Infra</v></cell><cell r="T3740" t="str"><v>Developers & ITI's</v></cell><cell r="U3740" t="str"><v>USA-Trial-ITD-Trial PayGo Lookalike-AZR-AZR</v></cell><cell r="V3740" t="str"><v>Lookalike Targeting</v></cell><cell r="W3740" t="str"><v>Canvas Ad</v></cell><cell r="X3740" t="str"><v>1x1</v></cell></row><row r="3740"><cell r="AA3740"><v>43307</v></cell><cell r="AB3740" t="str"><v>USA_gaPMG_AZR_AZR_Q1_19_Direct-Social</v></cell><cell r="AC3740"><v>21358715</v></cell><cell r="AD3740"><v>720197</v></cell><cell r="AE3740" t="str"><v>Facebook</v></cell><cell r="AF3740"><v>3654128</v></cell><cell r="AG3740" t="str"><v>FACEBOOK»USA-Trial-ITD-Trial PayGo Lookalike-AZR-AZR»1 x 1»SocialBan»CAN»ALL»CPA»LAL»X»NA»SS»NA»FBCTCBrandinMotion»PRC1Q3</v></cell><cell r="AH3740"><v>223935349</v></cell><cell r="AI3740" t="str"><v>AzurePlatform_FBCTCBrandinMotion_USA_10s_CAN_PLATFORM_English_Trial_Standard_STAN_TIN_T2_1</v></cell><cell r="AJ3740"><v>103176812</v></cell></row><row r="3741"><cell r="C3741" t="str"><v>43307FACEBOOK»USA-Trial-ITD-Trial PayGo Lookalike-AZR-AZR»1 x 1»SocialBan»LIA»ALL»CPA»LAL»X»NA»SS»NA»FreeAcctDeveloperFB-AnimatedGeneric-Ch1»PRC1Q6</v></cell><cell r="D3741" t="str"><v>43307224106129</v></cell><cell r="E3741" t="str"><v>43307103176851PRC1Q6</v></cell><cell r="F3741" t="str"><v>DCM</v></cell><cell r="G3741" t="str"><v>https://azure.microsoft.com/en-us/free/search/?OCID=AID%eexcid!_OLA_%ebuy!_%epid!_%ecid!</v></cell></row><row r="3741"><cell r="K3741" t="str"><v>July</v></cell><cell r="L3741"><v>43309</v></cell><cell r="M3741" t="str"><v>Tier 0</v></cell><cell r="N3741" t="str"><v>North America</v></cell><cell r="O3741" t="str"><v>United States</v></cell><cell r="P3741" t="str"><v>Trial</v></cell><cell r="Q3741" t="str"><v>Social</v></cell><cell r="R3741" t="str"><v>Azure</v></cell><cell r="S3741" t="str"><v>Apps & Infra</v></cell><cell r="T3741" t="str"><v>Developers & ITI's</v></cell><cell r="U3741" t="str"><v>USA-Trial-ITD-Trial PayGo Lookalike-AZR-AZR</v></cell><cell r="V3741" t="str"><v>Lookalike Targeting</v></cell><cell r="W3741" t="str"><v>Link Ad</v></cell><cell r="X3741" t="str"><v>1x1</v></cell></row><row r="3741"><cell r="AA3741"><v>43307</v></cell><cell r="AB3741" t="str"><v>USA_gaPMG_AZR_AZR_Q1_19_Direct-Social</v></cell><cell r="AC3741"><v>21358715</v></cell><cell r="AD3741"><v>720197</v></cell><cell r="AE3741" t="str"><v>Facebook</v></cell><cell r="AF3741"><v>3654128</v></cell><cell r="AG3741" t="str"><v>FACEBOOK»USA-Trial-ITD-Trial PayGo Lookalike-AZR-AZR»1 x 1»SocialBan»LIA»ALL»CPA»LAL»X»NA»SS»NA»FreeAcctDeveloperFB-AnimatedGeneric-Ch1»PRC1Q6</v></cell><cell r="AH3741"><v>224106129</v></cell><cell r="AI3741" t="str"><v>AZR_FreeAcctDeveloperFB-AnimatedGeneric-Ch1_USA_1200x1200_CAN_Direct_English_Trial_Standard_ANI_LEA_T1_2</v></cell><cell r="AJ3741"><v>103176851</v></cell></row><row r="3742"><cell r="C3742" t="str"><v>43307FACEBOOK»USA-Trial-ITD-Interest Prospecting-AZR-AZR»1 x 1»SocialBan»LIA»ALL»CPA»PRO»X»NA»SS»NA»FreeAcctDeveloperFB-AnimatedAI-Ch3»PRC1T2</v></cell><cell r="D3742" t="str"><v>43307223862765</v></cell><cell r="E3742" t="str"><v>43307103032778PRC1T2</v></cell><cell r="F3742" t="str"><v>DCM</v></cell></row><row r="3742"><cell r="K3742" t="str"><v>July</v></cell><cell r="L3742"><v>43309</v></cell><cell r="M3742" t="str"><v>Tier 0</v></cell><cell r="N3742" t="str"><v>North America</v></cell><cell r="O3742" t="str"><v>United States</v></cell><cell r="P3742" t="str"><v>Trial</v></cell><cell r="Q3742" t="str"><v>Social</v></cell><cell r="R3742" t="str"><v>Azure</v></cell><cell r="S3742" t="str"><v>Apps & Infra</v></cell><cell r="T3742" t="str"><v>Developers & ITI's</v></cell><cell r="U3742" t="str"><v>USA-Trial-ITD-Interest Prospecting-AZR-AZR</v></cell><cell r="V3742" t="str"><v>Prospecting</v></cell><cell r="W3742" t="str"><v>Link Ad</v></cell><cell r="X3742" t="str"><v>1x1</v></cell></row><row r="3742"><cell r="AA3742"><v>43307</v></cell><cell r="AB3742" t="str"><v>USA_gaPMG_AZR_AZR_Q1_19_Direct-Social</v></cell><cell r="AC3742"><v>21358715</v></cell><cell r="AD3742"><v>720197</v></cell><cell r="AE3742" t="str"><v>Facebook</v></cell><cell r="AF3742"><v>3654128</v></cell><cell r="AG3742" t="str"><v>FACEBOOK»USA-Trial-ITD-Interest Prospecting-AZR-AZR»1 x 1»SocialBan»LIA»ALL»CPA»PRO»X»NA»SS»NA»FreeAcctDeveloperFB-AnimatedAI-Ch3»PRC1T2</v></cell><cell r="AH3742"><v>223862765</v></cell><cell r="AI3742" t="str"><v>AZR_FreeAcctDeveloperFB-AnimatedAI-Ch3_USA_1200x1200_CAN_Direct_English_Trial_Standard_ANI_LEA_T3_1</v></cell><cell r="AJ3742"><v>103032778</v></cell></row><row r="3743"><cell r="C3743" t="str"><v>43307FACEBOOK»USA-Trial-ITD-Interest Prospecting-AZR-AZR»1 x 1»SocialBan»LIA»ALL»CPA»PRO»X»NA»SS»NA»FreeAcctDeveloperFB-AnimatedData-Ch4»PRC1T3</v></cell><cell r="D3743" t="str"><v>43307223863380</v></cell><cell r="E3743" t="str"><v>43307103037935PRC1T3</v></cell><cell r="F3743" t="str"><v>DCM</v></cell></row><row r="3743"><cell r="K3743" t="str"><v>July</v></cell><cell r="L3743"><v>43309</v></cell><cell r="M3743" t="str"><v>Tier 0</v></cell><cell r="N3743" t="str"><v>North America</v></cell><cell r="O3743" t="str"><v>United States</v></cell><cell r="P3743" t="str"><v>Trial</v></cell><cell r="Q3743" t="str"><v>Social</v></cell><cell r="R3743" t="str"><v>Azure</v></cell><cell r="S3743" t="str"><v>Apps & Infra</v></cell><cell r="T3743" t="str"><v>Developers & ITI's</v></cell><cell r="U3743" t="str"><v>USA-Trial-ITD-Interest Prospecting-AZR-AZR</v></cell><cell r="V3743" t="str"><v>Prospecting</v></cell><cell r="W3743" t="str"><v>Link Ad</v></cell><cell r="X3743" t="str"><v>1x1</v></cell></row><row r="3743"><cell r="AA3743"><v>43307</v></cell><cell r="AB3743" t="str"><v>USA_gaPMG_AZR_AZR_Q1_19_Direct-Social</v></cell><cell r="AC3743"><v>21358715</v></cell><cell r="AD3743"><v>720197</v></cell><cell r="AE3743" t="str"><v>Facebook</v></cell><cell r="AF3743"><v>3654128</v></cell><cell r="AG3743" t="str"><v>FACEBOOK»USA-Trial-ITD-Interest Prospecting-AZR-AZR»1 x 1»SocialBan»LIA»ALL»CPA»PRO»X»NA»SS»NA»FreeAcctDeveloperFB-AnimatedData-Ch4»PRC1T3</v></cell><cell r="AH3743"><v>223863380</v></cell><cell r="AI3743" t="str"><v>AZR_FreeAcctDeveloperFB-AnimatedData-Ch4_USA_1200x1200_CAN_Direct_English_Trial_Standard_ANI_LEA_T4_2</v></cell><cell r="AJ3743"><v>103037935</v></cell></row><row r="3744"><cell r="C3744" t="str"><v>43307FACEBOOK»USA-Trial-ITD-Interest Prospecting-AZR-AZR»1 x 1»SocialBan»LIA»ALL»CPA»PRO»X»NA»SS»NA»FreeAcctDeveloperFB-AnimatedOpenSource-Ch2»PRC1T1</v></cell><cell r="D3744" t="str"><v>43307223862885</v></cell><cell r="E3744" t="str"><v>43307103048329PRC1T1</v></cell><cell r="F3744" t="str"><v>DCM</v></cell><cell r="G3744" t="str"><v>https://azure.microsoft.com/en-us/free/open-source/search/?OCID=AID%eexcid!_OLA_%ebuy!_%epid!_%ecid!</v></cell></row><row r="3744"><cell r="K3744" t="str"><v>July</v></cell><cell r="L3744"><v>43309</v></cell><cell r="M3744" t="str"><v>Tier 0</v></cell><cell r="N3744" t="str"><v>North America</v></cell><cell r="O3744" t="str"><v>United States</v></cell><cell r="P3744" t="str"><v>Trial</v></cell><cell r="Q3744" t="str"><v>Social</v></cell><cell r="R3744" t="str"><v>Azure</v></cell><cell r="S3744" t="str"><v>Apps & Infra</v></cell><cell r="T3744" t="str"><v>Developers & ITI's</v></cell><cell r="U3744" t="str"><v>USA-Trial-ITD-Interest Prospecting-AZR-AZR</v></cell><cell r="V3744" t="str"><v>Prospecting</v></cell><cell r="W3744" t="str"><v>Link Ad</v></cell><cell r="X3744" t="str"><v>1x1</v></cell></row><row r="3744"><cell r="AA3744"><v>43307</v></cell><cell r="AB3744" t="str"><v>USA_gaPMG_AZR_AZR_Q1_19_Direct-Social</v></cell><cell r="AC3744"><v>21358715</v></cell><cell r="AD3744"><v>720197</v></cell><cell r="AE3744" t="str"><v>Facebook</v></cell><cell r="AF3744"><v>3654128</v></cell><cell r="AG3744" t="str"><v>FACEBOOK»USA-Trial-ITD-Interest Prospecting-AZR-AZR»1 x 1»SocialBan»LIA»ALL»CPA»PRO»X»NA»SS»NA»FreeAcctDeveloperFB-AnimatedOpenSource-Ch2»PRC1T1</v></cell><cell r="AH3744"><v>223862885</v></cell><cell r="AI3744" t="str"><v>AZR_FreeAcctDeveloperFB-AnimatedOpenSource-Ch2_USA_1200x1200_CAN_Direct_English_Trial_Standard_ANI_LEA_T2_1</v></cell><cell r="AJ3744"><v>103048329</v></cell></row><row r="3745"><cell r="C3745" t="str"><v>43307FACEBOOK»USA-Trial-ITD-Retargeting-AZR-AZR»1 x 1»SocialBan»LIA»ALL»CPA»RT»X»NA»SS»NA»FreeAcctDeveloperFB-AnimatedGeneric-Ch1»PRC26D</v></cell><cell r="D3745" t="str"><v>43307223862870</v></cell><cell r="E3745" t="str"><v>43307103176851PRC26D</v></cell><cell r="F3745" t="str"><v>DCM</v></cell><cell r="G3745" t="str"><v>https://azure.microsoft.com/en-us/free/search/?OCID=AID%eexcid!_OLA_%ebuy!_%epid!_%ecid!</v></cell></row><row r="3745"><cell r="K3745" t="str"><v>July</v></cell><cell r="L3745"><v>43309</v></cell><cell r="M3745" t="str"><v>Tier 0</v></cell><cell r="N3745" t="str"><v>North America</v></cell><cell r="O3745" t="str"><v>United States</v></cell><cell r="P3745" t="str"><v>Trial</v></cell><cell r="Q3745" t="str"><v>Social</v></cell><cell r="R3745" t="str"><v>Azure</v></cell><cell r="S3745" t="str"><v>Apps & Infra</v></cell><cell r="T3745" t="str"><v>Developers & ITI's</v></cell><cell r="U3745" t="str"><v>USA-Trial-ITD-Retargeting-AZR-AZR</v></cell><cell r="V3745" t="str"><v>Retargeting</v></cell><cell r="W3745" t="str"><v>Link Ad</v></cell><cell r="X3745" t="str"><v>1x1</v></cell></row><row r="3745"><cell r="AA3745"><v>43307</v></cell><cell r="AB3745" t="str"><v>USA_gaPMG_AZR_AZR_Q1_19_Direct-Social</v></cell><cell r="AC3745"><v>21358715</v></cell><cell r="AD3745"><v>720197</v></cell><cell r="AE3745" t="str"><v>Facebook</v></cell><cell r="AF3745"><v>3654128</v></cell><cell r="AG3745" t="str"><v>FACEBOOK»USA-Trial-ITD-Retargeting-AZR-AZR»1 x 1»SocialBan»LIA»ALL»CPA»RT»X»NA»SS»NA»FreeAcctDeveloperFB-AnimatedGeneric-Ch1»PRC26D</v></cell><cell r="AH3745"><v>223862870</v></cell><cell r="AI3745" t="str"><v>AZR_FreeAcctDeveloperFB-AnimatedGeneric-Ch1_USA_1200x1200_CAN_Direct_English_Trial_Standard_ANI_LEA_T1_2</v></cell><cell r="AJ3745"><v>103176851</v></cell></row><row r="3746"><cell r="C3746" t="str"><v>43307FACEBOOK»USA-Trial-ITD-Retargeting-AZR-AZR»1 x 1»SocialBan»LIA»ALL»CPA»RT»X»NA»SS»NA»FreeAcctRetargetingOSSFB-Logos-ChG»PRC1S2</v></cell><cell r="D3746" t="str"><v>43307224106063</v></cell><cell r="E3746" t="str"><v>43307103176008PRC1S2</v></cell><cell r="F3746" t="str"><v>DCM</v></cell><cell r="G3746" t="str"><v>https://azure.microsoft.com/en-us/free/open-source/search/?OCID=AID%eexcid!_OLA_%ebuy!_%epid!_%ecid!</v></cell></row><row r="3746"><cell r="K3746" t="str"><v>July</v></cell><cell r="L3746"><v>43309</v></cell><cell r="M3746" t="str"><v>Tier 0</v></cell><cell r="N3746" t="str"><v>North America</v></cell><cell r="O3746" t="str"><v>United States</v></cell><cell r="P3746" t="str"><v>Trial</v></cell><cell r="Q3746" t="str"><v>Social</v></cell><cell r="R3746" t="str"><v>Azure</v></cell><cell r="S3746" t="str"><v>Apps & Infra</v></cell><cell r="T3746" t="str"><v>Developers & ITI's</v></cell><cell r="U3746" t="str"><v>USA-Trial-ITD-Retargeting-AZR-AZR</v></cell><cell r="V3746" t="str"><v>Retargeting</v></cell><cell r="W3746" t="str"><v>Link Ad</v></cell><cell r="X3746" t="str"><v>1x1</v></cell></row><row r="3746"><cell r="AA3746"><v>43307</v></cell><cell r="AB3746" t="str"><v>USA_gaPMG_AZR_AZR_Q1_19_Direct-Social</v></cell><cell r="AC3746"><v>21358715</v></cell><cell r="AD3746"><v>720197</v></cell><cell r="AE3746" t="str"><v>Facebook</v></cell><cell r="AF3746"><v>3654128</v></cell><cell r="AG3746" t="str"><v>FACEBOOK»USA-Trial-ITD-Retargeting-AZR-AZR»1 x 1»SocialBan»LIA»ALL»CPA»RT»X»NA»SS»NA»FreeAcctRetargetingOSSFB-Logos-ChG»PRC1S2</v></cell><cell r="AH3746"><v>224106063</v></cell><cell r="AI3746" t="str"><v>AzurePlatform_FreeAcctRetargetingOSSFB-Logos-ChG_USA_1200x628_CAN_PLATFORM_English_Free Account_Standard_NA_SINU_T2_1</v></cell><cell r="AJ3746"><v>103176008</v></cell></row><row r="3747"><cell r="C3747" t="str"><v>43307FACEBOOK»USA-Trial-ITD-Retargeting-AZR-AZR»1 x 1»SocialBan»LIA»ALL»CPA»RT»X»NA»SS»NA»FreeAcctRetargetingOSSFB-Text-ChF»PRC1S1</v></cell><cell r="D3747" t="str"><v>43307223862753</v></cell><cell r="E3747" t="str"><v>43307103176869PRC1S1</v></cell><cell r="F3747" t="str"><v>DCM</v></cell><cell r="G3747" t="str"><v>https://azure.microsoft.com/en-us/free/open-source/search/?OCID=AID%eexcid!_OLA_%ebuy!_%epid!_%ecid!</v></cell></row><row r="3747"><cell r="K3747" t="str"><v>July</v></cell><cell r="L3747"><v>43309</v></cell><cell r="M3747" t="str"><v>Tier 0</v></cell><cell r="N3747" t="str"><v>North America</v></cell><cell r="O3747" t="str"><v>United States</v></cell><cell r="P3747" t="str"><v>Trial</v></cell><cell r="Q3747" t="str"><v>Social</v></cell><cell r="R3747" t="str"><v>Azure</v></cell><cell r="S3747" t="str"><v>Apps & Infra</v></cell><cell r="T3747" t="str"><v>Developers & ITI's</v></cell><cell r="U3747" t="str"><v>USA-Trial-ITD-Retargeting-AZR-AZR</v></cell><cell r="V3747" t="str"><v>Retargeting</v></cell><cell r="W3747" t="str"><v>Link Ad</v></cell><cell r="X3747" t="str"><v>1x1</v></cell></row><row r="3747"><cell r="AA3747"><v>43307</v></cell><cell r="AB3747" t="str"><v>USA_gaPMG_AZR_AZR_Q1_19_Direct-Social</v></cell><cell r="AC3747"><v>21358715</v></cell><cell r="AD3747"><v>720197</v></cell><cell r="AE3747" t="str"><v>Facebook</v></cell><cell r="AF3747"><v>3654128</v></cell><cell r="AG3747" t="str"><v>FACEBOOK»USA-Trial-ITD-Retargeting-AZR-AZR»1 x 1»SocialBan»LIA»ALL»CPA»RT»X»NA»SS»NA»FreeAcctRetargetingOSSFB-Text-ChF»PRC1S1</v></cell><cell r="AH3747"><v>223862753</v></cell><cell r="AI3747" t="str"><v>AzurePlatform_FreeAcctRetargetingOSSFB-Text-ChF_USA_1200x628_CAN_PLATFORM_English_Free Account_Standard_NA_SINU_T1_2</v></cell><cell r="AJ3747"><v>103176869</v></cell></row><row r="3748"><cell r="C3748" t="str"><v>43307FACEBOOK»USA-Trial-ITD-Retargeting-AZR-AZR»1 x 1»SocialBan»CAN»ALL»CPA»RT»X»NA»SS»NA»FBCTCBasicMotion»PRC1RQ</v></cell><cell r="D3748" t="str"><v>43307224106933</v></cell><cell r="E3748" t="str"><v>43307103043823PRC1RQ</v></cell><cell r="F3748" t="str"><v>DCM</v></cell><cell r="G3748" t="str"><v>https://signup.azure.com/?OCID=AID%eexcid!_OLA_%ebuy!_%epid!_%ecid!</v></cell></row><row r="3748"><cell r="K3748" t="str"><v>July</v></cell><cell r="L3748"><v>43309</v></cell><cell r="M3748" t="str"><v>Tier 0</v></cell><cell r="N3748" t="str"><v>North America</v></cell><cell r="O3748" t="str"><v>United States</v></cell><cell r="P3748" t="str"><v>Trial</v></cell><cell r="Q3748" t="str"><v>Social</v></cell><cell r="R3748" t="str"><v>Azure</v></cell><cell r="S3748" t="str"><v>Apps & Infra</v></cell><cell r="T3748" t="str"><v>Developers & ITI's</v></cell><cell r="U3748" t="str"><v>USA-Trial-ITD-Retargeting-AZR-AZR</v></cell><cell r="V3748" t="str"><v>Retargeting</v></cell><cell r="W3748" t="str"><v>Canvas Ad</v></cell><cell r="X3748" t="str"><v>1x1</v></cell></row><row r="3748"><cell r="AA3748"><v>43307</v></cell><cell r="AB3748" t="str"><v>USA_gaPMG_AZR_AZR_Q1_19_Direct-Social</v></cell><cell r="AC3748"><v>21358715</v></cell><cell r="AD3748"><v>720197</v></cell><cell r="AE3748" t="str"><v>Facebook</v></cell><cell r="AF3748"><v>3654128</v></cell><cell r="AG3748" t="str"><v>FACEBOOK»USA-Trial-ITD-Retargeting-AZR-AZR»1 x 1»SocialBan»CAN»ALL»CPA»RT»X»NA»SS»NA»FBCTCBasicMotion»PRC1RQ</v></cell><cell r="AH3748"><v>224106933</v></cell><cell r="AI3748" t="str"><v>AzurePlatform_FBCTCBasicMotion_USA_10s_CAN_PLATFORM_English_Trial_Standard_STAN_TIN_T1_1</v></cell><cell r="AJ3748"><v>103043823</v></cell></row><row r="3749"><cell r="C3749" t="str"><v>43307FACEBOOK»USA-Trial-ITD-Trial Lookalike-AZR-AZR»1 x 1»SocialBan»LIA»ALL»CPA»LAL»X»NA»SS»NA»FreeAcctDeveloperFB-AnimatedGeneric-Ch1»PRC1M4</v></cell><cell r="D3749" t="str"><v>43307224104941</v></cell><cell r="E3749" t="str"><v>43307103176851PRC1M4</v></cell><cell r="F3749" t="str"><v>DCM</v></cell><cell r="G3749" t="str"><v>https://azure.microsoft.com/en-us/free/search/?OCID=AID%eexcid!_OLA_%ebuy!_%epid!_%ecid!</v></cell></row><row r="3749"><cell r="K3749" t="str"><v>July</v></cell><cell r="L3749"><v>43309</v></cell><cell r="M3749" t="str"><v>Tier 0</v></cell><cell r="N3749" t="str"><v>North America</v></cell><cell r="O3749" t="str"><v>United States</v></cell><cell r="P3749" t="str"><v>Trial</v></cell><cell r="Q3749" t="str"><v>Social</v></cell><cell r="R3749" t="str"><v>Azure</v></cell><cell r="S3749" t="str"><v>Apps & Infra</v></cell><cell r="T3749" t="str"><v>Developers & ITI's</v></cell><cell r="U3749" t="str"><v>USA-Trial-ITD-Trial Lookalike-AZR-AZR</v></cell><cell r="V3749" t="str"><v>Lookalike Targeting</v></cell><cell r="W3749" t="str"><v>Link Ad</v></cell><cell r="X3749" t="str"><v>1x1</v></cell></row><row r="3749"><cell r="AA3749"><v>43307</v></cell><cell r="AB3749" t="str"><v>USA_gaPMG_AZR_AZR_Q1_19_Direct-Social</v></cell><cell r="AC3749"><v>21358715</v></cell><cell r="AD3749"><v>720197</v></cell><cell r="AE3749" t="str"><v>Facebook</v></cell><cell r="AF3749"><v>3654128</v></cell><cell r="AG3749" t="str"><v>FACEBOOK»USA-Trial-ITD-Trial Lookalike-AZR-AZR»1 x 1»SocialBan»LIA»ALL»CPA»LAL»X»NA»SS»NA»FreeAcctDeveloperFB-AnimatedGeneric-Ch1»PRC1M4</v></cell><cell r="AH3749"><v>224104941</v></cell><cell r="AI3749" t="str"><v>AZR_FreeAcctDeveloperFB-AnimatedGeneric-Ch1_USA_1200x1200_CAN_Direct_English_Trial_Standard_ANI_LEA_T1_2</v></cell><cell r="AJ3749"><v>103176851</v></cell></row><row r="3750"><cell r="C3750" t="str"><v>43307FACEBOOK»USA-Trial-ITD-Trial Lookalike-AZR-AZR»1 x 1»SocialBan»LIA»ALL»CPA»LAL»X»NA»SS»NA»FreeAcctDeveloperFB-AnimatedGeneric-Ch1»PRC1M5</v></cell><cell r="D3750" t="str"><v>43307223934083</v></cell><cell r="E3750" t="str"><v>43307103176851PRC1M5</v></cell><cell r="F3750" t="str"><v>DCM</v></cell><cell r="G3750" t="str"><v>https://azure.microsoft.com/en-us/free/search/?OCID=AID%eexcid!_OLA_%ebuy!_%epid!_%ecid!</v></cell></row><row r="3750"><cell r="K3750" t="str"><v>July</v></cell><cell r="L3750"><v>43309</v></cell><cell r="M3750" t="str"><v>Tier 0</v></cell><cell r="N3750" t="str"><v>North America</v></cell><cell r="O3750" t="str"><v>United States</v></cell><cell r="P3750" t="str"><v>Trial</v></cell><cell r="Q3750" t="str"><v>Social</v></cell><cell r="R3750" t="str"><v>Azure</v></cell><cell r="S3750" t="str"><v>Apps & Infra</v></cell><cell r="T3750" t="str"><v>Developers & ITI's</v></cell><cell r="U3750" t="str"><v>USA-Trial-ITD-Trial Lookalike-AZR-AZR</v></cell><cell r="V3750" t="str"><v>Lookalike Targeting</v></cell><cell r="W3750" t="str"><v>Link Ad</v></cell><cell r="X3750" t="str"><v>1x1</v></cell></row><row r="3750"><cell r="AA3750"><v>43307</v></cell><cell r="AB3750" t="str"><v>USA_gaPMG_AZR_AZR_Q1_19_Direct-Social</v></cell><cell r="AC3750"><v>21358715</v></cell><cell r="AD3750"><v>720197</v></cell><cell r="AE3750" t="str"><v>Facebook</v></cell><cell r="AF3750"><v>3654128</v></cell><cell r="AG3750" t="str"><v>FACEBOOK»USA-Trial-ITD-Trial Lookalike-AZR-AZR»1 x 1»SocialBan»LIA»ALL»CPA»LAL»X»NA»SS»NA»FreeAcctDeveloperFB-AnimatedGeneric-Ch1»PRC1M5</v></cell><cell r="AH3750"><v>223934083</v></cell><cell r="AI3750" t="str"><v>AZR_FreeAcctDeveloperFB-AnimatedGeneric-Ch1_USA_1200x1200_CAN_Direct_English_Trial_Standard_ANI_LEA_T1_2</v></cell><cell r="AJ3750"><v>103176851</v></cell></row><row r="3751"><cell r="C3751" t="str"><v>43307FACEBOOK»USA-Trial-ITD-Trial Lookalike-AZR-AZR»1 x 1»SocialBan»LIA»ALL»CPA»LAL»X»NA»SS»NA»FreeAcctDeveloperFB-AnimatedOpenSource-Ch2»PRC1M6</v></cell><cell r="D3751" t="str"><v>43307223935628</v></cell><cell r="E3751" t="str"><v>43307103048329PRC1M6</v></cell><cell r="F3751" t="str"><v>DCM</v></cell><cell r="G3751" t="str"><v>https://azure.microsoft.com/en-us/free/open-source/search/?OCID=AID%eexcid!_OLA_%ebuy!_%epid!_%ecid!</v></cell></row><row r="3751"><cell r="K3751" t="str"><v>July</v></cell><cell r="L3751"><v>43309</v></cell><cell r="M3751" t="str"><v>Tier 0</v></cell><cell r="N3751" t="str"><v>North America</v></cell><cell r="O3751" t="str"><v>United States</v></cell><cell r="P3751" t="str"><v>Trial</v></cell><cell r="Q3751" t="str"><v>Social</v></cell><cell r="R3751" t="str"><v>Azure</v></cell><cell r="S3751" t="str"><v>Apps & Infra</v></cell><cell r="T3751" t="str"><v>Developers & ITI's</v></cell><cell r="U3751" t="str"><v>USA-Trial-ITD-Trial Lookalike-AZR-AZR</v></cell><cell r="V3751" t="str"><v>Lookalike Targeting</v></cell><cell r="W3751" t="str"><v>Link Ad</v></cell><cell r="X3751" t="str"><v>1x1</v></cell></row><row r="3751"><cell r="AA3751"><v>43307</v></cell><cell r="AB3751" t="str"><v>USA_gaPMG_AZR_AZR_Q1_19_Direct-Social</v></cell><cell r="AC3751"><v>21358715</v></cell><cell r="AD3751"><v>720197</v></cell><cell r="AE3751" t="str"><v>Facebook</v></cell><cell r="AF3751"><v>3654128</v></cell><cell r="AG3751" t="str"><v>FACEBOOK»USA-Trial-ITD-Trial Lookalike-AZR-AZR»1 x 1»SocialBan»LIA»ALL»CPA»LAL»X»NA»SS»NA»FreeAcctDeveloperFB-AnimatedOpenSource-Ch2»PRC1M6</v></cell><cell r="AH3751"><v>223935628</v></cell><cell r="AI3751" t="str"><v>AZR_FreeAcctDeveloperFB-AnimatedOpenSource-Ch2_USA_1200x1200_CAN_Direct_English_Trial_Standard_ANI_LEA_T2_1</v></cell><cell r="AJ3751"><v>103048329</v></cell></row><row r="3752"><cell r="C3752" t="str"><v>43307FACEBOOK»USA-Trial-ITD-Trial Lookalike-AZR-AZR»1 x 1»SocialBan»LIA»ALL»CPA»LAL»X»NA»SS»NA»FreeAcctITProFB-AnimatedMigration-Ch3»PRC23N</v></cell><cell r="D3752" t="str"><v>43307223935637</v></cell><cell r="E3752" t="str"><v>43307103176827PRC23N</v></cell><cell r="F3752" t="str"><v>DCM</v></cell></row><row r="3752"><cell r="K3752" t="str"><v>July</v></cell><cell r="L3752"><v>43309</v></cell><cell r="M3752" t="str"><v>Tier 0</v></cell><cell r="N3752" t="str"><v>North America</v></cell><cell r="O3752" t="str"><v>United States</v></cell><cell r="P3752" t="str"><v>Trial</v></cell><cell r="Q3752" t="str"><v>Social</v></cell><cell r="R3752" t="str"><v>Azure</v></cell><cell r="S3752" t="str"><v>Apps & Infra</v></cell><cell r="T3752" t="str"><v>Developers & ITI's</v></cell><cell r="U3752" t="str"><v>USA-Trial-ITD-Trial Lookalike-AZR-AZR</v></cell><cell r="V3752" t="str"><v>Lookalike Targeting</v></cell><cell r="W3752" t="str"><v>Link Ad</v></cell><cell r="X3752" t="str"><v>1x1</v></cell></row><row r="3752"><cell r="AA3752"><v>43307</v></cell><cell r="AB3752" t="str"><v>USA_gaPMG_AZR_AZR_Q1_19_Direct-Social</v></cell><cell r="AC3752"><v>21358715</v></cell><cell r="AD3752"><v>720197</v></cell><cell r="AE3752" t="str"><v>Facebook</v></cell><cell r="AF3752"><v>3654128</v></cell><cell r="AG3752" t="str"><v>FACEBOOK»USA-Trial-ITD-Trial Lookalike-AZR-AZR»1 x 1»SocialBan»LIA»ALL»CPA»LAL»X»NA»SS»NA»FreeAcctITProFB-AnimatedMigration-Ch3»PRC23N</v></cell><cell r="AH3752"><v>223935637</v></cell><cell r="AI3752" t="str"><v>AZR_FreeAcctITProFB-AnimatedMigration-Ch3_USA_1200x1200_CAN_Direct_English_Trial_Standard_ANI_LEA_T3_1</v></cell><cell r="AJ3752"><v>103176827</v></cell></row><row r="3753"><cell r="C3753" t="str"><v>43307FACEBOOK»USA-Trial-ITD-Trial Lookalike-AZR-AZR»1 x 1»SocialBan»LIA»ALL»CPA»LAL»X»NA»SS»NA»FreeAcctITProFB-AnimatedSecureMngd-Ch1»PRC1M9</v></cell><cell r="D3753" t="str"><v>43307224104959</v></cell><cell r="E3753" t="str"><v>43307103176830PRC1M9</v></cell><cell r="F3753" t="str"><v>DCM</v></cell></row><row r="3753"><cell r="K3753" t="str"><v>July</v></cell><cell r="L3753"><v>43309</v></cell><cell r="M3753" t="str"><v>Tier 0</v></cell><cell r="N3753" t="str"><v>North America</v></cell><cell r="O3753" t="str"><v>United States</v></cell><cell r="P3753" t="str"><v>Trial</v></cell><cell r="Q3753" t="str"><v>Social</v></cell><cell r="R3753" t="str"><v>Azure</v></cell><cell r="S3753" t="str"><v>Apps & Infra</v></cell><cell r="T3753" t="str"><v>Developers & ITI's</v></cell><cell r="U3753" t="str"><v>USA-Trial-ITD-Trial Lookalike-AZR-AZR</v></cell><cell r="V3753" t="str"><v>Lookalike Targeting</v></cell><cell r="W3753" t="str"><v>Link Ad</v></cell><cell r="X3753" t="str"><v>1x1</v></cell></row><row r="3753"><cell r="AA3753"><v>43307</v></cell><cell r="AB3753" t="str"><v>USA_gaPMG_AZR_AZR_Q1_19_Direct-Social</v></cell><cell r="AC3753"><v>21358715</v></cell><cell r="AD3753"><v>720197</v></cell><cell r="AE3753" t="str"><v>Facebook</v></cell><cell r="AF3753"><v>3654128</v></cell><cell r="AG3753" t="str"><v>FACEBOOK»USA-Trial-ITD-Trial Lookalike-AZR-AZR»1 x 1»SocialBan»LIA»ALL»CPA»LAL»X»NA»SS»NA»FreeAcctITProFB-AnimatedSecureMngd-Ch1»PRC1M9</v></cell><cell r="AH3753"><v>224104959</v></cell><cell r="AI3753" t="str"><v>AZR_FreeAcctITProFB-AnimatedSecureMngd-Ch1_USA_1200x1200_CAN_Direct_English_Trial_Standard_ANI_LEA_T1_1</v></cell><cell r="AJ3753"><v>103176830</v></cell></row><row r="3754"><cell r="C3754" t="str"><v>43307FACEBOOK»USA-Trial-ITD-Trial Lookalike-AZR-AZR»1 x 1»SocialBan»CAN»ALL»CPA»LAL»X»NA»SS»NA»FBCTCBasicMotion»PRC1LZ</v></cell><cell r="D3754" t="str"><v>43307223862915</v></cell><cell r="E3754" t="str"><v>43307103043823PRC1LZ</v></cell><cell r="F3754" t="str"><v>DCM</v></cell><cell r="G3754" t="str"><v>https://signup.azure.com/?OCID=AID%eexcid!_OLA_%ebuy!_%epid!_%ecid!</v></cell></row><row r="3754"><cell r="K3754" t="str"><v>July</v></cell><cell r="L3754"><v>43309</v></cell><cell r="M3754" t="str"><v>Tier 0</v></cell><cell r="N3754" t="str"><v>North America</v></cell><cell r="O3754" t="str"><v>United States</v></cell><cell r="P3754" t="str"><v>Trial</v></cell><cell r="Q3754" t="str"><v>Social</v></cell><cell r="R3754" t="str"><v>Azure</v></cell><cell r="S3754" t="str"><v>Apps & Infra</v></cell><cell r="T3754" t="str"><v>Developers & ITI's</v></cell><cell r="U3754" t="str"><v>USA-Trial-ITD-Trial Lookalike-AZR-AZR</v></cell><cell r="V3754" t="str"><v>Lookalike Targeting</v></cell><cell r="W3754" t="str"><v>Canvas Ad</v></cell><cell r="X3754" t="str"><v>1x1</v></cell></row><row r="3754"><cell r="AA3754"><v>43307</v></cell><cell r="AB3754" t="str"><v>USA_gaPMG_AZR_AZR_Q1_19_Direct-Social</v></cell><cell r="AC3754"><v>21358715</v></cell><cell r="AD3754"><v>720197</v></cell><cell r="AE3754" t="str"><v>Facebook</v></cell><cell r="AF3754"><v>3654128</v></cell><cell r="AG3754" t="str"><v>FACEBOOK»USA-Trial-ITD-Trial Lookalike-AZR-AZR»1 x 1»SocialBan»CAN»ALL»CPA»LAL»X»NA»SS»NA»FBCTCBasicMotion»PRC1LZ</v></cell><cell r="AH3754"><v>223862915</v></cell><cell r="AI3754" t="str"><v>AzurePlatform_FBCTCBasicMotion_USA_10s_CAN_PLATFORM_English_Trial_Standard_STAN_TIN_T1_1</v></cell><cell r="AJ3754"><v>103043823</v></cell></row><row r="3755"><cell r="C3755" t="str"><v>43307FACEBOOK»USA-Trial-ITD-Trial Lookalike-AZR-AZR»1 x 1»SocialBan»CAN»ALL»CPA»LAL»X»NA»SS»NA»FBCTCBasicMotion»PRC1LZ</v></cell><cell r="D3755" t="str"><v>43307223862915</v></cell><cell r="E3755" t="str"><v>43307103175984PRC1LZ</v></cell><cell r="F3755" t="str"><v>DCM</v></cell><cell r="G3755" t="str"><v>https://azure.microsoft.com/en-us/pricing/purchase-options/?v=18.19&OCID=AID%eexcid!_OLA_%ebuy!_%epid!_%ecid!</v></cell></row><row r="3755"><cell r="K3755" t="str"><v>July</v></cell><cell r="L3755"><v>43309</v></cell><cell r="M3755" t="str"><v>Tier 0</v></cell><cell r="N3755" t="str"><v>North America</v></cell><cell r="O3755" t="str"><v>United States</v></cell><cell r="P3755" t="str"><v>Trial</v></cell><cell r="Q3755" t="str"><v>Social</v></cell><cell r="R3755" t="str"><v>Azure</v></cell><cell r="S3755" t="str"><v>Apps & Infra</v></cell><cell r="T3755" t="str"><v>Developers & ITI's</v></cell><cell r="U3755" t="str"><v>USA-Trial-ITD-Trial Lookalike-AZR-AZR</v></cell><cell r="V3755" t="str"><v>Lookalike Targeting</v></cell><cell r="W3755" t="str"><v>Canvas Ad</v></cell><cell r="X3755" t="str"><v>1x1</v></cell></row><row r="3755"><cell r="AA3755"><v>43307</v></cell><cell r="AB3755" t="str"><v>USA_gaPMG_AZR_AZR_Q1_19_Direct-Social</v></cell><cell r="AC3755"><v>21358715</v></cell><cell r="AD3755"><v>720197</v></cell><cell r="AE3755" t="str"><v>Facebook</v></cell><cell r="AF3755"><v>3654128</v></cell><cell r="AG3755" t="str"><v>FACEBOOK»USA-Trial-ITD-Trial Lookalike-AZR-AZR»1 x 1»SocialBan»CAN»ALL»CPA»LAL»X»NA»SS»NA»FBCTCBasicMotion»PRC1LZ</v></cell><cell r="AH3755"><v>223862915</v></cell><cell r="AI3755" t="str"><v>AzurePlatform_FBCTCBasicMotion_USA_10s_CAN_PLATFORM_English_Trial_Standard_STAN_TIN_T1_2</v></cell><cell r="AJ3755"><v>103175984</v></cell></row><row r="3756"><cell r="C3756" t="str"><v>43307FACEBOOK»USA-Trial-ITD-Trial PayGo Lookalike-AZR-AZR»1 x 1»SocialBan»CAN»ALL»CPA»LAL»X»NA»SS»NA»FBCTCBasicMotion»PRC1Q0</v></cell><cell r="D3756" t="str"><v>43307223935664</v></cell><cell r="E3756" t="str"><v>43307103043823PRC1Q0</v></cell><cell r="F3756" t="str"><v>DCM</v></cell><cell r="G3756" t="str"><v>https://signup.azure.com/?OCID=AID%eexcid!_OLA_%ebuy!_%epid!_%ecid!</v></cell></row><row r="3756"><cell r="K3756" t="str"><v>July</v></cell><cell r="L3756"><v>43309</v></cell><cell r="M3756" t="str"><v>Tier 0</v></cell><cell r="N3756" t="str"><v>North America</v></cell><cell r="O3756" t="str"><v>United States</v></cell><cell r="P3756" t="str"><v>Trial</v></cell><cell r="Q3756" t="str"><v>Social</v></cell><cell r="R3756" t="str"><v>Azure</v></cell><cell r="S3756" t="str"><v>Apps & Infra</v></cell><cell r="T3756" t="str"><v>Developers & ITI's</v></cell><cell r="U3756" t="str"><v>USA-Trial-ITD-Trial PayGo Lookalike-AZR-AZR</v></cell><cell r="V3756" t="str"><v>Lookalike Targeting</v></cell><cell r="W3756" t="str"><v>Canvas Ad</v></cell><cell r="X3756" t="str"><v>1x1</v></cell></row><row r="3756"><cell r="AA3756"><v>43307</v></cell><cell r="AB3756" t="str"><v>USA_gaPMG_AZR_AZR_Q1_19_Direct-Social</v></cell><cell r="AC3756"><v>21358715</v></cell><cell r="AD3756"><v>720197</v></cell><cell r="AE3756" t="str"><v>Facebook</v></cell><cell r="AF3756"><v>3654128</v></cell><cell r="AG3756" t="str"><v>FACEBOOK»USA-Trial-ITD-Trial PayGo Lookalike-AZR-AZR»1 x 1»SocialBan»CAN»ALL»CPA»LAL»X»NA»SS»NA»FBCTCBasicMotion»PRC1Q0</v></cell><cell r="AH3756"><v>223935664</v></cell><cell r="AI3756" t="str"><v>AzurePlatform_FBCTCBasicMotion_USA_10s_CAN_PLATFORM_English_Trial_Standard_STAN_TIN_T1_1</v></cell><cell r="AJ3756"><v>103043823</v></cell></row><row r="3757"><cell r="C3757" t="str"><v>43307FACEBOOK»USA-Trial-ITD-Trial PayGo Lookalike-AZR-AZR»1 x 1»SocialBan»CAN»ALL»CPA»LAL»X»NA»SS»NA»FBCTCBasicMotion»PRC1Q0</v></cell><cell r="D3757" t="str"><v>43307223935664</v></cell><cell r="E3757" t="str"><v>43307103175984PRC1Q0</v></cell><cell r="F3757" t="str"><v>DCM</v></cell><cell r="G3757" t="str"><v>https://azure.microsoft.com/en-us/pricing/purchase-options/?v=18.19&OCID=AID%eexcid!_OLA_%ebuy!_%epid!_%ecid!</v></cell></row><row r="3757"><cell r="K3757" t="str"><v>July</v></cell><cell r="L3757"><v>43309</v></cell><cell r="M3757" t="str"><v>Tier 0</v></cell><cell r="N3757" t="str"><v>North America</v></cell><cell r="O3757" t="str"><v>United States</v></cell><cell r="P3757" t="str"><v>Trial</v></cell><cell r="Q3757" t="str"><v>Social</v></cell><cell r="R3757" t="str"><v>Azure</v></cell><cell r="S3757" t="str"><v>Apps & Infra</v></cell><cell r="T3757" t="str"><v>Developers & ITI's</v></cell><cell r="U3757" t="str"><v>USA-Trial-ITD-Trial PayGo Lookalike-AZR-AZR</v></cell><cell r="V3757" t="str"><v>Lookalike Targeting</v></cell><cell r="W3757" t="str"><v>Canvas Ad</v></cell><cell r="X3757" t="str"><v>1x1</v></cell></row><row r="3757"><cell r="AA3757"><v>43307</v></cell><cell r="AB3757" t="str"><v>USA_gaPMG_AZR_AZR_Q1_19_Direct-Social</v></cell><cell r="AC3757"><v>21358715</v></cell><cell r="AD3757"><v>720197</v></cell><cell r="AE3757" t="str"><v>Facebook</v></cell><cell r="AF3757"><v>3654128</v></cell><cell r="AG3757" t="str"><v>FACEBOOK»USA-Trial-ITD-Trial PayGo Lookalike-AZR-AZR»1 x 1»SocialBan»CAN»ALL»CPA»LAL»X»NA»SS»NA»FBCTCBasicMotion»PRC1Q0</v></cell><cell r="AH3757"><v>223935664</v></cell><cell r="AI3757" t="str"><v>AzurePlatform_FBCTCBasicMotion_USA_10s_CAN_PLATFORM_English_Trial_Standard_STAN_TIN_T1_2</v></cell><cell r="AJ3757"><v>103175984</v></cell></row><row r="3758"><cell r="C3758" t="str"><v>43307FACEBOOK»USA-Trial-ITD-Trial PayGo Lookalike-AZR-AZR»1 x 1»SocialBan»LIA»ALL»CPA»LAL»X»NA»SS»NA»FreeAcctDeveloperFB-AnimatedAI-Ch3»PRC1Q8</v></cell><cell r="D3758" t="str"><v>43307224104983</v></cell><cell r="E3758" t="str"><v>43307103032778PRC1Q8</v></cell><cell r="F3758" t="str"><v>DCM</v></cell></row><row r="3758"><cell r="K3758" t="str"><v>July</v></cell><cell r="L3758"><v>43309</v></cell><cell r="M3758" t="str"><v>Tier 0</v></cell><cell r="N3758" t="str"><v>North America</v></cell><cell r="O3758" t="str"><v>United States</v></cell><cell r="P3758" t="str"><v>Trial</v></cell><cell r="Q3758" t="str"><v>Social</v></cell><cell r="R3758" t="str"><v>Azure</v></cell><cell r="S3758" t="str"><v>Apps & Infra</v></cell><cell r="T3758" t="str"><v>Developers & ITI's</v></cell><cell r="U3758" t="str"><v>USA-Trial-ITD-Trial PayGo Lookalike-AZR-AZR</v></cell><cell r="V3758" t="str"><v>Lookalike Targeting</v></cell><cell r="W3758" t="str"><v>Link Ad</v></cell><cell r="X3758" t="str"><v>1x1</v></cell></row><row r="3758"><cell r="AA3758"><v>43307</v></cell><cell r="AB3758" t="str"><v>USA_gaPMG_AZR_AZR_Q1_19_Direct-Social</v></cell><cell r="AC3758"><v>21358715</v></cell><cell r="AD3758"><v>720197</v></cell><cell r="AE3758" t="str"><v>Facebook</v></cell><cell r="AF3758"><v>3654128</v></cell><cell r="AG3758" t="str"><v>FACEBOOK»USA-Trial-ITD-Trial PayGo Lookalike-AZR-AZR»1 x 1»SocialBan»LIA»ALL»CPA»LAL»X»NA»SS»NA»FreeAcctDeveloperFB-AnimatedAI-Ch3»PRC1Q8</v></cell><cell r="AH3758"><v>224104983</v></cell><cell r="AI3758" t="str"><v>AZR_FreeAcctDeveloperFB-AnimatedAI-Ch3_USA_1200x1200_CAN_Direct_English_Trial_Standard_ANI_LEA_T3_1</v></cell><cell r="AJ3758"><v>103032778</v></cell></row><row r="3759"><cell r="C3759" t="str"><v>43307FACEBOOK»USA-Trial-ITD-Trial PayGo Lookalike-AZR-AZR»1 x 1»SocialBan»LIA»ALL»CPA»LAL»X»NA»SS»NA»FreeAcctDeveloperFB-AnimatedData-Ch4»PRC1Q9</v></cell><cell r="D3759" t="str"><v>43307224106990</v></cell><cell r="E3759" t="str"><v>43307103037935PRC1Q9</v></cell><cell r="F3759" t="str"><v>DCM</v></cell></row><row r="3759"><cell r="K3759" t="str"><v>July</v></cell><cell r="L3759"><v>43309</v></cell><cell r="M3759" t="str"><v>Tier 0</v></cell><cell r="N3759" t="str"><v>North America</v></cell><cell r="O3759" t="str"><v>United States</v></cell><cell r="P3759" t="str"><v>Trial</v></cell><cell r="Q3759" t="str"><v>Social</v></cell><cell r="R3759" t="str"><v>Azure</v></cell><cell r="S3759" t="str"><v>Apps & Infra</v></cell><cell r="T3759" t="str"><v>Developers & ITI's</v></cell><cell r="U3759" t="str"><v>USA-Trial-ITD-Trial PayGo Lookalike-AZR-AZR</v></cell><cell r="V3759" t="str"><v>Lookalike Targeting</v></cell><cell r="W3759" t="str"><v>Link Ad</v></cell><cell r="X3759" t="str"><v>1x1</v></cell></row><row r="3759"><cell r="AA3759"><v>43307</v></cell><cell r="AB3759" t="str"><v>USA_gaPMG_AZR_AZR_Q1_19_Direct-Social</v></cell><cell r="AC3759"><v>21358715</v></cell><cell r="AD3759"><v>720197</v></cell><cell r="AE3759" t="str"><v>Facebook</v></cell><cell r="AF3759"><v>3654128</v></cell><cell r="AG3759" t="str"><v>FACEBOOK»USA-Trial-ITD-Trial PayGo Lookalike-AZR-AZR»1 x 1»SocialBan»LIA»ALL»CPA»LAL»X»NA»SS»NA»FreeAcctDeveloperFB-AnimatedData-Ch4»PRC1Q9</v></cell><cell r="AH3759"><v>224106990</v></cell><cell r="AI3759" t="str"><v>AZR_FreeAcctDeveloperFB-AnimatedData-Ch4_USA_1200x1200_CAN_Direct_English_Trial_Standard_ANI_LEA_T4_2</v></cell><cell r="AJ3759"><v>103037935</v></cell></row><row r="3760"><cell r="C3760" t="str"><v>43307FACEBOOK»USA-Trial-ITD-Trial PayGo Lookalike-AZR-AZR»1 x 1»SocialBan»LIA»ALL»CPA»LAL»X»NA»SS»NA»FreeAcctDeveloperFB-AnimatedGeneric-Ch1»PRC1Q5</v></cell><cell r="D3760" t="str"><v>43307224104092</v></cell><cell r="E3760" t="str"><v>43307103176851PRC1Q5</v></cell><cell r="F3760" t="str"><v>DCM</v></cell><cell r="G3760" t="str"><v>https://azure.microsoft.com/en-us/free/search/?OCID=AID%eexcid!_OLA_%ebuy!_%epid!_%ecid!</v></cell></row><row r="3760"><cell r="K3760" t="str"><v>July</v></cell><cell r="L3760"><v>43309</v></cell><cell r="M3760" t="str"><v>Tier 0</v></cell><cell r="N3760" t="str"><v>North America</v></cell><cell r="O3760" t="str"><v>United States</v></cell><cell r="P3760" t="str"><v>Trial</v></cell><cell r="Q3760" t="str"><v>Social</v></cell><cell r="R3760" t="str"><v>Azure</v></cell><cell r="S3760" t="str"><v>Apps & Infra</v></cell><cell r="T3760" t="str"><v>Developers & ITI's</v></cell><cell r="U3760" t="str"><v>USA-Trial-ITD-Trial PayGo Lookalike-AZR-AZR</v></cell><cell r="V3760" t="str"><v>Lookalike Targeting</v></cell><cell r="W3760" t="str"><v>Link Ad</v></cell><cell r="X3760" t="str"><v>1x1</v></cell></row><row r="3760"><cell r="AA3760"><v>43307</v></cell><cell r="AB3760" t="str"><v>USA_gaPMG_AZR_AZR_Q1_19_Direct-Social</v></cell><cell r="AC3760"><v>21358715</v></cell><cell r="AD3760"><v>720197</v></cell><cell r="AE3760" t="str"><v>Facebook</v></cell><cell r="AF3760"><v>3654128</v></cell><cell r="AG3760" t="str"><v>FACEBOOK»USA-Trial-ITD-Trial PayGo Lookalike-AZR-AZR»1 x 1»SocialBan»LIA»ALL»CPA»LAL»X»NA»SS»NA»FreeAcctDeveloperFB-AnimatedGeneric-Ch1»PRC1Q5</v></cell><cell r="AH3760"><v>224104092</v></cell><cell r="AI3760" t="str"><v>AZR_FreeAcctDeveloperFB-AnimatedGeneric-Ch1_USA_1200x1200_CAN_Direct_English_Trial_Standard_ANI_LEA_T1_2</v></cell><cell r="AJ3760"><v>103176851</v></cell></row><row r="3761"><cell r="C3761" t="str"><v>43307FACEBOOK»USA-Trial-ITD-Trial PayGo Lookalike-AZR-AZR»1 x 1»SocialBan»LIA»ALL»CPA»LAL»X»NA»SS»NA»FreeAcctDeveloperFB-AnimatedOpenSource-Ch2»PRC1Q7</v></cell><cell r="D3761" t="str"><v>43307223862951</v></cell><cell r="E3761" t="str"><v>43307103048329PRC1Q7</v></cell><cell r="F3761" t="str"><v>DCM</v></cell><cell r="G3761" t="str"><v>https://azure.microsoft.com/en-us/free/open-source/search/?OCID=AID%eexcid!_OLA_%ebuy!_%epid!_%ecid!</v></cell></row><row r="3761"><cell r="K3761" t="str"><v>July</v></cell><cell r="L3761"><v>43309</v></cell><cell r="M3761" t="str"><v>Tier 0</v></cell><cell r="N3761" t="str"><v>North America</v></cell><cell r="O3761" t="str"><v>United States</v></cell><cell r="P3761" t="str"><v>Trial</v></cell><cell r="Q3761" t="str"><v>Social</v></cell><cell r="R3761" t="str"><v>Azure</v></cell><cell r="S3761" t="str"><v>Apps & Infra</v></cell><cell r="T3761" t="str"><v>Developers & ITI's</v></cell><cell r="U3761" t="str"><v>USA-Trial-ITD-Trial PayGo Lookalike-AZR-AZR</v></cell><cell r="V3761" t="str"><v>Lookalike Targeting</v></cell><cell r="W3761" t="str"><v>Link Ad</v></cell><cell r="X3761" t="str"><v>1x1</v></cell></row><row r="3761"><cell r="AA3761"><v>43307</v></cell><cell r="AB3761" t="str"><v>USA_gaPMG_AZR_AZR_Q1_19_Direct-Social</v></cell><cell r="AC3761"><v>21358715</v></cell><cell r="AD3761"><v>720197</v></cell><cell r="AE3761" t="str"><v>Facebook</v></cell><cell r="AF3761"><v>3654128</v></cell><cell r="AG3761" t="str"><v>FACEBOOK»USA-Trial-ITD-Trial PayGo Lookalike-AZR-AZR»1 x 1»SocialBan»LIA»ALL»CPA»LAL»X»NA»SS»NA»FreeAcctDeveloperFB-AnimatedOpenSource-Ch2»PRC1Q7</v></cell><cell r="AH3761"><v>223862951</v></cell><cell r="AI3761" t="str"><v>AZR_FreeAcctDeveloperFB-AnimatedOpenSource-Ch2_USA_1200x1200_CAN_Direct_English_Trial_Standard_ANI_LEA_T2_1</v></cell><cell r="AJ3761"><v>103048329</v></cell></row><row r="3762"><cell r="C3762" t="str"><v>43307FACEBOOK»USA-Trial-ITD-Trial PayGo Lookalike-AZR-AZR»1 x 1»SocialBan»LIA»ALL»CPA»LAL»X»NA»SS»NA»FreeAcctITProFB-AnimatedHybrid-Ch2»PRC1QC</v></cell><cell r="D3762" t="str"><v>43307223933186</v></cell><cell r="E3762" t="str"><v>43307103180583PRC1QC</v></cell><cell r="F3762" t="str"><v>DCM</v></cell></row><row r="3762"><cell r="K3762" t="str"><v>July</v></cell><cell r="L3762"><v>43309</v></cell><cell r="M3762" t="str"><v>Tier 0</v></cell><cell r="N3762" t="str"><v>North America</v></cell><cell r="O3762" t="str"><v>United States</v></cell><cell r="P3762" t="str"><v>Trial</v></cell><cell r="Q3762" t="str"><v>Social</v></cell><cell r="R3762" t="str"><v>Azure</v></cell><cell r="S3762" t="str"><v>Apps & Infra</v></cell><cell r="T3762" t="str"><v>Developers & ITI's</v></cell><cell r="U3762" t="str"><v>USA-Trial-ITD-Trial PayGo Lookalike-AZR-AZR</v></cell><cell r="V3762" t="str"><v>Lookalike Targeting</v></cell><cell r="W3762" t="str"><v>Link Ad</v></cell><cell r="X3762" t="str"><v>1x1</v></cell></row><row r="3762"><cell r="AA3762"><v>43307</v></cell><cell r="AB3762" t="str"><v>USA_gaPMG_AZR_AZR_Q1_19_Direct-Social</v></cell><cell r="AC3762"><v>21358715</v></cell><cell r="AD3762"><v>720197</v></cell><cell r="AE3762" t="str"><v>Facebook</v></cell><cell r="AF3762"><v>3654128</v></cell><cell r="AG3762" t="str"><v>FACEBOOK»USA-Trial-ITD-Trial PayGo Lookalike-AZR-AZR»1 x 1»SocialBan»LIA»ALL»CPA»LAL»X»NA»SS»NA»FreeAcctITProFB-AnimatedHybrid-Ch2»PRC1QC</v></cell><cell r="AH3762"><v>223933186</v></cell><cell r="AI3762" t="str"><v>AZR_FreeAcctITProFB-AnimatedHybrid-Ch2_USA_1200x1200_CAN_Direct_English_Trial_Standard_ANI_LEA_T2_2</v></cell><cell r="AJ3762"><v>103180583</v></cell></row><row r="3763"><cell r="C3763" t="str"><v>43307FACEBOOK»USA-Trial-ITD-Trial PayGo Lookalike-AZR-AZR»1 x 1»SocialBan»LIA»ALL»CPA»LAL»X»NA»SS»NA»FreeAcctITProFB-AnimatedSecureMngd-Ch1»PRC1QB</v></cell><cell r="D3763" t="str"><v>43307223862945</v></cell><cell r="E3763" t="str"><v>43307103176830PRC1QB</v></cell><cell r="F3763" t="str"><v>DCM</v></cell></row><row r="3763"><cell r="K3763" t="str"><v>July</v></cell><cell r="L3763"><v>43309</v></cell><cell r="M3763" t="str"><v>Tier 0</v></cell><cell r="N3763" t="str"><v>North America</v></cell><cell r="O3763" t="str"><v>United States</v></cell><cell r="P3763" t="str"><v>Trial</v></cell><cell r="Q3763" t="str"><v>Social</v></cell><cell r="R3763" t="str"><v>Azure</v></cell><cell r="S3763" t="str"><v>Apps & Infra</v></cell><cell r="T3763" t="str"><v>Developers & ITI's</v></cell><cell r="U3763" t="str"><v>USA-Trial-ITD-Trial PayGo Lookalike-AZR-AZR</v></cell><cell r="V3763" t="str"><v>Lookalike Targeting</v></cell><cell r="W3763" t="str"><v>Link Ad</v></cell><cell r="X3763" t="str"><v>1x1</v></cell></row><row r="3763"><cell r="AA3763"><v>43307</v></cell><cell r="AB3763" t="str"><v>USA_gaPMG_AZR_AZR_Q1_19_Direct-Social</v></cell><cell r="AC3763"><v>21358715</v></cell><cell r="AD3763"><v>720197</v></cell><cell r="AE3763" t="str"><v>Facebook</v></cell><cell r="AF3763"><v>3654128</v></cell><cell r="AG3763" t="str"><v>FACEBOOK»USA-Trial-ITD-Trial PayGo Lookalike-AZR-AZR»1 x 1»SocialBan»LIA»ALL»CPA»LAL»X»NA»SS»NA»FreeAcctITProFB-AnimatedSecureMngd-Ch1»PRC1QB</v></cell><cell r="AH3763"><v>223862945</v></cell><cell r="AI3763" t="str"><v>AZR_FreeAcctITProFB-AnimatedSecureMngd-Ch1_USA_1200x1200_CAN_Direct_English_Trial_Standard_ANI_LEA_T1_1</v></cell><cell r="AJ3763"><v>103176830</v></cell></row><row r="3764"><cell r="C3764" t="str"><v>43307INSTAGRAM»USA-Trial-ITD-Interest Prospecting-AZR-AZR»1 x 1»SocialBan»CAN»ALL»CPA»PRO»X»NA»SS»NA»IGCTCBrandinMotion»PRC2PB</v></cell><cell r="D3764" t="str"><v>43307223862690</v></cell><cell r="E3764" t="str"><v>43307103050783PRC2PB</v></cell><cell r="F3764" t="str"><v>DCM</v></cell><cell r="G3764" t="str"><v>https://signup.azure.com/?OCID=AID%eexcid!_OLA_%ebuy!_%epid!_%ecid!</v></cell></row><row r="3764"><cell r="K3764" t="str"><v>July</v></cell><cell r="L3764"><v>43309</v></cell><cell r="M3764" t="str"><v>Tier 0</v></cell><cell r="N3764" t="str"><v>North America</v></cell><cell r="O3764" t="str"><v>United States</v></cell><cell r="P3764" t="str"><v>Trial</v></cell><cell r="Q3764" t="str"><v>Social</v></cell><cell r="R3764" t="str"><v>Azure</v></cell><cell r="S3764" t="str"><v>Apps & Infra</v></cell><cell r="T3764" t="str"><v>Developers & ITI's</v></cell><cell r="U3764" t="str"><v>USA-Trial-ITD-Interest Prospecting-AZR-AZR</v></cell><cell r="V3764" t="str"><v>Prospecting</v></cell><cell r="W3764" t="str"><v>Canvas Ad</v></cell><cell r="X3764" t="str"><v>1x1</v></cell></row><row r="3764"><cell r="AA3764"><v>43307</v></cell><cell r="AB3764" t="str"><v>USA_gaPMG_AZR_AZR_Q1_19_Direct-Social</v></cell><cell r="AC3764"><v>21358715</v></cell><cell r="AD3764"><v>720197</v></cell><cell r="AE3764" t="str"><v>Facebook - Instagram</v></cell><cell r="AF3764"><v>3654128</v></cell><cell r="AG3764" t="str"><v>INSTAGRAM»USA-Trial-ITD-Interest Prospecting-AZR-AZR»1 x 1»SocialBan»CAN»ALL»CPA»PRO»X»NA»SS»NA»IGCTCBrandinMotion»PRC2PB</v></cell><cell r="AH3764"><v>223862690</v></cell><cell r="AI3764" t="str"><v>AzurePlatform_IGCTCBenefit2inMotion_USA_10s_CAN_PLATFORM_English_Trial_Standard_STAN_TIN_T4_1</v></cell><cell r="AJ3764"><v>103050783</v></cell></row><row r="3765"><cell r="C3765" t="str"><v>43307INSTAGRAM»USA-Trial-ITD-Retargeting-AZR-AZR»1 x 1»SocialBan»CAN»ALL»CPA»RT»X»NA»SS»NA»IGCTCBrandinMotion»PRC2G3</v></cell><cell r="D3765" t="str"><v>43307224107014</v></cell><cell r="E3765" t="str"><v>43307103050783PRC2G3</v></cell><cell r="F3765" t="str"><v>DCM</v></cell><cell r="G3765" t="str"><v>https://signup.azure.com/?OCID=AID%eexcid!_OLA_%ebuy!_%epid!_%ecid!</v></cell></row><row r="3765"><cell r="K3765" t="str"><v>July</v></cell><cell r="L3765"><v>43309</v></cell><cell r="M3765" t="str"><v>Tier 0</v></cell><cell r="N3765" t="str"><v>North America</v></cell><cell r="O3765" t="str"><v>United States</v></cell><cell r="P3765" t="str"><v>Trial</v></cell><cell r="Q3765" t="str"><v>Social</v></cell><cell r="R3765" t="str"><v>Azure</v></cell><cell r="S3765" t="str"><v>Apps & Infra</v></cell><cell r="T3765" t="str"><v>Developers & ITI's</v></cell><cell r="U3765" t="str"><v>USA-Trial-ITD-Retargeting-AZR-AZR</v></cell><cell r="V3765" t="str"><v>Retargeting</v></cell><cell r="W3765" t="str"><v>Canvas Ad</v></cell><cell r="X3765" t="str"><v>1x1</v></cell></row><row r="3765"><cell r="AA3765"><v>43307</v></cell><cell r="AB3765" t="str"><v>USA_gaPMG_AZR_AZR_Q1_19_Direct-Social</v></cell><cell r="AC3765"><v>21358715</v></cell><cell r="AD3765"><v>720197</v></cell><cell r="AE3765" t="str"><v>Facebook - Instagram</v></cell><cell r="AF3765"><v>3654128</v></cell><cell r="AG3765" t="str"><v>INSTAGRAM»USA-Trial-ITD-Retargeting-AZR-AZR»1 x 1»SocialBan»CAN»ALL»CPA»RT»X»NA»SS»NA»IGCTCBrandinMotion»PRC2G3</v></cell><cell r="AH3765"><v>224107014</v></cell><cell r="AI3765" t="str"><v>AzurePlatform_IGCTCBenefit2inMotion_USA_10s_CAN_PLATFORM_English_Trial_Standard_STAN_TIN_T4_1</v></cell><cell r="AJ3765"><v>103050783</v></cell></row><row r="3766"><cell r="C3766" t="str"><v>43307INSTAGRAM»USA-Trial-ITD-Retargeting-AZR-AZR»1 x 1»SocialBan»CAN»ALL»CPA»RT»X»NA»SS»NA»IGCTCBrandinMotion»PRC2G3</v></cell><cell r="D3766" t="str"><v>43307224107014</v></cell><cell r="E3766" t="str"><v>43307103178714PRC2G3</v></cell><cell r="F3766" t="str"><v>DCM</v></cell><cell r="G3766" t="str"><v>https://azure.microsoft.com/en-us/pricing/purchase-options/?v=18.19&OCID=AID%eexcid!_OLA_%ebuy!_%epid!_%ecid!</v></cell></row><row r="3766"><cell r="K3766" t="str"><v>July</v></cell><cell r="L3766"><v>43309</v></cell><cell r="M3766" t="str"><v>Tier 0</v></cell><cell r="N3766" t="str"><v>North America</v></cell><cell r="O3766" t="str"><v>United States</v></cell><cell r="P3766" t="str"><v>Trial</v></cell><cell r="Q3766" t="str"><v>Social</v></cell><cell r="R3766" t="str"><v>Azure</v></cell><cell r="S3766" t="str"><v>Apps & Infra</v></cell><cell r="T3766" t="str"><v>Developers & ITI's</v></cell><cell r="U3766" t="str"><v>USA-Trial-ITD-Retargeting-AZR-AZR</v></cell><cell r="V3766" t="str"><v>Retargeting</v></cell><cell r="W3766" t="str"><v>Canvas Ad</v></cell><cell r="X3766" t="str"><v>1x1</v></cell></row><row r="3766"><cell r="AA3766"><v>43307</v></cell><cell r="AB3766" t="str"><v>USA_gaPMG_AZR_AZR_Q1_19_Direct-Social</v></cell><cell r="AC3766"><v>21358715</v></cell><cell r="AD3766"><v>720197</v></cell><cell r="AE3766" t="str"><v>Facebook - Instagram</v></cell><cell r="AF3766"><v>3654128</v></cell><cell r="AG3766" t="str"><v>INSTAGRAM»USA-Trial-ITD-Retargeting-AZR-AZR»1 x 1»SocialBan»CAN»ALL»CPA»RT»X»NA»SS»NA»IGCTCBrandinMotion»PRC2G3</v></cell><cell r="AH3766"><v>224107014</v></cell><cell r="AI3766" t="str"><v>AzurePlatform_IGCTCBenefit2inMotion_USA_10s_CAN_PLATFORM_English_Trial_Standard_STAN_TIN_T4_2</v></cell><cell r="AJ3766"><v>103178714</v></cell></row><row r="3767"><cell r="C3767" t="str"><v>43307INSTAGRAM»USA-Trial-ITD-Retargeting-AZR-AZR»1 x 1»SocialBan»CAN»ALL»CPA»RT»X»NA»SS»NA»IGCTCBenefit2inMotion»PRC2G6</v></cell><cell r="D3767" t="str"><v>43307224105001</v></cell><cell r="E3767" t="str"><v>43307103180628PRC2G6</v></cell><cell r="F3767" t="str"><v>DCM</v></cell><cell r="G3767" t="str"><v>https://signup.azure.com/?OCID=AID%eexcid!_OLA_%ebuy!_%epid!_%ecid!</v></cell></row><row r="3767"><cell r="K3767" t="str"><v>July</v></cell><cell r="L3767"><v>43309</v></cell><cell r="M3767" t="str"><v>Tier 0</v></cell><cell r="N3767" t="str"><v>North America</v></cell><cell r="O3767" t="str"><v>United States</v></cell><cell r="P3767" t="str"><v>Trial</v></cell><cell r="Q3767" t="str"><v>Social</v></cell><cell r="R3767" t="str"><v>Azure</v></cell><cell r="S3767" t="str"><v>Apps & Infra</v></cell><cell r="T3767" t="str"><v>Developers & ITI's</v></cell><cell r="U3767" t="str"><v>USA-Trial-ITD-Retargeting-AZR-AZR</v></cell><cell r="V3767" t="str"><v>Retargeting</v></cell><cell r="W3767" t="str"><v>Canvas Ad</v></cell><cell r="X3767" t="str"><v>1x1</v></cell></row><row r="3767"><cell r="AA3767"><v>43307</v></cell><cell r="AB3767" t="str"><v>USA_gaPMG_AZR_AZR_Q1_19_Direct-Social</v></cell><cell r="AC3767"><v>21358715</v></cell><cell r="AD3767"><v>720197</v></cell><cell r="AE3767" t="str"><v>Facebook - Instagram</v></cell><cell r="AF3767"><v>3654128</v></cell><cell r="AG3767" t="str"><v>INSTAGRAM»USA-Trial-ITD-Retargeting-AZR-AZR»1 x 1»SocialBan»CAN»ALL»CPA»RT»X»NA»SS»NA»IGCTCBenefit2inMotion»PRC2G6</v></cell><cell r="AH3767"><v>224105001</v></cell><cell r="AI3767" t="str"><v>AzurePlatform_IGCTCBrandinMotion_USA_10s_CAN_PLATFORM_English_Trial_Standard_STAN_TIN_T2_1</v></cell><cell r="AJ3767"><v>103180628</v></cell></row><row r="3768"><cell r="C3768" t="str"><v>43307INSTAGRAM»USA-Trial-ITD-Retargeting-AZR-AZR»1 x 1»SocialBan»CAN»ALL»CPA»RT»X»NA»SS»NA»IGCTCBenefitinMotion»PRC2G4</v></cell><cell r="D3768" t="str"><v>43307224107536</v></cell><cell r="E3768" t="str"><v>43307103050780PRC2G4</v></cell><cell r="F3768" t="str"><v>DCM</v></cell><cell r="G3768" t="str"><v>https://signup.azure.com/?OCID=AID%eexcid!_OLA_%ebuy!_%epid!_%ecid!</v></cell></row><row r="3768"><cell r="K3768" t="str"><v>July</v></cell><cell r="L3768"><v>43309</v></cell><cell r="M3768" t="str"><v>Tier 0</v></cell><cell r="N3768" t="str"><v>North America</v></cell><cell r="O3768" t="str"><v>United States</v></cell><cell r="P3768" t="str"><v>Trial</v></cell><cell r="Q3768" t="str"><v>Social</v></cell><cell r="R3768" t="str"><v>Azure</v></cell><cell r="S3768" t="str"><v>Apps & Infra</v></cell><cell r="T3768" t="str"><v>Developers & ITI's</v></cell><cell r="U3768" t="str"><v>USA-Trial-ITD-Retargeting-AZR-AZR</v></cell><cell r="V3768" t="str"><v>Retargeting</v></cell><cell r="W3768" t="str"><v>Canvas Ad</v></cell><cell r="X3768" t="str"><v>1x1</v></cell></row><row r="3768"><cell r="AA3768"><v>43307</v></cell><cell r="AB3768" t="str"><v>USA_gaPMG_AZR_AZR_Q1_19_Direct-Social</v></cell><cell r="AC3768"><v>21358715</v></cell><cell r="AD3768"><v>720197</v></cell><cell r="AE3768" t="str"><v>Facebook - Instagram</v></cell><cell r="AF3768"><v>3654128</v></cell><cell r="AG3768" t="str"><v>INSTAGRAM»USA-Trial-ITD-Retargeting-AZR-AZR»1 x 1»SocialBan»CAN»ALL»CPA»RT»X»NA»SS»NA»IGCTCBenefitinMotion»PRC2G4</v></cell><cell r="AH3768"><v>224107536</v></cell><cell r="AI3768" t="str"><v>AzurePlatform_IGCTCBenefitinMotion_USA_10s_CAN_PLATFORM_English_Trial_Standard_STAN_TIN_T3_1</v></cell><cell r="AJ3768"><v>103050780</v></cell></row><row r="3769"><cell r="C3769" t="str"><v>43307INSTAGRAM»USA-Trial-ITD-Trial Lookalike-AZR-AZR»1 x 1»SocialBan»CAN»ALL»CPA»LAL»X»NA»SS»NA»IGCTCBenefit2inMotion»PRC2FL</v></cell><cell r="D3769" t="str"><v>43307223935022</v></cell><cell r="E3769" t="str"><v>43307103180628PRC2FL</v></cell><cell r="F3769" t="str"><v>DCM</v></cell><cell r="G3769" t="str"><v>https://signup.azure.com/?OCID=AID%eexcid!_OLA_%ebuy!_%epid!_%ecid!</v></cell></row><row r="3769"><cell r="K3769" t="str"><v>July</v></cell><cell r="L3769"><v>43309</v></cell><cell r="M3769" t="str"><v>Tier 0</v></cell><cell r="N3769" t="str"><v>North America</v></cell><cell r="O3769" t="str"><v>United States</v></cell><cell r="P3769" t="str"><v>Trial</v></cell><cell r="Q3769" t="str"><v>Social</v></cell><cell r="R3769" t="str"><v>Azure</v></cell><cell r="S3769" t="str"><v>Apps & Infra</v></cell><cell r="T3769" t="str"><v>Developers & ITI's</v></cell><cell r="U3769" t="str"><v>USA-Trial-ITD-Trial Lookalike-AZR-AZR</v></cell><cell r="V3769" t="str"><v>Lookalike Targeting</v></cell><cell r="W3769" t="str"><v>Canvas Ad</v></cell><cell r="X3769" t="str"><v>1x1</v></cell></row><row r="3769"><cell r="AA3769"><v>43307</v></cell><cell r="AB3769" t="str"><v>USA_gaPMG_AZR_AZR_Q1_19_Direct-Social</v></cell><cell r="AC3769"><v>21358715</v></cell><cell r="AD3769"><v>720197</v></cell><cell r="AE3769" t="str"><v>Facebook - Instagram</v></cell><cell r="AF3769"><v>3654128</v></cell><cell r="AG3769" t="str"><v>INSTAGRAM»USA-Trial-ITD-Trial Lookalike-AZR-AZR»1 x 1»SocialBan»CAN»ALL»CPA»LAL»X»NA»SS»NA»IGCTCBenefit2inMotion»PRC2FL</v></cell><cell r="AH3769"><v>223935022</v></cell><cell r="AI3769" t="str"><v>AzurePlatform_IGCTCBrandinMotion_USA_10s_CAN_PLATFORM_English_Trial_Standard_STAN_TIN_T2_1</v></cell><cell r="AJ3769"><v>103180628</v></cell></row><row r="3770"><cell r="C3770" t="str"><v>43307INSTAGRAM»USA-Trial-ITD-Trial Lookalike-AZR-AZR»1 x 1»SocialBan»CAN»ALL»CPA»LAL»X»NA»SS»NA»IGCTCBenefit2inMotion»PRC2FL</v></cell><cell r="D3770" t="str"><v>43307223935022</v></cell><cell r="E3770" t="str"><v>43307103050786PRC2FL</v></cell><cell r="F3770" t="str"><v>DCM</v></cell><cell r="G3770" t="str"><v>https://azure.microsoft.com/en-us/pricing/purchase-options/?v=18.19&OCID=AID%eexcid!_OLA_%ebuy!_%epid!_%ecid!</v></cell></row><row r="3770"><cell r="K3770" t="str"><v>July</v></cell><cell r="L3770"><v>43309</v></cell><cell r="M3770" t="str"><v>Tier 0</v></cell><cell r="N3770" t="str"><v>North America</v></cell><cell r="O3770" t="str"><v>United States</v></cell><cell r="P3770" t="str"><v>Trial</v></cell><cell r="Q3770" t="str"><v>Social</v></cell><cell r="R3770" t="str"><v>Azure</v></cell><cell r="S3770" t="str"><v>Apps & Infra</v></cell><cell r="T3770" t="str"><v>Developers & ITI's</v></cell><cell r="U3770" t="str"><v>USA-Trial-ITD-Trial Lookalike-AZR-AZR</v></cell><cell r="V3770" t="str"><v>Lookalike Targeting</v></cell><cell r="W3770" t="str"><v>Canvas Ad</v></cell><cell r="X3770" t="str"><v>1x1</v></cell></row><row r="3770"><cell r="AA3770"><v>43307</v></cell><cell r="AB3770" t="str"><v>USA_gaPMG_AZR_AZR_Q1_19_Direct-Social</v></cell><cell r="AC3770"><v>21358715</v></cell><cell r="AD3770"><v>720197</v></cell><cell r="AE3770" t="str"><v>Facebook - Instagram</v></cell><cell r="AF3770"><v>3654128</v></cell><cell r="AG3770" t="str"><v>INSTAGRAM»USA-Trial-ITD-Trial Lookalike-AZR-AZR»1 x 1»SocialBan»CAN»ALL»CPA»LAL»X»NA»SS»NA»IGCTCBenefit2inMotion»PRC2FL</v></cell><cell r="AH3770"><v>223935022</v></cell><cell r="AI3770" t="str"><v>AzurePlatform_IGCTCBrandinMotion_USA_10s_CAN_PLATFORM_English_Trial_Standard_STAN_TIN_T2_2</v></cell><cell r="AJ3770"><v>103050786</v></cell></row><row r="3771"><cell r="C3771" t="str"><v>43307INSTAGRAM»USA-Trial-ITD-Trial Lookalike-AZR-AZR»1 x 1»SocialBan»CAN»ALL»CPA»LAL»X»NA»SS»NA»IGCTCBrandinMotion»PRC2FH</v></cell><cell r="D3771" t="str"><v>43307223935019</v></cell><cell r="E3771" t="str"><v>43307103050783PRC2FH</v></cell><cell r="F3771" t="str"><v>DCM</v></cell><cell r="G3771" t="str"><v>https://signup.azure.com/?OCID=AID%eexcid!_OLA_%ebuy!_%epid!_%ecid!</v></cell></row><row r="3771"><cell r="K3771" t="str"><v>July</v></cell><cell r="L3771"><v>43309</v></cell><cell r="M3771" t="str"><v>Tier 0</v></cell><cell r="N3771" t="str"><v>North America</v></cell><cell r="O3771" t="str"><v>United States</v></cell><cell r="P3771" t="str"><v>Trial</v></cell><cell r="Q3771" t="str"><v>Social</v></cell><cell r="R3771" t="str"><v>Azure</v></cell><cell r="S3771" t="str"><v>Apps & Infra</v></cell><cell r="T3771" t="str"><v>Developers & ITI's</v></cell><cell r="U3771" t="str"><v>USA-Trial-ITD-Trial Lookalike-AZR-AZR</v></cell><cell r="V3771" t="str"><v>Lookalike Targeting</v></cell><cell r="W3771" t="str"><v>Canvas Ad</v></cell><cell r="X3771" t="str"><v>1x1</v></cell></row><row r="3771"><cell r="AA3771"><v>43307</v></cell><cell r="AB3771" t="str"><v>USA_gaPMG_AZR_AZR_Q1_19_Direct-Social</v></cell><cell r="AC3771"><v>21358715</v></cell><cell r="AD3771"><v>720197</v></cell><cell r="AE3771" t="str"><v>Facebook - Instagram</v></cell><cell r="AF3771"><v>3654128</v></cell><cell r="AG3771" t="str"><v>INSTAGRAM»USA-Trial-ITD-Trial Lookalike-AZR-AZR»1 x 1»SocialBan»CAN»ALL»CPA»LAL»X»NA»SS»NA»IGCTCBrandinMotion»PRC2FH</v></cell><cell r="AH3771"><v>223935019</v></cell><cell r="AI3771" t="str"><v>AzurePlatform_IGCTCBenefit2inMotion_USA_10s_CAN_PLATFORM_English_Trial_Standard_STAN_TIN_T4_1</v></cell><cell r="AJ3771"><v>103050783</v></cell></row><row r="3772"><cell r="C3772" t="str"><v>43307INSTAGRAM»USA-Trial-ITD-Trial Lookalike-AZR-AZR»1 x 1»SocialBan»CAN»ALL»CPA»LAL»X»NA»SS»NA»IGCTCBrandinMotion»PRC2FH</v></cell><cell r="D3772" t="str"><v>43307223935019</v></cell><cell r="E3772" t="str"><v>43307103178714PRC2FH</v></cell><cell r="F3772" t="str"><v>DCM</v></cell><cell r="G3772" t="str"><v>https://azure.microsoft.com/en-us/pricing/purchase-options/?v=18.19&OCID=AID%eexcid!_OLA_%ebuy!_%epid!_%ecid!</v></cell></row><row r="3772"><cell r="K3772" t="str"><v>July</v></cell><cell r="L3772"><v>43309</v></cell><cell r="M3772" t="str"><v>Tier 0</v></cell><cell r="N3772" t="str"><v>North America</v></cell><cell r="O3772" t="str"><v>United States</v></cell><cell r="P3772" t="str"><v>Trial</v></cell><cell r="Q3772" t="str"><v>Social</v></cell><cell r="R3772" t="str"><v>Azure</v></cell><cell r="S3772" t="str"><v>Apps & Infra</v></cell><cell r="T3772" t="str"><v>Developers & ITI's</v></cell><cell r="U3772" t="str"><v>USA-Trial-ITD-Trial Lookalike-AZR-AZR</v></cell><cell r="V3772" t="str"><v>Lookalike Targeting</v></cell><cell r="W3772" t="str"><v>Canvas Ad</v></cell><cell r="X3772" t="str"><v>1x1</v></cell></row><row r="3772"><cell r="AA3772"><v>43307</v></cell><cell r="AB3772" t="str"><v>USA_gaPMG_AZR_AZR_Q1_19_Direct-Social</v></cell><cell r="AC3772"><v>21358715</v></cell><cell r="AD3772"><v>720197</v></cell><cell r="AE3772" t="str"><v>Facebook - Instagram</v></cell><cell r="AF3772"><v>3654128</v></cell><cell r="AG3772" t="str"><v>INSTAGRAM»USA-Trial-ITD-Trial Lookalike-AZR-AZR»1 x 1»SocialBan»CAN»ALL»CPA»LAL»X»NA»SS»NA»IGCTCBrandinMotion»PRC2FH</v></cell><cell r="AH3772"><v>223935019</v></cell><cell r="AI3772" t="str"><v>AzurePlatform_IGCTCBenefit2inMotion_USA_10s_CAN_PLATFORM_English_Trial_Standard_STAN_TIN_T4_2</v></cell><cell r="AJ3772"><v>103178714</v></cell></row><row r="3773"><cell r="C3773" t="str"><v>43307INSTAGRAM»USA-Trial-ITD-Trial Lookalike-AZR-AZR»1 x 1»SocialBan»CAN»ALL»CPA»LAL»X»NA»SS»NA»IGCTCBasicMotion»PRC0C2</v></cell><cell r="D3773" t="str"><v>43307224107017</v></cell><cell r="E3773" t="str"><v>43307103037968PRC0C2</v></cell><cell r="F3773" t="str"><v>DCM</v></cell><cell r="G3773" t="str"><v>https://signup.azure.com/?OCID=AID%eexcid!_OLA_%ebuy!_%epid!_%ecid!</v></cell></row><row r="3773"><cell r="K3773" t="str"><v>July</v></cell><cell r="L3773"><v>43309</v></cell><cell r="M3773" t="str"><v>Tier 0</v></cell><cell r="N3773" t="str"><v>North America</v></cell><cell r="O3773" t="str"><v>United States</v></cell><cell r="P3773" t="str"><v>Trial</v></cell><cell r="Q3773" t="str"><v>Social</v></cell><cell r="R3773" t="str"><v>Azure</v></cell><cell r="S3773" t="str"><v>Apps & Infra</v></cell><cell r="T3773" t="str"><v>Developers & ITI's</v></cell><cell r="U3773" t="str"><v>USA-Trial-ITD-Trial Lookalike-AZR-AZR</v></cell><cell r="V3773" t="str"><v>Lookalike Targeting</v></cell><cell r="W3773" t="str"><v>Canvas Ad</v></cell><cell r="X3773" t="str"><v>1x1</v></cell></row><row r="3773"><cell r="AA3773"><v>43307</v></cell><cell r="AB3773" t="str"><v>USA_gaPMG_AZR_AZR_Q1_19_Direct-Social</v></cell><cell r="AC3773"><v>21358715</v></cell><cell r="AD3773"><v>720197</v></cell><cell r="AE3773" t="str"><v>Facebook - Instagram</v></cell><cell r="AF3773"><v>3654128</v></cell><cell r="AG3773" t="str"><v>INSTAGRAM»USA-Trial-ITD-Trial Lookalike-AZR-AZR»1 x 1»SocialBan»CAN»ALL»CPA»LAL»X»NA»SS»NA»IGCTCBasicMotion»PRC0C2</v></cell><cell r="AH3773"><v>224107017</v></cell><cell r="AI3773" t="str"><v>AzurePlatform_IGCTCBasicMotion_USA_10s_CAN_PLATFORM_English_Trial_Standard_STAN_TIN_T1_1</v></cell><cell r="AJ3773"><v>103037968</v></cell></row><row r="3774"><cell r="C3774" t="str"><v>43307INSTAGRAM»USA-Trial-ITD-Trial Lookalike-AZR-AZR»1 x 1»SocialBan»CAN»ALL»CPA»LAL»X»NA»SS»NA»IGCTCBenefitinMotion»PRC2FK</v></cell><cell r="D3774" t="str"><v>43307224107542</v></cell><cell r="E3774" t="str"><v>43307103050780PRC2FK</v></cell><cell r="F3774" t="str"><v>DCM</v></cell><cell r="G3774" t="str"><v>https://signup.azure.com/?OCID=AID%eexcid!_OLA_%ebuy!_%epid!_%ecid!</v></cell></row><row r="3774"><cell r="K3774" t="str"><v>July</v></cell><cell r="L3774"><v>43309</v></cell><cell r="M3774" t="str"><v>Tier 0</v></cell><cell r="N3774" t="str"><v>North America</v></cell><cell r="O3774" t="str"><v>United States</v></cell><cell r="P3774" t="str"><v>Trial</v></cell><cell r="Q3774" t="str"><v>Social</v></cell><cell r="R3774" t="str"><v>Azure</v></cell><cell r="S3774" t="str"><v>Apps & Infra</v></cell><cell r="T3774" t="str"><v>Developers & ITI's</v></cell><cell r="U3774" t="str"><v>USA-Trial-ITD-Trial Lookalike-AZR-AZR</v></cell><cell r="V3774" t="str"><v>Lookalike Targeting</v></cell><cell r="W3774" t="str"><v>Canvas Ad</v></cell><cell r="X3774" t="str"><v>1x1</v></cell></row><row r="3774"><cell r="AA3774"><v>43307</v></cell><cell r="AB3774" t="str"><v>USA_gaPMG_AZR_AZR_Q1_19_Direct-Social</v></cell><cell r="AC3774"><v>21358715</v></cell><cell r="AD3774"><v>720197</v></cell><cell r="AE3774" t="str"><v>Facebook - Instagram</v></cell><cell r="AF3774"><v>3654128</v></cell><cell r="AG3774" t="str"><v>INSTAGRAM»USA-Trial-ITD-Trial Lookalike-AZR-AZR»1 x 1»SocialBan»CAN»ALL»CPA»LAL»X»NA»SS»NA»IGCTCBenefitinMotion»PRC2FK</v></cell><cell r="AH3774"><v>224107542</v></cell><cell r="AI3774" t="str"><v>AzurePlatform_IGCTCBenefitinMotion_USA_10s_CAN_PLATFORM_English_Trial_Standard_STAN_TIN_T3_1</v></cell><cell r="AJ3774"><v>103050780</v></cell></row><row r="3775"><cell r="C3775" t="str"><v>43307INSTAGRAM»USA-Trial-ITD-Trial Lookalike-AZR-AZR»1 x 1»SocialBan»CAN»ALL»CPA»LAL»X»NA»SS»NA»IGCTCBenefitinMotion»PRC2FK</v></cell><cell r="D3775" t="str"><v>43307224107542</v></cell><cell r="E3775" t="str"><v>43307103180637PRC2FK</v></cell><cell r="F3775" t="str"><v>DCM</v></cell><cell r="G3775" t="str"><v>https://azure.microsoft.com/en-us/pricing/purchase-options/?v=18.19&OCID=AID%eexcid!_OLA_%ebuy!_%epid!_%ecid!</v></cell></row><row r="3775"><cell r="K3775" t="str"><v>July</v></cell><cell r="L3775"><v>43309</v></cell><cell r="M3775" t="str"><v>Tier 0</v></cell><cell r="N3775" t="str"><v>North America</v></cell><cell r="O3775" t="str"><v>United States</v></cell><cell r="P3775" t="str"><v>Trial</v></cell><cell r="Q3775" t="str"><v>Social</v></cell><cell r="R3775" t="str"><v>Azure</v></cell><cell r="S3775" t="str"><v>Apps & Infra</v></cell><cell r="T3775" t="str"><v>Developers & ITI's</v></cell><cell r="U3775" t="str"><v>USA-Trial-ITD-Trial Lookalike-AZR-AZR</v></cell><cell r="V3775" t="str"><v>Lookalike Targeting</v></cell><cell r="W3775" t="str"><v>Canvas Ad</v></cell><cell r="X3775" t="str"><v>1x1</v></cell></row><row r="3775"><cell r="AA3775"><v>43307</v></cell><cell r="AB3775" t="str"><v>USA_gaPMG_AZR_AZR_Q1_19_Direct-Social</v></cell><cell r="AC3775"><v>21358715</v></cell><cell r="AD3775"><v>720197</v></cell><cell r="AE3775" t="str"><v>Facebook - Instagram</v></cell><cell r="AF3775"><v>3654128</v></cell><cell r="AG3775" t="str"><v>INSTAGRAM»USA-Trial-ITD-Trial Lookalike-AZR-AZR»1 x 1»SocialBan»CAN»ALL»CPA»LAL»X»NA»SS»NA»IGCTCBenefitinMotion»PRC2FK</v></cell><cell r="AH3775"><v>224107542</v></cell><cell r="AI3775" t="str"><v>AzurePlatform_IGCTCBenefitinMotion_USA_10s_CAN_PLATFORM_English_Trial_Standard_STAN_TIN_T3_2</v></cell><cell r="AJ3775"><v>103180637</v></cell></row><row r="3776"><cell r="C3776" t="str"><v>43307INSTAGRAM»USA-Trial-ITD-Trial PayGo Lookalike-AZR-AZR»1 x 1»SocialBan»CAN»ALL»CPA»LAL»X»NA»SS»NA»IGCTCBasicMotion»PRC2G0</v></cell><cell r="D3776" t="str"><v>43307224106891</v></cell><cell r="E3776" t="str"><v>43307103037968PRC2G0</v></cell><cell r="F3776" t="str"><v>DCM</v></cell><cell r="G3776" t="str"><v>https://signup.azure.com/?OCID=AID%eexcid!_OLA_%ebuy!_%epid!_%ecid!</v></cell></row><row r="3776"><cell r="K3776" t="str"><v>July</v></cell><cell r="L3776"><v>43309</v></cell><cell r="M3776" t="str"><v>Tier 0</v></cell><cell r="N3776" t="str"><v>North America</v></cell><cell r="O3776" t="str"><v>United States</v></cell><cell r="P3776" t="str"><v>Trial</v></cell><cell r="Q3776" t="str"><v>Social</v></cell><cell r="R3776" t="str"><v>Azure</v></cell><cell r="S3776" t="str"><v>Apps & Infra</v></cell><cell r="T3776" t="str"><v>Developers & ITI's</v></cell><cell r="U3776" t="str"><v>USA-Trial-ITD-Trial PayGo Lookalike-AZR-AZR</v></cell><cell r="V3776" t="str"><v>Lookalike Targeting</v></cell><cell r="W3776" t="str"><v>Canvas Ad</v></cell><cell r="X3776" t="str"><v>1x1</v></cell></row><row r="3776"><cell r="AA3776"><v>43307</v></cell><cell r="AB3776" t="str"><v>USA_gaPMG_AZR_AZR_Q1_19_Direct-Social</v></cell><cell r="AC3776"><v>21358715</v></cell><cell r="AD3776"><v>720197</v></cell><cell r="AE3776" t="str"><v>Facebook - Instagram</v></cell><cell r="AF3776"><v>3654128</v></cell><cell r="AG3776" t="str"><v>INSTAGRAM»USA-Trial-ITD-Trial PayGo Lookalike-AZR-AZR»1 x 1»SocialBan»CAN»ALL»CPA»LAL»X»NA»SS»NA»IGCTCBasicMotion»PRC2G0</v></cell><cell r="AH3776"><v>224106891</v></cell><cell r="AI3776" t="str"><v>AzurePlatform_IGCTCBasicMotion_USA_10s_CAN_PLATFORM_English_Trial_Standard_STAN_TIN_T1_1</v></cell><cell r="AJ3776"><v>103037968</v></cell></row><row r="3777"><cell r="C3777" t="str"><v>43307INSTAGRAM»USA-Trial-ITD-Trial PayGo Lookalike-AZR-AZR»1 x 1»SocialBan»CAN»ALL»CPA»LAL»X»NA»SS»NA»IGCTCBasicMotion»PRC2G0</v></cell><cell r="D3777" t="str"><v>43307224106891</v></cell><cell r="E3777" t="str"><v>43307103037974PRC2G0</v></cell><cell r="F3777" t="str"><v>DCM</v></cell><cell r="G3777" t="str"><v>https://azure.microsoft.com/en-us/pricing/purchase-options/?v=18.19&OCID=AID%eexcid!_OLA_%ebuy!_%epid!_%ecid!</v></cell></row><row r="3777"><cell r="K3777" t="str"><v>July</v></cell><cell r="L3777"><v>43309</v></cell><cell r="M3777" t="str"><v>Tier 0</v></cell><cell r="N3777" t="str"><v>North America</v></cell><cell r="O3777" t="str"><v>United States</v></cell><cell r="P3777" t="str"><v>Trial</v></cell><cell r="Q3777" t="str"><v>Social</v></cell><cell r="R3777" t="str"><v>Azure</v></cell><cell r="S3777" t="str"><v>Apps & Infra</v></cell><cell r="T3777" t="str"><v>Developers & ITI's</v></cell><cell r="U3777" t="str"><v>USA-Trial-ITD-Trial PayGo Lookalike-AZR-AZR</v></cell><cell r="V3777" t="str"><v>Lookalike Targeting</v></cell><cell r="W3777" t="str"><v>Canvas Ad</v></cell><cell r="X3777" t="str"><v>1x1</v></cell></row><row r="3777"><cell r="AA3777"><v>43307</v></cell><cell r="AB3777" t="str"><v>USA_gaPMG_AZR_AZR_Q1_19_Direct-Social</v></cell><cell r="AC3777"><v>21358715</v></cell><cell r="AD3777"><v>720197</v></cell><cell r="AE3777" t="str"><v>Facebook - Instagram</v></cell><cell r="AF3777"><v>3654128</v></cell><cell r="AG3777" t="str"><v>INSTAGRAM»USA-Trial-ITD-Trial PayGo Lookalike-AZR-AZR»1 x 1»SocialBan»CAN»ALL»CPA»LAL»X»NA»SS»NA»IGCTCBasicMotion»PRC2G0</v></cell><cell r="AH3777"><v>224106891</v></cell><cell r="AI3777" t="str"><v>AzurePlatform_IGCTCBasicMotion_USA_10s_CAN_PLATFORM_English_Trial_Standard_STAN_TIN_T1_2</v></cell><cell r="AJ3777"><v>103037974</v></cell></row><row r="3778"><cell r="C3778" t="str"><v>43307INSTAGRAM»USA-Trial-ITD-Trial PayGo Lookalike-AZR-AZR»1 x 1»SocialBan»CAN»ALL»CPA»LAL»X»NA»SS»NA»IGCTCBenefitinMotion»PRC2FX</v></cell><cell r="D3778" t="str"><v>43307223933999</v></cell><cell r="E3778" t="str"><v>43307103050780PRC2FX</v></cell><cell r="F3778" t="str"><v>DCM</v></cell><cell r="G3778" t="str"><v>https://signup.azure.com/?OCID=AID%eexcid!_OLA_%ebuy!_%epid!_%ecid!</v></cell></row><row r="3778"><cell r="K3778" t="str"><v>July</v></cell><cell r="L3778"><v>43309</v></cell><cell r="M3778" t="str"><v>Tier 0</v></cell><cell r="N3778" t="str"><v>North America</v></cell><cell r="O3778" t="str"><v>United States</v></cell><cell r="P3778" t="str"><v>Trial</v></cell><cell r="Q3778" t="str"><v>Social</v></cell><cell r="R3778" t="str"><v>Azure</v></cell><cell r="S3778" t="str"><v>Apps & Infra</v></cell><cell r="T3778" t="str"><v>Developers & ITI's</v></cell><cell r="U3778" t="str"><v>USA-Trial-ITD-Trial PayGo Lookalike-AZR-AZR</v></cell><cell r="V3778" t="str"><v>Lookalike Targeting</v></cell><cell r="W3778" t="str"><v>Canvas Ad</v></cell><cell r="X3778" t="str"><v>1x1</v></cell></row><row r="3778"><cell r="AA3778"><v>43307</v></cell><cell r="AB3778" t="str"><v>USA_gaPMG_AZR_AZR_Q1_19_Direct-Social</v></cell><cell r="AC3778"><v>21358715</v></cell><cell r="AD3778"><v>720197</v></cell><cell r="AE3778" t="str"><v>Facebook - Instagram</v></cell><cell r="AF3778"><v>3654128</v></cell><cell r="AG3778" t="str"><v>INSTAGRAM»USA-Trial-ITD-Trial PayGo Lookalike-AZR-AZR»1 x 1»SocialBan»CAN»ALL»CPA»LAL»X»NA»SS»NA»IGCTCBenefitinMotion»PRC2FX</v></cell><cell r="AH3778"><v>223933999</v></cell><cell r="AI3778" t="str"><v>AzurePlatform_IGCTCBenefitinMotion_USA_10s_CAN_PLATFORM_English_Trial_Standard_STAN_TIN_T3_1</v></cell><cell r="AJ3778"><v>103050780</v></cell></row><row r="3779"><cell r="C3779" t="str"><v>43308Facebook»Audience & Interest Targeting»1x1»Canvas»OTH»DT»DYN»AUT»W»NA»SS»NA»FBCTCcanvaspage-StartFreeCTA_FBCTCcanvaspage-BuyNowCTA</v></cell><cell r="D3779" t="str"><v>43308224639151</v></cell><cell r="E3779" t="str"><v>43308103316832NowCTA</v></cell><cell r="F3779" t="str"><v>DCM</v></cell><cell r="G3779" t="str"><v>https://azure.microsoft.com/en-au/pricing/purchase-options/</v></cell></row><row r="3779"><cell r="K3779" t="str"><v>July</v></cell><cell r="L3779"><v>43309</v></cell><cell r="M3779" t="str"><v>Tier 1</v></cell><cell r="N3779" t="str"><v>APAC</v></cell><cell r="O3779" t="str"><v>Australia</v></cell><cell r="P3779" t="str"><v>Trial</v></cell><cell r="Q3779" t="str"><v>Social</v></cell><cell r="R3779" t="str"><v>Azure</v></cell><cell r="S3779" t="str"><v>Apps & Infra</v></cell><cell r="T3779" t="str"><v>Developers & ITI's</v></cell><cell r="U3779" t="str"><v>Audience & Interest Targeting</v></cell><cell r="V3779" t="str"><v>Audience Targeting</v></cell><cell r="W3779" t="str"><v>Other</v></cell><cell r="X3779" t="str"><v>1x1</v></cell></row><row r="3779"><cell r="AA3779"><v>43308</v></cell><cell r="AB3779" t="str"><v>AUS_gaPMG_AZR_AZR_Q1_19_Trial-Social</v></cell><cell r="AC3779"><v>21358568</v></cell><cell r="AD3779"><v>720191</v></cell><cell r="AE3779" t="str"><v>Facebook</v></cell><cell r="AF3779"><v>3654128</v></cell><cell r="AG3779" t="str"><v>Facebook»Audience & Interest Targeting»1x1»Canvas»OTH»DT»DYN»AUT»W»NA»SS»NA»FBCTCcanvaspage-StartFreeCTA_FBCTCcanvaspage-BuyNowCTA</v></cell><cell r="AH3779"><v>224639151</v></cell><cell r="AI3779" t="str"><v>AzurePlatform_FBCTCcanvaspage-BuyNowCTA-Img3_AUS_1080x162_SOC_Plat_English_NA_Standard_NA_BN_T3_1</v></cell><cell r="AJ3779"><v>103316832</v></cell></row><row r="3780"><cell r="C3780" t="str"><v>43308Facebook»Audience & Interest Targeting»1x1»Canvas»OTH»DT»DYN»AUT»W»NA»SS»NA»FBCTCcanvaspage-StartFreeCTA_FBCTCcanvaspage-BuyNowCTA</v></cell><cell r="D3780" t="str"><v>43308224639151</v></cell><cell r="E3780" t="str"><v>43308103316829NowCTA</v></cell><cell r="F3780" t="str"><v>DCM</v></cell><cell r="G3780" t="str"><v>https://signup.azure.com/signup?offer=ms-azr-0044p&appId=102&ref=paidmedia-social-fb&redirectURL=https%3a%2f%2fazure.microsoft.com%2fen-au%2fget-started%2fwelcome-to-azure%2f&l=en-au&correlationId=ead86c34-1f10-49dd-a72b-6918462a2cbf</v></cell></row><row r="3780"><cell r="K3780" t="str"><v>July</v></cell><cell r="L3780"><v>43309</v></cell><cell r="M3780" t="str"><v>Tier 1</v></cell><cell r="N3780" t="str"><v>APAC</v></cell><cell r="O3780" t="str"><v>Australia</v></cell><cell r="P3780" t="str"><v>Trial</v></cell><cell r="Q3780" t="str"><v>Social</v></cell><cell r="R3780" t="str"><v>Azure</v></cell><cell r="S3780" t="str"><v>Apps & Infra</v></cell><cell r="T3780" t="str"><v>Developers & ITI's</v></cell><cell r="U3780" t="str"><v>Audience & Interest Targeting</v></cell><cell r="V3780" t="str"><v>Audience Targeting</v></cell><cell r="W3780" t="str"><v>Other</v></cell><cell r="X3780" t="str"><v>1x1</v></cell></row><row r="3780"><cell r="AA3780"><v>43308</v></cell><cell r="AB3780" t="str"><v>AUS_gaPMG_AZR_AZR_Q1_19_Trial-Social</v></cell><cell r="AC3780"><v>21358568</v></cell><cell r="AD3780"><v>720191</v></cell><cell r="AE3780" t="str"><v>Facebook</v></cell><cell r="AF3780"><v>3654128</v></cell><cell r="AG3780" t="str"><v>Facebook»Audience & Interest Targeting»1x1»Canvas»OTH»DT»DYN»AUT»W»NA»SS»NA»FBCTCcanvaspage-StartFreeCTA_FBCTCcanvaspage-BuyNowCTA</v></cell><cell r="AH3780"><v>224639151</v></cell><cell r="AI3780" t="str"><v>AzurePlatform_FBCTCcanvaspage-StartFreeCTA-Img2_AUS_1080x143 _SOC_Plat_English_NA_Standard_NA_NA_T2_1</v></cell><cell r="AJ3780"><v>103316829</v></cell></row><row r="3781"><cell r="C3781" t="str"><v>43308Facebook»Audience & Interest Targeting»1x1»TextLink»OTH»DT»DYN»AUT»W»NA»SS»NA»Free Account Refresh- 12 months ChE</v></cell><cell r="D3781" t="str"><v>43308224160783</v></cell><cell r="E3781" t="str"><v>43308103051614hs ChE</v></cell><cell r="F3781" t="str"><v>DCM</v></cell></row><row r="3781"><cell r="K3781" t="str"><v>July</v></cell><cell r="L3781"><v>43309</v></cell><cell r="M3781" t="str"><v>Tier 1</v></cell><cell r="N3781" t="str"><v>APAC</v></cell><cell r="O3781" t="str"><v>Australia</v></cell><cell r="P3781" t="str"><v>Trial</v></cell><cell r="Q3781" t="str"><v>Social</v></cell><cell r="R3781" t="str"><v>Azure</v></cell><cell r="S3781" t="str"><v>Apps & Infra</v></cell><cell r="T3781" t="str"><v>Developers & ITI's</v></cell><cell r="U3781" t="str"><v>Audience & Interest Targeting</v></cell><cell r="V3781" t="str"><v>Audience Targeting</v></cell><cell r="W3781" t="str"><v>Other</v></cell><cell r="X3781" t="str"><v>1x1</v></cell></row><row r="3781"><cell r="AA3781"><v>43308</v></cell><cell r="AB3781" t="str"><v>AUS_gaPMG_AZR_AZR_Q1_19_Trial-Social</v></cell><cell r="AC3781"><v>21358568</v></cell><cell r="AD3781"><v>720191</v></cell><cell r="AE3781" t="str"><v>Facebook</v></cell><cell r="AF3781"><v>3654128</v></cell><cell r="AG3781" t="str"><v>Facebook»Audience & Interest Targeting»1x1»TextLink»OTH»DT»DYN»AUT»W»NA»SS»NA»Free Account Refresh- 12 months ChE</v></cell><cell r="AH3781"><v>224160783</v></cell><cell r="AI3781" t="str"><v>AzurePlatform_FreeAcctAppsFACEBOOK12monthsChE_AUS_1200x628_SOC_PLAT_EN_Trial_Standard_NA_SNU_T5_1</v></cell><cell r="AJ3781"><v>103051614</v></cell></row><row r="3782"><cell r="C3782" t="str"><v>43308Facebook»Audience & Interest Targeting»1x1»TextLink»OTH»DT»DYN»AUT»W»NA»SS»NA»Free Account Refresh- 200 Credit ChD</v></cell><cell r="D3782" t="str"><v>43308224160780</v></cell><cell r="E3782" t="str"><v>43308103186904it ChD</v></cell><cell r="F3782" t="str"><v>DCM</v></cell></row><row r="3782"><cell r="K3782" t="str"><v>July</v></cell><cell r="L3782"><v>43309</v></cell><cell r="M3782" t="str"><v>Tier 1</v></cell><cell r="N3782" t="str"><v>APAC</v></cell><cell r="O3782" t="str"><v>Australia</v></cell><cell r="P3782" t="str"><v>Trial</v></cell><cell r="Q3782" t="str"><v>Social</v></cell><cell r="R3782" t="str"><v>Azure</v></cell><cell r="S3782" t="str"><v>Apps & Infra</v></cell><cell r="T3782" t="str"><v>Developers & ITI's</v></cell><cell r="U3782" t="str"><v>Audience & Interest Targeting</v></cell><cell r="V3782" t="str"><v>Audience Targeting</v></cell><cell r="W3782" t="str"><v>Other</v></cell><cell r="X3782" t="str"><v>1x1</v></cell></row><row r="3782"><cell r="AA3782"><v>43308</v></cell><cell r="AB3782" t="str"><v>AUS_gaPMG_AZR_AZR_Q1_19_Trial-Social</v></cell><cell r="AC3782"><v>21358568</v></cell><cell r="AD3782"><v>720191</v></cell><cell r="AE3782" t="str"><v>Facebook</v></cell><cell r="AF3782"><v>3654128</v></cell><cell r="AG3782" t="str"><v>Facebook»Audience & Interest Targeting»1x1»TextLink»OTH»DT»DYN»AUT»W»NA»SS»NA»Free Account Refresh- 200 Credit ChD</v></cell><cell r="AH3782"><v>224160780</v></cell><cell r="AI3782" t="str"><v>AzurePlatform_FreeAcctAppsFACEBOOK200CreditChD_AUS_1200x628_SOC_PLAT_EN_Trial_Standard_NA_SNU_T4_1</v></cell><cell r="AJ3782"><v>103186904</v></cell></row><row r="3783"><cell r="C3783" t="str"><v>43308Facebook»Audience & Interest Targeting»1x1»TextLink»OTH»DT»DYN»AUT»W»NA»SS»NA»Free Account Refresh- Device ChB</v></cell><cell r="D3783" t="str"><v>43308224160777</v></cell><cell r="E3783" t="str"><v>43308103048479ce ChB</v></cell><cell r="F3783" t="str"><v>DCM</v></cell></row><row r="3783"><cell r="K3783" t="str"><v>July</v></cell><cell r="L3783"><v>43309</v></cell><cell r="M3783" t="str"><v>Tier 1</v></cell><cell r="N3783" t="str"><v>APAC</v></cell><cell r="O3783" t="str"><v>Australia</v></cell><cell r="P3783" t="str"><v>Trial</v></cell><cell r="Q3783" t="str"><v>Social</v></cell><cell r="R3783" t="str"><v>Azure</v></cell><cell r="S3783" t="str"><v>Apps & Infra</v></cell><cell r="T3783" t="str"><v>Developers & ITI's</v></cell><cell r="U3783" t="str"><v>Audience & Interest Targeting</v></cell><cell r="V3783" t="str"><v>Audience Targeting</v></cell><cell r="W3783" t="str"><v>Other</v></cell><cell r="X3783" t="str"><v>1x1</v></cell></row><row r="3783"><cell r="AA3783"><v>43308</v></cell><cell r="AB3783" t="str"><v>AUS_gaPMG_AZR_AZR_Q1_19_Trial-Social</v></cell><cell r="AC3783"><v>21358568</v></cell><cell r="AD3783"><v>720191</v></cell><cell r="AE3783" t="str"><v>Facebook</v></cell><cell r="AF3783"><v>3654128</v></cell><cell r="AG3783" t="str"><v>Facebook»Audience & Interest Targeting»1x1»TextLink»OTH»DT»DYN»AUT»W»NA»SS»NA»Free Account Refresh- Device ChB</v></cell><cell r="AH3783"><v>224160777</v></cell><cell r="AI3783" t="str"><v>AzurePlatform_FreeAcctAppsFACEBOOKDeviceChB_AUS_1200x628_SOC_PLAT_EN_Trial_Standard_NA_SNU_T2_1</v></cell><cell r="AJ3783"><v>103048479</v></cell></row><row r="3784"><cell r="C3784" t="str"><v>43308Facebook»Audience & Interest Targeting»1x1»TextLink»OTH»DT»DYN»AUT»W»NA»SS»NA»Free Account Refresh- Illustration ChC</v></cell><cell r="D3784" t="str"><v>43308224160774</v></cell><cell r="E3784" t="str"><v>43308103186910on ChC</v></cell><cell r="F3784" t="str"><v>DCM</v></cell></row><row r="3784"><cell r="K3784" t="str"><v>July</v></cell><cell r="L3784"><v>43309</v></cell><cell r="M3784" t="str"><v>Tier 1</v></cell><cell r="N3784" t="str"><v>APAC</v></cell><cell r="O3784" t="str"><v>Australia</v></cell><cell r="P3784" t="str"><v>Trial</v></cell><cell r="Q3784" t="str"><v>Social</v></cell><cell r="R3784" t="str"><v>Azure</v></cell><cell r="S3784" t="str"><v>Apps & Infra</v></cell><cell r="T3784" t="str"><v>Developers & ITI's</v></cell><cell r="U3784" t="str"><v>Audience & Interest Targeting</v></cell><cell r="V3784" t="str"><v>Audience Targeting</v></cell><cell r="W3784" t="str"><v>Other</v></cell><cell r="X3784" t="str"><v>1x1</v></cell></row><row r="3784"><cell r="AA3784"><v>43308</v></cell><cell r="AB3784" t="str"><v>AUS_gaPMG_AZR_AZR_Q1_19_Trial-Social</v></cell><cell r="AC3784"><v>21358568</v></cell><cell r="AD3784"><v>720191</v></cell><cell r="AE3784" t="str"><v>Facebook</v></cell><cell r="AF3784"><v>3654128</v></cell><cell r="AG3784" t="str"><v>Facebook»Audience & Interest Targeting»1x1»TextLink»OTH»DT»DYN»AUT»W»NA»SS»NA»Free Account Refresh- Illustration ChC</v></cell><cell r="AH3784"><v>224160774</v></cell><cell r="AI3784" t="str"><v>AzurePlatform_FreeAcctAppsFACEBOOKIllustrationChC_AUS_1200x628_SOC_PLAT_EN_Trial_Standard_NA_SNU_T3_1</v></cell><cell r="AJ3784"><v>103186910</v></cell></row><row r="3785"><cell r="C3785" t="str"><v>43308Facebook»Audience & Interest Targeting»1x1»TextLink»OTH»DT»DYN»AUT»W»NA»SS»NA»Free Account Refresh- Lifestyle ChA</v></cell><cell r="D3785" t="str"><v>43308224160771</v></cell><cell r="E3785" t="str"><v>43308103048488le ChA</v></cell><cell r="F3785" t="str"><v>DCM</v></cell></row><row r="3785"><cell r="K3785" t="str"><v>July</v></cell><cell r="L3785"><v>43309</v></cell><cell r="M3785" t="str"><v>Tier 1</v></cell><cell r="N3785" t="str"><v>APAC</v></cell><cell r="O3785" t="str"><v>Australia</v></cell><cell r="P3785" t="str"><v>Trial</v></cell><cell r="Q3785" t="str"><v>Social</v></cell><cell r="R3785" t="str"><v>Azure</v></cell><cell r="S3785" t="str"><v>Apps & Infra</v></cell><cell r="T3785" t="str"><v>Developers & ITI's</v></cell><cell r="U3785" t="str"><v>Audience & Interest Targeting</v></cell><cell r="V3785" t="str"><v>Audience Targeting</v></cell><cell r="W3785" t="str"><v>Other</v></cell><cell r="X3785" t="str"><v>1x1</v></cell></row><row r="3785"><cell r="AA3785"><v>43308</v></cell><cell r="AB3785" t="str"><v>AUS_gaPMG_AZR_AZR_Q1_19_Trial-Social</v></cell><cell r="AC3785"><v>21358568</v></cell><cell r="AD3785"><v>720191</v></cell><cell r="AE3785" t="str"><v>Facebook</v></cell><cell r="AF3785"><v>3654128</v></cell><cell r="AG3785" t="str"><v>Facebook»Audience & Interest Targeting»1x1»TextLink»OTH»DT»DYN»AUT»W»NA»SS»NA»Free Account Refresh- Lifestyle ChA</v></cell><cell r="AH3785"><v>224160771</v></cell><cell r="AI3785" t="str"><v>AzurePlatform_FreeAcctAppsFACEBOOKLifestyleChA_AUS_1200x628_SOC_PLAT_EN_Trial_Standard_NA_SNU_T1_1</v></cell><cell r="AJ3785"><v>103048488</v></cell></row><row r="3786"><cell r="C3786" t="str"><v>43308Facebook»AZR»1x1»NA»EGV»ALL»DYN»AUT»D»All»SS»NA»Free Acc CTC - T1 - FR</v></cell><cell r="D3786" t="str"><v>43308223691801</v></cell><cell r="E3786" t="str"><v>433081030533231 - FR</v></cell><cell r="F3786" t="str"><v>DCM</v></cell><cell r="G3786" t="str"><v>https://signup.azure.com/</v></cell></row><row r="3786"><cell r="K3786" t="str"><v>July</v></cell><cell r="L3786"><v>43309</v></cell><cell r="M3786" t="str"><v>Tier 1</v></cell><cell r="N3786" t="str"><v>North America</v></cell><cell r="O3786" t="str"><v>Canada</v></cell><cell r="P3786" t="str"><v>Trial</v></cell><cell r="Q3786" t="str"><v>Social</v></cell><cell r="R3786" t="str"><v>Azure</v></cell><cell r="S3786" t="str"><v>Apps & Infra</v></cell><cell r="T3786" t="str"><v>Developers & ITI's</v></cell><cell r="U3786" t="str"><v>AZR</v></cell><cell r="V3786" t="str"><v>Audience Targeting</v></cell><cell r="W3786" t="str"><v>Engagement Video</v></cell><cell r="X3786" t="str"><v>1x1</v></cell></row><row r="3786"><cell r="AA3786"><v>43308</v></cell><cell r="AB3786" t="str"><v>CAN_gaPMG_AZR_AZR_Q1_19_Trial-Social</v></cell><cell r="AC3786"><v>21337220</v></cell><cell r="AD3786"><v>720192</v></cell><cell r="AE3786" t="str"><v>Facebook</v></cell><cell r="AF3786"><v>3654128</v></cell><cell r="AG3786" t="str"><v>Facebook»AZR»1x1»NA»EGV»ALL»DYN»AUT»D»All»SS»NA»Free Acc CTC - T1 - FR</v></cell><cell r="AH3786"><v>223691801</v></cell><cell r="AI3786" t="str"><v>AzurePlatform_FBCTCBasicMotion_CAN_10s_ISV_PLAT_FR_Trial_Standard_STAN_TN_T1_1</v></cell><cell r="AJ3786"><v>103053323</v></cell></row><row r="3787"><cell r="C3787" t="str"><v>43308Facebook»AZR»1x1»NA»EGV»ALL»DYN»AUT»D»All»SS»NA»Free Acc CTC - T2 - EN</v></cell><cell r="D3787" t="str"><v>43308223691840</v></cell><cell r="E3787" t="str"><v>433081029029502 - EN</v></cell><cell r="F3787" t="str"><v>DCM</v></cell><cell r="G3787" t="str"><v>https://signup.azure.com/</v></cell></row><row r="3787"><cell r="K3787" t="str"><v>July</v></cell><cell r="L3787"><v>43309</v></cell><cell r="M3787" t="str"><v>Tier 1</v></cell><cell r="N3787" t="str"><v>North America</v></cell><cell r="O3787" t="str"><v>Canada</v></cell><cell r="P3787" t="str"><v>Trial</v></cell><cell r="Q3787" t="str"><v>Social</v></cell><cell r="R3787" t="str"><v>Azure</v></cell><cell r="S3787" t="str"><v>Apps & Infra</v></cell><cell r="T3787" t="str"><v>Developers & ITI's</v></cell><cell r="U3787" t="str"><v>AZR</v></cell><cell r="V3787" t="str"><v>Audience Targeting</v></cell><cell r="W3787" t="str"><v>Engagement Video</v></cell><cell r="X3787" t="str"><v>1x1</v></cell></row><row r="3787"><cell r="AA3787"><v>43308</v></cell><cell r="AB3787" t="str"><v>CAN_gaPMG_AZR_AZR_Q1_19_Trial-Social</v></cell><cell r="AC3787"><v>21337220</v></cell><cell r="AD3787"><v>720192</v></cell><cell r="AE3787" t="str"><v>Facebook</v></cell><cell r="AF3787"><v>3654128</v></cell><cell r="AG3787" t="str"><v>Facebook»AZR»1x1»NA»EGV»ALL»DYN»AUT»D»All»SS»NA»Free Acc CTC - T2 - EN</v></cell><cell r="AH3787"><v>223691840</v></cell><cell r="AI3787" t="str"><v>AzurePlatform_FBCTCBrandinMotion_CAN_12s_ISV_PLAT_English_Trial_Standard_STAN_TN_T2_1</v></cell><cell r="AJ3787"><v>102902950</v></cell></row><row r="3788"><cell r="C3788" t="str"><v>43308Facebook»AZR»1x1»NA»EGV»ALL»DYN»AUT»D»All»SS»NA»Free Acc CTC - T2 - FR</v></cell><cell r="D3788" t="str"><v>43308223691798</v></cell><cell r="E3788" t="str"><v>433081029163472 - FR</v></cell><cell r="F3788" t="str"><v>DCM</v></cell><cell r="G3788" t="str"><v>https://signup.azure.com/</v></cell></row><row r="3788"><cell r="K3788" t="str"><v>July</v></cell><cell r="L3788"><v>43309</v></cell><cell r="M3788" t="str"><v>Tier 1</v></cell><cell r="N3788" t="str"><v>North America</v></cell><cell r="O3788" t="str"><v>Canada</v></cell><cell r="P3788" t="str"><v>Trial</v></cell><cell r="Q3788" t="str"><v>Social</v></cell><cell r="R3788" t="str"><v>Azure</v></cell><cell r="S3788" t="str"><v>Apps & Infra</v></cell><cell r="T3788" t="str"><v>Developers & ITI's</v></cell><cell r="U3788" t="str"><v>AZR</v></cell><cell r="V3788" t="str"><v>Audience Targeting</v></cell><cell r="W3788" t="str"><v>Engagement Video</v></cell><cell r="X3788" t="str"><v>1x1</v></cell></row><row r="3788"><cell r="AA3788"><v>43308</v></cell><cell r="AB3788" t="str"><v>CAN_gaPMG_AZR_AZR_Q1_19_Trial-Social</v></cell><cell r="AC3788"><v>21337220</v></cell><cell r="AD3788"><v>720192</v></cell><cell r="AE3788" t="str"><v>Facebook</v></cell><cell r="AF3788"><v>3654128</v></cell><cell r="AG3788" t="str"><v>Facebook»AZR»1x1»NA»EGV»ALL»DYN»AUT»D»All»SS»NA»Free Acc CTC - T2 - FR</v></cell><cell r="AH3788"><v>223691798</v></cell><cell r="AI3788" t="str"><v>AzurePlatform_FBCTCBrandinMotion_CAN_12s_ISV_PLAT_FR_Trial_Standard_STAN_TN_T2_1</v></cell><cell r="AJ3788"><v>102916347</v></cell></row><row r="3789"><cell r="C3789" t="str"><v>43308Facebook»AZR»1x1»NA»EGV»ALL»DYN»AUT»D»All»SS»NA»Free Acc CTC - T4 - EN</v></cell><cell r="D3789" t="str"><v>43308223691837</v></cell><cell r="E3789" t="str"><v>433081030533144 - EN</v></cell><cell r="F3789" t="str"><v>DCM</v></cell><cell r="G3789" t="str"><v>https://signup.azure.com/</v></cell></row><row r="3789"><cell r="K3789" t="str"><v>July</v></cell><cell r="L3789"><v>43309</v></cell><cell r="M3789" t="str"><v>Tier 1</v></cell><cell r="N3789" t="str"><v>North America</v></cell><cell r="O3789" t="str"><v>Canada</v></cell><cell r="P3789" t="str"><v>Trial</v></cell><cell r="Q3789" t="str"><v>Social</v></cell><cell r="R3789" t="str"><v>Azure</v></cell><cell r="S3789" t="str"><v>Apps & Infra</v></cell><cell r="T3789" t="str"><v>Developers & ITI's</v></cell><cell r="U3789" t="str"><v>AZR</v></cell><cell r="V3789" t="str"><v>Audience Targeting</v></cell><cell r="W3789" t="str"><v>Engagement Video</v></cell><cell r="X3789" t="str"><v>1x1</v></cell></row><row r="3789"><cell r="AA3789"><v>43308</v></cell><cell r="AB3789" t="str"><v>CAN_gaPMG_AZR_AZR_Q1_19_Trial-Social</v></cell><cell r="AC3789"><v>21337220</v></cell><cell r="AD3789"><v>720192</v></cell><cell r="AE3789" t="str"><v>Facebook</v></cell><cell r="AF3789"><v>3654128</v></cell><cell r="AG3789" t="str"><v>Facebook»AZR»1x1»NA»EGV»ALL»DYN»AUT»D»All»SS»NA»Free Acc CTC - T4 - EN</v></cell><cell r="AH3789"><v>223691837</v></cell><cell r="AI3789" t="str"><v>AzurePlatform_FBCTCBenefit2inMotion_CAN_14s_ISV_PLAT_English_Trial_Standard_STAN_TN_T4_1</v></cell><cell r="AJ3789"><v>103053314</v></cell></row><row r="3790"><cell r="C3790" t="str"><v>43308Facebook»AZR»1x1»NA»SOC»ALL»DYN»PRO»D»All»SS»NA»Canvas - Buy Now - EN</v></cell><cell r="D3790" t="str"><v>43308225322327</v></cell><cell r="E3790" t="str"><v>43308103902287w - EN</v></cell><cell r="F3790" t="str"><v>DCM</v></cell><cell r="G3790" t="str"><v>https://azure.microsoft.com/en-ca/pricing/purchase-options/</v></cell></row><row r="3790"><cell r="K3790" t="str"><v>July</v></cell><cell r="L3790"><v>43309</v></cell><cell r="M3790" t="str"><v>Tier 1</v></cell><cell r="N3790" t="str"><v>North America</v></cell><cell r="O3790" t="str"><v>Canada</v></cell><cell r="P3790" t="str"><v>Trial</v></cell><cell r="Q3790" t="str"><v>Social</v></cell><cell r="R3790" t="str"><v>Azure</v></cell><cell r="S3790" t="str"><v>Apps & Infra</v></cell><cell r="T3790" t="str"><v>Developers & ITI's</v></cell><cell r="U3790" t="str"><v>AZR</v></cell><cell r="V3790" t="str"><v>Prospecting</v></cell><cell r="W3790" t="str"><v>Social</v></cell><cell r="X3790" t="str"><v>1x1</v></cell></row><row r="3790"><cell r="AA3790"><v>43308</v></cell><cell r="AB3790" t="str"><v>CAN_gaPMG_AZR_AZR_Q1_19_Trial-Social</v></cell><cell r="AC3790"><v>21337220</v></cell><cell r="AD3790"><v>720192</v></cell><cell r="AE3790" t="str"><v>Facebook</v></cell><cell r="AF3790"><v>3654128</v></cell><cell r="AG3790" t="str"><v>Facebook»AZR»1x1»NA»SOC»ALL»DYN»PRO»D»All»SS»NA»Canvas - Buy Now - EN</v></cell><cell r="AH3790"><v>225322327</v></cell><cell r="AI3790" t="str"><v>AzurePlatform_FBCTCcanvaspage-BuyNowCTA-Img3_CAN_1080x162_SOC_Plat_English_NA_Standard_NA_BN_T3_1</v></cell><cell r="AJ3790"><v>103902287</v></cell></row><row r="3791"><cell r="C3791" t="str"><v>43308Facebook»AZR»1x1»NA»SOC»ALL»DYN»PRO»D»All»SS»NA»Canvas - Buy Now - FR</v></cell><cell r="D3791" t="str"><v>43308225322324</v></cell><cell r="E3791" t="str"><v>43308103789915w - FR</v></cell><cell r="F3791" t="str"><v>DCM</v></cell><cell r="G3791" t="str"><v>https://azure.microsoft.com/fr-ca/pricing/purchase-options/</v></cell></row><row r="3791"><cell r="K3791" t="str"><v>July</v></cell><cell r="L3791"><v>43309</v></cell><cell r="M3791" t="str"><v>Tier 1</v></cell><cell r="N3791" t="str"><v>North America</v></cell><cell r="O3791" t="str"><v>Canada</v></cell><cell r="P3791" t="str"><v>Trial</v></cell><cell r="Q3791" t="str"><v>Social</v></cell><cell r="R3791" t="str"><v>Azure</v></cell><cell r="S3791" t="str"><v>Apps & Infra</v></cell><cell r="T3791" t="str"><v>Developers & ITI's</v></cell><cell r="U3791" t="str"><v>AZR</v></cell><cell r="V3791" t="str"><v>Prospecting</v></cell><cell r="W3791" t="str"><v>Social</v></cell><cell r="X3791" t="str"><v>1x1</v></cell></row><row r="3791"><cell r="AA3791"><v>43308</v></cell><cell r="AB3791" t="str"><v>CAN_gaPMG_AZR_AZR_Q1_19_Trial-Social</v></cell><cell r="AC3791"><v>21337220</v></cell><cell r="AD3791"><v>720192</v></cell><cell r="AE3791" t="str"><v>Facebook</v></cell><cell r="AF3791"><v>3654128</v></cell><cell r="AG3791" t="str"><v>Facebook»AZR»1x1»NA»SOC»ALL»DYN»PRO»D»All»SS»NA»Canvas - Buy Now - FR</v></cell><cell r="AH3791"><v>225322324</v></cell><cell r="AI3791" t="str"><v>AzurePlatform_FBCTCcanvaspage-BuyNowCTA-Img3_CAN_1080x162_SOC_Plat_French_NA_Standard_NA_BN_T3_1</v></cell><cell r="AJ3791"><v>103789915</v></cell></row><row r="3792"><cell r="C3792" t="str"><v>43308Facebook»AZR»1x1»NA»SOC»ALL»DYN»PRO»D»All»SS»NA»Canvas - Start Free - EN</v></cell><cell r="D3792" t="str"><v>43308225252365</v></cell><cell r="E3792" t="str"><v>43308103807590e - EN</v></cell><cell r="F3792" t="str"><v>DCM</v></cell><cell r="G3792" t="str"><v>https://signup.azure.com/signup?offer=ms-azr-0044p&appId=102&ref=paidmedia-social-fb&redirectURL=https%3a%2f%2fazure.microsoft.com%2fen-ca%2fget-started%2fwelcome-to-azure%2f&l=en-ca&correlationId=ead86c34-1f10-49dd-a72b-6918462a2cbf</v></cell></row><row r="3792"><cell r="K3792" t="str"><v>July</v></cell><cell r="L3792"><v>43309</v></cell><cell r="M3792" t="str"><v>Tier 1</v></cell><cell r="N3792" t="str"><v>North America</v></cell><cell r="O3792" t="str"><v>Canada</v></cell><cell r="P3792" t="str"><v>Trial</v></cell><cell r="Q3792" t="str"><v>Social</v></cell><cell r="R3792" t="str"><v>Azure</v></cell><cell r="S3792" t="str"><v>Apps & Infra</v></cell><cell r="T3792" t="str"><v>Developers & ITI's</v></cell><cell r="U3792" t="str"><v>AZR</v></cell><cell r="V3792" t="str"><v>Prospecting</v></cell><cell r="W3792" t="str"><v>Social</v></cell><cell r="X3792" t="str"><v>1x1</v></cell></row><row r="3792"><cell r="AA3792"><v>43308</v></cell><cell r="AB3792" t="str"><v>CAN_gaPMG_AZR_AZR_Q1_19_Trial-Social</v></cell><cell r="AC3792"><v>21337220</v></cell><cell r="AD3792"><v>720192</v></cell><cell r="AE3792" t="str"><v>Facebook</v></cell><cell r="AF3792"><v>3654128</v></cell><cell r="AG3792" t="str"><v>Facebook»AZR»1x1»NA»SOC»ALL»DYN»PRO»D»All»SS»NA»Canvas - Start Free - EN</v></cell><cell r="AH3792"><v>225252365</v></cell><cell r="AI3792" t="str"><v>AzurePlatform_FBCTCcanvaspage-StartFreeCTA-Img2_CAN_1080x143 _SOC_Plat_English_NA_Standard_NA_NA_T2_1</v></cell><cell r="AJ3792"><v>103807590</v></cell></row><row r="3793"><cell r="C3793" t="str"><v>43308Facebook»AZR»1x1»NA»SOC»ALL»DYN»PRO»D»All»SS»NA»Canvas - Start Free - FR</v></cell><cell r="D3793" t="str"><v>43308225525936</v></cell><cell r="E3793" t="str"><v>43308103902551e - FR</v></cell><cell r="F3793" t="str"><v>DCM</v></cell><cell r="G3793" t="str"><v>https://signup.azure.com/signup?offer=ms-azr-0044p&appId=102&ref=paidmedia-social-fb&redirectURL=https%3a%2f%2fazure.microsoft.com%2ffr-ca%2fget-started%2fwelcome-to-azure%2f&l=fr-ca&correlationId=ead86c34-1f10-49dd-a72b-6918462a2cbf</v></cell></row><row r="3793"><cell r="K3793" t="str"><v>July</v></cell><cell r="L3793"><v>43309</v></cell><cell r="M3793" t="str"><v>Tier 1</v></cell><cell r="N3793" t="str"><v>North America</v></cell><cell r="O3793" t="str"><v>Canada</v></cell><cell r="P3793" t="str"><v>Trial</v></cell><cell r="Q3793" t="str"><v>Social</v></cell><cell r="R3793" t="str"><v>Azure</v></cell><cell r="S3793" t="str"><v>Apps & Infra</v></cell><cell r="T3793" t="str"><v>Developers & ITI's</v></cell><cell r="U3793" t="str"><v>AZR</v></cell><cell r="V3793" t="str"><v>Prospecting</v></cell><cell r="W3793" t="str"><v>Social</v></cell><cell r="X3793" t="str"><v>1x1</v></cell></row><row r="3793"><cell r="AA3793"><v>43308</v></cell><cell r="AB3793" t="str"><v>CAN_gaPMG_AZR_AZR_Q1_19_Trial-Social</v></cell><cell r="AC3793"><v>21337220</v></cell><cell r="AD3793"><v>720192</v></cell><cell r="AE3793" t="str"><v>Facebook</v></cell><cell r="AF3793"><v>3654128</v></cell><cell r="AG3793" t="str"><v>Facebook»AZR»1x1»NA»SOC»ALL»DYN»PRO»D»All»SS»NA»Canvas - Start Free - FR</v></cell><cell r="AH3793"><v>225525936</v></cell><cell r="AI3793" t="str"><v>AzurePlatform_FBCTCcanvaspage-StartFreeCTA-Img2_CAN_1080x143 _SOC_Plat_French_NA_Standard_NA_NA_T2_1</v></cell><cell r="AJ3793"><v>103902551</v></cell></row><row r="3794"><cell r="C3794" t="str"><v>43308Facebook»AZR»1x1»SocialBan»NA»ALL»DYN»AUT»D»All»SS»NA»Free Acc Refresh - T2 - EN</v></cell><cell r="D3794" t="str"><v>43308223691810</v></cell><cell r="E3794" t="str"><v>433081030587112 - EN</v></cell><cell r="F3794" t="str"><v>DCM</v></cell><cell r="G3794" t="str"><v>https://azure.microsoft.com/en-CA/free/search/</v></cell></row><row r="3794"><cell r="K3794" t="str"><v>July</v></cell><cell r="L3794"><v>43309</v></cell><cell r="M3794" t="str"><v>Tier 1</v></cell><cell r="N3794" t="str"><v>North America</v></cell><cell r="O3794" t="str"><v>Canada</v></cell><cell r="P3794" t="str"><v>Trial</v></cell><cell r="Q3794" t="str"><v>Social</v></cell><cell r="R3794" t="str"><v>Azure</v></cell><cell r="S3794" t="str"><v>Apps & Infra</v></cell><cell r="T3794" t="str"><v>Developers & ITI's</v></cell><cell r="U3794" t="str"><v>AZR</v></cell><cell r="V3794" t="str"><v>Audience Targeting</v></cell><cell r="W3794" t="str"><v>NotApplicable</v></cell><cell r="X3794" t="str"><v>1x1</v></cell></row><row r="3794"><cell r="AA3794"><v>43308</v></cell><cell r="AB3794" t="str"><v>CAN_gaPMG_AZR_AZR_Q1_19_Trial-Social</v></cell><cell r="AC3794"><v>21337220</v></cell><cell r="AD3794"><v>720192</v></cell><cell r="AE3794" t="str"><v>Facebook</v></cell><cell r="AF3794"><v>3654128</v></cell><cell r="AG3794" t="str"><v>Facebook»AZR»1x1»SocialBan»NA»ALL»DYN»AUT»D»All»SS»NA»Free Acc Refresh - T2 - EN</v></cell><cell r="AH3794"><v>223691810</v></cell><cell r="AI3794" t="str"><v>AzurePlatform_FreeAcctAppsFACEBOOKDeviceChB_CAN_1200x628_SOC_PLAT_EN_Trial_Standard_NA_SU_T2_1.png</v></cell><cell r="AJ3794"><v>103058711</v></cell></row><row r="3795"><cell r="C3795" t="str"><v>43308Facebook»AZR»1x1»SocialBan»NA»ALL»DYN»AUT»D»All»SS»NA»Free Acc Refresh - T2 - FR</v></cell><cell r="D3795" t="str"><v>43308223691768</v></cell><cell r="E3795" t="str"><v>433081029029712 - FR</v></cell><cell r="F3795" t="str"><v>DCM</v></cell><cell r="G3795" t="str"><v>https://azure.microsoft.com/fr-ca/free/search/</v></cell></row><row r="3795"><cell r="K3795" t="str"><v>July</v></cell><cell r="L3795"><v>43309</v></cell><cell r="M3795" t="str"><v>Tier 1</v></cell><cell r="N3795" t="str"><v>North America</v></cell><cell r="O3795" t="str"><v>Canada</v></cell><cell r="P3795" t="str"><v>Trial</v></cell><cell r="Q3795" t="str"><v>Social</v></cell><cell r="R3795" t="str"><v>Azure</v></cell><cell r="S3795" t="str"><v>Apps & Infra</v></cell><cell r="T3795" t="str"><v>Developers & ITI's</v></cell><cell r="U3795" t="str"><v>AZR</v></cell><cell r="V3795" t="str"><v>Audience Targeting</v></cell><cell r="W3795" t="str"><v>NotApplicable</v></cell><cell r="X3795" t="str"><v>1x1</v></cell></row><row r="3795"><cell r="AA3795"><v>43308</v></cell><cell r="AB3795" t="str"><v>CAN_gaPMG_AZR_AZR_Q1_19_Trial-Social</v></cell><cell r="AC3795"><v>21337220</v></cell><cell r="AD3795"><v>720192</v></cell><cell r="AE3795" t="str"><v>Facebook</v></cell><cell r="AF3795"><v>3654128</v></cell><cell r="AG3795" t="str"><v>Facebook»AZR»1x1»SocialBan»NA»ALL»DYN»AUT»D»All»SS»NA»Free Acc Refresh - T2 - FR</v></cell><cell r="AH3795"><v>223691768</v></cell><cell r="AI3795" t="str"><v>AzurePlatform_FreeAcctAppsFACEBOOKDeviceChB_CAN_1200x628_SOC_PLAT_FR_Trial_Standard_NA_SU_T2_1.png</v></cell><cell r="AJ3795"><v>102902971</v></cell></row><row r="3796"><cell r="C3796" t="str"><v>43308Facebook»AZR»1x1»SocialBan»NA»ALL»DYN»AUT»D»All»SS»NA»Free Acc Refresh - T3 - EN</v></cell><cell r="D3796" t="str"><v>43308223691807</v></cell><cell r="E3796" t="str"><v>433081029006853 - EN</v></cell><cell r="F3796" t="str"><v>DCM</v></cell><cell r="G3796" t="str"><v>https://azure.microsoft.com/en-CA/free/search/</v></cell></row><row r="3796"><cell r="K3796" t="str"><v>July</v></cell><cell r="L3796"><v>43309</v></cell><cell r="M3796" t="str"><v>Tier 1</v></cell><cell r="N3796" t="str"><v>North America</v></cell><cell r="O3796" t="str"><v>Canada</v></cell><cell r="P3796" t="str"><v>Trial</v></cell><cell r="Q3796" t="str"><v>Social</v></cell><cell r="R3796" t="str"><v>Azure</v></cell><cell r="S3796" t="str"><v>Apps & Infra</v></cell><cell r="T3796" t="str"><v>Developers & ITI's</v></cell><cell r="U3796" t="str"><v>AZR</v></cell><cell r="V3796" t="str"><v>Audience Targeting</v></cell><cell r="W3796" t="str"><v>NotApplicable</v></cell><cell r="X3796" t="str"><v>1x1</v></cell></row><row r="3796"><cell r="AA3796"><v>43308</v></cell><cell r="AB3796" t="str"><v>CAN_gaPMG_AZR_AZR_Q1_19_Trial-Social</v></cell><cell r="AC3796"><v>21337220</v></cell><cell r="AD3796"><v>720192</v></cell><cell r="AE3796" t="str"><v>Facebook</v></cell><cell r="AF3796"><v>3654128</v></cell><cell r="AG3796" t="str"><v>Facebook»AZR»1x1»SocialBan»NA»ALL»DYN»AUT»D»All»SS»NA»Free Acc Refresh - T3 - EN</v></cell><cell r="AH3796"><v>223691807</v></cell><cell r="AI3796" t="str"><v>AzurePlatform_FreeAcctAppsFACEBOOKIllustrationChC_CAN_1200x628_SOC_PLAT_EN_Trial_Standard_NA_SU_T3_1.png</v></cell><cell r="AJ3796"><v>102900685</v></cell></row><row r="3797"><cell r="C3797" t="str"><v>43308Facebook»AZR»1x1»SocialBan»NA»ALL»DYN»AUT»D»All»SS»NA»Free Acc Refresh - T4 - FR</v></cell><cell r="D3797" t="str"><v>43308223691771</v></cell><cell r="E3797" t="str"><v>433081029029684 - FR</v></cell><cell r="F3797" t="str"><v>DCM</v></cell><cell r="G3797" t="str"><v>https://azure.microsoft.com/fr-ca/free/search/</v></cell></row><row r="3797"><cell r="K3797" t="str"><v>July</v></cell><cell r="L3797"><v>43309</v></cell><cell r="M3797" t="str"><v>Tier 1</v></cell><cell r="N3797" t="str"><v>North America</v></cell><cell r="O3797" t="str"><v>Canada</v></cell><cell r="P3797" t="str"><v>Trial</v></cell><cell r="Q3797" t="str"><v>Social</v></cell><cell r="R3797" t="str"><v>Azure</v></cell><cell r="S3797" t="str"><v>Apps & Infra</v></cell><cell r="T3797" t="str"><v>Developers & ITI's</v></cell><cell r="U3797" t="str"><v>AZR</v></cell><cell r="V3797" t="str"><v>Audience Targeting</v></cell><cell r="W3797" t="str"><v>NotApplicable</v></cell><cell r="X3797" t="str"><v>1x1</v></cell></row><row r="3797"><cell r="AA3797"><v>43308</v></cell><cell r="AB3797" t="str"><v>CAN_gaPMG_AZR_AZR_Q1_19_Trial-Social</v></cell><cell r="AC3797"><v>21337220</v></cell><cell r="AD3797"><v>720192</v></cell><cell r="AE3797" t="str"><v>Facebook</v></cell><cell r="AF3797"><v>3654128</v></cell><cell r="AG3797" t="str"><v>Facebook»AZR»1x1»SocialBan»NA»ALL»DYN»AUT»D»All»SS»NA»Free Acc Refresh - T4 - FR</v></cell><cell r="AH3797"><v>223691771</v></cell><cell r="AI3797" t="str"><v>AzurePlatform_FreeAcctAppsFACEBOOK200CreditChD_CAN_1200x628_SOC_PLAT_FR_Trial_Standard_NA_SU_T4_1.png</v></cell><cell r="AJ3797"><v>102902968</v></cell></row><row r="3798"><cell r="C3798" t="str"><v>43308Facebook»AZR»1x1»SocialBan»NA»ALL»DYN»RT»D»All»SS»NA» Free Account Retargeting OSS - T1 - EN</v></cell><cell r="D3798" t="str"><v>43308223691828</v></cell><cell r="E3798" t="str"><v>433081029029561 - EN</v></cell><cell r="F3798" t="str"><v>DCM</v></cell><cell r="G3798" t="str"><v>https://azure.microsoft.com/en-ca/free/open-source/search/</v></cell></row><row r="3798"><cell r="K3798" t="str"><v>July</v></cell><cell r="L3798"><v>43309</v></cell><cell r="M3798" t="str"><v>Tier 1</v></cell><cell r="N3798" t="str"><v>North America</v></cell><cell r="O3798" t="str"><v>Canada</v></cell><cell r="P3798" t="str"><v>Trial</v></cell><cell r="Q3798" t="str"><v>Social</v></cell><cell r="R3798" t="str"><v>Azure</v></cell><cell r="S3798" t="str"><v>Apps & Infra</v></cell><cell r="T3798" t="str"><v>Developers & ITI's</v></cell><cell r="U3798" t="str"><v>AZR</v></cell><cell r="V3798" t="str"><v>Retargeting</v></cell><cell r="W3798" t="str"><v>NotApplicable</v></cell><cell r="X3798" t="str"><v>1x1</v></cell></row><row r="3798"><cell r="AA3798"><v>43308</v></cell><cell r="AB3798" t="str"><v>CAN_gaPMG_AZR_AZR_Q1_19_Trial-Social</v></cell><cell r="AC3798"><v>21337220</v></cell><cell r="AD3798"><v>720192</v></cell><cell r="AE3798" t="str"><v>Facebook</v></cell><cell r="AF3798"><v>3654128</v></cell><cell r="AG3798" t="str"><v>Facebook»AZR»1x1»SocialBan»NA»ALL»DYN»RT»D»All»SS»NA» Free Account Retargeting OSS - T1 - EN</v></cell><cell r="AH3798"><v>223691828</v></cell><cell r="AI3798" t="str"><v>AzurePlatform_FreeAcctRetargetingOSSFB-Text-ChF_CAN_1200x628_SOC_Plat_EN_Free Account_Standard_NA_SU_T1_1</v></cell><cell r="AJ3798"><v>102902956</v></cell></row><row r="3799"><cell r="C3799" t="str"><v>43308Facebook»AZR»1x1»SocialBan»NA»ALL»DYN»RT»D»All»SS»NA» Free Account Retargeting OSS - T1 - FR</v></cell><cell r="D3799" t="str"><v>43308223691786</v></cell><cell r="E3799" t="str"><v>433081030587201 - FR</v></cell><cell r="F3799" t="str"><v>DCM</v></cell><cell r="G3799" t="str"><v>https://azure.microsoft.com/fr-ca/free/open-source/search/</v></cell></row><row r="3799"><cell r="K3799" t="str"><v>July</v></cell><cell r="L3799"><v>43309</v></cell><cell r="M3799" t="str"><v>Tier 1</v></cell><cell r="N3799" t="str"><v>North America</v></cell><cell r="O3799" t="str"><v>Canada</v></cell><cell r="P3799" t="str"><v>Trial</v></cell><cell r="Q3799" t="str"><v>Social</v></cell><cell r="R3799" t="str"><v>Azure</v></cell><cell r="S3799" t="str"><v>Apps & Infra</v></cell><cell r="T3799" t="str"><v>Developers & ITI's</v></cell><cell r="U3799" t="str"><v>AZR</v></cell><cell r="V3799" t="str"><v>Retargeting</v></cell><cell r="W3799" t="str"><v>NotApplicable</v></cell><cell r="X3799" t="str"><v>1x1</v></cell></row><row r="3799"><cell r="AA3799"><v>43308</v></cell><cell r="AB3799" t="str"><v>CAN_gaPMG_AZR_AZR_Q1_19_Trial-Social</v></cell><cell r="AC3799"><v>21337220</v></cell><cell r="AD3799"><v>720192</v></cell><cell r="AE3799" t="str"><v>Facebook</v></cell><cell r="AF3799"><v>3654128</v></cell><cell r="AG3799" t="str"><v>Facebook»AZR»1x1»SocialBan»NA»ALL»DYN»RT»D»All»SS»NA» Free Account Retargeting OSS - T1 - FR</v></cell><cell r="AH3799"><v>223691786</v></cell><cell r="AI3799" t="str"><v>AzurePlatform_FreeAcctRetargetingOSSFB-Text-ChF_CAN_1200x628_SOC_Plat_FR_Free Account_Standard_NA_SU_T1_1</v></cell><cell r="AJ3799"><v>103058720</v></cell></row><row r="3800"><cell r="C3800" t="str"><v>43308Facebook»AZR»1x1»SocialBan»NA»ALL»DYN»RT»D»All»SS»NA» Free Account Retargeting OSS - T2 - EN</v></cell><cell r="D3800" t="str"><v>43308223691831</v></cell><cell r="E3800" t="str"><v>433081029138002 - EN</v></cell><cell r="F3800" t="str"><v>DCM</v></cell><cell r="G3800" t="str"><v>https://azure.microsoft.com/en-ca/free/open-source/search/</v></cell></row><row r="3800"><cell r="K3800" t="str"><v>July</v></cell><cell r="L3800"><v>43309</v></cell><cell r="M3800" t="str"><v>Tier 1</v></cell><cell r="N3800" t="str"><v>North America</v></cell><cell r="O3800" t="str"><v>Canada</v></cell><cell r="P3800" t="str"><v>Trial</v></cell><cell r="Q3800" t="str"><v>Social</v></cell><cell r="R3800" t="str"><v>Azure</v></cell><cell r="S3800" t="str"><v>Apps & Infra</v></cell><cell r="T3800" t="str"><v>Developers & ITI's</v></cell><cell r="U3800" t="str"><v>AZR</v></cell><cell r="V3800" t="str"><v>Retargeting</v></cell><cell r="W3800" t="str"><v>NotApplicable</v></cell><cell r="X3800" t="str"><v>1x1</v></cell></row><row r="3800"><cell r="AA3800"><v>43308</v></cell><cell r="AB3800" t="str"><v>CAN_gaPMG_AZR_AZR_Q1_19_Trial-Social</v></cell><cell r="AC3800"><v>21337220</v></cell><cell r="AD3800"><v>720192</v></cell><cell r="AE3800" t="str"><v>Facebook</v></cell><cell r="AF3800"><v>3654128</v></cell><cell r="AG3800" t="str"><v>Facebook»AZR»1x1»SocialBan»NA»ALL»DYN»RT»D»All»SS»NA» Free Account Retargeting OSS - T2 - EN</v></cell><cell r="AH3800"><v>223691831</v></cell><cell r="AI3800" t="str"><v>AzurePlatform_FreeAcctRetargetingOSSFB-Logos-ChG_CAN_1200x628_SOC_Plat_EN_Free Account_Standard_NA_SU_T2_1</v></cell><cell r="AJ3800"><v>102913800</v></cell></row><row r="3801"><cell r="C3801" t="str"><v>43308Facebook»AZR»1x1»SocialBan»NA»ALL»DYN»RT»D»All»SS»NA» Free Account Retargeting OSS - T2 - FR</v></cell><cell r="D3801" t="str"><v>43308223691789</v></cell><cell r="E3801" t="str"><v>433081029006912 - FR</v></cell><cell r="F3801" t="str"><v>DCM</v></cell><cell r="G3801" t="str"><v>https://azure.microsoft.com/fr-ca/free/open-source/search/</v></cell></row><row r="3801"><cell r="K3801" t="str"><v>July</v></cell><cell r="L3801"><v>43309</v></cell><cell r="M3801" t="str"><v>Tier 1</v></cell><cell r="N3801" t="str"><v>North America</v></cell><cell r="O3801" t="str"><v>Canada</v></cell><cell r="P3801" t="str"><v>Trial</v></cell><cell r="Q3801" t="str"><v>Social</v></cell><cell r="R3801" t="str"><v>Azure</v></cell><cell r="S3801" t="str"><v>Apps & Infra</v></cell><cell r="T3801" t="str"><v>Developers & ITI's</v></cell><cell r="U3801" t="str"><v>AZR</v></cell><cell r="V3801" t="str"><v>Retargeting</v></cell><cell r="W3801" t="str"><v>NotApplicable</v></cell><cell r="X3801" t="str"><v>1x1</v></cell></row><row r="3801"><cell r="AA3801"><v>43308</v></cell><cell r="AB3801" t="str"><v>CAN_gaPMG_AZR_AZR_Q1_19_Trial-Social</v></cell><cell r="AC3801"><v>21337220</v></cell><cell r="AD3801"><v>720192</v></cell><cell r="AE3801" t="str"><v>Facebook</v></cell><cell r="AF3801"><v>3654128</v></cell><cell r="AG3801" t="str"><v>Facebook»AZR»1x1»SocialBan»NA»ALL»DYN»RT»D»All»SS»NA» Free Account Retargeting OSS - T2 - FR</v></cell><cell r="AH3801"><v>223691789</v></cell><cell r="AI3801" t="str"><v>AzurePlatform_FreeAcctRetargetingOSSFB-Logos-ChG_CAN_1200x628_SOC_Plat_FR_Free Account_Standard_NA_SU_T2_1</v></cell><cell r="AJ3801"><v>102900691</v></cell></row><row r="3802"><cell r="C3802" t="str"><v>43308Facebook»AZR»1x1»SocialBan»NA»ALL»DYN»RT»D»All»SS»NA»Free Account Retargeting Generic - T2 - EN</v></cell><cell r="D3802" t="str"><v>43308223691834</v></cell><cell r="E3802" t="str"><v>433081029029532 - EN</v></cell><cell r="F3802" t="str"><v>DCM</v></cell><cell r="G3802" t="str"><v>https://azure.microsoft.com/en-CA/free/search/</v></cell></row><row r="3802"><cell r="K3802" t="str"><v>July</v></cell><cell r="L3802"><v>43309</v></cell><cell r="M3802" t="str"><v>Tier 1</v></cell><cell r="N3802" t="str"><v>North America</v></cell><cell r="O3802" t="str"><v>Canada</v></cell><cell r="P3802" t="str"><v>Trial</v></cell><cell r="Q3802" t="str"><v>Social</v></cell><cell r="R3802" t="str"><v>Azure</v></cell><cell r="S3802" t="str"><v>Apps & Infra</v></cell><cell r="T3802" t="str"><v>Developers & ITI's</v></cell><cell r="U3802" t="str"><v>AZR</v></cell><cell r="V3802" t="str"><v>Retargeting</v></cell><cell r="W3802" t="str"><v>NotApplicable</v></cell><cell r="X3802" t="str"><v>1x1</v></cell></row><row r="3802"><cell r="AA3802"><v>43308</v></cell><cell r="AB3802" t="str"><v>CAN_gaPMG_AZR_AZR_Q1_19_Trial-Social</v></cell><cell r="AC3802"><v>21337220</v></cell><cell r="AD3802"><v>720192</v></cell><cell r="AE3802" t="str"><v>Facebook</v></cell><cell r="AF3802"><v>3654128</v></cell><cell r="AG3802" t="str"><v>Facebook»AZR»1x1»SocialBan»NA»ALL»DYN»RT»D»All»SS»NA»Free Account Retargeting Generic - T2 - EN</v></cell><cell r="AH3802"><v>223691834</v></cell><cell r="AI3802" t="str"><v>AzurePlatform_FreeAcctRetargetingFB-GlobalAlt-ChB_CAN_1200x628_SOC_Plat_EN_Free Account_Standard_NA_SU_T2_1</v></cell><cell r="AJ3802"><v>102902953</v></cell></row><row r="3803"><cell r="C3803" t="str"><v>43308Facebook»AZR»1x1»SocialBan»NA»ALL»DYN»RT»D»All»SS»NA»Free Account Retargeting Generic - T2 - FR</v></cell><cell r="D3803" t="str"><v>43308223691792</v></cell><cell r="E3803" t="str"><v>433081029018942 - FR</v></cell><cell r="F3803" t="str"><v>DCM</v></cell><cell r="G3803" t="str"><v>https://azure.microsoft.com/fr-ca/free/search/</v></cell></row><row r="3803"><cell r="K3803" t="str"><v>July</v></cell><cell r="L3803"><v>43309</v></cell><cell r="M3803" t="str"><v>Tier 1</v></cell><cell r="N3803" t="str"><v>North America</v></cell><cell r="O3803" t="str"><v>Canada</v></cell><cell r="P3803" t="str"><v>Trial</v></cell><cell r="Q3803" t="str"><v>Social</v></cell><cell r="R3803" t="str"><v>Azure</v></cell><cell r="S3803" t="str"><v>Apps & Infra</v></cell><cell r="T3803" t="str"><v>Developers & ITI's</v></cell><cell r="U3803" t="str"><v>AZR</v></cell><cell r="V3803" t="str"><v>Retargeting</v></cell><cell r="W3803" t="str"><v>NotApplicable</v></cell><cell r="X3803" t="str"><v>1x1</v></cell></row><row r="3803"><cell r="AA3803"><v>43308</v></cell><cell r="AB3803" t="str"><v>CAN_gaPMG_AZR_AZR_Q1_19_Trial-Social</v></cell><cell r="AC3803"><v>21337220</v></cell><cell r="AD3803"><v>720192</v></cell><cell r="AE3803" t="str"><v>Facebook</v></cell><cell r="AF3803"><v>3654128</v></cell><cell r="AG3803" t="str"><v>Facebook»AZR»1x1»SocialBan»NA»ALL»DYN»RT»D»All»SS»NA»Free Account Retargeting Generic - T2 - FR</v></cell><cell r="AH3803"><v>223691792</v></cell><cell r="AI3803" t="str"><v>AzurePlatform_FreeAcctRetargetingFB-GlobalAlt-ChB_CAN_1200x628_SOC_Plat_FR_Free Account_Standard_NA_SU_T2_1</v></cell><cell r="AJ3803"><v>102901894</v></cell></row><row r="3804"><cell r="C3804" t="str"><v>43308Facebook»AZR»1x1»SocialBan»NA»ALL»DYN»RT»D»All»SS»NA»Free Account Retargeting Generic - T3 - FR</v></cell><cell r="D3804" t="str"><v>43308223691777</v></cell><cell r="E3804" t="str"><v>433081029006973 - FR</v></cell><cell r="F3804" t="str"><v>DCM</v></cell><cell r="G3804" t="str"><v>https://azure.microsoft.com/fr-ca/free/search/</v></cell></row><row r="3804"><cell r="K3804" t="str"><v>July</v></cell><cell r="L3804"><v>43309</v></cell><cell r="M3804" t="str"><v>Tier 1</v></cell><cell r="N3804" t="str"><v>North America</v></cell><cell r="O3804" t="str"><v>Canada</v></cell><cell r="P3804" t="str"><v>Trial</v></cell><cell r="Q3804" t="str"><v>Social</v></cell><cell r="R3804" t="str"><v>Azure</v></cell><cell r="S3804" t="str"><v>Apps & Infra</v></cell><cell r="T3804" t="str"><v>Developers & ITI's</v></cell><cell r="U3804" t="str"><v>AZR</v></cell><cell r="V3804" t="str"><v>Retargeting</v></cell><cell r="W3804" t="str"><v>NotApplicable</v></cell><cell r="X3804" t="str"><v>1x1</v></cell></row><row r="3804"><cell r="AA3804"><v>43308</v></cell><cell r="AB3804" t="str"><v>CAN_gaPMG_AZR_AZR_Q1_19_Trial-Social</v></cell><cell r="AC3804"><v>21337220</v></cell><cell r="AD3804"><v>720192</v></cell><cell r="AE3804" t="str"><v>Facebook</v></cell><cell r="AF3804"><v>3654128</v></cell><cell r="AG3804" t="str"><v>Facebook»AZR»1x1»SocialBan»NA»ALL»DYN»RT»D»All»SS»NA»Free Account Retargeting Generic - T3 - FR</v></cell><cell r="AH3804"><v>223691777</v></cell><cell r="AI3804" t="str"><v>AzurePlatform_FreeAcctRetargetingFB-Animated-ChC_CAN_1200x628_SOC_Plat_FR_Free Account_Standard_ANI_SU_T3_1</v></cell><cell r="AJ3804"><v>102900697</v></cell></row><row r="3805"><cell r="C3805" t="str"><v>43308Facebook»AZR»1x1»SocialBan»NA»ALL»DYN»RT»D»All»SS»NA»Free Account Retargeting VM - T1 - EN</v></cell><cell r="D3805" t="str"><v>43308223691825</v></cell><cell r="E3805" t="str"><v>433081029163381 - EN</v></cell><cell r="F3805" t="str"><v>DCM</v></cell><cell r="G3805" t="str"><v>https://azure.microsoft.com/en-ca/free/virtual-machines/search/</v></cell></row><row r="3805"><cell r="K3805" t="str"><v>July</v></cell><cell r="L3805"><v>43309</v></cell><cell r="M3805" t="str"><v>Tier 1</v></cell><cell r="N3805" t="str"><v>North America</v></cell><cell r="O3805" t="str"><v>Canada</v></cell><cell r="P3805" t="str"><v>Trial</v></cell><cell r="Q3805" t="str"><v>Social</v></cell><cell r="R3805" t="str"><v>Azure</v></cell><cell r="S3805" t="str"><v>Apps & Infra</v></cell><cell r="T3805" t="str"><v>Developers & ITI's</v></cell><cell r="U3805" t="str"><v>AZR</v></cell><cell r="V3805" t="str"><v>Retargeting</v></cell><cell r="W3805" t="str"><v>NotApplicable</v></cell><cell r="X3805" t="str"><v>1x1</v></cell></row><row r="3805"><cell r="AA3805"><v>43308</v></cell><cell r="AB3805" t="str"><v>CAN_gaPMG_AZR_AZR_Q1_19_Trial-Social</v></cell><cell r="AC3805"><v>21337220</v></cell><cell r="AD3805"><v>720192</v></cell><cell r="AE3805" t="str"><v>Facebook</v></cell><cell r="AF3805"><v>3654128</v></cell><cell r="AG3805" t="str"><v>Facebook»AZR»1x1»SocialBan»NA»ALL»DYN»RT»D»All»SS»NA»Free Account Retargeting VM - T1 - EN</v></cell><cell r="AH3805"><v>223691825</v></cell><cell r="AI3805" t="str"><v>AzurePlatform_FreeAcctRetargetingVMFB-750Hrs-ChD_CAN_1200x628_SOC_Plat_EN_Free Account_Standard_NA_SU_T1_1</v></cell><cell r="AJ3805"><v>102916338</v></cell></row><row r="3806"><cell r="C3806" t="str"><v>43308Facebook»AZR»1x1»SocialBan»NA»ALL»DYN»RT»D»All»SS»NA»Free Account Retargeting VM - T1 - FR</v></cell><cell r="D3806" t="str"><v>43308223691783</v></cell><cell r="E3806" t="str"><v>433081030587231 - FR</v></cell><cell r="F3806" t="str"><v>DCM</v></cell><cell r="G3806" t="str"><v>https://azure.microsoft.com/fr-ca/free/virtual-machines/search/</v></cell></row><row r="3806"><cell r="K3806" t="str"><v>July</v></cell><cell r="L3806"><v>43309</v></cell><cell r="M3806" t="str"><v>Tier 1</v></cell><cell r="N3806" t="str"><v>North America</v></cell><cell r="O3806" t="str"><v>Canada</v></cell><cell r="P3806" t="str"><v>Trial</v></cell><cell r="Q3806" t="str"><v>Social</v></cell><cell r="R3806" t="str"><v>Azure</v></cell><cell r="S3806" t="str"><v>Apps & Infra</v></cell><cell r="T3806" t="str"><v>Developers & ITI's</v></cell><cell r="U3806" t="str"><v>AZR</v></cell><cell r="V3806" t="str"><v>Retargeting</v></cell><cell r="W3806" t="str"><v>NotApplicable</v></cell><cell r="X3806" t="str"><v>1x1</v></cell></row><row r="3806"><cell r="AA3806"><v>43308</v></cell><cell r="AB3806" t="str"><v>CAN_gaPMG_AZR_AZR_Q1_19_Trial-Social</v></cell><cell r="AC3806"><v>21337220</v></cell><cell r="AD3806"><v>720192</v></cell><cell r="AE3806" t="str"><v>Facebook</v></cell><cell r="AF3806"><v>3654128</v></cell><cell r="AG3806" t="str"><v>Facebook»AZR»1x1»SocialBan»NA»ALL»DYN»RT»D»All»SS»NA»Free Account Retargeting VM - T1 - FR</v></cell><cell r="AH3806"><v>223691783</v></cell><cell r="AI3806" t="str"><v>AzurePlatform_FreeAcctRetargetingVMFB-750Hrs-ChD_CAN_1200x628_SOC_Plat_FR_Free Account_Standard_NA_SU_T1_1</v></cell><cell r="AJ3806"><v>103058723</v></cell></row><row r="3807"><cell r="C3807" t="str"><v>43308Facebook»AZR»1x1»SocialBan»NA»ALL»DYN»RT»D»All»SS»NA»Free Account Retargeting VM - T2 - EN</v></cell><cell r="D3807" t="str"><v>43308223691822</v></cell><cell r="E3807" t="str"><v>433081030587082 - EN</v></cell><cell r="F3807" t="str"><v>DCM</v></cell><cell r="G3807" t="str"><v>https://azure.microsoft.com/en-ca/free/virtual-machines/search/</v></cell></row><row r="3807"><cell r="K3807" t="str"><v>July</v></cell><cell r="L3807"><v>43309</v></cell><cell r="M3807" t="str"><v>Tier 1</v></cell><cell r="N3807" t="str"><v>North America</v></cell><cell r="O3807" t="str"><v>Canada</v></cell><cell r="P3807" t="str"><v>Trial</v></cell><cell r="Q3807" t="str"><v>Social</v></cell><cell r="R3807" t="str"><v>Azure</v></cell><cell r="S3807" t="str"><v>Apps & Infra</v></cell><cell r="T3807" t="str"><v>Developers & ITI's</v></cell><cell r="U3807" t="str"><v>AZR</v></cell><cell r="V3807" t="str"><v>Retargeting</v></cell><cell r="W3807" t="str"><v>NotApplicable</v></cell><cell r="X3807" t="str"><v>1x1</v></cell></row><row r="3807"><cell r="AA3807"><v>43308</v></cell><cell r="AB3807" t="str"><v>CAN_gaPMG_AZR_AZR_Q1_19_Trial-Social</v></cell><cell r="AC3807"><v>21337220</v></cell><cell r="AD3807"><v>720192</v></cell><cell r="AE3807" t="str"><v>Facebook</v></cell><cell r="AF3807"><v>3654128</v></cell><cell r="AG3807" t="str"><v>Facebook»AZR»1x1»SocialBan»NA»ALL»DYN»RT»D»All»SS»NA»Free Account Retargeting VM - T2 - EN</v></cell><cell r="AH3807"><v>223691822</v></cell><cell r="AI3807" t="str"><v>AzurePlatform_FreeAcctRetargetingVMFB-OnDemand-ChE_CAN_1200x628_SOC_Plat_EN_Free Account_Standard_NA_SU_T2_1</v></cell><cell r="AJ3807"><v>103058708</v></cell></row><row r="3808"><cell r="C3808" t="str"><v>43308Facebook»AZR»1x1»SocialBan»NA»ALL»DYN»RT»D»All»SS»NA»Free Account Retargeting VM - T2 - FR</v></cell><cell r="D3808" t="str"><v>43308223691780</v></cell><cell r="E3808" t="str"><v>433081030587262 - FR</v></cell><cell r="F3808" t="str"><v>DCM</v></cell><cell r="G3808" t="str"><v>https://azure.microsoft.com/fr-ca/free/virtual-machines/search/</v></cell></row><row r="3808"><cell r="K3808" t="str"><v>July</v></cell><cell r="L3808"><v>43309</v></cell><cell r="M3808" t="str"><v>Tier 1</v></cell><cell r="N3808" t="str"><v>North America</v></cell><cell r="O3808" t="str"><v>Canada</v></cell><cell r="P3808" t="str"><v>Trial</v></cell><cell r="Q3808" t="str"><v>Social</v></cell><cell r="R3808" t="str"><v>Azure</v></cell><cell r="S3808" t="str"><v>Apps & Infra</v></cell><cell r="T3808" t="str"><v>Developers & ITI's</v></cell><cell r="U3808" t="str"><v>AZR</v></cell><cell r="V3808" t="str"><v>Retargeting</v></cell><cell r="W3808" t="str"><v>NotApplicable</v></cell><cell r="X3808" t="str"><v>1x1</v></cell></row><row r="3808"><cell r="AA3808"><v>43308</v></cell><cell r="AB3808" t="str"><v>CAN_gaPMG_AZR_AZR_Q1_19_Trial-Social</v></cell><cell r="AC3808"><v>21337220</v></cell><cell r="AD3808"><v>720192</v></cell><cell r="AE3808" t="str"><v>Facebook</v></cell><cell r="AF3808"><v>3654128</v></cell><cell r="AG3808" t="str"><v>Facebook»AZR»1x1»SocialBan»NA»ALL»DYN»RT»D»All»SS»NA»Free Account Retargeting VM - T2 - FR</v></cell><cell r="AH3808"><v>223691780</v></cell><cell r="AI3808" t="str"><v>AzurePlatform_FreeAcctRetargetingVMFB-OnDemand-ChE_CAN_1200x628_SOC_Plat_FR_Free Account_Standard_NA_SU_T2_1</v></cell><cell r="AJ3808"><v>103058726</v></cell></row><row r="3809"><cell r="C3809" t="str"><v>43308Facebook»DEV-ITP-AZR-FB|CanvasAds|Interesttargeting»1x1»TextLink»CAN»DT»CPM»AUT»W»NA»SS»NA»39684020-11000</v></cell><cell r="D3809" t="str"><v>43308224009494</v></cell><cell r="E3809" t="str"><v>43308103236186-11000</v></cell><cell r="F3809" t="str"><v>DCM</v></cell><cell r="G3809" t="str"><v>https://signup.azure.com/signup?offer=ms-azr-0044p&appId=102&ref=paidmedia-social-fb&redirectURL=https%3a%2f%2fazure.microsoft.com%2fde-de%2fget-started%2fwelcome-to-azure%2f&l=de-de&correlationId=ead86c34-1f10-49dd-a72b-6918462a2cbf</v></cell></row><row r="3809"><cell r="K3809" t="str"><v>July</v></cell><cell r="L3809"><v>43309</v></cell><cell r="M3809" t="str"><v>Tier 1</v></cell><cell r="N3809" t="str"><v>EMEA</v></cell><cell r="O3809" t="str"><v>Germany</v></cell><cell r="P3809" t="str"><v>Trial</v></cell><cell r="Q3809" t="str"><v>Social</v></cell><cell r="R3809" t="str"><v>Azure</v></cell><cell r="S3809" t="str"><v>Apps & Infra</v></cell><cell r="T3809" t="str"><v>Developers & ITI's</v></cell><cell r="U3809" t="str"><v>DEV-ITP-AZR-FB|CanvasAds|Interesttargeting</v></cell><cell r="V3809" t="str"><v>Audience Targeting</v></cell><cell r="W3809" t="str"><v>Canvas Ad</v></cell><cell r="X3809" t="str"><v>1x1</v></cell></row><row r="3809"><cell r="AA3809"><v>43308</v></cell><cell r="AB3809" t="str"><v>DEU_gaPMG_AZR_AZR_Q1_19_Trial-Social- 39684</v></cell><cell r="AC3809"><v>21359477</v></cell><cell r="AD3809"><v>720194</v></cell><cell r="AE3809" t="str"><v>Facebook</v></cell><cell r="AF3809"><v>3654128</v></cell><cell r="AG3809" t="str"><v>Facebook»DEV-ITP-AZR-FB|CanvasAds|Interesttargeting»1x1»TextLink»CAN»DT»CPM»AUT»W»NA»SS»NA»39684020-11000</v></cell><cell r="AH3809"><v>224009494</v></cell><cell r="AI3809" t="str"><v>AzurePlatform_FBCTCBasicMotion-StartFreeCT_DEU_10s_ISV_PLAT_DE_Trial_Standard_STAN_TN_T1_1</v></cell><cell r="AJ3809"><v>103236186</v></cell></row><row r="3810"><cell r="C3810" t="str"><v>43308Facebook»DEV-ITP-AZR-FB|CanvasAds|Interesttargeting»1x1»TextLink»CAN»DT»CPM»AUT»W»NA»SS»NA»39684020-11000</v></cell><cell r="D3810" t="str"><v>43308224009494</v></cell><cell r="E3810" t="str"><v>43308103237290-11000</v></cell><cell r="F3810" t="str"><v>DCM</v></cell><cell r="G3810" t="str"><v>https://signup.azure.com/signup?offer=ms-azr-0044p&appId=102&ref=paidmedia-social-fb&redirectURL=https%3a%2f%2fazure.microsoft.com%2fde-de%2fget-started%2fwelcome-to-azure%2f&l=de-de&correlationId=ead86c34-1f10-49dd-a72b-6918462a2cbf</v></cell></row><row r="3810"><cell r="K3810" t="str"><v>July</v></cell><cell r="L3810"><v>43309</v></cell><cell r="M3810" t="str"><v>Tier 1</v></cell><cell r="N3810" t="str"><v>EMEA</v></cell><cell r="O3810" t="str"><v>Germany</v></cell><cell r="P3810" t="str"><v>Trial</v></cell><cell r="Q3810" t="str"><v>Social</v></cell><cell r="R3810" t="str"><v>Azure</v></cell><cell r="S3810" t="str"><v>Apps & Infra</v></cell><cell r="T3810" t="str"><v>Developers & ITI's</v></cell><cell r="U3810" t="str"><v>DEV-ITP-AZR-FB|CanvasAds|Interesttargeting</v></cell><cell r="V3810" t="str"><v>Audience Targeting</v></cell><cell r="W3810" t="str"><v>Canvas Ad</v></cell><cell r="X3810" t="str"><v>1x1</v></cell></row><row r="3810"><cell r="AA3810"><v>43308</v></cell><cell r="AB3810" t="str"><v>DEU_gaPMG_AZR_AZR_Q1_19_Trial-Social- 39684</v></cell><cell r="AC3810"><v>21359477</v></cell><cell r="AD3810"><v>720194</v></cell><cell r="AE3810" t="str"><v>Facebook</v></cell><cell r="AF3810"><v>3654128</v></cell><cell r="AG3810" t="str"><v>Facebook»DEV-ITP-AZR-FB|CanvasAds|Interesttargeting»1x1»TextLink»CAN»DT»CPM»AUT»W»NA»SS»NA»39684020-11000</v></cell><cell r="AH3810"><v>224009494</v></cell><cell r="AI3810" t="str"><v>AzurePlatform_FBCTCBenefit2inMotion-StartFreeCT_DEU_14s_ISV_PLAT_DE_Trial_Standard_STAN_TN_T4_1</v></cell><cell r="AJ3810"><v>103237290</v></cell></row><row r="3811"><cell r="C3811" t="str"><v>43308Facebook»DEV-ITP-AZR-FB|CanvasAds|Interesttargeting»1x1»TextLink»CAN»DT»CPM»AUT»W»NA»SS»NA»39684020-11000</v></cell><cell r="D3811" t="str"><v>43308224009494</v></cell><cell r="E3811" t="str"><v>43308103350059-11000</v></cell><cell r="F3811" t="str"><v>DCM</v></cell><cell r="G3811" t="str"><v>https://azure.microsoft.com/de-de/pricing/purchase-options/</v></cell></row><row r="3811"><cell r="K3811" t="str"><v>July</v></cell><cell r="L3811"><v>43309</v></cell><cell r="M3811" t="str"><v>Tier 1</v></cell><cell r="N3811" t="str"><v>EMEA</v></cell><cell r="O3811" t="str"><v>Germany</v></cell><cell r="P3811" t="str"><v>Trial</v></cell><cell r="Q3811" t="str"><v>Social</v></cell><cell r="R3811" t="str"><v>Azure</v></cell><cell r="S3811" t="str"><v>Apps & Infra</v></cell><cell r="T3811" t="str"><v>Developers & ITI's</v></cell><cell r="U3811" t="str"><v>DEV-ITP-AZR-FB|CanvasAds|Interesttargeting</v></cell><cell r="V3811" t="str"><v>Audience Targeting</v></cell><cell r="W3811" t="str"><v>Canvas Ad</v></cell><cell r="X3811" t="str"><v>1x1</v></cell></row><row r="3811"><cell r="AA3811"><v>43308</v></cell><cell r="AB3811" t="str"><v>DEU_gaPMG_AZR_AZR_Q1_19_Trial-Social- 39684</v></cell><cell r="AC3811"><v>21359477</v></cell><cell r="AD3811"><v>720194</v></cell><cell r="AE3811" t="str"><v>Facebook</v></cell><cell r="AF3811"><v>3654128</v></cell><cell r="AG3811" t="str"><v>Facebook»DEV-ITP-AZR-FB|CanvasAds|Interesttargeting»1x1»TextLink»CAN»DT»CPM»AUT»W»NA»SS»NA»39684020-11000</v></cell><cell r="AH3811"><v>224009494</v></cell><cell r="AI3811" t="str"><v>AzurePlatform_FBCTCBrandinMotion-BuyNow_DEU_12s_ISV_PLAT_DE_Trial_Standard_STAN_TN_T2_1</v></cell><cell r="AJ3811"><v>103350059</v></cell></row><row r="3812"><cell r="C3812" t="str"><v>43308Facebook»DEV-ITP-AZR-FB|CanvasAds|Interesttargeting»1x1»TextLink»CAN»DT»CPM»AUT»W»NA»SS»NA»39684020-11000</v></cell><cell r="D3812" t="str"><v>43308224009494</v></cell><cell r="E3812" t="str"><v>43308103237293-11000</v></cell><cell r="F3812" t="str"><v>DCM</v></cell><cell r="G3812" t="str"><v>https://signup.azure.com/signup?offer=ms-azr-0044p&appId=102&ref=paidmedia-social-fb&redirectURL=https%3a%2f%2fazure.microsoft.com%2fde-de%2fget-started%2fwelcome-to-azure%2f&l=de-de&correlationId=ead86c34-1f10-49dd-a72b-6918462a2cbf</v></cell></row><row r="3812"><cell r="K3812" t="str"><v>July</v></cell><cell r="L3812"><v>43309</v></cell><cell r="M3812" t="str"><v>Tier 1</v></cell><cell r="N3812" t="str"><v>EMEA</v></cell><cell r="O3812" t="str"><v>Germany</v></cell><cell r="P3812" t="str"><v>Trial</v></cell><cell r="Q3812" t="str"><v>Social</v></cell><cell r="R3812" t="str"><v>Azure</v></cell><cell r="S3812" t="str"><v>Apps & Infra</v></cell><cell r="T3812" t="str"><v>Developers & ITI's</v></cell><cell r="U3812" t="str"><v>DEV-ITP-AZR-FB|CanvasAds|Interesttargeting</v></cell><cell r="V3812" t="str"><v>Audience Targeting</v></cell><cell r="W3812" t="str"><v>Canvas Ad</v></cell><cell r="X3812" t="str"><v>1x1</v></cell></row><row r="3812"><cell r="AA3812"><v>43308</v></cell><cell r="AB3812" t="str"><v>DEU_gaPMG_AZR_AZR_Q1_19_Trial-Social- 39684</v></cell><cell r="AC3812"><v>21359477</v></cell><cell r="AD3812"><v>720194</v></cell><cell r="AE3812" t="str"><v>Facebook</v></cell><cell r="AF3812"><v>3654128</v></cell><cell r="AG3812" t="str"><v>Facebook»DEV-ITP-AZR-FB|CanvasAds|Interesttargeting»1x1»TextLink»CAN»DT»CPM»AUT»W»NA»SS»NA»39684020-11000</v></cell><cell r="AH3812"><v>224009494</v></cell><cell r="AI3812" t="str"><v>AzurePlatform_FBCTCBrandinMotion-StartFreeCT_DEU_12s_ISV_PLAT_DE_Trial_Standard_STAN_TN_T2_1</v></cell><cell r="AJ3812"><v>103237293</v></cell></row><row r="3813"><cell r="C3813" t="str"><v>43308Facebook»DEV-ITP-AZR-FB|LinkAd|CustomerAudienceRetargeting»1x1»TextLink»LIA»DT»CPM»RT»W»NA»SS»NA»39684019-11000</v></cell><cell r="D3813" t="str"><v>43308224010415</v></cell><cell r="E3813" t="str"><v>43308103048548-11000</v></cell><cell r="F3813" t="str"><v>DCM</v></cell><cell r="G3813" t="str"><v>https://azure.microsoft.com/de-de/free/search/</v></cell></row><row r="3813"><cell r="K3813" t="str"><v>July</v></cell><cell r="L3813"><v>43309</v></cell><cell r="M3813" t="str"><v>Tier 1</v></cell><cell r="N3813" t="str"><v>EMEA</v></cell><cell r="O3813" t="str"><v>Germany</v></cell><cell r="P3813" t="str"><v>Trial</v></cell><cell r="Q3813" t="str"><v>Social</v></cell><cell r="R3813" t="str"><v>Azure</v></cell><cell r="S3813" t="str"><v>Apps & Infra</v></cell><cell r="T3813" t="str"><v>Developers & ITI's</v></cell><cell r="U3813" t="str"><v>DEV-ITP-AZR-FB|LinkAd|CustomerAudienceRetargeting</v></cell><cell r="V3813" t="str"><v>Retargeting</v></cell><cell r="W3813" t="str"><v>Link Ad</v></cell><cell r="X3813" t="str"><v>1x1</v></cell></row><row r="3813"><cell r="AA3813"><v>43308</v></cell><cell r="AB3813" t="str"><v>DEU_gaPMG_AZR_AZR_Q1_19_Trial-Social- 39684</v></cell><cell r="AC3813"><v>21359477</v></cell><cell r="AD3813"><v>720194</v></cell><cell r="AE3813" t="str"><v>Facebook</v></cell><cell r="AF3813"><v>3654128</v></cell><cell r="AG3813" t="str"><v>Facebook»DEV-ITP-AZR-FB|LinkAd|CustomerAudienceRetargeting»1x1»TextLink»LIA»DT»CPM»RT»W»NA»SS»NA»39684019-11000</v></cell><cell r="AH3813"><v>224010415</v></cell><cell r="AI3813" t="str"><v>AzurePlatform_FreeAcctRetargetingFB-Animated-ChC_DEU_1200x628_SOC_Plat_DE_Free Account_Standard_ANI_SNU_T3_1</v></cell><cell r="AJ3813"><v>103048548</v></cell></row><row r="3814"><cell r="C3814" t="str"><v>43308Facebook»DEV-ITP-AZR-FB|LinkAd|CustomerAudienceRetargeting»1x1»TextLink»LIA»DT»CPM»RT»W»NA»SS»NA»39684019-11000</v></cell><cell r="D3814" t="str"><v>43308224010415</v></cell><cell r="E3814" t="str"><v>43308103040320-11000</v></cell><cell r="F3814" t="str"><v>DCM</v></cell><cell r="G3814" t="str"><v>https://azure.microsoft.com/de-de/free/search/</v></cell></row><row r="3814"><cell r="K3814" t="str"><v>July</v></cell><cell r="L3814"><v>43309</v></cell><cell r="M3814" t="str"><v>Tier 1</v></cell><cell r="N3814" t="str"><v>EMEA</v></cell><cell r="O3814" t="str"><v>Germany</v></cell><cell r="P3814" t="str"><v>Trial</v></cell><cell r="Q3814" t="str"><v>Social</v></cell><cell r="R3814" t="str"><v>Azure</v></cell><cell r="S3814" t="str"><v>Apps & Infra</v></cell><cell r="T3814" t="str"><v>Developers & ITI's</v></cell><cell r="U3814" t="str"><v>DEV-ITP-AZR-FB|LinkAd|CustomerAudienceRetargeting</v></cell><cell r="V3814" t="str"><v>Retargeting</v></cell><cell r="W3814" t="str"><v>Link Ad</v></cell><cell r="X3814" t="str"><v>1x1</v></cell></row><row r="3814"><cell r="AA3814"><v>43308</v></cell><cell r="AB3814" t="str"><v>DEU_gaPMG_AZR_AZR_Q1_19_Trial-Social- 39684</v></cell><cell r="AC3814"><v>21359477</v></cell><cell r="AD3814"><v>720194</v></cell><cell r="AE3814" t="str"><v>Facebook</v></cell><cell r="AF3814"><v>3654128</v></cell><cell r="AG3814" t="str"><v>Facebook»DEV-ITP-AZR-FB|LinkAd|CustomerAudienceRetargeting»1x1»TextLink»LIA»DT»CPM»RT»W»NA»SS»NA»39684019-11000</v></cell><cell r="AH3814"><v>224010415</v></cell><cell r="AI3814" t="str"><v>AzurePlatform_FreeAcctRetargetingFB-GlobalAlt-ChB_DEU_1200x628_SOC_Plat_DE_Free Account_Standard_NA_SNU_T2_1</v></cell><cell r="AJ3814"><v>103040320</v></cell></row><row r="3815"><cell r="C3815" t="str"><v>43308Facebook»DEV-ITP-AZR-FB|LinkAd|CustomerAudienceRetargeting»1x1»TextLink»LIA»DT»CPM»RT»W»NA»SS»NA»39684019-11000</v></cell><cell r="D3815" t="str"><v>43308224010415</v></cell><cell r="E3815" t="str"><v>43308103043341-11000</v></cell><cell r="F3815" t="str"><v>DCM</v></cell><cell r="G3815" t="str"><v>https://azure.microsoft.com/de-de/free/virtual-machines/search/</v></cell></row><row r="3815"><cell r="K3815" t="str"><v>July</v></cell><cell r="L3815"><v>43309</v></cell><cell r="M3815" t="str"><v>Tier 1</v></cell><cell r="N3815" t="str"><v>EMEA</v></cell><cell r="O3815" t="str"><v>Germany</v></cell><cell r="P3815" t="str"><v>Trial</v></cell><cell r="Q3815" t="str"><v>Social</v></cell><cell r="R3815" t="str"><v>Azure</v></cell><cell r="S3815" t="str"><v>Apps & Infra</v></cell><cell r="T3815" t="str"><v>Developers & ITI's</v></cell><cell r="U3815" t="str"><v>DEV-ITP-AZR-FB|LinkAd|CustomerAudienceRetargeting</v></cell><cell r="V3815" t="str"><v>Retargeting</v></cell><cell r="W3815" t="str"><v>Link Ad</v></cell><cell r="X3815" t="str"><v>1x1</v></cell></row><row r="3815"><cell r="AA3815"><v>43308</v></cell><cell r="AB3815" t="str"><v>DEU_gaPMG_AZR_AZR_Q1_19_Trial-Social- 39684</v></cell><cell r="AC3815"><v>21359477</v></cell><cell r="AD3815"><v>720194</v></cell><cell r="AE3815" t="str"><v>Facebook</v></cell><cell r="AF3815"><v>3654128</v></cell><cell r="AG3815" t="str"><v>Facebook»DEV-ITP-AZR-FB|LinkAd|CustomerAudienceRetargeting»1x1»TextLink»LIA»DT»CPM»RT»W»NA»SS»NA»39684019-11000</v></cell><cell r="AH3815"><v>224010415</v></cell><cell r="AI3815" t="str"><v>AzurePlatform_FreeAcctRetargetingVMFB-750Hrs-ChD_DEU_1200x628_SOC_Plat_DE_Free Account_Standard_NA_SNU_T1_1</v></cell><cell r="AJ3815"><v>103043341</v></cell></row><row r="3816"><cell r="C3816" t="str"><v>43308Facebook»DEV-ITP-AZR-FB|LinkAd|CustomerAudienceRetargeting»1x1»TextLink»LIA»DT»CPM»RT»W»NA»SS»NA»39684019-11000</v></cell><cell r="D3816" t="str"><v>43308224010415</v></cell><cell r="E3816" t="str"><v>43308103043338-11000</v></cell><cell r="F3816" t="str"><v>DCM</v></cell><cell r="G3816" t="str"><v>https://azure.microsoft.com/de-de/free/virtual-machines/search/</v></cell></row><row r="3816"><cell r="K3816" t="str"><v>July</v></cell><cell r="L3816"><v>43309</v></cell><cell r="M3816" t="str"><v>Tier 1</v></cell><cell r="N3816" t="str"><v>EMEA</v></cell><cell r="O3816" t="str"><v>Germany</v></cell><cell r="P3816" t="str"><v>Trial</v></cell><cell r="Q3816" t="str"><v>Social</v></cell><cell r="R3816" t="str"><v>Azure</v></cell><cell r="S3816" t="str"><v>Apps & Infra</v></cell><cell r="T3816" t="str"><v>Developers & ITI's</v></cell><cell r="U3816" t="str"><v>DEV-ITP-AZR-FB|LinkAd|CustomerAudienceRetargeting</v></cell><cell r="V3816" t="str"><v>Retargeting</v></cell><cell r="W3816" t="str"><v>Link Ad</v></cell><cell r="X3816" t="str"><v>1x1</v></cell></row><row r="3816"><cell r="AA3816"><v>43308</v></cell><cell r="AB3816" t="str"><v>DEU_gaPMG_AZR_AZR_Q1_19_Trial-Social- 39684</v></cell><cell r="AC3816"><v>21359477</v></cell><cell r="AD3816"><v>720194</v></cell><cell r="AE3816" t="str"><v>Facebook</v></cell><cell r="AF3816"><v>3654128</v></cell><cell r="AG3816" t="str"><v>Facebook»DEV-ITP-AZR-FB|LinkAd|CustomerAudienceRetargeting»1x1»TextLink»LIA»DT»CPM»RT»W»NA»SS»NA»39684019-11000</v></cell><cell r="AH3816"><v>224010415</v></cell><cell r="AI3816" t="str"><v>AzurePlatform_FreeAcctRetargetingVMFB-OnDemand-ChE_DEU_1200x628_SOC_Plat_DE_Free Account_Standard_NA_SNU_T2_1</v></cell><cell r="AJ3816"><v>103043338</v></cell></row><row r="3817"><cell r="C3817" t="str"><v>43308Facebook»Developers/ITPros-Azure Direct-Sponsored Post-Canvas-FBCTCcanvaspage-StartFreeCTA-Img2_FBCTCBrandinMotion_FRA_14sec»1x1»Canvas»SOC»ALL»CPC»BT»D»UNK»SS»NA»Trials</v></cell><cell r="D3817" t="str"><v>43308224560872</v></cell><cell r="E3817" t="str"><v>43308103259958Trials</v></cell><cell r="F3817" t="str"><v>DCM</v></cell><cell r="G3817" t="str"><v>https://signup.azure.com/signup?offer=ms-azr-0044p&appId=102&ref=paidmedia-social-fb&redirectURL=https%3a%2f%2fazure.microsoft.com%2ffr-fr%2fget-started%2fwelcome-to-azure%2f&l=fr-fr&correlationId=ead86c34-1f10-49dd-a72b-6918462a2cbf</v></cell></row><row r="3817"><cell r="K3817" t="str"><v>July</v></cell><cell r="L3817"><v>43309</v></cell><cell r="M3817" t="str"><v>Tier 1</v></cell><cell r="N3817" t="str"><v>EMEA</v></cell><cell r="O3817" t="str"><v>France</v></cell><cell r="P3817" t="str"><v>Trial</v></cell><cell r="Q3817" t="str"><v>Social</v></cell><cell r="R3817" t="str"><v>Azure</v></cell><cell r="S3817" t="str"><v>Apps & Infra</v></cell><cell r="T3817" t="str"><v>Developers & ITI's</v></cell><cell r="U3817" t="str"><v>Developers/ITPros-Azure Direct-Sponsored Post-Canvas-FBCTCcanvaspage-StartFreeCTA-Img2_FBCTCBrandinMotion_FRA_14sec</v></cell><cell r="V3817" t="str"><v>Behavioral Targeting</v></cell><cell r="W3817" t="str"><v>Social</v></cell><cell r="X3817" t="str"><v>1x1</v></cell></row><row r="3817"><cell r="AA3817"><v>43308</v></cell><cell r="AB3817" t="str"><v>FRA_gaPMG_AZR_AZR_Q1_19_AzureDirect-Trial-Social</v></cell><cell r="AC3817"><v>21356941</v></cell><cell r="AD3817"><v>720193</v></cell><cell r="AE3817" t="str"><v>Facebook</v></cell><cell r="AF3817"><v>3654128</v></cell><cell r="AG3817" t="str"><v>Facebook»Developers/ITPros-Azure Direct-Sponsored Post-Canvas-FBCTCcanvaspage-StartFreeCTA-Img2_FBCTCBrandinMotion_FRA_14sec»1x1»Canvas»SOC»ALL»CPC»BT»D»UNK»SS»NA»Trials</v></cell><cell r="AH3817"><v>224560872</v></cell><cell r="AI3817" t="str"><v>AZR_FBCTCcanvaspage-StartFreeCTA-Img2_FRA_1080x143_SOC_AZRDirect_French_NA_Facebook_SBAN_BN_T2_1</v></cell><cell r="AJ3817"><v>103259958</v></cell></row><row r="3818"><cell r="C3818" t="str"><v>43308Facebook»Developers/ITPros-Azure Direct-Sponsored Post-Link Ad-FreeAcctAppsFACEBOOK12monthsChE»1x1»SocialBan»SOC»ALL»CPC»BT»D»UNK»SS»NA»Trials</v></cell><cell r="D3818" t="str"><v>43308224560866</v></cell><cell r="E3818" t="str"><v>43308103259784Trials</v></cell><cell r="F3818" t="str"><v>DCM</v></cell><cell r="G3818" t="str"><v>https://azure.microsoft.com/fr-fr/free/search/</v></cell></row><row r="3818"><cell r="K3818" t="str"><v>July</v></cell><cell r="L3818"><v>43309</v></cell><cell r="M3818" t="str"><v>Tier 1</v></cell><cell r="N3818" t="str"><v>EMEA</v></cell><cell r="O3818" t="str"><v>France</v></cell><cell r="P3818" t="str"><v>Trial</v></cell><cell r="Q3818" t="str"><v>Social</v></cell><cell r="R3818" t="str"><v>Azure</v></cell><cell r="S3818" t="str"><v>Apps & Infra</v></cell><cell r="T3818" t="str"><v>Developers & ITI's</v></cell><cell r="U3818" t="str"><v>Developers/ITPros-Azure Direct-Sponsored Post-Link Ad-FreeAcctAppsFACEBOOK12monthsChE</v></cell><cell r="V3818" t="str"><v>Behavioral Targeting</v></cell><cell r="W3818" t="str"><v>Social</v></cell><cell r="X3818" t="str"><v>1x1</v></cell></row><row r="3818"><cell r="AA3818"><v>43308</v></cell><cell r="AB3818" t="str"><v>FRA_gaPMG_AZR_AZR_Q1_19_AzureDirect-Trial-Social</v></cell><cell r="AC3818"><v>21356941</v></cell><cell r="AD3818"><v>720193</v></cell><cell r="AE3818" t="str"><v>Facebook</v></cell><cell r="AF3818"><v>3654128</v></cell><cell r="AG3818" t="str"><v>Facebook»Developers/ITPros-Azure Direct-Sponsored Post-Link Ad-FreeAcctAppsFACEBOOK12monthsChE»1x1»SocialBan»SOC»ALL»CPC»BT»D»UNK»SS»NA»Trials</v></cell><cell r="AH3818"><v>224560866</v></cell><cell r="AI3818" t="str"><v>AZR_FreeAcctAppsFACEBOOK12monthsChE_FRA_1200x628_SOC_PLAT_FR_Trial_Standard_NA_SINU_T5_1</v></cell><cell r="AJ3818"><v>103259784</v></cell></row><row r="3819"><cell r="C3819" t="str"><v>43308Facebook»Audience & Interest Targeting»1x1»SocialBan»LIA»DT»CPC»AUT»W»NA»SS»NA»Basic Motion</v></cell><cell r="D3819" t="str"><v>43308224399962</v></cell><cell r="E3819" t="str"><v>43308103230847Motion</v></cell><cell r="F3819" t="str"><v>DCM</v></cell><cell r="G3819" t="str"><v>https://azure.microsoft.com/en-gb/pricing/purchase-options/</v></cell></row><row r="3819"><cell r="K3819" t="str"><v>July</v></cell><cell r="L3819"><v>43309</v></cell><cell r="M3819" t="str"><v>Tier 1</v></cell><cell r="N3819" t="str"><v>EMEA</v></cell><cell r="O3819" t="str"><v>United Kingdom</v></cell><cell r="P3819" t="str"><v>Trial</v></cell><cell r="Q3819" t="str"><v>Social</v></cell><cell r="R3819" t="str"><v>Azure</v></cell><cell r="S3819" t="str"><v>Apps & Infra</v></cell><cell r="T3819" t="str"><v>Developers & ITI's</v></cell><cell r="U3819" t="str"><v>Audience & Interest Targeting</v></cell><cell r="V3819" t="str"><v>Audience Targeting</v></cell><cell r="W3819" t="str"><v>Link Ad</v></cell><cell r="X3819" t="str"><v>1x1</v></cell></row><row r="3819"><cell r="AA3819"><v>43308</v></cell><cell r="AB3819" t="str"><v>GBR_gaPMG_CE_AZR_Q1_19_Trial-Social</v></cell><cell r="AC3819"><v>21337013</v></cell><cell r="AD3819"><v>720196</v></cell><cell r="AE3819" t="str"><v>Facebook</v></cell><cell r="AF3819"><v>3654128</v></cell><cell r="AG3819" t="str"><v>Facebook»Audience & Interest Targeting»1x1»SocialBan»LIA»DT»CPC»AUT»W»NA»SS»NA»Basic Motion</v></cell><cell r="AH3819"><v>224399962</v></cell><cell r="AI3819" t="str"><v>AzurePlatform_FBCTCcanvaspage-BuyNowCTA-Img3_GBR_1080x162_SOC_Plat_English_NA_Standard_NA_BN_T3_1</v></cell><cell r="AJ3819"><v>103230847</v></cell></row><row r="3820"><cell r="C3820" t="str"><v>43308Facebook»Audience & Interest Targeting»1x1»SocialBan»LIA»DT»CPC»AUT»W»NA»SS»NA»Basic Motion</v></cell><cell r="D3820" t="str"><v>43308224399962</v></cell><cell r="E3820" t="str"><v>43308103235146Motion</v></cell><cell r="F3820" t="str"><v>DCM</v></cell><cell r="G3820" t="str"><v>https://signup.azure.com/signup?offer=ms-azr-0044p&appId=102&ref=paidmedia-social-fb&redirectURL=https%3a%2f%2fazure.microsoft.com%2fen-gb%2fget-started%2fwelcome-to-azure%2f&l=en-gb&correlationId=ead86c34-1f10-49dd-a72b-6918462a2cbf</v></cell></row><row r="3820"><cell r="K3820" t="str"><v>July</v></cell><cell r="L3820"><v>43309</v></cell><cell r="M3820" t="str"><v>Tier 1</v></cell><cell r="N3820" t="str"><v>EMEA</v></cell><cell r="O3820" t="str"><v>United Kingdom</v></cell><cell r="P3820" t="str"><v>Trial</v></cell><cell r="Q3820" t="str"><v>Social</v></cell><cell r="R3820" t="str"><v>Azure</v></cell><cell r="S3820" t="str"><v>Apps & Infra</v></cell><cell r="T3820" t="str"><v>Developers & ITI's</v></cell><cell r="U3820" t="str"><v>Audience & Interest Targeting</v></cell><cell r="V3820" t="str"><v>Audience Targeting</v></cell><cell r="W3820" t="str"><v>Link Ad</v></cell><cell r="X3820" t="str"><v>1x1</v></cell></row><row r="3820"><cell r="AA3820"><v>43308</v></cell><cell r="AB3820" t="str"><v>GBR_gaPMG_CE_AZR_Q1_19_Trial-Social</v></cell><cell r="AC3820"><v>21337013</v></cell><cell r="AD3820"><v>720196</v></cell><cell r="AE3820" t="str"><v>Facebook</v></cell><cell r="AF3820"><v>3654128</v></cell><cell r="AG3820" t="str"><v>Facebook»Audience & Interest Targeting»1x1»SocialBan»LIA»DT»CPC»AUT»W»NA»SS»NA»Basic Motion</v></cell><cell r="AH3820"><v>224399962</v></cell><cell r="AI3820" t="str"><v>AzurePlatform_FBCTCcanvaspage-StartFreeCTA-Img2_GBR_1080x143 _SOC_Plat_English_NA_Standard_NA_NA_T2_1</v></cell><cell r="AJ3820"><v>103235146</v></cell></row><row r="3821"><cell r="C3821" t="str"><v>43308Facebook»Audience & Interest Targeting»1x1»SocialBan»LIA»DT»CPC»AUT»W»NA»SS»NA»Benefit 2 in Motion</v></cell><cell r="D3821" t="str"><v>43308224334170</v></cell><cell r="E3821" t="str"><v>43308103235146Motion</v></cell><cell r="F3821" t="str"><v>DCM</v></cell><cell r="G3821" t="str"><v>https://signup.azure.com/signup?offer=ms-azr-0044p&appId=102&ref=paidmedia-social-fb&redirectURL=https%3a%2f%2fazure.microsoft.com%2fen-gb%2fget-started%2fwelcome-to-azure%2f&l=en-gb&correlationId=ead86c34-1f10-49dd-a72b-6918462a2cbf</v></cell></row><row r="3821"><cell r="K3821" t="str"><v>July</v></cell><cell r="L3821"><v>43309</v></cell><cell r="M3821" t="str"><v>Tier 1</v></cell><cell r="N3821" t="str"><v>EMEA</v></cell><cell r="O3821" t="str"><v>United Kingdom</v></cell><cell r="P3821" t="str"><v>Trial</v></cell><cell r="Q3821" t="str"><v>Social</v></cell><cell r="R3821" t="str"><v>Azure</v></cell><cell r="S3821" t="str"><v>Apps & Infra</v></cell><cell r="T3821" t="str"><v>Developers & ITI's</v></cell><cell r="U3821" t="str"><v>Audience & Interest Targeting</v></cell><cell r="V3821" t="str"><v>Audience Targeting</v></cell><cell r="W3821" t="str"><v>Link Ad</v></cell><cell r="X3821" t="str"><v>1x1</v></cell></row><row r="3821"><cell r="AA3821"><v>43308</v></cell><cell r="AB3821" t="str"><v>GBR_gaPMG_CE_AZR_Q1_19_Trial-Social</v></cell><cell r="AC3821"><v>21337013</v></cell><cell r="AD3821"><v>720196</v></cell><cell r="AE3821" t="str"><v>Facebook</v></cell><cell r="AF3821"><v>3654128</v></cell><cell r="AG3821" t="str"><v>Facebook»Audience & Interest Targeting»1x1»SocialBan»LIA»DT»CPC»AUT»W»NA»SS»NA»Benefit 2 in Motion</v></cell><cell r="AH3821"><v>224334170</v></cell><cell r="AI3821" t="str"><v>AzurePlatform_FBCTCcanvaspage-StartFreeCTA-Img2_GBR_1080x143 _SOC_Plat_English_NA_Standard_NA_NA_T2_1</v></cell><cell r="AJ3821"><v>103235146</v></cell></row><row r="3822"><cell r="C3822" t="str"><v>43308Facebook»Audience & Interest Targeting»1x1»SocialBan»LIA»DT»CPC»AUT»W»NA»SS»NA»Brand in Motion</v></cell><cell r="D3822" t="str"><v>43308224549481</v></cell><cell r="E3822" t="str"><v>43308103235146Motion</v></cell><cell r="F3822" t="str"><v>DCM</v></cell><cell r="G3822" t="str"><v>https://signup.azure.com/signup?offer=ms-azr-0044p&appId=102&ref=paidmedia-social-fb&redirectURL=https%3a%2f%2fazure.microsoft.com%2fen-gb%2fget-started%2fwelcome-to-azure%2f&l=en-gb&correlationId=ead86c34-1f10-49dd-a72b-6918462a2cbf</v></cell></row><row r="3822"><cell r="K3822" t="str"><v>July</v></cell><cell r="L3822"><v>43309</v></cell><cell r="M3822" t="str"><v>Tier 1</v></cell><cell r="N3822" t="str"><v>EMEA</v></cell><cell r="O3822" t="str"><v>United Kingdom</v></cell><cell r="P3822" t="str"><v>Trial</v></cell><cell r="Q3822" t="str"><v>Social</v></cell><cell r="R3822" t="str"><v>Azure</v></cell><cell r="S3822" t="str"><v>Apps & Infra</v></cell><cell r="T3822" t="str"><v>Developers & ITI's</v></cell><cell r="U3822" t="str"><v>Audience & Interest Targeting</v></cell><cell r="V3822" t="str"><v>Audience Targeting</v></cell><cell r="W3822" t="str"><v>Link Ad</v></cell><cell r="X3822" t="str"><v>1x1</v></cell></row><row r="3822"><cell r="AA3822"><v>43308</v></cell><cell r="AB3822" t="str"><v>GBR_gaPMG_CE_AZR_Q1_19_Trial-Social</v></cell><cell r="AC3822"><v>21337013</v></cell><cell r="AD3822"><v>720196</v></cell><cell r="AE3822" t="str"><v>Facebook</v></cell><cell r="AF3822"><v>3654128</v></cell><cell r="AG3822" t="str"><v>Facebook»Audience & Interest Targeting»1x1»SocialBan»LIA»DT»CPC»AUT»W»NA»SS»NA»Brand in Motion</v></cell><cell r="AH3822"><v>224549481</v></cell><cell r="AI3822" t="str"><v>AzurePlatform_FBCTCcanvaspage-StartFreeCTA-Img2_GBR_1080x143 _SOC_Plat_English_NA_Standard_NA_NA_T2_1</v></cell><cell r="AJ3822"><v>103235146</v></cell></row><row r="3823"><cell r="C3823" t="str"><v>43308Facebook»Audience & Interest Targeting»1x1»SocialBan»LIA»DT»DYN»AUT»W»NA»SS»NA»Free Account Refresh- 12 months ChE</v></cell><cell r="D3823" t="str"><v>43308223567691</v></cell><cell r="E3823" t="str"><v>43308102854007hs ChE</v></cell><cell r="F3823" t="str"><v>DCM</v></cell><cell r="G3823" t="str"><v>https://azure.microsoft.com/en-gb/free/search/</v></cell></row><row r="3823"><cell r="K3823" t="str"><v>July</v></cell><cell r="L3823"><v>43309</v></cell><cell r="M3823" t="str"><v>Tier 1</v></cell><cell r="N3823" t="str"><v>EMEA</v></cell><cell r="O3823" t="str"><v>United Kingdom</v></cell><cell r="P3823" t="str"><v>Trial</v></cell><cell r="Q3823" t="str"><v>Social</v></cell><cell r="R3823" t="str"><v>Azure</v></cell><cell r="S3823" t="str"><v>Apps & Infra</v></cell><cell r="T3823" t="str"><v>Developers & ITI's</v></cell><cell r="U3823" t="str"><v>Audience & Interest Targeting</v></cell><cell r="V3823" t="str"><v>Audience Targeting</v></cell><cell r="W3823" t="str"><v>Link Ad</v></cell><cell r="X3823" t="str"><v>1x1</v></cell></row><row r="3823"><cell r="AA3823"><v>43308</v></cell><cell r="AB3823" t="str"><v>GBR_gaPMG_CE_AZR_Q1_19_Trial-Social</v></cell><cell r="AC3823"><v>21337013</v></cell><cell r="AD3823"><v>720196</v></cell><cell r="AE3823" t="str"><v>Facebook</v></cell><cell r="AF3823"><v>3654128</v></cell><cell r="AG3823" t="str"><v>Facebook»Audience & Interest Targeting»1x1»SocialBan»LIA»DT»DYN»AUT»W»NA»SS»NA»Free Account Refresh- 12 months ChE</v></cell><cell r="AH3823"><v>223567691</v></cell><cell r="AI3823" t="str"><v>AzurePlatform_FreeAcctAppsFACEBOOK12monthsChE_GBR_1200x628_SOC_PLAT_EN_Trial_Standard_NA_SU_T5_1</v></cell><cell r="AJ3823"><v>102854007</v></cell></row><row r="3824"><cell r="C3824" t="str"><v>43308Facebook»Audience & Interest Targeting»1x1»SocialBan»LIA»DT»DYN»AUT»W»NA»SS»NA»Free Account Refresh- 200 Credit ChD</v></cell><cell r="D3824" t="str"><v>43308223560359</v></cell><cell r="E3824" t="str"><v>43308103005662it ChD</v></cell><cell r="F3824" t="str"><v>DCM</v></cell><cell r="G3824" t="str"><v>https://azure.microsoft.com/en-gb/free/search/</v></cell></row><row r="3824"><cell r="K3824" t="str"><v>July</v></cell><cell r="L3824"><v>43309</v></cell><cell r="M3824" t="str"><v>Tier 1</v></cell><cell r="N3824" t="str"><v>EMEA</v></cell><cell r="O3824" t="str"><v>United Kingdom</v></cell><cell r="P3824" t="str"><v>Trial</v></cell><cell r="Q3824" t="str"><v>Social</v></cell><cell r="R3824" t="str"><v>Azure</v></cell><cell r="S3824" t="str"><v>Apps & Infra</v></cell><cell r="T3824" t="str"><v>Developers & ITI's</v></cell><cell r="U3824" t="str"><v>Audience & Interest Targeting</v></cell><cell r="V3824" t="str"><v>Audience Targeting</v></cell><cell r="W3824" t="str"><v>Link Ad</v></cell><cell r="X3824" t="str"><v>1x1</v></cell></row><row r="3824"><cell r="AA3824"><v>43308</v></cell><cell r="AB3824" t="str"><v>GBR_gaPMG_CE_AZR_Q1_19_Trial-Social</v></cell><cell r="AC3824"><v>21337013</v></cell><cell r="AD3824"><v>720196</v></cell><cell r="AE3824" t="str"><v>Facebook</v></cell><cell r="AF3824"><v>3654128</v></cell><cell r="AG3824" t="str"><v>Facebook»Audience & Interest Targeting»1x1»SocialBan»LIA»DT»DYN»AUT»W»NA»SS»NA»Free Account Refresh- 200 Credit ChD</v></cell><cell r="AH3824"><v>223560359</v></cell><cell r="AI3824" t="str"><v>AzurePlatform_FreeAcctAppsFACEBOOK200CreditChD_GBR_1200x628_SOC_PLAT_EN_Trial_Standard_NA_SU_T4_1</v></cell><cell r="AJ3824"><v>103005662</v></cell></row><row r="3825"><cell r="C3825" t="str"><v>43308Facebook»Audience & Interest Targeting»1x1»SocialBan»LIA»DT»DYN»AUT»W»NA»SS»NA»Free Account Refresh- Device ChB</v></cell><cell r="D3825" t="str"><v>43308223560353</v></cell><cell r="E3825" t="str"><v>43308102854010ce ChB</v></cell><cell r="F3825" t="str"><v>DCM</v></cell><cell r="G3825" t="str"><v>https://azure.microsoft.com/en-gb/free/search/</v></cell></row><row r="3825"><cell r="K3825" t="str"><v>July</v></cell><cell r="L3825"><v>43309</v></cell><cell r="M3825" t="str"><v>Tier 1</v></cell><cell r="N3825" t="str"><v>EMEA</v></cell><cell r="O3825" t="str"><v>United Kingdom</v></cell><cell r="P3825" t="str"><v>Trial</v></cell><cell r="Q3825" t="str"><v>Social</v></cell><cell r="R3825" t="str"><v>Azure</v></cell><cell r="S3825" t="str"><v>Apps & Infra</v></cell><cell r="T3825" t="str"><v>Developers & ITI's</v></cell><cell r="U3825" t="str"><v>Audience & Interest Targeting</v></cell><cell r="V3825" t="str"><v>Audience Targeting</v></cell><cell r="W3825" t="str"><v>Link Ad</v></cell><cell r="X3825" t="str"><v>1x1</v></cell></row><row r="3825"><cell r="AA3825"><v>43308</v></cell><cell r="AB3825" t="str"><v>GBR_gaPMG_CE_AZR_Q1_19_Trial-Social</v></cell><cell r="AC3825"><v>21337013</v></cell><cell r="AD3825"><v>720196</v></cell><cell r="AE3825" t="str"><v>Facebook</v></cell><cell r="AF3825"><v>3654128</v></cell><cell r="AG3825" t="str"><v>Facebook»Audience & Interest Targeting»1x1»SocialBan»LIA»DT»DYN»AUT»W»NA»SS»NA»Free Account Refresh- Device ChB</v></cell><cell r="AH3825"><v>223560353</v></cell><cell r="AI3825" t="str"><v>AzurePlatform_FreeAcctAppsFACEBOOKDeviceChB_GBR_1200x628_SOC_PLAT_EN_Trial_Standard_NA_SU_T2_1</v></cell><cell r="AJ3825"><v>102854010</v></cell></row><row r="3826"><cell r="C3826" t="str"><v>43308Facebook»Audience & Interest Targeting»1x1»SocialBan»LIA»DT»DYN»AUT»W»NA»SS»NA»Free Account Refresh- Illustration ChC</v></cell><cell r="D3826" t="str"><v>43308223560347</v></cell><cell r="E3826" t="str"><v>43308102857037on ChC</v></cell><cell r="F3826" t="str"><v>DCM</v></cell><cell r="G3826" t="str"><v>https://azure.microsoft.com/en-gb/free/search/</v></cell></row><row r="3826"><cell r="K3826" t="str"><v>July</v></cell><cell r="L3826"><v>43309</v></cell><cell r="M3826" t="str"><v>Tier 1</v></cell><cell r="N3826" t="str"><v>EMEA</v></cell><cell r="O3826" t="str"><v>United Kingdom</v></cell><cell r="P3826" t="str"><v>Trial</v></cell><cell r="Q3826" t="str"><v>Social</v></cell><cell r="R3826" t="str"><v>Azure</v></cell><cell r="S3826" t="str"><v>Apps & Infra</v></cell><cell r="T3826" t="str"><v>Developers & ITI's</v></cell><cell r="U3826" t="str"><v>Audience & Interest Targeting</v></cell><cell r="V3826" t="str"><v>Audience Targeting</v></cell><cell r="W3826" t="str"><v>Link Ad</v></cell><cell r="X3826" t="str"><v>1x1</v></cell></row><row r="3826"><cell r="AA3826"><v>43308</v></cell><cell r="AB3826" t="str"><v>GBR_gaPMG_CE_AZR_Q1_19_Trial-Social</v></cell><cell r="AC3826"><v>21337013</v></cell><cell r="AD3826"><v>720196</v></cell><cell r="AE3826" t="str"><v>Facebook</v></cell><cell r="AF3826"><v>3654128</v></cell><cell r="AG3826" t="str"><v>Facebook»Audience & Interest Targeting»1x1»SocialBan»LIA»DT»DYN»AUT»W»NA»SS»NA»Free Account Refresh- Illustration ChC</v></cell><cell r="AH3826"><v>223560347</v></cell><cell r="AI3826" t="str"><v>AzurePlatform_FreeAcctAppsFACEBOOKIllustrationChC_GBR_1200x628_SOC_PLAT_EN_Trial_Standard_NA_SU_T3_1</v></cell><cell r="AJ3826"><v>102857037</v></cell></row><row r="3827"><cell r="C3827" t="str"><v>43308Facebook»Audience & Interest Targeting»1x1»SocialBan»LIA»DT»DYN»AUT»W»NA»SS»NA»Free Account Refresh- Lifestyle ChA</v></cell><cell r="D3827" t="str"><v>43308223560341</v></cell><cell r="E3827" t="str"><v>43308102853597le ChA</v></cell><cell r="F3827" t="str"><v>DCM</v></cell><cell r="G3827" t="str"><v>https://azure.microsoft.com/en-gb/free/search/</v></cell></row><row r="3827"><cell r="K3827" t="str"><v>July</v></cell><cell r="L3827"><v>43309</v></cell><cell r="M3827" t="str"><v>Tier 1</v></cell><cell r="N3827" t="str"><v>EMEA</v></cell><cell r="O3827" t="str"><v>United Kingdom</v></cell><cell r="P3827" t="str"><v>Trial</v></cell><cell r="Q3827" t="str"><v>Social</v></cell><cell r="R3827" t="str"><v>Azure</v></cell><cell r="S3827" t="str"><v>Apps & Infra</v></cell><cell r="T3827" t="str"><v>Developers & ITI's</v></cell><cell r="U3827" t="str"><v>Audience & Interest Targeting</v></cell><cell r="V3827" t="str"><v>Audience Targeting</v></cell><cell r="W3827" t="str"><v>Link Ad</v></cell><cell r="X3827" t="str"><v>1x1</v></cell></row><row r="3827"><cell r="AA3827"><v>43308</v></cell><cell r="AB3827" t="str"><v>GBR_gaPMG_CE_AZR_Q1_19_Trial-Social</v></cell><cell r="AC3827"><v>21337013</v></cell><cell r="AD3827"><v>720196</v></cell><cell r="AE3827" t="str"><v>Facebook</v></cell><cell r="AF3827"><v>3654128</v></cell><cell r="AG3827" t="str"><v>Facebook»Audience & Interest Targeting»1x1»SocialBan»LIA»DT»DYN»AUT»W»NA»SS»NA»Free Account Refresh- Lifestyle ChA</v></cell><cell r="AH3827"><v>223560341</v></cell><cell r="AI3827" t="str"><v>AzurePlatform_FreeAcctAppsFACEBOOKLifestyleChA_GBR_1200x628_SOC_PLAT_EN_Trial_Standard_NA_SU_T1_1</v></cell><cell r="AJ3827"><v>102853597</v></cell></row><row r="3828"><cell r="C3828" t="str"><v>43308Facebook»Retargeting»1x1»SocialBan»LIA»DT»DYN»RT»W»NA»SS»NA»Free Account Retargeting Generic- Animated ChC</v></cell><cell r="D3828" t="str"><v>43308223560299</v></cell><cell r="E3828" t="str"><v>43308102854019ed ChC</v></cell><cell r="F3828" t="str"><v>DCM</v></cell><cell r="G3828" t="str"><v>https://azure.microsoft.com/en-gb/free/search/</v></cell></row><row r="3828"><cell r="K3828" t="str"><v>July</v></cell><cell r="L3828"><v>43309</v></cell><cell r="M3828" t="str"><v>Tier 1</v></cell><cell r="N3828" t="str"><v>EMEA</v></cell><cell r="O3828" t="str"><v>United Kingdom</v></cell><cell r="P3828" t="str"><v>Trial</v></cell><cell r="Q3828" t="str"><v>Social</v></cell><cell r="R3828" t="str"><v>Azure</v></cell><cell r="S3828" t="str"><v>Apps & Infra</v></cell><cell r="T3828" t="str"><v>Developers & ITI's</v></cell><cell r="U3828" t="str"><v>Retargeting</v></cell><cell r="V3828" t="str"><v>Retargeting</v></cell><cell r="W3828" t="str"><v>Link Ad</v></cell><cell r="X3828" t="str"><v>1x1</v></cell></row><row r="3828"><cell r="AA3828"><v>43308</v></cell><cell r="AB3828" t="str"><v>GBR_gaPMG_CE_AZR_Q1_19_Trial-Social</v></cell><cell r="AC3828"><v>21337013</v></cell><cell r="AD3828"><v>720196</v></cell><cell r="AE3828" t="str"><v>Facebook</v></cell><cell r="AF3828"><v>3654128</v></cell><cell r="AG3828" t="str"><v>Facebook»Retargeting»1x1»SocialBan»LIA»DT»DYN»RT»W»NA»SS»NA»Free Account Retargeting Generic- Animated ChC</v></cell><cell r="AH3828"><v>223560299</v></cell><cell r="AI3828" t="str"><v>AzurePlatform_FreeAcctRetargetingFB-Animated-ChC_GBR_1200x628_SOC_Plat_EN_Free Account_Standard_ANI_SU_T3_1</v></cell><cell r="AJ3828"><v>102854019</v></cell></row><row r="3829"><cell r="C3829" t="str"><v>43308Facebook»Retargeting»1x1»SocialBan»LIA»DT»DYN»RT»W»NA»SS»NA»Free Account Retargeting Generic- Global Alt ChB</v></cell><cell r="D3829" t="str"><v>43308223560356</v></cell><cell r="E3829" t="str"><v>43308102854016lt ChB</v></cell><cell r="F3829" t="str"><v>DCM</v></cell><cell r="G3829" t="str"><v>https://azure.microsoft.com/en-gb/free/search/</v></cell></row><row r="3829"><cell r="K3829" t="str"><v>July</v></cell><cell r="L3829"><v>43309</v></cell><cell r="M3829" t="str"><v>Tier 1</v></cell><cell r="N3829" t="str"><v>EMEA</v></cell><cell r="O3829" t="str"><v>United Kingdom</v></cell><cell r="P3829" t="str"><v>Trial</v></cell><cell r="Q3829" t="str"><v>Social</v></cell><cell r="R3829" t="str"><v>Azure</v></cell><cell r="S3829" t="str"><v>Apps & Infra</v></cell><cell r="T3829" t="str"><v>Developers & ITI's</v></cell><cell r="U3829" t="str"><v>Retargeting</v></cell><cell r="V3829" t="str"><v>Retargeting</v></cell><cell r="W3829" t="str"><v>Link Ad</v></cell><cell r="X3829" t="str"><v>1x1</v></cell></row><row r="3829"><cell r="AA3829"><v>43308</v></cell><cell r="AB3829" t="str"><v>GBR_gaPMG_CE_AZR_Q1_19_Trial-Social</v></cell><cell r="AC3829"><v>21337013</v></cell><cell r="AD3829"><v>720196</v></cell><cell r="AE3829" t="str"><v>Facebook</v></cell><cell r="AF3829"><v>3654128</v></cell><cell r="AG3829" t="str"><v>Facebook»Retargeting»1x1»SocialBan»LIA»DT»DYN»RT»W»NA»SS»NA»Free Account Retargeting Generic- Global Alt ChB</v></cell><cell r="AH3829"><v>223560356</v></cell><cell r="AI3829" t="str"><v>AzurePlatform_FreeAcctRetargetingFB-GlobalAlt-ChB_GBR_1200x628_SOC_Plat_EN_Free Account_Standard_NA_SU_T2_1</v></cell><cell r="AJ3829"><v>102854016</v></cell></row><row r="3830"><cell r="C3830" t="str"><v>43308Facebook»Retargeting»1x1»SocialBan»LIA»DT»DYN»RT»W»NA»SS»NA»Free Account Retargeting OSS- Logos ChG</v></cell><cell r="D3830" t="str"><v>43308223560350</v></cell><cell r="E3830" t="str"><v>43308103006547os ChG</v></cell><cell r="F3830" t="str"><v>DCM</v></cell><cell r="G3830" t="str"><v>https://azure.microsoft.com/en-gb/free/open-source/search/</v></cell></row><row r="3830"><cell r="K3830" t="str"><v>July</v></cell><cell r="L3830"><v>43309</v></cell><cell r="M3830" t="str"><v>Tier 1</v></cell><cell r="N3830" t="str"><v>EMEA</v></cell><cell r="O3830" t="str"><v>United Kingdom</v></cell><cell r="P3830" t="str"><v>Trial</v></cell><cell r="Q3830" t="str"><v>Social</v></cell><cell r="R3830" t="str"><v>Azure</v></cell><cell r="S3830" t="str"><v>Apps & Infra</v></cell><cell r="T3830" t="str"><v>Developers & ITI's</v></cell><cell r="U3830" t="str"><v>Retargeting</v></cell><cell r="V3830" t="str"><v>Retargeting</v></cell><cell r="W3830" t="str"><v>Link Ad</v></cell><cell r="X3830" t="str"><v>1x1</v></cell></row><row r="3830"><cell r="AA3830"><v>43308</v></cell><cell r="AB3830" t="str"><v>GBR_gaPMG_CE_AZR_Q1_19_Trial-Social</v></cell><cell r="AC3830"><v>21337013</v></cell><cell r="AD3830"><v>720196</v></cell><cell r="AE3830" t="str"><v>Facebook</v></cell><cell r="AF3830"><v>3654128</v></cell><cell r="AG3830" t="str"><v>Facebook»Retargeting»1x1»SocialBan»LIA»DT»DYN»RT»W»NA»SS»NA»Free Account Retargeting OSS- Logos ChG</v></cell><cell r="AH3830"><v>223560350</v></cell><cell r="AI3830" t="str"><v>AzurePlatform_FreeAcctRetargetingOSSFB-Logos-ChG_GBR_1200x628_SOC_Plat_EN_Free Account_Standard_NA_SU_T2_1</v></cell><cell r="AJ3830"><v>103006547</v></cell></row><row r="3831"><cell r="C3831" t="str"><v>43308Facebook»Retargeting»1x1»SocialBan»LIA»DT»DYN»RT»W»NA»SS»NA»Free Account Retargeting OSS- Text ChF</v></cell><cell r="D3831" t="str"><v>43308223560344</v></cell><cell r="E3831" t="str"><v>43308102861246xt ChF</v></cell><cell r="F3831" t="str"><v>DCM</v></cell><cell r="G3831" t="str"><v>https://azure.microsoft.com/en-gb/free/open-source/search/</v></cell></row><row r="3831"><cell r="K3831" t="str"><v>July</v></cell><cell r="L3831"><v>43309</v></cell><cell r="M3831" t="str"><v>Tier 1</v></cell><cell r="N3831" t="str"><v>EMEA</v></cell><cell r="O3831" t="str"><v>United Kingdom</v></cell><cell r="P3831" t="str"><v>Trial</v></cell><cell r="Q3831" t="str"><v>Social</v></cell><cell r="R3831" t="str"><v>Azure</v></cell><cell r="S3831" t="str"><v>Apps & Infra</v></cell><cell r="T3831" t="str"><v>Developers & ITI's</v></cell><cell r="U3831" t="str"><v>Retargeting</v></cell><cell r="V3831" t="str"><v>Retargeting</v></cell><cell r="W3831" t="str"><v>Link Ad</v></cell><cell r="X3831" t="str"><v>1x1</v></cell></row><row r="3831"><cell r="AA3831"><v>43308</v></cell><cell r="AB3831" t="str"><v>GBR_gaPMG_CE_AZR_Q1_19_Trial-Social</v></cell><cell r="AC3831"><v>21337013</v></cell><cell r="AD3831"><v>720196</v></cell><cell r="AE3831" t="str"><v>Facebook</v></cell><cell r="AF3831"><v>3654128</v></cell><cell r="AG3831" t="str"><v>Facebook»Retargeting»1x1»SocialBan»LIA»DT»DYN»RT»W»NA»SS»NA»Free Account Retargeting OSS- Text ChF</v></cell><cell r="AH3831"><v>223560344</v></cell><cell r="AI3831" t="str"><v>AzurePlatform_FreeAcctRetargetingOSSFB-Text-ChF_GBR_1200x628_SOC_Plat_EN_Free Account_Standard_NA_SU_T1_1</v></cell><cell r="AJ3831"><v>102861246</v></cell></row><row r="3832"><cell r="C3832" t="str"><v>43308Facebook»Retargeting»1x1»SocialBan»LIA»DT»DYN»RT»W»NA»SS»NA»Free Account Retargeting VM- 750 Hrs ChD</v></cell><cell r="D3832" t="str"><v>43308223560338</v></cell><cell r="E3832" t="str"><v>43308102853603rs ChD</v></cell><cell r="F3832" t="str"><v>DCM</v></cell><cell r="G3832" t="str"><v>https://azure.microsoft.com/en-gb/free/virtual-machines/search/</v></cell></row><row r="3832"><cell r="K3832" t="str"><v>July</v></cell><cell r="L3832"><v>43309</v></cell><cell r="M3832" t="str"><v>Tier 1</v></cell><cell r="N3832" t="str"><v>EMEA</v></cell><cell r="O3832" t="str"><v>United Kingdom</v></cell><cell r="P3832" t="str"><v>Trial</v></cell><cell r="Q3832" t="str"><v>Social</v></cell><cell r="R3832" t="str"><v>Azure</v></cell><cell r="S3832" t="str"><v>Apps & Infra</v></cell><cell r="T3832" t="str"><v>Developers & ITI's</v></cell><cell r="U3832" t="str"><v>Retargeting</v></cell><cell r="V3832" t="str"><v>Retargeting</v></cell><cell r="W3832" t="str"><v>Link Ad</v></cell><cell r="X3832" t="str"><v>1x1</v></cell></row><row r="3832"><cell r="AA3832"><v>43308</v></cell><cell r="AB3832" t="str"><v>GBR_gaPMG_CE_AZR_Q1_19_Trial-Social</v></cell><cell r="AC3832"><v>21337013</v></cell><cell r="AD3832"><v>720196</v></cell><cell r="AE3832" t="str"><v>Facebook</v></cell><cell r="AF3832"><v>3654128</v></cell><cell r="AG3832" t="str"><v>Facebook»Retargeting»1x1»SocialBan»LIA»DT»DYN»RT»W»NA»SS»NA»Free Account Retargeting VM- 750 Hrs ChD</v></cell><cell r="AH3832"><v>223560338</v></cell><cell r="AI3832" t="str"><v>AzurePlatform_FreeAcctRetargetingVMFB-750Hrs-ChD_GBR_1200x628_SOC_Plat_EN_Free Account_Standard_NA_SU_T1_1</v></cell><cell r="AJ3832"><v>102853603</v></cell></row><row r="3833"><cell r="C3833" t="str"><v>43308Facebook»Retargeting»1x1»SocialBan»LIA»DT»DYN»RT»W»NA»SS»NA»Free Account Retargeting VM- On Demand ChE</v></cell><cell r="D3833" t="str"><v>43308223560332</v></cell><cell r="E3833" t="str"><v>43308102854037nd ChE</v></cell><cell r="F3833" t="str"><v>DCM</v></cell><cell r="G3833" t="str"><v>https://azure.microsoft.com/en-gb/free/virtual-machines/search/</v></cell></row><row r="3833"><cell r="K3833" t="str"><v>July</v></cell><cell r="L3833"><v>43309</v></cell><cell r="M3833" t="str"><v>Tier 1</v></cell><cell r="N3833" t="str"><v>EMEA</v></cell><cell r="O3833" t="str"><v>United Kingdom</v></cell><cell r="P3833" t="str"><v>Trial</v></cell><cell r="Q3833" t="str"><v>Social</v></cell><cell r="R3833" t="str"><v>Azure</v></cell><cell r="S3833" t="str"><v>Apps & Infra</v></cell><cell r="T3833" t="str"><v>Developers & ITI's</v></cell><cell r="U3833" t="str"><v>Retargeting</v></cell><cell r="V3833" t="str"><v>Retargeting</v></cell><cell r="W3833" t="str"><v>Link Ad</v></cell><cell r="X3833" t="str"><v>1x1</v></cell></row><row r="3833"><cell r="AA3833"><v>43308</v></cell><cell r="AB3833" t="str"><v>GBR_gaPMG_CE_AZR_Q1_19_Trial-Social</v></cell><cell r="AC3833"><v>21337013</v></cell><cell r="AD3833"><v>720196</v></cell><cell r="AE3833" t="str"><v>Facebook</v></cell><cell r="AF3833"><v>3654128</v></cell><cell r="AG3833" t="str"><v>Facebook»Retargeting»1x1»SocialBan»LIA»DT»DYN»RT»W»NA»SS»NA»Free Account Retargeting VM- On Demand ChE</v></cell><cell r="AH3833"><v>223560332</v></cell><cell r="AI3833" t="str"><v>AzurePlatform_FreeAcctRetargetingVMFB-OnDemand-ChE_GBR_1200x628_SOC_Plat_EN_Free Account_Standard_NA_SU_T2_1</v></cell><cell r="AJ3833"><v>102854037</v></cell></row><row r="3834"><cell r="C3834" t="str"><v>43308Facebook»AZP-Canvas-Interest&Role-Trial»1x1»Canvas»OTH»MO»CPM»PRO»X»UNK»TP»OT»Canvas-Trial</v></cell><cell r="D3834" t="str"><v>43308223298805</v></cell><cell r="E3834" t="str"><v>43308102609621-Trial</v></cell><cell r="F3834" t="str"><v>DCM</v></cell><cell r="G3834" t="str"><v>https://signup.azure.com/signup?offer=ms-azr-0044p&appId=102&ref=paidmedia-social-fb&redirectURL=https%3a%2f%2fazure.microsoft.com%2fja-jp%2fget-started%2fwelcome-to-azure%2f&l=ja-jp&correlationId=ead86c34-1f10-49dd-a72b-6918462a2cbf</v></cell></row><row r="3834"><cell r="K3834" t="str"><v>July</v></cell><cell r="L3834"><v>43309</v></cell><cell r="M3834" t="str"><v>Tier 1</v></cell><cell r="N3834" t="str"><v>APAC</v></cell><cell r="O3834" t="str"><v>Japan</v></cell><cell r="P3834" t="str"><v>Trial</v></cell><cell r="Q3834" t="str"><v>Social</v></cell><cell r="R3834" t="str"><v>Azure</v></cell><cell r="S3834" t="str"><v>Apps & Infra</v></cell><cell r="T3834" t="str"><v>Developers & ITI's</v></cell><cell r="U3834" t="str"><v>AZP-Canvas-Interest&Role-Trial</v></cell><cell r="V3834" t="str"><v>Prospecting</v></cell><cell r="W3834" t="str"><v>Other</v></cell><cell r="X3834" t="str"><v>1x1</v></cell></row><row r="3834"><cell r="AA3834"><v>43308</v></cell><cell r="AB3834" t="str"><v>JPN_gaPMG_AZR_AZR_Q1_19_Trial-Social</v></cell><cell r="AC3834"><v>21276694</v></cell><cell r="AD3834"><v>720195</v></cell><cell r="AE3834" t="str"><v>Facebook</v></cell><cell r="AF3834"><v>3654128</v></cell><cell r="AG3834" t="str"><v>Facebook»AZP-Canvas-Interest&Role-Trial»1x1»Canvas»OTH»MO»CPM»PRO»X»UNK»TP»OT»Canvas-Trial</v></cell><cell r="AH3834"><v>223298805</v></cell><cell r="AI3834" t="str"><v>AzurePlatform_FBCTCcanvaspage-StartFreeCTA-Img2_JPN_1080x143 _SOC_Plat_Japanese_NA_Standard_NA_NA_T2_1</v></cell><cell r="AJ3834"><v>102609621</v></cell></row><row r="3835"><cell r="C3835" t="str"><v>43308Facebook»AZP-Canvas-Look a Like-Trial»1x1»Canvas»OTH»MO»CPM»PRO»X»UNK»TP»OT»Canvas-Trial</v></cell><cell r="D3835" t="str"><v>43308223297413</v></cell><cell r="E3835" t="str"><v>43308102609621-Trial</v></cell><cell r="F3835" t="str"><v>DCM</v></cell><cell r="G3835" t="str"><v>https://signup.azure.com/signup?offer=ms-azr-0044p&appId=102&ref=paidmedia-social-fb&redirectURL=https%3a%2f%2fazure.microsoft.com%2fja-jp%2fget-started%2fwelcome-to-azure%2f&l=ja-jp&correlationId=ead86c34-1f10-49dd-a72b-6918462a2cbf</v></cell></row><row r="3835"><cell r="K3835" t="str"><v>July</v></cell><cell r="L3835"><v>43309</v></cell><cell r="M3835" t="str"><v>Tier 1</v></cell><cell r="N3835" t="str"><v>APAC</v></cell><cell r="O3835" t="str"><v>Japan</v></cell><cell r="P3835" t="str"><v>Trial</v></cell><cell r="Q3835" t="str"><v>Social</v></cell><cell r="R3835" t="str"><v>Azure</v></cell><cell r="S3835" t="str"><v>Apps & Infra</v></cell><cell r="T3835" t="str"><v>Developers & ITI's</v></cell><cell r="U3835" t="str"><v>AZP-Canvas-Look a Like-Trial</v></cell><cell r="V3835" t="str"><v>Prospecting</v></cell><cell r="W3835" t="str"><v>Other</v></cell><cell r="X3835" t="str"><v>1x1</v></cell></row><row r="3835"><cell r="AA3835"><v>43308</v></cell><cell r="AB3835" t="str"><v>JPN_gaPMG_AZR_AZR_Q1_19_Trial-Social</v></cell><cell r="AC3835"><v>21276694</v></cell><cell r="AD3835"><v>720195</v></cell><cell r="AE3835" t="str"><v>Facebook</v></cell><cell r="AF3835"><v>3654128</v></cell><cell r="AG3835" t="str"><v>Facebook»AZP-Canvas-Look a Like-Trial»1x1»Canvas»OTH»MO»CPM»PRO»X»UNK»TP»OT»Canvas-Trial</v></cell><cell r="AH3835"><v>223297413</v></cell><cell r="AI3835" t="str"><v>AzurePlatform_FBCTCcanvaspage-StartFreeCTA-Img2_JPN_1080x143 _SOC_Plat_Japanese_NA_Standard_NA_NA_T2_1</v></cell><cell r="AJ3835"><v>102609621</v></cell></row><row r="3836"><cell r="C3836" t="str"><v>43308Facebook»AZP-Retargeting»1x1»Ban»LIA»ALL»CPM»RT»X»All»TP»OT»Free Account Retargeting VM-ChD</v></cell><cell r="D3836" t="str"><v>43308223726374</v></cell><cell r="E3836" t="str"><v>43308102971306VM-ChD</v></cell><cell r="F3836" t="str"><v>DCM</v></cell><cell r="G3836" t="str"><v>https://azure.microsoft.com/ja-jp/free/virtual-machines/search/</v></cell></row><row r="3836"><cell r="K3836" t="str"><v>July</v></cell><cell r="L3836"><v>43309</v></cell><cell r="M3836" t="str"><v>Tier 1</v></cell><cell r="N3836" t="str"><v>APAC</v></cell><cell r="O3836" t="str"><v>Japan</v></cell><cell r="P3836" t="str"><v>Trial</v></cell><cell r="Q3836" t="str"><v>Social</v></cell><cell r="R3836" t="str"><v>Azure</v></cell><cell r="S3836" t="str"><v>Apps & Infra</v></cell><cell r="T3836" t="str"><v>Developers & ITI's</v></cell><cell r="U3836" t="str"><v>AZP-Retargeting</v></cell><cell r="V3836" t="str"><v>Retargeting</v></cell><cell r="W3836" t="str"><v>Link Ad</v></cell><cell r="X3836" t="str"><v>1x1</v></cell></row><row r="3836"><cell r="AA3836"><v>43308</v></cell><cell r="AB3836" t="str"><v>JPN_gaPMG_AZR_AZR_Q1_19_Trial-Social</v></cell><cell r="AC3836"><v>21276694</v></cell><cell r="AD3836"><v>720195</v></cell><cell r="AE3836" t="str"><v>Facebook</v></cell><cell r="AF3836"><v>3654128</v></cell><cell r="AG3836" t="str"><v>Facebook»AZP-Retargeting»1x1»Ban»LIA»ALL»CPM»RT»X»All»TP»OT»Free Account Retargeting VM-ChD</v></cell><cell r="AH3836"><v>223726374</v></cell><cell r="AI3836" t="str"><v>AzurePlatform_FreeAcctRetargetingVMFB-750Hrs-ChD_JPN_1200x628_SOC_Plat_JA_Free Account_Standard_NA_SU_T1_1</v></cell><cell r="AJ3836"><v>102971306</v></cell></row><row r="3837"><cell r="C3837" t="str"><v>43308Facebook»AZP-Retargeting»1x1»Canvas»OTH»MO»CPM»RT»W»UNK»TP»OT»Trial-Basicmotion</v></cell><cell r="D3837" t="str"><v>43308223298811</v></cell><cell r="E3837" t="str"><v>43308102773984motion</v></cell><cell r="F3837" t="str"><v>DCM</v></cell><cell r="G3837" t="str"><v>https://azure.microsoft.com/ja-jp/free/search/</v></cell></row><row r="3837"><cell r="K3837" t="str"><v>July</v></cell><cell r="L3837"><v>43309</v></cell><cell r="M3837" t="str"><v>Tier 1</v></cell><cell r="N3837" t="str"><v>APAC</v></cell><cell r="O3837" t="str"><v>Japan</v></cell><cell r="P3837" t="str"><v>Trial</v></cell><cell r="Q3837" t="str"><v>Social</v></cell><cell r="R3837" t="str"><v>Azure</v></cell><cell r="S3837" t="str"><v>Apps & Infra</v></cell><cell r="T3837" t="str"><v>Developers & ITI's</v></cell><cell r="U3837" t="str"><v>AZP-Retargeting</v></cell><cell r="V3837" t="str"><v>Retargeting</v></cell><cell r="W3837" t="str"><v>Other</v></cell><cell r="X3837" t="str"><v>1x1</v></cell></row><row r="3837"><cell r="AA3837"><v>43308</v></cell><cell r="AB3837" t="str"><v>JPN_gaPMG_AZR_AZR_Q1_19_Trial-Social</v></cell><cell r="AC3837"><v>21276694</v></cell><cell r="AD3837"><v>720195</v></cell><cell r="AE3837" t="str"><v>Facebook</v></cell><cell r="AF3837"><v>3654128</v></cell><cell r="AG3837" t="str"><v>Facebook»AZP-Retargeting»1x1»Canvas»OTH»MO»CPM»RT»W»UNK»TP»OT»Trial-Basicmotion</v></cell><cell r="AH3837"><v>223298811</v></cell><cell r="AI3837" t="str"><v>AzurePlatform_FBCTCBasicMotion_JPN_10sec_ISV_PLAT_JA_Trial_Standard_STAN_TN_T1_1</v></cell><cell r="AJ3837"><v>102773984</v></cell></row><row r="3838"><cell r="C3838" t="str"><v>43308FACEBOOK»USA-Trial-ITD-Interest Prospecting-AZR-AZR»1 x 1»SocialBan»CAN»ALL»CPA»PRO»X»NA»SS»NA»FBCTCBasicMotion»PRC1SV</v></cell><cell r="D3838" t="str"><v>43308223934062</v></cell><cell r="E3838" t="str"><v>43308103043823PRC1SV</v></cell><cell r="F3838" t="str"><v>DCM</v></cell><cell r="G3838" t="str"><v>https://signup.azure.com/?OCID=AID%eexcid!_OLA_%ebuy!_%epid!_%ecid!</v></cell></row><row r="3838"><cell r="K3838" t="str"><v>July</v></cell><cell r="L3838"><v>43309</v></cell><cell r="M3838" t="str"><v>Tier 0</v></cell><cell r="N3838" t="str"><v>North America</v></cell><cell r="O3838" t="str"><v>United States</v></cell><cell r="P3838" t="str"><v>Trial</v></cell><cell r="Q3838" t="str"><v>Social</v></cell><cell r="R3838" t="str"><v>Azure</v></cell><cell r="S3838" t="str"><v>Apps & Infra</v></cell><cell r="T3838" t="str"><v>Developers & ITI's</v></cell><cell r="U3838" t="str"><v>USA-Trial-ITD-Interest Prospecting-AZR-AZR</v></cell><cell r="V3838" t="str"><v>Prospecting</v></cell><cell r="W3838" t="str"><v>Canvas Ad</v></cell><cell r="X3838" t="str"><v>1x1</v></cell></row><row r="3838"><cell r="AA3838"><v>43308</v></cell><cell r="AB3838" t="str"><v>USA_gaPMG_AZR_AZR_Q1_19_Direct-Social</v></cell><cell r="AC3838"><v>21358715</v></cell><cell r="AD3838"><v>720197</v></cell><cell r="AE3838" t="str"><v>Facebook</v></cell><cell r="AF3838"><v>3654128</v></cell><cell r="AG3838" t="str"><v>FACEBOOK»USA-Trial-ITD-Interest Prospecting-AZR-AZR»1 x 1»SocialBan»CAN»ALL»CPA»PRO»X»NA»SS»NA»FBCTCBasicMotion»PRC1SV</v></cell><cell r="AH3838"><v>223934062</v></cell><cell r="AI3838" t="str"><v>AzurePlatform_FBCTCBasicMotion_USA_10s_CAN_PLATFORM_English_Trial_Standard_STAN_TIN_T1_1</v></cell><cell r="AJ3838"><v>103043823</v></cell></row><row r="3839"><cell r="C3839" t="str"><v>43308FACEBOOK»USA-Trial-ITD-Interest Prospecting-AZR-AZR»1 x 1»SocialBan»CAN»ALL»CPA»PRO»X»NA»SS»NA»FBCTCBasicMotion»PRC1SV</v></cell><cell r="D3839" t="str"><v>43308223934062</v></cell><cell r="E3839" t="str"><v>43308103175984PRC1SV</v></cell><cell r="F3839" t="str"><v>DCM</v></cell><cell r="G3839" t="str"><v>https://azure.microsoft.com/en-us/pricing/purchase-options/?v=18.19&OCID=AID%eexcid!_OLA_%ebuy!_%epid!_%ecid!</v></cell></row><row r="3839"><cell r="K3839" t="str"><v>July</v></cell><cell r="L3839"><v>43309</v></cell><cell r="M3839" t="str"><v>Tier 0</v></cell><cell r="N3839" t="str"><v>North America</v></cell><cell r="O3839" t="str"><v>United States</v></cell><cell r="P3839" t="str"><v>Trial</v></cell><cell r="Q3839" t="str"><v>Social</v></cell><cell r="R3839" t="str"><v>Azure</v></cell><cell r="S3839" t="str"><v>Apps & Infra</v></cell><cell r="T3839" t="str"><v>Developers & ITI's</v></cell><cell r="U3839" t="str"><v>USA-Trial-ITD-Interest Prospecting-AZR-AZR</v></cell><cell r="V3839" t="str"><v>Prospecting</v></cell><cell r="W3839" t="str"><v>Canvas Ad</v></cell><cell r="X3839" t="str"><v>1x1</v></cell></row><row r="3839"><cell r="AA3839"><v>43308</v></cell><cell r="AB3839" t="str"><v>USA_gaPMG_AZR_AZR_Q1_19_Direct-Social</v></cell><cell r="AC3839"><v>21358715</v></cell><cell r="AD3839"><v>720197</v></cell><cell r="AE3839" t="str"><v>Facebook</v></cell><cell r="AF3839"><v>3654128</v></cell><cell r="AG3839" t="str"><v>FACEBOOK»USA-Trial-ITD-Interest Prospecting-AZR-AZR»1 x 1»SocialBan»CAN»ALL»CPA»PRO»X»NA»SS»NA»FBCTCBasicMotion»PRC1SV</v></cell><cell r="AH3839"><v>223934062</v></cell><cell r="AI3839" t="str"><v>AzurePlatform_FBCTCBasicMotion_USA_10s_CAN_PLATFORM_English_Trial_Standard_STAN_TIN_T1_2</v></cell><cell r="AJ3839"><v>103175984</v></cell></row><row r="3840"><cell r="C3840" t="str"><v>43308FACEBOOK»USA-Trial-ITD-Interest Prospecting-AZR-AZR»1 x 1»SocialBan»CAN»ALL»CPA»PRO»X»NA»SS»NA»FBCTCBenefit2inMotion»PRC1SW</v></cell><cell r="D3840" t="str"><v>43308223933138</v></cell><cell r="E3840" t="str"><v>43308103043835PRC1SW</v></cell><cell r="F3840" t="str"><v>DCM</v></cell><cell r="G3840" t="str"><v>https://signup.azure.com/?OCID=AID%eexcid!_OLA_%ebuy!_%epid!_%ecid!</v></cell></row><row r="3840"><cell r="K3840" t="str"><v>July</v></cell><cell r="L3840"><v>43309</v></cell><cell r="M3840" t="str"><v>Tier 0</v></cell><cell r="N3840" t="str"><v>North America</v></cell><cell r="O3840" t="str"><v>United States</v></cell><cell r="P3840" t="str"><v>Trial</v></cell><cell r="Q3840" t="str"><v>Social</v></cell><cell r="R3840" t="str"><v>Azure</v></cell><cell r="S3840" t="str"><v>Apps & Infra</v></cell><cell r="T3840" t="str"><v>Developers & ITI's</v></cell><cell r="U3840" t="str"><v>USA-Trial-ITD-Interest Prospecting-AZR-AZR</v></cell><cell r="V3840" t="str"><v>Prospecting</v></cell><cell r="W3840" t="str"><v>Canvas Ad</v></cell><cell r="X3840" t="str"><v>1x1</v></cell></row><row r="3840"><cell r="AA3840"><v>43308</v></cell><cell r="AB3840" t="str"><v>USA_gaPMG_AZR_AZR_Q1_19_Direct-Social</v></cell><cell r="AC3840"><v>21358715</v></cell><cell r="AD3840"><v>720197</v></cell><cell r="AE3840" t="str"><v>Facebook</v></cell><cell r="AF3840"><v>3654128</v></cell><cell r="AG3840" t="str"><v>FACEBOOK»USA-Trial-ITD-Interest Prospecting-AZR-AZR»1 x 1»SocialBan»CAN»ALL»CPA»PRO»X»NA»SS»NA»FBCTCBenefit2inMotion»PRC1SW</v></cell><cell r="AH3840"><v>223933138</v></cell><cell r="AI3840" t="str"><v>AzurePlatform_FBCTCBenefit2inMotion_USA_10s_CAN_PLATFORM_English_Trial_Standard_STAN_TIN_T4_1</v></cell><cell r="AJ3840"><v>103043835</v></cell></row><row r="3841"><cell r="C3841" t="str"><v>43308FACEBOOK»USA-Trial-ITD-Interest Prospecting-AZR-AZR»1 x 1»SocialBan»CAN»ALL»CPA»PRO»X»NA»SS»NA»FBCTCBenefit2inMotion»PRC1SW</v></cell><cell r="D3841" t="str"><v>43308223933138</v></cell><cell r="E3841" t="str"><v>43308103178645PRC1SW</v></cell><cell r="F3841" t="str"><v>DCM</v></cell><cell r="G3841" t="str"><v>https://azure.microsoft.com/en-us/pricing/purchase-options/?v=18.19&OCID=AID%eexcid!_OLA_%ebuy!_%epid!_%ecid!</v></cell></row><row r="3841"><cell r="K3841" t="str"><v>July</v></cell><cell r="L3841"><v>43309</v></cell><cell r="M3841" t="str"><v>Tier 0</v></cell><cell r="N3841" t="str"><v>North America</v></cell><cell r="O3841" t="str"><v>United States</v></cell><cell r="P3841" t="str"><v>Trial</v></cell><cell r="Q3841" t="str"><v>Social</v></cell><cell r="R3841" t="str"><v>Azure</v></cell><cell r="S3841" t="str"><v>Apps & Infra</v></cell><cell r="T3841" t="str"><v>Developers & ITI's</v></cell><cell r="U3841" t="str"><v>USA-Trial-ITD-Interest Prospecting-AZR-AZR</v></cell><cell r="V3841" t="str"><v>Prospecting</v></cell><cell r="W3841" t="str"><v>Canvas Ad</v></cell><cell r="X3841" t="str"><v>1x1</v></cell></row><row r="3841"><cell r="AA3841"><v>43308</v></cell><cell r="AB3841" t="str"><v>USA_gaPMG_AZR_AZR_Q1_19_Direct-Social</v></cell><cell r="AC3841"><v>21358715</v></cell><cell r="AD3841"><v>720197</v></cell><cell r="AE3841" t="str"><v>Facebook</v></cell><cell r="AF3841"><v>3654128</v></cell><cell r="AG3841" t="str"><v>FACEBOOK»USA-Trial-ITD-Interest Prospecting-AZR-AZR»1 x 1»SocialBan»CAN»ALL»CPA»PRO»X»NA»SS»NA»FBCTCBenefit2inMotion»PRC1SW</v></cell><cell r="AH3841"><v>223933138</v></cell><cell r="AI3841" t="str"><v>AzurePlatform_FBCTCBenefit2inMotion_USA_10s_CAN_PLATFORM_English_Trial_Standard_STAN_TIN_T4_2</v></cell><cell r="AJ3841"><v>103178645</v></cell></row><row r="3842"><cell r="C3842" t="str"><v>43308FACEBOOK»USA-Trial-ITD-Interest Prospecting-AZR-AZR»1 x 1»SocialBan»CAN»ALL»CPA»PRO»X»NA»SS»NA»FBCTCBrandinMotion»PRC1SY</v></cell><cell r="D3842" t="str"><v>43308224104929</v></cell><cell r="E3842" t="str"><v>43308103176812PRC1SY</v></cell><cell r="F3842" t="str"><v>DCM</v></cell><cell r="G3842" t="str"><v>https://signup.azure.com/?OCID=AID%eexcid!_OLA_%ebuy!_%epid!_%ecid!</v></cell></row><row r="3842"><cell r="K3842" t="str"><v>July</v></cell><cell r="L3842"><v>43309</v></cell><cell r="M3842" t="str"><v>Tier 0</v></cell><cell r="N3842" t="str"><v>North America</v></cell><cell r="O3842" t="str"><v>United States</v></cell><cell r="P3842" t="str"><v>Trial</v></cell><cell r="Q3842" t="str"><v>Social</v></cell><cell r="R3842" t="str"><v>Azure</v></cell><cell r="S3842" t="str"><v>Apps & Infra</v></cell><cell r="T3842" t="str"><v>Developers & ITI's</v></cell><cell r="U3842" t="str"><v>USA-Trial-ITD-Interest Prospecting-AZR-AZR</v></cell><cell r="V3842" t="str"><v>Prospecting</v></cell><cell r="W3842" t="str"><v>Canvas Ad</v></cell><cell r="X3842" t="str"><v>1x1</v></cell></row><row r="3842"><cell r="AA3842"><v>43308</v></cell><cell r="AB3842" t="str"><v>USA_gaPMG_AZR_AZR_Q1_19_Direct-Social</v></cell><cell r="AC3842"><v>21358715</v></cell><cell r="AD3842"><v>720197</v></cell><cell r="AE3842" t="str"><v>Facebook</v></cell><cell r="AF3842"><v>3654128</v></cell><cell r="AG3842" t="str"><v>FACEBOOK»USA-Trial-ITD-Interest Prospecting-AZR-AZR»1 x 1»SocialBan»CAN»ALL»CPA»PRO»X»NA»SS»NA»FBCTCBrandinMotion»PRC1SY</v></cell><cell r="AH3842"><v>224104929</v></cell><cell r="AI3842" t="str"><v>AzurePlatform_FBCTCBrandinMotion_USA_10s_CAN_PLATFORM_English_Trial_Standard_STAN_TIN_T2_1</v></cell><cell r="AJ3842"><v>103176812</v></cell></row><row r="3843"><cell r="C3843" t="str"><v>43308FACEBOOK»USA-Trial-ITD-Interest Prospecting-AZR-AZR»1 x 1»SocialBan»CAN»ALL»CPA»PRO»X»NA»SS»NA»FBCTCBrandinMotion»PRC1SY</v></cell><cell r="D3843" t="str"><v>43308224104929</v></cell><cell r="E3843" t="str"><v>43308103032823PRC1SY</v></cell><cell r="F3843" t="str"><v>DCM</v></cell><cell r="G3843" t="str"><v>https://azure.microsoft.com/en-us/pricing/purchase-options/?v=18.19&OCID=AID%eexcid!_OLA_%ebuy!_%epid!_%ecid!</v></cell></row><row r="3843"><cell r="K3843" t="str"><v>July</v></cell><cell r="L3843"><v>43309</v></cell><cell r="M3843" t="str"><v>Tier 0</v></cell><cell r="N3843" t="str"><v>North America</v></cell><cell r="O3843" t="str"><v>United States</v></cell><cell r="P3843" t="str"><v>Trial</v></cell><cell r="Q3843" t="str"><v>Social</v></cell><cell r="R3843" t="str"><v>Azure</v></cell><cell r="S3843" t="str"><v>Apps & Infra</v></cell><cell r="T3843" t="str"><v>Developers & ITI's</v></cell><cell r="U3843" t="str"><v>USA-Trial-ITD-Interest Prospecting-AZR-AZR</v></cell><cell r="V3843" t="str"><v>Prospecting</v></cell><cell r="W3843" t="str"><v>Canvas Ad</v></cell><cell r="X3843" t="str"><v>1x1</v></cell></row><row r="3843"><cell r="AA3843"><v>43308</v></cell><cell r="AB3843" t="str"><v>USA_gaPMG_AZR_AZR_Q1_19_Direct-Social</v></cell><cell r="AC3843"><v>21358715</v></cell><cell r="AD3843"><v>720197</v></cell><cell r="AE3843" t="str"><v>Facebook</v></cell><cell r="AF3843"><v>3654128</v></cell><cell r="AG3843" t="str"><v>FACEBOOK»USA-Trial-ITD-Interest Prospecting-AZR-AZR»1 x 1»SocialBan»CAN»ALL»CPA»PRO»X»NA»SS»NA»FBCTCBrandinMotion»PRC1SY</v></cell><cell r="AH3843"><v>224104929</v></cell><cell r="AI3843" t="str"><v>AzurePlatform_FBCTCBrandinMotion_USA_10s_CAN_PLATFORM_English_Trial_Standard_STAN_TIN_T2_2</v></cell><cell r="AJ3843"><v>103032823</v></cell></row><row r="3844"><cell r="C3844" t="str"><v>43308FACEBOOK»USA-Trial-ITD-Interest Prospecting-AZR-AZR»1 x 1»SocialBan»LIA»ALL»CPA»PRO»X»NA»SS»NA»FreeAcctDeveloperFB-AnimatedGeneric-Ch1»PRC1SZ</v></cell><cell r="D3844" t="str"><v>43308224104932</v></cell><cell r="E3844" t="str"><v>43308103176851PRC1SZ</v></cell><cell r="F3844" t="str"><v>DCM</v></cell><cell r="G3844" t="str"><v>https://azure.microsoft.com/en-us/free/search/?OCID=AID%eexcid!_OLA_%ebuy!_%epid!_%ecid!</v></cell></row><row r="3844"><cell r="K3844" t="str"><v>July</v></cell><cell r="L3844"><v>43309</v></cell><cell r="M3844" t="str"><v>Tier 0</v></cell><cell r="N3844" t="str"><v>North America</v></cell><cell r="O3844" t="str"><v>United States</v></cell><cell r="P3844" t="str"><v>Trial</v></cell><cell r="Q3844" t="str"><v>Social</v></cell><cell r="R3844" t="str"><v>Azure</v></cell><cell r="S3844" t="str"><v>Apps & Infra</v></cell><cell r="T3844" t="str"><v>Developers & ITI's</v></cell><cell r="U3844" t="str"><v>USA-Trial-ITD-Interest Prospecting-AZR-AZR</v></cell><cell r="V3844" t="str"><v>Prospecting</v></cell><cell r="W3844" t="str"><v>Link Ad</v></cell><cell r="X3844" t="str"><v>1x1</v></cell></row><row r="3844"><cell r="AA3844"><v>43308</v></cell><cell r="AB3844" t="str"><v>USA_gaPMG_AZR_AZR_Q1_19_Direct-Social</v></cell><cell r="AC3844"><v>21358715</v></cell><cell r="AD3844"><v>720197</v></cell><cell r="AE3844" t="str"><v>Facebook</v></cell><cell r="AF3844"><v>3654128</v></cell><cell r="AG3844" t="str"><v>FACEBOOK»USA-Trial-ITD-Interest Prospecting-AZR-AZR»1 x 1»SocialBan»LIA»ALL»CPA»PRO»X»NA»SS»NA»FreeAcctDeveloperFB-AnimatedGeneric-Ch1»PRC1SZ</v></cell><cell r="AH3844"><v>224104932</v></cell><cell r="AI3844" t="str"><v>AZR_FreeAcctDeveloperFB-AnimatedGeneric-Ch1_USA_1200x1200_CAN_Direct_English_Trial_Standard_ANI_LEA_T1_2</v></cell><cell r="AJ3844"><v>103176851</v></cell></row><row r="3845"><cell r="C3845" t="str"><v>43308FACEBOOK»USA-Trial-ITD-Interest Prospecting-AZR-AZR»1 x 1»SocialBan»LIA»ALL»CPA»PRO»X»NA»SS»NA»FreeAcctDeveloperFB-AnimatedGeneric-Ch1»PRC1T0</v></cell><cell r="D3845" t="str"><v>43308223934065</v></cell><cell r="E3845" t="str"><v>43308103176851PRC1T0</v></cell><cell r="F3845" t="str"><v>DCM</v></cell><cell r="G3845" t="str"><v>https://azure.microsoft.com/en-us/free/search/?OCID=AID%eexcid!_OLA_%ebuy!_%epid!_%ecid!</v></cell></row><row r="3845"><cell r="K3845" t="str"><v>July</v></cell><cell r="L3845"><v>43309</v></cell><cell r="M3845" t="str"><v>Tier 0</v></cell><cell r="N3845" t="str"><v>North America</v></cell><cell r="O3845" t="str"><v>United States</v></cell><cell r="P3845" t="str"><v>Trial</v></cell><cell r="Q3845" t="str"><v>Social</v></cell><cell r="R3845" t="str"><v>Azure</v></cell><cell r="S3845" t="str"><v>Apps & Infra</v></cell><cell r="T3845" t="str"><v>Developers & ITI's</v></cell><cell r="U3845" t="str"><v>USA-Trial-ITD-Interest Prospecting-AZR-AZR</v></cell><cell r="V3845" t="str"><v>Prospecting</v></cell><cell r="W3845" t="str"><v>Link Ad</v></cell><cell r="X3845" t="str"><v>1x1</v></cell></row><row r="3845"><cell r="AA3845"><v>43308</v></cell><cell r="AB3845" t="str"><v>USA_gaPMG_AZR_AZR_Q1_19_Direct-Social</v></cell><cell r="AC3845"><v>21358715</v></cell><cell r="AD3845"><v>720197</v></cell><cell r="AE3845" t="str"><v>Facebook</v></cell><cell r="AF3845"><v>3654128</v></cell><cell r="AG3845" t="str"><v>FACEBOOK»USA-Trial-ITD-Interest Prospecting-AZR-AZR»1 x 1»SocialBan»LIA»ALL»CPA»PRO»X»NA»SS»NA»FreeAcctDeveloperFB-AnimatedGeneric-Ch1»PRC1T0</v></cell><cell r="AH3845"><v>223934065</v></cell><cell r="AI3845" t="str"><v>AZR_FreeAcctDeveloperFB-AnimatedGeneric-Ch1_USA_1200x1200_CAN_Direct_English_Trial_Standard_ANI_LEA_T1_2</v></cell><cell r="AJ3845"><v>103176851</v></cell></row><row r="3846"><cell r="C3846" t="str"><v>43308FACEBOOK»USA-Trial-ITD-Interest Prospecting-AZR-AZR»1 x 1»SocialBan»LIA»ALL»CPA»PRO»X»NA»SS»NA»FreeAcctITProFB-AnimatedHybrid-Ch2»PRC1T5</v></cell><cell r="D3846" t="str"><v>43308223862882</v></cell><cell r="E3846" t="str"><v>43308103180583PRC1T5</v></cell><cell r="F3846" t="str"><v>DCM</v></cell></row><row r="3846"><cell r="K3846" t="str"><v>July</v></cell><cell r="L3846"><v>43309</v></cell><cell r="M3846" t="str"><v>Tier 0</v></cell><cell r="N3846" t="str"><v>North America</v></cell><cell r="O3846" t="str"><v>United States</v></cell><cell r="P3846" t="str"><v>Trial</v></cell><cell r="Q3846" t="str"><v>Social</v></cell><cell r="R3846" t="str"><v>Azure</v></cell><cell r="S3846" t="str"><v>Apps & Infra</v></cell><cell r="T3846" t="str"><v>Developers & ITI's</v></cell><cell r="U3846" t="str"><v>USA-Trial-ITD-Interest Prospecting-AZR-AZR</v></cell><cell r="V3846" t="str"><v>Prospecting</v></cell><cell r="W3846" t="str"><v>Link Ad</v></cell><cell r="X3846" t="str"><v>1x1</v></cell></row><row r="3846"><cell r="AA3846"><v>43308</v></cell><cell r="AB3846" t="str"><v>USA_gaPMG_AZR_AZR_Q1_19_Direct-Social</v></cell><cell r="AC3846"><v>21358715</v></cell><cell r="AD3846"><v>720197</v></cell><cell r="AE3846" t="str"><v>Facebook</v></cell><cell r="AF3846"><v>3654128</v></cell><cell r="AG3846" t="str"><v>FACEBOOK»USA-Trial-ITD-Interest Prospecting-AZR-AZR»1 x 1»SocialBan»LIA»ALL»CPA»PRO»X»NA»SS»NA»FreeAcctITProFB-AnimatedHybrid-Ch2»PRC1T5</v></cell><cell r="AH3846"><v>223862882</v></cell><cell r="AI3846" t="str"><v>AZR_FreeAcctITProFB-AnimatedHybrid-Ch2_USA_1200x1200_CAN_Direct_English_Trial_Standard_ANI_LEA_T2_2</v></cell><cell r="AJ3846"><v>103180583</v></cell></row><row r="3847"><cell r="C3847" t="str"><v>43308FACEBOOK»USA-Trial-ITD-Interest Prospecting-AZR-AZR»1 x 1»SocialBan»LIA»ALL»CPA»PRO»X»NA»SS»NA»FreeAcctITProFB-AnimatedSecureMngd-Ch1»PRC1T4</v></cell><cell r="D3847" t="str"><v>43308224104914</v></cell><cell r="E3847" t="str"><v>43308103176830PRC1T4</v></cell><cell r="F3847" t="str"><v>DCM</v></cell></row><row r="3847"><cell r="K3847" t="str"><v>July</v></cell><cell r="L3847"><v>43309</v></cell><cell r="M3847" t="str"><v>Tier 0</v></cell><cell r="N3847" t="str"><v>North America</v></cell><cell r="O3847" t="str"><v>United States</v></cell><cell r="P3847" t="str"><v>Trial</v></cell><cell r="Q3847" t="str"><v>Social</v></cell><cell r="R3847" t="str"><v>Azure</v></cell><cell r="S3847" t="str"><v>Apps & Infra</v></cell><cell r="T3847" t="str"><v>Developers & ITI's</v></cell><cell r="U3847" t="str"><v>USA-Trial-ITD-Interest Prospecting-AZR-AZR</v></cell><cell r="V3847" t="str"><v>Prospecting</v></cell><cell r="W3847" t="str"><v>Link Ad</v></cell><cell r="X3847" t="str"><v>1x1</v></cell></row><row r="3847"><cell r="AA3847"><v>43308</v></cell><cell r="AB3847" t="str"><v>USA_gaPMG_AZR_AZR_Q1_19_Direct-Social</v></cell><cell r="AC3847"><v>21358715</v></cell><cell r="AD3847"><v>720197</v></cell><cell r="AE3847" t="str"><v>Facebook</v></cell><cell r="AF3847"><v>3654128</v></cell><cell r="AG3847" t="str"><v>FACEBOOK»USA-Trial-ITD-Interest Prospecting-AZR-AZR»1 x 1»SocialBan»LIA»ALL»CPA»PRO»X»NA»SS»NA»FreeAcctITProFB-AnimatedSecureMngd-Ch1»PRC1T4</v></cell><cell r="AH3847"><v>224104914</v></cell><cell r="AI3847" t="str"><v>AZR_FreeAcctITProFB-AnimatedSecureMngd-Ch1_USA_1200x1200_CAN_Direct_English_Trial_Standard_ANI_LEA_T1_1</v></cell><cell r="AJ3847"><v>103176830</v></cell></row><row r="3848"><cell r="C3848" t="str"><v>43308FACEBOOK»USA-Trial-ITD-Retargeting-AZR-AZR»1 x 1»SocialBan»LIA»ALL»CPA»RT»X»NA»SS»NA»FreeAcctDeveloperFB-AnimatedAI-Ch3»PRC26H</v></cell><cell r="D3848" t="str"><v>43308223863371</v></cell><cell r="E3848" t="str"><v>43308103032778PRC26H</v></cell><cell r="F3848" t="str"><v>DCM</v></cell></row><row r="3848"><cell r="K3848" t="str"><v>July</v></cell><cell r="L3848"><v>43309</v></cell><cell r="M3848" t="str"><v>Tier 0</v></cell><cell r="N3848" t="str"><v>North America</v></cell><cell r="O3848" t="str"><v>United States</v></cell><cell r="P3848" t="str"><v>Trial</v></cell><cell r="Q3848" t="str"><v>Social</v></cell><cell r="R3848" t="str"><v>Azure</v></cell><cell r="S3848" t="str"><v>Apps & Infra</v></cell><cell r="T3848" t="str"><v>Developers & ITI's</v></cell><cell r="U3848" t="str"><v>USA-Trial-ITD-Retargeting-AZR-AZR</v></cell><cell r="V3848" t="str"><v>Retargeting</v></cell><cell r="W3848" t="str"><v>Link Ad</v></cell><cell r="X3848" t="str"><v>1x1</v></cell></row><row r="3848"><cell r="AA3848"><v>43308</v></cell><cell r="AB3848" t="str"><v>USA_gaPMG_AZR_AZR_Q1_19_Direct-Social</v></cell><cell r="AC3848"><v>21358715</v></cell><cell r="AD3848"><v>720197</v></cell><cell r="AE3848" t="str"><v>Facebook</v></cell><cell r="AF3848"><v>3654128</v></cell><cell r="AG3848" t="str"><v>FACEBOOK»USA-Trial-ITD-Retargeting-AZR-AZR»1 x 1»SocialBan»LIA»ALL»CPA»RT»X»NA»SS»NA»FreeAcctDeveloperFB-AnimatedAI-Ch3»PRC26H</v></cell><cell r="AH3848"><v>223863371</v></cell><cell r="AI3848" t="str"><v>AZR_FreeAcctDeveloperFB-AnimatedAI-Ch3_USA_1200x1200_CAN_Direct_English_Trial_Standard_ANI_LEA_T3_1</v></cell><cell r="AJ3848"><v>103032778</v></cell></row><row r="3849"><cell r="C3849" t="str"><v>43308FACEBOOK»USA-Trial-ITD-Retargeting-AZR-AZR»1 x 1»SocialBan»LIA»ALL»CPA»RT»X»NA»SS»NA»FreeAcctDeveloperFB-AnimatedData-Ch4»PRC26J</v></cell><cell r="D3849" t="str"><v>43308224106078</v></cell><cell r="E3849" t="str"><v>43308103037935PRC26J</v></cell><cell r="F3849" t="str"><v>DCM</v></cell></row><row r="3849"><cell r="K3849" t="str"><v>July</v></cell><cell r="L3849"><v>43309</v></cell><cell r="M3849" t="str"><v>Tier 0</v></cell><cell r="N3849" t="str"><v>North America</v></cell><cell r="O3849" t="str"><v>United States</v></cell><cell r="P3849" t="str"><v>Trial</v></cell><cell r="Q3849" t="str"><v>Social</v></cell><cell r="R3849" t="str"><v>Azure</v></cell><cell r="S3849" t="str"><v>Apps & Infra</v></cell><cell r="T3849" t="str"><v>Developers & ITI's</v></cell><cell r="U3849" t="str"><v>USA-Trial-ITD-Retargeting-AZR-AZR</v></cell><cell r="V3849" t="str"><v>Retargeting</v></cell><cell r="W3849" t="str"><v>Link Ad</v></cell><cell r="X3849" t="str"><v>1x1</v></cell></row><row r="3849"><cell r="AA3849"><v>43308</v></cell><cell r="AB3849" t="str"><v>USA_gaPMG_AZR_AZR_Q1_19_Direct-Social</v></cell><cell r="AC3849"><v>21358715</v></cell><cell r="AD3849"><v>720197</v></cell><cell r="AE3849" t="str"><v>Facebook</v></cell><cell r="AF3849"><v>3654128</v></cell><cell r="AG3849" t="str"><v>FACEBOOK»USA-Trial-ITD-Retargeting-AZR-AZR»1 x 1»SocialBan»LIA»ALL»CPA»RT»X»NA»SS»NA»FreeAcctDeveloperFB-AnimatedData-Ch4»PRC26J</v></cell><cell r="AH3849"><v>224106078</v></cell><cell r="AI3849" t="str"><v>AZR_FreeAcctDeveloperFB-AnimatedData-Ch4_USA_1200x1200_CAN_Direct_English_Trial_Standard_ANI_LEA_T4_2</v></cell><cell r="AJ3849"><v>103037935</v></cell></row><row r="3850"><cell r="C3850" t="str"><v>43308FACEBOOK»USA-Trial-ITD-Retargeting-AZR-AZR»1 x 1»SocialBan»LIA»ALL»CPA»RT»X»NA»SS»NA»FreeAcctDeveloperFB-AnimatedOpenSource-Ch2»PRC26G</v></cell><cell r="D3850" t="str"><v>43308223862873</v></cell><cell r="E3850" t="str"><v>43308103048329PRC26G</v></cell><cell r="F3850" t="str"><v>DCM</v></cell><cell r="G3850" t="str"><v>https://azure.microsoft.com/en-us/free/open-source/search/?OCID=AID%eexcid!_OLA_%ebuy!_%epid!_%ecid!</v></cell></row><row r="3850"><cell r="K3850" t="str"><v>July</v></cell><cell r="L3850"><v>43309</v></cell><cell r="M3850" t="str"><v>Tier 0</v></cell><cell r="N3850" t="str"><v>North America</v></cell><cell r="O3850" t="str"><v>United States</v></cell><cell r="P3850" t="str"><v>Trial</v></cell><cell r="Q3850" t="str"><v>Social</v></cell><cell r="R3850" t="str"><v>Azure</v></cell><cell r="S3850" t="str"><v>Apps & Infra</v></cell><cell r="T3850" t="str"><v>Developers & ITI's</v></cell><cell r="U3850" t="str"><v>USA-Trial-ITD-Retargeting-AZR-AZR</v></cell><cell r="V3850" t="str"><v>Retargeting</v></cell><cell r="W3850" t="str"><v>Link Ad</v></cell><cell r="X3850" t="str"><v>1x1</v></cell></row><row r="3850"><cell r="AA3850"><v>43308</v></cell><cell r="AB3850" t="str"><v>USA_gaPMG_AZR_AZR_Q1_19_Direct-Social</v></cell><cell r="AC3850"><v>21358715</v></cell><cell r="AD3850"><v>720197</v></cell><cell r="AE3850" t="str"><v>Facebook</v></cell><cell r="AF3850"><v>3654128</v></cell><cell r="AG3850" t="str"><v>FACEBOOK»USA-Trial-ITD-Retargeting-AZR-AZR»1 x 1»SocialBan»LIA»ALL»CPA»RT»X»NA»SS»NA»FreeAcctDeveloperFB-AnimatedOpenSource-Ch2»PRC26G</v></cell><cell r="AH3850"><v>223862873</v></cell><cell r="AI3850" t="str"><v>AZR_FreeAcctDeveloperFB-AnimatedOpenSource-Ch2_USA_1200x1200_CAN_Direct_English_Trial_Standard_ANI_LEA_T2_1</v></cell><cell r="AJ3850"><v>103048329</v></cell></row><row r="3851"><cell r="C3851" t="str"><v>43308FACEBOOK»USA-Trial-ITD-Retargeting-AZR-AZR»1 x 1»SocialBan»LIA»ALL»CPA»RT»X»NA»SS»NA»FreeAcctITProFB-AnimatedHybrid-Ch2»PRC26N</v></cell><cell r="D3851" t="str"><v>43308223934053</v></cell><cell r="E3851" t="str"><v>43308103180583PRC26N</v></cell><cell r="F3851" t="str"><v>DCM</v></cell></row><row r="3851"><cell r="K3851" t="str"><v>July</v></cell><cell r="L3851"><v>43309</v></cell><cell r="M3851" t="str"><v>Tier 0</v></cell><cell r="N3851" t="str"><v>North America</v></cell><cell r="O3851" t="str"><v>United States</v></cell><cell r="P3851" t="str"><v>Trial</v></cell><cell r="Q3851" t="str"><v>Social</v></cell><cell r="R3851" t="str"><v>Azure</v></cell><cell r="S3851" t="str"><v>Apps & Infra</v></cell><cell r="T3851" t="str"><v>Developers & ITI's</v></cell><cell r="U3851" t="str"><v>USA-Trial-ITD-Retargeting-AZR-AZR</v></cell><cell r="V3851" t="str"><v>Retargeting</v></cell><cell r="W3851" t="str"><v>Link Ad</v></cell><cell r="X3851" t="str"><v>1x1</v></cell></row><row r="3851"><cell r="AA3851"><v>43308</v></cell><cell r="AB3851" t="str"><v>USA_gaPMG_AZR_AZR_Q1_19_Direct-Social</v></cell><cell r="AC3851"><v>21358715</v></cell><cell r="AD3851"><v>720197</v></cell><cell r="AE3851" t="str"><v>Facebook</v></cell><cell r="AF3851"><v>3654128</v></cell><cell r="AG3851" t="str"><v>FACEBOOK»USA-Trial-ITD-Retargeting-AZR-AZR»1 x 1»SocialBan»LIA»ALL»CPA»RT»X»NA»SS»NA»FreeAcctITProFB-AnimatedHybrid-Ch2»PRC26N</v></cell><cell r="AH3851"><v>223934053</v></cell><cell r="AI3851" t="str"><v>AZR_FreeAcctITProFB-AnimatedHybrid-Ch2_USA_1200x1200_CAN_Direct_English_Trial_Standard_ANI_LEA_T2_2</v></cell><cell r="AJ3851"><v>103180583</v></cell></row><row r="3852"><cell r="C3852" t="str"><v>43308FACEBOOK»USA-Trial-ITD-Retargeting-AZR-AZR»1 x 1»SocialBan»LIA»ALL»CPA»RT»X»NA»SS»NA»FreeAcctRetargetingFB-Animated-ChC»PRC1RX</v></cell><cell r="D3852" t="str"><v>43308223862864</v></cell><cell r="E3852" t="str"><v>43308103180880PRC1RX</v></cell><cell r="F3852" t="str"><v>DCM</v></cell><cell r="G3852" t="str"><v>https://azure.microsoft.com/en-us/free/search/?OCID=AID%eexcid!_OLA_%ebuy!_%epid!_%ecid!</v></cell></row><row r="3852"><cell r="K3852" t="str"><v>July</v></cell><cell r="L3852"><v>43309</v></cell><cell r="M3852" t="str"><v>Tier 0</v></cell><cell r="N3852" t="str"><v>North America</v></cell><cell r="O3852" t="str"><v>United States</v></cell><cell r="P3852" t="str"><v>Trial</v></cell><cell r="Q3852" t="str"><v>Social</v></cell><cell r="R3852" t="str"><v>Azure</v></cell><cell r="S3852" t="str"><v>Apps & Infra</v></cell><cell r="T3852" t="str"><v>Developers & ITI's</v></cell><cell r="U3852" t="str"><v>USA-Trial-ITD-Retargeting-AZR-AZR</v></cell><cell r="V3852" t="str"><v>Retargeting</v></cell><cell r="W3852" t="str"><v>Link Ad</v></cell><cell r="X3852" t="str"><v>1x1</v></cell></row><row r="3852"><cell r="AA3852"><v>43308</v></cell><cell r="AB3852" t="str"><v>USA_gaPMG_AZR_AZR_Q1_19_Direct-Social</v></cell><cell r="AC3852"><v>21358715</v></cell><cell r="AD3852"><v>720197</v></cell><cell r="AE3852" t="str"><v>Facebook</v></cell><cell r="AF3852"><v>3654128</v></cell><cell r="AG3852" t="str"><v>FACEBOOK»USA-Trial-ITD-Retargeting-AZR-AZR»1 x 1»SocialBan»LIA»ALL»CPA»RT»X»NA»SS»NA»FreeAcctRetargetingFB-Animated-ChC»PRC1RX</v></cell><cell r="AH3852"><v>223862864</v></cell><cell r="AI3852" t="str"><v>AzurePlatform_FreeAcctRetargetingFB-Animated-ChC_USA_1200x628_CAN_PLATFORM_English_Free Account_Standard_ANI_SINU_T3_2</v></cell><cell r="AJ3852"><v>103180880</v></cell></row><row r="3853"><cell r="C3853" t="str"><v>43308FACEBOOK»USA-Trial-ITD-Retargeting-AZR-AZR»1 x 1»SocialBan»LIA»ALL»CPA»RT»X»NA»SS»NA»FreeAcctRetargetingFB-Credit-ChA»PRC1RV</v></cell><cell r="D3853" t="str"><v>43308224106075</v></cell><cell r="E3853" t="str"><v>43308103034917PRC1RV</v></cell><cell r="F3853" t="str"><v>DCM</v></cell><cell r="G3853" t="str"><v>https://azure.microsoft.com/en-us/free/search/?OCID=AID%eexcid!_OLA_%ebuy!_%epid!_%ecid!</v></cell></row><row r="3853"><cell r="K3853" t="str"><v>July</v></cell><cell r="L3853"><v>43309</v></cell><cell r="M3853" t="str"><v>Tier 0</v></cell><cell r="N3853" t="str"><v>North America</v></cell><cell r="O3853" t="str"><v>United States</v></cell><cell r="P3853" t="str"><v>Trial</v></cell><cell r="Q3853" t="str"><v>Social</v></cell><cell r="R3853" t="str"><v>Azure</v></cell><cell r="S3853" t="str"><v>Apps & Infra</v></cell><cell r="T3853" t="str"><v>Developers & ITI's</v></cell><cell r="U3853" t="str"><v>USA-Trial-ITD-Retargeting-AZR-AZR</v></cell><cell r="V3853" t="str"><v>Retargeting</v></cell><cell r="W3853" t="str"><v>Link Ad</v></cell><cell r="X3853" t="str"><v>1x1</v></cell></row><row r="3853"><cell r="AA3853"><v>43308</v></cell><cell r="AB3853" t="str"><v>USA_gaPMG_AZR_AZR_Q1_19_Direct-Social</v></cell><cell r="AC3853"><v>21358715</v></cell><cell r="AD3853"><v>720197</v></cell><cell r="AE3853" t="str"><v>Facebook</v></cell><cell r="AF3853"><v>3654128</v></cell><cell r="AG3853" t="str"><v>FACEBOOK»USA-Trial-ITD-Retargeting-AZR-AZR»1 x 1»SocialBan»LIA»ALL»CPA»RT»X»NA»SS»NA»FreeAcctRetargetingFB-Credit-ChA»PRC1RV</v></cell><cell r="AH3853"><v>224106075</v></cell><cell r="AI3853" t="str"><v>AzurePlatform_FreeAcctRetargetingFB-Credit-ChA_USA_1200x628_CAN_PLATFORM_English_Free Account_Standard_NA_SINU_T1_2</v></cell><cell r="AJ3853"><v>103034917</v></cell></row><row r="3854"><cell r="C3854" t="str"><v>43308FACEBOOK»USA-Trial-ITD-Retargeting-AZR-AZR»1 x 1»SocialBan»LIA»ALL»CPA»RT»X»NA»SS»NA»FreeAcctRetargetingFB-GlobalAlt-ChB»PRC1RW</v></cell><cell r="D3854" t="str"><v>43308223862756</v></cell><cell r="E3854" t="str"><v>43308103180592PRC1RW</v></cell><cell r="F3854" t="str"><v>DCM</v></cell><cell r="G3854" t="str"><v>https://azure.microsoft.com/en-us/free/search/?OCID=AID%eexcid!_OLA_%ebuy!_%epid!_%ecid!</v></cell></row><row r="3854"><cell r="K3854" t="str"><v>July</v></cell><cell r="L3854"><v>43309</v></cell><cell r="M3854" t="str"><v>Tier 0</v></cell><cell r="N3854" t="str"><v>North America</v></cell><cell r="O3854" t="str"><v>United States</v></cell><cell r="P3854" t="str"><v>Trial</v></cell><cell r="Q3854" t="str"><v>Social</v></cell><cell r="R3854" t="str"><v>Azure</v></cell><cell r="S3854" t="str"><v>Apps & Infra</v></cell><cell r="T3854" t="str"><v>Developers & ITI's</v></cell><cell r="U3854" t="str"><v>USA-Trial-ITD-Retargeting-AZR-AZR</v></cell><cell r="V3854" t="str"><v>Retargeting</v></cell><cell r="W3854" t="str"><v>Link Ad</v></cell><cell r="X3854" t="str"><v>1x1</v></cell></row><row r="3854"><cell r="AA3854"><v>43308</v></cell><cell r="AB3854" t="str"><v>USA_gaPMG_AZR_AZR_Q1_19_Direct-Social</v></cell><cell r="AC3854"><v>21358715</v></cell><cell r="AD3854"><v>720197</v></cell><cell r="AE3854" t="str"><v>Facebook</v></cell><cell r="AF3854"><v>3654128</v></cell><cell r="AG3854" t="str"><v>FACEBOOK»USA-Trial-ITD-Retargeting-AZR-AZR»1 x 1»SocialBan»LIA»ALL»CPA»RT»X»NA»SS»NA»FreeAcctRetargetingFB-GlobalAlt-ChB»PRC1RW</v></cell><cell r="AH3854"><v>223862756</v></cell><cell r="AI3854" t="str"><v>AzurePlatform_FreeAcctRetargetingFB-GlobalAlt-ChB_USA_1200x628_CAN_PLATFORM_English_Free Account_Standard_NA_SINU_T2_1</v></cell><cell r="AJ3854"><v>103180592</v></cell></row><row r="3855"><cell r="C3855" t="str"><v>43308FACEBOOK»USA-Trial-ITD-Retargeting-AZR-AZR»1 x 1»SocialBan»LIA»ALL»CPA»RT»X»NA»SS»NA»FreeAcctRetargetingVMFB-750Hrs-ChD»PRC1RY</v></cell><cell r="D3855" t="str"><v>43308223862747</v></cell><cell r="E3855" t="str"><v>43308103034911PRC1RY</v></cell><cell r="F3855" t="str"><v>DCM</v></cell><cell r="G3855" t="str"><v>https://azure.microsoft.com/en-us/free/virtual-machines/search/?OCID=AID%eexcid!_OLA_%ebuy!_%epid!_%ecid!</v></cell></row><row r="3855"><cell r="K3855" t="str"><v>July</v></cell><cell r="L3855"><v>43309</v></cell><cell r="M3855" t="str"><v>Tier 0</v></cell><cell r="N3855" t="str"><v>North America</v></cell><cell r="O3855" t="str"><v>United States</v></cell><cell r="P3855" t="str"><v>Trial</v></cell><cell r="Q3855" t="str"><v>Social</v></cell><cell r="R3855" t="str"><v>Azure</v></cell><cell r="S3855" t="str"><v>Apps & Infra</v></cell><cell r="T3855" t="str"><v>Developers & ITI's</v></cell><cell r="U3855" t="str"><v>USA-Trial-ITD-Retargeting-AZR-AZR</v></cell><cell r="V3855" t="str"><v>Retargeting</v></cell><cell r="W3855" t="str"><v>Link Ad</v></cell><cell r="X3855" t="str"><v>1x1</v></cell></row><row r="3855"><cell r="AA3855"><v>43308</v></cell><cell r="AB3855" t="str"><v>USA_gaPMG_AZR_AZR_Q1_19_Direct-Social</v></cell><cell r="AC3855"><v>21358715</v></cell><cell r="AD3855"><v>720197</v></cell><cell r="AE3855" t="str"><v>Facebook</v></cell><cell r="AF3855"><v>3654128</v></cell><cell r="AG3855" t="str"><v>FACEBOOK»USA-Trial-ITD-Retargeting-AZR-AZR»1 x 1»SocialBan»LIA»ALL»CPA»RT»X»NA»SS»NA»FreeAcctRetargetingVMFB-750Hrs-ChD»PRC1RY</v></cell><cell r="AH3855"><v>223862747</v></cell><cell r="AI3855" t="str"><v>AzurePlatform_FreeAcctRetargetingVMFB-750Hrs-ChD_USA_1200x628_CAN_PLATFORM_English_Free Account_Standard_NA_SINU_T1_1</v></cell><cell r="AJ3855"><v>103034911</v></cell></row><row r="3856"><cell r="C3856" t="str"><v>43308FACEBOOK»USA-Trial-ITD-Retargeting-AZR-AZR»1 x 1»SocialBan»LIA»ALL»CPA»RT»X»NA»SS»NA»FreeAcctRetargetingVMFB-OnDemand-ChE»PRC1S0</v></cell><cell r="D3856" t="str"><v>43308224104899</v></cell><cell r="E3856" t="str"><v>43308103180610PRC1S0</v></cell><cell r="F3856" t="str"><v>DCM</v></cell><cell r="G3856" t="str"><v>https://azure.microsoft.com/en-us/free/virtual-machines/search/?OCID=AID%eexcid!_OLA_%ebuy!_%epid!_%ecid!</v></cell></row><row r="3856"><cell r="K3856" t="str"><v>July</v></cell><cell r="L3856"><v>43309</v></cell><cell r="M3856" t="str"><v>Tier 0</v></cell><cell r="N3856" t="str"><v>North America</v></cell><cell r="O3856" t="str"><v>United States</v></cell><cell r="P3856" t="str"><v>Trial</v></cell><cell r="Q3856" t="str"><v>Social</v></cell><cell r="R3856" t="str"><v>Azure</v></cell><cell r="S3856" t="str"><v>Apps & Infra</v></cell><cell r="T3856" t="str"><v>Developers & ITI's</v></cell><cell r="U3856" t="str"><v>USA-Trial-ITD-Retargeting-AZR-AZR</v></cell><cell r="V3856" t="str"><v>Retargeting</v></cell><cell r="W3856" t="str"><v>Link Ad</v></cell><cell r="X3856" t="str"><v>1x1</v></cell></row><row r="3856"><cell r="AA3856"><v>43308</v></cell><cell r="AB3856" t="str"><v>USA_gaPMG_AZR_AZR_Q1_19_Direct-Social</v></cell><cell r="AC3856"><v>21358715</v></cell><cell r="AD3856"><v>720197</v></cell><cell r="AE3856" t="str"><v>Facebook</v></cell><cell r="AF3856"><v>3654128</v></cell><cell r="AG3856" t="str"><v>FACEBOOK»USA-Trial-ITD-Retargeting-AZR-AZR»1 x 1»SocialBan»LIA»ALL»CPA»RT»X»NA»SS»NA»FreeAcctRetargetingVMFB-OnDemand-ChE»PRC1S0</v></cell><cell r="AH3856"><v>224104899</v></cell><cell r="AI3856" t="str"><v>AzurePlatform_FreeAcctRetargetingVMFB-OnDemand-ChE_USA_1200x628_CAN_PLATFORM_English_Free Account_Standard_NA_SINU_T2_1</v></cell><cell r="AJ3856"><v>103180610</v></cell></row><row r="3857"><cell r="C3857" t="str"><v>43308FACEBOOK»USA-Trial-ITD-Retargeting-AZR-AZR»1 x 1»SocialBan»CAN»ALL»CPA»RT»X»NA»SS»NA»FBCTCBenefit2inMotion»PRC1RR</v></cell><cell r="D3857" t="str"><v>43308224104896</v></cell><cell r="E3857" t="str"><v>43308103043835PRC1RR</v></cell><cell r="F3857" t="str"><v>DCM</v></cell><cell r="G3857" t="str"><v>https://signup.azure.com/?OCID=AID%eexcid!_OLA_%ebuy!_%epid!_%ecid!</v></cell></row><row r="3857"><cell r="K3857" t="str"><v>July</v></cell><cell r="L3857"><v>43309</v></cell><cell r="M3857" t="str"><v>Tier 0</v></cell><cell r="N3857" t="str"><v>North America</v></cell><cell r="O3857" t="str"><v>United States</v></cell><cell r="P3857" t="str"><v>Trial</v></cell><cell r="Q3857" t="str"><v>Social</v></cell><cell r="R3857" t="str"><v>Azure</v></cell><cell r="S3857" t="str"><v>Apps & Infra</v></cell><cell r="T3857" t="str"><v>Developers & ITI's</v></cell><cell r="U3857" t="str"><v>USA-Trial-ITD-Retargeting-AZR-AZR</v></cell><cell r="V3857" t="str"><v>Retargeting</v></cell><cell r="W3857" t="str"><v>Canvas Ad</v></cell><cell r="X3857" t="str"><v>1x1</v></cell></row><row r="3857"><cell r="AA3857"><v>43308</v></cell><cell r="AB3857" t="str"><v>USA_gaPMG_AZR_AZR_Q1_19_Direct-Social</v></cell><cell r="AC3857"><v>21358715</v></cell><cell r="AD3857"><v>720197</v></cell><cell r="AE3857" t="str"><v>Facebook</v></cell><cell r="AF3857"><v>3654128</v></cell><cell r="AG3857" t="str"><v>FACEBOOK»USA-Trial-ITD-Retargeting-AZR-AZR»1 x 1»SocialBan»CAN»ALL»CPA»RT»X»NA»SS»NA»FBCTCBenefit2inMotion»PRC1RR</v></cell><cell r="AH3857"><v>224104896</v></cell><cell r="AI3857" t="str"><v>AzurePlatform_FBCTCBenefit2inMotion_USA_10s_CAN_PLATFORM_English_Trial_Standard_STAN_TIN_T4_1</v></cell><cell r="AJ3857"><v>103043835</v></cell></row><row r="3858"><cell r="C3858" t="str"><v>43308FACEBOOK»USA-Trial-ITD-Trial Lookalike-AZR-AZR»1 x 1»SocialBan»CAN»ALL»CPA»LAL»X»NA»SS»NA»FBCTCBenefit2inMotion»PRC1M0</v></cell><cell r="D3858" t="str"><v>43308223862927</v></cell><cell r="E3858" t="str"><v>43308103043835PRC1M0</v></cell><cell r="F3858" t="str"><v>DCM</v></cell><cell r="G3858" t="str"><v>https://signup.azure.com/?OCID=AID%eexcid!_OLA_%ebuy!_%epid!_%ecid!</v></cell></row><row r="3858"><cell r="K3858" t="str"><v>July</v></cell><cell r="L3858"><v>43309</v></cell><cell r="M3858" t="str"><v>Tier 0</v></cell><cell r="N3858" t="str"><v>North America</v></cell><cell r="O3858" t="str"><v>United States</v></cell><cell r="P3858" t="str"><v>Trial</v></cell><cell r="Q3858" t="str"><v>Social</v></cell><cell r="R3858" t="str"><v>Azure</v></cell><cell r="S3858" t="str"><v>Apps & Infra</v></cell><cell r="T3858" t="str"><v>Developers & ITI's</v></cell><cell r="U3858" t="str"><v>USA-Trial-ITD-Trial Lookalike-AZR-AZR</v></cell><cell r="V3858" t="str"><v>Lookalike Targeting</v></cell><cell r="W3858" t="str"><v>Canvas Ad</v></cell><cell r="X3858" t="str"><v>1x1</v></cell></row><row r="3858"><cell r="AA3858"><v>43308</v></cell><cell r="AB3858" t="str"><v>USA_gaPMG_AZR_AZR_Q1_19_Direct-Social</v></cell><cell r="AC3858"><v>21358715</v></cell><cell r="AD3858"><v>720197</v></cell><cell r="AE3858" t="str"><v>Facebook</v></cell><cell r="AF3858"><v>3654128</v></cell><cell r="AG3858" t="str"><v>FACEBOOK»USA-Trial-ITD-Trial Lookalike-AZR-AZR»1 x 1»SocialBan»CAN»ALL»CPA»LAL»X»NA»SS»NA»FBCTCBenefit2inMotion»PRC1M0</v></cell><cell r="AH3858"><v>223862927</v></cell><cell r="AI3858" t="str"><v>AzurePlatform_FBCTCBenefit2inMotion_USA_10s_CAN_PLATFORM_English_Trial_Standard_STAN_TIN_T4_1</v></cell><cell r="AJ3858"><v>103043835</v></cell></row><row r="3859"><cell r="C3859" t="str"><v>43308FACEBOOK»USA-Trial-ITD-Trial Lookalike-AZR-AZR»1 x 1»SocialBan»CAN»ALL»CPA»LAL»X»NA»SS»NA»FBCTCBenefit2inMotion»PRC1M0</v></cell><cell r="D3859" t="str"><v>43308223862927</v></cell><cell r="E3859" t="str"><v>43308103178645PRC1M0</v></cell><cell r="F3859" t="str"><v>DCM</v></cell><cell r="G3859" t="str"><v>https://azure.microsoft.com/en-us/pricing/purchase-options/?v=18.19&OCID=AID%eexcid!_OLA_%ebuy!_%epid!_%ecid!</v></cell></row><row r="3859"><cell r="K3859" t="str"><v>July</v></cell><cell r="L3859"><v>43309</v></cell><cell r="M3859" t="str"><v>Tier 0</v></cell><cell r="N3859" t="str"><v>North America</v></cell><cell r="O3859" t="str"><v>United States</v></cell><cell r="P3859" t="str"><v>Trial</v></cell><cell r="Q3859" t="str"><v>Social</v></cell><cell r="R3859" t="str"><v>Azure</v></cell><cell r="S3859" t="str"><v>Apps & Infra</v></cell><cell r="T3859" t="str"><v>Developers & ITI's</v></cell><cell r="U3859" t="str"><v>USA-Trial-ITD-Trial Lookalike-AZR-AZR</v></cell><cell r="V3859" t="str"><v>Lookalike Targeting</v></cell><cell r="W3859" t="str"><v>Canvas Ad</v></cell><cell r="X3859" t="str"><v>1x1</v></cell></row><row r="3859"><cell r="AA3859"><v>43308</v></cell><cell r="AB3859" t="str"><v>USA_gaPMG_AZR_AZR_Q1_19_Direct-Social</v></cell><cell r="AC3859"><v>21358715</v></cell><cell r="AD3859"><v>720197</v></cell><cell r="AE3859" t="str"><v>Facebook</v></cell><cell r="AF3859"><v>3654128</v></cell><cell r="AG3859" t="str"><v>FACEBOOK»USA-Trial-ITD-Trial Lookalike-AZR-AZR»1 x 1»SocialBan»CAN»ALL»CPA»LAL»X»NA»SS»NA»FBCTCBenefit2inMotion»PRC1M0</v></cell><cell r="AH3859"><v>223862927</v></cell><cell r="AI3859" t="str"><v>AzurePlatform_FBCTCBenefit2inMotion_USA_10s_CAN_PLATFORM_English_Trial_Standard_STAN_TIN_T4_2</v></cell><cell r="AJ3859"><v>103178645</v></cell></row><row r="3860"><cell r="C3860" t="str"><v>43308FACEBOOK»USA-Trial-ITD-Trial Lookalike-AZR-AZR»1 x 1»SocialBan»LIA»ALL»CPA»LAL»X»NA»SS»NA»FreeAcctDeveloperFB-AnimatedAI-Ch3»PRC1M7</v></cell><cell r="D3860" t="str"><v>43308223934104</v></cell><cell r="E3860" t="str"><v>43308103032778PRC1M7</v></cell><cell r="F3860" t="str"><v>DCM</v></cell></row><row r="3860"><cell r="K3860" t="str"><v>July</v></cell><cell r="L3860"><v>43309</v></cell><cell r="M3860" t="str"><v>Tier 0</v></cell><cell r="N3860" t="str"><v>North America</v></cell><cell r="O3860" t="str"><v>United States</v></cell><cell r="P3860" t="str"><v>Trial</v></cell><cell r="Q3860" t="str"><v>Social</v></cell><cell r="R3860" t="str"><v>Azure</v></cell><cell r="S3860" t="str"><v>Apps & Infra</v></cell><cell r="T3860" t="str"><v>Developers & ITI's</v></cell><cell r="U3860" t="str"><v>USA-Trial-ITD-Trial Lookalike-AZR-AZR</v></cell><cell r="V3860" t="str"><v>Lookalike Targeting</v></cell><cell r="W3860" t="str"><v>Link Ad</v></cell><cell r="X3860" t="str"><v>1x1</v></cell></row><row r="3860"><cell r="AA3860"><v>43308</v></cell><cell r="AB3860" t="str"><v>USA_gaPMG_AZR_AZR_Q1_19_Direct-Social</v></cell><cell r="AC3860"><v>21358715</v></cell><cell r="AD3860"><v>720197</v></cell><cell r="AE3860" t="str"><v>Facebook</v></cell><cell r="AF3860"><v>3654128</v></cell><cell r="AG3860" t="str"><v>FACEBOOK»USA-Trial-ITD-Trial Lookalike-AZR-AZR»1 x 1»SocialBan»LIA»ALL»CPA»LAL»X»NA»SS»NA»FreeAcctDeveloperFB-AnimatedAI-Ch3»PRC1M7</v></cell><cell r="AH3860"><v>223934104</v></cell><cell r="AI3860" t="str"><v>AZR_FreeAcctDeveloperFB-AnimatedAI-Ch3_USA_1200x1200_CAN_Direct_English_Trial_Standard_ANI_LEA_T3_1</v></cell><cell r="AJ3860"><v>103032778</v></cell></row><row r="3861"><cell r="C3861" t="str"><v>43308FACEBOOK»USA-Trial-ITD-Trial Lookalike-AZR-AZR»1 x 1»SocialBan»LIA»ALL»CPA»LAL»X»NA»SS»NA»FreeAcctDeveloperFB-AnimatedData-Ch4»PRC1M8</v></cell><cell r="D3861" t="str"><v>43308223862933</v></cell><cell r="E3861" t="str"><v>43308103037935PRC1M8</v></cell><cell r="F3861" t="str"><v>DCM</v></cell></row><row r="3861"><cell r="K3861" t="str"><v>July</v></cell><cell r="L3861"><v>43309</v></cell><cell r="M3861" t="str"><v>Tier 0</v></cell><cell r="N3861" t="str"><v>North America</v></cell><cell r="O3861" t="str"><v>United States</v></cell><cell r="P3861" t="str"><v>Trial</v></cell><cell r="Q3861" t="str"><v>Social</v></cell><cell r="R3861" t="str"><v>Azure</v></cell><cell r="S3861" t="str"><v>Apps & Infra</v></cell><cell r="T3861" t="str"><v>Developers & ITI's</v></cell><cell r="U3861" t="str"><v>USA-Trial-ITD-Trial Lookalike-AZR-AZR</v></cell><cell r="V3861" t="str"><v>Lookalike Targeting</v></cell><cell r="W3861" t="str"><v>Link Ad</v></cell><cell r="X3861" t="str"><v>1x1</v></cell></row><row r="3861"><cell r="AA3861"><v>43308</v></cell><cell r="AB3861" t="str"><v>USA_gaPMG_AZR_AZR_Q1_19_Direct-Social</v></cell><cell r="AC3861"><v>21358715</v></cell><cell r="AD3861"><v>720197</v></cell><cell r="AE3861" t="str"><v>Facebook</v></cell><cell r="AF3861"><v>3654128</v></cell><cell r="AG3861" t="str"><v>FACEBOOK»USA-Trial-ITD-Trial Lookalike-AZR-AZR»1 x 1»SocialBan»LIA»ALL»CPA»LAL»X»NA»SS»NA»FreeAcctDeveloperFB-AnimatedData-Ch4»PRC1M8</v></cell><cell r="AH3861"><v>223862933</v></cell><cell r="AI3861" t="str"><v>AZR_FreeAcctDeveloperFB-AnimatedData-Ch4_USA_1200x1200_CAN_Direct_English_Trial_Standard_ANI_LEA_T4_2</v></cell><cell r="AJ3861"><v>103037935</v></cell></row><row r="3862"><cell r="C3862" t="str"><v>43308FACEBOOK»USA-Trial-ITD-Trial Lookalike-AZR-AZR»1 x 1»SocialBan»LIA»ALL»CPA»LAL»X»NA»SS»NA»FreeAcctITProFB-AnimatedHybrid-Ch2»PRC1MC</v></cell><cell r="D3862" t="str"><v>43308224104956</v></cell><cell r="E3862" t="str"><v>43308103180583PRC1MC</v></cell><cell r="F3862" t="str"><v>DCM</v></cell></row><row r="3862"><cell r="K3862" t="str"><v>July</v></cell><cell r="L3862"><v>43309</v></cell><cell r="M3862" t="str"><v>Tier 0</v></cell><cell r="N3862" t="str"><v>North America</v></cell><cell r="O3862" t="str"><v>United States</v></cell><cell r="P3862" t="str"><v>Trial</v></cell><cell r="Q3862" t="str"><v>Social</v></cell><cell r="R3862" t="str"><v>Azure</v></cell><cell r="S3862" t="str"><v>Apps & Infra</v></cell><cell r="T3862" t="str"><v>Developers & ITI's</v></cell><cell r="U3862" t="str"><v>USA-Trial-ITD-Trial Lookalike-AZR-AZR</v></cell><cell r="V3862" t="str"><v>Lookalike Targeting</v></cell><cell r="W3862" t="str"><v>Link Ad</v></cell><cell r="X3862" t="str"><v>1x1</v></cell></row><row r="3862"><cell r="AA3862"><v>43308</v></cell><cell r="AB3862" t="str"><v>USA_gaPMG_AZR_AZR_Q1_19_Direct-Social</v></cell><cell r="AC3862"><v>21358715</v></cell><cell r="AD3862"><v>720197</v></cell><cell r="AE3862" t="str"><v>Facebook</v></cell><cell r="AF3862"><v>3654128</v></cell><cell r="AG3862" t="str"><v>FACEBOOK»USA-Trial-ITD-Trial Lookalike-AZR-AZR»1 x 1»SocialBan»LIA»ALL»CPA»LAL»X»NA»SS»NA»FreeAcctITProFB-AnimatedHybrid-Ch2»PRC1MC</v></cell><cell r="AH3862"><v>224104956</v></cell><cell r="AI3862" t="str"><v>AZR_FreeAcctITProFB-AnimatedHybrid-Ch2_USA_1200x1200_CAN_Direct_English_Trial_Standard_ANI_LEA_T2_2</v></cell><cell r="AJ3862"><v>103180583</v></cell></row><row r="3863"><cell r="C3863" t="str"><v>43308FACEBOOK»USA-Trial-ITD-Trial Lookalike-AZR-AZR»1 x 1»SocialBan»CAN»ALL»CPA»LAL»X»NA»SS»NA»FBCTCBrandinMotion»PRC1M3</v></cell><cell r="D3863" t="str"><v>43308223862900</v></cell><cell r="E3863" t="str"><v>43308103176812PRC1M3</v></cell><cell r="F3863" t="str"><v>DCM</v></cell><cell r="G3863" t="str"><v>https://signup.azure.com/?OCID=AID%eexcid!_OLA_%ebuy!_%epid!_%ecid!</v></cell></row><row r="3863"><cell r="K3863" t="str"><v>July</v></cell><cell r="L3863"><v>43309</v></cell><cell r="M3863" t="str"><v>Tier 0</v></cell><cell r="N3863" t="str"><v>North America</v></cell><cell r="O3863" t="str"><v>United States</v></cell><cell r="P3863" t="str"><v>Trial</v></cell><cell r="Q3863" t="str"><v>Social</v></cell><cell r="R3863" t="str"><v>Azure</v></cell><cell r="S3863" t="str"><v>Apps & Infra</v></cell><cell r="T3863" t="str"><v>Developers & ITI's</v></cell><cell r="U3863" t="str"><v>USA-Trial-ITD-Trial Lookalike-AZR-AZR</v></cell><cell r="V3863" t="str"><v>Lookalike Targeting</v></cell><cell r="W3863" t="str"><v>Canvas Ad</v></cell><cell r="X3863" t="str"><v>1x1</v></cell></row><row r="3863"><cell r="AA3863"><v>43308</v></cell><cell r="AB3863" t="str"><v>USA_gaPMG_AZR_AZR_Q1_19_Direct-Social</v></cell><cell r="AC3863"><v>21358715</v></cell><cell r="AD3863"><v>720197</v></cell><cell r="AE3863" t="str"><v>Facebook</v></cell><cell r="AF3863"><v>3654128</v></cell><cell r="AG3863" t="str"><v>FACEBOOK»USA-Trial-ITD-Trial Lookalike-AZR-AZR»1 x 1»SocialBan»CAN»ALL»CPA»LAL»X»NA»SS»NA»FBCTCBrandinMotion»PRC1M3</v></cell><cell r="AH3863"><v>223862900</v></cell><cell r="AI3863" t="str"><v>AzurePlatform_FBCTCBrandinMotion_USA_10s_CAN_PLATFORM_English_Trial_Standard_STAN_TIN_T2_1</v></cell><cell r="AJ3863"><v>103176812</v></cell></row><row r="3864"><cell r="C3864" t="str"><v>43308FACEBOOK»USA-Trial-ITD-Trial Lookalike-AZR-AZR»1 x 1»SocialBan»CAN»ALL»CPA»LAL»X»NA»SS»NA»FBCTCBrandinMotion»PRC1M3</v></cell><cell r="D3864" t="str"><v>43308223862900</v></cell><cell r="E3864" t="str"><v>43308103032823PRC1M3</v></cell><cell r="F3864" t="str"><v>DCM</v></cell><cell r="G3864" t="str"><v>https://azure.microsoft.com/en-us/pricing/purchase-options/?v=18.19&OCID=AID%eexcid!_OLA_%ebuy!_%epid!_%ecid!</v></cell></row><row r="3864"><cell r="K3864" t="str"><v>July</v></cell><cell r="L3864"><v>43309</v></cell><cell r="M3864" t="str"><v>Tier 0</v></cell><cell r="N3864" t="str"><v>North America</v></cell><cell r="O3864" t="str"><v>United States</v></cell><cell r="P3864" t="str"><v>Trial</v></cell><cell r="Q3864" t="str"><v>Social</v></cell><cell r="R3864" t="str"><v>Azure</v></cell><cell r="S3864" t="str"><v>Apps & Infra</v></cell><cell r="T3864" t="str"><v>Developers & ITI's</v></cell><cell r="U3864" t="str"><v>USA-Trial-ITD-Trial Lookalike-AZR-AZR</v></cell><cell r="V3864" t="str"><v>Lookalike Targeting</v></cell><cell r="W3864" t="str"><v>Canvas Ad</v></cell><cell r="X3864" t="str"><v>1x1</v></cell></row><row r="3864"><cell r="AA3864"><v>43308</v></cell><cell r="AB3864" t="str"><v>USA_gaPMG_AZR_AZR_Q1_19_Direct-Social</v></cell><cell r="AC3864"><v>21358715</v></cell><cell r="AD3864"><v>720197</v></cell><cell r="AE3864" t="str"><v>Facebook</v></cell><cell r="AF3864"><v>3654128</v></cell><cell r="AG3864" t="str"><v>FACEBOOK»USA-Trial-ITD-Trial Lookalike-AZR-AZR»1 x 1»SocialBan»CAN»ALL»CPA»LAL»X»NA»SS»NA»FBCTCBrandinMotion»PRC1M3</v></cell><cell r="AH3864"><v>223862900</v></cell><cell r="AI3864" t="str"><v>AzurePlatform_FBCTCBrandinMotion_USA_10s_CAN_PLATFORM_English_Trial_Standard_STAN_TIN_T2_2</v></cell><cell r="AJ3864"><v>103032823</v></cell></row><row r="3865"><cell r="C3865" t="str"><v>43308FACEBOOK»USA-Trial-ITD-Trial PayGo Lookalike-AZR-AZR»1 x 1»SocialBan»CAN»ALL»CPA»LAL»X»NA»SS»NA»FBCTCBenefit2inMotion»PRC1Q1</v></cell><cell r="D3865" t="str"><v>43308224104986</v></cell><cell r="E3865" t="str"><v>43308103043835PRC1Q1</v></cell><cell r="F3865" t="str"><v>DCM</v></cell><cell r="G3865" t="str"><v>https://signup.azure.com/?OCID=AID%eexcid!_OLA_%ebuy!_%epid!_%ecid!</v></cell></row><row r="3865"><cell r="K3865" t="str"><v>July</v></cell><cell r="L3865"><v>43309</v></cell><cell r="M3865" t="str"><v>Tier 0</v></cell><cell r="N3865" t="str"><v>North America</v></cell><cell r="O3865" t="str"><v>United States</v></cell><cell r="P3865" t="str"><v>Trial</v></cell><cell r="Q3865" t="str"><v>Social</v></cell><cell r="R3865" t="str"><v>Azure</v></cell><cell r="S3865" t="str"><v>Apps & Infra</v></cell><cell r="T3865" t="str"><v>Developers & ITI's</v></cell><cell r="U3865" t="str"><v>USA-Trial-ITD-Trial PayGo Lookalike-AZR-AZR</v></cell><cell r="V3865" t="str"><v>Lookalike Targeting</v></cell><cell r="W3865" t="str"><v>Canvas Ad</v></cell><cell r="X3865" t="str"><v>1x1</v></cell></row><row r="3865"><cell r="AA3865"><v>43308</v></cell><cell r="AB3865" t="str"><v>USA_gaPMG_AZR_AZR_Q1_19_Direct-Social</v></cell><cell r="AC3865"><v>21358715</v></cell><cell r="AD3865"><v>720197</v></cell><cell r="AE3865" t="str"><v>Facebook</v></cell><cell r="AF3865"><v>3654128</v></cell><cell r="AG3865" t="str"><v>FACEBOOK»USA-Trial-ITD-Trial PayGo Lookalike-AZR-AZR»1 x 1»SocialBan»CAN»ALL»CPA»LAL»X»NA»SS»NA»FBCTCBenefit2inMotion»PRC1Q1</v></cell><cell r="AH3865"><v>224104986</v></cell><cell r="AI3865" t="str"><v>AzurePlatform_FBCTCBenefit2inMotion_USA_10s_CAN_PLATFORM_English_Trial_Standard_STAN_TIN_T4_1</v></cell><cell r="AJ3865"><v>103043835</v></cell></row><row r="3866"><cell r="C3866" t="str"><v>43308FACEBOOK»USA-Trial-ITD-Trial PayGo Lookalike-AZR-AZR»1 x 1»SocialBan»CAN»ALL»CPA»LAL»X»NA»SS»NA»FBCTCBenefit2inMotion»PRC1Q1</v></cell><cell r="D3866" t="str"><v>43308224104986</v></cell><cell r="E3866" t="str"><v>43308103178645PRC1Q1</v></cell><cell r="F3866" t="str"><v>DCM</v></cell><cell r="G3866" t="str"><v>https://azure.microsoft.com/en-us/pricing/purchase-options/?v=18.19&OCID=AID%eexcid!_OLA_%ebuy!_%epid!_%ecid!</v></cell></row><row r="3866"><cell r="K3866" t="str"><v>July</v></cell><cell r="L3866"><v>43309</v></cell><cell r="M3866" t="str"><v>Tier 0</v></cell><cell r="N3866" t="str"><v>North America</v></cell><cell r="O3866" t="str"><v>United States</v></cell><cell r="P3866" t="str"><v>Trial</v></cell><cell r="Q3866" t="str"><v>Social</v></cell><cell r="R3866" t="str"><v>Azure</v></cell><cell r="S3866" t="str"><v>Apps & Infra</v></cell><cell r="T3866" t="str"><v>Developers & ITI's</v></cell><cell r="U3866" t="str"><v>USA-Trial-ITD-Trial PayGo Lookalike-AZR-AZR</v></cell><cell r="V3866" t="str"><v>Lookalike Targeting</v></cell><cell r="W3866" t="str"><v>Canvas Ad</v></cell><cell r="X3866" t="str"><v>1x1</v></cell></row><row r="3866"><cell r="AA3866"><v>43308</v></cell><cell r="AB3866" t="str"><v>USA_gaPMG_AZR_AZR_Q1_19_Direct-Social</v></cell><cell r="AC3866"><v>21358715</v></cell><cell r="AD3866"><v>720197</v></cell><cell r="AE3866" t="str"><v>Facebook</v></cell><cell r="AF3866"><v>3654128</v></cell><cell r="AG3866" t="str"><v>FACEBOOK»USA-Trial-ITD-Trial PayGo Lookalike-AZR-AZR»1 x 1»SocialBan»CAN»ALL»CPA»LAL»X»NA»SS»NA»FBCTCBenefit2inMotion»PRC1Q1</v></cell><cell r="AH3866"><v>224104986</v></cell><cell r="AI3866" t="str"><v>AzurePlatform_FBCTCBenefit2inMotion_USA_10s_CAN_PLATFORM_English_Trial_Standard_STAN_TIN_T4_2</v></cell><cell r="AJ3866"><v>103178645</v></cell></row><row r="3867"><cell r="C3867" t="str"><v>43308FACEBOOK»USA-Trial-ITD-Trial PayGo Lookalike-AZR-AZR»1 x 1»SocialBan»CAN»ALL»CPA»LAL»X»NA»SS»NA»FBCTCBrandinMotion»PRC1Q3</v></cell><cell r="D3867" t="str"><v>43308223935349</v></cell><cell r="E3867" t="str"><v>43308103176812PRC1Q3</v></cell><cell r="F3867" t="str"><v>DCM</v></cell><cell r="G3867" t="str"><v>https://signup.azure.com/?OCID=AID%eexcid!_OLA_%ebuy!_%epid!_%ecid!</v></cell></row><row r="3867"><cell r="K3867" t="str"><v>July</v></cell><cell r="L3867"><v>43309</v></cell><cell r="M3867" t="str"><v>Tier 0</v></cell><cell r="N3867" t="str"><v>North America</v></cell><cell r="O3867" t="str"><v>United States</v></cell><cell r="P3867" t="str"><v>Trial</v></cell><cell r="Q3867" t="str"><v>Social</v></cell><cell r="R3867" t="str"><v>Azure</v></cell><cell r="S3867" t="str"><v>Apps & Infra</v></cell><cell r="T3867" t="str"><v>Developers & ITI's</v></cell><cell r="U3867" t="str"><v>USA-Trial-ITD-Trial PayGo Lookalike-AZR-AZR</v></cell><cell r="V3867" t="str"><v>Lookalike Targeting</v></cell><cell r="W3867" t="str"><v>Canvas Ad</v></cell><cell r="X3867" t="str"><v>1x1</v></cell></row><row r="3867"><cell r="AA3867"><v>43308</v></cell><cell r="AB3867" t="str"><v>USA_gaPMG_AZR_AZR_Q1_19_Direct-Social</v></cell><cell r="AC3867"><v>21358715</v></cell><cell r="AD3867"><v>720197</v></cell><cell r="AE3867" t="str"><v>Facebook</v></cell><cell r="AF3867"><v>3654128</v></cell><cell r="AG3867" t="str"><v>FACEBOOK»USA-Trial-ITD-Trial PayGo Lookalike-AZR-AZR»1 x 1»SocialBan»CAN»ALL»CPA»LAL»X»NA»SS»NA»FBCTCBrandinMotion»PRC1Q3</v></cell><cell r="AH3867"><v>223935349</v></cell><cell r="AI3867" t="str"><v>AzurePlatform_FBCTCBrandinMotion_USA_10s_CAN_PLATFORM_English_Trial_Standard_STAN_TIN_T2_1</v></cell><cell r="AJ3867"><v>103176812</v></cell></row><row r="3868"><cell r="C3868" t="str"><v>43308FACEBOOK»USA-Trial-ITD-Trial PayGo Lookalike-AZR-AZR»1 x 1»SocialBan»LIA»ALL»CPA»LAL»X»NA»SS»NA»FreeAcctDeveloperFB-AnimatedGeneric-Ch1»PRC1Q6</v></cell><cell r="D3868" t="str"><v>43308224106129</v></cell><cell r="E3868" t="str"><v>43308103176851PRC1Q6</v></cell><cell r="F3868" t="str"><v>DCM</v></cell><cell r="G3868" t="str"><v>https://azure.microsoft.com/en-us/free/search/?OCID=AID%eexcid!_OLA_%ebuy!_%epid!_%ecid!</v></cell></row><row r="3868"><cell r="K3868" t="str"><v>July</v></cell><cell r="L3868"><v>43309</v></cell><cell r="M3868" t="str"><v>Tier 0</v></cell><cell r="N3868" t="str"><v>North America</v></cell><cell r="O3868" t="str"><v>United States</v></cell><cell r="P3868" t="str"><v>Trial</v></cell><cell r="Q3868" t="str"><v>Social</v></cell><cell r="R3868" t="str"><v>Azure</v></cell><cell r="S3868" t="str"><v>Apps & Infra</v></cell><cell r="T3868" t="str"><v>Developers & ITI's</v></cell><cell r="U3868" t="str"><v>USA-Trial-ITD-Trial PayGo Lookalike-AZR-AZR</v></cell><cell r="V3868" t="str"><v>Lookalike Targeting</v></cell><cell r="W3868" t="str"><v>Link Ad</v></cell><cell r="X3868" t="str"><v>1x1</v></cell></row><row r="3868"><cell r="AA3868"><v>43308</v></cell><cell r="AB3868" t="str"><v>USA_gaPMG_AZR_AZR_Q1_19_Direct-Social</v></cell><cell r="AC3868"><v>21358715</v></cell><cell r="AD3868"><v>720197</v></cell><cell r="AE3868" t="str"><v>Facebook</v></cell><cell r="AF3868"><v>3654128</v></cell><cell r="AG3868" t="str"><v>FACEBOOK»USA-Trial-ITD-Trial PayGo Lookalike-AZR-AZR»1 x 1»SocialBan»LIA»ALL»CPA»LAL»X»NA»SS»NA»FreeAcctDeveloperFB-AnimatedGeneric-Ch1»PRC1Q6</v></cell><cell r="AH3868"><v>224106129</v></cell><cell r="AI3868" t="str"><v>AZR_FreeAcctDeveloperFB-AnimatedGeneric-Ch1_USA_1200x1200_CAN_Direct_English_Trial_Standard_ANI_LEA_T1_2</v></cell><cell r="AJ3868"><v>103176851</v></cell></row><row r="3869"><cell r="C3869" t="str"><v>43308FACEBOOK»USA-Trial-ITD-Trial PayGo Lookalike-AZR-AZR»1 x 1»SocialBan»CCA»ALL»CPA»LAL»X»NA»SS»NA»Azure Developer Facebook Collections»PRSH6K</v></cell><cell r="D3869" t="str"><v>43308225217676</v></cell><cell r="E3869" t="str"><v>43308103773180PRSH6K</v></cell><cell r="F3869" t="str"><v>DCM</v></cell><cell r="G386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3869"><cell r="K3869" t="str"><v>July</v></cell><cell r="L3869"><v>43309</v></cell><cell r="M3869" t="str"><v>Tier 0</v></cell><cell r="N3869" t="str"><v>North America</v></cell><cell r="O3869" t="str"><v>United States</v></cell><cell r="P3869" t="str"><v>Trial</v></cell><cell r="Q3869" t="str"><v>Social</v></cell><cell r="R3869" t="str"><v>Azure</v></cell><cell r="S3869" t="str"><v>Apps & Infra</v></cell><cell r="T3869" t="str"><v>Developers & ITI's</v></cell><cell r="U3869" t="str"><v>USA-Trial-ITD-Trial PayGo Lookalike-AZR-AZR</v></cell><cell r="V3869" t="str"><v>Lookalike Targeting</v></cell><cell r="W3869" t="str"><v>Canvas Collection Ad</v></cell><cell r="X3869" t="str"><v>1x1</v></cell></row><row r="3869"><cell r="AA3869"><v>43308</v></cell><cell r="AB3869" t="str"><v>USA_gaPMG_AZR_AZR_Q1_19_Direct-Social</v></cell><cell r="AC3869"><v>21358715</v></cell><cell r="AD3869"><v>720197</v></cell><cell r="AE3869" t="str"><v>Facebook</v></cell><cell r="AF3869"><v>3654128</v></cell><cell r="AG3869" t="str"><v>FACEBOOK»USA-Trial-ITD-Trial PayGo Lookalike-AZR-AZR»1 x 1»SocialBan»CCA»ALL»CPA»LAL»X»NA»SS»NA»Azure Developer Facebook Collections»PRSH6K</v></cell><cell r="AH3869"><v>225217676</v></cell><cell r="AI3869" t="str"><v>AZR_FBCollections-SmartDataTryAzureFreeCTA-Img4_USA_1200x182_SOC_Plat_EN_NA_Standard_NA_TIN_T1_4</v></cell><cell r="AJ3869"><v>103773180</v></cell></row><row r="3870"><cell r="C3870" t="str"><v>43308FACEBOOK»USA-Trial-ITD-Interest Prospecting-AZR-AZR»1 x 1»SocialBan»LIA»ALL»CPA»PRO»X»NA»SS»NA»FreeAcctDeveloperFB-AnimatedAI-Ch3»PRC1T2</v></cell><cell r="D3870" t="str"><v>43308223862765</v></cell><cell r="E3870" t="str"><v>43308103032778PRC1T2</v></cell><cell r="F3870" t="str"><v>DCM</v></cell></row><row r="3870"><cell r="K3870" t="str"><v>July</v></cell><cell r="L3870"><v>43309</v></cell><cell r="M3870" t="str"><v>Tier 0</v></cell><cell r="N3870" t="str"><v>North America</v></cell><cell r="O3870" t="str"><v>United States</v></cell><cell r="P3870" t="str"><v>Trial</v></cell><cell r="Q3870" t="str"><v>Social</v></cell><cell r="R3870" t="str"><v>Azure</v></cell><cell r="S3870" t="str"><v>Apps & Infra</v></cell><cell r="T3870" t="str"><v>Developers & ITI's</v></cell><cell r="U3870" t="str"><v>USA-Trial-ITD-Interest Prospecting-AZR-AZR</v></cell><cell r="V3870" t="str"><v>Prospecting</v></cell><cell r="W3870" t="str"><v>Link Ad</v></cell><cell r="X3870" t="str"><v>1x1</v></cell></row><row r="3870"><cell r="AA3870"><v>43308</v></cell><cell r="AB3870" t="str"><v>USA_gaPMG_AZR_AZR_Q1_19_Direct-Social</v></cell><cell r="AC3870"><v>21358715</v></cell><cell r="AD3870"><v>720197</v></cell><cell r="AE3870" t="str"><v>Facebook</v></cell><cell r="AF3870"><v>3654128</v></cell><cell r="AG3870" t="str"><v>FACEBOOK»USA-Trial-ITD-Interest Prospecting-AZR-AZR»1 x 1»SocialBan»LIA»ALL»CPA»PRO»X»NA»SS»NA»FreeAcctDeveloperFB-AnimatedAI-Ch3»PRC1T2</v></cell><cell r="AH3870"><v>223862765</v></cell><cell r="AI3870" t="str"><v>AZR_FreeAcctDeveloperFB-AnimatedAI-Ch3_USA_1200x1200_CAN_Direct_English_Trial_Standard_ANI_LEA_T3_1</v></cell><cell r="AJ3870"><v>103032778</v></cell></row><row r="3871"><cell r="C3871" t="str"><v>43308FACEBOOK»USA-Trial-ITD-Interest Prospecting-AZR-AZR»1 x 1»SocialBan»LIA»ALL»CPA»PRO»X»NA»SS»NA»FreeAcctDeveloperFB-AnimatedData-Ch4»PRC1T3</v></cell><cell r="D3871" t="str"><v>43308223863380</v></cell><cell r="E3871" t="str"><v>43308103037935PRC1T3</v></cell><cell r="F3871" t="str"><v>DCM</v></cell></row><row r="3871"><cell r="K3871" t="str"><v>July</v></cell><cell r="L3871"><v>43309</v></cell><cell r="M3871" t="str"><v>Tier 0</v></cell><cell r="N3871" t="str"><v>North America</v></cell><cell r="O3871" t="str"><v>United States</v></cell><cell r="P3871" t="str"><v>Trial</v></cell><cell r="Q3871" t="str"><v>Social</v></cell><cell r="R3871" t="str"><v>Azure</v></cell><cell r="S3871" t="str"><v>Apps & Infra</v></cell><cell r="T3871" t="str"><v>Developers & ITI's</v></cell><cell r="U3871" t="str"><v>USA-Trial-ITD-Interest Prospecting-AZR-AZR</v></cell><cell r="V3871" t="str"><v>Prospecting</v></cell><cell r="W3871" t="str"><v>Link Ad</v></cell><cell r="X3871" t="str"><v>1x1</v></cell></row><row r="3871"><cell r="AA3871"><v>43308</v></cell><cell r="AB3871" t="str"><v>USA_gaPMG_AZR_AZR_Q1_19_Direct-Social</v></cell><cell r="AC3871"><v>21358715</v></cell><cell r="AD3871"><v>720197</v></cell><cell r="AE3871" t="str"><v>Facebook</v></cell><cell r="AF3871"><v>3654128</v></cell><cell r="AG3871" t="str"><v>FACEBOOK»USA-Trial-ITD-Interest Prospecting-AZR-AZR»1 x 1»SocialBan»LIA»ALL»CPA»PRO»X»NA»SS»NA»FreeAcctDeveloperFB-AnimatedData-Ch4»PRC1T3</v></cell><cell r="AH3871"><v>223863380</v></cell><cell r="AI3871" t="str"><v>AZR_FreeAcctDeveloperFB-AnimatedData-Ch4_USA_1200x1200_CAN_Direct_English_Trial_Standard_ANI_LEA_T4_2</v></cell><cell r="AJ3871"><v>103037935</v></cell></row><row r="3872"><cell r="C3872" t="str"><v>43308FACEBOOK»USA-Trial-ITD-Interest Prospecting-AZR-AZR»1 x 1»SocialBan»LIA»ALL»CPA»PRO»X»NA»SS»NA»FreeAcctDeveloperFB-AnimatedOpenSource-Ch2»PRC1T1</v></cell><cell r="D3872" t="str"><v>43308223862885</v></cell><cell r="E3872" t="str"><v>43308103048329PRC1T1</v></cell><cell r="F3872" t="str"><v>DCM</v></cell><cell r="G3872" t="str"><v>https://azure.microsoft.com/en-us/free/open-source/search/?OCID=AID%eexcid!_OLA_%ebuy!_%epid!_%ecid!</v></cell></row><row r="3872"><cell r="K3872" t="str"><v>July</v></cell><cell r="L3872"><v>43309</v></cell><cell r="M3872" t="str"><v>Tier 0</v></cell><cell r="N3872" t="str"><v>North America</v></cell><cell r="O3872" t="str"><v>United States</v></cell><cell r="P3872" t="str"><v>Trial</v></cell><cell r="Q3872" t="str"><v>Social</v></cell><cell r="R3872" t="str"><v>Azure</v></cell><cell r="S3872" t="str"><v>Apps & Infra</v></cell><cell r="T3872" t="str"><v>Developers & ITI's</v></cell><cell r="U3872" t="str"><v>USA-Trial-ITD-Interest Prospecting-AZR-AZR</v></cell><cell r="V3872" t="str"><v>Prospecting</v></cell><cell r="W3872" t="str"><v>Link Ad</v></cell><cell r="X3872" t="str"><v>1x1</v></cell></row><row r="3872"><cell r="AA3872"><v>43308</v></cell><cell r="AB3872" t="str"><v>USA_gaPMG_AZR_AZR_Q1_19_Direct-Social</v></cell><cell r="AC3872"><v>21358715</v></cell><cell r="AD3872"><v>720197</v></cell><cell r="AE3872" t="str"><v>Facebook</v></cell><cell r="AF3872"><v>3654128</v></cell><cell r="AG3872" t="str"><v>FACEBOOK»USA-Trial-ITD-Interest Prospecting-AZR-AZR»1 x 1»SocialBan»LIA»ALL»CPA»PRO»X»NA»SS»NA»FreeAcctDeveloperFB-AnimatedOpenSource-Ch2»PRC1T1</v></cell><cell r="AH3872"><v>223862885</v></cell><cell r="AI3872" t="str"><v>AZR_FreeAcctDeveloperFB-AnimatedOpenSource-Ch2_USA_1200x1200_CAN_Direct_English_Trial_Standard_ANI_LEA_T2_1</v></cell><cell r="AJ3872"><v>103048329</v></cell></row><row r="3873"><cell r="C3873" t="str"><v>43308FACEBOOK»USA-Trial-ITD-Interest Prospecting-AZR-AZR»1 x 1»SocialBan»LIA»ALL»CPA»PRO»X»NA»SS»NA»FreeAcctITProFB-AnimatedMigration-Ch3»PRC1X2</v></cell><cell r="D3873" t="str"><v>43308224106954</v></cell><cell r="E3873" t="str"><v>43308103176827PRC1X2</v></cell><cell r="F3873" t="str"><v>DCM</v></cell></row><row r="3873"><cell r="K3873" t="str"><v>July</v></cell><cell r="L3873"><v>43309</v></cell><cell r="M3873" t="str"><v>Tier 0</v></cell><cell r="N3873" t="str"><v>North America</v></cell><cell r="O3873" t="str"><v>United States</v></cell><cell r="P3873" t="str"><v>Trial</v></cell><cell r="Q3873" t="str"><v>Social</v></cell><cell r="R3873" t="str"><v>Azure</v></cell><cell r="S3873" t="str"><v>Apps & Infra</v></cell><cell r="T3873" t="str"><v>Developers & ITI's</v></cell><cell r="U3873" t="str"><v>USA-Trial-ITD-Interest Prospecting-AZR-AZR</v></cell><cell r="V3873" t="str"><v>Prospecting</v></cell><cell r="W3873" t="str"><v>Link Ad</v></cell><cell r="X3873" t="str"><v>1x1</v></cell></row><row r="3873"><cell r="AA3873"><v>43308</v></cell><cell r="AB3873" t="str"><v>USA_gaPMG_AZR_AZR_Q1_19_Direct-Social</v></cell><cell r="AC3873"><v>21358715</v></cell><cell r="AD3873"><v>720197</v></cell><cell r="AE3873" t="str"><v>Facebook</v></cell><cell r="AF3873"><v>3654128</v></cell><cell r="AG3873" t="str"><v>FACEBOOK»USA-Trial-ITD-Interest Prospecting-AZR-AZR»1 x 1»SocialBan»LIA»ALL»CPA»PRO»X»NA»SS»NA»FreeAcctITProFB-AnimatedMigration-Ch3»PRC1X2</v></cell><cell r="AH3873"><v>224106954</v></cell><cell r="AI3873" t="str"><v>AZR_FreeAcctITProFB-AnimatedMigration-Ch3_USA_1200x1200_CAN_Direct_English_Trial_Standard_ANI_LEA_T3_1</v></cell><cell r="AJ3873"><v>103176827</v></cell></row><row r="3874"><cell r="C3874" t="str"><v>43308FACEBOOK»USA-Trial-ITD-Retargeting-AZR-AZR»1 x 1»SocialBan»LIA»ALL»CPA»RT»X»NA»SS»NA»FreeAcctDeveloperFB-AnimatedGeneric-Ch1»PRC26D</v></cell><cell r="D3874" t="str"><v>43308223862870</v></cell><cell r="E3874" t="str"><v>43308103176851PRC26D</v></cell><cell r="F3874" t="str"><v>DCM</v></cell><cell r="G3874" t="str"><v>https://azure.microsoft.com/en-us/free/search/?OCID=AID%eexcid!_OLA_%ebuy!_%epid!_%ecid!</v></cell></row><row r="3874"><cell r="K3874" t="str"><v>July</v></cell><cell r="L3874"><v>43309</v></cell><cell r="M3874" t="str"><v>Tier 0</v></cell><cell r="N3874" t="str"><v>North America</v></cell><cell r="O3874" t="str"><v>United States</v></cell><cell r="P3874" t="str"><v>Trial</v></cell><cell r="Q3874" t="str"><v>Social</v></cell><cell r="R3874" t="str"><v>Azure</v></cell><cell r="S3874" t="str"><v>Apps & Infra</v></cell><cell r="T3874" t="str"><v>Developers & ITI's</v></cell><cell r="U3874" t="str"><v>USA-Trial-ITD-Retargeting-AZR-AZR</v></cell><cell r="V3874" t="str"><v>Retargeting</v></cell><cell r="W3874" t="str"><v>Link Ad</v></cell><cell r="X3874" t="str"><v>1x1</v></cell></row><row r="3874"><cell r="AA3874"><v>43308</v></cell><cell r="AB3874" t="str"><v>USA_gaPMG_AZR_AZR_Q1_19_Direct-Social</v></cell><cell r="AC3874"><v>21358715</v></cell><cell r="AD3874"><v>720197</v></cell><cell r="AE3874" t="str"><v>Facebook</v></cell><cell r="AF3874"><v>3654128</v></cell><cell r="AG3874" t="str"><v>FACEBOOK»USA-Trial-ITD-Retargeting-AZR-AZR»1 x 1»SocialBan»LIA»ALL»CPA»RT»X»NA»SS»NA»FreeAcctDeveloperFB-AnimatedGeneric-Ch1»PRC26D</v></cell><cell r="AH3874"><v>223862870</v></cell><cell r="AI3874" t="str"><v>AZR_FreeAcctDeveloperFB-AnimatedGeneric-Ch1_USA_1200x1200_CAN_Direct_English_Trial_Standard_ANI_LEA_T1_2</v></cell><cell r="AJ3874"><v>103176851</v></cell></row><row r="3875"><cell r="C3875" t="str"><v>43308FACEBOOK»USA-Trial-ITD-Retargeting-AZR-AZR»1 x 1»SocialBan»LIA»ALL»CPA»RT»X»NA»SS»NA»FreeAcctRetargetingOSSFB-Text-ChF»PRC1S1</v></cell><cell r="D3875" t="str"><v>43308223862753</v></cell><cell r="E3875" t="str"><v>43308103176869PRC1S1</v></cell><cell r="F3875" t="str"><v>DCM</v></cell><cell r="G3875" t="str"><v>https://azure.microsoft.com/en-us/free/open-source/search/?OCID=AID%eexcid!_OLA_%ebuy!_%epid!_%ecid!</v></cell></row><row r="3875"><cell r="K3875" t="str"><v>July</v></cell><cell r="L3875"><v>43309</v></cell><cell r="M3875" t="str"><v>Tier 0</v></cell><cell r="N3875" t="str"><v>North America</v></cell><cell r="O3875" t="str"><v>United States</v></cell><cell r="P3875" t="str"><v>Trial</v></cell><cell r="Q3875" t="str"><v>Social</v></cell><cell r="R3875" t="str"><v>Azure</v></cell><cell r="S3875" t="str"><v>Apps & Infra</v></cell><cell r="T3875" t="str"><v>Developers & ITI's</v></cell><cell r="U3875" t="str"><v>USA-Trial-ITD-Retargeting-AZR-AZR</v></cell><cell r="V3875" t="str"><v>Retargeting</v></cell><cell r="W3875" t="str"><v>Link Ad</v></cell><cell r="X3875" t="str"><v>1x1</v></cell></row><row r="3875"><cell r="AA3875"><v>43308</v></cell><cell r="AB3875" t="str"><v>USA_gaPMG_AZR_AZR_Q1_19_Direct-Social</v></cell><cell r="AC3875"><v>21358715</v></cell><cell r="AD3875"><v>720197</v></cell><cell r="AE3875" t="str"><v>Facebook</v></cell><cell r="AF3875"><v>3654128</v></cell><cell r="AG3875" t="str"><v>FACEBOOK»USA-Trial-ITD-Retargeting-AZR-AZR»1 x 1»SocialBan»LIA»ALL»CPA»RT»X»NA»SS»NA»FreeAcctRetargetingOSSFB-Text-ChF»PRC1S1</v></cell><cell r="AH3875"><v>223862753</v></cell><cell r="AI3875" t="str"><v>AzurePlatform_FreeAcctRetargetingOSSFB-Text-ChF_USA_1200x628_CAN_PLATFORM_English_Free Account_Standard_NA_SINU_T1_2</v></cell><cell r="AJ3875"><v>103176869</v></cell></row><row r="3876"><cell r="C3876" t="str"><v>43308FACEBOOK»USA-Trial-ITD-Retargeting-AZR-AZR»1 x 1»SocialBan»LIA»ALL»CPA»RT»X»NA»SS»NA»FreeAcctITProFB-AnimatedSecureMngd-Ch1»PRC26K</v></cell><cell r="D3876" t="str"><v>43308223862762</v></cell><cell r="E3876" t="str"><v>43308103176830PRC26K</v></cell><cell r="F3876" t="str"><v>DCM</v></cell></row><row r="3876"><cell r="K3876" t="str"><v>July</v></cell><cell r="L3876"><v>43309</v></cell><cell r="M3876" t="str"><v>Tier 0</v></cell><cell r="N3876" t="str"><v>North America</v></cell><cell r="O3876" t="str"><v>United States</v></cell><cell r="P3876" t="str"><v>Trial</v></cell><cell r="Q3876" t="str"><v>Social</v></cell><cell r="R3876" t="str"><v>Azure</v></cell><cell r="S3876" t="str"><v>Apps & Infra</v></cell><cell r="T3876" t="str"><v>Developers & ITI's</v></cell><cell r="U3876" t="str"><v>USA-Trial-ITD-Retargeting-AZR-AZR</v></cell><cell r="V3876" t="str"><v>Retargeting</v></cell><cell r="W3876" t="str"><v>Link Ad</v></cell><cell r="X3876" t="str"><v>1x1</v></cell></row><row r="3876"><cell r="AA3876"><v>43308</v></cell><cell r="AB3876" t="str"><v>USA_gaPMG_AZR_AZR_Q1_19_Direct-Social</v></cell><cell r="AC3876"><v>21358715</v></cell><cell r="AD3876"><v>720197</v></cell><cell r="AE3876" t="str"><v>Facebook</v></cell><cell r="AF3876"><v>3654128</v></cell><cell r="AG3876" t="str"><v>FACEBOOK»USA-Trial-ITD-Retargeting-AZR-AZR»1 x 1»SocialBan»LIA»ALL»CPA»RT»X»NA»SS»NA»FreeAcctITProFB-AnimatedSecureMngd-Ch1»PRC26K</v></cell><cell r="AH3876"><v>223862762</v></cell><cell r="AI3876" t="str"><v>AZR_FreeAcctITProFB-AnimatedSecureMngd-Ch1_USA_1200x1200_CAN_Direct_English_Trial_Standard_ANI_LEA_T1_1</v></cell><cell r="AJ3876"><v>103176830</v></cell></row><row r="3877"><cell r="C3877" t="str"><v>43308FACEBOOK»USA-Trial-ITD-Trial Lookalike-AZR-AZR»1 x 1»SocialBan»LIA»ALL»CPA»LAL»X»NA»SS»NA»FreeAcctDeveloperFB-AnimatedGeneric-Ch1»PRC1M4</v></cell><cell r="D3877" t="str"><v>43308224104941</v></cell><cell r="E3877" t="str"><v>43308103176851PRC1M4</v></cell><cell r="F3877" t="str"><v>DCM</v></cell><cell r="G3877" t="str"><v>https://azure.microsoft.com/en-us/free/search/?OCID=AID%eexcid!_OLA_%ebuy!_%epid!_%ecid!</v></cell></row><row r="3877"><cell r="K3877" t="str"><v>July</v></cell><cell r="L3877"><v>43309</v></cell><cell r="M3877" t="str"><v>Tier 0</v></cell><cell r="N3877" t="str"><v>North America</v></cell><cell r="O3877" t="str"><v>United States</v></cell><cell r="P3877" t="str"><v>Trial</v></cell><cell r="Q3877" t="str"><v>Social</v></cell><cell r="R3877" t="str"><v>Azure</v></cell><cell r="S3877" t="str"><v>Apps & Infra</v></cell><cell r="T3877" t="str"><v>Developers & ITI's</v></cell><cell r="U3877" t="str"><v>USA-Trial-ITD-Trial Lookalike-AZR-AZR</v></cell><cell r="V3877" t="str"><v>Lookalike Targeting</v></cell><cell r="W3877" t="str"><v>Link Ad</v></cell><cell r="X3877" t="str"><v>1x1</v></cell></row><row r="3877"><cell r="AA3877"><v>43308</v></cell><cell r="AB3877" t="str"><v>USA_gaPMG_AZR_AZR_Q1_19_Direct-Social</v></cell><cell r="AC3877"><v>21358715</v></cell><cell r="AD3877"><v>720197</v></cell><cell r="AE3877" t="str"><v>Facebook</v></cell><cell r="AF3877"><v>3654128</v></cell><cell r="AG3877" t="str"><v>FACEBOOK»USA-Trial-ITD-Trial Lookalike-AZR-AZR»1 x 1»SocialBan»LIA»ALL»CPA»LAL»X»NA»SS»NA»FreeAcctDeveloperFB-AnimatedGeneric-Ch1»PRC1M4</v></cell><cell r="AH3877"><v>224104941</v></cell><cell r="AI3877" t="str"><v>AZR_FreeAcctDeveloperFB-AnimatedGeneric-Ch1_USA_1200x1200_CAN_Direct_English_Trial_Standard_ANI_LEA_T1_2</v></cell><cell r="AJ3877"><v>103176851</v></cell></row><row r="3878"><cell r="C3878" t="str"><v>43308FACEBOOK»USA-Trial-ITD-Trial Lookalike-AZR-AZR»1 x 1»SocialBan»LIA»ALL»CPA»LAL»X»NA»SS»NA»FreeAcctDeveloperFB-AnimatedGeneric-Ch1»PRC1M5</v></cell><cell r="D3878" t="str"><v>43308223934083</v></cell><cell r="E3878" t="str"><v>43308103176851PRC1M5</v></cell><cell r="F3878" t="str"><v>DCM</v></cell><cell r="G3878" t="str"><v>https://azure.microsoft.com/en-us/free/search/?OCID=AID%eexcid!_OLA_%ebuy!_%epid!_%ecid!</v></cell></row><row r="3878"><cell r="K3878" t="str"><v>July</v></cell><cell r="L3878"><v>43309</v></cell><cell r="M3878" t="str"><v>Tier 0</v></cell><cell r="N3878" t="str"><v>North America</v></cell><cell r="O3878" t="str"><v>United States</v></cell><cell r="P3878" t="str"><v>Trial</v></cell><cell r="Q3878" t="str"><v>Social</v></cell><cell r="R3878" t="str"><v>Azure</v></cell><cell r="S3878" t="str"><v>Apps & Infra</v></cell><cell r="T3878" t="str"><v>Developers & ITI's</v></cell><cell r="U3878" t="str"><v>USA-Trial-ITD-Trial Lookalike-AZR-AZR</v></cell><cell r="V3878" t="str"><v>Lookalike Targeting</v></cell><cell r="W3878" t="str"><v>Link Ad</v></cell><cell r="X3878" t="str"><v>1x1</v></cell></row><row r="3878"><cell r="AA3878"><v>43308</v></cell><cell r="AB3878" t="str"><v>USA_gaPMG_AZR_AZR_Q1_19_Direct-Social</v></cell><cell r="AC3878"><v>21358715</v></cell><cell r="AD3878"><v>720197</v></cell><cell r="AE3878" t="str"><v>Facebook</v></cell><cell r="AF3878"><v>3654128</v></cell><cell r="AG3878" t="str"><v>FACEBOOK»USA-Trial-ITD-Trial Lookalike-AZR-AZR»1 x 1»SocialBan»LIA»ALL»CPA»LAL»X»NA»SS»NA»FreeAcctDeveloperFB-AnimatedGeneric-Ch1»PRC1M5</v></cell><cell r="AH3878"><v>223934083</v></cell><cell r="AI3878" t="str"><v>AZR_FreeAcctDeveloperFB-AnimatedGeneric-Ch1_USA_1200x1200_CAN_Direct_English_Trial_Standard_ANI_LEA_T1_2</v></cell><cell r="AJ3878"><v>103176851</v></cell></row><row r="3879"><cell r="C3879" t="str"><v>43308FACEBOOK»USA-Trial-ITD-Trial Lookalike-AZR-AZR»1 x 1»SocialBan»LIA»ALL»CPA»LAL»X»NA»SS»NA»FreeAcctDeveloperFB-AnimatedOpenSource-Ch2»PRC1M6</v></cell><cell r="D3879" t="str"><v>43308223935628</v></cell><cell r="E3879" t="str"><v>43308103048329PRC1M6</v></cell><cell r="F3879" t="str"><v>DCM</v></cell><cell r="G3879" t="str"><v>https://azure.microsoft.com/en-us/free/open-source/search/?OCID=AID%eexcid!_OLA_%ebuy!_%epid!_%ecid!</v></cell></row><row r="3879"><cell r="K3879" t="str"><v>July</v></cell><cell r="L3879"><v>43309</v></cell><cell r="M3879" t="str"><v>Tier 0</v></cell><cell r="N3879" t="str"><v>North America</v></cell><cell r="O3879" t="str"><v>United States</v></cell><cell r="P3879" t="str"><v>Trial</v></cell><cell r="Q3879" t="str"><v>Social</v></cell><cell r="R3879" t="str"><v>Azure</v></cell><cell r="S3879" t="str"><v>Apps & Infra</v></cell><cell r="T3879" t="str"><v>Developers & ITI's</v></cell><cell r="U3879" t="str"><v>USA-Trial-ITD-Trial Lookalike-AZR-AZR</v></cell><cell r="V3879" t="str"><v>Lookalike Targeting</v></cell><cell r="W3879" t="str"><v>Link Ad</v></cell><cell r="X3879" t="str"><v>1x1</v></cell></row><row r="3879"><cell r="AA3879"><v>43308</v></cell><cell r="AB3879" t="str"><v>USA_gaPMG_AZR_AZR_Q1_19_Direct-Social</v></cell><cell r="AC3879"><v>21358715</v></cell><cell r="AD3879"><v>720197</v></cell><cell r="AE3879" t="str"><v>Facebook</v></cell><cell r="AF3879"><v>3654128</v></cell><cell r="AG3879" t="str"><v>FACEBOOK»USA-Trial-ITD-Trial Lookalike-AZR-AZR»1 x 1»SocialBan»LIA»ALL»CPA»LAL»X»NA»SS»NA»FreeAcctDeveloperFB-AnimatedOpenSource-Ch2»PRC1M6</v></cell><cell r="AH3879"><v>223935628</v></cell><cell r="AI3879" t="str"><v>AZR_FreeAcctDeveloperFB-AnimatedOpenSource-Ch2_USA_1200x1200_CAN_Direct_English_Trial_Standard_ANI_LEA_T2_1</v></cell><cell r="AJ3879"><v>103048329</v></cell></row><row r="3880"><cell r="C3880" t="str"><v>43308FACEBOOK»USA-Trial-ITD-Trial Lookalike-AZR-AZR»1 x 1»SocialBan»LIA»ALL»CPA»LAL»X»NA»SS»NA»FreeAcctITProFB-AnimatedMigration-Ch3»PRC23N</v></cell><cell r="D3880" t="str"><v>43308223935637</v></cell><cell r="E3880" t="str"><v>43308103176827PRC23N</v></cell><cell r="F3880" t="str"><v>DCM</v></cell></row><row r="3880"><cell r="K3880" t="str"><v>July</v></cell><cell r="L3880"><v>43309</v></cell><cell r="M3880" t="str"><v>Tier 0</v></cell><cell r="N3880" t="str"><v>North America</v></cell><cell r="O3880" t="str"><v>United States</v></cell><cell r="P3880" t="str"><v>Trial</v></cell><cell r="Q3880" t="str"><v>Social</v></cell><cell r="R3880" t="str"><v>Azure</v></cell><cell r="S3880" t="str"><v>Apps & Infra</v></cell><cell r="T3880" t="str"><v>Developers & ITI's</v></cell><cell r="U3880" t="str"><v>USA-Trial-ITD-Trial Lookalike-AZR-AZR</v></cell><cell r="V3880" t="str"><v>Lookalike Targeting</v></cell><cell r="W3880" t="str"><v>Link Ad</v></cell><cell r="X3880" t="str"><v>1x1</v></cell></row><row r="3880"><cell r="AA3880"><v>43308</v></cell><cell r="AB3880" t="str"><v>USA_gaPMG_AZR_AZR_Q1_19_Direct-Social</v></cell><cell r="AC3880"><v>21358715</v></cell><cell r="AD3880"><v>720197</v></cell><cell r="AE3880" t="str"><v>Facebook</v></cell><cell r="AF3880"><v>3654128</v></cell><cell r="AG3880" t="str"><v>FACEBOOK»USA-Trial-ITD-Trial Lookalike-AZR-AZR»1 x 1»SocialBan»LIA»ALL»CPA»LAL»X»NA»SS»NA»FreeAcctITProFB-AnimatedMigration-Ch3»PRC23N</v></cell><cell r="AH3880"><v>223935637</v></cell><cell r="AI3880" t="str"><v>AZR_FreeAcctITProFB-AnimatedMigration-Ch3_USA_1200x1200_CAN_Direct_English_Trial_Standard_ANI_LEA_T3_1</v></cell><cell r="AJ3880"><v>103176827</v></cell></row><row r="3881"><cell r="C3881" t="str"><v>43308FACEBOOK»USA-Trial-ITD-Trial Lookalike-AZR-AZR»1 x 1»SocialBan»LIA»ALL»CPA»LAL»X»NA»SS»NA»FreeAcctITProFB-AnimatedSecureMngd-Ch1»PRC1M9</v></cell><cell r="D3881" t="str"><v>43308224104959</v></cell><cell r="E3881" t="str"><v>43308103176830PRC1M9</v></cell><cell r="F3881" t="str"><v>DCM</v></cell></row><row r="3881"><cell r="K3881" t="str"><v>July</v></cell><cell r="L3881"><v>43309</v></cell><cell r="M3881" t="str"><v>Tier 0</v></cell><cell r="N3881" t="str"><v>North America</v></cell><cell r="O3881" t="str"><v>United States</v></cell><cell r="P3881" t="str"><v>Trial</v></cell><cell r="Q3881" t="str"><v>Social</v></cell><cell r="R3881" t="str"><v>Azure</v></cell><cell r="S3881" t="str"><v>Apps & Infra</v></cell><cell r="T3881" t="str"><v>Developers & ITI's</v></cell><cell r="U3881" t="str"><v>USA-Trial-ITD-Trial Lookalike-AZR-AZR</v></cell><cell r="V3881" t="str"><v>Lookalike Targeting</v></cell><cell r="W3881" t="str"><v>Link Ad</v></cell><cell r="X3881" t="str"><v>1x1</v></cell></row><row r="3881"><cell r="AA3881"><v>43308</v></cell><cell r="AB3881" t="str"><v>USA_gaPMG_AZR_AZR_Q1_19_Direct-Social</v></cell><cell r="AC3881"><v>21358715</v></cell><cell r="AD3881"><v>720197</v></cell><cell r="AE3881" t="str"><v>Facebook</v></cell><cell r="AF3881"><v>3654128</v></cell><cell r="AG3881" t="str"><v>FACEBOOK»USA-Trial-ITD-Trial Lookalike-AZR-AZR»1 x 1»SocialBan»LIA»ALL»CPA»LAL»X»NA»SS»NA»FreeAcctITProFB-AnimatedSecureMngd-Ch1»PRC1M9</v></cell><cell r="AH3881"><v>224104959</v></cell><cell r="AI3881" t="str"><v>AZR_FreeAcctITProFB-AnimatedSecureMngd-Ch1_USA_1200x1200_CAN_Direct_English_Trial_Standard_ANI_LEA_T1_1</v></cell><cell r="AJ3881"><v>103176830</v></cell></row><row r="3882"><cell r="C3882" t="str"><v>43308FACEBOOK»USA-Trial-ITD-Trial Lookalike-AZR-AZR»1 x 1»SocialBan»CAN»ALL»CPA»LAL»X»NA»SS»NA»FBCTCBasicMotion»PRC1LZ</v></cell><cell r="D3882" t="str"><v>43308223862915</v></cell><cell r="E3882" t="str"><v>43308103043823PRC1LZ</v></cell><cell r="F3882" t="str"><v>DCM</v></cell><cell r="G3882" t="str"><v>https://signup.azure.com/?OCID=AID%eexcid!_OLA_%ebuy!_%epid!_%ecid!</v></cell></row><row r="3882"><cell r="K3882" t="str"><v>July</v></cell><cell r="L3882"><v>43309</v></cell><cell r="M3882" t="str"><v>Tier 0</v></cell><cell r="N3882" t="str"><v>North America</v></cell><cell r="O3882" t="str"><v>United States</v></cell><cell r="P3882" t="str"><v>Trial</v></cell><cell r="Q3882" t="str"><v>Social</v></cell><cell r="R3882" t="str"><v>Azure</v></cell><cell r="S3882" t="str"><v>Apps & Infra</v></cell><cell r="T3882" t="str"><v>Developers & ITI's</v></cell><cell r="U3882" t="str"><v>USA-Trial-ITD-Trial Lookalike-AZR-AZR</v></cell><cell r="V3882" t="str"><v>Lookalike Targeting</v></cell><cell r="W3882" t="str"><v>Canvas Ad</v></cell><cell r="X3882" t="str"><v>1x1</v></cell></row><row r="3882"><cell r="AA3882"><v>43308</v></cell><cell r="AB3882" t="str"><v>USA_gaPMG_AZR_AZR_Q1_19_Direct-Social</v></cell><cell r="AC3882"><v>21358715</v></cell><cell r="AD3882"><v>720197</v></cell><cell r="AE3882" t="str"><v>Facebook</v></cell><cell r="AF3882"><v>3654128</v></cell><cell r="AG3882" t="str"><v>FACEBOOK»USA-Trial-ITD-Trial Lookalike-AZR-AZR»1 x 1»SocialBan»CAN»ALL»CPA»LAL»X»NA»SS»NA»FBCTCBasicMotion»PRC1LZ</v></cell><cell r="AH3882"><v>223862915</v></cell><cell r="AI3882" t="str"><v>AzurePlatform_FBCTCBasicMotion_USA_10s_CAN_PLATFORM_English_Trial_Standard_STAN_TIN_T1_1</v></cell><cell r="AJ3882"><v>103043823</v></cell></row><row r="3883"><cell r="C3883" t="str"><v>43308FACEBOOK»USA-Trial-ITD-Trial Lookalike-AZR-AZR»1 x 1»SocialBan»CAN»ALL»CPA»LAL»X»NA»SS»NA»FBCTCBasicMotion»PRC1LZ</v></cell><cell r="D3883" t="str"><v>43308223862915</v></cell><cell r="E3883" t="str"><v>43308103175984PRC1LZ</v></cell><cell r="F3883" t="str"><v>DCM</v></cell><cell r="G3883" t="str"><v>https://azure.microsoft.com/en-us/pricing/purchase-options/?v=18.19&OCID=AID%eexcid!_OLA_%ebuy!_%epid!_%ecid!</v></cell></row><row r="3883"><cell r="K3883" t="str"><v>July</v></cell><cell r="L3883"><v>43309</v></cell><cell r="M3883" t="str"><v>Tier 0</v></cell><cell r="N3883" t="str"><v>North America</v></cell><cell r="O3883" t="str"><v>United States</v></cell><cell r="P3883" t="str"><v>Trial</v></cell><cell r="Q3883" t="str"><v>Social</v></cell><cell r="R3883" t="str"><v>Azure</v></cell><cell r="S3883" t="str"><v>Apps & Infra</v></cell><cell r="T3883" t="str"><v>Developers & ITI's</v></cell><cell r="U3883" t="str"><v>USA-Trial-ITD-Trial Lookalike-AZR-AZR</v></cell><cell r="V3883" t="str"><v>Lookalike Targeting</v></cell><cell r="W3883" t="str"><v>Canvas Ad</v></cell><cell r="X3883" t="str"><v>1x1</v></cell></row><row r="3883"><cell r="AA3883"><v>43308</v></cell><cell r="AB3883" t="str"><v>USA_gaPMG_AZR_AZR_Q1_19_Direct-Social</v></cell><cell r="AC3883"><v>21358715</v></cell><cell r="AD3883"><v>720197</v></cell><cell r="AE3883" t="str"><v>Facebook</v></cell><cell r="AF3883"><v>3654128</v></cell><cell r="AG3883" t="str"><v>FACEBOOK»USA-Trial-ITD-Trial Lookalike-AZR-AZR»1 x 1»SocialBan»CAN»ALL»CPA»LAL»X»NA»SS»NA»FBCTCBasicMotion»PRC1LZ</v></cell><cell r="AH3883"><v>223862915</v></cell><cell r="AI3883" t="str"><v>AzurePlatform_FBCTCBasicMotion_USA_10s_CAN_PLATFORM_English_Trial_Standard_STAN_TIN_T1_2</v></cell><cell r="AJ3883"><v>103175984</v></cell></row><row r="3884"><cell r="C3884" t="str"><v>43308FACEBOOK»USA-Trial-ITD-Trial PayGo Lookalike-AZR-AZR»1 x 1»SocialBan»CAN»ALL»CPA»LAL»X»NA»SS»NA»FBCTCBasicMotion»PRC1Q0</v></cell><cell r="D3884" t="str"><v>43308223935664</v></cell><cell r="E3884" t="str"><v>43308103043823PRC1Q0</v></cell><cell r="F3884" t="str"><v>DCM</v></cell><cell r="G3884" t="str"><v>https://signup.azure.com/?OCID=AID%eexcid!_OLA_%ebuy!_%epid!_%ecid!</v></cell></row><row r="3884"><cell r="K3884" t="str"><v>July</v></cell><cell r="L3884"><v>43309</v></cell><cell r="M3884" t="str"><v>Tier 0</v></cell><cell r="N3884" t="str"><v>North America</v></cell><cell r="O3884" t="str"><v>United States</v></cell><cell r="P3884" t="str"><v>Trial</v></cell><cell r="Q3884" t="str"><v>Social</v></cell><cell r="R3884" t="str"><v>Azure</v></cell><cell r="S3884" t="str"><v>Apps & Infra</v></cell><cell r="T3884" t="str"><v>Developers & ITI's</v></cell><cell r="U3884" t="str"><v>USA-Trial-ITD-Trial PayGo Lookalike-AZR-AZR</v></cell><cell r="V3884" t="str"><v>Lookalike Targeting</v></cell><cell r="W3884" t="str"><v>Canvas Ad</v></cell><cell r="X3884" t="str"><v>1x1</v></cell></row><row r="3884"><cell r="AA3884"><v>43308</v></cell><cell r="AB3884" t="str"><v>USA_gaPMG_AZR_AZR_Q1_19_Direct-Social</v></cell><cell r="AC3884"><v>21358715</v></cell><cell r="AD3884"><v>720197</v></cell><cell r="AE3884" t="str"><v>Facebook</v></cell><cell r="AF3884"><v>3654128</v></cell><cell r="AG3884" t="str"><v>FACEBOOK»USA-Trial-ITD-Trial PayGo Lookalike-AZR-AZR»1 x 1»SocialBan»CAN»ALL»CPA»LAL»X»NA»SS»NA»FBCTCBasicMotion»PRC1Q0</v></cell><cell r="AH3884"><v>223935664</v></cell><cell r="AI3884" t="str"><v>AzurePlatform_FBCTCBasicMotion_USA_10s_CAN_PLATFORM_English_Trial_Standard_STAN_TIN_T1_1</v></cell><cell r="AJ3884"><v>103043823</v></cell></row><row r="3885"><cell r="C3885" t="str"><v>43308FACEBOOK»USA-Trial-ITD-Trial PayGo Lookalike-AZR-AZR»1 x 1»SocialBan»LIA»ALL»CPA»LAL»X»NA»SS»NA»FreeAcctDeveloperFB-AnimatedAI-Ch3»PRC1Q8</v></cell><cell r="D3885" t="str"><v>43308224104983</v></cell><cell r="E3885" t="str"><v>43308103032778PRC1Q8</v></cell><cell r="F3885" t="str"><v>DCM</v></cell></row><row r="3885"><cell r="K3885" t="str"><v>July</v></cell><cell r="L3885"><v>43309</v></cell><cell r="M3885" t="str"><v>Tier 0</v></cell><cell r="N3885" t="str"><v>North America</v></cell><cell r="O3885" t="str"><v>United States</v></cell><cell r="P3885" t="str"><v>Trial</v></cell><cell r="Q3885" t="str"><v>Social</v></cell><cell r="R3885" t="str"><v>Azure</v></cell><cell r="S3885" t="str"><v>Apps & Infra</v></cell><cell r="T3885" t="str"><v>Developers & ITI's</v></cell><cell r="U3885" t="str"><v>USA-Trial-ITD-Trial PayGo Lookalike-AZR-AZR</v></cell><cell r="V3885" t="str"><v>Lookalike Targeting</v></cell><cell r="W3885" t="str"><v>Link Ad</v></cell><cell r="X3885" t="str"><v>1x1</v></cell></row><row r="3885"><cell r="AA3885"><v>43308</v></cell><cell r="AB3885" t="str"><v>USA_gaPMG_AZR_AZR_Q1_19_Direct-Social</v></cell><cell r="AC3885"><v>21358715</v></cell><cell r="AD3885"><v>720197</v></cell><cell r="AE3885" t="str"><v>Facebook</v></cell><cell r="AF3885"><v>3654128</v></cell><cell r="AG3885" t="str"><v>FACEBOOK»USA-Trial-ITD-Trial PayGo Lookalike-AZR-AZR»1 x 1»SocialBan»LIA»ALL»CPA»LAL»X»NA»SS»NA»FreeAcctDeveloperFB-AnimatedAI-Ch3»PRC1Q8</v></cell><cell r="AH3885"><v>224104983</v></cell><cell r="AI3885" t="str"><v>AZR_FreeAcctDeveloperFB-AnimatedAI-Ch3_USA_1200x1200_CAN_Direct_English_Trial_Standard_ANI_LEA_T3_1</v></cell><cell r="AJ3885"><v>103032778</v></cell></row><row r="3886"><cell r="C3886" t="str"><v>43308FACEBOOK»USA-Trial-ITD-Trial PayGo Lookalike-AZR-AZR»1 x 1»SocialBan»LIA»ALL»CPA»LAL»X»NA»SS»NA»FreeAcctDeveloperFB-AnimatedData-Ch4»PRC1Q9</v></cell><cell r="D3886" t="str"><v>43308224106990</v></cell><cell r="E3886" t="str"><v>43308103037935PRC1Q9</v></cell><cell r="F3886" t="str"><v>DCM</v></cell></row><row r="3886"><cell r="K3886" t="str"><v>July</v></cell><cell r="L3886"><v>43309</v></cell><cell r="M3886" t="str"><v>Tier 0</v></cell><cell r="N3886" t="str"><v>North America</v></cell><cell r="O3886" t="str"><v>United States</v></cell><cell r="P3886" t="str"><v>Trial</v></cell><cell r="Q3886" t="str"><v>Social</v></cell><cell r="R3886" t="str"><v>Azure</v></cell><cell r="S3886" t="str"><v>Apps & Infra</v></cell><cell r="T3886" t="str"><v>Developers & ITI's</v></cell><cell r="U3886" t="str"><v>USA-Trial-ITD-Trial PayGo Lookalike-AZR-AZR</v></cell><cell r="V3886" t="str"><v>Lookalike Targeting</v></cell><cell r="W3886" t="str"><v>Link Ad</v></cell><cell r="X3886" t="str"><v>1x1</v></cell></row><row r="3886"><cell r="AA3886"><v>43308</v></cell><cell r="AB3886" t="str"><v>USA_gaPMG_AZR_AZR_Q1_19_Direct-Social</v></cell><cell r="AC3886"><v>21358715</v></cell><cell r="AD3886"><v>720197</v></cell><cell r="AE3886" t="str"><v>Facebook</v></cell><cell r="AF3886"><v>3654128</v></cell><cell r="AG3886" t="str"><v>FACEBOOK»USA-Trial-ITD-Trial PayGo Lookalike-AZR-AZR»1 x 1»SocialBan»LIA»ALL»CPA»LAL»X»NA»SS»NA»FreeAcctDeveloperFB-AnimatedData-Ch4»PRC1Q9</v></cell><cell r="AH3886"><v>224106990</v></cell><cell r="AI3886" t="str"><v>AZR_FreeAcctDeveloperFB-AnimatedData-Ch4_USA_1200x1200_CAN_Direct_English_Trial_Standard_ANI_LEA_T4_2</v></cell><cell r="AJ3886"><v>103037935</v></cell></row><row r="3887"><cell r="C3887" t="str"><v>43308FACEBOOK»USA-Trial-ITD-Trial PayGo Lookalike-AZR-AZR»1 x 1»SocialBan»LIA»ALL»CPA»LAL»X»NA»SS»NA»FreeAcctDeveloperFB-AnimatedGeneric-Ch1»PRC1Q5</v></cell><cell r="D3887" t="str"><v>43308224104092</v></cell><cell r="E3887" t="str"><v>43308103176851PRC1Q5</v></cell><cell r="F3887" t="str"><v>DCM</v></cell><cell r="G3887" t="str"><v>https://azure.microsoft.com/en-us/free/search/?OCID=AID%eexcid!_OLA_%ebuy!_%epid!_%ecid!</v></cell></row><row r="3887"><cell r="K3887" t="str"><v>July</v></cell><cell r="L3887"><v>43309</v></cell><cell r="M3887" t="str"><v>Tier 0</v></cell><cell r="N3887" t="str"><v>North America</v></cell><cell r="O3887" t="str"><v>United States</v></cell><cell r="P3887" t="str"><v>Trial</v></cell><cell r="Q3887" t="str"><v>Social</v></cell><cell r="R3887" t="str"><v>Azure</v></cell><cell r="S3887" t="str"><v>Apps & Infra</v></cell><cell r="T3887" t="str"><v>Developers & ITI's</v></cell><cell r="U3887" t="str"><v>USA-Trial-ITD-Trial PayGo Lookalike-AZR-AZR</v></cell><cell r="V3887" t="str"><v>Lookalike Targeting</v></cell><cell r="W3887" t="str"><v>Link Ad</v></cell><cell r="X3887" t="str"><v>1x1</v></cell></row><row r="3887"><cell r="AA3887"><v>43308</v></cell><cell r="AB3887" t="str"><v>USA_gaPMG_AZR_AZR_Q1_19_Direct-Social</v></cell><cell r="AC3887"><v>21358715</v></cell><cell r="AD3887"><v>720197</v></cell><cell r="AE3887" t="str"><v>Facebook</v></cell><cell r="AF3887"><v>3654128</v></cell><cell r="AG3887" t="str"><v>FACEBOOK»USA-Trial-ITD-Trial PayGo Lookalike-AZR-AZR»1 x 1»SocialBan»LIA»ALL»CPA»LAL»X»NA»SS»NA»FreeAcctDeveloperFB-AnimatedGeneric-Ch1»PRC1Q5</v></cell><cell r="AH3887"><v>224104092</v></cell><cell r="AI3887" t="str"><v>AZR_FreeAcctDeveloperFB-AnimatedGeneric-Ch1_USA_1200x1200_CAN_Direct_English_Trial_Standard_ANI_LEA_T1_2</v></cell><cell r="AJ3887"><v>103176851</v></cell></row><row r="3888"><cell r="C3888" t="str"><v>43308FACEBOOK»USA-Trial-ITD-Trial PayGo Lookalike-AZR-AZR»1 x 1»SocialBan»LIA»ALL»CPA»LAL»X»NA»SS»NA»FreeAcctITProFB-AnimatedHybrid-Ch2»PRC1QC</v></cell><cell r="D3888" t="str"><v>43308223933186</v></cell><cell r="E3888" t="str"><v>43308103180583PRC1QC</v></cell><cell r="F3888" t="str"><v>DCM</v></cell></row><row r="3888"><cell r="K3888" t="str"><v>July</v></cell><cell r="L3888"><v>43309</v></cell><cell r="M3888" t="str"><v>Tier 0</v></cell><cell r="N3888" t="str"><v>North America</v></cell><cell r="O3888" t="str"><v>United States</v></cell><cell r="P3888" t="str"><v>Trial</v></cell><cell r="Q3888" t="str"><v>Social</v></cell><cell r="R3888" t="str"><v>Azure</v></cell><cell r="S3888" t="str"><v>Apps & Infra</v></cell><cell r="T3888" t="str"><v>Developers & ITI's</v></cell><cell r="U3888" t="str"><v>USA-Trial-ITD-Trial PayGo Lookalike-AZR-AZR</v></cell><cell r="V3888" t="str"><v>Lookalike Targeting</v></cell><cell r="W3888" t="str"><v>Link Ad</v></cell><cell r="X3888" t="str"><v>1x1</v></cell></row><row r="3888"><cell r="AA3888"><v>43308</v></cell><cell r="AB3888" t="str"><v>USA_gaPMG_AZR_AZR_Q1_19_Direct-Social</v></cell><cell r="AC3888"><v>21358715</v></cell><cell r="AD3888"><v>720197</v></cell><cell r="AE3888" t="str"><v>Facebook</v></cell><cell r="AF3888"><v>3654128</v></cell><cell r="AG3888" t="str"><v>FACEBOOK»USA-Trial-ITD-Trial PayGo Lookalike-AZR-AZR»1 x 1»SocialBan»LIA»ALL»CPA»LAL»X»NA»SS»NA»FreeAcctITProFB-AnimatedHybrid-Ch2»PRC1QC</v></cell><cell r="AH3888"><v>223933186</v></cell><cell r="AI3888" t="str"><v>AZR_FreeAcctITProFB-AnimatedHybrid-Ch2_USA_1200x1200_CAN_Direct_English_Trial_Standard_ANI_LEA_T2_2</v></cell><cell r="AJ3888"><v>103180583</v></cell></row><row r="3889"><cell r="C3889" t="str"><v>43308FACEBOOK»USA-Trial-ITD-Trial PayGo Lookalike-AZR-AZR»1 x 1»SocialBan»LIA»ALL»CPA»LAL»X»NA»SS»NA»FreeAcctITProFB-AnimatedMigration-Ch3»PRC23Y</v></cell><cell r="D3889" t="str"><v>43308224105904</v></cell><cell r="E3889" t="str"><v>43308103176827PRC23Y</v></cell><cell r="F3889" t="str"><v>DCM</v></cell></row><row r="3889"><cell r="K3889" t="str"><v>July</v></cell><cell r="L3889"><v>43309</v></cell><cell r="M3889" t="str"><v>Tier 0</v></cell><cell r="N3889" t="str"><v>North America</v></cell><cell r="O3889" t="str"><v>United States</v></cell><cell r="P3889" t="str"><v>Trial</v></cell><cell r="Q3889" t="str"><v>Social</v></cell><cell r="R3889" t="str"><v>Azure</v></cell><cell r="S3889" t="str"><v>Apps & Infra</v></cell><cell r="T3889" t="str"><v>Developers & ITI's</v></cell><cell r="U3889" t="str"><v>USA-Trial-ITD-Trial PayGo Lookalike-AZR-AZR</v></cell><cell r="V3889" t="str"><v>Lookalike Targeting</v></cell><cell r="W3889" t="str"><v>Link Ad</v></cell><cell r="X3889" t="str"><v>1x1</v></cell></row><row r="3889"><cell r="AA3889"><v>43308</v></cell><cell r="AB3889" t="str"><v>USA_gaPMG_AZR_AZR_Q1_19_Direct-Social</v></cell><cell r="AC3889"><v>21358715</v></cell><cell r="AD3889"><v>720197</v></cell><cell r="AE3889" t="str"><v>Facebook</v></cell><cell r="AF3889"><v>3654128</v></cell><cell r="AG3889" t="str"><v>FACEBOOK»USA-Trial-ITD-Trial PayGo Lookalike-AZR-AZR»1 x 1»SocialBan»LIA»ALL»CPA»LAL»X»NA»SS»NA»FreeAcctITProFB-AnimatedMigration-Ch3»PRC23Y</v></cell><cell r="AH3889"><v>224105904</v></cell><cell r="AI3889" t="str"><v>AZR_FreeAcctITProFB-AnimatedMigration-Ch3_USA_1200x1200_CAN_Direct_English_Trial_Standard_ANI_LEA_T3_1</v></cell><cell r="AJ3889"><v>103176827</v></cell></row><row r="3890"><cell r="C3890" t="str"><v>43308FACEBOOK»USA-Trial-ITD-Trial PayGo Lookalike-AZR-AZR»1 x 1»SocialBan»LIA»ALL»CPA»LAL»X»NA»SS»NA»FreeAcctITProFB-AnimatedSecureMngd-Ch1»PRC1QB</v></cell><cell r="D3890" t="str"><v>43308223862945</v></cell><cell r="E3890" t="str"><v>43308103176830PRC1QB</v></cell><cell r="F3890" t="str"><v>DCM</v></cell></row><row r="3890"><cell r="K3890" t="str"><v>July</v></cell><cell r="L3890"><v>43309</v></cell><cell r="M3890" t="str"><v>Tier 0</v></cell><cell r="N3890" t="str"><v>North America</v></cell><cell r="O3890" t="str"><v>United States</v></cell><cell r="P3890" t="str"><v>Trial</v></cell><cell r="Q3890" t="str"><v>Social</v></cell><cell r="R3890" t="str"><v>Azure</v></cell><cell r="S3890" t="str"><v>Apps & Infra</v></cell><cell r="T3890" t="str"><v>Developers & ITI's</v></cell><cell r="U3890" t="str"><v>USA-Trial-ITD-Trial PayGo Lookalike-AZR-AZR</v></cell><cell r="V3890" t="str"><v>Lookalike Targeting</v></cell><cell r="W3890" t="str"><v>Link Ad</v></cell><cell r="X3890" t="str"><v>1x1</v></cell></row><row r="3890"><cell r="AA3890"><v>43308</v></cell><cell r="AB3890" t="str"><v>USA_gaPMG_AZR_AZR_Q1_19_Direct-Social</v></cell><cell r="AC3890"><v>21358715</v></cell><cell r="AD3890"><v>720197</v></cell><cell r="AE3890" t="str"><v>Facebook</v></cell><cell r="AF3890"><v>3654128</v></cell><cell r="AG3890" t="str"><v>FACEBOOK»USA-Trial-ITD-Trial PayGo Lookalike-AZR-AZR»1 x 1»SocialBan»LIA»ALL»CPA»LAL»X»NA»SS»NA»FreeAcctITProFB-AnimatedSecureMngd-Ch1»PRC1QB</v></cell><cell r="AH3890"><v>223862945</v></cell><cell r="AI3890" t="str"><v>AZR_FreeAcctITProFB-AnimatedSecureMngd-Ch1_USA_1200x1200_CAN_Direct_English_Trial_Standard_ANI_LEA_T1_1</v></cell><cell r="AJ3890"><v>103176830</v></cell></row><row r="3891"><cell r="C3891" t="str"><v>43308INSTAGRAM»USA-Trial-ITD-Interest Prospecting-AZR-AZR»1 x 1»SocialBan»CAN»ALL»CPA»PRO»X»NA»SS»NA»IGCTCBrandinMotion»PRC2PB</v></cell><cell r="D3891" t="str"><v>43308223862690</v></cell><cell r="E3891" t="str"><v>43308103050783PRC2PB</v></cell><cell r="F3891" t="str"><v>DCM</v></cell><cell r="G3891" t="str"><v>https://signup.azure.com/?OCID=AID%eexcid!_OLA_%ebuy!_%epid!_%ecid!</v></cell></row><row r="3891"><cell r="K3891" t="str"><v>July</v></cell><cell r="L3891"><v>43309</v></cell><cell r="M3891" t="str"><v>Tier 0</v></cell><cell r="N3891" t="str"><v>North America</v></cell><cell r="O3891" t="str"><v>United States</v></cell><cell r="P3891" t="str"><v>Trial</v></cell><cell r="Q3891" t="str"><v>Social</v></cell><cell r="R3891" t="str"><v>Azure</v></cell><cell r="S3891" t="str"><v>Apps & Infra</v></cell><cell r="T3891" t="str"><v>Developers & ITI's</v></cell><cell r="U3891" t="str"><v>USA-Trial-ITD-Interest Prospecting-AZR-AZR</v></cell><cell r="V3891" t="str"><v>Prospecting</v></cell><cell r="W3891" t="str"><v>Canvas Ad</v></cell><cell r="X3891" t="str"><v>1x1</v></cell></row><row r="3891"><cell r="AA3891"><v>43308</v></cell><cell r="AB3891" t="str"><v>USA_gaPMG_AZR_AZR_Q1_19_Direct-Social</v></cell><cell r="AC3891"><v>21358715</v></cell><cell r="AD3891"><v>720197</v></cell><cell r="AE3891" t="str"><v>Facebook - Instagram</v></cell><cell r="AF3891"><v>3654128</v></cell><cell r="AG3891" t="str"><v>INSTAGRAM»USA-Trial-ITD-Interest Prospecting-AZR-AZR»1 x 1»SocialBan»CAN»ALL»CPA»PRO»X»NA»SS»NA»IGCTCBrandinMotion»PRC2PB</v></cell><cell r="AH3891"><v>223862690</v></cell><cell r="AI3891" t="str"><v>AzurePlatform_IGCTCBenefit2inMotion_USA_10s_CAN_PLATFORM_English_Trial_Standard_STAN_TIN_T4_1</v></cell><cell r="AJ3891"><v>103050783</v></cell></row><row r="3892"><cell r="C3892" t="str"><v>43308INSTAGRAM»USA-Trial-ITD-Retargeting-AZR-AZR»1 x 1»SocialBan»CAN»ALL»CPA»RT»X»NA»SS»NA»IGCTCBrandinMotion»PRC2G3</v></cell><cell r="D3892" t="str"><v>43308224107014</v></cell><cell r="E3892" t="str"><v>43308103050783PRC2G3</v></cell><cell r="F3892" t="str"><v>DCM</v></cell><cell r="G3892" t="str"><v>https://signup.azure.com/?OCID=AID%eexcid!_OLA_%ebuy!_%epid!_%ecid!</v></cell></row><row r="3892"><cell r="K3892" t="str"><v>July</v></cell><cell r="L3892"><v>43309</v></cell><cell r="M3892" t="str"><v>Tier 0</v></cell><cell r="N3892" t="str"><v>North America</v></cell><cell r="O3892" t="str"><v>United States</v></cell><cell r="P3892" t="str"><v>Trial</v></cell><cell r="Q3892" t="str"><v>Social</v></cell><cell r="R3892" t="str"><v>Azure</v></cell><cell r="S3892" t="str"><v>Apps & Infra</v></cell><cell r="T3892" t="str"><v>Developers & ITI's</v></cell><cell r="U3892" t="str"><v>USA-Trial-ITD-Retargeting-AZR-AZR</v></cell><cell r="V3892" t="str"><v>Retargeting</v></cell><cell r="W3892" t="str"><v>Canvas Ad</v></cell><cell r="X3892" t="str"><v>1x1</v></cell></row><row r="3892"><cell r="AA3892"><v>43308</v></cell><cell r="AB3892" t="str"><v>USA_gaPMG_AZR_AZR_Q1_19_Direct-Social</v></cell><cell r="AC3892"><v>21358715</v></cell><cell r="AD3892"><v>720197</v></cell><cell r="AE3892" t="str"><v>Facebook - Instagram</v></cell><cell r="AF3892"><v>3654128</v></cell><cell r="AG3892" t="str"><v>INSTAGRAM»USA-Trial-ITD-Retargeting-AZR-AZR»1 x 1»SocialBan»CAN»ALL»CPA»RT»X»NA»SS»NA»IGCTCBrandinMotion»PRC2G3</v></cell><cell r="AH3892"><v>224107014</v></cell><cell r="AI3892" t="str"><v>AzurePlatform_IGCTCBenefit2inMotion_USA_10s_CAN_PLATFORM_English_Trial_Standard_STAN_TIN_T4_1</v></cell><cell r="AJ3892"><v>103050783</v></cell></row><row r="3893"><cell r="C3893" t="str"><v>43308INSTAGRAM»USA-Trial-ITD-Retargeting-AZR-AZR»1 x 1»SocialBan»CAN»ALL»CPA»RT»X»NA»SS»NA»IGCTCBenefitinMotion»PRC2G4</v></cell><cell r="D3893" t="str"><v>43308224107536</v></cell><cell r="E3893" t="str"><v>43308103050780PRC2G4</v></cell><cell r="F3893" t="str"><v>DCM</v></cell><cell r="G3893" t="str"><v>https://signup.azure.com/?OCID=AID%eexcid!_OLA_%ebuy!_%epid!_%ecid!</v></cell></row><row r="3893"><cell r="K3893" t="str"><v>July</v></cell><cell r="L3893"><v>43309</v></cell><cell r="M3893" t="str"><v>Tier 0</v></cell><cell r="N3893" t="str"><v>North America</v></cell><cell r="O3893" t="str"><v>United States</v></cell><cell r="P3893" t="str"><v>Trial</v></cell><cell r="Q3893" t="str"><v>Social</v></cell><cell r="R3893" t="str"><v>Azure</v></cell><cell r="S3893" t="str"><v>Apps & Infra</v></cell><cell r="T3893" t="str"><v>Developers & ITI's</v></cell><cell r="U3893" t="str"><v>USA-Trial-ITD-Retargeting-AZR-AZR</v></cell><cell r="V3893" t="str"><v>Retargeting</v></cell><cell r="W3893" t="str"><v>Canvas Ad</v></cell><cell r="X3893" t="str"><v>1x1</v></cell></row><row r="3893"><cell r="AA3893"><v>43308</v></cell><cell r="AB3893" t="str"><v>USA_gaPMG_AZR_AZR_Q1_19_Direct-Social</v></cell><cell r="AC3893"><v>21358715</v></cell><cell r="AD3893"><v>720197</v></cell><cell r="AE3893" t="str"><v>Facebook - Instagram</v></cell><cell r="AF3893"><v>3654128</v></cell><cell r="AG3893" t="str"><v>INSTAGRAM»USA-Trial-ITD-Retargeting-AZR-AZR»1 x 1»SocialBan»CAN»ALL»CPA»RT»X»NA»SS»NA»IGCTCBenefitinMotion»PRC2G4</v></cell><cell r="AH3893"><v>224107536</v></cell><cell r="AI3893" t="str"><v>AzurePlatform_IGCTCBenefitinMotion_USA_10s_CAN_PLATFORM_English_Trial_Standard_STAN_TIN_T3_1</v></cell><cell r="AJ3893"><v>103050780</v></cell></row><row r="3894"><cell r="C3894" t="str"><v>43308INSTAGRAM»USA-Trial-ITD-Trial Lookalike-AZR-AZR»1 x 1»SocialBan»CAN»ALL»CPA»LAL»X»NA»SS»NA»IGCTCBenefit2inMotion»PRC2FL</v></cell><cell r="D3894" t="str"><v>43308223935022</v></cell><cell r="E3894" t="str"><v>43308103180628PRC2FL</v></cell><cell r="F3894" t="str"><v>DCM</v></cell><cell r="G3894" t="str"><v>https://signup.azure.com/?OCID=AID%eexcid!_OLA_%ebuy!_%epid!_%ecid!</v></cell></row><row r="3894"><cell r="K3894" t="str"><v>July</v></cell><cell r="L3894"><v>43309</v></cell><cell r="M3894" t="str"><v>Tier 0</v></cell><cell r="N3894" t="str"><v>North America</v></cell><cell r="O3894" t="str"><v>United States</v></cell><cell r="P3894" t="str"><v>Trial</v></cell><cell r="Q3894" t="str"><v>Social</v></cell><cell r="R3894" t="str"><v>Azure</v></cell><cell r="S3894" t="str"><v>Apps & Infra</v></cell><cell r="T3894" t="str"><v>Developers & ITI's</v></cell><cell r="U3894" t="str"><v>USA-Trial-ITD-Trial Lookalike-AZR-AZR</v></cell><cell r="V3894" t="str"><v>Lookalike Targeting</v></cell><cell r="W3894" t="str"><v>Canvas Ad</v></cell><cell r="X3894" t="str"><v>1x1</v></cell></row><row r="3894"><cell r="AA3894"><v>43308</v></cell><cell r="AB3894" t="str"><v>USA_gaPMG_AZR_AZR_Q1_19_Direct-Social</v></cell><cell r="AC3894"><v>21358715</v></cell><cell r="AD3894"><v>720197</v></cell><cell r="AE3894" t="str"><v>Facebook - Instagram</v></cell><cell r="AF3894"><v>3654128</v></cell><cell r="AG3894" t="str"><v>INSTAGRAM»USA-Trial-ITD-Trial Lookalike-AZR-AZR»1 x 1»SocialBan»CAN»ALL»CPA»LAL»X»NA»SS»NA»IGCTCBenefit2inMotion»PRC2FL</v></cell><cell r="AH3894"><v>223935022</v></cell><cell r="AI3894" t="str"><v>AzurePlatform_IGCTCBrandinMotion_USA_10s_CAN_PLATFORM_English_Trial_Standard_STAN_TIN_T2_1</v></cell><cell r="AJ3894"><v>103180628</v></cell></row><row r="3895"><cell r="C3895" t="str"><v>43308INSTAGRAM»USA-Trial-ITD-Trial Lookalike-AZR-AZR»1 x 1»SocialBan»CAN»ALL»CPA»LAL»X»NA»SS»NA»IGCTCBrandinMotion»PRC2FH</v></cell><cell r="D3895" t="str"><v>43308223935019</v></cell><cell r="E3895" t="str"><v>43308103050783PRC2FH</v></cell><cell r="F3895" t="str"><v>DCM</v></cell><cell r="G3895" t="str"><v>https://signup.azure.com/?OCID=AID%eexcid!_OLA_%ebuy!_%epid!_%ecid!</v></cell></row><row r="3895"><cell r="K3895" t="str"><v>July</v></cell><cell r="L3895"><v>43309</v></cell><cell r="M3895" t="str"><v>Tier 0</v></cell><cell r="N3895" t="str"><v>North America</v></cell><cell r="O3895" t="str"><v>United States</v></cell><cell r="P3895" t="str"><v>Trial</v></cell><cell r="Q3895" t="str"><v>Social</v></cell><cell r="R3895" t="str"><v>Azure</v></cell><cell r="S3895" t="str"><v>Apps & Infra</v></cell><cell r="T3895" t="str"><v>Developers & ITI's</v></cell><cell r="U3895" t="str"><v>USA-Trial-ITD-Trial Lookalike-AZR-AZR</v></cell><cell r="V3895" t="str"><v>Lookalike Targeting</v></cell><cell r="W3895" t="str"><v>Canvas Ad</v></cell><cell r="X3895" t="str"><v>1x1</v></cell></row><row r="3895"><cell r="AA3895"><v>43308</v></cell><cell r="AB3895" t="str"><v>USA_gaPMG_AZR_AZR_Q1_19_Direct-Social</v></cell><cell r="AC3895"><v>21358715</v></cell><cell r="AD3895"><v>720197</v></cell><cell r="AE3895" t="str"><v>Facebook - Instagram</v></cell><cell r="AF3895"><v>3654128</v></cell><cell r="AG3895" t="str"><v>INSTAGRAM»USA-Trial-ITD-Trial Lookalike-AZR-AZR»1 x 1»SocialBan»CAN»ALL»CPA»LAL»X»NA»SS»NA»IGCTCBrandinMotion»PRC2FH</v></cell><cell r="AH3895"><v>223935019</v></cell><cell r="AI3895" t="str"><v>AzurePlatform_IGCTCBenefit2inMotion_USA_10s_CAN_PLATFORM_English_Trial_Standard_STAN_TIN_T4_1</v></cell><cell r="AJ3895"><v>103050783</v></cell></row><row r="3896"><cell r="C3896" t="str"><v>43308INSTAGRAM»USA-Trial-ITD-Trial Lookalike-AZR-AZR»1 x 1»SocialBan»CAN»ALL»CPA»LAL»X»NA»SS»NA»IGCTCBrandinMotion»PRC2FH</v></cell><cell r="D3896" t="str"><v>43308223935019</v></cell><cell r="E3896" t="str"><v>43308103178714PRC2FH</v></cell><cell r="F3896" t="str"><v>DCM</v></cell><cell r="G3896" t="str"><v>https://azure.microsoft.com/en-us/pricing/purchase-options/?v=18.19&OCID=AID%eexcid!_OLA_%ebuy!_%epid!_%ecid!</v></cell></row><row r="3896"><cell r="K3896" t="str"><v>July</v></cell><cell r="L3896"><v>43309</v></cell><cell r="M3896" t="str"><v>Tier 0</v></cell><cell r="N3896" t="str"><v>North America</v></cell><cell r="O3896" t="str"><v>United States</v></cell><cell r="P3896" t="str"><v>Trial</v></cell><cell r="Q3896" t="str"><v>Social</v></cell><cell r="R3896" t="str"><v>Azure</v></cell><cell r="S3896" t="str"><v>Apps & Infra</v></cell><cell r="T3896" t="str"><v>Developers & ITI's</v></cell><cell r="U3896" t="str"><v>USA-Trial-ITD-Trial Lookalike-AZR-AZR</v></cell><cell r="V3896" t="str"><v>Lookalike Targeting</v></cell><cell r="W3896" t="str"><v>Canvas Ad</v></cell><cell r="X3896" t="str"><v>1x1</v></cell></row><row r="3896"><cell r="AA3896"><v>43308</v></cell><cell r="AB3896" t="str"><v>USA_gaPMG_AZR_AZR_Q1_19_Direct-Social</v></cell><cell r="AC3896"><v>21358715</v></cell><cell r="AD3896"><v>720197</v></cell><cell r="AE3896" t="str"><v>Facebook - Instagram</v></cell><cell r="AF3896"><v>3654128</v></cell><cell r="AG3896" t="str"><v>INSTAGRAM»USA-Trial-ITD-Trial Lookalike-AZR-AZR»1 x 1»SocialBan»CAN»ALL»CPA»LAL»X»NA»SS»NA»IGCTCBrandinMotion»PRC2FH</v></cell><cell r="AH3896"><v>223935019</v></cell><cell r="AI3896" t="str"><v>AzurePlatform_IGCTCBenefit2inMotion_USA_10s_CAN_PLATFORM_English_Trial_Standard_STAN_TIN_T4_2</v></cell><cell r="AJ3896"><v>103178714</v></cell></row><row r="3897"><cell r="C3897" t="str"><v>43308INSTAGRAM»USA-Trial-ITD-Trial PayGo Lookalike-AZR-AZR»1 x 1»SocialBan»CAN»ALL»CPA»LAL»X»NA»SS»NA»IGCTCBrandinMotion»PRC2FW</v></cell><cell r="D3897" t="str"><v>43308223862654</v></cell><cell r="E3897" t="str"><v>43308103050783PRC2FW</v></cell><cell r="F3897" t="str"><v>DCM</v></cell><cell r="G3897" t="str"><v>https://signup.azure.com/?OCID=AID%eexcid!_OLA_%ebuy!_%epid!_%ecid!</v></cell></row><row r="3897"><cell r="K3897" t="str"><v>July</v></cell><cell r="L3897"><v>43309</v></cell><cell r="M3897" t="str"><v>Tier 0</v></cell><cell r="N3897" t="str"><v>North America</v></cell><cell r="O3897" t="str"><v>United States</v></cell><cell r="P3897" t="str"><v>Trial</v></cell><cell r="Q3897" t="str"><v>Social</v></cell><cell r="R3897" t="str"><v>Azure</v></cell><cell r="S3897" t="str"><v>Apps & Infra</v></cell><cell r="T3897" t="str"><v>Developers & ITI's</v></cell><cell r="U3897" t="str"><v>USA-Trial-ITD-Trial PayGo Lookalike-AZR-AZR</v></cell><cell r="V3897" t="str"><v>Lookalike Targeting</v></cell><cell r="W3897" t="str"><v>Canvas Ad</v></cell><cell r="X3897" t="str"><v>1x1</v></cell></row><row r="3897"><cell r="AA3897"><v>43308</v></cell><cell r="AB3897" t="str"><v>USA_gaPMG_AZR_AZR_Q1_19_Direct-Social</v></cell><cell r="AC3897"><v>21358715</v></cell><cell r="AD3897"><v>720197</v></cell><cell r="AE3897" t="str"><v>Facebook - Instagram</v></cell><cell r="AF3897"><v>3654128</v></cell><cell r="AG3897" t="str"><v>INSTAGRAM»USA-Trial-ITD-Trial PayGo Lookalike-AZR-AZR»1 x 1»SocialBan»CAN»ALL»CPA»LAL»X»NA»SS»NA»IGCTCBrandinMotion»PRC2FW</v></cell><cell r="AH3897"><v>223862654</v></cell><cell r="AI3897" t="str"><v>AzurePlatform_IGCTCBenefit2inMotion_USA_10s_CAN_PLATFORM_English_Trial_Standard_STAN_TIN_T4_1</v></cell><cell r="AJ3897"><v>103050783</v></cell></row><row r="3898"><cell r="C3898" t="str"><v>43308INSTAGRAM»USA-Trial-ITD-Trial PayGo Lookalike-AZR-AZR»1 x 1»SocialBan»CAN»ALL»CPA»LAL»X»NA»SS»NA»IGCTCBenefit2inMotion»PRC2FZ</v></cell><cell r="D3898" t="str"><v>43308223933075</v></cell><cell r="E3898" t="str"><v>43308103180628PRC2FZ</v></cell><cell r="F3898" t="str"><v>DCM</v></cell><cell r="G3898" t="str"><v>https://signup.azure.com/?OCID=AID%eexcid!_OLA_%ebuy!_%epid!_%ecid!</v></cell></row><row r="3898"><cell r="K3898" t="str"><v>July</v></cell><cell r="L3898"><v>43309</v></cell><cell r="M3898" t="str"><v>Tier 0</v></cell><cell r="N3898" t="str"><v>North America</v></cell><cell r="O3898" t="str"><v>United States</v></cell><cell r="P3898" t="str"><v>Trial</v></cell><cell r="Q3898" t="str"><v>Social</v></cell><cell r="R3898" t="str"><v>Azure</v></cell><cell r="S3898" t="str"><v>Apps & Infra</v></cell><cell r="T3898" t="str"><v>Developers & ITI's</v></cell><cell r="U3898" t="str"><v>USA-Trial-ITD-Trial PayGo Lookalike-AZR-AZR</v></cell><cell r="V3898" t="str"><v>Lookalike Targeting</v></cell><cell r="W3898" t="str"><v>Canvas Ad</v></cell><cell r="X3898" t="str"><v>1x1</v></cell></row><row r="3898"><cell r="AA3898"><v>43308</v></cell><cell r="AB3898" t="str"><v>USA_gaPMG_AZR_AZR_Q1_19_Direct-Social</v></cell><cell r="AC3898"><v>21358715</v></cell><cell r="AD3898"><v>720197</v></cell><cell r="AE3898" t="str"><v>Facebook - Instagram</v></cell><cell r="AF3898"><v>3654128</v></cell><cell r="AG3898" t="str"><v>INSTAGRAM»USA-Trial-ITD-Trial PayGo Lookalike-AZR-AZR»1 x 1»SocialBan»CAN»ALL»CPA»LAL»X»NA»SS»NA»IGCTCBenefit2inMotion»PRC2FZ</v></cell><cell r="AH3898"><v>223933075</v></cell><cell r="AI3898" t="str"><v>AzurePlatform_IGCTCBrandinMotion_USA_10s_CAN_PLATFORM_English_Trial_Standard_STAN_TIN_T2_1</v></cell><cell r="AJ3898"><v>103180628</v></cell></row><row r="3899"><cell r="C3899" t="str"><v>43308INSTAGRAM»USA-Trial-ITD-Interest Prospecting-AZR-AZR»1 x 1»SocialBan»CAN»ALL»CPA»PRO»X»NA»SS»NA»IGCTCBasicMotion»PRC2PF</v></cell><cell r="D3899" t="str"><v>43308224106621</v></cell><cell r="E3899" t="str"><v>43308103037968PRC2PF</v></cell><cell r="F3899" t="str"><v>DCM</v></cell><cell r="G3899" t="str"><v>https://signup.azure.com/?OCID=AID%eexcid!_OLA_%ebuy!_%epid!_%ecid!</v></cell></row><row r="3899"><cell r="K3899" t="str"><v>July</v></cell><cell r="L3899"><v>43309</v></cell><cell r="M3899" t="str"><v>Tier 0</v></cell><cell r="N3899" t="str"><v>North America</v></cell><cell r="O3899" t="str"><v>United States</v></cell><cell r="P3899" t="str"><v>Trial</v></cell><cell r="Q3899" t="str"><v>Social</v></cell><cell r="R3899" t="str"><v>Azure</v></cell><cell r="S3899" t="str"><v>Apps & Infra</v></cell><cell r="T3899" t="str"><v>Developers & ITI's</v></cell><cell r="U3899" t="str"><v>USA-Trial-ITD-Interest Prospecting-AZR-AZR</v></cell><cell r="V3899" t="str"><v>Prospecting</v></cell><cell r="W3899" t="str"><v>Canvas Ad</v></cell><cell r="X3899" t="str"><v>1x1</v></cell></row><row r="3899"><cell r="AA3899"><v>43308</v></cell><cell r="AB3899" t="str"><v>USA_gaPMG_AZR_AZR_Q1_19_Direct-Social</v></cell><cell r="AC3899"><v>21358715</v></cell><cell r="AD3899"><v>720197</v></cell><cell r="AE3899" t="str"><v>Facebook - Instagram</v></cell><cell r="AF3899"><v>3654128</v></cell><cell r="AG3899" t="str"><v>INSTAGRAM»USA-Trial-ITD-Interest Prospecting-AZR-AZR»1 x 1»SocialBan»CAN»ALL»CPA»PRO»X»NA»SS»NA»IGCTCBasicMotion»PRC2PF</v></cell><cell r="AH3899"><v>224106621</v></cell><cell r="AI3899" t="str"><v>AzurePlatform_IGCTCBasicMotion_USA_10s_CAN_PLATFORM_English_Trial_Standard_STAN_TIN_T1_1</v></cell><cell r="AJ3899"><v>103037968</v></cell></row><row r="3900"><cell r="C3900" t="str"><v>43308INSTAGRAM»USA-Trial-ITD-Interest Prospecting-AZR-AZR»1 x 1»SocialBan»CAN»ALL»CPA»PRO»X»NA»SS»NA»IGCTCBasicMotion»PRC2PF</v></cell><cell r="D3900" t="str"><v>43308224106621</v></cell><cell r="E3900" t="str"><v>43308103037974PRC2PF</v></cell><cell r="F3900" t="str"><v>DCM</v></cell><cell r="G3900" t="str"><v>https://azure.microsoft.com/en-us/pricing/purchase-options/?v=18.19&OCID=AID%eexcid!_OLA_%ebuy!_%epid!_%ecid!</v></cell></row><row r="3900"><cell r="K3900" t="str"><v>July</v></cell><cell r="L3900"><v>43309</v></cell><cell r="M3900" t="str"><v>Tier 0</v></cell><cell r="N3900" t="str"><v>North America</v></cell><cell r="O3900" t="str"><v>United States</v></cell><cell r="P3900" t="str"><v>Trial</v></cell><cell r="Q3900" t="str"><v>Social</v></cell><cell r="R3900" t="str"><v>Azure</v></cell><cell r="S3900" t="str"><v>Apps & Infra</v></cell><cell r="T3900" t="str"><v>Developers & ITI's</v></cell><cell r="U3900" t="str"><v>USA-Trial-ITD-Interest Prospecting-AZR-AZR</v></cell><cell r="V3900" t="str"><v>Prospecting</v></cell><cell r="W3900" t="str"><v>Canvas Ad</v></cell><cell r="X3900" t="str"><v>1x1</v></cell></row><row r="3900"><cell r="AA3900"><v>43308</v></cell><cell r="AB3900" t="str"><v>USA_gaPMG_AZR_AZR_Q1_19_Direct-Social</v></cell><cell r="AC3900"><v>21358715</v></cell><cell r="AD3900"><v>720197</v></cell><cell r="AE3900" t="str"><v>Facebook - Instagram</v></cell><cell r="AF3900"><v>3654128</v></cell><cell r="AG3900" t="str"><v>INSTAGRAM»USA-Trial-ITD-Interest Prospecting-AZR-AZR»1 x 1»SocialBan»CAN»ALL»CPA»PRO»X»NA»SS»NA»IGCTCBasicMotion»PRC2PF</v></cell><cell r="AH3900"><v>224106621</v></cell><cell r="AI3900" t="str"><v>AzurePlatform_IGCTCBasicMotion_USA_10s_CAN_PLATFORM_English_Trial_Standard_STAN_TIN_T1_2</v></cell><cell r="AJ3900"><v>103037974</v></cell></row><row r="3901"><cell r="C3901" t="str"><v>43308INSTAGRAM»USA-Trial-ITD-Trial Lookalike-AZR-AZR»1 x 1»SocialBan»CAN»ALL»CPA»LAL»X»NA»SS»NA»IGCTCBasicMotion»PRC0C2</v></cell><cell r="D3901" t="str"><v>43308224107017</v></cell><cell r="E3901" t="str"><v>43308103037968PRC0C2</v></cell><cell r="F3901" t="str"><v>DCM</v></cell><cell r="G3901" t="str"><v>https://signup.azure.com/?OCID=AID%eexcid!_OLA_%ebuy!_%epid!_%ecid!</v></cell></row><row r="3901"><cell r="K3901" t="str"><v>July</v></cell><cell r="L3901"><v>43309</v></cell><cell r="M3901" t="str"><v>Tier 0</v></cell><cell r="N3901" t="str"><v>North America</v></cell><cell r="O3901" t="str"><v>United States</v></cell><cell r="P3901" t="str"><v>Trial</v></cell><cell r="Q3901" t="str"><v>Social</v></cell><cell r="R3901" t="str"><v>Azure</v></cell><cell r="S3901" t="str"><v>Apps & Infra</v></cell><cell r="T3901" t="str"><v>Developers & ITI's</v></cell><cell r="U3901" t="str"><v>USA-Trial-ITD-Trial Lookalike-AZR-AZR</v></cell><cell r="V3901" t="str"><v>Lookalike Targeting</v></cell><cell r="W3901" t="str"><v>Canvas Ad</v></cell><cell r="X3901" t="str"><v>1x1</v></cell></row><row r="3901"><cell r="AA3901"><v>43308</v></cell><cell r="AB3901" t="str"><v>USA_gaPMG_AZR_AZR_Q1_19_Direct-Social</v></cell><cell r="AC3901"><v>21358715</v></cell><cell r="AD3901"><v>720197</v></cell><cell r="AE3901" t="str"><v>Facebook - Instagram</v></cell><cell r="AF3901"><v>3654128</v></cell><cell r="AG3901" t="str"><v>INSTAGRAM»USA-Trial-ITD-Trial Lookalike-AZR-AZR»1 x 1»SocialBan»CAN»ALL»CPA»LAL»X»NA»SS»NA»IGCTCBasicMotion»PRC0C2</v></cell><cell r="AH3901"><v>224107017</v></cell><cell r="AI3901" t="str"><v>AzurePlatform_IGCTCBasicMotion_USA_10s_CAN_PLATFORM_English_Trial_Standard_STAN_TIN_T1_1</v></cell><cell r="AJ3901"><v>103037968</v></cell></row><row r="3902"><cell r="C3902" t="str"><v>43308INSTAGRAM»USA-Trial-ITD-Trial PayGo Lookalike-AZR-AZR»1 x 1»SocialBan»CAN»ALL»CPA»LAL»X»NA»SS»NA»IGCTCBasicMotion»PRC2G0</v></cell><cell r="D3902" t="str"><v>43308224106891</v></cell><cell r="E3902" t="str"><v>43308103037968PRC2G0</v></cell><cell r="F3902" t="str"><v>DCM</v></cell><cell r="G3902" t="str"><v>https://signup.azure.com/?OCID=AID%eexcid!_OLA_%ebuy!_%epid!_%ecid!</v></cell></row><row r="3902"><cell r="K3902" t="str"><v>July</v></cell><cell r="L3902"><v>43309</v></cell><cell r="M3902" t="str"><v>Tier 0</v></cell><cell r="N3902" t="str"><v>North America</v></cell><cell r="O3902" t="str"><v>United States</v></cell><cell r="P3902" t="str"><v>Trial</v></cell><cell r="Q3902" t="str"><v>Social</v></cell><cell r="R3902" t="str"><v>Azure</v></cell><cell r="S3902" t="str"><v>Apps & Infra</v></cell><cell r="T3902" t="str"><v>Developers & ITI's</v></cell><cell r="U3902" t="str"><v>USA-Trial-ITD-Trial PayGo Lookalike-AZR-AZR</v></cell><cell r="V3902" t="str"><v>Lookalike Targeting</v></cell><cell r="W3902" t="str"><v>Canvas Ad</v></cell><cell r="X3902" t="str"><v>1x1</v></cell></row><row r="3902"><cell r="AA3902"><v>43308</v></cell><cell r="AB3902" t="str"><v>USA_gaPMG_AZR_AZR_Q1_19_Direct-Social</v></cell><cell r="AC3902"><v>21358715</v></cell><cell r="AD3902"><v>720197</v></cell><cell r="AE3902" t="str"><v>Facebook - Instagram</v></cell><cell r="AF3902"><v>3654128</v></cell><cell r="AG3902" t="str"><v>INSTAGRAM»USA-Trial-ITD-Trial PayGo Lookalike-AZR-AZR»1 x 1»SocialBan»CAN»ALL»CPA»LAL»X»NA»SS»NA»IGCTCBasicMotion»PRC2G0</v></cell><cell r="AH3902"><v>224106891</v></cell><cell r="AI3902" t="str"><v>AzurePlatform_IGCTCBasicMotion_USA_10s_CAN_PLATFORM_English_Trial_Standard_STAN_TIN_T1_1</v></cell><cell r="AJ3902"><v>103037968</v></cell></row><row r="3903"><cell r="C3903" t="str"><v>43308INSTAGRAM»USA-Trial-ITD-Trial PayGo Lookalike-AZR-AZR»1 x 1»SocialBan»CAN»ALL»CPA»LAL»X»NA»SS»NA»IGCTCBenefitinMotion»PRC2FX</v></cell><cell r="D3903" t="str"><v>43308223933999</v></cell><cell r="E3903" t="str"><v>43308103050780PRC2FX</v></cell><cell r="F3903" t="str"><v>DCM</v></cell><cell r="G3903" t="str"><v>https://signup.azure.com/?OCID=AID%eexcid!_OLA_%ebuy!_%epid!_%ecid!</v></cell></row><row r="3903"><cell r="K3903" t="str"><v>July</v></cell><cell r="L3903"><v>43309</v></cell><cell r="M3903" t="str"><v>Tier 0</v></cell><cell r="N3903" t="str"><v>North America</v></cell><cell r="O3903" t="str"><v>United States</v></cell><cell r="P3903" t="str"><v>Trial</v></cell><cell r="Q3903" t="str"><v>Social</v></cell><cell r="R3903" t="str"><v>Azure</v></cell><cell r="S3903" t="str"><v>Apps & Infra</v></cell><cell r="T3903" t="str"><v>Developers & ITI's</v></cell><cell r="U3903" t="str"><v>USA-Trial-ITD-Trial PayGo Lookalike-AZR-AZR</v></cell><cell r="V3903" t="str"><v>Lookalike Targeting</v></cell><cell r="W3903" t="str"><v>Canvas Ad</v></cell><cell r="X3903" t="str"><v>1x1</v></cell></row><row r="3903"><cell r="AA3903"><v>43308</v></cell><cell r="AB3903" t="str"><v>USA_gaPMG_AZR_AZR_Q1_19_Direct-Social</v></cell><cell r="AC3903"><v>21358715</v></cell><cell r="AD3903"><v>720197</v></cell><cell r="AE3903" t="str"><v>Facebook - Instagram</v></cell><cell r="AF3903"><v>3654128</v></cell><cell r="AG3903" t="str"><v>INSTAGRAM»USA-Trial-ITD-Trial PayGo Lookalike-AZR-AZR»1 x 1»SocialBan»CAN»ALL»CPA»LAL»X»NA»SS»NA»IGCTCBenefitinMotion»PRC2FX</v></cell><cell r="AH3903"><v>223933999</v></cell><cell r="AI3903" t="str"><v>AzurePlatform_IGCTCBenefitinMotion_USA_10s_CAN_PLATFORM_English_Trial_Standard_STAN_TIN_T3_1</v></cell><cell r="AJ3903"><v>103050780</v></cell></row><row r="3904"><cell r="C3904" t="str"><v>43309Facebook»Audience & Interest Targeting»1x1»Canvas»OTH»DT»DYN»AUT»W»NA»SS»NA»FBCTCcanvaspage-StartFreeCTA_FBCTCcanvaspage-BuyNowCTA</v></cell><cell r="D3904" t="str"><v>43309224639151</v></cell><cell r="E3904" t="str"><v>43309103316832NowCTA</v></cell><cell r="F3904" t="str"><v>DCM</v></cell><cell r="G3904" t="str"><v>https://azure.microsoft.com/en-au/pricing/purchase-options/</v></cell></row><row r="3904"><cell r="K3904" t="str"><v>July</v></cell><cell r="L3904"><v>43309</v></cell><cell r="M3904" t="str"><v>Tier 1</v></cell><cell r="N3904" t="str"><v>APAC</v></cell><cell r="O3904" t="str"><v>Australia</v></cell><cell r="P3904" t="str"><v>Trial</v></cell><cell r="Q3904" t="str"><v>Social</v></cell><cell r="R3904" t="str"><v>Azure</v></cell><cell r="S3904" t="str"><v>Apps & Infra</v></cell><cell r="T3904" t="str"><v>Developers & ITI's</v></cell><cell r="U3904" t="str"><v>Audience & Interest Targeting</v></cell><cell r="V3904" t="str"><v>Audience Targeting</v></cell><cell r="W3904" t="str"><v>Other</v></cell><cell r="X3904" t="str"><v>1x1</v></cell></row><row r="3904"><cell r="AA3904"><v>43309</v></cell><cell r="AB3904" t="str"><v>AUS_gaPMG_AZR_AZR_Q1_19_Trial-Social</v></cell><cell r="AC3904"><v>21358568</v></cell><cell r="AD3904"><v>720191</v></cell><cell r="AE3904" t="str"><v>Facebook</v></cell><cell r="AF3904"><v>3654128</v></cell><cell r="AG3904" t="str"><v>Facebook»Audience & Interest Targeting»1x1»Canvas»OTH»DT»DYN»AUT»W»NA»SS»NA»FBCTCcanvaspage-StartFreeCTA_FBCTCcanvaspage-BuyNowCTA</v></cell><cell r="AH3904"><v>224639151</v></cell><cell r="AI3904" t="str"><v>AzurePlatform_FBCTCcanvaspage-BuyNowCTA-Img3_AUS_1080x162_SOC_Plat_English_NA_Standard_NA_BN_T3_1</v></cell><cell r="AJ3904"><v>103316832</v></cell></row><row r="3905"><cell r="C3905" t="str"><v>43309Facebook»Audience & Interest Targeting»1x1»Canvas»OTH»DT»DYN»AUT»W»NA»SS»NA»FBCTCcanvaspage-StartFreeCTA_FBCTCcanvaspage-BuyNowCTA</v></cell><cell r="D3905" t="str"><v>43309224639151</v></cell><cell r="E3905" t="str"><v>43309103316829NowCTA</v></cell><cell r="F3905" t="str"><v>DCM</v></cell><cell r="G3905" t="str"><v>https://signup.azure.com/signup?offer=ms-azr-0044p&appId=102&ref=paidmedia-social-fb&redirectURL=https%3a%2f%2fazure.microsoft.com%2fen-au%2fget-started%2fwelcome-to-azure%2f&l=en-au&correlationId=ead86c34-1f10-49dd-a72b-6918462a2cbf</v></cell></row><row r="3905"><cell r="K3905" t="str"><v>July</v></cell><cell r="L3905"><v>43309</v></cell><cell r="M3905" t="str"><v>Tier 1</v></cell><cell r="N3905" t="str"><v>APAC</v></cell><cell r="O3905" t="str"><v>Australia</v></cell><cell r="P3905" t="str"><v>Trial</v></cell><cell r="Q3905" t="str"><v>Social</v></cell><cell r="R3905" t="str"><v>Azure</v></cell><cell r="S3905" t="str"><v>Apps & Infra</v></cell><cell r="T3905" t="str"><v>Developers & ITI's</v></cell><cell r="U3905" t="str"><v>Audience & Interest Targeting</v></cell><cell r="V3905" t="str"><v>Audience Targeting</v></cell><cell r="W3905" t="str"><v>Other</v></cell><cell r="X3905" t="str"><v>1x1</v></cell></row><row r="3905"><cell r="AA3905"><v>43309</v></cell><cell r="AB3905" t="str"><v>AUS_gaPMG_AZR_AZR_Q1_19_Trial-Social</v></cell><cell r="AC3905"><v>21358568</v></cell><cell r="AD3905"><v>720191</v></cell><cell r="AE3905" t="str"><v>Facebook</v></cell><cell r="AF3905"><v>3654128</v></cell><cell r="AG3905" t="str"><v>Facebook»Audience & Interest Targeting»1x1»Canvas»OTH»DT»DYN»AUT»W»NA»SS»NA»FBCTCcanvaspage-StartFreeCTA_FBCTCcanvaspage-BuyNowCTA</v></cell><cell r="AH3905"><v>224639151</v></cell><cell r="AI3905" t="str"><v>AzurePlatform_FBCTCcanvaspage-StartFreeCTA-Img2_AUS_1080x143 _SOC_Plat_English_NA_Standard_NA_NA_T2_1</v></cell><cell r="AJ3905"><v>103316829</v></cell></row><row r="3906"><cell r="C3906" t="str"><v>43309Facebook»Audience & Interest Targeting»1x1»TextLink»OTH»DT»DYN»AUT»W»NA»SS»NA»Free Account Refresh- 12 months ChE</v></cell><cell r="D3906" t="str"><v>43309224160783</v></cell><cell r="E3906" t="str"><v>43309103051614hs ChE</v></cell><cell r="F3906" t="str"><v>DCM</v></cell></row><row r="3906"><cell r="K3906" t="str"><v>July</v></cell><cell r="L3906"><v>43309</v></cell><cell r="M3906" t="str"><v>Tier 1</v></cell><cell r="N3906" t="str"><v>APAC</v></cell><cell r="O3906" t="str"><v>Australia</v></cell><cell r="P3906" t="str"><v>Trial</v></cell><cell r="Q3906" t="str"><v>Social</v></cell><cell r="R3906" t="str"><v>Azure</v></cell><cell r="S3906" t="str"><v>Apps & Infra</v></cell><cell r="T3906" t="str"><v>Developers & ITI's</v></cell><cell r="U3906" t="str"><v>Audience & Interest Targeting</v></cell><cell r="V3906" t="str"><v>Audience Targeting</v></cell><cell r="W3906" t="str"><v>Other</v></cell><cell r="X3906" t="str"><v>1x1</v></cell></row><row r="3906"><cell r="AA3906"><v>43309</v></cell><cell r="AB3906" t="str"><v>AUS_gaPMG_AZR_AZR_Q1_19_Trial-Social</v></cell><cell r="AC3906"><v>21358568</v></cell><cell r="AD3906"><v>720191</v></cell><cell r="AE3906" t="str"><v>Facebook</v></cell><cell r="AF3906"><v>3654128</v></cell><cell r="AG3906" t="str"><v>Facebook»Audience & Interest Targeting»1x1»TextLink»OTH»DT»DYN»AUT»W»NA»SS»NA»Free Account Refresh- 12 months ChE</v></cell><cell r="AH3906"><v>224160783</v></cell><cell r="AI3906" t="str"><v>AzurePlatform_FreeAcctAppsFACEBOOK12monthsChE_AUS_1200x628_SOC_PLAT_EN_Trial_Standard_NA_SNU_T5_1</v></cell><cell r="AJ3906"><v>103051614</v></cell></row><row r="3907"><cell r="C3907" t="str"><v>43309Facebook»Audience & Interest Targeting»1x1»TextLink»OTH»DT»DYN»AUT»W»NA»SS»NA»Free Account Refresh- 200 Credit ChD</v></cell><cell r="D3907" t="str"><v>43309224160780</v></cell><cell r="E3907" t="str"><v>43309103186904it ChD</v></cell><cell r="F3907" t="str"><v>DCM</v></cell></row><row r="3907"><cell r="K3907" t="str"><v>July</v></cell><cell r="L3907"><v>43309</v></cell><cell r="M3907" t="str"><v>Tier 1</v></cell><cell r="N3907" t="str"><v>APAC</v></cell><cell r="O3907" t="str"><v>Australia</v></cell><cell r="P3907" t="str"><v>Trial</v></cell><cell r="Q3907" t="str"><v>Social</v></cell><cell r="R3907" t="str"><v>Azure</v></cell><cell r="S3907" t="str"><v>Apps & Infra</v></cell><cell r="T3907" t="str"><v>Developers & ITI's</v></cell><cell r="U3907" t="str"><v>Audience & Interest Targeting</v></cell><cell r="V3907" t="str"><v>Audience Targeting</v></cell><cell r="W3907" t="str"><v>Other</v></cell><cell r="X3907" t="str"><v>1x1</v></cell></row><row r="3907"><cell r="AA3907"><v>43309</v></cell><cell r="AB3907" t="str"><v>AUS_gaPMG_AZR_AZR_Q1_19_Trial-Social</v></cell><cell r="AC3907"><v>21358568</v></cell><cell r="AD3907"><v>720191</v></cell><cell r="AE3907" t="str"><v>Facebook</v></cell><cell r="AF3907"><v>3654128</v></cell><cell r="AG3907" t="str"><v>Facebook»Audience & Interest Targeting»1x1»TextLink»OTH»DT»DYN»AUT»W»NA»SS»NA»Free Account Refresh- 200 Credit ChD</v></cell><cell r="AH3907"><v>224160780</v></cell><cell r="AI3907" t="str"><v>AzurePlatform_FreeAcctAppsFACEBOOK200CreditChD_AUS_1200x628_SOC_PLAT_EN_Trial_Standard_NA_SNU_T4_1</v></cell><cell r="AJ3907"><v>103186904</v></cell></row><row r="3908"><cell r="C3908" t="str"><v>43309Facebook»Audience & Interest Targeting»1x1»TextLink»OTH»DT»DYN»AUT»W»NA»SS»NA»Free Account Refresh- Device ChB</v></cell><cell r="D3908" t="str"><v>43309224160777</v></cell><cell r="E3908" t="str"><v>43309103048479ce ChB</v></cell><cell r="F3908" t="str"><v>DCM</v></cell></row><row r="3908"><cell r="K3908" t="str"><v>July</v></cell><cell r="L3908"><v>43309</v></cell><cell r="M3908" t="str"><v>Tier 1</v></cell><cell r="N3908" t="str"><v>APAC</v></cell><cell r="O3908" t="str"><v>Australia</v></cell><cell r="P3908" t="str"><v>Trial</v></cell><cell r="Q3908" t="str"><v>Social</v></cell><cell r="R3908" t="str"><v>Azure</v></cell><cell r="S3908" t="str"><v>Apps & Infra</v></cell><cell r="T3908" t="str"><v>Developers & ITI's</v></cell><cell r="U3908" t="str"><v>Audience & Interest Targeting</v></cell><cell r="V3908" t="str"><v>Audience Targeting</v></cell><cell r="W3908" t="str"><v>Other</v></cell><cell r="X3908" t="str"><v>1x1</v></cell></row><row r="3908"><cell r="AA3908"><v>43309</v></cell><cell r="AB3908" t="str"><v>AUS_gaPMG_AZR_AZR_Q1_19_Trial-Social</v></cell><cell r="AC3908"><v>21358568</v></cell><cell r="AD3908"><v>720191</v></cell><cell r="AE3908" t="str"><v>Facebook</v></cell><cell r="AF3908"><v>3654128</v></cell><cell r="AG3908" t="str"><v>Facebook»Audience & Interest Targeting»1x1»TextLink»OTH»DT»DYN»AUT»W»NA»SS»NA»Free Account Refresh- Device ChB</v></cell><cell r="AH3908"><v>224160777</v></cell><cell r="AI3908" t="str"><v>AzurePlatform_FreeAcctAppsFACEBOOKDeviceChB_AUS_1200x628_SOC_PLAT_EN_Trial_Standard_NA_SNU_T2_1</v></cell><cell r="AJ3908"><v>103048479</v></cell></row><row r="3909"><cell r="C3909" t="str"><v>43309Facebook»Audience & Interest Targeting»1x1»TextLink»OTH»DT»DYN»AUT»W»NA»SS»NA»Free Account Refresh- Illustration ChC</v></cell><cell r="D3909" t="str"><v>43309224160774</v></cell><cell r="E3909" t="str"><v>43309103186910on ChC</v></cell><cell r="F3909" t="str"><v>DCM</v></cell></row><row r="3909"><cell r="K3909" t="str"><v>July</v></cell><cell r="L3909"><v>43309</v></cell><cell r="M3909" t="str"><v>Tier 1</v></cell><cell r="N3909" t="str"><v>APAC</v></cell><cell r="O3909" t="str"><v>Australia</v></cell><cell r="P3909" t="str"><v>Trial</v></cell><cell r="Q3909" t="str"><v>Social</v></cell><cell r="R3909" t="str"><v>Azure</v></cell><cell r="S3909" t="str"><v>Apps & Infra</v></cell><cell r="T3909" t="str"><v>Developers & ITI's</v></cell><cell r="U3909" t="str"><v>Audience & Interest Targeting</v></cell><cell r="V3909" t="str"><v>Audience Targeting</v></cell><cell r="W3909" t="str"><v>Other</v></cell><cell r="X3909" t="str"><v>1x1</v></cell></row><row r="3909"><cell r="AA3909"><v>43309</v></cell><cell r="AB3909" t="str"><v>AUS_gaPMG_AZR_AZR_Q1_19_Trial-Social</v></cell><cell r="AC3909"><v>21358568</v></cell><cell r="AD3909"><v>720191</v></cell><cell r="AE3909" t="str"><v>Facebook</v></cell><cell r="AF3909"><v>3654128</v></cell><cell r="AG3909" t="str"><v>Facebook»Audience & Interest Targeting»1x1»TextLink»OTH»DT»DYN»AUT»W»NA»SS»NA»Free Account Refresh- Illustration ChC</v></cell><cell r="AH3909"><v>224160774</v></cell><cell r="AI3909" t="str"><v>AzurePlatform_FreeAcctAppsFACEBOOKIllustrationChC_AUS_1200x628_SOC_PLAT_EN_Trial_Standard_NA_SNU_T3_1</v></cell><cell r="AJ3909"><v>103186910</v></cell></row><row r="3910"><cell r="C3910" t="str"><v>43309Facebook»Audience & Interest Targeting»1x1»TextLink»OTH»DT»DYN»AUT»W»NA»SS»NA»Free Account Refresh- Lifestyle ChA</v></cell><cell r="D3910" t="str"><v>43309224160771</v></cell><cell r="E3910" t="str"><v>43309103048488le ChA</v></cell><cell r="F3910" t="str"><v>DCM</v></cell></row><row r="3910"><cell r="K3910" t="str"><v>July</v></cell><cell r="L3910"><v>43309</v></cell><cell r="M3910" t="str"><v>Tier 1</v></cell><cell r="N3910" t="str"><v>APAC</v></cell><cell r="O3910" t="str"><v>Australia</v></cell><cell r="P3910" t="str"><v>Trial</v></cell><cell r="Q3910" t="str"><v>Social</v></cell><cell r="R3910" t="str"><v>Azure</v></cell><cell r="S3910" t="str"><v>Apps & Infra</v></cell><cell r="T3910" t="str"><v>Developers & ITI's</v></cell><cell r="U3910" t="str"><v>Audience & Interest Targeting</v></cell><cell r="V3910" t="str"><v>Audience Targeting</v></cell><cell r="W3910" t="str"><v>Other</v></cell><cell r="X3910" t="str"><v>1x1</v></cell></row><row r="3910"><cell r="AA3910"><v>43309</v></cell><cell r="AB3910" t="str"><v>AUS_gaPMG_AZR_AZR_Q1_19_Trial-Social</v></cell><cell r="AC3910"><v>21358568</v></cell><cell r="AD3910"><v>720191</v></cell><cell r="AE3910" t="str"><v>Facebook</v></cell><cell r="AF3910"><v>3654128</v></cell><cell r="AG3910" t="str"><v>Facebook»Audience & Interest Targeting»1x1»TextLink»OTH»DT»DYN»AUT»W»NA»SS»NA»Free Account Refresh- Lifestyle ChA</v></cell><cell r="AH3910"><v>224160771</v></cell><cell r="AI3910" t="str"><v>AzurePlatform_FreeAcctAppsFACEBOOKLifestyleChA_AUS_1200x628_SOC_PLAT_EN_Trial_Standard_NA_SNU_T1_1</v></cell><cell r="AJ3910"><v>103048488</v></cell></row><row r="3911"><cell r="C3911" t="str"><v>43309Facebook»AZR»1x1»NA»EGV»ALL»DYN»AUT»D»All»SS»NA»Free Acc CTC - T1 - EN</v></cell><cell r="D3911" t="str"><v>43309223684451</v></cell><cell r="E3911" t="str"><v>433091029018821 - EN</v></cell><cell r="F3911" t="str"><v>DCM</v></cell><cell r="G3911" t="str"><v>https://signup.azure.com/</v></cell></row><row r="3911"><cell r="K3911" t="str"><v>July</v></cell><cell r="L3911"><v>43309</v></cell><cell r="M3911" t="str"><v>Tier 1</v></cell><cell r="N3911" t="str"><v>North America</v></cell><cell r="O3911" t="str"><v>Canada</v></cell><cell r="P3911" t="str"><v>Trial</v></cell><cell r="Q3911" t="str"><v>Social</v></cell><cell r="R3911" t="str"><v>Azure</v></cell><cell r="S3911" t="str"><v>Apps & Infra</v></cell><cell r="T3911" t="str"><v>Developers & ITI's</v></cell><cell r="U3911" t="str"><v>AZR</v></cell><cell r="V3911" t="str"><v>Audience Targeting</v></cell><cell r="W3911" t="str"><v>Engagement Video</v></cell><cell r="X3911" t="str"><v>1x1</v></cell></row><row r="3911"><cell r="AA3911"><v>43309</v></cell><cell r="AB3911" t="str"><v>CAN_gaPMG_AZR_AZR_Q1_19_Trial-Social</v></cell><cell r="AC3911"><v>21337220</v></cell><cell r="AD3911"><v>720192</v></cell><cell r="AE3911" t="str"><v>Facebook</v></cell><cell r="AF3911"><v>3654128</v></cell><cell r="AG3911" t="str"><v>Facebook»AZR»1x1»NA»EGV»ALL»DYN»AUT»D»All»SS»NA»Free Acc CTC - T1 - EN</v></cell><cell r="AH3911"><v>223684451</v></cell><cell r="AI3911" t="str"><v>AzurePlatform_FBCTCBasicMotion_CAN_10s_ISV_PLAT_English_Trial_Standard_STAN_TN_T1_1</v></cell><cell r="AJ3911"><v>102901882</v></cell></row><row r="3912"><cell r="C3912" t="str"><v>43309Facebook»AZR»1x1»NA»EGV»ALL»DYN»AUT»D»All»SS»NA»Free Acc CTC - T1 - FR</v></cell><cell r="D3912" t="str"><v>43309223691801</v></cell><cell r="E3912" t="str"><v>433091030533231 - FR</v></cell><cell r="F3912" t="str"><v>DCM</v></cell><cell r="G3912" t="str"><v>https://signup.azure.com/</v></cell></row><row r="3912"><cell r="K3912" t="str"><v>July</v></cell><cell r="L3912"><v>43309</v></cell><cell r="M3912" t="str"><v>Tier 1</v></cell><cell r="N3912" t="str"><v>North America</v></cell><cell r="O3912" t="str"><v>Canada</v></cell><cell r="P3912" t="str"><v>Trial</v></cell><cell r="Q3912" t="str"><v>Social</v></cell><cell r="R3912" t="str"><v>Azure</v></cell><cell r="S3912" t="str"><v>Apps & Infra</v></cell><cell r="T3912" t="str"><v>Developers & ITI's</v></cell><cell r="U3912" t="str"><v>AZR</v></cell><cell r="V3912" t="str"><v>Audience Targeting</v></cell><cell r="W3912" t="str"><v>Engagement Video</v></cell><cell r="X3912" t="str"><v>1x1</v></cell></row><row r="3912"><cell r="AA3912"><v>43309</v></cell><cell r="AB3912" t="str"><v>CAN_gaPMG_AZR_AZR_Q1_19_Trial-Social</v></cell><cell r="AC3912"><v>21337220</v></cell><cell r="AD3912"><v>720192</v></cell><cell r="AE3912" t="str"><v>Facebook</v></cell><cell r="AF3912"><v>3654128</v></cell><cell r="AG3912" t="str"><v>Facebook»AZR»1x1»NA»EGV»ALL»DYN»AUT»D»All»SS»NA»Free Acc CTC - T1 - FR</v></cell><cell r="AH3912"><v>223691801</v></cell><cell r="AI3912" t="str"><v>AzurePlatform_FBCTCBasicMotion_CAN_10s_ISV_PLAT_FR_Trial_Standard_STAN_TN_T1_1</v></cell><cell r="AJ3912"><v>103053323</v></cell></row><row r="3913"><cell r="C3913" t="str"><v>43309Facebook»AZR»1x1»NA»EGV»ALL»DYN»AUT»D»All»SS»NA»Free Acc CTC - T2 - EN</v></cell><cell r="D3913" t="str"><v>43309223691840</v></cell><cell r="E3913" t="str"><v>433091029029502 - EN</v></cell><cell r="F3913" t="str"><v>DCM</v></cell><cell r="G3913" t="str"><v>https://signup.azure.com/</v></cell></row><row r="3913"><cell r="K3913" t="str"><v>July</v></cell><cell r="L3913"><v>43309</v></cell><cell r="M3913" t="str"><v>Tier 1</v></cell><cell r="N3913" t="str"><v>North America</v></cell><cell r="O3913" t="str"><v>Canada</v></cell><cell r="P3913" t="str"><v>Trial</v></cell><cell r="Q3913" t="str"><v>Social</v></cell><cell r="R3913" t="str"><v>Azure</v></cell><cell r="S3913" t="str"><v>Apps & Infra</v></cell><cell r="T3913" t="str"><v>Developers & ITI's</v></cell><cell r="U3913" t="str"><v>AZR</v></cell><cell r="V3913" t="str"><v>Audience Targeting</v></cell><cell r="W3913" t="str"><v>Engagement Video</v></cell><cell r="X3913" t="str"><v>1x1</v></cell></row><row r="3913"><cell r="AA3913"><v>43309</v></cell><cell r="AB3913" t="str"><v>CAN_gaPMG_AZR_AZR_Q1_19_Trial-Social</v></cell><cell r="AC3913"><v>21337220</v></cell><cell r="AD3913"><v>720192</v></cell><cell r="AE3913" t="str"><v>Facebook</v></cell><cell r="AF3913"><v>3654128</v></cell><cell r="AG3913" t="str"><v>Facebook»AZR»1x1»NA»EGV»ALL»DYN»AUT»D»All»SS»NA»Free Acc CTC - T2 - EN</v></cell><cell r="AH3913"><v>223691840</v></cell><cell r="AI3913" t="str"><v>AzurePlatform_FBCTCBrandinMotion_CAN_12s_ISV_PLAT_English_Trial_Standard_STAN_TN_T2_1</v></cell><cell r="AJ3913"><v>102902950</v></cell></row><row r="3914"><cell r="C3914" t="str"><v>43309Facebook»AZR»1x1»NA»EGV»ALL»DYN»AUT»D»All»SS»NA»Free Acc CTC - T2 - FR</v></cell><cell r="D3914" t="str"><v>43309223691798</v></cell><cell r="E3914" t="str"><v>433091029163472 - FR</v></cell><cell r="F3914" t="str"><v>DCM</v></cell><cell r="G3914" t="str"><v>https://signup.azure.com/</v></cell></row><row r="3914"><cell r="K3914" t="str"><v>July</v></cell><cell r="L3914"><v>43309</v></cell><cell r="M3914" t="str"><v>Tier 1</v></cell><cell r="N3914" t="str"><v>North America</v></cell><cell r="O3914" t="str"><v>Canada</v></cell><cell r="P3914" t="str"><v>Trial</v></cell><cell r="Q3914" t="str"><v>Social</v></cell><cell r="R3914" t="str"><v>Azure</v></cell><cell r="S3914" t="str"><v>Apps & Infra</v></cell><cell r="T3914" t="str"><v>Developers & ITI's</v></cell><cell r="U3914" t="str"><v>AZR</v></cell><cell r="V3914" t="str"><v>Audience Targeting</v></cell><cell r="W3914" t="str"><v>Engagement Video</v></cell><cell r="X3914" t="str"><v>1x1</v></cell></row><row r="3914"><cell r="AA3914"><v>43309</v></cell><cell r="AB3914" t="str"><v>CAN_gaPMG_AZR_AZR_Q1_19_Trial-Social</v></cell><cell r="AC3914"><v>21337220</v></cell><cell r="AD3914"><v>720192</v></cell><cell r="AE3914" t="str"><v>Facebook</v></cell><cell r="AF3914"><v>3654128</v></cell><cell r="AG3914" t="str"><v>Facebook»AZR»1x1»NA»EGV»ALL»DYN»AUT»D»All»SS»NA»Free Acc CTC - T2 - FR</v></cell><cell r="AH3914"><v>223691798</v></cell><cell r="AI3914" t="str"><v>AzurePlatform_FBCTCBrandinMotion_CAN_12s_ISV_PLAT_FR_Trial_Standard_STAN_TN_T2_1</v></cell><cell r="AJ3914"><v>102916347</v></cell></row><row r="3915"><cell r="C3915" t="str"><v>43309Facebook»AZR»1x1»NA»EGV»ALL»DYN»AUT»D»All»SS»NA»Free Acc CTC - T4 - EN</v></cell><cell r="D3915" t="str"><v>43309223691837</v></cell><cell r="E3915" t="str"><v>433091030533144 - EN</v></cell><cell r="F3915" t="str"><v>DCM</v></cell><cell r="G3915" t="str"><v>https://signup.azure.com/</v></cell></row><row r="3915"><cell r="K3915" t="str"><v>July</v></cell><cell r="L3915"><v>43309</v></cell><cell r="M3915" t="str"><v>Tier 1</v></cell><cell r="N3915" t="str"><v>North America</v></cell><cell r="O3915" t="str"><v>Canada</v></cell><cell r="P3915" t="str"><v>Trial</v></cell><cell r="Q3915" t="str"><v>Social</v></cell><cell r="R3915" t="str"><v>Azure</v></cell><cell r="S3915" t="str"><v>Apps & Infra</v></cell><cell r="T3915" t="str"><v>Developers & ITI's</v></cell><cell r="U3915" t="str"><v>AZR</v></cell><cell r="V3915" t="str"><v>Audience Targeting</v></cell><cell r="W3915" t="str"><v>Engagement Video</v></cell><cell r="X3915" t="str"><v>1x1</v></cell></row><row r="3915"><cell r="AA3915"><v>43309</v></cell><cell r="AB3915" t="str"><v>CAN_gaPMG_AZR_AZR_Q1_19_Trial-Social</v></cell><cell r="AC3915"><v>21337220</v></cell><cell r="AD3915"><v>720192</v></cell><cell r="AE3915" t="str"><v>Facebook</v></cell><cell r="AF3915"><v>3654128</v></cell><cell r="AG3915" t="str"><v>Facebook»AZR»1x1»NA»EGV»ALL»DYN»AUT»D»All»SS»NA»Free Acc CTC - T4 - EN</v></cell><cell r="AH3915"><v>223691837</v></cell><cell r="AI3915" t="str"><v>AzurePlatform_FBCTCBenefit2inMotion_CAN_14s_ISV_PLAT_English_Trial_Standard_STAN_TN_T4_1</v></cell><cell r="AJ3915"><v>103053314</v></cell></row><row r="3916"><cell r="C3916" t="str"><v>43309Facebook»AZR»1x1»NA»EGV»ALL»DYN»AUT»D»All»SS»NA»Free Acc CTC - T4 - FR</v></cell><cell r="D3916" t="str"><v>43309223691795</v></cell><cell r="E3916" t="str"><v>433091029006884 - FR</v></cell><cell r="F3916" t="str"><v>DCM</v></cell><cell r="G3916" t="str"><v>https://signup.azure.com/</v></cell></row><row r="3916"><cell r="K3916" t="str"><v>July</v></cell><cell r="L3916"><v>43309</v></cell><cell r="M3916" t="str"><v>Tier 1</v></cell><cell r="N3916" t="str"><v>North America</v></cell><cell r="O3916" t="str"><v>Canada</v></cell><cell r="P3916" t="str"><v>Trial</v></cell><cell r="Q3916" t="str"><v>Social</v></cell><cell r="R3916" t="str"><v>Azure</v></cell><cell r="S3916" t="str"><v>Apps & Infra</v></cell><cell r="T3916" t="str"><v>Developers & ITI's</v></cell><cell r="U3916" t="str"><v>AZR</v></cell><cell r="V3916" t="str"><v>Audience Targeting</v></cell><cell r="W3916" t="str"><v>Engagement Video</v></cell><cell r="X3916" t="str"><v>1x1</v></cell></row><row r="3916"><cell r="AA3916"><v>43309</v></cell><cell r="AB3916" t="str"><v>CAN_gaPMG_AZR_AZR_Q1_19_Trial-Social</v></cell><cell r="AC3916"><v>21337220</v></cell><cell r="AD3916"><v>720192</v></cell><cell r="AE3916" t="str"><v>Facebook</v></cell><cell r="AF3916"><v>3654128</v></cell><cell r="AG3916" t="str"><v>Facebook»AZR»1x1»NA»EGV»ALL»DYN»AUT»D»All»SS»NA»Free Acc CTC - T4 - FR</v></cell><cell r="AH3916"><v>223691795</v></cell><cell r="AI3916" t="str"><v>AzurePlatform_FBCTCBenefit2inMotion_CAN_14s_ISV_PLAT_FR_Trial_Standard_STAN_TN_T4_1</v></cell><cell r="AJ3916"><v>102900688</v></cell></row><row r="3917"><cell r="C3917" t="str"><v>43309Facebook»AZR»1x1»NA»SOC»ALL»DYN»PRO»D»All»SS»NA»Canvas - Buy Now - EN</v></cell><cell r="D3917" t="str"><v>43309225322327</v></cell><cell r="E3917" t="str"><v>43309103902287w - EN</v></cell><cell r="F3917" t="str"><v>DCM</v></cell><cell r="G3917" t="str"><v>https://azure.microsoft.com/en-ca/pricing/purchase-options/</v></cell></row><row r="3917"><cell r="K3917" t="str"><v>July</v></cell><cell r="L3917"><v>43309</v></cell><cell r="M3917" t="str"><v>Tier 1</v></cell><cell r="N3917" t="str"><v>North America</v></cell><cell r="O3917" t="str"><v>Canada</v></cell><cell r="P3917" t="str"><v>Trial</v></cell><cell r="Q3917" t="str"><v>Social</v></cell><cell r="R3917" t="str"><v>Azure</v></cell><cell r="S3917" t="str"><v>Apps & Infra</v></cell><cell r="T3917" t="str"><v>Developers & ITI's</v></cell><cell r="U3917" t="str"><v>AZR</v></cell><cell r="V3917" t="str"><v>Prospecting</v></cell><cell r="W3917" t="str"><v>Social</v></cell><cell r="X3917" t="str"><v>1x1</v></cell></row><row r="3917"><cell r="AA3917"><v>43309</v></cell><cell r="AB3917" t="str"><v>CAN_gaPMG_AZR_AZR_Q1_19_Trial-Social</v></cell><cell r="AC3917"><v>21337220</v></cell><cell r="AD3917"><v>720192</v></cell><cell r="AE3917" t="str"><v>Facebook</v></cell><cell r="AF3917"><v>3654128</v></cell><cell r="AG3917" t="str"><v>Facebook»AZR»1x1»NA»SOC»ALL»DYN»PRO»D»All»SS»NA»Canvas - Buy Now - EN</v></cell><cell r="AH3917"><v>225322327</v></cell><cell r="AI3917" t="str"><v>AzurePlatform_FBCTCcanvaspage-BuyNowCTA-Img3_CAN_1080x162_SOC_Plat_English_NA_Standard_NA_BN_T3_1</v></cell><cell r="AJ3917"><v>103902287</v></cell></row><row r="3918"><cell r="C3918" t="str"><v>43309Facebook»AZR»1x1»NA»SOC»ALL»DYN»PRO»D»All»SS»NA»Canvas - Buy Now - FR</v></cell><cell r="D3918" t="str"><v>43309225322324</v></cell><cell r="E3918" t="str"><v>43309103789915w - FR</v></cell><cell r="F3918" t="str"><v>DCM</v></cell><cell r="G3918" t="str"><v>https://azure.microsoft.com/fr-ca/pricing/purchase-options/</v></cell></row><row r="3918"><cell r="K3918" t="str"><v>July</v></cell><cell r="L3918"><v>43309</v></cell><cell r="M3918" t="str"><v>Tier 1</v></cell><cell r="N3918" t="str"><v>North America</v></cell><cell r="O3918" t="str"><v>Canada</v></cell><cell r="P3918" t="str"><v>Trial</v></cell><cell r="Q3918" t="str"><v>Social</v></cell><cell r="R3918" t="str"><v>Azure</v></cell><cell r="S3918" t="str"><v>Apps & Infra</v></cell><cell r="T3918" t="str"><v>Developers & ITI's</v></cell><cell r="U3918" t="str"><v>AZR</v></cell><cell r="V3918" t="str"><v>Prospecting</v></cell><cell r="W3918" t="str"><v>Social</v></cell><cell r="X3918" t="str"><v>1x1</v></cell></row><row r="3918"><cell r="AA3918"><v>43309</v></cell><cell r="AB3918" t="str"><v>CAN_gaPMG_AZR_AZR_Q1_19_Trial-Social</v></cell><cell r="AC3918"><v>21337220</v></cell><cell r="AD3918"><v>720192</v></cell><cell r="AE3918" t="str"><v>Facebook</v></cell><cell r="AF3918"><v>3654128</v></cell><cell r="AG3918" t="str"><v>Facebook»AZR»1x1»NA»SOC»ALL»DYN»PRO»D»All»SS»NA»Canvas - Buy Now - FR</v></cell><cell r="AH3918"><v>225322324</v></cell><cell r="AI3918" t="str"><v>AzurePlatform_FBCTCcanvaspage-BuyNowCTA-Img3_CAN_1080x162_SOC_Plat_French_NA_Standard_NA_BN_T3_1</v></cell><cell r="AJ3918"><v>103789915</v></cell></row><row r="3919"><cell r="C3919" t="str"><v>43309Facebook»AZR»1x1»NA»SOC»ALL»DYN»PRO»D»All»SS»NA»Canvas - Start Free - EN</v></cell><cell r="D3919" t="str"><v>43309225252365</v></cell><cell r="E3919" t="str"><v>43309103807590e - EN</v></cell><cell r="F3919" t="str"><v>DCM</v></cell><cell r="G3919" t="str"><v>https://signup.azure.com/signup?offer=ms-azr-0044p&appId=102&ref=paidmedia-social-fb&redirectURL=https%3a%2f%2fazure.microsoft.com%2fen-ca%2fget-started%2fwelcome-to-azure%2f&l=en-ca&correlationId=ead86c34-1f10-49dd-a72b-6918462a2cbf</v></cell></row><row r="3919"><cell r="K3919" t="str"><v>July</v></cell><cell r="L3919"><v>43309</v></cell><cell r="M3919" t="str"><v>Tier 1</v></cell><cell r="N3919" t="str"><v>North America</v></cell><cell r="O3919" t="str"><v>Canada</v></cell><cell r="P3919" t="str"><v>Trial</v></cell><cell r="Q3919" t="str"><v>Social</v></cell><cell r="R3919" t="str"><v>Azure</v></cell><cell r="S3919" t="str"><v>Apps & Infra</v></cell><cell r="T3919" t="str"><v>Developers & ITI's</v></cell><cell r="U3919" t="str"><v>AZR</v></cell><cell r="V3919" t="str"><v>Prospecting</v></cell><cell r="W3919" t="str"><v>Social</v></cell><cell r="X3919" t="str"><v>1x1</v></cell></row><row r="3919"><cell r="AA3919"><v>43309</v></cell><cell r="AB3919" t="str"><v>CAN_gaPMG_AZR_AZR_Q1_19_Trial-Social</v></cell><cell r="AC3919"><v>21337220</v></cell><cell r="AD3919"><v>720192</v></cell><cell r="AE3919" t="str"><v>Facebook</v></cell><cell r="AF3919"><v>3654128</v></cell><cell r="AG3919" t="str"><v>Facebook»AZR»1x1»NA»SOC»ALL»DYN»PRO»D»All»SS»NA»Canvas - Start Free - EN</v></cell><cell r="AH3919"><v>225252365</v></cell><cell r="AI3919" t="str"><v>AzurePlatform_FBCTCcanvaspage-StartFreeCTA-Img2_CAN_1080x143 _SOC_Plat_English_NA_Standard_NA_NA_T2_1</v></cell><cell r="AJ3919"><v>103807590</v></cell></row><row r="3920"><cell r="C3920" t="str"><v>43309Facebook»AZR»1x1»NA»SOC»ALL»DYN»PRO»D»All»SS»NA»Canvas - Start Free - FR</v></cell><cell r="D3920" t="str"><v>43309225525936</v></cell><cell r="E3920" t="str"><v>43309103902551e - FR</v></cell><cell r="F3920" t="str"><v>DCM</v></cell><cell r="G3920" t="str"><v>https://signup.azure.com/signup?offer=ms-azr-0044p&appId=102&ref=paidmedia-social-fb&redirectURL=https%3a%2f%2fazure.microsoft.com%2ffr-ca%2fget-started%2fwelcome-to-azure%2f&l=fr-ca&correlationId=ead86c34-1f10-49dd-a72b-6918462a2cbf</v></cell></row><row r="3920"><cell r="K3920" t="str"><v>July</v></cell><cell r="L3920"><v>43309</v></cell><cell r="M3920" t="str"><v>Tier 1</v></cell><cell r="N3920" t="str"><v>North America</v></cell><cell r="O3920" t="str"><v>Canada</v></cell><cell r="P3920" t="str"><v>Trial</v></cell><cell r="Q3920" t="str"><v>Social</v></cell><cell r="R3920" t="str"><v>Azure</v></cell><cell r="S3920" t="str"><v>Apps & Infra</v></cell><cell r="T3920" t="str"><v>Developers & ITI's</v></cell><cell r="U3920" t="str"><v>AZR</v></cell><cell r="V3920" t="str"><v>Prospecting</v></cell><cell r="W3920" t="str"><v>Social</v></cell><cell r="X3920" t="str"><v>1x1</v></cell></row><row r="3920"><cell r="AA3920"><v>43309</v></cell><cell r="AB3920" t="str"><v>CAN_gaPMG_AZR_AZR_Q1_19_Trial-Social</v></cell><cell r="AC3920"><v>21337220</v></cell><cell r="AD3920"><v>720192</v></cell><cell r="AE3920" t="str"><v>Facebook</v></cell><cell r="AF3920"><v>3654128</v></cell><cell r="AG3920" t="str"><v>Facebook»AZR»1x1»NA»SOC»ALL»DYN»PRO»D»All»SS»NA»Canvas - Start Free - FR</v></cell><cell r="AH3920"><v>225525936</v></cell><cell r="AI3920" t="str"><v>AzurePlatform_FBCTCcanvaspage-StartFreeCTA-Img2_CAN_1080x143 _SOC_Plat_French_NA_Standard_NA_NA_T2_1</v></cell><cell r="AJ3920"><v>103902551</v></cell></row><row r="3921"><cell r="C3921" t="str"><v>43309Facebook»AZR»1x1»SocialBan»NA»ALL»DYN»AUT»D»All»SS»NA»Free Acc Refresh - T3 - EN</v></cell><cell r="D3921" t="str"><v>43309223691807</v></cell><cell r="E3921" t="str"><v>433091029006853 - EN</v></cell><cell r="F3921" t="str"><v>DCM</v></cell><cell r="G3921" t="str"><v>https://azure.microsoft.com/en-CA/free/search/</v></cell></row><row r="3921"><cell r="K3921" t="str"><v>July</v></cell><cell r="L3921"><v>43309</v></cell><cell r="M3921" t="str"><v>Tier 1</v></cell><cell r="N3921" t="str"><v>North America</v></cell><cell r="O3921" t="str"><v>Canada</v></cell><cell r="P3921" t="str"><v>Trial</v></cell><cell r="Q3921" t="str"><v>Social</v></cell><cell r="R3921" t="str"><v>Azure</v></cell><cell r="S3921" t="str"><v>Apps & Infra</v></cell><cell r="T3921" t="str"><v>Developers & ITI's</v></cell><cell r="U3921" t="str"><v>AZR</v></cell><cell r="V3921" t="str"><v>Audience Targeting</v></cell><cell r="W3921" t="str"><v>NotApplicable</v></cell><cell r="X3921" t="str"><v>1x1</v></cell></row><row r="3921"><cell r="AA3921"><v>43309</v></cell><cell r="AB3921" t="str"><v>CAN_gaPMG_AZR_AZR_Q1_19_Trial-Social</v></cell><cell r="AC3921"><v>21337220</v></cell><cell r="AD3921"><v>720192</v></cell><cell r="AE3921" t="str"><v>Facebook</v></cell><cell r="AF3921"><v>3654128</v></cell><cell r="AG3921" t="str"><v>Facebook»AZR»1x1»SocialBan»NA»ALL»DYN»AUT»D»All»SS»NA»Free Acc Refresh - T3 - EN</v></cell><cell r="AH3921"><v>223691807</v></cell><cell r="AI3921" t="str"><v>AzurePlatform_FreeAcctAppsFACEBOOKIllustrationChC_CAN_1200x628_SOC_PLAT_EN_Trial_Standard_NA_SU_T3_1.png</v></cell><cell r="AJ3921"><v>102900685</v></cell></row><row r="3922"><cell r="C3922" t="str"><v>43309Facebook»AZR»1x1»SocialBan»NA»ALL»DYN»RT»D»All»SS»NA» Free Account Retargeting OSS - T1 - EN</v></cell><cell r="D3922" t="str"><v>43309223691828</v></cell><cell r="E3922" t="str"><v>433091029029561 - EN</v></cell><cell r="F3922" t="str"><v>DCM</v></cell><cell r="G3922" t="str"><v>https://azure.microsoft.com/en-ca/free/open-source/search/</v></cell></row><row r="3922"><cell r="K3922" t="str"><v>July</v></cell><cell r="L3922"><v>43309</v></cell><cell r="M3922" t="str"><v>Tier 1</v></cell><cell r="N3922" t="str"><v>North America</v></cell><cell r="O3922" t="str"><v>Canada</v></cell><cell r="P3922" t="str"><v>Trial</v></cell><cell r="Q3922" t="str"><v>Social</v></cell><cell r="R3922" t="str"><v>Azure</v></cell><cell r="S3922" t="str"><v>Apps & Infra</v></cell><cell r="T3922" t="str"><v>Developers & ITI's</v></cell><cell r="U3922" t="str"><v>AZR</v></cell><cell r="V3922" t="str"><v>Retargeting</v></cell><cell r="W3922" t="str"><v>NotApplicable</v></cell><cell r="X3922" t="str"><v>1x1</v></cell></row><row r="3922"><cell r="AA3922"><v>43309</v></cell><cell r="AB3922" t="str"><v>CAN_gaPMG_AZR_AZR_Q1_19_Trial-Social</v></cell><cell r="AC3922"><v>21337220</v></cell><cell r="AD3922"><v>720192</v></cell><cell r="AE3922" t="str"><v>Facebook</v></cell><cell r="AF3922"><v>3654128</v></cell><cell r="AG3922" t="str"><v>Facebook»AZR»1x1»SocialBan»NA»ALL»DYN»RT»D»All»SS»NA» Free Account Retargeting OSS - T1 - EN</v></cell><cell r="AH3922"><v>223691828</v></cell><cell r="AI3922" t="str"><v>AzurePlatform_FreeAcctRetargetingOSSFB-Text-ChF_CAN_1200x628_SOC_Plat_EN_Free Account_Standard_NA_SU_T1_1</v></cell><cell r="AJ3922"><v>102902956</v></cell></row><row r="3923"><cell r="C3923" t="str"><v>43309Facebook»AZR»1x1»SocialBan»NA»ALL»DYN»RT»D»All»SS»NA» Free Account Retargeting OSS - T2 - EN</v></cell><cell r="D3923" t="str"><v>43309223691831</v></cell><cell r="E3923" t="str"><v>433091029138002 - EN</v></cell><cell r="F3923" t="str"><v>DCM</v></cell><cell r="G3923" t="str"><v>https://azure.microsoft.com/en-ca/free/open-source/search/</v></cell></row><row r="3923"><cell r="K3923" t="str"><v>July</v></cell><cell r="L3923"><v>43309</v></cell><cell r="M3923" t="str"><v>Tier 1</v></cell><cell r="N3923" t="str"><v>North America</v></cell><cell r="O3923" t="str"><v>Canada</v></cell><cell r="P3923" t="str"><v>Trial</v></cell><cell r="Q3923" t="str"><v>Social</v></cell><cell r="R3923" t="str"><v>Azure</v></cell><cell r="S3923" t="str"><v>Apps & Infra</v></cell><cell r="T3923" t="str"><v>Developers & ITI's</v></cell><cell r="U3923" t="str"><v>AZR</v></cell><cell r="V3923" t="str"><v>Retargeting</v></cell><cell r="W3923" t="str"><v>NotApplicable</v></cell><cell r="X3923" t="str"><v>1x1</v></cell></row><row r="3923"><cell r="AA3923"><v>43309</v></cell><cell r="AB3923" t="str"><v>CAN_gaPMG_AZR_AZR_Q1_19_Trial-Social</v></cell><cell r="AC3923"><v>21337220</v></cell><cell r="AD3923"><v>720192</v></cell><cell r="AE3923" t="str"><v>Facebook</v></cell><cell r="AF3923"><v>3654128</v></cell><cell r="AG3923" t="str"><v>Facebook»AZR»1x1»SocialBan»NA»ALL»DYN»RT»D»All»SS»NA» Free Account Retargeting OSS - T2 - EN</v></cell><cell r="AH3923"><v>223691831</v></cell><cell r="AI3923" t="str"><v>AzurePlatform_FreeAcctRetargetingOSSFB-Logos-ChG_CAN_1200x628_SOC_Plat_EN_Free Account_Standard_NA_SU_T2_1</v></cell><cell r="AJ3923"><v>102913800</v></cell></row><row r="3924"><cell r="C3924" t="str"><v>43309Facebook»AZR»1x1»SocialBan»NA»ALL»DYN»RT»D»All»SS»NA» Free Account Retargeting OSS - T2 - FR</v></cell><cell r="D3924" t="str"><v>43309223691789</v></cell><cell r="E3924" t="str"><v>433091029006912 - FR</v></cell><cell r="F3924" t="str"><v>DCM</v></cell><cell r="G3924" t="str"><v>https://azure.microsoft.com/fr-ca/free/open-source/search/</v></cell></row><row r="3924"><cell r="K3924" t="str"><v>July</v></cell><cell r="L3924"><v>43309</v></cell><cell r="M3924" t="str"><v>Tier 1</v></cell><cell r="N3924" t="str"><v>North America</v></cell><cell r="O3924" t="str"><v>Canada</v></cell><cell r="P3924" t="str"><v>Trial</v></cell><cell r="Q3924" t="str"><v>Social</v></cell><cell r="R3924" t="str"><v>Azure</v></cell><cell r="S3924" t="str"><v>Apps & Infra</v></cell><cell r="T3924" t="str"><v>Developers & ITI's</v></cell><cell r="U3924" t="str"><v>AZR</v></cell><cell r="V3924" t="str"><v>Retargeting</v></cell><cell r="W3924" t="str"><v>NotApplicable</v></cell><cell r="X3924" t="str"><v>1x1</v></cell></row><row r="3924"><cell r="AA3924"><v>43309</v></cell><cell r="AB3924" t="str"><v>CAN_gaPMG_AZR_AZR_Q1_19_Trial-Social</v></cell><cell r="AC3924"><v>21337220</v></cell><cell r="AD3924"><v>720192</v></cell><cell r="AE3924" t="str"><v>Facebook</v></cell><cell r="AF3924"><v>3654128</v></cell><cell r="AG3924" t="str"><v>Facebook»AZR»1x1»SocialBan»NA»ALL»DYN»RT»D»All»SS»NA» Free Account Retargeting OSS - T2 - FR</v></cell><cell r="AH3924"><v>223691789</v></cell><cell r="AI3924" t="str"><v>AzurePlatform_FreeAcctRetargetingOSSFB-Logos-ChG_CAN_1200x628_SOC_Plat_FR_Free Account_Standard_NA_SU_T2_1</v></cell><cell r="AJ3924"><v>102900691</v></cell></row><row r="3925"><cell r="C3925" t="str"><v>43309Facebook»AZR»1x1»SocialBan»NA»ALL»DYN»RT»D»All»SS»NA»Free Account Retargeting VM - T1 - EN</v></cell><cell r="D3925" t="str"><v>43309223691825</v></cell><cell r="E3925" t="str"><v>433091029163381 - EN</v></cell><cell r="F3925" t="str"><v>DCM</v></cell><cell r="G3925" t="str"><v>https://azure.microsoft.com/en-ca/free/virtual-machines/search/</v></cell></row><row r="3925"><cell r="K3925" t="str"><v>July</v></cell><cell r="L3925"><v>43309</v></cell><cell r="M3925" t="str"><v>Tier 1</v></cell><cell r="N3925" t="str"><v>North America</v></cell><cell r="O3925" t="str"><v>Canada</v></cell><cell r="P3925" t="str"><v>Trial</v></cell><cell r="Q3925" t="str"><v>Social</v></cell><cell r="R3925" t="str"><v>Azure</v></cell><cell r="S3925" t="str"><v>Apps & Infra</v></cell><cell r="T3925" t="str"><v>Developers & ITI's</v></cell><cell r="U3925" t="str"><v>AZR</v></cell><cell r="V3925" t="str"><v>Retargeting</v></cell><cell r="W3925" t="str"><v>NotApplicable</v></cell><cell r="X3925" t="str"><v>1x1</v></cell></row><row r="3925"><cell r="AA3925"><v>43309</v></cell><cell r="AB3925" t="str"><v>CAN_gaPMG_AZR_AZR_Q1_19_Trial-Social</v></cell><cell r="AC3925"><v>21337220</v></cell><cell r="AD3925"><v>720192</v></cell><cell r="AE3925" t="str"><v>Facebook</v></cell><cell r="AF3925"><v>3654128</v></cell><cell r="AG3925" t="str"><v>Facebook»AZR»1x1»SocialBan»NA»ALL»DYN»RT»D»All»SS»NA»Free Account Retargeting VM - T1 - EN</v></cell><cell r="AH3925"><v>223691825</v></cell><cell r="AI3925" t="str"><v>AzurePlatform_FreeAcctRetargetingVMFB-750Hrs-ChD_CAN_1200x628_SOC_Plat_EN_Free Account_Standard_NA_SU_T1_1</v></cell><cell r="AJ3925"><v>102916338</v></cell></row><row r="3926"><cell r="C3926" t="str"><v>43309Facebook»AZR»1x1»SocialBan»NA»ALL»DYN»RT»D»All»SS»NA»Free Account Retargeting VM - T1 - FR</v></cell><cell r="D3926" t="str"><v>43309223691783</v></cell><cell r="E3926" t="str"><v>433091030587231 - FR</v></cell><cell r="F3926" t="str"><v>DCM</v></cell><cell r="G3926" t="str"><v>https://azure.microsoft.com/fr-ca/free/virtual-machines/search/</v></cell></row><row r="3926"><cell r="K3926" t="str"><v>July</v></cell><cell r="L3926"><v>43309</v></cell><cell r="M3926" t="str"><v>Tier 1</v></cell><cell r="N3926" t="str"><v>North America</v></cell><cell r="O3926" t="str"><v>Canada</v></cell><cell r="P3926" t="str"><v>Trial</v></cell><cell r="Q3926" t="str"><v>Social</v></cell><cell r="R3926" t="str"><v>Azure</v></cell><cell r="S3926" t="str"><v>Apps & Infra</v></cell><cell r="T3926" t="str"><v>Developers & ITI's</v></cell><cell r="U3926" t="str"><v>AZR</v></cell><cell r="V3926" t="str"><v>Retargeting</v></cell><cell r="W3926" t="str"><v>NotApplicable</v></cell><cell r="X3926" t="str"><v>1x1</v></cell></row><row r="3926"><cell r="AA3926"><v>43309</v></cell><cell r="AB3926" t="str"><v>CAN_gaPMG_AZR_AZR_Q1_19_Trial-Social</v></cell><cell r="AC3926"><v>21337220</v></cell><cell r="AD3926"><v>720192</v></cell><cell r="AE3926" t="str"><v>Facebook</v></cell><cell r="AF3926"><v>3654128</v></cell><cell r="AG3926" t="str"><v>Facebook»AZR»1x1»SocialBan»NA»ALL»DYN»RT»D»All»SS»NA»Free Account Retargeting VM - T1 - FR</v></cell><cell r="AH3926"><v>223691783</v></cell><cell r="AI3926" t="str"><v>AzurePlatform_FreeAcctRetargetingVMFB-750Hrs-ChD_CAN_1200x628_SOC_Plat_FR_Free Account_Standard_NA_SU_T1_1</v></cell><cell r="AJ3926"><v>103058723</v></cell></row><row r="3927"><cell r="C3927" t="str"><v>43309Facebook»AZR»1x1»SocialBan»NA»ALL»DYN»RT»D»All»SS»NA»Free Account Retargeting VM - T2 - EN</v></cell><cell r="D3927" t="str"><v>43309223691822</v></cell><cell r="E3927" t="str"><v>433091030587082 - EN</v></cell><cell r="F3927" t="str"><v>DCM</v></cell><cell r="G3927" t="str"><v>https://azure.microsoft.com/en-ca/free/virtual-machines/search/</v></cell></row><row r="3927"><cell r="K3927" t="str"><v>July</v></cell><cell r="L3927"><v>43309</v></cell><cell r="M3927" t="str"><v>Tier 1</v></cell><cell r="N3927" t="str"><v>North America</v></cell><cell r="O3927" t="str"><v>Canada</v></cell><cell r="P3927" t="str"><v>Trial</v></cell><cell r="Q3927" t="str"><v>Social</v></cell><cell r="R3927" t="str"><v>Azure</v></cell><cell r="S3927" t="str"><v>Apps & Infra</v></cell><cell r="T3927" t="str"><v>Developers & ITI's</v></cell><cell r="U3927" t="str"><v>AZR</v></cell><cell r="V3927" t="str"><v>Retargeting</v></cell><cell r="W3927" t="str"><v>NotApplicable</v></cell><cell r="X3927" t="str"><v>1x1</v></cell></row><row r="3927"><cell r="AA3927"><v>43309</v></cell><cell r="AB3927" t="str"><v>CAN_gaPMG_AZR_AZR_Q1_19_Trial-Social</v></cell><cell r="AC3927"><v>21337220</v></cell><cell r="AD3927"><v>720192</v></cell><cell r="AE3927" t="str"><v>Facebook</v></cell><cell r="AF3927"><v>3654128</v></cell><cell r="AG3927" t="str"><v>Facebook»AZR»1x1»SocialBan»NA»ALL»DYN»RT»D»All»SS»NA»Free Account Retargeting VM - T2 - EN</v></cell><cell r="AH3927"><v>223691822</v></cell><cell r="AI3927" t="str"><v>AzurePlatform_FreeAcctRetargetingVMFB-OnDemand-ChE_CAN_1200x628_SOC_Plat_EN_Free Account_Standard_NA_SU_T2_1</v></cell><cell r="AJ3927"><v>103058708</v></cell></row><row r="3928"><cell r="C3928" t="str"><v>43309Facebook»DEV-ITP-AZR-FB|CanvasAds|Interesttargeting»1x1»TextLink»CAN»DT»CPM»AUT»W»NA»SS»NA»39684020-11000</v></cell><cell r="D3928" t="str"><v>43309224009494</v></cell><cell r="E3928" t="str"><v>43309103236186-11000</v></cell><cell r="F3928" t="str"><v>DCM</v></cell><cell r="G3928" t="str"><v>https://signup.azure.com/signup?offer=ms-azr-0044p&appId=102&ref=paidmedia-social-fb&redirectURL=https%3a%2f%2fazure.microsoft.com%2fde-de%2fget-started%2fwelcome-to-azure%2f&l=de-de&correlationId=ead86c34-1f10-49dd-a72b-6918462a2cbf</v></cell></row><row r="3928"><cell r="K3928" t="str"><v>July</v></cell><cell r="L3928"><v>43309</v></cell><cell r="M3928" t="str"><v>Tier 1</v></cell><cell r="N3928" t="str"><v>EMEA</v></cell><cell r="O3928" t="str"><v>Germany</v></cell><cell r="P3928" t="str"><v>Trial</v></cell><cell r="Q3928" t="str"><v>Social</v></cell><cell r="R3928" t="str"><v>Azure</v></cell><cell r="S3928" t="str"><v>Apps & Infra</v></cell><cell r="T3928" t="str"><v>Developers & ITI's</v></cell><cell r="U3928" t="str"><v>DEV-ITP-AZR-FB|CanvasAds|Interesttargeting</v></cell><cell r="V3928" t="str"><v>Audience Targeting</v></cell><cell r="W3928" t="str"><v>Canvas Ad</v></cell><cell r="X3928" t="str"><v>1x1</v></cell></row><row r="3928"><cell r="AA3928"><v>43309</v></cell><cell r="AB3928" t="str"><v>DEU_gaPMG_AZR_AZR_Q1_19_Trial-Social- 39684</v></cell><cell r="AC3928"><v>21359477</v></cell><cell r="AD3928"><v>720194</v></cell><cell r="AE3928" t="str"><v>Facebook</v></cell><cell r="AF3928"><v>3654128</v></cell><cell r="AG3928" t="str"><v>Facebook»DEV-ITP-AZR-FB|CanvasAds|Interesttargeting»1x1»TextLink»CAN»DT»CPM»AUT»W»NA»SS»NA»39684020-11000</v></cell><cell r="AH3928"><v>224009494</v></cell><cell r="AI3928" t="str"><v>AzurePlatform_FBCTCBasicMotion-StartFreeCT_DEU_10s_ISV_PLAT_DE_Trial_Standard_STAN_TN_T1_1</v></cell><cell r="AJ3928"><v>103236186</v></cell></row><row r="3929"><cell r="C3929" t="str"><v>43309Facebook»DEV-ITP-AZR-FB|CanvasAds|Interesttargeting»1x1»TextLink»CAN»DT»CPM»AUT»W»NA»SS»NA»39684020-11000</v></cell><cell r="D3929" t="str"><v>43309224009494</v></cell><cell r="E3929" t="str"><v>43309103236189-11000</v></cell><cell r="F3929" t="str"><v>DCM</v></cell><cell r="G3929" t="str"><v>https://azure.microsoft.com/de-de/pricing/purchase-options/</v></cell></row><row r="3929"><cell r="K3929" t="str"><v>July</v></cell><cell r="L3929"><v>43309</v></cell><cell r="M3929" t="str"><v>Tier 1</v></cell><cell r="N3929" t="str"><v>EMEA</v></cell><cell r="O3929" t="str"><v>Germany</v></cell><cell r="P3929" t="str"><v>Trial</v></cell><cell r="Q3929" t="str"><v>Social</v></cell><cell r="R3929" t="str"><v>Azure</v></cell><cell r="S3929" t="str"><v>Apps & Infra</v></cell><cell r="T3929" t="str"><v>Developers & ITI's</v></cell><cell r="U3929" t="str"><v>DEV-ITP-AZR-FB|CanvasAds|Interesttargeting</v></cell><cell r="V3929" t="str"><v>Audience Targeting</v></cell><cell r="W3929" t="str"><v>Canvas Ad</v></cell><cell r="X3929" t="str"><v>1x1</v></cell></row><row r="3929"><cell r="AA3929"><v>43309</v></cell><cell r="AB3929" t="str"><v>DEU_gaPMG_AZR_AZR_Q1_19_Trial-Social- 39684</v></cell><cell r="AC3929"><v>21359477</v></cell><cell r="AD3929"><v>720194</v></cell><cell r="AE3929" t="str"><v>Facebook</v></cell><cell r="AF3929"><v>3654128</v></cell><cell r="AG3929" t="str"><v>Facebook»DEV-ITP-AZR-FB|CanvasAds|Interesttargeting»1x1»TextLink»CAN»DT»CPM»AUT»W»NA»SS»NA»39684020-11000</v></cell><cell r="AH3929"><v>224009494</v></cell><cell r="AI3929" t="str"><v>AzurePlatform_FBCTCBenefit2inMotion-BuyNow_DEU_14s_ISV_PLAT_DE_Trial_Standard_STAN_TN_T4_1</v></cell><cell r="AJ3929"><v>103236189</v></cell></row><row r="3930"><cell r="C3930" t="str"><v>43309Facebook»DEV-ITP-AZR-FB|CanvasAds|Interesttargeting»1x1»TextLink»CAN»DT»CPM»AUT»W»NA»SS»NA»39684020-11000</v></cell><cell r="D3930" t="str"><v>43309224009494</v></cell><cell r="E3930" t="str"><v>43309103237290-11000</v></cell><cell r="F3930" t="str"><v>DCM</v></cell><cell r="G3930" t="str"><v>https://signup.azure.com/signup?offer=ms-azr-0044p&appId=102&ref=paidmedia-social-fb&redirectURL=https%3a%2f%2fazure.microsoft.com%2fde-de%2fget-started%2fwelcome-to-azure%2f&l=de-de&correlationId=ead86c34-1f10-49dd-a72b-6918462a2cbf</v></cell></row><row r="3930"><cell r="K3930" t="str"><v>July</v></cell><cell r="L3930"><v>43309</v></cell><cell r="M3930" t="str"><v>Tier 1</v></cell><cell r="N3930" t="str"><v>EMEA</v></cell><cell r="O3930" t="str"><v>Germany</v></cell><cell r="P3930" t="str"><v>Trial</v></cell><cell r="Q3930" t="str"><v>Social</v></cell><cell r="R3930" t="str"><v>Azure</v></cell><cell r="S3930" t="str"><v>Apps & Infra</v></cell><cell r="T3930" t="str"><v>Developers & ITI's</v></cell><cell r="U3930" t="str"><v>DEV-ITP-AZR-FB|CanvasAds|Interesttargeting</v></cell><cell r="V3930" t="str"><v>Audience Targeting</v></cell><cell r="W3930" t="str"><v>Canvas Ad</v></cell><cell r="X3930" t="str"><v>1x1</v></cell></row><row r="3930"><cell r="AA3930"><v>43309</v></cell><cell r="AB3930" t="str"><v>DEU_gaPMG_AZR_AZR_Q1_19_Trial-Social- 39684</v></cell><cell r="AC3930"><v>21359477</v></cell><cell r="AD3930"><v>720194</v></cell><cell r="AE3930" t="str"><v>Facebook</v></cell><cell r="AF3930"><v>3654128</v></cell><cell r="AG3930" t="str"><v>Facebook»DEV-ITP-AZR-FB|CanvasAds|Interesttargeting»1x1»TextLink»CAN»DT»CPM»AUT»W»NA»SS»NA»39684020-11000</v></cell><cell r="AH3930"><v>224009494</v></cell><cell r="AI3930" t="str"><v>AzurePlatform_FBCTCBenefit2inMotion-StartFreeCT_DEU_14s_ISV_PLAT_DE_Trial_Standard_STAN_TN_T4_1</v></cell><cell r="AJ3930"><v>103237290</v></cell></row><row r="3931"><cell r="C3931" t="str"><v>43309Facebook»DEV-ITP-AZR-FB|CanvasAds|Interesttargeting»1x1»TextLink»CAN»DT»CPM»AUT»W»NA»SS»NA»39684020-11000</v></cell><cell r="D3931" t="str"><v>43309224009494</v></cell><cell r="E3931" t="str"><v>43309103350059-11000</v></cell><cell r="F3931" t="str"><v>DCM</v></cell><cell r="G3931" t="str"><v>https://azure.microsoft.com/de-de/pricing/purchase-options/</v></cell></row><row r="3931"><cell r="K3931" t="str"><v>July</v></cell><cell r="L3931"><v>43309</v></cell><cell r="M3931" t="str"><v>Tier 1</v></cell><cell r="N3931" t="str"><v>EMEA</v></cell><cell r="O3931" t="str"><v>Germany</v></cell><cell r="P3931" t="str"><v>Trial</v></cell><cell r="Q3931" t="str"><v>Social</v></cell><cell r="R3931" t="str"><v>Azure</v></cell><cell r="S3931" t="str"><v>Apps & Infra</v></cell><cell r="T3931" t="str"><v>Developers & ITI's</v></cell><cell r="U3931" t="str"><v>DEV-ITP-AZR-FB|CanvasAds|Interesttargeting</v></cell><cell r="V3931" t="str"><v>Audience Targeting</v></cell><cell r="W3931" t="str"><v>Canvas Ad</v></cell><cell r="X3931" t="str"><v>1x1</v></cell></row><row r="3931"><cell r="AA3931"><v>43309</v></cell><cell r="AB3931" t="str"><v>DEU_gaPMG_AZR_AZR_Q1_19_Trial-Social- 39684</v></cell><cell r="AC3931"><v>21359477</v></cell><cell r="AD3931"><v>720194</v></cell><cell r="AE3931" t="str"><v>Facebook</v></cell><cell r="AF3931"><v>3654128</v></cell><cell r="AG3931" t="str"><v>Facebook»DEV-ITP-AZR-FB|CanvasAds|Interesttargeting»1x1»TextLink»CAN»DT»CPM»AUT»W»NA»SS»NA»39684020-11000</v></cell><cell r="AH3931"><v>224009494</v></cell><cell r="AI3931" t="str"><v>AzurePlatform_FBCTCBrandinMotion-BuyNow_DEU_12s_ISV_PLAT_DE_Trial_Standard_STAN_TN_T2_1</v></cell><cell r="AJ3931"><v>103350059</v></cell></row><row r="3932"><cell r="C3932" t="str"><v>43309Facebook»DEV-ITP-AZR-FB|CanvasAds|Interesttargeting»1x1»TextLink»CAN»DT»CPM»AUT»W»NA»SS»NA»39684020-11000</v></cell><cell r="D3932" t="str"><v>43309224009494</v></cell><cell r="E3932" t="str"><v>43309103237293-11000</v></cell><cell r="F3932" t="str"><v>DCM</v></cell><cell r="G3932" t="str"><v>https://signup.azure.com/signup?offer=ms-azr-0044p&appId=102&ref=paidmedia-social-fb&redirectURL=https%3a%2f%2fazure.microsoft.com%2fde-de%2fget-started%2fwelcome-to-azure%2f&l=de-de&correlationId=ead86c34-1f10-49dd-a72b-6918462a2cbf</v></cell></row><row r="3932"><cell r="K3932" t="str"><v>July</v></cell><cell r="L3932"><v>43309</v></cell><cell r="M3932" t="str"><v>Tier 1</v></cell><cell r="N3932" t="str"><v>EMEA</v></cell><cell r="O3932" t="str"><v>Germany</v></cell><cell r="P3932" t="str"><v>Trial</v></cell><cell r="Q3932" t="str"><v>Social</v></cell><cell r="R3932" t="str"><v>Azure</v></cell><cell r="S3932" t="str"><v>Apps & Infra</v></cell><cell r="T3932" t="str"><v>Developers & ITI's</v></cell><cell r="U3932" t="str"><v>DEV-ITP-AZR-FB|CanvasAds|Interesttargeting</v></cell><cell r="V3932" t="str"><v>Audience Targeting</v></cell><cell r="W3932" t="str"><v>Canvas Ad</v></cell><cell r="X3932" t="str"><v>1x1</v></cell></row><row r="3932"><cell r="AA3932"><v>43309</v></cell><cell r="AB3932" t="str"><v>DEU_gaPMG_AZR_AZR_Q1_19_Trial-Social- 39684</v></cell><cell r="AC3932"><v>21359477</v></cell><cell r="AD3932"><v>720194</v></cell><cell r="AE3932" t="str"><v>Facebook</v></cell><cell r="AF3932"><v>3654128</v></cell><cell r="AG3932" t="str"><v>Facebook»DEV-ITP-AZR-FB|CanvasAds|Interesttargeting»1x1»TextLink»CAN»DT»CPM»AUT»W»NA»SS»NA»39684020-11000</v></cell><cell r="AH3932"><v>224009494</v></cell><cell r="AI3932" t="str"><v>AzurePlatform_FBCTCBrandinMotion-StartFreeCT_DEU_12s_ISV_PLAT_DE_Trial_Standard_STAN_TN_T2_1</v></cell><cell r="AJ3932"><v>103237293</v></cell></row><row r="3933"><cell r="C3933" t="str"><v>43309Facebook»DEV-ITP-AZR-FB|LinkAd|CustomerAudienceRetargeting»1x1»TextLink»LIA»DT»CPM»RT»W»NA»SS»NA»39684019-11000</v></cell><cell r="D3933" t="str"><v>43309224010415</v></cell><cell r="E3933" t="str"><v>43309103048548-11000</v></cell><cell r="F3933" t="str"><v>DCM</v></cell><cell r="G3933" t="str"><v>https://azure.microsoft.com/de-de/free/search/</v></cell></row><row r="3933"><cell r="K3933" t="str"><v>July</v></cell><cell r="L3933"><v>43309</v></cell><cell r="M3933" t="str"><v>Tier 1</v></cell><cell r="N3933" t="str"><v>EMEA</v></cell><cell r="O3933" t="str"><v>Germany</v></cell><cell r="P3933" t="str"><v>Trial</v></cell><cell r="Q3933" t="str"><v>Social</v></cell><cell r="R3933" t="str"><v>Azure</v></cell><cell r="S3933" t="str"><v>Apps & Infra</v></cell><cell r="T3933" t="str"><v>Developers & ITI's</v></cell><cell r="U3933" t="str"><v>DEV-ITP-AZR-FB|LinkAd|CustomerAudienceRetargeting</v></cell><cell r="V3933" t="str"><v>Retargeting</v></cell><cell r="W3933" t="str"><v>Link Ad</v></cell><cell r="X3933" t="str"><v>1x1</v></cell></row><row r="3933"><cell r="AA3933"><v>43309</v></cell><cell r="AB3933" t="str"><v>DEU_gaPMG_AZR_AZR_Q1_19_Trial-Social- 39684</v></cell><cell r="AC3933"><v>21359477</v></cell><cell r="AD3933"><v>720194</v></cell><cell r="AE3933" t="str"><v>Facebook</v></cell><cell r="AF3933"><v>3654128</v></cell><cell r="AG3933" t="str"><v>Facebook»DEV-ITP-AZR-FB|LinkAd|CustomerAudienceRetargeting»1x1»TextLink»LIA»DT»CPM»RT»W»NA»SS»NA»39684019-11000</v></cell><cell r="AH3933"><v>224010415</v></cell><cell r="AI3933" t="str"><v>AzurePlatform_FreeAcctRetargetingFB-Animated-ChC_DEU_1200x628_SOC_Plat_DE_Free Account_Standard_ANI_SNU_T3_1</v></cell><cell r="AJ3933"><v>103048548</v></cell></row><row r="3934"><cell r="C3934" t="str"><v>43309Facebook»DEV-ITP-AZR-FB|LinkAd|CustomerAudienceRetargeting»1x1»TextLink»LIA»DT»CPM»RT»W»NA»SS»NA»39684019-11000</v></cell><cell r="D3934" t="str"><v>43309224010415</v></cell><cell r="E3934" t="str"><v>43309103040320-11000</v></cell><cell r="F3934" t="str"><v>DCM</v></cell><cell r="G3934" t="str"><v>https://azure.microsoft.com/de-de/free/search/</v></cell></row><row r="3934"><cell r="K3934" t="str"><v>July</v></cell><cell r="L3934"><v>43309</v></cell><cell r="M3934" t="str"><v>Tier 1</v></cell><cell r="N3934" t="str"><v>EMEA</v></cell><cell r="O3934" t="str"><v>Germany</v></cell><cell r="P3934" t="str"><v>Trial</v></cell><cell r="Q3934" t="str"><v>Social</v></cell><cell r="R3934" t="str"><v>Azure</v></cell><cell r="S3934" t="str"><v>Apps & Infra</v></cell><cell r="T3934" t="str"><v>Developers & ITI's</v></cell><cell r="U3934" t="str"><v>DEV-ITP-AZR-FB|LinkAd|CustomerAudienceRetargeting</v></cell><cell r="V3934" t="str"><v>Retargeting</v></cell><cell r="W3934" t="str"><v>Link Ad</v></cell><cell r="X3934" t="str"><v>1x1</v></cell></row><row r="3934"><cell r="AA3934"><v>43309</v></cell><cell r="AB3934" t="str"><v>DEU_gaPMG_AZR_AZR_Q1_19_Trial-Social- 39684</v></cell><cell r="AC3934"><v>21359477</v></cell><cell r="AD3934"><v>720194</v></cell><cell r="AE3934" t="str"><v>Facebook</v></cell><cell r="AF3934"><v>3654128</v></cell><cell r="AG3934" t="str"><v>Facebook»DEV-ITP-AZR-FB|LinkAd|CustomerAudienceRetargeting»1x1»TextLink»LIA»DT»CPM»RT»W»NA»SS»NA»39684019-11000</v></cell><cell r="AH3934"><v>224010415</v></cell><cell r="AI3934" t="str"><v>AzurePlatform_FreeAcctRetargetingFB-GlobalAlt-ChB_DEU_1200x628_SOC_Plat_DE_Free Account_Standard_NA_SNU_T2_1</v></cell><cell r="AJ3934"><v>103040320</v></cell></row><row r="3935"><cell r="C3935" t="str"><v>43309Facebook»DEV-ITP-AZR-FB|LinkAd|CustomerAudienceRetargeting»1x1»TextLink»LIA»DT»CPM»RT»W»NA»SS»NA»39684019-11000</v></cell><cell r="D3935" t="str"><v>43309224010415</v></cell><cell r="E3935" t="str"><v>43309103043329-11000</v></cell><cell r="F3935" t="str"><v>DCM</v></cell><cell r="G3935" t="str"><v>https://azure.microsoft.com/de-de/free/open-source/search/</v></cell></row><row r="3935"><cell r="K3935" t="str"><v>July</v></cell><cell r="L3935"><v>43309</v></cell><cell r="M3935" t="str"><v>Tier 1</v></cell><cell r="N3935" t="str"><v>EMEA</v></cell><cell r="O3935" t="str"><v>Germany</v></cell><cell r="P3935" t="str"><v>Trial</v></cell><cell r="Q3935" t="str"><v>Social</v></cell><cell r="R3935" t="str"><v>Azure</v></cell><cell r="S3935" t="str"><v>Apps & Infra</v></cell><cell r="T3935" t="str"><v>Developers & ITI's</v></cell><cell r="U3935" t="str"><v>DEV-ITP-AZR-FB|LinkAd|CustomerAudienceRetargeting</v></cell><cell r="V3935" t="str"><v>Retargeting</v></cell><cell r="W3935" t="str"><v>Link Ad</v></cell><cell r="X3935" t="str"><v>1x1</v></cell></row><row r="3935"><cell r="AA3935"><v>43309</v></cell><cell r="AB3935" t="str"><v>DEU_gaPMG_AZR_AZR_Q1_19_Trial-Social- 39684</v></cell><cell r="AC3935"><v>21359477</v></cell><cell r="AD3935"><v>720194</v></cell><cell r="AE3935" t="str"><v>Facebook</v></cell><cell r="AF3935"><v>3654128</v></cell><cell r="AG3935" t="str"><v>Facebook»DEV-ITP-AZR-FB|LinkAd|CustomerAudienceRetargeting»1x1»TextLink»LIA»DT»CPM»RT»W»NA»SS»NA»39684019-11000</v></cell><cell r="AH3935"><v>224010415</v></cell><cell r="AI3935" t="str"><v>AzurePlatform_FreeAcctRetargetingOSSFB-Logos-ChG_DEU_1200x628_SOC_Plat_DE_Free Account_Standard_NA_SNU_T2_1</v></cell><cell r="AJ3935"><v>103043329</v></cell></row><row r="3936"><cell r="C3936" t="str"><v>43309Facebook»DEV-ITP-AZR-FB|LinkAd|CustomerAudienceRetargeting»1x1»TextLink»LIA»DT»CPM»RT»W»NA»SS»NA»39684019-11000</v></cell><cell r="D3936" t="str"><v>43309224010415</v></cell><cell r="E3936" t="str"><v>43309103055394-11000</v></cell><cell r="F3936" t="str"><v>DCM</v></cell><cell r="G3936" t="str"><v>https://azure.microsoft.com/de-de/free/open-source/search/</v></cell></row><row r="3936"><cell r="K3936" t="str"><v>July</v></cell><cell r="L3936"><v>43309</v></cell><cell r="M3936" t="str"><v>Tier 1</v></cell><cell r="N3936" t="str"><v>EMEA</v></cell><cell r="O3936" t="str"><v>Germany</v></cell><cell r="P3936" t="str"><v>Trial</v></cell><cell r="Q3936" t="str"><v>Social</v></cell><cell r="R3936" t="str"><v>Azure</v></cell><cell r="S3936" t="str"><v>Apps & Infra</v></cell><cell r="T3936" t="str"><v>Developers & ITI's</v></cell><cell r="U3936" t="str"><v>DEV-ITP-AZR-FB|LinkAd|CustomerAudienceRetargeting</v></cell><cell r="V3936" t="str"><v>Retargeting</v></cell><cell r="W3936" t="str"><v>Link Ad</v></cell><cell r="X3936" t="str"><v>1x1</v></cell></row><row r="3936"><cell r="AA3936"><v>43309</v></cell><cell r="AB3936" t="str"><v>DEU_gaPMG_AZR_AZR_Q1_19_Trial-Social- 39684</v></cell><cell r="AC3936"><v>21359477</v></cell><cell r="AD3936"><v>720194</v></cell><cell r="AE3936" t="str"><v>Facebook</v></cell><cell r="AF3936"><v>3654128</v></cell><cell r="AG3936" t="str"><v>Facebook»DEV-ITP-AZR-FB|LinkAd|CustomerAudienceRetargeting»1x1»TextLink»LIA»DT»CPM»RT»W»NA»SS»NA»39684019-11000</v></cell><cell r="AH3936"><v>224010415</v></cell><cell r="AI3936" t="str"><v>AzurePlatform_FreeAcctRetargetingOSSFB-Text-ChF_DEU_1200x628_SOC_Plat_DE_Free Account_Standard_NA_SNU_T1_1</v></cell><cell r="AJ3936"><v>103055394</v></cell></row><row r="3937"><cell r="C3937" t="str"><v>43309Facebook»DEV-ITP-AZR-FB|LinkAd|CustomerAudienceRetargeting»1x1»TextLink»LIA»DT»CPM»RT»W»NA»SS»NA»39684019-11000</v></cell><cell r="D3937" t="str"><v>43309224010415</v></cell><cell r="E3937" t="str"><v>43309103043341-11000</v></cell><cell r="F3937" t="str"><v>DCM</v></cell><cell r="G3937" t="str"><v>https://azure.microsoft.com/de-de/free/virtual-machines/search/</v></cell></row><row r="3937"><cell r="K3937" t="str"><v>July</v></cell><cell r="L3937"><v>43309</v></cell><cell r="M3937" t="str"><v>Tier 1</v></cell><cell r="N3937" t="str"><v>EMEA</v></cell><cell r="O3937" t="str"><v>Germany</v></cell><cell r="P3937" t="str"><v>Trial</v></cell><cell r="Q3937" t="str"><v>Social</v></cell><cell r="R3937" t="str"><v>Azure</v></cell><cell r="S3937" t="str"><v>Apps & Infra</v></cell><cell r="T3937" t="str"><v>Developers & ITI's</v></cell><cell r="U3937" t="str"><v>DEV-ITP-AZR-FB|LinkAd|CustomerAudienceRetargeting</v></cell><cell r="V3937" t="str"><v>Retargeting</v></cell><cell r="W3937" t="str"><v>Link Ad</v></cell><cell r="X3937" t="str"><v>1x1</v></cell></row><row r="3937"><cell r="AA3937"><v>43309</v></cell><cell r="AB3937" t="str"><v>DEU_gaPMG_AZR_AZR_Q1_19_Trial-Social- 39684</v></cell><cell r="AC3937"><v>21359477</v></cell><cell r="AD3937"><v>720194</v></cell><cell r="AE3937" t="str"><v>Facebook</v></cell><cell r="AF3937"><v>3654128</v></cell><cell r="AG3937" t="str"><v>Facebook»DEV-ITP-AZR-FB|LinkAd|CustomerAudienceRetargeting»1x1»TextLink»LIA»DT»CPM»RT»W»NA»SS»NA»39684019-11000</v></cell><cell r="AH3937"><v>224010415</v></cell><cell r="AI3937" t="str"><v>AzurePlatform_FreeAcctRetargetingVMFB-750Hrs-ChD_DEU_1200x628_SOC_Plat_DE_Free Account_Standard_NA_SNU_T1_1</v></cell><cell r="AJ3937"><v>103043341</v></cell></row><row r="3938"><cell r="C3938" t="str"><v>43309Facebook»DEV-ITP-AZR-FB|LinkAd|CustomerAudienceRetargeting»1x1»TextLink»LIA»DT»CPM»RT»W»NA»SS»NA»39684019-11000</v></cell><cell r="D3938" t="str"><v>43309224010415</v></cell><cell r="E3938" t="str"><v>43309103043338-11000</v></cell><cell r="F3938" t="str"><v>DCM</v></cell><cell r="G3938" t="str"><v>https://azure.microsoft.com/de-de/free/virtual-machines/search/</v></cell></row><row r="3938"><cell r="K3938" t="str"><v>July</v></cell><cell r="L3938"><v>43309</v></cell><cell r="M3938" t="str"><v>Tier 1</v></cell><cell r="N3938" t="str"><v>EMEA</v></cell><cell r="O3938" t="str"><v>Germany</v></cell><cell r="P3938" t="str"><v>Trial</v></cell><cell r="Q3938" t="str"><v>Social</v></cell><cell r="R3938" t="str"><v>Azure</v></cell><cell r="S3938" t="str"><v>Apps & Infra</v></cell><cell r="T3938" t="str"><v>Developers & ITI's</v></cell><cell r="U3938" t="str"><v>DEV-ITP-AZR-FB|LinkAd|CustomerAudienceRetargeting</v></cell><cell r="V3938" t="str"><v>Retargeting</v></cell><cell r="W3938" t="str"><v>Link Ad</v></cell><cell r="X3938" t="str"><v>1x1</v></cell></row><row r="3938"><cell r="AA3938"><v>43309</v></cell><cell r="AB3938" t="str"><v>DEU_gaPMG_AZR_AZR_Q1_19_Trial-Social- 39684</v></cell><cell r="AC3938"><v>21359477</v></cell><cell r="AD3938"><v>720194</v></cell><cell r="AE3938" t="str"><v>Facebook</v></cell><cell r="AF3938"><v>3654128</v></cell><cell r="AG3938" t="str"><v>Facebook»DEV-ITP-AZR-FB|LinkAd|CustomerAudienceRetargeting»1x1»TextLink»LIA»DT»CPM»RT»W»NA»SS»NA»39684019-11000</v></cell><cell r="AH3938"><v>224010415</v></cell><cell r="AI3938" t="str"><v>AzurePlatform_FreeAcctRetargetingVMFB-OnDemand-ChE_DEU_1200x628_SOC_Plat_DE_Free Account_Standard_NA_SNU_T2_1</v></cell><cell r="AJ3938"><v>103043338</v></cell></row><row r="3939"><cell r="C3939" t="str"><v>43309Facebook»Audience & Interest Targeting»1x1»SocialBan»LIA»DT»CPC»AUT»W»NA»SS»NA»Basic Motion</v></cell><cell r="D3939" t="str"><v>43309224399962</v></cell><cell r="E3939" t="str"><v>43309103235146Motion</v></cell><cell r="F3939" t="str"><v>DCM</v></cell><cell r="G3939" t="str"><v>https://signup.azure.com/signup?offer=ms-azr-0044p&appId=102&ref=paidmedia-social-fb&redirectURL=https%3a%2f%2fazure.microsoft.com%2fen-gb%2fget-started%2fwelcome-to-azure%2f&l=en-gb&correlationId=ead86c34-1f10-49dd-a72b-6918462a2cbf</v></cell></row><row r="3939"><cell r="K3939" t="str"><v>July</v></cell><cell r="L3939"><v>43309</v></cell><cell r="M3939" t="str"><v>Tier 1</v></cell><cell r="N3939" t="str"><v>EMEA</v></cell><cell r="O3939" t="str"><v>United Kingdom</v></cell><cell r="P3939" t="str"><v>Trial</v></cell><cell r="Q3939" t="str"><v>Social</v></cell><cell r="R3939" t="str"><v>Azure</v></cell><cell r="S3939" t="str"><v>Apps & Infra</v></cell><cell r="T3939" t="str"><v>Developers & ITI's</v></cell><cell r="U3939" t="str"><v>Audience & Interest Targeting</v></cell><cell r="V3939" t="str"><v>Audience Targeting</v></cell><cell r="W3939" t="str"><v>Link Ad</v></cell><cell r="X3939" t="str"><v>1x1</v></cell></row><row r="3939"><cell r="AA3939"><v>43309</v></cell><cell r="AB3939" t="str"><v>GBR_gaPMG_CE_AZR_Q1_19_Trial-Social</v></cell><cell r="AC3939"><v>21337013</v></cell><cell r="AD3939"><v>720196</v></cell><cell r="AE3939" t="str"><v>Facebook</v></cell><cell r="AF3939"><v>3654128</v></cell><cell r="AG3939" t="str"><v>Facebook»Audience & Interest Targeting»1x1»SocialBan»LIA»DT»CPC»AUT»W»NA»SS»NA»Basic Motion</v></cell><cell r="AH3939"><v>224399962</v></cell><cell r="AI3939" t="str"><v>AzurePlatform_FBCTCcanvaspage-StartFreeCTA-Img2_GBR_1080x143 _SOC_Plat_English_NA_Standard_NA_NA_T2_1</v></cell><cell r="AJ3939"><v>103235146</v></cell></row><row r="3940"><cell r="C3940" t="str"><v>43309Facebook»Audience & Interest Targeting»1x1»SocialBan»LIA»DT»CPC»AUT»W»NA»SS»NA»Benefit 2 in Motion</v></cell><cell r="D3940" t="str"><v>43309224334170</v></cell><cell r="E3940" t="str"><v>43309103235146Motion</v></cell><cell r="F3940" t="str"><v>DCM</v></cell><cell r="G3940" t="str"><v>https://signup.azure.com/signup?offer=ms-azr-0044p&appId=102&ref=paidmedia-social-fb&redirectURL=https%3a%2f%2fazure.microsoft.com%2fen-gb%2fget-started%2fwelcome-to-azure%2f&l=en-gb&correlationId=ead86c34-1f10-49dd-a72b-6918462a2cbf</v></cell></row><row r="3940"><cell r="K3940" t="str"><v>July</v></cell><cell r="L3940"><v>43309</v></cell><cell r="M3940" t="str"><v>Tier 1</v></cell><cell r="N3940" t="str"><v>EMEA</v></cell><cell r="O3940" t="str"><v>United Kingdom</v></cell><cell r="P3940" t="str"><v>Trial</v></cell><cell r="Q3940" t="str"><v>Social</v></cell><cell r="R3940" t="str"><v>Azure</v></cell><cell r="S3940" t="str"><v>Apps & Infra</v></cell><cell r="T3940" t="str"><v>Developers & ITI's</v></cell><cell r="U3940" t="str"><v>Audience & Interest Targeting</v></cell><cell r="V3940" t="str"><v>Audience Targeting</v></cell><cell r="W3940" t="str"><v>Link Ad</v></cell><cell r="X3940" t="str"><v>1x1</v></cell></row><row r="3940"><cell r="AA3940"><v>43309</v></cell><cell r="AB3940" t="str"><v>GBR_gaPMG_CE_AZR_Q1_19_Trial-Social</v></cell><cell r="AC3940"><v>21337013</v></cell><cell r="AD3940"><v>720196</v></cell><cell r="AE3940" t="str"><v>Facebook</v></cell><cell r="AF3940"><v>3654128</v></cell><cell r="AG3940" t="str"><v>Facebook»Audience & Interest Targeting»1x1»SocialBan»LIA»DT»CPC»AUT»W»NA»SS»NA»Benefit 2 in Motion</v></cell><cell r="AH3940"><v>224334170</v></cell><cell r="AI3940" t="str"><v>AzurePlatform_FBCTCcanvaspage-StartFreeCTA-Img2_GBR_1080x143 _SOC_Plat_English_NA_Standard_NA_NA_T2_1</v></cell><cell r="AJ3940"><v>103235146</v></cell></row><row r="3941"><cell r="C3941" t="str"><v>43309Facebook»Audience & Interest Targeting»1x1»SocialBan»LIA»DT»CPC»AUT»W»NA»SS»NA»Brand in Motion</v></cell><cell r="D3941" t="str"><v>43309224549481</v></cell><cell r="E3941" t="str"><v>43309103235146Motion</v></cell><cell r="F3941" t="str"><v>DCM</v></cell><cell r="G3941" t="str"><v>https://signup.azure.com/signup?offer=ms-azr-0044p&appId=102&ref=paidmedia-social-fb&redirectURL=https%3a%2f%2fazure.microsoft.com%2fen-gb%2fget-started%2fwelcome-to-azure%2f&l=en-gb&correlationId=ead86c34-1f10-49dd-a72b-6918462a2cbf</v></cell></row><row r="3941"><cell r="K3941" t="str"><v>July</v></cell><cell r="L3941"><v>43309</v></cell><cell r="M3941" t="str"><v>Tier 1</v></cell><cell r="N3941" t="str"><v>EMEA</v></cell><cell r="O3941" t="str"><v>United Kingdom</v></cell><cell r="P3941" t="str"><v>Trial</v></cell><cell r="Q3941" t="str"><v>Social</v></cell><cell r="R3941" t="str"><v>Azure</v></cell><cell r="S3941" t="str"><v>Apps & Infra</v></cell><cell r="T3941" t="str"><v>Developers & ITI's</v></cell><cell r="U3941" t="str"><v>Audience & Interest Targeting</v></cell><cell r="V3941" t="str"><v>Audience Targeting</v></cell><cell r="W3941" t="str"><v>Link Ad</v></cell><cell r="X3941" t="str"><v>1x1</v></cell></row><row r="3941"><cell r="AA3941"><v>43309</v></cell><cell r="AB3941" t="str"><v>GBR_gaPMG_CE_AZR_Q1_19_Trial-Social</v></cell><cell r="AC3941"><v>21337013</v></cell><cell r="AD3941"><v>720196</v></cell><cell r="AE3941" t="str"><v>Facebook</v></cell><cell r="AF3941"><v>3654128</v></cell><cell r="AG3941" t="str"><v>Facebook»Audience & Interest Targeting»1x1»SocialBan»LIA»DT»CPC»AUT»W»NA»SS»NA»Brand in Motion</v></cell><cell r="AH3941"><v>224549481</v></cell><cell r="AI3941" t="str"><v>AzurePlatform_FBCTCcanvaspage-StartFreeCTA-Img2_GBR_1080x143 _SOC_Plat_English_NA_Standard_NA_NA_T2_1</v></cell><cell r="AJ3941"><v>103235146</v></cell></row><row r="3942"><cell r="C3942" t="str"><v>43309Facebook»Audience & Interest Targeting»1x1»SocialBan»LIA»DT»DYN»AUT»W»NA»SS»NA»Free Account Refresh- 12 months ChE</v></cell><cell r="D3942" t="str"><v>43309223567691</v></cell><cell r="E3942" t="str"><v>43309102854007hs ChE</v></cell><cell r="F3942" t="str"><v>DCM</v></cell><cell r="G3942" t="str"><v>https://azure.microsoft.com/en-gb/free/search/</v></cell></row><row r="3942"><cell r="K3942" t="str"><v>July</v></cell><cell r="L3942"><v>43309</v></cell><cell r="M3942" t="str"><v>Tier 1</v></cell><cell r="N3942" t="str"><v>EMEA</v></cell><cell r="O3942" t="str"><v>United Kingdom</v></cell><cell r="P3942" t="str"><v>Trial</v></cell><cell r="Q3942" t="str"><v>Social</v></cell><cell r="R3942" t="str"><v>Azure</v></cell><cell r="S3942" t="str"><v>Apps & Infra</v></cell><cell r="T3942" t="str"><v>Developers & ITI's</v></cell><cell r="U3942" t="str"><v>Audience & Interest Targeting</v></cell><cell r="V3942" t="str"><v>Audience Targeting</v></cell><cell r="W3942" t="str"><v>Link Ad</v></cell><cell r="X3942" t="str"><v>1x1</v></cell></row><row r="3942"><cell r="AA3942"><v>43309</v></cell><cell r="AB3942" t="str"><v>GBR_gaPMG_CE_AZR_Q1_19_Trial-Social</v></cell><cell r="AC3942"><v>21337013</v></cell><cell r="AD3942"><v>720196</v></cell><cell r="AE3942" t="str"><v>Facebook</v></cell><cell r="AF3942"><v>3654128</v></cell><cell r="AG3942" t="str"><v>Facebook»Audience & Interest Targeting»1x1»SocialBan»LIA»DT»DYN»AUT»W»NA»SS»NA»Free Account Refresh- 12 months ChE</v></cell><cell r="AH3942"><v>223567691</v></cell><cell r="AI3942" t="str"><v>AzurePlatform_FreeAcctAppsFACEBOOK12monthsChE_GBR_1200x628_SOC_PLAT_EN_Trial_Standard_NA_SU_T5_1</v></cell><cell r="AJ3942"><v>102854007</v></cell></row><row r="3943"><cell r="C3943" t="str"><v>43309Facebook»Audience & Interest Targeting»1x1»SocialBan»LIA»DT»DYN»AUT»W»NA»SS»NA»Free Account Refresh- 200 Credit ChD</v></cell><cell r="D3943" t="str"><v>43309223560359</v></cell><cell r="E3943" t="str"><v>43309103005662it ChD</v></cell><cell r="F3943" t="str"><v>DCM</v></cell><cell r="G3943" t="str"><v>https://azure.microsoft.com/en-gb/free/search/</v></cell></row><row r="3943"><cell r="K3943" t="str"><v>July</v></cell><cell r="L3943"><v>43309</v></cell><cell r="M3943" t="str"><v>Tier 1</v></cell><cell r="N3943" t="str"><v>EMEA</v></cell><cell r="O3943" t="str"><v>United Kingdom</v></cell><cell r="P3943" t="str"><v>Trial</v></cell><cell r="Q3943" t="str"><v>Social</v></cell><cell r="R3943" t="str"><v>Azure</v></cell><cell r="S3943" t="str"><v>Apps & Infra</v></cell><cell r="T3943" t="str"><v>Developers & ITI's</v></cell><cell r="U3943" t="str"><v>Audience & Interest Targeting</v></cell><cell r="V3943" t="str"><v>Audience Targeting</v></cell><cell r="W3943" t="str"><v>Link Ad</v></cell><cell r="X3943" t="str"><v>1x1</v></cell></row><row r="3943"><cell r="AA3943"><v>43309</v></cell><cell r="AB3943" t="str"><v>GBR_gaPMG_CE_AZR_Q1_19_Trial-Social</v></cell><cell r="AC3943"><v>21337013</v></cell><cell r="AD3943"><v>720196</v></cell><cell r="AE3943" t="str"><v>Facebook</v></cell><cell r="AF3943"><v>3654128</v></cell><cell r="AG3943" t="str"><v>Facebook»Audience & Interest Targeting»1x1»SocialBan»LIA»DT»DYN»AUT»W»NA»SS»NA»Free Account Refresh- 200 Credit ChD</v></cell><cell r="AH3943"><v>223560359</v></cell><cell r="AI3943" t="str"><v>AzurePlatform_FreeAcctAppsFACEBOOK200CreditChD_GBR_1200x628_SOC_PLAT_EN_Trial_Standard_NA_SU_T4_1</v></cell><cell r="AJ3943"><v>103005662</v></cell></row><row r="3944"><cell r="C3944" t="str"><v>43309Facebook»Audience & Interest Targeting»1x1»SocialBan»LIA»DT»DYN»AUT»W»NA»SS»NA»Free Account Refresh- Device ChB</v></cell><cell r="D3944" t="str"><v>43309223560353</v></cell><cell r="E3944" t="str"><v>43309102854010ce ChB</v></cell><cell r="F3944" t="str"><v>DCM</v></cell><cell r="G3944" t="str"><v>https://azure.microsoft.com/en-gb/free/search/</v></cell></row><row r="3944"><cell r="K3944" t="str"><v>July</v></cell><cell r="L3944"><v>43309</v></cell><cell r="M3944" t="str"><v>Tier 1</v></cell><cell r="N3944" t="str"><v>EMEA</v></cell><cell r="O3944" t="str"><v>United Kingdom</v></cell><cell r="P3944" t="str"><v>Trial</v></cell><cell r="Q3944" t="str"><v>Social</v></cell><cell r="R3944" t="str"><v>Azure</v></cell><cell r="S3944" t="str"><v>Apps & Infra</v></cell><cell r="T3944" t="str"><v>Developers & ITI's</v></cell><cell r="U3944" t="str"><v>Audience & Interest Targeting</v></cell><cell r="V3944" t="str"><v>Audience Targeting</v></cell><cell r="W3944" t="str"><v>Link Ad</v></cell><cell r="X3944" t="str"><v>1x1</v></cell></row><row r="3944"><cell r="AA3944"><v>43309</v></cell><cell r="AB3944" t="str"><v>GBR_gaPMG_CE_AZR_Q1_19_Trial-Social</v></cell><cell r="AC3944"><v>21337013</v></cell><cell r="AD3944"><v>720196</v></cell><cell r="AE3944" t="str"><v>Facebook</v></cell><cell r="AF3944"><v>3654128</v></cell><cell r="AG3944" t="str"><v>Facebook»Audience & Interest Targeting»1x1»SocialBan»LIA»DT»DYN»AUT»W»NA»SS»NA»Free Account Refresh- Device ChB</v></cell><cell r="AH3944"><v>223560353</v></cell><cell r="AI3944" t="str"><v>AzurePlatform_FreeAcctAppsFACEBOOKDeviceChB_GBR_1200x628_SOC_PLAT_EN_Trial_Standard_NA_SU_T2_1</v></cell><cell r="AJ3944"><v>102854010</v></cell></row><row r="3945"><cell r="C3945" t="str"><v>43309Facebook»Audience & Interest Targeting»1x1»SocialBan»LIA»DT»DYN»AUT»W»NA»SS»NA»Free Account Refresh- Illustration ChC</v></cell><cell r="D3945" t="str"><v>43309223560347</v></cell><cell r="E3945" t="str"><v>43309102857037on ChC</v></cell><cell r="F3945" t="str"><v>DCM</v></cell><cell r="G3945" t="str"><v>https://azure.microsoft.com/en-gb/free/search/</v></cell></row><row r="3945"><cell r="K3945" t="str"><v>July</v></cell><cell r="L3945"><v>43309</v></cell><cell r="M3945" t="str"><v>Tier 1</v></cell><cell r="N3945" t="str"><v>EMEA</v></cell><cell r="O3945" t="str"><v>United Kingdom</v></cell><cell r="P3945" t="str"><v>Trial</v></cell><cell r="Q3945" t="str"><v>Social</v></cell><cell r="R3945" t="str"><v>Azure</v></cell><cell r="S3945" t="str"><v>Apps & Infra</v></cell><cell r="T3945" t="str"><v>Developers & ITI's</v></cell><cell r="U3945" t="str"><v>Audience & Interest Targeting</v></cell><cell r="V3945" t="str"><v>Audience Targeting</v></cell><cell r="W3945" t="str"><v>Link Ad</v></cell><cell r="X3945" t="str"><v>1x1</v></cell></row><row r="3945"><cell r="AA3945"><v>43309</v></cell><cell r="AB3945" t="str"><v>GBR_gaPMG_CE_AZR_Q1_19_Trial-Social</v></cell><cell r="AC3945"><v>21337013</v></cell><cell r="AD3945"><v>720196</v></cell><cell r="AE3945" t="str"><v>Facebook</v></cell><cell r="AF3945"><v>3654128</v></cell><cell r="AG3945" t="str"><v>Facebook»Audience & Interest Targeting»1x1»SocialBan»LIA»DT»DYN»AUT»W»NA»SS»NA»Free Account Refresh- Illustration ChC</v></cell><cell r="AH3945"><v>223560347</v></cell><cell r="AI3945" t="str"><v>AzurePlatform_FreeAcctAppsFACEBOOKIllustrationChC_GBR_1200x628_SOC_PLAT_EN_Trial_Standard_NA_SU_T3_1</v></cell><cell r="AJ3945"><v>102857037</v></cell></row><row r="3946"><cell r="C3946" t="str"><v>43309Facebook»Audience & Interest Targeting»1x1»SocialBan»LIA»DT»DYN»AUT»W»NA»SS»NA»Free Account Refresh- Lifestyle ChA</v></cell><cell r="D3946" t="str"><v>43309223560341</v></cell><cell r="E3946" t="str"><v>43309102853597le ChA</v></cell><cell r="F3946" t="str"><v>DCM</v></cell><cell r="G3946" t="str"><v>https://azure.microsoft.com/en-gb/free/search/</v></cell></row><row r="3946"><cell r="K3946" t="str"><v>July</v></cell><cell r="L3946"><v>43309</v></cell><cell r="M3946" t="str"><v>Tier 1</v></cell><cell r="N3946" t="str"><v>EMEA</v></cell><cell r="O3946" t="str"><v>United Kingdom</v></cell><cell r="P3946" t="str"><v>Trial</v></cell><cell r="Q3946" t="str"><v>Social</v></cell><cell r="R3946" t="str"><v>Azure</v></cell><cell r="S3946" t="str"><v>Apps & Infra</v></cell><cell r="T3946" t="str"><v>Developers & ITI's</v></cell><cell r="U3946" t="str"><v>Audience & Interest Targeting</v></cell><cell r="V3946" t="str"><v>Audience Targeting</v></cell><cell r="W3946" t="str"><v>Link Ad</v></cell><cell r="X3946" t="str"><v>1x1</v></cell></row><row r="3946"><cell r="AA3946"><v>43309</v></cell><cell r="AB3946" t="str"><v>GBR_gaPMG_CE_AZR_Q1_19_Trial-Social</v></cell><cell r="AC3946"><v>21337013</v></cell><cell r="AD3946"><v>720196</v></cell><cell r="AE3946" t="str"><v>Facebook</v></cell><cell r="AF3946"><v>3654128</v></cell><cell r="AG3946" t="str"><v>Facebook»Audience & Interest Targeting»1x1»SocialBan»LIA»DT»DYN»AUT»W»NA»SS»NA»Free Account Refresh- Lifestyle ChA</v></cell><cell r="AH3946"><v>223560341</v></cell><cell r="AI3946" t="str"><v>AzurePlatform_FreeAcctAppsFACEBOOKLifestyleChA_GBR_1200x628_SOC_PLAT_EN_Trial_Standard_NA_SU_T1_1</v></cell><cell r="AJ3946"><v>102853597</v></cell></row><row r="3947"><cell r="C3947" t="str"><v>43309Facebook»Retargeting»1x1»SocialBan»LIA»DT»DYN»RT»W»NA»SS»NA»Free Account Retargeting Generic- Animated ChC</v></cell><cell r="D3947" t="str"><v>43309223560299</v></cell><cell r="E3947" t="str"><v>43309102854019ed ChC</v></cell><cell r="F3947" t="str"><v>DCM</v></cell><cell r="G3947" t="str"><v>https://azure.microsoft.com/en-gb/free/search/</v></cell></row><row r="3947"><cell r="K3947" t="str"><v>July</v></cell><cell r="L3947"><v>43309</v></cell><cell r="M3947" t="str"><v>Tier 1</v></cell><cell r="N3947" t="str"><v>EMEA</v></cell><cell r="O3947" t="str"><v>United Kingdom</v></cell><cell r="P3947" t="str"><v>Trial</v></cell><cell r="Q3947" t="str"><v>Social</v></cell><cell r="R3947" t="str"><v>Azure</v></cell><cell r="S3947" t="str"><v>Apps & Infra</v></cell><cell r="T3947" t="str"><v>Developers & ITI's</v></cell><cell r="U3947" t="str"><v>Retargeting</v></cell><cell r="V3947" t="str"><v>Retargeting</v></cell><cell r="W3947" t="str"><v>Link Ad</v></cell><cell r="X3947" t="str"><v>1x1</v></cell></row><row r="3947"><cell r="AA3947"><v>43309</v></cell><cell r="AB3947" t="str"><v>GBR_gaPMG_CE_AZR_Q1_19_Trial-Social</v></cell><cell r="AC3947"><v>21337013</v></cell><cell r="AD3947"><v>720196</v></cell><cell r="AE3947" t="str"><v>Facebook</v></cell><cell r="AF3947"><v>3654128</v></cell><cell r="AG3947" t="str"><v>Facebook»Retargeting»1x1»SocialBan»LIA»DT»DYN»RT»W»NA»SS»NA»Free Account Retargeting Generic- Animated ChC</v></cell><cell r="AH3947"><v>223560299</v></cell><cell r="AI3947" t="str"><v>AzurePlatform_FreeAcctRetargetingFB-Animated-ChC_GBR_1200x628_SOC_Plat_EN_Free Account_Standard_ANI_SU_T3_1</v></cell><cell r="AJ3947"><v>102854019</v></cell></row><row r="3948"><cell r="C3948" t="str"><v>43309Facebook»Retargeting»1x1»SocialBan»LIA»DT»DYN»RT»W»NA»SS»NA»Free Account Retargeting Generic- Global Alt ChB</v></cell><cell r="D3948" t="str"><v>43309223560356</v></cell><cell r="E3948" t="str"><v>43309102854016lt ChB</v></cell><cell r="F3948" t="str"><v>DCM</v></cell><cell r="G3948" t="str"><v>https://azure.microsoft.com/en-gb/free/search/</v></cell></row><row r="3948"><cell r="K3948" t="str"><v>July</v></cell><cell r="L3948"><v>43309</v></cell><cell r="M3948" t="str"><v>Tier 1</v></cell><cell r="N3948" t="str"><v>EMEA</v></cell><cell r="O3948" t="str"><v>United Kingdom</v></cell><cell r="P3948" t="str"><v>Trial</v></cell><cell r="Q3948" t="str"><v>Social</v></cell><cell r="R3948" t="str"><v>Azure</v></cell><cell r="S3948" t="str"><v>Apps & Infra</v></cell><cell r="T3948" t="str"><v>Developers & ITI's</v></cell><cell r="U3948" t="str"><v>Retargeting</v></cell><cell r="V3948" t="str"><v>Retargeting</v></cell><cell r="W3948" t="str"><v>Link Ad</v></cell><cell r="X3948" t="str"><v>1x1</v></cell></row><row r="3948"><cell r="AA3948"><v>43309</v></cell><cell r="AB3948" t="str"><v>GBR_gaPMG_CE_AZR_Q1_19_Trial-Social</v></cell><cell r="AC3948"><v>21337013</v></cell><cell r="AD3948"><v>720196</v></cell><cell r="AE3948" t="str"><v>Facebook</v></cell><cell r="AF3948"><v>3654128</v></cell><cell r="AG3948" t="str"><v>Facebook»Retargeting»1x1»SocialBan»LIA»DT»DYN»RT»W»NA»SS»NA»Free Account Retargeting Generic- Global Alt ChB</v></cell><cell r="AH3948"><v>223560356</v></cell><cell r="AI3948" t="str"><v>AzurePlatform_FreeAcctRetargetingFB-GlobalAlt-ChB_GBR_1200x628_SOC_Plat_EN_Free Account_Standard_NA_SU_T2_1</v></cell><cell r="AJ3948"><v>102854016</v></cell></row><row r="3949"><cell r="C3949" t="str"><v>43309Facebook»Retargeting»1x1»SocialBan»LIA»DT»DYN»RT»W»NA»SS»NA»Free Account Retargeting OSS- Logos ChG</v></cell><cell r="D3949" t="str"><v>43309223560350</v></cell><cell r="E3949" t="str"><v>43309103006547os ChG</v></cell><cell r="F3949" t="str"><v>DCM</v></cell><cell r="G3949" t="str"><v>https://azure.microsoft.com/en-gb/free/open-source/search/</v></cell></row><row r="3949"><cell r="K3949" t="str"><v>July</v></cell><cell r="L3949"><v>43309</v></cell><cell r="M3949" t="str"><v>Tier 1</v></cell><cell r="N3949" t="str"><v>EMEA</v></cell><cell r="O3949" t="str"><v>United Kingdom</v></cell><cell r="P3949" t="str"><v>Trial</v></cell><cell r="Q3949" t="str"><v>Social</v></cell><cell r="R3949" t="str"><v>Azure</v></cell><cell r="S3949" t="str"><v>Apps & Infra</v></cell><cell r="T3949" t="str"><v>Developers & ITI's</v></cell><cell r="U3949" t="str"><v>Retargeting</v></cell><cell r="V3949" t="str"><v>Retargeting</v></cell><cell r="W3949" t="str"><v>Link Ad</v></cell><cell r="X3949" t="str"><v>1x1</v></cell></row><row r="3949"><cell r="AA3949"><v>43309</v></cell><cell r="AB3949" t="str"><v>GBR_gaPMG_CE_AZR_Q1_19_Trial-Social</v></cell><cell r="AC3949"><v>21337013</v></cell><cell r="AD3949"><v>720196</v></cell><cell r="AE3949" t="str"><v>Facebook</v></cell><cell r="AF3949"><v>3654128</v></cell><cell r="AG3949" t="str"><v>Facebook»Retargeting»1x1»SocialBan»LIA»DT»DYN»RT»W»NA»SS»NA»Free Account Retargeting OSS- Logos ChG</v></cell><cell r="AH3949"><v>223560350</v></cell><cell r="AI3949" t="str"><v>AzurePlatform_FreeAcctRetargetingOSSFB-Logos-ChG_GBR_1200x628_SOC_Plat_EN_Free Account_Standard_NA_SU_T2_1</v></cell><cell r="AJ3949"><v>103006547</v></cell></row><row r="3950"><cell r="C3950" t="str"><v>43309Facebook»Retargeting»1x1»SocialBan»LIA»DT»DYN»RT»W»NA»SS»NA»Free Account Retargeting OSS- Text ChF</v></cell><cell r="D3950" t="str"><v>43309223560344</v></cell><cell r="E3950" t="str"><v>43309102861246xt ChF</v></cell><cell r="F3950" t="str"><v>DCM</v></cell><cell r="G3950" t="str"><v>https://azure.microsoft.com/en-gb/free/open-source/search/</v></cell></row><row r="3950"><cell r="K3950" t="str"><v>July</v></cell><cell r="L3950"><v>43309</v></cell><cell r="M3950" t="str"><v>Tier 1</v></cell><cell r="N3950" t="str"><v>EMEA</v></cell><cell r="O3950" t="str"><v>United Kingdom</v></cell><cell r="P3950" t="str"><v>Trial</v></cell><cell r="Q3950" t="str"><v>Social</v></cell><cell r="R3950" t="str"><v>Azure</v></cell><cell r="S3950" t="str"><v>Apps & Infra</v></cell><cell r="T3950" t="str"><v>Developers & ITI's</v></cell><cell r="U3950" t="str"><v>Retargeting</v></cell><cell r="V3950" t="str"><v>Retargeting</v></cell><cell r="W3950" t="str"><v>Link Ad</v></cell><cell r="X3950" t="str"><v>1x1</v></cell></row><row r="3950"><cell r="AA3950"><v>43309</v></cell><cell r="AB3950" t="str"><v>GBR_gaPMG_CE_AZR_Q1_19_Trial-Social</v></cell><cell r="AC3950"><v>21337013</v></cell><cell r="AD3950"><v>720196</v></cell><cell r="AE3950" t="str"><v>Facebook</v></cell><cell r="AF3950"><v>3654128</v></cell><cell r="AG3950" t="str"><v>Facebook»Retargeting»1x1»SocialBan»LIA»DT»DYN»RT»W»NA»SS»NA»Free Account Retargeting OSS- Text ChF</v></cell><cell r="AH3950"><v>223560344</v></cell><cell r="AI3950" t="str"><v>AzurePlatform_FreeAcctRetargetingOSSFB-Text-ChF_GBR_1200x628_SOC_Plat_EN_Free Account_Standard_NA_SU_T1_1</v></cell><cell r="AJ3950"><v>102861246</v></cell></row><row r="3951"><cell r="C3951" t="str"><v>43309Facebook»Retargeting»1x1»SocialBan»LIA»DT»DYN»RT»W»NA»SS»NA»Free Account Retargeting VM- 750 Hrs ChD</v></cell><cell r="D3951" t="str"><v>43309223560338</v></cell><cell r="E3951" t="str"><v>43309102853603rs ChD</v></cell><cell r="F3951" t="str"><v>DCM</v></cell><cell r="G3951" t="str"><v>https://azure.microsoft.com/en-gb/free/virtual-machines/search/</v></cell></row><row r="3951"><cell r="K3951" t="str"><v>July</v></cell><cell r="L3951"><v>43309</v></cell><cell r="M3951" t="str"><v>Tier 1</v></cell><cell r="N3951" t="str"><v>EMEA</v></cell><cell r="O3951" t="str"><v>United Kingdom</v></cell><cell r="P3951" t="str"><v>Trial</v></cell><cell r="Q3951" t="str"><v>Social</v></cell><cell r="R3951" t="str"><v>Azure</v></cell><cell r="S3951" t="str"><v>Apps & Infra</v></cell><cell r="T3951" t="str"><v>Developers & ITI's</v></cell><cell r="U3951" t="str"><v>Retargeting</v></cell><cell r="V3951" t="str"><v>Retargeting</v></cell><cell r="W3951" t="str"><v>Link Ad</v></cell><cell r="X3951" t="str"><v>1x1</v></cell></row><row r="3951"><cell r="AA3951"><v>43309</v></cell><cell r="AB3951" t="str"><v>GBR_gaPMG_CE_AZR_Q1_19_Trial-Social</v></cell><cell r="AC3951"><v>21337013</v></cell><cell r="AD3951"><v>720196</v></cell><cell r="AE3951" t="str"><v>Facebook</v></cell><cell r="AF3951"><v>3654128</v></cell><cell r="AG3951" t="str"><v>Facebook»Retargeting»1x1»SocialBan»LIA»DT»DYN»RT»W»NA»SS»NA»Free Account Retargeting VM- 750 Hrs ChD</v></cell><cell r="AH3951"><v>223560338</v></cell><cell r="AI3951" t="str"><v>AzurePlatform_FreeAcctRetargetingVMFB-750Hrs-ChD_GBR_1200x628_SOC_Plat_EN_Free Account_Standard_NA_SU_T1_1</v></cell><cell r="AJ3951"><v>102853603</v></cell></row><row r="3952"><cell r="C3952" t="str"><v>43309Facebook»Retargeting»1x1»SocialBan»LIA»DT»DYN»RT»W»NA»SS»NA»Free Account Retargeting VM- On Demand ChE</v></cell><cell r="D3952" t="str"><v>43309223560332</v></cell><cell r="E3952" t="str"><v>43309102854037nd ChE</v></cell><cell r="F3952" t="str"><v>DCM</v></cell><cell r="G3952" t="str"><v>https://azure.microsoft.com/en-gb/free/virtual-machines/search/</v></cell></row><row r="3952"><cell r="K3952" t="str"><v>July</v></cell><cell r="L3952"><v>43309</v></cell><cell r="M3952" t="str"><v>Tier 1</v></cell><cell r="N3952" t="str"><v>EMEA</v></cell><cell r="O3952" t="str"><v>United Kingdom</v></cell><cell r="P3952" t="str"><v>Trial</v></cell><cell r="Q3952" t="str"><v>Social</v></cell><cell r="R3952" t="str"><v>Azure</v></cell><cell r="S3952" t="str"><v>Apps & Infra</v></cell><cell r="T3952" t="str"><v>Developers & ITI's</v></cell><cell r="U3952" t="str"><v>Retargeting</v></cell><cell r="V3952" t="str"><v>Retargeting</v></cell><cell r="W3952" t="str"><v>Link Ad</v></cell><cell r="X3952" t="str"><v>1x1</v></cell></row><row r="3952"><cell r="AA3952"><v>43309</v></cell><cell r="AB3952" t="str"><v>GBR_gaPMG_CE_AZR_Q1_19_Trial-Social</v></cell><cell r="AC3952"><v>21337013</v></cell><cell r="AD3952"><v>720196</v></cell><cell r="AE3952" t="str"><v>Facebook</v></cell><cell r="AF3952"><v>3654128</v></cell><cell r="AG3952" t="str"><v>Facebook»Retargeting»1x1»SocialBan»LIA»DT»DYN»RT»W»NA»SS»NA»Free Account Retargeting VM- On Demand ChE</v></cell><cell r="AH3952"><v>223560332</v></cell><cell r="AI3952" t="str"><v>AzurePlatform_FreeAcctRetargetingVMFB-OnDemand-ChE_GBR_1200x628_SOC_Plat_EN_Free Account_Standard_NA_SU_T2_1</v></cell><cell r="AJ3952"><v>102854037</v></cell></row><row r="3953"><cell r="C3953" t="str"><v>43309Facebook»AZP-Canvas-Interest&Role-Trial»1x1»Canvas»OTH»MO»CPM»PRO»X»UNK»TP»OT»Canvas-Trial</v></cell><cell r="D3953" t="str"><v>43309223298805</v></cell><cell r="E3953" t="str"><v>43309102630373-Trial</v></cell><cell r="F3953" t="str"><v>DCM</v></cell><cell r="G3953" t="str"><v>https://azure.microsoft.com/ja-jp/pricing/purchase-options/</v></cell></row><row r="3953"><cell r="K3953" t="str"><v>July</v></cell><cell r="L3953"><v>43309</v></cell><cell r="M3953" t="str"><v>Tier 1</v></cell><cell r="N3953" t="str"><v>APAC</v></cell><cell r="O3953" t="str"><v>Japan</v></cell><cell r="P3953" t="str"><v>Trial</v></cell><cell r="Q3953" t="str"><v>Social</v></cell><cell r="R3953" t="str"><v>Azure</v></cell><cell r="S3953" t="str"><v>Apps & Infra</v></cell><cell r="T3953" t="str"><v>Developers & ITI's</v></cell><cell r="U3953" t="str"><v>AZP-Canvas-Interest&Role-Trial</v></cell><cell r="V3953" t="str"><v>Prospecting</v></cell><cell r="W3953" t="str"><v>Other</v></cell><cell r="X3953" t="str"><v>1x1</v></cell></row><row r="3953"><cell r="AA3953"><v>43309</v></cell><cell r="AB3953" t="str"><v>JPN_gaPMG_AZR_AZR_Q1_19_Trial-Social</v></cell><cell r="AC3953"><v>21276694</v></cell><cell r="AD3953"><v>720195</v></cell><cell r="AE3953" t="str"><v>Facebook</v></cell><cell r="AF3953"><v>3654128</v></cell><cell r="AG3953" t="str"><v>Facebook»AZP-Canvas-Interest&Role-Trial»1x1»Canvas»OTH»MO»CPM»PRO»X»UNK»TP»OT»Canvas-Trial</v></cell><cell r="AH3953"><v>223298805</v></cell><cell r="AI3953" t="str"><v>AzurePlatform_FBCTCcanvaspage-BuyNowCTA-Img3_JPN_1080x162_SOC_Plat_Japanese_NA_Standard_NA_BN_T3_1</v></cell><cell r="AJ3953"><v>102630373</v></cell></row><row r="3954"><cell r="C3954" t="str"><v>43309Facebook»AZP-Canvas-Interest&Role-Trial»1x1»Canvas»OTH»MO»CPM»PRO»X»UNK»TP»OT»Canvas-Trial</v></cell><cell r="D3954" t="str"><v>43309223298805</v></cell><cell r="E3954" t="str"><v>43309102609621-Trial</v></cell><cell r="F3954" t="str"><v>DCM</v></cell><cell r="G3954" t="str"><v>https://signup.azure.com/signup?offer=ms-azr-0044p&appId=102&ref=paidmedia-social-fb&redirectURL=https%3a%2f%2fazure.microsoft.com%2fja-jp%2fget-started%2fwelcome-to-azure%2f&l=ja-jp&correlationId=ead86c34-1f10-49dd-a72b-6918462a2cbf</v></cell></row><row r="3954"><cell r="K3954" t="str"><v>July</v></cell><cell r="L3954"><v>43309</v></cell><cell r="M3954" t="str"><v>Tier 1</v></cell><cell r="N3954" t="str"><v>APAC</v></cell><cell r="O3954" t="str"><v>Japan</v></cell><cell r="P3954" t="str"><v>Trial</v></cell><cell r="Q3954" t="str"><v>Social</v></cell><cell r="R3954" t="str"><v>Azure</v></cell><cell r="S3954" t="str"><v>Apps & Infra</v></cell><cell r="T3954" t="str"><v>Developers & ITI's</v></cell><cell r="U3954" t="str"><v>AZP-Canvas-Interest&Role-Trial</v></cell><cell r="V3954" t="str"><v>Prospecting</v></cell><cell r="W3954" t="str"><v>Other</v></cell><cell r="X3954" t="str"><v>1x1</v></cell></row><row r="3954"><cell r="AA3954"><v>43309</v></cell><cell r="AB3954" t="str"><v>JPN_gaPMG_AZR_AZR_Q1_19_Trial-Social</v></cell><cell r="AC3954"><v>21276694</v></cell><cell r="AD3954"><v>720195</v></cell><cell r="AE3954" t="str"><v>Facebook</v></cell><cell r="AF3954"><v>3654128</v></cell><cell r="AG3954" t="str"><v>Facebook»AZP-Canvas-Interest&Role-Trial»1x1»Canvas»OTH»MO»CPM»PRO»X»UNK»TP»OT»Canvas-Trial</v></cell><cell r="AH3954"><v>223298805</v></cell><cell r="AI3954" t="str"><v>AzurePlatform_FBCTCcanvaspage-StartFreeCTA-Img2_JPN_1080x143 _SOC_Plat_Japanese_NA_Standard_NA_NA_T2_1</v></cell><cell r="AJ3954"><v>102609621</v></cell></row><row r="3955"><cell r="C3955" t="str"><v>43309Facebook»AZP-Canvas-Look a Like-Trial»1x1»Canvas»OTH»MO»CPM»PRO»X»UNK»TP»OT»Canvas-Trial</v></cell><cell r="D3955" t="str"><v>43309223297413</v></cell><cell r="E3955" t="str"><v>43309102609621-Trial</v></cell><cell r="F3955" t="str"><v>DCM</v></cell><cell r="G3955" t="str"><v>https://signup.azure.com/signup?offer=ms-azr-0044p&appId=102&ref=paidmedia-social-fb&redirectURL=https%3a%2f%2fazure.microsoft.com%2fja-jp%2fget-started%2fwelcome-to-azure%2f&l=ja-jp&correlationId=ead86c34-1f10-49dd-a72b-6918462a2cbf</v></cell></row><row r="3955"><cell r="K3955" t="str"><v>July</v></cell><cell r="L3955"><v>43309</v></cell><cell r="M3955" t="str"><v>Tier 1</v></cell><cell r="N3955" t="str"><v>APAC</v></cell><cell r="O3955" t="str"><v>Japan</v></cell><cell r="P3955" t="str"><v>Trial</v></cell><cell r="Q3955" t="str"><v>Social</v></cell><cell r="R3955" t="str"><v>Azure</v></cell><cell r="S3955" t="str"><v>Apps & Infra</v></cell><cell r="T3955" t="str"><v>Developers & ITI's</v></cell><cell r="U3955" t="str"><v>AZP-Canvas-Look a Like-Trial</v></cell><cell r="V3955" t="str"><v>Prospecting</v></cell><cell r="W3955" t="str"><v>Other</v></cell><cell r="X3955" t="str"><v>1x1</v></cell></row><row r="3955"><cell r="AA3955"><v>43309</v></cell><cell r="AB3955" t="str"><v>JPN_gaPMG_AZR_AZR_Q1_19_Trial-Social</v></cell><cell r="AC3955"><v>21276694</v></cell><cell r="AD3955"><v>720195</v></cell><cell r="AE3955" t="str"><v>Facebook</v></cell><cell r="AF3955"><v>3654128</v></cell><cell r="AG3955" t="str"><v>Facebook»AZP-Canvas-Look a Like-Trial»1x1»Canvas»OTH»MO»CPM»PRO»X»UNK»TP»OT»Canvas-Trial</v></cell><cell r="AH3955"><v>223297413</v></cell><cell r="AI3955" t="str"><v>AzurePlatform_FBCTCcanvaspage-StartFreeCTA-Img2_JPN_1080x143 _SOC_Plat_Japanese_NA_Standard_NA_NA_T2_1</v></cell><cell r="AJ3955"><v>102609621</v></cell></row><row r="3956"><cell r="C3956" t="str"><v>43309Facebook»AZP-Retargeting»1x1»Canvas»OTH»MO»CPM»RT»W»UNK»TP»OT»Trial-Basicmotion</v></cell><cell r="D3956" t="str"><v>43309223298811</v></cell><cell r="E3956" t="str"><v>43309102773984motion</v></cell><cell r="F3956" t="str"><v>DCM</v></cell><cell r="G3956" t="str"><v>https://azure.microsoft.com/ja-jp/free/search/</v></cell></row><row r="3956"><cell r="K3956" t="str"><v>July</v></cell><cell r="L3956"><v>43309</v></cell><cell r="M3956" t="str"><v>Tier 1</v></cell><cell r="N3956" t="str"><v>APAC</v></cell><cell r="O3956" t="str"><v>Japan</v></cell><cell r="P3956" t="str"><v>Trial</v></cell><cell r="Q3956" t="str"><v>Social</v></cell><cell r="R3956" t="str"><v>Azure</v></cell><cell r="S3956" t="str"><v>Apps & Infra</v></cell><cell r="T3956" t="str"><v>Developers & ITI's</v></cell><cell r="U3956" t="str"><v>AZP-Retargeting</v></cell><cell r="V3956" t="str"><v>Retargeting</v></cell><cell r="W3956" t="str"><v>Other</v></cell><cell r="X3956" t="str"><v>1x1</v></cell></row><row r="3956"><cell r="AA3956"><v>43309</v></cell><cell r="AB3956" t="str"><v>JPN_gaPMG_AZR_AZR_Q1_19_Trial-Social</v></cell><cell r="AC3956"><v>21276694</v></cell><cell r="AD3956"><v>720195</v></cell><cell r="AE3956" t="str"><v>Facebook</v></cell><cell r="AF3956"><v>3654128</v></cell><cell r="AG3956" t="str"><v>Facebook»AZP-Retargeting»1x1»Canvas»OTH»MO»CPM»RT»W»UNK»TP»OT»Trial-Basicmotion</v></cell><cell r="AH3956"><v>223298811</v></cell><cell r="AI3956" t="str"><v>AzurePlatform_FBCTCBasicMotion_JPN_10sec_ISV_PLAT_JA_Trial_Standard_STAN_TN_T1_1</v></cell><cell r="AJ3956"><v>102773984</v></cell></row><row r="3957"><cell r="C3957" t="str"><v>43309Facebook»AZP-Retargeting»1x1»Canvas»OTH»MO»CPM»RT»W»UNK»TP»OT»Trial-BrandinMotion</v></cell><cell r="D3957" t="str"><v>43309223298823</v></cell><cell r="E3957" t="str"><v>43309102612720Motion</v></cell><cell r="F3957" t="str"><v>DCM</v></cell><cell r="G3957" t="str"><v>https://azure.microsoft.com/ja-jp/free/search/</v></cell></row><row r="3957"><cell r="K3957" t="str"><v>July</v></cell><cell r="L3957"><v>43309</v></cell><cell r="M3957" t="str"><v>Tier 1</v></cell><cell r="N3957" t="str"><v>APAC</v></cell><cell r="O3957" t="str"><v>Japan</v></cell><cell r="P3957" t="str"><v>Trial</v></cell><cell r="Q3957" t="str"><v>Social</v></cell><cell r="R3957" t="str"><v>Azure</v></cell><cell r="S3957" t="str"><v>Apps & Infra</v></cell><cell r="T3957" t="str"><v>Developers & ITI's</v></cell><cell r="U3957" t="str"><v>AZP-Retargeting</v></cell><cell r="V3957" t="str"><v>Retargeting</v></cell><cell r="W3957" t="str"><v>Other</v></cell><cell r="X3957" t="str"><v>1x1</v></cell></row><row r="3957"><cell r="AA3957"><v>43309</v></cell><cell r="AB3957" t="str"><v>JPN_gaPMG_AZR_AZR_Q1_19_Trial-Social</v></cell><cell r="AC3957"><v>21276694</v></cell><cell r="AD3957"><v>720195</v></cell><cell r="AE3957" t="str"><v>Facebook</v></cell><cell r="AF3957"><v>3654128</v></cell><cell r="AG3957" t="str"><v>Facebook»AZP-Retargeting»1x1»Canvas»OTH»MO»CPM»RT»W»UNK»TP»OT»Trial-BrandinMotion</v></cell><cell r="AH3957"><v>223298823</v></cell><cell r="AI3957" t="str"><v>AzurePlatform_FBCTCBrandinMotion_JPN_12sec_ISV_PLAT_JA_Trial_Standard_STAN_TN_T2_1</v></cell><cell r="AJ3957"><v>102612720</v></cell></row><row r="3958"><cell r="C3958" t="str"><v>43309FACEBOOK»USA-Trial-ITD-Interest Prospecting-AZR-AZR»1 x 1»SocialBan»CAN»ALL»CPA»PRO»X»NA»SS»NA»FBCTCBasicMotion»PRC1SV</v></cell><cell r="D3958" t="str"><v>43309223934062</v></cell><cell r="E3958" t="str"><v>43309103043823PRC1SV</v></cell><cell r="F3958" t="str"><v>DCM</v></cell><cell r="G3958" t="str"><v>https://signup.azure.com/?OCID=AID%eexcid!_OLA_%ebuy!_%epid!_%ecid!</v></cell></row><row r="3958"><cell r="K3958" t="str"><v>July</v></cell><cell r="L3958"><v>43309</v></cell><cell r="M3958" t="str"><v>Tier 0</v></cell><cell r="N3958" t="str"><v>North America</v></cell><cell r="O3958" t="str"><v>United States</v></cell><cell r="P3958" t="str"><v>Trial</v></cell><cell r="Q3958" t="str"><v>Social</v></cell><cell r="R3958" t="str"><v>Azure</v></cell><cell r="S3958" t="str"><v>Apps & Infra</v></cell><cell r="T3958" t="str"><v>Developers & ITI's</v></cell><cell r="U3958" t="str"><v>USA-Trial-ITD-Interest Prospecting-AZR-AZR</v></cell><cell r="V3958" t="str"><v>Prospecting</v></cell><cell r="W3958" t="str"><v>Canvas Ad</v></cell><cell r="X3958" t="str"><v>1x1</v></cell></row><row r="3958"><cell r="AA3958"><v>43309</v></cell><cell r="AB3958" t="str"><v>USA_gaPMG_AZR_AZR_Q1_19_Direct-Social</v></cell><cell r="AC3958"><v>21358715</v></cell><cell r="AD3958"><v>720197</v></cell><cell r="AE3958" t="str"><v>Facebook</v></cell><cell r="AF3958"><v>3654128</v></cell><cell r="AG3958" t="str"><v>FACEBOOK»USA-Trial-ITD-Interest Prospecting-AZR-AZR»1 x 1»SocialBan»CAN»ALL»CPA»PRO»X»NA»SS»NA»FBCTCBasicMotion»PRC1SV</v></cell><cell r="AH3958"><v>223934062</v></cell><cell r="AI3958" t="str"><v>AzurePlatform_FBCTCBasicMotion_USA_10s_CAN_PLATFORM_English_Trial_Standard_STAN_TIN_T1_1</v></cell><cell r="AJ3958"><v>103043823</v></cell></row><row r="3959"><cell r="C3959" t="str"><v>43309FACEBOOK»USA-Trial-ITD-Interest Prospecting-AZR-AZR»1 x 1»SocialBan»CAN»ALL»CPA»PRO»X»NA»SS»NA»FBCTCBasicMotion»PRC1SV</v></cell><cell r="D3959" t="str"><v>43309223934062</v></cell><cell r="E3959" t="str"><v>43309103175984PRC1SV</v></cell><cell r="F3959" t="str"><v>DCM</v></cell><cell r="G3959" t="str"><v>https://azure.microsoft.com/en-us/pricing/purchase-options/?v=18.19&OCID=AID%eexcid!_OLA_%ebuy!_%epid!_%ecid!</v></cell></row><row r="3959"><cell r="K3959" t="str"><v>July</v></cell><cell r="L3959"><v>43309</v></cell><cell r="M3959" t="str"><v>Tier 0</v></cell><cell r="N3959" t="str"><v>North America</v></cell><cell r="O3959" t="str"><v>United States</v></cell><cell r="P3959" t="str"><v>Trial</v></cell><cell r="Q3959" t="str"><v>Social</v></cell><cell r="R3959" t="str"><v>Azure</v></cell><cell r="S3959" t="str"><v>Apps & Infra</v></cell><cell r="T3959" t="str"><v>Developers & ITI's</v></cell><cell r="U3959" t="str"><v>USA-Trial-ITD-Interest Prospecting-AZR-AZR</v></cell><cell r="V3959" t="str"><v>Prospecting</v></cell><cell r="W3959" t="str"><v>Canvas Ad</v></cell><cell r="X3959" t="str"><v>1x1</v></cell></row><row r="3959"><cell r="AA3959"><v>43309</v></cell><cell r="AB3959" t="str"><v>USA_gaPMG_AZR_AZR_Q1_19_Direct-Social</v></cell><cell r="AC3959"><v>21358715</v></cell><cell r="AD3959"><v>720197</v></cell><cell r="AE3959" t="str"><v>Facebook</v></cell><cell r="AF3959"><v>3654128</v></cell><cell r="AG3959" t="str"><v>FACEBOOK»USA-Trial-ITD-Interest Prospecting-AZR-AZR»1 x 1»SocialBan»CAN»ALL»CPA»PRO»X»NA»SS»NA»FBCTCBasicMotion»PRC1SV</v></cell><cell r="AH3959"><v>223934062</v></cell><cell r="AI3959" t="str"><v>AzurePlatform_FBCTCBasicMotion_USA_10s_CAN_PLATFORM_English_Trial_Standard_STAN_TIN_T1_2</v></cell><cell r="AJ3959"><v>103175984</v></cell></row><row r="3960"><cell r="C3960" t="str"><v>43309FACEBOOK»USA-Trial-ITD-Interest Prospecting-AZR-AZR»1 x 1»SocialBan»CAN»ALL»CPA»PRO»X»NA»SS»NA»FBCTCBenefit2inMotion»PRC1SW</v></cell><cell r="D3960" t="str"><v>43309223933138</v></cell><cell r="E3960" t="str"><v>43309103043835PRC1SW</v></cell><cell r="F3960" t="str"><v>DCM</v></cell><cell r="G3960" t="str"><v>https://signup.azure.com/?OCID=AID%eexcid!_OLA_%ebuy!_%epid!_%ecid!</v></cell></row><row r="3960"><cell r="K3960" t="str"><v>July</v></cell><cell r="L3960"><v>43309</v></cell><cell r="M3960" t="str"><v>Tier 0</v></cell><cell r="N3960" t="str"><v>North America</v></cell><cell r="O3960" t="str"><v>United States</v></cell><cell r="P3960" t="str"><v>Trial</v></cell><cell r="Q3960" t="str"><v>Social</v></cell><cell r="R3960" t="str"><v>Azure</v></cell><cell r="S3960" t="str"><v>Apps & Infra</v></cell><cell r="T3960" t="str"><v>Developers & ITI's</v></cell><cell r="U3960" t="str"><v>USA-Trial-ITD-Interest Prospecting-AZR-AZR</v></cell><cell r="V3960" t="str"><v>Prospecting</v></cell><cell r="W3960" t="str"><v>Canvas Ad</v></cell><cell r="X3960" t="str"><v>1x1</v></cell></row><row r="3960"><cell r="AA3960"><v>43309</v></cell><cell r="AB3960" t="str"><v>USA_gaPMG_AZR_AZR_Q1_19_Direct-Social</v></cell><cell r="AC3960"><v>21358715</v></cell><cell r="AD3960"><v>720197</v></cell><cell r="AE3960" t="str"><v>Facebook</v></cell><cell r="AF3960"><v>3654128</v></cell><cell r="AG3960" t="str"><v>FACEBOOK»USA-Trial-ITD-Interest Prospecting-AZR-AZR»1 x 1»SocialBan»CAN»ALL»CPA»PRO»X»NA»SS»NA»FBCTCBenefit2inMotion»PRC1SW</v></cell><cell r="AH3960"><v>223933138</v></cell><cell r="AI3960" t="str"><v>AzurePlatform_FBCTCBenefit2inMotion_USA_10s_CAN_PLATFORM_English_Trial_Standard_STAN_TIN_T4_1</v></cell><cell r="AJ3960"><v>103043835</v></cell></row><row r="3961"><cell r="C3961" t="str"><v>43309FACEBOOK»USA-Trial-ITD-Interest Prospecting-AZR-AZR»1 x 1»SocialBan»CAN»ALL»CPA»PRO»X»NA»SS»NA»FBCTCBenefit2inMotion»PRC1SW</v></cell><cell r="D3961" t="str"><v>43309223933138</v></cell><cell r="E3961" t="str"><v>43309103178645PRC1SW</v></cell><cell r="F3961" t="str"><v>DCM</v></cell><cell r="G3961" t="str"><v>https://azure.microsoft.com/en-us/pricing/purchase-options/?v=18.19&OCID=AID%eexcid!_OLA_%ebuy!_%epid!_%ecid!</v></cell></row><row r="3961"><cell r="K3961" t="str"><v>July</v></cell><cell r="L3961"><v>43309</v></cell><cell r="M3961" t="str"><v>Tier 0</v></cell><cell r="N3961" t="str"><v>North America</v></cell><cell r="O3961" t="str"><v>United States</v></cell><cell r="P3961" t="str"><v>Trial</v></cell><cell r="Q3961" t="str"><v>Social</v></cell><cell r="R3961" t="str"><v>Azure</v></cell><cell r="S3961" t="str"><v>Apps & Infra</v></cell><cell r="T3961" t="str"><v>Developers & ITI's</v></cell><cell r="U3961" t="str"><v>USA-Trial-ITD-Interest Prospecting-AZR-AZR</v></cell><cell r="V3961" t="str"><v>Prospecting</v></cell><cell r="W3961" t="str"><v>Canvas Ad</v></cell><cell r="X3961" t="str"><v>1x1</v></cell></row><row r="3961"><cell r="AA3961"><v>43309</v></cell><cell r="AB3961" t="str"><v>USA_gaPMG_AZR_AZR_Q1_19_Direct-Social</v></cell><cell r="AC3961"><v>21358715</v></cell><cell r="AD3961"><v>720197</v></cell><cell r="AE3961" t="str"><v>Facebook</v></cell><cell r="AF3961"><v>3654128</v></cell><cell r="AG3961" t="str"><v>FACEBOOK»USA-Trial-ITD-Interest Prospecting-AZR-AZR»1 x 1»SocialBan»CAN»ALL»CPA»PRO»X»NA»SS»NA»FBCTCBenefit2inMotion»PRC1SW</v></cell><cell r="AH3961"><v>223933138</v></cell><cell r="AI3961" t="str"><v>AzurePlatform_FBCTCBenefit2inMotion_USA_10s_CAN_PLATFORM_English_Trial_Standard_STAN_TIN_T4_2</v></cell><cell r="AJ3961"><v>103178645</v></cell></row><row r="3962"><cell r="C3962" t="str"><v>43309FACEBOOK»USA-Trial-ITD-Interest Prospecting-AZR-AZR»1 x 1»SocialBan»CAN»ALL»CPA»PRO»X»NA»SS»NA»FBCTCBrandinMotion»PRC1SY</v></cell><cell r="D3962" t="str"><v>43309224104929</v></cell><cell r="E3962" t="str"><v>43309103176812PRC1SY</v></cell><cell r="F3962" t="str"><v>DCM</v></cell><cell r="G3962" t="str"><v>https://signup.azure.com/?OCID=AID%eexcid!_OLA_%ebuy!_%epid!_%ecid!</v></cell></row><row r="3962"><cell r="K3962" t="str"><v>July</v></cell><cell r="L3962"><v>43309</v></cell><cell r="M3962" t="str"><v>Tier 0</v></cell><cell r="N3962" t="str"><v>North America</v></cell><cell r="O3962" t="str"><v>United States</v></cell><cell r="P3962" t="str"><v>Trial</v></cell><cell r="Q3962" t="str"><v>Social</v></cell><cell r="R3962" t="str"><v>Azure</v></cell><cell r="S3962" t="str"><v>Apps & Infra</v></cell><cell r="T3962" t="str"><v>Developers & ITI's</v></cell><cell r="U3962" t="str"><v>USA-Trial-ITD-Interest Prospecting-AZR-AZR</v></cell><cell r="V3962" t="str"><v>Prospecting</v></cell><cell r="W3962" t="str"><v>Canvas Ad</v></cell><cell r="X3962" t="str"><v>1x1</v></cell></row><row r="3962"><cell r="AA3962"><v>43309</v></cell><cell r="AB3962" t="str"><v>USA_gaPMG_AZR_AZR_Q1_19_Direct-Social</v></cell><cell r="AC3962"><v>21358715</v></cell><cell r="AD3962"><v>720197</v></cell><cell r="AE3962" t="str"><v>Facebook</v></cell><cell r="AF3962"><v>3654128</v></cell><cell r="AG3962" t="str"><v>FACEBOOK»USA-Trial-ITD-Interest Prospecting-AZR-AZR»1 x 1»SocialBan»CAN»ALL»CPA»PRO»X»NA»SS»NA»FBCTCBrandinMotion»PRC1SY</v></cell><cell r="AH3962"><v>224104929</v></cell><cell r="AI3962" t="str"><v>AzurePlatform_FBCTCBrandinMotion_USA_10s_CAN_PLATFORM_English_Trial_Standard_STAN_TIN_T2_1</v></cell><cell r="AJ3962"><v>103176812</v></cell></row><row r="3963"><cell r="C3963" t="str"><v>43309FACEBOOK»USA-Trial-ITD-Interest Prospecting-AZR-AZR»1 x 1»SocialBan»CAN»ALL»CPA»PRO»X»NA»SS»NA»FBCTCBrandinMotion»PRC1SY</v></cell><cell r="D3963" t="str"><v>43309224104929</v></cell><cell r="E3963" t="str"><v>43309103032823PRC1SY</v></cell><cell r="F3963" t="str"><v>DCM</v></cell><cell r="G3963" t="str"><v>https://azure.microsoft.com/en-us/pricing/purchase-options/?v=18.19&OCID=AID%eexcid!_OLA_%ebuy!_%epid!_%ecid!</v></cell></row><row r="3963"><cell r="K3963" t="str"><v>July</v></cell><cell r="L3963"><v>43309</v></cell><cell r="M3963" t="str"><v>Tier 0</v></cell><cell r="N3963" t="str"><v>North America</v></cell><cell r="O3963" t="str"><v>United States</v></cell><cell r="P3963" t="str"><v>Trial</v></cell><cell r="Q3963" t="str"><v>Social</v></cell><cell r="R3963" t="str"><v>Azure</v></cell><cell r="S3963" t="str"><v>Apps & Infra</v></cell><cell r="T3963" t="str"><v>Developers & ITI's</v></cell><cell r="U3963" t="str"><v>USA-Trial-ITD-Interest Prospecting-AZR-AZR</v></cell><cell r="V3963" t="str"><v>Prospecting</v></cell><cell r="W3963" t="str"><v>Canvas Ad</v></cell><cell r="X3963" t="str"><v>1x1</v></cell></row><row r="3963"><cell r="AA3963"><v>43309</v></cell><cell r="AB3963" t="str"><v>USA_gaPMG_AZR_AZR_Q1_19_Direct-Social</v></cell><cell r="AC3963"><v>21358715</v></cell><cell r="AD3963"><v>720197</v></cell><cell r="AE3963" t="str"><v>Facebook</v></cell><cell r="AF3963"><v>3654128</v></cell><cell r="AG3963" t="str"><v>FACEBOOK»USA-Trial-ITD-Interest Prospecting-AZR-AZR»1 x 1»SocialBan»CAN»ALL»CPA»PRO»X»NA»SS»NA»FBCTCBrandinMotion»PRC1SY</v></cell><cell r="AH3963"><v>224104929</v></cell><cell r="AI3963" t="str"><v>AzurePlatform_FBCTCBrandinMotion_USA_10s_CAN_PLATFORM_English_Trial_Standard_STAN_TIN_T2_2</v></cell><cell r="AJ3963"><v>103032823</v></cell></row><row r="3964"><cell r="C3964" t="str"><v>43309FACEBOOK»USA-Trial-ITD-Interest Prospecting-AZR-AZR»1 x 1»SocialBan»LIA»ALL»CPA»PRO»X»NA»SS»NA»FreeAcctDeveloperFB-AnimatedGeneric-Ch1»PRC1SZ</v></cell><cell r="D3964" t="str"><v>43309224104932</v></cell><cell r="E3964" t="str"><v>43309103176851PRC1SZ</v></cell><cell r="F3964" t="str"><v>DCM</v></cell><cell r="G3964" t="str"><v>https://azure.microsoft.com/en-us/free/search/?OCID=AID%eexcid!_OLA_%ebuy!_%epid!_%ecid!</v></cell></row><row r="3964"><cell r="K3964" t="str"><v>July</v></cell><cell r="L3964"><v>43309</v></cell><cell r="M3964" t="str"><v>Tier 0</v></cell><cell r="N3964" t="str"><v>North America</v></cell><cell r="O3964" t="str"><v>United States</v></cell><cell r="P3964" t="str"><v>Trial</v></cell><cell r="Q3964" t="str"><v>Social</v></cell><cell r="R3964" t="str"><v>Azure</v></cell><cell r="S3964" t="str"><v>Apps & Infra</v></cell><cell r="T3964" t="str"><v>Developers & ITI's</v></cell><cell r="U3964" t="str"><v>USA-Trial-ITD-Interest Prospecting-AZR-AZR</v></cell><cell r="V3964" t="str"><v>Prospecting</v></cell><cell r="W3964" t="str"><v>Link Ad</v></cell><cell r="X3964" t="str"><v>1x1</v></cell></row><row r="3964"><cell r="AA3964"><v>43309</v></cell><cell r="AB3964" t="str"><v>USA_gaPMG_AZR_AZR_Q1_19_Direct-Social</v></cell><cell r="AC3964"><v>21358715</v></cell><cell r="AD3964"><v>720197</v></cell><cell r="AE3964" t="str"><v>Facebook</v></cell><cell r="AF3964"><v>3654128</v></cell><cell r="AG3964" t="str"><v>FACEBOOK»USA-Trial-ITD-Interest Prospecting-AZR-AZR»1 x 1»SocialBan»LIA»ALL»CPA»PRO»X»NA»SS»NA»FreeAcctDeveloperFB-AnimatedGeneric-Ch1»PRC1SZ</v></cell><cell r="AH3964"><v>224104932</v></cell><cell r="AI3964" t="str"><v>AZR_FreeAcctDeveloperFB-AnimatedGeneric-Ch1_USA_1200x1200_CAN_Direct_English_Trial_Standard_ANI_LEA_T1_2</v></cell><cell r="AJ3964"><v>103176851</v></cell></row><row r="3965"><cell r="C3965" t="str"><v>43309FACEBOOK»USA-Trial-ITD-Interest Prospecting-AZR-AZR»1 x 1»SocialBan»LIA»ALL»CPA»PRO»X»NA»SS»NA»FreeAcctDeveloperFB-AnimatedGeneric-Ch1»PRC1T0</v></cell><cell r="D3965" t="str"><v>43309223934065</v></cell><cell r="E3965" t="str"><v>43309103176851PRC1T0</v></cell><cell r="F3965" t="str"><v>DCM</v></cell><cell r="G3965" t="str"><v>https://azure.microsoft.com/en-us/free/search/?OCID=AID%eexcid!_OLA_%ebuy!_%epid!_%ecid!</v></cell></row><row r="3965"><cell r="K3965" t="str"><v>July</v></cell><cell r="L3965"><v>43309</v></cell><cell r="M3965" t="str"><v>Tier 0</v></cell><cell r="N3965" t="str"><v>North America</v></cell><cell r="O3965" t="str"><v>United States</v></cell><cell r="P3965" t="str"><v>Trial</v></cell><cell r="Q3965" t="str"><v>Social</v></cell><cell r="R3965" t="str"><v>Azure</v></cell><cell r="S3965" t="str"><v>Apps & Infra</v></cell><cell r="T3965" t="str"><v>Developers & ITI's</v></cell><cell r="U3965" t="str"><v>USA-Trial-ITD-Interest Prospecting-AZR-AZR</v></cell><cell r="V3965" t="str"><v>Prospecting</v></cell><cell r="W3965" t="str"><v>Link Ad</v></cell><cell r="X3965" t="str"><v>1x1</v></cell></row><row r="3965"><cell r="AA3965"><v>43309</v></cell><cell r="AB3965" t="str"><v>USA_gaPMG_AZR_AZR_Q1_19_Direct-Social</v></cell><cell r="AC3965"><v>21358715</v></cell><cell r="AD3965"><v>720197</v></cell><cell r="AE3965" t="str"><v>Facebook</v></cell><cell r="AF3965"><v>3654128</v></cell><cell r="AG3965" t="str"><v>FACEBOOK»USA-Trial-ITD-Interest Prospecting-AZR-AZR»1 x 1»SocialBan»LIA»ALL»CPA»PRO»X»NA»SS»NA»FreeAcctDeveloperFB-AnimatedGeneric-Ch1»PRC1T0</v></cell><cell r="AH3965"><v>223934065</v></cell><cell r="AI3965" t="str"><v>AZR_FreeAcctDeveloperFB-AnimatedGeneric-Ch1_USA_1200x1200_CAN_Direct_English_Trial_Standard_ANI_LEA_T1_2</v></cell><cell r="AJ3965"><v>103176851</v></cell></row><row r="3966"><cell r="C3966" t="str"><v>43309FACEBOOK»USA-Trial-ITD-Interest Prospecting-AZR-AZR»1 x 1»SocialBan»LIA»ALL»CPA»PRO»X»NA»SS»NA»FreeAcctITProFB-AnimatedHybrid-Ch2»PRC1T5</v></cell><cell r="D3966" t="str"><v>43309223862882</v></cell><cell r="E3966" t="str"><v>43309103180583PRC1T5</v></cell><cell r="F3966" t="str"><v>DCM</v></cell></row><row r="3966"><cell r="K3966" t="str"><v>July</v></cell><cell r="L3966"><v>43309</v></cell><cell r="M3966" t="str"><v>Tier 0</v></cell><cell r="N3966" t="str"><v>North America</v></cell><cell r="O3966" t="str"><v>United States</v></cell><cell r="P3966" t="str"><v>Trial</v></cell><cell r="Q3966" t="str"><v>Social</v></cell><cell r="R3966" t="str"><v>Azure</v></cell><cell r="S3966" t="str"><v>Apps & Infra</v></cell><cell r="T3966" t="str"><v>Developers & ITI's</v></cell><cell r="U3966" t="str"><v>USA-Trial-ITD-Interest Prospecting-AZR-AZR</v></cell><cell r="V3966" t="str"><v>Prospecting</v></cell><cell r="W3966" t="str"><v>Link Ad</v></cell><cell r="X3966" t="str"><v>1x1</v></cell></row><row r="3966"><cell r="AA3966"><v>43309</v></cell><cell r="AB3966" t="str"><v>USA_gaPMG_AZR_AZR_Q1_19_Direct-Social</v></cell><cell r="AC3966"><v>21358715</v></cell><cell r="AD3966"><v>720197</v></cell><cell r="AE3966" t="str"><v>Facebook</v></cell><cell r="AF3966"><v>3654128</v></cell><cell r="AG3966" t="str"><v>FACEBOOK»USA-Trial-ITD-Interest Prospecting-AZR-AZR»1 x 1»SocialBan»LIA»ALL»CPA»PRO»X»NA»SS»NA»FreeAcctITProFB-AnimatedHybrid-Ch2»PRC1T5</v></cell><cell r="AH3966"><v>223862882</v></cell><cell r="AI3966" t="str"><v>AZR_FreeAcctITProFB-AnimatedHybrid-Ch2_USA_1200x1200_CAN_Direct_English_Trial_Standard_ANI_LEA_T2_2</v></cell><cell r="AJ3966"><v>103180583</v></cell></row><row r="3967"><cell r="C3967" t="str"><v>43309FACEBOOK»USA-Trial-ITD-Interest Prospecting-AZR-AZR»1 x 1»SocialBan»LIA»ALL»CPA»PRO»X»NA»SS»NA»FreeAcctITProFB-AnimatedSecureMngd-Ch1»PRC1T4</v></cell><cell r="D3967" t="str"><v>43309224104914</v></cell><cell r="E3967" t="str"><v>43309103176830PRC1T4</v></cell><cell r="F3967" t="str"><v>DCM</v></cell></row><row r="3967"><cell r="K3967" t="str"><v>July</v></cell><cell r="L3967"><v>43309</v></cell><cell r="M3967" t="str"><v>Tier 0</v></cell><cell r="N3967" t="str"><v>North America</v></cell><cell r="O3967" t="str"><v>United States</v></cell><cell r="P3967" t="str"><v>Trial</v></cell><cell r="Q3967" t="str"><v>Social</v></cell><cell r="R3967" t="str"><v>Azure</v></cell><cell r="S3967" t="str"><v>Apps & Infra</v></cell><cell r="T3967" t="str"><v>Developers & ITI's</v></cell><cell r="U3967" t="str"><v>USA-Trial-ITD-Interest Prospecting-AZR-AZR</v></cell><cell r="V3967" t="str"><v>Prospecting</v></cell><cell r="W3967" t="str"><v>Link Ad</v></cell><cell r="X3967" t="str"><v>1x1</v></cell></row><row r="3967"><cell r="AA3967"><v>43309</v></cell><cell r="AB3967" t="str"><v>USA_gaPMG_AZR_AZR_Q1_19_Direct-Social</v></cell><cell r="AC3967"><v>21358715</v></cell><cell r="AD3967"><v>720197</v></cell><cell r="AE3967" t="str"><v>Facebook</v></cell><cell r="AF3967"><v>3654128</v></cell><cell r="AG3967" t="str"><v>FACEBOOK»USA-Trial-ITD-Interest Prospecting-AZR-AZR»1 x 1»SocialBan»LIA»ALL»CPA»PRO»X»NA»SS»NA»FreeAcctITProFB-AnimatedSecureMngd-Ch1»PRC1T4</v></cell><cell r="AH3967"><v>224104914</v></cell><cell r="AI3967" t="str"><v>AZR_FreeAcctITProFB-AnimatedSecureMngd-Ch1_USA_1200x1200_CAN_Direct_English_Trial_Standard_ANI_LEA_T1_1</v></cell><cell r="AJ3967"><v>103176830</v></cell></row><row r="3968"><cell r="C3968" t="str"><v>43309FACEBOOK»USA-Trial-ITD-Interest Prospecting-AZR-AZR»1 x 1»SocialBan»CAN»ALL»CPA»PRO»X»NA»SS»NA»FBCTCBenefitinMotion»PRC1SX</v></cell><cell r="D3968" t="str"><v>43309224104077</v></cell><cell r="E3968" t="str"><v>43309103032775PRC1SX</v></cell><cell r="F3968" t="str"><v>DCM</v></cell><cell r="G3968" t="str"><v>https://signup.azure.com/?OCID=AID%eexcid!_OLA_%ebuy!_%epid!_%ecid!</v></cell></row><row r="3968"><cell r="K3968" t="str"><v>July</v></cell><cell r="L3968"><v>43309</v></cell><cell r="M3968" t="str"><v>Tier 0</v></cell><cell r="N3968" t="str"><v>North America</v></cell><cell r="O3968" t="str"><v>United States</v></cell><cell r="P3968" t="str"><v>Trial</v></cell><cell r="Q3968" t="str"><v>Social</v></cell><cell r="R3968" t="str"><v>Azure</v></cell><cell r="S3968" t="str"><v>Apps & Infra</v></cell><cell r="T3968" t="str"><v>Developers & ITI's</v></cell><cell r="U3968" t="str"><v>USA-Trial-ITD-Interest Prospecting-AZR-AZR</v></cell><cell r="V3968" t="str"><v>Prospecting</v></cell><cell r="W3968" t="str"><v>Canvas Ad</v></cell><cell r="X3968" t="str"><v>1x1</v></cell></row><row r="3968"><cell r="AA3968"><v>43309</v></cell><cell r="AB3968" t="str"><v>USA_gaPMG_AZR_AZR_Q1_19_Direct-Social</v></cell><cell r="AC3968"><v>21358715</v></cell><cell r="AD3968"><v>720197</v></cell><cell r="AE3968" t="str"><v>Facebook</v></cell><cell r="AF3968"><v>3654128</v></cell><cell r="AG3968" t="str"><v>FACEBOOK»USA-Trial-ITD-Interest Prospecting-AZR-AZR»1 x 1»SocialBan»CAN»ALL»CPA»PRO»X»NA»SS»NA»FBCTCBenefitinMotion»PRC1SX</v></cell><cell r="AH3968"><v>224104077</v></cell><cell r="AI3968" t="str"><v>AzurePlatform_FBCTCBenefitinMotion_USA_10s_CAN_PLATFORM_English_Trial_Standard_STAN_TIN_T3_1</v></cell><cell r="AJ3968"><v>103032775</v></cell></row><row r="3969"><cell r="C3969" t="str"><v>43309FACEBOOK»USA-Trial-ITD-Interest Prospecting-AZR-AZR»1 x 1»SocialBan»CAN»ALL»CPA»PRO»X»NA»SS»NA»FBCTCBenefitinMotion»PRC1SX</v></cell><cell r="D3969" t="str"><v>43309224104077</v></cell><cell r="E3969" t="str"><v>43309103176836PRC1SX</v></cell><cell r="F3969" t="str"><v>DCM</v></cell><cell r="G3969" t="str"><v>https://azure.microsoft.com/en-us/pricing/purchase-options/?v=18.19&OCID=AID%eexcid!_OLA_%ebuy!_%epid!_%ecid!</v></cell></row><row r="3969"><cell r="K3969" t="str"><v>July</v></cell><cell r="L3969"><v>43309</v></cell><cell r="M3969" t="str"><v>Tier 0</v></cell><cell r="N3969" t="str"><v>North America</v></cell><cell r="O3969" t="str"><v>United States</v></cell><cell r="P3969" t="str"><v>Trial</v></cell><cell r="Q3969" t="str"><v>Social</v></cell><cell r="R3969" t="str"><v>Azure</v></cell><cell r="S3969" t="str"><v>Apps & Infra</v></cell><cell r="T3969" t="str"><v>Developers & ITI's</v></cell><cell r="U3969" t="str"><v>USA-Trial-ITD-Interest Prospecting-AZR-AZR</v></cell><cell r="V3969" t="str"><v>Prospecting</v></cell><cell r="W3969" t="str"><v>Canvas Ad</v></cell><cell r="X3969" t="str"><v>1x1</v></cell></row><row r="3969"><cell r="AA3969"><v>43309</v></cell><cell r="AB3969" t="str"><v>USA_gaPMG_AZR_AZR_Q1_19_Direct-Social</v></cell><cell r="AC3969"><v>21358715</v></cell><cell r="AD3969"><v>720197</v></cell><cell r="AE3969" t="str"><v>Facebook</v></cell><cell r="AF3969"><v>3654128</v></cell><cell r="AG3969" t="str"><v>FACEBOOK»USA-Trial-ITD-Interest Prospecting-AZR-AZR»1 x 1»SocialBan»CAN»ALL»CPA»PRO»X»NA»SS»NA»FBCTCBenefitinMotion»PRC1SX</v></cell><cell r="AH3969"><v>224104077</v></cell><cell r="AI3969" t="str"><v>AzurePlatform_FBCTCBenefitinMotion_USA_10s_CAN_PLATFORM_English_Trial_Standard_STAN_TIN_T3_2</v></cell><cell r="AJ3969"><v>103176836</v></cell></row><row r="3970"><cell r="C3970" t="str"><v>43309FACEBOOK»USA-Trial-ITD-Retargeting-AZR-AZR»1 x 1»SocialBan»LIA»ALL»CPA»RT»X»NA»SS»NA»FreeAcctDeveloperFB-AnimatedAI-Ch3»PRC26H</v></cell><cell r="D3970" t="str"><v>43309223863371</v></cell><cell r="E3970" t="str"><v>43309103032778PRC26H</v></cell><cell r="F3970" t="str"><v>DCM</v></cell></row><row r="3970"><cell r="K3970" t="str"><v>July</v></cell><cell r="L3970"><v>43309</v></cell><cell r="M3970" t="str"><v>Tier 0</v></cell><cell r="N3970" t="str"><v>North America</v></cell><cell r="O3970" t="str"><v>United States</v></cell><cell r="P3970" t="str"><v>Trial</v></cell><cell r="Q3970" t="str"><v>Social</v></cell><cell r="R3970" t="str"><v>Azure</v></cell><cell r="S3970" t="str"><v>Apps & Infra</v></cell><cell r="T3970" t="str"><v>Developers & ITI's</v></cell><cell r="U3970" t="str"><v>USA-Trial-ITD-Retargeting-AZR-AZR</v></cell><cell r="V3970" t="str"><v>Retargeting</v></cell><cell r="W3970" t="str"><v>Link Ad</v></cell><cell r="X3970" t="str"><v>1x1</v></cell></row><row r="3970"><cell r="AA3970"><v>43309</v></cell><cell r="AB3970" t="str"><v>USA_gaPMG_AZR_AZR_Q1_19_Direct-Social</v></cell><cell r="AC3970"><v>21358715</v></cell><cell r="AD3970"><v>720197</v></cell><cell r="AE3970" t="str"><v>Facebook</v></cell><cell r="AF3970"><v>3654128</v></cell><cell r="AG3970" t="str"><v>FACEBOOK»USA-Trial-ITD-Retargeting-AZR-AZR»1 x 1»SocialBan»LIA»ALL»CPA»RT»X»NA»SS»NA»FreeAcctDeveloperFB-AnimatedAI-Ch3»PRC26H</v></cell><cell r="AH3970"><v>223863371</v></cell><cell r="AI3970" t="str"><v>AZR_FreeAcctDeveloperFB-AnimatedAI-Ch3_USA_1200x1200_CAN_Direct_English_Trial_Standard_ANI_LEA_T3_1</v></cell><cell r="AJ3970"><v>103032778</v></cell></row><row r="3971"><cell r="C3971" t="str"><v>43309FACEBOOK»USA-Trial-ITD-Retargeting-AZR-AZR»1 x 1»SocialBan»LIA»ALL»CPA»RT»X»NA»SS»NA»FreeAcctDeveloperFB-AnimatedData-Ch4»PRC26J</v></cell><cell r="D3971" t="str"><v>43309224106078</v></cell><cell r="E3971" t="str"><v>43309103037935PRC26J</v></cell><cell r="F3971" t="str"><v>DCM</v></cell></row><row r="3971"><cell r="K3971" t="str"><v>July</v></cell><cell r="L3971"><v>43309</v></cell><cell r="M3971" t="str"><v>Tier 0</v></cell><cell r="N3971" t="str"><v>North America</v></cell><cell r="O3971" t="str"><v>United States</v></cell><cell r="P3971" t="str"><v>Trial</v></cell><cell r="Q3971" t="str"><v>Social</v></cell><cell r="R3971" t="str"><v>Azure</v></cell><cell r="S3971" t="str"><v>Apps & Infra</v></cell><cell r="T3971" t="str"><v>Developers & ITI's</v></cell><cell r="U3971" t="str"><v>USA-Trial-ITD-Retargeting-AZR-AZR</v></cell><cell r="V3971" t="str"><v>Retargeting</v></cell><cell r="W3971" t="str"><v>Link Ad</v></cell><cell r="X3971" t="str"><v>1x1</v></cell></row><row r="3971"><cell r="AA3971"><v>43309</v></cell><cell r="AB3971" t="str"><v>USA_gaPMG_AZR_AZR_Q1_19_Direct-Social</v></cell><cell r="AC3971"><v>21358715</v></cell><cell r="AD3971"><v>720197</v></cell><cell r="AE3971" t="str"><v>Facebook</v></cell><cell r="AF3971"><v>3654128</v></cell><cell r="AG3971" t="str"><v>FACEBOOK»USA-Trial-ITD-Retargeting-AZR-AZR»1 x 1»SocialBan»LIA»ALL»CPA»RT»X»NA»SS»NA»FreeAcctDeveloperFB-AnimatedData-Ch4»PRC26J</v></cell><cell r="AH3971"><v>224106078</v></cell><cell r="AI3971" t="str"><v>AZR_FreeAcctDeveloperFB-AnimatedData-Ch4_USA_1200x1200_CAN_Direct_English_Trial_Standard_ANI_LEA_T4_2</v></cell><cell r="AJ3971"><v>103037935</v></cell></row><row r="3972"><cell r="C3972" t="str"><v>43309FACEBOOK»USA-Trial-ITD-Retargeting-AZR-AZR»1 x 1»SocialBan»LIA»ALL»CPA»RT»X»NA»SS»NA»FreeAcctDeveloperFB-AnimatedOpenSource-Ch2»PRC26G</v></cell><cell r="D3972" t="str"><v>43309223862873</v></cell><cell r="E3972" t="str"><v>43309103048329PRC26G</v></cell><cell r="F3972" t="str"><v>DCM</v></cell><cell r="G3972" t="str"><v>https://azure.microsoft.com/en-us/free/open-source/search/?OCID=AID%eexcid!_OLA_%ebuy!_%epid!_%ecid!</v></cell></row><row r="3972"><cell r="K3972" t="str"><v>July</v></cell><cell r="L3972"><v>43309</v></cell><cell r="M3972" t="str"><v>Tier 0</v></cell><cell r="N3972" t="str"><v>North America</v></cell><cell r="O3972" t="str"><v>United States</v></cell><cell r="P3972" t="str"><v>Trial</v></cell><cell r="Q3972" t="str"><v>Social</v></cell><cell r="R3972" t="str"><v>Azure</v></cell><cell r="S3972" t="str"><v>Apps & Infra</v></cell><cell r="T3972" t="str"><v>Developers & ITI's</v></cell><cell r="U3972" t="str"><v>USA-Trial-ITD-Retargeting-AZR-AZR</v></cell><cell r="V3972" t="str"><v>Retargeting</v></cell><cell r="W3972" t="str"><v>Link Ad</v></cell><cell r="X3972" t="str"><v>1x1</v></cell></row><row r="3972"><cell r="AA3972"><v>43309</v></cell><cell r="AB3972" t="str"><v>USA_gaPMG_AZR_AZR_Q1_19_Direct-Social</v></cell><cell r="AC3972"><v>21358715</v></cell><cell r="AD3972"><v>720197</v></cell><cell r="AE3972" t="str"><v>Facebook</v></cell><cell r="AF3972"><v>3654128</v></cell><cell r="AG3972" t="str"><v>FACEBOOK»USA-Trial-ITD-Retargeting-AZR-AZR»1 x 1»SocialBan»LIA»ALL»CPA»RT»X»NA»SS»NA»FreeAcctDeveloperFB-AnimatedOpenSource-Ch2»PRC26G</v></cell><cell r="AH3972"><v>223862873</v></cell><cell r="AI3972" t="str"><v>AZR_FreeAcctDeveloperFB-AnimatedOpenSource-Ch2_USA_1200x1200_CAN_Direct_English_Trial_Standard_ANI_LEA_T2_1</v></cell><cell r="AJ3972"><v>103048329</v></cell></row><row r="3973"><cell r="C3973" t="str"><v>43309FACEBOOK»USA-Trial-ITD-Retargeting-AZR-AZR»1 x 1»SocialBan»LIA»ALL»CPA»RT»X»NA»SS»NA»FreeAcctITProFB-AnimatedHybrid-Ch2»PRC26N</v></cell><cell r="D3973" t="str"><v>43309223934053</v></cell><cell r="E3973" t="str"><v>43309103180583PRC26N</v></cell><cell r="F3973" t="str"><v>DCM</v></cell></row><row r="3973"><cell r="K3973" t="str"><v>July</v></cell><cell r="L3973"><v>43309</v></cell><cell r="M3973" t="str"><v>Tier 0</v></cell><cell r="N3973" t="str"><v>North America</v></cell><cell r="O3973" t="str"><v>United States</v></cell><cell r="P3973" t="str"><v>Trial</v></cell><cell r="Q3973" t="str"><v>Social</v></cell><cell r="R3973" t="str"><v>Azure</v></cell><cell r="S3973" t="str"><v>Apps & Infra</v></cell><cell r="T3973" t="str"><v>Developers & ITI's</v></cell><cell r="U3973" t="str"><v>USA-Trial-ITD-Retargeting-AZR-AZR</v></cell><cell r="V3973" t="str"><v>Retargeting</v></cell><cell r="W3973" t="str"><v>Link Ad</v></cell><cell r="X3973" t="str"><v>1x1</v></cell></row><row r="3973"><cell r="AA3973"><v>43309</v></cell><cell r="AB3973" t="str"><v>USA_gaPMG_AZR_AZR_Q1_19_Direct-Social</v></cell><cell r="AC3973"><v>21358715</v></cell><cell r="AD3973"><v>720197</v></cell><cell r="AE3973" t="str"><v>Facebook</v></cell><cell r="AF3973"><v>3654128</v></cell><cell r="AG3973" t="str"><v>FACEBOOK»USA-Trial-ITD-Retargeting-AZR-AZR»1 x 1»SocialBan»LIA»ALL»CPA»RT»X»NA»SS»NA»FreeAcctITProFB-AnimatedHybrid-Ch2»PRC26N</v></cell><cell r="AH3973"><v>223934053</v></cell><cell r="AI3973" t="str"><v>AZR_FreeAcctITProFB-AnimatedHybrid-Ch2_USA_1200x1200_CAN_Direct_English_Trial_Standard_ANI_LEA_T2_2</v></cell><cell r="AJ3973"><v>103180583</v></cell></row><row r="3974"><cell r="C3974" t="str"><v>43309FACEBOOK»USA-Trial-ITD-Retargeting-AZR-AZR»1 x 1»SocialBan»LIA»ALL»CPA»RT»X»NA»SS»NA»FreeAcctRetargetingFB-Animated-ChC»PRC1RX</v></cell><cell r="D3974" t="str"><v>43309223862864</v></cell><cell r="E3974" t="str"><v>43309103180880PRC1RX</v></cell><cell r="F3974" t="str"><v>DCM</v></cell><cell r="G3974" t="str"><v>https://azure.microsoft.com/en-us/free/search/?OCID=AID%eexcid!_OLA_%ebuy!_%epid!_%ecid!</v></cell></row><row r="3974"><cell r="K3974" t="str"><v>July</v></cell><cell r="L3974"><v>43309</v></cell><cell r="M3974" t="str"><v>Tier 0</v></cell><cell r="N3974" t="str"><v>North America</v></cell><cell r="O3974" t="str"><v>United States</v></cell><cell r="P3974" t="str"><v>Trial</v></cell><cell r="Q3974" t="str"><v>Social</v></cell><cell r="R3974" t="str"><v>Azure</v></cell><cell r="S3974" t="str"><v>Apps & Infra</v></cell><cell r="T3974" t="str"><v>Developers & ITI's</v></cell><cell r="U3974" t="str"><v>USA-Trial-ITD-Retargeting-AZR-AZR</v></cell><cell r="V3974" t="str"><v>Retargeting</v></cell><cell r="W3974" t="str"><v>Link Ad</v></cell><cell r="X3974" t="str"><v>1x1</v></cell></row><row r="3974"><cell r="AA3974"><v>43309</v></cell><cell r="AB3974" t="str"><v>USA_gaPMG_AZR_AZR_Q1_19_Direct-Social</v></cell><cell r="AC3974"><v>21358715</v></cell><cell r="AD3974"><v>720197</v></cell><cell r="AE3974" t="str"><v>Facebook</v></cell><cell r="AF3974"><v>3654128</v></cell><cell r="AG3974" t="str"><v>FACEBOOK»USA-Trial-ITD-Retargeting-AZR-AZR»1 x 1»SocialBan»LIA»ALL»CPA»RT»X»NA»SS»NA»FreeAcctRetargetingFB-Animated-ChC»PRC1RX</v></cell><cell r="AH3974"><v>223862864</v></cell><cell r="AI3974" t="str"><v>AzurePlatform_FreeAcctRetargetingFB-Animated-ChC_USA_1200x628_CAN_PLATFORM_English_Free Account_Standard_ANI_SINU_T3_2</v></cell><cell r="AJ3974"><v>103180880</v></cell></row><row r="3975"><cell r="C3975" t="str"><v>43309FACEBOOK»USA-Trial-ITD-Retargeting-AZR-AZR»1 x 1»SocialBan»LIA»ALL»CPA»RT»X»NA»SS»NA»FreeAcctRetargetingFB-Credit-ChA»PRC1RV</v></cell><cell r="D3975" t="str"><v>43309224106075</v></cell><cell r="E3975" t="str"><v>43309103034917PRC1RV</v></cell><cell r="F3975" t="str"><v>DCM</v></cell><cell r="G3975" t="str"><v>https://azure.microsoft.com/en-us/free/search/?OCID=AID%eexcid!_OLA_%ebuy!_%epid!_%ecid!</v></cell></row><row r="3975"><cell r="K3975" t="str"><v>July</v></cell><cell r="L3975"><v>43309</v></cell><cell r="M3975" t="str"><v>Tier 0</v></cell><cell r="N3975" t="str"><v>North America</v></cell><cell r="O3975" t="str"><v>United States</v></cell><cell r="P3975" t="str"><v>Trial</v></cell><cell r="Q3975" t="str"><v>Social</v></cell><cell r="R3975" t="str"><v>Azure</v></cell><cell r="S3975" t="str"><v>Apps & Infra</v></cell><cell r="T3975" t="str"><v>Developers & ITI's</v></cell><cell r="U3975" t="str"><v>USA-Trial-ITD-Retargeting-AZR-AZR</v></cell><cell r="V3975" t="str"><v>Retargeting</v></cell><cell r="W3975" t="str"><v>Link Ad</v></cell><cell r="X3975" t="str"><v>1x1</v></cell></row><row r="3975"><cell r="AA3975"><v>43309</v></cell><cell r="AB3975" t="str"><v>USA_gaPMG_AZR_AZR_Q1_19_Direct-Social</v></cell><cell r="AC3975"><v>21358715</v></cell><cell r="AD3975"><v>720197</v></cell><cell r="AE3975" t="str"><v>Facebook</v></cell><cell r="AF3975"><v>3654128</v></cell><cell r="AG3975" t="str"><v>FACEBOOK»USA-Trial-ITD-Retargeting-AZR-AZR»1 x 1»SocialBan»LIA»ALL»CPA»RT»X»NA»SS»NA»FreeAcctRetargetingFB-Credit-ChA»PRC1RV</v></cell><cell r="AH3975"><v>224106075</v></cell><cell r="AI3975" t="str"><v>AzurePlatform_FreeAcctRetargetingFB-Credit-ChA_USA_1200x628_CAN_PLATFORM_English_Free Account_Standard_NA_SINU_T1_2</v></cell><cell r="AJ3975"><v>103034917</v></cell></row><row r="3976"><cell r="C3976" t="str"><v>43309FACEBOOK»USA-Trial-ITD-Retargeting-AZR-AZR»1 x 1»SocialBan»LIA»ALL»CPA»RT»X»NA»SS»NA»FreeAcctRetargetingFB-GlobalAlt-ChB»PRC1RW</v></cell><cell r="D3976" t="str"><v>43309223862756</v></cell><cell r="E3976" t="str"><v>43309103180592PRC1RW</v></cell><cell r="F3976" t="str"><v>DCM</v></cell><cell r="G3976" t="str"><v>https://azure.microsoft.com/en-us/free/search/?OCID=AID%eexcid!_OLA_%ebuy!_%epid!_%ecid!</v></cell></row><row r="3976"><cell r="K3976" t="str"><v>July</v></cell><cell r="L3976"><v>43309</v></cell><cell r="M3976" t="str"><v>Tier 0</v></cell><cell r="N3976" t="str"><v>North America</v></cell><cell r="O3976" t="str"><v>United States</v></cell><cell r="P3976" t="str"><v>Trial</v></cell><cell r="Q3976" t="str"><v>Social</v></cell><cell r="R3976" t="str"><v>Azure</v></cell><cell r="S3976" t="str"><v>Apps & Infra</v></cell><cell r="T3976" t="str"><v>Developers & ITI's</v></cell><cell r="U3976" t="str"><v>USA-Trial-ITD-Retargeting-AZR-AZR</v></cell><cell r="V3976" t="str"><v>Retargeting</v></cell><cell r="W3976" t="str"><v>Link Ad</v></cell><cell r="X3976" t="str"><v>1x1</v></cell></row><row r="3976"><cell r="AA3976"><v>43309</v></cell><cell r="AB3976" t="str"><v>USA_gaPMG_AZR_AZR_Q1_19_Direct-Social</v></cell><cell r="AC3976"><v>21358715</v></cell><cell r="AD3976"><v>720197</v></cell><cell r="AE3976" t="str"><v>Facebook</v></cell><cell r="AF3976"><v>3654128</v></cell><cell r="AG3976" t="str"><v>FACEBOOK»USA-Trial-ITD-Retargeting-AZR-AZR»1 x 1»SocialBan»LIA»ALL»CPA»RT»X»NA»SS»NA»FreeAcctRetargetingFB-GlobalAlt-ChB»PRC1RW</v></cell><cell r="AH3976"><v>223862756</v></cell><cell r="AI3976" t="str"><v>AzurePlatform_FreeAcctRetargetingFB-GlobalAlt-ChB_USA_1200x628_CAN_PLATFORM_English_Free Account_Standard_NA_SINU_T2_1</v></cell><cell r="AJ3976"><v>103180592</v></cell></row><row r="3977"><cell r="C3977" t="str"><v>43309FACEBOOK»USA-Trial-ITD-Retargeting-AZR-AZR»1 x 1»SocialBan»LIA»ALL»CPA»RT»X»NA»SS»NA»FreeAcctRetargetingVMFB-750Hrs-ChD»PRC1RY</v></cell><cell r="D3977" t="str"><v>43309223862747</v></cell><cell r="E3977" t="str"><v>43309103034911PRC1RY</v></cell><cell r="F3977" t="str"><v>DCM</v></cell><cell r="G3977" t="str"><v>https://azure.microsoft.com/en-us/free/virtual-machines/search/?OCID=AID%eexcid!_OLA_%ebuy!_%epid!_%ecid!</v></cell></row><row r="3977"><cell r="K3977" t="str"><v>July</v></cell><cell r="L3977"><v>43309</v></cell><cell r="M3977" t="str"><v>Tier 0</v></cell><cell r="N3977" t="str"><v>North America</v></cell><cell r="O3977" t="str"><v>United States</v></cell><cell r="P3977" t="str"><v>Trial</v></cell><cell r="Q3977" t="str"><v>Social</v></cell><cell r="R3977" t="str"><v>Azure</v></cell><cell r="S3977" t="str"><v>Apps & Infra</v></cell><cell r="T3977" t="str"><v>Developers & ITI's</v></cell><cell r="U3977" t="str"><v>USA-Trial-ITD-Retargeting-AZR-AZR</v></cell><cell r="V3977" t="str"><v>Retargeting</v></cell><cell r="W3977" t="str"><v>Link Ad</v></cell><cell r="X3977" t="str"><v>1x1</v></cell></row><row r="3977"><cell r="AA3977"><v>43309</v></cell><cell r="AB3977" t="str"><v>USA_gaPMG_AZR_AZR_Q1_19_Direct-Social</v></cell><cell r="AC3977"><v>21358715</v></cell><cell r="AD3977"><v>720197</v></cell><cell r="AE3977" t="str"><v>Facebook</v></cell><cell r="AF3977"><v>3654128</v></cell><cell r="AG3977" t="str"><v>FACEBOOK»USA-Trial-ITD-Retargeting-AZR-AZR»1 x 1»SocialBan»LIA»ALL»CPA»RT»X»NA»SS»NA»FreeAcctRetargetingVMFB-750Hrs-ChD»PRC1RY</v></cell><cell r="AH3977"><v>223862747</v></cell><cell r="AI3977" t="str"><v>AzurePlatform_FreeAcctRetargetingVMFB-750Hrs-ChD_USA_1200x628_CAN_PLATFORM_English_Free Account_Standard_NA_SINU_T1_1</v></cell><cell r="AJ3977"><v>103034911</v></cell></row><row r="3978"><cell r="C3978" t="str"><v>43309FACEBOOK»USA-Trial-ITD-Retargeting-AZR-AZR»1 x 1»SocialBan»LIA»ALL»CPA»RT»X»NA»SS»NA»FreeAcctRetargetingVMFB-OnDemand-ChE»PRC1S0</v></cell><cell r="D3978" t="str"><v>43309224104899</v></cell><cell r="E3978" t="str"><v>43309103180610PRC1S0</v></cell><cell r="F3978" t="str"><v>DCM</v></cell><cell r="G3978" t="str"><v>https://azure.microsoft.com/en-us/free/virtual-machines/search/?OCID=AID%eexcid!_OLA_%ebuy!_%epid!_%ecid!</v></cell></row><row r="3978"><cell r="K3978" t="str"><v>July</v></cell><cell r="L3978"><v>43309</v></cell><cell r="M3978" t="str"><v>Tier 0</v></cell><cell r="N3978" t="str"><v>North America</v></cell><cell r="O3978" t="str"><v>United States</v></cell><cell r="P3978" t="str"><v>Trial</v></cell><cell r="Q3978" t="str"><v>Social</v></cell><cell r="R3978" t="str"><v>Azure</v></cell><cell r="S3978" t="str"><v>Apps & Infra</v></cell><cell r="T3978" t="str"><v>Developers & ITI's</v></cell><cell r="U3978" t="str"><v>USA-Trial-ITD-Retargeting-AZR-AZR</v></cell><cell r="V3978" t="str"><v>Retargeting</v></cell><cell r="W3978" t="str"><v>Link Ad</v></cell><cell r="X3978" t="str"><v>1x1</v></cell></row><row r="3978"><cell r="AA3978"><v>43309</v></cell><cell r="AB3978" t="str"><v>USA_gaPMG_AZR_AZR_Q1_19_Direct-Social</v></cell><cell r="AC3978"><v>21358715</v></cell><cell r="AD3978"><v>720197</v></cell><cell r="AE3978" t="str"><v>Facebook</v></cell><cell r="AF3978"><v>3654128</v></cell><cell r="AG3978" t="str"><v>FACEBOOK»USA-Trial-ITD-Retargeting-AZR-AZR»1 x 1»SocialBan»LIA»ALL»CPA»RT»X»NA»SS»NA»FreeAcctRetargetingVMFB-OnDemand-ChE»PRC1S0</v></cell><cell r="AH3978"><v>224104899</v></cell><cell r="AI3978" t="str"><v>AzurePlatform_FreeAcctRetargetingVMFB-OnDemand-ChE_USA_1200x628_CAN_PLATFORM_English_Free Account_Standard_NA_SINU_T2_1</v></cell><cell r="AJ3978"><v>103180610</v></cell></row><row r="3979"><cell r="C3979" t="str"><v>43309FACEBOOK»USA-Trial-ITD-Retargeting-AZR-AZR»1 x 1»SocialBan»CAN»ALL»CPA»RT»X»NA»SS»NA»FBCTCBenefit2inMotion»PRC1RR</v></cell><cell r="D3979" t="str"><v>43309224104896</v></cell><cell r="E3979" t="str"><v>43309103043835PRC1RR</v></cell><cell r="F3979" t="str"><v>DCM</v></cell><cell r="G3979" t="str"><v>https://signup.azure.com/?OCID=AID%eexcid!_OLA_%ebuy!_%epid!_%ecid!</v></cell></row><row r="3979"><cell r="K3979" t="str"><v>July</v></cell><cell r="L3979"><v>43309</v></cell><cell r="M3979" t="str"><v>Tier 0</v></cell><cell r="N3979" t="str"><v>North America</v></cell><cell r="O3979" t="str"><v>United States</v></cell><cell r="P3979" t="str"><v>Trial</v></cell><cell r="Q3979" t="str"><v>Social</v></cell><cell r="R3979" t="str"><v>Azure</v></cell><cell r="S3979" t="str"><v>Apps & Infra</v></cell><cell r="T3979" t="str"><v>Developers & ITI's</v></cell><cell r="U3979" t="str"><v>USA-Trial-ITD-Retargeting-AZR-AZR</v></cell><cell r="V3979" t="str"><v>Retargeting</v></cell><cell r="W3979" t="str"><v>Canvas Ad</v></cell><cell r="X3979" t="str"><v>1x1</v></cell></row><row r="3979"><cell r="AA3979"><v>43309</v></cell><cell r="AB3979" t="str"><v>USA_gaPMG_AZR_AZR_Q1_19_Direct-Social</v></cell><cell r="AC3979"><v>21358715</v></cell><cell r="AD3979"><v>720197</v></cell><cell r="AE3979" t="str"><v>Facebook</v></cell><cell r="AF3979"><v>3654128</v></cell><cell r="AG3979" t="str"><v>FACEBOOK»USA-Trial-ITD-Retargeting-AZR-AZR»1 x 1»SocialBan»CAN»ALL»CPA»RT»X»NA»SS»NA»FBCTCBenefit2inMotion»PRC1RR</v></cell><cell r="AH3979"><v>224104896</v></cell><cell r="AI3979" t="str"><v>AzurePlatform_FBCTCBenefit2inMotion_USA_10s_CAN_PLATFORM_English_Trial_Standard_STAN_TIN_T4_1</v></cell><cell r="AJ3979"><v>103043835</v></cell></row><row r="3980"><cell r="C3980" t="str"><v>43309FACEBOOK»USA-Trial-ITD-Retargeting-AZR-AZR»1 x 1»SocialBan»CAN»ALL»CPA»RT»X»NA»SS»NA»FBCTCBenefit2inMotion»PRC1RR</v></cell><cell r="D3980" t="str"><v>43309224104896</v></cell><cell r="E3980" t="str"><v>43309103178645PRC1RR</v></cell><cell r="F3980" t="str"><v>DCM</v></cell><cell r="G3980" t="str"><v>https://azure.microsoft.com/en-us/pricing/purchase-options/?v=18.19&OCID=AID%eexcid!_OLA_%ebuy!_%epid!_%ecid!</v></cell></row><row r="3980"><cell r="K3980" t="str"><v>July</v></cell><cell r="L3980"><v>43309</v></cell><cell r="M3980" t="str"><v>Tier 0</v></cell><cell r="N3980" t="str"><v>North America</v></cell><cell r="O3980" t="str"><v>United States</v></cell><cell r="P3980" t="str"><v>Trial</v></cell><cell r="Q3980" t="str"><v>Social</v></cell><cell r="R3980" t="str"><v>Azure</v></cell><cell r="S3980" t="str"><v>Apps & Infra</v></cell><cell r="T3980" t="str"><v>Developers & ITI's</v></cell><cell r="U3980" t="str"><v>USA-Trial-ITD-Retargeting-AZR-AZR</v></cell><cell r="V3980" t="str"><v>Retargeting</v></cell><cell r="W3980" t="str"><v>Canvas Ad</v></cell><cell r="X3980" t="str"><v>1x1</v></cell></row><row r="3980"><cell r="AA3980"><v>43309</v></cell><cell r="AB3980" t="str"><v>USA_gaPMG_AZR_AZR_Q1_19_Direct-Social</v></cell><cell r="AC3980"><v>21358715</v></cell><cell r="AD3980"><v>720197</v></cell><cell r="AE3980" t="str"><v>Facebook</v></cell><cell r="AF3980"><v>3654128</v></cell><cell r="AG3980" t="str"><v>FACEBOOK»USA-Trial-ITD-Retargeting-AZR-AZR»1 x 1»SocialBan»CAN»ALL»CPA»RT»X»NA»SS»NA»FBCTCBenefit2inMotion»PRC1RR</v></cell><cell r="AH3980"><v>224104896</v></cell><cell r="AI3980" t="str"><v>AzurePlatform_FBCTCBenefit2inMotion_USA_10s_CAN_PLATFORM_English_Trial_Standard_STAN_TIN_T4_2</v></cell><cell r="AJ3980"><v>103178645</v></cell></row><row r="3981"><cell r="C3981" t="str"><v>43309FACEBOOK»USA-Trial-ITD-Retargeting-AZR-AZR»1 x 1»SocialBan»CAN»ALL»CPA»RT»X»NA»SS»NA»FBCTCBrandinMotion»PRC1RT</v></cell><cell r="D3981" t="str"><v>43309224106069</v></cell><cell r="E3981" t="str"><v>43309103176812PRC1RT</v></cell><cell r="F3981" t="str"><v>DCM</v></cell><cell r="G3981" t="str"><v>https://signup.azure.com/?OCID=AID%eexcid!_OLA_%ebuy!_%epid!_%ecid!</v></cell></row><row r="3981"><cell r="K3981" t="str"><v>July</v></cell><cell r="L3981"><v>43309</v></cell><cell r="M3981" t="str"><v>Tier 0</v></cell><cell r="N3981" t="str"><v>North America</v></cell><cell r="O3981" t="str"><v>United States</v></cell><cell r="P3981" t="str"><v>Trial</v></cell><cell r="Q3981" t="str"><v>Social</v></cell><cell r="R3981" t="str"><v>Azure</v></cell><cell r="S3981" t="str"><v>Apps & Infra</v></cell><cell r="T3981" t="str"><v>Developers & ITI's</v></cell><cell r="U3981" t="str"><v>USA-Trial-ITD-Retargeting-AZR-AZR</v></cell><cell r="V3981" t="str"><v>Retargeting</v></cell><cell r="W3981" t="str"><v>Canvas Ad</v></cell><cell r="X3981" t="str"><v>1x1</v></cell></row><row r="3981"><cell r="AA3981"><v>43309</v></cell><cell r="AB3981" t="str"><v>USA_gaPMG_AZR_AZR_Q1_19_Direct-Social</v></cell><cell r="AC3981"><v>21358715</v></cell><cell r="AD3981"><v>720197</v></cell><cell r="AE3981" t="str"><v>Facebook</v></cell><cell r="AF3981"><v>3654128</v></cell><cell r="AG3981" t="str"><v>FACEBOOK»USA-Trial-ITD-Retargeting-AZR-AZR»1 x 1»SocialBan»CAN»ALL»CPA»RT»X»NA»SS»NA»FBCTCBrandinMotion»PRC1RT</v></cell><cell r="AH3981"><v>224106069</v></cell><cell r="AI3981" t="str"><v>AzurePlatform_FBCTCBrandinMotion_USA_10s_CAN_PLATFORM_English_Trial_Standard_STAN_TIN_T2_1</v></cell><cell r="AJ3981"><v>103176812</v></cell></row><row r="3982"><cell r="C3982" t="str"><v>43309FACEBOOK»USA-Trial-ITD-Trial Lookalike-AZR-AZR»1 x 1»SocialBan»CAN»ALL»CPA»LAL»X»NA»SS»NA»FBCTCBenefit2inMotion»PRC1M0</v></cell><cell r="D3982" t="str"><v>43309223862927</v></cell><cell r="E3982" t="str"><v>43309103043835PRC1M0</v></cell><cell r="F3982" t="str"><v>DCM</v></cell><cell r="G3982" t="str"><v>https://signup.azure.com/?OCID=AID%eexcid!_OLA_%ebuy!_%epid!_%ecid!</v></cell></row><row r="3982"><cell r="K3982" t="str"><v>July</v></cell><cell r="L3982"><v>43309</v></cell><cell r="M3982" t="str"><v>Tier 0</v></cell><cell r="N3982" t="str"><v>North America</v></cell><cell r="O3982" t="str"><v>United States</v></cell><cell r="P3982" t="str"><v>Trial</v></cell><cell r="Q3982" t="str"><v>Social</v></cell><cell r="R3982" t="str"><v>Azure</v></cell><cell r="S3982" t="str"><v>Apps & Infra</v></cell><cell r="T3982" t="str"><v>Developers & ITI's</v></cell><cell r="U3982" t="str"><v>USA-Trial-ITD-Trial Lookalike-AZR-AZR</v></cell><cell r="V3982" t="str"><v>Lookalike Targeting</v></cell><cell r="W3982" t="str"><v>Canvas Ad</v></cell><cell r="X3982" t="str"><v>1x1</v></cell></row><row r="3982"><cell r="AA3982"><v>43309</v></cell><cell r="AB3982" t="str"><v>USA_gaPMG_AZR_AZR_Q1_19_Direct-Social</v></cell><cell r="AC3982"><v>21358715</v></cell><cell r="AD3982"><v>720197</v></cell><cell r="AE3982" t="str"><v>Facebook</v></cell><cell r="AF3982"><v>3654128</v></cell><cell r="AG3982" t="str"><v>FACEBOOK»USA-Trial-ITD-Trial Lookalike-AZR-AZR»1 x 1»SocialBan»CAN»ALL»CPA»LAL»X»NA»SS»NA»FBCTCBenefit2inMotion»PRC1M0</v></cell><cell r="AH3982"><v>223862927</v></cell><cell r="AI3982" t="str"><v>AzurePlatform_FBCTCBenefit2inMotion_USA_10s_CAN_PLATFORM_English_Trial_Standard_STAN_TIN_T4_1</v></cell><cell r="AJ3982"><v>103043835</v></cell></row><row r="3983"><cell r="C3983" t="str"><v>43309FACEBOOK»USA-Trial-ITD-Trial Lookalike-AZR-AZR»1 x 1»SocialBan»CAN»ALL»CPA»LAL»X»NA»SS»NA»FBCTCBenefit2inMotion»PRC1M0</v></cell><cell r="D3983" t="str"><v>43309223862927</v></cell><cell r="E3983" t="str"><v>43309103178645PRC1M0</v></cell><cell r="F3983" t="str"><v>DCM</v></cell><cell r="G3983" t="str"><v>https://azure.microsoft.com/en-us/pricing/purchase-options/?v=18.19&OCID=AID%eexcid!_OLA_%ebuy!_%epid!_%ecid!</v></cell></row><row r="3983"><cell r="K3983" t="str"><v>July</v></cell><cell r="L3983"><v>43309</v></cell><cell r="M3983" t="str"><v>Tier 0</v></cell><cell r="N3983" t="str"><v>North America</v></cell><cell r="O3983" t="str"><v>United States</v></cell><cell r="P3983" t="str"><v>Trial</v></cell><cell r="Q3983" t="str"><v>Social</v></cell><cell r="R3983" t="str"><v>Azure</v></cell><cell r="S3983" t="str"><v>Apps & Infra</v></cell><cell r="T3983" t="str"><v>Developers & ITI's</v></cell><cell r="U3983" t="str"><v>USA-Trial-ITD-Trial Lookalike-AZR-AZR</v></cell><cell r="V3983" t="str"><v>Lookalike Targeting</v></cell><cell r="W3983" t="str"><v>Canvas Ad</v></cell><cell r="X3983" t="str"><v>1x1</v></cell></row><row r="3983"><cell r="AA3983"><v>43309</v></cell><cell r="AB3983" t="str"><v>USA_gaPMG_AZR_AZR_Q1_19_Direct-Social</v></cell><cell r="AC3983"><v>21358715</v></cell><cell r="AD3983"><v>720197</v></cell><cell r="AE3983" t="str"><v>Facebook</v></cell><cell r="AF3983"><v>3654128</v></cell><cell r="AG3983" t="str"><v>FACEBOOK»USA-Trial-ITD-Trial Lookalike-AZR-AZR»1 x 1»SocialBan»CAN»ALL»CPA»LAL»X»NA»SS»NA»FBCTCBenefit2inMotion»PRC1M0</v></cell><cell r="AH3983"><v>223862927</v></cell><cell r="AI3983" t="str"><v>AzurePlatform_FBCTCBenefit2inMotion_USA_10s_CAN_PLATFORM_English_Trial_Standard_STAN_TIN_T4_2</v></cell><cell r="AJ3983"><v>103178645</v></cell></row><row r="3984"><cell r="C3984" t="str"><v>43309FACEBOOK»USA-Trial-ITD-Trial Lookalike-AZR-AZR»1 x 1»SocialBan»LIA»ALL»CPA»LAL»X»NA»SS»NA»FreeAcctDeveloperFB-AnimatedAI-Ch3»PRC1M7</v></cell><cell r="D3984" t="str"><v>43309223934104</v></cell><cell r="E3984" t="str"><v>43309103032778PRC1M7</v></cell><cell r="F3984" t="str"><v>DCM</v></cell></row><row r="3984"><cell r="K3984" t="str"><v>July</v></cell><cell r="L3984"><v>43309</v></cell><cell r="M3984" t="str"><v>Tier 0</v></cell><cell r="N3984" t="str"><v>North America</v></cell><cell r="O3984" t="str"><v>United States</v></cell><cell r="P3984" t="str"><v>Trial</v></cell><cell r="Q3984" t="str"><v>Social</v></cell><cell r="R3984" t="str"><v>Azure</v></cell><cell r="S3984" t="str"><v>Apps & Infra</v></cell><cell r="T3984" t="str"><v>Developers & ITI's</v></cell><cell r="U3984" t="str"><v>USA-Trial-ITD-Trial Lookalike-AZR-AZR</v></cell><cell r="V3984" t="str"><v>Lookalike Targeting</v></cell><cell r="W3984" t="str"><v>Link Ad</v></cell><cell r="X3984" t="str"><v>1x1</v></cell></row><row r="3984"><cell r="AA3984"><v>43309</v></cell><cell r="AB3984" t="str"><v>USA_gaPMG_AZR_AZR_Q1_19_Direct-Social</v></cell><cell r="AC3984"><v>21358715</v></cell><cell r="AD3984"><v>720197</v></cell><cell r="AE3984" t="str"><v>Facebook</v></cell><cell r="AF3984"><v>3654128</v></cell><cell r="AG3984" t="str"><v>FACEBOOK»USA-Trial-ITD-Trial Lookalike-AZR-AZR»1 x 1»SocialBan»LIA»ALL»CPA»LAL»X»NA»SS»NA»FreeAcctDeveloperFB-AnimatedAI-Ch3»PRC1M7</v></cell><cell r="AH3984"><v>223934104</v></cell><cell r="AI3984" t="str"><v>AZR_FreeAcctDeveloperFB-AnimatedAI-Ch3_USA_1200x1200_CAN_Direct_English_Trial_Standard_ANI_LEA_T3_1</v></cell><cell r="AJ3984"><v>103032778</v></cell></row><row r="3985"><cell r="C3985" t="str"><v>43309FACEBOOK»USA-Trial-ITD-Trial Lookalike-AZR-AZR»1 x 1»SocialBan»LIA»ALL»CPA»LAL»X»NA»SS»NA»FreeAcctDeveloperFB-AnimatedData-Ch4»PRC1M8</v></cell><cell r="D3985" t="str"><v>43309223862933</v></cell><cell r="E3985" t="str"><v>43309103037935PRC1M8</v></cell><cell r="F3985" t="str"><v>DCM</v></cell></row><row r="3985"><cell r="K3985" t="str"><v>July</v></cell><cell r="L3985"><v>43309</v></cell><cell r="M3985" t="str"><v>Tier 0</v></cell><cell r="N3985" t="str"><v>North America</v></cell><cell r="O3985" t="str"><v>United States</v></cell><cell r="P3985" t="str"><v>Trial</v></cell><cell r="Q3985" t="str"><v>Social</v></cell><cell r="R3985" t="str"><v>Azure</v></cell><cell r="S3985" t="str"><v>Apps & Infra</v></cell><cell r="T3985" t="str"><v>Developers & ITI's</v></cell><cell r="U3985" t="str"><v>USA-Trial-ITD-Trial Lookalike-AZR-AZR</v></cell><cell r="V3985" t="str"><v>Lookalike Targeting</v></cell><cell r="W3985" t="str"><v>Link Ad</v></cell><cell r="X3985" t="str"><v>1x1</v></cell></row><row r="3985"><cell r="AA3985"><v>43309</v></cell><cell r="AB3985" t="str"><v>USA_gaPMG_AZR_AZR_Q1_19_Direct-Social</v></cell><cell r="AC3985"><v>21358715</v></cell><cell r="AD3985"><v>720197</v></cell><cell r="AE3985" t="str"><v>Facebook</v></cell><cell r="AF3985"><v>3654128</v></cell><cell r="AG3985" t="str"><v>FACEBOOK»USA-Trial-ITD-Trial Lookalike-AZR-AZR»1 x 1»SocialBan»LIA»ALL»CPA»LAL»X»NA»SS»NA»FreeAcctDeveloperFB-AnimatedData-Ch4»PRC1M8</v></cell><cell r="AH3985"><v>223862933</v></cell><cell r="AI3985" t="str"><v>AZR_FreeAcctDeveloperFB-AnimatedData-Ch4_USA_1200x1200_CAN_Direct_English_Trial_Standard_ANI_LEA_T4_2</v></cell><cell r="AJ3985"><v>103037935</v></cell></row><row r="3986"><cell r="C3986" t="str"><v>43309FACEBOOK»USA-Trial-ITD-Trial Lookalike-AZR-AZR»1 x 1»SocialBan»LIA»ALL»CPA»LAL»X»NA»SS»NA»FreeAcctITProFB-AnimatedHybrid-Ch2»PRC1MC</v></cell><cell r="D3986" t="str"><v>43309224104956</v></cell><cell r="E3986" t="str"><v>43309103180583PRC1MC</v></cell><cell r="F3986" t="str"><v>DCM</v></cell></row><row r="3986"><cell r="K3986" t="str"><v>July</v></cell><cell r="L3986"><v>43309</v></cell><cell r="M3986" t="str"><v>Tier 0</v></cell><cell r="N3986" t="str"><v>North America</v></cell><cell r="O3986" t="str"><v>United States</v></cell><cell r="P3986" t="str"><v>Trial</v></cell><cell r="Q3986" t="str"><v>Social</v></cell><cell r="R3986" t="str"><v>Azure</v></cell><cell r="S3986" t="str"><v>Apps & Infra</v></cell><cell r="T3986" t="str"><v>Developers & ITI's</v></cell><cell r="U3986" t="str"><v>USA-Trial-ITD-Trial Lookalike-AZR-AZR</v></cell><cell r="V3986" t="str"><v>Lookalike Targeting</v></cell><cell r="W3986" t="str"><v>Link Ad</v></cell><cell r="X3986" t="str"><v>1x1</v></cell></row><row r="3986"><cell r="AA3986"><v>43309</v></cell><cell r="AB3986" t="str"><v>USA_gaPMG_AZR_AZR_Q1_19_Direct-Social</v></cell><cell r="AC3986"><v>21358715</v></cell><cell r="AD3986"><v>720197</v></cell><cell r="AE3986" t="str"><v>Facebook</v></cell><cell r="AF3986"><v>3654128</v></cell><cell r="AG3986" t="str"><v>FACEBOOK»USA-Trial-ITD-Trial Lookalike-AZR-AZR»1 x 1»SocialBan»LIA»ALL»CPA»LAL»X»NA»SS»NA»FreeAcctITProFB-AnimatedHybrid-Ch2»PRC1MC</v></cell><cell r="AH3986"><v>224104956</v></cell><cell r="AI3986" t="str"><v>AZR_FreeAcctITProFB-AnimatedHybrid-Ch2_USA_1200x1200_CAN_Direct_English_Trial_Standard_ANI_LEA_T2_2</v></cell><cell r="AJ3986"><v>103180583</v></cell></row><row r="3987"><cell r="C3987" t="str"><v>43309FACEBOOK»USA-Trial-ITD-Trial Lookalike-AZR-AZR»1 x 1»SocialBan»CAN»ALL»CPA»LAL»X»NA»SS»NA»FBCTCBrandinMotion»PRC1M3</v></cell><cell r="D3987" t="str"><v>43309223862900</v></cell><cell r="E3987" t="str"><v>43309103176812PRC1M3</v></cell><cell r="F3987" t="str"><v>DCM</v></cell><cell r="G3987" t="str"><v>https://signup.azure.com/?OCID=AID%eexcid!_OLA_%ebuy!_%epid!_%ecid!</v></cell></row><row r="3987"><cell r="K3987" t="str"><v>July</v></cell><cell r="L3987"><v>43309</v></cell><cell r="M3987" t="str"><v>Tier 0</v></cell><cell r="N3987" t="str"><v>North America</v></cell><cell r="O3987" t="str"><v>United States</v></cell><cell r="P3987" t="str"><v>Trial</v></cell><cell r="Q3987" t="str"><v>Social</v></cell><cell r="R3987" t="str"><v>Azure</v></cell><cell r="S3987" t="str"><v>Apps & Infra</v></cell><cell r="T3987" t="str"><v>Developers & ITI's</v></cell><cell r="U3987" t="str"><v>USA-Trial-ITD-Trial Lookalike-AZR-AZR</v></cell><cell r="V3987" t="str"><v>Lookalike Targeting</v></cell><cell r="W3987" t="str"><v>Canvas Ad</v></cell><cell r="X3987" t="str"><v>1x1</v></cell></row><row r="3987"><cell r="AA3987"><v>43309</v></cell><cell r="AB3987" t="str"><v>USA_gaPMG_AZR_AZR_Q1_19_Direct-Social</v></cell><cell r="AC3987"><v>21358715</v></cell><cell r="AD3987"><v>720197</v></cell><cell r="AE3987" t="str"><v>Facebook</v></cell><cell r="AF3987"><v>3654128</v></cell><cell r="AG3987" t="str"><v>FACEBOOK»USA-Trial-ITD-Trial Lookalike-AZR-AZR»1 x 1»SocialBan»CAN»ALL»CPA»LAL»X»NA»SS»NA»FBCTCBrandinMotion»PRC1M3</v></cell><cell r="AH3987"><v>223862900</v></cell><cell r="AI3987" t="str"><v>AzurePlatform_FBCTCBrandinMotion_USA_10s_CAN_PLATFORM_English_Trial_Standard_STAN_TIN_T2_1</v></cell><cell r="AJ3987"><v>103176812</v></cell></row><row r="3988"><cell r="C3988" t="str"><v>43309FACEBOOK»USA-Trial-ITD-Trial Lookalike-AZR-AZR»1 x 1»SocialBan»CAN»ALL»CPA»LAL»X»NA»SS»NA»FBCTCBrandinMotion»PRC1M3</v></cell><cell r="D3988" t="str"><v>43309223862900</v></cell><cell r="E3988" t="str"><v>43309103032823PRC1M3</v></cell><cell r="F3988" t="str"><v>DCM</v></cell><cell r="G3988" t="str"><v>https://azure.microsoft.com/en-us/pricing/purchase-options/?v=18.19&OCID=AID%eexcid!_OLA_%ebuy!_%epid!_%ecid!</v></cell></row><row r="3988"><cell r="K3988" t="str"><v>July</v></cell><cell r="L3988"><v>43309</v></cell><cell r="M3988" t="str"><v>Tier 0</v></cell><cell r="N3988" t="str"><v>North America</v></cell><cell r="O3988" t="str"><v>United States</v></cell><cell r="P3988" t="str"><v>Trial</v></cell><cell r="Q3988" t="str"><v>Social</v></cell><cell r="R3988" t="str"><v>Azure</v></cell><cell r="S3988" t="str"><v>Apps & Infra</v></cell><cell r="T3988" t="str"><v>Developers & ITI's</v></cell><cell r="U3988" t="str"><v>USA-Trial-ITD-Trial Lookalike-AZR-AZR</v></cell><cell r="V3988" t="str"><v>Lookalike Targeting</v></cell><cell r="W3988" t="str"><v>Canvas Ad</v></cell><cell r="X3988" t="str"><v>1x1</v></cell></row><row r="3988"><cell r="AA3988"><v>43309</v></cell><cell r="AB3988" t="str"><v>USA_gaPMG_AZR_AZR_Q1_19_Direct-Social</v></cell><cell r="AC3988"><v>21358715</v></cell><cell r="AD3988"><v>720197</v></cell><cell r="AE3988" t="str"><v>Facebook</v></cell><cell r="AF3988"><v>3654128</v></cell><cell r="AG3988" t="str"><v>FACEBOOK»USA-Trial-ITD-Trial Lookalike-AZR-AZR»1 x 1»SocialBan»CAN»ALL»CPA»LAL»X»NA»SS»NA»FBCTCBrandinMotion»PRC1M3</v></cell><cell r="AH3988"><v>223862900</v></cell><cell r="AI3988" t="str"><v>AzurePlatform_FBCTCBrandinMotion_USA_10s_CAN_PLATFORM_English_Trial_Standard_STAN_TIN_T2_2</v></cell><cell r="AJ3988"><v>103032823</v></cell></row><row r="3989"><cell r="C3989" t="str"><v>43309FACEBOOK»USA-Trial-ITD-Trial PayGo Lookalike-AZR-AZR»1 x 1»SocialBan»CAN»ALL»CPA»LAL»X»NA»SS»NA»FBCTCBenefit2inMotion»PRC1Q1</v></cell><cell r="D3989" t="str"><v>43309224104986</v></cell><cell r="E3989" t="str"><v>43309103043835PRC1Q1</v></cell><cell r="F3989" t="str"><v>DCM</v></cell><cell r="G3989" t="str"><v>https://signup.azure.com/?OCID=AID%eexcid!_OLA_%ebuy!_%epid!_%ecid!</v></cell></row><row r="3989"><cell r="K3989" t="str"><v>July</v></cell><cell r="L3989"><v>43309</v></cell><cell r="M3989" t="str"><v>Tier 0</v></cell><cell r="N3989" t="str"><v>North America</v></cell><cell r="O3989" t="str"><v>United States</v></cell><cell r="P3989" t="str"><v>Trial</v></cell><cell r="Q3989" t="str"><v>Social</v></cell><cell r="R3989" t="str"><v>Azure</v></cell><cell r="S3989" t="str"><v>Apps & Infra</v></cell><cell r="T3989" t="str"><v>Developers & ITI's</v></cell><cell r="U3989" t="str"><v>USA-Trial-ITD-Trial PayGo Lookalike-AZR-AZR</v></cell><cell r="V3989" t="str"><v>Lookalike Targeting</v></cell><cell r="W3989" t="str"><v>Canvas Ad</v></cell><cell r="X3989" t="str"><v>1x1</v></cell></row><row r="3989"><cell r="AA3989"><v>43309</v></cell><cell r="AB3989" t="str"><v>USA_gaPMG_AZR_AZR_Q1_19_Direct-Social</v></cell><cell r="AC3989"><v>21358715</v></cell><cell r="AD3989"><v>720197</v></cell><cell r="AE3989" t="str"><v>Facebook</v></cell><cell r="AF3989"><v>3654128</v></cell><cell r="AG3989" t="str"><v>FACEBOOK»USA-Trial-ITD-Trial PayGo Lookalike-AZR-AZR»1 x 1»SocialBan»CAN»ALL»CPA»LAL»X»NA»SS»NA»FBCTCBenefit2inMotion»PRC1Q1</v></cell><cell r="AH3989"><v>224104986</v></cell><cell r="AI3989" t="str"><v>AzurePlatform_FBCTCBenefit2inMotion_USA_10s_CAN_PLATFORM_English_Trial_Standard_STAN_TIN_T4_1</v></cell><cell r="AJ3989"><v>103043835</v></cell></row><row r="3990"><cell r="C3990" t="str"><v>43309FACEBOOK»USA-Trial-ITD-Trial PayGo Lookalike-AZR-AZR»1 x 1»SocialBan»CAN»ALL»CPA»LAL»X»NA»SS»NA»FBCTCBenefit2inMotion»PRC1Q1</v></cell><cell r="D3990" t="str"><v>43309224104986</v></cell><cell r="E3990" t="str"><v>43309103178645PRC1Q1</v></cell><cell r="F3990" t="str"><v>DCM</v></cell><cell r="G3990" t="str"><v>https://azure.microsoft.com/en-us/pricing/purchase-options/?v=18.19&OCID=AID%eexcid!_OLA_%ebuy!_%epid!_%ecid!</v></cell></row><row r="3990"><cell r="K3990" t="str"><v>July</v></cell><cell r="L3990"><v>43309</v></cell><cell r="M3990" t="str"><v>Tier 0</v></cell><cell r="N3990" t="str"><v>North America</v></cell><cell r="O3990" t="str"><v>United States</v></cell><cell r="P3990" t="str"><v>Trial</v></cell><cell r="Q3990" t="str"><v>Social</v></cell><cell r="R3990" t="str"><v>Azure</v></cell><cell r="S3990" t="str"><v>Apps & Infra</v></cell><cell r="T3990" t="str"><v>Developers & ITI's</v></cell><cell r="U3990" t="str"><v>USA-Trial-ITD-Trial PayGo Lookalike-AZR-AZR</v></cell><cell r="V3990" t="str"><v>Lookalike Targeting</v></cell><cell r="W3990" t="str"><v>Canvas Ad</v></cell><cell r="X3990" t="str"><v>1x1</v></cell></row><row r="3990"><cell r="AA3990"><v>43309</v></cell><cell r="AB3990" t="str"><v>USA_gaPMG_AZR_AZR_Q1_19_Direct-Social</v></cell><cell r="AC3990"><v>21358715</v></cell><cell r="AD3990"><v>720197</v></cell><cell r="AE3990" t="str"><v>Facebook</v></cell><cell r="AF3990"><v>3654128</v></cell><cell r="AG3990" t="str"><v>FACEBOOK»USA-Trial-ITD-Trial PayGo Lookalike-AZR-AZR»1 x 1»SocialBan»CAN»ALL»CPA»LAL»X»NA»SS»NA»FBCTCBenefit2inMotion»PRC1Q1</v></cell><cell r="AH3990"><v>224104986</v></cell><cell r="AI3990" t="str"><v>AzurePlatform_FBCTCBenefit2inMotion_USA_10s_CAN_PLATFORM_English_Trial_Standard_STAN_TIN_T4_2</v></cell><cell r="AJ3990"><v>103178645</v></cell></row><row r="3991"><cell r="C3991" t="str"><v>43309FACEBOOK»USA-Trial-ITD-Trial PayGo Lookalike-AZR-AZR»1 x 1»SocialBan»CAN»ALL»CPA»LAL»X»NA»SS»NA»FBCTCBrandinMotion»PRC1Q3</v></cell><cell r="D3991" t="str"><v>43309223935349</v></cell><cell r="E3991" t="str"><v>43309103176812PRC1Q3</v></cell><cell r="F3991" t="str"><v>DCM</v></cell><cell r="G3991" t="str"><v>https://signup.azure.com/?OCID=AID%eexcid!_OLA_%ebuy!_%epid!_%ecid!</v></cell></row><row r="3991"><cell r="K3991" t="str"><v>July</v></cell><cell r="L3991"><v>43309</v></cell><cell r="M3991" t="str"><v>Tier 0</v></cell><cell r="N3991" t="str"><v>North America</v></cell><cell r="O3991" t="str"><v>United States</v></cell><cell r="P3991" t="str"><v>Trial</v></cell><cell r="Q3991" t="str"><v>Social</v></cell><cell r="R3991" t="str"><v>Azure</v></cell><cell r="S3991" t="str"><v>Apps & Infra</v></cell><cell r="T3991" t="str"><v>Developers & ITI's</v></cell><cell r="U3991" t="str"><v>USA-Trial-ITD-Trial PayGo Lookalike-AZR-AZR</v></cell><cell r="V3991" t="str"><v>Lookalike Targeting</v></cell><cell r="W3991" t="str"><v>Canvas Ad</v></cell><cell r="X3991" t="str"><v>1x1</v></cell></row><row r="3991"><cell r="AA3991"><v>43309</v></cell><cell r="AB3991" t="str"><v>USA_gaPMG_AZR_AZR_Q1_19_Direct-Social</v></cell><cell r="AC3991"><v>21358715</v></cell><cell r="AD3991"><v>720197</v></cell><cell r="AE3991" t="str"><v>Facebook</v></cell><cell r="AF3991"><v>3654128</v></cell><cell r="AG3991" t="str"><v>FACEBOOK»USA-Trial-ITD-Trial PayGo Lookalike-AZR-AZR»1 x 1»SocialBan»CAN»ALL»CPA»LAL»X»NA»SS»NA»FBCTCBrandinMotion»PRC1Q3</v></cell><cell r="AH3991"><v>223935349</v></cell><cell r="AI3991" t="str"><v>AzurePlatform_FBCTCBrandinMotion_USA_10s_CAN_PLATFORM_English_Trial_Standard_STAN_TIN_T2_1</v></cell><cell r="AJ3991"><v>103176812</v></cell></row><row r="3992"><cell r="C3992" t="str"><v>43309FACEBOOK»USA-Trial-ITD-Trial PayGo Lookalike-AZR-AZR»1 x 1»SocialBan»LIA»ALL»CPA»LAL»X»NA»SS»NA»FreeAcctDeveloperFB-AnimatedGeneric-Ch1»PRC1Q6</v></cell><cell r="D3992" t="str"><v>43309224106129</v></cell><cell r="E3992" t="str"><v>43309103176851PRC1Q6</v></cell><cell r="F3992" t="str"><v>DCM</v></cell><cell r="G3992" t="str"><v>https://azure.microsoft.com/en-us/free/search/?OCID=AID%eexcid!_OLA_%ebuy!_%epid!_%ecid!</v></cell></row><row r="3992"><cell r="K3992" t="str"><v>July</v></cell><cell r="L3992"><v>43309</v></cell><cell r="M3992" t="str"><v>Tier 0</v></cell><cell r="N3992" t="str"><v>North America</v></cell><cell r="O3992" t="str"><v>United States</v></cell><cell r="P3992" t="str"><v>Trial</v></cell><cell r="Q3992" t="str"><v>Social</v></cell><cell r="R3992" t="str"><v>Azure</v></cell><cell r="S3992" t="str"><v>Apps & Infra</v></cell><cell r="T3992" t="str"><v>Developers & ITI's</v></cell><cell r="U3992" t="str"><v>USA-Trial-ITD-Trial PayGo Lookalike-AZR-AZR</v></cell><cell r="V3992" t="str"><v>Lookalike Targeting</v></cell><cell r="W3992" t="str"><v>Link Ad</v></cell><cell r="X3992" t="str"><v>1x1</v></cell></row><row r="3992"><cell r="AA3992"><v>43309</v></cell><cell r="AB3992" t="str"><v>USA_gaPMG_AZR_AZR_Q1_19_Direct-Social</v></cell><cell r="AC3992"><v>21358715</v></cell><cell r="AD3992"><v>720197</v></cell><cell r="AE3992" t="str"><v>Facebook</v></cell><cell r="AF3992"><v>3654128</v></cell><cell r="AG3992" t="str"><v>FACEBOOK»USA-Trial-ITD-Trial PayGo Lookalike-AZR-AZR»1 x 1»SocialBan»LIA»ALL»CPA»LAL»X»NA»SS»NA»FreeAcctDeveloperFB-AnimatedGeneric-Ch1»PRC1Q6</v></cell><cell r="AH3992"><v>224106129</v></cell><cell r="AI3992" t="str"><v>AZR_FreeAcctDeveloperFB-AnimatedGeneric-Ch1_USA_1200x1200_CAN_Direct_English_Trial_Standard_ANI_LEA_T1_2</v></cell><cell r="AJ3992"><v>103176851</v></cell></row><row r="3993"><cell r="C3993" t="str"><v>43309FACEBOOK»USA-Trial-ITD-Interest Prospecting-AZR-AZR»1 x 1»SocialBan»LIA»ALL»CPA»PRO»X»NA»SS»NA»FreeAcctDeveloperFB-AnimatedAI-Ch3»PRC1T2</v></cell><cell r="D3993" t="str"><v>43309223862765</v></cell><cell r="E3993" t="str"><v>43309103032778PRC1T2</v></cell><cell r="F3993" t="str"><v>DCM</v></cell></row><row r="3993"><cell r="K3993" t="str"><v>July</v></cell><cell r="L3993"><v>43309</v></cell><cell r="M3993" t="str"><v>Tier 0</v></cell><cell r="N3993" t="str"><v>North America</v></cell><cell r="O3993" t="str"><v>United States</v></cell><cell r="P3993" t="str"><v>Trial</v></cell><cell r="Q3993" t="str"><v>Social</v></cell><cell r="R3993" t="str"><v>Azure</v></cell><cell r="S3993" t="str"><v>Apps & Infra</v></cell><cell r="T3993" t="str"><v>Developers & ITI's</v></cell><cell r="U3993" t="str"><v>USA-Trial-ITD-Interest Prospecting-AZR-AZR</v></cell><cell r="V3993" t="str"><v>Prospecting</v></cell><cell r="W3993" t="str"><v>Link Ad</v></cell><cell r="X3993" t="str"><v>1x1</v></cell></row><row r="3993"><cell r="AA3993"><v>43309</v></cell><cell r="AB3993" t="str"><v>USA_gaPMG_AZR_AZR_Q1_19_Direct-Social</v></cell><cell r="AC3993"><v>21358715</v></cell><cell r="AD3993"><v>720197</v></cell><cell r="AE3993" t="str"><v>Facebook</v></cell><cell r="AF3993"><v>3654128</v></cell><cell r="AG3993" t="str"><v>FACEBOOK»USA-Trial-ITD-Interest Prospecting-AZR-AZR»1 x 1»SocialBan»LIA»ALL»CPA»PRO»X»NA»SS»NA»FreeAcctDeveloperFB-AnimatedAI-Ch3»PRC1T2</v></cell><cell r="AH3993"><v>223862765</v></cell><cell r="AI3993" t="str"><v>AZR_FreeAcctDeveloperFB-AnimatedAI-Ch3_USA_1200x1200_CAN_Direct_English_Trial_Standard_ANI_LEA_T3_1</v></cell><cell r="AJ3993"><v>103032778</v></cell></row><row r="3994"><cell r="C3994" t="str"><v>43309FACEBOOK»USA-Trial-ITD-Interest Prospecting-AZR-AZR»1 x 1»SocialBan»LIA»ALL»CPA»PRO»X»NA»SS»NA»FreeAcctDeveloperFB-AnimatedData-Ch4»PRC1T3</v></cell><cell r="D3994" t="str"><v>43309223863380</v></cell><cell r="E3994" t="str"><v>43309103037935PRC1T3</v></cell><cell r="F3994" t="str"><v>DCM</v></cell></row><row r="3994"><cell r="K3994" t="str"><v>July</v></cell><cell r="L3994"><v>43309</v></cell><cell r="M3994" t="str"><v>Tier 0</v></cell><cell r="N3994" t="str"><v>North America</v></cell><cell r="O3994" t="str"><v>United States</v></cell><cell r="P3994" t="str"><v>Trial</v></cell><cell r="Q3994" t="str"><v>Social</v></cell><cell r="R3994" t="str"><v>Azure</v></cell><cell r="S3994" t="str"><v>Apps & Infra</v></cell><cell r="T3994" t="str"><v>Developers & ITI's</v></cell><cell r="U3994" t="str"><v>USA-Trial-ITD-Interest Prospecting-AZR-AZR</v></cell><cell r="V3994" t="str"><v>Prospecting</v></cell><cell r="W3994" t="str"><v>Link Ad</v></cell><cell r="X3994" t="str"><v>1x1</v></cell></row><row r="3994"><cell r="AA3994"><v>43309</v></cell><cell r="AB3994" t="str"><v>USA_gaPMG_AZR_AZR_Q1_19_Direct-Social</v></cell><cell r="AC3994"><v>21358715</v></cell><cell r="AD3994"><v>720197</v></cell><cell r="AE3994" t="str"><v>Facebook</v></cell><cell r="AF3994"><v>3654128</v></cell><cell r="AG3994" t="str"><v>FACEBOOK»USA-Trial-ITD-Interest Prospecting-AZR-AZR»1 x 1»SocialBan»LIA»ALL»CPA»PRO»X»NA»SS»NA»FreeAcctDeveloperFB-AnimatedData-Ch4»PRC1T3</v></cell><cell r="AH3994"><v>223863380</v></cell><cell r="AI3994" t="str"><v>AZR_FreeAcctDeveloperFB-AnimatedData-Ch4_USA_1200x1200_CAN_Direct_English_Trial_Standard_ANI_LEA_T4_2</v></cell><cell r="AJ3994"><v>103037935</v></cell></row><row r="3995"><cell r="C3995" t="str"><v>43309FACEBOOK»USA-Trial-ITD-Interest Prospecting-AZR-AZR»1 x 1»SocialBan»LIA»ALL»CPA»PRO»X»NA»SS»NA»FreeAcctDeveloperFB-AnimatedOpenSource-Ch2»PRC1T1</v></cell><cell r="D3995" t="str"><v>43309223862885</v></cell><cell r="E3995" t="str"><v>43309103048329PRC1T1</v></cell><cell r="F3995" t="str"><v>DCM</v></cell><cell r="G3995" t="str"><v>https://azure.microsoft.com/en-us/free/open-source/search/?OCID=AID%eexcid!_OLA_%ebuy!_%epid!_%ecid!</v></cell></row><row r="3995"><cell r="K3995" t="str"><v>July</v></cell><cell r="L3995"><v>43309</v></cell><cell r="M3995" t="str"><v>Tier 0</v></cell><cell r="N3995" t="str"><v>North America</v></cell><cell r="O3995" t="str"><v>United States</v></cell><cell r="P3995" t="str"><v>Trial</v></cell><cell r="Q3995" t="str"><v>Social</v></cell><cell r="R3995" t="str"><v>Azure</v></cell><cell r="S3995" t="str"><v>Apps & Infra</v></cell><cell r="T3995" t="str"><v>Developers & ITI's</v></cell><cell r="U3995" t="str"><v>USA-Trial-ITD-Interest Prospecting-AZR-AZR</v></cell><cell r="V3995" t="str"><v>Prospecting</v></cell><cell r="W3995" t="str"><v>Link Ad</v></cell><cell r="X3995" t="str"><v>1x1</v></cell></row><row r="3995"><cell r="AA3995"><v>43309</v></cell><cell r="AB3995" t="str"><v>USA_gaPMG_AZR_AZR_Q1_19_Direct-Social</v></cell><cell r="AC3995"><v>21358715</v></cell><cell r="AD3995"><v>720197</v></cell><cell r="AE3995" t="str"><v>Facebook</v></cell><cell r="AF3995"><v>3654128</v></cell><cell r="AG3995" t="str"><v>FACEBOOK»USA-Trial-ITD-Interest Prospecting-AZR-AZR»1 x 1»SocialBan»LIA»ALL»CPA»PRO»X»NA»SS»NA»FreeAcctDeveloperFB-AnimatedOpenSource-Ch2»PRC1T1</v></cell><cell r="AH3995"><v>223862885</v></cell><cell r="AI3995" t="str"><v>AZR_FreeAcctDeveloperFB-AnimatedOpenSource-Ch2_USA_1200x1200_CAN_Direct_English_Trial_Standard_ANI_LEA_T2_1</v></cell><cell r="AJ3995"><v>103048329</v></cell></row><row r="3996"><cell r="C3996" t="str"><v>43309FACEBOOK»USA-Trial-ITD-Interest Prospecting-AZR-AZR»1 x 1»SocialBan»LIA»ALL»CPA»PRO»X»NA»SS»NA»FreeAcctITProFB-AnimatedMigration-Ch3»PRC1X2</v></cell><cell r="D3996" t="str"><v>43309224106954</v></cell><cell r="E3996" t="str"><v>43309103176827PRC1X2</v></cell><cell r="F3996" t="str"><v>DCM</v></cell></row><row r="3996"><cell r="K3996" t="str"><v>July</v></cell><cell r="L3996"><v>43309</v></cell><cell r="M3996" t="str"><v>Tier 0</v></cell><cell r="N3996" t="str"><v>North America</v></cell><cell r="O3996" t="str"><v>United States</v></cell><cell r="P3996" t="str"><v>Trial</v></cell><cell r="Q3996" t="str"><v>Social</v></cell><cell r="R3996" t="str"><v>Azure</v></cell><cell r="S3996" t="str"><v>Apps & Infra</v></cell><cell r="T3996" t="str"><v>Developers & ITI's</v></cell><cell r="U3996" t="str"><v>USA-Trial-ITD-Interest Prospecting-AZR-AZR</v></cell><cell r="V3996" t="str"><v>Prospecting</v></cell><cell r="W3996" t="str"><v>Link Ad</v></cell><cell r="X3996" t="str"><v>1x1</v></cell></row><row r="3996"><cell r="AA3996"><v>43309</v></cell><cell r="AB3996" t="str"><v>USA_gaPMG_AZR_AZR_Q1_19_Direct-Social</v></cell><cell r="AC3996"><v>21358715</v></cell><cell r="AD3996"><v>720197</v></cell><cell r="AE3996" t="str"><v>Facebook</v></cell><cell r="AF3996"><v>3654128</v></cell><cell r="AG3996" t="str"><v>FACEBOOK»USA-Trial-ITD-Interest Prospecting-AZR-AZR»1 x 1»SocialBan»LIA»ALL»CPA»PRO»X»NA»SS»NA»FreeAcctITProFB-AnimatedMigration-Ch3»PRC1X2</v></cell><cell r="AH3996"><v>224106954</v></cell><cell r="AI3996" t="str"><v>AZR_FreeAcctITProFB-AnimatedMigration-Ch3_USA_1200x1200_CAN_Direct_English_Trial_Standard_ANI_LEA_T3_1</v></cell><cell r="AJ3996"><v>103176827</v></cell></row><row r="3997"><cell r="C3997" t="str"><v>43309FACEBOOK»USA-Trial-ITD-Retargeting-AZR-AZR»1 x 1»SocialBan»LIA»ALL»CPA»RT»X»NA»SS»NA»FreeAcctDeveloperFB-AnimatedGeneric-Ch1»PRC26D</v></cell><cell r="D3997" t="str"><v>43309223862870</v></cell><cell r="E3997" t="str"><v>43309103176851PRC26D</v></cell><cell r="F3997" t="str"><v>DCM</v></cell><cell r="G3997" t="str"><v>https://azure.microsoft.com/en-us/free/search/?OCID=AID%eexcid!_OLA_%ebuy!_%epid!_%ecid!</v></cell></row><row r="3997"><cell r="K3997" t="str"><v>July</v></cell><cell r="L3997"><v>43309</v></cell><cell r="M3997" t="str"><v>Tier 0</v></cell><cell r="N3997" t="str"><v>North America</v></cell><cell r="O3997" t="str"><v>United States</v></cell><cell r="P3997" t="str"><v>Trial</v></cell><cell r="Q3997" t="str"><v>Social</v></cell><cell r="R3997" t="str"><v>Azure</v></cell><cell r="S3997" t="str"><v>Apps & Infra</v></cell><cell r="T3997" t="str"><v>Developers & ITI's</v></cell><cell r="U3997" t="str"><v>USA-Trial-ITD-Retargeting-AZR-AZR</v></cell><cell r="V3997" t="str"><v>Retargeting</v></cell><cell r="W3997" t="str"><v>Link Ad</v></cell><cell r="X3997" t="str"><v>1x1</v></cell></row><row r="3997"><cell r="AA3997"><v>43309</v></cell><cell r="AB3997" t="str"><v>USA_gaPMG_AZR_AZR_Q1_19_Direct-Social</v></cell><cell r="AC3997"><v>21358715</v></cell><cell r="AD3997"><v>720197</v></cell><cell r="AE3997" t="str"><v>Facebook</v></cell><cell r="AF3997"><v>3654128</v></cell><cell r="AG3997" t="str"><v>FACEBOOK»USA-Trial-ITD-Retargeting-AZR-AZR»1 x 1»SocialBan»LIA»ALL»CPA»RT»X»NA»SS»NA»FreeAcctDeveloperFB-AnimatedGeneric-Ch1»PRC26D</v></cell><cell r="AH3997"><v>223862870</v></cell><cell r="AI3997" t="str"><v>AZR_FreeAcctDeveloperFB-AnimatedGeneric-Ch1_USA_1200x1200_CAN_Direct_English_Trial_Standard_ANI_LEA_T1_2</v></cell><cell r="AJ3997"><v>103176851</v></cell></row><row r="3998"><cell r="C3998" t="str"><v>43309FACEBOOK»USA-Trial-ITD-Retargeting-AZR-AZR»1 x 1»SocialBan»LIA»ALL»CPA»RT»X»NA»SS»NA»FreeAcctRetargetingOSSFB-Logos-ChG»PRC1S2</v></cell><cell r="D3998" t="str"><v>43309224106063</v></cell><cell r="E3998" t="str"><v>43309103176008PRC1S2</v></cell><cell r="F3998" t="str"><v>DCM</v></cell><cell r="G3998" t="str"><v>https://azure.microsoft.com/en-us/free/open-source/search/?OCID=AID%eexcid!_OLA_%ebuy!_%epid!_%ecid!</v></cell></row><row r="3998"><cell r="K3998" t="str"><v>July</v></cell><cell r="L3998"><v>43309</v></cell><cell r="M3998" t="str"><v>Tier 0</v></cell><cell r="N3998" t="str"><v>North America</v></cell><cell r="O3998" t="str"><v>United States</v></cell><cell r="P3998" t="str"><v>Trial</v></cell><cell r="Q3998" t="str"><v>Social</v></cell><cell r="R3998" t="str"><v>Azure</v></cell><cell r="S3998" t="str"><v>Apps & Infra</v></cell><cell r="T3998" t="str"><v>Developers & ITI's</v></cell><cell r="U3998" t="str"><v>USA-Trial-ITD-Retargeting-AZR-AZR</v></cell><cell r="V3998" t="str"><v>Retargeting</v></cell><cell r="W3998" t="str"><v>Link Ad</v></cell><cell r="X3998" t="str"><v>1x1</v></cell></row><row r="3998"><cell r="AA3998"><v>43309</v></cell><cell r="AB3998" t="str"><v>USA_gaPMG_AZR_AZR_Q1_19_Direct-Social</v></cell><cell r="AC3998"><v>21358715</v></cell><cell r="AD3998"><v>720197</v></cell><cell r="AE3998" t="str"><v>Facebook</v></cell><cell r="AF3998"><v>3654128</v></cell><cell r="AG3998" t="str"><v>FACEBOOK»USA-Trial-ITD-Retargeting-AZR-AZR»1 x 1»SocialBan»LIA»ALL»CPA»RT»X»NA»SS»NA»FreeAcctRetargetingOSSFB-Logos-ChG»PRC1S2</v></cell><cell r="AH3998"><v>224106063</v></cell><cell r="AI3998" t="str"><v>AzurePlatform_FreeAcctRetargetingOSSFB-Logos-ChG_USA_1200x628_CAN_PLATFORM_English_Free Account_Standard_NA_SINU_T2_1</v></cell><cell r="AJ3998"><v>103176008</v></cell></row><row r="3999"><cell r="C3999" t="str"><v>43309FACEBOOK»USA-Trial-ITD-Retargeting-AZR-AZR»1 x 1»SocialBan»LIA»ALL»CPA»RT»X»NA»SS»NA»FreeAcctRetargetingOSSFB-Text-ChF»PRC1S1</v></cell><cell r="D3999" t="str"><v>43309223862753</v></cell><cell r="E3999" t="str"><v>43309103176869PRC1S1</v></cell><cell r="F3999" t="str"><v>DCM</v></cell><cell r="G3999" t="str"><v>https://azure.microsoft.com/en-us/free/open-source/search/?OCID=AID%eexcid!_OLA_%ebuy!_%epid!_%ecid!</v></cell></row><row r="3999"><cell r="K3999" t="str"><v>July</v></cell><cell r="L3999"><v>43309</v></cell><cell r="M3999" t="str"><v>Tier 0</v></cell><cell r="N3999" t="str"><v>North America</v></cell><cell r="O3999" t="str"><v>United States</v></cell><cell r="P3999" t="str"><v>Trial</v></cell><cell r="Q3999" t="str"><v>Social</v></cell><cell r="R3999" t="str"><v>Azure</v></cell><cell r="S3999" t="str"><v>Apps & Infra</v></cell><cell r="T3999" t="str"><v>Developers & ITI's</v></cell><cell r="U3999" t="str"><v>USA-Trial-ITD-Retargeting-AZR-AZR</v></cell><cell r="V3999" t="str"><v>Retargeting</v></cell><cell r="W3999" t="str"><v>Link Ad</v></cell><cell r="X3999" t="str"><v>1x1</v></cell></row><row r="3999"><cell r="AA3999"><v>43309</v></cell><cell r="AB3999" t="str"><v>USA_gaPMG_AZR_AZR_Q1_19_Direct-Social</v></cell><cell r="AC3999"><v>21358715</v></cell><cell r="AD3999"><v>720197</v></cell><cell r="AE3999" t="str"><v>Facebook</v></cell><cell r="AF3999"><v>3654128</v></cell><cell r="AG3999" t="str"><v>FACEBOOK»USA-Trial-ITD-Retargeting-AZR-AZR»1 x 1»SocialBan»LIA»ALL»CPA»RT»X»NA»SS»NA»FreeAcctRetargetingOSSFB-Text-ChF»PRC1S1</v></cell><cell r="AH3999"><v>223862753</v></cell><cell r="AI3999" t="str"><v>AzurePlatform_FreeAcctRetargetingOSSFB-Text-ChF_USA_1200x628_CAN_PLATFORM_English_Free Account_Standard_NA_SINU_T1_2</v></cell><cell r="AJ3999"><v>103176869</v></cell></row><row r="4000"><cell r="C4000" t="str"><v>43309FACEBOOK»USA-Trial-ITD-Retargeting-AZR-AZR»1 x 1»SocialBan»CAN»ALL»CPA»RT»X»NA»SS»NA»FBCTCBasicMotion»PRC1RQ</v></cell><cell r="D4000" t="str"><v>43309224106933</v></cell><cell r="E4000" t="str"><v>43309103175984PRC1RQ</v></cell><cell r="F4000" t="str"><v>DCM</v></cell><cell r="G4000" t="str"><v>https://azure.microsoft.com/en-us/pricing/purchase-options/?v=18.19&OCID=AID%eexcid!_OLA_%ebuy!_%epid!_%ecid!</v></cell></row><row r="4000"><cell r="K4000" t="str"><v>July</v></cell><cell r="L4000"><v>43309</v></cell><cell r="M4000" t="str"><v>Tier 0</v></cell><cell r="N4000" t="str"><v>North America</v></cell><cell r="O4000" t="str"><v>United States</v></cell><cell r="P4000" t="str"><v>Trial</v></cell><cell r="Q4000" t="str"><v>Social</v></cell><cell r="R4000" t="str"><v>Azure</v></cell><cell r="S4000" t="str"><v>Apps & Infra</v></cell><cell r="T4000" t="str"><v>Developers & ITI's</v></cell><cell r="U4000" t="str"><v>USA-Trial-ITD-Retargeting-AZR-AZR</v></cell><cell r="V4000" t="str"><v>Retargeting</v></cell><cell r="W4000" t="str"><v>Canvas Ad</v></cell><cell r="X4000" t="str"><v>1x1</v></cell></row><row r="4000"><cell r="AA4000"><v>43309</v></cell><cell r="AB4000" t="str"><v>USA_gaPMG_AZR_AZR_Q1_19_Direct-Social</v></cell><cell r="AC4000"><v>21358715</v></cell><cell r="AD4000"><v>720197</v></cell><cell r="AE4000" t="str"><v>Facebook</v></cell><cell r="AF4000"><v>3654128</v></cell><cell r="AG4000" t="str"><v>FACEBOOK»USA-Trial-ITD-Retargeting-AZR-AZR»1 x 1»SocialBan»CAN»ALL»CPA»RT»X»NA»SS»NA»FBCTCBasicMotion»PRC1RQ</v></cell><cell r="AH4000"><v>224106933</v></cell><cell r="AI4000" t="str"><v>AzurePlatform_FBCTCBasicMotion_USA_10s_CAN_PLATFORM_English_Trial_Standard_STAN_TIN_T1_2</v></cell><cell r="AJ4000"><v>103175984</v></cell></row><row r="4001"><cell r="C4001" t="str"><v>43309FACEBOOK»USA-Trial-ITD-Retargeting-AZR-AZR»1 x 1»SocialBan»LIA»ALL»CPA»RT»X»NA»SS»NA»FreeAcctITProFB-AnimatedSecureMngd-Ch1»PRC26K</v></cell><cell r="D4001" t="str"><v>43309223862762</v></cell><cell r="E4001" t="str"><v>43309103176830PRC26K</v></cell><cell r="F4001" t="str"><v>DCM</v></cell></row><row r="4001"><cell r="K4001" t="str"><v>July</v></cell><cell r="L4001"><v>43309</v></cell><cell r="M4001" t="str"><v>Tier 0</v></cell><cell r="N4001" t="str"><v>North America</v></cell><cell r="O4001" t="str"><v>United States</v></cell><cell r="P4001" t="str"><v>Trial</v></cell><cell r="Q4001" t="str"><v>Social</v></cell><cell r="R4001" t="str"><v>Azure</v></cell><cell r="S4001" t="str"><v>Apps & Infra</v></cell><cell r="T4001" t="str"><v>Developers & ITI's</v></cell><cell r="U4001" t="str"><v>USA-Trial-ITD-Retargeting-AZR-AZR</v></cell><cell r="V4001" t="str"><v>Retargeting</v></cell><cell r="W4001" t="str"><v>Link Ad</v></cell><cell r="X4001" t="str"><v>1x1</v></cell></row><row r="4001"><cell r="AA4001"><v>43309</v></cell><cell r="AB4001" t="str"><v>USA_gaPMG_AZR_AZR_Q1_19_Direct-Social</v></cell><cell r="AC4001"><v>21358715</v></cell><cell r="AD4001"><v>720197</v></cell><cell r="AE4001" t="str"><v>Facebook</v></cell><cell r="AF4001"><v>3654128</v></cell><cell r="AG4001" t="str"><v>FACEBOOK»USA-Trial-ITD-Retargeting-AZR-AZR»1 x 1»SocialBan»LIA»ALL»CPA»RT»X»NA»SS»NA»FreeAcctITProFB-AnimatedSecureMngd-Ch1»PRC26K</v></cell><cell r="AH4001"><v>223862762</v></cell><cell r="AI4001" t="str"><v>AZR_FreeAcctITProFB-AnimatedSecureMngd-Ch1_USA_1200x1200_CAN_Direct_English_Trial_Standard_ANI_LEA_T1_1</v></cell><cell r="AJ4001"><v>103176830</v></cell></row><row r="4002"><cell r="C4002" t="str"><v>43309FACEBOOK»USA-Trial-ITD-Trial Lookalike-AZR-AZR»1 x 1»SocialBan»LIA»ALL»CPA»LAL»X»NA»SS»NA»FreeAcctDeveloperFB-AnimatedGeneric-Ch1»PRC1M4</v></cell><cell r="D4002" t="str"><v>43309224104941</v></cell><cell r="E4002" t="str"><v>43309103176851PRC1M4</v></cell><cell r="F4002" t="str"><v>DCM</v></cell><cell r="G4002" t="str"><v>https://azure.microsoft.com/en-us/free/search/?OCID=AID%eexcid!_OLA_%ebuy!_%epid!_%ecid!</v></cell></row><row r="4002"><cell r="K4002" t="str"><v>July</v></cell><cell r="L4002"><v>43309</v></cell><cell r="M4002" t="str"><v>Tier 0</v></cell><cell r="N4002" t="str"><v>North America</v></cell><cell r="O4002" t="str"><v>United States</v></cell><cell r="P4002" t="str"><v>Trial</v></cell><cell r="Q4002" t="str"><v>Social</v></cell><cell r="R4002" t="str"><v>Azure</v></cell><cell r="S4002" t="str"><v>Apps & Infra</v></cell><cell r="T4002" t="str"><v>Developers & ITI's</v></cell><cell r="U4002" t="str"><v>USA-Trial-ITD-Trial Lookalike-AZR-AZR</v></cell><cell r="V4002" t="str"><v>Lookalike Targeting</v></cell><cell r="W4002" t="str"><v>Link Ad</v></cell><cell r="X4002" t="str"><v>1x1</v></cell></row><row r="4002"><cell r="AA4002"><v>43309</v></cell><cell r="AB4002" t="str"><v>USA_gaPMG_AZR_AZR_Q1_19_Direct-Social</v></cell><cell r="AC4002"><v>21358715</v></cell><cell r="AD4002"><v>720197</v></cell><cell r="AE4002" t="str"><v>Facebook</v></cell><cell r="AF4002"><v>3654128</v></cell><cell r="AG4002" t="str"><v>FACEBOOK»USA-Trial-ITD-Trial Lookalike-AZR-AZR»1 x 1»SocialBan»LIA»ALL»CPA»LAL»X»NA»SS»NA»FreeAcctDeveloperFB-AnimatedGeneric-Ch1»PRC1M4</v></cell><cell r="AH4002"><v>224104941</v></cell><cell r="AI4002" t="str"><v>AZR_FreeAcctDeveloperFB-AnimatedGeneric-Ch1_USA_1200x1200_CAN_Direct_English_Trial_Standard_ANI_LEA_T1_2</v></cell><cell r="AJ4002"><v>103176851</v></cell></row><row r="4003"><cell r="C4003" t="str"><v>43309FACEBOOK»USA-Trial-ITD-Trial Lookalike-AZR-AZR»1 x 1»SocialBan»LIA»ALL»CPA»LAL»X»NA»SS»NA»FreeAcctDeveloperFB-AnimatedGeneric-Ch1»PRC1M5</v></cell><cell r="D4003" t="str"><v>43309223934083</v></cell><cell r="E4003" t="str"><v>43309103176851PRC1M5</v></cell><cell r="F4003" t="str"><v>DCM</v></cell><cell r="G4003" t="str"><v>https://azure.microsoft.com/en-us/free/search/?OCID=AID%eexcid!_OLA_%ebuy!_%epid!_%ecid!</v></cell></row><row r="4003"><cell r="K4003" t="str"><v>July</v></cell><cell r="L4003"><v>43309</v></cell><cell r="M4003" t="str"><v>Tier 0</v></cell><cell r="N4003" t="str"><v>North America</v></cell><cell r="O4003" t="str"><v>United States</v></cell><cell r="P4003" t="str"><v>Trial</v></cell><cell r="Q4003" t="str"><v>Social</v></cell><cell r="R4003" t="str"><v>Azure</v></cell><cell r="S4003" t="str"><v>Apps & Infra</v></cell><cell r="T4003" t="str"><v>Developers & ITI's</v></cell><cell r="U4003" t="str"><v>USA-Trial-ITD-Trial Lookalike-AZR-AZR</v></cell><cell r="V4003" t="str"><v>Lookalike Targeting</v></cell><cell r="W4003" t="str"><v>Link Ad</v></cell><cell r="X4003" t="str"><v>1x1</v></cell></row><row r="4003"><cell r="AA4003"><v>43309</v></cell><cell r="AB4003" t="str"><v>USA_gaPMG_AZR_AZR_Q1_19_Direct-Social</v></cell><cell r="AC4003"><v>21358715</v></cell><cell r="AD4003"><v>720197</v></cell><cell r="AE4003" t="str"><v>Facebook</v></cell><cell r="AF4003"><v>3654128</v></cell><cell r="AG4003" t="str"><v>FACEBOOK»USA-Trial-ITD-Trial Lookalike-AZR-AZR»1 x 1»SocialBan»LIA»ALL»CPA»LAL»X»NA»SS»NA»FreeAcctDeveloperFB-AnimatedGeneric-Ch1»PRC1M5</v></cell><cell r="AH4003"><v>223934083</v></cell><cell r="AI4003" t="str"><v>AZR_FreeAcctDeveloperFB-AnimatedGeneric-Ch1_USA_1200x1200_CAN_Direct_English_Trial_Standard_ANI_LEA_T1_2</v></cell><cell r="AJ4003"><v>103176851</v></cell></row><row r="4004"><cell r="C4004" t="str"><v>43309FACEBOOK»USA-Trial-ITD-Trial Lookalike-AZR-AZR»1 x 1»SocialBan»LIA»ALL»CPA»LAL»X»NA»SS»NA»FreeAcctDeveloperFB-AnimatedOpenSource-Ch2»PRC1M6</v></cell><cell r="D4004" t="str"><v>43309223935628</v></cell><cell r="E4004" t="str"><v>43309103048329PRC1M6</v></cell><cell r="F4004" t="str"><v>DCM</v></cell><cell r="G4004" t="str"><v>https://azure.microsoft.com/en-us/free/open-source/search/?OCID=AID%eexcid!_OLA_%ebuy!_%epid!_%ecid!</v></cell></row><row r="4004"><cell r="K4004" t="str"><v>July</v></cell><cell r="L4004"><v>43309</v></cell><cell r="M4004" t="str"><v>Tier 0</v></cell><cell r="N4004" t="str"><v>North America</v></cell><cell r="O4004" t="str"><v>United States</v></cell><cell r="P4004" t="str"><v>Trial</v></cell><cell r="Q4004" t="str"><v>Social</v></cell><cell r="R4004" t="str"><v>Azure</v></cell><cell r="S4004" t="str"><v>Apps & Infra</v></cell><cell r="T4004" t="str"><v>Developers & ITI's</v></cell><cell r="U4004" t="str"><v>USA-Trial-ITD-Trial Lookalike-AZR-AZR</v></cell><cell r="V4004" t="str"><v>Lookalike Targeting</v></cell><cell r="W4004" t="str"><v>Link Ad</v></cell><cell r="X4004" t="str"><v>1x1</v></cell></row><row r="4004"><cell r="AA4004"><v>43309</v></cell><cell r="AB4004" t="str"><v>USA_gaPMG_AZR_AZR_Q1_19_Direct-Social</v></cell><cell r="AC4004"><v>21358715</v></cell><cell r="AD4004"><v>720197</v></cell><cell r="AE4004" t="str"><v>Facebook</v></cell><cell r="AF4004"><v>3654128</v></cell><cell r="AG4004" t="str"><v>FACEBOOK»USA-Trial-ITD-Trial Lookalike-AZR-AZR»1 x 1»SocialBan»LIA»ALL»CPA»LAL»X»NA»SS»NA»FreeAcctDeveloperFB-AnimatedOpenSource-Ch2»PRC1M6</v></cell><cell r="AH4004"><v>223935628</v></cell><cell r="AI4004" t="str"><v>AZR_FreeAcctDeveloperFB-AnimatedOpenSource-Ch2_USA_1200x1200_CAN_Direct_English_Trial_Standard_ANI_LEA_T2_1</v></cell><cell r="AJ4004"><v>103048329</v></cell></row><row r="4005"><cell r="C4005" t="str"><v>43309FACEBOOK»USA-Trial-ITD-Trial Lookalike-AZR-AZR»1 x 1»SocialBan»LIA»ALL»CPA»LAL»X»NA»SS»NA»FreeAcctITProFB-AnimatedMigration-Ch3»PRC23N</v></cell><cell r="D4005" t="str"><v>43309223935637</v></cell><cell r="E4005" t="str"><v>43309103176827PRC23N</v></cell><cell r="F4005" t="str"><v>DCM</v></cell></row><row r="4005"><cell r="K4005" t="str"><v>July</v></cell><cell r="L4005"><v>43309</v></cell><cell r="M4005" t="str"><v>Tier 0</v></cell><cell r="N4005" t="str"><v>North America</v></cell><cell r="O4005" t="str"><v>United States</v></cell><cell r="P4005" t="str"><v>Trial</v></cell><cell r="Q4005" t="str"><v>Social</v></cell><cell r="R4005" t="str"><v>Azure</v></cell><cell r="S4005" t="str"><v>Apps & Infra</v></cell><cell r="T4005" t="str"><v>Developers & ITI's</v></cell><cell r="U4005" t="str"><v>USA-Trial-ITD-Trial Lookalike-AZR-AZR</v></cell><cell r="V4005" t="str"><v>Lookalike Targeting</v></cell><cell r="W4005" t="str"><v>Link Ad</v></cell><cell r="X4005" t="str"><v>1x1</v></cell></row><row r="4005"><cell r="AA4005"><v>43309</v></cell><cell r="AB4005" t="str"><v>USA_gaPMG_AZR_AZR_Q1_19_Direct-Social</v></cell><cell r="AC4005"><v>21358715</v></cell><cell r="AD4005"><v>720197</v></cell><cell r="AE4005" t="str"><v>Facebook</v></cell><cell r="AF4005"><v>3654128</v></cell><cell r="AG4005" t="str"><v>FACEBOOK»USA-Trial-ITD-Trial Lookalike-AZR-AZR»1 x 1»SocialBan»LIA»ALL»CPA»LAL»X»NA»SS»NA»FreeAcctITProFB-AnimatedMigration-Ch3»PRC23N</v></cell><cell r="AH4005"><v>223935637</v></cell><cell r="AI4005" t="str"><v>AZR_FreeAcctITProFB-AnimatedMigration-Ch3_USA_1200x1200_CAN_Direct_English_Trial_Standard_ANI_LEA_T3_1</v></cell><cell r="AJ4005"><v>103176827</v></cell></row><row r="4006"><cell r="C4006" t="str"><v>43309FACEBOOK»USA-Trial-ITD-Trial Lookalike-AZR-AZR»1 x 1»SocialBan»LIA»ALL»CPA»LAL»X»NA»SS»NA»FreeAcctITProFB-AnimatedSecureMngd-Ch1»PRC1M9</v></cell><cell r="D4006" t="str"><v>43309224104959</v></cell><cell r="E4006" t="str"><v>43309103176830PRC1M9</v></cell><cell r="F4006" t="str"><v>DCM</v></cell></row><row r="4006"><cell r="K4006" t="str"><v>July</v></cell><cell r="L4006"><v>43309</v></cell><cell r="M4006" t="str"><v>Tier 0</v></cell><cell r="N4006" t="str"><v>North America</v></cell><cell r="O4006" t="str"><v>United States</v></cell><cell r="P4006" t="str"><v>Trial</v></cell><cell r="Q4006" t="str"><v>Social</v></cell><cell r="R4006" t="str"><v>Azure</v></cell><cell r="S4006" t="str"><v>Apps & Infra</v></cell><cell r="T4006" t="str"><v>Developers & ITI's</v></cell><cell r="U4006" t="str"><v>USA-Trial-ITD-Trial Lookalike-AZR-AZR</v></cell><cell r="V4006" t="str"><v>Lookalike Targeting</v></cell><cell r="W4006" t="str"><v>Link Ad</v></cell><cell r="X4006" t="str"><v>1x1</v></cell></row><row r="4006"><cell r="AA4006"><v>43309</v></cell><cell r="AB4006" t="str"><v>USA_gaPMG_AZR_AZR_Q1_19_Direct-Social</v></cell><cell r="AC4006"><v>21358715</v></cell><cell r="AD4006"><v>720197</v></cell><cell r="AE4006" t="str"><v>Facebook</v></cell><cell r="AF4006"><v>3654128</v></cell><cell r="AG4006" t="str"><v>FACEBOOK»USA-Trial-ITD-Trial Lookalike-AZR-AZR»1 x 1»SocialBan»LIA»ALL»CPA»LAL»X»NA»SS»NA»FreeAcctITProFB-AnimatedSecureMngd-Ch1»PRC1M9</v></cell><cell r="AH4006"><v>224104959</v></cell><cell r="AI4006" t="str"><v>AZR_FreeAcctITProFB-AnimatedSecureMngd-Ch1_USA_1200x1200_CAN_Direct_English_Trial_Standard_ANI_LEA_T1_1</v></cell><cell r="AJ4006"><v>103176830</v></cell></row><row r="4007"><cell r="C4007" t="str"><v>43309FACEBOOK»USA-Trial-ITD-Trial Lookalike-AZR-AZR»1 x 1»SocialBan»CAN»ALL»CPA»LAL»X»NA»SS»NA»FBCTCBasicMotion»PRC1LZ</v></cell><cell r="D4007" t="str"><v>43309223862915</v></cell><cell r="E4007" t="str"><v>43309103043823PRC1LZ</v></cell><cell r="F4007" t="str"><v>DCM</v></cell><cell r="G4007" t="str"><v>https://signup.azure.com/?OCID=AID%eexcid!_OLA_%ebuy!_%epid!_%ecid!</v></cell></row><row r="4007"><cell r="K4007" t="str"><v>July</v></cell><cell r="L4007"><v>43309</v></cell><cell r="M4007" t="str"><v>Tier 0</v></cell><cell r="N4007" t="str"><v>North America</v></cell><cell r="O4007" t="str"><v>United States</v></cell><cell r="P4007" t="str"><v>Trial</v></cell><cell r="Q4007" t="str"><v>Social</v></cell><cell r="R4007" t="str"><v>Azure</v></cell><cell r="S4007" t="str"><v>Apps & Infra</v></cell><cell r="T4007" t="str"><v>Developers & ITI's</v></cell><cell r="U4007" t="str"><v>USA-Trial-ITD-Trial Lookalike-AZR-AZR</v></cell><cell r="V4007" t="str"><v>Lookalike Targeting</v></cell><cell r="W4007" t="str"><v>Canvas Ad</v></cell><cell r="X4007" t="str"><v>1x1</v></cell></row><row r="4007"><cell r="AA4007"><v>43309</v></cell><cell r="AB4007" t="str"><v>USA_gaPMG_AZR_AZR_Q1_19_Direct-Social</v></cell><cell r="AC4007"><v>21358715</v></cell><cell r="AD4007"><v>720197</v></cell><cell r="AE4007" t="str"><v>Facebook</v></cell><cell r="AF4007"><v>3654128</v></cell><cell r="AG4007" t="str"><v>FACEBOOK»USA-Trial-ITD-Trial Lookalike-AZR-AZR»1 x 1»SocialBan»CAN»ALL»CPA»LAL»X»NA»SS»NA»FBCTCBasicMotion»PRC1LZ</v></cell><cell r="AH4007"><v>223862915</v></cell><cell r="AI4007" t="str"><v>AzurePlatform_FBCTCBasicMotion_USA_10s_CAN_PLATFORM_English_Trial_Standard_STAN_TIN_T1_1</v></cell><cell r="AJ4007"><v>103043823</v></cell></row><row r="4008"><cell r="C4008" t="str"><v>43309FACEBOOK»USA-Trial-ITD-Trial Lookalike-AZR-AZR»1 x 1»SocialBan»CAN»ALL»CPA»LAL»X»NA»SS»NA»FBCTCBasicMotion»PRC1LZ</v></cell><cell r="D4008" t="str"><v>43309223862915</v></cell><cell r="E4008" t="str"><v>43309103175984PRC1LZ</v></cell><cell r="F4008" t="str"><v>DCM</v></cell><cell r="G4008" t="str"><v>https://azure.microsoft.com/en-us/pricing/purchase-options/?v=18.19&OCID=AID%eexcid!_OLA_%ebuy!_%epid!_%ecid!</v></cell></row><row r="4008"><cell r="K4008" t="str"><v>July</v></cell><cell r="L4008"><v>43309</v></cell><cell r="M4008" t="str"><v>Tier 0</v></cell><cell r="N4008" t="str"><v>North America</v></cell><cell r="O4008" t="str"><v>United States</v></cell><cell r="P4008" t="str"><v>Trial</v></cell><cell r="Q4008" t="str"><v>Social</v></cell><cell r="R4008" t="str"><v>Azure</v></cell><cell r="S4008" t="str"><v>Apps & Infra</v></cell><cell r="T4008" t="str"><v>Developers & ITI's</v></cell><cell r="U4008" t="str"><v>USA-Trial-ITD-Trial Lookalike-AZR-AZR</v></cell><cell r="V4008" t="str"><v>Lookalike Targeting</v></cell><cell r="W4008" t="str"><v>Canvas Ad</v></cell><cell r="X4008" t="str"><v>1x1</v></cell></row><row r="4008"><cell r="AA4008"><v>43309</v></cell><cell r="AB4008" t="str"><v>USA_gaPMG_AZR_AZR_Q1_19_Direct-Social</v></cell><cell r="AC4008"><v>21358715</v></cell><cell r="AD4008"><v>720197</v></cell><cell r="AE4008" t="str"><v>Facebook</v></cell><cell r="AF4008"><v>3654128</v></cell><cell r="AG4008" t="str"><v>FACEBOOK»USA-Trial-ITD-Trial Lookalike-AZR-AZR»1 x 1»SocialBan»CAN»ALL»CPA»LAL»X»NA»SS»NA»FBCTCBasicMotion»PRC1LZ</v></cell><cell r="AH4008"><v>223862915</v></cell><cell r="AI4008" t="str"><v>AzurePlatform_FBCTCBasicMotion_USA_10s_CAN_PLATFORM_English_Trial_Standard_STAN_TIN_T1_2</v></cell><cell r="AJ4008"><v>103175984</v></cell></row><row r="4009"><cell r="C4009" t="str"><v>43309FACEBOOK»USA-Trial-ITD-Trial PayGo Lookalike-AZR-AZR»1 x 1»SocialBan»CAN»ALL»CPA»LAL»X»NA»SS»NA»FBCTCBasicMotion»PRC1Q0</v></cell><cell r="D4009" t="str"><v>43309223935664</v></cell><cell r="E4009" t="str"><v>43309103043823PRC1Q0</v></cell><cell r="F4009" t="str"><v>DCM</v></cell><cell r="G4009" t="str"><v>https://signup.azure.com/?OCID=AID%eexcid!_OLA_%ebuy!_%epid!_%ecid!</v></cell></row><row r="4009"><cell r="K4009" t="str"><v>July</v></cell><cell r="L4009"><v>43309</v></cell><cell r="M4009" t="str"><v>Tier 0</v></cell><cell r="N4009" t="str"><v>North America</v></cell><cell r="O4009" t="str"><v>United States</v></cell><cell r="P4009" t="str"><v>Trial</v></cell><cell r="Q4009" t="str"><v>Social</v></cell><cell r="R4009" t="str"><v>Azure</v></cell><cell r="S4009" t="str"><v>Apps & Infra</v></cell><cell r="T4009" t="str"><v>Developers & ITI's</v></cell><cell r="U4009" t="str"><v>USA-Trial-ITD-Trial PayGo Lookalike-AZR-AZR</v></cell><cell r="V4009" t="str"><v>Lookalike Targeting</v></cell><cell r="W4009" t="str"><v>Canvas Ad</v></cell><cell r="X4009" t="str"><v>1x1</v></cell></row><row r="4009"><cell r="AA4009"><v>43309</v></cell><cell r="AB4009" t="str"><v>USA_gaPMG_AZR_AZR_Q1_19_Direct-Social</v></cell><cell r="AC4009"><v>21358715</v></cell><cell r="AD4009"><v>720197</v></cell><cell r="AE4009" t="str"><v>Facebook</v></cell><cell r="AF4009"><v>3654128</v></cell><cell r="AG4009" t="str"><v>FACEBOOK»USA-Trial-ITD-Trial PayGo Lookalike-AZR-AZR»1 x 1»SocialBan»CAN»ALL»CPA»LAL»X»NA»SS»NA»FBCTCBasicMotion»PRC1Q0</v></cell><cell r="AH4009"><v>223935664</v></cell><cell r="AI4009" t="str"><v>AzurePlatform_FBCTCBasicMotion_USA_10s_CAN_PLATFORM_English_Trial_Standard_STAN_TIN_T1_1</v></cell><cell r="AJ4009"><v>103043823</v></cell></row><row r="4010"><cell r="C4010" t="str"><v>43309FACEBOOK»USA-Trial-ITD-Trial PayGo Lookalike-AZR-AZR»1 x 1»SocialBan»LIA»ALL»CPA»LAL»X»NA»SS»NA»FreeAcctDeveloperFB-AnimatedAI-Ch3»PRC1Q8</v></cell><cell r="D4010" t="str"><v>43309224104983</v></cell><cell r="E4010" t="str"><v>43309103032778PRC1Q8</v></cell><cell r="F4010" t="str"><v>DCM</v></cell></row><row r="4010"><cell r="K4010" t="str"><v>July</v></cell><cell r="L4010"><v>43309</v></cell><cell r="M4010" t="str"><v>Tier 0</v></cell><cell r="N4010" t="str"><v>North America</v></cell><cell r="O4010" t="str"><v>United States</v></cell><cell r="P4010" t="str"><v>Trial</v></cell><cell r="Q4010" t="str"><v>Social</v></cell><cell r="R4010" t="str"><v>Azure</v></cell><cell r="S4010" t="str"><v>Apps & Infra</v></cell><cell r="T4010" t="str"><v>Developers & ITI's</v></cell><cell r="U4010" t="str"><v>USA-Trial-ITD-Trial PayGo Lookalike-AZR-AZR</v></cell><cell r="V4010" t="str"><v>Lookalike Targeting</v></cell><cell r="W4010" t="str"><v>Link Ad</v></cell><cell r="X4010" t="str"><v>1x1</v></cell></row><row r="4010"><cell r="AA4010"><v>43309</v></cell><cell r="AB4010" t="str"><v>USA_gaPMG_AZR_AZR_Q1_19_Direct-Social</v></cell><cell r="AC4010"><v>21358715</v></cell><cell r="AD4010"><v>720197</v></cell><cell r="AE4010" t="str"><v>Facebook</v></cell><cell r="AF4010"><v>3654128</v></cell><cell r="AG4010" t="str"><v>FACEBOOK»USA-Trial-ITD-Trial PayGo Lookalike-AZR-AZR»1 x 1»SocialBan»LIA»ALL»CPA»LAL»X»NA»SS»NA»FreeAcctDeveloperFB-AnimatedAI-Ch3»PRC1Q8</v></cell><cell r="AH4010"><v>224104983</v></cell><cell r="AI4010" t="str"><v>AZR_FreeAcctDeveloperFB-AnimatedAI-Ch3_USA_1200x1200_CAN_Direct_English_Trial_Standard_ANI_LEA_T3_1</v></cell><cell r="AJ4010"><v>103032778</v></cell></row><row r="4011"><cell r="C4011" t="str"><v>43309FACEBOOK»USA-Trial-ITD-Trial PayGo Lookalike-AZR-AZR»1 x 1»SocialBan»LIA»ALL»CPA»LAL»X»NA»SS»NA»FreeAcctDeveloperFB-AnimatedData-Ch4»PRC1Q9</v></cell><cell r="D4011" t="str"><v>43309224106990</v></cell><cell r="E4011" t="str"><v>43309103037935PRC1Q9</v></cell><cell r="F4011" t="str"><v>DCM</v></cell></row><row r="4011"><cell r="K4011" t="str"><v>July</v></cell><cell r="L4011"><v>43309</v></cell><cell r="M4011" t="str"><v>Tier 0</v></cell><cell r="N4011" t="str"><v>North America</v></cell><cell r="O4011" t="str"><v>United States</v></cell><cell r="P4011" t="str"><v>Trial</v></cell><cell r="Q4011" t="str"><v>Social</v></cell><cell r="R4011" t="str"><v>Azure</v></cell><cell r="S4011" t="str"><v>Apps & Infra</v></cell><cell r="T4011" t="str"><v>Developers & ITI's</v></cell><cell r="U4011" t="str"><v>USA-Trial-ITD-Trial PayGo Lookalike-AZR-AZR</v></cell><cell r="V4011" t="str"><v>Lookalike Targeting</v></cell><cell r="W4011" t="str"><v>Link Ad</v></cell><cell r="X4011" t="str"><v>1x1</v></cell></row><row r="4011"><cell r="AA4011"><v>43309</v></cell><cell r="AB4011" t="str"><v>USA_gaPMG_AZR_AZR_Q1_19_Direct-Social</v></cell><cell r="AC4011"><v>21358715</v></cell><cell r="AD4011"><v>720197</v></cell><cell r="AE4011" t="str"><v>Facebook</v></cell><cell r="AF4011"><v>3654128</v></cell><cell r="AG4011" t="str"><v>FACEBOOK»USA-Trial-ITD-Trial PayGo Lookalike-AZR-AZR»1 x 1»SocialBan»LIA»ALL»CPA»LAL»X»NA»SS»NA»FreeAcctDeveloperFB-AnimatedData-Ch4»PRC1Q9</v></cell><cell r="AH4011"><v>224106990</v></cell><cell r="AI4011" t="str"><v>AZR_FreeAcctDeveloperFB-AnimatedData-Ch4_USA_1200x1200_CAN_Direct_English_Trial_Standard_ANI_LEA_T4_2</v></cell><cell r="AJ4011"><v>103037935</v></cell></row><row r="4012"><cell r="C4012" t="str"><v>43309FACEBOOK»USA-Trial-ITD-Trial PayGo Lookalike-AZR-AZR»1 x 1»SocialBan»LIA»ALL»CPA»LAL»X»NA»SS»NA»FreeAcctDeveloperFB-AnimatedGeneric-Ch1»PRC1Q5</v></cell><cell r="D4012" t="str"><v>43309224104092</v></cell><cell r="E4012" t="str"><v>43309103176851PRC1Q5</v></cell><cell r="F4012" t="str"><v>DCM</v></cell><cell r="G4012" t="str"><v>https://azure.microsoft.com/en-us/free/search/?OCID=AID%eexcid!_OLA_%ebuy!_%epid!_%ecid!</v></cell></row><row r="4012"><cell r="K4012" t="str"><v>July</v></cell><cell r="L4012"><v>43309</v></cell><cell r="M4012" t="str"><v>Tier 0</v></cell><cell r="N4012" t="str"><v>North America</v></cell><cell r="O4012" t="str"><v>United States</v></cell><cell r="P4012" t="str"><v>Trial</v></cell><cell r="Q4012" t="str"><v>Social</v></cell><cell r="R4012" t="str"><v>Azure</v></cell><cell r="S4012" t="str"><v>Apps & Infra</v></cell><cell r="T4012" t="str"><v>Developers & ITI's</v></cell><cell r="U4012" t="str"><v>USA-Trial-ITD-Trial PayGo Lookalike-AZR-AZR</v></cell><cell r="V4012" t="str"><v>Lookalike Targeting</v></cell><cell r="W4012" t="str"><v>Link Ad</v></cell><cell r="X4012" t="str"><v>1x1</v></cell></row><row r="4012"><cell r="AA4012"><v>43309</v></cell><cell r="AB4012" t="str"><v>USA_gaPMG_AZR_AZR_Q1_19_Direct-Social</v></cell><cell r="AC4012"><v>21358715</v></cell><cell r="AD4012"><v>720197</v></cell><cell r="AE4012" t="str"><v>Facebook</v></cell><cell r="AF4012"><v>3654128</v></cell><cell r="AG4012" t="str"><v>FACEBOOK»USA-Trial-ITD-Trial PayGo Lookalike-AZR-AZR»1 x 1»SocialBan»LIA»ALL»CPA»LAL»X»NA»SS»NA»FreeAcctDeveloperFB-AnimatedGeneric-Ch1»PRC1Q5</v></cell><cell r="AH4012"><v>224104092</v></cell><cell r="AI4012" t="str"><v>AZR_FreeAcctDeveloperFB-AnimatedGeneric-Ch1_USA_1200x1200_CAN_Direct_English_Trial_Standard_ANI_LEA_T1_2</v></cell><cell r="AJ4012"><v>103176851</v></cell></row><row r="4013"><cell r="C4013" t="str"><v>43309FACEBOOK»USA-Trial-ITD-Trial PayGo Lookalike-AZR-AZR»1 x 1»SocialBan»LIA»ALL»CPA»LAL»X»NA»SS»NA»FreeAcctDeveloperFB-AnimatedOpenSource-Ch2»PRC1Q7</v></cell><cell r="D4013" t="str"><v>43309223862951</v></cell><cell r="E4013" t="str"><v>43309103048329PRC1Q7</v></cell><cell r="F4013" t="str"><v>DCM</v></cell><cell r="G4013" t="str"><v>https://azure.microsoft.com/en-us/free/open-source/search/?OCID=AID%eexcid!_OLA_%ebuy!_%epid!_%ecid!</v></cell></row><row r="4013"><cell r="K4013" t="str"><v>July</v></cell><cell r="L4013"><v>43309</v></cell><cell r="M4013" t="str"><v>Tier 0</v></cell><cell r="N4013" t="str"><v>North America</v></cell><cell r="O4013" t="str"><v>United States</v></cell><cell r="P4013" t="str"><v>Trial</v></cell><cell r="Q4013" t="str"><v>Social</v></cell><cell r="R4013" t="str"><v>Azure</v></cell><cell r="S4013" t="str"><v>Apps & Infra</v></cell><cell r="T4013" t="str"><v>Developers & ITI's</v></cell><cell r="U4013" t="str"><v>USA-Trial-ITD-Trial PayGo Lookalike-AZR-AZR</v></cell><cell r="V4013" t="str"><v>Lookalike Targeting</v></cell><cell r="W4013" t="str"><v>Link Ad</v></cell><cell r="X4013" t="str"><v>1x1</v></cell></row><row r="4013"><cell r="AA4013"><v>43309</v></cell><cell r="AB4013" t="str"><v>USA_gaPMG_AZR_AZR_Q1_19_Direct-Social</v></cell><cell r="AC4013"><v>21358715</v></cell><cell r="AD4013"><v>720197</v></cell><cell r="AE4013" t="str"><v>Facebook</v></cell><cell r="AF4013"><v>3654128</v></cell><cell r="AG4013" t="str"><v>FACEBOOK»USA-Trial-ITD-Trial PayGo Lookalike-AZR-AZR»1 x 1»SocialBan»LIA»ALL»CPA»LAL»X»NA»SS»NA»FreeAcctDeveloperFB-AnimatedOpenSource-Ch2»PRC1Q7</v></cell><cell r="AH4013"><v>223862951</v></cell><cell r="AI4013" t="str"><v>AZR_FreeAcctDeveloperFB-AnimatedOpenSource-Ch2_USA_1200x1200_CAN_Direct_English_Trial_Standard_ANI_LEA_T2_1</v></cell><cell r="AJ4013"><v>103048329</v></cell></row><row r="4014"><cell r="C4014" t="str"><v>43309FACEBOOK»USA-Trial-ITD-Trial PayGo Lookalike-AZR-AZR»1 x 1»SocialBan»LIA»ALL»CPA»LAL»X»NA»SS»NA»FreeAcctITProFB-AnimatedHybrid-Ch2»PRC1QC</v></cell><cell r="D4014" t="str"><v>43309223933186</v></cell><cell r="E4014" t="str"><v>43309103180583PRC1QC</v></cell><cell r="F4014" t="str"><v>DCM</v></cell></row><row r="4014"><cell r="K4014" t="str"><v>July</v></cell><cell r="L4014"><v>43309</v></cell><cell r="M4014" t="str"><v>Tier 0</v></cell><cell r="N4014" t="str"><v>North America</v></cell><cell r="O4014" t="str"><v>United States</v></cell><cell r="P4014" t="str"><v>Trial</v></cell><cell r="Q4014" t="str"><v>Social</v></cell><cell r="R4014" t="str"><v>Azure</v></cell><cell r="S4014" t="str"><v>Apps & Infra</v></cell><cell r="T4014" t="str"><v>Developers & ITI's</v></cell><cell r="U4014" t="str"><v>USA-Trial-ITD-Trial PayGo Lookalike-AZR-AZR</v></cell><cell r="V4014" t="str"><v>Lookalike Targeting</v></cell><cell r="W4014" t="str"><v>Link Ad</v></cell><cell r="X4014" t="str"><v>1x1</v></cell></row><row r="4014"><cell r="AA4014"><v>43309</v></cell><cell r="AB4014" t="str"><v>USA_gaPMG_AZR_AZR_Q1_19_Direct-Social</v></cell><cell r="AC4014"><v>21358715</v></cell><cell r="AD4014"><v>720197</v></cell><cell r="AE4014" t="str"><v>Facebook</v></cell><cell r="AF4014"><v>3654128</v></cell><cell r="AG4014" t="str"><v>FACEBOOK»USA-Trial-ITD-Trial PayGo Lookalike-AZR-AZR»1 x 1»SocialBan»LIA»ALL»CPA»LAL»X»NA»SS»NA»FreeAcctITProFB-AnimatedHybrid-Ch2»PRC1QC</v></cell><cell r="AH4014"><v>223933186</v></cell><cell r="AI4014" t="str"><v>AZR_FreeAcctITProFB-AnimatedHybrid-Ch2_USA_1200x1200_CAN_Direct_English_Trial_Standard_ANI_LEA_T2_2</v></cell><cell r="AJ4014"><v>103180583</v></cell></row><row r="4015"><cell r="C4015" t="str"><v>43309FACEBOOK»USA-Trial-ITD-Trial PayGo Lookalike-AZR-AZR»1 x 1»SocialBan»LIA»ALL»CPA»LAL»X»NA»SS»NA»FreeAcctITProFB-AnimatedMigration-Ch3»PRC23Y</v></cell><cell r="D4015" t="str"><v>43309224105904</v></cell><cell r="E4015" t="str"><v>43309103176827PRC23Y</v></cell><cell r="F4015" t="str"><v>DCM</v></cell></row><row r="4015"><cell r="K4015" t="str"><v>July</v></cell><cell r="L4015"><v>43309</v></cell><cell r="M4015" t="str"><v>Tier 0</v></cell><cell r="N4015" t="str"><v>North America</v></cell><cell r="O4015" t="str"><v>United States</v></cell><cell r="P4015" t="str"><v>Trial</v></cell><cell r="Q4015" t="str"><v>Social</v></cell><cell r="R4015" t="str"><v>Azure</v></cell><cell r="S4015" t="str"><v>Apps & Infra</v></cell><cell r="T4015" t="str"><v>Developers & ITI's</v></cell><cell r="U4015" t="str"><v>USA-Trial-ITD-Trial PayGo Lookalike-AZR-AZR</v></cell><cell r="V4015" t="str"><v>Lookalike Targeting</v></cell><cell r="W4015" t="str"><v>Link Ad</v></cell><cell r="X4015" t="str"><v>1x1</v></cell></row><row r="4015"><cell r="AA4015"><v>43309</v></cell><cell r="AB4015" t="str"><v>USA_gaPMG_AZR_AZR_Q1_19_Direct-Social</v></cell><cell r="AC4015"><v>21358715</v></cell><cell r="AD4015"><v>720197</v></cell><cell r="AE4015" t="str"><v>Facebook</v></cell><cell r="AF4015"><v>3654128</v></cell><cell r="AG4015" t="str"><v>FACEBOOK»USA-Trial-ITD-Trial PayGo Lookalike-AZR-AZR»1 x 1»SocialBan»LIA»ALL»CPA»LAL»X»NA»SS»NA»FreeAcctITProFB-AnimatedMigration-Ch3»PRC23Y</v></cell><cell r="AH4015"><v>224105904</v></cell><cell r="AI4015" t="str"><v>AZR_FreeAcctITProFB-AnimatedMigration-Ch3_USA_1200x1200_CAN_Direct_English_Trial_Standard_ANI_LEA_T3_1</v></cell><cell r="AJ4015"><v>103176827</v></cell></row><row r="4016"><cell r="C4016" t="str"><v>43309FACEBOOK»USA-Trial-ITD-Trial PayGo Lookalike-AZR-AZR»1 x 1»SocialBan»LIA»ALL»CPA»LAL»X»NA»SS»NA»FreeAcctITProFB-AnimatedSecureMngd-Ch1»PRC1QB</v></cell><cell r="D4016" t="str"><v>43309223862945</v></cell><cell r="E4016" t="str"><v>43309103176830PRC1QB</v></cell><cell r="F4016" t="str"><v>DCM</v></cell></row><row r="4016"><cell r="K4016" t="str"><v>July</v></cell><cell r="L4016"><v>43309</v></cell><cell r="M4016" t="str"><v>Tier 0</v></cell><cell r="N4016" t="str"><v>North America</v></cell><cell r="O4016" t="str"><v>United States</v></cell><cell r="P4016" t="str"><v>Trial</v></cell><cell r="Q4016" t="str"><v>Social</v></cell><cell r="R4016" t="str"><v>Azure</v></cell><cell r="S4016" t="str"><v>Apps & Infra</v></cell><cell r="T4016" t="str"><v>Developers & ITI's</v></cell><cell r="U4016" t="str"><v>USA-Trial-ITD-Trial PayGo Lookalike-AZR-AZR</v></cell><cell r="V4016" t="str"><v>Lookalike Targeting</v></cell><cell r="W4016" t="str"><v>Link Ad</v></cell><cell r="X4016" t="str"><v>1x1</v></cell></row><row r="4016"><cell r="AA4016"><v>43309</v></cell><cell r="AB4016" t="str"><v>USA_gaPMG_AZR_AZR_Q1_19_Direct-Social</v></cell><cell r="AC4016"><v>21358715</v></cell><cell r="AD4016"><v>720197</v></cell><cell r="AE4016" t="str"><v>Facebook</v></cell><cell r="AF4016"><v>3654128</v></cell><cell r="AG4016" t="str"><v>FACEBOOK»USA-Trial-ITD-Trial PayGo Lookalike-AZR-AZR»1 x 1»SocialBan»LIA»ALL»CPA»LAL»X»NA»SS»NA»FreeAcctITProFB-AnimatedSecureMngd-Ch1»PRC1QB</v></cell><cell r="AH4016"><v>223862945</v></cell><cell r="AI4016" t="str"><v>AZR_FreeAcctITProFB-AnimatedSecureMngd-Ch1_USA_1200x1200_CAN_Direct_English_Trial_Standard_ANI_LEA_T1_1</v></cell><cell r="AJ4016"><v>103176830</v></cell></row><row r="4017"><cell r="C4017" t="str"><v>43309INSTAGRAM»USA-Trial-ITD-Interest Prospecting-AZR-AZR»1 x 1»SocialBan»CAN»ALL»CPA»PRO»X»NA»SS»NA»IGCTCBrandinMotion»PRC2PB</v></cell><cell r="D4017" t="str"><v>43309223862690</v></cell><cell r="E4017" t="str"><v>43309103050783PRC2PB</v></cell><cell r="F4017" t="str"><v>DCM</v></cell><cell r="G4017" t="str"><v>https://signup.azure.com/?OCID=AID%eexcid!_OLA_%ebuy!_%epid!_%ecid!</v></cell></row><row r="4017"><cell r="K4017" t="str"><v>July</v></cell><cell r="L4017"><v>43309</v></cell><cell r="M4017" t="str"><v>Tier 0</v></cell><cell r="N4017" t="str"><v>North America</v></cell><cell r="O4017" t="str"><v>United States</v></cell><cell r="P4017" t="str"><v>Trial</v></cell><cell r="Q4017" t="str"><v>Social</v></cell><cell r="R4017" t="str"><v>Azure</v></cell><cell r="S4017" t="str"><v>Apps & Infra</v></cell><cell r="T4017" t="str"><v>Developers & ITI's</v></cell><cell r="U4017" t="str"><v>USA-Trial-ITD-Interest Prospecting-AZR-AZR</v></cell><cell r="V4017" t="str"><v>Prospecting</v></cell><cell r="W4017" t="str"><v>Canvas Ad</v></cell><cell r="X4017" t="str"><v>1x1</v></cell></row><row r="4017"><cell r="AA4017"><v>43309</v></cell><cell r="AB4017" t="str"><v>USA_gaPMG_AZR_AZR_Q1_19_Direct-Social</v></cell><cell r="AC4017"><v>21358715</v></cell><cell r="AD4017"><v>720197</v></cell><cell r="AE4017" t="str"><v>Facebook - Instagram</v></cell><cell r="AF4017"><v>3654128</v></cell><cell r="AG4017" t="str"><v>INSTAGRAM»USA-Trial-ITD-Interest Prospecting-AZR-AZR»1 x 1»SocialBan»CAN»ALL»CPA»PRO»X»NA»SS»NA»IGCTCBrandinMotion»PRC2PB</v></cell><cell r="AH4017"><v>223862690</v></cell><cell r="AI4017" t="str"><v>AzurePlatform_IGCTCBenefit2inMotion_USA_10s_CAN_PLATFORM_English_Trial_Standard_STAN_TIN_T4_1</v></cell><cell r="AJ4017"><v>103050783</v></cell></row><row r="4018"><cell r="C4018" t="str"><v>43309INSTAGRAM»USA-Trial-ITD-Interest Prospecting-AZR-AZR»1 x 1»SocialBan»CAN»ALL»CPA»PRO»X»NA»SS»NA»IGCTCBrandinMotion»PRC2PB</v></cell><cell r="D4018" t="str"><v>43309223862690</v></cell><cell r="E4018" t="str"><v>43309103178714PRC2PB</v></cell><cell r="F4018" t="str"><v>DCM</v></cell><cell r="G4018" t="str"><v>https://azure.microsoft.com/en-us/pricing/purchase-options/?v=18.19&OCID=AID%eexcid!_OLA_%ebuy!_%epid!_%ecid!</v></cell></row><row r="4018"><cell r="K4018" t="str"><v>July</v></cell><cell r="L4018"><v>43309</v></cell><cell r="M4018" t="str"><v>Tier 0</v></cell><cell r="N4018" t="str"><v>North America</v></cell><cell r="O4018" t="str"><v>United States</v></cell><cell r="P4018" t="str"><v>Trial</v></cell><cell r="Q4018" t="str"><v>Social</v></cell><cell r="R4018" t="str"><v>Azure</v></cell><cell r="S4018" t="str"><v>Apps & Infra</v></cell><cell r="T4018" t="str"><v>Developers & ITI's</v></cell><cell r="U4018" t="str"><v>USA-Trial-ITD-Interest Prospecting-AZR-AZR</v></cell><cell r="V4018" t="str"><v>Prospecting</v></cell><cell r="W4018" t="str"><v>Canvas Ad</v></cell><cell r="X4018" t="str"><v>1x1</v></cell></row><row r="4018"><cell r="AA4018"><v>43309</v></cell><cell r="AB4018" t="str"><v>USA_gaPMG_AZR_AZR_Q1_19_Direct-Social</v></cell><cell r="AC4018"><v>21358715</v></cell><cell r="AD4018"><v>720197</v></cell><cell r="AE4018" t="str"><v>Facebook - Instagram</v></cell><cell r="AF4018"><v>3654128</v></cell><cell r="AG4018" t="str"><v>INSTAGRAM»USA-Trial-ITD-Interest Prospecting-AZR-AZR»1 x 1»SocialBan»CAN»ALL»CPA»PRO»X»NA»SS»NA»IGCTCBrandinMotion»PRC2PB</v></cell><cell r="AH4018"><v>223862690</v></cell><cell r="AI4018" t="str"><v>AzurePlatform_IGCTCBenefit2inMotion_USA_10s_CAN_PLATFORM_English_Trial_Standard_STAN_TIN_T4_2</v></cell><cell r="AJ4018"><v>103178714</v></cell></row><row r="4019"><cell r="C4019" t="str"><v>43309INSTAGRAM»USA-Trial-ITD-Retargeting-AZR-AZR»1 x 1»SocialBan»CAN»ALL»CPA»RT»X»NA»SS»NA»IGCTCBrandinMotion»PRC2G3</v></cell><cell r="D4019" t="str"><v>43309224107014</v></cell><cell r="E4019" t="str"><v>43309103050783PRC2G3</v></cell><cell r="F4019" t="str"><v>DCM</v></cell><cell r="G4019" t="str"><v>https://signup.azure.com/?OCID=AID%eexcid!_OLA_%ebuy!_%epid!_%ecid!</v></cell></row><row r="4019"><cell r="K4019" t="str"><v>July</v></cell><cell r="L4019"><v>43309</v></cell><cell r="M4019" t="str"><v>Tier 0</v></cell><cell r="N4019" t="str"><v>North America</v></cell><cell r="O4019" t="str"><v>United States</v></cell><cell r="P4019" t="str"><v>Trial</v></cell><cell r="Q4019" t="str"><v>Social</v></cell><cell r="R4019" t="str"><v>Azure</v></cell><cell r="S4019" t="str"><v>Apps & Infra</v></cell><cell r="T4019" t="str"><v>Developers & ITI's</v></cell><cell r="U4019" t="str"><v>USA-Trial-ITD-Retargeting-AZR-AZR</v></cell><cell r="V4019" t="str"><v>Retargeting</v></cell><cell r="W4019" t="str"><v>Canvas Ad</v></cell><cell r="X4019" t="str"><v>1x1</v></cell></row><row r="4019"><cell r="AA4019"><v>43309</v></cell><cell r="AB4019" t="str"><v>USA_gaPMG_AZR_AZR_Q1_19_Direct-Social</v></cell><cell r="AC4019"><v>21358715</v></cell><cell r="AD4019"><v>720197</v></cell><cell r="AE4019" t="str"><v>Facebook - Instagram</v></cell><cell r="AF4019"><v>3654128</v></cell><cell r="AG4019" t="str"><v>INSTAGRAM»USA-Trial-ITD-Retargeting-AZR-AZR»1 x 1»SocialBan»CAN»ALL»CPA»RT»X»NA»SS»NA»IGCTCBrandinMotion»PRC2G3</v></cell><cell r="AH4019"><v>224107014</v></cell><cell r="AI4019" t="str"><v>AzurePlatform_IGCTCBenefit2inMotion_USA_10s_CAN_PLATFORM_English_Trial_Standard_STAN_TIN_T4_1</v></cell><cell r="AJ4019"><v>103050783</v></cell></row><row r="4020"><cell r="C4020" t="str"><v>43309INSTAGRAM»USA-Trial-ITD-Trial Lookalike-AZR-AZR»1 x 1»SocialBan»CAN»ALL»CPA»LAL»X»NA»SS»NA»IGCTCBenefit2inMotion»PRC2FL</v></cell><cell r="D4020" t="str"><v>43309223935022</v></cell><cell r="E4020" t="str"><v>43309103180628PRC2FL</v></cell><cell r="F4020" t="str"><v>DCM</v></cell><cell r="G4020" t="str"><v>https://signup.azure.com/?OCID=AID%eexcid!_OLA_%ebuy!_%epid!_%ecid!</v></cell></row><row r="4020"><cell r="K4020" t="str"><v>July</v></cell><cell r="L4020"><v>43309</v></cell><cell r="M4020" t="str"><v>Tier 0</v></cell><cell r="N4020" t="str"><v>North America</v></cell><cell r="O4020" t="str"><v>United States</v></cell><cell r="P4020" t="str"><v>Trial</v></cell><cell r="Q4020" t="str"><v>Social</v></cell><cell r="R4020" t="str"><v>Azure</v></cell><cell r="S4020" t="str"><v>Apps & Infra</v></cell><cell r="T4020" t="str"><v>Developers & ITI's</v></cell><cell r="U4020" t="str"><v>USA-Trial-ITD-Trial Lookalike-AZR-AZR</v></cell><cell r="V4020" t="str"><v>Lookalike Targeting</v></cell><cell r="W4020" t="str"><v>Canvas Ad</v></cell><cell r="X4020" t="str"><v>1x1</v></cell></row><row r="4020"><cell r="AA4020"><v>43309</v></cell><cell r="AB4020" t="str"><v>USA_gaPMG_AZR_AZR_Q1_19_Direct-Social</v></cell><cell r="AC4020"><v>21358715</v></cell><cell r="AD4020"><v>720197</v></cell><cell r="AE4020" t="str"><v>Facebook - Instagram</v></cell><cell r="AF4020"><v>3654128</v></cell><cell r="AG4020" t="str"><v>INSTAGRAM»USA-Trial-ITD-Trial Lookalike-AZR-AZR»1 x 1»SocialBan»CAN»ALL»CPA»LAL»X»NA»SS»NA»IGCTCBenefit2inMotion»PRC2FL</v></cell><cell r="AH4020"><v>223935022</v></cell><cell r="AI4020" t="str"><v>AzurePlatform_IGCTCBrandinMotion_USA_10s_CAN_PLATFORM_English_Trial_Standard_STAN_TIN_T2_1</v></cell><cell r="AJ4020"><v>103180628</v></cell></row><row r="4021"><cell r="C4021" t="str"><v>43309INSTAGRAM»USA-Trial-ITD-Trial Lookalike-AZR-AZR»1 x 1»SocialBan»CAN»ALL»CPA»LAL»X»NA»SS»NA»IGCTCBrandinMotion»PRC2FH</v></cell><cell r="D4021" t="str"><v>43309223935019</v></cell><cell r="E4021" t="str"><v>43309103050783PRC2FH</v></cell><cell r="F4021" t="str"><v>DCM</v></cell><cell r="G4021" t="str"><v>https://signup.azure.com/?OCID=AID%eexcid!_OLA_%ebuy!_%epid!_%ecid!</v></cell></row><row r="4021"><cell r="K4021" t="str"><v>July</v></cell><cell r="L4021"><v>43309</v></cell><cell r="M4021" t="str"><v>Tier 0</v></cell><cell r="N4021" t="str"><v>North America</v></cell><cell r="O4021" t="str"><v>United States</v></cell><cell r="P4021" t="str"><v>Trial</v></cell><cell r="Q4021" t="str"><v>Social</v></cell><cell r="R4021" t="str"><v>Azure</v></cell><cell r="S4021" t="str"><v>Apps & Infra</v></cell><cell r="T4021" t="str"><v>Developers & ITI's</v></cell><cell r="U4021" t="str"><v>USA-Trial-ITD-Trial Lookalike-AZR-AZR</v></cell><cell r="V4021" t="str"><v>Lookalike Targeting</v></cell><cell r="W4021" t="str"><v>Canvas Ad</v></cell><cell r="X4021" t="str"><v>1x1</v></cell></row><row r="4021"><cell r="AA4021"><v>43309</v></cell><cell r="AB4021" t="str"><v>USA_gaPMG_AZR_AZR_Q1_19_Direct-Social</v></cell><cell r="AC4021"><v>21358715</v></cell><cell r="AD4021"><v>720197</v></cell><cell r="AE4021" t="str"><v>Facebook - Instagram</v></cell><cell r="AF4021"><v>3654128</v></cell><cell r="AG4021" t="str"><v>INSTAGRAM»USA-Trial-ITD-Trial Lookalike-AZR-AZR»1 x 1»SocialBan»CAN»ALL»CPA»LAL»X»NA»SS»NA»IGCTCBrandinMotion»PRC2FH</v></cell><cell r="AH4021"><v>223935019</v></cell><cell r="AI4021" t="str"><v>AzurePlatform_IGCTCBenefit2inMotion_USA_10s_CAN_PLATFORM_English_Trial_Standard_STAN_TIN_T4_1</v></cell><cell r="AJ4021"><v>103050783</v></cell></row><row r="4022"><cell r="C4022" t="str"><v>43309INSTAGRAM»USA-Trial-ITD-Trial Lookalike-AZR-AZR»1 x 1»SocialBan»CAN»ALL»CPA»LAL»X»NA»SS»NA»IGCTCBrandinMotion»PRC2FH</v></cell><cell r="D4022" t="str"><v>43309223935019</v></cell><cell r="E4022" t="str"><v>43309103178714PRC2FH</v></cell><cell r="F4022" t="str"><v>DCM</v></cell><cell r="G4022" t="str"><v>https://azure.microsoft.com/en-us/pricing/purchase-options/?v=18.19&OCID=AID%eexcid!_OLA_%ebuy!_%epid!_%ecid!</v></cell></row><row r="4022"><cell r="K4022" t="str"><v>July</v></cell><cell r="L4022"><v>43309</v></cell><cell r="M4022" t="str"><v>Tier 0</v></cell><cell r="N4022" t="str"><v>North America</v></cell><cell r="O4022" t="str"><v>United States</v></cell><cell r="P4022" t="str"><v>Trial</v></cell><cell r="Q4022" t="str"><v>Social</v></cell><cell r="R4022" t="str"><v>Azure</v></cell><cell r="S4022" t="str"><v>Apps & Infra</v></cell><cell r="T4022" t="str"><v>Developers & ITI's</v></cell><cell r="U4022" t="str"><v>USA-Trial-ITD-Trial Lookalike-AZR-AZR</v></cell><cell r="V4022" t="str"><v>Lookalike Targeting</v></cell><cell r="W4022" t="str"><v>Canvas Ad</v></cell><cell r="X4022" t="str"><v>1x1</v></cell></row><row r="4022"><cell r="AA4022"><v>43309</v></cell><cell r="AB4022" t="str"><v>USA_gaPMG_AZR_AZR_Q1_19_Direct-Social</v></cell><cell r="AC4022"><v>21358715</v></cell><cell r="AD4022"><v>720197</v></cell><cell r="AE4022" t="str"><v>Facebook - Instagram</v></cell><cell r="AF4022"><v>3654128</v></cell><cell r="AG4022" t="str"><v>INSTAGRAM»USA-Trial-ITD-Trial Lookalike-AZR-AZR»1 x 1»SocialBan»CAN»ALL»CPA»LAL»X»NA»SS»NA»IGCTCBrandinMotion»PRC2FH</v></cell><cell r="AH4022"><v>223935019</v></cell><cell r="AI4022" t="str"><v>AzurePlatform_IGCTCBenefit2inMotion_USA_10s_CAN_PLATFORM_English_Trial_Standard_STAN_TIN_T4_2</v></cell><cell r="AJ4022"><v>103178714</v></cell></row><row r="4023"><cell r="C4023" t="str"><v>43309INSTAGRAM»USA-Trial-ITD-Trial PayGo Lookalike-AZR-AZR»1 x 1»SocialBan»CAN»ALL»CPA»LAL»X»NA»SS»NA»IGCTCBenefit2inMotion»PRC2FZ</v></cell><cell r="D4023" t="str"><v>43309223933075</v></cell><cell r="E4023" t="str"><v>43309103180628PRC2FZ</v></cell><cell r="F4023" t="str"><v>DCM</v></cell><cell r="G4023" t="str"><v>https://signup.azure.com/?OCID=AID%eexcid!_OLA_%ebuy!_%epid!_%ecid!</v></cell></row><row r="4023"><cell r="K4023" t="str"><v>July</v></cell><cell r="L4023"><v>43309</v></cell><cell r="M4023" t="str"><v>Tier 0</v></cell><cell r="N4023" t="str"><v>North America</v></cell><cell r="O4023" t="str"><v>United States</v></cell><cell r="P4023" t="str"><v>Trial</v></cell><cell r="Q4023" t="str"><v>Social</v></cell><cell r="R4023" t="str"><v>Azure</v></cell><cell r="S4023" t="str"><v>Apps & Infra</v></cell><cell r="T4023" t="str"><v>Developers & ITI's</v></cell><cell r="U4023" t="str"><v>USA-Trial-ITD-Trial PayGo Lookalike-AZR-AZR</v></cell><cell r="V4023" t="str"><v>Lookalike Targeting</v></cell><cell r="W4023" t="str"><v>Canvas Ad</v></cell><cell r="X4023" t="str"><v>1x1</v></cell></row><row r="4023"><cell r="AA4023"><v>43309</v></cell><cell r="AB4023" t="str"><v>USA_gaPMG_AZR_AZR_Q1_19_Direct-Social</v></cell><cell r="AC4023"><v>21358715</v></cell><cell r="AD4023"><v>720197</v></cell><cell r="AE4023" t="str"><v>Facebook - Instagram</v></cell><cell r="AF4023"><v>3654128</v></cell><cell r="AG4023" t="str"><v>INSTAGRAM»USA-Trial-ITD-Trial PayGo Lookalike-AZR-AZR»1 x 1»SocialBan»CAN»ALL»CPA»LAL»X»NA»SS»NA»IGCTCBenefit2inMotion»PRC2FZ</v></cell><cell r="AH4023"><v>223933075</v></cell><cell r="AI4023" t="str"><v>AzurePlatform_IGCTCBrandinMotion_USA_10s_CAN_PLATFORM_English_Trial_Standard_STAN_TIN_T2_1</v></cell><cell r="AJ4023"><v>103180628</v></cell></row><row r="4024"><cell r="C4024" t="str"><v>43309INSTAGRAM»USA-Trial-ITD-Interest Prospecting-AZR-AZR»1 x 1»SocialBan»CAN»ALL»CPA»PRO»X»NA»SS»NA»IGCTCBasicMotion»PRC2PF</v></cell><cell r="D4024" t="str"><v>43309224106621</v></cell><cell r="E4024" t="str"><v>43309103037968PRC2PF</v></cell><cell r="F4024" t="str"><v>DCM</v></cell><cell r="G4024" t="str"><v>https://signup.azure.com/?OCID=AID%eexcid!_OLA_%ebuy!_%epid!_%ecid!</v></cell></row><row r="4024"><cell r="K4024" t="str"><v>July</v></cell><cell r="L4024"><v>43309</v></cell><cell r="M4024" t="str"><v>Tier 0</v></cell><cell r="N4024" t="str"><v>North America</v></cell><cell r="O4024" t="str"><v>United States</v></cell><cell r="P4024" t="str"><v>Trial</v></cell><cell r="Q4024" t="str"><v>Social</v></cell><cell r="R4024" t="str"><v>Azure</v></cell><cell r="S4024" t="str"><v>Apps & Infra</v></cell><cell r="T4024" t="str"><v>Developers & ITI's</v></cell><cell r="U4024" t="str"><v>USA-Trial-ITD-Interest Prospecting-AZR-AZR</v></cell><cell r="V4024" t="str"><v>Prospecting</v></cell><cell r="W4024" t="str"><v>Canvas Ad</v></cell><cell r="X4024" t="str"><v>1x1</v></cell></row><row r="4024"><cell r="AA4024"><v>43309</v></cell><cell r="AB4024" t="str"><v>USA_gaPMG_AZR_AZR_Q1_19_Direct-Social</v></cell><cell r="AC4024"><v>21358715</v></cell><cell r="AD4024"><v>720197</v></cell><cell r="AE4024" t="str"><v>Facebook - Instagram</v></cell><cell r="AF4024"><v>3654128</v></cell><cell r="AG4024" t="str"><v>INSTAGRAM»USA-Trial-ITD-Interest Prospecting-AZR-AZR»1 x 1»SocialBan»CAN»ALL»CPA»PRO»X»NA»SS»NA»IGCTCBasicMotion»PRC2PF</v></cell><cell r="AH4024"><v>224106621</v></cell><cell r="AI4024" t="str"><v>AzurePlatform_IGCTCBasicMotion_USA_10s_CAN_PLATFORM_English_Trial_Standard_STAN_TIN_T1_1</v></cell><cell r="AJ4024"><v>103037968</v></cell></row><row r="4025"><cell r="C4025" t="str"><v>43309INSTAGRAM»USA-Trial-ITD-Interest Prospecting-AZR-AZR»1 x 1»SocialBan»CAN»ALL»CPA»PRO»X»NA»SS»NA»IGCTCBenefitinMotion»PRC2PC</v></cell><cell r="D4025" t="str"><v>43309224104878</v></cell><cell r="E4025" t="str"><v>43309103180637PRC2PC</v></cell><cell r="F4025" t="str"><v>DCM</v></cell><cell r="G4025" t="str"><v>https://azure.microsoft.com/en-us/pricing/purchase-options/?v=18.19&OCID=AID%eexcid!_OLA_%ebuy!_%epid!_%ecid!</v></cell></row><row r="4025"><cell r="K4025" t="str"><v>July</v></cell><cell r="L4025"><v>43309</v></cell><cell r="M4025" t="str"><v>Tier 0</v></cell><cell r="N4025" t="str"><v>North America</v></cell><cell r="O4025" t="str"><v>United States</v></cell><cell r="P4025" t="str"><v>Trial</v></cell><cell r="Q4025" t="str"><v>Social</v></cell><cell r="R4025" t="str"><v>Azure</v></cell><cell r="S4025" t="str"><v>Apps & Infra</v></cell><cell r="T4025" t="str"><v>Developers & ITI's</v></cell><cell r="U4025" t="str"><v>USA-Trial-ITD-Interest Prospecting-AZR-AZR</v></cell><cell r="V4025" t="str"><v>Prospecting</v></cell><cell r="W4025" t="str"><v>Canvas Ad</v></cell><cell r="X4025" t="str"><v>1x1</v></cell></row><row r="4025"><cell r="AA4025"><v>43309</v></cell><cell r="AB4025" t="str"><v>USA_gaPMG_AZR_AZR_Q1_19_Direct-Social</v></cell><cell r="AC4025"><v>21358715</v></cell><cell r="AD4025"><v>720197</v></cell><cell r="AE4025" t="str"><v>Facebook - Instagram</v></cell><cell r="AF4025"><v>3654128</v></cell><cell r="AG4025" t="str"><v>INSTAGRAM»USA-Trial-ITD-Interest Prospecting-AZR-AZR»1 x 1»SocialBan»CAN»ALL»CPA»PRO»X»NA»SS»NA»IGCTCBenefitinMotion»PRC2PC</v></cell><cell r="AH4025"><v>224104878</v></cell><cell r="AI4025" t="str"><v>AzurePlatform_IGCTCBenefitinMotion_USA_10s_CAN_PLATFORM_English_Trial_Standard_STAN_TIN_T3_2</v></cell><cell r="AJ4025"><v>103180637</v></cell></row><row r="4026"><cell r="C4026" t="str"><v>43309INSTAGRAM»USA-Trial-ITD-Trial Lookalike-AZR-AZR»1 x 1»SocialBan»CAN»ALL»CPA»LAL»X»NA»SS»NA»IGCTCBasicMotion»PRC0C2</v></cell><cell r="D4026" t="str"><v>43309224107017</v></cell><cell r="E4026" t="str"><v>43309103037968PRC0C2</v></cell><cell r="F4026" t="str"><v>DCM</v></cell><cell r="G4026" t="str"><v>https://signup.azure.com/?OCID=AID%eexcid!_OLA_%ebuy!_%epid!_%ecid!</v></cell></row><row r="4026"><cell r="K4026" t="str"><v>July</v></cell><cell r="L4026"><v>43309</v></cell><cell r="M4026" t="str"><v>Tier 0</v></cell><cell r="N4026" t="str"><v>North America</v></cell><cell r="O4026" t="str"><v>United States</v></cell><cell r="P4026" t="str"><v>Trial</v></cell><cell r="Q4026" t="str"><v>Social</v></cell><cell r="R4026" t="str"><v>Azure</v></cell><cell r="S4026" t="str"><v>Apps & Infra</v></cell><cell r="T4026" t="str"><v>Developers & ITI's</v></cell><cell r="U4026" t="str"><v>USA-Trial-ITD-Trial Lookalike-AZR-AZR</v></cell><cell r="V4026" t="str"><v>Lookalike Targeting</v></cell><cell r="W4026" t="str"><v>Canvas Ad</v></cell><cell r="X4026" t="str"><v>1x1</v></cell></row><row r="4026"><cell r="AA4026"><v>43309</v></cell><cell r="AB4026" t="str"><v>USA_gaPMG_AZR_AZR_Q1_19_Direct-Social</v></cell><cell r="AC4026"><v>21358715</v></cell><cell r="AD4026"><v>720197</v></cell><cell r="AE4026" t="str"><v>Facebook - Instagram</v></cell><cell r="AF4026"><v>3654128</v></cell><cell r="AG4026" t="str"><v>INSTAGRAM»USA-Trial-ITD-Trial Lookalike-AZR-AZR»1 x 1»SocialBan»CAN»ALL»CPA»LAL»X»NA»SS»NA»IGCTCBasicMotion»PRC0C2</v></cell><cell r="AH4026"><v>224107017</v></cell><cell r="AI4026" t="str"><v>AzurePlatform_IGCTCBasicMotion_USA_10s_CAN_PLATFORM_English_Trial_Standard_STAN_TIN_T1_1</v></cell><cell r="AJ4026"><v>103037968</v></cell></row><row r="4027"><cell r="C4027" t="str"><v>43309INSTAGRAM»USA-Trial-ITD-Trial Lookalike-AZR-AZR»1 x 1»SocialBan»CAN»ALL»CPA»LAL»X»NA»SS»NA»IGCTCBenefitinMotion»PRC2FK</v></cell><cell r="D4027" t="str"><v>43309224107542</v></cell><cell r="E4027" t="str"><v>43309103050780PRC2FK</v></cell><cell r="F4027" t="str"><v>DCM</v></cell><cell r="G4027" t="str"><v>https://signup.azure.com/?OCID=AID%eexcid!_OLA_%ebuy!_%epid!_%ecid!</v></cell></row><row r="4027"><cell r="K4027" t="str"><v>July</v></cell><cell r="L4027"><v>43309</v></cell><cell r="M4027" t="str"><v>Tier 0</v></cell><cell r="N4027" t="str"><v>North America</v></cell><cell r="O4027" t="str"><v>United States</v></cell><cell r="P4027" t="str"><v>Trial</v></cell><cell r="Q4027" t="str"><v>Social</v></cell><cell r="R4027" t="str"><v>Azure</v></cell><cell r="S4027" t="str"><v>Apps & Infra</v></cell><cell r="T4027" t="str"><v>Developers & ITI's</v></cell><cell r="U4027" t="str"><v>USA-Trial-ITD-Trial Lookalike-AZR-AZR</v></cell><cell r="V4027" t="str"><v>Lookalike Targeting</v></cell><cell r="W4027" t="str"><v>Canvas Ad</v></cell><cell r="X4027" t="str"><v>1x1</v></cell></row><row r="4027"><cell r="AA4027"><v>43309</v></cell><cell r="AB4027" t="str"><v>USA_gaPMG_AZR_AZR_Q1_19_Direct-Social</v></cell><cell r="AC4027"><v>21358715</v></cell><cell r="AD4027"><v>720197</v></cell><cell r="AE4027" t="str"><v>Facebook - Instagram</v></cell><cell r="AF4027"><v>3654128</v></cell><cell r="AG4027" t="str"><v>INSTAGRAM»USA-Trial-ITD-Trial Lookalike-AZR-AZR»1 x 1»SocialBan»CAN»ALL»CPA»LAL»X»NA»SS»NA»IGCTCBenefitinMotion»PRC2FK</v></cell><cell r="AH4027"><v>224107542</v></cell><cell r="AI4027" t="str"><v>AzurePlatform_IGCTCBenefitinMotion_USA_10s_CAN_PLATFORM_English_Trial_Standard_STAN_TIN_T3_1</v></cell><cell r="AJ4027"><v>103050780</v></cell></row><row r="4028"><cell r="C4028" t="str"><v>43309INSTAGRAM»USA-Trial-ITD-Trial Lookalike-AZR-AZR»1 x 1»SocialBan»CAN»ALL»CPA»LAL»X»NA»SS»NA»IGCTCBenefitinMotion»PRC2FK</v></cell><cell r="D4028" t="str"><v>43309224107542</v></cell><cell r="E4028" t="str"><v>43309103180637PRC2FK</v></cell><cell r="F4028" t="str"><v>DCM</v></cell><cell r="G4028" t="str"><v>https://azure.microsoft.com/en-us/pricing/purchase-options/?v=18.19&OCID=AID%eexcid!_OLA_%ebuy!_%epid!_%ecid!</v></cell></row><row r="4028"><cell r="K4028" t="str"><v>July</v></cell><cell r="L4028"><v>43309</v></cell><cell r="M4028" t="str"><v>Tier 0</v></cell><cell r="N4028" t="str"><v>North America</v></cell><cell r="O4028" t="str"><v>United States</v></cell><cell r="P4028" t="str"><v>Trial</v></cell><cell r="Q4028" t="str"><v>Social</v></cell><cell r="R4028" t="str"><v>Azure</v></cell><cell r="S4028" t="str"><v>Apps & Infra</v></cell><cell r="T4028" t="str"><v>Developers & ITI's</v></cell><cell r="U4028" t="str"><v>USA-Trial-ITD-Trial Lookalike-AZR-AZR</v></cell><cell r="V4028" t="str"><v>Lookalike Targeting</v></cell><cell r="W4028" t="str"><v>Canvas Ad</v></cell><cell r="X4028" t="str"><v>1x1</v></cell></row><row r="4028"><cell r="AA4028"><v>43309</v></cell><cell r="AB4028" t="str"><v>USA_gaPMG_AZR_AZR_Q1_19_Direct-Social</v></cell><cell r="AC4028"><v>21358715</v></cell><cell r="AD4028"><v>720197</v></cell><cell r="AE4028" t="str"><v>Facebook - Instagram</v></cell><cell r="AF4028"><v>3654128</v></cell><cell r="AG4028" t="str"><v>INSTAGRAM»USA-Trial-ITD-Trial Lookalike-AZR-AZR»1 x 1»SocialBan»CAN»ALL»CPA»LAL»X»NA»SS»NA»IGCTCBenefitinMotion»PRC2FK</v></cell><cell r="AH4028"><v>224107542</v></cell><cell r="AI4028" t="str"><v>AzurePlatform_IGCTCBenefitinMotion_USA_10s_CAN_PLATFORM_English_Trial_Standard_STAN_TIN_T3_2</v></cell><cell r="AJ4028"><v>103180637</v></cell></row><row r="4029"><cell r="C4029" t="str"><v>43309INSTAGRAM»USA-Trial-ITD-Trial PayGo Lookalike-AZR-AZR»1 x 1»SocialBan»CAN»ALL»CPA»LAL»X»NA»SS»NA»IGCTCBasicMotion»PRC2G0</v></cell><cell r="D4029" t="str"><v>43309224106891</v></cell><cell r="E4029" t="str"><v>43309103037968PRC2G0</v></cell><cell r="F4029" t="str"><v>DCM</v></cell><cell r="G4029" t="str"><v>https://signup.azure.com/?OCID=AID%eexcid!_OLA_%ebuy!_%epid!_%ecid!</v></cell></row><row r="4029"><cell r="K4029" t="str"><v>July</v></cell><cell r="L4029"><v>43309</v></cell><cell r="M4029" t="str"><v>Tier 0</v></cell><cell r="N4029" t="str"><v>North America</v></cell><cell r="O4029" t="str"><v>United States</v></cell><cell r="P4029" t="str"><v>Trial</v></cell><cell r="Q4029" t="str"><v>Social</v></cell><cell r="R4029" t="str"><v>Azure</v></cell><cell r="S4029" t="str"><v>Apps & Infra</v></cell><cell r="T4029" t="str"><v>Developers & ITI's</v></cell><cell r="U4029" t="str"><v>USA-Trial-ITD-Trial PayGo Lookalike-AZR-AZR</v></cell><cell r="V4029" t="str"><v>Lookalike Targeting</v></cell><cell r="W4029" t="str"><v>Canvas Ad</v></cell><cell r="X4029" t="str"><v>1x1</v></cell></row><row r="4029"><cell r="AA4029"><v>43309</v></cell><cell r="AB4029" t="str"><v>USA_gaPMG_AZR_AZR_Q1_19_Direct-Social</v></cell><cell r="AC4029"><v>21358715</v></cell><cell r="AD4029"><v>720197</v></cell><cell r="AE4029" t="str"><v>Facebook - Instagram</v></cell><cell r="AF4029"><v>3654128</v></cell><cell r="AG4029" t="str"><v>INSTAGRAM»USA-Trial-ITD-Trial PayGo Lookalike-AZR-AZR»1 x 1»SocialBan»CAN»ALL»CPA»LAL»X»NA»SS»NA»IGCTCBasicMotion»PRC2G0</v></cell><cell r="AH4029"><v>224106891</v></cell><cell r="AI4029" t="str"><v>AzurePlatform_IGCTCBasicMotion_USA_10s_CAN_PLATFORM_English_Trial_Standard_STAN_TIN_T1_1</v></cell><cell r="AJ4029"><v>103037968</v></cell></row><row r="4030"><cell r="C4030" t="str"><v>43310Facebook»Audience & Interest Targeting»1x1»Canvas»OTH»DT»DYN»AUT»W»NA»SS»NA»FBCTCcanvaspage-StartFreeCTA_FBCTCcanvaspage-BuyNowCTA</v></cell><cell r="D4030" t="str"><v>43310224639151</v></cell><cell r="E4030" t="str"><v>43310103316832NowCTA</v></cell><cell r="F4030" t="str"><v>DCM</v></cell><cell r="G4030" t="str"><v>https://azure.microsoft.com/en-au/pricing/purchase-options/</v></cell></row><row r="4030"><cell r="K4030" t="str"><v>July</v></cell><cell r="L4030"><v>43316</v></cell><cell r="M4030" t="str"><v>Tier 1</v></cell><cell r="N4030" t="str"><v>APAC</v></cell><cell r="O4030" t="str"><v>Australia</v></cell><cell r="P4030" t="str"><v>Trial</v></cell><cell r="Q4030" t="str"><v>Social</v></cell><cell r="R4030" t="str"><v>Azure</v></cell><cell r="S4030" t="str"><v>Apps & Infra</v></cell><cell r="T4030" t="str"><v>Developers & ITI's</v></cell><cell r="U4030" t="str"><v>Audience & Interest Targeting</v></cell><cell r="V4030" t="str"><v>Audience Targeting</v></cell><cell r="W4030" t="str"><v>Other</v></cell><cell r="X4030" t="str"><v>1x1</v></cell></row><row r="4030"><cell r="AA4030"><v>43310</v></cell><cell r="AB4030" t="str"><v>AUS_gaPMG_AZR_AZR_Q1_19_Trial-Social</v></cell><cell r="AC4030"><v>21358568</v></cell><cell r="AD4030"><v>720191</v></cell><cell r="AE4030" t="str"><v>Facebook</v></cell><cell r="AF4030"><v>3654128</v></cell><cell r="AG4030" t="str"><v>Facebook»Audience & Interest Targeting»1x1»Canvas»OTH»DT»DYN»AUT»W»NA»SS»NA»FBCTCcanvaspage-StartFreeCTA_FBCTCcanvaspage-BuyNowCTA</v></cell><cell r="AH4030"><v>224639151</v></cell><cell r="AI4030" t="str"><v>AzurePlatform_FBCTCcanvaspage-BuyNowCTA-Img3_AUS_1080x162_SOC_Plat_English_NA_Standard_NA_BN_T3_1</v></cell><cell r="AJ4030"><v>103316832</v></cell></row><row r="4031"><cell r="C4031" t="str"><v>43310Facebook»Audience & Interest Targeting»1x1»Canvas»OTH»DT»DYN»AUT»W»NA»SS»NA»FBCTCcanvaspage-StartFreeCTA_FBCTCcanvaspage-BuyNowCTA</v></cell><cell r="D4031" t="str"><v>43310224639151</v></cell><cell r="E4031" t="str"><v>43310103316829NowCTA</v></cell><cell r="F4031" t="str"><v>DCM</v></cell><cell r="G4031" t="str"><v>https://signup.azure.com/signup?offer=ms-azr-0044p&appId=102&ref=paidmedia-social-fb&redirectURL=https%3a%2f%2fazure.microsoft.com%2fen-au%2fget-started%2fwelcome-to-azure%2f&l=en-au&correlationId=ead86c34-1f10-49dd-a72b-6918462a2cbf</v></cell></row><row r="4031"><cell r="K4031" t="str"><v>July</v></cell><cell r="L4031"><v>43316</v></cell><cell r="M4031" t="str"><v>Tier 1</v></cell><cell r="N4031" t="str"><v>APAC</v></cell><cell r="O4031" t="str"><v>Australia</v></cell><cell r="P4031" t="str"><v>Trial</v></cell><cell r="Q4031" t="str"><v>Social</v></cell><cell r="R4031" t="str"><v>Azure</v></cell><cell r="S4031" t="str"><v>Apps & Infra</v></cell><cell r="T4031" t="str"><v>Developers & ITI's</v></cell><cell r="U4031" t="str"><v>Audience & Interest Targeting</v></cell><cell r="V4031" t="str"><v>Audience Targeting</v></cell><cell r="W4031" t="str"><v>Other</v></cell><cell r="X4031" t="str"><v>1x1</v></cell></row><row r="4031"><cell r="AA4031"><v>43310</v></cell><cell r="AB4031" t="str"><v>AUS_gaPMG_AZR_AZR_Q1_19_Trial-Social</v></cell><cell r="AC4031"><v>21358568</v></cell><cell r="AD4031"><v>720191</v></cell><cell r="AE4031" t="str"><v>Facebook</v></cell><cell r="AF4031"><v>3654128</v></cell><cell r="AG4031" t="str"><v>Facebook»Audience & Interest Targeting»1x1»Canvas»OTH»DT»DYN»AUT»W»NA»SS»NA»FBCTCcanvaspage-StartFreeCTA_FBCTCcanvaspage-BuyNowCTA</v></cell><cell r="AH4031"><v>224639151</v></cell><cell r="AI4031" t="str"><v>AzurePlatform_FBCTCcanvaspage-StartFreeCTA-Img2_AUS_1080x143 _SOC_Plat_English_NA_Standard_NA_NA_T2_1</v></cell><cell r="AJ4031"><v>103316829</v></cell></row><row r="4032"><cell r="C4032" t="str"><v>43310Facebook»Audience & Interest Targeting»1x1»TextLink»OTH»DT»DYN»AUT»W»NA»SS»NA»Free Account Refresh- 12 months ChE</v></cell><cell r="D4032" t="str"><v>43310224160783</v></cell><cell r="E4032" t="str"><v>43310103051614hs ChE</v></cell><cell r="F4032" t="str"><v>DCM</v></cell></row><row r="4032"><cell r="K4032" t="str"><v>July</v></cell><cell r="L4032"><v>43316</v></cell><cell r="M4032" t="str"><v>Tier 1</v></cell><cell r="N4032" t="str"><v>APAC</v></cell><cell r="O4032" t="str"><v>Australia</v></cell><cell r="P4032" t="str"><v>Trial</v></cell><cell r="Q4032" t="str"><v>Social</v></cell><cell r="R4032" t="str"><v>Azure</v></cell><cell r="S4032" t="str"><v>Apps & Infra</v></cell><cell r="T4032" t="str"><v>Developers & ITI's</v></cell><cell r="U4032" t="str"><v>Audience & Interest Targeting</v></cell><cell r="V4032" t="str"><v>Audience Targeting</v></cell><cell r="W4032" t="str"><v>Other</v></cell><cell r="X4032" t="str"><v>1x1</v></cell></row><row r="4032"><cell r="AA4032"><v>43310</v></cell><cell r="AB4032" t="str"><v>AUS_gaPMG_AZR_AZR_Q1_19_Trial-Social</v></cell><cell r="AC4032"><v>21358568</v></cell><cell r="AD4032"><v>720191</v></cell><cell r="AE4032" t="str"><v>Facebook</v></cell><cell r="AF4032"><v>3654128</v></cell><cell r="AG4032" t="str"><v>Facebook»Audience & Interest Targeting»1x1»TextLink»OTH»DT»DYN»AUT»W»NA»SS»NA»Free Account Refresh- 12 months ChE</v></cell><cell r="AH4032"><v>224160783</v></cell><cell r="AI4032" t="str"><v>AzurePlatform_FreeAcctAppsFACEBOOK12monthsChE_AUS_1200x628_SOC_PLAT_EN_Trial_Standard_NA_SNU_T5_1</v></cell><cell r="AJ4032"><v>103051614</v></cell></row><row r="4033"><cell r="C4033" t="str"><v>43310Facebook»Audience & Interest Targeting»1x1»TextLink»OTH»DT»DYN»AUT»W»NA»SS»NA»Free Account Refresh- 200 Credit ChD</v></cell><cell r="D4033" t="str"><v>43310224160780</v></cell><cell r="E4033" t="str"><v>43310103186904it ChD</v></cell><cell r="F4033" t="str"><v>DCM</v></cell></row><row r="4033"><cell r="K4033" t="str"><v>July</v></cell><cell r="L4033"><v>43316</v></cell><cell r="M4033" t="str"><v>Tier 1</v></cell><cell r="N4033" t="str"><v>APAC</v></cell><cell r="O4033" t="str"><v>Australia</v></cell><cell r="P4033" t="str"><v>Trial</v></cell><cell r="Q4033" t="str"><v>Social</v></cell><cell r="R4033" t="str"><v>Azure</v></cell><cell r="S4033" t="str"><v>Apps & Infra</v></cell><cell r="T4033" t="str"><v>Developers & ITI's</v></cell><cell r="U4033" t="str"><v>Audience & Interest Targeting</v></cell><cell r="V4033" t="str"><v>Audience Targeting</v></cell><cell r="W4033" t="str"><v>Other</v></cell><cell r="X4033" t="str"><v>1x1</v></cell></row><row r="4033"><cell r="AA4033"><v>43310</v></cell><cell r="AB4033" t="str"><v>AUS_gaPMG_AZR_AZR_Q1_19_Trial-Social</v></cell><cell r="AC4033"><v>21358568</v></cell><cell r="AD4033"><v>720191</v></cell><cell r="AE4033" t="str"><v>Facebook</v></cell><cell r="AF4033"><v>3654128</v></cell><cell r="AG4033" t="str"><v>Facebook»Audience & Interest Targeting»1x1»TextLink»OTH»DT»DYN»AUT»W»NA»SS»NA»Free Account Refresh- 200 Credit ChD</v></cell><cell r="AH4033"><v>224160780</v></cell><cell r="AI4033" t="str"><v>AzurePlatform_FreeAcctAppsFACEBOOK200CreditChD_AUS_1200x628_SOC_PLAT_EN_Trial_Standard_NA_SNU_T4_1</v></cell><cell r="AJ4033"><v>103186904</v></cell></row><row r="4034"><cell r="C4034" t="str"><v>43310Facebook»Audience & Interest Targeting»1x1»TextLink»OTH»DT»DYN»AUT»W»NA»SS»NA»Free Account Refresh- Device ChB</v></cell><cell r="D4034" t="str"><v>43310224160777</v></cell><cell r="E4034" t="str"><v>43310103048479ce ChB</v></cell><cell r="F4034" t="str"><v>DCM</v></cell></row><row r="4034"><cell r="K4034" t="str"><v>July</v></cell><cell r="L4034"><v>43316</v></cell><cell r="M4034" t="str"><v>Tier 1</v></cell><cell r="N4034" t="str"><v>APAC</v></cell><cell r="O4034" t="str"><v>Australia</v></cell><cell r="P4034" t="str"><v>Trial</v></cell><cell r="Q4034" t="str"><v>Social</v></cell><cell r="R4034" t="str"><v>Azure</v></cell><cell r="S4034" t="str"><v>Apps & Infra</v></cell><cell r="T4034" t="str"><v>Developers & ITI's</v></cell><cell r="U4034" t="str"><v>Audience & Interest Targeting</v></cell><cell r="V4034" t="str"><v>Audience Targeting</v></cell><cell r="W4034" t="str"><v>Other</v></cell><cell r="X4034" t="str"><v>1x1</v></cell></row><row r="4034"><cell r="AA4034"><v>43310</v></cell><cell r="AB4034" t="str"><v>AUS_gaPMG_AZR_AZR_Q1_19_Trial-Social</v></cell><cell r="AC4034"><v>21358568</v></cell><cell r="AD4034"><v>720191</v></cell><cell r="AE4034" t="str"><v>Facebook</v></cell><cell r="AF4034"><v>3654128</v></cell><cell r="AG4034" t="str"><v>Facebook»Audience & Interest Targeting»1x1»TextLink»OTH»DT»DYN»AUT»W»NA»SS»NA»Free Account Refresh- Device ChB</v></cell><cell r="AH4034"><v>224160777</v></cell><cell r="AI4034" t="str"><v>AzurePlatform_FreeAcctAppsFACEBOOKDeviceChB_AUS_1200x628_SOC_PLAT_EN_Trial_Standard_NA_SNU_T2_1</v></cell><cell r="AJ4034"><v>103048479</v></cell></row><row r="4035"><cell r="C4035" t="str"><v>43310Facebook»Audience & Interest Targeting»1x1»TextLink»OTH»DT»DYN»AUT»W»NA»SS»NA»Free Account Refresh- Illustration ChC</v></cell><cell r="D4035" t="str"><v>43310224160774</v></cell><cell r="E4035" t="str"><v>43310103186910on ChC</v></cell><cell r="F4035" t="str"><v>DCM</v></cell></row><row r="4035"><cell r="K4035" t="str"><v>July</v></cell><cell r="L4035"><v>43316</v></cell><cell r="M4035" t="str"><v>Tier 1</v></cell><cell r="N4035" t="str"><v>APAC</v></cell><cell r="O4035" t="str"><v>Australia</v></cell><cell r="P4035" t="str"><v>Trial</v></cell><cell r="Q4035" t="str"><v>Social</v></cell><cell r="R4035" t="str"><v>Azure</v></cell><cell r="S4035" t="str"><v>Apps & Infra</v></cell><cell r="T4035" t="str"><v>Developers & ITI's</v></cell><cell r="U4035" t="str"><v>Audience & Interest Targeting</v></cell><cell r="V4035" t="str"><v>Audience Targeting</v></cell><cell r="W4035" t="str"><v>Other</v></cell><cell r="X4035" t="str"><v>1x1</v></cell></row><row r="4035"><cell r="AA4035"><v>43310</v></cell><cell r="AB4035" t="str"><v>AUS_gaPMG_AZR_AZR_Q1_19_Trial-Social</v></cell><cell r="AC4035"><v>21358568</v></cell><cell r="AD4035"><v>720191</v></cell><cell r="AE4035" t="str"><v>Facebook</v></cell><cell r="AF4035"><v>3654128</v></cell><cell r="AG4035" t="str"><v>Facebook»Audience & Interest Targeting»1x1»TextLink»OTH»DT»DYN»AUT»W»NA»SS»NA»Free Account Refresh- Illustration ChC</v></cell><cell r="AH4035"><v>224160774</v></cell><cell r="AI4035" t="str"><v>AzurePlatform_FreeAcctAppsFACEBOOKIllustrationChC_AUS_1200x628_SOC_PLAT_EN_Trial_Standard_NA_SNU_T3_1</v></cell><cell r="AJ4035"><v>103186910</v></cell></row><row r="4036"><cell r="C4036" t="str"><v>43310Facebook»Audience & Interest Targeting»1x1»TextLink»OTH»DT»DYN»AUT»W»NA»SS»NA»Free Account Refresh- Lifestyle ChA</v></cell><cell r="D4036" t="str"><v>43310224160771</v></cell><cell r="E4036" t="str"><v>43310103048488le ChA</v></cell><cell r="F4036" t="str"><v>DCM</v></cell></row><row r="4036"><cell r="K4036" t="str"><v>July</v></cell><cell r="L4036"><v>43316</v></cell><cell r="M4036" t="str"><v>Tier 1</v></cell><cell r="N4036" t="str"><v>APAC</v></cell><cell r="O4036" t="str"><v>Australia</v></cell><cell r="P4036" t="str"><v>Trial</v></cell><cell r="Q4036" t="str"><v>Social</v></cell><cell r="R4036" t="str"><v>Azure</v></cell><cell r="S4036" t="str"><v>Apps & Infra</v></cell><cell r="T4036" t="str"><v>Developers & ITI's</v></cell><cell r="U4036" t="str"><v>Audience & Interest Targeting</v></cell><cell r="V4036" t="str"><v>Audience Targeting</v></cell><cell r="W4036" t="str"><v>Other</v></cell><cell r="X4036" t="str"><v>1x1</v></cell></row><row r="4036"><cell r="AA4036"><v>43310</v></cell><cell r="AB4036" t="str"><v>AUS_gaPMG_AZR_AZR_Q1_19_Trial-Social</v></cell><cell r="AC4036"><v>21358568</v></cell><cell r="AD4036"><v>720191</v></cell><cell r="AE4036" t="str"><v>Facebook</v></cell><cell r="AF4036"><v>3654128</v></cell><cell r="AG4036" t="str"><v>Facebook»Audience & Interest Targeting»1x1»TextLink»OTH»DT»DYN»AUT»W»NA»SS»NA»Free Account Refresh- Lifestyle ChA</v></cell><cell r="AH4036"><v>224160771</v></cell><cell r="AI4036" t="str"><v>AzurePlatform_FreeAcctAppsFACEBOOKLifestyleChA_AUS_1200x628_SOC_PLAT_EN_Trial_Standard_NA_SNU_T1_1</v></cell><cell r="AJ4036"><v>103048488</v></cell></row><row r="4037"><cell r="C4037" t="str"><v>43310Facebook»AZR»1x1»NA»EGV»ALL»DYN»AUT»D»All»SS»NA»Free Acc CTC - T1 - FR</v></cell><cell r="D4037" t="str"><v>43310223691801</v></cell><cell r="E4037" t="str"><v>433101030533231 - FR</v></cell><cell r="F4037" t="str"><v>DCM</v></cell><cell r="G4037" t="str"><v>https://signup.azure.com/</v></cell></row><row r="4037"><cell r="K4037" t="str"><v>July</v></cell><cell r="L4037"><v>43316</v></cell><cell r="M4037" t="str"><v>Tier 1</v></cell><cell r="N4037" t="str"><v>North America</v></cell><cell r="O4037" t="str"><v>Canada</v></cell><cell r="P4037" t="str"><v>Trial</v></cell><cell r="Q4037" t="str"><v>Social</v></cell><cell r="R4037" t="str"><v>Azure</v></cell><cell r="S4037" t="str"><v>Apps & Infra</v></cell><cell r="T4037" t="str"><v>Developers & ITI's</v></cell><cell r="U4037" t="str"><v>AZR</v></cell><cell r="V4037" t="str"><v>Audience Targeting</v></cell><cell r="W4037" t="str"><v>Engagement Video</v></cell><cell r="X4037" t="str"><v>1x1</v></cell></row><row r="4037"><cell r="AA4037"><v>43310</v></cell><cell r="AB4037" t="str"><v>CAN_gaPMG_AZR_AZR_Q1_19_Trial-Social</v></cell><cell r="AC4037"><v>21337220</v></cell><cell r="AD4037"><v>720192</v></cell><cell r="AE4037" t="str"><v>Facebook</v></cell><cell r="AF4037"><v>3654128</v></cell><cell r="AG4037" t="str"><v>Facebook»AZR»1x1»NA»EGV»ALL»DYN»AUT»D»All»SS»NA»Free Acc CTC - T1 - FR</v></cell><cell r="AH4037"><v>223691801</v></cell><cell r="AI4037" t="str"><v>AzurePlatform_FBCTCBasicMotion_CAN_10s_ISV_PLAT_FR_Trial_Standard_STAN_TN_T1_1</v></cell><cell r="AJ4037"><v>103053323</v></cell></row><row r="4038"><cell r="C4038" t="str"><v>43310Facebook»AZR»1x1»NA»EGV»ALL»DYN»AUT»D»All»SS»NA»Free Acc CTC - T2 - EN</v></cell><cell r="D4038" t="str"><v>43310223691840</v></cell><cell r="E4038" t="str"><v>433101029029502 - EN</v></cell><cell r="F4038" t="str"><v>DCM</v></cell><cell r="G4038" t="str"><v>https://signup.azure.com/</v></cell></row><row r="4038"><cell r="K4038" t="str"><v>July</v></cell><cell r="L4038"><v>43316</v></cell><cell r="M4038" t="str"><v>Tier 1</v></cell><cell r="N4038" t="str"><v>North America</v></cell><cell r="O4038" t="str"><v>Canada</v></cell><cell r="P4038" t="str"><v>Trial</v></cell><cell r="Q4038" t="str"><v>Social</v></cell><cell r="R4038" t="str"><v>Azure</v></cell><cell r="S4038" t="str"><v>Apps & Infra</v></cell><cell r="T4038" t="str"><v>Developers & ITI's</v></cell><cell r="U4038" t="str"><v>AZR</v></cell><cell r="V4038" t="str"><v>Audience Targeting</v></cell><cell r="W4038" t="str"><v>Engagement Video</v></cell><cell r="X4038" t="str"><v>1x1</v></cell></row><row r="4038"><cell r="AA4038"><v>43310</v></cell><cell r="AB4038" t="str"><v>CAN_gaPMG_AZR_AZR_Q1_19_Trial-Social</v></cell><cell r="AC4038"><v>21337220</v></cell><cell r="AD4038"><v>720192</v></cell><cell r="AE4038" t="str"><v>Facebook</v></cell><cell r="AF4038"><v>3654128</v></cell><cell r="AG4038" t="str"><v>Facebook»AZR»1x1»NA»EGV»ALL»DYN»AUT»D»All»SS»NA»Free Acc CTC - T2 - EN</v></cell><cell r="AH4038"><v>223691840</v></cell><cell r="AI4038" t="str"><v>AzurePlatform_FBCTCBrandinMotion_CAN_12s_ISV_PLAT_English_Trial_Standard_STAN_TN_T2_1</v></cell><cell r="AJ4038"><v>102902950</v></cell></row><row r="4039"><cell r="C4039" t="str"><v>43310Facebook»AZR»1x1»NA»EGV»ALL»DYN»AUT»D»All»SS»NA»Free Acc CTC - T2 - FR</v></cell><cell r="D4039" t="str"><v>43310223691798</v></cell><cell r="E4039" t="str"><v>433101029163472 - FR</v></cell><cell r="F4039" t="str"><v>DCM</v></cell><cell r="G4039" t="str"><v>https://signup.azure.com/</v></cell></row><row r="4039"><cell r="K4039" t="str"><v>July</v></cell><cell r="L4039"><v>43316</v></cell><cell r="M4039" t="str"><v>Tier 1</v></cell><cell r="N4039" t="str"><v>North America</v></cell><cell r="O4039" t="str"><v>Canada</v></cell><cell r="P4039" t="str"><v>Trial</v></cell><cell r="Q4039" t="str"><v>Social</v></cell><cell r="R4039" t="str"><v>Azure</v></cell><cell r="S4039" t="str"><v>Apps & Infra</v></cell><cell r="T4039" t="str"><v>Developers & ITI's</v></cell><cell r="U4039" t="str"><v>AZR</v></cell><cell r="V4039" t="str"><v>Audience Targeting</v></cell><cell r="W4039" t="str"><v>Engagement Video</v></cell><cell r="X4039" t="str"><v>1x1</v></cell></row><row r="4039"><cell r="AA4039"><v>43310</v></cell><cell r="AB4039" t="str"><v>CAN_gaPMG_AZR_AZR_Q1_19_Trial-Social</v></cell><cell r="AC4039"><v>21337220</v></cell><cell r="AD4039"><v>720192</v></cell><cell r="AE4039" t="str"><v>Facebook</v></cell><cell r="AF4039"><v>3654128</v></cell><cell r="AG4039" t="str"><v>Facebook»AZR»1x1»NA»EGV»ALL»DYN»AUT»D»All»SS»NA»Free Acc CTC - T2 - FR</v></cell><cell r="AH4039"><v>223691798</v></cell><cell r="AI4039" t="str"><v>AzurePlatform_FBCTCBrandinMotion_CAN_12s_ISV_PLAT_FR_Trial_Standard_STAN_TN_T2_1</v></cell><cell r="AJ4039"><v>102916347</v></cell></row><row r="4040"><cell r="C4040" t="str"><v>43310Facebook»AZR»1x1»NA»EGV»ALL»DYN»AUT»D»All»SS»NA»Free Acc CTC - T4 - EN</v></cell><cell r="D4040" t="str"><v>43310223691837</v></cell><cell r="E4040" t="str"><v>433101030533144 - EN</v></cell><cell r="F4040" t="str"><v>DCM</v></cell><cell r="G4040" t="str"><v>https://signup.azure.com/</v></cell></row><row r="4040"><cell r="K4040" t="str"><v>July</v></cell><cell r="L4040"><v>43316</v></cell><cell r="M4040" t="str"><v>Tier 1</v></cell><cell r="N4040" t="str"><v>North America</v></cell><cell r="O4040" t="str"><v>Canada</v></cell><cell r="P4040" t="str"><v>Trial</v></cell><cell r="Q4040" t="str"><v>Social</v></cell><cell r="R4040" t="str"><v>Azure</v></cell><cell r="S4040" t="str"><v>Apps & Infra</v></cell><cell r="T4040" t="str"><v>Developers & ITI's</v></cell><cell r="U4040" t="str"><v>AZR</v></cell><cell r="V4040" t="str"><v>Audience Targeting</v></cell><cell r="W4040" t="str"><v>Engagement Video</v></cell><cell r="X4040" t="str"><v>1x1</v></cell></row><row r="4040"><cell r="AA4040"><v>43310</v></cell><cell r="AB4040" t="str"><v>CAN_gaPMG_AZR_AZR_Q1_19_Trial-Social</v></cell><cell r="AC4040"><v>21337220</v></cell><cell r="AD4040"><v>720192</v></cell><cell r="AE4040" t="str"><v>Facebook</v></cell><cell r="AF4040"><v>3654128</v></cell><cell r="AG4040" t="str"><v>Facebook»AZR»1x1»NA»EGV»ALL»DYN»AUT»D»All»SS»NA»Free Acc CTC - T4 - EN</v></cell><cell r="AH4040"><v>223691837</v></cell><cell r="AI4040" t="str"><v>AzurePlatform_FBCTCBenefit2inMotion_CAN_14s_ISV_PLAT_English_Trial_Standard_STAN_TN_T4_1</v></cell><cell r="AJ4040"><v>103053314</v></cell></row><row r="4041"><cell r="C4041" t="str"><v>43310Facebook»AZR»1x1»NA»EGV»ALL»DYN»AUT»D»All»SS»NA»Free Acc CTC - T4 - FR</v></cell><cell r="D4041" t="str"><v>43310223691795</v></cell><cell r="E4041" t="str"><v>433101029006884 - FR</v></cell><cell r="F4041" t="str"><v>DCM</v></cell><cell r="G4041" t="str"><v>https://signup.azure.com/</v></cell></row><row r="4041"><cell r="K4041" t="str"><v>July</v></cell><cell r="L4041"><v>43316</v></cell><cell r="M4041" t="str"><v>Tier 1</v></cell><cell r="N4041" t="str"><v>North America</v></cell><cell r="O4041" t="str"><v>Canada</v></cell><cell r="P4041" t="str"><v>Trial</v></cell><cell r="Q4041" t="str"><v>Social</v></cell><cell r="R4041" t="str"><v>Azure</v></cell><cell r="S4041" t="str"><v>Apps & Infra</v></cell><cell r="T4041" t="str"><v>Developers & ITI's</v></cell><cell r="U4041" t="str"><v>AZR</v></cell><cell r="V4041" t="str"><v>Audience Targeting</v></cell><cell r="W4041" t="str"><v>Engagement Video</v></cell><cell r="X4041" t="str"><v>1x1</v></cell></row><row r="4041"><cell r="AA4041"><v>43310</v></cell><cell r="AB4041" t="str"><v>CAN_gaPMG_AZR_AZR_Q1_19_Trial-Social</v></cell><cell r="AC4041"><v>21337220</v></cell><cell r="AD4041"><v>720192</v></cell><cell r="AE4041" t="str"><v>Facebook</v></cell><cell r="AF4041"><v>3654128</v></cell><cell r="AG4041" t="str"><v>Facebook»AZR»1x1»NA»EGV»ALL»DYN»AUT»D»All»SS»NA»Free Acc CTC - T4 - FR</v></cell><cell r="AH4041"><v>223691795</v></cell><cell r="AI4041" t="str"><v>AzurePlatform_FBCTCBenefit2inMotion_CAN_14s_ISV_PLAT_FR_Trial_Standard_STAN_TN_T4_1</v></cell><cell r="AJ4041"><v>102900688</v></cell></row><row r="4042"><cell r="C4042" t="str"><v>43310Facebook»AZR»1x1»NA»SOC»ALL»DYN»PRO»D»All»SS»NA»Canvas - Buy Now - EN</v></cell><cell r="D4042" t="str"><v>43310225322327</v></cell><cell r="E4042" t="str"><v>43310103902287w - EN</v></cell><cell r="F4042" t="str"><v>DCM</v></cell><cell r="G4042" t="str"><v>https://azure.microsoft.com/en-ca/pricing/purchase-options/</v></cell></row><row r="4042"><cell r="K4042" t="str"><v>July</v></cell><cell r="L4042"><v>43316</v></cell><cell r="M4042" t="str"><v>Tier 1</v></cell><cell r="N4042" t="str"><v>North America</v></cell><cell r="O4042" t="str"><v>Canada</v></cell><cell r="P4042" t="str"><v>Trial</v></cell><cell r="Q4042" t="str"><v>Social</v></cell><cell r="R4042" t="str"><v>Azure</v></cell><cell r="S4042" t="str"><v>Apps & Infra</v></cell><cell r="T4042" t="str"><v>Developers & ITI's</v></cell><cell r="U4042" t="str"><v>AZR</v></cell><cell r="V4042" t="str"><v>Prospecting</v></cell><cell r="W4042" t="str"><v>Social</v></cell><cell r="X4042" t="str"><v>1x1</v></cell></row><row r="4042"><cell r="AA4042"><v>43310</v></cell><cell r="AB4042" t="str"><v>CAN_gaPMG_AZR_AZR_Q1_19_Trial-Social</v></cell><cell r="AC4042"><v>21337220</v></cell><cell r="AD4042"><v>720192</v></cell><cell r="AE4042" t="str"><v>Facebook</v></cell><cell r="AF4042"><v>3654128</v></cell><cell r="AG4042" t="str"><v>Facebook»AZR»1x1»NA»SOC»ALL»DYN»PRO»D»All»SS»NA»Canvas - Buy Now - EN</v></cell><cell r="AH4042"><v>225322327</v></cell><cell r="AI4042" t="str"><v>AzurePlatform_FBCTCcanvaspage-BuyNowCTA-Img3_CAN_1080x162_SOC_Plat_English_NA_Standard_NA_BN_T3_1</v></cell><cell r="AJ4042"><v>103902287</v></cell></row><row r="4043"><cell r="C4043" t="str"><v>43310Facebook»AZR»1x1»NA»SOC»ALL»DYN»PRO»D»All»SS»NA»Canvas - Buy Now - FR</v></cell><cell r="D4043" t="str"><v>43310225322324</v></cell><cell r="E4043" t="str"><v>43310103789915w - FR</v></cell><cell r="F4043" t="str"><v>DCM</v></cell><cell r="G4043" t="str"><v>https://azure.microsoft.com/fr-ca/pricing/purchase-options/</v></cell></row><row r="4043"><cell r="K4043" t="str"><v>July</v></cell><cell r="L4043"><v>43316</v></cell><cell r="M4043" t="str"><v>Tier 1</v></cell><cell r="N4043" t="str"><v>North America</v></cell><cell r="O4043" t="str"><v>Canada</v></cell><cell r="P4043" t="str"><v>Trial</v></cell><cell r="Q4043" t="str"><v>Social</v></cell><cell r="R4043" t="str"><v>Azure</v></cell><cell r="S4043" t="str"><v>Apps & Infra</v></cell><cell r="T4043" t="str"><v>Developers & ITI's</v></cell><cell r="U4043" t="str"><v>AZR</v></cell><cell r="V4043" t="str"><v>Prospecting</v></cell><cell r="W4043" t="str"><v>Social</v></cell><cell r="X4043" t="str"><v>1x1</v></cell></row><row r="4043"><cell r="AA4043"><v>43310</v></cell><cell r="AB4043" t="str"><v>CAN_gaPMG_AZR_AZR_Q1_19_Trial-Social</v></cell><cell r="AC4043"><v>21337220</v></cell><cell r="AD4043"><v>720192</v></cell><cell r="AE4043" t="str"><v>Facebook</v></cell><cell r="AF4043"><v>3654128</v></cell><cell r="AG4043" t="str"><v>Facebook»AZR»1x1»NA»SOC»ALL»DYN»PRO»D»All»SS»NA»Canvas - Buy Now - FR</v></cell><cell r="AH4043"><v>225322324</v></cell><cell r="AI4043" t="str"><v>AzurePlatform_FBCTCcanvaspage-BuyNowCTA-Img3_CAN_1080x162_SOC_Plat_French_NA_Standard_NA_BN_T3_1</v></cell><cell r="AJ4043"><v>103789915</v></cell></row><row r="4044"><cell r="C4044" t="str"><v>43310Facebook»AZR»1x1»NA»SOC»ALL»DYN»PRO»D»All»SS»NA»Canvas - Start Free - EN</v></cell><cell r="D4044" t="str"><v>43310225252365</v></cell><cell r="E4044" t="str"><v>43310103807590e - EN</v></cell><cell r="F4044" t="str"><v>DCM</v></cell><cell r="G4044" t="str"><v>https://signup.azure.com/signup?offer=ms-azr-0044p&appId=102&ref=paidmedia-social-fb&redirectURL=https%3a%2f%2fazure.microsoft.com%2fen-ca%2fget-started%2fwelcome-to-azure%2f&l=en-ca&correlationId=ead86c34-1f10-49dd-a72b-6918462a2cbf</v></cell></row><row r="4044"><cell r="K4044" t="str"><v>July</v></cell><cell r="L4044"><v>43316</v></cell><cell r="M4044" t="str"><v>Tier 1</v></cell><cell r="N4044" t="str"><v>North America</v></cell><cell r="O4044" t="str"><v>Canada</v></cell><cell r="P4044" t="str"><v>Trial</v></cell><cell r="Q4044" t="str"><v>Social</v></cell><cell r="R4044" t="str"><v>Azure</v></cell><cell r="S4044" t="str"><v>Apps & Infra</v></cell><cell r="T4044" t="str"><v>Developers & ITI's</v></cell><cell r="U4044" t="str"><v>AZR</v></cell><cell r="V4044" t="str"><v>Prospecting</v></cell><cell r="W4044" t="str"><v>Social</v></cell><cell r="X4044" t="str"><v>1x1</v></cell></row><row r="4044"><cell r="AA4044"><v>43310</v></cell><cell r="AB4044" t="str"><v>CAN_gaPMG_AZR_AZR_Q1_19_Trial-Social</v></cell><cell r="AC4044"><v>21337220</v></cell><cell r="AD4044"><v>720192</v></cell><cell r="AE4044" t="str"><v>Facebook</v></cell><cell r="AF4044"><v>3654128</v></cell><cell r="AG4044" t="str"><v>Facebook»AZR»1x1»NA»SOC»ALL»DYN»PRO»D»All»SS»NA»Canvas - Start Free - EN</v></cell><cell r="AH4044"><v>225252365</v></cell><cell r="AI4044" t="str"><v>AzurePlatform_FBCTCcanvaspage-StartFreeCTA-Img2_CAN_1080x143 _SOC_Plat_English_NA_Standard_NA_NA_T2_1</v></cell><cell r="AJ4044"><v>103807590</v></cell></row><row r="4045"><cell r="C4045" t="str"><v>43310Facebook»AZR»1x1»NA»SOC»ALL»DYN»PRO»D»All»SS»NA»Canvas - Start Free - FR</v></cell><cell r="D4045" t="str"><v>43310225525936</v></cell><cell r="E4045" t="str"><v>43310103902551e - FR</v></cell><cell r="F4045" t="str"><v>DCM</v></cell><cell r="G4045" t="str"><v>https://signup.azure.com/signup?offer=ms-azr-0044p&appId=102&ref=paidmedia-social-fb&redirectURL=https%3a%2f%2fazure.microsoft.com%2ffr-ca%2fget-started%2fwelcome-to-azure%2f&l=fr-ca&correlationId=ead86c34-1f10-49dd-a72b-6918462a2cbf</v></cell></row><row r="4045"><cell r="K4045" t="str"><v>July</v></cell><cell r="L4045"><v>43316</v></cell><cell r="M4045" t="str"><v>Tier 1</v></cell><cell r="N4045" t="str"><v>North America</v></cell><cell r="O4045" t="str"><v>Canada</v></cell><cell r="P4045" t="str"><v>Trial</v></cell><cell r="Q4045" t="str"><v>Social</v></cell><cell r="R4045" t="str"><v>Azure</v></cell><cell r="S4045" t="str"><v>Apps & Infra</v></cell><cell r="T4045" t="str"><v>Developers & ITI's</v></cell><cell r="U4045" t="str"><v>AZR</v></cell><cell r="V4045" t="str"><v>Prospecting</v></cell><cell r="W4045" t="str"><v>Social</v></cell><cell r="X4045" t="str"><v>1x1</v></cell></row><row r="4045"><cell r="AA4045"><v>43310</v></cell><cell r="AB4045" t="str"><v>CAN_gaPMG_AZR_AZR_Q1_19_Trial-Social</v></cell><cell r="AC4045"><v>21337220</v></cell><cell r="AD4045"><v>720192</v></cell><cell r="AE4045" t="str"><v>Facebook</v></cell><cell r="AF4045"><v>3654128</v></cell><cell r="AG4045" t="str"><v>Facebook»AZR»1x1»NA»SOC»ALL»DYN»PRO»D»All»SS»NA»Canvas - Start Free - FR</v></cell><cell r="AH4045"><v>225525936</v></cell><cell r="AI4045" t="str"><v>AzurePlatform_FBCTCcanvaspage-StartFreeCTA-Img2_CAN_1080x143 _SOC_Plat_French_NA_Standard_NA_NA_T2_1</v></cell><cell r="AJ4045"><v>103902551</v></cell></row><row r="4046"><cell r="C4046" t="str"><v>43310Facebook»AZR»1x1»SocialBan»NA»ALL»DYN»AUT»D»All»SS»NA»Free Acc Refresh - T2 - EN</v></cell><cell r="D4046" t="str"><v>43310223691810</v></cell><cell r="E4046" t="str"><v>433101030587112 - EN</v></cell><cell r="F4046" t="str"><v>DCM</v></cell><cell r="G4046" t="str"><v>https://azure.microsoft.com/en-CA/free/search/</v></cell></row><row r="4046"><cell r="K4046" t="str"><v>July</v></cell><cell r="L4046"><v>43316</v></cell><cell r="M4046" t="str"><v>Tier 1</v></cell><cell r="N4046" t="str"><v>North America</v></cell><cell r="O4046" t="str"><v>Canada</v></cell><cell r="P4046" t="str"><v>Trial</v></cell><cell r="Q4046" t="str"><v>Social</v></cell><cell r="R4046" t="str"><v>Azure</v></cell><cell r="S4046" t="str"><v>Apps & Infra</v></cell><cell r="T4046" t="str"><v>Developers & ITI's</v></cell><cell r="U4046" t="str"><v>AZR</v></cell><cell r="V4046" t="str"><v>Audience Targeting</v></cell><cell r="W4046" t="str"><v>NotApplicable</v></cell><cell r="X4046" t="str"><v>1x1</v></cell></row><row r="4046"><cell r="AA4046"><v>43310</v></cell><cell r="AB4046" t="str"><v>CAN_gaPMG_AZR_AZR_Q1_19_Trial-Social</v></cell><cell r="AC4046"><v>21337220</v></cell><cell r="AD4046"><v>720192</v></cell><cell r="AE4046" t="str"><v>Facebook</v></cell><cell r="AF4046"><v>3654128</v></cell><cell r="AG4046" t="str"><v>Facebook»AZR»1x1»SocialBan»NA»ALL»DYN»AUT»D»All»SS»NA»Free Acc Refresh - T2 - EN</v></cell><cell r="AH4046"><v>223691810</v></cell><cell r="AI4046" t="str"><v>AzurePlatform_FreeAcctAppsFACEBOOKDeviceChB_CAN_1200x628_SOC_PLAT_EN_Trial_Standard_NA_SU_T2_1.png</v></cell><cell r="AJ4046"><v>103058711</v></cell></row><row r="4047"><cell r="C4047" t="str"><v>43310Facebook»AZR»1x1»SocialBan»NA»ALL»DYN»AUT»D»All»SS»NA»Free Acc Refresh - T2 - FR</v></cell><cell r="D4047" t="str"><v>43310223691768</v></cell><cell r="E4047" t="str"><v>433101029029712 - FR</v></cell><cell r="F4047" t="str"><v>DCM</v></cell><cell r="G4047" t="str"><v>https://azure.microsoft.com/fr-ca/free/search/</v></cell></row><row r="4047"><cell r="K4047" t="str"><v>July</v></cell><cell r="L4047"><v>43316</v></cell><cell r="M4047" t="str"><v>Tier 1</v></cell><cell r="N4047" t="str"><v>North America</v></cell><cell r="O4047" t="str"><v>Canada</v></cell><cell r="P4047" t="str"><v>Trial</v></cell><cell r="Q4047" t="str"><v>Social</v></cell><cell r="R4047" t="str"><v>Azure</v></cell><cell r="S4047" t="str"><v>Apps & Infra</v></cell><cell r="T4047" t="str"><v>Developers & ITI's</v></cell><cell r="U4047" t="str"><v>AZR</v></cell><cell r="V4047" t="str"><v>Audience Targeting</v></cell><cell r="W4047" t="str"><v>NotApplicable</v></cell><cell r="X4047" t="str"><v>1x1</v></cell></row><row r="4047"><cell r="AA4047"><v>43310</v></cell><cell r="AB4047" t="str"><v>CAN_gaPMG_AZR_AZR_Q1_19_Trial-Social</v></cell><cell r="AC4047"><v>21337220</v></cell><cell r="AD4047"><v>720192</v></cell><cell r="AE4047" t="str"><v>Facebook</v></cell><cell r="AF4047"><v>3654128</v></cell><cell r="AG4047" t="str"><v>Facebook»AZR»1x1»SocialBan»NA»ALL»DYN»AUT»D»All»SS»NA»Free Acc Refresh - T2 - FR</v></cell><cell r="AH4047"><v>223691768</v></cell><cell r="AI4047" t="str"><v>AzurePlatform_FreeAcctAppsFACEBOOKDeviceChB_CAN_1200x628_SOC_PLAT_FR_Trial_Standard_NA_SU_T2_1.png</v></cell><cell r="AJ4047"><v>102902971</v></cell></row><row r="4048"><cell r="C4048" t="str"><v>43310Facebook»AZR»1x1»SocialBan»NA»ALL»DYN»AUT»D»All»SS»NA»Free Acc Refresh - T3 - EN</v></cell><cell r="D4048" t="str"><v>43310223691807</v></cell><cell r="E4048" t="str"><v>433101029006853 - EN</v></cell><cell r="F4048" t="str"><v>DCM</v></cell><cell r="G4048" t="str"><v>https://azure.microsoft.com/en-CA/free/search/</v></cell></row><row r="4048"><cell r="K4048" t="str"><v>July</v></cell><cell r="L4048"><v>43316</v></cell><cell r="M4048" t="str"><v>Tier 1</v></cell><cell r="N4048" t="str"><v>North America</v></cell><cell r="O4048" t="str"><v>Canada</v></cell><cell r="P4048" t="str"><v>Trial</v></cell><cell r="Q4048" t="str"><v>Social</v></cell><cell r="R4048" t="str"><v>Azure</v></cell><cell r="S4048" t="str"><v>Apps & Infra</v></cell><cell r="T4048" t="str"><v>Developers & ITI's</v></cell><cell r="U4048" t="str"><v>AZR</v></cell><cell r="V4048" t="str"><v>Audience Targeting</v></cell><cell r="W4048" t="str"><v>NotApplicable</v></cell><cell r="X4048" t="str"><v>1x1</v></cell></row><row r="4048"><cell r="AA4048"><v>43310</v></cell><cell r="AB4048" t="str"><v>CAN_gaPMG_AZR_AZR_Q1_19_Trial-Social</v></cell><cell r="AC4048"><v>21337220</v></cell><cell r="AD4048"><v>720192</v></cell><cell r="AE4048" t="str"><v>Facebook</v></cell><cell r="AF4048"><v>3654128</v></cell><cell r="AG4048" t="str"><v>Facebook»AZR»1x1»SocialBan»NA»ALL»DYN»AUT»D»All»SS»NA»Free Acc Refresh - T3 - EN</v></cell><cell r="AH4048"><v>223691807</v></cell><cell r="AI4048" t="str"><v>AzurePlatform_FreeAcctAppsFACEBOOKIllustrationChC_CAN_1200x628_SOC_PLAT_EN_Trial_Standard_NA_SU_T3_1.png</v></cell><cell r="AJ4048"><v>102900685</v></cell></row><row r="4049"><cell r="C4049" t="str"><v>43310Facebook»AZR»1x1»SocialBan»NA»ALL»DYN»AUT»D»All»SS»NA»Free Acc Refresh - T4 - FR</v></cell><cell r="D4049" t="str"><v>43310223691771</v></cell><cell r="E4049" t="str"><v>433101029029684 - FR</v></cell><cell r="F4049" t="str"><v>DCM</v></cell><cell r="G4049" t="str"><v>https://azure.microsoft.com/fr-ca/free/search/</v></cell></row><row r="4049"><cell r="K4049" t="str"><v>July</v></cell><cell r="L4049"><v>43316</v></cell><cell r="M4049" t="str"><v>Tier 1</v></cell><cell r="N4049" t="str"><v>North America</v></cell><cell r="O4049" t="str"><v>Canada</v></cell><cell r="P4049" t="str"><v>Trial</v></cell><cell r="Q4049" t="str"><v>Social</v></cell><cell r="R4049" t="str"><v>Azure</v></cell><cell r="S4049" t="str"><v>Apps & Infra</v></cell><cell r="T4049" t="str"><v>Developers & ITI's</v></cell><cell r="U4049" t="str"><v>AZR</v></cell><cell r="V4049" t="str"><v>Audience Targeting</v></cell><cell r="W4049" t="str"><v>NotApplicable</v></cell><cell r="X4049" t="str"><v>1x1</v></cell></row><row r="4049"><cell r="AA4049"><v>43310</v></cell><cell r="AB4049" t="str"><v>CAN_gaPMG_AZR_AZR_Q1_19_Trial-Social</v></cell><cell r="AC4049"><v>21337220</v></cell><cell r="AD4049"><v>720192</v></cell><cell r="AE4049" t="str"><v>Facebook</v></cell><cell r="AF4049"><v>3654128</v></cell><cell r="AG4049" t="str"><v>Facebook»AZR»1x1»SocialBan»NA»ALL»DYN»AUT»D»All»SS»NA»Free Acc Refresh - T4 - FR</v></cell><cell r="AH4049"><v>223691771</v></cell><cell r="AI4049" t="str"><v>AzurePlatform_FreeAcctAppsFACEBOOK200CreditChD_CAN_1200x628_SOC_PLAT_FR_Trial_Standard_NA_SU_T4_1.png</v></cell><cell r="AJ4049"><v>102902968</v></cell></row><row r="4050"><cell r="C4050" t="str"><v>43310Facebook»AZR»1x1»SocialBan»NA»ALL»DYN»AUT»D»All»SS»NA»Free Acc Refresh - T5 - EN</v></cell><cell r="D4050" t="str"><v>43310223691816</v></cell><cell r="E4050" t="str"><v>433101029163415 - EN</v></cell><cell r="F4050" t="str"><v>DCM</v></cell><cell r="G4050" t="str"><v>https://azure.microsoft.com/en-CA/free/search/</v></cell></row><row r="4050"><cell r="K4050" t="str"><v>July</v></cell><cell r="L4050"><v>43316</v></cell><cell r="M4050" t="str"><v>Tier 1</v></cell><cell r="N4050" t="str"><v>North America</v></cell><cell r="O4050" t="str"><v>Canada</v></cell><cell r="P4050" t="str"><v>Trial</v></cell><cell r="Q4050" t="str"><v>Social</v></cell><cell r="R4050" t="str"><v>Azure</v></cell><cell r="S4050" t="str"><v>Apps & Infra</v></cell><cell r="T4050" t="str"><v>Developers & ITI's</v></cell><cell r="U4050" t="str"><v>AZR</v></cell><cell r="V4050" t="str"><v>Audience Targeting</v></cell><cell r="W4050" t="str"><v>NotApplicable</v></cell><cell r="X4050" t="str"><v>1x1</v></cell></row><row r="4050"><cell r="AA4050"><v>43310</v></cell><cell r="AB4050" t="str"><v>CAN_gaPMG_AZR_AZR_Q1_19_Trial-Social</v></cell><cell r="AC4050"><v>21337220</v></cell><cell r="AD4050"><v>720192</v></cell><cell r="AE4050" t="str"><v>Facebook</v></cell><cell r="AF4050"><v>3654128</v></cell><cell r="AG4050" t="str"><v>Facebook»AZR»1x1»SocialBan»NA»ALL»DYN»AUT»D»All»SS»NA»Free Acc Refresh - T5 - EN</v></cell><cell r="AH4050"><v>223691816</v></cell><cell r="AI4050" t="str"><v>AzurePlatform_FreeAcctAppsFACEBOOK12monthsChE_CAN_1200x628_SOC_PLAT_EN_Trial_Standard_NA_SU_T5_1.png</v></cell><cell r="AJ4050"><v>102916341</v></cell></row><row r="4051"><cell r="C4051" t="str"><v>43310Facebook»AZR»1x1»SocialBan»NA»ALL»DYN»RT»D»All»SS»NA» Free Account Retargeting OSS - T1 - EN</v></cell><cell r="D4051" t="str"><v>43310223691828</v></cell><cell r="E4051" t="str"><v>433101029029561 - EN</v></cell><cell r="F4051" t="str"><v>DCM</v></cell><cell r="G4051" t="str"><v>https://azure.microsoft.com/en-ca/free/open-source/search/</v></cell></row><row r="4051"><cell r="K4051" t="str"><v>July</v></cell><cell r="L4051"><v>43316</v></cell><cell r="M4051" t="str"><v>Tier 1</v></cell><cell r="N4051" t="str"><v>North America</v></cell><cell r="O4051" t="str"><v>Canada</v></cell><cell r="P4051" t="str"><v>Trial</v></cell><cell r="Q4051" t="str"><v>Social</v></cell><cell r="R4051" t="str"><v>Azure</v></cell><cell r="S4051" t="str"><v>Apps & Infra</v></cell><cell r="T4051" t="str"><v>Developers & ITI's</v></cell><cell r="U4051" t="str"><v>AZR</v></cell><cell r="V4051" t="str"><v>Retargeting</v></cell><cell r="W4051" t="str"><v>NotApplicable</v></cell><cell r="X4051" t="str"><v>1x1</v></cell></row><row r="4051"><cell r="AA4051"><v>43310</v></cell><cell r="AB4051" t="str"><v>CAN_gaPMG_AZR_AZR_Q1_19_Trial-Social</v></cell><cell r="AC4051"><v>21337220</v></cell><cell r="AD4051"><v>720192</v></cell><cell r="AE4051" t="str"><v>Facebook</v></cell><cell r="AF4051"><v>3654128</v></cell><cell r="AG4051" t="str"><v>Facebook»AZR»1x1»SocialBan»NA»ALL»DYN»RT»D»All»SS»NA» Free Account Retargeting OSS - T1 - EN</v></cell><cell r="AH4051"><v>223691828</v></cell><cell r="AI4051" t="str"><v>AzurePlatform_FreeAcctRetargetingOSSFB-Text-ChF_CAN_1200x628_SOC_Plat_EN_Free Account_Standard_NA_SU_T1_1</v></cell><cell r="AJ4051"><v>102902956</v></cell></row><row r="4052"><cell r="C4052" t="str"><v>43310Facebook»AZR»1x1»SocialBan»NA»ALL»DYN»RT»D»All»SS»NA» Free Account Retargeting OSS - T2 - EN</v></cell><cell r="D4052" t="str"><v>43310223691831</v></cell><cell r="E4052" t="str"><v>433101029138002 - EN</v></cell><cell r="F4052" t="str"><v>DCM</v></cell><cell r="G4052" t="str"><v>https://azure.microsoft.com/en-ca/free/open-source/search/</v></cell></row><row r="4052"><cell r="K4052" t="str"><v>July</v></cell><cell r="L4052"><v>43316</v></cell><cell r="M4052" t="str"><v>Tier 1</v></cell><cell r="N4052" t="str"><v>North America</v></cell><cell r="O4052" t="str"><v>Canada</v></cell><cell r="P4052" t="str"><v>Trial</v></cell><cell r="Q4052" t="str"><v>Social</v></cell><cell r="R4052" t="str"><v>Azure</v></cell><cell r="S4052" t="str"><v>Apps & Infra</v></cell><cell r="T4052" t="str"><v>Developers & ITI's</v></cell><cell r="U4052" t="str"><v>AZR</v></cell><cell r="V4052" t="str"><v>Retargeting</v></cell><cell r="W4052" t="str"><v>NotApplicable</v></cell><cell r="X4052" t="str"><v>1x1</v></cell></row><row r="4052"><cell r="AA4052"><v>43310</v></cell><cell r="AB4052" t="str"><v>CAN_gaPMG_AZR_AZR_Q1_19_Trial-Social</v></cell><cell r="AC4052"><v>21337220</v></cell><cell r="AD4052"><v>720192</v></cell><cell r="AE4052" t="str"><v>Facebook</v></cell><cell r="AF4052"><v>3654128</v></cell><cell r="AG4052" t="str"><v>Facebook»AZR»1x1»SocialBan»NA»ALL»DYN»RT»D»All»SS»NA» Free Account Retargeting OSS - T2 - EN</v></cell><cell r="AH4052"><v>223691831</v></cell><cell r="AI4052" t="str"><v>AzurePlatform_FreeAcctRetargetingOSSFB-Logos-ChG_CAN_1200x628_SOC_Plat_EN_Free Account_Standard_NA_SU_T2_1</v></cell><cell r="AJ4052"><v>102913800</v></cell></row><row r="4053"><cell r="C4053" t="str"><v>43310Facebook»AZR»1x1»SocialBan»NA»ALL»DYN»RT»D»All»SS»NA» Free Account Retargeting OSS - T2 - FR</v></cell><cell r="D4053" t="str"><v>43310223691789</v></cell><cell r="E4053" t="str"><v>433101029006912 - FR</v></cell><cell r="F4053" t="str"><v>DCM</v></cell><cell r="G4053" t="str"><v>https://azure.microsoft.com/fr-ca/free/open-source/search/</v></cell></row><row r="4053"><cell r="K4053" t="str"><v>July</v></cell><cell r="L4053"><v>43316</v></cell><cell r="M4053" t="str"><v>Tier 1</v></cell><cell r="N4053" t="str"><v>North America</v></cell><cell r="O4053" t="str"><v>Canada</v></cell><cell r="P4053" t="str"><v>Trial</v></cell><cell r="Q4053" t="str"><v>Social</v></cell><cell r="R4053" t="str"><v>Azure</v></cell><cell r="S4053" t="str"><v>Apps & Infra</v></cell><cell r="T4053" t="str"><v>Developers & ITI's</v></cell><cell r="U4053" t="str"><v>AZR</v></cell><cell r="V4053" t="str"><v>Retargeting</v></cell><cell r="W4053" t="str"><v>NotApplicable</v></cell><cell r="X4053" t="str"><v>1x1</v></cell></row><row r="4053"><cell r="AA4053"><v>43310</v></cell><cell r="AB4053" t="str"><v>CAN_gaPMG_AZR_AZR_Q1_19_Trial-Social</v></cell><cell r="AC4053"><v>21337220</v></cell><cell r="AD4053"><v>720192</v></cell><cell r="AE4053" t="str"><v>Facebook</v></cell><cell r="AF4053"><v>3654128</v></cell><cell r="AG4053" t="str"><v>Facebook»AZR»1x1»SocialBan»NA»ALL»DYN»RT»D»All»SS»NA» Free Account Retargeting OSS - T2 - FR</v></cell><cell r="AH4053"><v>223691789</v></cell><cell r="AI4053" t="str"><v>AzurePlatform_FreeAcctRetargetingOSSFB-Logos-ChG_CAN_1200x628_SOC_Plat_FR_Free Account_Standard_NA_SU_T2_1</v></cell><cell r="AJ4053"><v>102900691</v></cell></row><row r="4054"><cell r="C4054" t="str"><v>43310Facebook»AZR»1x1»SocialBan»NA»ALL»DYN»RT»D»All»SS»NA»Free Account Retargeting Generic - T2 - EN</v></cell><cell r="D4054" t="str"><v>43310223691834</v></cell><cell r="E4054" t="str"><v>433101029029532 - EN</v></cell><cell r="F4054" t="str"><v>DCM</v></cell><cell r="G4054" t="str"><v>https://azure.microsoft.com/en-CA/free/search/</v></cell></row><row r="4054"><cell r="K4054" t="str"><v>July</v></cell><cell r="L4054"><v>43316</v></cell><cell r="M4054" t="str"><v>Tier 1</v></cell><cell r="N4054" t="str"><v>North America</v></cell><cell r="O4054" t="str"><v>Canada</v></cell><cell r="P4054" t="str"><v>Trial</v></cell><cell r="Q4054" t="str"><v>Social</v></cell><cell r="R4054" t="str"><v>Azure</v></cell><cell r="S4054" t="str"><v>Apps & Infra</v></cell><cell r="T4054" t="str"><v>Developers & ITI's</v></cell><cell r="U4054" t="str"><v>AZR</v></cell><cell r="V4054" t="str"><v>Retargeting</v></cell><cell r="W4054" t="str"><v>NotApplicable</v></cell><cell r="X4054" t="str"><v>1x1</v></cell></row><row r="4054"><cell r="AA4054"><v>43310</v></cell><cell r="AB4054" t="str"><v>CAN_gaPMG_AZR_AZR_Q1_19_Trial-Social</v></cell><cell r="AC4054"><v>21337220</v></cell><cell r="AD4054"><v>720192</v></cell><cell r="AE4054" t="str"><v>Facebook</v></cell><cell r="AF4054"><v>3654128</v></cell><cell r="AG4054" t="str"><v>Facebook»AZR»1x1»SocialBan»NA»ALL»DYN»RT»D»All»SS»NA»Free Account Retargeting Generic - T2 - EN</v></cell><cell r="AH4054"><v>223691834</v></cell><cell r="AI4054" t="str"><v>AzurePlatform_FreeAcctRetargetingFB-GlobalAlt-ChB_CAN_1200x628_SOC_Plat_EN_Free Account_Standard_NA_SU_T2_1</v></cell><cell r="AJ4054"><v>102902953</v></cell></row><row r="4055"><cell r="C4055" t="str"><v>43310Facebook»AZR»1x1»SocialBan»NA»ALL»DYN»RT»D»All»SS»NA»Free Account Retargeting Generic - T3 - FR</v></cell><cell r="D4055" t="str"><v>43310223691777</v></cell><cell r="E4055" t="str"><v>433101029006973 - FR</v></cell><cell r="F4055" t="str"><v>DCM</v></cell><cell r="G4055" t="str"><v>https://azure.microsoft.com/fr-ca/free/search/</v></cell></row><row r="4055"><cell r="K4055" t="str"><v>July</v></cell><cell r="L4055"><v>43316</v></cell><cell r="M4055" t="str"><v>Tier 1</v></cell><cell r="N4055" t="str"><v>North America</v></cell><cell r="O4055" t="str"><v>Canada</v></cell><cell r="P4055" t="str"><v>Trial</v></cell><cell r="Q4055" t="str"><v>Social</v></cell><cell r="R4055" t="str"><v>Azure</v></cell><cell r="S4055" t="str"><v>Apps & Infra</v></cell><cell r="T4055" t="str"><v>Developers & ITI's</v></cell><cell r="U4055" t="str"><v>AZR</v></cell><cell r="V4055" t="str"><v>Retargeting</v></cell><cell r="W4055" t="str"><v>NotApplicable</v></cell><cell r="X4055" t="str"><v>1x1</v></cell></row><row r="4055"><cell r="AA4055"><v>43310</v></cell><cell r="AB4055" t="str"><v>CAN_gaPMG_AZR_AZR_Q1_19_Trial-Social</v></cell><cell r="AC4055"><v>21337220</v></cell><cell r="AD4055"><v>720192</v></cell><cell r="AE4055" t="str"><v>Facebook</v></cell><cell r="AF4055"><v>3654128</v></cell><cell r="AG4055" t="str"><v>Facebook»AZR»1x1»SocialBan»NA»ALL»DYN»RT»D»All»SS»NA»Free Account Retargeting Generic - T3 - FR</v></cell><cell r="AH4055"><v>223691777</v></cell><cell r="AI4055" t="str"><v>AzurePlatform_FreeAcctRetargetingFB-Animated-ChC_CAN_1200x628_SOC_Plat_FR_Free Account_Standard_ANI_SU_T3_1</v></cell><cell r="AJ4055"><v>102900697</v></cell></row><row r="4056"><cell r="C4056" t="str"><v>43310Facebook»AZR»1x1»SocialBan»NA»ALL»DYN»RT»D»All»SS»NA»Free Account Retargeting VM - T1 - EN</v></cell><cell r="D4056" t="str"><v>43310223691825</v></cell><cell r="E4056" t="str"><v>433101029163381 - EN</v></cell><cell r="F4056" t="str"><v>DCM</v></cell><cell r="G4056" t="str"><v>https://azure.microsoft.com/en-ca/free/virtual-machines/search/</v></cell></row><row r="4056"><cell r="K4056" t="str"><v>July</v></cell><cell r="L4056"><v>43316</v></cell><cell r="M4056" t="str"><v>Tier 1</v></cell><cell r="N4056" t="str"><v>North America</v></cell><cell r="O4056" t="str"><v>Canada</v></cell><cell r="P4056" t="str"><v>Trial</v></cell><cell r="Q4056" t="str"><v>Social</v></cell><cell r="R4056" t="str"><v>Azure</v></cell><cell r="S4056" t="str"><v>Apps & Infra</v></cell><cell r="T4056" t="str"><v>Developers & ITI's</v></cell><cell r="U4056" t="str"><v>AZR</v></cell><cell r="V4056" t="str"><v>Retargeting</v></cell><cell r="W4056" t="str"><v>NotApplicable</v></cell><cell r="X4056" t="str"><v>1x1</v></cell></row><row r="4056"><cell r="AA4056"><v>43310</v></cell><cell r="AB4056" t="str"><v>CAN_gaPMG_AZR_AZR_Q1_19_Trial-Social</v></cell><cell r="AC4056"><v>21337220</v></cell><cell r="AD4056"><v>720192</v></cell><cell r="AE4056" t="str"><v>Facebook</v></cell><cell r="AF4056"><v>3654128</v></cell><cell r="AG4056" t="str"><v>Facebook»AZR»1x1»SocialBan»NA»ALL»DYN»RT»D»All»SS»NA»Free Account Retargeting VM - T1 - EN</v></cell><cell r="AH4056"><v>223691825</v></cell><cell r="AI4056" t="str"><v>AzurePlatform_FreeAcctRetargetingVMFB-750Hrs-ChD_CAN_1200x628_SOC_Plat_EN_Free Account_Standard_NA_SU_T1_1</v></cell><cell r="AJ4056"><v>102916338</v></cell></row><row r="4057"><cell r="C4057" t="str"><v>43310Facebook»AZR»1x1»SocialBan»NA»ALL»DYN»RT»D»All»SS»NA»Free Account Retargeting VM - T1 - FR</v></cell><cell r="D4057" t="str"><v>43310223691783</v></cell><cell r="E4057" t="str"><v>433101030587231 - FR</v></cell><cell r="F4057" t="str"><v>DCM</v></cell><cell r="G4057" t="str"><v>https://azure.microsoft.com/fr-ca/free/virtual-machines/search/</v></cell></row><row r="4057"><cell r="K4057" t="str"><v>July</v></cell><cell r="L4057"><v>43316</v></cell><cell r="M4057" t="str"><v>Tier 1</v></cell><cell r="N4057" t="str"><v>North America</v></cell><cell r="O4057" t="str"><v>Canada</v></cell><cell r="P4057" t="str"><v>Trial</v></cell><cell r="Q4057" t="str"><v>Social</v></cell><cell r="R4057" t="str"><v>Azure</v></cell><cell r="S4057" t="str"><v>Apps & Infra</v></cell><cell r="T4057" t="str"><v>Developers & ITI's</v></cell><cell r="U4057" t="str"><v>AZR</v></cell><cell r="V4057" t="str"><v>Retargeting</v></cell><cell r="W4057" t="str"><v>NotApplicable</v></cell><cell r="X4057" t="str"><v>1x1</v></cell></row><row r="4057"><cell r="AA4057"><v>43310</v></cell><cell r="AB4057" t="str"><v>CAN_gaPMG_AZR_AZR_Q1_19_Trial-Social</v></cell><cell r="AC4057"><v>21337220</v></cell><cell r="AD4057"><v>720192</v></cell><cell r="AE4057" t="str"><v>Facebook</v></cell><cell r="AF4057"><v>3654128</v></cell><cell r="AG4057" t="str"><v>Facebook»AZR»1x1»SocialBan»NA»ALL»DYN»RT»D»All»SS»NA»Free Account Retargeting VM - T1 - FR</v></cell><cell r="AH4057"><v>223691783</v></cell><cell r="AI4057" t="str"><v>AzurePlatform_FreeAcctRetargetingVMFB-750Hrs-ChD_CAN_1200x628_SOC_Plat_FR_Free Account_Standard_NA_SU_T1_1</v></cell><cell r="AJ4057"><v>103058723</v></cell></row><row r="4058"><cell r="C4058" t="str"><v>43310Facebook»AZR»1x1»SocialBan»NA»ALL»DYN»RT»D»All»SS»NA»Free Account Retargeting VM - T2 - FR</v></cell><cell r="D4058" t="str"><v>43310223691780</v></cell><cell r="E4058" t="str"><v>433101030587262 - FR</v></cell><cell r="F4058" t="str"><v>DCM</v></cell><cell r="G4058" t="str"><v>https://azure.microsoft.com/fr-ca/free/virtual-machines/search/</v></cell></row><row r="4058"><cell r="K4058" t="str"><v>July</v></cell><cell r="L4058"><v>43316</v></cell><cell r="M4058" t="str"><v>Tier 1</v></cell><cell r="N4058" t="str"><v>North America</v></cell><cell r="O4058" t="str"><v>Canada</v></cell><cell r="P4058" t="str"><v>Trial</v></cell><cell r="Q4058" t="str"><v>Social</v></cell><cell r="R4058" t="str"><v>Azure</v></cell><cell r="S4058" t="str"><v>Apps & Infra</v></cell><cell r="T4058" t="str"><v>Developers & ITI's</v></cell><cell r="U4058" t="str"><v>AZR</v></cell><cell r="V4058" t="str"><v>Retargeting</v></cell><cell r="W4058" t="str"><v>NotApplicable</v></cell><cell r="X4058" t="str"><v>1x1</v></cell></row><row r="4058"><cell r="AA4058"><v>43310</v></cell><cell r="AB4058" t="str"><v>CAN_gaPMG_AZR_AZR_Q1_19_Trial-Social</v></cell><cell r="AC4058"><v>21337220</v></cell><cell r="AD4058"><v>720192</v></cell><cell r="AE4058" t="str"><v>Facebook</v></cell><cell r="AF4058"><v>3654128</v></cell><cell r="AG4058" t="str"><v>Facebook»AZR»1x1»SocialBan»NA»ALL»DYN»RT»D»All»SS»NA»Free Account Retargeting VM - T2 - FR</v></cell><cell r="AH4058"><v>223691780</v></cell><cell r="AI4058" t="str"><v>AzurePlatform_FreeAcctRetargetingVMFB-OnDemand-ChE_CAN_1200x628_SOC_Plat_FR_Free Account_Standard_NA_SU_T2_1</v></cell><cell r="AJ4058"><v>103058726</v></cell></row><row r="4059"><cell r="C4059" t="str"><v>43310Facebook»DEV-ITP-AZR-FB|CanvasAds|Interesttargeting»1x1»TextLink»CAN»DT»CPM»AUT»W»NA»SS»NA»39684020-11000</v></cell><cell r="D4059" t="str"><v>43310224009494</v></cell><cell r="E4059" t="str"><v>43310103236186-11000</v></cell><cell r="F4059" t="str"><v>DCM</v></cell><cell r="G4059" t="str"><v>https://signup.azure.com/signup?offer=ms-azr-0044p&appId=102&ref=paidmedia-social-fb&redirectURL=https%3a%2f%2fazure.microsoft.com%2fde-de%2fget-started%2fwelcome-to-azure%2f&l=de-de&correlationId=ead86c34-1f10-49dd-a72b-6918462a2cbf</v></cell></row><row r="4059"><cell r="K4059" t="str"><v>July</v></cell><cell r="L4059"><v>43316</v></cell><cell r="M4059" t="str"><v>Tier 1</v></cell><cell r="N4059" t="str"><v>EMEA</v></cell><cell r="O4059" t="str"><v>Germany</v></cell><cell r="P4059" t="str"><v>Trial</v></cell><cell r="Q4059" t="str"><v>Social</v></cell><cell r="R4059" t="str"><v>Azure</v></cell><cell r="S4059" t="str"><v>Apps & Infra</v></cell><cell r="T4059" t="str"><v>Developers & ITI's</v></cell><cell r="U4059" t="str"><v>DEV-ITP-AZR-FB|CanvasAds|Interesttargeting</v></cell><cell r="V4059" t="str"><v>Audience Targeting</v></cell><cell r="W4059" t="str"><v>Canvas Ad</v></cell><cell r="X4059" t="str"><v>1x1</v></cell></row><row r="4059"><cell r="AA4059"><v>43310</v></cell><cell r="AB4059" t="str"><v>DEU_gaPMG_AZR_AZR_Q1_19_Trial-Social- 39684</v></cell><cell r="AC4059"><v>21359477</v></cell><cell r="AD4059"><v>720194</v></cell><cell r="AE4059" t="str"><v>Facebook</v></cell><cell r="AF4059"><v>3654128</v></cell><cell r="AG4059" t="str"><v>Facebook»DEV-ITP-AZR-FB|CanvasAds|Interesttargeting»1x1»TextLink»CAN»DT»CPM»AUT»W»NA»SS»NA»39684020-11000</v></cell><cell r="AH4059"><v>224009494</v></cell><cell r="AI4059" t="str"><v>AzurePlatform_FBCTCBasicMotion-StartFreeCT_DEU_10s_ISV_PLAT_DE_Trial_Standard_STAN_TN_T1_1</v></cell><cell r="AJ4059"><v>103236186</v></cell></row><row r="4060"><cell r="C4060" t="str"><v>43310Facebook»DEV-ITP-AZR-FB|CanvasAds|Interesttargeting»1x1»TextLink»CAN»DT»CPM»AUT»W»NA»SS»NA»39684020-11000</v></cell><cell r="D4060" t="str"><v>43310224009494</v></cell><cell r="E4060" t="str"><v>43310103236189-11000</v></cell><cell r="F4060" t="str"><v>DCM</v></cell><cell r="G4060" t="str"><v>https://azure.microsoft.com/de-de/pricing/purchase-options/</v></cell></row><row r="4060"><cell r="K4060" t="str"><v>July</v></cell><cell r="L4060"><v>43316</v></cell><cell r="M4060" t="str"><v>Tier 1</v></cell><cell r="N4060" t="str"><v>EMEA</v></cell><cell r="O4060" t="str"><v>Germany</v></cell><cell r="P4060" t="str"><v>Trial</v></cell><cell r="Q4060" t="str"><v>Social</v></cell><cell r="R4060" t="str"><v>Azure</v></cell><cell r="S4060" t="str"><v>Apps & Infra</v></cell><cell r="T4060" t="str"><v>Developers & ITI's</v></cell><cell r="U4060" t="str"><v>DEV-ITP-AZR-FB|CanvasAds|Interesttargeting</v></cell><cell r="V4060" t="str"><v>Audience Targeting</v></cell><cell r="W4060" t="str"><v>Canvas Ad</v></cell><cell r="X4060" t="str"><v>1x1</v></cell></row><row r="4060"><cell r="AA4060"><v>43310</v></cell><cell r="AB4060" t="str"><v>DEU_gaPMG_AZR_AZR_Q1_19_Trial-Social- 39684</v></cell><cell r="AC4060"><v>21359477</v></cell><cell r="AD4060"><v>720194</v></cell><cell r="AE4060" t="str"><v>Facebook</v></cell><cell r="AF4060"><v>3654128</v></cell><cell r="AG4060" t="str"><v>Facebook»DEV-ITP-AZR-FB|CanvasAds|Interesttargeting»1x1»TextLink»CAN»DT»CPM»AUT»W»NA»SS»NA»39684020-11000</v></cell><cell r="AH4060"><v>224009494</v></cell><cell r="AI4060" t="str"><v>AzurePlatform_FBCTCBenefit2inMotion-BuyNow_DEU_14s_ISV_PLAT_DE_Trial_Standard_STAN_TN_T4_1</v></cell><cell r="AJ4060"><v>103236189</v></cell></row><row r="4061"><cell r="C4061" t="str"><v>43310Facebook»DEV-ITP-AZR-FB|CanvasAds|Interesttargeting»1x1»TextLink»CAN»DT»CPM»AUT»W»NA»SS»NA»39684020-11000</v></cell><cell r="D4061" t="str"><v>43310224009494</v></cell><cell r="E4061" t="str"><v>43310103237290-11000</v></cell><cell r="F4061" t="str"><v>DCM</v></cell><cell r="G4061" t="str"><v>https://signup.azure.com/signup?offer=ms-azr-0044p&appId=102&ref=paidmedia-social-fb&redirectURL=https%3a%2f%2fazure.microsoft.com%2fde-de%2fget-started%2fwelcome-to-azure%2f&l=de-de&correlationId=ead86c34-1f10-49dd-a72b-6918462a2cbf</v></cell></row><row r="4061"><cell r="K4061" t="str"><v>July</v></cell><cell r="L4061"><v>43316</v></cell><cell r="M4061" t="str"><v>Tier 1</v></cell><cell r="N4061" t="str"><v>EMEA</v></cell><cell r="O4061" t="str"><v>Germany</v></cell><cell r="P4061" t="str"><v>Trial</v></cell><cell r="Q4061" t="str"><v>Social</v></cell><cell r="R4061" t="str"><v>Azure</v></cell><cell r="S4061" t="str"><v>Apps & Infra</v></cell><cell r="T4061" t="str"><v>Developers & ITI's</v></cell><cell r="U4061" t="str"><v>DEV-ITP-AZR-FB|CanvasAds|Interesttargeting</v></cell><cell r="V4061" t="str"><v>Audience Targeting</v></cell><cell r="W4061" t="str"><v>Canvas Ad</v></cell><cell r="X4061" t="str"><v>1x1</v></cell></row><row r="4061"><cell r="AA4061"><v>43310</v></cell><cell r="AB4061" t="str"><v>DEU_gaPMG_AZR_AZR_Q1_19_Trial-Social- 39684</v></cell><cell r="AC4061"><v>21359477</v></cell><cell r="AD4061"><v>720194</v></cell><cell r="AE4061" t="str"><v>Facebook</v></cell><cell r="AF4061"><v>3654128</v></cell><cell r="AG4061" t="str"><v>Facebook»DEV-ITP-AZR-FB|CanvasAds|Interesttargeting»1x1»TextLink»CAN»DT»CPM»AUT»W»NA»SS»NA»39684020-11000</v></cell><cell r="AH4061"><v>224009494</v></cell><cell r="AI4061" t="str"><v>AzurePlatform_FBCTCBenefit2inMotion-StartFreeCT_DEU_14s_ISV_PLAT_DE_Trial_Standard_STAN_TN_T4_1</v></cell><cell r="AJ4061"><v>103237290</v></cell></row><row r="4062"><cell r="C4062" t="str"><v>43310Facebook»DEV-ITP-AZR-FB|CanvasAds|Interesttargeting»1x1»TextLink»CAN»DT»CPM»AUT»W»NA»SS»NA»39684020-11000</v></cell><cell r="D4062" t="str"><v>43310224009494</v></cell><cell r="E4062" t="str"><v>43310103350059-11000</v></cell><cell r="F4062" t="str"><v>DCM</v></cell><cell r="G4062" t="str"><v>https://azure.microsoft.com/de-de/pricing/purchase-options/</v></cell></row><row r="4062"><cell r="K4062" t="str"><v>July</v></cell><cell r="L4062"><v>43316</v></cell><cell r="M4062" t="str"><v>Tier 1</v></cell><cell r="N4062" t="str"><v>EMEA</v></cell><cell r="O4062" t="str"><v>Germany</v></cell><cell r="P4062" t="str"><v>Trial</v></cell><cell r="Q4062" t="str"><v>Social</v></cell><cell r="R4062" t="str"><v>Azure</v></cell><cell r="S4062" t="str"><v>Apps & Infra</v></cell><cell r="T4062" t="str"><v>Developers & ITI's</v></cell><cell r="U4062" t="str"><v>DEV-ITP-AZR-FB|CanvasAds|Interesttargeting</v></cell><cell r="V4062" t="str"><v>Audience Targeting</v></cell><cell r="W4062" t="str"><v>Canvas Ad</v></cell><cell r="X4062" t="str"><v>1x1</v></cell></row><row r="4062"><cell r="AA4062"><v>43310</v></cell><cell r="AB4062" t="str"><v>DEU_gaPMG_AZR_AZR_Q1_19_Trial-Social- 39684</v></cell><cell r="AC4062"><v>21359477</v></cell><cell r="AD4062"><v>720194</v></cell><cell r="AE4062" t="str"><v>Facebook</v></cell><cell r="AF4062"><v>3654128</v></cell><cell r="AG4062" t="str"><v>Facebook»DEV-ITP-AZR-FB|CanvasAds|Interesttargeting»1x1»TextLink»CAN»DT»CPM»AUT»W»NA»SS»NA»39684020-11000</v></cell><cell r="AH4062"><v>224009494</v></cell><cell r="AI4062" t="str"><v>AzurePlatform_FBCTCBrandinMotion-BuyNow_DEU_12s_ISV_PLAT_DE_Trial_Standard_STAN_TN_T2_1</v></cell><cell r="AJ4062"><v>103350059</v></cell></row><row r="4063"><cell r="C4063" t="str"><v>43310Facebook»DEV-ITP-AZR-FB|CanvasAds|Interesttargeting»1x1»TextLink»CAN»DT»CPM»AUT»W»NA»SS»NA»39684020-11000</v></cell><cell r="D4063" t="str"><v>43310224009494</v></cell><cell r="E4063" t="str"><v>43310103237293-11000</v></cell><cell r="F4063" t="str"><v>DCM</v></cell><cell r="G4063" t="str"><v>https://signup.azure.com/signup?offer=ms-azr-0044p&appId=102&ref=paidmedia-social-fb&redirectURL=https%3a%2f%2fazure.microsoft.com%2fde-de%2fget-started%2fwelcome-to-azure%2f&l=de-de&correlationId=ead86c34-1f10-49dd-a72b-6918462a2cbf</v></cell></row><row r="4063"><cell r="K4063" t="str"><v>July</v></cell><cell r="L4063"><v>43316</v></cell><cell r="M4063" t="str"><v>Tier 1</v></cell><cell r="N4063" t="str"><v>EMEA</v></cell><cell r="O4063" t="str"><v>Germany</v></cell><cell r="P4063" t="str"><v>Trial</v></cell><cell r="Q4063" t="str"><v>Social</v></cell><cell r="R4063" t="str"><v>Azure</v></cell><cell r="S4063" t="str"><v>Apps & Infra</v></cell><cell r="T4063" t="str"><v>Developers & ITI's</v></cell><cell r="U4063" t="str"><v>DEV-ITP-AZR-FB|CanvasAds|Interesttargeting</v></cell><cell r="V4063" t="str"><v>Audience Targeting</v></cell><cell r="W4063" t="str"><v>Canvas Ad</v></cell><cell r="X4063" t="str"><v>1x1</v></cell></row><row r="4063"><cell r="AA4063"><v>43310</v></cell><cell r="AB4063" t="str"><v>DEU_gaPMG_AZR_AZR_Q1_19_Trial-Social- 39684</v></cell><cell r="AC4063"><v>21359477</v></cell><cell r="AD4063"><v>720194</v></cell><cell r="AE4063" t="str"><v>Facebook</v></cell><cell r="AF4063"><v>3654128</v></cell><cell r="AG4063" t="str"><v>Facebook»DEV-ITP-AZR-FB|CanvasAds|Interesttargeting»1x1»TextLink»CAN»DT»CPM»AUT»W»NA»SS»NA»39684020-11000</v></cell><cell r="AH4063"><v>224009494</v></cell><cell r="AI4063" t="str"><v>AzurePlatform_FBCTCBrandinMotion-StartFreeCT_DEU_12s_ISV_PLAT_DE_Trial_Standard_STAN_TN_T2_1</v></cell><cell r="AJ4063"><v>103237293</v></cell></row><row r="4064"><cell r="C4064" t="str"><v>43310Facebook»DEV-ITP-AZR-FB|LinkAd|CustomerAudienceRetargeting»1x1»TextLink»LIA»DT»CPM»RT»W»NA»SS»NA»39684019-11000</v></cell><cell r="D4064" t="str"><v>43310224010415</v></cell><cell r="E4064" t="str"><v>43310103043329-11000</v></cell><cell r="F4064" t="str"><v>DCM</v></cell><cell r="G4064" t="str"><v>https://azure.microsoft.com/de-de/free/open-source/search/</v></cell></row><row r="4064"><cell r="K4064" t="str"><v>July</v></cell><cell r="L4064"><v>43316</v></cell><cell r="M4064" t="str"><v>Tier 1</v></cell><cell r="N4064" t="str"><v>EMEA</v></cell><cell r="O4064" t="str"><v>Germany</v></cell><cell r="P4064" t="str"><v>Trial</v></cell><cell r="Q4064" t="str"><v>Social</v></cell><cell r="R4064" t="str"><v>Azure</v></cell><cell r="S4064" t="str"><v>Apps & Infra</v></cell><cell r="T4064" t="str"><v>Developers & ITI's</v></cell><cell r="U4064" t="str"><v>DEV-ITP-AZR-FB|LinkAd|CustomerAudienceRetargeting</v></cell><cell r="V4064" t="str"><v>Retargeting</v></cell><cell r="W4064" t="str"><v>Link Ad</v></cell><cell r="X4064" t="str"><v>1x1</v></cell></row><row r="4064"><cell r="AA4064"><v>43310</v></cell><cell r="AB4064" t="str"><v>DEU_gaPMG_AZR_AZR_Q1_19_Trial-Social- 39684</v></cell><cell r="AC4064"><v>21359477</v></cell><cell r="AD4064"><v>720194</v></cell><cell r="AE4064" t="str"><v>Facebook</v></cell><cell r="AF4064"><v>3654128</v></cell><cell r="AG4064" t="str"><v>Facebook»DEV-ITP-AZR-FB|LinkAd|CustomerAudienceRetargeting»1x1»TextLink»LIA»DT»CPM»RT»W»NA»SS»NA»39684019-11000</v></cell><cell r="AH4064"><v>224010415</v></cell><cell r="AI4064" t="str"><v>AzurePlatform_FreeAcctRetargetingOSSFB-Logos-ChG_DEU_1200x628_SOC_Plat_DE_Free Account_Standard_NA_SNU_T2_1</v></cell><cell r="AJ4064"><v>103043329</v></cell></row><row r="4065"><cell r="C4065" t="str"><v>43310Facebook»DEV-ITP-AZR-FB|LinkAd|CustomerAudienceRetargeting»1x1»TextLink»LIA»DT»CPM»RT»W»NA»SS»NA»39684019-11000</v></cell><cell r="D4065" t="str"><v>43310224010415</v></cell><cell r="E4065" t="str"><v>43310103043338-11000</v></cell><cell r="F4065" t="str"><v>DCM</v></cell><cell r="G4065" t="str"><v>https://azure.microsoft.com/de-de/free/virtual-machines/search/</v></cell></row><row r="4065"><cell r="K4065" t="str"><v>July</v></cell><cell r="L4065"><v>43316</v></cell><cell r="M4065" t="str"><v>Tier 1</v></cell><cell r="N4065" t="str"><v>EMEA</v></cell><cell r="O4065" t="str"><v>Germany</v></cell><cell r="P4065" t="str"><v>Trial</v></cell><cell r="Q4065" t="str"><v>Social</v></cell><cell r="R4065" t="str"><v>Azure</v></cell><cell r="S4065" t="str"><v>Apps & Infra</v></cell><cell r="T4065" t="str"><v>Developers & ITI's</v></cell><cell r="U4065" t="str"><v>DEV-ITP-AZR-FB|LinkAd|CustomerAudienceRetargeting</v></cell><cell r="V4065" t="str"><v>Retargeting</v></cell><cell r="W4065" t="str"><v>Link Ad</v></cell><cell r="X4065" t="str"><v>1x1</v></cell></row><row r="4065"><cell r="AA4065"><v>43310</v></cell><cell r="AB4065" t="str"><v>DEU_gaPMG_AZR_AZR_Q1_19_Trial-Social- 39684</v></cell><cell r="AC4065"><v>21359477</v></cell><cell r="AD4065"><v>720194</v></cell><cell r="AE4065" t="str"><v>Facebook</v></cell><cell r="AF4065"><v>3654128</v></cell><cell r="AG4065" t="str"><v>Facebook»DEV-ITP-AZR-FB|LinkAd|CustomerAudienceRetargeting»1x1»TextLink»LIA»DT»CPM»RT»W»NA»SS»NA»39684019-11000</v></cell><cell r="AH4065"><v>224010415</v></cell><cell r="AI4065" t="str"><v>AzurePlatform_FreeAcctRetargetingVMFB-OnDemand-ChE_DEU_1200x628_SOC_Plat_DE_Free Account_Standard_NA_SNU_T2_1</v></cell><cell r="AJ4065"><v>103043338</v></cell></row><row r="4066"><cell r="C4066" t="str"><v>43310Facebook»Audience & Interest Targeting»1x1»SocialBan»LIA»DT»CPC»AUT»W»NA»SS»NA»Basic Motion</v></cell><cell r="D4066" t="str"><v>43310224399962</v></cell><cell r="E4066" t="str"><v>43310103235146Motion</v></cell><cell r="F4066" t="str"><v>DCM</v></cell><cell r="G4066" t="str"><v>https://signup.azure.com/signup?offer=ms-azr-0044p&appId=102&ref=paidmedia-social-fb&redirectURL=https%3a%2f%2fazure.microsoft.com%2fen-gb%2fget-started%2fwelcome-to-azure%2f&l=en-gb&correlationId=ead86c34-1f10-49dd-a72b-6918462a2cbf</v></cell></row><row r="4066"><cell r="K4066" t="str"><v>July</v></cell><cell r="L4066"><v>43316</v></cell><cell r="M4066" t="str"><v>Tier 1</v></cell><cell r="N4066" t="str"><v>EMEA</v></cell><cell r="O4066" t="str"><v>United Kingdom</v></cell><cell r="P4066" t="str"><v>Trial</v></cell><cell r="Q4066" t="str"><v>Social</v></cell><cell r="R4066" t="str"><v>Azure</v></cell><cell r="S4066" t="str"><v>Apps & Infra</v></cell><cell r="T4066" t="str"><v>Developers & ITI's</v></cell><cell r="U4066" t="str"><v>Audience & Interest Targeting</v></cell><cell r="V4066" t="str"><v>Audience Targeting</v></cell><cell r="W4066" t="str"><v>Link Ad</v></cell><cell r="X4066" t="str"><v>1x1</v></cell></row><row r="4066"><cell r="AA4066"><v>43310</v></cell><cell r="AB4066" t="str"><v>GBR_gaPMG_CE_AZR_Q1_19_Trial-Social</v></cell><cell r="AC4066"><v>21337013</v></cell><cell r="AD4066"><v>720196</v></cell><cell r="AE4066" t="str"><v>Facebook</v></cell><cell r="AF4066"><v>3654128</v></cell><cell r="AG4066" t="str"><v>Facebook»Audience & Interest Targeting»1x1»SocialBan»LIA»DT»CPC»AUT»W»NA»SS»NA»Basic Motion</v></cell><cell r="AH4066"><v>224399962</v></cell><cell r="AI4066" t="str"><v>AzurePlatform_FBCTCcanvaspage-StartFreeCTA-Img2_GBR_1080x143 _SOC_Plat_English_NA_Standard_NA_NA_T2_1</v></cell><cell r="AJ4066"><v>103235146</v></cell></row><row r="4067"><cell r="C4067" t="str"><v>43310Facebook»Audience & Interest Targeting»1x1»SocialBan»LIA»DT»CPC»AUT»W»NA»SS»NA»Benefit 2 in Motion</v></cell><cell r="D4067" t="str"><v>43310224334170</v></cell><cell r="E4067" t="str"><v>43310103235146Motion</v></cell><cell r="F4067" t="str"><v>DCM</v></cell><cell r="G4067" t="str"><v>https://signup.azure.com/signup?offer=ms-azr-0044p&appId=102&ref=paidmedia-social-fb&redirectURL=https%3a%2f%2fazure.microsoft.com%2fen-gb%2fget-started%2fwelcome-to-azure%2f&l=en-gb&correlationId=ead86c34-1f10-49dd-a72b-6918462a2cbf</v></cell></row><row r="4067"><cell r="K4067" t="str"><v>July</v></cell><cell r="L4067"><v>43316</v></cell><cell r="M4067" t="str"><v>Tier 1</v></cell><cell r="N4067" t="str"><v>EMEA</v></cell><cell r="O4067" t="str"><v>United Kingdom</v></cell><cell r="P4067" t="str"><v>Trial</v></cell><cell r="Q4067" t="str"><v>Social</v></cell><cell r="R4067" t="str"><v>Azure</v></cell><cell r="S4067" t="str"><v>Apps & Infra</v></cell><cell r="T4067" t="str"><v>Developers & ITI's</v></cell><cell r="U4067" t="str"><v>Audience & Interest Targeting</v></cell><cell r="V4067" t="str"><v>Audience Targeting</v></cell><cell r="W4067" t="str"><v>Link Ad</v></cell><cell r="X4067" t="str"><v>1x1</v></cell></row><row r="4067"><cell r="AA4067"><v>43310</v></cell><cell r="AB4067" t="str"><v>GBR_gaPMG_CE_AZR_Q1_19_Trial-Social</v></cell><cell r="AC4067"><v>21337013</v></cell><cell r="AD4067"><v>720196</v></cell><cell r="AE4067" t="str"><v>Facebook</v></cell><cell r="AF4067"><v>3654128</v></cell><cell r="AG4067" t="str"><v>Facebook»Audience & Interest Targeting»1x1»SocialBan»LIA»DT»CPC»AUT»W»NA»SS»NA»Benefit 2 in Motion</v></cell><cell r="AH4067"><v>224334170</v></cell><cell r="AI4067" t="str"><v>AzurePlatform_FBCTCcanvaspage-StartFreeCTA-Img2_GBR_1080x143 _SOC_Plat_English_NA_Standard_NA_NA_T2_1</v></cell><cell r="AJ4067"><v>103235146</v></cell></row><row r="4068"><cell r="C4068" t="str"><v>43310Facebook»Audience & Interest Targeting»1x1»SocialBan»LIA»DT»CPC»AUT»W»NA»SS»NA»Brand in Motion</v></cell><cell r="D4068" t="str"><v>43310224549481</v></cell><cell r="E4068" t="str"><v>43310103235146Motion</v></cell><cell r="F4068" t="str"><v>DCM</v></cell><cell r="G4068" t="str"><v>https://signup.azure.com/signup?offer=ms-azr-0044p&appId=102&ref=paidmedia-social-fb&redirectURL=https%3a%2f%2fazure.microsoft.com%2fen-gb%2fget-started%2fwelcome-to-azure%2f&l=en-gb&correlationId=ead86c34-1f10-49dd-a72b-6918462a2cbf</v></cell></row><row r="4068"><cell r="K4068" t="str"><v>July</v></cell><cell r="L4068"><v>43316</v></cell><cell r="M4068" t="str"><v>Tier 1</v></cell><cell r="N4068" t="str"><v>EMEA</v></cell><cell r="O4068" t="str"><v>United Kingdom</v></cell><cell r="P4068" t="str"><v>Trial</v></cell><cell r="Q4068" t="str"><v>Social</v></cell><cell r="R4068" t="str"><v>Azure</v></cell><cell r="S4068" t="str"><v>Apps & Infra</v></cell><cell r="T4068" t="str"><v>Developers & ITI's</v></cell><cell r="U4068" t="str"><v>Audience & Interest Targeting</v></cell><cell r="V4068" t="str"><v>Audience Targeting</v></cell><cell r="W4068" t="str"><v>Link Ad</v></cell><cell r="X4068" t="str"><v>1x1</v></cell></row><row r="4068"><cell r="AA4068"><v>43310</v></cell><cell r="AB4068" t="str"><v>GBR_gaPMG_CE_AZR_Q1_19_Trial-Social</v></cell><cell r="AC4068"><v>21337013</v></cell><cell r="AD4068"><v>720196</v></cell><cell r="AE4068" t="str"><v>Facebook</v></cell><cell r="AF4068"><v>3654128</v></cell><cell r="AG4068" t="str"><v>Facebook»Audience & Interest Targeting»1x1»SocialBan»LIA»DT»CPC»AUT»W»NA»SS»NA»Brand in Motion</v></cell><cell r="AH4068"><v>224549481</v></cell><cell r="AI4068" t="str"><v>AzurePlatform_FBCTCcanvaspage-StartFreeCTA-Img2_GBR_1080x143 _SOC_Plat_English_NA_Standard_NA_NA_T2_1</v></cell><cell r="AJ4068"><v>103235146</v></cell></row><row r="4069"><cell r="C4069" t="str"><v>43310Facebook»Audience & Interest Targeting»1x1»SocialBan»LIA»DT»DYN»AUT»W»NA»SS»NA»Free Account Refresh- 12 months ChE</v></cell><cell r="D4069" t="str"><v>43310223567691</v></cell><cell r="E4069" t="str"><v>43310102854007hs ChE</v></cell><cell r="F4069" t="str"><v>DCM</v></cell><cell r="G4069" t="str"><v>https://azure.microsoft.com/en-gb/free/search/</v></cell></row><row r="4069"><cell r="K4069" t="str"><v>July</v></cell><cell r="L4069"><v>43316</v></cell><cell r="M4069" t="str"><v>Tier 1</v></cell><cell r="N4069" t="str"><v>EMEA</v></cell><cell r="O4069" t="str"><v>United Kingdom</v></cell><cell r="P4069" t="str"><v>Trial</v></cell><cell r="Q4069" t="str"><v>Social</v></cell><cell r="R4069" t="str"><v>Azure</v></cell><cell r="S4069" t="str"><v>Apps & Infra</v></cell><cell r="T4069" t="str"><v>Developers & ITI's</v></cell><cell r="U4069" t="str"><v>Audience & Interest Targeting</v></cell><cell r="V4069" t="str"><v>Audience Targeting</v></cell><cell r="W4069" t="str"><v>Link Ad</v></cell><cell r="X4069" t="str"><v>1x1</v></cell></row><row r="4069"><cell r="AA4069"><v>43310</v></cell><cell r="AB4069" t="str"><v>GBR_gaPMG_CE_AZR_Q1_19_Trial-Social</v></cell><cell r="AC4069"><v>21337013</v></cell><cell r="AD4069"><v>720196</v></cell><cell r="AE4069" t="str"><v>Facebook</v></cell><cell r="AF4069"><v>3654128</v></cell><cell r="AG4069" t="str"><v>Facebook»Audience & Interest Targeting»1x1»SocialBan»LIA»DT»DYN»AUT»W»NA»SS»NA»Free Account Refresh- 12 months ChE</v></cell><cell r="AH4069"><v>223567691</v></cell><cell r="AI4069" t="str"><v>AzurePlatform_FreeAcctAppsFACEBOOK12monthsChE_GBR_1200x628_SOC_PLAT_EN_Trial_Standard_NA_SU_T5_1</v></cell><cell r="AJ4069"><v>102854007</v></cell></row><row r="4070"><cell r="C4070" t="str"><v>43310Facebook»Audience & Interest Targeting»1x1»SocialBan»LIA»DT»DYN»AUT»W»NA»SS»NA»Free Account Refresh- 200 Credit ChD</v></cell><cell r="D4070" t="str"><v>43310223560359</v></cell><cell r="E4070" t="str"><v>43310103005662it ChD</v></cell><cell r="F4070" t="str"><v>DCM</v></cell><cell r="G4070" t="str"><v>https://azure.microsoft.com/en-gb/free/search/</v></cell></row><row r="4070"><cell r="K4070" t="str"><v>July</v></cell><cell r="L4070"><v>43316</v></cell><cell r="M4070" t="str"><v>Tier 1</v></cell><cell r="N4070" t="str"><v>EMEA</v></cell><cell r="O4070" t="str"><v>United Kingdom</v></cell><cell r="P4070" t="str"><v>Trial</v></cell><cell r="Q4070" t="str"><v>Social</v></cell><cell r="R4070" t="str"><v>Azure</v></cell><cell r="S4070" t="str"><v>Apps & Infra</v></cell><cell r="T4070" t="str"><v>Developers & ITI's</v></cell><cell r="U4070" t="str"><v>Audience & Interest Targeting</v></cell><cell r="V4070" t="str"><v>Audience Targeting</v></cell><cell r="W4070" t="str"><v>Link Ad</v></cell><cell r="X4070" t="str"><v>1x1</v></cell></row><row r="4070"><cell r="AA4070"><v>43310</v></cell><cell r="AB4070" t="str"><v>GBR_gaPMG_CE_AZR_Q1_19_Trial-Social</v></cell><cell r="AC4070"><v>21337013</v></cell><cell r="AD4070"><v>720196</v></cell><cell r="AE4070" t="str"><v>Facebook</v></cell><cell r="AF4070"><v>3654128</v></cell><cell r="AG4070" t="str"><v>Facebook»Audience & Interest Targeting»1x1»SocialBan»LIA»DT»DYN»AUT»W»NA»SS»NA»Free Account Refresh- 200 Credit ChD</v></cell><cell r="AH4070"><v>223560359</v></cell><cell r="AI4070" t="str"><v>AzurePlatform_FreeAcctAppsFACEBOOK200CreditChD_GBR_1200x628_SOC_PLAT_EN_Trial_Standard_NA_SU_T4_1</v></cell><cell r="AJ4070"><v>103005662</v></cell></row><row r="4071"><cell r="C4071" t="str"><v>43310Facebook»Audience & Interest Targeting»1x1»SocialBan»LIA»DT»DYN»AUT»W»NA»SS»NA»Free Account Refresh- Device ChB</v></cell><cell r="D4071" t="str"><v>43310223560353</v></cell><cell r="E4071" t="str"><v>43310102854010ce ChB</v></cell><cell r="F4071" t="str"><v>DCM</v></cell><cell r="G4071" t="str"><v>https://azure.microsoft.com/en-gb/free/search/</v></cell></row><row r="4071"><cell r="K4071" t="str"><v>July</v></cell><cell r="L4071"><v>43316</v></cell><cell r="M4071" t="str"><v>Tier 1</v></cell><cell r="N4071" t="str"><v>EMEA</v></cell><cell r="O4071" t="str"><v>United Kingdom</v></cell><cell r="P4071" t="str"><v>Trial</v></cell><cell r="Q4071" t="str"><v>Social</v></cell><cell r="R4071" t="str"><v>Azure</v></cell><cell r="S4071" t="str"><v>Apps & Infra</v></cell><cell r="T4071" t="str"><v>Developers & ITI's</v></cell><cell r="U4071" t="str"><v>Audience & Interest Targeting</v></cell><cell r="V4071" t="str"><v>Audience Targeting</v></cell><cell r="W4071" t="str"><v>Link Ad</v></cell><cell r="X4071" t="str"><v>1x1</v></cell></row><row r="4071"><cell r="AA4071"><v>43310</v></cell><cell r="AB4071" t="str"><v>GBR_gaPMG_CE_AZR_Q1_19_Trial-Social</v></cell><cell r="AC4071"><v>21337013</v></cell><cell r="AD4071"><v>720196</v></cell><cell r="AE4071" t="str"><v>Facebook</v></cell><cell r="AF4071"><v>3654128</v></cell><cell r="AG4071" t="str"><v>Facebook»Audience & Interest Targeting»1x1»SocialBan»LIA»DT»DYN»AUT»W»NA»SS»NA»Free Account Refresh- Device ChB</v></cell><cell r="AH4071"><v>223560353</v></cell><cell r="AI4071" t="str"><v>AzurePlatform_FreeAcctAppsFACEBOOKDeviceChB_GBR_1200x628_SOC_PLAT_EN_Trial_Standard_NA_SU_T2_1</v></cell><cell r="AJ4071"><v>102854010</v></cell></row><row r="4072"><cell r="C4072" t="str"><v>43310Facebook»Audience & Interest Targeting»1x1»SocialBan»LIA»DT»DYN»AUT»W»NA»SS»NA»Free Account Refresh- Illustration ChC</v></cell><cell r="D4072" t="str"><v>43310223560347</v></cell><cell r="E4072" t="str"><v>43310102857037on ChC</v></cell><cell r="F4072" t="str"><v>DCM</v></cell><cell r="G4072" t="str"><v>https://azure.microsoft.com/en-gb/free/search/</v></cell></row><row r="4072"><cell r="K4072" t="str"><v>July</v></cell><cell r="L4072"><v>43316</v></cell><cell r="M4072" t="str"><v>Tier 1</v></cell><cell r="N4072" t="str"><v>EMEA</v></cell><cell r="O4072" t="str"><v>United Kingdom</v></cell><cell r="P4072" t="str"><v>Trial</v></cell><cell r="Q4072" t="str"><v>Social</v></cell><cell r="R4072" t="str"><v>Azure</v></cell><cell r="S4072" t="str"><v>Apps & Infra</v></cell><cell r="T4072" t="str"><v>Developers & ITI's</v></cell><cell r="U4072" t="str"><v>Audience & Interest Targeting</v></cell><cell r="V4072" t="str"><v>Audience Targeting</v></cell><cell r="W4072" t="str"><v>Link Ad</v></cell><cell r="X4072" t="str"><v>1x1</v></cell></row><row r="4072"><cell r="AA4072"><v>43310</v></cell><cell r="AB4072" t="str"><v>GBR_gaPMG_CE_AZR_Q1_19_Trial-Social</v></cell><cell r="AC4072"><v>21337013</v></cell><cell r="AD4072"><v>720196</v></cell><cell r="AE4072" t="str"><v>Facebook</v></cell><cell r="AF4072"><v>3654128</v></cell><cell r="AG4072" t="str"><v>Facebook»Audience & Interest Targeting»1x1»SocialBan»LIA»DT»DYN»AUT»W»NA»SS»NA»Free Account Refresh- Illustration ChC</v></cell><cell r="AH4072"><v>223560347</v></cell><cell r="AI4072" t="str"><v>AzurePlatform_FreeAcctAppsFACEBOOKIllustrationChC_GBR_1200x628_SOC_PLAT_EN_Trial_Standard_NA_SU_T3_1</v></cell><cell r="AJ4072"><v>102857037</v></cell></row><row r="4073"><cell r="C4073" t="str"><v>43310Facebook»Audience & Interest Targeting»1x1»SocialBan»LIA»DT»DYN»AUT»W»NA»SS»NA»Free Account Refresh- Lifestyle ChA</v></cell><cell r="D4073" t="str"><v>43310223560341</v></cell><cell r="E4073" t="str"><v>43310102853597le ChA</v></cell><cell r="F4073" t="str"><v>DCM</v></cell><cell r="G4073" t="str"><v>https://azure.microsoft.com/en-gb/free/search/</v></cell></row><row r="4073"><cell r="K4073" t="str"><v>July</v></cell><cell r="L4073"><v>43316</v></cell><cell r="M4073" t="str"><v>Tier 1</v></cell><cell r="N4073" t="str"><v>EMEA</v></cell><cell r="O4073" t="str"><v>United Kingdom</v></cell><cell r="P4073" t="str"><v>Trial</v></cell><cell r="Q4073" t="str"><v>Social</v></cell><cell r="R4073" t="str"><v>Azure</v></cell><cell r="S4073" t="str"><v>Apps & Infra</v></cell><cell r="T4073" t="str"><v>Developers & ITI's</v></cell><cell r="U4073" t="str"><v>Audience & Interest Targeting</v></cell><cell r="V4073" t="str"><v>Audience Targeting</v></cell><cell r="W4073" t="str"><v>Link Ad</v></cell><cell r="X4073" t="str"><v>1x1</v></cell></row><row r="4073"><cell r="AA4073"><v>43310</v></cell><cell r="AB4073" t="str"><v>GBR_gaPMG_CE_AZR_Q1_19_Trial-Social</v></cell><cell r="AC4073"><v>21337013</v></cell><cell r="AD4073"><v>720196</v></cell><cell r="AE4073" t="str"><v>Facebook</v></cell><cell r="AF4073"><v>3654128</v></cell><cell r="AG4073" t="str"><v>Facebook»Audience & Interest Targeting»1x1»SocialBan»LIA»DT»DYN»AUT»W»NA»SS»NA»Free Account Refresh- Lifestyle ChA</v></cell><cell r="AH4073"><v>223560341</v></cell><cell r="AI4073" t="str"><v>AzurePlatform_FreeAcctAppsFACEBOOKLifestyleChA_GBR_1200x628_SOC_PLAT_EN_Trial_Standard_NA_SU_T1_1</v></cell><cell r="AJ4073"><v>102853597</v></cell></row><row r="4074"><cell r="C4074" t="str"><v>43310Facebook»Retargeting»1x1»SocialBan»LIA»DT»DYN»RT»W»NA»SS»NA»Free Account Retargeting Generic- Animated ChC</v></cell><cell r="D4074" t="str"><v>43310223560299</v></cell><cell r="E4074" t="str"><v>43310102854019ed ChC</v></cell><cell r="F4074" t="str"><v>DCM</v></cell><cell r="G4074" t="str"><v>https://azure.microsoft.com/en-gb/free/search/</v></cell></row><row r="4074"><cell r="K4074" t="str"><v>July</v></cell><cell r="L4074"><v>43316</v></cell><cell r="M4074" t="str"><v>Tier 1</v></cell><cell r="N4074" t="str"><v>EMEA</v></cell><cell r="O4074" t="str"><v>United Kingdom</v></cell><cell r="P4074" t="str"><v>Trial</v></cell><cell r="Q4074" t="str"><v>Social</v></cell><cell r="R4074" t="str"><v>Azure</v></cell><cell r="S4074" t="str"><v>Apps & Infra</v></cell><cell r="T4074" t="str"><v>Developers & ITI's</v></cell><cell r="U4074" t="str"><v>Retargeting</v></cell><cell r="V4074" t="str"><v>Retargeting</v></cell><cell r="W4074" t="str"><v>Link Ad</v></cell><cell r="X4074" t="str"><v>1x1</v></cell></row><row r="4074"><cell r="AA4074"><v>43310</v></cell><cell r="AB4074" t="str"><v>GBR_gaPMG_CE_AZR_Q1_19_Trial-Social</v></cell><cell r="AC4074"><v>21337013</v></cell><cell r="AD4074"><v>720196</v></cell><cell r="AE4074" t="str"><v>Facebook</v></cell><cell r="AF4074"><v>3654128</v></cell><cell r="AG4074" t="str"><v>Facebook»Retargeting»1x1»SocialBan»LIA»DT»DYN»RT»W»NA»SS»NA»Free Account Retargeting Generic- Animated ChC</v></cell><cell r="AH4074"><v>223560299</v></cell><cell r="AI4074" t="str"><v>AzurePlatform_FreeAcctRetargetingFB-Animated-ChC_GBR_1200x628_SOC_Plat_EN_Free Account_Standard_ANI_SU_T3_1</v></cell><cell r="AJ4074"><v>102854019</v></cell></row><row r="4075"><cell r="C4075" t="str"><v>43310Facebook»Retargeting»1x1»SocialBan»LIA»DT»DYN»RT»W»NA»SS»NA»Free Account Retargeting Generic- Global Alt ChB</v></cell><cell r="D4075" t="str"><v>43310223560356</v></cell><cell r="E4075" t="str"><v>43310102854016lt ChB</v></cell><cell r="F4075" t="str"><v>DCM</v></cell><cell r="G4075" t="str"><v>https://azure.microsoft.com/en-gb/free/search/</v></cell></row><row r="4075"><cell r="K4075" t="str"><v>July</v></cell><cell r="L4075"><v>43316</v></cell><cell r="M4075" t="str"><v>Tier 1</v></cell><cell r="N4075" t="str"><v>EMEA</v></cell><cell r="O4075" t="str"><v>United Kingdom</v></cell><cell r="P4075" t="str"><v>Trial</v></cell><cell r="Q4075" t="str"><v>Social</v></cell><cell r="R4075" t="str"><v>Azure</v></cell><cell r="S4075" t="str"><v>Apps & Infra</v></cell><cell r="T4075" t="str"><v>Developers & ITI's</v></cell><cell r="U4075" t="str"><v>Retargeting</v></cell><cell r="V4075" t="str"><v>Retargeting</v></cell><cell r="W4075" t="str"><v>Link Ad</v></cell><cell r="X4075" t="str"><v>1x1</v></cell></row><row r="4075"><cell r="AA4075"><v>43310</v></cell><cell r="AB4075" t="str"><v>GBR_gaPMG_CE_AZR_Q1_19_Trial-Social</v></cell><cell r="AC4075"><v>21337013</v></cell><cell r="AD4075"><v>720196</v></cell><cell r="AE4075" t="str"><v>Facebook</v></cell><cell r="AF4075"><v>3654128</v></cell><cell r="AG4075" t="str"><v>Facebook»Retargeting»1x1»SocialBan»LIA»DT»DYN»RT»W»NA»SS»NA»Free Account Retargeting Generic- Global Alt ChB</v></cell><cell r="AH4075"><v>223560356</v></cell><cell r="AI4075" t="str"><v>AzurePlatform_FreeAcctRetargetingFB-GlobalAlt-ChB_GBR_1200x628_SOC_Plat_EN_Free Account_Standard_NA_SU_T2_1</v></cell><cell r="AJ4075"><v>102854016</v></cell></row><row r="4076"><cell r="C4076" t="str"><v>43310Facebook»Retargeting»1x1»SocialBan»LIA»DT»DYN»RT»W»NA»SS»NA»Free Account Retargeting OSS- Logos ChG</v></cell><cell r="D4076" t="str"><v>43310223560350</v></cell><cell r="E4076" t="str"><v>43310103006547os ChG</v></cell><cell r="F4076" t="str"><v>DCM</v></cell><cell r="G4076" t="str"><v>https://azure.microsoft.com/en-gb/free/open-source/search/</v></cell></row><row r="4076"><cell r="K4076" t="str"><v>July</v></cell><cell r="L4076"><v>43316</v></cell><cell r="M4076" t="str"><v>Tier 1</v></cell><cell r="N4076" t="str"><v>EMEA</v></cell><cell r="O4076" t="str"><v>United Kingdom</v></cell><cell r="P4076" t="str"><v>Trial</v></cell><cell r="Q4076" t="str"><v>Social</v></cell><cell r="R4076" t="str"><v>Azure</v></cell><cell r="S4076" t="str"><v>Apps & Infra</v></cell><cell r="T4076" t="str"><v>Developers & ITI's</v></cell><cell r="U4076" t="str"><v>Retargeting</v></cell><cell r="V4076" t="str"><v>Retargeting</v></cell><cell r="W4076" t="str"><v>Link Ad</v></cell><cell r="X4076" t="str"><v>1x1</v></cell></row><row r="4076"><cell r="AA4076"><v>43310</v></cell><cell r="AB4076" t="str"><v>GBR_gaPMG_CE_AZR_Q1_19_Trial-Social</v></cell><cell r="AC4076"><v>21337013</v></cell><cell r="AD4076"><v>720196</v></cell><cell r="AE4076" t="str"><v>Facebook</v></cell><cell r="AF4076"><v>3654128</v></cell><cell r="AG4076" t="str"><v>Facebook»Retargeting»1x1»SocialBan»LIA»DT»DYN»RT»W»NA»SS»NA»Free Account Retargeting OSS- Logos ChG</v></cell><cell r="AH4076"><v>223560350</v></cell><cell r="AI4076" t="str"><v>AzurePlatform_FreeAcctRetargetingOSSFB-Logos-ChG_GBR_1200x628_SOC_Plat_EN_Free Account_Standard_NA_SU_T2_1</v></cell><cell r="AJ4076"><v>103006547</v></cell></row><row r="4077"><cell r="C4077" t="str"><v>43310Facebook»Retargeting»1x1»SocialBan»LIA»DT»DYN»RT»W»NA»SS»NA»Free Account Retargeting OSS- Text ChF</v></cell><cell r="D4077" t="str"><v>43310223560344</v></cell><cell r="E4077" t="str"><v>43310102861246xt ChF</v></cell><cell r="F4077" t="str"><v>DCM</v></cell><cell r="G4077" t="str"><v>https://azure.microsoft.com/en-gb/free/open-source/search/</v></cell></row><row r="4077"><cell r="K4077" t="str"><v>July</v></cell><cell r="L4077"><v>43316</v></cell><cell r="M4077" t="str"><v>Tier 1</v></cell><cell r="N4077" t="str"><v>EMEA</v></cell><cell r="O4077" t="str"><v>United Kingdom</v></cell><cell r="P4077" t="str"><v>Trial</v></cell><cell r="Q4077" t="str"><v>Social</v></cell><cell r="R4077" t="str"><v>Azure</v></cell><cell r="S4077" t="str"><v>Apps & Infra</v></cell><cell r="T4077" t="str"><v>Developers & ITI's</v></cell><cell r="U4077" t="str"><v>Retargeting</v></cell><cell r="V4077" t="str"><v>Retargeting</v></cell><cell r="W4077" t="str"><v>Link Ad</v></cell><cell r="X4077" t="str"><v>1x1</v></cell></row><row r="4077"><cell r="AA4077"><v>43310</v></cell><cell r="AB4077" t="str"><v>GBR_gaPMG_CE_AZR_Q1_19_Trial-Social</v></cell><cell r="AC4077"><v>21337013</v></cell><cell r="AD4077"><v>720196</v></cell><cell r="AE4077" t="str"><v>Facebook</v></cell><cell r="AF4077"><v>3654128</v></cell><cell r="AG4077" t="str"><v>Facebook»Retargeting»1x1»SocialBan»LIA»DT»DYN»RT»W»NA»SS»NA»Free Account Retargeting OSS- Text ChF</v></cell><cell r="AH4077"><v>223560344</v></cell><cell r="AI4077" t="str"><v>AzurePlatform_FreeAcctRetargetingOSSFB-Text-ChF_GBR_1200x628_SOC_Plat_EN_Free Account_Standard_NA_SU_T1_1</v></cell><cell r="AJ4077"><v>102861246</v></cell></row><row r="4078"><cell r="C4078" t="str"><v>43310Facebook»Retargeting»1x1»SocialBan»LIA»DT»DYN»RT»W»NA»SS»NA»Free Account Retargeting VM- 750 Hrs ChD</v></cell><cell r="D4078" t="str"><v>43310223560338</v></cell><cell r="E4078" t="str"><v>43310102853603rs ChD</v></cell><cell r="F4078" t="str"><v>DCM</v></cell><cell r="G4078" t="str"><v>https://azure.microsoft.com/en-gb/free/virtual-machines/search/</v></cell></row><row r="4078"><cell r="K4078" t="str"><v>July</v></cell><cell r="L4078"><v>43316</v></cell><cell r="M4078" t="str"><v>Tier 1</v></cell><cell r="N4078" t="str"><v>EMEA</v></cell><cell r="O4078" t="str"><v>United Kingdom</v></cell><cell r="P4078" t="str"><v>Trial</v></cell><cell r="Q4078" t="str"><v>Social</v></cell><cell r="R4078" t="str"><v>Azure</v></cell><cell r="S4078" t="str"><v>Apps & Infra</v></cell><cell r="T4078" t="str"><v>Developers & ITI's</v></cell><cell r="U4078" t="str"><v>Retargeting</v></cell><cell r="V4078" t="str"><v>Retargeting</v></cell><cell r="W4078" t="str"><v>Link Ad</v></cell><cell r="X4078" t="str"><v>1x1</v></cell></row><row r="4078"><cell r="AA4078"><v>43310</v></cell><cell r="AB4078" t="str"><v>GBR_gaPMG_CE_AZR_Q1_19_Trial-Social</v></cell><cell r="AC4078"><v>21337013</v></cell><cell r="AD4078"><v>720196</v></cell><cell r="AE4078" t="str"><v>Facebook</v></cell><cell r="AF4078"><v>3654128</v></cell><cell r="AG4078" t="str"><v>Facebook»Retargeting»1x1»SocialBan»LIA»DT»DYN»RT»W»NA»SS»NA»Free Account Retargeting VM- 750 Hrs ChD</v></cell><cell r="AH4078"><v>223560338</v></cell><cell r="AI4078" t="str"><v>AzurePlatform_FreeAcctRetargetingVMFB-750Hrs-ChD_GBR_1200x628_SOC_Plat_EN_Free Account_Standard_NA_SU_T1_1</v></cell><cell r="AJ4078"><v>102853603</v></cell></row><row r="4079"><cell r="C4079" t="str"><v>43310Facebook»Retargeting»1x1»SocialBan»LIA»DT»DYN»RT»W»NA»SS»NA»Free Account Retargeting VM- On Demand ChE</v></cell><cell r="D4079" t="str"><v>43310223560332</v></cell><cell r="E4079" t="str"><v>43310102854037nd ChE</v></cell><cell r="F4079" t="str"><v>DCM</v></cell><cell r="G4079" t="str"><v>https://azure.microsoft.com/en-gb/free/virtual-machines/search/</v></cell></row><row r="4079"><cell r="K4079" t="str"><v>July</v></cell><cell r="L4079"><v>43316</v></cell><cell r="M4079" t="str"><v>Tier 1</v></cell><cell r="N4079" t="str"><v>EMEA</v></cell><cell r="O4079" t="str"><v>United Kingdom</v></cell><cell r="P4079" t="str"><v>Trial</v></cell><cell r="Q4079" t="str"><v>Social</v></cell><cell r="R4079" t="str"><v>Azure</v></cell><cell r="S4079" t="str"><v>Apps & Infra</v></cell><cell r="T4079" t="str"><v>Developers & ITI's</v></cell><cell r="U4079" t="str"><v>Retargeting</v></cell><cell r="V4079" t="str"><v>Retargeting</v></cell><cell r="W4079" t="str"><v>Link Ad</v></cell><cell r="X4079" t="str"><v>1x1</v></cell></row><row r="4079"><cell r="AA4079"><v>43310</v></cell><cell r="AB4079" t="str"><v>GBR_gaPMG_CE_AZR_Q1_19_Trial-Social</v></cell><cell r="AC4079"><v>21337013</v></cell><cell r="AD4079"><v>720196</v></cell><cell r="AE4079" t="str"><v>Facebook</v></cell><cell r="AF4079"><v>3654128</v></cell><cell r="AG4079" t="str"><v>Facebook»Retargeting»1x1»SocialBan»LIA»DT»DYN»RT»W»NA»SS»NA»Free Account Retargeting VM- On Demand ChE</v></cell><cell r="AH4079"><v>223560332</v></cell><cell r="AI4079" t="str"><v>AzurePlatform_FreeAcctRetargetingVMFB-OnDemand-ChE_GBR_1200x628_SOC_Plat_EN_Free Account_Standard_NA_SU_T2_1</v></cell><cell r="AJ4079"><v>102854037</v></cell></row><row r="4080"><cell r="C4080" t="str"><v>43310Facebook»AZP-Canvas-Interest&Role-Trial»1x1»Canvas»OTH»MO»CPM»PRO»X»UNK»TP»OT»Canvas-Trial</v></cell><cell r="D4080" t="str"><v>43310223298805</v></cell><cell r="E4080" t="str"><v>43310102609621-Trial</v></cell><cell r="F4080" t="str"><v>DCM</v></cell><cell r="G4080" t="str"><v>https://signup.azure.com/signup?offer=ms-azr-0044p&appId=102&ref=paidmedia-social-fb&redirectURL=https%3a%2f%2fazure.microsoft.com%2fja-jp%2fget-started%2fwelcome-to-azure%2f&l=ja-jp&correlationId=ead86c34-1f10-49dd-a72b-6918462a2cbf</v></cell></row><row r="4080"><cell r="K4080" t="str"><v>July</v></cell><cell r="L4080"><v>43316</v></cell><cell r="M4080" t="str"><v>Tier 1</v></cell><cell r="N4080" t="str"><v>APAC</v></cell><cell r="O4080" t="str"><v>Japan</v></cell><cell r="P4080" t="str"><v>Trial</v></cell><cell r="Q4080" t="str"><v>Social</v></cell><cell r="R4080" t="str"><v>Azure</v></cell><cell r="S4080" t="str"><v>Apps & Infra</v></cell><cell r="T4080" t="str"><v>Developers & ITI's</v></cell><cell r="U4080" t="str"><v>AZP-Canvas-Interest&Role-Trial</v></cell><cell r="V4080" t="str"><v>Prospecting</v></cell><cell r="W4080" t="str"><v>Other</v></cell><cell r="X4080" t="str"><v>1x1</v></cell></row><row r="4080"><cell r="AA4080"><v>43310</v></cell><cell r="AB4080" t="str"><v>JPN_gaPMG_AZR_AZR_Q1_19_Trial-Social</v></cell><cell r="AC4080"><v>21276694</v></cell><cell r="AD4080"><v>720195</v></cell><cell r="AE4080" t="str"><v>Facebook</v></cell><cell r="AF4080"><v>3654128</v></cell><cell r="AG4080" t="str"><v>Facebook»AZP-Canvas-Interest&Role-Trial»1x1»Canvas»OTH»MO»CPM»PRO»X»UNK»TP»OT»Canvas-Trial</v></cell><cell r="AH4080"><v>223298805</v></cell><cell r="AI4080" t="str"><v>AzurePlatform_FBCTCcanvaspage-StartFreeCTA-Img2_JPN_1080x143 _SOC_Plat_Japanese_NA_Standard_NA_NA_T2_1</v></cell><cell r="AJ4080"><v>102609621</v></cell></row><row r="4081"><cell r="C4081" t="str"><v>43310Facebook»AZP-Canvas-Look a Like-Trial»1x1»Canvas»OTH»MO»CPM»PRO»X»UNK»TP»OT»Canvas-Trial</v></cell><cell r="D4081" t="str"><v>43310223297413</v></cell><cell r="E4081" t="str"><v>43310102630373-Trial</v></cell><cell r="F4081" t="str"><v>DCM</v></cell><cell r="G4081" t="str"><v>https://azure.microsoft.com/ja-jp/pricing/purchase-options/</v></cell></row><row r="4081"><cell r="K4081" t="str"><v>July</v></cell><cell r="L4081"><v>43316</v></cell><cell r="M4081" t="str"><v>Tier 1</v></cell><cell r="N4081" t="str"><v>APAC</v></cell><cell r="O4081" t="str"><v>Japan</v></cell><cell r="P4081" t="str"><v>Trial</v></cell><cell r="Q4081" t="str"><v>Social</v></cell><cell r="R4081" t="str"><v>Azure</v></cell><cell r="S4081" t="str"><v>Apps & Infra</v></cell><cell r="T4081" t="str"><v>Developers & ITI's</v></cell><cell r="U4081" t="str"><v>AZP-Canvas-Look a Like-Trial</v></cell><cell r="V4081" t="str"><v>Prospecting</v></cell><cell r="W4081" t="str"><v>Other</v></cell><cell r="X4081" t="str"><v>1x1</v></cell></row><row r="4081"><cell r="AA4081"><v>43310</v></cell><cell r="AB4081" t="str"><v>JPN_gaPMG_AZR_AZR_Q1_19_Trial-Social</v></cell><cell r="AC4081"><v>21276694</v></cell><cell r="AD4081"><v>720195</v></cell><cell r="AE4081" t="str"><v>Facebook</v></cell><cell r="AF4081"><v>3654128</v></cell><cell r="AG4081" t="str"><v>Facebook»AZP-Canvas-Look a Like-Trial»1x1»Canvas»OTH»MO»CPM»PRO»X»UNK»TP»OT»Canvas-Trial</v></cell><cell r="AH4081"><v>223297413</v></cell><cell r="AI4081" t="str"><v>AzurePlatform_FBCTCcanvaspage-BuyNowCTA-Img3_JPN_1080x162_SOC_Plat_Japanese_NA_Standard_NA_BN_T3_1</v></cell><cell r="AJ4081"><v>102630373</v></cell></row><row r="4082"><cell r="C4082" t="str"><v>43310Facebook»AZP-Canvas-Look a Like-Trial»1x1»Canvas»OTH»MO»CPM»PRO»X»UNK»TP»OT»Canvas-Trial</v></cell><cell r="D4082" t="str"><v>43310223297413</v></cell><cell r="E4082" t="str"><v>43310102609621-Trial</v></cell><cell r="F4082" t="str"><v>DCM</v></cell><cell r="G4082" t="str"><v>https://signup.azure.com/signup?offer=ms-azr-0044p&appId=102&ref=paidmedia-social-fb&redirectURL=https%3a%2f%2fazure.microsoft.com%2fja-jp%2fget-started%2fwelcome-to-azure%2f&l=ja-jp&correlationId=ead86c34-1f10-49dd-a72b-6918462a2cbf</v></cell></row><row r="4082"><cell r="K4082" t="str"><v>July</v></cell><cell r="L4082"><v>43316</v></cell><cell r="M4082" t="str"><v>Tier 1</v></cell><cell r="N4082" t="str"><v>APAC</v></cell><cell r="O4082" t="str"><v>Japan</v></cell><cell r="P4082" t="str"><v>Trial</v></cell><cell r="Q4082" t="str"><v>Social</v></cell><cell r="R4082" t="str"><v>Azure</v></cell><cell r="S4082" t="str"><v>Apps & Infra</v></cell><cell r="T4082" t="str"><v>Developers & ITI's</v></cell><cell r="U4082" t="str"><v>AZP-Canvas-Look a Like-Trial</v></cell><cell r="V4082" t="str"><v>Prospecting</v></cell><cell r="W4082" t="str"><v>Other</v></cell><cell r="X4082" t="str"><v>1x1</v></cell></row><row r="4082"><cell r="AA4082"><v>43310</v></cell><cell r="AB4082" t="str"><v>JPN_gaPMG_AZR_AZR_Q1_19_Trial-Social</v></cell><cell r="AC4082"><v>21276694</v></cell><cell r="AD4082"><v>720195</v></cell><cell r="AE4082" t="str"><v>Facebook</v></cell><cell r="AF4082"><v>3654128</v></cell><cell r="AG4082" t="str"><v>Facebook»AZP-Canvas-Look a Like-Trial»1x1»Canvas»OTH»MO»CPM»PRO»X»UNK»TP»OT»Canvas-Trial</v></cell><cell r="AH4082"><v>223297413</v></cell><cell r="AI4082" t="str"><v>AzurePlatform_FBCTCcanvaspage-StartFreeCTA-Img2_JPN_1080x143 _SOC_Plat_Japanese_NA_Standard_NA_NA_T2_1</v></cell><cell r="AJ4082"><v>102609621</v></cell></row><row r="4083"><cell r="C4083" t="str"><v>43310Facebook»AZP-Retargeting»1x1»Ban»LIA»ALL»CPM»RT»X»All»TP»OT»Free Account Retargeting VM-ChD</v></cell><cell r="D4083" t="str"><v>43310223726374</v></cell><cell r="E4083" t="str"><v>43310102971306VM-ChD</v></cell><cell r="F4083" t="str"><v>DCM</v></cell><cell r="G4083" t="str"><v>https://azure.microsoft.com/ja-jp/free/virtual-machines/search/</v></cell></row><row r="4083"><cell r="K4083" t="str"><v>July</v></cell><cell r="L4083"><v>43316</v></cell><cell r="M4083" t="str"><v>Tier 1</v></cell><cell r="N4083" t="str"><v>APAC</v></cell><cell r="O4083" t="str"><v>Japan</v></cell><cell r="P4083" t="str"><v>Trial</v></cell><cell r="Q4083" t="str"><v>Social</v></cell><cell r="R4083" t="str"><v>Azure</v></cell><cell r="S4083" t="str"><v>Apps & Infra</v></cell><cell r="T4083" t="str"><v>Developers & ITI's</v></cell><cell r="U4083" t="str"><v>AZP-Retargeting</v></cell><cell r="V4083" t="str"><v>Retargeting</v></cell><cell r="W4083" t="str"><v>Link Ad</v></cell><cell r="X4083" t="str"><v>1x1</v></cell></row><row r="4083"><cell r="AA4083"><v>43310</v></cell><cell r="AB4083" t="str"><v>JPN_gaPMG_AZR_AZR_Q1_19_Trial-Social</v></cell><cell r="AC4083"><v>21276694</v></cell><cell r="AD4083"><v>720195</v></cell><cell r="AE4083" t="str"><v>Facebook</v></cell><cell r="AF4083"><v>3654128</v></cell><cell r="AG4083" t="str"><v>Facebook»AZP-Retargeting»1x1»Ban»LIA»ALL»CPM»RT»X»All»TP»OT»Free Account Retargeting VM-ChD</v></cell><cell r="AH4083"><v>223726374</v></cell><cell r="AI4083" t="str"><v>AzurePlatform_FreeAcctRetargetingVMFB-750Hrs-ChD_JPN_1200x628_SOC_Plat_JA_Free Account_Standard_NA_SU_T1_1</v></cell><cell r="AJ4083"><v>102971306</v></cell></row><row r="4084"><cell r="C4084" t="str"><v>43310FACEBOOK»USA-Trial-ITD-Interest Prospecting-AZR-AZR»1 x 1»SocialBan»CAN»ALL»CPA»PRO»X»NA»SS»NA»FBCTCBasicMotion»PRC1SV</v></cell><cell r="D4084" t="str"><v>43310223934062</v></cell><cell r="E4084" t="str"><v>43310103043823PRC1SV</v></cell><cell r="F4084" t="str"><v>DCM</v></cell><cell r="G4084" t="str"><v>https://signup.azure.com/?OCID=AID%eexcid!_OLA_%ebuy!_%epid!_%ecid!</v></cell></row><row r="4084"><cell r="K4084" t="str"><v>July</v></cell><cell r="L4084"><v>43316</v></cell><cell r="M4084" t="str"><v>Tier 0</v></cell><cell r="N4084" t="str"><v>North America</v></cell><cell r="O4084" t="str"><v>United States</v></cell><cell r="P4084" t="str"><v>Trial</v></cell><cell r="Q4084" t="str"><v>Social</v></cell><cell r="R4084" t="str"><v>Azure</v></cell><cell r="S4084" t="str"><v>Apps & Infra</v></cell><cell r="T4084" t="str"><v>Developers & ITI's</v></cell><cell r="U4084" t="str"><v>USA-Trial-ITD-Interest Prospecting-AZR-AZR</v></cell><cell r="V4084" t="str"><v>Prospecting</v></cell><cell r="W4084" t="str"><v>Canvas Ad</v></cell><cell r="X4084" t="str"><v>1x1</v></cell></row><row r="4084"><cell r="AA4084"><v>43310</v></cell><cell r="AB4084" t="str"><v>USA_gaPMG_AZR_AZR_Q1_19_Direct-Social</v></cell><cell r="AC4084"><v>21358715</v></cell><cell r="AD4084"><v>720197</v></cell><cell r="AE4084" t="str"><v>Facebook</v></cell><cell r="AF4084"><v>3654128</v></cell><cell r="AG4084" t="str"><v>FACEBOOK»USA-Trial-ITD-Interest Prospecting-AZR-AZR»1 x 1»SocialBan»CAN»ALL»CPA»PRO»X»NA»SS»NA»FBCTCBasicMotion»PRC1SV</v></cell><cell r="AH4084"><v>223934062</v></cell><cell r="AI4084" t="str"><v>AzurePlatform_FBCTCBasicMotion_USA_10s_CAN_PLATFORM_English_Trial_Standard_STAN_TIN_T1_1</v></cell><cell r="AJ4084"><v>103043823</v></cell></row><row r="4085"><cell r="C4085" t="str"><v>43310FACEBOOK»USA-Trial-ITD-Interest Prospecting-AZR-AZR»1 x 1»SocialBan»CAN»ALL»CPA»PRO»X»NA»SS»NA»FBCTCBenefit2inMotion»PRC1SW</v></cell><cell r="D4085" t="str"><v>43310223933138</v></cell><cell r="E4085" t="str"><v>43310103043835PRC1SW</v></cell><cell r="F4085" t="str"><v>DCM</v></cell><cell r="G4085" t="str"><v>https://signup.azure.com/?OCID=AID%eexcid!_OLA_%ebuy!_%epid!_%ecid!</v></cell></row><row r="4085"><cell r="K4085" t="str"><v>July</v></cell><cell r="L4085"><v>43316</v></cell><cell r="M4085" t="str"><v>Tier 0</v></cell><cell r="N4085" t="str"><v>North America</v></cell><cell r="O4085" t="str"><v>United States</v></cell><cell r="P4085" t="str"><v>Trial</v></cell><cell r="Q4085" t="str"><v>Social</v></cell><cell r="R4085" t="str"><v>Azure</v></cell><cell r="S4085" t="str"><v>Apps & Infra</v></cell><cell r="T4085" t="str"><v>Developers & ITI's</v></cell><cell r="U4085" t="str"><v>USA-Trial-ITD-Interest Prospecting-AZR-AZR</v></cell><cell r="V4085" t="str"><v>Prospecting</v></cell><cell r="W4085" t="str"><v>Canvas Ad</v></cell><cell r="X4085" t="str"><v>1x1</v></cell></row><row r="4085"><cell r="AA4085"><v>43310</v></cell><cell r="AB4085" t="str"><v>USA_gaPMG_AZR_AZR_Q1_19_Direct-Social</v></cell><cell r="AC4085"><v>21358715</v></cell><cell r="AD4085"><v>720197</v></cell><cell r="AE4085" t="str"><v>Facebook</v></cell><cell r="AF4085"><v>3654128</v></cell><cell r="AG4085" t="str"><v>FACEBOOK»USA-Trial-ITD-Interest Prospecting-AZR-AZR»1 x 1»SocialBan»CAN»ALL»CPA»PRO»X»NA»SS»NA»FBCTCBenefit2inMotion»PRC1SW</v></cell><cell r="AH4085"><v>223933138</v></cell><cell r="AI4085" t="str"><v>AzurePlatform_FBCTCBenefit2inMotion_USA_10s_CAN_PLATFORM_English_Trial_Standard_STAN_TIN_T4_1</v></cell><cell r="AJ4085"><v>103043835</v></cell></row><row r="4086"><cell r="C4086" t="str"><v>43310FACEBOOK»USA-Trial-ITD-Interest Prospecting-AZR-AZR»1 x 1»SocialBan»CAN»ALL»CPA»PRO»X»NA»SS»NA»FBCTCBenefit2inMotion»PRC1SW</v></cell><cell r="D4086" t="str"><v>43310223933138</v></cell><cell r="E4086" t="str"><v>43310103178645PRC1SW</v></cell><cell r="F4086" t="str"><v>DCM</v></cell><cell r="G4086" t="str"><v>https://azure.microsoft.com/en-us/pricing/purchase-options/?v=18.19&OCID=AID%eexcid!_OLA_%ebuy!_%epid!_%ecid!</v></cell></row><row r="4086"><cell r="K4086" t="str"><v>July</v></cell><cell r="L4086"><v>43316</v></cell><cell r="M4086" t="str"><v>Tier 0</v></cell><cell r="N4086" t="str"><v>North America</v></cell><cell r="O4086" t="str"><v>United States</v></cell><cell r="P4086" t="str"><v>Trial</v></cell><cell r="Q4086" t="str"><v>Social</v></cell><cell r="R4086" t="str"><v>Azure</v></cell><cell r="S4086" t="str"><v>Apps & Infra</v></cell><cell r="T4086" t="str"><v>Developers & ITI's</v></cell><cell r="U4086" t="str"><v>USA-Trial-ITD-Interest Prospecting-AZR-AZR</v></cell><cell r="V4086" t="str"><v>Prospecting</v></cell><cell r="W4086" t="str"><v>Canvas Ad</v></cell><cell r="X4086" t="str"><v>1x1</v></cell></row><row r="4086"><cell r="AA4086"><v>43310</v></cell><cell r="AB4086" t="str"><v>USA_gaPMG_AZR_AZR_Q1_19_Direct-Social</v></cell><cell r="AC4086"><v>21358715</v></cell><cell r="AD4086"><v>720197</v></cell><cell r="AE4086" t="str"><v>Facebook</v></cell><cell r="AF4086"><v>3654128</v></cell><cell r="AG4086" t="str"><v>FACEBOOK»USA-Trial-ITD-Interest Prospecting-AZR-AZR»1 x 1»SocialBan»CAN»ALL»CPA»PRO»X»NA»SS»NA»FBCTCBenefit2inMotion»PRC1SW</v></cell><cell r="AH4086"><v>223933138</v></cell><cell r="AI4086" t="str"><v>AzurePlatform_FBCTCBenefit2inMotion_USA_10s_CAN_PLATFORM_English_Trial_Standard_STAN_TIN_T4_2</v></cell><cell r="AJ4086"><v>103178645</v></cell></row><row r="4087"><cell r="C4087" t="str"><v>43310FACEBOOK»USA-Trial-ITD-Interest Prospecting-AZR-AZR»1 x 1»SocialBan»CAN»ALL»CPA»PRO»X»NA»SS»NA»FBCTCBrandinMotion»PRC1SY</v></cell><cell r="D4087" t="str"><v>43310224104929</v></cell><cell r="E4087" t="str"><v>43310103176812PRC1SY</v></cell><cell r="F4087" t="str"><v>DCM</v></cell><cell r="G4087" t="str"><v>https://signup.azure.com/?OCID=AID%eexcid!_OLA_%ebuy!_%epid!_%ecid!</v></cell></row><row r="4087"><cell r="K4087" t="str"><v>July</v></cell><cell r="L4087"><v>43316</v></cell><cell r="M4087" t="str"><v>Tier 0</v></cell><cell r="N4087" t="str"><v>North America</v></cell><cell r="O4087" t="str"><v>United States</v></cell><cell r="P4087" t="str"><v>Trial</v></cell><cell r="Q4087" t="str"><v>Social</v></cell><cell r="R4087" t="str"><v>Azure</v></cell><cell r="S4087" t="str"><v>Apps & Infra</v></cell><cell r="T4087" t="str"><v>Developers & ITI's</v></cell><cell r="U4087" t="str"><v>USA-Trial-ITD-Interest Prospecting-AZR-AZR</v></cell><cell r="V4087" t="str"><v>Prospecting</v></cell><cell r="W4087" t="str"><v>Canvas Ad</v></cell><cell r="X4087" t="str"><v>1x1</v></cell></row><row r="4087"><cell r="AA4087"><v>43310</v></cell><cell r="AB4087" t="str"><v>USA_gaPMG_AZR_AZR_Q1_19_Direct-Social</v></cell><cell r="AC4087"><v>21358715</v></cell><cell r="AD4087"><v>720197</v></cell><cell r="AE4087" t="str"><v>Facebook</v></cell><cell r="AF4087"><v>3654128</v></cell><cell r="AG4087" t="str"><v>FACEBOOK»USA-Trial-ITD-Interest Prospecting-AZR-AZR»1 x 1»SocialBan»CAN»ALL»CPA»PRO»X»NA»SS»NA»FBCTCBrandinMotion»PRC1SY</v></cell><cell r="AH4087"><v>224104929</v></cell><cell r="AI4087" t="str"><v>AzurePlatform_FBCTCBrandinMotion_USA_10s_CAN_PLATFORM_English_Trial_Standard_STAN_TIN_T2_1</v></cell><cell r="AJ4087"><v>103176812</v></cell></row><row r="4088"><cell r="C4088" t="str"><v>43310FACEBOOK»USA-Trial-ITD-Interest Prospecting-AZR-AZR»1 x 1»SocialBan»CAN»ALL»CPA»PRO»X»NA»SS»NA»FBCTCBrandinMotion»PRC1SY</v></cell><cell r="D4088" t="str"><v>43310224104929</v></cell><cell r="E4088" t="str"><v>43310103032823PRC1SY</v></cell><cell r="F4088" t="str"><v>DCM</v></cell><cell r="G4088" t="str"><v>https://azure.microsoft.com/en-us/pricing/purchase-options/?v=18.19&OCID=AID%eexcid!_OLA_%ebuy!_%epid!_%ecid!</v></cell></row><row r="4088"><cell r="K4088" t="str"><v>July</v></cell><cell r="L4088"><v>43316</v></cell><cell r="M4088" t="str"><v>Tier 0</v></cell><cell r="N4088" t="str"><v>North America</v></cell><cell r="O4088" t="str"><v>United States</v></cell><cell r="P4088" t="str"><v>Trial</v></cell><cell r="Q4088" t="str"><v>Social</v></cell><cell r="R4088" t="str"><v>Azure</v></cell><cell r="S4088" t="str"><v>Apps & Infra</v></cell><cell r="T4088" t="str"><v>Developers & ITI's</v></cell><cell r="U4088" t="str"><v>USA-Trial-ITD-Interest Prospecting-AZR-AZR</v></cell><cell r="V4088" t="str"><v>Prospecting</v></cell><cell r="W4088" t="str"><v>Canvas Ad</v></cell><cell r="X4088" t="str"><v>1x1</v></cell></row><row r="4088"><cell r="AA4088"><v>43310</v></cell><cell r="AB4088" t="str"><v>USA_gaPMG_AZR_AZR_Q1_19_Direct-Social</v></cell><cell r="AC4088"><v>21358715</v></cell><cell r="AD4088"><v>720197</v></cell><cell r="AE4088" t="str"><v>Facebook</v></cell><cell r="AF4088"><v>3654128</v></cell><cell r="AG4088" t="str"><v>FACEBOOK»USA-Trial-ITD-Interest Prospecting-AZR-AZR»1 x 1»SocialBan»CAN»ALL»CPA»PRO»X»NA»SS»NA»FBCTCBrandinMotion»PRC1SY</v></cell><cell r="AH4088"><v>224104929</v></cell><cell r="AI4088" t="str"><v>AzurePlatform_FBCTCBrandinMotion_USA_10s_CAN_PLATFORM_English_Trial_Standard_STAN_TIN_T2_2</v></cell><cell r="AJ4088"><v>103032823</v></cell></row><row r="4089"><cell r="C4089" t="str"><v>43310FACEBOOK»USA-Trial-ITD-Interest Prospecting-AZR-AZR»1 x 1»SocialBan»LIA»ALL»CPA»PRO»X»NA»SS»NA»FreeAcctDeveloperFB-AnimatedGeneric-Ch1»PRC1SZ</v></cell><cell r="D4089" t="str"><v>43310224104932</v></cell><cell r="E4089" t="str"><v>43310103176851PRC1SZ</v></cell><cell r="F4089" t="str"><v>DCM</v></cell><cell r="G4089" t="str"><v>https://azure.microsoft.com/en-us/free/search/?OCID=AID%eexcid!_OLA_%ebuy!_%epid!_%ecid!</v></cell></row><row r="4089"><cell r="K4089" t="str"><v>July</v></cell><cell r="L4089"><v>43316</v></cell><cell r="M4089" t="str"><v>Tier 0</v></cell><cell r="N4089" t="str"><v>North America</v></cell><cell r="O4089" t="str"><v>United States</v></cell><cell r="P4089" t="str"><v>Trial</v></cell><cell r="Q4089" t="str"><v>Social</v></cell><cell r="R4089" t="str"><v>Azure</v></cell><cell r="S4089" t="str"><v>Apps & Infra</v></cell><cell r="T4089" t="str"><v>Developers & ITI's</v></cell><cell r="U4089" t="str"><v>USA-Trial-ITD-Interest Prospecting-AZR-AZR</v></cell><cell r="V4089" t="str"><v>Prospecting</v></cell><cell r="W4089" t="str"><v>Link Ad</v></cell><cell r="X4089" t="str"><v>1x1</v></cell></row><row r="4089"><cell r="AA4089"><v>43310</v></cell><cell r="AB4089" t="str"><v>USA_gaPMG_AZR_AZR_Q1_19_Direct-Social</v></cell><cell r="AC4089"><v>21358715</v></cell><cell r="AD4089"><v>720197</v></cell><cell r="AE4089" t="str"><v>Facebook</v></cell><cell r="AF4089"><v>3654128</v></cell><cell r="AG4089" t="str"><v>FACEBOOK»USA-Trial-ITD-Interest Prospecting-AZR-AZR»1 x 1»SocialBan»LIA»ALL»CPA»PRO»X»NA»SS»NA»FreeAcctDeveloperFB-AnimatedGeneric-Ch1»PRC1SZ</v></cell><cell r="AH4089"><v>224104932</v></cell><cell r="AI4089" t="str"><v>AZR_FreeAcctDeveloperFB-AnimatedGeneric-Ch1_USA_1200x1200_CAN_Direct_English_Trial_Standard_ANI_LEA_T1_2</v></cell><cell r="AJ4089"><v>103176851</v></cell></row><row r="4090"><cell r="C4090" t="str"><v>43310FACEBOOK»USA-Trial-ITD-Interest Prospecting-AZR-AZR»1 x 1»SocialBan»LIA»ALL»CPA»PRO»X»NA»SS»NA»FreeAcctDeveloperFB-AnimatedGeneric-Ch1»PRC1T0</v></cell><cell r="D4090" t="str"><v>43310223934065</v></cell><cell r="E4090" t="str"><v>43310103176851PRC1T0</v></cell><cell r="F4090" t="str"><v>DCM</v></cell><cell r="G4090" t="str"><v>https://azure.microsoft.com/en-us/free/search/?OCID=AID%eexcid!_OLA_%ebuy!_%epid!_%ecid!</v></cell></row><row r="4090"><cell r="K4090" t="str"><v>July</v></cell><cell r="L4090"><v>43316</v></cell><cell r="M4090" t="str"><v>Tier 0</v></cell><cell r="N4090" t="str"><v>North America</v></cell><cell r="O4090" t="str"><v>United States</v></cell><cell r="P4090" t="str"><v>Trial</v></cell><cell r="Q4090" t="str"><v>Social</v></cell><cell r="R4090" t="str"><v>Azure</v></cell><cell r="S4090" t="str"><v>Apps & Infra</v></cell><cell r="T4090" t="str"><v>Developers & ITI's</v></cell><cell r="U4090" t="str"><v>USA-Trial-ITD-Interest Prospecting-AZR-AZR</v></cell><cell r="V4090" t="str"><v>Prospecting</v></cell><cell r="W4090" t="str"><v>Link Ad</v></cell><cell r="X4090" t="str"><v>1x1</v></cell></row><row r="4090"><cell r="AA4090"><v>43310</v></cell><cell r="AB4090" t="str"><v>USA_gaPMG_AZR_AZR_Q1_19_Direct-Social</v></cell><cell r="AC4090"><v>21358715</v></cell><cell r="AD4090"><v>720197</v></cell><cell r="AE4090" t="str"><v>Facebook</v></cell><cell r="AF4090"><v>3654128</v></cell><cell r="AG4090" t="str"><v>FACEBOOK»USA-Trial-ITD-Interest Prospecting-AZR-AZR»1 x 1»SocialBan»LIA»ALL»CPA»PRO»X»NA»SS»NA»FreeAcctDeveloperFB-AnimatedGeneric-Ch1»PRC1T0</v></cell><cell r="AH4090"><v>223934065</v></cell><cell r="AI4090" t="str"><v>AZR_FreeAcctDeveloperFB-AnimatedGeneric-Ch1_USA_1200x1200_CAN_Direct_English_Trial_Standard_ANI_LEA_T1_2</v></cell><cell r="AJ4090"><v>103176851</v></cell></row><row r="4091"><cell r="C4091" t="str"><v>43310FACEBOOK»USA-Trial-ITD-Interest Prospecting-AZR-AZR»1 x 1»SocialBan»LIA»ALL»CPA»PRO»X»NA»SS»NA»FreeAcctITProFB-AnimatedHybrid-Ch2»PRC1T5</v></cell><cell r="D4091" t="str"><v>43310223862882</v></cell><cell r="E4091" t="str"><v>43310103180583PRC1T5</v></cell><cell r="F4091" t="str"><v>DCM</v></cell></row><row r="4091"><cell r="K4091" t="str"><v>July</v></cell><cell r="L4091"><v>43316</v></cell><cell r="M4091" t="str"><v>Tier 0</v></cell><cell r="N4091" t="str"><v>North America</v></cell><cell r="O4091" t="str"><v>United States</v></cell><cell r="P4091" t="str"><v>Trial</v></cell><cell r="Q4091" t="str"><v>Social</v></cell><cell r="R4091" t="str"><v>Azure</v></cell><cell r="S4091" t="str"><v>Apps & Infra</v></cell><cell r="T4091" t="str"><v>Developers & ITI's</v></cell><cell r="U4091" t="str"><v>USA-Trial-ITD-Interest Prospecting-AZR-AZR</v></cell><cell r="V4091" t="str"><v>Prospecting</v></cell><cell r="W4091" t="str"><v>Link Ad</v></cell><cell r="X4091" t="str"><v>1x1</v></cell></row><row r="4091"><cell r="AA4091"><v>43310</v></cell><cell r="AB4091" t="str"><v>USA_gaPMG_AZR_AZR_Q1_19_Direct-Social</v></cell><cell r="AC4091"><v>21358715</v></cell><cell r="AD4091"><v>720197</v></cell><cell r="AE4091" t="str"><v>Facebook</v></cell><cell r="AF4091"><v>3654128</v></cell><cell r="AG4091" t="str"><v>FACEBOOK»USA-Trial-ITD-Interest Prospecting-AZR-AZR»1 x 1»SocialBan»LIA»ALL»CPA»PRO»X»NA»SS»NA»FreeAcctITProFB-AnimatedHybrid-Ch2»PRC1T5</v></cell><cell r="AH4091"><v>223862882</v></cell><cell r="AI4091" t="str"><v>AZR_FreeAcctITProFB-AnimatedHybrid-Ch2_USA_1200x1200_CAN_Direct_English_Trial_Standard_ANI_LEA_T2_2</v></cell><cell r="AJ4091"><v>103180583</v></cell></row><row r="4092"><cell r="C4092" t="str"><v>43310FACEBOOK»USA-Trial-ITD-Interest Prospecting-AZR-AZR»1 x 1»SocialBan»LIA»ALL»CPA»PRO»X»NA»SS»NA»FreeAcctITProFB-AnimatedSecureMngd-Ch1»PRC1T4</v></cell><cell r="D4092" t="str"><v>43310224104914</v></cell><cell r="E4092" t="str"><v>43310103176830PRC1T4</v></cell><cell r="F4092" t="str"><v>DCM</v></cell></row><row r="4092"><cell r="K4092" t="str"><v>July</v></cell><cell r="L4092"><v>43316</v></cell><cell r="M4092" t="str"><v>Tier 0</v></cell><cell r="N4092" t="str"><v>North America</v></cell><cell r="O4092" t="str"><v>United States</v></cell><cell r="P4092" t="str"><v>Trial</v></cell><cell r="Q4092" t="str"><v>Social</v></cell><cell r="R4092" t="str"><v>Azure</v></cell><cell r="S4092" t="str"><v>Apps & Infra</v></cell><cell r="T4092" t="str"><v>Developers & ITI's</v></cell><cell r="U4092" t="str"><v>USA-Trial-ITD-Interest Prospecting-AZR-AZR</v></cell><cell r="V4092" t="str"><v>Prospecting</v></cell><cell r="W4092" t="str"><v>Link Ad</v></cell><cell r="X4092" t="str"><v>1x1</v></cell></row><row r="4092"><cell r="AA4092"><v>43310</v></cell><cell r="AB4092" t="str"><v>USA_gaPMG_AZR_AZR_Q1_19_Direct-Social</v></cell><cell r="AC4092"><v>21358715</v></cell><cell r="AD4092"><v>720197</v></cell><cell r="AE4092" t="str"><v>Facebook</v></cell><cell r="AF4092"><v>3654128</v></cell><cell r="AG4092" t="str"><v>FACEBOOK»USA-Trial-ITD-Interest Prospecting-AZR-AZR»1 x 1»SocialBan»LIA»ALL»CPA»PRO»X»NA»SS»NA»FreeAcctITProFB-AnimatedSecureMngd-Ch1»PRC1T4</v></cell><cell r="AH4092"><v>224104914</v></cell><cell r="AI4092" t="str"><v>AZR_FreeAcctITProFB-AnimatedSecureMngd-Ch1_USA_1200x1200_CAN_Direct_English_Trial_Standard_ANI_LEA_T1_1</v></cell><cell r="AJ4092"><v>103176830</v></cell></row><row r="4093"><cell r="C4093" t="str"><v>43310FACEBOOK»USA-Trial-ITD-Interest Prospecting-AZR-AZR»1 x 1»SocialBan»CAN»ALL»CPA»PRO»X»NA»SS»NA»FBCTCBenefitinMotion»PRC1SX</v></cell><cell r="D4093" t="str"><v>43310224104077</v></cell><cell r="E4093" t="str"><v>43310103032775PRC1SX</v></cell><cell r="F4093" t="str"><v>DCM</v></cell><cell r="G4093" t="str"><v>https://signup.azure.com/?OCID=AID%eexcid!_OLA_%ebuy!_%epid!_%ecid!</v></cell></row><row r="4093"><cell r="K4093" t="str"><v>July</v></cell><cell r="L4093"><v>43316</v></cell><cell r="M4093" t="str"><v>Tier 0</v></cell><cell r="N4093" t="str"><v>North America</v></cell><cell r="O4093" t="str"><v>United States</v></cell><cell r="P4093" t="str"><v>Trial</v></cell><cell r="Q4093" t="str"><v>Social</v></cell><cell r="R4093" t="str"><v>Azure</v></cell><cell r="S4093" t="str"><v>Apps & Infra</v></cell><cell r="T4093" t="str"><v>Developers & ITI's</v></cell><cell r="U4093" t="str"><v>USA-Trial-ITD-Interest Prospecting-AZR-AZR</v></cell><cell r="V4093" t="str"><v>Prospecting</v></cell><cell r="W4093" t="str"><v>Canvas Ad</v></cell><cell r="X4093" t="str"><v>1x1</v></cell></row><row r="4093"><cell r="AA4093"><v>43310</v></cell><cell r="AB4093" t="str"><v>USA_gaPMG_AZR_AZR_Q1_19_Direct-Social</v></cell><cell r="AC4093"><v>21358715</v></cell><cell r="AD4093"><v>720197</v></cell><cell r="AE4093" t="str"><v>Facebook</v></cell><cell r="AF4093"><v>3654128</v></cell><cell r="AG4093" t="str"><v>FACEBOOK»USA-Trial-ITD-Interest Prospecting-AZR-AZR»1 x 1»SocialBan»CAN»ALL»CPA»PRO»X»NA»SS»NA»FBCTCBenefitinMotion»PRC1SX</v></cell><cell r="AH4093"><v>224104077</v></cell><cell r="AI4093" t="str"><v>AzurePlatform_FBCTCBenefitinMotion_USA_10s_CAN_PLATFORM_English_Trial_Standard_STAN_TIN_T3_1</v></cell><cell r="AJ4093"><v>103032775</v></cell></row><row r="4094"><cell r="C4094" t="str"><v>43310FACEBOOK»USA-Trial-ITD-Retargeting-AZR-AZR»1 x 1»SocialBan»LIA»ALL»CPA»RT»X»NA»SS»NA»FreeAcctDeveloperFB-AnimatedAI-Ch3»PRC26H</v></cell><cell r="D4094" t="str"><v>43310223863371</v></cell><cell r="E4094" t="str"><v>43310103032778PRC26H</v></cell><cell r="F4094" t="str"><v>DCM</v></cell></row><row r="4094"><cell r="K4094" t="str"><v>July</v></cell><cell r="L4094"><v>43316</v></cell><cell r="M4094" t="str"><v>Tier 0</v></cell><cell r="N4094" t="str"><v>North America</v></cell><cell r="O4094" t="str"><v>United States</v></cell><cell r="P4094" t="str"><v>Trial</v></cell><cell r="Q4094" t="str"><v>Social</v></cell><cell r="R4094" t="str"><v>Azure</v></cell><cell r="S4094" t="str"><v>Apps & Infra</v></cell><cell r="T4094" t="str"><v>Developers & ITI's</v></cell><cell r="U4094" t="str"><v>USA-Trial-ITD-Retargeting-AZR-AZR</v></cell><cell r="V4094" t="str"><v>Retargeting</v></cell><cell r="W4094" t="str"><v>Link Ad</v></cell><cell r="X4094" t="str"><v>1x1</v></cell></row><row r="4094"><cell r="AA4094"><v>43310</v></cell><cell r="AB4094" t="str"><v>USA_gaPMG_AZR_AZR_Q1_19_Direct-Social</v></cell><cell r="AC4094"><v>21358715</v></cell><cell r="AD4094"><v>720197</v></cell><cell r="AE4094" t="str"><v>Facebook</v></cell><cell r="AF4094"><v>3654128</v></cell><cell r="AG4094" t="str"><v>FACEBOOK»USA-Trial-ITD-Retargeting-AZR-AZR»1 x 1»SocialBan»LIA»ALL»CPA»RT»X»NA»SS»NA»FreeAcctDeveloperFB-AnimatedAI-Ch3»PRC26H</v></cell><cell r="AH4094"><v>223863371</v></cell><cell r="AI4094" t="str"><v>AZR_FreeAcctDeveloperFB-AnimatedAI-Ch3_USA_1200x1200_CAN_Direct_English_Trial_Standard_ANI_LEA_T3_1</v></cell><cell r="AJ4094"><v>103032778</v></cell></row><row r="4095"><cell r="C4095" t="str"><v>43310FACEBOOK»USA-Trial-ITD-Retargeting-AZR-AZR»1 x 1»SocialBan»LIA»ALL»CPA»RT»X»NA»SS»NA»FreeAcctDeveloperFB-AnimatedData-Ch4»PRC26J</v></cell><cell r="D4095" t="str"><v>43310224106078</v></cell><cell r="E4095" t="str"><v>43310103037935PRC26J</v></cell><cell r="F4095" t="str"><v>DCM</v></cell></row><row r="4095"><cell r="K4095" t="str"><v>July</v></cell><cell r="L4095"><v>43316</v></cell><cell r="M4095" t="str"><v>Tier 0</v></cell><cell r="N4095" t="str"><v>North America</v></cell><cell r="O4095" t="str"><v>United States</v></cell><cell r="P4095" t="str"><v>Trial</v></cell><cell r="Q4095" t="str"><v>Social</v></cell><cell r="R4095" t="str"><v>Azure</v></cell><cell r="S4095" t="str"><v>Apps & Infra</v></cell><cell r="T4095" t="str"><v>Developers & ITI's</v></cell><cell r="U4095" t="str"><v>USA-Trial-ITD-Retargeting-AZR-AZR</v></cell><cell r="V4095" t="str"><v>Retargeting</v></cell><cell r="W4095" t="str"><v>Link Ad</v></cell><cell r="X4095" t="str"><v>1x1</v></cell></row><row r="4095"><cell r="AA4095"><v>43310</v></cell><cell r="AB4095" t="str"><v>USA_gaPMG_AZR_AZR_Q1_19_Direct-Social</v></cell><cell r="AC4095"><v>21358715</v></cell><cell r="AD4095"><v>720197</v></cell><cell r="AE4095" t="str"><v>Facebook</v></cell><cell r="AF4095"><v>3654128</v></cell><cell r="AG4095" t="str"><v>FACEBOOK»USA-Trial-ITD-Retargeting-AZR-AZR»1 x 1»SocialBan»LIA»ALL»CPA»RT»X»NA»SS»NA»FreeAcctDeveloperFB-AnimatedData-Ch4»PRC26J</v></cell><cell r="AH4095"><v>224106078</v></cell><cell r="AI4095" t="str"><v>AZR_FreeAcctDeveloperFB-AnimatedData-Ch4_USA_1200x1200_CAN_Direct_English_Trial_Standard_ANI_LEA_T4_2</v></cell><cell r="AJ4095"><v>103037935</v></cell></row><row r="4096"><cell r="C4096" t="str"><v>43310FACEBOOK»USA-Trial-ITD-Retargeting-AZR-AZR»1 x 1»SocialBan»LIA»ALL»CPA»RT»X»NA»SS»NA»FreeAcctDeveloperFB-AnimatedGeneric-Ch1»PRC26F</v></cell><cell r="D4096" t="str"><v>43310224105850</v></cell><cell r="E4096" t="str"><v>43310103176851PRC26F</v></cell><cell r="F4096" t="str"><v>DCM</v></cell><cell r="G4096" t="str"><v>https://azure.microsoft.com/en-us/free/search/?OCID=AID%eexcid!_OLA_%ebuy!_%epid!_%ecid!</v></cell></row><row r="4096"><cell r="K4096" t="str"><v>July</v></cell><cell r="L4096"><v>43316</v></cell><cell r="M4096" t="str"><v>Tier 0</v></cell><cell r="N4096" t="str"><v>North America</v></cell><cell r="O4096" t="str"><v>United States</v></cell><cell r="P4096" t="str"><v>Trial</v></cell><cell r="Q4096" t="str"><v>Social</v></cell><cell r="R4096" t="str"><v>Azure</v></cell><cell r="S4096" t="str"><v>Apps & Infra</v></cell><cell r="T4096" t="str"><v>Developers & ITI's</v></cell><cell r="U4096" t="str"><v>USA-Trial-ITD-Retargeting-AZR-AZR</v></cell><cell r="V4096" t="str"><v>Retargeting</v></cell><cell r="W4096" t="str"><v>Link Ad</v></cell><cell r="X4096" t="str"><v>1x1</v></cell></row><row r="4096"><cell r="AA4096"><v>43310</v></cell><cell r="AB4096" t="str"><v>USA_gaPMG_AZR_AZR_Q1_19_Direct-Social</v></cell><cell r="AC4096"><v>21358715</v></cell><cell r="AD4096"><v>720197</v></cell><cell r="AE4096" t="str"><v>Facebook</v></cell><cell r="AF4096"><v>3654128</v></cell><cell r="AG4096" t="str"><v>FACEBOOK»USA-Trial-ITD-Retargeting-AZR-AZR»1 x 1»SocialBan»LIA»ALL»CPA»RT»X»NA»SS»NA»FreeAcctDeveloperFB-AnimatedGeneric-Ch1»PRC26F</v></cell><cell r="AH4096"><v>224105850</v></cell><cell r="AI4096" t="str"><v>AZR_FreeAcctDeveloperFB-AnimatedGeneric-Ch1_USA_1200x1200_CAN_Direct_English_Trial_Standard_ANI_LEA_T1_2</v></cell><cell r="AJ4096"><v>103176851</v></cell></row><row r="4097"><cell r="C4097" t="str"><v>43310FACEBOOK»USA-Trial-ITD-Retargeting-AZR-AZR»1 x 1»SocialBan»LIA»ALL»CPA»RT»X»NA»SS»NA»FreeAcctDeveloperFB-AnimatedOpenSource-Ch2»PRC26G</v></cell><cell r="D4097" t="str"><v>43310223862873</v></cell><cell r="E4097" t="str"><v>43310103048329PRC26G</v></cell><cell r="F4097" t="str"><v>DCM</v></cell><cell r="G4097" t="str"><v>https://azure.microsoft.com/en-us/free/open-source/search/?OCID=AID%eexcid!_OLA_%ebuy!_%epid!_%ecid!</v></cell></row><row r="4097"><cell r="K4097" t="str"><v>July</v></cell><cell r="L4097"><v>43316</v></cell><cell r="M4097" t="str"><v>Tier 0</v></cell><cell r="N4097" t="str"><v>North America</v></cell><cell r="O4097" t="str"><v>United States</v></cell><cell r="P4097" t="str"><v>Trial</v></cell><cell r="Q4097" t="str"><v>Social</v></cell><cell r="R4097" t="str"><v>Azure</v></cell><cell r="S4097" t="str"><v>Apps & Infra</v></cell><cell r="T4097" t="str"><v>Developers & ITI's</v></cell><cell r="U4097" t="str"><v>USA-Trial-ITD-Retargeting-AZR-AZR</v></cell><cell r="V4097" t="str"><v>Retargeting</v></cell><cell r="W4097" t="str"><v>Link Ad</v></cell><cell r="X4097" t="str"><v>1x1</v></cell></row><row r="4097"><cell r="AA4097"><v>43310</v></cell><cell r="AB4097" t="str"><v>USA_gaPMG_AZR_AZR_Q1_19_Direct-Social</v></cell><cell r="AC4097"><v>21358715</v></cell><cell r="AD4097"><v>720197</v></cell><cell r="AE4097" t="str"><v>Facebook</v></cell><cell r="AF4097"><v>3654128</v></cell><cell r="AG4097" t="str"><v>FACEBOOK»USA-Trial-ITD-Retargeting-AZR-AZR»1 x 1»SocialBan»LIA»ALL»CPA»RT»X»NA»SS»NA»FreeAcctDeveloperFB-AnimatedOpenSource-Ch2»PRC26G</v></cell><cell r="AH4097"><v>223862873</v></cell><cell r="AI4097" t="str"><v>AZR_FreeAcctDeveloperFB-AnimatedOpenSource-Ch2_USA_1200x1200_CAN_Direct_English_Trial_Standard_ANI_LEA_T2_1</v></cell><cell r="AJ4097"><v>103048329</v></cell></row><row r="4098"><cell r="C4098" t="str"><v>43310FACEBOOK»USA-Trial-ITD-Retargeting-AZR-AZR»1 x 1»SocialBan»LIA»ALL»CPA»RT»X»NA»SS»NA»FreeAcctITProFB-AnimatedHybrid-Ch2»PRC26N</v></cell><cell r="D4098" t="str"><v>43310223934053</v></cell><cell r="E4098" t="str"><v>43310103180583PRC26N</v></cell><cell r="F4098" t="str"><v>DCM</v></cell></row><row r="4098"><cell r="K4098" t="str"><v>July</v></cell><cell r="L4098"><v>43316</v></cell><cell r="M4098" t="str"><v>Tier 0</v></cell><cell r="N4098" t="str"><v>North America</v></cell><cell r="O4098" t="str"><v>United States</v></cell><cell r="P4098" t="str"><v>Trial</v></cell><cell r="Q4098" t="str"><v>Social</v></cell><cell r="R4098" t="str"><v>Azure</v></cell><cell r="S4098" t="str"><v>Apps & Infra</v></cell><cell r="T4098" t="str"><v>Developers & ITI's</v></cell><cell r="U4098" t="str"><v>USA-Trial-ITD-Retargeting-AZR-AZR</v></cell><cell r="V4098" t="str"><v>Retargeting</v></cell><cell r="W4098" t="str"><v>Link Ad</v></cell><cell r="X4098" t="str"><v>1x1</v></cell></row><row r="4098"><cell r="AA4098"><v>43310</v></cell><cell r="AB4098" t="str"><v>USA_gaPMG_AZR_AZR_Q1_19_Direct-Social</v></cell><cell r="AC4098"><v>21358715</v></cell><cell r="AD4098"><v>720197</v></cell><cell r="AE4098" t="str"><v>Facebook</v></cell><cell r="AF4098"><v>3654128</v></cell><cell r="AG4098" t="str"><v>FACEBOOK»USA-Trial-ITD-Retargeting-AZR-AZR»1 x 1»SocialBan»LIA»ALL»CPA»RT»X»NA»SS»NA»FreeAcctITProFB-AnimatedHybrid-Ch2»PRC26N</v></cell><cell r="AH4098"><v>223934053</v></cell><cell r="AI4098" t="str"><v>AZR_FreeAcctITProFB-AnimatedHybrid-Ch2_USA_1200x1200_CAN_Direct_English_Trial_Standard_ANI_LEA_T2_2</v></cell><cell r="AJ4098"><v>103180583</v></cell></row><row r="4099"><cell r="C4099" t="str"><v>43310FACEBOOK»USA-Trial-ITD-Retargeting-AZR-AZR»1 x 1»SocialBan»LIA»ALL»CPA»RT»X»NA»SS»NA»FreeAcctRetargetingFB-Animated-ChC»PRC1RX</v></cell><cell r="D4099" t="str"><v>43310223862864</v></cell><cell r="E4099" t="str"><v>43310103180880PRC1RX</v></cell><cell r="F4099" t="str"><v>DCM</v></cell><cell r="G4099" t="str"><v>https://azure.microsoft.com/en-us/free/search/?OCID=AID%eexcid!_OLA_%ebuy!_%epid!_%ecid!</v></cell></row><row r="4099"><cell r="K4099" t="str"><v>July</v></cell><cell r="L4099"><v>43316</v></cell><cell r="M4099" t="str"><v>Tier 0</v></cell><cell r="N4099" t="str"><v>North America</v></cell><cell r="O4099" t="str"><v>United States</v></cell><cell r="P4099" t="str"><v>Trial</v></cell><cell r="Q4099" t="str"><v>Social</v></cell><cell r="R4099" t="str"><v>Azure</v></cell><cell r="S4099" t="str"><v>Apps & Infra</v></cell><cell r="T4099" t="str"><v>Developers & ITI's</v></cell><cell r="U4099" t="str"><v>USA-Trial-ITD-Retargeting-AZR-AZR</v></cell><cell r="V4099" t="str"><v>Retargeting</v></cell><cell r="W4099" t="str"><v>Link Ad</v></cell><cell r="X4099" t="str"><v>1x1</v></cell></row><row r="4099"><cell r="AA4099"><v>43310</v></cell><cell r="AB4099" t="str"><v>USA_gaPMG_AZR_AZR_Q1_19_Direct-Social</v></cell><cell r="AC4099"><v>21358715</v></cell><cell r="AD4099"><v>720197</v></cell><cell r="AE4099" t="str"><v>Facebook</v></cell><cell r="AF4099"><v>3654128</v></cell><cell r="AG4099" t="str"><v>FACEBOOK»USA-Trial-ITD-Retargeting-AZR-AZR»1 x 1»SocialBan»LIA»ALL»CPA»RT»X»NA»SS»NA»FreeAcctRetargetingFB-Animated-ChC»PRC1RX</v></cell><cell r="AH4099"><v>223862864</v></cell><cell r="AI4099" t="str"><v>AzurePlatform_FreeAcctRetargetingFB-Animated-ChC_USA_1200x628_CAN_PLATFORM_English_Free Account_Standard_ANI_SINU_T3_2</v></cell><cell r="AJ4099"><v>103180880</v></cell></row><row r="4100"><cell r="C4100" t="str"><v>43310FACEBOOK»USA-Trial-ITD-Retargeting-AZR-AZR»1 x 1»SocialBan»LIA»ALL»CPA»RT»X»NA»SS»NA»FreeAcctRetargetingFB-Credit-ChA»PRC1RV</v></cell><cell r="D4100" t="str"><v>43310224106075</v></cell><cell r="E4100" t="str"><v>43310103034917PRC1RV</v></cell><cell r="F4100" t="str"><v>DCM</v></cell><cell r="G4100" t="str"><v>https://azure.microsoft.com/en-us/free/search/?OCID=AID%eexcid!_OLA_%ebuy!_%epid!_%ecid!</v></cell></row><row r="4100"><cell r="K4100" t="str"><v>July</v></cell><cell r="L4100"><v>43316</v></cell><cell r="M4100" t="str"><v>Tier 0</v></cell><cell r="N4100" t="str"><v>North America</v></cell><cell r="O4100" t="str"><v>United States</v></cell><cell r="P4100" t="str"><v>Trial</v></cell><cell r="Q4100" t="str"><v>Social</v></cell><cell r="R4100" t="str"><v>Azure</v></cell><cell r="S4100" t="str"><v>Apps & Infra</v></cell><cell r="T4100" t="str"><v>Developers & ITI's</v></cell><cell r="U4100" t="str"><v>USA-Trial-ITD-Retargeting-AZR-AZR</v></cell><cell r="V4100" t="str"><v>Retargeting</v></cell><cell r="W4100" t="str"><v>Link Ad</v></cell><cell r="X4100" t="str"><v>1x1</v></cell></row><row r="4100"><cell r="AA4100"><v>43310</v></cell><cell r="AB4100" t="str"><v>USA_gaPMG_AZR_AZR_Q1_19_Direct-Social</v></cell><cell r="AC4100"><v>21358715</v></cell><cell r="AD4100"><v>720197</v></cell><cell r="AE4100" t="str"><v>Facebook</v></cell><cell r="AF4100"><v>3654128</v></cell><cell r="AG4100" t="str"><v>FACEBOOK»USA-Trial-ITD-Retargeting-AZR-AZR»1 x 1»SocialBan»LIA»ALL»CPA»RT»X»NA»SS»NA»FreeAcctRetargetingFB-Credit-ChA»PRC1RV</v></cell><cell r="AH4100"><v>224106075</v></cell><cell r="AI4100" t="str"><v>AzurePlatform_FreeAcctRetargetingFB-Credit-ChA_USA_1200x628_CAN_PLATFORM_English_Free Account_Standard_NA_SINU_T1_2</v></cell><cell r="AJ4100"><v>103034917</v></cell></row><row r="4101"><cell r="C4101" t="str"><v>43310FACEBOOK»USA-Trial-ITD-Retargeting-AZR-AZR»1 x 1»SocialBan»LIA»ALL»CPA»RT»X»NA»SS»NA»FreeAcctRetargetingFB-GlobalAlt-ChB»PRC1RW</v></cell><cell r="D4101" t="str"><v>43310223862756</v></cell><cell r="E4101" t="str"><v>43310103180592PRC1RW</v></cell><cell r="F4101" t="str"><v>DCM</v></cell><cell r="G4101" t="str"><v>https://azure.microsoft.com/en-us/free/search/?OCID=AID%eexcid!_OLA_%ebuy!_%epid!_%ecid!</v></cell></row><row r="4101"><cell r="K4101" t="str"><v>July</v></cell><cell r="L4101"><v>43316</v></cell><cell r="M4101" t="str"><v>Tier 0</v></cell><cell r="N4101" t="str"><v>North America</v></cell><cell r="O4101" t="str"><v>United States</v></cell><cell r="P4101" t="str"><v>Trial</v></cell><cell r="Q4101" t="str"><v>Social</v></cell><cell r="R4101" t="str"><v>Azure</v></cell><cell r="S4101" t="str"><v>Apps & Infra</v></cell><cell r="T4101" t="str"><v>Developers & ITI's</v></cell><cell r="U4101" t="str"><v>USA-Trial-ITD-Retargeting-AZR-AZR</v></cell><cell r="V4101" t="str"><v>Retargeting</v></cell><cell r="W4101" t="str"><v>Link Ad</v></cell><cell r="X4101" t="str"><v>1x1</v></cell></row><row r="4101"><cell r="AA4101"><v>43310</v></cell><cell r="AB4101" t="str"><v>USA_gaPMG_AZR_AZR_Q1_19_Direct-Social</v></cell><cell r="AC4101"><v>21358715</v></cell><cell r="AD4101"><v>720197</v></cell><cell r="AE4101" t="str"><v>Facebook</v></cell><cell r="AF4101"><v>3654128</v></cell><cell r="AG4101" t="str"><v>FACEBOOK»USA-Trial-ITD-Retargeting-AZR-AZR»1 x 1»SocialBan»LIA»ALL»CPA»RT»X»NA»SS»NA»FreeAcctRetargetingFB-GlobalAlt-ChB»PRC1RW</v></cell><cell r="AH4101"><v>223862756</v></cell><cell r="AI4101" t="str"><v>AzurePlatform_FreeAcctRetargetingFB-GlobalAlt-ChB_USA_1200x628_CAN_PLATFORM_English_Free Account_Standard_NA_SINU_T2_1</v></cell><cell r="AJ4101"><v>103180592</v></cell></row><row r="4102"><cell r="C4102" t="str"><v>43310FACEBOOK»USA-Trial-ITD-Retargeting-AZR-AZR»1 x 1»SocialBan»LIA»ALL»CPA»RT»X»NA»SS»NA»FreeAcctRetargetingVMFB-750Hrs-ChD»PRC1RY</v></cell><cell r="D4102" t="str"><v>43310223862747</v></cell><cell r="E4102" t="str"><v>43310103034911PRC1RY</v></cell><cell r="F4102" t="str"><v>DCM</v></cell><cell r="G4102" t="str"><v>https://azure.microsoft.com/en-us/free/virtual-machines/search/?OCID=AID%eexcid!_OLA_%ebuy!_%epid!_%ecid!</v></cell></row><row r="4102"><cell r="K4102" t="str"><v>July</v></cell><cell r="L4102"><v>43316</v></cell><cell r="M4102" t="str"><v>Tier 0</v></cell><cell r="N4102" t="str"><v>North America</v></cell><cell r="O4102" t="str"><v>United States</v></cell><cell r="P4102" t="str"><v>Trial</v></cell><cell r="Q4102" t="str"><v>Social</v></cell><cell r="R4102" t="str"><v>Azure</v></cell><cell r="S4102" t="str"><v>Apps & Infra</v></cell><cell r="T4102" t="str"><v>Developers & ITI's</v></cell><cell r="U4102" t="str"><v>USA-Trial-ITD-Retargeting-AZR-AZR</v></cell><cell r="V4102" t="str"><v>Retargeting</v></cell><cell r="W4102" t="str"><v>Link Ad</v></cell><cell r="X4102" t="str"><v>1x1</v></cell></row><row r="4102"><cell r="AA4102"><v>43310</v></cell><cell r="AB4102" t="str"><v>USA_gaPMG_AZR_AZR_Q1_19_Direct-Social</v></cell><cell r="AC4102"><v>21358715</v></cell><cell r="AD4102"><v>720197</v></cell><cell r="AE4102" t="str"><v>Facebook</v></cell><cell r="AF4102"><v>3654128</v></cell><cell r="AG4102" t="str"><v>FACEBOOK»USA-Trial-ITD-Retargeting-AZR-AZR»1 x 1»SocialBan»LIA»ALL»CPA»RT»X»NA»SS»NA»FreeAcctRetargetingVMFB-750Hrs-ChD»PRC1RY</v></cell><cell r="AH4102"><v>223862747</v></cell><cell r="AI4102" t="str"><v>AzurePlatform_FreeAcctRetargetingVMFB-750Hrs-ChD_USA_1200x628_CAN_PLATFORM_English_Free Account_Standard_NA_SINU_T1_1</v></cell><cell r="AJ4102"><v>103034911</v></cell></row><row r="4103"><cell r="C4103" t="str"><v>43310FACEBOOK»USA-Trial-ITD-Retargeting-AZR-AZR»1 x 1»SocialBan»LIA»ALL»CPA»RT»X»NA»SS»NA»FreeAcctRetargetingVMFB-OnDemand-ChE»PRC1S0</v></cell><cell r="D4103" t="str"><v>43310224104899</v></cell><cell r="E4103" t="str"><v>43310103180610PRC1S0</v></cell><cell r="F4103" t="str"><v>DCM</v></cell><cell r="G4103" t="str"><v>https://azure.microsoft.com/en-us/free/virtual-machines/search/?OCID=AID%eexcid!_OLA_%ebuy!_%epid!_%ecid!</v></cell></row><row r="4103"><cell r="K4103" t="str"><v>July</v></cell><cell r="L4103"><v>43316</v></cell><cell r="M4103" t="str"><v>Tier 0</v></cell><cell r="N4103" t="str"><v>North America</v></cell><cell r="O4103" t="str"><v>United States</v></cell><cell r="P4103" t="str"><v>Trial</v></cell><cell r="Q4103" t="str"><v>Social</v></cell><cell r="R4103" t="str"><v>Azure</v></cell><cell r="S4103" t="str"><v>Apps & Infra</v></cell><cell r="T4103" t="str"><v>Developers & ITI's</v></cell><cell r="U4103" t="str"><v>USA-Trial-ITD-Retargeting-AZR-AZR</v></cell><cell r="V4103" t="str"><v>Retargeting</v></cell><cell r="W4103" t="str"><v>Link Ad</v></cell><cell r="X4103" t="str"><v>1x1</v></cell></row><row r="4103"><cell r="AA4103"><v>43310</v></cell><cell r="AB4103" t="str"><v>USA_gaPMG_AZR_AZR_Q1_19_Direct-Social</v></cell><cell r="AC4103"><v>21358715</v></cell><cell r="AD4103"><v>720197</v></cell><cell r="AE4103" t="str"><v>Facebook</v></cell><cell r="AF4103"><v>3654128</v></cell><cell r="AG4103" t="str"><v>FACEBOOK»USA-Trial-ITD-Retargeting-AZR-AZR»1 x 1»SocialBan»LIA»ALL»CPA»RT»X»NA»SS»NA»FreeAcctRetargetingVMFB-OnDemand-ChE»PRC1S0</v></cell><cell r="AH4103"><v>224104899</v></cell><cell r="AI4103" t="str"><v>AzurePlatform_FreeAcctRetargetingVMFB-OnDemand-ChE_USA_1200x628_CAN_PLATFORM_English_Free Account_Standard_NA_SINU_T2_1</v></cell><cell r="AJ4103"><v>103180610</v></cell></row><row r="4104"><cell r="C4104" t="str"><v>43310FACEBOOK»USA-Trial-ITD-Retargeting-AZR-AZR»1 x 1»SocialBan»CAN»ALL»CPA»RT»X»NA»SS»NA»FBCTCBenefit2inMotion»PRC1RR</v></cell><cell r="D4104" t="str"><v>43310224104896</v></cell><cell r="E4104" t="str"><v>43310103043835PRC1RR</v></cell><cell r="F4104" t="str"><v>DCM</v></cell><cell r="G4104" t="str"><v>https://signup.azure.com/?OCID=AID%eexcid!_OLA_%ebuy!_%epid!_%ecid!</v></cell></row><row r="4104"><cell r="K4104" t="str"><v>July</v></cell><cell r="L4104"><v>43316</v></cell><cell r="M4104" t="str"><v>Tier 0</v></cell><cell r="N4104" t="str"><v>North America</v></cell><cell r="O4104" t="str"><v>United States</v></cell><cell r="P4104" t="str"><v>Trial</v></cell><cell r="Q4104" t="str"><v>Social</v></cell><cell r="R4104" t="str"><v>Azure</v></cell><cell r="S4104" t="str"><v>Apps & Infra</v></cell><cell r="T4104" t="str"><v>Developers & ITI's</v></cell><cell r="U4104" t="str"><v>USA-Trial-ITD-Retargeting-AZR-AZR</v></cell><cell r="V4104" t="str"><v>Retargeting</v></cell><cell r="W4104" t="str"><v>Canvas Ad</v></cell><cell r="X4104" t="str"><v>1x1</v></cell></row><row r="4104"><cell r="AA4104"><v>43310</v></cell><cell r="AB4104" t="str"><v>USA_gaPMG_AZR_AZR_Q1_19_Direct-Social</v></cell><cell r="AC4104"><v>21358715</v></cell><cell r="AD4104"><v>720197</v></cell><cell r="AE4104" t="str"><v>Facebook</v></cell><cell r="AF4104"><v>3654128</v></cell><cell r="AG4104" t="str"><v>FACEBOOK»USA-Trial-ITD-Retargeting-AZR-AZR»1 x 1»SocialBan»CAN»ALL»CPA»RT»X»NA»SS»NA»FBCTCBenefit2inMotion»PRC1RR</v></cell><cell r="AH4104"><v>224104896</v></cell><cell r="AI4104" t="str"><v>AzurePlatform_FBCTCBenefit2inMotion_USA_10s_CAN_PLATFORM_English_Trial_Standard_STAN_TIN_T4_1</v></cell><cell r="AJ4104"><v>103043835</v></cell></row><row r="4105"><cell r="C4105" t="str"><v>43310FACEBOOK»USA-Trial-ITD-Retargeting-AZR-AZR»1 x 1»SocialBan»CAN»ALL»CPA»RT»X»NA»SS»NA»FBCTCBenefit2inMotion»PRC1RR</v></cell><cell r="D4105" t="str"><v>43310224104896</v></cell><cell r="E4105" t="str"><v>43310103178645PRC1RR</v></cell><cell r="F4105" t="str"><v>DCM</v></cell><cell r="G4105" t="str"><v>https://azure.microsoft.com/en-us/pricing/purchase-options/?v=18.19&OCID=AID%eexcid!_OLA_%ebuy!_%epid!_%ecid!</v></cell></row><row r="4105"><cell r="K4105" t="str"><v>July</v></cell><cell r="L4105"><v>43316</v></cell><cell r="M4105" t="str"><v>Tier 0</v></cell><cell r="N4105" t="str"><v>North America</v></cell><cell r="O4105" t="str"><v>United States</v></cell><cell r="P4105" t="str"><v>Trial</v></cell><cell r="Q4105" t="str"><v>Social</v></cell><cell r="R4105" t="str"><v>Azure</v></cell><cell r="S4105" t="str"><v>Apps & Infra</v></cell><cell r="T4105" t="str"><v>Developers & ITI's</v></cell><cell r="U4105" t="str"><v>USA-Trial-ITD-Retargeting-AZR-AZR</v></cell><cell r="V4105" t="str"><v>Retargeting</v></cell><cell r="W4105" t="str"><v>Canvas Ad</v></cell><cell r="X4105" t="str"><v>1x1</v></cell></row><row r="4105"><cell r="AA4105"><v>43310</v></cell><cell r="AB4105" t="str"><v>USA_gaPMG_AZR_AZR_Q1_19_Direct-Social</v></cell><cell r="AC4105"><v>21358715</v></cell><cell r="AD4105"><v>720197</v></cell><cell r="AE4105" t="str"><v>Facebook</v></cell><cell r="AF4105"><v>3654128</v></cell><cell r="AG4105" t="str"><v>FACEBOOK»USA-Trial-ITD-Retargeting-AZR-AZR»1 x 1»SocialBan»CAN»ALL»CPA»RT»X»NA»SS»NA»FBCTCBenefit2inMotion»PRC1RR</v></cell><cell r="AH4105"><v>224104896</v></cell><cell r="AI4105" t="str"><v>AzurePlatform_FBCTCBenefit2inMotion_USA_10s_CAN_PLATFORM_English_Trial_Standard_STAN_TIN_T4_2</v></cell><cell r="AJ4105"><v>103178645</v></cell></row><row r="4106"><cell r="C4106" t="str"><v>43310FACEBOOK»USA-Trial-ITD-Retargeting-AZR-AZR»1 x 1»SocialBan»CAN»ALL»CPA»RT»X»NA»SS»NA»FBCTCBrandinMotion»PRC1RT</v></cell><cell r="D4106" t="str"><v>43310224106069</v></cell><cell r="E4106" t="str"><v>43310103176812PRC1RT</v></cell><cell r="F4106" t="str"><v>DCM</v></cell><cell r="G4106" t="str"><v>https://signup.azure.com/?OCID=AID%eexcid!_OLA_%ebuy!_%epid!_%ecid!</v></cell></row><row r="4106"><cell r="K4106" t="str"><v>July</v></cell><cell r="L4106"><v>43316</v></cell><cell r="M4106" t="str"><v>Tier 0</v></cell><cell r="N4106" t="str"><v>North America</v></cell><cell r="O4106" t="str"><v>United States</v></cell><cell r="P4106" t="str"><v>Trial</v></cell><cell r="Q4106" t="str"><v>Social</v></cell><cell r="R4106" t="str"><v>Azure</v></cell><cell r="S4106" t="str"><v>Apps & Infra</v></cell><cell r="T4106" t="str"><v>Developers & ITI's</v></cell><cell r="U4106" t="str"><v>USA-Trial-ITD-Retargeting-AZR-AZR</v></cell><cell r="V4106" t="str"><v>Retargeting</v></cell><cell r="W4106" t="str"><v>Canvas Ad</v></cell><cell r="X4106" t="str"><v>1x1</v></cell></row><row r="4106"><cell r="AA4106"><v>43310</v></cell><cell r="AB4106" t="str"><v>USA_gaPMG_AZR_AZR_Q1_19_Direct-Social</v></cell><cell r="AC4106"><v>21358715</v></cell><cell r="AD4106"><v>720197</v></cell><cell r="AE4106" t="str"><v>Facebook</v></cell><cell r="AF4106"><v>3654128</v></cell><cell r="AG4106" t="str"><v>FACEBOOK»USA-Trial-ITD-Retargeting-AZR-AZR»1 x 1»SocialBan»CAN»ALL»CPA»RT»X»NA»SS»NA»FBCTCBrandinMotion»PRC1RT</v></cell><cell r="AH4106"><v>224106069</v></cell><cell r="AI4106" t="str"><v>AzurePlatform_FBCTCBrandinMotion_USA_10s_CAN_PLATFORM_English_Trial_Standard_STAN_TIN_T2_1</v></cell><cell r="AJ4106"><v>103176812</v></cell></row><row r="4107"><cell r="C4107" t="str"><v>43310FACEBOOK»USA-Trial-ITD-Trial Lookalike-AZR-AZR»1 x 1»SocialBan»CAN»ALL»CPA»LAL»X»NA»SS»NA»FBCTCBenefit2inMotion»PRC1M0</v></cell><cell r="D4107" t="str"><v>43310223862927</v></cell><cell r="E4107" t="str"><v>43310103043835PRC1M0</v></cell><cell r="F4107" t="str"><v>DCM</v></cell><cell r="G4107" t="str"><v>https://signup.azure.com/?OCID=AID%eexcid!_OLA_%ebuy!_%epid!_%ecid!</v></cell></row><row r="4107"><cell r="K4107" t="str"><v>July</v></cell><cell r="L4107"><v>43316</v></cell><cell r="M4107" t="str"><v>Tier 0</v></cell><cell r="N4107" t="str"><v>North America</v></cell><cell r="O4107" t="str"><v>United States</v></cell><cell r="P4107" t="str"><v>Trial</v></cell><cell r="Q4107" t="str"><v>Social</v></cell><cell r="R4107" t="str"><v>Azure</v></cell><cell r="S4107" t="str"><v>Apps & Infra</v></cell><cell r="T4107" t="str"><v>Developers & ITI's</v></cell><cell r="U4107" t="str"><v>USA-Trial-ITD-Trial Lookalike-AZR-AZR</v></cell><cell r="V4107" t="str"><v>Lookalike Targeting</v></cell><cell r="W4107" t="str"><v>Canvas Ad</v></cell><cell r="X4107" t="str"><v>1x1</v></cell></row><row r="4107"><cell r="AA4107"><v>43310</v></cell><cell r="AB4107" t="str"><v>USA_gaPMG_AZR_AZR_Q1_19_Direct-Social</v></cell><cell r="AC4107"><v>21358715</v></cell><cell r="AD4107"><v>720197</v></cell><cell r="AE4107" t="str"><v>Facebook</v></cell><cell r="AF4107"><v>3654128</v></cell><cell r="AG4107" t="str"><v>FACEBOOK»USA-Trial-ITD-Trial Lookalike-AZR-AZR»1 x 1»SocialBan»CAN»ALL»CPA»LAL»X»NA»SS»NA»FBCTCBenefit2inMotion»PRC1M0</v></cell><cell r="AH4107"><v>223862927</v></cell><cell r="AI4107" t="str"><v>AzurePlatform_FBCTCBenefit2inMotion_USA_10s_CAN_PLATFORM_English_Trial_Standard_STAN_TIN_T4_1</v></cell><cell r="AJ4107"><v>103043835</v></cell></row><row r="4108"><cell r="C4108" t="str"><v>43310FACEBOOK»USA-Trial-ITD-Trial Lookalike-AZR-AZR»1 x 1»SocialBan»CAN»ALL»CPA»LAL»X»NA»SS»NA»FBCTCBenefit2inMotion»PRC1M0</v></cell><cell r="D4108" t="str"><v>43310223862927</v></cell><cell r="E4108" t="str"><v>43310103178645PRC1M0</v></cell><cell r="F4108" t="str"><v>DCM</v></cell><cell r="G4108" t="str"><v>https://azure.microsoft.com/en-us/pricing/purchase-options/?v=18.19&OCID=AID%eexcid!_OLA_%ebuy!_%epid!_%ecid!</v></cell></row><row r="4108"><cell r="K4108" t="str"><v>July</v></cell><cell r="L4108"><v>43316</v></cell><cell r="M4108" t="str"><v>Tier 0</v></cell><cell r="N4108" t="str"><v>North America</v></cell><cell r="O4108" t="str"><v>United States</v></cell><cell r="P4108" t="str"><v>Trial</v></cell><cell r="Q4108" t="str"><v>Social</v></cell><cell r="R4108" t="str"><v>Azure</v></cell><cell r="S4108" t="str"><v>Apps & Infra</v></cell><cell r="T4108" t="str"><v>Developers & ITI's</v></cell><cell r="U4108" t="str"><v>USA-Trial-ITD-Trial Lookalike-AZR-AZR</v></cell><cell r="V4108" t="str"><v>Lookalike Targeting</v></cell><cell r="W4108" t="str"><v>Canvas Ad</v></cell><cell r="X4108" t="str"><v>1x1</v></cell></row><row r="4108"><cell r="AA4108"><v>43310</v></cell><cell r="AB4108" t="str"><v>USA_gaPMG_AZR_AZR_Q1_19_Direct-Social</v></cell><cell r="AC4108"><v>21358715</v></cell><cell r="AD4108"><v>720197</v></cell><cell r="AE4108" t="str"><v>Facebook</v></cell><cell r="AF4108"><v>3654128</v></cell><cell r="AG4108" t="str"><v>FACEBOOK»USA-Trial-ITD-Trial Lookalike-AZR-AZR»1 x 1»SocialBan»CAN»ALL»CPA»LAL»X»NA»SS»NA»FBCTCBenefit2inMotion»PRC1M0</v></cell><cell r="AH4108"><v>223862927</v></cell><cell r="AI4108" t="str"><v>AzurePlatform_FBCTCBenefit2inMotion_USA_10s_CAN_PLATFORM_English_Trial_Standard_STAN_TIN_T4_2</v></cell><cell r="AJ4108"><v>103178645</v></cell></row><row r="4109"><cell r="C4109" t="str"><v>43310FACEBOOK»USA-Trial-ITD-Trial Lookalike-AZR-AZR»1 x 1»SocialBan»CAN»ALL»CPA»LAL»X»NA»SS»NA»FBCTCBenefitinMotion»PRC1M2</v></cell><cell r="D4109" t="str"><v>43310223862897</v></cell><cell r="E4109" t="str"><v>43310103032775PRC1M2</v></cell><cell r="F4109" t="str"><v>DCM</v></cell><cell r="G4109" t="str"><v>https://signup.azure.com/?OCID=AID%eexcid!_OLA_%ebuy!_%epid!_%ecid!</v></cell></row><row r="4109"><cell r="K4109" t="str"><v>July</v></cell><cell r="L4109"><v>43316</v></cell><cell r="M4109" t="str"><v>Tier 0</v></cell><cell r="N4109" t="str"><v>North America</v></cell><cell r="O4109" t="str"><v>United States</v></cell><cell r="P4109" t="str"><v>Trial</v></cell><cell r="Q4109" t="str"><v>Social</v></cell><cell r="R4109" t="str"><v>Azure</v></cell><cell r="S4109" t="str"><v>Apps & Infra</v></cell><cell r="T4109" t="str"><v>Developers & ITI's</v></cell><cell r="U4109" t="str"><v>USA-Trial-ITD-Trial Lookalike-AZR-AZR</v></cell><cell r="V4109" t="str"><v>Lookalike Targeting</v></cell><cell r="W4109" t="str"><v>Canvas Ad</v></cell><cell r="X4109" t="str"><v>1x1</v></cell></row><row r="4109"><cell r="AA4109"><v>43310</v></cell><cell r="AB4109" t="str"><v>USA_gaPMG_AZR_AZR_Q1_19_Direct-Social</v></cell><cell r="AC4109"><v>21358715</v></cell><cell r="AD4109"><v>720197</v></cell><cell r="AE4109" t="str"><v>Facebook</v></cell><cell r="AF4109"><v>3654128</v></cell><cell r="AG4109" t="str"><v>FACEBOOK»USA-Trial-ITD-Trial Lookalike-AZR-AZR»1 x 1»SocialBan»CAN»ALL»CPA»LAL»X»NA»SS»NA»FBCTCBenefitinMotion»PRC1M2</v></cell><cell r="AH4109"><v>223862897</v></cell><cell r="AI4109" t="str"><v>AzurePlatform_FBCTCBenefitinMotion_USA_10s_CAN_PLATFORM_English_Trial_Standard_STAN_TIN_T3_1</v></cell><cell r="AJ4109"><v>103032775</v></cell></row><row r="4110"><cell r="C4110" t="str"><v>43310FACEBOOK»USA-Trial-ITD-Trial Lookalike-AZR-AZR»1 x 1»SocialBan»LIA»ALL»CPA»LAL»X»NA»SS»NA»FreeAcctDeveloperFB-AnimatedAI-Ch3»PRC1M7</v></cell><cell r="D4110" t="str"><v>43310223934104</v></cell><cell r="E4110" t="str"><v>43310103032778PRC1M7</v></cell><cell r="F4110" t="str"><v>DCM</v></cell></row><row r="4110"><cell r="K4110" t="str"><v>July</v></cell><cell r="L4110"><v>43316</v></cell><cell r="M4110" t="str"><v>Tier 0</v></cell><cell r="N4110" t="str"><v>North America</v></cell><cell r="O4110" t="str"><v>United States</v></cell><cell r="P4110" t="str"><v>Trial</v></cell><cell r="Q4110" t="str"><v>Social</v></cell><cell r="R4110" t="str"><v>Azure</v></cell><cell r="S4110" t="str"><v>Apps & Infra</v></cell><cell r="T4110" t="str"><v>Developers & ITI's</v></cell><cell r="U4110" t="str"><v>USA-Trial-ITD-Trial Lookalike-AZR-AZR</v></cell><cell r="V4110" t="str"><v>Lookalike Targeting</v></cell><cell r="W4110" t="str"><v>Link Ad</v></cell><cell r="X4110" t="str"><v>1x1</v></cell></row><row r="4110"><cell r="AA4110"><v>43310</v></cell><cell r="AB4110" t="str"><v>USA_gaPMG_AZR_AZR_Q1_19_Direct-Social</v></cell><cell r="AC4110"><v>21358715</v></cell><cell r="AD4110"><v>720197</v></cell><cell r="AE4110" t="str"><v>Facebook</v></cell><cell r="AF4110"><v>3654128</v></cell><cell r="AG4110" t="str"><v>FACEBOOK»USA-Trial-ITD-Trial Lookalike-AZR-AZR»1 x 1»SocialBan»LIA»ALL»CPA»LAL»X»NA»SS»NA»FreeAcctDeveloperFB-AnimatedAI-Ch3»PRC1M7</v></cell><cell r="AH4110"><v>223934104</v></cell><cell r="AI4110" t="str"><v>AZR_FreeAcctDeveloperFB-AnimatedAI-Ch3_USA_1200x1200_CAN_Direct_English_Trial_Standard_ANI_LEA_T3_1</v></cell><cell r="AJ4110"><v>103032778</v></cell></row><row r="4111"><cell r="C4111" t="str"><v>43310FACEBOOK»USA-Trial-ITD-Trial Lookalike-AZR-AZR»1 x 1»SocialBan»LIA»ALL»CPA»LAL»X»NA»SS»NA»FreeAcctDeveloperFB-AnimatedData-Ch4»PRC1M8</v></cell><cell r="D4111" t="str"><v>43310223862933</v></cell><cell r="E4111" t="str"><v>43310103037935PRC1M8</v></cell><cell r="F4111" t="str"><v>DCM</v></cell></row><row r="4111"><cell r="K4111" t="str"><v>July</v></cell><cell r="L4111"><v>43316</v></cell><cell r="M4111" t="str"><v>Tier 0</v></cell><cell r="N4111" t="str"><v>North America</v></cell><cell r="O4111" t="str"><v>United States</v></cell><cell r="P4111" t="str"><v>Trial</v></cell><cell r="Q4111" t="str"><v>Social</v></cell><cell r="R4111" t="str"><v>Azure</v></cell><cell r="S4111" t="str"><v>Apps & Infra</v></cell><cell r="T4111" t="str"><v>Developers & ITI's</v></cell><cell r="U4111" t="str"><v>USA-Trial-ITD-Trial Lookalike-AZR-AZR</v></cell><cell r="V4111" t="str"><v>Lookalike Targeting</v></cell><cell r="W4111" t="str"><v>Link Ad</v></cell><cell r="X4111" t="str"><v>1x1</v></cell></row><row r="4111"><cell r="AA4111"><v>43310</v></cell><cell r="AB4111" t="str"><v>USA_gaPMG_AZR_AZR_Q1_19_Direct-Social</v></cell><cell r="AC4111"><v>21358715</v></cell><cell r="AD4111"><v>720197</v></cell><cell r="AE4111" t="str"><v>Facebook</v></cell><cell r="AF4111"><v>3654128</v></cell><cell r="AG4111" t="str"><v>FACEBOOK»USA-Trial-ITD-Trial Lookalike-AZR-AZR»1 x 1»SocialBan»LIA»ALL»CPA»LAL»X»NA»SS»NA»FreeAcctDeveloperFB-AnimatedData-Ch4»PRC1M8</v></cell><cell r="AH4111"><v>223862933</v></cell><cell r="AI4111" t="str"><v>AZR_FreeAcctDeveloperFB-AnimatedData-Ch4_USA_1200x1200_CAN_Direct_English_Trial_Standard_ANI_LEA_T4_2</v></cell><cell r="AJ4111"><v>103037935</v></cell></row><row r="4112"><cell r="C4112" t="str"><v>43310FACEBOOK»USA-Trial-ITD-Trial Lookalike-AZR-AZR»1 x 1»SocialBan»LIA»ALL»CPA»LAL»X»NA»SS»NA»FreeAcctITProFB-AnimatedHybrid-Ch2»PRC1MC</v></cell><cell r="D4112" t="str"><v>43310224104956</v></cell><cell r="E4112" t="str"><v>43310103180583PRC1MC</v></cell><cell r="F4112" t="str"><v>DCM</v></cell></row><row r="4112"><cell r="K4112" t="str"><v>July</v></cell><cell r="L4112"><v>43316</v></cell><cell r="M4112" t="str"><v>Tier 0</v></cell><cell r="N4112" t="str"><v>North America</v></cell><cell r="O4112" t="str"><v>United States</v></cell><cell r="P4112" t="str"><v>Trial</v></cell><cell r="Q4112" t="str"><v>Social</v></cell><cell r="R4112" t="str"><v>Azure</v></cell><cell r="S4112" t="str"><v>Apps & Infra</v></cell><cell r="T4112" t="str"><v>Developers & ITI's</v></cell><cell r="U4112" t="str"><v>USA-Trial-ITD-Trial Lookalike-AZR-AZR</v></cell><cell r="V4112" t="str"><v>Lookalike Targeting</v></cell><cell r="W4112" t="str"><v>Link Ad</v></cell><cell r="X4112" t="str"><v>1x1</v></cell></row><row r="4112"><cell r="AA4112"><v>43310</v></cell><cell r="AB4112" t="str"><v>USA_gaPMG_AZR_AZR_Q1_19_Direct-Social</v></cell><cell r="AC4112"><v>21358715</v></cell><cell r="AD4112"><v>720197</v></cell><cell r="AE4112" t="str"><v>Facebook</v></cell><cell r="AF4112"><v>3654128</v></cell><cell r="AG4112" t="str"><v>FACEBOOK»USA-Trial-ITD-Trial Lookalike-AZR-AZR»1 x 1»SocialBan»LIA»ALL»CPA»LAL»X»NA»SS»NA»FreeAcctITProFB-AnimatedHybrid-Ch2»PRC1MC</v></cell><cell r="AH4112"><v>224104956</v></cell><cell r="AI4112" t="str"><v>AZR_FreeAcctITProFB-AnimatedHybrid-Ch2_USA_1200x1200_CAN_Direct_English_Trial_Standard_ANI_LEA_T2_2</v></cell><cell r="AJ4112"><v>103180583</v></cell></row><row r="4113"><cell r="C4113" t="str"><v>43310FACEBOOK»USA-Trial-ITD-Trial Lookalike-AZR-AZR»1 x 1»SocialBan»CAN»ALL»CPA»LAL»X»NA»SS»NA»FBCTCBrandinMotion»PRC1M3</v></cell><cell r="D4113" t="str"><v>43310223862900</v></cell><cell r="E4113" t="str"><v>43310103176812PRC1M3</v></cell><cell r="F4113" t="str"><v>DCM</v></cell><cell r="G4113" t="str"><v>https://signup.azure.com/?OCID=AID%eexcid!_OLA_%ebuy!_%epid!_%ecid!</v></cell></row><row r="4113"><cell r="K4113" t="str"><v>July</v></cell><cell r="L4113"><v>43316</v></cell><cell r="M4113" t="str"><v>Tier 0</v></cell><cell r="N4113" t="str"><v>North America</v></cell><cell r="O4113" t="str"><v>United States</v></cell><cell r="P4113" t="str"><v>Trial</v></cell><cell r="Q4113" t="str"><v>Social</v></cell><cell r="R4113" t="str"><v>Azure</v></cell><cell r="S4113" t="str"><v>Apps & Infra</v></cell><cell r="T4113" t="str"><v>Developers & ITI's</v></cell><cell r="U4113" t="str"><v>USA-Trial-ITD-Trial Lookalike-AZR-AZR</v></cell><cell r="V4113" t="str"><v>Lookalike Targeting</v></cell><cell r="W4113" t="str"><v>Canvas Ad</v></cell><cell r="X4113" t="str"><v>1x1</v></cell></row><row r="4113"><cell r="AA4113"><v>43310</v></cell><cell r="AB4113" t="str"><v>USA_gaPMG_AZR_AZR_Q1_19_Direct-Social</v></cell><cell r="AC4113"><v>21358715</v></cell><cell r="AD4113"><v>720197</v></cell><cell r="AE4113" t="str"><v>Facebook</v></cell><cell r="AF4113"><v>3654128</v></cell><cell r="AG4113" t="str"><v>FACEBOOK»USA-Trial-ITD-Trial Lookalike-AZR-AZR»1 x 1»SocialBan»CAN»ALL»CPA»LAL»X»NA»SS»NA»FBCTCBrandinMotion»PRC1M3</v></cell><cell r="AH4113"><v>223862900</v></cell><cell r="AI4113" t="str"><v>AzurePlatform_FBCTCBrandinMotion_USA_10s_CAN_PLATFORM_English_Trial_Standard_STAN_TIN_T2_1</v></cell><cell r="AJ4113"><v>103176812</v></cell></row><row r="4114"><cell r="C4114" t="str"><v>43310FACEBOOK»USA-Trial-ITD-Trial PayGo Lookalike-AZR-AZR»1 x 1»SocialBan»CAN»ALL»CPA»LAL»X»NA»SS»NA»FBCTCBenefit2inMotion»PRC1Q1</v></cell><cell r="D4114" t="str"><v>43310224104986</v></cell><cell r="E4114" t="str"><v>43310103043835PRC1Q1</v></cell><cell r="F4114" t="str"><v>DCM</v></cell><cell r="G4114" t="str"><v>https://signup.azure.com/?OCID=AID%eexcid!_OLA_%ebuy!_%epid!_%ecid!</v></cell></row><row r="4114"><cell r="K4114" t="str"><v>July</v></cell><cell r="L4114"><v>43316</v></cell><cell r="M4114" t="str"><v>Tier 0</v></cell><cell r="N4114" t="str"><v>North America</v></cell><cell r="O4114" t="str"><v>United States</v></cell><cell r="P4114" t="str"><v>Trial</v></cell><cell r="Q4114" t="str"><v>Social</v></cell><cell r="R4114" t="str"><v>Azure</v></cell><cell r="S4114" t="str"><v>Apps & Infra</v></cell><cell r="T4114" t="str"><v>Developers & ITI's</v></cell><cell r="U4114" t="str"><v>USA-Trial-ITD-Trial PayGo Lookalike-AZR-AZR</v></cell><cell r="V4114" t="str"><v>Lookalike Targeting</v></cell><cell r="W4114" t="str"><v>Canvas Ad</v></cell><cell r="X4114" t="str"><v>1x1</v></cell></row><row r="4114"><cell r="AA4114"><v>43310</v></cell><cell r="AB4114" t="str"><v>USA_gaPMG_AZR_AZR_Q1_19_Direct-Social</v></cell><cell r="AC4114"><v>21358715</v></cell><cell r="AD4114"><v>720197</v></cell><cell r="AE4114" t="str"><v>Facebook</v></cell><cell r="AF4114"><v>3654128</v></cell><cell r="AG4114" t="str"><v>FACEBOOK»USA-Trial-ITD-Trial PayGo Lookalike-AZR-AZR»1 x 1»SocialBan»CAN»ALL»CPA»LAL»X»NA»SS»NA»FBCTCBenefit2inMotion»PRC1Q1</v></cell><cell r="AH4114"><v>224104986</v></cell><cell r="AI4114" t="str"><v>AzurePlatform_FBCTCBenefit2inMotion_USA_10s_CAN_PLATFORM_English_Trial_Standard_STAN_TIN_T4_1</v></cell><cell r="AJ4114"><v>103043835</v></cell></row><row r="4115"><cell r="C4115" t="str"><v>43310FACEBOOK»USA-Trial-ITD-Trial PayGo Lookalike-AZR-AZR»1 x 1»SocialBan»CAN»ALL»CPA»LAL»X»NA»SS»NA»FBCTCBenefit2inMotion»PRC1Q1</v></cell><cell r="D4115" t="str"><v>43310224104986</v></cell><cell r="E4115" t="str"><v>43310103178645PRC1Q1</v></cell><cell r="F4115" t="str"><v>DCM</v></cell><cell r="G4115" t="str"><v>https://azure.microsoft.com/en-us/pricing/purchase-options/?v=18.19&OCID=AID%eexcid!_OLA_%ebuy!_%epid!_%ecid!</v></cell></row><row r="4115"><cell r="K4115" t="str"><v>July</v></cell><cell r="L4115"><v>43316</v></cell><cell r="M4115" t="str"><v>Tier 0</v></cell><cell r="N4115" t="str"><v>North America</v></cell><cell r="O4115" t="str"><v>United States</v></cell><cell r="P4115" t="str"><v>Trial</v></cell><cell r="Q4115" t="str"><v>Social</v></cell><cell r="R4115" t="str"><v>Azure</v></cell><cell r="S4115" t="str"><v>Apps & Infra</v></cell><cell r="T4115" t="str"><v>Developers & ITI's</v></cell><cell r="U4115" t="str"><v>USA-Trial-ITD-Trial PayGo Lookalike-AZR-AZR</v></cell><cell r="V4115" t="str"><v>Lookalike Targeting</v></cell><cell r="W4115" t="str"><v>Canvas Ad</v></cell><cell r="X4115" t="str"><v>1x1</v></cell></row><row r="4115"><cell r="AA4115"><v>43310</v></cell><cell r="AB4115" t="str"><v>USA_gaPMG_AZR_AZR_Q1_19_Direct-Social</v></cell><cell r="AC4115"><v>21358715</v></cell><cell r="AD4115"><v>720197</v></cell><cell r="AE4115" t="str"><v>Facebook</v></cell><cell r="AF4115"><v>3654128</v></cell><cell r="AG4115" t="str"><v>FACEBOOK»USA-Trial-ITD-Trial PayGo Lookalike-AZR-AZR»1 x 1»SocialBan»CAN»ALL»CPA»LAL»X»NA»SS»NA»FBCTCBenefit2inMotion»PRC1Q1</v></cell><cell r="AH4115"><v>224104986</v></cell><cell r="AI4115" t="str"><v>AzurePlatform_FBCTCBenefit2inMotion_USA_10s_CAN_PLATFORM_English_Trial_Standard_STAN_TIN_T4_2</v></cell><cell r="AJ4115"><v>103178645</v></cell></row><row r="4116"><cell r="C4116" t="str"><v>43310FACEBOOK»USA-Trial-ITD-Trial PayGo Lookalike-AZR-AZR»1 x 1»SocialBan»CAN»ALL»CPA»LAL»X»NA»SS»NA»FBCTCBrandinMotion»PRC1Q3</v></cell><cell r="D4116" t="str"><v>43310223935349</v></cell><cell r="E4116" t="str"><v>43310103176812PRC1Q3</v></cell><cell r="F4116" t="str"><v>DCM</v></cell><cell r="G4116" t="str"><v>https://signup.azure.com/?OCID=AID%eexcid!_OLA_%ebuy!_%epid!_%ecid!</v></cell></row><row r="4116"><cell r="K4116" t="str"><v>July</v></cell><cell r="L4116"><v>43316</v></cell><cell r="M4116" t="str"><v>Tier 0</v></cell><cell r="N4116" t="str"><v>North America</v></cell><cell r="O4116" t="str"><v>United States</v></cell><cell r="P4116" t="str"><v>Trial</v></cell><cell r="Q4116" t="str"><v>Social</v></cell><cell r="R4116" t="str"><v>Azure</v></cell><cell r="S4116" t="str"><v>Apps & Infra</v></cell><cell r="T4116" t="str"><v>Developers & ITI's</v></cell><cell r="U4116" t="str"><v>USA-Trial-ITD-Trial PayGo Lookalike-AZR-AZR</v></cell><cell r="V4116" t="str"><v>Lookalike Targeting</v></cell><cell r="W4116" t="str"><v>Canvas Ad</v></cell><cell r="X4116" t="str"><v>1x1</v></cell></row><row r="4116"><cell r="AA4116"><v>43310</v></cell><cell r="AB4116" t="str"><v>USA_gaPMG_AZR_AZR_Q1_19_Direct-Social</v></cell><cell r="AC4116"><v>21358715</v></cell><cell r="AD4116"><v>720197</v></cell><cell r="AE4116" t="str"><v>Facebook</v></cell><cell r="AF4116"><v>3654128</v></cell><cell r="AG4116" t="str"><v>FACEBOOK»USA-Trial-ITD-Trial PayGo Lookalike-AZR-AZR»1 x 1»SocialBan»CAN»ALL»CPA»LAL»X»NA»SS»NA»FBCTCBrandinMotion»PRC1Q3</v></cell><cell r="AH4116"><v>223935349</v></cell><cell r="AI4116" t="str"><v>AzurePlatform_FBCTCBrandinMotion_USA_10s_CAN_PLATFORM_English_Trial_Standard_STAN_TIN_T2_1</v></cell><cell r="AJ4116"><v>103176812</v></cell></row><row r="4117"><cell r="C4117" t="str"><v>43310FACEBOOK»USA-Trial-ITD-Trial PayGo Lookalike-AZR-AZR»1 x 1»SocialBan»CAN»ALL»CPA»LAL»X»NA»SS»NA»FBCTCBenefitinMotion»PRC1Q2</v></cell><cell r="D4117" t="str"><v>43310223862960</v></cell><cell r="E4117" t="str"><v>43310103032775PRC1Q2</v></cell><cell r="F4117" t="str"><v>DCM</v></cell><cell r="G4117" t="str"><v>https://signup.azure.com/?OCID=AID%eexcid!_OLA_%ebuy!_%epid!_%ecid!</v></cell></row><row r="4117"><cell r="K4117" t="str"><v>July</v></cell><cell r="L4117"><v>43316</v></cell><cell r="M4117" t="str"><v>Tier 0</v></cell><cell r="N4117" t="str"><v>North America</v></cell><cell r="O4117" t="str"><v>United States</v></cell><cell r="P4117" t="str"><v>Trial</v></cell><cell r="Q4117" t="str"><v>Social</v></cell><cell r="R4117" t="str"><v>Azure</v></cell><cell r="S4117" t="str"><v>Apps & Infra</v></cell><cell r="T4117" t="str"><v>Developers & ITI's</v></cell><cell r="U4117" t="str"><v>USA-Trial-ITD-Trial PayGo Lookalike-AZR-AZR</v></cell><cell r="V4117" t="str"><v>Lookalike Targeting</v></cell><cell r="W4117" t="str"><v>Canvas Ad</v></cell><cell r="X4117" t="str"><v>1x1</v></cell></row><row r="4117"><cell r="AA4117"><v>43310</v></cell><cell r="AB4117" t="str"><v>USA_gaPMG_AZR_AZR_Q1_19_Direct-Social</v></cell><cell r="AC4117"><v>21358715</v></cell><cell r="AD4117"><v>720197</v></cell><cell r="AE4117" t="str"><v>Facebook</v></cell><cell r="AF4117"><v>3654128</v></cell><cell r="AG4117" t="str"><v>FACEBOOK»USA-Trial-ITD-Trial PayGo Lookalike-AZR-AZR»1 x 1»SocialBan»CAN»ALL»CPA»LAL»X»NA»SS»NA»FBCTCBenefitinMotion»PRC1Q2</v></cell><cell r="AH4117"><v>223862960</v></cell><cell r="AI4117" t="str"><v>AzurePlatform_FBCTCBenefitinMotion_USA_10s_CAN_PLATFORM_English_Trial_Standard_STAN_TIN_T3_1</v></cell><cell r="AJ4117"><v>103032775</v></cell></row><row r="4118"><cell r="C4118" t="str"><v>43310FACEBOOK»USA-Trial-ITD-Interest Prospecting-AZR-AZR»1 x 1»SocialBan»LIA»ALL»CPA»PRO»X»NA»SS»NA»FreeAcctDeveloperFB-AnimatedAI-Ch3»PRC1T2</v></cell><cell r="D4118" t="str"><v>43310223862765</v></cell><cell r="E4118" t="str"><v>43310103032778PRC1T2</v></cell><cell r="F4118" t="str"><v>DCM</v></cell></row><row r="4118"><cell r="K4118" t="str"><v>July</v></cell><cell r="L4118"><v>43316</v></cell><cell r="M4118" t="str"><v>Tier 0</v></cell><cell r="N4118" t="str"><v>North America</v></cell><cell r="O4118" t="str"><v>United States</v></cell><cell r="P4118" t="str"><v>Trial</v></cell><cell r="Q4118" t="str"><v>Social</v></cell><cell r="R4118" t="str"><v>Azure</v></cell><cell r="S4118" t="str"><v>Apps & Infra</v></cell><cell r="T4118" t="str"><v>Developers & ITI's</v></cell><cell r="U4118" t="str"><v>USA-Trial-ITD-Interest Prospecting-AZR-AZR</v></cell><cell r="V4118" t="str"><v>Prospecting</v></cell><cell r="W4118" t="str"><v>Link Ad</v></cell><cell r="X4118" t="str"><v>1x1</v></cell></row><row r="4118"><cell r="AA4118"><v>43310</v></cell><cell r="AB4118" t="str"><v>USA_gaPMG_AZR_AZR_Q1_19_Direct-Social</v></cell><cell r="AC4118"><v>21358715</v></cell><cell r="AD4118"><v>720197</v></cell><cell r="AE4118" t="str"><v>Facebook</v></cell><cell r="AF4118"><v>3654128</v></cell><cell r="AG4118" t="str"><v>FACEBOOK»USA-Trial-ITD-Interest Prospecting-AZR-AZR»1 x 1»SocialBan»LIA»ALL»CPA»PRO»X»NA»SS»NA»FreeAcctDeveloperFB-AnimatedAI-Ch3»PRC1T2</v></cell><cell r="AH4118"><v>223862765</v></cell><cell r="AI4118" t="str"><v>AZR_FreeAcctDeveloperFB-AnimatedAI-Ch3_USA_1200x1200_CAN_Direct_English_Trial_Standard_ANI_LEA_T3_1</v></cell><cell r="AJ4118"><v>103032778</v></cell></row><row r="4119"><cell r="C4119" t="str"><v>43310FACEBOOK»USA-Trial-ITD-Interest Prospecting-AZR-AZR»1 x 1»SocialBan»LIA»ALL»CPA»PRO»X»NA»SS»NA»FreeAcctDeveloperFB-AnimatedData-Ch4»PRC1T3</v></cell><cell r="D4119" t="str"><v>43310223863380</v></cell><cell r="E4119" t="str"><v>43310103037935PRC1T3</v></cell><cell r="F4119" t="str"><v>DCM</v></cell></row><row r="4119"><cell r="K4119" t="str"><v>July</v></cell><cell r="L4119"><v>43316</v></cell><cell r="M4119" t="str"><v>Tier 0</v></cell><cell r="N4119" t="str"><v>North America</v></cell><cell r="O4119" t="str"><v>United States</v></cell><cell r="P4119" t="str"><v>Trial</v></cell><cell r="Q4119" t="str"><v>Social</v></cell><cell r="R4119" t="str"><v>Azure</v></cell><cell r="S4119" t="str"><v>Apps & Infra</v></cell><cell r="T4119" t="str"><v>Developers & ITI's</v></cell><cell r="U4119" t="str"><v>USA-Trial-ITD-Interest Prospecting-AZR-AZR</v></cell><cell r="V4119" t="str"><v>Prospecting</v></cell><cell r="W4119" t="str"><v>Link Ad</v></cell><cell r="X4119" t="str"><v>1x1</v></cell></row><row r="4119"><cell r="AA4119"><v>43310</v></cell><cell r="AB4119" t="str"><v>USA_gaPMG_AZR_AZR_Q1_19_Direct-Social</v></cell><cell r="AC4119"><v>21358715</v></cell><cell r="AD4119"><v>720197</v></cell><cell r="AE4119" t="str"><v>Facebook</v></cell><cell r="AF4119"><v>3654128</v></cell><cell r="AG4119" t="str"><v>FACEBOOK»USA-Trial-ITD-Interest Prospecting-AZR-AZR»1 x 1»SocialBan»LIA»ALL»CPA»PRO»X»NA»SS»NA»FreeAcctDeveloperFB-AnimatedData-Ch4»PRC1T3</v></cell><cell r="AH4119"><v>223863380</v></cell><cell r="AI4119" t="str"><v>AZR_FreeAcctDeveloperFB-AnimatedData-Ch4_USA_1200x1200_CAN_Direct_English_Trial_Standard_ANI_LEA_T4_2</v></cell><cell r="AJ4119"><v>103037935</v></cell></row><row r="4120"><cell r="C4120" t="str"><v>43310FACEBOOK»USA-Trial-ITD-Interest Prospecting-AZR-AZR»1 x 1»SocialBan»LIA»ALL»CPA»PRO»X»NA»SS»NA»FreeAcctDeveloperFB-AnimatedOpenSource-Ch2»PRC1T1</v></cell><cell r="D4120" t="str"><v>43310223862885</v></cell><cell r="E4120" t="str"><v>43310103048329PRC1T1</v></cell><cell r="F4120" t="str"><v>DCM</v></cell><cell r="G4120" t="str"><v>https://azure.microsoft.com/en-us/free/open-source/search/?OCID=AID%eexcid!_OLA_%ebuy!_%epid!_%ecid!</v></cell></row><row r="4120"><cell r="K4120" t="str"><v>July</v></cell><cell r="L4120"><v>43316</v></cell><cell r="M4120" t="str"><v>Tier 0</v></cell><cell r="N4120" t="str"><v>North America</v></cell><cell r="O4120" t="str"><v>United States</v></cell><cell r="P4120" t="str"><v>Trial</v></cell><cell r="Q4120" t="str"><v>Social</v></cell><cell r="R4120" t="str"><v>Azure</v></cell><cell r="S4120" t="str"><v>Apps & Infra</v></cell><cell r="T4120" t="str"><v>Developers & ITI's</v></cell><cell r="U4120" t="str"><v>USA-Trial-ITD-Interest Prospecting-AZR-AZR</v></cell><cell r="V4120" t="str"><v>Prospecting</v></cell><cell r="W4120" t="str"><v>Link Ad</v></cell><cell r="X4120" t="str"><v>1x1</v></cell></row><row r="4120"><cell r="AA4120"><v>43310</v></cell><cell r="AB4120" t="str"><v>USA_gaPMG_AZR_AZR_Q1_19_Direct-Social</v></cell><cell r="AC4120"><v>21358715</v></cell><cell r="AD4120"><v>720197</v></cell><cell r="AE4120" t="str"><v>Facebook</v></cell><cell r="AF4120"><v>3654128</v></cell><cell r="AG4120" t="str"><v>FACEBOOK»USA-Trial-ITD-Interest Prospecting-AZR-AZR»1 x 1»SocialBan»LIA»ALL»CPA»PRO»X»NA»SS»NA»FreeAcctDeveloperFB-AnimatedOpenSource-Ch2»PRC1T1</v></cell><cell r="AH4120"><v>223862885</v></cell><cell r="AI4120" t="str"><v>AZR_FreeAcctDeveloperFB-AnimatedOpenSource-Ch2_USA_1200x1200_CAN_Direct_English_Trial_Standard_ANI_LEA_T2_1</v></cell><cell r="AJ4120"><v>103048329</v></cell></row><row r="4121"><cell r="C4121" t="str"><v>43310FACEBOOK»USA-Trial-ITD-Interest Prospecting-AZR-AZR»1 x 1»SocialBan»LIA»ALL»CPA»PRO»X»NA»SS»NA»FreeAcctITProFB-AnimatedMigration-Ch3»PRC1X2</v></cell><cell r="D4121" t="str"><v>43310224106954</v></cell><cell r="E4121" t="str"><v>43310103176827PRC1X2</v></cell><cell r="F4121" t="str"><v>DCM</v></cell></row><row r="4121"><cell r="K4121" t="str"><v>July</v></cell><cell r="L4121"><v>43316</v></cell><cell r="M4121" t="str"><v>Tier 0</v></cell><cell r="N4121" t="str"><v>North America</v></cell><cell r="O4121" t="str"><v>United States</v></cell><cell r="P4121" t="str"><v>Trial</v></cell><cell r="Q4121" t="str"><v>Social</v></cell><cell r="R4121" t="str"><v>Azure</v></cell><cell r="S4121" t="str"><v>Apps & Infra</v></cell><cell r="T4121" t="str"><v>Developers & ITI's</v></cell><cell r="U4121" t="str"><v>USA-Trial-ITD-Interest Prospecting-AZR-AZR</v></cell><cell r="V4121" t="str"><v>Prospecting</v></cell><cell r="W4121" t="str"><v>Link Ad</v></cell><cell r="X4121" t="str"><v>1x1</v></cell></row><row r="4121"><cell r="AA4121"><v>43310</v></cell><cell r="AB4121" t="str"><v>USA_gaPMG_AZR_AZR_Q1_19_Direct-Social</v></cell><cell r="AC4121"><v>21358715</v></cell><cell r="AD4121"><v>720197</v></cell><cell r="AE4121" t="str"><v>Facebook</v></cell><cell r="AF4121"><v>3654128</v></cell><cell r="AG4121" t="str"><v>FACEBOOK»USA-Trial-ITD-Interest Prospecting-AZR-AZR»1 x 1»SocialBan»LIA»ALL»CPA»PRO»X»NA»SS»NA»FreeAcctITProFB-AnimatedMigration-Ch3»PRC1X2</v></cell><cell r="AH4121"><v>224106954</v></cell><cell r="AI4121" t="str"><v>AZR_FreeAcctITProFB-AnimatedMigration-Ch3_USA_1200x1200_CAN_Direct_English_Trial_Standard_ANI_LEA_T3_1</v></cell><cell r="AJ4121"><v>103176827</v></cell></row><row r="4122"><cell r="C4122" t="str"><v>43310FACEBOOK»USA-Trial-ITD-Retargeting-AZR-AZR»1 x 1»SocialBan»LIA»ALL»CPA»RT»X»NA»SS»NA»FreeAcctDeveloperFB-AnimatedGeneric-Ch1»PRC26D</v></cell><cell r="D4122" t="str"><v>43310223862870</v></cell><cell r="E4122" t="str"><v>43310103176851PRC26D</v></cell><cell r="F4122" t="str"><v>DCM</v></cell><cell r="G4122" t="str"><v>https://azure.microsoft.com/en-us/free/search/?OCID=AID%eexcid!_OLA_%ebuy!_%epid!_%ecid!</v></cell></row><row r="4122"><cell r="K4122" t="str"><v>July</v></cell><cell r="L4122"><v>43316</v></cell><cell r="M4122" t="str"><v>Tier 0</v></cell><cell r="N4122" t="str"><v>North America</v></cell><cell r="O4122" t="str"><v>United States</v></cell><cell r="P4122" t="str"><v>Trial</v></cell><cell r="Q4122" t="str"><v>Social</v></cell><cell r="R4122" t="str"><v>Azure</v></cell><cell r="S4122" t="str"><v>Apps & Infra</v></cell><cell r="T4122" t="str"><v>Developers & ITI's</v></cell><cell r="U4122" t="str"><v>USA-Trial-ITD-Retargeting-AZR-AZR</v></cell><cell r="V4122" t="str"><v>Retargeting</v></cell><cell r="W4122" t="str"><v>Link Ad</v></cell><cell r="X4122" t="str"><v>1x1</v></cell></row><row r="4122"><cell r="AA4122"><v>43310</v></cell><cell r="AB4122" t="str"><v>USA_gaPMG_AZR_AZR_Q1_19_Direct-Social</v></cell><cell r="AC4122"><v>21358715</v></cell><cell r="AD4122"><v>720197</v></cell><cell r="AE4122" t="str"><v>Facebook</v></cell><cell r="AF4122"><v>3654128</v></cell><cell r="AG4122" t="str"><v>FACEBOOK»USA-Trial-ITD-Retargeting-AZR-AZR»1 x 1»SocialBan»LIA»ALL»CPA»RT»X»NA»SS»NA»FreeAcctDeveloperFB-AnimatedGeneric-Ch1»PRC26D</v></cell><cell r="AH4122"><v>223862870</v></cell><cell r="AI4122" t="str"><v>AZR_FreeAcctDeveloperFB-AnimatedGeneric-Ch1_USA_1200x1200_CAN_Direct_English_Trial_Standard_ANI_LEA_T1_2</v></cell><cell r="AJ4122"><v>103176851</v></cell></row><row r="4123"><cell r="C4123" t="str"><v>43310FACEBOOK»USA-Trial-ITD-Retargeting-AZR-AZR»1 x 1»SocialBan»LIA»ALL»CPA»RT»X»NA»SS»NA»FreeAcctRetargetingOSSFB-Logos-ChG»PRC1S2</v></cell><cell r="D4123" t="str"><v>43310224106063</v></cell><cell r="E4123" t="str"><v>43310103176008PRC1S2</v></cell><cell r="F4123" t="str"><v>DCM</v></cell><cell r="G4123" t="str"><v>https://azure.microsoft.com/en-us/free/open-source/search/?OCID=AID%eexcid!_OLA_%ebuy!_%epid!_%ecid!</v></cell></row><row r="4123"><cell r="K4123" t="str"><v>July</v></cell><cell r="L4123"><v>43316</v></cell><cell r="M4123" t="str"><v>Tier 0</v></cell><cell r="N4123" t="str"><v>North America</v></cell><cell r="O4123" t="str"><v>United States</v></cell><cell r="P4123" t="str"><v>Trial</v></cell><cell r="Q4123" t="str"><v>Social</v></cell><cell r="R4123" t="str"><v>Azure</v></cell><cell r="S4123" t="str"><v>Apps & Infra</v></cell><cell r="T4123" t="str"><v>Developers & ITI's</v></cell><cell r="U4123" t="str"><v>USA-Trial-ITD-Retargeting-AZR-AZR</v></cell><cell r="V4123" t="str"><v>Retargeting</v></cell><cell r="W4123" t="str"><v>Link Ad</v></cell><cell r="X4123" t="str"><v>1x1</v></cell></row><row r="4123"><cell r="AA4123"><v>43310</v></cell><cell r="AB4123" t="str"><v>USA_gaPMG_AZR_AZR_Q1_19_Direct-Social</v></cell><cell r="AC4123"><v>21358715</v></cell><cell r="AD4123"><v>720197</v></cell><cell r="AE4123" t="str"><v>Facebook</v></cell><cell r="AF4123"><v>3654128</v></cell><cell r="AG4123" t="str"><v>FACEBOOK»USA-Trial-ITD-Retargeting-AZR-AZR»1 x 1»SocialBan»LIA»ALL»CPA»RT»X»NA»SS»NA»FreeAcctRetargetingOSSFB-Logos-ChG»PRC1S2</v></cell><cell r="AH4123"><v>224106063</v></cell><cell r="AI4123" t="str"><v>AzurePlatform_FreeAcctRetargetingOSSFB-Logos-ChG_USA_1200x628_CAN_PLATFORM_English_Free Account_Standard_NA_SINU_T2_1</v></cell><cell r="AJ4123"><v>103176008</v></cell></row><row r="4124"><cell r="C4124" t="str"><v>43310FACEBOOK»USA-Trial-ITD-Retargeting-AZR-AZR»1 x 1»SocialBan»LIA»ALL»CPA»RT»X»NA»SS»NA»FreeAcctRetargetingOSSFB-Text-ChF»PRC1S1</v></cell><cell r="D4124" t="str"><v>43310223862753</v></cell><cell r="E4124" t="str"><v>43310103176869PRC1S1</v></cell><cell r="F4124" t="str"><v>DCM</v></cell><cell r="G4124" t="str"><v>https://azure.microsoft.com/en-us/free/open-source/search/?OCID=AID%eexcid!_OLA_%ebuy!_%epid!_%ecid!</v></cell></row><row r="4124"><cell r="K4124" t="str"><v>July</v></cell><cell r="L4124"><v>43316</v></cell><cell r="M4124" t="str"><v>Tier 0</v></cell><cell r="N4124" t="str"><v>North America</v></cell><cell r="O4124" t="str"><v>United States</v></cell><cell r="P4124" t="str"><v>Trial</v></cell><cell r="Q4124" t="str"><v>Social</v></cell><cell r="R4124" t="str"><v>Azure</v></cell><cell r="S4124" t="str"><v>Apps & Infra</v></cell><cell r="T4124" t="str"><v>Developers & ITI's</v></cell><cell r="U4124" t="str"><v>USA-Trial-ITD-Retargeting-AZR-AZR</v></cell><cell r="V4124" t="str"><v>Retargeting</v></cell><cell r="W4124" t="str"><v>Link Ad</v></cell><cell r="X4124" t="str"><v>1x1</v></cell></row><row r="4124"><cell r="AA4124"><v>43310</v></cell><cell r="AB4124" t="str"><v>USA_gaPMG_AZR_AZR_Q1_19_Direct-Social</v></cell><cell r="AC4124"><v>21358715</v></cell><cell r="AD4124"><v>720197</v></cell><cell r="AE4124" t="str"><v>Facebook</v></cell><cell r="AF4124"><v>3654128</v></cell><cell r="AG4124" t="str"><v>FACEBOOK»USA-Trial-ITD-Retargeting-AZR-AZR»1 x 1»SocialBan»LIA»ALL»CPA»RT»X»NA»SS»NA»FreeAcctRetargetingOSSFB-Text-ChF»PRC1S1</v></cell><cell r="AH4124"><v>223862753</v></cell><cell r="AI4124" t="str"><v>AzurePlatform_FreeAcctRetargetingOSSFB-Text-ChF_USA_1200x628_CAN_PLATFORM_English_Free Account_Standard_NA_SINU_T1_2</v></cell><cell r="AJ4124"><v>103176869</v></cell></row><row r="4125"><cell r="C4125" t="str"><v>43310FACEBOOK»USA-Trial-ITD-Retargeting-AZR-AZR»1 x 1»SocialBan»CAN»ALL»CPA»RT»X»NA»SS»NA»FBCTCBasicMotion»PRC1RQ</v></cell><cell r="D4125" t="str"><v>43310224106933</v></cell><cell r="E4125" t="str"><v>43310103043823PRC1RQ</v></cell><cell r="F4125" t="str"><v>DCM</v></cell><cell r="G4125" t="str"><v>https://signup.azure.com/?OCID=AID%eexcid!_OLA_%ebuy!_%epid!_%ecid!</v></cell></row><row r="4125"><cell r="K4125" t="str"><v>July</v></cell><cell r="L4125"><v>43316</v></cell><cell r="M4125" t="str"><v>Tier 0</v></cell><cell r="N4125" t="str"><v>North America</v></cell><cell r="O4125" t="str"><v>United States</v></cell><cell r="P4125" t="str"><v>Trial</v></cell><cell r="Q4125" t="str"><v>Social</v></cell><cell r="R4125" t="str"><v>Azure</v></cell><cell r="S4125" t="str"><v>Apps & Infra</v></cell><cell r="T4125" t="str"><v>Developers & ITI's</v></cell><cell r="U4125" t="str"><v>USA-Trial-ITD-Retargeting-AZR-AZR</v></cell><cell r="V4125" t="str"><v>Retargeting</v></cell><cell r="W4125" t="str"><v>Canvas Ad</v></cell><cell r="X4125" t="str"><v>1x1</v></cell></row><row r="4125"><cell r="AA4125"><v>43310</v></cell><cell r="AB4125" t="str"><v>USA_gaPMG_AZR_AZR_Q1_19_Direct-Social</v></cell><cell r="AC4125"><v>21358715</v></cell><cell r="AD4125"><v>720197</v></cell><cell r="AE4125" t="str"><v>Facebook</v></cell><cell r="AF4125"><v>3654128</v></cell><cell r="AG4125" t="str"><v>FACEBOOK»USA-Trial-ITD-Retargeting-AZR-AZR»1 x 1»SocialBan»CAN»ALL»CPA»RT»X»NA»SS»NA»FBCTCBasicMotion»PRC1RQ</v></cell><cell r="AH4125"><v>224106933</v></cell><cell r="AI4125" t="str"><v>AzurePlatform_FBCTCBasicMotion_USA_10s_CAN_PLATFORM_English_Trial_Standard_STAN_TIN_T1_1</v></cell><cell r="AJ4125"><v>103043823</v></cell></row><row r="4126"><cell r="C4126" t="str"><v>43310FACEBOOK»USA-Trial-ITD-Trial Lookalike-AZR-AZR»1 x 1»SocialBan»LIA»ALL»CPA»LAL»X»NA»SS»NA»FreeAcctDeveloperFB-AnimatedGeneric-Ch1»PRC1M4</v></cell><cell r="D4126" t="str"><v>43310224104941</v></cell><cell r="E4126" t="str"><v>43310103176851PRC1M4</v></cell><cell r="F4126" t="str"><v>DCM</v></cell><cell r="G4126" t="str"><v>https://azure.microsoft.com/en-us/free/search/?OCID=AID%eexcid!_OLA_%ebuy!_%epid!_%ecid!</v></cell></row><row r="4126"><cell r="K4126" t="str"><v>July</v></cell><cell r="L4126"><v>43316</v></cell><cell r="M4126" t="str"><v>Tier 0</v></cell><cell r="N4126" t="str"><v>North America</v></cell><cell r="O4126" t="str"><v>United States</v></cell><cell r="P4126" t="str"><v>Trial</v></cell><cell r="Q4126" t="str"><v>Social</v></cell><cell r="R4126" t="str"><v>Azure</v></cell><cell r="S4126" t="str"><v>Apps & Infra</v></cell><cell r="T4126" t="str"><v>Developers & ITI's</v></cell><cell r="U4126" t="str"><v>USA-Trial-ITD-Trial Lookalike-AZR-AZR</v></cell><cell r="V4126" t="str"><v>Lookalike Targeting</v></cell><cell r="W4126" t="str"><v>Link Ad</v></cell><cell r="X4126" t="str"><v>1x1</v></cell></row><row r="4126"><cell r="AA4126"><v>43310</v></cell><cell r="AB4126" t="str"><v>USA_gaPMG_AZR_AZR_Q1_19_Direct-Social</v></cell><cell r="AC4126"><v>21358715</v></cell><cell r="AD4126"><v>720197</v></cell><cell r="AE4126" t="str"><v>Facebook</v></cell><cell r="AF4126"><v>3654128</v></cell><cell r="AG4126" t="str"><v>FACEBOOK»USA-Trial-ITD-Trial Lookalike-AZR-AZR»1 x 1»SocialBan»LIA»ALL»CPA»LAL»X»NA»SS»NA»FreeAcctDeveloperFB-AnimatedGeneric-Ch1»PRC1M4</v></cell><cell r="AH4126"><v>224104941</v></cell><cell r="AI4126" t="str"><v>AZR_FreeAcctDeveloperFB-AnimatedGeneric-Ch1_USA_1200x1200_CAN_Direct_English_Trial_Standard_ANI_LEA_T1_2</v></cell><cell r="AJ4126"><v>103176851</v></cell></row><row r="4127"><cell r="C4127" t="str"><v>43310FACEBOOK»USA-Trial-ITD-Trial Lookalike-AZR-AZR»1 x 1»SocialBan»LIA»ALL»CPA»LAL»X»NA»SS»NA»FreeAcctDeveloperFB-AnimatedGeneric-Ch1»PRC1M5</v></cell><cell r="D4127" t="str"><v>43310223934083</v></cell><cell r="E4127" t="str"><v>43310103176851PRC1M5</v></cell><cell r="F4127" t="str"><v>DCM</v></cell><cell r="G4127" t="str"><v>https://azure.microsoft.com/en-us/free/search/?OCID=AID%eexcid!_OLA_%ebuy!_%epid!_%ecid!</v></cell></row><row r="4127"><cell r="K4127" t="str"><v>July</v></cell><cell r="L4127"><v>43316</v></cell><cell r="M4127" t="str"><v>Tier 0</v></cell><cell r="N4127" t="str"><v>North America</v></cell><cell r="O4127" t="str"><v>United States</v></cell><cell r="P4127" t="str"><v>Trial</v></cell><cell r="Q4127" t="str"><v>Social</v></cell><cell r="R4127" t="str"><v>Azure</v></cell><cell r="S4127" t="str"><v>Apps & Infra</v></cell><cell r="T4127" t="str"><v>Developers & ITI's</v></cell><cell r="U4127" t="str"><v>USA-Trial-ITD-Trial Lookalike-AZR-AZR</v></cell><cell r="V4127" t="str"><v>Lookalike Targeting</v></cell><cell r="W4127" t="str"><v>Link Ad</v></cell><cell r="X4127" t="str"><v>1x1</v></cell></row><row r="4127"><cell r="AA4127"><v>43310</v></cell><cell r="AB4127" t="str"><v>USA_gaPMG_AZR_AZR_Q1_19_Direct-Social</v></cell><cell r="AC4127"><v>21358715</v></cell><cell r="AD4127"><v>720197</v></cell><cell r="AE4127" t="str"><v>Facebook</v></cell><cell r="AF4127"><v>3654128</v></cell><cell r="AG4127" t="str"><v>FACEBOOK»USA-Trial-ITD-Trial Lookalike-AZR-AZR»1 x 1»SocialBan»LIA»ALL»CPA»LAL»X»NA»SS»NA»FreeAcctDeveloperFB-AnimatedGeneric-Ch1»PRC1M5</v></cell><cell r="AH4127"><v>223934083</v></cell><cell r="AI4127" t="str"><v>AZR_FreeAcctDeveloperFB-AnimatedGeneric-Ch1_USA_1200x1200_CAN_Direct_English_Trial_Standard_ANI_LEA_T1_2</v></cell><cell r="AJ4127"><v>103176851</v></cell></row><row r="4128"><cell r="C4128" t="str"><v>43310FACEBOOK»USA-Trial-ITD-Trial Lookalike-AZR-AZR»1 x 1»SocialBan»LIA»ALL»CPA»LAL»X»NA»SS»NA»FreeAcctDeveloperFB-AnimatedOpenSource-Ch2»PRC1M6</v></cell><cell r="D4128" t="str"><v>43310223935628</v></cell><cell r="E4128" t="str"><v>43310103048329PRC1M6</v></cell><cell r="F4128" t="str"><v>DCM</v></cell><cell r="G4128" t="str"><v>https://azure.microsoft.com/en-us/free/open-source/search/?OCID=AID%eexcid!_OLA_%ebuy!_%epid!_%ecid!</v></cell></row><row r="4128"><cell r="K4128" t="str"><v>July</v></cell><cell r="L4128"><v>43316</v></cell><cell r="M4128" t="str"><v>Tier 0</v></cell><cell r="N4128" t="str"><v>North America</v></cell><cell r="O4128" t="str"><v>United States</v></cell><cell r="P4128" t="str"><v>Trial</v></cell><cell r="Q4128" t="str"><v>Social</v></cell><cell r="R4128" t="str"><v>Azure</v></cell><cell r="S4128" t="str"><v>Apps & Infra</v></cell><cell r="T4128" t="str"><v>Developers & ITI's</v></cell><cell r="U4128" t="str"><v>USA-Trial-ITD-Trial Lookalike-AZR-AZR</v></cell><cell r="V4128" t="str"><v>Lookalike Targeting</v></cell><cell r="W4128" t="str"><v>Link Ad</v></cell><cell r="X4128" t="str"><v>1x1</v></cell></row><row r="4128"><cell r="AA4128"><v>43310</v></cell><cell r="AB4128" t="str"><v>USA_gaPMG_AZR_AZR_Q1_19_Direct-Social</v></cell><cell r="AC4128"><v>21358715</v></cell><cell r="AD4128"><v>720197</v></cell><cell r="AE4128" t="str"><v>Facebook</v></cell><cell r="AF4128"><v>3654128</v></cell><cell r="AG4128" t="str"><v>FACEBOOK»USA-Trial-ITD-Trial Lookalike-AZR-AZR»1 x 1»SocialBan»LIA»ALL»CPA»LAL»X»NA»SS»NA»FreeAcctDeveloperFB-AnimatedOpenSource-Ch2»PRC1M6</v></cell><cell r="AH4128"><v>223935628</v></cell><cell r="AI4128" t="str"><v>AZR_FreeAcctDeveloperFB-AnimatedOpenSource-Ch2_USA_1200x1200_CAN_Direct_English_Trial_Standard_ANI_LEA_T2_1</v></cell><cell r="AJ4128"><v>103048329</v></cell></row><row r="4129"><cell r="C4129" t="str"><v>43310FACEBOOK»USA-Trial-ITD-Trial Lookalike-AZR-AZR»1 x 1»SocialBan»LIA»ALL»CPA»LAL»X»NA»SS»NA»FreeAcctITProFB-AnimatedMigration-Ch3»PRC23N</v></cell><cell r="D4129" t="str"><v>43310223935637</v></cell><cell r="E4129" t="str"><v>43310103176827PRC23N</v></cell><cell r="F4129" t="str"><v>DCM</v></cell></row><row r="4129"><cell r="K4129" t="str"><v>July</v></cell><cell r="L4129"><v>43316</v></cell><cell r="M4129" t="str"><v>Tier 0</v></cell><cell r="N4129" t="str"><v>North America</v></cell><cell r="O4129" t="str"><v>United States</v></cell><cell r="P4129" t="str"><v>Trial</v></cell><cell r="Q4129" t="str"><v>Social</v></cell><cell r="R4129" t="str"><v>Azure</v></cell><cell r="S4129" t="str"><v>Apps & Infra</v></cell><cell r="T4129" t="str"><v>Developers & ITI's</v></cell><cell r="U4129" t="str"><v>USA-Trial-ITD-Trial Lookalike-AZR-AZR</v></cell><cell r="V4129" t="str"><v>Lookalike Targeting</v></cell><cell r="W4129" t="str"><v>Link Ad</v></cell><cell r="X4129" t="str"><v>1x1</v></cell></row><row r="4129"><cell r="AA4129"><v>43310</v></cell><cell r="AB4129" t="str"><v>USA_gaPMG_AZR_AZR_Q1_19_Direct-Social</v></cell><cell r="AC4129"><v>21358715</v></cell><cell r="AD4129"><v>720197</v></cell><cell r="AE4129" t="str"><v>Facebook</v></cell><cell r="AF4129"><v>3654128</v></cell><cell r="AG4129" t="str"><v>FACEBOOK»USA-Trial-ITD-Trial Lookalike-AZR-AZR»1 x 1»SocialBan»LIA»ALL»CPA»LAL»X»NA»SS»NA»FreeAcctITProFB-AnimatedMigration-Ch3»PRC23N</v></cell><cell r="AH4129"><v>223935637</v></cell><cell r="AI4129" t="str"><v>AZR_FreeAcctITProFB-AnimatedMigration-Ch3_USA_1200x1200_CAN_Direct_English_Trial_Standard_ANI_LEA_T3_1</v></cell><cell r="AJ4129"><v>103176827</v></cell></row><row r="4130"><cell r="C4130" t="str"><v>43310FACEBOOK»USA-Trial-ITD-Trial Lookalike-AZR-AZR»1 x 1»SocialBan»LIA»ALL»CPA»LAL»X»NA»SS»NA»FreeAcctITProFB-AnimatedSecureMngd-Ch1»PRC1M9</v></cell><cell r="D4130" t="str"><v>43310224104959</v></cell><cell r="E4130" t="str"><v>43310103176830PRC1M9</v></cell><cell r="F4130" t="str"><v>DCM</v></cell></row><row r="4130"><cell r="K4130" t="str"><v>July</v></cell><cell r="L4130"><v>43316</v></cell><cell r="M4130" t="str"><v>Tier 0</v></cell><cell r="N4130" t="str"><v>North America</v></cell><cell r="O4130" t="str"><v>United States</v></cell><cell r="P4130" t="str"><v>Trial</v></cell><cell r="Q4130" t="str"><v>Social</v></cell><cell r="R4130" t="str"><v>Azure</v></cell><cell r="S4130" t="str"><v>Apps & Infra</v></cell><cell r="T4130" t="str"><v>Developers & ITI's</v></cell><cell r="U4130" t="str"><v>USA-Trial-ITD-Trial Lookalike-AZR-AZR</v></cell><cell r="V4130" t="str"><v>Lookalike Targeting</v></cell><cell r="W4130" t="str"><v>Link Ad</v></cell><cell r="X4130" t="str"><v>1x1</v></cell></row><row r="4130"><cell r="AA4130"><v>43310</v></cell><cell r="AB4130" t="str"><v>USA_gaPMG_AZR_AZR_Q1_19_Direct-Social</v></cell><cell r="AC4130"><v>21358715</v></cell><cell r="AD4130"><v>720197</v></cell><cell r="AE4130" t="str"><v>Facebook</v></cell><cell r="AF4130"><v>3654128</v></cell><cell r="AG4130" t="str"><v>FACEBOOK»USA-Trial-ITD-Trial Lookalike-AZR-AZR»1 x 1»SocialBan»LIA»ALL»CPA»LAL»X»NA»SS»NA»FreeAcctITProFB-AnimatedSecureMngd-Ch1»PRC1M9</v></cell><cell r="AH4130"><v>224104959</v></cell><cell r="AI4130" t="str"><v>AZR_FreeAcctITProFB-AnimatedSecureMngd-Ch1_USA_1200x1200_CAN_Direct_English_Trial_Standard_ANI_LEA_T1_1</v></cell><cell r="AJ4130"><v>103176830</v></cell></row><row r="4131"><cell r="C4131" t="str"><v>43310FACEBOOK»USA-Trial-ITD-Trial Lookalike-AZR-AZR»1 x 1»SocialBan»CAN»ALL»CPA»LAL»X»NA»SS»NA»FBCTCBasicMotion»PRC1LZ</v></cell><cell r="D4131" t="str"><v>43310223862915</v></cell><cell r="E4131" t="str"><v>43310103043823PRC1LZ</v></cell><cell r="F4131" t="str"><v>DCM</v></cell><cell r="G4131" t="str"><v>https://signup.azure.com/?OCID=AID%eexcid!_OLA_%ebuy!_%epid!_%ecid!</v></cell></row><row r="4131"><cell r="K4131" t="str"><v>July</v></cell><cell r="L4131"><v>43316</v></cell><cell r="M4131" t="str"><v>Tier 0</v></cell><cell r="N4131" t="str"><v>North America</v></cell><cell r="O4131" t="str"><v>United States</v></cell><cell r="P4131" t="str"><v>Trial</v></cell><cell r="Q4131" t="str"><v>Social</v></cell><cell r="R4131" t="str"><v>Azure</v></cell><cell r="S4131" t="str"><v>Apps & Infra</v></cell><cell r="T4131" t="str"><v>Developers & ITI's</v></cell><cell r="U4131" t="str"><v>USA-Trial-ITD-Trial Lookalike-AZR-AZR</v></cell><cell r="V4131" t="str"><v>Lookalike Targeting</v></cell><cell r="W4131" t="str"><v>Canvas Ad</v></cell><cell r="X4131" t="str"><v>1x1</v></cell></row><row r="4131"><cell r="AA4131"><v>43310</v></cell><cell r="AB4131" t="str"><v>USA_gaPMG_AZR_AZR_Q1_19_Direct-Social</v></cell><cell r="AC4131"><v>21358715</v></cell><cell r="AD4131"><v>720197</v></cell><cell r="AE4131" t="str"><v>Facebook</v></cell><cell r="AF4131"><v>3654128</v></cell><cell r="AG4131" t="str"><v>FACEBOOK»USA-Trial-ITD-Trial Lookalike-AZR-AZR»1 x 1»SocialBan»CAN»ALL»CPA»LAL»X»NA»SS»NA»FBCTCBasicMotion»PRC1LZ</v></cell><cell r="AH4131"><v>223862915</v></cell><cell r="AI4131" t="str"><v>AzurePlatform_FBCTCBasicMotion_USA_10s_CAN_PLATFORM_English_Trial_Standard_STAN_TIN_T1_1</v></cell><cell r="AJ4131"><v>103043823</v></cell></row><row r="4132"><cell r="C4132" t="str"><v>43310FACEBOOK»USA-Trial-ITD-Trial Lookalike-AZR-AZR»1 x 1»SocialBan»CAN»ALL»CPA»LAL»X»NA»SS»NA»FBCTCBasicMotion»PRC1LZ</v></cell><cell r="D4132" t="str"><v>43310223862915</v></cell><cell r="E4132" t="str"><v>43310103175984PRC1LZ</v></cell><cell r="F4132" t="str"><v>DCM</v></cell><cell r="G4132" t="str"><v>https://azure.microsoft.com/en-us/pricing/purchase-options/?v=18.19&OCID=AID%eexcid!_OLA_%ebuy!_%epid!_%ecid!</v></cell></row><row r="4132"><cell r="K4132" t="str"><v>July</v></cell><cell r="L4132"><v>43316</v></cell><cell r="M4132" t="str"><v>Tier 0</v></cell><cell r="N4132" t="str"><v>North America</v></cell><cell r="O4132" t="str"><v>United States</v></cell><cell r="P4132" t="str"><v>Trial</v></cell><cell r="Q4132" t="str"><v>Social</v></cell><cell r="R4132" t="str"><v>Azure</v></cell><cell r="S4132" t="str"><v>Apps & Infra</v></cell><cell r="T4132" t="str"><v>Developers & ITI's</v></cell><cell r="U4132" t="str"><v>USA-Trial-ITD-Trial Lookalike-AZR-AZR</v></cell><cell r="V4132" t="str"><v>Lookalike Targeting</v></cell><cell r="W4132" t="str"><v>Canvas Ad</v></cell><cell r="X4132" t="str"><v>1x1</v></cell></row><row r="4132"><cell r="AA4132"><v>43310</v></cell><cell r="AB4132" t="str"><v>USA_gaPMG_AZR_AZR_Q1_19_Direct-Social</v></cell><cell r="AC4132"><v>21358715</v></cell><cell r="AD4132"><v>720197</v></cell><cell r="AE4132" t="str"><v>Facebook</v></cell><cell r="AF4132"><v>3654128</v></cell><cell r="AG4132" t="str"><v>FACEBOOK»USA-Trial-ITD-Trial Lookalike-AZR-AZR»1 x 1»SocialBan»CAN»ALL»CPA»LAL»X»NA»SS»NA»FBCTCBasicMotion»PRC1LZ</v></cell><cell r="AH4132"><v>223862915</v></cell><cell r="AI4132" t="str"><v>AzurePlatform_FBCTCBasicMotion_USA_10s_CAN_PLATFORM_English_Trial_Standard_STAN_TIN_T1_2</v></cell><cell r="AJ4132"><v>103175984</v></cell></row><row r="4133"><cell r="C4133" t="str"><v>43310FACEBOOK»USA-Trial-ITD-Trial PayGo Lookalike-AZR-AZR»1 x 1»SocialBan»CAN»ALL»CPA»LAL»X»NA»SS»NA»FBCTCBasicMotion»PRC1Q0</v></cell><cell r="D4133" t="str"><v>43310223935664</v></cell><cell r="E4133" t="str"><v>43310103043823PRC1Q0</v></cell><cell r="F4133" t="str"><v>DCM</v></cell><cell r="G4133" t="str"><v>https://signup.azure.com/?OCID=AID%eexcid!_OLA_%ebuy!_%epid!_%ecid!</v></cell></row><row r="4133"><cell r="K4133" t="str"><v>July</v></cell><cell r="L4133"><v>43316</v></cell><cell r="M4133" t="str"><v>Tier 0</v></cell><cell r="N4133" t="str"><v>North America</v></cell><cell r="O4133" t="str"><v>United States</v></cell><cell r="P4133" t="str"><v>Trial</v></cell><cell r="Q4133" t="str"><v>Social</v></cell><cell r="R4133" t="str"><v>Azure</v></cell><cell r="S4133" t="str"><v>Apps & Infra</v></cell><cell r="T4133" t="str"><v>Developers & ITI's</v></cell><cell r="U4133" t="str"><v>USA-Trial-ITD-Trial PayGo Lookalike-AZR-AZR</v></cell><cell r="V4133" t="str"><v>Lookalike Targeting</v></cell><cell r="W4133" t="str"><v>Canvas Ad</v></cell><cell r="X4133" t="str"><v>1x1</v></cell></row><row r="4133"><cell r="AA4133"><v>43310</v></cell><cell r="AB4133" t="str"><v>USA_gaPMG_AZR_AZR_Q1_19_Direct-Social</v></cell><cell r="AC4133"><v>21358715</v></cell><cell r="AD4133"><v>720197</v></cell><cell r="AE4133" t="str"><v>Facebook</v></cell><cell r="AF4133"><v>3654128</v></cell><cell r="AG4133" t="str"><v>FACEBOOK»USA-Trial-ITD-Trial PayGo Lookalike-AZR-AZR»1 x 1»SocialBan»CAN»ALL»CPA»LAL»X»NA»SS»NA»FBCTCBasicMotion»PRC1Q0</v></cell><cell r="AH4133"><v>223935664</v></cell><cell r="AI4133" t="str"><v>AzurePlatform_FBCTCBasicMotion_USA_10s_CAN_PLATFORM_English_Trial_Standard_STAN_TIN_T1_1</v></cell><cell r="AJ4133"><v>103043823</v></cell></row><row r="4134"><cell r="C4134" t="str"><v>43310FACEBOOK»USA-Trial-ITD-Trial PayGo Lookalike-AZR-AZR»1 x 1»SocialBan»LIA»ALL»CPA»LAL»X»NA»SS»NA»FreeAcctDeveloperFB-AnimatedAI-Ch3»PRC1Q8</v></cell><cell r="D4134" t="str"><v>43310224104983</v></cell><cell r="E4134" t="str"><v>43310103032778PRC1Q8</v></cell><cell r="F4134" t="str"><v>DCM</v></cell></row><row r="4134"><cell r="K4134" t="str"><v>July</v></cell><cell r="L4134"><v>43316</v></cell><cell r="M4134" t="str"><v>Tier 0</v></cell><cell r="N4134" t="str"><v>North America</v></cell><cell r="O4134" t="str"><v>United States</v></cell><cell r="P4134" t="str"><v>Trial</v></cell><cell r="Q4134" t="str"><v>Social</v></cell><cell r="R4134" t="str"><v>Azure</v></cell><cell r="S4134" t="str"><v>Apps & Infra</v></cell><cell r="T4134" t="str"><v>Developers & ITI's</v></cell><cell r="U4134" t="str"><v>USA-Trial-ITD-Trial PayGo Lookalike-AZR-AZR</v></cell><cell r="V4134" t="str"><v>Lookalike Targeting</v></cell><cell r="W4134" t="str"><v>Link Ad</v></cell><cell r="X4134" t="str"><v>1x1</v></cell></row><row r="4134"><cell r="AA4134"><v>43310</v></cell><cell r="AB4134" t="str"><v>USA_gaPMG_AZR_AZR_Q1_19_Direct-Social</v></cell><cell r="AC4134"><v>21358715</v></cell><cell r="AD4134"><v>720197</v></cell><cell r="AE4134" t="str"><v>Facebook</v></cell><cell r="AF4134"><v>3654128</v></cell><cell r="AG4134" t="str"><v>FACEBOOK»USA-Trial-ITD-Trial PayGo Lookalike-AZR-AZR»1 x 1»SocialBan»LIA»ALL»CPA»LAL»X»NA»SS»NA»FreeAcctDeveloperFB-AnimatedAI-Ch3»PRC1Q8</v></cell><cell r="AH4134"><v>224104983</v></cell><cell r="AI4134" t="str"><v>AZR_FreeAcctDeveloperFB-AnimatedAI-Ch3_USA_1200x1200_CAN_Direct_English_Trial_Standard_ANI_LEA_T3_1</v></cell><cell r="AJ4134"><v>103032778</v></cell></row><row r="4135"><cell r="C4135" t="str"><v>43310FACEBOOK»USA-Trial-ITD-Trial PayGo Lookalike-AZR-AZR»1 x 1»SocialBan»LIA»ALL»CPA»LAL»X»NA»SS»NA»FreeAcctDeveloperFB-AnimatedData-Ch4»PRC1Q9</v></cell><cell r="D4135" t="str"><v>43310224106990</v></cell><cell r="E4135" t="str"><v>43310103037935PRC1Q9</v></cell><cell r="F4135" t="str"><v>DCM</v></cell></row><row r="4135"><cell r="K4135" t="str"><v>July</v></cell><cell r="L4135"><v>43316</v></cell><cell r="M4135" t="str"><v>Tier 0</v></cell><cell r="N4135" t="str"><v>North America</v></cell><cell r="O4135" t="str"><v>United States</v></cell><cell r="P4135" t="str"><v>Trial</v></cell><cell r="Q4135" t="str"><v>Social</v></cell><cell r="R4135" t="str"><v>Azure</v></cell><cell r="S4135" t="str"><v>Apps & Infra</v></cell><cell r="T4135" t="str"><v>Developers & ITI's</v></cell><cell r="U4135" t="str"><v>USA-Trial-ITD-Trial PayGo Lookalike-AZR-AZR</v></cell><cell r="V4135" t="str"><v>Lookalike Targeting</v></cell><cell r="W4135" t="str"><v>Link Ad</v></cell><cell r="X4135" t="str"><v>1x1</v></cell></row><row r="4135"><cell r="AA4135"><v>43310</v></cell><cell r="AB4135" t="str"><v>USA_gaPMG_AZR_AZR_Q1_19_Direct-Social</v></cell><cell r="AC4135"><v>21358715</v></cell><cell r="AD4135"><v>720197</v></cell><cell r="AE4135" t="str"><v>Facebook</v></cell><cell r="AF4135"><v>3654128</v></cell><cell r="AG4135" t="str"><v>FACEBOOK»USA-Trial-ITD-Trial PayGo Lookalike-AZR-AZR»1 x 1»SocialBan»LIA»ALL»CPA»LAL»X»NA»SS»NA»FreeAcctDeveloperFB-AnimatedData-Ch4»PRC1Q9</v></cell><cell r="AH4135"><v>224106990</v></cell><cell r="AI4135" t="str"><v>AZR_FreeAcctDeveloperFB-AnimatedData-Ch4_USA_1200x1200_CAN_Direct_English_Trial_Standard_ANI_LEA_T4_2</v></cell><cell r="AJ4135"><v>103037935</v></cell></row><row r="4136"><cell r="C4136" t="str"><v>43310FACEBOOK»USA-Trial-ITD-Trial PayGo Lookalike-AZR-AZR»1 x 1»SocialBan»LIA»ALL»CPA»LAL»X»NA»SS»NA»FreeAcctDeveloperFB-AnimatedGeneric-Ch1»PRC1Q5</v></cell><cell r="D4136" t="str"><v>43310224104092</v></cell><cell r="E4136" t="str"><v>43310103176851PRC1Q5</v></cell><cell r="F4136" t="str"><v>DCM</v></cell><cell r="G4136" t="str"><v>https://azure.microsoft.com/en-us/free/search/?OCID=AID%eexcid!_OLA_%ebuy!_%epid!_%ecid!</v></cell></row><row r="4136"><cell r="K4136" t="str"><v>July</v></cell><cell r="L4136"><v>43316</v></cell><cell r="M4136" t="str"><v>Tier 0</v></cell><cell r="N4136" t="str"><v>North America</v></cell><cell r="O4136" t="str"><v>United States</v></cell><cell r="P4136" t="str"><v>Trial</v></cell><cell r="Q4136" t="str"><v>Social</v></cell><cell r="R4136" t="str"><v>Azure</v></cell><cell r="S4136" t="str"><v>Apps & Infra</v></cell><cell r="T4136" t="str"><v>Developers & ITI's</v></cell><cell r="U4136" t="str"><v>USA-Trial-ITD-Trial PayGo Lookalike-AZR-AZR</v></cell><cell r="V4136" t="str"><v>Lookalike Targeting</v></cell><cell r="W4136" t="str"><v>Link Ad</v></cell><cell r="X4136" t="str"><v>1x1</v></cell></row><row r="4136"><cell r="AA4136"><v>43310</v></cell><cell r="AB4136" t="str"><v>USA_gaPMG_AZR_AZR_Q1_19_Direct-Social</v></cell><cell r="AC4136"><v>21358715</v></cell><cell r="AD4136"><v>720197</v></cell><cell r="AE4136" t="str"><v>Facebook</v></cell><cell r="AF4136"><v>3654128</v></cell><cell r="AG4136" t="str"><v>FACEBOOK»USA-Trial-ITD-Trial PayGo Lookalike-AZR-AZR»1 x 1»SocialBan»LIA»ALL»CPA»LAL»X»NA»SS»NA»FreeAcctDeveloperFB-AnimatedGeneric-Ch1»PRC1Q5</v></cell><cell r="AH4136"><v>224104092</v></cell><cell r="AI4136" t="str"><v>AZR_FreeAcctDeveloperFB-AnimatedGeneric-Ch1_USA_1200x1200_CAN_Direct_English_Trial_Standard_ANI_LEA_T1_2</v></cell><cell r="AJ4136"><v>103176851</v></cell></row><row r="4137"><cell r="C4137" t="str"><v>43310FACEBOOK»USA-Trial-ITD-Trial PayGo Lookalike-AZR-AZR»1 x 1»SocialBan»LIA»ALL»CPA»LAL»X»NA»SS»NA»FreeAcctDeveloperFB-AnimatedOpenSource-Ch2»PRC1Q7</v></cell><cell r="D4137" t="str"><v>43310223862951</v></cell><cell r="E4137" t="str"><v>43310103048329PRC1Q7</v></cell><cell r="F4137" t="str"><v>DCM</v></cell><cell r="G4137" t="str"><v>https://azure.microsoft.com/en-us/free/open-source/search/?OCID=AID%eexcid!_OLA_%ebuy!_%epid!_%ecid!</v></cell></row><row r="4137"><cell r="K4137" t="str"><v>July</v></cell><cell r="L4137"><v>43316</v></cell><cell r="M4137" t="str"><v>Tier 0</v></cell><cell r="N4137" t="str"><v>North America</v></cell><cell r="O4137" t="str"><v>United States</v></cell><cell r="P4137" t="str"><v>Trial</v></cell><cell r="Q4137" t="str"><v>Social</v></cell><cell r="R4137" t="str"><v>Azure</v></cell><cell r="S4137" t="str"><v>Apps & Infra</v></cell><cell r="T4137" t="str"><v>Developers & ITI's</v></cell><cell r="U4137" t="str"><v>USA-Trial-ITD-Trial PayGo Lookalike-AZR-AZR</v></cell><cell r="V4137" t="str"><v>Lookalike Targeting</v></cell><cell r="W4137" t="str"><v>Link Ad</v></cell><cell r="X4137" t="str"><v>1x1</v></cell></row><row r="4137"><cell r="AA4137"><v>43310</v></cell><cell r="AB4137" t="str"><v>USA_gaPMG_AZR_AZR_Q1_19_Direct-Social</v></cell><cell r="AC4137"><v>21358715</v></cell><cell r="AD4137"><v>720197</v></cell><cell r="AE4137" t="str"><v>Facebook</v></cell><cell r="AF4137"><v>3654128</v></cell><cell r="AG4137" t="str"><v>FACEBOOK»USA-Trial-ITD-Trial PayGo Lookalike-AZR-AZR»1 x 1»SocialBan»LIA»ALL»CPA»LAL»X»NA»SS»NA»FreeAcctDeveloperFB-AnimatedOpenSource-Ch2»PRC1Q7</v></cell><cell r="AH4137"><v>223862951</v></cell><cell r="AI4137" t="str"><v>AZR_FreeAcctDeveloperFB-AnimatedOpenSource-Ch2_USA_1200x1200_CAN_Direct_English_Trial_Standard_ANI_LEA_T2_1</v></cell><cell r="AJ4137"><v>103048329</v></cell></row><row r="4138"><cell r="C4138" t="str"><v>43310INSTAGRAM»USA-Trial-ITD-Interest Prospecting-AZR-AZR»1 x 1»SocialBan»CAN»ALL»CPA»PRO»X»NA»SS»NA»IGCTCBrandinMotion»PRC2PB</v></cell><cell r="D4138" t="str"><v>43310223862690</v></cell><cell r="E4138" t="str"><v>43310103050783PRC2PB</v></cell><cell r="F4138" t="str"><v>DCM</v></cell><cell r="G4138" t="str"><v>https://signup.azure.com/?OCID=AID%eexcid!_OLA_%ebuy!_%epid!_%ecid!</v></cell></row><row r="4138"><cell r="K4138" t="str"><v>July</v></cell><cell r="L4138"><v>43316</v></cell><cell r="M4138" t="str"><v>Tier 0</v></cell><cell r="N4138" t="str"><v>North America</v></cell><cell r="O4138" t="str"><v>United States</v></cell><cell r="P4138" t="str"><v>Trial</v></cell><cell r="Q4138" t="str"><v>Social</v></cell><cell r="R4138" t="str"><v>Azure</v></cell><cell r="S4138" t="str"><v>Apps & Infra</v></cell><cell r="T4138" t="str"><v>Developers & ITI's</v></cell><cell r="U4138" t="str"><v>USA-Trial-ITD-Interest Prospecting-AZR-AZR</v></cell><cell r="V4138" t="str"><v>Prospecting</v></cell><cell r="W4138" t="str"><v>Canvas Ad</v></cell><cell r="X4138" t="str"><v>1x1</v></cell></row><row r="4138"><cell r="AA4138"><v>43310</v></cell><cell r="AB4138" t="str"><v>USA_gaPMG_AZR_AZR_Q1_19_Direct-Social</v></cell><cell r="AC4138"><v>21358715</v></cell><cell r="AD4138"><v>720197</v></cell><cell r="AE4138" t="str"><v>Facebook - Instagram</v></cell><cell r="AF4138"><v>3654128</v></cell><cell r="AG4138" t="str"><v>INSTAGRAM»USA-Trial-ITD-Interest Prospecting-AZR-AZR»1 x 1»SocialBan»CAN»ALL»CPA»PRO»X»NA»SS»NA»IGCTCBrandinMotion»PRC2PB</v></cell><cell r="AH4138"><v>223862690</v></cell><cell r="AI4138" t="str"><v>AzurePlatform_IGCTCBenefit2inMotion_USA_10s_CAN_PLATFORM_English_Trial_Standard_STAN_TIN_T4_1</v></cell><cell r="AJ4138"><v>103050783</v></cell></row><row r="4139"><cell r="C4139" t="str"><v>43310INSTAGRAM»USA-Trial-ITD-Interest Prospecting-AZR-AZR»1 x 1»SocialBan»CAN»ALL»CPA»PRO»X»NA»SS»NA»IGCTCBrandinMotion»PRC2PB</v></cell><cell r="D4139" t="str"><v>43310223862690</v></cell><cell r="E4139" t="str"><v>43310103178714PRC2PB</v></cell><cell r="F4139" t="str"><v>DCM</v></cell><cell r="G4139" t="str"><v>https://azure.microsoft.com/en-us/pricing/purchase-options/?v=18.19&OCID=AID%eexcid!_OLA_%ebuy!_%epid!_%ecid!</v></cell></row><row r="4139"><cell r="K4139" t="str"><v>July</v></cell><cell r="L4139"><v>43316</v></cell><cell r="M4139" t="str"><v>Tier 0</v></cell><cell r="N4139" t="str"><v>North America</v></cell><cell r="O4139" t="str"><v>United States</v></cell><cell r="P4139" t="str"><v>Trial</v></cell><cell r="Q4139" t="str"><v>Social</v></cell><cell r="R4139" t="str"><v>Azure</v></cell><cell r="S4139" t="str"><v>Apps & Infra</v></cell><cell r="T4139" t="str"><v>Developers & ITI's</v></cell><cell r="U4139" t="str"><v>USA-Trial-ITD-Interest Prospecting-AZR-AZR</v></cell><cell r="V4139" t="str"><v>Prospecting</v></cell><cell r="W4139" t="str"><v>Canvas Ad</v></cell><cell r="X4139" t="str"><v>1x1</v></cell></row><row r="4139"><cell r="AA4139"><v>43310</v></cell><cell r="AB4139" t="str"><v>USA_gaPMG_AZR_AZR_Q1_19_Direct-Social</v></cell><cell r="AC4139"><v>21358715</v></cell><cell r="AD4139"><v>720197</v></cell><cell r="AE4139" t="str"><v>Facebook - Instagram</v></cell><cell r="AF4139"><v>3654128</v></cell><cell r="AG4139" t="str"><v>INSTAGRAM»USA-Trial-ITD-Interest Prospecting-AZR-AZR»1 x 1»SocialBan»CAN»ALL»CPA»PRO»X»NA»SS»NA»IGCTCBrandinMotion»PRC2PB</v></cell><cell r="AH4139"><v>223862690</v></cell><cell r="AI4139" t="str"><v>AzurePlatform_IGCTCBenefit2inMotion_USA_10s_CAN_PLATFORM_English_Trial_Standard_STAN_TIN_T4_2</v></cell><cell r="AJ4139"><v>103178714</v></cell></row><row r="4140"><cell r="C4140" t="str"><v>43310INSTAGRAM»USA-Trial-ITD-Trial Lookalike-AZR-AZR»1 x 1»SocialBan»CAN»ALL»CPA»LAL»X»NA»SS»NA»IGCTCBenefit2inMotion»PRC2FL</v></cell><cell r="D4140" t="str"><v>43310223935022</v></cell><cell r="E4140" t="str"><v>43310103180628PRC2FL</v></cell><cell r="F4140" t="str"><v>DCM</v></cell><cell r="G4140" t="str"><v>https://signup.azure.com/?OCID=AID%eexcid!_OLA_%ebuy!_%epid!_%ecid!</v></cell></row><row r="4140"><cell r="K4140" t="str"><v>July</v></cell><cell r="L4140"><v>43316</v></cell><cell r="M4140" t="str"><v>Tier 0</v></cell><cell r="N4140" t="str"><v>North America</v></cell><cell r="O4140" t="str"><v>United States</v></cell><cell r="P4140" t="str"><v>Trial</v></cell><cell r="Q4140" t="str"><v>Social</v></cell><cell r="R4140" t="str"><v>Azure</v></cell><cell r="S4140" t="str"><v>Apps & Infra</v></cell><cell r="T4140" t="str"><v>Developers & ITI's</v></cell><cell r="U4140" t="str"><v>USA-Trial-ITD-Trial Lookalike-AZR-AZR</v></cell><cell r="V4140" t="str"><v>Lookalike Targeting</v></cell><cell r="W4140" t="str"><v>Canvas Ad</v></cell><cell r="X4140" t="str"><v>1x1</v></cell></row><row r="4140"><cell r="AA4140"><v>43310</v></cell><cell r="AB4140" t="str"><v>USA_gaPMG_AZR_AZR_Q1_19_Direct-Social</v></cell><cell r="AC4140"><v>21358715</v></cell><cell r="AD4140"><v>720197</v></cell><cell r="AE4140" t="str"><v>Facebook - Instagram</v></cell><cell r="AF4140"><v>3654128</v></cell><cell r="AG4140" t="str"><v>INSTAGRAM»USA-Trial-ITD-Trial Lookalike-AZR-AZR»1 x 1»SocialBan»CAN»ALL»CPA»LAL»X»NA»SS»NA»IGCTCBenefit2inMotion»PRC2FL</v></cell><cell r="AH4140"><v>223935022</v></cell><cell r="AI4140" t="str"><v>AzurePlatform_IGCTCBrandinMotion_USA_10s_CAN_PLATFORM_English_Trial_Standard_STAN_TIN_T2_1</v></cell><cell r="AJ4140"><v>103180628</v></cell></row><row r="4141"><cell r="C4141" t="str"><v>43310INSTAGRAM»USA-Trial-ITD-Trial Lookalike-AZR-AZR»1 x 1»SocialBan»CAN»ALL»CPA»LAL»X»NA»SS»NA»IGCTCBrandinMotion»PRC2FH</v></cell><cell r="D4141" t="str"><v>43310223935019</v></cell><cell r="E4141" t="str"><v>43310103050783PRC2FH</v></cell><cell r="F4141" t="str"><v>DCM</v></cell><cell r="G4141" t="str"><v>https://signup.azure.com/?OCID=AID%eexcid!_OLA_%ebuy!_%epid!_%ecid!</v></cell></row><row r="4141"><cell r="K4141" t="str"><v>July</v></cell><cell r="L4141"><v>43316</v></cell><cell r="M4141" t="str"><v>Tier 0</v></cell><cell r="N4141" t="str"><v>North America</v></cell><cell r="O4141" t="str"><v>United States</v></cell><cell r="P4141" t="str"><v>Trial</v></cell><cell r="Q4141" t="str"><v>Social</v></cell><cell r="R4141" t="str"><v>Azure</v></cell><cell r="S4141" t="str"><v>Apps & Infra</v></cell><cell r="T4141" t="str"><v>Developers & ITI's</v></cell><cell r="U4141" t="str"><v>USA-Trial-ITD-Trial Lookalike-AZR-AZR</v></cell><cell r="V4141" t="str"><v>Lookalike Targeting</v></cell><cell r="W4141" t="str"><v>Canvas Ad</v></cell><cell r="X4141" t="str"><v>1x1</v></cell></row><row r="4141"><cell r="AA4141"><v>43310</v></cell><cell r="AB4141" t="str"><v>USA_gaPMG_AZR_AZR_Q1_19_Direct-Social</v></cell><cell r="AC4141"><v>21358715</v></cell><cell r="AD4141"><v>720197</v></cell><cell r="AE4141" t="str"><v>Facebook - Instagram</v></cell><cell r="AF4141"><v>3654128</v></cell><cell r="AG4141" t="str"><v>INSTAGRAM»USA-Trial-ITD-Trial Lookalike-AZR-AZR»1 x 1»SocialBan»CAN»ALL»CPA»LAL»X»NA»SS»NA»IGCTCBrandinMotion»PRC2FH</v></cell><cell r="AH4141"><v>223935019</v></cell><cell r="AI4141" t="str"><v>AzurePlatform_IGCTCBenefit2inMotion_USA_10s_CAN_PLATFORM_English_Trial_Standard_STAN_TIN_T4_1</v></cell><cell r="AJ4141"><v>103050783</v></cell></row><row r="4142"><cell r="C4142" t="str"><v>43310INSTAGRAM»USA-Trial-ITD-Trial PayGo Lookalike-AZR-AZR»1 x 1»SocialBan»CAN»ALL»CPA»LAL»X»NA»SS»NA»IGCTCBrandinMotion»PRC2FW</v></cell><cell r="D4142" t="str"><v>43310223862654</v></cell><cell r="E4142" t="str"><v>43310103050783PRC2FW</v></cell><cell r="F4142" t="str"><v>DCM</v></cell><cell r="G4142" t="str"><v>https://signup.azure.com/?OCID=AID%eexcid!_OLA_%ebuy!_%epid!_%ecid!</v></cell></row><row r="4142"><cell r="K4142" t="str"><v>July</v></cell><cell r="L4142"><v>43316</v></cell><cell r="M4142" t="str"><v>Tier 0</v></cell><cell r="N4142" t="str"><v>North America</v></cell><cell r="O4142" t="str"><v>United States</v></cell><cell r="P4142" t="str"><v>Trial</v></cell><cell r="Q4142" t="str"><v>Social</v></cell><cell r="R4142" t="str"><v>Azure</v></cell><cell r="S4142" t="str"><v>Apps & Infra</v></cell><cell r="T4142" t="str"><v>Developers & ITI's</v></cell><cell r="U4142" t="str"><v>USA-Trial-ITD-Trial PayGo Lookalike-AZR-AZR</v></cell><cell r="V4142" t="str"><v>Lookalike Targeting</v></cell><cell r="W4142" t="str"><v>Canvas Ad</v></cell><cell r="X4142" t="str"><v>1x1</v></cell></row><row r="4142"><cell r="AA4142"><v>43310</v></cell><cell r="AB4142" t="str"><v>USA_gaPMG_AZR_AZR_Q1_19_Direct-Social</v></cell><cell r="AC4142"><v>21358715</v></cell><cell r="AD4142"><v>720197</v></cell><cell r="AE4142" t="str"><v>Facebook - Instagram</v></cell><cell r="AF4142"><v>3654128</v></cell><cell r="AG4142" t="str"><v>INSTAGRAM»USA-Trial-ITD-Trial PayGo Lookalike-AZR-AZR»1 x 1»SocialBan»CAN»ALL»CPA»LAL»X»NA»SS»NA»IGCTCBrandinMotion»PRC2FW</v></cell><cell r="AH4142"><v>223862654</v></cell><cell r="AI4142" t="str"><v>AzurePlatform_IGCTCBenefit2inMotion_USA_10s_CAN_PLATFORM_English_Trial_Standard_STAN_TIN_T4_1</v></cell><cell r="AJ4142"><v>103050783</v></cell></row><row r="4143"><cell r="C4143" t="str"><v>43310INSTAGRAM»USA-Trial-ITD-Trial PayGo Lookalike-AZR-AZR»1 x 1»SocialBan»CAN»ALL»CPA»LAL»X»NA»SS»NA»IGCTCBenefit2inMotion»PRC2FZ</v></cell><cell r="D4143" t="str"><v>43310223933075</v></cell><cell r="E4143" t="str"><v>43310103180628PRC2FZ</v></cell><cell r="F4143" t="str"><v>DCM</v></cell><cell r="G4143" t="str"><v>https://signup.azure.com/?OCID=AID%eexcid!_OLA_%ebuy!_%epid!_%ecid!</v></cell></row><row r="4143"><cell r="K4143" t="str"><v>July</v></cell><cell r="L4143"><v>43316</v></cell><cell r="M4143" t="str"><v>Tier 0</v></cell><cell r="N4143" t="str"><v>North America</v></cell><cell r="O4143" t="str"><v>United States</v></cell><cell r="P4143" t="str"><v>Trial</v></cell><cell r="Q4143" t="str"><v>Social</v></cell><cell r="R4143" t="str"><v>Azure</v></cell><cell r="S4143" t="str"><v>Apps & Infra</v></cell><cell r="T4143" t="str"><v>Developers & ITI's</v></cell><cell r="U4143" t="str"><v>USA-Trial-ITD-Trial PayGo Lookalike-AZR-AZR</v></cell><cell r="V4143" t="str"><v>Lookalike Targeting</v></cell><cell r="W4143" t="str"><v>Canvas Ad</v></cell><cell r="X4143" t="str"><v>1x1</v></cell></row><row r="4143"><cell r="AA4143"><v>43310</v></cell><cell r="AB4143" t="str"><v>USA_gaPMG_AZR_AZR_Q1_19_Direct-Social</v></cell><cell r="AC4143"><v>21358715</v></cell><cell r="AD4143"><v>720197</v></cell><cell r="AE4143" t="str"><v>Facebook - Instagram</v></cell><cell r="AF4143"><v>3654128</v></cell><cell r="AG4143" t="str"><v>INSTAGRAM»USA-Trial-ITD-Trial PayGo Lookalike-AZR-AZR»1 x 1»SocialBan»CAN»ALL»CPA»LAL»X»NA»SS»NA»IGCTCBenefit2inMotion»PRC2FZ</v></cell><cell r="AH4143"><v>223933075</v></cell><cell r="AI4143" t="str"><v>AzurePlatform_IGCTCBrandinMotion_USA_10s_CAN_PLATFORM_English_Trial_Standard_STAN_TIN_T2_1</v></cell><cell r="AJ4143"><v>103180628</v></cell></row><row r="4144"><cell r="C4144" t="str"><v>43310INSTAGRAM»USA-Trial-ITD-Interest Prospecting-AZR-AZR»1 x 1»SocialBan»CAN»ALL»CPA»PRO»X»NA»SS»NA»IGCTCBasicMotion»PRC2PF</v></cell><cell r="D4144" t="str"><v>43310224106621</v></cell><cell r="E4144" t="str"><v>43310103037968PRC2PF</v></cell><cell r="F4144" t="str"><v>DCM</v></cell><cell r="G4144" t="str"><v>https://signup.azure.com/?OCID=AID%eexcid!_OLA_%ebuy!_%epid!_%ecid!</v></cell></row><row r="4144"><cell r="K4144" t="str"><v>July</v></cell><cell r="L4144"><v>43316</v></cell><cell r="M4144" t="str"><v>Tier 0</v></cell><cell r="N4144" t="str"><v>North America</v></cell><cell r="O4144" t="str"><v>United States</v></cell><cell r="P4144" t="str"><v>Trial</v></cell><cell r="Q4144" t="str"><v>Social</v></cell><cell r="R4144" t="str"><v>Azure</v></cell><cell r="S4144" t="str"><v>Apps & Infra</v></cell><cell r="T4144" t="str"><v>Developers & ITI's</v></cell><cell r="U4144" t="str"><v>USA-Trial-ITD-Interest Prospecting-AZR-AZR</v></cell><cell r="V4144" t="str"><v>Prospecting</v></cell><cell r="W4144" t="str"><v>Canvas Ad</v></cell><cell r="X4144" t="str"><v>1x1</v></cell></row><row r="4144"><cell r="AA4144"><v>43310</v></cell><cell r="AB4144" t="str"><v>USA_gaPMG_AZR_AZR_Q1_19_Direct-Social</v></cell><cell r="AC4144"><v>21358715</v></cell><cell r="AD4144"><v>720197</v></cell><cell r="AE4144" t="str"><v>Facebook - Instagram</v></cell><cell r="AF4144"><v>3654128</v></cell><cell r="AG4144" t="str"><v>INSTAGRAM»USA-Trial-ITD-Interest Prospecting-AZR-AZR»1 x 1»SocialBan»CAN»ALL»CPA»PRO»X»NA»SS»NA»IGCTCBasicMotion»PRC2PF</v></cell><cell r="AH4144"><v>224106621</v></cell><cell r="AI4144" t="str"><v>AzurePlatform_IGCTCBasicMotion_USA_10s_CAN_PLATFORM_English_Trial_Standard_STAN_TIN_T1_1</v></cell><cell r="AJ4144"><v>103037968</v></cell></row><row r="4145"><cell r="C4145" t="str"><v>43310INSTAGRAM»USA-Trial-ITD-Trial Lookalike-AZR-AZR»1 x 1»SocialBan»CAN»ALL»CPA»LAL»X»NA»SS»NA»IGCTCBenefitinMotion»PRC2FK</v></cell><cell r="D4145" t="str"><v>43310224107542</v></cell><cell r="E4145" t="str"><v>43310103050780PRC2FK</v></cell><cell r="F4145" t="str"><v>DCM</v></cell><cell r="G4145" t="str"><v>https://signup.azure.com/?OCID=AID%eexcid!_OLA_%ebuy!_%epid!_%ecid!</v></cell></row><row r="4145"><cell r="K4145" t="str"><v>July</v></cell><cell r="L4145"><v>43316</v></cell><cell r="M4145" t="str"><v>Tier 0</v></cell><cell r="N4145" t="str"><v>North America</v></cell><cell r="O4145" t="str"><v>United States</v></cell><cell r="P4145" t="str"><v>Trial</v></cell><cell r="Q4145" t="str"><v>Social</v></cell><cell r="R4145" t="str"><v>Azure</v></cell><cell r="S4145" t="str"><v>Apps & Infra</v></cell><cell r="T4145" t="str"><v>Developers & ITI's</v></cell><cell r="U4145" t="str"><v>USA-Trial-ITD-Trial Lookalike-AZR-AZR</v></cell><cell r="V4145" t="str"><v>Lookalike Targeting</v></cell><cell r="W4145" t="str"><v>Canvas Ad</v></cell><cell r="X4145" t="str"><v>1x1</v></cell></row><row r="4145"><cell r="AA4145"><v>43310</v></cell><cell r="AB4145" t="str"><v>USA_gaPMG_AZR_AZR_Q1_19_Direct-Social</v></cell><cell r="AC4145"><v>21358715</v></cell><cell r="AD4145"><v>720197</v></cell><cell r="AE4145" t="str"><v>Facebook - Instagram</v></cell><cell r="AF4145"><v>3654128</v></cell><cell r="AG4145" t="str"><v>INSTAGRAM»USA-Trial-ITD-Trial Lookalike-AZR-AZR»1 x 1»SocialBan»CAN»ALL»CPA»LAL»X»NA»SS»NA»IGCTCBenefitinMotion»PRC2FK</v></cell><cell r="AH4145"><v>224107542</v></cell><cell r="AI4145" t="str"><v>AzurePlatform_IGCTCBenefitinMotion_USA_10s_CAN_PLATFORM_English_Trial_Standard_STAN_TIN_T3_1</v></cell><cell r="AJ4145"><v>103050780</v></cell></row><row r="4146"><cell r="C4146" t="str"><v>43310INSTAGRAM»USA-Trial-ITD-Trial Lookalike-AZR-AZR»1 x 1»SocialBan»CAN»ALL»CPA»LAL»X»NA»SS»NA»IGCTCBenefitinMotion»PRC2FK</v></cell><cell r="D4146" t="str"><v>43310224107542</v></cell><cell r="E4146" t="str"><v>43310103180637PRC2FK</v></cell><cell r="F4146" t="str"><v>DCM</v></cell><cell r="G4146" t="str"><v>https://azure.microsoft.com/en-us/pricing/purchase-options/?v=18.19&OCID=AID%eexcid!_OLA_%ebuy!_%epid!_%ecid!</v></cell></row><row r="4146"><cell r="K4146" t="str"><v>July</v></cell><cell r="L4146"><v>43316</v></cell><cell r="M4146" t="str"><v>Tier 0</v></cell><cell r="N4146" t="str"><v>North America</v></cell><cell r="O4146" t="str"><v>United States</v></cell><cell r="P4146" t="str"><v>Trial</v></cell><cell r="Q4146" t="str"><v>Social</v></cell><cell r="R4146" t="str"><v>Azure</v></cell><cell r="S4146" t="str"><v>Apps & Infra</v></cell><cell r="T4146" t="str"><v>Developers & ITI's</v></cell><cell r="U4146" t="str"><v>USA-Trial-ITD-Trial Lookalike-AZR-AZR</v></cell><cell r="V4146" t="str"><v>Lookalike Targeting</v></cell><cell r="W4146" t="str"><v>Canvas Ad</v></cell><cell r="X4146" t="str"><v>1x1</v></cell></row><row r="4146"><cell r="AA4146"><v>43310</v></cell><cell r="AB4146" t="str"><v>USA_gaPMG_AZR_AZR_Q1_19_Direct-Social</v></cell><cell r="AC4146"><v>21358715</v></cell><cell r="AD4146"><v>720197</v></cell><cell r="AE4146" t="str"><v>Facebook - Instagram</v></cell><cell r="AF4146"><v>3654128</v></cell><cell r="AG4146" t="str"><v>INSTAGRAM»USA-Trial-ITD-Trial Lookalike-AZR-AZR»1 x 1»SocialBan»CAN»ALL»CPA»LAL»X»NA»SS»NA»IGCTCBenefitinMotion»PRC2FK</v></cell><cell r="AH4146"><v>224107542</v></cell><cell r="AI4146" t="str"><v>AzurePlatform_IGCTCBenefitinMotion_USA_10s_CAN_PLATFORM_English_Trial_Standard_STAN_TIN_T3_2</v></cell><cell r="AJ4146"><v>103180637</v></cell></row><row r="4147"><cell r="C4147" t="str"><v>43310INSTAGRAM»USA-Trial-ITD-Trial PayGo Lookalike-AZR-AZR»1 x 1»SocialBan»CAN»ALL»CPA»LAL»X»NA»SS»NA»IGCTCBasicMotion»PRC2G0</v></cell><cell r="D4147" t="str"><v>43310224106891</v></cell><cell r="E4147" t="str"><v>43310103037968PRC2G0</v></cell><cell r="F4147" t="str"><v>DCM</v></cell><cell r="G4147" t="str"><v>https://signup.azure.com/?OCID=AID%eexcid!_OLA_%ebuy!_%epid!_%ecid!</v></cell></row><row r="4147"><cell r="K4147" t="str"><v>July</v></cell><cell r="L4147"><v>43316</v></cell><cell r="M4147" t="str"><v>Tier 0</v></cell><cell r="N4147" t="str"><v>North America</v></cell><cell r="O4147" t="str"><v>United States</v></cell><cell r="P4147" t="str"><v>Trial</v></cell><cell r="Q4147" t="str"><v>Social</v></cell><cell r="R4147" t="str"><v>Azure</v></cell><cell r="S4147" t="str"><v>Apps & Infra</v></cell><cell r="T4147" t="str"><v>Developers & ITI's</v></cell><cell r="U4147" t="str"><v>USA-Trial-ITD-Trial PayGo Lookalike-AZR-AZR</v></cell><cell r="V4147" t="str"><v>Lookalike Targeting</v></cell><cell r="W4147" t="str"><v>Canvas Ad</v></cell><cell r="X4147" t="str"><v>1x1</v></cell></row><row r="4147"><cell r="AA4147"><v>43310</v></cell><cell r="AB4147" t="str"><v>USA_gaPMG_AZR_AZR_Q1_19_Direct-Social</v></cell><cell r="AC4147"><v>21358715</v></cell><cell r="AD4147"><v>720197</v></cell><cell r="AE4147" t="str"><v>Facebook - Instagram</v></cell><cell r="AF4147"><v>3654128</v></cell><cell r="AG4147" t="str"><v>INSTAGRAM»USA-Trial-ITD-Trial PayGo Lookalike-AZR-AZR»1 x 1»SocialBan»CAN»ALL»CPA»LAL»X»NA»SS»NA»IGCTCBasicMotion»PRC2G0</v></cell><cell r="AH4147"><v>224106891</v></cell><cell r="AI4147" t="str"><v>AzurePlatform_IGCTCBasicMotion_USA_10s_CAN_PLATFORM_English_Trial_Standard_STAN_TIN_T1_1</v></cell><cell r="AJ4147"><v>103037968</v></cell></row><row r="4148"><cell r="C4148" t="str"><v>43310INSTAGRAM»USA-Trial-ITD-Trial PayGo Lookalike-AZR-AZR»1 x 1»SocialBan»CAN»ALL»CPA»LAL»X»NA»SS»NA»IGCTCBenefitinMotion»PRC2FX</v></cell><cell r="D4148" t="str"><v>43310223933999</v></cell><cell r="E4148" t="str"><v>43310103050780PRC2FX</v></cell><cell r="F4148" t="str"><v>DCM</v></cell><cell r="G4148" t="str"><v>https://signup.azure.com/?OCID=AID%eexcid!_OLA_%ebuy!_%epid!_%ecid!</v></cell></row><row r="4148"><cell r="K4148" t="str"><v>July</v></cell><cell r="L4148"><v>43316</v></cell><cell r="M4148" t="str"><v>Tier 0</v></cell><cell r="N4148" t="str"><v>North America</v></cell><cell r="O4148" t="str"><v>United States</v></cell><cell r="P4148" t="str"><v>Trial</v></cell><cell r="Q4148" t="str"><v>Social</v></cell><cell r="R4148" t="str"><v>Azure</v></cell><cell r="S4148" t="str"><v>Apps & Infra</v></cell><cell r="T4148" t="str"><v>Developers & ITI's</v></cell><cell r="U4148" t="str"><v>USA-Trial-ITD-Trial PayGo Lookalike-AZR-AZR</v></cell><cell r="V4148" t="str"><v>Lookalike Targeting</v></cell><cell r="W4148" t="str"><v>Canvas Ad</v></cell><cell r="X4148" t="str"><v>1x1</v></cell></row><row r="4148"><cell r="AA4148"><v>43310</v></cell><cell r="AB4148" t="str"><v>USA_gaPMG_AZR_AZR_Q1_19_Direct-Social</v></cell><cell r="AC4148"><v>21358715</v></cell><cell r="AD4148"><v>720197</v></cell><cell r="AE4148" t="str"><v>Facebook - Instagram</v></cell><cell r="AF4148"><v>3654128</v></cell><cell r="AG4148" t="str"><v>INSTAGRAM»USA-Trial-ITD-Trial PayGo Lookalike-AZR-AZR»1 x 1»SocialBan»CAN»ALL»CPA»LAL»X»NA»SS»NA»IGCTCBenefitinMotion»PRC2FX</v></cell><cell r="AH4148"><v>223933999</v></cell><cell r="AI4148" t="str"><v>AzurePlatform_IGCTCBenefitinMotion_USA_10s_CAN_PLATFORM_English_Trial_Standard_STAN_TIN_T3_1</v></cell><cell r="AJ4148"><v>103050780</v></cell></row><row r="4149"><cell r="C4149" t="str"><v>43311Facebook»Audience & Interest Targeting»1x1»Canvas»OTH»DT»DYN»AUT»W»NA»SS»NA»FBCTCcanvaspage-StartFreeCTA_FBCTCcanvaspage-BuyNowCTA</v></cell><cell r="D4149" t="str"><v>43311224639151</v></cell><cell r="E4149" t="str"><v>43311103316832NowCTA</v></cell><cell r="F4149" t="str"><v>DCM</v></cell><cell r="G4149" t="str"><v>https://azure.microsoft.com/en-au/pricing/purchase-options/</v></cell></row><row r="4149"><cell r="K4149" t="str"><v>July</v></cell><cell r="L4149"><v>43316</v></cell><cell r="M4149" t="str"><v>Tier 1</v></cell><cell r="N4149" t="str"><v>APAC</v></cell><cell r="O4149" t="str"><v>Australia</v></cell><cell r="P4149" t="str"><v>Trial</v></cell><cell r="Q4149" t="str"><v>Social</v></cell><cell r="R4149" t="str"><v>Azure</v></cell><cell r="S4149" t="str"><v>Apps & Infra</v></cell><cell r="T4149" t="str"><v>Developers & ITI's</v></cell><cell r="U4149" t="str"><v>Audience & Interest Targeting</v></cell><cell r="V4149" t="str"><v>Audience Targeting</v></cell><cell r="W4149" t="str"><v>Other</v></cell><cell r="X4149" t="str"><v>1x1</v></cell></row><row r="4149"><cell r="AA4149"><v>43311</v></cell><cell r="AB4149" t="str"><v>AUS_gaPMG_AZR_AZR_Q1_19_Trial-Social</v></cell><cell r="AC4149"><v>21358568</v></cell><cell r="AD4149"><v>720191</v></cell><cell r="AE4149" t="str"><v>Facebook</v></cell><cell r="AF4149"><v>3654128</v></cell><cell r="AG4149" t="str"><v>Facebook»Audience & Interest Targeting»1x1»Canvas»OTH»DT»DYN»AUT»W»NA»SS»NA»FBCTCcanvaspage-StartFreeCTA_FBCTCcanvaspage-BuyNowCTA</v></cell><cell r="AH4149"><v>224639151</v></cell><cell r="AI4149" t="str"><v>AzurePlatform_FBCTCcanvaspage-BuyNowCTA-Img3_AUS_1080x162_SOC_Plat_English_NA_Standard_NA_BN_T3_1</v></cell><cell r="AJ4149"><v>103316832</v></cell></row><row r="4150"><cell r="C4150" t="str"><v>43311Facebook»Audience & Interest Targeting»1x1»Canvas»OTH»DT»DYN»AUT»W»NA»SS»NA»FBCTCcanvaspage-StartFreeCTA_FBCTCcanvaspage-BuyNowCTA</v></cell><cell r="D4150" t="str"><v>43311224639151</v></cell><cell r="E4150" t="str"><v>43311103316829NowCTA</v></cell><cell r="F4150" t="str"><v>DCM</v></cell><cell r="G4150" t="str"><v>https://signup.azure.com/signup?offer=ms-azr-0044p&appId=102&ref=paidmedia-social-fb&redirectURL=https%3a%2f%2fazure.microsoft.com%2fen-au%2fget-started%2fwelcome-to-azure%2f&l=en-au&correlationId=ead86c34-1f10-49dd-a72b-6918462a2cbf</v></cell></row><row r="4150"><cell r="K4150" t="str"><v>July</v></cell><cell r="L4150"><v>43316</v></cell><cell r="M4150" t="str"><v>Tier 1</v></cell><cell r="N4150" t="str"><v>APAC</v></cell><cell r="O4150" t="str"><v>Australia</v></cell><cell r="P4150" t="str"><v>Trial</v></cell><cell r="Q4150" t="str"><v>Social</v></cell><cell r="R4150" t="str"><v>Azure</v></cell><cell r="S4150" t="str"><v>Apps & Infra</v></cell><cell r="T4150" t="str"><v>Developers & ITI's</v></cell><cell r="U4150" t="str"><v>Audience & Interest Targeting</v></cell><cell r="V4150" t="str"><v>Audience Targeting</v></cell><cell r="W4150" t="str"><v>Other</v></cell><cell r="X4150" t="str"><v>1x1</v></cell></row><row r="4150"><cell r="AA4150"><v>43311</v></cell><cell r="AB4150" t="str"><v>AUS_gaPMG_AZR_AZR_Q1_19_Trial-Social</v></cell><cell r="AC4150"><v>21358568</v></cell><cell r="AD4150"><v>720191</v></cell><cell r="AE4150" t="str"><v>Facebook</v></cell><cell r="AF4150"><v>3654128</v></cell><cell r="AG4150" t="str"><v>Facebook»Audience & Interest Targeting»1x1»Canvas»OTH»DT»DYN»AUT»W»NA»SS»NA»FBCTCcanvaspage-StartFreeCTA_FBCTCcanvaspage-BuyNowCTA</v></cell><cell r="AH4150"><v>224639151</v></cell><cell r="AI4150" t="str"><v>AzurePlatform_FBCTCcanvaspage-StartFreeCTA-Img2_AUS_1080x143 _SOC_Plat_English_NA_Standard_NA_NA_T2_1</v></cell><cell r="AJ4150"><v>103316829</v></cell></row><row r="4151"><cell r="C4151" t="str"><v>43311Facebook»Audience & Interest Targeting»1x1»TextLink»OTH»DT»DYN»AUT»W»NA»SS»NA»Free Account Refresh- Device ChB</v></cell><cell r="D4151" t="str"><v>43311224160777</v></cell><cell r="E4151" t="str"><v>43311103048479ce ChB</v></cell><cell r="F4151" t="str"><v>DCM</v></cell></row><row r="4151"><cell r="K4151" t="str"><v>July</v></cell><cell r="L4151"><v>43316</v></cell><cell r="M4151" t="str"><v>Tier 1</v></cell><cell r="N4151" t="str"><v>APAC</v></cell><cell r="O4151" t="str"><v>Australia</v></cell><cell r="P4151" t="str"><v>Trial</v></cell><cell r="Q4151" t="str"><v>Social</v></cell><cell r="R4151" t="str"><v>Azure</v></cell><cell r="S4151" t="str"><v>Apps & Infra</v></cell><cell r="T4151" t="str"><v>Developers & ITI's</v></cell><cell r="U4151" t="str"><v>Audience & Interest Targeting</v></cell><cell r="V4151" t="str"><v>Audience Targeting</v></cell><cell r="W4151" t="str"><v>Other</v></cell><cell r="X4151" t="str"><v>1x1</v></cell></row><row r="4151"><cell r="AA4151"><v>43311</v></cell><cell r="AB4151" t="str"><v>AUS_gaPMG_AZR_AZR_Q1_19_Trial-Social</v></cell><cell r="AC4151"><v>21358568</v></cell><cell r="AD4151"><v>720191</v></cell><cell r="AE4151" t="str"><v>Facebook</v></cell><cell r="AF4151"><v>3654128</v></cell><cell r="AG4151" t="str"><v>Facebook»Audience & Interest Targeting»1x1»TextLink»OTH»DT»DYN»AUT»W»NA»SS»NA»Free Account Refresh- Device ChB</v></cell><cell r="AH4151"><v>224160777</v></cell><cell r="AI4151" t="str"><v>AzurePlatform_FreeAcctAppsFACEBOOKDeviceChB_AUS_1200x628_SOC_PLAT_EN_Trial_Standard_NA_SNU_T2_1</v></cell><cell r="AJ4151"><v>103048479</v></cell></row><row r="4152"><cell r="C4152" t="str"><v>43311Facebook»Audience & Interest Targeting»1x1»TextLink»OTH»DT»DYN»AUT»W»NA»SS»NA»Free Account Refresh- Illustration ChC</v></cell><cell r="D4152" t="str"><v>43311224160774</v></cell><cell r="E4152" t="str"><v>43311103186910on ChC</v></cell><cell r="F4152" t="str"><v>DCM</v></cell></row><row r="4152"><cell r="K4152" t="str"><v>July</v></cell><cell r="L4152"><v>43316</v></cell><cell r="M4152" t="str"><v>Tier 1</v></cell><cell r="N4152" t="str"><v>APAC</v></cell><cell r="O4152" t="str"><v>Australia</v></cell><cell r="P4152" t="str"><v>Trial</v></cell><cell r="Q4152" t="str"><v>Social</v></cell><cell r="R4152" t="str"><v>Azure</v></cell><cell r="S4152" t="str"><v>Apps & Infra</v></cell><cell r="T4152" t="str"><v>Developers & ITI's</v></cell><cell r="U4152" t="str"><v>Audience & Interest Targeting</v></cell><cell r="V4152" t="str"><v>Audience Targeting</v></cell><cell r="W4152" t="str"><v>Other</v></cell><cell r="X4152" t="str"><v>1x1</v></cell></row><row r="4152"><cell r="AA4152"><v>43311</v></cell><cell r="AB4152" t="str"><v>AUS_gaPMG_AZR_AZR_Q1_19_Trial-Social</v></cell><cell r="AC4152"><v>21358568</v></cell><cell r="AD4152"><v>720191</v></cell><cell r="AE4152" t="str"><v>Facebook</v></cell><cell r="AF4152"><v>3654128</v></cell><cell r="AG4152" t="str"><v>Facebook»Audience & Interest Targeting»1x1»TextLink»OTH»DT»DYN»AUT»W»NA»SS»NA»Free Account Refresh- Illustration ChC</v></cell><cell r="AH4152"><v>224160774</v></cell><cell r="AI4152" t="str"><v>AzurePlatform_FreeAcctAppsFACEBOOKIllustrationChC_AUS_1200x628_SOC_PLAT_EN_Trial_Standard_NA_SNU_T3_1</v></cell><cell r="AJ4152"><v>103186910</v></cell></row><row r="4153"><cell r="C4153" t="str"><v>43311Facebook»LAL»1x1»TextLink»SOC»DT»DYN»LAL»W»NA»SS»NA»Free Account Refresh- 200 Credit ChD</v></cell><cell r="D4153" t="str"><v>43311224160720</v></cell><cell r="E4153" t="str"><v>43311103186907it ChD</v></cell><cell r="F4153" t="str"><v>DCM</v></cell><cell r="G4153" t="str"><v>https://azure.microsoft.com/en-au/free/open-source/search/</v></cell></row><row r="4153"><cell r="K4153" t="str"><v>July</v></cell><cell r="L4153"><v>43316</v></cell><cell r="M4153" t="str"><v>Tier 1</v></cell><cell r="N4153" t="str"><v>APAC</v></cell><cell r="O4153" t="str"><v>Australia</v></cell><cell r="P4153" t="str"><v>Trial</v></cell><cell r="Q4153" t="str"><v>Social</v></cell><cell r="R4153" t="str"><v>Azure</v></cell><cell r="S4153" t="str"><v>Apps & Infra</v></cell><cell r="T4153" t="str"><v>Developers & ITI's</v></cell><cell r="U4153" t="str"><v>LAL</v></cell><cell r="V4153" t="str"><v>Lookalike Targeting</v></cell><cell r="W4153" t="str"><v>Social</v></cell><cell r="X4153" t="str"><v>1x1</v></cell></row><row r="4153"><cell r="AA4153"><v>43311</v></cell><cell r="AB4153" t="str"><v>AUS_gaPMG_AZR_AZR_Q1_19_Trial-Social</v></cell><cell r="AC4153"><v>21358568</v></cell><cell r="AD4153"><v>720191</v></cell><cell r="AE4153" t="str"><v>Facebook</v></cell><cell r="AF4153"><v>3654128</v></cell><cell r="AG4153" t="str"><v>Facebook»LAL»1x1»TextLink»SOC»DT»DYN»LAL»W»NA»SS»NA»Free Account Refresh- 200 Credit ChD</v></cell><cell r="AH4153"><v>224160720</v></cell><cell r="AI4153" t="str"><v>AzurePlatform_FreeAcctRetargetingOSSFB-Logos-ChG_AUS_1200x628_SOC_Plat_EN_Free Account_Standard_NA_SNU_T2_1</v></cell><cell r="AJ4153"><v>103186907</v></cell></row><row r="4154"><cell r="C4154" t="str"><v>43311Facebook»LAL»1x1»TextLink»SOC»DT»DYN»LAL»W»NA»SS»NA»Free Account Refresh- Device ChB</v></cell><cell r="D4154" t="str"><v>43311224160717</v></cell><cell r="E4154" t="str"><v>43311103048485ce ChB</v></cell><cell r="F4154" t="str"><v>DCM</v></cell><cell r="G4154" t="str"><v>https://azure.microsoft.com/en-au/free/open-source/search/</v></cell></row><row r="4154"><cell r="K4154" t="str"><v>July</v></cell><cell r="L4154"><v>43316</v></cell><cell r="M4154" t="str"><v>Tier 1</v></cell><cell r="N4154" t="str"><v>APAC</v></cell><cell r="O4154" t="str"><v>Australia</v></cell><cell r="P4154" t="str"><v>Trial</v></cell><cell r="Q4154" t="str"><v>Social</v></cell><cell r="R4154" t="str"><v>Azure</v></cell><cell r="S4154" t="str"><v>Apps & Infra</v></cell><cell r="T4154" t="str"><v>Developers & ITI's</v></cell><cell r="U4154" t="str"><v>LAL</v></cell><cell r="V4154" t="str"><v>Lookalike Targeting</v></cell><cell r="W4154" t="str"><v>Social</v></cell><cell r="X4154" t="str"><v>1x1</v></cell></row><row r="4154"><cell r="AA4154"><v>43311</v></cell><cell r="AB4154" t="str"><v>AUS_gaPMG_AZR_AZR_Q1_19_Trial-Social</v></cell><cell r="AC4154"><v>21358568</v></cell><cell r="AD4154"><v>720191</v></cell><cell r="AE4154" t="str"><v>Facebook</v></cell><cell r="AF4154"><v>3654128</v></cell><cell r="AG4154" t="str"><v>Facebook»LAL»1x1»TextLink»SOC»DT»DYN»LAL»W»NA»SS»NA»Free Account Refresh- Device ChB</v></cell><cell r="AH4154"><v>224160717</v></cell><cell r="AI4154" t="str"><v>AzurePlatform_FreeAcctRetargetingOSSFB-Text-ChF_AUS_1200x628_SOC_Plat_EN_Free Account_Standard_NA_SNU_T1_1</v></cell><cell r="AJ4154"><v>103048485</v></cell></row><row r="4155"><cell r="C4155" t="str"><v>43311Facebook»LAL»1x1»TextLink»SOC»DT»DYN»LAL»W»NA»SS»NA»Free Account Refresh- Illustration ChC</v></cell><cell r="D4155" t="str"><v>43311224160714</v></cell><cell r="E4155" t="str"><v>43311103186916on ChC</v></cell><cell r="F4155" t="str"><v>DCM</v></cell><cell r="G4155" t="str"><v>https://azure.microsoft.com/en-au/free/virtual-machines/search/</v></cell></row><row r="4155"><cell r="K4155" t="str"><v>July</v></cell><cell r="L4155"><v>43316</v></cell><cell r="M4155" t="str"><v>Tier 1</v></cell><cell r="N4155" t="str"><v>APAC</v></cell><cell r="O4155" t="str"><v>Australia</v></cell><cell r="P4155" t="str"><v>Trial</v></cell><cell r="Q4155" t="str"><v>Social</v></cell><cell r="R4155" t="str"><v>Azure</v></cell><cell r="S4155" t="str"><v>Apps & Infra</v></cell><cell r="T4155" t="str"><v>Developers & ITI's</v></cell><cell r="U4155" t="str"><v>LAL</v></cell><cell r="V4155" t="str"><v>Lookalike Targeting</v></cell><cell r="W4155" t="str"><v>Social</v></cell><cell r="X4155" t="str"><v>1x1</v></cell></row><row r="4155"><cell r="AA4155"><v>43311</v></cell><cell r="AB4155" t="str"><v>AUS_gaPMG_AZR_AZR_Q1_19_Trial-Social</v></cell><cell r="AC4155"><v>21358568</v></cell><cell r="AD4155"><v>720191</v></cell><cell r="AE4155" t="str"><v>Facebook</v></cell><cell r="AF4155"><v>3654128</v></cell><cell r="AG4155" t="str"><v>Facebook»LAL»1x1»TextLink»SOC»DT»DYN»LAL»W»NA»SS»NA»Free Account Refresh- Illustration ChC</v></cell><cell r="AH4155"><v>224160714</v></cell><cell r="AI4155" t="str"><v>AzurePlatform_FreeAcctRetargetingVMFB-750Hrs-ChD_AUS_1200x628_SOC_Plat_EN_Free Account_Standard_NA_SNU_T1_1</v></cell><cell r="AJ4155"><v>103186916</v></cell></row><row r="4156"><cell r="C4156" t="str"><v>43311Facebook»LAL»1x1»TextLink»SOC»DT»DYN»LAL»W»NA»SS»NA»Free Account Refresh- Lifestyle ChA</v></cell><cell r="D4156" t="str"><v>43311224160711</v></cell><cell r="E4156" t="str"><v>43311103048491le ChA</v></cell><cell r="F4156" t="str"><v>DCM</v></cell><cell r="G4156" t="str"><v>https://azure.microsoft.com/en-au/free/virtual-machines/search/</v></cell></row><row r="4156"><cell r="K4156" t="str"><v>July</v></cell><cell r="L4156"><v>43316</v></cell><cell r="M4156" t="str"><v>Tier 1</v></cell><cell r="N4156" t="str"><v>APAC</v></cell><cell r="O4156" t="str"><v>Australia</v></cell><cell r="P4156" t="str"><v>Trial</v></cell><cell r="Q4156" t="str"><v>Social</v></cell><cell r="R4156" t="str"><v>Azure</v></cell><cell r="S4156" t="str"><v>Apps & Infra</v></cell><cell r="T4156" t="str"><v>Developers & ITI's</v></cell><cell r="U4156" t="str"><v>LAL</v></cell><cell r="V4156" t="str"><v>Lookalike Targeting</v></cell><cell r="W4156" t="str"><v>Social</v></cell><cell r="X4156" t="str"><v>1x1</v></cell></row><row r="4156"><cell r="AA4156"><v>43311</v></cell><cell r="AB4156" t="str"><v>AUS_gaPMG_AZR_AZR_Q1_19_Trial-Social</v></cell><cell r="AC4156"><v>21358568</v></cell><cell r="AD4156"><v>720191</v></cell><cell r="AE4156" t="str"><v>Facebook</v></cell><cell r="AF4156"><v>3654128</v></cell><cell r="AG4156" t="str"><v>Facebook»LAL»1x1»TextLink»SOC»DT»DYN»LAL»W»NA»SS»NA»Free Account Refresh- Lifestyle ChA</v></cell><cell r="AH4156"><v>224160711</v></cell><cell r="AI4156" t="str"><v>AzurePlatform_FreeAcctRetargetingVMFB-OnDemand-ChE_AUS_1200x628_SOC_Plat_EN_Free Account_Standard_NA_SNU_T2_1</v></cell><cell r="AJ4156"><v>103048491</v></cell></row><row r="4157"><cell r="C4157" t="str"><v>43311Facebook»Retargeting»1x1»TextLink»SOC»DT»DYN»RT»W»NA»SS»NA»Free Account Refresh- 200 Credit ChD</v></cell><cell r="D4157" t="str"><v>43311224160738</v></cell><cell r="E4157" t="str"><v>43311103186904it ChD</v></cell><cell r="F4157" t="str"><v>DCM</v></cell></row><row r="4157"><cell r="K4157" t="str"><v>July</v></cell><cell r="L4157"><v>43316</v></cell><cell r="M4157" t="str"><v>Tier 1</v></cell><cell r="N4157" t="str"><v>APAC</v></cell><cell r="O4157" t="str"><v>Australia</v></cell><cell r="P4157" t="str"><v>Trial</v></cell><cell r="Q4157" t="str"><v>Social</v></cell><cell r="R4157" t="str"><v>Azure</v></cell><cell r="S4157" t="str"><v>Apps & Infra</v></cell><cell r="T4157" t="str"><v>Developers & ITI's</v></cell><cell r="U4157" t="str"><v>Retargeting</v></cell><cell r="V4157" t="str"><v>Retargeting</v></cell><cell r="W4157" t="str"><v>Social</v></cell><cell r="X4157" t="str"><v>1x1</v></cell></row><row r="4157"><cell r="AA4157"><v>43311</v></cell><cell r="AB4157" t="str"><v>AUS_gaPMG_AZR_AZR_Q1_19_Trial-Social</v></cell><cell r="AC4157"><v>21358568</v></cell><cell r="AD4157"><v>720191</v></cell><cell r="AE4157" t="str"><v>Facebook</v></cell><cell r="AF4157"><v>3654128</v></cell><cell r="AG4157" t="str"><v>Facebook»Retargeting»1x1»TextLink»SOC»DT»DYN»RT»W»NA»SS»NA»Free Account Refresh- 200 Credit ChD</v></cell><cell r="AH4157"><v>224160738</v></cell><cell r="AI4157" t="str"><v>AzurePlatform_FreeAcctAppsFACEBOOK200CreditChD_AUS_1200x628_SOC_PLAT_EN_Trial_Standard_NA_SNU_T4_1</v></cell><cell r="AJ4157"><v>103186904</v></cell></row><row r="4158"><cell r="C4158" t="str"><v>43311Facebook»Retargeting»1x1»TextLink»SOC»DT»DYN»RT»W»NA»SS»NA»Free Account Refresh- Device ChB</v></cell><cell r="D4158" t="str"><v>43311224160735</v></cell><cell r="E4158" t="str"><v>43311103048479ce ChB</v></cell><cell r="F4158" t="str"><v>DCM</v></cell></row><row r="4158"><cell r="K4158" t="str"><v>July</v></cell><cell r="L4158"><v>43316</v></cell><cell r="M4158" t="str"><v>Tier 1</v></cell><cell r="N4158" t="str"><v>APAC</v></cell><cell r="O4158" t="str"><v>Australia</v></cell><cell r="P4158" t="str"><v>Trial</v></cell><cell r="Q4158" t="str"><v>Social</v></cell><cell r="R4158" t="str"><v>Azure</v></cell><cell r="S4158" t="str"><v>Apps & Infra</v></cell><cell r="T4158" t="str"><v>Developers & ITI's</v></cell><cell r="U4158" t="str"><v>Retargeting</v></cell><cell r="V4158" t="str"><v>Retargeting</v></cell><cell r="W4158" t="str"><v>Social</v></cell><cell r="X4158" t="str"><v>1x1</v></cell></row><row r="4158"><cell r="AA4158"><v>43311</v></cell><cell r="AB4158" t="str"><v>AUS_gaPMG_AZR_AZR_Q1_19_Trial-Social</v></cell><cell r="AC4158"><v>21358568</v></cell><cell r="AD4158"><v>720191</v></cell><cell r="AE4158" t="str"><v>Facebook</v></cell><cell r="AF4158"><v>3654128</v></cell><cell r="AG4158" t="str"><v>Facebook»Retargeting»1x1»TextLink»SOC»DT»DYN»RT»W»NA»SS»NA»Free Account Refresh- Device ChB</v></cell><cell r="AH4158"><v>224160735</v></cell><cell r="AI4158" t="str"><v>AzurePlatform_FreeAcctAppsFACEBOOKDeviceChB_AUS_1200x628_SOC_PLAT_EN_Trial_Standard_NA_SNU_T2_1</v></cell><cell r="AJ4158"><v>103048479</v></cell></row><row r="4159"><cell r="C4159" t="str"><v>43311Facebook»Retargeting»1x1»TextLink»SOC»DT»DYN»RT»W»NA»SS»NA»Free Account Refresh- Illustration ChC</v></cell><cell r="D4159" t="str"><v>43311224160732</v></cell><cell r="E4159" t="str"><v>43311103186910on ChC</v></cell><cell r="F4159" t="str"><v>DCM</v></cell></row><row r="4159"><cell r="K4159" t="str"><v>July</v></cell><cell r="L4159"><v>43316</v></cell><cell r="M4159" t="str"><v>Tier 1</v></cell><cell r="N4159" t="str"><v>APAC</v></cell><cell r="O4159" t="str"><v>Australia</v></cell><cell r="P4159" t="str"><v>Trial</v></cell><cell r="Q4159" t="str"><v>Social</v></cell><cell r="R4159" t="str"><v>Azure</v></cell><cell r="S4159" t="str"><v>Apps & Infra</v></cell><cell r="T4159" t="str"><v>Developers & ITI's</v></cell><cell r="U4159" t="str"><v>Retargeting</v></cell><cell r="V4159" t="str"><v>Retargeting</v></cell><cell r="W4159" t="str"><v>Social</v></cell><cell r="X4159" t="str"><v>1x1</v></cell></row><row r="4159"><cell r="AA4159"><v>43311</v></cell><cell r="AB4159" t="str"><v>AUS_gaPMG_AZR_AZR_Q1_19_Trial-Social</v></cell><cell r="AC4159"><v>21358568</v></cell><cell r="AD4159"><v>720191</v></cell><cell r="AE4159" t="str"><v>Facebook</v></cell><cell r="AF4159"><v>3654128</v></cell><cell r="AG4159" t="str"><v>Facebook»Retargeting»1x1»TextLink»SOC»DT»DYN»RT»W»NA»SS»NA»Free Account Refresh- Illustration ChC</v></cell><cell r="AH4159"><v>224160732</v></cell><cell r="AI4159" t="str"><v>AzurePlatform_FreeAcctAppsFACEBOOKIllustrationChC_AUS_1200x628_SOC_PLAT_EN_Trial_Standard_NA_SNU_T3_1</v></cell><cell r="AJ4159"><v>103186910</v></cell></row><row r="4160"><cell r="C4160" t="str"><v>43311Facebook»Retargeting»1x1»TextLink»SOC»DT»DYN»RT»W»NA»SS»NA»Free Account Refresh- Lifestyle ChA</v></cell><cell r="D4160" t="str"><v>43311224160729</v></cell><cell r="E4160" t="str"><v>43311103048488le ChA</v></cell><cell r="F4160" t="str"><v>DCM</v></cell></row><row r="4160"><cell r="K4160" t="str"><v>July</v></cell><cell r="L4160"><v>43316</v></cell><cell r="M4160" t="str"><v>Tier 1</v></cell><cell r="N4160" t="str"><v>APAC</v></cell><cell r="O4160" t="str"><v>Australia</v></cell><cell r="P4160" t="str"><v>Trial</v></cell><cell r="Q4160" t="str"><v>Social</v></cell><cell r="R4160" t="str"><v>Azure</v></cell><cell r="S4160" t="str"><v>Apps & Infra</v></cell><cell r="T4160" t="str"><v>Developers & ITI's</v></cell><cell r="U4160" t="str"><v>Retargeting</v></cell><cell r="V4160" t="str"><v>Retargeting</v></cell><cell r="W4160" t="str"><v>Social</v></cell><cell r="X4160" t="str"><v>1x1</v></cell></row><row r="4160"><cell r="AA4160"><v>43311</v></cell><cell r="AB4160" t="str"><v>AUS_gaPMG_AZR_AZR_Q1_19_Trial-Social</v></cell><cell r="AC4160"><v>21358568</v></cell><cell r="AD4160"><v>720191</v></cell><cell r="AE4160" t="str"><v>Facebook</v></cell><cell r="AF4160"><v>3654128</v></cell><cell r="AG4160" t="str"><v>Facebook»Retargeting»1x1»TextLink»SOC»DT»DYN»RT»W»NA»SS»NA»Free Account Refresh- Lifestyle ChA</v></cell><cell r="AH4160"><v>224160729</v></cell><cell r="AI4160" t="str"><v>AzurePlatform_FreeAcctAppsFACEBOOKLifestyleChA_AUS_1200x628_SOC_PLAT_EN_Trial_Standard_NA_SNU_T1_1</v></cell><cell r="AJ4160"><v>103048488</v></cell></row><row r="4161"><cell r="C4161" t="str"><v>43311Facebook»AZR»1x1»NA»EGV»ALL»DYN»AUT»D»All»SS»NA»Free Acc CTC - T1 - EN</v></cell><cell r="D4161" t="str"><v>43311223684451</v></cell><cell r="E4161" t="str"><v>433111029018821 - EN</v></cell><cell r="F4161" t="str"><v>DCM</v></cell><cell r="G4161" t="str"><v>https://signup.azure.com/</v></cell></row><row r="4161"><cell r="K4161" t="str"><v>July</v></cell><cell r="L4161"><v>43316</v></cell><cell r="M4161" t="str"><v>Tier 1</v></cell><cell r="N4161" t="str"><v>North America</v></cell><cell r="O4161" t="str"><v>Canada</v></cell><cell r="P4161" t="str"><v>Trial</v></cell><cell r="Q4161" t="str"><v>Social</v></cell><cell r="R4161" t="str"><v>Azure</v></cell><cell r="S4161" t="str"><v>Apps & Infra</v></cell><cell r="T4161" t="str"><v>Developers & ITI's</v></cell><cell r="U4161" t="str"><v>AZR</v></cell><cell r="V4161" t="str"><v>Audience Targeting</v></cell><cell r="W4161" t="str"><v>Engagement Video</v></cell><cell r="X4161" t="str"><v>1x1</v></cell></row><row r="4161"><cell r="AA4161"><v>43311</v></cell><cell r="AB4161" t="str"><v>CAN_gaPMG_AZR_AZR_Q1_19_Trial-Social</v></cell><cell r="AC4161"><v>21337220</v></cell><cell r="AD4161"><v>720192</v></cell><cell r="AE4161" t="str"><v>Facebook</v></cell><cell r="AF4161"><v>3654128</v></cell><cell r="AG4161" t="str"><v>Facebook»AZR»1x1»NA»EGV»ALL»DYN»AUT»D»All»SS»NA»Free Acc CTC - T1 - EN</v></cell><cell r="AH4161"><v>223684451</v></cell><cell r="AI4161" t="str"><v>AzurePlatform_FBCTCBasicMotion_CAN_10s_ISV_PLAT_English_Trial_Standard_STAN_TN_T1_1</v></cell><cell r="AJ4161"><v>102901882</v></cell></row><row r="4162"><cell r="C4162" t="str"><v>43311Facebook»AZR»1x1»NA»EGV»ALL»DYN»AUT»D»All»SS»NA»Free Acc CTC - T1 - FR</v></cell><cell r="D4162" t="str"><v>43311223691801</v></cell><cell r="E4162" t="str"><v>433111030533231 - FR</v></cell><cell r="F4162" t="str"><v>DCM</v></cell><cell r="G4162" t="str"><v>https://signup.azure.com/</v></cell></row><row r="4162"><cell r="K4162" t="str"><v>July</v></cell><cell r="L4162"><v>43316</v></cell><cell r="M4162" t="str"><v>Tier 1</v></cell><cell r="N4162" t="str"><v>North America</v></cell><cell r="O4162" t="str"><v>Canada</v></cell><cell r="P4162" t="str"><v>Trial</v></cell><cell r="Q4162" t="str"><v>Social</v></cell><cell r="R4162" t="str"><v>Azure</v></cell><cell r="S4162" t="str"><v>Apps & Infra</v></cell><cell r="T4162" t="str"><v>Developers & ITI's</v></cell><cell r="U4162" t="str"><v>AZR</v></cell><cell r="V4162" t="str"><v>Audience Targeting</v></cell><cell r="W4162" t="str"><v>Engagement Video</v></cell><cell r="X4162" t="str"><v>1x1</v></cell></row><row r="4162"><cell r="AA4162"><v>43311</v></cell><cell r="AB4162" t="str"><v>CAN_gaPMG_AZR_AZR_Q1_19_Trial-Social</v></cell><cell r="AC4162"><v>21337220</v></cell><cell r="AD4162"><v>720192</v></cell><cell r="AE4162" t="str"><v>Facebook</v></cell><cell r="AF4162"><v>3654128</v></cell><cell r="AG4162" t="str"><v>Facebook»AZR»1x1»NA»EGV»ALL»DYN»AUT»D»All»SS»NA»Free Acc CTC - T1 - FR</v></cell><cell r="AH4162"><v>223691801</v></cell><cell r="AI4162" t="str"><v>AzurePlatform_FBCTCBasicMotion_CAN_10s_ISV_PLAT_FR_Trial_Standard_STAN_TN_T1_1</v></cell><cell r="AJ4162"><v>103053323</v></cell></row><row r="4163"><cell r="C4163" t="str"><v>43311Facebook»AZR»1x1»NA»EGV»ALL»DYN»AUT»D»All»SS»NA»Free Acc CTC - T2 - EN</v></cell><cell r="D4163" t="str"><v>43311223691840</v></cell><cell r="E4163" t="str"><v>433111029029502 - EN</v></cell><cell r="F4163" t="str"><v>DCM</v></cell><cell r="G4163" t="str"><v>https://signup.azure.com/</v></cell></row><row r="4163"><cell r="K4163" t="str"><v>July</v></cell><cell r="L4163"><v>43316</v></cell><cell r="M4163" t="str"><v>Tier 1</v></cell><cell r="N4163" t="str"><v>North America</v></cell><cell r="O4163" t="str"><v>Canada</v></cell><cell r="P4163" t="str"><v>Trial</v></cell><cell r="Q4163" t="str"><v>Social</v></cell><cell r="R4163" t="str"><v>Azure</v></cell><cell r="S4163" t="str"><v>Apps & Infra</v></cell><cell r="T4163" t="str"><v>Developers & ITI's</v></cell><cell r="U4163" t="str"><v>AZR</v></cell><cell r="V4163" t="str"><v>Audience Targeting</v></cell><cell r="W4163" t="str"><v>Engagement Video</v></cell><cell r="X4163" t="str"><v>1x1</v></cell></row><row r="4163"><cell r="AA4163"><v>43311</v></cell><cell r="AB4163" t="str"><v>CAN_gaPMG_AZR_AZR_Q1_19_Trial-Social</v></cell><cell r="AC4163"><v>21337220</v></cell><cell r="AD4163"><v>720192</v></cell><cell r="AE4163" t="str"><v>Facebook</v></cell><cell r="AF4163"><v>3654128</v></cell><cell r="AG4163" t="str"><v>Facebook»AZR»1x1»NA»EGV»ALL»DYN»AUT»D»All»SS»NA»Free Acc CTC - T2 - EN</v></cell><cell r="AH4163"><v>223691840</v></cell><cell r="AI4163" t="str"><v>AzurePlatform_FBCTCBrandinMotion_CAN_12s_ISV_PLAT_English_Trial_Standard_STAN_TN_T2_1</v></cell><cell r="AJ4163"><v>102902950</v></cell></row><row r="4164"><cell r="C4164" t="str"><v>43311Facebook»AZR»1x1»NA»EGV»ALL»DYN»AUT»D»All»SS»NA»Free Acc CTC - T2 - FR</v></cell><cell r="D4164" t="str"><v>43311223691798</v></cell><cell r="E4164" t="str"><v>433111029163472 - FR</v></cell><cell r="F4164" t="str"><v>DCM</v></cell><cell r="G4164" t="str"><v>https://signup.azure.com/</v></cell></row><row r="4164"><cell r="K4164" t="str"><v>July</v></cell><cell r="L4164"><v>43316</v></cell><cell r="M4164" t="str"><v>Tier 1</v></cell><cell r="N4164" t="str"><v>North America</v></cell><cell r="O4164" t="str"><v>Canada</v></cell><cell r="P4164" t="str"><v>Trial</v></cell><cell r="Q4164" t="str"><v>Social</v></cell><cell r="R4164" t="str"><v>Azure</v></cell><cell r="S4164" t="str"><v>Apps & Infra</v></cell><cell r="T4164" t="str"><v>Developers & ITI's</v></cell><cell r="U4164" t="str"><v>AZR</v></cell><cell r="V4164" t="str"><v>Audience Targeting</v></cell><cell r="W4164" t="str"><v>Engagement Video</v></cell><cell r="X4164" t="str"><v>1x1</v></cell></row><row r="4164"><cell r="AA4164"><v>43311</v></cell><cell r="AB4164" t="str"><v>CAN_gaPMG_AZR_AZR_Q1_19_Trial-Social</v></cell><cell r="AC4164"><v>21337220</v></cell><cell r="AD4164"><v>720192</v></cell><cell r="AE4164" t="str"><v>Facebook</v></cell><cell r="AF4164"><v>3654128</v></cell><cell r="AG4164" t="str"><v>Facebook»AZR»1x1»NA»EGV»ALL»DYN»AUT»D»All»SS»NA»Free Acc CTC - T2 - FR</v></cell><cell r="AH4164"><v>223691798</v></cell><cell r="AI4164" t="str"><v>AzurePlatform_FBCTCBrandinMotion_CAN_12s_ISV_PLAT_FR_Trial_Standard_STAN_TN_T2_1</v></cell><cell r="AJ4164"><v>102916347</v></cell></row><row r="4165"><cell r="C4165" t="str"><v>43311Facebook»AZR»1x1»NA»EGV»ALL»DYN»AUT»D»All»SS»NA»Free Acc CTC - T4 - EN</v></cell><cell r="D4165" t="str"><v>43311223691837</v></cell><cell r="E4165" t="str"><v>433111030533144 - EN</v></cell><cell r="F4165" t="str"><v>DCM</v></cell><cell r="G4165" t="str"><v>https://signup.azure.com/</v></cell></row><row r="4165"><cell r="K4165" t="str"><v>July</v></cell><cell r="L4165"><v>43316</v></cell><cell r="M4165" t="str"><v>Tier 1</v></cell><cell r="N4165" t="str"><v>North America</v></cell><cell r="O4165" t="str"><v>Canada</v></cell><cell r="P4165" t="str"><v>Trial</v></cell><cell r="Q4165" t="str"><v>Social</v></cell><cell r="R4165" t="str"><v>Azure</v></cell><cell r="S4165" t="str"><v>Apps & Infra</v></cell><cell r="T4165" t="str"><v>Developers & ITI's</v></cell><cell r="U4165" t="str"><v>AZR</v></cell><cell r="V4165" t="str"><v>Audience Targeting</v></cell><cell r="W4165" t="str"><v>Engagement Video</v></cell><cell r="X4165" t="str"><v>1x1</v></cell></row><row r="4165"><cell r="AA4165"><v>43311</v></cell><cell r="AB4165" t="str"><v>CAN_gaPMG_AZR_AZR_Q1_19_Trial-Social</v></cell><cell r="AC4165"><v>21337220</v></cell><cell r="AD4165"><v>720192</v></cell><cell r="AE4165" t="str"><v>Facebook</v></cell><cell r="AF4165"><v>3654128</v></cell><cell r="AG4165" t="str"><v>Facebook»AZR»1x1»NA»EGV»ALL»DYN»AUT»D»All»SS»NA»Free Acc CTC - T4 - EN</v></cell><cell r="AH4165"><v>223691837</v></cell><cell r="AI4165" t="str"><v>AzurePlatform_FBCTCBenefit2inMotion_CAN_14s_ISV_PLAT_English_Trial_Standard_STAN_TN_T4_1</v></cell><cell r="AJ4165"><v>103053314</v></cell></row><row r="4166"><cell r="C4166" t="str"><v>43311Facebook»AZR»1x1»NA»EGV»ALL»DYN»AUT»D»All»SS»NA»Free Acc CTC - T4 - FR</v></cell><cell r="D4166" t="str"><v>43311223691795</v></cell><cell r="E4166" t="str"><v>433111029006884 - FR</v></cell><cell r="F4166" t="str"><v>DCM</v></cell><cell r="G4166" t="str"><v>https://signup.azure.com/</v></cell></row><row r="4166"><cell r="K4166" t="str"><v>July</v></cell><cell r="L4166"><v>43316</v></cell><cell r="M4166" t="str"><v>Tier 1</v></cell><cell r="N4166" t="str"><v>North America</v></cell><cell r="O4166" t="str"><v>Canada</v></cell><cell r="P4166" t="str"><v>Trial</v></cell><cell r="Q4166" t="str"><v>Social</v></cell><cell r="R4166" t="str"><v>Azure</v></cell><cell r="S4166" t="str"><v>Apps & Infra</v></cell><cell r="T4166" t="str"><v>Developers & ITI's</v></cell><cell r="U4166" t="str"><v>AZR</v></cell><cell r="V4166" t="str"><v>Audience Targeting</v></cell><cell r="W4166" t="str"><v>Engagement Video</v></cell><cell r="X4166" t="str"><v>1x1</v></cell></row><row r="4166"><cell r="AA4166"><v>43311</v></cell><cell r="AB4166" t="str"><v>CAN_gaPMG_AZR_AZR_Q1_19_Trial-Social</v></cell><cell r="AC4166"><v>21337220</v></cell><cell r="AD4166"><v>720192</v></cell><cell r="AE4166" t="str"><v>Facebook</v></cell><cell r="AF4166"><v>3654128</v></cell><cell r="AG4166" t="str"><v>Facebook»AZR»1x1»NA»EGV»ALL»DYN»AUT»D»All»SS»NA»Free Acc CTC - T4 - FR</v></cell><cell r="AH4166"><v>223691795</v></cell><cell r="AI4166" t="str"><v>AzurePlatform_FBCTCBenefit2inMotion_CAN_14s_ISV_PLAT_FR_Trial_Standard_STAN_TN_T4_1</v></cell><cell r="AJ4166"><v>102900688</v></cell></row><row r="4167"><cell r="C4167" t="str"><v>43311Facebook»AZR»1x1»NA»SOC»ALL»DYN»PRO»D»All»SS»NA»Canvas - Buy Now - EN</v></cell><cell r="D4167" t="str"><v>43311225322327</v></cell><cell r="E4167" t="str"><v>43311103902287w - EN</v></cell><cell r="F4167" t="str"><v>DCM</v></cell><cell r="G4167" t="str"><v>https://azure.microsoft.com/en-ca/pricing/purchase-options/</v></cell></row><row r="4167"><cell r="K4167" t="str"><v>July</v></cell><cell r="L4167"><v>43316</v></cell><cell r="M4167" t="str"><v>Tier 1</v></cell><cell r="N4167" t="str"><v>North America</v></cell><cell r="O4167" t="str"><v>Canada</v></cell><cell r="P4167" t="str"><v>Trial</v></cell><cell r="Q4167" t="str"><v>Social</v></cell><cell r="R4167" t="str"><v>Azure</v></cell><cell r="S4167" t="str"><v>Apps & Infra</v></cell><cell r="T4167" t="str"><v>Developers & ITI's</v></cell><cell r="U4167" t="str"><v>AZR</v></cell><cell r="V4167" t="str"><v>Prospecting</v></cell><cell r="W4167" t="str"><v>Social</v></cell><cell r="X4167" t="str"><v>1x1</v></cell></row><row r="4167"><cell r="AA4167"><v>43311</v></cell><cell r="AB4167" t="str"><v>CAN_gaPMG_AZR_AZR_Q1_19_Trial-Social</v></cell><cell r="AC4167"><v>21337220</v></cell><cell r="AD4167"><v>720192</v></cell><cell r="AE4167" t="str"><v>Facebook</v></cell><cell r="AF4167"><v>3654128</v></cell><cell r="AG4167" t="str"><v>Facebook»AZR»1x1»NA»SOC»ALL»DYN»PRO»D»All»SS»NA»Canvas - Buy Now - EN</v></cell><cell r="AH4167"><v>225322327</v></cell><cell r="AI4167" t="str"><v>AzurePlatform_FBCTCcanvaspage-BuyNowCTA-Img3_CAN_1080x162_SOC_Plat_English_NA_Standard_NA_BN_T3_1</v></cell><cell r="AJ4167"><v>103902287</v></cell></row><row r="4168"><cell r="C4168" t="str"><v>43311Facebook»AZR»1x1»NA»SOC»ALL»DYN»PRO»D»All»SS»NA»Canvas - Buy Now - FR</v></cell><cell r="D4168" t="str"><v>43311225322324</v></cell><cell r="E4168" t="str"><v>43311103789915w - FR</v></cell><cell r="F4168" t="str"><v>DCM</v></cell><cell r="G4168" t="str"><v>https://azure.microsoft.com/fr-ca/pricing/purchase-options/</v></cell></row><row r="4168"><cell r="K4168" t="str"><v>July</v></cell><cell r="L4168"><v>43316</v></cell><cell r="M4168" t="str"><v>Tier 1</v></cell><cell r="N4168" t="str"><v>North America</v></cell><cell r="O4168" t="str"><v>Canada</v></cell><cell r="P4168" t="str"><v>Trial</v></cell><cell r="Q4168" t="str"><v>Social</v></cell><cell r="R4168" t="str"><v>Azure</v></cell><cell r="S4168" t="str"><v>Apps & Infra</v></cell><cell r="T4168" t="str"><v>Developers & ITI's</v></cell><cell r="U4168" t="str"><v>AZR</v></cell><cell r="V4168" t="str"><v>Prospecting</v></cell><cell r="W4168" t="str"><v>Social</v></cell><cell r="X4168" t="str"><v>1x1</v></cell></row><row r="4168"><cell r="AA4168"><v>43311</v></cell><cell r="AB4168" t="str"><v>CAN_gaPMG_AZR_AZR_Q1_19_Trial-Social</v></cell><cell r="AC4168"><v>21337220</v></cell><cell r="AD4168"><v>720192</v></cell><cell r="AE4168" t="str"><v>Facebook</v></cell><cell r="AF4168"><v>3654128</v></cell><cell r="AG4168" t="str"><v>Facebook»AZR»1x1»NA»SOC»ALL»DYN»PRO»D»All»SS»NA»Canvas - Buy Now - FR</v></cell><cell r="AH4168"><v>225322324</v></cell><cell r="AI4168" t="str"><v>AzurePlatform_FBCTCcanvaspage-BuyNowCTA-Img3_CAN_1080x162_SOC_Plat_French_NA_Standard_NA_BN_T3_1</v></cell><cell r="AJ4168"><v>103789915</v></cell></row><row r="4169"><cell r="C4169" t="str"><v>43311Facebook»AZR»1x1»NA»SOC»ALL»DYN»PRO»D»All»SS»NA»Canvas - Start Free - EN</v></cell><cell r="D4169" t="str"><v>43311225252365</v></cell><cell r="E4169" t="str"><v>43311103807590e - EN</v></cell><cell r="F4169" t="str"><v>DCM</v></cell><cell r="G4169" t="str"><v>https://signup.azure.com/signup?offer=ms-azr-0044p&appId=102&ref=paidmedia-social-fb&redirectURL=https%3a%2f%2fazure.microsoft.com%2fen-ca%2fget-started%2fwelcome-to-azure%2f&l=en-ca&correlationId=ead86c34-1f10-49dd-a72b-6918462a2cbf</v></cell></row><row r="4169"><cell r="K4169" t="str"><v>July</v></cell><cell r="L4169"><v>43316</v></cell><cell r="M4169" t="str"><v>Tier 1</v></cell><cell r="N4169" t="str"><v>North America</v></cell><cell r="O4169" t="str"><v>Canada</v></cell><cell r="P4169" t="str"><v>Trial</v></cell><cell r="Q4169" t="str"><v>Social</v></cell><cell r="R4169" t="str"><v>Azure</v></cell><cell r="S4169" t="str"><v>Apps & Infra</v></cell><cell r="T4169" t="str"><v>Developers & ITI's</v></cell><cell r="U4169" t="str"><v>AZR</v></cell><cell r="V4169" t="str"><v>Prospecting</v></cell><cell r="W4169" t="str"><v>Social</v></cell><cell r="X4169" t="str"><v>1x1</v></cell></row><row r="4169"><cell r="AA4169"><v>43311</v></cell><cell r="AB4169" t="str"><v>CAN_gaPMG_AZR_AZR_Q1_19_Trial-Social</v></cell><cell r="AC4169"><v>21337220</v></cell><cell r="AD4169"><v>720192</v></cell><cell r="AE4169" t="str"><v>Facebook</v></cell><cell r="AF4169"><v>3654128</v></cell><cell r="AG4169" t="str"><v>Facebook»AZR»1x1»NA»SOC»ALL»DYN»PRO»D»All»SS»NA»Canvas - Start Free - EN</v></cell><cell r="AH4169"><v>225252365</v></cell><cell r="AI4169" t="str"><v>AzurePlatform_FBCTCcanvaspage-StartFreeCTA-Img2_CAN_1080x143 _SOC_Plat_English_NA_Standard_NA_NA_T2_1</v></cell><cell r="AJ4169"><v>103807590</v></cell></row><row r="4170"><cell r="C4170" t="str"><v>43311Facebook»AZR»1x1»NA»SOC»ALL»DYN»PRO»D»All»SS»NA»Canvas - Start Free - FR</v></cell><cell r="D4170" t="str"><v>43311225525936</v></cell><cell r="E4170" t="str"><v>43311103902551e - FR</v></cell><cell r="F4170" t="str"><v>DCM</v></cell><cell r="G4170" t="str"><v>https://signup.azure.com/signup?offer=ms-azr-0044p&appId=102&ref=paidmedia-social-fb&redirectURL=https%3a%2f%2fazure.microsoft.com%2ffr-ca%2fget-started%2fwelcome-to-azure%2f&l=fr-ca&correlationId=ead86c34-1f10-49dd-a72b-6918462a2cbf</v></cell></row><row r="4170"><cell r="K4170" t="str"><v>July</v></cell><cell r="L4170"><v>43316</v></cell><cell r="M4170" t="str"><v>Tier 1</v></cell><cell r="N4170" t="str"><v>North America</v></cell><cell r="O4170" t="str"><v>Canada</v></cell><cell r="P4170" t="str"><v>Trial</v></cell><cell r="Q4170" t="str"><v>Social</v></cell><cell r="R4170" t="str"><v>Azure</v></cell><cell r="S4170" t="str"><v>Apps & Infra</v></cell><cell r="T4170" t="str"><v>Developers & ITI's</v></cell><cell r="U4170" t="str"><v>AZR</v></cell><cell r="V4170" t="str"><v>Prospecting</v></cell><cell r="W4170" t="str"><v>Social</v></cell><cell r="X4170" t="str"><v>1x1</v></cell></row><row r="4170"><cell r="AA4170"><v>43311</v></cell><cell r="AB4170" t="str"><v>CAN_gaPMG_AZR_AZR_Q1_19_Trial-Social</v></cell><cell r="AC4170"><v>21337220</v></cell><cell r="AD4170"><v>720192</v></cell><cell r="AE4170" t="str"><v>Facebook</v></cell><cell r="AF4170"><v>3654128</v></cell><cell r="AG4170" t="str"><v>Facebook»AZR»1x1»NA»SOC»ALL»DYN»PRO»D»All»SS»NA»Canvas - Start Free - FR</v></cell><cell r="AH4170"><v>225525936</v></cell><cell r="AI4170" t="str"><v>AzurePlatform_FBCTCcanvaspage-StartFreeCTA-Img2_CAN_1080x143 _SOC_Plat_French_NA_Standard_NA_NA_T2_1</v></cell><cell r="AJ4170"><v>103902551</v></cell></row><row r="4171"><cell r="C4171" t="str"><v>43311Facebook»AZR»1x1»SocialBan»NA»ALL»DYN»AUT»D»All»SS»NA»Free Acc Refresh - T1 - EN</v></cell><cell r="D4171" t="str"><v>43311223691804</v></cell><cell r="E4171" t="str"><v>433111030587171 - EN</v></cell><cell r="F4171" t="str"><v>DCM</v></cell><cell r="G4171" t="str"><v>https://azure.microsoft.com/en-CA/free/search/</v></cell></row><row r="4171"><cell r="K4171" t="str"><v>July</v></cell><cell r="L4171"><v>43316</v></cell><cell r="M4171" t="str"><v>Tier 1</v></cell><cell r="N4171" t="str"><v>North America</v></cell><cell r="O4171" t="str"><v>Canada</v></cell><cell r="P4171" t="str"><v>Trial</v></cell><cell r="Q4171" t="str"><v>Social</v></cell><cell r="R4171" t="str"><v>Azure</v></cell><cell r="S4171" t="str"><v>Apps & Infra</v></cell><cell r="T4171" t="str"><v>Developers & ITI's</v></cell><cell r="U4171" t="str"><v>AZR</v></cell><cell r="V4171" t="str"><v>Audience Targeting</v></cell><cell r="W4171" t="str"><v>NotApplicable</v></cell><cell r="X4171" t="str"><v>1x1</v></cell></row><row r="4171"><cell r="AA4171"><v>43311</v></cell><cell r="AB4171" t="str"><v>CAN_gaPMG_AZR_AZR_Q1_19_Trial-Social</v></cell><cell r="AC4171"><v>21337220</v></cell><cell r="AD4171"><v>720192</v></cell><cell r="AE4171" t="str"><v>Facebook</v></cell><cell r="AF4171"><v>3654128</v></cell><cell r="AG4171" t="str"><v>Facebook»AZR»1x1»SocialBan»NA»ALL»DYN»AUT»D»All»SS»NA»Free Acc Refresh - T1 - EN</v></cell><cell r="AH4171"><v>223691804</v></cell><cell r="AI4171" t="str"><v>AzurePlatform_FreeAcctAppsFACEBOOKLifestyleChA_CAN_1200x628_SOC_PLAT_EN_Trial_Standard_NA_SU_T1_1.png</v></cell><cell r="AJ4171"><v>103058717</v></cell></row><row r="4172"><cell r="C4172" t="str"><v>43311Facebook»AZR»1x1»SocialBan»NA»ALL»DYN»AUT»D»All»SS»NA»Free Acc Refresh - T1 - FR</v></cell><cell r="D4172" t="str"><v>43311223691762</v></cell><cell r="E4172" t="str"><v>433111029029741 - FR</v></cell><cell r="F4172" t="str"><v>DCM</v></cell><cell r="G4172" t="str"><v>https://azure.microsoft.com/fr-ca/free/search/</v></cell></row><row r="4172"><cell r="K4172" t="str"><v>July</v></cell><cell r="L4172"><v>43316</v></cell><cell r="M4172" t="str"><v>Tier 1</v></cell><cell r="N4172" t="str"><v>North America</v></cell><cell r="O4172" t="str"><v>Canada</v></cell><cell r="P4172" t="str"><v>Trial</v></cell><cell r="Q4172" t="str"><v>Social</v></cell><cell r="R4172" t="str"><v>Azure</v></cell><cell r="S4172" t="str"><v>Apps & Infra</v></cell><cell r="T4172" t="str"><v>Developers & ITI's</v></cell><cell r="U4172" t="str"><v>AZR</v></cell><cell r="V4172" t="str"><v>Audience Targeting</v></cell><cell r="W4172" t="str"><v>NotApplicable</v></cell><cell r="X4172" t="str"><v>1x1</v></cell></row><row r="4172"><cell r="AA4172"><v>43311</v></cell><cell r="AB4172" t="str"><v>CAN_gaPMG_AZR_AZR_Q1_19_Trial-Social</v></cell><cell r="AC4172"><v>21337220</v></cell><cell r="AD4172"><v>720192</v></cell><cell r="AE4172" t="str"><v>Facebook</v></cell><cell r="AF4172"><v>3654128</v></cell><cell r="AG4172" t="str"><v>Facebook»AZR»1x1»SocialBan»NA»ALL»DYN»AUT»D»All»SS»NA»Free Acc Refresh - T1 - FR</v></cell><cell r="AH4172"><v>223691762</v></cell><cell r="AI4172" t="str"><v>AzurePlatform_FreeAcctAppsFACEBOOKLifestyleChA_CAN_1200x628_SOC_PLAT_FR_Trial_Standard_NA_SU_T1_1.png</v></cell><cell r="AJ4172"><v>102902974</v></cell></row><row r="4173"><cell r="C4173" t="str"><v>43311Facebook»AZR»1x1»SocialBan»NA»ALL»DYN»AUT»D»All»SS»NA»Free Acc Refresh - T2 - EN</v></cell><cell r="D4173" t="str"><v>43311223691810</v></cell><cell r="E4173" t="str"><v>433111030587112 - EN</v></cell><cell r="F4173" t="str"><v>DCM</v></cell><cell r="G4173" t="str"><v>https://azure.microsoft.com/en-CA/free/search/</v></cell></row><row r="4173"><cell r="K4173" t="str"><v>July</v></cell><cell r="L4173"><v>43316</v></cell><cell r="M4173" t="str"><v>Tier 1</v></cell><cell r="N4173" t="str"><v>North America</v></cell><cell r="O4173" t="str"><v>Canada</v></cell><cell r="P4173" t="str"><v>Trial</v></cell><cell r="Q4173" t="str"><v>Social</v></cell><cell r="R4173" t="str"><v>Azure</v></cell><cell r="S4173" t="str"><v>Apps & Infra</v></cell><cell r="T4173" t="str"><v>Developers & ITI's</v></cell><cell r="U4173" t="str"><v>AZR</v></cell><cell r="V4173" t="str"><v>Audience Targeting</v></cell><cell r="W4173" t="str"><v>NotApplicable</v></cell><cell r="X4173" t="str"><v>1x1</v></cell></row><row r="4173"><cell r="AA4173"><v>43311</v></cell><cell r="AB4173" t="str"><v>CAN_gaPMG_AZR_AZR_Q1_19_Trial-Social</v></cell><cell r="AC4173"><v>21337220</v></cell><cell r="AD4173"><v>720192</v></cell><cell r="AE4173" t="str"><v>Facebook</v></cell><cell r="AF4173"><v>3654128</v></cell><cell r="AG4173" t="str"><v>Facebook»AZR»1x1»SocialBan»NA»ALL»DYN»AUT»D»All»SS»NA»Free Acc Refresh - T2 - EN</v></cell><cell r="AH4173"><v>223691810</v></cell><cell r="AI4173" t="str"><v>AzurePlatform_FreeAcctAppsFACEBOOKDeviceChB_CAN_1200x628_SOC_PLAT_EN_Trial_Standard_NA_SU_T2_1.png</v></cell><cell r="AJ4173"><v>103058711</v></cell></row><row r="4174"><cell r="C4174" t="str"><v>43311Facebook»AZR»1x1»SocialBan»NA»ALL»DYN»AUT»D»All»SS»NA»Free Acc Refresh - T2 - FR</v></cell><cell r="D4174" t="str"><v>43311223691768</v></cell><cell r="E4174" t="str"><v>433111029029712 - FR</v></cell><cell r="F4174" t="str"><v>DCM</v></cell><cell r="G4174" t="str"><v>https://azure.microsoft.com/fr-ca/free/search/</v></cell></row><row r="4174"><cell r="K4174" t="str"><v>July</v></cell><cell r="L4174"><v>43316</v></cell><cell r="M4174" t="str"><v>Tier 1</v></cell><cell r="N4174" t="str"><v>North America</v></cell><cell r="O4174" t="str"><v>Canada</v></cell><cell r="P4174" t="str"><v>Trial</v></cell><cell r="Q4174" t="str"><v>Social</v></cell><cell r="R4174" t="str"><v>Azure</v></cell><cell r="S4174" t="str"><v>Apps & Infra</v></cell><cell r="T4174" t="str"><v>Developers & ITI's</v></cell><cell r="U4174" t="str"><v>AZR</v></cell><cell r="V4174" t="str"><v>Audience Targeting</v></cell><cell r="W4174" t="str"><v>NotApplicable</v></cell><cell r="X4174" t="str"><v>1x1</v></cell></row><row r="4174"><cell r="AA4174"><v>43311</v></cell><cell r="AB4174" t="str"><v>CAN_gaPMG_AZR_AZR_Q1_19_Trial-Social</v></cell><cell r="AC4174"><v>21337220</v></cell><cell r="AD4174"><v>720192</v></cell><cell r="AE4174" t="str"><v>Facebook</v></cell><cell r="AF4174"><v>3654128</v></cell><cell r="AG4174" t="str"><v>Facebook»AZR»1x1»SocialBan»NA»ALL»DYN»AUT»D»All»SS»NA»Free Acc Refresh - T2 - FR</v></cell><cell r="AH4174"><v>223691768</v></cell><cell r="AI4174" t="str"><v>AzurePlatform_FreeAcctAppsFACEBOOKDeviceChB_CAN_1200x628_SOC_PLAT_FR_Trial_Standard_NA_SU_T2_1.png</v></cell><cell r="AJ4174"><v>102902971</v></cell></row><row r="4175"><cell r="C4175" t="str"><v>43311Facebook»AZR»1x1»SocialBan»NA»ALL»DYN»AUT»D»All»SS»NA»Free Acc Refresh - T3 - EN</v></cell><cell r="D4175" t="str"><v>43311223691807</v></cell><cell r="E4175" t="str"><v>433111029006853 - EN</v></cell><cell r="F4175" t="str"><v>DCM</v></cell><cell r="G4175" t="str"><v>https://azure.microsoft.com/en-CA/free/search/</v></cell></row><row r="4175"><cell r="K4175" t="str"><v>July</v></cell><cell r="L4175"><v>43316</v></cell><cell r="M4175" t="str"><v>Tier 1</v></cell><cell r="N4175" t="str"><v>North America</v></cell><cell r="O4175" t="str"><v>Canada</v></cell><cell r="P4175" t="str"><v>Trial</v></cell><cell r="Q4175" t="str"><v>Social</v></cell><cell r="R4175" t="str"><v>Azure</v></cell><cell r="S4175" t="str"><v>Apps & Infra</v></cell><cell r="T4175" t="str"><v>Developers & ITI's</v></cell><cell r="U4175" t="str"><v>AZR</v></cell><cell r="V4175" t="str"><v>Audience Targeting</v></cell><cell r="W4175" t="str"><v>NotApplicable</v></cell><cell r="X4175" t="str"><v>1x1</v></cell></row><row r="4175"><cell r="AA4175"><v>43311</v></cell><cell r="AB4175" t="str"><v>CAN_gaPMG_AZR_AZR_Q1_19_Trial-Social</v></cell><cell r="AC4175"><v>21337220</v></cell><cell r="AD4175"><v>720192</v></cell><cell r="AE4175" t="str"><v>Facebook</v></cell><cell r="AF4175"><v>3654128</v></cell><cell r="AG4175" t="str"><v>Facebook»AZR»1x1»SocialBan»NA»ALL»DYN»AUT»D»All»SS»NA»Free Acc Refresh - T3 - EN</v></cell><cell r="AH4175"><v>223691807</v></cell><cell r="AI4175" t="str"><v>AzurePlatform_FreeAcctAppsFACEBOOKIllustrationChC_CAN_1200x628_SOC_PLAT_EN_Trial_Standard_NA_SU_T3_1.png</v></cell><cell r="AJ4175"><v>102900685</v></cell></row><row r="4176"><cell r="C4176" t="str"><v>43311Facebook»AZR»1x1»SocialBan»NA»ALL»DYN»AUT»D»All»SS»NA»Free Acc Refresh - T3 - FR</v></cell><cell r="D4176" t="str"><v>43311223691765</v></cell><cell r="E4176" t="str"><v>433111030533323 - FR</v></cell><cell r="F4176" t="str"><v>DCM</v></cell><cell r="G4176" t="str"><v>https://azure.microsoft.com/fr-ca/free/search/</v></cell></row><row r="4176"><cell r="K4176" t="str"><v>July</v></cell><cell r="L4176"><v>43316</v></cell><cell r="M4176" t="str"><v>Tier 1</v></cell><cell r="N4176" t="str"><v>North America</v></cell><cell r="O4176" t="str"><v>Canada</v></cell><cell r="P4176" t="str"><v>Trial</v></cell><cell r="Q4176" t="str"><v>Social</v></cell><cell r="R4176" t="str"><v>Azure</v></cell><cell r="S4176" t="str"><v>Apps & Infra</v></cell><cell r="T4176" t="str"><v>Developers & ITI's</v></cell><cell r="U4176" t="str"><v>AZR</v></cell><cell r="V4176" t="str"><v>Audience Targeting</v></cell><cell r="W4176" t="str"><v>NotApplicable</v></cell><cell r="X4176" t="str"><v>1x1</v></cell></row><row r="4176"><cell r="AA4176"><v>43311</v></cell><cell r="AB4176" t="str"><v>CAN_gaPMG_AZR_AZR_Q1_19_Trial-Social</v></cell><cell r="AC4176"><v>21337220</v></cell><cell r="AD4176"><v>720192</v></cell><cell r="AE4176" t="str"><v>Facebook</v></cell><cell r="AF4176"><v>3654128</v></cell><cell r="AG4176" t="str"><v>Facebook»AZR»1x1»SocialBan»NA»ALL»DYN»AUT»D»All»SS»NA»Free Acc Refresh - T3 - FR</v></cell><cell r="AH4176"><v>223691765</v></cell><cell r="AI4176" t="str"><v>AzurePlatform_FreeAcctAppsFACEBOOKIllustrationChC_CAN_1200x628_SOC_PLAT_FR_Trial_Standard_NA_SU_T3_1.png</v></cell><cell r="AJ4176"><v>103053332</v></cell></row><row r="4177"><cell r="C4177" t="str"><v>43311Facebook»AZR»1x1»SocialBan»NA»ALL»DYN»AUT»D»All»SS»NA»Free Acc Refresh - T4 - EN</v></cell><cell r="D4177" t="str"><v>43311223691813</v></cell><cell r="E4177" t="str"><v>433111030533204 - EN</v></cell><cell r="F4177" t="str"><v>DCM</v></cell><cell r="G4177" t="str"><v>https://azure.microsoft.com/en-CA/free/search/</v></cell></row><row r="4177"><cell r="K4177" t="str"><v>July</v></cell><cell r="L4177"><v>43316</v></cell><cell r="M4177" t="str"><v>Tier 1</v></cell><cell r="N4177" t="str"><v>North America</v></cell><cell r="O4177" t="str"><v>Canada</v></cell><cell r="P4177" t="str"><v>Trial</v></cell><cell r="Q4177" t="str"><v>Social</v></cell><cell r="R4177" t="str"><v>Azure</v></cell><cell r="S4177" t="str"><v>Apps & Infra</v></cell><cell r="T4177" t="str"><v>Developers & ITI's</v></cell><cell r="U4177" t="str"><v>AZR</v></cell><cell r="V4177" t="str"><v>Audience Targeting</v></cell><cell r="W4177" t="str"><v>NotApplicable</v></cell><cell r="X4177" t="str"><v>1x1</v></cell></row><row r="4177"><cell r="AA4177"><v>43311</v></cell><cell r="AB4177" t="str"><v>CAN_gaPMG_AZR_AZR_Q1_19_Trial-Social</v></cell><cell r="AC4177"><v>21337220</v></cell><cell r="AD4177"><v>720192</v></cell><cell r="AE4177" t="str"><v>Facebook</v></cell><cell r="AF4177"><v>3654128</v></cell><cell r="AG4177" t="str"><v>Facebook»AZR»1x1»SocialBan»NA»ALL»DYN»AUT»D»All»SS»NA»Free Acc Refresh - T4 - EN</v></cell><cell r="AH4177"><v>223691813</v></cell><cell r="AI4177" t="str"><v>AzurePlatform_FreeAcctAppsFACEBOOK200CreditChD_CAN_1200x628_SOC_PLAT_EN_Trial_Standard_NA_SU_T4_1.png</v></cell><cell r="AJ4177"><v>103053320</v></cell></row><row r="4178"><cell r="C4178" t="str"><v>43311Facebook»AZR»1x1»SocialBan»NA»ALL»DYN»AUT»D»All»SS»NA»Free Acc Refresh - T4 - FR</v></cell><cell r="D4178" t="str"><v>43311223691771</v></cell><cell r="E4178" t="str"><v>433111029029684 - FR</v></cell><cell r="F4178" t="str"><v>DCM</v></cell><cell r="G4178" t="str"><v>https://azure.microsoft.com/fr-ca/free/search/</v></cell></row><row r="4178"><cell r="K4178" t="str"><v>July</v></cell><cell r="L4178"><v>43316</v></cell><cell r="M4178" t="str"><v>Tier 1</v></cell><cell r="N4178" t="str"><v>North America</v></cell><cell r="O4178" t="str"><v>Canada</v></cell><cell r="P4178" t="str"><v>Trial</v></cell><cell r="Q4178" t="str"><v>Social</v></cell><cell r="R4178" t="str"><v>Azure</v></cell><cell r="S4178" t="str"><v>Apps & Infra</v></cell><cell r="T4178" t="str"><v>Developers & ITI's</v></cell><cell r="U4178" t="str"><v>AZR</v></cell><cell r="V4178" t="str"><v>Audience Targeting</v></cell><cell r="W4178" t="str"><v>NotApplicable</v></cell><cell r="X4178" t="str"><v>1x1</v></cell></row><row r="4178"><cell r="AA4178"><v>43311</v></cell><cell r="AB4178" t="str"><v>CAN_gaPMG_AZR_AZR_Q1_19_Trial-Social</v></cell><cell r="AC4178"><v>21337220</v></cell><cell r="AD4178"><v>720192</v></cell><cell r="AE4178" t="str"><v>Facebook</v></cell><cell r="AF4178"><v>3654128</v></cell><cell r="AG4178" t="str"><v>Facebook»AZR»1x1»SocialBan»NA»ALL»DYN»AUT»D»All»SS»NA»Free Acc Refresh - T4 - FR</v></cell><cell r="AH4178"><v>223691771</v></cell><cell r="AI4178" t="str"><v>AzurePlatform_FreeAcctAppsFACEBOOK200CreditChD_CAN_1200x628_SOC_PLAT_FR_Trial_Standard_NA_SU_T4_1.png</v></cell><cell r="AJ4178"><v>102902968</v></cell></row><row r="4179"><cell r="C4179" t="str"><v>43311Facebook»AZR»1x1»SocialBan»NA»ALL»DYN»AUT»D»All»SS»NA»Free Acc Refresh - T5 - EN</v></cell><cell r="D4179" t="str"><v>43311223691816</v></cell><cell r="E4179" t="str"><v>433111029163415 - EN</v></cell><cell r="F4179" t="str"><v>DCM</v></cell><cell r="G4179" t="str"><v>https://azure.microsoft.com/en-CA/free/search/</v></cell></row><row r="4179"><cell r="K4179" t="str"><v>July</v></cell><cell r="L4179"><v>43316</v></cell><cell r="M4179" t="str"><v>Tier 1</v></cell><cell r="N4179" t="str"><v>North America</v></cell><cell r="O4179" t="str"><v>Canada</v></cell><cell r="P4179" t="str"><v>Trial</v></cell><cell r="Q4179" t="str"><v>Social</v></cell><cell r="R4179" t="str"><v>Azure</v></cell><cell r="S4179" t="str"><v>Apps & Infra</v></cell><cell r="T4179" t="str"><v>Developers & ITI's</v></cell><cell r="U4179" t="str"><v>AZR</v></cell><cell r="V4179" t="str"><v>Audience Targeting</v></cell><cell r="W4179" t="str"><v>NotApplicable</v></cell><cell r="X4179" t="str"><v>1x1</v></cell></row><row r="4179"><cell r="AA4179"><v>43311</v></cell><cell r="AB4179" t="str"><v>CAN_gaPMG_AZR_AZR_Q1_19_Trial-Social</v></cell><cell r="AC4179"><v>21337220</v></cell><cell r="AD4179"><v>720192</v></cell><cell r="AE4179" t="str"><v>Facebook</v></cell><cell r="AF4179"><v>3654128</v></cell><cell r="AG4179" t="str"><v>Facebook»AZR»1x1»SocialBan»NA»ALL»DYN»AUT»D»All»SS»NA»Free Acc Refresh - T5 - EN</v></cell><cell r="AH4179"><v>223691816</v></cell><cell r="AI4179" t="str"><v>AzurePlatform_FreeAcctAppsFACEBOOK12monthsChE_CAN_1200x628_SOC_PLAT_EN_Trial_Standard_NA_SU_T5_1.png</v></cell><cell r="AJ4179"><v>102916341</v></cell></row><row r="4180"><cell r="C4180" t="str"><v>43311Facebook»AZR»1x1»SocialBan»NA»ALL»DYN»RT»D»All»SS»NA» Free Account Retargeting OSS - T1 - EN</v></cell><cell r="D4180" t="str"><v>43311223691828</v></cell><cell r="E4180" t="str"><v>433111029029561 - EN</v></cell><cell r="F4180" t="str"><v>DCM</v></cell><cell r="G4180" t="str"><v>https://azure.microsoft.com/en-ca/free/open-source/search/</v></cell></row><row r="4180"><cell r="K4180" t="str"><v>July</v></cell><cell r="L4180"><v>43316</v></cell><cell r="M4180" t="str"><v>Tier 1</v></cell><cell r="N4180" t="str"><v>North America</v></cell><cell r="O4180" t="str"><v>Canada</v></cell><cell r="P4180" t="str"><v>Trial</v></cell><cell r="Q4180" t="str"><v>Social</v></cell><cell r="R4180" t="str"><v>Azure</v></cell><cell r="S4180" t="str"><v>Apps & Infra</v></cell><cell r="T4180" t="str"><v>Developers & ITI's</v></cell><cell r="U4180" t="str"><v>AZR</v></cell><cell r="V4180" t="str"><v>Retargeting</v></cell><cell r="W4180" t="str"><v>NotApplicable</v></cell><cell r="X4180" t="str"><v>1x1</v></cell></row><row r="4180"><cell r="AA4180"><v>43311</v></cell><cell r="AB4180" t="str"><v>CAN_gaPMG_AZR_AZR_Q1_19_Trial-Social</v></cell><cell r="AC4180"><v>21337220</v></cell><cell r="AD4180"><v>720192</v></cell><cell r="AE4180" t="str"><v>Facebook</v></cell><cell r="AF4180"><v>3654128</v></cell><cell r="AG4180" t="str"><v>Facebook»AZR»1x1»SocialBan»NA»ALL»DYN»RT»D»All»SS»NA» Free Account Retargeting OSS - T1 - EN</v></cell><cell r="AH4180"><v>223691828</v></cell><cell r="AI4180" t="str"><v>AzurePlatform_FreeAcctRetargetingOSSFB-Text-ChF_CAN_1200x628_SOC_Plat_EN_Free Account_Standard_NA_SU_T1_1</v></cell><cell r="AJ4180"><v>102902956</v></cell></row><row r="4181"><cell r="C4181" t="str"><v>43311Facebook»AZR»1x1»SocialBan»NA»ALL»DYN»RT»D»All»SS»NA»Free Account Retargeting Generic - T2 - EN</v></cell><cell r="D4181" t="str"><v>43311223691834</v></cell><cell r="E4181" t="str"><v>433111029029532 - EN</v></cell><cell r="F4181" t="str"><v>DCM</v></cell><cell r="G4181" t="str"><v>https://azure.microsoft.com/en-CA/free/search/</v></cell></row><row r="4181"><cell r="K4181" t="str"><v>July</v></cell><cell r="L4181"><v>43316</v></cell><cell r="M4181" t="str"><v>Tier 1</v></cell><cell r="N4181" t="str"><v>North America</v></cell><cell r="O4181" t="str"><v>Canada</v></cell><cell r="P4181" t="str"><v>Trial</v></cell><cell r="Q4181" t="str"><v>Social</v></cell><cell r="R4181" t="str"><v>Azure</v></cell><cell r="S4181" t="str"><v>Apps & Infra</v></cell><cell r="T4181" t="str"><v>Developers & ITI's</v></cell><cell r="U4181" t="str"><v>AZR</v></cell><cell r="V4181" t="str"><v>Retargeting</v></cell><cell r="W4181" t="str"><v>NotApplicable</v></cell><cell r="X4181" t="str"><v>1x1</v></cell></row><row r="4181"><cell r="AA4181"><v>43311</v></cell><cell r="AB4181" t="str"><v>CAN_gaPMG_AZR_AZR_Q1_19_Trial-Social</v></cell><cell r="AC4181"><v>21337220</v></cell><cell r="AD4181"><v>720192</v></cell><cell r="AE4181" t="str"><v>Facebook</v></cell><cell r="AF4181"><v>3654128</v></cell><cell r="AG4181" t="str"><v>Facebook»AZR»1x1»SocialBan»NA»ALL»DYN»RT»D»All»SS»NA»Free Account Retargeting Generic - T2 - EN</v></cell><cell r="AH4181"><v>223691834</v></cell><cell r="AI4181" t="str"><v>AzurePlatform_FreeAcctRetargetingFB-GlobalAlt-ChB_CAN_1200x628_SOC_Plat_EN_Free Account_Standard_NA_SU_T2_1</v></cell><cell r="AJ4181"><v>102902953</v></cell></row><row r="4182"><cell r="C4182" t="str"><v>43311Facebook»AZR»1x1»SocialBan»NA»ALL»DYN»RT»D»All»SS»NA»Free Account Retargeting Generic - T3 - FR</v></cell><cell r="D4182" t="str"><v>43311223691777</v></cell><cell r="E4182" t="str"><v>433111029006973 - FR</v></cell><cell r="F4182" t="str"><v>DCM</v></cell><cell r="G4182" t="str"><v>https://azure.microsoft.com/fr-ca/free/search/</v></cell></row><row r="4182"><cell r="K4182" t="str"><v>July</v></cell><cell r="L4182"><v>43316</v></cell><cell r="M4182" t="str"><v>Tier 1</v></cell><cell r="N4182" t="str"><v>North America</v></cell><cell r="O4182" t="str"><v>Canada</v></cell><cell r="P4182" t="str"><v>Trial</v></cell><cell r="Q4182" t="str"><v>Social</v></cell><cell r="R4182" t="str"><v>Azure</v></cell><cell r="S4182" t="str"><v>Apps & Infra</v></cell><cell r="T4182" t="str"><v>Developers & ITI's</v></cell><cell r="U4182" t="str"><v>AZR</v></cell><cell r="V4182" t="str"><v>Retargeting</v></cell><cell r="W4182" t="str"><v>NotApplicable</v></cell><cell r="X4182" t="str"><v>1x1</v></cell></row><row r="4182"><cell r="AA4182"><v>43311</v></cell><cell r="AB4182" t="str"><v>CAN_gaPMG_AZR_AZR_Q1_19_Trial-Social</v></cell><cell r="AC4182"><v>21337220</v></cell><cell r="AD4182"><v>720192</v></cell><cell r="AE4182" t="str"><v>Facebook</v></cell><cell r="AF4182"><v>3654128</v></cell><cell r="AG4182" t="str"><v>Facebook»AZR»1x1»SocialBan»NA»ALL»DYN»RT»D»All»SS»NA»Free Account Retargeting Generic - T3 - FR</v></cell><cell r="AH4182"><v>223691777</v></cell><cell r="AI4182" t="str"><v>AzurePlatform_FreeAcctRetargetingFB-Animated-ChC_CAN_1200x628_SOC_Plat_FR_Free Account_Standard_ANI_SU_T3_1</v></cell><cell r="AJ4182"><v>102900697</v></cell></row><row r="4183"><cell r="C4183" t="str"><v>43311Facebook»AZR»1x1»SocialBan»NA»ALL»DYN»RT»D»All»SS»NA»Free Account Retargeting VM - T1 - EN</v></cell><cell r="D4183" t="str"><v>43311223691825</v></cell><cell r="E4183" t="str"><v>433111029163381 - EN</v></cell><cell r="F4183" t="str"><v>DCM</v></cell><cell r="G4183" t="str"><v>https://azure.microsoft.com/en-ca/free/virtual-machines/search/</v></cell></row><row r="4183"><cell r="K4183" t="str"><v>July</v></cell><cell r="L4183"><v>43316</v></cell><cell r="M4183" t="str"><v>Tier 1</v></cell><cell r="N4183" t="str"><v>North America</v></cell><cell r="O4183" t="str"><v>Canada</v></cell><cell r="P4183" t="str"><v>Trial</v></cell><cell r="Q4183" t="str"><v>Social</v></cell><cell r="R4183" t="str"><v>Azure</v></cell><cell r="S4183" t="str"><v>Apps & Infra</v></cell><cell r="T4183" t="str"><v>Developers & ITI's</v></cell><cell r="U4183" t="str"><v>AZR</v></cell><cell r="V4183" t="str"><v>Retargeting</v></cell><cell r="W4183" t="str"><v>NotApplicable</v></cell><cell r="X4183" t="str"><v>1x1</v></cell></row><row r="4183"><cell r="AA4183"><v>43311</v></cell><cell r="AB4183" t="str"><v>CAN_gaPMG_AZR_AZR_Q1_19_Trial-Social</v></cell><cell r="AC4183"><v>21337220</v></cell><cell r="AD4183"><v>720192</v></cell><cell r="AE4183" t="str"><v>Facebook</v></cell><cell r="AF4183"><v>3654128</v></cell><cell r="AG4183" t="str"><v>Facebook»AZR»1x1»SocialBan»NA»ALL»DYN»RT»D»All»SS»NA»Free Account Retargeting VM - T1 - EN</v></cell><cell r="AH4183"><v>223691825</v></cell><cell r="AI4183" t="str"><v>AzurePlatform_FreeAcctRetargetingVMFB-750Hrs-ChD_CAN_1200x628_SOC_Plat_EN_Free Account_Standard_NA_SU_T1_1</v></cell><cell r="AJ4183"><v>102916338</v></cell></row><row r="4184"><cell r="C4184" t="str"><v>43311Facebook»DEV-ITP-AZR-FB|CanvasAds|Interesttargeting»1x1»TextLink»CAN»DT»CPM»AUT»W»NA»SS»NA»39684020-11000</v></cell><cell r="D4184" t="str"><v>43311224009494</v></cell><cell r="E4184" t="str"><v>43311103236186-11000</v></cell><cell r="F4184" t="str"><v>DCM</v></cell><cell r="G4184" t="str"><v>https://signup.azure.com/signup?offer=ms-azr-0044p&appId=102&ref=paidmedia-social-fb&redirectURL=https%3a%2f%2fazure.microsoft.com%2fde-de%2fget-started%2fwelcome-to-azure%2f&l=de-de&correlationId=ead86c34-1f10-49dd-a72b-6918462a2cbf</v></cell></row><row r="4184"><cell r="K4184" t="str"><v>July</v></cell><cell r="L4184"><v>43316</v></cell><cell r="M4184" t="str"><v>Tier 1</v></cell><cell r="N4184" t="str"><v>EMEA</v></cell><cell r="O4184" t="str"><v>Germany</v></cell><cell r="P4184" t="str"><v>Trial</v></cell><cell r="Q4184" t="str"><v>Social</v></cell><cell r="R4184" t="str"><v>Azure</v></cell><cell r="S4184" t="str"><v>Apps & Infra</v></cell><cell r="T4184" t="str"><v>Developers & ITI's</v></cell><cell r="U4184" t="str"><v>DEV-ITP-AZR-FB|CanvasAds|Interesttargeting</v></cell><cell r="V4184" t="str"><v>Audience Targeting</v></cell><cell r="W4184" t="str"><v>Canvas Ad</v></cell><cell r="X4184" t="str"><v>1x1</v></cell></row><row r="4184"><cell r="AA4184"><v>43311</v></cell><cell r="AB4184" t="str"><v>DEU_gaPMG_AZR_AZR_Q1_19_Trial-Social- 39684</v></cell><cell r="AC4184"><v>21359477</v></cell><cell r="AD4184"><v>720194</v></cell><cell r="AE4184" t="str"><v>Facebook</v></cell><cell r="AF4184"><v>3654128</v></cell><cell r="AG4184" t="str"><v>Facebook»DEV-ITP-AZR-FB|CanvasAds|Interesttargeting»1x1»TextLink»CAN»DT»CPM»AUT»W»NA»SS»NA»39684020-11000</v></cell><cell r="AH4184"><v>224009494</v></cell><cell r="AI4184" t="str"><v>AzurePlatform_FBCTCBasicMotion-StartFreeCT_DEU_10s_ISV_PLAT_DE_Trial_Standard_STAN_TN_T1_1</v></cell><cell r="AJ4184"><v>103236186</v></cell></row><row r="4185"><cell r="C4185" t="str"><v>43311Facebook»DEV-ITP-AZR-FB|CanvasAds|Interesttargeting»1x1»TextLink»CAN»DT»CPM»AUT»W»NA»SS»NA»39684020-11000</v></cell><cell r="D4185" t="str"><v>43311224009494</v></cell><cell r="E4185" t="str"><v>43311103236189-11000</v></cell><cell r="F4185" t="str"><v>DCM</v></cell><cell r="G4185" t="str"><v>https://azure.microsoft.com/de-de/pricing/purchase-options/</v></cell></row><row r="4185"><cell r="K4185" t="str"><v>July</v></cell><cell r="L4185"><v>43316</v></cell><cell r="M4185" t="str"><v>Tier 1</v></cell><cell r="N4185" t="str"><v>EMEA</v></cell><cell r="O4185" t="str"><v>Germany</v></cell><cell r="P4185" t="str"><v>Trial</v></cell><cell r="Q4185" t="str"><v>Social</v></cell><cell r="R4185" t="str"><v>Azure</v></cell><cell r="S4185" t="str"><v>Apps & Infra</v></cell><cell r="T4185" t="str"><v>Developers & ITI's</v></cell><cell r="U4185" t="str"><v>DEV-ITP-AZR-FB|CanvasAds|Interesttargeting</v></cell><cell r="V4185" t="str"><v>Audience Targeting</v></cell><cell r="W4185" t="str"><v>Canvas Ad</v></cell><cell r="X4185" t="str"><v>1x1</v></cell></row><row r="4185"><cell r="AA4185"><v>43311</v></cell><cell r="AB4185" t="str"><v>DEU_gaPMG_AZR_AZR_Q1_19_Trial-Social- 39684</v></cell><cell r="AC4185"><v>21359477</v></cell><cell r="AD4185"><v>720194</v></cell><cell r="AE4185" t="str"><v>Facebook</v></cell><cell r="AF4185"><v>3654128</v></cell><cell r="AG4185" t="str"><v>Facebook»DEV-ITP-AZR-FB|CanvasAds|Interesttargeting»1x1»TextLink»CAN»DT»CPM»AUT»W»NA»SS»NA»39684020-11000</v></cell><cell r="AH4185"><v>224009494</v></cell><cell r="AI4185" t="str"><v>AzurePlatform_FBCTCBenefit2inMotion-BuyNow_DEU_14s_ISV_PLAT_DE_Trial_Standard_STAN_TN_T4_1</v></cell><cell r="AJ4185"><v>103236189</v></cell></row><row r="4186"><cell r="C4186" t="str"><v>43311Facebook»DEV-ITP-AZR-FB|CanvasAds|Interesttargeting»1x1»TextLink»CAN»DT»CPM»AUT»W»NA»SS»NA»39684020-11000</v></cell><cell r="D4186" t="str"><v>43311224009494</v></cell><cell r="E4186" t="str"><v>43311103237290-11000</v></cell><cell r="F4186" t="str"><v>DCM</v></cell><cell r="G4186" t="str"><v>https://signup.azure.com/signup?offer=ms-azr-0044p&appId=102&ref=paidmedia-social-fb&redirectURL=https%3a%2f%2fazure.microsoft.com%2fde-de%2fget-started%2fwelcome-to-azure%2f&l=de-de&correlationId=ead86c34-1f10-49dd-a72b-6918462a2cbf</v></cell></row><row r="4186"><cell r="K4186" t="str"><v>July</v></cell><cell r="L4186"><v>43316</v></cell><cell r="M4186" t="str"><v>Tier 1</v></cell><cell r="N4186" t="str"><v>EMEA</v></cell><cell r="O4186" t="str"><v>Germany</v></cell><cell r="P4186" t="str"><v>Trial</v></cell><cell r="Q4186" t="str"><v>Social</v></cell><cell r="R4186" t="str"><v>Azure</v></cell><cell r="S4186" t="str"><v>Apps & Infra</v></cell><cell r="T4186" t="str"><v>Developers & ITI's</v></cell><cell r="U4186" t="str"><v>DEV-ITP-AZR-FB|CanvasAds|Interesttargeting</v></cell><cell r="V4186" t="str"><v>Audience Targeting</v></cell><cell r="W4186" t="str"><v>Canvas Ad</v></cell><cell r="X4186" t="str"><v>1x1</v></cell></row><row r="4186"><cell r="AA4186"><v>43311</v></cell><cell r="AB4186" t="str"><v>DEU_gaPMG_AZR_AZR_Q1_19_Trial-Social- 39684</v></cell><cell r="AC4186"><v>21359477</v></cell><cell r="AD4186"><v>720194</v></cell><cell r="AE4186" t="str"><v>Facebook</v></cell><cell r="AF4186"><v>3654128</v></cell><cell r="AG4186" t="str"><v>Facebook»DEV-ITP-AZR-FB|CanvasAds|Interesttargeting»1x1»TextLink»CAN»DT»CPM»AUT»W»NA»SS»NA»39684020-11000</v></cell><cell r="AH4186"><v>224009494</v></cell><cell r="AI4186" t="str"><v>AzurePlatform_FBCTCBenefit2inMotion-StartFreeCT_DEU_14s_ISV_PLAT_DE_Trial_Standard_STAN_TN_T4_1</v></cell><cell r="AJ4186"><v>103237290</v></cell></row><row r="4187"><cell r="C4187" t="str"><v>43311Facebook»DEV-ITP-AZR-FB|CanvasAds|Interesttargeting»1x1»TextLink»CAN»DT»CPM»AUT»W»NA»SS»NA»39684020-11000</v></cell><cell r="D4187" t="str"><v>43311224009494</v></cell><cell r="E4187" t="str"><v>43311103350059-11000</v></cell><cell r="F4187" t="str"><v>DCM</v></cell><cell r="G4187" t="str"><v>https://azure.microsoft.com/de-de/pricing/purchase-options/</v></cell></row><row r="4187"><cell r="K4187" t="str"><v>July</v></cell><cell r="L4187"><v>43316</v></cell><cell r="M4187" t="str"><v>Tier 1</v></cell><cell r="N4187" t="str"><v>EMEA</v></cell><cell r="O4187" t="str"><v>Germany</v></cell><cell r="P4187" t="str"><v>Trial</v></cell><cell r="Q4187" t="str"><v>Social</v></cell><cell r="R4187" t="str"><v>Azure</v></cell><cell r="S4187" t="str"><v>Apps & Infra</v></cell><cell r="T4187" t="str"><v>Developers & ITI's</v></cell><cell r="U4187" t="str"><v>DEV-ITP-AZR-FB|CanvasAds|Interesttargeting</v></cell><cell r="V4187" t="str"><v>Audience Targeting</v></cell><cell r="W4187" t="str"><v>Canvas Ad</v></cell><cell r="X4187" t="str"><v>1x1</v></cell></row><row r="4187"><cell r="AA4187"><v>43311</v></cell><cell r="AB4187" t="str"><v>DEU_gaPMG_AZR_AZR_Q1_19_Trial-Social- 39684</v></cell><cell r="AC4187"><v>21359477</v></cell><cell r="AD4187"><v>720194</v></cell><cell r="AE4187" t="str"><v>Facebook</v></cell><cell r="AF4187"><v>3654128</v></cell><cell r="AG4187" t="str"><v>Facebook»DEV-ITP-AZR-FB|CanvasAds|Interesttargeting»1x1»TextLink»CAN»DT»CPM»AUT»W»NA»SS»NA»39684020-11000</v></cell><cell r="AH4187"><v>224009494</v></cell><cell r="AI4187" t="str"><v>AzurePlatform_FBCTCBrandinMotion-BuyNow_DEU_12s_ISV_PLAT_DE_Trial_Standard_STAN_TN_T2_1</v></cell><cell r="AJ4187"><v>103350059</v></cell></row><row r="4188"><cell r="C4188" t="str"><v>43311Facebook»DEV-ITP-AZR-FB|CanvasAds|Interesttargeting»1x1»TextLink»CAN»DT»CPM»AUT»W»NA»SS»NA»39684020-11000</v></cell><cell r="D4188" t="str"><v>43311224009494</v></cell><cell r="E4188" t="str"><v>43311103237293-11000</v></cell><cell r="F4188" t="str"><v>DCM</v></cell><cell r="G4188" t="str"><v>https://signup.azure.com/signup?offer=ms-azr-0044p&appId=102&ref=paidmedia-social-fb&redirectURL=https%3a%2f%2fazure.microsoft.com%2fde-de%2fget-started%2fwelcome-to-azure%2f&l=de-de&correlationId=ead86c34-1f10-49dd-a72b-6918462a2cbf</v></cell></row><row r="4188"><cell r="K4188" t="str"><v>July</v></cell><cell r="L4188"><v>43316</v></cell><cell r="M4188" t="str"><v>Tier 1</v></cell><cell r="N4188" t="str"><v>EMEA</v></cell><cell r="O4188" t="str"><v>Germany</v></cell><cell r="P4188" t="str"><v>Trial</v></cell><cell r="Q4188" t="str"><v>Social</v></cell><cell r="R4188" t="str"><v>Azure</v></cell><cell r="S4188" t="str"><v>Apps & Infra</v></cell><cell r="T4188" t="str"><v>Developers & ITI's</v></cell><cell r="U4188" t="str"><v>DEV-ITP-AZR-FB|CanvasAds|Interesttargeting</v></cell><cell r="V4188" t="str"><v>Audience Targeting</v></cell><cell r="W4188" t="str"><v>Canvas Ad</v></cell><cell r="X4188" t="str"><v>1x1</v></cell></row><row r="4188"><cell r="AA4188"><v>43311</v></cell><cell r="AB4188" t="str"><v>DEU_gaPMG_AZR_AZR_Q1_19_Trial-Social- 39684</v></cell><cell r="AC4188"><v>21359477</v></cell><cell r="AD4188"><v>720194</v></cell><cell r="AE4188" t="str"><v>Facebook</v></cell><cell r="AF4188"><v>3654128</v></cell><cell r="AG4188" t="str"><v>Facebook»DEV-ITP-AZR-FB|CanvasAds|Interesttargeting»1x1»TextLink»CAN»DT»CPM»AUT»W»NA»SS»NA»39684020-11000</v></cell><cell r="AH4188"><v>224009494</v></cell><cell r="AI4188" t="str"><v>AzurePlatform_FBCTCBrandinMotion-StartFreeCT_DEU_12s_ISV_PLAT_DE_Trial_Standard_STAN_TN_T2_1</v></cell><cell r="AJ4188"><v>103237293</v></cell></row><row r="4189"><cell r="C4189" t="str"><v>43311Facebook»DEV-ITP-AZR-FB|LinkAd|CustomerAudienceRetargeting»1x1»TextLink»LIA»DT»CPM»RT»W»NA»SS»NA»39684019-11000</v></cell><cell r="D4189" t="str"><v>43311224010415</v></cell><cell r="E4189" t="str"><v>43311103048548-11000</v></cell><cell r="F4189" t="str"><v>DCM</v></cell><cell r="G4189" t="str"><v>https://azure.microsoft.com/de-de/free/search/</v></cell></row><row r="4189"><cell r="K4189" t="str"><v>July</v></cell><cell r="L4189"><v>43316</v></cell><cell r="M4189" t="str"><v>Tier 1</v></cell><cell r="N4189" t="str"><v>EMEA</v></cell><cell r="O4189" t="str"><v>Germany</v></cell><cell r="P4189" t="str"><v>Trial</v></cell><cell r="Q4189" t="str"><v>Social</v></cell><cell r="R4189" t="str"><v>Azure</v></cell><cell r="S4189" t="str"><v>Apps & Infra</v></cell><cell r="T4189" t="str"><v>Developers & ITI's</v></cell><cell r="U4189" t="str"><v>DEV-ITP-AZR-FB|LinkAd|CustomerAudienceRetargeting</v></cell><cell r="V4189" t="str"><v>Retargeting</v></cell><cell r="W4189" t="str"><v>Link Ad</v></cell><cell r="X4189" t="str"><v>1x1</v></cell></row><row r="4189"><cell r="AA4189"><v>43311</v></cell><cell r="AB4189" t="str"><v>DEU_gaPMG_AZR_AZR_Q1_19_Trial-Social- 39684</v></cell><cell r="AC4189"><v>21359477</v></cell><cell r="AD4189"><v>720194</v></cell><cell r="AE4189" t="str"><v>Facebook</v></cell><cell r="AF4189"><v>3654128</v></cell><cell r="AG4189" t="str"><v>Facebook»DEV-ITP-AZR-FB|LinkAd|CustomerAudienceRetargeting»1x1»TextLink»LIA»DT»CPM»RT»W»NA»SS»NA»39684019-11000</v></cell><cell r="AH4189"><v>224010415</v></cell><cell r="AI4189" t="str"><v>AzurePlatform_FreeAcctRetargetingFB-Animated-ChC_DEU_1200x628_SOC_Plat_DE_Free Account_Standard_ANI_SNU_T3_1</v></cell><cell r="AJ4189"><v>103048548</v></cell></row><row r="4190"><cell r="C4190" t="str"><v>43311Facebook»DEV-ITP-AZR-FB|LinkAd|CustomerAudienceRetargeting»1x1»TextLink»LIA»DT»CPM»RT»W»NA»SS»NA»39684019-11000</v></cell><cell r="D4190" t="str"><v>43311224010415</v></cell><cell r="E4190" t="str"><v>43311103040320-11000</v></cell><cell r="F4190" t="str"><v>DCM</v></cell><cell r="G4190" t="str"><v>https://azure.microsoft.com/de-de/free/search/</v></cell></row><row r="4190"><cell r="K4190" t="str"><v>July</v></cell><cell r="L4190"><v>43316</v></cell><cell r="M4190" t="str"><v>Tier 1</v></cell><cell r="N4190" t="str"><v>EMEA</v></cell><cell r="O4190" t="str"><v>Germany</v></cell><cell r="P4190" t="str"><v>Trial</v></cell><cell r="Q4190" t="str"><v>Social</v></cell><cell r="R4190" t="str"><v>Azure</v></cell><cell r="S4190" t="str"><v>Apps & Infra</v></cell><cell r="T4190" t="str"><v>Developers & ITI's</v></cell><cell r="U4190" t="str"><v>DEV-ITP-AZR-FB|LinkAd|CustomerAudienceRetargeting</v></cell><cell r="V4190" t="str"><v>Retargeting</v></cell><cell r="W4190" t="str"><v>Link Ad</v></cell><cell r="X4190" t="str"><v>1x1</v></cell></row><row r="4190"><cell r="AA4190"><v>43311</v></cell><cell r="AB4190" t="str"><v>DEU_gaPMG_AZR_AZR_Q1_19_Trial-Social- 39684</v></cell><cell r="AC4190"><v>21359477</v></cell><cell r="AD4190"><v>720194</v></cell><cell r="AE4190" t="str"><v>Facebook</v></cell><cell r="AF4190"><v>3654128</v></cell><cell r="AG4190" t="str"><v>Facebook»DEV-ITP-AZR-FB|LinkAd|CustomerAudienceRetargeting»1x1»TextLink»LIA»DT»CPM»RT»W»NA»SS»NA»39684019-11000</v></cell><cell r="AH4190"><v>224010415</v></cell><cell r="AI4190" t="str"><v>AzurePlatform_FreeAcctRetargetingFB-GlobalAlt-ChB_DEU_1200x628_SOC_Plat_DE_Free Account_Standard_NA_SNU_T2_1</v></cell><cell r="AJ4190"><v>103040320</v></cell></row><row r="4191"><cell r="C4191" t="str"><v>43311Facebook»DEV-ITP-AZR-FB|LinkAd|CustomerAudienceRetargeting»1x1»TextLink»LIA»DT»CPM»RT»W»NA»SS»NA»39684019-11000</v></cell><cell r="D4191" t="str"><v>43311224010415</v></cell><cell r="E4191" t="str"><v>43311103043341-11000</v></cell><cell r="F4191" t="str"><v>DCM</v></cell><cell r="G4191" t="str"><v>https://azure.microsoft.com/de-de/free/virtual-machines/search/</v></cell></row><row r="4191"><cell r="K4191" t="str"><v>July</v></cell><cell r="L4191"><v>43316</v></cell><cell r="M4191" t="str"><v>Tier 1</v></cell><cell r="N4191" t="str"><v>EMEA</v></cell><cell r="O4191" t="str"><v>Germany</v></cell><cell r="P4191" t="str"><v>Trial</v></cell><cell r="Q4191" t="str"><v>Social</v></cell><cell r="R4191" t="str"><v>Azure</v></cell><cell r="S4191" t="str"><v>Apps & Infra</v></cell><cell r="T4191" t="str"><v>Developers & ITI's</v></cell><cell r="U4191" t="str"><v>DEV-ITP-AZR-FB|LinkAd|CustomerAudienceRetargeting</v></cell><cell r="V4191" t="str"><v>Retargeting</v></cell><cell r="W4191" t="str"><v>Link Ad</v></cell><cell r="X4191" t="str"><v>1x1</v></cell></row><row r="4191"><cell r="AA4191"><v>43311</v></cell><cell r="AB4191" t="str"><v>DEU_gaPMG_AZR_AZR_Q1_19_Trial-Social- 39684</v></cell><cell r="AC4191"><v>21359477</v></cell><cell r="AD4191"><v>720194</v></cell><cell r="AE4191" t="str"><v>Facebook</v></cell><cell r="AF4191"><v>3654128</v></cell><cell r="AG4191" t="str"><v>Facebook»DEV-ITP-AZR-FB|LinkAd|CustomerAudienceRetargeting»1x1»TextLink»LIA»DT»CPM»RT»W»NA»SS»NA»39684019-11000</v></cell><cell r="AH4191"><v>224010415</v></cell><cell r="AI4191" t="str"><v>AzurePlatform_FreeAcctRetargetingVMFB-750Hrs-ChD_DEU_1200x628_SOC_Plat_DE_Free Account_Standard_NA_SNU_T1_1</v></cell><cell r="AJ4191"><v>103043341</v></cell></row><row r="4192"><cell r="C4192" t="str"><v>43311Facebook»DEV-ITP-AZR-FB|LinkAd|CustomerAudienceRetargeting»1x1»TextLink»LIA»DT»CPM»RT»W»NA»SS»NA»39684019-11000</v></cell><cell r="D4192" t="str"><v>43311224010415</v></cell><cell r="E4192" t="str"><v>43311103043338-11000</v></cell><cell r="F4192" t="str"><v>DCM</v></cell><cell r="G4192" t="str"><v>https://azure.microsoft.com/de-de/free/virtual-machines/search/</v></cell></row><row r="4192"><cell r="K4192" t="str"><v>July</v></cell><cell r="L4192"><v>43316</v></cell><cell r="M4192" t="str"><v>Tier 1</v></cell><cell r="N4192" t="str"><v>EMEA</v></cell><cell r="O4192" t="str"><v>Germany</v></cell><cell r="P4192" t="str"><v>Trial</v></cell><cell r="Q4192" t="str"><v>Social</v></cell><cell r="R4192" t="str"><v>Azure</v></cell><cell r="S4192" t="str"><v>Apps & Infra</v></cell><cell r="T4192" t="str"><v>Developers & ITI's</v></cell><cell r="U4192" t="str"><v>DEV-ITP-AZR-FB|LinkAd|CustomerAudienceRetargeting</v></cell><cell r="V4192" t="str"><v>Retargeting</v></cell><cell r="W4192" t="str"><v>Link Ad</v></cell><cell r="X4192" t="str"><v>1x1</v></cell></row><row r="4192"><cell r="AA4192"><v>43311</v></cell><cell r="AB4192" t="str"><v>DEU_gaPMG_AZR_AZR_Q1_19_Trial-Social- 39684</v></cell><cell r="AC4192"><v>21359477</v></cell><cell r="AD4192"><v>720194</v></cell><cell r="AE4192" t="str"><v>Facebook</v></cell><cell r="AF4192"><v>3654128</v></cell><cell r="AG4192" t="str"><v>Facebook»DEV-ITP-AZR-FB|LinkAd|CustomerAudienceRetargeting»1x1»TextLink»LIA»DT»CPM»RT»W»NA»SS»NA»39684019-11000</v></cell><cell r="AH4192"><v>224010415</v></cell><cell r="AI4192" t="str"><v>AzurePlatform_FreeAcctRetargetingVMFB-OnDemand-ChE_DEU_1200x628_SOC_Plat_DE_Free Account_Standard_NA_SNU_T2_1</v></cell><cell r="AJ4192"><v>103043338</v></cell></row><row r="4193"><cell r="C4193" t="str"><v>43311Facebook»Audience & Interest Targeting»1x1»SocialBan»LIA»DT»CPC»AUT»W»NA»SS»NA»Basic Motion</v></cell><cell r="D4193" t="str"><v>43311224399962</v></cell><cell r="E4193" t="str"><v>43311103235146Motion</v></cell><cell r="F4193" t="str"><v>DCM</v></cell><cell r="G4193" t="str"><v>https://signup.azure.com/signup?offer=ms-azr-0044p&appId=102&ref=paidmedia-social-fb&redirectURL=https%3a%2f%2fazure.microsoft.com%2fen-gb%2fget-started%2fwelcome-to-azure%2f&l=en-gb&correlationId=ead86c34-1f10-49dd-a72b-6918462a2cbf</v></cell></row><row r="4193"><cell r="K4193" t="str"><v>July</v></cell><cell r="L4193"><v>43316</v></cell><cell r="M4193" t="str"><v>Tier 1</v></cell><cell r="N4193" t="str"><v>EMEA</v></cell><cell r="O4193" t="str"><v>United Kingdom</v></cell><cell r="P4193" t="str"><v>Trial</v></cell><cell r="Q4193" t="str"><v>Social</v></cell><cell r="R4193" t="str"><v>Azure</v></cell><cell r="S4193" t="str"><v>Apps & Infra</v></cell><cell r="T4193" t="str"><v>Developers & ITI's</v></cell><cell r="U4193" t="str"><v>Audience & Interest Targeting</v></cell><cell r="V4193" t="str"><v>Audience Targeting</v></cell><cell r="W4193" t="str"><v>Link Ad</v></cell><cell r="X4193" t="str"><v>1x1</v></cell></row><row r="4193"><cell r="AA4193"><v>43311</v></cell><cell r="AB4193" t="str"><v>GBR_gaPMG_CE_AZR_Q1_19_Trial-Social</v></cell><cell r="AC4193"><v>21337013</v></cell><cell r="AD4193"><v>720196</v></cell><cell r="AE4193" t="str"><v>Facebook</v></cell><cell r="AF4193"><v>3654128</v></cell><cell r="AG4193" t="str"><v>Facebook»Audience & Interest Targeting»1x1»SocialBan»LIA»DT»CPC»AUT»W»NA»SS»NA»Basic Motion</v></cell><cell r="AH4193"><v>224399962</v></cell><cell r="AI4193" t="str"><v>AzurePlatform_FBCTCcanvaspage-StartFreeCTA-Img2_GBR_1080x143 _SOC_Plat_English_NA_Standard_NA_NA_T2_1</v></cell><cell r="AJ4193"><v>103235146</v></cell></row><row r="4194"><cell r="C4194" t="str"><v>43311Facebook»Audience & Interest Targeting»1x1»SocialBan»LIA»DT»CPC»AUT»W»NA»SS»NA»Benefit 2 in Motion</v></cell><cell r="D4194" t="str"><v>43311224334170</v></cell><cell r="E4194" t="str"><v>43311103235146Motion</v></cell><cell r="F4194" t="str"><v>DCM</v></cell><cell r="G4194" t="str"><v>https://signup.azure.com/signup?offer=ms-azr-0044p&appId=102&ref=paidmedia-social-fb&redirectURL=https%3a%2f%2fazure.microsoft.com%2fen-gb%2fget-started%2fwelcome-to-azure%2f&l=en-gb&correlationId=ead86c34-1f10-49dd-a72b-6918462a2cbf</v></cell></row><row r="4194"><cell r="K4194" t="str"><v>July</v></cell><cell r="L4194"><v>43316</v></cell><cell r="M4194" t="str"><v>Tier 1</v></cell><cell r="N4194" t="str"><v>EMEA</v></cell><cell r="O4194" t="str"><v>United Kingdom</v></cell><cell r="P4194" t="str"><v>Trial</v></cell><cell r="Q4194" t="str"><v>Social</v></cell><cell r="R4194" t="str"><v>Azure</v></cell><cell r="S4194" t="str"><v>Apps & Infra</v></cell><cell r="T4194" t="str"><v>Developers & ITI's</v></cell><cell r="U4194" t="str"><v>Audience & Interest Targeting</v></cell><cell r="V4194" t="str"><v>Audience Targeting</v></cell><cell r="W4194" t="str"><v>Link Ad</v></cell><cell r="X4194" t="str"><v>1x1</v></cell></row><row r="4194"><cell r="AA4194"><v>43311</v></cell><cell r="AB4194" t="str"><v>GBR_gaPMG_CE_AZR_Q1_19_Trial-Social</v></cell><cell r="AC4194"><v>21337013</v></cell><cell r="AD4194"><v>720196</v></cell><cell r="AE4194" t="str"><v>Facebook</v></cell><cell r="AF4194"><v>3654128</v></cell><cell r="AG4194" t="str"><v>Facebook»Audience & Interest Targeting»1x1»SocialBan»LIA»DT»CPC»AUT»W»NA»SS»NA»Benefit 2 in Motion</v></cell><cell r="AH4194"><v>224334170</v></cell><cell r="AI4194" t="str"><v>AzurePlatform_FBCTCcanvaspage-StartFreeCTA-Img2_GBR_1080x143 _SOC_Plat_English_NA_Standard_NA_NA_T2_1</v></cell><cell r="AJ4194"><v>103235146</v></cell></row><row r="4195"><cell r="C4195" t="str"><v>43311Facebook»Audience & Interest Targeting»1x1»SocialBan»LIA»DT»CPC»AUT»W»NA»SS»NA»Brand in Motion</v></cell><cell r="D4195" t="str"><v>43311224549481</v></cell><cell r="E4195" t="str"><v>43311103235146Motion</v></cell><cell r="F4195" t="str"><v>DCM</v></cell><cell r="G4195" t="str"><v>https://signup.azure.com/signup?offer=ms-azr-0044p&appId=102&ref=paidmedia-social-fb&redirectURL=https%3a%2f%2fazure.microsoft.com%2fen-gb%2fget-started%2fwelcome-to-azure%2f&l=en-gb&correlationId=ead86c34-1f10-49dd-a72b-6918462a2cbf</v></cell></row><row r="4195"><cell r="K4195" t="str"><v>July</v></cell><cell r="L4195"><v>43316</v></cell><cell r="M4195" t="str"><v>Tier 1</v></cell><cell r="N4195" t="str"><v>EMEA</v></cell><cell r="O4195" t="str"><v>United Kingdom</v></cell><cell r="P4195" t="str"><v>Trial</v></cell><cell r="Q4195" t="str"><v>Social</v></cell><cell r="R4195" t="str"><v>Azure</v></cell><cell r="S4195" t="str"><v>Apps & Infra</v></cell><cell r="T4195" t="str"><v>Developers & ITI's</v></cell><cell r="U4195" t="str"><v>Audience & Interest Targeting</v></cell><cell r="V4195" t="str"><v>Audience Targeting</v></cell><cell r="W4195" t="str"><v>Link Ad</v></cell><cell r="X4195" t="str"><v>1x1</v></cell></row><row r="4195"><cell r="AA4195"><v>43311</v></cell><cell r="AB4195" t="str"><v>GBR_gaPMG_CE_AZR_Q1_19_Trial-Social</v></cell><cell r="AC4195"><v>21337013</v></cell><cell r="AD4195"><v>720196</v></cell><cell r="AE4195" t="str"><v>Facebook</v></cell><cell r="AF4195"><v>3654128</v></cell><cell r="AG4195" t="str"><v>Facebook»Audience & Interest Targeting»1x1»SocialBan»LIA»DT»CPC»AUT»W»NA»SS»NA»Brand in Motion</v></cell><cell r="AH4195"><v>224549481</v></cell><cell r="AI4195" t="str"><v>AzurePlatform_FBCTCcanvaspage-StartFreeCTA-Img2_GBR_1080x143 _SOC_Plat_English_NA_Standard_NA_NA_T2_1</v></cell><cell r="AJ4195"><v>103235146</v></cell></row><row r="4196"><cell r="C4196" t="str"><v>43311Facebook»Audience & Interest Targeting»1x1»SocialBan»LIA»DT»DYN»AUT»W»NA»SS»NA»Free Account Refresh- 12 months ChE</v></cell><cell r="D4196" t="str"><v>43311223567691</v></cell><cell r="E4196" t="str"><v>43311102854007hs ChE</v></cell><cell r="F4196" t="str"><v>DCM</v></cell><cell r="G4196" t="str"><v>https://azure.microsoft.com/en-gb/free/search/</v></cell></row><row r="4196"><cell r="K4196" t="str"><v>July</v></cell><cell r="L4196"><v>43316</v></cell><cell r="M4196" t="str"><v>Tier 1</v></cell><cell r="N4196" t="str"><v>EMEA</v></cell><cell r="O4196" t="str"><v>United Kingdom</v></cell><cell r="P4196" t="str"><v>Trial</v></cell><cell r="Q4196" t="str"><v>Social</v></cell><cell r="R4196" t="str"><v>Azure</v></cell><cell r="S4196" t="str"><v>Apps & Infra</v></cell><cell r="T4196" t="str"><v>Developers & ITI's</v></cell><cell r="U4196" t="str"><v>Audience & Interest Targeting</v></cell><cell r="V4196" t="str"><v>Audience Targeting</v></cell><cell r="W4196" t="str"><v>Link Ad</v></cell><cell r="X4196" t="str"><v>1x1</v></cell></row><row r="4196"><cell r="AA4196"><v>43311</v></cell><cell r="AB4196" t="str"><v>GBR_gaPMG_CE_AZR_Q1_19_Trial-Social</v></cell><cell r="AC4196"><v>21337013</v></cell><cell r="AD4196"><v>720196</v></cell><cell r="AE4196" t="str"><v>Facebook</v></cell><cell r="AF4196"><v>3654128</v></cell><cell r="AG4196" t="str"><v>Facebook»Audience & Interest Targeting»1x1»SocialBan»LIA»DT»DYN»AUT»W»NA»SS»NA»Free Account Refresh- 12 months ChE</v></cell><cell r="AH4196"><v>223567691</v></cell><cell r="AI4196" t="str"><v>AzurePlatform_FreeAcctAppsFACEBOOK12monthsChE_GBR_1200x628_SOC_PLAT_EN_Trial_Standard_NA_SU_T5_1</v></cell><cell r="AJ4196"><v>102854007</v></cell></row><row r="4197"><cell r="C4197" t="str"><v>43311Facebook»Audience & Interest Targeting»1x1»SocialBan»LIA»DT»DYN»AUT»W»NA»SS»NA»Free Account Refresh- 200 Credit ChD</v></cell><cell r="D4197" t="str"><v>43311223560359</v></cell><cell r="E4197" t="str"><v>43311103005662it ChD</v></cell><cell r="F4197" t="str"><v>DCM</v></cell><cell r="G4197" t="str"><v>https://azure.microsoft.com/en-gb/free/search/</v></cell></row><row r="4197"><cell r="K4197" t="str"><v>July</v></cell><cell r="L4197"><v>43316</v></cell><cell r="M4197" t="str"><v>Tier 1</v></cell><cell r="N4197" t="str"><v>EMEA</v></cell><cell r="O4197" t="str"><v>United Kingdom</v></cell><cell r="P4197" t="str"><v>Trial</v></cell><cell r="Q4197" t="str"><v>Social</v></cell><cell r="R4197" t="str"><v>Azure</v></cell><cell r="S4197" t="str"><v>Apps & Infra</v></cell><cell r="T4197" t="str"><v>Developers & ITI's</v></cell><cell r="U4197" t="str"><v>Audience & Interest Targeting</v></cell><cell r="V4197" t="str"><v>Audience Targeting</v></cell><cell r="W4197" t="str"><v>Link Ad</v></cell><cell r="X4197" t="str"><v>1x1</v></cell></row><row r="4197"><cell r="AA4197"><v>43311</v></cell><cell r="AB4197" t="str"><v>GBR_gaPMG_CE_AZR_Q1_19_Trial-Social</v></cell><cell r="AC4197"><v>21337013</v></cell><cell r="AD4197"><v>720196</v></cell><cell r="AE4197" t="str"><v>Facebook</v></cell><cell r="AF4197"><v>3654128</v></cell><cell r="AG4197" t="str"><v>Facebook»Audience & Interest Targeting»1x1»SocialBan»LIA»DT»DYN»AUT»W»NA»SS»NA»Free Account Refresh- 200 Credit ChD</v></cell><cell r="AH4197"><v>223560359</v></cell><cell r="AI4197" t="str"><v>AzurePlatform_FreeAcctAppsFACEBOOK200CreditChD_GBR_1200x628_SOC_PLAT_EN_Trial_Standard_NA_SU_T4_1</v></cell><cell r="AJ4197"><v>103005662</v></cell></row><row r="4198"><cell r="C4198" t="str"><v>43311Facebook»Audience & Interest Targeting»1x1»SocialBan»LIA»DT»DYN»AUT»W»NA»SS»NA»Free Account Refresh- Device ChB</v></cell><cell r="D4198" t="str"><v>43311223560353</v></cell><cell r="E4198" t="str"><v>43311102854010ce ChB</v></cell><cell r="F4198" t="str"><v>DCM</v></cell><cell r="G4198" t="str"><v>https://azure.microsoft.com/en-gb/free/search/</v></cell></row><row r="4198"><cell r="K4198" t="str"><v>July</v></cell><cell r="L4198"><v>43316</v></cell><cell r="M4198" t="str"><v>Tier 1</v></cell><cell r="N4198" t="str"><v>EMEA</v></cell><cell r="O4198" t="str"><v>United Kingdom</v></cell><cell r="P4198" t="str"><v>Trial</v></cell><cell r="Q4198" t="str"><v>Social</v></cell><cell r="R4198" t="str"><v>Azure</v></cell><cell r="S4198" t="str"><v>Apps & Infra</v></cell><cell r="T4198" t="str"><v>Developers & ITI's</v></cell><cell r="U4198" t="str"><v>Audience & Interest Targeting</v></cell><cell r="V4198" t="str"><v>Audience Targeting</v></cell><cell r="W4198" t="str"><v>Link Ad</v></cell><cell r="X4198" t="str"><v>1x1</v></cell></row><row r="4198"><cell r="AA4198"><v>43311</v></cell><cell r="AB4198" t="str"><v>GBR_gaPMG_CE_AZR_Q1_19_Trial-Social</v></cell><cell r="AC4198"><v>21337013</v></cell><cell r="AD4198"><v>720196</v></cell><cell r="AE4198" t="str"><v>Facebook</v></cell><cell r="AF4198"><v>3654128</v></cell><cell r="AG4198" t="str"><v>Facebook»Audience & Interest Targeting»1x1»SocialBan»LIA»DT»DYN»AUT»W»NA»SS»NA»Free Account Refresh- Device ChB</v></cell><cell r="AH4198"><v>223560353</v></cell><cell r="AI4198" t="str"><v>AzurePlatform_FreeAcctAppsFACEBOOKDeviceChB_GBR_1200x628_SOC_PLAT_EN_Trial_Standard_NA_SU_T2_1</v></cell><cell r="AJ4198"><v>102854010</v></cell></row><row r="4199"><cell r="C4199" t="str"><v>43311Facebook»Audience & Interest Targeting»1x1»SocialBan»LIA»DT»DYN»AUT»W»NA»SS»NA»Free Account Refresh- Illustration ChC</v></cell><cell r="D4199" t="str"><v>43311223560347</v></cell><cell r="E4199" t="str"><v>43311102857037on ChC</v></cell><cell r="F4199" t="str"><v>DCM</v></cell><cell r="G4199" t="str"><v>https://azure.microsoft.com/en-gb/free/search/</v></cell></row><row r="4199"><cell r="K4199" t="str"><v>July</v></cell><cell r="L4199"><v>43316</v></cell><cell r="M4199" t="str"><v>Tier 1</v></cell><cell r="N4199" t="str"><v>EMEA</v></cell><cell r="O4199" t="str"><v>United Kingdom</v></cell><cell r="P4199" t="str"><v>Trial</v></cell><cell r="Q4199" t="str"><v>Social</v></cell><cell r="R4199" t="str"><v>Azure</v></cell><cell r="S4199" t="str"><v>Apps & Infra</v></cell><cell r="T4199" t="str"><v>Developers & ITI's</v></cell><cell r="U4199" t="str"><v>Audience & Interest Targeting</v></cell><cell r="V4199" t="str"><v>Audience Targeting</v></cell><cell r="W4199" t="str"><v>Link Ad</v></cell><cell r="X4199" t="str"><v>1x1</v></cell></row><row r="4199"><cell r="AA4199"><v>43311</v></cell><cell r="AB4199" t="str"><v>GBR_gaPMG_CE_AZR_Q1_19_Trial-Social</v></cell><cell r="AC4199"><v>21337013</v></cell><cell r="AD4199"><v>720196</v></cell><cell r="AE4199" t="str"><v>Facebook</v></cell><cell r="AF4199"><v>3654128</v></cell><cell r="AG4199" t="str"><v>Facebook»Audience & Interest Targeting»1x1»SocialBan»LIA»DT»DYN»AUT»W»NA»SS»NA»Free Account Refresh- Illustration ChC</v></cell><cell r="AH4199"><v>223560347</v></cell><cell r="AI4199" t="str"><v>AzurePlatform_FreeAcctAppsFACEBOOKIllustrationChC_GBR_1200x628_SOC_PLAT_EN_Trial_Standard_NA_SU_T3_1</v></cell><cell r="AJ4199"><v>102857037</v></cell></row><row r="4200"><cell r="C4200" t="str"><v>43311Facebook»Audience & Interest Targeting»1x1»SocialBan»LIA»DT»DYN»AUT»W»NA»SS»NA»Free Account Refresh- Lifestyle ChA</v></cell><cell r="D4200" t="str"><v>43311223560341</v></cell><cell r="E4200" t="str"><v>43311102853597le ChA</v></cell><cell r="F4200" t="str"><v>DCM</v></cell><cell r="G4200" t="str"><v>https://azure.microsoft.com/en-gb/free/search/</v></cell></row><row r="4200"><cell r="K4200" t="str"><v>July</v></cell><cell r="L4200"><v>43316</v></cell><cell r="M4200" t="str"><v>Tier 1</v></cell><cell r="N4200" t="str"><v>EMEA</v></cell><cell r="O4200" t="str"><v>United Kingdom</v></cell><cell r="P4200" t="str"><v>Trial</v></cell><cell r="Q4200" t="str"><v>Social</v></cell><cell r="R4200" t="str"><v>Azure</v></cell><cell r="S4200" t="str"><v>Apps & Infra</v></cell><cell r="T4200" t="str"><v>Developers & ITI's</v></cell><cell r="U4200" t="str"><v>Audience & Interest Targeting</v></cell><cell r="V4200" t="str"><v>Audience Targeting</v></cell><cell r="W4200" t="str"><v>Link Ad</v></cell><cell r="X4200" t="str"><v>1x1</v></cell></row><row r="4200"><cell r="AA4200"><v>43311</v></cell><cell r="AB4200" t="str"><v>GBR_gaPMG_CE_AZR_Q1_19_Trial-Social</v></cell><cell r="AC4200"><v>21337013</v></cell><cell r="AD4200"><v>720196</v></cell><cell r="AE4200" t="str"><v>Facebook</v></cell><cell r="AF4200"><v>3654128</v></cell><cell r="AG4200" t="str"><v>Facebook»Audience & Interest Targeting»1x1»SocialBan»LIA»DT»DYN»AUT»W»NA»SS»NA»Free Account Refresh- Lifestyle ChA</v></cell><cell r="AH4200"><v>223560341</v></cell><cell r="AI4200" t="str"><v>AzurePlatform_FreeAcctAppsFACEBOOKLifestyleChA_GBR_1200x628_SOC_PLAT_EN_Trial_Standard_NA_SU_T1_1</v></cell><cell r="AJ4200"><v>102853597</v></cell></row><row r="4201"><cell r="C4201" t="str"><v>43311Facebook»Retargeting»1x1»SocialBan»LIA»DT»DYN»RT»W»NA»SS»NA»Free Account Retargeting Generic- Animated ChC</v></cell><cell r="D4201" t="str"><v>43311223560299</v></cell><cell r="E4201" t="str"><v>43311102854019ed ChC</v></cell><cell r="F4201" t="str"><v>DCM</v></cell><cell r="G4201" t="str"><v>https://azure.microsoft.com/en-gb/free/search/</v></cell></row><row r="4201"><cell r="K4201" t="str"><v>July</v></cell><cell r="L4201"><v>43316</v></cell><cell r="M4201" t="str"><v>Tier 1</v></cell><cell r="N4201" t="str"><v>EMEA</v></cell><cell r="O4201" t="str"><v>United Kingdom</v></cell><cell r="P4201" t="str"><v>Trial</v></cell><cell r="Q4201" t="str"><v>Social</v></cell><cell r="R4201" t="str"><v>Azure</v></cell><cell r="S4201" t="str"><v>Apps & Infra</v></cell><cell r="T4201" t="str"><v>Developers & ITI's</v></cell><cell r="U4201" t="str"><v>Retargeting</v></cell><cell r="V4201" t="str"><v>Retargeting</v></cell><cell r="W4201" t="str"><v>Link Ad</v></cell><cell r="X4201" t="str"><v>1x1</v></cell></row><row r="4201"><cell r="AA4201"><v>43311</v></cell><cell r="AB4201" t="str"><v>GBR_gaPMG_CE_AZR_Q1_19_Trial-Social</v></cell><cell r="AC4201"><v>21337013</v></cell><cell r="AD4201"><v>720196</v></cell><cell r="AE4201" t="str"><v>Facebook</v></cell><cell r="AF4201"><v>3654128</v></cell><cell r="AG4201" t="str"><v>Facebook»Retargeting»1x1»SocialBan»LIA»DT»DYN»RT»W»NA»SS»NA»Free Account Retargeting Generic- Animated ChC</v></cell><cell r="AH4201"><v>223560299</v></cell><cell r="AI4201" t="str"><v>AzurePlatform_FreeAcctRetargetingFB-Animated-ChC_GBR_1200x628_SOC_Plat_EN_Free Account_Standard_ANI_SU_T3_1</v></cell><cell r="AJ4201"><v>102854019</v></cell></row><row r="4202"><cell r="C4202" t="str"><v>43311Facebook»Retargeting»1x1»SocialBan»LIA»DT»DYN»RT»W»NA»SS»NA»Free Account Retargeting Generic- Global Alt ChB</v></cell><cell r="D4202" t="str"><v>43311223560356</v></cell><cell r="E4202" t="str"><v>43311102854016lt ChB</v></cell><cell r="F4202" t="str"><v>DCM</v></cell><cell r="G4202" t="str"><v>https://azure.microsoft.com/en-gb/free/search/</v></cell></row><row r="4202"><cell r="K4202" t="str"><v>July</v></cell><cell r="L4202"><v>43316</v></cell><cell r="M4202" t="str"><v>Tier 1</v></cell><cell r="N4202" t="str"><v>EMEA</v></cell><cell r="O4202" t="str"><v>United Kingdom</v></cell><cell r="P4202" t="str"><v>Trial</v></cell><cell r="Q4202" t="str"><v>Social</v></cell><cell r="R4202" t="str"><v>Azure</v></cell><cell r="S4202" t="str"><v>Apps & Infra</v></cell><cell r="T4202" t="str"><v>Developers & ITI's</v></cell><cell r="U4202" t="str"><v>Retargeting</v></cell><cell r="V4202" t="str"><v>Retargeting</v></cell><cell r="W4202" t="str"><v>Link Ad</v></cell><cell r="X4202" t="str"><v>1x1</v></cell></row><row r="4202"><cell r="AA4202"><v>43311</v></cell><cell r="AB4202" t="str"><v>GBR_gaPMG_CE_AZR_Q1_19_Trial-Social</v></cell><cell r="AC4202"><v>21337013</v></cell><cell r="AD4202"><v>720196</v></cell><cell r="AE4202" t="str"><v>Facebook</v></cell><cell r="AF4202"><v>3654128</v></cell><cell r="AG4202" t="str"><v>Facebook»Retargeting»1x1»SocialBan»LIA»DT»DYN»RT»W»NA»SS»NA»Free Account Retargeting Generic- Global Alt ChB</v></cell><cell r="AH4202"><v>223560356</v></cell><cell r="AI4202" t="str"><v>AzurePlatform_FreeAcctRetargetingFB-GlobalAlt-ChB_GBR_1200x628_SOC_Plat_EN_Free Account_Standard_NA_SU_T2_1</v></cell><cell r="AJ4202"><v>102854016</v></cell></row><row r="4203"><cell r="C4203" t="str"><v>43311Facebook»Retargeting»1x1»SocialBan»LIA»DT»DYN»RT»W»NA»SS»NA»Free Account Retargeting OSS- Logos ChG</v></cell><cell r="D4203" t="str"><v>43311223560350</v></cell><cell r="E4203" t="str"><v>43311103006547os ChG</v></cell><cell r="F4203" t="str"><v>DCM</v></cell><cell r="G4203" t="str"><v>https://azure.microsoft.com/en-gb/free/open-source/search/</v></cell></row><row r="4203"><cell r="K4203" t="str"><v>July</v></cell><cell r="L4203"><v>43316</v></cell><cell r="M4203" t="str"><v>Tier 1</v></cell><cell r="N4203" t="str"><v>EMEA</v></cell><cell r="O4203" t="str"><v>United Kingdom</v></cell><cell r="P4203" t="str"><v>Trial</v></cell><cell r="Q4203" t="str"><v>Social</v></cell><cell r="R4203" t="str"><v>Azure</v></cell><cell r="S4203" t="str"><v>Apps & Infra</v></cell><cell r="T4203" t="str"><v>Developers & ITI's</v></cell><cell r="U4203" t="str"><v>Retargeting</v></cell><cell r="V4203" t="str"><v>Retargeting</v></cell><cell r="W4203" t="str"><v>Link Ad</v></cell><cell r="X4203" t="str"><v>1x1</v></cell></row><row r="4203"><cell r="AA4203"><v>43311</v></cell><cell r="AB4203" t="str"><v>GBR_gaPMG_CE_AZR_Q1_19_Trial-Social</v></cell><cell r="AC4203"><v>21337013</v></cell><cell r="AD4203"><v>720196</v></cell><cell r="AE4203" t="str"><v>Facebook</v></cell><cell r="AF4203"><v>3654128</v></cell><cell r="AG4203" t="str"><v>Facebook»Retargeting»1x1»SocialBan»LIA»DT»DYN»RT»W»NA»SS»NA»Free Account Retargeting OSS- Logos ChG</v></cell><cell r="AH4203"><v>223560350</v></cell><cell r="AI4203" t="str"><v>AzurePlatform_FreeAcctRetargetingOSSFB-Logos-ChG_GBR_1200x628_SOC_Plat_EN_Free Account_Standard_NA_SU_T2_1</v></cell><cell r="AJ4203"><v>103006547</v></cell></row><row r="4204"><cell r="C4204" t="str"><v>43311Facebook»Retargeting»1x1»SocialBan»LIA»DT»DYN»RT»W»NA»SS»NA»Free Account Retargeting OSS- Text ChF</v></cell><cell r="D4204" t="str"><v>43311223560344</v></cell><cell r="E4204" t="str"><v>43311102861246xt ChF</v></cell><cell r="F4204" t="str"><v>DCM</v></cell><cell r="G4204" t="str"><v>https://azure.microsoft.com/en-gb/free/open-source/search/</v></cell></row><row r="4204"><cell r="K4204" t="str"><v>July</v></cell><cell r="L4204"><v>43316</v></cell><cell r="M4204" t="str"><v>Tier 1</v></cell><cell r="N4204" t="str"><v>EMEA</v></cell><cell r="O4204" t="str"><v>United Kingdom</v></cell><cell r="P4204" t="str"><v>Trial</v></cell><cell r="Q4204" t="str"><v>Social</v></cell><cell r="R4204" t="str"><v>Azure</v></cell><cell r="S4204" t="str"><v>Apps & Infra</v></cell><cell r="T4204" t="str"><v>Developers & ITI's</v></cell><cell r="U4204" t="str"><v>Retargeting</v></cell><cell r="V4204" t="str"><v>Retargeting</v></cell><cell r="W4204" t="str"><v>Link Ad</v></cell><cell r="X4204" t="str"><v>1x1</v></cell></row><row r="4204"><cell r="AA4204"><v>43311</v></cell><cell r="AB4204" t="str"><v>GBR_gaPMG_CE_AZR_Q1_19_Trial-Social</v></cell><cell r="AC4204"><v>21337013</v></cell><cell r="AD4204"><v>720196</v></cell><cell r="AE4204" t="str"><v>Facebook</v></cell><cell r="AF4204"><v>3654128</v></cell><cell r="AG4204" t="str"><v>Facebook»Retargeting»1x1»SocialBan»LIA»DT»DYN»RT»W»NA»SS»NA»Free Account Retargeting OSS- Text ChF</v></cell><cell r="AH4204"><v>223560344</v></cell><cell r="AI4204" t="str"><v>AzurePlatform_FreeAcctRetargetingOSSFB-Text-ChF_GBR_1200x628_SOC_Plat_EN_Free Account_Standard_NA_SU_T1_1</v></cell><cell r="AJ4204"><v>102861246</v></cell></row><row r="4205"><cell r="C4205" t="str"><v>43311Facebook»Retargeting»1x1»SocialBan»LIA»DT»DYN»RT»W»NA»SS»NA»Free Account Retargeting VM- 750 Hrs ChD</v></cell><cell r="D4205" t="str"><v>43311223560338</v></cell><cell r="E4205" t="str"><v>43311102853603rs ChD</v></cell><cell r="F4205" t="str"><v>DCM</v></cell><cell r="G4205" t="str"><v>https://azure.microsoft.com/en-gb/free/virtual-machines/search/</v></cell></row><row r="4205"><cell r="K4205" t="str"><v>July</v></cell><cell r="L4205"><v>43316</v></cell><cell r="M4205" t="str"><v>Tier 1</v></cell><cell r="N4205" t="str"><v>EMEA</v></cell><cell r="O4205" t="str"><v>United Kingdom</v></cell><cell r="P4205" t="str"><v>Trial</v></cell><cell r="Q4205" t="str"><v>Social</v></cell><cell r="R4205" t="str"><v>Azure</v></cell><cell r="S4205" t="str"><v>Apps & Infra</v></cell><cell r="T4205" t="str"><v>Developers & ITI's</v></cell><cell r="U4205" t="str"><v>Retargeting</v></cell><cell r="V4205" t="str"><v>Retargeting</v></cell><cell r="W4205" t="str"><v>Link Ad</v></cell><cell r="X4205" t="str"><v>1x1</v></cell></row><row r="4205"><cell r="AA4205"><v>43311</v></cell><cell r="AB4205" t="str"><v>GBR_gaPMG_CE_AZR_Q1_19_Trial-Social</v></cell><cell r="AC4205"><v>21337013</v></cell><cell r="AD4205"><v>720196</v></cell><cell r="AE4205" t="str"><v>Facebook</v></cell><cell r="AF4205"><v>3654128</v></cell><cell r="AG4205" t="str"><v>Facebook»Retargeting»1x1»SocialBan»LIA»DT»DYN»RT»W»NA»SS»NA»Free Account Retargeting VM- 750 Hrs ChD</v></cell><cell r="AH4205"><v>223560338</v></cell><cell r="AI4205" t="str"><v>AzurePlatform_FreeAcctRetargetingVMFB-750Hrs-ChD_GBR_1200x628_SOC_Plat_EN_Free Account_Standard_NA_SU_T1_1</v></cell><cell r="AJ4205"><v>102853603</v></cell></row><row r="4206"><cell r="C4206" t="str"><v>43311Facebook»Retargeting»1x1»SocialBan»LIA»DT»DYN»RT»W»NA»SS»NA»Free Account Retargeting VM- On Demand ChE</v></cell><cell r="D4206" t="str"><v>43311223560332</v></cell><cell r="E4206" t="str"><v>43311102854037nd ChE</v></cell><cell r="F4206" t="str"><v>DCM</v></cell><cell r="G4206" t="str"><v>https://azure.microsoft.com/en-gb/free/virtual-machines/search/</v></cell></row><row r="4206"><cell r="K4206" t="str"><v>July</v></cell><cell r="L4206"><v>43316</v></cell><cell r="M4206" t="str"><v>Tier 1</v></cell><cell r="N4206" t="str"><v>EMEA</v></cell><cell r="O4206" t="str"><v>United Kingdom</v></cell><cell r="P4206" t="str"><v>Trial</v></cell><cell r="Q4206" t="str"><v>Social</v></cell><cell r="R4206" t="str"><v>Azure</v></cell><cell r="S4206" t="str"><v>Apps & Infra</v></cell><cell r="T4206" t="str"><v>Developers & ITI's</v></cell><cell r="U4206" t="str"><v>Retargeting</v></cell><cell r="V4206" t="str"><v>Retargeting</v></cell><cell r="W4206" t="str"><v>Link Ad</v></cell><cell r="X4206" t="str"><v>1x1</v></cell></row><row r="4206"><cell r="AA4206"><v>43311</v></cell><cell r="AB4206" t="str"><v>GBR_gaPMG_CE_AZR_Q1_19_Trial-Social</v></cell><cell r="AC4206"><v>21337013</v></cell><cell r="AD4206"><v>720196</v></cell><cell r="AE4206" t="str"><v>Facebook</v></cell><cell r="AF4206"><v>3654128</v></cell><cell r="AG4206" t="str"><v>Facebook»Retargeting»1x1»SocialBan»LIA»DT»DYN»RT»W»NA»SS»NA»Free Account Retargeting VM- On Demand ChE</v></cell><cell r="AH4206"><v>223560332</v></cell><cell r="AI4206" t="str"><v>AzurePlatform_FreeAcctRetargetingVMFB-OnDemand-ChE_GBR_1200x628_SOC_Plat_EN_Free Account_Standard_NA_SU_T2_1</v></cell><cell r="AJ4206"><v>102854037</v></cell></row><row r="4207"><cell r="C4207" t="str"><v>43311Facebook»AZP-Canvas-Interest&Role-Trial»1x1»Canvas»OTH»MO»CPM»PRO»X»UNK»TP»OT»Canvas-Trial</v></cell><cell r="D4207" t="str"><v>43311223298805</v></cell><cell r="E4207" t="str"><v>43311102630373-Trial</v></cell><cell r="F4207" t="str"><v>DCM</v></cell><cell r="G4207" t="str"><v>https://azure.microsoft.com/ja-jp/pricing/purchase-options/</v></cell></row><row r="4207"><cell r="K4207" t="str"><v>July</v></cell><cell r="L4207"><v>43316</v></cell><cell r="M4207" t="str"><v>Tier 1</v></cell><cell r="N4207" t="str"><v>APAC</v></cell><cell r="O4207" t="str"><v>Japan</v></cell><cell r="P4207" t="str"><v>Trial</v></cell><cell r="Q4207" t="str"><v>Social</v></cell><cell r="R4207" t="str"><v>Azure</v></cell><cell r="S4207" t="str"><v>Apps & Infra</v></cell><cell r="T4207" t="str"><v>Developers & ITI's</v></cell><cell r="U4207" t="str"><v>AZP-Canvas-Interest&Role-Trial</v></cell><cell r="V4207" t="str"><v>Prospecting</v></cell><cell r="W4207" t="str"><v>Other</v></cell><cell r="X4207" t="str"><v>1x1</v></cell></row><row r="4207"><cell r="AA4207"><v>43311</v></cell><cell r="AB4207" t="str"><v>JPN_gaPMG_AZR_AZR_Q1_19_Trial-Social</v></cell><cell r="AC4207"><v>21276694</v></cell><cell r="AD4207"><v>720195</v></cell><cell r="AE4207" t="str"><v>Facebook</v></cell><cell r="AF4207"><v>3654128</v></cell><cell r="AG4207" t="str"><v>Facebook»AZP-Canvas-Interest&Role-Trial»1x1»Canvas»OTH»MO»CPM»PRO»X»UNK»TP»OT»Canvas-Trial</v></cell><cell r="AH4207"><v>223298805</v></cell><cell r="AI4207" t="str"><v>AzurePlatform_FBCTCcanvaspage-BuyNowCTA-Img3_JPN_1080x162_SOC_Plat_Japanese_NA_Standard_NA_BN_T3_1</v></cell><cell r="AJ4207"><v>102630373</v></cell></row><row r="4208"><cell r="C4208" t="str"><v>43311Facebook»AZP-Canvas-Interest&Role-Trial»1x1»Canvas»OTH»MO»CPM»PRO»X»UNK»TP»OT»Canvas-Trial</v></cell><cell r="D4208" t="str"><v>43311223298805</v></cell><cell r="E4208" t="str"><v>43311102609621-Trial</v></cell><cell r="F4208" t="str"><v>DCM</v></cell><cell r="G4208" t="str"><v>https://signup.azure.com/signup?offer=ms-azr-0044p&appId=102&ref=paidmedia-social-fb&redirectURL=https%3a%2f%2fazure.microsoft.com%2fja-jp%2fget-started%2fwelcome-to-azure%2f&l=ja-jp&correlationId=ead86c34-1f10-49dd-a72b-6918462a2cbf</v></cell></row><row r="4208"><cell r="K4208" t="str"><v>July</v></cell><cell r="L4208"><v>43316</v></cell><cell r="M4208" t="str"><v>Tier 1</v></cell><cell r="N4208" t="str"><v>APAC</v></cell><cell r="O4208" t="str"><v>Japan</v></cell><cell r="P4208" t="str"><v>Trial</v></cell><cell r="Q4208" t="str"><v>Social</v></cell><cell r="R4208" t="str"><v>Azure</v></cell><cell r="S4208" t="str"><v>Apps & Infra</v></cell><cell r="T4208" t="str"><v>Developers & ITI's</v></cell><cell r="U4208" t="str"><v>AZP-Canvas-Interest&Role-Trial</v></cell><cell r="V4208" t="str"><v>Prospecting</v></cell><cell r="W4208" t="str"><v>Other</v></cell><cell r="X4208" t="str"><v>1x1</v></cell></row><row r="4208"><cell r="AA4208"><v>43311</v></cell><cell r="AB4208" t="str"><v>JPN_gaPMG_AZR_AZR_Q1_19_Trial-Social</v></cell><cell r="AC4208"><v>21276694</v></cell><cell r="AD4208"><v>720195</v></cell><cell r="AE4208" t="str"><v>Facebook</v></cell><cell r="AF4208"><v>3654128</v></cell><cell r="AG4208" t="str"><v>Facebook»AZP-Canvas-Interest&Role-Trial»1x1»Canvas»OTH»MO»CPM»PRO»X»UNK»TP»OT»Canvas-Trial</v></cell><cell r="AH4208"><v>223298805</v></cell><cell r="AI4208" t="str"><v>AzurePlatform_FBCTCcanvaspage-StartFreeCTA-Img2_JPN_1080x143 _SOC_Plat_Japanese_NA_Standard_NA_NA_T2_1</v></cell><cell r="AJ4208"><v>102609621</v></cell></row><row r="4209"><cell r="C4209" t="str"><v>43311Facebook»AZP-Canvas-Look a Like-Trial»1x1»Canvas»OTH»MO»CPM»PRO»X»UNK»TP»OT»Canvas-Trial</v></cell><cell r="D4209" t="str"><v>43311223297413</v></cell><cell r="E4209" t="str"><v>43311102609621-Trial</v></cell><cell r="F4209" t="str"><v>DCM</v></cell><cell r="G4209" t="str"><v>https://signup.azure.com/signup?offer=ms-azr-0044p&appId=102&ref=paidmedia-social-fb&redirectURL=https%3a%2f%2fazure.microsoft.com%2fja-jp%2fget-started%2fwelcome-to-azure%2f&l=ja-jp&correlationId=ead86c34-1f10-49dd-a72b-6918462a2cbf</v></cell></row><row r="4209"><cell r="K4209" t="str"><v>July</v></cell><cell r="L4209"><v>43316</v></cell><cell r="M4209" t="str"><v>Tier 1</v></cell><cell r="N4209" t="str"><v>APAC</v></cell><cell r="O4209" t="str"><v>Japan</v></cell><cell r="P4209" t="str"><v>Trial</v></cell><cell r="Q4209" t="str"><v>Social</v></cell><cell r="R4209" t="str"><v>Azure</v></cell><cell r="S4209" t="str"><v>Apps & Infra</v></cell><cell r="T4209" t="str"><v>Developers & ITI's</v></cell><cell r="U4209" t="str"><v>AZP-Canvas-Look a Like-Trial</v></cell><cell r="V4209" t="str"><v>Prospecting</v></cell><cell r="W4209" t="str"><v>Other</v></cell><cell r="X4209" t="str"><v>1x1</v></cell></row><row r="4209"><cell r="AA4209"><v>43311</v></cell><cell r="AB4209" t="str"><v>JPN_gaPMG_AZR_AZR_Q1_19_Trial-Social</v></cell><cell r="AC4209"><v>21276694</v></cell><cell r="AD4209"><v>720195</v></cell><cell r="AE4209" t="str"><v>Facebook</v></cell><cell r="AF4209"><v>3654128</v></cell><cell r="AG4209" t="str"><v>Facebook»AZP-Canvas-Look a Like-Trial»1x1»Canvas»OTH»MO»CPM»PRO»X»UNK»TP»OT»Canvas-Trial</v></cell><cell r="AH4209"><v>223297413</v></cell><cell r="AI4209" t="str"><v>AzurePlatform_FBCTCcanvaspage-StartFreeCTA-Img2_JPN_1080x143 _SOC_Plat_Japanese_NA_Standard_NA_NA_T2_1</v></cell><cell r="AJ4209"><v>102609621</v></cell></row><row r="4210"><cell r="C4210" t="str"><v>43311Facebook»AZP-Retargeting»1x1»Ban»LIA»ALL»CPM»RT»X»All»TP»OT»Free Account Retargeting Generic-ChB</v></cell><cell r="D4210" t="str"><v>43311223726377</v></cell><cell r="E4210" t="str"><v>43311102977720ic-ChB</v></cell><cell r="F4210" t="str"><v>DCM</v></cell><cell r="G4210" t="str"><v>https://azure.microsoft.com/ja-jp/free/search/</v></cell></row><row r="4210"><cell r="K4210" t="str"><v>July</v></cell><cell r="L4210"><v>43316</v></cell><cell r="M4210" t="str"><v>Tier 1</v></cell><cell r="N4210" t="str"><v>APAC</v></cell><cell r="O4210" t="str"><v>Japan</v></cell><cell r="P4210" t="str"><v>Trial</v></cell><cell r="Q4210" t="str"><v>Social</v></cell><cell r="R4210" t="str"><v>Azure</v></cell><cell r="S4210" t="str"><v>Apps & Infra</v></cell><cell r="T4210" t="str"><v>Developers & ITI's</v></cell><cell r="U4210" t="str"><v>AZP-Retargeting</v></cell><cell r="V4210" t="str"><v>Retargeting</v></cell><cell r="W4210" t="str"><v>Link Ad</v></cell><cell r="X4210" t="str"><v>1x1</v></cell></row><row r="4210"><cell r="AA4210"><v>43311</v></cell><cell r="AB4210" t="str"><v>JPN_gaPMG_AZR_AZR_Q1_19_Trial-Social</v></cell><cell r="AC4210"><v>21276694</v></cell><cell r="AD4210"><v>720195</v></cell><cell r="AE4210" t="str"><v>Facebook</v></cell><cell r="AF4210"><v>3654128</v></cell><cell r="AG4210" t="str"><v>Facebook»AZP-Retargeting»1x1»Ban»LIA»ALL»CPM»RT»X»All»TP»OT»Free Account Retargeting Generic-ChB</v></cell><cell r="AH4210"><v>223726377</v></cell><cell r="AI4210" t="str"><v>AzurePlatform_FreeAcctRetargetingFB-GlobalAlt-ChB_JPN_1200x628_SOC_Plat_JA_Free Account_Standard_NA_SU_T2_1</v></cell><cell r="AJ4210"><v>102977720</v></cell></row><row r="4211"><cell r="C4211" t="str"><v>43311Facebook»AZP-Retargeting»1x1»Ban»LIA»ALL»CPM»RT»X»All»TP»OT»Free Account Retargeting OSS-ChF</v></cell><cell r="D4211" t="str"><v>43311223726368</v></cell><cell r="E4211" t="str"><v>43311102974750SS-ChF</v></cell><cell r="F4211" t="str"><v>DCM</v></cell><cell r="G4211" t="str"><v>https://azure.microsoft.com/ja-jp/free/open-source/search/</v></cell></row><row r="4211"><cell r="K4211" t="str"><v>July</v></cell><cell r="L4211"><v>43316</v></cell><cell r="M4211" t="str"><v>Tier 1</v></cell><cell r="N4211" t="str"><v>APAC</v></cell><cell r="O4211" t="str"><v>Japan</v></cell><cell r="P4211" t="str"><v>Trial</v></cell><cell r="Q4211" t="str"><v>Social</v></cell><cell r="R4211" t="str"><v>Azure</v></cell><cell r="S4211" t="str"><v>Apps & Infra</v></cell><cell r="T4211" t="str"><v>Developers & ITI's</v></cell><cell r="U4211" t="str"><v>AZP-Retargeting</v></cell><cell r="V4211" t="str"><v>Retargeting</v></cell><cell r="W4211" t="str"><v>Link Ad</v></cell><cell r="X4211" t="str"><v>1x1</v></cell></row><row r="4211"><cell r="AA4211"><v>43311</v></cell><cell r="AB4211" t="str"><v>JPN_gaPMG_AZR_AZR_Q1_19_Trial-Social</v></cell><cell r="AC4211"><v>21276694</v></cell><cell r="AD4211"><v>720195</v></cell><cell r="AE4211" t="str"><v>Facebook</v></cell><cell r="AF4211"><v>3654128</v></cell><cell r="AG4211" t="str"><v>Facebook»AZP-Retargeting»1x1»Ban»LIA»ALL»CPM»RT»X»All»TP»OT»Free Account Retargeting OSS-ChF</v></cell><cell r="AH4211"><v>223726368</v></cell><cell r="AI4211" t="str"><v>AzurePlatform_FreeAcctRetargetingOSSFB-Text-ChF_JPN_1200x628_SOC_Plat_JA_Free Account_Standard_NA_SU_T1_1</v></cell><cell r="AJ4211"><v>102974750</v></cell></row><row r="4212"><cell r="C4212" t="str"><v>43311Facebook»AZP-Retargeting»1x1»Ban»LIA»ALL»CPM»RT»X»All»TP»OT»Free Account Retargeting OSS-ChG</v></cell><cell r="D4212" t="str"><v>43311223726365</v></cell><cell r="E4212" t="str"><v>43311102976850SS-ChG</v></cell><cell r="F4212" t="str"><v>DCM</v></cell><cell r="G4212" t="str"><v>https://azure.microsoft.com/ja-jp/free/open-source/search/</v></cell></row><row r="4212"><cell r="K4212" t="str"><v>July</v></cell><cell r="L4212"><v>43316</v></cell><cell r="M4212" t="str"><v>Tier 1</v></cell><cell r="N4212" t="str"><v>APAC</v></cell><cell r="O4212" t="str"><v>Japan</v></cell><cell r="P4212" t="str"><v>Trial</v></cell><cell r="Q4212" t="str"><v>Social</v></cell><cell r="R4212" t="str"><v>Azure</v></cell><cell r="S4212" t="str"><v>Apps & Infra</v></cell><cell r="T4212" t="str"><v>Developers & ITI's</v></cell><cell r="U4212" t="str"><v>AZP-Retargeting</v></cell><cell r="V4212" t="str"><v>Retargeting</v></cell><cell r="W4212" t="str"><v>Link Ad</v></cell><cell r="X4212" t="str"><v>1x1</v></cell></row><row r="4212"><cell r="AA4212"><v>43311</v></cell><cell r="AB4212" t="str"><v>JPN_gaPMG_AZR_AZR_Q1_19_Trial-Social</v></cell><cell r="AC4212"><v>21276694</v></cell><cell r="AD4212"><v>720195</v></cell><cell r="AE4212" t="str"><v>Facebook</v></cell><cell r="AF4212"><v>3654128</v></cell><cell r="AG4212" t="str"><v>Facebook»AZP-Retargeting»1x1»Ban»LIA»ALL»CPM»RT»X»All»TP»OT»Free Account Retargeting OSS-ChG</v></cell><cell r="AH4212"><v>223726365</v></cell><cell r="AI4212" t="str"><v>AzurePlatform_FreeAcctRetargetingOSSFB-Logos-ChG_JPN_1200x628_SOC_Plat_JA_Free Account_Standard_NA_SU_T2_1</v></cell><cell r="AJ4212"><v>102976850</v></cell></row><row r="4213"><cell r="C4213" t="str"><v>43311FACEBOOK»USA-Trial-ITD-Interest Prospecting-AZR-AZR»1 x 1»SocialBan»CAN»ALL»CPA»PRO»X»NA»SS»NA»FBCTCBasicMotion»PRC1SV</v></cell><cell r="D4213" t="str"><v>43311223934062</v></cell><cell r="E4213" t="str"><v>43311103043823PRC1SV</v></cell><cell r="F4213" t="str"><v>DCM</v></cell><cell r="G4213" t="str"><v>https://signup.azure.com/?OCID=AID%eexcid!_OLA_%ebuy!_%epid!_%ecid!</v></cell></row><row r="4213"><cell r="K4213" t="str"><v>July</v></cell><cell r="L4213"><v>43316</v></cell><cell r="M4213" t="str"><v>Tier 0</v></cell><cell r="N4213" t="str"><v>North America</v></cell><cell r="O4213" t="str"><v>United States</v></cell><cell r="P4213" t="str"><v>Trial</v></cell><cell r="Q4213" t="str"><v>Social</v></cell><cell r="R4213" t="str"><v>Azure</v></cell><cell r="S4213" t="str"><v>Apps & Infra</v></cell><cell r="T4213" t="str"><v>Developers & ITI's</v></cell><cell r="U4213" t="str"><v>USA-Trial-ITD-Interest Prospecting-AZR-AZR</v></cell><cell r="V4213" t="str"><v>Prospecting</v></cell><cell r="W4213" t="str"><v>Canvas Ad</v></cell><cell r="X4213" t="str"><v>1x1</v></cell></row><row r="4213"><cell r="AA4213"><v>43311</v></cell><cell r="AB4213" t="str"><v>USA_gaPMG_AZR_AZR_Q1_19_Direct-Social</v></cell><cell r="AC4213"><v>21358715</v></cell><cell r="AD4213"><v>720197</v></cell><cell r="AE4213" t="str"><v>Facebook</v></cell><cell r="AF4213"><v>3654128</v></cell><cell r="AG4213" t="str"><v>FACEBOOK»USA-Trial-ITD-Interest Prospecting-AZR-AZR»1 x 1»SocialBan»CAN»ALL»CPA»PRO»X»NA»SS»NA»FBCTCBasicMotion»PRC1SV</v></cell><cell r="AH4213"><v>223934062</v></cell><cell r="AI4213" t="str"><v>AzurePlatform_FBCTCBasicMotion_USA_10s_CAN_PLATFORM_English_Trial_Standard_STAN_TIN_T1_1</v></cell><cell r="AJ4213"><v>103043823</v></cell></row><row r="4214"><cell r="C4214" t="str"><v>43311FACEBOOK»USA-Trial-ITD-Interest Prospecting-AZR-AZR»1 x 1»SocialBan»CAN»ALL»CPA»PRO»X»NA»SS»NA»FBCTCBasicMotion»PRC1SV</v></cell><cell r="D4214" t="str"><v>43311223934062</v></cell><cell r="E4214" t="str"><v>43311103175984PRC1SV</v></cell><cell r="F4214" t="str"><v>DCM</v></cell><cell r="G4214" t="str"><v>https://azure.microsoft.com/en-us/pricing/purchase-options/?v=18.19&OCID=AID%eexcid!_OLA_%ebuy!_%epid!_%ecid!</v></cell></row><row r="4214"><cell r="K4214" t="str"><v>July</v></cell><cell r="L4214"><v>43316</v></cell><cell r="M4214" t="str"><v>Tier 0</v></cell><cell r="N4214" t="str"><v>North America</v></cell><cell r="O4214" t="str"><v>United States</v></cell><cell r="P4214" t="str"><v>Trial</v></cell><cell r="Q4214" t="str"><v>Social</v></cell><cell r="R4214" t="str"><v>Azure</v></cell><cell r="S4214" t="str"><v>Apps & Infra</v></cell><cell r="T4214" t="str"><v>Developers & ITI's</v></cell><cell r="U4214" t="str"><v>USA-Trial-ITD-Interest Prospecting-AZR-AZR</v></cell><cell r="V4214" t="str"><v>Prospecting</v></cell><cell r="W4214" t="str"><v>Canvas Ad</v></cell><cell r="X4214" t="str"><v>1x1</v></cell></row><row r="4214"><cell r="AA4214"><v>43311</v></cell><cell r="AB4214" t="str"><v>USA_gaPMG_AZR_AZR_Q1_19_Direct-Social</v></cell><cell r="AC4214"><v>21358715</v></cell><cell r="AD4214"><v>720197</v></cell><cell r="AE4214" t="str"><v>Facebook</v></cell><cell r="AF4214"><v>3654128</v></cell><cell r="AG4214" t="str"><v>FACEBOOK»USA-Trial-ITD-Interest Prospecting-AZR-AZR»1 x 1»SocialBan»CAN»ALL»CPA»PRO»X»NA»SS»NA»FBCTCBasicMotion»PRC1SV</v></cell><cell r="AH4214"><v>223934062</v></cell><cell r="AI4214" t="str"><v>AzurePlatform_FBCTCBasicMotion_USA_10s_CAN_PLATFORM_English_Trial_Standard_STAN_TIN_T1_2</v></cell><cell r="AJ4214"><v>103175984</v></cell></row><row r="4215"><cell r="C4215" t="str"><v>43311FACEBOOK»USA-Trial-ITD-Interest Prospecting-AZR-AZR»1 x 1»SocialBan»CAN»ALL»CPA»PRO»X»NA»SS»NA»FBCTCBenefit2inMotion»PRC1SW</v></cell><cell r="D4215" t="str"><v>43311223933138</v></cell><cell r="E4215" t="str"><v>43311103043835PRC1SW</v></cell><cell r="F4215" t="str"><v>DCM</v></cell><cell r="G4215" t="str"><v>https://signup.azure.com/?OCID=AID%eexcid!_OLA_%ebuy!_%epid!_%ecid!</v></cell></row><row r="4215"><cell r="K4215" t="str"><v>July</v></cell><cell r="L4215"><v>43316</v></cell><cell r="M4215" t="str"><v>Tier 0</v></cell><cell r="N4215" t="str"><v>North America</v></cell><cell r="O4215" t="str"><v>United States</v></cell><cell r="P4215" t="str"><v>Trial</v></cell><cell r="Q4215" t="str"><v>Social</v></cell><cell r="R4215" t="str"><v>Azure</v></cell><cell r="S4215" t="str"><v>Apps & Infra</v></cell><cell r="T4215" t="str"><v>Developers & ITI's</v></cell><cell r="U4215" t="str"><v>USA-Trial-ITD-Interest Prospecting-AZR-AZR</v></cell><cell r="V4215" t="str"><v>Prospecting</v></cell><cell r="W4215" t="str"><v>Canvas Ad</v></cell><cell r="X4215" t="str"><v>1x1</v></cell></row><row r="4215"><cell r="AA4215"><v>43311</v></cell><cell r="AB4215" t="str"><v>USA_gaPMG_AZR_AZR_Q1_19_Direct-Social</v></cell><cell r="AC4215"><v>21358715</v></cell><cell r="AD4215"><v>720197</v></cell><cell r="AE4215" t="str"><v>Facebook</v></cell><cell r="AF4215"><v>3654128</v></cell><cell r="AG4215" t="str"><v>FACEBOOK»USA-Trial-ITD-Interest Prospecting-AZR-AZR»1 x 1»SocialBan»CAN»ALL»CPA»PRO»X»NA»SS»NA»FBCTCBenefit2inMotion»PRC1SW</v></cell><cell r="AH4215"><v>223933138</v></cell><cell r="AI4215" t="str"><v>AzurePlatform_FBCTCBenefit2inMotion_USA_10s_CAN_PLATFORM_English_Trial_Standard_STAN_TIN_T4_1</v></cell><cell r="AJ4215"><v>103043835</v></cell></row><row r="4216"><cell r="C4216" t="str"><v>43311FACEBOOK»USA-Trial-ITD-Interest Prospecting-AZR-AZR»1 x 1»SocialBan»CAN»ALL»CPA»PRO»X»NA»SS»NA»FBCTCBenefit2inMotion»PRC1SW</v></cell><cell r="D4216" t="str"><v>43311223933138</v></cell><cell r="E4216" t="str"><v>43311103178645PRC1SW</v></cell><cell r="F4216" t="str"><v>DCM</v></cell><cell r="G4216" t="str"><v>https://azure.microsoft.com/en-us/pricing/purchase-options/?v=18.19&OCID=AID%eexcid!_OLA_%ebuy!_%epid!_%ecid!</v></cell></row><row r="4216"><cell r="K4216" t="str"><v>July</v></cell><cell r="L4216"><v>43316</v></cell><cell r="M4216" t="str"><v>Tier 0</v></cell><cell r="N4216" t="str"><v>North America</v></cell><cell r="O4216" t="str"><v>United States</v></cell><cell r="P4216" t="str"><v>Trial</v></cell><cell r="Q4216" t="str"><v>Social</v></cell><cell r="R4216" t="str"><v>Azure</v></cell><cell r="S4216" t="str"><v>Apps & Infra</v></cell><cell r="T4216" t="str"><v>Developers & ITI's</v></cell><cell r="U4216" t="str"><v>USA-Trial-ITD-Interest Prospecting-AZR-AZR</v></cell><cell r="V4216" t="str"><v>Prospecting</v></cell><cell r="W4216" t="str"><v>Canvas Ad</v></cell><cell r="X4216" t="str"><v>1x1</v></cell></row><row r="4216"><cell r="AA4216"><v>43311</v></cell><cell r="AB4216" t="str"><v>USA_gaPMG_AZR_AZR_Q1_19_Direct-Social</v></cell><cell r="AC4216"><v>21358715</v></cell><cell r="AD4216"><v>720197</v></cell><cell r="AE4216" t="str"><v>Facebook</v></cell><cell r="AF4216"><v>3654128</v></cell><cell r="AG4216" t="str"><v>FACEBOOK»USA-Trial-ITD-Interest Prospecting-AZR-AZR»1 x 1»SocialBan»CAN»ALL»CPA»PRO»X»NA»SS»NA»FBCTCBenefit2inMotion»PRC1SW</v></cell><cell r="AH4216"><v>223933138</v></cell><cell r="AI4216" t="str"><v>AzurePlatform_FBCTCBenefit2inMotion_USA_10s_CAN_PLATFORM_English_Trial_Standard_STAN_TIN_T4_2</v></cell><cell r="AJ4216"><v>103178645</v></cell></row><row r="4217"><cell r="C4217" t="str"><v>43311FACEBOOK»USA-Trial-ITD-Interest Prospecting-AZR-AZR»1 x 1»SocialBan»CAN»ALL»CPA»PRO»X»NA»SS»NA»FBCTCBrandinMotion»PRC1SY</v></cell><cell r="D4217" t="str"><v>43311224104929</v></cell><cell r="E4217" t="str"><v>43311103176812PRC1SY</v></cell><cell r="F4217" t="str"><v>DCM</v></cell><cell r="G4217" t="str"><v>https://signup.azure.com/?OCID=AID%eexcid!_OLA_%ebuy!_%epid!_%ecid!</v></cell></row><row r="4217"><cell r="K4217" t="str"><v>July</v></cell><cell r="L4217"><v>43316</v></cell><cell r="M4217" t="str"><v>Tier 0</v></cell><cell r="N4217" t="str"><v>North America</v></cell><cell r="O4217" t="str"><v>United States</v></cell><cell r="P4217" t="str"><v>Trial</v></cell><cell r="Q4217" t="str"><v>Social</v></cell><cell r="R4217" t="str"><v>Azure</v></cell><cell r="S4217" t="str"><v>Apps & Infra</v></cell><cell r="T4217" t="str"><v>Developers & ITI's</v></cell><cell r="U4217" t="str"><v>USA-Trial-ITD-Interest Prospecting-AZR-AZR</v></cell><cell r="V4217" t="str"><v>Prospecting</v></cell><cell r="W4217" t="str"><v>Canvas Ad</v></cell><cell r="X4217" t="str"><v>1x1</v></cell></row><row r="4217"><cell r="AA4217"><v>43311</v></cell><cell r="AB4217" t="str"><v>USA_gaPMG_AZR_AZR_Q1_19_Direct-Social</v></cell><cell r="AC4217"><v>21358715</v></cell><cell r="AD4217"><v>720197</v></cell><cell r="AE4217" t="str"><v>Facebook</v></cell><cell r="AF4217"><v>3654128</v></cell><cell r="AG4217" t="str"><v>FACEBOOK»USA-Trial-ITD-Interest Prospecting-AZR-AZR»1 x 1»SocialBan»CAN»ALL»CPA»PRO»X»NA»SS»NA»FBCTCBrandinMotion»PRC1SY</v></cell><cell r="AH4217"><v>224104929</v></cell><cell r="AI4217" t="str"><v>AzurePlatform_FBCTCBrandinMotion_USA_10s_CAN_PLATFORM_English_Trial_Standard_STAN_TIN_T2_1</v></cell><cell r="AJ4217"><v>103176812</v></cell></row><row r="4218"><cell r="C4218" t="str"><v>43311FACEBOOK»USA-Trial-ITD-Interest Prospecting-AZR-AZR»1 x 1»SocialBan»CAN»ALL»CPA»PRO»X»NA»SS»NA»FBCTCBrandinMotion»PRC1SY</v></cell><cell r="D4218" t="str"><v>43311224104929</v></cell><cell r="E4218" t="str"><v>43311103032823PRC1SY</v></cell><cell r="F4218" t="str"><v>DCM</v></cell><cell r="G4218" t="str"><v>https://azure.microsoft.com/en-us/pricing/purchase-options/?v=18.19&OCID=AID%eexcid!_OLA_%ebuy!_%epid!_%ecid!</v></cell></row><row r="4218"><cell r="K4218" t="str"><v>July</v></cell><cell r="L4218"><v>43316</v></cell><cell r="M4218" t="str"><v>Tier 0</v></cell><cell r="N4218" t="str"><v>North America</v></cell><cell r="O4218" t="str"><v>United States</v></cell><cell r="P4218" t="str"><v>Trial</v></cell><cell r="Q4218" t="str"><v>Social</v></cell><cell r="R4218" t="str"><v>Azure</v></cell><cell r="S4218" t="str"><v>Apps & Infra</v></cell><cell r="T4218" t="str"><v>Developers & ITI's</v></cell><cell r="U4218" t="str"><v>USA-Trial-ITD-Interest Prospecting-AZR-AZR</v></cell><cell r="V4218" t="str"><v>Prospecting</v></cell><cell r="W4218" t="str"><v>Canvas Ad</v></cell><cell r="X4218" t="str"><v>1x1</v></cell></row><row r="4218"><cell r="AA4218"><v>43311</v></cell><cell r="AB4218" t="str"><v>USA_gaPMG_AZR_AZR_Q1_19_Direct-Social</v></cell><cell r="AC4218"><v>21358715</v></cell><cell r="AD4218"><v>720197</v></cell><cell r="AE4218" t="str"><v>Facebook</v></cell><cell r="AF4218"><v>3654128</v></cell><cell r="AG4218" t="str"><v>FACEBOOK»USA-Trial-ITD-Interest Prospecting-AZR-AZR»1 x 1»SocialBan»CAN»ALL»CPA»PRO»X»NA»SS»NA»FBCTCBrandinMotion»PRC1SY</v></cell><cell r="AH4218"><v>224104929</v></cell><cell r="AI4218" t="str"><v>AzurePlatform_FBCTCBrandinMotion_USA_10s_CAN_PLATFORM_English_Trial_Standard_STAN_TIN_T2_2</v></cell><cell r="AJ4218"><v>103032823</v></cell></row><row r="4219"><cell r="C4219" t="str"><v>43311FACEBOOK»USA-Trial-ITD-Interest Prospecting-AZR-AZR»1 x 1»SocialBan»LIA»ALL»CPA»PRO»X»NA»SS»NA»FreeAcctDeveloperFB-AnimatedGeneric-Ch1»PRC1SZ</v></cell><cell r="D4219" t="str"><v>43311224104932</v></cell><cell r="E4219" t="str"><v>43311103176851PRC1SZ</v></cell><cell r="F4219" t="str"><v>DCM</v></cell><cell r="G4219" t="str"><v>https://azure.microsoft.com/en-us/free/search/?OCID=AID%eexcid!_OLA_%ebuy!_%epid!_%ecid!</v></cell></row><row r="4219"><cell r="K4219" t="str"><v>July</v></cell><cell r="L4219"><v>43316</v></cell><cell r="M4219" t="str"><v>Tier 0</v></cell><cell r="N4219" t="str"><v>North America</v></cell><cell r="O4219" t="str"><v>United States</v></cell><cell r="P4219" t="str"><v>Trial</v></cell><cell r="Q4219" t="str"><v>Social</v></cell><cell r="R4219" t="str"><v>Azure</v></cell><cell r="S4219" t="str"><v>Apps & Infra</v></cell><cell r="T4219" t="str"><v>Developers & ITI's</v></cell><cell r="U4219" t="str"><v>USA-Trial-ITD-Interest Prospecting-AZR-AZR</v></cell><cell r="V4219" t="str"><v>Prospecting</v></cell><cell r="W4219" t="str"><v>Link Ad</v></cell><cell r="X4219" t="str"><v>1x1</v></cell></row><row r="4219"><cell r="AA4219"><v>43311</v></cell><cell r="AB4219" t="str"><v>USA_gaPMG_AZR_AZR_Q1_19_Direct-Social</v></cell><cell r="AC4219"><v>21358715</v></cell><cell r="AD4219"><v>720197</v></cell><cell r="AE4219" t="str"><v>Facebook</v></cell><cell r="AF4219"><v>3654128</v></cell><cell r="AG4219" t="str"><v>FACEBOOK»USA-Trial-ITD-Interest Prospecting-AZR-AZR»1 x 1»SocialBan»LIA»ALL»CPA»PRO»X»NA»SS»NA»FreeAcctDeveloperFB-AnimatedGeneric-Ch1»PRC1SZ</v></cell><cell r="AH4219"><v>224104932</v></cell><cell r="AI4219" t="str"><v>AZR_FreeAcctDeveloperFB-AnimatedGeneric-Ch1_USA_1200x1200_CAN_Direct_English_Trial_Standard_ANI_LEA_T1_2</v></cell><cell r="AJ4219"><v>103176851</v></cell></row><row r="4220"><cell r="C4220" t="str"><v>43311FACEBOOK»USA-Trial-ITD-Interest Prospecting-AZR-AZR»1 x 1»SocialBan»LIA»ALL»CPA»PRO»X»NA»SS»NA»FreeAcctDeveloperFB-AnimatedGeneric-Ch1»PRC1T0</v></cell><cell r="D4220" t="str"><v>43311223934065</v></cell><cell r="E4220" t="str"><v>43311103176851PRC1T0</v></cell><cell r="F4220" t="str"><v>DCM</v></cell><cell r="G4220" t="str"><v>https://azure.microsoft.com/en-us/free/search/?OCID=AID%eexcid!_OLA_%ebuy!_%epid!_%ecid!</v></cell></row><row r="4220"><cell r="K4220" t="str"><v>July</v></cell><cell r="L4220"><v>43316</v></cell><cell r="M4220" t="str"><v>Tier 0</v></cell><cell r="N4220" t="str"><v>North America</v></cell><cell r="O4220" t="str"><v>United States</v></cell><cell r="P4220" t="str"><v>Trial</v></cell><cell r="Q4220" t="str"><v>Social</v></cell><cell r="R4220" t="str"><v>Azure</v></cell><cell r="S4220" t="str"><v>Apps & Infra</v></cell><cell r="T4220" t="str"><v>Developers & ITI's</v></cell><cell r="U4220" t="str"><v>USA-Trial-ITD-Interest Prospecting-AZR-AZR</v></cell><cell r="V4220" t="str"><v>Prospecting</v></cell><cell r="W4220" t="str"><v>Link Ad</v></cell><cell r="X4220" t="str"><v>1x1</v></cell></row><row r="4220"><cell r="AA4220"><v>43311</v></cell><cell r="AB4220" t="str"><v>USA_gaPMG_AZR_AZR_Q1_19_Direct-Social</v></cell><cell r="AC4220"><v>21358715</v></cell><cell r="AD4220"><v>720197</v></cell><cell r="AE4220" t="str"><v>Facebook</v></cell><cell r="AF4220"><v>3654128</v></cell><cell r="AG4220" t="str"><v>FACEBOOK»USA-Trial-ITD-Interest Prospecting-AZR-AZR»1 x 1»SocialBan»LIA»ALL»CPA»PRO»X»NA»SS»NA»FreeAcctDeveloperFB-AnimatedGeneric-Ch1»PRC1T0</v></cell><cell r="AH4220"><v>223934065</v></cell><cell r="AI4220" t="str"><v>AZR_FreeAcctDeveloperFB-AnimatedGeneric-Ch1_USA_1200x1200_CAN_Direct_English_Trial_Standard_ANI_LEA_T1_2</v></cell><cell r="AJ4220"><v>103176851</v></cell></row><row r="4221"><cell r="C4221" t="str"><v>43311FACEBOOK»USA-Trial-ITD-Interest Prospecting-AZR-AZR»1 x 1»SocialBan»LIA»ALL»CPA»PRO»X»NA»SS»NA»FreeAcctITProFB-AnimatedHybrid-Ch2»PRC1T5</v></cell><cell r="D4221" t="str"><v>43311223862882</v></cell><cell r="E4221" t="str"><v>43311103180583PRC1T5</v></cell><cell r="F4221" t="str"><v>DCM</v></cell></row><row r="4221"><cell r="K4221" t="str"><v>July</v></cell><cell r="L4221"><v>43316</v></cell><cell r="M4221" t="str"><v>Tier 0</v></cell><cell r="N4221" t="str"><v>North America</v></cell><cell r="O4221" t="str"><v>United States</v></cell><cell r="P4221" t="str"><v>Trial</v></cell><cell r="Q4221" t="str"><v>Social</v></cell><cell r="R4221" t="str"><v>Azure</v></cell><cell r="S4221" t="str"><v>Apps & Infra</v></cell><cell r="T4221" t="str"><v>Developers & ITI's</v></cell><cell r="U4221" t="str"><v>USA-Trial-ITD-Interest Prospecting-AZR-AZR</v></cell><cell r="V4221" t="str"><v>Prospecting</v></cell><cell r="W4221" t="str"><v>Link Ad</v></cell><cell r="X4221" t="str"><v>1x1</v></cell></row><row r="4221"><cell r="AA4221"><v>43311</v></cell><cell r="AB4221" t="str"><v>USA_gaPMG_AZR_AZR_Q1_19_Direct-Social</v></cell><cell r="AC4221"><v>21358715</v></cell><cell r="AD4221"><v>720197</v></cell><cell r="AE4221" t="str"><v>Facebook</v></cell><cell r="AF4221"><v>3654128</v></cell><cell r="AG4221" t="str"><v>FACEBOOK»USA-Trial-ITD-Interest Prospecting-AZR-AZR»1 x 1»SocialBan»LIA»ALL»CPA»PRO»X»NA»SS»NA»FreeAcctITProFB-AnimatedHybrid-Ch2»PRC1T5</v></cell><cell r="AH4221"><v>223862882</v></cell><cell r="AI4221" t="str"><v>AZR_FreeAcctITProFB-AnimatedHybrid-Ch2_USA_1200x1200_CAN_Direct_English_Trial_Standard_ANI_LEA_T2_2</v></cell><cell r="AJ4221"><v>103180583</v></cell></row><row r="4222"><cell r="C4222" t="str"><v>43311FACEBOOK»USA-Trial-ITD-Interest Prospecting-AZR-AZR»1 x 1»SocialBan»LIA»ALL»CPA»PRO»X»NA»SS»NA»FreeAcctITProFB-AnimatedSecureMngd-Ch1»PRC1T4</v></cell><cell r="D4222" t="str"><v>43311224104914</v></cell><cell r="E4222" t="str"><v>43311103176830PRC1T4</v></cell><cell r="F4222" t="str"><v>DCM</v></cell></row><row r="4222"><cell r="K4222" t="str"><v>July</v></cell><cell r="L4222"><v>43316</v></cell><cell r="M4222" t="str"><v>Tier 0</v></cell><cell r="N4222" t="str"><v>North America</v></cell><cell r="O4222" t="str"><v>United States</v></cell><cell r="P4222" t="str"><v>Trial</v></cell><cell r="Q4222" t="str"><v>Social</v></cell><cell r="R4222" t="str"><v>Azure</v></cell><cell r="S4222" t="str"><v>Apps & Infra</v></cell><cell r="T4222" t="str"><v>Developers & ITI's</v></cell><cell r="U4222" t="str"><v>USA-Trial-ITD-Interest Prospecting-AZR-AZR</v></cell><cell r="V4222" t="str"><v>Prospecting</v></cell><cell r="W4222" t="str"><v>Link Ad</v></cell><cell r="X4222" t="str"><v>1x1</v></cell></row><row r="4222"><cell r="AA4222"><v>43311</v></cell><cell r="AB4222" t="str"><v>USA_gaPMG_AZR_AZR_Q1_19_Direct-Social</v></cell><cell r="AC4222"><v>21358715</v></cell><cell r="AD4222"><v>720197</v></cell><cell r="AE4222" t="str"><v>Facebook</v></cell><cell r="AF4222"><v>3654128</v></cell><cell r="AG4222" t="str"><v>FACEBOOK»USA-Trial-ITD-Interest Prospecting-AZR-AZR»1 x 1»SocialBan»LIA»ALL»CPA»PRO»X»NA»SS»NA»FreeAcctITProFB-AnimatedSecureMngd-Ch1»PRC1T4</v></cell><cell r="AH4222"><v>224104914</v></cell><cell r="AI4222" t="str"><v>AZR_FreeAcctITProFB-AnimatedSecureMngd-Ch1_USA_1200x1200_CAN_Direct_English_Trial_Standard_ANI_LEA_T1_1</v></cell><cell r="AJ4222"><v>103176830</v></cell></row><row r="4223"><cell r="C4223" t="str"><v>43311FACEBOOK»USA-Trial-ITD-Interest Prospecting-AZR-AZR»1 x 1»SocialBan»CAN»ALL»CPA»PRO»X»NA»SS»NA»FBCTCBenefitinMotion»PRC1SX</v></cell><cell r="D4223" t="str"><v>43311224104077</v></cell><cell r="E4223" t="str"><v>43311103032775PRC1SX</v></cell><cell r="F4223" t="str"><v>DCM</v></cell><cell r="G4223" t="str"><v>https://signup.azure.com/?OCID=AID%eexcid!_OLA_%ebuy!_%epid!_%ecid!</v></cell></row><row r="4223"><cell r="K4223" t="str"><v>July</v></cell><cell r="L4223"><v>43316</v></cell><cell r="M4223" t="str"><v>Tier 0</v></cell><cell r="N4223" t="str"><v>North America</v></cell><cell r="O4223" t="str"><v>United States</v></cell><cell r="P4223" t="str"><v>Trial</v></cell><cell r="Q4223" t="str"><v>Social</v></cell><cell r="R4223" t="str"><v>Azure</v></cell><cell r="S4223" t="str"><v>Apps & Infra</v></cell><cell r="T4223" t="str"><v>Developers & ITI's</v></cell><cell r="U4223" t="str"><v>USA-Trial-ITD-Interest Prospecting-AZR-AZR</v></cell><cell r="V4223" t="str"><v>Prospecting</v></cell><cell r="W4223" t="str"><v>Canvas Ad</v></cell><cell r="X4223" t="str"><v>1x1</v></cell></row><row r="4223"><cell r="AA4223"><v>43311</v></cell><cell r="AB4223" t="str"><v>USA_gaPMG_AZR_AZR_Q1_19_Direct-Social</v></cell><cell r="AC4223"><v>21358715</v></cell><cell r="AD4223"><v>720197</v></cell><cell r="AE4223" t="str"><v>Facebook</v></cell><cell r="AF4223"><v>3654128</v></cell><cell r="AG4223" t="str"><v>FACEBOOK»USA-Trial-ITD-Interest Prospecting-AZR-AZR»1 x 1»SocialBan»CAN»ALL»CPA»PRO»X»NA»SS»NA»FBCTCBenefitinMotion»PRC1SX</v></cell><cell r="AH4223"><v>224104077</v></cell><cell r="AI4223" t="str"><v>AzurePlatform_FBCTCBenefitinMotion_USA_10s_CAN_PLATFORM_English_Trial_Standard_STAN_TIN_T3_1</v></cell><cell r="AJ4223"><v>103032775</v></cell></row><row r="4224"><cell r="C4224" t="str"><v>43311FACEBOOK»USA-Trial-ITD-Interest Prospecting-AZR-AZR»1 x 1»SocialBan»CCA»ALL»CPA»PRO»X»NA»SS»NA»Azure Developer Facebook Collections»PRSGV0</v></cell><cell r="D4224" t="str"><v>43311225283843</v></cell><cell r="E4224" t="str"><v>43311103874423PRSGV0</v></cell><cell r="F4224" t="str"><v>DCM</v></cell><cell r="G4224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224"><cell r="K4224" t="str"><v>July</v></cell><cell r="L4224"><v>43316</v></cell><cell r="M4224" t="str"><v>Tier 0</v></cell><cell r="N4224" t="str"><v>North America</v></cell><cell r="O4224" t="str"><v>United States</v></cell><cell r="P4224" t="str"><v>Trial</v></cell><cell r="Q4224" t="str"><v>Social</v></cell><cell r="R4224" t="str"><v>Azure</v></cell><cell r="S4224" t="str"><v>Apps & Infra</v></cell><cell r="T4224" t="str"><v>Developers & ITI's</v></cell><cell r="U4224" t="str"><v>USA-Trial-ITD-Interest Prospecting-AZR-AZR</v></cell><cell r="V4224" t="str"><v>Prospecting</v></cell><cell r="W4224" t="str"><v>Canvas Collection Ad</v></cell><cell r="X4224" t="str"><v>1x1</v></cell></row><row r="4224"><cell r="AA4224"><v>43311</v></cell><cell r="AB4224" t="str"><v>USA_gaPMG_AZR_AZR_Q1_19_Direct-Social</v></cell><cell r="AC4224"><v>21358715</v></cell><cell r="AD4224"><v>720197</v></cell><cell r="AE4224" t="str"><v>Facebook</v></cell><cell r="AF4224"><v>3654128</v></cell><cell r="AG4224" t="str"><v>FACEBOOK»USA-Trial-ITD-Interest Prospecting-AZR-AZR»1 x 1»SocialBan»CCA»ALL»CPA»PRO»X»NA»SS»NA»Azure Developer Facebook Collections»PRSGV0</v></cell><cell r="AH4224"><v>225283843</v></cell><cell r="AI4224" t="str"><v>AZR_FBCollections-TryAzureFreeCTA-Img1_USA_1200x182_SOC_Plat_EN_NA_Standard_NA_TIN_T1_1</v></cell><cell r="AJ4224"><v>103874423</v></cell></row><row r="4225"><cell r="C4225" t="str"><v>43311FACEBOOK»USA-Trial-ITD-Retargeting-AZR-AZR»1 x 1»SocialBan»LIA»ALL»CPA»RT»X»NA»SS»NA»FreeAcctDeveloperFB-AnimatedAI-Ch3»PRC26H</v></cell><cell r="D4225" t="str"><v>43311223863371</v></cell><cell r="E4225" t="str"><v>43311103032778PRC26H</v></cell><cell r="F4225" t="str"><v>DCM</v></cell></row><row r="4225"><cell r="K4225" t="str"><v>July</v></cell><cell r="L4225"><v>43316</v></cell><cell r="M4225" t="str"><v>Tier 0</v></cell><cell r="N4225" t="str"><v>North America</v></cell><cell r="O4225" t="str"><v>United States</v></cell><cell r="P4225" t="str"><v>Trial</v></cell><cell r="Q4225" t="str"><v>Social</v></cell><cell r="R4225" t="str"><v>Azure</v></cell><cell r="S4225" t="str"><v>Apps & Infra</v></cell><cell r="T4225" t="str"><v>Developers & ITI's</v></cell><cell r="U4225" t="str"><v>USA-Trial-ITD-Retargeting-AZR-AZR</v></cell><cell r="V4225" t="str"><v>Retargeting</v></cell><cell r="W4225" t="str"><v>Link Ad</v></cell><cell r="X4225" t="str"><v>1x1</v></cell></row><row r="4225"><cell r="AA4225"><v>43311</v></cell><cell r="AB4225" t="str"><v>USA_gaPMG_AZR_AZR_Q1_19_Direct-Social</v></cell><cell r="AC4225"><v>21358715</v></cell><cell r="AD4225"><v>720197</v></cell><cell r="AE4225" t="str"><v>Facebook</v></cell><cell r="AF4225"><v>3654128</v></cell><cell r="AG4225" t="str"><v>FACEBOOK»USA-Trial-ITD-Retargeting-AZR-AZR»1 x 1»SocialBan»LIA»ALL»CPA»RT»X»NA»SS»NA»FreeAcctDeveloperFB-AnimatedAI-Ch3»PRC26H</v></cell><cell r="AH4225"><v>223863371</v></cell><cell r="AI4225" t="str"><v>AZR_FreeAcctDeveloperFB-AnimatedAI-Ch3_USA_1200x1200_CAN_Direct_English_Trial_Standard_ANI_LEA_T3_1</v></cell><cell r="AJ4225"><v>103032778</v></cell></row><row r="4226"><cell r="C4226" t="str"><v>43311FACEBOOK»USA-Trial-ITD-Retargeting-AZR-AZR»1 x 1»SocialBan»LIA»ALL»CPA»RT»X»NA»SS»NA»FreeAcctDeveloperFB-AnimatedData-Ch4»PRC26J</v></cell><cell r="D4226" t="str"><v>43311224106078</v></cell><cell r="E4226" t="str"><v>43311103037935PRC26J</v></cell><cell r="F4226" t="str"><v>DCM</v></cell></row><row r="4226"><cell r="K4226" t="str"><v>July</v></cell><cell r="L4226"><v>43316</v></cell><cell r="M4226" t="str"><v>Tier 0</v></cell><cell r="N4226" t="str"><v>North America</v></cell><cell r="O4226" t="str"><v>United States</v></cell><cell r="P4226" t="str"><v>Trial</v></cell><cell r="Q4226" t="str"><v>Social</v></cell><cell r="R4226" t="str"><v>Azure</v></cell><cell r="S4226" t="str"><v>Apps & Infra</v></cell><cell r="T4226" t="str"><v>Developers & ITI's</v></cell><cell r="U4226" t="str"><v>USA-Trial-ITD-Retargeting-AZR-AZR</v></cell><cell r="V4226" t="str"><v>Retargeting</v></cell><cell r="W4226" t="str"><v>Link Ad</v></cell><cell r="X4226" t="str"><v>1x1</v></cell></row><row r="4226"><cell r="AA4226"><v>43311</v></cell><cell r="AB4226" t="str"><v>USA_gaPMG_AZR_AZR_Q1_19_Direct-Social</v></cell><cell r="AC4226"><v>21358715</v></cell><cell r="AD4226"><v>720197</v></cell><cell r="AE4226" t="str"><v>Facebook</v></cell><cell r="AF4226"><v>3654128</v></cell><cell r="AG4226" t="str"><v>FACEBOOK»USA-Trial-ITD-Retargeting-AZR-AZR»1 x 1»SocialBan»LIA»ALL»CPA»RT»X»NA»SS»NA»FreeAcctDeveloperFB-AnimatedData-Ch4»PRC26J</v></cell><cell r="AH4226"><v>224106078</v></cell><cell r="AI4226" t="str"><v>AZR_FreeAcctDeveloperFB-AnimatedData-Ch4_USA_1200x1200_CAN_Direct_English_Trial_Standard_ANI_LEA_T4_2</v></cell><cell r="AJ4226"><v>103037935</v></cell></row><row r="4227"><cell r="C4227" t="str"><v>43311FACEBOOK»USA-Trial-ITD-Retargeting-AZR-AZR»1 x 1»SocialBan»LIA»ALL»CPA»RT»X»NA»SS»NA»FreeAcctDeveloperFB-AnimatedGeneric-Ch1»PRC26F</v></cell><cell r="D4227" t="str"><v>43311224105850</v></cell><cell r="E4227" t="str"><v>43311103176851PRC26F</v></cell><cell r="F4227" t="str"><v>DCM</v></cell><cell r="G4227" t="str"><v>https://azure.microsoft.com/en-us/free/search/?OCID=AID%eexcid!_OLA_%ebuy!_%epid!_%ecid!</v></cell></row><row r="4227"><cell r="K4227" t="str"><v>July</v></cell><cell r="L4227"><v>43316</v></cell><cell r="M4227" t="str"><v>Tier 0</v></cell><cell r="N4227" t="str"><v>North America</v></cell><cell r="O4227" t="str"><v>United States</v></cell><cell r="P4227" t="str"><v>Trial</v></cell><cell r="Q4227" t="str"><v>Social</v></cell><cell r="R4227" t="str"><v>Azure</v></cell><cell r="S4227" t="str"><v>Apps & Infra</v></cell><cell r="T4227" t="str"><v>Developers & ITI's</v></cell><cell r="U4227" t="str"><v>USA-Trial-ITD-Retargeting-AZR-AZR</v></cell><cell r="V4227" t="str"><v>Retargeting</v></cell><cell r="W4227" t="str"><v>Link Ad</v></cell><cell r="X4227" t="str"><v>1x1</v></cell></row><row r="4227"><cell r="AA4227"><v>43311</v></cell><cell r="AB4227" t="str"><v>USA_gaPMG_AZR_AZR_Q1_19_Direct-Social</v></cell><cell r="AC4227"><v>21358715</v></cell><cell r="AD4227"><v>720197</v></cell><cell r="AE4227" t="str"><v>Facebook</v></cell><cell r="AF4227"><v>3654128</v></cell><cell r="AG4227" t="str"><v>FACEBOOK»USA-Trial-ITD-Retargeting-AZR-AZR»1 x 1»SocialBan»LIA»ALL»CPA»RT»X»NA»SS»NA»FreeAcctDeveloperFB-AnimatedGeneric-Ch1»PRC26F</v></cell><cell r="AH4227"><v>224105850</v></cell><cell r="AI4227" t="str"><v>AZR_FreeAcctDeveloperFB-AnimatedGeneric-Ch1_USA_1200x1200_CAN_Direct_English_Trial_Standard_ANI_LEA_T1_2</v></cell><cell r="AJ4227"><v>103176851</v></cell></row><row r="4228"><cell r="C4228" t="str"><v>43311FACEBOOK»USA-Trial-ITD-Retargeting-AZR-AZR»1 x 1»SocialBan»LIA»ALL»CPA»RT»X»NA»SS»NA»FreeAcctITProFB-AnimatedHybrid-Ch2»PRC26N</v></cell><cell r="D4228" t="str"><v>43311223934053</v></cell><cell r="E4228" t="str"><v>43311103180583PRC26N</v></cell><cell r="F4228" t="str"><v>DCM</v></cell></row><row r="4228"><cell r="K4228" t="str"><v>July</v></cell><cell r="L4228"><v>43316</v></cell><cell r="M4228" t="str"><v>Tier 0</v></cell><cell r="N4228" t="str"><v>North America</v></cell><cell r="O4228" t="str"><v>United States</v></cell><cell r="P4228" t="str"><v>Trial</v></cell><cell r="Q4228" t="str"><v>Social</v></cell><cell r="R4228" t="str"><v>Azure</v></cell><cell r="S4228" t="str"><v>Apps & Infra</v></cell><cell r="T4228" t="str"><v>Developers & ITI's</v></cell><cell r="U4228" t="str"><v>USA-Trial-ITD-Retargeting-AZR-AZR</v></cell><cell r="V4228" t="str"><v>Retargeting</v></cell><cell r="W4228" t="str"><v>Link Ad</v></cell><cell r="X4228" t="str"><v>1x1</v></cell></row><row r="4228"><cell r="AA4228"><v>43311</v></cell><cell r="AB4228" t="str"><v>USA_gaPMG_AZR_AZR_Q1_19_Direct-Social</v></cell><cell r="AC4228"><v>21358715</v></cell><cell r="AD4228"><v>720197</v></cell><cell r="AE4228" t="str"><v>Facebook</v></cell><cell r="AF4228"><v>3654128</v></cell><cell r="AG4228" t="str"><v>FACEBOOK»USA-Trial-ITD-Retargeting-AZR-AZR»1 x 1»SocialBan»LIA»ALL»CPA»RT»X»NA»SS»NA»FreeAcctITProFB-AnimatedHybrid-Ch2»PRC26N</v></cell><cell r="AH4228"><v>223934053</v></cell><cell r="AI4228" t="str"><v>AZR_FreeAcctITProFB-AnimatedHybrid-Ch2_USA_1200x1200_CAN_Direct_English_Trial_Standard_ANI_LEA_T2_2</v></cell><cell r="AJ4228"><v>103180583</v></cell></row><row r="4229"><cell r="C4229" t="str"><v>43311FACEBOOK»USA-Trial-ITD-Retargeting-AZR-AZR»1 x 1»SocialBan»LIA»ALL»CPA»RT»X»NA»SS»NA»FreeAcctITProFB-AnimatedMigration-Ch3»PRC26P</v></cell><cell r="D4229" t="str"><v>43311223934056</v></cell><cell r="E4229" t="str"><v>43311103176827PRC26P</v></cell><cell r="F4229" t="str"><v>DCM</v></cell></row><row r="4229"><cell r="K4229" t="str"><v>July</v></cell><cell r="L4229"><v>43316</v></cell><cell r="M4229" t="str"><v>Tier 0</v></cell><cell r="N4229" t="str"><v>North America</v></cell><cell r="O4229" t="str"><v>United States</v></cell><cell r="P4229" t="str"><v>Trial</v></cell><cell r="Q4229" t="str"><v>Social</v></cell><cell r="R4229" t="str"><v>Azure</v></cell><cell r="S4229" t="str"><v>Apps & Infra</v></cell><cell r="T4229" t="str"><v>Developers & ITI's</v></cell><cell r="U4229" t="str"><v>USA-Trial-ITD-Retargeting-AZR-AZR</v></cell><cell r="V4229" t="str"><v>Retargeting</v></cell><cell r="W4229" t="str"><v>Link Ad</v></cell><cell r="X4229" t="str"><v>1x1</v></cell></row><row r="4229"><cell r="AA4229"><v>43311</v></cell><cell r="AB4229" t="str"><v>USA_gaPMG_AZR_AZR_Q1_19_Direct-Social</v></cell><cell r="AC4229"><v>21358715</v></cell><cell r="AD4229"><v>720197</v></cell><cell r="AE4229" t="str"><v>Facebook</v></cell><cell r="AF4229"><v>3654128</v></cell><cell r="AG4229" t="str"><v>FACEBOOK»USA-Trial-ITD-Retargeting-AZR-AZR»1 x 1»SocialBan»LIA»ALL»CPA»RT»X»NA»SS»NA»FreeAcctITProFB-AnimatedMigration-Ch3»PRC26P</v></cell><cell r="AH4229"><v>223934056</v></cell><cell r="AI4229" t="str"><v>AZR_FreeAcctITProFB-AnimatedMigration-Ch3_USA_1200x1200_CAN_Direct_English_Trial_Standard_ANI_LEA_T3_1</v></cell><cell r="AJ4229"><v>103176827</v></cell></row><row r="4230"><cell r="C4230" t="str"><v>43311FACEBOOK»USA-Trial-ITD-Retargeting-AZR-AZR»1 x 1»SocialBan»LIA»ALL»CPA»RT»X»NA»SS»NA»FreeAcctRetargetingFB-Animated-ChC»PRC1RX</v></cell><cell r="D4230" t="str"><v>43311223862864</v></cell><cell r="E4230" t="str"><v>43311103180880PRC1RX</v></cell><cell r="F4230" t="str"><v>DCM</v></cell><cell r="G4230" t="str"><v>https://azure.microsoft.com/en-us/free/search/?OCID=AID%eexcid!_OLA_%ebuy!_%epid!_%ecid!</v></cell></row><row r="4230"><cell r="K4230" t="str"><v>July</v></cell><cell r="L4230"><v>43316</v></cell><cell r="M4230" t="str"><v>Tier 0</v></cell><cell r="N4230" t="str"><v>North America</v></cell><cell r="O4230" t="str"><v>United States</v></cell><cell r="P4230" t="str"><v>Trial</v></cell><cell r="Q4230" t="str"><v>Social</v></cell><cell r="R4230" t="str"><v>Azure</v></cell><cell r="S4230" t="str"><v>Apps & Infra</v></cell><cell r="T4230" t="str"><v>Developers & ITI's</v></cell><cell r="U4230" t="str"><v>USA-Trial-ITD-Retargeting-AZR-AZR</v></cell><cell r="V4230" t="str"><v>Retargeting</v></cell><cell r="W4230" t="str"><v>Link Ad</v></cell><cell r="X4230" t="str"><v>1x1</v></cell></row><row r="4230"><cell r="AA4230"><v>43311</v></cell><cell r="AB4230" t="str"><v>USA_gaPMG_AZR_AZR_Q1_19_Direct-Social</v></cell><cell r="AC4230"><v>21358715</v></cell><cell r="AD4230"><v>720197</v></cell><cell r="AE4230" t="str"><v>Facebook</v></cell><cell r="AF4230"><v>3654128</v></cell><cell r="AG4230" t="str"><v>FACEBOOK»USA-Trial-ITD-Retargeting-AZR-AZR»1 x 1»SocialBan»LIA»ALL»CPA»RT»X»NA»SS»NA»FreeAcctRetargetingFB-Animated-ChC»PRC1RX</v></cell><cell r="AH4230"><v>223862864</v></cell><cell r="AI4230" t="str"><v>AzurePlatform_FreeAcctRetargetingFB-Animated-ChC_USA_1200x628_CAN_PLATFORM_English_Free Account_Standard_ANI_SINU_T3_2</v></cell><cell r="AJ4230"><v>103180880</v></cell></row><row r="4231"><cell r="C4231" t="str"><v>43311FACEBOOK»USA-Trial-ITD-Retargeting-AZR-AZR»1 x 1»SocialBan»LIA»ALL»CPA»RT»X»NA»SS»NA»FreeAcctRetargetingFB-Credit-ChA»PRC1RV</v></cell><cell r="D4231" t="str"><v>43311224106075</v></cell><cell r="E4231" t="str"><v>43311103034917PRC1RV</v></cell><cell r="F4231" t="str"><v>DCM</v></cell><cell r="G4231" t="str"><v>https://azure.microsoft.com/en-us/free/search/?OCID=AID%eexcid!_OLA_%ebuy!_%epid!_%ecid!</v></cell></row><row r="4231"><cell r="K4231" t="str"><v>July</v></cell><cell r="L4231"><v>43316</v></cell><cell r="M4231" t="str"><v>Tier 0</v></cell><cell r="N4231" t="str"><v>North America</v></cell><cell r="O4231" t="str"><v>United States</v></cell><cell r="P4231" t="str"><v>Trial</v></cell><cell r="Q4231" t="str"><v>Social</v></cell><cell r="R4231" t="str"><v>Azure</v></cell><cell r="S4231" t="str"><v>Apps & Infra</v></cell><cell r="T4231" t="str"><v>Developers & ITI's</v></cell><cell r="U4231" t="str"><v>USA-Trial-ITD-Retargeting-AZR-AZR</v></cell><cell r="V4231" t="str"><v>Retargeting</v></cell><cell r="W4231" t="str"><v>Link Ad</v></cell><cell r="X4231" t="str"><v>1x1</v></cell></row><row r="4231"><cell r="AA4231"><v>43311</v></cell><cell r="AB4231" t="str"><v>USA_gaPMG_AZR_AZR_Q1_19_Direct-Social</v></cell><cell r="AC4231"><v>21358715</v></cell><cell r="AD4231"><v>720197</v></cell><cell r="AE4231" t="str"><v>Facebook</v></cell><cell r="AF4231"><v>3654128</v></cell><cell r="AG4231" t="str"><v>FACEBOOK»USA-Trial-ITD-Retargeting-AZR-AZR»1 x 1»SocialBan»LIA»ALL»CPA»RT»X»NA»SS»NA»FreeAcctRetargetingFB-Credit-ChA»PRC1RV</v></cell><cell r="AH4231"><v>224106075</v></cell><cell r="AI4231" t="str"><v>AzurePlatform_FreeAcctRetargetingFB-Credit-ChA_USA_1200x628_CAN_PLATFORM_English_Free Account_Standard_NA_SINU_T1_2</v></cell><cell r="AJ4231"><v>103034917</v></cell></row><row r="4232"><cell r="C4232" t="str"><v>43311FACEBOOK»USA-Trial-ITD-Retargeting-AZR-AZR»1 x 1»SocialBan»LIA»ALL»CPA»RT»X»NA»SS»NA»FreeAcctRetargetingFB-GlobalAlt-ChB»PRC1RW</v></cell><cell r="D4232" t="str"><v>43311223862756</v></cell><cell r="E4232" t="str"><v>43311103180592PRC1RW</v></cell><cell r="F4232" t="str"><v>DCM</v></cell><cell r="G4232" t="str"><v>https://azure.microsoft.com/en-us/free/search/?OCID=AID%eexcid!_OLA_%ebuy!_%epid!_%ecid!</v></cell></row><row r="4232"><cell r="K4232" t="str"><v>July</v></cell><cell r="L4232"><v>43316</v></cell><cell r="M4232" t="str"><v>Tier 0</v></cell><cell r="N4232" t="str"><v>North America</v></cell><cell r="O4232" t="str"><v>United States</v></cell><cell r="P4232" t="str"><v>Trial</v></cell><cell r="Q4232" t="str"><v>Social</v></cell><cell r="R4232" t="str"><v>Azure</v></cell><cell r="S4232" t="str"><v>Apps & Infra</v></cell><cell r="T4232" t="str"><v>Developers & ITI's</v></cell><cell r="U4232" t="str"><v>USA-Trial-ITD-Retargeting-AZR-AZR</v></cell><cell r="V4232" t="str"><v>Retargeting</v></cell><cell r="W4232" t="str"><v>Link Ad</v></cell><cell r="X4232" t="str"><v>1x1</v></cell></row><row r="4232"><cell r="AA4232"><v>43311</v></cell><cell r="AB4232" t="str"><v>USA_gaPMG_AZR_AZR_Q1_19_Direct-Social</v></cell><cell r="AC4232"><v>21358715</v></cell><cell r="AD4232"><v>720197</v></cell><cell r="AE4232" t="str"><v>Facebook</v></cell><cell r="AF4232"><v>3654128</v></cell><cell r="AG4232" t="str"><v>FACEBOOK»USA-Trial-ITD-Retargeting-AZR-AZR»1 x 1»SocialBan»LIA»ALL»CPA»RT»X»NA»SS»NA»FreeAcctRetargetingFB-GlobalAlt-ChB»PRC1RW</v></cell><cell r="AH4232"><v>223862756</v></cell><cell r="AI4232" t="str"><v>AzurePlatform_FreeAcctRetargetingFB-GlobalAlt-ChB_USA_1200x628_CAN_PLATFORM_English_Free Account_Standard_NA_SINU_T2_1</v></cell><cell r="AJ4232"><v>103180592</v></cell></row><row r="4233"><cell r="C4233" t="str"><v>43311FACEBOOK»USA-Trial-ITD-Retargeting-AZR-AZR»1 x 1»SocialBan»LIA»ALL»CPA»RT»X»NA»SS»NA»FreeAcctRetargetingVMFB-750Hrs-ChD»PRC1RY</v></cell><cell r="D4233" t="str"><v>43311223862747</v></cell><cell r="E4233" t="str"><v>43311103034911PRC1RY</v></cell><cell r="F4233" t="str"><v>DCM</v></cell><cell r="G4233" t="str"><v>https://azure.microsoft.com/en-us/free/virtual-machines/search/?OCID=AID%eexcid!_OLA_%ebuy!_%epid!_%ecid!</v></cell></row><row r="4233"><cell r="K4233" t="str"><v>July</v></cell><cell r="L4233"><v>43316</v></cell><cell r="M4233" t="str"><v>Tier 0</v></cell><cell r="N4233" t="str"><v>North America</v></cell><cell r="O4233" t="str"><v>United States</v></cell><cell r="P4233" t="str"><v>Trial</v></cell><cell r="Q4233" t="str"><v>Social</v></cell><cell r="R4233" t="str"><v>Azure</v></cell><cell r="S4233" t="str"><v>Apps & Infra</v></cell><cell r="T4233" t="str"><v>Developers & ITI's</v></cell><cell r="U4233" t="str"><v>USA-Trial-ITD-Retargeting-AZR-AZR</v></cell><cell r="V4233" t="str"><v>Retargeting</v></cell><cell r="W4233" t="str"><v>Link Ad</v></cell><cell r="X4233" t="str"><v>1x1</v></cell></row><row r="4233"><cell r="AA4233"><v>43311</v></cell><cell r="AB4233" t="str"><v>USA_gaPMG_AZR_AZR_Q1_19_Direct-Social</v></cell><cell r="AC4233"><v>21358715</v></cell><cell r="AD4233"><v>720197</v></cell><cell r="AE4233" t="str"><v>Facebook</v></cell><cell r="AF4233"><v>3654128</v></cell><cell r="AG4233" t="str"><v>FACEBOOK»USA-Trial-ITD-Retargeting-AZR-AZR»1 x 1»SocialBan»LIA»ALL»CPA»RT»X»NA»SS»NA»FreeAcctRetargetingVMFB-750Hrs-ChD»PRC1RY</v></cell><cell r="AH4233"><v>223862747</v></cell><cell r="AI4233" t="str"><v>AzurePlatform_FreeAcctRetargetingVMFB-750Hrs-ChD_USA_1200x628_CAN_PLATFORM_English_Free Account_Standard_NA_SINU_T1_1</v></cell><cell r="AJ4233"><v>103034911</v></cell></row><row r="4234"><cell r="C4234" t="str"><v>43311FACEBOOK»USA-Trial-ITD-Retargeting-AZR-AZR»1 x 1»SocialBan»LIA»ALL»CPA»RT»X»NA»SS»NA»FreeAcctRetargetingVMFB-OnDemand-ChE»PRC1S0</v></cell><cell r="D4234" t="str"><v>43311224104899</v></cell><cell r="E4234" t="str"><v>43311103180610PRC1S0</v></cell><cell r="F4234" t="str"><v>DCM</v></cell><cell r="G4234" t="str"><v>https://azure.microsoft.com/en-us/free/virtual-machines/search/?OCID=AID%eexcid!_OLA_%ebuy!_%epid!_%ecid!</v></cell></row><row r="4234"><cell r="K4234" t="str"><v>July</v></cell><cell r="L4234"><v>43316</v></cell><cell r="M4234" t="str"><v>Tier 0</v></cell><cell r="N4234" t="str"><v>North America</v></cell><cell r="O4234" t="str"><v>United States</v></cell><cell r="P4234" t="str"><v>Trial</v></cell><cell r="Q4234" t="str"><v>Social</v></cell><cell r="R4234" t="str"><v>Azure</v></cell><cell r="S4234" t="str"><v>Apps & Infra</v></cell><cell r="T4234" t="str"><v>Developers & ITI's</v></cell><cell r="U4234" t="str"><v>USA-Trial-ITD-Retargeting-AZR-AZR</v></cell><cell r="V4234" t="str"><v>Retargeting</v></cell><cell r="W4234" t="str"><v>Link Ad</v></cell><cell r="X4234" t="str"><v>1x1</v></cell></row><row r="4234"><cell r="AA4234"><v>43311</v></cell><cell r="AB4234" t="str"><v>USA_gaPMG_AZR_AZR_Q1_19_Direct-Social</v></cell><cell r="AC4234"><v>21358715</v></cell><cell r="AD4234"><v>720197</v></cell><cell r="AE4234" t="str"><v>Facebook</v></cell><cell r="AF4234"><v>3654128</v></cell><cell r="AG4234" t="str"><v>FACEBOOK»USA-Trial-ITD-Retargeting-AZR-AZR»1 x 1»SocialBan»LIA»ALL»CPA»RT»X»NA»SS»NA»FreeAcctRetargetingVMFB-OnDemand-ChE»PRC1S0</v></cell><cell r="AH4234"><v>224104899</v></cell><cell r="AI4234" t="str"><v>AzurePlatform_FreeAcctRetargetingVMFB-OnDemand-ChE_USA_1200x628_CAN_PLATFORM_English_Free Account_Standard_NA_SINU_T2_1</v></cell><cell r="AJ4234"><v>103180610</v></cell></row><row r="4235"><cell r="C4235" t="str"><v>43311FACEBOOK»USA-Trial-ITD-Retargeting-AZR-AZR»1 x 1»SocialBan»CAN»ALL»CPA»RT»X»NA»SS»NA»FBCTCBenefit2inMotion»PRC1RR</v></cell><cell r="D4235" t="str"><v>43311224104896</v></cell><cell r="E4235" t="str"><v>43311103043835PRC1RR</v></cell><cell r="F4235" t="str"><v>DCM</v></cell><cell r="G4235" t="str"><v>https://signup.azure.com/?OCID=AID%eexcid!_OLA_%ebuy!_%epid!_%ecid!</v></cell></row><row r="4235"><cell r="K4235" t="str"><v>July</v></cell><cell r="L4235"><v>43316</v></cell><cell r="M4235" t="str"><v>Tier 0</v></cell><cell r="N4235" t="str"><v>North America</v></cell><cell r="O4235" t="str"><v>United States</v></cell><cell r="P4235" t="str"><v>Trial</v></cell><cell r="Q4235" t="str"><v>Social</v></cell><cell r="R4235" t="str"><v>Azure</v></cell><cell r="S4235" t="str"><v>Apps & Infra</v></cell><cell r="T4235" t="str"><v>Developers & ITI's</v></cell><cell r="U4235" t="str"><v>USA-Trial-ITD-Retargeting-AZR-AZR</v></cell><cell r="V4235" t="str"><v>Retargeting</v></cell><cell r="W4235" t="str"><v>Canvas Ad</v></cell><cell r="X4235" t="str"><v>1x1</v></cell></row><row r="4235"><cell r="AA4235"><v>43311</v></cell><cell r="AB4235" t="str"><v>USA_gaPMG_AZR_AZR_Q1_19_Direct-Social</v></cell><cell r="AC4235"><v>21358715</v></cell><cell r="AD4235"><v>720197</v></cell><cell r="AE4235" t="str"><v>Facebook</v></cell><cell r="AF4235"><v>3654128</v></cell><cell r="AG4235" t="str"><v>FACEBOOK»USA-Trial-ITD-Retargeting-AZR-AZR»1 x 1»SocialBan»CAN»ALL»CPA»RT»X»NA»SS»NA»FBCTCBenefit2inMotion»PRC1RR</v></cell><cell r="AH4235"><v>224104896</v></cell><cell r="AI4235" t="str"><v>AzurePlatform_FBCTCBenefit2inMotion_USA_10s_CAN_PLATFORM_English_Trial_Standard_STAN_TIN_T4_1</v></cell><cell r="AJ4235"><v>103043835</v></cell></row><row r="4236"><cell r="C4236" t="str"><v>43311FACEBOOK»USA-Trial-ITD-Trial Lookalike-AZR-AZR»1 x 1»SocialBan»CAN»ALL»CPA»LAL»X»NA»SS»NA»FBCTCBenefit2inMotion»PRC1M0</v></cell><cell r="D4236" t="str"><v>43311223862927</v></cell><cell r="E4236" t="str"><v>43311103043835PRC1M0</v></cell><cell r="F4236" t="str"><v>DCM</v></cell><cell r="G4236" t="str"><v>https://signup.azure.com/?OCID=AID%eexcid!_OLA_%ebuy!_%epid!_%ecid!</v></cell></row><row r="4236"><cell r="K4236" t="str"><v>July</v></cell><cell r="L4236"><v>43316</v></cell><cell r="M4236" t="str"><v>Tier 0</v></cell><cell r="N4236" t="str"><v>North America</v></cell><cell r="O4236" t="str"><v>United States</v></cell><cell r="P4236" t="str"><v>Trial</v></cell><cell r="Q4236" t="str"><v>Social</v></cell><cell r="R4236" t="str"><v>Azure</v></cell><cell r="S4236" t="str"><v>Apps & Infra</v></cell><cell r="T4236" t="str"><v>Developers & ITI's</v></cell><cell r="U4236" t="str"><v>USA-Trial-ITD-Trial Lookalike-AZR-AZR</v></cell><cell r="V4236" t="str"><v>Lookalike Targeting</v></cell><cell r="W4236" t="str"><v>Canvas Ad</v></cell><cell r="X4236" t="str"><v>1x1</v></cell></row><row r="4236"><cell r="AA4236"><v>43311</v></cell><cell r="AB4236" t="str"><v>USA_gaPMG_AZR_AZR_Q1_19_Direct-Social</v></cell><cell r="AC4236"><v>21358715</v></cell><cell r="AD4236"><v>720197</v></cell><cell r="AE4236" t="str"><v>Facebook</v></cell><cell r="AF4236"><v>3654128</v></cell><cell r="AG4236" t="str"><v>FACEBOOK»USA-Trial-ITD-Trial Lookalike-AZR-AZR»1 x 1»SocialBan»CAN»ALL»CPA»LAL»X»NA»SS»NA»FBCTCBenefit2inMotion»PRC1M0</v></cell><cell r="AH4236"><v>223862927</v></cell><cell r="AI4236" t="str"><v>AzurePlatform_FBCTCBenefit2inMotion_USA_10s_CAN_PLATFORM_English_Trial_Standard_STAN_TIN_T4_1</v></cell><cell r="AJ4236"><v>103043835</v></cell></row><row r="4237"><cell r="C4237" t="str"><v>43311FACEBOOK»USA-Trial-ITD-Trial Lookalike-AZR-AZR»1 x 1»SocialBan»CAN»ALL»CPA»LAL»X»NA»SS»NA»FBCTCBenefit2inMotion»PRC1M0</v></cell><cell r="D4237" t="str"><v>43311223862927</v></cell><cell r="E4237" t="str"><v>43311103178645PRC1M0</v></cell><cell r="F4237" t="str"><v>DCM</v></cell><cell r="G4237" t="str"><v>https://azure.microsoft.com/en-us/pricing/purchase-options/?v=18.19&OCID=AID%eexcid!_OLA_%ebuy!_%epid!_%ecid!</v></cell></row><row r="4237"><cell r="K4237" t="str"><v>July</v></cell><cell r="L4237"><v>43316</v></cell><cell r="M4237" t="str"><v>Tier 0</v></cell><cell r="N4237" t="str"><v>North America</v></cell><cell r="O4237" t="str"><v>United States</v></cell><cell r="P4237" t="str"><v>Trial</v></cell><cell r="Q4237" t="str"><v>Social</v></cell><cell r="R4237" t="str"><v>Azure</v></cell><cell r="S4237" t="str"><v>Apps & Infra</v></cell><cell r="T4237" t="str"><v>Developers & ITI's</v></cell><cell r="U4237" t="str"><v>USA-Trial-ITD-Trial Lookalike-AZR-AZR</v></cell><cell r="V4237" t="str"><v>Lookalike Targeting</v></cell><cell r="W4237" t="str"><v>Canvas Ad</v></cell><cell r="X4237" t="str"><v>1x1</v></cell></row><row r="4237"><cell r="AA4237"><v>43311</v></cell><cell r="AB4237" t="str"><v>USA_gaPMG_AZR_AZR_Q1_19_Direct-Social</v></cell><cell r="AC4237"><v>21358715</v></cell><cell r="AD4237"><v>720197</v></cell><cell r="AE4237" t="str"><v>Facebook</v></cell><cell r="AF4237"><v>3654128</v></cell><cell r="AG4237" t="str"><v>FACEBOOK»USA-Trial-ITD-Trial Lookalike-AZR-AZR»1 x 1»SocialBan»CAN»ALL»CPA»LAL»X»NA»SS»NA»FBCTCBenefit2inMotion»PRC1M0</v></cell><cell r="AH4237"><v>223862927</v></cell><cell r="AI4237" t="str"><v>AzurePlatform_FBCTCBenefit2inMotion_USA_10s_CAN_PLATFORM_English_Trial_Standard_STAN_TIN_T4_2</v></cell><cell r="AJ4237"><v>103178645</v></cell></row><row r="4238"><cell r="C4238" t="str"><v>43311FACEBOOK»USA-Trial-ITD-Trial Lookalike-AZR-AZR»1 x 1»SocialBan»LIA»ALL»CPA»LAL»X»NA»SS»NA»FreeAcctDeveloperFB-AnimatedAI-Ch3»PRC1M7</v></cell><cell r="D4238" t="str"><v>43311223934104</v></cell><cell r="E4238" t="str"><v>43311103032778PRC1M7</v></cell><cell r="F4238" t="str"><v>DCM</v></cell></row><row r="4238"><cell r="K4238" t="str"><v>July</v></cell><cell r="L4238"><v>43316</v></cell><cell r="M4238" t="str"><v>Tier 0</v></cell><cell r="N4238" t="str"><v>North America</v></cell><cell r="O4238" t="str"><v>United States</v></cell><cell r="P4238" t="str"><v>Trial</v></cell><cell r="Q4238" t="str"><v>Social</v></cell><cell r="R4238" t="str"><v>Azure</v></cell><cell r="S4238" t="str"><v>Apps & Infra</v></cell><cell r="T4238" t="str"><v>Developers & ITI's</v></cell><cell r="U4238" t="str"><v>USA-Trial-ITD-Trial Lookalike-AZR-AZR</v></cell><cell r="V4238" t="str"><v>Lookalike Targeting</v></cell><cell r="W4238" t="str"><v>Link Ad</v></cell><cell r="X4238" t="str"><v>1x1</v></cell></row><row r="4238"><cell r="AA4238"><v>43311</v></cell><cell r="AB4238" t="str"><v>USA_gaPMG_AZR_AZR_Q1_19_Direct-Social</v></cell><cell r="AC4238"><v>21358715</v></cell><cell r="AD4238"><v>720197</v></cell><cell r="AE4238" t="str"><v>Facebook</v></cell><cell r="AF4238"><v>3654128</v></cell><cell r="AG4238" t="str"><v>FACEBOOK»USA-Trial-ITD-Trial Lookalike-AZR-AZR»1 x 1»SocialBan»LIA»ALL»CPA»LAL»X»NA»SS»NA»FreeAcctDeveloperFB-AnimatedAI-Ch3»PRC1M7</v></cell><cell r="AH4238"><v>223934104</v></cell><cell r="AI4238" t="str"><v>AZR_FreeAcctDeveloperFB-AnimatedAI-Ch3_USA_1200x1200_CAN_Direct_English_Trial_Standard_ANI_LEA_T3_1</v></cell><cell r="AJ4238"><v>103032778</v></cell></row><row r="4239"><cell r="C4239" t="str"><v>43311FACEBOOK»USA-Trial-ITD-Trial Lookalike-AZR-AZR»1 x 1»SocialBan»LIA»ALL»CPA»LAL»X»NA»SS»NA»FreeAcctDeveloperFB-AnimatedData-Ch4»PRC1M8</v></cell><cell r="D4239" t="str"><v>43311223862933</v></cell><cell r="E4239" t="str"><v>43311103037935PRC1M8</v></cell><cell r="F4239" t="str"><v>DCM</v></cell></row><row r="4239"><cell r="K4239" t="str"><v>July</v></cell><cell r="L4239"><v>43316</v></cell><cell r="M4239" t="str"><v>Tier 0</v></cell><cell r="N4239" t="str"><v>North America</v></cell><cell r="O4239" t="str"><v>United States</v></cell><cell r="P4239" t="str"><v>Trial</v></cell><cell r="Q4239" t="str"><v>Social</v></cell><cell r="R4239" t="str"><v>Azure</v></cell><cell r="S4239" t="str"><v>Apps & Infra</v></cell><cell r="T4239" t="str"><v>Developers & ITI's</v></cell><cell r="U4239" t="str"><v>USA-Trial-ITD-Trial Lookalike-AZR-AZR</v></cell><cell r="V4239" t="str"><v>Lookalike Targeting</v></cell><cell r="W4239" t="str"><v>Link Ad</v></cell><cell r="X4239" t="str"><v>1x1</v></cell></row><row r="4239"><cell r="AA4239"><v>43311</v></cell><cell r="AB4239" t="str"><v>USA_gaPMG_AZR_AZR_Q1_19_Direct-Social</v></cell><cell r="AC4239"><v>21358715</v></cell><cell r="AD4239"><v>720197</v></cell><cell r="AE4239" t="str"><v>Facebook</v></cell><cell r="AF4239"><v>3654128</v></cell><cell r="AG4239" t="str"><v>FACEBOOK»USA-Trial-ITD-Trial Lookalike-AZR-AZR»1 x 1»SocialBan»LIA»ALL»CPA»LAL»X»NA»SS»NA»FreeAcctDeveloperFB-AnimatedData-Ch4»PRC1M8</v></cell><cell r="AH4239"><v>223862933</v></cell><cell r="AI4239" t="str"><v>AZR_FreeAcctDeveloperFB-AnimatedData-Ch4_USA_1200x1200_CAN_Direct_English_Trial_Standard_ANI_LEA_T4_2</v></cell><cell r="AJ4239"><v>103037935</v></cell></row><row r="4240"><cell r="C4240" t="str"><v>43311FACEBOOK»USA-Trial-ITD-Trial Lookalike-AZR-AZR»1 x 1»SocialBan»LIA»ALL»CPA»LAL»X»NA»SS»NA»FreeAcctITProFB-AnimatedHybrid-Ch2»PRC1MC</v></cell><cell r="D4240" t="str"><v>43311224104956</v></cell><cell r="E4240" t="str"><v>43311103180583PRC1MC</v></cell><cell r="F4240" t="str"><v>DCM</v></cell></row><row r="4240"><cell r="K4240" t="str"><v>July</v></cell><cell r="L4240"><v>43316</v></cell><cell r="M4240" t="str"><v>Tier 0</v></cell><cell r="N4240" t="str"><v>North America</v></cell><cell r="O4240" t="str"><v>United States</v></cell><cell r="P4240" t="str"><v>Trial</v></cell><cell r="Q4240" t="str"><v>Social</v></cell><cell r="R4240" t="str"><v>Azure</v></cell><cell r="S4240" t="str"><v>Apps & Infra</v></cell><cell r="T4240" t="str"><v>Developers & ITI's</v></cell><cell r="U4240" t="str"><v>USA-Trial-ITD-Trial Lookalike-AZR-AZR</v></cell><cell r="V4240" t="str"><v>Lookalike Targeting</v></cell><cell r="W4240" t="str"><v>Link Ad</v></cell><cell r="X4240" t="str"><v>1x1</v></cell></row><row r="4240"><cell r="AA4240"><v>43311</v></cell><cell r="AB4240" t="str"><v>USA_gaPMG_AZR_AZR_Q1_19_Direct-Social</v></cell><cell r="AC4240"><v>21358715</v></cell><cell r="AD4240"><v>720197</v></cell><cell r="AE4240" t="str"><v>Facebook</v></cell><cell r="AF4240"><v>3654128</v></cell><cell r="AG4240" t="str"><v>FACEBOOK»USA-Trial-ITD-Trial Lookalike-AZR-AZR»1 x 1»SocialBan»LIA»ALL»CPA»LAL»X»NA»SS»NA»FreeAcctITProFB-AnimatedHybrid-Ch2»PRC1MC</v></cell><cell r="AH4240"><v>224104956</v></cell><cell r="AI4240" t="str"><v>AZR_FreeAcctITProFB-AnimatedHybrid-Ch2_USA_1200x1200_CAN_Direct_English_Trial_Standard_ANI_LEA_T2_2</v></cell><cell r="AJ4240"><v>103180583</v></cell></row><row r="4241"><cell r="C4241" t="str"><v>43311FACEBOOK»USA-Trial-ITD-Trial Lookalike-AZR-AZR»1 x 1»SocialBan»CAN»ALL»CPA»LAL»X»NA»SS»NA»FBCTCBrandinMotion»PRC1M3</v></cell><cell r="D4241" t="str"><v>43311223862900</v></cell><cell r="E4241" t="str"><v>43311103176812PRC1M3</v></cell><cell r="F4241" t="str"><v>DCM</v></cell><cell r="G4241" t="str"><v>https://signup.azure.com/?OCID=AID%eexcid!_OLA_%ebuy!_%epid!_%ecid!</v></cell></row><row r="4241"><cell r="K4241" t="str"><v>July</v></cell><cell r="L4241"><v>43316</v></cell><cell r="M4241" t="str"><v>Tier 0</v></cell><cell r="N4241" t="str"><v>North America</v></cell><cell r="O4241" t="str"><v>United States</v></cell><cell r="P4241" t="str"><v>Trial</v></cell><cell r="Q4241" t="str"><v>Social</v></cell><cell r="R4241" t="str"><v>Azure</v></cell><cell r="S4241" t="str"><v>Apps & Infra</v></cell><cell r="T4241" t="str"><v>Developers & ITI's</v></cell><cell r="U4241" t="str"><v>USA-Trial-ITD-Trial Lookalike-AZR-AZR</v></cell><cell r="V4241" t="str"><v>Lookalike Targeting</v></cell><cell r="W4241" t="str"><v>Canvas Ad</v></cell><cell r="X4241" t="str"><v>1x1</v></cell></row><row r="4241"><cell r="AA4241"><v>43311</v></cell><cell r="AB4241" t="str"><v>USA_gaPMG_AZR_AZR_Q1_19_Direct-Social</v></cell><cell r="AC4241"><v>21358715</v></cell><cell r="AD4241"><v>720197</v></cell><cell r="AE4241" t="str"><v>Facebook</v></cell><cell r="AF4241"><v>3654128</v></cell><cell r="AG4241" t="str"><v>FACEBOOK»USA-Trial-ITD-Trial Lookalike-AZR-AZR»1 x 1»SocialBan»CAN»ALL»CPA»LAL»X»NA»SS»NA»FBCTCBrandinMotion»PRC1M3</v></cell><cell r="AH4241"><v>223862900</v></cell><cell r="AI4241" t="str"><v>AzurePlatform_FBCTCBrandinMotion_USA_10s_CAN_PLATFORM_English_Trial_Standard_STAN_TIN_T2_1</v></cell><cell r="AJ4241"><v>103176812</v></cell></row><row r="4242"><cell r="C4242" t="str"><v>43311FACEBOOK»USA-Trial-ITD-Trial Lookalike-AZR-AZR»1 x 1»SocialBan»CAN»ALL»CPA»LAL»X»NA»SS»NA»FBCTCBrandinMotion»PRC1M3</v></cell><cell r="D4242" t="str"><v>43311223862900</v></cell><cell r="E4242" t="str"><v>43311103032823PRC1M3</v></cell><cell r="F4242" t="str"><v>DCM</v></cell><cell r="G4242" t="str"><v>https://azure.microsoft.com/en-us/pricing/purchase-options/?v=18.19&OCID=AID%eexcid!_OLA_%ebuy!_%epid!_%ecid!</v></cell></row><row r="4242"><cell r="K4242" t="str"><v>July</v></cell><cell r="L4242"><v>43316</v></cell><cell r="M4242" t="str"><v>Tier 0</v></cell><cell r="N4242" t="str"><v>North America</v></cell><cell r="O4242" t="str"><v>United States</v></cell><cell r="P4242" t="str"><v>Trial</v></cell><cell r="Q4242" t="str"><v>Social</v></cell><cell r="R4242" t="str"><v>Azure</v></cell><cell r="S4242" t="str"><v>Apps & Infra</v></cell><cell r="T4242" t="str"><v>Developers & ITI's</v></cell><cell r="U4242" t="str"><v>USA-Trial-ITD-Trial Lookalike-AZR-AZR</v></cell><cell r="V4242" t="str"><v>Lookalike Targeting</v></cell><cell r="W4242" t="str"><v>Canvas Ad</v></cell><cell r="X4242" t="str"><v>1x1</v></cell></row><row r="4242"><cell r="AA4242"><v>43311</v></cell><cell r="AB4242" t="str"><v>USA_gaPMG_AZR_AZR_Q1_19_Direct-Social</v></cell><cell r="AC4242"><v>21358715</v></cell><cell r="AD4242"><v>720197</v></cell><cell r="AE4242" t="str"><v>Facebook</v></cell><cell r="AF4242"><v>3654128</v></cell><cell r="AG4242" t="str"><v>FACEBOOK»USA-Trial-ITD-Trial Lookalike-AZR-AZR»1 x 1»SocialBan»CAN»ALL»CPA»LAL»X»NA»SS»NA»FBCTCBrandinMotion»PRC1M3</v></cell><cell r="AH4242"><v>223862900</v></cell><cell r="AI4242" t="str"><v>AzurePlatform_FBCTCBrandinMotion_USA_10s_CAN_PLATFORM_English_Trial_Standard_STAN_TIN_T2_2</v></cell><cell r="AJ4242"><v>103032823</v></cell></row><row r="4243"><cell r="C4243" t="str"><v>43311FACEBOOK»USA-Trial-ITD-Trial PayGo Lookalike-AZR-AZR»1 x 1»SocialBan»CAN»ALL»CPA»LAL»X»NA»SS»NA»FBCTCBrandinMotion»PRC1Q3</v></cell><cell r="D4243" t="str"><v>43311223935349</v></cell><cell r="E4243" t="str"><v>43311103176812PRC1Q3</v></cell><cell r="F4243" t="str"><v>DCM</v></cell><cell r="G4243" t="str"><v>https://signup.azure.com/?OCID=AID%eexcid!_OLA_%ebuy!_%epid!_%ecid!</v></cell></row><row r="4243"><cell r="K4243" t="str"><v>July</v></cell><cell r="L4243"><v>43316</v></cell><cell r="M4243" t="str"><v>Tier 0</v></cell><cell r="N4243" t="str"><v>North America</v></cell><cell r="O4243" t="str"><v>United States</v></cell><cell r="P4243" t="str"><v>Trial</v></cell><cell r="Q4243" t="str"><v>Social</v></cell><cell r="R4243" t="str"><v>Azure</v></cell><cell r="S4243" t="str"><v>Apps & Infra</v></cell><cell r="T4243" t="str"><v>Developers & ITI's</v></cell><cell r="U4243" t="str"><v>USA-Trial-ITD-Trial PayGo Lookalike-AZR-AZR</v></cell><cell r="V4243" t="str"><v>Lookalike Targeting</v></cell><cell r="W4243" t="str"><v>Canvas Ad</v></cell><cell r="X4243" t="str"><v>1x1</v></cell></row><row r="4243"><cell r="AA4243"><v>43311</v></cell><cell r="AB4243" t="str"><v>USA_gaPMG_AZR_AZR_Q1_19_Direct-Social</v></cell><cell r="AC4243"><v>21358715</v></cell><cell r="AD4243"><v>720197</v></cell><cell r="AE4243" t="str"><v>Facebook</v></cell><cell r="AF4243"><v>3654128</v></cell><cell r="AG4243" t="str"><v>FACEBOOK»USA-Trial-ITD-Trial PayGo Lookalike-AZR-AZR»1 x 1»SocialBan»CAN»ALL»CPA»LAL»X»NA»SS»NA»FBCTCBrandinMotion»PRC1Q3</v></cell><cell r="AH4243"><v>223935349</v></cell><cell r="AI4243" t="str"><v>AzurePlatform_FBCTCBrandinMotion_USA_10s_CAN_PLATFORM_English_Trial_Standard_STAN_TIN_T2_1</v></cell><cell r="AJ4243"><v>103176812</v></cell></row><row r="4244"><cell r="C4244" t="str"><v>43311FACEBOOK»USA-Trial-ITD-Trial PayGo Lookalike-AZR-AZR»1 x 1»SocialBan»CAN»ALL»CPA»LAL»X»NA»SS»NA»FBCTCBrandinMotion»PRC1Q3</v></cell><cell r="D4244" t="str"><v>43311223935349</v></cell><cell r="E4244" t="str"><v>43311103032823PRC1Q3</v></cell><cell r="F4244" t="str"><v>DCM</v></cell><cell r="G4244" t="str"><v>https://azure.microsoft.com/en-us/pricing/purchase-options/?v=18.19&OCID=AID%eexcid!_OLA_%ebuy!_%epid!_%ecid!</v></cell></row><row r="4244"><cell r="K4244" t="str"><v>July</v></cell><cell r="L4244"><v>43316</v></cell><cell r="M4244" t="str"><v>Tier 0</v></cell><cell r="N4244" t="str"><v>North America</v></cell><cell r="O4244" t="str"><v>United States</v></cell><cell r="P4244" t="str"><v>Trial</v></cell><cell r="Q4244" t="str"><v>Social</v></cell><cell r="R4244" t="str"><v>Azure</v></cell><cell r="S4244" t="str"><v>Apps & Infra</v></cell><cell r="T4244" t="str"><v>Developers & ITI's</v></cell><cell r="U4244" t="str"><v>USA-Trial-ITD-Trial PayGo Lookalike-AZR-AZR</v></cell><cell r="V4244" t="str"><v>Lookalike Targeting</v></cell><cell r="W4244" t="str"><v>Canvas Ad</v></cell><cell r="X4244" t="str"><v>1x1</v></cell></row><row r="4244"><cell r="AA4244"><v>43311</v></cell><cell r="AB4244" t="str"><v>USA_gaPMG_AZR_AZR_Q1_19_Direct-Social</v></cell><cell r="AC4244"><v>21358715</v></cell><cell r="AD4244"><v>720197</v></cell><cell r="AE4244" t="str"><v>Facebook</v></cell><cell r="AF4244"><v>3654128</v></cell><cell r="AG4244" t="str"><v>FACEBOOK»USA-Trial-ITD-Trial PayGo Lookalike-AZR-AZR»1 x 1»SocialBan»CAN»ALL»CPA»LAL»X»NA»SS»NA»FBCTCBrandinMotion»PRC1Q3</v></cell><cell r="AH4244"><v>223935349</v></cell><cell r="AI4244" t="str"><v>AzurePlatform_FBCTCBrandinMotion_USA_10s_CAN_PLATFORM_English_Trial_Standard_STAN_TIN_T2_2</v></cell><cell r="AJ4244"><v>103032823</v></cell></row><row r="4245"><cell r="C4245" t="str"><v>43311FACEBOOK»USA-Trial-ITD-Trial PayGo Lookalike-AZR-AZR»1 x 1»SocialBan»LIA»ALL»CPA»LAL»X»NA»SS»NA»FreeAcctDeveloperFB-AnimatedGeneric-Ch1»PRC1Q6</v></cell><cell r="D4245" t="str"><v>43311224106129</v></cell><cell r="E4245" t="str"><v>43311103176851PRC1Q6</v></cell><cell r="F4245" t="str"><v>DCM</v></cell><cell r="G4245" t="str"><v>https://azure.microsoft.com/en-us/free/search/?OCID=AID%eexcid!_OLA_%ebuy!_%epid!_%ecid!</v></cell></row><row r="4245"><cell r="K4245" t="str"><v>July</v></cell><cell r="L4245"><v>43316</v></cell><cell r="M4245" t="str"><v>Tier 0</v></cell><cell r="N4245" t="str"><v>North America</v></cell><cell r="O4245" t="str"><v>United States</v></cell><cell r="P4245" t="str"><v>Trial</v></cell><cell r="Q4245" t="str"><v>Social</v></cell><cell r="R4245" t="str"><v>Azure</v></cell><cell r="S4245" t="str"><v>Apps & Infra</v></cell><cell r="T4245" t="str"><v>Developers & ITI's</v></cell><cell r="U4245" t="str"><v>USA-Trial-ITD-Trial PayGo Lookalike-AZR-AZR</v></cell><cell r="V4245" t="str"><v>Lookalike Targeting</v></cell><cell r="W4245" t="str"><v>Link Ad</v></cell><cell r="X4245" t="str"><v>1x1</v></cell></row><row r="4245"><cell r="AA4245"><v>43311</v></cell><cell r="AB4245" t="str"><v>USA_gaPMG_AZR_AZR_Q1_19_Direct-Social</v></cell><cell r="AC4245"><v>21358715</v></cell><cell r="AD4245"><v>720197</v></cell><cell r="AE4245" t="str"><v>Facebook</v></cell><cell r="AF4245"><v>3654128</v></cell><cell r="AG4245" t="str"><v>FACEBOOK»USA-Trial-ITD-Trial PayGo Lookalike-AZR-AZR»1 x 1»SocialBan»LIA»ALL»CPA»LAL»X»NA»SS»NA»FreeAcctDeveloperFB-AnimatedGeneric-Ch1»PRC1Q6</v></cell><cell r="AH4245"><v>224106129</v></cell><cell r="AI4245" t="str"><v>AZR_FreeAcctDeveloperFB-AnimatedGeneric-Ch1_USA_1200x1200_CAN_Direct_English_Trial_Standard_ANI_LEA_T1_2</v></cell><cell r="AJ4245"><v>103176851</v></cell></row><row r="4246"><cell r="C4246" t="str"><v>43311FACEBOOK»USA-Trial-ITD-Trial PayGo Lookalike-AZR-AZR»1 x 1»SocialBan»CCA»ALL»CPA»LAL»X»NA»SS»NA»Azure Developer Facebook Collections»PRSH6K</v></cell><cell r="D4246" t="str"><v>43311225217676</v></cell><cell r="E4246" t="str"><v>43311103773180PRSH6K</v></cell><cell r="F4246" t="str"><v>DCM</v></cell><cell r="G4246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246"><cell r="K4246" t="str"><v>July</v></cell><cell r="L4246"><v>43316</v></cell><cell r="M4246" t="str"><v>Tier 0</v></cell><cell r="N4246" t="str"><v>North America</v></cell><cell r="O4246" t="str"><v>United States</v></cell><cell r="P4246" t="str"><v>Trial</v></cell><cell r="Q4246" t="str"><v>Social</v></cell><cell r="R4246" t="str"><v>Azure</v></cell><cell r="S4246" t="str"><v>Apps & Infra</v></cell><cell r="T4246" t="str"><v>Developers & ITI's</v></cell><cell r="U4246" t="str"><v>USA-Trial-ITD-Trial PayGo Lookalike-AZR-AZR</v></cell><cell r="V4246" t="str"><v>Lookalike Targeting</v></cell><cell r="W4246" t="str"><v>Canvas Collection Ad</v></cell><cell r="X4246" t="str"><v>1x1</v></cell></row><row r="4246"><cell r="AA4246"><v>43311</v></cell><cell r="AB4246" t="str"><v>USA_gaPMG_AZR_AZR_Q1_19_Direct-Social</v></cell><cell r="AC4246"><v>21358715</v></cell><cell r="AD4246"><v>720197</v></cell><cell r="AE4246" t="str"><v>Facebook</v></cell><cell r="AF4246"><v>3654128</v></cell><cell r="AG4246" t="str"><v>FACEBOOK»USA-Trial-ITD-Trial PayGo Lookalike-AZR-AZR»1 x 1»SocialBan»CCA»ALL»CPA»LAL»X»NA»SS»NA»Azure Developer Facebook Collections»PRSH6K</v></cell><cell r="AH4246"><v>225217676</v></cell><cell r="AI4246" t="str"><v>AZR_FBCollections-SmartDataTryAzureFreeCTA-Img4_USA_1200x182_SOC_Plat_EN_NA_Standard_NA_TIN_T1_4</v></cell><cell r="AJ4246"><v>103773180</v></cell></row><row r="4247"><cell r="C4247" t="str"><v>43311FACEBOOK»USA-Trial-ITD-Retargeting-AZR-AZR»1 x 1»SocialBan»CCA»ALL»CPA»RT»X»NA»SS»NA»Azure Developer Facebook Collections»PRSGY7</v></cell><cell r="D4247" t="str"><v>43311225283585</v></cell><cell r="E4247" t="str"><v>43311103773177PRSGY7</v></cell><cell r="F4247" t="str"><v>DCM</v></cell><cell r="G4247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247"><cell r="K4247" t="str"><v>July</v></cell><cell r="L4247"><v>43316</v></cell><cell r="M4247" t="str"><v>Tier 0</v></cell><cell r="N4247" t="str"><v>North America</v></cell><cell r="O4247" t="str"><v>United States</v></cell><cell r="P4247" t="str"><v>Trial</v></cell><cell r="Q4247" t="str"><v>Social</v></cell><cell r="R4247" t="str"><v>Azure</v></cell><cell r="S4247" t="str"><v>Apps & Infra</v></cell><cell r="T4247" t="str"><v>Developers & ITI's</v></cell><cell r="U4247" t="str"><v>USA-Trial-ITD-Retargeting-AZR-AZR</v></cell><cell r="V4247" t="str"><v>Retargeting</v></cell><cell r="W4247" t="str"><v>Canvas Collection Ad</v></cell><cell r="X4247" t="str"><v>1x1</v></cell></row><row r="4247"><cell r="AA4247"><v>43311</v></cell><cell r="AB4247" t="str"><v>USA_gaPMG_AZR_AZR_Q1_19_Direct-Social</v></cell><cell r="AC4247"><v>21358715</v></cell><cell r="AD4247"><v>720197</v></cell><cell r="AE4247" t="str"><v>Facebook</v></cell><cell r="AF4247"><v>3654128</v></cell><cell r="AG4247" t="str"><v>FACEBOOK»USA-Trial-ITD-Retargeting-AZR-AZR»1 x 1»SocialBan»CCA»ALL»CPA»RT»X»NA»SS»NA»Azure Developer Facebook Collections»PRSGY7</v></cell><cell r="AH4247"><v>225283585</v></cell><cell r="AI4247" t="str"><v>AZR_FBCollections-AITryAzureFreeCTA-Img2_USA_1200x182_SOC_Plat_EN_NA_Standard_NA_TIN_T1_2</v></cell><cell r="AJ4247"><v>103773177</v></cell></row><row r="4248"><cell r="C4248" t="str"><v>43311FACEBOOK»USA-Trial-ITD-Retargeting-AZR-AZR»1 x 1»SocialBan»CCA»ALL»CPA»RT»X»NA»SS»NA»Azure Developer Facebook Collections»PRSGY7</v></cell><cell r="D4248" t="str"><v>43311225283585</v></cell><cell r="E4248" t="str"><v>43311103776921PRSGY7</v></cell><cell r="F4248" t="str"><v>DCM</v></cell><cell r="G4248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248"><cell r="K4248" t="str"><v>July</v></cell><cell r="L4248"><v>43316</v></cell><cell r="M4248" t="str"><v>Tier 0</v></cell><cell r="N4248" t="str"><v>North America</v></cell><cell r="O4248" t="str"><v>United States</v></cell><cell r="P4248" t="str"><v>Trial</v></cell><cell r="Q4248" t="str"><v>Social</v></cell><cell r="R4248" t="str"><v>Azure</v></cell><cell r="S4248" t="str"><v>Apps & Infra</v></cell><cell r="T4248" t="str"><v>Developers & ITI's</v></cell><cell r="U4248" t="str"><v>USA-Trial-ITD-Retargeting-AZR-AZR</v></cell><cell r="V4248" t="str"><v>Retargeting</v></cell><cell r="W4248" t="str"><v>Canvas Collection Ad</v></cell><cell r="X4248" t="str"><v>1x1</v></cell></row><row r="4248"><cell r="AA4248"><v>43311</v></cell><cell r="AB4248" t="str"><v>USA_gaPMG_AZR_AZR_Q1_19_Direct-Social</v></cell><cell r="AC4248"><v>21358715</v></cell><cell r="AD4248"><v>720197</v></cell><cell r="AE4248" t="str"><v>Facebook</v></cell><cell r="AF4248"><v>3654128</v></cell><cell r="AG4248" t="str"><v>FACEBOOK»USA-Trial-ITD-Retargeting-AZR-AZR»1 x 1»SocialBan»CCA»ALL»CPA»RT»X»NA»SS»NA»Azure Developer Facebook Collections»PRSGY7</v></cell><cell r="AH4248"><v>225283585</v></cell><cell r="AI4248" t="str"><v>AZR_FBCollections-FreeStuffTryAzureFreeCTA-Img5_USA_1200x182_SOC_Plat_EN_NA_Standard_NA_TIN_T1_5</v></cell><cell r="AJ4248"><v>103776921</v></cell></row><row r="4249"><cell r="C4249" t="str"><v>43311FACEBOOK»USA-Trial-ITD-Retargeting-AZR-AZR»1 x 1»SocialBan»CCA»ALL»CPA»RT»X»NA»SS»NA»Azure Developer Facebook Collections»PRSGY7</v></cell><cell r="D4249" t="str"><v>43311225283585</v></cell><cell r="E4249" t="str"><v>43311103773180PRSGY7</v></cell><cell r="F4249" t="str"><v>DCM</v></cell><cell r="G424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249"><cell r="K4249" t="str"><v>July</v></cell><cell r="L4249"><v>43316</v></cell><cell r="M4249" t="str"><v>Tier 0</v></cell><cell r="N4249" t="str"><v>North America</v></cell><cell r="O4249" t="str"><v>United States</v></cell><cell r="P4249" t="str"><v>Trial</v></cell><cell r="Q4249" t="str"><v>Social</v></cell><cell r="R4249" t="str"><v>Azure</v></cell><cell r="S4249" t="str"><v>Apps & Infra</v></cell><cell r="T4249" t="str"><v>Developers & ITI's</v></cell><cell r="U4249" t="str"><v>USA-Trial-ITD-Retargeting-AZR-AZR</v></cell><cell r="V4249" t="str"><v>Retargeting</v></cell><cell r="W4249" t="str"><v>Canvas Collection Ad</v></cell><cell r="X4249" t="str"><v>1x1</v></cell></row><row r="4249"><cell r="AA4249"><v>43311</v></cell><cell r="AB4249" t="str"><v>USA_gaPMG_AZR_AZR_Q1_19_Direct-Social</v></cell><cell r="AC4249"><v>21358715</v></cell><cell r="AD4249"><v>720197</v></cell><cell r="AE4249" t="str"><v>Facebook</v></cell><cell r="AF4249"><v>3654128</v></cell><cell r="AG4249" t="str"><v>FACEBOOK»USA-Trial-ITD-Retargeting-AZR-AZR»1 x 1»SocialBan»CCA»ALL»CPA»RT»X»NA»SS»NA»Azure Developer Facebook Collections»PRSGY7</v></cell><cell r="AH4249"><v>225283585</v></cell><cell r="AI4249" t="str"><v>AZR_FBCollections-SmartDataTryAzureFreeCTA-Img4_USA_1200x182_SOC_Plat_EN_NA_Standard_NA_TIN_T1_4</v></cell><cell r="AJ4249"><v>103773180</v></cell></row><row r="4250"><cell r="C4250" t="str"><v>43311FACEBOOK»USA-Trial-ITD-Retargeting-AZR-AZR»1 x 1»SocialBan»CCA»ALL»CPA»RT»X»NA»SS»NA»Azure Developer Facebook Collections»PRSGY7</v></cell><cell r="D4250" t="str"><v>43311225283585</v></cell><cell r="E4250" t="str"><v>43311103874423PRSGY7</v></cell><cell r="F4250" t="str"><v>DCM</v></cell><cell r="G4250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250"><cell r="K4250" t="str"><v>July</v></cell><cell r="L4250"><v>43316</v></cell><cell r="M4250" t="str"><v>Tier 0</v></cell><cell r="N4250" t="str"><v>North America</v></cell><cell r="O4250" t="str"><v>United States</v></cell><cell r="P4250" t="str"><v>Trial</v></cell><cell r="Q4250" t="str"><v>Social</v></cell><cell r="R4250" t="str"><v>Azure</v></cell><cell r="S4250" t="str"><v>Apps & Infra</v></cell><cell r="T4250" t="str"><v>Developers & ITI's</v></cell><cell r="U4250" t="str"><v>USA-Trial-ITD-Retargeting-AZR-AZR</v></cell><cell r="V4250" t="str"><v>Retargeting</v></cell><cell r="W4250" t="str"><v>Canvas Collection Ad</v></cell><cell r="X4250" t="str"><v>1x1</v></cell></row><row r="4250"><cell r="AA4250"><v>43311</v></cell><cell r="AB4250" t="str"><v>USA_gaPMG_AZR_AZR_Q1_19_Direct-Social</v></cell><cell r="AC4250"><v>21358715</v></cell><cell r="AD4250"><v>720197</v></cell><cell r="AE4250" t="str"><v>Facebook</v></cell><cell r="AF4250"><v>3654128</v></cell><cell r="AG4250" t="str"><v>FACEBOOK»USA-Trial-ITD-Retargeting-AZR-AZR»1 x 1»SocialBan»CCA»ALL»CPA»RT»X»NA»SS»NA»Azure Developer Facebook Collections»PRSGY7</v></cell><cell r="AH4250"><v>225283585</v></cell><cell r="AI4250" t="str"><v>AZR_FBCollections-TryAzureFreeCTA-Img1_USA_1200x182_SOC_Plat_EN_NA_Standard_NA_TIN_T1_1</v></cell><cell r="AJ4250"><v>103874423</v></cell></row><row r="4251"><cell r="C4251" t="str"><v>43311FACEBOOK»USA-Trial-ITD-Interest Prospecting-AZR-AZR»1 x 1»SocialBan»LIA»ALL»CPA»PRO»X»NA»SS»NA»FreeAcctDeveloperFB-AnimatedAI-Ch3»PRC1T2</v></cell><cell r="D4251" t="str"><v>43311223862765</v></cell><cell r="E4251" t="str"><v>43311103032778PRC1T2</v></cell><cell r="F4251" t="str"><v>DCM</v></cell></row><row r="4251"><cell r="K4251" t="str"><v>July</v></cell><cell r="L4251"><v>43316</v></cell><cell r="M4251" t="str"><v>Tier 0</v></cell><cell r="N4251" t="str"><v>North America</v></cell><cell r="O4251" t="str"><v>United States</v></cell><cell r="P4251" t="str"><v>Trial</v></cell><cell r="Q4251" t="str"><v>Social</v></cell><cell r="R4251" t="str"><v>Azure</v></cell><cell r="S4251" t="str"><v>Apps & Infra</v></cell><cell r="T4251" t="str"><v>Developers & ITI's</v></cell><cell r="U4251" t="str"><v>USA-Trial-ITD-Interest Prospecting-AZR-AZR</v></cell><cell r="V4251" t="str"><v>Prospecting</v></cell><cell r="W4251" t="str"><v>Link Ad</v></cell><cell r="X4251" t="str"><v>1x1</v></cell></row><row r="4251"><cell r="AA4251"><v>43311</v></cell><cell r="AB4251" t="str"><v>USA_gaPMG_AZR_AZR_Q1_19_Direct-Social</v></cell><cell r="AC4251"><v>21358715</v></cell><cell r="AD4251"><v>720197</v></cell><cell r="AE4251" t="str"><v>Facebook</v></cell><cell r="AF4251"><v>3654128</v></cell><cell r="AG4251" t="str"><v>FACEBOOK»USA-Trial-ITD-Interest Prospecting-AZR-AZR»1 x 1»SocialBan»LIA»ALL»CPA»PRO»X»NA»SS»NA»FreeAcctDeveloperFB-AnimatedAI-Ch3»PRC1T2</v></cell><cell r="AH4251"><v>223862765</v></cell><cell r="AI4251" t="str"><v>AZR_FreeAcctDeveloperFB-AnimatedAI-Ch3_USA_1200x1200_CAN_Direct_English_Trial_Standard_ANI_LEA_T3_1</v></cell><cell r="AJ4251"><v>103032778</v></cell></row><row r="4252"><cell r="C4252" t="str"><v>43311FACEBOOK»USA-Trial-ITD-Interest Prospecting-AZR-AZR»1 x 1»SocialBan»LIA»ALL»CPA»PRO»X»NA»SS»NA»FreeAcctDeveloperFB-AnimatedData-Ch4»PRC1T3</v></cell><cell r="D4252" t="str"><v>43311223863380</v></cell><cell r="E4252" t="str"><v>43311103037935PRC1T3</v></cell><cell r="F4252" t="str"><v>DCM</v></cell></row><row r="4252"><cell r="K4252" t="str"><v>July</v></cell><cell r="L4252"><v>43316</v></cell><cell r="M4252" t="str"><v>Tier 0</v></cell><cell r="N4252" t="str"><v>North America</v></cell><cell r="O4252" t="str"><v>United States</v></cell><cell r="P4252" t="str"><v>Trial</v></cell><cell r="Q4252" t="str"><v>Social</v></cell><cell r="R4252" t="str"><v>Azure</v></cell><cell r="S4252" t="str"><v>Apps & Infra</v></cell><cell r="T4252" t="str"><v>Developers & ITI's</v></cell><cell r="U4252" t="str"><v>USA-Trial-ITD-Interest Prospecting-AZR-AZR</v></cell><cell r="V4252" t="str"><v>Prospecting</v></cell><cell r="W4252" t="str"><v>Link Ad</v></cell><cell r="X4252" t="str"><v>1x1</v></cell></row><row r="4252"><cell r="AA4252"><v>43311</v></cell><cell r="AB4252" t="str"><v>USA_gaPMG_AZR_AZR_Q1_19_Direct-Social</v></cell><cell r="AC4252"><v>21358715</v></cell><cell r="AD4252"><v>720197</v></cell><cell r="AE4252" t="str"><v>Facebook</v></cell><cell r="AF4252"><v>3654128</v></cell><cell r="AG4252" t="str"><v>FACEBOOK»USA-Trial-ITD-Interest Prospecting-AZR-AZR»1 x 1»SocialBan»LIA»ALL»CPA»PRO»X»NA»SS»NA»FreeAcctDeveloperFB-AnimatedData-Ch4»PRC1T3</v></cell><cell r="AH4252"><v>223863380</v></cell><cell r="AI4252" t="str"><v>AZR_FreeAcctDeveloperFB-AnimatedData-Ch4_USA_1200x1200_CAN_Direct_English_Trial_Standard_ANI_LEA_T4_2</v></cell><cell r="AJ4252"><v>103037935</v></cell></row><row r="4253"><cell r="C4253" t="str"><v>43311FACEBOOK»USA-Trial-ITD-Interest Prospecting-AZR-AZR»1 x 1»SocialBan»LIA»ALL»CPA»PRO»X»NA»SS»NA»FreeAcctDeveloperFB-AnimatedOpenSource-Ch2»PRC1T1</v></cell><cell r="D4253" t="str"><v>43311223862885</v></cell><cell r="E4253" t="str"><v>43311103048329PRC1T1</v></cell><cell r="F4253" t="str"><v>DCM</v></cell><cell r="G4253" t="str"><v>https://azure.microsoft.com/en-us/free/open-source/search/?OCID=AID%eexcid!_OLA_%ebuy!_%epid!_%ecid!</v></cell></row><row r="4253"><cell r="K4253" t="str"><v>July</v></cell><cell r="L4253"><v>43316</v></cell><cell r="M4253" t="str"><v>Tier 0</v></cell><cell r="N4253" t="str"><v>North America</v></cell><cell r="O4253" t="str"><v>United States</v></cell><cell r="P4253" t="str"><v>Trial</v></cell><cell r="Q4253" t="str"><v>Social</v></cell><cell r="R4253" t="str"><v>Azure</v></cell><cell r="S4253" t="str"><v>Apps & Infra</v></cell><cell r="T4253" t="str"><v>Developers & ITI's</v></cell><cell r="U4253" t="str"><v>USA-Trial-ITD-Interest Prospecting-AZR-AZR</v></cell><cell r="V4253" t="str"><v>Prospecting</v></cell><cell r="W4253" t="str"><v>Link Ad</v></cell><cell r="X4253" t="str"><v>1x1</v></cell></row><row r="4253"><cell r="AA4253"><v>43311</v></cell><cell r="AB4253" t="str"><v>USA_gaPMG_AZR_AZR_Q1_19_Direct-Social</v></cell><cell r="AC4253"><v>21358715</v></cell><cell r="AD4253"><v>720197</v></cell><cell r="AE4253" t="str"><v>Facebook</v></cell><cell r="AF4253"><v>3654128</v></cell><cell r="AG4253" t="str"><v>FACEBOOK»USA-Trial-ITD-Interest Prospecting-AZR-AZR»1 x 1»SocialBan»LIA»ALL»CPA»PRO»X»NA»SS»NA»FreeAcctDeveloperFB-AnimatedOpenSource-Ch2»PRC1T1</v></cell><cell r="AH4253"><v>223862885</v></cell><cell r="AI4253" t="str"><v>AZR_FreeAcctDeveloperFB-AnimatedOpenSource-Ch2_USA_1200x1200_CAN_Direct_English_Trial_Standard_ANI_LEA_T2_1</v></cell><cell r="AJ4253"><v>103048329</v></cell></row><row r="4254"><cell r="C4254" t="str"><v>43311FACEBOOK»USA-Trial-ITD-Interest Prospecting-AZR-AZR»1 x 1»SocialBan»LIA»ALL»CPA»PRO»X»NA»SS»NA»FreeAcctITProFB-AnimatedMigration-Ch3»PRC1X2</v></cell><cell r="D4254" t="str"><v>43311224106954</v></cell><cell r="E4254" t="str"><v>43311103176827PRC1X2</v></cell><cell r="F4254" t="str"><v>DCM</v></cell></row><row r="4254"><cell r="K4254" t="str"><v>July</v></cell><cell r="L4254"><v>43316</v></cell><cell r="M4254" t="str"><v>Tier 0</v></cell><cell r="N4254" t="str"><v>North America</v></cell><cell r="O4254" t="str"><v>United States</v></cell><cell r="P4254" t="str"><v>Trial</v></cell><cell r="Q4254" t="str"><v>Social</v></cell><cell r="R4254" t="str"><v>Azure</v></cell><cell r="S4254" t="str"><v>Apps & Infra</v></cell><cell r="T4254" t="str"><v>Developers & ITI's</v></cell><cell r="U4254" t="str"><v>USA-Trial-ITD-Interest Prospecting-AZR-AZR</v></cell><cell r="V4254" t="str"><v>Prospecting</v></cell><cell r="W4254" t="str"><v>Link Ad</v></cell><cell r="X4254" t="str"><v>1x1</v></cell></row><row r="4254"><cell r="AA4254"><v>43311</v></cell><cell r="AB4254" t="str"><v>USA_gaPMG_AZR_AZR_Q1_19_Direct-Social</v></cell><cell r="AC4254"><v>21358715</v></cell><cell r="AD4254"><v>720197</v></cell><cell r="AE4254" t="str"><v>Facebook</v></cell><cell r="AF4254"><v>3654128</v></cell><cell r="AG4254" t="str"><v>FACEBOOK»USA-Trial-ITD-Interest Prospecting-AZR-AZR»1 x 1»SocialBan»LIA»ALL»CPA»PRO»X»NA»SS»NA»FreeAcctITProFB-AnimatedMigration-Ch3»PRC1X2</v></cell><cell r="AH4254"><v>224106954</v></cell><cell r="AI4254" t="str"><v>AZR_FreeAcctITProFB-AnimatedMigration-Ch3_USA_1200x1200_CAN_Direct_English_Trial_Standard_ANI_LEA_T3_1</v></cell><cell r="AJ4254"><v>103176827</v></cell></row><row r="4255"><cell r="C4255" t="str"><v>43311FACEBOOK»USA-Trial-ITD-Retargeting-AZR-AZR»1 x 1»SocialBan»LIA»ALL»CPA»RT»X»NA»SS»NA»FreeAcctDeveloperFB-AnimatedGeneric-Ch1»PRC26D</v></cell><cell r="D4255" t="str"><v>43311223862870</v></cell><cell r="E4255" t="str"><v>43311103176851PRC26D</v></cell><cell r="F4255" t="str"><v>DCM</v></cell><cell r="G4255" t="str"><v>https://azure.microsoft.com/en-us/free/search/?OCID=AID%eexcid!_OLA_%ebuy!_%epid!_%ecid!</v></cell></row><row r="4255"><cell r="K4255" t="str"><v>July</v></cell><cell r="L4255"><v>43316</v></cell><cell r="M4255" t="str"><v>Tier 0</v></cell><cell r="N4255" t="str"><v>North America</v></cell><cell r="O4255" t="str"><v>United States</v></cell><cell r="P4255" t="str"><v>Trial</v></cell><cell r="Q4255" t="str"><v>Social</v></cell><cell r="R4255" t="str"><v>Azure</v></cell><cell r="S4255" t="str"><v>Apps & Infra</v></cell><cell r="T4255" t="str"><v>Developers & ITI's</v></cell><cell r="U4255" t="str"><v>USA-Trial-ITD-Retargeting-AZR-AZR</v></cell><cell r="V4255" t="str"><v>Retargeting</v></cell><cell r="W4255" t="str"><v>Link Ad</v></cell><cell r="X4255" t="str"><v>1x1</v></cell></row><row r="4255"><cell r="AA4255"><v>43311</v></cell><cell r="AB4255" t="str"><v>USA_gaPMG_AZR_AZR_Q1_19_Direct-Social</v></cell><cell r="AC4255"><v>21358715</v></cell><cell r="AD4255"><v>720197</v></cell><cell r="AE4255" t="str"><v>Facebook</v></cell><cell r="AF4255"><v>3654128</v></cell><cell r="AG4255" t="str"><v>FACEBOOK»USA-Trial-ITD-Retargeting-AZR-AZR»1 x 1»SocialBan»LIA»ALL»CPA»RT»X»NA»SS»NA»FreeAcctDeveloperFB-AnimatedGeneric-Ch1»PRC26D</v></cell><cell r="AH4255"><v>223862870</v></cell><cell r="AI4255" t="str"><v>AZR_FreeAcctDeveloperFB-AnimatedGeneric-Ch1_USA_1200x1200_CAN_Direct_English_Trial_Standard_ANI_LEA_T1_2</v></cell><cell r="AJ4255"><v>103176851</v></cell></row><row r="4256"><cell r="C4256" t="str"><v>43311FACEBOOK»USA-Trial-ITD-Retargeting-AZR-AZR»1 x 1»SocialBan»LIA»ALL»CPA»RT»X»NA»SS»NA»FreeAcctRetargetingOSSFB-Logos-ChG»PRC1S2</v></cell><cell r="D4256" t="str"><v>43311224106063</v></cell><cell r="E4256" t="str"><v>43311103176008PRC1S2</v></cell><cell r="F4256" t="str"><v>DCM</v></cell><cell r="G4256" t="str"><v>https://azure.microsoft.com/en-us/free/open-source/search/?OCID=AID%eexcid!_OLA_%ebuy!_%epid!_%ecid!</v></cell></row><row r="4256"><cell r="K4256" t="str"><v>July</v></cell><cell r="L4256"><v>43316</v></cell><cell r="M4256" t="str"><v>Tier 0</v></cell><cell r="N4256" t="str"><v>North America</v></cell><cell r="O4256" t="str"><v>United States</v></cell><cell r="P4256" t="str"><v>Trial</v></cell><cell r="Q4256" t="str"><v>Social</v></cell><cell r="R4256" t="str"><v>Azure</v></cell><cell r="S4256" t="str"><v>Apps & Infra</v></cell><cell r="T4256" t="str"><v>Developers & ITI's</v></cell><cell r="U4256" t="str"><v>USA-Trial-ITD-Retargeting-AZR-AZR</v></cell><cell r="V4256" t="str"><v>Retargeting</v></cell><cell r="W4256" t="str"><v>Link Ad</v></cell><cell r="X4256" t="str"><v>1x1</v></cell></row><row r="4256"><cell r="AA4256"><v>43311</v></cell><cell r="AB4256" t="str"><v>USA_gaPMG_AZR_AZR_Q1_19_Direct-Social</v></cell><cell r="AC4256"><v>21358715</v></cell><cell r="AD4256"><v>720197</v></cell><cell r="AE4256" t="str"><v>Facebook</v></cell><cell r="AF4256"><v>3654128</v></cell><cell r="AG4256" t="str"><v>FACEBOOK»USA-Trial-ITD-Retargeting-AZR-AZR»1 x 1»SocialBan»LIA»ALL»CPA»RT»X»NA»SS»NA»FreeAcctRetargetingOSSFB-Logos-ChG»PRC1S2</v></cell><cell r="AH4256"><v>224106063</v></cell><cell r="AI4256" t="str"><v>AzurePlatform_FreeAcctRetargetingOSSFB-Logos-ChG_USA_1200x628_CAN_PLATFORM_English_Free Account_Standard_NA_SINU_T2_1</v></cell><cell r="AJ4256"><v>103176008</v></cell></row><row r="4257"><cell r="C4257" t="str"><v>43311FACEBOOK»USA-Trial-ITD-Retargeting-AZR-AZR»1 x 1»SocialBan»LIA»ALL»CPA»RT»X»NA»SS»NA»FreeAcctRetargetingOSSFB-Text-ChF»PRC1S1</v></cell><cell r="D4257" t="str"><v>43311223862753</v></cell><cell r="E4257" t="str"><v>43311103176869PRC1S1</v></cell><cell r="F4257" t="str"><v>DCM</v></cell><cell r="G4257" t="str"><v>https://azure.microsoft.com/en-us/free/open-source/search/?OCID=AID%eexcid!_OLA_%ebuy!_%epid!_%ecid!</v></cell></row><row r="4257"><cell r="K4257" t="str"><v>July</v></cell><cell r="L4257"><v>43316</v></cell><cell r="M4257" t="str"><v>Tier 0</v></cell><cell r="N4257" t="str"><v>North America</v></cell><cell r="O4257" t="str"><v>United States</v></cell><cell r="P4257" t="str"><v>Trial</v></cell><cell r="Q4257" t="str"><v>Social</v></cell><cell r="R4257" t="str"><v>Azure</v></cell><cell r="S4257" t="str"><v>Apps & Infra</v></cell><cell r="T4257" t="str"><v>Developers & ITI's</v></cell><cell r="U4257" t="str"><v>USA-Trial-ITD-Retargeting-AZR-AZR</v></cell><cell r="V4257" t="str"><v>Retargeting</v></cell><cell r="W4257" t="str"><v>Link Ad</v></cell><cell r="X4257" t="str"><v>1x1</v></cell></row><row r="4257"><cell r="AA4257"><v>43311</v></cell><cell r="AB4257" t="str"><v>USA_gaPMG_AZR_AZR_Q1_19_Direct-Social</v></cell><cell r="AC4257"><v>21358715</v></cell><cell r="AD4257"><v>720197</v></cell><cell r="AE4257" t="str"><v>Facebook</v></cell><cell r="AF4257"><v>3654128</v></cell><cell r="AG4257" t="str"><v>FACEBOOK»USA-Trial-ITD-Retargeting-AZR-AZR»1 x 1»SocialBan»LIA»ALL»CPA»RT»X»NA»SS»NA»FreeAcctRetargetingOSSFB-Text-ChF»PRC1S1</v></cell><cell r="AH4257"><v>223862753</v></cell><cell r="AI4257" t="str"><v>AzurePlatform_FreeAcctRetargetingOSSFB-Text-ChF_USA_1200x628_CAN_PLATFORM_English_Free Account_Standard_NA_SINU_T1_2</v></cell><cell r="AJ4257"><v>103176869</v></cell></row><row r="4258"><cell r="C4258" t="str"><v>43311FACEBOOK»USA-Trial-ITD-Retargeting-AZR-AZR»1 x 1»SocialBan»LIA»ALL»CPA»RT»X»NA»SS»NA»FreeAcctITProFB-AnimatedSecureMngd-Ch1»PRC26K</v></cell><cell r="D4258" t="str"><v>43311223862762</v></cell><cell r="E4258" t="str"><v>43311103176830PRC26K</v></cell><cell r="F4258" t="str"><v>DCM</v></cell></row><row r="4258"><cell r="K4258" t="str"><v>July</v></cell><cell r="L4258"><v>43316</v></cell><cell r="M4258" t="str"><v>Tier 0</v></cell><cell r="N4258" t="str"><v>North America</v></cell><cell r="O4258" t="str"><v>United States</v></cell><cell r="P4258" t="str"><v>Trial</v></cell><cell r="Q4258" t="str"><v>Social</v></cell><cell r="R4258" t="str"><v>Azure</v></cell><cell r="S4258" t="str"><v>Apps & Infra</v></cell><cell r="T4258" t="str"><v>Developers & ITI's</v></cell><cell r="U4258" t="str"><v>USA-Trial-ITD-Retargeting-AZR-AZR</v></cell><cell r="V4258" t="str"><v>Retargeting</v></cell><cell r="W4258" t="str"><v>Link Ad</v></cell><cell r="X4258" t="str"><v>1x1</v></cell></row><row r="4258"><cell r="AA4258"><v>43311</v></cell><cell r="AB4258" t="str"><v>USA_gaPMG_AZR_AZR_Q1_19_Direct-Social</v></cell><cell r="AC4258"><v>21358715</v></cell><cell r="AD4258"><v>720197</v></cell><cell r="AE4258" t="str"><v>Facebook</v></cell><cell r="AF4258"><v>3654128</v></cell><cell r="AG4258" t="str"><v>FACEBOOK»USA-Trial-ITD-Retargeting-AZR-AZR»1 x 1»SocialBan»LIA»ALL»CPA»RT»X»NA»SS»NA»FreeAcctITProFB-AnimatedSecureMngd-Ch1»PRC26K</v></cell><cell r="AH4258"><v>223862762</v></cell><cell r="AI4258" t="str"><v>AZR_FreeAcctITProFB-AnimatedSecureMngd-Ch1_USA_1200x1200_CAN_Direct_English_Trial_Standard_ANI_LEA_T1_1</v></cell><cell r="AJ4258"><v>103176830</v></cell></row><row r="4259"><cell r="C4259" t="str"><v>43311FACEBOOK»USA-Trial-ITD-Trial Lookalike-AZR-AZR»1 x 1»SocialBan»LIA»ALL»CPA»LAL»X»NA»SS»NA»FreeAcctDeveloperFB-AnimatedGeneric-Ch1»PRC1M4</v></cell><cell r="D4259" t="str"><v>43311224104941</v></cell><cell r="E4259" t="str"><v>43311103176851PRC1M4</v></cell><cell r="F4259" t="str"><v>DCM</v></cell><cell r="G4259" t="str"><v>https://azure.microsoft.com/en-us/free/search/?OCID=AID%eexcid!_OLA_%ebuy!_%epid!_%ecid!</v></cell></row><row r="4259"><cell r="K4259" t="str"><v>July</v></cell><cell r="L4259"><v>43316</v></cell><cell r="M4259" t="str"><v>Tier 0</v></cell><cell r="N4259" t="str"><v>North America</v></cell><cell r="O4259" t="str"><v>United States</v></cell><cell r="P4259" t="str"><v>Trial</v></cell><cell r="Q4259" t="str"><v>Social</v></cell><cell r="R4259" t="str"><v>Azure</v></cell><cell r="S4259" t="str"><v>Apps & Infra</v></cell><cell r="T4259" t="str"><v>Developers & ITI's</v></cell><cell r="U4259" t="str"><v>USA-Trial-ITD-Trial Lookalike-AZR-AZR</v></cell><cell r="V4259" t="str"><v>Lookalike Targeting</v></cell><cell r="W4259" t="str"><v>Link Ad</v></cell><cell r="X4259" t="str"><v>1x1</v></cell></row><row r="4259"><cell r="AA4259"><v>43311</v></cell><cell r="AB4259" t="str"><v>USA_gaPMG_AZR_AZR_Q1_19_Direct-Social</v></cell><cell r="AC4259"><v>21358715</v></cell><cell r="AD4259"><v>720197</v></cell><cell r="AE4259" t="str"><v>Facebook</v></cell><cell r="AF4259"><v>3654128</v></cell><cell r="AG4259" t="str"><v>FACEBOOK»USA-Trial-ITD-Trial Lookalike-AZR-AZR»1 x 1»SocialBan»LIA»ALL»CPA»LAL»X»NA»SS»NA»FreeAcctDeveloperFB-AnimatedGeneric-Ch1»PRC1M4</v></cell><cell r="AH4259"><v>224104941</v></cell><cell r="AI4259" t="str"><v>AZR_FreeAcctDeveloperFB-AnimatedGeneric-Ch1_USA_1200x1200_CAN_Direct_English_Trial_Standard_ANI_LEA_T1_2</v></cell><cell r="AJ4259"><v>103176851</v></cell></row><row r="4260"><cell r="C4260" t="str"><v>43311FACEBOOK»USA-Trial-ITD-Trial Lookalike-AZR-AZR»1 x 1»SocialBan»LIA»ALL»CPA»LAL»X»NA»SS»NA»FreeAcctDeveloperFB-AnimatedGeneric-Ch1»PRC1M5</v></cell><cell r="D4260" t="str"><v>43311223934083</v></cell><cell r="E4260" t="str"><v>43311103176851PRC1M5</v></cell><cell r="F4260" t="str"><v>DCM</v></cell><cell r="G4260" t="str"><v>https://azure.microsoft.com/en-us/free/search/?OCID=AID%eexcid!_OLA_%ebuy!_%epid!_%ecid!</v></cell></row><row r="4260"><cell r="K4260" t="str"><v>July</v></cell><cell r="L4260"><v>43316</v></cell><cell r="M4260" t="str"><v>Tier 0</v></cell><cell r="N4260" t="str"><v>North America</v></cell><cell r="O4260" t="str"><v>United States</v></cell><cell r="P4260" t="str"><v>Trial</v></cell><cell r="Q4260" t="str"><v>Social</v></cell><cell r="R4260" t="str"><v>Azure</v></cell><cell r="S4260" t="str"><v>Apps & Infra</v></cell><cell r="T4260" t="str"><v>Developers & ITI's</v></cell><cell r="U4260" t="str"><v>USA-Trial-ITD-Trial Lookalike-AZR-AZR</v></cell><cell r="V4260" t="str"><v>Lookalike Targeting</v></cell><cell r="W4260" t="str"><v>Link Ad</v></cell><cell r="X4260" t="str"><v>1x1</v></cell></row><row r="4260"><cell r="AA4260"><v>43311</v></cell><cell r="AB4260" t="str"><v>USA_gaPMG_AZR_AZR_Q1_19_Direct-Social</v></cell><cell r="AC4260"><v>21358715</v></cell><cell r="AD4260"><v>720197</v></cell><cell r="AE4260" t="str"><v>Facebook</v></cell><cell r="AF4260"><v>3654128</v></cell><cell r="AG4260" t="str"><v>FACEBOOK»USA-Trial-ITD-Trial Lookalike-AZR-AZR»1 x 1»SocialBan»LIA»ALL»CPA»LAL»X»NA»SS»NA»FreeAcctDeveloperFB-AnimatedGeneric-Ch1»PRC1M5</v></cell><cell r="AH4260"><v>223934083</v></cell><cell r="AI4260" t="str"><v>AZR_FreeAcctDeveloperFB-AnimatedGeneric-Ch1_USA_1200x1200_CAN_Direct_English_Trial_Standard_ANI_LEA_T1_2</v></cell><cell r="AJ4260"><v>103176851</v></cell></row><row r="4261"><cell r="C4261" t="str"><v>43311FACEBOOK»USA-Trial-ITD-Trial Lookalike-AZR-AZR»1 x 1»SocialBan»LIA»ALL»CPA»LAL»X»NA»SS»NA»FreeAcctDeveloperFB-AnimatedOpenSource-Ch2»PRC1M6</v></cell><cell r="D4261" t="str"><v>43311223935628</v></cell><cell r="E4261" t="str"><v>43311103048329PRC1M6</v></cell><cell r="F4261" t="str"><v>DCM</v></cell><cell r="G4261" t="str"><v>https://azure.microsoft.com/en-us/free/open-source/search/?OCID=AID%eexcid!_OLA_%ebuy!_%epid!_%ecid!</v></cell></row><row r="4261"><cell r="K4261" t="str"><v>July</v></cell><cell r="L4261"><v>43316</v></cell><cell r="M4261" t="str"><v>Tier 0</v></cell><cell r="N4261" t="str"><v>North America</v></cell><cell r="O4261" t="str"><v>United States</v></cell><cell r="P4261" t="str"><v>Trial</v></cell><cell r="Q4261" t="str"><v>Social</v></cell><cell r="R4261" t="str"><v>Azure</v></cell><cell r="S4261" t="str"><v>Apps & Infra</v></cell><cell r="T4261" t="str"><v>Developers & ITI's</v></cell><cell r="U4261" t="str"><v>USA-Trial-ITD-Trial Lookalike-AZR-AZR</v></cell><cell r="V4261" t="str"><v>Lookalike Targeting</v></cell><cell r="W4261" t="str"><v>Link Ad</v></cell><cell r="X4261" t="str"><v>1x1</v></cell></row><row r="4261"><cell r="AA4261"><v>43311</v></cell><cell r="AB4261" t="str"><v>USA_gaPMG_AZR_AZR_Q1_19_Direct-Social</v></cell><cell r="AC4261"><v>21358715</v></cell><cell r="AD4261"><v>720197</v></cell><cell r="AE4261" t="str"><v>Facebook</v></cell><cell r="AF4261"><v>3654128</v></cell><cell r="AG4261" t="str"><v>FACEBOOK»USA-Trial-ITD-Trial Lookalike-AZR-AZR»1 x 1»SocialBan»LIA»ALL»CPA»LAL»X»NA»SS»NA»FreeAcctDeveloperFB-AnimatedOpenSource-Ch2»PRC1M6</v></cell><cell r="AH4261"><v>223935628</v></cell><cell r="AI4261" t="str"><v>AZR_FreeAcctDeveloperFB-AnimatedOpenSource-Ch2_USA_1200x1200_CAN_Direct_English_Trial_Standard_ANI_LEA_T2_1</v></cell><cell r="AJ4261"><v>103048329</v></cell></row><row r="4262"><cell r="C4262" t="str"><v>43311FACEBOOK»USA-Trial-ITD-Trial Lookalike-AZR-AZR»1 x 1»SocialBan»LIA»ALL»CPA»LAL»X»NA»SS»NA»FreeAcctITProFB-AnimatedMigration-Ch3»PRC23N</v></cell><cell r="D4262" t="str"><v>43311223935637</v></cell><cell r="E4262" t="str"><v>43311103176827PRC23N</v></cell><cell r="F4262" t="str"><v>DCM</v></cell></row><row r="4262"><cell r="K4262" t="str"><v>July</v></cell><cell r="L4262"><v>43316</v></cell><cell r="M4262" t="str"><v>Tier 0</v></cell><cell r="N4262" t="str"><v>North America</v></cell><cell r="O4262" t="str"><v>United States</v></cell><cell r="P4262" t="str"><v>Trial</v></cell><cell r="Q4262" t="str"><v>Social</v></cell><cell r="R4262" t="str"><v>Azure</v></cell><cell r="S4262" t="str"><v>Apps & Infra</v></cell><cell r="T4262" t="str"><v>Developers & ITI's</v></cell><cell r="U4262" t="str"><v>USA-Trial-ITD-Trial Lookalike-AZR-AZR</v></cell><cell r="V4262" t="str"><v>Lookalike Targeting</v></cell><cell r="W4262" t="str"><v>Link Ad</v></cell><cell r="X4262" t="str"><v>1x1</v></cell></row><row r="4262"><cell r="AA4262"><v>43311</v></cell><cell r="AB4262" t="str"><v>USA_gaPMG_AZR_AZR_Q1_19_Direct-Social</v></cell><cell r="AC4262"><v>21358715</v></cell><cell r="AD4262"><v>720197</v></cell><cell r="AE4262" t="str"><v>Facebook</v></cell><cell r="AF4262"><v>3654128</v></cell><cell r="AG4262" t="str"><v>FACEBOOK»USA-Trial-ITD-Trial Lookalike-AZR-AZR»1 x 1»SocialBan»LIA»ALL»CPA»LAL»X»NA»SS»NA»FreeAcctITProFB-AnimatedMigration-Ch3»PRC23N</v></cell><cell r="AH4262"><v>223935637</v></cell><cell r="AI4262" t="str"><v>AZR_FreeAcctITProFB-AnimatedMigration-Ch3_USA_1200x1200_CAN_Direct_English_Trial_Standard_ANI_LEA_T3_1</v></cell><cell r="AJ4262"><v>103176827</v></cell></row><row r="4263"><cell r="C4263" t="str"><v>43311FACEBOOK»USA-Trial-ITD-Trial Lookalike-AZR-AZR»1 x 1»SocialBan»LIA»ALL»CPA»LAL»X»NA»SS»NA»FreeAcctITProFB-AnimatedSecureMngd-Ch1»PRC1M9</v></cell><cell r="D4263" t="str"><v>43311224104959</v></cell><cell r="E4263" t="str"><v>43311103176830PRC1M9</v></cell><cell r="F4263" t="str"><v>DCM</v></cell></row><row r="4263"><cell r="K4263" t="str"><v>July</v></cell><cell r="L4263"><v>43316</v></cell><cell r="M4263" t="str"><v>Tier 0</v></cell><cell r="N4263" t="str"><v>North America</v></cell><cell r="O4263" t="str"><v>United States</v></cell><cell r="P4263" t="str"><v>Trial</v></cell><cell r="Q4263" t="str"><v>Social</v></cell><cell r="R4263" t="str"><v>Azure</v></cell><cell r="S4263" t="str"><v>Apps & Infra</v></cell><cell r="T4263" t="str"><v>Developers & ITI's</v></cell><cell r="U4263" t="str"><v>USA-Trial-ITD-Trial Lookalike-AZR-AZR</v></cell><cell r="V4263" t="str"><v>Lookalike Targeting</v></cell><cell r="W4263" t="str"><v>Link Ad</v></cell><cell r="X4263" t="str"><v>1x1</v></cell></row><row r="4263"><cell r="AA4263"><v>43311</v></cell><cell r="AB4263" t="str"><v>USA_gaPMG_AZR_AZR_Q1_19_Direct-Social</v></cell><cell r="AC4263"><v>21358715</v></cell><cell r="AD4263"><v>720197</v></cell><cell r="AE4263" t="str"><v>Facebook</v></cell><cell r="AF4263"><v>3654128</v></cell><cell r="AG4263" t="str"><v>FACEBOOK»USA-Trial-ITD-Trial Lookalike-AZR-AZR»1 x 1»SocialBan»LIA»ALL»CPA»LAL»X»NA»SS»NA»FreeAcctITProFB-AnimatedSecureMngd-Ch1»PRC1M9</v></cell><cell r="AH4263"><v>224104959</v></cell><cell r="AI4263" t="str"><v>AZR_FreeAcctITProFB-AnimatedSecureMngd-Ch1_USA_1200x1200_CAN_Direct_English_Trial_Standard_ANI_LEA_T1_1</v></cell><cell r="AJ4263"><v>103176830</v></cell></row><row r="4264"><cell r="C4264" t="str"><v>43311FACEBOOK»USA-Trial-ITD-Trial Lookalike-AZR-AZR»1 x 1»SocialBan»CAN»ALL»CPA»LAL»X»NA»SS»NA»FBCTCBasicMotion»PRC1LZ</v></cell><cell r="D4264" t="str"><v>43311223862915</v></cell><cell r="E4264" t="str"><v>43311103043823PRC1LZ</v></cell><cell r="F4264" t="str"><v>DCM</v></cell><cell r="G4264" t="str"><v>https://signup.azure.com/?OCID=AID%eexcid!_OLA_%ebuy!_%epid!_%ecid!</v></cell></row><row r="4264"><cell r="K4264" t="str"><v>July</v></cell><cell r="L4264"><v>43316</v></cell><cell r="M4264" t="str"><v>Tier 0</v></cell><cell r="N4264" t="str"><v>North America</v></cell><cell r="O4264" t="str"><v>United States</v></cell><cell r="P4264" t="str"><v>Trial</v></cell><cell r="Q4264" t="str"><v>Social</v></cell><cell r="R4264" t="str"><v>Azure</v></cell><cell r="S4264" t="str"><v>Apps & Infra</v></cell><cell r="T4264" t="str"><v>Developers & ITI's</v></cell><cell r="U4264" t="str"><v>USA-Trial-ITD-Trial Lookalike-AZR-AZR</v></cell><cell r="V4264" t="str"><v>Lookalike Targeting</v></cell><cell r="W4264" t="str"><v>Canvas Ad</v></cell><cell r="X4264" t="str"><v>1x1</v></cell></row><row r="4264"><cell r="AA4264"><v>43311</v></cell><cell r="AB4264" t="str"><v>USA_gaPMG_AZR_AZR_Q1_19_Direct-Social</v></cell><cell r="AC4264"><v>21358715</v></cell><cell r="AD4264"><v>720197</v></cell><cell r="AE4264" t="str"><v>Facebook</v></cell><cell r="AF4264"><v>3654128</v></cell><cell r="AG4264" t="str"><v>FACEBOOK»USA-Trial-ITD-Trial Lookalike-AZR-AZR»1 x 1»SocialBan»CAN»ALL»CPA»LAL»X»NA»SS»NA»FBCTCBasicMotion»PRC1LZ</v></cell><cell r="AH4264"><v>223862915</v></cell><cell r="AI4264" t="str"><v>AzurePlatform_FBCTCBasicMotion_USA_10s_CAN_PLATFORM_English_Trial_Standard_STAN_TIN_T1_1</v></cell><cell r="AJ4264"><v>103043823</v></cell></row><row r="4265"><cell r="C4265" t="str"><v>43311FACEBOOK»USA-Trial-ITD-Trial Lookalike-AZR-AZR»1 x 1»SocialBan»CAN»ALL»CPA»LAL»X»NA»SS»NA»FBCTCBasicMotion»PRC1LZ</v></cell><cell r="D4265" t="str"><v>43311223862915</v></cell><cell r="E4265" t="str"><v>43311103175984PRC1LZ</v></cell><cell r="F4265" t="str"><v>DCM</v></cell><cell r="G4265" t="str"><v>https://azure.microsoft.com/en-us/pricing/purchase-options/?v=18.19&OCID=AID%eexcid!_OLA_%ebuy!_%epid!_%ecid!</v></cell></row><row r="4265"><cell r="K4265" t="str"><v>July</v></cell><cell r="L4265"><v>43316</v></cell><cell r="M4265" t="str"><v>Tier 0</v></cell><cell r="N4265" t="str"><v>North America</v></cell><cell r="O4265" t="str"><v>United States</v></cell><cell r="P4265" t="str"><v>Trial</v></cell><cell r="Q4265" t="str"><v>Social</v></cell><cell r="R4265" t="str"><v>Azure</v></cell><cell r="S4265" t="str"><v>Apps & Infra</v></cell><cell r="T4265" t="str"><v>Developers & ITI's</v></cell><cell r="U4265" t="str"><v>USA-Trial-ITD-Trial Lookalike-AZR-AZR</v></cell><cell r="V4265" t="str"><v>Lookalike Targeting</v></cell><cell r="W4265" t="str"><v>Canvas Ad</v></cell><cell r="X4265" t="str"><v>1x1</v></cell></row><row r="4265"><cell r="AA4265"><v>43311</v></cell><cell r="AB4265" t="str"><v>USA_gaPMG_AZR_AZR_Q1_19_Direct-Social</v></cell><cell r="AC4265"><v>21358715</v></cell><cell r="AD4265"><v>720197</v></cell><cell r="AE4265" t="str"><v>Facebook</v></cell><cell r="AF4265"><v>3654128</v></cell><cell r="AG4265" t="str"><v>FACEBOOK»USA-Trial-ITD-Trial Lookalike-AZR-AZR»1 x 1»SocialBan»CAN»ALL»CPA»LAL»X»NA»SS»NA»FBCTCBasicMotion»PRC1LZ</v></cell><cell r="AH4265"><v>223862915</v></cell><cell r="AI4265" t="str"><v>AzurePlatform_FBCTCBasicMotion_USA_10s_CAN_PLATFORM_English_Trial_Standard_STAN_TIN_T1_2</v></cell><cell r="AJ4265"><v>103175984</v></cell></row><row r="4266"><cell r="C4266" t="str"><v>43311FACEBOOK»USA-Trial-ITD-Trial PayGo Lookalike-AZR-AZR»1 x 1»SocialBan»CAN»ALL»CPA»LAL»X»NA»SS»NA»FBCTCBasicMotion»PRC1Q0</v></cell><cell r="D4266" t="str"><v>43311223935664</v></cell><cell r="E4266" t="str"><v>43311103043823PRC1Q0</v></cell><cell r="F4266" t="str"><v>DCM</v></cell><cell r="G4266" t="str"><v>https://signup.azure.com/?OCID=AID%eexcid!_OLA_%ebuy!_%epid!_%ecid!</v></cell></row><row r="4266"><cell r="K4266" t="str"><v>July</v></cell><cell r="L4266"><v>43316</v></cell><cell r="M4266" t="str"><v>Tier 0</v></cell><cell r="N4266" t="str"><v>North America</v></cell><cell r="O4266" t="str"><v>United States</v></cell><cell r="P4266" t="str"><v>Trial</v></cell><cell r="Q4266" t="str"><v>Social</v></cell><cell r="R4266" t="str"><v>Azure</v></cell><cell r="S4266" t="str"><v>Apps & Infra</v></cell><cell r="T4266" t="str"><v>Developers & ITI's</v></cell><cell r="U4266" t="str"><v>USA-Trial-ITD-Trial PayGo Lookalike-AZR-AZR</v></cell><cell r="V4266" t="str"><v>Lookalike Targeting</v></cell><cell r="W4266" t="str"><v>Canvas Ad</v></cell><cell r="X4266" t="str"><v>1x1</v></cell></row><row r="4266"><cell r="AA4266"><v>43311</v></cell><cell r="AB4266" t="str"><v>USA_gaPMG_AZR_AZR_Q1_19_Direct-Social</v></cell><cell r="AC4266"><v>21358715</v></cell><cell r="AD4266"><v>720197</v></cell><cell r="AE4266" t="str"><v>Facebook</v></cell><cell r="AF4266"><v>3654128</v></cell><cell r="AG4266" t="str"><v>FACEBOOK»USA-Trial-ITD-Trial PayGo Lookalike-AZR-AZR»1 x 1»SocialBan»CAN»ALL»CPA»LAL»X»NA»SS»NA»FBCTCBasicMotion»PRC1Q0</v></cell><cell r="AH4266"><v>223935664</v></cell><cell r="AI4266" t="str"><v>AzurePlatform_FBCTCBasicMotion_USA_10s_CAN_PLATFORM_English_Trial_Standard_STAN_TIN_T1_1</v></cell><cell r="AJ4266"><v>103043823</v></cell></row><row r="4267"><cell r="C4267" t="str"><v>43311FACEBOOK»USA-Trial-ITD-Trial PayGo Lookalike-AZR-AZR»1 x 1»SocialBan»LIA»ALL»CPA»LAL»X»NA»SS»NA»FreeAcctDeveloperFB-AnimatedAI-Ch3»PRC1Q8</v></cell><cell r="D4267" t="str"><v>43311224104983</v></cell><cell r="E4267" t="str"><v>43311103032778PRC1Q8</v></cell><cell r="F4267" t="str"><v>DCM</v></cell></row><row r="4267"><cell r="K4267" t="str"><v>July</v></cell><cell r="L4267"><v>43316</v></cell><cell r="M4267" t="str"><v>Tier 0</v></cell><cell r="N4267" t="str"><v>North America</v></cell><cell r="O4267" t="str"><v>United States</v></cell><cell r="P4267" t="str"><v>Trial</v></cell><cell r="Q4267" t="str"><v>Social</v></cell><cell r="R4267" t="str"><v>Azure</v></cell><cell r="S4267" t="str"><v>Apps & Infra</v></cell><cell r="T4267" t="str"><v>Developers & ITI's</v></cell><cell r="U4267" t="str"><v>USA-Trial-ITD-Trial PayGo Lookalike-AZR-AZR</v></cell><cell r="V4267" t="str"><v>Lookalike Targeting</v></cell><cell r="W4267" t="str"><v>Link Ad</v></cell><cell r="X4267" t="str"><v>1x1</v></cell></row><row r="4267"><cell r="AA4267"><v>43311</v></cell><cell r="AB4267" t="str"><v>USA_gaPMG_AZR_AZR_Q1_19_Direct-Social</v></cell><cell r="AC4267"><v>21358715</v></cell><cell r="AD4267"><v>720197</v></cell><cell r="AE4267" t="str"><v>Facebook</v></cell><cell r="AF4267"><v>3654128</v></cell><cell r="AG4267" t="str"><v>FACEBOOK»USA-Trial-ITD-Trial PayGo Lookalike-AZR-AZR»1 x 1»SocialBan»LIA»ALL»CPA»LAL»X»NA»SS»NA»FreeAcctDeveloperFB-AnimatedAI-Ch3»PRC1Q8</v></cell><cell r="AH4267"><v>224104983</v></cell><cell r="AI4267" t="str"><v>AZR_FreeAcctDeveloperFB-AnimatedAI-Ch3_USA_1200x1200_CAN_Direct_English_Trial_Standard_ANI_LEA_T3_1</v></cell><cell r="AJ4267"><v>103032778</v></cell></row><row r="4268"><cell r="C4268" t="str"><v>43311FACEBOOK»USA-Trial-ITD-Trial PayGo Lookalike-AZR-AZR»1 x 1»SocialBan»LIA»ALL»CPA»LAL»X»NA»SS»NA»FreeAcctDeveloperFB-AnimatedData-Ch4»PRC1Q9</v></cell><cell r="D4268" t="str"><v>43311224106990</v></cell><cell r="E4268" t="str"><v>43311103037935PRC1Q9</v></cell><cell r="F4268" t="str"><v>DCM</v></cell></row><row r="4268"><cell r="K4268" t="str"><v>July</v></cell><cell r="L4268"><v>43316</v></cell><cell r="M4268" t="str"><v>Tier 0</v></cell><cell r="N4268" t="str"><v>North America</v></cell><cell r="O4268" t="str"><v>United States</v></cell><cell r="P4268" t="str"><v>Trial</v></cell><cell r="Q4268" t="str"><v>Social</v></cell><cell r="R4268" t="str"><v>Azure</v></cell><cell r="S4268" t="str"><v>Apps & Infra</v></cell><cell r="T4268" t="str"><v>Developers & ITI's</v></cell><cell r="U4268" t="str"><v>USA-Trial-ITD-Trial PayGo Lookalike-AZR-AZR</v></cell><cell r="V4268" t="str"><v>Lookalike Targeting</v></cell><cell r="W4268" t="str"><v>Link Ad</v></cell><cell r="X4268" t="str"><v>1x1</v></cell></row><row r="4268"><cell r="AA4268"><v>43311</v></cell><cell r="AB4268" t="str"><v>USA_gaPMG_AZR_AZR_Q1_19_Direct-Social</v></cell><cell r="AC4268"><v>21358715</v></cell><cell r="AD4268"><v>720197</v></cell><cell r="AE4268" t="str"><v>Facebook</v></cell><cell r="AF4268"><v>3654128</v></cell><cell r="AG4268" t="str"><v>FACEBOOK»USA-Trial-ITD-Trial PayGo Lookalike-AZR-AZR»1 x 1»SocialBan»LIA»ALL»CPA»LAL»X»NA»SS»NA»FreeAcctDeveloperFB-AnimatedData-Ch4»PRC1Q9</v></cell><cell r="AH4268"><v>224106990</v></cell><cell r="AI4268" t="str"><v>AZR_FreeAcctDeveloperFB-AnimatedData-Ch4_USA_1200x1200_CAN_Direct_English_Trial_Standard_ANI_LEA_T4_2</v></cell><cell r="AJ4268"><v>103037935</v></cell></row><row r="4269"><cell r="C4269" t="str"><v>43311FACEBOOK»USA-Trial-ITD-Trial PayGo Lookalike-AZR-AZR»1 x 1»SocialBan»LIA»ALL»CPA»LAL»X»NA»SS»NA»FreeAcctDeveloperFB-AnimatedGeneric-Ch1»PRC1Q5</v></cell><cell r="D4269" t="str"><v>43311224104092</v></cell><cell r="E4269" t="str"><v>43311103176851PRC1Q5</v></cell><cell r="F4269" t="str"><v>DCM</v></cell><cell r="G4269" t="str"><v>https://azure.microsoft.com/en-us/free/search/?OCID=AID%eexcid!_OLA_%ebuy!_%epid!_%ecid!</v></cell></row><row r="4269"><cell r="K4269" t="str"><v>July</v></cell><cell r="L4269"><v>43316</v></cell><cell r="M4269" t="str"><v>Tier 0</v></cell><cell r="N4269" t="str"><v>North America</v></cell><cell r="O4269" t="str"><v>United States</v></cell><cell r="P4269" t="str"><v>Trial</v></cell><cell r="Q4269" t="str"><v>Social</v></cell><cell r="R4269" t="str"><v>Azure</v></cell><cell r="S4269" t="str"><v>Apps & Infra</v></cell><cell r="T4269" t="str"><v>Developers & ITI's</v></cell><cell r="U4269" t="str"><v>USA-Trial-ITD-Trial PayGo Lookalike-AZR-AZR</v></cell><cell r="V4269" t="str"><v>Lookalike Targeting</v></cell><cell r="W4269" t="str"><v>Link Ad</v></cell><cell r="X4269" t="str"><v>1x1</v></cell></row><row r="4269"><cell r="AA4269"><v>43311</v></cell><cell r="AB4269" t="str"><v>USA_gaPMG_AZR_AZR_Q1_19_Direct-Social</v></cell><cell r="AC4269"><v>21358715</v></cell><cell r="AD4269"><v>720197</v></cell><cell r="AE4269" t="str"><v>Facebook</v></cell><cell r="AF4269"><v>3654128</v></cell><cell r="AG4269" t="str"><v>FACEBOOK»USA-Trial-ITD-Trial PayGo Lookalike-AZR-AZR»1 x 1»SocialBan»LIA»ALL»CPA»LAL»X»NA»SS»NA»FreeAcctDeveloperFB-AnimatedGeneric-Ch1»PRC1Q5</v></cell><cell r="AH4269"><v>224104092</v></cell><cell r="AI4269" t="str"><v>AZR_FreeAcctDeveloperFB-AnimatedGeneric-Ch1_USA_1200x1200_CAN_Direct_English_Trial_Standard_ANI_LEA_T1_2</v></cell><cell r="AJ4269"><v>103176851</v></cell></row><row r="4270"><cell r="C4270" t="str"><v>43311FACEBOOK»USA-Trial-ITD-Trial PayGo Lookalike-AZR-AZR»1 x 1»SocialBan»LIA»ALL»CPA»LAL»X»NA»SS»NA»FreeAcctDeveloperFB-AnimatedOpenSource-Ch2»PRC1Q7</v></cell><cell r="D4270" t="str"><v>43311223862951</v></cell><cell r="E4270" t="str"><v>43311103048329PRC1Q7</v></cell><cell r="F4270" t="str"><v>DCM</v></cell><cell r="G4270" t="str"><v>https://azure.microsoft.com/en-us/free/open-source/search/?OCID=AID%eexcid!_OLA_%ebuy!_%epid!_%ecid!</v></cell></row><row r="4270"><cell r="K4270" t="str"><v>July</v></cell><cell r="L4270"><v>43316</v></cell><cell r="M4270" t="str"><v>Tier 0</v></cell><cell r="N4270" t="str"><v>North America</v></cell><cell r="O4270" t="str"><v>United States</v></cell><cell r="P4270" t="str"><v>Trial</v></cell><cell r="Q4270" t="str"><v>Social</v></cell><cell r="R4270" t="str"><v>Azure</v></cell><cell r="S4270" t="str"><v>Apps & Infra</v></cell><cell r="T4270" t="str"><v>Developers & ITI's</v></cell><cell r="U4270" t="str"><v>USA-Trial-ITD-Trial PayGo Lookalike-AZR-AZR</v></cell><cell r="V4270" t="str"><v>Lookalike Targeting</v></cell><cell r="W4270" t="str"><v>Link Ad</v></cell><cell r="X4270" t="str"><v>1x1</v></cell></row><row r="4270"><cell r="AA4270"><v>43311</v></cell><cell r="AB4270" t="str"><v>USA_gaPMG_AZR_AZR_Q1_19_Direct-Social</v></cell><cell r="AC4270"><v>21358715</v></cell><cell r="AD4270"><v>720197</v></cell><cell r="AE4270" t="str"><v>Facebook</v></cell><cell r="AF4270"><v>3654128</v></cell><cell r="AG4270" t="str"><v>FACEBOOK»USA-Trial-ITD-Trial PayGo Lookalike-AZR-AZR»1 x 1»SocialBan»LIA»ALL»CPA»LAL»X»NA»SS»NA»FreeAcctDeveloperFB-AnimatedOpenSource-Ch2»PRC1Q7</v></cell><cell r="AH4270"><v>223862951</v></cell><cell r="AI4270" t="str"><v>AZR_FreeAcctDeveloperFB-AnimatedOpenSource-Ch2_USA_1200x1200_CAN_Direct_English_Trial_Standard_ANI_LEA_T2_1</v></cell><cell r="AJ4270"><v>103048329</v></cell></row><row r="4271"><cell r="C4271" t="str"><v>43311FACEBOOK»USA-Trial-ITD-Trial PayGo Lookalike-AZR-AZR»1 x 1»SocialBan»LIA»ALL»CPA»LAL»X»NA»SS»NA»FreeAcctITProFB-AnimatedHybrid-Ch2»PRC1QC</v></cell><cell r="D4271" t="str"><v>43311223933186</v></cell><cell r="E4271" t="str"><v>43311103180583PRC1QC</v></cell><cell r="F4271" t="str"><v>DCM</v></cell></row><row r="4271"><cell r="K4271" t="str"><v>July</v></cell><cell r="L4271"><v>43316</v></cell><cell r="M4271" t="str"><v>Tier 0</v></cell><cell r="N4271" t="str"><v>North America</v></cell><cell r="O4271" t="str"><v>United States</v></cell><cell r="P4271" t="str"><v>Trial</v></cell><cell r="Q4271" t="str"><v>Social</v></cell><cell r="R4271" t="str"><v>Azure</v></cell><cell r="S4271" t="str"><v>Apps & Infra</v></cell><cell r="T4271" t="str"><v>Developers & ITI's</v></cell><cell r="U4271" t="str"><v>USA-Trial-ITD-Trial PayGo Lookalike-AZR-AZR</v></cell><cell r="V4271" t="str"><v>Lookalike Targeting</v></cell><cell r="W4271" t="str"><v>Link Ad</v></cell><cell r="X4271" t="str"><v>1x1</v></cell></row><row r="4271"><cell r="AA4271"><v>43311</v></cell><cell r="AB4271" t="str"><v>USA_gaPMG_AZR_AZR_Q1_19_Direct-Social</v></cell><cell r="AC4271"><v>21358715</v></cell><cell r="AD4271"><v>720197</v></cell><cell r="AE4271" t="str"><v>Facebook</v></cell><cell r="AF4271"><v>3654128</v></cell><cell r="AG4271" t="str"><v>FACEBOOK»USA-Trial-ITD-Trial PayGo Lookalike-AZR-AZR»1 x 1»SocialBan»LIA»ALL»CPA»LAL»X»NA»SS»NA»FreeAcctITProFB-AnimatedHybrid-Ch2»PRC1QC</v></cell><cell r="AH4271"><v>223933186</v></cell><cell r="AI4271" t="str"><v>AZR_FreeAcctITProFB-AnimatedHybrid-Ch2_USA_1200x1200_CAN_Direct_English_Trial_Standard_ANI_LEA_T2_2</v></cell><cell r="AJ4271"><v>103180583</v></cell></row><row r="4272"><cell r="C4272" t="str"><v>43311FACEBOOK»USA-Trial-ITD-Trial PayGo Lookalike-AZR-AZR»1 x 1»SocialBan»LIA»ALL»CPA»LAL»X»NA»SS»NA»FreeAcctITProFB-AnimatedSecureMngd-Ch1»PRC1QB</v></cell><cell r="D4272" t="str"><v>43311223862945</v></cell><cell r="E4272" t="str"><v>43311103176830PRC1QB</v></cell><cell r="F4272" t="str"><v>DCM</v></cell></row><row r="4272"><cell r="K4272" t="str"><v>July</v></cell><cell r="L4272"><v>43316</v></cell><cell r="M4272" t="str"><v>Tier 0</v></cell><cell r="N4272" t="str"><v>North America</v></cell><cell r="O4272" t="str"><v>United States</v></cell><cell r="P4272" t="str"><v>Trial</v></cell><cell r="Q4272" t="str"><v>Social</v></cell><cell r="R4272" t="str"><v>Azure</v></cell><cell r="S4272" t="str"><v>Apps & Infra</v></cell><cell r="T4272" t="str"><v>Developers & ITI's</v></cell><cell r="U4272" t="str"><v>USA-Trial-ITD-Trial PayGo Lookalike-AZR-AZR</v></cell><cell r="V4272" t="str"><v>Lookalike Targeting</v></cell><cell r="W4272" t="str"><v>Link Ad</v></cell><cell r="X4272" t="str"><v>1x1</v></cell></row><row r="4272"><cell r="AA4272"><v>43311</v></cell><cell r="AB4272" t="str"><v>USA_gaPMG_AZR_AZR_Q1_19_Direct-Social</v></cell><cell r="AC4272"><v>21358715</v></cell><cell r="AD4272"><v>720197</v></cell><cell r="AE4272" t="str"><v>Facebook</v></cell><cell r="AF4272"><v>3654128</v></cell><cell r="AG4272" t="str"><v>FACEBOOK»USA-Trial-ITD-Trial PayGo Lookalike-AZR-AZR»1 x 1»SocialBan»LIA»ALL»CPA»LAL»X»NA»SS»NA»FreeAcctITProFB-AnimatedSecureMngd-Ch1»PRC1QB</v></cell><cell r="AH4272"><v>223862945</v></cell><cell r="AI4272" t="str"><v>AZR_FreeAcctITProFB-AnimatedSecureMngd-Ch1_USA_1200x1200_CAN_Direct_English_Trial_Standard_ANI_LEA_T1_1</v></cell><cell r="AJ4272"><v>103176830</v></cell></row><row r="4273"><cell r="C4273" t="str"><v>43311INSTAGRAM»USA-Trial-ITD-Interest Prospecting-AZR-AZR»1 x 1»SocialBan»CAN»ALL»CPA»PRO»X»NA»SS»NA»IGCTCBrandinMotion»PRC2PB</v></cell><cell r="D4273" t="str"><v>43311223862690</v></cell><cell r="E4273" t="str"><v>43311103050783PRC2PB</v></cell><cell r="F4273" t="str"><v>DCM</v></cell><cell r="G4273" t="str"><v>https://signup.azure.com/?OCID=AID%eexcid!_OLA_%ebuy!_%epid!_%ecid!</v></cell></row><row r="4273"><cell r="K4273" t="str"><v>July</v></cell><cell r="L4273"><v>43316</v></cell><cell r="M4273" t="str"><v>Tier 0</v></cell><cell r="N4273" t="str"><v>North America</v></cell><cell r="O4273" t="str"><v>United States</v></cell><cell r="P4273" t="str"><v>Trial</v></cell><cell r="Q4273" t="str"><v>Social</v></cell><cell r="R4273" t="str"><v>Azure</v></cell><cell r="S4273" t="str"><v>Apps & Infra</v></cell><cell r="T4273" t="str"><v>Developers & ITI's</v></cell><cell r="U4273" t="str"><v>USA-Trial-ITD-Interest Prospecting-AZR-AZR</v></cell><cell r="V4273" t="str"><v>Prospecting</v></cell><cell r="W4273" t="str"><v>Canvas Ad</v></cell><cell r="X4273" t="str"><v>1x1</v></cell></row><row r="4273"><cell r="AA4273"><v>43311</v></cell><cell r="AB4273" t="str"><v>USA_gaPMG_AZR_AZR_Q1_19_Direct-Social</v></cell><cell r="AC4273"><v>21358715</v></cell><cell r="AD4273"><v>720197</v></cell><cell r="AE4273" t="str"><v>Facebook - Instagram</v></cell><cell r="AF4273"><v>3654128</v></cell><cell r="AG4273" t="str"><v>INSTAGRAM»USA-Trial-ITD-Interest Prospecting-AZR-AZR»1 x 1»SocialBan»CAN»ALL»CPA»PRO»X»NA»SS»NA»IGCTCBrandinMotion»PRC2PB</v></cell><cell r="AH4273"><v>223862690</v></cell><cell r="AI4273" t="str"><v>AzurePlatform_IGCTCBenefit2inMotion_USA_10s_CAN_PLATFORM_English_Trial_Standard_STAN_TIN_T4_1</v></cell><cell r="AJ4273"><v>103050783</v></cell></row><row r="4274"><cell r="C4274" t="str"><v>43311INSTAGRAM»USA-Trial-ITD-Retargeting-AZR-AZR»1 x 1»SocialBan»CAN»ALL»CPA»RT»X»NA»SS»NA»IGCTCBrandinMotion»PRC2G3</v></cell><cell r="D4274" t="str"><v>43311224107014</v></cell><cell r="E4274" t="str"><v>43311103050783PRC2G3</v></cell><cell r="F4274" t="str"><v>DCM</v></cell><cell r="G4274" t="str"><v>https://signup.azure.com/?OCID=AID%eexcid!_OLA_%ebuy!_%epid!_%ecid!</v></cell></row><row r="4274"><cell r="K4274" t="str"><v>July</v></cell><cell r="L4274"><v>43316</v></cell><cell r="M4274" t="str"><v>Tier 0</v></cell><cell r="N4274" t="str"><v>North America</v></cell><cell r="O4274" t="str"><v>United States</v></cell><cell r="P4274" t="str"><v>Trial</v></cell><cell r="Q4274" t="str"><v>Social</v></cell><cell r="R4274" t="str"><v>Azure</v></cell><cell r="S4274" t="str"><v>Apps & Infra</v></cell><cell r="T4274" t="str"><v>Developers & ITI's</v></cell><cell r="U4274" t="str"><v>USA-Trial-ITD-Retargeting-AZR-AZR</v></cell><cell r="V4274" t="str"><v>Retargeting</v></cell><cell r="W4274" t="str"><v>Canvas Ad</v></cell><cell r="X4274" t="str"><v>1x1</v></cell></row><row r="4274"><cell r="AA4274"><v>43311</v></cell><cell r="AB4274" t="str"><v>USA_gaPMG_AZR_AZR_Q1_19_Direct-Social</v></cell><cell r="AC4274"><v>21358715</v></cell><cell r="AD4274"><v>720197</v></cell><cell r="AE4274" t="str"><v>Facebook - Instagram</v></cell><cell r="AF4274"><v>3654128</v></cell><cell r="AG4274" t="str"><v>INSTAGRAM»USA-Trial-ITD-Retargeting-AZR-AZR»1 x 1»SocialBan»CAN»ALL»CPA»RT»X»NA»SS»NA»IGCTCBrandinMotion»PRC2G3</v></cell><cell r="AH4274"><v>224107014</v></cell><cell r="AI4274" t="str"><v>AzurePlatform_IGCTCBenefit2inMotion_USA_10s_CAN_PLATFORM_English_Trial_Standard_STAN_TIN_T4_1</v></cell><cell r="AJ4274"><v>103050783</v></cell></row><row r="4275"><cell r="C4275" t="str"><v>43311INSTAGRAM»USA-Trial-ITD-Trial Lookalike-AZR-AZR»1 x 1»SocialBan»CAN»ALL»CPA»LAL»X»NA»SS»NA»IGCTCBrandinMotion»PRC2FH</v></cell><cell r="D4275" t="str"><v>43311223935019</v></cell><cell r="E4275" t="str"><v>43311103050783PRC2FH</v></cell><cell r="F4275" t="str"><v>DCM</v></cell><cell r="G4275" t="str"><v>https://signup.azure.com/?OCID=AID%eexcid!_OLA_%ebuy!_%epid!_%ecid!</v></cell></row><row r="4275"><cell r="K4275" t="str"><v>July</v></cell><cell r="L4275"><v>43316</v></cell><cell r="M4275" t="str"><v>Tier 0</v></cell><cell r="N4275" t="str"><v>North America</v></cell><cell r="O4275" t="str"><v>United States</v></cell><cell r="P4275" t="str"><v>Trial</v></cell><cell r="Q4275" t="str"><v>Social</v></cell><cell r="R4275" t="str"><v>Azure</v></cell><cell r="S4275" t="str"><v>Apps & Infra</v></cell><cell r="T4275" t="str"><v>Developers & ITI's</v></cell><cell r="U4275" t="str"><v>USA-Trial-ITD-Trial Lookalike-AZR-AZR</v></cell><cell r="V4275" t="str"><v>Lookalike Targeting</v></cell><cell r="W4275" t="str"><v>Canvas Ad</v></cell><cell r="X4275" t="str"><v>1x1</v></cell></row><row r="4275"><cell r="AA4275"><v>43311</v></cell><cell r="AB4275" t="str"><v>USA_gaPMG_AZR_AZR_Q1_19_Direct-Social</v></cell><cell r="AC4275"><v>21358715</v></cell><cell r="AD4275"><v>720197</v></cell><cell r="AE4275" t="str"><v>Facebook - Instagram</v></cell><cell r="AF4275"><v>3654128</v></cell><cell r="AG4275" t="str"><v>INSTAGRAM»USA-Trial-ITD-Trial Lookalike-AZR-AZR»1 x 1»SocialBan»CAN»ALL»CPA»LAL»X»NA»SS»NA»IGCTCBrandinMotion»PRC2FH</v></cell><cell r="AH4275"><v>223935019</v></cell><cell r="AI4275" t="str"><v>AzurePlatform_IGCTCBenefit2inMotion_USA_10s_CAN_PLATFORM_English_Trial_Standard_STAN_TIN_T4_1</v></cell><cell r="AJ4275"><v>103050783</v></cell></row><row r="4276"><cell r="C4276" t="str"><v>43311INSTAGRAM»USA-Trial-ITD-Trial Lookalike-AZR-AZR»1 x 1»SocialBan»CAN»ALL»CPA»LAL»X»NA»SS»NA»IGCTCBrandinMotion»PRC2FH</v></cell><cell r="D4276" t="str"><v>43311223935019</v></cell><cell r="E4276" t="str"><v>43311103178714PRC2FH</v></cell><cell r="F4276" t="str"><v>DCM</v></cell><cell r="G4276" t="str"><v>https://azure.microsoft.com/en-us/pricing/purchase-options/?v=18.19&OCID=AID%eexcid!_OLA_%ebuy!_%epid!_%ecid!</v></cell></row><row r="4276"><cell r="K4276" t="str"><v>July</v></cell><cell r="L4276"><v>43316</v></cell><cell r="M4276" t="str"><v>Tier 0</v></cell><cell r="N4276" t="str"><v>North America</v></cell><cell r="O4276" t="str"><v>United States</v></cell><cell r="P4276" t="str"><v>Trial</v></cell><cell r="Q4276" t="str"><v>Social</v></cell><cell r="R4276" t="str"><v>Azure</v></cell><cell r="S4276" t="str"><v>Apps & Infra</v></cell><cell r="T4276" t="str"><v>Developers & ITI's</v></cell><cell r="U4276" t="str"><v>USA-Trial-ITD-Trial Lookalike-AZR-AZR</v></cell><cell r="V4276" t="str"><v>Lookalike Targeting</v></cell><cell r="W4276" t="str"><v>Canvas Ad</v></cell><cell r="X4276" t="str"><v>1x1</v></cell></row><row r="4276"><cell r="AA4276"><v>43311</v></cell><cell r="AB4276" t="str"><v>USA_gaPMG_AZR_AZR_Q1_19_Direct-Social</v></cell><cell r="AC4276"><v>21358715</v></cell><cell r="AD4276"><v>720197</v></cell><cell r="AE4276" t="str"><v>Facebook - Instagram</v></cell><cell r="AF4276"><v>3654128</v></cell><cell r="AG4276" t="str"><v>INSTAGRAM»USA-Trial-ITD-Trial Lookalike-AZR-AZR»1 x 1»SocialBan»CAN»ALL»CPA»LAL»X»NA»SS»NA»IGCTCBrandinMotion»PRC2FH</v></cell><cell r="AH4276"><v>223935019</v></cell><cell r="AI4276" t="str"><v>AzurePlatform_IGCTCBenefit2inMotion_USA_10s_CAN_PLATFORM_English_Trial_Standard_STAN_TIN_T4_2</v></cell><cell r="AJ4276"><v>103178714</v></cell></row><row r="4277"><cell r="C4277" t="str"><v>43311INSTAGRAM»USA-Trial-ITD-Trial PayGo Lookalike-AZR-AZR»1 x 1»SocialBan»CAN»ALL»CPA»LAL»X»NA»SS»NA»IGCTCBrandinMotion»PRC2FW</v></cell><cell r="D4277" t="str"><v>43311223862654</v></cell><cell r="E4277" t="str"><v>43311103050783PRC2FW</v></cell><cell r="F4277" t="str"><v>DCM</v></cell><cell r="G4277" t="str"><v>https://signup.azure.com/?OCID=AID%eexcid!_OLA_%ebuy!_%epid!_%ecid!</v></cell></row><row r="4277"><cell r="K4277" t="str"><v>July</v></cell><cell r="L4277"><v>43316</v></cell><cell r="M4277" t="str"><v>Tier 0</v></cell><cell r="N4277" t="str"><v>North America</v></cell><cell r="O4277" t="str"><v>United States</v></cell><cell r="P4277" t="str"><v>Trial</v></cell><cell r="Q4277" t="str"><v>Social</v></cell><cell r="R4277" t="str"><v>Azure</v></cell><cell r="S4277" t="str"><v>Apps & Infra</v></cell><cell r="T4277" t="str"><v>Developers & ITI's</v></cell><cell r="U4277" t="str"><v>USA-Trial-ITD-Trial PayGo Lookalike-AZR-AZR</v></cell><cell r="V4277" t="str"><v>Lookalike Targeting</v></cell><cell r="W4277" t="str"><v>Canvas Ad</v></cell><cell r="X4277" t="str"><v>1x1</v></cell></row><row r="4277"><cell r="AA4277"><v>43311</v></cell><cell r="AB4277" t="str"><v>USA_gaPMG_AZR_AZR_Q1_19_Direct-Social</v></cell><cell r="AC4277"><v>21358715</v></cell><cell r="AD4277"><v>720197</v></cell><cell r="AE4277" t="str"><v>Facebook - Instagram</v></cell><cell r="AF4277"><v>3654128</v></cell><cell r="AG4277" t="str"><v>INSTAGRAM»USA-Trial-ITD-Trial PayGo Lookalike-AZR-AZR»1 x 1»SocialBan»CAN»ALL»CPA»LAL»X»NA»SS»NA»IGCTCBrandinMotion»PRC2FW</v></cell><cell r="AH4277"><v>223862654</v></cell><cell r="AI4277" t="str"><v>AzurePlatform_IGCTCBenefit2inMotion_USA_10s_CAN_PLATFORM_English_Trial_Standard_STAN_TIN_T4_1</v></cell><cell r="AJ4277"><v>103050783</v></cell></row><row r="4278"><cell r="C4278" t="str"><v>43311INSTAGRAM»USA-Trial-ITD-Trial PayGo Lookalike-AZR-AZR»1 x 1»SocialBan»CAN»ALL»CPA»LAL»X»NA»SS»NA»IGCTCBenefit2inMotion»PRC2FZ</v></cell><cell r="D4278" t="str"><v>43311223933075</v></cell><cell r="E4278" t="str"><v>43311103180628PRC2FZ</v></cell><cell r="F4278" t="str"><v>DCM</v></cell><cell r="G4278" t="str"><v>https://signup.azure.com/?OCID=AID%eexcid!_OLA_%ebuy!_%epid!_%ecid!</v></cell></row><row r="4278"><cell r="K4278" t="str"><v>July</v></cell><cell r="L4278"><v>43316</v></cell><cell r="M4278" t="str"><v>Tier 0</v></cell><cell r="N4278" t="str"><v>North America</v></cell><cell r="O4278" t="str"><v>United States</v></cell><cell r="P4278" t="str"><v>Trial</v></cell><cell r="Q4278" t="str"><v>Social</v></cell><cell r="R4278" t="str"><v>Azure</v></cell><cell r="S4278" t="str"><v>Apps & Infra</v></cell><cell r="T4278" t="str"><v>Developers & ITI's</v></cell><cell r="U4278" t="str"><v>USA-Trial-ITD-Trial PayGo Lookalike-AZR-AZR</v></cell><cell r="V4278" t="str"><v>Lookalike Targeting</v></cell><cell r="W4278" t="str"><v>Canvas Ad</v></cell><cell r="X4278" t="str"><v>1x1</v></cell></row><row r="4278"><cell r="AA4278"><v>43311</v></cell><cell r="AB4278" t="str"><v>USA_gaPMG_AZR_AZR_Q1_19_Direct-Social</v></cell><cell r="AC4278"><v>21358715</v></cell><cell r="AD4278"><v>720197</v></cell><cell r="AE4278" t="str"><v>Facebook - Instagram</v></cell><cell r="AF4278"><v>3654128</v></cell><cell r="AG4278" t="str"><v>INSTAGRAM»USA-Trial-ITD-Trial PayGo Lookalike-AZR-AZR»1 x 1»SocialBan»CAN»ALL»CPA»LAL»X»NA»SS»NA»IGCTCBenefit2inMotion»PRC2FZ</v></cell><cell r="AH4278"><v>223933075</v></cell><cell r="AI4278" t="str"><v>AzurePlatform_IGCTCBrandinMotion_USA_10s_CAN_PLATFORM_English_Trial_Standard_STAN_TIN_T2_1</v></cell><cell r="AJ4278"><v>103180628</v></cell></row><row r="4279"><cell r="C4279" t="str"><v>43311INSTAGRAM»USA-Trial-ITD-Trial PayGo Lookalike-AZR-AZR»1 x 1»SocialBan»CAN»ALL»CPA»LAL»X»NA»SS»NA»IGCTCBenefit2inMotion»PRC2FZ</v></cell><cell r="D4279" t="str"><v>43311223933075</v></cell><cell r="E4279" t="str"><v>43311103050786PRC2FZ</v></cell><cell r="F4279" t="str"><v>DCM</v></cell><cell r="G4279" t="str"><v>https://azure.microsoft.com/en-us/pricing/purchase-options/?v=18.19&OCID=AID%eexcid!_OLA_%ebuy!_%epid!_%ecid!</v></cell></row><row r="4279"><cell r="K4279" t="str"><v>July</v></cell><cell r="L4279"><v>43316</v></cell><cell r="M4279" t="str"><v>Tier 0</v></cell><cell r="N4279" t="str"><v>North America</v></cell><cell r="O4279" t="str"><v>United States</v></cell><cell r="P4279" t="str"><v>Trial</v></cell><cell r="Q4279" t="str"><v>Social</v></cell><cell r="R4279" t="str"><v>Azure</v></cell><cell r="S4279" t="str"><v>Apps & Infra</v></cell><cell r="T4279" t="str"><v>Developers & ITI's</v></cell><cell r="U4279" t="str"><v>USA-Trial-ITD-Trial PayGo Lookalike-AZR-AZR</v></cell><cell r="V4279" t="str"><v>Lookalike Targeting</v></cell><cell r="W4279" t="str"><v>Canvas Ad</v></cell><cell r="X4279" t="str"><v>1x1</v></cell></row><row r="4279"><cell r="AA4279"><v>43311</v></cell><cell r="AB4279" t="str"><v>USA_gaPMG_AZR_AZR_Q1_19_Direct-Social</v></cell><cell r="AC4279"><v>21358715</v></cell><cell r="AD4279"><v>720197</v></cell><cell r="AE4279" t="str"><v>Facebook - Instagram</v></cell><cell r="AF4279"><v>3654128</v></cell><cell r="AG4279" t="str"><v>INSTAGRAM»USA-Trial-ITD-Trial PayGo Lookalike-AZR-AZR»1 x 1»SocialBan»CAN»ALL»CPA»LAL»X»NA»SS»NA»IGCTCBenefit2inMotion»PRC2FZ</v></cell><cell r="AH4279"><v>223933075</v></cell><cell r="AI4279" t="str"><v>AzurePlatform_IGCTCBrandinMotion_USA_10s_CAN_PLATFORM_English_Trial_Standard_STAN_TIN_T2_2</v></cell><cell r="AJ4279"><v>103050786</v></cell></row><row r="4280"><cell r="C4280" t="str"><v>43311INSTAGRAM»USA-Trial-ITD-Interest Prospecting-AZR-AZR»1 x 1»SocialBan»CAN»ALL»CPA»PRO»X»NA»SS»NA»IGCTCBasicMotion»PRC2PF</v></cell><cell r="D4280" t="str"><v>43311224106621</v></cell><cell r="E4280" t="str"><v>43311103037968PRC2PF</v></cell><cell r="F4280" t="str"><v>DCM</v></cell><cell r="G4280" t="str"><v>https://signup.azure.com/?OCID=AID%eexcid!_OLA_%ebuy!_%epid!_%ecid!</v></cell></row><row r="4280"><cell r="K4280" t="str"><v>July</v></cell><cell r="L4280"><v>43316</v></cell><cell r="M4280" t="str"><v>Tier 0</v></cell><cell r="N4280" t="str"><v>North America</v></cell><cell r="O4280" t="str"><v>United States</v></cell><cell r="P4280" t="str"><v>Trial</v></cell><cell r="Q4280" t="str"><v>Social</v></cell><cell r="R4280" t="str"><v>Azure</v></cell><cell r="S4280" t="str"><v>Apps & Infra</v></cell><cell r="T4280" t="str"><v>Developers & ITI's</v></cell><cell r="U4280" t="str"><v>USA-Trial-ITD-Interest Prospecting-AZR-AZR</v></cell><cell r="V4280" t="str"><v>Prospecting</v></cell><cell r="W4280" t="str"><v>Canvas Ad</v></cell><cell r="X4280" t="str"><v>1x1</v></cell></row><row r="4280"><cell r="AA4280"><v>43311</v></cell><cell r="AB4280" t="str"><v>USA_gaPMG_AZR_AZR_Q1_19_Direct-Social</v></cell><cell r="AC4280"><v>21358715</v></cell><cell r="AD4280"><v>720197</v></cell><cell r="AE4280" t="str"><v>Facebook - Instagram</v></cell><cell r="AF4280"><v>3654128</v></cell><cell r="AG4280" t="str"><v>INSTAGRAM»USA-Trial-ITD-Interest Prospecting-AZR-AZR»1 x 1»SocialBan»CAN»ALL»CPA»PRO»X»NA»SS»NA»IGCTCBasicMotion»PRC2PF</v></cell><cell r="AH4280"><v>224106621</v></cell><cell r="AI4280" t="str"><v>AzurePlatform_IGCTCBasicMotion_USA_10s_CAN_PLATFORM_English_Trial_Standard_STAN_TIN_T1_1</v></cell><cell r="AJ4280"><v>103037968</v></cell></row><row r="4281"><cell r="C4281" t="str"><v>43311INSTAGRAM»USA-Trial-ITD-Trial Lookalike-AZR-AZR»1 x 1»SocialBan»CAN»ALL»CPA»LAL»X»NA»SS»NA»IGCTCBasicMotion»PRC0C2</v></cell><cell r="D4281" t="str"><v>43311224107017</v></cell><cell r="E4281" t="str"><v>43311103037968PRC0C2</v></cell><cell r="F4281" t="str"><v>DCM</v></cell><cell r="G4281" t="str"><v>https://signup.azure.com/?OCID=AID%eexcid!_OLA_%ebuy!_%epid!_%ecid!</v></cell></row><row r="4281"><cell r="K4281" t="str"><v>July</v></cell><cell r="L4281"><v>43316</v></cell><cell r="M4281" t="str"><v>Tier 0</v></cell><cell r="N4281" t="str"><v>North America</v></cell><cell r="O4281" t="str"><v>United States</v></cell><cell r="P4281" t="str"><v>Trial</v></cell><cell r="Q4281" t="str"><v>Social</v></cell><cell r="R4281" t="str"><v>Azure</v></cell><cell r="S4281" t="str"><v>Apps & Infra</v></cell><cell r="T4281" t="str"><v>Developers & ITI's</v></cell><cell r="U4281" t="str"><v>USA-Trial-ITD-Trial Lookalike-AZR-AZR</v></cell><cell r="V4281" t="str"><v>Lookalike Targeting</v></cell><cell r="W4281" t="str"><v>Canvas Ad</v></cell><cell r="X4281" t="str"><v>1x1</v></cell></row><row r="4281"><cell r="AA4281"><v>43311</v></cell><cell r="AB4281" t="str"><v>USA_gaPMG_AZR_AZR_Q1_19_Direct-Social</v></cell><cell r="AC4281"><v>21358715</v></cell><cell r="AD4281"><v>720197</v></cell><cell r="AE4281" t="str"><v>Facebook - Instagram</v></cell><cell r="AF4281"><v>3654128</v></cell><cell r="AG4281" t="str"><v>INSTAGRAM»USA-Trial-ITD-Trial Lookalike-AZR-AZR»1 x 1»SocialBan»CAN»ALL»CPA»LAL»X»NA»SS»NA»IGCTCBasicMotion»PRC0C2</v></cell><cell r="AH4281"><v>224107017</v></cell><cell r="AI4281" t="str"><v>AzurePlatform_IGCTCBasicMotion_USA_10s_CAN_PLATFORM_English_Trial_Standard_STAN_TIN_T1_1</v></cell><cell r="AJ4281"><v>103037968</v></cell></row><row r="4282"><cell r="C4282" t="str"><v>43311INSTAGRAM»USA-Trial-ITD-Trial Lookalike-AZR-AZR»1 x 1»SocialBan»CAN»ALL»CPA»LAL»X»NA»SS»NA»IGCTCBasicMotion»PRC0C2</v></cell><cell r="D4282" t="str"><v>43311224107017</v></cell><cell r="E4282" t="str"><v>43311103037974PRC0C2</v></cell><cell r="F4282" t="str"><v>DCM</v></cell><cell r="G4282" t="str"><v>https://azure.microsoft.com/en-us/pricing/purchase-options/?v=18.19&OCID=AID%eexcid!_OLA_%ebuy!_%epid!_%ecid!</v></cell></row><row r="4282"><cell r="K4282" t="str"><v>July</v></cell><cell r="L4282"><v>43316</v></cell><cell r="M4282" t="str"><v>Tier 0</v></cell><cell r="N4282" t="str"><v>North America</v></cell><cell r="O4282" t="str"><v>United States</v></cell><cell r="P4282" t="str"><v>Trial</v></cell><cell r="Q4282" t="str"><v>Social</v></cell><cell r="R4282" t="str"><v>Azure</v></cell><cell r="S4282" t="str"><v>Apps & Infra</v></cell><cell r="T4282" t="str"><v>Developers & ITI's</v></cell><cell r="U4282" t="str"><v>USA-Trial-ITD-Trial Lookalike-AZR-AZR</v></cell><cell r="V4282" t="str"><v>Lookalike Targeting</v></cell><cell r="W4282" t="str"><v>Canvas Ad</v></cell><cell r="X4282" t="str"><v>1x1</v></cell></row><row r="4282"><cell r="AA4282"><v>43311</v></cell><cell r="AB4282" t="str"><v>USA_gaPMG_AZR_AZR_Q1_19_Direct-Social</v></cell><cell r="AC4282"><v>21358715</v></cell><cell r="AD4282"><v>720197</v></cell><cell r="AE4282" t="str"><v>Facebook - Instagram</v></cell><cell r="AF4282"><v>3654128</v></cell><cell r="AG4282" t="str"><v>INSTAGRAM»USA-Trial-ITD-Trial Lookalike-AZR-AZR»1 x 1»SocialBan»CAN»ALL»CPA»LAL»X»NA»SS»NA»IGCTCBasicMotion»PRC0C2</v></cell><cell r="AH4282"><v>224107017</v></cell><cell r="AI4282" t="str"><v>AzurePlatform_IGCTCBasicMotion_USA_10s_CAN_PLATFORM_English_Trial_Standard_STAN_TIN_T1_2</v></cell><cell r="AJ4282"><v>103037974</v></cell></row><row r="4283"><cell r="C4283" t="str"><v>43311INSTAGRAM»USA-Trial-ITD-Trial Lookalike-AZR-AZR»1 x 1»SocialBan»CAN»ALL»CPA»LAL»X»NA»SS»NA»IGCTCBenefitinMotion»PRC2FK</v></cell><cell r="D4283" t="str"><v>43311224107542</v></cell><cell r="E4283" t="str"><v>43311103050780PRC2FK</v></cell><cell r="F4283" t="str"><v>DCM</v></cell><cell r="G4283" t="str"><v>https://signup.azure.com/?OCID=AID%eexcid!_OLA_%ebuy!_%epid!_%ecid!</v></cell></row><row r="4283"><cell r="K4283" t="str"><v>July</v></cell><cell r="L4283"><v>43316</v></cell><cell r="M4283" t="str"><v>Tier 0</v></cell><cell r="N4283" t="str"><v>North America</v></cell><cell r="O4283" t="str"><v>United States</v></cell><cell r="P4283" t="str"><v>Trial</v></cell><cell r="Q4283" t="str"><v>Social</v></cell><cell r="R4283" t="str"><v>Azure</v></cell><cell r="S4283" t="str"><v>Apps & Infra</v></cell><cell r="T4283" t="str"><v>Developers & ITI's</v></cell><cell r="U4283" t="str"><v>USA-Trial-ITD-Trial Lookalike-AZR-AZR</v></cell><cell r="V4283" t="str"><v>Lookalike Targeting</v></cell><cell r="W4283" t="str"><v>Canvas Ad</v></cell><cell r="X4283" t="str"><v>1x1</v></cell></row><row r="4283"><cell r="AA4283"><v>43311</v></cell><cell r="AB4283" t="str"><v>USA_gaPMG_AZR_AZR_Q1_19_Direct-Social</v></cell><cell r="AC4283"><v>21358715</v></cell><cell r="AD4283"><v>720197</v></cell><cell r="AE4283" t="str"><v>Facebook - Instagram</v></cell><cell r="AF4283"><v>3654128</v></cell><cell r="AG4283" t="str"><v>INSTAGRAM»USA-Trial-ITD-Trial Lookalike-AZR-AZR»1 x 1»SocialBan»CAN»ALL»CPA»LAL»X»NA»SS»NA»IGCTCBenefitinMotion»PRC2FK</v></cell><cell r="AH4283"><v>224107542</v></cell><cell r="AI4283" t="str"><v>AzurePlatform_IGCTCBenefitinMotion_USA_10s_CAN_PLATFORM_English_Trial_Standard_STAN_TIN_T3_1</v></cell><cell r="AJ4283"><v>103050780</v></cell></row><row r="4284"><cell r="C4284" t="str"><v>43311INSTAGRAM»USA-Trial-ITD-Trial Lookalike-AZR-AZR»1 x 1»SocialBan»CAN»ALL»CPA»LAL»X»NA»SS»NA»IGCTCBenefitinMotion»PRC2FK</v></cell><cell r="D4284" t="str"><v>43311224107542</v></cell><cell r="E4284" t="str"><v>43311103180637PRC2FK</v></cell><cell r="F4284" t="str"><v>DCM</v></cell><cell r="G4284" t="str"><v>https://azure.microsoft.com/en-us/pricing/purchase-options/?v=18.19&OCID=AID%eexcid!_OLA_%ebuy!_%epid!_%ecid!</v></cell></row><row r="4284"><cell r="K4284" t="str"><v>July</v></cell><cell r="L4284"><v>43316</v></cell><cell r="M4284" t="str"><v>Tier 0</v></cell><cell r="N4284" t="str"><v>North America</v></cell><cell r="O4284" t="str"><v>United States</v></cell><cell r="P4284" t="str"><v>Trial</v></cell><cell r="Q4284" t="str"><v>Social</v></cell><cell r="R4284" t="str"><v>Azure</v></cell><cell r="S4284" t="str"><v>Apps & Infra</v></cell><cell r="T4284" t="str"><v>Developers & ITI's</v></cell><cell r="U4284" t="str"><v>USA-Trial-ITD-Trial Lookalike-AZR-AZR</v></cell><cell r="V4284" t="str"><v>Lookalike Targeting</v></cell><cell r="W4284" t="str"><v>Canvas Ad</v></cell><cell r="X4284" t="str"><v>1x1</v></cell></row><row r="4284"><cell r="AA4284"><v>43311</v></cell><cell r="AB4284" t="str"><v>USA_gaPMG_AZR_AZR_Q1_19_Direct-Social</v></cell><cell r="AC4284"><v>21358715</v></cell><cell r="AD4284"><v>720197</v></cell><cell r="AE4284" t="str"><v>Facebook - Instagram</v></cell><cell r="AF4284"><v>3654128</v></cell><cell r="AG4284" t="str"><v>INSTAGRAM»USA-Trial-ITD-Trial Lookalike-AZR-AZR»1 x 1»SocialBan»CAN»ALL»CPA»LAL»X»NA»SS»NA»IGCTCBenefitinMotion»PRC2FK</v></cell><cell r="AH4284"><v>224107542</v></cell><cell r="AI4284" t="str"><v>AzurePlatform_IGCTCBenefitinMotion_USA_10s_CAN_PLATFORM_English_Trial_Standard_STAN_TIN_T3_2</v></cell><cell r="AJ4284"><v>103180637</v></cell></row><row r="4285"><cell r="C4285" t="str"><v>43311INSTAGRAM»USA-Trial-ITD-Trial PayGo Lookalike-AZR-AZR»1 x 1»SocialBan»CAN»ALL»CPA»LAL»X»NA»SS»NA»IGCTCBasicMotion»PRC2G0</v></cell><cell r="D4285" t="str"><v>43311224106891</v></cell><cell r="E4285" t="str"><v>43311103037968PRC2G0</v></cell><cell r="F4285" t="str"><v>DCM</v></cell><cell r="G4285" t="str"><v>https://signup.azure.com/?OCID=AID%eexcid!_OLA_%ebuy!_%epid!_%ecid!</v></cell></row><row r="4285"><cell r="K4285" t="str"><v>July</v></cell><cell r="L4285"><v>43316</v></cell><cell r="M4285" t="str"><v>Tier 0</v></cell><cell r="N4285" t="str"><v>North America</v></cell><cell r="O4285" t="str"><v>United States</v></cell><cell r="P4285" t="str"><v>Trial</v></cell><cell r="Q4285" t="str"><v>Social</v></cell><cell r="R4285" t="str"><v>Azure</v></cell><cell r="S4285" t="str"><v>Apps & Infra</v></cell><cell r="T4285" t="str"><v>Developers & ITI's</v></cell><cell r="U4285" t="str"><v>USA-Trial-ITD-Trial PayGo Lookalike-AZR-AZR</v></cell><cell r="V4285" t="str"><v>Lookalike Targeting</v></cell><cell r="W4285" t="str"><v>Canvas Ad</v></cell><cell r="X4285" t="str"><v>1x1</v></cell></row><row r="4285"><cell r="AA4285"><v>43311</v></cell><cell r="AB4285" t="str"><v>USA_gaPMG_AZR_AZR_Q1_19_Direct-Social</v></cell><cell r="AC4285"><v>21358715</v></cell><cell r="AD4285"><v>720197</v></cell><cell r="AE4285" t="str"><v>Facebook - Instagram</v></cell><cell r="AF4285"><v>3654128</v></cell><cell r="AG4285" t="str"><v>INSTAGRAM»USA-Trial-ITD-Trial PayGo Lookalike-AZR-AZR»1 x 1»SocialBan»CAN»ALL»CPA»LAL»X»NA»SS»NA»IGCTCBasicMotion»PRC2G0</v></cell><cell r="AH4285"><v>224106891</v></cell><cell r="AI4285" t="str"><v>AzurePlatform_IGCTCBasicMotion_USA_10s_CAN_PLATFORM_English_Trial_Standard_STAN_TIN_T1_1</v></cell><cell r="AJ4285"><v>103037968</v></cell></row><row r="4286"><cell r="C4286" t="str"><v>43311INSTAGRAM»USA-Trial-ITD-Trial PayGo Lookalike-AZR-AZR»1 x 1»SocialBan»CAN»ALL»CPA»LAL»X»NA»SS»NA»IGCTCBasicMotion»PRC2G0</v></cell><cell r="D4286" t="str"><v>43311224106891</v></cell><cell r="E4286" t="str"><v>43311103037974PRC2G0</v></cell><cell r="F4286" t="str"><v>DCM</v></cell><cell r="G4286" t="str"><v>https://azure.microsoft.com/en-us/pricing/purchase-options/?v=18.19&OCID=AID%eexcid!_OLA_%ebuy!_%epid!_%ecid!</v></cell></row><row r="4286"><cell r="K4286" t="str"><v>July</v></cell><cell r="L4286"><v>43316</v></cell><cell r="M4286" t="str"><v>Tier 0</v></cell><cell r="N4286" t="str"><v>North America</v></cell><cell r="O4286" t="str"><v>United States</v></cell><cell r="P4286" t="str"><v>Trial</v></cell><cell r="Q4286" t="str"><v>Social</v></cell><cell r="R4286" t="str"><v>Azure</v></cell><cell r="S4286" t="str"><v>Apps & Infra</v></cell><cell r="T4286" t="str"><v>Developers & ITI's</v></cell><cell r="U4286" t="str"><v>USA-Trial-ITD-Trial PayGo Lookalike-AZR-AZR</v></cell><cell r="V4286" t="str"><v>Lookalike Targeting</v></cell><cell r="W4286" t="str"><v>Canvas Ad</v></cell><cell r="X4286" t="str"><v>1x1</v></cell></row><row r="4286"><cell r="AA4286"><v>43311</v></cell><cell r="AB4286" t="str"><v>USA_gaPMG_AZR_AZR_Q1_19_Direct-Social</v></cell><cell r="AC4286"><v>21358715</v></cell><cell r="AD4286"><v>720197</v></cell><cell r="AE4286" t="str"><v>Facebook - Instagram</v></cell><cell r="AF4286"><v>3654128</v></cell><cell r="AG4286" t="str"><v>INSTAGRAM»USA-Trial-ITD-Trial PayGo Lookalike-AZR-AZR»1 x 1»SocialBan»CAN»ALL»CPA»LAL»X»NA»SS»NA»IGCTCBasicMotion»PRC2G0</v></cell><cell r="AH4286"><v>224106891</v></cell><cell r="AI4286" t="str"><v>AzurePlatform_IGCTCBasicMotion_USA_10s_CAN_PLATFORM_English_Trial_Standard_STAN_TIN_T1_2</v></cell><cell r="AJ4286"><v>103037974</v></cell></row><row r="4287"><cell r="C4287" t="str"><v>43311INSTAGRAM»USA-Trial-ITD-Trial PayGo Lookalike-AZR-AZR»1 x 1»SocialBan»CAN»ALL»CPA»LAL»X»NA»SS»NA»IGCTCBenefitinMotion»PRC2FX</v></cell><cell r="D4287" t="str"><v>43311223933999</v></cell><cell r="E4287" t="str"><v>43311103050780PRC2FX</v></cell><cell r="F4287" t="str"><v>DCM</v></cell><cell r="G4287" t="str"><v>https://signup.azure.com/?OCID=AID%eexcid!_OLA_%ebuy!_%epid!_%ecid!</v></cell></row><row r="4287"><cell r="K4287" t="str"><v>July</v></cell><cell r="L4287"><v>43316</v></cell><cell r="M4287" t="str"><v>Tier 0</v></cell><cell r="N4287" t="str"><v>North America</v></cell><cell r="O4287" t="str"><v>United States</v></cell><cell r="P4287" t="str"><v>Trial</v></cell><cell r="Q4287" t="str"><v>Social</v></cell><cell r="R4287" t="str"><v>Azure</v></cell><cell r="S4287" t="str"><v>Apps & Infra</v></cell><cell r="T4287" t="str"><v>Developers & ITI's</v></cell><cell r="U4287" t="str"><v>USA-Trial-ITD-Trial PayGo Lookalike-AZR-AZR</v></cell><cell r="V4287" t="str"><v>Lookalike Targeting</v></cell><cell r="W4287" t="str"><v>Canvas Ad</v></cell><cell r="X4287" t="str"><v>1x1</v></cell></row><row r="4287"><cell r="AA4287"><v>43311</v></cell><cell r="AB4287" t="str"><v>USA_gaPMG_AZR_AZR_Q1_19_Direct-Social</v></cell><cell r="AC4287"><v>21358715</v></cell><cell r="AD4287"><v>720197</v></cell><cell r="AE4287" t="str"><v>Facebook - Instagram</v></cell><cell r="AF4287"><v>3654128</v></cell><cell r="AG4287" t="str"><v>INSTAGRAM»USA-Trial-ITD-Trial PayGo Lookalike-AZR-AZR»1 x 1»SocialBan»CAN»ALL»CPA»LAL»X»NA»SS»NA»IGCTCBenefitinMotion»PRC2FX</v></cell><cell r="AH4287"><v>223933999</v></cell><cell r="AI4287" t="str"><v>AzurePlatform_IGCTCBenefitinMotion_USA_10s_CAN_PLATFORM_English_Trial_Standard_STAN_TIN_T3_1</v></cell><cell r="AJ4287"><v>103050780</v></cell></row><row r="4288"><cell r="C4288" t="str"><v>43312Facebook»Audience & Interest Targeting»1x1»Canvas»OTH»DT»DYN»AUT»W»NA»SS»NA»FBCTCcanvaspage-StartFreeCTA_FBCTCcanvaspage-BuyNowCTA</v></cell><cell r="D4288" t="str"><v>43312224639151</v></cell><cell r="E4288" t="str"><v>43312103316832NowCTA</v></cell><cell r="F4288" t="str"><v>DCM</v></cell><cell r="G4288" t="str"><v>https://azure.microsoft.com/en-au/pricing/purchase-options/</v></cell></row><row r="4288"><cell r="K4288" t="str"><v>July</v></cell><cell r="L4288"><v>43316</v></cell><cell r="M4288" t="str"><v>Tier 1</v></cell><cell r="N4288" t="str"><v>APAC</v></cell><cell r="O4288" t="str"><v>Australia</v></cell><cell r="P4288" t="str"><v>Trial</v></cell><cell r="Q4288" t="str"><v>Social</v></cell><cell r="R4288" t="str"><v>Azure</v></cell><cell r="S4288" t="str"><v>Apps & Infra</v></cell><cell r="T4288" t="str"><v>Developers & ITI's</v></cell><cell r="U4288" t="str"><v>Audience & Interest Targeting</v></cell><cell r="V4288" t="str"><v>Audience Targeting</v></cell><cell r="W4288" t="str"><v>Other</v></cell><cell r="X4288" t="str"><v>1x1</v></cell></row><row r="4288"><cell r="AA4288"><v>43312</v></cell><cell r="AB4288" t="str"><v>AUS_gaPMG_AZR_AZR_Q1_19_Trial-Social</v></cell><cell r="AC4288"><v>21358568</v></cell><cell r="AD4288"><v>720191</v></cell><cell r="AE4288" t="str"><v>Facebook</v></cell><cell r="AF4288"><v>3654128</v></cell><cell r="AG4288" t="str"><v>Facebook»Audience & Interest Targeting»1x1»Canvas»OTH»DT»DYN»AUT»W»NA»SS»NA»FBCTCcanvaspage-StartFreeCTA_FBCTCcanvaspage-BuyNowCTA</v></cell><cell r="AH4288"><v>224639151</v></cell><cell r="AI4288" t="str"><v>AzurePlatform_FBCTCcanvaspage-BuyNowCTA-Img3_AUS_1080x162_SOC_Plat_English_NA_Standard_NA_BN_T3_1</v></cell><cell r="AJ4288"><v>103316832</v></cell></row><row r="4289"><cell r="C4289" t="str"><v>43312Facebook»Audience & Interest Targeting»1x1»Canvas»OTH»DT»DYN»AUT»W»NA»SS»NA»FBCTCcanvaspage-StartFreeCTA_FBCTCcanvaspage-BuyNowCTA</v></cell><cell r="D4289" t="str"><v>43312224639151</v></cell><cell r="E4289" t="str"><v>43312103316829NowCTA</v></cell><cell r="F4289" t="str"><v>DCM</v></cell><cell r="G4289" t="str"><v>https://signup.azure.com/signup?offer=ms-azr-0044p&appId=102&ref=paidmedia-social-fb&redirectURL=https%3a%2f%2fazure.microsoft.com%2fen-au%2fget-started%2fwelcome-to-azure%2f&l=en-au&correlationId=ead86c34-1f10-49dd-a72b-6918462a2cbf</v></cell></row><row r="4289"><cell r="K4289" t="str"><v>July</v></cell><cell r="L4289"><v>43316</v></cell><cell r="M4289" t="str"><v>Tier 1</v></cell><cell r="N4289" t="str"><v>APAC</v></cell><cell r="O4289" t="str"><v>Australia</v></cell><cell r="P4289" t="str"><v>Trial</v></cell><cell r="Q4289" t="str"><v>Social</v></cell><cell r="R4289" t="str"><v>Azure</v></cell><cell r="S4289" t="str"><v>Apps & Infra</v></cell><cell r="T4289" t="str"><v>Developers & ITI's</v></cell><cell r="U4289" t="str"><v>Audience & Interest Targeting</v></cell><cell r="V4289" t="str"><v>Audience Targeting</v></cell><cell r="W4289" t="str"><v>Other</v></cell><cell r="X4289" t="str"><v>1x1</v></cell></row><row r="4289"><cell r="AA4289"><v>43312</v></cell><cell r="AB4289" t="str"><v>AUS_gaPMG_AZR_AZR_Q1_19_Trial-Social</v></cell><cell r="AC4289"><v>21358568</v></cell><cell r="AD4289"><v>720191</v></cell><cell r="AE4289" t="str"><v>Facebook</v></cell><cell r="AF4289"><v>3654128</v></cell><cell r="AG4289" t="str"><v>Facebook»Audience & Interest Targeting»1x1»Canvas»OTH»DT»DYN»AUT»W»NA»SS»NA»FBCTCcanvaspage-StartFreeCTA_FBCTCcanvaspage-BuyNowCTA</v></cell><cell r="AH4289"><v>224639151</v></cell><cell r="AI4289" t="str"><v>AzurePlatform_FBCTCcanvaspage-StartFreeCTA-Img2_AUS_1080x143 _SOC_Plat_English_NA_Standard_NA_NA_T2_1</v></cell><cell r="AJ4289"><v>103316829</v></cell></row><row r="4290"><cell r="C4290" t="str"><v>43312Facebook»Audience & Interest Targeting»1x1»TextLink»OTH»DT»DYN»AUT»W»NA»SS»NA»Free Account Refresh- 12 months ChE</v></cell><cell r="D4290" t="str"><v>43312224160783</v></cell><cell r="E4290" t="str"><v>43312103051614hs ChE</v></cell><cell r="F4290" t="str"><v>DCM</v></cell></row><row r="4290"><cell r="K4290" t="str"><v>July</v></cell><cell r="L4290"><v>43316</v></cell><cell r="M4290" t="str"><v>Tier 1</v></cell><cell r="N4290" t="str"><v>APAC</v></cell><cell r="O4290" t="str"><v>Australia</v></cell><cell r="P4290" t="str"><v>Trial</v></cell><cell r="Q4290" t="str"><v>Social</v></cell><cell r="R4290" t="str"><v>Azure</v></cell><cell r="S4290" t="str"><v>Apps & Infra</v></cell><cell r="T4290" t="str"><v>Developers & ITI's</v></cell><cell r="U4290" t="str"><v>Audience & Interest Targeting</v></cell><cell r="V4290" t="str"><v>Audience Targeting</v></cell><cell r="W4290" t="str"><v>Other</v></cell><cell r="X4290" t="str"><v>1x1</v></cell></row><row r="4290"><cell r="AA4290"><v>43312</v></cell><cell r="AB4290" t="str"><v>AUS_gaPMG_AZR_AZR_Q1_19_Trial-Social</v></cell><cell r="AC4290"><v>21358568</v></cell><cell r="AD4290"><v>720191</v></cell><cell r="AE4290" t="str"><v>Facebook</v></cell><cell r="AF4290"><v>3654128</v></cell><cell r="AG4290" t="str"><v>Facebook»Audience & Interest Targeting»1x1»TextLink»OTH»DT»DYN»AUT»W»NA»SS»NA»Free Account Refresh- 12 months ChE</v></cell><cell r="AH4290"><v>224160783</v></cell><cell r="AI4290" t="str"><v>AzurePlatform_FreeAcctAppsFACEBOOK12monthsChE_AUS_1200x628_SOC_PLAT_EN_Trial_Standard_NA_SNU_T5_1</v></cell><cell r="AJ4290"><v>103051614</v></cell></row><row r="4291"><cell r="C4291" t="str"><v>43312Facebook»Audience & Interest Targeting»1x1»TextLink»OTH»DT»DYN»AUT»W»NA»SS»NA»Free Account Refresh- 200 Credit ChD</v></cell><cell r="D4291" t="str"><v>43312224160780</v></cell><cell r="E4291" t="str"><v>43312103186904it ChD</v></cell><cell r="F4291" t="str"><v>DCM</v></cell></row><row r="4291"><cell r="K4291" t="str"><v>July</v></cell><cell r="L4291"><v>43316</v></cell><cell r="M4291" t="str"><v>Tier 1</v></cell><cell r="N4291" t="str"><v>APAC</v></cell><cell r="O4291" t="str"><v>Australia</v></cell><cell r="P4291" t="str"><v>Trial</v></cell><cell r="Q4291" t="str"><v>Social</v></cell><cell r="R4291" t="str"><v>Azure</v></cell><cell r="S4291" t="str"><v>Apps & Infra</v></cell><cell r="T4291" t="str"><v>Developers & ITI's</v></cell><cell r="U4291" t="str"><v>Audience & Interest Targeting</v></cell><cell r="V4291" t="str"><v>Audience Targeting</v></cell><cell r="W4291" t="str"><v>Other</v></cell><cell r="X4291" t="str"><v>1x1</v></cell></row><row r="4291"><cell r="AA4291"><v>43312</v></cell><cell r="AB4291" t="str"><v>AUS_gaPMG_AZR_AZR_Q1_19_Trial-Social</v></cell><cell r="AC4291"><v>21358568</v></cell><cell r="AD4291"><v>720191</v></cell><cell r="AE4291" t="str"><v>Facebook</v></cell><cell r="AF4291"><v>3654128</v></cell><cell r="AG4291" t="str"><v>Facebook»Audience & Interest Targeting»1x1»TextLink»OTH»DT»DYN»AUT»W»NA»SS»NA»Free Account Refresh- 200 Credit ChD</v></cell><cell r="AH4291"><v>224160780</v></cell><cell r="AI4291" t="str"><v>AzurePlatform_FreeAcctAppsFACEBOOK200CreditChD_AUS_1200x628_SOC_PLAT_EN_Trial_Standard_NA_SNU_T4_1</v></cell><cell r="AJ4291"><v>103186904</v></cell></row><row r="4292"><cell r="C4292" t="str"><v>43312Facebook»Audience & Interest Targeting»1x1»TextLink»OTH»DT»DYN»AUT»W»NA»SS»NA»Free Account Refresh- Device ChB</v></cell><cell r="D4292" t="str"><v>43312224160777</v></cell><cell r="E4292" t="str"><v>43312103048479ce ChB</v></cell><cell r="F4292" t="str"><v>DCM</v></cell></row><row r="4292"><cell r="K4292" t="str"><v>July</v></cell><cell r="L4292"><v>43316</v></cell><cell r="M4292" t="str"><v>Tier 1</v></cell><cell r="N4292" t="str"><v>APAC</v></cell><cell r="O4292" t="str"><v>Australia</v></cell><cell r="P4292" t="str"><v>Trial</v></cell><cell r="Q4292" t="str"><v>Social</v></cell><cell r="R4292" t="str"><v>Azure</v></cell><cell r="S4292" t="str"><v>Apps & Infra</v></cell><cell r="T4292" t="str"><v>Developers & ITI's</v></cell><cell r="U4292" t="str"><v>Audience & Interest Targeting</v></cell><cell r="V4292" t="str"><v>Audience Targeting</v></cell><cell r="W4292" t="str"><v>Other</v></cell><cell r="X4292" t="str"><v>1x1</v></cell></row><row r="4292"><cell r="AA4292"><v>43312</v></cell><cell r="AB4292" t="str"><v>AUS_gaPMG_AZR_AZR_Q1_19_Trial-Social</v></cell><cell r="AC4292"><v>21358568</v></cell><cell r="AD4292"><v>720191</v></cell><cell r="AE4292" t="str"><v>Facebook</v></cell><cell r="AF4292"><v>3654128</v></cell><cell r="AG4292" t="str"><v>Facebook»Audience & Interest Targeting»1x1»TextLink»OTH»DT»DYN»AUT»W»NA»SS»NA»Free Account Refresh- Device ChB</v></cell><cell r="AH4292"><v>224160777</v></cell><cell r="AI4292" t="str"><v>AzurePlatform_FreeAcctAppsFACEBOOKDeviceChB_AUS_1200x628_SOC_PLAT_EN_Trial_Standard_NA_SNU_T2_1</v></cell><cell r="AJ4292"><v>103048479</v></cell></row><row r="4293"><cell r="C4293" t="str"><v>43312Facebook»Audience & Interest Targeting»1x1»TextLink»OTH»DT»DYN»AUT»W»NA»SS»NA»Free Account Refresh- Illustration ChC</v></cell><cell r="D4293" t="str"><v>43312224160774</v></cell><cell r="E4293" t="str"><v>43312103186910on ChC</v></cell><cell r="F4293" t="str"><v>DCM</v></cell></row><row r="4293"><cell r="K4293" t="str"><v>July</v></cell><cell r="L4293"><v>43316</v></cell><cell r="M4293" t="str"><v>Tier 1</v></cell><cell r="N4293" t="str"><v>APAC</v></cell><cell r="O4293" t="str"><v>Australia</v></cell><cell r="P4293" t="str"><v>Trial</v></cell><cell r="Q4293" t="str"><v>Social</v></cell><cell r="R4293" t="str"><v>Azure</v></cell><cell r="S4293" t="str"><v>Apps & Infra</v></cell><cell r="T4293" t="str"><v>Developers & ITI's</v></cell><cell r="U4293" t="str"><v>Audience & Interest Targeting</v></cell><cell r="V4293" t="str"><v>Audience Targeting</v></cell><cell r="W4293" t="str"><v>Other</v></cell><cell r="X4293" t="str"><v>1x1</v></cell></row><row r="4293"><cell r="AA4293"><v>43312</v></cell><cell r="AB4293" t="str"><v>AUS_gaPMG_AZR_AZR_Q1_19_Trial-Social</v></cell><cell r="AC4293"><v>21358568</v></cell><cell r="AD4293"><v>720191</v></cell><cell r="AE4293" t="str"><v>Facebook</v></cell><cell r="AF4293"><v>3654128</v></cell><cell r="AG4293" t="str"><v>Facebook»Audience & Interest Targeting»1x1»TextLink»OTH»DT»DYN»AUT»W»NA»SS»NA»Free Account Refresh- Illustration ChC</v></cell><cell r="AH4293"><v>224160774</v></cell><cell r="AI4293" t="str"><v>AzurePlatform_FreeAcctAppsFACEBOOKIllustrationChC_AUS_1200x628_SOC_PLAT_EN_Trial_Standard_NA_SNU_T3_1</v></cell><cell r="AJ4293"><v>103186910</v></cell></row><row r="4294"><cell r="C4294" t="str"><v>43312Facebook»Audience & Interest Targeting»1x1»TextLink»OTH»DT»DYN»AUT»W»NA»SS»NA»Free Account Refresh- Lifestyle ChA</v></cell><cell r="D4294" t="str"><v>43312224160771</v></cell><cell r="E4294" t="str"><v>43312103048488le ChA</v></cell><cell r="F4294" t="str"><v>DCM</v></cell></row><row r="4294"><cell r="K4294" t="str"><v>July</v></cell><cell r="L4294"><v>43316</v></cell><cell r="M4294" t="str"><v>Tier 1</v></cell><cell r="N4294" t="str"><v>APAC</v></cell><cell r="O4294" t="str"><v>Australia</v></cell><cell r="P4294" t="str"><v>Trial</v></cell><cell r="Q4294" t="str"><v>Social</v></cell><cell r="R4294" t="str"><v>Azure</v></cell><cell r="S4294" t="str"><v>Apps & Infra</v></cell><cell r="T4294" t="str"><v>Developers & ITI's</v></cell><cell r="U4294" t="str"><v>Audience & Interest Targeting</v></cell><cell r="V4294" t="str"><v>Audience Targeting</v></cell><cell r="W4294" t="str"><v>Other</v></cell><cell r="X4294" t="str"><v>1x1</v></cell></row><row r="4294"><cell r="AA4294"><v>43312</v></cell><cell r="AB4294" t="str"><v>AUS_gaPMG_AZR_AZR_Q1_19_Trial-Social</v></cell><cell r="AC4294"><v>21358568</v></cell><cell r="AD4294"><v>720191</v></cell><cell r="AE4294" t="str"><v>Facebook</v></cell><cell r="AF4294"><v>3654128</v></cell><cell r="AG4294" t="str"><v>Facebook»Audience & Interest Targeting»1x1»TextLink»OTH»DT»DYN»AUT»W»NA»SS»NA»Free Account Refresh- Lifestyle ChA</v></cell><cell r="AH4294"><v>224160771</v></cell><cell r="AI4294" t="str"><v>AzurePlatform_FreeAcctAppsFACEBOOKLifestyleChA_AUS_1200x628_SOC_PLAT_EN_Trial_Standard_NA_SNU_T1_1</v></cell><cell r="AJ4294"><v>103048488</v></cell></row><row r="4295"><cell r="C4295" t="str"><v>43312Facebook»LAL»1x1»TextLink»SOC»DT»DYN»LAL»W»NA»SS»NA»Free Account Refresh- 200 Credit ChD</v></cell><cell r="D4295" t="str"><v>43312224160720</v></cell><cell r="E4295" t="str"><v>43312103186907it ChD</v></cell><cell r="F4295" t="str"><v>DCM</v></cell><cell r="G4295" t="str"><v>https://azure.microsoft.com/en-au/free/open-source/search/</v></cell></row><row r="4295"><cell r="K4295" t="str"><v>July</v></cell><cell r="L4295"><v>43316</v></cell><cell r="M4295" t="str"><v>Tier 1</v></cell><cell r="N4295" t="str"><v>APAC</v></cell><cell r="O4295" t="str"><v>Australia</v></cell><cell r="P4295" t="str"><v>Trial</v></cell><cell r="Q4295" t="str"><v>Social</v></cell><cell r="R4295" t="str"><v>Azure</v></cell><cell r="S4295" t="str"><v>Apps & Infra</v></cell><cell r="T4295" t="str"><v>Developers & ITI's</v></cell><cell r="U4295" t="str"><v>LAL</v></cell><cell r="V4295" t="str"><v>Lookalike Targeting</v></cell><cell r="W4295" t="str"><v>Social</v></cell><cell r="X4295" t="str"><v>1x1</v></cell></row><row r="4295"><cell r="AA4295"><v>43312</v></cell><cell r="AB4295" t="str"><v>AUS_gaPMG_AZR_AZR_Q1_19_Trial-Social</v></cell><cell r="AC4295"><v>21358568</v></cell><cell r="AD4295"><v>720191</v></cell><cell r="AE4295" t="str"><v>Facebook</v></cell><cell r="AF4295"><v>3654128</v></cell><cell r="AG4295" t="str"><v>Facebook»LAL»1x1»TextLink»SOC»DT»DYN»LAL»W»NA»SS»NA»Free Account Refresh- 200 Credit ChD</v></cell><cell r="AH4295"><v>224160720</v></cell><cell r="AI4295" t="str"><v>AzurePlatform_FreeAcctRetargetingOSSFB-Logos-ChG_AUS_1200x628_SOC_Plat_EN_Free Account_Standard_NA_SNU_T2_1</v></cell><cell r="AJ4295"><v>103186907</v></cell></row><row r="4296"><cell r="C4296" t="str"><v>43312Facebook»LAL»1x1»TextLink»SOC»DT»DYN»LAL»W»NA»SS»NA»Free Account Refresh- Device ChB</v></cell><cell r="D4296" t="str"><v>43312224160717</v></cell><cell r="E4296" t="str"><v>43312103048485ce ChB</v></cell><cell r="F4296" t="str"><v>DCM</v></cell><cell r="G4296" t="str"><v>https://azure.microsoft.com/en-au/free/open-source/search/</v></cell></row><row r="4296"><cell r="K4296" t="str"><v>July</v></cell><cell r="L4296"><v>43316</v></cell><cell r="M4296" t="str"><v>Tier 1</v></cell><cell r="N4296" t="str"><v>APAC</v></cell><cell r="O4296" t="str"><v>Australia</v></cell><cell r="P4296" t="str"><v>Trial</v></cell><cell r="Q4296" t="str"><v>Social</v></cell><cell r="R4296" t="str"><v>Azure</v></cell><cell r="S4296" t="str"><v>Apps & Infra</v></cell><cell r="T4296" t="str"><v>Developers & ITI's</v></cell><cell r="U4296" t="str"><v>LAL</v></cell><cell r="V4296" t="str"><v>Lookalike Targeting</v></cell><cell r="W4296" t="str"><v>Social</v></cell><cell r="X4296" t="str"><v>1x1</v></cell></row><row r="4296"><cell r="AA4296"><v>43312</v></cell><cell r="AB4296" t="str"><v>AUS_gaPMG_AZR_AZR_Q1_19_Trial-Social</v></cell><cell r="AC4296"><v>21358568</v></cell><cell r="AD4296"><v>720191</v></cell><cell r="AE4296" t="str"><v>Facebook</v></cell><cell r="AF4296"><v>3654128</v></cell><cell r="AG4296" t="str"><v>Facebook»LAL»1x1»TextLink»SOC»DT»DYN»LAL»W»NA»SS»NA»Free Account Refresh- Device ChB</v></cell><cell r="AH4296"><v>224160717</v></cell><cell r="AI4296" t="str"><v>AzurePlatform_FreeAcctRetargetingOSSFB-Text-ChF_AUS_1200x628_SOC_Plat_EN_Free Account_Standard_NA_SNU_T1_1</v></cell><cell r="AJ4296"><v>103048485</v></cell></row><row r="4297"><cell r="C4297" t="str"><v>43312Facebook»LAL»1x1»TextLink»SOC»DT»DYN»LAL»W»NA»SS»NA»Free Account Refresh- Lifestyle ChA</v></cell><cell r="D4297" t="str"><v>43312224160711</v></cell><cell r="E4297" t="str"><v>43312103048491le ChA</v></cell><cell r="F4297" t="str"><v>DCM</v></cell><cell r="G4297" t="str"><v>https://azure.microsoft.com/en-au/free/virtual-machines/search/</v></cell></row><row r="4297"><cell r="K4297" t="str"><v>July</v></cell><cell r="L4297"><v>43316</v></cell><cell r="M4297" t="str"><v>Tier 1</v></cell><cell r="N4297" t="str"><v>APAC</v></cell><cell r="O4297" t="str"><v>Australia</v></cell><cell r="P4297" t="str"><v>Trial</v></cell><cell r="Q4297" t="str"><v>Social</v></cell><cell r="R4297" t="str"><v>Azure</v></cell><cell r="S4297" t="str"><v>Apps & Infra</v></cell><cell r="T4297" t="str"><v>Developers & ITI's</v></cell><cell r="U4297" t="str"><v>LAL</v></cell><cell r="V4297" t="str"><v>Lookalike Targeting</v></cell><cell r="W4297" t="str"><v>Social</v></cell><cell r="X4297" t="str"><v>1x1</v></cell></row><row r="4297"><cell r="AA4297"><v>43312</v></cell><cell r="AB4297" t="str"><v>AUS_gaPMG_AZR_AZR_Q1_19_Trial-Social</v></cell><cell r="AC4297"><v>21358568</v></cell><cell r="AD4297"><v>720191</v></cell><cell r="AE4297" t="str"><v>Facebook</v></cell><cell r="AF4297"><v>3654128</v></cell><cell r="AG4297" t="str"><v>Facebook»LAL»1x1»TextLink»SOC»DT»DYN»LAL»W»NA»SS»NA»Free Account Refresh- Lifestyle ChA</v></cell><cell r="AH4297"><v>224160711</v></cell><cell r="AI4297" t="str"><v>AzurePlatform_FreeAcctRetargetingVMFB-OnDemand-ChE_AUS_1200x628_SOC_Plat_EN_Free Account_Standard_NA_SNU_T2_1</v></cell><cell r="AJ4297"><v>103048491</v></cell></row><row r="4298"><cell r="C4298" t="str"><v>43312Facebook»Retargeting»1x1»TextLink»SOC»DT»DYN»RT»W»NA»SS»NA»Free Account Refresh- Device ChB</v></cell><cell r="D4298" t="str"><v>43312224160735</v></cell><cell r="E4298" t="str"><v>43312103048479ce ChB</v></cell><cell r="F4298" t="str"><v>DCM</v></cell></row><row r="4298"><cell r="K4298" t="str"><v>July</v></cell><cell r="L4298"><v>43316</v></cell><cell r="M4298" t="str"><v>Tier 1</v></cell><cell r="N4298" t="str"><v>APAC</v></cell><cell r="O4298" t="str"><v>Australia</v></cell><cell r="P4298" t="str"><v>Trial</v></cell><cell r="Q4298" t="str"><v>Social</v></cell><cell r="R4298" t="str"><v>Azure</v></cell><cell r="S4298" t="str"><v>Apps & Infra</v></cell><cell r="T4298" t="str"><v>Developers & ITI's</v></cell><cell r="U4298" t="str"><v>Retargeting</v></cell><cell r="V4298" t="str"><v>Retargeting</v></cell><cell r="W4298" t="str"><v>Social</v></cell><cell r="X4298" t="str"><v>1x1</v></cell></row><row r="4298"><cell r="AA4298"><v>43312</v></cell><cell r="AB4298" t="str"><v>AUS_gaPMG_AZR_AZR_Q1_19_Trial-Social</v></cell><cell r="AC4298"><v>21358568</v></cell><cell r="AD4298"><v>720191</v></cell><cell r="AE4298" t="str"><v>Facebook</v></cell><cell r="AF4298"><v>3654128</v></cell><cell r="AG4298" t="str"><v>Facebook»Retargeting»1x1»TextLink»SOC»DT»DYN»RT»W»NA»SS»NA»Free Account Refresh- Device ChB</v></cell><cell r="AH4298"><v>224160735</v></cell><cell r="AI4298" t="str"><v>AzurePlatform_FreeAcctAppsFACEBOOKDeviceChB_AUS_1200x628_SOC_PLAT_EN_Trial_Standard_NA_SNU_T2_1</v></cell><cell r="AJ4298"><v>103048479</v></cell></row><row r="4299"><cell r="C4299" t="str"><v>43312Facebook»Retargeting»1x1»TextLink»SOC»DT»DYN»RT»W»NA»SS»NA»Free Account Refresh- Illustration ChC</v></cell><cell r="D4299" t="str"><v>43312224160732</v></cell><cell r="E4299" t="str"><v>43312103186910on ChC</v></cell><cell r="F4299" t="str"><v>DCM</v></cell></row><row r="4299"><cell r="K4299" t="str"><v>July</v></cell><cell r="L4299"><v>43316</v></cell><cell r="M4299" t="str"><v>Tier 1</v></cell><cell r="N4299" t="str"><v>APAC</v></cell><cell r="O4299" t="str"><v>Australia</v></cell><cell r="P4299" t="str"><v>Trial</v></cell><cell r="Q4299" t="str"><v>Social</v></cell><cell r="R4299" t="str"><v>Azure</v></cell><cell r="S4299" t="str"><v>Apps & Infra</v></cell><cell r="T4299" t="str"><v>Developers & ITI's</v></cell><cell r="U4299" t="str"><v>Retargeting</v></cell><cell r="V4299" t="str"><v>Retargeting</v></cell><cell r="W4299" t="str"><v>Social</v></cell><cell r="X4299" t="str"><v>1x1</v></cell></row><row r="4299"><cell r="AA4299"><v>43312</v></cell><cell r="AB4299" t="str"><v>AUS_gaPMG_AZR_AZR_Q1_19_Trial-Social</v></cell><cell r="AC4299"><v>21358568</v></cell><cell r="AD4299"><v>720191</v></cell><cell r="AE4299" t="str"><v>Facebook</v></cell><cell r="AF4299"><v>3654128</v></cell><cell r="AG4299" t="str"><v>Facebook»Retargeting»1x1»TextLink»SOC»DT»DYN»RT»W»NA»SS»NA»Free Account Refresh- Illustration ChC</v></cell><cell r="AH4299"><v>224160732</v></cell><cell r="AI4299" t="str"><v>AzurePlatform_FreeAcctAppsFACEBOOKIllustrationChC_AUS_1200x628_SOC_PLAT_EN_Trial_Standard_NA_SNU_T3_1</v></cell><cell r="AJ4299"><v>103186910</v></cell></row><row r="4300"><cell r="C4300" t="str"><v>43312Facebook»Retargeting»1x1»TextLink»SOC»DT»DYN»RT»W»NA»SS»NA»Free Account Refresh- Lifestyle ChA</v></cell><cell r="D4300" t="str"><v>43312224160729</v></cell><cell r="E4300" t="str"><v>43312103048488le ChA</v></cell><cell r="F4300" t="str"><v>DCM</v></cell></row><row r="4300"><cell r="K4300" t="str"><v>July</v></cell><cell r="L4300"><v>43316</v></cell><cell r="M4300" t="str"><v>Tier 1</v></cell><cell r="N4300" t="str"><v>APAC</v></cell><cell r="O4300" t="str"><v>Australia</v></cell><cell r="P4300" t="str"><v>Trial</v></cell><cell r="Q4300" t="str"><v>Social</v></cell><cell r="R4300" t="str"><v>Azure</v></cell><cell r="S4300" t="str"><v>Apps & Infra</v></cell><cell r="T4300" t="str"><v>Developers & ITI's</v></cell><cell r="U4300" t="str"><v>Retargeting</v></cell><cell r="V4300" t="str"><v>Retargeting</v></cell><cell r="W4300" t="str"><v>Social</v></cell><cell r="X4300" t="str"><v>1x1</v></cell></row><row r="4300"><cell r="AA4300"><v>43312</v></cell><cell r="AB4300" t="str"><v>AUS_gaPMG_AZR_AZR_Q1_19_Trial-Social</v></cell><cell r="AC4300"><v>21358568</v></cell><cell r="AD4300"><v>720191</v></cell><cell r="AE4300" t="str"><v>Facebook</v></cell><cell r="AF4300"><v>3654128</v></cell><cell r="AG4300" t="str"><v>Facebook»Retargeting»1x1»TextLink»SOC»DT»DYN»RT»W»NA»SS»NA»Free Account Refresh- Lifestyle ChA</v></cell><cell r="AH4300"><v>224160729</v></cell><cell r="AI4300" t="str"><v>AzurePlatform_FreeAcctAppsFACEBOOKLifestyleChA_AUS_1200x628_SOC_PLAT_EN_Trial_Standard_NA_SNU_T1_1</v></cell><cell r="AJ4300"><v>103048488</v></cell></row><row r="4301"><cell r="C4301" t="str"><v>43312Facebook»AZR»1x1»NA»EGV»ALL»DYN»AUT»D»All»SS»NA»Free Acc CTC - T1 - EN</v></cell><cell r="D4301" t="str"><v>43312223684451</v></cell><cell r="E4301" t="str"><v>433121029018821 - EN</v></cell><cell r="F4301" t="str"><v>DCM</v></cell><cell r="G4301" t="str"><v>https://signup.azure.com/</v></cell></row><row r="4301"><cell r="K4301" t="str"><v>July</v></cell><cell r="L4301"><v>43316</v></cell><cell r="M4301" t="str"><v>Tier 1</v></cell><cell r="N4301" t="str"><v>North America</v></cell><cell r="O4301" t="str"><v>Canada</v></cell><cell r="P4301" t="str"><v>Trial</v></cell><cell r="Q4301" t="str"><v>Social</v></cell><cell r="R4301" t="str"><v>Azure</v></cell><cell r="S4301" t="str"><v>Apps & Infra</v></cell><cell r="T4301" t="str"><v>Developers & ITI's</v></cell><cell r="U4301" t="str"><v>AZR</v></cell><cell r="V4301" t="str"><v>Audience Targeting</v></cell><cell r="W4301" t="str"><v>Engagement Video</v></cell><cell r="X4301" t="str"><v>1x1</v></cell></row><row r="4301"><cell r="AA4301"><v>43312</v></cell><cell r="AB4301" t="str"><v>CAN_gaPMG_AZR_AZR_Q1_19_Trial-Social</v></cell><cell r="AC4301"><v>21337220</v></cell><cell r="AD4301"><v>720192</v></cell><cell r="AE4301" t="str"><v>Facebook</v></cell><cell r="AF4301"><v>3654128</v></cell><cell r="AG4301" t="str"><v>Facebook»AZR»1x1»NA»EGV»ALL»DYN»AUT»D»All»SS»NA»Free Acc CTC - T1 - EN</v></cell><cell r="AH4301"><v>223684451</v></cell><cell r="AI4301" t="str"><v>AzurePlatform_FBCTCBasicMotion_CAN_10s_ISV_PLAT_English_Trial_Standard_STAN_TN_T1_1</v></cell><cell r="AJ4301"><v>102901882</v></cell></row><row r="4302"><cell r="C4302" t="str"><v>43312Facebook»AZR»1x1»NA»EGV»ALL»DYN»AUT»D»All»SS»NA»Free Acc CTC - T1 - FR</v></cell><cell r="D4302" t="str"><v>43312223691801</v></cell><cell r="E4302" t="str"><v>433121030533231 - FR</v></cell><cell r="F4302" t="str"><v>DCM</v></cell><cell r="G4302" t="str"><v>https://signup.azure.com/</v></cell></row><row r="4302"><cell r="K4302" t="str"><v>July</v></cell><cell r="L4302"><v>43316</v></cell><cell r="M4302" t="str"><v>Tier 1</v></cell><cell r="N4302" t="str"><v>North America</v></cell><cell r="O4302" t="str"><v>Canada</v></cell><cell r="P4302" t="str"><v>Trial</v></cell><cell r="Q4302" t="str"><v>Social</v></cell><cell r="R4302" t="str"><v>Azure</v></cell><cell r="S4302" t="str"><v>Apps & Infra</v></cell><cell r="T4302" t="str"><v>Developers & ITI's</v></cell><cell r="U4302" t="str"><v>AZR</v></cell><cell r="V4302" t="str"><v>Audience Targeting</v></cell><cell r="W4302" t="str"><v>Engagement Video</v></cell><cell r="X4302" t="str"><v>1x1</v></cell></row><row r="4302"><cell r="AA4302"><v>43312</v></cell><cell r="AB4302" t="str"><v>CAN_gaPMG_AZR_AZR_Q1_19_Trial-Social</v></cell><cell r="AC4302"><v>21337220</v></cell><cell r="AD4302"><v>720192</v></cell><cell r="AE4302" t="str"><v>Facebook</v></cell><cell r="AF4302"><v>3654128</v></cell><cell r="AG4302" t="str"><v>Facebook»AZR»1x1»NA»EGV»ALL»DYN»AUT»D»All»SS»NA»Free Acc CTC - T1 - FR</v></cell><cell r="AH4302"><v>223691801</v></cell><cell r="AI4302" t="str"><v>AzurePlatform_FBCTCBasicMotion_CAN_10s_ISV_PLAT_FR_Trial_Standard_STAN_TN_T1_1</v></cell><cell r="AJ4302"><v>103053323</v></cell></row><row r="4303"><cell r="C4303" t="str"><v>43312Facebook»AZR»1x1»NA»EGV»ALL»DYN»AUT»D»All»SS»NA»Free Acc CTC - T2 - EN</v></cell><cell r="D4303" t="str"><v>43312223691840</v></cell><cell r="E4303" t="str"><v>433121029029502 - EN</v></cell><cell r="F4303" t="str"><v>DCM</v></cell><cell r="G4303" t="str"><v>https://signup.azure.com/</v></cell></row><row r="4303"><cell r="K4303" t="str"><v>July</v></cell><cell r="L4303"><v>43316</v></cell><cell r="M4303" t="str"><v>Tier 1</v></cell><cell r="N4303" t="str"><v>North America</v></cell><cell r="O4303" t="str"><v>Canada</v></cell><cell r="P4303" t="str"><v>Trial</v></cell><cell r="Q4303" t="str"><v>Social</v></cell><cell r="R4303" t="str"><v>Azure</v></cell><cell r="S4303" t="str"><v>Apps & Infra</v></cell><cell r="T4303" t="str"><v>Developers & ITI's</v></cell><cell r="U4303" t="str"><v>AZR</v></cell><cell r="V4303" t="str"><v>Audience Targeting</v></cell><cell r="W4303" t="str"><v>Engagement Video</v></cell><cell r="X4303" t="str"><v>1x1</v></cell></row><row r="4303"><cell r="AA4303"><v>43312</v></cell><cell r="AB4303" t="str"><v>CAN_gaPMG_AZR_AZR_Q1_19_Trial-Social</v></cell><cell r="AC4303"><v>21337220</v></cell><cell r="AD4303"><v>720192</v></cell><cell r="AE4303" t="str"><v>Facebook</v></cell><cell r="AF4303"><v>3654128</v></cell><cell r="AG4303" t="str"><v>Facebook»AZR»1x1»NA»EGV»ALL»DYN»AUT»D»All»SS»NA»Free Acc CTC - T2 - EN</v></cell><cell r="AH4303"><v>223691840</v></cell><cell r="AI4303" t="str"><v>AzurePlatform_FBCTCBrandinMotion_CAN_12s_ISV_PLAT_English_Trial_Standard_STAN_TN_T2_1</v></cell><cell r="AJ4303"><v>102902950</v></cell></row><row r="4304"><cell r="C4304" t="str"><v>43312Facebook»AZR»1x1»NA»EGV»ALL»DYN»AUT»D»All»SS»NA»Free Acc CTC - T2 - FR</v></cell><cell r="D4304" t="str"><v>43312223691798</v></cell><cell r="E4304" t="str"><v>433121029163472 - FR</v></cell><cell r="F4304" t="str"><v>DCM</v></cell><cell r="G4304" t="str"><v>https://signup.azure.com/</v></cell></row><row r="4304"><cell r="K4304" t="str"><v>July</v></cell><cell r="L4304"><v>43316</v></cell><cell r="M4304" t="str"><v>Tier 1</v></cell><cell r="N4304" t="str"><v>North America</v></cell><cell r="O4304" t="str"><v>Canada</v></cell><cell r="P4304" t="str"><v>Trial</v></cell><cell r="Q4304" t="str"><v>Social</v></cell><cell r="R4304" t="str"><v>Azure</v></cell><cell r="S4304" t="str"><v>Apps & Infra</v></cell><cell r="T4304" t="str"><v>Developers & ITI's</v></cell><cell r="U4304" t="str"><v>AZR</v></cell><cell r="V4304" t="str"><v>Audience Targeting</v></cell><cell r="W4304" t="str"><v>Engagement Video</v></cell><cell r="X4304" t="str"><v>1x1</v></cell></row><row r="4304"><cell r="AA4304"><v>43312</v></cell><cell r="AB4304" t="str"><v>CAN_gaPMG_AZR_AZR_Q1_19_Trial-Social</v></cell><cell r="AC4304"><v>21337220</v></cell><cell r="AD4304"><v>720192</v></cell><cell r="AE4304" t="str"><v>Facebook</v></cell><cell r="AF4304"><v>3654128</v></cell><cell r="AG4304" t="str"><v>Facebook»AZR»1x1»NA»EGV»ALL»DYN»AUT»D»All»SS»NA»Free Acc CTC - T2 - FR</v></cell><cell r="AH4304"><v>223691798</v></cell><cell r="AI4304" t="str"><v>AzurePlatform_FBCTCBrandinMotion_CAN_12s_ISV_PLAT_FR_Trial_Standard_STAN_TN_T2_1</v></cell><cell r="AJ4304"><v>102916347</v></cell></row><row r="4305"><cell r="C4305" t="str"><v>43312Facebook»AZR»1x1»NA»EGV»ALL»DYN»AUT»D»All»SS»NA»Free Acc CTC - T4 - EN</v></cell><cell r="D4305" t="str"><v>43312223691837</v></cell><cell r="E4305" t="str"><v>433121030533144 - EN</v></cell><cell r="F4305" t="str"><v>DCM</v></cell><cell r="G4305" t="str"><v>https://signup.azure.com/</v></cell></row><row r="4305"><cell r="K4305" t="str"><v>July</v></cell><cell r="L4305"><v>43316</v></cell><cell r="M4305" t="str"><v>Tier 1</v></cell><cell r="N4305" t="str"><v>North America</v></cell><cell r="O4305" t="str"><v>Canada</v></cell><cell r="P4305" t="str"><v>Trial</v></cell><cell r="Q4305" t="str"><v>Social</v></cell><cell r="R4305" t="str"><v>Azure</v></cell><cell r="S4305" t="str"><v>Apps & Infra</v></cell><cell r="T4305" t="str"><v>Developers & ITI's</v></cell><cell r="U4305" t="str"><v>AZR</v></cell><cell r="V4305" t="str"><v>Audience Targeting</v></cell><cell r="W4305" t="str"><v>Engagement Video</v></cell><cell r="X4305" t="str"><v>1x1</v></cell></row><row r="4305"><cell r="AA4305"><v>43312</v></cell><cell r="AB4305" t="str"><v>CAN_gaPMG_AZR_AZR_Q1_19_Trial-Social</v></cell><cell r="AC4305"><v>21337220</v></cell><cell r="AD4305"><v>720192</v></cell><cell r="AE4305" t="str"><v>Facebook</v></cell><cell r="AF4305"><v>3654128</v></cell><cell r="AG4305" t="str"><v>Facebook»AZR»1x1»NA»EGV»ALL»DYN»AUT»D»All»SS»NA»Free Acc CTC - T4 - EN</v></cell><cell r="AH4305"><v>223691837</v></cell><cell r="AI4305" t="str"><v>AzurePlatform_FBCTCBenefit2inMotion_CAN_14s_ISV_PLAT_English_Trial_Standard_STAN_TN_T4_1</v></cell><cell r="AJ4305"><v>103053314</v></cell></row><row r="4306"><cell r="C4306" t="str"><v>43312Facebook»AZR»1x1»NA»EGV»ALL»DYN»AUT»D»All»SS»NA»Free Acc CTC - T4 - FR</v></cell><cell r="D4306" t="str"><v>43312223691795</v></cell><cell r="E4306" t="str"><v>433121029006884 - FR</v></cell><cell r="F4306" t="str"><v>DCM</v></cell><cell r="G4306" t="str"><v>https://signup.azure.com/</v></cell></row><row r="4306"><cell r="K4306" t="str"><v>July</v></cell><cell r="L4306"><v>43316</v></cell><cell r="M4306" t="str"><v>Tier 1</v></cell><cell r="N4306" t="str"><v>North America</v></cell><cell r="O4306" t="str"><v>Canada</v></cell><cell r="P4306" t="str"><v>Trial</v></cell><cell r="Q4306" t="str"><v>Social</v></cell><cell r="R4306" t="str"><v>Azure</v></cell><cell r="S4306" t="str"><v>Apps & Infra</v></cell><cell r="T4306" t="str"><v>Developers & ITI's</v></cell><cell r="U4306" t="str"><v>AZR</v></cell><cell r="V4306" t="str"><v>Audience Targeting</v></cell><cell r="W4306" t="str"><v>Engagement Video</v></cell><cell r="X4306" t="str"><v>1x1</v></cell></row><row r="4306"><cell r="AA4306"><v>43312</v></cell><cell r="AB4306" t="str"><v>CAN_gaPMG_AZR_AZR_Q1_19_Trial-Social</v></cell><cell r="AC4306"><v>21337220</v></cell><cell r="AD4306"><v>720192</v></cell><cell r="AE4306" t="str"><v>Facebook</v></cell><cell r="AF4306"><v>3654128</v></cell><cell r="AG4306" t="str"><v>Facebook»AZR»1x1»NA»EGV»ALL»DYN»AUT»D»All»SS»NA»Free Acc CTC - T4 - FR</v></cell><cell r="AH4306"><v>223691795</v></cell><cell r="AI4306" t="str"><v>AzurePlatform_FBCTCBenefit2inMotion_CAN_14s_ISV_PLAT_FR_Trial_Standard_STAN_TN_T4_1</v></cell><cell r="AJ4306"><v>102900688</v></cell></row><row r="4307"><cell r="C4307" t="str"><v>43312Facebook»AZR»1x1»NA»SOC»ALL»DYN»PRO»D»All»SS»NA»Canvas - Buy Now - EN</v></cell><cell r="D4307" t="str"><v>43312225322327</v></cell><cell r="E4307" t="str"><v>43312103902287w - EN</v></cell><cell r="F4307" t="str"><v>DCM</v></cell><cell r="G4307" t="str"><v>https://azure.microsoft.com/en-ca/pricing/purchase-options/</v></cell></row><row r="4307"><cell r="K4307" t="str"><v>July</v></cell><cell r="L4307"><v>43316</v></cell><cell r="M4307" t="str"><v>Tier 1</v></cell><cell r="N4307" t="str"><v>North America</v></cell><cell r="O4307" t="str"><v>Canada</v></cell><cell r="P4307" t="str"><v>Trial</v></cell><cell r="Q4307" t="str"><v>Social</v></cell><cell r="R4307" t="str"><v>Azure</v></cell><cell r="S4307" t="str"><v>Apps & Infra</v></cell><cell r="T4307" t="str"><v>Developers & ITI's</v></cell><cell r="U4307" t="str"><v>AZR</v></cell><cell r="V4307" t="str"><v>Prospecting</v></cell><cell r="W4307" t="str"><v>Social</v></cell><cell r="X4307" t="str"><v>1x1</v></cell></row><row r="4307"><cell r="AA4307"><v>43312</v></cell><cell r="AB4307" t="str"><v>CAN_gaPMG_AZR_AZR_Q1_19_Trial-Social</v></cell><cell r="AC4307"><v>21337220</v></cell><cell r="AD4307"><v>720192</v></cell><cell r="AE4307" t="str"><v>Facebook</v></cell><cell r="AF4307"><v>3654128</v></cell><cell r="AG4307" t="str"><v>Facebook»AZR»1x1»NA»SOC»ALL»DYN»PRO»D»All»SS»NA»Canvas - Buy Now - EN</v></cell><cell r="AH4307"><v>225322327</v></cell><cell r="AI4307" t="str"><v>AzurePlatform_FBCTCcanvaspage-BuyNowCTA-Img3_CAN_1080x162_SOC_Plat_English_NA_Standard_NA_BN_T3_1</v></cell><cell r="AJ4307"><v>103902287</v></cell></row><row r="4308"><cell r="C4308" t="str"><v>43312Facebook»AZR»1x1»NA»SOC»ALL»DYN»PRO»D»All»SS»NA»Canvas - Buy Now - FR</v></cell><cell r="D4308" t="str"><v>43312225322324</v></cell><cell r="E4308" t="str"><v>43312103789915w - FR</v></cell><cell r="F4308" t="str"><v>DCM</v></cell><cell r="G4308" t="str"><v>https://azure.microsoft.com/fr-ca/pricing/purchase-options/</v></cell></row><row r="4308"><cell r="K4308" t="str"><v>July</v></cell><cell r="L4308"><v>43316</v></cell><cell r="M4308" t="str"><v>Tier 1</v></cell><cell r="N4308" t="str"><v>North America</v></cell><cell r="O4308" t="str"><v>Canada</v></cell><cell r="P4308" t="str"><v>Trial</v></cell><cell r="Q4308" t="str"><v>Social</v></cell><cell r="R4308" t="str"><v>Azure</v></cell><cell r="S4308" t="str"><v>Apps & Infra</v></cell><cell r="T4308" t="str"><v>Developers & ITI's</v></cell><cell r="U4308" t="str"><v>AZR</v></cell><cell r="V4308" t="str"><v>Prospecting</v></cell><cell r="W4308" t="str"><v>Social</v></cell><cell r="X4308" t="str"><v>1x1</v></cell></row><row r="4308"><cell r="AA4308"><v>43312</v></cell><cell r="AB4308" t="str"><v>CAN_gaPMG_AZR_AZR_Q1_19_Trial-Social</v></cell><cell r="AC4308"><v>21337220</v></cell><cell r="AD4308"><v>720192</v></cell><cell r="AE4308" t="str"><v>Facebook</v></cell><cell r="AF4308"><v>3654128</v></cell><cell r="AG4308" t="str"><v>Facebook»AZR»1x1»NA»SOC»ALL»DYN»PRO»D»All»SS»NA»Canvas - Buy Now - FR</v></cell><cell r="AH4308"><v>225322324</v></cell><cell r="AI4308" t="str"><v>AzurePlatform_FBCTCcanvaspage-BuyNowCTA-Img3_CAN_1080x162_SOC_Plat_French_NA_Standard_NA_BN_T3_1</v></cell><cell r="AJ4308"><v>103789915</v></cell></row><row r="4309"><cell r="C4309" t="str"><v>43312Facebook»AZR»1x1»NA»SOC»ALL»DYN»PRO»D»All»SS»NA»Canvas - Start Free - EN</v></cell><cell r="D4309" t="str"><v>43312225252365</v></cell><cell r="E4309" t="str"><v>43312103807590e - EN</v></cell><cell r="F4309" t="str"><v>DCM</v></cell><cell r="G4309" t="str"><v>https://signup.azure.com/signup?offer=ms-azr-0044p&appId=102&ref=paidmedia-social-fb&redirectURL=https%3a%2f%2fazure.microsoft.com%2fen-ca%2fget-started%2fwelcome-to-azure%2f&l=en-ca&correlationId=ead86c34-1f10-49dd-a72b-6918462a2cbf</v></cell></row><row r="4309"><cell r="K4309" t="str"><v>July</v></cell><cell r="L4309"><v>43316</v></cell><cell r="M4309" t="str"><v>Tier 1</v></cell><cell r="N4309" t="str"><v>North America</v></cell><cell r="O4309" t="str"><v>Canada</v></cell><cell r="P4309" t="str"><v>Trial</v></cell><cell r="Q4309" t="str"><v>Social</v></cell><cell r="R4309" t="str"><v>Azure</v></cell><cell r="S4309" t="str"><v>Apps & Infra</v></cell><cell r="T4309" t="str"><v>Developers & ITI's</v></cell><cell r="U4309" t="str"><v>AZR</v></cell><cell r="V4309" t="str"><v>Prospecting</v></cell><cell r="W4309" t="str"><v>Social</v></cell><cell r="X4309" t="str"><v>1x1</v></cell></row><row r="4309"><cell r="AA4309"><v>43312</v></cell><cell r="AB4309" t="str"><v>CAN_gaPMG_AZR_AZR_Q1_19_Trial-Social</v></cell><cell r="AC4309"><v>21337220</v></cell><cell r="AD4309"><v>720192</v></cell><cell r="AE4309" t="str"><v>Facebook</v></cell><cell r="AF4309"><v>3654128</v></cell><cell r="AG4309" t="str"><v>Facebook»AZR»1x1»NA»SOC»ALL»DYN»PRO»D»All»SS»NA»Canvas - Start Free - EN</v></cell><cell r="AH4309"><v>225252365</v></cell><cell r="AI4309" t="str"><v>AzurePlatform_FBCTCcanvaspage-StartFreeCTA-Img2_CAN_1080x143 _SOC_Plat_English_NA_Standard_NA_NA_T2_1</v></cell><cell r="AJ4309"><v>103807590</v></cell></row><row r="4310"><cell r="C4310" t="str"><v>43312Facebook»AZR»1x1»NA»SOC»ALL»DYN»PRO»D»All»SS»NA»Canvas - Start Free - FR</v></cell><cell r="D4310" t="str"><v>43312225525936</v></cell><cell r="E4310" t="str"><v>43312103902551e - FR</v></cell><cell r="F4310" t="str"><v>DCM</v></cell><cell r="G4310" t="str"><v>https://signup.azure.com/signup?offer=ms-azr-0044p&appId=102&ref=paidmedia-social-fb&redirectURL=https%3a%2f%2fazure.microsoft.com%2ffr-ca%2fget-started%2fwelcome-to-azure%2f&l=fr-ca&correlationId=ead86c34-1f10-49dd-a72b-6918462a2cbf</v></cell></row><row r="4310"><cell r="K4310" t="str"><v>July</v></cell><cell r="L4310"><v>43316</v></cell><cell r="M4310" t="str"><v>Tier 1</v></cell><cell r="N4310" t="str"><v>North America</v></cell><cell r="O4310" t="str"><v>Canada</v></cell><cell r="P4310" t="str"><v>Trial</v></cell><cell r="Q4310" t="str"><v>Social</v></cell><cell r="R4310" t="str"><v>Azure</v></cell><cell r="S4310" t="str"><v>Apps & Infra</v></cell><cell r="T4310" t="str"><v>Developers & ITI's</v></cell><cell r="U4310" t="str"><v>AZR</v></cell><cell r="V4310" t="str"><v>Prospecting</v></cell><cell r="W4310" t="str"><v>Social</v></cell><cell r="X4310" t="str"><v>1x1</v></cell></row><row r="4310"><cell r="AA4310"><v>43312</v></cell><cell r="AB4310" t="str"><v>CAN_gaPMG_AZR_AZR_Q1_19_Trial-Social</v></cell><cell r="AC4310"><v>21337220</v></cell><cell r="AD4310"><v>720192</v></cell><cell r="AE4310" t="str"><v>Facebook</v></cell><cell r="AF4310"><v>3654128</v></cell><cell r="AG4310" t="str"><v>Facebook»AZR»1x1»NA»SOC»ALL»DYN»PRO»D»All»SS»NA»Canvas - Start Free - FR</v></cell><cell r="AH4310"><v>225525936</v></cell><cell r="AI4310" t="str"><v>AzurePlatform_FBCTCcanvaspage-StartFreeCTA-Img2_CAN_1080x143 _SOC_Plat_French_NA_Standard_NA_NA_T2_1</v></cell><cell r="AJ4310"><v>103902551</v></cell></row><row r="4311"><cell r="C4311" t="str"><v>43312Facebook»AZR»1x1»SocialBan»NA»ALL»DYN»AUT»D»All»SS»NA»Free Acc Refresh - T1 - EN</v></cell><cell r="D4311" t="str"><v>43312223691804</v></cell><cell r="E4311" t="str"><v>433121030587171 - EN</v></cell><cell r="F4311" t="str"><v>DCM</v></cell><cell r="G4311" t="str"><v>https://azure.microsoft.com/en-CA/free/search/</v></cell></row><row r="4311"><cell r="K4311" t="str"><v>July</v></cell><cell r="L4311"><v>43316</v></cell><cell r="M4311" t="str"><v>Tier 1</v></cell><cell r="N4311" t="str"><v>North America</v></cell><cell r="O4311" t="str"><v>Canada</v></cell><cell r="P4311" t="str"><v>Trial</v></cell><cell r="Q4311" t="str"><v>Social</v></cell><cell r="R4311" t="str"><v>Azure</v></cell><cell r="S4311" t="str"><v>Apps & Infra</v></cell><cell r="T4311" t="str"><v>Developers & ITI's</v></cell><cell r="U4311" t="str"><v>AZR</v></cell><cell r="V4311" t="str"><v>Audience Targeting</v></cell><cell r="W4311" t="str"><v>NotApplicable</v></cell><cell r="X4311" t="str"><v>1x1</v></cell></row><row r="4311"><cell r="AA4311"><v>43312</v></cell><cell r="AB4311" t="str"><v>CAN_gaPMG_AZR_AZR_Q1_19_Trial-Social</v></cell><cell r="AC4311"><v>21337220</v></cell><cell r="AD4311"><v>720192</v></cell><cell r="AE4311" t="str"><v>Facebook</v></cell><cell r="AF4311"><v>3654128</v></cell><cell r="AG4311" t="str"><v>Facebook»AZR»1x1»SocialBan»NA»ALL»DYN»AUT»D»All»SS»NA»Free Acc Refresh - T1 - EN</v></cell><cell r="AH4311"><v>223691804</v></cell><cell r="AI4311" t="str"><v>AzurePlatform_FreeAcctAppsFACEBOOKLifestyleChA_CAN_1200x628_SOC_PLAT_EN_Trial_Standard_NA_SU_T1_1.png</v></cell><cell r="AJ4311"><v>103058717</v></cell></row><row r="4312"><cell r="C4312" t="str"><v>43312Facebook»AZR»1x1»SocialBan»NA»ALL»DYN»AUT»D»All»SS»NA»Free Acc Refresh - T1 - FR</v></cell><cell r="D4312" t="str"><v>43312223691762</v></cell><cell r="E4312" t="str"><v>433121029029741 - FR</v></cell><cell r="F4312" t="str"><v>DCM</v></cell><cell r="G4312" t="str"><v>https://azure.microsoft.com/fr-ca/free/search/</v></cell></row><row r="4312"><cell r="K4312" t="str"><v>July</v></cell><cell r="L4312"><v>43316</v></cell><cell r="M4312" t="str"><v>Tier 1</v></cell><cell r="N4312" t="str"><v>North America</v></cell><cell r="O4312" t="str"><v>Canada</v></cell><cell r="P4312" t="str"><v>Trial</v></cell><cell r="Q4312" t="str"><v>Social</v></cell><cell r="R4312" t="str"><v>Azure</v></cell><cell r="S4312" t="str"><v>Apps & Infra</v></cell><cell r="T4312" t="str"><v>Developers & ITI's</v></cell><cell r="U4312" t="str"><v>AZR</v></cell><cell r="V4312" t="str"><v>Audience Targeting</v></cell><cell r="W4312" t="str"><v>NotApplicable</v></cell><cell r="X4312" t="str"><v>1x1</v></cell></row><row r="4312"><cell r="AA4312"><v>43312</v></cell><cell r="AB4312" t="str"><v>CAN_gaPMG_AZR_AZR_Q1_19_Trial-Social</v></cell><cell r="AC4312"><v>21337220</v></cell><cell r="AD4312"><v>720192</v></cell><cell r="AE4312" t="str"><v>Facebook</v></cell><cell r="AF4312"><v>3654128</v></cell><cell r="AG4312" t="str"><v>Facebook»AZR»1x1»SocialBan»NA»ALL»DYN»AUT»D»All»SS»NA»Free Acc Refresh - T1 - FR</v></cell><cell r="AH4312"><v>223691762</v></cell><cell r="AI4312" t="str"><v>AzurePlatform_FreeAcctAppsFACEBOOKLifestyleChA_CAN_1200x628_SOC_PLAT_FR_Trial_Standard_NA_SU_T1_1.png</v></cell><cell r="AJ4312"><v>102902974</v></cell></row><row r="4313"><cell r="C4313" t="str"><v>43312Facebook»AZR»1x1»SocialBan»NA»ALL»DYN»AUT»D»All»SS»NA»Free Acc Refresh - T2 - EN</v></cell><cell r="D4313" t="str"><v>43312223691810</v></cell><cell r="E4313" t="str"><v>433121030587112 - EN</v></cell><cell r="F4313" t="str"><v>DCM</v></cell><cell r="G4313" t="str"><v>https://azure.microsoft.com/en-CA/free/search/</v></cell></row><row r="4313"><cell r="K4313" t="str"><v>July</v></cell><cell r="L4313"><v>43316</v></cell><cell r="M4313" t="str"><v>Tier 1</v></cell><cell r="N4313" t="str"><v>North America</v></cell><cell r="O4313" t="str"><v>Canada</v></cell><cell r="P4313" t="str"><v>Trial</v></cell><cell r="Q4313" t="str"><v>Social</v></cell><cell r="R4313" t="str"><v>Azure</v></cell><cell r="S4313" t="str"><v>Apps & Infra</v></cell><cell r="T4313" t="str"><v>Developers & ITI's</v></cell><cell r="U4313" t="str"><v>AZR</v></cell><cell r="V4313" t="str"><v>Audience Targeting</v></cell><cell r="W4313" t="str"><v>NotApplicable</v></cell><cell r="X4313" t="str"><v>1x1</v></cell></row><row r="4313"><cell r="AA4313"><v>43312</v></cell><cell r="AB4313" t="str"><v>CAN_gaPMG_AZR_AZR_Q1_19_Trial-Social</v></cell><cell r="AC4313"><v>21337220</v></cell><cell r="AD4313"><v>720192</v></cell><cell r="AE4313" t="str"><v>Facebook</v></cell><cell r="AF4313"><v>3654128</v></cell><cell r="AG4313" t="str"><v>Facebook»AZR»1x1»SocialBan»NA»ALL»DYN»AUT»D»All»SS»NA»Free Acc Refresh - T2 - EN</v></cell><cell r="AH4313"><v>223691810</v></cell><cell r="AI4313" t="str"><v>AzurePlatform_FreeAcctAppsFACEBOOKDeviceChB_CAN_1200x628_SOC_PLAT_EN_Trial_Standard_NA_SU_T2_1.png</v></cell><cell r="AJ4313"><v>103058711</v></cell></row><row r="4314"><cell r="C4314" t="str"><v>43312Facebook»AZR»1x1»SocialBan»NA»ALL»DYN»AUT»D»All»SS»NA»Free Acc Refresh - T2 - FR</v></cell><cell r="D4314" t="str"><v>43312223691768</v></cell><cell r="E4314" t="str"><v>433121029029712 - FR</v></cell><cell r="F4314" t="str"><v>DCM</v></cell><cell r="G4314" t="str"><v>https://azure.microsoft.com/fr-ca/free/search/</v></cell></row><row r="4314"><cell r="K4314" t="str"><v>July</v></cell><cell r="L4314"><v>43316</v></cell><cell r="M4314" t="str"><v>Tier 1</v></cell><cell r="N4314" t="str"><v>North America</v></cell><cell r="O4314" t="str"><v>Canada</v></cell><cell r="P4314" t="str"><v>Trial</v></cell><cell r="Q4314" t="str"><v>Social</v></cell><cell r="R4314" t="str"><v>Azure</v></cell><cell r="S4314" t="str"><v>Apps & Infra</v></cell><cell r="T4314" t="str"><v>Developers & ITI's</v></cell><cell r="U4314" t="str"><v>AZR</v></cell><cell r="V4314" t="str"><v>Audience Targeting</v></cell><cell r="W4314" t="str"><v>NotApplicable</v></cell><cell r="X4314" t="str"><v>1x1</v></cell></row><row r="4314"><cell r="AA4314"><v>43312</v></cell><cell r="AB4314" t="str"><v>CAN_gaPMG_AZR_AZR_Q1_19_Trial-Social</v></cell><cell r="AC4314"><v>21337220</v></cell><cell r="AD4314"><v>720192</v></cell><cell r="AE4314" t="str"><v>Facebook</v></cell><cell r="AF4314"><v>3654128</v></cell><cell r="AG4314" t="str"><v>Facebook»AZR»1x1»SocialBan»NA»ALL»DYN»AUT»D»All»SS»NA»Free Acc Refresh - T2 - FR</v></cell><cell r="AH4314"><v>223691768</v></cell><cell r="AI4314" t="str"><v>AzurePlatform_FreeAcctAppsFACEBOOKDeviceChB_CAN_1200x628_SOC_PLAT_FR_Trial_Standard_NA_SU_T2_1.png</v></cell><cell r="AJ4314"><v>102902971</v></cell></row><row r="4315"><cell r="C4315" t="str"><v>43312Facebook»AZR»1x1»SocialBan»NA»ALL»DYN»AUT»D»All»SS»NA»Free Acc Refresh - T3 - EN</v></cell><cell r="D4315" t="str"><v>43312223691807</v></cell><cell r="E4315" t="str"><v>433121029006853 - EN</v></cell><cell r="F4315" t="str"><v>DCM</v></cell><cell r="G4315" t="str"><v>https://azure.microsoft.com/en-CA/free/search/</v></cell></row><row r="4315"><cell r="K4315" t="str"><v>July</v></cell><cell r="L4315"><v>43316</v></cell><cell r="M4315" t="str"><v>Tier 1</v></cell><cell r="N4315" t="str"><v>North America</v></cell><cell r="O4315" t="str"><v>Canada</v></cell><cell r="P4315" t="str"><v>Trial</v></cell><cell r="Q4315" t="str"><v>Social</v></cell><cell r="R4315" t="str"><v>Azure</v></cell><cell r="S4315" t="str"><v>Apps & Infra</v></cell><cell r="T4315" t="str"><v>Developers & ITI's</v></cell><cell r="U4315" t="str"><v>AZR</v></cell><cell r="V4315" t="str"><v>Audience Targeting</v></cell><cell r="W4315" t="str"><v>NotApplicable</v></cell><cell r="X4315" t="str"><v>1x1</v></cell></row><row r="4315"><cell r="AA4315"><v>43312</v></cell><cell r="AB4315" t="str"><v>CAN_gaPMG_AZR_AZR_Q1_19_Trial-Social</v></cell><cell r="AC4315"><v>21337220</v></cell><cell r="AD4315"><v>720192</v></cell><cell r="AE4315" t="str"><v>Facebook</v></cell><cell r="AF4315"><v>3654128</v></cell><cell r="AG4315" t="str"><v>Facebook»AZR»1x1»SocialBan»NA»ALL»DYN»AUT»D»All»SS»NA»Free Acc Refresh - T3 - EN</v></cell><cell r="AH4315"><v>223691807</v></cell><cell r="AI4315" t="str"><v>AzurePlatform_FreeAcctAppsFACEBOOKIllustrationChC_CAN_1200x628_SOC_PLAT_EN_Trial_Standard_NA_SU_T3_1.png</v></cell><cell r="AJ4315"><v>102900685</v></cell></row><row r="4316"><cell r="C4316" t="str"><v>43312Facebook»AZR»1x1»SocialBan»NA»ALL»DYN»AUT»D»All»SS»NA»Free Acc Refresh - T3 - FR</v></cell><cell r="D4316" t="str"><v>43312223691765</v></cell><cell r="E4316" t="str"><v>433121030533323 - FR</v></cell><cell r="F4316" t="str"><v>DCM</v></cell><cell r="G4316" t="str"><v>https://azure.microsoft.com/fr-ca/free/search/</v></cell></row><row r="4316"><cell r="K4316" t="str"><v>July</v></cell><cell r="L4316"><v>43316</v></cell><cell r="M4316" t="str"><v>Tier 1</v></cell><cell r="N4316" t="str"><v>North America</v></cell><cell r="O4316" t="str"><v>Canada</v></cell><cell r="P4316" t="str"><v>Trial</v></cell><cell r="Q4316" t="str"><v>Social</v></cell><cell r="R4316" t="str"><v>Azure</v></cell><cell r="S4316" t="str"><v>Apps & Infra</v></cell><cell r="T4316" t="str"><v>Developers & ITI's</v></cell><cell r="U4316" t="str"><v>AZR</v></cell><cell r="V4316" t="str"><v>Audience Targeting</v></cell><cell r="W4316" t="str"><v>NotApplicable</v></cell><cell r="X4316" t="str"><v>1x1</v></cell></row><row r="4316"><cell r="AA4316"><v>43312</v></cell><cell r="AB4316" t="str"><v>CAN_gaPMG_AZR_AZR_Q1_19_Trial-Social</v></cell><cell r="AC4316"><v>21337220</v></cell><cell r="AD4316"><v>720192</v></cell><cell r="AE4316" t="str"><v>Facebook</v></cell><cell r="AF4316"><v>3654128</v></cell><cell r="AG4316" t="str"><v>Facebook»AZR»1x1»SocialBan»NA»ALL»DYN»AUT»D»All»SS»NA»Free Acc Refresh - T3 - FR</v></cell><cell r="AH4316"><v>223691765</v></cell><cell r="AI4316" t="str"><v>AzurePlatform_FreeAcctAppsFACEBOOKIllustrationChC_CAN_1200x628_SOC_PLAT_FR_Trial_Standard_NA_SU_T3_1.png</v></cell><cell r="AJ4316"><v>103053332</v></cell></row><row r="4317"><cell r="C4317" t="str"><v>43312Facebook»AZR»1x1»SocialBan»NA»ALL»DYN»AUT»D»All»SS»NA»Free Acc Refresh - T4 - EN</v></cell><cell r="D4317" t="str"><v>43312223691813</v></cell><cell r="E4317" t="str"><v>433121030533204 - EN</v></cell><cell r="F4317" t="str"><v>DCM</v></cell><cell r="G4317" t="str"><v>https://azure.microsoft.com/en-CA/free/search/</v></cell></row><row r="4317"><cell r="K4317" t="str"><v>July</v></cell><cell r="L4317"><v>43316</v></cell><cell r="M4317" t="str"><v>Tier 1</v></cell><cell r="N4317" t="str"><v>North America</v></cell><cell r="O4317" t="str"><v>Canada</v></cell><cell r="P4317" t="str"><v>Trial</v></cell><cell r="Q4317" t="str"><v>Social</v></cell><cell r="R4317" t="str"><v>Azure</v></cell><cell r="S4317" t="str"><v>Apps & Infra</v></cell><cell r="T4317" t="str"><v>Developers & ITI's</v></cell><cell r="U4317" t="str"><v>AZR</v></cell><cell r="V4317" t="str"><v>Audience Targeting</v></cell><cell r="W4317" t="str"><v>NotApplicable</v></cell><cell r="X4317" t="str"><v>1x1</v></cell></row><row r="4317"><cell r="AA4317"><v>43312</v></cell><cell r="AB4317" t="str"><v>CAN_gaPMG_AZR_AZR_Q1_19_Trial-Social</v></cell><cell r="AC4317"><v>21337220</v></cell><cell r="AD4317"><v>720192</v></cell><cell r="AE4317" t="str"><v>Facebook</v></cell><cell r="AF4317"><v>3654128</v></cell><cell r="AG4317" t="str"><v>Facebook»AZR»1x1»SocialBan»NA»ALL»DYN»AUT»D»All»SS»NA»Free Acc Refresh - T4 - EN</v></cell><cell r="AH4317"><v>223691813</v></cell><cell r="AI4317" t="str"><v>AzurePlatform_FreeAcctAppsFACEBOOK200CreditChD_CAN_1200x628_SOC_PLAT_EN_Trial_Standard_NA_SU_T4_1.png</v></cell><cell r="AJ4317"><v>103053320</v></cell></row><row r="4318"><cell r="C4318" t="str"><v>43312Facebook»AZR»1x1»SocialBan»NA»ALL»DYN»AUT»D»All»SS»NA»Free Acc Refresh - T4 - FR</v></cell><cell r="D4318" t="str"><v>43312223691771</v></cell><cell r="E4318" t="str"><v>433121029029684 - FR</v></cell><cell r="F4318" t="str"><v>DCM</v></cell><cell r="G4318" t="str"><v>https://azure.microsoft.com/fr-ca/free/search/</v></cell></row><row r="4318"><cell r="K4318" t="str"><v>July</v></cell><cell r="L4318"><v>43316</v></cell><cell r="M4318" t="str"><v>Tier 1</v></cell><cell r="N4318" t="str"><v>North America</v></cell><cell r="O4318" t="str"><v>Canada</v></cell><cell r="P4318" t="str"><v>Trial</v></cell><cell r="Q4318" t="str"><v>Social</v></cell><cell r="R4318" t="str"><v>Azure</v></cell><cell r="S4318" t="str"><v>Apps & Infra</v></cell><cell r="T4318" t="str"><v>Developers & ITI's</v></cell><cell r="U4318" t="str"><v>AZR</v></cell><cell r="V4318" t="str"><v>Audience Targeting</v></cell><cell r="W4318" t="str"><v>NotApplicable</v></cell><cell r="X4318" t="str"><v>1x1</v></cell></row><row r="4318"><cell r="AA4318"><v>43312</v></cell><cell r="AB4318" t="str"><v>CAN_gaPMG_AZR_AZR_Q1_19_Trial-Social</v></cell><cell r="AC4318"><v>21337220</v></cell><cell r="AD4318"><v>720192</v></cell><cell r="AE4318" t="str"><v>Facebook</v></cell><cell r="AF4318"><v>3654128</v></cell><cell r="AG4318" t="str"><v>Facebook»AZR»1x1»SocialBan»NA»ALL»DYN»AUT»D»All»SS»NA»Free Acc Refresh - T4 - FR</v></cell><cell r="AH4318"><v>223691771</v></cell><cell r="AI4318" t="str"><v>AzurePlatform_FreeAcctAppsFACEBOOK200CreditChD_CAN_1200x628_SOC_PLAT_FR_Trial_Standard_NA_SU_T4_1.png</v></cell><cell r="AJ4318"><v>102902968</v></cell></row><row r="4319"><cell r="C4319" t="str"><v>43312Facebook»AZR»1x1»SocialBan»NA»ALL»DYN»AUT»D»All»SS»NA»Free Acc Refresh - T5 - EN</v></cell><cell r="D4319" t="str"><v>43312223691816</v></cell><cell r="E4319" t="str"><v>433121029163415 - EN</v></cell><cell r="F4319" t="str"><v>DCM</v></cell><cell r="G4319" t="str"><v>https://azure.microsoft.com/en-CA/free/search/</v></cell></row><row r="4319"><cell r="K4319" t="str"><v>July</v></cell><cell r="L4319"><v>43316</v></cell><cell r="M4319" t="str"><v>Tier 1</v></cell><cell r="N4319" t="str"><v>North America</v></cell><cell r="O4319" t="str"><v>Canada</v></cell><cell r="P4319" t="str"><v>Trial</v></cell><cell r="Q4319" t="str"><v>Social</v></cell><cell r="R4319" t="str"><v>Azure</v></cell><cell r="S4319" t="str"><v>Apps & Infra</v></cell><cell r="T4319" t="str"><v>Developers & ITI's</v></cell><cell r="U4319" t="str"><v>AZR</v></cell><cell r="V4319" t="str"><v>Audience Targeting</v></cell><cell r="W4319" t="str"><v>NotApplicable</v></cell><cell r="X4319" t="str"><v>1x1</v></cell></row><row r="4319"><cell r="AA4319"><v>43312</v></cell><cell r="AB4319" t="str"><v>CAN_gaPMG_AZR_AZR_Q1_19_Trial-Social</v></cell><cell r="AC4319"><v>21337220</v></cell><cell r="AD4319"><v>720192</v></cell><cell r="AE4319" t="str"><v>Facebook</v></cell><cell r="AF4319"><v>3654128</v></cell><cell r="AG4319" t="str"><v>Facebook»AZR»1x1»SocialBan»NA»ALL»DYN»AUT»D»All»SS»NA»Free Acc Refresh - T5 - EN</v></cell><cell r="AH4319"><v>223691816</v></cell><cell r="AI4319" t="str"><v>AzurePlatform_FreeAcctAppsFACEBOOK12monthsChE_CAN_1200x628_SOC_PLAT_EN_Trial_Standard_NA_SU_T5_1.png</v></cell><cell r="AJ4319"><v>102916341</v></cell></row><row r="4320"><cell r="C4320" t="str"><v>43312Facebook»AZR»1x1»SocialBan»NA»ALL»DYN»AUT»D»All»SS»NA»Free Acc Refresh - T5 - FR</v></cell><cell r="D4320" t="str"><v>43312223691774</v></cell><cell r="E4320" t="str"><v>433121029163565 - FR</v></cell><cell r="F4320" t="str"><v>DCM</v></cell><cell r="G4320" t="str"><v>https://azure.microsoft.com/fr-ca/free/search/</v></cell></row><row r="4320"><cell r="K4320" t="str"><v>July</v></cell><cell r="L4320"><v>43316</v></cell><cell r="M4320" t="str"><v>Tier 1</v></cell><cell r="N4320" t="str"><v>North America</v></cell><cell r="O4320" t="str"><v>Canada</v></cell><cell r="P4320" t="str"><v>Trial</v></cell><cell r="Q4320" t="str"><v>Social</v></cell><cell r="R4320" t="str"><v>Azure</v></cell><cell r="S4320" t="str"><v>Apps & Infra</v></cell><cell r="T4320" t="str"><v>Developers & ITI's</v></cell><cell r="U4320" t="str"><v>AZR</v></cell><cell r="V4320" t="str"><v>Audience Targeting</v></cell><cell r="W4320" t="str"><v>NotApplicable</v></cell><cell r="X4320" t="str"><v>1x1</v></cell></row><row r="4320"><cell r="AA4320"><v>43312</v></cell><cell r="AB4320" t="str"><v>CAN_gaPMG_AZR_AZR_Q1_19_Trial-Social</v></cell><cell r="AC4320"><v>21337220</v></cell><cell r="AD4320"><v>720192</v></cell><cell r="AE4320" t="str"><v>Facebook</v></cell><cell r="AF4320"><v>3654128</v></cell><cell r="AG4320" t="str"><v>Facebook»AZR»1x1»SocialBan»NA»ALL»DYN»AUT»D»All»SS»NA»Free Acc Refresh - T5 - FR</v></cell><cell r="AH4320"><v>223691774</v></cell><cell r="AI4320" t="str"><v>AzurePlatform_FreeAcctAppsFACEBOOK12monthsChE_CAN_1200x628_SOC_PLAT_FR_Trial_Standard_NA_SU_T5_1.png</v></cell><cell r="AJ4320"><v>102916356</v></cell></row><row r="4321"><cell r="C4321" t="str"><v>43312Facebook»DEV-ITP-AZR-FB|CanvasAds|Interesttargeting»1x1»TextLink»CAN»DT»CPM»AUT»W»NA»SS»NA»39684020-11000</v></cell><cell r="D4321" t="str"><v>43312224009494</v></cell><cell r="E4321" t="str"><v>43312103236186-11000</v></cell><cell r="F4321" t="str"><v>DCM</v></cell><cell r="G4321" t="str"><v>https://signup.azure.com/signup?offer=ms-azr-0044p&appId=102&ref=paidmedia-social-fb&redirectURL=https%3a%2f%2fazure.microsoft.com%2fde-de%2fget-started%2fwelcome-to-azure%2f&l=de-de&correlationId=ead86c34-1f10-49dd-a72b-6918462a2cbf</v></cell></row><row r="4321"><cell r="K4321" t="str"><v>July</v></cell><cell r="L4321"><v>43316</v></cell><cell r="M4321" t="str"><v>Tier 1</v></cell><cell r="N4321" t="str"><v>EMEA</v></cell><cell r="O4321" t="str"><v>Germany</v></cell><cell r="P4321" t="str"><v>Trial</v></cell><cell r="Q4321" t="str"><v>Social</v></cell><cell r="R4321" t="str"><v>Azure</v></cell><cell r="S4321" t="str"><v>Apps & Infra</v></cell><cell r="T4321" t="str"><v>Developers & ITI's</v></cell><cell r="U4321" t="str"><v>DEV-ITP-AZR-FB|CanvasAds|Interesttargeting</v></cell><cell r="V4321" t="str"><v>Audience Targeting</v></cell><cell r="W4321" t="str"><v>Canvas Ad</v></cell><cell r="X4321" t="str"><v>1x1</v></cell></row><row r="4321"><cell r="AA4321"><v>43312</v></cell><cell r="AB4321" t="str"><v>DEU_gaPMG_AZR_AZR_Q1_19_Trial-Social- 39684</v></cell><cell r="AC4321"><v>21359477</v></cell><cell r="AD4321"><v>720194</v></cell><cell r="AE4321" t="str"><v>Facebook</v></cell><cell r="AF4321"><v>3654128</v></cell><cell r="AG4321" t="str"><v>Facebook»DEV-ITP-AZR-FB|CanvasAds|Interesttargeting»1x1»TextLink»CAN»DT»CPM»AUT»W»NA»SS»NA»39684020-11000</v></cell><cell r="AH4321"><v>224009494</v></cell><cell r="AI4321" t="str"><v>AzurePlatform_FBCTCBasicMotion-StartFreeCT_DEU_10s_ISV_PLAT_DE_Trial_Standard_STAN_TN_T1_1</v></cell><cell r="AJ4321"><v>103236186</v></cell></row><row r="4322"><cell r="C4322" t="str"><v>43312Facebook»DEV-ITP-AZR-FB|CanvasAds|Interesttargeting»1x1»TextLink»CAN»DT»CPM»AUT»W»NA»SS»NA»39684020-11000</v></cell><cell r="D4322" t="str"><v>43312224009494</v></cell><cell r="E4322" t="str"><v>43312103237290-11000</v></cell><cell r="F4322" t="str"><v>DCM</v></cell><cell r="G4322" t="str"><v>https://signup.azure.com/signup?offer=ms-azr-0044p&appId=102&ref=paidmedia-social-fb&redirectURL=https%3a%2f%2fazure.microsoft.com%2fde-de%2fget-started%2fwelcome-to-azure%2f&l=de-de&correlationId=ead86c34-1f10-49dd-a72b-6918462a2cbf</v></cell></row><row r="4322"><cell r="K4322" t="str"><v>July</v></cell><cell r="L4322"><v>43316</v></cell><cell r="M4322" t="str"><v>Tier 1</v></cell><cell r="N4322" t="str"><v>EMEA</v></cell><cell r="O4322" t="str"><v>Germany</v></cell><cell r="P4322" t="str"><v>Trial</v></cell><cell r="Q4322" t="str"><v>Social</v></cell><cell r="R4322" t="str"><v>Azure</v></cell><cell r="S4322" t="str"><v>Apps & Infra</v></cell><cell r="T4322" t="str"><v>Developers & ITI's</v></cell><cell r="U4322" t="str"><v>DEV-ITP-AZR-FB|CanvasAds|Interesttargeting</v></cell><cell r="V4322" t="str"><v>Audience Targeting</v></cell><cell r="W4322" t="str"><v>Canvas Ad</v></cell><cell r="X4322" t="str"><v>1x1</v></cell></row><row r="4322"><cell r="AA4322"><v>43312</v></cell><cell r="AB4322" t="str"><v>DEU_gaPMG_AZR_AZR_Q1_19_Trial-Social- 39684</v></cell><cell r="AC4322"><v>21359477</v></cell><cell r="AD4322"><v>720194</v></cell><cell r="AE4322" t="str"><v>Facebook</v></cell><cell r="AF4322"><v>3654128</v></cell><cell r="AG4322" t="str"><v>Facebook»DEV-ITP-AZR-FB|CanvasAds|Interesttargeting»1x1»TextLink»CAN»DT»CPM»AUT»W»NA»SS»NA»39684020-11000</v></cell><cell r="AH4322"><v>224009494</v></cell><cell r="AI4322" t="str"><v>AzurePlatform_FBCTCBenefit2inMotion-StartFreeCT_DEU_14s_ISV_PLAT_DE_Trial_Standard_STAN_TN_T4_1</v></cell><cell r="AJ4322"><v>103237290</v></cell></row><row r="4323"><cell r="C4323" t="str"><v>43312Facebook»DEV-ITP-AZR-FB|CanvasAds|Interesttargeting»1x1»TextLink»CAN»DT»CPM»AUT»W»NA»SS»NA»39684020-11000</v></cell><cell r="D4323" t="str"><v>43312224009494</v></cell><cell r="E4323" t="str"><v>43312103350059-11000</v></cell><cell r="F4323" t="str"><v>DCM</v></cell><cell r="G4323" t="str"><v>https://azure.microsoft.com/de-de/pricing/purchase-options/</v></cell></row><row r="4323"><cell r="K4323" t="str"><v>July</v></cell><cell r="L4323"><v>43316</v></cell><cell r="M4323" t="str"><v>Tier 1</v></cell><cell r="N4323" t="str"><v>EMEA</v></cell><cell r="O4323" t="str"><v>Germany</v></cell><cell r="P4323" t="str"><v>Trial</v></cell><cell r="Q4323" t="str"><v>Social</v></cell><cell r="R4323" t="str"><v>Azure</v></cell><cell r="S4323" t="str"><v>Apps & Infra</v></cell><cell r="T4323" t="str"><v>Developers & ITI's</v></cell><cell r="U4323" t="str"><v>DEV-ITP-AZR-FB|CanvasAds|Interesttargeting</v></cell><cell r="V4323" t="str"><v>Audience Targeting</v></cell><cell r="W4323" t="str"><v>Canvas Ad</v></cell><cell r="X4323" t="str"><v>1x1</v></cell></row><row r="4323"><cell r="AA4323"><v>43312</v></cell><cell r="AB4323" t="str"><v>DEU_gaPMG_AZR_AZR_Q1_19_Trial-Social- 39684</v></cell><cell r="AC4323"><v>21359477</v></cell><cell r="AD4323"><v>720194</v></cell><cell r="AE4323" t="str"><v>Facebook</v></cell><cell r="AF4323"><v>3654128</v></cell><cell r="AG4323" t="str"><v>Facebook»DEV-ITP-AZR-FB|CanvasAds|Interesttargeting»1x1»TextLink»CAN»DT»CPM»AUT»W»NA»SS»NA»39684020-11000</v></cell><cell r="AH4323"><v>224009494</v></cell><cell r="AI4323" t="str"><v>AzurePlatform_FBCTCBrandinMotion-BuyNow_DEU_12s_ISV_PLAT_DE_Trial_Standard_STAN_TN_T2_1</v></cell><cell r="AJ4323"><v>103350059</v></cell></row><row r="4324"><cell r="C4324" t="str"><v>43312Facebook»DEV-ITP-AZR-FB|CanvasAds|Interesttargeting»1x1»TextLink»CAN»DT»CPM»AUT»W»NA»SS»NA»39684020-11000</v></cell><cell r="D4324" t="str"><v>43312224009494</v></cell><cell r="E4324" t="str"><v>43312103237293-11000</v></cell><cell r="F4324" t="str"><v>DCM</v></cell><cell r="G4324" t="str"><v>https://signup.azure.com/signup?offer=ms-azr-0044p&appId=102&ref=paidmedia-social-fb&redirectURL=https%3a%2f%2fazure.microsoft.com%2fde-de%2fget-started%2fwelcome-to-azure%2f&l=de-de&correlationId=ead86c34-1f10-49dd-a72b-6918462a2cbf</v></cell></row><row r="4324"><cell r="K4324" t="str"><v>July</v></cell><cell r="L4324"><v>43316</v></cell><cell r="M4324" t="str"><v>Tier 1</v></cell><cell r="N4324" t="str"><v>EMEA</v></cell><cell r="O4324" t="str"><v>Germany</v></cell><cell r="P4324" t="str"><v>Trial</v></cell><cell r="Q4324" t="str"><v>Social</v></cell><cell r="R4324" t="str"><v>Azure</v></cell><cell r="S4324" t="str"><v>Apps & Infra</v></cell><cell r="T4324" t="str"><v>Developers & ITI's</v></cell><cell r="U4324" t="str"><v>DEV-ITP-AZR-FB|CanvasAds|Interesttargeting</v></cell><cell r="V4324" t="str"><v>Audience Targeting</v></cell><cell r="W4324" t="str"><v>Canvas Ad</v></cell><cell r="X4324" t="str"><v>1x1</v></cell></row><row r="4324"><cell r="AA4324"><v>43312</v></cell><cell r="AB4324" t="str"><v>DEU_gaPMG_AZR_AZR_Q1_19_Trial-Social- 39684</v></cell><cell r="AC4324"><v>21359477</v></cell><cell r="AD4324"><v>720194</v></cell><cell r="AE4324" t="str"><v>Facebook</v></cell><cell r="AF4324"><v>3654128</v></cell><cell r="AG4324" t="str"><v>Facebook»DEV-ITP-AZR-FB|CanvasAds|Interesttargeting»1x1»TextLink»CAN»DT»CPM»AUT»W»NA»SS»NA»39684020-11000</v></cell><cell r="AH4324"><v>224009494</v></cell><cell r="AI4324" t="str"><v>AzurePlatform_FBCTCBrandinMotion-StartFreeCT_DEU_12s_ISV_PLAT_DE_Trial_Standard_STAN_TN_T2_1</v></cell><cell r="AJ4324"><v>103237293</v></cell></row><row r="4325"><cell r="C4325" t="str"><v>43312Facebook»DEV-ITP-AZR-FB|LinkAd|CustomerAudienceRetargeting»1x1»TextLink»LIA»DT»CPM»RT»W»NA»SS»NA»39684019-11000</v></cell><cell r="D4325" t="str"><v>43312224010415</v></cell><cell r="E4325" t="str"><v>43312103048548-11000</v></cell><cell r="F4325" t="str"><v>DCM</v></cell><cell r="G4325" t="str"><v>https://azure.microsoft.com/de-de/free/search/</v></cell></row><row r="4325"><cell r="K4325" t="str"><v>July</v></cell><cell r="L4325"><v>43316</v></cell><cell r="M4325" t="str"><v>Tier 1</v></cell><cell r="N4325" t="str"><v>EMEA</v></cell><cell r="O4325" t="str"><v>Germany</v></cell><cell r="P4325" t="str"><v>Trial</v></cell><cell r="Q4325" t="str"><v>Social</v></cell><cell r="R4325" t="str"><v>Azure</v></cell><cell r="S4325" t="str"><v>Apps & Infra</v></cell><cell r="T4325" t="str"><v>Developers & ITI's</v></cell><cell r="U4325" t="str"><v>DEV-ITP-AZR-FB|LinkAd|CustomerAudienceRetargeting</v></cell><cell r="V4325" t="str"><v>Retargeting</v></cell><cell r="W4325" t="str"><v>Link Ad</v></cell><cell r="X4325" t="str"><v>1x1</v></cell></row><row r="4325"><cell r="AA4325"><v>43312</v></cell><cell r="AB4325" t="str"><v>DEU_gaPMG_AZR_AZR_Q1_19_Trial-Social- 39684</v></cell><cell r="AC4325"><v>21359477</v></cell><cell r="AD4325"><v>720194</v></cell><cell r="AE4325" t="str"><v>Facebook</v></cell><cell r="AF4325"><v>3654128</v></cell><cell r="AG4325" t="str"><v>Facebook»DEV-ITP-AZR-FB|LinkAd|CustomerAudienceRetargeting»1x1»TextLink»LIA»DT»CPM»RT»W»NA»SS»NA»39684019-11000</v></cell><cell r="AH4325"><v>224010415</v></cell><cell r="AI4325" t="str"><v>AzurePlatform_FreeAcctRetargetingFB-Animated-ChC_DEU_1200x628_SOC_Plat_DE_Free Account_Standard_ANI_SNU_T3_1</v></cell><cell r="AJ4325"><v>103048548</v></cell></row><row r="4326"><cell r="C4326" t="str"><v>43312Facebook»DEV-ITP-AZR-FB|LinkAd|CustomerAudienceRetargeting»1x1»TextLink»LIA»DT»CPM»RT»W»NA»SS»NA»39684019-11000</v></cell><cell r="D4326" t="str"><v>43312224010415</v></cell><cell r="E4326" t="str"><v>43312103040320-11000</v></cell><cell r="F4326" t="str"><v>DCM</v></cell><cell r="G4326" t="str"><v>https://azure.microsoft.com/de-de/free/search/</v></cell></row><row r="4326"><cell r="K4326" t="str"><v>July</v></cell><cell r="L4326"><v>43316</v></cell><cell r="M4326" t="str"><v>Tier 1</v></cell><cell r="N4326" t="str"><v>EMEA</v></cell><cell r="O4326" t="str"><v>Germany</v></cell><cell r="P4326" t="str"><v>Trial</v></cell><cell r="Q4326" t="str"><v>Social</v></cell><cell r="R4326" t="str"><v>Azure</v></cell><cell r="S4326" t="str"><v>Apps & Infra</v></cell><cell r="T4326" t="str"><v>Developers & ITI's</v></cell><cell r="U4326" t="str"><v>DEV-ITP-AZR-FB|LinkAd|CustomerAudienceRetargeting</v></cell><cell r="V4326" t="str"><v>Retargeting</v></cell><cell r="W4326" t="str"><v>Link Ad</v></cell><cell r="X4326" t="str"><v>1x1</v></cell></row><row r="4326"><cell r="AA4326"><v>43312</v></cell><cell r="AB4326" t="str"><v>DEU_gaPMG_AZR_AZR_Q1_19_Trial-Social- 39684</v></cell><cell r="AC4326"><v>21359477</v></cell><cell r="AD4326"><v>720194</v></cell><cell r="AE4326" t="str"><v>Facebook</v></cell><cell r="AF4326"><v>3654128</v></cell><cell r="AG4326" t="str"><v>Facebook»DEV-ITP-AZR-FB|LinkAd|CustomerAudienceRetargeting»1x1»TextLink»LIA»DT»CPM»RT»W»NA»SS»NA»39684019-11000</v></cell><cell r="AH4326"><v>224010415</v></cell><cell r="AI4326" t="str"><v>AzurePlatform_FreeAcctRetargetingFB-GlobalAlt-ChB_DEU_1200x628_SOC_Plat_DE_Free Account_Standard_NA_SNU_T2_1</v></cell><cell r="AJ4326"><v>103040320</v></cell></row><row r="4327"><cell r="C4327" t="str"><v>43312Facebook»DEV-ITP-AZR-FB|LinkAd|CustomerAudienceRetargeting»1x1»TextLink»LIA»DT»CPM»RT»W»NA»SS»NA»39684019-11000</v></cell><cell r="D4327" t="str"><v>43312224010415</v></cell><cell r="E4327" t="str"><v>43312103043329-11000</v></cell><cell r="F4327" t="str"><v>DCM</v></cell><cell r="G4327" t="str"><v>https://azure.microsoft.com/de-de/free/open-source/search/</v></cell></row><row r="4327"><cell r="K4327" t="str"><v>July</v></cell><cell r="L4327"><v>43316</v></cell><cell r="M4327" t="str"><v>Tier 1</v></cell><cell r="N4327" t="str"><v>EMEA</v></cell><cell r="O4327" t="str"><v>Germany</v></cell><cell r="P4327" t="str"><v>Trial</v></cell><cell r="Q4327" t="str"><v>Social</v></cell><cell r="R4327" t="str"><v>Azure</v></cell><cell r="S4327" t="str"><v>Apps & Infra</v></cell><cell r="T4327" t="str"><v>Developers & ITI's</v></cell><cell r="U4327" t="str"><v>DEV-ITP-AZR-FB|LinkAd|CustomerAudienceRetargeting</v></cell><cell r="V4327" t="str"><v>Retargeting</v></cell><cell r="W4327" t="str"><v>Link Ad</v></cell><cell r="X4327" t="str"><v>1x1</v></cell></row><row r="4327"><cell r="AA4327"><v>43312</v></cell><cell r="AB4327" t="str"><v>DEU_gaPMG_AZR_AZR_Q1_19_Trial-Social- 39684</v></cell><cell r="AC4327"><v>21359477</v></cell><cell r="AD4327"><v>720194</v></cell><cell r="AE4327" t="str"><v>Facebook</v></cell><cell r="AF4327"><v>3654128</v></cell><cell r="AG4327" t="str"><v>Facebook»DEV-ITP-AZR-FB|LinkAd|CustomerAudienceRetargeting»1x1»TextLink»LIA»DT»CPM»RT»W»NA»SS»NA»39684019-11000</v></cell><cell r="AH4327"><v>224010415</v></cell><cell r="AI4327" t="str"><v>AzurePlatform_FreeAcctRetargetingOSSFB-Logos-ChG_DEU_1200x628_SOC_Plat_DE_Free Account_Standard_NA_SNU_T2_1</v></cell><cell r="AJ4327"><v>103043329</v></cell></row><row r="4328"><cell r="C4328" t="str"><v>43312Facebook»DEV-ITP-AZR-FB|LinkAd|CustomerAudienceRetargeting»1x1»TextLink»LIA»DT»CPM»RT»W»NA»SS»NA»39684019-11000</v></cell><cell r="D4328" t="str"><v>43312224010415</v></cell><cell r="E4328" t="str"><v>43312103055394-11000</v></cell><cell r="F4328" t="str"><v>DCM</v></cell><cell r="G4328" t="str"><v>https://azure.microsoft.com/de-de/free/open-source/search/</v></cell></row><row r="4328"><cell r="K4328" t="str"><v>July</v></cell><cell r="L4328"><v>43316</v></cell><cell r="M4328" t="str"><v>Tier 1</v></cell><cell r="N4328" t="str"><v>EMEA</v></cell><cell r="O4328" t="str"><v>Germany</v></cell><cell r="P4328" t="str"><v>Trial</v></cell><cell r="Q4328" t="str"><v>Social</v></cell><cell r="R4328" t="str"><v>Azure</v></cell><cell r="S4328" t="str"><v>Apps & Infra</v></cell><cell r="T4328" t="str"><v>Developers & ITI's</v></cell><cell r="U4328" t="str"><v>DEV-ITP-AZR-FB|LinkAd|CustomerAudienceRetargeting</v></cell><cell r="V4328" t="str"><v>Retargeting</v></cell><cell r="W4328" t="str"><v>Link Ad</v></cell><cell r="X4328" t="str"><v>1x1</v></cell></row><row r="4328"><cell r="AA4328"><v>43312</v></cell><cell r="AB4328" t="str"><v>DEU_gaPMG_AZR_AZR_Q1_19_Trial-Social- 39684</v></cell><cell r="AC4328"><v>21359477</v></cell><cell r="AD4328"><v>720194</v></cell><cell r="AE4328" t="str"><v>Facebook</v></cell><cell r="AF4328"><v>3654128</v></cell><cell r="AG4328" t="str"><v>Facebook»DEV-ITP-AZR-FB|LinkAd|CustomerAudienceRetargeting»1x1»TextLink»LIA»DT»CPM»RT»W»NA»SS»NA»39684019-11000</v></cell><cell r="AH4328"><v>224010415</v></cell><cell r="AI4328" t="str"><v>AzurePlatform_FreeAcctRetargetingOSSFB-Text-ChF_DEU_1200x628_SOC_Plat_DE_Free Account_Standard_NA_SNU_T1_1</v></cell><cell r="AJ4328"><v>103055394</v></cell></row><row r="4329"><cell r="C4329" t="str"><v>43312Facebook»DEV-ITP-AZR-FB|LinkAd|CustomerAudienceRetargeting»1x1»TextLink»LIA»DT»CPM»RT»W»NA»SS»NA»39684019-11000</v></cell><cell r="D4329" t="str"><v>43312224010415</v></cell><cell r="E4329" t="str"><v>43312103043338-11000</v></cell><cell r="F4329" t="str"><v>DCM</v></cell><cell r="G4329" t="str"><v>https://azure.microsoft.com/de-de/free/virtual-machines/search/</v></cell></row><row r="4329"><cell r="K4329" t="str"><v>July</v></cell><cell r="L4329"><v>43316</v></cell><cell r="M4329" t="str"><v>Tier 1</v></cell><cell r="N4329" t="str"><v>EMEA</v></cell><cell r="O4329" t="str"><v>Germany</v></cell><cell r="P4329" t="str"><v>Trial</v></cell><cell r="Q4329" t="str"><v>Social</v></cell><cell r="R4329" t="str"><v>Azure</v></cell><cell r="S4329" t="str"><v>Apps & Infra</v></cell><cell r="T4329" t="str"><v>Developers & ITI's</v></cell><cell r="U4329" t="str"><v>DEV-ITP-AZR-FB|LinkAd|CustomerAudienceRetargeting</v></cell><cell r="V4329" t="str"><v>Retargeting</v></cell><cell r="W4329" t="str"><v>Link Ad</v></cell><cell r="X4329" t="str"><v>1x1</v></cell></row><row r="4329"><cell r="AA4329"><v>43312</v></cell><cell r="AB4329" t="str"><v>DEU_gaPMG_AZR_AZR_Q1_19_Trial-Social- 39684</v></cell><cell r="AC4329"><v>21359477</v></cell><cell r="AD4329"><v>720194</v></cell><cell r="AE4329" t="str"><v>Facebook</v></cell><cell r="AF4329"><v>3654128</v></cell><cell r="AG4329" t="str"><v>Facebook»DEV-ITP-AZR-FB|LinkAd|CustomerAudienceRetargeting»1x1»TextLink»LIA»DT»CPM»RT»W»NA»SS»NA»39684019-11000</v></cell><cell r="AH4329"><v>224010415</v></cell><cell r="AI4329" t="str"><v>AzurePlatform_FreeAcctRetargetingVMFB-OnDemand-ChE_DEU_1200x628_SOC_Plat_DE_Free Account_Standard_NA_SNU_T2_1</v></cell><cell r="AJ4329"><v>103043338</v></cell></row><row r="4330"><cell r="C4330" t="str"><v>43312Facebook»Audience & Interest Targeting»1x1»SocialBan»LIA»DT»CPC»AUT»W»NA»SS»NA»Benefit 2 in Motion</v></cell><cell r="D4330" t="str"><v>43312224334170</v></cell><cell r="E4330" t="str"><v>43312103235146Motion</v></cell><cell r="F4330" t="str"><v>DCM</v></cell><cell r="G4330" t="str"><v>https://signup.azure.com/signup?offer=ms-azr-0044p&appId=102&ref=paidmedia-social-fb&redirectURL=https%3a%2f%2fazure.microsoft.com%2fen-gb%2fget-started%2fwelcome-to-azure%2f&l=en-gb&correlationId=ead86c34-1f10-49dd-a72b-6918462a2cbf</v></cell></row><row r="4330"><cell r="K4330" t="str"><v>July</v></cell><cell r="L4330"><v>43316</v></cell><cell r="M4330" t="str"><v>Tier 1</v></cell><cell r="N4330" t="str"><v>EMEA</v></cell><cell r="O4330" t="str"><v>United Kingdom</v></cell><cell r="P4330" t="str"><v>Trial</v></cell><cell r="Q4330" t="str"><v>Social</v></cell><cell r="R4330" t="str"><v>Azure</v></cell><cell r="S4330" t="str"><v>Apps & Infra</v></cell><cell r="T4330" t="str"><v>Developers & ITI's</v></cell><cell r="U4330" t="str"><v>Audience & Interest Targeting</v></cell><cell r="V4330" t="str"><v>Audience Targeting</v></cell><cell r="W4330" t="str"><v>Link Ad</v></cell><cell r="X4330" t="str"><v>1x1</v></cell></row><row r="4330"><cell r="AA4330"><v>43312</v></cell><cell r="AB4330" t="str"><v>GBR_gaPMG_CE_AZR_Q1_19_Trial-Social</v></cell><cell r="AC4330"><v>21337013</v></cell><cell r="AD4330"><v>720196</v></cell><cell r="AE4330" t="str"><v>Facebook</v></cell><cell r="AF4330"><v>3654128</v></cell><cell r="AG4330" t="str"><v>Facebook»Audience & Interest Targeting»1x1»SocialBan»LIA»DT»CPC»AUT»W»NA»SS»NA»Benefit 2 in Motion</v></cell><cell r="AH4330"><v>224334170</v></cell><cell r="AI4330" t="str"><v>AzurePlatform_FBCTCcanvaspage-StartFreeCTA-Img2_GBR_1080x143 _SOC_Plat_English_NA_Standard_NA_NA_T2_1</v></cell><cell r="AJ4330"><v>103235146</v></cell></row><row r="4331"><cell r="C4331" t="str"><v>43312Facebook»Audience & Interest Targeting»1x1»SocialBan»LIA»DT»DYN»AUT»W»NA»SS»NA»Free Account Refresh- 12 months ChE</v></cell><cell r="D4331" t="str"><v>43312223567691</v></cell><cell r="E4331" t="str"><v>43312102854007hs ChE</v></cell><cell r="F4331" t="str"><v>DCM</v></cell><cell r="G4331" t="str"><v>https://azure.microsoft.com/en-gb/free/search/</v></cell></row><row r="4331"><cell r="K4331" t="str"><v>July</v></cell><cell r="L4331"><v>43316</v></cell><cell r="M4331" t="str"><v>Tier 1</v></cell><cell r="N4331" t="str"><v>EMEA</v></cell><cell r="O4331" t="str"><v>United Kingdom</v></cell><cell r="P4331" t="str"><v>Trial</v></cell><cell r="Q4331" t="str"><v>Social</v></cell><cell r="R4331" t="str"><v>Azure</v></cell><cell r="S4331" t="str"><v>Apps & Infra</v></cell><cell r="T4331" t="str"><v>Developers & ITI's</v></cell><cell r="U4331" t="str"><v>Audience & Interest Targeting</v></cell><cell r="V4331" t="str"><v>Audience Targeting</v></cell><cell r="W4331" t="str"><v>Link Ad</v></cell><cell r="X4331" t="str"><v>1x1</v></cell></row><row r="4331"><cell r="AA4331"><v>43312</v></cell><cell r="AB4331" t="str"><v>GBR_gaPMG_CE_AZR_Q1_19_Trial-Social</v></cell><cell r="AC4331"><v>21337013</v></cell><cell r="AD4331"><v>720196</v></cell><cell r="AE4331" t="str"><v>Facebook</v></cell><cell r="AF4331"><v>3654128</v></cell><cell r="AG4331" t="str"><v>Facebook»Audience & Interest Targeting»1x1»SocialBan»LIA»DT»DYN»AUT»W»NA»SS»NA»Free Account Refresh- 12 months ChE</v></cell><cell r="AH4331"><v>223567691</v></cell><cell r="AI4331" t="str"><v>AzurePlatform_FreeAcctAppsFACEBOOK12monthsChE_GBR_1200x628_SOC_PLAT_EN_Trial_Standard_NA_SU_T5_1</v></cell><cell r="AJ4331"><v>102854007</v></cell></row><row r="4332"><cell r="C4332" t="str"><v>43312Facebook»Audience & Interest Targeting»1x1»SocialBan»LIA»DT»DYN»AUT»W»NA»SS»NA»Free Account Refresh- 200 Credit ChD</v></cell><cell r="D4332" t="str"><v>43312223560359</v></cell><cell r="E4332" t="str"><v>43312103005662it ChD</v></cell><cell r="F4332" t="str"><v>DCM</v></cell><cell r="G4332" t="str"><v>https://azure.microsoft.com/en-gb/free/search/</v></cell></row><row r="4332"><cell r="K4332" t="str"><v>July</v></cell><cell r="L4332"><v>43316</v></cell><cell r="M4332" t="str"><v>Tier 1</v></cell><cell r="N4332" t="str"><v>EMEA</v></cell><cell r="O4332" t="str"><v>United Kingdom</v></cell><cell r="P4332" t="str"><v>Trial</v></cell><cell r="Q4332" t="str"><v>Social</v></cell><cell r="R4332" t="str"><v>Azure</v></cell><cell r="S4332" t="str"><v>Apps & Infra</v></cell><cell r="T4332" t="str"><v>Developers & ITI's</v></cell><cell r="U4332" t="str"><v>Audience & Interest Targeting</v></cell><cell r="V4332" t="str"><v>Audience Targeting</v></cell><cell r="W4332" t="str"><v>Link Ad</v></cell><cell r="X4332" t="str"><v>1x1</v></cell></row><row r="4332"><cell r="AA4332"><v>43312</v></cell><cell r="AB4332" t="str"><v>GBR_gaPMG_CE_AZR_Q1_19_Trial-Social</v></cell><cell r="AC4332"><v>21337013</v></cell><cell r="AD4332"><v>720196</v></cell><cell r="AE4332" t="str"><v>Facebook</v></cell><cell r="AF4332"><v>3654128</v></cell><cell r="AG4332" t="str"><v>Facebook»Audience & Interest Targeting»1x1»SocialBan»LIA»DT»DYN»AUT»W»NA»SS»NA»Free Account Refresh- 200 Credit ChD</v></cell><cell r="AH4332"><v>223560359</v></cell><cell r="AI4332" t="str"><v>AzurePlatform_FreeAcctAppsFACEBOOK200CreditChD_GBR_1200x628_SOC_PLAT_EN_Trial_Standard_NA_SU_T4_1</v></cell><cell r="AJ4332"><v>103005662</v></cell></row><row r="4333"><cell r="C4333" t="str"><v>43312Facebook»Audience & Interest Targeting»1x1»SocialBan»LIA»DT»DYN»AUT»W»NA»SS»NA»Free Account Refresh- Device ChB</v></cell><cell r="D4333" t="str"><v>43312223560353</v></cell><cell r="E4333" t="str"><v>43312102854010ce ChB</v></cell><cell r="F4333" t="str"><v>DCM</v></cell><cell r="G4333" t="str"><v>https://azure.microsoft.com/en-gb/free/search/</v></cell></row><row r="4333"><cell r="K4333" t="str"><v>July</v></cell><cell r="L4333"><v>43316</v></cell><cell r="M4333" t="str"><v>Tier 1</v></cell><cell r="N4333" t="str"><v>EMEA</v></cell><cell r="O4333" t="str"><v>United Kingdom</v></cell><cell r="P4333" t="str"><v>Trial</v></cell><cell r="Q4333" t="str"><v>Social</v></cell><cell r="R4333" t="str"><v>Azure</v></cell><cell r="S4333" t="str"><v>Apps & Infra</v></cell><cell r="T4333" t="str"><v>Developers & ITI's</v></cell><cell r="U4333" t="str"><v>Audience & Interest Targeting</v></cell><cell r="V4333" t="str"><v>Audience Targeting</v></cell><cell r="W4333" t="str"><v>Link Ad</v></cell><cell r="X4333" t="str"><v>1x1</v></cell></row><row r="4333"><cell r="AA4333"><v>43312</v></cell><cell r="AB4333" t="str"><v>GBR_gaPMG_CE_AZR_Q1_19_Trial-Social</v></cell><cell r="AC4333"><v>21337013</v></cell><cell r="AD4333"><v>720196</v></cell><cell r="AE4333" t="str"><v>Facebook</v></cell><cell r="AF4333"><v>3654128</v></cell><cell r="AG4333" t="str"><v>Facebook»Audience & Interest Targeting»1x1»SocialBan»LIA»DT»DYN»AUT»W»NA»SS»NA»Free Account Refresh- Device ChB</v></cell><cell r="AH4333"><v>223560353</v></cell><cell r="AI4333" t="str"><v>AzurePlatform_FreeAcctAppsFACEBOOKDeviceChB_GBR_1200x628_SOC_PLAT_EN_Trial_Standard_NA_SU_T2_1</v></cell><cell r="AJ4333"><v>102854010</v></cell></row><row r="4334"><cell r="C4334" t="str"><v>43312Facebook»Audience & Interest Targeting»1x1»SocialBan»LIA»DT»DYN»AUT»W»NA»SS»NA»Free Account Refresh- Illustration ChC</v></cell><cell r="D4334" t="str"><v>43312223560347</v></cell><cell r="E4334" t="str"><v>43312102857037on ChC</v></cell><cell r="F4334" t="str"><v>DCM</v></cell><cell r="G4334" t="str"><v>https://azure.microsoft.com/en-gb/free/search/</v></cell></row><row r="4334"><cell r="K4334" t="str"><v>July</v></cell><cell r="L4334"><v>43316</v></cell><cell r="M4334" t="str"><v>Tier 1</v></cell><cell r="N4334" t="str"><v>EMEA</v></cell><cell r="O4334" t="str"><v>United Kingdom</v></cell><cell r="P4334" t="str"><v>Trial</v></cell><cell r="Q4334" t="str"><v>Social</v></cell><cell r="R4334" t="str"><v>Azure</v></cell><cell r="S4334" t="str"><v>Apps & Infra</v></cell><cell r="T4334" t="str"><v>Developers & ITI's</v></cell><cell r="U4334" t="str"><v>Audience & Interest Targeting</v></cell><cell r="V4334" t="str"><v>Audience Targeting</v></cell><cell r="W4334" t="str"><v>Link Ad</v></cell><cell r="X4334" t="str"><v>1x1</v></cell></row><row r="4334"><cell r="AA4334"><v>43312</v></cell><cell r="AB4334" t="str"><v>GBR_gaPMG_CE_AZR_Q1_19_Trial-Social</v></cell><cell r="AC4334"><v>21337013</v></cell><cell r="AD4334"><v>720196</v></cell><cell r="AE4334" t="str"><v>Facebook</v></cell><cell r="AF4334"><v>3654128</v></cell><cell r="AG4334" t="str"><v>Facebook»Audience & Interest Targeting»1x1»SocialBan»LIA»DT»DYN»AUT»W»NA»SS»NA»Free Account Refresh- Illustration ChC</v></cell><cell r="AH4334"><v>223560347</v></cell><cell r="AI4334" t="str"><v>AzurePlatform_FreeAcctAppsFACEBOOKIllustrationChC_GBR_1200x628_SOC_PLAT_EN_Trial_Standard_NA_SU_T3_1</v></cell><cell r="AJ4334"><v>102857037</v></cell></row><row r="4335"><cell r="C4335" t="str"><v>43312Facebook»Audience & Interest Targeting»1x1»SocialBan»LIA»DT»DYN»AUT»W»NA»SS»NA»Free Account Refresh- Lifestyle ChA</v></cell><cell r="D4335" t="str"><v>43312223560341</v></cell><cell r="E4335" t="str"><v>43312102853597le ChA</v></cell><cell r="F4335" t="str"><v>DCM</v></cell><cell r="G4335" t="str"><v>https://azure.microsoft.com/en-gb/free/search/</v></cell></row><row r="4335"><cell r="K4335" t="str"><v>July</v></cell><cell r="L4335"><v>43316</v></cell><cell r="M4335" t="str"><v>Tier 1</v></cell><cell r="N4335" t="str"><v>EMEA</v></cell><cell r="O4335" t="str"><v>United Kingdom</v></cell><cell r="P4335" t="str"><v>Trial</v></cell><cell r="Q4335" t="str"><v>Social</v></cell><cell r="R4335" t="str"><v>Azure</v></cell><cell r="S4335" t="str"><v>Apps & Infra</v></cell><cell r="T4335" t="str"><v>Developers & ITI's</v></cell><cell r="U4335" t="str"><v>Audience & Interest Targeting</v></cell><cell r="V4335" t="str"><v>Audience Targeting</v></cell><cell r="W4335" t="str"><v>Link Ad</v></cell><cell r="X4335" t="str"><v>1x1</v></cell></row><row r="4335"><cell r="AA4335"><v>43312</v></cell><cell r="AB4335" t="str"><v>GBR_gaPMG_CE_AZR_Q1_19_Trial-Social</v></cell><cell r="AC4335"><v>21337013</v></cell><cell r="AD4335"><v>720196</v></cell><cell r="AE4335" t="str"><v>Facebook</v></cell><cell r="AF4335"><v>3654128</v></cell><cell r="AG4335" t="str"><v>Facebook»Audience & Interest Targeting»1x1»SocialBan»LIA»DT»DYN»AUT»W»NA»SS»NA»Free Account Refresh- Lifestyle ChA</v></cell><cell r="AH4335"><v>223560341</v></cell><cell r="AI4335" t="str"><v>AzurePlatform_FreeAcctAppsFACEBOOKLifestyleChA_GBR_1200x628_SOC_PLAT_EN_Trial_Standard_NA_SU_T1_1</v></cell><cell r="AJ4335"><v>102853597</v></cell></row><row r="4336"><cell r="C4336" t="str"><v>43312Facebook»Retargeting»1x1»SocialBan»LIA»DT»DYN»RT»W»NA»SS»NA»Free Account Retargeting Generic- Animated ChC</v></cell><cell r="D4336" t="str"><v>43312223560299</v></cell><cell r="E4336" t="str"><v>43312102854019ed ChC</v></cell><cell r="F4336" t="str"><v>DCM</v></cell><cell r="G4336" t="str"><v>https://azure.microsoft.com/en-gb/free/search/</v></cell></row><row r="4336"><cell r="K4336" t="str"><v>July</v></cell><cell r="L4336"><v>43316</v></cell><cell r="M4336" t="str"><v>Tier 1</v></cell><cell r="N4336" t="str"><v>EMEA</v></cell><cell r="O4336" t="str"><v>United Kingdom</v></cell><cell r="P4336" t="str"><v>Trial</v></cell><cell r="Q4336" t="str"><v>Social</v></cell><cell r="R4336" t="str"><v>Azure</v></cell><cell r="S4336" t="str"><v>Apps & Infra</v></cell><cell r="T4336" t="str"><v>Developers & ITI's</v></cell><cell r="U4336" t="str"><v>Retargeting</v></cell><cell r="V4336" t="str"><v>Retargeting</v></cell><cell r="W4336" t="str"><v>Link Ad</v></cell><cell r="X4336" t="str"><v>1x1</v></cell></row><row r="4336"><cell r="AA4336"><v>43312</v></cell><cell r="AB4336" t="str"><v>GBR_gaPMG_CE_AZR_Q1_19_Trial-Social</v></cell><cell r="AC4336"><v>21337013</v></cell><cell r="AD4336"><v>720196</v></cell><cell r="AE4336" t="str"><v>Facebook</v></cell><cell r="AF4336"><v>3654128</v></cell><cell r="AG4336" t="str"><v>Facebook»Retargeting»1x1»SocialBan»LIA»DT»DYN»RT»W»NA»SS»NA»Free Account Retargeting Generic- Animated ChC</v></cell><cell r="AH4336"><v>223560299</v></cell><cell r="AI4336" t="str"><v>AzurePlatform_FreeAcctRetargetingFB-Animated-ChC_GBR_1200x628_SOC_Plat_EN_Free Account_Standard_ANI_SU_T3_1</v></cell><cell r="AJ4336"><v>102854019</v></cell></row><row r="4337"><cell r="C4337" t="str"><v>43312Facebook»Retargeting»1x1»SocialBan»LIA»DT»DYN»RT»W»NA»SS»NA»Free Account Retargeting OSS- Logos ChG</v></cell><cell r="D4337" t="str"><v>43312223560350</v></cell><cell r="E4337" t="str"><v>43312103006547os ChG</v></cell><cell r="F4337" t="str"><v>DCM</v></cell><cell r="G4337" t="str"><v>https://azure.microsoft.com/en-gb/free/open-source/search/</v></cell></row><row r="4337"><cell r="K4337" t="str"><v>July</v></cell><cell r="L4337"><v>43316</v></cell><cell r="M4337" t="str"><v>Tier 1</v></cell><cell r="N4337" t="str"><v>EMEA</v></cell><cell r="O4337" t="str"><v>United Kingdom</v></cell><cell r="P4337" t="str"><v>Trial</v></cell><cell r="Q4337" t="str"><v>Social</v></cell><cell r="R4337" t="str"><v>Azure</v></cell><cell r="S4337" t="str"><v>Apps & Infra</v></cell><cell r="T4337" t="str"><v>Developers & ITI's</v></cell><cell r="U4337" t="str"><v>Retargeting</v></cell><cell r="V4337" t="str"><v>Retargeting</v></cell><cell r="W4337" t="str"><v>Link Ad</v></cell><cell r="X4337" t="str"><v>1x1</v></cell></row><row r="4337"><cell r="AA4337"><v>43312</v></cell><cell r="AB4337" t="str"><v>GBR_gaPMG_CE_AZR_Q1_19_Trial-Social</v></cell><cell r="AC4337"><v>21337013</v></cell><cell r="AD4337"><v>720196</v></cell><cell r="AE4337" t="str"><v>Facebook</v></cell><cell r="AF4337"><v>3654128</v></cell><cell r="AG4337" t="str"><v>Facebook»Retargeting»1x1»SocialBan»LIA»DT»DYN»RT»W»NA»SS»NA»Free Account Retargeting OSS- Logos ChG</v></cell><cell r="AH4337"><v>223560350</v></cell><cell r="AI4337" t="str"><v>AzurePlatform_FreeAcctRetargetingOSSFB-Logos-ChG_GBR_1200x628_SOC_Plat_EN_Free Account_Standard_NA_SU_T2_1</v></cell><cell r="AJ4337"><v>103006547</v></cell></row><row r="4338"><cell r="C4338" t="str"><v>43312Facebook»Retargeting»1x1»SocialBan»LIA»DT»DYN»RT»W»NA»SS»NA»Free Account Retargeting OSS- Text ChF</v></cell><cell r="D4338" t="str"><v>43312223560344</v></cell><cell r="E4338" t="str"><v>43312102861246xt ChF</v></cell><cell r="F4338" t="str"><v>DCM</v></cell><cell r="G4338" t="str"><v>https://azure.microsoft.com/en-gb/free/open-source/search/</v></cell></row><row r="4338"><cell r="K4338" t="str"><v>July</v></cell><cell r="L4338"><v>43316</v></cell><cell r="M4338" t="str"><v>Tier 1</v></cell><cell r="N4338" t="str"><v>EMEA</v></cell><cell r="O4338" t="str"><v>United Kingdom</v></cell><cell r="P4338" t="str"><v>Trial</v></cell><cell r="Q4338" t="str"><v>Social</v></cell><cell r="R4338" t="str"><v>Azure</v></cell><cell r="S4338" t="str"><v>Apps & Infra</v></cell><cell r="T4338" t="str"><v>Developers & ITI's</v></cell><cell r="U4338" t="str"><v>Retargeting</v></cell><cell r="V4338" t="str"><v>Retargeting</v></cell><cell r="W4338" t="str"><v>Link Ad</v></cell><cell r="X4338" t="str"><v>1x1</v></cell></row><row r="4338"><cell r="AA4338"><v>43312</v></cell><cell r="AB4338" t="str"><v>GBR_gaPMG_CE_AZR_Q1_19_Trial-Social</v></cell><cell r="AC4338"><v>21337013</v></cell><cell r="AD4338"><v>720196</v></cell><cell r="AE4338" t="str"><v>Facebook</v></cell><cell r="AF4338"><v>3654128</v></cell><cell r="AG4338" t="str"><v>Facebook»Retargeting»1x1»SocialBan»LIA»DT»DYN»RT»W»NA»SS»NA»Free Account Retargeting OSS- Text ChF</v></cell><cell r="AH4338"><v>223560344</v></cell><cell r="AI4338" t="str"><v>AzurePlatform_FreeAcctRetargetingOSSFB-Text-ChF_GBR_1200x628_SOC_Plat_EN_Free Account_Standard_NA_SU_T1_1</v></cell><cell r="AJ4338"><v>102861246</v></cell></row><row r="4339"><cell r="C4339" t="str"><v>43312Facebook»AZP-Canvas-Interest&Role-Trial»1x1»Canvas»OTH»MO»CPM»PRO»X»UNK»TP»OT»Canvas-Trial</v></cell><cell r="D4339" t="str"><v>43312223298805</v></cell><cell r="E4339" t="str"><v>43312102609621-Trial</v></cell><cell r="F4339" t="str"><v>DCM</v></cell><cell r="G4339" t="str"><v>https://signup.azure.com/signup?offer=ms-azr-0044p&appId=102&ref=paidmedia-social-fb&redirectURL=https%3a%2f%2fazure.microsoft.com%2fja-jp%2fget-started%2fwelcome-to-azure%2f&l=ja-jp&correlationId=ead86c34-1f10-49dd-a72b-6918462a2cbf</v></cell></row><row r="4339"><cell r="K4339" t="str"><v>July</v></cell><cell r="L4339"><v>43316</v></cell><cell r="M4339" t="str"><v>Tier 1</v></cell><cell r="N4339" t="str"><v>APAC</v></cell><cell r="O4339" t="str"><v>Japan</v></cell><cell r="P4339" t="str"><v>Trial</v></cell><cell r="Q4339" t="str"><v>Social</v></cell><cell r="R4339" t="str"><v>Azure</v></cell><cell r="S4339" t="str"><v>Apps & Infra</v></cell><cell r="T4339" t="str"><v>Developers & ITI's</v></cell><cell r="U4339" t="str"><v>AZP-Canvas-Interest&Role-Trial</v></cell><cell r="V4339" t="str"><v>Prospecting</v></cell><cell r="W4339" t="str"><v>Other</v></cell><cell r="X4339" t="str"><v>1x1</v></cell></row><row r="4339"><cell r="AA4339"><v>43312</v></cell><cell r="AB4339" t="str"><v>JPN_gaPMG_AZR_AZR_Q1_19_Trial-Social</v></cell><cell r="AC4339"><v>21276694</v></cell><cell r="AD4339"><v>720195</v></cell><cell r="AE4339" t="str"><v>Facebook</v></cell><cell r="AF4339"><v>3654128</v></cell><cell r="AG4339" t="str"><v>Facebook»AZP-Canvas-Interest&Role-Trial»1x1»Canvas»OTH»MO»CPM»PRO»X»UNK»TP»OT»Canvas-Trial</v></cell><cell r="AH4339"><v>223298805</v></cell><cell r="AI4339" t="str"><v>AzurePlatform_FBCTCcanvaspage-StartFreeCTA-Img2_JPN_1080x143 _SOC_Plat_Japanese_NA_Standard_NA_NA_T2_1</v></cell><cell r="AJ4339"><v>102609621</v></cell></row><row r="4340"><cell r="C4340" t="str"><v>43312Facebook»AZP-Canvas-Look a Like-Trial»1x1»Canvas»OTH»MO»CPM»PRO»X»UNK»TP»OT»Canvas-Trial</v></cell><cell r="D4340" t="str"><v>43312223297413</v></cell><cell r="E4340" t="str"><v>43312102609621-Trial</v></cell><cell r="F4340" t="str"><v>DCM</v></cell><cell r="G4340" t="str"><v>https://signup.azure.com/signup?offer=ms-azr-0044p&appId=102&ref=paidmedia-social-fb&redirectURL=https%3a%2f%2fazure.microsoft.com%2fja-jp%2fget-started%2fwelcome-to-azure%2f&l=ja-jp&correlationId=ead86c34-1f10-49dd-a72b-6918462a2cbf</v></cell></row><row r="4340"><cell r="K4340" t="str"><v>July</v></cell><cell r="L4340"><v>43316</v></cell><cell r="M4340" t="str"><v>Tier 1</v></cell><cell r="N4340" t="str"><v>APAC</v></cell><cell r="O4340" t="str"><v>Japan</v></cell><cell r="P4340" t="str"><v>Trial</v></cell><cell r="Q4340" t="str"><v>Social</v></cell><cell r="R4340" t="str"><v>Azure</v></cell><cell r="S4340" t="str"><v>Apps & Infra</v></cell><cell r="T4340" t="str"><v>Developers & ITI's</v></cell><cell r="U4340" t="str"><v>AZP-Canvas-Look a Like-Trial</v></cell><cell r="V4340" t="str"><v>Prospecting</v></cell><cell r="W4340" t="str"><v>Other</v></cell><cell r="X4340" t="str"><v>1x1</v></cell></row><row r="4340"><cell r="AA4340"><v>43312</v></cell><cell r="AB4340" t="str"><v>JPN_gaPMG_AZR_AZR_Q1_19_Trial-Social</v></cell><cell r="AC4340"><v>21276694</v></cell><cell r="AD4340"><v>720195</v></cell><cell r="AE4340" t="str"><v>Facebook</v></cell><cell r="AF4340"><v>3654128</v></cell><cell r="AG4340" t="str"><v>Facebook»AZP-Canvas-Look a Like-Trial»1x1»Canvas»OTH»MO»CPM»PRO»X»UNK»TP»OT»Canvas-Trial</v></cell><cell r="AH4340"><v>223297413</v></cell><cell r="AI4340" t="str"><v>AzurePlatform_FBCTCcanvaspage-StartFreeCTA-Img2_JPN_1080x143 _SOC_Plat_Japanese_NA_Standard_NA_NA_T2_1</v></cell><cell r="AJ4340"><v>102609621</v></cell></row><row r="4341"><cell r="C4341" t="str"><v>43312Facebook»AZP-Retargeting»1x1»Ban»LIA»ALL»CPM»RT»X»All»TP»OT»Free Account Retargeting Generic-ChB</v></cell><cell r="D4341" t="str"><v>43312223726377</v></cell><cell r="E4341" t="str"><v>43312102977720ic-ChB</v></cell><cell r="F4341" t="str"><v>DCM</v></cell><cell r="G4341" t="str"><v>https://azure.microsoft.com/ja-jp/free/search/</v></cell></row><row r="4341"><cell r="K4341" t="str"><v>July</v></cell><cell r="L4341"><v>43316</v></cell><cell r="M4341" t="str"><v>Tier 1</v></cell><cell r="N4341" t="str"><v>APAC</v></cell><cell r="O4341" t="str"><v>Japan</v></cell><cell r="P4341" t="str"><v>Trial</v></cell><cell r="Q4341" t="str"><v>Social</v></cell><cell r="R4341" t="str"><v>Azure</v></cell><cell r="S4341" t="str"><v>Apps & Infra</v></cell><cell r="T4341" t="str"><v>Developers & ITI's</v></cell><cell r="U4341" t="str"><v>AZP-Retargeting</v></cell><cell r="V4341" t="str"><v>Retargeting</v></cell><cell r="W4341" t="str"><v>Link Ad</v></cell><cell r="X4341" t="str"><v>1x1</v></cell></row><row r="4341"><cell r="AA4341"><v>43312</v></cell><cell r="AB4341" t="str"><v>JPN_gaPMG_AZR_AZR_Q1_19_Trial-Social</v></cell><cell r="AC4341"><v>21276694</v></cell><cell r="AD4341"><v>720195</v></cell><cell r="AE4341" t="str"><v>Facebook</v></cell><cell r="AF4341"><v>3654128</v></cell><cell r="AG4341" t="str"><v>Facebook»AZP-Retargeting»1x1»Ban»LIA»ALL»CPM»RT»X»All»TP»OT»Free Account Retargeting Generic-ChB</v></cell><cell r="AH4341"><v>223726377</v></cell><cell r="AI4341" t="str"><v>AzurePlatform_FreeAcctRetargetingFB-GlobalAlt-ChB_JPN_1200x628_SOC_Plat_JA_Free Account_Standard_NA_SU_T2_1</v></cell><cell r="AJ4341"><v>102977720</v></cell></row><row r="4342"><cell r="C4342" t="str"><v>43312Facebook»AZP-Retargeting»1x1»Ban»LIA»ALL»CPM»RT»X»All»TP»OT»Free Account Retargeting OSS-ChF</v></cell><cell r="D4342" t="str"><v>43312223726368</v></cell><cell r="E4342" t="str"><v>43312102974750SS-ChF</v></cell><cell r="F4342" t="str"><v>DCM</v></cell><cell r="G4342" t="str"><v>https://azure.microsoft.com/ja-jp/free/open-source/search/</v></cell></row><row r="4342"><cell r="K4342" t="str"><v>July</v></cell><cell r="L4342"><v>43316</v></cell><cell r="M4342" t="str"><v>Tier 1</v></cell><cell r="N4342" t="str"><v>APAC</v></cell><cell r="O4342" t="str"><v>Japan</v></cell><cell r="P4342" t="str"><v>Trial</v></cell><cell r="Q4342" t="str"><v>Social</v></cell><cell r="R4342" t="str"><v>Azure</v></cell><cell r="S4342" t="str"><v>Apps & Infra</v></cell><cell r="T4342" t="str"><v>Developers & ITI's</v></cell><cell r="U4342" t="str"><v>AZP-Retargeting</v></cell><cell r="V4342" t="str"><v>Retargeting</v></cell><cell r="W4342" t="str"><v>Link Ad</v></cell><cell r="X4342" t="str"><v>1x1</v></cell></row><row r="4342"><cell r="AA4342"><v>43312</v></cell><cell r="AB4342" t="str"><v>JPN_gaPMG_AZR_AZR_Q1_19_Trial-Social</v></cell><cell r="AC4342"><v>21276694</v></cell><cell r="AD4342"><v>720195</v></cell><cell r="AE4342" t="str"><v>Facebook</v></cell><cell r="AF4342"><v>3654128</v></cell><cell r="AG4342" t="str"><v>Facebook»AZP-Retargeting»1x1»Ban»LIA»ALL»CPM»RT»X»All»TP»OT»Free Account Retargeting OSS-ChF</v></cell><cell r="AH4342"><v>223726368</v></cell><cell r="AI4342" t="str"><v>AzurePlatform_FreeAcctRetargetingOSSFB-Text-ChF_JPN_1200x628_SOC_Plat_JA_Free Account_Standard_NA_SU_T1_1</v></cell><cell r="AJ4342"><v>102974750</v></cell></row><row r="4343"><cell r="C4343" t="str"><v>43312Facebook»AZP-Retargeting»1x1»Ban»LIA»ALL»CPM»RT»X»All»TP»OT»Free Account Retargeting VM-ChD</v></cell><cell r="D4343" t="str"><v>43312223726374</v></cell><cell r="E4343" t="str"><v>43312102971306VM-ChD</v></cell><cell r="F4343" t="str"><v>DCM</v></cell><cell r="G4343" t="str"><v>https://azure.microsoft.com/ja-jp/free/virtual-machines/search/</v></cell></row><row r="4343"><cell r="K4343" t="str"><v>July</v></cell><cell r="L4343"><v>43316</v></cell><cell r="M4343" t="str"><v>Tier 1</v></cell><cell r="N4343" t="str"><v>APAC</v></cell><cell r="O4343" t="str"><v>Japan</v></cell><cell r="P4343" t="str"><v>Trial</v></cell><cell r="Q4343" t="str"><v>Social</v></cell><cell r="R4343" t="str"><v>Azure</v></cell><cell r="S4343" t="str"><v>Apps & Infra</v></cell><cell r="T4343" t="str"><v>Developers & ITI's</v></cell><cell r="U4343" t="str"><v>AZP-Retargeting</v></cell><cell r="V4343" t="str"><v>Retargeting</v></cell><cell r="W4343" t="str"><v>Link Ad</v></cell><cell r="X4343" t="str"><v>1x1</v></cell></row><row r="4343"><cell r="AA4343"><v>43312</v></cell><cell r="AB4343" t="str"><v>JPN_gaPMG_AZR_AZR_Q1_19_Trial-Social</v></cell><cell r="AC4343"><v>21276694</v></cell><cell r="AD4343"><v>720195</v></cell><cell r="AE4343" t="str"><v>Facebook</v></cell><cell r="AF4343"><v>3654128</v></cell><cell r="AG4343" t="str"><v>Facebook»AZP-Retargeting»1x1»Ban»LIA»ALL»CPM»RT»X»All»TP»OT»Free Account Retargeting VM-ChD</v></cell><cell r="AH4343"><v>223726374</v></cell><cell r="AI4343" t="str"><v>AzurePlatform_FreeAcctRetargetingVMFB-750Hrs-ChD_JPN_1200x628_SOC_Plat_JA_Free Account_Standard_NA_SU_T1_1</v></cell><cell r="AJ4343"><v>102971306</v></cell></row><row r="4344"><cell r="C4344" t="str"><v>43312Facebook»AZP-Retargeting»1x1»Ban»LIA»ALL»CPM»RT»X»All»TP»OT»Free Account Retargeting VM-ChE</v></cell><cell r="D4344" t="str"><v>43312223726371</v></cell><cell r="E4344" t="str"><v>43312102977723VM-ChE</v></cell><cell r="F4344" t="str"><v>DCM</v></cell><cell r="G4344" t="str"><v>https://azure.microsoft.com/ja-jp/free/virtual-machines/search/</v></cell></row><row r="4344"><cell r="K4344" t="str"><v>July</v></cell><cell r="L4344"><v>43316</v></cell><cell r="M4344" t="str"><v>Tier 1</v></cell><cell r="N4344" t="str"><v>APAC</v></cell><cell r="O4344" t="str"><v>Japan</v></cell><cell r="P4344" t="str"><v>Trial</v></cell><cell r="Q4344" t="str"><v>Social</v></cell><cell r="R4344" t="str"><v>Azure</v></cell><cell r="S4344" t="str"><v>Apps & Infra</v></cell><cell r="T4344" t="str"><v>Developers & ITI's</v></cell><cell r="U4344" t="str"><v>AZP-Retargeting</v></cell><cell r="V4344" t="str"><v>Retargeting</v></cell><cell r="W4344" t="str"><v>Link Ad</v></cell><cell r="X4344" t="str"><v>1x1</v></cell></row><row r="4344"><cell r="AA4344"><v>43312</v></cell><cell r="AB4344" t="str"><v>JPN_gaPMG_AZR_AZR_Q1_19_Trial-Social</v></cell><cell r="AC4344"><v>21276694</v></cell><cell r="AD4344"><v>720195</v></cell><cell r="AE4344" t="str"><v>Facebook</v></cell><cell r="AF4344"><v>3654128</v></cell><cell r="AG4344" t="str"><v>Facebook»AZP-Retargeting»1x1»Ban»LIA»ALL»CPM»RT»X»All»TP»OT»Free Account Retargeting VM-ChE</v></cell><cell r="AH4344"><v>223726371</v></cell><cell r="AI4344" t="str"><v>AzurePlatform_FreeAcctRetargetingVMFB-OnDemand-ChE_JPN_1200x628_SOC_Plat_JA_Free Account_Standard_NA_SU_T2_1</v></cell><cell r="AJ4344"><v>102977723</v></cell></row><row r="4345"><cell r="C4345" t="str"><v>43312Facebook»AZP-Retargeting»1x1»Ban»LIA»ALL»CPM»RT»X»All»TP»OT»Free Account Retargeting Generic-ChC</v></cell><cell r="D4345" t="str"><v>43312223726362</v></cell><cell r="E4345" t="str"><v>43312102826788ic-ChC</v></cell><cell r="F4345" t="str"><v>DCM</v></cell><cell r="G4345" t="str"><v>https://azure.microsoft.com/ja-jp/free/search/</v></cell></row><row r="4345"><cell r="K4345" t="str"><v>July</v></cell><cell r="L4345"><v>43316</v></cell><cell r="M4345" t="str"><v>Tier 1</v></cell><cell r="N4345" t="str"><v>APAC</v></cell><cell r="O4345" t="str"><v>Japan</v></cell><cell r="P4345" t="str"><v>Trial</v></cell><cell r="Q4345" t="str"><v>Social</v></cell><cell r="R4345" t="str"><v>Azure</v></cell><cell r="S4345" t="str"><v>Apps & Infra</v></cell><cell r="T4345" t="str"><v>Developers & ITI's</v></cell><cell r="U4345" t="str"><v>AZP-Retargeting</v></cell><cell r="V4345" t="str"><v>Retargeting</v></cell><cell r="W4345" t="str"><v>Link Ad</v></cell><cell r="X4345" t="str"><v>1x1</v></cell></row><row r="4345"><cell r="AA4345"><v>43312</v></cell><cell r="AB4345" t="str"><v>JPN_gaPMG_AZR_AZR_Q1_19_Trial-Social</v></cell><cell r="AC4345"><v>21276694</v></cell><cell r="AD4345"><v>720195</v></cell><cell r="AE4345" t="str"><v>Facebook</v></cell><cell r="AF4345"><v>3654128</v></cell><cell r="AG4345" t="str"><v>Facebook»AZP-Retargeting»1x1»Ban»LIA»ALL»CPM»RT»X»All»TP»OT»Free Account Retargeting Generic-ChC</v></cell><cell r="AH4345"><v>223726362</v></cell><cell r="AI4345" t="str"><v>AzurePlatform_FreeAcctRetargetingFB-Animated-ChC_JPN_1200x628_SOC_Plat_JA_Free Account_Standard_ANI_SU_T3_1</v></cell><cell r="AJ4345"><v>102826788</v></cell></row><row r="4346"><cell r="C4346" t="str"><v>43312Facebook»AZP-Retargeting»1x1»Canvas»OTH»MO»CPM»RT»W»UNK»TP»OT»Trial-BrandinMotion</v></cell><cell r="D4346" t="str"><v>43312223298823</v></cell><cell r="E4346" t="str"><v>43312102612720Motion</v></cell><cell r="F4346" t="str"><v>DCM</v></cell><cell r="G4346" t="str"><v>https://azure.microsoft.com/ja-jp/free/search/</v></cell></row><row r="4346"><cell r="K4346" t="str"><v>July</v></cell><cell r="L4346"><v>43316</v></cell><cell r="M4346" t="str"><v>Tier 1</v></cell><cell r="N4346" t="str"><v>APAC</v></cell><cell r="O4346" t="str"><v>Japan</v></cell><cell r="P4346" t="str"><v>Trial</v></cell><cell r="Q4346" t="str"><v>Social</v></cell><cell r="R4346" t="str"><v>Azure</v></cell><cell r="S4346" t="str"><v>Apps & Infra</v></cell><cell r="T4346" t="str"><v>Developers & ITI's</v></cell><cell r="U4346" t="str"><v>AZP-Retargeting</v></cell><cell r="V4346" t="str"><v>Retargeting</v></cell><cell r="W4346" t="str"><v>Other</v></cell><cell r="X4346" t="str"><v>1x1</v></cell></row><row r="4346"><cell r="AA4346"><v>43312</v></cell><cell r="AB4346" t="str"><v>JPN_gaPMG_AZR_AZR_Q1_19_Trial-Social</v></cell><cell r="AC4346"><v>21276694</v></cell><cell r="AD4346"><v>720195</v></cell><cell r="AE4346" t="str"><v>Facebook</v></cell><cell r="AF4346"><v>3654128</v></cell><cell r="AG4346" t="str"><v>Facebook»AZP-Retargeting»1x1»Canvas»OTH»MO»CPM»RT»W»UNK»TP»OT»Trial-BrandinMotion</v></cell><cell r="AH4346"><v>223298823</v></cell><cell r="AI4346" t="str"><v>AzurePlatform_FBCTCBrandinMotion_JPN_12sec_ISV_PLAT_JA_Trial_Standard_STAN_TN_T2_1</v></cell><cell r="AJ4346"><v>102612720</v></cell></row><row r="4347"><cell r="C4347" t="str"><v>43312FACEBOOK»USA-Trial-ITD-Interest Prospecting-AZR-AZR»1 x 1»SocialBan»CAN»ALL»CPA»PRO»X»NA»SS»NA»FBCTCBasicMotion»PRC1SV</v></cell><cell r="D4347" t="str"><v>43312223934062</v></cell><cell r="E4347" t="str"><v>43312103043823PRC1SV</v></cell><cell r="F4347" t="str"><v>DCM</v></cell><cell r="G4347" t="str"><v>https://signup.azure.com/?OCID=AID%eexcid!_OLA_%ebuy!_%epid!_%ecid!</v></cell></row><row r="4347"><cell r="K4347" t="str"><v>July</v></cell><cell r="L4347"><v>43316</v></cell><cell r="M4347" t="str"><v>Tier 0</v></cell><cell r="N4347" t="str"><v>North America</v></cell><cell r="O4347" t="str"><v>United States</v></cell><cell r="P4347" t="str"><v>Trial</v></cell><cell r="Q4347" t="str"><v>Social</v></cell><cell r="R4347" t="str"><v>Azure</v></cell><cell r="S4347" t="str"><v>Apps & Infra</v></cell><cell r="T4347" t="str"><v>Developers & ITI's</v></cell><cell r="U4347" t="str"><v>USA-Trial-ITD-Interest Prospecting-AZR-AZR</v></cell><cell r="V4347" t="str"><v>Prospecting</v></cell><cell r="W4347" t="str"><v>Canvas Ad</v></cell><cell r="X4347" t="str"><v>1x1</v></cell></row><row r="4347"><cell r="AA4347"><v>43312</v></cell><cell r="AB4347" t="str"><v>USA_gaPMG_AZR_AZR_Q1_19_Direct-Social</v></cell><cell r="AC4347"><v>21358715</v></cell><cell r="AD4347"><v>720197</v></cell><cell r="AE4347" t="str"><v>Facebook</v></cell><cell r="AF4347"><v>3654128</v></cell><cell r="AG4347" t="str"><v>FACEBOOK»USA-Trial-ITD-Interest Prospecting-AZR-AZR»1 x 1»SocialBan»CAN»ALL»CPA»PRO»X»NA»SS»NA»FBCTCBasicMotion»PRC1SV</v></cell><cell r="AH4347"><v>223934062</v></cell><cell r="AI4347" t="str"><v>AzurePlatform_FBCTCBasicMotion_USA_10s_CAN_PLATFORM_English_Trial_Standard_STAN_TIN_T1_1</v></cell><cell r="AJ4347"><v>103043823</v></cell></row><row r="4348"><cell r="C4348" t="str"><v>43312FACEBOOK»USA-Trial-ITD-Interest Prospecting-AZR-AZR»1 x 1»SocialBan»CAN»ALL»CPA»PRO»X»NA»SS»NA»FBCTCBasicMotion»PRC1SV</v></cell><cell r="D4348" t="str"><v>43312223934062</v></cell><cell r="E4348" t="str"><v>43312103175984PRC1SV</v></cell><cell r="F4348" t="str"><v>DCM</v></cell><cell r="G4348" t="str"><v>https://azure.microsoft.com/en-us/pricing/purchase-options/?v=18.19&OCID=AID%eexcid!_OLA_%ebuy!_%epid!_%ecid!</v></cell></row><row r="4348"><cell r="K4348" t="str"><v>July</v></cell><cell r="L4348"><v>43316</v></cell><cell r="M4348" t="str"><v>Tier 0</v></cell><cell r="N4348" t="str"><v>North America</v></cell><cell r="O4348" t="str"><v>United States</v></cell><cell r="P4348" t="str"><v>Trial</v></cell><cell r="Q4348" t="str"><v>Social</v></cell><cell r="R4348" t="str"><v>Azure</v></cell><cell r="S4348" t="str"><v>Apps & Infra</v></cell><cell r="T4348" t="str"><v>Developers & ITI's</v></cell><cell r="U4348" t="str"><v>USA-Trial-ITD-Interest Prospecting-AZR-AZR</v></cell><cell r="V4348" t="str"><v>Prospecting</v></cell><cell r="W4348" t="str"><v>Canvas Ad</v></cell><cell r="X4348" t="str"><v>1x1</v></cell></row><row r="4348"><cell r="AA4348"><v>43312</v></cell><cell r="AB4348" t="str"><v>USA_gaPMG_AZR_AZR_Q1_19_Direct-Social</v></cell><cell r="AC4348"><v>21358715</v></cell><cell r="AD4348"><v>720197</v></cell><cell r="AE4348" t="str"><v>Facebook</v></cell><cell r="AF4348"><v>3654128</v></cell><cell r="AG4348" t="str"><v>FACEBOOK»USA-Trial-ITD-Interest Prospecting-AZR-AZR»1 x 1»SocialBan»CAN»ALL»CPA»PRO»X»NA»SS»NA»FBCTCBasicMotion»PRC1SV</v></cell><cell r="AH4348"><v>223934062</v></cell><cell r="AI4348" t="str"><v>AzurePlatform_FBCTCBasicMotion_USA_10s_CAN_PLATFORM_English_Trial_Standard_STAN_TIN_T1_2</v></cell><cell r="AJ4348"><v>103175984</v></cell></row><row r="4349"><cell r="C4349" t="str"><v>43312FACEBOOK»USA-Trial-ITD-Interest Prospecting-AZR-AZR»1 x 1»SocialBan»CAN»ALL»CPA»PRO»X»NA»SS»NA»FBCTCBenefit2inMotion»PRC1SW</v></cell><cell r="D4349" t="str"><v>43312223933138</v></cell><cell r="E4349" t="str"><v>43312103043835PRC1SW</v></cell><cell r="F4349" t="str"><v>DCM</v></cell><cell r="G4349" t="str"><v>https://signup.azure.com/?OCID=AID%eexcid!_OLA_%ebuy!_%epid!_%ecid!</v></cell></row><row r="4349"><cell r="K4349" t="str"><v>July</v></cell><cell r="L4349"><v>43316</v></cell><cell r="M4349" t="str"><v>Tier 0</v></cell><cell r="N4349" t="str"><v>North America</v></cell><cell r="O4349" t="str"><v>United States</v></cell><cell r="P4349" t="str"><v>Trial</v></cell><cell r="Q4349" t="str"><v>Social</v></cell><cell r="R4349" t="str"><v>Azure</v></cell><cell r="S4349" t="str"><v>Apps & Infra</v></cell><cell r="T4349" t="str"><v>Developers & ITI's</v></cell><cell r="U4349" t="str"><v>USA-Trial-ITD-Interest Prospecting-AZR-AZR</v></cell><cell r="V4349" t="str"><v>Prospecting</v></cell><cell r="W4349" t="str"><v>Canvas Ad</v></cell><cell r="X4349" t="str"><v>1x1</v></cell></row><row r="4349"><cell r="AA4349"><v>43312</v></cell><cell r="AB4349" t="str"><v>USA_gaPMG_AZR_AZR_Q1_19_Direct-Social</v></cell><cell r="AC4349"><v>21358715</v></cell><cell r="AD4349"><v>720197</v></cell><cell r="AE4349" t="str"><v>Facebook</v></cell><cell r="AF4349"><v>3654128</v></cell><cell r="AG4349" t="str"><v>FACEBOOK»USA-Trial-ITD-Interest Prospecting-AZR-AZR»1 x 1»SocialBan»CAN»ALL»CPA»PRO»X»NA»SS»NA»FBCTCBenefit2inMotion»PRC1SW</v></cell><cell r="AH4349"><v>223933138</v></cell><cell r="AI4349" t="str"><v>AzurePlatform_FBCTCBenefit2inMotion_USA_10s_CAN_PLATFORM_English_Trial_Standard_STAN_TIN_T4_1</v></cell><cell r="AJ4349"><v>103043835</v></cell></row><row r="4350"><cell r="C4350" t="str"><v>43312FACEBOOK»USA-Trial-ITD-Interest Prospecting-AZR-AZR»1 x 1»SocialBan»CAN»ALL»CPA»PRO»X»NA»SS»NA»FBCTCBenefit2inMotion»PRC1SW</v></cell><cell r="D4350" t="str"><v>43312223933138</v></cell><cell r="E4350" t="str"><v>43312103178645PRC1SW</v></cell><cell r="F4350" t="str"><v>DCM</v></cell><cell r="G4350" t="str"><v>https://azure.microsoft.com/en-us/pricing/purchase-options/?v=18.19&OCID=AID%eexcid!_OLA_%ebuy!_%epid!_%ecid!</v></cell></row><row r="4350"><cell r="K4350" t="str"><v>July</v></cell><cell r="L4350"><v>43316</v></cell><cell r="M4350" t="str"><v>Tier 0</v></cell><cell r="N4350" t="str"><v>North America</v></cell><cell r="O4350" t="str"><v>United States</v></cell><cell r="P4350" t="str"><v>Trial</v></cell><cell r="Q4350" t="str"><v>Social</v></cell><cell r="R4350" t="str"><v>Azure</v></cell><cell r="S4350" t="str"><v>Apps & Infra</v></cell><cell r="T4350" t="str"><v>Developers & ITI's</v></cell><cell r="U4350" t="str"><v>USA-Trial-ITD-Interest Prospecting-AZR-AZR</v></cell><cell r="V4350" t="str"><v>Prospecting</v></cell><cell r="W4350" t="str"><v>Canvas Ad</v></cell><cell r="X4350" t="str"><v>1x1</v></cell></row><row r="4350"><cell r="AA4350"><v>43312</v></cell><cell r="AB4350" t="str"><v>USA_gaPMG_AZR_AZR_Q1_19_Direct-Social</v></cell><cell r="AC4350"><v>21358715</v></cell><cell r="AD4350"><v>720197</v></cell><cell r="AE4350" t="str"><v>Facebook</v></cell><cell r="AF4350"><v>3654128</v></cell><cell r="AG4350" t="str"><v>FACEBOOK»USA-Trial-ITD-Interest Prospecting-AZR-AZR»1 x 1»SocialBan»CAN»ALL»CPA»PRO»X»NA»SS»NA»FBCTCBenefit2inMotion»PRC1SW</v></cell><cell r="AH4350"><v>223933138</v></cell><cell r="AI4350" t="str"><v>AzurePlatform_FBCTCBenefit2inMotion_USA_10s_CAN_PLATFORM_English_Trial_Standard_STAN_TIN_T4_2</v></cell><cell r="AJ4350"><v>103178645</v></cell></row><row r="4351"><cell r="C4351" t="str"><v>43312FACEBOOK»USA-Trial-ITD-Interest Prospecting-AZR-AZR»1 x 1»SocialBan»CAN»ALL»CPA»PRO»X»NA»SS»NA»FBCTCBrandinMotion»PRC1SY</v></cell><cell r="D4351" t="str"><v>43312224104929</v></cell><cell r="E4351" t="str"><v>43312103176812PRC1SY</v></cell><cell r="F4351" t="str"><v>DCM</v></cell><cell r="G4351" t="str"><v>https://signup.azure.com/?OCID=AID%eexcid!_OLA_%ebuy!_%epid!_%ecid!</v></cell></row><row r="4351"><cell r="K4351" t="str"><v>July</v></cell><cell r="L4351"><v>43316</v></cell><cell r="M4351" t="str"><v>Tier 0</v></cell><cell r="N4351" t="str"><v>North America</v></cell><cell r="O4351" t="str"><v>United States</v></cell><cell r="P4351" t="str"><v>Trial</v></cell><cell r="Q4351" t="str"><v>Social</v></cell><cell r="R4351" t="str"><v>Azure</v></cell><cell r="S4351" t="str"><v>Apps & Infra</v></cell><cell r="T4351" t="str"><v>Developers & ITI's</v></cell><cell r="U4351" t="str"><v>USA-Trial-ITD-Interest Prospecting-AZR-AZR</v></cell><cell r="V4351" t="str"><v>Prospecting</v></cell><cell r="W4351" t="str"><v>Canvas Ad</v></cell><cell r="X4351" t="str"><v>1x1</v></cell></row><row r="4351"><cell r="AA4351"><v>43312</v></cell><cell r="AB4351" t="str"><v>USA_gaPMG_AZR_AZR_Q1_19_Direct-Social</v></cell><cell r="AC4351"><v>21358715</v></cell><cell r="AD4351"><v>720197</v></cell><cell r="AE4351" t="str"><v>Facebook</v></cell><cell r="AF4351"><v>3654128</v></cell><cell r="AG4351" t="str"><v>FACEBOOK»USA-Trial-ITD-Interest Prospecting-AZR-AZR»1 x 1»SocialBan»CAN»ALL»CPA»PRO»X»NA»SS»NA»FBCTCBrandinMotion»PRC1SY</v></cell><cell r="AH4351"><v>224104929</v></cell><cell r="AI4351" t="str"><v>AzurePlatform_FBCTCBrandinMotion_USA_10s_CAN_PLATFORM_English_Trial_Standard_STAN_TIN_T2_1</v></cell><cell r="AJ4351"><v>103176812</v></cell></row><row r="4352"><cell r="C4352" t="str"><v>43312FACEBOOK»USA-Trial-ITD-Interest Prospecting-AZR-AZR»1 x 1»SocialBan»CAN»ALL»CPA»PRO»X»NA»SS»NA»FBCTCBrandinMotion»PRC1SY</v></cell><cell r="D4352" t="str"><v>43312224104929</v></cell><cell r="E4352" t="str"><v>43312103032823PRC1SY</v></cell><cell r="F4352" t="str"><v>DCM</v></cell><cell r="G4352" t="str"><v>https://azure.microsoft.com/en-us/pricing/purchase-options/?v=18.19&OCID=AID%eexcid!_OLA_%ebuy!_%epid!_%ecid!</v></cell></row><row r="4352"><cell r="K4352" t="str"><v>July</v></cell><cell r="L4352"><v>43316</v></cell><cell r="M4352" t="str"><v>Tier 0</v></cell><cell r="N4352" t="str"><v>North America</v></cell><cell r="O4352" t="str"><v>United States</v></cell><cell r="P4352" t="str"><v>Trial</v></cell><cell r="Q4352" t="str"><v>Social</v></cell><cell r="R4352" t="str"><v>Azure</v></cell><cell r="S4352" t="str"><v>Apps & Infra</v></cell><cell r="T4352" t="str"><v>Developers & ITI's</v></cell><cell r="U4352" t="str"><v>USA-Trial-ITD-Interest Prospecting-AZR-AZR</v></cell><cell r="V4352" t="str"><v>Prospecting</v></cell><cell r="W4352" t="str"><v>Canvas Ad</v></cell><cell r="X4352" t="str"><v>1x1</v></cell></row><row r="4352"><cell r="AA4352"><v>43312</v></cell><cell r="AB4352" t="str"><v>USA_gaPMG_AZR_AZR_Q1_19_Direct-Social</v></cell><cell r="AC4352"><v>21358715</v></cell><cell r="AD4352"><v>720197</v></cell><cell r="AE4352" t="str"><v>Facebook</v></cell><cell r="AF4352"><v>3654128</v></cell><cell r="AG4352" t="str"><v>FACEBOOK»USA-Trial-ITD-Interest Prospecting-AZR-AZR»1 x 1»SocialBan»CAN»ALL»CPA»PRO»X»NA»SS»NA»FBCTCBrandinMotion»PRC1SY</v></cell><cell r="AH4352"><v>224104929</v></cell><cell r="AI4352" t="str"><v>AzurePlatform_FBCTCBrandinMotion_USA_10s_CAN_PLATFORM_English_Trial_Standard_STAN_TIN_T2_2</v></cell><cell r="AJ4352"><v>103032823</v></cell></row><row r="4353"><cell r="C4353" t="str"><v>43312FACEBOOK»USA-Trial-ITD-Interest Prospecting-AZR-AZR»1 x 1»SocialBan»LIA»ALL»CPA»PRO»X»NA»SS»NA»FreeAcctDeveloperFB-AnimatedGeneric-Ch1»PRC1SZ</v></cell><cell r="D4353" t="str"><v>43312224104932</v></cell><cell r="E4353" t="str"><v>43312103176851PRC1SZ</v></cell><cell r="F4353" t="str"><v>DCM</v></cell><cell r="G4353" t="str"><v>https://azure.microsoft.com/en-us/free/search/?OCID=AID%eexcid!_OLA_%ebuy!_%epid!_%ecid!</v></cell></row><row r="4353"><cell r="K4353" t="str"><v>July</v></cell><cell r="L4353"><v>43316</v></cell><cell r="M4353" t="str"><v>Tier 0</v></cell><cell r="N4353" t="str"><v>North America</v></cell><cell r="O4353" t="str"><v>United States</v></cell><cell r="P4353" t="str"><v>Trial</v></cell><cell r="Q4353" t="str"><v>Social</v></cell><cell r="R4353" t="str"><v>Azure</v></cell><cell r="S4353" t="str"><v>Apps & Infra</v></cell><cell r="T4353" t="str"><v>Developers & ITI's</v></cell><cell r="U4353" t="str"><v>USA-Trial-ITD-Interest Prospecting-AZR-AZR</v></cell><cell r="V4353" t="str"><v>Prospecting</v></cell><cell r="W4353" t="str"><v>Link Ad</v></cell><cell r="X4353" t="str"><v>1x1</v></cell></row><row r="4353"><cell r="AA4353"><v>43312</v></cell><cell r="AB4353" t="str"><v>USA_gaPMG_AZR_AZR_Q1_19_Direct-Social</v></cell><cell r="AC4353"><v>21358715</v></cell><cell r="AD4353"><v>720197</v></cell><cell r="AE4353" t="str"><v>Facebook</v></cell><cell r="AF4353"><v>3654128</v></cell><cell r="AG4353" t="str"><v>FACEBOOK»USA-Trial-ITD-Interest Prospecting-AZR-AZR»1 x 1»SocialBan»LIA»ALL»CPA»PRO»X»NA»SS»NA»FreeAcctDeveloperFB-AnimatedGeneric-Ch1»PRC1SZ</v></cell><cell r="AH4353"><v>224104932</v></cell><cell r="AI4353" t="str"><v>AZR_FreeAcctDeveloperFB-AnimatedGeneric-Ch1_USA_1200x1200_CAN_Direct_English_Trial_Standard_ANI_LEA_T1_2</v></cell><cell r="AJ4353"><v>103176851</v></cell></row><row r="4354"><cell r="C4354" t="str"><v>43312FACEBOOK»USA-Trial-ITD-Interest Prospecting-AZR-AZR»1 x 1»SocialBan»LIA»ALL»CPA»PRO»X»NA»SS»NA»FreeAcctDeveloperFB-AnimatedGeneric-Ch1»PRC1T0</v></cell><cell r="D4354" t="str"><v>43312223934065</v></cell><cell r="E4354" t="str"><v>43312103176851PRC1T0</v></cell><cell r="F4354" t="str"><v>DCM</v></cell><cell r="G4354" t="str"><v>https://azure.microsoft.com/en-us/free/search/?OCID=AID%eexcid!_OLA_%ebuy!_%epid!_%ecid!</v></cell></row><row r="4354"><cell r="K4354" t="str"><v>July</v></cell><cell r="L4354"><v>43316</v></cell><cell r="M4354" t="str"><v>Tier 0</v></cell><cell r="N4354" t="str"><v>North America</v></cell><cell r="O4354" t="str"><v>United States</v></cell><cell r="P4354" t="str"><v>Trial</v></cell><cell r="Q4354" t="str"><v>Social</v></cell><cell r="R4354" t="str"><v>Azure</v></cell><cell r="S4354" t="str"><v>Apps & Infra</v></cell><cell r="T4354" t="str"><v>Developers & ITI's</v></cell><cell r="U4354" t="str"><v>USA-Trial-ITD-Interest Prospecting-AZR-AZR</v></cell><cell r="V4354" t="str"><v>Prospecting</v></cell><cell r="W4354" t="str"><v>Link Ad</v></cell><cell r="X4354" t="str"><v>1x1</v></cell></row><row r="4354"><cell r="AA4354"><v>43312</v></cell><cell r="AB4354" t="str"><v>USA_gaPMG_AZR_AZR_Q1_19_Direct-Social</v></cell><cell r="AC4354"><v>21358715</v></cell><cell r="AD4354"><v>720197</v></cell><cell r="AE4354" t="str"><v>Facebook</v></cell><cell r="AF4354"><v>3654128</v></cell><cell r="AG4354" t="str"><v>FACEBOOK»USA-Trial-ITD-Interest Prospecting-AZR-AZR»1 x 1»SocialBan»LIA»ALL»CPA»PRO»X»NA»SS»NA»FreeAcctDeveloperFB-AnimatedGeneric-Ch1»PRC1T0</v></cell><cell r="AH4354"><v>223934065</v></cell><cell r="AI4354" t="str"><v>AZR_FreeAcctDeveloperFB-AnimatedGeneric-Ch1_USA_1200x1200_CAN_Direct_English_Trial_Standard_ANI_LEA_T1_2</v></cell><cell r="AJ4354"><v>103176851</v></cell></row><row r="4355"><cell r="C4355" t="str"><v>43312FACEBOOK»USA-Trial-ITD-Interest Prospecting-AZR-AZR»1 x 1»SocialBan»LIA»ALL»CPA»PRO»X»NA»SS»NA»FreeAcctITProFB-AnimatedHybrid-Ch2»PRC1T5</v></cell><cell r="D4355" t="str"><v>43312223862882</v></cell><cell r="E4355" t="str"><v>43312103180583PRC1T5</v></cell><cell r="F4355" t="str"><v>DCM</v></cell></row><row r="4355"><cell r="K4355" t="str"><v>July</v></cell><cell r="L4355"><v>43316</v></cell><cell r="M4355" t="str"><v>Tier 0</v></cell><cell r="N4355" t="str"><v>North America</v></cell><cell r="O4355" t="str"><v>United States</v></cell><cell r="P4355" t="str"><v>Trial</v></cell><cell r="Q4355" t="str"><v>Social</v></cell><cell r="R4355" t="str"><v>Azure</v></cell><cell r="S4355" t="str"><v>Apps & Infra</v></cell><cell r="T4355" t="str"><v>Developers & ITI's</v></cell><cell r="U4355" t="str"><v>USA-Trial-ITD-Interest Prospecting-AZR-AZR</v></cell><cell r="V4355" t="str"><v>Prospecting</v></cell><cell r="W4355" t="str"><v>Link Ad</v></cell><cell r="X4355" t="str"><v>1x1</v></cell></row><row r="4355"><cell r="AA4355"><v>43312</v></cell><cell r="AB4355" t="str"><v>USA_gaPMG_AZR_AZR_Q1_19_Direct-Social</v></cell><cell r="AC4355"><v>21358715</v></cell><cell r="AD4355"><v>720197</v></cell><cell r="AE4355" t="str"><v>Facebook</v></cell><cell r="AF4355"><v>3654128</v></cell><cell r="AG4355" t="str"><v>FACEBOOK»USA-Trial-ITD-Interest Prospecting-AZR-AZR»1 x 1»SocialBan»LIA»ALL»CPA»PRO»X»NA»SS»NA»FreeAcctITProFB-AnimatedHybrid-Ch2»PRC1T5</v></cell><cell r="AH4355"><v>223862882</v></cell><cell r="AI4355" t="str"><v>AZR_FreeAcctITProFB-AnimatedHybrid-Ch2_USA_1200x1200_CAN_Direct_English_Trial_Standard_ANI_LEA_T2_2</v></cell><cell r="AJ4355"><v>103180583</v></cell></row><row r="4356"><cell r="C4356" t="str"><v>43312FACEBOOK»USA-Trial-ITD-Interest Prospecting-AZR-AZR»1 x 1»SocialBan»LIA»ALL»CPA»PRO»X»NA»SS»NA»FreeAcctITProFB-AnimatedSecureMngd-Ch1»PRC1T4</v></cell><cell r="D4356" t="str"><v>43312224104914</v></cell><cell r="E4356" t="str"><v>43312103176830PRC1T4</v></cell><cell r="F4356" t="str"><v>DCM</v></cell></row><row r="4356"><cell r="K4356" t="str"><v>July</v></cell><cell r="L4356"><v>43316</v></cell><cell r="M4356" t="str"><v>Tier 0</v></cell><cell r="N4356" t="str"><v>North America</v></cell><cell r="O4356" t="str"><v>United States</v></cell><cell r="P4356" t="str"><v>Trial</v></cell><cell r="Q4356" t="str"><v>Social</v></cell><cell r="R4356" t="str"><v>Azure</v></cell><cell r="S4356" t="str"><v>Apps & Infra</v></cell><cell r="T4356" t="str"><v>Developers & ITI's</v></cell><cell r="U4356" t="str"><v>USA-Trial-ITD-Interest Prospecting-AZR-AZR</v></cell><cell r="V4356" t="str"><v>Prospecting</v></cell><cell r="W4356" t="str"><v>Link Ad</v></cell><cell r="X4356" t="str"><v>1x1</v></cell></row><row r="4356"><cell r="AA4356"><v>43312</v></cell><cell r="AB4356" t="str"><v>USA_gaPMG_AZR_AZR_Q1_19_Direct-Social</v></cell><cell r="AC4356"><v>21358715</v></cell><cell r="AD4356"><v>720197</v></cell><cell r="AE4356" t="str"><v>Facebook</v></cell><cell r="AF4356"><v>3654128</v></cell><cell r="AG4356" t="str"><v>FACEBOOK»USA-Trial-ITD-Interest Prospecting-AZR-AZR»1 x 1»SocialBan»LIA»ALL»CPA»PRO»X»NA»SS»NA»FreeAcctITProFB-AnimatedSecureMngd-Ch1»PRC1T4</v></cell><cell r="AH4356"><v>224104914</v></cell><cell r="AI4356" t="str"><v>AZR_FreeAcctITProFB-AnimatedSecureMngd-Ch1_USA_1200x1200_CAN_Direct_English_Trial_Standard_ANI_LEA_T1_1</v></cell><cell r="AJ4356"><v>103176830</v></cell></row><row r="4357"><cell r="C4357" t="str"><v>43312FACEBOOK»USA-Trial-ITD-Interest Prospecting-AZR-AZR»1 x 1»SocialBan»CAN»ALL»CPA»PRO»X»NA»SS»NA»FBCTCBenefitinMotion»PRC1SX</v></cell><cell r="D4357" t="str"><v>43312224104077</v></cell><cell r="E4357" t="str"><v>43312103032775PRC1SX</v></cell><cell r="F4357" t="str"><v>DCM</v></cell><cell r="G4357" t="str"><v>https://signup.azure.com/?OCID=AID%eexcid!_OLA_%ebuy!_%epid!_%ecid!</v></cell></row><row r="4357"><cell r="K4357" t="str"><v>July</v></cell><cell r="L4357"><v>43316</v></cell><cell r="M4357" t="str"><v>Tier 0</v></cell><cell r="N4357" t="str"><v>North America</v></cell><cell r="O4357" t="str"><v>United States</v></cell><cell r="P4357" t="str"><v>Trial</v></cell><cell r="Q4357" t="str"><v>Social</v></cell><cell r="R4357" t="str"><v>Azure</v></cell><cell r="S4357" t="str"><v>Apps & Infra</v></cell><cell r="T4357" t="str"><v>Developers & ITI's</v></cell><cell r="U4357" t="str"><v>USA-Trial-ITD-Interest Prospecting-AZR-AZR</v></cell><cell r="V4357" t="str"><v>Prospecting</v></cell><cell r="W4357" t="str"><v>Canvas Ad</v></cell><cell r="X4357" t="str"><v>1x1</v></cell></row><row r="4357"><cell r="AA4357"><v>43312</v></cell><cell r="AB4357" t="str"><v>USA_gaPMG_AZR_AZR_Q1_19_Direct-Social</v></cell><cell r="AC4357"><v>21358715</v></cell><cell r="AD4357"><v>720197</v></cell><cell r="AE4357" t="str"><v>Facebook</v></cell><cell r="AF4357"><v>3654128</v></cell><cell r="AG4357" t="str"><v>FACEBOOK»USA-Trial-ITD-Interest Prospecting-AZR-AZR»1 x 1»SocialBan»CAN»ALL»CPA»PRO»X»NA»SS»NA»FBCTCBenefitinMotion»PRC1SX</v></cell><cell r="AH4357"><v>224104077</v></cell><cell r="AI4357" t="str"><v>AzurePlatform_FBCTCBenefitinMotion_USA_10s_CAN_PLATFORM_English_Trial_Standard_STAN_TIN_T3_1</v></cell><cell r="AJ4357"><v>103032775</v></cell></row><row r="4358"><cell r="C4358" t="str"><v>43312FACEBOOK»USA-Trial-ITD-Interest Prospecting-AZR-AZR»1 x 1»SocialBan»CCA»ALL»CPA»PRO»X»NA»SS»NA»Azure Developer Facebook Collections»PRSGV0</v></cell><cell r="D4358" t="str"><v>43312225283843</v></cell><cell r="E4358" t="str"><v>43312103773177PRSGV0</v></cell><cell r="F4358" t="str"><v>DCM</v></cell><cell r="G4358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358"><cell r="K4358" t="str"><v>July</v></cell><cell r="L4358"><v>43316</v></cell><cell r="M4358" t="str"><v>Tier 0</v></cell><cell r="N4358" t="str"><v>North America</v></cell><cell r="O4358" t="str"><v>United States</v></cell><cell r="P4358" t="str"><v>Trial</v></cell><cell r="Q4358" t="str"><v>Social</v></cell><cell r="R4358" t="str"><v>Azure</v></cell><cell r="S4358" t="str"><v>Apps & Infra</v></cell><cell r="T4358" t="str"><v>Developers & ITI's</v></cell><cell r="U4358" t="str"><v>USA-Trial-ITD-Interest Prospecting-AZR-AZR</v></cell><cell r="V4358" t="str"><v>Prospecting</v></cell><cell r="W4358" t="str"><v>Canvas Collection Ad</v></cell><cell r="X4358" t="str"><v>1x1</v></cell></row><row r="4358"><cell r="AA4358"><v>43312</v></cell><cell r="AB4358" t="str"><v>USA_gaPMG_AZR_AZR_Q1_19_Direct-Social</v></cell><cell r="AC4358"><v>21358715</v></cell><cell r="AD4358"><v>720197</v></cell><cell r="AE4358" t="str"><v>Facebook</v></cell><cell r="AF4358"><v>3654128</v></cell><cell r="AG4358" t="str"><v>FACEBOOK»USA-Trial-ITD-Interest Prospecting-AZR-AZR»1 x 1»SocialBan»CCA»ALL»CPA»PRO»X»NA»SS»NA»Azure Developer Facebook Collections»PRSGV0</v></cell><cell r="AH4358"><v>225283843</v></cell><cell r="AI4358" t="str"><v>AZR_FBCollections-AITryAzureFreeCTA-Img2_USA_1200x182_SOC_Plat_EN_NA_Standard_NA_TIN_T1_2</v></cell><cell r="AJ4358"><v>103773177</v></cell></row><row r="4359"><cell r="C4359" t="str"><v>43312FACEBOOK»USA-Trial-ITD-Interest Prospecting-AZR-AZR»1 x 1»SocialBan»CCA»ALL»CPA»PRO»X»NA»SS»NA»Azure Developer Facebook Collections»PRSGV0</v></cell><cell r="D4359" t="str"><v>43312225283843</v></cell><cell r="E4359" t="str"><v>43312103776921PRSGV0</v></cell><cell r="F4359" t="str"><v>DCM</v></cell><cell r="G435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359"><cell r="K4359" t="str"><v>July</v></cell><cell r="L4359"><v>43316</v></cell><cell r="M4359" t="str"><v>Tier 0</v></cell><cell r="N4359" t="str"><v>North America</v></cell><cell r="O4359" t="str"><v>United States</v></cell><cell r="P4359" t="str"><v>Trial</v></cell><cell r="Q4359" t="str"><v>Social</v></cell><cell r="R4359" t="str"><v>Azure</v></cell><cell r="S4359" t="str"><v>Apps & Infra</v></cell><cell r="T4359" t="str"><v>Developers & ITI's</v></cell><cell r="U4359" t="str"><v>USA-Trial-ITD-Interest Prospecting-AZR-AZR</v></cell><cell r="V4359" t="str"><v>Prospecting</v></cell><cell r="W4359" t="str"><v>Canvas Collection Ad</v></cell><cell r="X4359" t="str"><v>1x1</v></cell></row><row r="4359"><cell r="AA4359"><v>43312</v></cell><cell r="AB4359" t="str"><v>USA_gaPMG_AZR_AZR_Q1_19_Direct-Social</v></cell><cell r="AC4359"><v>21358715</v></cell><cell r="AD4359"><v>720197</v></cell><cell r="AE4359" t="str"><v>Facebook</v></cell><cell r="AF4359"><v>3654128</v></cell><cell r="AG4359" t="str"><v>FACEBOOK»USA-Trial-ITD-Interest Prospecting-AZR-AZR»1 x 1»SocialBan»CCA»ALL»CPA»PRO»X»NA»SS»NA»Azure Developer Facebook Collections»PRSGV0</v></cell><cell r="AH4359"><v>225283843</v></cell><cell r="AI4359" t="str"><v>AZR_FBCollections-FreeStuffTryAzureFreeCTA-Img5_USA_1200x182_SOC_Plat_EN_NA_Standard_NA_TIN_T1_5</v></cell><cell r="AJ4359"><v>103776921</v></cell></row><row r="4360"><cell r="C4360" t="str"><v>43312FACEBOOK»USA-Trial-ITD-Interest Prospecting-AZR-AZR»1 x 1»SocialBan»CCA»ALL»CPA»PRO»X»NA»SS»NA»Azure Developer Facebook Collections»PRSGV0</v></cell><cell r="D4360" t="str"><v>43312225283843</v></cell><cell r="E4360" t="str"><v>43312103873631PRSGV0</v></cell><cell r="F4360" t="str"><v>DCM</v></cell><cell r="G4360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360"><cell r="K4360" t="str"><v>July</v></cell><cell r="L4360"><v>43316</v></cell><cell r="M4360" t="str"><v>Tier 0</v></cell><cell r="N4360" t="str"><v>North America</v></cell><cell r="O4360" t="str"><v>United States</v></cell><cell r="P4360" t="str"><v>Trial</v></cell><cell r="Q4360" t="str"><v>Social</v></cell><cell r="R4360" t="str"><v>Azure</v></cell><cell r="S4360" t="str"><v>Apps & Infra</v></cell><cell r="T4360" t="str"><v>Developers & ITI's</v></cell><cell r="U4360" t="str"><v>USA-Trial-ITD-Interest Prospecting-AZR-AZR</v></cell><cell r="V4360" t="str"><v>Prospecting</v></cell><cell r="W4360" t="str"><v>Canvas Collection Ad</v></cell><cell r="X4360" t="str"><v>1x1</v></cell></row><row r="4360"><cell r="AA4360"><v>43312</v></cell><cell r="AB4360" t="str"><v>USA_gaPMG_AZR_AZR_Q1_19_Direct-Social</v></cell><cell r="AC4360"><v>21358715</v></cell><cell r="AD4360"><v>720197</v></cell><cell r="AE4360" t="str"><v>Facebook</v></cell><cell r="AF4360"><v>3654128</v></cell><cell r="AG4360" t="str"><v>FACEBOOK»USA-Trial-ITD-Interest Prospecting-AZR-AZR»1 x 1»SocialBan»CCA»ALL»CPA»PRO»X»NA»SS»NA»Azure Developer Facebook Collections»PRSGV0</v></cell><cell r="AH4360"><v>225283843</v></cell><cell r="AI4360" t="str"><v>AZR_FBCollections-OSSTryAzureFreeCTA-Img3_USA_1200x182_SOC_Plat_EN_NA_Standard_NA_TIN_T1_3</v></cell><cell r="AJ4360"><v>103873631</v></cell></row><row r="4361"><cell r="C4361" t="str"><v>43312FACEBOOK»USA-Trial-ITD-Interest Prospecting-AZR-AZR»1 x 1»SocialBan»CCA»ALL»CPA»PRO»X»NA»SS»NA»Azure Developer Facebook Collections»PRSGV0</v></cell><cell r="D4361" t="str"><v>43312225283843</v></cell><cell r="E4361" t="str"><v>43312103773180PRSGV0</v></cell><cell r="F4361" t="str"><v>DCM</v></cell><cell r="G4361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361"><cell r="K4361" t="str"><v>July</v></cell><cell r="L4361"><v>43316</v></cell><cell r="M4361" t="str"><v>Tier 0</v></cell><cell r="N4361" t="str"><v>North America</v></cell><cell r="O4361" t="str"><v>United States</v></cell><cell r="P4361" t="str"><v>Trial</v></cell><cell r="Q4361" t="str"><v>Social</v></cell><cell r="R4361" t="str"><v>Azure</v></cell><cell r="S4361" t="str"><v>Apps & Infra</v></cell><cell r="T4361" t="str"><v>Developers & ITI's</v></cell><cell r="U4361" t="str"><v>USA-Trial-ITD-Interest Prospecting-AZR-AZR</v></cell><cell r="V4361" t="str"><v>Prospecting</v></cell><cell r="W4361" t="str"><v>Canvas Collection Ad</v></cell><cell r="X4361" t="str"><v>1x1</v></cell></row><row r="4361"><cell r="AA4361"><v>43312</v></cell><cell r="AB4361" t="str"><v>USA_gaPMG_AZR_AZR_Q1_19_Direct-Social</v></cell><cell r="AC4361"><v>21358715</v></cell><cell r="AD4361"><v>720197</v></cell><cell r="AE4361" t="str"><v>Facebook</v></cell><cell r="AF4361"><v>3654128</v></cell><cell r="AG4361" t="str"><v>FACEBOOK»USA-Trial-ITD-Interest Prospecting-AZR-AZR»1 x 1»SocialBan»CCA»ALL»CPA»PRO»X»NA»SS»NA»Azure Developer Facebook Collections»PRSGV0</v></cell><cell r="AH4361"><v>225283843</v></cell><cell r="AI4361" t="str"><v>AZR_FBCollections-SmartDataTryAzureFreeCTA-Img4_USA_1200x182_SOC_Plat_EN_NA_Standard_NA_TIN_T1_4</v></cell><cell r="AJ4361"><v>103773180</v></cell></row><row r="4362"><cell r="C4362" t="str"><v>43312FACEBOOK»USA-Trial-ITD-Interest Prospecting-AZR-AZR»1 x 1»SocialBan»CCA»ALL»CPA»PRO»X»NA»SS»NA»Azure Developer Facebook Collections»PRSGV0</v></cell><cell r="D4362" t="str"><v>43312225283843</v></cell><cell r="E4362" t="str"><v>43312103874423PRSGV0</v></cell><cell r="F4362" t="str"><v>DCM</v></cell><cell r="G4362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362"><cell r="K4362" t="str"><v>July</v></cell><cell r="L4362"><v>43316</v></cell><cell r="M4362" t="str"><v>Tier 0</v></cell><cell r="N4362" t="str"><v>North America</v></cell><cell r="O4362" t="str"><v>United States</v></cell><cell r="P4362" t="str"><v>Trial</v></cell><cell r="Q4362" t="str"><v>Social</v></cell><cell r="R4362" t="str"><v>Azure</v></cell><cell r="S4362" t="str"><v>Apps & Infra</v></cell><cell r="T4362" t="str"><v>Developers & ITI's</v></cell><cell r="U4362" t="str"><v>USA-Trial-ITD-Interest Prospecting-AZR-AZR</v></cell><cell r="V4362" t="str"><v>Prospecting</v></cell><cell r="W4362" t="str"><v>Canvas Collection Ad</v></cell><cell r="X4362" t="str"><v>1x1</v></cell></row><row r="4362"><cell r="AA4362"><v>43312</v></cell><cell r="AB4362" t="str"><v>USA_gaPMG_AZR_AZR_Q1_19_Direct-Social</v></cell><cell r="AC4362"><v>21358715</v></cell><cell r="AD4362"><v>720197</v></cell><cell r="AE4362" t="str"><v>Facebook</v></cell><cell r="AF4362"><v>3654128</v></cell><cell r="AG4362" t="str"><v>FACEBOOK»USA-Trial-ITD-Interest Prospecting-AZR-AZR»1 x 1»SocialBan»CCA»ALL»CPA»PRO»X»NA»SS»NA»Azure Developer Facebook Collections»PRSGV0</v></cell><cell r="AH4362"><v>225283843</v></cell><cell r="AI4362" t="str"><v>AZR_FBCollections-TryAzureFreeCTA-Img1_USA_1200x182_SOC_Plat_EN_NA_Standard_NA_TIN_T1_1</v></cell><cell r="AJ4362"><v>103874423</v></cell></row><row r="4363"><cell r="C4363" t="str"><v>43312FACEBOOK»USA-Trial-ITD-Retargeting-AZR-AZR»1 x 1»SocialBan»LIA»ALL»CPA»RT»X»NA»SS»NA»FreeAcctDeveloperFB-AnimatedAI-Ch3»PRC26H</v></cell><cell r="D4363" t="str"><v>43312223863371</v></cell><cell r="E4363" t="str"><v>43312103032778PRC26H</v></cell><cell r="F4363" t="str"><v>DCM</v></cell></row><row r="4363"><cell r="K4363" t="str"><v>July</v></cell><cell r="L4363"><v>43316</v></cell><cell r="M4363" t="str"><v>Tier 0</v></cell><cell r="N4363" t="str"><v>North America</v></cell><cell r="O4363" t="str"><v>United States</v></cell><cell r="P4363" t="str"><v>Trial</v></cell><cell r="Q4363" t="str"><v>Social</v></cell><cell r="R4363" t="str"><v>Azure</v></cell><cell r="S4363" t="str"><v>Apps & Infra</v></cell><cell r="T4363" t="str"><v>Developers & ITI's</v></cell><cell r="U4363" t="str"><v>USA-Trial-ITD-Retargeting-AZR-AZR</v></cell><cell r="V4363" t="str"><v>Retargeting</v></cell><cell r="W4363" t="str"><v>Link Ad</v></cell><cell r="X4363" t="str"><v>1x1</v></cell></row><row r="4363"><cell r="AA4363"><v>43312</v></cell><cell r="AB4363" t="str"><v>USA_gaPMG_AZR_AZR_Q1_19_Direct-Social</v></cell><cell r="AC4363"><v>21358715</v></cell><cell r="AD4363"><v>720197</v></cell><cell r="AE4363" t="str"><v>Facebook</v></cell><cell r="AF4363"><v>3654128</v></cell><cell r="AG4363" t="str"><v>FACEBOOK»USA-Trial-ITD-Retargeting-AZR-AZR»1 x 1»SocialBan»LIA»ALL»CPA»RT»X»NA»SS»NA»FreeAcctDeveloperFB-AnimatedAI-Ch3»PRC26H</v></cell><cell r="AH4363"><v>223863371</v></cell><cell r="AI4363" t="str"><v>AZR_FreeAcctDeveloperFB-AnimatedAI-Ch3_USA_1200x1200_CAN_Direct_English_Trial_Standard_ANI_LEA_T3_1</v></cell><cell r="AJ4363"><v>103032778</v></cell></row><row r="4364"><cell r="C4364" t="str"><v>43312FACEBOOK»USA-Trial-ITD-Retargeting-AZR-AZR»1 x 1»SocialBan»LIA»ALL»CPA»RT»X»NA»SS»NA»FreeAcctDeveloperFB-AnimatedData-Ch4»PRC26J</v></cell><cell r="D4364" t="str"><v>43312224106078</v></cell><cell r="E4364" t="str"><v>43312103037935PRC26J</v></cell><cell r="F4364" t="str"><v>DCM</v></cell></row><row r="4364"><cell r="K4364" t="str"><v>July</v></cell><cell r="L4364"><v>43316</v></cell><cell r="M4364" t="str"><v>Tier 0</v></cell><cell r="N4364" t="str"><v>North America</v></cell><cell r="O4364" t="str"><v>United States</v></cell><cell r="P4364" t="str"><v>Trial</v></cell><cell r="Q4364" t="str"><v>Social</v></cell><cell r="R4364" t="str"><v>Azure</v></cell><cell r="S4364" t="str"><v>Apps & Infra</v></cell><cell r="T4364" t="str"><v>Developers & ITI's</v></cell><cell r="U4364" t="str"><v>USA-Trial-ITD-Retargeting-AZR-AZR</v></cell><cell r="V4364" t="str"><v>Retargeting</v></cell><cell r="W4364" t="str"><v>Link Ad</v></cell><cell r="X4364" t="str"><v>1x1</v></cell></row><row r="4364"><cell r="AA4364"><v>43312</v></cell><cell r="AB4364" t="str"><v>USA_gaPMG_AZR_AZR_Q1_19_Direct-Social</v></cell><cell r="AC4364"><v>21358715</v></cell><cell r="AD4364"><v>720197</v></cell><cell r="AE4364" t="str"><v>Facebook</v></cell><cell r="AF4364"><v>3654128</v></cell><cell r="AG4364" t="str"><v>FACEBOOK»USA-Trial-ITD-Retargeting-AZR-AZR»1 x 1»SocialBan»LIA»ALL»CPA»RT»X»NA»SS»NA»FreeAcctDeveloperFB-AnimatedData-Ch4»PRC26J</v></cell><cell r="AH4364"><v>224106078</v></cell><cell r="AI4364" t="str"><v>AZR_FreeAcctDeveloperFB-AnimatedData-Ch4_USA_1200x1200_CAN_Direct_English_Trial_Standard_ANI_LEA_T4_2</v></cell><cell r="AJ4364"><v>103037935</v></cell></row><row r="4365"><cell r="C4365" t="str"><v>43312FACEBOOK»USA-Trial-ITD-Retargeting-AZR-AZR»1 x 1»SocialBan»LIA»ALL»CPA»RT»X»NA»SS»NA»FreeAcctDeveloperFB-AnimatedOpenSource-Ch2»PRC26G</v></cell><cell r="D4365" t="str"><v>43312223862873</v></cell><cell r="E4365" t="str"><v>43312103048329PRC26G</v></cell><cell r="F4365" t="str"><v>DCM</v></cell><cell r="G4365" t="str"><v>https://azure.microsoft.com/en-us/free/open-source/search/?OCID=AID%eexcid!_OLA_%ebuy!_%epid!_%ecid!</v></cell></row><row r="4365"><cell r="K4365" t="str"><v>July</v></cell><cell r="L4365"><v>43316</v></cell><cell r="M4365" t="str"><v>Tier 0</v></cell><cell r="N4365" t="str"><v>North America</v></cell><cell r="O4365" t="str"><v>United States</v></cell><cell r="P4365" t="str"><v>Trial</v></cell><cell r="Q4365" t="str"><v>Social</v></cell><cell r="R4365" t="str"><v>Azure</v></cell><cell r="S4365" t="str"><v>Apps & Infra</v></cell><cell r="T4365" t="str"><v>Developers & ITI's</v></cell><cell r="U4365" t="str"><v>USA-Trial-ITD-Retargeting-AZR-AZR</v></cell><cell r="V4365" t="str"><v>Retargeting</v></cell><cell r="W4365" t="str"><v>Link Ad</v></cell><cell r="X4365" t="str"><v>1x1</v></cell></row><row r="4365"><cell r="AA4365"><v>43312</v></cell><cell r="AB4365" t="str"><v>USA_gaPMG_AZR_AZR_Q1_19_Direct-Social</v></cell><cell r="AC4365"><v>21358715</v></cell><cell r="AD4365"><v>720197</v></cell><cell r="AE4365" t="str"><v>Facebook</v></cell><cell r="AF4365"><v>3654128</v></cell><cell r="AG4365" t="str"><v>FACEBOOK»USA-Trial-ITD-Retargeting-AZR-AZR»1 x 1»SocialBan»LIA»ALL»CPA»RT»X»NA»SS»NA»FreeAcctDeveloperFB-AnimatedOpenSource-Ch2»PRC26G</v></cell><cell r="AH4365"><v>223862873</v></cell><cell r="AI4365" t="str"><v>AZR_FreeAcctDeveloperFB-AnimatedOpenSource-Ch2_USA_1200x1200_CAN_Direct_English_Trial_Standard_ANI_LEA_T2_1</v></cell><cell r="AJ4365"><v>103048329</v></cell></row><row r="4366"><cell r="C4366" t="str"><v>43312FACEBOOK»USA-Trial-ITD-Retargeting-AZR-AZR»1 x 1»SocialBan»LIA»ALL»CPA»RT»X»NA»SS»NA»FreeAcctITProFB-AnimatedHybrid-Ch2»PRC26N</v></cell><cell r="D4366" t="str"><v>43312223934053</v></cell><cell r="E4366" t="str"><v>43312103180583PRC26N</v></cell><cell r="F4366" t="str"><v>DCM</v></cell></row><row r="4366"><cell r="K4366" t="str"><v>July</v></cell><cell r="L4366"><v>43316</v></cell><cell r="M4366" t="str"><v>Tier 0</v></cell><cell r="N4366" t="str"><v>North America</v></cell><cell r="O4366" t="str"><v>United States</v></cell><cell r="P4366" t="str"><v>Trial</v></cell><cell r="Q4366" t="str"><v>Social</v></cell><cell r="R4366" t="str"><v>Azure</v></cell><cell r="S4366" t="str"><v>Apps & Infra</v></cell><cell r="T4366" t="str"><v>Developers & ITI's</v></cell><cell r="U4366" t="str"><v>USA-Trial-ITD-Retargeting-AZR-AZR</v></cell><cell r="V4366" t="str"><v>Retargeting</v></cell><cell r="W4366" t="str"><v>Link Ad</v></cell><cell r="X4366" t="str"><v>1x1</v></cell></row><row r="4366"><cell r="AA4366"><v>43312</v></cell><cell r="AB4366" t="str"><v>USA_gaPMG_AZR_AZR_Q1_19_Direct-Social</v></cell><cell r="AC4366"><v>21358715</v></cell><cell r="AD4366"><v>720197</v></cell><cell r="AE4366" t="str"><v>Facebook</v></cell><cell r="AF4366"><v>3654128</v></cell><cell r="AG4366" t="str"><v>FACEBOOK»USA-Trial-ITD-Retargeting-AZR-AZR»1 x 1»SocialBan»LIA»ALL»CPA»RT»X»NA»SS»NA»FreeAcctITProFB-AnimatedHybrid-Ch2»PRC26N</v></cell><cell r="AH4366"><v>223934053</v></cell><cell r="AI4366" t="str"><v>AZR_FreeAcctITProFB-AnimatedHybrid-Ch2_USA_1200x1200_CAN_Direct_English_Trial_Standard_ANI_LEA_T2_2</v></cell><cell r="AJ4366"><v>103180583</v></cell></row><row r="4367"><cell r="C4367" t="str"><v>43312FACEBOOK»USA-Trial-ITD-Retargeting-AZR-AZR»1 x 1»SocialBan»LIA»ALL»CPA»RT»X»NA»SS»NA»FreeAcctITProFB-AnimatedMigration-Ch3»PRC26P</v></cell><cell r="D4367" t="str"><v>43312223934056</v></cell><cell r="E4367" t="str"><v>43312103176827PRC26P</v></cell><cell r="F4367" t="str"><v>DCM</v></cell></row><row r="4367"><cell r="K4367" t="str"><v>July</v></cell><cell r="L4367"><v>43316</v></cell><cell r="M4367" t="str"><v>Tier 0</v></cell><cell r="N4367" t="str"><v>North America</v></cell><cell r="O4367" t="str"><v>United States</v></cell><cell r="P4367" t="str"><v>Trial</v></cell><cell r="Q4367" t="str"><v>Social</v></cell><cell r="R4367" t="str"><v>Azure</v></cell><cell r="S4367" t="str"><v>Apps & Infra</v></cell><cell r="T4367" t="str"><v>Developers & ITI's</v></cell><cell r="U4367" t="str"><v>USA-Trial-ITD-Retargeting-AZR-AZR</v></cell><cell r="V4367" t="str"><v>Retargeting</v></cell><cell r="W4367" t="str"><v>Link Ad</v></cell><cell r="X4367" t="str"><v>1x1</v></cell></row><row r="4367"><cell r="AA4367"><v>43312</v></cell><cell r="AB4367" t="str"><v>USA_gaPMG_AZR_AZR_Q1_19_Direct-Social</v></cell><cell r="AC4367"><v>21358715</v></cell><cell r="AD4367"><v>720197</v></cell><cell r="AE4367" t="str"><v>Facebook</v></cell><cell r="AF4367"><v>3654128</v></cell><cell r="AG4367" t="str"><v>FACEBOOK»USA-Trial-ITD-Retargeting-AZR-AZR»1 x 1»SocialBan»LIA»ALL»CPA»RT»X»NA»SS»NA»FreeAcctITProFB-AnimatedMigration-Ch3»PRC26P</v></cell><cell r="AH4367"><v>223934056</v></cell><cell r="AI4367" t="str"><v>AZR_FreeAcctITProFB-AnimatedMigration-Ch3_USA_1200x1200_CAN_Direct_English_Trial_Standard_ANI_LEA_T3_1</v></cell><cell r="AJ4367"><v>103176827</v></cell></row><row r="4368"><cell r="C4368" t="str"><v>43312FACEBOOK»USA-Trial-ITD-Retargeting-AZR-AZR»1 x 1»SocialBan»LIA»ALL»CPA»RT»X»NA»SS»NA»FreeAcctRetargetingFB-Animated-ChC»PRC1RX</v></cell><cell r="D4368" t="str"><v>43312223862864</v></cell><cell r="E4368" t="str"><v>43312103180880PRC1RX</v></cell><cell r="F4368" t="str"><v>DCM</v></cell><cell r="G4368" t="str"><v>https://azure.microsoft.com/en-us/free/search/?OCID=AID%eexcid!_OLA_%ebuy!_%epid!_%ecid!</v></cell></row><row r="4368"><cell r="K4368" t="str"><v>July</v></cell><cell r="L4368"><v>43316</v></cell><cell r="M4368" t="str"><v>Tier 0</v></cell><cell r="N4368" t="str"><v>North America</v></cell><cell r="O4368" t="str"><v>United States</v></cell><cell r="P4368" t="str"><v>Trial</v></cell><cell r="Q4368" t="str"><v>Social</v></cell><cell r="R4368" t="str"><v>Azure</v></cell><cell r="S4368" t="str"><v>Apps & Infra</v></cell><cell r="T4368" t="str"><v>Developers & ITI's</v></cell><cell r="U4368" t="str"><v>USA-Trial-ITD-Retargeting-AZR-AZR</v></cell><cell r="V4368" t="str"><v>Retargeting</v></cell><cell r="W4368" t="str"><v>Link Ad</v></cell><cell r="X4368" t="str"><v>1x1</v></cell></row><row r="4368"><cell r="AA4368"><v>43312</v></cell><cell r="AB4368" t="str"><v>USA_gaPMG_AZR_AZR_Q1_19_Direct-Social</v></cell><cell r="AC4368"><v>21358715</v></cell><cell r="AD4368"><v>720197</v></cell><cell r="AE4368" t="str"><v>Facebook</v></cell><cell r="AF4368"><v>3654128</v></cell><cell r="AG4368" t="str"><v>FACEBOOK»USA-Trial-ITD-Retargeting-AZR-AZR»1 x 1»SocialBan»LIA»ALL»CPA»RT»X»NA»SS»NA»FreeAcctRetargetingFB-Animated-ChC»PRC1RX</v></cell><cell r="AH4368"><v>223862864</v></cell><cell r="AI4368" t="str"><v>AzurePlatform_FreeAcctRetargetingFB-Animated-ChC_USA_1200x628_CAN_PLATFORM_English_Free Account_Standard_ANI_SINU_T3_2</v></cell><cell r="AJ4368"><v>103180880</v></cell></row><row r="4369"><cell r="C4369" t="str"><v>43312FACEBOOK»USA-Trial-ITD-Retargeting-AZR-AZR»1 x 1»SocialBan»LIA»ALL»CPA»RT»X»NA»SS»NA»FreeAcctRetargetingFB-Credit-ChA»PRC1RV</v></cell><cell r="D4369" t="str"><v>43312224106075</v></cell><cell r="E4369" t="str"><v>43312103034917PRC1RV</v></cell><cell r="F4369" t="str"><v>DCM</v></cell><cell r="G4369" t="str"><v>https://azure.microsoft.com/en-us/free/search/?OCID=AID%eexcid!_OLA_%ebuy!_%epid!_%ecid!</v></cell></row><row r="4369"><cell r="K4369" t="str"><v>July</v></cell><cell r="L4369"><v>43316</v></cell><cell r="M4369" t="str"><v>Tier 0</v></cell><cell r="N4369" t="str"><v>North America</v></cell><cell r="O4369" t="str"><v>United States</v></cell><cell r="P4369" t="str"><v>Trial</v></cell><cell r="Q4369" t="str"><v>Social</v></cell><cell r="R4369" t="str"><v>Azure</v></cell><cell r="S4369" t="str"><v>Apps & Infra</v></cell><cell r="T4369" t="str"><v>Developers & ITI's</v></cell><cell r="U4369" t="str"><v>USA-Trial-ITD-Retargeting-AZR-AZR</v></cell><cell r="V4369" t="str"><v>Retargeting</v></cell><cell r="W4369" t="str"><v>Link Ad</v></cell><cell r="X4369" t="str"><v>1x1</v></cell></row><row r="4369"><cell r="AA4369"><v>43312</v></cell><cell r="AB4369" t="str"><v>USA_gaPMG_AZR_AZR_Q1_19_Direct-Social</v></cell><cell r="AC4369"><v>21358715</v></cell><cell r="AD4369"><v>720197</v></cell><cell r="AE4369" t="str"><v>Facebook</v></cell><cell r="AF4369"><v>3654128</v></cell><cell r="AG4369" t="str"><v>FACEBOOK»USA-Trial-ITD-Retargeting-AZR-AZR»1 x 1»SocialBan»LIA»ALL»CPA»RT»X»NA»SS»NA»FreeAcctRetargetingFB-Credit-ChA»PRC1RV</v></cell><cell r="AH4369"><v>224106075</v></cell><cell r="AI4369" t="str"><v>AzurePlatform_FreeAcctRetargetingFB-Credit-ChA_USA_1200x628_CAN_PLATFORM_English_Free Account_Standard_NA_SINU_T1_2</v></cell><cell r="AJ4369"><v>103034917</v></cell></row><row r="4370"><cell r="C4370" t="str"><v>43312FACEBOOK»USA-Trial-ITD-Retargeting-AZR-AZR»1 x 1»SocialBan»LIA»ALL»CPA»RT»X»NA»SS»NA»FreeAcctRetargetingFB-GlobalAlt-ChB»PRC1RW</v></cell><cell r="D4370" t="str"><v>43312223862756</v></cell><cell r="E4370" t="str"><v>43312103180592PRC1RW</v></cell><cell r="F4370" t="str"><v>DCM</v></cell><cell r="G4370" t="str"><v>https://azure.microsoft.com/en-us/free/search/?OCID=AID%eexcid!_OLA_%ebuy!_%epid!_%ecid!</v></cell></row><row r="4370"><cell r="K4370" t="str"><v>July</v></cell><cell r="L4370"><v>43316</v></cell><cell r="M4370" t="str"><v>Tier 0</v></cell><cell r="N4370" t="str"><v>North America</v></cell><cell r="O4370" t="str"><v>United States</v></cell><cell r="P4370" t="str"><v>Trial</v></cell><cell r="Q4370" t="str"><v>Social</v></cell><cell r="R4370" t="str"><v>Azure</v></cell><cell r="S4370" t="str"><v>Apps & Infra</v></cell><cell r="T4370" t="str"><v>Developers & ITI's</v></cell><cell r="U4370" t="str"><v>USA-Trial-ITD-Retargeting-AZR-AZR</v></cell><cell r="V4370" t="str"><v>Retargeting</v></cell><cell r="W4370" t="str"><v>Link Ad</v></cell><cell r="X4370" t="str"><v>1x1</v></cell></row><row r="4370"><cell r="AA4370"><v>43312</v></cell><cell r="AB4370" t="str"><v>USA_gaPMG_AZR_AZR_Q1_19_Direct-Social</v></cell><cell r="AC4370"><v>21358715</v></cell><cell r="AD4370"><v>720197</v></cell><cell r="AE4370" t="str"><v>Facebook</v></cell><cell r="AF4370"><v>3654128</v></cell><cell r="AG4370" t="str"><v>FACEBOOK»USA-Trial-ITD-Retargeting-AZR-AZR»1 x 1»SocialBan»LIA»ALL»CPA»RT»X»NA»SS»NA»FreeAcctRetargetingFB-GlobalAlt-ChB»PRC1RW</v></cell><cell r="AH4370"><v>223862756</v></cell><cell r="AI4370" t="str"><v>AzurePlatform_FreeAcctRetargetingFB-GlobalAlt-ChB_USA_1200x628_CAN_PLATFORM_English_Free Account_Standard_NA_SINU_T2_1</v></cell><cell r="AJ4370"><v>103180592</v></cell></row><row r="4371"><cell r="C4371" t="str"><v>43312FACEBOOK»USA-Trial-ITD-Retargeting-AZR-AZR»1 x 1»SocialBan»LIA»ALL»CPA»RT»X»NA»SS»NA»FreeAcctRetargetingVMFB-750Hrs-ChD»PRC1RY</v></cell><cell r="D4371" t="str"><v>43312223862747</v></cell><cell r="E4371" t="str"><v>43312103034911PRC1RY</v></cell><cell r="F4371" t="str"><v>DCM</v></cell><cell r="G4371" t="str"><v>https://azure.microsoft.com/en-us/free/virtual-machines/search/?OCID=AID%eexcid!_OLA_%ebuy!_%epid!_%ecid!</v></cell></row><row r="4371"><cell r="K4371" t="str"><v>July</v></cell><cell r="L4371"><v>43316</v></cell><cell r="M4371" t="str"><v>Tier 0</v></cell><cell r="N4371" t="str"><v>North America</v></cell><cell r="O4371" t="str"><v>United States</v></cell><cell r="P4371" t="str"><v>Trial</v></cell><cell r="Q4371" t="str"><v>Social</v></cell><cell r="R4371" t="str"><v>Azure</v></cell><cell r="S4371" t="str"><v>Apps & Infra</v></cell><cell r="T4371" t="str"><v>Developers & ITI's</v></cell><cell r="U4371" t="str"><v>USA-Trial-ITD-Retargeting-AZR-AZR</v></cell><cell r="V4371" t="str"><v>Retargeting</v></cell><cell r="W4371" t="str"><v>Link Ad</v></cell><cell r="X4371" t="str"><v>1x1</v></cell></row><row r="4371"><cell r="AA4371"><v>43312</v></cell><cell r="AB4371" t="str"><v>USA_gaPMG_AZR_AZR_Q1_19_Direct-Social</v></cell><cell r="AC4371"><v>21358715</v></cell><cell r="AD4371"><v>720197</v></cell><cell r="AE4371" t="str"><v>Facebook</v></cell><cell r="AF4371"><v>3654128</v></cell><cell r="AG4371" t="str"><v>FACEBOOK»USA-Trial-ITD-Retargeting-AZR-AZR»1 x 1»SocialBan»LIA»ALL»CPA»RT»X»NA»SS»NA»FreeAcctRetargetingVMFB-750Hrs-ChD»PRC1RY</v></cell><cell r="AH4371"><v>223862747</v></cell><cell r="AI4371" t="str"><v>AzurePlatform_FreeAcctRetargetingVMFB-750Hrs-ChD_USA_1200x628_CAN_PLATFORM_English_Free Account_Standard_NA_SINU_T1_1</v></cell><cell r="AJ4371"><v>103034911</v></cell></row><row r="4372"><cell r="C4372" t="str"><v>43312FACEBOOK»USA-Trial-ITD-Retargeting-AZR-AZR»1 x 1»SocialBan»LIA»ALL»CPA»RT»X»NA»SS»NA»FreeAcctRetargetingVMFB-OnDemand-ChE»PRC1S0</v></cell><cell r="D4372" t="str"><v>43312224104899</v></cell><cell r="E4372" t="str"><v>43312103180610PRC1S0</v></cell><cell r="F4372" t="str"><v>DCM</v></cell><cell r="G4372" t="str"><v>https://azure.microsoft.com/en-us/free/virtual-machines/search/?OCID=AID%eexcid!_OLA_%ebuy!_%epid!_%ecid!</v></cell></row><row r="4372"><cell r="K4372" t="str"><v>July</v></cell><cell r="L4372"><v>43316</v></cell><cell r="M4372" t="str"><v>Tier 0</v></cell><cell r="N4372" t="str"><v>North America</v></cell><cell r="O4372" t="str"><v>United States</v></cell><cell r="P4372" t="str"><v>Trial</v></cell><cell r="Q4372" t="str"><v>Social</v></cell><cell r="R4372" t="str"><v>Azure</v></cell><cell r="S4372" t="str"><v>Apps & Infra</v></cell><cell r="T4372" t="str"><v>Developers & ITI's</v></cell><cell r="U4372" t="str"><v>USA-Trial-ITD-Retargeting-AZR-AZR</v></cell><cell r="V4372" t="str"><v>Retargeting</v></cell><cell r="W4372" t="str"><v>Link Ad</v></cell><cell r="X4372" t="str"><v>1x1</v></cell></row><row r="4372"><cell r="AA4372"><v>43312</v></cell><cell r="AB4372" t="str"><v>USA_gaPMG_AZR_AZR_Q1_19_Direct-Social</v></cell><cell r="AC4372"><v>21358715</v></cell><cell r="AD4372"><v>720197</v></cell><cell r="AE4372" t="str"><v>Facebook</v></cell><cell r="AF4372"><v>3654128</v></cell><cell r="AG4372" t="str"><v>FACEBOOK»USA-Trial-ITD-Retargeting-AZR-AZR»1 x 1»SocialBan»LIA»ALL»CPA»RT»X»NA»SS»NA»FreeAcctRetargetingVMFB-OnDemand-ChE»PRC1S0</v></cell><cell r="AH4372"><v>224104899</v></cell><cell r="AI4372" t="str"><v>AzurePlatform_FreeAcctRetargetingVMFB-OnDemand-ChE_USA_1200x628_CAN_PLATFORM_English_Free Account_Standard_NA_SINU_T2_1</v></cell><cell r="AJ4372"><v>103180610</v></cell></row><row r="4373"><cell r="C4373" t="str"><v>43312FACEBOOK»USA-Trial-ITD-Retargeting-AZR-AZR»1 x 1»SocialBan»CAN»ALL»CPA»RT»X»NA»SS»NA»FBCTCBenefit2inMotion»PRC1RR</v></cell><cell r="D4373" t="str"><v>43312224104896</v></cell><cell r="E4373" t="str"><v>43312103043835PRC1RR</v></cell><cell r="F4373" t="str"><v>DCM</v></cell><cell r="G4373" t="str"><v>https://signup.azure.com/?OCID=AID%eexcid!_OLA_%ebuy!_%epid!_%ecid!</v></cell></row><row r="4373"><cell r="K4373" t="str"><v>July</v></cell><cell r="L4373"><v>43316</v></cell><cell r="M4373" t="str"><v>Tier 0</v></cell><cell r="N4373" t="str"><v>North America</v></cell><cell r="O4373" t="str"><v>United States</v></cell><cell r="P4373" t="str"><v>Trial</v></cell><cell r="Q4373" t="str"><v>Social</v></cell><cell r="R4373" t="str"><v>Azure</v></cell><cell r="S4373" t="str"><v>Apps & Infra</v></cell><cell r="T4373" t="str"><v>Developers & ITI's</v></cell><cell r="U4373" t="str"><v>USA-Trial-ITD-Retargeting-AZR-AZR</v></cell><cell r="V4373" t="str"><v>Retargeting</v></cell><cell r="W4373" t="str"><v>Canvas Ad</v></cell><cell r="X4373" t="str"><v>1x1</v></cell></row><row r="4373"><cell r="AA4373"><v>43312</v></cell><cell r="AB4373" t="str"><v>USA_gaPMG_AZR_AZR_Q1_19_Direct-Social</v></cell><cell r="AC4373"><v>21358715</v></cell><cell r="AD4373"><v>720197</v></cell><cell r="AE4373" t="str"><v>Facebook</v></cell><cell r="AF4373"><v>3654128</v></cell><cell r="AG4373" t="str"><v>FACEBOOK»USA-Trial-ITD-Retargeting-AZR-AZR»1 x 1»SocialBan»CAN»ALL»CPA»RT»X»NA»SS»NA»FBCTCBenefit2inMotion»PRC1RR</v></cell><cell r="AH4373"><v>224104896</v></cell><cell r="AI4373" t="str"><v>AzurePlatform_FBCTCBenefit2inMotion_USA_10s_CAN_PLATFORM_English_Trial_Standard_STAN_TIN_T4_1</v></cell><cell r="AJ4373"><v>103043835</v></cell></row><row r="4374"><cell r="C4374" t="str"><v>43312FACEBOOK»USA-Trial-ITD-Retargeting-AZR-AZR»1 x 1»SocialBan»CAN»ALL»CPA»RT»X»NA»SS»NA»FBCTCBenefit2inMotion»PRC1RR</v></cell><cell r="D4374" t="str"><v>43312224104896</v></cell><cell r="E4374" t="str"><v>43312103178645PRC1RR</v></cell><cell r="F4374" t="str"><v>DCM</v></cell><cell r="G4374" t="str"><v>https://azure.microsoft.com/en-us/pricing/purchase-options/?v=18.19&OCID=AID%eexcid!_OLA_%ebuy!_%epid!_%ecid!</v></cell></row><row r="4374"><cell r="K4374" t="str"><v>July</v></cell><cell r="L4374"><v>43316</v></cell><cell r="M4374" t="str"><v>Tier 0</v></cell><cell r="N4374" t="str"><v>North America</v></cell><cell r="O4374" t="str"><v>United States</v></cell><cell r="P4374" t="str"><v>Trial</v></cell><cell r="Q4374" t="str"><v>Social</v></cell><cell r="R4374" t="str"><v>Azure</v></cell><cell r="S4374" t="str"><v>Apps & Infra</v></cell><cell r="T4374" t="str"><v>Developers & ITI's</v></cell><cell r="U4374" t="str"><v>USA-Trial-ITD-Retargeting-AZR-AZR</v></cell><cell r="V4374" t="str"><v>Retargeting</v></cell><cell r="W4374" t="str"><v>Canvas Ad</v></cell><cell r="X4374" t="str"><v>1x1</v></cell></row><row r="4374"><cell r="AA4374"><v>43312</v></cell><cell r="AB4374" t="str"><v>USA_gaPMG_AZR_AZR_Q1_19_Direct-Social</v></cell><cell r="AC4374"><v>21358715</v></cell><cell r="AD4374"><v>720197</v></cell><cell r="AE4374" t="str"><v>Facebook</v></cell><cell r="AF4374"><v>3654128</v></cell><cell r="AG4374" t="str"><v>FACEBOOK»USA-Trial-ITD-Retargeting-AZR-AZR»1 x 1»SocialBan»CAN»ALL»CPA»RT»X»NA»SS»NA»FBCTCBenefit2inMotion»PRC1RR</v></cell><cell r="AH4374"><v>224104896</v></cell><cell r="AI4374" t="str"><v>AzurePlatform_FBCTCBenefit2inMotion_USA_10s_CAN_PLATFORM_English_Trial_Standard_STAN_TIN_T4_2</v></cell><cell r="AJ4374"><v>103178645</v></cell></row><row r="4375"><cell r="C4375" t="str"><v>43312FACEBOOK»USA-Trial-ITD-Trial Lookalike-AZR-AZR»1 x 1»SocialBan»CAN»ALL»CPA»LAL»X»NA»SS»NA»FBCTCBenefit2inMotion»PRC1M0</v></cell><cell r="D4375" t="str"><v>43312223862927</v></cell><cell r="E4375" t="str"><v>43312103043835PRC1M0</v></cell><cell r="F4375" t="str"><v>DCM</v></cell><cell r="G4375" t="str"><v>https://signup.azure.com/?OCID=AID%eexcid!_OLA_%ebuy!_%epid!_%ecid!</v></cell></row><row r="4375"><cell r="K4375" t="str"><v>July</v></cell><cell r="L4375"><v>43316</v></cell><cell r="M4375" t="str"><v>Tier 0</v></cell><cell r="N4375" t="str"><v>North America</v></cell><cell r="O4375" t="str"><v>United States</v></cell><cell r="P4375" t="str"><v>Trial</v></cell><cell r="Q4375" t="str"><v>Social</v></cell><cell r="R4375" t="str"><v>Azure</v></cell><cell r="S4375" t="str"><v>Apps & Infra</v></cell><cell r="T4375" t="str"><v>Developers & ITI's</v></cell><cell r="U4375" t="str"><v>USA-Trial-ITD-Trial Lookalike-AZR-AZR</v></cell><cell r="V4375" t="str"><v>Lookalike Targeting</v></cell><cell r="W4375" t="str"><v>Canvas Ad</v></cell><cell r="X4375" t="str"><v>1x1</v></cell></row><row r="4375"><cell r="AA4375"><v>43312</v></cell><cell r="AB4375" t="str"><v>USA_gaPMG_AZR_AZR_Q1_19_Direct-Social</v></cell><cell r="AC4375"><v>21358715</v></cell><cell r="AD4375"><v>720197</v></cell><cell r="AE4375" t="str"><v>Facebook</v></cell><cell r="AF4375"><v>3654128</v></cell><cell r="AG4375" t="str"><v>FACEBOOK»USA-Trial-ITD-Trial Lookalike-AZR-AZR»1 x 1»SocialBan»CAN»ALL»CPA»LAL»X»NA»SS»NA»FBCTCBenefit2inMotion»PRC1M0</v></cell><cell r="AH4375"><v>223862927</v></cell><cell r="AI4375" t="str"><v>AzurePlatform_FBCTCBenefit2inMotion_USA_10s_CAN_PLATFORM_English_Trial_Standard_STAN_TIN_T4_1</v></cell><cell r="AJ4375"><v>103043835</v></cell></row><row r="4376"><cell r="C4376" t="str"><v>43312FACEBOOK»USA-Trial-ITD-Trial Lookalike-AZR-AZR»1 x 1»SocialBan»CAN»ALL»CPA»LAL»X»NA»SS»NA»FBCTCBenefit2inMotion»PRC1M0</v></cell><cell r="D4376" t="str"><v>43312223862927</v></cell><cell r="E4376" t="str"><v>43312103178645PRC1M0</v></cell><cell r="F4376" t="str"><v>DCM</v></cell><cell r="G4376" t="str"><v>https://azure.microsoft.com/en-us/pricing/purchase-options/?v=18.19&OCID=AID%eexcid!_OLA_%ebuy!_%epid!_%ecid!</v></cell></row><row r="4376"><cell r="K4376" t="str"><v>July</v></cell><cell r="L4376"><v>43316</v></cell><cell r="M4376" t="str"><v>Tier 0</v></cell><cell r="N4376" t="str"><v>North America</v></cell><cell r="O4376" t="str"><v>United States</v></cell><cell r="P4376" t="str"><v>Trial</v></cell><cell r="Q4376" t="str"><v>Social</v></cell><cell r="R4376" t="str"><v>Azure</v></cell><cell r="S4376" t="str"><v>Apps & Infra</v></cell><cell r="T4376" t="str"><v>Developers & ITI's</v></cell><cell r="U4376" t="str"><v>USA-Trial-ITD-Trial Lookalike-AZR-AZR</v></cell><cell r="V4376" t="str"><v>Lookalike Targeting</v></cell><cell r="W4376" t="str"><v>Canvas Ad</v></cell><cell r="X4376" t="str"><v>1x1</v></cell></row><row r="4376"><cell r="AA4376"><v>43312</v></cell><cell r="AB4376" t="str"><v>USA_gaPMG_AZR_AZR_Q1_19_Direct-Social</v></cell><cell r="AC4376"><v>21358715</v></cell><cell r="AD4376"><v>720197</v></cell><cell r="AE4376" t="str"><v>Facebook</v></cell><cell r="AF4376"><v>3654128</v></cell><cell r="AG4376" t="str"><v>FACEBOOK»USA-Trial-ITD-Trial Lookalike-AZR-AZR»1 x 1»SocialBan»CAN»ALL»CPA»LAL»X»NA»SS»NA»FBCTCBenefit2inMotion»PRC1M0</v></cell><cell r="AH4376"><v>223862927</v></cell><cell r="AI4376" t="str"><v>AzurePlatform_FBCTCBenefit2inMotion_USA_10s_CAN_PLATFORM_English_Trial_Standard_STAN_TIN_T4_2</v></cell><cell r="AJ4376"><v>103178645</v></cell></row><row r="4377"><cell r="C4377" t="str"><v>43312FACEBOOK»USA-Trial-ITD-Trial Lookalike-AZR-AZR»1 x 1»SocialBan»LIA»ALL»CPA»LAL»X»NA»SS»NA»FreeAcctDeveloperFB-AnimatedAI-Ch3»PRC1M7</v></cell><cell r="D4377" t="str"><v>43312223934104</v></cell><cell r="E4377" t="str"><v>43312103032778PRC1M7</v></cell><cell r="F4377" t="str"><v>DCM</v></cell></row><row r="4377"><cell r="K4377" t="str"><v>July</v></cell><cell r="L4377"><v>43316</v></cell><cell r="M4377" t="str"><v>Tier 0</v></cell><cell r="N4377" t="str"><v>North America</v></cell><cell r="O4377" t="str"><v>United States</v></cell><cell r="P4377" t="str"><v>Trial</v></cell><cell r="Q4377" t="str"><v>Social</v></cell><cell r="R4377" t="str"><v>Azure</v></cell><cell r="S4377" t="str"><v>Apps & Infra</v></cell><cell r="T4377" t="str"><v>Developers & ITI's</v></cell><cell r="U4377" t="str"><v>USA-Trial-ITD-Trial Lookalike-AZR-AZR</v></cell><cell r="V4377" t="str"><v>Lookalike Targeting</v></cell><cell r="W4377" t="str"><v>Link Ad</v></cell><cell r="X4377" t="str"><v>1x1</v></cell></row><row r="4377"><cell r="AA4377"><v>43312</v></cell><cell r="AB4377" t="str"><v>USA_gaPMG_AZR_AZR_Q1_19_Direct-Social</v></cell><cell r="AC4377"><v>21358715</v></cell><cell r="AD4377"><v>720197</v></cell><cell r="AE4377" t="str"><v>Facebook</v></cell><cell r="AF4377"><v>3654128</v></cell><cell r="AG4377" t="str"><v>FACEBOOK»USA-Trial-ITD-Trial Lookalike-AZR-AZR»1 x 1»SocialBan»LIA»ALL»CPA»LAL»X»NA»SS»NA»FreeAcctDeveloperFB-AnimatedAI-Ch3»PRC1M7</v></cell><cell r="AH4377"><v>223934104</v></cell><cell r="AI4377" t="str"><v>AZR_FreeAcctDeveloperFB-AnimatedAI-Ch3_USA_1200x1200_CAN_Direct_English_Trial_Standard_ANI_LEA_T3_1</v></cell><cell r="AJ4377"><v>103032778</v></cell></row><row r="4378"><cell r="C4378" t="str"><v>43312FACEBOOK»USA-Trial-ITD-Trial Lookalike-AZR-AZR»1 x 1»SocialBan»LIA»ALL»CPA»LAL»X»NA»SS»NA»FreeAcctDeveloperFB-AnimatedData-Ch4»PRC1M8</v></cell><cell r="D4378" t="str"><v>43312223862933</v></cell><cell r="E4378" t="str"><v>43312103037935PRC1M8</v></cell><cell r="F4378" t="str"><v>DCM</v></cell></row><row r="4378"><cell r="K4378" t="str"><v>July</v></cell><cell r="L4378"><v>43316</v></cell><cell r="M4378" t="str"><v>Tier 0</v></cell><cell r="N4378" t="str"><v>North America</v></cell><cell r="O4378" t="str"><v>United States</v></cell><cell r="P4378" t="str"><v>Trial</v></cell><cell r="Q4378" t="str"><v>Social</v></cell><cell r="R4378" t="str"><v>Azure</v></cell><cell r="S4378" t="str"><v>Apps & Infra</v></cell><cell r="T4378" t="str"><v>Developers & ITI's</v></cell><cell r="U4378" t="str"><v>USA-Trial-ITD-Trial Lookalike-AZR-AZR</v></cell><cell r="V4378" t="str"><v>Lookalike Targeting</v></cell><cell r="W4378" t="str"><v>Link Ad</v></cell><cell r="X4378" t="str"><v>1x1</v></cell></row><row r="4378"><cell r="AA4378"><v>43312</v></cell><cell r="AB4378" t="str"><v>USA_gaPMG_AZR_AZR_Q1_19_Direct-Social</v></cell><cell r="AC4378"><v>21358715</v></cell><cell r="AD4378"><v>720197</v></cell><cell r="AE4378" t="str"><v>Facebook</v></cell><cell r="AF4378"><v>3654128</v></cell><cell r="AG4378" t="str"><v>FACEBOOK»USA-Trial-ITD-Trial Lookalike-AZR-AZR»1 x 1»SocialBan»LIA»ALL»CPA»LAL»X»NA»SS»NA»FreeAcctDeveloperFB-AnimatedData-Ch4»PRC1M8</v></cell><cell r="AH4378"><v>223862933</v></cell><cell r="AI4378" t="str"><v>AZR_FreeAcctDeveloperFB-AnimatedData-Ch4_USA_1200x1200_CAN_Direct_English_Trial_Standard_ANI_LEA_T4_2</v></cell><cell r="AJ4378"><v>103037935</v></cell></row><row r="4379"><cell r="C4379" t="str"><v>43312FACEBOOK»USA-Trial-ITD-Trial Lookalike-AZR-AZR»1 x 1»SocialBan»LIA»ALL»CPA»LAL»X»NA»SS»NA»FreeAcctITProFB-AnimatedHybrid-Ch2»PRC1MC</v></cell><cell r="D4379" t="str"><v>43312224104956</v></cell><cell r="E4379" t="str"><v>43312103180583PRC1MC</v></cell><cell r="F4379" t="str"><v>DCM</v></cell></row><row r="4379"><cell r="K4379" t="str"><v>July</v></cell><cell r="L4379"><v>43316</v></cell><cell r="M4379" t="str"><v>Tier 0</v></cell><cell r="N4379" t="str"><v>North America</v></cell><cell r="O4379" t="str"><v>United States</v></cell><cell r="P4379" t="str"><v>Trial</v></cell><cell r="Q4379" t="str"><v>Social</v></cell><cell r="R4379" t="str"><v>Azure</v></cell><cell r="S4379" t="str"><v>Apps & Infra</v></cell><cell r="T4379" t="str"><v>Developers & ITI's</v></cell><cell r="U4379" t="str"><v>USA-Trial-ITD-Trial Lookalike-AZR-AZR</v></cell><cell r="V4379" t="str"><v>Lookalike Targeting</v></cell><cell r="W4379" t="str"><v>Link Ad</v></cell><cell r="X4379" t="str"><v>1x1</v></cell></row><row r="4379"><cell r="AA4379"><v>43312</v></cell><cell r="AB4379" t="str"><v>USA_gaPMG_AZR_AZR_Q1_19_Direct-Social</v></cell><cell r="AC4379"><v>21358715</v></cell><cell r="AD4379"><v>720197</v></cell><cell r="AE4379" t="str"><v>Facebook</v></cell><cell r="AF4379"><v>3654128</v></cell><cell r="AG4379" t="str"><v>FACEBOOK»USA-Trial-ITD-Trial Lookalike-AZR-AZR»1 x 1»SocialBan»LIA»ALL»CPA»LAL»X»NA»SS»NA»FreeAcctITProFB-AnimatedHybrid-Ch2»PRC1MC</v></cell><cell r="AH4379"><v>224104956</v></cell><cell r="AI4379" t="str"><v>AZR_FreeAcctITProFB-AnimatedHybrid-Ch2_USA_1200x1200_CAN_Direct_English_Trial_Standard_ANI_LEA_T2_2</v></cell><cell r="AJ4379"><v>103180583</v></cell></row><row r="4380"><cell r="C4380" t="str"><v>43312FACEBOOK»USA-Trial-ITD-Trial Lookalike-AZR-AZR»1 x 1»SocialBan»CAN»ALL»CPA»LAL»X»NA»SS»NA»FBCTCBrandinMotion»PRC1M3</v></cell><cell r="D4380" t="str"><v>43312223862900</v></cell><cell r="E4380" t="str"><v>43312103176812PRC1M3</v></cell><cell r="F4380" t="str"><v>DCM</v></cell><cell r="G4380" t="str"><v>https://signup.azure.com/?OCID=AID%eexcid!_OLA_%ebuy!_%epid!_%ecid!</v></cell></row><row r="4380"><cell r="K4380" t="str"><v>July</v></cell><cell r="L4380"><v>43316</v></cell><cell r="M4380" t="str"><v>Tier 0</v></cell><cell r="N4380" t="str"><v>North America</v></cell><cell r="O4380" t="str"><v>United States</v></cell><cell r="P4380" t="str"><v>Trial</v></cell><cell r="Q4380" t="str"><v>Social</v></cell><cell r="R4380" t="str"><v>Azure</v></cell><cell r="S4380" t="str"><v>Apps & Infra</v></cell><cell r="T4380" t="str"><v>Developers & ITI's</v></cell><cell r="U4380" t="str"><v>USA-Trial-ITD-Trial Lookalike-AZR-AZR</v></cell><cell r="V4380" t="str"><v>Lookalike Targeting</v></cell><cell r="W4380" t="str"><v>Canvas Ad</v></cell><cell r="X4380" t="str"><v>1x1</v></cell></row><row r="4380"><cell r="AA4380"><v>43312</v></cell><cell r="AB4380" t="str"><v>USA_gaPMG_AZR_AZR_Q1_19_Direct-Social</v></cell><cell r="AC4380"><v>21358715</v></cell><cell r="AD4380"><v>720197</v></cell><cell r="AE4380" t="str"><v>Facebook</v></cell><cell r="AF4380"><v>3654128</v></cell><cell r="AG4380" t="str"><v>FACEBOOK»USA-Trial-ITD-Trial Lookalike-AZR-AZR»1 x 1»SocialBan»CAN»ALL»CPA»LAL»X»NA»SS»NA»FBCTCBrandinMotion»PRC1M3</v></cell><cell r="AH4380"><v>223862900</v></cell><cell r="AI4380" t="str"><v>AzurePlatform_FBCTCBrandinMotion_USA_10s_CAN_PLATFORM_English_Trial_Standard_STAN_TIN_T2_1</v></cell><cell r="AJ4380"><v>103176812</v></cell></row><row r="4381"><cell r="C4381" t="str"><v>43312FACEBOOK»USA-Trial-ITD-Trial Lookalike-AZR-AZR»1 x 1»SocialBan»CAN»ALL»CPA»LAL»X»NA»SS»NA»FBCTCBrandinMotion»PRC1M3</v></cell><cell r="D4381" t="str"><v>43312223862900</v></cell><cell r="E4381" t="str"><v>43312103032823PRC1M3</v></cell><cell r="F4381" t="str"><v>DCM</v></cell><cell r="G4381" t="str"><v>https://azure.microsoft.com/en-us/pricing/purchase-options/?v=18.19&OCID=AID%eexcid!_OLA_%ebuy!_%epid!_%ecid!</v></cell></row><row r="4381"><cell r="K4381" t="str"><v>July</v></cell><cell r="L4381"><v>43316</v></cell><cell r="M4381" t="str"><v>Tier 0</v></cell><cell r="N4381" t="str"><v>North America</v></cell><cell r="O4381" t="str"><v>United States</v></cell><cell r="P4381" t="str"><v>Trial</v></cell><cell r="Q4381" t="str"><v>Social</v></cell><cell r="R4381" t="str"><v>Azure</v></cell><cell r="S4381" t="str"><v>Apps & Infra</v></cell><cell r="T4381" t="str"><v>Developers & ITI's</v></cell><cell r="U4381" t="str"><v>USA-Trial-ITD-Trial Lookalike-AZR-AZR</v></cell><cell r="V4381" t="str"><v>Lookalike Targeting</v></cell><cell r="W4381" t="str"><v>Canvas Ad</v></cell><cell r="X4381" t="str"><v>1x1</v></cell></row><row r="4381"><cell r="AA4381"><v>43312</v></cell><cell r="AB4381" t="str"><v>USA_gaPMG_AZR_AZR_Q1_19_Direct-Social</v></cell><cell r="AC4381"><v>21358715</v></cell><cell r="AD4381"><v>720197</v></cell><cell r="AE4381" t="str"><v>Facebook</v></cell><cell r="AF4381"><v>3654128</v></cell><cell r="AG4381" t="str"><v>FACEBOOK»USA-Trial-ITD-Trial Lookalike-AZR-AZR»1 x 1»SocialBan»CAN»ALL»CPA»LAL»X»NA»SS»NA»FBCTCBrandinMotion»PRC1M3</v></cell><cell r="AH4381"><v>223862900</v></cell><cell r="AI4381" t="str"><v>AzurePlatform_FBCTCBrandinMotion_USA_10s_CAN_PLATFORM_English_Trial_Standard_STAN_TIN_T2_2</v></cell><cell r="AJ4381"><v>103032823</v></cell></row><row r="4382"><cell r="C4382" t="str"><v>43312FACEBOOK»USA-Trial-ITD-Trial PayGo Lookalike-AZR-AZR»1 x 1»SocialBan»CAN»ALL»CPA»LAL»X»NA»SS»NA»FBCTCBenefit2inMotion»PRC1Q1</v></cell><cell r="D4382" t="str"><v>43312224104986</v></cell><cell r="E4382" t="str"><v>43312103178645PRC1Q1</v></cell><cell r="F4382" t="str"><v>DCM</v></cell><cell r="G4382" t="str"><v>https://azure.microsoft.com/en-us/pricing/purchase-options/?v=18.19&OCID=AID%eexcid!_OLA_%ebuy!_%epid!_%ecid!</v></cell></row><row r="4382"><cell r="K4382" t="str"><v>July</v></cell><cell r="L4382"><v>43316</v></cell><cell r="M4382" t="str"><v>Tier 0</v></cell><cell r="N4382" t="str"><v>North America</v></cell><cell r="O4382" t="str"><v>United States</v></cell><cell r="P4382" t="str"><v>Trial</v></cell><cell r="Q4382" t="str"><v>Social</v></cell><cell r="R4382" t="str"><v>Azure</v></cell><cell r="S4382" t="str"><v>Apps & Infra</v></cell><cell r="T4382" t="str"><v>Developers & ITI's</v></cell><cell r="U4382" t="str"><v>USA-Trial-ITD-Trial PayGo Lookalike-AZR-AZR</v></cell><cell r="V4382" t="str"><v>Lookalike Targeting</v></cell><cell r="W4382" t="str"><v>Canvas Ad</v></cell><cell r="X4382" t="str"><v>1x1</v></cell></row><row r="4382"><cell r="AA4382"><v>43312</v></cell><cell r="AB4382" t="str"><v>USA_gaPMG_AZR_AZR_Q1_19_Direct-Social</v></cell><cell r="AC4382"><v>21358715</v></cell><cell r="AD4382"><v>720197</v></cell><cell r="AE4382" t="str"><v>Facebook</v></cell><cell r="AF4382"><v>3654128</v></cell><cell r="AG4382" t="str"><v>FACEBOOK»USA-Trial-ITD-Trial PayGo Lookalike-AZR-AZR»1 x 1»SocialBan»CAN»ALL»CPA»LAL»X»NA»SS»NA»FBCTCBenefit2inMotion»PRC1Q1</v></cell><cell r="AH4382"><v>224104986</v></cell><cell r="AI4382" t="str"><v>AzurePlatform_FBCTCBenefit2inMotion_USA_10s_CAN_PLATFORM_English_Trial_Standard_STAN_TIN_T4_2</v></cell><cell r="AJ4382"><v>103178645</v></cell></row><row r="4383"><cell r="C4383" t="str"><v>43312FACEBOOK»USA-Trial-ITD-Trial PayGo Lookalike-AZR-AZR»1 x 1»SocialBan»CAN»ALL»CPA»LAL»X»NA»SS»NA»FBCTCBrandinMotion»PRC1Q3</v></cell><cell r="D4383" t="str"><v>43312223935349</v></cell><cell r="E4383" t="str"><v>43312103176812PRC1Q3</v></cell><cell r="F4383" t="str"><v>DCM</v></cell><cell r="G4383" t="str"><v>https://signup.azure.com/?OCID=AID%eexcid!_OLA_%ebuy!_%epid!_%ecid!</v></cell></row><row r="4383"><cell r="K4383" t="str"><v>July</v></cell><cell r="L4383"><v>43316</v></cell><cell r="M4383" t="str"><v>Tier 0</v></cell><cell r="N4383" t="str"><v>North America</v></cell><cell r="O4383" t="str"><v>United States</v></cell><cell r="P4383" t="str"><v>Trial</v></cell><cell r="Q4383" t="str"><v>Social</v></cell><cell r="R4383" t="str"><v>Azure</v></cell><cell r="S4383" t="str"><v>Apps & Infra</v></cell><cell r="T4383" t="str"><v>Developers & ITI's</v></cell><cell r="U4383" t="str"><v>USA-Trial-ITD-Trial PayGo Lookalike-AZR-AZR</v></cell><cell r="V4383" t="str"><v>Lookalike Targeting</v></cell><cell r="W4383" t="str"><v>Canvas Ad</v></cell><cell r="X4383" t="str"><v>1x1</v></cell></row><row r="4383"><cell r="AA4383"><v>43312</v></cell><cell r="AB4383" t="str"><v>USA_gaPMG_AZR_AZR_Q1_19_Direct-Social</v></cell><cell r="AC4383"><v>21358715</v></cell><cell r="AD4383"><v>720197</v></cell><cell r="AE4383" t="str"><v>Facebook</v></cell><cell r="AF4383"><v>3654128</v></cell><cell r="AG4383" t="str"><v>FACEBOOK»USA-Trial-ITD-Trial PayGo Lookalike-AZR-AZR»1 x 1»SocialBan»CAN»ALL»CPA»LAL»X»NA»SS»NA»FBCTCBrandinMotion»PRC1Q3</v></cell><cell r="AH4383"><v>223935349</v></cell><cell r="AI4383" t="str"><v>AzurePlatform_FBCTCBrandinMotion_USA_10s_CAN_PLATFORM_English_Trial_Standard_STAN_TIN_T2_1</v></cell><cell r="AJ4383"><v>103176812</v></cell></row><row r="4384"><cell r="C4384" t="str"><v>43312FACEBOOK»USA-Trial-ITD-Trial PayGo Lookalike-AZR-AZR»1 x 1»SocialBan»CAN»ALL»CPA»LAL»X»NA»SS»NA»FBCTCBrandinMotion»PRC1Q3</v></cell><cell r="D4384" t="str"><v>43312223935349</v></cell><cell r="E4384" t="str"><v>43312103032823PRC1Q3</v></cell><cell r="F4384" t="str"><v>DCM</v></cell><cell r="G4384" t="str"><v>https://azure.microsoft.com/en-us/pricing/purchase-options/?v=18.19&OCID=AID%eexcid!_OLA_%ebuy!_%epid!_%ecid!</v></cell></row><row r="4384"><cell r="K4384" t="str"><v>July</v></cell><cell r="L4384"><v>43316</v></cell><cell r="M4384" t="str"><v>Tier 0</v></cell><cell r="N4384" t="str"><v>North America</v></cell><cell r="O4384" t="str"><v>United States</v></cell><cell r="P4384" t="str"><v>Trial</v></cell><cell r="Q4384" t="str"><v>Social</v></cell><cell r="R4384" t="str"><v>Azure</v></cell><cell r="S4384" t="str"><v>Apps & Infra</v></cell><cell r="T4384" t="str"><v>Developers & ITI's</v></cell><cell r="U4384" t="str"><v>USA-Trial-ITD-Trial PayGo Lookalike-AZR-AZR</v></cell><cell r="V4384" t="str"><v>Lookalike Targeting</v></cell><cell r="W4384" t="str"><v>Canvas Ad</v></cell><cell r="X4384" t="str"><v>1x1</v></cell></row><row r="4384"><cell r="AA4384"><v>43312</v></cell><cell r="AB4384" t="str"><v>USA_gaPMG_AZR_AZR_Q1_19_Direct-Social</v></cell><cell r="AC4384"><v>21358715</v></cell><cell r="AD4384"><v>720197</v></cell><cell r="AE4384" t="str"><v>Facebook</v></cell><cell r="AF4384"><v>3654128</v></cell><cell r="AG4384" t="str"><v>FACEBOOK»USA-Trial-ITD-Trial PayGo Lookalike-AZR-AZR»1 x 1»SocialBan»CAN»ALL»CPA»LAL»X»NA»SS»NA»FBCTCBrandinMotion»PRC1Q3</v></cell><cell r="AH4384"><v>223935349</v></cell><cell r="AI4384" t="str"><v>AzurePlatform_FBCTCBrandinMotion_USA_10s_CAN_PLATFORM_English_Trial_Standard_STAN_TIN_T2_2</v></cell><cell r="AJ4384"><v>103032823</v></cell></row><row r="4385"><cell r="C4385" t="str"><v>43312FACEBOOK»USA-Trial-ITD-Trial PayGo Lookalike-AZR-AZR»1 x 1»SocialBan»LIA»ALL»CPA»LAL»X»NA»SS»NA»FreeAcctDeveloperFB-AnimatedGeneric-Ch1»PRC1Q6</v></cell><cell r="D4385" t="str"><v>43312224106129</v></cell><cell r="E4385" t="str"><v>43312103176851PRC1Q6</v></cell><cell r="F4385" t="str"><v>DCM</v></cell><cell r="G4385" t="str"><v>https://azure.microsoft.com/en-us/free/search/?OCID=AID%eexcid!_OLA_%ebuy!_%epid!_%ecid!</v></cell></row><row r="4385"><cell r="K4385" t="str"><v>July</v></cell><cell r="L4385"><v>43316</v></cell><cell r="M4385" t="str"><v>Tier 0</v></cell><cell r="N4385" t="str"><v>North America</v></cell><cell r="O4385" t="str"><v>United States</v></cell><cell r="P4385" t="str"><v>Trial</v></cell><cell r="Q4385" t="str"><v>Social</v></cell><cell r="R4385" t="str"><v>Azure</v></cell><cell r="S4385" t="str"><v>Apps & Infra</v></cell><cell r="T4385" t="str"><v>Developers & ITI's</v></cell><cell r="U4385" t="str"><v>USA-Trial-ITD-Trial PayGo Lookalike-AZR-AZR</v></cell><cell r="V4385" t="str"><v>Lookalike Targeting</v></cell><cell r="W4385" t="str"><v>Link Ad</v></cell><cell r="X4385" t="str"><v>1x1</v></cell></row><row r="4385"><cell r="AA4385"><v>43312</v></cell><cell r="AB4385" t="str"><v>USA_gaPMG_AZR_AZR_Q1_19_Direct-Social</v></cell><cell r="AC4385"><v>21358715</v></cell><cell r="AD4385"><v>720197</v></cell><cell r="AE4385" t="str"><v>Facebook</v></cell><cell r="AF4385"><v>3654128</v></cell><cell r="AG4385" t="str"><v>FACEBOOK»USA-Trial-ITD-Trial PayGo Lookalike-AZR-AZR»1 x 1»SocialBan»LIA»ALL»CPA»LAL»X»NA»SS»NA»FreeAcctDeveloperFB-AnimatedGeneric-Ch1»PRC1Q6</v></cell><cell r="AH4385"><v>224106129</v></cell><cell r="AI4385" t="str"><v>AZR_FreeAcctDeveloperFB-AnimatedGeneric-Ch1_USA_1200x1200_CAN_Direct_English_Trial_Standard_ANI_LEA_T1_2</v></cell><cell r="AJ4385"><v>103176851</v></cell></row><row r="4386"><cell r="C4386" t="str"><v>43312FACEBOOK»USA-Trial-ITD-Trial PayGo Lookalike-AZR-AZR»1 x 1»SocialBan»CCA»ALL»CPA»LAL»X»NA»SS»NA»Azure Developer Facebook Collections»PRSH6K</v></cell><cell r="D4386" t="str"><v>43312225217676</v></cell><cell r="E4386" t="str"><v>43312103776921PRSH6K</v></cell><cell r="F4386" t="str"><v>DCM</v></cell><cell r="G4386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386"><cell r="K4386" t="str"><v>July</v></cell><cell r="L4386"><v>43316</v></cell><cell r="M4386" t="str"><v>Tier 0</v></cell><cell r="N4386" t="str"><v>North America</v></cell><cell r="O4386" t="str"><v>United States</v></cell><cell r="P4386" t="str"><v>Trial</v></cell><cell r="Q4386" t="str"><v>Social</v></cell><cell r="R4386" t="str"><v>Azure</v></cell><cell r="S4386" t="str"><v>Apps & Infra</v></cell><cell r="T4386" t="str"><v>Developers & ITI's</v></cell><cell r="U4386" t="str"><v>USA-Trial-ITD-Trial PayGo Lookalike-AZR-AZR</v></cell><cell r="V4386" t="str"><v>Lookalike Targeting</v></cell><cell r="W4386" t="str"><v>Canvas Collection Ad</v></cell><cell r="X4386" t="str"><v>1x1</v></cell></row><row r="4386"><cell r="AA4386"><v>43312</v></cell><cell r="AB4386" t="str"><v>USA_gaPMG_AZR_AZR_Q1_19_Direct-Social</v></cell><cell r="AC4386"><v>21358715</v></cell><cell r="AD4386"><v>720197</v></cell><cell r="AE4386" t="str"><v>Facebook</v></cell><cell r="AF4386"><v>3654128</v></cell><cell r="AG4386" t="str"><v>FACEBOOK»USA-Trial-ITD-Trial PayGo Lookalike-AZR-AZR»1 x 1»SocialBan»CCA»ALL»CPA»LAL»X»NA»SS»NA»Azure Developer Facebook Collections»PRSH6K</v></cell><cell r="AH4386"><v>225217676</v></cell><cell r="AI4386" t="str"><v>AZR_FBCollections-FreeStuffTryAzureFreeCTA-Img5_USA_1200x182_SOC_Plat_EN_NA_Standard_NA_TIN_T1_5</v></cell><cell r="AJ4386"><v>103776921</v></cell></row><row r="4387"><cell r="C4387" t="str"><v>43312FACEBOOK»USA-Trial-ITD-Retargeting-AZR-AZR»1 x 1»SocialBan»CCA»ALL»CPA»RT»X»NA»SS»NA»Azure Developer Facebook Collections»PRSGY7</v></cell><cell r="D4387" t="str"><v>43312225283585</v></cell><cell r="E4387" t="str"><v>43312103773177PRSGY7</v></cell><cell r="F4387" t="str"><v>DCM</v></cell><cell r="G4387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387"><cell r="K4387" t="str"><v>July</v></cell><cell r="L4387"><v>43316</v></cell><cell r="M4387" t="str"><v>Tier 0</v></cell><cell r="N4387" t="str"><v>North America</v></cell><cell r="O4387" t="str"><v>United States</v></cell><cell r="P4387" t="str"><v>Trial</v></cell><cell r="Q4387" t="str"><v>Social</v></cell><cell r="R4387" t="str"><v>Azure</v></cell><cell r="S4387" t="str"><v>Apps & Infra</v></cell><cell r="T4387" t="str"><v>Developers & ITI's</v></cell><cell r="U4387" t="str"><v>USA-Trial-ITD-Retargeting-AZR-AZR</v></cell><cell r="V4387" t="str"><v>Retargeting</v></cell><cell r="W4387" t="str"><v>Canvas Collection Ad</v></cell><cell r="X4387" t="str"><v>1x1</v></cell></row><row r="4387"><cell r="AA4387"><v>43312</v></cell><cell r="AB4387" t="str"><v>USA_gaPMG_AZR_AZR_Q1_19_Direct-Social</v></cell><cell r="AC4387"><v>21358715</v></cell><cell r="AD4387"><v>720197</v></cell><cell r="AE4387" t="str"><v>Facebook</v></cell><cell r="AF4387"><v>3654128</v></cell><cell r="AG4387" t="str"><v>FACEBOOK»USA-Trial-ITD-Retargeting-AZR-AZR»1 x 1»SocialBan»CCA»ALL»CPA»RT»X»NA»SS»NA»Azure Developer Facebook Collections»PRSGY7</v></cell><cell r="AH4387"><v>225283585</v></cell><cell r="AI4387" t="str"><v>AZR_FBCollections-AITryAzureFreeCTA-Img2_USA_1200x182_SOC_Plat_EN_NA_Standard_NA_TIN_T1_2</v></cell><cell r="AJ4387"><v>103773177</v></cell></row><row r="4388"><cell r="C4388" t="str"><v>43312FACEBOOK»USA-Trial-ITD-Retargeting-AZR-AZR»1 x 1»SocialBan»CCA»ALL»CPA»RT»X»NA»SS»NA»Azure Developer Facebook Collections»PRSGY7</v></cell><cell r="D4388" t="str"><v>43312225283585</v></cell><cell r="E4388" t="str"><v>43312103776921PRSGY7</v></cell><cell r="F4388" t="str"><v>DCM</v></cell><cell r="G4388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388"><cell r="K4388" t="str"><v>July</v></cell><cell r="L4388"><v>43316</v></cell><cell r="M4388" t="str"><v>Tier 0</v></cell><cell r="N4388" t="str"><v>North America</v></cell><cell r="O4388" t="str"><v>United States</v></cell><cell r="P4388" t="str"><v>Trial</v></cell><cell r="Q4388" t="str"><v>Social</v></cell><cell r="R4388" t="str"><v>Azure</v></cell><cell r="S4388" t="str"><v>Apps & Infra</v></cell><cell r="T4388" t="str"><v>Developers & ITI's</v></cell><cell r="U4388" t="str"><v>USA-Trial-ITD-Retargeting-AZR-AZR</v></cell><cell r="V4388" t="str"><v>Retargeting</v></cell><cell r="W4388" t="str"><v>Canvas Collection Ad</v></cell><cell r="X4388" t="str"><v>1x1</v></cell></row><row r="4388"><cell r="AA4388"><v>43312</v></cell><cell r="AB4388" t="str"><v>USA_gaPMG_AZR_AZR_Q1_19_Direct-Social</v></cell><cell r="AC4388"><v>21358715</v></cell><cell r="AD4388"><v>720197</v></cell><cell r="AE4388" t="str"><v>Facebook</v></cell><cell r="AF4388"><v>3654128</v></cell><cell r="AG4388" t="str"><v>FACEBOOK»USA-Trial-ITD-Retargeting-AZR-AZR»1 x 1»SocialBan»CCA»ALL»CPA»RT»X»NA»SS»NA»Azure Developer Facebook Collections»PRSGY7</v></cell><cell r="AH4388"><v>225283585</v></cell><cell r="AI4388" t="str"><v>AZR_FBCollections-FreeStuffTryAzureFreeCTA-Img5_USA_1200x182_SOC_Plat_EN_NA_Standard_NA_TIN_T1_5</v></cell><cell r="AJ4388"><v>103776921</v></cell></row><row r="4389"><cell r="C4389" t="str"><v>43312FACEBOOK»USA-Trial-ITD-Retargeting-AZR-AZR»1 x 1»SocialBan»CCA»ALL»CPA»RT»X»NA»SS»NA»Azure Developer Facebook Collections»PRSGY7</v></cell><cell r="D4389" t="str"><v>43312225283585</v></cell><cell r="E4389" t="str"><v>43312103873631PRSGY7</v></cell><cell r="F4389" t="str"><v>DCM</v></cell><cell r="G438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389"><cell r="K4389" t="str"><v>July</v></cell><cell r="L4389"><v>43316</v></cell><cell r="M4389" t="str"><v>Tier 0</v></cell><cell r="N4389" t="str"><v>North America</v></cell><cell r="O4389" t="str"><v>United States</v></cell><cell r="P4389" t="str"><v>Trial</v></cell><cell r="Q4389" t="str"><v>Social</v></cell><cell r="R4389" t="str"><v>Azure</v></cell><cell r="S4389" t="str"><v>Apps & Infra</v></cell><cell r="T4389" t="str"><v>Developers & ITI's</v></cell><cell r="U4389" t="str"><v>USA-Trial-ITD-Retargeting-AZR-AZR</v></cell><cell r="V4389" t="str"><v>Retargeting</v></cell><cell r="W4389" t="str"><v>Canvas Collection Ad</v></cell><cell r="X4389" t="str"><v>1x1</v></cell></row><row r="4389"><cell r="AA4389"><v>43312</v></cell><cell r="AB4389" t="str"><v>USA_gaPMG_AZR_AZR_Q1_19_Direct-Social</v></cell><cell r="AC4389"><v>21358715</v></cell><cell r="AD4389"><v>720197</v></cell><cell r="AE4389" t="str"><v>Facebook</v></cell><cell r="AF4389"><v>3654128</v></cell><cell r="AG4389" t="str"><v>FACEBOOK»USA-Trial-ITD-Retargeting-AZR-AZR»1 x 1»SocialBan»CCA»ALL»CPA»RT»X»NA»SS»NA»Azure Developer Facebook Collections»PRSGY7</v></cell><cell r="AH4389"><v>225283585</v></cell><cell r="AI4389" t="str"><v>AZR_FBCollections-OSSTryAzureFreeCTA-Img3_USA_1200x182_SOC_Plat_EN_NA_Standard_NA_TIN_T1_3</v></cell><cell r="AJ4389"><v>103873631</v></cell></row><row r="4390"><cell r="C4390" t="str"><v>43312FACEBOOK»USA-Trial-ITD-Retargeting-AZR-AZR»1 x 1»SocialBan»CCA»ALL»CPA»RT»X»NA»SS»NA»Azure Developer Facebook Collections»PRSGY7</v></cell><cell r="D4390" t="str"><v>43312225283585</v></cell><cell r="E4390" t="str"><v>43312103773180PRSGY7</v></cell><cell r="F4390" t="str"><v>DCM</v></cell><cell r="G4390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390"><cell r="K4390" t="str"><v>July</v></cell><cell r="L4390"><v>43316</v></cell><cell r="M4390" t="str"><v>Tier 0</v></cell><cell r="N4390" t="str"><v>North America</v></cell><cell r="O4390" t="str"><v>United States</v></cell><cell r="P4390" t="str"><v>Trial</v></cell><cell r="Q4390" t="str"><v>Social</v></cell><cell r="R4390" t="str"><v>Azure</v></cell><cell r="S4390" t="str"><v>Apps & Infra</v></cell><cell r="T4390" t="str"><v>Developers & ITI's</v></cell><cell r="U4390" t="str"><v>USA-Trial-ITD-Retargeting-AZR-AZR</v></cell><cell r="V4390" t="str"><v>Retargeting</v></cell><cell r="W4390" t="str"><v>Canvas Collection Ad</v></cell><cell r="X4390" t="str"><v>1x1</v></cell></row><row r="4390"><cell r="AA4390"><v>43312</v></cell><cell r="AB4390" t="str"><v>USA_gaPMG_AZR_AZR_Q1_19_Direct-Social</v></cell><cell r="AC4390"><v>21358715</v></cell><cell r="AD4390"><v>720197</v></cell><cell r="AE4390" t="str"><v>Facebook</v></cell><cell r="AF4390"><v>3654128</v></cell><cell r="AG4390" t="str"><v>FACEBOOK»USA-Trial-ITD-Retargeting-AZR-AZR»1 x 1»SocialBan»CCA»ALL»CPA»RT»X»NA»SS»NA»Azure Developer Facebook Collections»PRSGY7</v></cell><cell r="AH4390"><v>225283585</v></cell><cell r="AI4390" t="str"><v>AZR_FBCollections-SmartDataTryAzureFreeCTA-Img4_USA_1200x182_SOC_Plat_EN_NA_Standard_NA_TIN_T1_4</v></cell><cell r="AJ4390"><v>103773180</v></cell></row><row r="4391"><cell r="C4391" t="str"><v>43312FACEBOOK»USA-Trial-ITD-Retargeting-AZR-AZR»1 x 1»SocialBan»CCA»ALL»CPA»RT»X»NA»SS»NA»Azure Developer Facebook Collections»PRSGY7</v></cell><cell r="D4391" t="str"><v>43312225283585</v></cell><cell r="E4391" t="str"><v>43312103874423PRSGY7</v></cell><cell r="F4391" t="str"><v>DCM</v></cell><cell r="G4391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391"><cell r="K4391" t="str"><v>July</v></cell><cell r="L4391"><v>43316</v></cell><cell r="M4391" t="str"><v>Tier 0</v></cell><cell r="N4391" t="str"><v>North America</v></cell><cell r="O4391" t="str"><v>United States</v></cell><cell r="P4391" t="str"><v>Trial</v></cell><cell r="Q4391" t="str"><v>Social</v></cell><cell r="R4391" t="str"><v>Azure</v></cell><cell r="S4391" t="str"><v>Apps & Infra</v></cell><cell r="T4391" t="str"><v>Developers & ITI's</v></cell><cell r="U4391" t="str"><v>USA-Trial-ITD-Retargeting-AZR-AZR</v></cell><cell r="V4391" t="str"><v>Retargeting</v></cell><cell r="W4391" t="str"><v>Canvas Collection Ad</v></cell><cell r="X4391" t="str"><v>1x1</v></cell></row><row r="4391"><cell r="AA4391"><v>43312</v></cell><cell r="AB4391" t="str"><v>USA_gaPMG_AZR_AZR_Q1_19_Direct-Social</v></cell><cell r="AC4391"><v>21358715</v></cell><cell r="AD4391"><v>720197</v></cell><cell r="AE4391" t="str"><v>Facebook</v></cell><cell r="AF4391"><v>3654128</v></cell><cell r="AG4391" t="str"><v>FACEBOOK»USA-Trial-ITD-Retargeting-AZR-AZR»1 x 1»SocialBan»CCA»ALL»CPA»RT»X»NA»SS»NA»Azure Developer Facebook Collections»PRSGY7</v></cell><cell r="AH4391"><v>225283585</v></cell><cell r="AI4391" t="str"><v>AZR_FBCollections-TryAzureFreeCTA-Img1_USA_1200x182_SOC_Plat_EN_NA_Standard_NA_TIN_T1_1</v></cell><cell r="AJ4391"><v>103874423</v></cell></row><row r="4392"><cell r="C4392" t="str"><v>43312FACEBOOK»USA-Trial-ITD-Interest Prospecting-AZR-AZR»1 x 1»SocialBan»LIA»ALL»CPA»PRO»X»NA»SS»NA»FreeAcctDeveloperFB-AnimatedAI-Ch3»PRC1T2</v></cell><cell r="D4392" t="str"><v>43312223862765</v></cell><cell r="E4392" t="str"><v>43312103032778PRC1T2</v></cell><cell r="F4392" t="str"><v>DCM</v></cell></row><row r="4392"><cell r="K4392" t="str"><v>July</v></cell><cell r="L4392"><v>43316</v></cell><cell r="M4392" t="str"><v>Tier 0</v></cell><cell r="N4392" t="str"><v>North America</v></cell><cell r="O4392" t="str"><v>United States</v></cell><cell r="P4392" t="str"><v>Trial</v></cell><cell r="Q4392" t="str"><v>Social</v></cell><cell r="R4392" t="str"><v>Azure</v></cell><cell r="S4392" t="str"><v>Apps & Infra</v></cell><cell r="T4392" t="str"><v>Developers & ITI's</v></cell><cell r="U4392" t="str"><v>USA-Trial-ITD-Interest Prospecting-AZR-AZR</v></cell><cell r="V4392" t="str"><v>Prospecting</v></cell><cell r="W4392" t="str"><v>Link Ad</v></cell><cell r="X4392" t="str"><v>1x1</v></cell></row><row r="4392"><cell r="AA4392"><v>43312</v></cell><cell r="AB4392" t="str"><v>USA_gaPMG_AZR_AZR_Q1_19_Direct-Social</v></cell><cell r="AC4392"><v>21358715</v></cell><cell r="AD4392"><v>720197</v></cell><cell r="AE4392" t="str"><v>Facebook</v></cell><cell r="AF4392"><v>3654128</v></cell><cell r="AG4392" t="str"><v>FACEBOOK»USA-Trial-ITD-Interest Prospecting-AZR-AZR»1 x 1»SocialBan»LIA»ALL»CPA»PRO»X»NA»SS»NA»FreeAcctDeveloperFB-AnimatedAI-Ch3»PRC1T2</v></cell><cell r="AH4392"><v>223862765</v></cell><cell r="AI4392" t="str"><v>AZR_FreeAcctDeveloperFB-AnimatedAI-Ch3_USA_1200x1200_CAN_Direct_English_Trial_Standard_ANI_LEA_T3_1</v></cell><cell r="AJ4392"><v>103032778</v></cell></row><row r="4393"><cell r="C4393" t="str"><v>43312FACEBOOK»USA-Trial-ITD-Interest Prospecting-AZR-AZR»1 x 1»SocialBan»LIA»ALL»CPA»PRO»X»NA»SS»NA»FreeAcctDeveloperFB-AnimatedData-Ch4»PRC1T3</v></cell><cell r="D4393" t="str"><v>43312223863380</v></cell><cell r="E4393" t="str"><v>43312103037935PRC1T3</v></cell><cell r="F4393" t="str"><v>DCM</v></cell></row><row r="4393"><cell r="K4393" t="str"><v>July</v></cell><cell r="L4393"><v>43316</v></cell><cell r="M4393" t="str"><v>Tier 0</v></cell><cell r="N4393" t="str"><v>North America</v></cell><cell r="O4393" t="str"><v>United States</v></cell><cell r="P4393" t="str"><v>Trial</v></cell><cell r="Q4393" t="str"><v>Social</v></cell><cell r="R4393" t="str"><v>Azure</v></cell><cell r="S4393" t="str"><v>Apps & Infra</v></cell><cell r="T4393" t="str"><v>Developers & ITI's</v></cell><cell r="U4393" t="str"><v>USA-Trial-ITD-Interest Prospecting-AZR-AZR</v></cell><cell r="V4393" t="str"><v>Prospecting</v></cell><cell r="W4393" t="str"><v>Link Ad</v></cell><cell r="X4393" t="str"><v>1x1</v></cell></row><row r="4393"><cell r="AA4393"><v>43312</v></cell><cell r="AB4393" t="str"><v>USA_gaPMG_AZR_AZR_Q1_19_Direct-Social</v></cell><cell r="AC4393"><v>21358715</v></cell><cell r="AD4393"><v>720197</v></cell><cell r="AE4393" t="str"><v>Facebook</v></cell><cell r="AF4393"><v>3654128</v></cell><cell r="AG4393" t="str"><v>FACEBOOK»USA-Trial-ITD-Interest Prospecting-AZR-AZR»1 x 1»SocialBan»LIA»ALL»CPA»PRO»X»NA»SS»NA»FreeAcctDeveloperFB-AnimatedData-Ch4»PRC1T3</v></cell><cell r="AH4393"><v>223863380</v></cell><cell r="AI4393" t="str"><v>AZR_FreeAcctDeveloperFB-AnimatedData-Ch4_USA_1200x1200_CAN_Direct_English_Trial_Standard_ANI_LEA_T4_2</v></cell><cell r="AJ4393"><v>103037935</v></cell></row><row r="4394"><cell r="C4394" t="str"><v>43312FACEBOOK»USA-Trial-ITD-Interest Prospecting-AZR-AZR»1 x 1»SocialBan»LIA»ALL»CPA»PRO»X»NA»SS»NA»FreeAcctDeveloperFB-AnimatedOpenSource-Ch2»PRC1T1</v></cell><cell r="D4394" t="str"><v>43312223862885</v></cell><cell r="E4394" t="str"><v>43312103048329PRC1T1</v></cell><cell r="F4394" t="str"><v>DCM</v></cell><cell r="G4394" t="str"><v>https://azure.microsoft.com/en-us/free/open-source/search/?OCID=AID%eexcid!_OLA_%ebuy!_%epid!_%ecid!</v></cell></row><row r="4394"><cell r="K4394" t="str"><v>July</v></cell><cell r="L4394"><v>43316</v></cell><cell r="M4394" t="str"><v>Tier 0</v></cell><cell r="N4394" t="str"><v>North America</v></cell><cell r="O4394" t="str"><v>United States</v></cell><cell r="P4394" t="str"><v>Trial</v></cell><cell r="Q4394" t="str"><v>Social</v></cell><cell r="R4394" t="str"><v>Azure</v></cell><cell r="S4394" t="str"><v>Apps & Infra</v></cell><cell r="T4394" t="str"><v>Developers & ITI's</v></cell><cell r="U4394" t="str"><v>USA-Trial-ITD-Interest Prospecting-AZR-AZR</v></cell><cell r="V4394" t="str"><v>Prospecting</v></cell><cell r="W4394" t="str"><v>Link Ad</v></cell><cell r="X4394" t="str"><v>1x1</v></cell></row><row r="4394"><cell r="AA4394"><v>43312</v></cell><cell r="AB4394" t="str"><v>USA_gaPMG_AZR_AZR_Q1_19_Direct-Social</v></cell><cell r="AC4394"><v>21358715</v></cell><cell r="AD4394"><v>720197</v></cell><cell r="AE4394" t="str"><v>Facebook</v></cell><cell r="AF4394"><v>3654128</v></cell><cell r="AG4394" t="str"><v>FACEBOOK»USA-Trial-ITD-Interest Prospecting-AZR-AZR»1 x 1»SocialBan»LIA»ALL»CPA»PRO»X»NA»SS»NA»FreeAcctDeveloperFB-AnimatedOpenSource-Ch2»PRC1T1</v></cell><cell r="AH4394"><v>223862885</v></cell><cell r="AI4394" t="str"><v>AZR_FreeAcctDeveloperFB-AnimatedOpenSource-Ch2_USA_1200x1200_CAN_Direct_English_Trial_Standard_ANI_LEA_T2_1</v></cell><cell r="AJ4394"><v>103048329</v></cell></row><row r="4395"><cell r="C4395" t="str"><v>43312FACEBOOK»USA-Trial-ITD-Interest Prospecting-AZR-AZR»1 x 1»SocialBan»LIA»ALL»CPA»PRO»X»NA»SS»NA»FreeAcctITProFB-AnimatedMigration-Ch3»PRC1X2</v></cell><cell r="D4395" t="str"><v>43312224106954</v></cell><cell r="E4395" t="str"><v>43312103176827PRC1X2</v></cell><cell r="F4395" t="str"><v>DCM</v></cell></row><row r="4395"><cell r="K4395" t="str"><v>July</v></cell><cell r="L4395"><v>43316</v></cell><cell r="M4395" t="str"><v>Tier 0</v></cell><cell r="N4395" t="str"><v>North America</v></cell><cell r="O4395" t="str"><v>United States</v></cell><cell r="P4395" t="str"><v>Trial</v></cell><cell r="Q4395" t="str"><v>Social</v></cell><cell r="R4395" t="str"><v>Azure</v></cell><cell r="S4395" t="str"><v>Apps & Infra</v></cell><cell r="T4395" t="str"><v>Developers & ITI's</v></cell><cell r="U4395" t="str"><v>USA-Trial-ITD-Interest Prospecting-AZR-AZR</v></cell><cell r="V4395" t="str"><v>Prospecting</v></cell><cell r="W4395" t="str"><v>Link Ad</v></cell><cell r="X4395" t="str"><v>1x1</v></cell></row><row r="4395"><cell r="AA4395"><v>43312</v></cell><cell r="AB4395" t="str"><v>USA_gaPMG_AZR_AZR_Q1_19_Direct-Social</v></cell><cell r="AC4395"><v>21358715</v></cell><cell r="AD4395"><v>720197</v></cell><cell r="AE4395" t="str"><v>Facebook</v></cell><cell r="AF4395"><v>3654128</v></cell><cell r="AG4395" t="str"><v>FACEBOOK»USA-Trial-ITD-Interest Prospecting-AZR-AZR»1 x 1»SocialBan»LIA»ALL»CPA»PRO»X»NA»SS»NA»FreeAcctITProFB-AnimatedMigration-Ch3»PRC1X2</v></cell><cell r="AH4395"><v>224106954</v></cell><cell r="AI4395" t="str"><v>AZR_FreeAcctITProFB-AnimatedMigration-Ch3_USA_1200x1200_CAN_Direct_English_Trial_Standard_ANI_LEA_T3_1</v></cell><cell r="AJ4395"><v>103176827</v></cell></row><row r="4396"><cell r="C4396" t="str"><v>43312FACEBOOK»USA-Trial-ITD-Retargeting-AZR-AZR»1 x 1»SocialBan»LIA»ALL»CPA»RT»X»NA»SS»NA»FreeAcctDeveloperFB-AnimatedGeneric-Ch1»PRC26D</v></cell><cell r="D4396" t="str"><v>43312223862870</v></cell><cell r="E4396" t="str"><v>43312103176851PRC26D</v></cell><cell r="F4396" t="str"><v>DCM</v></cell><cell r="G4396" t="str"><v>https://azure.microsoft.com/en-us/free/search/?OCID=AID%eexcid!_OLA_%ebuy!_%epid!_%ecid!</v></cell></row><row r="4396"><cell r="K4396" t="str"><v>July</v></cell><cell r="L4396"><v>43316</v></cell><cell r="M4396" t="str"><v>Tier 0</v></cell><cell r="N4396" t="str"><v>North America</v></cell><cell r="O4396" t="str"><v>United States</v></cell><cell r="P4396" t="str"><v>Trial</v></cell><cell r="Q4396" t="str"><v>Social</v></cell><cell r="R4396" t="str"><v>Azure</v></cell><cell r="S4396" t="str"><v>Apps & Infra</v></cell><cell r="T4396" t="str"><v>Developers & ITI's</v></cell><cell r="U4396" t="str"><v>USA-Trial-ITD-Retargeting-AZR-AZR</v></cell><cell r="V4396" t="str"><v>Retargeting</v></cell><cell r="W4396" t="str"><v>Link Ad</v></cell><cell r="X4396" t="str"><v>1x1</v></cell></row><row r="4396"><cell r="AA4396"><v>43312</v></cell><cell r="AB4396" t="str"><v>USA_gaPMG_AZR_AZR_Q1_19_Direct-Social</v></cell><cell r="AC4396"><v>21358715</v></cell><cell r="AD4396"><v>720197</v></cell><cell r="AE4396" t="str"><v>Facebook</v></cell><cell r="AF4396"><v>3654128</v></cell><cell r="AG4396" t="str"><v>FACEBOOK»USA-Trial-ITD-Retargeting-AZR-AZR»1 x 1»SocialBan»LIA»ALL»CPA»RT»X»NA»SS»NA»FreeAcctDeveloperFB-AnimatedGeneric-Ch1»PRC26D</v></cell><cell r="AH4396"><v>223862870</v></cell><cell r="AI4396" t="str"><v>AZR_FreeAcctDeveloperFB-AnimatedGeneric-Ch1_USA_1200x1200_CAN_Direct_English_Trial_Standard_ANI_LEA_T1_2</v></cell><cell r="AJ4396"><v>103176851</v></cell></row><row r="4397"><cell r="C4397" t="str"><v>43312FACEBOOK»USA-Trial-ITD-Retargeting-AZR-AZR»1 x 1»SocialBan»LIA»ALL»CPA»RT»X»NA»SS»NA»FreeAcctRetargetingOSSFB-Logos-ChG»PRC1S2</v></cell><cell r="D4397" t="str"><v>43312224106063</v></cell><cell r="E4397" t="str"><v>43312103176008PRC1S2</v></cell><cell r="F4397" t="str"><v>DCM</v></cell><cell r="G4397" t="str"><v>https://azure.microsoft.com/en-us/free/open-source/search/?OCID=AID%eexcid!_OLA_%ebuy!_%epid!_%ecid!</v></cell></row><row r="4397"><cell r="K4397" t="str"><v>July</v></cell><cell r="L4397"><v>43316</v></cell><cell r="M4397" t="str"><v>Tier 0</v></cell><cell r="N4397" t="str"><v>North America</v></cell><cell r="O4397" t="str"><v>United States</v></cell><cell r="P4397" t="str"><v>Trial</v></cell><cell r="Q4397" t="str"><v>Social</v></cell><cell r="R4397" t="str"><v>Azure</v></cell><cell r="S4397" t="str"><v>Apps & Infra</v></cell><cell r="T4397" t="str"><v>Developers & ITI's</v></cell><cell r="U4397" t="str"><v>USA-Trial-ITD-Retargeting-AZR-AZR</v></cell><cell r="V4397" t="str"><v>Retargeting</v></cell><cell r="W4397" t="str"><v>Link Ad</v></cell><cell r="X4397" t="str"><v>1x1</v></cell></row><row r="4397"><cell r="AA4397"><v>43312</v></cell><cell r="AB4397" t="str"><v>USA_gaPMG_AZR_AZR_Q1_19_Direct-Social</v></cell><cell r="AC4397"><v>21358715</v></cell><cell r="AD4397"><v>720197</v></cell><cell r="AE4397" t="str"><v>Facebook</v></cell><cell r="AF4397"><v>3654128</v></cell><cell r="AG4397" t="str"><v>FACEBOOK»USA-Trial-ITD-Retargeting-AZR-AZR»1 x 1»SocialBan»LIA»ALL»CPA»RT»X»NA»SS»NA»FreeAcctRetargetingOSSFB-Logos-ChG»PRC1S2</v></cell><cell r="AH4397"><v>224106063</v></cell><cell r="AI4397" t="str"><v>AzurePlatform_FreeAcctRetargetingOSSFB-Logos-ChG_USA_1200x628_CAN_PLATFORM_English_Free Account_Standard_NA_SINU_T2_1</v></cell><cell r="AJ4397"><v>103176008</v></cell></row><row r="4398"><cell r="C4398" t="str"><v>43312FACEBOOK»USA-Trial-ITD-Retargeting-AZR-AZR»1 x 1»SocialBan»LIA»ALL»CPA»RT»X»NA»SS»NA»FreeAcctRetargetingOSSFB-Text-ChF»PRC1S1</v></cell><cell r="D4398" t="str"><v>43312223862753</v></cell><cell r="E4398" t="str"><v>43312103176869PRC1S1</v></cell><cell r="F4398" t="str"><v>DCM</v></cell><cell r="G4398" t="str"><v>https://azure.microsoft.com/en-us/free/open-source/search/?OCID=AID%eexcid!_OLA_%ebuy!_%epid!_%ecid!</v></cell></row><row r="4398"><cell r="K4398" t="str"><v>July</v></cell><cell r="L4398"><v>43316</v></cell><cell r="M4398" t="str"><v>Tier 0</v></cell><cell r="N4398" t="str"><v>North America</v></cell><cell r="O4398" t="str"><v>United States</v></cell><cell r="P4398" t="str"><v>Trial</v></cell><cell r="Q4398" t="str"><v>Social</v></cell><cell r="R4398" t="str"><v>Azure</v></cell><cell r="S4398" t="str"><v>Apps & Infra</v></cell><cell r="T4398" t="str"><v>Developers & ITI's</v></cell><cell r="U4398" t="str"><v>USA-Trial-ITD-Retargeting-AZR-AZR</v></cell><cell r="V4398" t="str"><v>Retargeting</v></cell><cell r="W4398" t="str"><v>Link Ad</v></cell><cell r="X4398" t="str"><v>1x1</v></cell></row><row r="4398"><cell r="AA4398"><v>43312</v></cell><cell r="AB4398" t="str"><v>USA_gaPMG_AZR_AZR_Q1_19_Direct-Social</v></cell><cell r="AC4398"><v>21358715</v></cell><cell r="AD4398"><v>720197</v></cell><cell r="AE4398" t="str"><v>Facebook</v></cell><cell r="AF4398"><v>3654128</v></cell><cell r="AG4398" t="str"><v>FACEBOOK»USA-Trial-ITD-Retargeting-AZR-AZR»1 x 1»SocialBan»LIA»ALL»CPA»RT»X»NA»SS»NA»FreeAcctRetargetingOSSFB-Text-ChF»PRC1S1</v></cell><cell r="AH4398"><v>223862753</v></cell><cell r="AI4398" t="str"><v>AzurePlatform_FreeAcctRetargetingOSSFB-Text-ChF_USA_1200x628_CAN_PLATFORM_English_Free Account_Standard_NA_SINU_T1_2</v></cell><cell r="AJ4398"><v>103176869</v></cell></row><row r="4399"><cell r="C4399" t="str"><v>43312FACEBOOK»USA-Trial-ITD-Retargeting-AZR-AZR»1 x 1»SocialBan»CAN»ALL»CPA»RT»X»NA»SS»NA»FBCTCBasicMotion»PRC1RQ</v></cell><cell r="D4399" t="str"><v>43312224106933</v></cell><cell r="E4399" t="str"><v>43312103043823PRC1RQ</v></cell><cell r="F4399" t="str"><v>DCM</v></cell><cell r="G4399" t="str"><v>https://signup.azure.com/?OCID=AID%eexcid!_OLA_%ebuy!_%epid!_%ecid!</v></cell></row><row r="4399"><cell r="K4399" t="str"><v>July</v></cell><cell r="L4399"><v>43316</v></cell><cell r="M4399" t="str"><v>Tier 0</v></cell><cell r="N4399" t="str"><v>North America</v></cell><cell r="O4399" t="str"><v>United States</v></cell><cell r="P4399" t="str"><v>Trial</v></cell><cell r="Q4399" t="str"><v>Social</v></cell><cell r="R4399" t="str"><v>Azure</v></cell><cell r="S4399" t="str"><v>Apps & Infra</v></cell><cell r="T4399" t="str"><v>Developers & ITI's</v></cell><cell r="U4399" t="str"><v>USA-Trial-ITD-Retargeting-AZR-AZR</v></cell><cell r="V4399" t="str"><v>Retargeting</v></cell><cell r="W4399" t="str"><v>Canvas Ad</v></cell><cell r="X4399" t="str"><v>1x1</v></cell></row><row r="4399"><cell r="AA4399"><v>43312</v></cell><cell r="AB4399" t="str"><v>USA_gaPMG_AZR_AZR_Q1_19_Direct-Social</v></cell><cell r="AC4399"><v>21358715</v></cell><cell r="AD4399"><v>720197</v></cell><cell r="AE4399" t="str"><v>Facebook</v></cell><cell r="AF4399"><v>3654128</v></cell><cell r="AG4399" t="str"><v>FACEBOOK»USA-Trial-ITD-Retargeting-AZR-AZR»1 x 1»SocialBan»CAN»ALL»CPA»RT»X»NA»SS»NA»FBCTCBasicMotion»PRC1RQ</v></cell><cell r="AH4399"><v>224106933</v></cell><cell r="AI4399" t="str"><v>AzurePlatform_FBCTCBasicMotion_USA_10s_CAN_PLATFORM_English_Trial_Standard_STAN_TIN_T1_1</v></cell><cell r="AJ4399"><v>103043823</v></cell></row><row r="4400"><cell r="C4400" t="str"><v>43312FACEBOOK»USA-Trial-ITD-Retargeting-AZR-AZR»1 x 1»SocialBan»CAN»ALL»CPA»RT»X»NA»SS»NA»FBCTCBasicMotion»PRC1RQ</v></cell><cell r="D4400" t="str"><v>43312224106933</v></cell><cell r="E4400" t="str"><v>43312103175984PRC1RQ</v></cell><cell r="F4400" t="str"><v>DCM</v></cell><cell r="G4400" t="str"><v>https://azure.microsoft.com/en-us/pricing/purchase-options/?v=18.19&OCID=AID%eexcid!_OLA_%ebuy!_%epid!_%ecid!</v></cell></row><row r="4400"><cell r="K4400" t="str"><v>July</v></cell><cell r="L4400"><v>43316</v></cell><cell r="M4400" t="str"><v>Tier 0</v></cell><cell r="N4400" t="str"><v>North America</v></cell><cell r="O4400" t="str"><v>United States</v></cell><cell r="P4400" t="str"><v>Trial</v></cell><cell r="Q4400" t="str"><v>Social</v></cell><cell r="R4400" t="str"><v>Azure</v></cell><cell r="S4400" t="str"><v>Apps & Infra</v></cell><cell r="T4400" t="str"><v>Developers & ITI's</v></cell><cell r="U4400" t="str"><v>USA-Trial-ITD-Retargeting-AZR-AZR</v></cell><cell r="V4400" t="str"><v>Retargeting</v></cell><cell r="W4400" t="str"><v>Canvas Ad</v></cell><cell r="X4400" t="str"><v>1x1</v></cell></row><row r="4400"><cell r="AA4400"><v>43312</v></cell><cell r="AB4400" t="str"><v>USA_gaPMG_AZR_AZR_Q1_19_Direct-Social</v></cell><cell r="AC4400"><v>21358715</v></cell><cell r="AD4400"><v>720197</v></cell><cell r="AE4400" t="str"><v>Facebook</v></cell><cell r="AF4400"><v>3654128</v></cell><cell r="AG4400" t="str"><v>FACEBOOK»USA-Trial-ITD-Retargeting-AZR-AZR»1 x 1»SocialBan»CAN»ALL»CPA»RT»X»NA»SS»NA»FBCTCBasicMotion»PRC1RQ</v></cell><cell r="AH4400"><v>224106933</v></cell><cell r="AI4400" t="str"><v>AzurePlatform_FBCTCBasicMotion_USA_10s_CAN_PLATFORM_English_Trial_Standard_STAN_TIN_T1_2</v></cell><cell r="AJ4400"><v>103175984</v></cell></row><row r="4401"><cell r="C4401" t="str"><v>43312FACEBOOK»USA-Trial-ITD-Retargeting-AZR-AZR»1 x 1»SocialBan»LIA»ALL»CPA»RT»X»NA»SS»NA»FreeAcctITProFB-AnimatedSecureMngd-Ch1»PRC26K</v></cell><cell r="D4401" t="str"><v>43312223862762</v></cell><cell r="E4401" t="str"><v>43312103176830PRC26K</v></cell><cell r="F4401" t="str"><v>DCM</v></cell></row><row r="4401"><cell r="K4401" t="str"><v>July</v></cell><cell r="L4401"><v>43316</v></cell><cell r="M4401" t="str"><v>Tier 0</v></cell><cell r="N4401" t="str"><v>North America</v></cell><cell r="O4401" t="str"><v>United States</v></cell><cell r="P4401" t="str"><v>Trial</v></cell><cell r="Q4401" t="str"><v>Social</v></cell><cell r="R4401" t="str"><v>Azure</v></cell><cell r="S4401" t="str"><v>Apps & Infra</v></cell><cell r="T4401" t="str"><v>Developers & ITI's</v></cell><cell r="U4401" t="str"><v>USA-Trial-ITD-Retargeting-AZR-AZR</v></cell><cell r="V4401" t="str"><v>Retargeting</v></cell><cell r="W4401" t="str"><v>Link Ad</v></cell><cell r="X4401" t="str"><v>1x1</v></cell></row><row r="4401"><cell r="AA4401"><v>43312</v></cell><cell r="AB4401" t="str"><v>USA_gaPMG_AZR_AZR_Q1_19_Direct-Social</v></cell><cell r="AC4401"><v>21358715</v></cell><cell r="AD4401"><v>720197</v></cell><cell r="AE4401" t="str"><v>Facebook</v></cell><cell r="AF4401"><v>3654128</v></cell><cell r="AG4401" t="str"><v>FACEBOOK»USA-Trial-ITD-Retargeting-AZR-AZR»1 x 1»SocialBan»LIA»ALL»CPA»RT»X»NA»SS»NA»FreeAcctITProFB-AnimatedSecureMngd-Ch1»PRC26K</v></cell><cell r="AH4401"><v>223862762</v></cell><cell r="AI4401" t="str"><v>AZR_FreeAcctITProFB-AnimatedSecureMngd-Ch1_USA_1200x1200_CAN_Direct_English_Trial_Standard_ANI_LEA_T1_1</v></cell><cell r="AJ4401"><v>103176830</v></cell></row><row r="4402"><cell r="C4402" t="str"><v>43312FACEBOOK»USA-Trial-ITD-Trial Lookalike-AZR-AZR»1 x 1»SocialBan»LIA»ALL»CPA»LAL»X»NA»SS»NA»FreeAcctDeveloperFB-AnimatedGeneric-Ch1»PRC1M4</v></cell><cell r="D4402" t="str"><v>43312224104941</v></cell><cell r="E4402" t="str"><v>43312103176851PRC1M4</v></cell><cell r="F4402" t="str"><v>DCM</v></cell><cell r="G4402" t="str"><v>https://azure.microsoft.com/en-us/free/search/?OCID=AID%eexcid!_OLA_%ebuy!_%epid!_%ecid!</v></cell></row><row r="4402"><cell r="K4402" t="str"><v>July</v></cell><cell r="L4402"><v>43316</v></cell><cell r="M4402" t="str"><v>Tier 0</v></cell><cell r="N4402" t="str"><v>North America</v></cell><cell r="O4402" t="str"><v>United States</v></cell><cell r="P4402" t="str"><v>Trial</v></cell><cell r="Q4402" t="str"><v>Social</v></cell><cell r="R4402" t="str"><v>Azure</v></cell><cell r="S4402" t="str"><v>Apps & Infra</v></cell><cell r="T4402" t="str"><v>Developers & ITI's</v></cell><cell r="U4402" t="str"><v>USA-Trial-ITD-Trial Lookalike-AZR-AZR</v></cell><cell r="V4402" t="str"><v>Lookalike Targeting</v></cell><cell r="W4402" t="str"><v>Link Ad</v></cell><cell r="X4402" t="str"><v>1x1</v></cell></row><row r="4402"><cell r="AA4402"><v>43312</v></cell><cell r="AB4402" t="str"><v>USA_gaPMG_AZR_AZR_Q1_19_Direct-Social</v></cell><cell r="AC4402"><v>21358715</v></cell><cell r="AD4402"><v>720197</v></cell><cell r="AE4402" t="str"><v>Facebook</v></cell><cell r="AF4402"><v>3654128</v></cell><cell r="AG4402" t="str"><v>FACEBOOK»USA-Trial-ITD-Trial Lookalike-AZR-AZR»1 x 1»SocialBan»LIA»ALL»CPA»LAL»X»NA»SS»NA»FreeAcctDeveloperFB-AnimatedGeneric-Ch1»PRC1M4</v></cell><cell r="AH4402"><v>224104941</v></cell><cell r="AI4402" t="str"><v>AZR_FreeAcctDeveloperFB-AnimatedGeneric-Ch1_USA_1200x1200_CAN_Direct_English_Trial_Standard_ANI_LEA_T1_2</v></cell><cell r="AJ4402"><v>103176851</v></cell></row><row r="4403"><cell r="C4403" t="str"><v>43312FACEBOOK»USA-Trial-ITD-Trial Lookalike-AZR-AZR»1 x 1»SocialBan»LIA»ALL»CPA»LAL»X»NA»SS»NA»FreeAcctDeveloperFB-AnimatedGeneric-Ch1»PRC1M5</v></cell><cell r="D4403" t="str"><v>43312223934083</v></cell><cell r="E4403" t="str"><v>43312103176851PRC1M5</v></cell><cell r="F4403" t="str"><v>DCM</v></cell><cell r="G4403" t="str"><v>https://azure.microsoft.com/en-us/free/search/?OCID=AID%eexcid!_OLA_%ebuy!_%epid!_%ecid!</v></cell></row><row r="4403"><cell r="K4403" t="str"><v>July</v></cell><cell r="L4403"><v>43316</v></cell><cell r="M4403" t="str"><v>Tier 0</v></cell><cell r="N4403" t="str"><v>North America</v></cell><cell r="O4403" t="str"><v>United States</v></cell><cell r="P4403" t="str"><v>Trial</v></cell><cell r="Q4403" t="str"><v>Social</v></cell><cell r="R4403" t="str"><v>Azure</v></cell><cell r="S4403" t="str"><v>Apps & Infra</v></cell><cell r="T4403" t="str"><v>Developers & ITI's</v></cell><cell r="U4403" t="str"><v>USA-Trial-ITD-Trial Lookalike-AZR-AZR</v></cell><cell r="V4403" t="str"><v>Lookalike Targeting</v></cell><cell r="W4403" t="str"><v>Link Ad</v></cell><cell r="X4403" t="str"><v>1x1</v></cell></row><row r="4403"><cell r="AA4403"><v>43312</v></cell><cell r="AB4403" t="str"><v>USA_gaPMG_AZR_AZR_Q1_19_Direct-Social</v></cell><cell r="AC4403"><v>21358715</v></cell><cell r="AD4403"><v>720197</v></cell><cell r="AE4403" t="str"><v>Facebook</v></cell><cell r="AF4403"><v>3654128</v></cell><cell r="AG4403" t="str"><v>FACEBOOK»USA-Trial-ITD-Trial Lookalike-AZR-AZR»1 x 1»SocialBan»LIA»ALL»CPA»LAL»X»NA»SS»NA»FreeAcctDeveloperFB-AnimatedGeneric-Ch1»PRC1M5</v></cell><cell r="AH4403"><v>223934083</v></cell><cell r="AI4403" t="str"><v>AZR_FreeAcctDeveloperFB-AnimatedGeneric-Ch1_USA_1200x1200_CAN_Direct_English_Trial_Standard_ANI_LEA_T1_2</v></cell><cell r="AJ4403"><v>103176851</v></cell></row><row r="4404"><cell r="C4404" t="str"><v>43312FACEBOOK»USA-Trial-ITD-Trial Lookalike-AZR-AZR»1 x 1»SocialBan»LIA»ALL»CPA»LAL»X»NA»SS»NA»FreeAcctDeveloperFB-AnimatedOpenSource-Ch2»PRC1M6</v></cell><cell r="D4404" t="str"><v>43312223935628</v></cell><cell r="E4404" t="str"><v>43312103048329PRC1M6</v></cell><cell r="F4404" t="str"><v>DCM</v></cell><cell r="G4404" t="str"><v>https://azure.microsoft.com/en-us/free/open-source/search/?OCID=AID%eexcid!_OLA_%ebuy!_%epid!_%ecid!</v></cell></row><row r="4404"><cell r="K4404" t="str"><v>July</v></cell><cell r="L4404"><v>43316</v></cell><cell r="M4404" t="str"><v>Tier 0</v></cell><cell r="N4404" t="str"><v>North America</v></cell><cell r="O4404" t="str"><v>United States</v></cell><cell r="P4404" t="str"><v>Trial</v></cell><cell r="Q4404" t="str"><v>Social</v></cell><cell r="R4404" t="str"><v>Azure</v></cell><cell r="S4404" t="str"><v>Apps & Infra</v></cell><cell r="T4404" t="str"><v>Developers & ITI's</v></cell><cell r="U4404" t="str"><v>USA-Trial-ITD-Trial Lookalike-AZR-AZR</v></cell><cell r="V4404" t="str"><v>Lookalike Targeting</v></cell><cell r="W4404" t="str"><v>Link Ad</v></cell><cell r="X4404" t="str"><v>1x1</v></cell></row><row r="4404"><cell r="AA4404"><v>43312</v></cell><cell r="AB4404" t="str"><v>USA_gaPMG_AZR_AZR_Q1_19_Direct-Social</v></cell><cell r="AC4404"><v>21358715</v></cell><cell r="AD4404"><v>720197</v></cell><cell r="AE4404" t="str"><v>Facebook</v></cell><cell r="AF4404"><v>3654128</v></cell><cell r="AG4404" t="str"><v>FACEBOOK»USA-Trial-ITD-Trial Lookalike-AZR-AZR»1 x 1»SocialBan»LIA»ALL»CPA»LAL»X»NA»SS»NA»FreeAcctDeveloperFB-AnimatedOpenSource-Ch2»PRC1M6</v></cell><cell r="AH4404"><v>223935628</v></cell><cell r="AI4404" t="str"><v>AZR_FreeAcctDeveloperFB-AnimatedOpenSource-Ch2_USA_1200x1200_CAN_Direct_English_Trial_Standard_ANI_LEA_T2_1</v></cell><cell r="AJ4404"><v>103048329</v></cell></row><row r="4405"><cell r="C4405" t="str"><v>43312FACEBOOK»USA-Trial-ITD-Trial Lookalike-AZR-AZR»1 x 1»SocialBan»LIA»ALL»CPA»LAL»X»NA»SS»NA»FreeAcctITProFB-AnimatedMigration-Ch3»PRC23N</v></cell><cell r="D4405" t="str"><v>43312223935637</v></cell><cell r="E4405" t="str"><v>43312103176827PRC23N</v></cell><cell r="F4405" t="str"><v>DCM</v></cell></row><row r="4405"><cell r="K4405" t="str"><v>July</v></cell><cell r="L4405"><v>43316</v></cell><cell r="M4405" t="str"><v>Tier 0</v></cell><cell r="N4405" t="str"><v>North America</v></cell><cell r="O4405" t="str"><v>United States</v></cell><cell r="P4405" t="str"><v>Trial</v></cell><cell r="Q4405" t="str"><v>Social</v></cell><cell r="R4405" t="str"><v>Azure</v></cell><cell r="S4405" t="str"><v>Apps & Infra</v></cell><cell r="T4405" t="str"><v>Developers & ITI's</v></cell><cell r="U4405" t="str"><v>USA-Trial-ITD-Trial Lookalike-AZR-AZR</v></cell><cell r="V4405" t="str"><v>Lookalike Targeting</v></cell><cell r="W4405" t="str"><v>Link Ad</v></cell><cell r="X4405" t="str"><v>1x1</v></cell></row><row r="4405"><cell r="AA4405"><v>43312</v></cell><cell r="AB4405" t="str"><v>USA_gaPMG_AZR_AZR_Q1_19_Direct-Social</v></cell><cell r="AC4405"><v>21358715</v></cell><cell r="AD4405"><v>720197</v></cell><cell r="AE4405" t="str"><v>Facebook</v></cell><cell r="AF4405"><v>3654128</v></cell><cell r="AG4405" t="str"><v>FACEBOOK»USA-Trial-ITD-Trial Lookalike-AZR-AZR»1 x 1»SocialBan»LIA»ALL»CPA»LAL»X»NA»SS»NA»FreeAcctITProFB-AnimatedMigration-Ch3»PRC23N</v></cell><cell r="AH4405"><v>223935637</v></cell><cell r="AI4405" t="str"><v>AZR_FreeAcctITProFB-AnimatedMigration-Ch3_USA_1200x1200_CAN_Direct_English_Trial_Standard_ANI_LEA_T3_1</v></cell><cell r="AJ4405"><v>103176827</v></cell></row><row r="4406"><cell r="C4406" t="str"><v>43312FACEBOOK»USA-Trial-ITD-Trial Lookalike-AZR-AZR»1 x 1»SocialBan»LIA»ALL»CPA»LAL»X»NA»SS»NA»FreeAcctITProFB-AnimatedSecureMngd-Ch1»PRC1M9</v></cell><cell r="D4406" t="str"><v>43312224104959</v></cell><cell r="E4406" t="str"><v>43312103176830PRC1M9</v></cell><cell r="F4406" t="str"><v>DCM</v></cell></row><row r="4406"><cell r="K4406" t="str"><v>July</v></cell><cell r="L4406"><v>43316</v></cell><cell r="M4406" t="str"><v>Tier 0</v></cell><cell r="N4406" t="str"><v>North America</v></cell><cell r="O4406" t="str"><v>United States</v></cell><cell r="P4406" t="str"><v>Trial</v></cell><cell r="Q4406" t="str"><v>Social</v></cell><cell r="R4406" t="str"><v>Azure</v></cell><cell r="S4406" t="str"><v>Apps & Infra</v></cell><cell r="T4406" t="str"><v>Developers & ITI's</v></cell><cell r="U4406" t="str"><v>USA-Trial-ITD-Trial Lookalike-AZR-AZR</v></cell><cell r="V4406" t="str"><v>Lookalike Targeting</v></cell><cell r="W4406" t="str"><v>Link Ad</v></cell><cell r="X4406" t="str"><v>1x1</v></cell></row><row r="4406"><cell r="AA4406"><v>43312</v></cell><cell r="AB4406" t="str"><v>USA_gaPMG_AZR_AZR_Q1_19_Direct-Social</v></cell><cell r="AC4406"><v>21358715</v></cell><cell r="AD4406"><v>720197</v></cell><cell r="AE4406" t="str"><v>Facebook</v></cell><cell r="AF4406"><v>3654128</v></cell><cell r="AG4406" t="str"><v>FACEBOOK»USA-Trial-ITD-Trial Lookalike-AZR-AZR»1 x 1»SocialBan»LIA»ALL»CPA»LAL»X»NA»SS»NA»FreeAcctITProFB-AnimatedSecureMngd-Ch1»PRC1M9</v></cell><cell r="AH4406"><v>224104959</v></cell><cell r="AI4406" t="str"><v>AZR_FreeAcctITProFB-AnimatedSecureMngd-Ch1_USA_1200x1200_CAN_Direct_English_Trial_Standard_ANI_LEA_T1_1</v></cell><cell r="AJ4406"><v>103176830</v></cell></row><row r="4407"><cell r="C4407" t="str"><v>43312FACEBOOK»USA-Trial-ITD-Trial Lookalike-AZR-AZR»1 x 1»SocialBan»CAN»ALL»CPA»LAL»X»NA»SS»NA»FBCTCBasicMotion»PRC1LZ</v></cell><cell r="D4407" t="str"><v>43312223862915</v></cell><cell r="E4407" t="str"><v>43312103043823PRC1LZ</v></cell><cell r="F4407" t="str"><v>DCM</v></cell><cell r="G4407" t="str"><v>https://signup.azure.com/?OCID=AID%eexcid!_OLA_%ebuy!_%epid!_%ecid!</v></cell></row><row r="4407"><cell r="K4407" t="str"><v>July</v></cell><cell r="L4407"><v>43316</v></cell><cell r="M4407" t="str"><v>Tier 0</v></cell><cell r="N4407" t="str"><v>North America</v></cell><cell r="O4407" t="str"><v>United States</v></cell><cell r="P4407" t="str"><v>Trial</v></cell><cell r="Q4407" t="str"><v>Social</v></cell><cell r="R4407" t="str"><v>Azure</v></cell><cell r="S4407" t="str"><v>Apps & Infra</v></cell><cell r="T4407" t="str"><v>Developers & ITI's</v></cell><cell r="U4407" t="str"><v>USA-Trial-ITD-Trial Lookalike-AZR-AZR</v></cell><cell r="V4407" t="str"><v>Lookalike Targeting</v></cell><cell r="W4407" t="str"><v>Canvas Ad</v></cell><cell r="X4407" t="str"><v>1x1</v></cell></row><row r="4407"><cell r="AA4407"><v>43312</v></cell><cell r="AB4407" t="str"><v>USA_gaPMG_AZR_AZR_Q1_19_Direct-Social</v></cell><cell r="AC4407"><v>21358715</v></cell><cell r="AD4407"><v>720197</v></cell><cell r="AE4407" t="str"><v>Facebook</v></cell><cell r="AF4407"><v>3654128</v></cell><cell r="AG4407" t="str"><v>FACEBOOK»USA-Trial-ITD-Trial Lookalike-AZR-AZR»1 x 1»SocialBan»CAN»ALL»CPA»LAL»X»NA»SS»NA»FBCTCBasicMotion»PRC1LZ</v></cell><cell r="AH4407"><v>223862915</v></cell><cell r="AI4407" t="str"><v>AzurePlatform_FBCTCBasicMotion_USA_10s_CAN_PLATFORM_English_Trial_Standard_STAN_TIN_T1_1</v></cell><cell r="AJ4407"><v>103043823</v></cell></row><row r="4408"><cell r="C4408" t="str"><v>43312FACEBOOK»USA-Trial-ITD-Trial Lookalike-AZR-AZR»1 x 1»SocialBan»CAN»ALL»CPA»LAL»X»NA»SS»NA»FBCTCBasicMotion»PRC1LZ</v></cell><cell r="D4408" t="str"><v>43312223862915</v></cell><cell r="E4408" t="str"><v>43312103175984PRC1LZ</v></cell><cell r="F4408" t="str"><v>DCM</v></cell><cell r="G4408" t="str"><v>https://azure.microsoft.com/en-us/pricing/purchase-options/?v=18.19&OCID=AID%eexcid!_OLA_%ebuy!_%epid!_%ecid!</v></cell></row><row r="4408"><cell r="K4408" t="str"><v>July</v></cell><cell r="L4408"><v>43316</v></cell><cell r="M4408" t="str"><v>Tier 0</v></cell><cell r="N4408" t="str"><v>North America</v></cell><cell r="O4408" t="str"><v>United States</v></cell><cell r="P4408" t="str"><v>Trial</v></cell><cell r="Q4408" t="str"><v>Social</v></cell><cell r="R4408" t="str"><v>Azure</v></cell><cell r="S4408" t="str"><v>Apps & Infra</v></cell><cell r="T4408" t="str"><v>Developers & ITI's</v></cell><cell r="U4408" t="str"><v>USA-Trial-ITD-Trial Lookalike-AZR-AZR</v></cell><cell r="V4408" t="str"><v>Lookalike Targeting</v></cell><cell r="W4408" t="str"><v>Canvas Ad</v></cell><cell r="X4408" t="str"><v>1x1</v></cell></row><row r="4408"><cell r="AA4408"><v>43312</v></cell><cell r="AB4408" t="str"><v>USA_gaPMG_AZR_AZR_Q1_19_Direct-Social</v></cell><cell r="AC4408"><v>21358715</v></cell><cell r="AD4408"><v>720197</v></cell><cell r="AE4408" t="str"><v>Facebook</v></cell><cell r="AF4408"><v>3654128</v></cell><cell r="AG4408" t="str"><v>FACEBOOK»USA-Trial-ITD-Trial Lookalike-AZR-AZR»1 x 1»SocialBan»CAN»ALL»CPA»LAL»X»NA»SS»NA»FBCTCBasicMotion»PRC1LZ</v></cell><cell r="AH4408"><v>223862915</v></cell><cell r="AI4408" t="str"><v>AzurePlatform_FBCTCBasicMotion_USA_10s_CAN_PLATFORM_English_Trial_Standard_STAN_TIN_T1_2</v></cell><cell r="AJ4408"><v>103175984</v></cell></row><row r="4409"><cell r="C4409" t="str"><v>43312FACEBOOK»USA-Trial-ITD-Trial PayGo Lookalike-AZR-AZR»1 x 1»SocialBan»CAN»ALL»CPA»LAL»X»NA»SS»NA»FBCTCBasicMotion»PRC1Q0</v></cell><cell r="D4409" t="str"><v>43312223935664</v></cell><cell r="E4409" t="str"><v>43312103043823PRC1Q0</v></cell><cell r="F4409" t="str"><v>DCM</v></cell><cell r="G4409" t="str"><v>https://signup.azure.com/?OCID=AID%eexcid!_OLA_%ebuy!_%epid!_%ecid!</v></cell></row><row r="4409"><cell r="K4409" t="str"><v>July</v></cell><cell r="L4409"><v>43316</v></cell><cell r="M4409" t="str"><v>Tier 0</v></cell><cell r="N4409" t="str"><v>North America</v></cell><cell r="O4409" t="str"><v>United States</v></cell><cell r="P4409" t="str"><v>Trial</v></cell><cell r="Q4409" t="str"><v>Social</v></cell><cell r="R4409" t="str"><v>Azure</v></cell><cell r="S4409" t="str"><v>Apps & Infra</v></cell><cell r="T4409" t="str"><v>Developers & ITI's</v></cell><cell r="U4409" t="str"><v>USA-Trial-ITD-Trial PayGo Lookalike-AZR-AZR</v></cell><cell r="V4409" t="str"><v>Lookalike Targeting</v></cell><cell r="W4409" t="str"><v>Canvas Ad</v></cell><cell r="X4409" t="str"><v>1x1</v></cell></row><row r="4409"><cell r="AA4409"><v>43312</v></cell><cell r="AB4409" t="str"><v>USA_gaPMG_AZR_AZR_Q1_19_Direct-Social</v></cell><cell r="AC4409"><v>21358715</v></cell><cell r="AD4409"><v>720197</v></cell><cell r="AE4409" t="str"><v>Facebook</v></cell><cell r="AF4409"><v>3654128</v></cell><cell r="AG4409" t="str"><v>FACEBOOK»USA-Trial-ITD-Trial PayGo Lookalike-AZR-AZR»1 x 1»SocialBan»CAN»ALL»CPA»LAL»X»NA»SS»NA»FBCTCBasicMotion»PRC1Q0</v></cell><cell r="AH4409"><v>223935664</v></cell><cell r="AI4409" t="str"><v>AzurePlatform_FBCTCBasicMotion_USA_10s_CAN_PLATFORM_English_Trial_Standard_STAN_TIN_T1_1</v></cell><cell r="AJ4409"><v>103043823</v></cell></row><row r="4410"><cell r="C4410" t="str"><v>43312FACEBOOK»USA-Trial-ITD-Trial PayGo Lookalike-AZR-AZR»1 x 1»SocialBan»LIA»ALL»CPA»LAL»X»NA»SS»NA»FreeAcctDeveloperFB-AnimatedAI-Ch3»PRC1Q8</v></cell><cell r="D4410" t="str"><v>43312224104983</v></cell><cell r="E4410" t="str"><v>43312103032778PRC1Q8</v></cell><cell r="F4410" t="str"><v>DCM</v></cell></row><row r="4410"><cell r="K4410" t="str"><v>July</v></cell><cell r="L4410"><v>43316</v></cell><cell r="M4410" t="str"><v>Tier 0</v></cell><cell r="N4410" t="str"><v>North America</v></cell><cell r="O4410" t="str"><v>United States</v></cell><cell r="P4410" t="str"><v>Trial</v></cell><cell r="Q4410" t="str"><v>Social</v></cell><cell r="R4410" t="str"><v>Azure</v></cell><cell r="S4410" t="str"><v>Apps & Infra</v></cell><cell r="T4410" t="str"><v>Developers & ITI's</v></cell><cell r="U4410" t="str"><v>USA-Trial-ITD-Trial PayGo Lookalike-AZR-AZR</v></cell><cell r="V4410" t="str"><v>Lookalike Targeting</v></cell><cell r="W4410" t="str"><v>Link Ad</v></cell><cell r="X4410" t="str"><v>1x1</v></cell></row><row r="4410"><cell r="AA4410"><v>43312</v></cell><cell r="AB4410" t="str"><v>USA_gaPMG_AZR_AZR_Q1_19_Direct-Social</v></cell><cell r="AC4410"><v>21358715</v></cell><cell r="AD4410"><v>720197</v></cell><cell r="AE4410" t="str"><v>Facebook</v></cell><cell r="AF4410"><v>3654128</v></cell><cell r="AG4410" t="str"><v>FACEBOOK»USA-Trial-ITD-Trial PayGo Lookalike-AZR-AZR»1 x 1»SocialBan»LIA»ALL»CPA»LAL»X»NA»SS»NA»FreeAcctDeveloperFB-AnimatedAI-Ch3»PRC1Q8</v></cell><cell r="AH4410"><v>224104983</v></cell><cell r="AI4410" t="str"><v>AZR_FreeAcctDeveloperFB-AnimatedAI-Ch3_USA_1200x1200_CAN_Direct_English_Trial_Standard_ANI_LEA_T3_1</v></cell><cell r="AJ4410"><v>103032778</v></cell></row><row r="4411"><cell r="C4411" t="str"><v>43312FACEBOOK»USA-Trial-ITD-Trial PayGo Lookalike-AZR-AZR»1 x 1»SocialBan»LIA»ALL»CPA»LAL»X»NA»SS»NA»FreeAcctDeveloperFB-AnimatedData-Ch4»PRC1Q9</v></cell><cell r="D4411" t="str"><v>43312224106990</v></cell><cell r="E4411" t="str"><v>43312103037935PRC1Q9</v></cell><cell r="F4411" t="str"><v>DCM</v></cell></row><row r="4411"><cell r="K4411" t="str"><v>July</v></cell><cell r="L4411"><v>43316</v></cell><cell r="M4411" t="str"><v>Tier 0</v></cell><cell r="N4411" t="str"><v>North America</v></cell><cell r="O4411" t="str"><v>United States</v></cell><cell r="P4411" t="str"><v>Trial</v></cell><cell r="Q4411" t="str"><v>Social</v></cell><cell r="R4411" t="str"><v>Azure</v></cell><cell r="S4411" t="str"><v>Apps & Infra</v></cell><cell r="T4411" t="str"><v>Developers & ITI's</v></cell><cell r="U4411" t="str"><v>USA-Trial-ITD-Trial PayGo Lookalike-AZR-AZR</v></cell><cell r="V4411" t="str"><v>Lookalike Targeting</v></cell><cell r="W4411" t="str"><v>Link Ad</v></cell><cell r="X4411" t="str"><v>1x1</v></cell></row><row r="4411"><cell r="AA4411"><v>43312</v></cell><cell r="AB4411" t="str"><v>USA_gaPMG_AZR_AZR_Q1_19_Direct-Social</v></cell><cell r="AC4411"><v>21358715</v></cell><cell r="AD4411"><v>720197</v></cell><cell r="AE4411" t="str"><v>Facebook</v></cell><cell r="AF4411"><v>3654128</v></cell><cell r="AG4411" t="str"><v>FACEBOOK»USA-Trial-ITD-Trial PayGo Lookalike-AZR-AZR»1 x 1»SocialBan»LIA»ALL»CPA»LAL»X»NA»SS»NA»FreeAcctDeveloperFB-AnimatedData-Ch4»PRC1Q9</v></cell><cell r="AH4411"><v>224106990</v></cell><cell r="AI4411" t="str"><v>AZR_FreeAcctDeveloperFB-AnimatedData-Ch4_USA_1200x1200_CAN_Direct_English_Trial_Standard_ANI_LEA_T4_2</v></cell><cell r="AJ4411"><v>103037935</v></cell></row><row r="4412"><cell r="C4412" t="str"><v>43312FACEBOOK»USA-Trial-ITD-Trial PayGo Lookalike-AZR-AZR»1 x 1»SocialBan»LIA»ALL»CPA»LAL»X»NA»SS»NA»FreeAcctDeveloperFB-AnimatedGeneric-Ch1»PRC1Q5</v></cell><cell r="D4412" t="str"><v>43312224104092</v></cell><cell r="E4412" t="str"><v>43312103176851PRC1Q5</v></cell><cell r="F4412" t="str"><v>DCM</v></cell><cell r="G4412" t="str"><v>https://azure.microsoft.com/en-us/free/search/?OCID=AID%eexcid!_OLA_%ebuy!_%epid!_%ecid!</v></cell></row><row r="4412"><cell r="K4412" t="str"><v>July</v></cell><cell r="L4412"><v>43316</v></cell><cell r="M4412" t="str"><v>Tier 0</v></cell><cell r="N4412" t="str"><v>North America</v></cell><cell r="O4412" t="str"><v>United States</v></cell><cell r="P4412" t="str"><v>Trial</v></cell><cell r="Q4412" t="str"><v>Social</v></cell><cell r="R4412" t="str"><v>Azure</v></cell><cell r="S4412" t="str"><v>Apps & Infra</v></cell><cell r="T4412" t="str"><v>Developers & ITI's</v></cell><cell r="U4412" t="str"><v>USA-Trial-ITD-Trial PayGo Lookalike-AZR-AZR</v></cell><cell r="V4412" t="str"><v>Lookalike Targeting</v></cell><cell r="W4412" t="str"><v>Link Ad</v></cell><cell r="X4412" t="str"><v>1x1</v></cell></row><row r="4412"><cell r="AA4412"><v>43312</v></cell><cell r="AB4412" t="str"><v>USA_gaPMG_AZR_AZR_Q1_19_Direct-Social</v></cell><cell r="AC4412"><v>21358715</v></cell><cell r="AD4412"><v>720197</v></cell><cell r="AE4412" t="str"><v>Facebook</v></cell><cell r="AF4412"><v>3654128</v></cell><cell r="AG4412" t="str"><v>FACEBOOK»USA-Trial-ITD-Trial PayGo Lookalike-AZR-AZR»1 x 1»SocialBan»LIA»ALL»CPA»LAL»X»NA»SS»NA»FreeAcctDeveloperFB-AnimatedGeneric-Ch1»PRC1Q5</v></cell><cell r="AH4412"><v>224104092</v></cell><cell r="AI4412" t="str"><v>AZR_FreeAcctDeveloperFB-AnimatedGeneric-Ch1_USA_1200x1200_CAN_Direct_English_Trial_Standard_ANI_LEA_T1_2</v></cell><cell r="AJ4412"><v>103176851</v></cell></row><row r="4413"><cell r="C4413" t="str"><v>43312FACEBOOK»USA-Trial-ITD-Trial PayGo Lookalike-AZR-AZR»1 x 1»SocialBan»LIA»ALL»CPA»LAL»X»NA»SS»NA»FreeAcctDeveloperFB-AnimatedOpenSource-Ch2»PRC1Q7</v></cell><cell r="D4413" t="str"><v>43312223862951</v></cell><cell r="E4413" t="str"><v>43312103048329PRC1Q7</v></cell><cell r="F4413" t="str"><v>DCM</v></cell><cell r="G4413" t="str"><v>https://azure.microsoft.com/en-us/free/open-source/search/?OCID=AID%eexcid!_OLA_%ebuy!_%epid!_%ecid!</v></cell></row><row r="4413"><cell r="K4413" t="str"><v>July</v></cell><cell r="L4413"><v>43316</v></cell><cell r="M4413" t="str"><v>Tier 0</v></cell><cell r="N4413" t="str"><v>North America</v></cell><cell r="O4413" t="str"><v>United States</v></cell><cell r="P4413" t="str"><v>Trial</v></cell><cell r="Q4413" t="str"><v>Social</v></cell><cell r="R4413" t="str"><v>Azure</v></cell><cell r="S4413" t="str"><v>Apps & Infra</v></cell><cell r="T4413" t="str"><v>Developers & ITI's</v></cell><cell r="U4413" t="str"><v>USA-Trial-ITD-Trial PayGo Lookalike-AZR-AZR</v></cell><cell r="V4413" t="str"><v>Lookalike Targeting</v></cell><cell r="W4413" t="str"><v>Link Ad</v></cell><cell r="X4413" t="str"><v>1x1</v></cell></row><row r="4413"><cell r="AA4413"><v>43312</v></cell><cell r="AB4413" t="str"><v>USA_gaPMG_AZR_AZR_Q1_19_Direct-Social</v></cell><cell r="AC4413"><v>21358715</v></cell><cell r="AD4413"><v>720197</v></cell><cell r="AE4413" t="str"><v>Facebook</v></cell><cell r="AF4413"><v>3654128</v></cell><cell r="AG4413" t="str"><v>FACEBOOK»USA-Trial-ITD-Trial PayGo Lookalike-AZR-AZR»1 x 1»SocialBan»LIA»ALL»CPA»LAL»X»NA»SS»NA»FreeAcctDeveloperFB-AnimatedOpenSource-Ch2»PRC1Q7</v></cell><cell r="AH4413"><v>223862951</v></cell><cell r="AI4413" t="str"><v>AZR_FreeAcctDeveloperFB-AnimatedOpenSource-Ch2_USA_1200x1200_CAN_Direct_English_Trial_Standard_ANI_LEA_T2_1</v></cell><cell r="AJ4413"><v>103048329</v></cell></row><row r="4414"><cell r="C4414" t="str"><v>43312FACEBOOK»USA-Trial-ITD-Trial PayGo Lookalike-AZR-AZR»1 x 1»SocialBan»LIA»ALL»CPA»LAL»X»NA»SS»NA»FreeAcctITProFB-AnimatedHybrid-Ch2»PRC1QC</v></cell><cell r="D4414" t="str"><v>43312223933186</v></cell><cell r="E4414" t="str"><v>43312103180583PRC1QC</v></cell><cell r="F4414" t="str"><v>DCM</v></cell></row><row r="4414"><cell r="K4414" t="str"><v>July</v></cell><cell r="L4414"><v>43316</v></cell><cell r="M4414" t="str"><v>Tier 0</v></cell><cell r="N4414" t="str"><v>North America</v></cell><cell r="O4414" t="str"><v>United States</v></cell><cell r="P4414" t="str"><v>Trial</v></cell><cell r="Q4414" t="str"><v>Social</v></cell><cell r="R4414" t="str"><v>Azure</v></cell><cell r="S4414" t="str"><v>Apps & Infra</v></cell><cell r="T4414" t="str"><v>Developers & ITI's</v></cell><cell r="U4414" t="str"><v>USA-Trial-ITD-Trial PayGo Lookalike-AZR-AZR</v></cell><cell r="V4414" t="str"><v>Lookalike Targeting</v></cell><cell r="W4414" t="str"><v>Link Ad</v></cell><cell r="X4414" t="str"><v>1x1</v></cell></row><row r="4414"><cell r="AA4414"><v>43312</v></cell><cell r="AB4414" t="str"><v>USA_gaPMG_AZR_AZR_Q1_19_Direct-Social</v></cell><cell r="AC4414"><v>21358715</v></cell><cell r="AD4414"><v>720197</v></cell><cell r="AE4414" t="str"><v>Facebook</v></cell><cell r="AF4414"><v>3654128</v></cell><cell r="AG4414" t="str"><v>FACEBOOK»USA-Trial-ITD-Trial PayGo Lookalike-AZR-AZR»1 x 1»SocialBan»LIA»ALL»CPA»LAL»X»NA»SS»NA»FreeAcctITProFB-AnimatedHybrid-Ch2»PRC1QC</v></cell><cell r="AH4414"><v>223933186</v></cell><cell r="AI4414" t="str"><v>AZR_FreeAcctITProFB-AnimatedHybrid-Ch2_USA_1200x1200_CAN_Direct_English_Trial_Standard_ANI_LEA_T2_2</v></cell><cell r="AJ4414"><v>103180583</v></cell></row><row r="4415"><cell r="C4415" t="str"><v>43312FACEBOOK»USA-Trial-ITD-Trial PayGo Lookalike-AZR-AZR»1 x 1»SocialBan»LIA»ALL»CPA»LAL»X»NA»SS»NA»FreeAcctITProFB-AnimatedMigration-Ch3»PRC23Y</v></cell><cell r="D4415" t="str"><v>43312224105904</v></cell><cell r="E4415" t="str"><v>43312103176827PRC23Y</v></cell><cell r="F4415" t="str"><v>DCM</v></cell></row><row r="4415"><cell r="K4415" t="str"><v>July</v></cell><cell r="L4415"><v>43316</v></cell><cell r="M4415" t="str"><v>Tier 0</v></cell><cell r="N4415" t="str"><v>North America</v></cell><cell r="O4415" t="str"><v>United States</v></cell><cell r="P4415" t="str"><v>Trial</v></cell><cell r="Q4415" t="str"><v>Social</v></cell><cell r="R4415" t="str"><v>Azure</v></cell><cell r="S4415" t="str"><v>Apps & Infra</v></cell><cell r="T4415" t="str"><v>Developers & ITI's</v></cell><cell r="U4415" t="str"><v>USA-Trial-ITD-Trial PayGo Lookalike-AZR-AZR</v></cell><cell r="V4415" t="str"><v>Lookalike Targeting</v></cell><cell r="W4415" t="str"><v>Link Ad</v></cell><cell r="X4415" t="str"><v>1x1</v></cell></row><row r="4415"><cell r="AA4415"><v>43312</v></cell><cell r="AB4415" t="str"><v>USA_gaPMG_AZR_AZR_Q1_19_Direct-Social</v></cell><cell r="AC4415"><v>21358715</v></cell><cell r="AD4415"><v>720197</v></cell><cell r="AE4415" t="str"><v>Facebook</v></cell><cell r="AF4415"><v>3654128</v></cell><cell r="AG4415" t="str"><v>FACEBOOK»USA-Trial-ITD-Trial PayGo Lookalike-AZR-AZR»1 x 1»SocialBan»LIA»ALL»CPA»LAL»X»NA»SS»NA»FreeAcctITProFB-AnimatedMigration-Ch3»PRC23Y</v></cell><cell r="AH4415"><v>224105904</v></cell><cell r="AI4415" t="str"><v>AZR_FreeAcctITProFB-AnimatedMigration-Ch3_USA_1200x1200_CAN_Direct_English_Trial_Standard_ANI_LEA_T3_1</v></cell><cell r="AJ4415"><v>103176827</v></cell></row><row r="4416"><cell r="C4416" t="str"><v>43312FACEBOOK»USA-Trial-ITD-Trial PayGo Lookalike-AZR-AZR»1 x 1»SocialBan»LIA»ALL»CPA»LAL»X»NA»SS»NA»FreeAcctITProFB-AnimatedSecureMngd-Ch1»PRC1QB</v></cell><cell r="D4416" t="str"><v>43312223862945</v></cell><cell r="E4416" t="str"><v>43312103176830PRC1QB</v></cell><cell r="F4416" t="str"><v>DCM</v></cell></row><row r="4416"><cell r="K4416" t="str"><v>July</v></cell><cell r="L4416"><v>43316</v></cell><cell r="M4416" t="str"><v>Tier 0</v></cell><cell r="N4416" t="str"><v>North America</v></cell><cell r="O4416" t="str"><v>United States</v></cell><cell r="P4416" t="str"><v>Trial</v></cell><cell r="Q4416" t="str"><v>Social</v></cell><cell r="R4416" t="str"><v>Azure</v></cell><cell r="S4416" t="str"><v>Apps & Infra</v></cell><cell r="T4416" t="str"><v>Developers & ITI's</v></cell><cell r="U4416" t="str"><v>USA-Trial-ITD-Trial PayGo Lookalike-AZR-AZR</v></cell><cell r="V4416" t="str"><v>Lookalike Targeting</v></cell><cell r="W4416" t="str"><v>Link Ad</v></cell><cell r="X4416" t="str"><v>1x1</v></cell></row><row r="4416"><cell r="AA4416"><v>43312</v></cell><cell r="AB4416" t="str"><v>USA_gaPMG_AZR_AZR_Q1_19_Direct-Social</v></cell><cell r="AC4416"><v>21358715</v></cell><cell r="AD4416"><v>720197</v></cell><cell r="AE4416" t="str"><v>Facebook</v></cell><cell r="AF4416"><v>3654128</v></cell><cell r="AG4416" t="str"><v>FACEBOOK»USA-Trial-ITD-Trial PayGo Lookalike-AZR-AZR»1 x 1»SocialBan»LIA»ALL»CPA»LAL»X»NA»SS»NA»FreeAcctITProFB-AnimatedSecureMngd-Ch1»PRC1QB</v></cell><cell r="AH4416"><v>223862945</v></cell><cell r="AI4416" t="str"><v>AZR_FreeAcctITProFB-AnimatedSecureMngd-Ch1_USA_1200x1200_CAN_Direct_English_Trial_Standard_ANI_LEA_T1_1</v></cell><cell r="AJ4416"><v>103176830</v></cell></row><row r="4417"><cell r="C4417" t="str"><v>43312INSTAGRAM»USA-Trial-ITD-Interest Prospecting-AZR-AZR»1 x 1»SocialBan»CAN»ALL»CPA»PRO»X»NA»SS»NA»IGCTCBenefit2inMotion»PRC2PD</v></cell><cell r="D4417" t="str"><v>43312223933084</v></cell><cell r="E4417" t="str"><v>43312103050786PRC2PD</v></cell><cell r="F4417" t="str"><v>DCM</v></cell><cell r="G4417" t="str"><v>https://azure.microsoft.com/en-us/pricing/purchase-options/?v=18.19&OCID=AID%eexcid!_OLA_%ebuy!_%epid!_%ecid!</v></cell></row><row r="4417"><cell r="K4417" t="str"><v>July</v></cell><cell r="L4417"><v>43316</v></cell><cell r="M4417" t="str"><v>Tier 0</v></cell><cell r="N4417" t="str"><v>North America</v></cell><cell r="O4417" t="str"><v>United States</v></cell><cell r="P4417" t="str"><v>Trial</v></cell><cell r="Q4417" t="str"><v>Social</v></cell><cell r="R4417" t="str"><v>Azure</v></cell><cell r="S4417" t="str"><v>Apps & Infra</v></cell><cell r="T4417" t="str"><v>Developers & ITI's</v></cell><cell r="U4417" t="str"><v>USA-Trial-ITD-Interest Prospecting-AZR-AZR</v></cell><cell r="V4417" t="str"><v>Prospecting</v></cell><cell r="W4417" t="str"><v>Canvas Ad</v></cell><cell r="X4417" t="str"><v>1x1</v></cell></row><row r="4417"><cell r="AA4417"><v>43312</v></cell><cell r="AB4417" t="str"><v>USA_gaPMG_AZR_AZR_Q1_19_Direct-Social</v></cell><cell r="AC4417"><v>21358715</v></cell><cell r="AD4417"><v>720197</v></cell><cell r="AE4417" t="str"><v>Facebook - Instagram</v></cell><cell r="AF4417"><v>3654128</v></cell><cell r="AG4417" t="str"><v>INSTAGRAM»USA-Trial-ITD-Interest Prospecting-AZR-AZR»1 x 1»SocialBan»CAN»ALL»CPA»PRO»X»NA»SS»NA»IGCTCBenefit2inMotion»PRC2PD</v></cell><cell r="AH4417"><v>223933084</v></cell><cell r="AI4417" t="str"><v>AzurePlatform_IGCTCBrandinMotion_USA_10s_CAN_PLATFORM_English_Trial_Standard_STAN_TIN_T2_2</v></cell><cell r="AJ4417"><v>103050786</v></cell></row><row r="4418"><cell r="C4418" t="str"><v>43312INSTAGRAM»USA-Trial-ITD-Interest Prospecting-AZR-AZR»1 x 1»SocialBan»CAN»ALL»CPA»PRO»X»NA»SS»NA»IGCTCBrandinMotion»PRC2PB</v></cell><cell r="D4418" t="str"><v>43312223862690</v></cell><cell r="E4418" t="str"><v>43312103050783PRC2PB</v></cell><cell r="F4418" t="str"><v>DCM</v></cell><cell r="G4418" t="str"><v>https://signup.azure.com/?OCID=AID%eexcid!_OLA_%ebuy!_%epid!_%ecid!</v></cell></row><row r="4418"><cell r="K4418" t="str"><v>July</v></cell><cell r="L4418"><v>43316</v></cell><cell r="M4418" t="str"><v>Tier 0</v></cell><cell r="N4418" t="str"><v>North America</v></cell><cell r="O4418" t="str"><v>United States</v></cell><cell r="P4418" t="str"><v>Trial</v></cell><cell r="Q4418" t="str"><v>Social</v></cell><cell r="R4418" t="str"><v>Azure</v></cell><cell r="S4418" t="str"><v>Apps & Infra</v></cell><cell r="T4418" t="str"><v>Developers & ITI's</v></cell><cell r="U4418" t="str"><v>USA-Trial-ITD-Interest Prospecting-AZR-AZR</v></cell><cell r="V4418" t="str"><v>Prospecting</v></cell><cell r="W4418" t="str"><v>Canvas Ad</v></cell><cell r="X4418" t="str"><v>1x1</v></cell></row><row r="4418"><cell r="AA4418"><v>43312</v></cell><cell r="AB4418" t="str"><v>USA_gaPMG_AZR_AZR_Q1_19_Direct-Social</v></cell><cell r="AC4418"><v>21358715</v></cell><cell r="AD4418"><v>720197</v></cell><cell r="AE4418" t="str"><v>Facebook - Instagram</v></cell><cell r="AF4418"><v>3654128</v></cell><cell r="AG4418" t="str"><v>INSTAGRAM»USA-Trial-ITD-Interest Prospecting-AZR-AZR»1 x 1»SocialBan»CAN»ALL»CPA»PRO»X»NA»SS»NA»IGCTCBrandinMotion»PRC2PB</v></cell><cell r="AH4418"><v>223862690</v></cell><cell r="AI4418" t="str"><v>AzurePlatform_IGCTCBenefit2inMotion_USA_10s_CAN_PLATFORM_English_Trial_Standard_STAN_TIN_T4_1</v></cell><cell r="AJ4418"><v>103050783</v></cell></row><row r="4419"><cell r="C4419" t="str"><v>43312INSTAGRAM»USA-Trial-ITD-Interest Prospecting-AZR-AZR»1 x 1»SocialBan»CAN»ALL»CPA»PRO»X»NA»SS»NA»IGCTCBrandinMotion»PRC2PB</v></cell><cell r="D4419" t="str"><v>43312223862690</v></cell><cell r="E4419" t="str"><v>43312103178714PRC2PB</v></cell><cell r="F4419" t="str"><v>DCM</v></cell><cell r="G4419" t="str"><v>https://azure.microsoft.com/en-us/pricing/purchase-options/?v=18.19&OCID=AID%eexcid!_OLA_%ebuy!_%epid!_%ecid!</v></cell></row><row r="4419"><cell r="K4419" t="str"><v>July</v></cell><cell r="L4419"><v>43316</v></cell><cell r="M4419" t="str"><v>Tier 0</v></cell><cell r="N4419" t="str"><v>North America</v></cell><cell r="O4419" t="str"><v>United States</v></cell><cell r="P4419" t="str"><v>Trial</v></cell><cell r="Q4419" t="str"><v>Social</v></cell><cell r="R4419" t="str"><v>Azure</v></cell><cell r="S4419" t="str"><v>Apps & Infra</v></cell><cell r="T4419" t="str"><v>Developers & ITI's</v></cell><cell r="U4419" t="str"><v>USA-Trial-ITD-Interest Prospecting-AZR-AZR</v></cell><cell r="V4419" t="str"><v>Prospecting</v></cell><cell r="W4419" t="str"><v>Canvas Ad</v></cell><cell r="X4419" t="str"><v>1x1</v></cell></row><row r="4419"><cell r="AA4419"><v>43312</v></cell><cell r="AB4419" t="str"><v>USA_gaPMG_AZR_AZR_Q1_19_Direct-Social</v></cell><cell r="AC4419"><v>21358715</v></cell><cell r="AD4419"><v>720197</v></cell><cell r="AE4419" t="str"><v>Facebook - Instagram</v></cell><cell r="AF4419"><v>3654128</v></cell><cell r="AG4419" t="str"><v>INSTAGRAM»USA-Trial-ITD-Interest Prospecting-AZR-AZR»1 x 1»SocialBan»CAN»ALL»CPA»PRO»X»NA»SS»NA»IGCTCBrandinMotion»PRC2PB</v></cell><cell r="AH4419"><v>223862690</v></cell><cell r="AI4419" t="str"><v>AzurePlatform_IGCTCBenefit2inMotion_USA_10s_CAN_PLATFORM_English_Trial_Standard_STAN_TIN_T4_2</v></cell><cell r="AJ4419"><v>103178714</v></cell></row><row r="4420"><cell r="C4420" t="str"><v>43312INSTAGRAM»USA-Trial-ITD-Trial Lookalike-AZR-AZR»1 x 1»SocialBan»CAN»ALL»CPA»LAL»X»NA»SS»NA»IGCTCBenefit2inMotion»PRC2FL</v></cell><cell r="D4420" t="str"><v>43312223935022</v></cell><cell r="E4420" t="str"><v>43312103050786PRC2FL</v></cell><cell r="F4420" t="str"><v>DCM</v></cell><cell r="G4420" t="str"><v>https://azure.microsoft.com/en-us/pricing/purchase-options/?v=18.19&OCID=AID%eexcid!_OLA_%ebuy!_%epid!_%ecid!</v></cell></row><row r="4420"><cell r="K4420" t="str"><v>July</v></cell><cell r="L4420"><v>43316</v></cell><cell r="M4420" t="str"><v>Tier 0</v></cell><cell r="N4420" t="str"><v>North America</v></cell><cell r="O4420" t="str"><v>United States</v></cell><cell r="P4420" t="str"><v>Trial</v></cell><cell r="Q4420" t="str"><v>Social</v></cell><cell r="R4420" t="str"><v>Azure</v></cell><cell r="S4420" t="str"><v>Apps & Infra</v></cell><cell r="T4420" t="str"><v>Developers & ITI's</v></cell><cell r="U4420" t="str"><v>USA-Trial-ITD-Trial Lookalike-AZR-AZR</v></cell><cell r="V4420" t="str"><v>Lookalike Targeting</v></cell><cell r="W4420" t="str"><v>Canvas Ad</v></cell><cell r="X4420" t="str"><v>1x1</v></cell></row><row r="4420"><cell r="AA4420"><v>43312</v></cell><cell r="AB4420" t="str"><v>USA_gaPMG_AZR_AZR_Q1_19_Direct-Social</v></cell><cell r="AC4420"><v>21358715</v></cell><cell r="AD4420"><v>720197</v></cell><cell r="AE4420" t="str"><v>Facebook - Instagram</v></cell><cell r="AF4420"><v>3654128</v></cell><cell r="AG4420" t="str"><v>INSTAGRAM»USA-Trial-ITD-Trial Lookalike-AZR-AZR»1 x 1»SocialBan»CAN»ALL»CPA»LAL»X»NA»SS»NA»IGCTCBenefit2inMotion»PRC2FL</v></cell><cell r="AH4420"><v>223935022</v></cell><cell r="AI4420" t="str"><v>AzurePlatform_IGCTCBrandinMotion_USA_10s_CAN_PLATFORM_English_Trial_Standard_STAN_TIN_T2_2</v></cell><cell r="AJ4420"><v>103050786</v></cell></row><row r="4421"><cell r="C4421" t="str"><v>43312INSTAGRAM»USA-Trial-ITD-Trial Lookalike-AZR-AZR»1 x 1»SocialBan»CAN»ALL»CPA»LAL»X»NA»SS»NA»IGCTCBrandinMotion»PRC2FH</v></cell><cell r="D4421" t="str"><v>43312223935019</v></cell><cell r="E4421" t="str"><v>43312103050783PRC2FH</v></cell><cell r="F4421" t="str"><v>DCM</v></cell><cell r="G4421" t="str"><v>https://signup.azure.com/?OCID=AID%eexcid!_OLA_%ebuy!_%epid!_%ecid!</v></cell></row><row r="4421"><cell r="K4421" t="str"><v>July</v></cell><cell r="L4421"><v>43316</v></cell><cell r="M4421" t="str"><v>Tier 0</v></cell><cell r="N4421" t="str"><v>North America</v></cell><cell r="O4421" t="str"><v>United States</v></cell><cell r="P4421" t="str"><v>Trial</v></cell><cell r="Q4421" t="str"><v>Social</v></cell><cell r="R4421" t="str"><v>Azure</v></cell><cell r="S4421" t="str"><v>Apps & Infra</v></cell><cell r="T4421" t="str"><v>Developers & ITI's</v></cell><cell r="U4421" t="str"><v>USA-Trial-ITD-Trial Lookalike-AZR-AZR</v></cell><cell r="V4421" t="str"><v>Lookalike Targeting</v></cell><cell r="W4421" t="str"><v>Canvas Ad</v></cell><cell r="X4421" t="str"><v>1x1</v></cell></row><row r="4421"><cell r="AA4421"><v>43312</v></cell><cell r="AB4421" t="str"><v>USA_gaPMG_AZR_AZR_Q1_19_Direct-Social</v></cell><cell r="AC4421"><v>21358715</v></cell><cell r="AD4421"><v>720197</v></cell><cell r="AE4421" t="str"><v>Facebook - Instagram</v></cell><cell r="AF4421"><v>3654128</v></cell><cell r="AG4421" t="str"><v>INSTAGRAM»USA-Trial-ITD-Trial Lookalike-AZR-AZR»1 x 1»SocialBan»CAN»ALL»CPA»LAL»X»NA»SS»NA»IGCTCBrandinMotion»PRC2FH</v></cell><cell r="AH4421"><v>223935019</v></cell><cell r="AI4421" t="str"><v>AzurePlatform_IGCTCBenefit2inMotion_USA_10s_CAN_PLATFORM_English_Trial_Standard_STAN_TIN_T4_1</v></cell><cell r="AJ4421"><v>103050783</v></cell></row><row r="4422"><cell r="C4422" t="str"><v>43312INSTAGRAM»USA-Trial-ITD-Trial Lookalike-AZR-AZR»1 x 1»SocialBan»CAN»ALL»CPA»LAL»X»NA»SS»NA»IGCTCBrandinMotion»PRC2FH</v></cell><cell r="D4422" t="str"><v>43312223935019</v></cell><cell r="E4422" t="str"><v>43312103178714PRC2FH</v></cell><cell r="F4422" t="str"><v>DCM</v></cell><cell r="G4422" t="str"><v>https://azure.microsoft.com/en-us/pricing/purchase-options/?v=18.19&OCID=AID%eexcid!_OLA_%ebuy!_%epid!_%ecid!</v></cell></row><row r="4422"><cell r="K4422" t="str"><v>July</v></cell><cell r="L4422"><v>43316</v></cell><cell r="M4422" t="str"><v>Tier 0</v></cell><cell r="N4422" t="str"><v>North America</v></cell><cell r="O4422" t="str"><v>United States</v></cell><cell r="P4422" t="str"><v>Trial</v></cell><cell r="Q4422" t="str"><v>Social</v></cell><cell r="R4422" t="str"><v>Azure</v></cell><cell r="S4422" t="str"><v>Apps & Infra</v></cell><cell r="T4422" t="str"><v>Developers & ITI's</v></cell><cell r="U4422" t="str"><v>USA-Trial-ITD-Trial Lookalike-AZR-AZR</v></cell><cell r="V4422" t="str"><v>Lookalike Targeting</v></cell><cell r="W4422" t="str"><v>Canvas Ad</v></cell><cell r="X4422" t="str"><v>1x1</v></cell></row><row r="4422"><cell r="AA4422"><v>43312</v></cell><cell r="AB4422" t="str"><v>USA_gaPMG_AZR_AZR_Q1_19_Direct-Social</v></cell><cell r="AC4422"><v>21358715</v></cell><cell r="AD4422"><v>720197</v></cell><cell r="AE4422" t="str"><v>Facebook - Instagram</v></cell><cell r="AF4422"><v>3654128</v></cell><cell r="AG4422" t="str"><v>INSTAGRAM»USA-Trial-ITD-Trial Lookalike-AZR-AZR»1 x 1»SocialBan»CAN»ALL»CPA»LAL»X»NA»SS»NA»IGCTCBrandinMotion»PRC2FH</v></cell><cell r="AH4422"><v>223935019</v></cell><cell r="AI4422" t="str"><v>AzurePlatform_IGCTCBenefit2inMotion_USA_10s_CAN_PLATFORM_English_Trial_Standard_STAN_TIN_T4_2</v></cell><cell r="AJ4422"><v>103178714</v></cell></row><row r="4423"><cell r="C4423" t="str"><v>43312INSTAGRAM»USA-Trial-ITD-Trial PayGo Lookalike-AZR-AZR»1 x 1»SocialBan»CAN»ALL»CPA»LAL»X»NA»SS»NA»IGCTCBrandinMotion»PRC2FW</v></cell><cell r="D4423" t="str"><v>43312223862654</v></cell><cell r="E4423" t="str"><v>43312103050783PRC2FW</v></cell><cell r="F4423" t="str"><v>DCM</v></cell><cell r="G4423" t="str"><v>https://signup.azure.com/?OCID=AID%eexcid!_OLA_%ebuy!_%epid!_%ecid!</v></cell></row><row r="4423"><cell r="K4423" t="str"><v>July</v></cell><cell r="L4423"><v>43316</v></cell><cell r="M4423" t="str"><v>Tier 0</v></cell><cell r="N4423" t="str"><v>North America</v></cell><cell r="O4423" t="str"><v>United States</v></cell><cell r="P4423" t="str"><v>Trial</v></cell><cell r="Q4423" t="str"><v>Social</v></cell><cell r="R4423" t="str"><v>Azure</v></cell><cell r="S4423" t="str"><v>Apps & Infra</v></cell><cell r="T4423" t="str"><v>Developers & ITI's</v></cell><cell r="U4423" t="str"><v>USA-Trial-ITD-Trial PayGo Lookalike-AZR-AZR</v></cell><cell r="V4423" t="str"><v>Lookalike Targeting</v></cell><cell r="W4423" t="str"><v>Canvas Ad</v></cell><cell r="X4423" t="str"><v>1x1</v></cell></row><row r="4423"><cell r="AA4423"><v>43312</v></cell><cell r="AB4423" t="str"><v>USA_gaPMG_AZR_AZR_Q1_19_Direct-Social</v></cell><cell r="AC4423"><v>21358715</v></cell><cell r="AD4423"><v>720197</v></cell><cell r="AE4423" t="str"><v>Facebook - Instagram</v></cell><cell r="AF4423"><v>3654128</v></cell><cell r="AG4423" t="str"><v>INSTAGRAM»USA-Trial-ITD-Trial PayGo Lookalike-AZR-AZR»1 x 1»SocialBan»CAN»ALL»CPA»LAL»X»NA»SS»NA»IGCTCBrandinMotion»PRC2FW</v></cell><cell r="AH4423"><v>223862654</v></cell><cell r="AI4423" t="str"><v>AzurePlatform_IGCTCBenefit2inMotion_USA_10s_CAN_PLATFORM_English_Trial_Standard_STAN_TIN_T4_1</v></cell><cell r="AJ4423"><v>103050783</v></cell></row><row r="4424"><cell r="C4424" t="str"><v>43312INSTAGRAM»USA-Trial-ITD-Trial PayGo Lookalike-AZR-AZR»1 x 1»SocialBan»CAN»ALL»CPA»LAL»X»NA»SS»NA»IGCTCBenefit2inMotion»PRC2FZ</v></cell><cell r="D4424" t="str"><v>43312223933075</v></cell><cell r="E4424" t="str"><v>43312103180628PRC2FZ</v></cell><cell r="F4424" t="str"><v>DCM</v></cell><cell r="G4424" t="str"><v>https://signup.azure.com/?OCID=AID%eexcid!_OLA_%ebuy!_%epid!_%ecid!</v></cell></row><row r="4424"><cell r="K4424" t="str"><v>July</v></cell><cell r="L4424"><v>43316</v></cell><cell r="M4424" t="str"><v>Tier 0</v></cell><cell r="N4424" t="str"><v>North America</v></cell><cell r="O4424" t="str"><v>United States</v></cell><cell r="P4424" t="str"><v>Trial</v></cell><cell r="Q4424" t="str"><v>Social</v></cell><cell r="R4424" t="str"><v>Azure</v></cell><cell r="S4424" t="str"><v>Apps & Infra</v></cell><cell r="T4424" t="str"><v>Developers & ITI's</v></cell><cell r="U4424" t="str"><v>USA-Trial-ITD-Trial PayGo Lookalike-AZR-AZR</v></cell><cell r="V4424" t="str"><v>Lookalike Targeting</v></cell><cell r="W4424" t="str"><v>Canvas Ad</v></cell><cell r="X4424" t="str"><v>1x1</v></cell></row><row r="4424"><cell r="AA4424"><v>43312</v></cell><cell r="AB4424" t="str"><v>USA_gaPMG_AZR_AZR_Q1_19_Direct-Social</v></cell><cell r="AC4424"><v>21358715</v></cell><cell r="AD4424"><v>720197</v></cell><cell r="AE4424" t="str"><v>Facebook - Instagram</v></cell><cell r="AF4424"><v>3654128</v></cell><cell r="AG4424" t="str"><v>INSTAGRAM»USA-Trial-ITD-Trial PayGo Lookalike-AZR-AZR»1 x 1»SocialBan»CAN»ALL»CPA»LAL»X»NA»SS»NA»IGCTCBenefit2inMotion»PRC2FZ</v></cell><cell r="AH4424"><v>223933075</v></cell><cell r="AI4424" t="str"><v>AzurePlatform_IGCTCBrandinMotion_USA_10s_CAN_PLATFORM_English_Trial_Standard_STAN_TIN_T2_1</v></cell><cell r="AJ4424"><v>103180628</v></cell></row><row r="4425"><cell r="C4425" t="str"><v>43312INSTAGRAM»USA-Trial-ITD-Interest Prospecting-AZR-AZR»1 x 1»SocialBan»CAN»ALL»CPA»PRO»X»NA»SS»NA»IGCTCBasicMotion»PRC2PF</v></cell><cell r="D4425" t="str"><v>43312224106621</v></cell><cell r="E4425" t="str"><v>43312103037968PRC2PF</v></cell><cell r="F4425" t="str"><v>DCM</v></cell><cell r="G4425" t="str"><v>https://signup.azure.com/?OCID=AID%eexcid!_OLA_%ebuy!_%epid!_%ecid!</v></cell></row><row r="4425"><cell r="K4425" t="str"><v>July</v></cell><cell r="L4425"><v>43316</v></cell><cell r="M4425" t="str"><v>Tier 0</v></cell><cell r="N4425" t="str"><v>North America</v></cell><cell r="O4425" t="str"><v>United States</v></cell><cell r="P4425" t="str"><v>Trial</v></cell><cell r="Q4425" t="str"><v>Social</v></cell><cell r="R4425" t="str"><v>Azure</v></cell><cell r="S4425" t="str"><v>Apps & Infra</v></cell><cell r="T4425" t="str"><v>Developers & ITI's</v></cell><cell r="U4425" t="str"><v>USA-Trial-ITD-Interest Prospecting-AZR-AZR</v></cell><cell r="V4425" t="str"><v>Prospecting</v></cell><cell r="W4425" t="str"><v>Canvas Ad</v></cell><cell r="X4425" t="str"><v>1x1</v></cell></row><row r="4425"><cell r="AA4425"><v>43312</v></cell><cell r="AB4425" t="str"><v>USA_gaPMG_AZR_AZR_Q1_19_Direct-Social</v></cell><cell r="AC4425"><v>21358715</v></cell><cell r="AD4425"><v>720197</v></cell><cell r="AE4425" t="str"><v>Facebook - Instagram</v></cell><cell r="AF4425"><v>3654128</v></cell><cell r="AG4425" t="str"><v>INSTAGRAM»USA-Trial-ITD-Interest Prospecting-AZR-AZR»1 x 1»SocialBan»CAN»ALL»CPA»PRO»X»NA»SS»NA»IGCTCBasicMotion»PRC2PF</v></cell><cell r="AH4425"><v>224106621</v></cell><cell r="AI4425" t="str"><v>AzurePlatform_IGCTCBasicMotion_USA_10s_CAN_PLATFORM_English_Trial_Standard_STAN_TIN_T1_1</v></cell><cell r="AJ4425"><v>103037968</v></cell></row><row r="4426"><cell r="C4426" t="str"><v>43312INSTAGRAM»USA-Trial-ITD-Interest Prospecting-AZR-AZR»1 x 1»SocialBan»CAN»ALL»CPA»PRO»X»NA»SS»NA»IGCTCBasicMotion»PRC2PF</v></cell><cell r="D4426" t="str"><v>43312224106621</v></cell><cell r="E4426" t="str"><v>43312103037974PRC2PF</v></cell><cell r="F4426" t="str"><v>DCM</v></cell><cell r="G4426" t="str"><v>https://azure.microsoft.com/en-us/pricing/purchase-options/?v=18.19&OCID=AID%eexcid!_OLA_%ebuy!_%epid!_%ecid!</v></cell></row><row r="4426"><cell r="K4426" t="str"><v>July</v></cell><cell r="L4426"><v>43316</v></cell><cell r="M4426" t="str"><v>Tier 0</v></cell><cell r="N4426" t="str"><v>North America</v></cell><cell r="O4426" t="str"><v>United States</v></cell><cell r="P4426" t="str"><v>Trial</v></cell><cell r="Q4426" t="str"><v>Social</v></cell><cell r="R4426" t="str"><v>Azure</v></cell><cell r="S4426" t="str"><v>Apps & Infra</v></cell><cell r="T4426" t="str"><v>Developers & ITI's</v></cell><cell r="U4426" t="str"><v>USA-Trial-ITD-Interest Prospecting-AZR-AZR</v></cell><cell r="V4426" t="str"><v>Prospecting</v></cell><cell r="W4426" t="str"><v>Canvas Ad</v></cell><cell r="X4426" t="str"><v>1x1</v></cell></row><row r="4426"><cell r="AA4426"><v>43312</v></cell><cell r="AB4426" t="str"><v>USA_gaPMG_AZR_AZR_Q1_19_Direct-Social</v></cell><cell r="AC4426"><v>21358715</v></cell><cell r="AD4426"><v>720197</v></cell><cell r="AE4426" t="str"><v>Facebook - Instagram</v></cell><cell r="AF4426"><v>3654128</v></cell><cell r="AG4426" t="str"><v>INSTAGRAM»USA-Trial-ITD-Interest Prospecting-AZR-AZR»1 x 1»SocialBan»CAN»ALL»CPA»PRO»X»NA»SS»NA»IGCTCBasicMotion»PRC2PF</v></cell><cell r="AH4426"><v>224106621</v></cell><cell r="AI4426" t="str"><v>AzurePlatform_IGCTCBasicMotion_USA_10s_CAN_PLATFORM_English_Trial_Standard_STAN_TIN_T1_2</v></cell><cell r="AJ4426"><v>103037974</v></cell></row><row r="4427"><cell r="C4427" t="str"><v>43312INSTAGRAM»USA-Trial-ITD-Interest Prospecting-AZR-AZR»1 x 1»SocialBan»CAN»ALL»CPA»PRO»X»NA»SS»NA»IGCTCBenefitinMotion»PRC2PC</v></cell><cell r="D4427" t="str"><v>43312224104878</v></cell><cell r="E4427" t="str"><v>43312103050780PRC2PC</v></cell><cell r="F4427" t="str"><v>DCM</v></cell><cell r="G4427" t="str"><v>https://signup.azure.com/?OCID=AID%eexcid!_OLA_%ebuy!_%epid!_%ecid!</v></cell></row><row r="4427"><cell r="K4427" t="str"><v>July</v></cell><cell r="L4427"><v>43316</v></cell><cell r="M4427" t="str"><v>Tier 0</v></cell><cell r="N4427" t="str"><v>North America</v></cell><cell r="O4427" t="str"><v>United States</v></cell><cell r="P4427" t="str"><v>Trial</v></cell><cell r="Q4427" t="str"><v>Social</v></cell><cell r="R4427" t="str"><v>Azure</v></cell><cell r="S4427" t="str"><v>Apps & Infra</v></cell><cell r="T4427" t="str"><v>Developers & ITI's</v></cell><cell r="U4427" t="str"><v>USA-Trial-ITD-Interest Prospecting-AZR-AZR</v></cell><cell r="V4427" t="str"><v>Prospecting</v></cell><cell r="W4427" t="str"><v>Canvas Ad</v></cell><cell r="X4427" t="str"><v>1x1</v></cell></row><row r="4427"><cell r="AA4427"><v>43312</v></cell><cell r="AB4427" t="str"><v>USA_gaPMG_AZR_AZR_Q1_19_Direct-Social</v></cell><cell r="AC4427"><v>21358715</v></cell><cell r="AD4427"><v>720197</v></cell><cell r="AE4427" t="str"><v>Facebook - Instagram</v></cell><cell r="AF4427"><v>3654128</v></cell><cell r="AG4427" t="str"><v>INSTAGRAM»USA-Trial-ITD-Interest Prospecting-AZR-AZR»1 x 1»SocialBan»CAN»ALL»CPA»PRO»X»NA»SS»NA»IGCTCBenefitinMotion»PRC2PC</v></cell><cell r="AH4427"><v>224104878</v></cell><cell r="AI4427" t="str"><v>AzurePlatform_IGCTCBenefitinMotion_USA_10s_CAN_PLATFORM_English_Trial_Standard_STAN_TIN_T3_1</v></cell><cell r="AJ4427"><v>103050780</v></cell></row><row r="4428"><cell r="C4428" t="str"><v>43312INSTAGRAM»USA-Trial-ITD-Trial Lookalike-AZR-AZR»1 x 1»SocialBan»CAN»ALL»CPA»LAL»X»NA»SS»NA»IGCTCBasicMotion»PRC0C2</v></cell><cell r="D4428" t="str"><v>43312224107017</v></cell><cell r="E4428" t="str"><v>43312103037968PRC0C2</v></cell><cell r="F4428" t="str"><v>DCM</v></cell><cell r="G4428" t="str"><v>https://signup.azure.com/?OCID=AID%eexcid!_OLA_%ebuy!_%epid!_%ecid!</v></cell></row><row r="4428"><cell r="K4428" t="str"><v>July</v></cell><cell r="L4428"><v>43316</v></cell><cell r="M4428" t="str"><v>Tier 0</v></cell><cell r="N4428" t="str"><v>North America</v></cell><cell r="O4428" t="str"><v>United States</v></cell><cell r="P4428" t="str"><v>Trial</v></cell><cell r="Q4428" t="str"><v>Social</v></cell><cell r="R4428" t="str"><v>Azure</v></cell><cell r="S4428" t="str"><v>Apps & Infra</v></cell><cell r="T4428" t="str"><v>Developers & ITI's</v></cell><cell r="U4428" t="str"><v>USA-Trial-ITD-Trial Lookalike-AZR-AZR</v></cell><cell r="V4428" t="str"><v>Lookalike Targeting</v></cell><cell r="W4428" t="str"><v>Canvas Ad</v></cell><cell r="X4428" t="str"><v>1x1</v></cell></row><row r="4428"><cell r="AA4428"><v>43312</v></cell><cell r="AB4428" t="str"><v>USA_gaPMG_AZR_AZR_Q1_19_Direct-Social</v></cell><cell r="AC4428"><v>21358715</v></cell><cell r="AD4428"><v>720197</v></cell><cell r="AE4428" t="str"><v>Facebook - Instagram</v></cell><cell r="AF4428"><v>3654128</v></cell><cell r="AG4428" t="str"><v>INSTAGRAM»USA-Trial-ITD-Trial Lookalike-AZR-AZR»1 x 1»SocialBan»CAN»ALL»CPA»LAL»X»NA»SS»NA»IGCTCBasicMotion»PRC0C2</v></cell><cell r="AH4428"><v>224107017</v></cell><cell r="AI4428" t="str"><v>AzurePlatform_IGCTCBasicMotion_USA_10s_CAN_PLATFORM_English_Trial_Standard_STAN_TIN_T1_1</v></cell><cell r="AJ4428"><v>103037968</v></cell></row><row r="4429"><cell r="C4429" t="str"><v>43312INSTAGRAM»USA-Trial-ITD-Trial Lookalike-AZR-AZR»1 x 1»SocialBan»CAN»ALL»CPA»LAL»X»NA»SS»NA»IGCTCBasicMotion»PRC0C2</v></cell><cell r="D4429" t="str"><v>43312224107017</v></cell><cell r="E4429" t="str"><v>43312103037974PRC0C2</v></cell><cell r="F4429" t="str"><v>DCM</v></cell><cell r="G4429" t="str"><v>https://azure.microsoft.com/en-us/pricing/purchase-options/?v=18.19&OCID=AID%eexcid!_OLA_%ebuy!_%epid!_%ecid!</v></cell></row><row r="4429"><cell r="K4429" t="str"><v>July</v></cell><cell r="L4429"><v>43316</v></cell><cell r="M4429" t="str"><v>Tier 0</v></cell><cell r="N4429" t="str"><v>North America</v></cell><cell r="O4429" t="str"><v>United States</v></cell><cell r="P4429" t="str"><v>Trial</v></cell><cell r="Q4429" t="str"><v>Social</v></cell><cell r="R4429" t="str"><v>Azure</v></cell><cell r="S4429" t="str"><v>Apps & Infra</v></cell><cell r="T4429" t="str"><v>Developers & ITI's</v></cell><cell r="U4429" t="str"><v>USA-Trial-ITD-Trial Lookalike-AZR-AZR</v></cell><cell r="V4429" t="str"><v>Lookalike Targeting</v></cell><cell r="W4429" t="str"><v>Canvas Ad</v></cell><cell r="X4429" t="str"><v>1x1</v></cell></row><row r="4429"><cell r="AA4429"><v>43312</v></cell><cell r="AB4429" t="str"><v>USA_gaPMG_AZR_AZR_Q1_19_Direct-Social</v></cell><cell r="AC4429"><v>21358715</v></cell><cell r="AD4429"><v>720197</v></cell><cell r="AE4429" t="str"><v>Facebook - Instagram</v></cell><cell r="AF4429"><v>3654128</v></cell><cell r="AG4429" t="str"><v>INSTAGRAM»USA-Trial-ITD-Trial Lookalike-AZR-AZR»1 x 1»SocialBan»CAN»ALL»CPA»LAL»X»NA»SS»NA»IGCTCBasicMotion»PRC0C2</v></cell><cell r="AH4429"><v>224107017</v></cell><cell r="AI4429" t="str"><v>AzurePlatform_IGCTCBasicMotion_USA_10s_CAN_PLATFORM_English_Trial_Standard_STAN_TIN_T1_2</v></cell><cell r="AJ4429"><v>103037974</v></cell></row><row r="4430"><cell r="C4430" t="str"><v>43312INSTAGRAM»USA-Trial-ITD-Trial Lookalike-AZR-AZR»1 x 1»SocialBan»CAN»ALL»CPA»LAL»X»NA»SS»NA»IGCTCBenefitinMotion»PRC2FK</v></cell><cell r="D4430" t="str"><v>43312224107542</v></cell><cell r="E4430" t="str"><v>43312103050780PRC2FK</v></cell><cell r="F4430" t="str"><v>DCM</v></cell><cell r="G4430" t="str"><v>https://signup.azure.com/?OCID=AID%eexcid!_OLA_%ebuy!_%epid!_%ecid!</v></cell></row><row r="4430"><cell r="K4430" t="str"><v>July</v></cell><cell r="L4430"><v>43316</v></cell><cell r="M4430" t="str"><v>Tier 0</v></cell><cell r="N4430" t="str"><v>North America</v></cell><cell r="O4430" t="str"><v>United States</v></cell><cell r="P4430" t="str"><v>Trial</v></cell><cell r="Q4430" t="str"><v>Social</v></cell><cell r="R4430" t="str"><v>Azure</v></cell><cell r="S4430" t="str"><v>Apps & Infra</v></cell><cell r="T4430" t="str"><v>Developers & ITI's</v></cell><cell r="U4430" t="str"><v>USA-Trial-ITD-Trial Lookalike-AZR-AZR</v></cell><cell r="V4430" t="str"><v>Lookalike Targeting</v></cell><cell r="W4430" t="str"><v>Canvas Ad</v></cell><cell r="X4430" t="str"><v>1x1</v></cell></row><row r="4430"><cell r="AA4430"><v>43312</v></cell><cell r="AB4430" t="str"><v>USA_gaPMG_AZR_AZR_Q1_19_Direct-Social</v></cell><cell r="AC4430"><v>21358715</v></cell><cell r="AD4430"><v>720197</v></cell><cell r="AE4430" t="str"><v>Facebook - Instagram</v></cell><cell r="AF4430"><v>3654128</v></cell><cell r="AG4430" t="str"><v>INSTAGRAM»USA-Trial-ITD-Trial Lookalike-AZR-AZR»1 x 1»SocialBan»CAN»ALL»CPA»LAL»X»NA»SS»NA»IGCTCBenefitinMotion»PRC2FK</v></cell><cell r="AH4430"><v>224107542</v></cell><cell r="AI4430" t="str"><v>AzurePlatform_IGCTCBenefitinMotion_USA_10s_CAN_PLATFORM_English_Trial_Standard_STAN_TIN_T3_1</v></cell><cell r="AJ4430"><v>103050780</v></cell></row><row r="4431"><cell r="C4431" t="str"><v>43312INSTAGRAM»USA-Trial-ITD-Trial Lookalike-AZR-AZR»1 x 1»SocialBan»CAN»ALL»CPA»LAL»X»NA»SS»NA»IGCTCBenefitinMotion»PRC2FK</v></cell><cell r="D4431" t="str"><v>43312224107542</v></cell><cell r="E4431" t="str"><v>43312103180637PRC2FK</v></cell><cell r="F4431" t="str"><v>DCM</v></cell><cell r="G4431" t="str"><v>https://azure.microsoft.com/en-us/pricing/purchase-options/?v=18.19&OCID=AID%eexcid!_OLA_%ebuy!_%epid!_%ecid!</v></cell></row><row r="4431"><cell r="K4431" t="str"><v>July</v></cell><cell r="L4431"><v>43316</v></cell><cell r="M4431" t="str"><v>Tier 0</v></cell><cell r="N4431" t="str"><v>North America</v></cell><cell r="O4431" t="str"><v>United States</v></cell><cell r="P4431" t="str"><v>Trial</v></cell><cell r="Q4431" t="str"><v>Social</v></cell><cell r="R4431" t="str"><v>Azure</v></cell><cell r="S4431" t="str"><v>Apps & Infra</v></cell><cell r="T4431" t="str"><v>Developers & ITI's</v></cell><cell r="U4431" t="str"><v>USA-Trial-ITD-Trial Lookalike-AZR-AZR</v></cell><cell r="V4431" t="str"><v>Lookalike Targeting</v></cell><cell r="W4431" t="str"><v>Canvas Ad</v></cell><cell r="X4431" t="str"><v>1x1</v></cell></row><row r="4431"><cell r="AA4431"><v>43312</v></cell><cell r="AB4431" t="str"><v>USA_gaPMG_AZR_AZR_Q1_19_Direct-Social</v></cell><cell r="AC4431"><v>21358715</v></cell><cell r="AD4431"><v>720197</v></cell><cell r="AE4431" t="str"><v>Facebook - Instagram</v></cell><cell r="AF4431"><v>3654128</v></cell><cell r="AG4431" t="str"><v>INSTAGRAM»USA-Trial-ITD-Trial Lookalike-AZR-AZR»1 x 1»SocialBan»CAN»ALL»CPA»LAL»X»NA»SS»NA»IGCTCBenefitinMotion»PRC2FK</v></cell><cell r="AH4431"><v>224107542</v></cell><cell r="AI4431" t="str"><v>AzurePlatform_IGCTCBenefitinMotion_USA_10s_CAN_PLATFORM_English_Trial_Standard_STAN_TIN_T3_2</v></cell><cell r="AJ4431"><v>103180637</v></cell></row><row r="4432"><cell r="C4432" t="str"><v>43312INSTAGRAM»USA-Trial-ITD-Trial PayGo Lookalike-AZR-AZR»1 x 1»SocialBan»CAN»ALL»CPA»LAL»X»NA»SS»NA»IGCTCBasicMotion»PRC2G0</v></cell><cell r="D4432" t="str"><v>43312224106891</v></cell><cell r="E4432" t="str"><v>43312103037968PRC2G0</v></cell><cell r="F4432" t="str"><v>DCM</v></cell><cell r="G4432" t="str"><v>https://signup.azure.com/?OCID=AID%eexcid!_OLA_%ebuy!_%epid!_%ecid!</v></cell></row><row r="4432"><cell r="K4432" t="str"><v>July</v></cell><cell r="L4432"><v>43316</v></cell><cell r="M4432" t="str"><v>Tier 0</v></cell><cell r="N4432" t="str"><v>North America</v></cell><cell r="O4432" t="str"><v>United States</v></cell><cell r="P4432" t="str"><v>Trial</v></cell><cell r="Q4432" t="str"><v>Social</v></cell><cell r="R4432" t="str"><v>Azure</v></cell><cell r="S4432" t="str"><v>Apps & Infra</v></cell><cell r="T4432" t="str"><v>Developers & ITI's</v></cell><cell r="U4432" t="str"><v>USA-Trial-ITD-Trial PayGo Lookalike-AZR-AZR</v></cell><cell r="V4432" t="str"><v>Lookalike Targeting</v></cell><cell r="W4432" t="str"><v>Canvas Ad</v></cell><cell r="X4432" t="str"><v>1x1</v></cell></row><row r="4432"><cell r="AA4432"><v>43312</v></cell><cell r="AB4432" t="str"><v>USA_gaPMG_AZR_AZR_Q1_19_Direct-Social</v></cell><cell r="AC4432"><v>21358715</v></cell><cell r="AD4432"><v>720197</v></cell><cell r="AE4432" t="str"><v>Facebook - Instagram</v></cell><cell r="AF4432"><v>3654128</v></cell><cell r="AG4432" t="str"><v>INSTAGRAM»USA-Trial-ITD-Trial PayGo Lookalike-AZR-AZR»1 x 1»SocialBan»CAN»ALL»CPA»LAL»X»NA»SS»NA»IGCTCBasicMotion»PRC2G0</v></cell><cell r="AH4432"><v>224106891</v></cell><cell r="AI4432" t="str"><v>AzurePlatform_IGCTCBasicMotion_USA_10s_CAN_PLATFORM_English_Trial_Standard_STAN_TIN_T1_1</v></cell><cell r="AJ4432"><v>103037968</v></cell></row><row r="4433"><cell r="C4433" t="str"><v>43312INSTAGRAM»USA-Trial-ITD-Trial PayGo Lookalike-AZR-AZR»1 x 1»SocialBan»CAN»ALL»CPA»LAL»X»NA»SS»NA»IGCTCBenefitinMotion»PRC2FX</v></cell><cell r="D4433" t="str"><v>43312223933999</v></cell><cell r="E4433" t="str"><v>43312103050780PRC2FX</v></cell><cell r="F4433" t="str"><v>DCM</v></cell><cell r="G4433" t="str"><v>https://signup.azure.com/?OCID=AID%eexcid!_OLA_%ebuy!_%epid!_%ecid!</v></cell></row><row r="4433"><cell r="K4433" t="str"><v>July</v></cell><cell r="L4433"><v>43316</v></cell><cell r="M4433" t="str"><v>Tier 0</v></cell><cell r="N4433" t="str"><v>North America</v></cell><cell r="O4433" t="str"><v>United States</v></cell><cell r="P4433" t="str"><v>Trial</v></cell><cell r="Q4433" t="str"><v>Social</v></cell><cell r="R4433" t="str"><v>Azure</v></cell><cell r="S4433" t="str"><v>Apps & Infra</v></cell><cell r="T4433" t="str"><v>Developers & ITI's</v></cell><cell r="U4433" t="str"><v>USA-Trial-ITD-Trial PayGo Lookalike-AZR-AZR</v></cell><cell r="V4433" t="str"><v>Lookalike Targeting</v></cell><cell r="W4433" t="str"><v>Canvas Ad</v></cell><cell r="X4433" t="str"><v>1x1</v></cell></row><row r="4433"><cell r="AA4433"><v>43312</v></cell><cell r="AB4433" t="str"><v>USA_gaPMG_AZR_AZR_Q1_19_Direct-Social</v></cell><cell r="AC4433"><v>21358715</v></cell><cell r="AD4433"><v>720197</v></cell><cell r="AE4433" t="str"><v>Facebook - Instagram</v></cell><cell r="AF4433"><v>3654128</v></cell><cell r="AG4433" t="str"><v>INSTAGRAM»USA-Trial-ITD-Trial PayGo Lookalike-AZR-AZR»1 x 1»SocialBan»CAN»ALL»CPA»LAL»X»NA»SS»NA»IGCTCBenefitinMotion»PRC2FX</v></cell><cell r="AH4433"><v>223933999</v></cell><cell r="AI4433" t="str"><v>AzurePlatform_IGCTCBenefitinMotion_USA_10s_CAN_PLATFORM_English_Trial_Standard_STAN_TIN_T3_1</v></cell><cell r="AJ4433"><v>103050780</v></cell></row><row r="4434"><cell r="C4434" t="str"><v>43313Facebook»Audience & Interest Targeting»1x1»Canvas»OTH»DT»DYN»AUT»W»NA»SS»NA»FBCTCcanvaspage-StartFreeCTA_FBCTCcanvaspage-BuyNowCTA</v></cell><cell r="D4434" t="str"><v>43313224639151</v></cell><cell r="E4434" t="str"><v>43313103316832NowCTA</v></cell><cell r="F4434" t="str"><v>DCM</v></cell><cell r="G4434" t="str"><v>https://azure.microsoft.com/en-au/pricing/purchase-options/</v></cell></row><row r="4434"><cell r="K4434" t="str"><v>August</v></cell><cell r="L4434"><v>43316</v></cell><cell r="M4434" t="str"><v>Tier 1</v></cell><cell r="N4434" t="str"><v>APAC</v></cell><cell r="O4434" t="str"><v>Australia</v></cell><cell r="P4434" t="str"><v>Trial</v></cell><cell r="Q4434" t="str"><v>Social</v></cell><cell r="R4434" t="str"><v>Azure</v></cell><cell r="S4434" t="str"><v>Apps & Infra</v></cell><cell r="T4434" t="str"><v>Developers & ITI's</v></cell><cell r="U4434" t="str"><v>Audience & Interest Targeting</v></cell><cell r="V4434" t="str"><v>Audience Targeting</v></cell><cell r="W4434" t="str"><v>Other</v></cell><cell r="X4434" t="str"><v>1x1</v></cell></row><row r="4434"><cell r="AA4434"><v>43313</v></cell><cell r="AB4434" t="str"><v>AUS_gaPMG_AZR_AZR_Q1_19_Trial-Social</v></cell><cell r="AC4434"><v>21358568</v></cell><cell r="AD4434"><v>720191</v></cell><cell r="AE4434" t="str"><v>Facebook</v></cell><cell r="AF4434"><v>3654128</v></cell><cell r="AG4434" t="str"><v>Facebook»Audience & Interest Targeting»1x1»Canvas»OTH»DT»DYN»AUT»W»NA»SS»NA»FBCTCcanvaspage-StartFreeCTA_FBCTCcanvaspage-BuyNowCTA</v></cell><cell r="AH4434"><v>224639151</v></cell><cell r="AI4434" t="str"><v>AzurePlatform_FBCTCcanvaspage-BuyNowCTA-Img3_AUS_1080x162_SOC_Plat_English_NA_Standard_NA_BN_T3_1</v></cell><cell r="AJ4434"><v>103316832</v></cell></row><row r="4435"><cell r="C4435" t="str"><v>43313Facebook»Audience & Interest Targeting»1x1»Canvas»OTH»DT»DYN»AUT»W»NA»SS»NA»FBCTCcanvaspage-StartFreeCTA_FBCTCcanvaspage-BuyNowCTA</v></cell><cell r="D4435" t="str"><v>43313224639151</v></cell><cell r="E4435" t="str"><v>43313103316829NowCTA</v></cell><cell r="F4435" t="str"><v>DCM</v></cell><cell r="G4435" t="str"><v>https://signup.azure.com/signup?offer=ms-azr-0044p&appId=102&ref=paidmedia-social-fb&redirectURL=https%3a%2f%2fazure.microsoft.com%2fen-au%2fget-started%2fwelcome-to-azure%2f&l=en-au&correlationId=ead86c34-1f10-49dd-a72b-6918462a2cbf</v></cell></row><row r="4435"><cell r="K4435" t="str"><v>August</v></cell><cell r="L4435"><v>43316</v></cell><cell r="M4435" t="str"><v>Tier 1</v></cell><cell r="N4435" t="str"><v>APAC</v></cell><cell r="O4435" t="str"><v>Australia</v></cell><cell r="P4435" t="str"><v>Trial</v></cell><cell r="Q4435" t="str"><v>Social</v></cell><cell r="R4435" t="str"><v>Azure</v></cell><cell r="S4435" t="str"><v>Apps & Infra</v></cell><cell r="T4435" t="str"><v>Developers & ITI's</v></cell><cell r="U4435" t="str"><v>Audience & Interest Targeting</v></cell><cell r="V4435" t="str"><v>Audience Targeting</v></cell><cell r="W4435" t="str"><v>Other</v></cell><cell r="X4435" t="str"><v>1x1</v></cell></row><row r="4435"><cell r="AA4435"><v>43313</v></cell><cell r="AB4435" t="str"><v>AUS_gaPMG_AZR_AZR_Q1_19_Trial-Social</v></cell><cell r="AC4435"><v>21358568</v></cell><cell r="AD4435"><v>720191</v></cell><cell r="AE4435" t="str"><v>Facebook</v></cell><cell r="AF4435"><v>3654128</v></cell><cell r="AG4435" t="str"><v>Facebook»Audience & Interest Targeting»1x1»Canvas»OTH»DT»DYN»AUT»W»NA»SS»NA»FBCTCcanvaspage-StartFreeCTA_FBCTCcanvaspage-BuyNowCTA</v></cell><cell r="AH4435"><v>224639151</v></cell><cell r="AI4435" t="str"><v>AzurePlatform_FBCTCcanvaspage-StartFreeCTA-Img2_AUS_1080x143 _SOC_Plat_English_NA_Standard_NA_NA_T2_1</v></cell><cell r="AJ4435"><v>103316829</v></cell></row><row r="4436"><cell r="C4436" t="str"><v>43313Facebook»Audience & Interest Targeting»1x1»TextLink»OTH»DT»DYN»AUT»W»NA»SS»NA»Free Account Refresh- 12 months ChE</v></cell><cell r="D4436" t="str"><v>43313224160783</v></cell><cell r="E4436" t="str"><v>43313103051614hs ChE</v></cell><cell r="F4436" t="str"><v>DCM</v></cell></row><row r="4436"><cell r="K4436" t="str"><v>August</v></cell><cell r="L4436"><v>43316</v></cell><cell r="M4436" t="str"><v>Tier 1</v></cell><cell r="N4436" t="str"><v>APAC</v></cell><cell r="O4436" t="str"><v>Australia</v></cell><cell r="P4436" t="str"><v>Trial</v></cell><cell r="Q4436" t="str"><v>Social</v></cell><cell r="R4436" t="str"><v>Azure</v></cell><cell r="S4436" t="str"><v>Apps & Infra</v></cell><cell r="T4436" t="str"><v>Developers & ITI's</v></cell><cell r="U4436" t="str"><v>Audience & Interest Targeting</v></cell><cell r="V4436" t="str"><v>Audience Targeting</v></cell><cell r="W4436" t="str"><v>Other</v></cell><cell r="X4436" t="str"><v>1x1</v></cell></row><row r="4436"><cell r="AA4436"><v>43313</v></cell><cell r="AB4436" t="str"><v>AUS_gaPMG_AZR_AZR_Q1_19_Trial-Social</v></cell><cell r="AC4436"><v>21358568</v></cell><cell r="AD4436"><v>720191</v></cell><cell r="AE4436" t="str"><v>Facebook</v></cell><cell r="AF4436"><v>3654128</v></cell><cell r="AG4436" t="str"><v>Facebook»Audience & Interest Targeting»1x1»TextLink»OTH»DT»DYN»AUT»W»NA»SS»NA»Free Account Refresh- 12 months ChE</v></cell><cell r="AH4436"><v>224160783</v></cell><cell r="AI4436" t="str"><v>AzurePlatform_FreeAcctAppsFACEBOOK12monthsChE_AUS_1200x628_SOC_PLAT_EN_Trial_Standard_NA_SNU_T5_1</v></cell><cell r="AJ4436"><v>103051614</v></cell></row><row r="4437"><cell r="C4437" t="str"><v>43313Facebook»Audience & Interest Targeting»1x1»TextLink»OTH»DT»DYN»AUT»W»NA»SS»NA»Free Account Refresh- 200 Credit ChD</v></cell><cell r="D4437" t="str"><v>43313224160780</v></cell><cell r="E4437" t="str"><v>43313103186904it ChD</v></cell><cell r="F4437" t="str"><v>DCM</v></cell></row><row r="4437"><cell r="K4437" t="str"><v>August</v></cell><cell r="L4437"><v>43316</v></cell><cell r="M4437" t="str"><v>Tier 1</v></cell><cell r="N4437" t="str"><v>APAC</v></cell><cell r="O4437" t="str"><v>Australia</v></cell><cell r="P4437" t="str"><v>Trial</v></cell><cell r="Q4437" t="str"><v>Social</v></cell><cell r="R4437" t="str"><v>Azure</v></cell><cell r="S4437" t="str"><v>Apps & Infra</v></cell><cell r="T4437" t="str"><v>Developers & ITI's</v></cell><cell r="U4437" t="str"><v>Audience & Interest Targeting</v></cell><cell r="V4437" t="str"><v>Audience Targeting</v></cell><cell r="W4437" t="str"><v>Other</v></cell><cell r="X4437" t="str"><v>1x1</v></cell></row><row r="4437"><cell r="AA4437"><v>43313</v></cell><cell r="AB4437" t="str"><v>AUS_gaPMG_AZR_AZR_Q1_19_Trial-Social</v></cell><cell r="AC4437"><v>21358568</v></cell><cell r="AD4437"><v>720191</v></cell><cell r="AE4437" t="str"><v>Facebook</v></cell><cell r="AF4437"><v>3654128</v></cell><cell r="AG4437" t="str"><v>Facebook»Audience & Interest Targeting»1x1»TextLink»OTH»DT»DYN»AUT»W»NA»SS»NA»Free Account Refresh- 200 Credit ChD</v></cell><cell r="AH4437"><v>224160780</v></cell><cell r="AI4437" t="str"><v>AzurePlatform_FreeAcctAppsFACEBOOK200CreditChD_AUS_1200x628_SOC_PLAT_EN_Trial_Standard_NA_SNU_T4_1</v></cell><cell r="AJ4437"><v>103186904</v></cell></row><row r="4438"><cell r="C4438" t="str"><v>43313Facebook»Audience & Interest Targeting»1x1»TextLink»OTH»DT»DYN»AUT»W»NA»SS»NA»Free Account Refresh- Device ChB</v></cell><cell r="D4438" t="str"><v>43313224160777</v></cell><cell r="E4438" t="str"><v>43313103048479ce ChB</v></cell><cell r="F4438" t="str"><v>DCM</v></cell></row><row r="4438"><cell r="K4438" t="str"><v>August</v></cell><cell r="L4438"><v>43316</v></cell><cell r="M4438" t="str"><v>Tier 1</v></cell><cell r="N4438" t="str"><v>APAC</v></cell><cell r="O4438" t="str"><v>Australia</v></cell><cell r="P4438" t="str"><v>Trial</v></cell><cell r="Q4438" t="str"><v>Social</v></cell><cell r="R4438" t="str"><v>Azure</v></cell><cell r="S4438" t="str"><v>Apps & Infra</v></cell><cell r="T4438" t="str"><v>Developers & ITI's</v></cell><cell r="U4438" t="str"><v>Audience & Interest Targeting</v></cell><cell r="V4438" t="str"><v>Audience Targeting</v></cell><cell r="W4438" t="str"><v>Other</v></cell><cell r="X4438" t="str"><v>1x1</v></cell></row><row r="4438"><cell r="AA4438"><v>43313</v></cell><cell r="AB4438" t="str"><v>AUS_gaPMG_AZR_AZR_Q1_19_Trial-Social</v></cell><cell r="AC4438"><v>21358568</v></cell><cell r="AD4438"><v>720191</v></cell><cell r="AE4438" t="str"><v>Facebook</v></cell><cell r="AF4438"><v>3654128</v></cell><cell r="AG4438" t="str"><v>Facebook»Audience & Interest Targeting»1x1»TextLink»OTH»DT»DYN»AUT»W»NA»SS»NA»Free Account Refresh- Device ChB</v></cell><cell r="AH4438"><v>224160777</v></cell><cell r="AI4438" t="str"><v>AzurePlatform_FreeAcctAppsFACEBOOKDeviceChB_AUS_1200x628_SOC_PLAT_EN_Trial_Standard_NA_SNU_T2_1</v></cell><cell r="AJ4438"><v>103048479</v></cell></row><row r="4439"><cell r="C4439" t="str"><v>43313Facebook»Audience & Interest Targeting»1x1»TextLink»OTH»DT»DYN»AUT»W»NA»SS»NA»Free Account Refresh- Illustration ChC</v></cell><cell r="D4439" t="str"><v>43313224160774</v></cell><cell r="E4439" t="str"><v>43313103186910on ChC</v></cell><cell r="F4439" t="str"><v>DCM</v></cell></row><row r="4439"><cell r="K4439" t="str"><v>August</v></cell><cell r="L4439"><v>43316</v></cell><cell r="M4439" t="str"><v>Tier 1</v></cell><cell r="N4439" t="str"><v>APAC</v></cell><cell r="O4439" t="str"><v>Australia</v></cell><cell r="P4439" t="str"><v>Trial</v></cell><cell r="Q4439" t="str"><v>Social</v></cell><cell r="R4439" t="str"><v>Azure</v></cell><cell r="S4439" t="str"><v>Apps & Infra</v></cell><cell r="T4439" t="str"><v>Developers & ITI's</v></cell><cell r="U4439" t="str"><v>Audience & Interest Targeting</v></cell><cell r="V4439" t="str"><v>Audience Targeting</v></cell><cell r="W4439" t="str"><v>Other</v></cell><cell r="X4439" t="str"><v>1x1</v></cell></row><row r="4439"><cell r="AA4439"><v>43313</v></cell><cell r="AB4439" t="str"><v>AUS_gaPMG_AZR_AZR_Q1_19_Trial-Social</v></cell><cell r="AC4439"><v>21358568</v></cell><cell r="AD4439"><v>720191</v></cell><cell r="AE4439" t="str"><v>Facebook</v></cell><cell r="AF4439"><v>3654128</v></cell><cell r="AG4439" t="str"><v>Facebook»Audience & Interest Targeting»1x1»TextLink»OTH»DT»DYN»AUT»W»NA»SS»NA»Free Account Refresh- Illustration ChC</v></cell><cell r="AH4439"><v>224160774</v></cell><cell r="AI4439" t="str"><v>AzurePlatform_FreeAcctAppsFACEBOOKIllustrationChC_AUS_1200x628_SOC_PLAT_EN_Trial_Standard_NA_SNU_T3_1</v></cell><cell r="AJ4439"><v>103186910</v></cell></row><row r="4440"><cell r="C4440" t="str"><v>43313Facebook»Audience & Interest Targeting»1x1»TextLink»OTH»DT»DYN»AUT»W»NA»SS»NA»Free Account Refresh- Lifestyle ChA</v></cell><cell r="D4440" t="str"><v>43313224160771</v></cell><cell r="E4440" t="str"><v>43313103048488le ChA</v></cell><cell r="F4440" t="str"><v>DCM</v></cell></row><row r="4440"><cell r="K4440" t="str"><v>August</v></cell><cell r="L4440"><v>43316</v></cell><cell r="M4440" t="str"><v>Tier 1</v></cell><cell r="N4440" t="str"><v>APAC</v></cell><cell r="O4440" t="str"><v>Australia</v></cell><cell r="P4440" t="str"><v>Trial</v></cell><cell r="Q4440" t="str"><v>Social</v></cell><cell r="R4440" t="str"><v>Azure</v></cell><cell r="S4440" t="str"><v>Apps & Infra</v></cell><cell r="T4440" t="str"><v>Developers & ITI's</v></cell><cell r="U4440" t="str"><v>Audience & Interest Targeting</v></cell><cell r="V4440" t="str"><v>Audience Targeting</v></cell><cell r="W4440" t="str"><v>Other</v></cell><cell r="X4440" t="str"><v>1x1</v></cell></row><row r="4440"><cell r="AA4440"><v>43313</v></cell><cell r="AB4440" t="str"><v>AUS_gaPMG_AZR_AZR_Q1_19_Trial-Social</v></cell><cell r="AC4440"><v>21358568</v></cell><cell r="AD4440"><v>720191</v></cell><cell r="AE4440" t="str"><v>Facebook</v></cell><cell r="AF4440"><v>3654128</v></cell><cell r="AG4440" t="str"><v>Facebook»Audience & Interest Targeting»1x1»TextLink»OTH»DT»DYN»AUT»W»NA»SS»NA»Free Account Refresh- Lifestyle ChA</v></cell><cell r="AH4440"><v>224160771</v></cell><cell r="AI4440" t="str"><v>AzurePlatform_FreeAcctAppsFACEBOOKLifestyleChA_AUS_1200x628_SOC_PLAT_EN_Trial_Standard_NA_SNU_T1_1</v></cell><cell r="AJ4440"><v>103048488</v></cell></row><row r="4441"><cell r="C4441" t="str"><v>43313Facebook»LAL»1x1»TextLink»SOC»DT»DYN»LAL»W»NA»SS»NA»Free Account Refresh- 200 Credit ChD</v></cell><cell r="D4441" t="str"><v>43313224160720</v></cell><cell r="E4441" t="str"><v>43313103186907it ChD</v></cell><cell r="F4441" t="str"><v>DCM</v></cell><cell r="G4441" t="str"><v>https://azure.microsoft.com/en-au/free/open-source/search/</v></cell></row><row r="4441"><cell r="K4441" t="str"><v>August</v></cell><cell r="L4441"><v>43316</v></cell><cell r="M4441" t="str"><v>Tier 1</v></cell><cell r="N4441" t="str"><v>APAC</v></cell><cell r="O4441" t="str"><v>Australia</v></cell><cell r="P4441" t="str"><v>Trial</v></cell><cell r="Q4441" t="str"><v>Social</v></cell><cell r="R4441" t="str"><v>Azure</v></cell><cell r="S4441" t="str"><v>Apps & Infra</v></cell><cell r="T4441" t="str"><v>Developers & ITI's</v></cell><cell r="U4441" t="str"><v>LAL</v></cell><cell r="V4441" t="str"><v>Lookalike Targeting</v></cell><cell r="W4441" t="str"><v>Social</v></cell><cell r="X4441" t="str"><v>1x1</v></cell></row><row r="4441"><cell r="AA4441"><v>43313</v></cell><cell r="AB4441" t="str"><v>AUS_gaPMG_AZR_AZR_Q1_19_Trial-Social</v></cell><cell r="AC4441"><v>21358568</v></cell><cell r="AD4441"><v>720191</v></cell><cell r="AE4441" t="str"><v>Facebook</v></cell><cell r="AF4441"><v>3654128</v></cell><cell r="AG4441" t="str"><v>Facebook»LAL»1x1»TextLink»SOC»DT»DYN»LAL»W»NA»SS»NA»Free Account Refresh- 200 Credit ChD</v></cell><cell r="AH4441"><v>224160720</v></cell><cell r="AI4441" t="str"><v>AzurePlatform_FreeAcctRetargetingOSSFB-Logos-ChG_AUS_1200x628_SOC_Plat_EN_Free Account_Standard_NA_SNU_T2_1</v></cell><cell r="AJ4441"><v>103186907</v></cell></row><row r="4442"><cell r="C4442" t="str"><v>43313Facebook»LAL»1x1»TextLink»SOC»DT»DYN»LAL»W»NA»SS»NA»Free Account Refresh- Device ChB</v></cell><cell r="D4442" t="str"><v>43313224160717</v></cell><cell r="E4442" t="str"><v>43313103048485ce ChB</v></cell><cell r="F4442" t="str"><v>DCM</v></cell><cell r="G4442" t="str"><v>https://azure.microsoft.com/en-au/free/open-source/search/</v></cell></row><row r="4442"><cell r="K4442" t="str"><v>August</v></cell><cell r="L4442"><v>43316</v></cell><cell r="M4442" t="str"><v>Tier 1</v></cell><cell r="N4442" t="str"><v>APAC</v></cell><cell r="O4442" t="str"><v>Australia</v></cell><cell r="P4442" t="str"><v>Trial</v></cell><cell r="Q4442" t="str"><v>Social</v></cell><cell r="R4442" t="str"><v>Azure</v></cell><cell r="S4442" t="str"><v>Apps & Infra</v></cell><cell r="T4442" t="str"><v>Developers & ITI's</v></cell><cell r="U4442" t="str"><v>LAL</v></cell><cell r="V4442" t="str"><v>Lookalike Targeting</v></cell><cell r="W4442" t="str"><v>Social</v></cell><cell r="X4442" t="str"><v>1x1</v></cell></row><row r="4442"><cell r="AA4442"><v>43313</v></cell><cell r="AB4442" t="str"><v>AUS_gaPMG_AZR_AZR_Q1_19_Trial-Social</v></cell><cell r="AC4442"><v>21358568</v></cell><cell r="AD4442"><v>720191</v></cell><cell r="AE4442" t="str"><v>Facebook</v></cell><cell r="AF4442"><v>3654128</v></cell><cell r="AG4442" t="str"><v>Facebook»LAL»1x1»TextLink»SOC»DT»DYN»LAL»W»NA»SS»NA»Free Account Refresh- Device ChB</v></cell><cell r="AH4442"><v>224160717</v></cell><cell r="AI4442" t="str"><v>AzurePlatform_FreeAcctRetargetingOSSFB-Text-ChF_AUS_1200x628_SOC_Plat_EN_Free Account_Standard_NA_SNU_T1_1</v></cell><cell r="AJ4442"><v>103048485</v></cell></row><row r="4443"><cell r="C4443" t="str"><v>43313Facebook»LAL»1x1»TextLink»SOC»DT»DYN»LAL»W»NA»SS»NA»Free Account Refresh- Illustration ChC</v></cell><cell r="D4443" t="str"><v>43313224160714</v></cell><cell r="E4443" t="str"><v>43313103186916on ChC</v></cell><cell r="F4443" t="str"><v>DCM</v></cell><cell r="G4443" t="str"><v>https://azure.microsoft.com/en-au/free/virtual-machines/search/</v></cell></row><row r="4443"><cell r="K4443" t="str"><v>August</v></cell><cell r="L4443"><v>43316</v></cell><cell r="M4443" t="str"><v>Tier 1</v></cell><cell r="N4443" t="str"><v>APAC</v></cell><cell r="O4443" t="str"><v>Australia</v></cell><cell r="P4443" t="str"><v>Trial</v></cell><cell r="Q4443" t="str"><v>Social</v></cell><cell r="R4443" t="str"><v>Azure</v></cell><cell r="S4443" t="str"><v>Apps & Infra</v></cell><cell r="T4443" t="str"><v>Developers & ITI's</v></cell><cell r="U4443" t="str"><v>LAL</v></cell><cell r="V4443" t="str"><v>Lookalike Targeting</v></cell><cell r="W4443" t="str"><v>Social</v></cell><cell r="X4443" t="str"><v>1x1</v></cell></row><row r="4443"><cell r="AA4443"><v>43313</v></cell><cell r="AB4443" t="str"><v>AUS_gaPMG_AZR_AZR_Q1_19_Trial-Social</v></cell><cell r="AC4443"><v>21358568</v></cell><cell r="AD4443"><v>720191</v></cell><cell r="AE4443" t="str"><v>Facebook</v></cell><cell r="AF4443"><v>3654128</v></cell><cell r="AG4443" t="str"><v>Facebook»LAL»1x1»TextLink»SOC»DT»DYN»LAL»W»NA»SS»NA»Free Account Refresh- Illustration ChC</v></cell><cell r="AH4443"><v>224160714</v></cell><cell r="AI4443" t="str"><v>AzurePlatform_FreeAcctRetargetingVMFB-750Hrs-ChD_AUS_1200x628_SOC_Plat_EN_Free Account_Standard_NA_SNU_T1_1</v></cell><cell r="AJ4443"><v>103186916</v></cell></row><row r="4444"><cell r="C4444" t="str"><v>43313Facebook»LAL»1x1»TextLink»SOC»DT»DYN»LAL»W»NA»SS»NA»Free Account Refresh- Lifestyle ChA</v></cell><cell r="D4444" t="str"><v>43313224160711</v></cell><cell r="E4444" t="str"><v>43313103048491le ChA</v></cell><cell r="F4444" t="str"><v>DCM</v></cell><cell r="G4444" t="str"><v>https://azure.microsoft.com/en-au/free/virtual-machines/search/</v></cell></row><row r="4444"><cell r="K4444" t="str"><v>August</v></cell><cell r="L4444"><v>43316</v></cell><cell r="M4444" t="str"><v>Tier 1</v></cell><cell r="N4444" t="str"><v>APAC</v></cell><cell r="O4444" t="str"><v>Australia</v></cell><cell r="P4444" t="str"><v>Trial</v></cell><cell r="Q4444" t="str"><v>Social</v></cell><cell r="R4444" t="str"><v>Azure</v></cell><cell r="S4444" t="str"><v>Apps & Infra</v></cell><cell r="T4444" t="str"><v>Developers & ITI's</v></cell><cell r="U4444" t="str"><v>LAL</v></cell><cell r="V4444" t="str"><v>Lookalike Targeting</v></cell><cell r="W4444" t="str"><v>Social</v></cell><cell r="X4444" t="str"><v>1x1</v></cell></row><row r="4444"><cell r="AA4444"><v>43313</v></cell><cell r="AB4444" t="str"><v>AUS_gaPMG_AZR_AZR_Q1_19_Trial-Social</v></cell><cell r="AC4444"><v>21358568</v></cell><cell r="AD4444"><v>720191</v></cell><cell r="AE4444" t="str"><v>Facebook</v></cell><cell r="AF4444"><v>3654128</v></cell><cell r="AG4444" t="str"><v>Facebook»LAL»1x1»TextLink»SOC»DT»DYN»LAL»W»NA»SS»NA»Free Account Refresh- Lifestyle ChA</v></cell><cell r="AH4444"><v>224160711</v></cell><cell r="AI4444" t="str"><v>AzurePlatform_FreeAcctRetargetingVMFB-OnDemand-ChE_AUS_1200x628_SOC_Plat_EN_Free Account_Standard_NA_SNU_T2_1</v></cell><cell r="AJ4444"><v>103048491</v></cell></row><row r="4445"><cell r="C4445" t="str"><v>43313Facebook»Retargeting»1x1»TextLink»SOC»DT»DYN»RT»W»NA»SS»NA»Free Account Refresh- 200 Credit ChD</v></cell><cell r="D4445" t="str"><v>43313224160738</v></cell><cell r="E4445" t="str"><v>43313103186904it ChD</v></cell><cell r="F4445" t="str"><v>DCM</v></cell></row><row r="4445"><cell r="K4445" t="str"><v>August</v></cell><cell r="L4445"><v>43316</v></cell><cell r="M4445" t="str"><v>Tier 1</v></cell><cell r="N4445" t="str"><v>APAC</v></cell><cell r="O4445" t="str"><v>Australia</v></cell><cell r="P4445" t="str"><v>Trial</v></cell><cell r="Q4445" t="str"><v>Social</v></cell><cell r="R4445" t="str"><v>Azure</v></cell><cell r="S4445" t="str"><v>Apps & Infra</v></cell><cell r="T4445" t="str"><v>Developers & ITI's</v></cell><cell r="U4445" t="str"><v>Retargeting</v></cell><cell r="V4445" t="str"><v>Retargeting</v></cell><cell r="W4445" t="str"><v>Social</v></cell><cell r="X4445" t="str"><v>1x1</v></cell></row><row r="4445"><cell r="AA4445"><v>43313</v></cell><cell r="AB4445" t="str"><v>AUS_gaPMG_AZR_AZR_Q1_19_Trial-Social</v></cell><cell r="AC4445"><v>21358568</v></cell><cell r="AD4445"><v>720191</v></cell><cell r="AE4445" t="str"><v>Facebook</v></cell><cell r="AF4445"><v>3654128</v></cell><cell r="AG4445" t="str"><v>Facebook»Retargeting»1x1»TextLink»SOC»DT»DYN»RT»W»NA»SS»NA»Free Account Refresh- 200 Credit ChD</v></cell><cell r="AH4445"><v>224160738</v></cell><cell r="AI4445" t="str"><v>AzurePlatform_FreeAcctAppsFACEBOOK200CreditChD_AUS_1200x628_SOC_PLAT_EN_Trial_Standard_NA_SNU_T4_1</v></cell><cell r="AJ4445"><v>103186904</v></cell></row><row r="4446"><cell r="C4446" t="str"><v>43313Facebook»Retargeting»1x1»TextLink»SOC»DT»DYN»RT»W»NA»SS»NA»Free Account Refresh- Illustration ChC</v></cell><cell r="D4446" t="str"><v>43313224160732</v></cell><cell r="E4446" t="str"><v>43313103186910on ChC</v></cell><cell r="F4446" t="str"><v>DCM</v></cell></row><row r="4446"><cell r="K4446" t="str"><v>August</v></cell><cell r="L4446"><v>43316</v></cell><cell r="M4446" t="str"><v>Tier 1</v></cell><cell r="N4446" t="str"><v>APAC</v></cell><cell r="O4446" t="str"><v>Australia</v></cell><cell r="P4446" t="str"><v>Trial</v></cell><cell r="Q4446" t="str"><v>Social</v></cell><cell r="R4446" t="str"><v>Azure</v></cell><cell r="S4446" t="str"><v>Apps & Infra</v></cell><cell r="T4446" t="str"><v>Developers & ITI's</v></cell><cell r="U4446" t="str"><v>Retargeting</v></cell><cell r="V4446" t="str"><v>Retargeting</v></cell><cell r="W4446" t="str"><v>Social</v></cell><cell r="X4446" t="str"><v>1x1</v></cell></row><row r="4446"><cell r="AA4446"><v>43313</v></cell><cell r="AB4446" t="str"><v>AUS_gaPMG_AZR_AZR_Q1_19_Trial-Social</v></cell><cell r="AC4446"><v>21358568</v></cell><cell r="AD4446"><v>720191</v></cell><cell r="AE4446" t="str"><v>Facebook</v></cell><cell r="AF4446"><v>3654128</v></cell><cell r="AG4446" t="str"><v>Facebook»Retargeting»1x1»TextLink»SOC»DT»DYN»RT»W»NA»SS»NA»Free Account Refresh- Illustration ChC</v></cell><cell r="AH4446"><v>224160732</v></cell><cell r="AI4446" t="str"><v>AzurePlatform_FreeAcctAppsFACEBOOKIllustrationChC_AUS_1200x628_SOC_PLAT_EN_Trial_Standard_NA_SNU_T3_1</v></cell><cell r="AJ4446"><v>103186910</v></cell></row><row r="4447"><cell r="C4447" t="str"><v>43313Facebook»Retargeting»1x1»TextLink»SOC»DT»DYN»RT»W»NA»SS»NA»Free Account Refresh- Lifestyle ChA</v></cell><cell r="D4447" t="str"><v>43313224160729</v></cell><cell r="E4447" t="str"><v>43313103048488le ChA</v></cell><cell r="F4447" t="str"><v>DCM</v></cell></row><row r="4447"><cell r="K4447" t="str"><v>August</v></cell><cell r="L4447"><v>43316</v></cell><cell r="M4447" t="str"><v>Tier 1</v></cell><cell r="N4447" t="str"><v>APAC</v></cell><cell r="O4447" t="str"><v>Australia</v></cell><cell r="P4447" t="str"><v>Trial</v></cell><cell r="Q4447" t="str"><v>Social</v></cell><cell r="R4447" t="str"><v>Azure</v></cell><cell r="S4447" t="str"><v>Apps & Infra</v></cell><cell r="T4447" t="str"><v>Developers & ITI's</v></cell><cell r="U4447" t="str"><v>Retargeting</v></cell><cell r="V4447" t="str"><v>Retargeting</v></cell><cell r="W4447" t="str"><v>Social</v></cell><cell r="X4447" t="str"><v>1x1</v></cell></row><row r="4447"><cell r="AA4447"><v>43313</v></cell><cell r="AB4447" t="str"><v>AUS_gaPMG_AZR_AZR_Q1_19_Trial-Social</v></cell><cell r="AC4447"><v>21358568</v></cell><cell r="AD4447"><v>720191</v></cell><cell r="AE4447" t="str"><v>Facebook</v></cell><cell r="AF4447"><v>3654128</v></cell><cell r="AG4447" t="str"><v>Facebook»Retargeting»1x1»TextLink»SOC»DT»DYN»RT»W»NA»SS»NA»Free Account Refresh- Lifestyle ChA</v></cell><cell r="AH4447"><v>224160729</v></cell><cell r="AI4447" t="str"><v>AzurePlatform_FreeAcctAppsFACEBOOKLifestyleChA_AUS_1200x628_SOC_PLAT_EN_Trial_Standard_NA_SNU_T1_1</v></cell><cell r="AJ4447"><v>103048488</v></cell></row><row r="4448"><cell r="C4448" t="str"><v>43313Facebook»AZR»1x1»NA»EGV»ALL»DYN»AUT»D»All»SS»NA»Free Acc CTC - T1 - EN</v></cell><cell r="D4448" t="str"><v>43313223684451</v></cell><cell r="E4448" t="str"><v>433131029018821 - EN</v></cell><cell r="F4448" t="str"><v>DCM</v></cell><cell r="G4448" t="str"><v>https://signup.azure.com/</v></cell></row><row r="4448"><cell r="K4448" t="str"><v>August</v></cell><cell r="L4448"><v>43316</v></cell><cell r="M4448" t="str"><v>Tier 1</v></cell><cell r="N4448" t="str"><v>North America</v></cell><cell r="O4448" t="str"><v>Canada</v></cell><cell r="P4448" t="str"><v>Trial</v></cell><cell r="Q4448" t="str"><v>Social</v></cell><cell r="R4448" t="str"><v>Azure</v></cell><cell r="S4448" t="str"><v>Apps & Infra</v></cell><cell r="T4448" t="str"><v>Developers & ITI's</v></cell><cell r="U4448" t="str"><v>AZR</v></cell><cell r="V4448" t="str"><v>Audience Targeting</v></cell><cell r="W4448" t="str"><v>Engagement Video</v></cell><cell r="X4448" t="str"><v>1x1</v></cell></row><row r="4448"><cell r="AA4448"><v>43313</v></cell><cell r="AB4448" t="str"><v>CAN_gaPMG_AZR_AZR_Q1_19_Trial-Social</v></cell><cell r="AC4448"><v>21337220</v></cell><cell r="AD4448"><v>720192</v></cell><cell r="AE4448" t="str"><v>Facebook</v></cell><cell r="AF4448"><v>3654128</v></cell><cell r="AG4448" t="str"><v>Facebook»AZR»1x1»NA»EGV»ALL»DYN»AUT»D»All»SS»NA»Free Acc CTC - T1 - EN</v></cell><cell r="AH4448"><v>223684451</v></cell><cell r="AI4448" t="str"><v>AzurePlatform_FBCTCBasicMotion_CAN_10s_ISV_PLAT_English_Trial_Standard_STAN_TN_T1_1</v></cell><cell r="AJ4448"><v>102901882</v></cell></row><row r="4449"><cell r="C4449" t="str"><v>43313Facebook»AZR»1x1»NA»EGV»ALL»DYN»AUT»D»All»SS»NA»Free Acc CTC - T1 - FR</v></cell><cell r="D4449" t="str"><v>43313223691801</v></cell><cell r="E4449" t="str"><v>433131030533231 - FR</v></cell><cell r="F4449" t="str"><v>DCM</v></cell><cell r="G4449" t="str"><v>https://signup.azure.com/</v></cell></row><row r="4449"><cell r="K4449" t="str"><v>August</v></cell><cell r="L4449"><v>43316</v></cell><cell r="M4449" t="str"><v>Tier 1</v></cell><cell r="N4449" t="str"><v>North America</v></cell><cell r="O4449" t="str"><v>Canada</v></cell><cell r="P4449" t="str"><v>Trial</v></cell><cell r="Q4449" t="str"><v>Social</v></cell><cell r="R4449" t="str"><v>Azure</v></cell><cell r="S4449" t="str"><v>Apps & Infra</v></cell><cell r="T4449" t="str"><v>Developers & ITI's</v></cell><cell r="U4449" t="str"><v>AZR</v></cell><cell r="V4449" t="str"><v>Audience Targeting</v></cell><cell r="W4449" t="str"><v>Engagement Video</v></cell><cell r="X4449" t="str"><v>1x1</v></cell></row><row r="4449"><cell r="AA4449"><v>43313</v></cell><cell r="AB4449" t="str"><v>CAN_gaPMG_AZR_AZR_Q1_19_Trial-Social</v></cell><cell r="AC4449"><v>21337220</v></cell><cell r="AD4449"><v>720192</v></cell><cell r="AE4449" t="str"><v>Facebook</v></cell><cell r="AF4449"><v>3654128</v></cell><cell r="AG4449" t="str"><v>Facebook»AZR»1x1»NA»EGV»ALL»DYN»AUT»D»All»SS»NA»Free Acc CTC - T1 - FR</v></cell><cell r="AH4449"><v>223691801</v></cell><cell r="AI4449" t="str"><v>AzurePlatform_FBCTCBasicMotion_CAN_10s_ISV_PLAT_FR_Trial_Standard_STAN_TN_T1_1</v></cell><cell r="AJ4449"><v>103053323</v></cell></row><row r="4450"><cell r="C4450" t="str"><v>43313Facebook»AZR»1x1»NA»EGV»ALL»DYN»AUT»D»All»SS»NA»Free Acc CTC - T2 - EN</v></cell><cell r="D4450" t="str"><v>43313223691840</v></cell><cell r="E4450" t="str"><v>433131029029502 - EN</v></cell><cell r="F4450" t="str"><v>DCM</v></cell><cell r="G4450" t="str"><v>https://signup.azure.com/</v></cell></row><row r="4450"><cell r="K4450" t="str"><v>August</v></cell><cell r="L4450"><v>43316</v></cell><cell r="M4450" t="str"><v>Tier 1</v></cell><cell r="N4450" t="str"><v>North America</v></cell><cell r="O4450" t="str"><v>Canada</v></cell><cell r="P4450" t="str"><v>Trial</v></cell><cell r="Q4450" t="str"><v>Social</v></cell><cell r="R4450" t="str"><v>Azure</v></cell><cell r="S4450" t="str"><v>Apps & Infra</v></cell><cell r="T4450" t="str"><v>Developers & ITI's</v></cell><cell r="U4450" t="str"><v>AZR</v></cell><cell r="V4450" t="str"><v>Audience Targeting</v></cell><cell r="W4450" t="str"><v>Engagement Video</v></cell><cell r="X4450" t="str"><v>1x1</v></cell></row><row r="4450"><cell r="AA4450"><v>43313</v></cell><cell r="AB4450" t="str"><v>CAN_gaPMG_AZR_AZR_Q1_19_Trial-Social</v></cell><cell r="AC4450"><v>21337220</v></cell><cell r="AD4450"><v>720192</v></cell><cell r="AE4450" t="str"><v>Facebook</v></cell><cell r="AF4450"><v>3654128</v></cell><cell r="AG4450" t="str"><v>Facebook»AZR»1x1»NA»EGV»ALL»DYN»AUT»D»All»SS»NA»Free Acc CTC - T2 - EN</v></cell><cell r="AH4450"><v>223691840</v></cell><cell r="AI4450" t="str"><v>AzurePlatform_FBCTCBrandinMotion_CAN_12s_ISV_PLAT_English_Trial_Standard_STAN_TN_T2_1</v></cell><cell r="AJ4450"><v>102902950</v></cell></row><row r="4451"><cell r="C4451" t="str"><v>43313Facebook»AZR»1x1»NA»EGV»ALL»DYN»AUT»D»All»SS»NA»Free Acc CTC - T4 - EN</v></cell><cell r="D4451" t="str"><v>43313223691837</v></cell><cell r="E4451" t="str"><v>433131030533144 - EN</v></cell><cell r="F4451" t="str"><v>DCM</v></cell><cell r="G4451" t="str"><v>https://signup.azure.com/</v></cell></row><row r="4451"><cell r="K4451" t="str"><v>August</v></cell><cell r="L4451"><v>43316</v></cell><cell r="M4451" t="str"><v>Tier 1</v></cell><cell r="N4451" t="str"><v>North America</v></cell><cell r="O4451" t="str"><v>Canada</v></cell><cell r="P4451" t="str"><v>Trial</v></cell><cell r="Q4451" t="str"><v>Social</v></cell><cell r="R4451" t="str"><v>Azure</v></cell><cell r="S4451" t="str"><v>Apps & Infra</v></cell><cell r="T4451" t="str"><v>Developers & ITI's</v></cell><cell r="U4451" t="str"><v>AZR</v></cell><cell r="V4451" t="str"><v>Audience Targeting</v></cell><cell r="W4451" t="str"><v>Engagement Video</v></cell><cell r="X4451" t="str"><v>1x1</v></cell></row><row r="4451"><cell r="AA4451"><v>43313</v></cell><cell r="AB4451" t="str"><v>CAN_gaPMG_AZR_AZR_Q1_19_Trial-Social</v></cell><cell r="AC4451"><v>21337220</v></cell><cell r="AD4451"><v>720192</v></cell><cell r="AE4451" t="str"><v>Facebook</v></cell><cell r="AF4451"><v>3654128</v></cell><cell r="AG4451" t="str"><v>Facebook»AZR»1x1»NA»EGV»ALL»DYN»AUT»D»All»SS»NA»Free Acc CTC - T4 - EN</v></cell><cell r="AH4451"><v>223691837</v></cell><cell r="AI4451" t="str"><v>AzurePlatform_FBCTCBenefit2inMotion_CAN_14s_ISV_PLAT_English_Trial_Standard_STAN_TN_T4_1</v></cell><cell r="AJ4451"><v>103053314</v></cell></row><row r="4452"><cell r="C4452" t="str"><v>43313Facebook»AZR»1x1»NA»SOC»ALL»DYN»PRO»D»All»SS»NA»Canvas - Buy Now - FR</v></cell><cell r="D4452" t="str"><v>43313225322324</v></cell><cell r="E4452" t="str"><v>43313103789915w - FR</v></cell><cell r="F4452" t="str"><v>DCM</v></cell><cell r="G4452" t="str"><v>https://azure.microsoft.com/fr-ca/pricing/purchase-options/</v></cell></row><row r="4452"><cell r="K4452" t="str"><v>August</v></cell><cell r="L4452"><v>43316</v></cell><cell r="M4452" t="str"><v>Tier 1</v></cell><cell r="N4452" t="str"><v>North America</v></cell><cell r="O4452" t="str"><v>Canada</v></cell><cell r="P4452" t="str"><v>Trial</v></cell><cell r="Q4452" t="str"><v>Social</v></cell><cell r="R4452" t="str"><v>Azure</v></cell><cell r="S4452" t="str"><v>Apps & Infra</v></cell><cell r="T4452" t="str"><v>Developers & ITI's</v></cell><cell r="U4452" t="str"><v>AZR</v></cell><cell r="V4452" t="str"><v>Prospecting</v></cell><cell r="W4452" t="str"><v>Social</v></cell><cell r="X4452" t="str"><v>1x1</v></cell></row><row r="4452"><cell r="AA4452"><v>43313</v></cell><cell r="AB4452" t="str"><v>CAN_gaPMG_AZR_AZR_Q1_19_Trial-Social</v></cell><cell r="AC4452"><v>21337220</v></cell><cell r="AD4452"><v>720192</v></cell><cell r="AE4452" t="str"><v>Facebook</v></cell><cell r="AF4452"><v>3654128</v></cell><cell r="AG4452" t="str"><v>Facebook»AZR»1x1»NA»SOC»ALL»DYN»PRO»D»All»SS»NA»Canvas - Buy Now - FR</v></cell><cell r="AH4452"><v>225322324</v></cell><cell r="AI4452" t="str"><v>AzurePlatform_FBCTCcanvaspage-BuyNowCTA-Img3_CAN_1080x162_SOC_Plat_French_NA_Standard_NA_BN_T3_1</v></cell><cell r="AJ4452"><v>103789915</v></cell></row><row r="4453"><cell r="C4453" t="str"><v>43313Facebook»AZR»1x1»NA»SOC»ALL»DYN»PRO»D»All»SS»NA»Canvas - Start Free - EN</v></cell><cell r="D4453" t="str"><v>43313225252365</v></cell><cell r="E4453" t="str"><v>43313103807590e - EN</v></cell><cell r="F4453" t="str"><v>DCM</v></cell><cell r="G4453" t="str"><v>https://signup.azure.com/signup?offer=ms-azr-0044p&appId=102&ref=paidmedia-social-fb&redirectURL=https%3a%2f%2fazure.microsoft.com%2fen-ca%2fget-started%2fwelcome-to-azure%2f&l=en-ca&correlationId=ead86c34-1f10-49dd-a72b-6918462a2cbf</v></cell></row><row r="4453"><cell r="K4453" t="str"><v>August</v></cell><cell r="L4453"><v>43316</v></cell><cell r="M4453" t="str"><v>Tier 1</v></cell><cell r="N4453" t="str"><v>North America</v></cell><cell r="O4453" t="str"><v>Canada</v></cell><cell r="P4453" t="str"><v>Trial</v></cell><cell r="Q4453" t="str"><v>Social</v></cell><cell r="R4453" t="str"><v>Azure</v></cell><cell r="S4453" t="str"><v>Apps & Infra</v></cell><cell r="T4453" t="str"><v>Developers & ITI's</v></cell><cell r="U4453" t="str"><v>AZR</v></cell><cell r="V4453" t="str"><v>Prospecting</v></cell><cell r="W4453" t="str"><v>Social</v></cell><cell r="X4453" t="str"><v>1x1</v></cell></row><row r="4453"><cell r="AA4453"><v>43313</v></cell><cell r="AB4453" t="str"><v>CAN_gaPMG_AZR_AZR_Q1_19_Trial-Social</v></cell><cell r="AC4453"><v>21337220</v></cell><cell r="AD4453"><v>720192</v></cell><cell r="AE4453" t="str"><v>Facebook</v></cell><cell r="AF4453"><v>3654128</v></cell><cell r="AG4453" t="str"><v>Facebook»AZR»1x1»NA»SOC»ALL»DYN»PRO»D»All»SS»NA»Canvas - Start Free - EN</v></cell><cell r="AH4453"><v>225252365</v></cell><cell r="AI4453" t="str"><v>AzurePlatform_FBCTCcanvaspage-StartFreeCTA-Img2_CAN_1080x143 _SOC_Plat_English_NA_Standard_NA_NA_T2_1</v></cell><cell r="AJ4453"><v>103807590</v></cell></row><row r="4454"><cell r="C4454" t="str"><v>43313Facebook»AZR»1x1»NA»SOC»ALL»DYN»PRO»D»All»SS»NA»Canvas - Start Free - FR</v></cell><cell r="D4454" t="str"><v>43313225525936</v></cell><cell r="E4454" t="str"><v>43313103902551e - FR</v></cell><cell r="F4454" t="str"><v>DCM</v></cell><cell r="G4454" t="str"><v>https://signup.azure.com/signup?offer=ms-azr-0044p&appId=102&ref=paidmedia-social-fb&redirectURL=https%3a%2f%2fazure.microsoft.com%2ffr-ca%2fget-started%2fwelcome-to-azure%2f&l=fr-ca&correlationId=ead86c34-1f10-49dd-a72b-6918462a2cbf</v></cell></row><row r="4454"><cell r="K4454" t="str"><v>August</v></cell><cell r="L4454"><v>43316</v></cell><cell r="M4454" t="str"><v>Tier 1</v></cell><cell r="N4454" t="str"><v>North America</v></cell><cell r="O4454" t="str"><v>Canada</v></cell><cell r="P4454" t="str"><v>Trial</v></cell><cell r="Q4454" t="str"><v>Social</v></cell><cell r="R4454" t="str"><v>Azure</v></cell><cell r="S4454" t="str"><v>Apps & Infra</v></cell><cell r="T4454" t="str"><v>Developers & ITI's</v></cell><cell r="U4454" t="str"><v>AZR</v></cell><cell r="V4454" t="str"><v>Prospecting</v></cell><cell r="W4454" t="str"><v>Social</v></cell><cell r="X4454" t="str"><v>1x1</v></cell></row><row r="4454"><cell r="AA4454"><v>43313</v></cell><cell r="AB4454" t="str"><v>CAN_gaPMG_AZR_AZR_Q1_19_Trial-Social</v></cell><cell r="AC4454"><v>21337220</v></cell><cell r="AD4454"><v>720192</v></cell><cell r="AE4454" t="str"><v>Facebook</v></cell><cell r="AF4454"><v>3654128</v></cell><cell r="AG4454" t="str"><v>Facebook»AZR»1x1»NA»SOC»ALL»DYN»PRO»D»All»SS»NA»Canvas - Start Free - FR</v></cell><cell r="AH4454"><v>225525936</v></cell><cell r="AI4454" t="str"><v>AzurePlatform_FBCTCcanvaspage-StartFreeCTA-Img2_CAN_1080x143 _SOC_Plat_French_NA_Standard_NA_NA_T2_1</v></cell><cell r="AJ4454"><v>103902551</v></cell></row><row r="4455"><cell r="C4455" t="str"><v>43313Facebook»AZR»1x1»SocialBan»NA»ALL»DYN»AUT»D»All»SS»NA»Free Acc Refresh - T1 - EN</v></cell><cell r="D4455" t="str"><v>43313223691804</v></cell><cell r="E4455" t="str"><v>433131030587171 - EN</v></cell><cell r="F4455" t="str"><v>DCM</v></cell><cell r="G4455" t="str"><v>https://azure.microsoft.com/en-CA/free/search/</v></cell></row><row r="4455"><cell r="K4455" t="str"><v>August</v></cell><cell r="L4455"><v>43316</v></cell><cell r="M4455" t="str"><v>Tier 1</v></cell><cell r="N4455" t="str"><v>North America</v></cell><cell r="O4455" t="str"><v>Canada</v></cell><cell r="P4455" t="str"><v>Trial</v></cell><cell r="Q4455" t="str"><v>Social</v></cell><cell r="R4455" t="str"><v>Azure</v></cell><cell r="S4455" t="str"><v>Apps & Infra</v></cell><cell r="T4455" t="str"><v>Developers & ITI's</v></cell><cell r="U4455" t="str"><v>AZR</v></cell><cell r="V4455" t="str"><v>Audience Targeting</v></cell><cell r="W4455" t="str"><v>NotApplicable</v></cell><cell r="X4455" t="str"><v>1x1</v></cell></row><row r="4455"><cell r="AA4455"><v>43313</v></cell><cell r="AB4455" t="str"><v>CAN_gaPMG_AZR_AZR_Q1_19_Trial-Social</v></cell><cell r="AC4455"><v>21337220</v></cell><cell r="AD4455"><v>720192</v></cell><cell r="AE4455" t="str"><v>Facebook</v></cell><cell r="AF4455"><v>3654128</v></cell><cell r="AG4455" t="str"><v>Facebook»AZR»1x1»SocialBan»NA»ALL»DYN»AUT»D»All»SS»NA»Free Acc Refresh - T1 - EN</v></cell><cell r="AH4455"><v>223691804</v></cell><cell r="AI4455" t="str"><v>AzurePlatform_FreeAcctAppsFACEBOOKLifestyleChA_CAN_1200x628_SOC_PLAT_EN_Trial_Standard_NA_SU_T1_1.png</v></cell><cell r="AJ4455"><v>103058717</v></cell></row><row r="4456"><cell r="C4456" t="str"><v>43313Facebook»AZR»1x1»SocialBan»NA»ALL»DYN»AUT»D»All»SS»NA»Free Acc Refresh - T1 - FR</v></cell><cell r="D4456" t="str"><v>43313223691762</v></cell><cell r="E4456" t="str"><v>433131029029741 - FR</v></cell><cell r="F4456" t="str"><v>DCM</v></cell><cell r="G4456" t="str"><v>https://azure.microsoft.com/fr-ca/free/search/</v></cell></row><row r="4456"><cell r="K4456" t="str"><v>August</v></cell><cell r="L4456"><v>43316</v></cell><cell r="M4456" t="str"><v>Tier 1</v></cell><cell r="N4456" t="str"><v>North America</v></cell><cell r="O4456" t="str"><v>Canada</v></cell><cell r="P4456" t="str"><v>Trial</v></cell><cell r="Q4456" t="str"><v>Social</v></cell><cell r="R4456" t="str"><v>Azure</v></cell><cell r="S4456" t="str"><v>Apps & Infra</v></cell><cell r="T4456" t="str"><v>Developers & ITI's</v></cell><cell r="U4456" t="str"><v>AZR</v></cell><cell r="V4456" t="str"><v>Audience Targeting</v></cell><cell r="W4456" t="str"><v>NotApplicable</v></cell><cell r="X4456" t="str"><v>1x1</v></cell></row><row r="4456"><cell r="AA4456"><v>43313</v></cell><cell r="AB4456" t="str"><v>CAN_gaPMG_AZR_AZR_Q1_19_Trial-Social</v></cell><cell r="AC4456"><v>21337220</v></cell><cell r="AD4456"><v>720192</v></cell><cell r="AE4456" t="str"><v>Facebook</v></cell><cell r="AF4456"><v>3654128</v></cell><cell r="AG4456" t="str"><v>Facebook»AZR»1x1»SocialBan»NA»ALL»DYN»AUT»D»All»SS»NA»Free Acc Refresh - T1 - FR</v></cell><cell r="AH4456"><v>223691762</v></cell><cell r="AI4456" t="str"><v>AzurePlatform_FreeAcctAppsFACEBOOKLifestyleChA_CAN_1200x628_SOC_PLAT_FR_Trial_Standard_NA_SU_T1_1.png</v></cell><cell r="AJ4456"><v>102902974</v></cell></row><row r="4457"><cell r="C4457" t="str"><v>43313Facebook»AZR»1x1»SocialBan»NA»ALL»DYN»AUT»D»All»SS»NA»Free Acc Refresh - T2 - EN</v></cell><cell r="D4457" t="str"><v>43313223691810</v></cell><cell r="E4457" t="str"><v>433131030587112 - EN</v></cell><cell r="F4457" t="str"><v>DCM</v></cell><cell r="G4457" t="str"><v>https://azure.microsoft.com/en-CA/free/search/</v></cell></row><row r="4457"><cell r="K4457" t="str"><v>August</v></cell><cell r="L4457"><v>43316</v></cell><cell r="M4457" t="str"><v>Tier 1</v></cell><cell r="N4457" t="str"><v>North America</v></cell><cell r="O4457" t="str"><v>Canada</v></cell><cell r="P4457" t="str"><v>Trial</v></cell><cell r="Q4457" t="str"><v>Social</v></cell><cell r="R4457" t="str"><v>Azure</v></cell><cell r="S4457" t="str"><v>Apps & Infra</v></cell><cell r="T4457" t="str"><v>Developers & ITI's</v></cell><cell r="U4457" t="str"><v>AZR</v></cell><cell r="V4457" t="str"><v>Audience Targeting</v></cell><cell r="W4457" t="str"><v>NotApplicable</v></cell><cell r="X4457" t="str"><v>1x1</v></cell></row><row r="4457"><cell r="AA4457"><v>43313</v></cell><cell r="AB4457" t="str"><v>CAN_gaPMG_AZR_AZR_Q1_19_Trial-Social</v></cell><cell r="AC4457"><v>21337220</v></cell><cell r="AD4457"><v>720192</v></cell><cell r="AE4457" t="str"><v>Facebook</v></cell><cell r="AF4457"><v>3654128</v></cell><cell r="AG4457" t="str"><v>Facebook»AZR»1x1»SocialBan»NA»ALL»DYN»AUT»D»All»SS»NA»Free Acc Refresh - T2 - EN</v></cell><cell r="AH4457"><v>223691810</v></cell><cell r="AI4457" t="str"><v>AzurePlatform_FreeAcctAppsFACEBOOKDeviceChB_CAN_1200x628_SOC_PLAT_EN_Trial_Standard_NA_SU_T2_1.png</v></cell><cell r="AJ4457"><v>103058711</v></cell></row><row r="4458"><cell r="C4458" t="str"><v>43313Facebook»AZR»1x1»SocialBan»NA»ALL»DYN»AUT»D»All»SS»NA»Free Acc Refresh - T2 - FR</v></cell><cell r="D4458" t="str"><v>43313223691768</v></cell><cell r="E4458" t="str"><v>433131029029712 - FR</v></cell><cell r="F4458" t="str"><v>DCM</v></cell><cell r="G4458" t="str"><v>https://azure.microsoft.com/fr-ca/free/search/</v></cell></row><row r="4458"><cell r="K4458" t="str"><v>August</v></cell><cell r="L4458"><v>43316</v></cell><cell r="M4458" t="str"><v>Tier 1</v></cell><cell r="N4458" t="str"><v>North America</v></cell><cell r="O4458" t="str"><v>Canada</v></cell><cell r="P4458" t="str"><v>Trial</v></cell><cell r="Q4458" t="str"><v>Social</v></cell><cell r="R4458" t="str"><v>Azure</v></cell><cell r="S4458" t="str"><v>Apps & Infra</v></cell><cell r="T4458" t="str"><v>Developers & ITI's</v></cell><cell r="U4458" t="str"><v>AZR</v></cell><cell r="V4458" t="str"><v>Audience Targeting</v></cell><cell r="W4458" t="str"><v>NotApplicable</v></cell><cell r="X4458" t="str"><v>1x1</v></cell></row><row r="4458"><cell r="AA4458"><v>43313</v></cell><cell r="AB4458" t="str"><v>CAN_gaPMG_AZR_AZR_Q1_19_Trial-Social</v></cell><cell r="AC4458"><v>21337220</v></cell><cell r="AD4458"><v>720192</v></cell><cell r="AE4458" t="str"><v>Facebook</v></cell><cell r="AF4458"><v>3654128</v></cell><cell r="AG4458" t="str"><v>Facebook»AZR»1x1»SocialBan»NA»ALL»DYN»AUT»D»All»SS»NA»Free Acc Refresh - T2 - FR</v></cell><cell r="AH4458"><v>223691768</v></cell><cell r="AI4458" t="str"><v>AzurePlatform_FreeAcctAppsFACEBOOKDeviceChB_CAN_1200x628_SOC_PLAT_FR_Trial_Standard_NA_SU_T2_1.png</v></cell><cell r="AJ4458"><v>102902971</v></cell></row><row r="4459"><cell r="C4459" t="str"><v>43313Facebook»AZR»1x1»SocialBan»NA»ALL»DYN»AUT»D»All»SS»NA»Free Acc Refresh - T3 - EN</v></cell><cell r="D4459" t="str"><v>43313223691807</v></cell><cell r="E4459" t="str"><v>433131029006853 - EN</v></cell><cell r="F4459" t="str"><v>DCM</v></cell><cell r="G4459" t="str"><v>https://azure.microsoft.com/en-CA/free/search/</v></cell></row><row r="4459"><cell r="K4459" t="str"><v>August</v></cell><cell r="L4459"><v>43316</v></cell><cell r="M4459" t="str"><v>Tier 1</v></cell><cell r="N4459" t="str"><v>North America</v></cell><cell r="O4459" t="str"><v>Canada</v></cell><cell r="P4459" t="str"><v>Trial</v></cell><cell r="Q4459" t="str"><v>Social</v></cell><cell r="R4459" t="str"><v>Azure</v></cell><cell r="S4459" t="str"><v>Apps & Infra</v></cell><cell r="T4459" t="str"><v>Developers & ITI's</v></cell><cell r="U4459" t="str"><v>AZR</v></cell><cell r="V4459" t="str"><v>Audience Targeting</v></cell><cell r="W4459" t="str"><v>NotApplicable</v></cell><cell r="X4459" t="str"><v>1x1</v></cell></row><row r="4459"><cell r="AA4459"><v>43313</v></cell><cell r="AB4459" t="str"><v>CAN_gaPMG_AZR_AZR_Q1_19_Trial-Social</v></cell><cell r="AC4459"><v>21337220</v></cell><cell r="AD4459"><v>720192</v></cell><cell r="AE4459" t="str"><v>Facebook</v></cell><cell r="AF4459"><v>3654128</v></cell><cell r="AG4459" t="str"><v>Facebook»AZR»1x1»SocialBan»NA»ALL»DYN»AUT»D»All»SS»NA»Free Acc Refresh - T3 - EN</v></cell><cell r="AH4459"><v>223691807</v></cell><cell r="AI4459" t="str"><v>AzurePlatform_FreeAcctAppsFACEBOOKIllustrationChC_CAN_1200x628_SOC_PLAT_EN_Trial_Standard_NA_SU_T3_1.png</v></cell><cell r="AJ4459"><v>102900685</v></cell></row><row r="4460"><cell r="C4460" t="str"><v>43313Facebook»AZR»1x1»SocialBan»NA»ALL»DYN»AUT»D»All»SS»NA»Free Acc Refresh - T4 - FR</v></cell><cell r="D4460" t="str"><v>43313223691771</v></cell><cell r="E4460" t="str"><v>433131029029684 - FR</v></cell><cell r="F4460" t="str"><v>DCM</v></cell><cell r="G4460" t="str"><v>https://azure.microsoft.com/fr-ca/free/search/</v></cell></row><row r="4460"><cell r="K4460" t="str"><v>August</v></cell><cell r="L4460"><v>43316</v></cell><cell r="M4460" t="str"><v>Tier 1</v></cell><cell r="N4460" t="str"><v>North America</v></cell><cell r="O4460" t="str"><v>Canada</v></cell><cell r="P4460" t="str"><v>Trial</v></cell><cell r="Q4460" t="str"><v>Social</v></cell><cell r="R4460" t="str"><v>Azure</v></cell><cell r="S4460" t="str"><v>Apps & Infra</v></cell><cell r="T4460" t="str"><v>Developers & ITI's</v></cell><cell r="U4460" t="str"><v>AZR</v></cell><cell r="V4460" t="str"><v>Audience Targeting</v></cell><cell r="W4460" t="str"><v>NotApplicable</v></cell><cell r="X4460" t="str"><v>1x1</v></cell></row><row r="4460"><cell r="AA4460"><v>43313</v></cell><cell r="AB4460" t="str"><v>CAN_gaPMG_AZR_AZR_Q1_19_Trial-Social</v></cell><cell r="AC4460"><v>21337220</v></cell><cell r="AD4460"><v>720192</v></cell><cell r="AE4460" t="str"><v>Facebook</v></cell><cell r="AF4460"><v>3654128</v></cell><cell r="AG4460" t="str"><v>Facebook»AZR»1x1»SocialBan»NA»ALL»DYN»AUT»D»All»SS»NA»Free Acc Refresh - T4 - FR</v></cell><cell r="AH4460"><v>223691771</v></cell><cell r="AI4460" t="str"><v>AzurePlatform_FreeAcctAppsFACEBOOK200CreditChD_CAN_1200x628_SOC_PLAT_FR_Trial_Standard_NA_SU_T4_1.png</v></cell><cell r="AJ4460"><v>102902968</v></cell></row><row r="4461"><cell r="C4461" t="str"><v>43313Facebook»AZR»1x1»SocialBan»NA»ALL»DYN»RT»D»All»SS»NA» Free Account Retargeting OSS - T1 - FR</v></cell><cell r="D4461" t="str"><v>43313223691786</v></cell><cell r="E4461" t="str"><v>433131030587201 - FR</v></cell><cell r="F4461" t="str"><v>DCM</v></cell><cell r="G4461" t="str"><v>https://azure.microsoft.com/fr-ca/free/open-source/search/</v></cell></row><row r="4461"><cell r="K4461" t="str"><v>August</v></cell><cell r="L4461"><v>43316</v></cell><cell r="M4461" t="str"><v>Tier 1</v></cell><cell r="N4461" t="str"><v>North America</v></cell><cell r="O4461" t="str"><v>Canada</v></cell><cell r="P4461" t="str"><v>Trial</v></cell><cell r="Q4461" t="str"><v>Social</v></cell><cell r="R4461" t="str"><v>Azure</v></cell><cell r="S4461" t="str"><v>Apps & Infra</v></cell><cell r="T4461" t="str"><v>Developers & ITI's</v></cell><cell r="U4461" t="str"><v>AZR</v></cell><cell r="V4461" t="str"><v>Retargeting</v></cell><cell r="W4461" t="str"><v>NotApplicable</v></cell><cell r="X4461" t="str"><v>1x1</v></cell></row><row r="4461"><cell r="AA4461"><v>43313</v></cell><cell r="AB4461" t="str"><v>CAN_gaPMG_AZR_AZR_Q1_19_Trial-Social</v></cell><cell r="AC4461"><v>21337220</v></cell><cell r="AD4461"><v>720192</v></cell><cell r="AE4461" t="str"><v>Facebook</v></cell><cell r="AF4461"><v>3654128</v></cell><cell r="AG4461" t="str"><v>Facebook»AZR»1x1»SocialBan»NA»ALL»DYN»RT»D»All»SS»NA» Free Account Retargeting OSS - T1 - FR</v></cell><cell r="AH4461"><v>223691786</v></cell><cell r="AI4461" t="str"><v>AzurePlatform_FreeAcctRetargetingOSSFB-Text-ChF_CAN_1200x628_SOC_Plat_FR_Free Account_Standard_NA_SU_T1_1</v></cell><cell r="AJ4461"><v>103058720</v></cell></row><row r="4462"><cell r="C4462" t="str"><v>43313Facebook»AZR»1x1»SocialBan»NA»ALL»DYN»RT»D»All»SS»NA» Free Account Retargeting OSS - T2 - EN</v></cell><cell r="D4462" t="str"><v>43313223691831</v></cell><cell r="E4462" t="str"><v>433131029138002 - EN</v></cell><cell r="F4462" t="str"><v>DCM</v></cell><cell r="G4462" t="str"><v>https://azure.microsoft.com/en-ca/free/open-source/search/</v></cell></row><row r="4462"><cell r="K4462" t="str"><v>August</v></cell><cell r="L4462"><v>43316</v></cell><cell r="M4462" t="str"><v>Tier 1</v></cell><cell r="N4462" t="str"><v>North America</v></cell><cell r="O4462" t="str"><v>Canada</v></cell><cell r="P4462" t="str"><v>Trial</v></cell><cell r="Q4462" t="str"><v>Social</v></cell><cell r="R4462" t="str"><v>Azure</v></cell><cell r="S4462" t="str"><v>Apps & Infra</v></cell><cell r="T4462" t="str"><v>Developers & ITI's</v></cell><cell r="U4462" t="str"><v>AZR</v></cell><cell r="V4462" t="str"><v>Retargeting</v></cell><cell r="W4462" t="str"><v>NotApplicable</v></cell><cell r="X4462" t="str"><v>1x1</v></cell></row><row r="4462"><cell r="AA4462"><v>43313</v></cell><cell r="AB4462" t="str"><v>CAN_gaPMG_AZR_AZR_Q1_19_Trial-Social</v></cell><cell r="AC4462"><v>21337220</v></cell><cell r="AD4462"><v>720192</v></cell><cell r="AE4462" t="str"><v>Facebook</v></cell><cell r="AF4462"><v>3654128</v></cell><cell r="AG4462" t="str"><v>Facebook»AZR»1x1»SocialBan»NA»ALL»DYN»RT»D»All»SS»NA» Free Account Retargeting OSS - T2 - EN</v></cell><cell r="AH4462"><v>223691831</v></cell><cell r="AI4462" t="str"><v>AzurePlatform_FreeAcctRetargetingOSSFB-Logos-ChG_CAN_1200x628_SOC_Plat_EN_Free Account_Standard_NA_SU_T2_1</v></cell><cell r="AJ4462"><v>102913800</v></cell></row><row r="4463"><cell r="C4463" t="str"><v>43313Facebook»AZR»1x1»SocialBan»NA»ALL»DYN»RT»D»All»SS»NA» Free Account Retargeting OSS - T2 - FR</v></cell><cell r="D4463" t="str"><v>43313223691789</v></cell><cell r="E4463" t="str"><v>433131029006912 - FR</v></cell><cell r="F4463" t="str"><v>DCM</v></cell><cell r="G4463" t="str"><v>https://azure.microsoft.com/fr-ca/free/open-source/search/</v></cell></row><row r="4463"><cell r="K4463" t="str"><v>August</v></cell><cell r="L4463"><v>43316</v></cell><cell r="M4463" t="str"><v>Tier 1</v></cell><cell r="N4463" t="str"><v>North America</v></cell><cell r="O4463" t="str"><v>Canada</v></cell><cell r="P4463" t="str"><v>Trial</v></cell><cell r="Q4463" t="str"><v>Social</v></cell><cell r="R4463" t="str"><v>Azure</v></cell><cell r="S4463" t="str"><v>Apps & Infra</v></cell><cell r="T4463" t="str"><v>Developers & ITI's</v></cell><cell r="U4463" t="str"><v>AZR</v></cell><cell r="V4463" t="str"><v>Retargeting</v></cell><cell r="W4463" t="str"><v>NotApplicable</v></cell><cell r="X4463" t="str"><v>1x1</v></cell></row><row r="4463"><cell r="AA4463"><v>43313</v></cell><cell r="AB4463" t="str"><v>CAN_gaPMG_AZR_AZR_Q1_19_Trial-Social</v></cell><cell r="AC4463"><v>21337220</v></cell><cell r="AD4463"><v>720192</v></cell><cell r="AE4463" t="str"><v>Facebook</v></cell><cell r="AF4463"><v>3654128</v></cell><cell r="AG4463" t="str"><v>Facebook»AZR»1x1»SocialBan»NA»ALL»DYN»RT»D»All»SS»NA» Free Account Retargeting OSS - T2 - FR</v></cell><cell r="AH4463"><v>223691789</v></cell><cell r="AI4463" t="str"><v>AzurePlatform_FreeAcctRetargetingOSSFB-Logos-ChG_CAN_1200x628_SOC_Plat_FR_Free Account_Standard_NA_SU_T2_1</v></cell><cell r="AJ4463"><v>102900691</v></cell></row><row r="4464"><cell r="C4464" t="str"><v>43313Facebook»AZR»1x1»SocialBan»NA»ALL»DYN»RT»D»All»SS»NA»Free Account Retargeting Generic - T2 - EN</v></cell><cell r="D4464" t="str"><v>43313223691834</v></cell><cell r="E4464" t="str"><v>433131029029532 - EN</v></cell><cell r="F4464" t="str"><v>DCM</v></cell><cell r="G4464" t="str"><v>https://azure.microsoft.com/en-CA/free/search/</v></cell></row><row r="4464"><cell r="K4464" t="str"><v>August</v></cell><cell r="L4464"><v>43316</v></cell><cell r="M4464" t="str"><v>Tier 1</v></cell><cell r="N4464" t="str"><v>North America</v></cell><cell r="O4464" t="str"><v>Canada</v></cell><cell r="P4464" t="str"><v>Trial</v></cell><cell r="Q4464" t="str"><v>Social</v></cell><cell r="R4464" t="str"><v>Azure</v></cell><cell r="S4464" t="str"><v>Apps & Infra</v></cell><cell r="T4464" t="str"><v>Developers & ITI's</v></cell><cell r="U4464" t="str"><v>AZR</v></cell><cell r="V4464" t="str"><v>Retargeting</v></cell><cell r="W4464" t="str"><v>NotApplicable</v></cell><cell r="X4464" t="str"><v>1x1</v></cell></row><row r="4464"><cell r="AA4464"><v>43313</v></cell><cell r="AB4464" t="str"><v>CAN_gaPMG_AZR_AZR_Q1_19_Trial-Social</v></cell><cell r="AC4464"><v>21337220</v></cell><cell r="AD4464"><v>720192</v></cell><cell r="AE4464" t="str"><v>Facebook</v></cell><cell r="AF4464"><v>3654128</v></cell><cell r="AG4464" t="str"><v>Facebook»AZR»1x1»SocialBan»NA»ALL»DYN»RT»D»All»SS»NA»Free Account Retargeting Generic - T2 - EN</v></cell><cell r="AH4464"><v>223691834</v></cell><cell r="AI4464" t="str"><v>AzurePlatform_FreeAcctRetargetingFB-GlobalAlt-ChB_CAN_1200x628_SOC_Plat_EN_Free Account_Standard_NA_SU_T2_1</v></cell><cell r="AJ4464"><v>102902953</v></cell></row><row r="4465"><cell r="C4465" t="str"><v>43313Facebook»AZR»1x1»SocialBan»NA»ALL»DYN»RT»D»All»SS»NA»Free Account Retargeting Generic - T3 - FR</v></cell><cell r="D4465" t="str"><v>43313223691777</v></cell><cell r="E4465" t="str"><v>433131029006973 - FR</v></cell><cell r="F4465" t="str"><v>DCM</v></cell><cell r="G4465" t="str"><v>https://azure.microsoft.com/fr-ca/free/search/</v></cell></row><row r="4465"><cell r="K4465" t="str"><v>August</v></cell><cell r="L4465"><v>43316</v></cell><cell r="M4465" t="str"><v>Tier 1</v></cell><cell r="N4465" t="str"><v>North America</v></cell><cell r="O4465" t="str"><v>Canada</v></cell><cell r="P4465" t="str"><v>Trial</v></cell><cell r="Q4465" t="str"><v>Social</v></cell><cell r="R4465" t="str"><v>Azure</v></cell><cell r="S4465" t="str"><v>Apps & Infra</v></cell><cell r="T4465" t="str"><v>Developers & ITI's</v></cell><cell r="U4465" t="str"><v>AZR</v></cell><cell r="V4465" t="str"><v>Retargeting</v></cell><cell r="W4465" t="str"><v>NotApplicable</v></cell><cell r="X4465" t="str"><v>1x1</v></cell></row><row r="4465"><cell r="AA4465"><v>43313</v></cell><cell r="AB4465" t="str"><v>CAN_gaPMG_AZR_AZR_Q1_19_Trial-Social</v></cell><cell r="AC4465"><v>21337220</v></cell><cell r="AD4465"><v>720192</v></cell><cell r="AE4465" t="str"><v>Facebook</v></cell><cell r="AF4465"><v>3654128</v></cell><cell r="AG4465" t="str"><v>Facebook»AZR»1x1»SocialBan»NA»ALL»DYN»RT»D»All»SS»NA»Free Account Retargeting Generic - T3 - FR</v></cell><cell r="AH4465"><v>223691777</v></cell><cell r="AI4465" t="str"><v>AzurePlatform_FreeAcctRetargetingFB-Animated-ChC_CAN_1200x628_SOC_Plat_FR_Free Account_Standard_ANI_SU_T3_1</v></cell><cell r="AJ4465"><v>102900697</v></cell></row><row r="4466"><cell r="C4466" t="str"><v>43313Facebook»AZR»1x1»SocialBan»NA»ALL»DYN»RT»D»All»SS»NA»Free Account Retargeting VM - T1 - EN</v></cell><cell r="D4466" t="str"><v>43313223691825</v></cell><cell r="E4466" t="str"><v>433131029163381 - EN</v></cell><cell r="F4466" t="str"><v>DCM</v></cell><cell r="G4466" t="str"><v>https://azure.microsoft.com/en-ca/free/virtual-machines/search/</v></cell></row><row r="4466"><cell r="K4466" t="str"><v>August</v></cell><cell r="L4466"><v>43316</v></cell><cell r="M4466" t="str"><v>Tier 1</v></cell><cell r="N4466" t="str"><v>North America</v></cell><cell r="O4466" t="str"><v>Canada</v></cell><cell r="P4466" t="str"><v>Trial</v></cell><cell r="Q4466" t="str"><v>Social</v></cell><cell r="R4466" t="str"><v>Azure</v></cell><cell r="S4466" t="str"><v>Apps & Infra</v></cell><cell r="T4466" t="str"><v>Developers & ITI's</v></cell><cell r="U4466" t="str"><v>AZR</v></cell><cell r="V4466" t="str"><v>Retargeting</v></cell><cell r="W4466" t="str"><v>NotApplicable</v></cell><cell r="X4466" t="str"><v>1x1</v></cell></row><row r="4466"><cell r="AA4466"><v>43313</v></cell><cell r="AB4466" t="str"><v>CAN_gaPMG_AZR_AZR_Q1_19_Trial-Social</v></cell><cell r="AC4466"><v>21337220</v></cell><cell r="AD4466"><v>720192</v></cell><cell r="AE4466" t="str"><v>Facebook</v></cell><cell r="AF4466"><v>3654128</v></cell><cell r="AG4466" t="str"><v>Facebook»AZR»1x1»SocialBan»NA»ALL»DYN»RT»D»All»SS»NA»Free Account Retargeting VM - T1 - EN</v></cell><cell r="AH4466"><v>223691825</v></cell><cell r="AI4466" t="str"><v>AzurePlatform_FreeAcctRetargetingVMFB-750Hrs-ChD_CAN_1200x628_SOC_Plat_EN_Free Account_Standard_NA_SU_T1_1</v></cell><cell r="AJ4466"><v>102916338</v></cell></row><row r="4467"><cell r="C4467" t="str"><v>43313Facebook»AZR»1x1»SocialBan»NA»ALL»DYN»RT»D»All»SS»NA»Free Account Retargeting VM - T2 - EN</v></cell><cell r="D4467" t="str"><v>43313223691822</v></cell><cell r="E4467" t="str"><v>433131030587082 - EN</v></cell><cell r="F4467" t="str"><v>DCM</v></cell><cell r="G4467" t="str"><v>https://azure.microsoft.com/en-ca/free/virtual-machines/search/</v></cell></row><row r="4467"><cell r="K4467" t="str"><v>August</v></cell><cell r="L4467"><v>43316</v></cell><cell r="M4467" t="str"><v>Tier 1</v></cell><cell r="N4467" t="str"><v>North America</v></cell><cell r="O4467" t="str"><v>Canada</v></cell><cell r="P4467" t="str"><v>Trial</v></cell><cell r="Q4467" t="str"><v>Social</v></cell><cell r="R4467" t="str"><v>Azure</v></cell><cell r="S4467" t="str"><v>Apps & Infra</v></cell><cell r="T4467" t="str"><v>Developers & ITI's</v></cell><cell r="U4467" t="str"><v>AZR</v></cell><cell r="V4467" t="str"><v>Retargeting</v></cell><cell r="W4467" t="str"><v>NotApplicable</v></cell><cell r="X4467" t="str"><v>1x1</v></cell></row><row r="4467"><cell r="AA4467"><v>43313</v></cell><cell r="AB4467" t="str"><v>CAN_gaPMG_AZR_AZR_Q1_19_Trial-Social</v></cell><cell r="AC4467"><v>21337220</v></cell><cell r="AD4467"><v>720192</v></cell><cell r="AE4467" t="str"><v>Facebook</v></cell><cell r="AF4467"><v>3654128</v></cell><cell r="AG4467" t="str"><v>Facebook»AZR»1x1»SocialBan»NA»ALL»DYN»RT»D»All»SS»NA»Free Account Retargeting VM - T2 - EN</v></cell><cell r="AH4467"><v>223691822</v></cell><cell r="AI4467" t="str"><v>AzurePlatform_FreeAcctRetargetingVMFB-OnDemand-ChE_CAN_1200x628_SOC_Plat_EN_Free Account_Standard_NA_SU_T2_1</v></cell><cell r="AJ4467"><v>103058708</v></cell></row><row r="4468"><cell r="C4468" t="str"><v>43313Facebook»AZR»1x1»SocialBan»NA»ALL»DYN»RT»D»All»SS»NA»Free Account Retargeting VM - T2 - FR</v></cell><cell r="D4468" t="str"><v>43313223691780</v></cell><cell r="E4468" t="str"><v>433131030587262 - FR</v></cell><cell r="F4468" t="str"><v>DCM</v></cell><cell r="G4468" t="str"><v>https://azure.microsoft.com/fr-ca/free/virtual-machines/search/</v></cell></row><row r="4468"><cell r="K4468" t="str"><v>August</v></cell><cell r="L4468"><v>43316</v></cell><cell r="M4468" t="str"><v>Tier 1</v></cell><cell r="N4468" t="str"><v>North America</v></cell><cell r="O4468" t="str"><v>Canada</v></cell><cell r="P4468" t="str"><v>Trial</v></cell><cell r="Q4468" t="str"><v>Social</v></cell><cell r="R4468" t="str"><v>Azure</v></cell><cell r="S4468" t="str"><v>Apps & Infra</v></cell><cell r="T4468" t="str"><v>Developers & ITI's</v></cell><cell r="U4468" t="str"><v>AZR</v></cell><cell r="V4468" t="str"><v>Retargeting</v></cell><cell r="W4468" t="str"><v>NotApplicable</v></cell><cell r="X4468" t="str"><v>1x1</v></cell></row><row r="4468"><cell r="AA4468"><v>43313</v></cell><cell r="AB4468" t="str"><v>CAN_gaPMG_AZR_AZR_Q1_19_Trial-Social</v></cell><cell r="AC4468"><v>21337220</v></cell><cell r="AD4468"><v>720192</v></cell><cell r="AE4468" t="str"><v>Facebook</v></cell><cell r="AF4468"><v>3654128</v></cell><cell r="AG4468" t="str"><v>Facebook»AZR»1x1»SocialBan»NA»ALL»DYN»RT»D»All»SS»NA»Free Account Retargeting VM - T2 - FR</v></cell><cell r="AH4468"><v>223691780</v></cell><cell r="AI4468" t="str"><v>AzurePlatform_FreeAcctRetargetingVMFB-OnDemand-ChE_CAN_1200x628_SOC_Plat_FR_Free Account_Standard_NA_SU_T2_1</v></cell><cell r="AJ4468"><v>103058726</v></cell></row><row r="4469"><cell r="C4469" t="str"><v>43313Facebook»DEV-ITP-AZR-FB|CanvasAds|Interesttargeting»1x1»TextLink»CAN»DT»CPM»AUT»W»NA»SS»NA»39684020-11000</v></cell><cell r="D4469" t="str"><v>43313224009494</v></cell><cell r="E4469" t="str"><v>43313103236186-11000</v></cell><cell r="F4469" t="str"><v>DCM</v></cell><cell r="G4469" t="str"><v>https://signup.azure.com/signup?offer=ms-azr-0044p&appId=102&ref=paidmedia-social-fb&redirectURL=https%3a%2f%2fazure.microsoft.com%2fde-de%2fget-started%2fwelcome-to-azure%2f&l=de-de&correlationId=ead86c34-1f10-49dd-a72b-6918462a2cbf</v></cell></row><row r="4469"><cell r="K4469" t="str"><v>August</v></cell><cell r="L4469"><v>43316</v></cell><cell r="M4469" t="str"><v>Tier 1</v></cell><cell r="N4469" t="str"><v>EMEA</v></cell><cell r="O4469" t="str"><v>Germany</v></cell><cell r="P4469" t="str"><v>Trial</v></cell><cell r="Q4469" t="str"><v>Social</v></cell><cell r="R4469" t="str"><v>Azure</v></cell><cell r="S4469" t="str"><v>Apps & Infra</v></cell><cell r="T4469" t="str"><v>Developers & ITI's</v></cell><cell r="U4469" t="str"><v>DEV-ITP-AZR-FB|CanvasAds|Interesttargeting</v></cell><cell r="V4469" t="str"><v>Audience Targeting</v></cell><cell r="W4469" t="str"><v>Canvas Ad</v></cell><cell r="X4469" t="str"><v>1x1</v></cell></row><row r="4469"><cell r="AA4469"><v>43313</v></cell><cell r="AB4469" t="str"><v>DEU_gaPMG_AZR_AZR_Q1_19_Trial-Social- 39684</v></cell><cell r="AC4469"><v>21359477</v></cell><cell r="AD4469"><v>720194</v></cell><cell r="AE4469" t="str"><v>Facebook</v></cell><cell r="AF4469"><v>3654128</v></cell><cell r="AG4469" t="str"><v>Facebook»DEV-ITP-AZR-FB|CanvasAds|Interesttargeting»1x1»TextLink»CAN»DT»CPM»AUT»W»NA»SS»NA»39684020-11000</v></cell><cell r="AH4469"><v>224009494</v></cell><cell r="AI4469" t="str"><v>AzurePlatform_FBCTCBasicMotion-StartFreeCT_DEU_10s_ISV_PLAT_DE_Trial_Standard_STAN_TN_T1_1</v></cell><cell r="AJ4469"><v>103236186</v></cell></row><row r="4470"><cell r="C4470" t="str"><v>43313Facebook»DEV-ITP-AZR-FB|CanvasAds|Interesttargeting»1x1»TextLink»CAN»DT»CPM»AUT»W»NA»SS»NA»39684020-11000</v></cell><cell r="D4470" t="str"><v>43313224009494</v></cell><cell r="E4470" t="str"><v>43313103236189-11000</v></cell><cell r="F4470" t="str"><v>DCM</v></cell><cell r="G4470" t="str"><v>https://azure.microsoft.com/de-de/pricing/purchase-options/</v></cell></row><row r="4470"><cell r="K4470" t="str"><v>August</v></cell><cell r="L4470"><v>43316</v></cell><cell r="M4470" t="str"><v>Tier 1</v></cell><cell r="N4470" t="str"><v>EMEA</v></cell><cell r="O4470" t="str"><v>Germany</v></cell><cell r="P4470" t="str"><v>Trial</v></cell><cell r="Q4470" t="str"><v>Social</v></cell><cell r="R4470" t="str"><v>Azure</v></cell><cell r="S4470" t="str"><v>Apps & Infra</v></cell><cell r="T4470" t="str"><v>Developers & ITI's</v></cell><cell r="U4470" t="str"><v>DEV-ITP-AZR-FB|CanvasAds|Interesttargeting</v></cell><cell r="V4470" t="str"><v>Audience Targeting</v></cell><cell r="W4470" t="str"><v>Canvas Ad</v></cell><cell r="X4470" t="str"><v>1x1</v></cell></row><row r="4470"><cell r="AA4470"><v>43313</v></cell><cell r="AB4470" t="str"><v>DEU_gaPMG_AZR_AZR_Q1_19_Trial-Social- 39684</v></cell><cell r="AC4470"><v>21359477</v></cell><cell r="AD4470"><v>720194</v></cell><cell r="AE4470" t="str"><v>Facebook</v></cell><cell r="AF4470"><v>3654128</v></cell><cell r="AG4470" t="str"><v>Facebook»DEV-ITP-AZR-FB|CanvasAds|Interesttargeting»1x1»TextLink»CAN»DT»CPM»AUT»W»NA»SS»NA»39684020-11000</v></cell><cell r="AH4470"><v>224009494</v></cell><cell r="AI4470" t="str"><v>AzurePlatform_FBCTCBenefit2inMotion-BuyNow_DEU_14s_ISV_PLAT_DE_Trial_Standard_STAN_TN_T4_1</v></cell><cell r="AJ4470"><v>103236189</v></cell></row><row r="4471"><cell r="C4471" t="str"><v>43313Facebook»DEV-ITP-AZR-FB|CanvasAds|Interesttargeting»1x1»TextLink»CAN»DT»CPM»AUT»W»NA»SS»NA»39684020-11000</v></cell><cell r="D4471" t="str"><v>43313224009494</v></cell><cell r="E4471" t="str"><v>43313103237290-11000</v></cell><cell r="F4471" t="str"><v>DCM</v></cell><cell r="G4471" t="str"><v>https://signup.azure.com/signup?offer=ms-azr-0044p&appId=102&ref=paidmedia-social-fb&redirectURL=https%3a%2f%2fazure.microsoft.com%2fde-de%2fget-started%2fwelcome-to-azure%2f&l=de-de&correlationId=ead86c34-1f10-49dd-a72b-6918462a2cbf</v></cell></row><row r="4471"><cell r="K4471" t="str"><v>August</v></cell><cell r="L4471"><v>43316</v></cell><cell r="M4471" t="str"><v>Tier 1</v></cell><cell r="N4471" t="str"><v>EMEA</v></cell><cell r="O4471" t="str"><v>Germany</v></cell><cell r="P4471" t="str"><v>Trial</v></cell><cell r="Q4471" t="str"><v>Social</v></cell><cell r="R4471" t="str"><v>Azure</v></cell><cell r="S4471" t="str"><v>Apps & Infra</v></cell><cell r="T4471" t="str"><v>Developers & ITI's</v></cell><cell r="U4471" t="str"><v>DEV-ITP-AZR-FB|CanvasAds|Interesttargeting</v></cell><cell r="V4471" t="str"><v>Audience Targeting</v></cell><cell r="W4471" t="str"><v>Canvas Ad</v></cell><cell r="X4471" t="str"><v>1x1</v></cell></row><row r="4471"><cell r="AA4471"><v>43313</v></cell><cell r="AB4471" t="str"><v>DEU_gaPMG_AZR_AZR_Q1_19_Trial-Social- 39684</v></cell><cell r="AC4471"><v>21359477</v></cell><cell r="AD4471"><v>720194</v></cell><cell r="AE4471" t="str"><v>Facebook</v></cell><cell r="AF4471"><v>3654128</v></cell><cell r="AG4471" t="str"><v>Facebook»DEV-ITP-AZR-FB|CanvasAds|Interesttargeting»1x1»TextLink»CAN»DT»CPM»AUT»W»NA»SS»NA»39684020-11000</v></cell><cell r="AH4471"><v>224009494</v></cell><cell r="AI4471" t="str"><v>AzurePlatform_FBCTCBenefit2inMotion-StartFreeCT_DEU_14s_ISV_PLAT_DE_Trial_Standard_STAN_TN_T4_1</v></cell><cell r="AJ4471"><v>103237290</v></cell></row><row r="4472"><cell r="C4472" t="str"><v>43313Facebook»DEV-ITP-AZR-FB|CanvasAds|Interesttargeting»1x1»TextLink»CAN»DT»CPM»AUT»W»NA»SS»NA»39684020-11000</v></cell><cell r="D4472" t="str"><v>43313224009494</v></cell><cell r="E4472" t="str"><v>43313103350059-11000</v></cell><cell r="F4472" t="str"><v>DCM</v></cell><cell r="G4472" t="str"><v>https://azure.microsoft.com/de-de/pricing/purchase-options/</v></cell></row><row r="4472"><cell r="K4472" t="str"><v>August</v></cell><cell r="L4472"><v>43316</v></cell><cell r="M4472" t="str"><v>Tier 1</v></cell><cell r="N4472" t="str"><v>EMEA</v></cell><cell r="O4472" t="str"><v>Germany</v></cell><cell r="P4472" t="str"><v>Trial</v></cell><cell r="Q4472" t="str"><v>Social</v></cell><cell r="R4472" t="str"><v>Azure</v></cell><cell r="S4472" t="str"><v>Apps & Infra</v></cell><cell r="T4472" t="str"><v>Developers & ITI's</v></cell><cell r="U4472" t="str"><v>DEV-ITP-AZR-FB|CanvasAds|Interesttargeting</v></cell><cell r="V4472" t="str"><v>Audience Targeting</v></cell><cell r="W4472" t="str"><v>Canvas Ad</v></cell><cell r="X4472" t="str"><v>1x1</v></cell></row><row r="4472"><cell r="AA4472"><v>43313</v></cell><cell r="AB4472" t="str"><v>DEU_gaPMG_AZR_AZR_Q1_19_Trial-Social- 39684</v></cell><cell r="AC4472"><v>21359477</v></cell><cell r="AD4472"><v>720194</v></cell><cell r="AE4472" t="str"><v>Facebook</v></cell><cell r="AF4472"><v>3654128</v></cell><cell r="AG4472" t="str"><v>Facebook»DEV-ITP-AZR-FB|CanvasAds|Interesttargeting»1x1»TextLink»CAN»DT»CPM»AUT»W»NA»SS»NA»39684020-11000</v></cell><cell r="AH4472"><v>224009494</v></cell><cell r="AI4472" t="str"><v>AzurePlatform_FBCTCBrandinMotion-BuyNow_DEU_12s_ISV_PLAT_DE_Trial_Standard_STAN_TN_T2_1</v></cell><cell r="AJ4472"><v>103350059</v></cell></row><row r="4473"><cell r="C4473" t="str"><v>43313Facebook»DEV-ITP-AZR-FB|CanvasAds|Interesttargeting»1x1»TextLink»CAN»DT»CPM»AUT»W»NA»SS»NA»39684020-11000</v></cell><cell r="D4473" t="str"><v>43313224009494</v></cell><cell r="E4473" t="str"><v>43313103237293-11000</v></cell><cell r="F4473" t="str"><v>DCM</v></cell><cell r="G4473" t="str"><v>https://signup.azure.com/signup?offer=ms-azr-0044p&appId=102&ref=paidmedia-social-fb&redirectURL=https%3a%2f%2fazure.microsoft.com%2fde-de%2fget-started%2fwelcome-to-azure%2f&l=de-de&correlationId=ead86c34-1f10-49dd-a72b-6918462a2cbf</v></cell></row><row r="4473"><cell r="K4473" t="str"><v>August</v></cell><cell r="L4473"><v>43316</v></cell><cell r="M4473" t="str"><v>Tier 1</v></cell><cell r="N4473" t="str"><v>EMEA</v></cell><cell r="O4473" t="str"><v>Germany</v></cell><cell r="P4473" t="str"><v>Trial</v></cell><cell r="Q4473" t="str"><v>Social</v></cell><cell r="R4473" t="str"><v>Azure</v></cell><cell r="S4473" t="str"><v>Apps & Infra</v></cell><cell r="T4473" t="str"><v>Developers & ITI's</v></cell><cell r="U4473" t="str"><v>DEV-ITP-AZR-FB|CanvasAds|Interesttargeting</v></cell><cell r="V4473" t="str"><v>Audience Targeting</v></cell><cell r="W4473" t="str"><v>Canvas Ad</v></cell><cell r="X4473" t="str"><v>1x1</v></cell></row><row r="4473"><cell r="AA4473"><v>43313</v></cell><cell r="AB4473" t="str"><v>DEU_gaPMG_AZR_AZR_Q1_19_Trial-Social- 39684</v></cell><cell r="AC4473"><v>21359477</v></cell><cell r="AD4473"><v>720194</v></cell><cell r="AE4473" t="str"><v>Facebook</v></cell><cell r="AF4473"><v>3654128</v></cell><cell r="AG4473" t="str"><v>Facebook»DEV-ITP-AZR-FB|CanvasAds|Interesttargeting»1x1»TextLink»CAN»DT»CPM»AUT»W»NA»SS»NA»39684020-11000</v></cell><cell r="AH4473"><v>224009494</v></cell><cell r="AI4473" t="str"><v>AzurePlatform_FBCTCBrandinMotion-StartFreeCT_DEU_12s_ISV_PLAT_DE_Trial_Standard_STAN_TN_T2_1</v></cell><cell r="AJ4473"><v>103237293</v></cell></row><row r="4474"><cell r="C4474" t="str"><v>43313Facebook»DEV-ITP-AZR-FB|LinkAd|CustomerAudienceRetargeting»1x1»TextLink»LIA»DT»CPM»RT»W»NA»SS»NA»39684019-11000</v></cell><cell r="D4474" t="str"><v>43313224010415</v></cell><cell r="E4474" t="str"><v>43313103055394-11000</v></cell><cell r="F4474" t="str"><v>DCM</v></cell><cell r="G4474" t="str"><v>https://azure.microsoft.com/de-de/free/open-source/search/</v></cell></row><row r="4474"><cell r="K4474" t="str"><v>August</v></cell><cell r="L4474"><v>43316</v></cell><cell r="M4474" t="str"><v>Tier 1</v></cell><cell r="N4474" t="str"><v>EMEA</v></cell><cell r="O4474" t="str"><v>Germany</v></cell><cell r="P4474" t="str"><v>Trial</v></cell><cell r="Q4474" t="str"><v>Social</v></cell><cell r="R4474" t="str"><v>Azure</v></cell><cell r="S4474" t="str"><v>Apps & Infra</v></cell><cell r="T4474" t="str"><v>Developers & ITI's</v></cell><cell r="U4474" t="str"><v>DEV-ITP-AZR-FB|LinkAd|CustomerAudienceRetargeting</v></cell><cell r="V4474" t="str"><v>Retargeting</v></cell><cell r="W4474" t="str"><v>Link Ad</v></cell><cell r="X4474" t="str"><v>1x1</v></cell></row><row r="4474"><cell r="AA4474"><v>43313</v></cell><cell r="AB4474" t="str"><v>DEU_gaPMG_AZR_AZR_Q1_19_Trial-Social- 39684</v></cell><cell r="AC4474"><v>21359477</v></cell><cell r="AD4474"><v>720194</v></cell><cell r="AE4474" t="str"><v>Facebook</v></cell><cell r="AF4474"><v>3654128</v></cell><cell r="AG4474" t="str"><v>Facebook»DEV-ITP-AZR-FB|LinkAd|CustomerAudienceRetargeting»1x1»TextLink»LIA»DT»CPM»RT»W»NA»SS»NA»39684019-11000</v></cell><cell r="AH4474"><v>224010415</v></cell><cell r="AI4474" t="str"><v>AzurePlatform_FreeAcctRetargetingOSSFB-Text-ChF_DEU_1200x628_SOC_Plat_DE_Free Account_Standard_NA_SNU_T1_1</v></cell><cell r="AJ4474"><v>103055394</v></cell></row><row r="4475"><cell r="C4475" t="str"><v>43313Facebook»Developers/ITPros-Azure Direct-Sponsored Post-Canvas-FBCTCcanvaspage-BuyNowCTA-Img3_FBCTCBrandinMotion_FRA_14sec»1x1»Canvas»SOC»ALL»CPC»BT»D»UNK»SS»NA»Trials</v></cell><cell r="D4475" t="str"><v>43313224416918</v></cell><cell r="E4475" t="str"><v>43313103256571Trials</v></cell><cell r="F4475" t="str"><v>DCM</v></cell><cell r="G4475" t="str"><v>https://azure.microsoft.com/fr-fr/pricing/purchase-options/</v></cell></row><row r="4475"><cell r="K4475" t="str"><v>August</v></cell><cell r="L4475"><v>43316</v></cell><cell r="M4475" t="str"><v>Tier 1</v></cell><cell r="N4475" t="str"><v>EMEA</v></cell><cell r="O4475" t="str"><v>France</v></cell><cell r="P4475" t="str"><v>Trial</v></cell><cell r="Q4475" t="str"><v>Social</v></cell><cell r="R4475" t="str"><v>Azure</v></cell><cell r="S4475" t="str"><v>Apps & Infra</v></cell><cell r="T4475" t="str"><v>Developers & ITI's</v></cell><cell r="U4475" t="str"><v>Developers/ITPros-Azure Direct-Sponsored Post-Canvas-FBCTCcanvaspage-BuyNowCTA-Img3_FBCTCBrandinMotion_FRA_14sec</v></cell><cell r="V4475" t="str"><v>Behavioral Targeting</v></cell><cell r="W4475" t="str"><v>Social</v></cell><cell r="X4475" t="str"><v>1x1</v></cell></row><row r="4475"><cell r="AA4475"><v>43313</v></cell><cell r="AB4475" t="str"><v>FRA_gaPMG_AZR_AZR_Q1_19_AzureDirect-Trial-Social</v></cell><cell r="AC4475"><v>21356941</v></cell><cell r="AD4475"><v>720193</v></cell><cell r="AE4475" t="str"><v>Facebook</v></cell><cell r="AF4475"><v>3654128</v></cell><cell r="AG4475" t="str"><v>Facebook»Developers/ITPros-Azure Direct-Sponsored Post-Canvas-FBCTCcanvaspage-BuyNowCTA-Img3_FBCTCBrandinMotion_FRA_14sec»1x1»Canvas»SOC»ALL»CPC»BT»D»UNK»SS»NA»Trials</v></cell><cell r="AH4475"><v>224416918</v></cell><cell r="AI4475" t="str"><v>AZR_FBCTCcanvaspage-BuyNowCTA-Img3_FRA_1080x162_SOC_AZRDirect_French_NA_Facebook_SBAN_BN_T3_1</v></cell><cell r="AJ4475"><v>103256571</v></cell></row><row r="4476"><cell r="C4476" t="str"><v>43313Facebook»Developers/ITPros-Azure Direct-Sponsored Post-Canvas-FBCTCcanvaspage-StartFreeCTA-Img2_FBCTCBasicMotion_FRA_10sec»1x1»Canvas»SOC»ALL»CPC»BT»D»UNK»SS»NA»Trials</v></cell><cell r="D4476" t="str"><v>43313224560884</v></cell><cell r="E4476" t="str"><v>43313103259958Trials</v></cell><cell r="F4476" t="str"><v>DCM</v></cell><cell r="G4476" t="str"><v>https://signup.azure.com/signup?offer=ms-azr-0044p&appId=102&ref=paidmedia-social-fb&redirectURL=https%3a%2f%2fazure.microsoft.com%2ffr-fr%2fget-started%2fwelcome-to-azure%2f&l=fr-fr&correlationId=ead86c34-1f10-49dd-a72b-6918462a2cbf</v></cell></row><row r="4476"><cell r="K4476" t="str"><v>August</v></cell><cell r="L4476"><v>43316</v></cell><cell r="M4476" t="str"><v>Tier 1</v></cell><cell r="N4476" t="str"><v>EMEA</v></cell><cell r="O4476" t="str"><v>France</v></cell><cell r="P4476" t="str"><v>Trial</v></cell><cell r="Q4476" t="str"><v>Social</v></cell><cell r="R4476" t="str"><v>Azure</v></cell><cell r="S4476" t="str"><v>Apps & Infra</v></cell><cell r="T4476" t="str"><v>Developers & ITI's</v></cell><cell r="U4476" t="str"><v>Developers/ITPros-Azure Direct-Sponsored Post-Canvas-FBCTCcanvaspage-StartFreeCTA-Img2_FBCTCBasicMotion_FRA_10sec</v></cell><cell r="V4476" t="str"><v>Behavioral Targeting</v></cell><cell r="W4476" t="str"><v>Social</v></cell><cell r="X4476" t="str"><v>1x1</v></cell></row><row r="4476"><cell r="AA4476"><v>43313</v></cell><cell r="AB4476" t="str"><v>FRA_gaPMG_AZR_AZR_Q1_19_AzureDirect-Trial-Social</v></cell><cell r="AC4476"><v>21356941</v></cell><cell r="AD4476"><v>720193</v></cell><cell r="AE4476" t="str"><v>Facebook</v></cell><cell r="AF4476"><v>3654128</v></cell><cell r="AG4476" t="str"><v>Facebook»Developers/ITPros-Azure Direct-Sponsored Post-Canvas-FBCTCcanvaspage-StartFreeCTA-Img2_FBCTCBasicMotion_FRA_10sec»1x1»Canvas»SOC»ALL»CPC»BT»D»UNK»SS»NA»Trials</v></cell><cell r="AH4476"><v>224560884</v></cell><cell r="AI4476" t="str"><v>AZR_FBCTCcanvaspage-StartFreeCTA-Img2_FRA_1080x143_SOC_AZRDirect_French_NA_Facebook_SBAN_BN_T2_1</v></cell><cell r="AJ4476"><v>103259958</v></cell></row><row r="4477"><cell r="C4477" t="str"><v>43313Facebook»Developers/ITPros-Azure Direct-Sponsored Post-Canvas-FBCTCcanvaspage-StartFreeCTA-Img2_FBCTCBrandinMotion_FRA_14sec»1x1»Canvas»SOC»ALL»CPC»BT»D»UNK»SS»NA»Trials</v></cell><cell r="D4477" t="str"><v>43313224560872</v></cell><cell r="E4477" t="str"><v>43313103259958Trials</v></cell><cell r="F4477" t="str"><v>DCM</v></cell><cell r="G4477" t="str"><v>https://signup.azure.com/signup?offer=ms-azr-0044p&appId=102&ref=paidmedia-social-fb&redirectURL=https%3a%2f%2fazure.microsoft.com%2ffr-fr%2fget-started%2fwelcome-to-azure%2f&l=fr-fr&correlationId=ead86c34-1f10-49dd-a72b-6918462a2cbf</v></cell></row><row r="4477"><cell r="K4477" t="str"><v>August</v></cell><cell r="L4477"><v>43316</v></cell><cell r="M4477" t="str"><v>Tier 1</v></cell><cell r="N4477" t="str"><v>EMEA</v></cell><cell r="O4477" t="str"><v>France</v></cell><cell r="P4477" t="str"><v>Trial</v></cell><cell r="Q4477" t="str"><v>Social</v></cell><cell r="R4477" t="str"><v>Azure</v></cell><cell r="S4477" t="str"><v>Apps & Infra</v></cell><cell r="T4477" t="str"><v>Developers & ITI's</v></cell><cell r="U4477" t="str"><v>Developers/ITPros-Azure Direct-Sponsored Post-Canvas-FBCTCcanvaspage-StartFreeCTA-Img2_FBCTCBrandinMotion_FRA_14sec</v></cell><cell r="V4477" t="str"><v>Behavioral Targeting</v></cell><cell r="W4477" t="str"><v>Social</v></cell><cell r="X4477" t="str"><v>1x1</v></cell></row><row r="4477"><cell r="AA4477"><v>43313</v></cell><cell r="AB4477" t="str"><v>FRA_gaPMG_AZR_AZR_Q1_19_AzureDirect-Trial-Social</v></cell><cell r="AC4477"><v>21356941</v></cell><cell r="AD4477"><v>720193</v></cell><cell r="AE4477" t="str"><v>Facebook</v></cell><cell r="AF4477"><v>3654128</v></cell><cell r="AG4477" t="str"><v>Facebook»Developers/ITPros-Azure Direct-Sponsored Post-Canvas-FBCTCcanvaspage-StartFreeCTA-Img2_FBCTCBrandinMotion_FRA_14sec»1x1»Canvas»SOC»ALL»CPC»BT»D»UNK»SS»NA»Trials</v></cell><cell r="AH4477"><v>224560872</v></cell><cell r="AI4477" t="str"><v>AZR_FBCTCcanvaspage-StartFreeCTA-Img2_FRA_1080x143_SOC_AZRDirect_French_NA_Facebook_SBAN_BN_T2_1</v></cell><cell r="AJ4477"><v>103259958</v></cell></row><row r="4478"><cell r="C4478" t="str"><v>43313Facebook»Developers/ITPros-Azure Direct-Sponsored Post-Link Ad-FreeAcctRetargetingFB-GlobalAlt-ChB»1x1»SocialBan»SOC»ALL»CPC»BT»D»UNK»SS»NA»Trials</v></cell><cell r="D4478" t="str"><v>43313224560845</v></cell><cell r="E4478" t="str"><v>43313103259520Trials</v></cell><cell r="F4478" t="str"><v>DCM</v></cell><cell r="G4478" t="str"><v>https://azure.microsoft.com/fr-fr/free/search/</v></cell></row><row r="4478"><cell r="K4478" t="str"><v>August</v></cell><cell r="L4478"><v>43316</v></cell><cell r="M4478" t="str"><v>Tier 1</v></cell><cell r="N4478" t="str"><v>EMEA</v></cell><cell r="O4478" t="str"><v>France</v></cell><cell r="P4478" t="str"><v>Trial</v></cell><cell r="Q4478" t="str"><v>Social</v></cell><cell r="R4478" t="str"><v>Azure</v></cell><cell r="S4478" t="str"><v>Apps & Infra</v></cell><cell r="T4478" t="str"><v>Developers & ITI's</v></cell><cell r="U4478" t="str"><v>Developers/ITPros-Azure Direct-Sponsored Post-Link Ad-FreeAcctRetargetingFB-GlobalAlt-ChB</v></cell><cell r="V4478" t="str"><v>Behavioral Targeting</v></cell><cell r="W4478" t="str"><v>Social</v></cell><cell r="X4478" t="str"><v>1x1</v></cell></row><row r="4478"><cell r="AA4478"><v>43313</v></cell><cell r="AB4478" t="str"><v>FRA_gaPMG_AZR_AZR_Q1_19_AzureDirect-Trial-Social</v></cell><cell r="AC4478"><v>21356941</v></cell><cell r="AD4478"><v>720193</v></cell><cell r="AE4478" t="str"><v>Facebook</v></cell><cell r="AF4478"><v>3654128</v></cell><cell r="AG4478" t="str"><v>Facebook»Developers/ITPros-Azure Direct-Sponsored Post-Link Ad-FreeAcctRetargetingFB-GlobalAlt-ChB»1x1»SocialBan»SOC»ALL»CPC»BT»D»UNK»SS»NA»Trials</v></cell><cell r="AH4478"><v>224560845</v></cell><cell r="AI4478" t="str"><v>AZR_FreeAcctRetargetingFB-GlobalAlt-ChB_FRA_1200x628_SOC_AZRDirect_French_NA_Facebook_SBAN_SINU_T2_1</v></cell><cell r="AJ4478"><v>103259520</v></cell></row><row r="4479"><cell r="C4479" t="str"><v>43313Facebook»Developers/ITPros-Azure Direct-Sponsored Post-Link Ad-FreeAcctRetargetingOSSFB-Text-ChF»1x1»SocialBan»SOC»ALL»CPC»BT»D»UNK»SS»NA»Trials</v></cell><cell r="D4479" t="str"><v>43313224560839</v></cell><cell r="E4479" t="str"><v>43313103257810Trials</v></cell><cell r="F4479" t="str"><v>DCM</v></cell><cell r="G4479" t="str"><v>https://azure.microsoft.com/fr-fr/free/open-source/search/</v></cell></row><row r="4479"><cell r="K4479" t="str"><v>August</v></cell><cell r="L4479"><v>43316</v></cell><cell r="M4479" t="str"><v>Tier 1</v></cell><cell r="N4479" t="str"><v>EMEA</v></cell><cell r="O4479" t="str"><v>France</v></cell><cell r="P4479" t="str"><v>Trial</v></cell><cell r="Q4479" t="str"><v>Social</v></cell><cell r="R4479" t="str"><v>Azure</v></cell><cell r="S4479" t="str"><v>Apps & Infra</v></cell><cell r="T4479" t="str"><v>Developers & ITI's</v></cell><cell r="U4479" t="str"><v>Developers/ITPros-Azure Direct-Sponsored Post-Link Ad-FreeAcctRetargetingOSSFB-Text-ChF</v></cell><cell r="V4479" t="str"><v>Behavioral Targeting</v></cell><cell r="W4479" t="str"><v>Social</v></cell><cell r="X4479" t="str"><v>1x1</v></cell></row><row r="4479"><cell r="AA4479"><v>43313</v></cell><cell r="AB4479" t="str"><v>FRA_gaPMG_AZR_AZR_Q1_19_AzureDirect-Trial-Social</v></cell><cell r="AC4479"><v>21356941</v></cell><cell r="AD4479"><v>720193</v></cell><cell r="AE4479" t="str"><v>Facebook</v></cell><cell r="AF4479"><v>3654128</v></cell><cell r="AG4479" t="str"><v>Facebook»Developers/ITPros-Azure Direct-Sponsored Post-Link Ad-FreeAcctRetargetingOSSFB-Text-ChF»1x1»SocialBan»SOC»ALL»CPC»BT»D»UNK»SS»NA»Trials</v></cell><cell r="AH4479"><v>224560839</v></cell><cell r="AI4479" t="str"><v>AZR_FreeAcctRetargetingOSSFB-Text-ChF_FRA_1200x628_SOC_AZRDirect_French_NA_Facebook_SBAN_SINU_T1_1</v></cell><cell r="AJ4479"><v>103257810</v></cell></row><row r="4480"><cell r="C4480" t="str"><v>43313Facebook»Developers/ITPros-Azure Direct-Sponsored Post-Video Ad-FBCTCBasicMotion_FRA_10s_RTG Landing Page»1x1»05s»SOC»ALL»CPC»BT»D»UNK»SS»NA»Trials</v></cell><cell r="D4480" t="str"><v>43313224416915</v></cell><cell r="E4480" t="str"><v>43313103376981Trials</v></cell><cell r="F4480" t="str"><v>DCM</v></cell></row><row r="4480"><cell r="K4480" t="str"><v>August</v></cell><cell r="L4480"><v>43316</v></cell><cell r="M4480" t="str"><v>Tier 1</v></cell><cell r="N4480" t="str"><v>EMEA</v></cell><cell r="O4480" t="str"><v>France</v></cell><cell r="P4480" t="str"><v>Trial</v></cell><cell r="Q4480" t="str"><v>Social</v></cell><cell r="R4480" t="str"><v>Azure</v></cell><cell r="S4480" t="str"><v>Apps & Infra</v></cell><cell r="T4480" t="str"><v>Developers & ITI's</v></cell><cell r="U4480" t="str"><v>Developers/ITPros-Azure Direct-Sponsored Post-Video Ad-FBCTCBasicMotion_FRA_10s_RTG Landing Page</v></cell><cell r="V4480" t="str"><v>Behavioral Targeting</v></cell><cell r="W4480" t="str"><v>Social</v></cell><cell r="X4480" t="str"><v>1x1</v></cell></row><row r="4480"><cell r="AA4480"><v>43313</v></cell><cell r="AB4480" t="str"><v>FRA_gaPMG_AZR_AZR_Q1_19_AzureDirect-Trial-Social</v></cell><cell r="AC4480"><v>21356941</v></cell><cell r="AD4480"><v>720193</v></cell><cell r="AE4480" t="str"><v>Facebook</v></cell><cell r="AF4480"><v>3654128</v></cell><cell r="AG4480" t="str"><v>Facebook»Developers/ITPros-Azure Direct-Sponsored Post-Video Ad-FBCTCBasicMotion_FRA_10s_RTG Landing Page»1x1»05s»SOC»ALL»CPC»BT»D»UNK»SS»NA»Trials</v></cell><cell r="AH4480"><v>224416915</v></cell><cell r="AI4480" t="str"><v>AZR_FBCTCBasicMotion_FRA_10s_VIA_AZRDirect_French_NA_Facebook_STAN_TIN_T1_1</v></cell><cell r="AJ4480"><v>103376981</v></cell></row><row r="4481"><cell r="C4481" t="str"><v>43313Facebook»Developers/ITPros-Azure Direct-Sponsored Post-Video Ad-FBCTCBenefit2inMotion_FRA_14s_RTG Landing Page»1x1»06s»SOC»ALL»CPC»BT»D»UNK»SS»NA»Trials</v></cell><cell r="D4481" t="str"><v>43313224560875</v></cell><cell r="E4481" t="str"><v>43313103259766Trials</v></cell><cell r="F4481" t="str"><v>DCM</v></cell><cell r="G4481" t="str"><v>https://signup.azure.com/signup?offer=ms-azr-0044p&appId=102&ref=paidmedia-social-fb&redirectURL=https:%2F%2Fazure.microsoft.com%2Ffr-fr%2Fget-started%2Fwelcome-to-azure%2F&l=fr-fr&correlationId=ead86c34-1f10-49dd-a72b-6918462a2cbf</v></cell></row><row r="4481"><cell r="K4481" t="str"><v>August</v></cell><cell r="L4481"><v>43316</v></cell><cell r="M4481" t="str"><v>Tier 1</v></cell><cell r="N4481" t="str"><v>EMEA</v></cell><cell r="O4481" t="str"><v>France</v></cell><cell r="P4481" t="str"><v>Trial</v></cell><cell r="Q4481" t="str"><v>Social</v></cell><cell r="R4481" t="str"><v>Azure</v></cell><cell r="S4481" t="str"><v>Apps & Infra</v></cell><cell r="T4481" t="str"><v>Developers & ITI's</v></cell><cell r="U4481" t="str"><v>Developers/ITPros-Azure Direct-Sponsored Post-Video Ad-FBCTCBenefit2inMotion_FRA_14s_RTG Landing Page</v></cell><cell r="V4481" t="str"><v>Behavioral Targeting</v></cell><cell r="W4481" t="str"><v>Social</v></cell><cell r="X4481" t="str"><v>1x1</v></cell></row><row r="4481"><cell r="AA4481"><v>43313</v></cell><cell r="AB4481" t="str"><v>FRA_gaPMG_AZR_AZR_Q1_19_AzureDirect-Trial-Social</v></cell><cell r="AC4481"><v>21356941</v></cell><cell r="AD4481"><v>720193</v></cell><cell r="AE4481" t="str"><v>Facebook</v></cell><cell r="AF4481"><v>3654128</v></cell><cell r="AG4481" t="str"><v>Facebook»Developers/ITPros-Azure Direct-Sponsored Post-Video Ad-FBCTCBenefit2inMotion_FRA_14s_RTG Landing Page»1x1»06s»SOC»ALL»CPC»BT»D»UNK»SS»NA»Trials</v></cell><cell r="AH4481"><v>224560875</v></cell><cell r="AI4481" t="str"><v>AZR_FBCTCBenefit2inMotion_FRA_14s_VIA_AZRDirect_French_NA_Facebook_STAN_TIN_T4_1</v></cell><cell r="AJ4481"><v>103259766</v></cell></row><row r="4482"><cell r="C4482" t="str"><v>43313Facebook»Developers/ITPros-Azure Direct-Sponsored Post-Video Ad-FBCTCBrandinMotion_FRA_12s_RTG Landing Page»1x1»05s»SOC»ALL»CPC»BT»D»UNK»SS»NA»Trials</v></cell><cell r="D4482" t="str"><v>43313224560863</v></cell><cell r="E4482" t="str"><v>43313103256577Trials</v></cell><cell r="F4482" t="str"><v>DCM</v></cell></row><row r="4482"><cell r="K4482" t="str"><v>August</v></cell><cell r="L4482"><v>43316</v></cell><cell r="M4482" t="str"><v>Tier 1</v></cell><cell r="N4482" t="str"><v>EMEA</v></cell><cell r="O4482" t="str"><v>France</v></cell><cell r="P4482" t="str"><v>Trial</v></cell><cell r="Q4482" t="str"><v>Social</v></cell><cell r="R4482" t="str"><v>Azure</v></cell><cell r="S4482" t="str"><v>Apps & Infra</v></cell><cell r="T4482" t="str"><v>Developers & ITI's</v></cell><cell r="U4482" t="str"><v>Developers/ITPros-Azure Direct-Sponsored Post-Video Ad-FBCTCBrandinMotion_FRA_12s_RTG Landing Page</v></cell><cell r="V4482" t="str"><v>Behavioral Targeting</v></cell><cell r="W4482" t="str"><v>Social</v></cell><cell r="X4482" t="str"><v>1x1</v></cell></row><row r="4482"><cell r="AA4482"><v>43313</v></cell><cell r="AB4482" t="str"><v>FRA_gaPMG_AZR_AZR_Q1_19_AzureDirect-Trial-Social</v></cell><cell r="AC4482"><v>21356941</v></cell><cell r="AD4482"><v>720193</v></cell><cell r="AE4482" t="str"><v>Facebook</v></cell><cell r="AF4482"><v>3654128</v></cell><cell r="AG4482" t="str"><v>Facebook»Developers/ITPros-Azure Direct-Sponsored Post-Video Ad-FBCTCBrandinMotion_FRA_12s_RTG Landing Page»1x1»05s»SOC»ALL»CPC»BT»D»UNK»SS»NA»Trials</v></cell><cell r="AH4482"><v>224560863</v></cell><cell r="AI4482" t="str"><v>AZR_FBCTCBrandinMotion_FRA_12s_VIA_AZRDirect_French_NA_Facebook_STAN_TIN_T2_1</v></cell><cell r="AJ4482"><v>103256577</v></cell></row><row r="4483"><cell r="C4483" t="str"><v>43313Facebook»Developers/ITPros-Azure Direct-Sponsored Post-Link Ad-FreeAcctRetargetingFB-Animated-ChC»1x1»SocialBan»SOC»ALL»CPC»BT»D»UNK»SS»NA»Trials</v></cell><cell r="D4483" t="str"><v>43313224560848</v></cell><cell r="E4483" t="str"><v>43313103259775Trials</v></cell><cell r="F4483" t="str"><v>DCM</v></cell><cell r="G4483" t="str"><v>https://azure.microsoft.com/fr-fr/free/search/</v></cell></row><row r="4483"><cell r="K4483" t="str"><v>August</v></cell><cell r="L4483"><v>43316</v></cell><cell r="M4483" t="str"><v>Tier 1</v></cell><cell r="N4483" t="str"><v>EMEA</v></cell><cell r="O4483" t="str"><v>France</v></cell><cell r="P4483" t="str"><v>Trial</v></cell><cell r="Q4483" t="str"><v>Social</v></cell><cell r="R4483" t="str"><v>Azure</v></cell><cell r="S4483" t="str"><v>Apps & Infra</v></cell><cell r="T4483" t="str"><v>Developers & ITI's</v></cell><cell r="U4483" t="str"><v>Developers/ITPros-Azure Direct-Sponsored Post-Link Ad-FreeAcctRetargetingFB-Animated-ChC</v></cell><cell r="V4483" t="str"><v>Behavioral Targeting</v></cell><cell r="W4483" t="str"><v>Social</v></cell><cell r="X4483" t="str"><v>1x1</v></cell></row><row r="4483"><cell r="AA4483"><v>43313</v></cell><cell r="AB4483" t="str"><v>FRA_gaPMG_AZR_AZR_Q1_19_AzureDirect-Trial-Social</v></cell><cell r="AC4483"><v>21356941</v></cell><cell r="AD4483"><v>720193</v></cell><cell r="AE4483" t="str"><v>Facebook</v></cell><cell r="AF4483"><v>3654128</v></cell><cell r="AG4483" t="str"><v>Facebook»Developers/ITPros-Azure Direct-Sponsored Post-Link Ad-FreeAcctRetargetingFB-Animated-ChC»1x1»SocialBan»SOC»ALL»CPC»BT»D»UNK»SS»NA»Trials</v></cell><cell r="AH4483"><v>224560848</v></cell><cell r="AI4483" t="str"><v>AZR_reeAcctRetargetingFB-Animated-ChC_FRA_1200x628_SOC_AZRDirect_French_NA_Facebook_SBAN_SINU_T3_1</v></cell><cell r="AJ4483"><v>103259775</v></cell></row><row r="4484"><cell r="C4484" t="str"><v>43313Facebook»Developers/ITPros-Azure Direct-Sponsored Post-Link Ad-FreeAcctRetargetingOSSFB-Logos-ChG»1x1»SocialBan»SOC»ALL»CPC»BT»D»UNK»SS»NA»Trials</v></cell><cell r="D4484" t="str"><v>43313224560842</v></cell><cell r="E4484" t="str"><v>43313103259769Trials</v></cell><cell r="F4484" t="str"><v>DCM</v></cell><cell r="G4484" t="str"><v>https://azure.microsoft.com/fr-fr/free/open-source/search/</v></cell></row><row r="4484"><cell r="K4484" t="str"><v>August</v></cell><cell r="L4484"><v>43316</v></cell><cell r="M4484" t="str"><v>Tier 1</v></cell><cell r="N4484" t="str"><v>EMEA</v></cell><cell r="O4484" t="str"><v>France</v></cell><cell r="P4484" t="str"><v>Trial</v></cell><cell r="Q4484" t="str"><v>Social</v></cell><cell r="R4484" t="str"><v>Azure</v></cell><cell r="S4484" t="str"><v>Apps & Infra</v></cell><cell r="T4484" t="str"><v>Developers & ITI's</v></cell><cell r="U4484" t="str"><v>Developers/ITPros-Azure Direct-Sponsored Post-Link Ad-FreeAcctRetargetingOSSFB-Logos-ChG</v></cell><cell r="V4484" t="str"><v>Behavioral Targeting</v></cell><cell r="W4484" t="str"><v>Social</v></cell><cell r="X4484" t="str"><v>1x1</v></cell></row><row r="4484"><cell r="AA4484"><v>43313</v></cell><cell r="AB4484" t="str"><v>FRA_gaPMG_AZR_AZR_Q1_19_AzureDirect-Trial-Social</v></cell><cell r="AC4484"><v>21356941</v></cell><cell r="AD4484"><v>720193</v></cell><cell r="AE4484" t="str"><v>Facebook</v></cell><cell r="AF4484"><v>3654128</v></cell><cell r="AG4484" t="str"><v>Facebook»Developers/ITPros-Azure Direct-Sponsored Post-Link Ad-FreeAcctRetargetingOSSFB-Logos-ChG»1x1»SocialBan»SOC»ALL»CPC»BT»D»UNK»SS»NA»Trials</v></cell><cell r="AH4484"><v>224560842</v></cell><cell r="AI4484" t="str"><v>AZR_FreeAcctRetargetingOSSFB-Logos-ChG_FRA_1200x628_SOC_AZRDirect_French_NA_Facebook_SBAN_SINU_T2_1</v></cell><cell r="AJ4484"><v>103259769</v></cell></row><row r="4485"><cell r="C4485" t="str"><v>43313Facebook»Developers/ITPros-Azure Direct-Sponsored Post-Link Ad-FreeAcctRetargetingVMFB-OnDemand-ChE»1x1»SocialBan»SOC»ALL»CPC»BT»D»UNK»SS»NA»Trials</v></cell><cell r="D4485" t="str"><v>43313224560833</v></cell><cell r="E4485" t="str"><v>43313103376990Trials</v></cell><cell r="F4485" t="str"><v>DCM</v></cell><cell r="G4485" t="str"><v>https://azure.microsoft.com/fr-fr/free/virtual-machines/search/</v></cell></row><row r="4485"><cell r="K4485" t="str"><v>August</v></cell><cell r="L4485"><v>43316</v></cell><cell r="M4485" t="str"><v>Tier 1</v></cell><cell r="N4485" t="str"><v>EMEA</v></cell><cell r="O4485" t="str"><v>France</v></cell><cell r="P4485" t="str"><v>Trial</v></cell><cell r="Q4485" t="str"><v>Social</v></cell><cell r="R4485" t="str"><v>Azure</v></cell><cell r="S4485" t="str"><v>Apps & Infra</v></cell><cell r="T4485" t="str"><v>Developers & ITI's</v></cell><cell r="U4485" t="str"><v>Developers/ITPros-Azure Direct-Sponsored Post-Link Ad-FreeAcctRetargetingVMFB-OnDemand-ChE</v></cell><cell r="V4485" t="str"><v>Behavioral Targeting</v></cell><cell r="W4485" t="str"><v>Social</v></cell><cell r="X4485" t="str"><v>1x1</v></cell></row><row r="4485"><cell r="AA4485"><v>43313</v></cell><cell r="AB4485" t="str"><v>FRA_gaPMG_AZR_AZR_Q1_19_AzureDirect-Trial-Social</v></cell><cell r="AC4485"><v>21356941</v></cell><cell r="AD4485"><v>720193</v></cell><cell r="AE4485" t="str"><v>Facebook</v></cell><cell r="AF4485"><v>3654128</v></cell><cell r="AG4485" t="str"><v>Facebook»Developers/ITPros-Azure Direct-Sponsored Post-Link Ad-FreeAcctRetargetingVMFB-OnDemand-ChE»1x1»SocialBan»SOC»ALL»CPC»BT»D»UNK»SS»NA»Trials</v></cell><cell r="AH4485"><v>224560833</v></cell><cell r="AI4485" t="str"><v>AZR_FreeAcctRetargetingVMFB-OnDemand-ChE_FRA_1200x628_SOC_AZRDirect_French_NA_Facebook_SBAN_SINU_T2_1</v></cell><cell r="AJ4485"><v>103376990</v></cell></row><row r="4486"><cell r="C4486" t="str"><v>43313Facebook»Audience & Interest Targeting»1x1»SocialBan»LIA»DT»CPC»AUT»W»NA»SS»NA»Basic Motion</v></cell><cell r="D4486" t="str"><v>43313224399962</v></cell><cell r="E4486" t="str"><v>43313103230847Motion</v></cell><cell r="F4486" t="str"><v>DCM</v></cell><cell r="G4486" t="str"><v>https://azure.microsoft.com/en-gb/pricing/purchase-options/</v></cell></row><row r="4486"><cell r="K4486" t="str"><v>August</v></cell><cell r="L4486"><v>43316</v></cell><cell r="M4486" t="str"><v>Tier 1</v></cell><cell r="N4486" t="str"><v>EMEA</v></cell><cell r="O4486" t="str"><v>United Kingdom</v></cell><cell r="P4486" t="str"><v>Trial</v></cell><cell r="Q4486" t="str"><v>Social</v></cell><cell r="R4486" t="str"><v>Azure</v></cell><cell r="S4486" t="str"><v>Apps & Infra</v></cell><cell r="T4486" t="str"><v>Developers & ITI's</v></cell><cell r="U4486" t="str"><v>Audience & Interest Targeting</v></cell><cell r="V4486" t="str"><v>Audience Targeting</v></cell><cell r="W4486" t="str"><v>Link Ad</v></cell><cell r="X4486" t="str"><v>1x1</v></cell></row><row r="4486"><cell r="AA4486"><v>43313</v></cell><cell r="AB4486" t="str"><v>GBR_gaPMG_CE_AZR_Q1_19_Trial-Social</v></cell><cell r="AC4486"><v>21337013</v></cell><cell r="AD4486"><v>720196</v></cell><cell r="AE4486" t="str"><v>Facebook</v></cell><cell r="AF4486"><v>3654128</v></cell><cell r="AG4486" t="str"><v>Facebook»Audience & Interest Targeting»1x1»SocialBan»LIA»DT»CPC»AUT»W»NA»SS»NA»Basic Motion</v></cell><cell r="AH4486"><v>224399962</v></cell><cell r="AI4486" t="str"><v>AzurePlatform_FBCTCcanvaspage-BuyNowCTA-Img3_GBR_1080x162_SOC_Plat_English_NA_Standard_NA_BN_T3_1</v></cell><cell r="AJ4486"><v>103230847</v></cell></row><row r="4487"><cell r="C4487" t="str"><v>43313Facebook»Audience & Interest Targeting»1x1»SocialBan»LIA»DT»CPC»AUT»W»NA»SS»NA»Basic Motion</v></cell><cell r="D4487" t="str"><v>43313224399962</v></cell><cell r="E4487" t="str"><v>43313103235146Motion</v></cell><cell r="F4487" t="str"><v>DCM</v></cell><cell r="G4487" t="str"><v>https://signup.azure.com/signup?offer=ms-azr-0044p&appId=102&ref=paidmedia-social-fb&redirectURL=https%3a%2f%2fazure.microsoft.com%2fen-gb%2fget-started%2fwelcome-to-azure%2f&l=en-gb&correlationId=ead86c34-1f10-49dd-a72b-6918462a2cbf</v></cell></row><row r="4487"><cell r="K4487" t="str"><v>August</v></cell><cell r="L4487"><v>43316</v></cell><cell r="M4487" t="str"><v>Tier 1</v></cell><cell r="N4487" t="str"><v>EMEA</v></cell><cell r="O4487" t="str"><v>United Kingdom</v></cell><cell r="P4487" t="str"><v>Trial</v></cell><cell r="Q4487" t="str"><v>Social</v></cell><cell r="R4487" t="str"><v>Azure</v></cell><cell r="S4487" t="str"><v>Apps & Infra</v></cell><cell r="T4487" t="str"><v>Developers & ITI's</v></cell><cell r="U4487" t="str"><v>Audience & Interest Targeting</v></cell><cell r="V4487" t="str"><v>Audience Targeting</v></cell><cell r="W4487" t="str"><v>Link Ad</v></cell><cell r="X4487" t="str"><v>1x1</v></cell></row><row r="4487"><cell r="AA4487"><v>43313</v></cell><cell r="AB4487" t="str"><v>GBR_gaPMG_CE_AZR_Q1_19_Trial-Social</v></cell><cell r="AC4487"><v>21337013</v></cell><cell r="AD4487"><v>720196</v></cell><cell r="AE4487" t="str"><v>Facebook</v></cell><cell r="AF4487"><v>3654128</v></cell><cell r="AG4487" t="str"><v>Facebook»Audience & Interest Targeting»1x1»SocialBan»LIA»DT»CPC»AUT»W»NA»SS»NA»Basic Motion</v></cell><cell r="AH4487"><v>224399962</v></cell><cell r="AI4487" t="str"><v>AzurePlatform_FBCTCcanvaspage-StartFreeCTA-Img2_GBR_1080x143 _SOC_Plat_English_NA_Standard_NA_NA_T2_1</v></cell><cell r="AJ4487"><v>103235146</v></cell></row><row r="4488"><cell r="C4488" t="str"><v>43313Facebook»Audience & Interest Targeting»1x1»SocialBan»LIA»DT»CPC»AUT»W»NA»SS»NA»Benefit 2 in Motion</v></cell><cell r="D4488" t="str"><v>43313224334170</v></cell><cell r="E4488" t="str"><v>43313103230847Motion</v></cell><cell r="F4488" t="str"><v>DCM</v></cell><cell r="G4488" t="str"><v>https://azure.microsoft.com/en-gb/pricing/purchase-options/</v></cell></row><row r="4488"><cell r="K4488" t="str"><v>August</v></cell><cell r="L4488"><v>43316</v></cell><cell r="M4488" t="str"><v>Tier 1</v></cell><cell r="N4488" t="str"><v>EMEA</v></cell><cell r="O4488" t="str"><v>United Kingdom</v></cell><cell r="P4488" t="str"><v>Trial</v></cell><cell r="Q4488" t="str"><v>Social</v></cell><cell r="R4488" t="str"><v>Azure</v></cell><cell r="S4488" t="str"><v>Apps & Infra</v></cell><cell r="T4488" t="str"><v>Developers & ITI's</v></cell><cell r="U4488" t="str"><v>Audience & Interest Targeting</v></cell><cell r="V4488" t="str"><v>Audience Targeting</v></cell><cell r="W4488" t="str"><v>Link Ad</v></cell><cell r="X4488" t="str"><v>1x1</v></cell></row><row r="4488"><cell r="AA4488"><v>43313</v></cell><cell r="AB4488" t="str"><v>GBR_gaPMG_CE_AZR_Q1_19_Trial-Social</v></cell><cell r="AC4488"><v>21337013</v></cell><cell r="AD4488"><v>720196</v></cell><cell r="AE4488" t="str"><v>Facebook</v></cell><cell r="AF4488"><v>3654128</v></cell><cell r="AG4488" t="str"><v>Facebook»Audience & Interest Targeting»1x1»SocialBan»LIA»DT»CPC»AUT»W»NA»SS»NA»Benefit 2 in Motion</v></cell><cell r="AH4488"><v>224334170</v></cell><cell r="AI4488" t="str"><v>AzurePlatform_FBCTCcanvaspage-BuyNowCTA-Img3_GBR_1080x162_SOC_Plat_English_NA_Standard_NA_BN_T3_1</v></cell><cell r="AJ4488"><v>103230847</v></cell></row><row r="4489"><cell r="C4489" t="str"><v>43313Facebook»Audience & Interest Targeting»1x1»SocialBan»LIA»DT»CPC»AUT»W»NA»SS»NA»Benefit 2 in Motion</v></cell><cell r="D4489" t="str"><v>43313224334170</v></cell><cell r="E4489" t="str"><v>43313103235146Motion</v></cell><cell r="F4489" t="str"><v>DCM</v></cell><cell r="G4489" t="str"><v>https://signup.azure.com/signup?offer=ms-azr-0044p&appId=102&ref=paidmedia-social-fb&redirectURL=https%3a%2f%2fazure.microsoft.com%2fen-gb%2fget-started%2fwelcome-to-azure%2f&l=en-gb&correlationId=ead86c34-1f10-49dd-a72b-6918462a2cbf</v></cell></row><row r="4489"><cell r="K4489" t="str"><v>August</v></cell><cell r="L4489"><v>43316</v></cell><cell r="M4489" t="str"><v>Tier 1</v></cell><cell r="N4489" t="str"><v>EMEA</v></cell><cell r="O4489" t="str"><v>United Kingdom</v></cell><cell r="P4489" t="str"><v>Trial</v></cell><cell r="Q4489" t="str"><v>Social</v></cell><cell r="R4489" t="str"><v>Azure</v></cell><cell r="S4489" t="str"><v>Apps & Infra</v></cell><cell r="T4489" t="str"><v>Developers & ITI's</v></cell><cell r="U4489" t="str"><v>Audience & Interest Targeting</v></cell><cell r="V4489" t="str"><v>Audience Targeting</v></cell><cell r="W4489" t="str"><v>Link Ad</v></cell><cell r="X4489" t="str"><v>1x1</v></cell></row><row r="4489"><cell r="AA4489"><v>43313</v></cell><cell r="AB4489" t="str"><v>GBR_gaPMG_CE_AZR_Q1_19_Trial-Social</v></cell><cell r="AC4489"><v>21337013</v></cell><cell r="AD4489"><v>720196</v></cell><cell r="AE4489" t="str"><v>Facebook</v></cell><cell r="AF4489"><v>3654128</v></cell><cell r="AG4489" t="str"><v>Facebook»Audience & Interest Targeting»1x1»SocialBan»LIA»DT»CPC»AUT»W»NA»SS»NA»Benefit 2 in Motion</v></cell><cell r="AH4489"><v>224334170</v></cell><cell r="AI4489" t="str"><v>AzurePlatform_FBCTCcanvaspage-StartFreeCTA-Img2_GBR_1080x143 _SOC_Plat_English_NA_Standard_NA_NA_T2_1</v></cell><cell r="AJ4489"><v>103235146</v></cell></row><row r="4490"><cell r="C4490" t="str"><v>43313Facebook»Audience & Interest Targeting»1x1»SocialBan»LIA»DT»CPC»AUT»W»NA»SS»NA»Brand in Motion</v></cell><cell r="D4490" t="str"><v>43313224549481</v></cell><cell r="E4490" t="str"><v>43313103235146Motion</v></cell><cell r="F4490" t="str"><v>DCM</v></cell><cell r="G4490" t="str"><v>https://signup.azure.com/signup?offer=ms-azr-0044p&appId=102&ref=paidmedia-social-fb&redirectURL=https%3a%2f%2fazure.microsoft.com%2fen-gb%2fget-started%2fwelcome-to-azure%2f&l=en-gb&correlationId=ead86c34-1f10-49dd-a72b-6918462a2cbf</v></cell></row><row r="4490"><cell r="K4490" t="str"><v>August</v></cell><cell r="L4490"><v>43316</v></cell><cell r="M4490" t="str"><v>Tier 1</v></cell><cell r="N4490" t="str"><v>EMEA</v></cell><cell r="O4490" t="str"><v>United Kingdom</v></cell><cell r="P4490" t="str"><v>Trial</v></cell><cell r="Q4490" t="str"><v>Social</v></cell><cell r="R4490" t="str"><v>Azure</v></cell><cell r="S4490" t="str"><v>Apps & Infra</v></cell><cell r="T4490" t="str"><v>Developers & ITI's</v></cell><cell r="U4490" t="str"><v>Audience & Interest Targeting</v></cell><cell r="V4490" t="str"><v>Audience Targeting</v></cell><cell r="W4490" t="str"><v>Link Ad</v></cell><cell r="X4490" t="str"><v>1x1</v></cell></row><row r="4490"><cell r="AA4490"><v>43313</v></cell><cell r="AB4490" t="str"><v>GBR_gaPMG_CE_AZR_Q1_19_Trial-Social</v></cell><cell r="AC4490"><v>21337013</v></cell><cell r="AD4490"><v>720196</v></cell><cell r="AE4490" t="str"><v>Facebook</v></cell><cell r="AF4490"><v>3654128</v></cell><cell r="AG4490" t="str"><v>Facebook»Audience & Interest Targeting»1x1»SocialBan»LIA»DT»CPC»AUT»W»NA»SS»NA»Brand in Motion</v></cell><cell r="AH4490"><v>224549481</v></cell><cell r="AI4490" t="str"><v>AzurePlatform_FBCTCcanvaspage-StartFreeCTA-Img2_GBR_1080x143 _SOC_Plat_English_NA_Standard_NA_NA_T2_1</v></cell><cell r="AJ4490"><v>103235146</v></cell></row><row r="4491"><cell r="C4491" t="str"><v>43313Facebook»Audience & Interest Targeting»1x1»SocialBan»LIA»DT»DYN»AUT»W»NA»SS»NA»Free Account Refresh- 12 months ChE</v></cell><cell r="D4491" t="str"><v>43313223567691</v></cell><cell r="E4491" t="str"><v>43313102854007hs ChE</v></cell><cell r="F4491" t="str"><v>DCM</v></cell><cell r="G4491" t="str"><v>https://azure.microsoft.com/en-gb/free/search/</v></cell></row><row r="4491"><cell r="K4491" t="str"><v>August</v></cell><cell r="L4491"><v>43316</v></cell><cell r="M4491" t="str"><v>Tier 1</v></cell><cell r="N4491" t="str"><v>EMEA</v></cell><cell r="O4491" t="str"><v>United Kingdom</v></cell><cell r="P4491" t="str"><v>Trial</v></cell><cell r="Q4491" t="str"><v>Social</v></cell><cell r="R4491" t="str"><v>Azure</v></cell><cell r="S4491" t="str"><v>Apps & Infra</v></cell><cell r="T4491" t="str"><v>Developers & ITI's</v></cell><cell r="U4491" t="str"><v>Audience & Interest Targeting</v></cell><cell r="V4491" t="str"><v>Audience Targeting</v></cell><cell r="W4491" t="str"><v>Link Ad</v></cell><cell r="X4491" t="str"><v>1x1</v></cell></row><row r="4491"><cell r="AA4491"><v>43313</v></cell><cell r="AB4491" t="str"><v>GBR_gaPMG_CE_AZR_Q1_19_Trial-Social</v></cell><cell r="AC4491"><v>21337013</v></cell><cell r="AD4491"><v>720196</v></cell><cell r="AE4491" t="str"><v>Facebook</v></cell><cell r="AF4491"><v>3654128</v></cell><cell r="AG4491" t="str"><v>Facebook»Audience & Interest Targeting»1x1»SocialBan»LIA»DT»DYN»AUT»W»NA»SS»NA»Free Account Refresh- 12 months ChE</v></cell><cell r="AH4491"><v>223567691</v></cell><cell r="AI4491" t="str"><v>AzurePlatform_FreeAcctAppsFACEBOOK12monthsChE_GBR_1200x628_SOC_PLAT_EN_Trial_Standard_NA_SU_T5_1</v></cell><cell r="AJ4491"><v>102854007</v></cell></row><row r="4492"><cell r="C4492" t="str"><v>43313Facebook»Audience & Interest Targeting»1x1»SocialBan»LIA»DT»DYN»AUT»W»NA»SS»NA»Free Account Refresh- 200 Credit ChD</v></cell><cell r="D4492" t="str"><v>43313223560359</v></cell><cell r="E4492" t="str"><v>43313103005662it ChD</v></cell><cell r="F4492" t="str"><v>DCM</v></cell><cell r="G4492" t="str"><v>https://azure.microsoft.com/en-gb/free/search/</v></cell></row><row r="4492"><cell r="K4492" t="str"><v>August</v></cell><cell r="L4492"><v>43316</v></cell><cell r="M4492" t="str"><v>Tier 1</v></cell><cell r="N4492" t="str"><v>EMEA</v></cell><cell r="O4492" t="str"><v>United Kingdom</v></cell><cell r="P4492" t="str"><v>Trial</v></cell><cell r="Q4492" t="str"><v>Social</v></cell><cell r="R4492" t="str"><v>Azure</v></cell><cell r="S4492" t="str"><v>Apps & Infra</v></cell><cell r="T4492" t="str"><v>Developers & ITI's</v></cell><cell r="U4492" t="str"><v>Audience & Interest Targeting</v></cell><cell r="V4492" t="str"><v>Audience Targeting</v></cell><cell r="W4492" t="str"><v>Link Ad</v></cell><cell r="X4492" t="str"><v>1x1</v></cell></row><row r="4492"><cell r="AA4492"><v>43313</v></cell><cell r="AB4492" t="str"><v>GBR_gaPMG_CE_AZR_Q1_19_Trial-Social</v></cell><cell r="AC4492"><v>21337013</v></cell><cell r="AD4492"><v>720196</v></cell><cell r="AE4492" t="str"><v>Facebook</v></cell><cell r="AF4492"><v>3654128</v></cell><cell r="AG4492" t="str"><v>Facebook»Audience & Interest Targeting»1x1»SocialBan»LIA»DT»DYN»AUT»W»NA»SS»NA»Free Account Refresh- 200 Credit ChD</v></cell><cell r="AH4492"><v>223560359</v></cell><cell r="AI4492" t="str"><v>AzurePlatform_FreeAcctAppsFACEBOOK200CreditChD_GBR_1200x628_SOC_PLAT_EN_Trial_Standard_NA_SU_T4_1</v></cell><cell r="AJ4492"><v>103005662</v></cell></row><row r="4493"><cell r="C4493" t="str"><v>43313Facebook»Audience & Interest Targeting»1x1»SocialBan»LIA»DT»DYN»AUT»W»NA»SS»NA»Free Account Refresh- Device ChB</v></cell><cell r="D4493" t="str"><v>43313223560353</v></cell><cell r="E4493" t="str"><v>43313102854010ce ChB</v></cell><cell r="F4493" t="str"><v>DCM</v></cell><cell r="G4493" t="str"><v>https://azure.microsoft.com/en-gb/free/search/</v></cell></row><row r="4493"><cell r="K4493" t="str"><v>August</v></cell><cell r="L4493"><v>43316</v></cell><cell r="M4493" t="str"><v>Tier 1</v></cell><cell r="N4493" t="str"><v>EMEA</v></cell><cell r="O4493" t="str"><v>United Kingdom</v></cell><cell r="P4493" t="str"><v>Trial</v></cell><cell r="Q4493" t="str"><v>Social</v></cell><cell r="R4493" t="str"><v>Azure</v></cell><cell r="S4493" t="str"><v>Apps & Infra</v></cell><cell r="T4493" t="str"><v>Developers & ITI's</v></cell><cell r="U4493" t="str"><v>Audience & Interest Targeting</v></cell><cell r="V4493" t="str"><v>Audience Targeting</v></cell><cell r="W4493" t="str"><v>Link Ad</v></cell><cell r="X4493" t="str"><v>1x1</v></cell></row><row r="4493"><cell r="AA4493"><v>43313</v></cell><cell r="AB4493" t="str"><v>GBR_gaPMG_CE_AZR_Q1_19_Trial-Social</v></cell><cell r="AC4493"><v>21337013</v></cell><cell r="AD4493"><v>720196</v></cell><cell r="AE4493" t="str"><v>Facebook</v></cell><cell r="AF4493"><v>3654128</v></cell><cell r="AG4493" t="str"><v>Facebook»Audience & Interest Targeting»1x1»SocialBan»LIA»DT»DYN»AUT»W»NA»SS»NA»Free Account Refresh- Device ChB</v></cell><cell r="AH4493"><v>223560353</v></cell><cell r="AI4493" t="str"><v>AzurePlatform_FreeAcctAppsFACEBOOKDeviceChB_GBR_1200x628_SOC_PLAT_EN_Trial_Standard_NA_SU_T2_1</v></cell><cell r="AJ4493"><v>102854010</v></cell></row><row r="4494"><cell r="C4494" t="str"><v>43313Facebook»Audience & Interest Targeting»1x1»SocialBan»LIA»DT»DYN»AUT»W»NA»SS»NA»Free Account Refresh- Illustration ChC</v></cell><cell r="D4494" t="str"><v>43313223560347</v></cell><cell r="E4494" t="str"><v>43313102857037on ChC</v></cell><cell r="F4494" t="str"><v>DCM</v></cell><cell r="G4494" t="str"><v>https://azure.microsoft.com/en-gb/free/search/</v></cell></row><row r="4494"><cell r="K4494" t="str"><v>August</v></cell><cell r="L4494"><v>43316</v></cell><cell r="M4494" t="str"><v>Tier 1</v></cell><cell r="N4494" t="str"><v>EMEA</v></cell><cell r="O4494" t="str"><v>United Kingdom</v></cell><cell r="P4494" t="str"><v>Trial</v></cell><cell r="Q4494" t="str"><v>Social</v></cell><cell r="R4494" t="str"><v>Azure</v></cell><cell r="S4494" t="str"><v>Apps & Infra</v></cell><cell r="T4494" t="str"><v>Developers & ITI's</v></cell><cell r="U4494" t="str"><v>Audience & Interest Targeting</v></cell><cell r="V4494" t="str"><v>Audience Targeting</v></cell><cell r="W4494" t="str"><v>Link Ad</v></cell><cell r="X4494" t="str"><v>1x1</v></cell></row><row r="4494"><cell r="AA4494"><v>43313</v></cell><cell r="AB4494" t="str"><v>GBR_gaPMG_CE_AZR_Q1_19_Trial-Social</v></cell><cell r="AC4494"><v>21337013</v></cell><cell r="AD4494"><v>720196</v></cell><cell r="AE4494" t="str"><v>Facebook</v></cell><cell r="AF4494"><v>3654128</v></cell><cell r="AG4494" t="str"><v>Facebook»Audience & Interest Targeting»1x1»SocialBan»LIA»DT»DYN»AUT»W»NA»SS»NA»Free Account Refresh- Illustration ChC</v></cell><cell r="AH4494"><v>223560347</v></cell><cell r="AI4494" t="str"><v>AzurePlatform_FreeAcctAppsFACEBOOKIllustrationChC_GBR_1200x628_SOC_PLAT_EN_Trial_Standard_NA_SU_T3_1</v></cell><cell r="AJ4494"><v>102857037</v></cell></row><row r="4495"><cell r="C4495" t="str"><v>43313Facebook»Audience & Interest Targeting»1x1»SocialBan»LIA»DT»DYN»AUT»W»NA»SS»NA»Free Account Refresh- Lifestyle ChA</v></cell><cell r="D4495" t="str"><v>43313223560341</v></cell><cell r="E4495" t="str"><v>43313102853597le ChA</v></cell><cell r="F4495" t="str"><v>DCM</v></cell><cell r="G4495" t="str"><v>https://azure.microsoft.com/en-gb/free/search/</v></cell></row><row r="4495"><cell r="K4495" t="str"><v>August</v></cell><cell r="L4495"><v>43316</v></cell><cell r="M4495" t="str"><v>Tier 1</v></cell><cell r="N4495" t="str"><v>EMEA</v></cell><cell r="O4495" t="str"><v>United Kingdom</v></cell><cell r="P4495" t="str"><v>Trial</v></cell><cell r="Q4495" t="str"><v>Social</v></cell><cell r="R4495" t="str"><v>Azure</v></cell><cell r="S4495" t="str"><v>Apps & Infra</v></cell><cell r="T4495" t="str"><v>Developers & ITI's</v></cell><cell r="U4495" t="str"><v>Audience & Interest Targeting</v></cell><cell r="V4495" t="str"><v>Audience Targeting</v></cell><cell r="W4495" t="str"><v>Link Ad</v></cell><cell r="X4495" t="str"><v>1x1</v></cell></row><row r="4495"><cell r="AA4495"><v>43313</v></cell><cell r="AB4495" t="str"><v>GBR_gaPMG_CE_AZR_Q1_19_Trial-Social</v></cell><cell r="AC4495"><v>21337013</v></cell><cell r="AD4495"><v>720196</v></cell><cell r="AE4495" t="str"><v>Facebook</v></cell><cell r="AF4495"><v>3654128</v></cell><cell r="AG4495" t="str"><v>Facebook»Audience & Interest Targeting»1x1»SocialBan»LIA»DT»DYN»AUT»W»NA»SS»NA»Free Account Refresh- Lifestyle ChA</v></cell><cell r="AH4495"><v>223560341</v></cell><cell r="AI4495" t="str"><v>AzurePlatform_FreeAcctAppsFACEBOOKLifestyleChA_GBR_1200x628_SOC_PLAT_EN_Trial_Standard_NA_SU_T1_1</v></cell><cell r="AJ4495"><v>102853597</v></cell></row><row r="4496"><cell r="C4496" t="str"><v>43313Facebook»Retargeting»1x1»SocialBan»LIA»DT»DYN»RT»W»NA»SS»NA»Free Account Retargeting Generic- Animated ChC</v></cell><cell r="D4496" t="str"><v>43313223560299</v></cell><cell r="E4496" t="str"><v>43313102854019ed ChC</v></cell><cell r="F4496" t="str"><v>DCM</v></cell><cell r="G4496" t="str"><v>https://azure.microsoft.com/en-gb/free/search/</v></cell></row><row r="4496"><cell r="K4496" t="str"><v>August</v></cell><cell r="L4496"><v>43316</v></cell><cell r="M4496" t="str"><v>Tier 1</v></cell><cell r="N4496" t="str"><v>EMEA</v></cell><cell r="O4496" t="str"><v>United Kingdom</v></cell><cell r="P4496" t="str"><v>Trial</v></cell><cell r="Q4496" t="str"><v>Social</v></cell><cell r="R4496" t="str"><v>Azure</v></cell><cell r="S4496" t="str"><v>Apps & Infra</v></cell><cell r="T4496" t="str"><v>Developers & ITI's</v></cell><cell r="U4496" t="str"><v>Retargeting</v></cell><cell r="V4496" t="str"><v>Retargeting</v></cell><cell r="W4496" t="str"><v>Link Ad</v></cell><cell r="X4496" t="str"><v>1x1</v></cell></row><row r="4496"><cell r="AA4496"><v>43313</v></cell><cell r="AB4496" t="str"><v>GBR_gaPMG_CE_AZR_Q1_19_Trial-Social</v></cell><cell r="AC4496"><v>21337013</v></cell><cell r="AD4496"><v>720196</v></cell><cell r="AE4496" t="str"><v>Facebook</v></cell><cell r="AF4496"><v>3654128</v></cell><cell r="AG4496" t="str"><v>Facebook»Retargeting»1x1»SocialBan»LIA»DT»DYN»RT»W»NA»SS»NA»Free Account Retargeting Generic- Animated ChC</v></cell><cell r="AH4496"><v>223560299</v></cell><cell r="AI4496" t="str"><v>AzurePlatform_FreeAcctRetargetingFB-Animated-ChC_GBR_1200x628_SOC_Plat_EN_Free Account_Standard_ANI_SU_T3_1</v></cell><cell r="AJ4496"><v>102854019</v></cell></row><row r="4497"><cell r="C4497" t="str"><v>43313Facebook»Retargeting»1x1»SocialBan»LIA»DT»DYN»RT»W»NA»SS»NA»Free Account Retargeting OSS- Logos ChG</v></cell><cell r="D4497" t="str"><v>43313223560350</v></cell><cell r="E4497" t="str"><v>43313103006547os ChG</v></cell><cell r="F4497" t="str"><v>DCM</v></cell><cell r="G4497" t="str"><v>https://azure.microsoft.com/en-gb/free/open-source/search/</v></cell></row><row r="4497"><cell r="K4497" t="str"><v>August</v></cell><cell r="L4497"><v>43316</v></cell><cell r="M4497" t="str"><v>Tier 1</v></cell><cell r="N4497" t="str"><v>EMEA</v></cell><cell r="O4497" t="str"><v>United Kingdom</v></cell><cell r="P4497" t="str"><v>Trial</v></cell><cell r="Q4497" t="str"><v>Social</v></cell><cell r="R4497" t="str"><v>Azure</v></cell><cell r="S4497" t="str"><v>Apps & Infra</v></cell><cell r="T4497" t="str"><v>Developers & ITI's</v></cell><cell r="U4497" t="str"><v>Retargeting</v></cell><cell r="V4497" t="str"><v>Retargeting</v></cell><cell r="W4497" t="str"><v>Link Ad</v></cell><cell r="X4497" t="str"><v>1x1</v></cell></row><row r="4497"><cell r="AA4497"><v>43313</v></cell><cell r="AB4497" t="str"><v>GBR_gaPMG_CE_AZR_Q1_19_Trial-Social</v></cell><cell r="AC4497"><v>21337013</v></cell><cell r="AD4497"><v>720196</v></cell><cell r="AE4497" t="str"><v>Facebook</v></cell><cell r="AF4497"><v>3654128</v></cell><cell r="AG4497" t="str"><v>Facebook»Retargeting»1x1»SocialBan»LIA»DT»DYN»RT»W»NA»SS»NA»Free Account Retargeting OSS- Logos ChG</v></cell><cell r="AH4497"><v>223560350</v></cell><cell r="AI4497" t="str"><v>AzurePlatform_FreeAcctRetargetingOSSFB-Logos-ChG_GBR_1200x628_SOC_Plat_EN_Free Account_Standard_NA_SU_T2_1</v></cell><cell r="AJ4497"><v>103006547</v></cell></row><row r="4498"><cell r="C4498" t="str"><v>43313Facebook»Retargeting»1x1»SocialBan»LIA»DT»DYN»RT»W»NA»SS»NA»Free Account Retargeting OSS- Text ChF</v></cell><cell r="D4498" t="str"><v>43313223560344</v></cell><cell r="E4498" t="str"><v>43313102861246xt ChF</v></cell><cell r="F4498" t="str"><v>DCM</v></cell><cell r="G4498" t="str"><v>https://azure.microsoft.com/en-gb/free/open-source/search/</v></cell></row><row r="4498"><cell r="K4498" t="str"><v>August</v></cell><cell r="L4498"><v>43316</v></cell><cell r="M4498" t="str"><v>Tier 1</v></cell><cell r="N4498" t="str"><v>EMEA</v></cell><cell r="O4498" t="str"><v>United Kingdom</v></cell><cell r="P4498" t="str"><v>Trial</v></cell><cell r="Q4498" t="str"><v>Social</v></cell><cell r="R4498" t="str"><v>Azure</v></cell><cell r="S4498" t="str"><v>Apps & Infra</v></cell><cell r="T4498" t="str"><v>Developers & ITI's</v></cell><cell r="U4498" t="str"><v>Retargeting</v></cell><cell r="V4498" t="str"><v>Retargeting</v></cell><cell r="W4498" t="str"><v>Link Ad</v></cell><cell r="X4498" t="str"><v>1x1</v></cell></row><row r="4498"><cell r="AA4498"><v>43313</v></cell><cell r="AB4498" t="str"><v>GBR_gaPMG_CE_AZR_Q1_19_Trial-Social</v></cell><cell r="AC4498"><v>21337013</v></cell><cell r="AD4498"><v>720196</v></cell><cell r="AE4498" t="str"><v>Facebook</v></cell><cell r="AF4498"><v>3654128</v></cell><cell r="AG4498" t="str"><v>Facebook»Retargeting»1x1»SocialBan»LIA»DT»DYN»RT»W»NA»SS»NA»Free Account Retargeting OSS- Text ChF</v></cell><cell r="AH4498"><v>223560344</v></cell><cell r="AI4498" t="str"><v>AzurePlatform_FreeAcctRetargetingOSSFB-Text-ChF_GBR_1200x628_SOC_Plat_EN_Free Account_Standard_NA_SU_T1_1</v></cell><cell r="AJ4498"><v>102861246</v></cell></row><row r="4499"><cell r="C4499" t="str"><v>43313Facebook»Retargeting»1x1»SocialBan»LIA»DT»DYN»RT»W»NA»SS»NA»Free Account Retargeting VM- 750 Hrs ChD</v></cell><cell r="D4499" t="str"><v>43313223560338</v></cell><cell r="E4499" t="str"><v>43313102853603rs ChD</v></cell><cell r="F4499" t="str"><v>DCM</v></cell><cell r="G4499" t="str"><v>https://azure.microsoft.com/en-gb/free/virtual-machines/search/</v></cell></row><row r="4499"><cell r="K4499" t="str"><v>August</v></cell><cell r="L4499"><v>43316</v></cell><cell r="M4499" t="str"><v>Tier 1</v></cell><cell r="N4499" t="str"><v>EMEA</v></cell><cell r="O4499" t="str"><v>United Kingdom</v></cell><cell r="P4499" t="str"><v>Trial</v></cell><cell r="Q4499" t="str"><v>Social</v></cell><cell r="R4499" t="str"><v>Azure</v></cell><cell r="S4499" t="str"><v>Apps & Infra</v></cell><cell r="T4499" t="str"><v>Developers & ITI's</v></cell><cell r="U4499" t="str"><v>Retargeting</v></cell><cell r="V4499" t="str"><v>Retargeting</v></cell><cell r="W4499" t="str"><v>Link Ad</v></cell><cell r="X4499" t="str"><v>1x1</v></cell></row><row r="4499"><cell r="AA4499"><v>43313</v></cell><cell r="AB4499" t="str"><v>GBR_gaPMG_CE_AZR_Q1_19_Trial-Social</v></cell><cell r="AC4499"><v>21337013</v></cell><cell r="AD4499"><v>720196</v></cell><cell r="AE4499" t="str"><v>Facebook</v></cell><cell r="AF4499"><v>3654128</v></cell><cell r="AG4499" t="str"><v>Facebook»Retargeting»1x1»SocialBan»LIA»DT»DYN»RT»W»NA»SS»NA»Free Account Retargeting VM- 750 Hrs ChD</v></cell><cell r="AH4499"><v>223560338</v></cell><cell r="AI4499" t="str"><v>AzurePlatform_FreeAcctRetargetingVMFB-750Hrs-ChD_GBR_1200x628_SOC_Plat_EN_Free Account_Standard_NA_SU_T1_1</v></cell><cell r="AJ4499"><v>102853603</v></cell></row><row r="4500"><cell r="C4500" t="str"><v>43313Facebook»Retargeting»1x1»SocialBan»LIA»DT»DYN»RT»W»NA»SS»NA»Free Account Retargeting VM- On Demand ChE</v></cell><cell r="D4500" t="str"><v>43313223560332</v></cell><cell r="E4500" t="str"><v>43313102854037nd ChE</v></cell><cell r="F4500" t="str"><v>DCM</v></cell><cell r="G4500" t="str"><v>https://azure.microsoft.com/en-gb/free/virtual-machines/search/</v></cell></row><row r="4500"><cell r="K4500" t="str"><v>August</v></cell><cell r="L4500"><v>43316</v></cell><cell r="M4500" t="str"><v>Tier 1</v></cell><cell r="N4500" t="str"><v>EMEA</v></cell><cell r="O4500" t="str"><v>United Kingdom</v></cell><cell r="P4500" t="str"><v>Trial</v></cell><cell r="Q4500" t="str"><v>Social</v></cell><cell r="R4500" t="str"><v>Azure</v></cell><cell r="S4500" t="str"><v>Apps & Infra</v></cell><cell r="T4500" t="str"><v>Developers & ITI's</v></cell><cell r="U4500" t="str"><v>Retargeting</v></cell><cell r="V4500" t="str"><v>Retargeting</v></cell><cell r="W4500" t="str"><v>Link Ad</v></cell><cell r="X4500" t="str"><v>1x1</v></cell></row><row r="4500"><cell r="AA4500"><v>43313</v></cell><cell r="AB4500" t="str"><v>GBR_gaPMG_CE_AZR_Q1_19_Trial-Social</v></cell><cell r="AC4500"><v>21337013</v></cell><cell r="AD4500"><v>720196</v></cell><cell r="AE4500" t="str"><v>Facebook</v></cell><cell r="AF4500"><v>3654128</v></cell><cell r="AG4500" t="str"><v>Facebook»Retargeting»1x1»SocialBan»LIA»DT»DYN»RT»W»NA»SS»NA»Free Account Retargeting VM- On Demand ChE</v></cell><cell r="AH4500"><v>223560332</v></cell><cell r="AI4500" t="str"><v>AzurePlatform_FreeAcctRetargetingVMFB-OnDemand-ChE_GBR_1200x628_SOC_Plat_EN_Free Account_Standard_NA_SU_T2_1</v></cell><cell r="AJ4500"><v>102854037</v></cell></row><row r="4501"><cell r="C4501" t="str"><v>43313Facebook»AZP-Canvas-Interest&Role-Trial»1x1»Canvas»OTH»MO»CPM»PRO»X»UNK»TP»OT»Canvas-Trial</v></cell><cell r="D4501" t="str"><v>43313223298805</v></cell><cell r="E4501" t="str"><v>43313102609621-Trial</v></cell><cell r="F4501" t="str"><v>DCM</v></cell><cell r="G4501" t="str"><v>https://signup.azure.com/signup?offer=ms-azr-0044p&appId=102&ref=paidmedia-social-fb&redirectURL=https%3a%2f%2fazure.microsoft.com%2fja-jp%2fget-started%2fwelcome-to-azure%2f&l=ja-jp&correlationId=ead86c34-1f10-49dd-a72b-6918462a2cbf</v></cell></row><row r="4501"><cell r="K4501" t="str"><v>August</v></cell><cell r="L4501"><v>43316</v></cell><cell r="M4501" t="str"><v>Tier 1</v></cell><cell r="N4501" t="str"><v>APAC</v></cell><cell r="O4501" t="str"><v>Japan</v></cell><cell r="P4501" t="str"><v>Trial</v></cell><cell r="Q4501" t="str"><v>Social</v></cell><cell r="R4501" t="str"><v>Azure</v></cell><cell r="S4501" t="str"><v>Apps & Infra</v></cell><cell r="T4501" t="str"><v>Developers & ITI's</v></cell><cell r="U4501" t="str"><v>AZP-Canvas-Interest&Role-Trial</v></cell><cell r="V4501" t="str"><v>Prospecting</v></cell><cell r="W4501" t="str"><v>Other</v></cell><cell r="X4501" t="str"><v>1x1</v></cell></row><row r="4501"><cell r="AA4501"><v>43313</v></cell><cell r="AB4501" t="str"><v>JPN_gaPMG_AZR_AZR_Q1_19_Trial-Social</v></cell><cell r="AC4501"><v>21276694</v></cell><cell r="AD4501"><v>720195</v></cell><cell r="AE4501" t="str"><v>Facebook</v></cell><cell r="AF4501"><v>3654128</v></cell><cell r="AG4501" t="str"><v>Facebook»AZP-Canvas-Interest&Role-Trial»1x1»Canvas»OTH»MO»CPM»PRO»X»UNK»TP»OT»Canvas-Trial</v></cell><cell r="AH4501"><v>223298805</v></cell><cell r="AI4501" t="str"><v>AzurePlatform_FBCTCcanvaspage-StartFreeCTA-Img2_JPN_1080x143 _SOC_Plat_Japanese_NA_Standard_NA_NA_T2_1</v></cell><cell r="AJ4501"><v>102609621</v></cell></row><row r="4502"><cell r="C4502" t="str"><v>43313Facebook»AZP-Canvas-Look a Like-Trial»1x1»Canvas»OTH»MO»CPM»PRO»X»UNK»TP»OT»Canvas-Trial</v></cell><cell r="D4502" t="str"><v>43313223297413</v></cell><cell r="E4502" t="str"><v>43313102609621-Trial</v></cell><cell r="F4502" t="str"><v>DCM</v></cell><cell r="G4502" t="str"><v>https://signup.azure.com/signup?offer=ms-azr-0044p&appId=102&ref=paidmedia-social-fb&redirectURL=https%3a%2f%2fazure.microsoft.com%2fja-jp%2fget-started%2fwelcome-to-azure%2f&l=ja-jp&correlationId=ead86c34-1f10-49dd-a72b-6918462a2cbf</v></cell></row><row r="4502"><cell r="K4502" t="str"><v>August</v></cell><cell r="L4502"><v>43316</v></cell><cell r="M4502" t="str"><v>Tier 1</v></cell><cell r="N4502" t="str"><v>APAC</v></cell><cell r="O4502" t="str"><v>Japan</v></cell><cell r="P4502" t="str"><v>Trial</v></cell><cell r="Q4502" t="str"><v>Social</v></cell><cell r="R4502" t="str"><v>Azure</v></cell><cell r="S4502" t="str"><v>Apps & Infra</v></cell><cell r="T4502" t="str"><v>Developers & ITI's</v></cell><cell r="U4502" t="str"><v>AZP-Canvas-Look a Like-Trial</v></cell><cell r="V4502" t="str"><v>Prospecting</v></cell><cell r="W4502" t="str"><v>Other</v></cell><cell r="X4502" t="str"><v>1x1</v></cell></row><row r="4502"><cell r="AA4502"><v>43313</v></cell><cell r="AB4502" t="str"><v>JPN_gaPMG_AZR_AZR_Q1_19_Trial-Social</v></cell><cell r="AC4502"><v>21276694</v></cell><cell r="AD4502"><v>720195</v></cell><cell r="AE4502" t="str"><v>Facebook</v></cell><cell r="AF4502"><v>3654128</v></cell><cell r="AG4502" t="str"><v>Facebook»AZP-Canvas-Look a Like-Trial»1x1»Canvas»OTH»MO»CPM»PRO»X»UNK»TP»OT»Canvas-Trial</v></cell><cell r="AH4502"><v>223297413</v></cell><cell r="AI4502" t="str"><v>AzurePlatform_FBCTCcanvaspage-StartFreeCTA-Img2_JPN_1080x143 _SOC_Plat_Japanese_NA_Standard_NA_NA_T2_1</v></cell><cell r="AJ4502"><v>102609621</v></cell></row><row r="4503"><cell r="C4503" t="str"><v>43313Facebook»AZP-Canvas-Retargeting-Trial»1x1»Canvas»SOC»MO»CPM»PRO»W»UNK»SS»OT»Canvas-Trial</v></cell><cell r="D4503" t="str"><v>43313226269941</v></cell><cell r="E4503" t="str"><v>43313104060547-Trial</v></cell><cell r="F4503" t="str"><v>DCM</v></cell><cell r="G4503" t="str"><v>https://azure.microsoft.com/ja-jp/pricing/purchase-options/</v></cell></row><row r="4503"><cell r="K4503" t="str"><v>August</v></cell><cell r="L4503"><v>43316</v></cell><cell r="M4503" t="str"><v>Tier 1</v></cell><cell r="N4503" t="str"><v>APAC</v></cell><cell r="O4503" t="str"><v>Japan</v></cell><cell r="P4503" t="str"><v>Trial</v></cell><cell r="Q4503" t="str"><v>Social</v></cell><cell r="R4503" t="str"><v>Azure</v></cell><cell r="S4503" t="str"><v>Apps & Infra</v></cell><cell r="T4503" t="str"><v>Developers & ITI's</v></cell><cell r="U4503" t="str"><v>AZP-Canvas-Retargeting-Trial</v></cell><cell r="V4503" t="str"><v>Prospecting</v></cell><cell r="W4503" t="str"><v>Social</v></cell><cell r="X4503" t="str"><v>1x1</v></cell></row><row r="4503"><cell r="AA4503"><v>43313</v></cell><cell r="AB4503" t="str"><v>JPN_gaPMG_AZR_AZR_Q1_19_Trial-Social</v></cell><cell r="AC4503"><v>21276694</v></cell><cell r="AD4503"><v>720195</v></cell><cell r="AE4503" t="str"><v>Facebook</v></cell><cell r="AF4503"><v>3654128</v></cell><cell r="AG4503" t="str"><v>Facebook»AZP-Canvas-Retargeting-Trial»1x1»Canvas»SOC»MO»CPM»PRO»W»UNK»SS»OT»Canvas-Trial</v></cell><cell r="AH4503"><v>226269941</v></cell><cell r="AI4503" t="str"><v>AZR_FBCTCcanvaspage-BuyNowCTA-Img3_JPN_1080x162_SOC_Plat_Japanese_NA_Standard_NA_BN_T3_1</v></cell><cell r="AJ4503"><v>104060547</v></cell></row><row r="4504"><cell r="C4504" t="str"><v>43313Facebook»AZP-Canvas-Retargeting-Trial»1x1»Canvas»SOC»MO»CPM»PRO»W»UNK»SS»OT»Canvas-Trial</v></cell><cell r="D4504" t="str"><v>43313226269941</v></cell><cell r="E4504" t="str"><v>43313104061321-Trial</v></cell><cell r="F4504" t="str"><v>DCM</v></cell><cell r="G4504" t="str"><v>https://signup.azure.com/signup?offer=ms-azr-0044p&appId=102&ref=paidmedia-social-fb&redirectURL=https%3a%2f%2fazure.microsoft.com%2fja-jp%2fget-started%2fwelcome-to-azure%2f&l=ja-jp&correlationId=ead86c34-1f10-49dd-a72b-6918462a2cbf</v></cell></row><row r="4504"><cell r="K4504" t="str"><v>August</v></cell><cell r="L4504"><v>43316</v></cell><cell r="M4504" t="str"><v>Tier 1</v></cell><cell r="N4504" t="str"><v>APAC</v></cell><cell r="O4504" t="str"><v>Japan</v></cell><cell r="P4504" t="str"><v>Trial</v></cell><cell r="Q4504" t="str"><v>Social</v></cell><cell r="R4504" t="str"><v>Azure</v></cell><cell r="S4504" t="str"><v>Apps & Infra</v></cell><cell r="T4504" t="str"><v>Developers & ITI's</v></cell><cell r="U4504" t="str"><v>AZP-Canvas-Retargeting-Trial</v></cell><cell r="V4504" t="str"><v>Prospecting</v></cell><cell r="W4504" t="str"><v>Social</v></cell><cell r="X4504" t="str"><v>1x1</v></cell></row><row r="4504"><cell r="AA4504"><v>43313</v></cell><cell r="AB4504" t="str"><v>JPN_gaPMG_AZR_AZR_Q1_19_Trial-Social</v></cell><cell r="AC4504"><v>21276694</v></cell><cell r="AD4504"><v>720195</v></cell><cell r="AE4504" t="str"><v>Facebook</v></cell><cell r="AF4504"><v>3654128</v></cell><cell r="AG4504" t="str"><v>Facebook»AZP-Canvas-Retargeting-Trial»1x1»Canvas»SOC»MO»CPM»PRO»W»UNK»SS»OT»Canvas-Trial</v></cell><cell r="AH4504"><v>226269941</v></cell><cell r="AI4504" t="str"><v>AZR_FBCTCcanvaspage-StartFreeCTA-Img2_JPN_1080x143 _SOC_Plat_Japanese_NA_Standard_NA_NA_T2_1</v></cell><cell r="AJ4504"><v>104061321</v></cell></row><row r="4505"><cell r="C4505" t="str"><v>43313FACEBOOK»USA-Trial-ITD-Interest Prospecting-AZR-AZR»1 x 1»SocialBan»CAN»ALL»CPA»PRO»X»NA»SS»NA»FBCTCBasicMotion»PRC1SV</v></cell><cell r="D4505" t="str"><v>43313223934062</v></cell><cell r="E4505" t="str"><v>43313103043823PRC1SV</v></cell><cell r="F4505" t="str"><v>DCM</v></cell><cell r="G4505" t="str"><v>https://signup.azure.com/?OCID=AID%eexcid!_OLA_%ebuy!_%epid!_%ecid!</v></cell></row><row r="4505"><cell r="K4505" t="str"><v>August</v></cell><cell r="L4505"><v>43316</v></cell><cell r="M4505" t="str"><v>Tier 0</v></cell><cell r="N4505" t="str"><v>North America</v></cell><cell r="O4505" t="str"><v>United States</v></cell><cell r="P4505" t="str"><v>Trial</v></cell><cell r="Q4505" t="str"><v>Social</v></cell><cell r="R4505" t="str"><v>Azure</v></cell><cell r="S4505" t="str"><v>Apps & Infra</v></cell><cell r="T4505" t="str"><v>Developers & ITI's</v></cell><cell r="U4505" t="str"><v>USA-Trial-ITD-Interest Prospecting-AZR-AZR</v></cell><cell r="V4505" t="str"><v>Prospecting</v></cell><cell r="W4505" t="str"><v>Canvas Ad</v></cell><cell r="X4505" t="str"><v>1x1</v></cell></row><row r="4505"><cell r="AA4505"><v>43313</v></cell><cell r="AB4505" t="str"><v>USA_gaPMG_AZR_AZR_Q1_19_Direct-Social</v></cell><cell r="AC4505"><v>21358715</v></cell><cell r="AD4505"><v>720197</v></cell><cell r="AE4505" t="str"><v>Facebook</v></cell><cell r="AF4505"><v>3654128</v></cell><cell r="AG4505" t="str"><v>FACEBOOK»USA-Trial-ITD-Interest Prospecting-AZR-AZR»1 x 1»SocialBan»CAN»ALL»CPA»PRO»X»NA»SS»NA»FBCTCBasicMotion»PRC1SV</v></cell><cell r="AH4505"><v>223934062</v></cell><cell r="AI4505" t="str"><v>AzurePlatform_FBCTCBasicMotion_USA_10s_CAN_PLATFORM_English_Trial_Standard_STAN_TIN_T1_1</v></cell><cell r="AJ4505"><v>103043823</v></cell></row><row r="4506"><cell r="C4506" t="str"><v>43313FACEBOOK»USA-Trial-ITD-Interest Prospecting-AZR-AZR»1 x 1»SocialBan»CAN»ALL»CPA»PRO»X»NA»SS»NA»FBCTCBenefit2inMotion»PRC1SW</v></cell><cell r="D4506" t="str"><v>43313223933138</v></cell><cell r="E4506" t="str"><v>43313103043835PRC1SW</v></cell><cell r="F4506" t="str"><v>DCM</v></cell><cell r="G4506" t="str"><v>https://signup.azure.com/?OCID=AID%eexcid!_OLA_%ebuy!_%epid!_%ecid!</v></cell></row><row r="4506"><cell r="K4506" t="str"><v>August</v></cell><cell r="L4506"><v>43316</v></cell><cell r="M4506" t="str"><v>Tier 0</v></cell><cell r="N4506" t="str"><v>North America</v></cell><cell r="O4506" t="str"><v>United States</v></cell><cell r="P4506" t="str"><v>Trial</v></cell><cell r="Q4506" t="str"><v>Social</v></cell><cell r="R4506" t="str"><v>Azure</v></cell><cell r="S4506" t="str"><v>Apps & Infra</v></cell><cell r="T4506" t="str"><v>Developers & ITI's</v></cell><cell r="U4506" t="str"><v>USA-Trial-ITD-Interest Prospecting-AZR-AZR</v></cell><cell r="V4506" t="str"><v>Prospecting</v></cell><cell r="W4506" t="str"><v>Canvas Ad</v></cell><cell r="X4506" t="str"><v>1x1</v></cell></row><row r="4506"><cell r="AA4506"><v>43313</v></cell><cell r="AB4506" t="str"><v>USA_gaPMG_AZR_AZR_Q1_19_Direct-Social</v></cell><cell r="AC4506"><v>21358715</v></cell><cell r="AD4506"><v>720197</v></cell><cell r="AE4506" t="str"><v>Facebook</v></cell><cell r="AF4506"><v>3654128</v></cell><cell r="AG4506" t="str"><v>FACEBOOK»USA-Trial-ITD-Interest Prospecting-AZR-AZR»1 x 1»SocialBan»CAN»ALL»CPA»PRO»X»NA»SS»NA»FBCTCBenefit2inMotion»PRC1SW</v></cell><cell r="AH4506"><v>223933138</v></cell><cell r="AI4506" t="str"><v>AzurePlatform_FBCTCBenefit2inMotion_USA_10s_CAN_PLATFORM_English_Trial_Standard_STAN_TIN_T4_1</v></cell><cell r="AJ4506"><v>103043835</v></cell></row><row r="4507"><cell r="C4507" t="str"><v>43313FACEBOOK»USA-Trial-ITD-Interest Prospecting-AZR-AZR»1 x 1»SocialBan»CAN»ALL»CPA»PRO»X»NA»SS»NA»FBCTCBrandinMotion»PRC1SY</v></cell><cell r="D4507" t="str"><v>43313224104929</v></cell><cell r="E4507" t="str"><v>43313103176812PRC1SY</v></cell><cell r="F4507" t="str"><v>DCM</v></cell><cell r="G4507" t="str"><v>https://signup.azure.com/?OCID=AID%eexcid!_OLA_%ebuy!_%epid!_%ecid!</v></cell></row><row r="4507"><cell r="K4507" t="str"><v>August</v></cell><cell r="L4507"><v>43316</v></cell><cell r="M4507" t="str"><v>Tier 0</v></cell><cell r="N4507" t="str"><v>North America</v></cell><cell r="O4507" t="str"><v>United States</v></cell><cell r="P4507" t="str"><v>Trial</v></cell><cell r="Q4507" t="str"><v>Social</v></cell><cell r="R4507" t="str"><v>Azure</v></cell><cell r="S4507" t="str"><v>Apps & Infra</v></cell><cell r="T4507" t="str"><v>Developers & ITI's</v></cell><cell r="U4507" t="str"><v>USA-Trial-ITD-Interest Prospecting-AZR-AZR</v></cell><cell r="V4507" t="str"><v>Prospecting</v></cell><cell r="W4507" t="str"><v>Canvas Ad</v></cell><cell r="X4507" t="str"><v>1x1</v></cell></row><row r="4507"><cell r="AA4507"><v>43313</v></cell><cell r="AB4507" t="str"><v>USA_gaPMG_AZR_AZR_Q1_19_Direct-Social</v></cell><cell r="AC4507"><v>21358715</v></cell><cell r="AD4507"><v>720197</v></cell><cell r="AE4507" t="str"><v>Facebook</v></cell><cell r="AF4507"><v>3654128</v></cell><cell r="AG4507" t="str"><v>FACEBOOK»USA-Trial-ITD-Interest Prospecting-AZR-AZR»1 x 1»SocialBan»CAN»ALL»CPA»PRO»X»NA»SS»NA»FBCTCBrandinMotion»PRC1SY</v></cell><cell r="AH4507"><v>224104929</v></cell><cell r="AI4507" t="str"><v>AzurePlatform_FBCTCBrandinMotion_USA_10s_CAN_PLATFORM_English_Trial_Standard_STAN_TIN_T2_1</v></cell><cell r="AJ4507"><v>103176812</v></cell></row><row r="4508"><cell r="C4508" t="str"><v>43313FACEBOOK»USA-Trial-ITD-Interest Prospecting-AZR-AZR»1 x 1»SocialBan»LIA»ALL»CPA»PRO»X»NA»SS»NA»FreeAcctDeveloperFB-AnimatedGeneric-Ch1»PRC1SZ</v></cell><cell r="D4508" t="str"><v>43313224104932</v></cell><cell r="E4508" t="str"><v>43313103176851PRC1SZ</v></cell><cell r="F4508" t="str"><v>DCM</v></cell><cell r="G4508" t="str"><v>https://azure.microsoft.com/en-us/free/search/?OCID=AID%eexcid!_OLA_%ebuy!_%epid!_%ecid!</v></cell></row><row r="4508"><cell r="K4508" t="str"><v>August</v></cell><cell r="L4508"><v>43316</v></cell><cell r="M4508" t="str"><v>Tier 0</v></cell><cell r="N4508" t="str"><v>North America</v></cell><cell r="O4508" t="str"><v>United States</v></cell><cell r="P4508" t="str"><v>Trial</v></cell><cell r="Q4508" t="str"><v>Social</v></cell><cell r="R4508" t="str"><v>Azure</v></cell><cell r="S4508" t="str"><v>Apps & Infra</v></cell><cell r="T4508" t="str"><v>Developers & ITI's</v></cell><cell r="U4508" t="str"><v>USA-Trial-ITD-Interest Prospecting-AZR-AZR</v></cell><cell r="V4508" t="str"><v>Prospecting</v></cell><cell r="W4508" t="str"><v>Link Ad</v></cell><cell r="X4508" t="str"><v>1x1</v></cell></row><row r="4508"><cell r="AA4508"><v>43313</v></cell><cell r="AB4508" t="str"><v>USA_gaPMG_AZR_AZR_Q1_19_Direct-Social</v></cell><cell r="AC4508"><v>21358715</v></cell><cell r="AD4508"><v>720197</v></cell><cell r="AE4508" t="str"><v>Facebook</v></cell><cell r="AF4508"><v>3654128</v></cell><cell r="AG4508" t="str"><v>FACEBOOK»USA-Trial-ITD-Interest Prospecting-AZR-AZR»1 x 1»SocialBan»LIA»ALL»CPA»PRO»X»NA»SS»NA»FreeAcctDeveloperFB-AnimatedGeneric-Ch1»PRC1SZ</v></cell><cell r="AH4508"><v>224104932</v></cell><cell r="AI4508" t="str"><v>AZR_FreeAcctDeveloperFB-AnimatedGeneric-Ch1_USA_1200x1200_CAN_Direct_English_Trial_Standard_ANI_LEA_T1_2</v></cell><cell r="AJ4508"><v>103176851</v></cell></row><row r="4509"><cell r="C4509" t="str"><v>43313FACEBOOK»USA-Trial-ITD-Interest Prospecting-AZR-AZR»1 x 1»SocialBan»LIA»ALL»CPA»PRO»X»NA»SS»NA»FreeAcctDeveloperFB-AnimatedGeneric-Ch1»PRC1T0</v></cell><cell r="D4509" t="str"><v>43313223934065</v></cell><cell r="E4509" t="str"><v>43313103176851PRC1T0</v></cell><cell r="F4509" t="str"><v>DCM</v></cell><cell r="G4509" t="str"><v>https://azure.microsoft.com/en-us/free/search/?OCID=AID%eexcid!_OLA_%ebuy!_%epid!_%ecid!</v></cell></row><row r="4509"><cell r="K4509" t="str"><v>August</v></cell><cell r="L4509"><v>43316</v></cell><cell r="M4509" t="str"><v>Tier 0</v></cell><cell r="N4509" t="str"><v>North America</v></cell><cell r="O4509" t="str"><v>United States</v></cell><cell r="P4509" t="str"><v>Trial</v></cell><cell r="Q4509" t="str"><v>Social</v></cell><cell r="R4509" t="str"><v>Azure</v></cell><cell r="S4509" t="str"><v>Apps & Infra</v></cell><cell r="T4509" t="str"><v>Developers & ITI's</v></cell><cell r="U4509" t="str"><v>USA-Trial-ITD-Interest Prospecting-AZR-AZR</v></cell><cell r="V4509" t="str"><v>Prospecting</v></cell><cell r="W4509" t="str"><v>Link Ad</v></cell><cell r="X4509" t="str"><v>1x1</v></cell></row><row r="4509"><cell r="AA4509"><v>43313</v></cell><cell r="AB4509" t="str"><v>USA_gaPMG_AZR_AZR_Q1_19_Direct-Social</v></cell><cell r="AC4509"><v>21358715</v></cell><cell r="AD4509"><v>720197</v></cell><cell r="AE4509" t="str"><v>Facebook</v></cell><cell r="AF4509"><v>3654128</v></cell><cell r="AG4509" t="str"><v>FACEBOOK»USA-Trial-ITD-Interest Prospecting-AZR-AZR»1 x 1»SocialBan»LIA»ALL»CPA»PRO»X»NA»SS»NA»FreeAcctDeveloperFB-AnimatedGeneric-Ch1»PRC1T0</v></cell><cell r="AH4509"><v>223934065</v></cell><cell r="AI4509" t="str"><v>AZR_FreeAcctDeveloperFB-AnimatedGeneric-Ch1_USA_1200x1200_CAN_Direct_English_Trial_Standard_ANI_LEA_T1_2</v></cell><cell r="AJ4509"><v>103176851</v></cell></row><row r="4510"><cell r="C4510" t="str"><v>43313FACEBOOK»USA-Trial-ITD-Interest Prospecting-AZR-AZR»1 x 1»SocialBan»LIA»ALL»CPA»PRO»X»NA»SS»NA»FreeAcctITProFB-AnimatedHybrid-Ch2»PRC1T5</v></cell><cell r="D4510" t="str"><v>43313223862882</v></cell><cell r="E4510" t="str"><v>43313103180583PRC1T5</v></cell><cell r="F4510" t="str"><v>DCM</v></cell></row><row r="4510"><cell r="K4510" t="str"><v>August</v></cell><cell r="L4510"><v>43316</v></cell><cell r="M4510" t="str"><v>Tier 0</v></cell><cell r="N4510" t="str"><v>North America</v></cell><cell r="O4510" t="str"><v>United States</v></cell><cell r="P4510" t="str"><v>Trial</v></cell><cell r="Q4510" t="str"><v>Social</v></cell><cell r="R4510" t="str"><v>Azure</v></cell><cell r="S4510" t="str"><v>Apps & Infra</v></cell><cell r="T4510" t="str"><v>Developers & ITI's</v></cell><cell r="U4510" t="str"><v>USA-Trial-ITD-Interest Prospecting-AZR-AZR</v></cell><cell r="V4510" t="str"><v>Prospecting</v></cell><cell r="W4510" t="str"><v>Link Ad</v></cell><cell r="X4510" t="str"><v>1x1</v></cell></row><row r="4510"><cell r="AA4510"><v>43313</v></cell><cell r="AB4510" t="str"><v>USA_gaPMG_AZR_AZR_Q1_19_Direct-Social</v></cell><cell r="AC4510"><v>21358715</v></cell><cell r="AD4510"><v>720197</v></cell><cell r="AE4510" t="str"><v>Facebook</v></cell><cell r="AF4510"><v>3654128</v></cell><cell r="AG4510" t="str"><v>FACEBOOK»USA-Trial-ITD-Interest Prospecting-AZR-AZR»1 x 1»SocialBan»LIA»ALL»CPA»PRO»X»NA»SS»NA»FreeAcctITProFB-AnimatedHybrid-Ch2»PRC1T5</v></cell><cell r="AH4510"><v>223862882</v></cell><cell r="AI4510" t="str"><v>AZR_FreeAcctITProFB-AnimatedHybrid-Ch2_USA_1200x1200_CAN_Direct_English_Trial_Standard_ANI_LEA_T2_2</v></cell><cell r="AJ4510"><v>103180583</v></cell></row><row r="4511"><cell r="C4511" t="str"><v>43313FACEBOOK»USA-Trial-ITD-Interest Prospecting-AZR-AZR»1 x 1»SocialBan»LIA»ALL»CPA»PRO»X»NA»SS»NA»FreeAcctITProFB-AnimatedSecureMngd-Ch1»PRC1T4</v></cell><cell r="D4511" t="str"><v>43313224104914</v></cell><cell r="E4511" t="str"><v>43313103176830PRC1T4</v></cell><cell r="F4511" t="str"><v>DCM</v></cell></row><row r="4511"><cell r="K4511" t="str"><v>August</v></cell><cell r="L4511"><v>43316</v></cell><cell r="M4511" t="str"><v>Tier 0</v></cell><cell r="N4511" t="str"><v>North America</v></cell><cell r="O4511" t="str"><v>United States</v></cell><cell r="P4511" t="str"><v>Trial</v></cell><cell r="Q4511" t="str"><v>Social</v></cell><cell r="R4511" t="str"><v>Azure</v></cell><cell r="S4511" t="str"><v>Apps & Infra</v></cell><cell r="T4511" t="str"><v>Developers & ITI's</v></cell><cell r="U4511" t="str"><v>USA-Trial-ITD-Interest Prospecting-AZR-AZR</v></cell><cell r="V4511" t="str"><v>Prospecting</v></cell><cell r="W4511" t="str"><v>Link Ad</v></cell><cell r="X4511" t="str"><v>1x1</v></cell></row><row r="4511"><cell r="AA4511"><v>43313</v></cell><cell r="AB4511" t="str"><v>USA_gaPMG_AZR_AZR_Q1_19_Direct-Social</v></cell><cell r="AC4511"><v>21358715</v></cell><cell r="AD4511"><v>720197</v></cell><cell r="AE4511" t="str"><v>Facebook</v></cell><cell r="AF4511"><v>3654128</v></cell><cell r="AG4511" t="str"><v>FACEBOOK»USA-Trial-ITD-Interest Prospecting-AZR-AZR»1 x 1»SocialBan»LIA»ALL»CPA»PRO»X»NA»SS»NA»FreeAcctITProFB-AnimatedSecureMngd-Ch1»PRC1T4</v></cell><cell r="AH4511"><v>224104914</v></cell><cell r="AI4511" t="str"><v>AZR_FreeAcctITProFB-AnimatedSecureMngd-Ch1_USA_1200x1200_CAN_Direct_English_Trial_Standard_ANI_LEA_T1_1</v></cell><cell r="AJ4511"><v>103176830</v></cell></row><row r="4512"><cell r="C4512" t="str"><v>43313FACEBOOK»USA-Trial-ITD-Interest Prospecting-AZR-AZR»1 x 1»SocialBan»CAN»ALL»CPA»PRO»X»NA»SS»NA»FBCTCBenefitinMotion»PRC1SX</v></cell><cell r="D4512" t="str"><v>43313224104077</v></cell><cell r="E4512" t="str"><v>43313103032775PRC1SX</v></cell><cell r="F4512" t="str"><v>DCM</v></cell><cell r="G4512" t="str"><v>https://signup.azure.com/?OCID=AID%eexcid!_OLA_%ebuy!_%epid!_%ecid!</v></cell></row><row r="4512"><cell r="K4512" t="str"><v>August</v></cell><cell r="L4512"><v>43316</v></cell><cell r="M4512" t="str"><v>Tier 0</v></cell><cell r="N4512" t="str"><v>North America</v></cell><cell r="O4512" t="str"><v>United States</v></cell><cell r="P4512" t="str"><v>Trial</v></cell><cell r="Q4512" t="str"><v>Social</v></cell><cell r="R4512" t="str"><v>Azure</v></cell><cell r="S4512" t="str"><v>Apps & Infra</v></cell><cell r="T4512" t="str"><v>Developers & ITI's</v></cell><cell r="U4512" t="str"><v>USA-Trial-ITD-Interest Prospecting-AZR-AZR</v></cell><cell r="V4512" t="str"><v>Prospecting</v></cell><cell r="W4512" t="str"><v>Canvas Ad</v></cell><cell r="X4512" t="str"><v>1x1</v></cell></row><row r="4512"><cell r="AA4512"><v>43313</v></cell><cell r="AB4512" t="str"><v>USA_gaPMG_AZR_AZR_Q1_19_Direct-Social</v></cell><cell r="AC4512"><v>21358715</v></cell><cell r="AD4512"><v>720197</v></cell><cell r="AE4512" t="str"><v>Facebook</v></cell><cell r="AF4512"><v>3654128</v></cell><cell r="AG4512" t="str"><v>FACEBOOK»USA-Trial-ITD-Interest Prospecting-AZR-AZR»1 x 1»SocialBan»CAN»ALL»CPA»PRO»X»NA»SS»NA»FBCTCBenefitinMotion»PRC1SX</v></cell><cell r="AH4512"><v>224104077</v></cell><cell r="AI4512" t="str"><v>AzurePlatform_FBCTCBenefitinMotion_USA_10s_CAN_PLATFORM_English_Trial_Standard_STAN_TIN_T3_1</v></cell><cell r="AJ4512"><v>103032775</v></cell></row><row r="4513"><cell r="C4513" t="str"><v>43313FACEBOOK»USA-Trial-ITD-Interest Prospecting-AZR-AZR»1 x 1»SocialBan»CAN»ALL»CPA»PRO»X»NA»SS»NA»FBCTCBenefitinMotion»PRC1SX</v></cell><cell r="D4513" t="str"><v>43313224104077</v></cell><cell r="E4513" t="str"><v>43313103176836PRC1SX</v></cell><cell r="F4513" t="str"><v>DCM</v></cell><cell r="G4513" t="str"><v>https://azure.microsoft.com/en-us/pricing/purchase-options/?v=18.19&OCID=AID%eexcid!_OLA_%ebuy!_%epid!_%ecid!</v></cell></row><row r="4513"><cell r="K4513" t="str"><v>August</v></cell><cell r="L4513"><v>43316</v></cell><cell r="M4513" t="str"><v>Tier 0</v></cell><cell r="N4513" t="str"><v>North America</v></cell><cell r="O4513" t="str"><v>United States</v></cell><cell r="P4513" t="str"><v>Trial</v></cell><cell r="Q4513" t="str"><v>Social</v></cell><cell r="R4513" t="str"><v>Azure</v></cell><cell r="S4513" t="str"><v>Apps & Infra</v></cell><cell r="T4513" t="str"><v>Developers & ITI's</v></cell><cell r="U4513" t="str"><v>USA-Trial-ITD-Interest Prospecting-AZR-AZR</v></cell><cell r="V4513" t="str"><v>Prospecting</v></cell><cell r="W4513" t="str"><v>Canvas Ad</v></cell><cell r="X4513" t="str"><v>1x1</v></cell></row><row r="4513"><cell r="AA4513"><v>43313</v></cell><cell r="AB4513" t="str"><v>USA_gaPMG_AZR_AZR_Q1_19_Direct-Social</v></cell><cell r="AC4513"><v>21358715</v></cell><cell r="AD4513"><v>720197</v></cell><cell r="AE4513" t="str"><v>Facebook</v></cell><cell r="AF4513"><v>3654128</v></cell><cell r="AG4513" t="str"><v>FACEBOOK»USA-Trial-ITD-Interest Prospecting-AZR-AZR»1 x 1»SocialBan»CAN»ALL»CPA»PRO»X»NA»SS»NA»FBCTCBenefitinMotion»PRC1SX</v></cell><cell r="AH4513"><v>224104077</v></cell><cell r="AI4513" t="str"><v>AzurePlatform_FBCTCBenefitinMotion_USA_10s_CAN_PLATFORM_English_Trial_Standard_STAN_TIN_T3_2</v></cell><cell r="AJ4513"><v>103176836</v></cell></row><row r="4514"><cell r="C4514" t="str"><v>43313FACEBOOK»USA-Trial-ITD-Retargeting-AZR-AZR»1 x 1»SocialBan»LIA»ALL»CPA»RT»X»NA»SS»NA»FreeAcctDeveloperFB-AnimatedAI-Ch3»PRC26H</v></cell><cell r="D4514" t="str"><v>43313223863371</v></cell><cell r="E4514" t="str"><v>43313103032778PRC26H</v></cell><cell r="F4514" t="str"><v>DCM</v></cell></row><row r="4514"><cell r="K4514" t="str"><v>August</v></cell><cell r="L4514"><v>43316</v></cell><cell r="M4514" t="str"><v>Tier 0</v></cell><cell r="N4514" t="str"><v>North America</v></cell><cell r="O4514" t="str"><v>United States</v></cell><cell r="P4514" t="str"><v>Trial</v></cell><cell r="Q4514" t="str"><v>Social</v></cell><cell r="R4514" t="str"><v>Azure</v></cell><cell r="S4514" t="str"><v>Apps & Infra</v></cell><cell r="T4514" t="str"><v>Developers & ITI's</v></cell><cell r="U4514" t="str"><v>USA-Trial-ITD-Retargeting-AZR-AZR</v></cell><cell r="V4514" t="str"><v>Retargeting</v></cell><cell r="W4514" t="str"><v>Link Ad</v></cell><cell r="X4514" t="str"><v>1x1</v></cell></row><row r="4514"><cell r="AA4514"><v>43313</v></cell><cell r="AB4514" t="str"><v>USA_gaPMG_AZR_AZR_Q1_19_Direct-Social</v></cell><cell r="AC4514"><v>21358715</v></cell><cell r="AD4514"><v>720197</v></cell><cell r="AE4514" t="str"><v>Facebook</v></cell><cell r="AF4514"><v>3654128</v></cell><cell r="AG4514" t="str"><v>FACEBOOK»USA-Trial-ITD-Retargeting-AZR-AZR»1 x 1»SocialBan»LIA»ALL»CPA»RT»X»NA»SS»NA»FreeAcctDeveloperFB-AnimatedAI-Ch3»PRC26H</v></cell><cell r="AH4514"><v>223863371</v></cell><cell r="AI4514" t="str"><v>AZR_FreeAcctDeveloperFB-AnimatedAI-Ch3_USA_1200x1200_CAN_Direct_English_Trial_Standard_ANI_LEA_T3_1</v></cell><cell r="AJ4514"><v>103032778</v></cell></row><row r="4515"><cell r="C4515" t="str"><v>43313FACEBOOK»USA-Trial-ITD-Retargeting-AZR-AZR»1 x 1»SocialBan»LIA»ALL»CPA»RT»X»NA»SS»NA»FreeAcctDeveloperFB-AnimatedData-Ch4»PRC26J</v></cell><cell r="D4515" t="str"><v>43313224106078</v></cell><cell r="E4515" t="str"><v>43313103037935PRC26J</v></cell><cell r="F4515" t="str"><v>DCM</v></cell></row><row r="4515"><cell r="K4515" t="str"><v>August</v></cell><cell r="L4515"><v>43316</v></cell><cell r="M4515" t="str"><v>Tier 0</v></cell><cell r="N4515" t="str"><v>North America</v></cell><cell r="O4515" t="str"><v>United States</v></cell><cell r="P4515" t="str"><v>Trial</v></cell><cell r="Q4515" t="str"><v>Social</v></cell><cell r="R4515" t="str"><v>Azure</v></cell><cell r="S4515" t="str"><v>Apps & Infra</v></cell><cell r="T4515" t="str"><v>Developers & ITI's</v></cell><cell r="U4515" t="str"><v>USA-Trial-ITD-Retargeting-AZR-AZR</v></cell><cell r="V4515" t="str"><v>Retargeting</v></cell><cell r="W4515" t="str"><v>Link Ad</v></cell><cell r="X4515" t="str"><v>1x1</v></cell></row><row r="4515"><cell r="AA4515"><v>43313</v></cell><cell r="AB4515" t="str"><v>USA_gaPMG_AZR_AZR_Q1_19_Direct-Social</v></cell><cell r="AC4515"><v>21358715</v></cell><cell r="AD4515"><v>720197</v></cell><cell r="AE4515" t="str"><v>Facebook</v></cell><cell r="AF4515"><v>3654128</v></cell><cell r="AG4515" t="str"><v>FACEBOOK»USA-Trial-ITD-Retargeting-AZR-AZR»1 x 1»SocialBan»LIA»ALL»CPA»RT»X»NA»SS»NA»FreeAcctDeveloperFB-AnimatedData-Ch4»PRC26J</v></cell><cell r="AH4515"><v>224106078</v></cell><cell r="AI4515" t="str"><v>AZR_FreeAcctDeveloperFB-AnimatedData-Ch4_USA_1200x1200_CAN_Direct_English_Trial_Standard_ANI_LEA_T4_2</v></cell><cell r="AJ4515"><v>103037935</v></cell></row><row r="4516"><cell r="C4516" t="str"><v>43313FACEBOOK»USA-Trial-ITD-Retargeting-AZR-AZR»1 x 1»SocialBan»LIA»ALL»CPA»RT»X»NA»SS»NA»FreeAcctDeveloperFB-AnimatedGeneric-Ch1»PRC26F</v></cell><cell r="D4516" t="str"><v>43313224105850</v></cell><cell r="E4516" t="str"><v>43313103176851PRC26F</v></cell><cell r="F4516" t="str"><v>DCM</v></cell><cell r="G4516" t="str"><v>https://azure.microsoft.com/en-us/free/search/?OCID=AID%eexcid!_OLA_%ebuy!_%epid!_%ecid!</v></cell></row><row r="4516"><cell r="K4516" t="str"><v>August</v></cell><cell r="L4516"><v>43316</v></cell><cell r="M4516" t="str"><v>Tier 0</v></cell><cell r="N4516" t="str"><v>North America</v></cell><cell r="O4516" t="str"><v>United States</v></cell><cell r="P4516" t="str"><v>Trial</v></cell><cell r="Q4516" t="str"><v>Social</v></cell><cell r="R4516" t="str"><v>Azure</v></cell><cell r="S4516" t="str"><v>Apps & Infra</v></cell><cell r="T4516" t="str"><v>Developers & ITI's</v></cell><cell r="U4516" t="str"><v>USA-Trial-ITD-Retargeting-AZR-AZR</v></cell><cell r="V4516" t="str"><v>Retargeting</v></cell><cell r="W4516" t="str"><v>Link Ad</v></cell><cell r="X4516" t="str"><v>1x1</v></cell></row><row r="4516"><cell r="AA4516"><v>43313</v></cell><cell r="AB4516" t="str"><v>USA_gaPMG_AZR_AZR_Q1_19_Direct-Social</v></cell><cell r="AC4516"><v>21358715</v></cell><cell r="AD4516"><v>720197</v></cell><cell r="AE4516" t="str"><v>Facebook</v></cell><cell r="AF4516"><v>3654128</v></cell><cell r="AG4516" t="str"><v>FACEBOOK»USA-Trial-ITD-Retargeting-AZR-AZR»1 x 1»SocialBan»LIA»ALL»CPA»RT»X»NA»SS»NA»FreeAcctDeveloperFB-AnimatedGeneric-Ch1»PRC26F</v></cell><cell r="AH4516"><v>224105850</v></cell><cell r="AI4516" t="str"><v>AZR_FreeAcctDeveloperFB-AnimatedGeneric-Ch1_USA_1200x1200_CAN_Direct_English_Trial_Standard_ANI_LEA_T1_2</v></cell><cell r="AJ4516"><v>103176851</v></cell></row><row r="4517"><cell r="C4517" t="str"><v>43313FACEBOOK»USA-Trial-ITD-Retargeting-AZR-AZR»1 x 1»SocialBan»LIA»ALL»CPA»RT»X»NA»SS»NA»FreeAcctDeveloperFB-AnimatedOpenSource-Ch2»PRC26G</v></cell><cell r="D4517" t="str"><v>43313223862873</v></cell><cell r="E4517" t="str"><v>43313103048329PRC26G</v></cell><cell r="F4517" t="str"><v>DCM</v></cell><cell r="G4517" t="str"><v>https://azure.microsoft.com/en-us/free/open-source/search/?OCID=AID%eexcid!_OLA_%ebuy!_%epid!_%ecid!</v></cell></row><row r="4517"><cell r="K4517" t="str"><v>August</v></cell><cell r="L4517"><v>43316</v></cell><cell r="M4517" t="str"><v>Tier 0</v></cell><cell r="N4517" t="str"><v>North America</v></cell><cell r="O4517" t="str"><v>United States</v></cell><cell r="P4517" t="str"><v>Trial</v></cell><cell r="Q4517" t="str"><v>Social</v></cell><cell r="R4517" t="str"><v>Azure</v></cell><cell r="S4517" t="str"><v>Apps & Infra</v></cell><cell r="T4517" t="str"><v>Developers & ITI's</v></cell><cell r="U4517" t="str"><v>USA-Trial-ITD-Retargeting-AZR-AZR</v></cell><cell r="V4517" t="str"><v>Retargeting</v></cell><cell r="W4517" t="str"><v>Link Ad</v></cell><cell r="X4517" t="str"><v>1x1</v></cell></row><row r="4517"><cell r="AA4517"><v>43313</v></cell><cell r="AB4517" t="str"><v>USA_gaPMG_AZR_AZR_Q1_19_Direct-Social</v></cell><cell r="AC4517"><v>21358715</v></cell><cell r="AD4517"><v>720197</v></cell><cell r="AE4517" t="str"><v>Facebook</v></cell><cell r="AF4517"><v>3654128</v></cell><cell r="AG4517" t="str"><v>FACEBOOK»USA-Trial-ITD-Retargeting-AZR-AZR»1 x 1»SocialBan»LIA»ALL»CPA»RT»X»NA»SS»NA»FreeAcctDeveloperFB-AnimatedOpenSource-Ch2»PRC26G</v></cell><cell r="AH4517"><v>223862873</v></cell><cell r="AI4517" t="str"><v>AZR_FreeAcctDeveloperFB-AnimatedOpenSource-Ch2_USA_1200x1200_CAN_Direct_English_Trial_Standard_ANI_LEA_T2_1</v></cell><cell r="AJ4517"><v>103048329</v></cell></row><row r="4518"><cell r="C4518" t="str"><v>43313FACEBOOK»USA-Trial-ITD-Retargeting-AZR-AZR»1 x 1»SocialBan»LIA»ALL»CPA»RT»X»NA»SS»NA»FreeAcctITProFB-AnimatedHybrid-Ch2»PRC26N</v></cell><cell r="D4518" t="str"><v>43313223934053</v></cell><cell r="E4518" t="str"><v>43313103180583PRC26N</v></cell><cell r="F4518" t="str"><v>DCM</v></cell></row><row r="4518"><cell r="K4518" t="str"><v>August</v></cell><cell r="L4518"><v>43316</v></cell><cell r="M4518" t="str"><v>Tier 0</v></cell><cell r="N4518" t="str"><v>North America</v></cell><cell r="O4518" t="str"><v>United States</v></cell><cell r="P4518" t="str"><v>Trial</v></cell><cell r="Q4518" t="str"><v>Social</v></cell><cell r="R4518" t="str"><v>Azure</v></cell><cell r="S4518" t="str"><v>Apps & Infra</v></cell><cell r="T4518" t="str"><v>Developers & ITI's</v></cell><cell r="U4518" t="str"><v>USA-Trial-ITD-Retargeting-AZR-AZR</v></cell><cell r="V4518" t="str"><v>Retargeting</v></cell><cell r="W4518" t="str"><v>Link Ad</v></cell><cell r="X4518" t="str"><v>1x1</v></cell></row><row r="4518"><cell r="AA4518"><v>43313</v></cell><cell r="AB4518" t="str"><v>USA_gaPMG_AZR_AZR_Q1_19_Direct-Social</v></cell><cell r="AC4518"><v>21358715</v></cell><cell r="AD4518"><v>720197</v></cell><cell r="AE4518" t="str"><v>Facebook</v></cell><cell r="AF4518"><v>3654128</v></cell><cell r="AG4518" t="str"><v>FACEBOOK»USA-Trial-ITD-Retargeting-AZR-AZR»1 x 1»SocialBan»LIA»ALL»CPA»RT»X»NA»SS»NA»FreeAcctITProFB-AnimatedHybrid-Ch2»PRC26N</v></cell><cell r="AH4518"><v>223934053</v></cell><cell r="AI4518" t="str"><v>AZR_FreeAcctITProFB-AnimatedHybrid-Ch2_USA_1200x1200_CAN_Direct_English_Trial_Standard_ANI_LEA_T2_2</v></cell><cell r="AJ4518"><v>103180583</v></cell></row><row r="4519"><cell r="C4519" t="str"><v>43313FACEBOOK»USA-Trial-ITD-Retargeting-AZR-AZR»1 x 1»SocialBan»LIA»ALL»CPA»RT»X»NA»SS»NA»FreeAcctITProFB-AnimatedMigration-Ch3»PRC26P</v></cell><cell r="D4519" t="str"><v>43313223934056</v></cell><cell r="E4519" t="str"><v>43313103176827PRC26P</v></cell><cell r="F4519" t="str"><v>DCM</v></cell></row><row r="4519"><cell r="K4519" t="str"><v>August</v></cell><cell r="L4519"><v>43316</v></cell><cell r="M4519" t="str"><v>Tier 0</v></cell><cell r="N4519" t="str"><v>North America</v></cell><cell r="O4519" t="str"><v>United States</v></cell><cell r="P4519" t="str"><v>Trial</v></cell><cell r="Q4519" t="str"><v>Social</v></cell><cell r="R4519" t="str"><v>Azure</v></cell><cell r="S4519" t="str"><v>Apps & Infra</v></cell><cell r="T4519" t="str"><v>Developers & ITI's</v></cell><cell r="U4519" t="str"><v>USA-Trial-ITD-Retargeting-AZR-AZR</v></cell><cell r="V4519" t="str"><v>Retargeting</v></cell><cell r="W4519" t="str"><v>Link Ad</v></cell><cell r="X4519" t="str"><v>1x1</v></cell></row><row r="4519"><cell r="AA4519"><v>43313</v></cell><cell r="AB4519" t="str"><v>USA_gaPMG_AZR_AZR_Q1_19_Direct-Social</v></cell><cell r="AC4519"><v>21358715</v></cell><cell r="AD4519"><v>720197</v></cell><cell r="AE4519" t="str"><v>Facebook</v></cell><cell r="AF4519"><v>3654128</v></cell><cell r="AG4519" t="str"><v>FACEBOOK»USA-Trial-ITD-Retargeting-AZR-AZR»1 x 1»SocialBan»LIA»ALL»CPA»RT»X»NA»SS»NA»FreeAcctITProFB-AnimatedMigration-Ch3»PRC26P</v></cell><cell r="AH4519"><v>223934056</v></cell><cell r="AI4519" t="str"><v>AZR_FreeAcctITProFB-AnimatedMigration-Ch3_USA_1200x1200_CAN_Direct_English_Trial_Standard_ANI_LEA_T3_1</v></cell><cell r="AJ4519"><v>103176827</v></cell></row><row r="4520"><cell r="C4520" t="str"><v>43313FACEBOOK»USA-Trial-ITD-Retargeting-AZR-AZR»1 x 1»SocialBan»LIA»ALL»CPA»RT»X»NA»SS»NA»FreeAcctRetargetingFB-Animated-ChC»PRC1RX</v></cell><cell r="D4520" t="str"><v>43313223862864</v></cell><cell r="E4520" t="str"><v>43313103180880PRC1RX</v></cell><cell r="F4520" t="str"><v>DCM</v></cell><cell r="G4520" t="str"><v>https://azure.microsoft.com/en-us/free/search/?OCID=AID%eexcid!_OLA_%ebuy!_%epid!_%ecid!</v></cell></row><row r="4520"><cell r="K4520" t="str"><v>August</v></cell><cell r="L4520"><v>43316</v></cell><cell r="M4520" t="str"><v>Tier 0</v></cell><cell r="N4520" t="str"><v>North America</v></cell><cell r="O4520" t="str"><v>United States</v></cell><cell r="P4520" t="str"><v>Trial</v></cell><cell r="Q4520" t="str"><v>Social</v></cell><cell r="R4520" t="str"><v>Azure</v></cell><cell r="S4520" t="str"><v>Apps & Infra</v></cell><cell r="T4520" t="str"><v>Developers & ITI's</v></cell><cell r="U4520" t="str"><v>USA-Trial-ITD-Retargeting-AZR-AZR</v></cell><cell r="V4520" t="str"><v>Retargeting</v></cell><cell r="W4520" t="str"><v>Link Ad</v></cell><cell r="X4520" t="str"><v>1x1</v></cell></row><row r="4520"><cell r="AA4520"><v>43313</v></cell><cell r="AB4520" t="str"><v>USA_gaPMG_AZR_AZR_Q1_19_Direct-Social</v></cell><cell r="AC4520"><v>21358715</v></cell><cell r="AD4520"><v>720197</v></cell><cell r="AE4520" t="str"><v>Facebook</v></cell><cell r="AF4520"><v>3654128</v></cell><cell r="AG4520" t="str"><v>FACEBOOK»USA-Trial-ITD-Retargeting-AZR-AZR»1 x 1»SocialBan»LIA»ALL»CPA»RT»X»NA»SS»NA»FreeAcctRetargetingFB-Animated-ChC»PRC1RX</v></cell><cell r="AH4520"><v>223862864</v></cell><cell r="AI4520" t="str"><v>AzurePlatform_FreeAcctRetargetingFB-Animated-ChC_USA_1200x628_CAN_PLATFORM_English_Free Account_Standard_ANI_SINU_T3_2</v></cell><cell r="AJ4520"><v>103180880</v></cell></row><row r="4521"><cell r="C4521" t="str"><v>43313FACEBOOK»USA-Trial-ITD-Retargeting-AZR-AZR»1 x 1»SocialBan»LIA»ALL»CPA»RT»X»NA»SS»NA»FreeAcctRetargetingFB-Credit-ChA»PRC1RV</v></cell><cell r="D4521" t="str"><v>43313224106075</v></cell><cell r="E4521" t="str"><v>43313103034917PRC1RV</v></cell><cell r="F4521" t="str"><v>DCM</v></cell><cell r="G4521" t="str"><v>https://azure.microsoft.com/en-us/free/search/?OCID=AID%eexcid!_OLA_%ebuy!_%epid!_%ecid!</v></cell></row><row r="4521"><cell r="K4521" t="str"><v>August</v></cell><cell r="L4521"><v>43316</v></cell><cell r="M4521" t="str"><v>Tier 0</v></cell><cell r="N4521" t="str"><v>North America</v></cell><cell r="O4521" t="str"><v>United States</v></cell><cell r="P4521" t="str"><v>Trial</v></cell><cell r="Q4521" t="str"><v>Social</v></cell><cell r="R4521" t="str"><v>Azure</v></cell><cell r="S4521" t="str"><v>Apps & Infra</v></cell><cell r="T4521" t="str"><v>Developers & ITI's</v></cell><cell r="U4521" t="str"><v>USA-Trial-ITD-Retargeting-AZR-AZR</v></cell><cell r="V4521" t="str"><v>Retargeting</v></cell><cell r="W4521" t="str"><v>Link Ad</v></cell><cell r="X4521" t="str"><v>1x1</v></cell></row><row r="4521"><cell r="AA4521"><v>43313</v></cell><cell r="AB4521" t="str"><v>USA_gaPMG_AZR_AZR_Q1_19_Direct-Social</v></cell><cell r="AC4521"><v>21358715</v></cell><cell r="AD4521"><v>720197</v></cell><cell r="AE4521" t="str"><v>Facebook</v></cell><cell r="AF4521"><v>3654128</v></cell><cell r="AG4521" t="str"><v>FACEBOOK»USA-Trial-ITD-Retargeting-AZR-AZR»1 x 1»SocialBan»LIA»ALL»CPA»RT»X»NA»SS»NA»FreeAcctRetargetingFB-Credit-ChA»PRC1RV</v></cell><cell r="AH4521"><v>224106075</v></cell><cell r="AI4521" t="str"><v>AzurePlatform_FreeAcctRetargetingFB-Credit-ChA_USA_1200x628_CAN_PLATFORM_English_Free Account_Standard_NA_SINU_T1_2</v></cell><cell r="AJ4521"><v>103034917</v></cell></row><row r="4522"><cell r="C4522" t="str"><v>43313FACEBOOK»USA-Trial-ITD-Retargeting-AZR-AZR»1 x 1»SocialBan»LIA»ALL»CPA»RT»X»NA»SS»NA»FreeAcctRetargetingFB-GlobalAlt-ChB»PRC1RW</v></cell><cell r="D4522" t="str"><v>43313223862756</v></cell><cell r="E4522" t="str"><v>43313103180592PRC1RW</v></cell><cell r="F4522" t="str"><v>DCM</v></cell><cell r="G4522" t="str"><v>https://azure.microsoft.com/en-us/free/search/?OCID=AID%eexcid!_OLA_%ebuy!_%epid!_%ecid!</v></cell></row><row r="4522"><cell r="K4522" t="str"><v>August</v></cell><cell r="L4522"><v>43316</v></cell><cell r="M4522" t="str"><v>Tier 0</v></cell><cell r="N4522" t="str"><v>North America</v></cell><cell r="O4522" t="str"><v>United States</v></cell><cell r="P4522" t="str"><v>Trial</v></cell><cell r="Q4522" t="str"><v>Social</v></cell><cell r="R4522" t="str"><v>Azure</v></cell><cell r="S4522" t="str"><v>Apps & Infra</v></cell><cell r="T4522" t="str"><v>Developers & ITI's</v></cell><cell r="U4522" t="str"><v>USA-Trial-ITD-Retargeting-AZR-AZR</v></cell><cell r="V4522" t="str"><v>Retargeting</v></cell><cell r="W4522" t="str"><v>Link Ad</v></cell><cell r="X4522" t="str"><v>1x1</v></cell></row><row r="4522"><cell r="AA4522"><v>43313</v></cell><cell r="AB4522" t="str"><v>USA_gaPMG_AZR_AZR_Q1_19_Direct-Social</v></cell><cell r="AC4522"><v>21358715</v></cell><cell r="AD4522"><v>720197</v></cell><cell r="AE4522" t="str"><v>Facebook</v></cell><cell r="AF4522"><v>3654128</v></cell><cell r="AG4522" t="str"><v>FACEBOOK»USA-Trial-ITD-Retargeting-AZR-AZR»1 x 1»SocialBan»LIA»ALL»CPA»RT»X»NA»SS»NA»FreeAcctRetargetingFB-GlobalAlt-ChB»PRC1RW</v></cell><cell r="AH4522"><v>223862756</v></cell><cell r="AI4522" t="str"><v>AzurePlatform_FreeAcctRetargetingFB-GlobalAlt-ChB_USA_1200x628_CAN_PLATFORM_English_Free Account_Standard_NA_SINU_T2_1</v></cell><cell r="AJ4522"><v>103180592</v></cell></row><row r="4523"><cell r="C4523" t="str"><v>43313FACEBOOK»USA-Trial-ITD-Retargeting-AZR-AZR»1 x 1»SocialBan»LIA»ALL»CPA»RT»X»NA»SS»NA»FreeAcctRetargetingVMFB-750Hrs-ChD»PRC1RY</v></cell><cell r="D4523" t="str"><v>43313223862747</v></cell><cell r="E4523" t="str"><v>43313103034911PRC1RY</v></cell><cell r="F4523" t="str"><v>DCM</v></cell><cell r="G4523" t="str"><v>https://azure.microsoft.com/en-us/free/virtual-machines/search/?OCID=AID%eexcid!_OLA_%ebuy!_%epid!_%ecid!</v></cell></row><row r="4523"><cell r="K4523" t="str"><v>August</v></cell><cell r="L4523"><v>43316</v></cell><cell r="M4523" t="str"><v>Tier 0</v></cell><cell r="N4523" t="str"><v>North America</v></cell><cell r="O4523" t="str"><v>United States</v></cell><cell r="P4523" t="str"><v>Trial</v></cell><cell r="Q4523" t="str"><v>Social</v></cell><cell r="R4523" t="str"><v>Azure</v></cell><cell r="S4523" t="str"><v>Apps & Infra</v></cell><cell r="T4523" t="str"><v>Developers & ITI's</v></cell><cell r="U4523" t="str"><v>USA-Trial-ITD-Retargeting-AZR-AZR</v></cell><cell r="V4523" t="str"><v>Retargeting</v></cell><cell r="W4523" t="str"><v>Link Ad</v></cell><cell r="X4523" t="str"><v>1x1</v></cell></row><row r="4523"><cell r="AA4523"><v>43313</v></cell><cell r="AB4523" t="str"><v>USA_gaPMG_AZR_AZR_Q1_19_Direct-Social</v></cell><cell r="AC4523"><v>21358715</v></cell><cell r="AD4523"><v>720197</v></cell><cell r="AE4523" t="str"><v>Facebook</v></cell><cell r="AF4523"><v>3654128</v></cell><cell r="AG4523" t="str"><v>FACEBOOK»USA-Trial-ITD-Retargeting-AZR-AZR»1 x 1»SocialBan»LIA»ALL»CPA»RT»X»NA»SS»NA»FreeAcctRetargetingVMFB-750Hrs-ChD»PRC1RY</v></cell><cell r="AH4523"><v>223862747</v></cell><cell r="AI4523" t="str"><v>AzurePlatform_FreeAcctRetargetingVMFB-750Hrs-ChD_USA_1200x628_CAN_PLATFORM_English_Free Account_Standard_NA_SINU_T1_1</v></cell><cell r="AJ4523"><v>103034911</v></cell></row><row r="4524"><cell r="C4524" t="str"><v>43313FACEBOOK»USA-Trial-ITD-Retargeting-AZR-AZR»1 x 1»SocialBan»LIA»ALL»CPA»RT»X»NA»SS»NA»FreeAcctRetargetingVMFB-OnDemand-ChE»PRC1S0</v></cell><cell r="D4524" t="str"><v>43313224104899</v></cell><cell r="E4524" t="str"><v>43313103180610PRC1S0</v></cell><cell r="F4524" t="str"><v>DCM</v></cell><cell r="G4524" t="str"><v>https://azure.microsoft.com/en-us/free/virtual-machines/search/?OCID=AID%eexcid!_OLA_%ebuy!_%epid!_%ecid!</v></cell></row><row r="4524"><cell r="K4524" t="str"><v>August</v></cell><cell r="L4524"><v>43316</v></cell><cell r="M4524" t="str"><v>Tier 0</v></cell><cell r="N4524" t="str"><v>North America</v></cell><cell r="O4524" t="str"><v>United States</v></cell><cell r="P4524" t="str"><v>Trial</v></cell><cell r="Q4524" t="str"><v>Social</v></cell><cell r="R4524" t="str"><v>Azure</v></cell><cell r="S4524" t="str"><v>Apps & Infra</v></cell><cell r="T4524" t="str"><v>Developers & ITI's</v></cell><cell r="U4524" t="str"><v>USA-Trial-ITD-Retargeting-AZR-AZR</v></cell><cell r="V4524" t="str"><v>Retargeting</v></cell><cell r="W4524" t="str"><v>Link Ad</v></cell><cell r="X4524" t="str"><v>1x1</v></cell></row><row r="4524"><cell r="AA4524"><v>43313</v></cell><cell r="AB4524" t="str"><v>USA_gaPMG_AZR_AZR_Q1_19_Direct-Social</v></cell><cell r="AC4524"><v>21358715</v></cell><cell r="AD4524"><v>720197</v></cell><cell r="AE4524" t="str"><v>Facebook</v></cell><cell r="AF4524"><v>3654128</v></cell><cell r="AG4524" t="str"><v>FACEBOOK»USA-Trial-ITD-Retargeting-AZR-AZR»1 x 1»SocialBan»LIA»ALL»CPA»RT»X»NA»SS»NA»FreeAcctRetargetingVMFB-OnDemand-ChE»PRC1S0</v></cell><cell r="AH4524"><v>224104899</v></cell><cell r="AI4524" t="str"><v>AzurePlatform_FreeAcctRetargetingVMFB-OnDemand-ChE_USA_1200x628_CAN_PLATFORM_English_Free Account_Standard_NA_SINU_T2_1</v></cell><cell r="AJ4524"><v>103180610</v></cell></row><row r="4525"><cell r="C4525" t="str"><v>43313FACEBOOK»USA-Trial-ITD-Retargeting-AZR-AZR»1 x 1»SocialBan»CAN»ALL»CPA»RT»X»NA»SS»NA»FBCTCBrandinMotion»PRC1RT</v></cell><cell r="D4525" t="str"><v>43313224106069</v></cell><cell r="E4525" t="str"><v>43313103176812PRC1RT</v></cell><cell r="F4525" t="str"><v>DCM</v></cell><cell r="G4525" t="str"><v>https://signup.azure.com/?OCID=AID%eexcid!_OLA_%ebuy!_%epid!_%ecid!</v></cell></row><row r="4525"><cell r="K4525" t="str"><v>August</v></cell><cell r="L4525"><v>43316</v></cell><cell r="M4525" t="str"><v>Tier 0</v></cell><cell r="N4525" t="str"><v>North America</v></cell><cell r="O4525" t="str"><v>United States</v></cell><cell r="P4525" t="str"><v>Trial</v></cell><cell r="Q4525" t="str"><v>Social</v></cell><cell r="R4525" t="str"><v>Azure</v></cell><cell r="S4525" t="str"><v>Apps & Infra</v></cell><cell r="T4525" t="str"><v>Developers & ITI's</v></cell><cell r="U4525" t="str"><v>USA-Trial-ITD-Retargeting-AZR-AZR</v></cell><cell r="V4525" t="str"><v>Retargeting</v></cell><cell r="W4525" t="str"><v>Canvas Ad</v></cell><cell r="X4525" t="str"><v>1x1</v></cell></row><row r="4525"><cell r="AA4525"><v>43313</v></cell><cell r="AB4525" t="str"><v>USA_gaPMG_AZR_AZR_Q1_19_Direct-Social</v></cell><cell r="AC4525"><v>21358715</v></cell><cell r="AD4525"><v>720197</v></cell><cell r="AE4525" t="str"><v>Facebook</v></cell><cell r="AF4525"><v>3654128</v></cell><cell r="AG4525" t="str"><v>FACEBOOK»USA-Trial-ITD-Retargeting-AZR-AZR»1 x 1»SocialBan»CAN»ALL»CPA»RT»X»NA»SS»NA»FBCTCBrandinMotion»PRC1RT</v></cell><cell r="AH4525"><v>224106069</v></cell><cell r="AI4525" t="str"><v>AzurePlatform_FBCTCBrandinMotion_USA_10s_CAN_PLATFORM_English_Trial_Standard_STAN_TIN_T2_1</v></cell><cell r="AJ4525"><v>103176812</v></cell></row><row r="4526"><cell r="C4526" t="str"><v>43313FACEBOOK»USA-Trial-ITD-Trial Lookalike-AZR-AZR»1 x 1»SocialBan»CAN»ALL»CPA»LAL»X»NA»SS»NA»FBCTCBenefit2inMotion»PRC1M0</v></cell><cell r="D4526" t="str"><v>43313223862927</v></cell><cell r="E4526" t="str"><v>43313103043835PRC1M0</v></cell><cell r="F4526" t="str"><v>DCM</v></cell><cell r="G4526" t="str"><v>https://signup.azure.com/?OCID=AID%eexcid!_OLA_%ebuy!_%epid!_%ecid!</v></cell></row><row r="4526"><cell r="K4526" t="str"><v>August</v></cell><cell r="L4526"><v>43316</v></cell><cell r="M4526" t="str"><v>Tier 0</v></cell><cell r="N4526" t="str"><v>North America</v></cell><cell r="O4526" t="str"><v>United States</v></cell><cell r="P4526" t="str"><v>Trial</v></cell><cell r="Q4526" t="str"><v>Social</v></cell><cell r="R4526" t="str"><v>Azure</v></cell><cell r="S4526" t="str"><v>Apps & Infra</v></cell><cell r="T4526" t="str"><v>Developers & ITI's</v></cell><cell r="U4526" t="str"><v>USA-Trial-ITD-Trial Lookalike-AZR-AZR</v></cell><cell r="V4526" t="str"><v>Lookalike Targeting</v></cell><cell r="W4526" t="str"><v>Canvas Ad</v></cell><cell r="X4526" t="str"><v>1x1</v></cell></row><row r="4526"><cell r="AA4526"><v>43313</v></cell><cell r="AB4526" t="str"><v>USA_gaPMG_AZR_AZR_Q1_19_Direct-Social</v></cell><cell r="AC4526"><v>21358715</v></cell><cell r="AD4526"><v>720197</v></cell><cell r="AE4526" t="str"><v>Facebook</v></cell><cell r="AF4526"><v>3654128</v></cell><cell r="AG4526" t="str"><v>FACEBOOK»USA-Trial-ITD-Trial Lookalike-AZR-AZR»1 x 1»SocialBan»CAN»ALL»CPA»LAL»X»NA»SS»NA»FBCTCBenefit2inMotion»PRC1M0</v></cell><cell r="AH4526"><v>223862927</v></cell><cell r="AI4526" t="str"><v>AzurePlatform_FBCTCBenefit2inMotion_USA_10s_CAN_PLATFORM_English_Trial_Standard_STAN_TIN_T4_1</v></cell><cell r="AJ4526"><v>103043835</v></cell></row><row r="4527"><cell r="C4527" t="str"><v>43313FACEBOOK»USA-Trial-ITD-Trial Lookalike-AZR-AZR»1 x 1»SocialBan»CAN»ALL»CPA»LAL»X»NA»SS»NA»FBCTCBenefit2inMotion»PRC1M0</v></cell><cell r="D4527" t="str"><v>43313223862927</v></cell><cell r="E4527" t="str"><v>43313103178645PRC1M0</v></cell><cell r="F4527" t="str"><v>DCM</v></cell><cell r="G4527" t="str"><v>https://azure.microsoft.com/en-us/pricing/purchase-options/?v=18.19&OCID=AID%eexcid!_OLA_%ebuy!_%epid!_%ecid!</v></cell></row><row r="4527"><cell r="K4527" t="str"><v>August</v></cell><cell r="L4527"><v>43316</v></cell><cell r="M4527" t="str"><v>Tier 0</v></cell><cell r="N4527" t="str"><v>North America</v></cell><cell r="O4527" t="str"><v>United States</v></cell><cell r="P4527" t="str"><v>Trial</v></cell><cell r="Q4527" t="str"><v>Social</v></cell><cell r="R4527" t="str"><v>Azure</v></cell><cell r="S4527" t="str"><v>Apps & Infra</v></cell><cell r="T4527" t="str"><v>Developers & ITI's</v></cell><cell r="U4527" t="str"><v>USA-Trial-ITD-Trial Lookalike-AZR-AZR</v></cell><cell r="V4527" t="str"><v>Lookalike Targeting</v></cell><cell r="W4527" t="str"><v>Canvas Ad</v></cell><cell r="X4527" t="str"><v>1x1</v></cell></row><row r="4527"><cell r="AA4527"><v>43313</v></cell><cell r="AB4527" t="str"><v>USA_gaPMG_AZR_AZR_Q1_19_Direct-Social</v></cell><cell r="AC4527"><v>21358715</v></cell><cell r="AD4527"><v>720197</v></cell><cell r="AE4527" t="str"><v>Facebook</v></cell><cell r="AF4527"><v>3654128</v></cell><cell r="AG4527" t="str"><v>FACEBOOK»USA-Trial-ITD-Trial Lookalike-AZR-AZR»1 x 1»SocialBan»CAN»ALL»CPA»LAL»X»NA»SS»NA»FBCTCBenefit2inMotion»PRC1M0</v></cell><cell r="AH4527"><v>223862927</v></cell><cell r="AI4527" t="str"><v>AzurePlatform_FBCTCBenefit2inMotion_USA_10s_CAN_PLATFORM_English_Trial_Standard_STAN_TIN_T4_2</v></cell><cell r="AJ4527"><v>103178645</v></cell></row><row r="4528"><cell r="C4528" t="str"><v>43313FACEBOOK»USA-Trial-ITD-Trial Lookalike-AZR-AZR»1 x 1»SocialBan»CAN»ALL»CPA»LAL»X»NA»SS»NA»FBCTCBenefitinMotion»PRC1M2</v></cell><cell r="D4528" t="str"><v>43313223862897</v></cell><cell r="E4528" t="str"><v>43313103032775PRC1M2</v></cell><cell r="F4528" t="str"><v>DCM</v></cell><cell r="G4528" t="str"><v>https://signup.azure.com/?OCID=AID%eexcid!_OLA_%ebuy!_%epid!_%ecid!</v></cell></row><row r="4528"><cell r="K4528" t="str"><v>August</v></cell><cell r="L4528"><v>43316</v></cell><cell r="M4528" t="str"><v>Tier 0</v></cell><cell r="N4528" t="str"><v>North America</v></cell><cell r="O4528" t="str"><v>United States</v></cell><cell r="P4528" t="str"><v>Trial</v></cell><cell r="Q4528" t="str"><v>Social</v></cell><cell r="R4528" t="str"><v>Azure</v></cell><cell r="S4528" t="str"><v>Apps & Infra</v></cell><cell r="T4528" t="str"><v>Developers & ITI's</v></cell><cell r="U4528" t="str"><v>USA-Trial-ITD-Trial Lookalike-AZR-AZR</v></cell><cell r="V4528" t="str"><v>Lookalike Targeting</v></cell><cell r="W4528" t="str"><v>Canvas Ad</v></cell><cell r="X4528" t="str"><v>1x1</v></cell></row><row r="4528"><cell r="AA4528"><v>43313</v></cell><cell r="AB4528" t="str"><v>USA_gaPMG_AZR_AZR_Q1_19_Direct-Social</v></cell><cell r="AC4528"><v>21358715</v></cell><cell r="AD4528"><v>720197</v></cell><cell r="AE4528" t="str"><v>Facebook</v></cell><cell r="AF4528"><v>3654128</v></cell><cell r="AG4528" t="str"><v>FACEBOOK»USA-Trial-ITD-Trial Lookalike-AZR-AZR»1 x 1»SocialBan»CAN»ALL»CPA»LAL»X»NA»SS»NA»FBCTCBenefitinMotion»PRC1M2</v></cell><cell r="AH4528"><v>223862897</v></cell><cell r="AI4528" t="str"><v>AzurePlatform_FBCTCBenefitinMotion_USA_10s_CAN_PLATFORM_English_Trial_Standard_STAN_TIN_T3_1</v></cell><cell r="AJ4528"><v>103032775</v></cell></row><row r="4529"><cell r="C4529" t="str"><v>43313FACEBOOK»USA-Trial-ITD-Trial Lookalike-AZR-AZR»1 x 1»SocialBan»LIA»ALL»CPA»LAL»X»NA»SS»NA»FreeAcctDeveloperFB-AnimatedAI-Ch3»PRC1M7</v></cell><cell r="D4529" t="str"><v>43313223934104</v></cell><cell r="E4529" t="str"><v>43313103032778PRC1M7</v></cell><cell r="F4529" t="str"><v>DCM</v></cell></row><row r="4529"><cell r="K4529" t="str"><v>August</v></cell><cell r="L4529"><v>43316</v></cell><cell r="M4529" t="str"><v>Tier 0</v></cell><cell r="N4529" t="str"><v>North America</v></cell><cell r="O4529" t="str"><v>United States</v></cell><cell r="P4529" t="str"><v>Trial</v></cell><cell r="Q4529" t="str"><v>Social</v></cell><cell r="R4529" t="str"><v>Azure</v></cell><cell r="S4529" t="str"><v>Apps & Infra</v></cell><cell r="T4529" t="str"><v>Developers & ITI's</v></cell><cell r="U4529" t="str"><v>USA-Trial-ITD-Trial Lookalike-AZR-AZR</v></cell><cell r="V4529" t="str"><v>Lookalike Targeting</v></cell><cell r="W4529" t="str"><v>Link Ad</v></cell><cell r="X4529" t="str"><v>1x1</v></cell></row><row r="4529"><cell r="AA4529"><v>43313</v></cell><cell r="AB4529" t="str"><v>USA_gaPMG_AZR_AZR_Q1_19_Direct-Social</v></cell><cell r="AC4529"><v>21358715</v></cell><cell r="AD4529"><v>720197</v></cell><cell r="AE4529" t="str"><v>Facebook</v></cell><cell r="AF4529"><v>3654128</v></cell><cell r="AG4529" t="str"><v>FACEBOOK»USA-Trial-ITD-Trial Lookalike-AZR-AZR»1 x 1»SocialBan»LIA»ALL»CPA»LAL»X»NA»SS»NA»FreeAcctDeveloperFB-AnimatedAI-Ch3»PRC1M7</v></cell><cell r="AH4529"><v>223934104</v></cell><cell r="AI4529" t="str"><v>AZR_FreeAcctDeveloperFB-AnimatedAI-Ch3_USA_1200x1200_CAN_Direct_English_Trial_Standard_ANI_LEA_T3_1</v></cell><cell r="AJ4529"><v>103032778</v></cell></row><row r="4530"><cell r="C4530" t="str"><v>43313FACEBOOK»USA-Trial-ITD-Trial Lookalike-AZR-AZR»1 x 1»SocialBan»LIA»ALL»CPA»LAL»X»NA»SS»NA»FreeAcctDeveloperFB-AnimatedData-Ch4»PRC1M8</v></cell><cell r="D4530" t="str"><v>43313223862933</v></cell><cell r="E4530" t="str"><v>43313103037935PRC1M8</v></cell><cell r="F4530" t="str"><v>DCM</v></cell></row><row r="4530"><cell r="K4530" t="str"><v>August</v></cell><cell r="L4530"><v>43316</v></cell><cell r="M4530" t="str"><v>Tier 0</v></cell><cell r="N4530" t="str"><v>North America</v></cell><cell r="O4530" t="str"><v>United States</v></cell><cell r="P4530" t="str"><v>Trial</v></cell><cell r="Q4530" t="str"><v>Social</v></cell><cell r="R4530" t="str"><v>Azure</v></cell><cell r="S4530" t="str"><v>Apps & Infra</v></cell><cell r="T4530" t="str"><v>Developers & ITI's</v></cell><cell r="U4530" t="str"><v>USA-Trial-ITD-Trial Lookalike-AZR-AZR</v></cell><cell r="V4530" t="str"><v>Lookalike Targeting</v></cell><cell r="W4530" t="str"><v>Link Ad</v></cell><cell r="X4530" t="str"><v>1x1</v></cell></row><row r="4530"><cell r="AA4530"><v>43313</v></cell><cell r="AB4530" t="str"><v>USA_gaPMG_AZR_AZR_Q1_19_Direct-Social</v></cell><cell r="AC4530"><v>21358715</v></cell><cell r="AD4530"><v>720197</v></cell><cell r="AE4530" t="str"><v>Facebook</v></cell><cell r="AF4530"><v>3654128</v></cell><cell r="AG4530" t="str"><v>FACEBOOK»USA-Trial-ITD-Trial Lookalike-AZR-AZR»1 x 1»SocialBan»LIA»ALL»CPA»LAL»X»NA»SS»NA»FreeAcctDeveloperFB-AnimatedData-Ch4»PRC1M8</v></cell><cell r="AH4530"><v>223862933</v></cell><cell r="AI4530" t="str"><v>AZR_FreeAcctDeveloperFB-AnimatedData-Ch4_USA_1200x1200_CAN_Direct_English_Trial_Standard_ANI_LEA_T4_2</v></cell><cell r="AJ4530"><v>103037935</v></cell></row><row r="4531"><cell r="C4531" t="str"><v>43313FACEBOOK»USA-Trial-ITD-Trial Lookalike-AZR-AZR»1 x 1»SocialBan»LIA»ALL»CPA»LAL»X»NA»SS»NA»FreeAcctITProFB-AnimatedHybrid-Ch2»PRC1MC</v></cell><cell r="D4531" t="str"><v>43313224104956</v></cell><cell r="E4531" t="str"><v>43313103180583PRC1MC</v></cell><cell r="F4531" t="str"><v>DCM</v></cell></row><row r="4531"><cell r="K4531" t="str"><v>August</v></cell><cell r="L4531"><v>43316</v></cell><cell r="M4531" t="str"><v>Tier 0</v></cell><cell r="N4531" t="str"><v>North America</v></cell><cell r="O4531" t="str"><v>United States</v></cell><cell r="P4531" t="str"><v>Trial</v></cell><cell r="Q4531" t="str"><v>Social</v></cell><cell r="R4531" t="str"><v>Azure</v></cell><cell r="S4531" t="str"><v>Apps & Infra</v></cell><cell r="T4531" t="str"><v>Developers & ITI's</v></cell><cell r="U4531" t="str"><v>USA-Trial-ITD-Trial Lookalike-AZR-AZR</v></cell><cell r="V4531" t="str"><v>Lookalike Targeting</v></cell><cell r="W4531" t="str"><v>Link Ad</v></cell><cell r="X4531" t="str"><v>1x1</v></cell></row><row r="4531"><cell r="AA4531"><v>43313</v></cell><cell r="AB4531" t="str"><v>USA_gaPMG_AZR_AZR_Q1_19_Direct-Social</v></cell><cell r="AC4531"><v>21358715</v></cell><cell r="AD4531"><v>720197</v></cell><cell r="AE4531" t="str"><v>Facebook</v></cell><cell r="AF4531"><v>3654128</v></cell><cell r="AG4531" t="str"><v>FACEBOOK»USA-Trial-ITD-Trial Lookalike-AZR-AZR»1 x 1»SocialBan»LIA»ALL»CPA»LAL»X»NA»SS»NA»FreeAcctITProFB-AnimatedHybrid-Ch2»PRC1MC</v></cell><cell r="AH4531"><v>224104956</v></cell><cell r="AI4531" t="str"><v>AZR_FreeAcctITProFB-AnimatedHybrid-Ch2_USA_1200x1200_CAN_Direct_English_Trial_Standard_ANI_LEA_T2_2</v></cell><cell r="AJ4531"><v>103180583</v></cell></row><row r="4532"><cell r="C4532" t="str"><v>43313FACEBOOK»USA-Trial-ITD-Trial Lookalike-AZR-AZR»1 x 1»SocialBan»CAN»ALL»CPA»LAL»X»NA»SS»NA»FBCTCBrandinMotion»PRC1M3</v></cell><cell r="D4532" t="str"><v>43313223862900</v></cell><cell r="E4532" t="str"><v>43313103176812PRC1M3</v></cell><cell r="F4532" t="str"><v>DCM</v></cell><cell r="G4532" t="str"><v>https://signup.azure.com/?OCID=AID%eexcid!_OLA_%ebuy!_%epid!_%ecid!</v></cell></row><row r="4532"><cell r="K4532" t="str"><v>August</v></cell><cell r="L4532"><v>43316</v></cell><cell r="M4532" t="str"><v>Tier 0</v></cell><cell r="N4532" t="str"><v>North America</v></cell><cell r="O4532" t="str"><v>United States</v></cell><cell r="P4532" t="str"><v>Trial</v></cell><cell r="Q4532" t="str"><v>Social</v></cell><cell r="R4532" t="str"><v>Azure</v></cell><cell r="S4532" t="str"><v>Apps & Infra</v></cell><cell r="T4532" t="str"><v>Developers & ITI's</v></cell><cell r="U4532" t="str"><v>USA-Trial-ITD-Trial Lookalike-AZR-AZR</v></cell><cell r="V4532" t="str"><v>Lookalike Targeting</v></cell><cell r="W4532" t="str"><v>Canvas Ad</v></cell><cell r="X4532" t="str"><v>1x1</v></cell></row><row r="4532"><cell r="AA4532"><v>43313</v></cell><cell r="AB4532" t="str"><v>USA_gaPMG_AZR_AZR_Q1_19_Direct-Social</v></cell><cell r="AC4532"><v>21358715</v></cell><cell r="AD4532"><v>720197</v></cell><cell r="AE4532" t="str"><v>Facebook</v></cell><cell r="AF4532"><v>3654128</v></cell><cell r="AG4532" t="str"><v>FACEBOOK»USA-Trial-ITD-Trial Lookalike-AZR-AZR»1 x 1»SocialBan»CAN»ALL»CPA»LAL»X»NA»SS»NA»FBCTCBrandinMotion»PRC1M3</v></cell><cell r="AH4532"><v>223862900</v></cell><cell r="AI4532" t="str"><v>AzurePlatform_FBCTCBrandinMotion_USA_10s_CAN_PLATFORM_English_Trial_Standard_STAN_TIN_T2_1</v></cell><cell r="AJ4532"><v>103176812</v></cell></row><row r="4533"><cell r="C4533" t="str"><v>43313FACEBOOK»USA-Trial-ITD-Trial Lookalike-AZR-AZR»1 x 1»SocialBan»CAN»ALL»CPA»LAL»X»NA»SS»NA»FBCTCBrandinMotion»PRC1M3</v></cell><cell r="D4533" t="str"><v>43313223862900</v></cell><cell r="E4533" t="str"><v>43313103032823PRC1M3</v></cell><cell r="F4533" t="str"><v>DCM</v></cell><cell r="G4533" t="str"><v>https://azure.microsoft.com/en-us/pricing/purchase-options/?v=18.19&OCID=AID%eexcid!_OLA_%ebuy!_%epid!_%ecid!</v></cell></row><row r="4533"><cell r="K4533" t="str"><v>August</v></cell><cell r="L4533"><v>43316</v></cell><cell r="M4533" t="str"><v>Tier 0</v></cell><cell r="N4533" t="str"><v>North America</v></cell><cell r="O4533" t="str"><v>United States</v></cell><cell r="P4533" t="str"><v>Trial</v></cell><cell r="Q4533" t="str"><v>Social</v></cell><cell r="R4533" t="str"><v>Azure</v></cell><cell r="S4533" t="str"><v>Apps & Infra</v></cell><cell r="T4533" t="str"><v>Developers & ITI's</v></cell><cell r="U4533" t="str"><v>USA-Trial-ITD-Trial Lookalike-AZR-AZR</v></cell><cell r="V4533" t="str"><v>Lookalike Targeting</v></cell><cell r="W4533" t="str"><v>Canvas Ad</v></cell><cell r="X4533" t="str"><v>1x1</v></cell></row><row r="4533"><cell r="AA4533"><v>43313</v></cell><cell r="AB4533" t="str"><v>USA_gaPMG_AZR_AZR_Q1_19_Direct-Social</v></cell><cell r="AC4533"><v>21358715</v></cell><cell r="AD4533"><v>720197</v></cell><cell r="AE4533" t="str"><v>Facebook</v></cell><cell r="AF4533"><v>3654128</v></cell><cell r="AG4533" t="str"><v>FACEBOOK»USA-Trial-ITD-Trial Lookalike-AZR-AZR»1 x 1»SocialBan»CAN»ALL»CPA»LAL»X»NA»SS»NA»FBCTCBrandinMotion»PRC1M3</v></cell><cell r="AH4533"><v>223862900</v></cell><cell r="AI4533" t="str"><v>AzurePlatform_FBCTCBrandinMotion_USA_10s_CAN_PLATFORM_English_Trial_Standard_STAN_TIN_T2_2</v></cell><cell r="AJ4533"><v>103032823</v></cell></row><row r="4534"><cell r="C4534" t="str"><v>43313FACEBOOK»USA-Trial-ITD-Trial PayGo Lookalike-AZR-AZR»1 x 1»SocialBan»CAN»ALL»CPA»LAL»X»NA»SS»NA»FBCTCBenefit2inMotion»PRC1Q1</v></cell><cell r="D4534" t="str"><v>43313224104986</v></cell><cell r="E4534" t="str"><v>43313103043835PRC1Q1</v></cell><cell r="F4534" t="str"><v>DCM</v></cell><cell r="G4534" t="str"><v>https://signup.azure.com/?OCID=AID%eexcid!_OLA_%ebuy!_%epid!_%ecid!</v></cell></row><row r="4534"><cell r="K4534" t="str"><v>August</v></cell><cell r="L4534"><v>43316</v></cell><cell r="M4534" t="str"><v>Tier 0</v></cell><cell r="N4534" t="str"><v>North America</v></cell><cell r="O4534" t="str"><v>United States</v></cell><cell r="P4534" t="str"><v>Trial</v></cell><cell r="Q4534" t="str"><v>Social</v></cell><cell r="R4534" t="str"><v>Azure</v></cell><cell r="S4534" t="str"><v>Apps & Infra</v></cell><cell r="T4534" t="str"><v>Developers & ITI's</v></cell><cell r="U4534" t="str"><v>USA-Trial-ITD-Trial PayGo Lookalike-AZR-AZR</v></cell><cell r="V4534" t="str"><v>Lookalike Targeting</v></cell><cell r="W4534" t="str"><v>Canvas Ad</v></cell><cell r="X4534" t="str"><v>1x1</v></cell></row><row r="4534"><cell r="AA4534"><v>43313</v></cell><cell r="AB4534" t="str"><v>USA_gaPMG_AZR_AZR_Q1_19_Direct-Social</v></cell><cell r="AC4534"><v>21358715</v></cell><cell r="AD4534"><v>720197</v></cell><cell r="AE4534" t="str"><v>Facebook</v></cell><cell r="AF4534"><v>3654128</v></cell><cell r="AG4534" t="str"><v>FACEBOOK»USA-Trial-ITD-Trial PayGo Lookalike-AZR-AZR»1 x 1»SocialBan»CAN»ALL»CPA»LAL»X»NA»SS»NA»FBCTCBenefit2inMotion»PRC1Q1</v></cell><cell r="AH4534"><v>224104986</v></cell><cell r="AI4534" t="str"><v>AzurePlatform_FBCTCBenefit2inMotion_USA_10s_CAN_PLATFORM_English_Trial_Standard_STAN_TIN_T4_1</v></cell><cell r="AJ4534"><v>103043835</v></cell></row><row r="4535"><cell r="C4535" t="str"><v>43313FACEBOOK»USA-Trial-ITD-Trial PayGo Lookalike-AZR-AZR»1 x 1»SocialBan»CAN»ALL»CPA»LAL»X»NA»SS»NA»FBCTCBrandinMotion»PRC1Q3</v></cell><cell r="D4535" t="str"><v>43313223935349</v></cell><cell r="E4535" t="str"><v>43313103176812PRC1Q3</v></cell><cell r="F4535" t="str"><v>DCM</v></cell><cell r="G4535" t="str"><v>https://signup.azure.com/?OCID=AID%eexcid!_OLA_%ebuy!_%epid!_%ecid!</v></cell></row><row r="4535"><cell r="K4535" t="str"><v>August</v></cell><cell r="L4535"><v>43316</v></cell><cell r="M4535" t="str"><v>Tier 0</v></cell><cell r="N4535" t="str"><v>North America</v></cell><cell r="O4535" t="str"><v>United States</v></cell><cell r="P4535" t="str"><v>Trial</v></cell><cell r="Q4535" t="str"><v>Social</v></cell><cell r="R4535" t="str"><v>Azure</v></cell><cell r="S4535" t="str"><v>Apps & Infra</v></cell><cell r="T4535" t="str"><v>Developers & ITI's</v></cell><cell r="U4535" t="str"><v>USA-Trial-ITD-Trial PayGo Lookalike-AZR-AZR</v></cell><cell r="V4535" t="str"><v>Lookalike Targeting</v></cell><cell r="W4535" t="str"><v>Canvas Ad</v></cell><cell r="X4535" t="str"><v>1x1</v></cell></row><row r="4535"><cell r="AA4535"><v>43313</v></cell><cell r="AB4535" t="str"><v>USA_gaPMG_AZR_AZR_Q1_19_Direct-Social</v></cell><cell r="AC4535"><v>21358715</v></cell><cell r="AD4535"><v>720197</v></cell><cell r="AE4535" t="str"><v>Facebook</v></cell><cell r="AF4535"><v>3654128</v></cell><cell r="AG4535" t="str"><v>FACEBOOK»USA-Trial-ITD-Trial PayGo Lookalike-AZR-AZR»1 x 1»SocialBan»CAN»ALL»CPA»LAL»X»NA»SS»NA»FBCTCBrandinMotion»PRC1Q3</v></cell><cell r="AH4535"><v>223935349</v></cell><cell r="AI4535" t="str"><v>AzurePlatform_FBCTCBrandinMotion_USA_10s_CAN_PLATFORM_English_Trial_Standard_STAN_TIN_T2_1</v></cell><cell r="AJ4535"><v>103176812</v></cell></row><row r="4536"><cell r="C4536" t="str"><v>43313FACEBOOK»USA-Trial-ITD-Trial PayGo Lookalike-AZR-AZR»1 x 1»SocialBan»LIA»ALL»CPA»LAL»X»NA»SS»NA»FreeAcctDeveloperFB-AnimatedGeneric-Ch1»PRC1Q6</v></cell><cell r="D4536" t="str"><v>43313224106129</v></cell><cell r="E4536" t="str"><v>43313103176851PRC1Q6</v></cell><cell r="F4536" t="str"><v>DCM</v></cell><cell r="G4536" t="str"><v>https://azure.microsoft.com/en-us/free/search/?OCID=AID%eexcid!_OLA_%ebuy!_%epid!_%ecid!</v></cell></row><row r="4536"><cell r="K4536" t="str"><v>August</v></cell><cell r="L4536"><v>43316</v></cell><cell r="M4536" t="str"><v>Tier 0</v></cell><cell r="N4536" t="str"><v>North America</v></cell><cell r="O4536" t="str"><v>United States</v></cell><cell r="P4536" t="str"><v>Trial</v></cell><cell r="Q4536" t="str"><v>Social</v></cell><cell r="R4536" t="str"><v>Azure</v></cell><cell r="S4536" t="str"><v>Apps & Infra</v></cell><cell r="T4536" t="str"><v>Developers & ITI's</v></cell><cell r="U4536" t="str"><v>USA-Trial-ITD-Trial PayGo Lookalike-AZR-AZR</v></cell><cell r="V4536" t="str"><v>Lookalike Targeting</v></cell><cell r="W4536" t="str"><v>Link Ad</v></cell><cell r="X4536" t="str"><v>1x1</v></cell></row><row r="4536"><cell r="AA4536"><v>43313</v></cell><cell r="AB4536" t="str"><v>USA_gaPMG_AZR_AZR_Q1_19_Direct-Social</v></cell><cell r="AC4536"><v>21358715</v></cell><cell r="AD4536"><v>720197</v></cell><cell r="AE4536" t="str"><v>Facebook</v></cell><cell r="AF4536"><v>3654128</v></cell><cell r="AG4536" t="str"><v>FACEBOOK»USA-Trial-ITD-Trial PayGo Lookalike-AZR-AZR»1 x 1»SocialBan»LIA»ALL»CPA»LAL»X»NA»SS»NA»FreeAcctDeveloperFB-AnimatedGeneric-Ch1»PRC1Q6</v></cell><cell r="AH4536"><v>224106129</v></cell><cell r="AI4536" t="str"><v>AZR_FreeAcctDeveloperFB-AnimatedGeneric-Ch1_USA_1200x1200_CAN_Direct_English_Trial_Standard_ANI_LEA_T1_2</v></cell><cell r="AJ4536"><v>103176851</v></cell></row><row r="4537"><cell r="C4537" t="str"><v>43313FACEBOOK»USA-Trial-ITD-Retargeting-AZR-AZR»1 x 1»SocialBan»CCA»ALL»CPA»RT»X»NA»SS»NA»Azure Developer Facebook Collections»PRSGY7</v></cell><cell r="D4537" t="str"><v>43313225283585</v></cell><cell r="E4537" t="str"><v>43313103773180PRSGY7</v></cell><cell r="F4537" t="str"><v>DCM</v></cell><cell r="G4537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537"><cell r="K4537" t="str"><v>August</v></cell><cell r="L4537"><v>43316</v></cell><cell r="M4537" t="str"><v>Tier 0</v></cell><cell r="N4537" t="str"><v>North America</v></cell><cell r="O4537" t="str"><v>United States</v></cell><cell r="P4537" t="str"><v>Trial</v></cell><cell r="Q4537" t="str"><v>Social</v></cell><cell r="R4537" t="str"><v>Azure</v></cell><cell r="S4537" t="str"><v>Apps & Infra</v></cell><cell r="T4537" t="str"><v>Developers & ITI's</v></cell><cell r="U4537" t="str"><v>USA-Trial-ITD-Retargeting-AZR-AZR</v></cell><cell r="V4537" t="str"><v>Retargeting</v></cell><cell r="W4537" t="str"><v>Canvas Collection Ad</v></cell><cell r="X4537" t="str"><v>1x1</v></cell></row><row r="4537"><cell r="AA4537"><v>43313</v></cell><cell r="AB4537" t="str"><v>USA_gaPMG_AZR_AZR_Q1_19_Direct-Social</v></cell><cell r="AC4537"><v>21358715</v></cell><cell r="AD4537"><v>720197</v></cell><cell r="AE4537" t="str"><v>Facebook</v></cell><cell r="AF4537"><v>3654128</v></cell><cell r="AG4537" t="str"><v>FACEBOOK»USA-Trial-ITD-Retargeting-AZR-AZR»1 x 1»SocialBan»CCA»ALL»CPA»RT»X»NA»SS»NA»Azure Developer Facebook Collections»PRSGY7</v></cell><cell r="AH4537"><v>225283585</v></cell><cell r="AI4537" t="str"><v>AZR_FBCollections-SmartDataTryAzureFreeCTA-Img4_USA_1200x182_SOC_Plat_EN_NA_Standard_NA_TIN_T1_4</v></cell><cell r="AJ4537"><v>103773180</v></cell></row><row r="4538"><cell r="C4538" t="str"><v>43313FACEBOOK»USA-Trial-ITD-Interest Prospecting-AZR-AZR»1 x 1»SocialBan»LIA»ALL»CPA»PRO»X»NA»SS»NA»FreeAcctDeveloperFB-AnimatedAI-Ch3»PRC1T2</v></cell><cell r="D4538" t="str"><v>43313223862765</v></cell><cell r="E4538" t="str"><v>43313103032778PRC1T2</v></cell><cell r="F4538" t="str"><v>DCM</v></cell></row><row r="4538"><cell r="K4538" t="str"><v>August</v></cell><cell r="L4538"><v>43316</v></cell><cell r="M4538" t="str"><v>Tier 0</v></cell><cell r="N4538" t="str"><v>North America</v></cell><cell r="O4538" t="str"><v>United States</v></cell><cell r="P4538" t="str"><v>Trial</v></cell><cell r="Q4538" t="str"><v>Social</v></cell><cell r="R4538" t="str"><v>Azure</v></cell><cell r="S4538" t="str"><v>Apps & Infra</v></cell><cell r="T4538" t="str"><v>Developers & ITI's</v></cell><cell r="U4538" t="str"><v>USA-Trial-ITD-Interest Prospecting-AZR-AZR</v></cell><cell r="V4538" t="str"><v>Prospecting</v></cell><cell r="W4538" t="str"><v>Link Ad</v></cell><cell r="X4538" t="str"><v>1x1</v></cell></row><row r="4538"><cell r="AA4538"><v>43313</v></cell><cell r="AB4538" t="str"><v>USA_gaPMG_AZR_AZR_Q1_19_Direct-Social</v></cell><cell r="AC4538"><v>21358715</v></cell><cell r="AD4538"><v>720197</v></cell><cell r="AE4538" t="str"><v>Facebook</v></cell><cell r="AF4538"><v>3654128</v></cell><cell r="AG4538" t="str"><v>FACEBOOK»USA-Trial-ITD-Interest Prospecting-AZR-AZR»1 x 1»SocialBan»LIA»ALL»CPA»PRO»X»NA»SS»NA»FreeAcctDeveloperFB-AnimatedAI-Ch3»PRC1T2</v></cell><cell r="AH4538"><v>223862765</v></cell><cell r="AI4538" t="str"><v>AZR_FreeAcctDeveloperFB-AnimatedAI-Ch3_USA_1200x1200_CAN_Direct_English_Trial_Standard_ANI_LEA_T3_1</v></cell><cell r="AJ4538"><v>103032778</v></cell></row><row r="4539"><cell r="C4539" t="str"><v>43313FACEBOOK»USA-Trial-ITD-Interest Prospecting-AZR-AZR»1 x 1»SocialBan»LIA»ALL»CPA»PRO»X»NA»SS»NA»FreeAcctDeveloperFB-AnimatedData-Ch4»PRC1T3</v></cell><cell r="D4539" t="str"><v>43313223863380</v></cell><cell r="E4539" t="str"><v>43313103037935PRC1T3</v></cell><cell r="F4539" t="str"><v>DCM</v></cell></row><row r="4539"><cell r="K4539" t="str"><v>August</v></cell><cell r="L4539"><v>43316</v></cell><cell r="M4539" t="str"><v>Tier 0</v></cell><cell r="N4539" t="str"><v>North America</v></cell><cell r="O4539" t="str"><v>United States</v></cell><cell r="P4539" t="str"><v>Trial</v></cell><cell r="Q4539" t="str"><v>Social</v></cell><cell r="R4539" t="str"><v>Azure</v></cell><cell r="S4539" t="str"><v>Apps & Infra</v></cell><cell r="T4539" t="str"><v>Developers & ITI's</v></cell><cell r="U4539" t="str"><v>USA-Trial-ITD-Interest Prospecting-AZR-AZR</v></cell><cell r="V4539" t="str"><v>Prospecting</v></cell><cell r="W4539" t="str"><v>Link Ad</v></cell><cell r="X4539" t="str"><v>1x1</v></cell></row><row r="4539"><cell r="AA4539"><v>43313</v></cell><cell r="AB4539" t="str"><v>USA_gaPMG_AZR_AZR_Q1_19_Direct-Social</v></cell><cell r="AC4539"><v>21358715</v></cell><cell r="AD4539"><v>720197</v></cell><cell r="AE4539" t="str"><v>Facebook</v></cell><cell r="AF4539"><v>3654128</v></cell><cell r="AG4539" t="str"><v>FACEBOOK»USA-Trial-ITD-Interest Prospecting-AZR-AZR»1 x 1»SocialBan»LIA»ALL»CPA»PRO»X»NA»SS»NA»FreeAcctDeveloperFB-AnimatedData-Ch4»PRC1T3</v></cell><cell r="AH4539"><v>223863380</v></cell><cell r="AI4539" t="str"><v>AZR_FreeAcctDeveloperFB-AnimatedData-Ch4_USA_1200x1200_CAN_Direct_English_Trial_Standard_ANI_LEA_T4_2</v></cell><cell r="AJ4539"><v>103037935</v></cell></row><row r="4540"><cell r="C4540" t="str"><v>43313FACEBOOK»USA-Trial-ITD-Interest Prospecting-AZR-AZR»1 x 1»SocialBan»LIA»ALL»CPA»PRO»X»NA»SS»NA»FreeAcctDeveloperFB-AnimatedOpenSource-Ch2»PRC1T1</v></cell><cell r="D4540" t="str"><v>43313223862885</v></cell><cell r="E4540" t="str"><v>43313103048329PRC1T1</v></cell><cell r="F4540" t="str"><v>DCM</v></cell><cell r="G4540" t="str"><v>https://azure.microsoft.com/en-us/free/open-source/search/?OCID=AID%eexcid!_OLA_%ebuy!_%epid!_%ecid!</v></cell></row><row r="4540"><cell r="K4540" t="str"><v>August</v></cell><cell r="L4540"><v>43316</v></cell><cell r="M4540" t="str"><v>Tier 0</v></cell><cell r="N4540" t="str"><v>North America</v></cell><cell r="O4540" t="str"><v>United States</v></cell><cell r="P4540" t="str"><v>Trial</v></cell><cell r="Q4540" t="str"><v>Social</v></cell><cell r="R4540" t="str"><v>Azure</v></cell><cell r="S4540" t="str"><v>Apps & Infra</v></cell><cell r="T4540" t="str"><v>Developers & ITI's</v></cell><cell r="U4540" t="str"><v>USA-Trial-ITD-Interest Prospecting-AZR-AZR</v></cell><cell r="V4540" t="str"><v>Prospecting</v></cell><cell r="W4540" t="str"><v>Link Ad</v></cell><cell r="X4540" t="str"><v>1x1</v></cell></row><row r="4540"><cell r="AA4540"><v>43313</v></cell><cell r="AB4540" t="str"><v>USA_gaPMG_AZR_AZR_Q1_19_Direct-Social</v></cell><cell r="AC4540"><v>21358715</v></cell><cell r="AD4540"><v>720197</v></cell><cell r="AE4540" t="str"><v>Facebook</v></cell><cell r="AF4540"><v>3654128</v></cell><cell r="AG4540" t="str"><v>FACEBOOK»USA-Trial-ITD-Interest Prospecting-AZR-AZR»1 x 1»SocialBan»LIA»ALL»CPA»PRO»X»NA»SS»NA»FreeAcctDeveloperFB-AnimatedOpenSource-Ch2»PRC1T1</v></cell><cell r="AH4540"><v>223862885</v></cell><cell r="AI4540" t="str"><v>AZR_FreeAcctDeveloperFB-AnimatedOpenSource-Ch2_USA_1200x1200_CAN_Direct_English_Trial_Standard_ANI_LEA_T2_1</v></cell><cell r="AJ4540"><v>103048329</v></cell></row><row r="4541"><cell r="C4541" t="str"><v>43313FACEBOOK»USA-Trial-ITD-Retargeting-AZR-AZR»1 x 1»SocialBan»LIA»ALL»CPA»RT»X»NA»SS»NA»FreeAcctDeveloperFB-AnimatedGeneric-Ch1»PRC26D</v></cell><cell r="D4541" t="str"><v>43313223862870</v></cell><cell r="E4541" t="str"><v>43313103176851PRC26D</v></cell><cell r="F4541" t="str"><v>DCM</v></cell><cell r="G4541" t="str"><v>https://azure.microsoft.com/en-us/free/search/?OCID=AID%eexcid!_OLA_%ebuy!_%epid!_%ecid!</v></cell></row><row r="4541"><cell r="K4541" t="str"><v>August</v></cell><cell r="L4541"><v>43316</v></cell><cell r="M4541" t="str"><v>Tier 0</v></cell><cell r="N4541" t="str"><v>North America</v></cell><cell r="O4541" t="str"><v>United States</v></cell><cell r="P4541" t="str"><v>Trial</v></cell><cell r="Q4541" t="str"><v>Social</v></cell><cell r="R4541" t="str"><v>Azure</v></cell><cell r="S4541" t="str"><v>Apps & Infra</v></cell><cell r="T4541" t="str"><v>Developers & ITI's</v></cell><cell r="U4541" t="str"><v>USA-Trial-ITD-Retargeting-AZR-AZR</v></cell><cell r="V4541" t="str"><v>Retargeting</v></cell><cell r="W4541" t="str"><v>Link Ad</v></cell><cell r="X4541" t="str"><v>1x1</v></cell></row><row r="4541"><cell r="AA4541"><v>43313</v></cell><cell r="AB4541" t="str"><v>USA_gaPMG_AZR_AZR_Q1_19_Direct-Social</v></cell><cell r="AC4541"><v>21358715</v></cell><cell r="AD4541"><v>720197</v></cell><cell r="AE4541" t="str"><v>Facebook</v></cell><cell r="AF4541"><v>3654128</v></cell><cell r="AG4541" t="str"><v>FACEBOOK»USA-Trial-ITD-Retargeting-AZR-AZR»1 x 1»SocialBan»LIA»ALL»CPA»RT»X»NA»SS»NA»FreeAcctDeveloperFB-AnimatedGeneric-Ch1»PRC26D</v></cell><cell r="AH4541"><v>223862870</v></cell><cell r="AI4541" t="str"><v>AZR_FreeAcctDeveloperFB-AnimatedGeneric-Ch1_USA_1200x1200_CAN_Direct_English_Trial_Standard_ANI_LEA_T1_2</v></cell><cell r="AJ4541"><v>103176851</v></cell></row><row r="4542"><cell r="C4542" t="str"><v>43313FACEBOOK»USA-Trial-ITD-Retargeting-AZR-AZR»1 x 1»SocialBan»LIA»ALL»CPA»RT»X»NA»SS»NA»FreeAcctRetargetingOSSFB-Logos-ChG»PRC1S2</v></cell><cell r="D4542" t="str"><v>43313224106063</v></cell><cell r="E4542" t="str"><v>43313103176008PRC1S2</v></cell><cell r="F4542" t="str"><v>DCM</v></cell><cell r="G4542" t="str"><v>https://azure.microsoft.com/en-us/free/open-source/search/?OCID=AID%eexcid!_OLA_%ebuy!_%epid!_%ecid!</v></cell></row><row r="4542"><cell r="K4542" t="str"><v>August</v></cell><cell r="L4542"><v>43316</v></cell><cell r="M4542" t="str"><v>Tier 0</v></cell><cell r="N4542" t="str"><v>North America</v></cell><cell r="O4542" t="str"><v>United States</v></cell><cell r="P4542" t="str"><v>Trial</v></cell><cell r="Q4542" t="str"><v>Social</v></cell><cell r="R4542" t="str"><v>Azure</v></cell><cell r="S4542" t="str"><v>Apps & Infra</v></cell><cell r="T4542" t="str"><v>Developers & ITI's</v></cell><cell r="U4542" t="str"><v>USA-Trial-ITD-Retargeting-AZR-AZR</v></cell><cell r="V4542" t="str"><v>Retargeting</v></cell><cell r="W4542" t="str"><v>Link Ad</v></cell><cell r="X4542" t="str"><v>1x1</v></cell></row><row r="4542"><cell r="AA4542"><v>43313</v></cell><cell r="AB4542" t="str"><v>USA_gaPMG_AZR_AZR_Q1_19_Direct-Social</v></cell><cell r="AC4542"><v>21358715</v></cell><cell r="AD4542"><v>720197</v></cell><cell r="AE4542" t="str"><v>Facebook</v></cell><cell r="AF4542"><v>3654128</v></cell><cell r="AG4542" t="str"><v>FACEBOOK»USA-Trial-ITD-Retargeting-AZR-AZR»1 x 1»SocialBan»LIA»ALL»CPA»RT»X»NA»SS»NA»FreeAcctRetargetingOSSFB-Logos-ChG»PRC1S2</v></cell><cell r="AH4542"><v>224106063</v></cell><cell r="AI4542" t="str"><v>AzurePlatform_FreeAcctRetargetingOSSFB-Logos-ChG_USA_1200x628_CAN_PLATFORM_English_Free Account_Standard_NA_SINU_T2_1</v></cell><cell r="AJ4542"><v>103176008</v></cell></row><row r="4543"><cell r="C4543" t="str"><v>43313FACEBOOK»USA-Trial-ITD-Retargeting-AZR-AZR»1 x 1»SocialBan»LIA»ALL»CPA»RT»X»NA»SS»NA»FreeAcctRetargetingOSSFB-Text-ChF»PRC1S1</v></cell><cell r="D4543" t="str"><v>43313223862753</v></cell><cell r="E4543" t="str"><v>43313103176869PRC1S1</v></cell><cell r="F4543" t="str"><v>DCM</v></cell><cell r="G4543" t="str"><v>https://azure.microsoft.com/en-us/free/open-source/search/?OCID=AID%eexcid!_OLA_%ebuy!_%epid!_%ecid!</v></cell></row><row r="4543"><cell r="K4543" t="str"><v>August</v></cell><cell r="L4543"><v>43316</v></cell><cell r="M4543" t="str"><v>Tier 0</v></cell><cell r="N4543" t="str"><v>North America</v></cell><cell r="O4543" t="str"><v>United States</v></cell><cell r="P4543" t="str"><v>Trial</v></cell><cell r="Q4543" t="str"><v>Social</v></cell><cell r="R4543" t="str"><v>Azure</v></cell><cell r="S4543" t="str"><v>Apps & Infra</v></cell><cell r="T4543" t="str"><v>Developers & ITI's</v></cell><cell r="U4543" t="str"><v>USA-Trial-ITD-Retargeting-AZR-AZR</v></cell><cell r="V4543" t="str"><v>Retargeting</v></cell><cell r="W4543" t="str"><v>Link Ad</v></cell><cell r="X4543" t="str"><v>1x1</v></cell></row><row r="4543"><cell r="AA4543"><v>43313</v></cell><cell r="AB4543" t="str"><v>USA_gaPMG_AZR_AZR_Q1_19_Direct-Social</v></cell><cell r="AC4543"><v>21358715</v></cell><cell r="AD4543"><v>720197</v></cell><cell r="AE4543" t="str"><v>Facebook</v></cell><cell r="AF4543"><v>3654128</v></cell><cell r="AG4543" t="str"><v>FACEBOOK»USA-Trial-ITD-Retargeting-AZR-AZR»1 x 1»SocialBan»LIA»ALL»CPA»RT»X»NA»SS»NA»FreeAcctRetargetingOSSFB-Text-ChF»PRC1S1</v></cell><cell r="AH4543"><v>223862753</v></cell><cell r="AI4543" t="str"><v>AzurePlatform_FreeAcctRetargetingOSSFB-Text-ChF_USA_1200x628_CAN_PLATFORM_English_Free Account_Standard_NA_SINU_T1_2</v></cell><cell r="AJ4543"><v>103176869</v></cell></row><row r="4544"><cell r="C4544" t="str"><v>43313FACEBOOK»USA-Trial-ITD-Trial Lookalike-AZR-AZR»1 x 1»SocialBan»LIA»ALL»CPA»LAL»X»NA»SS»NA»FreeAcctDeveloperFB-AnimatedGeneric-Ch1»PRC1M4</v></cell><cell r="D4544" t="str"><v>43313224104941</v></cell><cell r="E4544" t="str"><v>43313103176851PRC1M4</v></cell><cell r="F4544" t="str"><v>DCM</v></cell><cell r="G4544" t="str"><v>https://azure.microsoft.com/en-us/free/search/?OCID=AID%eexcid!_OLA_%ebuy!_%epid!_%ecid!</v></cell></row><row r="4544"><cell r="K4544" t="str"><v>August</v></cell><cell r="L4544"><v>43316</v></cell><cell r="M4544" t="str"><v>Tier 0</v></cell><cell r="N4544" t="str"><v>North America</v></cell><cell r="O4544" t="str"><v>United States</v></cell><cell r="P4544" t="str"><v>Trial</v></cell><cell r="Q4544" t="str"><v>Social</v></cell><cell r="R4544" t="str"><v>Azure</v></cell><cell r="S4544" t="str"><v>Apps & Infra</v></cell><cell r="T4544" t="str"><v>Developers & ITI's</v></cell><cell r="U4544" t="str"><v>USA-Trial-ITD-Trial Lookalike-AZR-AZR</v></cell><cell r="V4544" t="str"><v>Lookalike Targeting</v></cell><cell r="W4544" t="str"><v>Link Ad</v></cell><cell r="X4544" t="str"><v>1x1</v></cell></row><row r="4544"><cell r="AA4544"><v>43313</v></cell><cell r="AB4544" t="str"><v>USA_gaPMG_AZR_AZR_Q1_19_Direct-Social</v></cell><cell r="AC4544"><v>21358715</v></cell><cell r="AD4544"><v>720197</v></cell><cell r="AE4544" t="str"><v>Facebook</v></cell><cell r="AF4544"><v>3654128</v></cell><cell r="AG4544" t="str"><v>FACEBOOK»USA-Trial-ITD-Trial Lookalike-AZR-AZR»1 x 1»SocialBan»LIA»ALL»CPA»LAL»X»NA»SS»NA»FreeAcctDeveloperFB-AnimatedGeneric-Ch1»PRC1M4</v></cell><cell r="AH4544"><v>224104941</v></cell><cell r="AI4544" t="str"><v>AZR_FreeAcctDeveloperFB-AnimatedGeneric-Ch1_USA_1200x1200_CAN_Direct_English_Trial_Standard_ANI_LEA_T1_2</v></cell><cell r="AJ4544"><v>103176851</v></cell></row><row r="4545"><cell r="C4545" t="str"><v>43313FACEBOOK»USA-Trial-ITD-Trial Lookalike-AZR-AZR»1 x 1»SocialBan»LIA»ALL»CPA»LAL»X»NA»SS»NA»FreeAcctDeveloperFB-AnimatedOpenSource-Ch2»PRC1M6</v></cell><cell r="D4545" t="str"><v>43313223935628</v></cell><cell r="E4545" t="str"><v>43313103048329PRC1M6</v></cell><cell r="F4545" t="str"><v>DCM</v></cell><cell r="G4545" t="str"><v>https://azure.microsoft.com/en-us/free/open-source/search/?OCID=AID%eexcid!_OLA_%ebuy!_%epid!_%ecid!</v></cell></row><row r="4545"><cell r="K4545" t="str"><v>August</v></cell><cell r="L4545"><v>43316</v></cell><cell r="M4545" t="str"><v>Tier 0</v></cell><cell r="N4545" t="str"><v>North America</v></cell><cell r="O4545" t="str"><v>United States</v></cell><cell r="P4545" t="str"><v>Trial</v></cell><cell r="Q4545" t="str"><v>Social</v></cell><cell r="R4545" t="str"><v>Azure</v></cell><cell r="S4545" t="str"><v>Apps & Infra</v></cell><cell r="T4545" t="str"><v>Developers & ITI's</v></cell><cell r="U4545" t="str"><v>USA-Trial-ITD-Trial Lookalike-AZR-AZR</v></cell><cell r="V4545" t="str"><v>Lookalike Targeting</v></cell><cell r="W4545" t="str"><v>Link Ad</v></cell><cell r="X4545" t="str"><v>1x1</v></cell></row><row r="4545"><cell r="AA4545"><v>43313</v></cell><cell r="AB4545" t="str"><v>USA_gaPMG_AZR_AZR_Q1_19_Direct-Social</v></cell><cell r="AC4545"><v>21358715</v></cell><cell r="AD4545"><v>720197</v></cell><cell r="AE4545" t="str"><v>Facebook</v></cell><cell r="AF4545"><v>3654128</v></cell><cell r="AG4545" t="str"><v>FACEBOOK»USA-Trial-ITD-Trial Lookalike-AZR-AZR»1 x 1»SocialBan»LIA»ALL»CPA»LAL»X»NA»SS»NA»FreeAcctDeveloperFB-AnimatedOpenSource-Ch2»PRC1M6</v></cell><cell r="AH4545"><v>223935628</v></cell><cell r="AI4545" t="str"><v>AZR_FreeAcctDeveloperFB-AnimatedOpenSource-Ch2_USA_1200x1200_CAN_Direct_English_Trial_Standard_ANI_LEA_T2_1</v></cell><cell r="AJ4545"><v>103048329</v></cell></row><row r="4546"><cell r="C4546" t="str"><v>43313FACEBOOK»USA-Trial-ITD-Trial Lookalike-AZR-AZR»1 x 1»SocialBan»LIA»ALL»CPA»LAL»X»NA»SS»NA»FreeAcctITProFB-AnimatedMigration-Ch3»PRC23N</v></cell><cell r="D4546" t="str"><v>43313223935637</v></cell><cell r="E4546" t="str"><v>43313103176827PRC23N</v></cell><cell r="F4546" t="str"><v>DCM</v></cell></row><row r="4546"><cell r="K4546" t="str"><v>August</v></cell><cell r="L4546"><v>43316</v></cell><cell r="M4546" t="str"><v>Tier 0</v></cell><cell r="N4546" t="str"><v>North America</v></cell><cell r="O4546" t="str"><v>United States</v></cell><cell r="P4546" t="str"><v>Trial</v></cell><cell r="Q4546" t="str"><v>Social</v></cell><cell r="R4546" t="str"><v>Azure</v></cell><cell r="S4546" t="str"><v>Apps & Infra</v></cell><cell r="T4546" t="str"><v>Developers & ITI's</v></cell><cell r="U4546" t="str"><v>USA-Trial-ITD-Trial Lookalike-AZR-AZR</v></cell><cell r="V4546" t="str"><v>Lookalike Targeting</v></cell><cell r="W4546" t="str"><v>Link Ad</v></cell><cell r="X4546" t="str"><v>1x1</v></cell></row><row r="4546"><cell r="AA4546"><v>43313</v></cell><cell r="AB4546" t="str"><v>USA_gaPMG_AZR_AZR_Q1_19_Direct-Social</v></cell><cell r="AC4546"><v>21358715</v></cell><cell r="AD4546"><v>720197</v></cell><cell r="AE4546" t="str"><v>Facebook</v></cell><cell r="AF4546"><v>3654128</v></cell><cell r="AG4546" t="str"><v>FACEBOOK»USA-Trial-ITD-Trial Lookalike-AZR-AZR»1 x 1»SocialBan»LIA»ALL»CPA»LAL»X»NA»SS»NA»FreeAcctITProFB-AnimatedMigration-Ch3»PRC23N</v></cell><cell r="AH4546"><v>223935637</v></cell><cell r="AI4546" t="str"><v>AZR_FreeAcctITProFB-AnimatedMigration-Ch3_USA_1200x1200_CAN_Direct_English_Trial_Standard_ANI_LEA_T3_1</v></cell><cell r="AJ4546"><v>103176827</v></cell></row><row r="4547"><cell r="C4547" t="str"><v>43313FACEBOOK»USA-Trial-ITD-Trial Lookalike-AZR-AZR»1 x 1»SocialBan»LIA»ALL»CPA»LAL»X»NA»SS»NA»FreeAcctITProFB-AnimatedSecureMngd-Ch1»PRC1M9</v></cell><cell r="D4547" t="str"><v>43313224104959</v></cell><cell r="E4547" t="str"><v>43313103176830PRC1M9</v></cell><cell r="F4547" t="str"><v>DCM</v></cell></row><row r="4547"><cell r="K4547" t="str"><v>August</v></cell><cell r="L4547"><v>43316</v></cell><cell r="M4547" t="str"><v>Tier 0</v></cell><cell r="N4547" t="str"><v>North America</v></cell><cell r="O4547" t="str"><v>United States</v></cell><cell r="P4547" t="str"><v>Trial</v></cell><cell r="Q4547" t="str"><v>Social</v></cell><cell r="R4547" t="str"><v>Azure</v></cell><cell r="S4547" t="str"><v>Apps & Infra</v></cell><cell r="T4547" t="str"><v>Developers & ITI's</v></cell><cell r="U4547" t="str"><v>USA-Trial-ITD-Trial Lookalike-AZR-AZR</v></cell><cell r="V4547" t="str"><v>Lookalike Targeting</v></cell><cell r="W4547" t="str"><v>Link Ad</v></cell><cell r="X4547" t="str"><v>1x1</v></cell></row><row r="4547"><cell r="AA4547"><v>43313</v></cell><cell r="AB4547" t="str"><v>USA_gaPMG_AZR_AZR_Q1_19_Direct-Social</v></cell><cell r="AC4547"><v>21358715</v></cell><cell r="AD4547"><v>720197</v></cell><cell r="AE4547" t="str"><v>Facebook</v></cell><cell r="AF4547"><v>3654128</v></cell><cell r="AG4547" t="str"><v>FACEBOOK»USA-Trial-ITD-Trial Lookalike-AZR-AZR»1 x 1»SocialBan»LIA»ALL»CPA»LAL»X»NA»SS»NA»FreeAcctITProFB-AnimatedSecureMngd-Ch1»PRC1M9</v></cell><cell r="AH4547"><v>224104959</v></cell><cell r="AI4547" t="str"><v>AZR_FreeAcctITProFB-AnimatedSecureMngd-Ch1_USA_1200x1200_CAN_Direct_English_Trial_Standard_ANI_LEA_T1_1</v></cell><cell r="AJ4547"><v>103176830</v></cell></row><row r="4548"><cell r="C4548" t="str"><v>43313FACEBOOK»USA-Trial-ITD-Trial Lookalike-AZR-AZR»1 x 1»SocialBan»CAN»ALL»CPA»LAL»X»NA»SS»NA»FBCTCBasicMotion»PRC1LZ</v></cell><cell r="D4548" t="str"><v>43313223862915</v></cell><cell r="E4548" t="str"><v>43313103043823PRC1LZ</v></cell><cell r="F4548" t="str"><v>DCM</v></cell><cell r="G4548" t="str"><v>https://signup.azure.com/?OCID=AID%eexcid!_OLA_%ebuy!_%epid!_%ecid!</v></cell></row><row r="4548"><cell r="K4548" t="str"><v>August</v></cell><cell r="L4548"><v>43316</v></cell><cell r="M4548" t="str"><v>Tier 0</v></cell><cell r="N4548" t="str"><v>North America</v></cell><cell r="O4548" t="str"><v>United States</v></cell><cell r="P4548" t="str"><v>Trial</v></cell><cell r="Q4548" t="str"><v>Social</v></cell><cell r="R4548" t="str"><v>Azure</v></cell><cell r="S4548" t="str"><v>Apps & Infra</v></cell><cell r="T4548" t="str"><v>Developers & ITI's</v></cell><cell r="U4548" t="str"><v>USA-Trial-ITD-Trial Lookalike-AZR-AZR</v></cell><cell r="V4548" t="str"><v>Lookalike Targeting</v></cell><cell r="W4548" t="str"><v>Canvas Ad</v></cell><cell r="X4548" t="str"><v>1x1</v></cell></row><row r="4548"><cell r="AA4548"><v>43313</v></cell><cell r="AB4548" t="str"><v>USA_gaPMG_AZR_AZR_Q1_19_Direct-Social</v></cell><cell r="AC4548"><v>21358715</v></cell><cell r="AD4548"><v>720197</v></cell><cell r="AE4548" t="str"><v>Facebook</v></cell><cell r="AF4548"><v>3654128</v></cell><cell r="AG4548" t="str"><v>FACEBOOK»USA-Trial-ITD-Trial Lookalike-AZR-AZR»1 x 1»SocialBan»CAN»ALL»CPA»LAL»X»NA»SS»NA»FBCTCBasicMotion»PRC1LZ</v></cell><cell r="AH4548"><v>223862915</v></cell><cell r="AI4548" t="str"><v>AzurePlatform_FBCTCBasicMotion_USA_10s_CAN_PLATFORM_English_Trial_Standard_STAN_TIN_T1_1</v></cell><cell r="AJ4548"><v>103043823</v></cell></row><row r="4549"><cell r="C4549" t="str"><v>43313FACEBOOK»USA-Trial-ITD-Trial PayGo Lookalike-AZR-AZR»1 x 1»SocialBan»CAN»ALL»CPA»LAL»X»NA»SS»NA»FBCTCBasicMotion»PRC1Q0</v></cell><cell r="D4549" t="str"><v>43313223935664</v></cell><cell r="E4549" t="str"><v>43313103043823PRC1Q0</v></cell><cell r="F4549" t="str"><v>DCM</v></cell><cell r="G4549" t="str"><v>https://signup.azure.com/?OCID=AID%eexcid!_OLA_%ebuy!_%epid!_%ecid!</v></cell></row><row r="4549"><cell r="K4549" t="str"><v>August</v></cell><cell r="L4549"><v>43316</v></cell><cell r="M4549" t="str"><v>Tier 0</v></cell><cell r="N4549" t="str"><v>North America</v></cell><cell r="O4549" t="str"><v>United States</v></cell><cell r="P4549" t="str"><v>Trial</v></cell><cell r="Q4549" t="str"><v>Social</v></cell><cell r="R4549" t="str"><v>Azure</v></cell><cell r="S4549" t="str"><v>Apps & Infra</v></cell><cell r="T4549" t="str"><v>Developers & ITI's</v></cell><cell r="U4549" t="str"><v>USA-Trial-ITD-Trial PayGo Lookalike-AZR-AZR</v></cell><cell r="V4549" t="str"><v>Lookalike Targeting</v></cell><cell r="W4549" t="str"><v>Canvas Ad</v></cell><cell r="X4549" t="str"><v>1x1</v></cell></row><row r="4549"><cell r="AA4549"><v>43313</v></cell><cell r="AB4549" t="str"><v>USA_gaPMG_AZR_AZR_Q1_19_Direct-Social</v></cell><cell r="AC4549"><v>21358715</v></cell><cell r="AD4549"><v>720197</v></cell><cell r="AE4549" t="str"><v>Facebook</v></cell><cell r="AF4549"><v>3654128</v></cell><cell r="AG4549" t="str"><v>FACEBOOK»USA-Trial-ITD-Trial PayGo Lookalike-AZR-AZR»1 x 1»SocialBan»CAN»ALL»CPA»LAL»X»NA»SS»NA»FBCTCBasicMotion»PRC1Q0</v></cell><cell r="AH4549"><v>223935664</v></cell><cell r="AI4549" t="str"><v>AzurePlatform_FBCTCBasicMotion_USA_10s_CAN_PLATFORM_English_Trial_Standard_STAN_TIN_T1_1</v></cell><cell r="AJ4549"><v>103043823</v></cell></row><row r="4550"><cell r="C4550" t="str"><v>43313FACEBOOK»USA-Trial-ITD-Trial PayGo Lookalike-AZR-AZR»1 x 1»SocialBan»CAN»ALL»CPA»LAL»X»NA»SS»NA»FBCTCBasicMotion»PRC1Q0</v></cell><cell r="D4550" t="str"><v>43313223935664</v></cell><cell r="E4550" t="str"><v>43313103175984PRC1Q0</v></cell><cell r="F4550" t="str"><v>DCM</v></cell><cell r="G4550" t="str"><v>https://azure.microsoft.com/en-us/pricing/purchase-options/?v=18.19&OCID=AID%eexcid!_OLA_%ebuy!_%epid!_%ecid!</v></cell></row><row r="4550"><cell r="K4550" t="str"><v>August</v></cell><cell r="L4550"><v>43316</v></cell><cell r="M4550" t="str"><v>Tier 0</v></cell><cell r="N4550" t="str"><v>North America</v></cell><cell r="O4550" t="str"><v>United States</v></cell><cell r="P4550" t="str"><v>Trial</v></cell><cell r="Q4550" t="str"><v>Social</v></cell><cell r="R4550" t="str"><v>Azure</v></cell><cell r="S4550" t="str"><v>Apps & Infra</v></cell><cell r="T4550" t="str"><v>Developers & ITI's</v></cell><cell r="U4550" t="str"><v>USA-Trial-ITD-Trial PayGo Lookalike-AZR-AZR</v></cell><cell r="V4550" t="str"><v>Lookalike Targeting</v></cell><cell r="W4550" t="str"><v>Canvas Ad</v></cell><cell r="X4550" t="str"><v>1x1</v></cell></row><row r="4550"><cell r="AA4550"><v>43313</v></cell><cell r="AB4550" t="str"><v>USA_gaPMG_AZR_AZR_Q1_19_Direct-Social</v></cell><cell r="AC4550"><v>21358715</v></cell><cell r="AD4550"><v>720197</v></cell><cell r="AE4550" t="str"><v>Facebook</v></cell><cell r="AF4550"><v>3654128</v></cell><cell r="AG4550" t="str"><v>FACEBOOK»USA-Trial-ITD-Trial PayGo Lookalike-AZR-AZR»1 x 1»SocialBan»CAN»ALL»CPA»LAL»X»NA»SS»NA»FBCTCBasicMotion»PRC1Q0</v></cell><cell r="AH4550"><v>223935664</v></cell><cell r="AI4550" t="str"><v>AzurePlatform_FBCTCBasicMotion_USA_10s_CAN_PLATFORM_English_Trial_Standard_STAN_TIN_T1_2</v></cell><cell r="AJ4550"><v>103175984</v></cell></row><row r="4551"><cell r="C4551" t="str"><v>43313FACEBOOK»USA-Trial-ITD-Trial PayGo Lookalike-AZR-AZR»1 x 1»SocialBan»LIA»ALL»CPA»LAL»X»NA»SS»NA»FreeAcctDeveloperFB-AnimatedAI-Ch3»PRC1Q8</v></cell><cell r="D4551" t="str"><v>43313224104983</v></cell><cell r="E4551" t="str"><v>43313103032778PRC1Q8</v></cell><cell r="F4551" t="str"><v>DCM</v></cell></row><row r="4551"><cell r="K4551" t="str"><v>August</v></cell><cell r="L4551"><v>43316</v></cell><cell r="M4551" t="str"><v>Tier 0</v></cell><cell r="N4551" t="str"><v>North America</v></cell><cell r="O4551" t="str"><v>United States</v></cell><cell r="P4551" t="str"><v>Trial</v></cell><cell r="Q4551" t="str"><v>Social</v></cell><cell r="R4551" t="str"><v>Azure</v></cell><cell r="S4551" t="str"><v>Apps & Infra</v></cell><cell r="T4551" t="str"><v>Developers & ITI's</v></cell><cell r="U4551" t="str"><v>USA-Trial-ITD-Trial PayGo Lookalike-AZR-AZR</v></cell><cell r="V4551" t="str"><v>Lookalike Targeting</v></cell><cell r="W4551" t="str"><v>Link Ad</v></cell><cell r="X4551" t="str"><v>1x1</v></cell></row><row r="4551"><cell r="AA4551"><v>43313</v></cell><cell r="AB4551" t="str"><v>USA_gaPMG_AZR_AZR_Q1_19_Direct-Social</v></cell><cell r="AC4551"><v>21358715</v></cell><cell r="AD4551"><v>720197</v></cell><cell r="AE4551" t="str"><v>Facebook</v></cell><cell r="AF4551"><v>3654128</v></cell><cell r="AG4551" t="str"><v>FACEBOOK»USA-Trial-ITD-Trial PayGo Lookalike-AZR-AZR»1 x 1»SocialBan»LIA»ALL»CPA»LAL»X»NA»SS»NA»FreeAcctDeveloperFB-AnimatedAI-Ch3»PRC1Q8</v></cell><cell r="AH4551"><v>224104983</v></cell><cell r="AI4551" t="str"><v>AZR_FreeAcctDeveloperFB-AnimatedAI-Ch3_USA_1200x1200_CAN_Direct_English_Trial_Standard_ANI_LEA_T3_1</v></cell><cell r="AJ4551"><v>103032778</v></cell></row><row r="4552"><cell r="C4552" t="str"><v>43313FACEBOOK»USA-Trial-ITD-Trial PayGo Lookalike-AZR-AZR»1 x 1»SocialBan»LIA»ALL»CPA»LAL»X»NA»SS»NA»FreeAcctDeveloperFB-AnimatedData-Ch4»PRC1Q9</v></cell><cell r="D4552" t="str"><v>43313224106990</v></cell><cell r="E4552" t="str"><v>43313103037935PRC1Q9</v></cell><cell r="F4552" t="str"><v>DCM</v></cell></row><row r="4552"><cell r="K4552" t="str"><v>August</v></cell><cell r="L4552"><v>43316</v></cell><cell r="M4552" t="str"><v>Tier 0</v></cell><cell r="N4552" t="str"><v>North America</v></cell><cell r="O4552" t="str"><v>United States</v></cell><cell r="P4552" t="str"><v>Trial</v></cell><cell r="Q4552" t="str"><v>Social</v></cell><cell r="R4552" t="str"><v>Azure</v></cell><cell r="S4552" t="str"><v>Apps & Infra</v></cell><cell r="T4552" t="str"><v>Developers & ITI's</v></cell><cell r="U4552" t="str"><v>USA-Trial-ITD-Trial PayGo Lookalike-AZR-AZR</v></cell><cell r="V4552" t="str"><v>Lookalike Targeting</v></cell><cell r="W4552" t="str"><v>Link Ad</v></cell><cell r="X4552" t="str"><v>1x1</v></cell></row><row r="4552"><cell r="AA4552"><v>43313</v></cell><cell r="AB4552" t="str"><v>USA_gaPMG_AZR_AZR_Q1_19_Direct-Social</v></cell><cell r="AC4552"><v>21358715</v></cell><cell r="AD4552"><v>720197</v></cell><cell r="AE4552" t="str"><v>Facebook</v></cell><cell r="AF4552"><v>3654128</v></cell><cell r="AG4552" t="str"><v>FACEBOOK»USA-Trial-ITD-Trial PayGo Lookalike-AZR-AZR»1 x 1»SocialBan»LIA»ALL»CPA»LAL»X»NA»SS»NA»FreeAcctDeveloperFB-AnimatedData-Ch4»PRC1Q9</v></cell><cell r="AH4552"><v>224106990</v></cell><cell r="AI4552" t="str"><v>AZR_FreeAcctDeveloperFB-AnimatedData-Ch4_USA_1200x1200_CAN_Direct_English_Trial_Standard_ANI_LEA_T4_2</v></cell><cell r="AJ4552"><v>103037935</v></cell></row><row r="4553"><cell r="C4553" t="str"><v>43313FACEBOOK»USA-Trial-ITD-Trial PayGo Lookalike-AZR-AZR»1 x 1»SocialBan»LIA»ALL»CPA»LAL»X»NA»SS»NA»FreeAcctDeveloperFB-AnimatedGeneric-Ch1»PRC1Q5</v></cell><cell r="D4553" t="str"><v>43313224104092</v></cell><cell r="E4553" t="str"><v>43313103176851PRC1Q5</v></cell><cell r="F4553" t="str"><v>DCM</v></cell><cell r="G4553" t="str"><v>https://azure.microsoft.com/en-us/free/search/?OCID=AID%eexcid!_OLA_%ebuy!_%epid!_%ecid!</v></cell></row><row r="4553"><cell r="K4553" t="str"><v>August</v></cell><cell r="L4553"><v>43316</v></cell><cell r="M4553" t="str"><v>Tier 0</v></cell><cell r="N4553" t="str"><v>North America</v></cell><cell r="O4553" t="str"><v>United States</v></cell><cell r="P4553" t="str"><v>Trial</v></cell><cell r="Q4553" t="str"><v>Social</v></cell><cell r="R4553" t="str"><v>Azure</v></cell><cell r="S4553" t="str"><v>Apps & Infra</v></cell><cell r="T4553" t="str"><v>Developers & ITI's</v></cell><cell r="U4553" t="str"><v>USA-Trial-ITD-Trial PayGo Lookalike-AZR-AZR</v></cell><cell r="V4553" t="str"><v>Lookalike Targeting</v></cell><cell r="W4553" t="str"><v>Link Ad</v></cell><cell r="X4553" t="str"><v>1x1</v></cell></row><row r="4553"><cell r="AA4553"><v>43313</v></cell><cell r="AB4553" t="str"><v>USA_gaPMG_AZR_AZR_Q1_19_Direct-Social</v></cell><cell r="AC4553"><v>21358715</v></cell><cell r="AD4553"><v>720197</v></cell><cell r="AE4553" t="str"><v>Facebook</v></cell><cell r="AF4553"><v>3654128</v></cell><cell r="AG4553" t="str"><v>FACEBOOK»USA-Trial-ITD-Trial PayGo Lookalike-AZR-AZR»1 x 1»SocialBan»LIA»ALL»CPA»LAL»X»NA»SS»NA»FreeAcctDeveloperFB-AnimatedGeneric-Ch1»PRC1Q5</v></cell><cell r="AH4553"><v>224104092</v></cell><cell r="AI4553" t="str"><v>AZR_FreeAcctDeveloperFB-AnimatedGeneric-Ch1_USA_1200x1200_CAN_Direct_English_Trial_Standard_ANI_LEA_T1_2</v></cell><cell r="AJ4553"><v>103176851</v></cell></row><row r="4554"><cell r="C4554" t="str"><v>43313FACEBOOK»USA-Trial-ITD-Trial PayGo Lookalike-AZR-AZR»1 x 1»SocialBan»LIA»ALL»CPA»LAL»X»NA»SS»NA»FreeAcctITProFB-AnimatedHybrid-Ch2»PRC1QC</v></cell><cell r="D4554" t="str"><v>43313223933186</v></cell><cell r="E4554" t="str"><v>43313103180583PRC1QC</v></cell><cell r="F4554" t="str"><v>DCM</v></cell></row><row r="4554"><cell r="K4554" t="str"><v>August</v></cell><cell r="L4554"><v>43316</v></cell><cell r="M4554" t="str"><v>Tier 0</v></cell><cell r="N4554" t="str"><v>North America</v></cell><cell r="O4554" t="str"><v>United States</v></cell><cell r="P4554" t="str"><v>Trial</v></cell><cell r="Q4554" t="str"><v>Social</v></cell><cell r="R4554" t="str"><v>Azure</v></cell><cell r="S4554" t="str"><v>Apps & Infra</v></cell><cell r="T4554" t="str"><v>Developers & ITI's</v></cell><cell r="U4554" t="str"><v>USA-Trial-ITD-Trial PayGo Lookalike-AZR-AZR</v></cell><cell r="V4554" t="str"><v>Lookalike Targeting</v></cell><cell r="W4554" t="str"><v>Link Ad</v></cell><cell r="X4554" t="str"><v>1x1</v></cell></row><row r="4554"><cell r="AA4554"><v>43313</v></cell><cell r="AB4554" t="str"><v>USA_gaPMG_AZR_AZR_Q1_19_Direct-Social</v></cell><cell r="AC4554"><v>21358715</v></cell><cell r="AD4554"><v>720197</v></cell><cell r="AE4554" t="str"><v>Facebook</v></cell><cell r="AF4554"><v>3654128</v></cell><cell r="AG4554" t="str"><v>FACEBOOK»USA-Trial-ITD-Trial PayGo Lookalike-AZR-AZR»1 x 1»SocialBan»LIA»ALL»CPA»LAL»X»NA»SS»NA»FreeAcctITProFB-AnimatedHybrid-Ch2»PRC1QC</v></cell><cell r="AH4554"><v>223933186</v></cell><cell r="AI4554" t="str"><v>AZR_FreeAcctITProFB-AnimatedHybrid-Ch2_USA_1200x1200_CAN_Direct_English_Trial_Standard_ANI_LEA_T2_2</v></cell><cell r="AJ4554"><v>103180583</v></cell></row><row r="4555"><cell r="C4555" t="str"><v>43313FACEBOOK»USA-Trial-ITD-Trial PayGo Lookalike-AZR-AZR»1 x 1»SocialBan»LIA»ALL»CPA»LAL»X»NA»SS»NA»FreeAcctITProFB-AnimatedMigration-Ch3»PRC23Y</v></cell><cell r="D4555" t="str"><v>43313224105904</v></cell><cell r="E4555" t="str"><v>43313103176827PRC23Y</v></cell><cell r="F4555" t="str"><v>DCM</v></cell></row><row r="4555"><cell r="K4555" t="str"><v>August</v></cell><cell r="L4555"><v>43316</v></cell><cell r="M4555" t="str"><v>Tier 0</v></cell><cell r="N4555" t="str"><v>North America</v></cell><cell r="O4555" t="str"><v>United States</v></cell><cell r="P4555" t="str"><v>Trial</v></cell><cell r="Q4555" t="str"><v>Social</v></cell><cell r="R4555" t="str"><v>Azure</v></cell><cell r="S4555" t="str"><v>Apps & Infra</v></cell><cell r="T4555" t="str"><v>Developers & ITI's</v></cell><cell r="U4555" t="str"><v>USA-Trial-ITD-Trial PayGo Lookalike-AZR-AZR</v></cell><cell r="V4555" t="str"><v>Lookalike Targeting</v></cell><cell r="W4555" t="str"><v>Link Ad</v></cell><cell r="X4555" t="str"><v>1x1</v></cell></row><row r="4555"><cell r="AA4555"><v>43313</v></cell><cell r="AB4555" t="str"><v>USA_gaPMG_AZR_AZR_Q1_19_Direct-Social</v></cell><cell r="AC4555"><v>21358715</v></cell><cell r="AD4555"><v>720197</v></cell><cell r="AE4555" t="str"><v>Facebook</v></cell><cell r="AF4555"><v>3654128</v></cell><cell r="AG4555" t="str"><v>FACEBOOK»USA-Trial-ITD-Trial PayGo Lookalike-AZR-AZR»1 x 1»SocialBan»LIA»ALL»CPA»LAL»X»NA»SS»NA»FreeAcctITProFB-AnimatedMigration-Ch3»PRC23Y</v></cell><cell r="AH4555"><v>224105904</v></cell><cell r="AI4555" t="str"><v>AZR_FreeAcctITProFB-AnimatedMigration-Ch3_USA_1200x1200_CAN_Direct_English_Trial_Standard_ANI_LEA_T3_1</v></cell><cell r="AJ4555"><v>103176827</v></cell></row><row r="4556"><cell r="C4556" t="str"><v>43313INSTAGRAM»USA-Trial-ITD-Interest Prospecting-AZR-AZR»1 x 1»SocialBan»CAN»ALL»CPA»PRO»X»NA»SS»NA»IGCTCBrandinMotion»PRC2PB</v></cell><cell r="D4556" t="str"><v>43313223862690</v></cell><cell r="E4556" t="str"><v>43313103178714PRC2PB</v></cell><cell r="F4556" t="str"><v>DCM</v></cell><cell r="G4556" t="str"><v>https://azure.microsoft.com/en-us/pricing/purchase-options/?v=18.19&OCID=AID%eexcid!_OLA_%ebuy!_%epid!_%ecid!</v></cell></row><row r="4556"><cell r="K4556" t="str"><v>August</v></cell><cell r="L4556"><v>43316</v></cell><cell r="M4556" t="str"><v>Tier 0</v></cell><cell r="N4556" t="str"><v>North America</v></cell><cell r="O4556" t="str"><v>United States</v></cell><cell r="P4556" t="str"><v>Trial</v></cell><cell r="Q4556" t="str"><v>Social</v></cell><cell r="R4556" t="str"><v>Azure</v></cell><cell r="S4556" t="str"><v>Apps & Infra</v></cell><cell r="T4556" t="str"><v>Developers & ITI's</v></cell><cell r="U4556" t="str"><v>USA-Trial-ITD-Interest Prospecting-AZR-AZR</v></cell><cell r="V4556" t="str"><v>Prospecting</v></cell><cell r="W4556" t="str"><v>Canvas Ad</v></cell><cell r="X4556" t="str"><v>1x1</v></cell></row><row r="4556"><cell r="AA4556"><v>43313</v></cell><cell r="AB4556" t="str"><v>USA_gaPMG_AZR_AZR_Q1_19_Direct-Social</v></cell><cell r="AC4556"><v>21358715</v></cell><cell r="AD4556"><v>720197</v></cell><cell r="AE4556" t="str"><v>Facebook - Instagram</v></cell><cell r="AF4556"><v>3654128</v></cell><cell r="AG4556" t="str"><v>INSTAGRAM»USA-Trial-ITD-Interest Prospecting-AZR-AZR»1 x 1»SocialBan»CAN»ALL»CPA»PRO»X»NA»SS»NA»IGCTCBrandinMotion»PRC2PB</v></cell><cell r="AH4556"><v>223862690</v></cell><cell r="AI4556" t="str"><v>AzurePlatform_IGCTCBenefit2inMotion_USA_10s_CAN_PLATFORM_English_Trial_Standard_STAN_TIN_T4_2</v></cell><cell r="AJ4556"><v>103178714</v></cell></row><row r="4557"><cell r="C4557" t="str"><v>43313INSTAGRAM»USA-Trial-ITD-Retargeting-AZR-AZR»1 x 1»SocialBan»CAN»ALL»CPA»RT»X»NA»SS»NA»IGCTCBenefitinMotion»PRC2G4</v></cell><cell r="D4557" t="str"><v>43313224107536</v></cell><cell r="E4557" t="str"><v>43313103050780PRC2G4</v></cell><cell r="F4557" t="str"><v>DCM</v></cell><cell r="G4557" t="str"><v>https://signup.azure.com/?OCID=AID%eexcid!_OLA_%ebuy!_%epid!_%ecid!</v></cell></row><row r="4557"><cell r="K4557" t="str"><v>August</v></cell><cell r="L4557"><v>43316</v></cell><cell r="M4557" t="str"><v>Tier 0</v></cell><cell r="N4557" t="str"><v>North America</v></cell><cell r="O4557" t="str"><v>United States</v></cell><cell r="P4557" t="str"><v>Trial</v></cell><cell r="Q4557" t="str"><v>Social</v></cell><cell r="R4557" t="str"><v>Azure</v></cell><cell r="S4557" t="str"><v>Apps & Infra</v></cell><cell r="T4557" t="str"><v>Developers & ITI's</v></cell><cell r="U4557" t="str"><v>USA-Trial-ITD-Retargeting-AZR-AZR</v></cell><cell r="V4557" t="str"><v>Retargeting</v></cell><cell r="W4557" t="str"><v>Canvas Ad</v></cell><cell r="X4557" t="str"><v>1x1</v></cell></row><row r="4557"><cell r="AA4557"><v>43313</v></cell><cell r="AB4557" t="str"><v>USA_gaPMG_AZR_AZR_Q1_19_Direct-Social</v></cell><cell r="AC4557"><v>21358715</v></cell><cell r="AD4557"><v>720197</v></cell><cell r="AE4557" t="str"><v>Facebook - Instagram</v></cell><cell r="AF4557"><v>3654128</v></cell><cell r="AG4557" t="str"><v>INSTAGRAM»USA-Trial-ITD-Retargeting-AZR-AZR»1 x 1»SocialBan»CAN»ALL»CPA»RT»X»NA»SS»NA»IGCTCBenefitinMotion»PRC2G4</v></cell><cell r="AH4557"><v>224107536</v></cell><cell r="AI4557" t="str"><v>AzurePlatform_IGCTCBenefitinMotion_USA_10s_CAN_PLATFORM_English_Trial_Standard_STAN_TIN_T3_1</v></cell><cell r="AJ4557"><v>103050780</v></cell></row><row r="4558"><cell r="C4558" t="str"><v>43313INSTAGRAM»USA-Trial-ITD-Trial Lookalike-AZR-AZR»1 x 1»SocialBan»CAN»ALL»CPA»LAL»X»NA»SS»NA»IGCTCBrandinMotion»PRC2FH</v></cell><cell r="D4558" t="str"><v>43313223935019</v></cell><cell r="E4558" t="str"><v>43313103050783PRC2FH</v></cell><cell r="F4558" t="str"><v>DCM</v></cell><cell r="G4558" t="str"><v>https://signup.azure.com/?OCID=AID%eexcid!_OLA_%ebuy!_%epid!_%ecid!</v></cell></row><row r="4558"><cell r="K4558" t="str"><v>August</v></cell><cell r="L4558"><v>43316</v></cell><cell r="M4558" t="str"><v>Tier 0</v></cell><cell r="N4558" t="str"><v>North America</v></cell><cell r="O4558" t="str"><v>United States</v></cell><cell r="P4558" t="str"><v>Trial</v></cell><cell r="Q4558" t="str"><v>Social</v></cell><cell r="R4558" t="str"><v>Azure</v></cell><cell r="S4558" t="str"><v>Apps & Infra</v></cell><cell r="T4558" t="str"><v>Developers & ITI's</v></cell><cell r="U4558" t="str"><v>USA-Trial-ITD-Trial Lookalike-AZR-AZR</v></cell><cell r="V4558" t="str"><v>Lookalike Targeting</v></cell><cell r="W4558" t="str"><v>Canvas Ad</v></cell><cell r="X4558" t="str"><v>1x1</v></cell></row><row r="4558"><cell r="AA4558"><v>43313</v></cell><cell r="AB4558" t="str"><v>USA_gaPMG_AZR_AZR_Q1_19_Direct-Social</v></cell><cell r="AC4558"><v>21358715</v></cell><cell r="AD4558"><v>720197</v></cell><cell r="AE4558" t="str"><v>Facebook - Instagram</v></cell><cell r="AF4558"><v>3654128</v></cell><cell r="AG4558" t="str"><v>INSTAGRAM»USA-Trial-ITD-Trial Lookalike-AZR-AZR»1 x 1»SocialBan»CAN»ALL»CPA»LAL»X»NA»SS»NA»IGCTCBrandinMotion»PRC2FH</v></cell><cell r="AH4558"><v>223935019</v></cell><cell r="AI4558" t="str"><v>AzurePlatform_IGCTCBenefit2inMotion_USA_10s_CAN_PLATFORM_English_Trial_Standard_STAN_TIN_T4_1</v></cell><cell r="AJ4558"><v>103050783</v></cell></row><row r="4559"><cell r="C4559" t="str"><v>43313INSTAGRAM»USA-Trial-ITD-Trial PayGo Lookalike-AZR-AZR»1 x 1»SocialBan»CAN»ALL»CPA»LAL»X»NA»SS»NA»IGCTCBenefit2inMotion»PRC2FZ</v></cell><cell r="D4559" t="str"><v>43313223933075</v></cell><cell r="E4559" t="str"><v>43313103050786PRC2FZ</v></cell><cell r="F4559" t="str"><v>DCM</v></cell><cell r="G4559" t="str"><v>https://azure.microsoft.com/en-us/pricing/purchase-options/?v=18.19&OCID=AID%eexcid!_OLA_%ebuy!_%epid!_%ecid!</v></cell></row><row r="4559"><cell r="K4559" t="str"><v>August</v></cell><cell r="L4559"><v>43316</v></cell><cell r="M4559" t="str"><v>Tier 0</v></cell><cell r="N4559" t="str"><v>North America</v></cell><cell r="O4559" t="str"><v>United States</v></cell><cell r="P4559" t="str"><v>Trial</v></cell><cell r="Q4559" t="str"><v>Social</v></cell><cell r="R4559" t="str"><v>Azure</v></cell><cell r="S4559" t="str"><v>Apps & Infra</v></cell><cell r="T4559" t="str"><v>Developers & ITI's</v></cell><cell r="U4559" t="str"><v>USA-Trial-ITD-Trial PayGo Lookalike-AZR-AZR</v></cell><cell r="V4559" t="str"><v>Lookalike Targeting</v></cell><cell r="W4559" t="str"><v>Canvas Ad</v></cell><cell r="X4559" t="str"><v>1x1</v></cell></row><row r="4559"><cell r="AA4559"><v>43313</v></cell><cell r="AB4559" t="str"><v>USA_gaPMG_AZR_AZR_Q1_19_Direct-Social</v></cell><cell r="AC4559"><v>21358715</v></cell><cell r="AD4559"><v>720197</v></cell><cell r="AE4559" t="str"><v>Facebook - Instagram</v></cell><cell r="AF4559"><v>3654128</v></cell><cell r="AG4559" t="str"><v>INSTAGRAM»USA-Trial-ITD-Trial PayGo Lookalike-AZR-AZR»1 x 1»SocialBan»CAN»ALL»CPA»LAL»X»NA»SS»NA»IGCTCBenefit2inMotion»PRC2FZ</v></cell><cell r="AH4559"><v>223933075</v></cell><cell r="AI4559" t="str"><v>AzurePlatform_IGCTCBrandinMotion_USA_10s_CAN_PLATFORM_English_Trial_Standard_STAN_TIN_T2_2</v></cell><cell r="AJ4559"><v>103050786</v></cell></row><row r="4560"><cell r="C4560" t="str"><v>43313INSTAGRAM»USA-Trial-ITD-Interest Prospecting-AZR-AZR»1 x 1»SocialBan»CAN»ALL»CPA»PRO»X»NA»SS»NA»IGCTCBasicMotion»PRC2PF</v></cell><cell r="D4560" t="str"><v>43313224106621</v></cell><cell r="E4560" t="str"><v>43313103037968PRC2PF</v></cell><cell r="F4560" t="str"><v>DCM</v></cell><cell r="G4560" t="str"><v>https://signup.azure.com/?OCID=AID%eexcid!_OLA_%ebuy!_%epid!_%ecid!</v></cell></row><row r="4560"><cell r="K4560" t="str"><v>August</v></cell><cell r="L4560"><v>43316</v></cell><cell r="M4560" t="str"><v>Tier 0</v></cell><cell r="N4560" t="str"><v>North America</v></cell><cell r="O4560" t="str"><v>United States</v></cell><cell r="P4560" t="str"><v>Trial</v></cell><cell r="Q4560" t="str"><v>Social</v></cell><cell r="R4560" t="str"><v>Azure</v></cell><cell r="S4560" t="str"><v>Apps & Infra</v></cell><cell r="T4560" t="str"><v>Developers & ITI's</v></cell><cell r="U4560" t="str"><v>USA-Trial-ITD-Interest Prospecting-AZR-AZR</v></cell><cell r="V4560" t="str"><v>Prospecting</v></cell><cell r="W4560" t="str"><v>Canvas Ad</v></cell><cell r="X4560" t="str"><v>1x1</v></cell></row><row r="4560"><cell r="AA4560"><v>43313</v></cell><cell r="AB4560" t="str"><v>USA_gaPMG_AZR_AZR_Q1_19_Direct-Social</v></cell><cell r="AC4560"><v>21358715</v></cell><cell r="AD4560"><v>720197</v></cell><cell r="AE4560" t="str"><v>Facebook - Instagram</v></cell><cell r="AF4560"><v>3654128</v></cell><cell r="AG4560" t="str"><v>INSTAGRAM»USA-Trial-ITD-Interest Prospecting-AZR-AZR»1 x 1»SocialBan»CAN»ALL»CPA»PRO»X»NA»SS»NA»IGCTCBasicMotion»PRC2PF</v></cell><cell r="AH4560"><v>224106621</v></cell><cell r="AI4560" t="str"><v>AzurePlatform_IGCTCBasicMotion_USA_10s_CAN_PLATFORM_English_Trial_Standard_STAN_TIN_T1_1</v></cell><cell r="AJ4560"><v>103037968</v></cell></row><row r="4561"><cell r="C4561" t="str"><v>43313INSTAGRAM»USA-Trial-ITD-Interest Prospecting-AZR-AZR»1 x 1»SocialBan»CAN»ALL»CPA»PRO»X»NA»SS»NA»IGCTCBasicMotion»PRC2PF</v></cell><cell r="D4561" t="str"><v>43313224106621</v></cell><cell r="E4561" t="str"><v>43313103037974PRC2PF</v></cell><cell r="F4561" t="str"><v>DCM</v></cell><cell r="G4561" t="str"><v>https://azure.microsoft.com/en-us/pricing/purchase-options/?v=18.19&OCID=AID%eexcid!_OLA_%ebuy!_%epid!_%ecid!</v></cell></row><row r="4561"><cell r="K4561" t="str"><v>August</v></cell><cell r="L4561"><v>43316</v></cell><cell r="M4561" t="str"><v>Tier 0</v></cell><cell r="N4561" t="str"><v>North America</v></cell><cell r="O4561" t="str"><v>United States</v></cell><cell r="P4561" t="str"><v>Trial</v></cell><cell r="Q4561" t="str"><v>Social</v></cell><cell r="R4561" t="str"><v>Azure</v></cell><cell r="S4561" t="str"><v>Apps & Infra</v></cell><cell r="T4561" t="str"><v>Developers & ITI's</v></cell><cell r="U4561" t="str"><v>USA-Trial-ITD-Interest Prospecting-AZR-AZR</v></cell><cell r="V4561" t="str"><v>Prospecting</v></cell><cell r="W4561" t="str"><v>Canvas Ad</v></cell><cell r="X4561" t="str"><v>1x1</v></cell></row><row r="4561"><cell r="AA4561"><v>43313</v></cell><cell r="AB4561" t="str"><v>USA_gaPMG_AZR_AZR_Q1_19_Direct-Social</v></cell><cell r="AC4561"><v>21358715</v></cell><cell r="AD4561"><v>720197</v></cell><cell r="AE4561" t="str"><v>Facebook - Instagram</v></cell><cell r="AF4561"><v>3654128</v></cell><cell r="AG4561" t="str"><v>INSTAGRAM»USA-Trial-ITD-Interest Prospecting-AZR-AZR»1 x 1»SocialBan»CAN»ALL»CPA»PRO»X»NA»SS»NA»IGCTCBasicMotion»PRC2PF</v></cell><cell r="AH4561"><v>224106621</v></cell><cell r="AI4561" t="str"><v>AzurePlatform_IGCTCBasicMotion_USA_10s_CAN_PLATFORM_English_Trial_Standard_STAN_TIN_T1_2</v></cell><cell r="AJ4561"><v>103037974</v></cell></row><row r="4562"><cell r="C4562" t="str"><v>43313INSTAGRAM»USA-Trial-ITD-Trial Lookalike-AZR-AZR»1 x 1»SocialBan»CAN»ALL»CPA»LAL»X»NA»SS»NA»IGCTCBasicMotion»PRC0C2</v></cell><cell r="D4562" t="str"><v>43313224107017</v></cell><cell r="E4562" t="str"><v>43313103037968PRC0C2</v></cell><cell r="F4562" t="str"><v>DCM</v></cell><cell r="G4562" t="str"><v>https://signup.azure.com/?OCID=AID%eexcid!_OLA_%ebuy!_%epid!_%ecid!</v></cell></row><row r="4562"><cell r="K4562" t="str"><v>August</v></cell><cell r="L4562"><v>43316</v></cell><cell r="M4562" t="str"><v>Tier 0</v></cell><cell r="N4562" t="str"><v>North America</v></cell><cell r="O4562" t="str"><v>United States</v></cell><cell r="P4562" t="str"><v>Trial</v></cell><cell r="Q4562" t="str"><v>Social</v></cell><cell r="R4562" t="str"><v>Azure</v></cell><cell r="S4562" t="str"><v>Apps & Infra</v></cell><cell r="T4562" t="str"><v>Developers & ITI's</v></cell><cell r="U4562" t="str"><v>USA-Trial-ITD-Trial Lookalike-AZR-AZR</v></cell><cell r="V4562" t="str"><v>Lookalike Targeting</v></cell><cell r="W4562" t="str"><v>Canvas Ad</v></cell><cell r="X4562" t="str"><v>1x1</v></cell></row><row r="4562"><cell r="AA4562"><v>43313</v></cell><cell r="AB4562" t="str"><v>USA_gaPMG_AZR_AZR_Q1_19_Direct-Social</v></cell><cell r="AC4562"><v>21358715</v></cell><cell r="AD4562"><v>720197</v></cell><cell r="AE4562" t="str"><v>Facebook - Instagram</v></cell><cell r="AF4562"><v>3654128</v></cell><cell r="AG4562" t="str"><v>INSTAGRAM»USA-Trial-ITD-Trial Lookalike-AZR-AZR»1 x 1»SocialBan»CAN»ALL»CPA»LAL»X»NA»SS»NA»IGCTCBasicMotion»PRC0C2</v></cell><cell r="AH4562"><v>224107017</v></cell><cell r="AI4562" t="str"><v>AzurePlatform_IGCTCBasicMotion_USA_10s_CAN_PLATFORM_English_Trial_Standard_STAN_TIN_T1_1</v></cell><cell r="AJ4562"><v>103037968</v></cell></row><row r="4563"><cell r="C4563" t="str"><v>43313INSTAGRAM»USA-Trial-ITD-Trial Lookalike-AZR-AZR»1 x 1»SocialBan»CAN»ALL»CPA»LAL»X»NA»SS»NA»IGCTCBasicMotion»PRC0C2</v></cell><cell r="D4563" t="str"><v>43313224107017</v></cell><cell r="E4563" t="str"><v>43313103037974PRC0C2</v></cell><cell r="F4563" t="str"><v>DCM</v></cell><cell r="G4563" t="str"><v>https://azure.microsoft.com/en-us/pricing/purchase-options/?v=18.19&OCID=AID%eexcid!_OLA_%ebuy!_%epid!_%ecid!</v></cell></row><row r="4563"><cell r="K4563" t="str"><v>August</v></cell><cell r="L4563"><v>43316</v></cell><cell r="M4563" t="str"><v>Tier 0</v></cell><cell r="N4563" t="str"><v>North America</v></cell><cell r="O4563" t="str"><v>United States</v></cell><cell r="P4563" t="str"><v>Trial</v></cell><cell r="Q4563" t="str"><v>Social</v></cell><cell r="R4563" t="str"><v>Azure</v></cell><cell r="S4563" t="str"><v>Apps & Infra</v></cell><cell r="T4563" t="str"><v>Developers & ITI's</v></cell><cell r="U4563" t="str"><v>USA-Trial-ITD-Trial Lookalike-AZR-AZR</v></cell><cell r="V4563" t="str"><v>Lookalike Targeting</v></cell><cell r="W4563" t="str"><v>Canvas Ad</v></cell><cell r="X4563" t="str"><v>1x1</v></cell></row><row r="4563"><cell r="AA4563"><v>43313</v></cell><cell r="AB4563" t="str"><v>USA_gaPMG_AZR_AZR_Q1_19_Direct-Social</v></cell><cell r="AC4563"><v>21358715</v></cell><cell r="AD4563"><v>720197</v></cell><cell r="AE4563" t="str"><v>Facebook - Instagram</v></cell><cell r="AF4563"><v>3654128</v></cell><cell r="AG4563" t="str"><v>INSTAGRAM»USA-Trial-ITD-Trial Lookalike-AZR-AZR»1 x 1»SocialBan»CAN»ALL»CPA»LAL»X»NA»SS»NA»IGCTCBasicMotion»PRC0C2</v></cell><cell r="AH4563"><v>224107017</v></cell><cell r="AI4563" t="str"><v>AzurePlatform_IGCTCBasicMotion_USA_10s_CAN_PLATFORM_English_Trial_Standard_STAN_TIN_T1_2</v></cell><cell r="AJ4563"><v>103037974</v></cell></row><row r="4564"><cell r="C4564" t="str"><v>43314Facebook»Audience & Interest Targeting»1x1»Canvas»OTH»DT»DYN»AUT»W»NA»SS»NA»FBCTCcanvaspage-StartFreeCTA_FBCTCcanvaspage-BuyNowCTA</v></cell><cell r="D4564" t="str"><v>43314224639151</v></cell><cell r="E4564" t="str"><v>43314103316832NowCTA</v></cell><cell r="F4564" t="str"><v>DCM</v></cell><cell r="G4564" t="str"><v>https://azure.microsoft.com/en-au/pricing/purchase-options/</v></cell></row><row r="4564"><cell r="K4564" t="str"><v>August</v></cell><cell r="L4564"><v>43316</v></cell><cell r="M4564" t="str"><v>Tier 1</v></cell><cell r="N4564" t="str"><v>APAC</v></cell><cell r="O4564" t="str"><v>Australia</v></cell><cell r="P4564" t="str"><v>Trial</v></cell><cell r="Q4564" t="str"><v>Social</v></cell><cell r="R4564" t="str"><v>Azure</v></cell><cell r="S4564" t="str"><v>Apps & Infra</v></cell><cell r="T4564" t="str"><v>Developers & ITI's</v></cell><cell r="U4564" t="str"><v>Audience & Interest Targeting</v></cell><cell r="V4564" t="str"><v>Audience Targeting</v></cell><cell r="W4564" t="str"><v>Other</v></cell><cell r="X4564" t="str"><v>1x1</v></cell></row><row r="4564"><cell r="AA4564"><v>43314</v></cell><cell r="AB4564" t="str"><v>AUS_gaPMG_AZR_AZR_Q1_19_Trial-Social</v></cell><cell r="AC4564"><v>21358568</v></cell><cell r="AD4564"><v>720191</v></cell><cell r="AE4564" t="str"><v>Facebook</v></cell><cell r="AF4564"><v>3654128</v></cell><cell r="AG4564" t="str"><v>Facebook»Audience & Interest Targeting»1x1»Canvas»OTH»DT»DYN»AUT»W»NA»SS»NA»FBCTCcanvaspage-StartFreeCTA_FBCTCcanvaspage-BuyNowCTA</v></cell><cell r="AH4564"><v>224639151</v></cell><cell r="AI4564" t="str"><v>AzurePlatform_FBCTCcanvaspage-BuyNowCTA-Img3_AUS_1080x162_SOC_Plat_English_NA_Standard_NA_BN_T3_1</v></cell><cell r="AJ4564"><v>103316832</v></cell></row><row r="4565"><cell r="C4565" t="str"><v>43314Facebook»Audience & Interest Targeting»1x1»Canvas»OTH»DT»DYN»AUT»W»NA»SS»NA»FBCTCcanvaspage-StartFreeCTA_FBCTCcanvaspage-BuyNowCTA</v></cell><cell r="D4565" t="str"><v>43314224639151</v></cell><cell r="E4565" t="str"><v>43314103316829NowCTA</v></cell><cell r="F4565" t="str"><v>DCM</v></cell><cell r="G4565" t="str"><v>https://signup.azure.com/signup?offer=ms-azr-0044p&appId=102&ref=paidmedia-social-fb&redirectURL=https%3a%2f%2fazure.microsoft.com%2fen-au%2fget-started%2fwelcome-to-azure%2f&l=en-au&correlationId=ead86c34-1f10-49dd-a72b-6918462a2cbf</v></cell></row><row r="4565"><cell r="K4565" t="str"><v>August</v></cell><cell r="L4565"><v>43316</v></cell><cell r="M4565" t="str"><v>Tier 1</v></cell><cell r="N4565" t="str"><v>APAC</v></cell><cell r="O4565" t="str"><v>Australia</v></cell><cell r="P4565" t="str"><v>Trial</v></cell><cell r="Q4565" t="str"><v>Social</v></cell><cell r="R4565" t="str"><v>Azure</v></cell><cell r="S4565" t="str"><v>Apps & Infra</v></cell><cell r="T4565" t="str"><v>Developers & ITI's</v></cell><cell r="U4565" t="str"><v>Audience & Interest Targeting</v></cell><cell r="V4565" t="str"><v>Audience Targeting</v></cell><cell r="W4565" t="str"><v>Other</v></cell><cell r="X4565" t="str"><v>1x1</v></cell></row><row r="4565"><cell r="AA4565"><v>43314</v></cell><cell r="AB4565" t="str"><v>AUS_gaPMG_AZR_AZR_Q1_19_Trial-Social</v></cell><cell r="AC4565"><v>21358568</v></cell><cell r="AD4565"><v>720191</v></cell><cell r="AE4565" t="str"><v>Facebook</v></cell><cell r="AF4565"><v>3654128</v></cell><cell r="AG4565" t="str"><v>Facebook»Audience & Interest Targeting»1x1»Canvas»OTH»DT»DYN»AUT»W»NA»SS»NA»FBCTCcanvaspage-StartFreeCTA_FBCTCcanvaspage-BuyNowCTA</v></cell><cell r="AH4565"><v>224639151</v></cell><cell r="AI4565" t="str"><v>AzurePlatform_FBCTCcanvaspage-StartFreeCTA-Img2_AUS_1080x143 _SOC_Plat_English_NA_Standard_NA_NA_T2_1</v></cell><cell r="AJ4565"><v>103316829</v></cell></row><row r="4566"><cell r="C4566" t="str"><v>43314Facebook»Audience & Interest Targeting»1x1»TextLink»OTH»DT»DYN»AUT»W»NA»SS»NA»Free Account Refresh- 12 months ChE</v></cell><cell r="D4566" t="str"><v>43314224160783</v></cell><cell r="E4566" t="str"><v>43314103051614hs ChE</v></cell><cell r="F4566" t="str"><v>DCM</v></cell></row><row r="4566"><cell r="K4566" t="str"><v>August</v></cell><cell r="L4566"><v>43316</v></cell><cell r="M4566" t="str"><v>Tier 1</v></cell><cell r="N4566" t="str"><v>APAC</v></cell><cell r="O4566" t="str"><v>Australia</v></cell><cell r="P4566" t="str"><v>Trial</v></cell><cell r="Q4566" t="str"><v>Social</v></cell><cell r="R4566" t="str"><v>Azure</v></cell><cell r="S4566" t="str"><v>Apps & Infra</v></cell><cell r="T4566" t="str"><v>Developers & ITI's</v></cell><cell r="U4566" t="str"><v>Audience & Interest Targeting</v></cell><cell r="V4566" t="str"><v>Audience Targeting</v></cell><cell r="W4566" t="str"><v>Other</v></cell><cell r="X4566" t="str"><v>1x1</v></cell></row><row r="4566"><cell r="AA4566"><v>43314</v></cell><cell r="AB4566" t="str"><v>AUS_gaPMG_AZR_AZR_Q1_19_Trial-Social</v></cell><cell r="AC4566"><v>21358568</v></cell><cell r="AD4566"><v>720191</v></cell><cell r="AE4566" t="str"><v>Facebook</v></cell><cell r="AF4566"><v>3654128</v></cell><cell r="AG4566" t="str"><v>Facebook»Audience & Interest Targeting»1x1»TextLink»OTH»DT»DYN»AUT»W»NA»SS»NA»Free Account Refresh- 12 months ChE</v></cell><cell r="AH4566"><v>224160783</v></cell><cell r="AI4566" t="str"><v>AzurePlatform_FreeAcctAppsFACEBOOK12monthsChE_AUS_1200x628_SOC_PLAT_EN_Trial_Standard_NA_SNU_T5_1</v></cell><cell r="AJ4566"><v>103051614</v></cell></row><row r="4567"><cell r="C4567" t="str"><v>43314Facebook»Audience & Interest Targeting»1x1»TextLink»OTH»DT»DYN»AUT»W»NA»SS»NA»Free Account Refresh- Device ChB</v></cell><cell r="D4567" t="str"><v>43314224160777</v></cell><cell r="E4567" t="str"><v>43314103048479ce ChB</v></cell><cell r="F4567" t="str"><v>DCM</v></cell></row><row r="4567"><cell r="K4567" t="str"><v>August</v></cell><cell r="L4567"><v>43316</v></cell><cell r="M4567" t="str"><v>Tier 1</v></cell><cell r="N4567" t="str"><v>APAC</v></cell><cell r="O4567" t="str"><v>Australia</v></cell><cell r="P4567" t="str"><v>Trial</v></cell><cell r="Q4567" t="str"><v>Social</v></cell><cell r="R4567" t="str"><v>Azure</v></cell><cell r="S4567" t="str"><v>Apps & Infra</v></cell><cell r="T4567" t="str"><v>Developers & ITI's</v></cell><cell r="U4567" t="str"><v>Audience & Interest Targeting</v></cell><cell r="V4567" t="str"><v>Audience Targeting</v></cell><cell r="W4567" t="str"><v>Other</v></cell><cell r="X4567" t="str"><v>1x1</v></cell></row><row r="4567"><cell r="AA4567"><v>43314</v></cell><cell r="AB4567" t="str"><v>AUS_gaPMG_AZR_AZR_Q1_19_Trial-Social</v></cell><cell r="AC4567"><v>21358568</v></cell><cell r="AD4567"><v>720191</v></cell><cell r="AE4567" t="str"><v>Facebook</v></cell><cell r="AF4567"><v>3654128</v></cell><cell r="AG4567" t="str"><v>Facebook»Audience & Interest Targeting»1x1»TextLink»OTH»DT»DYN»AUT»W»NA»SS»NA»Free Account Refresh- Device ChB</v></cell><cell r="AH4567"><v>224160777</v></cell><cell r="AI4567" t="str"><v>AzurePlatform_FreeAcctAppsFACEBOOKDeviceChB_AUS_1200x628_SOC_PLAT_EN_Trial_Standard_NA_SNU_T2_1</v></cell><cell r="AJ4567"><v>103048479</v></cell></row><row r="4568"><cell r="C4568" t="str"><v>43314Facebook»Audience & Interest Targeting»1x1»TextLink»OTH»DT»DYN»AUT»W»NA»SS»NA»Free Account Refresh- Illustration ChC</v></cell><cell r="D4568" t="str"><v>43314224160774</v></cell><cell r="E4568" t="str"><v>43314103186910on ChC</v></cell><cell r="F4568" t="str"><v>DCM</v></cell></row><row r="4568"><cell r="K4568" t="str"><v>August</v></cell><cell r="L4568"><v>43316</v></cell><cell r="M4568" t="str"><v>Tier 1</v></cell><cell r="N4568" t="str"><v>APAC</v></cell><cell r="O4568" t="str"><v>Australia</v></cell><cell r="P4568" t="str"><v>Trial</v></cell><cell r="Q4568" t="str"><v>Social</v></cell><cell r="R4568" t="str"><v>Azure</v></cell><cell r="S4568" t="str"><v>Apps & Infra</v></cell><cell r="T4568" t="str"><v>Developers & ITI's</v></cell><cell r="U4568" t="str"><v>Audience & Interest Targeting</v></cell><cell r="V4568" t="str"><v>Audience Targeting</v></cell><cell r="W4568" t="str"><v>Other</v></cell><cell r="X4568" t="str"><v>1x1</v></cell></row><row r="4568"><cell r="AA4568"><v>43314</v></cell><cell r="AB4568" t="str"><v>AUS_gaPMG_AZR_AZR_Q1_19_Trial-Social</v></cell><cell r="AC4568"><v>21358568</v></cell><cell r="AD4568"><v>720191</v></cell><cell r="AE4568" t="str"><v>Facebook</v></cell><cell r="AF4568"><v>3654128</v></cell><cell r="AG4568" t="str"><v>Facebook»Audience & Interest Targeting»1x1»TextLink»OTH»DT»DYN»AUT»W»NA»SS»NA»Free Account Refresh- Illustration ChC</v></cell><cell r="AH4568"><v>224160774</v></cell><cell r="AI4568" t="str"><v>AzurePlatform_FreeAcctAppsFACEBOOKIllustrationChC_AUS_1200x628_SOC_PLAT_EN_Trial_Standard_NA_SNU_T3_1</v></cell><cell r="AJ4568"><v>103186910</v></cell></row><row r="4569"><cell r="C4569" t="str"><v>43314Facebook»Audience & Interest Targeting»1x1»TextLink»OTH»DT»DYN»AUT»W»NA»SS»NA»Free Account Refresh- Lifestyle ChA</v></cell><cell r="D4569" t="str"><v>43314224160771</v></cell><cell r="E4569" t="str"><v>43314103048488le ChA</v></cell><cell r="F4569" t="str"><v>DCM</v></cell></row><row r="4569"><cell r="K4569" t="str"><v>August</v></cell><cell r="L4569"><v>43316</v></cell><cell r="M4569" t="str"><v>Tier 1</v></cell><cell r="N4569" t="str"><v>APAC</v></cell><cell r="O4569" t="str"><v>Australia</v></cell><cell r="P4569" t="str"><v>Trial</v></cell><cell r="Q4569" t="str"><v>Social</v></cell><cell r="R4569" t="str"><v>Azure</v></cell><cell r="S4569" t="str"><v>Apps & Infra</v></cell><cell r="T4569" t="str"><v>Developers & ITI's</v></cell><cell r="U4569" t="str"><v>Audience & Interest Targeting</v></cell><cell r="V4569" t="str"><v>Audience Targeting</v></cell><cell r="W4569" t="str"><v>Other</v></cell><cell r="X4569" t="str"><v>1x1</v></cell></row><row r="4569"><cell r="AA4569"><v>43314</v></cell><cell r="AB4569" t="str"><v>AUS_gaPMG_AZR_AZR_Q1_19_Trial-Social</v></cell><cell r="AC4569"><v>21358568</v></cell><cell r="AD4569"><v>720191</v></cell><cell r="AE4569" t="str"><v>Facebook</v></cell><cell r="AF4569"><v>3654128</v></cell><cell r="AG4569" t="str"><v>Facebook»Audience & Interest Targeting»1x1»TextLink»OTH»DT»DYN»AUT»W»NA»SS»NA»Free Account Refresh- Lifestyle ChA</v></cell><cell r="AH4569"><v>224160771</v></cell><cell r="AI4569" t="str"><v>AzurePlatform_FreeAcctAppsFACEBOOKLifestyleChA_AUS_1200x628_SOC_PLAT_EN_Trial_Standard_NA_SNU_T1_1</v></cell><cell r="AJ4569"><v>103048488</v></cell></row><row r="4570"><cell r="C4570" t="str"><v>43314Facebook»LAL»1x1»TextLink»SOC»DT»DYN»LAL»W»NA»SS»NA»Free Account Refresh- 200 Credit ChD</v></cell><cell r="D4570" t="str"><v>43314224160720</v></cell><cell r="E4570" t="str"><v>43314103186907it ChD</v></cell><cell r="F4570" t="str"><v>DCM</v></cell><cell r="G4570" t="str"><v>https://azure.microsoft.com/en-au/free/open-source/search/</v></cell></row><row r="4570"><cell r="K4570" t="str"><v>August</v></cell><cell r="L4570"><v>43316</v></cell><cell r="M4570" t="str"><v>Tier 1</v></cell><cell r="N4570" t="str"><v>APAC</v></cell><cell r="O4570" t="str"><v>Australia</v></cell><cell r="P4570" t="str"><v>Trial</v></cell><cell r="Q4570" t="str"><v>Social</v></cell><cell r="R4570" t="str"><v>Azure</v></cell><cell r="S4570" t="str"><v>Apps & Infra</v></cell><cell r="T4570" t="str"><v>Developers & ITI's</v></cell><cell r="U4570" t="str"><v>LAL</v></cell><cell r="V4570" t="str"><v>Lookalike Targeting</v></cell><cell r="W4570" t="str"><v>Social</v></cell><cell r="X4570" t="str"><v>1x1</v></cell></row><row r="4570"><cell r="AA4570"><v>43314</v></cell><cell r="AB4570" t="str"><v>AUS_gaPMG_AZR_AZR_Q1_19_Trial-Social</v></cell><cell r="AC4570"><v>21358568</v></cell><cell r="AD4570"><v>720191</v></cell><cell r="AE4570" t="str"><v>Facebook</v></cell><cell r="AF4570"><v>3654128</v></cell><cell r="AG4570" t="str"><v>Facebook»LAL»1x1»TextLink»SOC»DT»DYN»LAL»W»NA»SS»NA»Free Account Refresh- 200 Credit ChD</v></cell><cell r="AH4570"><v>224160720</v></cell><cell r="AI4570" t="str"><v>AzurePlatform_FreeAcctRetargetingOSSFB-Logos-ChG_AUS_1200x628_SOC_Plat_EN_Free Account_Standard_NA_SNU_T2_1</v></cell><cell r="AJ4570"><v>103186907</v></cell></row><row r="4571"><cell r="C4571" t="str"><v>43314Facebook»LAL»1x1»TextLink»SOC»DT»DYN»LAL»W»NA»SS»NA»Free Account Refresh- Device ChB</v></cell><cell r="D4571" t="str"><v>43314224160717</v></cell><cell r="E4571" t="str"><v>43314103048485ce ChB</v></cell><cell r="F4571" t="str"><v>DCM</v></cell><cell r="G4571" t="str"><v>https://azure.microsoft.com/en-au/free/open-source/search/</v></cell></row><row r="4571"><cell r="K4571" t="str"><v>August</v></cell><cell r="L4571"><v>43316</v></cell><cell r="M4571" t="str"><v>Tier 1</v></cell><cell r="N4571" t="str"><v>APAC</v></cell><cell r="O4571" t="str"><v>Australia</v></cell><cell r="P4571" t="str"><v>Trial</v></cell><cell r="Q4571" t="str"><v>Social</v></cell><cell r="R4571" t="str"><v>Azure</v></cell><cell r="S4571" t="str"><v>Apps & Infra</v></cell><cell r="T4571" t="str"><v>Developers & ITI's</v></cell><cell r="U4571" t="str"><v>LAL</v></cell><cell r="V4571" t="str"><v>Lookalike Targeting</v></cell><cell r="W4571" t="str"><v>Social</v></cell><cell r="X4571" t="str"><v>1x1</v></cell></row><row r="4571"><cell r="AA4571"><v>43314</v></cell><cell r="AB4571" t="str"><v>AUS_gaPMG_AZR_AZR_Q1_19_Trial-Social</v></cell><cell r="AC4571"><v>21358568</v></cell><cell r="AD4571"><v>720191</v></cell><cell r="AE4571" t="str"><v>Facebook</v></cell><cell r="AF4571"><v>3654128</v></cell><cell r="AG4571" t="str"><v>Facebook»LAL»1x1»TextLink»SOC»DT»DYN»LAL»W»NA»SS»NA»Free Account Refresh- Device ChB</v></cell><cell r="AH4571"><v>224160717</v></cell><cell r="AI4571" t="str"><v>AzurePlatform_FreeAcctRetargetingOSSFB-Text-ChF_AUS_1200x628_SOC_Plat_EN_Free Account_Standard_NA_SNU_T1_1</v></cell><cell r="AJ4571"><v>103048485</v></cell></row><row r="4572"><cell r="C4572" t="str"><v>43314Facebook»LAL»1x1»TextLink»SOC»DT»DYN»LAL»W»NA»SS»NA»Free Account Refresh- Illustration ChC</v></cell><cell r="D4572" t="str"><v>43314224160714</v></cell><cell r="E4572" t="str"><v>43314103186916on ChC</v></cell><cell r="F4572" t="str"><v>DCM</v></cell><cell r="G4572" t="str"><v>https://azure.microsoft.com/en-au/free/virtual-machines/search/</v></cell></row><row r="4572"><cell r="K4572" t="str"><v>August</v></cell><cell r="L4572"><v>43316</v></cell><cell r="M4572" t="str"><v>Tier 1</v></cell><cell r="N4572" t="str"><v>APAC</v></cell><cell r="O4572" t="str"><v>Australia</v></cell><cell r="P4572" t="str"><v>Trial</v></cell><cell r="Q4572" t="str"><v>Social</v></cell><cell r="R4572" t="str"><v>Azure</v></cell><cell r="S4572" t="str"><v>Apps & Infra</v></cell><cell r="T4572" t="str"><v>Developers & ITI's</v></cell><cell r="U4572" t="str"><v>LAL</v></cell><cell r="V4572" t="str"><v>Lookalike Targeting</v></cell><cell r="W4572" t="str"><v>Social</v></cell><cell r="X4572" t="str"><v>1x1</v></cell></row><row r="4572"><cell r="AA4572"><v>43314</v></cell><cell r="AB4572" t="str"><v>AUS_gaPMG_AZR_AZR_Q1_19_Trial-Social</v></cell><cell r="AC4572"><v>21358568</v></cell><cell r="AD4572"><v>720191</v></cell><cell r="AE4572" t="str"><v>Facebook</v></cell><cell r="AF4572"><v>3654128</v></cell><cell r="AG4572" t="str"><v>Facebook»LAL»1x1»TextLink»SOC»DT»DYN»LAL»W»NA»SS»NA»Free Account Refresh- Illustration ChC</v></cell><cell r="AH4572"><v>224160714</v></cell><cell r="AI4572" t="str"><v>AzurePlatform_FreeAcctRetargetingVMFB-750Hrs-ChD_AUS_1200x628_SOC_Plat_EN_Free Account_Standard_NA_SNU_T1_1</v></cell><cell r="AJ4572"><v>103186916</v></cell></row><row r="4573"><cell r="C4573" t="str"><v>43314Facebook»LAL»1x1»TextLink»SOC»DT»DYN»LAL»W»NA»SS»NA»Free Account Refresh- Lifestyle ChA</v></cell><cell r="D4573" t="str"><v>43314224160711</v></cell><cell r="E4573" t="str"><v>43314103048491le ChA</v></cell><cell r="F4573" t="str"><v>DCM</v></cell><cell r="G4573" t="str"><v>https://azure.microsoft.com/en-au/free/virtual-machines/search/</v></cell></row><row r="4573"><cell r="K4573" t="str"><v>August</v></cell><cell r="L4573"><v>43316</v></cell><cell r="M4573" t="str"><v>Tier 1</v></cell><cell r="N4573" t="str"><v>APAC</v></cell><cell r="O4573" t="str"><v>Australia</v></cell><cell r="P4573" t="str"><v>Trial</v></cell><cell r="Q4573" t="str"><v>Social</v></cell><cell r="R4573" t="str"><v>Azure</v></cell><cell r="S4573" t="str"><v>Apps & Infra</v></cell><cell r="T4573" t="str"><v>Developers & ITI's</v></cell><cell r="U4573" t="str"><v>LAL</v></cell><cell r="V4573" t="str"><v>Lookalike Targeting</v></cell><cell r="W4573" t="str"><v>Social</v></cell><cell r="X4573" t="str"><v>1x1</v></cell></row><row r="4573"><cell r="AA4573"><v>43314</v></cell><cell r="AB4573" t="str"><v>AUS_gaPMG_AZR_AZR_Q1_19_Trial-Social</v></cell><cell r="AC4573"><v>21358568</v></cell><cell r="AD4573"><v>720191</v></cell><cell r="AE4573" t="str"><v>Facebook</v></cell><cell r="AF4573"><v>3654128</v></cell><cell r="AG4573" t="str"><v>Facebook»LAL»1x1»TextLink»SOC»DT»DYN»LAL»W»NA»SS»NA»Free Account Refresh- Lifestyle ChA</v></cell><cell r="AH4573"><v>224160711</v></cell><cell r="AI4573" t="str"><v>AzurePlatform_FreeAcctRetargetingVMFB-OnDemand-ChE_AUS_1200x628_SOC_Plat_EN_Free Account_Standard_NA_SNU_T2_1</v></cell><cell r="AJ4573"><v>103048491</v></cell></row><row r="4574"><cell r="C4574" t="str"><v>43314Facebook»Retargeting»1x1»TextLink»SOC»DT»DYN»RT»W»NA»SS»NA»Free Account Refresh- 200 Credit ChD</v></cell><cell r="D4574" t="str"><v>43314224160738</v></cell><cell r="E4574" t="str"><v>43314103186904it ChD</v></cell><cell r="F4574" t="str"><v>DCM</v></cell></row><row r="4574"><cell r="K4574" t="str"><v>August</v></cell><cell r="L4574"><v>43316</v></cell><cell r="M4574" t="str"><v>Tier 1</v></cell><cell r="N4574" t="str"><v>APAC</v></cell><cell r="O4574" t="str"><v>Australia</v></cell><cell r="P4574" t="str"><v>Trial</v></cell><cell r="Q4574" t="str"><v>Social</v></cell><cell r="R4574" t="str"><v>Azure</v></cell><cell r="S4574" t="str"><v>Apps & Infra</v></cell><cell r="T4574" t="str"><v>Developers & ITI's</v></cell><cell r="U4574" t="str"><v>Retargeting</v></cell><cell r="V4574" t="str"><v>Retargeting</v></cell><cell r="W4574" t="str"><v>Social</v></cell><cell r="X4574" t="str"><v>1x1</v></cell></row><row r="4574"><cell r="AA4574"><v>43314</v></cell><cell r="AB4574" t="str"><v>AUS_gaPMG_AZR_AZR_Q1_19_Trial-Social</v></cell><cell r="AC4574"><v>21358568</v></cell><cell r="AD4574"><v>720191</v></cell><cell r="AE4574" t="str"><v>Facebook</v></cell><cell r="AF4574"><v>3654128</v></cell><cell r="AG4574" t="str"><v>Facebook»Retargeting»1x1»TextLink»SOC»DT»DYN»RT»W»NA»SS»NA»Free Account Refresh- 200 Credit ChD</v></cell><cell r="AH4574"><v>224160738</v></cell><cell r="AI4574" t="str"><v>AzurePlatform_FreeAcctAppsFACEBOOK200CreditChD_AUS_1200x628_SOC_PLAT_EN_Trial_Standard_NA_SNU_T4_1</v></cell><cell r="AJ4574"><v>103186904</v></cell></row><row r="4575"><cell r="C4575" t="str"><v>43314Facebook»Retargeting»1x1»TextLink»SOC»DT»DYN»RT»W»NA»SS»NA»Free Account Refresh- Device ChB</v></cell><cell r="D4575" t="str"><v>43314224160735</v></cell><cell r="E4575" t="str"><v>43314103048479ce ChB</v></cell><cell r="F4575" t="str"><v>DCM</v></cell></row><row r="4575"><cell r="K4575" t="str"><v>August</v></cell><cell r="L4575"><v>43316</v></cell><cell r="M4575" t="str"><v>Tier 1</v></cell><cell r="N4575" t="str"><v>APAC</v></cell><cell r="O4575" t="str"><v>Australia</v></cell><cell r="P4575" t="str"><v>Trial</v></cell><cell r="Q4575" t="str"><v>Social</v></cell><cell r="R4575" t="str"><v>Azure</v></cell><cell r="S4575" t="str"><v>Apps & Infra</v></cell><cell r="T4575" t="str"><v>Developers & ITI's</v></cell><cell r="U4575" t="str"><v>Retargeting</v></cell><cell r="V4575" t="str"><v>Retargeting</v></cell><cell r="W4575" t="str"><v>Social</v></cell><cell r="X4575" t="str"><v>1x1</v></cell></row><row r="4575"><cell r="AA4575"><v>43314</v></cell><cell r="AB4575" t="str"><v>AUS_gaPMG_AZR_AZR_Q1_19_Trial-Social</v></cell><cell r="AC4575"><v>21358568</v></cell><cell r="AD4575"><v>720191</v></cell><cell r="AE4575" t="str"><v>Facebook</v></cell><cell r="AF4575"><v>3654128</v></cell><cell r="AG4575" t="str"><v>Facebook»Retargeting»1x1»TextLink»SOC»DT»DYN»RT»W»NA»SS»NA»Free Account Refresh- Device ChB</v></cell><cell r="AH4575"><v>224160735</v></cell><cell r="AI4575" t="str"><v>AzurePlatform_FreeAcctAppsFACEBOOKDeviceChB_AUS_1200x628_SOC_PLAT_EN_Trial_Standard_NA_SNU_T2_1</v></cell><cell r="AJ4575"><v>103048479</v></cell></row><row r="4576"><cell r="C4576" t="str"><v>43314Facebook»Retargeting»1x1»TextLink»SOC»DT»DYN»RT»W»NA»SS»NA»Free Account Refresh- Illustration ChC</v></cell><cell r="D4576" t="str"><v>43314224160732</v></cell><cell r="E4576" t="str"><v>43314103186910on ChC</v></cell><cell r="F4576" t="str"><v>DCM</v></cell></row><row r="4576"><cell r="K4576" t="str"><v>August</v></cell><cell r="L4576"><v>43316</v></cell><cell r="M4576" t="str"><v>Tier 1</v></cell><cell r="N4576" t="str"><v>APAC</v></cell><cell r="O4576" t="str"><v>Australia</v></cell><cell r="P4576" t="str"><v>Trial</v></cell><cell r="Q4576" t="str"><v>Social</v></cell><cell r="R4576" t="str"><v>Azure</v></cell><cell r="S4576" t="str"><v>Apps & Infra</v></cell><cell r="T4576" t="str"><v>Developers & ITI's</v></cell><cell r="U4576" t="str"><v>Retargeting</v></cell><cell r="V4576" t="str"><v>Retargeting</v></cell><cell r="W4576" t="str"><v>Social</v></cell><cell r="X4576" t="str"><v>1x1</v></cell></row><row r="4576"><cell r="AA4576"><v>43314</v></cell><cell r="AB4576" t="str"><v>AUS_gaPMG_AZR_AZR_Q1_19_Trial-Social</v></cell><cell r="AC4576"><v>21358568</v></cell><cell r="AD4576"><v>720191</v></cell><cell r="AE4576" t="str"><v>Facebook</v></cell><cell r="AF4576"><v>3654128</v></cell><cell r="AG4576" t="str"><v>Facebook»Retargeting»1x1»TextLink»SOC»DT»DYN»RT»W»NA»SS»NA»Free Account Refresh- Illustration ChC</v></cell><cell r="AH4576"><v>224160732</v></cell><cell r="AI4576" t="str"><v>AzurePlatform_FreeAcctAppsFACEBOOKIllustrationChC_AUS_1200x628_SOC_PLAT_EN_Trial_Standard_NA_SNU_T3_1</v></cell><cell r="AJ4576"><v>103186910</v></cell></row><row r="4577"><cell r="C4577" t="str"><v>43314Facebook»Retargeting»1x1»TextLink»SOC»DT»DYN»RT»W»NA»SS»NA»Free Account Refresh- Lifestyle ChA</v></cell><cell r="D4577" t="str"><v>43314224160729</v></cell><cell r="E4577" t="str"><v>43314103048488le ChA</v></cell><cell r="F4577" t="str"><v>DCM</v></cell></row><row r="4577"><cell r="K4577" t="str"><v>August</v></cell><cell r="L4577"><v>43316</v></cell><cell r="M4577" t="str"><v>Tier 1</v></cell><cell r="N4577" t="str"><v>APAC</v></cell><cell r="O4577" t="str"><v>Australia</v></cell><cell r="P4577" t="str"><v>Trial</v></cell><cell r="Q4577" t="str"><v>Social</v></cell><cell r="R4577" t="str"><v>Azure</v></cell><cell r="S4577" t="str"><v>Apps & Infra</v></cell><cell r="T4577" t="str"><v>Developers & ITI's</v></cell><cell r="U4577" t="str"><v>Retargeting</v></cell><cell r="V4577" t="str"><v>Retargeting</v></cell><cell r="W4577" t="str"><v>Social</v></cell><cell r="X4577" t="str"><v>1x1</v></cell></row><row r="4577"><cell r="AA4577"><v>43314</v></cell><cell r="AB4577" t="str"><v>AUS_gaPMG_AZR_AZR_Q1_19_Trial-Social</v></cell><cell r="AC4577"><v>21358568</v></cell><cell r="AD4577"><v>720191</v></cell><cell r="AE4577" t="str"><v>Facebook</v></cell><cell r="AF4577"><v>3654128</v></cell><cell r="AG4577" t="str"><v>Facebook»Retargeting»1x1»TextLink»SOC»DT»DYN»RT»W»NA»SS»NA»Free Account Refresh- Lifestyle ChA</v></cell><cell r="AH4577"><v>224160729</v></cell><cell r="AI4577" t="str"><v>AzurePlatform_FreeAcctAppsFACEBOOKLifestyleChA_AUS_1200x628_SOC_PLAT_EN_Trial_Standard_NA_SNU_T1_1</v></cell><cell r="AJ4577"><v>103048488</v></cell></row><row r="4578"><cell r="C4578" t="str"><v>43314Facebook»AZR»1x1»NA»EGV»ALL»DYN»AUT»D»All»SS»NA»Free Acc CTC - T1 - EN</v></cell><cell r="D4578" t="str"><v>43314223684451</v></cell><cell r="E4578" t="str"><v>433141029018821 - EN</v></cell><cell r="F4578" t="str"><v>DCM</v></cell><cell r="G4578" t="str"><v>https://signup.azure.com/</v></cell></row><row r="4578"><cell r="K4578" t="str"><v>August</v></cell><cell r="L4578"><v>43316</v></cell><cell r="M4578" t="str"><v>Tier 1</v></cell><cell r="N4578" t="str"><v>North America</v></cell><cell r="O4578" t="str"><v>Canada</v></cell><cell r="P4578" t="str"><v>Trial</v></cell><cell r="Q4578" t="str"><v>Social</v></cell><cell r="R4578" t="str"><v>Azure</v></cell><cell r="S4578" t="str"><v>Apps & Infra</v></cell><cell r="T4578" t="str"><v>Developers & ITI's</v></cell><cell r="U4578" t="str"><v>AZR</v></cell><cell r="V4578" t="str"><v>Audience Targeting</v></cell><cell r="W4578" t="str"><v>Engagement Video</v></cell><cell r="X4578" t="str"><v>1x1</v></cell></row><row r="4578"><cell r="AA4578"><v>43314</v></cell><cell r="AB4578" t="str"><v>CAN_gaPMG_AZR_AZR_Q1_19_Trial-Social</v></cell><cell r="AC4578"><v>21337220</v></cell><cell r="AD4578"><v>720192</v></cell><cell r="AE4578" t="str"><v>Facebook</v></cell><cell r="AF4578"><v>3654128</v></cell><cell r="AG4578" t="str"><v>Facebook»AZR»1x1»NA»EGV»ALL»DYN»AUT»D»All»SS»NA»Free Acc CTC - T1 - EN</v></cell><cell r="AH4578"><v>223684451</v></cell><cell r="AI4578" t="str"><v>AzurePlatform_FBCTCBasicMotion_CAN_10s_ISV_PLAT_English_Trial_Standard_STAN_TN_T1_1</v></cell><cell r="AJ4578"><v>102901882</v></cell></row><row r="4579"><cell r="C4579" t="str"><v>43314Facebook»AZR»1x1»NA»EGV»ALL»DYN»AUT»D»All»SS»NA»Free Acc CTC - T1 - FR</v></cell><cell r="D4579" t="str"><v>43314223691801</v></cell><cell r="E4579" t="str"><v>433141030533231 - FR</v></cell><cell r="F4579" t="str"><v>DCM</v></cell><cell r="G4579" t="str"><v>https://signup.azure.com/</v></cell></row><row r="4579"><cell r="K4579" t="str"><v>August</v></cell><cell r="L4579"><v>43316</v></cell><cell r="M4579" t="str"><v>Tier 1</v></cell><cell r="N4579" t="str"><v>North America</v></cell><cell r="O4579" t="str"><v>Canada</v></cell><cell r="P4579" t="str"><v>Trial</v></cell><cell r="Q4579" t="str"><v>Social</v></cell><cell r="R4579" t="str"><v>Azure</v></cell><cell r="S4579" t="str"><v>Apps & Infra</v></cell><cell r="T4579" t="str"><v>Developers & ITI's</v></cell><cell r="U4579" t="str"><v>AZR</v></cell><cell r="V4579" t="str"><v>Audience Targeting</v></cell><cell r="W4579" t="str"><v>Engagement Video</v></cell><cell r="X4579" t="str"><v>1x1</v></cell></row><row r="4579"><cell r="AA4579"><v>43314</v></cell><cell r="AB4579" t="str"><v>CAN_gaPMG_AZR_AZR_Q1_19_Trial-Social</v></cell><cell r="AC4579"><v>21337220</v></cell><cell r="AD4579"><v>720192</v></cell><cell r="AE4579" t="str"><v>Facebook</v></cell><cell r="AF4579"><v>3654128</v></cell><cell r="AG4579" t="str"><v>Facebook»AZR»1x1»NA»EGV»ALL»DYN»AUT»D»All»SS»NA»Free Acc CTC - T1 - FR</v></cell><cell r="AH4579"><v>223691801</v></cell><cell r="AI4579" t="str"><v>AzurePlatform_FBCTCBasicMotion_CAN_10s_ISV_PLAT_FR_Trial_Standard_STAN_TN_T1_1</v></cell><cell r="AJ4579"><v>103053323</v></cell></row><row r="4580"><cell r="C4580" t="str"><v>43314Facebook»AZR»1x1»NA»EGV»ALL»DYN»AUT»D»All»SS»NA»Free Acc CTC - T2 - EN</v></cell><cell r="D4580" t="str"><v>43314223691840</v></cell><cell r="E4580" t="str"><v>433141029029502 - EN</v></cell><cell r="F4580" t="str"><v>DCM</v></cell><cell r="G4580" t="str"><v>https://signup.azure.com/</v></cell></row><row r="4580"><cell r="K4580" t="str"><v>August</v></cell><cell r="L4580"><v>43316</v></cell><cell r="M4580" t="str"><v>Tier 1</v></cell><cell r="N4580" t="str"><v>North America</v></cell><cell r="O4580" t="str"><v>Canada</v></cell><cell r="P4580" t="str"><v>Trial</v></cell><cell r="Q4580" t="str"><v>Social</v></cell><cell r="R4580" t="str"><v>Azure</v></cell><cell r="S4580" t="str"><v>Apps & Infra</v></cell><cell r="T4580" t="str"><v>Developers & ITI's</v></cell><cell r="U4580" t="str"><v>AZR</v></cell><cell r="V4580" t="str"><v>Audience Targeting</v></cell><cell r="W4580" t="str"><v>Engagement Video</v></cell><cell r="X4580" t="str"><v>1x1</v></cell></row><row r="4580"><cell r="AA4580"><v>43314</v></cell><cell r="AB4580" t="str"><v>CAN_gaPMG_AZR_AZR_Q1_19_Trial-Social</v></cell><cell r="AC4580"><v>21337220</v></cell><cell r="AD4580"><v>720192</v></cell><cell r="AE4580" t="str"><v>Facebook</v></cell><cell r="AF4580"><v>3654128</v></cell><cell r="AG4580" t="str"><v>Facebook»AZR»1x1»NA»EGV»ALL»DYN»AUT»D»All»SS»NA»Free Acc CTC - T2 - EN</v></cell><cell r="AH4580"><v>223691840</v></cell><cell r="AI4580" t="str"><v>AzurePlatform_FBCTCBrandinMotion_CAN_12s_ISV_PLAT_English_Trial_Standard_STAN_TN_T2_1</v></cell><cell r="AJ4580"><v>102902950</v></cell></row><row r="4581"><cell r="C4581" t="str"><v>43314Facebook»AZR»1x1»NA»EGV»ALL»DYN»AUT»D»All»SS»NA»Free Acc CTC - T4 - EN</v></cell><cell r="D4581" t="str"><v>43314223691837</v></cell><cell r="E4581" t="str"><v>433141030533144 - EN</v></cell><cell r="F4581" t="str"><v>DCM</v></cell><cell r="G4581" t="str"><v>https://signup.azure.com/</v></cell></row><row r="4581"><cell r="K4581" t="str"><v>August</v></cell><cell r="L4581"><v>43316</v></cell><cell r="M4581" t="str"><v>Tier 1</v></cell><cell r="N4581" t="str"><v>North America</v></cell><cell r="O4581" t="str"><v>Canada</v></cell><cell r="P4581" t="str"><v>Trial</v></cell><cell r="Q4581" t="str"><v>Social</v></cell><cell r="R4581" t="str"><v>Azure</v></cell><cell r="S4581" t="str"><v>Apps & Infra</v></cell><cell r="T4581" t="str"><v>Developers & ITI's</v></cell><cell r="U4581" t="str"><v>AZR</v></cell><cell r="V4581" t="str"><v>Audience Targeting</v></cell><cell r="W4581" t="str"><v>Engagement Video</v></cell><cell r="X4581" t="str"><v>1x1</v></cell></row><row r="4581"><cell r="AA4581"><v>43314</v></cell><cell r="AB4581" t="str"><v>CAN_gaPMG_AZR_AZR_Q1_19_Trial-Social</v></cell><cell r="AC4581"><v>21337220</v></cell><cell r="AD4581"><v>720192</v></cell><cell r="AE4581" t="str"><v>Facebook</v></cell><cell r="AF4581"><v>3654128</v></cell><cell r="AG4581" t="str"><v>Facebook»AZR»1x1»NA»EGV»ALL»DYN»AUT»D»All»SS»NA»Free Acc CTC - T4 - EN</v></cell><cell r="AH4581"><v>223691837</v></cell><cell r="AI4581" t="str"><v>AzurePlatform_FBCTCBenefit2inMotion_CAN_14s_ISV_PLAT_English_Trial_Standard_STAN_TN_T4_1</v></cell><cell r="AJ4581"><v>103053314</v></cell></row><row r="4582"><cell r="C4582" t="str"><v>43314Facebook»AZR»1x1»NA»SOC»ALL»DYN»PRO»D»All»SS»NA»Canvas - Buy Now - EN</v></cell><cell r="D4582" t="str"><v>43314225322327</v></cell><cell r="E4582" t="str"><v>43314103902287w - EN</v></cell><cell r="F4582" t="str"><v>DCM</v></cell><cell r="G4582" t="str"><v>https://azure.microsoft.com/en-ca/pricing/purchase-options/</v></cell></row><row r="4582"><cell r="K4582" t="str"><v>August</v></cell><cell r="L4582"><v>43316</v></cell><cell r="M4582" t="str"><v>Tier 1</v></cell><cell r="N4582" t="str"><v>North America</v></cell><cell r="O4582" t="str"><v>Canada</v></cell><cell r="P4582" t="str"><v>Trial</v></cell><cell r="Q4582" t="str"><v>Social</v></cell><cell r="R4582" t="str"><v>Azure</v></cell><cell r="S4582" t="str"><v>Apps & Infra</v></cell><cell r="T4582" t="str"><v>Developers & ITI's</v></cell><cell r="U4582" t="str"><v>AZR</v></cell><cell r="V4582" t="str"><v>Prospecting</v></cell><cell r="W4582" t="str"><v>Social</v></cell><cell r="X4582" t="str"><v>1x1</v></cell></row><row r="4582"><cell r="AA4582"><v>43314</v></cell><cell r="AB4582" t="str"><v>CAN_gaPMG_AZR_AZR_Q1_19_Trial-Social</v></cell><cell r="AC4582"><v>21337220</v></cell><cell r="AD4582"><v>720192</v></cell><cell r="AE4582" t="str"><v>Facebook</v></cell><cell r="AF4582"><v>3654128</v></cell><cell r="AG4582" t="str"><v>Facebook»AZR»1x1»NA»SOC»ALL»DYN»PRO»D»All»SS»NA»Canvas - Buy Now - EN</v></cell><cell r="AH4582"><v>225322327</v></cell><cell r="AI4582" t="str"><v>AzurePlatform_FBCTCcanvaspage-BuyNowCTA-Img3_CAN_1080x162_SOC_Plat_English_NA_Standard_NA_BN_T3_1</v></cell><cell r="AJ4582"><v>103902287</v></cell></row><row r="4583"><cell r="C4583" t="str"><v>43314Facebook»AZR»1x1»NA»SOC»ALL»DYN»PRO»D»All»SS»NA»Canvas - Buy Now - FR</v></cell><cell r="D4583" t="str"><v>43314225322324</v></cell><cell r="E4583" t="str"><v>43314103789915w - FR</v></cell><cell r="F4583" t="str"><v>DCM</v></cell><cell r="G4583" t="str"><v>https://azure.microsoft.com/fr-ca/pricing/purchase-options/</v></cell></row><row r="4583"><cell r="K4583" t="str"><v>August</v></cell><cell r="L4583"><v>43316</v></cell><cell r="M4583" t="str"><v>Tier 1</v></cell><cell r="N4583" t="str"><v>North America</v></cell><cell r="O4583" t="str"><v>Canada</v></cell><cell r="P4583" t="str"><v>Trial</v></cell><cell r="Q4583" t="str"><v>Social</v></cell><cell r="R4583" t="str"><v>Azure</v></cell><cell r="S4583" t="str"><v>Apps & Infra</v></cell><cell r="T4583" t="str"><v>Developers & ITI's</v></cell><cell r="U4583" t="str"><v>AZR</v></cell><cell r="V4583" t="str"><v>Prospecting</v></cell><cell r="W4583" t="str"><v>Social</v></cell><cell r="X4583" t="str"><v>1x1</v></cell></row><row r="4583"><cell r="AA4583"><v>43314</v></cell><cell r="AB4583" t="str"><v>CAN_gaPMG_AZR_AZR_Q1_19_Trial-Social</v></cell><cell r="AC4583"><v>21337220</v></cell><cell r="AD4583"><v>720192</v></cell><cell r="AE4583" t="str"><v>Facebook</v></cell><cell r="AF4583"><v>3654128</v></cell><cell r="AG4583" t="str"><v>Facebook»AZR»1x1»NA»SOC»ALL»DYN»PRO»D»All»SS»NA»Canvas - Buy Now - FR</v></cell><cell r="AH4583"><v>225322324</v></cell><cell r="AI4583" t="str"><v>AzurePlatform_FBCTCcanvaspage-BuyNowCTA-Img3_CAN_1080x162_SOC_Plat_French_NA_Standard_NA_BN_T3_1</v></cell><cell r="AJ4583"><v>103789915</v></cell></row><row r="4584"><cell r="C4584" t="str"><v>43314Facebook»AZR»1x1»NA»SOC»ALL»DYN»PRO»D»All»SS»NA»Canvas - Start Free - EN</v></cell><cell r="D4584" t="str"><v>43314225252365</v></cell><cell r="E4584" t="str"><v>43314103807590e - EN</v></cell><cell r="F4584" t="str"><v>DCM</v></cell><cell r="G4584" t="str"><v>https://signup.azure.com/signup?offer=ms-azr-0044p&appId=102&ref=paidmedia-social-fb&redirectURL=https%3a%2f%2fazure.microsoft.com%2fen-ca%2fget-started%2fwelcome-to-azure%2f&l=en-ca&correlationId=ead86c34-1f10-49dd-a72b-6918462a2cbf</v></cell></row><row r="4584"><cell r="K4584" t="str"><v>August</v></cell><cell r="L4584"><v>43316</v></cell><cell r="M4584" t="str"><v>Tier 1</v></cell><cell r="N4584" t="str"><v>North America</v></cell><cell r="O4584" t="str"><v>Canada</v></cell><cell r="P4584" t="str"><v>Trial</v></cell><cell r="Q4584" t="str"><v>Social</v></cell><cell r="R4584" t="str"><v>Azure</v></cell><cell r="S4584" t="str"><v>Apps & Infra</v></cell><cell r="T4584" t="str"><v>Developers & ITI's</v></cell><cell r="U4584" t="str"><v>AZR</v></cell><cell r="V4584" t="str"><v>Prospecting</v></cell><cell r="W4584" t="str"><v>Social</v></cell><cell r="X4584" t="str"><v>1x1</v></cell></row><row r="4584"><cell r="AA4584"><v>43314</v></cell><cell r="AB4584" t="str"><v>CAN_gaPMG_AZR_AZR_Q1_19_Trial-Social</v></cell><cell r="AC4584"><v>21337220</v></cell><cell r="AD4584"><v>720192</v></cell><cell r="AE4584" t="str"><v>Facebook</v></cell><cell r="AF4584"><v>3654128</v></cell><cell r="AG4584" t="str"><v>Facebook»AZR»1x1»NA»SOC»ALL»DYN»PRO»D»All»SS»NA»Canvas - Start Free - EN</v></cell><cell r="AH4584"><v>225252365</v></cell><cell r="AI4584" t="str"><v>AzurePlatform_FBCTCcanvaspage-StartFreeCTA-Img2_CAN_1080x143 _SOC_Plat_English_NA_Standard_NA_NA_T2_1</v></cell><cell r="AJ4584"><v>103807590</v></cell></row><row r="4585"><cell r="C4585" t="str"><v>43314Facebook»AZR»1x1»NA»SOC»ALL»DYN»PRO»D»All»SS»NA»Canvas - Start Free - FR</v></cell><cell r="D4585" t="str"><v>43314225525936</v></cell><cell r="E4585" t="str"><v>43314103902551e - FR</v></cell><cell r="F4585" t="str"><v>DCM</v></cell><cell r="G4585" t="str"><v>https://signup.azure.com/signup?offer=ms-azr-0044p&appId=102&ref=paidmedia-social-fb&redirectURL=https%3a%2f%2fazure.microsoft.com%2ffr-ca%2fget-started%2fwelcome-to-azure%2f&l=fr-ca&correlationId=ead86c34-1f10-49dd-a72b-6918462a2cbf</v></cell></row><row r="4585"><cell r="K4585" t="str"><v>August</v></cell><cell r="L4585"><v>43316</v></cell><cell r="M4585" t="str"><v>Tier 1</v></cell><cell r="N4585" t="str"><v>North America</v></cell><cell r="O4585" t="str"><v>Canada</v></cell><cell r="P4585" t="str"><v>Trial</v></cell><cell r="Q4585" t="str"><v>Social</v></cell><cell r="R4585" t="str"><v>Azure</v></cell><cell r="S4585" t="str"><v>Apps & Infra</v></cell><cell r="T4585" t="str"><v>Developers & ITI's</v></cell><cell r="U4585" t="str"><v>AZR</v></cell><cell r="V4585" t="str"><v>Prospecting</v></cell><cell r="W4585" t="str"><v>Social</v></cell><cell r="X4585" t="str"><v>1x1</v></cell></row><row r="4585"><cell r="AA4585"><v>43314</v></cell><cell r="AB4585" t="str"><v>CAN_gaPMG_AZR_AZR_Q1_19_Trial-Social</v></cell><cell r="AC4585"><v>21337220</v></cell><cell r="AD4585"><v>720192</v></cell><cell r="AE4585" t="str"><v>Facebook</v></cell><cell r="AF4585"><v>3654128</v></cell><cell r="AG4585" t="str"><v>Facebook»AZR»1x1»NA»SOC»ALL»DYN»PRO»D»All»SS»NA»Canvas - Start Free - FR</v></cell><cell r="AH4585"><v>225525936</v></cell><cell r="AI4585" t="str"><v>AzurePlatform_FBCTCcanvaspage-StartFreeCTA-Img2_CAN_1080x143 _SOC_Plat_French_NA_Standard_NA_NA_T2_1</v></cell><cell r="AJ4585"><v>103902551</v></cell></row><row r="4586"><cell r="C4586" t="str"><v>43314Facebook»AZR»1x1»SocialBan»NA»ALL»DYN»AUT»D»All»SS»NA»Free Acc Refresh - T1 - FR</v></cell><cell r="D4586" t="str"><v>43314223691762</v></cell><cell r="E4586" t="str"><v>433141029029741 - FR</v></cell><cell r="F4586" t="str"><v>DCM</v></cell><cell r="G4586" t="str"><v>https://azure.microsoft.com/fr-ca/free/search/</v></cell></row><row r="4586"><cell r="K4586" t="str"><v>August</v></cell><cell r="L4586"><v>43316</v></cell><cell r="M4586" t="str"><v>Tier 1</v></cell><cell r="N4586" t="str"><v>North America</v></cell><cell r="O4586" t="str"><v>Canada</v></cell><cell r="P4586" t="str"><v>Trial</v></cell><cell r="Q4586" t="str"><v>Social</v></cell><cell r="R4586" t="str"><v>Azure</v></cell><cell r="S4586" t="str"><v>Apps & Infra</v></cell><cell r="T4586" t="str"><v>Developers & ITI's</v></cell><cell r="U4586" t="str"><v>AZR</v></cell><cell r="V4586" t="str"><v>Audience Targeting</v></cell><cell r="W4586" t="str"><v>NotApplicable</v></cell><cell r="X4586" t="str"><v>1x1</v></cell></row><row r="4586"><cell r="AA4586"><v>43314</v></cell><cell r="AB4586" t="str"><v>CAN_gaPMG_AZR_AZR_Q1_19_Trial-Social</v></cell><cell r="AC4586"><v>21337220</v></cell><cell r="AD4586"><v>720192</v></cell><cell r="AE4586" t="str"><v>Facebook</v></cell><cell r="AF4586"><v>3654128</v></cell><cell r="AG4586" t="str"><v>Facebook»AZR»1x1»SocialBan»NA»ALL»DYN»AUT»D»All»SS»NA»Free Acc Refresh - T1 - FR</v></cell><cell r="AH4586"><v>223691762</v></cell><cell r="AI4586" t="str"><v>AzurePlatform_FreeAcctAppsFACEBOOKLifestyleChA_CAN_1200x628_SOC_PLAT_FR_Trial_Standard_NA_SU_T1_1.png</v></cell><cell r="AJ4586"><v>102902974</v></cell></row><row r="4587"><cell r="C4587" t="str"><v>43314Facebook»AZR»1x1»SocialBan»NA»ALL»DYN»AUT»D»All»SS»NA»Free Acc Refresh - T2 - EN</v></cell><cell r="D4587" t="str"><v>43314223691810</v></cell><cell r="E4587" t="str"><v>433141030587112 - EN</v></cell><cell r="F4587" t="str"><v>DCM</v></cell><cell r="G4587" t="str"><v>https://azure.microsoft.com/en-CA/free/search/</v></cell></row><row r="4587"><cell r="K4587" t="str"><v>August</v></cell><cell r="L4587"><v>43316</v></cell><cell r="M4587" t="str"><v>Tier 1</v></cell><cell r="N4587" t="str"><v>North America</v></cell><cell r="O4587" t="str"><v>Canada</v></cell><cell r="P4587" t="str"><v>Trial</v></cell><cell r="Q4587" t="str"><v>Social</v></cell><cell r="R4587" t="str"><v>Azure</v></cell><cell r="S4587" t="str"><v>Apps & Infra</v></cell><cell r="T4587" t="str"><v>Developers & ITI's</v></cell><cell r="U4587" t="str"><v>AZR</v></cell><cell r="V4587" t="str"><v>Audience Targeting</v></cell><cell r="W4587" t="str"><v>NotApplicable</v></cell><cell r="X4587" t="str"><v>1x1</v></cell></row><row r="4587"><cell r="AA4587"><v>43314</v></cell><cell r="AB4587" t="str"><v>CAN_gaPMG_AZR_AZR_Q1_19_Trial-Social</v></cell><cell r="AC4587"><v>21337220</v></cell><cell r="AD4587"><v>720192</v></cell><cell r="AE4587" t="str"><v>Facebook</v></cell><cell r="AF4587"><v>3654128</v></cell><cell r="AG4587" t="str"><v>Facebook»AZR»1x1»SocialBan»NA»ALL»DYN»AUT»D»All»SS»NA»Free Acc Refresh - T2 - EN</v></cell><cell r="AH4587"><v>223691810</v></cell><cell r="AI4587" t="str"><v>AzurePlatform_FreeAcctAppsFACEBOOKDeviceChB_CAN_1200x628_SOC_PLAT_EN_Trial_Standard_NA_SU_T2_1.png</v></cell><cell r="AJ4587"><v>103058711</v></cell></row><row r="4588"><cell r="C4588" t="str"><v>43314Facebook»AZR»1x1»SocialBan»NA»ALL»DYN»AUT»D»All»SS»NA»Free Acc Refresh - T2 - FR</v></cell><cell r="D4588" t="str"><v>43314223691768</v></cell><cell r="E4588" t="str"><v>433141029029712 - FR</v></cell><cell r="F4588" t="str"><v>DCM</v></cell><cell r="G4588" t="str"><v>https://azure.microsoft.com/fr-ca/free/search/</v></cell></row><row r="4588"><cell r="K4588" t="str"><v>August</v></cell><cell r="L4588"><v>43316</v></cell><cell r="M4588" t="str"><v>Tier 1</v></cell><cell r="N4588" t="str"><v>North America</v></cell><cell r="O4588" t="str"><v>Canada</v></cell><cell r="P4588" t="str"><v>Trial</v></cell><cell r="Q4588" t="str"><v>Social</v></cell><cell r="R4588" t="str"><v>Azure</v></cell><cell r="S4588" t="str"><v>Apps & Infra</v></cell><cell r="T4588" t="str"><v>Developers & ITI's</v></cell><cell r="U4588" t="str"><v>AZR</v></cell><cell r="V4588" t="str"><v>Audience Targeting</v></cell><cell r="W4588" t="str"><v>NotApplicable</v></cell><cell r="X4588" t="str"><v>1x1</v></cell></row><row r="4588"><cell r="AA4588"><v>43314</v></cell><cell r="AB4588" t="str"><v>CAN_gaPMG_AZR_AZR_Q1_19_Trial-Social</v></cell><cell r="AC4588"><v>21337220</v></cell><cell r="AD4588"><v>720192</v></cell><cell r="AE4588" t="str"><v>Facebook</v></cell><cell r="AF4588"><v>3654128</v></cell><cell r="AG4588" t="str"><v>Facebook»AZR»1x1»SocialBan»NA»ALL»DYN»AUT»D»All»SS»NA»Free Acc Refresh - T2 - FR</v></cell><cell r="AH4588"><v>223691768</v></cell><cell r="AI4588" t="str"><v>AzurePlatform_FreeAcctAppsFACEBOOKDeviceChB_CAN_1200x628_SOC_PLAT_FR_Trial_Standard_NA_SU_T2_1.png</v></cell><cell r="AJ4588"><v>102902971</v></cell></row><row r="4589"><cell r="C4589" t="str"><v>43314Facebook»AZR»1x1»SocialBan»NA»ALL»DYN»AUT»D»All»SS»NA»Free Acc Refresh - T3 - EN</v></cell><cell r="D4589" t="str"><v>43314223691807</v></cell><cell r="E4589" t="str"><v>433141029006853 - EN</v></cell><cell r="F4589" t="str"><v>DCM</v></cell><cell r="G4589" t="str"><v>https://azure.microsoft.com/en-CA/free/search/</v></cell></row><row r="4589"><cell r="K4589" t="str"><v>August</v></cell><cell r="L4589"><v>43316</v></cell><cell r="M4589" t="str"><v>Tier 1</v></cell><cell r="N4589" t="str"><v>North America</v></cell><cell r="O4589" t="str"><v>Canada</v></cell><cell r="P4589" t="str"><v>Trial</v></cell><cell r="Q4589" t="str"><v>Social</v></cell><cell r="R4589" t="str"><v>Azure</v></cell><cell r="S4589" t="str"><v>Apps & Infra</v></cell><cell r="T4589" t="str"><v>Developers & ITI's</v></cell><cell r="U4589" t="str"><v>AZR</v></cell><cell r="V4589" t="str"><v>Audience Targeting</v></cell><cell r="W4589" t="str"><v>NotApplicable</v></cell><cell r="X4589" t="str"><v>1x1</v></cell></row><row r="4589"><cell r="AA4589"><v>43314</v></cell><cell r="AB4589" t="str"><v>CAN_gaPMG_AZR_AZR_Q1_19_Trial-Social</v></cell><cell r="AC4589"><v>21337220</v></cell><cell r="AD4589"><v>720192</v></cell><cell r="AE4589" t="str"><v>Facebook</v></cell><cell r="AF4589"><v>3654128</v></cell><cell r="AG4589" t="str"><v>Facebook»AZR»1x1»SocialBan»NA»ALL»DYN»AUT»D»All»SS»NA»Free Acc Refresh - T3 - EN</v></cell><cell r="AH4589"><v>223691807</v></cell><cell r="AI4589" t="str"><v>AzurePlatform_FreeAcctAppsFACEBOOKIllustrationChC_CAN_1200x628_SOC_PLAT_EN_Trial_Standard_NA_SU_T3_1.png</v></cell><cell r="AJ4589"><v>102900685</v></cell></row><row r="4590"><cell r="C4590" t="str"><v>43314Facebook»AZR»1x1»SocialBan»NA»ALL»DYN»AUT»D»All»SS»NA»Free Acc Refresh - T3 - FR</v></cell><cell r="D4590" t="str"><v>43314223691765</v></cell><cell r="E4590" t="str"><v>433141030533323 - FR</v></cell><cell r="F4590" t="str"><v>DCM</v></cell><cell r="G4590" t="str"><v>https://azure.microsoft.com/fr-ca/free/search/</v></cell></row><row r="4590"><cell r="K4590" t="str"><v>August</v></cell><cell r="L4590"><v>43316</v></cell><cell r="M4590" t="str"><v>Tier 1</v></cell><cell r="N4590" t="str"><v>North America</v></cell><cell r="O4590" t="str"><v>Canada</v></cell><cell r="P4590" t="str"><v>Trial</v></cell><cell r="Q4590" t="str"><v>Social</v></cell><cell r="R4590" t="str"><v>Azure</v></cell><cell r="S4590" t="str"><v>Apps & Infra</v></cell><cell r="T4590" t="str"><v>Developers & ITI's</v></cell><cell r="U4590" t="str"><v>AZR</v></cell><cell r="V4590" t="str"><v>Audience Targeting</v></cell><cell r="W4590" t="str"><v>NotApplicable</v></cell><cell r="X4590" t="str"><v>1x1</v></cell></row><row r="4590"><cell r="AA4590"><v>43314</v></cell><cell r="AB4590" t="str"><v>CAN_gaPMG_AZR_AZR_Q1_19_Trial-Social</v></cell><cell r="AC4590"><v>21337220</v></cell><cell r="AD4590"><v>720192</v></cell><cell r="AE4590" t="str"><v>Facebook</v></cell><cell r="AF4590"><v>3654128</v></cell><cell r="AG4590" t="str"><v>Facebook»AZR»1x1»SocialBan»NA»ALL»DYN»AUT»D»All»SS»NA»Free Acc Refresh - T3 - FR</v></cell><cell r="AH4590"><v>223691765</v></cell><cell r="AI4590" t="str"><v>AzurePlatform_FreeAcctAppsFACEBOOKIllustrationChC_CAN_1200x628_SOC_PLAT_FR_Trial_Standard_NA_SU_T3_1.png</v></cell><cell r="AJ4590"><v>103053332</v></cell></row><row r="4591"><cell r="C4591" t="str"><v>43314Facebook»AZR»1x1»SocialBan»NA»ALL»DYN»AUT»D»All»SS»NA»Free Acc Refresh - T4 - EN</v></cell><cell r="D4591" t="str"><v>43314223691813</v></cell><cell r="E4591" t="str"><v>433141030533204 - EN</v></cell><cell r="F4591" t="str"><v>DCM</v></cell><cell r="G4591" t="str"><v>https://azure.microsoft.com/en-CA/free/search/</v></cell></row><row r="4591"><cell r="K4591" t="str"><v>August</v></cell><cell r="L4591"><v>43316</v></cell><cell r="M4591" t="str"><v>Tier 1</v></cell><cell r="N4591" t="str"><v>North America</v></cell><cell r="O4591" t="str"><v>Canada</v></cell><cell r="P4591" t="str"><v>Trial</v></cell><cell r="Q4591" t="str"><v>Social</v></cell><cell r="R4591" t="str"><v>Azure</v></cell><cell r="S4591" t="str"><v>Apps & Infra</v></cell><cell r="T4591" t="str"><v>Developers & ITI's</v></cell><cell r="U4591" t="str"><v>AZR</v></cell><cell r="V4591" t="str"><v>Audience Targeting</v></cell><cell r="W4591" t="str"><v>NotApplicable</v></cell><cell r="X4591" t="str"><v>1x1</v></cell></row><row r="4591"><cell r="AA4591"><v>43314</v></cell><cell r="AB4591" t="str"><v>CAN_gaPMG_AZR_AZR_Q1_19_Trial-Social</v></cell><cell r="AC4591"><v>21337220</v></cell><cell r="AD4591"><v>720192</v></cell><cell r="AE4591" t="str"><v>Facebook</v></cell><cell r="AF4591"><v>3654128</v></cell><cell r="AG4591" t="str"><v>Facebook»AZR»1x1»SocialBan»NA»ALL»DYN»AUT»D»All»SS»NA»Free Acc Refresh - T4 - EN</v></cell><cell r="AH4591"><v>223691813</v></cell><cell r="AI4591" t="str"><v>AzurePlatform_FreeAcctAppsFACEBOOK200CreditChD_CAN_1200x628_SOC_PLAT_EN_Trial_Standard_NA_SU_T4_1.png</v></cell><cell r="AJ4591"><v>103053320</v></cell></row><row r="4592"><cell r="C4592" t="str"><v>43314Facebook»AZR»1x1»SocialBan»NA»ALL»DYN»AUT»D»All»SS»NA»Free Acc Refresh - T4 - FR</v></cell><cell r="D4592" t="str"><v>43314223691771</v></cell><cell r="E4592" t="str"><v>433141029029684 - FR</v></cell><cell r="F4592" t="str"><v>DCM</v></cell><cell r="G4592" t="str"><v>https://azure.microsoft.com/fr-ca/free/search/</v></cell></row><row r="4592"><cell r="K4592" t="str"><v>August</v></cell><cell r="L4592"><v>43316</v></cell><cell r="M4592" t="str"><v>Tier 1</v></cell><cell r="N4592" t="str"><v>North America</v></cell><cell r="O4592" t="str"><v>Canada</v></cell><cell r="P4592" t="str"><v>Trial</v></cell><cell r="Q4592" t="str"><v>Social</v></cell><cell r="R4592" t="str"><v>Azure</v></cell><cell r="S4592" t="str"><v>Apps & Infra</v></cell><cell r="T4592" t="str"><v>Developers & ITI's</v></cell><cell r="U4592" t="str"><v>AZR</v></cell><cell r="V4592" t="str"><v>Audience Targeting</v></cell><cell r="W4592" t="str"><v>NotApplicable</v></cell><cell r="X4592" t="str"><v>1x1</v></cell></row><row r="4592"><cell r="AA4592"><v>43314</v></cell><cell r="AB4592" t="str"><v>CAN_gaPMG_AZR_AZR_Q1_19_Trial-Social</v></cell><cell r="AC4592"><v>21337220</v></cell><cell r="AD4592"><v>720192</v></cell><cell r="AE4592" t="str"><v>Facebook</v></cell><cell r="AF4592"><v>3654128</v></cell><cell r="AG4592" t="str"><v>Facebook»AZR»1x1»SocialBan»NA»ALL»DYN»AUT»D»All»SS»NA»Free Acc Refresh - T4 - FR</v></cell><cell r="AH4592"><v>223691771</v></cell><cell r="AI4592" t="str"><v>AzurePlatform_FreeAcctAppsFACEBOOK200CreditChD_CAN_1200x628_SOC_PLAT_FR_Trial_Standard_NA_SU_T4_1.png</v></cell><cell r="AJ4592"><v>102902968</v></cell></row><row r="4593"><cell r="C4593" t="str"><v>43314Facebook»AZR»1x1»SocialBan»NA»ALL»DYN»AUT»D»All»SS»NA»Free Acc Refresh - T5 - EN</v></cell><cell r="D4593" t="str"><v>43314223691816</v></cell><cell r="E4593" t="str"><v>433141029163415 - EN</v></cell><cell r="F4593" t="str"><v>DCM</v></cell><cell r="G4593" t="str"><v>https://azure.microsoft.com/en-CA/free/search/</v></cell></row><row r="4593"><cell r="K4593" t="str"><v>August</v></cell><cell r="L4593"><v>43316</v></cell><cell r="M4593" t="str"><v>Tier 1</v></cell><cell r="N4593" t="str"><v>North America</v></cell><cell r="O4593" t="str"><v>Canada</v></cell><cell r="P4593" t="str"><v>Trial</v></cell><cell r="Q4593" t="str"><v>Social</v></cell><cell r="R4593" t="str"><v>Azure</v></cell><cell r="S4593" t="str"><v>Apps & Infra</v></cell><cell r="T4593" t="str"><v>Developers & ITI's</v></cell><cell r="U4593" t="str"><v>AZR</v></cell><cell r="V4593" t="str"><v>Audience Targeting</v></cell><cell r="W4593" t="str"><v>NotApplicable</v></cell><cell r="X4593" t="str"><v>1x1</v></cell></row><row r="4593"><cell r="AA4593"><v>43314</v></cell><cell r="AB4593" t="str"><v>CAN_gaPMG_AZR_AZR_Q1_19_Trial-Social</v></cell><cell r="AC4593"><v>21337220</v></cell><cell r="AD4593"><v>720192</v></cell><cell r="AE4593" t="str"><v>Facebook</v></cell><cell r="AF4593"><v>3654128</v></cell><cell r="AG4593" t="str"><v>Facebook»AZR»1x1»SocialBan»NA»ALL»DYN»AUT»D»All»SS»NA»Free Acc Refresh - T5 - EN</v></cell><cell r="AH4593"><v>223691816</v></cell><cell r="AI4593" t="str"><v>AzurePlatform_FreeAcctAppsFACEBOOK12monthsChE_CAN_1200x628_SOC_PLAT_EN_Trial_Standard_NA_SU_T5_1.png</v></cell><cell r="AJ4593"><v>102916341</v></cell></row><row r="4594"><cell r="C4594" t="str"><v>43314Facebook»AZR»1x1»SocialBan»NA»ALL»DYN»RT»D»All»SS»NA» Free Account Retargeting OSS - T1 - EN</v></cell><cell r="D4594" t="str"><v>43314223691828</v></cell><cell r="E4594" t="str"><v>433141029029561 - EN</v></cell><cell r="F4594" t="str"><v>DCM</v></cell><cell r="G4594" t="str"><v>https://azure.microsoft.com/en-ca/free/open-source/search/</v></cell></row><row r="4594"><cell r="K4594" t="str"><v>August</v></cell><cell r="L4594"><v>43316</v></cell><cell r="M4594" t="str"><v>Tier 1</v></cell><cell r="N4594" t="str"><v>North America</v></cell><cell r="O4594" t="str"><v>Canada</v></cell><cell r="P4594" t="str"><v>Trial</v></cell><cell r="Q4594" t="str"><v>Social</v></cell><cell r="R4594" t="str"><v>Azure</v></cell><cell r="S4594" t="str"><v>Apps & Infra</v></cell><cell r="T4594" t="str"><v>Developers & ITI's</v></cell><cell r="U4594" t="str"><v>AZR</v></cell><cell r="V4594" t="str"><v>Retargeting</v></cell><cell r="W4594" t="str"><v>NotApplicable</v></cell><cell r="X4594" t="str"><v>1x1</v></cell></row><row r="4594"><cell r="AA4594"><v>43314</v></cell><cell r="AB4594" t="str"><v>CAN_gaPMG_AZR_AZR_Q1_19_Trial-Social</v></cell><cell r="AC4594"><v>21337220</v></cell><cell r="AD4594"><v>720192</v></cell><cell r="AE4594" t="str"><v>Facebook</v></cell><cell r="AF4594"><v>3654128</v></cell><cell r="AG4594" t="str"><v>Facebook»AZR»1x1»SocialBan»NA»ALL»DYN»RT»D»All»SS»NA» Free Account Retargeting OSS - T1 - EN</v></cell><cell r="AH4594"><v>223691828</v></cell><cell r="AI4594" t="str"><v>AzurePlatform_FreeAcctRetargetingOSSFB-Text-ChF_CAN_1200x628_SOC_Plat_EN_Free Account_Standard_NA_SU_T1_1</v></cell><cell r="AJ4594"><v>102902956</v></cell></row><row r="4595"><cell r="C4595" t="str"><v>43314Facebook»AZR»1x1»SocialBan»NA»ALL»DYN»RT»D»All»SS»NA» Free Account Retargeting OSS - T1 - FR</v></cell><cell r="D4595" t="str"><v>43314223691786</v></cell><cell r="E4595" t="str"><v>433141030587201 - FR</v></cell><cell r="F4595" t="str"><v>DCM</v></cell><cell r="G4595" t="str"><v>https://azure.microsoft.com/fr-ca/free/open-source/search/</v></cell></row><row r="4595"><cell r="K4595" t="str"><v>August</v></cell><cell r="L4595"><v>43316</v></cell><cell r="M4595" t="str"><v>Tier 1</v></cell><cell r="N4595" t="str"><v>North America</v></cell><cell r="O4595" t="str"><v>Canada</v></cell><cell r="P4595" t="str"><v>Trial</v></cell><cell r="Q4595" t="str"><v>Social</v></cell><cell r="R4595" t="str"><v>Azure</v></cell><cell r="S4595" t="str"><v>Apps & Infra</v></cell><cell r="T4595" t="str"><v>Developers & ITI's</v></cell><cell r="U4595" t="str"><v>AZR</v></cell><cell r="V4595" t="str"><v>Retargeting</v></cell><cell r="W4595" t="str"><v>NotApplicable</v></cell><cell r="X4595" t="str"><v>1x1</v></cell></row><row r="4595"><cell r="AA4595"><v>43314</v></cell><cell r="AB4595" t="str"><v>CAN_gaPMG_AZR_AZR_Q1_19_Trial-Social</v></cell><cell r="AC4595"><v>21337220</v></cell><cell r="AD4595"><v>720192</v></cell><cell r="AE4595" t="str"><v>Facebook</v></cell><cell r="AF4595"><v>3654128</v></cell><cell r="AG4595" t="str"><v>Facebook»AZR»1x1»SocialBan»NA»ALL»DYN»RT»D»All»SS»NA» Free Account Retargeting OSS - T1 - FR</v></cell><cell r="AH4595"><v>223691786</v></cell><cell r="AI4595" t="str"><v>AzurePlatform_FreeAcctRetargetingOSSFB-Text-ChF_CAN_1200x628_SOC_Plat_FR_Free Account_Standard_NA_SU_T1_1</v></cell><cell r="AJ4595"><v>103058720</v></cell></row><row r="4596"><cell r="C4596" t="str"><v>43314Facebook»AZR»1x1»SocialBan»NA»ALL»DYN»RT»D»All»SS»NA» Free Account Retargeting OSS - T2 - EN</v></cell><cell r="D4596" t="str"><v>43314223691831</v></cell><cell r="E4596" t="str"><v>433141029138002 - EN</v></cell><cell r="F4596" t="str"><v>DCM</v></cell><cell r="G4596" t="str"><v>https://azure.microsoft.com/en-ca/free/open-source/search/</v></cell></row><row r="4596"><cell r="K4596" t="str"><v>August</v></cell><cell r="L4596"><v>43316</v></cell><cell r="M4596" t="str"><v>Tier 1</v></cell><cell r="N4596" t="str"><v>North America</v></cell><cell r="O4596" t="str"><v>Canada</v></cell><cell r="P4596" t="str"><v>Trial</v></cell><cell r="Q4596" t="str"><v>Social</v></cell><cell r="R4596" t="str"><v>Azure</v></cell><cell r="S4596" t="str"><v>Apps & Infra</v></cell><cell r="T4596" t="str"><v>Developers & ITI's</v></cell><cell r="U4596" t="str"><v>AZR</v></cell><cell r="V4596" t="str"><v>Retargeting</v></cell><cell r="W4596" t="str"><v>NotApplicable</v></cell><cell r="X4596" t="str"><v>1x1</v></cell></row><row r="4596"><cell r="AA4596"><v>43314</v></cell><cell r="AB4596" t="str"><v>CAN_gaPMG_AZR_AZR_Q1_19_Trial-Social</v></cell><cell r="AC4596"><v>21337220</v></cell><cell r="AD4596"><v>720192</v></cell><cell r="AE4596" t="str"><v>Facebook</v></cell><cell r="AF4596"><v>3654128</v></cell><cell r="AG4596" t="str"><v>Facebook»AZR»1x1»SocialBan»NA»ALL»DYN»RT»D»All»SS»NA» Free Account Retargeting OSS - T2 - EN</v></cell><cell r="AH4596"><v>223691831</v></cell><cell r="AI4596" t="str"><v>AzurePlatform_FreeAcctRetargetingOSSFB-Logos-ChG_CAN_1200x628_SOC_Plat_EN_Free Account_Standard_NA_SU_T2_1</v></cell><cell r="AJ4596"><v>102913800</v></cell></row><row r="4597"><cell r="C4597" t="str"><v>43314Facebook»AZR»1x1»SocialBan»NA»ALL»DYN»RT»D»All»SS»NA»Free Account Retargeting Generic - T3 - EN</v></cell><cell r="D4597" t="str"><v>43314223691819</v></cell><cell r="E4597" t="str"><v>433141029006823 - EN</v></cell><cell r="F4597" t="str"><v>DCM</v></cell><cell r="G4597" t="str"><v>https://azure.microsoft.com/en-CA/free/search/</v></cell></row><row r="4597"><cell r="K4597" t="str"><v>August</v></cell><cell r="L4597"><v>43316</v></cell><cell r="M4597" t="str"><v>Tier 1</v></cell><cell r="N4597" t="str"><v>North America</v></cell><cell r="O4597" t="str"><v>Canada</v></cell><cell r="P4597" t="str"><v>Trial</v></cell><cell r="Q4597" t="str"><v>Social</v></cell><cell r="R4597" t="str"><v>Azure</v></cell><cell r="S4597" t="str"><v>Apps & Infra</v></cell><cell r="T4597" t="str"><v>Developers & ITI's</v></cell><cell r="U4597" t="str"><v>AZR</v></cell><cell r="V4597" t="str"><v>Retargeting</v></cell><cell r="W4597" t="str"><v>NotApplicable</v></cell><cell r="X4597" t="str"><v>1x1</v></cell></row><row r="4597"><cell r="AA4597"><v>43314</v></cell><cell r="AB4597" t="str"><v>CAN_gaPMG_AZR_AZR_Q1_19_Trial-Social</v></cell><cell r="AC4597"><v>21337220</v></cell><cell r="AD4597"><v>720192</v></cell><cell r="AE4597" t="str"><v>Facebook</v></cell><cell r="AF4597"><v>3654128</v></cell><cell r="AG4597" t="str"><v>Facebook»AZR»1x1»SocialBan»NA»ALL»DYN»RT»D»All»SS»NA»Free Account Retargeting Generic - T3 - EN</v></cell><cell r="AH4597"><v>223691819</v></cell><cell r="AI4597" t="str"><v>AzurePlatform_FreeAcctRetargetingFB-Animated-ChC_CAN_1200x628_SOC_Plat_EN_Free Account_Standard_ANI_SU_T3_1</v></cell><cell r="AJ4597"><v>102900682</v></cell></row><row r="4598"><cell r="C4598" t="str"><v>43314Facebook»AZR»1x1»SocialBan»NA»ALL»DYN»RT»D»All»SS»NA»Free Account Retargeting Generic - T3 - FR</v></cell><cell r="D4598" t="str"><v>43314223691777</v></cell><cell r="E4598" t="str"><v>433141029006973 - FR</v></cell><cell r="F4598" t="str"><v>DCM</v></cell><cell r="G4598" t="str"><v>https://azure.microsoft.com/fr-ca/free/search/</v></cell></row><row r="4598"><cell r="K4598" t="str"><v>August</v></cell><cell r="L4598"><v>43316</v></cell><cell r="M4598" t="str"><v>Tier 1</v></cell><cell r="N4598" t="str"><v>North America</v></cell><cell r="O4598" t="str"><v>Canada</v></cell><cell r="P4598" t="str"><v>Trial</v></cell><cell r="Q4598" t="str"><v>Social</v></cell><cell r="R4598" t="str"><v>Azure</v></cell><cell r="S4598" t="str"><v>Apps & Infra</v></cell><cell r="T4598" t="str"><v>Developers & ITI's</v></cell><cell r="U4598" t="str"><v>AZR</v></cell><cell r="V4598" t="str"><v>Retargeting</v></cell><cell r="W4598" t="str"><v>NotApplicable</v></cell><cell r="X4598" t="str"><v>1x1</v></cell></row><row r="4598"><cell r="AA4598"><v>43314</v></cell><cell r="AB4598" t="str"><v>CAN_gaPMG_AZR_AZR_Q1_19_Trial-Social</v></cell><cell r="AC4598"><v>21337220</v></cell><cell r="AD4598"><v>720192</v></cell><cell r="AE4598" t="str"><v>Facebook</v></cell><cell r="AF4598"><v>3654128</v></cell><cell r="AG4598" t="str"><v>Facebook»AZR»1x1»SocialBan»NA»ALL»DYN»RT»D»All»SS»NA»Free Account Retargeting Generic - T3 - FR</v></cell><cell r="AH4598"><v>223691777</v></cell><cell r="AI4598" t="str"><v>AzurePlatform_FreeAcctRetargetingFB-Animated-ChC_CAN_1200x628_SOC_Plat_FR_Free Account_Standard_ANI_SU_T3_1</v></cell><cell r="AJ4598"><v>102900697</v></cell></row><row r="4599"><cell r="C4599" t="str"><v>43314Facebook»AZR»1x1»SocialBan»NA»ALL»DYN»RT»D»All»SS»NA»Free Account Retargeting VM - T1 - EN</v></cell><cell r="D4599" t="str"><v>43314223691825</v></cell><cell r="E4599" t="str"><v>433141029163381 - EN</v></cell><cell r="F4599" t="str"><v>DCM</v></cell><cell r="G4599" t="str"><v>https://azure.microsoft.com/en-ca/free/virtual-machines/search/</v></cell></row><row r="4599"><cell r="K4599" t="str"><v>August</v></cell><cell r="L4599"><v>43316</v></cell><cell r="M4599" t="str"><v>Tier 1</v></cell><cell r="N4599" t="str"><v>North America</v></cell><cell r="O4599" t="str"><v>Canada</v></cell><cell r="P4599" t="str"><v>Trial</v></cell><cell r="Q4599" t="str"><v>Social</v></cell><cell r="R4599" t="str"><v>Azure</v></cell><cell r="S4599" t="str"><v>Apps & Infra</v></cell><cell r="T4599" t="str"><v>Developers & ITI's</v></cell><cell r="U4599" t="str"><v>AZR</v></cell><cell r="V4599" t="str"><v>Retargeting</v></cell><cell r="W4599" t="str"><v>NotApplicable</v></cell><cell r="X4599" t="str"><v>1x1</v></cell></row><row r="4599"><cell r="AA4599"><v>43314</v></cell><cell r="AB4599" t="str"><v>CAN_gaPMG_AZR_AZR_Q1_19_Trial-Social</v></cell><cell r="AC4599"><v>21337220</v></cell><cell r="AD4599"><v>720192</v></cell><cell r="AE4599" t="str"><v>Facebook</v></cell><cell r="AF4599"><v>3654128</v></cell><cell r="AG4599" t="str"><v>Facebook»AZR»1x1»SocialBan»NA»ALL»DYN»RT»D»All»SS»NA»Free Account Retargeting VM - T1 - EN</v></cell><cell r="AH4599"><v>223691825</v></cell><cell r="AI4599" t="str"><v>AzurePlatform_FreeAcctRetargetingVMFB-750Hrs-ChD_CAN_1200x628_SOC_Plat_EN_Free Account_Standard_NA_SU_T1_1</v></cell><cell r="AJ4599"><v>102916338</v></cell></row><row r="4600"><cell r="C4600" t="str"><v>43314Facebook»AZR»1x1»SocialBan»NA»ALL»DYN»RT»D»All»SS»NA»Free Account Retargeting VM - T2 - EN</v></cell><cell r="D4600" t="str"><v>43314223691822</v></cell><cell r="E4600" t="str"><v>433141030587082 - EN</v></cell><cell r="F4600" t="str"><v>DCM</v></cell><cell r="G4600" t="str"><v>https://azure.microsoft.com/en-ca/free/virtual-machines/search/</v></cell></row><row r="4600"><cell r="K4600" t="str"><v>August</v></cell><cell r="L4600"><v>43316</v></cell><cell r="M4600" t="str"><v>Tier 1</v></cell><cell r="N4600" t="str"><v>North America</v></cell><cell r="O4600" t="str"><v>Canada</v></cell><cell r="P4600" t="str"><v>Trial</v></cell><cell r="Q4600" t="str"><v>Social</v></cell><cell r="R4600" t="str"><v>Azure</v></cell><cell r="S4600" t="str"><v>Apps & Infra</v></cell><cell r="T4600" t="str"><v>Developers & ITI's</v></cell><cell r="U4600" t="str"><v>AZR</v></cell><cell r="V4600" t="str"><v>Retargeting</v></cell><cell r="W4600" t="str"><v>NotApplicable</v></cell><cell r="X4600" t="str"><v>1x1</v></cell></row><row r="4600"><cell r="AA4600"><v>43314</v></cell><cell r="AB4600" t="str"><v>CAN_gaPMG_AZR_AZR_Q1_19_Trial-Social</v></cell><cell r="AC4600"><v>21337220</v></cell><cell r="AD4600"><v>720192</v></cell><cell r="AE4600" t="str"><v>Facebook</v></cell><cell r="AF4600"><v>3654128</v></cell><cell r="AG4600" t="str"><v>Facebook»AZR»1x1»SocialBan»NA»ALL»DYN»RT»D»All»SS»NA»Free Account Retargeting VM - T2 - EN</v></cell><cell r="AH4600"><v>223691822</v></cell><cell r="AI4600" t="str"><v>AzurePlatform_FreeAcctRetargetingVMFB-OnDemand-ChE_CAN_1200x628_SOC_Plat_EN_Free Account_Standard_NA_SU_T2_1</v></cell><cell r="AJ4600"><v>103058708</v></cell></row><row r="4601"><cell r="C4601" t="str"><v>43314Facebook»AZR»1x1»SocialBan»NA»ALL»DYN»RT»D»All»SS»NA»Free Account Retargeting VM - T2 - FR</v></cell><cell r="D4601" t="str"><v>43314223691780</v></cell><cell r="E4601" t="str"><v>433141030587262 - FR</v></cell><cell r="F4601" t="str"><v>DCM</v></cell><cell r="G4601" t="str"><v>https://azure.microsoft.com/fr-ca/free/virtual-machines/search/</v></cell></row><row r="4601"><cell r="K4601" t="str"><v>August</v></cell><cell r="L4601"><v>43316</v></cell><cell r="M4601" t="str"><v>Tier 1</v></cell><cell r="N4601" t="str"><v>North America</v></cell><cell r="O4601" t="str"><v>Canada</v></cell><cell r="P4601" t="str"><v>Trial</v></cell><cell r="Q4601" t="str"><v>Social</v></cell><cell r="R4601" t="str"><v>Azure</v></cell><cell r="S4601" t="str"><v>Apps & Infra</v></cell><cell r="T4601" t="str"><v>Developers & ITI's</v></cell><cell r="U4601" t="str"><v>AZR</v></cell><cell r="V4601" t="str"><v>Retargeting</v></cell><cell r="W4601" t="str"><v>NotApplicable</v></cell><cell r="X4601" t="str"><v>1x1</v></cell></row><row r="4601"><cell r="AA4601"><v>43314</v></cell><cell r="AB4601" t="str"><v>CAN_gaPMG_AZR_AZR_Q1_19_Trial-Social</v></cell><cell r="AC4601"><v>21337220</v></cell><cell r="AD4601"><v>720192</v></cell><cell r="AE4601" t="str"><v>Facebook</v></cell><cell r="AF4601"><v>3654128</v></cell><cell r="AG4601" t="str"><v>Facebook»AZR»1x1»SocialBan»NA»ALL»DYN»RT»D»All»SS»NA»Free Account Retargeting VM - T2 - FR</v></cell><cell r="AH4601"><v>223691780</v></cell><cell r="AI4601" t="str"><v>AzurePlatform_FreeAcctRetargetingVMFB-OnDemand-ChE_CAN_1200x628_SOC_Plat_FR_Free Account_Standard_NA_SU_T2_1</v></cell><cell r="AJ4601"><v>103058726</v></cell></row><row r="4602"><cell r="C4602" t="str"><v>43314Facebook»DEV-ITP-AZR-FB|CanvasAds|Interesttargeting»1x1»TextLink»CAN»DT»CPM»AUT»W»NA»SS»NA»39684020-11000</v></cell><cell r="D4602" t="str"><v>43314224009494</v></cell><cell r="E4602" t="str"><v>43314103236186-11000</v></cell><cell r="F4602" t="str"><v>DCM</v></cell><cell r="G4602" t="str"><v>https://signup.azure.com/signup?offer=ms-azr-0044p&appId=102&ref=paidmedia-social-fb&redirectURL=https%3a%2f%2fazure.microsoft.com%2fde-de%2fget-started%2fwelcome-to-azure%2f&l=de-de&correlationId=ead86c34-1f10-49dd-a72b-6918462a2cbf</v></cell></row><row r="4602"><cell r="K4602" t="str"><v>August</v></cell><cell r="L4602"><v>43316</v></cell><cell r="M4602" t="str"><v>Tier 1</v></cell><cell r="N4602" t="str"><v>EMEA</v></cell><cell r="O4602" t="str"><v>Germany</v></cell><cell r="P4602" t="str"><v>Trial</v></cell><cell r="Q4602" t="str"><v>Social</v></cell><cell r="R4602" t="str"><v>Azure</v></cell><cell r="S4602" t="str"><v>Apps & Infra</v></cell><cell r="T4602" t="str"><v>Developers & ITI's</v></cell><cell r="U4602" t="str"><v>DEV-ITP-AZR-FB|CanvasAds|Interesttargeting</v></cell><cell r="V4602" t="str"><v>Audience Targeting</v></cell><cell r="W4602" t="str"><v>Canvas Ad</v></cell><cell r="X4602" t="str"><v>1x1</v></cell></row><row r="4602"><cell r="AA4602"><v>43314</v></cell><cell r="AB4602" t="str"><v>DEU_gaPMG_AZR_AZR_Q1_19_Trial-Social- 39684</v></cell><cell r="AC4602"><v>21359477</v></cell><cell r="AD4602"><v>720194</v></cell><cell r="AE4602" t="str"><v>Facebook</v></cell><cell r="AF4602"><v>3654128</v></cell><cell r="AG4602" t="str"><v>Facebook»DEV-ITP-AZR-FB|CanvasAds|Interesttargeting»1x1»TextLink»CAN»DT»CPM»AUT»W»NA»SS»NA»39684020-11000</v></cell><cell r="AH4602"><v>224009494</v></cell><cell r="AI4602" t="str"><v>AzurePlatform_FBCTCBasicMotion-StartFreeCT_DEU_10s_ISV_PLAT_DE_Trial_Standard_STAN_TN_T1_1</v></cell><cell r="AJ4602"><v>103236186</v></cell></row><row r="4603"><cell r="C4603" t="str"><v>43314Facebook»DEV-ITP-AZR-FB|CanvasAds|Interesttargeting»1x1»TextLink»CAN»DT»CPM»AUT»W»NA»SS»NA»39684020-11000</v></cell><cell r="D4603" t="str"><v>43314224009494</v></cell><cell r="E4603" t="str"><v>43314103236189-11000</v></cell><cell r="F4603" t="str"><v>DCM</v></cell><cell r="G4603" t="str"><v>https://azure.microsoft.com/de-de/pricing/purchase-options/</v></cell></row><row r="4603"><cell r="K4603" t="str"><v>August</v></cell><cell r="L4603"><v>43316</v></cell><cell r="M4603" t="str"><v>Tier 1</v></cell><cell r="N4603" t="str"><v>EMEA</v></cell><cell r="O4603" t="str"><v>Germany</v></cell><cell r="P4603" t="str"><v>Trial</v></cell><cell r="Q4603" t="str"><v>Social</v></cell><cell r="R4603" t="str"><v>Azure</v></cell><cell r="S4603" t="str"><v>Apps & Infra</v></cell><cell r="T4603" t="str"><v>Developers & ITI's</v></cell><cell r="U4603" t="str"><v>DEV-ITP-AZR-FB|CanvasAds|Interesttargeting</v></cell><cell r="V4603" t="str"><v>Audience Targeting</v></cell><cell r="W4603" t="str"><v>Canvas Ad</v></cell><cell r="X4603" t="str"><v>1x1</v></cell></row><row r="4603"><cell r="AA4603"><v>43314</v></cell><cell r="AB4603" t="str"><v>DEU_gaPMG_AZR_AZR_Q1_19_Trial-Social- 39684</v></cell><cell r="AC4603"><v>21359477</v></cell><cell r="AD4603"><v>720194</v></cell><cell r="AE4603" t="str"><v>Facebook</v></cell><cell r="AF4603"><v>3654128</v></cell><cell r="AG4603" t="str"><v>Facebook»DEV-ITP-AZR-FB|CanvasAds|Interesttargeting»1x1»TextLink»CAN»DT»CPM»AUT»W»NA»SS»NA»39684020-11000</v></cell><cell r="AH4603"><v>224009494</v></cell><cell r="AI4603" t="str"><v>AzurePlatform_FBCTCBenefit2inMotion-BuyNow_DEU_14s_ISV_PLAT_DE_Trial_Standard_STAN_TN_T4_1</v></cell><cell r="AJ4603"><v>103236189</v></cell></row><row r="4604"><cell r="C4604" t="str"><v>43314Facebook»DEV-ITP-AZR-FB|CanvasAds|Interesttargeting»1x1»TextLink»CAN»DT»CPM»AUT»W»NA»SS»NA»39684020-11000</v></cell><cell r="D4604" t="str"><v>43314224009494</v></cell><cell r="E4604" t="str"><v>43314103237290-11000</v></cell><cell r="F4604" t="str"><v>DCM</v></cell><cell r="G4604" t="str"><v>https://signup.azure.com/signup?offer=ms-azr-0044p&appId=102&ref=paidmedia-social-fb&redirectURL=https%3a%2f%2fazure.microsoft.com%2fde-de%2fget-started%2fwelcome-to-azure%2f&l=de-de&correlationId=ead86c34-1f10-49dd-a72b-6918462a2cbf</v></cell></row><row r="4604"><cell r="K4604" t="str"><v>August</v></cell><cell r="L4604"><v>43316</v></cell><cell r="M4604" t="str"><v>Tier 1</v></cell><cell r="N4604" t="str"><v>EMEA</v></cell><cell r="O4604" t="str"><v>Germany</v></cell><cell r="P4604" t="str"><v>Trial</v></cell><cell r="Q4604" t="str"><v>Social</v></cell><cell r="R4604" t="str"><v>Azure</v></cell><cell r="S4604" t="str"><v>Apps & Infra</v></cell><cell r="T4604" t="str"><v>Developers & ITI's</v></cell><cell r="U4604" t="str"><v>DEV-ITP-AZR-FB|CanvasAds|Interesttargeting</v></cell><cell r="V4604" t="str"><v>Audience Targeting</v></cell><cell r="W4604" t="str"><v>Canvas Ad</v></cell><cell r="X4604" t="str"><v>1x1</v></cell></row><row r="4604"><cell r="AA4604"><v>43314</v></cell><cell r="AB4604" t="str"><v>DEU_gaPMG_AZR_AZR_Q1_19_Trial-Social- 39684</v></cell><cell r="AC4604"><v>21359477</v></cell><cell r="AD4604"><v>720194</v></cell><cell r="AE4604" t="str"><v>Facebook</v></cell><cell r="AF4604"><v>3654128</v></cell><cell r="AG4604" t="str"><v>Facebook»DEV-ITP-AZR-FB|CanvasAds|Interesttargeting»1x1»TextLink»CAN»DT»CPM»AUT»W»NA»SS»NA»39684020-11000</v></cell><cell r="AH4604"><v>224009494</v></cell><cell r="AI4604" t="str"><v>AzurePlatform_FBCTCBenefit2inMotion-StartFreeCT_DEU_14s_ISV_PLAT_DE_Trial_Standard_STAN_TN_T4_1</v></cell><cell r="AJ4604"><v>103237290</v></cell></row><row r="4605"><cell r="C4605" t="str"><v>43314Facebook»DEV-ITP-AZR-FB|CanvasAds|Interesttargeting»1x1»TextLink»CAN»DT»CPM»AUT»W»NA»SS»NA»39684020-11000</v></cell><cell r="D4605" t="str"><v>43314224009494</v></cell><cell r="E4605" t="str"><v>43314103237293-11000</v></cell><cell r="F4605" t="str"><v>DCM</v></cell><cell r="G4605" t="str"><v>https://signup.azure.com/signup?offer=ms-azr-0044p&appId=102&ref=paidmedia-social-fb&redirectURL=https%3a%2f%2fazure.microsoft.com%2fde-de%2fget-started%2fwelcome-to-azure%2f&l=de-de&correlationId=ead86c34-1f10-49dd-a72b-6918462a2cbf</v></cell></row><row r="4605"><cell r="K4605" t="str"><v>August</v></cell><cell r="L4605"><v>43316</v></cell><cell r="M4605" t="str"><v>Tier 1</v></cell><cell r="N4605" t="str"><v>EMEA</v></cell><cell r="O4605" t="str"><v>Germany</v></cell><cell r="P4605" t="str"><v>Trial</v></cell><cell r="Q4605" t="str"><v>Social</v></cell><cell r="R4605" t="str"><v>Azure</v></cell><cell r="S4605" t="str"><v>Apps & Infra</v></cell><cell r="T4605" t="str"><v>Developers & ITI's</v></cell><cell r="U4605" t="str"><v>DEV-ITP-AZR-FB|CanvasAds|Interesttargeting</v></cell><cell r="V4605" t="str"><v>Audience Targeting</v></cell><cell r="W4605" t="str"><v>Canvas Ad</v></cell><cell r="X4605" t="str"><v>1x1</v></cell></row><row r="4605"><cell r="AA4605"><v>43314</v></cell><cell r="AB4605" t="str"><v>DEU_gaPMG_AZR_AZR_Q1_19_Trial-Social- 39684</v></cell><cell r="AC4605"><v>21359477</v></cell><cell r="AD4605"><v>720194</v></cell><cell r="AE4605" t="str"><v>Facebook</v></cell><cell r="AF4605"><v>3654128</v></cell><cell r="AG4605" t="str"><v>Facebook»DEV-ITP-AZR-FB|CanvasAds|Interesttargeting»1x1»TextLink»CAN»DT»CPM»AUT»W»NA»SS»NA»39684020-11000</v></cell><cell r="AH4605"><v>224009494</v></cell><cell r="AI4605" t="str"><v>AzurePlatform_FBCTCBrandinMotion-StartFreeCT_DEU_12s_ISV_PLAT_DE_Trial_Standard_STAN_TN_T2_1</v></cell><cell r="AJ4605"><v>103237293</v></cell></row><row r="4606"><cell r="C4606" t="str"><v>43314Facebook»DEV-ITP-AZR-FB|LinkAd|CustomerAudienceRetargeting»1x1»TextLink»LIA»DT»CPM»RT»W»NA»SS»NA»39684019-11000</v></cell><cell r="D4606" t="str"><v>43314224010415</v></cell><cell r="E4606" t="str"><v>43314103040320-11000</v></cell><cell r="F4606" t="str"><v>DCM</v></cell><cell r="G4606" t="str"><v>https://azure.microsoft.com/de-de/free/search/</v></cell></row><row r="4606"><cell r="K4606" t="str"><v>August</v></cell><cell r="L4606"><v>43316</v></cell><cell r="M4606" t="str"><v>Tier 1</v></cell><cell r="N4606" t="str"><v>EMEA</v></cell><cell r="O4606" t="str"><v>Germany</v></cell><cell r="P4606" t="str"><v>Trial</v></cell><cell r="Q4606" t="str"><v>Social</v></cell><cell r="R4606" t="str"><v>Azure</v></cell><cell r="S4606" t="str"><v>Apps & Infra</v></cell><cell r="T4606" t="str"><v>Developers & ITI's</v></cell><cell r="U4606" t="str"><v>DEV-ITP-AZR-FB|LinkAd|CustomerAudienceRetargeting</v></cell><cell r="V4606" t="str"><v>Retargeting</v></cell><cell r="W4606" t="str"><v>Link Ad</v></cell><cell r="X4606" t="str"><v>1x1</v></cell></row><row r="4606"><cell r="AA4606"><v>43314</v></cell><cell r="AB4606" t="str"><v>DEU_gaPMG_AZR_AZR_Q1_19_Trial-Social- 39684</v></cell><cell r="AC4606"><v>21359477</v></cell><cell r="AD4606"><v>720194</v></cell><cell r="AE4606" t="str"><v>Facebook</v></cell><cell r="AF4606"><v>3654128</v></cell><cell r="AG4606" t="str"><v>Facebook»DEV-ITP-AZR-FB|LinkAd|CustomerAudienceRetargeting»1x1»TextLink»LIA»DT»CPM»RT»W»NA»SS»NA»39684019-11000</v></cell><cell r="AH4606"><v>224010415</v></cell><cell r="AI4606" t="str"><v>AzurePlatform_FreeAcctRetargetingFB-GlobalAlt-ChB_DEU_1200x628_SOC_Plat_DE_Free Account_Standard_NA_SNU_T2_1</v></cell><cell r="AJ4606"><v>103040320</v></cell></row><row r="4607"><cell r="C4607" t="str"><v>43314Facebook»DEV-ITP-AZR-FB|LinkAd|CustomerAudienceRetargeting»1x1»TextLink»LIA»DT»CPM»RT»W»NA»SS»NA»39684019-11000</v></cell><cell r="D4607" t="str"><v>43314224010415</v></cell><cell r="E4607" t="str"><v>43314103043341-11000</v></cell><cell r="F4607" t="str"><v>DCM</v></cell><cell r="G4607" t="str"><v>https://azure.microsoft.com/de-de/free/virtual-machines/search/</v></cell></row><row r="4607"><cell r="K4607" t="str"><v>August</v></cell><cell r="L4607"><v>43316</v></cell><cell r="M4607" t="str"><v>Tier 1</v></cell><cell r="N4607" t="str"><v>EMEA</v></cell><cell r="O4607" t="str"><v>Germany</v></cell><cell r="P4607" t="str"><v>Trial</v></cell><cell r="Q4607" t="str"><v>Social</v></cell><cell r="R4607" t="str"><v>Azure</v></cell><cell r="S4607" t="str"><v>Apps & Infra</v></cell><cell r="T4607" t="str"><v>Developers & ITI's</v></cell><cell r="U4607" t="str"><v>DEV-ITP-AZR-FB|LinkAd|CustomerAudienceRetargeting</v></cell><cell r="V4607" t="str"><v>Retargeting</v></cell><cell r="W4607" t="str"><v>Link Ad</v></cell><cell r="X4607" t="str"><v>1x1</v></cell></row><row r="4607"><cell r="AA4607"><v>43314</v></cell><cell r="AB4607" t="str"><v>DEU_gaPMG_AZR_AZR_Q1_19_Trial-Social- 39684</v></cell><cell r="AC4607"><v>21359477</v></cell><cell r="AD4607"><v>720194</v></cell><cell r="AE4607" t="str"><v>Facebook</v></cell><cell r="AF4607"><v>3654128</v></cell><cell r="AG4607" t="str"><v>Facebook»DEV-ITP-AZR-FB|LinkAd|CustomerAudienceRetargeting»1x1»TextLink»LIA»DT»CPM»RT»W»NA»SS»NA»39684019-11000</v></cell><cell r="AH4607"><v>224010415</v></cell><cell r="AI4607" t="str"><v>AzurePlatform_FreeAcctRetargetingVMFB-750Hrs-ChD_DEU_1200x628_SOC_Plat_DE_Free Account_Standard_NA_SNU_T1_1</v></cell><cell r="AJ4607"><v>103043341</v></cell></row><row r="4608"><cell r="C4608" t="str"><v>43314Facebook»DEV-ITP-AZR-FB|LinkAd|CustomerAudienceRetargeting»1x1»TextLink»LIA»DT»CPM»RT»W»NA»SS»NA»39684019-11000</v></cell><cell r="D4608" t="str"><v>43314224010415</v></cell><cell r="E4608" t="str"><v>43314103043338-11000</v></cell><cell r="F4608" t="str"><v>DCM</v></cell><cell r="G4608" t="str"><v>https://azure.microsoft.com/de-de/free/virtual-machines/search/</v></cell></row><row r="4608"><cell r="K4608" t="str"><v>August</v></cell><cell r="L4608"><v>43316</v></cell><cell r="M4608" t="str"><v>Tier 1</v></cell><cell r="N4608" t="str"><v>EMEA</v></cell><cell r="O4608" t="str"><v>Germany</v></cell><cell r="P4608" t="str"><v>Trial</v></cell><cell r="Q4608" t="str"><v>Social</v></cell><cell r="R4608" t="str"><v>Azure</v></cell><cell r="S4608" t="str"><v>Apps & Infra</v></cell><cell r="T4608" t="str"><v>Developers & ITI's</v></cell><cell r="U4608" t="str"><v>DEV-ITP-AZR-FB|LinkAd|CustomerAudienceRetargeting</v></cell><cell r="V4608" t="str"><v>Retargeting</v></cell><cell r="W4608" t="str"><v>Link Ad</v></cell><cell r="X4608" t="str"><v>1x1</v></cell></row><row r="4608"><cell r="AA4608"><v>43314</v></cell><cell r="AB4608" t="str"><v>DEU_gaPMG_AZR_AZR_Q1_19_Trial-Social- 39684</v></cell><cell r="AC4608"><v>21359477</v></cell><cell r="AD4608"><v>720194</v></cell><cell r="AE4608" t="str"><v>Facebook</v></cell><cell r="AF4608"><v>3654128</v></cell><cell r="AG4608" t="str"><v>Facebook»DEV-ITP-AZR-FB|LinkAd|CustomerAudienceRetargeting»1x1»TextLink»LIA»DT»CPM»RT»W»NA»SS»NA»39684019-11000</v></cell><cell r="AH4608"><v>224010415</v></cell><cell r="AI4608" t="str"><v>AzurePlatform_FreeAcctRetargetingVMFB-OnDemand-ChE_DEU_1200x628_SOC_Plat_DE_Free Account_Standard_NA_SNU_T2_1</v></cell><cell r="AJ4608"><v>103043338</v></cell></row><row r="4609"><cell r="C4609" t="str"><v>43314Facebook»Developers/ITPros-Azure Direct-Sponsored Post-Canvas-FBCTCcanvaspage-BuyNowCTA-Img3_FBCTCBasicMotion_FRA_10sec»1x1»Canvas»SOC»ALL»CPC»BT»D»UNK»SS»NA»Trials</v></cell><cell r="D4609" t="str"><v>43314224369893</v></cell><cell r="E4609" t="str"><v>43314103256571Trials</v></cell><cell r="F4609" t="str"><v>DCM</v></cell><cell r="G4609" t="str"><v>https://azure.microsoft.com/fr-fr/pricing/purchase-options/</v></cell></row><row r="4609"><cell r="K4609" t="str"><v>August</v></cell><cell r="L4609"><v>43316</v></cell><cell r="M4609" t="str"><v>Tier 1</v></cell><cell r="N4609" t="str"><v>EMEA</v></cell><cell r="O4609" t="str"><v>France</v></cell><cell r="P4609" t="str"><v>Trial</v></cell><cell r="Q4609" t="str"><v>Social</v></cell><cell r="R4609" t="str"><v>Azure</v></cell><cell r="S4609" t="str"><v>Apps & Infra</v></cell><cell r="T4609" t="str"><v>Developers & ITI's</v></cell><cell r="U4609" t="str"><v>Developers/ITPros-Azure Direct-Sponsored Post-Canvas-FBCTCcanvaspage-BuyNowCTA-Img3_FBCTCBasicMotion_FRA_10sec</v></cell><cell r="V4609" t="str"><v>Behavioral Targeting</v></cell><cell r="W4609" t="str"><v>Social</v></cell><cell r="X4609" t="str"><v>1x1</v></cell></row><row r="4609"><cell r="AA4609"><v>43314</v></cell><cell r="AB4609" t="str"><v>FRA_gaPMG_AZR_AZR_Q1_19_AzureDirect-Trial-Social</v></cell><cell r="AC4609"><v>21356941</v></cell><cell r="AD4609"><v>720193</v></cell><cell r="AE4609" t="str"><v>Facebook</v></cell><cell r="AF4609"><v>3654128</v></cell><cell r="AG4609" t="str"><v>Facebook»Developers/ITPros-Azure Direct-Sponsored Post-Canvas-FBCTCcanvaspage-BuyNowCTA-Img3_FBCTCBasicMotion_FRA_10sec»1x1»Canvas»SOC»ALL»CPC»BT»D»UNK»SS»NA»Trials</v></cell><cell r="AH4609"><v>224369893</v></cell><cell r="AI4609" t="str"><v>AZR_FBCTCcanvaspage-BuyNowCTA-Img3_FRA_1080x162_SOC_AZRDirect_French_NA_Facebook_SBAN_BN_T3_1</v></cell><cell r="AJ4609"><v>103256571</v></cell></row><row r="4610"><cell r="C4610" t="str"><v>43314Facebook»Developers/ITPros-Azure Direct-Sponsored Post-Canvas-FBCTCcanvaspage-BuyNowCTA-Img3_FBCTCBrandinMotion_FRA_14sec»1x1»Canvas»SOC»ALL»CPC»BT»D»UNK»SS»NA»Trials</v></cell><cell r="D4610" t="str"><v>43314224416918</v></cell><cell r="E4610" t="str"><v>43314103256571Trials</v></cell><cell r="F4610" t="str"><v>DCM</v></cell><cell r="G4610" t="str"><v>https://azure.microsoft.com/fr-fr/pricing/purchase-options/</v></cell></row><row r="4610"><cell r="K4610" t="str"><v>August</v></cell><cell r="L4610"><v>43316</v></cell><cell r="M4610" t="str"><v>Tier 1</v></cell><cell r="N4610" t="str"><v>EMEA</v></cell><cell r="O4610" t="str"><v>France</v></cell><cell r="P4610" t="str"><v>Trial</v></cell><cell r="Q4610" t="str"><v>Social</v></cell><cell r="R4610" t="str"><v>Azure</v></cell><cell r="S4610" t="str"><v>Apps & Infra</v></cell><cell r="T4610" t="str"><v>Developers & ITI's</v></cell><cell r="U4610" t="str"><v>Developers/ITPros-Azure Direct-Sponsored Post-Canvas-FBCTCcanvaspage-BuyNowCTA-Img3_FBCTCBrandinMotion_FRA_14sec</v></cell><cell r="V4610" t="str"><v>Behavioral Targeting</v></cell><cell r="W4610" t="str"><v>Social</v></cell><cell r="X4610" t="str"><v>1x1</v></cell></row><row r="4610"><cell r="AA4610"><v>43314</v></cell><cell r="AB4610" t="str"><v>FRA_gaPMG_AZR_AZR_Q1_19_AzureDirect-Trial-Social</v></cell><cell r="AC4610"><v>21356941</v></cell><cell r="AD4610"><v>720193</v></cell><cell r="AE4610" t="str"><v>Facebook</v></cell><cell r="AF4610"><v>3654128</v></cell><cell r="AG4610" t="str"><v>Facebook»Developers/ITPros-Azure Direct-Sponsored Post-Canvas-FBCTCcanvaspage-BuyNowCTA-Img3_FBCTCBrandinMotion_FRA_14sec»1x1»Canvas»SOC»ALL»CPC»BT»D»UNK»SS»NA»Trials</v></cell><cell r="AH4610"><v>224416918</v></cell><cell r="AI4610" t="str"><v>AZR_FBCTCcanvaspage-BuyNowCTA-Img3_FRA_1080x162_SOC_AZRDirect_French_NA_Facebook_SBAN_BN_T3_1</v></cell><cell r="AJ4610"><v>103256571</v></cell></row><row r="4611"><cell r="C4611" t="str"><v>43314Facebook»Developers/ITPros-Azure Direct-Sponsored Post-Canvas-FBCTCcanvaspage-StartFreeCTA-Img2_FBCTCBasicMotion_FRA_10sec»1x1»Canvas»SOC»ALL»CPC»BT»D»UNK»SS»NA»Trials</v></cell><cell r="D4611" t="str"><v>43314224560884</v></cell><cell r="E4611" t="str"><v>43314103259958Trials</v></cell><cell r="F4611" t="str"><v>DCM</v></cell><cell r="G4611" t="str"><v>https://signup.azure.com/signup?offer=ms-azr-0044p&appId=102&ref=paidmedia-social-fb&redirectURL=https%3a%2f%2fazure.microsoft.com%2ffr-fr%2fget-started%2fwelcome-to-azure%2f&l=fr-fr&correlationId=ead86c34-1f10-49dd-a72b-6918462a2cbf</v></cell></row><row r="4611"><cell r="K4611" t="str"><v>August</v></cell><cell r="L4611"><v>43316</v></cell><cell r="M4611" t="str"><v>Tier 1</v></cell><cell r="N4611" t="str"><v>EMEA</v></cell><cell r="O4611" t="str"><v>France</v></cell><cell r="P4611" t="str"><v>Trial</v></cell><cell r="Q4611" t="str"><v>Social</v></cell><cell r="R4611" t="str"><v>Azure</v></cell><cell r="S4611" t="str"><v>Apps & Infra</v></cell><cell r="T4611" t="str"><v>Developers & ITI's</v></cell><cell r="U4611" t="str"><v>Developers/ITPros-Azure Direct-Sponsored Post-Canvas-FBCTCcanvaspage-StartFreeCTA-Img2_FBCTCBasicMotion_FRA_10sec</v></cell><cell r="V4611" t="str"><v>Behavioral Targeting</v></cell><cell r="W4611" t="str"><v>Social</v></cell><cell r="X4611" t="str"><v>1x1</v></cell></row><row r="4611"><cell r="AA4611"><v>43314</v></cell><cell r="AB4611" t="str"><v>FRA_gaPMG_AZR_AZR_Q1_19_AzureDirect-Trial-Social</v></cell><cell r="AC4611"><v>21356941</v></cell><cell r="AD4611"><v>720193</v></cell><cell r="AE4611" t="str"><v>Facebook</v></cell><cell r="AF4611"><v>3654128</v></cell><cell r="AG4611" t="str"><v>Facebook»Developers/ITPros-Azure Direct-Sponsored Post-Canvas-FBCTCcanvaspage-StartFreeCTA-Img2_FBCTCBasicMotion_FRA_10sec»1x1»Canvas»SOC»ALL»CPC»BT»D»UNK»SS»NA»Trials</v></cell><cell r="AH4611"><v>224560884</v></cell><cell r="AI4611" t="str"><v>AZR_FBCTCcanvaspage-StartFreeCTA-Img2_FRA_1080x143_SOC_AZRDirect_French_NA_Facebook_SBAN_BN_T2_1</v></cell><cell r="AJ4611"><v>103259958</v></cell></row><row r="4612"><cell r="C4612" t="str"><v>43314Facebook»Developers/ITPros-Azure Direct-Sponsored Post-Canvas-FBCTCcanvaspage-StartFreeCTA-Img2_FBCTCBrandinMotion_FRA_12sec»1x1»Canvas»SOC»ALL»CPC»BT»D»UNK»SS»NA»Trials</v></cell><cell r="D4612" t="str"><v>43314224560878</v></cell><cell r="E4612" t="str"><v>43314103259958Trials</v></cell><cell r="F4612" t="str"><v>DCM</v></cell><cell r="G4612" t="str"><v>https://signup.azure.com/signup?offer=ms-azr-0044p&appId=102&ref=paidmedia-social-fb&redirectURL=https%3a%2f%2fazure.microsoft.com%2ffr-fr%2fget-started%2fwelcome-to-azure%2f&l=fr-fr&correlationId=ead86c34-1f10-49dd-a72b-6918462a2cbf</v></cell></row><row r="4612"><cell r="K4612" t="str"><v>August</v></cell><cell r="L4612"><v>43316</v></cell><cell r="M4612" t="str"><v>Tier 1</v></cell><cell r="N4612" t="str"><v>EMEA</v></cell><cell r="O4612" t="str"><v>France</v></cell><cell r="P4612" t="str"><v>Trial</v></cell><cell r="Q4612" t="str"><v>Social</v></cell><cell r="R4612" t="str"><v>Azure</v></cell><cell r="S4612" t="str"><v>Apps & Infra</v></cell><cell r="T4612" t="str"><v>Developers & ITI's</v></cell><cell r="U4612" t="str"><v>Developers/ITPros-Azure Direct-Sponsored Post-Canvas-FBCTCcanvaspage-StartFreeCTA-Img2_FBCTCBrandinMotion_FRA_12sec</v></cell><cell r="V4612" t="str"><v>Behavioral Targeting</v></cell><cell r="W4612" t="str"><v>Social</v></cell><cell r="X4612" t="str"><v>1x1</v></cell></row><row r="4612"><cell r="AA4612"><v>43314</v></cell><cell r="AB4612" t="str"><v>FRA_gaPMG_AZR_AZR_Q1_19_AzureDirect-Trial-Social</v></cell><cell r="AC4612"><v>21356941</v></cell><cell r="AD4612"><v>720193</v></cell><cell r="AE4612" t="str"><v>Facebook</v></cell><cell r="AF4612"><v>3654128</v></cell><cell r="AG4612" t="str"><v>Facebook»Developers/ITPros-Azure Direct-Sponsored Post-Canvas-FBCTCcanvaspage-StartFreeCTA-Img2_FBCTCBrandinMotion_FRA_12sec»1x1»Canvas»SOC»ALL»CPC»BT»D»UNK»SS»NA»Trials</v></cell><cell r="AH4612"><v>224560878</v></cell><cell r="AI4612" t="str"><v>AZR_FBCTCcanvaspage-StartFreeCTA-Img2_FRA_1080x143_SOC_AZRDirect_French_NA_Facebook_SBAN_BN_T2_1</v></cell><cell r="AJ4612"><v>103259958</v></cell></row><row r="4613"><cell r="C4613" t="str"><v>43314Facebook»Developers/ITPros-Azure Direct-Sponsored Post-Canvas-FBCTCcanvaspage-StartFreeCTA-Img2_FBCTCBrandinMotion_FRA_14sec»1x1»Canvas»SOC»ALL»CPC»BT»D»UNK»SS»NA»Trials</v></cell><cell r="D4613" t="str"><v>43314224560872</v></cell><cell r="E4613" t="str"><v>43314103259958Trials</v></cell><cell r="F4613" t="str"><v>DCM</v></cell><cell r="G4613" t="str"><v>https://signup.azure.com/signup?offer=ms-azr-0044p&appId=102&ref=paidmedia-social-fb&redirectURL=https%3a%2f%2fazure.microsoft.com%2ffr-fr%2fget-started%2fwelcome-to-azure%2f&l=fr-fr&correlationId=ead86c34-1f10-49dd-a72b-6918462a2cbf</v></cell></row><row r="4613"><cell r="K4613" t="str"><v>August</v></cell><cell r="L4613"><v>43316</v></cell><cell r="M4613" t="str"><v>Tier 1</v></cell><cell r="N4613" t="str"><v>EMEA</v></cell><cell r="O4613" t="str"><v>France</v></cell><cell r="P4613" t="str"><v>Trial</v></cell><cell r="Q4613" t="str"><v>Social</v></cell><cell r="R4613" t="str"><v>Azure</v></cell><cell r="S4613" t="str"><v>Apps & Infra</v></cell><cell r="T4613" t="str"><v>Developers & ITI's</v></cell><cell r="U4613" t="str"><v>Developers/ITPros-Azure Direct-Sponsored Post-Canvas-FBCTCcanvaspage-StartFreeCTA-Img2_FBCTCBrandinMotion_FRA_14sec</v></cell><cell r="V4613" t="str"><v>Behavioral Targeting</v></cell><cell r="W4613" t="str"><v>Social</v></cell><cell r="X4613" t="str"><v>1x1</v></cell></row><row r="4613"><cell r="AA4613"><v>43314</v></cell><cell r="AB4613" t="str"><v>FRA_gaPMG_AZR_AZR_Q1_19_AzureDirect-Trial-Social</v></cell><cell r="AC4613"><v>21356941</v></cell><cell r="AD4613"><v>720193</v></cell><cell r="AE4613" t="str"><v>Facebook</v></cell><cell r="AF4613"><v>3654128</v></cell><cell r="AG4613" t="str"><v>Facebook»Developers/ITPros-Azure Direct-Sponsored Post-Canvas-FBCTCcanvaspage-StartFreeCTA-Img2_FBCTCBrandinMotion_FRA_14sec»1x1»Canvas»SOC»ALL»CPC»BT»D»UNK»SS»NA»Trials</v></cell><cell r="AH4613"><v>224560872</v></cell><cell r="AI4613" t="str"><v>AZR_FBCTCcanvaspage-StartFreeCTA-Img2_FRA_1080x143_SOC_AZRDirect_French_NA_Facebook_SBAN_BN_T2_1</v></cell><cell r="AJ4613"><v>103259958</v></cell></row><row r="4614"><cell r="C4614" t="str"><v>43314Facebook»Developers/ITPros-Azure Direct-Sponsored Post-Link Ad-FreeAcctRetargetingFB-GlobalAlt-ChB»1x1»SocialBan»SOC»ALL»CPC»BT»D»UNK»SS»NA»Trials</v></cell><cell r="D4614" t="str"><v>43314224560845</v></cell><cell r="E4614" t="str"><v>43314103259520Trials</v></cell><cell r="F4614" t="str"><v>DCM</v></cell><cell r="G4614" t="str"><v>https://azure.microsoft.com/fr-fr/free/search/</v></cell></row><row r="4614"><cell r="K4614" t="str"><v>August</v></cell><cell r="L4614"><v>43316</v></cell><cell r="M4614" t="str"><v>Tier 1</v></cell><cell r="N4614" t="str"><v>EMEA</v></cell><cell r="O4614" t="str"><v>France</v></cell><cell r="P4614" t="str"><v>Trial</v></cell><cell r="Q4614" t="str"><v>Social</v></cell><cell r="R4614" t="str"><v>Azure</v></cell><cell r="S4614" t="str"><v>Apps & Infra</v></cell><cell r="T4614" t="str"><v>Developers & ITI's</v></cell><cell r="U4614" t="str"><v>Developers/ITPros-Azure Direct-Sponsored Post-Link Ad-FreeAcctRetargetingFB-GlobalAlt-ChB</v></cell><cell r="V4614" t="str"><v>Behavioral Targeting</v></cell><cell r="W4614" t="str"><v>Social</v></cell><cell r="X4614" t="str"><v>1x1</v></cell></row><row r="4614"><cell r="AA4614"><v>43314</v></cell><cell r="AB4614" t="str"><v>FRA_gaPMG_AZR_AZR_Q1_19_AzureDirect-Trial-Social</v></cell><cell r="AC4614"><v>21356941</v></cell><cell r="AD4614"><v>720193</v></cell><cell r="AE4614" t="str"><v>Facebook</v></cell><cell r="AF4614"><v>3654128</v></cell><cell r="AG4614" t="str"><v>Facebook»Developers/ITPros-Azure Direct-Sponsored Post-Link Ad-FreeAcctRetargetingFB-GlobalAlt-ChB»1x1»SocialBan»SOC»ALL»CPC»BT»D»UNK»SS»NA»Trials</v></cell><cell r="AH4614"><v>224560845</v></cell><cell r="AI4614" t="str"><v>AZR_FreeAcctRetargetingFB-GlobalAlt-ChB_FRA_1200x628_SOC_AZRDirect_French_NA_Facebook_SBAN_SINU_T2_1</v></cell><cell r="AJ4614"><v>103259520</v></cell></row><row r="4615"><cell r="C4615" t="str"><v>43314Facebook»Developers/ITPros-Azure Direct-Sponsored Post-Link Ad-FreeAcctRetargetingOSSFB-Text-ChF»1x1»SocialBan»SOC»ALL»CPC»BT»D»UNK»SS»NA»Trials</v></cell><cell r="D4615" t="str"><v>43314224560839</v></cell><cell r="E4615" t="str"><v>43314103257810Trials</v></cell><cell r="F4615" t="str"><v>DCM</v></cell><cell r="G4615" t="str"><v>https://azure.microsoft.com/fr-fr/free/open-source/search/</v></cell></row><row r="4615"><cell r="K4615" t="str"><v>August</v></cell><cell r="L4615"><v>43316</v></cell><cell r="M4615" t="str"><v>Tier 1</v></cell><cell r="N4615" t="str"><v>EMEA</v></cell><cell r="O4615" t="str"><v>France</v></cell><cell r="P4615" t="str"><v>Trial</v></cell><cell r="Q4615" t="str"><v>Social</v></cell><cell r="R4615" t="str"><v>Azure</v></cell><cell r="S4615" t="str"><v>Apps & Infra</v></cell><cell r="T4615" t="str"><v>Developers & ITI's</v></cell><cell r="U4615" t="str"><v>Developers/ITPros-Azure Direct-Sponsored Post-Link Ad-FreeAcctRetargetingOSSFB-Text-ChF</v></cell><cell r="V4615" t="str"><v>Behavioral Targeting</v></cell><cell r="W4615" t="str"><v>Social</v></cell><cell r="X4615" t="str"><v>1x1</v></cell></row><row r="4615"><cell r="AA4615"><v>43314</v></cell><cell r="AB4615" t="str"><v>FRA_gaPMG_AZR_AZR_Q1_19_AzureDirect-Trial-Social</v></cell><cell r="AC4615"><v>21356941</v></cell><cell r="AD4615"><v>720193</v></cell><cell r="AE4615" t="str"><v>Facebook</v></cell><cell r="AF4615"><v>3654128</v></cell><cell r="AG4615" t="str"><v>Facebook»Developers/ITPros-Azure Direct-Sponsored Post-Link Ad-FreeAcctRetargetingOSSFB-Text-ChF»1x1»SocialBan»SOC»ALL»CPC»BT»D»UNK»SS»NA»Trials</v></cell><cell r="AH4615"><v>224560839</v></cell><cell r="AI4615" t="str"><v>AZR_FreeAcctRetargetingOSSFB-Text-ChF_FRA_1200x628_SOC_AZRDirect_French_NA_Facebook_SBAN_SINU_T1_1</v></cell><cell r="AJ4615"><v>103257810</v></cell></row><row r="4616"><cell r="C4616" t="str"><v>43314Facebook»Developers/ITPros-Azure Direct-Sponsored Post-Video Ad-FBCTCBasicMotion_FRA_10s_RTG Landing Page»1x1»05s»SOC»ALL»CPC»BT»D»UNK»SS»NA»Trials</v></cell><cell r="D4616" t="str"><v>43314224416915</v></cell><cell r="E4616" t="str"><v>43314103376981Trials</v></cell><cell r="F4616" t="str"><v>DCM</v></cell></row><row r="4616"><cell r="K4616" t="str"><v>August</v></cell><cell r="L4616"><v>43316</v></cell><cell r="M4616" t="str"><v>Tier 1</v></cell><cell r="N4616" t="str"><v>EMEA</v></cell><cell r="O4616" t="str"><v>France</v></cell><cell r="P4616" t="str"><v>Trial</v></cell><cell r="Q4616" t="str"><v>Social</v></cell><cell r="R4616" t="str"><v>Azure</v></cell><cell r="S4616" t="str"><v>Apps & Infra</v></cell><cell r="T4616" t="str"><v>Developers & ITI's</v></cell><cell r="U4616" t="str"><v>Developers/ITPros-Azure Direct-Sponsored Post-Video Ad-FBCTCBasicMotion_FRA_10s_RTG Landing Page</v></cell><cell r="V4616" t="str"><v>Behavioral Targeting</v></cell><cell r="W4616" t="str"><v>Social</v></cell><cell r="X4616" t="str"><v>1x1</v></cell></row><row r="4616"><cell r="AA4616"><v>43314</v></cell><cell r="AB4616" t="str"><v>FRA_gaPMG_AZR_AZR_Q1_19_AzureDirect-Trial-Social</v></cell><cell r="AC4616"><v>21356941</v></cell><cell r="AD4616"><v>720193</v></cell><cell r="AE4616" t="str"><v>Facebook</v></cell><cell r="AF4616"><v>3654128</v></cell><cell r="AG4616" t="str"><v>Facebook»Developers/ITPros-Azure Direct-Sponsored Post-Video Ad-FBCTCBasicMotion_FRA_10s_RTG Landing Page»1x1»05s»SOC»ALL»CPC»BT»D»UNK»SS»NA»Trials</v></cell><cell r="AH4616"><v>224416915</v></cell><cell r="AI4616" t="str"><v>AZR_FBCTCBasicMotion_FRA_10s_VIA_AZRDirect_French_NA_Facebook_STAN_TIN_T1_1</v></cell><cell r="AJ4616"><v>103376981</v></cell></row><row r="4617"><cell r="C4617" t="str"><v>43314Facebook»Developers/ITPros-Azure Direct-Sponsored Post-Video Ad-FBCTCBenefit2inMotion_FRA_14s_RTG Landing Page»1x1»06s»SOC»ALL»CPC»BT»D»UNK»SS»NA»Trials</v></cell><cell r="D4617" t="str"><v>43314224560875</v></cell><cell r="E4617" t="str"><v>43314103259766Trials</v></cell><cell r="F4617" t="str"><v>DCM</v></cell><cell r="G4617" t="str"><v>https://signup.azure.com/signup?offer=ms-azr-0044p&appId=102&ref=paidmedia-social-fb&redirectURL=https:%2F%2Fazure.microsoft.com%2Ffr-fr%2Fget-started%2Fwelcome-to-azure%2F&l=fr-fr&correlationId=ead86c34-1f10-49dd-a72b-6918462a2cbf</v></cell></row><row r="4617"><cell r="K4617" t="str"><v>August</v></cell><cell r="L4617"><v>43316</v></cell><cell r="M4617" t="str"><v>Tier 1</v></cell><cell r="N4617" t="str"><v>EMEA</v></cell><cell r="O4617" t="str"><v>France</v></cell><cell r="P4617" t="str"><v>Trial</v></cell><cell r="Q4617" t="str"><v>Social</v></cell><cell r="R4617" t="str"><v>Azure</v></cell><cell r="S4617" t="str"><v>Apps & Infra</v></cell><cell r="T4617" t="str"><v>Developers & ITI's</v></cell><cell r="U4617" t="str"><v>Developers/ITPros-Azure Direct-Sponsored Post-Video Ad-FBCTCBenefit2inMotion_FRA_14s_RTG Landing Page</v></cell><cell r="V4617" t="str"><v>Behavioral Targeting</v></cell><cell r="W4617" t="str"><v>Social</v></cell><cell r="X4617" t="str"><v>1x1</v></cell></row><row r="4617"><cell r="AA4617"><v>43314</v></cell><cell r="AB4617" t="str"><v>FRA_gaPMG_AZR_AZR_Q1_19_AzureDirect-Trial-Social</v></cell><cell r="AC4617"><v>21356941</v></cell><cell r="AD4617"><v>720193</v></cell><cell r="AE4617" t="str"><v>Facebook</v></cell><cell r="AF4617"><v>3654128</v></cell><cell r="AG4617" t="str"><v>Facebook»Developers/ITPros-Azure Direct-Sponsored Post-Video Ad-FBCTCBenefit2inMotion_FRA_14s_RTG Landing Page»1x1»06s»SOC»ALL»CPC»BT»D»UNK»SS»NA»Trials</v></cell><cell r="AH4617"><v>224560875</v></cell><cell r="AI4617" t="str"><v>AZR_FBCTCBenefit2inMotion_FRA_14s_VIA_AZRDirect_French_NA_Facebook_STAN_TIN_T4_1</v></cell><cell r="AJ4617"><v>103259766</v></cell></row><row r="4618"><cell r="C4618" t="str"><v>43314Facebook»Developers/ITPros-Azure Direct-Sponsored Post-Video Ad-FBCTCBrandinMotion_FRA_12s_RTG Landing Page»1x1»05s»SOC»ALL»CPC»BT»D»UNK»SS»NA»Trials</v></cell><cell r="D4618" t="str"><v>43314224560863</v></cell><cell r="E4618" t="str"><v>43314103256577Trials</v></cell><cell r="F4618" t="str"><v>DCM</v></cell></row><row r="4618"><cell r="K4618" t="str"><v>August</v></cell><cell r="L4618"><v>43316</v></cell><cell r="M4618" t="str"><v>Tier 1</v></cell><cell r="N4618" t="str"><v>EMEA</v></cell><cell r="O4618" t="str"><v>France</v></cell><cell r="P4618" t="str"><v>Trial</v></cell><cell r="Q4618" t="str"><v>Social</v></cell><cell r="R4618" t="str"><v>Azure</v></cell><cell r="S4618" t="str"><v>Apps & Infra</v></cell><cell r="T4618" t="str"><v>Developers & ITI's</v></cell><cell r="U4618" t="str"><v>Developers/ITPros-Azure Direct-Sponsored Post-Video Ad-FBCTCBrandinMotion_FRA_12s_RTG Landing Page</v></cell><cell r="V4618" t="str"><v>Behavioral Targeting</v></cell><cell r="W4618" t="str"><v>Social</v></cell><cell r="X4618" t="str"><v>1x1</v></cell></row><row r="4618"><cell r="AA4618"><v>43314</v></cell><cell r="AB4618" t="str"><v>FRA_gaPMG_AZR_AZR_Q1_19_AzureDirect-Trial-Social</v></cell><cell r="AC4618"><v>21356941</v></cell><cell r="AD4618"><v>720193</v></cell><cell r="AE4618" t="str"><v>Facebook</v></cell><cell r="AF4618"><v>3654128</v></cell><cell r="AG4618" t="str"><v>Facebook»Developers/ITPros-Azure Direct-Sponsored Post-Video Ad-FBCTCBrandinMotion_FRA_12s_RTG Landing Page»1x1»05s»SOC»ALL»CPC»BT»D»UNK»SS»NA»Trials</v></cell><cell r="AH4618"><v>224560863</v></cell><cell r="AI4618" t="str"><v>AZR_FBCTCBrandinMotion_FRA_12s_VIA_AZRDirect_French_NA_Facebook_STAN_TIN_T2_1</v></cell><cell r="AJ4618"><v>103256577</v></cell></row><row r="4619"><cell r="C4619" t="str"><v>43314Facebook»Developers/ITPros-Azure Direct-Sponsored Post-Canvas-FBCTCcanvaspage-BuyNowCTA-Img3_FBCTCBrandinMotion_FRA_12sec»1x1»Canvas»SOC»ALL»CPC»BT»D»UNK»SS»NA»Trials</v></cell><cell r="D4619" t="str"><v>43314224416924</v></cell><cell r="E4619" t="str"><v>43314103256571Trials</v></cell><cell r="F4619" t="str"><v>DCM</v></cell><cell r="G4619" t="str"><v>https://azure.microsoft.com/fr-fr/pricing/purchase-options/</v></cell></row><row r="4619"><cell r="K4619" t="str"><v>August</v></cell><cell r="L4619"><v>43316</v></cell><cell r="M4619" t="str"><v>Tier 1</v></cell><cell r="N4619" t="str"><v>EMEA</v></cell><cell r="O4619" t="str"><v>France</v></cell><cell r="P4619" t="str"><v>Trial</v></cell><cell r="Q4619" t="str"><v>Social</v></cell><cell r="R4619" t="str"><v>Azure</v></cell><cell r="S4619" t="str"><v>Apps & Infra</v></cell><cell r="T4619" t="str"><v>Developers & ITI's</v></cell><cell r="U4619" t="str"><v>Developers/ITPros-Azure Direct-Sponsored Post-Canvas-FBCTCcanvaspage-BuyNowCTA-Img3_FBCTCBrandinMotion_FRA_12sec</v></cell><cell r="V4619" t="str"><v>Behavioral Targeting</v></cell><cell r="W4619" t="str"><v>Social</v></cell><cell r="X4619" t="str"><v>1x1</v></cell></row><row r="4619"><cell r="AA4619"><v>43314</v></cell><cell r="AB4619" t="str"><v>FRA_gaPMG_AZR_AZR_Q1_19_AzureDirect-Trial-Social</v></cell><cell r="AC4619"><v>21356941</v></cell><cell r="AD4619"><v>720193</v></cell><cell r="AE4619" t="str"><v>Facebook</v></cell><cell r="AF4619"><v>3654128</v></cell><cell r="AG4619" t="str"><v>Facebook»Developers/ITPros-Azure Direct-Sponsored Post-Canvas-FBCTCcanvaspage-BuyNowCTA-Img3_FBCTCBrandinMotion_FRA_12sec»1x1»Canvas»SOC»ALL»CPC»BT»D»UNK»SS»NA»Trials</v></cell><cell r="AH4619"><v>224416924</v></cell><cell r="AI4619" t="str"><v>AZR_FBCTCcanvaspage-BuyNowCTA-Img3_FRA_1080x162_SOC_AZRDirect_French_NA_Facebook_SBAN_BN_T3_1</v></cell><cell r="AJ4619"><v>103256571</v></cell></row><row r="4620"><cell r="C4620" t="str"><v>43314Facebook»Developers/ITPros-Azure Direct-Sponsored Post-Link Ad-FreeAcctRetargetingFB-Animated-ChC»1x1»SocialBan»SOC»ALL»CPC»BT»D»UNK»SS»NA»Trials</v></cell><cell r="D4620" t="str"><v>43314224560848</v></cell><cell r="E4620" t="str"><v>43314103259775Trials</v></cell><cell r="F4620" t="str"><v>DCM</v></cell><cell r="G4620" t="str"><v>https://azure.microsoft.com/fr-fr/free/search/</v></cell></row><row r="4620"><cell r="K4620" t="str"><v>August</v></cell><cell r="L4620"><v>43316</v></cell><cell r="M4620" t="str"><v>Tier 1</v></cell><cell r="N4620" t="str"><v>EMEA</v></cell><cell r="O4620" t="str"><v>France</v></cell><cell r="P4620" t="str"><v>Trial</v></cell><cell r="Q4620" t="str"><v>Social</v></cell><cell r="R4620" t="str"><v>Azure</v></cell><cell r="S4620" t="str"><v>Apps & Infra</v></cell><cell r="T4620" t="str"><v>Developers & ITI's</v></cell><cell r="U4620" t="str"><v>Developers/ITPros-Azure Direct-Sponsored Post-Link Ad-FreeAcctRetargetingFB-Animated-ChC</v></cell><cell r="V4620" t="str"><v>Behavioral Targeting</v></cell><cell r="W4620" t="str"><v>Social</v></cell><cell r="X4620" t="str"><v>1x1</v></cell></row><row r="4620"><cell r="AA4620"><v>43314</v></cell><cell r="AB4620" t="str"><v>FRA_gaPMG_AZR_AZR_Q1_19_AzureDirect-Trial-Social</v></cell><cell r="AC4620"><v>21356941</v></cell><cell r="AD4620"><v>720193</v></cell><cell r="AE4620" t="str"><v>Facebook</v></cell><cell r="AF4620"><v>3654128</v></cell><cell r="AG4620" t="str"><v>Facebook»Developers/ITPros-Azure Direct-Sponsored Post-Link Ad-FreeAcctRetargetingFB-Animated-ChC»1x1»SocialBan»SOC»ALL»CPC»BT»D»UNK»SS»NA»Trials</v></cell><cell r="AH4620"><v>224560848</v></cell><cell r="AI4620" t="str"><v>AZR_reeAcctRetargetingFB-Animated-ChC_FRA_1200x628_SOC_AZRDirect_French_NA_Facebook_SBAN_SINU_T3_1</v></cell><cell r="AJ4620"><v>103259775</v></cell></row><row r="4621"><cell r="C4621" t="str"><v>43314Facebook»Developers/ITPros-Azure Direct-Sponsored Post-Link Ad-FreeAcctRetargetingOSSFB-Logos-ChG»1x1»SocialBan»SOC»ALL»CPC»BT»D»UNK»SS»NA»Trials</v></cell><cell r="D4621" t="str"><v>43314224560842</v></cell><cell r="E4621" t="str"><v>43314103259769Trials</v></cell><cell r="F4621" t="str"><v>DCM</v></cell><cell r="G4621" t="str"><v>https://azure.microsoft.com/fr-fr/free/open-source/search/</v></cell></row><row r="4621"><cell r="K4621" t="str"><v>August</v></cell><cell r="L4621"><v>43316</v></cell><cell r="M4621" t="str"><v>Tier 1</v></cell><cell r="N4621" t="str"><v>EMEA</v></cell><cell r="O4621" t="str"><v>France</v></cell><cell r="P4621" t="str"><v>Trial</v></cell><cell r="Q4621" t="str"><v>Social</v></cell><cell r="R4621" t="str"><v>Azure</v></cell><cell r="S4621" t="str"><v>Apps & Infra</v></cell><cell r="T4621" t="str"><v>Developers & ITI's</v></cell><cell r="U4621" t="str"><v>Developers/ITPros-Azure Direct-Sponsored Post-Link Ad-FreeAcctRetargetingOSSFB-Logos-ChG</v></cell><cell r="V4621" t="str"><v>Behavioral Targeting</v></cell><cell r="W4621" t="str"><v>Social</v></cell><cell r="X4621" t="str"><v>1x1</v></cell></row><row r="4621"><cell r="AA4621"><v>43314</v></cell><cell r="AB4621" t="str"><v>FRA_gaPMG_AZR_AZR_Q1_19_AzureDirect-Trial-Social</v></cell><cell r="AC4621"><v>21356941</v></cell><cell r="AD4621"><v>720193</v></cell><cell r="AE4621" t="str"><v>Facebook</v></cell><cell r="AF4621"><v>3654128</v></cell><cell r="AG4621" t="str"><v>Facebook»Developers/ITPros-Azure Direct-Sponsored Post-Link Ad-FreeAcctRetargetingOSSFB-Logos-ChG»1x1»SocialBan»SOC»ALL»CPC»BT»D»UNK»SS»NA»Trials</v></cell><cell r="AH4621"><v>224560842</v></cell><cell r="AI4621" t="str"><v>AZR_FreeAcctRetargetingOSSFB-Logos-ChG_FRA_1200x628_SOC_AZRDirect_French_NA_Facebook_SBAN_SINU_T2_1</v></cell><cell r="AJ4621"><v>103259769</v></cell></row><row r="4622"><cell r="C4622" t="str"><v>43314Facebook»Developers/ITPros-Azure Direct-Sponsored Post-Link Ad-FreeAcctRetargetingVMFB-OnDemand-ChE»1x1»SocialBan»SOC»ALL»CPC»BT»D»UNK»SS»NA»Trials</v></cell><cell r="D4622" t="str"><v>43314224560833</v></cell><cell r="E4622" t="str"><v>43314103376990Trials</v></cell><cell r="F4622" t="str"><v>DCM</v></cell><cell r="G4622" t="str"><v>https://azure.microsoft.com/fr-fr/free/virtual-machines/search/</v></cell></row><row r="4622"><cell r="K4622" t="str"><v>August</v></cell><cell r="L4622"><v>43316</v></cell><cell r="M4622" t="str"><v>Tier 1</v></cell><cell r="N4622" t="str"><v>EMEA</v></cell><cell r="O4622" t="str"><v>France</v></cell><cell r="P4622" t="str"><v>Trial</v></cell><cell r="Q4622" t="str"><v>Social</v></cell><cell r="R4622" t="str"><v>Azure</v></cell><cell r="S4622" t="str"><v>Apps & Infra</v></cell><cell r="T4622" t="str"><v>Developers & ITI's</v></cell><cell r="U4622" t="str"><v>Developers/ITPros-Azure Direct-Sponsored Post-Link Ad-FreeAcctRetargetingVMFB-OnDemand-ChE</v></cell><cell r="V4622" t="str"><v>Behavioral Targeting</v></cell><cell r="W4622" t="str"><v>Social</v></cell><cell r="X4622" t="str"><v>1x1</v></cell></row><row r="4622"><cell r="AA4622"><v>43314</v></cell><cell r="AB4622" t="str"><v>FRA_gaPMG_AZR_AZR_Q1_19_AzureDirect-Trial-Social</v></cell><cell r="AC4622"><v>21356941</v></cell><cell r="AD4622"><v>720193</v></cell><cell r="AE4622" t="str"><v>Facebook</v></cell><cell r="AF4622"><v>3654128</v></cell><cell r="AG4622" t="str"><v>Facebook»Developers/ITPros-Azure Direct-Sponsored Post-Link Ad-FreeAcctRetargetingVMFB-OnDemand-ChE»1x1»SocialBan»SOC»ALL»CPC»BT»D»UNK»SS»NA»Trials</v></cell><cell r="AH4622"><v>224560833</v></cell><cell r="AI4622" t="str"><v>AZR_FreeAcctRetargetingVMFB-OnDemand-ChE_FRA_1200x628_SOC_AZRDirect_French_NA_Facebook_SBAN_SINU_T2_1</v></cell><cell r="AJ4622"><v>103376990</v></cell></row><row r="4623"><cell r="C4623" t="str"><v>43314Facebook»Audience & Interest Targeting»1x1»SocialBan»LIA»DT»CPC»AUT»W»NA»SS»NA»Basic Motion</v></cell><cell r="D4623" t="str"><v>43314224399962</v></cell><cell r="E4623" t="str"><v>43314103230847Motion</v></cell><cell r="F4623" t="str"><v>DCM</v></cell><cell r="G4623" t="str"><v>https://azure.microsoft.com/en-gb/pricing/purchase-options/</v></cell></row><row r="4623"><cell r="K4623" t="str"><v>August</v></cell><cell r="L4623"><v>43316</v></cell><cell r="M4623" t="str"><v>Tier 1</v></cell><cell r="N4623" t="str"><v>EMEA</v></cell><cell r="O4623" t="str"><v>United Kingdom</v></cell><cell r="P4623" t="str"><v>Trial</v></cell><cell r="Q4623" t="str"><v>Social</v></cell><cell r="R4623" t="str"><v>Azure</v></cell><cell r="S4623" t="str"><v>Apps & Infra</v></cell><cell r="T4623" t="str"><v>Developers & ITI's</v></cell><cell r="U4623" t="str"><v>Audience & Interest Targeting</v></cell><cell r="V4623" t="str"><v>Audience Targeting</v></cell><cell r="W4623" t="str"><v>Link Ad</v></cell><cell r="X4623" t="str"><v>1x1</v></cell></row><row r="4623"><cell r="AA4623"><v>43314</v></cell><cell r="AB4623" t="str"><v>GBR_gaPMG_CE_AZR_Q1_19_Trial-Social</v></cell><cell r="AC4623"><v>21337013</v></cell><cell r="AD4623"><v>720196</v></cell><cell r="AE4623" t="str"><v>Facebook</v></cell><cell r="AF4623"><v>3654128</v></cell><cell r="AG4623" t="str"><v>Facebook»Audience & Interest Targeting»1x1»SocialBan»LIA»DT»CPC»AUT»W»NA»SS»NA»Basic Motion</v></cell><cell r="AH4623"><v>224399962</v></cell><cell r="AI4623" t="str"><v>AzurePlatform_FBCTCcanvaspage-BuyNowCTA-Img3_GBR_1080x162_SOC_Plat_English_NA_Standard_NA_BN_T3_1</v></cell><cell r="AJ4623"><v>103230847</v></cell></row><row r="4624"><cell r="C4624" t="str"><v>43314Facebook»Audience & Interest Targeting»1x1»SocialBan»LIA»DT»CPC»AUT»W»NA»SS»NA»Basic Motion</v></cell><cell r="D4624" t="str"><v>43314224399962</v></cell><cell r="E4624" t="str"><v>43314103235146Motion</v></cell><cell r="F4624" t="str"><v>DCM</v></cell><cell r="G4624" t="str"><v>https://signup.azure.com/signup?offer=ms-azr-0044p&appId=102&ref=paidmedia-social-fb&redirectURL=https%3a%2f%2fazure.microsoft.com%2fen-gb%2fget-started%2fwelcome-to-azure%2f&l=en-gb&correlationId=ead86c34-1f10-49dd-a72b-6918462a2cbf</v></cell></row><row r="4624"><cell r="K4624" t="str"><v>August</v></cell><cell r="L4624"><v>43316</v></cell><cell r="M4624" t="str"><v>Tier 1</v></cell><cell r="N4624" t="str"><v>EMEA</v></cell><cell r="O4624" t="str"><v>United Kingdom</v></cell><cell r="P4624" t="str"><v>Trial</v></cell><cell r="Q4624" t="str"><v>Social</v></cell><cell r="R4624" t="str"><v>Azure</v></cell><cell r="S4624" t="str"><v>Apps & Infra</v></cell><cell r="T4624" t="str"><v>Developers & ITI's</v></cell><cell r="U4624" t="str"><v>Audience & Interest Targeting</v></cell><cell r="V4624" t="str"><v>Audience Targeting</v></cell><cell r="W4624" t="str"><v>Link Ad</v></cell><cell r="X4624" t="str"><v>1x1</v></cell></row><row r="4624"><cell r="AA4624"><v>43314</v></cell><cell r="AB4624" t="str"><v>GBR_gaPMG_CE_AZR_Q1_19_Trial-Social</v></cell><cell r="AC4624"><v>21337013</v></cell><cell r="AD4624"><v>720196</v></cell><cell r="AE4624" t="str"><v>Facebook</v></cell><cell r="AF4624"><v>3654128</v></cell><cell r="AG4624" t="str"><v>Facebook»Audience & Interest Targeting»1x1»SocialBan»LIA»DT»CPC»AUT»W»NA»SS»NA»Basic Motion</v></cell><cell r="AH4624"><v>224399962</v></cell><cell r="AI4624" t="str"><v>AzurePlatform_FBCTCcanvaspage-StartFreeCTA-Img2_GBR_1080x143 _SOC_Plat_English_NA_Standard_NA_NA_T2_1</v></cell><cell r="AJ4624"><v>103235146</v></cell></row><row r="4625"><cell r="C4625" t="str"><v>43314Facebook»Audience & Interest Targeting»1x1»SocialBan»LIA»DT»CPC»AUT»W»NA»SS»NA»Benefit 2 in Motion</v></cell><cell r="D4625" t="str"><v>43314224334170</v></cell><cell r="E4625" t="str"><v>43314103235146Motion</v></cell><cell r="F4625" t="str"><v>DCM</v></cell><cell r="G4625" t="str"><v>https://signup.azure.com/signup?offer=ms-azr-0044p&appId=102&ref=paidmedia-social-fb&redirectURL=https%3a%2f%2fazure.microsoft.com%2fen-gb%2fget-started%2fwelcome-to-azure%2f&l=en-gb&correlationId=ead86c34-1f10-49dd-a72b-6918462a2cbf</v></cell></row><row r="4625"><cell r="K4625" t="str"><v>August</v></cell><cell r="L4625"><v>43316</v></cell><cell r="M4625" t="str"><v>Tier 1</v></cell><cell r="N4625" t="str"><v>EMEA</v></cell><cell r="O4625" t="str"><v>United Kingdom</v></cell><cell r="P4625" t="str"><v>Trial</v></cell><cell r="Q4625" t="str"><v>Social</v></cell><cell r="R4625" t="str"><v>Azure</v></cell><cell r="S4625" t="str"><v>Apps & Infra</v></cell><cell r="T4625" t="str"><v>Developers & ITI's</v></cell><cell r="U4625" t="str"><v>Audience & Interest Targeting</v></cell><cell r="V4625" t="str"><v>Audience Targeting</v></cell><cell r="W4625" t="str"><v>Link Ad</v></cell><cell r="X4625" t="str"><v>1x1</v></cell></row><row r="4625"><cell r="AA4625"><v>43314</v></cell><cell r="AB4625" t="str"><v>GBR_gaPMG_CE_AZR_Q1_19_Trial-Social</v></cell><cell r="AC4625"><v>21337013</v></cell><cell r="AD4625"><v>720196</v></cell><cell r="AE4625" t="str"><v>Facebook</v></cell><cell r="AF4625"><v>3654128</v></cell><cell r="AG4625" t="str"><v>Facebook»Audience & Interest Targeting»1x1»SocialBan»LIA»DT»CPC»AUT»W»NA»SS»NA»Benefit 2 in Motion</v></cell><cell r="AH4625"><v>224334170</v></cell><cell r="AI4625" t="str"><v>AzurePlatform_FBCTCcanvaspage-StartFreeCTA-Img2_GBR_1080x143 _SOC_Plat_English_NA_Standard_NA_NA_T2_1</v></cell><cell r="AJ4625"><v>103235146</v></cell></row><row r="4626"><cell r="C4626" t="str"><v>43314Facebook»Audience & Interest Targeting»1x1»SocialBan»LIA»DT»CPC»AUT»W»NA»SS»NA»Brand in Motion</v></cell><cell r="D4626" t="str"><v>43314224549481</v></cell><cell r="E4626" t="str"><v>43314103235146Motion</v></cell><cell r="F4626" t="str"><v>DCM</v></cell><cell r="G4626" t="str"><v>https://signup.azure.com/signup?offer=ms-azr-0044p&appId=102&ref=paidmedia-social-fb&redirectURL=https%3a%2f%2fazure.microsoft.com%2fen-gb%2fget-started%2fwelcome-to-azure%2f&l=en-gb&correlationId=ead86c34-1f10-49dd-a72b-6918462a2cbf</v></cell></row><row r="4626"><cell r="K4626" t="str"><v>August</v></cell><cell r="L4626"><v>43316</v></cell><cell r="M4626" t="str"><v>Tier 1</v></cell><cell r="N4626" t="str"><v>EMEA</v></cell><cell r="O4626" t="str"><v>United Kingdom</v></cell><cell r="P4626" t="str"><v>Trial</v></cell><cell r="Q4626" t="str"><v>Social</v></cell><cell r="R4626" t="str"><v>Azure</v></cell><cell r="S4626" t="str"><v>Apps & Infra</v></cell><cell r="T4626" t="str"><v>Developers & ITI's</v></cell><cell r="U4626" t="str"><v>Audience & Interest Targeting</v></cell><cell r="V4626" t="str"><v>Audience Targeting</v></cell><cell r="W4626" t="str"><v>Link Ad</v></cell><cell r="X4626" t="str"><v>1x1</v></cell></row><row r="4626"><cell r="AA4626"><v>43314</v></cell><cell r="AB4626" t="str"><v>GBR_gaPMG_CE_AZR_Q1_19_Trial-Social</v></cell><cell r="AC4626"><v>21337013</v></cell><cell r="AD4626"><v>720196</v></cell><cell r="AE4626" t="str"><v>Facebook</v></cell><cell r="AF4626"><v>3654128</v></cell><cell r="AG4626" t="str"><v>Facebook»Audience & Interest Targeting»1x1»SocialBan»LIA»DT»CPC»AUT»W»NA»SS»NA»Brand in Motion</v></cell><cell r="AH4626"><v>224549481</v></cell><cell r="AI4626" t="str"><v>AzurePlatform_FBCTCcanvaspage-StartFreeCTA-Img2_GBR_1080x143 _SOC_Plat_English_NA_Standard_NA_NA_T2_1</v></cell><cell r="AJ4626"><v>103235146</v></cell></row><row r="4627"><cell r="C4627" t="str"><v>43314Facebook»Audience & Interest Targeting»1x1»SocialBan»LIA»DT»DYN»AUT»W»NA»SS»NA»Free Account Refresh- 12 months ChE</v></cell><cell r="D4627" t="str"><v>43314223567691</v></cell><cell r="E4627" t="str"><v>43314102854007hs ChE</v></cell><cell r="F4627" t="str"><v>DCM</v></cell><cell r="G4627" t="str"><v>https://azure.microsoft.com/en-gb/free/search/</v></cell></row><row r="4627"><cell r="K4627" t="str"><v>August</v></cell><cell r="L4627"><v>43316</v></cell><cell r="M4627" t="str"><v>Tier 1</v></cell><cell r="N4627" t="str"><v>EMEA</v></cell><cell r="O4627" t="str"><v>United Kingdom</v></cell><cell r="P4627" t="str"><v>Trial</v></cell><cell r="Q4627" t="str"><v>Social</v></cell><cell r="R4627" t="str"><v>Azure</v></cell><cell r="S4627" t="str"><v>Apps & Infra</v></cell><cell r="T4627" t="str"><v>Developers & ITI's</v></cell><cell r="U4627" t="str"><v>Audience & Interest Targeting</v></cell><cell r="V4627" t="str"><v>Audience Targeting</v></cell><cell r="W4627" t="str"><v>Link Ad</v></cell><cell r="X4627" t="str"><v>1x1</v></cell></row><row r="4627"><cell r="AA4627"><v>43314</v></cell><cell r="AB4627" t="str"><v>GBR_gaPMG_CE_AZR_Q1_19_Trial-Social</v></cell><cell r="AC4627"><v>21337013</v></cell><cell r="AD4627"><v>720196</v></cell><cell r="AE4627" t="str"><v>Facebook</v></cell><cell r="AF4627"><v>3654128</v></cell><cell r="AG4627" t="str"><v>Facebook»Audience & Interest Targeting»1x1»SocialBan»LIA»DT»DYN»AUT»W»NA»SS»NA»Free Account Refresh- 12 months ChE</v></cell><cell r="AH4627"><v>223567691</v></cell><cell r="AI4627" t="str"><v>AzurePlatform_FreeAcctAppsFACEBOOK12monthsChE_GBR_1200x628_SOC_PLAT_EN_Trial_Standard_NA_SU_T5_1</v></cell><cell r="AJ4627"><v>102854007</v></cell></row><row r="4628"><cell r="C4628" t="str"><v>43314Facebook»Audience & Interest Targeting»1x1»SocialBan»LIA»DT»DYN»AUT»W»NA»SS»NA»Free Account Refresh- 200 Credit ChD</v></cell><cell r="D4628" t="str"><v>43314223560359</v></cell><cell r="E4628" t="str"><v>43314103005662it ChD</v></cell><cell r="F4628" t="str"><v>DCM</v></cell><cell r="G4628" t="str"><v>https://azure.microsoft.com/en-gb/free/search/</v></cell></row><row r="4628"><cell r="K4628" t="str"><v>August</v></cell><cell r="L4628"><v>43316</v></cell><cell r="M4628" t="str"><v>Tier 1</v></cell><cell r="N4628" t="str"><v>EMEA</v></cell><cell r="O4628" t="str"><v>United Kingdom</v></cell><cell r="P4628" t="str"><v>Trial</v></cell><cell r="Q4628" t="str"><v>Social</v></cell><cell r="R4628" t="str"><v>Azure</v></cell><cell r="S4628" t="str"><v>Apps & Infra</v></cell><cell r="T4628" t="str"><v>Developers & ITI's</v></cell><cell r="U4628" t="str"><v>Audience & Interest Targeting</v></cell><cell r="V4628" t="str"><v>Audience Targeting</v></cell><cell r="W4628" t="str"><v>Link Ad</v></cell><cell r="X4628" t="str"><v>1x1</v></cell></row><row r="4628"><cell r="AA4628"><v>43314</v></cell><cell r="AB4628" t="str"><v>GBR_gaPMG_CE_AZR_Q1_19_Trial-Social</v></cell><cell r="AC4628"><v>21337013</v></cell><cell r="AD4628"><v>720196</v></cell><cell r="AE4628" t="str"><v>Facebook</v></cell><cell r="AF4628"><v>3654128</v></cell><cell r="AG4628" t="str"><v>Facebook»Audience & Interest Targeting»1x1»SocialBan»LIA»DT»DYN»AUT»W»NA»SS»NA»Free Account Refresh- 200 Credit ChD</v></cell><cell r="AH4628"><v>223560359</v></cell><cell r="AI4628" t="str"><v>AzurePlatform_FreeAcctAppsFACEBOOK200CreditChD_GBR_1200x628_SOC_PLAT_EN_Trial_Standard_NA_SU_T4_1</v></cell><cell r="AJ4628"><v>103005662</v></cell></row><row r="4629"><cell r="C4629" t="str"><v>43314Facebook»Audience & Interest Targeting»1x1»SocialBan»LIA»DT»DYN»AUT»W»NA»SS»NA»Free Account Refresh- Device ChB</v></cell><cell r="D4629" t="str"><v>43314223560353</v></cell><cell r="E4629" t="str"><v>43314102854010ce ChB</v></cell><cell r="F4629" t="str"><v>DCM</v></cell><cell r="G4629" t="str"><v>https://azure.microsoft.com/en-gb/free/search/</v></cell></row><row r="4629"><cell r="K4629" t="str"><v>August</v></cell><cell r="L4629"><v>43316</v></cell><cell r="M4629" t="str"><v>Tier 1</v></cell><cell r="N4629" t="str"><v>EMEA</v></cell><cell r="O4629" t="str"><v>United Kingdom</v></cell><cell r="P4629" t="str"><v>Trial</v></cell><cell r="Q4629" t="str"><v>Social</v></cell><cell r="R4629" t="str"><v>Azure</v></cell><cell r="S4629" t="str"><v>Apps & Infra</v></cell><cell r="T4629" t="str"><v>Developers & ITI's</v></cell><cell r="U4629" t="str"><v>Audience & Interest Targeting</v></cell><cell r="V4629" t="str"><v>Audience Targeting</v></cell><cell r="W4629" t="str"><v>Link Ad</v></cell><cell r="X4629" t="str"><v>1x1</v></cell></row><row r="4629"><cell r="AA4629"><v>43314</v></cell><cell r="AB4629" t="str"><v>GBR_gaPMG_CE_AZR_Q1_19_Trial-Social</v></cell><cell r="AC4629"><v>21337013</v></cell><cell r="AD4629"><v>720196</v></cell><cell r="AE4629" t="str"><v>Facebook</v></cell><cell r="AF4629"><v>3654128</v></cell><cell r="AG4629" t="str"><v>Facebook»Audience & Interest Targeting»1x1»SocialBan»LIA»DT»DYN»AUT»W»NA»SS»NA»Free Account Refresh- Device ChB</v></cell><cell r="AH4629"><v>223560353</v></cell><cell r="AI4629" t="str"><v>AzurePlatform_FreeAcctAppsFACEBOOKDeviceChB_GBR_1200x628_SOC_PLAT_EN_Trial_Standard_NA_SU_T2_1</v></cell><cell r="AJ4629"><v>102854010</v></cell></row><row r="4630"><cell r="C4630" t="str"><v>43314Facebook»Audience & Interest Targeting»1x1»SocialBan»LIA»DT»DYN»AUT»W»NA»SS»NA»Free Account Refresh- Illustration ChC</v></cell><cell r="D4630" t="str"><v>43314223560347</v></cell><cell r="E4630" t="str"><v>43314102857037on ChC</v></cell><cell r="F4630" t="str"><v>DCM</v></cell><cell r="G4630" t="str"><v>https://azure.microsoft.com/en-gb/free/search/</v></cell></row><row r="4630"><cell r="K4630" t="str"><v>August</v></cell><cell r="L4630"><v>43316</v></cell><cell r="M4630" t="str"><v>Tier 1</v></cell><cell r="N4630" t="str"><v>EMEA</v></cell><cell r="O4630" t="str"><v>United Kingdom</v></cell><cell r="P4630" t="str"><v>Trial</v></cell><cell r="Q4630" t="str"><v>Social</v></cell><cell r="R4630" t="str"><v>Azure</v></cell><cell r="S4630" t="str"><v>Apps & Infra</v></cell><cell r="T4630" t="str"><v>Developers & ITI's</v></cell><cell r="U4630" t="str"><v>Audience & Interest Targeting</v></cell><cell r="V4630" t="str"><v>Audience Targeting</v></cell><cell r="W4630" t="str"><v>Link Ad</v></cell><cell r="X4630" t="str"><v>1x1</v></cell></row><row r="4630"><cell r="AA4630"><v>43314</v></cell><cell r="AB4630" t="str"><v>GBR_gaPMG_CE_AZR_Q1_19_Trial-Social</v></cell><cell r="AC4630"><v>21337013</v></cell><cell r="AD4630"><v>720196</v></cell><cell r="AE4630" t="str"><v>Facebook</v></cell><cell r="AF4630"><v>3654128</v></cell><cell r="AG4630" t="str"><v>Facebook»Audience & Interest Targeting»1x1»SocialBan»LIA»DT»DYN»AUT»W»NA»SS»NA»Free Account Refresh- Illustration ChC</v></cell><cell r="AH4630"><v>223560347</v></cell><cell r="AI4630" t="str"><v>AzurePlatform_FreeAcctAppsFACEBOOKIllustrationChC_GBR_1200x628_SOC_PLAT_EN_Trial_Standard_NA_SU_T3_1</v></cell><cell r="AJ4630"><v>102857037</v></cell></row><row r="4631"><cell r="C4631" t="str"><v>43314Facebook»Audience & Interest Targeting»1x1»SocialBan»LIA»DT»DYN»AUT»W»NA»SS»NA»Free Account Refresh- Lifestyle ChA</v></cell><cell r="D4631" t="str"><v>43314223560341</v></cell><cell r="E4631" t="str"><v>43314102853597le ChA</v></cell><cell r="F4631" t="str"><v>DCM</v></cell><cell r="G4631" t="str"><v>https://azure.microsoft.com/en-gb/free/search/</v></cell></row><row r="4631"><cell r="K4631" t="str"><v>August</v></cell><cell r="L4631"><v>43316</v></cell><cell r="M4631" t="str"><v>Tier 1</v></cell><cell r="N4631" t="str"><v>EMEA</v></cell><cell r="O4631" t="str"><v>United Kingdom</v></cell><cell r="P4631" t="str"><v>Trial</v></cell><cell r="Q4631" t="str"><v>Social</v></cell><cell r="R4631" t="str"><v>Azure</v></cell><cell r="S4631" t="str"><v>Apps & Infra</v></cell><cell r="T4631" t="str"><v>Developers & ITI's</v></cell><cell r="U4631" t="str"><v>Audience & Interest Targeting</v></cell><cell r="V4631" t="str"><v>Audience Targeting</v></cell><cell r="W4631" t="str"><v>Link Ad</v></cell><cell r="X4631" t="str"><v>1x1</v></cell></row><row r="4631"><cell r="AA4631"><v>43314</v></cell><cell r="AB4631" t="str"><v>GBR_gaPMG_CE_AZR_Q1_19_Trial-Social</v></cell><cell r="AC4631"><v>21337013</v></cell><cell r="AD4631"><v>720196</v></cell><cell r="AE4631" t="str"><v>Facebook</v></cell><cell r="AF4631"><v>3654128</v></cell><cell r="AG4631" t="str"><v>Facebook»Audience & Interest Targeting»1x1»SocialBan»LIA»DT»DYN»AUT»W»NA»SS»NA»Free Account Refresh- Lifestyle ChA</v></cell><cell r="AH4631"><v>223560341</v></cell><cell r="AI4631" t="str"><v>AzurePlatform_FreeAcctAppsFACEBOOKLifestyleChA_GBR_1200x628_SOC_PLAT_EN_Trial_Standard_NA_SU_T1_1</v></cell><cell r="AJ4631"><v>102853597</v></cell></row><row r="4632"><cell r="C4632" t="str"><v>43314Facebook»Retargeting»1x1»SocialBan»LIA»DT»DYN»RT»W»NA»SS»NA»Free Account Retargeting Generic- Animated ChC</v></cell><cell r="D4632" t="str"><v>43314223560299</v></cell><cell r="E4632" t="str"><v>43314102854019ed ChC</v></cell><cell r="F4632" t="str"><v>DCM</v></cell><cell r="G4632" t="str"><v>https://azure.microsoft.com/en-gb/free/search/</v></cell></row><row r="4632"><cell r="K4632" t="str"><v>August</v></cell><cell r="L4632"><v>43316</v></cell><cell r="M4632" t="str"><v>Tier 1</v></cell><cell r="N4632" t="str"><v>EMEA</v></cell><cell r="O4632" t="str"><v>United Kingdom</v></cell><cell r="P4632" t="str"><v>Trial</v></cell><cell r="Q4632" t="str"><v>Social</v></cell><cell r="R4632" t="str"><v>Azure</v></cell><cell r="S4632" t="str"><v>Apps & Infra</v></cell><cell r="T4632" t="str"><v>Developers & ITI's</v></cell><cell r="U4632" t="str"><v>Retargeting</v></cell><cell r="V4632" t="str"><v>Retargeting</v></cell><cell r="W4632" t="str"><v>Link Ad</v></cell><cell r="X4632" t="str"><v>1x1</v></cell></row><row r="4632"><cell r="AA4632"><v>43314</v></cell><cell r="AB4632" t="str"><v>GBR_gaPMG_CE_AZR_Q1_19_Trial-Social</v></cell><cell r="AC4632"><v>21337013</v></cell><cell r="AD4632"><v>720196</v></cell><cell r="AE4632" t="str"><v>Facebook</v></cell><cell r="AF4632"><v>3654128</v></cell><cell r="AG4632" t="str"><v>Facebook»Retargeting»1x1»SocialBan»LIA»DT»DYN»RT»W»NA»SS»NA»Free Account Retargeting Generic- Animated ChC</v></cell><cell r="AH4632"><v>223560299</v></cell><cell r="AI4632" t="str"><v>AzurePlatform_FreeAcctRetargetingFB-Animated-ChC_GBR_1200x628_SOC_Plat_EN_Free Account_Standard_ANI_SU_T3_1</v></cell><cell r="AJ4632"><v>102854019</v></cell></row><row r="4633"><cell r="C4633" t="str"><v>43314Facebook»Retargeting»1x1»SocialBan»LIA»DT»DYN»RT»W»NA»SS»NA»Free Account Retargeting Generic- Global Alt ChB</v></cell><cell r="D4633" t="str"><v>43314223560356</v></cell><cell r="E4633" t="str"><v>43314102854016lt ChB</v></cell><cell r="F4633" t="str"><v>DCM</v></cell><cell r="G4633" t="str"><v>https://azure.microsoft.com/en-gb/free/search/</v></cell></row><row r="4633"><cell r="K4633" t="str"><v>August</v></cell><cell r="L4633"><v>43316</v></cell><cell r="M4633" t="str"><v>Tier 1</v></cell><cell r="N4633" t="str"><v>EMEA</v></cell><cell r="O4633" t="str"><v>United Kingdom</v></cell><cell r="P4633" t="str"><v>Trial</v></cell><cell r="Q4633" t="str"><v>Social</v></cell><cell r="R4633" t="str"><v>Azure</v></cell><cell r="S4633" t="str"><v>Apps & Infra</v></cell><cell r="T4633" t="str"><v>Developers & ITI's</v></cell><cell r="U4633" t="str"><v>Retargeting</v></cell><cell r="V4633" t="str"><v>Retargeting</v></cell><cell r="W4633" t="str"><v>Link Ad</v></cell><cell r="X4633" t="str"><v>1x1</v></cell></row><row r="4633"><cell r="AA4633"><v>43314</v></cell><cell r="AB4633" t="str"><v>GBR_gaPMG_CE_AZR_Q1_19_Trial-Social</v></cell><cell r="AC4633"><v>21337013</v></cell><cell r="AD4633"><v>720196</v></cell><cell r="AE4633" t="str"><v>Facebook</v></cell><cell r="AF4633"><v>3654128</v></cell><cell r="AG4633" t="str"><v>Facebook»Retargeting»1x1»SocialBan»LIA»DT»DYN»RT»W»NA»SS»NA»Free Account Retargeting Generic- Global Alt ChB</v></cell><cell r="AH4633"><v>223560356</v></cell><cell r="AI4633" t="str"><v>AzurePlatform_FreeAcctRetargetingFB-GlobalAlt-ChB_GBR_1200x628_SOC_Plat_EN_Free Account_Standard_NA_SU_T2_1</v></cell><cell r="AJ4633"><v>102854016</v></cell></row><row r="4634"><cell r="C4634" t="str"><v>43314Facebook»Retargeting»1x1»SocialBan»LIA»DT»DYN»RT»W»NA»SS»NA»Free Account Retargeting OSS- Logos ChG</v></cell><cell r="D4634" t="str"><v>43314223560350</v></cell><cell r="E4634" t="str"><v>43314103006547os ChG</v></cell><cell r="F4634" t="str"><v>DCM</v></cell><cell r="G4634" t="str"><v>https://azure.microsoft.com/en-gb/free/open-source/search/</v></cell></row><row r="4634"><cell r="K4634" t="str"><v>August</v></cell><cell r="L4634"><v>43316</v></cell><cell r="M4634" t="str"><v>Tier 1</v></cell><cell r="N4634" t="str"><v>EMEA</v></cell><cell r="O4634" t="str"><v>United Kingdom</v></cell><cell r="P4634" t="str"><v>Trial</v></cell><cell r="Q4634" t="str"><v>Social</v></cell><cell r="R4634" t="str"><v>Azure</v></cell><cell r="S4634" t="str"><v>Apps & Infra</v></cell><cell r="T4634" t="str"><v>Developers & ITI's</v></cell><cell r="U4634" t="str"><v>Retargeting</v></cell><cell r="V4634" t="str"><v>Retargeting</v></cell><cell r="W4634" t="str"><v>Link Ad</v></cell><cell r="X4634" t="str"><v>1x1</v></cell></row><row r="4634"><cell r="AA4634"><v>43314</v></cell><cell r="AB4634" t="str"><v>GBR_gaPMG_CE_AZR_Q1_19_Trial-Social</v></cell><cell r="AC4634"><v>21337013</v></cell><cell r="AD4634"><v>720196</v></cell><cell r="AE4634" t="str"><v>Facebook</v></cell><cell r="AF4634"><v>3654128</v></cell><cell r="AG4634" t="str"><v>Facebook»Retargeting»1x1»SocialBan»LIA»DT»DYN»RT»W»NA»SS»NA»Free Account Retargeting OSS- Logos ChG</v></cell><cell r="AH4634"><v>223560350</v></cell><cell r="AI4634" t="str"><v>AzurePlatform_FreeAcctRetargetingOSSFB-Logos-ChG_GBR_1200x628_SOC_Plat_EN_Free Account_Standard_NA_SU_T2_1</v></cell><cell r="AJ4634"><v>103006547</v></cell></row><row r="4635"><cell r="C4635" t="str"><v>43314Facebook»Retargeting»1x1»SocialBan»LIA»DT»DYN»RT»W»NA»SS»NA»Free Account Retargeting OSS- Text ChF</v></cell><cell r="D4635" t="str"><v>43314223560344</v></cell><cell r="E4635" t="str"><v>43314102861246xt ChF</v></cell><cell r="F4635" t="str"><v>DCM</v></cell><cell r="G4635" t="str"><v>https://azure.microsoft.com/en-gb/free/open-source/search/</v></cell></row><row r="4635"><cell r="K4635" t="str"><v>August</v></cell><cell r="L4635"><v>43316</v></cell><cell r="M4635" t="str"><v>Tier 1</v></cell><cell r="N4635" t="str"><v>EMEA</v></cell><cell r="O4635" t="str"><v>United Kingdom</v></cell><cell r="P4635" t="str"><v>Trial</v></cell><cell r="Q4635" t="str"><v>Social</v></cell><cell r="R4635" t="str"><v>Azure</v></cell><cell r="S4635" t="str"><v>Apps & Infra</v></cell><cell r="T4635" t="str"><v>Developers & ITI's</v></cell><cell r="U4635" t="str"><v>Retargeting</v></cell><cell r="V4635" t="str"><v>Retargeting</v></cell><cell r="W4635" t="str"><v>Link Ad</v></cell><cell r="X4635" t="str"><v>1x1</v></cell></row><row r="4635"><cell r="AA4635"><v>43314</v></cell><cell r="AB4635" t="str"><v>GBR_gaPMG_CE_AZR_Q1_19_Trial-Social</v></cell><cell r="AC4635"><v>21337013</v></cell><cell r="AD4635"><v>720196</v></cell><cell r="AE4635" t="str"><v>Facebook</v></cell><cell r="AF4635"><v>3654128</v></cell><cell r="AG4635" t="str"><v>Facebook»Retargeting»1x1»SocialBan»LIA»DT»DYN»RT»W»NA»SS»NA»Free Account Retargeting OSS- Text ChF</v></cell><cell r="AH4635"><v>223560344</v></cell><cell r="AI4635" t="str"><v>AzurePlatform_FreeAcctRetargetingOSSFB-Text-ChF_GBR_1200x628_SOC_Plat_EN_Free Account_Standard_NA_SU_T1_1</v></cell><cell r="AJ4635"><v>102861246</v></cell></row><row r="4636"><cell r="C4636" t="str"><v>43314Facebook»Retargeting»1x1»SocialBan»LIA»DT»DYN»RT»W»NA»SS»NA»Free Account Retargeting VM- 750 Hrs ChD</v></cell><cell r="D4636" t="str"><v>43314223560338</v></cell><cell r="E4636" t="str"><v>43314102853603rs ChD</v></cell><cell r="F4636" t="str"><v>DCM</v></cell><cell r="G4636" t="str"><v>https://azure.microsoft.com/en-gb/free/virtual-machines/search/</v></cell></row><row r="4636"><cell r="K4636" t="str"><v>August</v></cell><cell r="L4636"><v>43316</v></cell><cell r="M4636" t="str"><v>Tier 1</v></cell><cell r="N4636" t="str"><v>EMEA</v></cell><cell r="O4636" t="str"><v>United Kingdom</v></cell><cell r="P4636" t="str"><v>Trial</v></cell><cell r="Q4636" t="str"><v>Social</v></cell><cell r="R4636" t="str"><v>Azure</v></cell><cell r="S4636" t="str"><v>Apps & Infra</v></cell><cell r="T4636" t="str"><v>Developers & ITI's</v></cell><cell r="U4636" t="str"><v>Retargeting</v></cell><cell r="V4636" t="str"><v>Retargeting</v></cell><cell r="W4636" t="str"><v>Link Ad</v></cell><cell r="X4636" t="str"><v>1x1</v></cell></row><row r="4636"><cell r="AA4636"><v>43314</v></cell><cell r="AB4636" t="str"><v>GBR_gaPMG_CE_AZR_Q1_19_Trial-Social</v></cell><cell r="AC4636"><v>21337013</v></cell><cell r="AD4636"><v>720196</v></cell><cell r="AE4636" t="str"><v>Facebook</v></cell><cell r="AF4636"><v>3654128</v></cell><cell r="AG4636" t="str"><v>Facebook»Retargeting»1x1»SocialBan»LIA»DT»DYN»RT»W»NA»SS»NA»Free Account Retargeting VM- 750 Hrs ChD</v></cell><cell r="AH4636"><v>223560338</v></cell><cell r="AI4636" t="str"><v>AzurePlatform_FreeAcctRetargetingVMFB-750Hrs-ChD_GBR_1200x628_SOC_Plat_EN_Free Account_Standard_NA_SU_T1_1</v></cell><cell r="AJ4636"><v>102853603</v></cell></row><row r="4637"><cell r="C4637" t="str"><v>43314Facebook»Retargeting»1x1»SocialBan»LIA»DT»DYN»RT»W»NA»SS»NA»Free Account Retargeting VM- On Demand ChE</v></cell><cell r="D4637" t="str"><v>43314223560332</v></cell><cell r="E4637" t="str"><v>43314102854037nd ChE</v></cell><cell r="F4637" t="str"><v>DCM</v></cell><cell r="G4637" t="str"><v>https://azure.microsoft.com/en-gb/free/virtual-machines/search/</v></cell></row><row r="4637"><cell r="K4637" t="str"><v>August</v></cell><cell r="L4637"><v>43316</v></cell><cell r="M4637" t="str"><v>Tier 1</v></cell><cell r="N4637" t="str"><v>EMEA</v></cell><cell r="O4637" t="str"><v>United Kingdom</v></cell><cell r="P4637" t="str"><v>Trial</v></cell><cell r="Q4637" t="str"><v>Social</v></cell><cell r="R4637" t="str"><v>Azure</v></cell><cell r="S4637" t="str"><v>Apps & Infra</v></cell><cell r="T4637" t="str"><v>Developers & ITI's</v></cell><cell r="U4637" t="str"><v>Retargeting</v></cell><cell r="V4637" t="str"><v>Retargeting</v></cell><cell r="W4637" t="str"><v>Link Ad</v></cell><cell r="X4637" t="str"><v>1x1</v></cell></row><row r="4637"><cell r="AA4637"><v>43314</v></cell><cell r="AB4637" t="str"><v>GBR_gaPMG_CE_AZR_Q1_19_Trial-Social</v></cell><cell r="AC4637"><v>21337013</v></cell><cell r="AD4637"><v>720196</v></cell><cell r="AE4637" t="str"><v>Facebook</v></cell><cell r="AF4637"><v>3654128</v></cell><cell r="AG4637" t="str"><v>Facebook»Retargeting»1x1»SocialBan»LIA»DT»DYN»RT»W»NA»SS»NA»Free Account Retargeting VM- On Demand ChE</v></cell><cell r="AH4637"><v>223560332</v></cell><cell r="AI4637" t="str"><v>AzurePlatform_FreeAcctRetargetingVMFB-OnDemand-ChE_GBR_1200x628_SOC_Plat_EN_Free Account_Standard_NA_SU_T2_1</v></cell><cell r="AJ4637"><v>102854037</v></cell></row><row r="4638"><cell r="C4638" t="str"><v>43314Facebook»AZP-Canvas-Interest&Role-Trial»1x1»Canvas»OTH»MO»CPM»PRO»X»UNK»TP»OT»Canvas-Trial</v></cell><cell r="D4638" t="str"><v>43314223298805</v></cell><cell r="E4638" t="str"><v>43314102630373-Trial</v></cell><cell r="F4638" t="str"><v>DCM</v></cell><cell r="G4638" t="str"><v>https://azure.microsoft.com/ja-jp/pricing/purchase-options/</v></cell></row><row r="4638"><cell r="K4638" t="str"><v>August</v></cell><cell r="L4638"><v>43316</v></cell><cell r="M4638" t="str"><v>Tier 1</v></cell><cell r="N4638" t="str"><v>APAC</v></cell><cell r="O4638" t="str"><v>Japan</v></cell><cell r="P4638" t="str"><v>Trial</v></cell><cell r="Q4638" t="str"><v>Social</v></cell><cell r="R4638" t="str"><v>Azure</v></cell><cell r="S4638" t="str"><v>Apps & Infra</v></cell><cell r="T4638" t="str"><v>Developers & ITI's</v></cell><cell r="U4638" t="str"><v>AZP-Canvas-Interest&Role-Trial</v></cell><cell r="V4638" t="str"><v>Prospecting</v></cell><cell r="W4638" t="str"><v>Other</v></cell><cell r="X4638" t="str"><v>1x1</v></cell></row><row r="4638"><cell r="AA4638"><v>43314</v></cell><cell r="AB4638" t="str"><v>JPN_gaPMG_AZR_AZR_Q1_19_Trial-Social</v></cell><cell r="AC4638"><v>21276694</v></cell><cell r="AD4638"><v>720195</v></cell><cell r="AE4638" t="str"><v>Facebook</v></cell><cell r="AF4638"><v>3654128</v></cell><cell r="AG4638" t="str"><v>Facebook»AZP-Canvas-Interest&Role-Trial»1x1»Canvas»OTH»MO»CPM»PRO»X»UNK»TP»OT»Canvas-Trial</v></cell><cell r="AH4638"><v>223298805</v></cell><cell r="AI4638" t="str"><v>AzurePlatform_FBCTCcanvaspage-BuyNowCTA-Img3_JPN_1080x162_SOC_Plat_Japanese_NA_Standard_NA_BN_T3_1</v></cell><cell r="AJ4638"><v>102630373</v></cell></row><row r="4639"><cell r="C4639" t="str"><v>43314Facebook»AZP-Canvas-Interest&Role-Trial»1x1»Canvas»OTH»MO»CPM»PRO»X»UNK»TP»OT»Canvas-Trial</v></cell><cell r="D4639" t="str"><v>43314223298805</v></cell><cell r="E4639" t="str"><v>43314102609621-Trial</v></cell><cell r="F4639" t="str"><v>DCM</v></cell><cell r="G4639" t="str"><v>https://signup.azure.com/signup?offer=ms-azr-0044p&appId=102&ref=paidmedia-social-fb&redirectURL=https%3a%2f%2fazure.microsoft.com%2fja-jp%2fget-started%2fwelcome-to-azure%2f&l=ja-jp&correlationId=ead86c34-1f10-49dd-a72b-6918462a2cbf</v></cell></row><row r="4639"><cell r="K4639" t="str"><v>August</v></cell><cell r="L4639"><v>43316</v></cell><cell r="M4639" t="str"><v>Tier 1</v></cell><cell r="N4639" t="str"><v>APAC</v></cell><cell r="O4639" t="str"><v>Japan</v></cell><cell r="P4639" t="str"><v>Trial</v></cell><cell r="Q4639" t="str"><v>Social</v></cell><cell r="R4639" t="str"><v>Azure</v></cell><cell r="S4639" t="str"><v>Apps & Infra</v></cell><cell r="T4639" t="str"><v>Developers & ITI's</v></cell><cell r="U4639" t="str"><v>AZP-Canvas-Interest&Role-Trial</v></cell><cell r="V4639" t="str"><v>Prospecting</v></cell><cell r="W4639" t="str"><v>Other</v></cell><cell r="X4639" t="str"><v>1x1</v></cell></row><row r="4639"><cell r="AA4639"><v>43314</v></cell><cell r="AB4639" t="str"><v>JPN_gaPMG_AZR_AZR_Q1_19_Trial-Social</v></cell><cell r="AC4639"><v>21276694</v></cell><cell r="AD4639"><v>720195</v></cell><cell r="AE4639" t="str"><v>Facebook</v></cell><cell r="AF4639"><v>3654128</v></cell><cell r="AG4639" t="str"><v>Facebook»AZP-Canvas-Interest&Role-Trial»1x1»Canvas»OTH»MO»CPM»PRO»X»UNK»TP»OT»Canvas-Trial</v></cell><cell r="AH4639"><v>223298805</v></cell><cell r="AI4639" t="str"><v>AzurePlatform_FBCTCcanvaspage-StartFreeCTA-Img2_JPN_1080x143 _SOC_Plat_Japanese_NA_Standard_NA_NA_T2_1</v></cell><cell r="AJ4639"><v>102609621</v></cell></row><row r="4640"><cell r="C4640" t="str"><v>43314Facebook»AZP-Canvas-Look a Like-Trial»1x1»Canvas»OTH»MO»CPM»PRO»X»UNK»TP»OT»Canvas-Trial</v></cell><cell r="D4640" t="str"><v>43314223297413</v></cell><cell r="E4640" t="str"><v>43314102630373-Trial</v></cell><cell r="F4640" t="str"><v>DCM</v></cell><cell r="G4640" t="str"><v>https://azure.microsoft.com/ja-jp/pricing/purchase-options/</v></cell></row><row r="4640"><cell r="K4640" t="str"><v>August</v></cell><cell r="L4640"><v>43316</v></cell><cell r="M4640" t="str"><v>Tier 1</v></cell><cell r="N4640" t="str"><v>APAC</v></cell><cell r="O4640" t="str"><v>Japan</v></cell><cell r="P4640" t="str"><v>Trial</v></cell><cell r="Q4640" t="str"><v>Social</v></cell><cell r="R4640" t="str"><v>Azure</v></cell><cell r="S4640" t="str"><v>Apps & Infra</v></cell><cell r="T4640" t="str"><v>Developers & ITI's</v></cell><cell r="U4640" t="str"><v>AZP-Canvas-Look a Like-Trial</v></cell><cell r="V4640" t="str"><v>Prospecting</v></cell><cell r="W4640" t="str"><v>Other</v></cell><cell r="X4640" t="str"><v>1x1</v></cell></row><row r="4640"><cell r="AA4640"><v>43314</v></cell><cell r="AB4640" t="str"><v>JPN_gaPMG_AZR_AZR_Q1_19_Trial-Social</v></cell><cell r="AC4640"><v>21276694</v></cell><cell r="AD4640"><v>720195</v></cell><cell r="AE4640" t="str"><v>Facebook</v></cell><cell r="AF4640"><v>3654128</v></cell><cell r="AG4640" t="str"><v>Facebook»AZP-Canvas-Look a Like-Trial»1x1»Canvas»OTH»MO»CPM»PRO»X»UNK»TP»OT»Canvas-Trial</v></cell><cell r="AH4640"><v>223297413</v></cell><cell r="AI4640" t="str"><v>AzurePlatform_FBCTCcanvaspage-BuyNowCTA-Img3_JPN_1080x162_SOC_Plat_Japanese_NA_Standard_NA_BN_T3_1</v></cell><cell r="AJ4640"><v>102630373</v></cell></row><row r="4641"><cell r="C4641" t="str"><v>43314Facebook»AZP-Canvas-Look a Like-Trial»1x1»Canvas»OTH»MO»CPM»PRO»X»UNK»TP»OT»Canvas-Trial</v></cell><cell r="D4641" t="str"><v>43314223297413</v></cell><cell r="E4641" t="str"><v>43314102609621-Trial</v></cell><cell r="F4641" t="str"><v>DCM</v></cell><cell r="G4641" t="str"><v>https://signup.azure.com/signup?offer=ms-azr-0044p&appId=102&ref=paidmedia-social-fb&redirectURL=https%3a%2f%2fazure.microsoft.com%2fja-jp%2fget-started%2fwelcome-to-azure%2f&l=ja-jp&correlationId=ead86c34-1f10-49dd-a72b-6918462a2cbf</v></cell></row><row r="4641"><cell r="K4641" t="str"><v>August</v></cell><cell r="L4641"><v>43316</v></cell><cell r="M4641" t="str"><v>Tier 1</v></cell><cell r="N4641" t="str"><v>APAC</v></cell><cell r="O4641" t="str"><v>Japan</v></cell><cell r="P4641" t="str"><v>Trial</v></cell><cell r="Q4641" t="str"><v>Social</v></cell><cell r="R4641" t="str"><v>Azure</v></cell><cell r="S4641" t="str"><v>Apps & Infra</v></cell><cell r="T4641" t="str"><v>Developers & ITI's</v></cell><cell r="U4641" t="str"><v>AZP-Canvas-Look a Like-Trial</v></cell><cell r="V4641" t="str"><v>Prospecting</v></cell><cell r="W4641" t="str"><v>Other</v></cell><cell r="X4641" t="str"><v>1x1</v></cell></row><row r="4641"><cell r="AA4641"><v>43314</v></cell><cell r="AB4641" t="str"><v>JPN_gaPMG_AZR_AZR_Q1_19_Trial-Social</v></cell><cell r="AC4641"><v>21276694</v></cell><cell r="AD4641"><v>720195</v></cell><cell r="AE4641" t="str"><v>Facebook</v></cell><cell r="AF4641"><v>3654128</v></cell><cell r="AG4641" t="str"><v>Facebook»AZP-Canvas-Look a Like-Trial»1x1»Canvas»OTH»MO»CPM»PRO»X»UNK»TP»OT»Canvas-Trial</v></cell><cell r="AH4641"><v>223297413</v></cell><cell r="AI4641" t="str"><v>AzurePlatform_FBCTCcanvaspage-StartFreeCTA-Img2_JPN_1080x143 _SOC_Plat_Japanese_NA_Standard_NA_NA_T2_1</v></cell><cell r="AJ4641"><v>102609621</v></cell></row><row r="4642"><cell r="C4642" t="str"><v>43314Facebook»AZP-Canvas-Retargeting-Trial»1x1»Canvas»SOC»MO»CPM»PRO»W»UNK»SS»OT»Canvas-Trial</v></cell><cell r="D4642" t="str"><v>43314226269941</v></cell><cell r="E4642" t="str"><v>43314104060547-Trial</v></cell><cell r="F4642" t="str"><v>DCM</v></cell><cell r="G4642" t="str"><v>https://azure.microsoft.com/ja-jp/pricing/purchase-options/</v></cell></row><row r="4642"><cell r="K4642" t="str"><v>August</v></cell><cell r="L4642"><v>43316</v></cell><cell r="M4642" t="str"><v>Tier 1</v></cell><cell r="N4642" t="str"><v>APAC</v></cell><cell r="O4642" t="str"><v>Japan</v></cell><cell r="P4642" t="str"><v>Trial</v></cell><cell r="Q4642" t="str"><v>Social</v></cell><cell r="R4642" t="str"><v>Azure</v></cell><cell r="S4642" t="str"><v>Apps & Infra</v></cell><cell r="T4642" t="str"><v>Developers & ITI's</v></cell><cell r="U4642" t="str"><v>AZP-Canvas-Retargeting-Trial</v></cell><cell r="V4642" t="str"><v>Prospecting</v></cell><cell r="W4642" t="str"><v>Social</v></cell><cell r="X4642" t="str"><v>1x1</v></cell></row><row r="4642"><cell r="AA4642"><v>43314</v></cell><cell r="AB4642" t="str"><v>JPN_gaPMG_AZR_AZR_Q1_19_Trial-Social</v></cell><cell r="AC4642"><v>21276694</v></cell><cell r="AD4642"><v>720195</v></cell><cell r="AE4642" t="str"><v>Facebook</v></cell><cell r="AF4642"><v>3654128</v></cell><cell r="AG4642" t="str"><v>Facebook»AZP-Canvas-Retargeting-Trial»1x1»Canvas»SOC»MO»CPM»PRO»W»UNK»SS»OT»Canvas-Trial</v></cell><cell r="AH4642"><v>226269941</v></cell><cell r="AI4642" t="str"><v>AZR_FBCTCcanvaspage-BuyNowCTA-Img3_JPN_1080x162_SOC_Plat_Japanese_NA_Standard_NA_BN_T3_1</v></cell><cell r="AJ4642"><v>104060547</v></cell></row><row r="4643"><cell r="C4643" t="str"><v>43314Facebook»AZP-Canvas-Retargeting-Trial»1x1»Canvas»SOC»MO»CPM»PRO»W»UNK»SS»OT»Canvas-Trial</v></cell><cell r="D4643" t="str"><v>43314226269941</v></cell><cell r="E4643" t="str"><v>43314104061321-Trial</v></cell><cell r="F4643" t="str"><v>DCM</v></cell><cell r="G4643" t="str"><v>https://signup.azure.com/signup?offer=ms-azr-0044p&appId=102&ref=paidmedia-social-fb&redirectURL=https%3a%2f%2fazure.microsoft.com%2fja-jp%2fget-started%2fwelcome-to-azure%2f&l=ja-jp&correlationId=ead86c34-1f10-49dd-a72b-6918462a2cbf</v></cell></row><row r="4643"><cell r="K4643" t="str"><v>August</v></cell><cell r="L4643"><v>43316</v></cell><cell r="M4643" t="str"><v>Tier 1</v></cell><cell r="N4643" t="str"><v>APAC</v></cell><cell r="O4643" t="str"><v>Japan</v></cell><cell r="P4643" t="str"><v>Trial</v></cell><cell r="Q4643" t="str"><v>Social</v></cell><cell r="R4643" t="str"><v>Azure</v></cell><cell r="S4643" t="str"><v>Apps & Infra</v></cell><cell r="T4643" t="str"><v>Developers & ITI's</v></cell><cell r="U4643" t="str"><v>AZP-Canvas-Retargeting-Trial</v></cell><cell r="V4643" t="str"><v>Prospecting</v></cell><cell r="W4643" t="str"><v>Social</v></cell><cell r="X4643" t="str"><v>1x1</v></cell></row><row r="4643"><cell r="AA4643"><v>43314</v></cell><cell r="AB4643" t="str"><v>JPN_gaPMG_AZR_AZR_Q1_19_Trial-Social</v></cell><cell r="AC4643"><v>21276694</v></cell><cell r="AD4643"><v>720195</v></cell><cell r="AE4643" t="str"><v>Facebook</v></cell><cell r="AF4643"><v>3654128</v></cell><cell r="AG4643" t="str"><v>Facebook»AZP-Canvas-Retargeting-Trial»1x1»Canvas»SOC»MO»CPM»PRO»W»UNK»SS»OT»Canvas-Trial</v></cell><cell r="AH4643"><v>226269941</v></cell><cell r="AI4643" t="str"><v>AZR_FBCTCcanvaspage-StartFreeCTA-Img2_JPN_1080x143 _SOC_Plat_Japanese_NA_Standard_NA_NA_T2_1</v></cell><cell r="AJ4643"><v>104061321</v></cell></row><row r="4644"><cell r="C4644" t="str"><v>43314FACEBOOK»USA-Trial-ITD-Interest Prospecting-AZR-AZR»1 x 1»SocialBan»CAN»ALL»CPA»PRO»X»NA»SS»NA»FBCTCBasicMotion»PRC1SV</v></cell><cell r="D4644" t="str"><v>43314223934062</v></cell><cell r="E4644" t="str"><v>43314103043823PRC1SV</v></cell><cell r="F4644" t="str"><v>DCM</v></cell><cell r="G4644" t="str"><v>https://signup.azure.com/?OCID=AID%eexcid!_OLA_%ebuy!_%epid!_%ecid!</v></cell></row><row r="4644"><cell r="K4644" t="str"><v>August</v></cell><cell r="L4644"><v>43316</v></cell><cell r="M4644" t="str"><v>Tier 0</v></cell><cell r="N4644" t="str"><v>North America</v></cell><cell r="O4644" t="str"><v>United States</v></cell><cell r="P4644" t="str"><v>Trial</v></cell><cell r="Q4644" t="str"><v>Social</v></cell><cell r="R4644" t="str"><v>Azure</v></cell><cell r="S4644" t="str"><v>Apps & Infra</v></cell><cell r="T4644" t="str"><v>Developers & ITI's</v></cell><cell r="U4644" t="str"><v>USA-Trial-ITD-Interest Prospecting-AZR-AZR</v></cell><cell r="V4644" t="str"><v>Prospecting</v></cell><cell r="W4644" t="str"><v>Canvas Ad</v></cell><cell r="X4644" t="str"><v>1x1</v></cell></row><row r="4644"><cell r="AA4644"><v>43314</v></cell><cell r="AB4644" t="str"><v>USA_gaPMG_AZR_AZR_Q1_19_Direct-Social</v></cell><cell r="AC4644"><v>21358715</v></cell><cell r="AD4644"><v>720197</v></cell><cell r="AE4644" t="str"><v>Facebook</v></cell><cell r="AF4644"><v>3654128</v></cell><cell r="AG4644" t="str"><v>FACEBOOK»USA-Trial-ITD-Interest Prospecting-AZR-AZR»1 x 1»SocialBan»CAN»ALL»CPA»PRO»X»NA»SS»NA»FBCTCBasicMotion»PRC1SV</v></cell><cell r="AH4644"><v>223934062</v></cell><cell r="AI4644" t="str"><v>AzurePlatform_FBCTCBasicMotion_USA_10s_CAN_PLATFORM_English_Trial_Standard_STAN_TIN_T1_1</v></cell><cell r="AJ4644"><v>103043823</v></cell></row><row r="4645"><cell r="C4645" t="str"><v>43314FACEBOOK»USA-Trial-ITD-Interest Prospecting-AZR-AZR»1 x 1»SocialBan»CAN»ALL»CPA»PRO»X»NA»SS»NA»FBCTCBasicMotion»PRC1SV</v></cell><cell r="D4645" t="str"><v>43314223934062</v></cell><cell r="E4645" t="str"><v>43314103175984PRC1SV</v></cell><cell r="F4645" t="str"><v>DCM</v></cell><cell r="G4645" t="str"><v>https://azure.microsoft.com/en-us/pricing/purchase-options/?v=18.19&OCID=AID%eexcid!_OLA_%ebuy!_%epid!_%ecid!</v></cell></row><row r="4645"><cell r="K4645" t="str"><v>August</v></cell><cell r="L4645"><v>43316</v></cell><cell r="M4645" t="str"><v>Tier 0</v></cell><cell r="N4645" t="str"><v>North America</v></cell><cell r="O4645" t="str"><v>United States</v></cell><cell r="P4645" t="str"><v>Trial</v></cell><cell r="Q4645" t="str"><v>Social</v></cell><cell r="R4645" t="str"><v>Azure</v></cell><cell r="S4645" t="str"><v>Apps & Infra</v></cell><cell r="T4645" t="str"><v>Developers & ITI's</v></cell><cell r="U4645" t="str"><v>USA-Trial-ITD-Interest Prospecting-AZR-AZR</v></cell><cell r="V4645" t="str"><v>Prospecting</v></cell><cell r="W4645" t="str"><v>Canvas Ad</v></cell><cell r="X4645" t="str"><v>1x1</v></cell></row><row r="4645"><cell r="AA4645"><v>43314</v></cell><cell r="AB4645" t="str"><v>USA_gaPMG_AZR_AZR_Q1_19_Direct-Social</v></cell><cell r="AC4645"><v>21358715</v></cell><cell r="AD4645"><v>720197</v></cell><cell r="AE4645" t="str"><v>Facebook</v></cell><cell r="AF4645"><v>3654128</v></cell><cell r="AG4645" t="str"><v>FACEBOOK»USA-Trial-ITD-Interest Prospecting-AZR-AZR»1 x 1»SocialBan»CAN»ALL»CPA»PRO»X»NA»SS»NA»FBCTCBasicMotion»PRC1SV</v></cell><cell r="AH4645"><v>223934062</v></cell><cell r="AI4645" t="str"><v>AzurePlatform_FBCTCBasicMotion_USA_10s_CAN_PLATFORM_English_Trial_Standard_STAN_TIN_T1_2</v></cell><cell r="AJ4645"><v>103175984</v></cell></row><row r="4646"><cell r="C4646" t="str"><v>43314FACEBOOK»USA-Trial-ITD-Interest Prospecting-AZR-AZR»1 x 1»SocialBan»CAN»ALL»CPA»PRO»X»NA»SS»NA»FBCTCBenefit2inMotion»PRC1SW</v></cell><cell r="D4646" t="str"><v>43314223933138</v></cell><cell r="E4646" t="str"><v>43314103043835PRC1SW</v></cell><cell r="F4646" t="str"><v>DCM</v></cell><cell r="G4646" t="str"><v>https://signup.azure.com/?OCID=AID%eexcid!_OLA_%ebuy!_%epid!_%ecid!</v></cell></row><row r="4646"><cell r="K4646" t="str"><v>August</v></cell><cell r="L4646"><v>43316</v></cell><cell r="M4646" t="str"><v>Tier 0</v></cell><cell r="N4646" t="str"><v>North America</v></cell><cell r="O4646" t="str"><v>United States</v></cell><cell r="P4646" t="str"><v>Trial</v></cell><cell r="Q4646" t="str"><v>Social</v></cell><cell r="R4646" t="str"><v>Azure</v></cell><cell r="S4646" t="str"><v>Apps & Infra</v></cell><cell r="T4646" t="str"><v>Developers & ITI's</v></cell><cell r="U4646" t="str"><v>USA-Trial-ITD-Interest Prospecting-AZR-AZR</v></cell><cell r="V4646" t="str"><v>Prospecting</v></cell><cell r="W4646" t="str"><v>Canvas Ad</v></cell><cell r="X4646" t="str"><v>1x1</v></cell></row><row r="4646"><cell r="AA4646"><v>43314</v></cell><cell r="AB4646" t="str"><v>USA_gaPMG_AZR_AZR_Q1_19_Direct-Social</v></cell><cell r="AC4646"><v>21358715</v></cell><cell r="AD4646"><v>720197</v></cell><cell r="AE4646" t="str"><v>Facebook</v></cell><cell r="AF4646"><v>3654128</v></cell><cell r="AG4646" t="str"><v>FACEBOOK»USA-Trial-ITD-Interest Prospecting-AZR-AZR»1 x 1»SocialBan»CAN»ALL»CPA»PRO»X»NA»SS»NA»FBCTCBenefit2inMotion»PRC1SW</v></cell><cell r="AH4646"><v>223933138</v></cell><cell r="AI4646" t="str"><v>AzurePlatform_FBCTCBenefit2inMotion_USA_10s_CAN_PLATFORM_English_Trial_Standard_STAN_TIN_T4_1</v></cell><cell r="AJ4646"><v>103043835</v></cell></row><row r="4647"><cell r="C4647" t="str"><v>43314FACEBOOK»USA-Trial-ITD-Interest Prospecting-AZR-AZR»1 x 1»SocialBan»CAN»ALL»CPA»PRO»X»NA»SS»NA»FBCTCBenefit2inMotion»PRC1SW</v></cell><cell r="D4647" t="str"><v>43314223933138</v></cell><cell r="E4647" t="str"><v>43314103178645PRC1SW</v></cell><cell r="F4647" t="str"><v>DCM</v></cell><cell r="G4647" t="str"><v>https://azure.microsoft.com/en-us/pricing/purchase-options/?v=18.19&OCID=AID%eexcid!_OLA_%ebuy!_%epid!_%ecid!</v></cell></row><row r="4647"><cell r="K4647" t="str"><v>August</v></cell><cell r="L4647"><v>43316</v></cell><cell r="M4647" t="str"><v>Tier 0</v></cell><cell r="N4647" t="str"><v>North America</v></cell><cell r="O4647" t="str"><v>United States</v></cell><cell r="P4647" t="str"><v>Trial</v></cell><cell r="Q4647" t="str"><v>Social</v></cell><cell r="R4647" t="str"><v>Azure</v></cell><cell r="S4647" t="str"><v>Apps & Infra</v></cell><cell r="T4647" t="str"><v>Developers & ITI's</v></cell><cell r="U4647" t="str"><v>USA-Trial-ITD-Interest Prospecting-AZR-AZR</v></cell><cell r="V4647" t="str"><v>Prospecting</v></cell><cell r="W4647" t="str"><v>Canvas Ad</v></cell><cell r="X4647" t="str"><v>1x1</v></cell></row><row r="4647"><cell r="AA4647"><v>43314</v></cell><cell r="AB4647" t="str"><v>USA_gaPMG_AZR_AZR_Q1_19_Direct-Social</v></cell><cell r="AC4647"><v>21358715</v></cell><cell r="AD4647"><v>720197</v></cell><cell r="AE4647" t="str"><v>Facebook</v></cell><cell r="AF4647"><v>3654128</v></cell><cell r="AG4647" t="str"><v>FACEBOOK»USA-Trial-ITD-Interest Prospecting-AZR-AZR»1 x 1»SocialBan»CAN»ALL»CPA»PRO»X»NA»SS»NA»FBCTCBenefit2inMotion»PRC1SW</v></cell><cell r="AH4647"><v>223933138</v></cell><cell r="AI4647" t="str"><v>AzurePlatform_FBCTCBenefit2inMotion_USA_10s_CAN_PLATFORM_English_Trial_Standard_STAN_TIN_T4_2</v></cell><cell r="AJ4647"><v>103178645</v></cell></row><row r="4648"><cell r="C4648" t="str"><v>43314FACEBOOK»USA-Trial-ITD-Interest Prospecting-AZR-AZR»1 x 1»SocialBan»CAN»ALL»CPA»PRO»X»NA»SS»NA»FBCTCBrandinMotion»PRC1SY</v></cell><cell r="D4648" t="str"><v>43314224104929</v></cell><cell r="E4648" t="str"><v>43314103176812PRC1SY</v></cell><cell r="F4648" t="str"><v>DCM</v></cell><cell r="G4648" t="str"><v>https://signup.azure.com/?OCID=AID%eexcid!_OLA_%ebuy!_%epid!_%ecid!</v></cell></row><row r="4648"><cell r="K4648" t="str"><v>August</v></cell><cell r="L4648"><v>43316</v></cell><cell r="M4648" t="str"><v>Tier 0</v></cell><cell r="N4648" t="str"><v>North America</v></cell><cell r="O4648" t="str"><v>United States</v></cell><cell r="P4648" t="str"><v>Trial</v></cell><cell r="Q4648" t="str"><v>Social</v></cell><cell r="R4648" t="str"><v>Azure</v></cell><cell r="S4648" t="str"><v>Apps & Infra</v></cell><cell r="T4648" t="str"><v>Developers & ITI's</v></cell><cell r="U4648" t="str"><v>USA-Trial-ITD-Interest Prospecting-AZR-AZR</v></cell><cell r="V4648" t="str"><v>Prospecting</v></cell><cell r="W4648" t="str"><v>Canvas Ad</v></cell><cell r="X4648" t="str"><v>1x1</v></cell></row><row r="4648"><cell r="AA4648"><v>43314</v></cell><cell r="AB4648" t="str"><v>USA_gaPMG_AZR_AZR_Q1_19_Direct-Social</v></cell><cell r="AC4648"><v>21358715</v></cell><cell r="AD4648"><v>720197</v></cell><cell r="AE4648" t="str"><v>Facebook</v></cell><cell r="AF4648"><v>3654128</v></cell><cell r="AG4648" t="str"><v>FACEBOOK»USA-Trial-ITD-Interest Prospecting-AZR-AZR»1 x 1»SocialBan»CAN»ALL»CPA»PRO»X»NA»SS»NA»FBCTCBrandinMotion»PRC1SY</v></cell><cell r="AH4648"><v>224104929</v></cell><cell r="AI4648" t="str"><v>AzurePlatform_FBCTCBrandinMotion_USA_10s_CAN_PLATFORM_English_Trial_Standard_STAN_TIN_T2_1</v></cell><cell r="AJ4648"><v>103176812</v></cell></row><row r="4649"><cell r="C4649" t="str"><v>43314FACEBOOK»USA-Trial-ITD-Interest Prospecting-AZR-AZR»1 x 1»SocialBan»CAN»ALL»CPA»PRO»X»NA»SS»NA»FBCTCBrandinMotion»PRC1SY</v></cell><cell r="D4649" t="str"><v>43314224104929</v></cell><cell r="E4649" t="str"><v>43314103032823PRC1SY</v></cell><cell r="F4649" t="str"><v>DCM</v></cell><cell r="G4649" t="str"><v>https://azure.microsoft.com/en-us/pricing/purchase-options/?v=18.19&OCID=AID%eexcid!_OLA_%ebuy!_%epid!_%ecid!</v></cell></row><row r="4649"><cell r="K4649" t="str"><v>August</v></cell><cell r="L4649"><v>43316</v></cell><cell r="M4649" t="str"><v>Tier 0</v></cell><cell r="N4649" t="str"><v>North America</v></cell><cell r="O4649" t="str"><v>United States</v></cell><cell r="P4649" t="str"><v>Trial</v></cell><cell r="Q4649" t="str"><v>Social</v></cell><cell r="R4649" t="str"><v>Azure</v></cell><cell r="S4649" t="str"><v>Apps & Infra</v></cell><cell r="T4649" t="str"><v>Developers & ITI's</v></cell><cell r="U4649" t="str"><v>USA-Trial-ITD-Interest Prospecting-AZR-AZR</v></cell><cell r="V4649" t="str"><v>Prospecting</v></cell><cell r="W4649" t="str"><v>Canvas Ad</v></cell><cell r="X4649" t="str"><v>1x1</v></cell></row><row r="4649"><cell r="AA4649"><v>43314</v></cell><cell r="AB4649" t="str"><v>USA_gaPMG_AZR_AZR_Q1_19_Direct-Social</v></cell><cell r="AC4649"><v>21358715</v></cell><cell r="AD4649"><v>720197</v></cell><cell r="AE4649" t="str"><v>Facebook</v></cell><cell r="AF4649"><v>3654128</v></cell><cell r="AG4649" t="str"><v>FACEBOOK»USA-Trial-ITD-Interest Prospecting-AZR-AZR»1 x 1»SocialBan»CAN»ALL»CPA»PRO»X»NA»SS»NA»FBCTCBrandinMotion»PRC1SY</v></cell><cell r="AH4649"><v>224104929</v></cell><cell r="AI4649" t="str"><v>AzurePlatform_FBCTCBrandinMotion_USA_10s_CAN_PLATFORM_English_Trial_Standard_STAN_TIN_T2_2</v></cell><cell r="AJ4649"><v>103032823</v></cell></row><row r="4650"><cell r="C4650" t="str"><v>43314FACEBOOK»USA-Trial-ITD-Interest Prospecting-AZR-AZR»1 x 1»SocialBan»LIA»ALL»CPA»PRO»X»NA»SS»NA»FreeAcctDeveloperFB-AnimatedGeneric-Ch1»PRC1SZ</v></cell><cell r="D4650" t="str"><v>43314224104932</v></cell><cell r="E4650" t="str"><v>43314103176851PRC1SZ</v></cell><cell r="F4650" t="str"><v>DCM</v></cell><cell r="G4650" t="str"><v>https://azure.microsoft.com/en-us/free/search/?OCID=AID%eexcid!_OLA_%ebuy!_%epid!_%ecid!</v></cell></row><row r="4650"><cell r="K4650" t="str"><v>August</v></cell><cell r="L4650"><v>43316</v></cell><cell r="M4650" t="str"><v>Tier 0</v></cell><cell r="N4650" t="str"><v>North America</v></cell><cell r="O4650" t="str"><v>United States</v></cell><cell r="P4650" t="str"><v>Trial</v></cell><cell r="Q4650" t="str"><v>Social</v></cell><cell r="R4650" t="str"><v>Azure</v></cell><cell r="S4650" t="str"><v>Apps & Infra</v></cell><cell r="T4650" t="str"><v>Developers & ITI's</v></cell><cell r="U4650" t="str"><v>USA-Trial-ITD-Interest Prospecting-AZR-AZR</v></cell><cell r="V4650" t="str"><v>Prospecting</v></cell><cell r="W4650" t="str"><v>Link Ad</v></cell><cell r="X4650" t="str"><v>1x1</v></cell></row><row r="4650"><cell r="AA4650"><v>43314</v></cell><cell r="AB4650" t="str"><v>USA_gaPMG_AZR_AZR_Q1_19_Direct-Social</v></cell><cell r="AC4650"><v>21358715</v></cell><cell r="AD4650"><v>720197</v></cell><cell r="AE4650" t="str"><v>Facebook</v></cell><cell r="AF4650"><v>3654128</v></cell><cell r="AG4650" t="str"><v>FACEBOOK»USA-Trial-ITD-Interest Prospecting-AZR-AZR»1 x 1»SocialBan»LIA»ALL»CPA»PRO»X»NA»SS»NA»FreeAcctDeveloperFB-AnimatedGeneric-Ch1»PRC1SZ</v></cell><cell r="AH4650"><v>224104932</v></cell><cell r="AI4650" t="str"><v>AZR_FreeAcctDeveloperFB-AnimatedGeneric-Ch1_USA_1200x1200_CAN_Direct_English_Trial_Standard_ANI_LEA_T1_2</v></cell><cell r="AJ4650"><v>103176851</v></cell></row><row r="4651"><cell r="C4651" t="str"><v>43314FACEBOOK»USA-Trial-ITD-Interest Prospecting-AZR-AZR»1 x 1»SocialBan»LIA»ALL»CPA»PRO»X»NA»SS»NA»FreeAcctDeveloperFB-AnimatedGeneric-Ch1»PRC1T0</v></cell><cell r="D4651" t="str"><v>43314223934065</v></cell><cell r="E4651" t="str"><v>43314103176851PRC1T0</v></cell><cell r="F4651" t="str"><v>DCM</v></cell><cell r="G4651" t="str"><v>https://azure.microsoft.com/en-us/free/search/?OCID=AID%eexcid!_OLA_%ebuy!_%epid!_%ecid!</v></cell></row><row r="4651"><cell r="K4651" t="str"><v>August</v></cell><cell r="L4651"><v>43316</v></cell><cell r="M4651" t="str"><v>Tier 0</v></cell><cell r="N4651" t="str"><v>North America</v></cell><cell r="O4651" t="str"><v>United States</v></cell><cell r="P4651" t="str"><v>Trial</v></cell><cell r="Q4651" t="str"><v>Social</v></cell><cell r="R4651" t="str"><v>Azure</v></cell><cell r="S4651" t="str"><v>Apps & Infra</v></cell><cell r="T4651" t="str"><v>Developers & ITI's</v></cell><cell r="U4651" t="str"><v>USA-Trial-ITD-Interest Prospecting-AZR-AZR</v></cell><cell r="V4651" t="str"><v>Prospecting</v></cell><cell r="W4651" t="str"><v>Link Ad</v></cell><cell r="X4651" t="str"><v>1x1</v></cell></row><row r="4651"><cell r="AA4651"><v>43314</v></cell><cell r="AB4651" t="str"><v>USA_gaPMG_AZR_AZR_Q1_19_Direct-Social</v></cell><cell r="AC4651"><v>21358715</v></cell><cell r="AD4651"><v>720197</v></cell><cell r="AE4651" t="str"><v>Facebook</v></cell><cell r="AF4651"><v>3654128</v></cell><cell r="AG4651" t="str"><v>FACEBOOK»USA-Trial-ITD-Interest Prospecting-AZR-AZR»1 x 1»SocialBan»LIA»ALL»CPA»PRO»X»NA»SS»NA»FreeAcctDeveloperFB-AnimatedGeneric-Ch1»PRC1T0</v></cell><cell r="AH4651"><v>223934065</v></cell><cell r="AI4651" t="str"><v>AZR_FreeAcctDeveloperFB-AnimatedGeneric-Ch1_USA_1200x1200_CAN_Direct_English_Trial_Standard_ANI_LEA_T1_2</v></cell><cell r="AJ4651"><v>103176851</v></cell></row><row r="4652"><cell r="C4652" t="str"><v>43314FACEBOOK»USA-Trial-ITD-Interest Prospecting-AZR-AZR»1 x 1»SocialBan»LIA»ALL»CPA»PRO»X»NA»SS»NA»FreeAcctITProFB-AnimatedHybrid-Ch2»PRC1T5</v></cell><cell r="D4652" t="str"><v>43314223862882</v></cell><cell r="E4652" t="str"><v>43314103180583PRC1T5</v></cell><cell r="F4652" t="str"><v>DCM</v></cell></row><row r="4652"><cell r="K4652" t="str"><v>August</v></cell><cell r="L4652"><v>43316</v></cell><cell r="M4652" t="str"><v>Tier 0</v></cell><cell r="N4652" t="str"><v>North America</v></cell><cell r="O4652" t="str"><v>United States</v></cell><cell r="P4652" t="str"><v>Trial</v></cell><cell r="Q4652" t="str"><v>Social</v></cell><cell r="R4652" t="str"><v>Azure</v></cell><cell r="S4652" t="str"><v>Apps & Infra</v></cell><cell r="T4652" t="str"><v>Developers & ITI's</v></cell><cell r="U4652" t="str"><v>USA-Trial-ITD-Interest Prospecting-AZR-AZR</v></cell><cell r="V4652" t="str"><v>Prospecting</v></cell><cell r="W4652" t="str"><v>Link Ad</v></cell><cell r="X4652" t="str"><v>1x1</v></cell></row><row r="4652"><cell r="AA4652"><v>43314</v></cell><cell r="AB4652" t="str"><v>USA_gaPMG_AZR_AZR_Q1_19_Direct-Social</v></cell><cell r="AC4652"><v>21358715</v></cell><cell r="AD4652"><v>720197</v></cell><cell r="AE4652" t="str"><v>Facebook</v></cell><cell r="AF4652"><v>3654128</v></cell><cell r="AG4652" t="str"><v>FACEBOOK»USA-Trial-ITD-Interest Prospecting-AZR-AZR»1 x 1»SocialBan»LIA»ALL»CPA»PRO»X»NA»SS»NA»FreeAcctITProFB-AnimatedHybrid-Ch2»PRC1T5</v></cell><cell r="AH4652"><v>223862882</v></cell><cell r="AI4652" t="str"><v>AZR_FreeAcctITProFB-AnimatedHybrid-Ch2_USA_1200x1200_CAN_Direct_English_Trial_Standard_ANI_LEA_T2_2</v></cell><cell r="AJ4652"><v>103180583</v></cell></row><row r="4653"><cell r="C4653" t="str"><v>43314FACEBOOK»USA-Trial-ITD-Interest Prospecting-AZR-AZR»1 x 1»SocialBan»LIA»ALL»CPA»PRO»X»NA»SS»NA»FreeAcctITProFB-AnimatedSecureMngd-Ch1»PRC1T4</v></cell><cell r="D4653" t="str"><v>43314224104914</v></cell><cell r="E4653" t="str"><v>43314103176830PRC1T4</v></cell><cell r="F4653" t="str"><v>DCM</v></cell></row><row r="4653"><cell r="K4653" t="str"><v>August</v></cell><cell r="L4653"><v>43316</v></cell><cell r="M4653" t="str"><v>Tier 0</v></cell><cell r="N4653" t="str"><v>North America</v></cell><cell r="O4653" t="str"><v>United States</v></cell><cell r="P4653" t="str"><v>Trial</v></cell><cell r="Q4653" t="str"><v>Social</v></cell><cell r="R4653" t="str"><v>Azure</v></cell><cell r="S4653" t="str"><v>Apps & Infra</v></cell><cell r="T4653" t="str"><v>Developers & ITI's</v></cell><cell r="U4653" t="str"><v>USA-Trial-ITD-Interest Prospecting-AZR-AZR</v></cell><cell r="V4653" t="str"><v>Prospecting</v></cell><cell r="W4653" t="str"><v>Link Ad</v></cell><cell r="X4653" t="str"><v>1x1</v></cell></row><row r="4653"><cell r="AA4653"><v>43314</v></cell><cell r="AB4653" t="str"><v>USA_gaPMG_AZR_AZR_Q1_19_Direct-Social</v></cell><cell r="AC4653"><v>21358715</v></cell><cell r="AD4653"><v>720197</v></cell><cell r="AE4653" t="str"><v>Facebook</v></cell><cell r="AF4653"><v>3654128</v></cell><cell r="AG4653" t="str"><v>FACEBOOK»USA-Trial-ITD-Interest Prospecting-AZR-AZR»1 x 1»SocialBan»LIA»ALL»CPA»PRO»X»NA»SS»NA»FreeAcctITProFB-AnimatedSecureMngd-Ch1»PRC1T4</v></cell><cell r="AH4653"><v>224104914</v></cell><cell r="AI4653" t="str"><v>AZR_FreeAcctITProFB-AnimatedSecureMngd-Ch1_USA_1200x1200_CAN_Direct_English_Trial_Standard_ANI_LEA_T1_1</v></cell><cell r="AJ4653"><v>103176830</v></cell></row><row r="4654"><cell r="C4654" t="str"><v>43314FACEBOOK»USA-Trial-ITD-Interest Prospecting-AZR-AZR»1 x 1»SocialBan»CAN»ALL»CPA»PRO»X»NA»SS»NA»FBCTCBenefitinMotion»PRC1SX</v></cell><cell r="D4654" t="str"><v>43314224104077</v></cell><cell r="E4654" t="str"><v>43314103032775PRC1SX</v></cell><cell r="F4654" t="str"><v>DCM</v></cell><cell r="G4654" t="str"><v>https://signup.azure.com/?OCID=AID%eexcid!_OLA_%ebuy!_%epid!_%ecid!</v></cell></row><row r="4654"><cell r="K4654" t="str"><v>August</v></cell><cell r="L4654"><v>43316</v></cell><cell r="M4654" t="str"><v>Tier 0</v></cell><cell r="N4654" t="str"><v>North America</v></cell><cell r="O4654" t="str"><v>United States</v></cell><cell r="P4654" t="str"><v>Trial</v></cell><cell r="Q4654" t="str"><v>Social</v></cell><cell r="R4654" t="str"><v>Azure</v></cell><cell r="S4654" t="str"><v>Apps & Infra</v></cell><cell r="T4654" t="str"><v>Developers & ITI's</v></cell><cell r="U4654" t="str"><v>USA-Trial-ITD-Interest Prospecting-AZR-AZR</v></cell><cell r="V4654" t="str"><v>Prospecting</v></cell><cell r="W4654" t="str"><v>Canvas Ad</v></cell><cell r="X4654" t="str"><v>1x1</v></cell></row><row r="4654"><cell r="AA4654"><v>43314</v></cell><cell r="AB4654" t="str"><v>USA_gaPMG_AZR_AZR_Q1_19_Direct-Social</v></cell><cell r="AC4654"><v>21358715</v></cell><cell r="AD4654"><v>720197</v></cell><cell r="AE4654" t="str"><v>Facebook</v></cell><cell r="AF4654"><v>3654128</v></cell><cell r="AG4654" t="str"><v>FACEBOOK»USA-Trial-ITD-Interest Prospecting-AZR-AZR»1 x 1»SocialBan»CAN»ALL»CPA»PRO»X»NA»SS»NA»FBCTCBenefitinMotion»PRC1SX</v></cell><cell r="AH4654"><v>224104077</v></cell><cell r="AI4654" t="str"><v>AzurePlatform_FBCTCBenefitinMotion_USA_10s_CAN_PLATFORM_English_Trial_Standard_STAN_TIN_T3_1</v></cell><cell r="AJ4654"><v>103032775</v></cell></row><row r="4655"><cell r="C4655" t="str"><v>43314FACEBOOK»USA-Trial-ITD-Interest Prospecting-AZR-AZR»1 x 1»SocialBan»CCA»ALL»CPA»PRO»X»NA»SS»NA»Azure Developer Facebook Collections»PRSGV0</v></cell><cell r="D4655" t="str"><v>43314225283843</v></cell><cell r="E4655" t="str"><v>43314103873631PRSGV0</v></cell><cell r="F4655" t="str"><v>DCM</v></cell><cell r="G4655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655"><cell r="K4655" t="str"><v>August</v></cell><cell r="L4655"><v>43316</v></cell><cell r="M4655" t="str"><v>Tier 0</v></cell><cell r="N4655" t="str"><v>North America</v></cell><cell r="O4655" t="str"><v>United States</v></cell><cell r="P4655" t="str"><v>Trial</v></cell><cell r="Q4655" t="str"><v>Social</v></cell><cell r="R4655" t="str"><v>Azure</v></cell><cell r="S4655" t="str"><v>Apps & Infra</v></cell><cell r="T4655" t="str"><v>Developers & ITI's</v></cell><cell r="U4655" t="str"><v>USA-Trial-ITD-Interest Prospecting-AZR-AZR</v></cell><cell r="V4655" t="str"><v>Prospecting</v></cell><cell r="W4655" t="str"><v>Canvas Collection Ad</v></cell><cell r="X4655" t="str"><v>1x1</v></cell></row><row r="4655"><cell r="AA4655"><v>43314</v></cell><cell r="AB4655" t="str"><v>USA_gaPMG_AZR_AZR_Q1_19_Direct-Social</v></cell><cell r="AC4655"><v>21358715</v></cell><cell r="AD4655"><v>720197</v></cell><cell r="AE4655" t="str"><v>Facebook</v></cell><cell r="AF4655"><v>3654128</v></cell><cell r="AG4655" t="str"><v>FACEBOOK»USA-Trial-ITD-Interest Prospecting-AZR-AZR»1 x 1»SocialBan»CCA»ALL»CPA»PRO»X»NA»SS»NA»Azure Developer Facebook Collections»PRSGV0</v></cell><cell r="AH4655"><v>225283843</v></cell><cell r="AI4655" t="str"><v>AZR_FBCollections-OSSTryAzureFreeCTA-Img3_USA_1200x182_SOC_Plat_EN_NA_Standard_NA_TIN_T1_3</v></cell><cell r="AJ4655"><v>103873631</v></cell></row><row r="4656"><cell r="C4656" t="str"><v>43314FACEBOOK»USA-Trial-ITD-Interest Prospecting-AZR-AZR»1 x 1»SocialBan»CCA»ALL»CPA»PRO»X»NA»SS»NA»Azure Developer Facebook Collections»PRSGV0</v></cell><cell r="D4656" t="str"><v>43314225283843</v></cell><cell r="E4656" t="str"><v>43314103773180PRSGV0</v></cell><cell r="F4656" t="str"><v>DCM</v></cell><cell r="G4656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656"><cell r="K4656" t="str"><v>August</v></cell><cell r="L4656"><v>43316</v></cell><cell r="M4656" t="str"><v>Tier 0</v></cell><cell r="N4656" t="str"><v>North America</v></cell><cell r="O4656" t="str"><v>United States</v></cell><cell r="P4656" t="str"><v>Trial</v></cell><cell r="Q4656" t="str"><v>Social</v></cell><cell r="R4656" t="str"><v>Azure</v></cell><cell r="S4656" t="str"><v>Apps & Infra</v></cell><cell r="T4656" t="str"><v>Developers & ITI's</v></cell><cell r="U4656" t="str"><v>USA-Trial-ITD-Interest Prospecting-AZR-AZR</v></cell><cell r="V4656" t="str"><v>Prospecting</v></cell><cell r="W4656" t="str"><v>Canvas Collection Ad</v></cell><cell r="X4656" t="str"><v>1x1</v></cell></row><row r="4656"><cell r="AA4656"><v>43314</v></cell><cell r="AB4656" t="str"><v>USA_gaPMG_AZR_AZR_Q1_19_Direct-Social</v></cell><cell r="AC4656"><v>21358715</v></cell><cell r="AD4656"><v>720197</v></cell><cell r="AE4656" t="str"><v>Facebook</v></cell><cell r="AF4656"><v>3654128</v></cell><cell r="AG4656" t="str"><v>FACEBOOK»USA-Trial-ITD-Interest Prospecting-AZR-AZR»1 x 1»SocialBan»CCA»ALL»CPA»PRO»X»NA»SS»NA»Azure Developer Facebook Collections»PRSGV0</v></cell><cell r="AH4656"><v>225283843</v></cell><cell r="AI4656" t="str"><v>AZR_FBCollections-SmartDataTryAzureFreeCTA-Img4_USA_1200x182_SOC_Plat_EN_NA_Standard_NA_TIN_T1_4</v></cell><cell r="AJ4656"><v>103773180</v></cell></row><row r="4657"><cell r="C4657" t="str"><v>43314FACEBOOK»USA-Trial-ITD-Retargeting-AZR-AZR»1 x 1»SocialBan»LIA»ALL»CPA»RT»X»NA»SS»NA»FreeAcctDeveloperFB-AnimatedAI-Ch3»PRC26H</v></cell><cell r="D4657" t="str"><v>43314223863371</v></cell><cell r="E4657" t="str"><v>43314103032778PRC26H</v></cell><cell r="F4657" t="str"><v>DCM</v></cell></row><row r="4657"><cell r="K4657" t="str"><v>August</v></cell><cell r="L4657"><v>43316</v></cell><cell r="M4657" t="str"><v>Tier 0</v></cell><cell r="N4657" t="str"><v>North America</v></cell><cell r="O4657" t="str"><v>United States</v></cell><cell r="P4657" t="str"><v>Trial</v></cell><cell r="Q4657" t="str"><v>Social</v></cell><cell r="R4657" t="str"><v>Azure</v></cell><cell r="S4657" t="str"><v>Apps & Infra</v></cell><cell r="T4657" t="str"><v>Developers & ITI's</v></cell><cell r="U4657" t="str"><v>USA-Trial-ITD-Retargeting-AZR-AZR</v></cell><cell r="V4657" t="str"><v>Retargeting</v></cell><cell r="W4657" t="str"><v>Link Ad</v></cell><cell r="X4657" t="str"><v>1x1</v></cell></row><row r="4657"><cell r="AA4657"><v>43314</v></cell><cell r="AB4657" t="str"><v>USA_gaPMG_AZR_AZR_Q1_19_Direct-Social</v></cell><cell r="AC4657"><v>21358715</v></cell><cell r="AD4657"><v>720197</v></cell><cell r="AE4657" t="str"><v>Facebook</v></cell><cell r="AF4657"><v>3654128</v></cell><cell r="AG4657" t="str"><v>FACEBOOK»USA-Trial-ITD-Retargeting-AZR-AZR»1 x 1»SocialBan»LIA»ALL»CPA»RT»X»NA»SS»NA»FreeAcctDeveloperFB-AnimatedAI-Ch3»PRC26H</v></cell><cell r="AH4657"><v>223863371</v></cell><cell r="AI4657" t="str"><v>AZR_FreeAcctDeveloperFB-AnimatedAI-Ch3_USA_1200x1200_CAN_Direct_English_Trial_Standard_ANI_LEA_T3_1</v></cell><cell r="AJ4657"><v>103032778</v></cell></row><row r="4658"><cell r="C4658" t="str"><v>43314FACEBOOK»USA-Trial-ITD-Retargeting-AZR-AZR»1 x 1»SocialBan»LIA»ALL»CPA»RT»X»NA»SS»NA»FreeAcctDeveloperFB-AnimatedData-Ch4»PRC26J</v></cell><cell r="D4658" t="str"><v>43314224106078</v></cell><cell r="E4658" t="str"><v>43314103037935PRC26J</v></cell><cell r="F4658" t="str"><v>DCM</v></cell></row><row r="4658"><cell r="K4658" t="str"><v>August</v></cell><cell r="L4658"><v>43316</v></cell><cell r="M4658" t="str"><v>Tier 0</v></cell><cell r="N4658" t="str"><v>North America</v></cell><cell r="O4658" t="str"><v>United States</v></cell><cell r="P4658" t="str"><v>Trial</v></cell><cell r="Q4658" t="str"><v>Social</v></cell><cell r="R4658" t="str"><v>Azure</v></cell><cell r="S4658" t="str"><v>Apps & Infra</v></cell><cell r="T4658" t="str"><v>Developers & ITI's</v></cell><cell r="U4658" t="str"><v>USA-Trial-ITD-Retargeting-AZR-AZR</v></cell><cell r="V4658" t="str"><v>Retargeting</v></cell><cell r="W4658" t="str"><v>Link Ad</v></cell><cell r="X4658" t="str"><v>1x1</v></cell></row><row r="4658"><cell r="AA4658"><v>43314</v></cell><cell r="AB4658" t="str"><v>USA_gaPMG_AZR_AZR_Q1_19_Direct-Social</v></cell><cell r="AC4658"><v>21358715</v></cell><cell r="AD4658"><v>720197</v></cell><cell r="AE4658" t="str"><v>Facebook</v></cell><cell r="AF4658"><v>3654128</v></cell><cell r="AG4658" t="str"><v>FACEBOOK»USA-Trial-ITD-Retargeting-AZR-AZR»1 x 1»SocialBan»LIA»ALL»CPA»RT»X»NA»SS»NA»FreeAcctDeveloperFB-AnimatedData-Ch4»PRC26J</v></cell><cell r="AH4658"><v>224106078</v></cell><cell r="AI4658" t="str"><v>AZR_FreeAcctDeveloperFB-AnimatedData-Ch4_USA_1200x1200_CAN_Direct_English_Trial_Standard_ANI_LEA_T4_2</v></cell><cell r="AJ4658"><v>103037935</v></cell></row><row r="4659"><cell r="C4659" t="str"><v>43314FACEBOOK»USA-Trial-ITD-Retargeting-AZR-AZR»1 x 1»SocialBan»LIA»ALL»CPA»RT»X»NA»SS»NA»FreeAcctDeveloperFB-AnimatedGeneric-Ch1»PRC26F</v></cell><cell r="D4659" t="str"><v>43314224105850</v></cell><cell r="E4659" t="str"><v>43314103176851PRC26F</v></cell><cell r="F4659" t="str"><v>DCM</v></cell><cell r="G4659" t="str"><v>https://azure.microsoft.com/en-us/free/search/?OCID=AID%eexcid!_OLA_%ebuy!_%epid!_%ecid!</v></cell></row><row r="4659"><cell r="K4659" t="str"><v>August</v></cell><cell r="L4659"><v>43316</v></cell><cell r="M4659" t="str"><v>Tier 0</v></cell><cell r="N4659" t="str"><v>North America</v></cell><cell r="O4659" t="str"><v>United States</v></cell><cell r="P4659" t="str"><v>Trial</v></cell><cell r="Q4659" t="str"><v>Social</v></cell><cell r="R4659" t="str"><v>Azure</v></cell><cell r="S4659" t="str"><v>Apps & Infra</v></cell><cell r="T4659" t="str"><v>Developers & ITI's</v></cell><cell r="U4659" t="str"><v>USA-Trial-ITD-Retargeting-AZR-AZR</v></cell><cell r="V4659" t="str"><v>Retargeting</v></cell><cell r="W4659" t="str"><v>Link Ad</v></cell><cell r="X4659" t="str"><v>1x1</v></cell></row><row r="4659"><cell r="AA4659"><v>43314</v></cell><cell r="AB4659" t="str"><v>USA_gaPMG_AZR_AZR_Q1_19_Direct-Social</v></cell><cell r="AC4659"><v>21358715</v></cell><cell r="AD4659"><v>720197</v></cell><cell r="AE4659" t="str"><v>Facebook</v></cell><cell r="AF4659"><v>3654128</v></cell><cell r="AG4659" t="str"><v>FACEBOOK»USA-Trial-ITD-Retargeting-AZR-AZR»1 x 1»SocialBan»LIA»ALL»CPA»RT»X»NA»SS»NA»FreeAcctDeveloperFB-AnimatedGeneric-Ch1»PRC26F</v></cell><cell r="AH4659"><v>224105850</v></cell><cell r="AI4659" t="str"><v>AZR_FreeAcctDeveloperFB-AnimatedGeneric-Ch1_USA_1200x1200_CAN_Direct_English_Trial_Standard_ANI_LEA_T1_2</v></cell><cell r="AJ4659"><v>103176851</v></cell></row><row r="4660"><cell r="C4660" t="str"><v>43314FACEBOOK»USA-Trial-ITD-Retargeting-AZR-AZR»1 x 1»SocialBan»LIA»ALL»CPA»RT»X»NA»SS»NA»FreeAcctDeveloperFB-AnimatedOpenSource-Ch2»PRC26G</v></cell><cell r="D4660" t="str"><v>43314223862873</v></cell><cell r="E4660" t="str"><v>43314103048329PRC26G</v></cell><cell r="F4660" t="str"><v>DCM</v></cell><cell r="G4660" t="str"><v>https://azure.microsoft.com/en-us/free/open-source/search/?OCID=AID%eexcid!_OLA_%ebuy!_%epid!_%ecid!</v></cell></row><row r="4660"><cell r="K4660" t="str"><v>August</v></cell><cell r="L4660"><v>43316</v></cell><cell r="M4660" t="str"><v>Tier 0</v></cell><cell r="N4660" t="str"><v>North America</v></cell><cell r="O4660" t="str"><v>United States</v></cell><cell r="P4660" t="str"><v>Trial</v></cell><cell r="Q4660" t="str"><v>Social</v></cell><cell r="R4660" t="str"><v>Azure</v></cell><cell r="S4660" t="str"><v>Apps & Infra</v></cell><cell r="T4660" t="str"><v>Developers & ITI's</v></cell><cell r="U4660" t="str"><v>USA-Trial-ITD-Retargeting-AZR-AZR</v></cell><cell r="V4660" t="str"><v>Retargeting</v></cell><cell r="W4660" t="str"><v>Link Ad</v></cell><cell r="X4660" t="str"><v>1x1</v></cell></row><row r="4660"><cell r="AA4660"><v>43314</v></cell><cell r="AB4660" t="str"><v>USA_gaPMG_AZR_AZR_Q1_19_Direct-Social</v></cell><cell r="AC4660"><v>21358715</v></cell><cell r="AD4660"><v>720197</v></cell><cell r="AE4660" t="str"><v>Facebook</v></cell><cell r="AF4660"><v>3654128</v></cell><cell r="AG4660" t="str"><v>FACEBOOK»USA-Trial-ITD-Retargeting-AZR-AZR»1 x 1»SocialBan»LIA»ALL»CPA»RT»X»NA»SS»NA»FreeAcctDeveloperFB-AnimatedOpenSource-Ch2»PRC26G</v></cell><cell r="AH4660"><v>223862873</v></cell><cell r="AI4660" t="str"><v>AZR_FreeAcctDeveloperFB-AnimatedOpenSource-Ch2_USA_1200x1200_CAN_Direct_English_Trial_Standard_ANI_LEA_T2_1</v></cell><cell r="AJ4660"><v>103048329</v></cell></row><row r="4661"><cell r="C4661" t="str"><v>43314FACEBOOK»USA-Trial-ITD-Retargeting-AZR-AZR»1 x 1»SocialBan»LIA»ALL»CPA»RT»X»NA»SS»NA»FreeAcctITProFB-AnimatedHybrid-Ch2»PRC26N</v></cell><cell r="D4661" t="str"><v>43314223934053</v></cell><cell r="E4661" t="str"><v>43314103180583PRC26N</v></cell><cell r="F4661" t="str"><v>DCM</v></cell></row><row r="4661"><cell r="K4661" t="str"><v>August</v></cell><cell r="L4661"><v>43316</v></cell><cell r="M4661" t="str"><v>Tier 0</v></cell><cell r="N4661" t="str"><v>North America</v></cell><cell r="O4661" t="str"><v>United States</v></cell><cell r="P4661" t="str"><v>Trial</v></cell><cell r="Q4661" t="str"><v>Social</v></cell><cell r="R4661" t="str"><v>Azure</v></cell><cell r="S4661" t="str"><v>Apps & Infra</v></cell><cell r="T4661" t="str"><v>Developers & ITI's</v></cell><cell r="U4661" t="str"><v>USA-Trial-ITD-Retargeting-AZR-AZR</v></cell><cell r="V4661" t="str"><v>Retargeting</v></cell><cell r="W4661" t="str"><v>Link Ad</v></cell><cell r="X4661" t="str"><v>1x1</v></cell></row><row r="4661"><cell r="AA4661"><v>43314</v></cell><cell r="AB4661" t="str"><v>USA_gaPMG_AZR_AZR_Q1_19_Direct-Social</v></cell><cell r="AC4661"><v>21358715</v></cell><cell r="AD4661"><v>720197</v></cell><cell r="AE4661" t="str"><v>Facebook</v></cell><cell r="AF4661"><v>3654128</v></cell><cell r="AG4661" t="str"><v>FACEBOOK»USA-Trial-ITD-Retargeting-AZR-AZR»1 x 1»SocialBan»LIA»ALL»CPA»RT»X»NA»SS»NA»FreeAcctITProFB-AnimatedHybrid-Ch2»PRC26N</v></cell><cell r="AH4661"><v>223934053</v></cell><cell r="AI4661" t="str"><v>AZR_FreeAcctITProFB-AnimatedHybrid-Ch2_USA_1200x1200_CAN_Direct_English_Trial_Standard_ANI_LEA_T2_2</v></cell><cell r="AJ4661"><v>103180583</v></cell></row><row r="4662"><cell r="C4662" t="str"><v>43314FACEBOOK»USA-Trial-ITD-Retargeting-AZR-AZR»1 x 1»SocialBan»LIA»ALL»CPA»RT»X»NA»SS»NA»FreeAcctITProFB-AnimatedMigration-Ch3»PRC26P</v></cell><cell r="D4662" t="str"><v>43314223934056</v></cell><cell r="E4662" t="str"><v>43314103176827PRC26P</v></cell><cell r="F4662" t="str"><v>DCM</v></cell></row><row r="4662"><cell r="K4662" t="str"><v>August</v></cell><cell r="L4662"><v>43316</v></cell><cell r="M4662" t="str"><v>Tier 0</v></cell><cell r="N4662" t="str"><v>North America</v></cell><cell r="O4662" t="str"><v>United States</v></cell><cell r="P4662" t="str"><v>Trial</v></cell><cell r="Q4662" t="str"><v>Social</v></cell><cell r="R4662" t="str"><v>Azure</v></cell><cell r="S4662" t="str"><v>Apps & Infra</v></cell><cell r="T4662" t="str"><v>Developers & ITI's</v></cell><cell r="U4662" t="str"><v>USA-Trial-ITD-Retargeting-AZR-AZR</v></cell><cell r="V4662" t="str"><v>Retargeting</v></cell><cell r="W4662" t="str"><v>Link Ad</v></cell><cell r="X4662" t="str"><v>1x1</v></cell></row><row r="4662"><cell r="AA4662"><v>43314</v></cell><cell r="AB4662" t="str"><v>USA_gaPMG_AZR_AZR_Q1_19_Direct-Social</v></cell><cell r="AC4662"><v>21358715</v></cell><cell r="AD4662"><v>720197</v></cell><cell r="AE4662" t="str"><v>Facebook</v></cell><cell r="AF4662"><v>3654128</v></cell><cell r="AG4662" t="str"><v>FACEBOOK»USA-Trial-ITD-Retargeting-AZR-AZR»1 x 1»SocialBan»LIA»ALL»CPA»RT»X»NA»SS»NA»FreeAcctITProFB-AnimatedMigration-Ch3»PRC26P</v></cell><cell r="AH4662"><v>223934056</v></cell><cell r="AI4662" t="str"><v>AZR_FreeAcctITProFB-AnimatedMigration-Ch3_USA_1200x1200_CAN_Direct_English_Trial_Standard_ANI_LEA_T3_1</v></cell><cell r="AJ4662"><v>103176827</v></cell></row><row r="4663"><cell r="C4663" t="str"><v>43314FACEBOOK»USA-Trial-ITD-Retargeting-AZR-AZR»1 x 1»SocialBan»LIA»ALL»CPA»RT»X»NA»SS»NA»FreeAcctRetargetingFB-Animated-ChC»PRC1RX</v></cell><cell r="D4663" t="str"><v>43314223862864</v></cell><cell r="E4663" t="str"><v>43314103180880PRC1RX</v></cell><cell r="F4663" t="str"><v>DCM</v></cell><cell r="G4663" t="str"><v>https://azure.microsoft.com/en-us/free/search/?OCID=AID%eexcid!_OLA_%ebuy!_%epid!_%ecid!</v></cell></row><row r="4663"><cell r="K4663" t="str"><v>August</v></cell><cell r="L4663"><v>43316</v></cell><cell r="M4663" t="str"><v>Tier 0</v></cell><cell r="N4663" t="str"><v>North America</v></cell><cell r="O4663" t="str"><v>United States</v></cell><cell r="P4663" t="str"><v>Trial</v></cell><cell r="Q4663" t="str"><v>Social</v></cell><cell r="R4663" t="str"><v>Azure</v></cell><cell r="S4663" t="str"><v>Apps & Infra</v></cell><cell r="T4663" t="str"><v>Developers & ITI's</v></cell><cell r="U4663" t="str"><v>USA-Trial-ITD-Retargeting-AZR-AZR</v></cell><cell r="V4663" t="str"><v>Retargeting</v></cell><cell r="W4663" t="str"><v>Link Ad</v></cell><cell r="X4663" t="str"><v>1x1</v></cell></row><row r="4663"><cell r="AA4663"><v>43314</v></cell><cell r="AB4663" t="str"><v>USA_gaPMG_AZR_AZR_Q1_19_Direct-Social</v></cell><cell r="AC4663"><v>21358715</v></cell><cell r="AD4663"><v>720197</v></cell><cell r="AE4663" t="str"><v>Facebook</v></cell><cell r="AF4663"><v>3654128</v></cell><cell r="AG4663" t="str"><v>FACEBOOK»USA-Trial-ITD-Retargeting-AZR-AZR»1 x 1»SocialBan»LIA»ALL»CPA»RT»X»NA»SS»NA»FreeAcctRetargetingFB-Animated-ChC»PRC1RX</v></cell><cell r="AH4663"><v>223862864</v></cell><cell r="AI4663" t="str"><v>AzurePlatform_FreeAcctRetargetingFB-Animated-ChC_USA_1200x628_CAN_PLATFORM_English_Free Account_Standard_ANI_SINU_T3_2</v></cell><cell r="AJ4663"><v>103180880</v></cell></row><row r="4664"><cell r="C4664" t="str"><v>43314FACEBOOK»USA-Trial-ITD-Retargeting-AZR-AZR»1 x 1»SocialBan»LIA»ALL»CPA»RT»X»NA»SS»NA»FreeAcctRetargetingFB-Credit-ChA»PRC1RV</v></cell><cell r="D4664" t="str"><v>43314224106075</v></cell><cell r="E4664" t="str"><v>43314103034917PRC1RV</v></cell><cell r="F4664" t="str"><v>DCM</v></cell><cell r="G4664" t="str"><v>https://azure.microsoft.com/en-us/free/search/?OCID=AID%eexcid!_OLA_%ebuy!_%epid!_%ecid!</v></cell></row><row r="4664"><cell r="K4664" t="str"><v>August</v></cell><cell r="L4664"><v>43316</v></cell><cell r="M4664" t="str"><v>Tier 0</v></cell><cell r="N4664" t="str"><v>North America</v></cell><cell r="O4664" t="str"><v>United States</v></cell><cell r="P4664" t="str"><v>Trial</v></cell><cell r="Q4664" t="str"><v>Social</v></cell><cell r="R4664" t="str"><v>Azure</v></cell><cell r="S4664" t="str"><v>Apps & Infra</v></cell><cell r="T4664" t="str"><v>Developers & ITI's</v></cell><cell r="U4664" t="str"><v>USA-Trial-ITD-Retargeting-AZR-AZR</v></cell><cell r="V4664" t="str"><v>Retargeting</v></cell><cell r="W4664" t="str"><v>Link Ad</v></cell><cell r="X4664" t="str"><v>1x1</v></cell></row><row r="4664"><cell r="AA4664"><v>43314</v></cell><cell r="AB4664" t="str"><v>USA_gaPMG_AZR_AZR_Q1_19_Direct-Social</v></cell><cell r="AC4664"><v>21358715</v></cell><cell r="AD4664"><v>720197</v></cell><cell r="AE4664" t="str"><v>Facebook</v></cell><cell r="AF4664"><v>3654128</v></cell><cell r="AG4664" t="str"><v>FACEBOOK»USA-Trial-ITD-Retargeting-AZR-AZR»1 x 1»SocialBan»LIA»ALL»CPA»RT»X»NA»SS»NA»FreeAcctRetargetingFB-Credit-ChA»PRC1RV</v></cell><cell r="AH4664"><v>224106075</v></cell><cell r="AI4664" t="str"><v>AzurePlatform_FreeAcctRetargetingFB-Credit-ChA_USA_1200x628_CAN_PLATFORM_English_Free Account_Standard_NA_SINU_T1_2</v></cell><cell r="AJ4664"><v>103034917</v></cell></row><row r="4665"><cell r="C4665" t="str"><v>43314FACEBOOK»USA-Trial-ITD-Retargeting-AZR-AZR»1 x 1»SocialBan»LIA»ALL»CPA»RT»X»NA»SS»NA»FreeAcctRetargetingFB-GlobalAlt-ChB»PRC1RW</v></cell><cell r="D4665" t="str"><v>43314223862756</v></cell><cell r="E4665" t="str"><v>43314103180592PRC1RW</v></cell><cell r="F4665" t="str"><v>DCM</v></cell><cell r="G4665" t="str"><v>https://azure.microsoft.com/en-us/free/search/?OCID=AID%eexcid!_OLA_%ebuy!_%epid!_%ecid!</v></cell></row><row r="4665"><cell r="K4665" t="str"><v>August</v></cell><cell r="L4665"><v>43316</v></cell><cell r="M4665" t="str"><v>Tier 0</v></cell><cell r="N4665" t="str"><v>North America</v></cell><cell r="O4665" t="str"><v>United States</v></cell><cell r="P4665" t="str"><v>Trial</v></cell><cell r="Q4665" t="str"><v>Social</v></cell><cell r="R4665" t="str"><v>Azure</v></cell><cell r="S4665" t="str"><v>Apps & Infra</v></cell><cell r="T4665" t="str"><v>Developers & ITI's</v></cell><cell r="U4665" t="str"><v>USA-Trial-ITD-Retargeting-AZR-AZR</v></cell><cell r="V4665" t="str"><v>Retargeting</v></cell><cell r="W4665" t="str"><v>Link Ad</v></cell><cell r="X4665" t="str"><v>1x1</v></cell></row><row r="4665"><cell r="AA4665"><v>43314</v></cell><cell r="AB4665" t="str"><v>USA_gaPMG_AZR_AZR_Q1_19_Direct-Social</v></cell><cell r="AC4665"><v>21358715</v></cell><cell r="AD4665"><v>720197</v></cell><cell r="AE4665" t="str"><v>Facebook</v></cell><cell r="AF4665"><v>3654128</v></cell><cell r="AG4665" t="str"><v>FACEBOOK»USA-Trial-ITD-Retargeting-AZR-AZR»1 x 1»SocialBan»LIA»ALL»CPA»RT»X»NA»SS»NA»FreeAcctRetargetingFB-GlobalAlt-ChB»PRC1RW</v></cell><cell r="AH4665"><v>223862756</v></cell><cell r="AI4665" t="str"><v>AzurePlatform_FreeAcctRetargetingFB-GlobalAlt-ChB_USA_1200x628_CAN_PLATFORM_English_Free Account_Standard_NA_SINU_T2_1</v></cell><cell r="AJ4665"><v>103180592</v></cell></row><row r="4666"><cell r="C4666" t="str"><v>43314FACEBOOK»USA-Trial-ITD-Retargeting-AZR-AZR»1 x 1»SocialBan»LIA»ALL»CPA»RT»X»NA»SS»NA»FreeAcctRetargetingVMFB-750Hrs-ChD»PRC1RY</v></cell><cell r="D4666" t="str"><v>43314223862747</v></cell><cell r="E4666" t="str"><v>43314103034911PRC1RY</v></cell><cell r="F4666" t="str"><v>DCM</v></cell><cell r="G4666" t="str"><v>https://azure.microsoft.com/en-us/free/virtual-machines/search/?OCID=AID%eexcid!_OLA_%ebuy!_%epid!_%ecid!</v></cell></row><row r="4666"><cell r="K4666" t="str"><v>August</v></cell><cell r="L4666"><v>43316</v></cell><cell r="M4666" t="str"><v>Tier 0</v></cell><cell r="N4666" t="str"><v>North America</v></cell><cell r="O4666" t="str"><v>United States</v></cell><cell r="P4666" t="str"><v>Trial</v></cell><cell r="Q4666" t="str"><v>Social</v></cell><cell r="R4666" t="str"><v>Azure</v></cell><cell r="S4666" t="str"><v>Apps & Infra</v></cell><cell r="T4666" t="str"><v>Developers & ITI's</v></cell><cell r="U4666" t="str"><v>USA-Trial-ITD-Retargeting-AZR-AZR</v></cell><cell r="V4666" t="str"><v>Retargeting</v></cell><cell r="W4666" t="str"><v>Link Ad</v></cell><cell r="X4666" t="str"><v>1x1</v></cell></row><row r="4666"><cell r="AA4666"><v>43314</v></cell><cell r="AB4666" t="str"><v>USA_gaPMG_AZR_AZR_Q1_19_Direct-Social</v></cell><cell r="AC4666"><v>21358715</v></cell><cell r="AD4666"><v>720197</v></cell><cell r="AE4666" t="str"><v>Facebook</v></cell><cell r="AF4666"><v>3654128</v></cell><cell r="AG4666" t="str"><v>FACEBOOK»USA-Trial-ITD-Retargeting-AZR-AZR»1 x 1»SocialBan»LIA»ALL»CPA»RT»X»NA»SS»NA»FreeAcctRetargetingVMFB-750Hrs-ChD»PRC1RY</v></cell><cell r="AH4666"><v>223862747</v></cell><cell r="AI4666" t="str"><v>AzurePlatform_FreeAcctRetargetingVMFB-750Hrs-ChD_USA_1200x628_CAN_PLATFORM_English_Free Account_Standard_NA_SINU_T1_1</v></cell><cell r="AJ4666"><v>103034911</v></cell></row><row r="4667"><cell r="C4667" t="str"><v>43314FACEBOOK»USA-Trial-ITD-Retargeting-AZR-AZR»1 x 1»SocialBan»LIA»ALL»CPA»RT»X»NA»SS»NA»FreeAcctRetargetingVMFB-OnDemand-ChE»PRC1S0</v></cell><cell r="D4667" t="str"><v>43314224104899</v></cell><cell r="E4667" t="str"><v>43314103180610PRC1S0</v></cell><cell r="F4667" t="str"><v>DCM</v></cell><cell r="G4667" t="str"><v>https://azure.microsoft.com/en-us/free/virtual-machines/search/?OCID=AID%eexcid!_OLA_%ebuy!_%epid!_%ecid!</v></cell></row><row r="4667"><cell r="K4667" t="str"><v>August</v></cell><cell r="L4667"><v>43316</v></cell><cell r="M4667" t="str"><v>Tier 0</v></cell><cell r="N4667" t="str"><v>North America</v></cell><cell r="O4667" t="str"><v>United States</v></cell><cell r="P4667" t="str"><v>Trial</v></cell><cell r="Q4667" t="str"><v>Social</v></cell><cell r="R4667" t="str"><v>Azure</v></cell><cell r="S4667" t="str"><v>Apps & Infra</v></cell><cell r="T4667" t="str"><v>Developers & ITI's</v></cell><cell r="U4667" t="str"><v>USA-Trial-ITD-Retargeting-AZR-AZR</v></cell><cell r="V4667" t="str"><v>Retargeting</v></cell><cell r="W4667" t="str"><v>Link Ad</v></cell><cell r="X4667" t="str"><v>1x1</v></cell></row><row r="4667"><cell r="AA4667"><v>43314</v></cell><cell r="AB4667" t="str"><v>USA_gaPMG_AZR_AZR_Q1_19_Direct-Social</v></cell><cell r="AC4667"><v>21358715</v></cell><cell r="AD4667"><v>720197</v></cell><cell r="AE4667" t="str"><v>Facebook</v></cell><cell r="AF4667"><v>3654128</v></cell><cell r="AG4667" t="str"><v>FACEBOOK»USA-Trial-ITD-Retargeting-AZR-AZR»1 x 1»SocialBan»LIA»ALL»CPA»RT»X»NA»SS»NA»FreeAcctRetargetingVMFB-OnDemand-ChE»PRC1S0</v></cell><cell r="AH4667"><v>224104899</v></cell><cell r="AI4667" t="str"><v>AzurePlatform_FreeAcctRetargetingVMFB-OnDemand-ChE_USA_1200x628_CAN_PLATFORM_English_Free Account_Standard_NA_SINU_T2_1</v></cell><cell r="AJ4667"><v>103180610</v></cell></row><row r="4668"><cell r="C4668" t="str"><v>43314FACEBOOK»USA-Trial-ITD-Retargeting-AZR-AZR»1 x 1»SocialBan»CAN»ALL»CPA»RT»X»NA»SS»NA»FBCTCBrandinMotion»PRC1RT</v></cell><cell r="D4668" t="str"><v>43314224106069</v></cell><cell r="E4668" t="str"><v>43314103032823PRC1RT</v></cell><cell r="F4668" t="str"><v>DCM</v></cell><cell r="G4668" t="str"><v>https://azure.microsoft.com/en-us/pricing/purchase-options/?v=18.19&OCID=AID%eexcid!_OLA_%ebuy!_%epid!_%ecid!</v></cell></row><row r="4668"><cell r="K4668" t="str"><v>August</v></cell><cell r="L4668"><v>43316</v></cell><cell r="M4668" t="str"><v>Tier 0</v></cell><cell r="N4668" t="str"><v>North America</v></cell><cell r="O4668" t="str"><v>United States</v></cell><cell r="P4668" t="str"><v>Trial</v></cell><cell r="Q4668" t="str"><v>Social</v></cell><cell r="R4668" t="str"><v>Azure</v></cell><cell r="S4668" t="str"><v>Apps & Infra</v></cell><cell r="T4668" t="str"><v>Developers & ITI's</v></cell><cell r="U4668" t="str"><v>USA-Trial-ITD-Retargeting-AZR-AZR</v></cell><cell r="V4668" t="str"><v>Retargeting</v></cell><cell r="W4668" t="str"><v>Canvas Ad</v></cell><cell r="X4668" t="str"><v>1x1</v></cell></row><row r="4668"><cell r="AA4668"><v>43314</v></cell><cell r="AB4668" t="str"><v>USA_gaPMG_AZR_AZR_Q1_19_Direct-Social</v></cell><cell r="AC4668"><v>21358715</v></cell><cell r="AD4668"><v>720197</v></cell><cell r="AE4668" t="str"><v>Facebook</v></cell><cell r="AF4668"><v>3654128</v></cell><cell r="AG4668" t="str"><v>FACEBOOK»USA-Trial-ITD-Retargeting-AZR-AZR»1 x 1»SocialBan»CAN»ALL»CPA»RT»X»NA»SS»NA»FBCTCBrandinMotion»PRC1RT</v></cell><cell r="AH4668"><v>224106069</v></cell><cell r="AI4668" t="str"><v>AzurePlatform_FBCTCBrandinMotion_USA_10s_CAN_PLATFORM_English_Trial_Standard_STAN_TIN_T2_2</v></cell><cell r="AJ4668"><v>103032823</v></cell></row><row r="4669"><cell r="C4669" t="str"><v>43314FACEBOOK»USA-Trial-ITD-Trial Lookalike-AZR-AZR»1 x 1»SocialBan»CAN»ALL»CPA»LAL»X»NA»SS»NA»FBCTCBenefit2inMotion»PRC1M0</v></cell><cell r="D4669" t="str"><v>43314223862927</v></cell><cell r="E4669" t="str"><v>43314103043835PRC1M0</v></cell><cell r="F4669" t="str"><v>DCM</v></cell><cell r="G4669" t="str"><v>https://signup.azure.com/?OCID=AID%eexcid!_OLA_%ebuy!_%epid!_%ecid!</v></cell></row><row r="4669"><cell r="K4669" t="str"><v>August</v></cell><cell r="L4669"><v>43316</v></cell><cell r="M4669" t="str"><v>Tier 0</v></cell><cell r="N4669" t="str"><v>North America</v></cell><cell r="O4669" t="str"><v>United States</v></cell><cell r="P4669" t="str"><v>Trial</v></cell><cell r="Q4669" t="str"><v>Social</v></cell><cell r="R4669" t="str"><v>Azure</v></cell><cell r="S4669" t="str"><v>Apps & Infra</v></cell><cell r="T4669" t="str"><v>Developers & ITI's</v></cell><cell r="U4669" t="str"><v>USA-Trial-ITD-Trial Lookalike-AZR-AZR</v></cell><cell r="V4669" t="str"><v>Lookalike Targeting</v></cell><cell r="W4669" t="str"><v>Canvas Ad</v></cell><cell r="X4669" t="str"><v>1x1</v></cell></row><row r="4669"><cell r="AA4669"><v>43314</v></cell><cell r="AB4669" t="str"><v>USA_gaPMG_AZR_AZR_Q1_19_Direct-Social</v></cell><cell r="AC4669"><v>21358715</v></cell><cell r="AD4669"><v>720197</v></cell><cell r="AE4669" t="str"><v>Facebook</v></cell><cell r="AF4669"><v>3654128</v></cell><cell r="AG4669" t="str"><v>FACEBOOK»USA-Trial-ITD-Trial Lookalike-AZR-AZR»1 x 1»SocialBan»CAN»ALL»CPA»LAL»X»NA»SS»NA»FBCTCBenefit2inMotion»PRC1M0</v></cell><cell r="AH4669"><v>223862927</v></cell><cell r="AI4669" t="str"><v>AzurePlatform_FBCTCBenefit2inMotion_USA_10s_CAN_PLATFORM_English_Trial_Standard_STAN_TIN_T4_1</v></cell><cell r="AJ4669"><v>103043835</v></cell></row><row r="4670"><cell r="C4670" t="str"><v>43314FACEBOOK»USA-Trial-ITD-Trial Lookalike-AZR-AZR»1 x 1»SocialBan»CAN»ALL»CPA»LAL»X»NA»SS»NA»FBCTCBenefit2inMotion»PRC1M0</v></cell><cell r="D4670" t="str"><v>43314223862927</v></cell><cell r="E4670" t="str"><v>43314103178645PRC1M0</v></cell><cell r="F4670" t="str"><v>DCM</v></cell><cell r="G4670" t="str"><v>https://azure.microsoft.com/en-us/pricing/purchase-options/?v=18.19&OCID=AID%eexcid!_OLA_%ebuy!_%epid!_%ecid!</v></cell></row><row r="4670"><cell r="K4670" t="str"><v>August</v></cell><cell r="L4670"><v>43316</v></cell><cell r="M4670" t="str"><v>Tier 0</v></cell><cell r="N4670" t="str"><v>North America</v></cell><cell r="O4670" t="str"><v>United States</v></cell><cell r="P4670" t="str"><v>Trial</v></cell><cell r="Q4670" t="str"><v>Social</v></cell><cell r="R4670" t="str"><v>Azure</v></cell><cell r="S4670" t="str"><v>Apps & Infra</v></cell><cell r="T4670" t="str"><v>Developers & ITI's</v></cell><cell r="U4670" t="str"><v>USA-Trial-ITD-Trial Lookalike-AZR-AZR</v></cell><cell r="V4670" t="str"><v>Lookalike Targeting</v></cell><cell r="W4670" t="str"><v>Canvas Ad</v></cell><cell r="X4670" t="str"><v>1x1</v></cell></row><row r="4670"><cell r="AA4670"><v>43314</v></cell><cell r="AB4670" t="str"><v>USA_gaPMG_AZR_AZR_Q1_19_Direct-Social</v></cell><cell r="AC4670"><v>21358715</v></cell><cell r="AD4670"><v>720197</v></cell><cell r="AE4670" t="str"><v>Facebook</v></cell><cell r="AF4670"><v>3654128</v></cell><cell r="AG4670" t="str"><v>FACEBOOK»USA-Trial-ITD-Trial Lookalike-AZR-AZR»1 x 1»SocialBan»CAN»ALL»CPA»LAL»X»NA»SS»NA»FBCTCBenefit2inMotion»PRC1M0</v></cell><cell r="AH4670"><v>223862927</v></cell><cell r="AI4670" t="str"><v>AzurePlatform_FBCTCBenefit2inMotion_USA_10s_CAN_PLATFORM_English_Trial_Standard_STAN_TIN_T4_2</v></cell><cell r="AJ4670"><v>103178645</v></cell></row><row r="4671"><cell r="C4671" t="str"><v>43314FACEBOOK»USA-Trial-ITD-Trial Lookalike-AZR-AZR»1 x 1»SocialBan»CAN»ALL»CPA»LAL»X»NA»SS»NA»FBCTCBenefitinMotion»PRC1M2</v></cell><cell r="D4671" t="str"><v>43314223862897</v></cell><cell r="E4671" t="str"><v>43314103032775PRC1M2</v></cell><cell r="F4671" t="str"><v>DCM</v></cell><cell r="G4671" t="str"><v>https://signup.azure.com/?OCID=AID%eexcid!_OLA_%ebuy!_%epid!_%ecid!</v></cell></row><row r="4671"><cell r="K4671" t="str"><v>August</v></cell><cell r="L4671"><v>43316</v></cell><cell r="M4671" t="str"><v>Tier 0</v></cell><cell r="N4671" t="str"><v>North America</v></cell><cell r="O4671" t="str"><v>United States</v></cell><cell r="P4671" t="str"><v>Trial</v></cell><cell r="Q4671" t="str"><v>Social</v></cell><cell r="R4671" t="str"><v>Azure</v></cell><cell r="S4671" t="str"><v>Apps & Infra</v></cell><cell r="T4671" t="str"><v>Developers & ITI's</v></cell><cell r="U4671" t="str"><v>USA-Trial-ITD-Trial Lookalike-AZR-AZR</v></cell><cell r="V4671" t="str"><v>Lookalike Targeting</v></cell><cell r="W4671" t="str"><v>Canvas Ad</v></cell><cell r="X4671" t="str"><v>1x1</v></cell></row><row r="4671"><cell r="AA4671"><v>43314</v></cell><cell r="AB4671" t="str"><v>USA_gaPMG_AZR_AZR_Q1_19_Direct-Social</v></cell><cell r="AC4671"><v>21358715</v></cell><cell r="AD4671"><v>720197</v></cell><cell r="AE4671" t="str"><v>Facebook</v></cell><cell r="AF4671"><v>3654128</v></cell><cell r="AG4671" t="str"><v>FACEBOOK»USA-Trial-ITD-Trial Lookalike-AZR-AZR»1 x 1»SocialBan»CAN»ALL»CPA»LAL»X»NA»SS»NA»FBCTCBenefitinMotion»PRC1M2</v></cell><cell r="AH4671"><v>223862897</v></cell><cell r="AI4671" t="str"><v>AzurePlatform_FBCTCBenefitinMotion_USA_10s_CAN_PLATFORM_English_Trial_Standard_STAN_TIN_T3_1</v></cell><cell r="AJ4671"><v>103032775</v></cell></row><row r="4672"><cell r="C4672" t="str"><v>43314FACEBOOK»USA-Trial-ITD-Trial Lookalike-AZR-AZR»1 x 1»SocialBan»LIA»ALL»CPA»LAL»X»NA»SS»NA»FreeAcctDeveloperFB-AnimatedAI-Ch3»PRC1M7</v></cell><cell r="D4672" t="str"><v>43314223934104</v></cell><cell r="E4672" t="str"><v>43314103032778PRC1M7</v></cell><cell r="F4672" t="str"><v>DCM</v></cell></row><row r="4672"><cell r="K4672" t="str"><v>August</v></cell><cell r="L4672"><v>43316</v></cell><cell r="M4672" t="str"><v>Tier 0</v></cell><cell r="N4672" t="str"><v>North America</v></cell><cell r="O4672" t="str"><v>United States</v></cell><cell r="P4672" t="str"><v>Trial</v></cell><cell r="Q4672" t="str"><v>Social</v></cell><cell r="R4672" t="str"><v>Azure</v></cell><cell r="S4672" t="str"><v>Apps & Infra</v></cell><cell r="T4672" t="str"><v>Developers & ITI's</v></cell><cell r="U4672" t="str"><v>USA-Trial-ITD-Trial Lookalike-AZR-AZR</v></cell><cell r="V4672" t="str"><v>Lookalike Targeting</v></cell><cell r="W4672" t="str"><v>Link Ad</v></cell><cell r="X4672" t="str"><v>1x1</v></cell></row><row r="4672"><cell r="AA4672"><v>43314</v></cell><cell r="AB4672" t="str"><v>USA_gaPMG_AZR_AZR_Q1_19_Direct-Social</v></cell><cell r="AC4672"><v>21358715</v></cell><cell r="AD4672"><v>720197</v></cell><cell r="AE4672" t="str"><v>Facebook</v></cell><cell r="AF4672"><v>3654128</v></cell><cell r="AG4672" t="str"><v>FACEBOOK»USA-Trial-ITD-Trial Lookalike-AZR-AZR»1 x 1»SocialBan»LIA»ALL»CPA»LAL»X»NA»SS»NA»FreeAcctDeveloperFB-AnimatedAI-Ch3»PRC1M7</v></cell><cell r="AH4672"><v>223934104</v></cell><cell r="AI4672" t="str"><v>AZR_FreeAcctDeveloperFB-AnimatedAI-Ch3_USA_1200x1200_CAN_Direct_English_Trial_Standard_ANI_LEA_T3_1</v></cell><cell r="AJ4672"><v>103032778</v></cell></row><row r="4673"><cell r="C4673" t="str"><v>43314FACEBOOK»USA-Trial-ITD-Trial Lookalike-AZR-AZR»1 x 1»SocialBan»LIA»ALL»CPA»LAL»X»NA»SS»NA»FreeAcctDeveloperFB-AnimatedData-Ch4»PRC1M8</v></cell><cell r="D4673" t="str"><v>43314223862933</v></cell><cell r="E4673" t="str"><v>43314103037935PRC1M8</v></cell><cell r="F4673" t="str"><v>DCM</v></cell></row><row r="4673"><cell r="K4673" t="str"><v>August</v></cell><cell r="L4673"><v>43316</v></cell><cell r="M4673" t="str"><v>Tier 0</v></cell><cell r="N4673" t="str"><v>North America</v></cell><cell r="O4673" t="str"><v>United States</v></cell><cell r="P4673" t="str"><v>Trial</v></cell><cell r="Q4673" t="str"><v>Social</v></cell><cell r="R4673" t="str"><v>Azure</v></cell><cell r="S4673" t="str"><v>Apps & Infra</v></cell><cell r="T4673" t="str"><v>Developers & ITI's</v></cell><cell r="U4673" t="str"><v>USA-Trial-ITD-Trial Lookalike-AZR-AZR</v></cell><cell r="V4673" t="str"><v>Lookalike Targeting</v></cell><cell r="W4673" t="str"><v>Link Ad</v></cell><cell r="X4673" t="str"><v>1x1</v></cell></row><row r="4673"><cell r="AA4673"><v>43314</v></cell><cell r="AB4673" t="str"><v>USA_gaPMG_AZR_AZR_Q1_19_Direct-Social</v></cell><cell r="AC4673"><v>21358715</v></cell><cell r="AD4673"><v>720197</v></cell><cell r="AE4673" t="str"><v>Facebook</v></cell><cell r="AF4673"><v>3654128</v></cell><cell r="AG4673" t="str"><v>FACEBOOK»USA-Trial-ITD-Trial Lookalike-AZR-AZR»1 x 1»SocialBan»LIA»ALL»CPA»LAL»X»NA»SS»NA»FreeAcctDeveloperFB-AnimatedData-Ch4»PRC1M8</v></cell><cell r="AH4673"><v>223862933</v></cell><cell r="AI4673" t="str"><v>AZR_FreeAcctDeveloperFB-AnimatedData-Ch4_USA_1200x1200_CAN_Direct_English_Trial_Standard_ANI_LEA_T4_2</v></cell><cell r="AJ4673"><v>103037935</v></cell></row><row r="4674"><cell r="C4674" t="str"><v>43314FACEBOOK»USA-Trial-ITD-Trial Lookalike-AZR-AZR»1 x 1»SocialBan»LIA»ALL»CPA»LAL»X»NA»SS»NA»FreeAcctITProFB-AnimatedHybrid-Ch2»PRC1MC</v></cell><cell r="D4674" t="str"><v>43314224104956</v></cell><cell r="E4674" t="str"><v>43314103180583PRC1MC</v></cell><cell r="F4674" t="str"><v>DCM</v></cell></row><row r="4674"><cell r="K4674" t="str"><v>August</v></cell><cell r="L4674"><v>43316</v></cell><cell r="M4674" t="str"><v>Tier 0</v></cell><cell r="N4674" t="str"><v>North America</v></cell><cell r="O4674" t="str"><v>United States</v></cell><cell r="P4674" t="str"><v>Trial</v></cell><cell r="Q4674" t="str"><v>Social</v></cell><cell r="R4674" t="str"><v>Azure</v></cell><cell r="S4674" t="str"><v>Apps & Infra</v></cell><cell r="T4674" t="str"><v>Developers & ITI's</v></cell><cell r="U4674" t="str"><v>USA-Trial-ITD-Trial Lookalike-AZR-AZR</v></cell><cell r="V4674" t="str"><v>Lookalike Targeting</v></cell><cell r="W4674" t="str"><v>Link Ad</v></cell><cell r="X4674" t="str"><v>1x1</v></cell></row><row r="4674"><cell r="AA4674"><v>43314</v></cell><cell r="AB4674" t="str"><v>USA_gaPMG_AZR_AZR_Q1_19_Direct-Social</v></cell><cell r="AC4674"><v>21358715</v></cell><cell r="AD4674"><v>720197</v></cell><cell r="AE4674" t="str"><v>Facebook</v></cell><cell r="AF4674"><v>3654128</v></cell><cell r="AG4674" t="str"><v>FACEBOOK»USA-Trial-ITD-Trial Lookalike-AZR-AZR»1 x 1»SocialBan»LIA»ALL»CPA»LAL»X»NA»SS»NA»FreeAcctITProFB-AnimatedHybrid-Ch2»PRC1MC</v></cell><cell r="AH4674"><v>224104956</v></cell><cell r="AI4674" t="str"><v>AZR_FreeAcctITProFB-AnimatedHybrid-Ch2_USA_1200x1200_CAN_Direct_English_Trial_Standard_ANI_LEA_T2_2</v></cell><cell r="AJ4674"><v>103180583</v></cell></row><row r="4675"><cell r="C4675" t="str"><v>43314FACEBOOK»USA-Trial-ITD-Trial Lookalike-AZR-AZR»1 x 1»SocialBan»CAN»ALL»CPA»LAL»X»NA»SS»NA»FBCTCBrandinMotion»PRC1M3</v></cell><cell r="D4675" t="str"><v>43314223862900</v></cell><cell r="E4675" t="str"><v>43314103176812PRC1M3</v></cell><cell r="F4675" t="str"><v>DCM</v></cell><cell r="G4675" t="str"><v>https://signup.azure.com/?OCID=AID%eexcid!_OLA_%ebuy!_%epid!_%ecid!</v></cell></row><row r="4675"><cell r="K4675" t="str"><v>August</v></cell><cell r="L4675"><v>43316</v></cell><cell r="M4675" t="str"><v>Tier 0</v></cell><cell r="N4675" t="str"><v>North America</v></cell><cell r="O4675" t="str"><v>United States</v></cell><cell r="P4675" t="str"><v>Trial</v></cell><cell r="Q4675" t="str"><v>Social</v></cell><cell r="R4675" t="str"><v>Azure</v></cell><cell r="S4675" t="str"><v>Apps & Infra</v></cell><cell r="T4675" t="str"><v>Developers & ITI's</v></cell><cell r="U4675" t="str"><v>USA-Trial-ITD-Trial Lookalike-AZR-AZR</v></cell><cell r="V4675" t="str"><v>Lookalike Targeting</v></cell><cell r="W4675" t="str"><v>Canvas Ad</v></cell><cell r="X4675" t="str"><v>1x1</v></cell></row><row r="4675"><cell r="AA4675"><v>43314</v></cell><cell r="AB4675" t="str"><v>USA_gaPMG_AZR_AZR_Q1_19_Direct-Social</v></cell><cell r="AC4675"><v>21358715</v></cell><cell r="AD4675"><v>720197</v></cell><cell r="AE4675" t="str"><v>Facebook</v></cell><cell r="AF4675"><v>3654128</v></cell><cell r="AG4675" t="str"><v>FACEBOOK»USA-Trial-ITD-Trial Lookalike-AZR-AZR»1 x 1»SocialBan»CAN»ALL»CPA»LAL»X»NA»SS»NA»FBCTCBrandinMotion»PRC1M3</v></cell><cell r="AH4675"><v>223862900</v></cell><cell r="AI4675" t="str"><v>AzurePlatform_FBCTCBrandinMotion_USA_10s_CAN_PLATFORM_English_Trial_Standard_STAN_TIN_T2_1</v></cell><cell r="AJ4675"><v>103176812</v></cell></row><row r="4676"><cell r="C4676" t="str"><v>43314FACEBOOK»USA-Trial-ITD-Trial Lookalike-AZR-AZR»1 x 1»SocialBan»CAN»ALL»CPA»LAL»X»NA»SS»NA»FBCTCBrandinMotion»PRC1M3</v></cell><cell r="D4676" t="str"><v>43314223862900</v></cell><cell r="E4676" t="str"><v>43314103032823PRC1M3</v></cell><cell r="F4676" t="str"><v>DCM</v></cell><cell r="G4676" t="str"><v>https://azure.microsoft.com/en-us/pricing/purchase-options/?v=18.19&OCID=AID%eexcid!_OLA_%ebuy!_%epid!_%ecid!</v></cell></row><row r="4676"><cell r="K4676" t="str"><v>August</v></cell><cell r="L4676"><v>43316</v></cell><cell r="M4676" t="str"><v>Tier 0</v></cell><cell r="N4676" t="str"><v>North America</v></cell><cell r="O4676" t="str"><v>United States</v></cell><cell r="P4676" t="str"><v>Trial</v></cell><cell r="Q4676" t="str"><v>Social</v></cell><cell r="R4676" t="str"><v>Azure</v></cell><cell r="S4676" t="str"><v>Apps & Infra</v></cell><cell r="T4676" t="str"><v>Developers & ITI's</v></cell><cell r="U4676" t="str"><v>USA-Trial-ITD-Trial Lookalike-AZR-AZR</v></cell><cell r="V4676" t="str"><v>Lookalike Targeting</v></cell><cell r="W4676" t="str"><v>Canvas Ad</v></cell><cell r="X4676" t="str"><v>1x1</v></cell></row><row r="4676"><cell r="AA4676"><v>43314</v></cell><cell r="AB4676" t="str"><v>USA_gaPMG_AZR_AZR_Q1_19_Direct-Social</v></cell><cell r="AC4676"><v>21358715</v></cell><cell r="AD4676"><v>720197</v></cell><cell r="AE4676" t="str"><v>Facebook</v></cell><cell r="AF4676"><v>3654128</v></cell><cell r="AG4676" t="str"><v>FACEBOOK»USA-Trial-ITD-Trial Lookalike-AZR-AZR»1 x 1»SocialBan»CAN»ALL»CPA»LAL»X»NA»SS»NA»FBCTCBrandinMotion»PRC1M3</v></cell><cell r="AH4676"><v>223862900</v></cell><cell r="AI4676" t="str"><v>AzurePlatform_FBCTCBrandinMotion_USA_10s_CAN_PLATFORM_English_Trial_Standard_STAN_TIN_T2_2</v></cell><cell r="AJ4676"><v>103032823</v></cell></row><row r="4677"><cell r="C4677" t="str"><v>43314FACEBOOK»USA-Trial-ITD-Trial PayGo Lookalike-AZR-AZR»1 x 1»SocialBan»CAN»ALL»CPA»LAL»X»NA»SS»NA»FBCTCBenefit2inMotion»PRC1Q1</v></cell><cell r="D4677" t="str"><v>43314224104986</v></cell><cell r="E4677" t="str"><v>43314103043835PRC1Q1</v></cell><cell r="F4677" t="str"><v>DCM</v></cell><cell r="G4677" t="str"><v>https://signup.azure.com/?OCID=AID%eexcid!_OLA_%ebuy!_%epid!_%ecid!</v></cell></row><row r="4677"><cell r="K4677" t="str"><v>August</v></cell><cell r="L4677"><v>43316</v></cell><cell r="M4677" t="str"><v>Tier 0</v></cell><cell r="N4677" t="str"><v>North America</v></cell><cell r="O4677" t="str"><v>United States</v></cell><cell r="P4677" t="str"><v>Trial</v></cell><cell r="Q4677" t="str"><v>Social</v></cell><cell r="R4677" t="str"><v>Azure</v></cell><cell r="S4677" t="str"><v>Apps & Infra</v></cell><cell r="T4677" t="str"><v>Developers & ITI's</v></cell><cell r="U4677" t="str"><v>USA-Trial-ITD-Trial PayGo Lookalike-AZR-AZR</v></cell><cell r="V4677" t="str"><v>Lookalike Targeting</v></cell><cell r="W4677" t="str"><v>Canvas Ad</v></cell><cell r="X4677" t="str"><v>1x1</v></cell></row><row r="4677"><cell r="AA4677"><v>43314</v></cell><cell r="AB4677" t="str"><v>USA_gaPMG_AZR_AZR_Q1_19_Direct-Social</v></cell><cell r="AC4677"><v>21358715</v></cell><cell r="AD4677"><v>720197</v></cell><cell r="AE4677" t="str"><v>Facebook</v></cell><cell r="AF4677"><v>3654128</v></cell><cell r="AG4677" t="str"><v>FACEBOOK»USA-Trial-ITD-Trial PayGo Lookalike-AZR-AZR»1 x 1»SocialBan»CAN»ALL»CPA»LAL»X»NA»SS»NA»FBCTCBenefit2inMotion»PRC1Q1</v></cell><cell r="AH4677"><v>224104986</v></cell><cell r="AI4677" t="str"><v>AzurePlatform_FBCTCBenefit2inMotion_USA_10s_CAN_PLATFORM_English_Trial_Standard_STAN_TIN_T4_1</v></cell><cell r="AJ4677"><v>103043835</v></cell></row><row r="4678"><cell r="C4678" t="str"><v>43314FACEBOOK»USA-Trial-ITD-Trial PayGo Lookalike-AZR-AZR»1 x 1»SocialBan»CAN»ALL»CPA»LAL»X»NA»SS»NA»FBCTCBrandinMotion»PRC1Q3</v></cell><cell r="D4678" t="str"><v>43314223935349</v></cell><cell r="E4678" t="str"><v>43314103176812PRC1Q3</v></cell><cell r="F4678" t="str"><v>DCM</v></cell><cell r="G4678" t="str"><v>https://signup.azure.com/?OCID=AID%eexcid!_OLA_%ebuy!_%epid!_%ecid!</v></cell></row><row r="4678"><cell r="K4678" t="str"><v>August</v></cell><cell r="L4678"><v>43316</v></cell><cell r="M4678" t="str"><v>Tier 0</v></cell><cell r="N4678" t="str"><v>North America</v></cell><cell r="O4678" t="str"><v>United States</v></cell><cell r="P4678" t="str"><v>Trial</v></cell><cell r="Q4678" t="str"><v>Social</v></cell><cell r="R4678" t="str"><v>Azure</v></cell><cell r="S4678" t="str"><v>Apps & Infra</v></cell><cell r="T4678" t="str"><v>Developers & ITI's</v></cell><cell r="U4678" t="str"><v>USA-Trial-ITD-Trial PayGo Lookalike-AZR-AZR</v></cell><cell r="V4678" t="str"><v>Lookalike Targeting</v></cell><cell r="W4678" t="str"><v>Canvas Ad</v></cell><cell r="X4678" t="str"><v>1x1</v></cell></row><row r="4678"><cell r="AA4678"><v>43314</v></cell><cell r="AB4678" t="str"><v>USA_gaPMG_AZR_AZR_Q1_19_Direct-Social</v></cell><cell r="AC4678"><v>21358715</v></cell><cell r="AD4678"><v>720197</v></cell><cell r="AE4678" t="str"><v>Facebook</v></cell><cell r="AF4678"><v>3654128</v></cell><cell r="AG4678" t="str"><v>FACEBOOK»USA-Trial-ITD-Trial PayGo Lookalike-AZR-AZR»1 x 1»SocialBan»CAN»ALL»CPA»LAL»X»NA»SS»NA»FBCTCBrandinMotion»PRC1Q3</v></cell><cell r="AH4678"><v>223935349</v></cell><cell r="AI4678" t="str"><v>AzurePlatform_FBCTCBrandinMotion_USA_10s_CAN_PLATFORM_English_Trial_Standard_STAN_TIN_T2_1</v></cell><cell r="AJ4678"><v>103176812</v></cell></row><row r="4679"><cell r="C4679" t="str"><v>43314FACEBOOK»USA-Trial-ITD-Trial PayGo Lookalike-AZR-AZR»1 x 1»SocialBan»LIA»ALL»CPA»LAL»X»NA»SS»NA»FreeAcctDeveloperFB-AnimatedGeneric-Ch1»PRC1Q6</v></cell><cell r="D4679" t="str"><v>43314224106129</v></cell><cell r="E4679" t="str"><v>43314103176851PRC1Q6</v></cell><cell r="F4679" t="str"><v>DCM</v></cell><cell r="G4679" t="str"><v>https://azure.microsoft.com/en-us/free/search/?OCID=AID%eexcid!_OLA_%ebuy!_%epid!_%ecid!</v></cell></row><row r="4679"><cell r="K4679" t="str"><v>August</v></cell><cell r="L4679"><v>43316</v></cell><cell r="M4679" t="str"><v>Tier 0</v></cell><cell r="N4679" t="str"><v>North America</v></cell><cell r="O4679" t="str"><v>United States</v></cell><cell r="P4679" t="str"><v>Trial</v></cell><cell r="Q4679" t="str"><v>Social</v></cell><cell r="R4679" t="str"><v>Azure</v></cell><cell r="S4679" t="str"><v>Apps & Infra</v></cell><cell r="T4679" t="str"><v>Developers & ITI's</v></cell><cell r="U4679" t="str"><v>USA-Trial-ITD-Trial PayGo Lookalike-AZR-AZR</v></cell><cell r="V4679" t="str"><v>Lookalike Targeting</v></cell><cell r="W4679" t="str"><v>Link Ad</v></cell><cell r="X4679" t="str"><v>1x1</v></cell></row><row r="4679"><cell r="AA4679"><v>43314</v></cell><cell r="AB4679" t="str"><v>USA_gaPMG_AZR_AZR_Q1_19_Direct-Social</v></cell><cell r="AC4679"><v>21358715</v></cell><cell r="AD4679"><v>720197</v></cell><cell r="AE4679" t="str"><v>Facebook</v></cell><cell r="AF4679"><v>3654128</v></cell><cell r="AG4679" t="str"><v>FACEBOOK»USA-Trial-ITD-Trial PayGo Lookalike-AZR-AZR»1 x 1»SocialBan»LIA»ALL»CPA»LAL»X»NA»SS»NA»FreeAcctDeveloperFB-AnimatedGeneric-Ch1»PRC1Q6</v></cell><cell r="AH4679"><v>224106129</v></cell><cell r="AI4679" t="str"><v>AZR_FreeAcctDeveloperFB-AnimatedGeneric-Ch1_USA_1200x1200_CAN_Direct_English_Trial_Standard_ANI_LEA_T1_2</v></cell><cell r="AJ4679"><v>103176851</v></cell></row><row r="4680"><cell r="C4680" t="str"><v>43314FACEBOOK»USA-Trial-ITD-Retargeting-AZR-AZR»1 x 1»SocialBan»CCA»ALL»CPA»RT»X»NA»SS»NA»Azure Developer Facebook Collections»PRSGY7</v></cell><cell r="D4680" t="str"><v>43314225283585</v></cell><cell r="E4680" t="str"><v>43314103773177PRSGY7</v></cell><cell r="F4680" t="str"><v>DCM</v></cell><cell r="G4680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680"><cell r="K4680" t="str"><v>August</v></cell><cell r="L4680"><v>43316</v></cell><cell r="M4680" t="str"><v>Tier 0</v></cell><cell r="N4680" t="str"><v>North America</v></cell><cell r="O4680" t="str"><v>United States</v></cell><cell r="P4680" t="str"><v>Trial</v></cell><cell r="Q4680" t="str"><v>Social</v></cell><cell r="R4680" t="str"><v>Azure</v></cell><cell r="S4680" t="str"><v>Apps & Infra</v></cell><cell r="T4680" t="str"><v>Developers & ITI's</v></cell><cell r="U4680" t="str"><v>USA-Trial-ITD-Retargeting-AZR-AZR</v></cell><cell r="V4680" t="str"><v>Retargeting</v></cell><cell r="W4680" t="str"><v>Canvas Collection Ad</v></cell><cell r="X4680" t="str"><v>1x1</v></cell></row><row r="4680"><cell r="AA4680"><v>43314</v></cell><cell r="AB4680" t="str"><v>USA_gaPMG_AZR_AZR_Q1_19_Direct-Social</v></cell><cell r="AC4680"><v>21358715</v></cell><cell r="AD4680"><v>720197</v></cell><cell r="AE4680" t="str"><v>Facebook</v></cell><cell r="AF4680"><v>3654128</v></cell><cell r="AG4680" t="str"><v>FACEBOOK»USA-Trial-ITD-Retargeting-AZR-AZR»1 x 1»SocialBan»CCA»ALL»CPA»RT»X»NA»SS»NA»Azure Developer Facebook Collections»PRSGY7</v></cell><cell r="AH4680"><v>225283585</v></cell><cell r="AI4680" t="str"><v>AZR_FBCollections-AITryAzureFreeCTA-Img2_USA_1200x182_SOC_Plat_EN_NA_Standard_NA_TIN_T1_2</v></cell><cell r="AJ4680"><v>103773177</v></cell></row><row r="4681"><cell r="C4681" t="str"><v>43314FACEBOOK»USA-Trial-ITD-Retargeting-AZR-AZR»1 x 1»SocialBan»CCA»ALL»CPA»RT»X»NA»SS»NA»Azure Developer Facebook Collections»PRSGY7</v></cell><cell r="D4681" t="str"><v>43314225283585</v></cell><cell r="E4681" t="str"><v>43314103776921PRSGY7</v></cell><cell r="F4681" t="str"><v>DCM</v></cell><cell r="G4681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681"><cell r="K4681" t="str"><v>August</v></cell><cell r="L4681"><v>43316</v></cell><cell r="M4681" t="str"><v>Tier 0</v></cell><cell r="N4681" t="str"><v>North America</v></cell><cell r="O4681" t="str"><v>United States</v></cell><cell r="P4681" t="str"><v>Trial</v></cell><cell r="Q4681" t="str"><v>Social</v></cell><cell r="R4681" t="str"><v>Azure</v></cell><cell r="S4681" t="str"><v>Apps & Infra</v></cell><cell r="T4681" t="str"><v>Developers & ITI's</v></cell><cell r="U4681" t="str"><v>USA-Trial-ITD-Retargeting-AZR-AZR</v></cell><cell r="V4681" t="str"><v>Retargeting</v></cell><cell r="W4681" t="str"><v>Canvas Collection Ad</v></cell><cell r="X4681" t="str"><v>1x1</v></cell></row><row r="4681"><cell r="AA4681"><v>43314</v></cell><cell r="AB4681" t="str"><v>USA_gaPMG_AZR_AZR_Q1_19_Direct-Social</v></cell><cell r="AC4681"><v>21358715</v></cell><cell r="AD4681"><v>720197</v></cell><cell r="AE4681" t="str"><v>Facebook</v></cell><cell r="AF4681"><v>3654128</v></cell><cell r="AG4681" t="str"><v>FACEBOOK»USA-Trial-ITD-Retargeting-AZR-AZR»1 x 1»SocialBan»CCA»ALL»CPA»RT»X»NA»SS»NA»Azure Developer Facebook Collections»PRSGY7</v></cell><cell r="AH4681"><v>225283585</v></cell><cell r="AI4681" t="str"><v>AZR_FBCollections-FreeStuffTryAzureFreeCTA-Img5_USA_1200x182_SOC_Plat_EN_NA_Standard_NA_TIN_T1_5</v></cell><cell r="AJ4681"><v>103776921</v></cell></row><row r="4682"><cell r="C4682" t="str"><v>43314FACEBOOK»USA-Trial-ITD-Retargeting-AZR-AZR»1 x 1»SocialBan»CCA»ALL»CPA»RT»X»NA»SS»NA»Azure Developer Facebook Collections»PRSGY7</v></cell><cell r="D4682" t="str"><v>43314225283585</v></cell><cell r="E4682" t="str"><v>43314103873631PRSGY7</v></cell><cell r="F4682" t="str"><v>DCM</v></cell><cell r="G4682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682"><cell r="K4682" t="str"><v>August</v></cell><cell r="L4682"><v>43316</v></cell><cell r="M4682" t="str"><v>Tier 0</v></cell><cell r="N4682" t="str"><v>North America</v></cell><cell r="O4682" t="str"><v>United States</v></cell><cell r="P4682" t="str"><v>Trial</v></cell><cell r="Q4682" t="str"><v>Social</v></cell><cell r="R4682" t="str"><v>Azure</v></cell><cell r="S4682" t="str"><v>Apps & Infra</v></cell><cell r="T4682" t="str"><v>Developers & ITI's</v></cell><cell r="U4682" t="str"><v>USA-Trial-ITD-Retargeting-AZR-AZR</v></cell><cell r="V4682" t="str"><v>Retargeting</v></cell><cell r="W4682" t="str"><v>Canvas Collection Ad</v></cell><cell r="X4682" t="str"><v>1x1</v></cell></row><row r="4682"><cell r="AA4682"><v>43314</v></cell><cell r="AB4682" t="str"><v>USA_gaPMG_AZR_AZR_Q1_19_Direct-Social</v></cell><cell r="AC4682"><v>21358715</v></cell><cell r="AD4682"><v>720197</v></cell><cell r="AE4682" t="str"><v>Facebook</v></cell><cell r="AF4682"><v>3654128</v></cell><cell r="AG4682" t="str"><v>FACEBOOK»USA-Trial-ITD-Retargeting-AZR-AZR»1 x 1»SocialBan»CCA»ALL»CPA»RT»X»NA»SS»NA»Azure Developer Facebook Collections»PRSGY7</v></cell><cell r="AH4682"><v>225283585</v></cell><cell r="AI4682" t="str"><v>AZR_FBCollections-OSSTryAzureFreeCTA-Img3_USA_1200x182_SOC_Plat_EN_NA_Standard_NA_TIN_T1_3</v></cell><cell r="AJ4682"><v>103873631</v></cell></row><row r="4683"><cell r="C4683" t="str"><v>43314FACEBOOK»USA-Trial-ITD-Retargeting-AZR-AZR»1 x 1»SocialBan»CCA»ALL»CPA»RT»X»NA»SS»NA»Azure Developer Facebook Collections»PRSGY7</v></cell><cell r="D4683" t="str"><v>43314225283585</v></cell><cell r="E4683" t="str"><v>43314103773180PRSGY7</v></cell><cell r="F4683" t="str"><v>DCM</v></cell><cell r="G4683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4683"><cell r="K4683" t="str"><v>August</v></cell><cell r="L4683"><v>43316</v></cell><cell r="M4683" t="str"><v>Tier 0</v></cell><cell r="N4683" t="str"><v>North America</v></cell><cell r="O4683" t="str"><v>United States</v></cell><cell r="P4683" t="str"><v>Trial</v></cell><cell r="Q4683" t="str"><v>Social</v></cell><cell r="R4683" t="str"><v>Azure</v></cell><cell r="S4683" t="str"><v>Apps & Infra</v></cell><cell r="T4683" t="str"><v>Developers & ITI's</v></cell><cell r="U4683" t="str"><v>USA-Trial-ITD-Retargeting-AZR-AZR</v></cell><cell r="V4683" t="str"><v>Retargeting</v></cell><cell r="W4683" t="str"><v>Canvas Collection Ad</v></cell><cell r="X4683" t="str"><v>1x1</v></cell></row><row r="4683"><cell r="AA4683"><v>43314</v></cell><cell r="AB4683" t="str"><v>USA_gaPMG_AZR_AZR_Q1_19_Direct-Social</v></cell><cell r="AC4683"><v>21358715</v></cell><cell r="AD4683"><v>720197</v></cell><cell r="AE4683" t="str"><v>Facebook</v></cell><cell r="AF4683"><v>3654128</v></cell><cell r="AG4683" t="str"><v>FACEBOOK»USA-Trial-ITD-Retargeting-AZR-AZR»1 x 1»SocialBan»CCA»ALL»CPA»RT»X»NA»SS»NA»Azure Developer Facebook Collections»PRSGY7</v></cell><cell r="AH4683"><v>225283585</v></cell><cell r="AI4683" t="str"><v>AZR_FBCollections-SmartDataTryAzureFreeCTA-Img4_USA_1200x182_SOC_Plat_EN_NA_Standard_NA_TIN_T1_4</v></cell><cell r="AJ4683"><v>103773180</v></cell></row><row r="4684"><cell r="C4684" t="str"><v>43314FACEBOOK»USA-Trial-ITD-Interest Prospecting-AZR-AZR»1 x 1»SocialBan»LIA»ALL»CPA»PRO»X»NA»SS»NA»FreeAcctDeveloperFB-AnimatedAI-Ch3»PRC1T2</v></cell><cell r="D4684" t="str"><v>43314223862765</v></cell><cell r="E4684" t="str"><v>43314103032778PRC1T2</v></cell><cell r="F4684" t="str"><v>DCM</v></cell></row><row r="4684"><cell r="K4684" t="str"><v>August</v></cell><cell r="L4684"><v>43316</v></cell><cell r="M4684" t="str"><v>Tier 0</v></cell><cell r="N4684" t="str"><v>North America</v></cell><cell r="O4684" t="str"><v>United States</v></cell><cell r="P4684" t="str"><v>Trial</v></cell><cell r="Q4684" t="str"><v>Social</v></cell><cell r="R4684" t="str"><v>Azure</v></cell><cell r="S4684" t="str"><v>Apps & Infra</v></cell><cell r="T4684" t="str"><v>Developers & ITI's</v></cell><cell r="U4684" t="str"><v>USA-Trial-ITD-Interest Prospecting-AZR-AZR</v></cell><cell r="V4684" t="str"><v>Prospecting</v></cell><cell r="W4684" t="str"><v>Link Ad</v></cell><cell r="X4684" t="str"><v>1x1</v></cell></row><row r="4684"><cell r="AA4684"><v>43314</v></cell><cell r="AB4684" t="str"><v>USA_gaPMG_AZR_AZR_Q1_19_Direct-Social</v></cell><cell r="AC4684"><v>21358715</v></cell><cell r="AD4684"><v>720197</v></cell><cell r="AE4684" t="str"><v>Facebook</v></cell><cell r="AF4684"><v>3654128</v></cell><cell r="AG4684" t="str"><v>FACEBOOK»USA-Trial-ITD-Interest Prospecting-AZR-AZR»1 x 1»SocialBan»LIA»ALL»CPA»PRO»X»NA»SS»NA»FreeAcctDeveloperFB-AnimatedAI-Ch3»PRC1T2</v></cell><cell r="AH4684"><v>223862765</v></cell><cell r="AI4684" t="str"><v>AZR_FreeAcctDeveloperFB-AnimatedAI-Ch3_USA_1200x1200_CAN_Direct_English_Trial_Standard_ANI_LEA_T3_1</v></cell><cell r="AJ4684"><v>103032778</v></cell></row><row r="4685"><cell r="C4685" t="str"><v>43314FACEBOOK»USA-Trial-ITD-Interest Prospecting-AZR-AZR»1 x 1»SocialBan»LIA»ALL»CPA»PRO»X»NA»SS»NA»FreeAcctDeveloperFB-AnimatedData-Ch4»PRC1T3</v></cell><cell r="D4685" t="str"><v>43314223863380</v></cell><cell r="E4685" t="str"><v>43314103037935PRC1T3</v></cell><cell r="F4685" t="str"><v>DCM</v></cell></row><row r="4685"><cell r="K4685" t="str"><v>August</v></cell><cell r="L4685"><v>43316</v></cell><cell r="M4685" t="str"><v>Tier 0</v></cell><cell r="N4685" t="str"><v>North America</v></cell><cell r="O4685" t="str"><v>United States</v></cell><cell r="P4685" t="str"><v>Trial</v></cell><cell r="Q4685" t="str"><v>Social</v></cell><cell r="R4685" t="str"><v>Azure</v></cell><cell r="S4685" t="str"><v>Apps & Infra</v></cell><cell r="T4685" t="str"><v>Developers & ITI's</v></cell><cell r="U4685" t="str"><v>USA-Trial-ITD-Interest Prospecting-AZR-AZR</v></cell><cell r="V4685" t="str"><v>Prospecting</v></cell><cell r="W4685" t="str"><v>Link Ad</v></cell><cell r="X4685" t="str"><v>1x1</v></cell></row><row r="4685"><cell r="AA4685"><v>43314</v></cell><cell r="AB4685" t="str"><v>USA_gaPMG_AZR_AZR_Q1_19_Direct-Social</v></cell><cell r="AC4685"><v>21358715</v></cell><cell r="AD4685"><v>720197</v></cell><cell r="AE4685" t="str"><v>Facebook</v></cell><cell r="AF4685"><v>3654128</v></cell><cell r="AG4685" t="str"><v>FACEBOOK»USA-Trial-ITD-Interest Prospecting-AZR-AZR»1 x 1»SocialBan»LIA»ALL»CPA»PRO»X»NA»SS»NA»FreeAcctDeveloperFB-AnimatedData-Ch4»PRC1T3</v></cell><cell r="AH4685"><v>223863380</v></cell><cell r="AI4685" t="str"><v>AZR_FreeAcctDeveloperFB-AnimatedData-Ch4_USA_1200x1200_CAN_Direct_English_Trial_Standard_ANI_LEA_T4_2</v></cell><cell r="AJ4685"><v>103037935</v></cell></row><row r="4686"><cell r="C4686" t="str"><v>43314FACEBOOK»USA-Trial-ITD-Interest Prospecting-AZR-AZR»1 x 1»SocialBan»LIA»ALL»CPA»PRO»X»NA»SS»NA»FreeAcctDeveloperFB-AnimatedOpenSource-Ch2»PRC1T1</v></cell><cell r="D4686" t="str"><v>43314223862885</v></cell><cell r="E4686" t="str"><v>43314103048329PRC1T1</v></cell><cell r="F4686" t="str"><v>DCM</v></cell><cell r="G4686" t="str"><v>https://azure.microsoft.com/en-us/free/open-source/search/?OCID=AID%eexcid!_OLA_%ebuy!_%epid!_%ecid!</v></cell></row><row r="4686"><cell r="K4686" t="str"><v>August</v></cell><cell r="L4686"><v>43316</v></cell><cell r="M4686" t="str"><v>Tier 0</v></cell><cell r="N4686" t="str"><v>North America</v></cell><cell r="O4686" t="str"><v>United States</v></cell><cell r="P4686" t="str"><v>Trial</v></cell><cell r="Q4686" t="str"><v>Social</v></cell><cell r="R4686" t="str"><v>Azure</v></cell><cell r="S4686" t="str"><v>Apps & Infra</v></cell><cell r="T4686" t="str"><v>Developers & ITI's</v></cell><cell r="U4686" t="str"><v>USA-Trial-ITD-Interest Prospecting-AZR-AZR</v></cell><cell r="V4686" t="str"><v>Prospecting</v></cell><cell r="W4686" t="str"><v>Link Ad</v></cell><cell r="X4686" t="str"><v>1x1</v></cell></row><row r="4686"><cell r="AA4686"><v>43314</v></cell><cell r="AB4686" t="str"><v>USA_gaPMG_AZR_AZR_Q1_19_Direct-Social</v></cell><cell r="AC4686"><v>21358715</v></cell><cell r="AD4686"><v>720197</v></cell><cell r="AE4686" t="str"><v>Facebook</v></cell><cell r="AF4686"><v>3654128</v></cell><cell r="AG4686" t="str"><v>FACEBOOK»USA-Trial-ITD-Interest Prospecting-AZR-AZR»1 x 1»SocialBan»LIA»ALL»CPA»PRO»X»NA»SS»NA»FreeAcctDeveloperFB-AnimatedOpenSource-Ch2»PRC1T1</v></cell><cell r="AH4686"><v>223862885</v></cell><cell r="AI4686" t="str"><v>AZR_FreeAcctDeveloperFB-AnimatedOpenSource-Ch2_USA_1200x1200_CAN_Direct_English_Trial_Standard_ANI_LEA_T2_1</v></cell><cell r="AJ4686"><v>103048329</v></cell></row><row r="4687"><cell r="C4687" t="str"><v>43314FACEBOOK»USA-Trial-ITD-Interest Prospecting-AZR-AZR»1 x 1»SocialBan»LIA»ALL»CPA»PRO»X»NA»SS»NA»FreeAcctITProFB-AnimatedMigration-Ch3»PRC1X2</v></cell><cell r="D4687" t="str"><v>43314224106954</v></cell><cell r="E4687" t="str"><v>43314103176827PRC1X2</v></cell><cell r="F4687" t="str"><v>DCM</v></cell></row><row r="4687"><cell r="K4687" t="str"><v>August</v></cell><cell r="L4687"><v>43316</v></cell><cell r="M4687" t="str"><v>Tier 0</v></cell><cell r="N4687" t="str"><v>North America</v></cell><cell r="O4687" t="str"><v>United States</v></cell><cell r="P4687" t="str"><v>Trial</v></cell><cell r="Q4687" t="str"><v>Social</v></cell><cell r="R4687" t="str"><v>Azure</v></cell><cell r="S4687" t="str"><v>Apps & Infra</v></cell><cell r="T4687" t="str"><v>Developers & ITI's</v></cell><cell r="U4687" t="str"><v>USA-Trial-ITD-Interest Prospecting-AZR-AZR</v></cell><cell r="V4687" t="str"><v>Prospecting</v></cell><cell r="W4687" t="str"><v>Link Ad</v></cell><cell r="X4687" t="str"><v>1x1</v></cell></row><row r="4687"><cell r="AA4687"><v>43314</v></cell><cell r="AB4687" t="str"><v>USA_gaPMG_AZR_AZR_Q1_19_Direct-Social</v></cell><cell r="AC4687"><v>21358715</v></cell><cell r="AD4687"><v>720197</v></cell><cell r="AE4687" t="str"><v>Facebook</v></cell><cell r="AF4687"><v>3654128</v></cell><cell r="AG4687" t="str"><v>FACEBOOK»USA-Trial-ITD-Interest Prospecting-AZR-AZR»1 x 1»SocialBan»LIA»ALL»CPA»PRO»X»NA»SS»NA»FreeAcctITProFB-AnimatedMigration-Ch3»PRC1X2</v></cell><cell r="AH4687"><v>224106954</v></cell><cell r="AI4687" t="str"><v>AZR_FreeAcctITProFB-AnimatedMigration-Ch3_USA_1200x1200_CAN_Direct_English_Trial_Standard_ANI_LEA_T3_1</v></cell><cell r="AJ4687"><v>103176827</v></cell></row><row r="4688"><cell r="C4688" t="str"><v>43314FACEBOOK»USA-Trial-ITD-Retargeting-AZR-AZR»1 x 1»SocialBan»LIA»ALL»CPA»RT»X»NA»SS»NA»FreeAcctDeveloperFB-AnimatedGeneric-Ch1»PRC26D</v></cell><cell r="D4688" t="str"><v>43314223862870</v></cell><cell r="E4688" t="str"><v>43314103176851PRC26D</v></cell><cell r="F4688" t="str"><v>DCM</v></cell><cell r="G4688" t="str"><v>https://azure.microsoft.com/en-us/free/search/?OCID=AID%eexcid!_OLA_%ebuy!_%epid!_%ecid!</v></cell></row><row r="4688"><cell r="K4688" t="str"><v>August</v></cell><cell r="L4688"><v>43316</v></cell><cell r="M4688" t="str"><v>Tier 0</v></cell><cell r="N4688" t="str"><v>North America</v></cell><cell r="O4688" t="str"><v>United States</v></cell><cell r="P4688" t="str"><v>Trial</v></cell><cell r="Q4688" t="str"><v>Social</v></cell><cell r="R4688" t="str"><v>Azure</v></cell><cell r="S4688" t="str"><v>Apps & Infra</v></cell><cell r="T4688" t="str"><v>Developers & ITI's</v></cell><cell r="U4688" t="str"><v>USA-Trial-ITD-Retargeting-AZR-AZR</v></cell><cell r="V4688" t="str"><v>Retargeting</v></cell><cell r="W4688" t="str"><v>Link Ad</v></cell><cell r="X4688" t="str"><v>1x1</v></cell></row><row r="4688"><cell r="AA4688"><v>43314</v></cell><cell r="AB4688" t="str"><v>USA_gaPMG_AZR_AZR_Q1_19_Direct-Social</v></cell><cell r="AC4688"><v>21358715</v></cell><cell r="AD4688"><v>720197</v></cell><cell r="AE4688" t="str"><v>Facebook</v></cell><cell r="AF4688"><v>3654128</v></cell><cell r="AG4688" t="str"><v>FACEBOOK»USA-Trial-ITD-Retargeting-AZR-AZR»1 x 1»SocialBan»LIA»ALL»CPA»RT»X»NA»SS»NA»FreeAcctDeveloperFB-AnimatedGeneric-Ch1»PRC26D</v></cell><cell r="AH4688"><v>223862870</v></cell><cell r="AI4688" t="str"><v>AZR_FreeAcctDeveloperFB-AnimatedGeneric-Ch1_USA_1200x1200_CAN_Direct_English_Trial_Standard_ANI_LEA_T1_2</v></cell><cell r="AJ4688"><v>103176851</v></cell></row><row r="4689"><cell r="C4689" t="str"><v>43314FACEBOOK»USA-Trial-ITD-Retargeting-AZR-AZR»1 x 1»SocialBan»LIA»ALL»CPA»RT»X»NA»SS»NA»FreeAcctRetargetingOSSFB-Logos-ChG»PRC1S2</v></cell><cell r="D4689" t="str"><v>43314224106063</v></cell><cell r="E4689" t="str"><v>43314103176008PRC1S2</v></cell><cell r="F4689" t="str"><v>DCM</v></cell><cell r="G4689" t="str"><v>https://azure.microsoft.com/en-us/free/open-source/search/?OCID=AID%eexcid!_OLA_%ebuy!_%epid!_%ecid!</v></cell></row><row r="4689"><cell r="K4689" t="str"><v>August</v></cell><cell r="L4689"><v>43316</v></cell><cell r="M4689" t="str"><v>Tier 0</v></cell><cell r="N4689" t="str"><v>North America</v></cell><cell r="O4689" t="str"><v>United States</v></cell><cell r="P4689" t="str"><v>Trial</v></cell><cell r="Q4689" t="str"><v>Social</v></cell><cell r="R4689" t="str"><v>Azure</v></cell><cell r="S4689" t="str"><v>Apps & Infra</v></cell><cell r="T4689" t="str"><v>Developers & ITI's</v></cell><cell r="U4689" t="str"><v>USA-Trial-ITD-Retargeting-AZR-AZR</v></cell><cell r="V4689" t="str"><v>Retargeting</v></cell><cell r="W4689" t="str"><v>Link Ad</v></cell><cell r="X4689" t="str"><v>1x1</v></cell></row><row r="4689"><cell r="AA4689"><v>43314</v></cell><cell r="AB4689" t="str"><v>USA_gaPMG_AZR_AZR_Q1_19_Direct-Social</v></cell><cell r="AC4689"><v>21358715</v></cell><cell r="AD4689"><v>720197</v></cell><cell r="AE4689" t="str"><v>Facebook</v></cell><cell r="AF4689"><v>3654128</v></cell><cell r="AG4689" t="str"><v>FACEBOOK»USA-Trial-ITD-Retargeting-AZR-AZR»1 x 1»SocialBan»LIA»ALL»CPA»RT»X»NA»SS»NA»FreeAcctRetargetingOSSFB-Logos-ChG»PRC1S2</v></cell><cell r="AH4689"><v>224106063</v></cell><cell r="AI4689" t="str"><v>AzurePlatform_FreeAcctRetargetingOSSFB-Logos-ChG_USA_1200x628_CAN_PLATFORM_English_Free Account_Standard_NA_SINU_T2_1</v></cell><cell r="AJ4689"><v>103176008</v></cell></row><row r="4690"><cell r="C4690" t="str"><v>43314FACEBOOK»USA-Trial-ITD-Retargeting-AZR-AZR»1 x 1»SocialBan»LIA»ALL»CPA»RT»X»NA»SS»NA»FreeAcctRetargetingOSSFB-Text-ChF»PRC1S1</v></cell><cell r="D4690" t="str"><v>43314223862753</v></cell><cell r="E4690" t="str"><v>43314103176869PRC1S1</v></cell><cell r="F4690" t="str"><v>DCM</v></cell><cell r="G4690" t="str"><v>https://azure.microsoft.com/en-us/free/open-source/search/?OCID=AID%eexcid!_OLA_%ebuy!_%epid!_%ecid!</v></cell></row><row r="4690"><cell r="K4690" t="str"><v>August</v></cell><cell r="L4690"><v>43316</v></cell><cell r="M4690" t="str"><v>Tier 0</v></cell><cell r="N4690" t="str"><v>North America</v></cell><cell r="O4690" t="str"><v>United States</v></cell><cell r="P4690" t="str"><v>Trial</v></cell><cell r="Q4690" t="str"><v>Social</v></cell><cell r="R4690" t="str"><v>Azure</v></cell><cell r="S4690" t="str"><v>Apps & Infra</v></cell><cell r="T4690" t="str"><v>Developers & ITI's</v></cell><cell r="U4690" t="str"><v>USA-Trial-ITD-Retargeting-AZR-AZR</v></cell><cell r="V4690" t="str"><v>Retargeting</v></cell><cell r="W4690" t="str"><v>Link Ad</v></cell><cell r="X4690" t="str"><v>1x1</v></cell></row><row r="4690"><cell r="AA4690"><v>43314</v></cell><cell r="AB4690" t="str"><v>USA_gaPMG_AZR_AZR_Q1_19_Direct-Social</v></cell><cell r="AC4690"><v>21358715</v></cell><cell r="AD4690"><v>720197</v></cell><cell r="AE4690" t="str"><v>Facebook</v></cell><cell r="AF4690"><v>3654128</v></cell><cell r="AG4690" t="str"><v>FACEBOOK»USA-Trial-ITD-Retargeting-AZR-AZR»1 x 1»SocialBan»LIA»ALL»CPA»RT»X»NA»SS»NA»FreeAcctRetargetingOSSFB-Text-ChF»PRC1S1</v></cell><cell r="AH4690"><v>223862753</v></cell><cell r="AI4690" t="str"><v>AzurePlatform_FreeAcctRetargetingOSSFB-Text-ChF_USA_1200x628_CAN_PLATFORM_English_Free Account_Standard_NA_SINU_T1_2</v></cell><cell r="AJ4690"><v>103176869</v></cell></row><row r="4691"><cell r="C4691" t="str"><v>43314FACEBOOK»USA-Trial-ITD-Retargeting-AZR-AZR»1 x 1»SocialBan»CAN»ALL»CPA»RT»X»NA»SS»NA»FBCTCBasicMotion»PRC1RQ</v></cell><cell r="D4691" t="str"><v>43314224106933</v></cell><cell r="E4691" t="str"><v>43314103043823PRC1RQ</v></cell><cell r="F4691" t="str"><v>DCM</v></cell><cell r="G4691" t="str"><v>https://signup.azure.com/?OCID=AID%eexcid!_OLA_%ebuy!_%epid!_%ecid!</v></cell></row><row r="4691"><cell r="K4691" t="str"><v>August</v></cell><cell r="L4691"><v>43316</v></cell><cell r="M4691" t="str"><v>Tier 0</v></cell><cell r="N4691" t="str"><v>North America</v></cell><cell r="O4691" t="str"><v>United States</v></cell><cell r="P4691" t="str"><v>Trial</v></cell><cell r="Q4691" t="str"><v>Social</v></cell><cell r="R4691" t="str"><v>Azure</v></cell><cell r="S4691" t="str"><v>Apps & Infra</v></cell><cell r="T4691" t="str"><v>Developers & ITI's</v></cell><cell r="U4691" t="str"><v>USA-Trial-ITD-Retargeting-AZR-AZR</v></cell><cell r="V4691" t="str"><v>Retargeting</v></cell><cell r="W4691" t="str"><v>Canvas Ad</v></cell><cell r="X4691" t="str"><v>1x1</v></cell></row><row r="4691"><cell r="AA4691"><v>43314</v></cell><cell r="AB4691" t="str"><v>USA_gaPMG_AZR_AZR_Q1_19_Direct-Social</v></cell><cell r="AC4691"><v>21358715</v></cell><cell r="AD4691"><v>720197</v></cell><cell r="AE4691" t="str"><v>Facebook</v></cell><cell r="AF4691"><v>3654128</v></cell><cell r="AG4691" t="str"><v>FACEBOOK»USA-Trial-ITD-Retargeting-AZR-AZR»1 x 1»SocialBan»CAN»ALL»CPA»RT»X»NA»SS»NA»FBCTCBasicMotion»PRC1RQ</v></cell><cell r="AH4691"><v>224106933</v></cell><cell r="AI4691" t="str"><v>AzurePlatform_FBCTCBasicMotion_USA_10s_CAN_PLATFORM_English_Trial_Standard_STAN_TIN_T1_1</v></cell><cell r="AJ4691"><v>103043823</v></cell></row><row r="4692"><cell r="C4692" t="str"><v>43314FACEBOOK»USA-Trial-ITD-Trial Lookalike-AZR-AZR»1 x 1»SocialBan»LIA»ALL»CPA»LAL»X»NA»SS»NA»FreeAcctDeveloperFB-AnimatedGeneric-Ch1»PRC1M4</v></cell><cell r="D4692" t="str"><v>43314224104941</v></cell><cell r="E4692" t="str"><v>43314103176851PRC1M4</v></cell><cell r="F4692" t="str"><v>DCM</v></cell><cell r="G4692" t="str"><v>https://azure.microsoft.com/en-us/free/search/?OCID=AID%eexcid!_OLA_%ebuy!_%epid!_%ecid!</v></cell></row><row r="4692"><cell r="K4692" t="str"><v>August</v></cell><cell r="L4692"><v>43316</v></cell><cell r="M4692" t="str"><v>Tier 0</v></cell><cell r="N4692" t="str"><v>North America</v></cell><cell r="O4692" t="str"><v>United States</v></cell><cell r="P4692" t="str"><v>Trial</v></cell><cell r="Q4692" t="str"><v>Social</v></cell><cell r="R4692" t="str"><v>Azure</v></cell><cell r="S4692" t="str"><v>Apps & Infra</v></cell><cell r="T4692" t="str"><v>Developers & ITI's</v></cell><cell r="U4692" t="str"><v>USA-Trial-ITD-Trial Lookalike-AZR-AZR</v></cell><cell r="V4692" t="str"><v>Lookalike Targeting</v></cell><cell r="W4692" t="str"><v>Link Ad</v></cell><cell r="X4692" t="str"><v>1x1</v></cell></row><row r="4692"><cell r="AA4692"><v>43314</v></cell><cell r="AB4692" t="str"><v>USA_gaPMG_AZR_AZR_Q1_19_Direct-Social</v></cell><cell r="AC4692"><v>21358715</v></cell><cell r="AD4692"><v>720197</v></cell><cell r="AE4692" t="str"><v>Facebook</v></cell><cell r="AF4692"><v>3654128</v></cell><cell r="AG4692" t="str"><v>FACEBOOK»USA-Trial-ITD-Trial Lookalike-AZR-AZR»1 x 1»SocialBan»LIA»ALL»CPA»LAL»X»NA»SS»NA»FreeAcctDeveloperFB-AnimatedGeneric-Ch1»PRC1M4</v></cell><cell r="AH4692"><v>224104941</v></cell><cell r="AI4692" t="str"><v>AZR_FreeAcctDeveloperFB-AnimatedGeneric-Ch1_USA_1200x1200_CAN_Direct_English_Trial_Standard_ANI_LEA_T1_2</v></cell><cell r="AJ4692"><v>103176851</v></cell></row><row r="4693"><cell r="C4693" t="str"><v>43314FACEBOOK»USA-Trial-ITD-Trial Lookalike-AZR-AZR»1 x 1»SocialBan»LIA»ALL»CPA»LAL»X»NA»SS»NA»FreeAcctDeveloperFB-AnimatedGeneric-Ch1»PRC1M5</v></cell><cell r="D4693" t="str"><v>43314223934083</v></cell><cell r="E4693" t="str"><v>43314103176851PRC1M5</v></cell><cell r="F4693" t="str"><v>DCM</v></cell><cell r="G4693" t="str"><v>https://azure.microsoft.com/en-us/free/search/?OCID=AID%eexcid!_OLA_%ebuy!_%epid!_%ecid!</v></cell></row><row r="4693"><cell r="K4693" t="str"><v>August</v></cell><cell r="L4693"><v>43316</v></cell><cell r="M4693" t="str"><v>Tier 0</v></cell><cell r="N4693" t="str"><v>North America</v></cell><cell r="O4693" t="str"><v>United States</v></cell><cell r="P4693" t="str"><v>Trial</v></cell><cell r="Q4693" t="str"><v>Social</v></cell><cell r="R4693" t="str"><v>Azure</v></cell><cell r="S4693" t="str"><v>Apps & Infra</v></cell><cell r="T4693" t="str"><v>Developers & ITI's</v></cell><cell r="U4693" t="str"><v>USA-Trial-ITD-Trial Lookalike-AZR-AZR</v></cell><cell r="V4693" t="str"><v>Lookalike Targeting</v></cell><cell r="W4693" t="str"><v>Link Ad</v></cell><cell r="X4693" t="str"><v>1x1</v></cell></row><row r="4693"><cell r="AA4693"><v>43314</v></cell><cell r="AB4693" t="str"><v>USA_gaPMG_AZR_AZR_Q1_19_Direct-Social</v></cell><cell r="AC4693"><v>21358715</v></cell><cell r="AD4693"><v>720197</v></cell><cell r="AE4693" t="str"><v>Facebook</v></cell><cell r="AF4693"><v>3654128</v></cell><cell r="AG4693" t="str"><v>FACEBOOK»USA-Trial-ITD-Trial Lookalike-AZR-AZR»1 x 1»SocialBan»LIA»ALL»CPA»LAL»X»NA»SS»NA»FreeAcctDeveloperFB-AnimatedGeneric-Ch1»PRC1M5</v></cell><cell r="AH4693"><v>223934083</v></cell><cell r="AI4693" t="str"><v>AZR_FreeAcctDeveloperFB-AnimatedGeneric-Ch1_USA_1200x1200_CAN_Direct_English_Trial_Standard_ANI_LEA_T1_2</v></cell><cell r="AJ4693"><v>103176851</v></cell></row><row r="4694"><cell r="C4694" t="str"><v>43314FACEBOOK»USA-Trial-ITD-Trial Lookalike-AZR-AZR»1 x 1»SocialBan»LIA»ALL»CPA»LAL»X»NA»SS»NA»FreeAcctDeveloperFB-AnimatedOpenSource-Ch2»PRC1M6</v></cell><cell r="D4694" t="str"><v>43314223935628</v></cell><cell r="E4694" t="str"><v>43314103048329PRC1M6</v></cell><cell r="F4694" t="str"><v>DCM</v></cell><cell r="G4694" t="str"><v>https://azure.microsoft.com/en-us/free/open-source/search/?OCID=AID%eexcid!_OLA_%ebuy!_%epid!_%ecid!</v></cell></row><row r="4694"><cell r="K4694" t="str"><v>August</v></cell><cell r="L4694"><v>43316</v></cell><cell r="M4694" t="str"><v>Tier 0</v></cell><cell r="N4694" t="str"><v>North America</v></cell><cell r="O4694" t="str"><v>United States</v></cell><cell r="P4694" t="str"><v>Trial</v></cell><cell r="Q4694" t="str"><v>Social</v></cell><cell r="R4694" t="str"><v>Azure</v></cell><cell r="S4694" t="str"><v>Apps & Infra</v></cell><cell r="T4694" t="str"><v>Developers & ITI's</v></cell><cell r="U4694" t="str"><v>USA-Trial-ITD-Trial Lookalike-AZR-AZR</v></cell><cell r="V4694" t="str"><v>Lookalike Targeting</v></cell><cell r="W4694" t="str"><v>Link Ad</v></cell><cell r="X4694" t="str"><v>1x1</v></cell></row><row r="4694"><cell r="AA4694"><v>43314</v></cell><cell r="AB4694" t="str"><v>USA_gaPMG_AZR_AZR_Q1_19_Direct-Social</v></cell><cell r="AC4694"><v>21358715</v></cell><cell r="AD4694"><v>720197</v></cell><cell r="AE4694" t="str"><v>Facebook</v></cell><cell r="AF4694"><v>3654128</v></cell><cell r="AG4694" t="str"><v>FACEBOOK»USA-Trial-ITD-Trial Lookalike-AZR-AZR»1 x 1»SocialBan»LIA»ALL»CPA»LAL»X»NA»SS»NA»FreeAcctDeveloperFB-AnimatedOpenSource-Ch2»PRC1M6</v></cell><cell r="AH4694"><v>223935628</v></cell><cell r="AI4694" t="str"><v>AZR_FreeAcctDeveloperFB-AnimatedOpenSource-Ch2_USA_1200x1200_CAN_Direct_English_Trial_Standard_ANI_LEA_T2_1</v></cell><cell r="AJ4694"><v>103048329</v></cell></row><row r="4695"><cell r="C4695" t="str"><v>43314FACEBOOK»USA-Trial-ITD-Trial Lookalike-AZR-AZR»1 x 1»SocialBan»LIA»ALL»CPA»LAL»X»NA»SS»NA»FreeAcctITProFB-AnimatedMigration-Ch3»PRC23N</v></cell><cell r="D4695" t="str"><v>43314223935637</v></cell><cell r="E4695" t="str"><v>43314103176827PRC23N</v></cell><cell r="F4695" t="str"><v>DCM</v></cell></row><row r="4695"><cell r="K4695" t="str"><v>August</v></cell><cell r="L4695"><v>43316</v></cell><cell r="M4695" t="str"><v>Tier 0</v></cell><cell r="N4695" t="str"><v>North America</v></cell><cell r="O4695" t="str"><v>United States</v></cell><cell r="P4695" t="str"><v>Trial</v></cell><cell r="Q4695" t="str"><v>Social</v></cell><cell r="R4695" t="str"><v>Azure</v></cell><cell r="S4695" t="str"><v>Apps & Infra</v></cell><cell r="T4695" t="str"><v>Developers & ITI's</v></cell><cell r="U4695" t="str"><v>USA-Trial-ITD-Trial Lookalike-AZR-AZR</v></cell><cell r="V4695" t="str"><v>Lookalike Targeting</v></cell><cell r="W4695" t="str"><v>Link Ad</v></cell><cell r="X4695" t="str"><v>1x1</v></cell></row><row r="4695"><cell r="AA4695"><v>43314</v></cell><cell r="AB4695" t="str"><v>USA_gaPMG_AZR_AZR_Q1_19_Direct-Social</v></cell><cell r="AC4695"><v>21358715</v></cell><cell r="AD4695"><v>720197</v></cell><cell r="AE4695" t="str"><v>Facebook</v></cell><cell r="AF4695"><v>3654128</v></cell><cell r="AG4695" t="str"><v>FACEBOOK»USA-Trial-ITD-Trial Lookalike-AZR-AZR»1 x 1»SocialBan»LIA»ALL»CPA»LAL»X»NA»SS»NA»FreeAcctITProFB-AnimatedMigration-Ch3»PRC23N</v></cell><cell r="AH4695"><v>223935637</v></cell><cell r="AI4695" t="str"><v>AZR_FreeAcctITProFB-AnimatedMigration-Ch3_USA_1200x1200_CAN_Direct_English_Trial_Standard_ANI_LEA_T3_1</v></cell><cell r="AJ4695"><v>103176827</v></cell></row><row r="4696"><cell r="C4696" t="str"><v>43314FACEBOOK»USA-Trial-ITD-Trial Lookalike-AZR-AZR»1 x 1»SocialBan»LIA»ALL»CPA»LAL»X»NA»SS»NA»FreeAcctITProFB-AnimatedSecureMngd-Ch1»PRC1M9</v></cell><cell r="D4696" t="str"><v>43314224104959</v></cell><cell r="E4696" t="str"><v>43314103176830PRC1M9</v></cell><cell r="F4696" t="str"><v>DCM</v></cell></row><row r="4696"><cell r="K4696" t="str"><v>August</v></cell><cell r="L4696"><v>43316</v></cell><cell r="M4696" t="str"><v>Tier 0</v></cell><cell r="N4696" t="str"><v>North America</v></cell><cell r="O4696" t="str"><v>United States</v></cell><cell r="P4696" t="str"><v>Trial</v></cell><cell r="Q4696" t="str"><v>Social</v></cell><cell r="R4696" t="str"><v>Azure</v></cell><cell r="S4696" t="str"><v>Apps & Infra</v></cell><cell r="T4696" t="str"><v>Developers & ITI's</v></cell><cell r="U4696" t="str"><v>USA-Trial-ITD-Trial Lookalike-AZR-AZR</v></cell><cell r="V4696" t="str"><v>Lookalike Targeting</v></cell><cell r="W4696" t="str"><v>Link Ad</v></cell><cell r="X4696" t="str"><v>1x1</v></cell></row><row r="4696"><cell r="AA4696"><v>43314</v></cell><cell r="AB4696" t="str"><v>USA_gaPMG_AZR_AZR_Q1_19_Direct-Social</v></cell><cell r="AC4696"><v>21358715</v></cell><cell r="AD4696"><v>720197</v></cell><cell r="AE4696" t="str"><v>Facebook</v></cell><cell r="AF4696"><v>3654128</v></cell><cell r="AG4696" t="str"><v>FACEBOOK»USA-Trial-ITD-Trial Lookalike-AZR-AZR»1 x 1»SocialBan»LIA»ALL»CPA»LAL»X»NA»SS»NA»FreeAcctITProFB-AnimatedSecureMngd-Ch1»PRC1M9</v></cell><cell r="AH4696"><v>224104959</v></cell><cell r="AI4696" t="str"><v>AZR_FreeAcctITProFB-AnimatedSecureMngd-Ch1_USA_1200x1200_CAN_Direct_English_Trial_Standard_ANI_LEA_T1_1</v></cell><cell r="AJ4696"><v>103176830</v></cell></row><row r="4697"><cell r="C4697" t="str"><v>43314FACEBOOK»USA-Trial-ITD-Trial Lookalike-AZR-AZR»1 x 1»SocialBan»CAN»ALL»CPA»LAL»X»NA»SS»NA»FBCTCBasicMotion»PRC1LZ</v></cell><cell r="D4697" t="str"><v>43314223862915</v></cell><cell r="E4697" t="str"><v>43314103043823PRC1LZ</v></cell><cell r="F4697" t="str"><v>DCM</v></cell><cell r="G4697" t="str"><v>https://signup.azure.com/?OCID=AID%eexcid!_OLA_%ebuy!_%epid!_%ecid!</v></cell></row><row r="4697"><cell r="K4697" t="str"><v>August</v></cell><cell r="L4697"><v>43316</v></cell><cell r="M4697" t="str"><v>Tier 0</v></cell><cell r="N4697" t="str"><v>North America</v></cell><cell r="O4697" t="str"><v>United States</v></cell><cell r="P4697" t="str"><v>Trial</v></cell><cell r="Q4697" t="str"><v>Social</v></cell><cell r="R4697" t="str"><v>Azure</v></cell><cell r="S4697" t="str"><v>Apps & Infra</v></cell><cell r="T4697" t="str"><v>Developers & ITI's</v></cell><cell r="U4697" t="str"><v>USA-Trial-ITD-Trial Lookalike-AZR-AZR</v></cell><cell r="V4697" t="str"><v>Lookalike Targeting</v></cell><cell r="W4697" t="str"><v>Canvas Ad</v></cell><cell r="X4697" t="str"><v>1x1</v></cell></row><row r="4697"><cell r="AA4697"><v>43314</v></cell><cell r="AB4697" t="str"><v>USA_gaPMG_AZR_AZR_Q1_19_Direct-Social</v></cell><cell r="AC4697"><v>21358715</v></cell><cell r="AD4697"><v>720197</v></cell><cell r="AE4697" t="str"><v>Facebook</v></cell><cell r="AF4697"><v>3654128</v></cell><cell r="AG4697" t="str"><v>FACEBOOK»USA-Trial-ITD-Trial Lookalike-AZR-AZR»1 x 1»SocialBan»CAN»ALL»CPA»LAL»X»NA»SS»NA»FBCTCBasicMotion»PRC1LZ</v></cell><cell r="AH4697"><v>223862915</v></cell><cell r="AI4697" t="str"><v>AzurePlatform_FBCTCBasicMotion_USA_10s_CAN_PLATFORM_English_Trial_Standard_STAN_TIN_T1_1</v></cell><cell r="AJ4697"><v>103043823</v></cell></row><row r="4698"><cell r="C4698" t="str"><v>43314FACEBOOK»USA-Trial-ITD-Trial PayGo Lookalike-AZR-AZR»1 x 1»SocialBan»CAN»ALL»CPA»LAL»X»NA»SS»NA»FBCTCBasicMotion»PRC1Q0</v></cell><cell r="D4698" t="str"><v>43314223935664</v></cell><cell r="E4698" t="str"><v>43314103043823PRC1Q0</v></cell><cell r="F4698" t="str"><v>DCM</v></cell><cell r="G4698" t="str"><v>https://signup.azure.com/?OCID=AID%eexcid!_OLA_%ebuy!_%epid!_%ecid!</v></cell></row><row r="4698"><cell r="K4698" t="str"><v>August</v></cell><cell r="L4698"><v>43316</v></cell><cell r="M4698" t="str"><v>Tier 0</v></cell><cell r="N4698" t="str"><v>North America</v></cell><cell r="O4698" t="str"><v>United States</v></cell><cell r="P4698" t="str"><v>Trial</v></cell><cell r="Q4698" t="str"><v>Social</v></cell><cell r="R4698" t="str"><v>Azure</v></cell><cell r="S4698" t="str"><v>Apps & Infra</v></cell><cell r="T4698" t="str"><v>Developers & ITI's</v></cell><cell r="U4698" t="str"><v>USA-Trial-ITD-Trial PayGo Lookalike-AZR-AZR</v></cell><cell r="V4698" t="str"><v>Lookalike Targeting</v></cell><cell r="W4698" t="str"><v>Canvas Ad</v></cell><cell r="X4698" t="str"><v>1x1</v></cell></row><row r="4698"><cell r="AA4698"><v>43314</v></cell><cell r="AB4698" t="str"><v>USA_gaPMG_AZR_AZR_Q1_19_Direct-Social</v></cell><cell r="AC4698"><v>21358715</v></cell><cell r="AD4698"><v>720197</v></cell><cell r="AE4698" t="str"><v>Facebook</v></cell><cell r="AF4698"><v>3654128</v></cell><cell r="AG4698" t="str"><v>FACEBOOK»USA-Trial-ITD-Trial PayGo Lookalike-AZR-AZR»1 x 1»SocialBan»CAN»ALL»CPA»LAL»X»NA»SS»NA»FBCTCBasicMotion»PRC1Q0</v></cell><cell r="AH4698"><v>223935664</v></cell><cell r="AI4698" t="str"><v>AzurePlatform_FBCTCBasicMotion_USA_10s_CAN_PLATFORM_English_Trial_Standard_STAN_TIN_T1_1</v></cell><cell r="AJ4698"><v>103043823</v></cell></row><row r="4699"><cell r="C4699" t="str"><v>43314FACEBOOK»USA-Trial-ITD-Trial PayGo Lookalike-AZR-AZR»1 x 1»SocialBan»CAN»ALL»CPA»LAL»X»NA»SS»NA»FBCTCBasicMotion»PRC1Q0</v></cell><cell r="D4699" t="str"><v>43314223935664</v></cell><cell r="E4699" t="str"><v>43314103175984PRC1Q0</v></cell><cell r="F4699" t="str"><v>DCM</v></cell><cell r="G4699" t="str"><v>https://azure.microsoft.com/en-us/pricing/purchase-options/?v=18.19&OCID=AID%eexcid!_OLA_%ebuy!_%epid!_%ecid!</v></cell></row><row r="4699"><cell r="K4699" t="str"><v>August</v></cell><cell r="L4699"><v>43316</v></cell><cell r="M4699" t="str"><v>Tier 0</v></cell><cell r="N4699" t="str"><v>North America</v></cell><cell r="O4699" t="str"><v>United States</v></cell><cell r="P4699" t="str"><v>Trial</v></cell><cell r="Q4699" t="str"><v>Social</v></cell><cell r="R4699" t="str"><v>Azure</v></cell><cell r="S4699" t="str"><v>Apps & Infra</v></cell><cell r="T4699" t="str"><v>Developers & ITI's</v></cell><cell r="U4699" t="str"><v>USA-Trial-ITD-Trial PayGo Lookalike-AZR-AZR</v></cell><cell r="V4699" t="str"><v>Lookalike Targeting</v></cell><cell r="W4699" t="str"><v>Canvas Ad</v></cell><cell r="X4699" t="str"><v>1x1</v></cell></row><row r="4699"><cell r="AA4699"><v>43314</v></cell><cell r="AB4699" t="str"><v>USA_gaPMG_AZR_AZR_Q1_19_Direct-Social</v></cell><cell r="AC4699"><v>21358715</v></cell><cell r="AD4699"><v>720197</v></cell><cell r="AE4699" t="str"><v>Facebook</v></cell><cell r="AF4699"><v>3654128</v></cell><cell r="AG4699" t="str"><v>FACEBOOK»USA-Trial-ITD-Trial PayGo Lookalike-AZR-AZR»1 x 1»SocialBan»CAN»ALL»CPA»LAL»X»NA»SS»NA»FBCTCBasicMotion»PRC1Q0</v></cell><cell r="AH4699"><v>223935664</v></cell><cell r="AI4699" t="str"><v>AzurePlatform_FBCTCBasicMotion_USA_10s_CAN_PLATFORM_English_Trial_Standard_STAN_TIN_T1_2</v></cell><cell r="AJ4699"><v>103175984</v></cell></row><row r="4700"><cell r="C4700" t="str"><v>43314FACEBOOK»USA-Trial-ITD-Trial PayGo Lookalike-AZR-AZR»1 x 1»SocialBan»LIA»ALL»CPA»LAL»X»NA»SS»NA»FreeAcctDeveloperFB-AnimatedAI-Ch3»PRC1Q8</v></cell><cell r="D4700" t="str"><v>43314224104983</v></cell><cell r="E4700" t="str"><v>43314103032778PRC1Q8</v></cell><cell r="F4700" t="str"><v>DCM</v></cell></row><row r="4700"><cell r="K4700" t="str"><v>August</v></cell><cell r="L4700"><v>43316</v></cell><cell r="M4700" t="str"><v>Tier 0</v></cell><cell r="N4700" t="str"><v>North America</v></cell><cell r="O4700" t="str"><v>United States</v></cell><cell r="P4700" t="str"><v>Trial</v></cell><cell r="Q4700" t="str"><v>Social</v></cell><cell r="R4700" t="str"><v>Azure</v></cell><cell r="S4700" t="str"><v>Apps & Infra</v></cell><cell r="T4700" t="str"><v>Developers & ITI's</v></cell><cell r="U4700" t="str"><v>USA-Trial-ITD-Trial PayGo Lookalike-AZR-AZR</v></cell><cell r="V4700" t="str"><v>Lookalike Targeting</v></cell><cell r="W4700" t="str"><v>Link Ad</v></cell><cell r="X4700" t="str"><v>1x1</v></cell></row><row r="4700"><cell r="AA4700"><v>43314</v></cell><cell r="AB4700" t="str"><v>USA_gaPMG_AZR_AZR_Q1_19_Direct-Social</v></cell><cell r="AC4700"><v>21358715</v></cell><cell r="AD4700"><v>720197</v></cell><cell r="AE4700" t="str"><v>Facebook</v></cell><cell r="AF4700"><v>3654128</v></cell><cell r="AG4700" t="str"><v>FACEBOOK»USA-Trial-ITD-Trial PayGo Lookalike-AZR-AZR»1 x 1»SocialBan»LIA»ALL»CPA»LAL»X»NA»SS»NA»FreeAcctDeveloperFB-AnimatedAI-Ch3»PRC1Q8</v></cell><cell r="AH4700"><v>224104983</v></cell><cell r="AI4700" t="str"><v>AZR_FreeAcctDeveloperFB-AnimatedAI-Ch3_USA_1200x1200_CAN_Direct_English_Trial_Standard_ANI_LEA_T3_1</v></cell><cell r="AJ4700"><v>103032778</v></cell></row><row r="4701"><cell r="C4701" t="str"><v>43314FACEBOOK»USA-Trial-ITD-Trial PayGo Lookalike-AZR-AZR»1 x 1»SocialBan»LIA»ALL»CPA»LAL»X»NA»SS»NA»FreeAcctDeveloperFB-AnimatedData-Ch4»PRC1Q9</v></cell><cell r="D4701" t="str"><v>43314224106990</v></cell><cell r="E4701" t="str"><v>43314103037935PRC1Q9</v></cell><cell r="F4701" t="str"><v>DCM</v></cell></row><row r="4701"><cell r="K4701" t="str"><v>August</v></cell><cell r="L4701"><v>43316</v></cell><cell r="M4701" t="str"><v>Tier 0</v></cell><cell r="N4701" t="str"><v>North America</v></cell><cell r="O4701" t="str"><v>United States</v></cell><cell r="P4701" t="str"><v>Trial</v></cell><cell r="Q4701" t="str"><v>Social</v></cell><cell r="R4701" t="str"><v>Azure</v></cell><cell r="S4701" t="str"><v>Apps & Infra</v></cell><cell r="T4701" t="str"><v>Developers & ITI's</v></cell><cell r="U4701" t="str"><v>USA-Trial-ITD-Trial PayGo Lookalike-AZR-AZR</v></cell><cell r="V4701" t="str"><v>Lookalike Targeting</v></cell><cell r="W4701" t="str"><v>Link Ad</v></cell><cell r="X4701" t="str"><v>1x1</v></cell></row><row r="4701"><cell r="AA4701"><v>43314</v></cell><cell r="AB4701" t="str"><v>USA_gaPMG_AZR_AZR_Q1_19_Direct-Social</v></cell><cell r="AC4701"><v>21358715</v></cell><cell r="AD4701"><v>720197</v></cell><cell r="AE4701" t="str"><v>Facebook</v></cell><cell r="AF4701"><v>3654128</v></cell><cell r="AG4701" t="str"><v>FACEBOOK»USA-Trial-ITD-Trial PayGo Lookalike-AZR-AZR»1 x 1»SocialBan»LIA»ALL»CPA»LAL»X»NA»SS»NA»FreeAcctDeveloperFB-AnimatedData-Ch4»PRC1Q9</v></cell><cell r="AH4701"><v>224106990</v></cell><cell r="AI4701" t="str"><v>AZR_FreeAcctDeveloperFB-AnimatedData-Ch4_USA_1200x1200_CAN_Direct_English_Trial_Standard_ANI_LEA_T4_2</v></cell><cell r="AJ4701"><v>103037935</v></cell></row><row r="4702"><cell r="C4702" t="str"><v>43314FACEBOOK»USA-Trial-ITD-Trial PayGo Lookalike-AZR-AZR»1 x 1»SocialBan»LIA»ALL»CPA»LAL»X»NA»SS»NA»FreeAcctDeveloperFB-AnimatedGeneric-Ch1»PRC1Q5</v></cell><cell r="D4702" t="str"><v>43314224104092</v></cell><cell r="E4702" t="str"><v>43314103176851PRC1Q5</v></cell><cell r="F4702" t="str"><v>DCM</v></cell><cell r="G4702" t="str"><v>https://azure.microsoft.com/en-us/free/search/?OCID=AID%eexcid!_OLA_%ebuy!_%epid!_%ecid!</v></cell></row><row r="4702"><cell r="K4702" t="str"><v>August</v></cell><cell r="L4702"><v>43316</v></cell><cell r="M4702" t="str"><v>Tier 0</v></cell><cell r="N4702" t="str"><v>North America</v></cell><cell r="O4702" t="str"><v>United States</v></cell><cell r="P4702" t="str"><v>Trial</v></cell><cell r="Q4702" t="str"><v>Social</v></cell><cell r="R4702" t="str"><v>Azure</v></cell><cell r="S4702" t="str"><v>Apps & Infra</v></cell><cell r="T4702" t="str"><v>Developers & ITI's</v></cell><cell r="U4702" t="str"><v>USA-Trial-ITD-Trial PayGo Lookalike-AZR-AZR</v></cell><cell r="V4702" t="str"><v>Lookalike Targeting</v></cell><cell r="W4702" t="str"><v>Link Ad</v></cell><cell r="X4702" t="str"><v>1x1</v></cell></row><row r="4702"><cell r="AA4702"><v>43314</v></cell><cell r="AB4702" t="str"><v>USA_gaPMG_AZR_AZR_Q1_19_Direct-Social</v></cell><cell r="AC4702"><v>21358715</v></cell><cell r="AD4702"><v>720197</v></cell><cell r="AE4702" t="str"><v>Facebook</v></cell><cell r="AF4702"><v>3654128</v></cell><cell r="AG4702" t="str"><v>FACEBOOK»USA-Trial-ITD-Trial PayGo Lookalike-AZR-AZR»1 x 1»SocialBan»LIA»ALL»CPA»LAL»X»NA»SS»NA»FreeAcctDeveloperFB-AnimatedGeneric-Ch1»PRC1Q5</v></cell><cell r="AH4702"><v>224104092</v></cell><cell r="AI4702" t="str"><v>AZR_FreeAcctDeveloperFB-AnimatedGeneric-Ch1_USA_1200x1200_CAN_Direct_English_Trial_Standard_ANI_LEA_T1_2</v></cell><cell r="AJ4702"><v>103176851</v></cell></row><row r="4703"><cell r="C4703" t="str"><v>43314FACEBOOK»USA-Trial-ITD-Trial PayGo Lookalike-AZR-AZR»1 x 1»SocialBan»LIA»ALL»CPA»LAL»X»NA»SS»NA»FreeAcctDeveloperFB-AnimatedOpenSource-Ch2»PRC1Q7</v></cell><cell r="D4703" t="str"><v>43314223862951</v></cell><cell r="E4703" t="str"><v>43314103048329PRC1Q7</v></cell><cell r="F4703" t="str"><v>DCM</v></cell><cell r="G4703" t="str"><v>https://azure.microsoft.com/en-us/free/open-source/search/?OCID=AID%eexcid!_OLA_%ebuy!_%epid!_%ecid!</v></cell></row><row r="4703"><cell r="K4703" t="str"><v>August</v></cell><cell r="L4703"><v>43316</v></cell><cell r="M4703" t="str"><v>Tier 0</v></cell><cell r="N4703" t="str"><v>North America</v></cell><cell r="O4703" t="str"><v>United States</v></cell><cell r="P4703" t="str"><v>Trial</v></cell><cell r="Q4703" t="str"><v>Social</v></cell><cell r="R4703" t="str"><v>Azure</v></cell><cell r="S4703" t="str"><v>Apps & Infra</v></cell><cell r="T4703" t="str"><v>Developers & ITI's</v></cell><cell r="U4703" t="str"><v>USA-Trial-ITD-Trial PayGo Lookalike-AZR-AZR</v></cell><cell r="V4703" t="str"><v>Lookalike Targeting</v></cell><cell r="W4703" t="str"><v>Link Ad</v></cell><cell r="X4703" t="str"><v>1x1</v></cell></row><row r="4703"><cell r="AA4703"><v>43314</v></cell><cell r="AB4703" t="str"><v>USA_gaPMG_AZR_AZR_Q1_19_Direct-Social</v></cell><cell r="AC4703"><v>21358715</v></cell><cell r="AD4703"><v>720197</v></cell><cell r="AE4703" t="str"><v>Facebook</v></cell><cell r="AF4703"><v>3654128</v></cell><cell r="AG4703" t="str"><v>FACEBOOK»USA-Trial-ITD-Trial PayGo Lookalike-AZR-AZR»1 x 1»SocialBan»LIA»ALL»CPA»LAL»X»NA»SS»NA»FreeAcctDeveloperFB-AnimatedOpenSource-Ch2»PRC1Q7</v></cell><cell r="AH4703"><v>223862951</v></cell><cell r="AI4703" t="str"><v>AZR_FreeAcctDeveloperFB-AnimatedOpenSource-Ch2_USA_1200x1200_CAN_Direct_English_Trial_Standard_ANI_LEA_T2_1</v></cell><cell r="AJ4703"><v>103048329</v></cell></row><row r="4704"><cell r="C4704" t="str"><v>43314FACEBOOK»USA-Trial-ITD-Trial PayGo Lookalike-AZR-AZR»1 x 1»SocialBan»LIA»ALL»CPA»LAL»X»NA»SS»NA»FreeAcctITProFB-AnimatedHybrid-Ch2»PRC1QC</v></cell><cell r="D4704" t="str"><v>43314223933186</v></cell><cell r="E4704" t="str"><v>43314103180583PRC1QC</v></cell><cell r="F4704" t="str"><v>DCM</v></cell></row><row r="4704"><cell r="K4704" t="str"><v>August</v></cell><cell r="L4704"><v>43316</v></cell><cell r="M4704" t="str"><v>Tier 0</v></cell><cell r="N4704" t="str"><v>North America</v></cell><cell r="O4704" t="str"><v>United States</v></cell><cell r="P4704" t="str"><v>Trial</v></cell><cell r="Q4704" t="str"><v>Social</v></cell><cell r="R4704" t="str"><v>Azure</v></cell><cell r="S4704" t="str"><v>Apps & Infra</v></cell><cell r="T4704" t="str"><v>Developers & ITI's</v></cell><cell r="U4704" t="str"><v>USA-Trial-ITD-Trial PayGo Lookalike-AZR-AZR</v></cell><cell r="V4704" t="str"><v>Lookalike Targeting</v></cell><cell r="W4704" t="str"><v>Link Ad</v></cell><cell r="X4704" t="str"><v>1x1</v></cell></row><row r="4704"><cell r="AA4704"><v>43314</v></cell><cell r="AB4704" t="str"><v>USA_gaPMG_AZR_AZR_Q1_19_Direct-Social</v></cell><cell r="AC4704"><v>21358715</v></cell><cell r="AD4704"><v>720197</v></cell><cell r="AE4704" t="str"><v>Facebook</v></cell><cell r="AF4704"><v>3654128</v></cell><cell r="AG4704" t="str"><v>FACEBOOK»USA-Trial-ITD-Trial PayGo Lookalike-AZR-AZR»1 x 1»SocialBan»LIA»ALL»CPA»LAL»X»NA»SS»NA»FreeAcctITProFB-AnimatedHybrid-Ch2»PRC1QC</v></cell><cell r="AH4704"><v>223933186</v></cell><cell r="AI4704" t="str"><v>AZR_FreeAcctITProFB-AnimatedHybrid-Ch2_USA_1200x1200_CAN_Direct_English_Trial_Standard_ANI_LEA_T2_2</v></cell><cell r="AJ4704"><v>103180583</v></cell></row><row r="4705"><cell r="C4705" t="str"><v>43314FACEBOOK»USA-Trial-ITD-Trial PayGo Lookalike-AZR-AZR»1 x 1»SocialBan»LIA»ALL»CPA»LAL»X»NA»SS»NA»FreeAcctITProFB-AnimatedMigration-Ch3»PRC23Y</v></cell><cell r="D4705" t="str"><v>43314224105904</v></cell><cell r="E4705" t="str"><v>43314103176827PRC23Y</v></cell><cell r="F4705" t="str"><v>DCM</v></cell></row><row r="4705"><cell r="K4705" t="str"><v>August</v></cell><cell r="L4705"><v>43316</v></cell><cell r="M4705" t="str"><v>Tier 0</v></cell><cell r="N4705" t="str"><v>North America</v></cell><cell r="O4705" t="str"><v>United States</v></cell><cell r="P4705" t="str"><v>Trial</v></cell><cell r="Q4705" t="str"><v>Social</v></cell><cell r="R4705" t="str"><v>Azure</v></cell><cell r="S4705" t="str"><v>Apps & Infra</v></cell><cell r="T4705" t="str"><v>Developers & ITI's</v></cell><cell r="U4705" t="str"><v>USA-Trial-ITD-Trial PayGo Lookalike-AZR-AZR</v></cell><cell r="V4705" t="str"><v>Lookalike Targeting</v></cell><cell r="W4705" t="str"><v>Link Ad</v></cell><cell r="X4705" t="str"><v>1x1</v></cell></row><row r="4705"><cell r="AA4705"><v>43314</v></cell><cell r="AB4705" t="str"><v>USA_gaPMG_AZR_AZR_Q1_19_Direct-Social</v></cell><cell r="AC4705"><v>21358715</v></cell><cell r="AD4705"><v>720197</v></cell><cell r="AE4705" t="str"><v>Facebook</v></cell><cell r="AF4705"><v>3654128</v></cell><cell r="AG4705" t="str"><v>FACEBOOK»USA-Trial-ITD-Trial PayGo Lookalike-AZR-AZR»1 x 1»SocialBan»LIA»ALL»CPA»LAL»X»NA»SS»NA»FreeAcctITProFB-AnimatedMigration-Ch3»PRC23Y</v></cell><cell r="AH4705"><v>224105904</v></cell><cell r="AI4705" t="str"><v>AZR_FreeAcctITProFB-AnimatedMigration-Ch3_USA_1200x1200_CAN_Direct_English_Trial_Standard_ANI_LEA_T3_1</v></cell><cell r="AJ4705"><v>103176827</v></cell></row><row r="4706"><cell r="C4706" t="str"><v>43314FACEBOOK»USA-Trial-ITD-Trial PayGo Lookalike-AZR-AZR»1 x 1»SocialBan»LIA»ALL»CPA»LAL»X»NA»SS»NA»FreeAcctITProFB-AnimatedSecureMngd-Ch1»PRC1QB</v></cell><cell r="D4706" t="str"><v>43314223862945</v></cell><cell r="E4706" t="str"><v>43314103176830PRC1QB</v></cell><cell r="F4706" t="str"><v>DCM</v></cell></row><row r="4706"><cell r="K4706" t="str"><v>August</v></cell><cell r="L4706"><v>43316</v></cell><cell r="M4706" t="str"><v>Tier 0</v></cell><cell r="N4706" t="str"><v>North America</v></cell><cell r="O4706" t="str"><v>United States</v></cell><cell r="P4706" t="str"><v>Trial</v></cell><cell r="Q4706" t="str"><v>Social</v></cell><cell r="R4706" t="str"><v>Azure</v></cell><cell r="S4706" t="str"><v>Apps & Infra</v></cell><cell r="T4706" t="str"><v>Developers & ITI's</v></cell><cell r="U4706" t="str"><v>USA-Trial-ITD-Trial PayGo Lookalike-AZR-AZR</v></cell><cell r="V4706" t="str"><v>Lookalike Targeting</v></cell><cell r="W4706" t="str"><v>Link Ad</v></cell><cell r="X4706" t="str"><v>1x1</v></cell></row><row r="4706"><cell r="AA4706"><v>43314</v></cell><cell r="AB4706" t="str"><v>USA_gaPMG_AZR_AZR_Q1_19_Direct-Social</v></cell><cell r="AC4706"><v>21358715</v></cell><cell r="AD4706"><v>720197</v></cell><cell r="AE4706" t="str"><v>Facebook</v></cell><cell r="AF4706"><v>3654128</v></cell><cell r="AG4706" t="str"><v>FACEBOOK»USA-Trial-ITD-Trial PayGo Lookalike-AZR-AZR»1 x 1»SocialBan»LIA»ALL»CPA»LAL»X»NA»SS»NA»FreeAcctITProFB-AnimatedSecureMngd-Ch1»PRC1QB</v></cell><cell r="AH4706"><v>223862945</v></cell><cell r="AI4706" t="str"><v>AZR_FreeAcctITProFB-AnimatedSecureMngd-Ch1_USA_1200x1200_CAN_Direct_English_Trial_Standard_ANI_LEA_T1_1</v></cell><cell r="AJ4706"><v>103176830</v></cell></row><row r="4707"><cell r="C4707" t="str"><v>43314INSTAGRAM»USA-Trial-ITD-Interest Prospecting-AZR-AZR»1 x 1»SocialBan»CAN»ALL»CPA»PRO»X»NA»SS»NA»IGCTCBrandinMotion»PRC2PB</v></cell><cell r="D4707" t="str"><v>43314223862690</v></cell><cell r="E4707" t="str"><v>43314103050783PRC2PB</v></cell><cell r="F4707" t="str"><v>DCM</v></cell><cell r="G4707" t="str"><v>https://signup.azure.com/?OCID=AID%eexcid!_OLA_%ebuy!_%epid!_%ecid!</v></cell></row><row r="4707"><cell r="K4707" t="str"><v>August</v></cell><cell r="L4707"><v>43316</v></cell><cell r="M4707" t="str"><v>Tier 0</v></cell><cell r="N4707" t="str"><v>North America</v></cell><cell r="O4707" t="str"><v>United States</v></cell><cell r="P4707" t="str"><v>Trial</v></cell><cell r="Q4707" t="str"><v>Social</v></cell><cell r="R4707" t="str"><v>Azure</v></cell><cell r="S4707" t="str"><v>Apps & Infra</v></cell><cell r="T4707" t="str"><v>Developers & ITI's</v></cell><cell r="U4707" t="str"><v>USA-Trial-ITD-Interest Prospecting-AZR-AZR</v></cell><cell r="V4707" t="str"><v>Prospecting</v></cell><cell r="W4707" t="str"><v>Canvas Ad</v></cell><cell r="X4707" t="str"><v>1x1</v></cell></row><row r="4707"><cell r="AA4707"><v>43314</v></cell><cell r="AB4707" t="str"><v>USA_gaPMG_AZR_AZR_Q1_19_Direct-Social</v></cell><cell r="AC4707"><v>21358715</v></cell><cell r="AD4707"><v>720197</v></cell><cell r="AE4707" t="str"><v>Facebook - Instagram</v></cell><cell r="AF4707"><v>3654128</v></cell><cell r="AG4707" t="str"><v>INSTAGRAM»USA-Trial-ITD-Interest Prospecting-AZR-AZR»1 x 1»SocialBan»CAN»ALL»CPA»PRO»X»NA»SS»NA»IGCTCBrandinMotion»PRC2PB</v></cell><cell r="AH4707"><v>223862690</v></cell><cell r="AI4707" t="str"><v>AzurePlatform_IGCTCBenefit2inMotion_USA_10s_CAN_PLATFORM_English_Trial_Standard_STAN_TIN_T4_1</v></cell><cell r="AJ4707"><v>103050783</v></cell></row><row r="4708"><cell r="C4708" t="str"><v>43314INSTAGRAM»USA-Trial-ITD-Retargeting-AZR-AZR»1 x 1»SocialBan»CAN»ALL»CPA»RT»X»NA»SS»NA»IGCTCBrandinMotion»PRC2G3</v></cell><cell r="D4708" t="str"><v>43314224107014</v></cell><cell r="E4708" t="str"><v>43314103178714PRC2G3</v></cell><cell r="F4708" t="str"><v>DCM</v></cell><cell r="G4708" t="str"><v>https://azure.microsoft.com/en-us/pricing/purchase-options/?v=18.19&OCID=AID%eexcid!_OLA_%ebuy!_%epid!_%ecid!</v></cell></row><row r="4708"><cell r="K4708" t="str"><v>August</v></cell><cell r="L4708"><v>43316</v></cell><cell r="M4708" t="str"><v>Tier 0</v></cell><cell r="N4708" t="str"><v>North America</v></cell><cell r="O4708" t="str"><v>United States</v></cell><cell r="P4708" t="str"><v>Trial</v></cell><cell r="Q4708" t="str"><v>Social</v></cell><cell r="R4708" t="str"><v>Azure</v></cell><cell r="S4708" t="str"><v>Apps & Infra</v></cell><cell r="T4708" t="str"><v>Developers & ITI's</v></cell><cell r="U4708" t="str"><v>USA-Trial-ITD-Retargeting-AZR-AZR</v></cell><cell r="V4708" t="str"><v>Retargeting</v></cell><cell r="W4708" t="str"><v>Canvas Ad</v></cell><cell r="X4708" t="str"><v>1x1</v></cell></row><row r="4708"><cell r="AA4708"><v>43314</v></cell><cell r="AB4708" t="str"><v>USA_gaPMG_AZR_AZR_Q1_19_Direct-Social</v></cell><cell r="AC4708"><v>21358715</v></cell><cell r="AD4708"><v>720197</v></cell><cell r="AE4708" t="str"><v>Facebook - Instagram</v></cell><cell r="AF4708"><v>3654128</v></cell><cell r="AG4708" t="str"><v>INSTAGRAM»USA-Trial-ITD-Retargeting-AZR-AZR»1 x 1»SocialBan»CAN»ALL»CPA»RT»X»NA»SS»NA»IGCTCBrandinMotion»PRC2G3</v></cell><cell r="AH4708"><v>224107014</v></cell><cell r="AI4708" t="str"><v>AzurePlatform_IGCTCBenefit2inMotion_USA_10s_CAN_PLATFORM_English_Trial_Standard_STAN_TIN_T4_2</v></cell><cell r="AJ4708"><v>103178714</v></cell></row><row r="4709"><cell r="C4709" t="str"><v>43314INSTAGRAM»USA-Trial-ITD-Retargeting-AZR-AZR»1 x 1»SocialBan»CAN»ALL»CPA»RT»X»NA»SS»NA»IGCTCBasicMotion»PRC2G7</v></cell><cell r="D4709" t="str"><v>43314223935007</v></cell><cell r="E4709" t="str"><v>43314103037974PRC2G7</v></cell><cell r="F4709" t="str"><v>DCM</v></cell><cell r="G4709" t="str"><v>https://azure.microsoft.com/en-us/pricing/purchase-options/?v=18.19&OCID=AID%eexcid!_OLA_%ebuy!_%epid!_%ecid!</v></cell></row><row r="4709"><cell r="K4709" t="str"><v>August</v></cell><cell r="L4709"><v>43316</v></cell><cell r="M4709" t="str"><v>Tier 0</v></cell><cell r="N4709" t="str"><v>North America</v></cell><cell r="O4709" t="str"><v>United States</v></cell><cell r="P4709" t="str"><v>Trial</v></cell><cell r="Q4709" t="str"><v>Social</v></cell><cell r="R4709" t="str"><v>Azure</v></cell><cell r="S4709" t="str"><v>Apps & Infra</v></cell><cell r="T4709" t="str"><v>Developers & ITI's</v></cell><cell r="U4709" t="str"><v>USA-Trial-ITD-Retargeting-AZR-AZR</v></cell><cell r="V4709" t="str"><v>Retargeting</v></cell><cell r="W4709" t="str"><v>Canvas Ad</v></cell><cell r="X4709" t="str"><v>1x1</v></cell></row><row r="4709"><cell r="AA4709"><v>43314</v></cell><cell r="AB4709" t="str"><v>USA_gaPMG_AZR_AZR_Q1_19_Direct-Social</v></cell><cell r="AC4709"><v>21358715</v></cell><cell r="AD4709"><v>720197</v></cell><cell r="AE4709" t="str"><v>Facebook - Instagram</v></cell><cell r="AF4709"><v>3654128</v></cell><cell r="AG4709" t="str"><v>INSTAGRAM»USA-Trial-ITD-Retargeting-AZR-AZR»1 x 1»SocialBan»CAN»ALL»CPA»RT»X»NA»SS»NA»IGCTCBasicMotion»PRC2G7</v></cell><cell r="AH4709"><v>223935007</v></cell><cell r="AI4709" t="str"><v>AzurePlatform_IGCTCBasicMotion_USA_10s_CAN_PLATFORM_English_Trial_Standard_STAN_TIN_T1_2</v></cell><cell r="AJ4709"><v>103037974</v></cell></row><row r="4710"><cell r="C4710" t="str"><v>43314INSTAGRAM»USA-Trial-ITD-Trial Lookalike-AZR-AZR»1 x 1»SocialBan»CAN»ALL»CPA»LAL»X»NA»SS»NA»IGCTCBenefit2inMotion»PRC2FL</v></cell><cell r="D4710" t="str"><v>43314223935022</v></cell><cell r="E4710" t="str"><v>43314103180628PRC2FL</v></cell><cell r="F4710" t="str"><v>DCM</v></cell><cell r="G4710" t="str"><v>https://signup.azure.com/?OCID=AID%eexcid!_OLA_%ebuy!_%epid!_%ecid!</v></cell></row><row r="4710"><cell r="K4710" t="str"><v>August</v></cell><cell r="L4710"><v>43316</v></cell><cell r="M4710" t="str"><v>Tier 0</v></cell><cell r="N4710" t="str"><v>North America</v></cell><cell r="O4710" t="str"><v>United States</v></cell><cell r="P4710" t="str"><v>Trial</v></cell><cell r="Q4710" t="str"><v>Social</v></cell><cell r="R4710" t="str"><v>Azure</v></cell><cell r="S4710" t="str"><v>Apps & Infra</v></cell><cell r="T4710" t="str"><v>Developers & ITI's</v></cell><cell r="U4710" t="str"><v>USA-Trial-ITD-Trial Lookalike-AZR-AZR</v></cell><cell r="V4710" t="str"><v>Lookalike Targeting</v></cell><cell r="W4710" t="str"><v>Canvas Ad</v></cell><cell r="X4710" t="str"><v>1x1</v></cell></row><row r="4710"><cell r="AA4710"><v>43314</v></cell><cell r="AB4710" t="str"><v>USA_gaPMG_AZR_AZR_Q1_19_Direct-Social</v></cell><cell r="AC4710"><v>21358715</v></cell><cell r="AD4710"><v>720197</v></cell><cell r="AE4710" t="str"><v>Facebook - Instagram</v></cell><cell r="AF4710"><v>3654128</v></cell><cell r="AG4710" t="str"><v>INSTAGRAM»USA-Trial-ITD-Trial Lookalike-AZR-AZR»1 x 1»SocialBan»CAN»ALL»CPA»LAL»X»NA»SS»NA»IGCTCBenefit2inMotion»PRC2FL</v></cell><cell r="AH4710"><v>223935022</v></cell><cell r="AI4710" t="str"><v>AzurePlatform_IGCTCBrandinMotion_USA_10s_CAN_PLATFORM_English_Trial_Standard_STAN_TIN_T2_1</v></cell><cell r="AJ4710"><v>103180628</v></cell></row><row r="4711"><cell r="C4711" t="str"><v>43314INSTAGRAM»USA-Trial-ITD-Trial Lookalike-AZR-AZR»1 x 1»SocialBan»CAN»ALL»CPA»LAL»X»NA»SS»NA»IGCTCBenefit2inMotion»PRC2FL</v></cell><cell r="D4711" t="str"><v>43314223935022</v></cell><cell r="E4711" t="str"><v>43314103050786PRC2FL</v></cell><cell r="F4711" t="str"><v>DCM</v></cell><cell r="G4711" t="str"><v>https://azure.microsoft.com/en-us/pricing/purchase-options/?v=18.19&OCID=AID%eexcid!_OLA_%ebuy!_%epid!_%ecid!</v></cell></row><row r="4711"><cell r="K4711" t="str"><v>August</v></cell><cell r="L4711"><v>43316</v></cell><cell r="M4711" t="str"><v>Tier 0</v></cell><cell r="N4711" t="str"><v>North America</v></cell><cell r="O4711" t="str"><v>United States</v></cell><cell r="P4711" t="str"><v>Trial</v></cell><cell r="Q4711" t="str"><v>Social</v></cell><cell r="R4711" t="str"><v>Azure</v></cell><cell r="S4711" t="str"><v>Apps & Infra</v></cell><cell r="T4711" t="str"><v>Developers & ITI's</v></cell><cell r="U4711" t="str"><v>USA-Trial-ITD-Trial Lookalike-AZR-AZR</v></cell><cell r="V4711" t="str"><v>Lookalike Targeting</v></cell><cell r="W4711" t="str"><v>Canvas Ad</v></cell><cell r="X4711" t="str"><v>1x1</v></cell></row><row r="4711"><cell r="AA4711"><v>43314</v></cell><cell r="AB4711" t="str"><v>USA_gaPMG_AZR_AZR_Q1_19_Direct-Social</v></cell><cell r="AC4711"><v>21358715</v></cell><cell r="AD4711"><v>720197</v></cell><cell r="AE4711" t="str"><v>Facebook - Instagram</v></cell><cell r="AF4711"><v>3654128</v></cell><cell r="AG4711" t="str"><v>INSTAGRAM»USA-Trial-ITD-Trial Lookalike-AZR-AZR»1 x 1»SocialBan»CAN»ALL»CPA»LAL»X»NA»SS»NA»IGCTCBenefit2inMotion»PRC2FL</v></cell><cell r="AH4711"><v>223935022</v></cell><cell r="AI4711" t="str"><v>AzurePlatform_IGCTCBrandinMotion_USA_10s_CAN_PLATFORM_English_Trial_Standard_STAN_TIN_T2_2</v></cell><cell r="AJ4711"><v>103050786</v></cell></row><row r="4712"><cell r="C4712" t="str"><v>43314INSTAGRAM»USA-Trial-ITD-Trial Lookalike-AZR-AZR»1 x 1»SocialBan»CAN»ALL»CPA»LAL»X»NA»SS»NA»IGCTCBrandinMotion»PRC2FH</v></cell><cell r="D4712" t="str"><v>43314223935019</v></cell><cell r="E4712" t="str"><v>43314103050783PRC2FH</v></cell><cell r="F4712" t="str"><v>DCM</v></cell><cell r="G4712" t="str"><v>https://signup.azure.com/?OCID=AID%eexcid!_OLA_%ebuy!_%epid!_%ecid!</v></cell></row><row r="4712"><cell r="K4712" t="str"><v>August</v></cell><cell r="L4712"><v>43316</v></cell><cell r="M4712" t="str"><v>Tier 0</v></cell><cell r="N4712" t="str"><v>North America</v></cell><cell r="O4712" t="str"><v>United States</v></cell><cell r="P4712" t="str"><v>Trial</v></cell><cell r="Q4712" t="str"><v>Social</v></cell><cell r="R4712" t="str"><v>Azure</v></cell><cell r="S4712" t="str"><v>Apps & Infra</v></cell><cell r="T4712" t="str"><v>Developers & ITI's</v></cell><cell r="U4712" t="str"><v>USA-Trial-ITD-Trial Lookalike-AZR-AZR</v></cell><cell r="V4712" t="str"><v>Lookalike Targeting</v></cell><cell r="W4712" t="str"><v>Canvas Ad</v></cell><cell r="X4712" t="str"><v>1x1</v></cell></row><row r="4712"><cell r="AA4712"><v>43314</v></cell><cell r="AB4712" t="str"><v>USA_gaPMG_AZR_AZR_Q1_19_Direct-Social</v></cell><cell r="AC4712"><v>21358715</v></cell><cell r="AD4712"><v>720197</v></cell><cell r="AE4712" t="str"><v>Facebook - Instagram</v></cell><cell r="AF4712"><v>3654128</v></cell><cell r="AG4712" t="str"><v>INSTAGRAM»USA-Trial-ITD-Trial Lookalike-AZR-AZR»1 x 1»SocialBan»CAN»ALL»CPA»LAL»X»NA»SS»NA»IGCTCBrandinMotion»PRC2FH</v></cell><cell r="AH4712"><v>223935019</v></cell><cell r="AI4712" t="str"><v>AzurePlatform_IGCTCBenefit2inMotion_USA_10s_CAN_PLATFORM_English_Trial_Standard_STAN_TIN_T4_1</v></cell><cell r="AJ4712"><v>103050783</v></cell></row><row r="4713"><cell r="C4713" t="str"><v>43314INSTAGRAM»USA-Trial-ITD-Trial Lookalike-AZR-AZR»1 x 1»SocialBan»CAN»ALL»CPA»LAL»X»NA»SS»NA»IGCTCBrandinMotion»PRC2FH</v></cell><cell r="D4713" t="str"><v>43314223935019</v></cell><cell r="E4713" t="str"><v>43314103178714PRC2FH</v></cell><cell r="F4713" t="str"><v>DCM</v></cell><cell r="G4713" t="str"><v>https://azure.microsoft.com/en-us/pricing/purchase-options/?v=18.19&OCID=AID%eexcid!_OLA_%ebuy!_%epid!_%ecid!</v></cell></row><row r="4713"><cell r="K4713" t="str"><v>August</v></cell><cell r="L4713"><v>43316</v></cell><cell r="M4713" t="str"><v>Tier 0</v></cell><cell r="N4713" t="str"><v>North America</v></cell><cell r="O4713" t="str"><v>United States</v></cell><cell r="P4713" t="str"><v>Trial</v></cell><cell r="Q4713" t="str"><v>Social</v></cell><cell r="R4713" t="str"><v>Azure</v></cell><cell r="S4713" t="str"><v>Apps & Infra</v></cell><cell r="T4713" t="str"><v>Developers & ITI's</v></cell><cell r="U4713" t="str"><v>USA-Trial-ITD-Trial Lookalike-AZR-AZR</v></cell><cell r="V4713" t="str"><v>Lookalike Targeting</v></cell><cell r="W4713" t="str"><v>Canvas Ad</v></cell><cell r="X4713" t="str"><v>1x1</v></cell></row><row r="4713"><cell r="AA4713"><v>43314</v></cell><cell r="AB4713" t="str"><v>USA_gaPMG_AZR_AZR_Q1_19_Direct-Social</v></cell><cell r="AC4713"><v>21358715</v></cell><cell r="AD4713"><v>720197</v></cell><cell r="AE4713" t="str"><v>Facebook - Instagram</v></cell><cell r="AF4713"><v>3654128</v></cell><cell r="AG4713" t="str"><v>INSTAGRAM»USA-Trial-ITD-Trial Lookalike-AZR-AZR»1 x 1»SocialBan»CAN»ALL»CPA»LAL»X»NA»SS»NA»IGCTCBrandinMotion»PRC2FH</v></cell><cell r="AH4713"><v>223935019</v></cell><cell r="AI4713" t="str"><v>AzurePlatform_IGCTCBenefit2inMotion_USA_10s_CAN_PLATFORM_English_Trial_Standard_STAN_TIN_T4_2</v></cell><cell r="AJ4713"><v>103178714</v></cell></row><row r="4714"><cell r="C4714" t="str"><v>43314INSTAGRAM»USA-Trial-ITD-Trial PayGo Lookalike-AZR-AZR»1 x 1»SocialBan»CAN»ALL»CPA»LAL»X»NA»SS»NA»IGCTCBrandinMotion»PRC2FW</v></cell><cell r="D4714" t="str"><v>43314223862654</v></cell><cell r="E4714" t="str"><v>43314103050783PRC2FW</v></cell><cell r="F4714" t="str"><v>DCM</v></cell><cell r="G4714" t="str"><v>https://signup.azure.com/?OCID=AID%eexcid!_OLA_%ebuy!_%epid!_%ecid!</v></cell></row><row r="4714"><cell r="K4714" t="str"><v>August</v></cell><cell r="L4714"><v>43316</v></cell><cell r="M4714" t="str"><v>Tier 0</v></cell><cell r="N4714" t="str"><v>North America</v></cell><cell r="O4714" t="str"><v>United States</v></cell><cell r="P4714" t="str"><v>Trial</v></cell><cell r="Q4714" t="str"><v>Social</v></cell><cell r="R4714" t="str"><v>Azure</v></cell><cell r="S4714" t="str"><v>Apps & Infra</v></cell><cell r="T4714" t="str"><v>Developers & ITI's</v></cell><cell r="U4714" t="str"><v>USA-Trial-ITD-Trial PayGo Lookalike-AZR-AZR</v></cell><cell r="V4714" t="str"><v>Lookalike Targeting</v></cell><cell r="W4714" t="str"><v>Canvas Ad</v></cell><cell r="X4714" t="str"><v>1x1</v></cell></row><row r="4714"><cell r="AA4714"><v>43314</v></cell><cell r="AB4714" t="str"><v>USA_gaPMG_AZR_AZR_Q1_19_Direct-Social</v></cell><cell r="AC4714"><v>21358715</v></cell><cell r="AD4714"><v>720197</v></cell><cell r="AE4714" t="str"><v>Facebook - Instagram</v></cell><cell r="AF4714"><v>3654128</v></cell><cell r="AG4714" t="str"><v>INSTAGRAM»USA-Trial-ITD-Trial PayGo Lookalike-AZR-AZR»1 x 1»SocialBan»CAN»ALL»CPA»LAL»X»NA»SS»NA»IGCTCBrandinMotion»PRC2FW</v></cell><cell r="AH4714"><v>223862654</v></cell><cell r="AI4714" t="str"><v>AzurePlatform_IGCTCBenefit2inMotion_USA_10s_CAN_PLATFORM_English_Trial_Standard_STAN_TIN_T4_1</v></cell><cell r="AJ4714"><v>103050783</v></cell></row><row r="4715"><cell r="C4715" t="str"><v>43314INSTAGRAM»USA-Trial-ITD-Trial PayGo Lookalike-AZR-AZR»1 x 1»SocialBan»CAN»ALL»CPA»LAL»X»NA»SS»NA»IGCTCBenefit2inMotion»PRC2FZ</v></cell><cell r="D4715" t="str"><v>43314223933075</v></cell><cell r="E4715" t="str"><v>43314103180628PRC2FZ</v></cell><cell r="F4715" t="str"><v>DCM</v></cell><cell r="G4715" t="str"><v>https://signup.azure.com/?OCID=AID%eexcid!_OLA_%ebuy!_%epid!_%ecid!</v></cell></row><row r="4715"><cell r="K4715" t="str"><v>August</v></cell><cell r="L4715"><v>43316</v></cell><cell r="M4715" t="str"><v>Tier 0</v></cell><cell r="N4715" t="str"><v>North America</v></cell><cell r="O4715" t="str"><v>United States</v></cell><cell r="P4715" t="str"><v>Trial</v></cell><cell r="Q4715" t="str"><v>Social</v></cell><cell r="R4715" t="str"><v>Azure</v></cell><cell r="S4715" t="str"><v>Apps & Infra</v></cell><cell r="T4715" t="str"><v>Developers & ITI's</v></cell><cell r="U4715" t="str"><v>USA-Trial-ITD-Trial PayGo Lookalike-AZR-AZR</v></cell><cell r="V4715" t="str"><v>Lookalike Targeting</v></cell><cell r="W4715" t="str"><v>Canvas Ad</v></cell><cell r="X4715" t="str"><v>1x1</v></cell></row><row r="4715"><cell r="AA4715"><v>43314</v></cell><cell r="AB4715" t="str"><v>USA_gaPMG_AZR_AZR_Q1_19_Direct-Social</v></cell><cell r="AC4715"><v>21358715</v></cell><cell r="AD4715"><v>720197</v></cell><cell r="AE4715" t="str"><v>Facebook - Instagram</v></cell><cell r="AF4715"><v>3654128</v></cell><cell r="AG4715" t="str"><v>INSTAGRAM»USA-Trial-ITD-Trial PayGo Lookalike-AZR-AZR»1 x 1»SocialBan»CAN»ALL»CPA»LAL»X»NA»SS»NA»IGCTCBenefit2inMotion»PRC2FZ</v></cell><cell r="AH4715"><v>223933075</v></cell><cell r="AI4715" t="str"><v>AzurePlatform_IGCTCBrandinMotion_USA_10s_CAN_PLATFORM_English_Trial_Standard_STAN_TIN_T2_1</v></cell><cell r="AJ4715"><v>103180628</v></cell></row><row r="4716"><cell r="C4716" t="str"><v>43314INSTAGRAM»USA-Trial-ITD-Trial PayGo Lookalike-AZR-AZR»1 x 1»SocialBan»CAN»ALL»CPA»LAL»X»NA»SS»NA»IGCTCBenefit2inMotion»PRC2FZ</v></cell><cell r="D4716" t="str"><v>43314223933075</v></cell><cell r="E4716" t="str"><v>43314103050786PRC2FZ</v></cell><cell r="F4716" t="str"><v>DCM</v></cell><cell r="G4716" t="str"><v>https://azure.microsoft.com/en-us/pricing/purchase-options/?v=18.19&OCID=AID%eexcid!_OLA_%ebuy!_%epid!_%ecid!</v></cell></row><row r="4716"><cell r="K4716" t="str"><v>August</v></cell><cell r="L4716"><v>43316</v></cell><cell r="M4716" t="str"><v>Tier 0</v></cell><cell r="N4716" t="str"><v>North America</v></cell><cell r="O4716" t="str"><v>United States</v></cell><cell r="P4716" t="str"><v>Trial</v></cell><cell r="Q4716" t="str"><v>Social</v></cell><cell r="R4716" t="str"><v>Azure</v></cell><cell r="S4716" t="str"><v>Apps & Infra</v></cell><cell r="T4716" t="str"><v>Developers & ITI's</v></cell><cell r="U4716" t="str"><v>USA-Trial-ITD-Trial PayGo Lookalike-AZR-AZR</v></cell><cell r="V4716" t="str"><v>Lookalike Targeting</v></cell><cell r="W4716" t="str"><v>Canvas Ad</v></cell><cell r="X4716" t="str"><v>1x1</v></cell></row><row r="4716"><cell r="AA4716"><v>43314</v></cell><cell r="AB4716" t="str"><v>USA_gaPMG_AZR_AZR_Q1_19_Direct-Social</v></cell><cell r="AC4716"><v>21358715</v></cell><cell r="AD4716"><v>720197</v></cell><cell r="AE4716" t="str"><v>Facebook - Instagram</v></cell><cell r="AF4716"><v>3654128</v></cell><cell r="AG4716" t="str"><v>INSTAGRAM»USA-Trial-ITD-Trial PayGo Lookalike-AZR-AZR»1 x 1»SocialBan»CAN»ALL»CPA»LAL»X»NA»SS»NA»IGCTCBenefit2inMotion»PRC2FZ</v></cell><cell r="AH4716"><v>223933075</v></cell><cell r="AI4716" t="str"><v>AzurePlatform_IGCTCBrandinMotion_USA_10s_CAN_PLATFORM_English_Trial_Standard_STAN_TIN_T2_2</v></cell><cell r="AJ4716"><v>103050786</v></cell></row><row r="4717"><cell r="C4717" t="str"><v>43314INSTAGRAM»USA-Trial-ITD-Interest Prospecting-AZR-AZR»1 x 1»SocialBan»CAN»ALL»CPA»PRO»X»NA»SS»NA»IGCTCBasicMotion»PRC2PF</v></cell><cell r="D4717" t="str"><v>43314224106621</v></cell><cell r="E4717" t="str"><v>43314103037968PRC2PF</v></cell><cell r="F4717" t="str"><v>DCM</v></cell><cell r="G4717" t="str"><v>https://signup.azure.com/?OCID=AID%eexcid!_OLA_%ebuy!_%epid!_%ecid!</v></cell></row><row r="4717"><cell r="K4717" t="str"><v>August</v></cell><cell r="L4717"><v>43316</v></cell><cell r="M4717" t="str"><v>Tier 0</v></cell><cell r="N4717" t="str"><v>North America</v></cell><cell r="O4717" t="str"><v>United States</v></cell><cell r="P4717" t="str"><v>Trial</v></cell><cell r="Q4717" t="str"><v>Social</v></cell><cell r="R4717" t="str"><v>Azure</v></cell><cell r="S4717" t="str"><v>Apps & Infra</v></cell><cell r="T4717" t="str"><v>Developers & ITI's</v></cell><cell r="U4717" t="str"><v>USA-Trial-ITD-Interest Prospecting-AZR-AZR</v></cell><cell r="V4717" t="str"><v>Prospecting</v></cell><cell r="W4717" t="str"><v>Canvas Ad</v></cell><cell r="X4717" t="str"><v>1x1</v></cell></row><row r="4717"><cell r="AA4717"><v>43314</v></cell><cell r="AB4717" t="str"><v>USA_gaPMG_AZR_AZR_Q1_19_Direct-Social</v></cell><cell r="AC4717"><v>21358715</v></cell><cell r="AD4717"><v>720197</v></cell><cell r="AE4717" t="str"><v>Facebook - Instagram</v></cell><cell r="AF4717"><v>3654128</v></cell><cell r="AG4717" t="str"><v>INSTAGRAM»USA-Trial-ITD-Interest Prospecting-AZR-AZR»1 x 1»SocialBan»CAN»ALL»CPA»PRO»X»NA»SS»NA»IGCTCBasicMotion»PRC2PF</v></cell><cell r="AH4717"><v>224106621</v></cell><cell r="AI4717" t="str"><v>AzurePlatform_IGCTCBasicMotion_USA_10s_CAN_PLATFORM_English_Trial_Standard_STAN_TIN_T1_1</v></cell><cell r="AJ4717"><v>103037968</v></cell></row><row r="4718"><cell r="C4718" t="str"><v>43314INSTAGRAM»USA-Trial-ITD-Interest Prospecting-AZR-AZR»1 x 1»SocialBan»CAN»ALL»CPA»PRO»X»NA»SS»NA»IGCTCBasicMotion»PRC2PF</v></cell><cell r="D4718" t="str"><v>43314224106621</v></cell><cell r="E4718" t="str"><v>43314103037974PRC2PF</v></cell><cell r="F4718" t="str"><v>DCM</v></cell><cell r="G4718" t="str"><v>https://azure.microsoft.com/en-us/pricing/purchase-options/?v=18.19&OCID=AID%eexcid!_OLA_%ebuy!_%epid!_%ecid!</v></cell></row><row r="4718"><cell r="K4718" t="str"><v>August</v></cell><cell r="L4718"><v>43316</v></cell><cell r="M4718" t="str"><v>Tier 0</v></cell><cell r="N4718" t="str"><v>North America</v></cell><cell r="O4718" t="str"><v>United States</v></cell><cell r="P4718" t="str"><v>Trial</v></cell><cell r="Q4718" t="str"><v>Social</v></cell><cell r="R4718" t="str"><v>Azure</v></cell><cell r="S4718" t="str"><v>Apps & Infra</v></cell><cell r="T4718" t="str"><v>Developers & ITI's</v></cell><cell r="U4718" t="str"><v>USA-Trial-ITD-Interest Prospecting-AZR-AZR</v></cell><cell r="V4718" t="str"><v>Prospecting</v></cell><cell r="W4718" t="str"><v>Canvas Ad</v></cell><cell r="X4718" t="str"><v>1x1</v></cell></row><row r="4718"><cell r="AA4718"><v>43314</v></cell><cell r="AB4718" t="str"><v>USA_gaPMG_AZR_AZR_Q1_19_Direct-Social</v></cell><cell r="AC4718"><v>21358715</v></cell><cell r="AD4718"><v>720197</v></cell><cell r="AE4718" t="str"><v>Facebook - Instagram</v></cell><cell r="AF4718"><v>3654128</v></cell><cell r="AG4718" t="str"><v>INSTAGRAM»USA-Trial-ITD-Interest Prospecting-AZR-AZR»1 x 1»SocialBan»CAN»ALL»CPA»PRO»X»NA»SS»NA»IGCTCBasicMotion»PRC2PF</v></cell><cell r="AH4718"><v>224106621</v></cell><cell r="AI4718" t="str"><v>AzurePlatform_IGCTCBasicMotion_USA_10s_CAN_PLATFORM_English_Trial_Standard_STAN_TIN_T1_2</v></cell><cell r="AJ4718"><v>103037974</v></cell></row><row r="4719"><cell r="C4719" t="str"><v>43314INSTAGRAM»USA-Trial-ITD-Trial Lookalike-AZR-AZR»1 x 1»SocialBan»CAN»ALL»CPA»LAL»X»NA»SS»NA»IGCTCBasicMotion»PRC0C2</v></cell><cell r="D4719" t="str"><v>43314224107017</v></cell><cell r="E4719" t="str"><v>43314103037968PRC0C2</v></cell><cell r="F4719" t="str"><v>DCM</v></cell><cell r="G4719" t="str"><v>https://signup.azure.com/?OCID=AID%eexcid!_OLA_%ebuy!_%epid!_%ecid!</v></cell></row><row r="4719"><cell r="K4719" t="str"><v>August</v></cell><cell r="L4719"><v>43316</v></cell><cell r="M4719" t="str"><v>Tier 0</v></cell><cell r="N4719" t="str"><v>North America</v></cell><cell r="O4719" t="str"><v>United States</v></cell><cell r="P4719" t="str"><v>Trial</v></cell><cell r="Q4719" t="str"><v>Social</v></cell><cell r="R4719" t="str"><v>Azure</v></cell><cell r="S4719" t="str"><v>Apps & Infra</v></cell><cell r="T4719" t="str"><v>Developers & ITI's</v></cell><cell r="U4719" t="str"><v>USA-Trial-ITD-Trial Lookalike-AZR-AZR</v></cell><cell r="V4719" t="str"><v>Lookalike Targeting</v></cell><cell r="W4719" t="str"><v>Canvas Ad</v></cell><cell r="X4719" t="str"><v>1x1</v></cell></row><row r="4719"><cell r="AA4719"><v>43314</v></cell><cell r="AB4719" t="str"><v>USA_gaPMG_AZR_AZR_Q1_19_Direct-Social</v></cell><cell r="AC4719"><v>21358715</v></cell><cell r="AD4719"><v>720197</v></cell><cell r="AE4719" t="str"><v>Facebook - Instagram</v></cell><cell r="AF4719"><v>3654128</v></cell><cell r="AG4719" t="str"><v>INSTAGRAM»USA-Trial-ITD-Trial Lookalike-AZR-AZR»1 x 1»SocialBan»CAN»ALL»CPA»LAL»X»NA»SS»NA»IGCTCBasicMotion»PRC0C2</v></cell><cell r="AH4719"><v>224107017</v></cell><cell r="AI4719" t="str"><v>AzurePlatform_IGCTCBasicMotion_USA_10s_CAN_PLATFORM_English_Trial_Standard_STAN_TIN_T1_1</v></cell><cell r="AJ4719"><v>103037968</v></cell></row><row r="4720"><cell r="C4720" t="str"><v>43314INSTAGRAM»USA-Trial-ITD-Trial Lookalike-AZR-AZR»1 x 1»SocialBan»CAN»ALL»CPA»LAL»X»NA»SS»NA»IGCTCBasicMotion»PRC0C2</v></cell><cell r="D4720" t="str"><v>43314224107017</v></cell><cell r="E4720" t="str"><v>43314103037974PRC0C2</v></cell><cell r="F4720" t="str"><v>DCM</v></cell><cell r="G4720" t="str"><v>https://azure.microsoft.com/en-us/pricing/purchase-options/?v=18.19&OCID=AID%eexcid!_OLA_%ebuy!_%epid!_%ecid!</v></cell></row><row r="4720"><cell r="K4720" t="str"><v>August</v></cell><cell r="L4720"><v>43316</v></cell><cell r="M4720" t="str"><v>Tier 0</v></cell><cell r="N4720" t="str"><v>North America</v></cell><cell r="O4720" t="str"><v>United States</v></cell><cell r="P4720" t="str"><v>Trial</v></cell><cell r="Q4720" t="str"><v>Social</v></cell><cell r="R4720" t="str"><v>Azure</v></cell><cell r="S4720" t="str"><v>Apps & Infra</v></cell><cell r="T4720" t="str"><v>Developers & ITI's</v></cell><cell r="U4720" t="str"><v>USA-Trial-ITD-Trial Lookalike-AZR-AZR</v></cell><cell r="V4720" t="str"><v>Lookalike Targeting</v></cell><cell r="W4720" t="str"><v>Canvas Ad</v></cell><cell r="X4720" t="str"><v>1x1</v></cell></row><row r="4720"><cell r="AA4720"><v>43314</v></cell><cell r="AB4720" t="str"><v>USA_gaPMG_AZR_AZR_Q1_19_Direct-Social</v></cell><cell r="AC4720"><v>21358715</v></cell><cell r="AD4720"><v>720197</v></cell><cell r="AE4720" t="str"><v>Facebook - Instagram</v></cell><cell r="AF4720"><v>3654128</v></cell><cell r="AG4720" t="str"><v>INSTAGRAM»USA-Trial-ITD-Trial Lookalike-AZR-AZR»1 x 1»SocialBan»CAN»ALL»CPA»LAL»X»NA»SS»NA»IGCTCBasicMotion»PRC0C2</v></cell><cell r="AH4720"><v>224107017</v></cell><cell r="AI4720" t="str"><v>AzurePlatform_IGCTCBasicMotion_USA_10s_CAN_PLATFORM_English_Trial_Standard_STAN_TIN_T1_2</v></cell><cell r="AJ4720"><v>103037974</v></cell></row><row r="4721"><cell r="C4721" t="str"><v>43314INSTAGRAM»USA-Trial-ITD-Trial Lookalike-AZR-AZR»1 x 1»SocialBan»CAN»ALL»CPA»LAL»X»NA»SS»NA»IGCTCBenefitinMotion»PRC2FK</v></cell><cell r="D4721" t="str"><v>43314224107542</v></cell><cell r="E4721" t="str"><v>43314103050780PRC2FK</v></cell><cell r="F4721" t="str"><v>DCM</v></cell><cell r="G4721" t="str"><v>https://signup.azure.com/?OCID=AID%eexcid!_OLA_%ebuy!_%epid!_%ecid!</v></cell></row><row r="4721"><cell r="K4721" t="str"><v>August</v></cell><cell r="L4721"><v>43316</v></cell><cell r="M4721" t="str"><v>Tier 0</v></cell><cell r="N4721" t="str"><v>North America</v></cell><cell r="O4721" t="str"><v>United States</v></cell><cell r="P4721" t="str"><v>Trial</v></cell><cell r="Q4721" t="str"><v>Social</v></cell><cell r="R4721" t="str"><v>Azure</v></cell><cell r="S4721" t="str"><v>Apps & Infra</v></cell><cell r="T4721" t="str"><v>Developers & ITI's</v></cell><cell r="U4721" t="str"><v>USA-Trial-ITD-Trial Lookalike-AZR-AZR</v></cell><cell r="V4721" t="str"><v>Lookalike Targeting</v></cell><cell r="W4721" t="str"><v>Canvas Ad</v></cell><cell r="X4721" t="str"><v>1x1</v></cell></row><row r="4721"><cell r="AA4721"><v>43314</v></cell><cell r="AB4721" t="str"><v>USA_gaPMG_AZR_AZR_Q1_19_Direct-Social</v></cell><cell r="AC4721"><v>21358715</v></cell><cell r="AD4721"><v>720197</v></cell><cell r="AE4721" t="str"><v>Facebook - Instagram</v></cell><cell r="AF4721"><v>3654128</v></cell><cell r="AG4721" t="str"><v>INSTAGRAM»USA-Trial-ITD-Trial Lookalike-AZR-AZR»1 x 1»SocialBan»CAN»ALL»CPA»LAL»X»NA»SS»NA»IGCTCBenefitinMotion»PRC2FK</v></cell><cell r="AH4721"><v>224107542</v></cell><cell r="AI4721" t="str"><v>AzurePlatform_IGCTCBenefitinMotion_USA_10s_CAN_PLATFORM_English_Trial_Standard_STAN_TIN_T3_1</v></cell><cell r="AJ4721"><v>103050780</v></cell></row><row r="4722"><cell r="C4722" t="str"><v>43314INSTAGRAM»USA-Trial-ITD-Trial Lookalike-AZR-AZR»1 x 1»SocialBan»CAN»ALL»CPA»LAL»X»NA»SS»NA»IGCTCBenefitinMotion»PRC2FK</v></cell><cell r="D4722" t="str"><v>43314224107542</v></cell><cell r="E4722" t="str"><v>43314103180637PRC2FK</v></cell><cell r="F4722" t="str"><v>DCM</v></cell><cell r="G4722" t="str"><v>https://azure.microsoft.com/en-us/pricing/purchase-options/?v=18.19&OCID=AID%eexcid!_OLA_%ebuy!_%epid!_%ecid!</v></cell></row><row r="4722"><cell r="K4722" t="str"><v>August</v></cell><cell r="L4722"><v>43316</v></cell><cell r="M4722" t="str"><v>Tier 0</v></cell><cell r="N4722" t="str"><v>North America</v></cell><cell r="O4722" t="str"><v>United States</v></cell><cell r="P4722" t="str"><v>Trial</v></cell><cell r="Q4722" t="str"><v>Social</v></cell><cell r="R4722" t="str"><v>Azure</v></cell><cell r="S4722" t="str"><v>Apps & Infra</v></cell><cell r="T4722" t="str"><v>Developers & ITI's</v></cell><cell r="U4722" t="str"><v>USA-Trial-ITD-Trial Lookalike-AZR-AZR</v></cell><cell r="V4722" t="str"><v>Lookalike Targeting</v></cell><cell r="W4722" t="str"><v>Canvas Ad</v></cell><cell r="X4722" t="str"><v>1x1</v></cell></row><row r="4722"><cell r="AA4722"><v>43314</v></cell><cell r="AB4722" t="str"><v>USA_gaPMG_AZR_AZR_Q1_19_Direct-Social</v></cell><cell r="AC4722"><v>21358715</v></cell><cell r="AD4722"><v>720197</v></cell><cell r="AE4722" t="str"><v>Facebook - Instagram</v></cell><cell r="AF4722"><v>3654128</v></cell><cell r="AG4722" t="str"><v>INSTAGRAM»USA-Trial-ITD-Trial Lookalike-AZR-AZR»1 x 1»SocialBan»CAN»ALL»CPA»LAL»X»NA»SS»NA»IGCTCBenefitinMotion»PRC2FK</v></cell><cell r="AH4722"><v>224107542</v></cell><cell r="AI4722" t="str"><v>AzurePlatform_IGCTCBenefitinMotion_USA_10s_CAN_PLATFORM_English_Trial_Standard_STAN_TIN_T3_2</v></cell><cell r="AJ4722"><v>103180637</v></cell></row><row r="4723"><cell r="C4723" t="str"><v>43314INSTAGRAM»USA-Trial-ITD-Trial PayGo Lookalike-AZR-AZR»1 x 1»SocialBan»CAN»ALL»CPA»LAL»X»NA»SS»NA»IGCTCBasicMotion»PRC2G0</v></cell><cell r="D4723" t="str"><v>43314224106891</v></cell><cell r="E4723" t="str"><v>43314103037968PRC2G0</v></cell><cell r="F4723" t="str"><v>DCM</v></cell><cell r="G4723" t="str"><v>https://signup.azure.com/?OCID=AID%eexcid!_OLA_%ebuy!_%epid!_%ecid!</v></cell></row><row r="4723"><cell r="K4723" t="str"><v>August</v></cell><cell r="L4723"><v>43316</v></cell><cell r="M4723" t="str"><v>Tier 0</v></cell><cell r="N4723" t="str"><v>North America</v></cell><cell r="O4723" t="str"><v>United States</v></cell><cell r="P4723" t="str"><v>Trial</v></cell><cell r="Q4723" t="str"><v>Social</v></cell><cell r="R4723" t="str"><v>Azure</v></cell><cell r="S4723" t="str"><v>Apps & Infra</v></cell><cell r="T4723" t="str"><v>Developers & ITI's</v></cell><cell r="U4723" t="str"><v>USA-Trial-ITD-Trial PayGo Lookalike-AZR-AZR</v></cell><cell r="V4723" t="str"><v>Lookalike Targeting</v></cell><cell r="W4723" t="str"><v>Canvas Ad</v></cell><cell r="X4723" t="str"><v>1x1</v></cell></row><row r="4723"><cell r="AA4723"><v>43314</v></cell><cell r="AB4723" t="str"><v>USA_gaPMG_AZR_AZR_Q1_19_Direct-Social</v></cell><cell r="AC4723"><v>21358715</v></cell><cell r="AD4723"><v>720197</v></cell><cell r="AE4723" t="str"><v>Facebook - Instagram</v></cell><cell r="AF4723"><v>3654128</v></cell><cell r="AG4723" t="str"><v>INSTAGRAM»USA-Trial-ITD-Trial PayGo Lookalike-AZR-AZR»1 x 1»SocialBan»CAN»ALL»CPA»LAL»X»NA»SS»NA»IGCTCBasicMotion»PRC2G0</v></cell><cell r="AH4723"><v>224106891</v></cell><cell r="AI4723" t="str"><v>AzurePlatform_IGCTCBasicMotion_USA_10s_CAN_PLATFORM_English_Trial_Standard_STAN_TIN_T1_1</v></cell><cell r="AJ4723"><v>103037968</v></cell></row><row r="4724"><cell r="C4724" t="str"><v>43314INSTAGRAM»USA-Trial-ITD-Trial PayGo Lookalike-AZR-AZR»1 x 1»SocialBan»CAN»ALL»CPA»LAL»X»NA»SS»NA»IGCTCBasicMotion»PRC2G0</v></cell><cell r="D4724" t="str"><v>43314224106891</v></cell><cell r="E4724" t="str"><v>43314103037974PRC2G0</v></cell><cell r="F4724" t="str"><v>DCM</v></cell><cell r="G4724" t="str"><v>https://azure.microsoft.com/en-us/pricing/purchase-options/?v=18.19&OCID=AID%eexcid!_OLA_%ebuy!_%epid!_%ecid!</v></cell></row><row r="4724"><cell r="K4724" t="str"><v>August</v></cell><cell r="L4724"><v>43316</v></cell><cell r="M4724" t="str"><v>Tier 0</v></cell><cell r="N4724" t="str"><v>North America</v></cell><cell r="O4724" t="str"><v>United States</v></cell><cell r="P4724" t="str"><v>Trial</v></cell><cell r="Q4724" t="str"><v>Social</v></cell><cell r="R4724" t="str"><v>Azure</v></cell><cell r="S4724" t="str"><v>Apps & Infra</v></cell><cell r="T4724" t="str"><v>Developers & ITI's</v></cell><cell r="U4724" t="str"><v>USA-Trial-ITD-Trial PayGo Lookalike-AZR-AZR</v></cell><cell r="V4724" t="str"><v>Lookalike Targeting</v></cell><cell r="W4724" t="str"><v>Canvas Ad</v></cell><cell r="X4724" t="str"><v>1x1</v></cell></row><row r="4724"><cell r="AA4724"><v>43314</v></cell><cell r="AB4724" t="str"><v>USA_gaPMG_AZR_AZR_Q1_19_Direct-Social</v></cell><cell r="AC4724"><v>21358715</v></cell><cell r="AD4724"><v>720197</v></cell><cell r="AE4724" t="str"><v>Facebook - Instagram</v></cell><cell r="AF4724"><v>3654128</v></cell><cell r="AG4724" t="str"><v>INSTAGRAM»USA-Trial-ITD-Trial PayGo Lookalike-AZR-AZR»1 x 1»SocialBan»CAN»ALL»CPA»LAL»X»NA»SS»NA»IGCTCBasicMotion»PRC2G0</v></cell><cell r="AH4724"><v>224106891</v></cell><cell r="AI4724" t="str"><v>AzurePlatform_IGCTCBasicMotion_USA_10s_CAN_PLATFORM_English_Trial_Standard_STAN_TIN_T1_2</v></cell><cell r="AJ4724"><v>103037974</v></cell></row><row r="4725"><cell r="C4725" t="str"><v>43314INSTAGRAM»USA-Trial-ITD-Trial PayGo Lookalike-AZR-AZR»1 x 1»SocialBan»CAN»ALL»CPA»LAL»X»NA»SS»NA»IGCTCBenefitinMotion»PRC2FX</v></cell><cell r="D4725" t="str"><v>43314223933999</v></cell><cell r="E4725" t="str"><v>43314103050780PRC2FX</v></cell><cell r="F4725" t="str"><v>DCM</v></cell><cell r="G4725" t="str"><v>https://signup.azure.com/?OCID=AID%eexcid!_OLA_%ebuy!_%epid!_%ecid!</v></cell></row><row r="4725"><cell r="K4725" t="str"><v>August</v></cell><cell r="L4725"><v>43316</v></cell><cell r="M4725" t="str"><v>Tier 0</v></cell><cell r="N4725" t="str"><v>North America</v></cell><cell r="O4725" t="str"><v>United States</v></cell><cell r="P4725" t="str"><v>Trial</v></cell><cell r="Q4725" t="str"><v>Social</v></cell><cell r="R4725" t="str"><v>Azure</v></cell><cell r="S4725" t="str"><v>Apps & Infra</v></cell><cell r="T4725" t="str"><v>Developers & ITI's</v></cell><cell r="U4725" t="str"><v>USA-Trial-ITD-Trial PayGo Lookalike-AZR-AZR</v></cell><cell r="V4725" t="str"><v>Lookalike Targeting</v></cell><cell r="W4725" t="str"><v>Canvas Ad</v></cell><cell r="X4725" t="str"><v>1x1</v></cell></row><row r="4725"><cell r="AA4725"><v>43314</v></cell><cell r="AB4725" t="str"><v>USA_gaPMG_AZR_AZR_Q1_19_Direct-Social</v></cell><cell r="AC4725"><v>21358715</v></cell><cell r="AD4725"><v>720197</v></cell><cell r="AE4725" t="str"><v>Facebook - Instagram</v></cell><cell r="AF4725"><v>3654128</v></cell><cell r="AG4725" t="str"><v>INSTAGRAM»USA-Trial-ITD-Trial PayGo Lookalike-AZR-AZR»1 x 1»SocialBan»CAN»ALL»CPA»LAL»X»NA»SS»NA»IGCTCBenefitinMotion»PRC2FX</v></cell><cell r="AH4725"><v>223933999</v></cell><cell r="AI4725" t="str"><v>AzurePlatform_IGCTCBenefitinMotion_USA_10s_CAN_PLATFORM_English_Trial_Standard_STAN_TIN_T3_1</v></cell><cell r="AJ4725"><v>103050780</v></cell></row><row r="4726"><cell r="C4726" t="str"><v>43315Facebook»Audience & Interest Targeting»1x1»Canvas»OTH»DT»DYN»AUT»W»NA»SS»NA»FBCTCcanvaspage-StartFreeCTA_FBCTCcanvaspage-BuyNowCTA</v></cell><cell r="D4726" t="str"><v>43315224639151</v></cell><cell r="E4726" t="str"><v>43315103316832NowCTA</v></cell><cell r="F4726" t="str"><v>DCM</v></cell><cell r="G4726" t="str"><v>https://azure.microsoft.com/en-au/pricing/purchase-options/</v></cell></row><row r="4726"><cell r="K4726" t="str"><v>August</v></cell><cell r="L4726"><v>43316</v></cell><cell r="M4726" t="str"><v>Tier 1</v></cell><cell r="N4726" t="str"><v>APAC</v></cell><cell r="O4726" t="str"><v>Australia</v></cell><cell r="P4726" t="str"><v>Trial</v></cell><cell r="Q4726" t="str"><v>Social</v></cell><cell r="R4726" t="str"><v>Azure</v></cell><cell r="S4726" t="str"><v>Apps & Infra</v></cell><cell r="T4726" t="str"><v>Developers & ITI's</v></cell><cell r="U4726" t="str"><v>Audience & Interest Targeting</v></cell><cell r="V4726" t="str"><v>Audience Targeting</v></cell><cell r="W4726" t="str"><v>Other</v></cell><cell r="X4726" t="str"><v>1x1</v></cell></row><row r="4726"><cell r="AA4726"><v>43315</v></cell><cell r="AB4726" t="str"><v>AUS_gaPMG_AZR_AZR_Q1_19_Trial-Social</v></cell><cell r="AC4726"><v>21358568</v></cell><cell r="AD4726"><v>720191</v></cell><cell r="AE4726" t="str"><v>Facebook</v></cell><cell r="AF4726"><v>3654128</v></cell><cell r="AG4726" t="str"><v>Facebook»Audience & Interest Targeting»1x1»Canvas»OTH»DT»DYN»AUT»W»NA»SS»NA»FBCTCcanvaspage-StartFreeCTA_FBCTCcanvaspage-BuyNowCTA</v></cell><cell r="AH4726"><v>224639151</v></cell><cell r="AI4726" t="str"><v>AzurePlatform_FBCTCcanvaspage-BuyNowCTA-Img3_AUS_1080x162_SOC_Plat_English_NA_Standard_NA_BN_T3_1</v></cell><cell r="AJ4726"><v>103316832</v></cell></row><row r="4727"><cell r="C4727" t="str"><v>43315Facebook»Audience & Interest Targeting»1x1»Canvas»OTH»DT»DYN»AUT»W»NA»SS»NA»FBCTCcanvaspage-StartFreeCTA_FBCTCcanvaspage-BuyNowCTA</v></cell><cell r="D4727" t="str"><v>43315224639151</v></cell><cell r="E4727" t="str"><v>43315103316829NowCTA</v></cell><cell r="F4727" t="str"><v>DCM</v></cell><cell r="G4727" t="str"><v>https://signup.azure.com/signup?offer=ms-azr-0044p&appId=102&ref=paidmedia-social-fb&redirectURL=https%3a%2f%2fazure.microsoft.com%2fen-au%2fget-started%2fwelcome-to-azure%2f&l=en-au&correlationId=ead86c34-1f10-49dd-a72b-6918462a2cbf</v></cell></row><row r="4727"><cell r="K4727" t="str"><v>August</v></cell><cell r="L4727"><v>43316</v></cell><cell r="M4727" t="str"><v>Tier 1</v></cell><cell r="N4727" t="str"><v>APAC</v></cell><cell r="O4727" t="str"><v>Australia</v></cell><cell r="P4727" t="str"><v>Trial</v></cell><cell r="Q4727" t="str"><v>Social</v></cell><cell r="R4727" t="str"><v>Azure</v></cell><cell r="S4727" t="str"><v>Apps & Infra</v></cell><cell r="T4727" t="str"><v>Developers & ITI's</v></cell><cell r="U4727" t="str"><v>Audience & Interest Targeting</v></cell><cell r="V4727" t="str"><v>Audience Targeting</v></cell><cell r="W4727" t="str"><v>Other</v></cell><cell r="X4727" t="str"><v>1x1</v></cell></row><row r="4727"><cell r="AA4727"><v>43315</v></cell><cell r="AB4727" t="str"><v>AUS_gaPMG_AZR_AZR_Q1_19_Trial-Social</v></cell><cell r="AC4727"><v>21358568</v></cell><cell r="AD4727"><v>720191</v></cell><cell r="AE4727" t="str"><v>Facebook</v></cell><cell r="AF4727"><v>3654128</v></cell><cell r="AG4727" t="str"><v>Facebook»Audience & Interest Targeting»1x1»Canvas»OTH»DT»DYN»AUT»W»NA»SS»NA»FBCTCcanvaspage-StartFreeCTA_FBCTCcanvaspage-BuyNowCTA</v></cell><cell r="AH4727"><v>224639151</v></cell><cell r="AI4727" t="str"><v>AzurePlatform_FBCTCcanvaspage-StartFreeCTA-Img2_AUS_1080x143 _SOC_Plat_English_NA_Standard_NA_NA_T2_1</v></cell><cell r="AJ4727"><v>103316829</v></cell></row><row r="4728"><cell r="C4728" t="str"><v>43315Facebook»Audience & Interest Targeting»1x1»TextLink»OTH»DT»DYN»AUT»W»NA»SS»NA»Free Account Refresh- 12 months ChE</v></cell><cell r="D4728" t="str"><v>43315224160783</v></cell><cell r="E4728" t="str"><v>43315103051614hs ChE</v></cell><cell r="F4728" t="str"><v>DCM</v></cell></row><row r="4728"><cell r="K4728" t="str"><v>August</v></cell><cell r="L4728"><v>43316</v></cell><cell r="M4728" t="str"><v>Tier 1</v></cell><cell r="N4728" t="str"><v>APAC</v></cell><cell r="O4728" t="str"><v>Australia</v></cell><cell r="P4728" t="str"><v>Trial</v></cell><cell r="Q4728" t="str"><v>Social</v></cell><cell r="R4728" t="str"><v>Azure</v></cell><cell r="S4728" t="str"><v>Apps & Infra</v></cell><cell r="T4728" t="str"><v>Developers & ITI's</v></cell><cell r="U4728" t="str"><v>Audience & Interest Targeting</v></cell><cell r="V4728" t="str"><v>Audience Targeting</v></cell><cell r="W4728" t="str"><v>Other</v></cell><cell r="X4728" t="str"><v>1x1</v></cell></row><row r="4728"><cell r="AA4728"><v>43315</v></cell><cell r="AB4728" t="str"><v>AUS_gaPMG_AZR_AZR_Q1_19_Trial-Social</v></cell><cell r="AC4728"><v>21358568</v></cell><cell r="AD4728"><v>720191</v></cell><cell r="AE4728" t="str"><v>Facebook</v></cell><cell r="AF4728"><v>3654128</v></cell><cell r="AG4728" t="str"><v>Facebook»Audience & Interest Targeting»1x1»TextLink»OTH»DT»DYN»AUT»W»NA»SS»NA»Free Account Refresh- 12 months ChE</v></cell><cell r="AH4728"><v>224160783</v></cell><cell r="AI4728" t="str"><v>AzurePlatform_FreeAcctAppsFACEBOOK12monthsChE_AUS_1200x628_SOC_PLAT_EN_Trial_Standard_NA_SNU_T5_1</v></cell><cell r="AJ4728"><v>103051614</v></cell></row><row r="4729"><cell r="C4729" t="str"><v>43315Facebook»Audience & Interest Targeting»1x1»TextLink»OTH»DT»DYN»AUT»W»NA»SS»NA»Free Account Refresh- Device ChB</v></cell><cell r="D4729" t="str"><v>43315224160777</v></cell><cell r="E4729" t="str"><v>43315103048479ce ChB</v></cell><cell r="F4729" t="str"><v>DCM</v></cell></row><row r="4729"><cell r="K4729" t="str"><v>August</v></cell><cell r="L4729"><v>43316</v></cell><cell r="M4729" t="str"><v>Tier 1</v></cell><cell r="N4729" t="str"><v>APAC</v></cell><cell r="O4729" t="str"><v>Australia</v></cell><cell r="P4729" t="str"><v>Trial</v></cell><cell r="Q4729" t="str"><v>Social</v></cell><cell r="R4729" t="str"><v>Azure</v></cell><cell r="S4729" t="str"><v>Apps & Infra</v></cell><cell r="T4729" t="str"><v>Developers & ITI's</v></cell><cell r="U4729" t="str"><v>Audience & Interest Targeting</v></cell><cell r="V4729" t="str"><v>Audience Targeting</v></cell><cell r="W4729" t="str"><v>Other</v></cell><cell r="X4729" t="str"><v>1x1</v></cell></row><row r="4729"><cell r="AA4729"><v>43315</v></cell><cell r="AB4729" t="str"><v>AUS_gaPMG_AZR_AZR_Q1_19_Trial-Social</v></cell><cell r="AC4729"><v>21358568</v></cell><cell r="AD4729"><v>720191</v></cell><cell r="AE4729" t="str"><v>Facebook</v></cell><cell r="AF4729"><v>3654128</v></cell><cell r="AG4729" t="str"><v>Facebook»Audience & Interest Targeting»1x1»TextLink»OTH»DT»DYN»AUT»W»NA»SS»NA»Free Account Refresh- Device ChB</v></cell><cell r="AH4729"><v>224160777</v></cell><cell r="AI4729" t="str"><v>AzurePlatform_FreeAcctAppsFACEBOOKDeviceChB_AUS_1200x628_SOC_PLAT_EN_Trial_Standard_NA_SNU_T2_1</v></cell><cell r="AJ4729"><v>103048479</v></cell></row><row r="4730"><cell r="C4730" t="str"><v>43315Facebook»Audience & Interest Targeting»1x1»TextLink»OTH»DT»DYN»AUT»W»NA»SS»NA»Free Account Refresh- Illustration ChC</v></cell><cell r="D4730" t="str"><v>43315224160774</v></cell><cell r="E4730" t="str"><v>43315103186910on ChC</v></cell><cell r="F4730" t="str"><v>DCM</v></cell></row><row r="4730"><cell r="K4730" t="str"><v>August</v></cell><cell r="L4730"><v>43316</v></cell><cell r="M4730" t="str"><v>Tier 1</v></cell><cell r="N4730" t="str"><v>APAC</v></cell><cell r="O4730" t="str"><v>Australia</v></cell><cell r="P4730" t="str"><v>Trial</v></cell><cell r="Q4730" t="str"><v>Social</v></cell><cell r="R4730" t="str"><v>Azure</v></cell><cell r="S4730" t="str"><v>Apps & Infra</v></cell><cell r="T4730" t="str"><v>Developers & ITI's</v></cell><cell r="U4730" t="str"><v>Audience & Interest Targeting</v></cell><cell r="V4730" t="str"><v>Audience Targeting</v></cell><cell r="W4730" t="str"><v>Other</v></cell><cell r="X4730" t="str"><v>1x1</v></cell></row><row r="4730"><cell r="AA4730"><v>43315</v></cell><cell r="AB4730" t="str"><v>AUS_gaPMG_AZR_AZR_Q1_19_Trial-Social</v></cell><cell r="AC4730"><v>21358568</v></cell><cell r="AD4730"><v>720191</v></cell><cell r="AE4730" t="str"><v>Facebook</v></cell><cell r="AF4730"><v>3654128</v></cell><cell r="AG4730" t="str"><v>Facebook»Audience & Interest Targeting»1x1»TextLink»OTH»DT»DYN»AUT»W»NA»SS»NA»Free Account Refresh- Illustration ChC</v></cell><cell r="AH4730"><v>224160774</v></cell><cell r="AI4730" t="str"><v>AzurePlatform_FreeAcctAppsFACEBOOKIllustrationChC_AUS_1200x628_SOC_PLAT_EN_Trial_Standard_NA_SNU_T3_1</v></cell><cell r="AJ4730"><v>103186910</v></cell></row><row r="4731"><cell r="C4731" t="str"><v>43315Facebook»Audience & Interest Targeting»1x1»TextLink»OTH»DT»DYN»AUT»W»NA»SS»NA»Free Account Refresh- Lifestyle ChA</v></cell><cell r="D4731" t="str"><v>43315224160771</v></cell><cell r="E4731" t="str"><v>43315103048488le ChA</v></cell><cell r="F4731" t="str"><v>DCM</v></cell></row><row r="4731"><cell r="K4731" t="str"><v>August</v></cell><cell r="L4731"><v>43316</v></cell><cell r="M4731" t="str"><v>Tier 1</v></cell><cell r="N4731" t="str"><v>APAC</v></cell><cell r="O4731" t="str"><v>Australia</v></cell><cell r="P4731" t="str"><v>Trial</v></cell><cell r="Q4731" t="str"><v>Social</v></cell><cell r="R4731" t="str"><v>Azure</v></cell><cell r="S4731" t="str"><v>Apps & Infra</v></cell><cell r="T4731" t="str"><v>Developers & ITI's</v></cell><cell r="U4731" t="str"><v>Audience & Interest Targeting</v></cell><cell r="V4731" t="str"><v>Audience Targeting</v></cell><cell r="W4731" t="str"><v>Other</v></cell><cell r="X4731" t="str"><v>1x1</v></cell></row><row r="4731"><cell r="AA4731"><v>43315</v></cell><cell r="AB4731" t="str"><v>AUS_gaPMG_AZR_AZR_Q1_19_Trial-Social</v></cell><cell r="AC4731"><v>21358568</v></cell><cell r="AD4731"><v>720191</v></cell><cell r="AE4731" t="str"><v>Facebook</v></cell><cell r="AF4731"><v>3654128</v></cell><cell r="AG4731" t="str"><v>Facebook»Audience & Interest Targeting»1x1»TextLink»OTH»DT»DYN»AUT»W»NA»SS»NA»Free Account Refresh- Lifestyle ChA</v></cell><cell r="AH4731"><v>224160771</v></cell><cell r="AI4731" t="str"><v>AzurePlatform_FreeAcctAppsFACEBOOKLifestyleChA_AUS_1200x628_SOC_PLAT_EN_Trial_Standard_NA_SNU_T1_1</v></cell><cell r="AJ4731"><v>103048488</v></cell></row><row r="4732"><cell r="C4732" t="str"><v>43315Facebook»LAL»1x1»TextLink»SOC»DT»DYN»LAL»W»NA»SS»NA»Free Account Refresh- 200 Credit ChD</v></cell><cell r="D4732" t="str"><v>43315224160720</v></cell><cell r="E4732" t="str"><v>43315103186907it ChD</v></cell><cell r="F4732" t="str"><v>DCM</v></cell><cell r="G4732" t="str"><v>https://azure.microsoft.com/en-au/free/open-source/search/</v></cell></row><row r="4732"><cell r="K4732" t="str"><v>August</v></cell><cell r="L4732"><v>43316</v></cell><cell r="M4732" t="str"><v>Tier 1</v></cell><cell r="N4732" t="str"><v>APAC</v></cell><cell r="O4732" t="str"><v>Australia</v></cell><cell r="P4732" t="str"><v>Trial</v></cell><cell r="Q4732" t="str"><v>Social</v></cell><cell r="R4732" t="str"><v>Azure</v></cell><cell r="S4732" t="str"><v>Apps & Infra</v></cell><cell r="T4732" t="str"><v>Developers & ITI's</v></cell><cell r="U4732" t="str"><v>LAL</v></cell><cell r="V4732" t="str"><v>Lookalike Targeting</v></cell><cell r="W4732" t="str"><v>Social</v></cell><cell r="X4732" t="str"><v>1x1</v></cell></row><row r="4732"><cell r="AA4732"><v>43315</v></cell><cell r="AB4732" t="str"><v>AUS_gaPMG_AZR_AZR_Q1_19_Trial-Social</v></cell><cell r="AC4732"><v>21358568</v></cell><cell r="AD4732"><v>720191</v></cell><cell r="AE4732" t="str"><v>Facebook</v></cell><cell r="AF4732"><v>3654128</v></cell><cell r="AG4732" t="str"><v>Facebook»LAL»1x1»TextLink»SOC»DT»DYN»LAL»W»NA»SS»NA»Free Account Refresh- 200 Credit ChD</v></cell><cell r="AH4732"><v>224160720</v></cell><cell r="AI4732" t="str"><v>AzurePlatform_FreeAcctRetargetingOSSFB-Logos-ChG_AUS_1200x628_SOC_Plat_EN_Free Account_Standard_NA_SNU_T2_1</v></cell><cell r="AJ4732"><v>103186907</v></cell></row><row r="4733"><cell r="C4733" t="str"><v>43315Facebook»LAL»1x1»TextLink»SOC»DT»DYN»LAL»W»NA»SS»NA»Free Account Refresh- Device ChB</v></cell><cell r="D4733" t="str"><v>43315224160717</v></cell><cell r="E4733" t="str"><v>43315103048485ce ChB</v></cell><cell r="F4733" t="str"><v>DCM</v></cell><cell r="G4733" t="str"><v>https://azure.microsoft.com/en-au/free/open-source/search/</v></cell></row><row r="4733"><cell r="K4733" t="str"><v>August</v></cell><cell r="L4733"><v>43316</v></cell><cell r="M4733" t="str"><v>Tier 1</v></cell><cell r="N4733" t="str"><v>APAC</v></cell><cell r="O4733" t="str"><v>Australia</v></cell><cell r="P4733" t="str"><v>Trial</v></cell><cell r="Q4733" t="str"><v>Social</v></cell><cell r="R4733" t="str"><v>Azure</v></cell><cell r="S4733" t="str"><v>Apps & Infra</v></cell><cell r="T4733" t="str"><v>Developers & ITI's</v></cell><cell r="U4733" t="str"><v>LAL</v></cell><cell r="V4733" t="str"><v>Lookalike Targeting</v></cell><cell r="W4733" t="str"><v>Social</v></cell><cell r="X4733" t="str"><v>1x1</v></cell></row><row r="4733"><cell r="AA4733"><v>43315</v></cell><cell r="AB4733" t="str"><v>AUS_gaPMG_AZR_AZR_Q1_19_Trial-Social</v></cell><cell r="AC4733"><v>21358568</v></cell><cell r="AD4733"><v>720191</v></cell><cell r="AE4733" t="str"><v>Facebook</v></cell><cell r="AF4733"><v>3654128</v></cell><cell r="AG4733" t="str"><v>Facebook»LAL»1x1»TextLink»SOC»DT»DYN»LAL»W»NA»SS»NA»Free Account Refresh- Device ChB</v></cell><cell r="AH4733"><v>224160717</v></cell><cell r="AI4733" t="str"><v>AzurePlatform_FreeAcctRetargetingOSSFB-Text-ChF_AUS_1200x628_SOC_Plat_EN_Free Account_Standard_NA_SNU_T1_1</v></cell><cell r="AJ4733"><v>103048485</v></cell></row><row r="4734"><cell r="C4734" t="str"><v>43315Facebook»LAL»1x1»TextLink»SOC»DT»DYN»LAL»W»NA»SS»NA»Free Account Refresh- Illustration ChC</v></cell><cell r="D4734" t="str"><v>43315224160714</v></cell><cell r="E4734" t="str"><v>43315103186916on ChC</v></cell><cell r="F4734" t="str"><v>DCM</v></cell><cell r="G4734" t="str"><v>https://azure.microsoft.com/en-au/free/virtual-machines/search/</v></cell></row><row r="4734"><cell r="K4734" t="str"><v>August</v></cell><cell r="L4734"><v>43316</v></cell><cell r="M4734" t="str"><v>Tier 1</v></cell><cell r="N4734" t="str"><v>APAC</v></cell><cell r="O4734" t="str"><v>Australia</v></cell><cell r="P4734" t="str"><v>Trial</v></cell><cell r="Q4734" t="str"><v>Social</v></cell><cell r="R4734" t="str"><v>Azure</v></cell><cell r="S4734" t="str"><v>Apps & Infra</v></cell><cell r="T4734" t="str"><v>Developers & ITI's</v></cell><cell r="U4734" t="str"><v>LAL</v></cell><cell r="V4734" t="str"><v>Lookalike Targeting</v></cell><cell r="W4734" t="str"><v>Social</v></cell><cell r="X4734" t="str"><v>1x1</v></cell></row><row r="4734"><cell r="AA4734"><v>43315</v></cell><cell r="AB4734" t="str"><v>AUS_gaPMG_AZR_AZR_Q1_19_Trial-Social</v></cell><cell r="AC4734"><v>21358568</v></cell><cell r="AD4734"><v>720191</v></cell><cell r="AE4734" t="str"><v>Facebook</v></cell><cell r="AF4734"><v>3654128</v></cell><cell r="AG4734" t="str"><v>Facebook»LAL»1x1»TextLink»SOC»DT»DYN»LAL»W»NA»SS»NA»Free Account Refresh- Illustration ChC</v></cell><cell r="AH4734"><v>224160714</v></cell><cell r="AI4734" t="str"><v>AzurePlatform_FreeAcctRetargetingVMFB-750Hrs-ChD_AUS_1200x628_SOC_Plat_EN_Free Account_Standard_NA_SNU_T1_1</v></cell><cell r="AJ4734"><v>103186916</v></cell></row><row r="4735"><cell r="C4735" t="str"><v>43315Facebook»LAL»1x1»TextLink»SOC»DT»DYN»LAL»W»NA»SS»NA»Free Account Refresh- Lifestyle ChA</v></cell><cell r="D4735" t="str"><v>43315224160711</v></cell><cell r="E4735" t="str"><v>43315103048491le ChA</v></cell><cell r="F4735" t="str"><v>DCM</v></cell><cell r="G4735" t="str"><v>https://azure.microsoft.com/en-au/free/virtual-machines/search/</v></cell></row><row r="4735"><cell r="K4735" t="str"><v>August</v></cell><cell r="L4735"><v>43316</v></cell><cell r="M4735" t="str"><v>Tier 1</v></cell><cell r="N4735" t="str"><v>APAC</v></cell><cell r="O4735" t="str"><v>Australia</v></cell><cell r="P4735" t="str"><v>Trial</v></cell><cell r="Q4735" t="str"><v>Social</v></cell><cell r="R4735" t="str"><v>Azure</v></cell><cell r="S4735" t="str"><v>Apps & Infra</v></cell><cell r="T4735" t="str"><v>Developers & ITI's</v></cell><cell r="U4735" t="str"><v>LAL</v></cell><cell r="V4735" t="str"><v>Lookalike Targeting</v></cell><cell r="W4735" t="str"><v>Social</v></cell><cell r="X4735" t="str"><v>1x1</v></cell></row><row r="4735"><cell r="AA4735"><v>43315</v></cell><cell r="AB4735" t="str"><v>AUS_gaPMG_AZR_AZR_Q1_19_Trial-Social</v></cell><cell r="AC4735"><v>21358568</v></cell><cell r="AD4735"><v>720191</v></cell><cell r="AE4735" t="str"><v>Facebook</v></cell><cell r="AF4735"><v>3654128</v></cell><cell r="AG4735" t="str"><v>Facebook»LAL»1x1»TextLink»SOC»DT»DYN»LAL»W»NA»SS»NA»Free Account Refresh- Lifestyle ChA</v></cell><cell r="AH4735"><v>224160711</v></cell><cell r="AI4735" t="str"><v>AzurePlatform_FreeAcctRetargetingVMFB-OnDemand-ChE_AUS_1200x628_SOC_Plat_EN_Free Account_Standard_NA_SNU_T2_1</v></cell><cell r="AJ4735"><v>103048491</v></cell></row><row r="4736"><cell r="C4736" t="str"><v>43315Facebook»Retargeting»1x1»TextLink»SOC»DT»DYN»RT»W»NA»SS»NA»Free Account Refresh- 200 Credit ChD</v></cell><cell r="D4736" t="str"><v>43315224160738</v></cell><cell r="E4736" t="str"><v>43315103186904it ChD</v></cell><cell r="F4736" t="str"><v>DCM</v></cell></row><row r="4736"><cell r="K4736" t="str"><v>August</v></cell><cell r="L4736"><v>43316</v></cell><cell r="M4736" t="str"><v>Tier 1</v></cell><cell r="N4736" t="str"><v>APAC</v></cell><cell r="O4736" t="str"><v>Australia</v></cell><cell r="P4736" t="str"><v>Trial</v></cell><cell r="Q4736" t="str"><v>Social</v></cell><cell r="R4736" t="str"><v>Azure</v></cell><cell r="S4736" t="str"><v>Apps & Infra</v></cell><cell r="T4736" t="str"><v>Developers & ITI's</v></cell><cell r="U4736" t="str"><v>Retargeting</v></cell><cell r="V4736" t="str"><v>Retargeting</v></cell><cell r="W4736" t="str"><v>Social</v></cell><cell r="X4736" t="str"><v>1x1</v></cell></row><row r="4736"><cell r="AA4736"><v>43315</v></cell><cell r="AB4736" t="str"><v>AUS_gaPMG_AZR_AZR_Q1_19_Trial-Social</v></cell><cell r="AC4736"><v>21358568</v></cell><cell r="AD4736"><v>720191</v></cell><cell r="AE4736" t="str"><v>Facebook</v></cell><cell r="AF4736"><v>3654128</v></cell><cell r="AG4736" t="str"><v>Facebook»Retargeting»1x1»TextLink»SOC»DT»DYN»RT»W»NA»SS»NA»Free Account Refresh- 200 Credit ChD</v></cell><cell r="AH4736"><v>224160738</v></cell><cell r="AI4736" t="str"><v>AzurePlatform_FreeAcctAppsFACEBOOK200CreditChD_AUS_1200x628_SOC_PLAT_EN_Trial_Standard_NA_SNU_T4_1</v></cell><cell r="AJ4736"><v>103186904</v></cell></row><row r="4737"><cell r="C4737" t="str"><v>43315Facebook»Retargeting»1x1»TextLink»SOC»DT»DYN»RT»W»NA»SS»NA»Free Account Refresh- Device ChB</v></cell><cell r="D4737" t="str"><v>43315224160735</v></cell><cell r="E4737" t="str"><v>43315103048479ce ChB</v></cell><cell r="F4737" t="str"><v>DCM</v></cell></row><row r="4737"><cell r="K4737" t="str"><v>August</v></cell><cell r="L4737"><v>43316</v></cell><cell r="M4737" t="str"><v>Tier 1</v></cell><cell r="N4737" t="str"><v>APAC</v></cell><cell r="O4737" t="str"><v>Australia</v></cell><cell r="P4737" t="str"><v>Trial</v></cell><cell r="Q4737" t="str"><v>Social</v></cell><cell r="R4737" t="str"><v>Azure</v></cell><cell r="S4737" t="str"><v>Apps & Infra</v></cell><cell r="T4737" t="str"><v>Developers & ITI's</v></cell><cell r="U4737" t="str"><v>Retargeting</v></cell><cell r="V4737" t="str"><v>Retargeting</v></cell><cell r="W4737" t="str"><v>Social</v></cell><cell r="X4737" t="str"><v>1x1</v></cell></row><row r="4737"><cell r="AA4737"><v>43315</v></cell><cell r="AB4737" t="str"><v>AUS_gaPMG_AZR_AZR_Q1_19_Trial-Social</v></cell><cell r="AC4737"><v>21358568</v></cell><cell r="AD4737"><v>720191</v></cell><cell r="AE4737" t="str"><v>Facebook</v></cell><cell r="AF4737"><v>3654128</v></cell><cell r="AG4737" t="str"><v>Facebook»Retargeting»1x1»TextLink»SOC»DT»DYN»RT»W»NA»SS»NA»Free Account Refresh- Device ChB</v></cell><cell r="AH4737"><v>224160735</v></cell><cell r="AI4737" t="str"><v>AzurePlatform_FreeAcctAppsFACEBOOKDeviceChB_AUS_1200x628_SOC_PLAT_EN_Trial_Standard_NA_SNU_T2_1</v></cell><cell r="AJ4737"><v>103048479</v></cell></row><row r="4738"><cell r="C4738" t="str"><v>43315Facebook»Retargeting»1x1»TextLink»SOC»DT»DYN»RT»W»NA»SS»NA»Free Account Refresh- Illustration ChC</v></cell><cell r="D4738" t="str"><v>43315224160732</v></cell><cell r="E4738" t="str"><v>43315103186910on ChC</v></cell><cell r="F4738" t="str"><v>DCM</v></cell></row><row r="4738"><cell r="K4738" t="str"><v>August</v></cell><cell r="L4738"><v>43316</v></cell><cell r="M4738" t="str"><v>Tier 1</v></cell><cell r="N4738" t="str"><v>APAC</v></cell><cell r="O4738" t="str"><v>Australia</v></cell><cell r="P4738" t="str"><v>Trial</v></cell><cell r="Q4738" t="str"><v>Social</v></cell><cell r="R4738" t="str"><v>Azure</v></cell><cell r="S4738" t="str"><v>Apps & Infra</v></cell><cell r="T4738" t="str"><v>Developers & ITI's</v></cell><cell r="U4738" t="str"><v>Retargeting</v></cell><cell r="V4738" t="str"><v>Retargeting</v></cell><cell r="W4738" t="str"><v>Social</v></cell><cell r="X4738" t="str"><v>1x1</v></cell></row><row r="4738"><cell r="AA4738"><v>43315</v></cell><cell r="AB4738" t="str"><v>AUS_gaPMG_AZR_AZR_Q1_19_Trial-Social</v></cell><cell r="AC4738"><v>21358568</v></cell><cell r="AD4738"><v>720191</v></cell><cell r="AE4738" t="str"><v>Facebook</v></cell><cell r="AF4738"><v>3654128</v></cell><cell r="AG4738" t="str"><v>Facebook»Retargeting»1x1»TextLink»SOC»DT»DYN»RT»W»NA»SS»NA»Free Account Refresh- Illustration ChC</v></cell><cell r="AH4738"><v>224160732</v></cell><cell r="AI4738" t="str"><v>AzurePlatform_FreeAcctAppsFACEBOOKIllustrationChC_AUS_1200x628_SOC_PLAT_EN_Trial_Standard_NA_SNU_T3_1</v></cell><cell r="AJ4738"><v>103186910</v></cell></row><row r="4739"><cell r="C4739" t="str"><v>43315Facebook»Retargeting»1x1»TextLink»SOC»DT»DYN»RT»W»NA»SS»NA»Free Account Refresh- Lifestyle ChA</v></cell><cell r="D4739" t="str"><v>43315224160729</v></cell><cell r="E4739" t="str"><v>43315103048488le ChA</v></cell><cell r="F4739" t="str"><v>DCM</v></cell></row><row r="4739"><cell r="K4739" t="str"><v>August</v></cell><cell r="L4739"><v>43316</v></cell><cell r="M4739" t="str"><v>Tier 1</v></cell><cell r="N4739" t="str"><v>APAC</v></cell><cell r="O4739" t="str"><v>Australia</v></cell><cell r="P4739" t="str"><v>Trial</v></cell><cell r="Q4739" t="str"><v>Social</v></cell><cell r="R4739" t="str"><v>Azure</v></cell><cell r="S4739" t="str"><v>Apps & Infra</v></cell><cell r="T4739" t="str"><v>Developers & ITI's</v></cell><cell r="U4739" t="str"><v>Retargeting</v></cell><cell r="V4739" t="str"><v>Retargeting</v></cell><cell r="W4739" t="str"><v>Social</v></cell><cell r="X4739" t="str"><v>1x1</v></cell></row><row r="4739"><cell r="AA4739"><v>43315</v></cell><cell r="AB4739" t="str"><v>AUS_gaPMG_AZR_AZR_Q1_19_Trial-Social</v></cell><cell r="AC4739"><v>21358568</v></cell><cell r="AD4739"><v>720191</v></cell><cell r="AE4739" t="str"><v>Facebook</v></cell><cell r="AF4739"><v>3654128</v></cell><cell r="AG4739" t="str"><v>Facebook»Retargeting»1x1»TextLink»SOC»DT»DYN»RT»W»NA»SS»NA»Free Account Refresh- Lifestyle ChA</v></cell><cell r="AH4739"><v>224160729</v></cell><cell r="AI4739" t="str"><v>AzurePlatform_FreeAcctAppsFACEBOOKLifestyleChA_AUS_1200x628_SOC_PLAT_EN_Trial_Standard_NA_SNU_T1_1</v></cell><cell r="AJ4739"><v>103048488</v></cell></row><row r="4740"><cell r="C4740" t="str"><v>43315Facebook»AZR»1x1»NA»EGV»ALL»DYN»AUT»D»All»SS»NA»Free Acc CTC - T1 - EN</v></cell><cell r="D4740" t="str"><v>43315223684451</v></cell><cell r="E4740" t="str"><v>433151029018821 - EN</v></cell><cell r="F4740" t="str"><v>DCM</v></cell><cell r="G4740" t="str"><v>https://signup.azure.com/</v></cell></row><row r="4740"><cell r="K4740" t="str"><v>August</v></cell><cell r="L4740"><v>43316</v></cell><cell r="M4740" t="str"><v>Tier 1</v></cell><cell r="N4740" t="str"><v>North America</v></cell><cell r="O4740" t="str"><v>Canada</v></cell><cell r="P4740" t="str"><v>Trial</v></cell><cell r="Q4740" t="str"><v>Social</v></cell><cell r="R4740" t="str"><v>Azure</v></cell><cell r="S4740" t="str"><v>Apps & Infra</v></cell><cell r="T4740" t="str"><v>Developers & ITI's</v></cell><cell r="U4740" t="str"><v>AZR</v></cell><cell r="V4740" t="str"><v>Audience Targeting</v></cell><cell r="W4740" t="str"><v>Engagement Video</v></cell><cell r="X4740" t="str"><v>1x1</v></cell></row><row r="4740"><cell r="AA4740"><v>43315</v></cell><cell r="AB4740" t="str"><v>CAN_gaPMG_AZR_AZR_Q1_19_Trial-Social</v></cell><cell r="AC4740"><v>21337220</v></cell><cell r="AD4740"><v>720192</v></cell><cell r="AE4740" t="str"><v>Facebook</v></cell><cell r="AF4740"><v>3654128</v></cell><cell r="AG4740" t="str"><v>Facebook»AZR»1x1»NA»EGV»ALL»DYN»AUT»D»All»SS»NA»Free Acc CTC - T1 - EN</v></cell><cell r="AH4740"><v>223684451</v></cell><cell r="AI4740" t="str"><v>AzurePlatform_FBCTCBasicMotion_CAN_10s_ISV_PLAT_English_Trial_Standard_STAN_TN_T1_1</v></cell><cell r="AJ4740"><v>102901882</v></cell></row><row r="4741"><cell r="C4741" t="str"><v>43315Facebook»AZR»1x1»NA»EGV»ALL»DYN»AUT»D»All»SS»NA»Free Acc CTC - T1 - FR</v></cell><cell r="D4741" t="str"><v>43315223691801</v></cell><cell r="E4741" t="str"><v>433151030533231 - FR</v></cell><cell r="F4741" t="str"><v>DCM</v></cell><cell r="G4741" t="str"><v>https://signup.azure.com/</v></cell></row><row r="4741"><cell r="K4741" t="str"><v>August</v></cell><cell r="L4741"><v>43316</v></cell><cell r="M4741" t="str"><v>Tier 1</v></cell><cell r="N4741" t="str"><v>North America</v></cell><cell r="O4741" t="str"><v>Canada</v></cell><cell r="P4741" t="str"><v>Trial</v></cell><cell r="Q4741" t="str"><v>Social</v></cell><cell r="R4741" t="str"><v>Azure</v></cell><cell r="S4741" t="str"><v>Apps & Infra</v></cell><cell r="T4741" t="str"><v>Developers & ITI's</v></cell><cell r="U4741" t="str"><v>AZR</v></cell><cell r="V4741" t="str"><v>Audience Targeting</v></cell><cell r="W4741" t="str"><v>Engagement Video</v></cell><cell r="X4741" t="str"><v>1x1</v></cell></row><row r="4741"><cell r="AA4741"><v>43315</v></cell><cell r="AB4741" t="str"><v>CAN_gaPMG_AZR_AZR_Q1_19_Trial-Social</v></cell><cell r="AC4741"><v>21337220</v></cell><cell r="AD4741"><v>720192</v></cell><cell r="AE4741" t="str"><v>Facebook</v></cell><cell r="AF4741"><v>3654128</v></cell><cell r="AG4741" t="str"><v>Facebook»AZR»1x1»NA»EGV»ALL»DYN»AUT»D»All»SS»NA»Free Acc CTC - T1 - FR</v></cell><cell r="AH4741"><v>223691801</v></cell><cell r="AI4741" t="str"><v>AzurePlatform_FBCTCBasicMotion_CAN_10s_ISV_PLAT_FR_Trial_Standard_STAN_TN_T1_1</v></cell><cell r="AJ4741"><v>103053323</v></cell></row><row r="4742"><cell r="C4742" t="str"><v>43315Facebook»AZR»1x1»NA»EGV»ALL»DYN»AUT»D»All»SS»NA»Free Acc CTC - T2 - EN</v></cell><cell r="D4742" t="str"><v>43315223691840</v></cell><cell r="E4742" t="str"><v>433151029029502 - EN</v></cell><cell r="F4742" t="str"><v>DCM</v></cell><cell r="G4742" t="str"><v>https://signup.azure.com/</v></cell></row><row r="4742"><cell r="K4742" t="str"><v>August</v></cell><cell r="L4742"><v>43316</v></cell><cell r="M4742" t="str"><v>Tier 1</v></cell><cell r="N4742" t="str"><v>North America</v></cell><cell r="O4742" t="str"><v>Canada</v></cell><cell r="P4742" t="str"><v>Trial</v></cell><cell r="Q4742" t="str"><v>Social</v></cell><cell r="R4742" t="str"><v>Azure</v></cell><cell r="S4742" t="str"><v>Apps & Infra</v></cell><cell r="T4742" t="str"><v>Developers & ITI's</v></cell><cell r="U4742" t="str"><v>AZR</v></cell><cell r="V4742" t="str"><v>Audience Targeting</v></cell><cell r="W4742" t="str"><v>Engagement Video</v></cell><cell r="X4742" t="str"><v>1x1</v></cell></row><row r="4742"><cell r="AA4742"><v>43315</v></cell><cell r="AB4742" t="str"><v>CAN_gaPMG_AZR_AZR_Q1_19_Trial-Social</v></cell><cell r="AC4742"><v>21337220</v></cell><cell r="AD4742"><v>720192</v></cell><cell r="AE4742" t="str"><v>Facebook</v></cell><cell r="AF4742"><v>3654128</v></cell><cell r="AG4742" t="str"><v>Facebook»AZR»1x1»NA»EGV»ALL»DYN»AUT»D»All»SS»NA»Free Acc CTC - T2 - EN</v></cell><cell r="AH4742"><v>223691840</v></cell><cell r="AI4742" t="str"><v>AzurePlatform_FBCTCBrandinMotion_CAN_12s_ISV_PLAT_English_Trial_Standard_STAN_TN_T2_1</v></cell><cell r="AJ4742"><v>102902950</v></cell></row><row r="4743"><cell r="C4743" t="str"><v>43315Facebook»AZR»1x1»NA»EGV»ALL»DYN»AUT»D»All»SS»NA»Free Acc CTC - T4 - EN</v></cell><cell r="D4743" t="str"><v>43315223691837</v></cell><cell r="E4743" t="str"><v>433151030533144 - EN</v></cell><cell r="F4743" t="str"><v>DCM</v></cell><cell r="G4743" t="str"><v>https://signup.azure.com/</v></cell></row><row r="4743"><cell r="K4743" t="str"><v>August</v></cell><cell r="L4743"><v>43316</v></cell><cell r="M4743" t="str"><v>Tier 1</v></cell><cell r="N4743" t="str"><v>North America</v></cell><cell r="O4743" t="str"><v>Canada</v></cell><cell r="P4743" t="str"><v>Trial</v></cell><cell r="Q4743" t="str"><v>Social</v></cell><cell r="R4743" t="str"><v>Azure</v></cell><cell r="S4743" t="str"><v>Apps & Infra</v></cell><cell r="T4743" t="str"><v>Developers & ITI's</v></cell><cell r="U4743" t="str"><v>AZR</v></cell><cell r="V4743" t="str"><v>Audience Targeting</v></cell><cell r="W4743" t="str"><v>Engagement Video</v></cell><cell r="X4743" t="str"><v>1x1</v></cell></row><row r="4743"><cell r="AA4743"><v>43315</v></cell><cell r="AB4743" t="str"><v>CAN_gaPMG_AZR_AZR_Q1_19_Trial-Social</v></cell><cell r="AC4743"><v>21337220</v></cell><cell r="AD4743"><v>720192</v></cell><cell r="AE4743" t="str"><v>Facebook</v></cell><cell r="AF4743"><v>3654128</v></cell><cell r="AG4743" t="str"><v>Facebook»AZR»1x1»NA»EGV»ALL»DYN»AUT»D»All»SS»NA»Free Acc CTC - T4 - EN</v></cell><cell r="AH4743"><v>223691837</v></cell><cell r="AI4743" t="str"><v>AzurePlatform_FBCTCBenefit2inMotion_CAN_14s_ISV_PLAT_English_Trial_Standard_STAN_TN_T4_1</v></cell><cell r="AJ4743"><v>103053314</v></cell></row><row r="4744"><cell r="C4744" t="str"><v>43315Facebook»AZR»1x1»NA»SOC»ALL»DYN»PRO»D»All»SS»NA»Canvas - Start Free - FR</v></cell><cell r="D4744" t="str"><v>43315225525936</v></cell><cell r="E4744" t="str"><v>43315103902551e - FR</v></cell><cell r="F4744" t="str"><v>DCM</v></cell><cell r="G4744" t="str"><v>https://signup.azure.com/signup?offer=ms-azr-0044p&appId=102&ref=paidmedia-social-fb&redirectURL=https%3a%2f%2fazure.microsoft.com%2ffr-ca%2fget-started%2fwelcome-to-azure%2f&l=fr-ca&correlationId=ead86c34-1f10-49dd-a72b-6918462a2cbf</v></cell></row><row r="4744"><cell r="K4744" t="str"><v>August</v></cell><cell r="L4744"><v>43316</v></cell><cell r="M4744" t="str"><v>Tier 1</v></cell><cell r="N4744" t="str"><v>North America</v></cell><cell r="O4744" t="str"><v>Canada</v></cell><cell r="P4744" t="str"><v>Trial</v></cell><cell r="Q4744" t="str"><v>Social</v></cell><cell r="R4744" t="str"><v>Azure</v></cell><cell r="S4744" t="str"><v>Apps & Infra</v></cell><cell r="T4744" t="str"><v>Developers & ITI's</v></cell><cell r="U4744" t="str"><v>AZR</v></cell><cell r="V4744" t="str"><v>Prospecting</v></cell><cell r="W4744" t="str"><v>Social</v></cell><cell r="X4744" t="str"><v>1x1</v></cell></row><row r="4744"><cell r="AA4744"><v>43315</v></cell><cell r="AB4744" t="str"><v>CAN_gaPMG_AZR_AZR_Q1_19_Trial-Social</v></cell><cell r="AC4744"><v>21337220</v></cell><cell r="AD4744"><v>720192</v></cell><cell r="AE4744" t="str"><v>Facebook</v></cell><cell r="AF4744"><v>3654128</v></cell><cell r="AG4744" t="str"><v>Facebook»AZR»1x1»NA»SOC»ALL»DYN»PRO»D»All»SS»NA»Canvas - Start Free - FR</v></cell><cell r="AH4744"><v>225525936</v></cell><cell r="AI4744" t="str"><v>AzurePlatform_FBCTCcanvaspage-StartFreeCTA-Img2_CAN_1080x143 _SOC_Plat_French_NA_Standard_NA_NA_T2_1</v></cell><cell r="AJ4744"><v>103902551</v></cell></row><row r="4745"><cell r="C4745" t="str"><v>43315Facebook»AZR»1x1»SocialBan»NA»ALL»DYN»AUT»D»All»SS»NA»Free Acc Refresh - T1 - EN</v></cell><cell r="D4745" t="str"><v>43315223691804</v></cell><cell r="E4745" t="str"><v>433151030587171 - EN</v></cell><cell r="F4745" t="str"><v>DCM</v></cell><cell r="G4745" t="str"><v>https://azure.microsoft.com/en-CA/free/search/</v></cell></row><row r="4745"><cell r="K4745" t="str"><v>August</v></cell><cell r="L4745"><v>43316</v></cell><cell r="M4745" t="str"><v>Tier 1</v></cell><cell r="N4745" t="str"><v>North America</v></cell><cell r="O4745" t="str"><v>Canada</v></cell><cell r="P4745" t="str"><v>Trial</v></cell><cell r="Q4745" t="str"><v>Social</v></cell><cell r="R4745" t="str"><v>Azure</v></cell><cell r="S4745" t="str"><v>Apps & Infra</v></cell><cell r="T4745" t="str"><v>Developers & ITI's</v></cell><cell r="U4745" t="str"><v>AZR</v></cell><cell r="V4745" t="str"><v>Audience Targeting</v></cell><cell r="W4745" t="str"><v>NotApplicable</v></cell><cell r="X4745" t="str"><v>1x1</v></cell></row><row r="4745"><cell r="AA4745"><v>43315</v></cell><cell r="AB4745" t="str"><v>CAN_gaPMG_AZR_AZR_Q1_19_Trial-Social</v></cell><cell r="AC4745"><v>21337220</v></cell><cell r="AD4745"><v>720192</v></cell><cell r="AE4745" t="str"><v>Facebook</v></cell><cell r="AF4745"><v>3654128</v></cell><cell r="AG4745" t="str"><v>Facebook»AZR»1x1»SocialBan»NA»ALL»DYN»AUT»D»All»SS»NA»Free Acc Refresh - T1 - EN</v></cell><cell r="AH4745"><v>223691804</v></cell><cell r="AI4745" t="str"><v>AzurePlatform_FreeAcctAppsFACEBOOKLifestyleChA_CAN_1200x628_SOC_PLAT_EN_Trial_Standard_NA_SU_T1_1.png</v></cell><cell r="AJ4745"><v>103058717</v></cell></row><row r="4746"><cell r="C4746" t="str"><v>43315Facebook»AZR»1x1»SocialBan»NA»ALL»DYN»AUT»D»All»SS»NA»Free Acc Refresh - T3 - EN</v></cell><cell r="D4746" t="str"><v>43315223691807</v></cell><cell r="E4746" t="str"><v>433151029006853 - EN</v></cell><cell r="F4746" t="str"><v>DCM</v></cell><cell r="G4746" t="str"><v>https://azure.microsoft.com/en-CA/free/search/</v></cell></row><row r="4746"><cell r="K4746" t="str"><v>August</v></cell><cell r="L4746"><v>43316</v></cell><cell r="M4746" t="str"><v>Tier 1</v></cell><cell r="N4746" t="str"><v>North America</v></cell><cell r="O4746" t="str"><v>Canada</v></cell><cell r="P4746" t="str"><v>Trial</v></cell><cell r="Q4746" t="str"><v>Social</v></cell><cell r="R4746" t="str"><v>Azure</v></cell><cell r="S4746" t="str"><v>Apps & Infra</v></cell><cell r="T4746" t="str"><v>Developers & ITI's</v></cell><cell r="U4746" t="str"><v>AZR</v></cell><cell r="V4746" t="str"><v>Audience Targeting</v></cell><cell r="W4746" t="str"><v>NotApplicable</v></cell><cell r="X4746" t="str"><v>1x1</v></cell></row><row r="4746"><cell r="AA4746"><v>43315</v></cell><cell r="AB4746" t="str"><v>CAN_gaPMG_AZR_AZR_Q1_19_Trial-Social</v></cell><cell r="AC4746"><v>21337220</v></cell><cell r="AD4746"><v>720192</v></cell><cell r="AE4746" t="str"><v>Facebook</v></cell><cell r="AF4746"><v>3654128</v></cell><cell r="AG4746" t="str"><v>Facebook»AZR»1x1»SocialBan»NA»ALL»DYN»AUT»D»All»SS»NA»Free Acc Refresh - T3 - EN</v></cell><cell r="AH4746"><v>223691807</v></cell><cell r="AI4746" t="str"><v>AzurePlatform_FreeAcctAppsFACEBOOKIllustrationChC_CAN_1200x628_SOC_PLAT_EN_Trial_Standard_NA_SU_T3_1.png</v></cell><cell r="AJ4746"><v>102900685</v></cell></row><row r="4747"><cell r="C4747" t="str"><v>43315Facebook»AZR»1x1»SocialBan»NA»ALL»DYN»AUT»D»All»SS»NA»Free Acc Refresh - T3 - FR</v></cell><cell r="D4747" t="str"><v>43315223691765</v></cell><cell r="E4747" t="str"><v>433151030533323 - FR</v></cell><cell r="F4747" t="str"><v>DCM</v></cell><cell r="G4747" t="str"><v>https://azure.microsoft.com/fr-ca/free/search/</v></cell></row><row r="4747"><cell r="K4747" t="str"><v>August</v></cell><cell r="L4747"><v>43316</v></cell><cell r="M4747" t="str"><v>Tier 1</v></cell><cell r="N4747" t="str"><v>North America</v></cell><cell r="O4747" t="str"><v>Canada</v></cell><cell r="P4747" t="str"><v>Trial</v></cell><cell r="Q4747" t="str"><v>Social</v></cell><cell r="R4747" t="str"><v>Azure</v></cell><cell r="S4747" t="str"><v>Apps & Infra</v></cell><cell r="T4747" t="str"><v>Developers & ITI's</v></cell><cell r="U4747" t="str"><v>AZR</v></cell><cell r="V4747" t="str"><v>Audience Targeting</v></cell><cell r="W4747" t="str"><v>NotApplicable</v></cell><cell r="X4747" t="str"><v>1x1</v></cell></row><row r="4747"><cell r="AA4747"><v>43315</v></cell><cell r="AB4747" t="str"><v>CAN_gaPMG_AZR_AZR_Q1_19_Trial-Social</v></cell><cell r="AC4747"><v>21337220</v></cell><cell r="AD4747"><v>720192</v></cell><cell r="AE4747" t="str"><v>Facebook</v></cell><cell r="AF4747"><v>3654128</v></cell><cell r="AG4747" t="str"><v>Facebook»AZR»1x1»SocialBan»NA»ALL»DYN»AUT»D»All»SS»NA»Free Acc Refresh - T3 - FR</v></cell><cell r="AH4747"><v>223691765</v></cell><cell r="AI4747" t="str"><v>AzurePlatform_FreeAcctAppsFACEBOOKIllustrationChC_CAN_1200x628_SOC_PLAT_FR_Trial_Standard_NA_SU_T3_1.png</v></cell><cell r="AJ4747"><v>103053332</v></cell></row><row r="4748"><cell r="C4748" t="str"><v>43315Facebook»AZR»1x1»SocialBan»NA»ALL»DYN»AUT»D»All»SS»NA»Free Acc Refresh - T4 - FR</v></cell><cell r="D4748" t="str"><v>43315223691771</v></cell><cell r="E4748" t="str"><v>433151029029684 - FR</v></cell><cell r="F4748" t="str"><v>DCM</v></cell><cell r="G4748" t="str"><v>https://azure.microsoft.com/fr-ca/free/search/</v></cell></row><row r="4748"><cell r="K4748" t="str"><v>August</v></cell><cell r="L4748"><v>43316</v></cell><cell r="M4748" t="str"><v>Tier 1</v></cell><cell r="N4748" t="str"><v>North America</v></cell><cell r="O4748" t="str"><v>Canada</v></cell><cell r="P4748" t="str"><v>Trial</v></cell><cell r="Q4748" t="str"><v>Social</v></cell><cell r="R4748" t="str"><v>Azure</v></cell><cell r="S4748" t="str"><v>Apps & Infra</v></cell><cell r="T4748" t="str"><v>Developers & ITI's</v></cell><cell r="U4748" t="str"><v>AZR</v></cell><cell r="V4748" t="str"><v>Audience Targeting</v></cell><cell r="W4748" t="str"><v>NotApplicable</v></cell><cell r="X4748" t="str"><v>1x1</v></cell></row><row r="4748"><cell r="AA4748"><v>43315</v></cell><cell r="AB4748" t="str"><v>CAN_gaPMG_AZR_AZR_Q1_19_Trial-Social</v></cell><cell r="AC4748"><v>21337220</v></cell><cell r="AD4748"><v>720192</v></cell><cell r="AE4748" t="str"><v>Facebook</v></cell><cell r="AF4748"><v>3654128</v></cell><cell r="AG4748" t="str"><v>Facebook»AZR»1x1»SocialBan»NA»ALL»DYN»AUT»D»All»SS»NA»Free Acc Refresh - T4 - FR</v></cell><cell r="AH4748"><v>223691771</v></cell><cell r="AI4748" t="str"><v>AzurePlatform_FreeAcctAppsFACEBOOK200CreditChD_CAN_1200x628_SOC_PLAT_FR_Trial_Standard_NA_SU_T4_1.png</v></cell><cell r="AJ4748"><v>102902968</v></cell></row><row r="4749"><cell r="C4749" t="str"><v>43315Facebook»AZR»1x1»SocialBan»NA»ALL»DYN»AUT»D»All»SS»NA»Free Acc Refresh - T5 - EN</v></cell><cell r="D4749" t="str"><v>43315223691816</v></cell><cell r="E4749" t="str"><v>433151029163415 - EN</v></cell><cell r="F4749" t="str"><v>DCM</v></cell><cell r="G4749" t="str"><v>https://azure.microsoft.com/en-CA/free/search/</v></cell></row><row r="4749"><cell r="K4749" t="str"><v>August</v></cell><cell r="L4749"><v>43316</v></cell><cell r="M4749" t="str"><v>Tier 1</v></cell><cell r="N4749" t="str"><v>North America</v></cell><cell r="O4749" t="str"><v>Canada</v></cell><cell r="P4749" t="str"><v>Trial</v></cell><cell r="Q4749" t="str"><v>Social</v></cell><cell r="R4749" t="str"><v>Azure</v></cell><cell r="S4749" t="str"><v>Apps & Infra</v></cell><cell r="T4749" t="str"><v>Developers & ITI's</v></cell><cell r="U4749" t="str"><v>AZR</v></cell><cell r="V4749" t="str"><v>Audience Targeting</v></cell><cell r="W4749" t="str"><v>NotApplicable</v></cell><cell r="X4749" t="str"><v>1x1</v></cell></row><row r="4749"><cell r="AA4749"><v>43315</v></cell><cell r="AB4749" t="str"><v>CAN_gaPMG_AZR_AZR_Q1_19_Trial-Social</v></cell><cell r="AC4749"><v>21337220</v></cell><cell r="AD4749"><v>720192</v></cell><cell r="AE4749" t="str"><v>Facebook</v></cell><cell r="AF4749"><v>3654128</v></cell><cell r="AG4749" t="str"><v>Facebook»AZR»1x1»SocialBan»NA»ALL»DYN»AUT»D»All»SS»NA»Free Acc Refresh - T5 - EN</v></cell><cell r="AH4749"><v>223691816</v></cell><cell r="AI4749" t="str"><v>AzurePlatform_FreeAcctAppsFACEBOOK12monthsChE_CAN_1200x628_SOC_PLAT_EN_Trial_Standard_NA_SU_T5_1.png</v></cell><cell r="AJ4749"><v>102916341</v></cell></row><row r="4750"><cell r="C4750" t="str"><v>43315Facebook»AZR»1x1»SocialBan»NA»ALL»DYN»RT»D»All»SS»NA» Free Account Retargeting OSS - T1 - EN</v></cell><cell r="D4750" t="str"><v>43315223691828</v></cell><cell r="E4750" t="str"><v>433151029029561 - EN</v></cell><cell r="F4750" t="str"><v>DCM</v></cell><cell r="G4750" t="str"><v>https://azure.microsoft.com/en-ca/free/open-source/search/</v></cell></row><row r="4750"><cell r="K4750" t="str"><v>August</v></cell><cell r="L4750"><v>43316</v></cell><cell r="M4750" t="str"><v>Tier 1</v></cell><cell r="N4750" t="str"><v>North America</v></cell><cell r="O4750" t="str"><v>Canada</v></cell><cell r="P4750" t="str"><v>Trial</v></cell><cell r="Q4750" t="str"><v>Social</v></cell><cell r="R4750" t="str"><v>Azure</v></cell><cell r="S4750" t="str"><v>Apps & Infra</v></cell><cell r="T4750" t="str"><v>Developers & ITI's</v></cell><cell r="U4750" t="str"><v>AZR</v></cell><cell r="V4750" t="str"><v>Retargeting</v></cell><cell r="W4750" t="str"><v>NotApplicable</v></cell><cell r="X4750" t="str"><v>1x1</v></cell></row><row r="4750"><cell r="AA4750"><v>43315</v></cell><cell r="AB4750" t="str"><v>CAN_gaPMG_AZR_AZR_Q1_19_Trial-Social</v></cell><cell r="AC4750"><v>21337220</v></cell><cell r="AD4750"><v>720192</v></cell><cell r="AE4750" t="str"><v>Facebook</v></cell><cell r="AF4750"><v>3654128</v></cell><cell r="AG4750" t="str"><v>Facebook»AZR»1x1»SocialBan»NA»ALL»DYN»RT»D»All»SS»NA» Free Account Retargeting OSS - T1 - EN</v></cell><cell r="AH4750"><v>223691828</v></cell><cell r="AI4750" t="str"><v>AzurePlatform_FreeAcctRetargetingOSSFB-Text-ChF_CAN_1200x628_SOC_Plat_EN_Free Account_Standard_NA_SU_T1_1</v></cell><cell r="AJ4750"><v>102902956</v></cell></row><row r="4751"><cell r="C4751" t="str"><v>43315Facebook»AZR»1x1»SocialBan»NA»ALL»DYN»RT»D»All»SS»NA» Free Account Retargeting OSS - T2 - EN</v></cell><cell r="D4751" t="str"><v>43315223691831</v></cell><cell r="E4751" t="str"><v>433151029138002 - EN</v></cell><cell r="F4751" t="str"><v>DCM</v></cell><cell r="G4751" t="str"><v>https://azure.microsoft.com/en-ca/free/open-source/search/</v></cell></row><row r="4751"><cell r="K4751" t="str"><v>August</v></cell><cell r="L4751"><v>43316</v></cell><cell r="M4751" t="str"><v>Tier 1</v></cell><cell r="N4751" t="str"><v>North America</v></cell><cell r="O4751" t="str"><v>Canada</v></cell><cell r="P4751" t="str"><v>Trial</v></cell><cell r="Q4751" t="str"><v>Social</v></cell><cell r="R4751" t="str"><v>Azure</v></cell><cell r="S4751" t="str"><v>Apps & Infra</v></cell><cell r="T4751" t="str"><v>Developers & ITI's</v></cell><cell r="U4751" t="str"><v>AZR</v></cell><cell r="V4751" t="str"><v>Retargeting</v></cell><cell r="W4751" t="str"><v>NotApplicable</v></cell><cell r="X4751" t="str"><v>1x1</v></cell></row><row r="4751"><cell r="AA4751"><v>43315</v></cell><cell r="AB4751" t="str"><v>CAN_gaPMG_AZR_AZR_Q1_19_Trial-Social</v></cell><cell r="AC4751"><v>21337220</v></cell><cell r="AD4751"><v>720192</v></cell><cell r="AE4751" t="str"><v>Facebook</v></cell><cell r="AF4751"><v>3654128</v></cell><cell r="AG4751" t="str"><v>Facebook»AZR»1x1»SocialBan»NA»ALL»DYN»RT»D»All»SS»NA» Free Account Retargeting OSS - T2 - EN</v></cell><cell r="AH4751"><v>223691831</v></cell><cell r="AI4751" t="str"><v>AzurePlatform_FreeAcctRetargetingOSSFB-Logos-ChG_CAN_1200x628_SOC_Plat_EN_Free Account_Standard_NA_SU_T2_1</v></cell><cell r="AJ4751"><v>102913800</v></cell></row><row r="4752"><cell r="C4752" t="str"><v>43315Facebook»AZR»1x1»SocialBan»NA»ALL»DYN»RT»D»All»SS»NA» Free Account Retargeting OSS - T2 - FR</v></cell><cell r="D4752" t="str"><v>43315223691789</v></cell><cell r="E4752" t="str"><v>433151029006912 - FR</v></cell><cell r="F4752" t="str"><v>DCM</v></cell><cell r="G4752" t="str"><v>https://azure.microsoft.com/fr-ca/free/open-source/search/</v></cell></row><row r="4752"><cell r="K4752" t="str"><v>August</v></cell><cell r="L4752"><v>43316</v></cell><cell r="M4752" t="str"><v>Tier 1</v></cell><cell r="N4752" t="str"><v>North America</v></cell><cell r="O4752" t="str"><v>Canada</v></cell><cell r="P4752" t="str"><v>Trial</v></cell><cell r="Q4752" t="str"><v>Social</v></cell><cell r="R4752" t="str"><v>Azure</v></cell><cell r="S4752" t="str"><v>Apps & Infra</v></cell><cell r="T4752" t="str"><v>Developers & ITI's</v></cell><cell r="U4752" t="str"><v>AZR</v></cell><cell r="V4752" t="str"><v>Retargeting</v></cell><cell r="W4752" t="str"><v>NotApplicable</v></cell><cell r="X4752" t="str"><v>1x1</v></cell></row><row r="4752"><cell r="AA4752"><v>43315</v></cell><cell r="AB4752" t="str"><v>CAN_gaPMG_AZR_AZR_Q1_19_Trial-Social</v></cell><cell r="AC4752"><v>21337220</v></cell><cell r="AD4752"><v>720192</v></cell><cell r="AE4752" t="str"><v>Facebook</v></cell><cell r="AF4752"><v>3654128</v></cell><cell r="AG4752" t="str"><v>Facebook»AZR»1x1»SocialBan»NA»ALL»DYN»RT»D»All»SS»NA» Free Account Retargeting OSS - T2 - FR</v></cell><cell r="AH4752"><v>223691789</v></cell><cell r="AI4752" t="str"><v>AzurePlatform_FreeAcctRetargetingOSSFB-Logos-ChG_CAN_1200x628_SOC_Plat_FR_Free Account_Standard_NA_SU_T2_1</v></cell><cell r="AJ4752"><v>102900691</v></cell></row><row r="4753"><cell r="C4753" t="str"><v>43315Facebook»AZR»1x1»SocialBan»NA»ALL»DYN»RT»D»All»SS»NA»Free Account Retargeting Generic - T2 - EN</v></cell><cell r="D4753" t="str"><v>43315223691834</v></cell><cell r="E4753" t="str"><v>433151029029532 - EN</v></cell><cell r="F4753" t="str"><v>DCM</v></cell><cell r="G4753" t="str"><v>https://azure.microsoft.com/en-CA/free/search/</v></cell></row><row r="4753"><cell r="K4753" t="str"><v>August</v></cell><cell r="L4753"><v>43316</v></cell><cell r="M4753" t="str"><v>Tier 1</v></cell><cell r="N4753" t="str"><v>North America</v></cell><cell r="O4753" t="str"><v>Canada</v></cell><cell r="P4753" t="str"><v>Trial</v></cell><cell r="Q4753" t="str"><v>Social</v></cell><cell r="R4753" t="str"><v>Azure</v></cell><cell r="S4753" t="str"><v>Apps & Infra</v></cell><cell r="T4753" t="str"><v>Developers & ITI's</v></cell><cell r="U4753" t="str"><v>AZR</v></cell><cell r="V4753" t="str"><v>Retargeting</v></cell><cell r="W4753" t="str"><v>NotApplicable</v></cell><cell r="X4753" t="str"><v>1x1</v></cell></row><row r="4753"><cell r="AA4753"><v>43315</v></cell><cell r="AB4753" t="str"><v>CAN_gaPMG_AZR_AZR_Q1_19_Trial-Social</v></cell><cell r="AC4753"><v>21337220</v></cell><cell r="AD4753"><v>720192</v></cell><cell r="AE4753" t="str"><v>Facebook</v></cell><cell r="AF4753"><v>3654128</v></cell><cell r="AG4753" t="str"><v>Facebook»AZR»1x1»SocialBan»NA»ALL»DYN»RT»D»All»SS»NA»Free Account Retargeting Generic - T2 - EN</v></cell><cell r="AH4753"><v>223691834</v></cell><cell r="AI4753" t="str"><v>AzurePlatform_FreeAcctRetargetingFB-GlobalAlt-ChB_CAN_1200x628_SOC_Plat_EN_Free Account_Standard_NA_SU_T2_1</v></cell><cell r="AJ4753"><v>102902953</v></cell></row><row r="4754"><cell r="C4754" t="str"><v>43315Facebook»AZR»1x1»SocialBan»NA»ALL»DYN»RT»D»All»SS»NA»Free Account Retargeting Generic - T3 - EN</v></cell><cell r="D4754" t="str"><v>43315223691819</v></cell><cell r="E4754" t="str"><v>433151029006823 - EN</v></cell><cell r="F4754" t="str"><v>DCM</v></cell><cell r="G4754" t="str"><v>https://azure.microsoft.com/en-CA/free/search/</v></cell></row><row r="4754"><cell r="K4754" t="str"><v>August</v></cell><cell r="L4754"><v>43316</v></cell><cell r="M4754" t="str"><v>Tier 1</v></cell><cell r="N4754" t="str"><v>North America</v></cell><cell r="O4754" t="str"><v>Canada</v></cell><cell r="P4754" t="str"><v>Trial</v></cell><cell r="Q4754" t="str"><v>Social</v></cell><cell r="R4754" t="str"><v>Azure</v></cell><cell r="S4754" t="str"><v>Apps & Infra</v></cell><cell r="T4754" t="str"><v>Developers & ITI's</v></cell><cell r="U4754" t="str"><v>AZR</v></cell><cell r="V4754" t="str"><v>Retargeting</v></cell><cell r="W4754" t="str"><v>NotApplicable</v></cell><cell r="X4754" t="str"><v>1x1</v></cell></row><row r="4754"><cell r="AA4754"><v>43315</v></cell><cell r="AB4754" t="str"><v>CAN_gaPMG_AZR_AZR_Q1_19_Trial-Social</v></cell><cell r="AC4754"><v>21337220</v></cell><cell r="AD4754"><v>720192</v></cell><cell r="AE4754" t="str"><v>Facebook</v></cell><cell r="AF4754"><v>3654128</v></cell><cell r="AG4754" t="str"><v>Facebook»AZR»1x1»SocialBan»NA»ALL»DYN»RT»D»All»SS»NA»Free Account Retargeting Generic - T3 - EN</v></cell><cell r="AH4754"><v>223691819</v></cell><cell r="AI4754" t="str"><v>AzurePlatform_FreeAcctRetargetingFB-Animated-ChC_CAN_1200x628_SOC_Plat_EN_Free Account_Standard_ANI_SU_T3_1</v></cell><cell r="AJ4754"><v>102900682</v></cell></row><row r="4755"><cell r="C4755" t="str"><v>43315Facebook»AZR»1x1»SocialBan»NA»ALL»DYN»RT»D»All»SS»NA»Free Account Retargeting Generic - T3 - FR</v></cell><cell r="D4755" t="str"><v>43315223691777</v></cell><cell r="E4755" t="str"><v>433151029006973 - FR</v></cell><cell r="F4755" t="str"><v>DCM</v></cell><cell r="G4755" t="str"><v>https://azure.microsoft.com/fr-ca/free/search/</v></cell></row><row r="4755"><cell r="K4755" t="str"><v>August</v></cell><cell r="L4755"><v>43316</v></cell><cell r="M4755" t="str"><v>Tier 1</v></cell><cell r="N4755" t="str"><v>North America</v></cell><cell r="O4755" t="str"><v>Canada</v></cell><cell r="P4755" t="str"><v>Trial</v></cell><cell r="Q4755" t="str"><v>Social</v></cell><cell r="R4755" t="str"><v>Azure</v></cell><cell r="S4755" t="str"><v>Apps & Infra</v></cell><cell r="T4755" t="str"><v>Developers & ITI's</v></cell><cell r="U4755" t="str"><v>AZR</v></cell><cell r="V4755" t="str"><v>Retargeting</v></cell><cell r="W4755" t="str"><v>NotApplicable</v></cell><cell r="X4755" t="str"><v>1x1</v></cell></row><row r="4755"><cell r="AA4755"><v>43315</v></cell><cell r="AB4755" t="str"><v>CAN_gaPMG_AZR_AZR_Q1_19_Trial-Social</v></cell><cell r="AC4755"><v>21337220</v></cell><cell r="AD4755"><v>720192</v></cell><cell r="AE4755" t="str"><v>Facebook</v></cell><cell r="AF4755"><v>3654128</v></cell><cell r="AG4755" t="str"><v>Facebook»AZR»1x1»SocialBan»NA»ALL»DYN»RT»D»All»SS»NA»Free Account Retargeting Generic - T3 - FR</v></cell><cell r="AH4755"><v>223691777</v></cell><cell r="AI4755" t="str"><v>AzurePlatform_FreeAcctRetargetingFB-Animated-ChC_CAN_1200x628_SOC_Plat_FR_Free Account_Standard_ANI_SU_T3_1</v></cell><cell r="AJ4755"><v>102900697</v></cell></row><row r="4756"><cell r="C4756" t="str"><v>43315Facebook»AZR»1x1»SocialBan»NA»ALL»DYN»RT»D»All»SS»NA»Free Account Retargeting VM - T1 - EN</v></cell><cell r="D4756" t="str"><v>43315223691825</v></cell><cell r="E4756" t="str"><v>433151029163381 - EN</v></cell><cell r="F4756" t="str"><v>DCM</v></cell><cell r="G4756" t="str"><v>https://azure.microsoft.com/en-ca/free/virtual-machines/search/</v></cell></row><row r="4756"><cell r="K4756" t="str"><v>August</v></cell><cell r="L4756"><v>43316</v></cell><cell r="M4756" t="str"><v>Tier 1</v></cell><cell r="N4756" t="str"><v>North America</v></cell><cell r="O4756" t="str"><v>Canada</v></cell><cell r="P4756" t="str"><v>Trial</v></cell><cell r="Q4756" t="str"><v>Social</v></cell><cell r="R4756" t="str"><v>Azure</v></cell><cell r="S4756" t="str"><v>Apps & Infra</v></cell><cell r="T4756" t="str"><v>Developers & ITI's</v></cell><cell r="U4756" t="str"><v>AZR</v></cell><cell r="V4756" t="str"><v>Retargeting</v></cell><cell r="W4756" t="str"><v>NotApplicable</v></cell><cell r="X4756" t="str"><v>1x1</v></cell></row><row r="4756"><cell r="AA4756"><v>43315</v></cell><cell r="AB4756" t="str"><v>CAN_gaPMG_AZR_AZR_Q1_19_Trial-Social</v></cell><cell r="AC4756"><v>21337220</v></cell><cell r="AD4756"><v>720192</v></cell><cell r="AE4756" t="str"><v>Facebook</v></cell><cell r="AF4756"><v>3654128</v></cell><cell r="AG4756" t="str"><v>Facebook»AZR»1x1»SocialBan»NA»ALL»DYN»RT»D»All»SS»NA»Free Account Retargeting VM - T1 - EN</v></cell><cell r="AH4756"><v>223691825</v></cell><cell r="AI4756" t="str"><v>AzurePlatform_FreeAcctRetargetingVMFB-750Hrs-ChD_CAN_1200x628_SOC_Plat_EN_Free Account_Standard_NA_SU_T1_1</v></cell><cell r="AJ4756"><v>102916338</v></cell></row><row r="4757"><cell r="C4757" t="str"><v>43315Facebook»AZR»1x1»SocialBan»NA»ALL»DYN»RT»D»All»SS»NA»Free Account Retargeting VM - T2 - FR</v></cell><cell r="D4757" t="str"><v>43315223691780</v></cell><cell r="E4757" t="str"><v>433151030587262 - FR</v></cell><cell r="F4757" t="str"><v>DCM</v></cell><cell r="G4757" t="str"><v>https://azure.microsoft.com/fr-ca/free/virtual-machines/search/</v></cell></row><row r="4757"><cell r="K4757" t="str"><v>August</v></cell><cell r="L4757"><v>43316</v></cell><cell r="M4757" t="str"><v>Tier 1</v></cell><cell r="N4757" t="str"><v>North America</v></cell><cell r="O4757" t="str"><v>Canada</v></cell><cell r="P4757" t="str"><v>Trial</v></cell><cell r="Q4757" t="str"><v>Social</v></cell><cell r="R4757" t="str"><v>Azure</v></cell><cell r="S4757" t="str"><v>Apps & Infra</v></cell><cell r="T4757" t="str"><v>Developers & ITI's</v></cell><cell r="U4757" t="str"><v>AZR</v></cell><cell r="V4757" t="str"><v>Retargeting</v></cell><cell r="W4757" t="str"><v>NotApplicable</v></cell><cell r="X4757" t="str"><v>1x1</v></cell></row><row r="4757"><cell r="AA4757"><v>43315</v></cell><cell r="AB4757" t="str"><v>CAN_gaPMG_AZR_AZR_Q1_19_Trial-Social</v></cell><cell r="AC4757"><v>21337220</v></cell><cell r="AD4757"><v>720192</v></cell><cell r="AE4757" t="str"><v>Facebook</v></cell><cell r="AF4757"><v>3654128</v></cell><cell r="AG4757" t="str"><v>Facebook»AZR»1x1»SocialBan»NA»ALL»DYN»RT»D»All»SS»NA»Free Account Retargeting VM - T2 - FR</v></cell><cell r="AH4757"><v>223691780</v></cell><cell r="AI4757" t="str"><v>AzurePlatform_FreeAcctRetargetingVMFB-OnDemand-ChE_CAN_1200x628_SOC_Plat_FR_Free Account_Standard_NA_SU_T2_1</v></cell><cell r="AJ4757"><v>103058726</v></cell></row><row r="4758"><cell r="C4758" t="str"><v>43315Facebook»DEV-ITP-AZR-FB|CanvasAds|Interesttargeting»1x1»TextLink»CAN»DT»CPM»AUT»W»NA»SS»NA»39684020-11000</v></cell><cell r="D4758" t="str"><v>43315224009494</v></cell><cell r="E4758" t="str"><v>43315103236186-11000</v></cell><cell r="F4758" t="str"><v>DCM</v></cell><cell r="G4758" t="str"><v>https://signup.azure.com/signup?offer=ms-azr-0044p&appId=102&ref=paidmedia-social-fb&redirectURL=https%3a%2f%2fazure.microsoft.com%2fde-de%2fget-started%2fwelcome-to-azure%2f&l=de-de&correlationId=ead86c34-1f10-49dd-a72b-6918462a2cbf</v></cell></row><row r="4758"><cell r="K4758" t="str"><v>August</v></cell><cell r="L4758"><v>43316</v></cell><cell r="M4758" t="str"><v>Tier 1</v></cell><cell r="N4758" t="str"><v>EMEA</v></cell><cell r="O4758" t="str"><v>Germany</v></cell><cell r="P4758" t="str"><v>Trial</v></cell><cell r="Q4758" t="str"><v>Social</v></cell><cell r="R4758" t="str"><v>Azure</v></cell><cell r="S4758" t="str"><v>Apps & Infra</v></cell><cell r="T4758" t="str"><v>Developers & ITI's</v></cell><cell r="U4758" t="str"><v>DEV-ITP-AZR-FB|CanvasAds|Interesttargeting</v></cell><cell r="V4758" t="str"><v>Audience Targeting</v></cell><cell r="W4758" t="str"><v>Canvas Ad</v></cell><cell r="X4758" t="str"><v>1x1</v></cell></row><row r="4758"><cell r="AA4758"><v>43315</v></cell><cell r="AB4758" t="str"><v>DEU_gaPMG_AZR_AZR_Q1_19_Trial-Social- 39684</v></cell><cell r="AC4758"><v>21359477</v></cell><cell r="AD4758"><v>720194</v></cell><cell r="AE4758" t="str"><v>Facebook</v></cell><cell r="AF4758"><v>3654128</v></cell><cell r="AG4758" t="str"><v>Facebook»DEV-ITP-AZR-FB|CanvasAds|Interesttargeting»1x1»TextLink»CAN»DT»CPM»AUT»W»NA»SS»NA»39684020-11000</v></cell><cell r="AH4758"><v>224009494</v></cell><cell r="AI4758" t="str"><v>AzurePlatform_FBCTCBasicMotion-StartFreeCT_DEU_10s_ISV_PLAT_DE_Trial_Standard_STAN_TN_T1_1</v></cell><cell r="AJ4758"><v>103236186</v></cell></row><row r="4759"><cell r="C4759" t="str"><v>43315Facebook»DEV-ITP-AZR-FB|CanvasAds|Interesttargeting»1x1»TextLink»CAN»DT»CPM»AUT»W»NA»SS»NA»39684020-11000</v></cell><cell r="D4759" t="str"><v>43315224009494</v></cell><cell r="E4759" t="str"><v>43315103237290-11000</v></cell><cell r="F4759" t="str"><v>DCM</v></cell><cell r="G4759" t="str"><v>https://signup.azure.com/signup?offer=ms-azr-0044p&appId=102&ref=paidmedia-social-fb&redirectURL=https%3a%2f%2fazure.microsoft.com%2fde-de%2fget-started%2fwelcome-to-azure%2f&l=de-de&correlationId=ead86c34-1f10-49dd-a72b-6918462a2cbf</v></cell></row><row r="4759"><cell r="K4759" t="str"><v>August</v></cell><cell r="L4759"><v>43316</v></cell><cell r="M4759" t="str"><v>Tier 1</v></cell><cell r="N4759" t="str"><v>EMEA</v></cell><cell r="O4759" t="str"><v>Germany</v></cell><cell r="P4759" t="str"><v>Trial</v></cell><cell r="Q4759" t="str"><v>Social</v></cell><cell r="R4759" t="str"><v>Azure</v></cell><cell r="S4759" t="str"><v>Apps & Infra</v></cell><cell r="T4759" t="str"><v>Developers & ITI's</v></cell><cell r="U4759" t="str"><v>DEV-ITP-AZR-FB|CanvasAds|Interesttargeting</v></cell><cell r="V4759" t="str"><v>Audience Targeting</v></cell><cell r="W4759" t="str"><v>Canvas Ad</v></cell><cell r="X4759" t="str"><v>1x1</v></cell></row><row r="4759"><cell r="AA4759"><v>43315</v></cell><cell r="AB4759" t="str"><v>DEU_gaPMG_AZR_AZR_Q1_19_Trial-Social- 39684</v></cell><cell r="AC4759"><v>21359477</v></cell><cell r="AD4759"><v>720194</v></cell><cell r="AE4759" t="str"><v>Facebook</v></cell><cell r="AF4759"><v>3654128</v></cell><cell r="AG4759" t="str"><v>Facebook»DEV-ITP-AZR-FB|CanvasAds|Interesttargeting»1x1»TextLink»CAN»DT»CPM»AUT»W»NA»SS»NA»39684020-11000</v></cell><cell r="AH4759"><v>224009494</v></cell><cell r="AI4759" t="str"><v>AzurePlatform_FBCTCBenefit2inMotion-StartFreeCT_DEU_14s_ISV_PLAT_DE_Trial_Standard_STAN_TN_T4_1</v></cell><cell r="AJ4759"><v>103237290</v></cell></row><row r="4760"><cell r="C4760" t="str"><v>43315Facebook»DEV-ITP-AZR-FB|CanvasAds|Interesttargeting»1x1»TextLink»CAN»DT»CPM»AUT»W»NA»SS»NA»39684020-11000</v></cell><cell r="D4760" t="str"><v>43315224009494</v></cell><cell r="E4760" t="str"><v>43315103237293-11000</v></cell><cell r="F4760" t="str"><v>DCM</v></cell><cell r="G4760" t="str"><v>https://signup.azure.com/signup?offer=ms-azr-0044p&appId=102&ref=paidmedia-social-fb&redirectURL=https%3a%2f%2fazure.microsoft.com%2fde-de%2fget-started%2fwelcome-to-azure%2f&l=de-de&correlationId=ead86c34-1f10-49dd-a72b-6918462a2cbf</v></cell></row><row r="4760"><cell r="K4760" t="str"><v>August</v></cell><cell r="L4760"><v>43316</v></cell><cell r="M4760" t="str"><v>Tier 1</v></cell><cell r="N4760" t="str"><v>EMEA</v></cell><cell r="O4760" t="str"><v>Germany</v></cell><cell r="P4760" t="str"><v>Trial</v></cell><cell r="Q4760" t="str"><v>Social</v></cell><cell r="R4760" t="str"><v>Azure</v></cell><cell r="S4760" t="str"><v>Apps & Infra</v></cell><cell r="T4760" t="str"><v>Developers & ITI's</v></cell><cell r="U4760" t="str"><v>DEV-ITP-AZR-FB|CanvasAds|Interesttargeting</v></cell><cell r="V4760" t="str"><v>Audience Targeting</v></cell><cell r="W4760" t="str"><v>Canvas Ad</v></cell><cell r="X4760" t="str"><v>1x1</v></cell></row><row r="4760"><cell r="AA4760"><v>43315</v></cell><cell r="AB4760" t="str"><v>DEU_gaPMG_AZR_AZR_Q1_19_Trial-Social- 39684</v></cell><cell r="AC4760"><v>21359477</v></cell><cell r="AD4760"><v>720194</v></cell><cell r="AE4760" t="str"><v>Facebook</v></cell><cell r="AF4760"><v>3654128</v></cell><cell r="AG4760" t="str"><v>Facebook»DEV-ITP-AZR-FB|CanvasAds|Interesttargeting»1x1»TextLink»CAN»DT»CPM»AUT»W»NA»SS»NA»39684020-11000</v></cell><cell r="AH4760"><v>224009494</v></cell><cell r="AI4760" t="str"><v>AzurePlatform_FBCTCBrandinMotion-StartFreeCT_DEU_12s_ISV_PLAT_DE_Trial_Standard_STAN_TN_T2_1</v></cell><cell r="AJ4760"><v>103237293</v></cell></row><row r="4761"><cell r="C4761" t="str"><v>43315Facebook»DEV-ITP-AZR-FB|LinkAd|CustomerAudienceRetargeting»1x1»TextLink»LIA»DT»CPM»RT»W»NA»SS»NA»39684019-11000</v></cell><cell r="D4761" t="str"><v>43315224010415</v></cell><cell r="E4761" t="str"><v>43315103043329-11000</v></cell><cell r="F4761" t="str"><v>DCM</v></cell><cell r="G4761" t="str"><v>https://azure.microsoft.com/de-de/free/open-source/search/</v></cell></row><row r="4761"><cell r="K4761" t="str"><v>August</v></cell><cell r="L4761"><v>43316</v></cell><cell r="M4761" t="str"><v>Tier 1</v></cell><cell r="N4761" t="str"><v>EMEA</v></cell><cell r="O4761" t="str"><v>Germany</v></cell><cell r="P4761" t="str"><v>Trial</v></cell><cell r="Q4761" t="str"><v>Social</v></cell><cell r="R4761" t="str"><v>Azure</v></cell><cell r="S4761" t="str"><v>Apps & Infra</v></cell><cell r="T4761" t="str"><v>Developers & ITI's</v></cell><cell r="U4761" t="str"><v>DEV-ITP-AZR-FB|LinkAd|CustomerAudienceRetargeting</v></cell><cell r="V4761" t="str"><v>Retargeting</v></cell><cell r="W4761" t="str"><v>Link Ad</v></cell><cell r="X4761" t="str"><v>1x1</v></cell></row><row r="4761"><cell r="AA4761"><v>43315</v></cell><cell r="AB4761" t="str"><v>DEU_gaPMG_AZR_AZR_Q1_19_Trial-Social- 39684</v></cell><cell r="AC4761"><v>21359477</v></cell><cell r="AD4761"><v>720194</v></cell><cell r="AE4761" t="str"><v>Facebook</v></cell><cell r="AF4761"><v>3654128</v></cell><cell r="AG4761" t="str"><v>Facebook»DEV-ITP-AZR-FB|LinkAd|CustomerAudienceRetargeting»1x1»TextLink»LIA»DT»CPM»RT»W»NA»SS»NA»39684019-11000</v></cell><cell r="AH4761"><v>224010415</v></cell><cell r="AI4761" t="str"><v>AzurePlatform_FreeAcctRetargetingOSSFB-Logos-ChG_DEU_1200x628_SOC_Plat_DE_Free Account_Standard_NA_SNU_T2_1</v></cell><cell r="AJ4761"><v>103043329</v></cell></row><row r="4762"><cell r="C4762" t="str"><v>43315Facebook»DEV-ITP-AZR-FB|LinkAd|CustomerAudienceRetargeting»1x1»TextLink»LIA»DT»CPM»RT»W»NA»SS»NA»39684019-11000</v></cell><cell r="D4762" t="str"><v>43315224010415</v></cell><cell r="E4762" t="str"><v>43315103055394-11000</v></cell><cell r="F4762" t="str"><v>DCM</v></cell><cell r="G4762" t="str"><v>https://azure.microsoft.com/de-de/free/open-source/search/</v></cell></row><row r="4762"><cell r="K4762" t="str"><v>August</v></cell><cell r="L4762"><v>43316</v></cell><cell r="M4762" t="str"><v>Tier 1</v></cell><cell r="N4762" t="str"><v>EMEA</v></cell><cell r="O4762" t="str"><v>Germany</v></cell><cell r="P4762" t="str"><v>Trial</v></cell><cell r="Q4762" t="str"><v>Social</v></cell><cell r="R4762" t="str"><v>Azure</v></cell><cell r="S4762" t="str"><v>Apps & Infra</v></cell><cell r="T4762" t="str"><v>Developers & ITI's</v></cell><cell r="U4762" t="str"><v>DEV-ITP-AZR-FB|LinkAd|CustomerAudienceRetargeting</v></cell><cell r="V4762" t="str"><v>Retargeting</v></cell><cell r="W4762" t="str"><v>Link Ad</v></cell><cell r="X4762" t="str"><v>1x1</v></cell></row><row r="4762"><cell r="AA4762"><v>43315</v></cell><cell r="AB4762" t="str"><v>DEU_gaPMG_AZR_AZR_Q1_19_Trial-Social- 39684</v></cell><cell r="AC4762"><v>21359477</v></cell><cell r="AD4762"><v>720194</v></cell><cell r="AE4762" t="str"><v>Facebook</v></cell><cell r="AF4762"><v>3654128</v></cell><cell r="AG4762" t="str"><v>Facebook»DEV-ITP-AZR-FB|LinkAd|CustomerAudienceRetargeting»1x1»TextLink»LIA»DT»CPM»RT»W»NA»SS»NA»39684019-11000</v></cell><cell r="AH4762"><v>224010415</v></cell><cell r="AI4762" t="str"><v>AzurePlatform_FreeAcctRetargetingOSSFB-Text-ChF_DEU_1200x628_SOC_Plat_DE_Free Account_Standard_NA_SNU_T1_1</v></cell><cell r="AJ4762"><v>103055394</v></cell></row><row r="4763"><cell r="C4763" t="str"><v>43315Facebook»DEV-ITP-AZR-FB|LinkAd|CustomerAudienceRetargeting»1x1»TextLink»LIA»DT»CPM»RT»W»NA»SS»NA»39684019-11000</v></cell><cell r="D4763" t="str"><v>43315224010415</v></cell><cell r="E4763" t="str"><v>43315103043341-11000</v></cell><cell r="F4763" t="str"><v>DCM</v></cell><cell r="G4763" t="str"><v>https://azure.microsoft.com/de-de/free/virtual-machines/search/</v></cell></row><row r="4763"><cell r="K4763" t="str"><v>August</v></cell><cell r="L4763"><v>43316</v></cell><cell r="M4763" t="str"><v>Tier 1</v></cell><cell r="N4763" t="str"><v>EMEA</v></cell><cell r="O4763" t="str"><v>Germany</v></cell><cell r="P4763" t="str"><v>Trial</v></cell><cell r="Q4763" t="str"><v>Social</v></cell><cell r="R4763" t="str"><v>Azure</v></cell><cell r="S4763" t="str"><v>Apps & Infra</v></cell><cell r="T4763" t="str"><v>Developers & ITI's</v></cell><cell r="U4763" t="str"><v>DEV-ITP-AZR-FB|LinkAd|CustomerAudienceRetargeting</v></cell><cell r="V4763" t="str"><v>Retargeting</v></cell><cell r="W4763" t="str"><v>Link Ad</v></cell><cell r="X4763" t="str"><v>1x1</v></cell></row><row r="4763"><cell r="AA4763"><v>43315</v></cell><cell r="AB4763" t="str"><v>DEU_gaPMG_AZR_AZR_Q1_19_Trial-Social- 39684</v></cell><cell r="AC4763"><v>21359477</v></cell><cell r="AD4763"><v>720194</v></cell><cell r="AE4763" t="str"><v>Facebook</v></cell><cell r="AF4763"><v>3654128</v></cell><cell r="AG4763" t="str"><v>Facebook»DEV-ITP-AZR-FB|LinkAd|CustomerAudienceRetargeting»1x1»TextLink»LIA»DT»CPM»RT»W»NA»SS»NA»39684019-11000</v></cell><cell r="AH4763"><v>224010415</v></cell><cell r="AI4763" t="str"><v>AzurePlatform_FreeAcctRetargetingVMFB-750Hrs-ChD_DEU_1200x628_SOC_Plat_DE_Free Account_Standard_NA_SNU_T1_1</v></cell><cell r="AJ4763"><v>103043341</v></cell></row><row r="4764"><cell r="C4764" t="str"><v>43315Facebook»Developers-Azure Direct-Sponsored Post_Trial-Video Ad-Free Account Developer - AI»1x1»30s»SOC»ALL»CPC»RT»D»UNK»SS»NA»Trials</v></cell><cell r="D4764" t="str"><v>43315226359881</v></cell><cell r="E4764" t="str"><v>43315104537813Trials</v></cell><cell r="F4764" t="str"><v>DCM</v></cell><cell r="G4764" t="str"><v>https://signup.azure.com/signup?offer=ms-azr-0044p&appId=102&ref=paidmedia-social-fb&redirectURL=https%3a%2f%2fazure.microsoft.com%2ffr-fr%2fget-started%2fwelcome-to-azure%2f&l=fr-fr&correlationId=ead86c34-1f10-49dd-a72b-6918462a2cbf</v></cell></row><row r="4764"><cell r="K4764" t="str"><v>August</v></cell><cell r="L4764"><v>43316</v></cell><cell r="M4764" t="str"><v>Tier 1</v></cell><cell r="N4764" t="str"><v>EMEA</v></cell><cell r="O4764" t="str"><v>France</v></cell><cell r="P4764" t="str"><v>Trial</v></cell><cell r="Q4764" t="str"><v>Social</v></cell><cell r="R4764" t="str"><v>Azure</v></cell><cell r="S4764" t="str"><v>Apps & Infra</v></cell><cell r="T4764" t="str"><v>Developers & ITI's</v></cell><cell r="U4764" t="str"><v>Developers-Azure Direct-Sponsored Post_Trial-Video Ad-Free Account Developer - AI</v></cell><cell r="V4764" t="str"><v>Retargeting</v></cell><cell r="W4764" t="str"><v>Social</v></cell><cell r="X4764" t="str"><v>1x1</v></cell></row><row r="4764"><cell r="AA4764"><v>43315</v></cell><cell r="AB4764" t="str"><v>FRA_gaPMG_AZR_AZR_Q1_19_AzureDirect-Trial-Social</v></cell><cell r="AC4764"><v>21356941</v></cell><cell r="AD4764"><v>720193</v></cell><cell r="AE4764" t="str"><v>Facebook</v></cell><cell r="AF4764"><v>3654128</v></cell><cell r="AG4764" t="str"><v>Facebook»Developers-Azure Direct-Sponsored Post_Trial-Video Ad-Free Account Developer - AI»1x1»30s»SOC»ALL»CPC»RT»D»UNK»SS»NA»Trials</v></cell><cell r="AH4764"><v>226359881</v></cell><cell r="AI4764" t="str"><v>AZR_FreeAcctDeveloperFB-AnimatedAI-Ch3_FRA_1200x1200_VIA_AZRDirect_French_NA_Facebook_STAN_LEA_T3_1</v></cell><cell r="AJ4764"><v>104537813</v></cell></row><row r="4765"><cell r="C4765" t="str"><v>43315Facebook»Developers-Azure Direct-Sponsored Post_Trial-Video Ad-Free Account Developer - Open Source»1x1»30s»SOC»ALL»CPC»RT»D»UNK»SS»NA»Trials</v></cell><cell r="D4765" t="str"><v>43315226359884</v></cell><cell r="E4765" t="str"><v>43315104537132Trials</v></cell><cell r="F4765" t="str"><v>DCM</v></cell><cell r="G4765" t="str"><v>https://signup.azure.com/signup?offer=ms-azr-0044p&appId=102&ref=paidmedia-social-fb&redirectURL=https%3a%2f%2fazure.microsoft.com%2ffr-fr%2fget-started%2fwelcome-to-azure%2f&l=fr-fr&correlationId=ead86c34-1f10-49dd-a72b-6918462a2cbf</v></cell></row><row r="4765"><cell r="K4765" t="str"><v>August</v></cell><cell r="L4765"><v>43316</v></cell><cell r="M4765" t="str"><v>Tier 1</v></cell><cell r="N4765" t="str"><v>EMEA</v></cell><cell r="O4765" t="str"><v>France</v></cell><cell r="P4765" t="str"><v>Trial</v></cell><cell r="Q4765" t="str"><v>Social</v></cell><cell r="R4765" t="str"><v>Azure</v></cell><cell r="S4765" t="str"><v>Apps & Infra</v></cell><cell r="T4765" t="str"><v>Developers & ITI's</v></cell><cell r="U4765" t="str"><v>Developers-Azure Direct-Sponsored Post_Trial-Video Ad-Free Account Developer - Open Source</v></cell><cell r="V4765" t="str"><v>Retargeting</v></cell><cell r="W4765" t="str"><v>Social</v></cell><cell r="X4765" t="str"><v>1x1</v></cell></row><row r="4765"><cell r="AA4765"><v>43315</v></cell><cell r="AB4765" t="str"><v>FRA_gaPMG_AZR_AZR_Q1_19_AzureDirect-Trial-Social</v></cell><cell r="AC4765"><v>21356941</v></cell><cell r="AD4765"><v>720193</v></cell><cell r="AE4765" t="str"><v>Facebook</v></cell><cell r="AF4765"><v>3654128</v></cell><cell r="AG4765" t="str"><v>Facebook»Developers-Azure Direct-Sponsored Post_Trial-Video Ad-Free Account Developer - Open Source»1x1»30s»SOC»ALL»CPC»RT»D»UNK»SS»NA»Trials</v></cell><cell r="AH4765"><v>226359884</v></cell><cell r="AI4765" t="str"><v>AZR_FreeAcctDeveloperFB-AnimatedOpenSource-Ch2_FRA_1200x1200_VIA_AZRDirect_French_NA_Facebook_STAN_LEA_T2_1</v></cell><cell r="AJ4765"><v>104537132</v></cell></row><row r="4766"><cell r="C4766" t="str"><v>43315Facebook»Developers-Azure Direct-Sponsored Post_Trial_PayGo-Video Ad-Free Account Developer - Generic»1x1»30s»SOC»ALL»CPC»LAL»D»UNK»SS»NA»Trials</v></cell><cell r="D4766" t="str"><v>43315226359953</v></cell><cell r="E4766" t="str"><v>43315104537129Trials</v></cell><cell r="F4766" t="str"><v>DCM</v></cell><cell r="G4766" t="str"><v>https://signup.azure.com/signup?offer=ms-azr-0044p&appId=102&ref=paidmedia-social-fb&redirectURL=https%3a%2f%2fazure.microsoft.com%2ffr-fr%2fget-started%2fwelcome-to-azure%2f&l=fr-fr&correlationId=ead86c34-1f10-49dd-a72b-6918462a2cbf</v></cell></row><row r="4766"><cell r="K4766" t="str"><v>August</v></cell><cell r="L4766"><v>43316</v></cell><cell r="M4766" t="str"><v>Tier 1</v></cell><cell r="N4766" t="str"><v>EMEA</v></cell><cell r="O4766" t="str"><v>France</v></cell><cell r="P4766" t="str"><v>Trial</v></cell><cell r="Q4766" t="str"><v>Social</v></cell><cell r="R4766" t="str"><v>Azure</v></cell><cell r="S4766" t="str"><v>Apps & Infra</v></cell><cell r="T4766" t="str"><v>Developers & ITI's</v></cell><cell r="U4766" t="str"><v>Developers-Azure Direct-Sponsored Post_Trial_PayGo-Video Ad-Free Account Developer - Generic</v></cell><cell r="V4766" t="str"><v>Lookalike Targeting</v></cell><cell r="W4766" t="str"><v>Social</v></cell><cell r="X4766" t="str"><v>1x1</v></cell></row><row r="4766"><cell r="AA4766"><v>43315</v></cell><cell r="AB4766" t="str"><v>FRA_gaPMG_AZR_AZR_Q1_19_AzureDirect-Trial-Social</v></cell><cell r="AC4766"><v>21356941</v></cell><cell r="AD4766"><v>720193</v></cell><cell r="AE4766" t="str"><v>Facebook</v></cell><cell r="AF4766"><v>3654128</v></cell><cell r="AG4766" t="str"><v>Facebook»Developers-Azure Direct-Sponsored Post_Trial_PayGo-Video Ad-Free Account Developer - Generic»1x1»30s»SOC»ALL»CPC»LAL»D»UNK»SS»NA»Trials</v></cell><cell r="AH4766"><v>226359953</v></cell><cell r="AI4766" t="str"><v>AZR_FreeAcctDeveloperFB-AnimatedGeneric-Ch1_FRA_1200x1200_VIA_AZRDirect_French_NA_Facebook_STAN_LEA_T1_1</v></cell><cell r="AJ4766"><v>104537129</v></cell></row><row r="4767"><cell r="C4767" t="str"><v>43315Facebook»Developers/ITPros-Azure Direct-Sponsored Post-Canvas-FBCTCcanvaspage-BuyNowCTA-Img3_FBCTCBasicMotion_FRA_10sec»1x1»Canvas»SOC»ALL»CPC»BT»D»UNK»SS»NA»Trials</v></cell><cell r="D4767" t="str"><v>43315224369893</v></cell><cell r="E4767" t="str"><v>43315103256571Trials</v></cell><cell r="F4767" t="str"><v>DCM</v></cell><cell r="G4767" t="str"><v>https://azure.microsoft.com/fr-fr/pricing/purchase-options/</v></cell></row><row r="4767"><cell r="K4767" t="str"><v>August</v></cell><cell r="L4767"><v>43316</v></cell><cell r="M4767" t="str"><v>Tier 1</v></cell><cell r="N4767" t="str"><v>EMEA</v></cell><cell r="O4767" t="str"><v>France</v></cell><cell r="P4767" t="str"><v>Trial</v></cell><cell r="Q4767" t="str"><v>Social</v></cell><cell r="R4767" t="str"><v>Azure</v></cell><cell r="S4767" t="str"><v>Apps & Infra</v></cell><cell r="T4767" t="str"><v>Developers & ITI's</v></cell><cell r="U4767" t="str"><v>Developers/ITPros-Azure Direct-Sponsored Post-Canvas-FBCTCcanvaspage-BuyNowCTA-Img3_FBCTCBasicMotion_FRA_10sec</v></cell><cell r="V4767" t="str"><v>Behavioral Targeting</v></cell><cell r="W4767" t="str"><v>Social</v></cell><cell r="X4767" t="str"><v>1x1</v></cell></row><row r="4767"><cell r="AA4767"><v>43315</v></cell><cell r="AB4767" t="str"><v>FRA_gaPMG_AZR_AZR_Q1_19_AzureDirect-Trial-Social</v></cell><cell r="AC4767"><v>21356941</v></cell><cell r="AD4767"><v>720193</v></cell><cell r="AE4767" t="str"><v>Facebook</v></cell><cell r="AF4767"><v>3654128</v></cell><cell r="AG4767" t="str"><v>Facebook»Developers/ITPros-Azure Direct-Sponsored Post-Canvas-FBCTCcanvaspage-BuyNowCTA-Img3_FBCTCBasicMotion_FRA_10sec»1x1»Canvas»SOC»ALL»CPC»BT»D»UNK»SS»NA»Trials</v></cell><cell r="AH4767"><v>224369893</v></cell><cell r="AI4767" t="str"><v>AZR_FBCTCcanvaspage-BuyNowCTA-Img3_FRA_1080x162_SOC_AZRDirect_French_NA_Facebook_SBAN_BN_T3_1</v></cell><cell r="AJ4767"><v>103256571</v></cell></row><row r="4768"><cell r="C4768" t="str"><v>43315Facebook»Developers/ITPros-Azure Direct-Sponsored Post-Canvas-FBCTCcanvaspage-BuyNowCTA-Img3_FBCTCBrandinMotion_FRA_14sec»1x1»Canvas»SOC»ALL»CPC»BT»D»UNK»SS»NA»Trials</v></cell><cell r="D4768" t="str"><v>43315224416918</v></cell><cell r="E4768" t="str"><v>43315103256571Trials</v></cell><cell r="F4768" t="str"><v>DCM</v></cell><cell r="G4768" t="str"><v>https://azure.microsoft.com/fr-fr/pricing/purchase-options/</v></cell></row><row r="4768"><cell r="K4768" t="str"><v>August</v></cell><cell r="L4768"><v>43316</v></cell><cell r="M4768" t="str"><v>Tier 1</v></cell><cell r="N4768" t="str"><v>EMEA</v></cell><cell r="O4768" t="str"><v>France</v></cell><cell r="P4768" t="str"><v>Trial</v></cell><cell r="Q4768" t="str"><v>Social</v></cell><cell r="R4768" t="str"><v>Azure</v></cell><cell r="S4768" t="str"><v>Apps & Infra</v></cell><cell r="T4768" t="str"><v>Developers & ITI's</v></cell><cell r="U4768" t="str"><v>Developers/ITPros-Azure Direct-Sponsored Post-Canvas-FBCTCcanvaspage-BuyNowCTA-Img3_FBCTCBrandinMotion_FRA_14sec</v></cell><cell r="V4768" t="str"><v>Behavioral Targeting</v></cell><cell r="W4768" t="str"><v>Social</v></cell><cell r="X4768" t="str"><v>1x1</v></cell></row><row r="4768"><cell r="AA4768"><v>43315</v></cell><cell r="AB4768" t="str"><v>FRA_gaPMG_AZR_AZR_Q1_19_AzureDirect-Trial-Social</v></cell><cell r="AC4768"><v>21356941</v></cell><cell r="AD4768"><v>720193</v></cell><cell r="AE4768" t="str"><v>Facebook</v></cell><cell r="AF4768"><v>3654128</v></cell><cell r="AG4768" t="str"><v>Facebook»Developers/ITPros-Azure Direct-Sponsored Post-Canvas-FBCTCcanvaspage-BuyNowCTA-Img3_FBCTCBrandinMotion_FRA_14sec»1x1»Canvas»SOC»ALL»CPC»BT»D»UNK»SS»NA»Trials</v></cell><cell r="AH4768"><v>224416918</v></cell><cell r="AI4768" t="str"><v>AZR_FBCTCcanvaspage-BuyNowCTA-Img3_FRA_1080x162_SOC_AZRDirect_French_NA_Facebook_SBAN_BN_T3_1</v></cell><cell r="AJ4768"><v>103256571</v></cell></row><row r="4769"><cell r="C4769" t="str"><v>43315Facebook»Developers/ITPros-Azure Direct-Sponsored Post-Canvas-FBCTCcanvaspage-StartFreeCTA-Img2_FBCTCBasicMotion_FRA_10sec»1x1»Canvas»SOC»ALL»CPC»BT»D»UNK»SS»NA»Trials</v></cell><cell r="D4769" t="str"><v>43315224560884</v></cell><cell r="E4769" t="str"><v>43315103259958Trials</v></cell><cell r="F4769" t="str"><v>DCM</v></cell><cell r="G4769" t="str"><v>https://signup.azure.com/signup?offer=ms-azr-0044p&appId=102&ref=paidmedia-social-fb&redirectURL=https%3a%2f%2fazure.microsoft.com%2ffr-fr%2fget-started%2fwelcome-to-azure%2f&l=fr-fr&correlationId=ead86c34-1f10-49dd-a72b-6918462a2cbf</v></cell></row><row r="4769"><cell r="K4769" t="str"><v>August</v></cell><cell r="L4769"><v>43316</v></cell><cell r="M4769" t="str"><v>Tier 1</v></cell><cell r="N4769" t="str"><v>EMEA</v></cell><cell r="O4769" t="str"><v>France</v></cell><cell r="P4769" t="str"><v>Trial</v></cell><cell r="Q4769" t="str"><v>Social</v></cell><cell r="R4769" t="str"><v>Azure</v></cell><cell r="S4769" t="str"><v>Apps & Infra</v></cell><cell r="T4769" t="str"><v>Developers & ITI's</v></cell><cell r="U4769" t="str"><v>Developers/ITPros-Azure Direct-Sponsored Post-Canvas-FBCTCcanvaspage-StartFreeCTA-Img2_FBCTCBasicMotion_FRA_10sec</v></cell><cell r="V4769" t="str"><v>Behavioral Targeting</v></cell><cell r="W4769" t="str"><v>Social</v></cell><cell r="X4769" t="str"><v>1x1</v></cell></row><row r="4769"><cell r="AA4769"><v>43315</v></cell><cell r="AB4769" t="str"><v>FRA_gaPMG_AZR_AZR_Q1_19_AzureDirect-Trial-Social</v></cell><cell r="AC4769"><v>21356941</v></cell><cell r="AD4769"><v>720193</v></cell><cell r="AE4769" t="str"><v>Facebook</v></cell><cell r="AF4769"><v>3654128</v></cell><cell r="AG4769" t="str"><v>Facebook»Developers/ITPros-Azure Direct-Sponsored Post-Canvas-FBCTCcanvaspage-StartFreeCTA-Img2_FBCTCBasicMotion_FRA_10sec»1x1»Canvas»SOC»ALL»CPC»BT»D»UNK»SS»NA»Trials</v></cell><cell r="AH4769"><v>224560884</v></cell><cell r="AI4769" t="str"><v>AZR_FBCTCcanvaspage-StartFreeCTA-Img2_FRA_1080x143_SOC_AZRDirect_French_NA_Facebook_SBAN_BN_T2_1</v></cell><cell r="AJ4769"><v>103259958</v></cell></row><row r="4770"><cell r="C4770" t="str"><v>43315Facebook»Developers/ITPros-Azure Direct-Sponsored Post-Canvas-FBCTCcanvaspage-StartFreeCTA-Img2_FBCTCBrandinMotion_FRA_12sec»1x1»Canvas»SOC»ALL»CPC»BT»D»UNK»SS»NA»Trials</v></cell><cell r="D4770" t="str"><v>43315224560878</v></cell><cell r="E4770" t="str"><v>43315103259958Trials</v></cell><cell r="F4770" t="str"><v>DCM</v></cell><cell r="G4770" t="str"><v>https://signup.azure.com/signup?offer=ms-azr-0044p&appId=102&ref=paidmedia-social-fb&redirectURL=https%3a%2f%2fazure.microsoft.com%2ffr-fr%2fget-started%2fwelcome-to-azure%2f&l=fr-fr&correlationId=ead86c34-1f10-49dd-a72b-6918462a2cbf</v></cell></row><row r="4770"><cell r="K4770" t="str"><v>August</v></cell><cell r="L4770"><v>43316</v></cell><cell r="M4770" t="str"><v>Tier 1</v></cell><cell r="N4770" t="str"><v>EMEA</v></cell><cell r="O4770" t="str"><v>France</v></cell><cell r="P4770" t="str"><v>Trial</v></cell><cell r="Q4770" t="str"><v>Social</v></cell><cell r="R4770" t="str"><v>Azure</v></cell><cell r="S4770" t="str"><v>Apps & Infra</v></cell><cell r="T4770" t="str"><v>Developers & ITI's</v></cell><cell r="U4770" t="str"><v>Developers/ITPros-Azure Direct-Sponsored Post-Canvas-FBCTCcanvaspage-StartFreeCTA-Img2_FBCTCBrandinMotion_FRA_12sec</v></cell><cell r="V4770" t="str"><v>Behavioral Targeting</v></cell><cell r="W4770" t="str"><v>Social</v></cell><cell r="X4770" t="str"><v>1x1</v></cell></row><row r="4770"><cell r="AA4770"><v>43315</v></cell><cell r="AB4770" t="str"><v>FRA_gaPMG_AZR_AZR_Q1_19_AzureDirect-Trial-Social</v></cell><cell r="AC4770"><v>21356941</v></cell><cell r="AD4770"><v>720193</v></cell><cell r="AE4770" t="str"><v>Facebook</v></cell><cell r="AF4770"><v>3654128</v></cell><cell r="AG4770" t="str"><v>Facebook»Developers/ITPros-Azure Direct-Sponsored Post-Canvas-FBCTCcanvaspage-StartFreeCTA-Img2_FBCTCBrandinMotion_FRA_12sec»1x1»Canvas»SOC»ALL»CPC»BT»D»UNK»SS»NA»Trials</v></cell><cell r="AH4770"><v>224560878</v></cell><cell r="AI4770" t="str"><v>AZR_FBCTCcanvaspage-StartFreeCTA-Img2_FRA_1080x143_SOC_AZRDirect_French_NA_Facebook_SBAN_BN_T2_1</v></cell><cell r="AJ4770"><v>103259958</v></cell></row><row r="4771"><cell r="C4771" t="str"><v>43315Facebook»Developers/ITPros-Azure Direct-Sponsored Post-Canvas-FBCTCcanvaspage-StartFreeCTA-Img2_FBCTCBrandinMotion_FRA_14sec»1x1»Canvas»SOC»ALL»CPC»BT»D»UNK»SS»NA»Trials</v></cell><cell r="D4771" t="str"><v>43315224560872</v></cell><cell r="E4771" t="str"><v>43315103259958Trials</v></cell><cell r="F4771" t="str"><v>DCM</v></cell><cell r="G4771" t="str"><v>https://signup.azure.com/signup?offer=ms-azr-0044p&appId=102&ref=paidmedia-social-fb&redirectURL=https%3a%2f%2fazure.microsoft.com%2ffr-fr%2fget-started%2fwelcome-to-azure%2f&l=fr-fr&correlationId=ead86c34-1f10-49dd-a72b-6918462a2cbf</v></cell></row><row r="4771"><cell r="K4771" t="str"><v>August</v></cell><cell r="L4771"><v>43316</v></cell><cell r="M4771" t="str"><v>Tier 1</v></cell><cell r="N4771" t="str"><v>EMEA</v></cell><cell r="O4771" t="str"><v>France</v></cell><cell r="P4771" t="str"><v>Trial</v></cell><cell r="Q4771" t="str"><v>Social</v></cell><cell r="R4771" t="str"><v>Azure</v></cell><cell r="S4771" t="str"><v>Apps & Infra</v></cell><cell r="T4771" t="str"><v>Developers & ITI's</v></cell><cell r="U4771" t="str"><v>Developers/ITPros-Azure Direct-Sponsored Post-Canvas-FBCTCcanvaspage-StartFreeCTA-Img2_FBCTCBrandinMotion_FRA_14sec</v></cell><cell r="V4771" t="str"><v>Behavioral Targeting</v></cell><cell r="W4771" t="str"><v>Social</v></cell><cell r="X4771" t="str"><v>1x1</v></cell></row><row r="4771"><cell r="AA4771"><v>43315</v></cell><cell r="AB4771" t="str"><v>FRA_gaPMG_AZR_AZR_Q1_19_AzureDirect-Trial-Social</v></cell><cell r="AC4771"><v>21356941</v></cell><cell r="AD4771"><v>720193</v></cell><cell r="AE4771" t="str"><v>Facebook</v></cell><cell r="AF4771"><v>3654128</v></cell><cell r="AG4771" t="str"><v>Facebook»Developers/ITPros-Azure Direct-Sponsored Post-Canvas-FBCTCcanvaspage-StartFreeCTA-Img2_FBCTCBrandinMotion_FRA_14sec»1x1»Canvas»SOC»ALL»CPC»BT»D»UNK»SS»NA»Trials</v></cell><cell r="AH4771"><v>224560872</v></cell><cell r="AI4771" t="str"><v>AZR_FBCTCcanvaspage-StartFreeCTA-Img2_FRA_1080x143_SOC_AZRDirect_French_NA_Facebook_SBAN_BN_T2_1</v></cell><cell r="AJ4771"><v>103259958</v></cell></row><row r="4772"><cell r="C4772" t="str"><v>43315Facebook»Developers/ITPros-Azure Direct-Sponsored Post-Link Ad-FreeAcctRetargetingFB-GlobalAlt-ChB»1x1»SocialBan»SOC»ALL»CPC»BT»D»UNK»SS»NA»Trials</v></cell><cell r="D4772" t="str"><v>43315224560845</v></cell><cell r="E4772" t="str"><v>43315103259520Trials</v></cell><cell r="F4772" t="str"><v>DCM</v></cell><cell r="G4772" t="str"><v>https://azure.microsoft.com/fr-fr/free/search/</v></cell></row><row r="4772"><cell r="K4772" t="str"><v>August</v></cell><cell r="L4772"><v>43316</v></cell><cell r="M4772" t="str"><v>Tier 1</v></cell><cell r="N4772" t="str"><v>EMEA</v></cell><cell r="O4772" t="str"><v>France</v></cell><cell r="P4772" t="str"><v>Trial</v></cell><cell r="Q4772" t="str"><v>Social</v></cell><cell r="R4772" t="str"><v>Azure</v></cell><cell r="S4772" t="str"><v>Apps & Infra</v></cell><cell r="T4772" t="str"><v>Developers & ITI's</v></cell><cell r="U4772" t="str"><v>Developers/ITPros-Azure Direct-Sponsored Post-Link Ad-FreeAcctRetargetingFB-GlobalAlt-ChB</v></cell><cell r="V4772" t="str"><v>Behavioral Targeting</v></cell><cell r="W4772" t="str"><v>Social</v></cell><cell r="X4772" t="str"><v>1x1</v></cell></row><row r="4772"><cell r="AA4772"><v>43315</v></cell><cell r="AB4772" t="str"><v>FRA_gaPMG_AZR_AZR_Q1_19_AzureDirect-Trial-Social</v></cell><cell r="AC4772"><v>21356941</v></cell><cell r="AD4772"><v>720193</v></cell><cell r="AE4772" t="str"><v>Facebook</v></cell><cell r="AF4772"><v>3654128</v></cell><cell r="AG4772" t="str"><v>Facebook»Developers/ITPros-Azure Direct-Sponsored Post-Link Ad-FreeAcctRetargetingFB-GlobalAlt-ChB»1x1»SocialBan»SOC»ALL»CPC»BT»D»UNK»SS»NA»Trials</v></cell><cell r="AH4772"><v>224560845</v></cell><cell r="AI4772" t="str"><v>AZR_FreeAcctRetargetingFB-GlobalAlt-ChB_FRA_1200x628_SOC_AZRDirect_French_NA_Facebook_SBAN_SINU_T2_1</v></cell><cell r="AJ4772"><v>103259520</v></cell></row><row r="4773"><cell r="C4773" t="str"><v>43315Facebook»Developers/ITPros-Azure Direct-Sponsored Post-Link Ad-FreeAcctRetargetingVMFB-750Hrs-ChD»1x1»SocialBan»SOC»ALL»CPC»BT»D»UNK»SS»NA»Trials</v></cell><cell r="D4773" t="str"><v>43315224560836</v></cell><cell r="E4773" t="str"><v>43315103259010Trials</v></cell><cell r="F4773" t="str"><v>DCM</v></cell><cell r="G4773" t="str"><v>https://azure.microsoft.com/fr-fr/free/virtual-machines/search/</v></cell></row><row r="4773"><cell r="K4773" t="str"><v>August</v></cell><cell r="L4773"><v>43316</v></cell><cell r="M4773" t="str"><v>Tier 1</v></cell><cell r="N4773" t="str"><v>EMEA</v></cell><cell r="O4773" t="str"><v>France</v></cell><cell r="P4773" t="str"><v>Trial</v></cell><cell r="Q4773" t="str"><v>Social</v></cell><cell r="R4773" t="str"><v>Azure</v></cell><cell r="S4773" t="str"><v>Apps & Infra</v></cell><cell r="T4773" t="str"><v>Developers & ITI's</v></cell><cell r="U4773" t="str"><v>Developers/ITPros-Azure Direct-Sponsored Post-Link Ad-FreeAcctRetargetingVMFB-750Hrs-ChD</v></cell><cell r="V4773" t="str"><v>Behavioral Targeting</v></cell><cell r="W4773" t="str"><v>Social</v></cell><cell r="X4773" t="str"><v>1x1</v></cell></row><row r="4773"><cell r="AA4773"><v>43315</v></cell><cell r="AB4773" t="str"><v>FRA_gaPMG_AZR_AZR_Q1_19_AzureDirect-Trial-Social</v></cell><cell r="AC4773"><v>21356941</v></cell><cell r="AD4773"><v>720193</v></cell><cell r="AE4773" t="str"><v>Facebook</v></cell><cell r="AF4773"><v>3654128</v></cell><cell r="AG4773" t="str"><v>Facebook»Developers/ITPros-Azure Direct-Sponsored Post-Link Ad-FreeAcctRetargetingVMFB-750Hrs-ChD»1x1»SocialBan»SOC»ALL»CPC»BT»D»UNK»SS»NA»Trials</v></cell><cell r="AH4773"><v>224560836</v></cell><cell r="AI4773" t="str"><v>AZR_FreeAcctRetargetingVMFB-750Hrs-ChD_FRA_1200x628_SOC_AZRDirect_French_NA_Facebook_SBAN_SINU_T1_1</v></cell><cell r="AJ4773"><v>103259010</v></cell></row><row r="4774"><cell r="C4774" t="str"><v>43315Facebook»Developers/ITPros-Azure Direct-Sponsored Post-Video Ad-FBCTCBasicMotion_FRA_10s_RTG Landing Page»1x1»05s»SOC»ALL»CPC»BT»D»UNK»SS»NA»Trials</v></cell><cell r="D4774" t="str"><v>43315224416915</v></cell><cell r="E4774" t="str"><v>43315103376981Trials</v></cell><cell r="F4774" t="str"><v>DCM</v></cell></row><row r="4774"><cell r="K4774" t="str"><v>August</v></cell><cell r="L4774"><v>43316</v></cell><cell r="M4774" t="str"><v>Tier 1</v></cell><cell r="N4774" t="str"><v>EMEA</v></cell><cell r="O4774" t="str"><v>France</v></cell><cell r="P4774" t="str"><v>Trial</v></cell><cell r="Q4774" t="str"><v>Social</v></cell><cell r="R4774" t="str"><v>Azure</v></cell><cell r="S4774" t="str"><v>Apps & Infra</v></cell><cell r="T4774" t="str"><v>Developers & ITI's</v></cell><cell r="U4774" t="str"><v>Developers/ITPros-Azure Direct-Sponsored Post-Video Ad-FBCTCBasicMotion_FRA_10s_RTG Landing Page</v></cell><cell r="V4774" t="str"><v>Behavioral Targeting</v></cell><cell r="W4774" t="str"><v>Social</v></cell><cell r="X4774" t="str"><v>1x1</v></cell></row><row r="4774"><cell r="AA4774"><v>43315</v></cell><cell r="AB4774" t="str"><v>FRA_gaPMG_AZR_AZR_Q1_19_AzureDirect-Trial-Social</v></cell><cell r="AC4774"><v>21356941</v></cell><cell r="AD4774"><v>720193</v></cell><cell r="AE4774" t="str"><v>Facebook</v></cell><cell r="AF4774"><v>3654128</v></cell><cell r="AG4774" t="str"><v>Facebook»Developers/ITPros-Azure Direct-Sponsored Post-Video Ad-FBCTCBasicMotion_FRA_10s_RTG Landing Page»1x1»05s»SOC»ALL»CPC»BT»D»UNK»SS»NA»Trials</v></cell><cell r="AH4774"><v>224416915</v></cell><cell r="AI4774" t="str"><v>AZR_FBCTCBasicMotion_FRA_10s_VIA_AZRDirect_French_NA_Facebook_STAN_TIN_T1_1</v></cell><cell r="AJ4774"><v>103376981</v></cell></row><row r="4775"><cell r="C4775" t="str"><v>43315Facebook»Developers/ITPros-Azure Direct-Sponsored Post-Video Ad-FBCTCBenefit2inMotion_FRA_14s_RTG Landing Page»1x1»06s»SOC»ALL»CPC»BT»D»UNK»SS»NA»Trials</v></cell><cell r="D4775" t="str"><v>43315224560875</v></cell><cell r="E4775" t="str"><v>43315103259766Trials</v></cell><cell r="F4775" t="str"><v>DCM</v></cell><cell r="G4775" t="str"><v>https://signup.azure.com/signup?offer=ms-azr-0044p&appId=102&ref=paidmedia-social-fb&redirectURL=https:%2F%2Fazure.microsoft.com%2Ffr-fr%2Fget-started%2Fwelcome-to-azure%2F&l=fr-fr&correlationId=ead86c34-1f10-49dd-a72b-6918462a2cbf</v></cell></row><row r="4775"><cell r="K4775" t="str"><v>August</v></cell><cell r="L4775"><v>43316</v></cell><cell r="M4775" t="str"><v>Tier 1</v></cell><cell r="N4775" t="str"><v>EMEA</v></cell><cell r="O4775" t="str"><v>France</v></cell><cell r="P4775" t="str"><v>Trial</v></cell><cell r="Q4775" t="str"><v>Social</v></cell><cell r="R4775" t="str"><v>Azure</v></cell><cell r="S4775" t="str"><v>Apps & Infra</v></cell><cell r="T4775" t="str"><v>Developers & ITI's</v></cell><cell r="U4775" t="str"><v>Developers/ITPros-Azure Direct-Sponsored Post-Video Ad-FBCTCBenefit2inMotion_FRA_14s_RTG Landing Page</v></cell><cell r="V4775" t="str"><v>Behavioral Targeting</v></cell><cell r="W4775" t="str"><v>Social</v></cell><cell r="X4775" t="str"><v>1x1</v></cell></row><row r="4775"><cell r="AA4775"><v>43315</v></cell><cell r="AB4775" t="str"><v>FRA_gaPMG_AZR_AZR_Q1_19_AzureDirect-Trial-Social</v></cell><cell r="AC4775"><v>21356941</v></cell><cell r="AD4775"><v>720193</v></cell><cell r="AE4775" t="str"><v>Facebook</v></cell><cell r="AF4775"><v>3654128</v></cell><cell r="AG4775" t="str"><v>Facebook»Developers/ITPros-Azure Direct-Sponsored Post-Video Ad-FBCTCBenefit2inMotion_FRA_14s_RTG Landing Page»1x1»06s»SOC»ALL»CPC»BT»D»UNK»SS»NA»Trials</v></cell><cell r="AH4775"><v>224560875</v></cell><cell r="AI4775" t="str"><v>AZR_FBCTCBenefit2inMotion_FRA_14s_VIA_AZRDirect_French_NA_Facebook_STAN_TIN_T4_1</v></cell><cell r="AJ4775"><v>103259766</v></cell></row><row r="4776"><cell r="C4776" t="str"><v>43315Facebook»Developers/ITPros-Azure Direct-Sponsored Post-Video Ad-FBCTCBrandinMotion_FRA_12s_RTG Landing Page»1x1»05s»SOC»ALL»CPC»BT»D»UNK»SS»NA»Trials</v></cell><cell r="D4776" t="str"><v>43315224560863</v></cell><cell r="E4776" t="str"><v>43315103256577Trials</v></cell><cell r="F4776" t="str"><v>DCM</v></cell></row><row r="4776"><cell r="K4776" t="str"><v>August</v></cell><cell r="L4776"><v>43316</v></cell><cell r="M4776" t="str"><v>Tier 1</v></cell><cell r="N4776" t="str"><v>EMEA</v></cell><cell r="O4776" t="str"><v>France</v></cell><cell r="P4776" t="str"><v>Trial</v></cell><cell r="Q4776" t="str"><v>Social</v></cell><cell r="R4776" t="str"><v>Azure</v></cell><cell r="S4776" t="str"><v>Apps & Infra</v></cell><cell r="T4776" t="str"><v>Developers & ITI's</v></cell><cell r="U4776" t="str"><v>Developers/ITPros-Azure Direct-Sponsored Post-Video Ad-FBCTCBrandinMotion_FRA_12s_RTG Landing Page</v></cell><cell r="V4776" t="str"><v>Behavioral Targeting</v></cell><cell r="W4776" t="str"><v>Social</v></cell><cell r="X4776" t="str"><v>1x1</v></cell></row><row r="4776"><cell r="AA4776"><v>43315</v></cell><cell r="AB4776" t="str"><v>FRA_gaPMG_AZR_AZR_Q1_19_AzureDirect-Trial-Social</v></cell><cell r="AC4776"><v>21356941</v></cell><cell r="AD4776"><v>720193</v></cell><cell r="AE4776" t="str"><v>Facebook</v></cell><cell r="AF4776"><v>3654128</v></cell><cell r="AG4776" t="str"><v>Facebook»Developers/ITPros-Azure Direct-Sponsored Post-Video Ad-FBCTCBrandinMotion_FRA_12s_RTG Landing Page»1x1»05s»SOC»ALL»CPC»BT»D»UNK»SS»NA»Trials</v></cell><cell r="AH4776"><v>224560863</v></cell><cell r="AI4776" t="str"><v>AZR_FBCTCBrandinMotion_FRA_12s_VIA_AZRDirect_French_NA_Facebook_STAN_TIN_T2_1</v></cell><cell r="AJ4776"><v>103256577</v></cell></row><row r="4777"><cell r="C4777" t="str"><v>43315Facebook»Developers/ITPros-Azure Direct-Sponsored Post_Trial-Link Ad-FreeAcctRetargetingVMFB-750Hrs-ChD CanvasOpener»1x1»SocialBan»SOC»ALL»CPC»LAL»D»UNK»SS»NA»Trials</v></cell><cell r="D4777" t="str"><v>43315226496098</v></cell><cell r="E4777" t="str"><v>43315104458165Trials</v></cell><cell r="F4777" t="str"><v>DCM</v></cell><cell r="G4777" t="str"><v>https://azure.microsoft.com/fr-fr/free/virtual-machines/search/</v></cell></row><row r="4777"><cell r="K4777" t="str"><v>August</v></cell><cell r="L4777"><v>43316</v></cell><cell r="M4777" t="str"><v>Tier 1</v></cell><cell r="N4777" t="str"><v>EMEA</v></cell><cell r="O4777" t="str"><v>France</v></cell><cell r="P4777" t="str"><v>Trial</v></cell><cell r="Q4777" t="str"><v>Social</v></cell><cell r="R4777" t="str"><v>Azure</v></cell><cell r="S4777" t="str"><v>Apps & Infra</v></cell><cell r="T4777" t="str"><v>Developers & ITI's</v></cell><cell r="U4777" t="str"><v>Developers/ITPros-Azure Direct-Sponsored Post_Trial-Link Ad-FreeAcctRetargetingVMFB-750Hrs-ChD CanvasOpener</v></cell><cell r="V4777" t="str"><v>Lookalike Targeting</v></cell><cell r="W4777" t="str"><v>Social</v></cell><cell r="X4777" t="str"><v>1x1</v></cell></row><row r="4777"><cell r="AA4777"><v>43315</v></cell><cell r="AB4777" t="str"><v>FRA_gaPMG_AZR_AZR_Q1_19_AzureDirect-Trial-Social</v></cell><cell r="AC4777"><v>21356941</v></cell><cell r="AD4777"><v>720193</v></cell><cell r="AE4777" t="str"><v>Facebook</v></cell><cell r="AF4777"><v>3654128</v></cell><cell r="AG4777" t="str"><v>Facebook»Developers/ITPros-Azure Direct-Sponsored Post_Trial-Link Ad-FreeAcctRetargetingVMFB-750Hrs-ChD CanvasOpener»1x1»SocialBan»SOC»ALL»CPC»LAL»D»UNK»SS»NA»Trials</v></cell><cell r="AH4777"><v>226496098</v></cell><cell r="AI4777" t="str"><v>void</v></cell><cell r="AJ4777"><v>104458165</v></cell></row><row r="4778"><cell r="C4778" t="str"><v>43315Facebook»ITPros-Azure Direct-Sponsored Post-Video Ad-Free Account IT Pro - Migration»1x1»30s»SOC»ALL»CPC»AUT»D»UNK»SS»NA»Trials</v></cell><cell r="D4778" t="str"><v>43315226360010</v></cell><cell r="E4778" t="str"><v>43315104458003Trials</v></cell><cell r="F4778" t="str"><v>DCM</v></cell><cell r="G4778" t="str"><v>https://signup.azure.com/signup?offer=ms-azr-0044p&appId=102&ref=paidmedia-social-fb&redirectURL=https%3a%2f%2fazure.microsoft.com%2ffr-fr%2fget-started%2fwelcome-to-azure%2f&l=fr-fr&correlationId=ead86c34-1f10-49dd-a72b-6918462a2cbf</v></cell></row><row r="4778"><cell r="K4778" t="str"><v>August</v></cell><cell r="L4778"><v>43316</v></cell><cell r="M4778" t="str"><v>Tier 1</v></cell><cell r="N4778" t="str"><v>EMEA</v></cell><cell r="O4778" t="str"><v>France</v></cell><cell r="P4778" t="str"><v>Trial</v></cell><cell r="Q4778" t="str"><v>Social</v></cell><cell r="R4778" t="str"><v>Azure</v></cell><cell r="S4778" t="str"><v>Apps & Infra</v></cell><cell r="T4778" t="str"><v>Developers & ITI's</v></cell><cell r="U4778" t="str"><v>ITPros-Azure Direct-Sponsored Post-Video Ad-Free Account IT Pro - Migration</v></cell><cell r="V4778" t="str"><v>Audience Targeting</v></cell><cell r="W4778" t="str"><v>Social</v></cell><cell r="X4778" t="str"><v>1x1</v></cell></row><row r="4778"><cell r="AA4778"><v>43315</v></cell><cell r="AB4778" t="str"><v>FRA_gaPMG_AZR_AZR_Q1_19_AzureDirect-Trial-Social</v></cell><cell r="AC4778"><v>21356941</v></cell><cell r="AD4778"><v>720193</v></cell><cell r="AE4778" t="str"><v>Facebook</v></cell><cell r="AF4778"><v>3654128</v></cell><cell r="AG4778" t="str"><v>Facebook»ITPros-Azure Direct-Sponsored Post-Video Ad-Free Account IT Pro - Migration»1x1»30s»SOC»ALL»CPC»AUT»D»UNK»SS»NA»Trials</v></cell><cell r="AH4778"><v>226360010</v></cell><cell r="AI4778" t="str"><v>AZR_FreeAcctITProFB-AnimatedMigration-Ch3_FRA_1200x1200_VIA_AZRDirect_French_NA_Facebook_STAN_LEA_T3_1</v></cell><cell r="AJ4778"><v>104458003</v></cell></row><row r="4779"><cell r="C4779" t="str"><v>43315Facebook»ITPros-Azure Direct-Sponsored Post_Trial-Video Ad-Free Account IT Pro - Migration»1x1»30s»SOC»ALL»CPC»RT»D»UNK»SS»NA»Trials</v></cell><cell r="D4779" t="str"><v>43315226496137</v></cell><cell r="E4779" t="str"><v>43315104458003Trials</v></cell><cell r="F4779" t="str"><v>DCM</v></cell><cell r="G4779" t="str"><v>https://signup.azure.com/signup?offer=ms-azr-0044p&appId=102&ref=paidmedia-social-fb&redirectURL=https%3a%2f%2fazure.microsoft.com%2ffr-fr%2fget-started%2fwelcome-to-azure%2f&l=fr-fr&correlationId=ead86c34-1f10-49dd-a72b-6918462a2cbf</v></cell></row><row r="4779"><cell r="K4779" t="str"><v>August</v></cell><cell r="L4779"><v>43316</v></cell><cell r="M4779" t="str"><v>Tier 1</v></cell><cell r="N4779" t="str"><v>EMEA</v></cell><cell r="O4779" t="str"><v>France</v></cell><cell r="P4779" t="str"><v>Trial</v></cell><cell r="Q4779" t="str"><v>Social</v></cell><cell r="R4779" t="str"><v>Azure</v></cell><cell r="S4779" t="str"><v>Apps & Infra</v></cell><cell r="T4779" t="str"><v>Developers & ITI's</v></cell><cell r="U4779" t="str"><v>ITPros-Azure Direct-Sponsored Post_Trial-Video Ad-Free Account IT Pro - Migration</v></cell><cell r="V4779" t="str"><v>Retargeting</v></cell><cell r="W4779" t="str"><v>Social</v></cell><cell r="X4779" t="str"><v>1x1</v></cell></row><row r="4779"><cell r="AA4779"><v>43315</v></cell><cell r="AB4779" t="str"><v>FRA_gaPMG_AZR_AZR_Q1_19_AzureDirect-Trial-Social</v></cell><cell r="AC4779"><v>21356941</v></cell><cell r="AD4779"><v>720193</v></cell><cell r="AE4779" t="str"><v>Facebook</v></cell><cell r="AF4779"><v>3654128</v></cell><cell r="AG4779" t="str"><v>Facebook»ITPros-Azure Direct-Sponsored Post_Trial-Video Ad-Free Account IT Pro - Migration»1x1»30s»SOC»ALL»CPC»RT»D»UNK»SS»NA»Trials</v></cell><cell r="AH4779"><v>226496137</v></cell><cell r="AI4779" t="str"><v>AZR_FreeAcctITProFB-AnimatedMigration-Ch3_FRA_1200x1200_VIA_AZRDirect_French_NA_Facebook_STAN_LEA_T3_1</v></cell><cell r="AJ4779"><v>104458003</v></cell></row><row r="4780"><cell r="C4780" t="str"><v>43315Facebook»ITPros-Azure Direct-Sponsored Post_Trial_PayGo-Video Ad-Free Account IT Pro - Hybrid»1x1»30s»SOC»ALL»CPC»LAL»D»UNK»SS»NA»Trials</v></cell><cell r="D4780" t="str"><v>43315226359938</v></cell><cell r="E4780" t="str"><v>43315104456278Trials</v></cell><cell r="F4780" t="str"><v>DCM</v></cell><cell r="G4780" t="str"><v>https://signup.azure.com/signup?offer=ms-azr-0044p&appId=102&ref=paidmedia-social-fb&redirectURL=https%3a%2f%2fazure.microsoft.com%2ffr-fr%2fget-started%2fwelcome-to-azure%2f&l=fr-fr&correlationId=ead86c34-1f10-49dd-a72b-6918462a2cbf</v></cell></row><row r="4780"><cell r="K4780" t="str"><v>August</v></cell><cell r="L4780"><v>43316</v></cell><cell r="M4780" t="str"><v>Tier 1</v></cell><cell r="N4780" t="str"><v>EMEA</v></cell><cell r="O4780" t="str"><v>France</v></cell><cell r="P4780" t="str"><v>Trial</v></cell><cell r="Q4780" t="str"><v>Social</v></cell><cell r="R4780" t="str"><v>Azure</v></cell><cell r="S4780" t="str"><v>Apps & Infra</v></cell><cell r="T4780" t="str"><v>Developers & ITI's</v></cell><cell r="U4780" t="str"><v>ITPros-Azure Direct-Sponsored Post_Trial_PayGo-Video Ad-Free Account IT Pro - Hybrid</v></cell><cell r="V4780" t="str"><v>Lookalike Targeting</v></cell><cell r="W4780" t="str"><v>Social</v></cell><cell r="X4780" t="str"><v>1x1</v></cell></row><row r="4780"><cell r="AA4780"><v>43315</v></cell><cell r="AB4780" t="str"><v>FRA_gaPMG_AZR_AZR_Q1_19_AzureDirect-Trial-Social</v></cell><cell r="AC4780"><v>21356941</v></cell><cell r="AD4780"><v>720193</v></cell><cell r="AE4780" t="str"><v>Facebook</v></cell><cell r="AF4780"><v>3654128</v></cell><cell r="AG4780" t="str"><v>Facebook»ITPros-Azure Direct-Sponsored Post_Trial_PayGo-Video Ad-Free Account IT Pro - Hybrid»1x1»30s»SOC»ALL»CPC»LAL»D»UNK»SS»NA»Trials</v></cell><cell r="AH4780"><v>226359938</v></cell><cell r="AI4780" t="str"><v>AZR_FreeAcctITProFB-AnimatedHybrid-Ch2_FRA_1200x1200_VIA_AZRDirect_French_NA_Facebook_STAN_LEA_T2_1</v></cell><cell r="AJ4780"><v>104456278</v></cell></row><row r="4781"><cell r="C4781" t="str"><v>43315Facebook»Developers-Azure Direct-Sponsored Post_Trial-Video Ad-Free Account Developer - Intelligent Data»1x1»30s»SOC»ALL»CPC»RT»D»UNK»SS»NA»Trials</v></cell><cell r="D4781" t="str"><v>43315226496146</v></cell><cell r="E4781" t="str"><v>43315104537816Trials</v></cell><cell r="F4781" t="str"><v>DCM</v></cell><cell r="G4781" t="str"><v>https://signup.azure.com/signup?offer=ms-azr-0044p&appId=102&ref=paidmedia-social-fb&redirectURL=https%3a%2f%2fazure.microsoft.com%2ffr-fr%2fget-started%2fwelcome-to-azure%2f&l=fr-fr&correlationId=ead86c34-1f10-49dd-a72b-6918462a2cbf</v></cell></row><row r="4781"><cell r="K4781" t="str"><v>August</v></cell><cell r="L4781"><v>43316</v></cell><cell r="M4781" t="str"><v>Tier 1</v></cell><cell r="N4781" t="str"><v>EMEA</v></cell><cell r="O4781" t="str"><v>France</v></cell><cell r="P4781" t="str"><v>Trial</v></cell><cell r="Q4781" t="str"><v>Social</v></cell><cell r="R4781" t="str"><v>Azure</v></cell><cell r="S4781" t="str"><v>Apps & Infra</v></cell><cell r="T4781" t="str"><v>Developers & ITI's</v></cell><cell r="U4781" t="str"><v>Developers-Azure Direct-Sponsored Post_Trial-Video Ad-Free Account Developer - Intelligent Data</v></cell><cell r="V4781" t="str"><v>Retargeting</v></cell><cell r="W4781" t="str"><v>Social</v></cell><cell r="X4781" t="str"><v>1x1</v></cell></row><row r="4781"><cell r="AA4781"><v>43315</v></cell><cell r="AB4781" t="str"><v>FRA_gaPMG_AZR_AZR_Q1_19_AzureDirect-Trial-Social</v></cell><cell r="AC4781"><v>21356941</v></cell><cell r="AD4781"><v>720193</v></cell><cell r="AE4781" t="str"><v>Facebook</v></cell><cell r="AF4781"><v>3654128</v></cell><cell r="AG4781" t="str"><v>Facebook»Developers-Azure Direct-Sponsored Post_Trial-Video Ad-Free Account Developer - Intelligent Data»1x1»30s»SOC»ALL»CPC»RT»D»UNK»SS»NA»Trials</v></cell><cell r="AH4781"><v>226496146</v></cell><cell r="AI4781" t="str"><v>AZR_FreeAcctDeveloperFB-AnimatedData-Ch4_FRA_1200x1200_VIA_AZRDirect_French_NA_Facebook_STAN_LEA_T4_1</v></cell><cell r="AJ4781"><v>104537816</v></cell></row><row r="4782"><cell r="C4782" t="str"><v>43315Facebook»Developers/ITPros-Azure Direct-Sponsored Post_Trial-Canvas-FBCTCcanvaspage-StartFreeCTA-Img2_FBCTCBasicMotion_FRA_10sec»1x1»Canvas»SOC»ALL»CPC»RT»D»UNK»SS»NA»Trials</v></cell><cell r="D4782" t="str"><v>43315226359932</v></cell><cell r="E4782" t="str"><v>43315104455909Trials</v></cell><cell r="F4782" t="str"><v>DCM</v></cell><cell r="G4782" t="str"><v>https://signup.azure.com/signup?offer=ms-azr-0044p&appId=102&ref=paidmedia-social-fb&redirectURL=https%3a%2f%2fazure.microsoft.com%2ffr-fr%2fget-started%2fwelcome-to-azure%2f&l=fr-fr&correlationId=ead86c34-1f10-49dd-a72b-6918462a2cbf</v></cell></row><row r="4782"><cell r="K4782" t="str"><v>August</v></cell><cell r="L4782"><v>43316</v></cell><cell r="M4782" t="str"><v>Tier 1</v></cell><cell r="N4782" t="str"><v>EMEA</v></cell><cell r="O4782" t="str"><v>France</v></cell><cell r="P4782" t="str"><v>Trial</v></cell><cell r="Q4782" t="str"><v>Social</v></cell><cell r="R4782" t="str"><v>Azure</v></cell><cell r="S4782" t="str"><v>Apps & Infra</v></cell><cell r="T4782" t="str"><v>Developers & ITI's</v></cell><cell r="U4782" t="str"><v>Developers/ITPros-Azure Direct-Sponsored Post_Trial-Canvas-FBCTCcanvaspage-StartFreeCTA-Img2_FBCTCBasicMotion_FRA_10sec</v></cell><cell r="V4782" t="str"><v>Retargeting</v></cell><cell r="W4782" t="str"><v>Social</v></cell><cell r="X4782" t="str"><v>1x1</v></cell></row><row r="4782"><cell r="AA4782"><v>43315</v></cell><cell r="AB4782" t="str"><v>FRA_gaPMG_AZR_AZR_Q1_19_AzureDirect-Trial-Social</v></cell><cell r="AC4782"><v>21356941</v></cell><cell r="AD4782"><v>720193</v></cell><cell r="AE4782" t="str"><v>Facebook</v></cell><cell r="AF4782"><v>3654128</v></cell><cell r="AG4782" t="str"><v>Facebook»Developers/ITPros-Azure Direct-Sponsored Post_Trial-Canvas-FBCTCcanvaspage-StartFreeCTA-Img2_FBCTCBasicMotion_FRA_10sec»1x1»Canvas»SOC»ALL»CPC»RT»D»UNK»SS»NA»Trials</v></cell><cell r="AH4782"><v>226359932</v></cell><cell r="AI4782" t="str"><v>void</v></cell><cell r="AJ4782"><v>104455909</v></cell></row><row r="4783"><cell r="C4783" t="str"><v>43315Facebook»Developers/ITPros-Azure Direct-Sponsored Post_Trial_PayGo-Canvas-FBCTCcanvaspage-BuyNowCTA-Img3_FBCTCBrandinMotion_FRA_14sec»1x1»Canvas»SOC»ALL»CPC»LAL»D»UNK»SS»NA»Trials</v></cell><cell r="D4783" t="str"><v>43315226359983</v></cell><cell r="E4783" t="str"><v>43315104537819Trials</v></cell><cell r="F4783" t="str"><v>DCM</v></cell><cell r="G4783" t="str"><v>https://azure.microsoft.com/fr-fr/pricing/purchase-options/</v></cell></row><row r="4783"><cell r="K4783" t="str"><v>August</v></cell><cell r="L4783"><v>43316</v></cell><cell r="M4783" t="str"><v>Tier 1</v></cell><cell r="N4783" t="str"><v>EMEA</v></cell><cell r="O4783" t="str"><v>France</v></cell><cell r="P4783" t="str"><v>Trial</v></cell><cell r="Q4783" t="str"><v>Social</v></cell><cell r="R4783" t="str"><v>Azure</v></cell><cell r="S4783" t="str"><v>Apps & Infra</v></cell><cell r="T4783" t="str"><v>Developers & ITI's</v></cell><cell r="U4783" t="str"><v>Developers/ITPros-Azure Direct-Sponsored Post_Trial_PayGo-Canvas-FBCTCcanvaspage-BuyNowCTA-Img3_FBCTCBrandinMotion_FRA_14sec</v></cell><cell r="V4783" t="str"><v>Lookalike Targeting</v></cell><cell r="W4783" t="str"><v>Social</v></cell><cell r="X4783" t="str"><v>1x1</v></cell></row><row r="4783"><cell r="AA4783"><v>43315</v></cell><cell r="AB4783" t="str"><v>FRA_gaPMG_AZR_AZR_Q1_19_AzureDirect-Trial-Social</v></cell><cell r="AC4783"><v>21356941</v></cell><cell r="AD4783"><v>720193</v></cell><cell r="AE4783" t="str"><v>Facebook</v></cell><cell r="AF4783"><v>3654128</v></cell><cell r="AG4783" t="str"><v>Facebook»Developers/ITPros-Azure Direct-Sponsored Post_Trial_PayGo-Canvas-FBCTCcanvaspage-BuyNowCTA-Img3_FBCTCBrandinMotion_FRA_14sec»1x1»Canvas»SOC»ALL»CPC»LAL»D»UNK»SS»NA»Trials</v></cell><cell r="AH4783"><v>226359983</v></cell><cell r="AI4783" t="str"><v>void</v></cell><cell r="AJ4783"><v>104537819</v></cell></row><row r="4784"><cell r="C4784" t="str"><v>43315Facebook»Audience & Interest Targeting»1x1»SocialBan»LIA»DT»CPC»AUT»W»NA»SS»NA»Basic Motion</v></cell><cell r="D4784" t="str"><v>43315224399962</v></cell><cell r="E4784" t="str"><v>43315103230847Motion</v></cell><cell r="F4784" t="str"><v>DCM</v></cell><cell r="G4784" t="str"><v>https://azure.microsoft.com/en-gb/pricing/purchase-options/</v></cell></row><row r="4784"><cell r="K4784" t="str"><v>August</v></cell><cell r="L4784"><v>43316</v></cell><cell r="M4784" t="str"><v>Tier 1</v></cell><cell r="N4784" t="str"><v>EMEA</v></cell><cell r="O4784" t="str"><v>United Kingdom</v></cell><cell r="P4784" t="str"><v>Trial</v></cell><cell r="Q4784" t="str"><v>Social</v></cell><cell r="R4784" t="str"><v>Azure</v></cell><cell r="S4784" t="str"><v>Apps & Infra</v></cell><cell r="T4784" t="str"><v>Developers & ITI's</v></cell><cell r="U4784" t="str"><v>Audience & Interest Targeting</v></cell><cell r="V4784" t="str"><v>Audience Targeting</v></cell><cell r="W4784" t="str"><v>Link Ad</v></cell><cell r="X4784" t="str"><v>1x1</v></cell></row><row r="4784"><cell r="AA4784"><v>43315</v></cell><cell r="AB4784" t="str"><v>GBR_gaPMG_CE_AZR_Q1_19_Trial-Social</v></cell><cell r="AC4784"><v>21337013</v></cell><cell r="AD4784"><v>720196</v></cell><cell r="AE4784" t="str"><v>Facebook</v></cell><cell r="AF4784"><v>3654128</v></cell><cell r="AG4784" t="str"><v>Facebook»Audience & Interest Targeting»1x1»SocialBan»LIA»DT»CPC»AUT»W»NA»SS»NA»Basic Motion</v></cell><cell r="AH4784"><v>224399962</v></cell><cell r="AI4784" t="str"><v>AzurePlatform_FBCTCcanvaspage-BuyNowCTA-Img3_GBR_1080x162_SOC_Plat_English_NA_Standard_NA_BN_T3_1</v></cell><cell r="AJ4784"><v>103230847</v></cell></row><row r="4785"><cell r="C4785" t="str"><v>43315Facebook»Audience & Interest Targeting»1x1»SocialBan»LIA»DT»CPC»AUT»W»NA»SS»NA»Basic Motion</v></cell><cell r="D4785" t="str"><v>43315224399962</v></cell><cell r="E4785" t="str"><v>43315103235146Motion</v></cell><cell r="F4785" t="str"><v>DCM</v></cell><cell r="G4785" t="str"><v>https://signup.azure.com/signup?offer=ms-azr-0044p&appId=102&ref=paidmedia-social-fb&redirectURL=https%3a%2f%2fazure.microsoft.com%2fen-gb%2fget-started%2fwelcome-to-azure%2f&l=en-gb&correlationId=ead86c34-1f10-49dd-a72b-6918462a2cbf</v></cell></row><row r="4785"><cell r="K4785" t="str"><v>August</v></cell><cell r="L4785"><v>43316</v></cell><cell r="M4785" t="str"><v>Tier 1</v></cell><cell r="N4785" t="str"><v>EMEA</v></cell><cell r="O4785" t="str"><v>United Kingdom</v></cell><cell r="P4785" t="str"><v>Trial</v></cell><cell r="Q4785" t="str"><v>Social</v></cell><cell r="R4785" t="str"><v>Azure</v></cell><cell r="S4785" t="str"><v>Apps & Infra</v></cell><cell r="T4785" t="str"><v>Developers & ITI's</v></cell><cell r="U4785" t="str"><v>Audience & Interest Targeting</v></cell><cell r="V4785" t="str"><v>Audience Targeting</v></cell><cell r="W4785" t="str"><v>Link Ad</v></cell><cell r="X4785" t="str"><v>1x1</v></cell></row><row r="4785"><cell r="AA4785"><v>43315</v></cell><cell r="AB4785" t="str"><v>GBR_gaPMG_CE_AZR_Q1_19_Trial-Social</v></cell><cell r="AC4785"><v>21337013</v></cell><cell r="AD4785"><v>720196</v></cell><cell r="AE4785" t="str"><v>Facebook</v></cell><cell r="AF4785"><v>3654128</v></cell><cell r="AG4785" t="str"><v>Facebook»Audience & Interest Targeting»1x1»SocialBan»LIA»DT»CPC»AUT»W»NA»SS»NA»Basic Motion</v></cell><cell r="AH4785"><v>224399962</v></cell><cell r="AI4785" t="str"><v>AzurePlatform_FBCTCcanvaspage-StartFreeCTA-Img2_GBR_1080x143 _SOC_Plat_English_NA_Standard_NA_NA_T2_1</v></cell><cell r="AJ4785"><v>103235146</v></cell></row><row r="4786"><cell r="C4786" t="str"><v>43315Facebook»Audience & Interest Targeting»1x1»SocialBan»LIA»DT»CPC»AUT»W»NA»SS»NA»Benefit 2 in Motion</v></cell><cell r="D4786" t="str"><v>43315224334170</v></cell><cell r="E4786" t="str"><v>43315103230847Motion</v></cell><cell r="F4786" t="str"><v>DCM</v></cell><cell r="G4786" t="str"><v>https://azure.microsoft.com/en-gb/pricing/purchase-options/</v></cell></row><row r="4786"><cell r="K4786" t="str"><v>August</v></cell><cell r="L4786"><v>43316</v></cell><cell r="M4786" t="str"><v>Tier 1</v></cell><cell r="N4786" t="str"><v>EMEA</v></cell><cell r="O4786" t="str"><v>United Kingdom</v></cell><cell r="P4786" t="str"><v>Trial</v></cell><cell r="Q4786" t="str"><v>Social</v></cell><cell r="R4786" t="str"><v>Azure</v></cell><cell r="S4786" t="str"><v>Apps & Infra</v></cell><cell r="T4786" t="str"><v>Developers & ITI's</v></cell><cell r="U4786" t="str"><v>Audience & Interest Targeting</v></cell><cell r="V4786" t="str"><v>Audience Targeting</v></cell><cell r="W4786" t="str"><v>Link Ad</v></cell><cell r="X4786" t="str"><v>1x1</v></cell></row><row r="4786"><cell r="AA4786"><v>43315</v></cell><cell r="AB4786" t="str"><v>GBR_gaPMG_CE_AZR_Q1_19_Trial-Social</v></cell><cell r="AC4786"><v>21337013</v></cell><cell r="AD4786"><v>720196</v></cell><cell r="AE4786" t="str"><v>Facebook</v></cell><cell r="AF4786"><v>3654128</v></cell><cell r="AG4786" t="str"><v>Facebook»Audience & Interest Targeting»1x1»SocialBan»LIA»DT»CPC»AUT»W»NA»SS»NA»Benefit 2 in Motion</v></cell><cell r="AH4786"><v>224334170</v></cell><cell r="AI4786" t="str"><v>AzurePlatform_FBCTCcanvaspage-BuyNowCTA-Img3_GBR_1080x162_SOC_Plat_English_NA_Standard_NA_BN_T3_1</v></cell><cell r="AJ4786"><v>103230847</v></cell></row><row r="4787"><cell r="C4787" t="str"><v>43315Facebook»Audience & Interest Targeting»1x1»SocialBan»LIA»DT»CPC»AUT»W»NA»SS»NA»Benefit 2 in Motion</v></cell><cell r="D4787" t="str"><v>43315224334170</v></cell><cell r="E4787" t="str"><v>43315103235146Motion</v></cell><cell r="F4787" t="str"><v>DCM</v></cell><cell r="G4787" t="str"><v>https://signup.azure.com/signup?offer=ms-azr-0044p&appId=102&ref=paidmedia-social-fb&redirectURL=https%3a%2f%2fazure.microsoft.com%2fen-gb%2fget-started%2fwelcome-to-azure%2f&l=en-gb&correlationId=ead86c34-1f10-49dd-a72b-6918462a2cbf</v></cell></row><row r="4787"><cell r="K4787" t="str"><v>August</v></cell><cell r="L4787"><v>43316</v></cell><cell r="M4787" t="str"><v>Tier 1</v></cell><cell r="N4787" t="str"><v>EMEA</v></cell><cell r="O4787" t="str"><v>United Kingdom</v></cell><cell r="P4787" t="str"><v>Trial</v></cell><cell r="Q4787" t="str"><v>Social</v></cell><cell r="R4787" t="str"><v>Azure</v></cell><cell r="S4787" t="str"><v>Apps & Infra</v></cell><cell r="T4787" t="str"><v>Developers & ITI's</v></cell><cell r="U4787" t="str"><v>Audience & Interest Targeting</v></cell><cell r="V4787" t="str"><v>Audience Targeting</v></cell><cell r="W4787" t="str"><v>Link Ad</v></cell><cell r="X4787" t="str"><v>1x1</v></cell></row><row r="4787"><cell r="AA4787"><v>43315</v></cell><cell r="AB4787" t="str"><v>GBR_gaPMG_CE_AZR_Q1_19_Trial-Social</v></cell><cell r="AC4787"><v>21337013</v></cell><cell r="AD4787"><v>720196</v></cell><cell r="AE4787" t="str"><v>Facebook</v></cell><cell r="AF4787"><v>3654128</v></cell><cell r="AG4787" t="str"><v>Facebook»Audience & Interest Targeting»1x1»SocialBan»LIA»DT»CPC»AUT»W»NA»SS»NA»Benefit 2 in Motion</v></cell><cell r="AH4787"><v>224334170</v></cell><cell r="AI4787" t="str"><v>AzurePlatform_FBCTCcanvaspage-StartFreeCTA-Img2_GBR_1080x143 _SOC_Plat_English_NA_Standard_NA_NA_T2_1</v></cell><cell r="AJ4787"><v>103235146</v></cell></row><row r="4788"><cell r="C4788" t="str"><v>43315Facebook»Audience & Interest Targeting»1x1»SocialBan»LIA»DT»CPC»AUT»W»NA»SS»NA»Brand in Motion</v></cell><cell r="D4788" t="str"><v>43315224549481</v></cell><cell r="E4788" t="str"><v>43315103235146Motion</v></cell><cell r="F4788" t="str"><v>DCM</v></cell><cell r="G4788" t="str"><v>https://signup.azure.com/signup?offer=ms-azr-0044p&appId=102&ref=paidmedia-social-fb&redirectURL=https%3a%2f%2fazure.microsoft.com%2fen-gb%2fget-started%2fwelcome-to-azure%2f&l=en-gb&correlationId=ead86c34-1f10-49dd-a72b-6918462a2cbf</v></cell></row><row r="4788"><cell r="K4788" t="str"><v>August</v></cell><cell r="L4788"><v>43316</v></cell><cell r="M4788" t="str"><v>Tier 1</v></cell><cell r="N4788" t="str"><v>EMEA</v></cell><cell r="O4788" t="str"><v>United Kingdom</v></cell><cell r="P4788" t="str"><v>Trial</v></cell><cell r="Q4788" t="str"><v>Social</v></cell><cell r="R4788" t="str"><v>Azure</v></cell><cell r="S4788" t="str"><v>Apps & Infra</v></cell><cell r="T4788" t="str"><v>Developers & ITI's</v></cell><cell r="U4788" t="str"><v>Audience & Interest Targeting</v></cell><cell r="V4788" t="str"><v>Audience Targeting</v></cell><cell r="W4788" t="str"><v>Link Ad</v></cell><cell r="X4788" t="str"><v>1x1</v></cell></row><row r="4788"><cell r="AA4788"><v>43315</v></cell><cell r="AB4788" t="str"><v>GBR_gaPMG_CE_AZR_Q1_19_Trial-Social</v></cell><cell r="AC4788"><v>21337013</v></cell><cell r="AD4788"><v>720196</v></cell><cell r="AE4788" t="str"><v>Facebook</v></cell><cell r="AF4788"><v>3654128</v></cell><cell r="AG4788" t="str"><v>Facebook»Audience & Interest Targeting»1x1»SocialBan»LIA»DT»CPC»AUT»W»NA»SS»NA»Brand in Motion</v></cell><cell r="AH4788"><v>224549481</v></cell><cell r="AI4788" t="str"><v>AzurePlatform_FBCTCcanvaspage-StartFreeCTA-Img2_GBR_1080x143 _SOC_Plat_English_NA_Standard_NA_NA_T2_1</v></cell><cell r="AJ4788"><v>103235146</v></cell></row><row r="4789"><cell r="C4789" t="str"><v>43315Facebook»Audience & Interest Targeting»1x1»SocialBan»LIA»DT»DYN»AUT»W»NA»SS»NA»Free Account Refresh- 12 months ChE</v></cell><cell r="D4789" t="str"><v>43315223567691</v></cell><cell r="E4789" t="str"><v>43315102854007hs ChE</v></cell><cell r="F4789" t="str"><v>DCM</v></cell><cell r="G4789" t="str"><v>https://azure.microsoft.com/en-gb/free/search/</v></cell></row><row r="4789"><cell r="K4789" t="str"><v>August</v></cell><cell r="L4789"><v>43316</v></cell><cell r="M4789" t="str"><v>Tier 1</v></cell><cell r="N4789" t="str"><v>EMEA</v></cell><cell r="O4789" t="str"><v>United Kingdom</v></cell><cell r="P4789" t="str"><v>Trial</v></cell><cell r="Q4789" t="str"><v>Social</v></cell><cell r="R4789" t="str"><v>Azure</v></cell><cell r="S4789" t="str"><v>Apps & Infra</v></cell><cell r="T4789" t="str"><v>Developers & ITI's</v></cell><cell r="U4789" t="str"><v>Audience & Interest Targeting</v></cell><cell r="V4789" t="str"><v>Audience Targeting</v></cell><cell r="W4789" t="str"><v>Link Ad</v></cell><cell r="X4789" t="str"><v>1x1</v></cell></row><row r="4789"><cell r="AA4789"><v>43315</v></cell><cell r="AB4789" t="str"><v>GBR_gaPMG_CE_AZR_Q1_19_Trial-Social</v></cell><cell r="AC4789"><v>21337013</v></cell><cell r="AD4789"><v>720196</v></cell><cell r="AE4789" t="str"><v>Facebook</v></cell><cell r="AF4789"><v>3654128</v></cell><cell r="AG4789" t="str"><v>Facebook»Audience & Interest Targeting»1x1»SocialBan»LIA»DT»DYN»AUT»W»NA»SS»NA»Free Account Refresh- 12 months ChE</v></cell><cell r="AH4789"><v>223567691</v></cell><cell r="AI4789" t="str"><v>AzurePlatform_FreeAcctAppsFACEBOOK12monthsChE_GBR_1200x628_SOC_PLAT_EN_Trial_Standard_NA_SU_T5_1</v></cell><cell r="AJ4789"><v>102854007</v></cell></row><row r="4790"><cell r="C4790" t="str"><v>43315Facebook»Audience & Interest Targeting»1x1»SocialBan»LIA»DT»DYN»AUT»W»NA»SS»NA»Free Account Refresh- 200 Credit ChD</v></cell><cell r="D4790" t="str"><v>43315223560359</v></cell><cell r="E4790" t="str"><v>43315103005662it ChD</v></cell><cell r="F4790" t="str"><v>DCM</v></cell><cell r="G4790" t="str"><v>https://azure.microsoft.com/en-gb/free/search/</v></cell></row><row r="4790"><cell r="K4790" t="str"><v>August</v></cell><cell r="L4790"><v>43316</v></cell><cell r="M4790" t="str"><v>Tier 1</v></cell><cell r="N4790" t="str"><v>EMEA</v></cell><cell r="O4790" t="str"><v>United Kingdom</v></cell><cell r="P4790" t="str"><v>Trial</v></cell><cell r="Q4790" t="str"><v>Social</v></cell><cell r="R4790" t="str"><v>Azure</v></cell><cell r="S4790" t="str"><v>Apps & Infra</v></cell><cell r="T4790" t="str"><v>Developers & ITI's</v></cell><cell r="U4790" t="str"><v>Audience & Interest Targeting</v></cell><cell r="V4790" t="str"><v>Audience Targeting</v></cell><cell r="W4790" t="str"><v>Link Ad</v></cell><cell r="X4790" t="str"><v>1x1</v></cell></row><row r="4790"><cell r="AA4790"><v>43315</v></cell><cell r="AB4790" t="str"><v>GBR_gaPMG_CE_AZR_Q1_19_Trial-Social</v></cell><cell r="AC4790"><v>21337013</v></cell><cell r="AD4790"><v>720196</v></cell><cell r="AE4790" t="str"><v>Facebook</v></cell><cell r="AF4790"><v>3654128</v></cell><cell r="AG4790" t="str"><v>Facebook»Audience & Interest Targeting»1x1»SocialBan»LIA»DT»DYN»AUT»W»NA»SS»NA»Free Account Refresh- 200 Credit ChD</v></cell><cell r="AH4790"><v>223560359</v></cell><cell r="AI4790" t="str"><v>AzurePlatform_FreeAcctAppsFACEBOOK200CreditChD_GBR_1200x628_SOC_PLAT_EN_Trial_Standard_NA_SU_T4_1</v></cell><cell r="AJ4790"><v>103005662</v></cell></row><row r="4791"><cell r="C4791" t="str"><v>43315Facebook»Audience & Interest Targeting»1x1»SocialBan»LIA»DT»DYN»AUT»W»NA»SS»NA»Free Account Refresh- Device ChB</v></cell><cell r="D4791" t="str"><v>43315223560353</v></cell><cell r="E4791" t="str"><v>43315102854010ce ChB</v></cell><cell r="F4791" t="str"><v>DCM</v></cell><cell r="G4791" t="str"><v>https://azure.microsoft.com/en-gb/free/search/</v></cell></row><row r="4791"><cell r="K4791" t="str"><v>August</v></cell><cell r="L4791"><v>43316</v></cell><cell r="M4791" t="str"><v>Tier 1</v></cell><cell r="N4791" t="str"><v>EMEA</v></cell><cell r="O4791" t="str"><v>United Kingdom</v></cell><cell r="P4791" t="str"><v>Trial</v></cell><cell r="Q4791" t="str"><v>Social</v></cell><cell r="R4791" t="str"><v>Azure</v></cell><cell r="S4791" t="str"><v>Apps & Infra</v></cell><cell r="T4791" t="str"><v>Developers & ITI's</v></cell><cell r="U4791" t="str"><v>Audience & Interest Targeting</v></cell><cell r="V4791" t="str"><v>Audience Targeting</v></cell><cell r="W4791" t="str"><v>Link Ad</v></cell><cell r="X4791" t="str"><v>1x1</v></cell></row><row r="4791"><cell r="AA4791"><v>43315</v></cell><cell r="AB4791" t="str"><v>GBR_gaPMG_CE_AZR_Q1_19_Trial-Social</v></cell><cell r="AC4791"><v>21337013</v></cell><cell r="AD4791"><v>720196</v></cell><cell r="AE4791" t="str"><v>Facebook</v></cell><cell r="AF4791"><v>3654128</v></cell><cell r="AG4791" t="str"><v>Facebook»Audience & Interest Targeting»1x1»SocialBan»LIA»DT»DYN»AUT»W»NA»SS»NA»Free Account Refresh- Device ChB</v></cell><cell r="AH4791"><v>223560353</v></cell><cell r="AI4791" t="str"><v>AzurePlatform_FreeAcctAppsFACEBOOKDeviceChB_GBR_1200x628_SOC_PLAT_EN_Trial_Standard_NA_SU_T2_1</v></cell><cell r="AJ4791"><v>102854010</v></cell></row><row r="4792"><cell r="C4792" t="str"><v>43315Facebook»Audience & Interest Targeting»1x1»SocialBan»LIA»DT»DYN»AUT»W»NA»SS»NA»Free Account Refresh- Illustration ChC</v></cell><cell r="D4792" t="str"><v>43315223560347</v></cell><cell r="E4792" t="str"><v>43315102857037on ChC</v></cell><cell r="F4792" t="str"><v>DCM</v></cell><cell r="G4792" t="str"><v>https://azure.microsoft.com/en-gb/free/search/</v></cell></row><row r="4792"><cell r="K4792" t="str"><v>August</v></cell><cell r="L4792"><v>43316</v></cell><cell r="M4792" t="str"><v>Tier 1</v></cell><cell r="N4792" t="str"><v>EMEA</v></cell><cell r="O4792" t="str"><v>United Kingdom</v></cell><cell r="P4792" t="str"><v>Trial</v></cell><cell r="Q4792" t="str"><v>Social</v></cell><cell r="R4792" t="str"><v>Azure</v></cell><cell r="S4792" t="str"><v>Apps & Infra</v></cell><cell r="T4792" t="str"><v>Developers & ITI's</v></cell><cell r="U4792" t="str"><v>Audience & Interest Targeting</v></cell><cell r="V4792" t="str"><v>Audience Targeting</v></cell><cell r="W4792" t="str"><v>Link Ad</v></cell><cell r="X4792" t="str"><v>1x1</v></cell></row><row r="4792"><cell r="AA4792"><v>43315</v></cell><cell r="AB4792" t="str"><v>GBR_gaPMG_CE_AZR_Q1_19_Trial-Social</v></cell><cell r="AC4792"><v>21337013</v></cell><cell r="AD4792"><v>720196</v></cell><cell r="AE4792" t="str"><v>Facebook</v></cell><cell r="AF4792"><v>3654128</v></cell><cell r="AG4792" t="str"><v>Facebook»Audience & Interest Targeting»1x1»SocialBan»LIA»DT»DYN»AUT»W»NA»SS»NA»Free Account Refresh- Illustration ChC</v></cell><cell r="AH4792"><v>223560347</v></cell><cell r="AI4792" t="str"><v>AzurePlatform_FreeAcctAppsFACEBOOKIllustrationChC_GBR_1200x628_SOC_PLAT_EN_Trial_Standard_NA_SU_T3_1</v></cell><cell r="AJ4792"><v>102857037</v></cell></row><row r="4793"><cell r="C4793" t="str"><v>43315Facebook»Audience & Interest Targeting»1x1»SocialBan»LIA»DT»DYN»AUT»W»NA»SS»NA»Free Account Refresh- Lifestyle ChA</v></cell><cell r="D4793" t="str"><v>43315223560341</v></cell><cell r="E4793" t="str"><v>43315102853597le ChA</v></cell><cell r="F4793" t="str"><v>DCM</v></cell><cell r="G4793" t="str"><v>https://azure.microsoft.com/en-gb/free/search/</v></cell></row><row r="4793"><cell r="K4793" t="str"><v>August</v></cell><cell r="L4793"><v>43316</v></cell><cell r="M4793" t="str"><v>Tier 1</v></cell><cell r="N4793" t="str"><v>EMEA</v></cell><cell r="O4793" t="str"><v>United Kingdom</v></cell><cell r="P4793" t="str"><v>Trial</v></cell><cell r="Q4793" t="str"><v>Social</v></cell><cell r="R4793" t="str"><v>Azure</v></cell><cell r="S4793" t="str"><v>Apps & Infra</v></cell><cell r="T4793" t="str"><v>Developers & ITI's</v></cell><cell r="U4793" t="str"><v>Audience & Interest Targeting</v></cell><cell r="V4793" t="str"><v>Audience Targeting</v></cell><cell r="W4793" t="str"><v>Link Ad</v></cell><cell r="X4793" t="str"><v>1x1</v></cell></row><row r="4793"><cell r="AA4793"><v>43315</v></cell><cell r="AB4793" t="str"><v>GBR_gaPMG_CE_AZR_Q1_19_Trial-Social</v></cell><cell r="AC4793"><v>21337013</v></cell><cell r="AD4793"><v>720196</v></cell><cell r="AE4793" t="str"><v>Facebook</v></cell><cell r="AF4793"><v>3654128</v></cell><cell r="AG4793" t="str"><v>Facebook»Audience & Interest Targeting»1x1»SocialBan»LIA»DT»DYN»AUT»W»NA»SS»NA»Free Account Refresh- Lifestyle ChA</v></cell><cell r="AH4793"><v>223560341</v></cell><cell r="AI4793" t="str"><v>AzurePlatform_FreeAcctAppsFACEBOOKLifestyleChA_GBR_1200x628_SOC_PLAT_EN_Trial_Standard_NA_SU_T1_1</v></cell><cell r="AJ4793"><v>102853597</v></cell></row><row r="4794"><cell r="C4794" t="str"><v>43315Facebook»Retargeting»1x1»SocialBan»LIA»DT»DYN»RT»W»NA»SS»NA»Free Account Retargeting Generic- Animated ChC</v></cell><cell r="D4794" t="str"><v>43315223560299</v></cell><cell r="E4794" t="str"><v>43315102854019ed ChC</v></cell><cell r="F4794" t="str"><v>DCM</v></cell><cell r="G4794" t="str"><v>https://azure.microsoft.com/en-gb/free/search/</v></cell></row><row r="4794"><cell r="K4794" t="str"><v>August</v></cell><cell r="L4794"><v>43316</v></cell><cell r="M4794" t="str"><v>Tier 1</v></cell><cell r="N4794" t="str"><v>EMEA</v></cell><cell r="O4794" t="str"><v>United Kingdom</v></cell><cell r="P4794" t="str"><v>Trial</v></cell><cell r="Q4794" t="str"><v>Social</v></cell><cell r="R4794" t="str"><v>Azure</v></cell><cell r="S4794" t="str"><v>Apps & Infra</v></cell><cell r="T4794" t="str"><v>Developers & ITI's</v></cell><cell r="U4794" t="str"><v>Retargeting</v></cell><cell r="V4794" t="str"><v>Retargeting</v></cell><cell r="W4794" t="str"><v>Link Ad</v></cell><cell r="X4794" t="str"><v>1x1</v></cell></row><row r="4794"><cell r="AA4794"><v>43315</v></cell><cell r="AB4794" t="str"><v>GBR_gaPMG_CE_AZR_Q1_19_Trial-Social</v></cell><cell r="AC4794"><v>21337013</v></cell><cell r="AD4794"><v>720196</v></cell><cell r="AE4794" t="str"><v>Facebook</v></cell><cell r="AF4794"><v>3654128</v></cell><cell r="AG4794" t="str"><v>Facebook»Retargeting»1x1»SocialBan»LIA»DT»DYN»RT»W»NA»SS»NA»Free Account Retargeting Generic- Animated ChC</v></cell><cell r="AH4794"><v>223560299</v></cell><cell r="AI4794" t="str"><v>AzurePlatform_FreeAcctRetargetingFB-Animated-ChC_GBR_1200x628_SOC_Plat_EN_Free Account_Standard_ANI_SU_T3_1</v></cell><cell r="AJ4794"><v>102854019</v></cell></row><row r="4795"><cell r="C4795" t="str"><v>43315Facebook»Retargeting»1x1»SocialBan»LIA»DT»DYN»RT»W»NA»SS»NA»Free Account Retargeting Generic- Global Alt ChB</v></cell><cell r="D4795" t="str"><v>43315223560356</v></cell><cell r="E4795" t="str"><v>43315102854016lt ChB</v></cell><cell r="F4795" t="str"><v>DCM</v></cell><cell r="G4795" t="str"><v>https://azure.microsoft.com/en-gb/free/search/</v></cell></row><row r="4795"><cell r="K4795" t="str"><v>August</v></cell><cell r="L4795"><v>43316</v></cell><cell r="M4795" t="str"><v>Tier 1</v></cell><cell r="N4795" t="str"><v>EMEA</v></cell><cell r="O4795" t="str"><v>United Kingdom</v></cell><cell r="P4795" t="str"><v>Trial</v></cell><cell r="Q4795" t="str"><v>Social</v></cell><cell r="R4795" t="str"><v>Azure</v></cell><cell r="S4795" t="str"><v>Apps & Infra</v></cell><cell r="T4795" t="str"><v>Developers & ITI's</v></cell><cell r="U4795" t="str"><v>Retargeting</v></cell><cell r="V4795" t="str"><v>Retargeting</v></cell><cell r="W4795" t="str"><v>Link Ad</v></cell><cell r="X4795" t="str"><v>1x1</v></cell></row><row r="4795"><cell r="AA4795"><v>43315</v></cell><cell r="AB4795" t="str"><v>GBR_gaPMG_CE_AZR_Q1_19_Trial-Social</v></cell><cell r="AC4795"><v>21337013</v></cell><cell r="AD4795"><v>720196</v></cell><cell r="AE4795" t="str"><v>Facebook</v></cell><cell r="AF4795"><v>3654128</v></cell><cell r="AG4795" t="str"><v>Facebook»Retargeting»1x1»SocialBan»LIA»DT»DYN»RT»W»NA»SS»NA»Free Account Retargeting Generic- Global Alt ChB</v></cell><cell r="AH4795"><v>223560356</v></cell><cell r="AI4795" t="str"><v>AzurePlatform_FreeAcctRetargetingFB-GlobalAlt-ChB_GBR_1200x628_SOC_Plat_EN_Free Account_Standard_NA_SU_T2_1</v></cell><cell r="AJ4795"><v>102854016</v></cell></row><row r="4796"><cell r="C4796" t="str"><v>43315Facebook»Retargeting»1x1»SocialBan»LIA»DT»DYN»RT»W»NA»SS»NA»Free Account Retargeting OSS- Logos ChG</v></cell><cell r="D4796" t="str"><v>43315223560350</v></cell><cell r="E4796" t="str"><v>43315103006547os ChG</v></cell><cell r="F4796" t="str"><v>DCM</v></cell><cell r="G4796" t="str"><v>https://azure.microsoft.com/en-gb/free/open-source/search/</v></cell></row><row r="4796"><cell r="K4796" t="str"><v>August</v></cell><cell r="L4796"><v>43316</v></cell><cell r="M4796" t="str"><v>Tier 1</v></cell><cell r="N4796" t="str"><v>EMEA</v></cell><cell r="O4796" t="str"><v>United Kingdom</v></cell><cell r="P4796" t="str"><v>Trial</v></cell><cell r="Q4796" t="str"><v>Social</v></cell><cell r="R4796" t="str"><v>Azure</v></cell><cell r="S4796" t="str"><v>Apps & Infra</v></cell><cell r="T4796" t="str"><v>Developers & ITI's</v></cell><cell r="U4796" t="str"><v>Retargeting</v></cell><cell r="V4796" t="str"><v>Retargeting</v></cell><cell r="W4796" t="str"><v>Link Ad</v></cell><cell r="X4796" t="str"><v>1x1</v></cell></row><row r="4796"><cell r="AA4796"><v>43315</v></cell><cell r="AB4796" t="str"><v>GBR_gaPMG_CE_AZR_Q1_19_Trial-Social</v></cell><cell r="AC4796"><v>21337013</v></cell><cell r="AD4796"><v>720196</v></cell><cell r="AE4796" t="str"><v>Facebook</v></cell><cell r="AF4796"><v>3654128</v></cell><cell r="AG4796" t="str"><v>Facebook»Retargeting»1x1»SocialBan»LIA»DT»DYN»RT»W»NA»SS»NA»Free Account Retargeting OSS- Logos ChG</v></cell><cell r="AH4796"><v>223560350</v></cell><cell r="AI4796" t="str"><v>AzurePlatform_FreeAcctRetargetingOSSFB-Logos-ChG_GBR_1200x628_SOC_Plat_EN_Free Account_Standard_NA_SU_T2_1</v></cell><cell r="AJ4796"><v>103006547</v></cell></row><row r="4797"><cell r="C4797" t="str"><v>43315Facebook»Retargeting»1x1»SocialBan»LIA»DT»DYN»RT»W»NA»SS»NA»Free Account Retargeting OSS- Text ChF</v></cell><cell r="D4797" t="str"><v>43315223560344</v></cell><cell r="E4797" t="str"><v>43315102861246xt ChF</v></cell><cell r="F4797" t="str"><v>DCM</v></cell><cell r="G4797" t="str"><v>https://azure.microsoft.com/en-gb/free/open-source/search/</v></cell></row><row r="4797"><cell r="K4797" t="str"><v>August</v></cell><cell r="L4797"><v>43316</v></cell><cell r="M4797" t="str"><v>Tier 1</v></cell><cell r="N4797" t="str"><v>EMEA</v></cell><cell r="O4797" t="str"><v>United Kingdom</v></cell><cell r="P4797" t="str"><v>Trial</v></cell><cell r="Q4797" t="str"><v>Social</v></cell><cell r="R4797" t="str"><v>Azure</v></cell><cell r="S4797" t="str"><v>Apps & Infra</v></cell><cell r="T4797" t="str"><v>Developers & ITI's</v></cell><cell r="U4797" t="str"><v>Retargeting</v></cell><cell r="V4797" t="str"><v>Retargeting</v></cell><cell r="W4797" t="str"><v>Link Ad</v></cell><cell r="X4797" t="str"><v>1x1</v></cell></row><row r="4797"><cell r="AA4797"><v>43315</v></cell><cell r="AB4797" t="str"><v>GBR_gaPMG_CE_AZR_Q1_19_Trial-Social</v></cell><cell r="AC4797"><v>21337013</v></cell><cell r="AD4797"><v>720196</v></cell><cell r="AE4797" t="str"><v>Facebook</v></cell><cell r="AF4797"><v>3654128</v></cell><cell r="AG4797" t="str"><v>Facebook»Retargeting»1x1»SocialBan»LIA»DT»DYN»RT»W»NA»SS»NA»Free Account Retargeting OSS- Text ChF</v></cell><cell r="AH4797"><v>223560344</v></cell><cell r="AI4797" t="str"><v>AzurePlatform_FreeAcctRetargetingOSSFB-Text-ChF_GBR_1200x628_SOC_Plat_EN_Free Account_Standard_NA_SU_T1_1</v></cell><cell r="AJ4797"><v>102861246</v></cell></row><row r="4798"><cell r="C4798" t="str"><v>43315Facebook»Retargeting»1x1»SocialBan»LIA»DT»DYN»RT»W»NA»SS»NA»Free Account Retargeting VM- 750 Hrs ChD</v></cell><cell r="D4798" t="str"><v>43315223560338</v></cell><cell r="E4798" t="str"><v>43315102853603rs ChD</v></cell><cell r="F4798" t="str"><v>DCM</v></cell><cell r="G4798" t="str"><v>https://azure.microsoft.com/en-gb/free/virtual-machines/search/</v></cell></row><row r="4798"><cell r="K4798" t="str"><v>August</v></cell><cell r="L4798"><v>43316</v></cell><cell r="M4798" t="str"><v>Tier 1</v></cell><cell r="N4798" t="str"><v>EMEA</v></cell><cell r="O4798" t="str"><v>United Kingdom</v></cell><cell r="P4798" t="str"><v>Trial</v></cell><cell r="Q4798" t="str"><v>Social</v></cell><cell r="R4798" t="str"><v>Azure</v></cell><cell r="S4798" t="str"><v>Apps & Infra</v></cell><cell r="T4798" t="str"><v>Developers & ITI's</v></cell><cell r="U4798" t="str"><v>Retargeting</v></cell><cell r="V4798" t="str"><v>Retargeting</v></cell><cell r="W4798" t="str"><v>Link Ad</v></cell><cell r="X4798" t="str"><v>1x1</v></cell></row><row r="4798"><cell r="AA4798"><v>43315</v></cell><cell r="AB4798" t="str"><v>GBR_gaPMG_CE_AZR_Q1_19_Trial-Social</v></cell><cell r="AC4798"><v>21337013</v></cell><cell r="AD4798"><v>720196</v></cell><cell r="AE4798" t="str"><v>Facebook</v></cell><cell r="AF4798"><v>3654128</v></cell><cell r="AG4798" t="str"><v>Facebook»Retargeting»1x1»SocialBan»LIA»DT»DYN»RT»W»NA»SS»NA»Free Account Retargeting VM- 750 Hrs ChD</v></cell><cell r="AH4798"><v>223560338</v></cell><cell r="AI4798" t="str"><v>AzurePlatform_FreeAcctRetargetingVMFB-750Hrs-ChD_GBR_1200x628_SOC_Plat_EN_Free Account_Standard_NA_SU_T1_1</v></cell><cell r="AJ4798"><v>102853603</v></cell></row><row r="4799"><cell r="C4799" t="str"><v>43315Facebook»Retargeting»1x1»SocialBan»LIA»DT»DYN»RT»W»NA»SS»NA»Free Account Retargeting VM- On Demand ChE</v></cell><cell r="D4799" t="str"><v>43315223560332</v></cell><cell r="E4799" t="str"><v>43315102854037nd ChE</v></cell><cell r="F4799" t="str"><v>DCM</v></cell><cell r="G4799" t="str"><v>https://azure.microsoft.com/en-gb/free/virtual-machines/search/</v></cell></row><row r="4799"><cell r="K4799" t="str"><v>August</v></cell><cell r="L4799"><v>43316</v></cell><cell r="M4799" t="str"><v>Tier 1</v></cell><cell r="N4799" t="str"><v>EMEA</v></cell><cell r="O4799" t="str"><v>United Kingdom</v></cell><cell r="P4799" t="str"><v>Trial</v></cell><cell r="Q4799" t="str"><v>Social</v></cell><cell r="R4799" t="str"><v>Azure</v></cell><cell r="S4799" t="str"><v>Apps & Infra</v></cell><cell r="T4799" t="str"><v>Developers & ITI's</v></cell><cell r="U4799" t="str"><v>Retargeting</v></cell><cell r="V4799" t="str"><v>Retargeting</v></cell><cell r="W4799" t="str"><v>Link Ad</v></cell><cell r="X4799" t="str"><v>1x1</v></cell></row><row r="4799"><cell r="AA4799"><v>43315</v></cell><cell r="AB4799" t="str"><v>GBR_gaPMG_CE_AZR_Q1_19_Trial-Social</v></cell><cell r="AC4799"><v>21337013</v></cell><cell r="AD4799"><v>720196</v></cell><cell r="AE4799" t="str"><v>Facebook</v></cell><cell r="AF4799"><v>3654128</v></cell><cell r="AG4799" t="str"><v>Facebook»Retargeting»1x1»SocialBan»LIA»DT»DYN»RT»W»NA»SS»NA»Free Account Retargeting VM- On Demand ChE</v></cell><cell r="AH4799"><v>223560332</v></cell><cell r="AI4799" t="str"><v>AzurePlatform_FreeAcctRetargetingVMFB-OnDemand-ChE_GBR_1200x628_SOC_Plat_EN_Free Account_Standard_NA_SU_T2_1</v></cell><cell r="AJ4799"><v>102854037</v></cell></row><row r="4800"><cell r="C4800" t="str"><v>43315Facebook»AZP-Canvas-Interest&Role-Trial»1x1»Canvas»OTH»MO»CPM»PRO»X»UNK»TP»OT»Canvas-Trial</v></cell><cell r="D4800" t="str"><v>43315223298805</v></cell><cell r="E4800" t="str"><v>43315102609621-Trial</v></cell><cell r="F4800" t="str"><v>DCM</v></cell><cell r="G4800" t="str"><v>https://signup.azure.com/signup?offer=ms-azr-0044p&appId=102&ref=paidmedia-social-fb&redirectURL=https%3a%2f%2fazure.microsoft.com%2fja-jp%2fget-started%2fwelcome-to-azure%2f&l=ja-jp&correlationId=ead86c34-1f10-49dd-a72b-6918462a2cbf</v></cell></row><row r="4800"><cell r="K4800" t="str"><v>August</v></cell><cell r="L4800"><v>43316</v></cell><cell r="M4800" t="str"><v>Tier 1</v></cell><cell r="N4800" t="str"><v>APAC</v></cell><cell r="O4800" t="str"><v>Japan</v></cell><cell r="P4800" t="str"><v>Trial</v></cell><cell r="Q4800" t="str"><v>Social</v></cell><cell r="R4800" t="str"><v>Azure</v></cell><cell r="S4800" t="str"><v>Apps & Infra</v></cell><cell r="T4800" t="str"><v>Developers & ITI's</v></cell><cell r="U4800" t="str"><v>AZP-Canvas-Interest&Role-Trial</v></cell><cell r="V4800" t="str"><v>Prospecting</v></cell><cell r="W4800" t="str"><v>Other</v></cell><cell r="X4800" t="str"><v>1x1</v></cell></row><row r="4800"><cell r="AA4800"><v>43315</v></cell><cell r="AB4800" t="str"><v>JPN_gaPMG_AZR_AZR_Q1_19_Trial-Social</v></cell><cell r="AC4800"><v>21276694</v></cell><cell r="AD4800"><v>720195</v></cell><cell r="AE4800" t="str"><v>Facebook</v></cell><cell r="AF4800"><v>3654128</v></cell><cell r="AG4800" t="str"><v>Facebook»AZP-Canvas-Interest&Role-Trial»1x1»Canvas»OTH»MO»CPM»PRO»X»UNK»TP»OT»Canvas-Trial</v></cell><cell r="AH4800"><v>223298805</v></cell><cell r="AI4800" t="str"><v>AzurePlatform_FBCTCcanvaspage-StartFreeCTA-Img2_JPN_1080x143 _SOC_Plat_Japanese_NA_Standard_NA_NA_T2_1</v></cell><cell r="AJ4800"><v>102609621</v></cell></row><row r="4801"><cell r="C4801" t="str"><v>43315Facebook»AZP-Canvas-Look a Like-Trial»1x1»Canvas»OTH»MO»CPM»PRO»X»UNK»TP»OT»Canvas-Trial</v></cell><cell r="D4801" t="str"><v>43315223297413</v></cell><cell r="E4801" t="str"><v>43315102630373-Trial</v></cell><cell r="F4801" t="str"><v>DCM</v></cell><cell r="G4801" t="str"><v>https://azure.microsoft.com/ja-jp/pricing/purchase-options/</v></cell></row><row r="4801"><cell r="K4801" t="str"><v>August</v></cell><cell r="L4801"><v>43316</v></cell><cell r="M4801" t="str"><v>Tier 1</v></cell><cell r="N4801" t="str"><v>APAC</v></cell><cell r="O4801" t="str"><v>Japan</v></cell><cell r="P4801" t="str"><v>Trial</v></cell><cell r="Q4801" t="str"><v>Social</v></cell><cell r="R4801" t="str"><v>Azure</v></cell><cell r="S4801" t="str"><v>Apps & Infra</v></cell><cell r="T4801" t="str"><v>Developers & ITI's</v></cell><cell r="U4801" t="str"><v>AZP-Canvas-Look a Like-Trial</v></cell><cell r="V4801" t="str"><v>Prospecting</v></cell><cell r="W4801" t="str"><v>Other</v></cell><cell r="X4801" t="str"><v>1x1</v></cell></row><row r="4801"><cell r="AA4801"><v>43315</v></cell><cell r="AB4801" t="str"><v>JPN_gaPMG_AZR_AZR_Q1_19_Trial-Social</v></cell><cell r="AC4801"><v>21276694</v></cell><cell r="AD4801"><v>720195</v></cell><cell r="AE4801" t="str"><v>Facebook</v></cell><cell r="AF4801"><v>3654128</v></cell><cell r="AG4801" t="str"><v>Facebook»AZP-Canvas-Look a Like-Trial»1x1»Canvas»OTH»MO»CPM»PRO»X»UNK»TP»OT»Canvas-Trial</v></cell><cell r="AH4801"><v>223297413</v></cell><cell r="AI4801" t="str"><v>AzurePlatform_FBCTCcanvaspage-BuyNowCTA-Img3_JPN_1080x162_SOC_Plat_Japanese_NA_Standard_NA_BN_T3_1</v></cell><cell r="AJ4801"><v>102630373</v></cell></row><row r="4802"><cell r="C4802" t="str"><v>43315Facebook»AZP-Canvas-Look a Like-Trial»1x1»Canvas»OTH»MO»CPM»PRO»X»UNK»TP»OT»Canvas-Trial</v></cell><cell r="D4802" t="str"><v>43315223297413</v></cell><cell r="E4802" t="str"><v>43315102609621-Trial</v></cell><cell r="F4802" t="str"><v>DCM</v></cell><cell r="G4802" t="str"><v>https://signup.azure.com/signup?offer=ms-azr-0044p&appId=102&ref=paidmedia-social-fb&redirectURL=https%3a%2f%2fazure.microsoft.com%2fja-jp%2fget-started%2fwelcome-to-azure%2f&l=ja-jp&correlationId=ead86c34-1f10-49dd-a72b-6918462a2cbf</v></cell></row><row r="4802"><cell r="K4802" t="str"><v>August</v></cell><cell r="L4802"><v>43316</v></cell><cell r="M4802" t="str"><v>Tier 1</v></cell><cell r="N4802" t="str"><v>APAC</v></cell><cell r="O4802" t="str"><v>Japan</v></cell><cell r="P4802" t="str"><v>Trial</v></cell><cell r="Q4802" t="str"><v>Social</v></cell><cell r="R4802" t="str"><v>Azure</v></cell><cell r="S4802" t="str"><v>Apps & Infra</v></cell><cell r="T4802" t="str"><v>Developers & ITI's</v></cell><cell r="U4802" t="str"><v>AZP-Canvas-Look a Like-Trial</v></cell><cell r="V4802" t="str"><v>Prospecting</v></cell><cell r="W4802" t="str"><v>Other</v></cell><cell r="X4802" t="str"><v>1x1</v></cell></row><row r="4802"><cell r="AA4802"><v>43315</v></cell><cell r="AB4802" t="str"><v>JPN_gaPMG_AZR_AZR_Q1_19_Trial-Social</v></cell><cell r="AC4802"><v>21276694</v></cell><cell r="AD4802"><v>720195</v></cell><cell r="AE4802" t="str"><v>Facebook</v></cell><cell r="AF4802"><v>3654128</v></cell><cell r="AG4802" t="str"><v>Facebook»AZP-Canvas-Look a Like-Trial»1x1»Canvas»OTH»MO»CPM»PRO»X»UNK»TP»OT»Canvas-Trial</v></cell><cell r="AH4802"><v>223297413</v></cell><cell r="AI4802" t="str"><v>AzurePlatform_FBCTCcanvaspage-StartFreeCTA-Img2_JPN_1080x143 _SOC_Plat_Japanese_NA_Standard_NA_NA_T2_1</v></cell><cell r="AJ4802"><v>102609621</v></cell></row><row r="4803"><cell r="C4803" t="str"><v>43315Facebook»AZP-Retargeting»1x1»Ban»LIA»ALL»CPM»RT»X»All»TP»OT»Free Account Retargeting VM-ChD</v></cell><cell r="D4803" t="str"><v>43315223726374</v></cell><cell r="E4803" t="str"><v>43315102971306VM-ChD</v></cell><cell r="F4803" t="str"><v>DCM</v></cell><cell r="G4803" t="str"><v>https://azure.microsoft.com/ja-jp/free/virtual-machines/search/</v></cell></row><row r="4803"><cell r="K4803" t="str"><v>August</v></cell><cell r="L4803"><v>43316</v></cell><cell r="M4803" t="str"><v>Tier 1</v></cell><cell r="N4803" t="str"><v>APAC</v></cell><cell r="O4803" t="str"><v>Japan</v></cell><cell r="P4803" t="str"><v>Trial</v></cell><cell r="Q4803" t="str"><v>Social</v></cell><cell r="R4803" t="str"><v>Azure</v></cell><cell r="S4803" t="str"><v>Apps & Infra</v></cell><cell r="T4803" t="str"><v>Developers & ITI's</v></cell><cell r="U4803" t="str"><v>AZP-Retargeting</v></cell><cell r="V4803" t="str"><v>Retargeting</v></cell><cell r="W4803" t="str"><v>Link Ad</v></cell><cell r="X4803" t="str"><v>1x1</v></cell></row><row r="4803"><cell r="AA4803"><v>43315</v></cell><cell r="AB4803" t="str"><v>JPN_gaPMG_AZR_AZR_Q1_19_Trial-Social</v></cell><cell r="AC4803"><v>21276694</v></cell><cell r="AD4803"><v>720195</v></cell><cell r="AE4803" t="str"><v>Facebook</v></cell><cell r="AF4803"><v>3654128</v></cell><cell r="AG4803" t="str"><v>Facebook»AZP-Retargeting»1x1»Ban»LIA»ALL»CPM»RT»X»All»TP»OT»Free Account Retargeting VM-ChD</v></cell><cell r="AH4803"><v>223726374</v></cell><cell r="AI4803" t="str"><v>AzurePlatform_FreeAcctRetargetingVMFB-750Hrs-ChD_JPN_1200x628_SOC_Plat_JA_Free Account_Standard_NA_SU_T1_1</v></cell><cell r="AJ4803"><v>102971306</v></cell></row><row r="4804"><cell r="C4804" t="str"><v>43315Facebook»AZP-Retargeting»1x1»Newsfeed»LIA»ALL»CPM»RT»X»UNK»SS»NA»Developer-Generic</v></cell><cell r="D4804" t="str"><v>43315225671576</v></cell><cell r="E4804" t="str"><v>43315104060550eneric</v></cell><cell r="F4804" t="str"><v>DCM</v></cell><cell r="G4804" t="str"><v>https://azure.microsoft.com/ja-jp/free/</v></cell></row><row r="4804"><cell r="K4804" t="str"><v>August</v></cell><cell r="L4804"><v>43316</v></cell><cell r="M4804" t="str"><v>Tier 1</v></cell><cell r="N4804" t="str"><v>APAC</v></cell><cell r="O4804" t="str"><v>Japan</v></cell><cell r="P4804" t="str"><v>Trial</v></cell><cell r="Q4804" t="str"><v>Social</v></cell><cell r="R4804" t="str"><v>Azure</v></cell><cell r="S4804" t="str"><v>Apps & Infra</v></cell><cell r="T4804" t="str"><v>Developers & ITI's</v></cell><cell r="U4804" t="str"><v>AZP-Retargeting</v></cell><cell r="V4804" t="str"><v>Retargeting</v></cell><cell r="W4804" t="str"><v>Link Ad</v></cell><cell r="X4804" t="str"><v>1x1</v></cell></row><row r="4804"><cell r="AA4804"><v>43315</v></cell><cell r="AB4804" t="str"><v>JPN_gaPMG_AZR_AZR_Q1_19_Trial-Social</v></cell><cell r="AC4804"><v>21276694</v></cell><cell r="AD4804"><v>720195</v></cell><cell r="AE4804" t="str"><v>Facebook</v></cell><cell r="AF4804"><v>3654128</v></cell><cell r="AG4804" t="str"><v>Facebook»AZP-Retargeting»1x1»Newsfeed»LIA»ALL»CPM»RT»X»UNK»SS»NA»Developer-Generic</v></cell><cell r="AH4804"><v>225671576</v></cell><cell r="AI4804" t="str"><v>AZR_FreeAcctDeveloperFB-AnimatedGeneric-Ch1_JPN_1200x1200_SOC_Direct_JA_Trial_Standard_ANI_LEA_T1_1</v></cell><cell r="AJ4804"><v>104060550</v></cell></row><row r="4805"><cell r="C4805" t="str"><v>43315Facebook»AZP-Retargeting»1x1»Newsfeed»LIA»ALL»CPM»RT»X»UNK»SS»NA»Developer-Intelligent Data</v></cell><cell r="D4805" t="str"><v>43315225761746</v></cell><cell r="E4805" t="str"><v>43315104064204t Data</v></cell><cell r="F4805" t="str"><v>DCM</v></cell><cell r="G4805" t="str"><v>https://azure.microsoft.com/ja-jp/free/</v></cell></row><row r="4805"><cell r="K4805" t="str"><v>August</v></cell><cell r="L4805"><v>43316</v></cell><cell r="M4805" t="str"><v>Tier 1</v></cell><cell r="N4805" t="str"><v>APAC</v></cell><cell r="O4805" t="str"><v>Japan</v></cell><cell r="P4805" t="str"><v>Trial</v></cell><cell r="Q4805" t="str"><v>Social</v></cell><cell r="R4805" t="str"><v>Azure</v></cell><cell r="S4805" t="str"><v>Apps & Infra</v></cell><cell r="T4805" t="str"><v>Developers & ITI's</v></cell><cell r="U4805" t="str"><v>AZP-Retargeting</v></cell><cell r="V4805" t="str"><v>Retargeting</v></cell><cell r="W4805" t="str"><v>Link Ad</v></cell><cell r="X4805" t="str"><v>1x1</v></cell></row><row r="4805"><cell r="AA4805"><v>43315</v></cell><cell r="AB4805" t="str"><v>JPN_gaPMG_AZR_AZR_Q1_19_Trial-Social</v></cell><cell r="AC4805"><v>21276694</v></cell><cell r="AD4805"><v>720195</v></cell><cell r="AE4805" t="str"><v>Facebook</v></cell><cell r="AF4805"><v>3654128</v></cell><cell r="AG4805" t="str"><v>Facebook»AZP-Retargeting»1x1»Newsfeed»LIA»ALL»CPM»RT»X»UNK»SS»NA»Developer-Intelligent Data</v></cell><cell r="AH4805"><v>225761746</v></cell><cell r="AI4805" t="str"><v>AZR_FreeAcctDeveloperFB-AnimatedData-Ch4_JPN_1200x1200_SOC_Direct_JA_Trial_Standard_ANI_LEA_T4_1</v></cell><cell r="AJ4805"><v>104064204</v></cell></row><row r="4806"><cell r="C4806" t="str"><v>43315Facebook»AZP-Retargeting»1x1»Newsfeed»LIA»ALL»CPM»RT»X»UNK»SS»NA»Developer-Open Source</v></cell><cell r="D4806" t="str"><v>43315225671573</v></cell><cell r="E4806" t="str"><v>43315104060553Source</v></cell><cell r="F4806" t="str"><v>DCM</v></cell><cell r="G4806" t="str"><v>https://azure.microsoft.com/ja-jp/free/</v></cell></row><row r="4806"><cell r="K4806" t="str"><v>August</v></cell><cell r="L4806"><v>43316</v></cell><cell r="M4806" t="str"><v>Tier 1</v></cell><cell r="N4806" t="str"><v>APAC</v></cell><cell r="O4806" t="str"><v>Japan</v></cell><cell r="P4806" t="str"><v>Trial</v></cell><cell r="Q4806" t="str"><v>Social</v></cell><cell r="R4806" t="str"><v>Azure</v></cell><cell r="S4806" t="str"><v>Apps & Infra</v></cell><cell r="T4806" t="str"><v>Developers & ITI's</v></cell><cell r="U4806" t="str"><v>AZP-Retargeting</v></cell><cell r="V4806" t="str"><v>Retargeting</v></cell><cell r="W4806" t="str"><v>Link Ad</v></cell><cell r="X4806" t="str"><v>1x1</v></cell></row><row r="4806"><cell r="AA4806"><v>43315</v></cell><cell r="AB4806" t="str"><v>JPN_gaPMG_AZR_AZR_Q1_19_Trial-Social</v></cell><cell r="AC4806"><v>21276694</v></cell><cell r="AD4806"><v>720195</v></cell><cell r="AE4806" t="str"><v>Facebook</v></cell><cell r="AF4806"><v>3654128</v></cell><cell r="AG4806" t="str"><v>Facebook»AZP-Retargeting»1x1»Newsfeed»LIA»ALL»CPM»RT»X»UNK»SS»NA»Developer-Open Source</v></cell><cell r="AH4806"><v>225671573</v></cell><cell r="AI4806" t="str"><v>AZR_FreeAcctDeveloperFB-AnimatedOpenSource-Ch2_JPN_1200x1200_SOC_Direct_JA_Trial_Standard_ANI_LEA_T2_1</v></cell><cell r="AJ4806"><v>104060553</v></cell></row><row r="4807"><cell r="C4807" t="str"><v>43315FACEBOOK»USA-Trial-ITD-Interest Prospecting-AZR-AZR»1 x 1»SocialBan»CAN»ALL»CPA»PRO»X»NA»SS»NA»FBCTCBenefit2inMotion»PRC1SW</v></cell><cell r="D4807" t="str"><v>43315223933138</v></cell><cell r="E4807" t="str"><v>43315103043835PRC1SW</v></cell><cell r="F4807" t="str"><v>DCM</v></cell><cell r="G4807" t="str"><v>https://signup.azure.com/?OCID=AID%eexcid!_OLA_%ebuy!_%epid!_%ecid!</v></cell></row><row r="4807"><cell r="K4807" t="str"><v>August</v></cell><cell r="L4807"><v>43316</v></cell><cell r="M4807" t="str"><v>Tier 0</v></cell><cell r="N4807" t="str"><v>North America</v></cell><cell r="O4807" t="str"><v>United States</v></cell><cell r="P4807" t="str"><v>Trial</v></cell><cell r="Q4807" t="str"><v>Social</v></cell><cell r="R4807" t="str"><v>Azure</v></cell><cell r="S4807" t="str"><v>Apps & Infra</v></cell><cell r="T4807" t="str"><v>Developers & ITI's</v></cell><cell r="U4807" t="str"><v>USA-Trial-ITD-Interest Prospecting-AZR-AZR</v></cell><cell r="V4807" t="str"><v>Prospecting</v></cell><cell r="W4807" t="str"><v>Canvas Ad</v></cell><cell r="X4807" t="str"><v>1x1</v></cell></row><row r="4807"><cell r="AA4807"><v>43315</v></cell><cell r="AB4807" t="str"><v>USA_gaPMG_AZR_AZR_Q1_19_Direct-Social</v></cell><cell r="AC4807"><v>21358715</v></cell><cell r="AD4807"><v>720197</v></cell><cell r="AE4807" t="str"><v>Facebook</v></cell><cell r="AF4807"><v>3654128</v></cell><cell r="AG4807" t="str"><v>FACEBOOK»USA-Trial-ITD-Interest Prospecting-AZR-AZR»1 x 1»SocialBan»CAN»ALL»CPA»PRO»X»NA»SS»NA»FBCTCBenefit2inMotion»PRC1SW</v></cell><cell r="AH4807"><v>223933138</v></cell><cell r="AI4807" t="str"><v>AzurePlatform_FBCTCBenefit2inMotion_USA_10s_CAN_PLATFORM_English_Trial_Standard_STAN_TIN_T4_1</v></cell><cell r="AJ4807"><v>103043835</v></cell></row><row r="4808"><cell r="C4808" t="str"><v>43315FACEBOOK»USA-Trial-ITD-Interest Prospecting-AZR-AZR»1 x 1»SocialBan»CAN»ALL»CPA»PRO»X»NA»SS»NA»FBCTCBenefit2inMotion»PRC1SW</v></cell><cell r="D4808" t="str"><v>43315223933138</v></cell><cell r="E4808" t="str"><v>43315103178645PRC1SW</v></cell><cell r="F4808" t="str"><v>DCM</v></cell><cell r="G4808" t="str"><v>https://azure.microsoft.com/en-us/pricing/purchase-options/?v=18.19&OCID=AID%eexcid!_OLA_%ebuy!_%epid!_%ecid!</v></cell></row><row r="4808"><cell r="K4808" t="str"><v>August</v></cell><cell r="L4808"><v>43316</v></cell><cell r="M4808" t="str"><v>Tier 0</v></cell><cell r="N4808" t="str"><v>North America</v></cell><cell r="O4808" t="str"><v>United States</v></cell><cell r="P4808" t="str"><v>Trial</v></cell><cell r="Q4808" t="str"><v>Social</v></cell><cell r="R4808" t="str"><v>Azure</v></cell><cell r="S4808" t="str"><v>Apps & Infra</v></cell><cell r="T4808" t="str"><v>Developers & ITI's</v></cell><cell r="U4808" t="str"><v>USA-Trial-ITD-Interest Prospecting-AZR-AZR</v></cell><cell r="V4808" t="str"><v>Prospecting</v></cell><cell r="W4808" t="str"><v>Canvas Ad</v></cell><cell r="X4808" t="str"><v>1x1</v></cell></row><row r="4808"><cell r="AA4808"><v>43315</v></cell><cell r="AB4808" t="str"><v>USA_gaPMG_AZR_AZR_Q1_19_Direct-Social</v></cell><cell r="AC4808"><v>21358715</v></cell><cell r="AD4808"><v>720197</v></cell><cell r="AE4808" t="str"><v>Facebook</v></cell><cell r="AF4808"><v>3654128</v></cell><cell r="AG4808" t="str"><v>FACEBOOK»USA-Trial-ITD-Interest Prospecting-AZR-AZR»1 x 1»SocialBan»CAN»ALL»CPA»PRO»X»NA»SS»NA»FBCTCBenefit2inMotion»PRC1SW</v></cell><cell r="AH4808"><v>223933138</v></cell><cell r="AI4808" t="str"><v>AzurePlatform_FBCTCBenefit2inMotion_USA_10s_CAN_PLATFORM_English_Trial_Standard_STAN_TIN_T4_2</v></cell><cell r="AJ4808"><v>103178645</v></cell></row><row r="4809"><cell r="C4809" t="str"><v>43315FACEBOOK»USA-Trial-ITD-Interest Prospecting-AZR-AZR»1 x 1»SocialBan»LIA»ALL»CPA»PRO»X»NA»SS»NA»FreeAcctDeveloperFB-AnimatedGeneric-Ch1»PRC1SZ</v></cell><cell r="D4809" t="str"><v>43315224104932</v></cell><cell r="E4809" t="str"><v>43315103176851PRC1SZ</v></cell><cell r="F4809" t="str"><v>DCM</v></cell><cell r="G4809" t="str"><v>https://azure.microsoft.com/en-us/free/search/?OCID=AID%eexcid!_OLA_%ebuy!_%epid!_%ecid!</v></cell></row><row r="4809"><cell r="K4809" t="str"><v>August</v></cell><cell r="L4809"><v>43316</v></cell><cell r="M4809" t="str"><v>Tier 0</v></cell><cell r="N4809" t="str"><v>North America</v></cell><cell r="O4809" t="str"><v>United States</v></cell><cell r="P4809" t="str"><v>Trial</v></cell><cell r="Q4809" t="str"><v>Social</v></cell><cell r="R4809" t="str"><v>Azure</v></cell><cell r="S4809" t="str"><v>Apps & Infra</v></cell><cell r="T4809" t="str"><v>Developers & ITI's</v></cell><cell r="U4809" t="str"><v>USA-Trial-ITD-Interest Prospecting-AZR-AZR</v></cell><cell r="V4809" t="str"><v>Prospecting</v></cell><cell r="W4809" t="str"><v>Link Ad</v></cell><cell r="X4809" t="str"><v>1x1</v></cell></row><row r="4809"><cell r="AA4809"><v>43315</v></cell><cell r="AB4809" t="str"><v>USA_gaPMG_AZR_AZR_Q1_19_Direct-Social</v></cell><cell r="AC4809"><v>21358715</v></cell><cell r="AD4809"><v>720197</v></cell><cell r="AE4809" t="str"><v>Facebook</v></cell><cell r="AF4809"><v>3654128</v></cell><cell r="AG4809" t="str"><v>FACEBOOK»USA-Trial-ITD-Interest Prospecting-AZR-AZR»1 x 1»SocialBan»LIA»ALL»CPA»PRO»X»NA»SS»NA»FreeAcctDeveloperFB-AnimatedGeneric-Ch1»PRC1SZ</v></cell><cell r="AH4809"><v>224104932</v></cell><cell r="AI4809" t="str"><v>AZR_FreeAcctDeveloperFB-AnimatedGeneric-Ch1_USA_1200x1200_CAN_Direct_English_Trial_Standard_ANI_LEA_T1_2</v></cell><cell r="AJ4809"><v>103176851</v></cell></row><row r="4810"><cell r="C4810" t="str"><v>43315FACEBOOK»USA-Trial-ITD-Interest Prospecting-AZR-AZR»1 x 1»SocialBan»LIA»ALL»CPA»PRO»X»NA»SS»NA»FreeAcctDeveloperFB-AnimatedGeneric-Ch1»PRC1T0</v></cell><cell r="D4810" t="str"><v>43315223934065</v></cell><cell r="E4810" t="str"><v>43315103176851PRC1T0</v></cell><cell r="F4810" t="str"><v>DCM</v></cell><cell r="G4810" t="str"><v>https://azure.microsoft.com/en-us/free/search/?OCID=AID%eexcid!_OLA_%ebuy!_%epid!_%ecid!</v></cell></row><row r="4810"><cell r="K4810" t="str"><v>August</v></cell><cell r="L4810"><v>43316</v></cell><cell r="M4810" t="str"><v>Tier 0</v></cell><cell r="N4810" t="str"><v>North America</v></cell><cell r="O4810" t="str"><v>United States</v></cell><cell r="P4810" t="str"><v>Trial</v></cell><cell r="Q4810" t="str"><v>Social</v></cell><cell r="R4810" t="str"><v>Azure</v></cell><cell r="S4810" t="str"><v>Apps & Infra</v></cell><cell r="T4810" t="str"><v>Developers & ITI's</v></cell><cell r="U4810" t="str"><v>USA-Trial-ITD-Interest Prospecting-AZR-AZR</v></cell><cell r="V4810" t="str"><v>Prospecting</v></cell><cell r="W4810" t="str"><v>Link Ad</v></cell><cell r="X4810" t="str"><v>1x1</v></cell></row><row r="4810"><cell r="AA4810"><v>43315</v></cell><cell r="AB4810" t="str"><v>USA_gaPMG_AZR_AZR_Q1_19_Direct-Social</v></cell><cell r="AC4810"><v>21358715</v></cell><cell r="AD4810"><v>720197</v></cell><cell r="AE4810" t="str"><v>Facebook</v></cell><cell r="AF4810"><v>3654128</v></cell><cell r="AG4810" t="str"><v>FACEBOOK»USA-Trial-ITD-Interest Prospecting-AZR-AZR»1 x 1»SocialBan»LIA»ALL»CPA»PRO»X»NA»SS»NA»FreeAcctDeveloperFB-AnimatedGeneric-Ch1»PRC1T0</v></cell><cell r="AH4810"><v>223934065</v></cell><cell r="AI4810" t="str"><v>AZR_FreeAcctDeveloperFB-AnimatedGeneric-Ch1_USA_1200x1200_CAN_Direct_English_Trial_Standard_ANI_LEA_T1_2</v></cell><cell r="AJ4810"><v>103176851</v></cell></row><row r="4811"><cell r="C4811" t="str"><v>43315FACEBOOK»USA-Trial-ITD-Interest Prospecting-AZR-AZR»1 x 1»SocialBan»LIA»ALL»CPA»PRO»X»NA»SS»NA»FreeAcctITProFB-AnimatedHybrid-Ch2»PRC1T5</v></cell><cell r="D4811" t="str"><v>43315223862882</v></cell><cell r="E4811" t="str"><v>43315103180583PRC1T5</v></cell><cell r="F4811" t="str"><v>DCM</v></cell></row><row r="4811"><cell r="K4811" t="str"><v>August</v></cell><cell r="L4811"><v>43316</v></cell><cell r="M4811" t="str"><v>Tier 0</v></cell><cell r="N4811" t="str"><v>North America</v></cell><cell r="O4811" t="str"><v>United States</v></cell><cell r="P4811" t="str"><v>Trial</v></cell><cell r="Q4811" t="str"><v>Social</v></cell><cell r="R4811" t="str"><v>Azure</v></cell><cell r="S4811" t="str"><v>Apps & Infra</v></cell><cell r="T4811" t="str"><v>Developers & ITI's</v></cell><cell r="U4811" t="str"><v>USA-Trial-ITD-Interest Prospecting-AZR-AZR</v></cell><cell r="V4811" t="str"><v>Prospecting</v></cell><cell r="W4811" t="str"><v>Link Ad</v></cell><cell r="X4811" t="str"><v>1x1</v></cell></row><row r="4811"><cell r="AA4811"><v>43315</v></cell><cell r="AB4811" t="str"><v>USA_gaPMG_AZR_AZR_Q1_19_Direct-Social</v></cell><cell r="AC4811"><v>21358715</v></cell><cell r="AD4811"><v>720197</v></cell><cell r="AE4811" t="str"><v>Facebook</v></cell><cell r="AF4811"><v>3654128</v></cell><cell r="AG4811" t="str"><v>FACEBOOK»USA-Trial-ITD-Interest Prospecting-AZR-AZR»1 x 1»SocialBan»LIA»ALL»CPA»PRO»X»NA»SS»NA»FreeAcctITProFB-AnimatedHybrid-Ch2»PRC1T5</v></cell><cell r="AH4811"><v>223862882</v></cell><cell r="AI4811" t="str"><v>AZR_FreeAcctITProFB-AnimatedHybrid-Ch2_USA_1200x1200_CAN_Direct_English_Trial_Standard_ANI_LEA_T2_2</v></cell><cell r="AJ4811"><v>103180583</v></cell></row><row r="4812"><cell r="C4812" t="str"><v>43315FACEBOOK»USA-Trial-ITD-Interest Prospecting-AZR-AZR»1 x 1»SocialBan»LIA»ALL»CPA»PRO»X»NA»SS»NA»FreeAcctITProFB-AnimatedSecureMngd-Ch1»PRC1T4</v></cell><cell r="D4812" t="str"><v>43315224104914</v></cell><cell r="E4812" t="str"><v>43315103176830PRC1T4</v></cell><cell r="F4812" t="str"><v>DCM</v></cell></row><row r="4812"><cell r="K4812" t="str"><v>August</v></cell><cell r="L4812"><v>43316</v></cell><cell r="M4812" t="str"><v>Tier 0</v></cell><cell r="N4812" t="str"><v>North America</v></cell><cell r="O4812" t="str"><v>United States</v></cell><cell r="P4812" t="str"><v>Trial</v></cell><cell r="Q4812" t="str"><v>Social</v></cell><cell r="R4812" t="str"><v>Azure</v></cell><cell r="S4812" t="str"><v>Apps & Infra</v></cell><cell r="T4812" t="str"><v>Developers & ITI's</v></cell><cell r="U4812" t="str"><v>USA-Trial-ITD-Interest Prospecting-AZR-AZR</v></cell><cell r="V4812" t="str"><v>Prospecting</v></cell><cell r="W4812" t="str"><v>Link Ad</v></cell><cell r="X4812" t="str"><v>1x1</v></cell></row><row r="4812"><cell r="AA4812"><v>43315</v></cell><cell r="AB4812" t="str"><v>USA_gaPMG_AZR_AZR_Q1_19_Direct-Social</v></cell><cell r="AC4812"><v>21358715</v></cell><cell r="AD4812"><v>720197</v></cell><cell r="AE4812" t="str"><v>Facebook</v></cell><cell r="AF4812"><v>3654128</v></cell><cell r="AG4812" t="str"><v>FACEBOOK»USA-Trial-ITD-Interest Prospecting-AZR-AZR»1 x 1»SocialBan»LIA»ALL»CPA»PRO»X»NA»SS»NA»FreeAcctITProFB-AnimatedSecureMngd-Ch1»PRC1T4</v></cell><cell r="AH4812"><v>224104914</v></cell><cell r="AI4812" t="str"><v>AZR_FreeAcctITProFB-AnimatedSecureMngd-Ch1_USA_1200x1200_CAN_Direct_English_Trial_Standard_ANI_LEA_T1_1</v></cell><cell r="AJ4812"><v>103176830</v></cell></row><row r="4813"><cell r="C4813" t="str"><v>43315FACEBOOK»USA-Trial-ITD-Retargeting-AZR-AZR»1 x 1»SocialBan»LIA»ALL»CPA»RT»X»NA»SS»NA»FreeAcctDeveloperFB-AnimatedAI-Ch3»PRC26H</v></cell><cell r="D4813" t="str"><v>43315223863371</v></cell><cell r="E4813" t="str"><v>43315103032778PRC26H</v></cell><cell r="F4813" t="str"><v>DCM</v></cell></row><row r="4813"><cell r="K4813" t="str"><v>August</v></cell><cell r="L4813"><v>43316</v></cell><cell r="M4813" t="str"><v>Tier 0</v></cell><cell r="N4813" t="str"><v>North America</v></cell><cell r="O4813" t="str"><v>United States</v></cell><cell r="P4813" t="str"><v>Trial</v></cell><cell r="Q4813" t="str"><v>Social</v></cell><cell r="R4813" t="str"><v>Azure</v></cell><cell r="S4813" t="str"><v>Apps & Infra</v></cell><cell r="T4813" t="str"><v>Developers & ITI's</v></cell><cell r="U4813" t="str"><v>USA-Trial-ITD-Retargeting-AZR-AZR</v></cell><cell r="V4813" t="str"><v>Retargeting</v></cell><cell r="W4813" t="str"><v>Link Ad</v></cell><cell r="X4813" t="str"><v>1x1</v></cell></row><row r="4813"><cell r="AA4813"><v>43315</v></cell><cell r="AB4813" t="str"><v>USA_gaPMG_AZR_AZR_Q1_19_Direct-Social</v></cell><cell r="AC4813"><v>21358715</v></cell><cell r="AD4813"><v>720197</v></cell><cell r="AE4813" t="str"><v>Facebook</v></cell><cell r="AF4813"><v>3654128</v></cell><cell r="AG4813" t="str"><v>FACEBOOK»USA-Trial-ITD-Retargeting-AZR-AZR»1 x 1»SocialBan»LIA»ALL»CPA»RT»X»NA»SS»NA»FreeAcctDeveloperFB-AnimatedAI-Ch3»PRC26H</v></cell><cell r="AH4813"><v>223863371</v></cell><cell r="AI4813" t="str"><v>AZR_FreeAcctDeveloperFB-AnimatedAI-Ch3_USA_1200x1200_CAN_Direct_English_Trial_Standard_ANI_LEA_T3_1</v></cell><cell r="AJ4813"><v>103032778</v></cell></row><row r="4814"><cell r="C4814" t="str"><v>43315FACEBOOK»USA-Trial-ITD-Retargeting-AZR-AZR»1 x 1»SocialBan»LIA»ALL»CPA»RT»X»NA»SS»NA»FreeAcctDeveloperFB-AnimatedData-Ch4»PRC26J</v></cell><cell r="D4814" t="str"><v>43315224106078</v></cell><cell r="E4814" t="str"><v>43315103037935PRC26J</v></cell><cell r="F4814" t="str"><v>DCM</v></cell></row><row r="4814"><cell r="K4814" t="str"><v>August</v></cell><cell r="L4814"><v>43316</v></cell><cell r="M4814" t="str"><v>Tier 0</v></cell><cell r="N4814" t="str"><v>North America</v></cell><cell r="O4814" t="str"><v>United States</v></cell><cell r="P4814" t="str"><v>Trial</v></cell><cell r="Q4814" t="str"><v>Social</v></cell><cell r="R4814" t="str"><v>Azure</v></cell><cell r="S4814" t="str"><v>Apps & Infra</v></cell><cell r="T4814" t="str"><v>Developers & ITI's</v></cell><cell r="U4814" t="str"><v>USA-Trial-ITD-Retargeting-AZR-AZR</v></cell><cell r="V4814" t="str"><v>Retargeting</v></cell><cell r="W4814" t="str"><v>Link Ad</v></cell><cell r="X4814" t="str"><v>1x1</v></cell></row><row r="4814"><cell r="AA4814"><v>43315</v></cell><cell r="AB4814" t="str"><v>USA_gaPMG_AZR_AZR_Q1_19_Direct-Social</v></cell><cell r="AC4814"><v>21358715</v></cell><cell r="AD4814"><v>720197</v></cell><cell r="AE4814" t="str"><v>Facebook</v></cell><cell r="AF4814"><v>3654128</v></cell><cell r="AG4814" t="str"><v>FACEBOOK»USA-Trial-ITD-Retargeting-AZR-AZR»1 x 1»SocialBan»LIA»ALL»CPA»RT»X»NA»SS»NA»FreeAcctDeveloperFB-AnimatedData-Ch4»PRC26J</v></cell><cell r="AH4814"><v>224106078</v></cell><cell r="AI4814" t="str"><v>AZR_FreeAcctDeveloperFB-AnimatedData-Ch4_USA_1200x1200_CAN_Direct_English_Trial_Standard_ANI_LEA_T4_2</v></cell><cell r="AJ4814"><v>103037935</v></cell></row><row r="4815"><cell r="C4815" t="str"><v>43315FACEBOOK»USA-Trial-ITD-Retargeting-AZR-AZR»1 x 1»SocialBan»LIA»ALL»CPA»RT»X»NA»SS»NA»FreeAcctDeveloperFB-AnimatedOpenSource-Ch2»PRC26G</v></cell><cell r="D4815" t="str"><v>43315223862873</v></cell><cell r="E4815" t="str"><v>43315103048329PRC26G</v></cell><cell r="F4815" t="str"><v>DCM</v></cell><cell r="G4815" t="str"><v>https://azure.microsoft.com/en-us/free/open-source/search/?OCID=AID%eexcid!_OLA_%ebuy!_%epid!_%ecid!</v></cell></row><row r="4815"><cell r="K4815" t="str"><v>August</v></cell><cell r="L4815"><v>43316</v></cell><cell r="M4815" t="str"><v>Tier 0</v></cell><cell r="N4815" t="str"><v>North America</v></cell><cell r="O4815" t="str"><v>United States</v></cell><cell r="P4815" t="str"><v>Trial</v></cell><cell r="Q4815" t="str"><v>Social</v></cell><cell r="R4815" t="str"><v>Azure</v></cell><cell r="S4815" t="str"><v>Apps & Infra</v></cell><cell r="T4815" t="str"><v>Developers & ITI's</v></cell><cell r="U4815" t="str"><v>USA-Trial-ITD-Retargeting-AZR-AZR</v></cell><cell r="V4815" t="str"><v>Retargeting</v></cell><cell r="W4815" t="str"><v>Link Ad</v></cell><cell r="X4815" t="str"><v>1x1</v></cell></row><row r="4815"><cell r="AA4815"><v>43315</v></cell><cell r="AB4815" t="str"><v>USA_gaPMG_AZR_AZR_Q1_19_Direct-Social</v></cell><cell r="AC4815"><v>21358715</v></cell><cell r="AD4815"><v>720197</v></cell><cell r="AE4815" t="str"><v>Facebook</v></cell><cell r="AF4815"><v>3654128</v></cell><cell r="AG4815" t="str"><v>FACEBOOK»USA-Trial-ITD-Retargeting-AZR-AZR»1 x 1»SocialBan»LIA»ALL»CPA»RT»X»NA»SS»NA»FreeAcctDeveloperFB-AnimatedOpenSource-Ch2»PRC26G</v></cell><cell r="AH4815"><v>223862873</v></cell><cell r="AI4815" t="str"><v>AZR_FreeAcctDeveloperFB-AnimatedOpenSource-Ch2_USA_1200x1200_CAN_Direct_English_Trial_Standard_ANI_LEA_T2_1</v></cell><cell r="AJ4815"><v>103048329</v></cell></row><row r="4816"><cell r="C4816" t="str"><v>43315FACEBOOK»USA-Trial-ITD-Retargeting-AZR-AZR»1 x 1»SocialBan»LIA»ALL»CPA»RT»X»NA»SS»NA»FreeAcctITProFB-AnimatedHybrid-Ch2»PRC26N</v></cell><cell r="D4816" t="str"><v>43315223934053</v></cell><cell r="E4816" t="str"><v>43315103180583PRC26N</v></cell><cell r="F4816" t="str"><v>DCM</v></cell></row><row r="4816"><cell r="K4816" t="str"><v>August</v></cell><cell r="L4816"><v>43316</v></cell><cell r="M4816" t="str"><v>Tier 0</v></cell><cell r="N4816" t="str"><v>North America</v></cell><cell r="O4816" t="str"><v>United States</v></cell><cell r="P4816" t="str"><v>Trial</v></cell><cell r="Q4816" t="str"><v>Social</v></cell><cell r="R4816" t="str"><v>Azure</v></cell><cell r="S4816" t="str"><v>Apps & Infra</v></cell><cell r="T4816" t="str"><v>Developers & ITI's</v></cell><cell r="U4816" t="str"><v>USA-Trial-ITD-Retargeting-AZR-AZR</v></cell><cell r="V4816" t="str"><v>Retargeting</v></cell><cell r="W4816" t="str"><v>Link Ad</v></cell><cell r="X4816" t="str"><v>1x1</v></cell></row><row r="4816"><cell r="AA4816"><v>43315</v></cell><cell r="AB4816" t="str"><v>USA_gaPMG_AZR_AZR_Q1_19_Direct-Social</v></cell><cell r="AC4816"><v>21358715</v></cell><cell r="AD4816"><v>720197</v></cell><cell r="AE4816" t="str"><v>Facebook</v></cell><cell r="AF4816"><v>3654128</v></cell><cell r="AG4816" t="str"><v>FACEBOOK»USA-Trial-ITD-Retargeting-AZR-AZR»1 x 1»SocialBan»LIA»ALL»CPA»RT»X»NA»SS»NA»FreeAcctITProFB-AnimatedHybrid-Ch2»PRC26N</v></cell><cell r="AH4816"><v>223934053</v></cell><cell r="AI4816" t="str"><v>AZR_FreeAcctITProFB-AnimatedHybrid-Ch2_USA_1200x1200_CAN_Direct_English_Trial_Standard_ANI_LEA_T2_2</v></cell><cell r="AJ4816"><v>103180583</v></cell></row><row r="4817"><cell r="C4817" t="str"><v>43315FACEBOOK»USA-Trial-ITD-Retargeting-AZR-AZR»1 x 1»SocialBan»LIA»ALL»CPA»RT»X»NA»SS»NA»FreeAcctITProFB-AnimatedMigration-Ch3»PRC26P</v></cell><cell r="D4817" t="str"><v>43315223934056</v></cell><cell r="E4817" t="str"><v>43315103176827PRC26P</v></cell><cell r="F4817" t="str"><v>DCM</v></cell></row><row r="4817"><cell r="K4817" t="str"><v>August</v></cell><cell r="L4817"><v>43316</v></cell><cell r="M4817" t="str"><v>Tier 0</v></cell><cell r="N4817" t="str"><v>North America</v></cell><cell r="O4817" t="str"><v>United States</v></cell><cell r="P4817" t="str"><v>Trial</v></cell><cell r="Q4817" t="str"><v>Social</v></cell><cell r="R4817" t="str"><v>Azure</v></cell><cell r="S4817" t="str"><v>Apps & Infra</v></cell><cell r="T4817" t="str"><v>Developers & ITI's</v></cell><cell r="U4817" t="str"><v>USA-Trial-ITD-Retargeting-AZR-AZR</v></cell><cell r="V4817" t="str"><v>Retargeting</v></cell><cell r="W4817" t="str"><v>Link Ad</v></cell><cell r="X4817" t="str"><v>1x1</v></cell></row><row r="4817"><cell r="AA4817"><v>43315</v></cell><cell r="AB4817" t="str"><v>USA_gaPMG_AZR_AZR_Q1_19_Direct-Social</v></cell><cell r="AC4817"><v>21358715</v></cell><cell r="AD4817"><v>720197</v></cell><cell r="AE4817" t="str"><v>Facebook</v></cell><cell r="AF4817"><v>3654128</v></cell><cell r="AG4817" t="str"><v>FACEBOOK»USA-Trial-ITD-Retargeting-AZR-AZR»1 x 1»SocialBan»LIA»ALL»CPA»RT»X»NA»SS»NA»FreeAcctITProFB-AnimatedMigration-Ch3»PRC26P</v></cell><cell r="AH4817"><v>223934056</v></cell><cell r="AI4817" t="str"><v>AZR_FreeAcctITProFB-AnimatedMigration-Ch3_USA_1200x1200_CAN_Direct_English_Trial_Standard_ANI_LEA_T3_1</v></cell><cell r="AJ4817"><v>103176827</v></cell></row><row r="4818"><cell r="C4818" t="str"><v>43315FACEBOOK»USA-Trial-ITD-Retargeting-AZR-AZR»1 x 1»SocialBan»LIA»ALL»CPA»RT»X»NA»SS»NA»FreeAcctRetargetingFB-Animated-ChC»PRC1RX</v></cell><cell r="D4818" t="str"><v>43315223862864</v></cell><cell r="E4818" t="str"><v>43315103180880PRC1RX</v></cell><cell r="F4818" t="str"><v>DCM</v></cell><cell r="G4818" t="str"><v>https://azure.microsoft.com/en-us/free/search/?OCID=AID%eexcid!_OLA_%ebuy!_%epid!_%ecid!</v></cell></row><row r="4818"><cell r="K4818" t="str"><v>August</v></cell><cell r="L4818"><v>43316</v></cell><cell r="M4818" t="str"><v>Tier 0</v></cell><cell r="N4818" t="str"><v>North America</v></cell><cell r="O4818" t="str"><v>United States</v></cell><cell r="P4818" t="str"><v>Trial</v></cell><cell r="Q4818" t="str"><v>Social</v></cell><cell r="R4818" t="str"><v>Azure</v></cell><cell r="S4818" t="str"><v>Apps & Infra</v></cell><cell r="T4818" t="str"><v>Developers & ITI's</v></cell><cell r="U4818" t="str"><v>USA-Trial-ITD-Retargeting-AZR-AZR</v></cell><cell r="V4818" t="str"><v>Retargeting</v></cell><cell r="W4818" t="str"><v>Link Ad</v></cell><cell r="X4818" t="str"><v>1x1</v></cell></row><row r="4818"><cell r="AA4818"><v>43315</v></cell><cell r="AB4818" t="str"><v>USA_gaPMG_AZR_AZR_Q1_19_Direct-Social</v></cell><cell r="AC4818"><v>21358715</v></cell><cell r="AD4818"><v>720197</v></cell><cell r="AE4818" t="str"><v>Facebook</v></cell><cell r="AF4818"><v>3654128</v></cell><cell r="AG4818" t="str"><v>FACEBOOK»USA-Trial-ITD-Retargeting-AZR-AZR»1 x 1»SocialBan»LIA»ALL»CPA»RT»X»NA»SS»NA»FreeAcctRetargetingFB-Animated-ChC»PRC1RX</v></cell><cell r="AH4818"><v>223862864</v></cell><cell r="AI4818" t="str"><v>AzurePlatform_FreeAcctRetargetingFB-Animated-ChC_USA_1200x628_CAN_PLATFORM_English_Free Account_Standard_ANI_SINU_T3_2</v></cell><cell r="AJ4818"><v>103180880</v></cell></row><row r="4819"><cell r="C4819" t="str"><v>43315FACEBOOK»USA-Trial-ITD-Retargeting-AZR-AZR»1 x 1»SocialBan»LIA»ALL»CPA»RT»X»NA»SS»NA»FreeAcctRetargetingFB-Credit-ChA»PRC1RV</v></cell><cell r="D4819" t="str"><v>43315224106075</v></cell><cell r="E4819" t="str"><v>43315103034917PRC1RV</v></cell><cell r="F4819" t="str"><v>DCM</v></cell><cell r="G4819" t="str"><v>https://azure.microsoft.com/en-us/free/search/?OCID=AID%eexcid!_OLA_%ebuy!_%epid!_%ecid!</v></cell></row><row r="4819"><cell r="K4819" t="str"><v>August</v></cell><cell r="L4819"><v>43316</v></cell><cell r="M4819" t="str"><v>Tier 0</v></cell><cell r="N4819" t="str"><v>North America</v></cell><cell r="O4819" t="str"><v>United States</v></cell><cell r="P4819" t="str"><v>Trial</v></cell><cell r="Q4819" t="str"><v>Social</v></cell><cell r="R4819" t="str"><v>Azure</v></cell><cell r="S4819" t="str"><v>Apps & Infra</v></cell><cell r="T4819" t="str"><v>Developers & ITI's</v></cell><cell r="U4819" t="str"><v>USA-Trial-ITD-Retargeting-AZR-AZR</v></cell><cell r="V4819" t="str"><v>Retargeting</v></cell><cell r="W4819" t="str"><v>Link Ad</v></cell><cell r="X4819" t="str"><v>1x1</v></cell></row><row r="4819"><cell r="AA4819"><v>43315</v></cell><cell r="AB4819" t="str"><v>USA_gaPMG_AZR_AZR_Q1_19_Direct-Social</v></cell><cell r="AC4819"><v>21358715</v></cell><cell r="AD4819"><v>720197</v></cell><cell r="AE4819" t="str"><v>Facebook</v></cell><cell r="AF4819"><v>3654128</v></cell><cell r="AG4819" t="str"><v>FACEBOOK»USA-Trial-ITD-Retargeting-AZR-AZR»1 x 1»SocialBan»LIA»ALL»CPA»RT»X»NA»SS»NA»FreeAcctRetargetingFB-Credit-ChA»PRC1RV</v></cell><cell r="AH4819"><v>224106075</v></cell><cell r="AI4819" t="str"><v>AzurePlatform_FreeAcctRetargetingFB-Credit-ChA_USA_1200x628_CAN_PLATFORM_English_Free Account_Standard_NA_SINU_T1_2</v></cell><cell r="AJ4819"><v>103034917</v></cell></row><row r="4820"><cell r="C4820" t="str"><v>43315FACEBOOK»USA-Trial-ITD-Retargeting-AZR-AZR»1 x 1»SocialBan»LIA»ALL»CPA»RT»X»NA»SS»NA»FreeAcctRetargetingFB-GlobalAlt-ChB»PRC1RW</v></cell><cell r="D4820" t="str"><v>43315223862756</v></cell><cell r="E4820" t="str"><v>43315103180592PRC1RW</v></cell><cell r="F4820" t="str"><v>DCM</v></cell><cell r="G4820" t="str"><v>https://azure.microsoft.com/en-us/free/search/?OCID=AID%eexcid!_OLA_%ebuy!_%epid!_%ecid!</v></cell></row><row r="4820"><cell r="K4820" t="str"><v>August</v></cell><cell r="L4820"><v>43316</v></cell><cell r="M4820" t="str"><v>Tier 0</v></cell><cell r="N4820" t="str"><v>North America</v></cell><cell r="O4820" t="str"><v>United States</v></cell><cell r="P4820" t="str"><v>Trial</v></cell><cell r="Q4820" t="str"><v>Social</v></cell><cell r="R4820" t="str"><v>Azure</v></cell><cell r="S4820" t="str"><v>Apps & Infra</v></cell><cell r="T4820" t="str"><v>Developers & ITI's</v></cell><cell r="U4820" t="str"><v>USA-Trial-ITD-Retargeting-AZR-AZR</v></cell><cell r="V4820" t="str"><v>Retargeting</v></cell><cell r="W4820" t="str"><v>Link Ad</v></cell><cell r="X4820" t="str"><v>1x1</v></cell></row><row r="4820"><cell r="AA4820"><v>43315</v></cell><cell r="AB4820" t="str"><v>USA_gaPMG_AZR_AZR_Q1_19_Direct-Social</v></cell><cell r="AC4820"><v>21358715</v></cell><cell r="AD4820"><v>720197</v></cell><cell r="AE4820" t="str"><v>Facebook</v></cell><cell r="AF4820"><v>3654128</v></cell><cell r="AG4820" t="str"><v>FACEBOOK»USA-Trial-ITD-Retargeting-AZR-AZR»1 x 1»SocialBan»LIA»ALL»CPA»RT»X»NA»SS»NA»FreeAcctRetargetingFB-GlobalAlt-ChB»PRC1RW</v></cell><cell r="AH4820"><v>223862756</v></cell><cell r="AI4820" t="str"><v>AzurePlatform_FreeAcctRetargetingFB-GlobalAlt-ChB_USA_1200x628_CAN_PLATFORM_English_Free Account_Standard_NA_SINU_T2_1</v></cell><cell r="AJ4820"><v>103180592</v></cell></row><row r="4821"><cell r="C4821" t="str"><v>43315FACEBOOK»USA-Trial-ITD-Retargeting-AZR-AZR»1 x 1»SocialBan»LIA»ALL»CPA»RT»X»NA»SS»NA»FreeAcctRetargetingVMFB-750Hrs-ChD»PRC1RY</v></cell><cell r="D4821" t="str"><v>43315223862747</v></cell><cell r="E4821" t="str"><v>43315103034911PRC1RY</v></cell><cell r="F4821" t="str"><v>DCM</v></cell><cell r="G4821" t="str"><v>https://azure.microsoft.com/en-us/free/virtual-machines/search/?OCID=AID%eexcid!_OLA_%ebuy!_%epid!_%ecid!</v></cell></row><row r="4821"><cell r="K4821" t="str"><v>August</v></cell><cell r="L4821"><v>43316</v></cell><cell r="M4821" t="str"><v>Tier 0</v></cell><cell r="N4821" t="str"><v>North America</v></cell><cell r="O4821" t="str"><v>United States</v></cell><cell r="P4821" t="str"><v>Trial</v></cell><cell r="Q4821" t="str"><v>Social</v></cell><cell r="R4821" t="str"><v>Azure</v></cell><cell r="S4821" t="str"><v>Apps & Infra</v></cell><cell r="T4821" t="str"><v>Developers & ITI's</v></cell><cell r="U4821" t="str"><v>USA-Trial-ITD-Retargeting-AZR-AZR</v></cell><cell r="V4821" t="str"><v>Retargeting</v></cell><cell r="W4821" t="str"><v>Link Ad</v></cell><cell r="X4821" t="str"><v>1x1</v></cell></row><row r="4821"><cell r="AA4821"><v>43315</v></cell><cell r="AB4821" t="str"><v>USA_gaPMG_AZR_AZR_Q1_19_Direct-Social</v></cell><cell r="AC4821"><v>21358715</v></cell><cell r="AD4821"><v>720197</v></cell><cell r="AE4821" t="str"><v>Facebook</v></cell><cell r="AF4821"><v>3654128</v></cell><cell r="AG4821" t="str"><v>FACEBOOK»USA-Trial-ITD-Retargeting-AZR-AZR»1 x 1»SocialBan»LIA»ALL»CPA»RT»X»NA»SS»NA»FreeAcctRetargetingVMFB-750Hrs-ChD»PRC1RY</v></cell><cell r="AH4821"><v>223862747</v></cell><cell r="AI4821" t="str"><v>AzurePlatform_FreeAcctRetargetingVMFB-750Hrs-ChD_USA_1200x628_CAN_PLATFORM_English_Free Account_Standard_NA_SINU_T1_1</v></cell><cell r="AJ4821"><v>103034911</v></cell></row><row r="4822"><cell r="C4822" t="str"><v>43315FACEBOOK»USA-Trial-ITD-Retargeting-AZR-AZR»1 x 1»SocialBan»LIA»ALL»CPA»RT»X»NA»SS»NA»FreeAcctRetargetingVMFB-OnDemand-ChE»PRC1S0</v></cell><cell r="D4822" t="str"><v>43315224104899</v></cell><cell r="E4822" t="str"><v>43315103180610PRC1S0</v></cell><cell r="F4822" t="str"><v>DCM</v></cell><cell r="G4822" t="str"><v>https://azure.microsoft.com/en-us/free/virtual-machines/search/?OCID=AID%eexcid!_OLA_%ebuy!_%epid!_%ecid!</v></cell></row><row r="4822"><cell r="K4822" t="str"><v>August</v></cell><cell r="L4822"><v>43316</v></cell><cell r="M4822" t="str"><v>Tier 0</v></cell><cell r="N4822" t="str"><v>North America</v></cell><cell r="O4822" t="str"><v>United States</v></cell><cell r="P4822" t="str"><v>Trial</v></cell><cell r="Q4822" t="str"><v>Social</v></cell><cell r="R4822" t="str"><v>Azure</v></cell><cell r="S4822" t="str"><v>Apps & Infra</v></cell><cell r="T4822" t="str"><v>Developers & ITI's</v></cell><cell r="U4822" t="str"><v>USA-Trial-ITD-Retargeting-AZR-AZR</v></cell><cell r="V4822" t="str"><v>Retargeting</v></cell><cell r="W4822" t="str"><v>Link Ad</v></cell><cell r="X4822" t="str"><v>1x1</v></cell></row><row r="4822"><cell r="AA4822"><v>43315</v></cell><cell r="AB4822" t="str"><v>USA_gaPMG_AZR_AZR_Q1_19_Direct-Social</v></cell><cell r="AC4822"><v>21358715</v></cell><cell r="AD4822"><v>720197</v></cell><cell r="AE4822" t="str"><v>Facebook</v></cell><cell r="AF4822"><v>3654128</v></cell><cell r="AG4822" t="str"><v>FACEBOOK»USA-Trial-ITD-Retargeting-AZR-AZR»1 x 1»SocialBan»LIA»ALL»CPA»RT»X»NA»SS»NA»FreeAcctRetargetingVMFB-OnDemand-ChE»PRC1S0</v></cell><cell r="AH4822"><v>224104899</v></cell><cell r="AI4822" t="str"><v>AzurePlatform_FreeAcctRetargetingVMFB-OnDemand-ChE_USA_1200x628_CAN_PLATFORM_English_Free Account_Standard_NA_SINU_T2_1</v></cell><cell r="AJ4822"><v>103180610</v></cell></row><row r="4823"><cell r="C4823" t="str"><v>43315FACEBOOK»USA-Trial-ITD-Retargeting-AZR-AZR»1 x 1»SocialBan»CAN»ALL»CPA»RT»X»NA»SS»NA»FBCTCBrandinMotion»PRC1RT</v></cell><cell r="D4823" t="str"><v>43315224106069</v></cell><cell r="E4823" t="str"><v>43315103176812PRC1RT</v></cell><cell r="F4823" t="str"><v>DCM</v></cell><cell r="G4823" t="str"><v>https://signup.azure.com/?OCID=AID%eexcid!_OLA_%ebuy!_%epid!_%ecid!</v></cell></row><row r="4823"><cell r="K4823" t="str"><v>August</v></cell><cell r="L4823"><v>43316</v></cell><cell r="M4823" t="str"><v>Tier 0</v></cell><cell r="N4823" t="str"><v>North America</v></cell><cell r="O4823" t="str"><v>United States</v></cell><cell r="P4823" t="str"><v>Trial</v></cell><cell r="Q4823" t="str"><v>Social</v></cell><cell r="R4823" t="str"><v>Azure</v></cell><cell r="S4823" t="str"><v>Apps & Infra</v></cell><cell r="T4823" t="str"><v>Developers & ITI's</v></cell><cell r="U4823" t="str"><v>USA-Trial-ITD-Retargeting-AZR-AZR</v></cell><cell r="V4823" t="str"><v>Retargeting</v></cell><cell r="W4823" t="str"><v>Canvas Ad</v></cell><cell r="X4823" t="str"><v>1x1</v></cell></row><row r="4823"><cell r="AA4823"><v>43315</v></cell><cell r="AB4823" t="str"><v>USA_gaPMG_AZR_AZR_Q1_19_Direct-Social</v></cell><cell r="AC4823"><v>21358715</v></cell><cell r="AD4823"><v>720197</v></cell><cell r="AE4823" t="str"><v>Facebook</v></cell><cell r="AF4823"><v>3654128</v></cell><cell r="AG4823" t="str"><v>FACEBOOK»USA-Trial-ITD-Retargeting-AZR-AZR»1 x 1»SocialBan»CAN»ALL»CPA»RT»X»NA»SS»NA»FBCTCBrandinMotion»PRC1RT</v></cell><cell r="AH4823"><v>224106069</v></cell><cell r="AI4823" t="str"><v>AzurePlatform_FBCTCBrandinMotion_USA_10s_CAN_PLATFORM_English_Trial_Standard_STAN_TIN_T2_1</v></cell><cell r="AJ4823"><v>103176812</v></cell></row><row r="4824"><cell r="C4824" t="str"><v>43315FACEBOOK»USA-Trial-ITD-Trial Lookalike-AZR-AZR»1 x 1»SocialBan»CAN»ALL»CPA»LAL»X»NA»SS»NA»FBCTCBenefit2inMotion»PRC1M0</v></cell><cell r="D4824" t="str"><v>43315223862927</v></cell><cell r="E4824" t="str"><v>43315103043835PRC1M0</v></cell><cell r="F4824" t="str"><v>DCM</v></cell><cell r="G4824" t="str"><v>https://signup.azure.com/?OCID=AID%eexcid!_OLA_%ebuy!_%epid!_%ecid!</v></cell></row><row r="4824"><cell r="K4824" t="str"><v>August</v></cell><cell r="L4824"><v>43316</v></cell><cell r="M4824" t="str"><v>Tier 0</v></cell><cell r="N4824" t="str"><v>North America</v></cell><cell r="O4824" t="str"><v>United States</v></cell><cell r="P4824" t="str"><v>Trial</v></cell><cell r="Q4824" t="str"><v>Social</v></cell><cell r="R4824" t="str"><v>Azure</v></cell><cell r="S4824" t="str"><v>Apps & Infra</v></cell><cell r="T4824" t="str"><v>Developers & ITI's</v></cell><cell r="U4824" t="str"><v>USA-Trial-ITD-Trial Lookalike-AZR-AZR</v></cell><cell r="V4824" t="str"><v>Lookalike Targeting</v></cell><cell r="W4824" t="str"><v>Canvas Ad</v></cell><cell r="X4824" t="str"><v>1x1</v></cell></row><row r="4824"><cell r="AA4824"><v>43315</v></cell><cell r="AB4824" t="str"><v>USA_gaPMG_AZR_AZR_Q1_19_Direct-Social</v></cell><cell r="AC4824"><v>21358715</v></cell><cell r="AD4824"><v>720197</v></cell><cell r="AE4824" t="str"><v>Facebook</v></cell><cell r="AF4824"><v>3654128</v></cell><cell r="AG4824" t="str"><v>FACEBOOK»USA-Trial-ITD-Trial Lookalike-AZR-AZR»1 x 1»SocialBan»CAN»ALL»CPA»LAL»X»NA»SS»NA»FBCTCBenefit2inMotion»PRC1M0</v></cell><cell r="AH4824"><v>223862927</v></cell><cell r="AI4824" t="str"><v>AzurePlatform_FBCTCBenefit2inMotion_USA_10s_CAN_PLATFORM_English_Trial_Standard_STAN_TIN_T4_1</v></cell><cell r="AJ4824"><v>103043835</v></cell></row><row r="4825"><cell r="C4825" t="str"><v>43315FACEBOOK»USA-Trial-ITD-Trial Lookalike-AZR-AZR»1 x 1»SocialBan»CAN»ALL»CPA»LAL»X»NA»SS»NA»FBCTCBenefit2inMotion»PRC1M0</v></cell><cell r="D4825" t="str"><v>43315223862927</v></cell><cell r="E4825" t="str"><v>43315103178645PRC1M0</v></cell><cell r="F4825" t="str"><v>DCM</v></cell><cell r="G4825" t="str"><v>https://azure.microsoft.com/en-us/pricing/purchase-options/?v=18.19&OCID=AID%eexcid!_OLA_%ebuy!_%epid!_%ecid!</v></cell></row><row r="4825"><cell r="K4825" t="str"><v>August</v></cell><cell r="L4825"><v>43316</v></cell><cell r="M4825" t="str"><v>Tier 0</v></cell><cell r="N4825" t="str"><v>North America</v></cell><cell r="O4825" t="str"><v>United States</v></cell><cell r="P4825" t="str"><v>Trial</v></cell><cell r="Q4825" t="str"><v>Social</v></cell><cell r="R4825" t="str"><v>Azure</v></cell><cell r="S4825" t="str"><v>Apps & Infra</v></cell><cell r="T4825" t="str"><v>Developers & ITI's</v></cell><cell r="U4825" t="str"><v>USA-Trial-ITD-Trial Lookalike-AZR-AZR</v></cell><cell r="V4825" t="str"><v>Lookalike Targeting</v></cell><cell r="W4825" t="str"><v>Canvas Ad</v></cell><cell r="X4825" t="str"><v>1x1</v></cell></row><row r="4825"><cell r="AA4825"><v>43315</v></cell><cell r="AB4825" t="str"><v>USA_gaPMG_AZR_AZR_Q1_19_Direct-Social</v></cell><cell r="AC4825"><v>21358715</v></cell><cell r="AD4825"><v>720197</v></cell><cell r="AE4825" t="str"><v>Facebook</v></cell><cell r="AF4825"><v>3654128</v></cell><cell r="AG4825" t="str"><v>FACEBOOK»USA-Trial-ITD-Trial Lookalike-AZR-AZR»1 x 1»SocialBan»CAN»ALL»CPA»LAL»X»NA»SS»NA»FBCTCBenefit2inMotion»PRC1M0</v></cell><cell r="AH4825"><v>223862927</v></cell><cell r="AI4825" t="str"><v>AzurePlatform_FBCTCBenefit2inMotion_USA_10s_CAN_PLATFORM_English_Trial_Standard_STAN_TIN_T4_2</v></cell><cell r="AJ4825"><v>103178645</v></cell></row><row r="4826"><cell r="C4826" t="str"><v>43315FACEBOOK»USA-Trial-ITD-Trial Lookalike-AZR-AZR»1 x 1»SocialBan»LIA»ALL»CPA»LAL»X»NA»SS»NA»FreeAcctDeveloperFB-AnimatedData-Ch4»PRC1M8</v></cell><cell r="D4826" t="str"><v>43315223862933</v></cell><cell r="E4826" t="str"><v>43315103037935PRC1M8</v></cell><cell r="F4826" t="str"><v>DCM</v></cell></row><row r="4826"><cell r="K4826" t="str"><v>August</v></cell><cell r="L4826"><v>43316</v></cell><cell r="M4826" t="str"><v>Tier 0</v></cell><cell r="N4826" t="str"><v>North America</v></cell><cell r="O4826" t="str"><v>United States</v></cell><cell r="P4826" t="str"><v>Trial</v></cell><cell r="Q4826" t="str"><v>Social</v></cell><cell r="R4826" t="str"><v>Azure</v></cell><cell r="S4826" t="str"><v>Apps & Infra</v></cell><cell r="T4826" t="str"><v>Developers & ITI's</v></cell><cell r="U4826" t="str"><v>USA-Trial-ITD-Trial Lookalike-AZR-AZR</v></cell><cell r="V4826" t="str"><v>Lookalike Targeting</v></cell><cell r="W4826" t="str"><v>Link Ad</v></cell><cell r="X4826" t="str"><v>1x1</v></cell></row><row r="4826"><cell r="AA4826"><v>43315</v></cell><cell r="AB4826" t="str"><v>USA_gaPMG_AZR_AZR_Q1_19_Direct-Social</v></cell><cell r="AC4826"><v>21358715</v></cell><cell r="AD4826"><v>720197</v></cell><cell r="AE4826" t="str"><v>Facebook</v></cell><cell r="AF4826"><v>3654128</v></cell><cell r="AG4826" t="str"><v>FACEBOOK»USA-Trial-ITD-Trial Lookalike-AZR-AZR»1 x 1»SocialBan»LIA»ALL»CPA»LAL»X»NA»SS»NA»FreeAcctDeveloperFB-AnimatedData-Ch4»PRC1M8</v></cell><cell r="AH4826"><v>223862933</v></cell><cell r="AI4826" t="str"><v>AZR_FreeAcctDeveloperFB-AnimatedData-Ch4_USA_1200x1200_CAN_Direct_English_Trial_Standard_ANI_LEA_T4_2</v></cell><cell r="AJ4826"><v>103037935</v></cell></row><row r="4827"><cell r="C4827" t="str"><v>43315FACEBOOK»USA-Trial-ITD-Trial Lookalike-AZR-AZR»1 x 1»SocialBan»LIA»ALL»CPA»LAL»X»NA»SS»NA»FreeAcctITProFB-AnimatedHybrid-Ch2»PRC1MC</v></cell><cell r="D4827" t="str"><v>43315224104956</v></cell><cell r="E4827" t="str"><v>43315103180583PRC1MC</v></cell><cell r="F4827" t="str"><v>DCM</v></cell></row><row r="4827"><cell r="K4827" t="str"><v>August</v></cell><cell r="L4827"><v>43316</v></cell><cell r="M4827" t="str"><v>Tier 0</v></cell><cell r="N4827" t="str"><v>North America</v></cell><cell r="O4827" t="str"><v>United States</v></cell><cell r="P4827" t="str"><v>Trial</v></cell><cell r="Q4827" t="str"><v>Social</v></cell><cell r="R4827" t="str"><v>Azure</v></cell><cell r="S4827" t="str"><v>Apps & Infra</v></cell><cell r="T4827" t="str"><v>Developers & ITI's</v></cell><cell r="U4827" t="str"><v>USA-Trial-ITD-Trial Lookalike-AZR-AZR</v></cell><cell r="V4827" t="str"><v>Lookalike Targeting</v></cell><cell r="W4827" t="str"><v>Link Ad</v></cell><cell r="X4827" t="str"><v>1x1</v></cell></row><row r="4827"><cell r="AA4827"><v>43315</v></cell><cell r="AB4827" t="str"><v>USA_gaPMG_AZR_AZR_Q1_19_Direct-Social</v></cell><cell r="AC4827"><v>21358715</v></cell><cell r="AD4827"><v>720197</v></cell><cell r="AE4827" t="str"><v>Facebook</v></cell><cell r="AF4827"><v>3654128</v></cell><cell r="AG4827" t="str"><v>FACEBOOK»USA-Trial-ITD-Trial Lookalike-AZR-AZR»1 x 1»SocialBan»LIA»ALL»CPA»LAL»X»NA»SS»NA»FreeAcctITProFB-AnimatedHybrid-Ch2»PRC1MC</v></cell><cell r="AH4827"><v>224104956</v></cell><cell r="AI4827" t="str"><v>AZR_FreeAcctITProFB-AnimatedHybrid-Ch2_USA_1200x1200_CAN_Direct_English_Trial_Standard_ANI_LEA_T2_2</v></cell><cell r="AJ4827"><v>103180583</v></cell></row><row r="4828"><cell r="C4828" t="str"><v>43315FACEBOOK»USA-Trial-ITD-Trial PayGo Lookalike-AZR-AZR»1 x 1»SocialBan»CAN»ALL»CPA»LAL»X»NA»SS»NA»FBCTCBenefit2inMotion»PRC1Q1</v></cell><cell r="D4828" t="str"><v>43315224104986</v></cell><cell r="E4828" t="str"><v>43315103043835PRC1Q1</v></cell><cell r="F4828" t="str"><v>DCM</v></cell><cell r="G4828" t="str"><v>https://signup.azure.com/?OCID=AID%eexcid!_OLA_%ebuy!_%epid!_%ecid!</v></cell></row><row r="4828"><cell r="K4828" t="str"><v>August</v></cell><cell r="L4828"><v>43316</v></cell><cell r="M4828" t="str"><v>Tier 0</v></cell><cell r="N4828" t="str"><v>North America</v></cell><cell r="O4828" t="str"><v>United States</v></cell><cell r="P4828" t="str"><v>Trial</v></cell><cell r="Q4828" t="str"><v>Social</v></cell><cell r="R4828" t="str"><v>Azure</v></cell><cell r="S4828" t="str"><v>Apps & Infra</v></cell><cell r="T4828" t="str"><v>Developers & ITI's</v></cell><cell r="U4828" t="str"><v>USA-Trial-ITD-Trial PayGo Lookalike-AZR-AZR</v></cell><cell r="V4828" t="str"><v>Lookalike Targeting</v></cell><cell r="W4828" t="str"><v>Canvas Ad</v></cell><cell r="X4828" t="str"><v>1x1</v></cell></row><row r="4828"><cell r="AA4828"><v>43315</v></cell><cell r="AB4828" t="str"><v>USA_gaPMG_AZR_AZR_Q1_19_Direct-Social</v></cell><cell r="AC4828"><v>21358715</v></cell><cell r="AD4828"><v>720197</v></cell><cell r="AE4828" t="str"><v>Facebook</v></cell><cell r="AF4828"><v>3654128</v></cell><cell r="AG4828" t="str"><v>FACEBOOK»USA-Trial-ITD-Trial PayGo Lookalike-AZR-AZR»1 x 1»SocialBan»CAN»ALL»CPA»LAL»X»NA»SS»NA»FBCTCBenefit2inMotion»PRC1Q1</v></cell><cell r="AH4828"><v>224104986</v></cell><cell r="AI4828" t="str"><v>AzurePlatform_FBCTCBenefit2inMotion_USA_10s_CAN_PLATFORM_English_Trial_Standard_STAN_TIN_T4_1</v></cell><cell r="AJ4828"><v>103043835</v></cell></row><row r="4829"><cell r="C4829" t="str"><v>43315FACEBOOK»USA-Trial-ITD-Trial PayGo Lookalike-AZR-AZR»1 x 1»SocialBan»CAN»ALL»CPA»LAL»X»NA»SS»NA»FBCTCBenefit2inMotion»PRC1Q1</v></cell><cell r="D4829" t="str"><v>43315224104986</v></cell><cell r="E4829" t="str"><v>43315103178645PRC1Q1</v></cell><cell r="F4829" t="str"><v>DCM</v></cell><cell r="G4829" t="str"><v>https://azure.microsoft.com/en-us/pricing/purchase-options/?v=18.19&OCID=AID%eexcid!_OLA_%ebuy!_%epid!_%ecid!</v></cell></row><row r="4829"><cell r="K4829" t="str"><v>August</v></cell><cell r="L4829"><v>43316</v></cell><cell r="M4829" t="str"><v>Tier 0</v></cell><cell r="N4829" t="str"><v>North America</v></cell><cell r="O4829" t="str"><v>United States</v></cell><cell r="P4829" t="str"><v>Trial</v></cell><cell r="Q4829" t="str"><v>Social</v></cell><cell r="R4829" t="str"><v>Azure</v></cell><cell r="S4829" t="str"><v>Apps & Infra</v></cell><cell r="T4829" t="str"><v>Developers & ITI's</v></cell><cell r="U4829" t="str"><v>USA-Trial-ITD-Trial PayGo Lookalike-AZR-AZR</v></cell><cell r="V4829" t="str"><v>Lookalike Targeting</v></cell><cell r="W4829" t="str"><v>Canvas Ad</v></cell><cell r="X4829" t="str"><v>1x1</v></cell></row><row r="4829"><cell r="AA4829"><v>43315</v></cell><cell r="AB4829" t="str"><v>USA_gaPMG_AZR_AZR_Q1_19_Direct-Social</v></cell><cell r="AC4829"><v>21358715</v></cell><cell r="AD4829"><v>720197</v></cell><cell r="AE4829" t="str"><v>Facebook</v></cell><cell r="AF4829"><v>3654128</v></cell><cell r="AG4829" t="str"><v>FACEBOOK»USA-Trial-ITD-Trial PayGo Lookalike-AZR-AZR»1 x 1»SocialBan»CAN»ALL»CPA»LAL»X»NA»SS»NA»FBCTCBenefit2inMotion»PRC1Q1</v></cell><cell r="AH4829"><v>224104986</v></cell><cell r="AI4829" t="str"><v>AzurePlatform_FBCTCBenefit2inMotion_USA_10s_CAN_PLATFORM_English_Trial_Standard_STAN_TIN_T4_2</v></cell><cell r="AJ4829"><v>103178645</v></cell></row><row r="4830"><cell r="C4830" t="str"><v>43315FACEBOOK»USA-Trial-ITD-Trial PayGo Lookalike-AZR-AZR»1 x 1»SocialBan»CAN»ALL»CPA»LAL»X»NA»SS»NA»FBCTCBrandinMotion»PRC1Q3</v></cell><cell r="D4830" t="str"><v>43315223935349</v></cell><cell r="E4830" t="str"><v>43315103176812PRC1Q3</v></cell><cell r="F4830" t="str"><v>DCM</v></cell><cell r="G4830" t="str"><v>https://signup.azure.com/?OCID=AID%eexcid!_OLA_%ebuy!_%epid!_%ecid!</v></cell></row><row r="4830"><cell r="K4830" t="str"><v>August</v></cell><cell r="L4830"><v>43316</v></cell><cell r="M4830" t="str"><v>Tier 0</v></cell><cell r="N4830" t="str"><v>North America</v></cell><cell r="O4830" t="str"><v>United States</v></cell><cell r="P4830" t="str"><v>Trial</v></cell><cell r="Q4830" t="str"><v>Social</v></cell><cell r="R4830" t="str"><v>Azure</v></cell><cell r="S4830" t="str"><v>Apps & Infra</v></cell><cell r="T4830" t="str"><v>Developers & ITI's</v></cell><cell r="U4830" t="str"><v>USA-Trial-ITD-Trial PayGo Lookalike-AZR-AZR</v></cell><cell r="V4830" t="str"><v>Lookalike Targeting</v></cell><cell r="W4830" t="str"><v>Canvas Ad</v></cell><cell r="X4830" t="str"><v>1x1</v></cell></row><row r="4830"><cell r="AA4830"><v>43315</v></cell><cell r="AB4830" t="str"><v>USA_gaPMG_AZR_AZR_Q1_19_Direct-Social</v></cell><cell r="AC4830"><v>21358715</v></cell><cell r="AD4830"><v>720197</v></cell><cell r="AE4830" t="str"><v>Facebook</v></cell><cell r="AF4830"><v>3654128</v></cell><cell r="AG4830" t="str"><v>FACEBOOK»USA-Trial-ITD-Trial PayGo Lookalike-AZR-AZR»1 x 1»SocialBan»CAN»ALL»CPA»LAL»X»NA»SS»NA»FBCTCBrandinMotion»PRC1Q3</v></cell><cell r="AH4830"><v>223935349</v></cell><cell r="AI4830" t="str"><v>AzurePlatform_FBCTCBrandinMotion_USA_10s_CAN_PLATFORM_English_Trial_Standard_STAN_TIN_T2_1</v></cell><cell r="AJ4830"><v>103176812</v></cell></row><row r="4831"><cell r="C4831" t="str"><v>43315FACEBOOK»USA-Trial-ITD-Trial PayGo Lookalike-AZR-AZR»1 x 1»SocialBan»CAN»ALL»CPA»LAL»X»NA»SS»NA»FBCTCBrandinMotion»PRC1Q3</v></cell><cell r="D4831" t="str"><v>43315223935349</v></cell><cell r="E4831" t="str"><v>43315103032823PRC1Q3</v></cell><cell r="F4831" t="str"><v>DCM</v></cell><cell r="G4831" t="str"><v>https://azure.microsoft.com/en-us/pricing/purchase-options/?v=18.19&OCID=AID%eexcid!_OLA_%ebuy!_%epid!_%ecid!</v></cell></row><row r="4831"><cell r="K4831" t="str"><v>August</v></cell><cell r="L4831"><v>43316</v></cell><cell r="M4831" t="str"><v>Tier 0</v></cell><cell r="N4831" t="str"><v>North America</v></cell><cell r="O4831" t="str"><v>United States</v></cell><cell r="P4831" t="str"><v>Trial</v></cell><cell r="Q4831" t="str"><v>Social</v></cell><cell r="R4831" t="str"><v>Azure</v></cell><cell r="S4831" t="str"><v>Apps & Infra</v></cell><cell r="T4831" t="str"><v>Developers & ITI's</v></cell><cell r="U4831" t="str"><v>USA-Trial-ITD-Trial PayGo Lookalike-AZR-AZR</v></cell><cell r="V4831" t="str"><v>Lookalike Targeting</v></cell><cell r="W4831" t="str"><v>Canvas Ad</v></cell><cell r="X4831" t="str"><v>1x1</v></cell></row><row r="4831"><cell r="AA4831"><v>43315</v></cell><cell r="AB4831" t="str"><v>USA_gaPMG_AZR_AZR_Q1_19_Direct-Social</v></cell><cell r="AC4831"><v>21358715</v></cell><cell r="AD4831"><v>720197</v></cell><cell r="AE4831" t="str"><v>Facebook</v></cell><cell r="AF4831"><v>3654128</v></cell><cell r="AG4831" t="str"><v>FACEBOOK»USA-Trial-ITD-Trial PayGo Lookalike-AZR-AZR»1 x 1»SocialBan»CAN»ALL»CPA»LAL»X»NA»SS»NA»FBCTCBrandinMotion»PRC1Q3</v></cell><cell r="AH4831"><v>223935349</v></cell><cell r="AI4831" t="str"><v>AzurePlatform_FBCTCBrandinMotion_USA_10s_CAN_PLATFORM_English_Trial_Standard_STAN_TIN_T2_2</v></cell><cell r="AJ4831"><v>103032823</v></cell></row><row r="4832"><cell r="C4832" t="str"><v>43315FACEBOOK»USA-Trial-ITD-Trial PayGo Lookalike-AZR-AZR»1 x 1»SocialBan»CAN»ALL»CPA»LAL»X»NA»SS»NA»FBCTCBenefitinMotion»PRC1Q2</v></cell><cell r="D4832" t="str"><v>43315223862960</v></cell><cell r="E4832" t="str"><v>43315103032775PRC1Q2</v></cell><cell r="F4832" t="str"><v>DCM</v></cell><cell r="G4832" t="str"><v>https://signup.azure.com/?OCID=AID%eexcid!_OLA_%ebuy!_%epid!_%ecid!</v></cell></row><row r="4832"><cell r="K4832" t="str"><v>August</v></cell><cell r="L4832"><v>43316</v></cell><cell r="M4832" t="str"><v>Tier 0</v></cell><cell r="N4832" t="str"><v>North America</v></cell><cell r="O4832" t="str"><v>United States</v></cell><cell r="P4832" t="str"><v>Trial</v></cell><cell r="Q4832" t="str"><v>Social</v></cell><cell r="R4832" t="str"><v>Azure</v></cell><cell r="S4832" t="str"><v>Apps & Infra</v></cell><cell r="T4832" t="str"><v>Developers & ITI's</v></cell><cell r="U4832" t="str"><v>USA-Trial-ITD-Trial PayGo Lookalike-AZR-AZR</v></cell><cell r="V4832" t="str"><v>Lookalike Targeting</v></cell><cell r="W4832" t="str"><v>Canvas Ad</v></cell><cell r="X4832" t="str"><v>1x1</v></cell></row><row r="4832"><cell r="AA4832"><v>43315</v></cell><cell r="AB4832" t="str"><v>USA_gaPMG_AZR_AZR_Q1_19_Direct-Social</v></cell><cell r="AC4832"><v>21358715</v></cell><cell r="AD4832"><v>720197</v></cell><cell r="AE4832" t="str"><v>Facebook</v></cell><cell r="AF4832"><v>3654128</v></cell><cell r="AG4832" t="str"><v>FACEBOOK»USA-Trial-ITD-Trial PayGo Lookalike-AZR-AZR»1 x 1»SocialBan»CAN»ALL»CPA»LAL»X»NA»SS»NA»FBCTCBenefitinMotion»PRC1Q2</v></cell><cell r="AH4832"><v>223862960</v></cell><cell r="AI4832" t="str"><v>AzurePlatform_FBCTCBenefitinMotion_USA_10s_CAN_PLATFORM_English_Trial_Standard_STAN_TIN_T3_1</v></cell><cell r="AJ4832"><v>103032775</v></cell></row><row r="4833"><cell r="C4833" t="str"><v>43315FACEBOOK»USA-Trial-ITD-Trial PayGo Lookalike-AZR-AZR»1 x 1»SocialBan»LIA»ALL»CPA»LAL»X»NA»SS»NA»FreeAcctDeveloperFB-AnimatedGeneric-Ch1»PRC1Q6</v></cell><cell r="D4833" t="str"><v>43315224106129</v></cell><cell r="E4833" t="str"><v>43315103176851PRC1Q6</v></cell><cell r="F4833" t="str"><v>DCM</v></cell><cell r="G4833" t="str"><v>https://azure.microsoft.com/en-us/free/search/?OCID=AID%eexcid!_OLA_%ebuy!_%epid!_%ecid!</v></cell></row><row r="4833"><cell r="K4833" t="str"><v>August</v></cell><cell r="L4833"><v>43316</v></cell><cell r="M4833" t="str"><v>Tier 0</v></cell><cell r="N4833" t="str"><v>North America</v></cell><cell r="O4833" t="str"><v>United States</v></cell><cell r="P4833" t="str"><v>Trial</v></cell><cell r="Q4833" t="str"><v>Social</v></cell><cell r="R4833" t="str"><v>Azure</v></cell><cell r="S4833" t="str"><v>Apps & Infra</v></cell><cell r="T4833" t="str"><v>Developers & ITI's</v></cell><cell r="U4833" t="str"><v>USA-Trial-ITD-Trial PayGo Lookalike-AZR-AZR</v></cell><cell r="V4833" t="str"><v>Lookalike Targeting</v></cell><cell r="W4833" t="str"><v>Link Ad</v></cell><cell r="X4833" t="str"><v>1x1</v></cell></row><row r="4833"><cell r="AA4833"><v>43315</v></cell><cell r="AB4833" t="str"><v>USA_gaPMG_AZR_AZR_Q1_19_Direct-Social</v></cell><cell r="AC4833"><v>21358715</v></cell><cell r="AD4833"><v>720197</v></cell><cell r="AE4833" t="str"><v>Facebook</v></cell><cell r="AF4833"><v>3654128</v></cell><cell r="AG4833" t="str"><v>FACEBOOK»USA-Trial-ITD-Trial PayGo Lookalike-AZR-AZR»1 x 1»SocialBan»LIA»ALL»CPA»LAL»X»NA»SS»NA»FreeAcctDeveloperFB-AnimatedGeneric-Ch1»PRC1Q6</v></cell><cell r="AH4833"><v>224106129</v></cell><cell r="AI4833" t="str"><v>AZR_FreeAcctDeveloperFB-AnimatedGeneric-Ch1_USA_1200x1200_CAN_Direct_English_Trial_Standard_ANI_LEA_T1_2</v></cell><cell r="AJ4833"><v>103176851</v></cell></row><row r="4834"><cell r="C4834" t="str"><v>43315FACEBOOK»USA-Trial-ITD-Interest Prospecting-AZR-AZR»1 x 1»SocialBan»LIA»ALL»CPA»PRO»X»NA»SS»NA»FreeAcctDeveloperFB-AnimatedData-Ch4»PRC1T3</v></cell><cell r="D4834" t="str"><v>43315223863380</v></cell><cell r="E4834" t="str"><v>43315103037935PRC1T3</v></cell><cell r="F4834" t="str"><v>DCM</v></cell></row><row r="4834"><cell r="K4834" t="str"><v>August</v></cell><cell r="L4834"><v>43316</v></cell><cell r="M4834" t="str"><v>Tier 0</v></cell><cell r="N4834" t="str"><v>North America</v></cell><cell r="O4834" t="str"><v>United States</v></cell><cell r="P4834" t="str"><v>Trial</v></cell><cell r="Q4834" t="str"><v>Social</v></cell><cell r="R4834" t="str"><v>Azure</v></cell><cell r="S4834" t="str"><v>Apps & Infra</v></cell><cell r="T4834" t="str"><v>Developers & ITI's</v></cell><cell r="U4834" t="str"><v>USA-Trial-ITD-Interest Prospecting-AZR-AZR</v></cell><cell r="V4834" t="str"><v>Prospecting</v></cell><cell r="W4834" t="str"><v>Link Ad</v></cell><cell r="X4834" t="str"><v>1x1</v></cell></row><row r="4834"><cell r="AA4834"><v>43315</v></cell><cell r="AB4834" t="str"><v>USA_gaPMG_AZR_AZR_Q1_19_Direct-Social</v></cell><cell r="AC4834"><v>21358715</v></cell><cell r="AD4834"><v>720197</v></cell><cell r="AE4834" t="str"><v>Facebook</v></cell><cell r="AF4834"><v>3654128</v></cell><cell r="AG4834" t="str"><v>FACEBOOK»USA-Trial-ITD-Interest Prospecting-AZR-AZR»1 x 1»SocialBan»LIA»ALL»CPA»PRO»X»NA»SS»NA»FreeAcctDeveloperFB-AnimatedData-Ch4»PRC1T3</v></cell><cell r="AH4834"><v>223863380</v></cell><cell r="AI4834" t="str"><v>AZR_FreeAcctDeveloperFB-AnimatedData-Ch4_USA_1200x1200_CAN_Direct_English_Trial_Standard_ANI_LEA_T4_2</v></cell><cell r="AJ4834"><v>103037935</v></cell></row><row r="4835"><cell r="C4835" t="str"><v>43315FACEBOOK»USA-Trial-ITD-Interest Prospecting-AZR-AZR»1 x 1»SocialBan»LIA»ALL»CPA»PRO»X»NA»SS»NA»FreeAcctDeveloperFB-AnimatedOpenSource-Ch2»PRC1T1</v></cell><cell r="D4835" t="str"><v>43315223862885</v></cell><cell r="E4835" t="str"><v>43315103048329PRC1T1</v></cell><cell r="F4835" t="str"><v>DCM</v></cell><cell r="G4835" t="str"><v>https://azure.microsoft.com/en-us/free/open-source/search/?OCID=AID%eexcid!_OLA_%ebuy!_%epid!_%ecid!</v></cell></row><row r="4835"><cell r="K4835" t="str"><v>August</v></cell><cell r="L4835"><v>43316</v></cell><cell r="M4835" t="str"><v>Tier 0</v></cell><cell r="N4835" t="str"><v>North America</v></cell><cell r="O4835" t="str"><v>United States</v></cell><cell r="P4835" t="str"><v>Trial</v></cell><cell r="Q4835" t="str"><v>Social</v></cell><cell r="R4835" t="str"><v>Azure</v></cell><cell r="S4835" t="str"><v>Apps & Infra</v></cell><cell r="T4835" t="str"><v>Developers & ITI's</v></cell><cell r="U4835" t="str"><v>USA-Trial-ITD-Interest Prospecting-AZR-AZR</v></cell><cell r="V4835" t="str"><v>Prospecting</v></cell><cell r="W4835" t="str"><v>Link Ad</v></cell><cell r="X4835" t="str"><v>1x1</v></cell></row><row r="4835"><cell r="AA4835"><v>43315</v></cell><cell r="AB4835" t="str"><v>USA_gaPMG_AZR_AZR_Q1_19_Direct-Social</v></cell><cell r="AC4835"><v>21358715</v></cell><cell r="AD4835"><v>720197</v></cell><cell r="AE4835" t="str"><v>Facebook</v></cell><cell r="AF4835"><v>3654128</v></cell><cell r="AG4835" t="str"><v>FACEBOOK»USA-Trial-ITD-Interest Prospecting-AZR-AZR»1 x 1»SocialBan»LIA»ALL»CPA»PRO»X»NA»SS»NA»FreeAcctDeveloperFB-AnimatedOpenSource-Ch2»PRC1T1</v></cell><cell r="AH4835"><v>223862885</v></cell><cell r="AI4835" t="str"><v>AZR_FreeAcctDeveloperFB-AnimatedOpenSource-Ch2_USA_1200x1200_CAN_Direct_English_Trial_Standard_ANI_LEA_T2_1</v></cell><cell r="AJ4835"><v>103048329</v></cell></row><row r="4836"><cell r="C4836" t="str"><v>43315FACEBOOK»USA-Trial-ITD-Retargeting-AZR-AZR»1 x 1»SocialBan»LIA»ALL»CPA»RT»X»NA»SS»NA»FreeAcctDeveloperFB-AnimatedGeneric-Ch1»PRC26D</v></cell><cell r="D4836" t="str"><v>43315223862870</v></cell><cell r="E4836" t="str"><v>43315103176851PRC26D</v></cell><cell r="F4836" t="str"><v>DCM</v></cell><cell r="G4836" t="str"><v>https://azure.microsoft.com/en-us/free/search/?OCID=AID%eexcid!_OLA_%ebuy!_%epid!_%ecid!</v></cell></row><row r="4836"><cell r="K4836" t="str"><v>August</v></cell><cell r="L4836"><v>43316</v></cell><cell r="M4836" t="str"><v>Tier 0</v></cell><cell r="N4836" t="str"><v>North America</v></cell><cell r="O4836" t="str"><v>United States</v></cell><cell r="P4836" t="str"><v>Trial</v></cell><cell r="Q4836" t="str"><v>Social</v></cell><cell r="R4836" t="str"><v>Azure</v></cell><cell r="S4836" t="str"><v>Apps & Infra</v></cell><cell r="T4836" t="str"><v>Developers & ITI's</v></cell><cell r="U4836" t="str"><v>USA-Trial-ITD-Retargeting-AZR-AZR</v></cell><cell r="V4836" t="str"><v>Retargeting</v></cell><cell r="W4836" t="str"><v>Link Ad</v></cell><cell r="X4836" t="str"><v>1x1</v></cell></row><row r="4836"><cell r="AA4836"><v>43315</v></cell><cell r="AB4836" t="str"><v>USA_gaPMG_AZR_AZR_Q1_19_Direct-Social</v></cell><cell r="AC4836"><v>21358715</v></cell><cell r="AD4836"><v>720197</v></cell><cell r="AE4836" t="str"><v>Facebook</v></cell><cell r="AF4836"><v>3654128</v></cell><cell r="AG4836" t="str"><v>FACEBOOK»USA-Trial-ITD-Retargeting-AZR-AZR»1 x 1»SocialBan»LIA»ALL»CPA»RT»X»NA»SS»NA»FreeAcctDeveloperFB-AnimatedGeneric-Ch1»PRC26D</v></cell><cell r="AH4836"><v>223862870</v></cell><cell r="AI4836" t="str"><v>AZR_FreeAcctDeveloperFB-AnimatedGeneric-Ch1_USA_1200x1200_CAN_Direct_English_Trial_Standard_ANI_LEA_T1_2</v></cell><cell r="AJ4836"><v>103176851</v></cell></row><row r="4837"><cell r="C4837" t="str"><v>43315FACEBOOK»USA-Trial-ITD-Retargeting-AZR-AZR»1 x 1»SocialBan»LIA»ALL»CPA»RT»X»NA»SS»NA»FreeAcctRetargetingOSSFB-Logos-ChG»PRC1S2</v></cell><cell r="D4837" t="str"><v>43315224106063</v></cell><cell r="E4837" t="str"><v>43315103176008PRC1S2</v></cell><cell r="F4837" t="str"><v>DCM</v></cell><cell r="G4837" t="str"><v>https://azure.microsoft.com/en-us/free/open-source/search/?OCID=AID%eexcid!_OLA_%ebuy!_%epid!_%ecid!</v></cell></row><row r="4837"><cell r="K4837" t="str"><v>August</v></cell><cell r="L4837"><v>43316</v></cell><cell r="M4837" t="str"><v>Tier 0</v></cell><cell r="N4837" t="str"><v>North America</v></cell><cell r="O4837" t="str"><v>United States</v></cell><cell r="P4837" t="str"><v>Trial</v></cell><cell r="Q4837" t="str"><v>Social</v></cell><cell r="R4837" t="str"><v>Azure</v></cell><cell r="S4837" t="str"><v>Apps & Infra</v></cell><cell r="T4837" t="str"><v>Developers & ITI's</v></cell><cell r="U4837" t="str"><v>USA-Trial-ITD-Retargeting-AZR-AZR</v></cell><cell r="V4837" t="str"><v>Retargeting</v></cell><cell r="W4837" t="str"><v>Link Ad</v></cell><cell r="X4837" t="str"><v>1x1</v></cell></row><row r="4837"><cell r="AA4837"><v>43315</v></cell><cell r="AB4837" t="str"><v>USA_gaPMG_AZR_AZR_Q1_19_Direct-Social</v></cell><cell r="AC4837"><v>21358715</v></cell><cell r="AD4837"><v>720197</v></cell><cell r="AE4837" t="str"><v>Facebook</v></cell><cell r="AF4837"><v>3654128</v></cell><cell r="AG4837" t="str"><v>FACEBOOK»USA-Trial-ITD-Retargeting-AZR-AZR»1 x 1»SocialBan»LIA»ALL»CPA»RT»X»NA»SS»NA»FreeAcctRetargetingOSSFB-Logos-ChG»PRC1S2</v></cell><cell r="AH4837"><v>224106063</v></cell><cell r="AI4837" t="str"><v>AzurePlatform_FreeAcctRetargetingOSSFB-Logos-ChG_USA_1200x628_CAN_PLATFORM_English_Free Account_Standard_NA_SINU_T2_1</v></cell><cell r="AJ4837"><v>103176008</v></cell></row><row r="4838"><cell r="C4838" t="str"><v>43315FACEBOOK»USA-Trial-ITD-Retargeting-AZR-AZR»1 x 1»SocialBan»LIA»ALL»CPA»RT»X»NA»SS»NA»FreeAcctRetargetingOSSFB-Text-ChF»PRC1S1</v></cell><cell r="D4838" t="str"><v>43315223862753</v></cell><cell r="E4838" t="str"><v>43315103176869PRC1S1</v></cell><cell r="F4838" t="str"><v>DCM</v></cell><cell r="G4838" t="str"><v>https://azure.microsoft.com/en-us/free/open-source/search/?OCID=AID%eexcid!_OLA_%ebuy!_%epid!_%ecid!</v></cell></row><row r="4838"><cell r="K4838" t="str"><v>August</v></cell><cell r="L4838"><v>43316</v></cell><cell r="M4838" t="str"><v>Tier 0</v></cell><cell r="N4838" t="str"><v>North America</v></cell><cell r="O4838" t="str"><v>United States</v></cell><cell r="P4838" t="str"><v>Trial</v></cell><cell r="Q4838" t="str"><v>Social</v></cell><cell r="R4838" t="str"><v>Azure</v></cell><cell r="S4838" t="str"><v>Apps & Infra</v></cell><cell r="T4838" t="str"><v>Developers & ITI's</v></cell><cell r="U4838" t="str"><v>USA-Trial-ITD-Retargeting-AZR-AZR</v></cell><cell r="V4838" t="str"><v>Retargeting</v></cell><cell r="W4838" t="str"><v>Link Ad</v></cell><cell r="X4838" t="str"><v>1x1</v></cell></row><row r="4838"><cell r="AA4838"><v>43315</v></cell><cell r="AB4838" t="str"><v>USA_gaPMG_AZR_AZR_Q1_19_Direct-Social</v></cell><cell r="AC4838"><v>21358715</v></cell><cell r="AD4838"><v>720197</v></cell><cell r="AE4838" t="str"><v>Facebook</v></cell><cell r="AF4838"><v>3654128</v></cell><cell r="AG4838" t="str"><v>FACEBOOK»USA-Trial-ITD-Retargeting-AZR-AZR»1 x 1»SocialBan»LIA»ALL»CPA»RT»X»NA»SS»NA»FreeAcctRetargetingOSSFB-Text-ChF»PRC1S1</v></cell><cell r="AH4838"><v>223862753</v></cell><cell r="AI4838" t="str"><v>AzurePlatform_FreeAcctRetargetingOSSFB-Text-ChF_USA_1200x628_CAN_PLATFORM_English_Free Account_Standard_NA_SINU_T1_2</v></cell><cell r="AJ4838"><v>103176869</v></cell></row><row r="4839"><cell r="C4839" t="str"><v>43315FACEBOOK»USA-Trial-ITD-Trial Lookalike-AZR-AZR»1 x 1»SocialBan»LIA»ALL»CPA»LAL»X»NA»SS»NA»FreeAcctDeveloperFB-AnimatedGeneric-Ch1»PRC1M4</v></cell><cell r="D4839" t="str"><v>43315224104941</v></cell><cell r="E4839" t="str"><v>43315103176851PRC1M4</v></cell><cell r="F4839" t="str"><v>DCM</v></cell><cell r="G4839" t="str"><v>https://azure.microsoft.com/en-us/free/search/?OCID=AID%eexcid!_OLA_%ebuy!_%epid!_%ecid!</v></cell></row><row r="4839"><cell r="K4839" t="str"><v>August</v></cell><cell r="L4839"><v>43316</v></cell><cell r="M4839" t="str"><v>Tier 0</v></cell><cell r="N4839" t="str"><v>North America</v></cell><cell r="O4839" t="str"><v>United States</v></cell><cell r="P4839" t="str"><v>Trial</v></cell><cell r="Q4839" t="str"><v>Social</v></cell><cell r="R4839" t="str"><v>Azure</v></cell><cell r="S4839" t="str"><v>Apps & Infra</v></cell><cell r="T4839" t="str"><v>Developers & ITI's</v></cell><cell r="U4839" t="str"><v>USA-Trial-ITD-Trial Lookalike-AZR-AZR</v></cell><cell r="V4839" t="str"><v>Lookalike Targeting</v></cell><cell r="W4839" t="str"><v>Link Ad</v></cell><cell r="X4839" t="str"><v>1x1</v></cell></row><row r="4839"><cell r="AA4839"><v>43315</v></cell><cell r="AB4839" t="str"><v>USA_gaPMG_AZR_AZR_Q1_19_Direct-Social</v></cell><cell r="AC4839"><v>21358715</v></cell><cell r="AD4839"><v>720197</v></cell><cell r="AE4839" t="str"><v>Facebook</v></cell><cell r="AF4839"><v>3654128</v></cell><cell r="AG4839" t="str"><v>FACEBOOK»USA-Trial-ITD-Trial Lookalike-AZR-AZR»1 x 1»SocialBan»LIA»ALL»CPA»LAL»X»NA»SS»NA»FreeAcctDeveloperFB-AnimatedGeneric-Ch1»PRC1M4</v></cell><cell r="AH4839"><v>224104941</v></cell><cell r="AI4839" t="str"><v>AZR_FreeAcctDeveloperFB-AnimatedGeneric-Ch1_USA_1200x1200_CAN_Direct_English_Trial_Standard_ANI_LEA_T1_2</v></cell><cell r="AJ4839"><v>103176851</v></cell></row><row r="4840"><cell r="C4840" t="str"><v>43315FACEBOOK»USA-Trial-ITD-Trial Lookalike-AZR-AZR»1 x 1»SocialBan»LIA»ALL»CPA»LAL»X»NA»SS»NA»FreeAcctDeveloperFB-AnimatedGeneric-Ch1»PRC1M5</v></cell><cell r="D4840" t="str"><v>43315223934083</v></cell><cell r="E4840" t="str"><v>43315103176851PRC1M5</v></cell><cell r="F4840" t="str"><v>DCM</v></cell><cell r="G4840" t="str"><v>https://azure.microsoft.com/en-us/free/search/?OCID=AID%eexcid!_OLA_%ebuy!_%epid!_%ecid!</v></cell></row><row r="4840"><cell r="K4840" t="str"><v>August</v></cell><cell r="L4840"><v>43316</v></cell><cell r="M4840" t="str"><v>Tier 0</v></cell><cell r="N4840" t="str"><v>North America</v></cell><cell r="O4840" t="str"><v>United States</v></cell><cell r="P4840" t="str"><v>Trial</v></cell><cell r="Q4840" t="str"><v>Social</v></cell><cell r="R4840" t="str"><v>Azure</v></cell><cell r="S4840" t="str"><v>Apps & Infra</v></cell><cell r="T4840" t="str"><v>Developers & ITI's</v></cell><cell r="U4840" t="str"><v>USA-Trial-ITD-Trial Lookalike-AZR-AZR</v></cell><cell r="V4840" t="str"><v>Lookalike Targeting</v></cell><cell r="W4840" t="str"><v>Link Ad</v></cell><cell r="X4840" t="str"><v>1x1</v></cell></row><row r="4840"><cell r="AA4840"><v>43315</v></cell><cell r="AB4840" t="str"><v>USA_gaPMG_AZR_AZR_Q1_19_Direct-Social</v></cell><cell r="AC4840"><v>21358715</v></cell><cell r="AD4840"><v>720197</v></cell><cell r="AE4840" t="str"><v>Facebook</v></cell><cell r="AF4840"><v>3654128</v></cell><cell r="AG4840" t="str"><v>FACEBOOK»USA-Trial-ITD-Trial Lookalike-AZR-AZR»1 x 1»SocialBan»LIA»ALL»CPA»LAL»X»NA»SS»NA»FreeAcctDeveloperFB-AnimatedGeneric-Ch1»PRC1M5</v></cell><cell r="AH4840"><v>223934083</v></cell><cell r="AI4840" t="str"><v>AZR_FreeAcctDeveloperFB-AnimatedGeneric-Ch1_USA_1200x1200_CAN_Direct_English_Trial_Standard_ANI_LEA_T1_2</v></cell><cell r="AJ4840"><v>103176851</v></cell></row><row r="4841"><cell r="C4841" t="str"><v>43315FACEBOOK»USA-Trial-ITD-Trial Lookalike-AZR-AZR»1 x 1»SocialBan»LIA»ALL»CPA»LAL»X»NA»SS»NA»FreeAcctDeveloperFB-AnimatedOpenSource-Ch2»PRC1M6</v></cell><cell r="D4841" t="str"><v>43315223935628</v></cell><cell r="E4841" t="str"><v>43315103048329PRC1M6</v></cell><cell r="F4841" t="str"><v>DCM</v></cell><cell r="G4841" t="str"><v>https://azure.microsoft.com/en-us/free/open-source/search/?OCID=AID%eexcid!_OLA_%ebuy!_%epid!_%ecid!</v></cell></row><row r="4841"><cell r="K4841" t="str"><v>August</v></cell><cell r="L4841"><v>43316</v></cell><cell r="M4841" t="str"><v>Tier 0</v></cell><cell r="N4841" t="str"><v>North America</v></cell><cell r="O4841" t="str"><v>United States</v></cell><cell r="P4841" t="str"><v>Trial</v></cell><cell r="Q4841" t="str"><v>Social</v></cell><cell r="R4841" t="str"><v>Azure</v></cell><cell r="S4841" t="str"><v>Apps & Infra</v></cell><cell r="T4841" t="str"><v>Developers & ITI's</v></cell><cell r="U4841" t="str"><v>USA-Trial-ITD-Trial Lookalike-AZR-AZR</v></cell><cell r="V4841" t="str"><v>Lookalike Targeting</v></cell><cell r="W4841" t="str"><v>Link Ad</v></cell><cell r="X4841" t="str"><v>1x1</v></cell></row><row r="4841"><cell r="AA4841"><v>43315</v></cell><cell r="AB4841" t="str"><v>USA_gaPMG_AZR_AZR_Q1_19_Direct-Social</v></cell><cell r="AC4841"><v>21358715</v></cell><cell r="AD4841"><v>720197</v></cell><cell r="AE4841" t="str"><v>Facebook</v></cell><cell r="AF4841"><v>3654128</v></cell><cell r="AG4841" t="str"><v>FACEBOOK»USA-Trial-ITD-Trial Lookalike-AZR-AZR»1 x 1»SocialBan»LIA»ALL»CPA»LAL»X»NA»SS»NA»FreeAcctDeveloperFB-AnimatedOpenSource-Ch2»PRC1M6</v></cell><cell r="AH4841"><v>223935628</v></cell><cell r="AI4841" t="str"><v>AZR_FreeAcctDeveloperFB-AnimatedOpenSource-Ch2_USA_1200x1200_CAN_Direct_English_Trial_Standard_ANI_LEA_T2_1</v></cell><cell r="AJ4841"><v>103048329</v></cell></row><row r="4842"><cell r="C4842" t="str"><v>43315FACEBOOK»USA-Trial-ITD-Trial PayGo Lookalike-AZR-AZR»1 x 1»SocialBan»LIA»ALL»CPA»LAL»X»NA»SS»NA»FreeAcctDeveloperFB-AnimatedAI-Ch3»PRC1Q8</v></cell><cell r="D4842" t="str"><v>43315224104983</v></cell><cell r="E4842" t="str"><v>43315103032778PRC1Q8</v></cell><cell r="F4842" t="str"><v>DCM</v></cell></row><row r="4842"><cell r="K4842" t="str"><v>August</v></cell><cell r="L4842"><v>43316</v></cell><cell r="M4842" t="str"><v>Tier 0</v></cell><cell r="N4842" t="str"><v>North America</v></cell><cell r="O4842" t="str"><v>United States</v></cell><cell r="P4842" t="str"><v>Trial</v></cell><cell r="Q4842" t="str"><v>Social</v></cell><cell r="R4842" t="str"><v>Azure</v></cell><cell r="S4842" t="str"><v>Apps & Infra</v></cell><cell r="T4842" t="str"><v>Developers & ITI's</v></cell><cell r="U4842" t="str"><v>USA-Trial-ITD-Trial PayGo Lookalike-AZR-AZR</v></cell><cell r="V4842" t="str"><v>Lookalike Targeting</v></cell><cell r="W4842" t="str"><v>Link Ad</v></cell><cell r="X4842" t="str"><v>1x1</v></cell></row><row r="4842"><cell r="AA4842"><v>43315</v></cell><cell r="AB4842" t="str"><v>USA_gaPMG_AZR_AZR_Q1_19_Direct-Social</v></cell><cell r="AC4842"><v>21358715</v></cell><cell r="AD4842"><v>720197</v></cell><cell r="AE4842" t="str"><v>Facebook</v></cell><cell r="AF4842"><v>3654128</v></cell><cell r="AG4842" t="str"><v>FACEBOOK»USA-Trial-ITD-Trial PayGo Lookalike-AZR-AZR»1 x 1»SocialBan»LIA»ALL»CPA»LAL»X»NA»SS»NA»FreeAcctDeveloperFB-AnimatedAI-Ch3»PRC1Q8</v></cell><cell r="AH4842"><v>224104983</v></cell><cell r="AI4842" t="str"><v>AZR_FreeAcctDeveloperFB-AnimatedAI-Ch3_USA_1200x1200_CAN_Direct_English_Trial_Standard_ANI_LEA_T3_1</v></cell><cell r="AJ4842"><v>103032778</v></cell></row><row r="4843"><cell r="C4843" t="str"><v>43315FACEBOOK»USA-Trial-ITD-Trial PayGo Lookalike-AZR-AZR»1 x 1»SocialBan»LIA»ALL»CPA»LAL»X»NA»SS»NA»FreeAcctDeveloperFB-AnimatedData-Ch4»PRC1Q9</v></cell><cell r="D4843" t="str"><v>43315224106990</v></cell><cell r="E4843" t="str"><v>43315103037935PRC1Q9</v></cell><cell r="F4843" t="str"><v>DCM</v></cell></row><row r="4843"><cell r="K4843" t="str"><v>August</v></cell><cell r="L4843"><v>43316</v></cell><cell r="M4843" t="str"><v>Tier 0</v></cell><cell r="N4843" t="str"><v>North America</v></cell><cell r="O4843" t="str"><v>United States</v></cell><cell r="P4843" t="str"><v>Trial</v></cell><cell r="Q4843" t="str"><v>Social</v></cell><cell r="R4843" t="str"><v>Azure</v></cell><cell r="S4843" t="str"><v>Apps & Infra</v></cell><cell r="T4843" t="str"><v>Developers & ITI's</v></cell><cell r="U4843" t="str"><v>USA-Trial-ITD-Trial PayGo Lookalike-AZR-AZR</v></cell><cell r="V4843" t="str"><v>Lookalike Targeting</v></cell><cell r="W4843" t="str"><v>Link Ad</v></cell><cell r="X4843" t="str"><v>1x1</v></cell></row><row r="4843"><cell r="AA4843"><v>43315</v></cell><cell r="AB4843" t="str"><v>USA_gaPMG_AZR_AZR_Q1_19_Direct-Social</v></cell><cell r="AC4843"><v>21358715</v></cell><cell r="AD4843"><v>720197</v></cell><cell r="AE4843" t="str"><v>Facebook</v></cell><cell r="AF4843"><v>3654128</v></cell><cell r="AG4843" t="str"><v>FACEBOOK»USA-Trial-ITD-Trial PayGo Lookalike-AZR-AZR»1 x 1»SocialBan»LIA»ALL»CPA»LAL»X»NA»SS»NA»FreeAcctDeveloperFB-AnimatedData-Ch4»PRC1Q9</v></cell><cell r="AH4843"><v>224106990</v></cell><cell r="AI4843" t="str"><v>AZR_FreeAcctDeveloperFB-AnimatedData-Ch4_USA_1200x1200_CAN_Direct_English_Trial_Standard_ANI_LEA_T4_2</v></cell><cell r="AJ4843"><v>103037935</v></cell></row><row r="4844"><cell r="C4844" t="str"><v>43315FACEBOOK»USA-Trial-ITD-Trial PayGo Lookalike-AZR-AZR»1 x 1»SocialBan»LIA»ALL»CPA»LAL»X»NA»SS»NA»FreeAcctDeveloperFB-AnimatedGeneric-Ch1»PRC1Q5</v></cell><cell r="D4844" t="str"><v>43315224104092</v></cell><cell r="E4844" t="str"><v>43315103176851PRC1Q5</v></cell><cell r="F4844" t="str"><v>DCM</v></cell><cell r="G4844" t="str"><v>https://azure.microsoft.com/en-us/free/search/?OCID=AID%eexcid!_OLA_%ebuy!_%epid!_%ecid!</v></cell></row><row r="4844"><cell r="K4844" t="str"><v>August</v></cell><cell r="L4844"><v>43316</v></cell><cell r="M4844" t="str"><v>Tier 0</v></cell><cell r="N4844" t="str"><v>North America</v></cell><cell r="O4844" t="str"><v>United States</v></cell><cell r="P4844" t="str"><v>Trial</v></cell><cell r="Q4844" t="str"><v>Social</v></cell><cell r="R4844" t="str"><v>Azure</v></cell><cell r="S4844" t="str"><v>Apps & Infra</v></cell><cell r="T4844" t="str"><v>Developers & ITI's</v></cell><cell r="U4844" t="str"><v>USA-Trial-ITD-Trial PayGo Lookalike-AZR-AZR</v></cell><cell r="V4844" t="str"><v>Lookalike Targeting</v></cell><cell r="W4844" t="str"><v>Link Ad</v></cell><cell r="X4844" t="str"><v>1x1</v></cell></row><row r="4844"><cell r="AA4844"><v>43315</v></cell><cell r="AB4844" t="str"><v>USA_gaPMG_AZR_AZR_Q1_19_Direct-Social</v></cell><cell r="AC4844"><v>21358715</v></cell><cell r="AD4844"><v>720197</v></cell><cell r="AE4844" t="str"><v>Facebook</v></cell><cell r="AF4844"><v>3654128</v></cell><cell r="AG4844" t="str"><v>FACEBOOK»USA-Trial-ITD-Trial PayGo Lookalike-AZR-AZR»1 x 1»SocialBan»LIA»ALL»CPA»LAL»X»NA»SS»NA»FreeAcctDeveloperFB-AnimatedGeneric-Ch1»PRC1Q5</v></cell><cell r="AH4844"><v>224104092</v></cell><cell r="AI4844" t="str"><v>AZR_FreeAcctDeveloperFB-AnimatedGeneric-Ch1_USA_1200x1200_CAN_Direct_English_Trial_Standard_ANI_LEA_T1_2</v></cell><cell r="AJ4844"><v>103176851</v></cell></row><row r="4845"><cell r="C4845" t="str"><v>43315FACEBOOK»USA-Trial-ITD-Trial PayGo Lookalike-AZR-AZR»1 x 1»SocialBan»LIA»ALL»CPA»LAL»X»NA»SS»NA»FreeAcctITProFB-AnimatedMigration-Ch3»PRC23Y</v></cell><cell r="D4845" t="str"><v>43315224105904</v></cell><cell r="E4845" t="str"><v>43315103176827PRC23Y</v></cell><cell r="F4845" t="str"><v>DCM</v></cell></row><row r="4845"><cell r="K4845" t="str"><v>August</v></cell><cell r="L4845"><v>43316</v></cell><cell r="M4845" t="str"><v>Tier 0</v></cell><cell r="N4845" t="str"><v>North America</v></cell><cell r="O4845" t="str"><v>United States</v></cell><cell r="P4845" t="str"><v>Trial</v></cell><cell r="Q4845" t="str"><v>Social</v></cell><cell r="R4845" t="str"><v>Azure</v></cell><cell r="S4845" t="str"><v>Apps & Infra</v></cell><cell r="T4845" t="str"><v>Developers & ITI's</v></cell><cell r="U4845" t="str"><v>USA-Trial-ITD-Trial PayGo Lookalike-AZR-AZR</v></cell><cell r="V4845" t="str"><v>Lookalike Targeting</v></cell><cell r="W4845" t="str"><v>Link Ad</v></cell><cell r="X4845" t="str"><v>1x1</v></cell></row><row r="4845"><cell r="AA4845"><v>43315</v></cell><cell r="AB4845" t="str"><v>USA_gaPMG_AZR_AZR_Q1_19_Direct-Social</v></cell><cell r="AC4845"><v>21358715</v></cell><cell r="AD4845"><v>720197</v></cell><cell r="AE4845" t="str"><v>Facebook</v></cell><cell r="AF4845"><v>3654128</v></cell><cell r="AG4845" t="str"><v>FACEBOOK»USA-Trial-ITD-Trial PayGo Lookalike-AZR-AZR»1 x 1»SocialBan»LIA»ALL»CPA»LAL»X»NA»SS»NA»FreeAcctITProFB-AnimatedMigration-Ch3»PRC23Y</v></cell><cell r="AH4845"><v>224105904</v></cell><cell r="AI4845" t="str"><v>AZR_FreeAcctITProFB-AnimatedMigration-Ch3_USA_1200x1200_CAN_Direct_English_Trial_Standard_ANI_LEA_T3_1</v></cell><cell r="AJ4845"><v>103176827</v></cell></row><row r="4846"><cell r="C4846" t="str"><v>43315INSTAGRAM»USA-Trial-ITD-Interest Prospecting-AZR-AZR»1 x 1»SocialBan»CAN»ALL»CPA»PRO»X»NA»SS»NA»IGCTCBrandinMotion»PRC2PB</v></cell><cell r="D4846" t="str"><v>43315223862690</v></cell><cell r="E4846" t="str"><v>43315103050783PRC2PB</v></cell><cell r="F4846" t="str"><v>DCM</v></cell><cell r="G4846" t="str"><v>https://signup.azure.com/?OCID=AID%eexcid!_OLA_%ebuy!_%epid!_%ecid!</v></cell></row><row r="4846"><cell r="K4846" t="str"><v>August</v></cell><cell r="L4846"><v>43316</v></cell><cell r="M4846" t="str"><v>Tier 0</v></cell><cell r="N4846" t="str"><v>North America</v></cell><cell r="O4846" t="str"><v>United States</v></cell><cell r="P4846" t="str"><v>Trial</v></cell><cell r="Q4846" t="str"><v>Social</v></cell><cell r="R4846" t="str"><v>Azure</v></cell><cell r="S4846" t="str"><v>Apps & Infra</v></cell><cell r="T4846" t="str"><v>Developers & ITI's</v></cell><cell r="U4846" t="str"><v>USA-Trial-ITD-Interest Prospecting-AZR-AZR</v></cell><cell r="V4846" t="str"><v>Prospecting</v></cell><cell r="W4846" t="str"><v>Canvas Ad</v></cell><cell r="X4846" t="str"><v>1x1</v></cell></row><row r="4846"><cell r="AA4846"><v>43315</v></cell><cell r="AB4846" t="str"><v>USA_gaPMG_AZR_AZR_Q1_19_Direct-Social</v></cell><cell r="AC4846"><v>21358715</v></cell><cell r="AD4846"><v>720197</v></cell><cell r="AE4846" t="str"><v>Facebook - Instagram</v></cell><cell r="AF4846"><v>3654128</v></cell><cell r="AG4846" t="str"><v>INSTAGRAM»USA-Trial-ITD-Interest Prospecting-AZR-AZR»1 x 1»SocialBan»CAN»ALL»CPA»PRO»X»NA»SS»NA»IGCTCBrandinMotion»PRC2PB</v></cell><cell r="AH4846"><v>223862690</v></cell><cell r="AI4846" t="str"><v>AzurePlatform_IGCTCBenefit2inMotion_USA_10s_CAN_PLATFORM_English_Trial_Standard_STAN_TIN_T4_1</v></cell><cell r="AJ4846"><v>103050783</v></cell></row><row r="4847"><cell r="C4847" t="str"><v>43315INSTAGRAM»USA-Trial-ITD-Interest Prospecting-AZR-AZR»1 x 1»SocialBan»CAN»ALL»CPA»PRO»X»NA»SS»NA»IGCTCBrandinMotion»PRC2PB</v></cell><cell r="D4847" t="str"><v>43315223862690</v></cell><cell r="E4847" t="str"><v>43315103178714PRC2PB</v></cell><cell r="F4847" t="str"><v>DCM</v></cell><cell r="G4847" t="str"><v>https://azure.microsoft.com/en-us/pricing/purchase-options/?v=18.19&OCID=AID%eexcid!_OLA_%ebuy!_%epid!_%ecid!</v></cell></row><row r="4847"><cell r="K4847" t="str"><v>August</v></cell><cell r="L4847"><v>43316</v></cell><cell r="M4847" t="str"><v>Tier 0</v></cell><cell r="N4847" t="str"><v>North America</v></cell><cell r="O4847" t="str"><v>United States</v></cell><cell r="P4847" t="str"><v>Trial</v></cell><cell r="Q4847" t="str"><v>Social</v></cell><cell r="R4847" t="str"><v>Azure</v></cell><cell r="S4847" t="str"><v>Apps & Infra</v></cell><cell r="T4847" t="str"><v>Developers & ITI's</v></cell><cell r="U4847" t="str"><v>USA-Trial-ITD-Interest Prospecting-AZR-AZR</v></cell><cell r="V4847" t="str"><v>Prospecting</v></cell><cell r="W4847" t="str"><v>Canvas Ad</v></cell><cell r="X4847" t="str"><v>1x1</v></cell></row><row r="4847"><cell r="AA4847"><v>43315</v></cell><cell r="AB4847" t="str"><v>USA_gaPMG_AZR_AZR_Q1_19_Direct-Social</v></cell><cell r="AC4847"><v>21358715</v></cell><cell r="AD4847"><v>720197</v></cell><cell r="AE4847" t="str"><v>Facebook - Instagram</v></cell><cell r="AF4847"><v>3654128</v></cell><cell r="AG4847" t="str"><v>INSTAGRAM»USA-Trial-ITD-Interest Prospecting-AZR-AZR»1 x 1»SocialBan»CAN»ALL»CPA»PRO»X»NA»SS»NA»IGCTCBrandinMotion»PRC2PB</v></cell><cell r="AH4847"><v>223862690</v></cell><cell r="AI4847" t="str"><v>AzurePlatform_IGCTCBenefit2inMotion_USA_10s_CAN_PLATFORM_English_Trial_Standard_STAN_TIN_T4_2</v></cell><cell r="AJ4847"><v>103178714</v></cell></row><row r="4848"><cell r="C4848" t="str"><v>43315INSTAGRAM»USA-Trial-ITD-Trial Lookalike-AZR-AZR»1 x 1»SocialBan»CAN»ALL»CPA»LAL»X»NA»SS»NA»IGCTCBenefit2inMotion»PRC2FL</v></cell><cell r="D4848" t="str"><v>43315223935022</v></cell><cell r="E4848" t="str"><v>43315103180628PRC2FL</v></cell><cell r="F4848" t="str"><v>DCM</v></cell><cell r="G4848" t="str"><v>https://signup.azure.com/?OCID=AID%eexcid!_OLA_%ebuy!_%epid!_%ecid!</v></cell></row><row r="4848"><cell r="K4848" t="str"><v>August</v></cell><cell r="L4848"><v>43316</v></cell><cell r="M4848" t="str"><v>Tier 0</v></cell><cell r="N4848" t="str"><v>North America</v></cell><cell r="O4848" t="str"><v>United States</v></cell><cell r="P4848" t="str"><v>Trial</v></cell><cell r="Q4848" t="str"><v>Social</v></cell><cell r="R4848" t="str"><v>Azure</v></cell><cell r="S4848" t="str"><v>Apps & Infra</v></cell><cell r="T4848" t="str"><v>Developers & ITI's</v></cell><cell r="U4848" t="str"><v>USA-Trial-ITD-Trial Lookalike-AZR-AZR</v></cell><cell r="V4848" t="str"><v>Lookalike Targeting</v></cell><cell r="W4848" t="str"><v>Canvas Ad</v></cell><cell r="X4848" t="str"><v>1x1</v></cell></row><row r="4848"><cell r="AA4848"><v>43315</v></cell><cell r="AB4848" t="str"><v>USA_gaPMG_AZR_AZR_Q1_19_Direct-Social</v></cell><cell r="AC4848"><v>21358715</v></cell><cell r="AD4848"><v>720197</v></cell><cell r="AE4848" t="str"><v>Facebook - Instagram</v></cell><cell r="AF4848"><v>3654128</v></cell><cell r="AG4848" t="str"><v>INSTAGRAM»USA-Trial-ITD-Trial Lookalike-AZR-AZR»1 x 1»SocialBan»CAN»ALL»CPA»LAL»X»NA»SS»NA»IGCTCBenefit2inMotion»PRC2FL</v></cell><cell r="AH4848"><v>223935022</v></cell><cell r="AI4848" t="str"><v>AzurePlatform_IGCTCBrandinMotion_USA_10s_CAN_PLATFORM_English_Trial_Standard_STAN_TIN_T2_1</v></cell><cell r="AJ4848"><v>103180628</v></cell></row><row r="4849"><cell r="C4849" t="str"><v>43315INSTAGRAM»USA-Trial-ITD-Trial Lookalike-AZR-AZR»1 x 1»SocialBan»CAN»ALL»CPA»LAL»X»NA»SS»NA»IGCTCBenefit2inMotion»PRC2FL</v></cell><cell r="D4849" t="str"><v>43315223935022</v></cell><cell r="E4849" t="str"><v>43315103050786PRC2FL</v></cell><cell r="F4849" t="str"><v>DCM</v></cell><cell r="G4849" t="str"><v>https://azure.microsoft.com/en-us/pricing/purchase-options/?v=18.19&OCID=AID%eexcid!_OLA_%ebuy!_%epid!_%ecid!</v></cell></row><row r="4849"><cell r="K4849" t="str"><v>August</v></cell><cell r="L4849"><v>43316</v></cell><cell r="M4849" t="str"><v>Tier 0</v></cell><cell r="N4849" t="str"><v>North America</v></cell><cell r="O4849" t="str"><v>United States</v></cell><cell r="P4849" t="str"><v>Trial</v></cell><cell r="Q4849" t="str"><v>Social</v></cell><cell r="R4849" t="str"><v>Azure</v></cell><cell r="S4849" t="str"><v>Apps & Infra</v></cell><cell r="T4849" t="str"><v>Developers & ITI's</v></cell><cell r="U4849" t="str"><v>USA-Trial-ITD-Trial Lookalike-AZR-AZR</v></cell><cell r="V4849" t="str"><v>Lookalike Targeting</v></cell><cell r="W4849" t="str"><v>Canvas Ad</v></cell><cell r="X4849" t="str"><v>1x1</v></cell></row><row r="4849"><cell r="AA4849"><v>43315</v></cell><cell r="AB4849" t="str"><v>USA_gaPMG_AZR_AZR_Q1_19_Direct-Social</v></cell><cell r="AC4849"><v>21358715</v></cell><cell r="AD4849"><v>720197</v></cell><cell r="AE4849" t="str"><v>Facebook - Instagram</v></cell><cell r="AF4849"><v>3654128</v></cell><cell r="AG4849" t="str"><v>INSTAGRAM»USA-Trial-ITD-Trial Lookalike-AZR-AZR»1 x 1»SocialBan»CAN»ALL»CPA»LAL»X»NA»SS»NA»IGCTCBenefit2inMotion»PRC2FL</v></cell><cell r="AH4849"><v>223935022</v></cell><cell r="AI4849" t="str"><v>AzurePlatform_IGCTCBrandinMotion_USA_10s_CAN_PLATFORM_English_Trial_Standard_STAN_TIN_T2_2</v></cell><cell r="AJ4849"><v>103050786</v></cell></row><row r="4850"><cell r="C4850" t="str"><v>43315INSTAGRAM»USA-Trial-ITD-Trial Lookalike-AZR-AZR»1 x 1»SocialBan»CAN»ALL»CPA»LAL»X»NA»SS»NA»IGCTCBrandinMotion»PRC2FH</v></cell><cell r="D4850" t="str"><v>43315223935019</v></cell><cell r="E4850" t="str"><v>43315103050783PRC2FH</v></cell><cell r="F4850" t="str"><v>DCM</v></cell><cell r="G4850" t="str"><v>https://signup.azure.com/?OCID=AID%eexcid!_OLA_%ebuy!_%epid!_%ecid!</v></cell></row><row r="4850"><cell r="K4850" t="str"><v>August</v></cell><cell r="L4850"><v>43316</v></cell><cell r="M4850" t="str"><v>Tier 0</v></cell><cell r="N4850" t="str"><v>North America</v></cell><cell r="O4850" t="str"><v>United States</v></cell><cell r="P4850" t="str"><v>Trial</v></cell><cell r="Q4850" t="str"><v>Social</v></cell><cell r="R4850" t="str"><v>Azure</v></cell><cell r="S4850" t="str"><v>Apps & Infra</v></cell><cell r="T4850" t="str"><v>Developers & ITI's</v></cell><cell r="U4850" t="str"><v>USA-Trial-ITD-Trial Lookalike-AZR-AZR</v></cell><cell r="V4850" t="str"><v>Lookalike Targeting</v></cell><cell r="W4850" t="str"><v>Canvas Ad</v></cell><cell r="X4850" t="str"><v>1x1</v></cell></row><row r="4850"><cell r="AA4850"><v>43315</v></cell><cell r="AB4850" t="str"><v>USA_gaPMG_AZR_AZR_Q1_19_Direct-Social</v></cell><cell r="AC4850"><v>21358715</v></cell><cell r="AD4850"><v>720197</v></cell><cell r="AE4850" t="str"><v>Facebook - Instagram</v></cell><cell r="AF4850"><v>3654128</v></cell><cell r="AG4850" t="str"><v>INSTAGRAM»USA-Trial-ITD-Trial Lookalike-AZR-AZR»1 x 1»SocialBan»CAN»ALL»CPA»LAL»X»NA»SS»NA»IGCTCBrandinMotion»PRC2FH</v></cell><cell r="AH4850"><v>223935019</v></cell><cell r="AI4850" t="str"><v>AzurePlatform_IGCTCBenefit2inMotion_USA_10s_CAN_PLATFORM_English_Trial_Standard_STAN_TIN_T4_1</v></cell><cell r="AJ4850"><v>103050783</v></cell></row><row r="4851"><cell r="C4851" t="str"><v>43315INSTAGRAM»USA-Trial-ITD-Trial Lookalike-AZR-AZR»1 x 1»SocialBan»CAN»ALL»CPA»LAL»X»NA»SS»NA»IGCTCBrandinMotion»PRC2FH</v></cell><cell r="D4851" t="str"><v>43315223935019</v></cell><cell r="E4851" t="str"><v>43315103178714PRC2FH</v></cell><cell r="F4851" t="str"><v>DCM</v></cell><cell r="G4851" t="str"><v>https://azure.microsoft.com/en-us/pricing/purchase-options/?v=18.19&OCID=AID%eexcid!_OLA_%ebuy!_%epid!_%ecid!</v></cell></row><row r="4851"><cell r="K4851" t="str"><v>August</v></cell><cell r="L4851"><v>43316</v></cell><cell r="M4851" t="str"><v>Tier 0</v></cell><cell r="N4851" t="str"><v>North America</v></cell><cell r="O4851" t="str"><v>United States</v></cell><cell r="P4851" t="str"><v>Trial</v></cell><cell r="Q4851" t="str"><v>Social</v></cell><cell r="R4851" t="str"><v>Azure</v></cell><cell r="S4851" t="str"><v>Apps & Infra</v></cell><cell r="T4851" t="str"><v>Developers & ITI's</v></cell><cell r="U4851" t="str"><v>USA-Trial-ITD-Trial Lookalike-AZR-AZR</v></cell><cell r="V4851" t="str"><v>Lookalike Targeting</v></cell><cell r="W4851" t="str"><v>Canvas Ad</v></cell><cell r="X4851" t="str"><v>1x1</v></cell></row><row r="4851"><cell r="AA4851"><v>43315</v></cell><cell r="AB4851" t="str"><v>USA_gaPMG_AZR_AZR_Q1_19_Direct-Social</v></cell><cell r="AC4851"><v>21358715</v></cell><cell r="AD4851"><v>720197</v></cell><cell r="AE4851" t="str"><v>Facebook - Instagram</v></cell><cell r="AF4851"><v>3654128</v></cell><cell r="AG4851" t="str"><v>INSTAGRAM»USA-Trial-ITD-Trial Lookalike-AZR-AZR»1 x 1»SocialBan»CAN»ALL»CPA»LAL»X»NA»SS»NA»IGCTCBrandinMotion»PRC2FH</v></cell><cell r="AH4851"><v>223935019</v></cell><cell r="AI4851" t="str"><v>AzurePlatform_IGCTCBenefit2inMotion_USA_10s_CAN_PLATFORM_English_Trial_Standard_STAN_TIN_T4_2</v></cell><cell r="AJ4851"><v>103178714</v></cell></row><row r="4852"><cell r="C4852" t="str"><v>43315INSTAGRAM»USA-Trial-ITD-Trial PayGo Lookalike-AZR-AZR»1 x 1»SocialBan»CAN»ALL»CPA»LAL»X»NA»SS»NA»IGCTCBrandinMotion»PRC2FW</v></cell><cell r="D4852" t="str"><v>43315223862654</v></cell><cell r="E4852" t="str"><v>43315103050783PRC2FW</v></cell><cell r="F4852" t="str"><v>DCM</v></cell><cell r="G4852" t="str"><v>https://signup.azure.com/?OCID=AID%eexcid!_OLA_%ebuy!_%epid!_%ecid!</v></cell></row><row r="4852"><cell r="K4852" t="str"><v>August</v></cell><cell r="L4852"><v>43316</v></cell><cell r="M4852" t="str"><v>Tier 0</v></cell><cell r="N4852" t="str"><v>North America</v></cell><cell r="O4852" t="str"><v>United States</v></cell><cell r="P4852" t="str"><v>Trial</v></cell><cell r="Q4852" t="str"><v>Social</v></cell><cell r="R4852" t="str"><v>Azure</v></cell><cell r="S4852" t="str"><v>Apps & Infra</v></cell><cell r="T4852" t="str"><v>Developers & ITI's</v></cell><cell r="U4852" t="str"><v>USA-Trial-ITD-Trial PayGo Lookalike-AZR-AZR</v></cell><cell r="V4852" t="str"><v>Lookalike Targeting</v></cell><cell r="W4852" t="str"><v>Canvas Ad</v></cell><cell r="X4852" t="str"><v>1x1</v></cell></row><row r="4852"><cell r="AA4852"><v>43315</v></cell><cell r="AB4852" t="str"><v>USA_gaPMG_AZR_AZR_Q1_19_Direct-Social</v></cell><cell r="AC4852"><v>21358715</v></cell><cell r="AD4852"><v>720197</v></cell><cell r="AE4852" t="str"><v>Facebook - Instagram</v></cell><cell r="AF4852"><v>3654128</v></cell><cell r="AG4852" t="str"><v>INSTAGRAM»USA-Trial-ITD-Trial PayGo Lookalike-AZR-AZR»1 x 1»SocialBan»CAN»ALL»CPA»LAL»X»NA»SS»NA»IGCTCBrandinMotion»PRC2FW</v></cell><cell r="AH4852"><v>223862654</v></cell><cell r="AI4852" t="str"><v>AzurePlatform_IGCTCBenefit2inMotion_USA_10s_CAN_PLATFORM_English_Trial_Standard_STAN_TIN_T4_1</v></cell><cell r="AJ4852"><v>103050783</v></cell></row><row r="4853"><cell r="C4853" t="str"><v>43315INSTAGRAM»USA-Trial-ITD-Trial PayGo Lookalike-AZR-AZR»1 x 1»SocialBan»CAN»ALL»CPA»LAL»X»NA»SS»NA»IGCTCBrandinMotion»PRC2FW</v></cell><cell r="D4853" t="str"><v>43315223862654</v></cell><cell r="E4853" t="str"><v>43315103178714PRC2FW</v></cell><cell r="F4853" t="str"><v>DCM</v></cell><cell r="G4853" t="str"><v>https://azure.microsoft.com/en-us/pricing/purchase-options/?v=18.19&OCID=AID%eexcid!_OLA_%ebuy!_%epid!_%ecid!</v></cell></row><row r="4853"><cell r="K4853" t="str"><v>August</v></cell><cell r="L4853"><v>43316</v></cell><cell r="M4853" t="str"><v>Tier 0</v></cell><cell r="N4853" t="str"><v>North America</v></cell><cell r="O4853" t="str"><v>United States</v></cell><cell r="P4853" t="str"><v>Trial</v></cell><cell r="Q4853" t="str"><v>Social</v></cell><cell r="R4853" t="str"><v>Azure</v></cell><cell r="S4853" t="str"><v>Apps & Infra</v></cell><cell r="T4853" t="str"><v>Developers & ITI's</v></cell><cell r="U4853" t="str"><v>USA-Trial-ITD-Trial PayGo Lookalike-AZR-AZR</v></cell><cell r="V4853" t="str"><v>Lookalike Targeting</v></cell><cell r="W4853" t="str"><v>Canvas Ad</v></cell><cell r="X4853" t="str"><v>1x1</v></cell></row><row r="4853"><cell r="AA4853"><v>43315</v></cell><cell r="AB4853" t="str"><v>USA_gaPMG_AZR_AZR_Q1_19_Direct-Social</v></cell><cell r="AC4853"><v>21358715</v></cell><cell r="AD4853"><v>720197</v></cell><cell r="AE4853" t="str"><v>Facebook - Instagram</v></cell><cell r="AF4853"><v>3654128</v></cell><cell r="AG4853" t="str"><v>INSTAGRAM»USA-Trial-ITD-Trial PayGo Lookalike-AZR-AZR»1 x 1»SocialBan»CAN»ALL»CPA»LAL»X»NA»SS»NA»IGCTCBrandinMotion»PRC2FW</v></cell><cell r="AH4853"><v>223862654</v></cell><cell r="AI4853" t="str"><v>AzurePlatform_IGCTCBenefit2inMotion_USA_10s_CAN_PLATFORM_English_Trial_Standard_STAN_TIN_T4_2</v></cell><cell r="AJ4853"><v>103178714</v></cell></row><row r="4854"><cell r="C4854" t="str"><v>43315INSTAGRAM»USA-Trial-ITD-Trial PayGo Lookalike-AZR-AZR»1 x 1»SocialBan»CAN»ALL»CPA»LAL»X»NA»SS»NA»IGCTCBenefit2inMotion»PRC2FZ</v></cell><cell r="D4854" t="str"><v>43315223933075</v></cell><cell r="E4854" t="str"><v>43315103180628PRC2FZ</v></cell><cell r="F4854" t="str"><v>DCM</v></cell><cell r="G4854" t="str"><v>https://signup.azure.com/?OCID=AID%eexcid!_OLA_%ebuy!_%epid!_%ecid!</v></cell></row><row r="4854"><cell r="K4854" t="str"><v>August</v></cell><cell r="L4854"><v>43316</v></cell><cell r="M4854" t="str"><v>Tier 0</v></cell><cell r="N4854" t="str"><v>North America</v></cell><cell r="O4854" t="str"><v>United States</v></cell><cell r="P4854" t="str"><v>Trial</v></cell><cell r="Q4854" t="str"><v>Social</v></cell><cell r="R4854" t="str"><v>Azure</v></cell><cell r="S4854" t="str"><v>Apps & Infra</v></cell><cell r="T4854" t="str"><v>Developers & ITI's</v></cell><cell r="U4854" t="str"><v>USA-Trial-ITD-Trial PayGo Lookalike-AZR-AZR</v></cell><cell r="V4854" t="str"><v>Lookalike Targeting</v></cell><cell r="W4854" t="str"><v>Canvas Ad</v></cell><cell r="X4854" t="str"><v>1x1</v></cell></row><row r="4854"><cell r="AA4854"><v>43315</v></cell><cell r="AB4854" t="str"><v>USA_gaPMG_AZR_AZR_Q1_19_Direct-Social</v></cell><cell r="AC4854"><v>21358715</v></cell><cell r="AD4854"><v>720197</v></cell><cell r="AE4854" t="str"><v>Facebook - Instagram</v></cell><cell r="AF4854"><v>3654128</v></cell><cell r="AG4854" t="str"><v>INSTAGRAM»USA-Trial-ITD-Trial PayGo Lookalike-AZR-AZR»1 x 1»SocialBan»CAN»ALL»CPA»LAL»X»NA»SS»NA»IGCTCBenefit2inMotion»PRC2FZ</v></cell><cell r="AH4854"><v>223933075</v></cell><cell r="AI4854" t="str"><v>AzurePlatform_IGCTCBrandinMotion_USA_10s_CAN_PLATFORM_English_Trial_Standard_STAN_TIN_T2_1</v></cell><cell r="AJ4854"><v>103180628</v></cell></row><row r="4855"><cell r="C4855" t="str"><v>43315INSTAGRAM»USA-Trial-ITD-Interest Prospecting-AZR-AZR»1 x 1»SocialBan»CAN»ALL»CPA»PRO»X»NA»SS»NA»IGCTCBasicMotion»PRC2PF</v></cell><cell r="D4855" t="str"><v>43315224106621</v></cell><cell r="E4855" t="str"><v>43315103037968PRC2PF</v></cell><cell r="F4855" t="str"><v>DCM</v></cell><cell r="G4855" t="str"><v>https://signup.azure.com/?OCID=AID%eexcid!_OLA_%ebuy!_%epid!_%ecid!</v></cell></row><row r="4855"><cell r="K4855" t="str"><v>August</v></cell><cell r="L4855"><v>43316</v></cell><cell r="M4855" t="str"><v>Tier 0</v></cell><cell r="N4855" t="str"><v>North America</v></cell><cell r="O4855" t="str"><v>United States</v></cell><cell r="P4855" t="str"><v>Trial</v></cell><cell r="Q4855" t="str"><v>Social</v></cell><cell r="R4855" t="str"><v>Azure</v></cell><cell r="S4855" t="str"><v>Apps & Infra</v></cell><cell r="T4855" t="str"><v>Developers & ITI's</v></cell><cell r="U4855" t="str"><v>USA-Trial-ITD-Interest Prospecting-AZR-AZR</v></cell><cell r="V4855" t="str"><v>Prospecting</v></cell><cell r="W4855" t="str"><v>Canvas Ad</v></cell><cell r="X4855" t="str"><v>1x1</v></cell></row><row r="4855"><cell r="AA4855"><v>43315</v></cell><cell r="AB4855" t="str"><v>USA_gaPMG_AZR_AZR_Q1_19_Direct-Social</v></cell><cell r="AC4855"><v>21358715</v></cell><cell r="AD4855"><v>720197</v></cell><cell r="AE4855" t="str"><v>Facebook - Instagram</v></cell><cell r="AF4855"><v>3654128</v></cell><cell r="AG4855" t="str"><v>INSTAGRAM»USA-Trial-ITD-Interest Prospecting-AZR-AZR»1 x 1»SocialBan»CAN»ALL»CPA»PRO»X»NA»SS»NA»IGCTCBasicMotion»PRC2PF</v></cell><cell r="AH4855"><v>224106621</v></cell><cell r="AI4855" t="str"><v>AzurePlatform_IGCTCBasicMotion_USA_10s_CAN_PLATFORM_English_Trial_Standard_STAN_TIN_T1_1</v></cell><cell r="AJ4855"><v>103037968</v></cell></row><row r="4856"><cell r="C4856" t="str"><v>43315INSTAGRAM»USA-Trial-ITD-Interest Prospecting-AZR-AZR»1 x 1»SocialBan»CAN»ALL»CPA»PRO»X»NA»SS»NA»IGCTCBasicMotion»PRC2PF</v></cell><cell r="D4856" t="str"><v>43315224106621</v></cell><cell r="E4856" t="str"><v>43315103037974PRC2PF</v></cell><cell r="F4856" t="str"><v>DCM</v></cell><cell r="G4856" t="str"><v>https://azure.microsoft.com/en-us/pricing/purchase-options/?v=18.19&OCID=AID%eexcid!_OLA_%ebuy!_%epid!_%ecid!</v></cell></row><row r="4856"><cell r="K4856" t="str"><v>August</v></cell><cell r="L4856"><v>43316</v></cell><cell r="M4856" t="str"><v>Tier 0</v></cell><cell r="N4856" t="str"><v>North America</v></cell><cell r="O4856" t="str"><v>United States</v></cell><cell r="P4856" t="str"><v>Trial</v></cell><cell r="Q4856" t="str"><v>Social</v></cell><cell r="R4856" t="str"><v>Azure</v></cell><cell r="S4856" t="str"><v>Apps & Infra</v></cell><cell r="T4856" t="str"><v>Developers & ITI's</v></cell><cell r="U4856" t="str"><v>USA-Trial-ITD-Interest Prospecting-AZR-AZR</v></cell><cell r="V4856" t="str"><v>Prospecting</v></cell><cell r="W4856" t="str"><v>Canvas Ad</v></cell><cell r="X4856" t="str"><v>1x1</v></cell></row><row r="4856"><cell r="AA4856"><v>43315</v></cell><cell r="AB4856" t="str"><v>USA_gaPMG_AZR_AZR_Q1_19_Direct-Social</v></cell><cell r="AC4856"><v>21358715</v></cell><cell r="AD4856"><v>720197</v></cell><cell r="AE4856" t="str"><v>Facebook - Instagram</v></cell><cell r="AF4856"><v>3654128</v></cell><cell r="AG4856" t="str"><v>INSTAGRAM»USA-Trial-ITD-Interest Prospecting-AZR-AZR»1 x 1»SocialBan»CAN»ALL»CPA»PRO»X»NA»SS»NA»IGCTCBasicMotion»PRC2PF</v></cell><cell r="AH4856"><v>224106621</v></cell><cell r="AI4856" t="str"><v>AzurePlatform_IGCTCBasicMotion_USA_10s_CAN_PLATFORM_English_Trial_Standard_STAN_TIN_T1_2</v></cell><cell r="AJ4856"><v>103037974</v></cell></row><row r="4857"><cell r="C4857" t="str"><v>43315INSTAGRAM»USA-Trial-ITD-Interest Prospecting-AZR-AZR»1 x 1»SocialBan»CAN»ALL»CPA»PRO»X»NA»SS»NA»IGCTCBenefitinMotion»PRC2PC</v></cell><cell r="D4857" t="str"><v>43315224104878</v></cell><cell r="E4857" t="str"><v>43315103050780PRC2PC</v></cell><cell r="F4857" t="str"><v>DCM</v></cell><cell r="G4857" t="str"><v>https://signup.azure.com/?OCID=AID%eexcid!_OLA_%ebuy!_%epid!_%ecid!</v></cell></row><row r="4857"><cell r="K4857" t="str"><v>August</v></cell><cell r="L4857"><v>43316</v></cell><cell r="M4857" t="str"><v>Tier 0</v></cell><cell r="N4857" t="str"><v>North America</v></cell><cell r="O4857" t="str"><v>United States</v></cell><cell r="P4857" t="str"><v>Trial</v></cell><cell r="Q4857" t="str"><v>Social</v></cell><cell r="R4857" t="str"><v>Azure</v></cell><cell r="S4857" t="str"><v>Apps & Infra</v></cell><cell r="T4857" t="str"><v>Developers & ITI's</v></cell><cell r="U4857" t="str"><v>USA-Trial-ITD-Interest Prospecting-AZR-AZR</v></cell><cell r="V4857" t="str"><v>Prospecting</v></cell><cell r="W4857" t="str"><v>Canvas Ad</v></cell><cell r="X4857" t="str"><v>1x1</v></cell></row><row r="4857"><cell r="AA4857"><v>43315</v></cell><cell r="AB4857" t="str"><v>USA_gaPMG_AZR_AZR_Q1_19_Direct-Social</v></cell><cell r="AC4857"><v>21358715</v></cell><cell r="AD4857"><v>720197</v></cell><cell r="AE4857" t="str"><v>Facebook - Instagram</v></cell><cell r="AF4857"><v>3654128</v></cell><cell r="AG4857" t="str"><v>INSTAGRAM»USA-Trial-ITD-Interest Prospecting-AZR-AZR»1 x 1»SocialBan»CAN»ALL»CPA»PRO»X»NA»SS»NA»IGCTCBenefitinMotion»PRC2PC</v></cell><cell r="AH4857"><v>224104878</v></cell><cell r="AI4857" t="str"><v>AzurePlatform_IGCTCBenefitinMotion_USA_10s_CAN_PLATFORM_English_Trial_Standard_STAN_TIN_T3_1</v></cell><cell r="AJ4857"><v>103050780</v></cell></row><row r="4858"><cell r="C4858" t="str"><v>43315INSTAGRAM»USA-Trial-ITD-Trial Lookalike-AZR-AZR»1 x 1»SocialBan»CAN»ALL»CPA»LAL»X»NA»SS»NA»IGCTCBasicMotion»PRC0C2</v></cell><cell r="D4858" t="str"><v>43315224107017</v></cell><cell r="E4858" t="str"><v>43315103037968PRC0C2</v></cell><cell r="F4858" t="str"><v>DCM</v></cell><cell r="G4858" t="str"><v>https://signup.azure.com/?OCID=AID%eexcid!_OLA_%ebuy!_%epid!_%ecid!</v></cell></row><row r="4858"><cell r="K4858" t="str"><v>August</v></cell><cell r="L4858"><v>43316</v></cell><cell r="M4858" t="str"><v>Tier 0</v></cell><cell r="N4858" t="str"><v>North America</v></cell><cell r="O4858" t="str"><v>United States</v></cell><cell r="P4858" t="str"><v>Trial</v></cell><cell r="Q4858" t="str"><v>Social</v></cell><cell r="R4858" t="str"><v>Azure</v></cell><cell r="S4858" t="str"><v>Apps & Infra</v></cell><cell r="T4858" t="str"><v>Developers & ITI's</v></cell><cell r="U4858" t="str"><v>USA-Trial-ITD-Trial Lookalike-AZR-AZR</v></cell><cell r="V4858" t="str"><v>Lookalike Targeting</v></cell><cell r="W4858" t="str"><v>Canvas Ad</v></cell><cell r="X4858" t="str"><v>1x1</v></cell></row><row r="4858"><cell r="AA4858"><v>43315</v></cell><cell r="AB4858" t="str"><v>USA_gaPMG_AZR_AZR_Q1_19_Direct-Social</v></cell><cell r="AC4858"><v>21358715</v></cell><cell r="AD4858"><v>720197</v></cell><cell r="AE4858" t="str"><v>Facebook - Instagram</v></cell><cell r="AF4858"><v>3654128</v></cell><cell r="AG4858" t="str"><v>INSTAGRAM»USA-Trial-ITD-Trial Lookalike-AZR-AZR»1 x 1»SocialBan»CAN»ALL»CPA»LAL»X»NA»SS»NA»IGCTCBasicMotion»PRC0C2</v></cell><cell r="AH4858"><v>224107017</v></cell><cell r="AI4858" t="str"><v>AzurePlatform_IGCTCBasicMotion_USA_10s_CAN_PLATFORM_English_Trial_Standard_STAN_TIN_T1_1</v></cell><cell r="AJ4858"><v>103037968</v></cell></row><row r="4859"><cell r="C4859" t="str"><v>43315INSTAGRAM»USA-Trial-ITD-Trial Lookalike-AZR-AZR»1 x 1»SocialBan»CAN»ALL»CPA»LAL»X»NA»SS»NA»IGCTCBasicMotion»PRC0C2</v></cell><cell r="D4859" t="str"><v>43315224107017</v></cell><cell r="E4859" t="str"><v>43315103037974PRC0C2</v></cell><cell r="F4859" t="str"><v>DCM</v></cell><cell r="G4859" t="str"><v>https://azure.microsoft.com/en-us/pricing/purchase-options/?v=18.19&OCID=AID%eexcid!_OLA_%ebuy!_%epid!_%ecid!</v></cell></row><row r="4859"><cell r="K4859" t="str"><v>August</v></cell><cell r="L4859"><v>43316</v></cell><cell r="M4859" t="str"><v>Tier 0</v></cell><cell r="N4859" t="str"><v>North America</v></cell><cell r="O4859" t="str"><v>United States</v></cell><cell r="P4859" t="str"><v>Trial</v></cell><cell r="Q4859" t="str"><v>Social</v></cell><cell r="R4859" t="str"><v>Azure</v></cell><cell r="S4859" t="str"><v>Apps & Infra</v></cell><cell r="T4859" t="str"><v>Developers & ITI's</v></cell><cell r="U4859" t="str"><v>USA-Trial-ITD-Trial Lookalike-AZR-AZR</v></cell><cell r="V4859" t="str"><v>Lookalike Targeting</v></cell><cell r="W4859" t="str"><v>Canvas Ad</v></cell><cell r="X4859" t="str"><v>1x1</v></cell></row><row r="4859"><cell r="AA4859"><v>43315</v></cell><cell r="AB4859" t="str"><v>USA_gaPMG_AZR_AZR_Q1_19_Direct-Social</v></cell><cell r="AC4859"><v>21358715</v></cell><cell r="AD4859"><v>720197</v></cell><cell r="AE4859" t="str"><v>Facebook - Instagram</v></cell><cell r="AF4859"><v>3654128</v></cell><cell r="AG4859" t="str"><v>INSTAGRAM»USA-Trial-ITD-Trial Lookalike-AZR-AZR»1 x 1»SocialBan»CAN»ALL»CPA»LAL»X»NA»SS»NA»IGCTCBasicMotion»PRC0C2</v></cell><cell r="AH4859"><v>224107017</v></cell><cell r="AI4859" t="str"><v>AzurePlatform_IGCTCBasicMotion_USA_10s_CAN_PLATFORM_English_Trial_Standard_STAN_TIN_T1_2</v></cell><cell r="AJ4859"><v>103037974</v></cell></row><row r="4860"><cell r="C4860" t="str"><v>43315INSTAGRAM»USA-Trial-ITD-Trial Lookalike-AZR-AZR»1 x 1»SocialBan»CAN»ALL»CPA»LAL»X»NA»SS»NA»IGCTCBenefitinMotion»PRC2FK</v></cell><cell r="D4860" t="str"><v>43315224107542</v></cell><cell r="E4860" t="str"><v>43315103180637PRC2FK</v></cell><cell r="F4860" t="str"><v>DCM</v></cell><cell r="G4860" t="str"><v>https://azure.microsoft.com/en-us/pricing/purchase-options/?v=18.19&OCID=AID%eexcid!_OLA_%ebuy!_%epid!_%ecid!</v></cell></row><row r="4860"><cell r="K4860" t="str"><v>August</v></cell><cell r="L4860"><v>43316</v></cell><cell r="M4860" t="str"><v>Tier 0</v></cell><cell r="N4860" t="str"><v>North America</v></cell><cell r="O4860" t="str"><v>United States</v></cell><cell r="P4860" t="str"><v>Trial</v></cell><cell r="Q4860" t="str"><v>Social</v></cell><cell r="R4860" t="str"><v>Azure</v></cell><cell r="S4860" t="str"><v>Apps & Infra</v></cell><cell r="T4860" t="str"><v>Developers & ITI's</v></cell><cell r="U4860" t="str"><v>USA-Trial-ITD-Trial Lookalike-AZR-AZR</v></cell><cell r="V4860" t="str"><v>Lookalike Targeting</v></cell><cell r="W4860" t="str"><v>Canvas Ad</v></cell><cell r="X4860" t="str"><v>1x1</v></cell></row><row r="4860"><cell r="AA4860"><v>43315</v></cell><cell r="AB4860" t="str"><v>USA_gaPMG_AZR_AZR_Q1_19_Direct-Social</v></cell><cell r="AC4860"><v>21358715</v></cell><cell r="AD4860"><v>720197</v></cell><cell r="AE4860" t="str"><v>Facebook - Instagram</v></cell><cell r="AF4860"><v>3654128</v></cell><cell r="AG4860" t="str"><v>INSTAGRAM»USA-Trial-ITD-Trial Lookalike-AZR-AZR»1 x 1»SocialBan»CAN»ALL»CPA»LAL»X»NA»SS»NA»IGCTCBenefitinMotion»PRC2FK</v></cell><cell r="AH4860"><v>224107542</v></cell><cell r="AI4860" t="str"><v>AzurePlatform_IGCTCBenefitinMotion_USA_10s_CAN_PLATFORM_English_Trial_Standard_STAN_TIN_T3_2</v></cell><cell r="AJ4860"><v>103180637</v></cell></row><row r="4861"><cell r="C4861" t="str"><v>43315INSTAGRAM»USA-Trial-ITD-Trial PayGo Lookalike-AZR-AZR»1 x 1»SocialBan»CAN»ALL»CPA»LAL»X»NA»SS»NA»IGCTCBasicMotion»PRC2G0</v></cell><cell r="D4861" t="str"><v>43315224106891</v></cell><cell r="E4861" t="str"><v>43315103037968PRC2G0</v></cell><cell r="F4861" t="str"><v>DCM</v></cell><cell r="G4861" t="str"><v>https://signup.azure.com/?OCID=AID%eexcid!_OLA_%ebuy!_%epid!_%ecid!</v></cell></row><row r="4861"><cell r="K4861" t="str"><v>August</v></cell><cell r="L4861"><v>43316</v></cell><cell r="M4861" t="str"><v>Tier 0</v></cell><cell r="N4861" t="str"><v>North America</v></cell><cell r="O4861" t="str"><v>United States</v></cell><cell r="P4861" t="str"><v>Trial</v></cell><cell r="Q4861" t="str"><v>Social</v></cell><cell r="R4861" t="str"><v>Azure</v></cell><cell r="S4861" t="str"><v>Apps & Infra</v></cell><cell r="T4861" t="str"><v>Developers & ITI's</v></cell><cell r="U4861" t="str"><v>USA-Trial-ITD-Trial PayGo Lookalike-AZR-AZR</v></cell><cell r="V4861" t="str"><v>Lookalike Targeting</v></cell><cell r="W4861" t="str"><v>Canvas Ad</v></cell><cell r="X4861" t="str"><v>1x1</v></cell></row><row r="4861"><cell r="AA4861"><v>43315</v></cell><cell r="AB4861" t="str"><v>USA_gaPMG_AZR_AZR_Q1_19_Direct-Social</v></cell><cell r="AC4861"><v>21358715</v></cell><cell r="AD4861"><v>720197</v></cell><cell r="AE4861" t="str"><v>Facebook - Instagram</v></cell><cell r="AF4861"><v>3654128</v></cell><cell r="AG4861" t="str"><v>INSTAGRAM»USA-Trial-ITD-Trial PayGo Lookalike-AZR-AZR»1 x 1»SocialBan»CAN»ALL»CPA»LAL»X»NA»SS»NA»IGCTCBasicMotion»PRC2G0</v></cell><cell r="AH4861"><v>224106891</v></cell><cell r="AI4861" t="str"><v>AzurePlatform_IGCTCBasicMotion_USA_10s_CAN_PLATFORM_English_Trial_Standard_STAN_TIN_T1_1</v></cell><cell r="AJ4861"><v>103037968</v></cell></row><row r="4862"><cell r="C4862" t="str"><v>43315INSTAGRAM»USA-Trial-ITD-Trial PayGo Lookalike-AZR-AZR»1 x 1»SocialBan»CAN»ALL»CPA»LAL»X»NA»SS»NA»IGCTCBasicMotion»PRC2G0</v></cell><cell r="D4862" t="str"><v>43315224106891</v></cell><cell r="E4862" t="str"><v>43315103037974PRC2G0</v></cell><cell r="F4862" t="str"><v>DCM</v></cell><cell r="G4862" t="str"><v>https://azure.microsoft.com/en-us/pricing/purchase-options/?v=18.19&OCID=AID%eexcid!_OLA_%ebuy!_%epid!_%ecid!</v></cell></row><row r="4862"><cell r="K4862" t="str"><v>August</v></cell><cell r="L4862"><v>43316</v></cell><cell r="M4862" t="str"><v>Tier 0</v></cell><cell r="N4862" t="str"><v>North America</v></cell><cell r="O4862" t="str"><v>United States</v></cell><cell r="P4862" t="str"><v>Trial</v></cell><cell r="Q4862" t="str"><v>Social</v></cell><cell r="R4862" t="str"><v>Azure</v></cell><cell r="S4862" t="str"><v>Apps & Infra</v></cell><cell r="T4862" t="str"><v>Developers & ITI's</v></cell><cell r="U4862" t="str"><v>USA-Trial-ITD-Trial PayGo Lookalike-AZR-AZR</v></cell><cell r="V4862" t="str"><v>Lookalike Targeting</v></cell><cell r="W4862" t="str"><v>Canvas Ad</v></cell><cell r="X4862" t="str"><v>1x1</v></cell></row><row r="4862"><cell r="AA4862"><v>43315</v></cell><cell r="AB4862" t="str"><v>USA_gaPMG_AZR_AZR_Q1_19_Direct-Social</v></cell><cell r="AC4862"><v>21358715</v></cell><cell r="AD4862"><v>720197</v></cell><cell r="AE4862" t="str"><v>Facebook - Instagram</v></cell><cell r="AF4862"><v>3654128</v></cell><cell r="AG4862" t="str"><v>INSTAGRAM»USA-Trial-ITD-Trial PayGo Lookalike-AZR-AZR»1 x 1»SocialBan»CAN»ALL»CPA»LAL»X»NA»SS»NA»IGCTCBasicMotion»PRC2G0</v></cell><cell r="AH4862"><v>224106891</v></cell><cell r="AI4862" t="str"><v>AzurePlatform_IGCTCBasicMotion_USA_10s_CAN_PLATFORM_English_Trial_Standard_STAN_TIN_T1_2</v></cell><cell r="AJ4862"><v>103037974</v></cell></row><row r="4863"><cell r="C4863" t="str"><v>43316Facebook»Audience & Interest Targeting»1x1»Canvas»OTH»DT»DYN»AUT»W»NA»SS»NA»FBCTCcanvaspage-StartFreeCTA_FBCTCcanvaspage-BuyNowCTA</v></cell><cell r="D4863" t="str"><v>43316224639151</v></cell><cell r="E4863" t="str"><v>43316103316832NowCTA</v></cell><cell r="F4863" t="str"><v>DCM</v></cell><cell r="G4863" t="str"><v>https://azure.microsoft.com/en-au/pricing/purchase-options/</v></cell></row><row r="4863"><cell r="K4863" t="str"><v>August</v></cell><cell r="L4863"><v>43316</v></cell><cell r="M4863" t="str"><v>Tier 1</v></cell><cell r="N4863" t="str"><v>APAC</v></cell><cell r="O4863" t="str"><v>Australia</v></cell><cell r="P4863" t="str"><v>Trial</v></cell><cell r="Q4863" t="str"><v>Social</v></cell><cell r="R4863" t="str"><v>Azure</v></cell><cell r="S4863" t="str"><v>Apps & Infra</v></cell><cell r="T4863" t="str"><v>Developers & ITI's</v></cell><cell r="U4863" t="str"><v>Audience & Interest Targeting</v></cell><cell r="V4863" t="str"><v>Audience Targeting</v></cell><cell r="W4863" t="str"><v>Other</v></cell><cell r="X4863" t="str"><v>1x1</v></cell></row><row r="4863"><cell r="AA4863"><v>43316</v></cell><cell r="AB4863" t="str"><v>AUS_gaPMG_AZR_AZR_Q1_19_Trial-Social</v></cell><cell r="AC4863"><v>21358568</v></cell><cell r="AD4863"><v>720191</v></cell><cell r="AE4863" t="str"><v>Facebook</v></cell><cell r="AF4863"><v>3654128</v></cell><cell r="AG4863" t="str"><v>Facebook»Audience & Interest Targeting»1x1»Canvas»OTH»DT»DYN»AUT»W»NA»SS»NA»FBCTCcanvaspage-StartFreeCTA_FBCTCcanvaspage-BuyNowCTA</v></cell><cell r="AH4863"><v>224639151</v></cell><cell r="AI4863" t="str"><v>AzurePlatform_FBCTCcanvaspage-BuyNowCTA-Img3_AUS_1080x162_SOC_Plat_English_NA_Standard_NA_BN_T3_1</v></cell><cell r="AJ4863"><v>103316832</v></cell></row><row r="4864"><cell r="C4864" t="str"><v>43316Facebook»Audience & Interest Targeting»1x1»Canvas»OTH»DT»DYN»AUT»W»NA»SS»NA»FBCTCcanvaspage-StartFreeCTA_FBCTCcanvaspage-BuyNowCTA</v></cell><cell r="D4864" t="str"><v>43316224639151</v></cell><cell r="E4864" t="str"><v>43316103316829NowCTA</v></cell><cell r="F4864" t="str"><v>DCM</v></cell><cell r="G4864" t="str"><v>https://signup.azure.com/signup?offer=ms-azr-0044p&appId=102&ref=paidmedia-social-fb&redirectURL=https%3a%2f%2fazure.microsoft.com%2fen-au%2fget-started%2fwelcome-to-azure%2f&l=en-au&correlationId=ead86c34-1f10-49dd-a72b-6918462a2cbf</v></cell></row><row r="4864"><cell r="K4864" t="str"><v>August</v></cell><cell r="L4864"><v>43316</v></cell><cell r="M4864" t="str"><v>Tier 1</v></cell><cell r="N4864" t="str"><v>APAC</v></cell><cell r="O4864" t="str"><v>Australia</v></cell><cell r="P4864" t="str"><v>Trial</v></cell><cell r="Q4864" t="str"><v>Social</v></cell><cell r="R4864" t="str"><v>Azure</v></cell><cell r="S4864" t="str"><v>Apps & Infra</v></cell><cell r="T4864" t="str"><v>Developers & ITI's</v></cell><cell r="U4864" t="str"><v>Audience & Interest Targeting</v></cell><cell r="V4864" t="str"><v>Audience Targeting</v></cell><cell r="W4864" t="str"><v>Other</v></cell><cell r="X4864" t="str"><v>1x1</v></cell></row><row r="4864"><cell r="AA4864"><v>43316</v></cell><cell r="AB4864" t="str"><v>AUS_gaPMG_AZR_AZR_Q1_19_Trial-Social</v></cell><cell r="AC4864"><v>21358568</v></cell><cell r="AD4864"><v>720191</v></cell><cell r="AE4864" t="str"><v>Facebook</v></cell><cell r="AF4864"><v>3654128</v></cell><cell r="AG4864" t="str"><v>Facebook»Audience & Interest Targeting»1x1»Canvas»OTH»DT»DYN»AUT»W»NA»SS»NA»FBCTCcanvaspage-StartFreeCTA_FBCTCcanvaspage-BuyNowCTA</v></cell><cell r="AH4864"><v>224639151</v></cell><cell r="AI4864" t="str"><v>AzurePlatform_FBCTCcanvaspage-StartFreeCTA-Img2_AUS_1080x143 _SOC_Plat_English_NA_Standard_NA_NA_T2_1</v></cell><cell r="AJ4864"><v>103316829</v></cell></row><row r="4865"><cell r="C4865" t="str"><v>43316Facebook»Audience & Interest Targeting»1x1»TextLink»OTH»DT»DYN»AUT»W»NA»SS»NA»Free Account Refresh- 12 months ChE</v></cell><cell r="D4865" t="str"><v>43316224160783</v></cell><cell r="E4865" t="str"><v>43316103051614hs ChE</v></cell><cell r="F4865" t="str"><v>DCM</v></cell></row><row r="4865"><cell r="K4865" t="str"><v>August</v></cell><cell r="L4865"><v>43316</v></cell><cell r="M4865" t="str"><v>Tier 1</v></cell><cell r="N4865" t="str"><v>APAC</v></cell><cell r="O4865" t="str"><v>Australia</v></cell><cell r="P4865" t="str"><v>Trial</v></cell><cell r="Q4865" t="str"><v>Social</v></cell><cell r="R4865" t="str"><v>Azure</v></cell><cell r="S4865" t="str"><v>Apps & Infra</v></cell><cell r="T4865" t="str"><v>Developers & ITI's</v></cell><cell r="U4865" t="str"><v>Audience & Interest Targeting</v></cell><cell r="V4865" t="str"><v>Audience Targeting</v></cell><cell r="W4865" t="str"><v>Other</v></cell><cell r="X4865" t="str"><v>1x1</v></cell></row><row r="4865"><cell r="AA4865"><v>43316</v></cell><cell r="AB4865" t="str"><v>AUS_gaPMG_AZR_AZR_Q1_19_Trial-Social</v></cell><cell r="AC4865"><v>21358568</v></cell><cell r="AD4865"><v>720191</v></cell><cell r="AE4865" t="str"><v>Facebook</v></cell><cell r="AF4865"><v>3654128</v></cell><cell r="AG4865" t="str"><v>Facebook»Audience & Interest Targeting»1x1»TextLink»OTH»DT»DYN»AUT»W»NA»SS»NA»Free Account Refresh- 12 months ChE</v></cell><cell r="AH4865"><v>224160783</v></cell><cell r="AI4865" t="str"><v>AzurePlatform_FreeAcctAppsFACEBOOK12monthsChE_AUS_1200x628_SOC_PLAT_EN_Trial_Standard_NA_SNU_T5_1</v></cell><cell r="AJ4865"><v>103051614</v></cell></row><row r="4866"><cell r="C4866" t="str"><v>43316Facebook»Audience & Interest Targeting»1x1»TextLink»OTH»DT»DYN»AUT»W»NA»SS»NA»Free Account Refresh- 200 Credit ChD</v></cell><cell r="D4866" t="str"><v>43316224160780</v></cell><cell r="E4866" t="str"><v>43316103186904it ChD</v></cell><cell r="F4866" t="str"><v>DCM</v></cell></row><row r="4866"><cell r="K4866" t="str"><v>August</v></cell><cell r="L4866"><v>43316</v></cell><cell r="M4866" t="str"><v>Tier 1</v></cell><cell r="N4866" t="str"><v>APAC</v></cell><cell r="O4866" t="str"><v>Australia</v></cell><cell r="P4866" t="str"><v>Trial</v></cell><cell r="Q4866" t="str"><v>Social</v></cell><cell r="R4866" t="str"><v>Azure</v></cell><cell r="S4866" t="str"><v>Apps & Infra</v></cell><cell r="T4866" t="str"><v>Developers & ITI's</v></cell><cell r="U4866" t="str"><v>Audience & Interest Targeting</v></cell><cell r="V4866" t="str"><v>Audience Targeting</v></cell><cell r="W4866" t="str"><v>Other</v></cell><cell r="X4866" t="str"><v>1x1</v></cell></row><row r="4866"><cell r="AA4866"><v>43316</v></cell><cell r="AB4866" t="str"><v>AUS_gaPMG_AZR_AZR_Q1_19_Trial-Social</v></cell><cell r="AC4866"><v>21358568</v></cell><cell r="AD4866"><v>720191</v></cell><cell r="AE4866" t="str"><v>Facebook</v></cell><cell r="AF4866"><v>3654128</v></cell><cell r="AG4866" t="str"><v>Facebook»Audience & Interest Targeting»1x1»TextLink»OTH»DT»DYN»AUT»W»NA»SS»NA»Free Account Refresh- 200 Credit ChD</v></cell><cell r="AH4866"><v>224160780</v></cell><cell r="AI4866" t="str"><v>AzurePlatform_FreeAcctAppsFACEBOOK200CreditChD_AUS_1200x628_SOC_PLAT_EN_Trial_Standard_NA_SNU_T4_1</v></cell><cell r="AJ4866"><v>103186904</v></cell></row><row r="4867"><cell r="C4867" t="str"><v>43316Facebook»Audience & Interest Targeting»1x1»TextLink»OTH»DT»DYN»AUT»W»NA»SS»NA»Free Account Refresh- Device ChB</v></cell><cell r="D4867" t="str"><v>43316224160777</v></cell><cell r="E4867" t="str"><v>43316103048479ce ChB</v></cell><cell r="F4867" t="str"><v>DCM</v></cell></row><row r="4867"><cell r="K4867" t="str"><v>August</v></cell><cell r="L4867"><v>43316</v></cell><cell r="M4867" t="str"><v>Tier 1</v></cell><cell r="N4867" t="str"><v>APAC</v></cell><cell r="O4867" t="str"><v>Australia</v></cell><cell r="P4867" t="str"><v>Trial</v></cell><cell r="Q4867" t="str"><v>Social</v></cell><cell r="R4867" t="str"><v>Azure</v></cell><cell r="S4867" t="str"><v>Apps & Infra</v></cell><cell r="T4867" t="str"><v>Developers & ITI's</v></cell><cell r="U4867" t="str"><v>Audience & Interest Targeting</v></cell><cell r="V4867" t="str"><v>Audience Targeting</v></cell><cell r="W4867" t="str"><v>Other</v></cell><cell r="X4867" t="str"><v>1x1</v></cell></row><row r="4867"><cell r="AA4867"><v>43316</v></cell><cell r="AB4867" t="str"><v>AUS_gaPMG_AZR_AZR_Q1_19_Trial-Social</v></cell><cell r="AC4867"><v>21358568</v></cell><cell r="AD4867"><v>720191</v></cell><cell r="AE4867" t="str"><v>Facebook</v></cell><cell r="AF4867"><v>3654128</v></cell><cell r="AG4867" t="str"><v>Facebook»Audience & Interest Targeting»1x1»TextLink»OTH»DT»DYN»AUT»W»NA»SS»NA»Free Account Refresh- Device ChB</v></cell><cell r="AH4867"><v>224160777</v></cell><cell r="AI4867" t="str"><v>AzurePlatform_FreeAcctAppsFACEBOOKDeviceChB_AUS_1200x628_SOC_PLAT_EN_Trial_Standard_NA_SNU_T2_1</v></cell><cell r="AJ4867"><v>103048479</v></cell></row><row r="4868"><cell r="C4868" t="str"><v>43316Facebook»Audience & Interest Targeting»1x1»TextLink»OTH»DT»DYN»AUT»W»NA»SS»NA»Free Account Refresh- Illustration ChC</v></cell><cell r="D4868" t="str"><v>43316224160774</v></cell><cell r="E4868" t="str"><v>43316103186910on ChC</v></cell><cell r="F4868" t="str"><v>DCM</v></cell></row><row r="4868"><cell r="K4868" t="str"><v>August</v></cell><cell r="L4868"><v>43316</v></cell><cell r="M4868" t="str"><v>Tier 1</v></cell><cell r="N4868" t="str"><v>APAC</v></cell><cell r="O4868" t="str"><v>Australia</v></cell><cell r="P4868" t="str"><v>Trial</v></cell><cell r="Q4868" t="str"><v>Social</v></cell><cell r="R4868" t="str"><v>Azure</v></cell><cell r="S4868" t="str"><v>Apps & Infra</v></cell><cell r="T4868" t="str"><v>Developers & ITI's</v></cell><cell r="U4868" t="str"><v>Audience & Interest Targeting</v></cell><cell r="V4868" t="str"><v>Audience Targeting</v></cell><cell r="W4868" t="str"><v>Other</v></cell><cell r="X4868" t="str"><v>1x1</v></cell></row><row r="4868"><cell r="AA4868"><v>43316</v></cell><cell r="AB4868" t="str"><v>AUS_gaPMG_AZR_AZR_Q1_19_Trial-Social</v></cell><cell r="AC4868"><v>21358568</v></cell><cell r="AD4868"><v>720191</v></cell><cell r="AE4868" t="str"><v>Facebook</v></cell><cell r="AF4868"><v>3654128</v></cell><cell r="AG4868" t="str"><v>Facebook»Audience & Interest Targeting»1x1»TextLink»OTH»DT»DYN»AUT»W»NA»SS»NA»Free Account Refresh- Illustration ChC</v></cell><cell r="AH4868"><v>224160774</v></cell><cell r="AI4868" t="str"><v>AzurePlatform_FreeAcctAppsFACEBOOKIllustrationChC_AUS_1200x628_SOC_PLAT_EN_Trial_Standard_NA_SNU_T3_1</v></cell><cell r="AJ4868"><v>103186910</v></cell></row><row r="4869"><cell r="C4869" t="str"><v>43316Facebook»Audience & Interest Targeting»1x1»TextLink»OTH»DT»DYN»AUT»W»NA»SS»NA»Free Account Refresh- Lifestyle ChA</v></cell><cell r="D4869" t="str"><v>43316224160771</v></cell><cell r="E4869" t="str"><v>43316103048488le ChA</v></cell><cell r="F4869" t="str"><v>DCM</v></cell></row><row r="4869"><cell r="K4869" t="str"><v>August</v></cell><cell r="L4869"><v>43316</v></cell><cell r="M4869" t="str"><v>Tier 1</v></cell><cell r="N4869" t="str"><v>APAC</v></cell><cell r="O4869" t="str"><v>Australia</v></cell><cell r="P4869" t="str"><v>Trial</v></cell><cell r="Q4869" t="str"><v>Social</v></cell><cell r="R4869" t="str"><v>Azure</v></cell><cell r="S4869" t="str"><v>Apps & Infra</v></cell><cell r="T4869" t="str"><v>Developers & ITI's</v></cell><cell r="U4869" t="str"><v>Audience & Interest Targeting</v></cell><cell r="V4869" t="str"><v>Audience Targeting</v></cell><cell r="W4869" t="str"><v>Other</v></cell><cell r="X4869" t="str"><v>1x1</v></cell></row><row r="4869"><cell r="AA4869"><v>43316</v></cell><cell r="AB4869" t="str"><v>AUS_gaPMG_AZR_AZR_Q1_19_Trial-Social</v></cell><cell r="AC4869"><v>21358568</v></cell><cell r="AD4869"><v>720191</v></cell><cell r="AE4869" t="str"><v>Facebook</v></cell><cell r="AF4869"><v>3654128</v></cell><cell r="AG4869" t="str"><v>Facebook»Audience & Interest Targeting»1x1»TextLink»OTH»DT»DYN»AUT»W»NA»SS»NA»Free Account Refresh- Lifestyle ChA</v></cell><cell r="AH4869"><v>224160771</v></cell><cell r="AI4869" t="str"><v>AzurePlatform_FreeAcctAppsFACEBOOKLifestyleChA_AUS_1200x628_SOC_PLAT_EN_Trial_Standard_NA_SNU_T1_1</v></cell><cell r="AJ4869"><v>103048488</v></cell></row><row r="4870"><cell r="C4870" t="str"><v>43316Facebook»LAL»1x1»TextLink»SOC»DT»DYN»LAL»W»NA»SS»NA»Free Account Refresh- 200 Credit ChD</v></cell><cell r="D4870" t="str"><v>43316224160720</v></cell><cell r="E4870" t="str"><v>43316103186907it ChD</v></cell><cell r="F4870" t="str"><v>DCM</v></cell><cell r="G4870" t="str"><v>https://azure.microsoft.com/en-au/free/open-source/search/</v></cell></row><row r="4870"><cell r="K4870" t="str"><v>August</v></cell><cell r="L4870"><v>43316</v></cell><cell r="M4870" t="str"><v>Tier 1</v></cell><cell r="N4870" t="str"><v>APAC</v></cell><cell r="O4870" t="str"><v>Australia</v></cell><cell r="P4870" t="str"><v>Trial</v></cell><cell r="Q4870" t="str"><v>Social</v></cell><cell r="R4870" t="str"><v>Azure</v></cell><cell r="S4870" t="str"><v>Apps & Infra</v></cell><cell r="T4870" t="str"><v>Developers & ITI's</v></cell><cell r="U4870" t="str"><v>LAL</v></cell><cell r="V4870" t="str"><v>Lookalike Targeting</v></cell><cell r="W4870" t="str"><v>Social</v></cell><cell r="X4870" t="str"><v>1x1</v></cell></row><row r="4870"><cell r="AA4870"><v>43316</v></cell><cell r="AB4870" t="str"><v>AUS_gaPMG_AZR_AZR_Q1_19_Trial-Social</v></cell><cell r="AC4870"><v>21358568</v></cell><cell r="AD4870"><v>720191</v></cell><cell r="AE4870" t="str"><v>Facebook</v></cell><cell r="AF4870"><v>3654128</v></cell><cell r="AG4870" t="str"><v>Facebook»LAL»1x1»TextLink»SOC»DT»DYN»LAL»W»NA»SS»NA»Free Account Refresh- 200 Credit ChD</v></cell><cell r="AH4870"><v>224160720</v></cell><cell r="AI4870" t="str"><v>AzurePlatform_FreeAcctRetargetingOSSFB-Logos-ChG_AUS_1200x628_SOC_Plat_EN_Free Account_Standard_NA_SNU_T2_1</v></cell><cell r="AJ4870"><v>103186907</v></cell></row><row r="4871"><cell r="C4871" t="str"><v>43316Facebook»LAL»1x1»TextLink»SOC»DT»DYN»LAL»W»NA»SS»NA»Free Account Refresh- Device ChB</v></cell><cell r="D4871" t="str"><v>43316224160717</v></cell><cell r="E4871" t="str"><v>43316103048485ce ChB</v></cell><cell r="F4871" t="str"><v>DCM</v></cell><cell r="G4871" t="str"><v>https://azure.microsoft.com/en-au/free/open-source/search/</v></cell></row><row r="4871"><cell r="K4871" t="str"><v>August</v></cell><cell r="L4871"><v>43316</v></cell><cell r="M4871" t="str"><v>Tier 1</v></cell><cell r="N4871" t="str"><v>APAC</v></cell><cell r="O4871" t="str"><v>Australia</v></cell><cell r="P4871" t="str"><v>Trial</v></cell><cell r="Q4871" t="str"><v>Social</v></cell><cell r="R4871" t="str"><v>Azure</v></cell><cell r="S4871" t="str"><v>Apps & Infra</v></cell><cell r="T4871" t="str"><v>Developers & ITI's</v></cell><cell r="U4871" t="str"><v>LAL</v></cell><cell r="V4871" t="str"><v>Lookalike Targeting</v></cell><cell r="W4871" t="str"><v>Social</v></cell><cell r="X4871" t="str"><v>1x1</v></cell></row><row r="4871"><cell r="AA4871"><v>43316</v></cell><cell r="AB4871" t="str"><v>AUS_gaPMG_AZR_AZR_Q1_19_Trial-Social</v></cell><cell r="AC4871"><v>21358568</v></cell><cell r="AD4871"><v>720191</v></cell><cell r="AE4871" t="str"><v>Facebook</v></cell><cell r="AF4871"><v>3654128</v></cell><cell r="AG4871" t="str"><v>Facebook»LAL»1x1»TextLink»SOC»DT»DYN»LAL»W»NA»SS»NA»Free Account Refresh- Device ChB</v></cell><cell r="AH4871"><v>224160717</v></cell><cell r="AI4871" t="str"><v>AzurePlatform_FreeAcctRetargetingOSSFB-Text-ChF_AUS_1200x628_SOC_Plat_EN_Free Account_Standard_NA_SNU_T1_1</v></cell><cell r="AJ4871"><v>103048485</v></cell></row><row r="4872"><cell r="C4872" t="str"><v>43316Facebook»LAL»1x1»TextLink»SOC»DT»DYN»LAL»W»NA»SS»NA»Free Account Refresh- Illustration ChC</v></cell><cell r="D4872" t="str"><v>43316224160714</v></cell><cell r="E4872" t="str"><v>43316103186916on ChC</v></cell><cell r="F4872" t="str"><v>DCM</v></cell><cell r="G4872" t="str"><v>https://azure.microsoft.com/en-au/free/virtual-machines/search/</v></cell></row><row r="4872"><cell r="K4872" t="str"><v>August</v></cell><cell r="L4872"><v>43316</v></cell><cell r="M4872" t="str"><v>Tier 1</v></cell><cell r="N4872" t="str"><v>APAC</v></cell><cell r="O4872" t="str"><v>Australia</v></cell><cell r="P4872" t="str"><v>Trial</v></cell><cell r="Q4872" t="str"><v>Social</v></cell><cell r="R4872" t="str"><v>Azure</v></cell><cell r="S4872" t="str"><v>Apps & Infra</v></cell><cell r="T4872" t="str"><v>Developers & ITI's</v></cell><cell r="U4872" t="str"><v>LAL</v></cell><cell r="V4872" t="str"><v>Lookalike Targeting</v></cell><cell r="W4872" t="str"><v>Social</v></cell><cell r="X4872" t="str"><v>1x1</v></cell></row><row r="4872"><cell r="AA4872"><v>43316</v></cell><cell r="AB4872" t="str"><v>AUS_gaPMG_AZR_AZR_Q1_19_Trial-Social</v></cell><cell r="AC4872"><v>21358568</v></cell><cell r="AD4872"><v>720191</v></cell><cell r="AE4872" t="str"><v>Facebook</v></cell><cell r="AF4872"><v>3654128</v></cell><cell r="AG4872" t="str"><v>Facebook»LAL»1x1»TextLink»SOC»DT»DYN»LAL»W»NA»SS»NA»Free Account Refresh- Illustration ChC</v></cell><cell r="AH4872"><v>224160714</v></cell><cell r="AI4872" t="str"><v>AzurePlatform_FreeAcctRetargetingVMFB-750Hrs-ChD_AUS_1200x628_SOC_Plat_EN_Free Account_Standard_NA_SNU_T1_1</v></cell><cell r="AJ4872"><v>103186916</v></cell></row><row r="4873"><cell r="C4873" t="str"><v>43316Facebook»LAL»1x1»TextLink»SOC»DT»DYN»LAL»W»NA»SS»NA»Free Account Refresh- Lifestyle ChA</v></cell><cell r="D4873" t="str"><v>43316224160711</v></cell><cell r="E4873" t="str"><v>43316103048491le ChA</v></cell><cell r="F4873" t="str"><v>DCM</v></cell><cell r="G4873" t="str"><v>https://azure.microsoft.com/en-au/free/virtual-machines/search/</v></cell></row><row r="4873"><cell r="K4873" t="str"><v>August</v></cell><cell r="L4873"><v>43316</v></cell><cell r="M4873" t="str"><v>Tier 1</v></cell><cell r="N4873" t="str"><v>APAC</v></cell><cell r="O4873" t="str"><v>Australia</v></cell><cell r="P4873" t="str"><v>Trial</v></cell><cell r="Q4873" t="str"><v>Social</v></cell><cell r="R4873" t="str"><v>Azure</v></cell><cell r="S4873" t="str"><v>Apps & Infra</v></cell><cell r="T4873" t="str"><v>Developers & ITI's</v></cell><cell r="U4873" t="str"><v>LAL</v></cell><cell r="V4873" t="str"><v>Lookalike Targeting</v></cell><cell r="W4873" t="str"><v>Social</v></cell><cell r="X4873" t="str"><v>1x1</v></cell></row><row r="4873"><cell r="AA4873"><v>43316</v></cell><cell r="AB4873" t="str"><v>AUS_gaPMG_AZR_AZR_Q1_19_Trial-Social</v></cell><cell r="AC4873"><v>21358568</v></cell><cell r="AD4873"><v>720191</v></cell><cell r="AE4873" t="str"><v>Facebook</v></cell><cell r="AF4873"><v>3654128</v></cell><cell r="AG4873" t="str"><v>Facebook»LAL»1x1»TextLink»SOC»DT»DYN»LAL»W»NA»SS»NA»Free Account Refresh- Lifestyle ChA</v></cell><cell r="AH4873"><v>224160711</v></cell><cell r="AI4873" t="str"><v>AzurePlatform_FreeAcctRetargetingVMFB-OnDemand-ChE_AUS_1200x628_SOC_Plat_EN_Free Account_Standard_NA_SNU_T2_1</v></cell><cell r="AJ4873"><v>103048491</v></cell></row><row r="4874"><cell r="C4874" t="str"><v>43316Facebook»Retargeting»1x1»TextLink»SOC»DT»DYN»RT»W»NA»SS»NA»Free Account Refresh- 200 Credit ChD</v></cell><cell r="D4874" t="str"><v>43316224160738</v></cell><cell r="E4874" t="str"><v>43316103186904it ChD</v></cell><cell r="F4874" t="str"><v>DCM</v></cell></row><row r="4874"><cell r="K4874" t="str"><v>August</v></cell><cell r="L4874"><v>43316</v></cell><cell r="M4874" t="str"><v>Tier 1</v></cell><cell r="N4874" t="str"><v>APAC</v></cell><cell r="O4874" t="str"><v>Australia</v></cell><cell r="P4874" t="str"><v>Trial</v></cell><cell r="Q4874" t="str"><v>Social</v></cell><cell r="R4874" t="str"><v>Azure</v></cell><cell r="S4874" t="str"><v>Apps & Infra</v></cell><cell r="T4874" t="str"><v>Developers & ITI's</v></cell><cell r="U4874" t="str"><v>Retargeting</v></cell><cell r="V4874" t="str"><v>Retargeting</v></cell><cell r="W4874" t="str"><v>Social</v></cell><cell r="X4874" t="str"><v>1x1</v></cell></row><row r="4874"><cell r="AA4874"><v>43316</v></cell><cell r="AB4874" t="str"><v>AUS_gaPMG_AZR_AZR_Q1_19_Trial-Social</v></cell><cell r="AC4874"><v>21358568</v></cell><cell r="AD4874"><v>720191</v></cell><cell r="AE4874" t="str"><v>Facebook</v></cell><cell r="AF4874"><v>3654128</v></cell><cell r="AG4874" t="str"><v>Facebook»Retargeting»1x1»TextLink»SOC»DT»DYN»RT»W»NA»SS»NA»Free Account Refresh- 200 Credit ChD</v></cell><cell r="AH4874"><v>224160738</v></cell><cell r="AI4874" t="str"><v>AzurePlatform_FreeAcctAppsFACEBOOK200CreditChD_AUS_1200x628_SOC_PLAT_EN_Trial_Standard_NA_SNU_T4_1</v></cell><cell r="AJ4874"><v>103186904</v></cell></row><row r="4875"><cell r="C4875" t="str"><v>43316Facebook»Retargeting»1x1»TextLink»SOC»DT»DYN»RT»W»NA»SS»NA»Free Account Refresh- Device ChB</v></cell><cell r="D4875" t="str"><v>43316224160735</v></cell><cell r="E4875" t="str"><v>43316103048479ce ChB</v></cell><cell r="F4875" t="str"><v>DCM</v></cell></row><row r="4875"><cell r="K4875" t="str"><v>August</v></cell><cell r="L4875"><v>43316</v></cell><cell r="M4875" t="str"><v>Tier 1</v></cell><cell r="N4875" t="str"><v>APAC</v></cell><cell r="O4875" t="str"><v>Australia</v></cell><cell r="P4875" t="str"><v>Trial</v></cell><cell r="Q4875" t="str"><v>Social</v></cell><cell r="R4875" t="str"><v>Azure</v></cell><cell r="S4875" t="str"><v>Apps & Infra</v></cell><cell r="T4875" t="str"><v>Developers & ITI's</v></cell><cell r="U4875" t="str"><v>Retargeting</v></cell><cell r="V4875" t="str"><v>Retargeting</v></cell><cell r="W4875" t="str"><v>Social</v></cell><cell r="X4875" t="str"><v>1x1</v></cell></row><row r="4875"><cell r="AA4875"><v>43316</v></cell><cell r="AB4875" t="str"><v>AUS_gaPMG_AZR_AZR_Q1_19_Trial-Social</v></cell><cell r="AC4875"><v>21358568</v></cell><cell r="AD4875"><v>720191</v></cell><cell r="AE4875" t="str"><v>Facebook</v></cell><cell r="AF4875"><v>3654128</v></cell><cell r="AG4875" t="str"><v>Facebook»Retargeting»1x1»TextLink»SOC»DT»DYN»RT»W»NA»SS»NA»Free Account Refresh- Device ChB</v></cell><cell r="AH4875"><v>224160735</v></cell><cell r="AI4875" t="str"><v>AzurePlatform_FreeAcctAppsFACEBOOKDeviceChB_AUS_1200x628_SOC_PLAT_EN_Trial_Standard_NA_SNU_T2_1</v></cell><cell r="AJ4875"><v>103048479</v></cell></row><row r="4876"><cell r="C4876" t="str"><v>43316Facebook»Retargeting»1x1»TextLink»SOC»DT»DYN»RT»W»NA»SS»NA»Free Account Refresh- Illustration ChC</v></cell><cell r="D4876" t="str"><v>43316224160732</v></cell><cell r="E4876" t="str"><v>43316103186910on ChC</v></cell><cell r="F4876" t="str"><v>DCM</v></cell></row><row r="4876"><cell r="K4876" t="str"><v>August</v></cell><cell r="L4876"><v>43316</v></cell><cell r="M4876" t="str"><v>Tier 1</v></cell><cell r="N4876" t="str"><v>APAC</v></cell><cell r="O4876" t="str"><v>Australia</v></cell><cell r="P4876" t="str"><v>Trial</v></cell><cell r="Q4876" t="str"><v>Social</v></cell><cell r="R4876" t="str"><v>Azure</v></cell><cell r="S4876" t="str"><v>Apps & Infra</v></cell><cell r="T4876" t="str"><v>Developers & ITI's</v></cell><cell r="U4876" t="str"><v>Retargeting</v></cell><cell r="V4876" t="str"><v>Retargeting</v></cell><cell r="W4876" t="str"><v>Social</v></cell><cell r="X4876" t="str"><v>1x1</v></cell></row><row r="4876"><cell r="AA4876"><v>43316</v></cell><cell r="AB4876" t="str"><v>AUS_gaPMG_AZR_AZR_Q1_19_Trial-Social</v></cell><cell r="AC4876"><v>21358568</v></cell><cell r="AD4876"><v>720191</v></cell><cell r="AE4876" t="str"><v>Facebook</v></cell><cell r="AF4876"><v>3654128</v></cell><cell r="AG4876" t="str"><v>Facebook»Retargeting»1x1»TextLink»SOC»DT»DYN»RT»W»NA»SS»NA»Free Account Refresh- Illustration ChC</v></cell><cell r="AH4876"><v>224160732</v></cell><cell r="AI4876" t="str"><v>AzurePlatform_FreeAcctAppsFACEBOOKIllustrationChC_AUS_1200x628_SOC_PLAT_EN_Trial_Standard_NA_SNU_T3_1</v></cell><cell r="AJ4876"><v>103186910</v></cell></row><row r="4877"><cell r="C4877" t="str"><v>43316Facebook»Retargeting»1x1»TextLink»SOC»DT»DYN»RT»W»NA»SS»NA»Free Account Refresh- Lifestyle ChA</v></cell><cell r="D4877" t="str"><v>43316224160729</v></cell><cell r="E4877" t="str"><v>43316103048488le ChA</v></cell><cell r="F4877" t="str"><v>DCM</v></cell></row><row r="4877"><cell r="K4877" t="str"><v>August</v></cell><cell r="L4877"><v>43316</v></cell><cell r="M4877" t="str"><v>Tier 1</v></cell><cell r="N4877" t="str"><v>APAC</v></cell><cell r="O4877" t="str"><v>Australia</v></cell><cell r="P4877" t="str"><v>Trial</v></cell><cell r="Q4877" t="str"><v>Social</v></cell><cell r="R4877" t="str"><v>Azure</v></cell><cell r="S4877" t="str"><v>Apps & Infra</v></cell><cell r="T4877" t="str"><v>Developers & ITI's</v></cell><cell r="U4877" t="str"><v>Retargeting</v></cell><cell r="V4877" t="str"><v>Retargeting</v></cell><cell r="W4877" t="str"><v>Social</v></cell><cell r="X4877" t="str"><v>1x1</v></cell></row><row r="4877"><cell r="AA4877"><v>43316</v></cell><cell r="AB4877" t="str"><v>AUS_gaPMG_AZR_AZR_Q1_19_Trial-Social</v></cell><cell r="AC4877"><v>21358568</v></cell><cell r="AD4877"><v>720191</v></cell><cell r="AE4877" t="str"><v>Facebook</v></cell><cell r="AF4877"><v>3654128</v></cell><cell r="AG4877" t="str"><v>Facebook»Retargeting»1x1»TextLink»SOC»DT»DYN»RT»W»NA»SS»NA»Free Account Refresh- Lifestyle ChA</v></cell><cell r="AH4877"><v>224160729</v></cell><cell r="AI4877" t="str"><v>AzurePlatform_FreeAcctAppsFACEBOOKLifestyleChA_AUS_1200x628_SOC_PLAT_EN_Trial_Standard_NA_SNU_T1_1</v></cell><cell r="AJ4877"><v>103048488</v></cell></row><row r="4878"><cell r="C4878" t="str"><v>43316Facebook»AZR»1x1»NA»EGV»ALL»DYN»AUT»D»All»SS»NA»Free Acc CTC - T1 - EN</v></cell><cell r="D4878" t="str"><v>43316223684451</v></cell><cell r="E4878" t="str"><v>433161029018821 - EN</v></cell><cell r="F4878" t="str"><v>DCM</v></cell><cell r="G4878" t="str"><v>https://signup.azure.com/</v></cell></row><row r="4878"><cell r="K4878" t="str"><v>August</v></cell><cell r="L4878"><v>43316</v></cell><cell r="M4878" t="str"><v>Tier 1</v></cell><cell r="N4878" t="str"><v>North America</v></cell><cell r="O4878" t="str"><v>Canada</v></cell><cell r="P4878" t="str"><v>Trial</v></cell><cell r="Q4878" t="str"><v>Social</v></cell><cell r="R4878" t="str"><v>Azure</v></cell><cell r="S4878" t="str"><v>Apps & Infra</v></cell><cell r="T4878" t="str"><v>Developers & ITI's</v></cell><cell r="U4878" t="str"><v>AZR</v></cell><cell r="V4878" t="str"><v>Audience Targeting</v></cell><cell r="W4878" t="str"><v>Engagement Video</v></cell><cell r="X4878" t="str"><v>1x1</v></cell></row><row r="4878"><cell r="AA4878"><v>43316</v></cell><cell r="AB4878" t="str"><v>CAN_gaPMG_AZR_AZR_Q1_19_Trial-Social</v></cell><cell r="AC4878"><v>21337220</v></cell><cell r="AD4878"><v>720192</v></cell><cell r="AE4878" t="str"><v>Facebook</v></cell><cell r="AF4878"><v>3654128</v></cell><cell r="AG4878" t="str"><v>Facebook»AZR»1x1»NA»EGV»ALL»DYN»AUT»D»All»SS»NA»Free Acc CTC - T1 - EN</v></cell><cell r="AH4878"><v>223684451</v></cell><cell r="AI4878" t="str"><v>AzurePlatform_FBCTCBasicMotion_CAN_10s_ISV_PLAT_English_Trial_Standard_STAN_TN_T1_1</v></cell><cell r="AJ4878"><v>102901882</v></cell></row><row r="4879"><cell r="C4879" t="str"><v>43316Facebook»AZR»1x1»NA»EGV»ALL»DYN»AUT»D»All»SS»NA»Free Acc CTC - T1 - FR</v></cell><cell r="D4879" t="str"><v>43316223691801</v></cell><cell r="E4879" t="str"><v>433161030533231 - FR</v></cell><cell r="F4879" t="str"><v>DCM</v></cell><cell r="G4879" t="str"><v>https://signup.azure.com/</v></cell></row><row r="4879"><cell r="K4879" t="str"><v>August</v></cell><cell r="L4879"><v>43316</v></cell><cell r="M4879" t="str"><v>Tier 1</v></cell><cell r="N4879" t="str"><v>North America</v></cell><cell r="O4879" t="str"><v>Canada</v></cell><cell r="P4879" t="str"><v>Trial</v></cell><cell r="Q4879" t="str"><v>Social</v></cell><cell r="R4879" t="str"><v>Azure</v></cell><cell r="S4879" t="str"><v>Apps & Infra</v></cell><cell r="T4879" t="str"><v>Developers & ITI's</v></cell><cell r="U4879" t="str"><v>AZR</v></cell><cell r="V4879" t="str"><v>Audience Targeting</v></cell><cell r="W4879" t="str"><v>Engagement Video</v></cell><cell r="X4879" t="str"><v>1x1</v></cell></row><row r="4879"><cell r="AA4879"><v>43316</v></cell><cell r="AB4879" t="str"><v>CAN_gaPMG_AZR_AZR_Q1_19_Trial-Social</v></cell><cell r="AC4879"><v>21337220</v></cell><cell r="AD4879"><v>720192</v></cell><cell r="AE4879" t="str"><v>Facebook</v></cell><cell r="AF4879"><v>3654128</v></cell><cell r="AG4879" t="str"><v>Facebook»AZR»1x1»NA»EGV»ALL»DYN»AUT»D»All»SS»NA»Free Acc CTC - T1 - FR</v></cell><cell r="AH4879"><v>223691801</v></cell><cell r="AI4879" t="str"><v>AzurePlatform_FBCTCBasicMotion_CAN_10s_ISV_PLAT_FR_Trial_Standard_STAN_TN_T1_1</v></cell><cell r="AJ4879"><v>103053323</v></cell></row><row r="4880"><cell r="C4880" t="str"><v>43316Facebook»AZR»1x1»NA»EGV»ALL»DYN»AUT»D»All»SS»NA»Free Acc CTC - T2 - EN</v></cell><cell r="D4880" t="str"><v>43316223691840</v></cell><cell r="E4880" t="str"><v>433161029029502 - EN</v></cell><cell r="F4880" t="str"><v>DCM</v></cell><cell r="G4880" t="str"><v>https://signup.azure.com/</v></cell></row><row r="4880"><cell r="K4880" t="str"><v>August</v></cell><cell r="L4880"><v>43316</v></cell><cell r="M4880" t="str"><v>Tier 1</v></cell><cell r="N4880" t="str"><v>North America</v></cell><cell r="O4880" t="str"><v>Canada</v></cell><cell r="P4880" t="str"><v>Trial</v></cell><cell r="Q4880" t="str"><v>Social</v></cell><cell r="R4880" t="str"><v>Azure</v></cell><cell r="S4880" t="str"><v>Apps & Infra</v></cell><cell r="T4880" t="str"><v>Developers & ITI's</v></cell><cell r="U4880" t="str"><v>AZR</v></cell><cell r="V4880" t="str"><v>Audience Targeting</v></cell><cell r="W4880" t="str"><v>Engagement Video</v></cell><cell r="X4880" t="str"><v>1x1</v></cell></row><row r="4880"><cell r="AA4880"><v>43316</v></cell><cell r="AB4880" t="str"><v>CAN_gaPMG_AZR_AZR_Q1_19_Trial-Social</v></cell><cell r="AC4880"><v>21337220</v></cell><cell r="AD4880"><v>720192</v></cell><cell r="AE4880" t="str"><v>Facebook</v></cell><cell r="AF4880"><v>3654128</v></cell><cell r="AG4880" t="str"><v>Facebook»AZR»1x1»NA»EGV»ALL»DYN»AUT»D»All»SS»NA»Free Acc CTC - T2 - EN</v></cell><cell r="AH4880"><v>223691840</v></cell><cell r="AI4880" t="str"><v>AzurePlatform_FBCTCBrandinMotion_CAN_12s_ISV_PLAT_English_Trial_Standard_STAN_TN_T2_1</v></cell><cell r="AJ4880"><v>102902950</v></cell></row><row r="4881"><cell r="C4881" t="str"><v>43316Facebook»AZR»1x1»NA»EGV»ALL»DYN»AUT»D»All»SS»NA»Free Acc CTC - T2 - FR</v></cell><cell r="D4881" t="str"><v>43316223691798</v></cell><cell r="E4881" t="str"><v>433161029163472 - FR</v></cell><cell r="F4881" t="str"><v>DCM</v></cell><cell r="G4881" t="str"><v>https://signup.azure.com/</v></cell></row><row r="4881"><cell r="K4881" t="str"><v>August</v></cell><cell r="L4881"><v>43316</v></cell><cell r="M4881" t="str"><v>Tier 1</v></cell><cell r="N4881" t="str"><v>North America</v></cell><cell r="O4881" t="str"><v>Canada</v></cell><cell r="P4881" t="str"><v>Trial</v></cell><cell r="Q4881" t="str"><v>Social</v></cell><cell r="R4881" t="str"><v>Azure</v></cell><cell r="S4881" t="str"><v>Apps & Infra</v></cell><cell r="T4881" t="str"><v>Developers & ITI's</v></cell><cell r="U4881" t="str"><v>AZR</v></cell><cell r="V4881" t="str"><v>Audience Targeting</v></cell><cell r="W4881" t="str"><v>Engagement Video</v></cell><cell r="X4881" t="str"><v>1x1</v></cell></row><row r="4881"><cell r="AA4881"><v>43316</v></cell><cell r="AB4881" t="str"><v>CAN_gaPMG_AZR_AZR_Q1_19_Trial-Social</v></cell><cell r="AC4881"><v>21337220</v></cell><cell r="AD4881"><v>720192</v></cell><cell r="AE4881" t="str"><v>Facebook</v></cell><cell r="AF4881"><v>3654128</v></cell><cell r="AG4881" t="str"><v>Facebook»AZR»1x1»NA»EGV»ALL»DYN»AUT»D»All»SS»NA»Free Acc CTC - T2 - FR</v></cell><cell r="AH4881"><v>223691798</v></cell><cell r="AI4881" t="str"><v>AzurePlatform_FBCTCBrandinMotion_CAN_12s_ISV_PLAT_FR_Trial_Standard_STAN_TN_T2_1</v></cell><cell r="AJ4881"><v>102916347</v></cell></row><row r="4882"><cell r="C4882" t="str"><v>43316Facebook»AZR»1x1»NA»EGV»ALL»DYN»AUT»D»All»SS»NA»Free Acc CTC - T4 - EN</v></cell><cell r="D4882" t="str"><v>43316223691837</v></cell><cell r="E4882" t="str"><v>433161030533144 - EN</v></cell><cell r="F4882" t="str"><v>DCM</v></cell><cell r="G4882" t="str"><v>https://signup.azure.com/</v></cell></row><row r="4882"><cell r="K4882" t="str"><v>August</v></cell><cell r="L4882"><v>43316</v></cell><cell r="M4882" t="str"><v>Tier 1</v></cell><cell r="N4882" t="str"><v>North America</v></cell><cell r="O4882" t="str"><v>Canada</v></cell><cell r="P4882" t="str"><v>Trial</v></cell><cell r="Q4882" t="str"><v>Social</v></cell><cell r="R4882" t="str"><v>Azure</v></cell><cell r="S4882" t="str"><v>Apps & Infra</v></cell><cell r="T4882" t="str"><v>Developers & ITI's</v></cell><cell r="U4882" t="str"><v>AZR</v></cell><cell r="V4882" t="str"><v>Audience Targeting</v></cell><cell r="W4882" t="str"><v>Engagement Video</v></cell><cell r="X4882" t="str"><v>1x1</v></cell></row><row r="4882"><cell r="AA4882"><v>43316</v></cell><cell r="AB4882" t="str"><v>CAN_gaPMG_AZR_AZR_Q1_19_Trial-Social</v></cell><cell r="AC4882"><v>21337220</v></cell><cell r="AD4882"><v>720192</v></cell><cell r="AE4882" t="str"><v>Facebook</v></cell><cell r="AF4882"><v>3654128</v></cell><cell r="AG4882" t="str"><v>Facebook»AZR»1x1»NA»EGV»ALL»DYN»AUT»D»All»SS»NA»Free Acc CTC - T4 - EN</v></cell><cell r="AH4882"><v>223691837</v></cell><cell r="AI4882" t="str"><v>AzurePlatform_FBCTCBenefit2inMotion_CAN_14s_ISV_PLAT_English_Trial_Standard_STAN_TN_T4_1</v></cell><cell r="AJ4882"><v>103053314</v></cell></row><row r="4883"><cell r="C4883" t="str"><v>43316Facebook»AZR»1x1»NA»SOC»ALL»DYN»PRO»D»All»SS»NA»Canvas - Buy Now - FR</v></cell><cell r="D4883" t="str"><v>43316225322324</v></cell><cell r="E4883" t="str"><v>43316103789915w - FR</v></cell><cell r="F4883" t="str"><v>DCM</v></cell><cell r="G4883" t="str"><v>https://azure.microsoft.com/fr-ca/pricing/purchase-options/</v></cell></row><row r="4883"><cell r="K4883" t="str"><v>August</v></cell><cell r="L4883"><v>43316</v></cell><cell r="M4883" t="str"><v>Tier 1</v></cell><cell r="N4883" t="str"><v>North America</v></cell><cell r="O4883" t="str"><v>Canada</v></cell><cell r="P4883" t="str"><v>Trial</v></cell><cell r="Q4883" t="str"><v>Social</v></cell><cell r="R4883" t="str"><v>Azure</v></cell><cell r="S4883" t="str"><v>Apps & Infra</v></cell><cell r="T4883" t="str"><v>Developers & ITI's</v></cell><cell r="U4883" t="str"><v>AZR</v></cell><cell r="V4883" t="str"><v>Prospecting</v></cell><cell r="W4883" t="str"><v>Social</v></cell><cell r="X4883" t="str"><v>1x1</v></cell></row><row r="4883"><cell r="AA4883"><v>43316</v></cell><cell r="AB4883" t="str"><v>CAN_gaPMG_AZR_AZR_Q1_19_Trial-Social</v></cell><cell r="AC4883"><v>21337220</v></cell><cell r="AD4883"><v>720192</v></cell><cell r="AE4883" t="str"><v>Facebook</v></cell><cell r="AF4883"><v>3654128</v></cell><cell r="AG4883" t="str"><v>Facebook»AZR»1x1»NA»SOC»ALL»DYN»PRO»D»All»SS»NA»Canvas - Buy Now - FR</v></cell><cell r="AH4883"><v>225322324</v></cell><cell r="AI4883" t="str"><v>AzurePlatform_FBCTCcanvaspage-BuyNowCTA-Img3_CAN_1080x162_SOC_Plat_French_NA_Standard_NA_BN_T3_1</v></cell><cell r="AJ4883"><v>103789915</v></cell></row><row r="4884"><cell r="C4884" t="str"><v>43316Facebook»AZR»1x1»NA»SOC»ALL»DYN»PRO»D»All»SS»NA»Canvas - Start Free - EN</v></cell><cell r="D4884" t="str"><v>43316225252365</v></cell><cell r="E4884" t="str"><v>43316103807590e - EN</v></cell><cell r="F4884" t="str"><v>DCM</v></cell><cell r="G4884" t="str"><v>https://signup.azure.com/signup?offer=ms-azr-0044p&appId=102&ref=paidmedia-social-fb&redirectURL=https%3a%2f%2fazure.microsoft.com%2fen-ca%2fget-started%2fwelcome-to-azure%2f&l=en-ca&correlationId=ead86c34-1f10-49dd-a72b-6918462a2cbf</v></cell></row><row r="4884"><cell r="K4884" t="str"><v>August</v></cell><cell r="L4884"><v>43316</v></cell><cell r="M4884" t="str"><v>Tier 1</v></cell><cell r="N4884" t="str"><v>North America</v></cell><cell r="O4884" t="str"><v>Canada</v></cell><cell r="P4884" t="str"><v>Trial</v></cell><cell r="Q4884" t="str"><v>Social</v></cell><cell r="R4884" t="str"><v>Azure</v></cell><cell r="S4884" t="str"><v>Apps & Infra</v></cell><cell r="T4884" t="str"><v>Developers & ITI's</v></cell><cell r="U4884" t="str"><v>AZR</v></cell><cell r="V4884" t="str"><v>Prospecting</v></cell><cell r="W4884" t="str"><v>Social</v></cell><cell r="X4884" t="str"><v>1x1</v></cell></row><row r="4884"><cell r="AA4884"><v>43316</v></cell><cell r="AB4884" t="str"><v>CAN_gaPMG_AZR_AZR_Q1_19_Trial-Social</v></cell><cell r="AC4884"><v>21337220</v></cell><cell r="AD4884"><v>720192</v></cell><cell r="AE4884" t="str"><v>Facebook</v></cell><cell r="AF4884"><v>3654128</v></cell><cell r="AG4884" t="str"><v>Facebook»AZR»1x1»NA»SOC»ALL»DYN»PRO»D»All»SS»NA»Canvas - Start Free - EN</v></cell><cell r="AH4884"><v>225252365</v></cell><cell r="AI4884" t="str"><v>AzurePlatform_FBCTCcanvaspage-StartFreeCTA-Img2_CAN_1080x143 _SOC_Plat_English_NA_Standard_NA_NA_T2_1</v></cell><cell r="AJ4884"><v>103807590</v></cell></row><row r="4885"><cell r="C4885" t="str"><v>43316Facebook»AZR»1x1»SocialBan»NA»ALL»DYN»AUT»D»All»SS»NA»Free Acc Refresh - T2 - FR</v></cell><cell r="D4885" t="str"><v>43316223691768</v></cell><cell r="E4885" t="str"><v>433161029029712 - FR</v></cell><cell r="F4885" t="str"><v>DCM</v></cell><cell r="G4885" t="str"><v>https://azure.microsoft.com/fr-ca/free/search/</v></cell></row><row r="4885"><cell r="K4885" t="str"><v>August</v></cell><cell r="L4885"><v>43316</v></cell><cell r="M4885" t="str"><v>Tier 1</v></cell><cell r="N4885" t="str"><v>North America</v></cell><cell r="O4885" t="str"><v>Canada</v></cell><cell r="P4885" t="str"><v>Trial</v></cell><cell r="Q4885" t="str"><v>Social</v></cell><cell r="R4885" t="str"><v>Azure</v></cell><cell r="S4885" t="str"><v>Apps & Infra</v></cell><cell r="T4885" t="str"><v>Developers & ITI's</v></cell><cell r="U4885" t="str"><v>AZR</v></cell><cell r="V4885" t="str"><v>Audience Targeting</v></cell><cell r="W4885" t="str"><v>NotApplicable</v></cell><cell r="X4885" t="str"><v>1x1</v></cell></row><row r="4885"><cell r="AA4885"><v>43316</v></cell><cell r="AB4885" t="str"><v>CAN_gaPMG_AZR_AZR_Q1_19_Trial-Social</v></cell><cell r="AC4885"><v>21337220</v></cell><cell r="AD4885"><v>720192</v></cell><cell r="AE4885" t="str"><v>Facebook</v></cell><cell r="AF4885"><v>3654128</v></cell><cell r="AG4885" t="str"><v>Facebook»AZR»1x1»SocialBan»NA»ALL»DYN»AUT»D»All»SS»NA»Free Acc Refresh - T2 - FR</v></cell><cell r="AH4885"><v>223691768</v></cell><cell r="AI4885" t="str"><v>AzurePlatform_FreeAcctAppsFACEBOOKDeviceChB_CAN_1200x628_SOC_PLAT_FR_Trial_Standard_NA_SU_T2_1.png</v></cell><cell r="AJ4885"><v>102902971</v></cell></row><row r="4886"><cell r="C4886" t="str"><v>43316Facebook»AZR»1x1»SocialBan»NA»ALL»DYN»AUT»D»All»SS»NA»Free Acc Refresh - T3 - EN</v></cell><cell r="D4886" t="str"><v>43316223691807</v></cell><cell r="E4886" t="str"><v>433161029006853 - EN</v></cell><cell r="F4886" t="str"><v>DCM</v></cell><cell r="G4886" t="str"><v>https://azure.microsoft.com/en-CA/free/search/</v></cell></row><row r="4886"><cell r="K4886" t="str"><v>August</v></cell><cell r="L4886"><v>43316</v></cell><cell r="M4886" t="str"><v>Tier 1</v></cell><cell r="N4886" t="str"><v>North America</v></cell><cell r="O4886" t="str"><v>Canada</v></cell><cell r="P4886" t="str"><v>Trial</v></cell><cell r="Q4886" t="str"><v>Social</v></cell><cell r="R4886" t="str"><v>Azure</v></cell><cell r="S4886" t="str"><v>Apps & Infra</v></cell><cell r="T4886" t="str"><v>Developers & ITI's</v></cell><cell r="U4886" t="str"><v>AZR</v></cell><cell r="V4886" t="str"><v>Audience Targeting</v></cell><cell r="W4886" t="str"><v>NotApplicable</v></cell><cell r="X4886" t="str"><v>1x1</v></cell></row><row r="4886"><cell r="AA4886"><v>43316</v></cell><cell r="AB4886" t="str"><v>CAN_gaPMG_AZR_AZR_Q1_19_Trial-Social</v></cell><cell r="AC4886"><v>21337220</v></cell><cell r="AD4886"><v>720192</v></cell><cell r="AE4886" t="str"><v>Facebook</v></cell><cell r="AF4886"><v>3654128</v></cell><cell r="AG4886" t="str"><v>Facebook»AZR»1x1»SocialBan»NA»ALL»DYN»AUT»D»All»SS»NA»Free Acc Refresh - T3 - EN</v></cell><cell r="AH4886"><v>223691807</v></cell><cell r="AI4886" t="str"><v>AzurePlatform_FreeAcctAppsFACEBOOKIllustrationChC_CAN_1200x628_SOC_PLAT_EN_Trial_Standard_NA_SU_T3_1.png</v></cell><cell r="AJ4886"><v>102900685</v></cell></row><row r="4887"><cell r="C4887" t="str"><v>43316Facebook»AZR»1x1»SocialBan»NA»ALL»DYN»AUT»D»All»SS»NA»Free Acc Refresh - T3 - FR</v></cell><cell r="D4887" t="str"><v>43316223691765</v></cell><cell r="E4887" t="str"><v>433161030533323 - FR</v></cell><cell r="F4887" t="str"><v>DCM</v></cell><cell r="G4887" t="str"><v>https://azure.microsoft.com/fr-ca/free/search/</v></cell></row><row r="4887"><cell r="K4887" t="str"><v>August</v></cell><cell r="L4887"><v>43316</v></cell><cell r="M4887" t="str"><v>Tier 1</v></cell><cell r="N4887" t="str"><v>North America</v></cell><cell r="O4887" t="str"><v>Canada</v></cell><cell r="P4887" t="str"><v>Trial</v></cell><cell r="Q4887" t="str"><v>Social</v></cell><cell r="R4887" t="str"><v>Azure</v></cell><cell r="S4887" t="str"><v>Apps & Infra</v></cell><cell r="T4887" t="str"><v>Developers & ITI's</v></cell><cell r="U4887" t="str"><v>AZR</v></cell><cell r="V4887" t="str"><v>Audience Targeting</v></cell><cell r="W4887" t="str"><v>NotApplicable</v></cell><cell r="X4887" t="str"><v>1x1</v></cell></row><row r="4887"><cell r="AA4887"><v>43316</v></cell><cell r="AB4887" t="str"><v>CAN_gaPMG_AZR_AZR_Q1_19_Trial-Social</v></cell><cell r="AC4887"><v>21337220</v></cell><cell r="AD4887"><v>720192</v></cell><cell r="AE4887" t="str"><v>Facebook</v></cell><cell r="AF4887"><v>3654128</v></cell><cell r="AG4887" t="str"><v>Facebook»AZR»1x1»SocialBan»NA»ALL»DYN»AUT»D»All»SS»NA»Free Acc Refresh - T3 - FR</v></cell><cell r="AH4887"><v>223691765</v></cell><cell r="AI4887" t="str"><v>AzurePlatform_FreeAcctAppsFACEBOOKIllustrationChC_CAN_1200x628_SOC_PLAT_FR_Trial_Standard_NA_SU_T3_1.png</v></cell><cell r="AJ4887"><v>103053332</v></cell></row><row r="4888"><cell r="C4888" t="str"><v>43316Facebook»AZR»1x1»SocialBan»NA»ALL»DYN»RT»D»All»SS»NA» Free Account Retargeting OSS - T1 - EN</v></cell><cell r="D4888" t="str"><v>43316223691828</v></cell><cell r="E4888" t="str"><v>433161029029561 - EN</v></cell><cell r="F4888" t="str"><v>DCM</v></cell><cell r="G4888" t="str"><v>https://azure.microsoft.com/en-ca/free/open-source/search/</v></cell></row><row r="4888"><cell r="K4888" t="str"><v>August</v></cell><cell r="L4888"><v>43316</v></cell><cell r="M4888" t="str"><v>Tier 1</v></cell><cell r="N4888" t="str"><v>North America</v></cell><cell r="O4888" t="str"><v>Canada</v></cell><cell r="P4888" t="str"><v>Trial</v></cell><cell r="Q4888" t="str"><v>Social</v></cell><cell r="R4888" t="str"><v>Azure</v></cell><cell r="S4888" t="str"><v>Apps & Infra</v></cell><cell r="T4888" t="str"><v>Developers & ITI's</v></cell><cell r="U4888" t="str"><v>AZR</v></cell><cell r="V4888" t="str"><v>Retargeting</v></cell><cell r="W4888" t="str"><v>NotApplicable</v></cell><cell r="X4888" t="str"><v>1x1</v></cell></row><row r="4888"><cell r="AA4888"><v>43316</v></cell><cell r="AB4888" t="str"><v>CAN_gaPMG_AZR_AZR_Q1_19_Trial-Social</v></cell><cell r="AC4888"><v>21337220</v></cell><cell r="AD4888"><v>720192</v></cell><cell r="AE4888" t="str"><v>Facebook</v></cell><cell r="AF4888"><v>3654128</v></cell><cell r="AG4888" t="str"><v>Facebook»AZR»1x1»SocialBan»NA»ALL»DYN»RT»D»All»SS»NA» Free Account Retargeting OSS - T1 - EN</v></cell><cell r="AH4888"><v>223691828</v></cell><cell r="AI4888" t="str"><v>AzurePlatform_FreeAcctRetargetingOSSFB-Text-ChF_CAN_1200x628_SOC_Plat_EN_Free Account_Standard_NA_SU_T1_1</v></cell><cell r="AJ4888"><v>102902956</v></cell></row><row r="4889"><cell r="C4889" t="str"><v>43316Facebook»AZR»1x1»SocialBan»NA»ALL»DYN»RT»D»All»SS»NA» Free Account Retargeting OSS - T2 - EN</v></cell><cell r="D4889" t="str"><v>43316223691831</v></cell><cell r="E4889" t="str"><v>433161029138002 - EN</v></cell><cell r="F4889" t="str"><v>DCM</v></cell><cell r="G4889" t="str"><v>https://azure.microsoft.com/en-ca/free/open-source/search/</v></cell></row><row r="4889"><cell r="K4889" t="str"><v>August</v></cell><cell r="L4889"><v>43316</v></cell><cell r="M4889" t="str"><v>Tier 1</v></cell><cell r="N4889" t="str"><v>North America</v></cell><cell r="O4889" t="str"><v>Canada</v></cell><cell r="P4889" t="str"><v>Trial</v></cell><cell r="Q4889" t="str"><v>Social</v></cell><cell r="R4889" t="str"><v>Azure</v></cell><cell r="S4889" t="str"><v>Apps & Infra</v></cell><cell r="T4889" t="str"><v>Developers & ITI's</v></cell><cell r="U4889" t="str"><v>AZR</v></cell><cell r="V4889" t="str"><v>Retargeting</v></cell><cell r="W4889" t="str"><v>NotApplicable</v></cell><cell r="X4889" t="str"><v>1x1</v></cell></row><row r="4889"><cell r="AA4889"><v>43316</v></cell><cell r="AB4889" t="str"><v>CAN_gaPMG_AZR_AZR_Q1_19_Trial-Social</v></cell><cell r="AC4889"><v>21337220</v></cell><cell r="AD4889"><v>720192</v></cell><cell r="AE4889" t="str"><v>Facebook</v></cell><cell r="AF4889"><v>3654128</v></cell><cell r="AG4889" t="str"><v>Facebook»AZR»1x1»SocialBan»NA»ALL»DYN»RT»D»All»SS»NA» Free Account Retargeting OSS - T2 - EN</v></cell><cell r="AH4889"><v>223691831</v></cell><cell r="AI4889" t="str"><v>AzurePlatform_FreeAcctRetargetingOSSFB-Logos-ChG_CAN_1200x628_SOC_Plat_EN_Free Account_Standard_NA_SU_T2_1</v></cell><cell r="AJ4889"><v>102913800</v></cell></row><row r="4890"><cell r="C4890" t="str"><v>43316Facebook»AZR»1x1»SocialBan»NA»ALL»DYN»RT»D»All»SS»NA» Free Account Retargeting OSS - T2 - FR</v></cell><cell r="D4890" t="str"><v>43316223691789</v></cell><cell r="E4890" t="str"><v>433161029006912 - FR</v></cell><cell r="F4890" t="str"><v>DCM</v></cell><cell r="G4890" t="str"><v>https://azure.microsoft.com/fr-ca/free/open-source/search/</v></cell></row><row r="4890"><cell r="K4890" t="str"><v>August</v></cell><cell r="L4890"><v>43316</v></cell><cell r="M4890" t="str"><v>Tier 1</v></cell><cell r="N4890" t="str"><v>North America</v></cell><cell r="O4890" t="str"><v>Canada</v></cell><cell r="P4890" t="str"><v>Trial</v></cell><cell r="Q4890" t="str"><v>Social</v></cell><cell r="R4890" t="str"><v>Azure</v></cell><cell r="S4890" t="str"><v>Apps & Infra</v></cell><cell r="T4890" t="str"><v>Developers & ITI's</v></cell><cell r="U4890" t="str"><v>AZR</v></cell><cell r="V4890" t="str"><v>Retargeting</v></cell><cell r="W4890" t="str"><v>NotApplicable</v></cell><cell r="X4890" t="str"><v>1x1</v></cell></row><row r="4890"><cell r="AA4890"><v>43316</v></cell><cell r="AB4890" t="str"><v>CAN_gaPMG_AZR_AZR_Q1_19_Trial-Social</v></cell><cell r="AC4890"><v>21337220</v></cell><cell r="AD4890"><v>720192</v></cell><cell r="AE4890" t="str"><v>Facebook</v></cell><cell r="AF4890"><v>3654128</v></cell><cell r="AG4890" t="str"><v>Facebook»AZR»1x1»SocialBan»NA»ALL»DYN»RT»D»All»SS»NA» Free Account Retargeting OSS - T2 - FR</v></cell><cell r="AH4890"><v>223691789</v></cell><cell r="AI4890" t="str"><v>AzurePlatform_FreeAcctRetargetingOSSFB-Logos-ChG_CAN_1200x628_SOC_Plat_FR_Free Account_Standard_NA_SU_T2_1</v></cell><cell r="AJ4890"><v>102900691</v></cell></row><row r="4891"><cell r="C4891" t="str"><v>43316Facebook»AZR»1x1»SocialBan»NA»ALL»DYN»RT»D»All»SS»NA»Free Account Retargeting Generic - T2 - FR</v></cell><cell r="D4891" t="str"><v>43316223691792</v></cell><cell r="E4891" t="str"><v>433161029018942 - FR</v></cell><cell r="F4891" t="str"><v>DCM</v></cell><cell r="G4891" t="str"><v>https://azure.microsoft.com/fr-ca/free/search/</v></cell></row><row r="4891"><cell r="K4891" t="str"><v>August</v></cell><cell r="L4891"><v>43316</v></cell><cell r="M4891" t="str"><v>Tier 1</v></cell><cell r="N4891" t="str"><v>North America</v></cell><cell r="O4891" t="str"><v>Canada</v></cell><cell r="P4891" t="str"><v>Trial</v></cell><cell r="Q4891" t="str"><v>Social</v></cell><cell r="R4891" t="str"><v>Azure</v></cell><cell r="S4891" t="str"><v>Apps & Infra</v></cell><cell r="T4891" t="str"><v>Developers & ITI's</v></cell><cell r="U4891" t="str"><v>AZR</v></cell><cell r="V4891" t="str"><v>Retargeting</v></cell><cell r="W4891" t="str"><v>NotApplicable</v></cell><cell r="X4891" t="str"><v>1x1</v></cell></row><row r="4891"><cell r="AA4891"><v>43316</v></cell><cell r="AB4891" t="str"><v>CAN_gaPMG_AZR_AZR_Q1_19_Trial-Social</v></cell><cell r="AC4891"><v>21337220</v></cell><cell r="AD4891"><v>720192</v></cell><cell r="AE4891" t="str"><v>Facebook</v></cell><cell r="AF4891"><v>3654128</v></cell><cell r="AG4891" t="str"><v>Facebook»AZR»1x1»SocialBan»NA»ALL»DYN»RT»D»All»SS»NA»Free Account Retargeting Generic - T2 - FR</v></cell><cell r="AH4891"><v>223691792</v></cell><cell r="AI4891" t="str"><v>AzurePlatform_FreeAcctRetargetingFB-GlobalAlt-ChB_CAN_1200x628_SOC_Plat_FR_Free Account_Standard_NA_SU_T2_1</v></cell><cell r="AJ4891"><v>102901894</v></cell></row><row r="4892"><cell r="C4892" t="str"><v>43316Facebook»AZR»1x1»SocialBan»NA»ALL»DYN»RT»D»All»SS»NA»Free Account Retargeting VM - T1 - EN</v></cell><cell r="D4892" t="str"><v>43316223691825</v></cell><cell r="E4892" t="str"><v>433161029163381 - EN</v></cell><cell r="F4892" t="str"><v>DCM</v></cell><cell r="G4892" t="str"><v>https://azure.microsoft.com/en-ca/free/virtual-machines/search/</v></cell></row><row r="4892"><cell r="K4892" t="str"><v>August</v></cell><cell r="L4892"><v>43316</v></cell><cell r="M4892" t="str"><v>Tier 1</v></cell><cell r="N4892" t="str"><v>North America</v></cell><cell r="O4892" t="str"><v>Canada</v></cell><cell r="P4892" t="str"><v>Trial</v></cell><cell r="Q4892" t="str"><v>Social</v></cell><cell r="R4892" t="str"><v>Azure</v></cell><cell r="S4892" t="str"><v>Apps & Infra</v></cell><cell r="T4892" t="str"><v>Developers & ITI's</v></cell><cell r="U4892" t="str"><v>AZR</v></cell><cell r="V4892" t="str"><v>Retargeting</v></cell><cell r="W4892" t="str"><v>NotApplicable</v></cell><cell r="X4892" t="str"><v>1x1</v></cell></row><row r="4892"><cell r="AA4892"><v>43316</v></cell><cell r="AB4892" t="str"><v>CAN_gaPMG_AZR_AZR_Q1_19_Trial-Social</v></cell><cell r="AC4892"><v>21337220</v></cell><cell r="AD4892"><v>720192</v></cell><cell r="AE4892" t="str"><v>Facebook</v></cell><cell r="AF4892"><v>3654128</v></cell><cell r="AG4892" t="str"><v>Facebook»AZR»1x1»SocialBan»NA»ALL»DYN»RT»D»All»SS»NA»Free Account Retargeting VM - T1 - EN</v></cell><cell r="AH4892"><v>223691825</v></cell><cell r="AI4892" t="str"><v>AzurePlatform_FreeAcctRetargetingVMFB-750Hrs-ChD_CAN_1200x628_SOC_Plat_EN_Free Account_Standard_NA_SU_T1_1</v></cell><cell r="AJ4892"><v>102916338</v></cell></row><row r="4893"><cell r="C4893" t="str"><v>43316Facebook»DEV-ITP-AZR-FB|CanvasAds|Interesttargeting»1x1»TextLink»CAN»DT»CPM»AUT»W»NA»SS»NA»39684020-11000</v></cell><cell r="D4893" t="str"><v>43316224009494</v></cell><cell r="E4893" t="str"><v>43316103236186-11000</v></cell><cell r="F4893" t="str"><v>DCM</v></cell><cell r="G4893" t="str"><v>https://signup.azure.com/signup?offer=ms-azr-0044p&appId=102&ref=paidmedia-social-fb&redirectURL=https%3a%2f%2fazure.microsoft.com%2fde-de%2fget-started%2fwelcome-to-azure%2f&l=de-de&correlationId=ead86c34-1f10-49dd-a72b-6918462a2cbf</v></cell></row><row r="4893"><cell r="K4893" t="str"><v>August</v></cell><cell r="L4893"><v>43316</v></cell><cell r="M4893" t="str"><v>Tier 1</v></cell><cell r="N4893" t="str"><v>EMEA</v></cell><cell r="O4893" t="str"><v>Germany</v></cell><cell r="P4893" t="str"><v>Trial</v></cell><cell r="Q4893" t="str"><v>Social</v></cell><cell r="R4893" t="str"><v>Azure</v></cell><cell r="S4893" t="str"><v>Apps & Infra</v></cell><cell r="T4893" t="str"><v>Developers & ITI's</v></cell><cell r="U4893" t="str"><v>DEV-ITP-AZR-FB|CanvasAds|Interesttargeting</v></cell><cell r="V4893" t="str"><v>Audience Targeting</v></cell><cell r="W4893" t="str"><v>Canvas Ad</v></cell><cell r="X4893" t="str"><v>1x1</v></cell></row><row r="4893"><cell r="AA4893"><v>43316</v></cell><cell r="AB4893" t="str"><v>DEU_gaPMG_AZR_AZR_Q1_19_Trial-Social- 39684</v></cell><cell r="AC4893"><v>21359477</v></cell><cell r="AD4893"><v>720194</v></cell><cell r="AE4893" t="str"><v>Facebook</v></cell><cell r="AF4893"><v>3654128</v></cell><cell r="AG4893" t="str"><v>Facebook»DEV-ITP-AZR-FB|CanvasAds|Interesttargeting»1x1»TextLink»CAN»DT»CPM»AUT»W»NA»SS»NA»39684020-11000</v></cell><cell r="AH4893"><v>224009494</v></cell><cell r="AI4893" t="str"><v>AzurePlatform_FBCTCBasicMotion-StartFreeCT_DEU_10s_ISV_PLAT_DE_Trial_Standard_STAN_TN_T1_1</v></cell><cell r="AJ4893"><v>103236186</v></cell></row><row r="4894"><cell r="C4894" t="str"><v>43316Facebook»DEV-ITP-AZR-FB|CanvasAds|Interesttargeting»1x1»TextLink»CAN»DT»CPM»AUT»W»NA»SS»NA»39684020-11000</v></cell><cell r="D4894" t="str"><v>43316224009494</v></cell><cell r="E4894" t="str"><v>43316103236189-11000</v></cell><cell r="F4894" t="str"><v>DCM</v></cell><cell r="G4894" t="str"><v>https://azure.microsoft.com/de-de/pricing/purchase-options/</v></cell></row><row r="4894"><cell r="K4894" t="str"><v>August</v></cell><cell r="L4894"><v>43316</v></cell><cell r="M4894" t="str"><v>Tier 1</v></cell><cell r="N4894" t="str"><v>EMEA</v></cell><cell r="O4894" t="str"><v>Germany</v></cell><cell r="P4894" t="str"><v>Trial</v></cell><cell r="Q4894" t="str"><v>Social</v></cell><cell r="R4894" t="str"><v>Azure</v></cell><cell r="S4894" t="str"><v>Apps & Infra</v></cell><cell r="T4894" t="str"><v>Developers & ITI's</v></cell><cell r="U4894" t="str"><v>DEV-ITP-AZR-FB|CanvasAds|Interesttargeting</v></cell><cell r="V4894" t="str"><v>Audience Targeting</v></cell><cell r="W4894" t="str"><v>Canvas Ad</v></cell><cell r="X4894" t="str"><v>1x1</v></cell></row><row r="4894"><cell r="AA4894"><v>43316</v></cell><cell r="AB4894" t="str"><v>DEU_gaPMG_AZR_AZR_Q1_19_Trial-Social- 39684</v></cell><cell r="AC4894"><v>21359477</v></cell><cell r="AD4894"><v>720194</v></cell><cell r="AE4894" t="str"><v>Facebook</v></cell><cell r="AF4894"><v>3654128</v></cell><cell r="AG4894" t="str"><v>Facebook»DEV-ITP-AZR-FB|CanvasAds|Interesttargeting»1x1»TextLink»CAN»DT»CPM»AUT»W»NA»SS»NA»39684020-11000</v></cell><cell r="AH4894"><v>224009494</v></cell><cell r="AI4894" t="str"><v>AzurePlatform_FBCTCBenefit2inMotion-BuyNow_DEU_14s_ISV_PLAT_DE_Trial_Standard_STAN_TN_T4_1</v></cell><cell r="AJ4894"><v>103236189</v></cell></row><row r="4895"><cell r="C4895" t="str"><v>43316Facebook»DEV-ITP-AZR-FB|CanvasAds|Interesttargeting»1x1»TextLink»CAN»DT»CPM»AUT»W»NA»SS»NA»39684020-11000</v></cell><cell r="D4895" t="str"><v>43316224009494</v></cell><cell r="E4895" t="str"><v>43316103237290-11000</v></cell><cell r="F4895" t="str"><v>DCM</v></cell><cell r="G4895" t="str"><v>https://signup.azure.com/signup?offer=ms-azr-0044p&appId=102&ref=paidmedia-social-fb&redirectURL=https%3a%2f%2fazure.microsoft.com%2fde-de%2fget-started%2fwelcome-to-azure%2f&l=de-de&correlationId=ead86c34-1f10-49dd-a72b-6918462a2cbf</v></cell></row><row r="4895"><cell r="K4895" t="str"><v>August</v></cell><cell r="L4895"><v>43316</v></cell><cell r="M4895" t="str"><v>Tier 1</v></cell><cell r="N4895" t="str"><v>EMEA</v></cell><cell r="O4895" t="str"><v>Germany</v></cell><cell r="P4895" t="str"><v>Trial</v></cell><cell r="Q4895" t="str"><v>Social</v></cell><cell r="R4895" t="str"><v>Azure</v></cell><cell r="S4895" t="str"><v>Apps & Infra</v></cell><cell r="T4895" t="str"><v>Developers & ITI's</v></cell><cell r="U4895" t="str"><v>DEV-ITP-AZR-FB|CanvasAds|Interesttargeting</v></cell><cell r="V4895" t="str"><v>Audience Targeting</v></cell><cell r="W4895" t="str"><v>Canvas Ad</v></cell><cell r="X4895" t="str"><v>1x1</v></cell></row><row r="4895"><cell r="AA4895"><v>43316</v></cell><cell r="AB4895" t="str"><v>DEU_gaPMG_AZR_AZR_Q1_19_Trial-Social- 39684</v></cell><cell r="AC4895"><v>21359477</v></cell><cell r="AD4895"><v>720194</v></cell><cell r="AE4895" t="str"><v>Facebook</v></cell><cell r="AF4895"><v>3654128</v></cell><cell r="AG4895" t="str"><v>Facebook»DEV-ITP-AZR-FB|CanvasAds|Interesttargeting»1x1»TextLink»CAN»DT»CPM»AUT»W»NA»SS»NA»39684020-11000</v></cell><cell r="AH4895"><v>224009494</v></cell><cell r="AI4895" t="str"><v>AzurePlatform_FBCTCBenefit2inMotion-StartFreeCT_DEU_14s_ISV_PLAT_DE_Trial_Standard_STAN_TN_T4_1</v></cell><cell r="AJ4895"><v>103237290</v></cell></row><row r="4896"><cell r="C4896" t="str"><v>43316Facebook»DEV-ITP-AZR-FB|CanvasAds|Interesttargeting»1x1»TextLink»CAN»DT»CPM»AUT»W»NA»SS»NA»39684020-11000</v></cell><cell r="D4896" t="str"><v>43316224009494</v></cell><cell r="E4896" t="str"><v>43316103237293-11000</v></cell><cell r="F4896" t="str"><v>DCM</v></cell><cell r="G4896" t="str"><v>https://signup.azure.com/signup?offer=ms-azr-0044p&appId=102&ref=paidmedia-social-fb&redirectURL=https%3a%2f%2fazure.microsoft.com%2fde-de%2fget-started%2fwelcome-to-azure%2f&l=de-de&correlationId=ead86c34-1f10-49dd-a72b-6918462a2cbf</v></cell></row><row r="4896"><cell r="K4896" t="str"><v>August</v></cell><cell r="L4896"><v>43316</v></cell><cell r="M4896" t="str"><v>Tier 1</v></cell><cell r="N4896" t="str"><v>EMEA</v></cell><cell r="O4896" t="str"><v>Germany</v></cell><cell r="P4896" t="str"><v>Trial</v></cell><cell r="Q4896" t="str"><v>Social</v></cell><cell r="R4896" t="str"><v>Azure</v></cell><cell r="S4896" t="str"><v>Apps & Infra</v></cell><cell r="T4896" t="str"><v>Developers & ITI's</v></cell><cell r="U4896" t="str"><v>DEV-ITP-AZR-FB|CanvasAds|Interesttargeting</v></cell><cell r="V4896" t="str"><v>Audience Targeting</v></cell><cell r="W4896" t="str"><v>Canvas Ad</v></cell><cell r="X4896" t="str"><v>1x1</v></cell></row><row r="4896"><cell r="AA4896"><v>43316</v></cell><cell r="AB4896" t="str"><v>DEU_gaPMG_AZR_AZR_Q1_19_Trial-Social- 39684</v></cell><cell r="AC4896"><v>21359477</v></cell><cell r="AD4896"><v>720194</v></cell><cell r="AE4896" t="str"><v>Facebook</v></cell><cell r="AF4896"><v>3654128</v></cell><cell r="AG4896" t="str"><v>Facebook»DEV-ITP-AZR-FB|CanvasAds|Interesttargeting»1x1»TextLink»CAN»DT»CPM»AUT»W»NA»SS»NA»39684020-11000</v></cell><cell r="AH4896"><v>224009494</v></cell><cell r="AI4896" t="str"><v>AzurePlatform_FBCTCBrandinMotion-StartFreeCT_DEU_12s_ISV_PLAT_DE_Trial_Standard_STAN_TN_T2_1</v></cell><cell r="AJ4896"><v>103237293</v></cell></row><row r="4897"><cell r="C4897" t="str"><v>43316Facebook»DEV-ITP-AZR-FB|LinkAd|CustomerAudienceRetargeting»1x1»TextLink»LIA»DT»CPM»RT»W»NA»SS»NA»39684019-11000</v></cell><cell r="D4897" t="str"><v>43316224010415</v></cell><cell r="E4897" t="str"><v>43316103048548-11000</v></cell><cell r="F4897" t="str"><v>DCM</v></cell><cell r="G4897" t="str"><v>https://azure.microsoft.com/de-de/free/search/</v></cell></row><row r="4897"><cell r="K4897" t="str"><v>August</v></cell><cell r="L4897"><v>43316</v></cell><cell r="M4897" t="str"><v>Tier 1</v></cell><cell r="N4897" t="str"><v>EMEA</v></cell><cell r="O4897" t="str"><v>Germany</v></cell><cell r="P4897" t="str"><v>Trial</v></cell><cell r="Q4897" t="str"><v>Social</v></cell><cell r="R4897" t="str"><v>Azure</v></cell><cell r="S4897" t="str"><v>Apps & Infra</v></cell><cell r="T4897" t="str"><v>Developers & ITI's</v></cell><cell r="U4897" t="str"><v>DEV-ITP-AZR-FB|LinkAd|CustomerAudienceRetargeting</v></cell><cell r="V4897" t="str"><v>Retargeting</v></cell><cell r="W4897" t="str"><v>Link Ad</v></cell><cell r="X4897" t="str"><v>1x1</v></cell></row><row r="4897"><cell r="AA4897"><v>43316</v></cell><cell r="AB4897" t="str"><v>DEU_gaPMG_AZR_AZR_Q1_19_Trial-Social- 39684</v></cell><cell r="AC4897"><v>21359477</v></cell><cell r="AD4897"><v>720194</v></cell><cell r="AE4897" t="str"><v>Facebook</v></cell><cell r="AF4897"><v>3654128</v></cell><cell r="AG4897" t="str"><v>Facebook»DEV-ITP-AZR-FB|LinkAd|CustomerAudienceRetargeting»1x1»TextLink»LIA»DT»CPM»RT»W»NA»SS»NA»39684019-11000</v></cell><cell r="AH4897"><v>224010415</v></cell><cell r="AI4897" t="str"><v>AzurePlatform_FreeAcctRetargetingFB-Animated-ChC_DEU_1200x628_SOC_Plat_DE_Free Account_Standard_ANI_SNU_T3_1</v></cell><cell r="AJ4897"><v>103048548</v></cell></row><row r="4898"><cell r="C4898" t="str"><v>43316Facebook»DEV-ITP-AZR-FB|LinkAd|CustomerAudienceRetargeting»1x1»TextLink»LIA»DT»CPM»RT»W»NA»SS»NA»39684019-11000</v></cell><cell r="D4898" t="str"><v>43316224010415</v></cell><cell r="E4898" t="str"><v>43316103040320-11000</v></cell><cell r="F4898" t="str"><v>DCM</v></cell><cell r="G4898" t="str"><v>https://azure.microsoft.com/de-de/free/search/</v></cell></row><row r="4898"><cell r="K4898" t="str"><v>August</v></cell><cell r="L4898"><v>43316</v></cell><cell r="M4898" t="str"><v>Tier 1</v></cell><cell r="N4898" t="str"><v>EMEA</v></cell><cell r="O4898" t="str"><v>Germany</v></cell><cell r="P4898" t="str"><v>Trial</v></cell><cell r="Q4898" t="str"><v>Social</v></cell><cell r="R4898" t="str"><v>Azure</v></cell><cell r="S4898" t="str"><v>Apps & Infra</v></cell><cell r="T4898" t="str"><v>Developers & ITI's</v></cell><cell r="U4898" t="str"><v>DEV-ITP-AZR-FB|LinkAd|CustomerAudienceRetargeting</v></cell><cell r="V4898" t="str"><v>Retargeting</v></cell><cell r="W4898" t="str"><v>Link Ad</v></cell><cell r="X4898" t="str"><v>1x1</v></cell></row><row r="4898"><cell r="AA4898"><v>43316</v></cell><cell r="AB4898" t="str"><v>DEU_gaPMG_AZR_AZR_Q1_19_Trial-Social- 39684</v></cell><cell r="AC4898"><v>21359477</v></cell><cell r="AD4898"><v>720194</v></cell><cell r="AE4898" t="str"><v>Facebook</v></cell><cell r="AF4898"><v>3654128</v></cell><cell r="AG4898" t="str"><v>Facebook»DEV-ITP-AZR-FB|LinkAd|CustomerAudienceRetargeting»1x1»TextLink»LIA»DT»CPM»RT»W»NA»SS»NA»39684019-11000</v></cell><cell r="AH4898"><v>224010415</v></cell><cell r="AI4898" t="str"><v>AzurePlatform_FreeAcctRetargetingFB-GlobalAlt-ChB_DEU_1200x628_SOC_Plat_DE_Free Account_Standard_NA_SNU_T2_1</v></cell><cell r="AJ4898"><v>103040320</v></cell></row><row r="4899"><cell r="C4899" t="str"><v>43316Facebook»DEV-ITP-AZR-FB|LinkAd|CustomerAudienceRetargeting»1x1»TextLink»LIA»DT»CPM»RT»W»NA»SS»NA»39684019-11000</v></cell><cell r="D4899" t="str"><v>43316224010415</v></cell><cell r="E4899" t="str"><v>43316103043329-11000</v></cell><cell r="F4899" t="str"><v>DCM</v></cell><cell r="G4899" t="str"><v>https://azure.microsoft.com/de-de/free/open-source/search/</v></cell></row><row r="4899"><cell r="K4899" t="str"><v>August</v></cell><cell r="L4899"><v>43316</v></cell><cell r="M4899" t="str"><v>Tier 1</v></cell><cell r="N4899" t="str"><v>EMEA</v></cell><cell r="O4899" t="str"><v>Germany</v></cell><cell r="P4899" t="str"><v>Trial</v></cell><cell r="Q4899" t="str"><v>Social</v></cell><cell r="R4899" t="str"><v>Azure</v></cell><cell r="S4899" t="str"><v>Apps & Infra</v></cell><cell r="T4899" t="str"><v>Developers & ITI's</v></cell><cell r="U4899" t="str"><v>DEV-ITP-AZR-FB|LinkAd|CustomerAudienceRetargeting</v></cell><cell r="V4899" t="str"><v>Retargeting</v></cell><cell r="W4899" t="str"><v>Link Ad</v></cell><cell r="X4899" t="str"><v>1x1</v></cell></row><row r="4899"><cell r="AA4899"><v>43316</v></cell><cell r="AB4899" t="str"><v>DEU_gaPMG_AZR_AZR_Q1_19_Trial-Social- 39684</v></cell><cell r="AC4899"><v>21359477</v></cell><cell r="AD4899"><v>720194</v></cell><cell r="AE4899" t="str"><v>Facebook</v></cell><cell r="AF4899"><v>3654128</v></cell><cell r="AG4899" t="str"><v>Facebook»DEV-ITP-AZR-FB|LinkAd|CustomerAudienceRetargeting»1x1»TextLink»LIA»DT»CPM»RT»W»NA»SS»NA»39684019-11000</v></cell><cell r="AH4899"><v>224010415</v></cell><cell r="AI4899" t="str"><v>AzurePlatform_FreeAcctRetargetingOSSFB-Logos-ChG_DEU_1200x628_SOC_Plat_DE_Free Account_Standard_NA_SNU_T2_1</v></cell><cell r="AJ4899"><v>103043329</v></cell></row><row r="4900"><cell r="C4900" t="str"><v>43316Facebook»DEV-ITP-AZR-FB|LinkAd|CustomerAudienceRetargeting»1x1»TextLink»LIA»DT»CPM»RT»W»NA»SS»NA»39684019-11000</v></cell><cell r="D4900" t="str"><v>43316224010415</v></cell><cell r="E4900" t="str"><v>43316103055394-11000</v></cell><cell r="F4900" t="str"><v>DCM</v></cell><cell r="G4900" t="str"><v>https://azure.microsoft.com/de-de/free/open-source/search/</v></cell></row><row r="4900"><cell r="K4900" t="str"><v>August</v></cell><cell r="L4900"><v>43316</v></cell><cell r="M4900" t="str"><v>Tier 1</v></cell><cell r="N4900" t="str"><v>EMEA</v></cell><cell r="O4900" t="str"><v>Germany</v></cell><cell r="P4900" t="str"><v>Trial</v></cell><cell r="Q4900" t="str"><v>Social</v></cell><cell r="R4900" t="str"><v>Azure</v></cell><cell r="S4900" t="str"><v>Apps & Infra</v></cell><cell r="T4900" t="str"><v>Developers & ITI's</v></cell><cell r="U4900" t="str"><v>DEV-ITP-AZR-FB|LinkAd|CustomerAudienceRetargeting</v></cell><cell r="V4900" t="str"><v>Retargeting</v></cell><cell r="W4900" t="str"><v>Link Ad</v></cell><cell r="X4900" t="str"><v>1x1</v></cell></row><row r="4900"><cell r="AA4900"><v>43316</v></cell><cell r="AB4900" t="str"><v>DEU_gaPMG_AZR_AZR_Q1_19_Trial-Social- 39684</v></cell><cell r="AC4900"><v>21359477</v></cell><cell r="AD4900"><v>720194</v></cell><cell r="AE4900" t="str"><v>Facebook</v></cell><cell r="AF4900"><v>3654128</v></cell><cell r="AG4900" t="str"><v>Facebook»DEV-ITP-AZR-FB|LinkAd|CustomerAudienceRetargeting»1x1»TextLink»LIA»DT»CPM»RT»W»NA»SS»NA»39684019-11000</v></cell><cell r="AH4900"><v>224010415</v></cell><cell r="AI4900" t="str"><v>AzurePlatform_FreeAcctRetargetingOSSFB-Text-ChF_DEU_1200x628_SOC_Plat_DE_Free Account_Standard_NA_SNU_T1_1</v></cell><cell r="AJ4900"><v>103055394</v></cell></row><row r="4901"><cell r="C4901" t="str"><v>43316Facebook»DEV-ITP-AZR-FB|LinkAd|CustomerAudienceRetargeting»1x1»TextLink»LIA»DT»CPM»RT»W»NA»SS»NA»39684019-11000</v></cell><cell r="D4901" t="str"><v>43316224010415</v></cell><cell r="E4901" t="str"><v>43316103043341-11000</v></cell><cell r="F4901" t="str"><v>DCM</v></cell><cell r="G4901" t="str"><v>https://azure.microsoft.com/de-de/free/virtual-machines/search/</v></cell></row><row r="4901"><cell r="K4901" t="str"><v>August</v></cell><cell r="L4901"><v>43316</v></cell><cell r="M4901" t="str"><v>Tier 1</v></cell><cell r="N4901" t="str"><v>EMEA</v></cell><cell r="O4901" t="str"><v>Germany</v></cell><cell r="P4901" t="str"><v>Trial</v></cell><cell r="Q4901" t="str"><v>Social</v></cell><cell r="R4901" t="str"><v>Azure</v></cell><cell r="S4901" t="str"><v>Apps & Infra</v></cell><cell r="T4901" t="str"><v>Developers & ITI's</v></cell><cell r="U4901" t="str"><v>DEV-ITP-AZR-FB|LinkAd|CustomerAudienceRetargeting</v></cell><cell r="V4901" t="str"><v>Retargeting</v></cell><cell r="W4901" t="str"><v>Link Ad</v></cell><cell r="X4901" t="str"><v>1x1</v></cell></row><row r="4901"><cell r="AA4901"><v>43316</v></cell><cell r="AB4901" t="str"><v>DEU_gaPMG_AZR_AZR_Q1_19_Trial-Social- 39684</v></cell><cell r="AC4901"><v>21359477</v></cell><cell r="AD4901"><v>720194</v></cell><cell r="AE4901" t="str"><v>Facebook</v></cell><cell r="AF4901"><v>3654128</v></cell><cell r="AG4901" t="str"><v>Facebook»DEV-ITP-AZR-FB|LinkAd|CustomerAudienceRetargeting»1x1»TextLink»LIA»DT»CPM»RT»W»NA»SS»NA»39684019-11000</v></cell><cell r="AH4901"><v>224010415</v></cell><cell r="AI4901" t="str"><v>AzurePlatform_FreeAcctRetargetingVMFB-750Hrs-ChD_DEU_1200x628_SOC_Plat_DE_Free Account_Standard_NA_SNU_T1_1</v></cell><cell r="AJ4901"><v>103043341</v></cell></row><row r="4902"><cell r="C4902" t="str"><v>43316Facebook»Developers/ITPros-Azure Direct-Sponsored Post-Canvas-FBCTCcanvaspage-BuyNowCTA-Img3_FBCTCBasicMotion_FRA_10sec»1x1»Canvas»SOC»ALL»CPC»BT»D»UNK»SS»NA»Trials</v></cell><cell r="D4902" t="str"><v>43316224369893</v></cell><cell r="E4902" t="str"><v>43316103256571Trials</v></cell><cell r="F4902" t="str"><v>DCM</v></cell><cell r="G4902" t="str"><v>https://azure.microsoft.com/fr-fr/pricing/purchase-options/</v></cell></row><row r="4902"><cell r="K4902" t="str"><v>August</v></cell><cell r="L4902"><v>43316</v></cell><cell r="M4902" t="str"><v>Tier 1</v></cell><cell r="N4902" t="str"><v>EMEA</v></cell><cell r="O4902" t="str"><v>France</v></cell><cell r="P4902" t="str"><v>Trial</v></cell><cell r="Q4902" t="str"><v>Social</v></cell><cell r="R4902" t="str"><v>Azure</v></cell><cell r="S4902" t="str"><v>Apps & Infra</v></cell><cell r="T4902" t="str"><v>Developers & ITI's</v></cell><cell r="U4902" t="str"><v>Developers/ITPros-Azure Direct-Sponsored Post-Canvas-FBCTCcanvaspage-BuyNowCTA-Img3_FBCTCBasicMotion_FRA_10sec</v></cell><cell r="V4902" t="str"><v>Behavioral Targeting</v></cell><cell r="W4902" t="str"><v>Social</v></cell><cell r="X4902" t="str"><v>1x1</v></cell></row><row r="4902"><cell r="AA4902"><v>43316</v></cell><cell r="AB4902" t="str"><v>FRA_gaPMG_AZR_AZR_Q1_19_AzureDirect-Trial-Social</v></cell><cell r="AC4902"><v>21356941</v></cell><cell r="AD4902"><v>720193</v></cell><cell r="AE4902" t="str"><v>Facebook</v></cell><cell r="AF4902"><v>3654128</v></cell><cell r="AG4902" t="str"><v>Facebook»Developers/ITPros-Azure Direct-Sponsored Post-Canvas-FBCTCcanvaspage-BuyNowCTA-Img3_FBCTCBasicMotion_FRA_10sec»1x1»Canvas»SOC»ALL»CPC»BT»D»UNK»SS»NA»Trials</v></cell><cell r="AH4902"><v>224369893</v></cell><cell r="AI4902" t="str"><v>AZR_FBCTCcanvaspage-BuyNowCTA-Img3_FRA_1080x162_SOC_AZRDirect_French_NA_Facebook_SBAN_BN_T3_1</v></cell><cell r="AJ4902"><v>103256571</v></cell></row><row r="4903"><cell r="C4903" t="str"><v>43316Facebook»Developers/ITPros-Azure Direct-Sponsored Post-Canvas-FBCTCcanvaspage-BuyNowCTA-Img3_FBCTCBrandinMotion_FRA_14sec»1x1»Canvas»SOC»ALL»CPC»BT»D»UNK»SS»NA»Trials</v></cell><cell r="D4903" t="str"><v>43316224416918</v></cell><cell r="E4903" t="str"><v>43316103256571Trials</v></cell><cell r="F4903" t="str"><v>DCM</v></cell><cell r="G4903" t="str"><v>https://azure.microsoft.com/fr-fr/pricing/purchase-options/</v></cell></row><row r="4903"><cell r="K4903" t="str"><v>August</v></cell><cell r="L4903"><v>43316</v></cell><cell r="M4903" t="str"><v>Tier 1</v></cell><cell r="N4903" t="str"><v>EMEA</v></cell><cell r="O4903" t="str"><v>France</v></cell><cell r="P4903" t="str"><v>Trial</v></cell><cell r="Q4903" t="str"><v>Social</v></cell><cell r="R4903" t="str"><v>Azure</v></cell><cell r="S4903" t="str"><v>Apps & Infra</v></cell><cell r="T4903" t="str"><v>Developers & ITI's</v></cell><cell r="U4903" t="str"><v>Developers/ITPros-Azure Direct-Sponsored Post-Canvas-FBCTCcanvaspage-BuyNowCTA-Img3_FBCTCBrandinMotion_FRA_14sec</v></cell><cell r="V4903" t="str"><v>Behavioral Targeting</v></cell><cell r="W4903" t="str"><v>Social</v></cell><cell r="X4903" t="str"><v>1x1</v></cell></row><row r="4903"><cell r="AA4903"><v>43316</v></cell><cell r="AB4903" t="str"><v>FRA_gaPMG_AZR_AZR_Q1_19_AzureDirect-Trial-Social</v></cell><cell r="AC4903"><v>21356941</v></cell><cell r="AD4903"><v>720193</v></cell><cell r="AE4903" t="str"><v>Facebook</v></cell><cell r="AF4903"><v>3654128</v></cell><cell r="AG4903" t="str"><v>Facebook»Developers/ITPros-Azure Direct-Sponsored Post-Canvas-FBCTCcanvaspage-BuyNowCTA-Img3_FBCTCBrandinMotion_FRA_14sec»1x1»Canvas»SOC»ALL»CPC»BT»D»UNK»SS»NA»Trials</v></cell><cell r="AH4903"><v>224416918</v></cell><cell r="AI4903" t="str"><v>AZR_FBCTCcanvaspage-BuyNowCTA-Img3_FRA_1080x162_SOC_AZRDirect_French_NA_Facebook_SBAN_BN_T3_1</v></cell><cell r="AJ4903"><v>103256571</v></cell></row><row r="4904"><cell r="C4904" t="str"><v>43316Facebook»Developers/ITPros-Azure Direct-Sponsored Post-Canvas-FBCTCcanvaspage-StartFreeCTA-Img2_FBCTCBasicMotion_FRA_10sec»1x1»Canvas»SOC»ALL»CPC»BT»D»UNK»SS»NA»Trials</v></cell><cell r="D4904" t="str"><v>43316224560884</v></cell><cell r="E4904" t="str"><v>43316103259958Trials</v></cell><cell r="F4904" t="str"><v>DCM</v></cell><cell r="G4904" t="str"><v>https://signup.azure.com/signup?offer=ms-azr-0044p&appId=102&ref=paidmedia-social-fb&redirectURL=https%3a%2f%2fazure.microsoft.com%2ffr-fr%2fget-started%2fwelcome-to-azure%2f&l=fr-fr&correlationId=ead86c34-1f10-49dd-a72b-6918462a2cbf</v></cell></row><row r="4904"><cell r="K4904" t="str"><v>August</v></cell><cell r="L4904"><v>43316</v></cell><cell r="M4904" t="str"><v>Tier 1</v></cell><cell r="N4904" t="str"><v>EMEA</v></cell><cell r="O4904" t="str"><v>France</v></cell><cell r="P4904" t="str"><v>Trial</v></cell><cell r="Q4904" t="str"><v>Social</v></cell><cell r="R4904" t="str"><v>Azure</v></cell><cell r="S4904" t="str"><v>Apps & Infra</v></cell><cell r="T4904" t="str"><v>Developers & ITI's</v></cell><cell r="U4904" t="str"><v>Developers/ITPros-Azure Direct-Sponsored Post-Canvas-FBCTCcanvaspage-StartFreeCTA-Img2_FBCTCBasicMotion_FRA_10sec</v></cell><cell r="V4904" t="str"><v>Behavioral Targeting</v></cell><cell r="W4904" t="str"><v>Social</v></cell><cell r="X4904" t="str"><v>1x1</v></cell></row><row r="4904"><cell r="AA4904"><v>43316</v></cell><cell r="AB4904" t="str"><v>FRA_gaPMG_AZR_AZR_Q1_19_AzureDirect-Trial-Social</v></cell><cell r="AC4904"><v>21356941</v></cell><cell r="AD4904"><v>720193</v></cell><cell r="AE4904" t="str"><v>Facebook</v></cell><cell r="AF4904"><v>3654128</v></cell><cell r="AG4904" t="str"><v>Facebook»Developers/ITPros-Azure Direct-Sponsored Post-Canvas-FBCTCcanvaspage-StartFreeCTA-Img2_FBCTCBasicMotion_FRA_10sec»1x1»Canvas»SOC»ALL»CPC»BT»D»UNK»SS»NA»Trials</v></cell><cell r="AH4904"><v>224560884</v></cell><cell r="AI4904" t="str"><v>AZR_FBCTCcanvaspage-StartFreeCTA-Img2_FRA_1080x143_SOC_AZRDirect_French_NA_Facebook_SBAN_BN_T2_1</v></cell><cell r="AJ4904"><v>103259958</v></cell></row><row r="4905"><cell r="C4905" t="str"><v>43316Facebook»Developers/ITPros-Azure Direct-Sponsored Post-Canvas-FBCTCcanvaspage-StartFreeCTA-Img2_FBCTCBrandinMotion_FRA_14sec»1x1»Canvas»SOC»ALL»CPC»BT»D»UNK»SS»NA»Trials</v></cell><cell r="D4905" t="str"><v>43316224560872</v></cell><cell r="E4905" t="str"><v>43316103259958Trials</v></cell><cell r="F4905" t="str"><v>DCM</v></cell><cell r="G4905" t="str"><v>https://signup.azure.com/signup?offer=ms-azr-0044p&appId=102&ref=paidmedia-social-fb&redirectURL=https%3a%2f%2fazure.microsoft.com%2ffr-fr%2fget-started%2fwelcome-to-azure%2f&l=fr-fr&correlationId=ead86c34-1f10-49dd-a72b-6918462a2cbf</v></cell></row><row r="4905"><cell r="K4905" t="str"><v>August</v></cell><cell r="L4905"><v>43316</v></cell><cell r="M4905" t="str"><v>Tier 1</v></cell><cell r="N4905" t="str"><v>EMEA</v></cell><cell r="O4905" t="str"><v>France</v></cell><cell r="P4905" t="str"><v>Trial</v></cell><cell r="Q4905" t="str"><v>Social</v></cell><cell r="R4905" t="str"><v>Azure</v></cell><cell r="S4905" t="str"><v>Apps & Infra</v></cell><cell r="T4905" t="str"><v>Developers & ITI's</v></cell><cell r="U4905" t="str"><v>Developers/ITPros-Azure Direct-Sponsored Post-Canvas-FBCTCcanvaspage-StartFreeCTA-Img2_FBCTCBrandinMotion_FRA_14sec</v></cell><cell r="V4905" t="str"><v>Behavioral Targeting</v></cell><cell r="W4905" t="str"><v>Social</v></cell><cell r="X4905" t="str"><v>1x1</v></cell></row><row r="4905"><cell r="AA4905"><v>43316</v></cell><cell r="AB4905" t="str"><v>FRA_gaPMG_AZR_AZR_Q1_19_AzureDirect-Trial-Social</v></cell><cell r="AC4905"><v>21356941</v></cell><cell r="AD4905"><v>720193</v></cell><cell r="AE4905" t="str"><v>Facebook</v></cell><cell r="AF4905"><v>3654128</v></cell><cell r="AG4905" t="str"><v>Facebook»Developers/ITPros-Azure Direct-Sponsored Post-Canvas-FBCTCcanvaspage-StartFreeCTA-Img2_FBCTCBrandinMotion_FRA_14sec»1x1»Canvas»SOC»ALL»CPC»BT»D»UNK»SS»NA»Trials</v></cell><cell r="AH4905"><v>224560872</v></cell><cell r="AI4905" t="str"><v>AZR_FBCTCcanvaspage-StartFreeCTA-Img2_FRA_1080x143_SOC_AZRDirect_French_NA_Facebook_SBAN_BN_T2_1</v></cell><cell r="AJ4905"><v>103259958</v></cell></row><row r="4906"><cell r="C4906" t="str"><v>43316Facebook»Developers/ITPros-Azure Direct-Sponsored Post-Link Ad-FreeAcctRetargetingFB-GlobalAlt-ChB»1x1»SocialBan»SOC»ALL»CPC»BT»D»UNK»SS»NA»Trials</v></cell><cell r="D4906" t="str"><v>43316224560845</v></cell><cell r="E4906" t="str"><v>43316103259520Trials</v></cell><cell r="F4906" t="str"><v>DCM</v></cell><cell r="G4906" t="str"><v>https://azure.microsoft.com/fr-fr/free/search/</v></cell></row><row r="4906"><cell r="K4906" t="str"><v>August</v></cell><cell r="L4906"><v>43316</v></cell><cell r="M4906" t="str"><v>Tier 1</v></cell><cell r="N4906" t="str"><v>EMEA</v></cell><cell r="O4906" t="str"><v>France</v></cell><cell r="P4906" t="str"><v>Trial</v></cell><cell r="Q4906" t="str"><v>Social</v></cell><cell r="R4906" t="str"><v>Azure</v></cell><cell r="S4906" t="str"><v>Apps & Infra</v></cell><cell r="T4906" t="str"><v>Developers & ITI's</v></cell><cell r="U4906" t="str"><v>Developers/ITPros-Azure Direct-Sponsored Post-Link Ad-FreeAcctRetargetingFB-GlobalAlt-ChB</v></cell><cell r="V4906" t="str"><v>Behavioral Targeting</v></cell><cell r="W4906" t="str"><v>Social</v></cell><cell r="X4906" t="str"><v>1x1</v></cell></row><row r="4906"><cell r="AA4906"><v>43316</v></cell><cell r="AB4906" t="str"><v>FRA_gaPMG_AZR_AZR_Q1_19_AzureDirect-Trial-Social</v></cell><cell r="AC4906"><v>21356941</v></cell><cell r="AD4906"><v>720193</v></cell><cell r="AE4906" t="str"><v>Facebook</v></cell><cell r="AF4906"><v>3654128</v></cell><cell r="AG4906" t="str"><v>Facebook»Developers/ITPros-Azure Direct-Sponsored Post-Link Ad-FreeAcctRetargetingFB-GlobalAlt-ChB»1x1»SocialBan»SOC»ALL»CPC»BT»D»UNK»SS»NA»Trials</v></cell><cell r="AH4906"><v>224560845</v></cell><cell r="AI4906" t="str"><v>AZR_FreeAcctRetargetingFB-GlobalAlt-ChB_FRA_1200x628_SOC_AZRDirect_French_NA_Facebook_SBAN_SINU_T2_1</v></cell><cell r="AJ4906"><v>103259520</v></cell></row><row r="4907"><cell r="C4907" t="str"><v>43316Facebook»Developers/ITPros-Azure Direct-Sponsored Post-Video Ad-FBCTCBasicMotion_FRA_10s_RTG Landing Page»1x1»05s»SOC»ALL»CPC»BT»D»UNK»SS»NA»Trials</v></cell><cell r="D4907" t="str"><v>43316224416915</v></cell><cell r="E4907" t="str"><v>43316103376981Trials</v></cell><cell r="F4907" t="str"><v>DCM</v></cell></row><row r="4907"><cell r="K4907" t="str"><v>August</v></cell><cell r="L4907"><v>43316</v></cell><cell r="M4907" t="str"><v>Tier 1</v></cell><cell r="N4907" t="str"><v>EMEA</v></cell><cell r="O4907" t="str"><v>France</v></cell><cell r="P4907" t="str"><v>Trial</v></cell><cell r="Q4907" t="str"><v>Social</v></cell><cell r="R4907" t="str"><v>Azure</v></cell><cell r="S4907" t="str"><v>Apps & Infra</v></cell><cell r="T4907" t="str"><v>Developers & ITI's</v></cell><cell r="U4907" t="str"><v>Developers/ITPros-Azure Direct-Sponsored Post-Video Ad-FBCTCBasicMotion_FRA_10s_RTG Landing Page</v></cell><cell r="V4907" t="str"><v>Behavioral Targeting</v></cell><cell r="W4907" t="str"><v>Social</v></cell><cell r="X4907" t="str"><v>1x1</v></cell></row><row r="4907"><cell r="AA4907"><v>43316</v></cell><cell r="AB4907" t="str"><v>FRA_gaPMG_AZR_AZR_Q1_19_AzureDirect-Trial-Social</v></cell><cell r="AC4907"><v>21356941</v></cell><cell r="AD4907"><v>720193</v></cell><cell r="AE4907" t="str"><v>Facebook</v></cell><cell r="AF4907"><v>3654128</v></cell><cell r="AG4907" t="str"><v>Facebook»Developers/ITPros-Azure Direct-Sponsored Post-Video Ad-FBCTCBasicMotion_FRA_10s_RTG Landing Page»1x1»05s»SOC»ALL»CPC»BT»D»UNK»SS»NA»Trials</v></cell><cell r="AH4907"><v>224416915</v></cell><cell r="AI4907" t="str"><v>AZR_FBCTCBasicMotion_FRA_10s_VIA_AZRDirect_French_NA_Facebook_STAN_TIN_T1_1</v></cell><cell r="AJ4907"><v>103376981</v></cell></row><row r="4908"><cell r="C4908" t="str"><v>43316Facebook»Developers/ITPros-Azure Direct-Sponsored Post-Video Ad-FBCTCBenefit2inMotion_FRA_14s_RTG Landing Page»1x1»06s»SOC»ALL»CPC»BT»D»UNK»SS»NA»Trials</v></cell><cell r="D4908" t="str"><v>43316224560875</v></cell><cell r="E4908" t="str"><v>43316103259766Trials</v></cell><cell r="F4908" t="str"><v>DCM</v></cell><cell r="G4908" t="str"><v>https://signup.azure.com/signup?offer=ms-azr-0044p&appId=102&ref=paidmedia-social-fb&redirectURL=https:%2F%2Fazure.microsoft.com%2Ffr-fr%2Fget-started%2Fwelcome-to-azure%2F&l=fr-fr&correlationId=ead86c34-1f10-49dd-a72b-6918462a2cbf</v></cell></row><row r="4908"><cell r="K4908" t="str"><v>August</v></cell><cell r="L4908"><v>43316</v></cell><cell r="M4908" t="str"><v>Tier 1</v></cell><cell r="N4908" t="str"><v>EMEA</v></cell><cell r="O4908" t="str"><v>France</v></cell><cell r="P4908" t="str"><v>Trial</v></cell><cell r="Q4908" t="str"><v>Social</v></cell><cell r="R4908" t="str"><v>Azure</v></cell><cell r="S4908" t="str"><v>Apps & Infra</v></cell><cell r="T4908" t="str"><v>Developers & ITI's</v></cell><cell r="U4908" t="str"><v>Developers/ITPros-Azure Direct-Sponsored Post-Video Ad-FBCTCBenefit2inMotion_FRA_14s_RTG Landing Page</v></cell><cell r="V4908" t="str"><v>Behavioral Targeting</v></cell><cell r="W4908" t="str"><v>Social</v></cell><cell r="X4908" t="str"><v>1x1</v></cell></row><row r="4908"><cell r="AA4908"><v>43316</v></cell><cell r="AB4908" t="str"><v>FRA_gaPMG_AZR_AZR_Q1_19_AzureDirect-Trial-Social</v></cell><cell r="AC4908"><v>21356941</v></cell><cell r="AD4908"><v>720193</v></cell><cell r="AE4908" t="str"><v>Facebook</v></cell><cell r="AF4908"><v>3654128</v></cell><cell r="AG4908" t="str"><v>Facebook»Developers/ITPros-Azure Direct-Sponsored Post-Video Ad-FBCTCBenefit2inMotion_FRA_14s_RTG Landing Page»1x1»06s»SOC»ALL»CPC»BT»D»UNK»SS»NA»Trials</v></cell><cell r="AH4908"><v>224560875</v></cell><cell r="AI4908" t="str"><v>AZR_FBCTCBenefit2inMotion_FRA_14s_VIA_AZRDirect_French_NA_Facebook_STAN_TIN_T4_1</v></cell><cell r="AJ4908"><v>103259766</v></cell></row><row r="4909"><cell r="C4909" t="str"><v>43316Facebook»Developers/ITPros-Azure Direct-Sponsored Post-Video Ad-FBCTCBrandinMotion_FRA_12s_RTG Landing Page»1x1»05s»SOC»ALL»CPC»BT»D»UNK»SS»NA»Trials</v></cell><cell r="D4909" t="str"><v>43316224560863</v></cell><cell r="E4909" t="str"><v>43316103256577Trials</v></cell><cell r="F4909" t="str"><v>DCM</v></cell></row><row r="4909"><cell r="K4909" t="str"><v>August</v></cell><cell r="L4909"><v>43316</v></cell><cell r="M4909" t="str"><v>Tier 1</v></cell><cell r="N4909" t="str"><v>EMEA</v></cell><cell r="O4909" t="str"><v>France</v></cell><cell r="P4909" t="str"><v>Trial</v></cell><cell r="Q4909" t="str"><v>Social</v></cell><cell r="R4909" t="str"><v>Azure</v></cell><cell r="S4909" t="str"><v>Apps & Infra</v></cell><cell r="T4909" t="str"><v>Developers & ITI's</v></cell><cell r="U4909" t="str"><v>Developers/ITPros-Azure Direct-Sponsored Post-Video Ad-FBCTCBrandinMotion_FRA_12s_RTG Landing Page</v></cell><cell r="V4909" t="str"><v>Behavioral Targeting</v></cell><cell r="W4909" t="str"><v>Social</v></cell><cell r="X4909" t="str"><v>1x1</v></cell></row><row r="4909"><cell r="AA4909"><v>43316</v></cell><cell r="AB4909" t="str"><v>FRA_gaPMG_AZR_AZR_Q1_19_AzureDirect-Trial-Social</v></cell><cell r="AC4909"><v>21356941</v></cell><cell r="AD4909"><v>720193</v></cell><cell r="AE4909" t="str"><v>Facebook</v></cell><cell r="AF4909"><v>3654128</v></cell><cell r="AG4909" t="str"><v>Facebook»Developers/ITPros-Azure Direct-Sponsored Post-Video Ad-FBCTCBrandinMotion_FRA_12s_RTG Landing Page»1x1»05s»SOC»ALL»CPC»BT»D»UNK»SS»NA»Trials</v></cell><cell r="AH4909"><v>224560863</v></cell><cell r="AI4909" t="str"><v>AZR_FBCTCBrandinMotion_FRA_12s_VIA_AZRDirect_French_NA_Facebook_STAN_TIN_T2_1</v></cell><cell r="AJ4909"><v>103256577</v></cell></row><row r="4910"><cell r="C4910" t="str"><v>43316Facebook»Audience & Interest Targeting»1x1»SocialBan»LIA»DT»CPC»AUT»W»NA»SS»NA»Basic Motion</v></cell><cell r="D4910" t="str"><v>43316224399962</v></cell><cell r="E4910" t="str"><v>43316103230847Motion</v></cell><cell r="F4910" t="str"><v>DCM</v></cell><cell r="G4910" t="str"><v>https://azure.microsoft.com/en-gb/pricing/purchase-options/</v></cell></row><row r="4910"><cell r="K4910" t="str"><v>August</v></cell><cell r="L4910"><v>43316</v></cell><cell r="M4910" t="str"><v>Tier 1</v></cell><cell r="N4910" t="str"><v>EMEA</v></cell><cell r="O4910" t="str"><v>United Kingdom</v></cell><cell r="P4910" t="str"><v>Trial</v></cell><cell r="Q4910" t="str"><v>Social</v></cell><cell r="R4910" t="str"><v>Azure</v></cell><cell r="S4910" t="str"><v>Apps & Infra</v></cell><cell r="T4910" t="str"><v>Developers & ITI's</v></cell><cell r="U4910" t="str"><v>Audience & Interest Targeting</v></cell><cell r="V4910" t="str"><v>Audience Targeting</v></cell><cell r="W4910" t="str"><v>Link Ad</v></cell><cell r="X4910" t="str"><v>1x1</v></cell></row><row r="4910"><cell r="AA4910"><v>43316</v></cell><cell r="AB4910" t="str"><v>GBR_gaPMG_CE_AZR_Q1_19_Trial-Social</v></cell><cell r="AC4910"><v>21337013</v></cell><cell r="AD4910"><v>720196</v></cell><cell r="AE4910" t="str"><v>Facebook</v></cell><cell r="AF4910"><v>3654128</v></cell><cell r="AG4910" t="str"><v>Facebook»Audience & Interest Targeting»1x1»SocialBan»LIA»DT»CPC»AUT»W»NA»SS»NA»Basic Motion</v></cell><cell r="AH4910"><v>224399962</v></cell><cell r="AI4910" t="str"><v>AzurePlatform_FBCTCcanvaspage-BuyNowCTA-Img3_GBR_1080x162_SOC_Plat_English_NA_Standard_NA_BN_T3_1</v></cell><cell r="AJ4910"><v>103230847</v></cell></row><row r="4911"><cell r="C4911" t="str"><v>43316Facebook»Audience & Interest Targeting»1x1»SocialBan»LIA»DT»CPC»AUT»W»NA»SS»NA»Basic Motion</v></cell><cell r="D4911" t="str"><v>43316224399962</v></cell><cell r="E4911" t="str"><v>43316103235146Motion</v></cell><cell r="F4911" t="str"><v>DCM</v></cell><cell r="G4911" t="str"><v>https://signup.azure.com/signup?offer=ms-azr-0044p&appId=102&ref=paidmedia-social-fb&redirectURL=https%3a%2f%2fazure.microsoft.com%2fen-gb%2fget-started%2fwelcome-to-azure%2f&l=en-gb&correlationId=ead86c34-1f10-49dd-a72b-6918462a2cbf</v></cell></row><row r="4911"><cell r="K4911" t="str"><v>August</v></cell><cell r="L4911"><v>43316</v></cell><cell r="M4911" t="str"><v>Tier 1</v></cell><cell r="N4911" t="str"><v>EMEA</v></cell><cell r="O4911" t="str"><v>United Kingdom</v></cell><cell r="P4911" t="str"><v>Trial</v></cell><cell r="Q4911" t="str"><v>Social</v></cell><cell r="R4911" t="str"><v>Azure</v></cell><cell r="S4911" t="str"><v>Apps & Infra</v></cell><cell r="T4911" t="str"><v>Developers & ITI's</v></cell><cell r="U4911" t="str"><v>Audience & Interest Targeting</v></cell><cell r="V4911" t="str"><v>Audience Targeting</v></cell><cell r="W4911" t="str"><v>Link Ad</v></cell><cell r="X4911" t="str"><v>1x1</v></cell></row><row r="4911"><cell r="AA4911"><v>43316</v></cell><cell r="AB4911" t="str"><v>GBR_gaPMG_CE_AZR_Q1_19_Trial-Social</v></cell><cell r="AC4911"><v>21337013</v></cell><cell r="AD4911"><v>720196</v></cell><cell r="AE4911" t="str"><v>Facebook</v></cell><cell r="AF4911"><v>3654128</v></cell><cell r="AG4911" t="str"><v>Facebook»Audience & Interest Targeting»1x1»SocialBan»LIA»DT»CPC»AUT»W»NA»SS»NA»Basic Motion</v></cell><cell r="AH4911"><v>224399962</v></cell><cell r="AI4911" t="str"><v>AzurePlatform_FBCTCcanvaspage-StartFreeCTA-Img2_GBR_1080x143 _SOC_Plat_English_NA_Standard_NA_NA_T2_1</v></cell><cell r="AJ4911"><v>103235146</v></cell></row><row r="4912"><cell r="C4912" t="str"><v>43316Facebook»Audience & Interest Targeting»1x1»SocialBan»LIA»DT»CPC»AUT»W»NA»SS»NA»Benefit 2 in Motion</v></cell><cell r="D4912" t="str"><v>43316224334170</v></cell><cell r="E4912" t="str"><v>43316103235146Motion</v></cell><cell r="F4912" t="str"><v>DCM</v></cell><cell r="G4912" t="str"><v>https://signup.azure.com/signup?offer=ms-azr-0044p&appId=102&ref=paidmedia-social-fb&redirectURL=https%3a%2f%2fazure.microsoft.com%2fen-gb%2fget-started%2fwelcome-to-azure%2f&l=en-gb&correlationId=ead86c34-1f10-49dd-a72b-6918462a2cbf</v></cell></row><row r="4912"><cell r="K4912" t="str"><v>August</v></cell><cell r="L4912"><v>43316</v></cell><cell r="M4912" t="str"><v>Tier 1</v></cell><cell r="N4912" t="str"><v>EMEA</v></cell><cell r="O4912" t="str"><v>United Kingdom</v></cell><cell r="P4912" t="str"><v>Trial</v></cell><cell r="Q4912" t="str"><v>Social</v></cell><cell r="R4912" t="str"><v>Azure</v></cell><cell r="S4912" t="str"><v>Apps & Infra</v></cell><cell r="T4912" t="str"><v>Developers & ITI's</v></cell><cell r="U4912" t="str"><v>Audience & Interest Targeting</v></cell><cell r="V4912" t="str"><v>Audience Targeting</v></cell><cell r="W4912" t="str"><v>Link Ad</v></cell><cell r="X4912" t="str"><v>1x1</v></cell></row><row r="4912"><cell r="AA4912"><v>43316</v></cell><cell r="AB4912" t="str"><v>GBR_gaPMG_CE_AZR_Q1_19_Trial-Social</v></cell><cell r="AC4912"><v>21337013</v></cell><cell r="AD4912"><v>720196</v></cell><cell r="AE4912" t="str"><v>Facebook</v></cell><cell r="AF4912"><v>3654128</v></cell><cell r="AG4912" t="str"><v>Facebook»Audience & Interest Targeting»1x1»SocialBan»LIA»DT»CPC»AUT»W»NA»SS»NA»Benefit 2 in Motion</v></cell><cell r="AH4912"><v>224334170</v></cell><cell r="AI4912" t="str"><v>AzurePlatform_FBCTCcanvaspage-StartFreeCTA-Img2_GBR_1080x143 _SOC_Plat_English_NA_Standard_NA_NA_T2_1</v></cell><cell r="AJ4912"><v>103235146</v></cell></row><row r="4913"><cell r="C4913" t="str"><v>43316Facebook»Audience & Interest Targeting»1x1»SocialBan»LIA»DT»CPC»AUT»W»NA»SS»NA»Brand in Motion</v></cell><cell r="D4913" t="str"><v>43316224549481</v></cell><cell r="E4913" t="str"><v>43316103235146Motion</v></cell><cell r="F4913" t="str"><v>DCM</v></cell><cell r="G4913" t="str"><v>https://signup.azure.com/signup?offer=ms-azr-0044p&appId=102&ref=paidmedia-social-fb&redirectURL=https%3a%2f%2fazure.microsoft.com%2fen-gb%2fget-started%2fwelcome-to-azure%2f&l=en-gb&correlationId=ead86c34-1f10-49dd-a72b-6918462a2cbf</v></cell></row><row r="4913"><cell r="K4913" t="str"><v>August</v></cell><cell r="L4913"><v>43316</v></cell><cell r="M4913" t="str"><v>Tier 1</v></cell><cell r="N4913" t="str"><v>EMEA</v></cell><cell r="O4913" t="str"><v>United Kingdom</v></cell><cell r="P4913" t="str"><v>Trial</v></cell><cell r="Q4913" t="str"><v>Social</v></cell><cell r="R4913" t="str"><v>Azure</v></cell><cell r="S4913" t="str"><v>Apps & Infra</v></cell><cell r="T4913" t="str"><v>Developers & ITI's</v></cell><cell r="U4913" t="str"><v>Audience & Interest Targeting</v></cell><cell r="V4913" t="str"><v>Audience Targeting</v></cell><cell r="W4913" t="str"><v>Link Ad</v></cell><cell r="X4913" t="str"><v>1x1</v></cell></row><row r="4913"><cell r="AA4913"><v>43316</v></cell><cell r="AB4913" t="str"><v>GBR_gaPMG_CE_AZR_Q1_19_Trial-Social</v></cell><cell r="AC4913"><v>21337013</v></cell><cell r="AD4913"><v>720196</v></cell><cell r="AE4913" t="str"><v>Facebook</v></cell><cell r="AF4913"><v>3654128</v></cell><cell r="AG4913" t="str"><v>Facebook»Audience & Interest Targeting»1x1»SocialBan»LIA»DT»CPC»AUT»W»NA»SS»NA»Brand in Motion</v></cell><cell r="AH4913"><v>224549481</v></cell><cell r="AI4913" t="str"><v>AzurePlatform_FBCTCcanvaspage-StartFreeCTA-Img2_GBR_1080x143 _SOC_Plat_English_NA_Standard_NA_NA_T2_1</v></cell><cell r="AJ4913"><v>103235146</v></cell></row><row r="4914"><cell r="C4914" t="str"><v>43316Facebook»Audience & Interest Targeting»1x1»SocialBan»LIA»DT»DYN»AUT»W»NA»SS»NA»Free Account Refresh- 12 months ChE</v></cell><cell r="D4914" t="str"><v>43316223567691</v></cell><cell r="E4914" t="str"><v>43316102854007hs ChE</v></cell><cell r="F4914" t="str"><v>DCM</v></cell><cell r="G4914" t="str"><v>https://azure.microsoft.com/en-gb/free/search/</v></cell></row><row r="4914"><cell r="K4914" t="str"><v>August</v></cell><cell r="L4914"><v>43316</v></cell><cell r="M4914" t="str"><v>Tier 1</v></cell><cell r="N4914" t="str"><v>EMEA</v></cell><cell r="O4914" t="str"><v>United Kingdom</v></cell><cell r="P4914" t="str"><v>Trial</v></cell><cell r="Q4914" t="str"><v>Social</v></cell><cell r="R4914" t="str"><v>Azure</v></cell><cell r="S4914" t="str"><v>Apps & Infra</v></cell><cell r="T4914" t="str"><v>Developers & ITI's</v></cell><cell r="U4914" t="str"><v>Audience & Interest Targeting</v></cell><cell r="V4914" t="str"><v>Audience Targeting</v></cell><cell r="W4914" t="str"><v>Link Ad</v></cell><cell r="X4914" t="str"><v>1x1</v></cell></row><row r="4914"><cell r="AA4914"><v>43316</v></cell><cell r="AB4914" t="str"><v>GBR_gaPMG_CE_AZR_Q1_19_Trial-Social</v></cell><cell r="AC4914"><v>21337013</v></cell><cell r="AD4914"><v>720196</v></cell><cell r="AE4914" t="str"><v>Facebook</v></cell><cell r="AF4914"><v>3654128</v></cell><cell r="AG4914" t="str"><v>Facebook»Audience & Interest Targeting»1x1»SocialBan»LIA»DT»DYN»AUT»W»NA»SS»NA»Free Account Refresh- 12 months ChE</v></cell><cell r="AH4914"><v>223567691</v></cell><cell r="AI4914" t="str"><v>AzurePlatform_FreeAcctAppsFACEBOOK12monthsChE_GBR_1200x628_SOC_PLAT_EN_Trial_Standard_NA_SU_T5_1</v></cell><cell r="AJ4914"><v>102854007</v></cell></row><row r="4915"><cell r="C4915" t="str"><v>43316Facebook»Audience & Interest Targeting»1x1»SocialBan»LIA»DT»DYN»AUT»W»NA»SS»NA»Free Account Refresh- 200 Credit ChD</v></cell><cell r="D4915" t="str"><v>43316223560359</v></cell><cell r="E4915" t="str"><v>43316103005662it ChD</v></cell><cell r="F4915" t="str"><v>DCM</v></cell><cell r="G4915" t="str"><v>https://azure.microsoft.com/en-gb/free/search/</v></cell></row><row r="4915"><cell r="K4915" t="str"><v>August</v></cell><cell r="L4915"><v>43316</v></cell><cell r="M4915" t="str"><v>Tier 1</v></cell><cell r="N4915" t="str"><v>EMEA</v></cell><cell r="O4915" t="str"><v>United Kingdom</v></cell><cell r="P4915" t="str"><v>Trial</v></cell><cell r="Q4915" t="str"><v>Social</v></cell><cell r="R4915" t="str"><v>Azure</v></cell><cell r="S4915" t="str"><v>Apps & Infra</v></cell><cell r="T4915" t="str"><v>Developers & ITI's</v></cell><cell r="U4915" t="str"><v>Audience & Interest Targeting</v></cell><cell r="V4915" t="str"><v>Audience Targeting</v></cell><cell r="W4915" t="str"><v>Link Ad</v></cell><cell r="X4915" t="str"><v>1x1</v></cell></row><row r="4915"><cell r="AA4915"><v>43316</v></cell><cell r="AB4915" t="str"><v>GBR_gaPMG_CE_AZR_Q1_19_Trial-Social</v></cell><cell r="AC4915"><v>21337013</v></cell><cell r="AD4915"><v>720196</v></cell><cell r="AE4915" t="str"><v>Facebook</v></cell><cell r="AF4915"><v>3654128</v></cell><cell r="AG4915" t="str"><v>Facebook»Audience & Interest Targeting»1x1»SocialBan»LIA»DT»DYN»AUT»W»NA»SS»NA»Free Account Refresh- 200 Credit ChD</v></cell><cell r="AH4915"><v>223560359</v></cell><cell r="AI4915" t="str"><v>AzurePlatform_FreeAcctAppsFACEBOOK200CreditChD_GBR_1200x628_SOC_PLAT_EN_Trial_Standard_NA_SU_T4_1</v></cell><cell r="AJ4915"><v>103005662</v></cell></row><row r="4916"><cell r="C4916" t="str"><v>43316Facebook»Audience & Interest Targeting»1x1»SocialBan»LIA»DT»DYN»AUT»W»NA»SS»NA»Free Account Refresh- Device ChB</v></cell><cell r="D4916" t="str"><v>43316223560353</v></cell><cell r="E4916" t="str"><v>43316102854010ce ChB</v></cell><cell r="F4916" t="str"><v>DCM</v></cell><cell r="G4916" t="str"><v>https://azure.microsoft.com/en-gb/free/search/</v></cell></row><row r="4916"><cell r="K4916" t="str"><v>August</v></cell><cell r="L4916"><v>43316</v></cell><cell r="M4916" t="str"><v>Tier 1</v></cell><cell r="N4916" t="str"><v>EMEA</v></cell><cell r="O4916" t="str"><v>United Kingdom</v></cell><cell r="P4916" t="str"><v>Trial</v></cell><cell r="Q4916" t="str"><v>Social</v></cell><cell r="R4916" t="str"><v>Azure</v></cell><cell r="S4916" t="str"><v>Apps & Infra</v></cell><cell r="T4916" t="str"><v>Developers & ITI's</v></cell><cell r="U4916" t="str"><v>Audience & Interest Targeting</v></cell><cell r="V4916" t="str"><v>Audience Targeting</v></cell><cell r="W4916" t="str"><v>Link Ad</v></cell><cell r="X4916" t="str"><v>1x1</v></cell></row><row r="4916"><cell r="AA4916"><v>43316</v></cell><cell r="AB4916" t="str"><v>GBR_gaPMG_CE_AZR_Q1_19_Trial-Social</v></cell><cell r="AC4916"><v>21337013</v></cell><cell r="AD4916"><v>720196</v></cell><cell r="AE4916" t="str"><v>Facebook</v></cell><cell r="AF4916"><v>3654128</v></cell><cell r="AG4916" t="str"><v>Facebook»Audience & Interest Targeting»1x1»SocialBan»LIA»DT»DYN»AUT»W»NA»SS»NA»Free Account Refresh- Device ChB</v></cell><cell r="AH4916"><v>223560353</v></cell><cell r="AI4916" t="str"><v>AzurePlatform_FreeAcctAppsFACEBOOKDeviceChB_GBR_1200x628_SOC_PLAT_EN_Trial_Standard_NA_SU_T2_1</v></cell><cell r="AJ4916"><v>102854010</v></cell></row><row r="4917"><cell r="C4917" t="str"><v>43316Facebook»Audience & Interest Targeting»1x1»SocialBan»LIA»DT»DYN»AUT»W»NA»SS»NA»Free Account Refresh- Illustration ChC</v></cell><cell r="D4917" t="str"><v>43316223560347</v></cell><cell r="E4917" t="str"><v>43316102857037on ChC</v></cell><cell r="F4917" t="str"><v>DCM</v></cell><cell r="G4917" t="str"><v>https://azure.microsoft.com/en-gb/free/search/</v></cell></row><row r="4917"><cell r="K4917" t="str"><v>August</v></cell><cell r="L4917"><v>43316</v></cell><cell r="M4917" t="str"><v>Tier 1</v></cell><cell r="N4917" t="str"><v>EMEA</v></cell><cell r="O4917" t="str"><v>United Kingdom</v></cell><cell r="P4917" t="str"><v>Trial</v></cell><cell r="Q4917" t="str"><v>Social</v></cell><cell r="R4917" t="str"><v>Azure</v></cell><cell r="S4917" t="str"><v>Apps & Infra</v></cell><cell r="T4917" t="str"><v>Developers & ITI's</v></cell><cell r="U4917" t="str"><v>Audience & Interest Targeting</v></cell><cell r="V4917" t="str"><v>Audience Targeting</v></cell><cell r="W4917" t="str"><v>Link Ad</v></cell><cell r="X4917" t="str"><v>1x1</v></cell></row><row r="4917"><cell r="AA4917"><v>43316</v></cell><cell r="AB4917" t="str"><v>GBR_gaPMG_CE_AZR_Q1_19_Trial-Social</v></cell><cell r="AC4917"><v>21337013</v></cell><cell r="AD4917"><v>720196</v></cell><cell r="AE4917" t="str"><v>Facebook</v></cell><cell r="AF4917"><v>3654128</v></cell><cell r="AG4917" t="str"><v>Facebook»Audience & Interest Targeting»1x1»SocialBan»LIA»DT»DYN»AUT»W»NA»SS»NA»Free Account Refresh- Illustration ChC</v></cell><cell r="AH4917"><v>223560347</v></cell><cell r="AI4917" t="str"><v>AzurePlatform_FreeAcctAppsFACEBOOKIllustrationChC_GBR_1200x628_SOC_PLAT_EN_Trial_Standard_NA_SU_T3_1</v></cell><cell r="AJ4917"><v>102857037</v></cell></row><row r="4918"><cell r="C4918" t="str"><v>43316Facebook»Audience & Interest Targeting»1x1»SocialBan»LIA»DT»DYN»AUT»W»NA»SS»NA»Free Account Refresh- Lifestyle ChA</v></cell><cell r="D4918" t="str"><v>43316223560341</v></cell><cell r="E4918" t="str"><v>43316102853597le ChA</v></cell><cell r="F4918" t="str"><v>DCM</v></cell><cell r="G4918" t="str"><v>https://azure.microsoft.com/en-gb/free/search/</v></cell></row><row r="4918"><cell r="K4918" t="str"><v>August</v></cell><cell r="L4918"><v>43316</v></cell><cell r="M4918" t="str"><v>Tier 1</v></cell><cell r="N4918" t="str"><v>EMEA</v></cell><cell r="O4918" t="str"><v>United Kingdom</v></cell><cell r="P4918" t="str"><v>Trial</v></cell><cell r="Q4918" t="str"><v>Social</v></cell><cell r="R4918" t="str"><v>Azure</v></cell><cell r="S4918" t="str"><v>Apps & Infra</v></cell><cell r="T4918" t="str"><v>Developers & ITI's</v></cell><cell r="U4918" t="str"><v>Audience & Interest Targeting</v></cell><cell r="V4918" t="str"><v>Audience Targeting</v></cell><cell r="W4918" t="str"><v>Link Ad</v></cell><cell r="X4918" t="str"><v>1x1</v></cell></row><row r="4918"><cell r="AA4918"><v>43316</v></cell><cell r="AB4918" t="str"><v>GBR_gaPMG_CE_AZR_Q1_19_Trial-Social</v></cell><cell r="AC4918"><v>21337013</v></cell><cell r="AD4918"><v>720196</v></cell><cell r="AE4918" t="str"><v>Facebook</v></cell><cell r="AF4918"><v>3654128</v></cell><cell r="AG4918" t="str"><v>Facebook»Audience & Interest Targeting»1x1»SocialBan»LIA»DT»DYN»AUT»W»NA»SS»NA»Free Account Refresh- Lifestyle ChA</v></cell><cell r="AH4918"><v>223560341</v></cell><cell r="AI4918" t="str"><v>AzurePlatform_FreeAcctAppsFACEBOOKLifestyleChA_GBR_1200x628_SOC_PLAT_EN_Trial_Standard_NA_SU_T1_1</v></cell><cell r="AJ4918"><v>102853597</v></cell></row><row r="4919"><cell r="C4919" t="str"><v>43316Facebook»Retargeting»1x1»SocialBan»LIA»DT»DYN»RT»W»NA»SS»NA»Free Account Retargeting Generic- Animated ChC</v></cell><cell r="D4919" t="str"><v>43316223560299</v></cell><cell r="E4919" t="str"><v>43316102854019ed ChC</v></cell><cell r="F4919" t="str"><v>DCM</v></cell><cell r="G4919" t="str"><v>https://azure.microsoft.com/en-gb/free/search/</v></cell></row><row r="4919"><cell r="K4919" t="str"><v>August</v></cell><cell r="L4919"><v>43316</v></cell><cell r="M4919" t="str"><v>Tier 1</v></cell><cell r="N4919" t="str"><v>EMEA</v></cell><cell r="O4919" t="str"><v>United Kingdom</v></cell><cell r="P4919" t="str"><v>Trial</v></cell><cell r="Q4919" t="str"><v>Social</v></cell><cell r="R4919" t="str"><v>Azure</v></cell><cell r="S4919" t="str"><v>Apps & Infra</v></cell><cell r="T4919" t="str"><v>Developers & ITI's</v></cell><cell r="U4919" t="str"><v>Retargeting</v></cell><cell r="V4919" t="str"><v>Retargeting</v></cell><cell r="W4919" t="str"><v>Link Ad</v></cell><cell r="X4919" t="str"><v>1x1</v></cell></row><row r="4919"><cell r="AA4919"><v>43316</v></cell><cell r="AB4919" t="str"><v>GBR_gaPMG_CE_AZR_Q1_19_Trial-Social</v></cell><cell r="AC4919"><v>21337013</v></cell><cell r="AD4919"><v>720196</v></cell><cell r="AE4919" t="str"><v>Facebook</v></cell><cell r="AF4919"><v>3654128</v></cell><cell r="AG4919" t="str"><v>Facebook»Retargeting»1x1»SocialBan»LIA»DT»DYN»RT»W»NA»SS»NA»Free Account Retargeting Generic- Animated ChC</v></cell><cell r="AH4919"><v>223560299</v></cell><cell r="AI4919" t="str"><v>AzurePlatform_FreeAcctRetargetingFB-Animated-ChC_GBR_1200x628_SOC_Plat_EN_Free Account_Standard_ANI_SU_T3_1</v></cell><cell r="AJ4919"><v>102854019</v></cell></row><row r="4920"><cell r="C4920" t="str"><v>43316Facebook»Retargeting»1x1»SocialBan»LIA»DT»DYN»RT»W»NA»SS»NA»Free Account Retargeting Generic- Global Alt ChB</v></cell><cell r="D4920" t="str"><v>43316223560356</v></cell><cell r="E4920" t="str"><v>43316102854016lt ChB</v></cell><cell r="F4920" t="str"><v>DCM</v></cell><cell r="G4920" t="str"><v>https://azure.microsoft.com/en-gb/free/search/</v></cell></row><row r="4920"><cell r="K4920" t="str"><v>August</v></cell><cell r="L4920"><v>43316</v></cell><cell r="M4920" t="str"><v>Tier 1</v></cell><cell r="N4920" t="str"><v>EMEA</v></cell><cell r="O4920" t="str"><v>United Kingdom</v></cell><cell r="P4920" t="str"><v>Trial</v></cell><cell r="Q4920" t="str"><v>Social</v></cell><cell r="R4920" t="str"><v>Azure</v></cell><cell r="S4920" t="str"><v>Apps & Infra</v></cell><cell r="T4920" t="str"><v>Developers & ITI's</v></cell><cell r="U4920" t="str"><v>Retargeting</v></cell><cell r="V4920" t="str"><v>Retargeting</v></cell><cell r="W4920" t="str"><v>Link Ad</v></cell><cell r="X4920" t="str"><v>1x1</v></cell></row><row r="4920"><cell r="AA4920"><v>43316</v></cell><cell r="AB4920" t="str"><v>GBR_gaPMG_CE_AZR_Q1_19_Trial-Social</v></cell><cell r="AC4920"><v>21337013</v></cell><cell r="AD4920"><v>720196</v></cell><cell r="AE4920" t="str"><v>Facebook</v></cell><cell r="AF4920"><v>3654128</v></cell><cell r="AG4920" t="str"><v>Facebook»Retargeting»1x1»SocialBan»LIA»DT»DYN»RT»W»NA»SS»NA»Free Account Retargeting Generic- Global Alt ChB</v></cell><cell r="AH4920"><v>223560356</v></cell><cell r="AI4920" t="str"><v>AzurePlatform_FreeAcctRetargetingFB-GlobalAlt-ChB_GBR_1200x628_SOC_Plat_EN_Free Account_Standard_NA_SU_T2_1</v></cell><cell r="AJ4920"><v>102854016</v></cell></row><row r="4921"><cell r="C4921" t="str"><v>43316Facebook»Retargeting»1x1»SocialBan»LIA»DT»DYN»RT»W»NA»SS»NA»Free Account Retargeting OSS- Logos ChG</v></cell><cell r="D4921" t="str"><v>43316223560350</v></cell><cell r="E4921" t="str"><v>43316103006547os ChG</v></cell><cell r="F4921" t="str"><v>DCM</v></cell><cell r="G4921" t="str"><v>https://azure.microsoft.com/en-gb/free/open-source/search/</v></cell></row><row r="4921"><cell r="K4921" t="str"><v>August</v></cell><cell r="L4921"><v>43316</v></cell><cell r="M4921" t="str"><v>Tier 1</v></cell><cell r="N4921" t="str"><v>EMEA</v></cell><cell r="O4921" t="str"><v>United Kingdom</v></cell><cell r="P4921" t="str"><v>Trial</v></cell><cell r="Q4921" t="str"><v>Social</v></cell><cell r="R4921" t="str"><v>Azure</v></cell><cell r="S4921" t="str"><v>Apps & Infra</v></cell><cell r="T4921" t="str"><v>Developers & ITI's</v></cell><cell r="U4921" t="str"><v>Retargeting</v></cell><cell r="V4921" t="str"><v>Retargeting</v></cell><cell r="W4921" t="str"><v>Link Ad</v></cell><cell r="X4921" t="str"><v>1x1</v></cell></row><row r="4921"><cell r="AA4921"><v>43316</v></cell><cell r="AB4921" t="str"><v>GBR_gaPMG_CE_AZR_Q1_19_Trial-Social</v></cell><cell r="AC4921"><v>21337013</v></cell><cell r="AD4921"><v>720196</v></cell><cell r="AE4921" t="str"><v>Facebook</v></cell><cell r="AF4921"><v>3654128</v></cell><cell r="AG4921" t="str"><v>Facebook»Retargeting»1x1»SocialBan»LIA»DT»DYN»RT»W»NA»SS»NA»Free Account Retargeting OSS- Logos ChG</v></cell><cell r="AH4921"><v>223560350</v></cell><cell r="AI4921" t="str"><v>AzurePlatform_FreeAcctRetargetingOSSFB-Logos-ChG_GBR_1200x628_SOC_Plat_EN_Free Account_Standard_NA_SU_T2_1</v></cell><cell r="AJ4921"><v>103006547</v></cell></row><row r="4922"><cell r="C4922" t="str"><v>43316Facebook»Retargeting»1x1»SocialBan»LIA»DT»DYN»RT»W»NA»SS»NA»Free Account Retargeting OSS- Text ChF</v></cell><cell r="D4922" t="str"><v>43316223560344</v></cell><cell r="E4922" t="str"><v>43316102861246xt ChF</v></cell><cell r="F4922" t="str"><v>DCM</v></cell><cell r="G4922" t="str"><v>https://azure.microsoft.com/en-gb/free/open-source/search/</v></cell></row><row r="4922"><cell r="K4922" t="str"><v>August</v></cell><cell r="L4922"><v>43316</v></cell><cell r="M4922" t="str"><v>Tier 1</v></cell><cell r="N4922" t="str"><v>EMEA</v></cell><cell r="O4922" t="str"><v>United Kingdom</v></cell><cell r="P4922" t="str"><v>Trial</v></cell><cell r="Q4922" t="str"><v>Social</v></cell><cell r="R4922" t="str"><v>Azure</v></cell><cell r="S4922" t="str"><v>Apps & Infra</v></cell><cell r="T4922" t="str"><v>Developers & ITI's</v></cell><cell r="U4922" t="str"><v>Retargeting</v></cell><cell r="V4922" t="str"><v>Retargeting</v></cell><cell r="W4922" t="str"><v>Link Ad</v></cell><cell r="X4922" t="str"><v>1x1</v></cell></row><row r="4922"><cell r="AA4922"><v>43316</v></cell><cell r="AB4922" t="str"><v>GBR_gaPMG_CE_AZR_Q1_19_Trial-Social</v></cell><cell r="AC4922"><v>21337013</v></cell><cell r="AD4922"><v>720196</v></cell><cell r="AE4922" t="str"><v>Facebook</v></cell><cell r="AF4922"><v>3654128</v></cell><cell r="AG4922" t="str"><v>Facebook»Retargeting»1x1»SocialBan»LIA»DT»DYN»RT»W»NA»SS»NA»Free Account Retargeting OSS- Text ChF</v></cell><cell r="AH4922"><v>223560344</v></cell><cell r="AI4922" t="str"><v>AzurePlatform_FreeAcctRetargetingOSSFB-Text-ChF_GBR_1200x628_SOC_Plat_EN_Free Account_Standard_NA_SU_T1_1</v></cell><cell r="AJ4922"><v>102861246</v></cell></row><row r="4923"><cell r="C4923" t="str"><v>43316Facebook»Retargeting»1x1»SocialBan»LIA»DT»DYN»RT»W»NA»SS»NA»Free Account Retargeting VM- 750 Hrs ChD</v></cell><cell r="D4923" t="str"><v>43316223560338</v></cell><cell r="E4923" t="str"><v>43316102853603rs ChD</v></cell><cell r="F4923" t="str"><v>DCM</v></cell><cell r="G4923" t="str"><v>https://azure.microsoft.com/en-gb/free/virtual-machines/search/</v></cell></row><row r="4923"><cell r="K4923" t="str"><v>August</v></cell><cell r="L4923"><v>43316</v></cell><cell r="M4923" t="str"><v>Tier 1</v></cell><cell r="N4923" t="str"><v>EMEA</v></cell><cell r="O4923" t="str"><v>United Kingdom</v></cell><cell r="P4923" t="str"><v>Trial</v></cell><cell r="Q4923" t="str"><v>Social</v></cell><cell r="R4923" t="str"><v>Azure</v></cell><cell r="S4923" t="str"><v>Apps & Infra</v></cell><cell r="T4923" t="str"><v>Developers & ITI's</v></cell><cell r="U4923" t="str"><v>Retargeting</v></cell><cell r="V4923" t="str"><v>Retargeting</v></cell><cell r="W4923" t="str"><v>Link Ad</v></cell><cell r="X4923" t="str"><v>1x1</v></cell></row><row r="4923"><cell r="AA4923"><v>43316</v></cell><cell r="AB4923" t="str"><v>GBR_gaPMG_CE_AZR_Q1_19_Trial-Social</v></cell><cell r="AC4923"><v>21337013</v></cell><cell r="AD4923"><v>720196</v></cell><cell r="AE4923" t="str"><v>Facebook</v></cell><cell r="AF4923"><v>3654128</v></cell><cell r="AG4923" t="str"><v>Facebook»Retargeting»1x1»SocialBan»LIA»DT»DYN»RT»W»NA»SS»NA»Free Account Retargeting VM- 750 Hrs ChD</v></cell><cell r="AH4923"><v>223560338</v></cell><cell r="AI4923" t="str"><v>AzurePlatform_FreeAcctRetargetingVMFB-750Hrs-ChD_GBR_1200x628_SOC_Plat_EN_Free Account_Standard_NA_SU_T1_1</v></cell><cell r="AJ4923"><v>102853603</v></cell></row><row r="4924"><cell r="C4924" t="str"><v>43316Facebook»Retargeting»1x1»SocialBan»LIA»DT»DYN»RT»W»NA»SS»NA»Free Account Retargeting VM- On Demand ChE</v></cell><cell r="D4924" t="str"><v>43316223560332</v></cell><cell r="E4924" t="str"><v>43316102854037nd ChE</v></cell><cell r="F4924" t="str"><v>DCM</v></cell><cell r="G4924" t="str"><v>https://azure.microsoft.com/en-gb/free/virtual-machines/search/</v></cell></row><row r="4924"><cell r="K4924" t="str"><v>August</v></cell><cell r="L4924"><v>43316</v></cell><cell r="M4924" t="str"><v>Tier 1</v></cell><cell r="N4924" t="str"><v>EMEA</v></cell><cell r="O4924" t="str"><v>United Kingdom</v></cell><cell r="P4924" t="str"><v>Trial</v></cell><cell r="Q4924" t="str"><v>Social</v></cell><cell r="R4924" t="str"><v>Azure</v></cell><cell r="S4924" t="str"><v>Apps & Infra</v></cell><cell r="T4924" t="str"><v>Developers & ITI's</v></cell><cell r="U4924" t="str"><v>Retargeting</v></cell><cell r="V4924" t="str"><v>Retargeting</v></cell><cell r="W4924" t="str"><v>Link Ad</v></cell><cell r="X4924" t="str"><v>1x1</v></cell></row><row r="4924"><cell r="AA4924"><v>43316</v></cell><cell r="AB4924" t="str"><v>GBR_gaPMG_CE_AZR_Q1_19_Trial-Social</v></cell><cell r="AC4924"><v>21337013</v></cell><cell r="AD4924"><v>720196</v></cell><cell r="AE4924" t="str"><v>Facebook</v></cell><cell r="AF4924"><v>3654128</v></cell><cell r="AG4924" t="str"><v>Facebook»Retargeting»1x1»SocialBan»LIA»DT»DYN»RT»W»NA»SS»NA»Free Account Retargeting VM- On Demand ChE</v></cell><cell r="AH4924"><v>223560332</v></cell><cell r="AI4924" t="str"><v>AzurePlatform_FreeAcctRetargetingVMFB-OnDemand-ChE_GBR_1200x628_SOC_Plat_EN_Free Account_Standard_NA_SU_T2_1</v></cell><cell r="AJ4924"><v>102854037</v></cell></row><row r="4925"><cell r="C4925" t="str"><v>43316Facebook»AZP-Canvas-Interest&Role-Trial»1x1»Canvas»OTH»MO»CPM»PRO»X»UNK»TP»OT»Canvas-Trial</v></cell><cell r="D4925" t="str"><v>43316223298805</v></cell><cell r="E4925" t="str"><v>43316102630373-Trial</v></cell><cell r="F4925" t="str"><v>DCM</v></cell><cell r="G4925" t="str"><v>https://azure.microsoft.com/ja-jp/pricing/purchase-options/</v></cell></row><row r="4925"><cell r="K4925" t="str"><v>August</v></cell><cell r="L4925"><v>43316</v></cell><cell r="M4925" t="str"><v>Tier 1</v></cell><cell r="N4925" t="str"><v>APAC</v></cell><cell r="O4925" t="str"><v>Japan</v></cell><cell r="P4925" t="str"><v>Trial</v></cell><cell r="Q4925" t="str"><v>Social</v></cell><cell r="R4925" t="str"><v>Azure</v></cell><cell r="S4925" t="str"><v>Apps & Infra</v></cell><cell r="T4925" t="str"><v>Developers & ITI's</v></cell><cell r="U4925" t="str"><v>AZP-Canvas-Interest&Role-Trial</v></cell><cell r="V4925" t="str"><v>Prospecting</v></cell><cell r="W4925" t="str"><v>Other</v></cell><cell r="X4925" t="str"><v>1x1</v></cell></row><row r="4925"><cell r="AA4925"><v>43316</v></cell><cell r="AB4925" t="str"><v>JPN_gaPMG_AZR_AZR_Q1_19_Trial-Social</v></cell><cell r="AC4925"><v>21276694</v></cell><cell r="AD4925"><v>720195</v></cell><cell r="AE4925" t="str"><v>Facebook</v></cell><cell r="AF4925"><v>3654128</v></cell><cell r="AG4925" t="str"><v>Facebook»AZP-Canvas-Interest&Role-Trial»1x1»Canvas»OTH»MO»CPM»PRO»X»UNK»TP»OT»Canvas-Trial</v></cell><cell r="AH4925"><v>223298805</v></cell><cell r="AI4925" t="str"><v>AzurePlatform_FBCTCcanvaspage-BuyNowCTA-Img3_JPN_1080x162_SOC_Plat_Japanese_NA_Standard_NA_BN_T3_1</v></cell><cell r="AJ4925"><v>102630373</v></cell></row><row r="4926"><cell r="C4926" t="str"><v>43316Facebook»AZP-Canvas-Interest&Role-Trial»1x1»Canvas»OTH»MO»CPM»PRO»X»UNK»TP»OT»Canvas-Trial</v></cell><cell r="D4926" t="str"><v>43316223298805</v></cell><cell r="E4926" t="str"><v>43316102609621-Trial</v></cell><cell r="F4926" t="str"><v>DCM</v></cell><cell r="G4926" t="str"><v>https://signup.azure.com/signup?offer=ms-azr-0044p&appId=102&ref=paidmedia-social-fb&redirectURL=https%3a%2f%2fazure.microsoft.com%2fja-jp%2fget-started%2fwelcome-to-azure%2f&l=ja-jp&correlationId=ead86c34-1f10-49dd-a72b-6918462a2cbf</v></cell></row><row r="4926"><cell r="K4926" t="str"><v>August</v></cell><cell r="L4926"><v>43316</v></cell><cell r="M4926" t="str"><v>Tier 1</v></cell><cell r="N4926" t="str"><v>APAC</v></cell><cell r="O4926" t="str"><v>Japan</v></cell><cell r="P4926" t="str"><v>Trial</v></cell><cell r="Q4926" t="str"><v>Social</v></cell><cell r="R4926" t="str"><v>Azure</v></cell><cell r="S4926" t="str"><v>Apps & Infra</v></cell><cell r="T4926" t="str"><v>Developers & ITI's</v></cell><cell r="U4926" t="str"><v>AZP-Canvas-Interest&Role-Trial</v></cell><cell r="V4926" t="str"><v>Prospecting</v></cell><cell r="W4926" t="str"><v>Other</v></cell><cell r="X4926" t="str"><v>1x1</v></cell></row><row r="4926"><cell r="AA4926"><v>43316</v></cell><cell r="AB4926" t="str"><v>JPN_gaPMG_AZR_AZR_Q1_19_Trial-Social</v></cell><cell r="AC4926"><v>21276694</v></cell><cell r="AD4926"><v>720195</v></cell><cell r="AE4926" t="str"><v>Facebook</v></cell><cell r="AF4926"><v>3654128</v></cell><cell r="AG4926" t="str"><v>Facebook»AZP-Canvas-Interest&Role-Trial»1x1»Canvas»OTH»MO»CPM»PRO»X»UNK»TP»OT»Canvas-Trial</v></cell><cell r="AH4926"><v>223298805</v></cell><cell r="AI4926" t="str"><v>AzurePlatform_FBCTCcanvaspage-StartFreeCTA-Img2_JPN_1080x143 _SOC_Plat_Japanese_NA_Standard_NA_NA_T2_1</v></cell><cell r="AJ4926"><v>102609621</v></cell></row><row r="4927"><cell r="C4927" t="str"><v>43316Facebook»AZP-Canvas-Look a Like-Trial»1x1»Canvas»OTH»MO»CPM»PRO»X»UNK»TP»OT»Canvas-Trial</v></cell><cell r="D4927" t="str"><v>43316223297413</v></cell><cell r="E4927" t="str"><v>43316102630373-Trial</v></cell><cell r="F4927" t="str"><v>DCM</v></cell><cell r="G4927" t="str"><v>https://azure.microsoft.com/ja-jp/pricing/purchase-options/</v></cell></row><row r="4927"><cell r="K4927" t="str"><v>August</v></cell><cell r="L4927"><v>43316</v></cell><cell r="M4927" t="str"><v>Tier 1</v></cell><cell r="N4927" t="str"><v>APAC</v></cell><cell r="O4927" t="str"><v>Japan</v></cell><cell r="P4927" t="str"><v>Trial</v></cell><cell r="Q4927" t="str"><v>Social</v></cell><cell r="R4927" t="str"><v>Azure</v></cell><cell r="S4927" t="str"><v>Apps & Infra</v></cell><cell r="T4927" t="str"><v>Developers & ITI's</v></cell><cell r="U4927" t="str"><v>AZP-Canvas-Look a Like-Trial</v></cell><cell r="V4927" t="str"><v>Prospecting</v></cell><cell r="W4927" t="str"><v>Other</v></cell><cell r="X4927" t="str"><v>1x1</v></cell></row><row r="4927"><cell r="AA4927"><v>43316</v></cell><cell r="AB4927" t="str"><v>JPN_gaPMG_AZR_AZR_Q1_19_Trial-Social</v></cell><cell r="AC4927"><v>21276694</v></cell><cell r="AD4927"><v>720195</v></cell><cell r="AE4927" t="str"><v>Facebook</v></cell><cell r="AF4927"><v>3654128</v></cell><cell r="AG4927" t="str"><v>Facebook»AZP-Canvas-Look a Like-Trial»1x1»Canvas»OTH»MO»CPM»PRO»X»UNK»TP»OT»Canvas-Trial</v></cell><cell r="AH4927"><v>223297413</v></cell><cell r="AI4927" t="str"><v>AzurePlatform_FBCTCcanvaspage-BuyNowCTA-Img3_JPN_1080x162_SOC_Plat_Japanese_NA_Standard_NA_BN_T3_1</v></cell><cell r="AJ4927"><v>102630373</v></cell></row><row r="4928"><cell r="C4928" t="str"><v>43316Facebook»AZP-Canvas-Look a Like-Trial»1x1»Canvas»OTH»MO»CPM»PRO»X»UNK»TP»OT»Canvas-Trial</v></cell><cell r="D4928" t="str"><v>43316223297413</v></cell><cell r="E4928" t="str"><v>43316102609621-Trial</v></cell><cell r="F4928" t="str"><v>DCM</v></cell><cell r="G4928" t="str"><v>https://signup.azure.com/signup?offer=ms-azr-0044p&appId=102&ref=paidmedia-social-fb&redirectURL=https%3a%2f%2fazure.microsoft.com%2fja-jp%2fget-started%2fwelcome-to-azure%2f&l=ja-jp&correlationId=ead86c34-1f10-49dd-a72b-6918462a2cbf</v></cell></row><row r="4928"><cell r="K4928" t="str"><v>August</v></cell><cell r="L4928"><v>43316</v></cell><cell r="M4928" t="str"><v>Tier 1</v></cell><cell r="N4928" t="str"><v>APAC</v></cell><cell r="O4928" t="str"><v>Japan</v></cell><cell r="P4928" t="str"><v>Trial</v></cell><cell r="Q4928" t="str"><v>Social</v></cell><cell r="R4928" t="str"><v>Azure</v></cell><cell r="S4928" t="str"><v>Apps & Infra</v></cell><cell r="T4928" t="str"><v>Developers & ITI's</v></cell><cell r="U4928" t="str"><v>AZP-Canvas-Look a Like-Trial</v></cell><cell r="V4928" t="str"><v>Prospecting</v></cell><cell r="W4928" t="str"><v>Other</v></cell><cell r="X4928" t="str"><v>1x1</v></cell></row><row r="4928"><cell r="AA4928"><v>43316</v></cell><cell r="AB4928" t="str"><v>JPN_gaPMG_AZR_AZR_Q1_19_Trial-Social</v></cell><cell r="AC4928"><v>21276694</v></cell><cell r="AD4928"><v>720195</v></cell><cell r="AE4928" t="str"><v>Facebook</v></cell><cell r="AF4928"><v>3654128</v></cell><cell r="AG4928" t="str"><v>Facebook»AZP-Canvas-Look a Like-Trial»1x1»Canvas»OTH»MO»CPM»PRO»X»UNK»TP»OT»Canvas-Trial</v></cell><cell r="AH4928"><v>223297413</v></cell><cell r="AI4928" t="str"><v>AzurePlatform_FBCTCcanvaspage-StartFreeCTA-Img2_JPN_1080x143 _SOC_Plat_Japanese_NA_Standard_NA_NA_T2_1</v></cell><cell r="AJ4928"><v>102609621</v></cell></row><row r="4929"><cell r="C4929" t="str"><v>43316Facebook»AZP-Retargeting»1x1»Ban»LIA»ALL»CPM»RT»X»All»TP»OT»Free Account Retargeting VM-ChD</v></cell><cell r="D4929" t="str"><v>43316223726374</v></cell><cell r="E4929" t="str"><v>43316102971306VM-ChD</v></cell><cell r="F4929" t="str"><v>DCM</v></cell><cell r="G4929" t="str"><v>https://azure.microsoft.com/ja-jp/free/virtual-machines/search/</v></cell></row><row r="4929"><cell r="K4929" t="str"><v>August</v></cell><cell r="L4929"><v>43316</v></cell><cell r="M4929" t="str"><v>Tier 1</v></cell><cell r="N4929" t="str"><v>APAC</v></cell><cell r="O4929" t="str"><v>Japan</v></cell><cell r="P4929" t="str"><v>Trial</v></cell><cell r="Q4929" t="str"><v>Social</v></cell><cell r="R4929" t="str"><v>Azure</v></cell><cell r="S4929" t="str"><v>Apps & Infra</v></cell><cell r="T4929" t="str"><v>Developers & ITI's</v></cell><cell r="U4929" t="str"><v>AZP-Retargeting</v></cell><cell r="V4929" t="str"><v>Retargeting</v></cell><cell r="W4929" t="str"><v>Link Ad</v></cell><cell r="X4929" t="str"><v>1x1</v></cell></row><row r="4929"><cell r="AA4929"><v>43316</v></cell><cell r="AB4929" t="str"><v>JPN_gaPMG_AZR_AZR_Q1_19_Trial-Social</v></cell><cell r="AC4929"><v>21276694</v></cell><cell r="AD4929"><v>720195</v></cell><cell r="AE4929" t="str"><v>Facebook</v></cell><cell r="AF4929"><v>3654128</v></cell><cell r="AG4929" t="str"><v>Facebook»AZP-Retargeting»1x1»Ban»LIA»ALL»CPM»RT»X»All»TP»OT»Free Account Retargeting VM-ChD</v></cell><cell r="AH4929"><v>223726374</v></cell><cell r="AI4929" t="str"><v>AzurePlatform_FreeAcctRetargetingVMFB-750Hrs-ChD_JPN_1200x628_SOC_Plat_JA_Free Account_Standard_NA_SU_T1_1</v></cell><cell r="AJ4929"><v>102971306</v></cell></row><row r="4930"><cell r="C4930" t="str"><v>43316Facebook»AZP-Retargeting»1x1»Newsfeed»LIA»ALL»CPM»RT»X»UNK»SS»NA»Developer-Intelligent Data</v></cell><cell r="D4930" t="str"><v>43316225761746</v></cell><cell r="E4930" t="str"><v>43316104064204t Data</v></cell><cell r="F4930" t="str"><v>DCM</v></cell><cell r="G4930" t="str"><v>https://azure.microsoft.com/ja-jp/free/</v></cell></row><row r="4930"><cell r="K4930" t="str"><v>August</v></cell><cell r="L4930"><v>43316</v></cell><cell r="M4930" t="str"><v>Tier 1</v></cell><cell r="N4930" t="str"><v>APAC</v></cell><cell r="O4930" t="str"><v>Japan</v></cell><cell r="P4930" t="str"><v>Trial</v></cell><cell r="Q4930" t="str"><v>Social</v></cell><cell r="R4930" t="str"><v>Azure</v></cell><cell r="S4930" t="str"><v>Apps & Infra</v></cell><cell r="T4930" t="str"><v>Developers & ITI's</v></cell><cell r="U4930" t="str"><v>AZP-Retargeting</v></cell><cell r="V4930" t="str"><v>Retargeting</v></cell><cell r="W4930" t="str"><v>Link Ad</v></cell><cell r="X4930" t="str"><v>1x1</v></cell></row><row r="4930"><cell r="AA4930"><v>43316</v></cell><cell r="AB4930" t="str"><v>JPN_gaPMG_AZR_AZR_Q1_19_Trial-Social</v></cell><cell r="AC4930"><v>21276694</v></cell><cell r="AD4930"><v>720195</v></cell><cell r="AE4930" t="str"><v>Facebook</v></cell><cell r="AF4930"><v>3654128</v></cell><cell r="AG4930" t="str"><v>Facebook»AZP-Retargeting»1x1»Newsfeed»LIA»ALL»CPM»RT»X»UNK»SS»NA»Developer-Intelligent Data</v></cell><cell r="AH4930"><v>225761746</v></cell><cell r="AI4930" t="str"><v>AZR_FreeAcctDeveloperFB-AnimatedData-Ch4_JPN_1200x1200_SOC_Direct_JA_Trial_Standard_ANI_LEA_T4_1</v></cell><cell r="AJ4930"><v>104064204</v></cell></row><row r="4931"><cell r="C4931" t="str"><v>43316Facebook»AZP-Retargeting»1x1»Canvas»OTH»MO»CPM»RT»W»UNK»TP»OT»Trial-BrandinMotion</v></cell><cell r="D4931" t="str"><v>43316223298823</v></cell><cell r="E4931" t="str"><v>43316102612720Motion</v></cell><cell r="F4931" t="str"><v>DCM</v></cell><cell r="G4931" t="str"><v>https://azure.microsoft.com/ja-jp/free/search/</v></cell></row><row r="4931"><cell r="K4931" t="str"><v>August</v></cell><cell r="L4931"><v>43316</v></cell><cell r="M4931" t="str"><v>Tier 1</v></cell><cell r="N4931" t="str"><v>APAC</v></cell><cell r="O4931" t="str"><v>Japan</v></cell><cell r="P4931" t="str"><v>Trial</v></cell><cell r="Q4931" t="str"><v>Social</v></cell><cell r="R4931" t="str"><v>Azure</v></cell><cell r="S4931" t="str"><v>Apps & Infra</v></cell><cell r="T4931" t="str"><v>Developers & ITI's</v></cell><cell r="U4931" t="str"><v>AZP-Retargeting</v></cell><cell r="V4931" t="str"><v>Retargeting</v></cell><cell r="W4931" t="str"><v>Other</v></cell><cell r="X4931" t="str"><v>1x1</v></cell></row><row r="4931"><cell r="AA4931"><v>43316</v></cell><cell r="AB4931" t="str"><v>JPN_gaPMG_AZR_AZR_Q1_19_Trial-Social</v></cell><cell r="AC4931"><v>21276694</v></cell><cell r="AD4931"><v>720195</v></cell><cell r="AE4931" t="str"><v>Facebook</v></cell><cell r="AF4931"><v>3654128</v></cell><cell r="AG4931" t="str"><v>Facebook»AZP-Retargeting»1x1»Canvas»OTH»MO»CPM»RT»W»UNK»TP»OT»Trial-BrandinMotion</v></cell><cell r="AH4931"><v>223298823</v></cell><cell r="AI4931" t="str"><v>AzurePlatform_FBCTCBrandinMotion_JPN_12sec_ISV_PLAT_JA_Trial_Standard_STAN_TN_T2_1</v></cell><cell r="AJ4931"><v>102612720</v></cell></row><row r="4932"><cell r="C4932" t="str"><v>43316FACEBOOK»USA-Trial-ITD-Interest Prospecting-AZR-AZR»1 x 1»SocialBan»CAN»ALL»CPA»PRO»X»NA»SS»NA»FBCTCBenefit2inMotion»PRC1SW</v></cell><cell r="D4932" t="str"><v>43316223933138</v></cell><cell r="E4932" t="str"><v>43316103043835PRC1SW</v></cell><cell r="F4932" t="str"><v>DCM</v></cell><cell r="G4932" t="str"><v>https://signup.azure.com/?OCID=AID%eexcid!_OLA_%ebuy!_%epid!_%ecid!</v></cell></row><row r="4932"><cell r="K4932" t="str"><v>August</v></cell><cell r="L4932"><v>43316</v></cell><cell r="M4932" t="str"><v>Tier 0</v></cell><cell r="N4932" t="str"><v>North America</v></cell><cell r="O4932" t="str"><v>United States</v></cell><cell r="P4932" t="str"><v>Trial</v></cell><cell r="Q4932" t="str"><v>Social</v></cell><cell r="R4932" t="str"><v>Azure</v></cell><cell r="S4932" t="str"><v>Apps & Infra</v></cell><cell r="T4932" t="str"><v>Developers & ITI's</v></cell><cell r="U4932" t="str"><v>USA-Trial-ITD-Interest Prospecting-AZR-AZR</v></cell><cell r="V4932" t="str"><v>Prospecting</v></cell><cell r="W4932" t="str"><v>Canvas Ad</v></cell><cell r="X4932" t="str"><v>1x1</v></cell></row><row r="4932"><cell r="AA4932"><v>43316</v></cell><cell r="AB4932" t="str"><v>USA_gaPMG_AZR_AZR_Q1_19_Direct-Social</v></cell><cell r="AC4932"><v>21358715</v></cell><cell r="AD4932"><v>720197</v></cell><cell r="AE4932" t="str"><v>Facebook</v></cell><cell r="AF4932"><v>3654128</v></cell><cell r="AG4932" t="str"><v>FACEBOOK»USA-Trial-ITD-Interest Prospecting-AZR-AZR»1 x 1»SocialBan»CAN»ALL»CPA»PRO»X»NA»SS»NA»FBCTCBenefit2inMotion»PRC1SW</v></cell><cell r="AH4932"><v>223933138</v></cell><cell r="AI4932" t="str"><v>AzurePlatform_FBCTCBenefit2inMotion_USA_10s_CAN_PLATFORM_English_Trial_Standard_STAN_TIN_T4_1</v></cell><cell r="AJ4932"><v>103043835</v></cell></row><row r="4933"><cell r="C4933" t="str"><v>43316FACEBOOK»USA-Trial-ITD-Interest Prospecting-AZR-AZR»1 x 1»SocialBan»CAN»ALL»CPA»PRO»X»NA»SS»NA»FBCTCBenefit2inMotion»PRC1SW</v></cell><cell r="D4933" t="str"><v>43316223933138</v></cell><cell r="E4933" t="str"><v>43316103178645PRC1SW</v></cell><cell r="F4933" t="str"><v>DCM</v></cell><cell r="G4933" t="str"><v>https://azure.microsoft.com/en-us/pricing/purchase-options/?v=18.19&OCID=AID%eexcid!_OLA_%ebuy!_%epid!_%ecid!</v></cell></row><row r="4933"><cell r="K4933" t="str"><v>August</v></cell><cell r="L4933"><v>43316</v></cell><cell r="M4933" t="str"><v>Tier 0</v></cell><cell r="N4933" t="str"><v>North America</v></cell><cell r="O4933" t="str"><v>United States</v></cell><cell r="P4933" t="str"><v>Trial</v></cell><cell r="Q4933" t="str"><v>Social</v></cell><cell r="R4933" t="str"><v>Azure</v></cell><cell r="S4933" t="str"><v>Apps & Infra</v></cell><cell r="T4933" t="str"><v>Developers & ITI's</v></cell><cell r="U4933" t="str"><v>USA-Trial-ITD-Interest Prospecting-AZR-AZR</v></cell><cell r="V4933" t="str"><v>Prospecting</v></cell><cell r="W4933" t="str"><v>Canvas Ad</v></cell><cell r="X4933" t="str"><v>1x1</v></cell></row><row r="4933"><cell r="AA4933"><v>43316</v></cell><cell r="AB4933" t="str"><v>USA_gaPMG_AZR_AZR_Q1_19_Direct-Social</v></cell><cell r="AC4933"><v>21358715</v></cell><cell r="AD4933"><v>720197</v></cell><cell r="AE4933" t="str"><v>Facebook</v></cell><cell r="AF4933"><v>3654128</v></cell><cell r="AG4933" t="str"><v>FACEBOOK»USA-Trial-ITD-Interest Prospecting-AZR-AZR»1 x 1»SocialBan»CAN»ALL»CPA»PRO»X»NA»SS»NA»FBCTCBenefit2inMotion»PRC1SW</v></cell><cell r="AH4933"><v>223933138</v></cell><cell r="AI4933" t="str"><v>AzurePlatform_FBCTCBenefit2inMotion_USA_10s_CAN_PLATFORM_English_Trial_Standard_STAN_TIN_T4_2</v></cell><cell r="AJ4933"><v>103178645</v></cell></row><row r="4934"><cell r="C4934" t="str"><v>43316FACEBOOK»USA-Trial-ITD-Interest Prospecting-AZR-AZR»1 x 1»SocialBan»LIA»ALL»CPA»PRO»X»NA»SS»NA»FreeAcctITProFB-AnimatedSecureMngd-Ch1»PRC1T4</v></cell><cell r="D4934" t="str"><v>43316224104914</v></cell><cell r="E4934" t="str"><v>43316103176830PRC1T4</v></cell><cell r="F4934" t="str"><v>DCM</v></cell></row><row r="4934"><cell r="K4934" t="str"><v>August</v></cell><cell r="L4934"><v>43316</v></cell><cell r="M4934" t="str"><v>Tier 0</v></cell><cell r="N4934" t="str"><v>North America</v></cell><cell r="O4934" t="str"><v>United States</v></cell><cell r="P4934" t="str"><v>Trial</v></cell><cell r="Q4934" t="str"><v>Social</v></cell><cell r="R4934" t="str"><v>Azure</v></cell><cell r="S4934" t="str"><v>Apps & Infra</v></cell><cell r="T4934" t="str"><v>Developers & ITI's</v></cell><cell r="U4934" t="str"><v>USA-Trial-ITD-Interest Prospecting-AZR-AZR</v></cell><cell r="V4934" t="str"><v>Prospecting</v></cell><cell r="W4934" t="str"><v>Link Ad</v></cell><cell r="X4934" t="str"><v>1x1</v></cell></row><row r="4934"><cell r="AA4934"><v>43316</v></cell><cell r="AB4934" t="str"><v>USA_gaPMG_AZR_AZR_Q1_19_Direct-Social</v></cell><cell r="AC4934"><v>21358715</v></cell><cell r="AD4934"><v>720197</v></cell><cell r="AE4934" t="str"><v>Facebook</v></cell><cell r="AF4934"><v>3654128</v></cell><cell r="AG4934" t="str"><v>FACEBOOK»USA-Trial-ITD-Interest Prospecting-AZR-AZR»1 x 1»SocialBan»LIA»ALL»CPA»PRO»X»NA»SS»NA»FreeAcctITProFB-AnimatedSecureMngd-Ch1»PRC1T4</v></cell><cell r="AH4934"><v>224104914</v></cell><cell r="AI4934" t="str"><v>AZR_FreeAcctITProFB-AnimatedSecureMngd-Ch1_USA_1200x1200_CAN_Direct_English_Trial_Standard_ANI_LEA_T1_1</v></cell><cell r="AJ4934"><v>103176830</v></cell></row><row r="4935"><cell r="C4935" t="str"><v>43316FACEBOOK»USA-Trial-ITD-Retargeting-AZR-AZR»1 x 1»SocialBan»LIA»ALL»CPA»RT»X»NA»SS»NA»FreeAcctITProFB-AnimatedMigration-Ch3»PRC26P</v></cell><cell r="D4935" t="str"><v>43316223934056</v></cell><cell r="E4935" t="str"><v>43316103176827PRC26P</v></cell><cell r="F4935" t="str"><v>DCM</v></cell></row><row r="4935"><cell r="K4935" t="str"><v>August</v></cell><cell r="L4935"><v>43316</v></cell><cell r="M4935" t="str"><v>Tier 0</v></cell><cell r="N4935" t="str"><v>North America</v></cell><cell r="O4935" t="str"><v>United States</v></cell><cell r="P4935" t="str"><v>Trial</v></cell><cell r="Q4935" t="str"><v>Social</v></cell><cell r="R4935" t="str"><v>Azure</v></cell><cell r="S4935" t="str"><v>Apps & Infra</v></cell><cell r="T4935" t="str"><v>Developers & ITI's</v></cell><cell r="U4935" t="str"><v>USA-Trial-ITD-Retargeting-AZR-AZR</v></cell><cell r="V4935" t="str"><v>Retargeting</v></cell><cell r="W4935" t="str"><v>Link Ad</v></cell><cell r="X4935" t="str"><v>1x1</v></cell></row><row r="4935"><cell r="AA4935"><v>43316</v></cell><cell r="AB4935" t="str"><v>USA_gaPMG_AZR_AZR_Q1_19_Direct-Social</v></cell><cell r="AC4935"><v>21358715</v></cell><cell r="AD4935"><v>720197</v></cell><cell r="AE4935" t="str"><v>Facebook</v></cell><cell r="AF4935"><v>3654128</v></cell><cell r="AG4935" t="str"><v>FACEBOOK»USA-Trial-ITD-Retargeting-AZR-AZR»1 x 1»SocialBan»LIA»ALL»CPA»RT»X»NA»SS»NA»FreeAcctITProFB-AnimatedMigration-Ch3»PRC26P</v></cell><cell r="AH4935"><v>223934056</v></cell><cell r="AI4935" t="str"><v>AZR_FreeAcctITProFB-AnimatedMigration-Ch3_USA_1200x1200_CAN_Direct_English_Trial_Standard_ANI_LEA_T3_1</v></cell><cell r="AJ4935"><v>103176827</v></cell></row><row r="4936"><cell r="C4936" t="str"><v>43316FACEBOOK»USA-Trial-ITD-Retargeting-AZR-AZR»1 x 1»SocialBan»LIA»ALL»CPA»RT»X»NA»SS»NA»FreeAcctRetargetingFB-Credit-ChA»PRC1RV</v></cell><cell r="D4936" t="str"><v>43316224106075</v></cell><cell r="E4936" t="str"><v>43316103034917PRC1RV</v></cell><cell r="F4936" t="str"><v>DCM</v></cell><cell r="G4936" t="str"><v>https://azure.microsoft.com/en-us/free/search/?OCID=AID%eexcid!_OLA_%ebuy!_%epid!_%ecid!</v></cell></row><row r="4936"><cell r="K4936" t="str"><v>August</v></cell><cell r="L4936"><v>43316</v></cell><cell r="M4936" t="str"><v>Tier 0</v></cell><cell r="N4936" t="str"><v>North America</v></cell><cell r="O4936" t="str"><v>United States</v></cell><cell r="P4936" t="str"><v>Trial</v></cell><cell r="Q4936" t="str"><v>Social</v></cell><cell r="R4936" t="str"><v>Azure</v></cell><cell r="S4936" t="str"><v>Apps & Infra</v></cell><cell r="T4936" t="str"><v>Developers & ITI's</v></cell><cell r="U4936" t="str"><v>USA-Trial-ITD-Retargeting-AZR-AZR</v></cell><cell r="V4936" t="str"><v>Retargeting</v></cell><cell r="W4936" t="str"><v>Link Ad</v></cell><cell r="X4936" t="str"><v>1x1</v></cell></row><row r="4936"><cell r="AA4936"><v>43316</v></cell><cell r="AB4936" t="str"><v>USA_gaPMG_AZR_AZR_Q1_19_Direct-Social</v></cell><cell r="AC4936"><v>21358715</v></cell><cell r="AD4936"><v>720197</v></cell><cell r="AE4936" t="str"><v>Facebook</v></cell><cell r="AF4936"><v>3654128</v></cell><cell r="AG4936" t="str"><v>FACEBOOK»USA-Trial-ITD-Retargeting-AZR-AZR»1 x 1»SocialBan»LIA»ALL»CPA»RT»X»NA»SS»NA»FreeAcctRetargetingFB-Credit-ChA»PRC1RV</v></cell><cell r="AH4936"><v>224106075</v></cell><cell r="AI4936" t="str"><v>AzurePlatform_FreeAcctRetargetingFB-Credit-ChA_USA_1200x628_CAN_PLATFORM_English_Free Account_Standard_NA_SINU_T1_2</v></cell><cell r="AJ4936"><v>103034917</v></cell></row><row r="4937"><cell r="C4937" t="str"><v>43316FACEBOOK»USA-Trial-ITD-Retargeting-AZR-AZR»1 x 1»SocialBan»LIA»ALL»CPA»RT»X»NA»SS»NA»FreeAcctRetargetingFB-GlobalAlt-ChB»PRC1RW</v></cell><cell r="D4937" t="str"><v>43316223862756</v></cell><cell r="E4937" t="str"><v>43316103180592PRC1RW</v></cell><cell r="F4937" t="str"><v>DCM</v></cell><cell r="G4937" t="str"><v>https://azure.microsoft.com/en-us/free/search/?OCID=AID%eexcid!_OLA_%ebuy!_%epid!_%ecid!</v></cell></row><row r="4937"><cell r="K4937" t="str"><v>August</v></cell><cell r="L4937"><v>43316</v></cell><cell r="M4937" t="str"><v>Tier 0</v></cell><cell r="N4937" t="str"><v>North America</v></cell><cell r="O4937" t="str"><v>United States</v></cell><cell r="P4937" t="str"><v>Trial</v></cell><cell r="Q4937" t="str"><v>Social</v></cell><cell r="R4937" t="str"><v>Azure</v></cell><cell r="S4937" t="str"><v>Apps & Infra</v></cell><cell r="T4937" t="str"><v>Developers & ITI's</v></cell><cell r="U4937" t="str"><v>USA-Trial-ITD-Retargeting-AZR-AZR</v></cell><cell r="V4937" t="str"><v>Retargeting</v></cell><cell r="W4937" t="str"><v>Link Ad</v></cell><cell r="X4937" t="str"><v>1x1</v></cell></row><row r="4937"><cell r="AA4937"><v>43316</v></cell><cell r="AB4937" t="str"><v>USA_gaPMG_AZR_AZR_Q1_19_Direct-Social</v></cell><cell r="AC4937"><v>21358715</v></cell><cell r="AD4937"><v>720197</v></cell><cell r="AE4937" t="str"><v>Facebook</v></cell><cell r="AF4937"><v>3654128</v></cell><cell r="AG4937" t="str"><v>FACEBOOK»USA-Trial-ITD-Retargeting-AZR-AZR»1 x 1»SocialBan»LIA»ALL»CPA»RT»X»NA»SS»NA»FreeAcctRetargetingFB-GlobalAlt-ChB»PRC1RW</v></cell><cell r="AH4937"><v>223862756</v></cell><cell r="AI4937" t="str"><v>AzurePlatform_FreeAcctRetargetingFB-GlobalAlt-ChB_USA_1200x628_CAN_PLATFORM_English_Free Account_Standard_NA_SINU_T2_1</v></cell><cell r="AJ4937"><v>103180592</v></cell></row><row r="4938"><cell r="C4938" t="str"><v>43316FACEBOOK»USA-Trial-ITD-Retargeting-AZR-AZR»1 x 1»SocialBan»LIA»ALL»CPA»RT»X»NA»SS»NA»FreeAcctRetargetingVMFB-750Hrs-ChD»PRC1RY</v></cell><cell r="D4938" t="str"><v>43316223862747</v></cell><cell r="E4938" t="str"><v>43316103034911PRC1RY</v></cell><cell r="F4938" t="str"><v>DCM</v></cell><cell r="G4938" t="str"><v>https://azure.microsoft.com/en-us/free/virtual-machines/search/?OCID=AID%eexcid!_OLA_%ebuy!_%epid!_%ecid!</v></cell></row><row r="4938"><cell r="K4938" t="str"><v>August</v></cell><cell r="L4938"><v>43316</v></cell><cell r="M4938" t="str"><v>Tier 0</v></cell><cell r="N4938" t="str"><v>North America</v></cell><cell r="O4938" t="str"><v>United States</v></cell><cell r="P4938" t="str"><v>Trial</v></cell><cell r="Q4938" t="str"><v>Social</v></cell><cell r="R4938" t="str"><v>Azure</v></cell><cell r="S4938" t="str"><v>Apps & Infra</v></cell><cell r="T4938" t="str"><v>Developers & ITI's</v></cell><cell r="U4938" t="str"><v>USA-Trial-ITD-Retargeting-AZR-AZR</v></cell><cell r="V4938" t="str"><v>Retargeting</v></cell><cell r="W4938" t="str"><v>Link Ad</v></cell><cell r="X4938" t="str"><v>1x1</v></cell></row><row r="4938"><cell r="AA4938"><v>43316</v></cell><cell r="AB4938" t="str"><v>USA_gaPMG_AZR_AZR_Q1_19_Direct-Social</v></cell><cell r="AC4938"><v>21358715</v></cell><cell r="AD4938"><v>720197</v></cell><cell r="AE4938" t="str"><v>Facebook</v></cell><cell r="AF4938"><v>3654128</v></cell><cell r="AG4938" t="str"><v>FACEBOOK»USA-Trial-ITD-Retargeting-AZR-AZR»1 x 1»SocialBan»LIA»ALL»CPA»RT»X»NA»SS»NA»FreeAcctRetargetingVMFB-750Hrs-ChD»PRC1RY</v></cell><cell r="AH4938"><v>223862747</v></cell><cell r="AI4938" t="str"><v>AzurePlatform_FreeAcctRetargetingVMFB-750Hrs-ChD_USA_1200x628_CAN_PLATFORM_English_Free Account_Standard_NA_SINU_T1_1</v></cell><cell r="AJ4938"><v>103034911</v></cell></row><row r="4939"><cell r="C4939" t="str"><v>43316FACEBOOK»USA-Trial-ITD-Retargeting-AZR-AZR»1 x 1»SocialBan»LIA»ALL»CPA»RT»X»NA»SS»NA»FreeAcctRetargetingVMFB-OnDemand-ChE»PRC1S0</v></cell><cell r="D4939" t="str"><v>43316224104899</v></cell><cell r="E4939" t="str"><v>43316103180610PRC1S0</v></cell><cell r="F4939" t="str"><v>DCM</v></cell><cell r="G4939" t="str"><v>https://azure.microsoft.com/en-us/free/virtual-machines/search/?OCID=AID%eexcid!_OLA_%ebuy!_%epid!_%ecid!</v></cell></row><row r="4939"><cell r="K4939" t="str"><v>August</v></cell><cell r="L4939"><v>43316</v></cell><cell r="M4939" t="str"><v>Tier 0</v></cell><cell r="N4939" t="str"><v>North America</v></cell><cell r="O4939" t="str"><v>United States</v></cell><cell r="P4939" t="str"><v>Trial</v></cell><cell r="Q4939" t="str"><v>Social</v></cell><cell r="R4939" t="str"><v>Azure</v></cell><cell r="S4939" t="str"><v>Apps & Infra</v></cell><cell r="T4939" t="str"><v>Developers & ITI's</v></cell><cell r="U4939" t="str"><v>USA-Trial-ITD-Retargeting-AZR-AZR</v></cell><cell r="V4939" t="str"><v>Retargeting</v></cell><cell r="W4939" t="str"><v>Link Ad</v></cell><cell r="X4939" t="str"><v>1x1</v></cell></row><row r="4939"><cell r="AA4939"><v>43316</v></cell><cell r="AB4939" t="str"><v>USA_gaPMG_AZR_AZR_Q1_19_Direct-Social</v></cell><cell r="AC4939"><v>21358715</v></cell><cell r="AD4939"><v>720197</v></cell><cell r="AE4939" t="str"><v>Facebook</v></cell><cell r="AF4939"><v>3654128</v></cell><cell r="AG4939" t="str"><v>FACEBOOK»USA-Trial-ITD-Retargeting-AZR-AZR»1 x 1»SocialBan»LIA»ALL»CPA»RT»X»NA»SS»NA»FreeAcctRetargetingVMFB-OnDemand-ChE»PRC1S0</v></cell><cell r="AH4939"><v>224104899</v></cell><cell r="AI4939" t="str"><v>AzurePlatform_FreeAcctRetargetingVMFB-OnDemand-ChE_USA_1200x628_CAN_PLATFORM_English_Free Account_Standard_NA_SINU_T2_1</v></cell><cell r="AJ4939"><v>103180610</v></cell></row><row r="4940"><cell r="C4940" t="str"><v>43316FACEBOOK»USA-Trial-ITD-Retargeting-AZR-AZR»1 x 1»SocialBan»CAN»ALL»CPA»RT»X»NA»SS»NA»FBCTCBrandinMotion»PRC1RT</v></cell><cell r="D4940" t="str"><v>43316224106069</v></cell><cell r="E4940" t="str"><v>43316103176812PRC1RT</v></cell><cell r="F4940" t="str"><v>DCM</v></cell><cell r="G4940" t="str"><v>https://signup.azure.com/?OCID=AID%eexcid!_OLA_%ebuy!_%epid!_%ecid!</v></cell></row><row r="4940"><cell r="K4940" t="str"><v>August</v></cell><cell r="L4940"><v>43316</v></cell><cell r="M4940" t="str"><v>Tier 0</v></cell><cell r="N4940" t="str"><v>North America</v></cell><cell r="O4940" t="str"><v>United States</v></cell><cell r="P4940" t="str"><v>Trial</v></cell><cell r="Q4940" t="str"><v>Social</v></cell><cell r="R4940" t="str"><v>Azure</v></cell><cell r="S4940" t="str"><v>Apps & Infra</v></cell><cell r="T4940" t="str"><v>Developers & ITI's</v></cell><cell r="U4940" t="str"><v>USA-Trial-ITD-Retargeting-AZR-AZR</v></cell><cell r="V4940" t="str"><v>Retargeting</v></cell><cell r="W4940" t="str"><v>Canvas Ad</v></cell><cell r="X4940" t="str"><v>1x1</v></cell></row><row r="4940"><cell r="AA4940"><v>43316</v></cell><cell r="AB4940" t="str"><v>USA_gaPMG_AZR_AZR_Q1_19_Direct-Social</v></cell><cell r="AC4940"><v>21358715</v></cell><cell r="AD4940"><v>720197</v></cell><cell r="AE4940" t="str"><v>Facebook</v></cell><cell r="AF4940"><v>3654128</v></cell><cell r="AG4940" t="str"><v>FACEBOOK»USA-Trial-ITD-Retargeting-AZR-AZR»1 x 1»SocialBan»CAN»ALL»CPA»RT»X»NA»SS»NA»FBCTCBrandinMotion»PRC1RT</v></cell><cell r="AH4940"><v>224106069</v></cell><cell r="AI4940" t="str"><v>AzurePlatform_FBCTCBrandinMotion_USA_10s_CAN_PLATFORM_English_Trial_Standard_STAN_TIN_T2_1</v></cell><cell r="AJ4940"><v>103176812</v></cell></row><row r="4941"><cell r="C4941" t="str"><v>43316FACEBOOK»USA-Trial-ITD-Trial Lookalike-AZR-AZR»1 x 1»SocialBan»CAN»ALL»CPA»LAL»X»NA»SS»NA»FBCTCBenefit2inMotion»PRC1M0</v></cell><cell r="D4941" t="str"><v>43316223862927</v></cell><cell r="E4941" t="str"><v>43316103043835PRC1M0</v></cell><cell r="F4941" t="str"><v>DCM</v></cell><cell r="G4941" t="str"><v>https://signup.azure.com/?OCID=AID%eexcid!_OLA_%ebuy!_%epid!_%ecid!</v></cell></row><row r="4941"><cell r="K4941" t="str"><v>August</v></cell><cell r="L4941"><v>43316</v></cell><cell r="M4941" t="str"><v>Tier 0</v></cell><cell r="N4941" t="str"><v>North America</v></cell><cell r="O4941" t="str"><v>United States</v></cell><cell r="P4941" t="str"><v>Trial</v></cell><cell r="Q4941" t="str"><v>Social</v></cell><cell r="R4941" t="str"><v>Azure</v></cell><cell r="S4941" t="str"><v>Apps & Infra</v></cell><cell r="T4941" t="str"><v>Developers & ITI's</v></cell><cell r="U4941" t="str"><v>USA-Trial-ITD-Trial Lookalike-AZR-AZR</v></cell><cell r="V4941" t="str"><v>Lookalike Targeting</v></cell><cell r="W4941" t="str"><v>Canvas Ad</v></cell><cell r="X4941" t="str"><v>1x1</v></cell></row><row r="4941"><cell r="AA4941"><v>43316</v></cell><cell r="AB4941" t="str"><v>USA_gaPMG_AZR_AZR_Q1_19_Direct-Social</v></cell><cell r="AC4941"><v>21358715</v></cell><cell r="AD4941"><v>720197</v></cell><cell r="AE4941" t="str"><v>Facebook</v></cell><cell r="AF4941"><v>3654128</v></cell><cell r="AG4941" t="str"><v>FACEBOOK»USA-Trial-ITD-Trial Lookalike-AZR-AZR»1 x 1»SocialBan»CAN»ALL»CPA»LAL»X»NA»SS»NA»FBCTCBenefit2inMotion»PRC1M0</v></cell><cell r="AH4941"><v>223862927</v></cell><cell r="AI4941" t="str"><v>AzurePlatform_FBCTCBenefit2inMotion_USA_10s_CAN_PLATFORM_English_Trial_Standard_STAN_TIN_T4_1</v></cell><cell r="AJ4941"><v>103043835</v></cell></row><row r="4942"><cell r="C4942" t="str"><v>43316FACEBOOK»USA-Trial-ITD-Trial Lookalike-AZR-AZR»1 x 1»SocialBan»CAN»ALL»CPA»LAL»X»NA»SS»NA»FBCTCBenefit2inMotion»PRC1M0</v></cell><cell r="D4942" t="str"><v>43316223862927</v></cell><cell r="E4942" t="str"><v>43316103178645PRC1M0</v></cell><cell r="F4942" t="str"><v>DCM</v></cell><cell r="G4942" t="str"><v>https://azure.microsoft.com/en-us/pricing/purchase-options/?v=18.19&OCID=AID%eexcid!_OLA_%ebuy!_%epid!_%ecid!</v></cell></row><row r="4942"><cell r="K4942" t="str"><v>August</v></cell><cell r="L4942"><v>43316</v></cell><cell r="M4942" t="str"><v>Tier 0</v></cell><cell r="N4942" t="str"><v>North America</v></cell><cell r="O4942" t="str"><v>United States</v></cell><cell r="P4942" t="str"><v>Trial</v></cell><cell r="Q4942" t="str"><v>Social</v></cell><cell r="R4942" t="str"><v>Azure</v></cell><cell r="S4942" t="str"><v>Apps & Infra</v></cell><cell r="T4942" t="str"><v>Developers & ITI's</v></cell><cell r="U4942" t="str"><v>USA-Trial-ITD-Trial Lookalike-AZR-AZR</v></cell><cell r="V4942" t="str"><v>Lookalike Targeting</v></cell><cell r="W4942" t="str"><v>Canvas Ad</v></cell><cell r="X4942" t="str"><v>1x1</v></cell></row><row r="4942"><cell r="AA4942"><v>43316</v></cell><cell r="AB4942" t="str"><v>USA_gaPMG_AZR_AZR_Q1_19_Direct-Social</v></cell><cell r="AC4942"><v>21358715</v></cell><cell r="AD4942"><v>720197</v></cell><cell r="AE4942" t="str"><v>Facebook</v></cell><cell r="AF4942"><v>3654128</v></cell><cell r="AG4942" t="str"><v>FACEBOOK»USA-Trial-ITD-Trial Lookalike-AZR-AZR»1 x 1»SocialBan»CAN»ALL»CPA»LAL»X»NA»SS»NA»FBCTCBenefit2inMotion»PRC1M0</v></cell><cell r="AH4942"><v>223862927</v></cell><cell r="AI4942" t="str"><v>AzurePlatform_FBCTCBenefit2inMotion_USA_10s_CAN_PLATFORM_English_Trial_Standard_STAN_TIN_T4_2</v></cell><cell r="AJ4942"><v>103178645</v></cell></row><row r="4943"><cell r="C4943" t="str"><v>43316FACEBOOK»USA-Trial-ITD-Trial Lookalike-AZR-AZR»1 x 1»SocialBan»LIA»ALL»CPA»LAL»X»NA»SS»NA»FreeAcctDeveloperFB-AnimatedData-Ch4»PRC1M8</v></cell><cell r="D4943" t="str"><v>43316223862933</v></cell><cell r="E4943" t="str"><v>43316103037935PRC1M8</v></cell><cell r="F4943" t="str"><v>DCM</v></cell></row><row r="4943"><cell r="K4943" t="str"><v>August</v></cell><cell r="L4943"><v>43316</v></cell><cell r="M4943" t="str"><v>Tier 0</v></cell><cell r="N4943" t="str"><v>North America</v></cell><cell r="O4943" t="str"><v>United States</v></cell><cell r="P4943" t="str"><v>Trial</v></cell><cell r="Q4943" t="str"><v>Social</v></cell><cell r="R4943" t="str"><v>Azure</v></cell><cell r="S4943" t="str"><v>Apps & Infra</v></cell><cell r="T4943" t="str"><v>Developers & ITI's</v></cell><cell r="U4943" t="str"><v>USA-Trial-ITD-Trial Lookalike-AZR-AZR</v></cell><cell r="V4943" t="str"><v>Lookalike Targeting</v></cell><cell r="W4943" t="str"><v>Link Ad</v></cell><cell r="X4943" t="str"><v>1x1</v></cell></row><row r="4943"><cell r="AA4943"><v>43316</v></cell><cell r="AB4943" t="str"><v>USA_gaPMG_AZR_AZR_Q1_19_Direct-Social</v></cell><cell r="AC4943"><v>21358715</v></cell><cell r="AD4943"><v>720197</v></cell><cell r="AE4943" t="str"><v>Facebook</v></cell><cell r="AF4943"><v>3654128</v></cell><cell r="AG4943" t="str"><v>FACEBOOK»USA-Trial-ITD-Trial Lookalike-AZR-AZR»1 x 1»SocialBan»LIA»ALL»CPA»LAL»X»NA»SS»NA»FreeAcctDeveloperFB-AnimatedData-Ch4»PRC1M8</v></cell><cell r="AH4943"><v>223862933</v></cell><cell r="AI4943" t="str"><v>AZR_FreeAcctDeveloperFB-AnimatedData-Ch4_USA_1200x1200_CAN_Direct_English_Trial_Standard_ANI_LEA_T4_2</v></cell><cell r="AJ4943"><v>103037935</v></cell></row><row r="4944"><cell r="C4944" t="str"><v>43316FACEBOOK»USA-Trial-ITD-Trial Lookalike-AZR-AZR»1 x 1»SocialBan»LIA»ALL»CPA»LAL»X»NA»SS»NA»FreeAcctITProFB-AnimatedHybrid-Ch2»PRC1MC</v></cell><cell r="D4944" t="str"><v>43316224104956</v></cell><cell r="E4944" t="str"><v>43316103180583PRC1MC</v></cell><cell r="F4944" t="str"><v>DCM</v></cell></row><row r="4944"><cell r="K4944" t="str"><v>August</v></cell><cell r="L4944"><v>43316</v></cell><cell r="M4944" t="str"><v>Tier 0</v></cell><cell r="N4944" t="str"><v>North America</v></cell><cell r="O4944" t="str"><v>United States</v></cell><cell r="P4944" t="str"><v>Trial</v></cell><cell r="Q4944" t="str"><v>Social</v></cell><cell r="R4944" t="str"><v>Azure</v></cell><cell r="S4944" t="str"><v>Apps & Infra</v></cell><cell r="T4944" t="str"><v>Developers & ITI's</v></cell><cell r="U4944" t="str"><v>USA-Trial-ITD-Trial Lookalike-AZR-AZR</v></cell><cell r="V4944" t="str"><v>Lookalike Targeting</v></cell><cell r="W4944" t="str"><v>Link Ad</v></cell><cell r="X4944" t="str"><v>1x1</v></cell></row><row r="4944"><cell r="AA4944"><v>43316</v></cell><cell r="AB4944" t="str"><v>USA_gaPMG_AZR_AZR_Q1_19_Direct-Social</v></cell><cell r="AC4944"><v>21358715</v></cell><cell r="AD4944"><v>720197</v></cell><cell r="AE4944" t="str"><v>Facebook</v></cell><cell r="AF4944"><v>3654128</v></cell><cell r="AG4944" t="str"><v>FACEBOOK»USA-Trial-ITD-Trial Lookalike-AZR-AZR»1 x 1»SocialBan»LIA»ALL»CPA»LAL»X»NA»SS»NA»FreeAcctITProFB-AnimatedHybrid-Ch2»PRC1MC</v></cell><cell r="AH4944"><v>224104956</v></cell><cell r="AI4944" t="str"><v>AZR_FreeAcctITProFB-AnimatedHybrid-Ch2_USA_1200x1200_CAN_Direct_English_Trial_Standard_ANI_LEA_T2_2</v></cell><cell r="AJ4944"><v>103180583</v></cell></row><row r="4945"><cell r="C4945" t="str"><v>43316FACEBOOK»USA-Trial-ITD-Trial PayGo Lookalike-AZR-AZR»1 x 1»SocialBan»CAN»ALL»CPA»LAL»X»NA»SS»NA»FBCTCBenefit2inMotion»PRC1Q1</v></cell><cell r="D4945" t="str"><v>43316224104986</v></cell><cell r="E4945" t="str"><v>43316103043835PRC1Q1</v></cell><cell r="F4945" t="str"><v>DCM</v></cell><cell r="G4945" t="str"><v>https://signup.azure.com/?OCID=AID%eexcid!_OLA_%ebuy!_%epid!_%ecid!</v></cell></row><row r="4945"><cell r="K4945" t="str"><v>August</v></cell><cell r="L4945"><v>43316</v></cell><cell r="M4945" t="str"><v>Tier 0</v></cell><cell r="N4945" t="str"><v>North America</v></cell><cell r="O4945" t="str"><v>United States</v></cell><cell r="P4945" t="str"><v>Trial</v></cell><cell r="Q4945" t="str"><v>Social</v></cell><cell r="R4945" t="str"><v>Azure</v></cell><cell r="S4945" t="str"><v>Apps & Infra</v></cell><cell r="T4945" t="str"><v>Developers & ITI's</v></cell><cell r="U4945" t="str"><v>USA-Trial-ITD-Trial PayGo Lookalike-AZR-AZR</v></cell><cell r="V4945" t="str"><v>Lookalike Targeting</v></cell><cell r="W4945" t="str"><v>Canvas Ad</v></cell><cell r="X4945" t="str"><v>1x1</v></cell></row><row r="4945"><cell r="AA4945"><v>43316</v></cell><cell r="AB4945" t="str"><v>USA_gaPMG_AZR_AZR_Q1_19_Direct-Social</v></cell><cell r="AC4945"><v>21358715</v></cell><cell r="AD4945"><v>720197</v></cell><cell r="AE4945" t="str"><v>Facebook</v></cell><cell r="AF4945"><v>3654128</v></cell><cell r="AG4945" t="str"><v>FACEBOOK»USA-Trial-ITD-Trial PayGo Lookalike-AZR-AZR»1 x 1»SocialBan»CAN»ALL»CPA»LAL»X»NA»SS»NA»FBCTCBenefit2inMotion»PRC1Q1</v></cell><cell r="AH4945"><v>224104986</v></cell><cell r="AI4945" t="str"><v>AzurePlatform_FBCTCBenefit2inMotion_USA_10s_CAN_PLATFORM_English_Trial_Standard_STAN_TIN_T4_1</v></cell><cell r="AJ4945"><v>103043835</v></cell></row><row r="4946"><cell r="C4946" t="str"><v>43316FACEBOOK»USA-Trial-ITD-Trial PayGo Lookalike-AZR-AZR»1 x 1»SocialBan»CAN»ALL»CPA»LAL»X»NA»SS»NA»FBCTCBrandinMotion»PRC1Q3</v></cell><cell r="D4946" t="str"><v>43316223935349</v></cell><cell r="E4946" t="str"><v>43316103176812PRC1Q3</v></cell><cell r="F4946" t="str"><v>DCM</v></cell><cell r="G4946" t="str"><v>https://signup.azure.com/?OCID=AID%eexcid!_OLA_%ebuy!_%epid!_%ecid!</v></cell></row><row r="4946"><cell r="K4946" t="str"><v>August</v></cell><cell r="L4946"><v>43316</v></cell><cell r="M4946" t="str"><v>Tier 0</v></cell><cell r="N4946" t="str"><v>North America</v></cell><cell r="O4946" t="str"><v>United States</v></cell><cell r="P4946" t="str"><v>Trial</v></cell><cell r="Q4946" t="str"><v>Social</v></cell><cell r="R4946" t="str"><v>Azure</v></cell><cell r="S4946" t="str"><v>Apps & Infra</v></cell><cell r="T4946" t="str"><v>Developers & ITI's</v></cell><cell r="U4946" t="str"><v>USA-Trial-ITD-Trial PayGo Lookalike-AZR-AZR</v></cell><cell r="V4946" t="str"><v>Lookalike Targeting</v></cell><cell r="W4946" t="str"><v>Canvas Ad</v></cell><cell r="X4946" t="str"><v>1x1</v></cell></row><row r="4946"><cell r="AA4946"><v>43316</v></cell><cell r="AB4946" t="str"><v>USA_gaPMG_AZR_AZR_Q1_19_Direct-Social</v></cell><cell r="AC4946"><v>21358715</v></cell><cell r="AD4946"><v>720197</v></cell><cell r="AE4946" t="str"><v>Facebook</v></cell><cell r="AF4946"><v>3654128</v></cell><cell r="AG4946" t="str"><v>FACEBOOK»USA-Trial-ITD-Trial PayGo Lookalike-AZR-AZR»1 x 1»SocialBan»CAN»ALL»CPA»LAL»X»NA»SS»NA»FBCTCBrandinMotion»PRC1Q3</v></cell><cell r="AH4946"><v>223935349</v></cell><cell r="AI4946" t="str"><v>AzurePlatform_FBCTCBrandinMotion_USA_10s_CAN_PLATFORM_English_Trial_Standard_STAN_TIN_T2_1</v></cell><cell r="AJ4946"><v>103176812</v></cell></row><row r="4947"><cell r="C4947" t="str"><v>43316FACEBOOK»USA-Trial-ITD-Trial PayGo Lookalike-AZR-AZR»1 x 1»SocialBan»CAN»ALL»CPA»LAL»X»NA»SS»NA»FBCTCBrandinMotion»PRC1Q3</v></cell><cell r="D4947" t="str"><v>43316223935349</v></cell><cell r="E4947" t="str"><v>43316103032823PRC1Q3</v></cell><cell r="F4947" t="str"><v>DCM</v></cell><cell r="G4947" t="str"><v>https://azure.microsoft.com/en-us/pricing/purchase-options/?v=18.19&OCID=AID%eexcid!_OLA_%ebuy!_%epid!_%ecid!</v></cell></row><row r="4947"><cell r="K4947" t="str"><v>August</v></cell><cell r="L4947"><v>43316</v></cell><cell r="M4947" t="str"><v>Tier 0</v></cell><cell r="N4947" t="str"><v>North America</v></cell><cell r="O4947" t="str"><v>United States</v></cell><cell r="P4947" t="str"><v>Trial</v></cell><cell r="Q4947" t="str"><v>Social</v></cell><cell r="R4947" t="str"><v>Azure</v></cell><cell r="S4947" t="str"><v>Apps & Infra</v></cell><cell r="T4947" t="str"><v>Developers & ITI's</v></cell><cell r="U4947" t="str"><v>USA-Trial-ITD-Trial PayGo Lookalike-AZR-AZR</v></cell><cell r="V4947" t="str"><v>Lookalike Targeting</v></cell><cell r="W4947" t="str"><v>Canvas Ad</v></cell><cell r="X4947" t="str"><v>1x1</v></cell></row><row r="4947"><cell r="AA4947"><v>43316</v></cell><cell r="AB4947" t="str"><v>USA_gaPMG_AZR_AZR_Q1_19_Direct-Social</v></cell><cell r="AC4947"><v>21358715</v></cell><cell r="AD4947"><v>720197</v></cell><cell r="AE4947" t="str"><v>Facebook</v></cell><cell r="AF4947"><v>3654128</v></cell><cell r="AG4947" t="str"><v>FACEBOOK»USA-Trial-ITD-Trial PayGo Lookalike-AZR-AZR»1 x 1»SocialBan»CAN»ALL»CPA»LAL»X»NA»SS»NA»FBCTCBrandinMotion»PRC1Q3</v></cell><cell r="AH4947"><v>223935349</v></cell><cell r="AI4947" t="str"><v>AzurePlatform_FBCTCBrandinMotion_USA_10s_CAN_PLATFORM_English_Trial_Standard_STAN_TIN_T2_2</v></cell><cell r="AJ4947"><v>103032823</v></cell></row><row r="4948"><cell r="C4948" t="str"><v>43316FACEBOOK»USA-Trial-ITD-Trial PayGo Lookalike-AZR-AZR»1 x 1»SocialBan»CAN»ALL»CPA»LAL»X»NA»SS»NA»FBCTCBenefitinMotion»PRC1Q2</v></cell><cell r="D4948" t="str"><v>43316223862960</v></cell><cell r="E4948" t="str"><v>43316103032775PRC1Q2</v></cell><cell r="F4948" t="str"><v>DCM</v></cell><cell r="G4948" t="str"><v>https://signup.azure.com/?OCID=AID%eexcid!_OLA_%ebuy!_%epid!_%ecid!</v></cell></row><row r="4948"><cell r="K4948" t="str"><v>August</v></cell><cell r="L4948"><v>43316</v></cell><cell r="M4948" t="str"><v>Tier 0</v></cell><cell r="N4948" t="str"><v>North America</v></cell><cell r="O4948" t="str"><v>United States</v></cell><cell r="P4948" t="str"><v>Trial</v></cell><cell r="Q4948" t="str"><v>Social</v></cell><cell r="R4948" t="str"><v>Azure</v></cell><cell r="S4948" t="str"><v>Apps & Infra</v></cell><cell r="T4948" t="str"><v>Developers & ITI's</v></cell><cell r="U4948" t="str"><v>USA-Trial-ITD-Trial PayGo Lookalike-AZR-AZR</v></cell><cell r="V4948" t="str"><v>Lookalike Targeting</v></cell><cell r="W4948" t="str"><v>Canvas Ad</v></cell><cell r="X4948" t="str"><v>1x1</v></cell></row><row r="4948"><cell r="AA4948"><v>43316</v></cell><cell r="AB4948" t="str"><v>USA_gaPMG_AZR_AZR_Q1_19_Direct-Social</v></cell><cell r="AC4948"><v>21358715</v></cell><cell r="AD4948"><v>720197</v></cell><cell r="AE4948" t="str"><v>Facebook</v></cell><cell r="AF4948"><v>3654128</v></cell><cell r="AG4948" t="str"><v>FACEBOOK»USA-Trial-ITD-Trial PayGo Lookalike-AZR-AZR»1 x 1»SocialBan»CAN»ALL»CPA»LAL»X»NA»SS»NA»FBCTCBenefitinMotion»PRC1Q2</v></cell><cell r="AH4948"><v>223862960</v></cell><cell r="AI4948" t="str"><v>AzurePlatform_FBCTCBenefitinMotion_USA_10s_CAN_PLATFORM_English_Trial_Standard_STAN_TIN_T3_1</v></cell><cell r="AJ4948"><v>103032775</v></cell></row><row r="4949"><cell r="C4949" t="str"><v>43316FACEBOOK»USA-Trial-ITD-Trial PayGo Lookalike-AZR-AZR»1 x 1»SocialBan»LIA»ALL»CPA»LAL»X»NA»SS»NA»FreeAcctDeveloperFB-AnimatedGeneric-Ch1»PRC1Q6</v></cell><cell r="D4949" t="str"><v>43316224106129</v></cell><cell r="E4949" t="str"><v>43316103176851PRC1Q6</v></cell><cell r="F4949" t="str"><v>DCM</v></cell><cell r="G4949" t="str"><v>https://azure.microsoft.com/en-us/free/search/?OCID=AID%eexcid!_OLA_%ebuy!_%epid!_%ecid!</v></cell></row><row r="4949"><cell r="K4949" t="str"><v>August</v></cell><cell r="L4949"><v>43316</v></cell><cell r="M4949" t="str"><v>Tier 0</v></cell><cell r="N4949" t="str"><v>North America</v></cell><cell r="O4949" t="str"><v>United States</v></cell><cell r="P4949" t="str"><v>Trial</v></cell><cell r="Q4949" t="str"><v>Social</v></cell><cell r="R4949" t="str"><v>Azure</v></cell><cell r="S4949" t="str"><v>Apps & Infra</v></cell><cell r="T4949" t="str"><v>Developers & ITI's</v></cell><cell r="U4949" t="str"><v>USA-Trial-ITD-Trial PayGo Lookalike-AZR-AZR</v></cell><cell r="V4949" t="str"><v>Lookalike Targeting</v></cell><cell r="W4949" t="str"><v>Link Ad</v></cell><cell r="X4949" t="str"><v>1x1</v></cell></row><row r="4949"><cell r="AA4949"><v>43316</v></cell><cell r="AB4949" t="str"><v>USA_gaPMG_AZR_AZR_Q1_19_Direct-Social</v></cell><cell r="AC4949"><v>21358715</v></cell><cell r="AD4949"><v>720197</v></cell><cell r="AE4949" t="str"><v>Facebook</v></cell><cell r="AF4949"><v>3654128</v></cell><cell r="AG4949" t="str"><v>FACEBOOK»USA-Trial-ITD-Trial PayGo Lookalike-AZR-AZR»1 x 1»SocialBan»LIA»ALL»CPA»LAL»X»NA»SS»NA»FreeAcctDeveloperFB-AnimatedGeneric-Ch1»PRC1Q6</v></cell><cell r="AH4949"><v>224106129</v></cell><cell r="AI4949" t="str"><v>AZR_FreeAcctDeveloperFB-AnimatedGeneric-Ch1_USA_1200x1200_CAN_Direct_English_Trial_Standard_ANI_LEA_T1_2</v></cell><cell r="AJ4949"><v>103176851</v></cell></row><row r="4950"><cell r="C4950" t="str"><v>43316FACEBOOK»USA-Trial-ITD-Lead Completes-AZR-AZR»1 x 1»SocialBan»LIA»ALL»CPA»PRO»X»NA»SS»NA»FreeAcctDeveloperFB-AnimatedData-Ch4»PRC1W3</v></cell><cell r="D4950" t="str"><v>43316223862711</v></cell><cell r="E4950" t="str"><v>43316103037935PRC1W3</v></cell><cell r="F4950" t="str"><v>DCM</v></cell></row><row r="4950"><cell r="K4950" t="str"><v>August</v></cell><cell r="L4950"><v>43316</v></cell><cell r="M4950" t="str"><v>Tier 0</v></cell><cell r="N4950" t="str"><v>North America</v></cell><cell r="O4950" t="str"><v>United States</v></cell><cell r="P4950" t="str"><v>Trial</v></cell><cell r="Q4950" t="str"><v>Social</v></cell><cell r="R4950" t="str"><v>Azure</v></cell><cell r="S4950" t="str"><v>Apps & Infra</v></cell><cell r="T4950" t="str"><v>Developers & ITI's</v></cell><cell r="U4950" t="str"><v>USA-Trial-ITD-Lead Completes-AZR-AZR</v></cell><cell r="V4950" t="str"><v>Prospecting</v></cell><cell r="W4950" t="str"><v>Link Ad</v></cell><cell r="X4950" t="str"><v>1x1</v></cell></row><row r="4950"><cell r="AA4950"><v>43316</v></cell><cell r="AB4950" t="str"><v>USA_gaPMG_AZR_AZR_Q1_19_Direct-Social</v></cell><cell r="AC4950"><v>21358715</v></cell><cell r="AD4950"><v>720197</v></cell><cell r="AE4950" t="str"><v>Facebook</v></cell><cell r="AF4950"><v>3654128</v></cell><cell r="AG4950" t="str"><v>FACEBOOK»USA-Trial-ITD-Lead Completes-AZR-AZR»1 x 1»SocialBan»LIA»ALL»CPA»PRO»X»NA»SS»NA»FreeAcctDeveloperFB-AnimatedData-Ch4»PRC1W3</v></cell><cell r="AH4950"><v>223862711</v></cell><cell r="AI4950" t="str"><v>AZR_FreeAcctDeveloperFB-AnimatedData-Ch4_USA_1200x1200_CAN_Direct_English_Trial_Standard_ANI_LEA_T4_2</v></cell><cell r="AJ4950"><v>103037935</v></cell></row><row r="4951"><cell r="C4951" t="str"><v>43316FACEBOOK»USA-Trial-ITD-Trial Lookalike-AZR-AZR»1 x 1»SocialBan»LIA»ALL»CPA»LAL»X»NA»SS»NA»FreeAcctDeveloperFB-AnimatedGeneric-Ch1»PRC1M5</v></cell><cell r="D4951" t="str"><v>43316223934083</v></cell><cell r="E4951" t="str"><v>43316103176851PRC1M5</v></cell><cell r="F4951" t="str"><v>DCM</v></cell><cell r="G4951" t="str"><v>https://azure.microsoft.com/en-us/free/search/?OCID=AID%eexcid!_OLA_%ebuy!_%epid!_%ecid!</v></cell></row><row r="4951"><cell r="K4951" t="str"><v>August</v></cell><cell r="L4951"><v>43316</v></cell><cell r="M4951" t="str"><v>Tier 0</v></cell><cell r="N4951" t="str"><v>North America</v></cell><cell r="O4951" t="str"><v>United States</v></cell><cell r="P4951" t="str"><v>Trial</v></cell><cell r="Q4951" t="str"><v>Social</v></cell><cell r="R4951" t="str"><v>Azure</v></cell><cell r="S4951" t="str"><v>Apps & Infra</v></cell><cell r="T4951" t="str"><v>Developers & ITI's</v></cell><cell r="U4951" t="str"><v>USA-Trial-ITD-Trial Lookalike-AZR-AZR</v></cell><cell r="V4951" t="str"><v>Lookalike Targeting</v></cell><cell r="W4951" t="str"><v>Link Ad</v></cell><cell r="X4951" t="str"><v>1x1</v></cell></row><row r="4951"><cell r="AA4951"><v>43316</v></cell><cell r="AB4951" t="str"><v>USA_gaPMG_AZR_AZR_Q1_19_Direct-Social</v></cell><cell r="AC4951"><v>21358715</v></cell><cell r="AD4951"><v>720197</v></cell><cell r="AE4951" t="str"><v>Facebook</v></cell><cell r="AF4951"><v>3654128</v></cell><cell r="AG4951" t="str"><v>FACEBOOK»USA-Trial-ITD-Trial Lookalike-AZR-AZR»1 x 1»SocialBan»LIA»ALL»CPA»LAL»X»NA»SS»NA»FreeAcctDeveloperFB-AnimatedGeneric-Ch1»PRC1M5</v></cell><cell r="AH4951"><v>223934083</v></cell><cell r="AI4951" t="str"><v>AZR_FreeAcctDeveloperFB-AnimatedGeneric-Ch1_USA_1200x1200_CAN_Direct_English_Trial_Standard_ANI_LEA_T1_2</v></cell><cell r="AJ4951"><v>103176851</v></cell></row><row r="4952"><cell r="C4952" t="str"><v>43316FACEBOOK»USA-Trial-ITD-Trial Lookalike-AZR-AZR»1 x 1»SocialBan»LIA»ALL»CPA»LAL»X»NA»SS»NA»FreeAcctITProFB-AnimatedSecureMngd-Ch1»PRC1M9</v></cell><cell r="D4952" t="str"><v>43316224104959</v></cell><cell r="E4952" t="str"><v>43316103176830PRC1M9</v></cell><cell r="F4952" t="str"><v>DCM</v></cell></row><row r="4952"><cell r="K4952" t="str"><v>August</v></cell><cell r="L4952"><v>43316</v></cell><cell r="M4952" t="str"><v>Tier 0</v></cell><cell r="N4952" t="str"><v>North America</v></cell><cell r="O4952" t="str"><v>United States</v></cell><cell r="P4952" t="str"><v>Trial</v></cell><cell r="Q4952" t="str"><v>Social</v></cell><cell r="R4952" t="str"><v>Azure</v></cell><cell r="S4952" t="str"><v>Apps & Infra</v></cell><cell r="T4952" t="str"><v>Developers & ITI's</v></cell><cell r="U4952" t="str"><v>USA-Trial-ITD-Trial Lookalike-AZR-AZR</v></cell><cell r="V4952" t="str"><v>Lookalike Targeting</v></cell><cell r="W4952" t="str"><v>Link Ad</v></cell><cell r="X4952" t="str"><v>1x1</v></cell></row><row r="4952"><cell r="AA4952"><v>43316</v></cell><cell r="AB4952" t="str"><v>USA_gaPMG_AZR_AZR_Q1_19_Direct-Social</v></cell><cell r="AC4952"><v>21358715</v></cell><cell r="AD4952"><v>720197</v></cell><cell r="AE4952" t="str"><v>Facebook</v></cell><cell r="AF4952"><v>3654128</v></cell><cell r="AG4952" t="str"><v>FACEBOOK»USA-Trial-ITD-Trial Lookalike-AZR-AZR»1 x 1»SocialBan»LIA»ALL»CPA»LAL»X»NA»SS»NA»FreeAcctITProFB-AnimatedSecureMngd-Ch1»PRC1M9</v></cell><cell r="AH4952"><v>224104959</v></cell><cell r="AI4952" t="str"><v>AZR_FreeAcctITProFB-AnimatedSecureMngd-Ch1_USA_1200x1200_CAN_Direct_English_Trial_Standard_ANI_LEA_T1_1</v></cell><cell r="AJ4952"><v>103176830</v></cell></row><row r="4953"><cell r="C4953" t="str"><v>43316FACEBOOK»USA-Trial-ITD-Trial PayGo Lookalike-AZR-AZR»1 x 1»SocialBan»LIA»ALL»CPA»LAL»X»NA»SS»NA»FreeAcctDeveloperFB-AnimatedData-Ch4»PRC1Q9</v></cell><cell r="D4953" t="str"><v>43316224106990</v></cell><cell r="E4953" t="str"><v>43316103037935PRC1Q9</v></cell><cell r="F4953" t="str"><v>DCM</v></cell></row><row r="4953"><cell r="K4953" t="str"><v>August</v></cell><cell r="L4953"><v>43316</v></cell><cell r="M4953" t="str"><v>Tier 0</v></cell><cell r="N4953" t="str"><v>North America</v></cell><cell r="O4953" t="str"><v>United States</v></cell><cell r="P4953" t="str"><v>Trial</v></cell><cell r="Q4953" t="str"><v>Social</v></cell><cell r="R4953" t="str"><v>Azure</v></cell><cell r="S4953" t="str"><v>Apps & Infra</v></cell><cell r="T4953" t="str"><v>Developers & ITI's</v></cell><cell r="U4953" t="str"><v>USA-Trial-ITD-Trial PayGo Lookalike-AZR-AZR</v></cell><cell r="V4953" t="str"><v>Lookalike Targeting</v></cell><cell r="W4953" t="str"><v>Link Ad</v></cell><cell r="X4953" t="str"><v>1x1</v></cell></row><row r="4953"><cell r="AA4953"><v>43316</v></cell><cell r="AB4953" t="str"><v>USA_gaPMG_AZR_AZR_Q1_19_Direct-Social</v></cell><cell r="AC4953"><v>21358715</v></cell><cell r="AD4953"><v>720197</v></cell><cell r="AE4953" t="str"><v>Facebook</v></cell><cell r="AF4953"><v>3654128</v></cell><cell r="AG4953" t="str"><v>FACEBOOK»USA-Trial-ITD-Trial PayGo Lookalike-AZR-AZR»1 x 1»SocialBan»LIA»ALL»CPA»LAL»X»NA»SS»NA»FreeAcctDeveloperFB-AnimatedData-Ch4»PRC1Q9</v></cell><cell r="AH4953"><v>224106990</v></cell><cell r="AI4953" t="str"><v>AZR_FreeAcctDeveloperFB-AnimatedData-Ch4_USA_1200x1200_CAN_Direct_English_Trial_Standard_ANI_LEA_T4_2</v></cell><cell r="AJ4953"><v>103037935</v></cell></row><row r="4954"><cell r="C4954" t="str"><v>43316FACEBOOK»USA-Trial-ITD-Trial PayGo Lookalike-AZR-AZR»1 x 1»SocialBan»LIA»ALL»CPA»LAL»X»NA»SS»NA»FreeAcctITProFB-AnimatedHybrid-Ch2»PRC1QC</v></cell><cell r="D4954" t="str"><v>43316223933186</v></cell><cell r="E4954" t="str"><v>43316103180583PRC1QC</v></cell><cell r="F4954" t="str"><v>DCM</v></cell></row><row r="4954"><cell r="K4954" t="str"><v>August</v></cell><cell r="L4954"><v>43316</v></cell><cell r="M4954" t="str"><v>Tier 0</v></cell><cell r="N4954" t="str"><v>North America</v></cell><cell r="O4954" t="str"><v>United States</v></cell><cell r="P4954" t="str"><v>Trial</v></cell><cell r="Q4954" t="str"><v>Social</v></cell><cell r="R4954" t="str"><v>Azure</v></cell><cell r="S4954" t="str"><v>Apps & Infra</v></cell><cell r="T4954" t="str"><v>Developers & ITI's</v></cell><cell r="U4954" t="str"><v>USA-Trial-ITD-Trial PayGo Lookalike-AZR-AZR</v></cell><cell r="V4954" t="str"><v>Lookalike Targeting</v></cell><cell r="W4954" t="str"><v>Link Ad</v></cell><cell r="X4954" t="str"><v>1x1</v></cell></row><row r="4954"><cell r="AA4954"><v>43316</v></cell><cell r="AB4954" t="str"><v>USA_gaPMG_AZR_AZR_Q1_19_Direct-Social</v></cell><cell r="AC4954"><v>21358715</v></cell><cell r="AD4954"><v>720197</v></cell><cell r="AE4954" t="str"><v>Facebook</v></cell><cell r="AF4954"><v>3654128</v></cell><cell r="AG4954" t="str"><v>FACEBOOK»USA-Trial-ITD-Trial PayGo Lookalike-AZR-AZR»1 x 1»SocialBan»LIA»ALL»CPA»LAL»X»NA»SS»NA»FreeAcctITProFB-AnimatedHybrid-Ch2»PRC1QC</v></cell><cell r="AH4954"><v>223933186</v></cell><cell r="AI4954" t="str"><v>AZR_FreeAcctITProFB-AnimatedHybrid-Ch2_USA_1200x1200_CAN_Direct_English_Trial_Standard_ANI_LEA_T2_2</v></cell><cell r="AJ4954"><v>103180583</v></cell></row><row r="4955"><cell r="C4955" t="str"><v>43316INSTAGRAM»USA-Trial-ITD-Interest Prospecting-AZR-AZR»1 x 1»SocialBan»CAN»ALL»CPA»PRO»X»NA»SS»NA»IGCTCBenefit2inMotion»PRC2PD</v></cell><cell r="D4955" t="str"><v>43316223933084</v></cell><cell r="E4955" t="str"><v>43316103180628PRC2PD</v></cell><cell r="F4955" t="str"><v>DCM</v></cell><cell r="G4955" t="str"><v>https://signup.azure.com/?OCID=AID%eexcid!_OLA_%ebuy!_%epid!_%ecid!</v></cell></row><row r="4955"><cell r="K4955" t="str"><v>August</v></cell><cell r="L4955"><v>43316</v></cell><cell r="M4955" t="str"><v>Tier 0</v></cell><cell r="N4955" t="str"><v>North America</v></cell><cell r="O4955" t="str"><v>United States</v></cell><cell r="P4955" t="str"><v>Trial</v></cell><cell r="Q4955" t="str"><v>Social</v></cell><cell r="R4955" t="str"><v>Azure</v></cell><cell r="S4955" t="str"><v>Apps & Infra</v></cell><cell r="T4955" t="str"><v>Developers & ITI's</v></cell><cell r="U4955" t="str"><v>USA-Trial-ITD-Interest Prospecting-AZR-AZR</v></cell><cell r="V4955" t="str"><v>Prospecting</v></cell><cell r="W4955" t="str"><v>Canvas Ad</v></cell><cell r="X4955" t="str"><v>1x1</v></cell></row><row r="4955"><cell r="AA4955"><v>43316</v></cell><cell r="AB4955" t="str"><v>USA_gaPMG_AZR_AZR_Q1_19_Direct-Social</v></cell><cell r="AC4955"><v>21358715</v></cell><cell r="AD4955"><v>720197</v></cell><cell r="AE4955" t="str"><v>Facebook - Instagram</v></cell><cell r="AF4955"><v>3654128</v></cell><cell r="AG4955" t="str"><v>INSTAGRAM»USA-Trial-ITD-Interest Prospecting-AZR-AZR»1 x 1»SocialBan»CAN»ALL»CPA»PRO»X»NA»SS»NA»IGCTCBenefit2inMotion»PRC2PD</v></cell><cell r="AH4955"><v>223933084</v></cell><cell r="AI4955" t="str"><v>AzurePlatform_IGCTCBrandinMotion_USA_10s_CAN_PLATFORM_English_Trial_Standard_STAN_TIN_T2_1</v></cell><cell r="AJ4955"><v>103180628</v></cell></row><row r="4956"><cell r="C4956" t="str"><v>43316INSTAGRAM»USA-Trial-ITD-Interest Prospecting-AZR-AZR»1 x 1»SocialBan»CAN»ALL»CPA»PRO»X»NA»SS»NA»IGCTCBenefit2inMotion»PRC2PD</v></cell><cell r="D4956" t="str"><v>43316223933084</v></cell><cell r="E4956" t="str"><v>43316103050786PRC2PD</v></cell><cell r="F4956" t="str"><v>DCM</v></cell><cell r="G4956" t="str"><v>https://azure.microsoft.com/en-us/pricing/purchase-options/?v=18.19&OCID=AID%eexcid!_OLA_%ebuy!_%epid!_%ecid!</v></cell></row><row r="4956"><cell r="K4956" t="str"><v>August</v></cell><cell r="L4956"><v>43316</v></cell><cell r="M4956" t="str"><v>Tier 0</v></cell><cell r="N4956" t="str"><v>North America</v></cell><cell r="O4956" t="str"><v>United States</v></cell><cell r="P4956" t="str"><v>Trial</v></cell><cell r="Q4956" t="str"><v>Social</v></cell><cell r="R4956" t="str"><v>Azure</v></cell><cell r="S4956" t="str"><v>Apps & Infra</v></cell><cell r="T4956" t="str"><v>Developers & ITI's</v></cell><cell r="U4956" t="str"><v>USA-Trial-ITD-Interest Prospecting-AZR-AZR</v></cell><cell r="V4956" t="str"><v>Prospecting</v></cell><cell r="W4956" t="str"><v>Canvas Ad</v></cell><cell r="X4956" t="str"><v>1x1</v></cell></row><row r="4956"><cell r="AA4956"><v>43316</v></cell><cell r="AB4956" t="str"><v>USA_gaPMG_AZR_AZR_Q1_19_Direct-Social</v></cell><cell r="AC4956"><v>21358715</v></cell><cell r="AD4956"><v>720197</v></cell><cell r="AE4956" t="str"><v>Facebook - Instagram</v></cell><cell r="AF4956"><v>3654128</v></cell><cell r="AG4956" t="str"><v>INSTAGRAM»USA-Trial-ITD-Interest Prospecting-AZR-AZR»1 x 1»SocialBan»CAN»ALL»CPA»PRO»X»NA»SS»NA»IGCTCBenefit2inMotion»PRC2PD</v></cell><cell r="AH4956"><v>223933084</v></cell><cell r="AI4956" t="str"><v>AzurePlatform_IGCTCBrandinMotion_USA_10s_CAN_PLATFORM_English_Trial_Standard_STAN_TIN_T2_2</v></cell><cell r="AJ4956"><v>103050786</v></cell></row><row r="4957"><cell r="C4957" t="str"><v>43316INSTAGRAM»USA-Trial-ITD-Interest Prospecting-AZR-AZR»1 x 1»SocialBan»CAN»ALL»CPA»PRO»X»NA»SS»NA»IGCTCBrandinMotion»PRC2PB</v></cell><cell r="D4957" t="str"><v>43316223862690</v></cell><cell r="E4957" t="str"><v>43316103050783PRC2PB</v></cell><cell r="F4957" t="str"><v>DCM</v></cell><cell r="G4957" t="str"><v>https://signup.azure.com/?OCID=AID%eexcid!_OLA_%ebuy!_%epid!_%ecid!</v></cell></row><row r="4957"><cell r="K4957" t="str"><v>August</v></cell><cell r="L4957"><v>43316</v></cell><cell r="M4957" t="str"><v>Tier 0</v></cell><cell r="N4957" t="str"><v>North America</v></cell><cell r="O4957" t="str"><v>United States</v></cell><cell r="P4957" t="str"><v>Trial</v></cell><cell r="Q4957" t="str"><v>Social</v></cell><cell r="R4957" t="str"><v>Azure</v></cell><cell r="S4957" t="str"><v>Apps & Infra</v></cell><cell r="T4957" t="str"><v>Developers & ITI's</v></cell><cell r="U4957" t="str"><v>USA-Trial-ITD-Interest Prospecting-AZR-AZR</v></cell><cell r="V4957" t="str"><v>Prospecting</v></cell><cell r="W4957" t="str"><v>Canvas Ad</v></cell><cell r="X4957" t="str"><v>1x1</v></cell></row><row r="4957"><cell r="AA4957"><v>43316</v></cell><cell r="AB4957" t="str"><v>USA_gaPMG_AZR_AZR_Q1_19_Direct-Social</v></cell><cell r="AC4957"><v>21358715</v></cell><cell r="AD4957"><v>720197</v></cell><cell r="AE4957" t="str"><v>Facebook - Instagram</v></cell><cell r="AF4957"><v>3654128</v></cell><cell r="AG4957" t="str"><v>INSTAGRAM»USA-Trial-ITD-Interest Prospecting-AZR-AZR»1 x 1»SocialBan»CAN»ALL»CPA»PRO»X»NA»SS»NA»IGCTCBrandinMotion»PRC2PB</v></cell><cell r="AH4957"><v>223862690</v></cell><cell r="AI4957" t="str"><v>AzurePlatform_IGCTCBenefit2inMotion_USA_10s_CAN_PLATFORM_English_Trial_Standard_STAN_TIN_T4_1</v></cell><cell r="AJ4957"><v>103050783</v></cell></row><row r="4958"><cell r="C4958" t="str"><v>43316INSTAGRAM»USA-Trial-ITD-Retargeting-AZR-AZR»1 x 1»SocialBan»CAN»ALL»CPA»RT»X»NA»SS»NA»IGCTCBrandinMotion»PRC2G3</v></cell><cell r="D4958" t="str"><v>43316224107014</v></cell><cell r="E4958" t="str"><v>43316103050783PRC2G3</v></cell><cell r="F4958" t="str"><v>DCM</v></cell><cell r="G4958" t="str"><v>https://signup.azure.com/?OCID=AID%eexcid!_OLA_%ebuy!_%epid!_%ecid!</v></cell></row><row r="4958"><cell r="K4958" t="str"><v>August</v></cell><cell r="L4958"><v>43316</v></cell><cell r="M4958" t="str"><v>Tier 0</v></cell><cell r="N4958" t="str"><v>North America</v></cell><cell r="O4958" t="str"><v>United States</v></cell><cell r="P4958" t="str"><v>Trial</v></cell><cell r="Q4958" t="str"><v>Social</v></cell><cell r="R4958" t="str"><v>Azure</v></cell><cell r="S4958" t="str"><v>Apps & Infra</v></cell><cell r="T4958" t="str"><v>Developers & ITI's</v></cell><cell r="U4958" t="str"><v>USA-Trial-ITD-Retargeting-AZR-AZR</v></cell><cell r="V4958" t="str"><v>Retargeting</v></cell><cell r="W4958" t="str"><v>Canvas Ad</v></cell><cell r="X4958" t="str"><v>1x1</v></cell></row><row r="4958"><cell r="AA4958"><v>43316</v></cell><cell r="AB4958" t="str"><v>USA_gaPMG_AZR_AZR_Q1_19_Direct-Social</v></cell><cell r="AC4958"><v>21358715</v></cell><cell r="AD4958"><v>720197</v></cell><cell r="AE4958" t="str"><v>Facebook - Instagram</v></cell><cell r="AF4958"><v>3654128</v></cell><cell r="AG4958" t="str"><v>INSTAGRAM»USA-Trial-ITD-Retargeting-AZR-AZR»1 x 1»SocialBan»CAN»ALL»CPA»RT»X»NA»SS»NA»IGCTCBrandinMotion»PRC2G3</v></cell><cell r="AH4958"><v>224107014</v></cell><cell r="AI4958" t="str"><v>AzurePlatform_IGCTCBenefit2inMotion_USA_10s_CAN_PLATFORM_English_Trial_Standard_STAN_TIN_T4_1</v></cell><cell r="AJ4958"><v>103050783</v></cell></row><row r="4959"><cell r="C4959" t="str"><v>43316INSTAGRAM»USA-Trial-ITD-Retargeting-AZR-AZR»1 x 1»SocialBan»CAN»ALL»CPA»RT»X»NA»SS»NA»IGCTCBenefit2inMotion»PRC2G6</v></cell><cell r="D4959" t="str"><v>43316224105001</v></cell><cell r="E4959" t="str"><v>43316103050786PRC2G6</v></cell><cell r="F4959" t="str"><v>DCM</v></cell><cell r="G4959" t="str"><v>https://azure.microsoft.com/en-us/pricing/purchase-options/?v=18.19&OCID=AID%eexcid!_OLA_%ebuy!_%epid!_%ecid!</v></cell></row><row r="4959"><cell r="K4959" t="str"><v>August</v></cell><cell r="L4959"><v>43316</v></cell><cell r="M4959" t="str"><v>Tier 0</v></cell><cell r="N4959" t="str"><v>North America</v></cell><cell r="O4959" t="str"><v>United States</v></cell><cell r="P4959" t="str"><v>Trial</v></cell><cell r="Q4959" t="str"><v>Social</v></cell><cell r="R4959" t="str"><v>Azure</v></cell><cell r="S4959" t="str"><v>Apps & Infra</v></cell><cell r="T4959" t="str"><v>Developers & ITI's</v></cell><cell r="U4959" t="str"><v>USA-Trial-ITD-Retargeting-AZR-AZR</v></cell><cell r="V4959" t="str"><v>Retargeting</v></cell><cell r="W4959" t="str"><v>Canvas Ad</v></cell><cell r="X4959" t="str"><v>1x1</v></cell></row><row r="4959"><cell r="AA4959"><v>43316</v></cell><cell r="AB4959" t="str"><v>USA_gaPMG_AZR_AZR_Q1_19_Direct-Social</v></cell><cell r="AC4959"><v>21358715</v></cell><cell r="AD4959"><v>720197</v></cell><cell r="AE4959" t="str"><v>Facebook - Instagram</v></cell><cell r="AF4959"><v>3654128</v></cell><cell r="AG4959" t="str"><v>INSTAGRAM»USA-Trial-ITD-Retargeting-AZR-AZR»1 x 1»SocialBan»CAN»ALL»CPA»RT»X»NA»SS»NA»IGCTCBenefit2inMotion»PRC2G6</v></cell><cell r="AH4959"><v>224105001</v></cell><cell r="AI4959" t="str"><v>AzurePlatform_IGCTCBrandinMotion_USA_10s_CAN_PLATFORM_English_Trial_Standard_STAN_TIN_T2_2</v></cell><cell r="AJ4959"><v>103050786</v></cell></row><row r="4960"><cell r="C4960" t="str"><v>43316INSTAGRAM»USA-Trial-ITD-Retargeting-AZR-AZR»1 x 1»SocialBan»CAN»ALL»CPA»RT»X»NA»SS»NA»IGCTCBenefitinMotion»PRC2G4</v></cell><cell r="D4960" t="str"><v>43316224107536</v></cell><cell r="E4960" t="str"><v>43316103050780PRC2G4</v></cell><cell r="F4960" t="str"><v>DCM</v></cell><cell r="G4960" t="str"><v>https://signup.azure.com/?OCID=AID%eexcid!_OLA_%ebuy!_%epid!_%ecid!</v></cell></row><row r="4960"><cell r="K4960" t="str"><v>August</v></cell><cell r="L4960"><v>43316</v></cell><cell r="M4960" t="str"><v>Tier 0</v></cell><cell r="N4960" t="str"><v>North America</v></cell><cell r="O4960" t="str"><v>United States</v></cell><cell r="P4960" t="str"><v>Trial</v></cell><cell r="Q4960" t="str"><v>Social</v></cell><cell r="R4960" t="str"><v>Azure</v></cell><cell r="S4960" t="str"><v>Apps & Infra</v></cell><cell r="T4960" t="str"><v>Developers & ITI's</v></cell><cell r="U4960" t="str"><v>USA-Trial-ITD-Retargeting-AZR-AZR</v></cell><cell r="V4960" t="str"><v>Retargeting</v></cell><cell r="W4960" t="str"><v>Canvas Ad</v></cell><cell r="X4960" t="str"><v>1x1</v></cell></row><row r="4960"><cell r="AA4960"><v>43316</v></cell><cell r="AB4960" t="str"><v>USA_gaPMG_AZR_AZR_Q1_19_Direct-Social</v></cell><cell r="AC4960"><v>21358715</v></cell><cell r="AD4960"><v>720197</v></cell><cell r="AE4960" t="str"><v>Facebook - Instagram</v></cell><cell r="AF4960"><v>3654128</v></cell><cell r="AG4960" t="str"><v>INSTAGRAM»USA-Trial-ITD-Retargeting-AZR-AZR»1 x 1»SocialBan»CAN»ALL»CPA»RT»X»NA»SS»NA»IGCTCBenefitinMotion»PRC2G4</v></cell><cell r="AH4960"><v>224107536</v></cell><cell r="AI4960" t="str"><v>AzurePlatform_IGCTCBenefitinMotion_USA_10s_CAN_PLATFORM_English_Trial_Standard_STAN_TIN_T3_1</v></cell><cell r="AJ4960"><v>103050780</v></cell></row><row r="4961"><cell r="C4961" t="str"><v>43316INSTAGRAM»USA-Trial-ITD-Retargeting-AZR-AZR»1 x 1»SocialBan»CAN»ALL»CPA»RT»X»NA»SS»NA»IGCTCBenefitinMotion»PRC2G4</v></cell><cell r="D4961" t="str"><v>43316224107536</v></cell><cell r="E4961" t="str"><v>43316103180637PRC2G4</v></cell><cell r="F4961" t="str"><v>DCM</v></cell><cell r="G4961" t="str"><v>https://azure.microsoft.com/en-us/pricing/purchase-options/?v=18.19&OCID=AID%eexcid!_OLA_%ebuy!_%epid!_%ecid!</v></cell></row><row r="4961"><cell r="K4961" t="str"><v>August</v></cell><cell r="L4961"><v>43316</v></cell><cell r="M4961" t="str"><v>Tier 0</v></cell><cell r="N4961" t="str"><v>North America</v></cell><cell r="O4961" t="str"><v>United States</v></cell><cell r="P4961" t="str"><v>Trial</v></cell><cell r="Q4961" t="str"><v>Social</v></cell><cell r="R4961" t="str"><v>Azure</v></cell><cell r="S4961" t="str"><v>Apps & Infra</v></cell><cell r="T4961" t="str"><v>Developers & ITI's</v></cell><cell r="U4961" t="str"><v>USA-Trial-ITD-Retargeting-AZR-AZR</v></cell><cell r="V4961" t="str"><v>Retargeting</v></cell><cell r="W4961" t="str"><v>Canvas Ad</v></cell><cell r="X4961" t="str"><v>1x1</v></cell></row><row r="4961"><cell r="AA4961"><v>43316</v></cell><cell r="AB4961" t="str"><v>USA_gaPMG_AZR_AZR_Q1_19_Direct-Social</v></cell><cell r="AC4961"><v>21358715</v></cell><cell r="AD4961"><v>720197</v></cell><cell r="AE4961" t="str"><v>Facebook - Instagram</v></cell><cell r="AF4961"><v>3654128</v></cell><cell r="AG4961" t="str"><v>INSTAGRAM»USA-Trial-ITD-Retargeting-AZR-AZR»1 x 1»SocialBan»CAN»ALL»CPA»RT»X»NA»SS»NA»IGCTCBenefitinMotion»PRC2G4</v></cell><cell r="AH4961"><v>224107536</v></cell><cell r="AI4961" t="str"><v>AzurePlatform_IGCTCBenefitinMotion_USA_10s_CAN_PLATFORM_English_Trial_Standard_STAN_TIN_T3_2</v></cell><cell r="AJ4961"><v>103180637</v></cell></row><row r="4962"><cell r="C4962" t="str"><v>43316INSTAGRAM»USA-Trial-ITD-Trial Lookalike-AZR-AZR»1 x 1»SocialBan»CAN»ALL»CPA»LAL»X»NA»SS»NA»IGCTCBenefit2inMotion»PRC2FL</v></cell><cell r="D4962" t="str"><v>43316223935022</v></cell><cell r="E4962" t="str"><v>43316103180628PRC2FL</v></cell><cell r="F4962" t="str"><v>DCM</v></cell><cell r="G4962" t="str"><v>https://signup.azure.com/?OCID=AID%eexcid!_OLA_%ebuy!_%epid!_%ecid!</v></cell></row><row r="4962"><cell r="K4962" t="str"><v>August</v></cell><cell r="L4962"><v>43316</v></cell><cell r="M4962" t="str"><v>Tier 0</v></cell><cell r="N4962" t="str"><v>North America</v></cell><cell r="O4962" t="str"><v>United States</v></cell><cell r="P4962" t="str"><v>Trial</v></cell><cell r="Q4962" t="str"><v>Social</v></cell><cell r="R4962" t="str"><v>Azure</v></cell><cell r="S4962" t="str"><v>Apps & Infra</v></cell><cell r="T4962" t="str"><v>Developers & ITI's</v></cell><cell r="U4962" t="str"><v>USA-Trial-ITD-Trial Lookalike-AZR-AZR</v></cell><cell r="V4962" t="str"><v>Lookalike Targeting</v></cell><cell r="W4962" t="str"><v>Canvas Ad</v></cell><cell r="X4962" t="str"><v>1x1</v></cell></row><row r="4962"><cell r="AA4962"><v>43316</v></cell><cell r="AB4962" t="str"><v>USA_gaPMG_AZR_AZR_Q1_19_Direct-Social</v></cell><cell r="AC4962"><v>21358715</v></cell><cell r="AD4962"><v>720197</v></cell><cell r="AE4962" t="str"><v>Facebook - Instagram</v></cell><cell r="AF4962"><v>3654128</v></cell><cell r="AG4962" t="str"><v>INSTAGRAM»USA-Trial-ITD-Trial Lookalike-AZR-AZR»1 x 1»SocialBan»CAN»ALL»CPA»LAL»X»NA»SS»NA»IGCTCBenefit2inMotion»PRC2FL</v></cell><cell r="AH4962"><v>223935022</v></cell><cell r="AI4962" t="str"><v>AzurePlatform_IGCTCBrandinMotion_USA_10s_CAN_PLATFORM_English_Trial_Standard_STAN_TIN_T2_1</v></cell><cell r="AJ4962"><v>103180628</v></cell></row><row r="4963"><cell r="C4963" t="str"><v>43316INSTAGRAM»USA-Trial-ITD-Trial Lookalike-AZR-AZR»1 x 1»SocialBan»CAN»ALL»CPA»LAL»X»NA»SS»NA»IGCTCBenefit2inMotion»PRC2FL</v></cell><cell r="D4963" t="str"><v>43316223935022</v></cell><cell r="E4963" t="str"><v>43316103050786PRC2FL</v></cell><cell r="F4963" t="str"><v>DCM</v></cell><cell r="G4963" t="str"><v>https://azure.microsoft.com/en-us/pricing/purchase-options/?v=18.19&OCID=AID%eexcid!_OLA_%ebuy!_%epid!_%ecid!</v></cell></row><row r="4963"><cell r="K4963" t="str"><v>August</v></cell><cell r="L4963"><v>43316</v></cell><cell r="M4963" t="str"><v>Tier 0</v></cell><cell r="N4963" t="str"><v>North America</v></cell><cell r="O4963" t="str"><v>United States</v></cell><cell r="P4963" t="str"><v>Trial</v></cell><cell r="Q4963" t="str"><v>Social</v></cell><cell r="R4963" t="str"><v>Azure</v></cell><cell r="S4963" t="str"><v>Apps & Infra</v></cell><cell r="T4963" t="str"><v>Developers & ITI's</v></cell><cell r="U4963" t="str"><v>USA-Trial-ITD-Trial Lookalike-AZR-AZR</v></cell><cell r="V4963" t="str"><v>Lookalike Targeting</v></cell><cell r="W4963" t="str"><v>Canvas Ad</v></cell><cell r="X4963" t="str"><v>1x1</v></cell></row><row r="4963"><cell r="AA4963"><v>43316</v></cell><cell r="AB4963" t="str"><v>USA_gaPMG_AZR_AZR_Q1_19_Direct-Social</v></cell><cell r="AC4963"><v>21358715</v></cell><cell r="AD4963"><v>720197</v></cell><cell r="AE4963" t="str"><v>Facebook - Instagram</v></cell><cell r="AF4963"><v>3654128</v></cell><cell r="AG4963" t="str"><v>INSTAGRAM»USA-Trial-ITD-Trial Lookalike-AZR-AZR»1 x 1»SocialBan»CAN»ALL»CPA»LAL»X»NA»SS»NA»IGCTCBenefit2inMotion»PRC2FL</v></cell><cell r="AH4963"><v>223935022</v></cell><cell r="AI4963" t="str"><v>AzurePlatform_IGCTCBrandinMotion_USA_10s_CAN_PLATFORM_English_Trial_Standard_STAN_TIN_T2_2</v></cell><cell r="AJ4963"><v>103050786</v></cell></row><row r="4964"><cell r="C4964" t="str"><v>43316INSTAGRAM»USA-Trial-ITD-Trial Lookalike-AZR-AZR»1 x 1»SocialBan»CAN»ALL»CPA»LAL»X»NA»SS»NA»IGCTCBrandinMotion»PRC2FH</v></cell><cell r="D4964" t="str"><v>43316223935019</v></cell><cell r="E4964" t="str"><v>43316103050783PRC2FH</v></cell><cell r="F4964" t="str"><v>DCM</v></cell><cell r="G4964" t="str"><v>https://signup.azure.com/?OCID=AID%eexcid!_OLA_%ebuy!_%epid!_%ecid!</v></cell></row><row r="4964"><cell r="K4964" t="str"><v>August</v></cell><cell r="L4964"><v>43316</v></cell><cell r="M4964" t="str"><v>Tier 0</v></cell><cell r="N4964" t="str"><v>North America</v></cell><cell r="O4964" t="str"><v>United States</v></cell><cell r="P4964" t="str"><v>Trial</v></cell><cell r="Q4964" t="str"><v>Social</v></cell><cell r="R4964" t="str"><v>Azure</v></cell><cell r="S4964" t="str"><v>Apps & Infra</v></cell><cell r="T4964" t="str"><v>Developers & ITI's</v></cell><cell r="U4964" t="str"><v>USA-Trial-ITD-Trial Lookalike-AZR-AZR</v></cell><cell r="V4964" t="str"><v>Lookalike Targeting</v></cell><cell r="W4964" t="str"><v>Canvas Ad</v></cell><cell r="X4964" t="str"><v>1x1</v></cell></row><row r="4964"><cell r="AA4964"><v>43316</v></cell><cell r="AB4964" t="str"><v>USA_gaPMG_AZR_AZR_Q1_19_Direct-Social</v></cell><cell r="AC4964"><v>21358715</v></cell><cell r="AD4964"><v>720197</v></cell><cell r="AE4964" t="str"><v>Facebook - Instagram</v></cell><cell r="AF4964"><v>3654128</v></cell><cell r="AG4964" t="str"><v>INSTAGRAM»USA-Trial-ITD-Trial Lookalike-AZR-AZR»1 x 1»SocialBan»CAN»ALL»CPA»LAL»X»NA»SS»NA»IGCTCBrandinMotion»PRC2FH</v></cell><cell r="AH4964"><v>223935019</v></cell><cell r="AI4964" t="str"><v>AzurePlatform_IGCTCBenefit2inMotion_USA_10s_CAN_PLATFORM_English_Trial_Standard_STAN_TIN_T4_1</v></cell><cell r="AJ4964"><v>103050783</v></cell></row><row r="4965"><cell r="C4965" t="str"><v>43316INSTAGRAM»USA-Trial-ITD-Trial Lookalike-AZR-AZR»1 x 1»SocialBan»CAN»ALL»CPA»LAL»X»NA»SS»NA»IGCTCBrandinMotion»PRC2FH</v></cell><cell r="D4965" t="str"><v>43316223935019</v></cell><cell r="E4965" t="str"><v>43316103178714PRC2FH</v></cell><cell r="F4965" t="str"><v>DCM</v></cell><cell r="G4965" t="str"><v>https://azure.microsoft.com/en-us/pricing/purchase-options/?v=18.19&OCID=AID%eexcid!_OLA_%ebuy!_%epid!_%ecid!</v></cell></row><row r="4965"><cell r="K4965" t="str"><v>August</v></cell><cell r="L4965"><v>43316</v></cell><cell r="M4965" t="str"><v>Tier 0</v></cell><cell r="N4965" t="str"><v>North America</v></cell><cell r="O4965" t="str"><v>United States</v></cell><cell r="P4965" t="str"><v>Trial</v></cell><cell r="Q4965" t="str"><v>Social</v></cell><cell r="R4965" t="str"><v>Azure</v></cell><cell r="S4965" t="str"><v>Apps & Infra</v></cell><cell r="T4965" t="str"><v>Developers & ITI's</v></cell><cell r="U4965" t="str"><v>USA-Trial-ITD-Trial Lookalike-AZR-AZR</v></cell><cell r="V4965" t="str"><v>Lookalike Targeting</v></cell><cell r="W4965" t="str"><v>Canvas Ad</v></cell><cell r="X4965" t="str"><v>1x1</v></cell></row><row r="4965"><cell r="AA4965"><v>43316</v></cell><cell r="AB4965" t="str"><v>USA_gaPMG_AZR_AZR_Q1_19_Direct-Social</v></cell><cell r="AC4965"><v>21358715</v></cell><cell r="AD4965"><v>720197</v></cell><cell r="AE4965" t="str"><v>Facebook - Instagram</v></cell><cell r="AF4965"><v>3654128</v></cell><cell r="AG4965" t="str"><v>INSTAGRAM»USA-Trial-ITD-Trial Lookalike-AZR-AZR»1 x 1»SocialBan»CAN»ALL»CPA»LAL»X»NA»SS»NA»IGCTCBrandinMotion»PRC2FH</v></cell><cell r="AH4965"><v>223935019</v></cell><cell r="AI4965" t="str"><v>AzurePlatform_IGCTCBenefit2inMotion_USA_10s_CAN_PLATFORM_English_Trial_Standard_STAN_TIN_T4_2</v></cell><cell r="AJ4965"><v>103178714</v></cell></row><row r="4966"><cell r="C4966" t="str"><v>43316INSTAGRAM»USA-Trial-ITD-Trial PayGo Lookalike-AZR-AZR»1 x 1»SocialBan»CAN»ALL»CPA»LAL»X»NA»SS»NA»IGCTCBrandinMotion»PRC2FW</v></cell><cell r="D4966" t="str"><v>43316223862654</v></cell><cell r="E4966" t="str"><v>43316103050783PRC2FW</v></cell><cell r="F4966" t="str"><v>DCM</v></cell><cell r="G4966" t="str"><v>https://signup.azure.com/?OCID=AID%eexcid!_OLA_%ebuy!_%epid!_%ecid!</v></cell></row><row r="4966"><cell r="K4966" t="str"><v>August</v></cell><cell r="L4966"><v>43316</v></cell><cell r="M4966" t="str"><v>Tier 0</v></cell><cell r="N4966" t="str"><v>North America</v></cell><cell r="O4966" t="str"><v>United States</v></cell><cell r="P4966" t="str"><v>Trial</v></cell><cell r="Q4966" t="str"><v>Social</v></cell><cell r="R4966" t="str"><v>Azure</v></cell><cell r="S4966" t="str"><v>Apps & Infra</v></cell><cell r="T4966" t="str"><v>Developers & ITI's</v></cell><cell r="U4966" t="str"><v>USA-Trial-ITD-Trial PayGo Lookalike-AZR-AZR</v></cell><cell r="V4966" t="str"><v>Lookalike Targeting</v></cell><cell r="W4966" t="str"><v>Canvas Ad</v></cell><cell r="X4966" t="str"><v>1x1</v></cell></row><row r="4966"><cell r="AA4966"><v>43316</v></cell><cell r="AB4966" t="str"><v>USA_gaPMG_AZR_AZR_Q1_19_Direct-Social</v></cell><cell r="AC4966"><v>21358715</v></cell><cell r="AD4966"><v>720197</v></cell><cell r="AE4966" t="str"><v>Facebook - Instagram</v></cell><cell r="AF4966"><v>3654128</v></cell><cell r="AG4966" t="str"><v>INSTAGRAM»USA-Trial-ITD-Trial PayGo Lookalike-AZR-AZR»1 x 1»SocialBan»CAN»ALL»CPA»LAL»X»NA»SS»NA»IGCTCBrandinMotion»PRC2FW</v></cell><cell r="AH4966"><v>223862654</v></cell><cell r="AI4966" t="str"><v>AzurePlatform_IGCTCBenefit2inMotion_USA_10s_CAN_PLATFORM_English_Trial_Standard_STAN_TIN_T4_1</v></cell><cell r="AJ4966"><v>103050783</v></cell></row><row r="4967"><cell r="C4967" t="str"><v>43316INSTAGRAM»USA-Trial-ITD-Trial PayGo Lookalike-AZR-AZR»1 x 1»SocialBan»CAN»ALL»CPA»LAL»X»NA»SS»NA»IGCTCBrandinMotion»PRC2FW</v></cell><cell r="D4967" t="str"><v>43316223862654</v></cell><cell r="E4967" t="str"><v>43316103178714PRC2FW</v></cell><cell r="F4967" t="str"><v>DCM</v></cell><cell r="G4967" t="str"><v>https://azure.microsoft.com/en-us/pricing/purchase-options/?v=18.19&OCID=AID%eexcid!_OLA_%ebuy!_%epid!_%ecid!</v></cell></row><row r="4967"><cell r="K4967" t="str"><v>August</v></cell><cell r="L4967"><v>43316</v></cell><cell r="M4967" t="str"><v>Tier 0</v></cell><cell r="N4967" t="str"><v>North America</v></cell><cell r="O4967" t="str"><v>United States</v></cell><cell r="P4967" t="str"><v>Trial</v></cell><cell r="Q4967" t="str"><v>Social</v></cell><cell r="R4967" t="str"><v>Azure</v></cell><cell r="S4967" t="str"><v>Apps & Infra</v></cell><cell r="T4967" t="str"><v>Developers & ITI's</v></cell><cell r="U4967" t="str"><v>USA-Trial-ITD-Trial PayGo Lookalike-AZR-AZR</v></cell><cell r="V4967" t="str"><v>Lookalike Targeting</v></cell><cell r="W4967" t="str"><v>Canvas Ad</v></cell><cell r="X4967" t="str"><v>1x1</v></cell></row><row r="4967"><cell r="AA4967"><v>43316</v></cell><cell r="AB4967" t="str"><v>USA_gaPMG_AZR_AZR_Q1_19_Direct-Social</v></cell><cell r="AC4967"><v>21358715</v></cell><cell r="AD4967"><v>720197</v></cell><cell r="AE4967" t="str"><v>Facebook - Instagram</v></cell><cell r="AF4967"><v>3654128</v></cell><cell r="AG4967" t="str"><v>INSTAGRAM»USA-Trial-ITD-Trial PayGo Lookalike-AZR-AZR»1 x 1»SocialBan»CAN»ALL»CPA»LAL»X»NA»SS»NA»IGCTCBrandinMotion»PRC2FW</v></cell><cell r="AH4967"><v>223862654</v></cell><cell r="AI4967" t="str"><v>AzurePlatform_IGCTCBenefit2inMotion_USA_10s_CAN_PLATFORM_English_Trial_Standard_STAN_TIN_T4_2</v></cell><cell r="AJ4967"><v>103178714</v></cell></row><row r="4968"><cell r="C4968" t="str"><v>43317Facebook»Audience & Interest Targeting»1x1»Canvas»OTH»DT»DYN»AUT»W»NA»SS»NA»FBCTCcanvaspage-StartFreeCTA_FBCTCcanvaspage-BuyNowCTA</v></cell><cell r="D4968" t="str"><v>43317224639151</v></cell><cell r="E4968" t="str"><v>43317103316832NowCTA</v></cell><cell r="F4968" t="str"><v>DCM</v></cell><cell r="G4968" t="str"><v>https://azure.microsoft.com/en-au/pricing/purchase-options/</v></cell></row><row r="4968"><cell r="K4968" t="str"><v>August</v></cell><cell r="L4968"><v>43323</v></cell><cell r="M4968" t="str"><v>Tier 1</v></cell><cell r="N4968" t="str"><v>APAC</v></cell><cell r="O4968" t="str"><v>Australia</v></cell><cell r="P4968" t="str"><v>Trial</v></cell><cell r="Q4968" t="str"><v>Social</v></cell><cell r="R4968" t="str"><v>Azure</v></cell><cell r="S4968" t="str"><v>Apps & Infra</v></cell><cell r="T4968" t="str"><v>Developers & ITI's</v></cell><cell r="U4968" t="str"><v>Audience & Interest Targeting</v></cell><cell r="V4968" t="str"><v>Audience Targeting</v></cell><cell r="W4968" t="str"><v>Other</v></cell><cell r="X4968" t="str"><v>1x1</v></cell></row><row r="4968"><cell r="AA4968"><v>43317</v></cell><cell r="AB4968" t="str"><v>AUS_gaPMG_AZR_AZR_Q1_19_Trial-Social</v></cell><cell r="AC4968"><v>21358568</v></cell><cell r="AD4968"><v>720191</v></cell><cell r="AE4968" t="str"><v>Facebook</v></cell><cell r="AF4968"><v>3654128</v></cell><cell r="AG4968" t="str"><v>Facebook»Audience & Interest Targeting»1x1»Canvas»OTH»DT»DYN»AUT»W»NA»SS»NA»FBCTCcanvaspage-StartFreeCTA_FBCTCcanvaspage-BuyNowCTA</v></cell><cell r="AH4968"><v>224639151</v></cell><cell r="AI4968" t="str"><v>AzurePlatform_FBCTCcanvaspage-BuyNowCTA-Img3_AUS_1080x162_SOC_Plat_English_NA_Standard_NA_BN_T3_1</v></cell><cell r="AJ4968"><v>103316832</v></cell></row><row r="4969"><cell r="C4969" t="str"><v>43317Facebook»Audience & Interest Targeting»1x1»Canvas»OTH»DT»DYN»AUT»W»NA»SS»NA»FBCTCcanvaspage-StartFreeCTA_FBCTCcanvaspage-BuyNowCTA</v></cell><cell r="D4969" t="str"><v>43317224639151</v></cell><cell r="E4969" t="str"><v>43317103316829NowCTA</v></cell><cell r="F4969" t="str"><v>DCM</v></cell><cell r="G4969" t="str"><v>https://signup.azure.com/signup?offer=ms-azr-0044p&appId=102&ref=paidmedia-social-fb&redirectURL=https%3a%2f%2fazure.microsoft.com%2fen-au%2fget-started%2fwelcome-to-azure%2f&l=en-au&correlationId=ead86c34-1f10-49dd-a72b-6918462a2cbf</v></cell></row><row r="4969"><cell r="K4969" t="str"><v>August</v></cell><cell r="L4969"><v>43323</v></cell><cell r="M4969" t="str"><v>Tier 1</v></cell><cell r="N4969" t="str"><v>APAC</v></cell><cell r="O4969" t="str"><v>Australia</v></cell><cell r="P4969" t="str"><v>Trial</v></cell><cell r="Q4969" t="str"><v>Social</v></cell><cell r="R4969" t="str"><v>Azure</v></cell><cell r="S4969" t="str"><v>Apps & Infra</v></cell><cell r="T4969" t="str"><v>Developers & ITI's</v></cell><cell r="U4969" t="str"><v>Audience & Interest Targeting</v></cell><cell r="V4969" t="str"><v>Audience Targeting</v></cell><cell r="W4969" t="str"><v>Other</v></cell><cell r="X4969" t="str"><v>1x1</v></cell></row><row r="4969"><cell r="AA4969"><v>43317</v></cell><cell r="AB4969" t="str"><v>AUS_gaPMG_AZR_AZR_Q1_19_Trial-Social</v></cell><cell r="AC4969"><v>21358568</v></cell><cell r="AD4969"><v>720191</v></cell><cell r="AE4969" t="str"><v>Facebook</v></cell><cell r="AF4969"><v>3654128</v></cell><cell r="AG4969" t="str"><v>Facebook»Audience & Interest Targeting»1x1»Canvas»OTH»DT»DYN»AUT»W»NA»SS»NA»FBCTCcanvaspage-StartFreeCTA_FBCTCcanvaspage-BuyNowCTA</v></cell><cell r="AH4969"><v>224639151</v></cell><cell r="AI4969" t="str"><v>AzurePlatform_FBCTCcanvaspage-StartFreeCTA-Img2_AUS_1080x143 _SOC_Plat_English_NA_Standard_NA_NA_T2_1</v></cell><cell r="AJ4969"><v>103316829</v></cell></row><row r="4970"><cell r="C4970" t="str"><v>43317Facebook»Audience & Interest Targeting»1x1»TextLink»OTH»DT»DYN»AUT»W»NA»SS»NA»Free Account Refresh- 12 months ChE</v></cell><cell r="D4970" t="str"><v>43317224160783</v></cell><cell r="E4970" t="str"><v>43317103051614hs ChE</v></cell><cell r="F4970" t="str"><v>DCM</v></cell></row><row r="4970"><cell r="K4970" t="str"><v>August</v></cell><cell r="L4970"><v>43323</v></cell><cell r="M4970" t="str"><v>Tier 1</v></cell><cell r="N4970" t="str"><v>APAC</v></cell><cell r="O4970" t="str"><v>Australia</v></cell><cell r="P4970" t="str"><v>Trial</v></cell><cell r="Q4970" t="str"><v>Social</v></cell><cell r="R4970" t="str"><v>Azure</v></cell><cell r="S4970" t="str"><v>Apps & Infra</v></cell><cell r="T4970" t="str"><v>Developers & ITI's</v></cell><cell r="U4970" t="str"><v>Audience & Interest Targeting</v></cell><cell r="V4970" t="str"><v>Audience Targeting</v></cell><cell r="W4970" t="str"><v>Other</v></cell><cell r="X4970" t="str"><v>1x1</v></cell></row><row r="4970"><cell r="AA4970"><v>43317</v></cell><cell r="AB4970" t="str"><v>AUS_gaPMG_AZR_AZR_Q1_19_Trial-Social</v></cell><cell r="AC4970"><v>21358568</v></cell><cell r="AD4970"><v>720191</v></cell><cell r="AE4970" t="str"><v>Facebook</v></cell><cell r="AF4970"><v>3654128</v></cell><cell r="AG4970" t="str"><v>Facebook»Audience & Interest Targeting»1x1»TextLink»OTH»DT»DYN»AUT»W»NA»SS»NA»Free Account Refresh- 12 months ChE</v></cell><cell r="AH4970"><v>224160783</v></cell><cell r="AI4970" t="str"><v>AzurePlatform_FreeAcctAppsFACEBOOK12monthsChE_AUS_1200x628_SOC_PLAT_EN_Trial_Standard_NA_SNU_T5_1</v></cell><cell r="AJ4970"><v>103051614</v></cell></row><row r="4971"><cell r="C4971" t="str"><v>43317Facebook»Audience & Interest Targeting»1x1»TextLink»OTH»DT»DYN»AUT»W»NA»SS»NA»Free Account Refresh- 200 Credit ChD</v></cell><cell r="D4971" t="str"><v>43317224160780</v></cell><cell r="E4971" t="str"><v>43317103186904it ChD</v></cell><cell r="F4971" t="str"><v>DCM</v></cell></row><row r="4971"><cell r="K4971" t="str"><v>August</v></cell><cell r="L4971"><v>43323</v></cell><cell r="M4971" t="str"><v>Tier 1</v></cell><cell r="N4971" t="str"><v>APAC</v></cell><cell r="O4971" t="str"><v>Australia</v></cell><cell r="P4971" t="str"><v>Trial</v></cell><cell r="Q4971" t="str"><v>Social</v></cell><cell r="R4971" t="str"><v>Azure</v></cell><cell r="S4971" t="str"><v>Apps & Infra</v></cell><cell r="T4971" t="str"><v>Developers & ITI's</v></cell><cell r="U4971" t="str"><v>Audience & Interest Targeting</v></cell><cell r="V4971" t="str"><v>Audience Targeting</v></cell><cell r="W4971" t="str"><v>Other</v></cell><cell r="X4971" t="str"><v>1x1</v></cell></row><row r="4971"><cell r="AA4971"><v>43317</v></cell><cell r="AB4971" t="str"><v>AUS_gaPMG_AZR_AZR_Q1_19_Trial-Social</v></cell><cell r="AC4971"><v>21358568</v></cell><cell r="AD4971"><v>720191</v></cell><cell r="AE4971" t="str"><v>Facebook</v></cell><cell r="AF4971"><v>3654128</v></cell><cell r="AG4971" t="str"><v>Facebook»Audience & Interest Targeting»1x1»TextLink»OTH»DT»DYN»AUT»W»NA»SS»NA»Free Account Refresh- 200 Credit ChD</v></cell><cell r="AH4971"><v>224160780</v></cell><cell r="AI4971" t="str"><v>AzurePlatform_FreeAcctAppsFACEBOOK200CreditChD_AUS_1200x628_SOC_PLAT_EN_Trial_Standard_NA_SNU_T4_1</v></cell><cell r="AJ4971"><v>103186904</v></cell></row><row r="4972"><cell r="C4972" t="str"><v>43317Facebook»Audience & Interest Targeting»1x1»TextLink»OTH»DT»DYN»AUT»W»NA»SS»NA»Free Account Refresh- Device ChB</v></cell><cell r="D4972" t="str"><v>43317224160777</v></cell><cell r="E4972" t="str"><v>43317103048479ce ChB</v></cell><cell r="F4972" t="str"><v>DCM</v></cell></row><row r="4972"><cell r="K4972" t="str"><v>August</v></cell><cell r="L4972"><v>43323</v></cell><cell r="M4972" t="str"><v>Tier 1</v></cell><cell r="N4972" t="str"><v>APAC</v></cell><cell r="O4972" t="str"><v>Australia</v></cell><cell r="P4972" t="str"><v>Trial</v></cell><cell r="Q4972" t="str"><v>Social</v></cell><cell r="R4972" t="str"><v>Azure</v></cell><cell r="S4972" t="str"><v>Apps & Infra</v></cell><cell r="T4972" t="str"><v>Developers & ITI's</v></cell><cell r="U4972" t="str"><v>Audience & Interest Targeting</v></cell><cell r="V4972" t="str"><v>Audience Targeting</v></cell><cell r="W4972" t="str"><v>Other</v></cell><cell r="X4972" t="str"><v>1x1</v></cell></row><row r="4972"><cell r="AA4972"><v>43317</v></cell><cell r="AB4972" t="str"><v>AUS_gaPMG_AZR_AZR_Q1_19_Trial-Social</v></cell><cell r="AC4972"><v>21358568</v></cell><cell r="AD4972"><v>720191</v></cell><cell r="AE4972" t="str"><v>Facebook</v></cell><cell r="AF4972"><v>3654128</v></cell><cell r="AG4972" t="str"><v>Facebook»Audience & Interest Targeting»1x1»TextLink»OTH»DT»DYN»AUT»W»NA»SS»NA»Free Account Refresh- Device ChB</v></cell><cell r="AH4972"><v>224160777</v></cell><cell r="AI4972" t="str"><v>AzurePlatform_FreeAcctAppsFACEBOOKDeviceChB_AUS_1200x628_SOC_PLAT_EN_Trial_Standard_NA_SNU_T2_1</v></cell><cell r="AJ4972"><v>103048479</v></cell></row><row r="4973"><cell r="C4973" t="str"><v>43317Facebook»Audience & Interest Targeting»1x1»TextLink»OTH»DT»DYN»AUT»W»NA»SS»NA»Free Account Refresh- Illustration ChC</v></cell><cell r="D4973" t="str"><v>43317224160774</v></cell><cell r="E4973" t="str"><v>43317103186910on ChC</v></cell><cell r="F4973" t="str"><v>DCM</v></cell></row><row r="4973"><cell r="K4973" t="str"><v>August</v></cell><cell r="L4973"><v>43323</v></cell><cell r="M4973" t="str"><v>Tier 1</v></cell><cell r="N4973" t="str"><v>APAC</v></cell><cell r="O4973" t="str"><v>Australia</v></cell><cell r="P4973" t="str"><v>Trial</v></cell><cell r="Q4973" t="str"><v>Social</v></cell><cell r="R4973" t="str"><v>Azure</v></cell><cell r="S4973" t="str"><v>Apps & Infra</v></cell><cell r="T4973" t="str"><v>Developers & ITI's</v></cell><cell r="U4973" t="str"><v>Audience & Interest Targeting</v></cell><cell r="V4973" t="str"><v>Audience Targeting</v></cell><cell r="W4973" t="str"><v>Other</v></cell><cell r="X4973" t="str"><v>1x1</v></cell></row><row r="4973"><cell r="AA4973"><v>43317</v></cell><cell r="AB4973" t="str"><v>AUS_gaPMG_AZR_AZR_Q1_19_Trial-Social</v></cell><cell r="AC4973"><v>21358568</v></cell><cell r="AD4973"><v>720191</v></cell><cell r="AE4973" t="str"><v>Facebook</v></cell><cell r="AF4973"><v>3654128</v></cell><cell r="AG4973" t="str"><v>Facebook»Audience & Interest Targeting»1x1»TextLink»OTH»DT»DYN»AUT»W»NA»SS»NA»Free Account Refresh- Illustration ChC</v></cell><cell r="AH4973"><v>224160774</v></cell><cell r="AI4973" t="str"><v>AzurePlatform_FreeAcctAppsFACEBOOKIllustrationChC_AUS_1200x628_SOC_PLAT_EN_Trial_Standard_NA_SNU_T3_1</v></cell><cell r="AJ4973"><v>103186910</v></cell></row><row r="4974"><cell r="C4974" t="str"><v>43317Facebook»Audience & Interest Targeting»1x1»TextLink»OTH»DT»DYN»AUT»W»NA»SS»NA»Free Account Refresh- Lifestyle ChA</v></cell><cell r="D4974" t="str"><v>43317224160771</v></cell><cell r="E4974" t="str"><v>43317103048488le ChA</v></cell><cell r="F4974" t="str"><v>DCM</v></cell></row><row r="4974"><cell r="K4974" t="str"><v>August</v></cell><cell r="L4974"><v>43323</v></cell><cell r="M4974" t="str"><v>Tier 1</v></cell><cell r="N4974" t="str"><v>APAC</v></cell><cell r="O4974" t="str"><v>Australia</v></cell><cell r="P4974" t="str"><v>Trial</v></cell><cell r="Q4974" t="str"><v>Social</v></cell><cell r="R4974" t="str"><v>Azure</v></cell><cell r="S4974" t="str"><v>Apps & Infra</v></cell><cell r="T4974" t="str"><v>Developers & ITI's</v></cell><cell r="U4974" t="str"><v>Audience & Interest Targeting</v></cell><cell r="V4974" t="str"><v>Audience Targeting</v></cell><cell r="W4974" t="str"><v>Other</v></cell><cell r="X4974" t="str"><v>1x1</v></cell></row><row r="4974"><cell r="AA4974"><v>43317</v></cell><cell r="AB4974" t="str"><v>AUS_gaPMG_AZR_AZR_Q1_19_Trial-Social</v></cell><cell r="AC4974"><v>21358568</v></cell><cell r="AD4974"><v>720191</v></cell><cell r="AE4974" t="str"><v>Facebook</v></cell><cell r="AF4974"><v>3654128</v></cell><cell r="AG4974" t="str"><v>Facebook»Audience & Interest Targeting»1x1»TextLink»OTH»DT»DYN»AUT»W»NA»SS»NA»Free Account Refresh- Lifestyle ChA</v></cell><cell r="AH4974"><v>224160771</v></cell><cell r="AI4974" t="str"><v>AzurePlatform_FreeAcctAppsFACEBOOKLifestyleChA_AUS_1200x628_SOC_PLAT_EN_Trial_Standard_NA_SNU_T1_1</v></cell><cell r="AJ4974"><v>103048488</v></cell></row><row r="4975"><cell r="C4975" t="str"><v>43317Facebook»LAL»1x1»TextLink»SOC»DT»DYN»LAL»W»NA»SS»NA»Free Account Refresh- 200 Credit ChD</v></cell><cell r="D4975" t="str"><v>43317224160720</v></cell><cell r="E4975" t="str"><v>43317103186907it ChD</v></cell><cell r="F4975" t="str"><v>DCM</v></cell><cell r="G4975" t="str"><v>https://azure.microsoft.com/en-au/free/open-source/search/</v></cell></row><row r="4975"><cell r="K4975" t="str"><v>August</v></cell><cell r="L4975"><v>43323</v></cell><cell r="M4975" t="str"><v>Tier 1</v></cell><cell r="N4975" t="str"><v>APAC</v></cell><cell r="O4975" t="str"><v>Australia</v></cell><cell r="P4975" t="str"><v>Trial</v></cell><cell r="Q4975" t="str"><v>Social</v></cell><cell r="R4975" t="str"><v>Azure</v></cell><cell r="S4975" t="str"><v>Apps & Infra</v></cell><cell r="T4975" t="str"><v>Developers & ITI's</v></cell><cell r="U4975" t="str"><v>LAL</v></cell><cell r="V4975" t="str"><v>Lookalike Targeting</v></cell><cell r="W4975" t="str"><v>Social</v></cell><cell r="X4975" t="str"><v>1x1</v></cell></row><row r="4975"><cell r="AA4975"><v>43317</v></cell><cell r="AB4975" t="str"><v>AUS_gaPMG_AZR_AZR_Q1_19_Trial-Social</v></cell><cell r="AC4975"><v>21358568</v></cell><cell r="AD4975"><v>720191</v></cell><cell r="AE4975" t="str"><v>Facebook</v></cell><cell r="AF4975"><v>3654128</v></cell><cell r="AG4975" t="str"><v>Facebook»LAL»1x1»TextLink»SOC»DT»DYN»LAL»W»NA»SS»NA»Free Account Refresh- 200 Credit ChD</v></cell><cell r="AH4975"><v>224160720</v></cell><cell r="AI4975" t="str"><v>AzurePlatform_FreeAcctRetargetingOSSFB-Logos-ChG_AUS_1200x628_SOC_Plat_EN_Free Account_Standard_NA_SNU_T2_1</v></cell><cell r="AJ4975"><v>103186907</v></cell></row><row r="4976"><cell r="C4976" t="str"><v>43317Facebook»LAL»1x1»TextLink»SOC»DT»DYN»LAL»W»NA»SS»NA»Free Account Refresh- Device ChB</v></cell><cell r="D4976" t="str"><v>43317224160717</v></cell><cell r="E4976" t="str"><v>43317103048485ce ChB</v></cell><cell r="F4976" t="str"><v>DCM</v></cell><cell r="G4976" t="str"><v>https://azure.microsoft.com/en-au/free/open-source/search/</v></cell></row><row r="4976"><cell r="K4976" t="str"><v>August</v></cell><cell r="L4976"><v>43323</v></cell><cell r="M4976" t="str"><v>Tier 1</v></cell><cell r="N4976" t="str"><v>APAC</v></cell><cell r="O4976" t="str"><v>Australia</v></cell><cell r="P4976" t="str"><v>Trial</v></cell><cell r="Q4976" t="str"><v>Social</v></cell><cell r="R4976" t="str"><v>Azure</v></cell><cell r="S4976" t="str"><v>Apps & Infra</v></cell><cell r="T4976" t="str"><v>Developers & ITI's</v></cell><cell r="U4976" t="str"><v>LAL</v></cell><cell r="V4976" t="str"><v>Lookalike Targeting</v></cell><cell r="W4976" t="str"><v>Social</v></cell><cell r="X4976" t="str"><v>1x1</v></cell></row><row r="4976"><cell r="AA4976"><v>43317</v></cell><cell r="AB4976" t="str"><v>AUS_gaPMG_AZR_AZR_Q1_19_Trial-Social</v></cell><cell r="AC4976"><v>21358568</v></cell><cell r="AD4976"><v>720191</v></cell><cell r="AE4976" t="str"><v>Facebook</v></cell><cell r="AF4976"><v>3654128</v></cell><cell r="AG4976" t="str"><v>Facebook»LAL»1x1»TextLink»SOC»DT»DYN»LAL»W»NA»SS»NA»Free Account Refresh- Device ChB</v></cell><cell r="AH4976"><v>224160717</v></cell><cell r="AI4976" t="str"><v>AzurePlatform_FreeAcctRetargetingOSSFB-Text-ChF_AUS_1200x628_SOC_Plat_EN_Free Account_Standard_NA_SNU_T1_1</v></cell><cell r="AJ4976"><v>103048485</v></cell></row><row r="4977"><cell r="C4977" t="str"><v>43317Facebook»LAL»1x1»TextLink»SOC»DT»DYN»LAL»W»NA»SS»NA»Free Account Refresh- Illustration ChC</v></cell><cell r="D4977" t="str"><v>43317224160714</v></cell><cell r="E4977" t="str"><v>43317103186916on ChC</v></cell><cell r="F4977" t="str"><v>DCM</v></cell><cell r="G4977" t="str"><v>https://azure.microsoft.com/en-au/free/virtual-machines/search/</v></cell></row><row r="4977"><cell r="K4977" t="str"><v>August</v></cell><cell r="L4977"><v>43323</v></cell><cell r="M4977" t="str"><v>Tier 1</v></cell><cell r="N4977" t="str"><v>APAC</v></cell><cell r="O4977" t="str"><v>Australia</v></cell><cell r="P4977" t="str"><v>Trial</v></cell><cell r="Q4977" t="str"><v>Social</v></cell><cell r="R4977" t="str"><v>Azure</v></cell><cell r="S4977" t="str"><v>Apps & Infra</v></cell><cell r="T4977" t="str"><v>Developers & ITI's</v></cell><cell r="U4977" t="str"><v>LAL</v></cell><cell r="V4977" t="str"><v>Lookalike Targeting</v></cell><cell r="W4977" t="str"><v>Social</v></cell><cell r="X4977" t="str"><v>1x1</v></cell></row><row r="4977"><cell r="AA4977"><v>43317</v></cell><cell r="AB4977" t="str"><v>AUS_gaPMG_AZR_AZR_Q1_19_Trial-Social</v></cell><cell r="AC4977"><v>21358568</v></cell><cell r="AD4977"><v>720191</v></cell><cell r="AE4977" t="str"><v>Facebook</v></cell><cell r="AF4977"><v>3654128</v></cell><cell r="AG4977" t="str"><v>Facebook»LAL»1x1»TextLink»SOC»DT»DYN»LAL»W»NA»SS»NA»Free Account Refresh- Illustration ChC</v></cell><cell r="AH4977"><v>224160714</v></cell><cell r="AI4977" t="str"><v>AzurePlatform_FreeAcctRetargetingVMFB-750Hrs-ChD_AUS_1200x628_SOC_Plat_EN_Free Account_Standard_NA_SNU_T1_1</v></cell><cell r="AJ4977"><v>103186916</v></cell></row><row r="4978"><cell r="C4978" t="str"><v>43317Facebook»LAL»1x1»TextLink»SOC»DT»DYN»LAL»W»NA»SS»NA»Free Account Refresh- Lifestyle ChA</v></cell><cell r="D4978" t="str"><v>43317224160711</v></cell><cell r="E4978" t="str"><v>43317103048491le ChA</v></cell><cell r="F4978" t="str"><v>DCM</v></cell><cell r="G4978" t="str"><v>https://azure.microsoft.com/en-au/free/virtual-machines/search/</v></cell></row><row r="4978"><cell r="K4978" t="str"><v>August</v></cell><cell r="L4978"><v>43323</v></cell><cell r="M4978" t="str"><v>Tier 1</v></cell><cell r="N4978" t="str"><v>APAC</v></cell><cell r="O4978" t="str"><v>Australia</v></cell><cell r="P4978" t="str"><v>Trial</v></cell><cell r="Q4978" t="str"><v>Social</v></cell><cell r="R4978" t="str"><v>Azure</v></cell><cell r="S4978" t="str"><v>Apps & Infra</v></cell><cell r="T4978" t="str"><v>Developers & ITI's</v></cell><cell r="U4978" t="str"><v>LAL</v></cell><cell r="V4978" t="str"><v>Lookalike Targeting</v></cell><cell r="W4978" t="str"><v>Social</v></cell><cell r="X4978" t="str"><v>1x1</v></cell></row><row r="4978"><cell r="AA4978"><v>43317</v></cell><cell r="AB4978" t="str"><v>AUS_gaPMG_AZR_AZR_Q1_19_Trial-Social</v></cell><cell r="AC4978"><v>21358568</v></cell><cell r="AD4978"><v>720191</v></cell><cell r="AE4978" t="str"><v>Facebook</v></cell><cell r="AF4978"><v>3654128</v></cell><cell r="AG4978" t="str"><v>Facebook»LAL»1x1»TextLink»SOC»DT»DYN»LAL»W»NA»SS»NA»Free Account Refresh- Lifestyle ChA</v></cell><cell r="AH4978"><v>224160711</v></cell><cell r="AI4978" t="str"><v>AzurePlatform_FreeAcctRetargetingVMFB-OnDemand-ChE_AUS_1200x628_SOC_Plat_EN_Free Account_Standard_NA_SNU_T2_1</v></cell><cell r="AJ4978"><v>103048491</v></cell></row><row r="4979"><cell r="C4979" t="str"><v>43317Facebook»Retargeting»1x1»TextLink»SOC»DT»DYN»RT»W»NA»SS»NA»Free Account Refresh- 200 Credit ChD</v></cell><cell r="D4979" t="str"><v>43317224160738</v></cell><cell r="E4979" t="str"><v>43317103186904it ChD</v></cell><cell r="F4979" t="str"><v>DCM</v></cell></row><row r="4979"><cell r="K4979" t="str"><v>August</v></cell><cell r="L4979"><v>43323</v></cell><cell r="M4979" t="str"><v>Tier 1</v></cell><cell r="N4979" t="str"><v>APAC</v></cell><cell r="O4979" t="str"><v>Australia</v></cell><cell r="P4979" t="str"><v>Trial</v></cell><cell r="Q4979" t="str"><v>Social</v></cell><cell r="R4979" t="str"><v>Azure</v></cell><cell r="S4979" t="str"><v>Apps & Infra</v></cell><cell r="T4979" t="str"><v>Developers & ITI's</v></cell><cell r="U4979" t="str"><v>Retargeting</v></cell><cell r="V4979" t="str"><v>Retargeting</v></cell><cell r="W4979" t="str"><v>Social</v></cell><cell r="X4979" t="str"><v>1x1</v></cell></row><row r="4979"><cell r="AA4979"><v>43317</v></cell><cell r="AB4979" t="str"><v>AUS_gaPMG_AZR_AZR_Q1_19_Trial-Social</v></cell><cell r="AC4979"><v>21358568</v></cell><cell r="AD4979"><v>720191</v></cell><cell r="AE4979" t="str"><v>Facebook</v></cell><cell r="AF4979"><v>3654128</v></cell><cell r="AG4979" t="str"><v>Facebook»Retargeting»1x1»TextLink»SOC»DT»DYN»RT»W»NA»SS»NA»Free Account Refresh- 200 Credit ChD</v></cell><cell r="AH4979"><v>224160738</v></cell><cell r="AI4979" t="str"><v>AzurePlatform_FreeAcctAppsFACEBOOK200CreditChD_AUS_1200x628_SOC_PLAT_EN_Trial_Standard_NA_SNU_T4_1</v></cell><cell r="AJ4979"><v>103186904</v></cell></row><row r="4980"><cell r="C4980" t="str"><v>43317Facebook»Retargeting»1x1»TextLink»SOC»DT»DYN»RT»W»NA»SS»NA»Free Account Refresh- Device ChB</v></cell><cell r="D4980" t="str"><v>43317224160735</v></cell><cell r="E4980" t="str"><v>43317103048479ce ChB</v></cell><cell r="F4980" t="str"><v>DCM</v></cell></row><row r="4980"><cell r="K4980" t="str"><v>August</v></cell><cell r="L4980"><v>43323</v></cell><cell r="M4980" t="str"><v>Tier 1</v></cell><cell r="N4980" t="str"><v>APAC</v></cell><cell r="O4980" t="str"><v>Australia</v></cell><cell r="P4980" t="str"><v>Trial</v></cell><cell r="Q4980" t="str"><v>Social</v></cell><cell r="R4980" t="str"><v>Azure</v></cell><cell r="S4980" t="str"><v>Apps & Infra</v></cell><cell r="T4980" t="str"><v>Developers & ITI's</v></cell><cell r="U4980" t="str"><v>Retargeting</v></cell><cell r="V4980" t="str"><v>Retargeting</v></cell><cell r="W4980" t="str"><v>Social</v></cell><cell r="X4980" t="str"><v>1x1</v></cell></row><row r="4980"><cell r="AA4980"><v>43317</v></cell><cell r="AB4980" t="str"><v>AUS_gaPMG_AZR_AZR_Q1_19_Trial-Social</v></cell><cell r="AC4980"><v>21358568</v></cell><cell r="AD4980"><v>720191</v></cell><cell r="AE4980" t="str"><v>Facebook</v></cell><cell r="AF4980"><v>3654128</v></cell><cell r="AG4980" t="str"><v>Facebook»Retargeting»1x1»TextLink»SOC»DT»DYN»RT»W»NA»SS»NA»Free Account Refresh- Device ChB</v></cell><cell r="AH4980"><v>224160735</v></cell><cell r="AI4980" t="str"><v>AzurePlatform_FreeAcctAppsFACEBOOKDeviceChB_AUS_1200x628_SOC_PLAT_EN_Trial_Standard_NA_SNU_T2_1</v></cell><cell r="AJ4980"><v>103048479</v></cell></row><row r="4981"><cell r="C4981" t="str"><v>43317Facebook»Retargeting»1x1»TextLink»SOC»DT»DYN»RT»W»NA»SS»NA»Free Account Refresh- Illustration ChC</v></cell><cell r="D4981" t="str"><v>43317224160732</v></cell><cell r="E4981" t="str"><v>43317103186910on ChC</v></cell><cell r="F4981" t="str"><v>DCM</v></cell></row><row r="4981"><cell r="K4981" t="str"><v>August</v></cell><cell r="L4981"><v>43323</v></cell><cell r="M4981" t="str"><v>Tier 1</v></cell><cell r="N4981" t="str"><v>APAC</v></cell><cell r="O4981" t="str"><v>Australia</v></cell><cell r="P4981" t="str"><v>Trial</v></cell><cell r="Q4981" t="str"><v>Social</v></cell><cell r="R4981" t="str"><v>Azure</v></cell><cell r="S4981" t="str"><v>Apps & Infra</v></cell><cell r="T4981" t="str"><v>Developers & ITI's</v></cell><cell r="U4981" t="str"><v>Retargeting</v></cell><cell r="V4981" t="str"><v>Retargeting</v></cell><cell r="W4981" t="str"><v>Social</v></cell><cell r="X4981" t="str"><v>1x1</v></cell></row><row r="4981"><cell r="AA4981"><v>43317</v></cell><cell r="AB4981" t="str"><v>AUS_gaPMG_AZR_AZR_Q1_19_Trial-Social</v></cell><cell r="AC4981"><v>21358568</v></cell><cell r="AD4981"><v>720191</v></cell><cell r="AE4981" t="str"><v>Facebook</v></cell><cell r="AF4981"><v>3654128</v></cell><cell r="AG4981" t="str"><v>Facebook»Retargeting»1x1»TextLink»SOC»DT»DYN»RT»W»NA»SS»NA»Free Account Refresh- Illustration ChC</v></cell><cell r="AH4981"><v>224160732</v></cell><cell r="AI4981" t="str"><v>AzurePlatform_FreeAcctAppsFACEBOOKIllustrationChC_AUS_1200x628_SOC_PLAT_EN_Trial_Standard_NA_SNU_T3_1</v></cell><cell r="AJ4981"><v>103186910</v></cell></row><row r="4982"><cell r="C4982" t="str"><v>43317Facebook»Retargeting»1x1»TextLink»SOC»DT»DYN»RT»W»NA»SS»NA»Free Account Refresh- Lifestyle ChA</v></cell><cell r="D4982" t="str"><v>43317224160729</v></cell><cell r="E4982" t="str"><v>43317103048488le ChA</v></cell><cell r="F4982" t="str"><v>DCM</v></cell></row><row r="4982"><cell r="K4982" t="str"><v>August</v></cell><cell r="L4982"><v>43323</v></cell><cell r="M4982" t="str"><v>Tier 1</v></cell><cell r="N4982" t="str"><v>APAC</v></cell><cell r="O4982" t="str"><v>Australia</v></cell><cell r="P4982" t="str"><v>Trial</v></cell><cell r="Q4982" t="str"><v>Social</v></cell><cell r="R4982" t="str"><v>Azure</v></cell><cell r="S4982" t="str"><v>Apps & Infra</v></cell><cell r="T4982" t="str"><v>Developers & ITI's</v></cell><cell r="U4982" t="str"><v>Retargeting</v></cell><cell r="V4982" t="str"><v>Retargeting</v></cell><cell r="W4982" t="str"><v>Social</v></cell><cell r="X4982" t="str"><v>1x1</v></cell></row><row r="4982"><cell r="AA4982"><v>43317</v></cell><cell r="AB4982" t="str"><v>AUS_gaPMG_AZR_AZR_Q1_19_Trial-Social</v></cell><cell r="AC4982"><v>21358568</v></cell><cell r="AD4982"><v>720191</v></cell><cell r="AE4982" t="str"><v>Facebook</v></cell><cell r="AF4982"><v>3654128</v></cell><cell r="AG4982" t="str"><v>Facebook»Retargeting»1x1»TextLink»SOC»DT»DYN»RT»W»NA»SS»NA»Free Account Refresh- Lifestyle ChA</v></cell><cell r="AH4982"><v>224160729</v></cell><cell r="AI4982" t="str"><v>AzurePlatform_FreeAcctAppsFACEBOOKLifestyleChA_AUS_1200x628_SOC_PLAT_EN_Trial_Standard_NA_SNU_T1_1</v></cell><cell r="AJ4982"><v>103048488</v></cell></row><row r="4983"><cell r="C4983" t="str"><v>43317Facebook»AZR»1x1»NA»EGV»ALL»DYN»AUT»D»All»SS»NA»Free Acc CTC - T1 - EN</v></cell><cell r="D4983" t="str"><v>43317223684451</v></cell><cell r="E4983" t="str"><v>433171029018821 - EN</v></cell><cell r="F4983" t="str"><v>DCM</v></cell><cell r="G4983" t="str"><v>https://signup.azure.com/</v></cell></row><row r="4983"><cell r="K4983" t="str"><v>August</v></cell><cell r="L4983"><v>43323</v></cell><cell r="M4983" t="str"><v>Tier 1</v></cell><cell r="N4983" t="str"><v>North America</v></cell><cell r="O4983" t="str"><v>Canada</v></cell><cell r="P4983" t="str"><v>Trial</v></cell><cell r="Q4983" t="str"><v>Social</v></cell><cell r="R4983" t="str"><v>Azure</v></cell><cell r="S4983" t="str"><v>Apps & Infra</v></cell><cell r="T4983" t="str"><v>Developers & ITI's</v></cell><cell r="U4983" t="str"><v>AZR</v></cell><cell r="V4983" t="str"><v>Audience Targeting</v></cell><cell r="W4983" t="str"><v>Engagement Video</v></cell><cell r="X4983" t="str"><v>1x1</v></cell></row><row r="4983"><cell r="AA4983"><v>43317</v></cell><cell r="AB4983" t="str"><v>CAN_gaPMG_AZR_AZR_Q1_19_Trial-Social</v></cell><cell r="AC4983"><v>21337220</v></cell><cell r="AD4983"><v>720192</v></cell><cell r="AE4983" t="str"><v>Facebook</v></cell><cell r="AF4983"><v>3654128</v></cell><cell r="AG4983" t="str"><v>Facebook»AZR»1x1»NA»EGV»ALL»DYN»AUT»D»All»SS»NA»Free Acc CTC - T1 - EN</v></cell><cell r="AH4983"><v>223684451</v></cell><cell r="AI4983" t="str"><v>AzurePlatform_FBCTCBasicMotion_CAN_10s_ISV_PLAT_English_Trial_Standard_STAN_TN_T1_1</v></cell><cell r="AJ4983"><v>102901882</v></cell></row><row r="4984"><cell r="C4984" t="str"><v>43317Facebook»AZR»1x1»NA»EGV»ALL»DYN»AUT»D»All»SS»NA»Free Acc CTC - T1 - FR</v></cell><cell r="D4984" t="str"><v>43317223691801</v></cell><cell r="E4984" t="str"><v>433171030533231 - FR</v></cell><cell r="F4984" t="str"><v>DCM</v></cell><cell r="G4984" t="str"><v>https://signup.azure.com/</v></cell></row><row r="4984"><cell r="K4984" t="str"><v>August</v></cell><cell r="L4984"><v>43323</v></cell><cell r="M4984" t="str"><v>Tier 1</v></cell><cell r="N4984" t="str"><v>North America</v></cell><cell r="O4984" t="str"><v>Canada</v></cell><cell r="P4984" t="str"><v>Trial</v></cell><cell r="Q4984" t="str"><v>Social</v></cell><cell r="R4984" t="str"><v>Azure</v></cell><cell r="S4984" t="str"><v>Apps & Infra</v></cell><cell r="T4984" t="str"><v>Developers & ITI's</v></cell><cell r="U4984" t="str"><v>AZR</v></cell><cell r="V4984" t="str"><v>Audience Targeting</v></cell><cell r="W4984" t="str"><v>Engagement Video</v></cell><cell r="X4984" t="str"><v>1x1</v></cell></row><row r="4984"><cell r="AA4984"><v>43317</v></cell><cell r="AB4984" t="str"><v>CAN_gaPMG_AZR_AZR_Q1_19_Trial-Social</v></cell><cell r="AC4984"><v>21337220</v></cell><cell r="AD4984"><v>720192</v></cell><cell r="AE4984" t="str"><v>Facebook</v></cell><cell r="AF4984"><v>3654128</v></cell><cell r="AG4984" t="str"><v>Facebook»AZR»1x1»NA»EGV»ALL»DYN»AUT»D»All»SS»NA»Free Acc CTC - T1 - FR</v></cell><cell r="AH4984"><v>223691801</v></cell><cell r="AI4984" t="str"><v>AzurePlatform_FBCTCBasicMotion_CAN_10s_ISV_PLAT_FR_Trial_Standard_STAN_TN_T1_1</v></cell><cell r="AJ4984"><v>103053323</v></cell></row><row r="4985"><cell r="C4985" t="str"><v>43317Facebook»AZR»1x1»NA»EGV»ALL»DYN»AUT»D»All»SS»NA»Free Acc CTC - T2 - EN</v></cell><cell r="D4985" t="str"><v>43317223691840</v></cell><cell r="E4985" t="str"><v>433171029029502 - EN</v></cell><cell r="F4985" t="str"><v>DCM</v></cell><cell r="G4985" t="str"><v>https://signup.azure.com/</v></cell></row><row r="4985"><cell r="K4985" t="str"><v>August</v></cell><cell r="L4985"><v>43323</v></cell><cell r="M4985" t="str"><v>Tier 1</v></cell><cell r="N4985" t="str"><v>North America</v></cell><cell r="O4985" t="str"><v>Canada</v></cell><cell r="P4985" t="str"><v>Trial</v></cell><cell r="Q4985" t="str"><v>Social</v></cell><cell r="R4985" t="str"><v>Azure</v></cell><cell r="S4985" t="str"><v>Apps & Infra</v></cell><cell r="T4985" t="str"><v>Developers & ITI's</v></cell><cell r="U4985" t="str"><v>AZR</v></cell><cell r="V4985" t="str"><v>Audience Targeting</v></cell><cell r="W4985" t="str"><v>Engagement Video</v></cell><cell r="X4985" t="str"><v>1x1</v></cell></row><row r="4985"><cell r="AA4985"><v>43317</v></cell><cell r="AB4985" t="str"><v>CAN_gaPMG_AZR_AZR_Q1_19_Trial-Social</v></cell><cell r="AC4985"><v>21337220</v></cell><cell r="AD4985"><v>720192</v></cell><cell r="AE4985" t="str"><v>Facebook</v></cell><cell r="AF4985"><v>3654128</v></cell><cell r="AG4985" t="str"><v>Facebook»AZR»1x1»NA»EGV»ALL»DYN»AUT»D»All»SS»NA»Free Acc CTC - T2 - EN</v></cell><cell r="AH4985"><v>223691840</v></cell><cell r="AI4985" t="str"><v>AzurePlatform_FBCTCBrandinMotion_CAN_12s_ISV_PLAT_English_Trial_Standard_STAN_TN_T2_1</v></cell><cell r="AJ4985"><v>102902950</v></cell></row><row r="4986"><cell r="C4986" t="str"><v>43317Facebook»AZR»1x1»NA»EGV»ALL»DYN»AUT»D»All»SS»NA»Free Acc CTC - T2 - FR</v></cell><cell r="D4986" t="str"><v>43317223691798</v></cell><cell r="E4986" t="str"><v>433171029163472 - FR</v></cell><cell r="F4986" t="str"><v>DCM</v></cell><cell r="G4986" t="str"><v>https://signup.azure.com/</v></cell></row><row r="4986"><cell r="K4986" t="str"><v>August</v></cell><cell r="L4986"><v>43323</v></cell><cell r="M4986" t="str"><v>Tier 1</v></cell><cell r="N4986" t="str"><v>North America</v></cell><cell r="O4986" t="str"><v>Canada</v></cell><cell r="P4986" t="str"><v>Trial</v></cell><cell r="Q4986" t="str"><v>Social</v></cell><cell r="R4986" t="str"><v>Azure</v></cell><cell r="S4986" t="str"><v>Apps & Infra</v></cell><cell r="T4986" t="str"><v>Developers & ITI's</v></cell><cell r="U4986" t="str"><v>AZR</v></cell><cell r="V4986" t="str"><v>Audience Targeting</v></cell><cell r="W4986" t="str"><v>Engagement Video</v></cell><cell r="X4986" t="str"><v>1x1</v></cell></row><row r="4986"><cell r="AA4986"><v>43317</v></cell><cell r="AB4986" t="str"><v>CAN_gaPMG_AZR_AZR_Q1_19_Trial-Social</v></cell><cell r="AC4986"><v>21337220</v></cell><cell r="AD4986"><v>720192</v></cell><cell r="AE4986" t="str"><v>Facebook</v></cell><cell r="AF4986"><v>3654128</v></cell><cell r="AG4986" t="str"><v>Facebook»AZR»1x1»NA»EGV»ALL»DYN»AUT»D»All»SS»NA»Free Acc CTC - T2 - FR</v></cell><cell r="AH4986"><v>223691798</v></cell><cell r="AI4986" t="str"><v>AzurePlatform_FBCTCBrandinMotion_CAN_12s_ISV_PLAT_FR_Trial_Standard_STAN_TN_T2_1</v></cell><cell r="AJ4986"><v>102916347</v></cell></row><row r="4987"><cell r="C4987" t="str"><v>43317Facebook»AZR»1x1»NA»EGV»ALL»DYN»AUT»D»All»SS»NA»Free Acc CTC - T4 - EN</v></cell><cell r="D4987" t="str"><v>43317223691837</v></cell><cell r="E4987" t="str"><v>433171030533144 - EN</v></cell><cell r="F4987" t="str"><v>DCM</v></cell><cell r="G4987" t="str"><v>https://signup.azure.com/</v></cell></row><row r="4987"><cell r="K4987" t="str"><v>August</v></cell><cell r="L4987"><v>43323</v></cell><cell r="M4987" t="str"><v>Tier 1</v></cell><cell r="N4987" t="str"><v>North America</v></cell><cell r="O4987" t="str"><v>Canada</v></cell><cell r="P4987" t="str"><v>Trial</v></cell><cell r="Q4987" t="str"><v>Social</v></cell><cell r="R4987" t="str"><v>Azure</v></cell><cell r="S4987" t="str"><v>Apps & Infra</v></cell><cell r="T4987" t="str"><v>Developers & ITI's</v></cell><cell r="U4987" t="str"><v>AZR</v></cell><cell r="V4987" t="str"><v>Audience Targeting</v></cell><cell r="W4987" t="str"><v>Engagement Video</v></cell><cell r="X4987" t="str"><v>1x1</v></cell></row><row r="4987"><cell r="AA4987"><v>43317</v></cell><cell r="AB4987" t="str"><v>CAN_gaPMG_AZR_AZR_Q1_19_Trial-Social</v></cell><cell r="AC4987"><v>21337220</v></cell><cell r="AD4987"><v>720192</v></cell><cell r="AE4987" t="str"><v>Facebook</v></cell><cell r="AF4987"><v>3654128</v></cell><cell r="AG4987" t="str"><v>Facebook»AZR»1x1»NA»EGV»ALL»DYN»AUT»D»All»SS»NA»Free Acc CTC - T4 - EN</v></cell><cell r="AH4987"><v>223691837</v></cell><cell r="AI4987" t="str"><v>AzurePlatform_FBCTCBenefit2inMotion_CAN_14s_ISV_PLAT_English_Trial_Standard_STAN_TN_T4_1</v></cell><cell r="AJ4987"><v>103053314</v></cell></row><row r="4988"><cell r="C4988" t="str"><v>43317Facebook»AZR»1x1»NA»SOC»ALL»DYN»PRO»D»All»SS»NA»Canvas - Buy Now - FR</v></cell><cell r="D4988" t="str"><v>43317225322324</v></cell><cell r="E4988" t="str"><v>43317103789915w - FR</v></cell><cell r="F4988" t="str"><v>DCM</v></cell><cell r="G4988" t="str"><v>https://azure.microsoft.com/fr-ca/pricing/purchase-options/</v></cell></row><row r="4988"><cell r="K4988" t="str"><v>August</v></cell><cell r="L4988"><v>43323</v></cell><cell r="M4988" t="str"><v>Tier 1</v></cell><cell r="N4988" t="str"><v>North America</v></cell><cell r="O4988" t="str"><v>Canada</v></cell><cell r="P4988" t="str"><v>Trial</v></cell><cell r="Q4988" t="str"><v>Social</v></cell><cell r="R4988" t="str"><v>Azure</v></cell><cell r="S4988" t="str"><v>Apps & Infra</v></cell><cell r="T4988" t="str"><v>Developers & ITI's</v></cell><cell r="U4988" t="str"><v>AZR</v></cell><cell r="V4988" t="str"><v>Prospecting</v></cell><cell r="W4988" t="str"><v>Social</v></cell><cell r="X4988" t="str"><v>1x1</v></cell></row><row r="4988"><cell r="AA4988"><v>43317</v></cell><cell r="AB4988" t="str"><v>CAN_gaPMG_AZR_AZR_Q1_19_Trial-Social</v></cell><cell r="AC4988"><v>21337220</v></cell><cell r="AD4988"><v>720192</v></cell><cell r="AE4988" t="str"><v>Facebook</v></cell><cell r="AF4988"><v>3654128</v></cell><cell r="AG4988" t="str"><v>Facebook»AZR»1x1»NA»SOC»ALL»DYN»PRO»D»All»SS»NA»Canvas - Buy Now - FR</v></cell><cell r="AH4988"><v>225322324</v></cell><cell r="AI4988" t="str"><v>AzurePlatform_FBCTCcanvaspage-BuyNowCTA-Img3_CAN_1080x162_SOC_Plat_French_NA_Standard_NA_BN_T3_1</v></cell><cell r="AJ4988"><v>103789915</v></cell></row><row r="4989"><cell r="C4989" t="str"><v>43317Facebook»AZR»1x1»NA»SOC»ALL»DYN»PRO»D»All»SS»NA»Canvas - Start Free - EN</v></cell><cell r="D4989" t="str"><v>43317225252365</v></cell><cell r="E4989" t="str"><v>43317103807590e - EN</v></cell><cell r="F4989" t="str"><v>DCM</v></cell><cell r="G4989" t="str"><v>https://signup.azure.com/signup?offer=ms-azr-0044p&appId=102&ref=paidmedia-social-fb&redirectURL=https%3a%2f%2fazure.microsoft.com%2fen-ca%2fget-started%2fwelcome-to-azure%2f&l=en-ca&correlationId=ead86c34-1f10-49dd-a72b-6918462a2cbf</v></cell></row><row r="4989"><cell r="K4989" t="str"><v>August</v></cell><cell r="L4989"><v>43323</v></cell><cell r="M4989" t="str"><v>Tier 1</v></cell><cell r="N4989" t="str"><v>North America</v></cell><cell r="O4989" t="str"><v>Canada</v></cell><cell r="P4989" t="str"><v>Trial</v></cell><cell r="Q4989" t="str"><v>Social</v></cell><cell r="R4989" t="str"><v>Azure</v></cell><cell r="S4989" t="str"><v>Apps & Infra</v></cell><cell r="T4989" t="str"><v>Developers & ITI's</v></cell><cell r="U4989" t="str"><v>AZR</v></cell><cell r="V4989" t="str"><v>Prospecting</v></cell><cell r="W4989" t="str"><v>Social</v></cell><cell r="X4989" t="str"><v>1x1</v></cell></row><row r="4989"><cell r="AA4989"><v>43317</v></cell><cell r="AB4989" t="str"><v>CAN_gaPMG_AZR_AZR_Q1_19_Trial-Social</v></cell><cell r="AC4989"><v>21337220</v></cell><cell r="AD4989"><v>720192</v></cell><cell r="AE4989" t="str"><v>Facebook</v></cell><cell r="AF4989"><v>3654128</v></cell><cell r="AG4989" t="str"><v>Facebook»AZR»1x1»NA»SOC»ALL»DYN»PRO»D»All»SS»NA»Canvas - Start Free - EN</v></cell><cell r="AH4989"><v>225252365</v></cell><cell r="AI4989" t="str"><v>AzurePlatform_FBCTCcanvaspage-StartFreeCTA-Img2_CAN_1080x143 _SOC_Plat_English_NA_Standard_NA_NA_T2_1</v></cell><cell r="AJ4989"><v>103807590</v></cell></row><row r="4990"><cell r="C4990" t="str"><v>43317Facebook»AZR»1x1»NA»SOC»ALL»DYN»PRO»D»All»SS»NA»Canvas - Start Free - FR</v></cell><cell r="D4990" t="str"><v>43317225525936</v></cell><cell r="E4990" t="str"><v>43317103902551e - FR</v></cell><cell r="F4990" t="str"><v>DCM</v></cell><cell r="G4990" t="str"><v>https://signup.azure.com/signup?offer=ms-azr-0044p&appId=102&ref=paidmedia-social-fb&redirectURL=https%3a%2f%2fazure.microsoft.com%2ffr-ca%2fget-started%2fwelcome-to-azure%2f&l=fr-ca&correlationId=ead86c34-1f10-49dd-a72b-6918462a2cbf</v></cell></row><row r="4990"><cell r="K4990" t="str"><v>August</v></cell><cell r="L4990"><v>43323</v></cell><cell r="M4990" t="str"><v>Tier 1</v></cell><cell r="N4990" t="str"><v>North America</v></cell><cell r="O4990" t="str"><v>Canada</v></cell><cell r="P4990" t="str"><v>Trial</v></cell><cell r="Q4990" t="str"><v>Social</v></cell><cell r="R4990" t="str"><v>Azure</v></cell><cell r="S4990" t="str"><v>Apps & Infra</v></cell><cell r="T4990" t="str"><v>Developers & ITI's</v></cell><cell r="U4990" t="str"><v>AZR</v></cell><cell r="V4990" t="str"><v>Prospecting</v></cell><cell r="W4990" t="str"><v>Social</v></cell><cell r="X4990" t="str"><v>1x1</v></cell></row><row r="4990"><cell r="AA4990"><v>43317</v></cell><cell r="AB4990" t="str"><v>CAN_gaPMG_AZR_AZR_Q1_19_Trial-Social</v></cell><cell r="AC4990"><v>21337220</v></cell><cell r="AD4990"><v>720192</v></cell><cell r="AE4990" t="str"><v>Facebook</v></cell><cell r="AF4990"><v>3654128</v></cell><cell r="AG4990" t="str"><v>Facebook»AZR»1x1»NA»SOC»ALL»DYN»PRO»D»All»SS»NA»Canvas - Start Free - FR</v></cell><cell r="AH4990"><v>225525936</v></cell><cell r="AI4990" t="str"><v>AzurePlatform_FBCTCcanvaspage-StartFreeCTA-Img2_CAN_1080x143 _SOC_Plat_French_NA_Standard_NA_NA_T2_1</v></cell><cell r="AJ4990"><v>103902551</v></cell></row><row r="4991"><cell r="C4991" t="str"><v>43317Facebook»AZR»1x1»SocialBan»NA»ALL»DYN»AUT»D»All»SS»NA»Free Acc Refresh - T1 - FR</v></cell><cell r="D4991" t="str"><v>43317223691762</v></cell><cell r="E4991" t="str"><v>433171029029741 - FR</v></cell><cell r="F4991" t="str"><v>DCM</v></cell><cell r="G4991" t="str"><v>https://azure.microsoft.com/fr-ca/free/search/</v></cell></row><row r="4991"><cell r="K4991" t="str"><v>August</v></cell><cell r="L4991"><v>43323</v></cell><cell r="M4991" t="str"><v>Tier 1</v></cell><cell r="N4991" t="str"><v>North America</v></cell><cell r="O4991" t="str"><v>Canada</v></cell><cell r="P4991" t="str"><v>Trial</v></cell><cell r="Q4991" t="str"><v>Social</v></cell><cell r="R4991" t="str"><v>Azure</v></cell><cell r="S4991" t="str"><v>Apps & Infra</v></cell><cell r="T4991" t="str"><v>Developers & ITI's</v></cell><cell r="U4991" t="str"><v>AZR</v></cell><cell r="V4991" t="str"><v>Audience Targeting</v></cell><cell r="W4991" t="str"><v>NotApplicable</v></cell><cell r="X4991" t="str"><v>1x1</v></cell></row><row r="4991"><cell r="AA4991"><v>43317</v></cell><cell r="AB4991" t="str"><v>CAN_gaPMG_AZR_AZR_Q1_19_Trial-Social</v></cell><cell r="AC4991"><v>21337220</v></cell><cell r="AD4991"><v>720192</v></cell><cell r="AE4991" t="str"><v>Facebook</v></cell><cell r="AF4991"><v>3654128</v></cell><cell r="AG4991" t="str"><v>Facebook»AZR»1x1»SocialBan»NA»ALL»DYN»AUT»D»All»SS»NA»Free Acc Refresh - T1 - FR</v></cell><cell r="AH4991"><v>223691762</v></cell><cell r="AI4991" t="str"><v>AzurePlatform_FreeAcctAppsFACEBOOKLifestyleChA_CAN_1200x628_SOC_PLAT_FR_Trial_Standard_NA_SU_T1_1.png</v></cell><cell r="AJ4991"><v>102902974</v></cell></row><row r="4992"><cell r="C4992" t="str"><v>43317Facebook»AZR»1x1»SocialBan»NA»ALL»DYN»AUT»D»All»SS»NA»Free Acc Refresh - T2 - EN</v></cell><cell r="D4992" t="str"><v>43317223691810</v></cell><cell r="E4992" t="str"><v>433171030587112 - EN</v></cell><cell r="F4992" t="str"><v>DCM</v></cell><cell r="G4992" t="str"><v>https://azure.microsoft.com/en-CA/free/search/</v></cell></row><row r="4992"><cell r="K4992" t="str"><v>August</v></cell><cell r="L4992"><v>43323</v></cell><cell r="M4992" t="str"><v>Tier 1</v></cell><cell r="N4992" t="str"><v>North America</v></cell><cell r="O4992" t="str"><v>Canada</v></cell><cell r="P4992" t="str"><v>Trial</v></cell><cell r="Q4992" t="str"><v>Social</v></cell><cell r="R4992" t="str"><v>Azure</v></cell><cell r="S4992" t="str"><v>Apps & Infra</v></cell><cell r="T4992" t="str"><v>Developers & ITI's</v></cell><cell r="U4992" t="str"><v>AZR</v></cell><cell r="V4992" t="str"><v>Audience Targeting</v></cell><cell r="W4992" t="str"><v>NotApplicable</v></cell><cell r="X4992" t="str"><v>1x1</v></cell></row><row r="4992"><cell r="AA4992"><v>43317</v></cell><cell r="AB4992" t="str"><v>CAN_gaPMG_AZR_AZR_Q1_19_Trial-Social</v></cell><cell r="AC4992"><v>21337220</v></cell><cell r="AD4992"><v>720192</v></cell><cell r="AE4992" t="str"><v>Facebook</v></cell><cell r="AF4992"><v>3654128</v></cell><cell r="AG4992" t="str"><v>Facebook»AZR»1x1»SocialBan»NA»ALL»DYN»AUT»D»All»SS»NA»Free Acc Refresh - T2 - EN</v></cell><cell r="AH4992"><v>223691810</v></cell><cell r="AI4992" t="str"><v>AzurePlatform_FreeAcctAppsFACEBOOKDeviceChB_CAN_1200x628_SOC_PLAT_EN_Trial_Standard_NA_SU_T2_1.png</v></cell><cell r="AJ4992"><v>103058711</v></cell></row><row r="4993"><cell r="C4993" t="str"><v>43317Facebook»AZR»1x1»SocialBan»NA»ALL»DYN»AUT»D»All»SS»NA»Free Acc Refresh - T2 - FR</v></cell><cell r="D4993" t="str"><v>43317223691768</v></cell><cell r="E4993" t="str"><v>433171029029712 - FR</v></cell><cell r="F4993" t="str"><v>DCM</v></cell><cell r="G4993" t="str"><v>https://azure.microsoft.com/fr-ca/free/search/</v></cell></row><row r="4993"><cell r="K4993" t="str"><v>August</v></cell><cell r="L4993"><v>43323</v></cell><cell r="M4993" t="str"><v>Tier 1</v></cell><cell r="N4993" t="str"><v>North America</v></cell><cell r="O4993" t="str"><v>Canada</v></cell><cell r="P4993" t="str"><v>Trial</v></cell><cell r="Q4993" t="str"><v>Social</v></cell><cell r="R4993" t="str"><v>Azure</v></cell><cell r="S4993" t="str"><v>Apps & Infra</v></cell><cell r="T4993" t="str"><v>Developers & ITI's</v></cell><cell r="U4993" t="str"><v>AZR</v></cell><cell r="V4993" t="str"><v>Audience Targeting</v></cell><cell r="W4993" t="str"><v>NotApplicable</v></cell><cell r="X4993" t="str"><v>1x1</v></cell></row><row r="4993"><cell r="AA4993"><v>43317</v></cell><cell r="AB4993" t="str"><v>CAN_gaPMG_AZR_AZR_Q1_19_Trial-Social</v></cell><cell r="AC4993"><v>21337220</v></cell><cell r="AD4993"><v>720192</v></cell><cell r="AE4993" t="str"><v>Facebook</v></cell><cell r="AF4993"><v>3654128</v></cell><cell r="AG4993" t="str"><v>Facebook»AZR»1x1»SocialBan»NA»ALL»DYN»AUT»D»All»SS»NA»Free Acc Refresh - T2 - FR</v></cell><cell r="AH4993"><v>223691768</v></cell><cell r="AI4993" t="str"><v>AzurePlatform_FreeAcctAppsFACEBOOKDeviceChB_CAN_1200x628_SOC_PLAT_FR_Trial_Standard_NA_SU_T2_1.png</v></cell><cell r="AJ4993"><v>102902971</v></cell></row><row r="4994"><cell r="C4994" t="str"><v>43317Facebook»AZR»1x1»SocialBan»NA»ALL»DYN»AUT»D»All»SS»NA»Free Acc Refresh - T3 - EN</v></cell><cell r="D4994" t="str"><v>43317223691807</v></cell><cell r="E4994" t="str"><v>433171029006853 - EN</v></cell><cell r="F4994" t="str"><v>DCM</v></cell><cell r="G4994" t="str"><v>https://azure.microsoft.com/en-CA/free/search/</v></cell></row><row r="4994"><cell r="K4994" t="str"><v>August</v></cell><cell r="L4994"><v>43323</v></cell><cell r="M4994" t="str"><v>Tier 1</v></cell><cell r="N4994" t="str"><v>North America</v></cell><cell r="O4994" t="str"><v>Canada</v></cell><cell r="P4994" t="str"><v>Trial</v></cell><cell r="Q4994" t="str"><v>Social</v></cell><cell r="R4994" t="str"><v>Azure</v></cell><cell r="S4994" t="str"><v>Apps & Infra</v></cell><cell r="T4994" t="str"><v>Developers & ITI's</v></cell><cell r="U4994" t="str"><v>AZR</v></cell><cell r="V4994" t="str"><v>Audience Targeting</v></cell><cell r="W4994" t="str"><v>NotApplicable</v></cell><cell r="X4994" t="str"><v>1x1</v></cell></row><row r="4994"><cell r="AA4994"><v>43317</v></cell><cell r="AB4994" t="str"><v>CAN_gaPMG_AZR_AZR_Q1_19_Trial-Social</v></cell><cell r="AC4994"><v>21337220</v></cell><cell r="AD4994"><v>720192</v></cell><cell r="AE4994" t="str"><v>Facebook</v></cell><cell r="AF4994"><v>3654128</v></cell><cell r="AG4994" t="str"><v>Facebook»AZR»1x1»SocialBan»NA»ALL»DYN»AUT»D»All»SS»NA»Free Acc Refresh - T3 - EN</v></cell><cell r="AH4994"><v>223691807</v></cell><cell r="AI4994" t="str"><v>AzurePlatform_FreeAcctAppsFACEBOOKIllustrationChC_CAN_1200x628_SOC_PLAT_EN_Trial_Standard_NA_SU_T3_1.png</v></cell><cell r="AJ4994"><v>102900685</v></cell></row><row r="4995"><cell r="C4995" t="str"><v>43317Facebook»AZR»1x1»SocialBan»NA»ALL»DYN»AUT»D»All»SS»NA»Free Acc Refresh - T3 - FR</v></cell><cell r="D4995" t="str"><v>43317223691765</v></cell><cell r="E4995" t="str"><v>433171030533323 - FR</v></cell><cell r="F4995" t="str"><v>DCM</v></cell><cell r="G4995" t="str"><v>https://azure.microsoft.com/fr-ca/free/search/</v></cell></row><row r="4995"><cell r="K4995" t="str"><v>August</v></cell><cell r="L4995"><v>43323</v></cell><cell r="M4995" t="str"><v>Tier 1</v></cell><cell r="N4995" t="str"><v>North America</v></cell><cell r="O4995" t="str"><v>Canada</v></cell><cell r="P4995" t="str"><v>Trial</v></cell><cell r="Q4995" t="str"><v>Social</v></cell><cell r="R4995" t="str"><v>Azure</v></cell><cell r="S4995" t="str"><v>Apps & Infra</v></cell><cell r="T4995" t="str"><v>Developers & ITI's</v></cell><cell r="U4995" t="str"><v>AZR</v></cell><cell r="V4995" t="str"><v>Audience Targeting</v></cell><cell r="W4995" t="str"><v>NotApplicable</v></cell><cell r="X4995" t="str"><v>1x1</v></cell></row><row r="4995"><cell r="AA4995"><v>43317</v></cell><cell r="AB4995" t="str"><v>CAN_gaPMG_AZR_AZR_Q1_19_Trial-Social</v></cell><cell r="AC4995"><v>21337220</v></cell><cell r="AD4995"><v>720192</v></cell><cell r="AE4995" t="str"><v>Facebook</v></cell><cell r="AF4995"><v>3654128</v></cell><cell r="AG4995" t="str"><v>Facebook»AZR»1x1»SocialBan»NA»ALL»DYN»AUT»D»All»SS»NA»Free Acc Refresh - T3 - FR</v></cell><cell r="AH4995"><v>223691765</v></cell><cell r="AI4995" t="str"><v>AzurePlatform_FreeAcctAppsFACEBOOKIllustrationChC_CAN_1200x628_SOC_PLAT_FR_Trial_Standard_NA_SU_T3_1.png</v></cell><cell r="AJ4995"><v>103053332</v></cell></row><row r="4996"><cell r="C4996" t="str"><v>43317Facebook»AZR»1x1»SocialBan»NA»ALL»DYN»AUT»D»All»SS»NA»Free Acc Refresh - T5 - FR</v></cell><cell r="D4996" t="str"><v>43317223691774</v></cell><cell r="E4996" t="str"><v>433171029163565 - FR</v></cell><cell r="F4996" t="str"><v>DCM</v></cell><cell r="G4996" t="str"><v>https://azure.microsoft.com/fr-ca/free/search/</v></cell></row><row r="4996"><cell r="K4996" t="str"><v>August</v></cell><cell r="L4996"><v>43323</v></cell><cell r="M4996" t="str"><v>Tier 1</v></cell><cell r="N4996" t="str"><v>North America</v></cell><cell r="O4996" t="str"><v>Canada</v></cell><cell r="P4996" t="str"><v>Trial</v></cell><cell r="Q4996" t="str"><v>Social</v></cell><cell r="R4996" t="str"><v>Azure</v></cell><cell r="S4996" t="str"><v>Apps & Infra</v></cell><cell r="T4996" t="str"><v>Developers & ITI's</v></cell><cell r="U4996" t="str"><v>AZR</v></cell><cell r="V4996" t="str"><v>Audience Targeting</v></cell><cell r="W4996" t="str"><v>NotApplicable</v></cell><cell r="X4996" t="str"><v>1x1</v></cell></row><row r="4996"><cell r="AA4996"><v>43317</v></cell><cell r="AB4996" t="str"><v>CAN_gaPMG_AZR_AZR_Q1_19_Trial-Social</v></cell><cell r="AC4996"><v>21337220</v></cell><cell r="AD4996"><v>720192</v></cell><cell r="AE4996" t="str"><v>Facebook</v></cell><cell r="AF4996"><v>3654128</v></cell><cell r="AG4996" t="str"><v>Facebook»AZR»1x1»SocialBan»NA»ALL»DYN»AUT»D»All»SS»NA»Free Acc Refresh - T5 - FR</v></cell><cell r="AH4996"><v>223691774</v></cell><cell r="AI4996" t="str"><v>AzurePlatform_FreeAcctAppsFACEBOOK12monthsChE_CAN_1200x628_SOC_PLAT_FR_Trial_Standard_NA_SU_T5_1.png</v></cell><cell r="AJ4996"><v>102916356</v></cell></row><row r="4997"><cell r="C4997" t="str"><v>43317Facebook»AZR»1x1»SocialBan»NA»ALL»DYN»RT»D»All»SS»NA» Free Account Retargeting OSS - T1 - FR</v></cell><cell r="D4997" t="str"><v>43317223691786</v></cell><cell r="E4997" t="str"><v>433171030587201 - FR</v></cell><cell r="F4997" t="str"><v>DCM</v></cell><cell r="G4997" t="str"><v>https://azure.microsoft.com/fr-ca/free/open-source/search/</v></cell></row><row r="4997"><cell r="K4997" t="str"><v>August</v></cell><cell r="L4997"><v>43323</v></cell><cell r="M4997" t="str"><v>Tier 1</v></cell><cell r="N4997" t="str"><v>North America</v></cell><cell r="O4997" t="str"><v>Canada</v></cell><cell r="P4997" t="str"><v>Trial</v></cell><cell r="Q4997" t="str"><v>Social</v></cell><cell r="R4997" t="str"><v>Azure</v></cell><cell r="S4997" t="str"><v>Apps & Infra</v></cell><cell r="T4997" t="str"><v>Developers & ITI's</v></cell><cell r="U4997" t="str"><v>AZR</v></cell><cell r="V4997" t="str"><v>Retargeting</v></cell><cell r="W4997" t="str"><v>NotApplicable</v></cell><cell r="X4997" t="str"><v>1x1</v></cell></row><row r="4997"><cell r="AA4997"><v>43317</v></cell><cell r="AB4997" t="str"><v>CAN_gaPMG_AZR_AZR_Q1_19_Trial-Social</v></cell><cell r="AC4997"><v>21337220</v></cell><cell r="AD4997"><v>720192</v></cell><cell r="AE4997" t="str"><v>Facebook</v></cell><cell r="AF4997"><v>3654128</v></cell><cell r="AG4997" t="str"><v>Facebook»AZR»1x1»SocialBan»NA»ALL»DYN»RT»D»All»SS»NA» Free Account Retargeting OSS - T1 - FR</v></cell><cell r="AH4997"><v>223691786</v></cell><cell r="AI4997" t="str"><v>AzurePlatform_FreeAcctRetargetingOSSFB-Text-ChF_CAN_1200x628_SOC_Plat_FR_Free Account_Standard_NA_SU_T1_1</v></cell><cell r="AJ4997"><v>103058720</v></cell></row><row r="4998"><cell r="C4998" t="str"><v>43317Facebook»AZR»1x1»SocialBan»NA»ALL»DYN»RT»D»All»SS»NA» Free Account Retargeting OSS - T2 - EN</v></cell><cell r="D4998" t="str"><v>43317223691831</v></cell><cell r="E4998" t="str"><v>433171029138002 - EN</v></cell><cell r="F4998" t="str"><v>DCM</v></cell><cell r="G4998" t="str"><v>https://azure.microsoft.com/en-ca/free/open-source/search/</v></cell></row><row r="4998"><cell r="K4998" t="str"><v>August</v></cell><cell r="L4998"><v>43323</v></cell><cell r="M4998" t="str"><v>Tier 1</v></cell><cell r="N4998" t="str"><v>North America</v></cell><cell r="O4998" t="str"><v>Canada</v></cell><cell r="P4998" t="str"><v>Trial</v></cell><cell r="Q4998" t="str"><v>Social</v></cell><cell r="R4998" t="str"><v>Azure</v></cell><cell r="S4998" t="str"><v>Apps & Infra</v></cell><cell r="T4998" t="str"><v>Developers & ITI's</v></cell><cell r="U4998" t="str"><v>AZR</v></cell><cell r="V4998" t="str"><v>Retargeting</v></cell><cell r="W4998" t="str"><v>NotApplicable</v></cell><cell r="X4998" t="str"><v>1x1</v></cell></row><row r="4998"><cell r="AA4998"><v>43317</v></cell><cell r="AB4998" t="str"><v>CAN_gaPMG_AZR_AZR_Q1_19_Trial-Social</v></cell><cell r="AC4998"><v>21337220</v></cell><cell r="AD4998"><v>720192</v></cell><cell r="AE4998" t="str"><v>Facebook</v></cell><cell r="AF4998"><v>3654128</v></cell><cell r="AG4998" t="str"><v>Facebook»AZR»1x1»SocialBan»NA»ALL»DYN»RT»D»All»SS»NA» Free Account Retargeting OSS - T2 - EN</v></cell><cell r="AH4998"><v>223691831</v></cell><cell r="AI4998" t="str"><v>AzurePlatform_FreeAcctRetargetingOSSFB-Logos-ChG_CAN_1200x628_SOC_Plat_EN_Free Account_Standard_NA_SU_T2_1</v></cell><cell r="AJ4998"><v>102913800</v></cell></row><row r="4999"><cell r="C4999" t="str"><v>43317Facebook»AZR»1x1»SocialBan»NA»ALL»DYN»RT»D»All»SS»NA»Free Account Retargeting VM - T1 - EN</v></cell><cell r="D4999" t="str"><v>43317223691825</v></cell><cell r="E4999" t="str"><v>433171029163381 - EN</v></cell><cell r="F4999" t="str"><v>DCM</v></cell><cell r="G4999" t="str"><v>https://azure.microsoft.com/en-ca/free/virtual-machines/search/</v></cell></row><row r="4999"><cell r="K4999" t="str"><v>August</v></cell><cell r="L4999"><v>43323</v></cell><cell r="M4999" t="str"><v>Tier 1</v></cell><cell r="N4999" t="str"><v>North America</v></cell><cell r="O4999" t="str"><v>Canada</v></cell><cell r="P4999" t="str"><v>Trial</v></cell><cell r="Q4999" t="str"><v>Social</v></cell><cell r="R4999" t="str"><v>Azure</v></cell><cell r="S4999" t="str"><v>Apps & Infra</v></cell><cell r="T4999" t="str"><v>Developers & ITI's</v></cell><cell r="U4999" t="str"><v>AZR</v></cell><cell r="V4999" t="str"><v>Retargeting</v></cell><cell r="W4999" t="str"><v>NotApplicable</v></cell><cell r="X4999" t="str"><v>1x1</v></cell></row><row r="4999"><cell r="AA4999"><v>43317</v></cell><cell r="AB4999" t="str"><v>CAN_gaPMG_AZR_AZR_Q1_19_Trial-Social</v></cell><cell r="AC4999"><v>21337220</v></cell><cell r="AD4999"><v>720192</v></cell><cell r="AE4999" t="str"><v>Facebook</v></cell><cell r="AF4999"><v>3654128</v></cell><cell r="AG4999" t="str"><v>Facebook»AZR»1x1»SocialBan»NA»ALL»DYN»RT»D»All»SS»NA»Free Account Retargeting VM - T1 - EN</v></cell><cell r="AH4999"><v>223691825</v></cell><cell r="AI4999" t="str"><v>AzurePlatform_FreeAcctRetargetingVMFB-750Hrs-ChD_CAN_1200x628_SOC_Plat_EN_Free Account_Standard_NA_SU_T1_1</v></cell><cell r="AJ4999"><v>102916338</v></cell></row><row r="5000"><cell r="C5000" t="str"><v>43317Facebook»AZR»1x1»SocialBan»NA»ALL»DYN»RT»D»All»SS»NA»Free Account Retargeting VM - T1 - FR</v></cell><cell r="D5000" t="str"><v>43317223691783</v></cell><cell r="E5000" t="str"><v>433171030587231 - FR</v></cell><cell r="F5000" t="str"><v>DCM</v></cell><cell r="G5000" t="str"><v>https://azure.microsoft.com/fr-ca/free/virtual-machines/search/</v></cell></row><row r="5000"><cell r="K5000" t="str"><v>August</v></cell><cell r="L5000"><v>43323</v></cell><cell r="M5000" t="str"><v>Tier 1</v></cell><cell r="N5000" t="str"><v>North America</v></cell><cell r="O5000" t="str"><v>Canada</v></cell><cell r="P5000" t="str"><v>Trial</v></cell><cell r="Q5000" t="str"><v>Social</v></cell><cell r="R5000" t="str"><v>Azure</v></cell><cell r="S5000" t="str"><v>Apps & Infra</v></cell><cell r="T5000" t="str"><v>Developers & ITI's</v></cell><cell r="U5000" t="str"><v>AZR</v></cell><cell r="V5000" t="str"><v>Retargeting</v></cell><cell r="W5000" t="str"><v>NotApplicable</v></cell><cell r="X5000" t="str"><v>1x1</v></cell></row><row r="5000"><cell r="AA5000"><v>43317</v></cell><cell r="AB5000" t="str"><v>CAN_gaPMG_AZR_AZR_Q1_19_Trial-Social</v></cell><cell r="AC5000"><v>21337220</v></cell><cell r="AD5000"><v>720192</v></cell><cell r="AE5000" t="str"><v>Facebook</v></cell><cell r="AF5000"><v>3654128</v></cell><cell r="AG5000" t="str"><v>Facebook»AZR»1x1»SocialBan»NA»ALL»DYN»RT»D»All»SS»NA»Free Account Retargeting VM - T1 - FR</v></cell><cell r="AH5000"><v>223691783</v></cell><cell r="AI5000" t="str"><v>AzurePlatform_FreeAcctRetargetingVMFB-750Hrs-ChD_CAN_1200x628_SOC_Plat_FR_Free Account_Standard_NA_SU_T1_1</v></cell><cell r="AJ5000"><v>103058723</v></cell></row><row r="5001"><cell r="C5001" t="str"><v>43317Facebook»AZR»1x1»SocialBan»NA»ALL»DYN»RT»D»All»SS»NA»Free Account Retargeting VM - T2 - EN</v></cell><cell r="D5001" t="str"><v>43317223691822</v></cell><cell r="E5001" t="str"><v>433171030587082 - EN</v></cell><cell r="F5001" t="str"><v>DCM</v></cell><cell r="G5001" t="str"><v>https://azure.microsoft.com/en-ca/free/virtual-machines/search/</v></cell></row><row r="5001"><cell r="K5001" t="str"><v>August</v></cell><cell r="L5001"><v>43323</v></cell><cell r="M5001" t="str"><v>Tier 1</v></cell><cell r="N5001" t="str"><v>North America</v></cell><cell r="O5001" t="str"><v>Canada</v></cell><cell r="P5001" t="str"><v>Trial</v></cell><cell r="Q5001" t="str"><v>Social</v></cell><cell r="R5001" t="str"><v>Azure</v></cell><cell r="S5001" t="str"><v>Apps & Infra</v></cell><cell r="T5001" t="str"><v>Developers & ITI's</v></cell><cell r="U5001" t="str"><v>AZR</v></cell><cell r="V5001" t="str"><v>Retargeting</v></cell><cell r="W5001" t="str"><v>NotApplicable</v></cell><cell r="X5001" t="str"><v>1x1</v></cell></row><row r="5001"><cell r="AA5001"><v>43317</v></cell><cell r="AB5001" t="str"><v>CAN_gaPMG_AZR_AZR_Q1_19_Trial-Social</v></cell><cell r="AC5001"><v>21337220</v></cell><cell r="AD5001"><v>720192</v></cell><cell r="AE5001" t="str"><v>Facebook</v></cell><cell r="AF5001"><v>3654128</v></cell><cell r="AG5001" t="str"><v>Facebook»AZR»1x1»SocialBan»NA»ALL»DYN»RT»D»All»SS»NA»Free Account Retargeting VM - T2 - EN</v></cell><cell r="AH5001"><v>223691822</v></cell><cell r="AI5001" t="str"><v>AzurePlatform_FreeAcctRetargetingVMFB-OnDemand-ChE_CAN_1200x628_SOC_Plat_EN_Free Account_Standard_NA_SU_T2_1</v></cell><cell r="AJ5001"><v>103058708</v></cell></row><row r="5002"><cell r="C5002" t="str"><v>43317Facebook»AZR»1x1»SocialBan»NA»ALL»DYN»RT»D»All»SS»NA»Free Account Retargeting VM - T2 - FR</v></cell><cell r="D5002" t="str"><v>43317223691780</v></cell><cell r="E5002" t="str"><v>433171030587262 - FR</v></cell><cell r="F5002" t="str"><v>DCM</v></cell><cell r="G5002" t="str"><v>https://azure.microsoft.com/fr-ca/free/virtual-machines/search/</v></cell></row><row r="5002"><cell r="K5002" t="str"><v>August</v></cell><cell r="L5002"><v>43323</v></cell><cell r="M5002" t="str"><v>Tier 1</v></cell><cell r="N5002" t="str"><v>North America</v></cell><cell r="O5002" t="str"><v>Canada</v></cell><cell r="P5002" t="str"><v>Trial</v></cell><cell r="Q5002" t="str"><v>Social</v></cell><cell r="R5002" t="str"><v>Azure</v></cell><cell r="S5002" t="str"><v>Apps & Infra</v></cell><cell r="T5002" t="str"><v>Developers & ITI's</v></cell><cell r="U5002" t="str"><v>AZR</v></cell><cell r="V5002" t="str"><v>Retargeting</v></cell><cell r="W5002" t="str"><v>NotApplicable</v></cell><cell r="X5002" t="str"><v>1x1</v></cell></row><row r="5002"><cell r="AA5002"><v>43317</v></cell><cell r="AB5002" t="str"><v>CAN_gaPMG_AZR_AZR_Q1_19_Trial-Social</v></cell><cell r="AC5002"><v>21337220</v></cell><cell r="AD5002"><v>720192</v></cell><cell r="AE5002" t="str"><v>Facebook</v></cell><cell r="AF5002"><v>3654128</v></cell><cell r="AG5002" t="str"><v>Facebook»AZR»1x1»SocialBan»NA»ALL»DYN»RT»D»All»SS»NA»Free Account Retargeting VM - T2 - FR</v></cell><cell r="AH5002"><v>223691780</v></cell><cell r="AI5002" t="str"><v>AzurePlatform_FreeAcctRetargetingVMFB-OnDemand-ChE_CAN_1200x628_SOC_Plat_FR_Free Account_Standard_NA_SU_T2_1</v></cell><cell r="AJ5002"><v>103058726</v></cell></row><row r="5003"><cell r="C5003" t="str"><v>43317Facebook»DEV-ITP-AZR-FB|CanvasAds|Interesttargeting»1x1»TextLink»CAN»DT»CPM»AUT»W»NA»SS»NA»39684020-11000</v></cell><cell r="D5003" t="str"><v>43317224009494</v></cell><cell r="E5003" t="str"><v>43317103236186-11000</v></cell><cell r="F5003" t="str"><v>DCM</v></cell><cell r="G5003" t="str"><v>https://signup.azure.com/signup?offer=ms-azr-0044p&appId=102&ref=paidmedia-social-fb&redirectURL=https%3a%2f%2fazure.microsoft.com%2fde-de%2fget-started%2fwelcome-to-azure%2f&l=de-de&correlationId=ead86c34-1f10-49dd-a72b-6918462a2cbf</v></cell></row><row r="5003"><cell r="K5003" t="str"><v>August</v></cell><cell r="L5003"><v>43323</v></cell><cell r="M5003" t="str"><v>Tier 1</v></cell><cell r="N5003" t="str"><v>EMEA</v></cell><cell r="O5003" t="str"><v>Germany</v></cell><cell r="P5003" t="str"><v>Trial</v></cell><cell r="Q5003" t="str"><v>Social</v></cell><cell r="R5003" t="str"><v>Azure</v></cell><cell r="S5003" t="str"><v>Apps & Infra</v></cell><cell r="T5003" t="str"><v>Developers & ITI's</v></cell><cell r="U5003" t="str"><v>DEV-ITP-AZR-FB|CanvasAds|Interesttargeting</v></cell><cell r="V5003" t="str"><v>Audience Targeting</v></cell><cell r="W5003" t="str"><v>Canvas Ad</v></cell><cell r="X5003" t="str"><v>1x1</v></cell></row><row r="5003"><cell r="AA5003"><v>43317</v></cell><cell r="AB5003" t="str"><v>DEU_gaPMG_AZR_AZR_Q1_19_Trial-Social- 39684</v></cell><cell r="AC5003"><v>21359477</v></cell><cell r="AD5003"><v>720194</v></cell><cell r="AE5003" t="str"><v>Facebook</v></cell><cell r="AF5003"><v>3654128</v></cell><cell r="AG5003" t="str"><v>Facebook»DEV-ITP-AZR-FB|CanvasAds|Interesttargeting»1x1»TextLink»CAN»DT»CPM»AUT»W»NA»SS»NA»39684020-11000</v></cell><cell r="AH5003"><v>224009494</v></cell><cell r="AI5003" t="str"><v>AzurePlatform_FBCTCBasicMotion-StartFreeCT_DEU_10s_ISV_PLAT_DE_Trial_Standard_STAN_TN_T1_1</v></cell><cell r="AJ5003"><v>103236186</v></cell></row><row r="5004"><cell r="C5004" t="str"><v>43317Facebook»DEV-ITP-AZR-FB|CanvasAds|Interesttargeting»1x1»TextLink»CAN»DT»CPM»AUT»W»NA»SS»NA»39684020-11000</v></cell><cell r="D5004" t="str"><v>43317224009494</v></cell><cell r="E5004" t="str"><v>43317103236189-11000</v></cell><cell r="F5004" t="str"><v>DCM</v></cell><cell r="G5004" t="str"><v>https://azure.microsoft.com/de-de/pricing/purchase-options/</v></cell></row><row r="5004"><cell r="K5004" t="str"><v>August</v></cell><cell r="L5004"><v>43323</v></cell><cell r="M5004" t="str"><v>Tier 1</v></cell><cell r="N5004" t="str"><v>EMEA</v></cell><cell r="O5004" t="str"><v>Germany</v></cell><cell r="P5004" t="str"><v>Trial</v></cell><cell r="Q5004" t="str"><v>Social</v></cell><cell r="R5004" t="str"><v>Azure</v></cell><cell r="S5004" t="str"><v>Apps & Infra</v></cell><cell r="T5004" t="str"><v>Developers & ITI's</v></cell><cell r="U5004" t="str"><v>DEV-ITP-AZR-FB|CanvasAds|Interesttargeting</v></cell><cell r="V5004" t="str"><v>Audience Targeting</v></cell><cell r="W5004" t="str"><v>Canvas Ad</v></cell><cell r="X5004" t="str"><v>1x1</v></cell></row><row r="5004"><cell r="AA5004"><v>43317</v></cell><cell r="AB5004" t="str"><v>DEU_gaPMG_AZR_AZR_Q1_19_Trial-Social- 39684</v></cell><cell r="AC5004"><v>21359477</v></cell><cell r="AD5004"><v>720194</v></cell><cell r="AE5004" t="str"><v>Facebook</v></cell><cell r="AF5004"><v>3654128</v></cell><cell r="AG5004" t="str"><v>Facebook»DEV-ITP-AZR-FB|CanvasAds|Interesttargeting»1x1»TextLink»CAN»DT»CPM»AUT»W»NA»SS»NA»39684020-11000</v></cell><cell r="AH5004"><v>224009494</v></cell><cell r="AI5004" t="str"><v>AzurePlatform_FBCTCBenefit2inMotion-BuyNow_DEU_14s_ISV_PLAT_DE_Trial_Standard_STAN_TN_T4_1</v></cell><cell r="AJ5004"><v>103236189</v></cell></row><row r="5005"><cell r="C5005" t="str"><v>43317Facebook»DEV-ITP-AZR-FB|CanvasAds|Interesttargeting»1x1»TextLink»CAN»DT»CPM»AUT»W»NA»SS»NA»39684020-11000</v></cell><cell r="D5005" t="str"><v>43317224009494</v></cell><cell r="E5005" t="str"><v>43317103237290-11000</v></cell><cell r="F5005" t="str"><v>DCM</v></cell><cell r="G5005" t="str"><v>https://signup.azure.com/signup?offer=ms-azr-0044p&appId=102&ref=paidmedia-social-fb&redirectURL=https%3a%2f%2fazure.microsoft.com%2fde-de%2fget-started%2fwelcome-to-azure%2f&l=de-de&correlationId=ead86c34-1f10-49dd-a72b-6918462a2cbf</v></cell></row><row r="5005"><cell r="K5005" t="str"><v>August</v></cell><cell r="L5005"><v>43323</v></cell><cell r="M5005" t="str"><v>Tier 1</v></cell><cell r="N5005" t="str"><v>EMEA</v></cell><cell r="O5005" t="str"><v>Germany</v></cell><cell r="P5005" t="str"><v>Trial</v></cell><cell r="Q5005" t="str"><v>Social</v></cell><cell r="R5005" t="str"><v>Azure</v></cell><cell r="S5005" t="str"><v>Apps & Infra</v></cell><cell r="T5005" t="str"><v>Developers & ITI's</v></cell><cell r="U5005" t="str"><v>DEV-ITP-AZR-FB|CanvasAds|Interesttargeting</v></cell><cell r="V5005" t="str"><v>Audience Targeting</v></cell><cell r="W5005" t="str"><v>Canvas Ad</v></cell><cell r="X5005" t="str"><v>1x1</v></cell></row><row r="5005"><cell r="AA5005"><v>43317</v></cell><cell r="AB5005" t="str"><v>DEU_gaPMG_AZR_AZR_Q1_19_Trial-Social- 39684</v></cell><cell r="AC5005"><v>21359477</v></cell><cell r="AD5005"><v>720194</v></cell><cell r="AE5005" t="str"><v>Facebook</v></cell><cell r="AF5005"><v>3654128</v></cell><cell r="AG5005" t="str"><v>Facebook»DEV-ITP-AZR-FB|CanvasAds|Interesttargeting»1x1»TextLink»CAN»DT»CPM»AUT»W»NA»SS»NA»39684020-11000</v></cell><cell r="AH5005"><v>224009494</v></cell><cell r="AI5005" t="str"><v>AzurePlatform_FBCTCBenefit2inMotion-StartFreeCT_DEU_14s_ISV_PLAT_DE_Trial_Standard_STAN_TN_T4_1</v></cell><cell r="AJ5005"><v>103237290</v></cell></row><row r="5006"><cell r="C5006" t="str"><v>43317Facebook»DEV-ITP-AZR-FB|CanvasAds|Interesttargeting»1x1»TextLink»CAN»DT»CPM»AUT»W»NA»SS»NA»39684020-11000</v></cell><cell r="D5006" t="str"><v>43317224009494</v></cell><cell r="E5006" t="str"><v>43317103350059-11000</v></cell><cell r="F5006" t="str"><v>DCM</v></cell><cell r="G5006" t="str"><v>https://azure.microsoft.com/de-de/pricing/purchase-options/</v></cell></row><row r="5006"><cell r="K5006" t="str"><v>August</v></cell><cell r="L5006"><v>43323</v></cell><cell r="M5006" t="str"><v>Tier 1</v></cell><cell r="N5006" t="str"><v>EMEA</v></cell><cell r="O5006" t="str"><v>Germany</v></cell><cell r="P5006" t="str"><v>Trial</v></cell><cell r="Q5006" t="str"><v>Social</v></cell><cell r="R5006" t="str"><v>Azure</v></cell><cell r="S5006" t="str"><v>Apps & Infra</v></cell><cell r="T5006" t="str"><v>Developers & ITI's</v></cell><cell r="U5006" t="str"><v>DEV-ITP-AZR-FB|CanvasAds|Interesttargeting</v></cell><cell r="V5006" t="str"><v>Audience Targeting</v></cell><cell r="W5006" t="str"><v>Canvas Ad</v></cell><cell r="X5006" t="str"><v>1x1</v></cell></row><row r="5006"><cell r="AA5006"><v>43317</v></cell><cell r="AB5006" t="str"><v>DEU_gaPMG_AZR_AZR_Q1_19_Trial-Social- 39684</v></cell><cell r="AC5006"><v>21359477</v></cell><cell r="AD5006"><v>720194</v></cell><cell r="AE5006" t="str"><v>Facebook</v></cell><cell r="AF5006"><v>3654128</v></cell><cell r="AG5006" t="str"><v>Facebook»DEV-ITP-AZR-FB|CanvasAds|Interesttargeting»1x1»TextLink»CAN»DT»CPM»AUT»W»NA»SS»NA»39684020-11000</v></cell><cell r="AH5006"><v>224009494</v></cell><cell r="AI5006" t="str"><v>AzurePlatform_FBCTCBrandinMotion-BuyNow_DEU_12s_ISV_PLAT_DE_Trial_Standard_STAN_TN_T2_1</v></cell><cell r="AJ5006"><v>103350059</v></cell></row><row r="5007"><cell r="C5007" t="str"><v>43317Facebook»DEV-ITP-AZR-FB|CanvasAds|Interesttargeting»1x1»TextLink»CAN»DT»CPM»AUT»W»NA»SS»NA»39684020-11000</v></cell><cell r="D5007" t="str"><v>43317224009494</v></cell><cell r="E5007" t="str"><v>43317103237293-11000</v></cell><cell r="F5007" t="str"><v>DCM</v></cell><cell r="G5007" t="str"><v>https://signup.azure.com/signup?offer=ms-azr-0044p&appId=102&ref=paidmedia-social-fb&redirectURL=https%3a%2f%2fazure.microsoft.com%2fde-de%2fget-started%2fwelcome-to-azure%2f&l=de-de&correlationId=ead86c34-1f10-49dd-a72b-6918462a2cbf</v></cell></row><row r="5007"><cell r="K5007" t="str"><v>August</v></cell><cell r="L5007"><v>43323</v></cell><cell r="M5007" t="str"><v>Tier 1</v></cell><cell r="N5007" t="str"><v>EMEA</v></cell><cell r="O5007" t="str"><v>Germany</v></cell><cell r="P5007" t="str"><v>Trial</v></cell><cell r="Q5007" t="str"><v>Social</v></cell><cell r="R5007" t="str"><v>Azure</v></cell><cell r="S5007" t="str"><v>Apps & Infra</v></cell><cell r="T5007" t="str"><v>Developers & ITI's</v></cell><cell r="U5007" t="str"><v>DEV-ITP-AZR-FB|CanvasAds|Interesttargeting</v></cell><cell r="V5007" t="str"><v>Audience Targeting</v></cell><cell r="W5007" t="str"><v>Canvas Ad</v></cell><cell r="X5007" t="str"><v>1x1</v></cell></row><row r="5007"><cell r="AA5007"><v>43317</v></cell><cell r="AB5007" t="str"><v>DEU_gaPMG_AZR_AZR_Q1_19_Trial-Social- 39684</v></cell><cell r="AC5007"><v>21359477</v></cell><cell r="AD5007"><v>720194</v></cell><cell r="AE5007" t="str"><v>Facebook</v></cell><cell r="AF5007"><v>3654128</v></cell><cell r="AG5007" t="str"><v>Facebook»DEV-ITP-AZR-FB|CanvasAds|Interesttargeting»1x1»TextLink»CAN»DT»CPM»AUT»W»NA»SS»NA»39684020-11000</v></cell><cell r="AH5007"><v>224009494</v></cell><cell r="AI5007" t="str"><v>AzurePlatform_FBCTCBrandinMotion-StartFreeCT_DEU_12s_ISV_PLAT_DE_Trial_Standard_STAN_TN_T2_1</v></cell><cell r="AJ5007"><v>103237293</v></cell></row><row r="5008"><cell r="C5008" t="str"><v>43317Facebook»DEV-ITP-AZR-FB|LinkAd|CustomerAudienceRetargeting»1x1»TextLink»LIA»DT»CPM»RT»W»NA»SS»NA»39684019-11000</v></cell><cell r="D5008" t="str"><v>43317224010415</v></cell><cell r="E5008" t="str"><v>43317103048548-11000</v></cell><cell r="F5008" t="str"><v>DCM</v></cell><cell r="G5008" t="str"><v>https://azure.microsoft.com/de-de/free/search/</v></cell></row><row r="5008"><cell r="K5008" t="str"><v>August</v></cell><cell r="L5008"><v>43323</v></cell><cell r="M5008" t="str"><v>Tier 1</v></cell><cell r="N5008" t="str"><v>EMEA</v></cell><cell r="O5008" t="str"><v>Germany</v></cell><cell r="P5008" t="str"><v>Trial</v></cell><cell r="Q5008" t="str"><v>Social</v></cell><cell r="R5008" t="str"><v>Azure</v></cell><cell r="S5008" t="str"><v>Apps & Infra</v></cell><cell r="T5008" t="str"><v>Developers & ITI's</v></cell><cell r="U5008" t="str"><v>DEV-ITP-AZR-FB|LinkAd|CustomerAudienceRetargeting</v></cell><cell r="V5008" t="str"><v>Retargeting</v></cell><cell r="W5008" t="str"><v>Link Ad</v></cell><cell r="X5008" t="str"><v>1x1</v></cell></row><row r="5008"><cell r="AA5008"><v>43317</v></cell><cell r="AB5008" t="str"><v>DEU_gaPMG_AZR_AZR_Q1_19_Trial-Social- 39684</v></cell><cell r="AC5008"><v>21359477</v></cell><cell r="AD5008"><v>720194</v></cell><cell r="AE5008" t="str"><v>Facebook</v></cell><cell r="AF5008"><v>3654128</v></cell><cell r="AG5008" t="str"><v>Facebook»DEV-ITP-AZR-FB|LinkAd|CustomerAudienceRetargeting»1x1»TextLink»LIA»DT»CPM»RT»W»NA»SS»NA»39684019-11000</v></cell><cell r="AH5008"><v>224010415</v></cell><cell r="AI5008" t="str"><v>AzurePlatform_FreeAcctRetargetingFB-Animated-ChC_DEU_1200x628_SOC_Plat_DE_Free Account_Standard_ANI_SNU_T3_1</v></cell><cell r="AJ5008"><v>103048548</v></cell></row><row r="5009"><cell r="C5009" t="str"><v>43317Facebook»DEV-ITP-AZR-FB|LinkAd|CustomerAudienceRetargeting»1x1»TextLink»LIA»DT»CPM»RT»W»NA»SS»NA»39684019-11000</v></cell><cell r="D5009" t="str"><v>43317224010415</v></cell><cell r="E5009" t="str"><v>43317103043329-11000</v></cell><cell r="F5009" t="str"><v>DCM</v></cell><cell r="G5009" t="str"><v>https://azure.microsoft.com/de-de/free/open-source/search/</v></cell></row><row r="5009"><cell r="K5009" t="str"><v>August</v></cell><cell r="L5009"><v>43323</v></cell><cell r="M5009" t="str"><v>Tier 1</v></cell><cell r="N5009" t="str"><v>EMEA</v></cell><cell r="O5009" t="str"><v>Germany</v></cell><cell r="P5009" t="str"><v>Trial</v></cell><cell r="Q5009" t="str"><v>Social</v></cell><cell r="R5009" t="str"><v>Azure</v></cell><cell r="S5009" t="str"><v>Apps & Infra</v></cell><cell r="T5009" t="str"><v>Developers & ITI's</v></cell><cell r="U5009" t="str"><v>DEV-ITP-AZR-FB|LinkAd|CustomerAudienceRetargeting</v></cell><cell r="V5009" t="str"><v>Retargeting</v></cell><cell r="W5009" t="str"><v>Link Ad</v></cell><cell r="X5009" t="str"><v>1x1</v></cell></row><row r="5009"><cell r="AA5009"><v>43317</v></cell><cell r="AB5009" t="str"><v>DEU_gaPMG_AZR_AZR_Q1_19_Trial-Social- 39684</v></cell><cell r="AC5009"><v>21359477</v></cell><cell r="AD5009"><v>720194</v></cell><cell r="AE5009" t="str"><v>Facebook</v></cell><cell r="AF5009"><v>3654128</v></cell><cell r="AG5009" t="str"><v>Facebook»DEV-ITP-AZR-FB|LinkAd|CustomerAudienceRetargeting»1x1»TextLink»LIA»DT»CPM»RT»W»NA»SS»NA»39684019-11000</v></cell><cell r="AH5009"><v>224010415</v></cell><cell r="AI5009" t="str"><v>AzurePlatform_FreeAcctRetargetingOSSFB-Logos-ChG_DEU_1200x628_SOC_Plat_DE_Free Account_Standard_NA_SNU_T2_1</v></cell><cell r="AJ5009"><v>103043329</v></cell></row><row r="5010"><cell r="C5010" t="str"><v>43317Facebook»DEV-ITP-AZR-FB|LinkAd|CustomerAudienceRetargeting»1x1»TextLink»LIA»DT»CPM»RT»W»NA»SS»NA»39684019-11000</v></cell><cell r="D5010" t="str"><v>43317224010415</v></cell><cell r="E5010" t="str"><v>43317103055394-11000</v></cell><cell r="F5010" t="str"><v>DCM</v></cell><cell r="G5010" t="str"><v>https://azure.microsoft.com/de-de/free/open-source/search/</v></cell></row><row r="5010"><cell r="K5010" t="str"><v>August</v></cell><cell r="L5010"><v>43323</v></cell><cell r="M5010" t="str"><v>Tier 1</v></cell><cell r="N5010" t="str"><v>EMEA</v></cell><cell r="O5010" t="str"><v>Germany</v></cell><cell r="P5010" t="str"><v>Trial</v></cell><cell r="Q5010" t="str"><v>Social</v></cell><cell r="R5010" t="str"><v>Azure</v></cell><cell r="S5010" t="str"><v>Apps & Infra</v></cell><cell r="T5010" t="str"><v>Developers & ITI's</v></cell><cell r="U5010" t="str"><v>DEV-ITP-AZR-FB|LinkAd|CustomerAudienceRetargeting</v></cell><cell r="V5010" t="str"><v>Retargeting</v></cell><cell r="W5010" t="str"><v>Link Ad</v></cell><cell r="X5010" t="str"><v>1x1</v></cell></row><row r="5010"><cell r="AA5010"><v>43317</v></cell><cell r="AB5010" t="str"><v>DEU_gaPMG_AZR_AZR_Q1_19_Trial-Social- 39684</v></cell><cell r="AC5010"><v>21359477</v></cell><cell r="AD5010"><v>720194</v></cell><cell r="AE5010" t="str"><v>Facebook</v></cell><cell r="AF5010"><v>3654128</v></cell><cell r="AG5010" t="str"><v>Facebook»DEV-ITP-AZR-FB|LinkAd|CustomerAudienceRetargeting»1x1»TextLink»LIA»DT»CPM»RT»W»NA»SS»NA»39684019-11000</v></cell><cell r="AH5010"><v>224010415</v></cell><cell r="AI5010" t="str"><v>AzurePlatform_FreeAcctRetargetingOSSFB-Text-ChF_DEU_1200x628_SOC_Plat_DE_Free Account_Standard_NA_SNU_T1_1</v></cell><cell r="AJ5010"><v>103055394</v></cell></row><row r="5011"><cell r="C5011" t="str"><v>43317Facebook»DEV-ITP-AZR-FB|LinkAd|CustomerAudienceRetargeting»1x1»TextLink»LIA»DT»CPM»RT»W»NA»SS»NA»39684019-11000</v></cell><cell r="D5011" t="str"><v>43317224010415</v></cell><cell r="E5011" t="str"><v>43317103043341-11000</v></cell><cell r="F5011" t="str"><v>DCM</v></cell><cell r="G5011" t="str"><v>https://azure.microsoft.com/de-de/free/virtual-machines/search/</v></cell></row><row r="5011"><cell r="K5011" t="str"><v>August</v></cell><cell r="L5011"><v>43323</v></cell><cell r="M5011" t="str"><v>Tier 1</v></cell><cell r="N5011" t="str"><v>EMEA</v></cell><cell r="O5011" t="str"><v>Germany</v></cell><cell r="P5011" t="str"><v>Trial</v></cell><cell r="Q5011" t="str"><v>Social</v></cell><cell r="R5011" t="str"><v>Azure</v></cell><cell r="S5011" t="str"><v>Apps & Infra</v></cell><cell r="T5011" t="str"><v>Developers & ITI's</v></cell><cell r="U5011" t="str"><v>DEV-ITP-AZR-FB|LinkAd|CustomerAudienceRetargeting</v></cell><cell r="V5011" t="str"><v>Retargeting</v></cell><cell r="W5011" t="str"><v>Link Ad</v></cell><cell r="X5011" t="str"><v>1x1</v></cell></row><row r="5011"><cell r="AA5011"><v>43317</v></cell><cell r="AB5011" t="str"><v>DEU_gaPMG_AZR_AZR_Q1_19_Trial-Social- 39684</v></cell><cell r="AC5011"><v>21359477</v></cell><cell r="AD5011"><v>720194</v></cell><cell r="AE5011" t="str"><v>Facebook</v></cell><cell r="AF5011"><v>3654128</v></cell><cell r="AG5011" t="str"><v>Facebook»DEV-ITP-AZR-FB|LinkAd|CustomerAudienceRetargeting»1x1»TextLink»LIA»DT»CPM»RT»W»NA»SS»NA»39684019-11000</v></cell><cell r="AH5011"><v>224010415</v></cell><cell r="AI5011" t="str"><v>AzurePlatform_FreeAcctRetargetingVMFB-750Hrs-ChD_DEU_1200x628_SOC_Plat_DE_Free Account_Standard_NA_SNU_T1_1</v></cell><cell r="AJ5011"><v>103043341</v></cell></row><row r="5012"><cell r="C5012" t="str"><v>43317Facebook»DEV-ITP-AZR-FB|LinkAd|CustomerAudienceRetargeting»1x1»TextLink»LIA»DT»CPM»RT»W»NA»SS»NA»39684019-11000</v></cell><cell r="D5012" t="str"><v>43317224010415</v></cell><cell r="E5012" t="str"><v>43317103043338-11000</v></cell><cell r="F5012" t="str"><v>DCM</v></cell><cell r="G5012" t="str"><v>https://azure.microsoft.com/de-de/free/virtual-machines/search/</v></cell></row><row r="5012"><cell r="K5012" t="str"><v>August</v></cell><cell r="L5012"><v>43323</v></cell><cell r="M5012" t="str"><v>Tier 1</v></cell><cell r="N5012" t="str"><v>EMEA</v></cell><cell r="O5012" t="str"><v>Germany</v></cell><cell r="P5012" t="str"><v>Trial</v></cell><cell r="Q5012" t="str"><v>Social</v></cell><cell r="R5012" t="str"><v>Azure</v></cell><cell r="S5012" t="str"><v>Apps & Infra</v></cell><cell r="T5012" t="str"><v>Developers & ITI's</v></cell><cell r="U5012" t="str"><v>DEV-ITP-AZR-FB|LinkAd|CustomerAudienceRetargeting</v></cell><cell r="V5012" t="str"><v>Retargeting</v></cell><cell r="W5012" t="str"><v>Link Ad</v></cell><cell r="X5012" t="str"><v>1x1</v></cell></row><row r="5012"><cell r="AA5012"><v>43317</v></cell><cell r="AB5012" t="str"><v>DEU_gaPMG_AZR_AZR_Q1_19_Trial-Social- 39684</v></cell><cell r="AC5012"><v>21359477</v></cell><cell r="AD5012"><v>720194</v></cell><cell r="AE5012" t="str"><v>Facebook</v></cell><cell r="AF5012"><v>3654128</v></cell><cell r="AG5012" t="str"><v>Facebook»DEV-ITP-AZR-FB|LinkAd|CustomerAudienceRetargeting»1x1»TextLink»LIA»DT»CPM»RT»W»NA»SS»NA»39684019-11000</v></cell><cell r="AH5012"><v>224010415</v></cell><cell r="AI5012" t="str"><v>AzurePlatform_FreeAcctRetargetingVMFB-OnDemand-ChE_DEU_1200x628_SOC_Plat_DE_Free Account_Standard_NA_SNU_T2_1</v></cell><cell r="AJ5012"><v>103043338</v></cell></row><row r="5013"><cell r="C5013" t="str"><v>43317Facebook»Developers/ITPros-Azure Direct-Sponsored Post-Canvas-FBCTCcanvaspage-BuyNowCTA-Img3_FBCTCBasicMotion_FRA_10sec»1x1»Canvas»SOC»ALL»CPC»BT»D»UNK»SS»NA»Trials</v></cell><cell r="D5013" t="str"><v>43317224369893</v></cell><cell r="E5013" t="str"><v>43317103256571Trials</v></cell><cell r="F5013" t="str"><v>DCM</v></cell><cell r="G5013" t="str"><v>https://azure.microsoft.com/fr-fr/pricing/purchase-options/</v></cell></row><row r="5013"><cell r="K5013" t="str"><v>August</v></cell><cell r="L5013"><v>43323</v></cell><cell r="M5013" t="str"><v>Tier 1</v></cell><cell r="N5013" t="str"><v>EMEA</v></cell><cell r="O5013" t="str"><v>France</v></cell><cell r="P5013" t="str"><v>Trial</v></cell><cell r="Q5013" t="str"><v>Social</v></cell><cell r="R5013" t="str"><v>Azure</v></cell><cell r="S5013" t="str"><v>Apps & Infra</v></cell><cell r="T5013" t="str"><v>Developers & ITI's</v></cell><cell r="U5013" t="str"><v>Developers/ITPros-Azure Direct-Sponsored Post-Canvas-FBCTCcanvaspage-BuyNowCTA-Img3_FBCTCBasicMotion_FRA_10sec</v></cell><cell r="V5013" t="str"><v>Behavioral Targeting</v></cell><cell r="W5013" t="str"><v>Social</v></cell><cell r="X5013" t="str"><v>1x1</v></cell></row><row r="5013"><cell r="AA5013"><v>43317</v></cell><cell r="AB5013" t="str"><v>FRA_gaPMG_AZR_AZR_Q1_19_AzureDirect-Trial-Social</v></cell><cell r="AC5013"><v>21356941</v></cell><cell r="AD5013"><v>720193</v></cell><cell r="AE5013" t="str"><v>Facebook</v></cell><cell r="AF5013"><v>3654128</v></cell><cell r="AG5013" t="str"><v>Facebook»Developers/ITPros-Azure Direct-Sponsored Post-Canvas-FBCTCcanvaspage-BuyNowCTA-Img3_FBCTCBasicMotion_FRA_10sec»1x1»Canvas»SOC»ALL»CPC»BT»D»UNK»SS»NA»Trials</v></cell><cell r="AH5013"><v>224369893</v></cell><cell r="AI5013" t="str"><v>AZR_FBCTCcanvaspage-BuyNowCTA-Img3_FRA_1080x162_SOC_AZRDirect_French_NA_Facebook_SBAN_BN_T3_1</v></cell><cell r="AJ5013"><v>103256571</v></cell></row><row r="5014"><cell r="C5014" t="str"><v>43317Facebook»Developers/ITPros-Azure Direct-Sponsored Post-Canvas-FBCTCcanvaspage-BuyNowCTA-Img3_FBCTCBrandinMotion_FRA_14sec»1x1»Canvas»SOC»ALL»CPC»BT»D»UNK»SS»NA»Trials</v></cell><cell r="D5014" t="str"><v>43317224416918</v></cell><cell r="E5014" t="str"><v>43317103256571Trials</v></cell><cell r="F5014" t="str"><v>DCM</v></cell><cell r="G5014" t="str"><v>https://azure.microsoft.com/fr-fr/pricing/purchase-options/</v></cell></row><row r="5014"><cell r="K5014" t="str"><v>August</v></cell><cell r="L5014"><v>43323</v></cell><cell r="M5014" t="str"><v>Tier 1</v></cell><cell r="N5014" t="str"><v>EMEA</v></cell><cell r="O5014" t="str"><v>France</v></cell><cell r="P5014" t="str"><v>Trial</v></cell><cell r="Q5014" t="str"><v>Social</v></cell><cell r="R5014" t="str"><v>Azure</v></cell><cell r="S5014" t="str"><v>Apps & Infra</v></cell><cell r="T5014" t="str"><v>Developers & ITI's</v></cell><cell r="U5014" t="str"><v>Developers/ITPros-Azure Direct-Sponsored Post-Canvas-FBCTCcanvaspage-BuyNowCTA-Img3_FBCTCBrandinMotion_FRA_14sec</v></cell><cell r="V5014" t="str"><v>Behavioral Targeting</v></cell><cell r="W5014" t="str"><v>Social</v></cell><cell r="X5014" t="str"><v>1x1</v></cell></row><row r="5014"><cell r="AA5014"><v>43317</v></cell><cell r="AB5014" t="str"><v>FRA_gaPMG_AZR_AZR_Q1_19_AzureDirect-Trial-Social</v></cell><cell r="AC5014"><v>21356941</v></cell><cell r="AD5014"><v>720193</v></cell><cell r="AE5014" t="str"><v>Facebook</v></cell><cell r="AF5014"><v>3654128</v></cell><cell r="AG5014" t="str"><v>Facebook»Developers/ITPros-Azure Direct-Sponsored Post-Canvas-FBCTCcanvaspage-BuyNowCTA-Img3_FBCTCBrandinMotion_FRA_14sec»1x1»Canvas»SOC»ALL»CPC»BT»D»UNK»SS»NA»Trials</v></cell><cell r="AH5014"><v>224416918</v></cell><cell r="AI5014" t="str"><v>AZR_FBCTCcanvaspage-BuyNowCTA-Img3_FRA_1080x162_SOC_AZRDirect_French_NA_Facebook_SBAN_BN_T3_1</v></cell><cell r="AJ5014"><v>103256571</v></cell></row><row r="5015"><cell r="C5015" t="str"><v>43317Facebook»Developers/ITPros-Azure Direct-Sponsored Post-Canvas-FBCTCcanvaspage-StartFreeCTA-Img2_FBCTCBasicMotion_FRA_10sec»1x1»Canvas»SOC»ALL»CPC»BT»D»UNK»SS»NA»Trials</v></cell><cell r="D5015" t="str"><v>43317224560884</v></cell><cell r="E5015" t="str"><v>43317103259958Trials</v></cell><cell r="F5015" t="str"><v>DCM</v></cell><cell r="G5015" t="str"><v>https://signup.azure.com/signup?offer=ms-azr-0044p&appId=102&ref=paidmedia-social-fb&redirectURL=https%3a%2f%2fazure.microsoft.com%2ffr-fr%2fget-started%2fwelcome-to-azure%2f&l=fr-fr&correlationId=ead86c34-1f10-49dd-a72b-6918462a2cbf</v></cell></row><row r="5015"><cell r="K5015" t="str"><v>August</v></cell><cell r="L5015"><v>43323</v></cell><cell r="M5015" t="str"><v>Tier 1</v></cell><cell r="N5015" t="str"><v>EMEA</v></cell><cell r="O5015" t="str"><v>France</v></cell><cell r="P5015" t="str"><v>Trial</v></cell><cell r="Q5015" t="str"><v>Social</v></cell><cell r="R5015" t="str"><v>Azure</v></cell><cell r="S5015" t="str"><v>Apps & Infra</v></cell><cell r="T5015" t="str"><v>Developers & ITI's</v></cell><cell r="U5015" t="str"><v>Developers/ITPros-Azure Direct-Sponsored Post-Canvas-FBCTCcanvaspage-StartFreeCTA-Img2_FBCTCBasicMotion_FRA_10sec</v></cell><cell r="V5015" t="str"><v>Behavioral Targeting</v></cell><cell r="W5015" t="str"><v>Social</v></cell><cell r="X5015" t="str"><v>1x1</v></cell></row><row r="5015"><cell r="AA5015"><v>43317</v></cell><cell r="AB5015" t="str"><v>FRA_gaPMG_AZR_AZR_Q1_19_AzureDirect-Trial-Social</v></cell><cell r="AC5015"><v>21356941</v></cell><cell r="AD5015"><v>720193</v></cell><cell r="AE5015" t="str"><v>Facebook</v></cell><cell r="AF5015"><v>3654128</v></cell><cell r="AG5015" t="str"><v>Facebook»Developers/ITPros-Azure Direct-Sponsored Post-Canvas-FBCTCcanvaspage-StartFreeCTA-Img2_FBCTCBasicMotion_FRA_10sec»1x1»Canvas»SOC»ALL»CPC»BT»D»UNK»SS»NA»Trials</v></cell><cell r="AH5015"><v>224560884</v></cell><cell r="AI5015" t="str"><v>AZR_FBCTCcanvaspage-StartFreeCTA-Img2_FRA_1080x143_SOC_AZRDirect_French_NA_Facebook_SBAN_BN_T2_1</v></cell><cell r="AJ5015"><v>103259958</v></cell></row><row r="5016"><cell r="C5016" t="str"><v>43317Facebook»Developers/ITPros-Azure Direct-Sponsored Post-Canvas-FBCTCcanvaspage-StartFreeCTA-Img2_FBCTCBrandinMotion_FRA_14sec»1x1»Canvas»SOC»ALL»CPC»BT»D»UNK»SS»NA»Trials</v></cell><cell r="D5016" t="str"><v>43317224560872</v></cell><cell r="E5016" t="str"><v>43317103259958Trials</v></cell><cell r="F5016" t="str"><v>DCM</v></cell><cell r="G5016" t="str"><v>https://signup.azure.com/signup?offer=ms-azr-0044p&appId=102&ref=paidmedia-social-fb&redirectURL=https%3a%2f%2fazure.microsoft.com%2ffr-fr%2fget-started%2fwelcome-to-azure%2f&l=fr-fr&correlationId=ead86c34-1f10-49dd-a72b-6918462a2cbf</v></cell></row><row r="5016"><cell r="K5016" t="str"><v>August</v></cell><cell r="L5016"><v>43323</v></cell><cell r="M5016" t="str"><v>Tier 1</v></cell><cell r="N5016" t="str"><v>EMEA</v></cell><cell r="O5016" t="str"><v>France</v></cell><cell r="P5016" t="str"><v>Trial</v></cell><cell r="Q5016" t="str"><v>Social</v></cell><cell r="R5016" t="str"><v>Azure</v></cell><cell r="S5016" t="str"><v>Apps & Infra</v></cell><cell r="T5016" t="str"><v>Developers & ITI's</v></cell><cell r="U5016" t="str"><v>Developers/ITPros-Azure Direct-Sponsored Post-Canvas-FBCTCcanvaspage-StartFreeCTA-Img2_FBCTCBrandinMotion_FRA_14sec</v></cell><cell r="V5016" t="str"><v>Behavioral Targeting</v></cell><cell r="W5016" t="str"><v>Social</v></cell><cell r="X5016" t="str"><v>1x1</v></cell></row><row r="5016"><cell r="AA5016"><v>43317</v></cell><cell r="AB5016" t="str"><v>FRA_gaPMG_AZR_AZR_Q1_19_AzureDirect-Trial-Social</v></cell><cell r="AC5016"><v>21356941</v></cell><cell r="AD5016"><v>720193</v></cell><cell r="AE5016" t="str"><v>Facebook</v></cell><cell r="AF5016"><v>3654128</v></cell><cell r="AG5016" t="str"><v>Facebook»Developers/ITPros-Azure Direct-Sponsored Post-Canvas-FBCTCcanvaspage-StartFreeCTA-Img2_FBCTCBrandinMotion_FRA_14sec»1x1»Canvas»SOC»ALL»CPC»BT»D»UNK»SS»NA»Trials</v></cell><cell r="AH5016"><v>224560872</v></cell><cell r="AI5016" t="str"><v>AZR_FBCTCcanvaspage-StartFreeCTA-Img2_FRA_1080x143_SOC_AZRDirect_French_NA_Facebook_SBAN_BN_T2_1</v></cell><cell r="AJ5016"><v>103259958</v></cell></row><row r="5017"><cell r="C5017" t="str"><v>43317Facebook»Developers/ITPros-Azure Direct-Sponsored Post-Link Ad-FreeAcctRetargetingFB-GlobalAlt-ChB»1x1»SocialBan»SOC»ALL»CPC»BT»D»UNK»SS»NA»Trials</v></cell><cell r="D5017" t="str"><v>43317224560845</v></cell><cell r="E5017" t="str"><v>43317103259520Trials</v></cell><cell r="F5017" t="str"><v>DCM</v></cell><cell r="G5017" t="str"><v>https://azure.microsoft.com/fr-fr/free/search/</v></cell></row><row r="5017"><cell r="K5017" t="str"><v>August</v></cell><cell r="L5017"><v>43323</v></cell><cell r="M5017" t="str"><v>Tier 1</v></cell><cell r="N5017" t="str"><v>EMEA</v></cell><cell r="O5017" t="str"><v>France</v></cell><cell r="P5017" t="str"><v>Trial</v></cell><cell r="Q5017" t="str"><v>Social</v></cell><cell r="R5017" t="str"><v>Azure</v></cell><cell r="S5017" t="str"><v>Apps & Infra</v></cell><cell r="T5017" t="str"><v>Developers & ITI's</v></cell><cell r="U5017" t="str"><v>Developers/ITPros-Azure Direct-Sponsored Post-Link Ad-FreeAcctRetargetingFB-GlobalAlt-ChB</v></cell><cell r="V5017" t="str"><v>Behavioral Targeting</v></cell><cell r="W5017" t="str"><v>Social</v></cell><cell r="X5017" t="str"><v>1x1</v></cell></row><row r="5017"><cell r="AA5017"><v>43317</v></cell><cell r="AB5017" t="str"><v>FRA_gaPMG_AZR_AZR_Q1_19_AzureDirect-Trial-Social</v></cell><cell r="AC5017"><v>21356941</v></cell><cell r="AD5017"><v>720193</v></cell><cell r="AE5017" t="str"><v>Facebook</v></cell><cell r="AF5017"><v>3654128</v></cell><cell r="AG5017" t="str"><v>Facebook»Developers/ITPros-Azure Direct-Sponsored Post-Link Ad-FreeAcctRetargetingFB-GlobalAlt-ChB»1x1»SocialBan»SOC»ALL»CPC»BT»D»UNK»SS»NA»Trials</v></cell><cell r="AH5017"><v>224560845</v></cell><cell r="AI5017" t="str"><v>AZR_FreeAcctRetargetingFB-GlobalAlt-ChB_FRA_1200x628_SOC_AZRDirect_French_NA_Facebook_SBAN_SINU_T2_1</v></cell><cell r="AJ5017"><v>103259520</v></cell></row><row r="5018"><cell r="C5018" t="str"><v>43317Facebook»Developers/ITPros-Azure Direct-Sponsored Post-Video Ad-FBCTCBasicMotion_FRA_10s_RTG Landing Page»1x1»05s»SOC»ALL»CPC»BT»D»UNK»SS»NA»Trials</v></cell><cell r="D5018" t="str"><v>43317224416915</v></cell><cell r="E5018" t="str"><v>43317103376981Trials</v></cell><cell r="F5018" t="str"><v>DCM</v></cell></row><row r="5018"><cell r="K5018" t="str"><v>August</v></cell><cell r="L5018"><v>43323</v></cell><cell r="M5018" t="str"><v>Tier 1</v></cell><cell r="N5018" t="str"><v>EMEA</v></cell><cell r="O5018" t="str"><v>France</v></cell><cell r="P5018" t="str"><v>Trial</v></cell><cell r="Q5018" t="str"><v>Social</v></cell><cell r="R5018" t="str"><v>Azure</v></cell><cell r="S5018" t="str"><v>Apps & Infra</v></cell><cell r="T5018" t="str"><v>Developers & ITI's</v></cell><cell r="U5018" t="str"><v>Developers/ITPros-Azure Direct-Sponsored Post-Video Ad-FBCTCBasicMotion_FRA_10s_RTG Landing Page</v></cell><cell r="V5018" t="str"><v>Behavioral Targeting</v></cell><cell r="W5018" t="str"><v>Social</v></cell><cell r="X5018" t="str"><v>1x1</v></cell></row><row r="5018"><cell r="AA5018"><v>43317</v></cell><cell r="AB5018" t="str"><v>FRA_gaPMG_AZR_AZR_Q1_19_AzureDirect-Trial-Social</v></cell><cell r="AC5018"><v>21356941</v></cell><cell r="AD5018"><v>720193</v></cell><cell r="AE5018" t="str"><v>Facebook</v></cell><cell r="AF5018"><v>3654128</v></cell><cell r="AG5018" t="str"><v>Facebook»Developers/ITPros-Azure Direct-Sponsored Post-Video Ad-FBCTCBasicMotion_FRA_10s_RTG Landing Page»1x1»05s»SOC»ALL»CPC»BT»D»UNK»SS»NA»Trials</v></cell><cell r="AH5018"><v>224416915</v></cell><cell r="AI5018" t="str"><v>AZR_FBCTCBasicMotion_FRA_10s_VIA_AZRDirect_French_NA_Facebook_STAN_TIN_T1_1</v></cell><cell r="AJ5018"><v>103376981</v></cell></row><row r="5019"><cell r="C5019" t="str"><v>43317Facebook»Developers/ITPros-Azure Direct-Sponsored Post-Video Ad-FBCTCBenefit2inMotion_FRA_14s_RTG Landing Page»1x1»06s»SOC»ALL»CPC»BT»D»UNK»SS»NA»Trials</v></cell><cell r="D5019" t="str"><v>43317224560875</v></cell><cell r="E5019" t="str"><v>43317103259766Trials</v></cell><cell r="F5019" t="str"><v>DCM</v></cell><cell r="G5019" t="str"><v>https://signup.azure.com/signup?offer=ms-azr-0044p&appId=102&ref=paidmedia-social-fb&redirectURL=https:%2F%2Fazure.microsoft.com%2Ffr-fr%2Fget-started%2Fwelcome-to-azure%2F&l=fr-fr&correlationId=ead86c34-1f10-49dd-a72b-6918462a2cbf</v></cell></row><row r="5019"><cell r="K5019" t="str"><v>August</v></cell><cell r="L5019"><v>43323</v></cell><cell r="M5019" t="str"><v>Tier 1</v></cell><cell r="N5019" t="str"><v>EMEA</v></cell><cell r="O5019" t="str"><v>France</v></cell><cell r="P5019" t="str"><v>Trial</v></cell><cell r="Q5019" t="str"><v>Social</v></cell><cell r="R5019" t="str"><v>Azure</v></cell><cell r="S5019" t="str"><v>Apps & Infra</v></cell><cell r="T5019" t="str"><v>Developers & ITI's</v></cell><cell r="U5019" t="str"><v>Developers/ITPros-Azure Direct-Sponsored Post-Video Ad-FBCTCBenefit2inMotion_FRA_14s_RTG Landing Page</v></cell><cell r="V5019" t="str"><v>Behavioral Targeting</v></cell><cell r="W5019" t="str"><v>Social</v></cell><cell r="X5019" t="str"><v>1x1</v></cell></row><row r="5019"><cell r="AA5019"><v>43317</v></cell><cell r="AB5019" t="str"><v>FRA_gaPMG_AZR_AZR_Q1_19_AzureDirect-Trial-Social</v></cell><cell r="AC5019"><v>21356941</v></cell><cell r="AD5019"><v>720193</v></cell><cell r="AE5019" t="str"><v>Facebook</v></cell><cell r="AF5019"><v>3654128</v></cell><cell r="AG5019" t="str"><v>Facebook»Developers/ITPros-Azure Direct-Sponsored Post-Video Ad-FBCTCBenefit2inMotion_FRA_14s_RTG Landing Page»1x1»06s»SOC»ALL»CPC»BT»D»UNK»SS»NA»Trials</v></cell><cell r="AH5019"><v>224560875</v></cell><cell r="AI5019" t="str"><v>AZR_FBCTCBenefit2inMotion_FRA_14s_VIA_AZRDirect_French_NA_Facebook_STAN_TIN_T4_1</v></cell><cell r="AJ5019"><v>103259766</v></cell></row><row r="5020"><cell r="C5020" t="str"><v>43317Facebook»Developers/ITPros-Azure Direct-Sponsored Post-Video Ad-FBCTCBrandinMotion_FRA_12s_RTG Landing Page»1x1»05s»SOC»ALL»CPC»BT»D»UNK»SS»NA»Trials</v></cell><cell r="D5020" t="str"><v>43317224560863</v></cell><cell r="E5020" t="str"><v>43317103256577Trials</v></cell><cell r="F5020" t="str"><v>DCM</v></cell></row><row r="5020"><cell r="K5020" t="str"><v>August</v></cell><cell r="L5020"><v>43323</v></cell><cell r="M5020" t="str"><v>Tier 1</v></cell><cell r="N5020" t="str"><v>EMEA</v></cell><cell r="O5020" t="str"><v>France</v></cell><cell r="P5020" t="str"><v>Trial</v></cell><cell r="Q5020" t="str"><v>Social</v></cell><cell r="R5020" t="str"><v>Azure</v></cell><cell r="S5020" t="str"><v>Apps & Infra</v></cell><cell r="T5020" t="str"><v>Developers & ITI's</v></cell><cell r="U5020" t="str"><v>Developers/ITPros-Azure Direct-Sponsored Post-Video Ad-FBCTCBrandinMotion_FRA_12s_RTG Landing Page</v></cell><cell r="V5020" t="str"><v>Behavioral Targeting</v></cell><cell r="W5020" t="str"><v>Social</v></cell><cell r="X5020" t="str"><v>1x1</v></cell></row><row r="5020"><cell r="AA5020"><v>43317</v></cell><cell r="AB5020" t="str"><v>FRA_gaPMG_AZR_AZR_Q1_19_AzureDirect-Trial-Social</v></cell><cell r="AC5020"><v>21356941</v></cell><cell r="AD5020"><v>720193</v></cell><cell r="AE5020" t="str"><v>Facebook</v></cell><cell r="AF5020"><v>3654128</v></cell><cell r="AG5020" t="str"><v>Facebook»Developers/ITPros-Azure Direct-Sponsored Post-Video Ad-FBCTCBrandinMotion_FRA_12s_RTG Landing Page»1x1»05s»SOC»ALL»CPC»BT»D»UNK»SS»NA»Trials</v></cell><cell r="AH5020"><v>224560863</v></cell><cell r="AI5020" t="str"><v>AZR_FBCTCBrandinMotion_FRA_12s_VIA_AZRDirect_French_NA_Facebook_STAN_TIN_T2_1</v></cell><cell r="AJ5020"><v>103256577</v></cell></row><row r="5021"><cell r="C5021" t="str"><v>43317Facebook»Audience & Interest Targeting»1x1»SocialBan»LIA»DT»CPC»AUT»W»NA»SS»NA»Basic Motion</v></cell><cell r="D5021" t="str"><v>43317224399962</v></cell><cell r="E5021" t="str"><v>43317103235146Motion</v></cell><cell r="F5021" t="str"><v>DCM</v></cell><cell r="G5021" t="str"><v>https://signup.azure.com/signup?offer=ms-azr-0044p&appId=102&ref=paidmedia-social-fb&redirectURL=https%3a%2f%2fazure.microsoft.com%2fen-gb%2fget-started%2fwelcome-to-azure%2f&l=en-gb&correlationId=ead86c34-1f10-49dd-a72b-6918462a2cbf</v></cell></row><row r="5021"><cell r="K5021" t="str"><v>August</v></cell><cell r="L5021"><v>43323</v></cell><cell r="M5021" t="str"><v>Tier 1</v></cell><cell r="N5021" t="str"><v>EMEA</v></cell><cell r="O5021" t="str"><v>United Kingdom</v></cell><cell r="P5021" t="str"><v>Trial</v></cell><cell r="Q5021" t="str"><v>Social</v></cell><cell r="R5021" t="str"><v>Azure</v></cell><cell r="S5021" t="str"><v>Apps & Infra</v></cell><cell r="T5021" t="str"><v>Developers & ITI's</v></cell><cell r="U5021" t="str"><v>Audience & Interest Targeting</v></cell><cell r="V5021" t="str"><v>Audience Targeting</v></cell><cell r="W5021" t="str"><v>Link Ad</v></cell><cell r="X5021" t="str"><v>1x1</v></cell></row><row r="5021"><cell r="AA5021"><v>43317</v></cell><cell r="AB5021" t="str"><v>GBR_gaPMG_CE_AZR_Q1_19_Trial-Social</v></cell><cell r="AC5021"><v>21337013</v></cell><cell r="AD5021"><v>720196</v></cell><cell r="AE5021" t="str"><v>Facebook</v></cell><cell r="AF5021"><v>3654128</v></cell><cell r="AG5021" t="str"><v>Facebook»Audience & Interest Targeting»1x1»SocialBan»LIA»DT»CPC»AUT»W»NA»SS»NA»Basic Motion</v></cell><cell r="AH5021"><v>224399962</v></cell><cell r="AI5021" t="str"><v>AzurePlatform_FBCTCcanvaspage-StartFreeCTA-Img2_GBR_1080x143 _SOC_Plat_English_NA_Standard_NA_NA_T2_1</v></cell><cell r="AJ5021"><v>103235146</v></cell></row><row r="5022"><cell r="C5022" t="str"><v>43317Facebook»Audience & Interest Targeting»1x1»SocialBan»LIA»DT»CPC»AUT»W»NA»SS»NA»Benefit 2 in Motion</v></cell><cell r="D5022" t="str"><v>43317224334170</v></cell><cell r="E5022" t="str"><v>43317103235146Motion</v></cell><cell r="F5022" t="str"><v>DCM</v></cell><cell r="G5022" t="str"><v>https://signup.azure.com/signup?offer=ms-azr-0044p&appId=102&ref=paidmedia-social-fb&redirectURL=https%3a%2f%2fazure.microsoft.com%2fen-gb%2fget-started%2fwelcome-to-azure%2f&l=en-gb&correlationId=ead86c34-1f10-49dd-a72b-6918462a2cbf</v></cell></row><row r="5022"><cell r="K5022" t="str"><v>August</v></cell><cell r="L5022"><v>43323</v></cell><cell r="M5022" t="str"><v>Tier 1</v></cell><cell r="N5022" t="str"><v>EMEA</v></cell><cell r="O5022" t="str"><v>United Kingdom</v></cell><cell r="P5022" t="str"><v>Trial</v></cell><cell r="Q5022" t="str"><v>Social</v></cell><cell r="R5022" t="str"><v>Azure</v></cell><cell r="S5022" t="str"><v>Apps & Infra</v></cell><cell r="T5022" t="str"><v>Developers & ITI's</v></cell><cell r="U5022" t="str"><v>Audience & Interest Targeting</v></cell><cell r="V5022" t="str"><v>Audience Targeting</v></cell><cell r="W5022" t="str"><v>Link Ad</v></cell><cell r="X5022" t="str"><v>1x1</v></cell></row><row r="5022"><cell r="AA5022"><v>43317</v></cell><cell r="AB5022" t="str"><v>GBR_gaPMG_CE_AZR_Q1_19_Trial-Social</v></cell><cell r="AC5022"><v>21337013</v></cell><cell r="AD5022"><v>720196</v></cell><cell r="AE5022" t="str"><v>Facebook</v></cell><cell r="AF5022"><v>3654128</v></cell><cell r="AG5022" t="str"><v>Facebook»Audience & Interest Targeting»1x1»SocialBan»LIA»DT»CPC»AUT»W»NA»SS»NA»Benefit 2 in Motion</v></cell><cell r="AH5022"><v>224334170</v></cell><cell r="AI5022" t="str"><v>AzurePlatform_FBCTCcanvaspage-StartFreeCTA-Img2_GBR_1080x143 _SOC_Plat_English_NA_Standard_NA_NA_T2_1</v></cell><cell r="AJ5022"><v>103235146</v></cell></row><row r="5023"><cell r="C5023" t="str"><v>43317Facebook»Audience & Interest Targeting»1x1»SocialBan»LIA»DT»CPC»AUT»W»NA»SS»NA»Brand in Motion</v></cell><cell r="D5023" t="str"><v>43317224549481</v></cell><cell r="E5023" t="str"><v>43317103235146Motion</v></cell><cell r="F5023" t="str"><v>DCM</v></cell><cell r="G5023" t="str"><v>https://signup.azure.com/signup?offer=ms-azr-0044p&appId=102&ref=paidmedia-social-fb&redirectURL=https%3a%2f%2fazure.microsoft.com%2fen-gb%2fget-started%2fwelcome-to-azure%2f&l=en-gb&correlationId=ead86c34-1f10-49dd-a72b-6918462a2cbf</v></cell></row><row r="5023"><cell r="K5023" t="str"><v>August</v></cell><cell r="L5023"><v>43323</v></cell><cell r="M5023" t="str"><v>Tier 1</v></cell><cell r="N5023" t="str"><v>EMEA</v></cell><cell r="O5023" t="str"><v>United Kingdom</v></cell><cell r="P5023" t="str"><v>Trial</v></cell><cell r="Q5023" t="str"><v>Social</v></cell><cell r="R5023" t="str"><v>Azure</v></cell><cell r="S5023" t="str"><v>Apps & Infra</v></cell><cell r="T5023" t="str"><v>Developers & ITI's</v></cell><cell r="U5023" t="str"><v>Audience & Interest Targeting</v></cell><cell r="V5023" t="str"><v>Audience Targeting</v></cell><cell r="W5023" t="str"><v>Link Ad</v></cell><cell r="X5023" t="str"><v>1x1</v></cell></row><row r="5023"><cell r="AA5023"><v>43317</v></cell><cell r="AB5023" t="str"><v>GBR_gaPMG_CE_AZR_Q1_19_Trial-Social</v></cell><cell r="AC5023"><v>21337013</v></cell><cell r="AD5023"><v>720196</v></cell><cell r="AE5023" t="str"><v>Facebook</v></cell><cell r="AF5023"><v>3654128</v></cell><cell r="AG5023" t="str"><v>Facebook»Audience & Interest Targeting»1x1»SocialBan»LIA»DT»CPC»AUT»W»NA»SS»NA»Brand in Motion</v></cell><cell r="AH5023"><v>224549481</v></cell><cell r="AI5023" t="str"><v>AzurePlatform_FBCTCcanvaspage-StartFreeCTA-Img2_GBR_1080x143 _SOC_Plat_English_NA_Standard_NA_NA_T2_1</v></cell><cell r="AJ5023"><v>103235146</v></cell></row><row r="5024"><cell r="C5024" t="str"><v>43317Facebook»Audience & Interest Targeting»1x1»SocialBan»LIA»DT»DYN»AUT»W»NA»SS»NA»Free Account Refresh- 12 months ChE</v></cell><cell r="D5024" t="str"><v>43317223567691</v></cell><cell r="E5024" t="str"><v>43317102854007hs ChE</v></cell><cell r="F5024" t="str"><v>DCM</v></cell><cell r="G5024" t="str"><v>https://azure.microsoft.com/en-gb/free/search/</v></cell></row><row r="5024"><cell r="K5024" t="str"><v>August</v></cell><cell r="L5024"><v>43323</v></cell><cell r="M5024" t="str"><v>Tier 1</v></cell><cell r="N5024" t="str"><v>EMEA</v></cell><cell r="O5024" t="str"><v>United Kingdom</v></cell><cell r="P5024" t="str"><v>Trial</v></cell><cell r="Q5024" t="str"><v>Social</v></cell><cell r="R5024" t="str"><v>Azure</v></cell><cell r="S5024" t="str"><v>Apps & Infra</v></cell><cell r="T5024" t="str"><v>Developers & ITI's</v></cell><cell r="U5024" t="str"><v>Audience & Interest Targeting</v></cell><cell r="V5024" t="str"><v>Audience Targeting</v></cell><cell r="W5024" t="str"><v>Link Ad</v></cell><cell r="X5024" t="str"><v>1x1</v></cell></row><row r="5024"><cell r="AA5024"><v>43317</v></cell><cell r="AB5024" t="str"><v>GBR_gaPMG_CE_AZR_Q1_19_Trial-Social</v></cell><cell r="AC5024"><v>21337013</v></cell><cell r="AD5024"><v>720196</v></cell><cell r="AE5024" t="str"><v>Facebook</v></cell><cell r="AF5024"><v>3654128</v></cell><cell r="AG5024" t="str"><v>Facebook»Audience & Interest Targeting»1x1»SocialBan»LIA»DT»DYN»AUT»W»NA»SS»NA»Free Account Refresh- 12 months ChE</v></cell><cell r="AH5024"><v>223567691</v></cell><cell r="AI5024" t="str"><v>AzurePlatform_FreeAcctAppsFACEBOOK12monthsChE_GBR_1200x628_SOC_PLAT_EN_Trial_Standard_NA_SU_T5_1</v></cell><cell r="AJ5024"><v>102854007</v></cell></row><row r="5025"><cell r="C5025" t="str"><v>43317Facebook»Audience & Interest Targeting»1x1»SocialBan»LIA»DT»DYN»AUT»W»NA»SS»NA»Free Account Refresh- 200 Credit ChD</v></cell><cell r="D5025" t="str"><v>43317223560359</v></cell><cell r="E5025" t="str"><v>43317103005662it ChD</v></cell><cell r="F5025" t="str"><v>DCM</v></cell><cell r="G5025" t="str"><v>https://azure.microsoft.com/en-gb/free/search/</v></cell></row><row r="5025"><cell r="K5025" t="str"><v>August</v></cell><cell r="L5025"><v>43323</v></cell><cell r="M5025" t="str"><v>Tier 1</v></cell><cell r="N5025" t="str"><v>EMEA</v></cell><cell r="O5025" t="str"><v>United Kingdom</v></cell><cell r="P5025" t="str"><v>Trial</v></cell><cell r="Q5025" t="str"><v>Social</v></cell><cell r="R5025" t="str"><v>Azure</v></cell><cell r="S5025" t="str"><v>Apps & Infra</v></cell><cell r="T5025" t="str"><v>Developers & ITI's</v></cell><cell r="U5025" t="str"><v>Audience & Interest Targeting</v></cell><cell r="V5025" t="str"><v>Audience Targeting</v></cell><cell r="W5025" t="str"><v>Link Ad</v></cell><cell r="X5025" t="str"><v>1x1</v></cell></row><row r="5025"><cell r="AA5025"><v>43317</v></cell><cell r="AB5025" t="str"><v>GBR_gaPMG_CE_AZR_Q1_19_Trial-Social</v></cell><cell r="AC5025"><v>21337013</v></cell><cell r="AD5025"><v>720196</v></cell><cell r="AE5025" t="str"><v>Facebook</v></cell><cell r="AF5025"><v>3654128</v></cell><cell r="AG5025" t="str"><v>Facebook»Audience & Interest Targeting»1x1»SocialBan»LIA»DT»DYN»AUT»W»NA»SS»NA»Free Account Refresh- 200 Credit ChD</v></cell><cell r="AH5025"><v>223560359</v></cell><cell r="AI5025" t="str"><v>AzurePlatform_FreeAcctAppsFACEBOOK200CreditChD_GBR_1200x628_SOC_PLAT_EN_Trial_Standard_NA_SU_T4_1</v></cell><cell r="AJ5025"><v>103005662</v></cell></row><row r="5026"><cell r="C5026" t="str"><v>43317Facebook»Audience & Interest Targeting»1x1»SocialBan»LIA»DT»DYN»AUT»W»NA»SS»NA»Free Account Refresh- Device ChB</v></cell><cell r="D5026" t="str"><v>43317223560353</v></cell><cell r="E5026" t="str"><v>43317102854010ce ChB</v></cell><cell r="F5026" t="str"><v>DCM</v></cell><cell r="G5026" t="str"><v>https://azure.microsoft.com/en-gb/free/search/</v></cell></row><row r="5026"><cell r="K5026" t="str"><v>August</v></cell><cell r="L5026"><v>43323</v></cell><cell r="M5026" t="str"><v>Tier 1</v></cell><cell r="N5026" t="str"><v>EMEA</v></cell><cell r="O5026" t="str"><v>United Kingdom</v></cell><cell r="P5026" t="str"><v>Trial</v></cell><cell r="Q5026" t="str"><v>Social</v></cell><cell r="R5026" t="str"><v>Azure</v></cell><cell r="S5026" t="str"><v>Apps & Infra</v></cell><cell r="T5026" t="str"><v>Developers & ITI's</v></cell><cell r="U5026" t="str"><v>Audience & Interest Targeting</v></cell><cell r="V5026" t="str"><v>Audience Targeting</v></cell><cell r="W5026" t="str"><v>Link Ad</v></cell><cell r="X5026" t="str"><v>1x1</v></cell></row><row r="5026"><cell r="AA5026"><v>43317</v></cell><cell r="AB5026" t="str"><v>GBR_gaPMG_CE_AZR_Q1_19_Trial-Social</v></cell><cell r="AC5026"><v>21337013</v></cell><cell r="AD5026"><v>720196</v></cell><cell r="AE5026" t="str"><v>Facebook</v></cell><cell r="AF5026"><v>3654128</v></cell><cell r="AG5026" t="str"><v>Facebook»Audience & Interest Targeting»1x1»SocialBan»LIA»DT»DYN»AUT»W»NA»SS»NA»Free Account Refresh- Device ChB</v></cell><cell r="AH5026"><v>223560353</v></cell><cell r="AI5026" t="str"><v>AzurePlatform_FreeAcctAppsFACEBOOKDeviceChB_GBR_1200x628_SOC_PLAT_EN_Trial_Standard_NA_SU_T2_1</v></cell><cell r="AJ5026"><v>102854010</v></cell></row><row r="5027"><cell r="C5027" t="str"><v>43317Facebook»Audience & Interest Targeting»1x1»SocialBan»LIA»DT»DYN»AUT»W»NA»SS»NA»Free Account Refresh- Illustration ChC</v></cell><cell r="D5027" t="str"><v>43317223560347</v></cell><cell r="E5027" t="str"><v>43317102857037on ChC</v></cell><cell r="F5027" t="str"><v>DCM</v></cell><cell r="G5027" t="str"><v>https://azure.microsoft.com/en-gb/free/search/</v></cell></row><row r="5027"><cell r="K5027" t="str"><v>August</v></cell><cell r="L5027"><v>43323</v></cell><cell r="M5027" t="str"><v>Tier 1</v></cell><cell r="N5027" t="str"><v>EMEA</v></cell><cell r="O5027" t="str"><v>United Kingdom</v></cell><cell r="P5027" t="str"><v>Trial</v></cell><cell r="Q5027" t="str"><v>Social</v></cell><cell r="R5027" t="str"><v>Azure</v></cell><cell r="S5027" t="str"><v>Apps & Infra</v></cell><cell r="T5027" t="str"><v>Developers & ITI's</v></cell><cell r="U5027" t="str"><v>Audience & Interest Targeting</v></cell><cell r="V5027" t="str"><v>Audience Targeting</v></cell><cell r="W5027" t="str"><v>Link Ad</v></cell><cell r="X5027" t="str"><v>1x1</v></cell></row><row r="5027"><cell r="AA5027"><v>43317</v></cell><cell r="AB5027" t="str"><v>GBR_gaPMG_CE_AZR_Q1_19_Trial-Social</v></cell><cell r="AC5027"><v>21337013</v></cell><cell r="AD5027"><v>720196</v></cell><cell r="AE5027" t="str"><v>Facebook</v></cell><cell r="AF5027"><v>3654128</v></cell><cell r="AG5027" t="str"><v>Facebook»Audience & Interest Targeting»1x1»SocialBan»LIA»DT»DYN»AUT»W»NA»SS»NA»Free Account Refresh- Illustration ChC</v></cell><cell r="AH5027"><v>223560347</v></cell><cell r="AI5027" t="str"><v>AzurePlatform_FreeAcctAppsFACEBOOKIllustrationChC_GBR_1200x628_SOC_PLAT_EN_Trial_Standard_NA_SU_T3_1</v></cell><cell r="AJ5027"><v>102857037</v></cell></row><row r="5028"><cell r="C5028" t="str"><v>43317Facebook»Audience & Interest Targeting»1x1»SocialBan»LIA»DT»DYN»AUT»W»NA»SS»NA»Free Account Refresh- Lifestyle ChA</v></cell><cell r="D5028" t="str"><v>43317223560341</v></cell><cell r="E5028" t="str"><v>43317102853597le ChA</v></cell><cell r="F5028" t="str"><v>DCM</v></cell><cell r="G5028" t="str"><v>https://azure.microsoft.com/en-gb/free/search/</v></cell></row><row r="5028"><cell r="K5028" t="str"><v>August</v></cell><cell r="L5028"><v>43323</v></cell><cell r="M5028" t="str"><v>Tier 1</v></cell><cell r="N5028" t="str"><v>EMEA</v></cell><cell r="O5028" t="str"><v>United Kingdom</v></cell><cell r="P5028" t="str"><v>Trial</v></cell><cell r="Q5028" t="str"><v>Social</v></cell><cell r="R5028" t="str"><v>Azure</v></cell><cell r="S5028" t="str"><v>Apps & Infra</v></cell><cell r="T5028" t="str"><v>Developers & ITI's</v></cell><cell r="U5028" t="str"><v>Audience & Interest Targeting</v></cell><cell r="V5028" t="str"><v>Audience Targeting</v></cell><cell r="W5028" t="str"><v>Link Ad</v></cell><cell r="X5028" t="str"><v>1x1</v></cell></row><row r="5028"><cell r="AA5028"><v>43317</v></cell><cell r="AB5028" t="str"><v>GBR_gaPMG_CE_AZR_Q1_19_Trial-Social</v></cell><cell r="AC5028"><v>21337013</v></cell><cell r="AD5028"><v>720196</v></cell><cell r="AE5028" t="str"><v>Facebook</v></cell><cell r="AF5028"><v>3654128</v></cell><cell r="AG5028" t="str"><v>Facebook»Audience & Interest Targeting»1x1»SocialBan»LIA»DT»DYN»AUT»W»NA»SS»NA»Free Account Refresh- Lifestyle ChA</v></cell><cell r="AH5028"><v>223560341</v></cell><cell r="AI5028" t="str"><v>AzurePlatform_FreeAcctAppsFACEBOOKLifestyleChA_GBR_1200x628_SOC_PLAT_EN_Trial_Standard_NA_SU_T1_1</v></cell><cell r="AJ5028"><v>102853597</v></cell></row><row r="5029"><cell r="C5029" t="str"><v>43317Facebook»Retargeting»1x1»SocialBan»LIA»DT»DYN»RT»W»NA»SS»NA»Free Account Retargeting Generic- Animated ChC</v></cell><cell r="D5029" t="str"><v>43317223560299</v></cell><cell r="E5029" t="str"><v>43317102854019ed ChC</v></cell><cell r="F5029" t="str"><v>DCM</v></cell><cell r="G5029" t="str"><v>https://azure.microsoft.com/en-gb/free/search/</v></cell></row><row r="5029"><cell r="K5029" t="str"><v>August</v></cell><cell r="L5029"><v>43323</v></cell><cell r="M5029" t="str"><v>Tier 1</v></cell><cell r="N5029" t="str"><v>EMEA</v></cell><cell r="O5029" t="str"><v>United Kingdom</v></cell><cell r="P5029" t="str"><v>Trial</v></cell><cell r="Q5029" t="str"><v>Social</v></cell><cell r="R5029" t="str"><v>Azure</v></cell><cell r="S5029" t="str"><v>Apps & Infra</v></cell><cell r="T5029" t="str"><v>Developers & ITI's</v></cell><cell r="U5029" t="str"><v>Retargeting</v></cell><cell r="V5029" t="str"><v>Retargeting</v></cell><cell r="W5029" t="str"><v>Link Ad</v></cell><cell r="X5029" t="str"><v>1x1</v></cell></row><row r="5029"><cell r="AA5029"><v>43317</v></cell><cell r="AB5029" t="str"><v>GBR_gaPMG_CE_AZR_Q1_19_Trial-Social</v></cell><cell r="AC5029"><v>21337013</v></cell><cell r="AD5029"><v>720196</v></cell><cell r="AE5029" t="str"><v>Facebook</v></cell><cell r="AF5029"><v>3654128</v></cell><cell r="AG5029" t="str"><v>Facebook»Retargeting»1x1»SocialBan»LIA»DT»DYN»RT»W»NA»SS»NA»Free Account Retargeting Generic- Animated ChC</v></cell><cell r="AH5029"><v>223560299</v></cell><cell r="AI5029" t="str"><v>AzurePlatform_FreeAcctRetargetingFB-Animated-ChC_GBR_1200x628_SOC_Plat_EN_Free Account_Standard_ANI_SU_T3_1</v></cell><cell r="AJ5029"><v>102854019</v></cell></row><row r="5030"><cell r="C5030" t="str"><v>43317Facebook»Retargeting»1x1»SocialBan»LIA»DT»DYN»RT»W»NA»SS»NA»Free Account Retargeting Generic- Global Alt ChB</v></cell><cell r="D5030" t="str"><v>43317223560356</v></cell><cell r="E5030" t="str"><v>43317102854016lt ChB</v></cell><cell r="F5030" t="str"><v>DCM</v></cell><cell r="G5030" t="str"><v>https://azure.microsoft.com/en-gb/free/search/</v></cell></row><row r="5030"><cell r="K5030" t="str"><v>August</v></cell><cell r="L5030"><v>43323</v></cell><cell r="M5030" t="str"><v>Tier 1</v></cell><cell r="N5030" t="str"><v>EMEA</v></cell><cell r="O5030" t="str"><v>United Kingdom</v></cell><cell r="P5030" t="str"><v>Trial</v></cell><cell r="Q5030" t="str"><v>Social</v></cell><cell r="R5030" t="str"><v>Azure</v></cell><cell r="S5030" t="str"><v>Apps & Infra</v></cell><cell r="T5030" t="str"><v>Developers & ITI's</v></cell><cell r="U5030" t="str"><v>Retargeting</v></cell><cell r="V5030" t="str"><v>Retargeting</v></cell><cell r="W5030" t="str"><v>Link Ad</v></cell><cell r="X5030" t="str"><v>1x1</v></cell></row><row r="5030"><cell r="AA5030"><v>43317</v></cell><cell r="AB5030" t="str"><v>GBR_gaPMG_CE_AZR_Q1_19_Trial-Social</v></cell><cell r="AC5030"><v>21337013</v></cell><cell r="AD5030"><v>720196</v></cell><cell r="AE5030" t="str"><v>Facebook</v></cell><cell r="AF5030"><v>3654128</v></cell><cell r="AG5030" t="str"><v>Facebook»Retargeting»1x1»SocialBan»LIA»DT»DYN»RT»W»NA»SS»NA»Free Account Retargeting Generic- Global Alt ChB</v></cell><cell r="AH5030"><v>223560356</v></cell><cell r="AI5030" t="str"><v>AzurePlatform_FreeAcctRetargetingFB-GlobalAlt-ChB_GBR_1200x628_SOC_Plat_EN_Free Account_Standard_NA_SU_T2_1</v></cell><cell r="AJ5030"><v>102854016</v></cell></row><row r="5031"><cell r="C5031" t="str"><v>43317Facebook»Retargeting»1x1»SocialBan»LIA»DT»DYN»RT»W»NA»SS»NA»Free Account Retargeting OSS- Logos ChG</v></cell><cell r="D5031" t="str"><v>43317223560350</v></cell><cell r="E5031" t="str"><v>43317103006547os ChG</v></cell><cell r="F5031" t="str"><v>DCM</v></cell><cell r="G5031" t="str"><v>https://azure.microsoft.com/en-gb/free/open-source/search/</v></cell></row><row r="5031"><cell r="K5031" t="str"><v>August</v></cell><cell r="L5031"><v>43323</v></cell><cell r="M5031" t="str"><v>Tier 1</v></cell><cell r="N5031" t="str"><v>EMEA</v></cell><cell r="O5031" t="str"><v>United Kingdom</v></cell><cell r="P5031" t="str"><v>Trial</v></cell><cell r="Q5031" t="str"><v>Social</v></cell><cell r="R5031" t="str"><v>Azure</v></cell><cell r="S5031" t="str"><v>Apps & Infra</v></cell><cell r="T5031" t="str"><v>Developers & ITI's</v></cell><cell r="U5031" t="str"><v>Retargeting</v></cell><cell r="V5031" t="str"><v>Retargeting</v></cell><cell r="W5031" t="str"><v>Link Ad</v></cell><cell r="X5031" t="str"><v>1x1</v></cell></row><row r="5031"><cell r="AA5031"><v>43317</v></cell><cell r="AB5031" t="str"><v>GBR_gaPMG_CE_AZR_Q1_19_Trial-Social</v></cell><cell r="AC5031"><v>21337013</v></cell><cell r="AD5031"><v>720196</v></cell><cell r="AE5031" t="str"><v>Facebook</v></cell><cell r="AF5031"><v>3654128</v></cell><cell r="AG5031" t="str"><v>Facebook»Retargeting»1x1»SocialBan»LIA»DT»DYN»RT»W»NA»SS»NA»Free Account Retargeting OSS- Logos ChG</v></cell><cell r="AH5031"><v>223560350</v></cell><cell r="AI5031" t="str"><v>AzurePlatform_FreeAcctRetargetingOSSFB-Logos-ChG_GBR_1200x628_SOC_Plat_EN_Free Account_Standard_NA_SU_T2_1</v></cell><cell r="AJ5031"><v>103006547</v></cell></row><row r="5032"><cell r="C5032" t="str"><v>43317Facebook»Retargeting»1x1»SocialBan»LIA»DT»DYN»RT»W»NA»SS»NA»Free Account Retargeting OSS- Text ChF</v></cell><cell r="D5032" t="str"><v>43317223560344</v></cell><cell r="E5032" t="str"><v>43317102861246xt ChF</v></cell><cell r="F5032" t="str"><v>DCM</v></cell><cell r="G5032" t="str"><v>https://azure.microsoft.com/en-gb/free/open-source/search/</v></cell></row><row r="5032"><cell r="K5032" t="str"><v>August</v></cell><cell r="L5032"><v>43323</v></cell><cell r="M5032" t="str"><v>Tier 1</v></cell><cell r="N5032" t="str"><v>EMEA</v></cell><cell r="O5032" t="str"><v>United Kingdom</v></cell><cell r="P5032" t="str"><v>Trial</v></cell><cell r="Q5032" t="str"><v>Social</v></cell><cell r="R5032" t="str"><v>Azure</v></cell><cell r="S5032" t="str"><v>Apps & Infra</v></cell><cell r="T5032" t="str"><v>Developers & ITI's</v></cell><cell r="U5032" t="str"><v>Retargeting</v></cell><cell r="V5032" t="str"><v>Retargeting</v></cell><cell r="W5032" t="str"><v>Link Ad</v></cell><cell r="X5032" t="str"><v>1x1</v></cell></row><row r="5032"><cell r="AA5032"><v>43317</v></cell><cell r="AB5032" t="str"><v>GBR_gaPMG_CE_AZR_Q1_19_Trial-Social</v></cell><cell r="AC5032"><v>21337013</v></cell><cell r="AD5032"><v>720196</v></cell><cell r="AE5032" t="str"><v>Facebook</v></cell><cell r="AF5032"><v>3654128</v></cell><cell r="AG5032" t="str"><v>Facebook»Retargeting»1x1»SocialBan»LIA»DT»DYN»RT»W»NA»SS»NA»Free Account Retargeting OSS- Text ChF</v></cell><cell r="AH5032"><v>223560344</v></cell><cell r="AI5032" t="str"><v>AzurePlatform_FreeAcctRetargetingOSSFB-Text-ChF_GBR_1200x628_SOC_Plat_EN_Free Account_Standard_NA_SU_T1_1</v></cell><cell r="AJ5032"><v>102861246</v></cell></row><row r="5033"><cell r="C5033" t="str"><v>43317Facebook»Retargeting»1x1»SocialBan»LIA»DT»DYN»RT»W»NA»SS»NA»Free Account Retargeting VM- 750 Hrs ChD</v></cell><cell r="D5033" t="str"><v>43317223560338</v></cell><cell r="E5033" t="str"><v>43317102853603rs ChD</v></cell><cell r="F5033" t="str"><v>DCM</v></cell><cell r="G5033" t="str"><v>https://azure.microsoft.com/en-gb/free/virtual-machines/search/</v></cell></row><row r="5033"><cell r="K5033" t="str"><v>August</v></cell><cell r="L5033"><v>43323</v></cell><cell r="M5033" t="str"><v>Tier 1</v></cell><cell r="N5033" t="str"><v>EMEA</v></cell><cell r="O5033" t="str"><v>United Kingdom</v></cell><cell r="P5033" t="str"><v>Trial</v></cell><cell r="Q5033" t="str"><v>Social</v></cell><cell r="R5033" t="str"><v>Azure</v></cell><cell r="S5033" t="str"><v>Apps & Infra</v></cell><cell r="T5033" t="str"><v>Developers & ITI's</v></cell><cell r="U5033" t="str"><v>Retargeting</v></cell><cell r="V5033" t="str"><v>Retargeting</v></cell><cell r="W5033" t="str"><v>Link Ad</v></cell><cell r="X5033" t="str"><v>1x1</v></cell></row><row r="5033"><cell r="AA5033"><v>43317</v></cell><cell r="AB5033" t="str"><v>GBR_gaPMG_CE_AZR_Q1_19_Trial-Social</v></cell><cell r="AC5033"><v>21337013</v></cell><cell r="AD5033"><v>720196</v></cell><cell r="AE5033" t="str"><v>Facebook</v></cell><cell r="AF5033"><v>3654128</v></cell><cell r="AG5033" t="str"><v>Facebook»Retargeting»1x1»SocialBan»LIA»DT»DYN»RT»W»NA»SS»NA»Free Account Retargeting VM- 750 Hrs ChD</v></cell><cell r="AH5033"><v>223560338</v></cell><cell r="AI5033" t="str"><v>AzurePlatform_FreeAcctRetargetingVMFB-750Hrs-ChD_GBR_1200x628_SOC_Plat_EN_Free Account_Standard_NA_SU_T1_1</v></cell><cell r="AJ5033"><v>102853603</v></cell></row><row r="5034"><cell r="C5034" t="str"><v>43317Facebook»Retargeting»1x1»SocialBan»LIA»DT»DYN»RT»W»NA»SS»NA»Free Account Retargeting VM- On Demand ChE</v></cell><cell r="D5034" t="str"><v>43317223560332</v></cell><cell r="E5034" t="str"><v>43317102854037nd ChE</v></cell><cell r="F5034" t="str"><v>DCM</v></cell><cell r="G5034" t="str"><v>https://azure.microsoft.com/en-gb/free/virtual-machines/search/</v></cell></row><row r="5034"><cell r="K5034" t="str"><v>August</v></cell><cell r="L5034"><v>43323</v></cell><cell r="M5034" t="str"><v>Tier 1</v></cell><cell r="N5034" t="str"><v>EMEA</v></cell><cell r="O5034" t="str"><v>United Kingdom</v></cell><cell r="P5034" t="str"><v>Trial</v></cell><cell r="Q5034" t="str"><v>Social</v></cell><cell r="R5034" t="str"><v>Azure</v></cell><cell r="S5034" t="str"><v>Apps & Infra</v></cell><cell r="T5034" t="str"><v>Developers & ITI's</v></cell><cell r="U5034" t="str"><v>Retargeting</v></cell><cell r="V5034" t="str"><v>Retargeting</v></cell><cell r="W5034" t="str"><v>Link Ad</v></cell><cell r="X5034" t="str"><v>1x1</v></cell></row><row r="5034"><cell r="AA5034"><v>43317</v></cell><cell r="AB5034" t="str"><v>GBR_gaPMG_CE_AZR_Q1_19_Trial-Social</v></cell><cell r="AC5034"><v>21337013</v></cell><cell r="AD5034"><v>720196</v></cell><cell r="AE5034" t="str"><v>Facebook</v></cell><cell r="AF5034"><v>3654128</v></cell><cell r="AG5034" t="str"><v>Facebook»Retargeting»1x1»SocialBan»LIA»DT»DYN»RT»W»NA»SS»NA»Free Account Retargeting VM- On Demand ChE</v></cell><cell r="AH5034"><v>223560332</v></cell><cell r="AI5034" t="str"><v>AzurePlatform_FreeAcctRetargetingVMFB-OnDemand-ChE_GBR_1200x628_SOC_Plat_EN_Free Account_Standard_NA_SU_T2_1</v></cell><cell r="AJ5034"><v>102854037</v></cell></row><row r="5035"><cell r="C5035" t="str"><v>43317Facebook»AZP-Canvas-Interest&Role-Trial»1x1»Canvas»OTH»MO»CPM»PRO»X»UNK»TP»OT»Canvas-Trial</v></cell><cell r="D5035" t="str"><v>43317223298805</v></cell><cell r="E5035" t="str"><v>43317102630373-Trial</v></cell><cell r="F5035" t="str"><v>DCM</v></cell><cell r="G5035" t="str"><v>https://azure.microsoft.com/ja-jp/pricing/purchase-options/</v></cell></row><row r="5035"><cell r="K5035" t="str"><v>August</v></cell><cell r="L5035"><v>43323</v></cell><cell r="M5035" t="str"><v>Tier 1</v></cell><cell r="N5035" t="str"><v>APAC</v></cell><cell r="O5035" t="str"><v>Japan</v></cell><cell r="P5035" t="str"><v>Trial</v></cell><cell r="Q5035" t="str"><v>Social</v></cell><cell r="R5035" t="str"><v>Azure</v></cell><cell r="S5035" t="str"><v>Apps & Infra</v></cell><cell r="T5035" t="str"><v>Developers & ITI's</v></cell><cell r="U5035" t="str"><v>AZP-Canvas-Interest&Role-Trial</v></cell><cell r="V5035" t="str"><v>Prospecting</v></cell><cell r="W5035" t="str"><v>Other</v></cell><cell r="X5035" t="str"><v>1x1</v></cell></row><row r="5035"><cell r="AA5035"><v>43317</v></cell><cell r="AB5035" t="str"><v>JPN_gaPMG_AZR_AZR_Q1_19_Trial-Social</v></cell><cell r="AC5035"><v>21276694</v></cell><cell r="AD5035"><v>720195</v></cell><cell r="AE5035" t="str"><v>Facebook</v></cell><cell r="AF5035"><v>3654128</v></cell><cell r="AG5035" t="str"><v>Facebook»AZP-Canvas-Interest&Role-Trial»1x1»Canvas»OTH»MO»CPM»PRO»X»UNK»TP»OT»Canvas-Trial</v></cell><cell r="AH5035"><v>223298805</v></cell><cell r="AI5035" t="str"><v>AzurePlatform_FBCTCcanvaspage-BuyNowCTA-Img3_JPN_1080x162_SOC_Plat_Japanese_NA_Standard_NA_BN_T3_1</v></cell><cell r="AJ5035"><v>102630373</v></cell></row><row r="5036"><cell r="C5036" t="str"><v>43317Facebook»AZP-Canvas-Interest&Role-Trial»1x1»Canvas»OTH»MO»CPM»PRO»X»UNK»TP»OT»Canvas-Trial</v></cell><cell r="D5036" t="str"><v>43317223298805</v></cell><cell r="E5036" t="str"><v>43317102609621-Trial</v></cell><cell r="F5036" t="str"><v>DCM</v></cell><cell r="G5036" t="str"><v>https://signup.azure.com/signup?offer=ms-azr-0044p&appId=102&ref=paidmedia-social-fb&redirectURL=https%3a%2f%2fazure.microsoft.com%2fja-jp%2fget-started%2fwelcome-to-azure%2f&l=ja-jp&correlationId=ead86c34-1f10-49dd-a72b-6918462a2cbf</v></cell></row><row r="5036"><cell r="K5036" t="str"><v>August</v></cell><cell r="L5036"><v>43323</v></cell><cell r="M5036" t="str"><v>Tier 1</v></cell><cell r="N5036" t="str"><v>APAC</v></cell><cell r="O5036" t="str"><v>Japan</v></cell><cell r="P5036" t="str"><v>Trial</v></cell><cell r="Q5036" t="str"><v>Social</v></cell><cell r="R5036" t="str"><v>Azure</v></cell><cell r="S5036" t="str"><v>Apps & Infra</v></cell><cell r="T5036" t="str"><v>Developers & ITI's</v></cell><cell r="U5036" t="str"><v>AZP-Canvas-Interest&Role-Trial</v></cell><cell r="V5036" t="str"><v>Prospecting</v></cell><cell r="W5036" t="str"><v>Other</v></cell><cell r="X5036" t="str"><v>1x1</v></cell></row><row r="5036"><cell r="AA5036"><v>43317</v></cell><cell r="AB5036" t="str"><v>JPN_gaPMG_AZR_AZR_Q1_19_Trial-Social</v></cell><cell r="AC5036"><v>21276694</v></cell><cell r="AD5036"><v>720195</v></cell><cell r="AE5036" t="str"><v>Facebook</v></cell><cell r="AF5036"><v>3654128</v></cell><cell r="AG5036" t="str"><v>Facebook»AZP-Canvas-Interest&Role-Trial»1x1»Canvas»OTH»MO»CPM»PRO»X»UNK»TP»OT»Canvas-Trial</v></cell><cell r="AH5036"><v>223298805</v></cell><cell r="AI5036" t="str"><v>AzurePlatform_FBCTCcanvaspage-StartFreeCTA-Img2_JPN_1080x143 _SOC_Plat_Japanese_NA_Standard_NA_NA_T2_1</v></cell><cell r="AJ5036"><v>102609621</v></cell></row><row r="5037"><cell r="C5037" t="str"><v>43317Facebook»AZP-Canvas-Look a Like-Trial»1x1»Canvas»OTH»MO»CPM»PRO»X»UNK»TP»OT»Canvas-Trial</v></cell><cell r="D5037" t="str"><v>43317223297413</v></cell><cell r="E5037" t="str"><v>43317102630373-Trial</v></cell><cell r="F5037" t="str"><v>DCM</v></cell><cell r="G5037" t="str"><v>https://azure.microsoft.com/ja-jp/pricing/purchase-options/</v></cell></row><row r="5037"><cell r="K5037" t="str"><v>August</v></cell><cell r="L5037"><v>43323</v></cell><cell r="M5037" t="str"><v>Tier 1</v></cell><cell r="N5037" t="str"><v>APAC</v></cell><cell r="O5037" t="str"><v>Japan</v></cell><cell r="P5037" t="str"><v>Trial</v></cell><cell r="Q5037" t="str"><v>Social</v></cell><cell r="R5037" t="str"><v>Azure</v></cell><cell r="S5037" t="str"><v>Apps & Infra</v></cell><cell r="T5037" t="str"><v>Developers & ITI's</v></cell><cell r="U5037" t="str"><v>AZP-Canvas-Look a Like-Trial</v></cell><cell r="V5037" t="str"><v>Prospecting</v></cell><cell r="W5037" t="str"><v>Other</v></cell><cell r="X5037" t="str"><v>1x1</v></cell></row><row r="5037"><cell r="AA5037"><v>43317</v></cell><cell r="AB5037" t="str"><v>JPN_gaPMG_AZR_AZR_Q1_19_Trial-Social</v></cell><cell r="AC5037"><v>21276694</v></cell><cell r="AD5037"><v>720195</v></cell><cell r="AE5037" t="str"><v>Facebook</v></cell><cell r="AF5037"><v>3654128</v></cell><cell r="AG5037" t="str"><v>Facebook»AZP-Canvas-Look a Like-Trial»1x1»Canvas»OTH»MO»CPM»PRO»X»UNK»TP»OT»Canvas-Trial</v></cell><cell r="AH5037"><v>223297413</v></cell><cell r="AI5037" t="str"><v>AzurePlatform_FBCTCcanvaspage-BuyNowCTA-Img3_JPN_1080x162_SOC_Plat_Japanese_NA_Standard_NA_BN_T3_1</v></cell><cell r="AJ5037"><v>102630373</v></cell></row><row r="5038"><cell r="C5038" t="str"><v>43317Facebook»AZP-Canvas-Look a Like-Trial»1x1»Canvas»OTH»MO»CPM»PRO»X»UNK»TP»OT»Canvas-Trial</v></cell><cell r="D5038" t="str"><v>43317223297413</v></cell><cell r="E5038" t="str"><v>43317102609621-Trial</v></cell><cell r="F5038" t="str"><v>DCM</v></cell><cell r="G5038" t="str"><v>https://signup.azure.com/signup?offer=ms-azr-0044p&appId=102&ref=paidmedia-social-fb&redirectURL=https%3a%2f%2fazure.microsoft.com%2fja-jp%2fget-started%2fwelcome-to-azure%2f&l=ja-jp&correlationId=ead86c34-1f10-49dd-a72b-6918462a2cbf</v></cell></row><row r="5038"><cell r="K5038" t="str"><v>August</v></cell><cell r="L5038"><v>43323</v></cell><cell r="M5038" t="str"><v>Tier 1</v></cell><cell r="N5038" t="str"><v>APAC</v></cell><cell r="O5038" t="str"><v>Japan</v></cell><cell r="P5038" t="str"><v>Trial</v></cell><cell r="Q5038" t="str"><v>Social</v></cell><cell r="R5038" t="str"><v>Azure</v></cell><cell r="S5038" t="str"><v>Apps & Infra</v></cell><cell r="T5038" t="str"><v>Developers & ITI's</v></cell><cell r="U5038" t="str"><v>AZP-Canvas-Look a Like-Trial</v></cell><cell r="V5038" t="str"><v>Prospecting</v></cell><cell r="W5038" t="str"><v>Other</v></cell><cell r="X5038" t="str"><v>1x1</v></cell></row><row r="5038"><cell r="AA5038"><v>43317</v></cell><cell r="AB5038" t="str"><v>JPN_gaPMG_AZR_AZR_Q1_19_Trial-Social</v></cell><cell r="AC5038"><v>21276694</v></cell><cell r="AD5038"><v>720195</v></cell><cell r="AE5038" t="str"><v>Facebook</v></cell><cell r="AF5038"><v>3654128</v></cell><cell r="AG5038" t="str"><v>Facebook»AZP-Canvas-Look a Like-Trial»1x1»Canvas»OTH»MO»CPM»PRO»X»UNK»TP»OT»Canvas-Trial</v></cell><cell r="AH5038"><v>223297413</v></cell><cell r="AI5038" t="str"><v>AzurePlatform_FBCTCcanvaspage-StartFreeCTA-Img2_JPN_1080x143 _SOC_Plat_Japanese_NA_Standard_NA_NA_T2_1</v></cell><cell r="AJ5038"><v>102609621</v></cell></row><row r="5039"><cell r="C5039" t="str"><v>43317Facebook»AZP-Retargeting»1x1»Ban»LIA»ALL»CPM»RT»X»All»TP»OT»Free Account Retargeting OSS-ChF</v></cell><cell r="D5039" t="str"><v>43317223726368</v></cell><cell r="E5039" t="str"><v>43317102974750SS-ChF</v></cell><cell r="F5039" t="str"><v>DCM</v></cell><cell r="G5039" t="str"><v>https://azure.microsoft.com/ja-jp/free/open-source/search/</v></cell></row><row r="5039"><cell r="K5039" t="str"><v>August</v></cell><cell r="L5039"><v>43323</v></cell><cell r="M5039" t="str"><v>Tier 1</v></cell><cell r="N5039" t="str"><v>APAC</v></cell><cell r="O5039" t="str"><v>Japan</v></cell><cell r="P5039" t="str"><v>Trial</v></cell><cell r="Q5039" t="str"><v>Social</v></cell><cell r="R5039" t="str"><v>Azure</v></cell><cell r="S5039" t="str"><v>Apps & Infra</v></cell><cell r="T5039" t="str"><v>Developers & ITI's</v></cell><cell r="U5039" t="str"><v>AZP-Retargeting</v></cell><cell r="V5039" t="str"><v>Retargeting</v></cell><cell r="W5039" t="str"><v>Link Ad</v></cell><cell r="X5039" t="str"><v>1x1</v></cell></row><row r="5039"><cell r="AA5039"><v>43317</v></cell><cell r="AB5039" t="str"><v>JPN_gaPMG_AZR_AZR_Q1_19_Trial-Social</v></cell><cell r="AC5039"><v>21276694</v></cell><cell r="AD5039"><v>720195</v></cell><cell r="AE5039" t="str"><v>Facebook</v></cell><cell r="AF5039"><v>3654128</v></cell><cell r="AG5039" t="str"><v>Facebook»AZP-Retargeting»1x1»Ban»LIA»ALL»CPM»RT»X»All»TP»OT»Free Account Retargeting OSS-ChF</v></cell><cell r="AH5039"><v>223726368</v></cell><cell r="AI5039" t="str"><v>AzurePlatform_FreeAcctRetargetingOSSFB-Text-ChF_JPN_1200x628_SOC_Plat_JA_Free Account_Standard_NA_SU_T1_1</v></cell><cell r="AJ5039"><v>102974750</v></cell></row><row r="5040"><cell r="C5040" t="str"><v>43317Facebook»AZP-Retargeting»1x1»Newsfeed»LIA»ALL»CPM»RT»X»UNK»SS»NA»Developer-Intelligent Data</v></cell><cell r="D5040" t="str"><v>43317225761746</v></cell><cell r="E5040" t="str"><v>43317104064204t Data</v></cell><cell r="F5040" t="str"><v>DCM</v></cell><cell r="G5040" t="str"><v>https://azure.microsoft.com/ja-jp/free/</v></cell></row><row r="5040"><cell r="K5040" t="str"><v>August</v></cell><cell r="L5040"><v>43323</v></cell><cell r="M5040" t="str"><v>Tier 1</v></cell><cell r="N5040" t="str"><v>APAC</v></cell><cell r="O5040" t="str"><v>Japan</v></cell><cell r="P5040" t="str"><v>Trial</v></cell><cell r="Q5040" t="str"><v>Social</v></cell><cell r="R5040" t="str"><v>Azure</v></cell><cell r="S5040" t="str"><v>Apps & Infra</v></cell><cell r="T5040" t="str"><v>Developers & ITI's</v></cell><cell r="U5040" t="str"><v>AZP-Retargeting</v></cell><cell r="V5040" t="str"><v>Retargeting</v></cell><cell r="W5040" t="str"><v>Link Ad</v></cell><cell r="X5040" t="str"><v>1x1</v></cell></row><row r="5040"><cell r="AA5040"><v>43317</v></cell><cell r="AB5040" t="str"><v>JPN_gaPMG_AZR_AZR_Q1_19_Trial-Social</v></cell><cell r="AC5040"><v>21276694</v></cell><cell r="AD5040"><v>720195</v></cell><cell r="AE5040" t="str"><v>Facebook</v></cell><cell r="AF5040"><v>3654128</v></cell><cell r="AG5040" t="str"><v>Facebook»AZP-Retargeting»1x1»Newsfeed»LIA»ALL»CPM»RT»X»UNK»SS»NA»Developer-Intelligent Data</v></cell><cell r="AH5040"><v>225761746</v></cell><cell r="AI5040" t="str"><v>AZR_FreeAcctDeveloperFB-AnimatedData-Ch4_JPN_1200x1200_SOC_Direct_JA_Trial_Standard_ANI_LEA_T4_1</v></cell><cell r="AJ5040"><v>104064204</v></cell></row><row r="5041"><cell r="C5041" t="str"><v>43317Facebook»AZP-Retargeting»1x1»Newsfeed»LIA»ALL»CPM»RT»X»UNK»SS»NA»Developer-Open Source</v></cell><cell r="D5041" t="str"><v>43317225671573</v></cell><cell r="E5041" t="str"><v>43317104060553Source</v></cell><cell r="F5041" t="str"><v>DCM</v></cell><cell r="G5041" t="str"><v>https://azure.microsoft.com/ja-jp/free/</v></cell></row><row r="5041"><cell r="K5041" t="str"><v>August</v></cell><cell r="L5041"><v>43323</v></cell><cell r="M5041" t="str"><v>Tier 1</v></cell><cell r="N5041" t="str"><v>APAC</v></cell><cell r="O5041" t="str"><v>Japan</v></cell><cell r="P5041" t="str"><v>Trial</v></cell><cell r="Q5041" t="str"><v>Social</v></cell><cell r="R5041" t="str"><v>Azure</v></cell><cell r="S5041" t="str"><v>Apps & Infra</v></cell><cell r="T5041" t="str"><v>Developers & ITI's</v></cell><cell r="U5041" t="str"><v>AZP-Retargeting</v></cell><cell r="V5041" t="str"><v>Retargeting</v></cell><cell r="W5041" t="str"><v>Link Ad</v></cell><cell r="X5041" t="str"><v>1x1</v></cell></row><row r="5041"><cell r="AA5041"><v>43317</v></cell><cell r="AB5041" t="str"><v>JPN_gaPMG_AZR_AZR_Q1_19_Trial-Social</v></cell><cell r="AC5041"><v>21276694</v></cell><cell r="AD5041"><v>720195</v></cell><cell r="AE5041" t="str"><v>Facebook</v></cell><cell r="AF5041"><v>3654128</v></cell><cell r="AG5041" t="str"><v>Facebook»AZP-Retargeting»1x1»Newsfeed»LIA»ALL»CPM»RT»X»UNK»SS»NA»Developer-Open Source</v></cell><cell r="AH5041"><v>225671573</v></cell><cell r="AI5041" t="str"><v>AZR_FreeAcctDeveloperFB-AnimatedOpenSource-Ch2_JPN_1200x1200_SOC_Direct_JA_Trial_Standard_ANI_LEA_T2_1</v></cell><cell r="AJ5041"><v>104060553</v></cell></row><row r="5042"><cell r="C5042" t="str"><v>43317FACEBOOK»USA-Trial-ITD-Interest Prospecting-AZR-AZR»1 x 1»SocialBan»CAN»ALL»CPA»PRO»X»NA»SS»NA»FBCTCBenefit2inMotion»PRC1SW</v></cell><cell r="D5042" t="str"><v>43317223933138</v></cell><cell r="E5042" t="str"><v>43317103043835PRC1SW</v></cell><cell r="F5042" t="str"><v>DCM</v></cell><cell r="G5042" t="str"><v>https://signup.azure.com/?OCID=AID%eexcid!_OLA_%ebuy!_%epid!_%ecid!</v></cell></row><row r="5042"><cell r="K5042" t="str"><v>August</v></cell><cell r="L5042"><v>43323</v></cell><cell r="M5042" t="str"><v>Tier 0</v></cell><cell r="N5042" t="str"><v>North America</v></cell><cell r="O5042" t="str"><v>United States</v></cell><cell r="P5042" t="str"><v>Trial</v></cell><cell r="Q5042" t="str"><v>Social</v></cell><cell r="R5042" t="str"><v>Azure</v></cell><cell r="S5042" t="str"><v>Apps & Infra</v></cell><cell r="T5042" t="str"><v>Developers & ITI's</v></cell><cell r="U5042" t="str"><v>USA-Trial-ITD-Interest Prospecting-AZR-AZR</v></cell><cell r="V5042" t="str"><v>Prospecting</v></cell><cell r="W5042" t="str"><v>Canvas Ad</v></cell><cell r="X5042" t="str"><v>1x1</v></cell></row><row r="5042"><cell r="AA5042"><v>43317</v></cell><cell r="AB5042" t="str"><v>USA_gaPMG_AZR_AZR_Q1_19_Direct-Social</v></cell><cell r="AC5042"><v>21358715</v></cell><cell r="AD5042"><v>720197</v></cell><cell r="AE5042" t="str"><v>Facebook</v></cell><cell r="AF5042"><v>3654128</v></cell><cell r="AG5042" t="str"><v>FACEBOOK»USA-Trial-ITD-Interest Prospecting-AZR-AZR»1 x 1»SocialBan»CAN»ALL»CPA»PRO»X»NA»SS»NA»FBCTCBenefit2inMotion»PRC1SW</v></cell><cell r="AH5042"><v>223933138</v></cell><cell r="AI5042" t="str"><v>AzurePlatform_FBCTCBenefit2inMotion_USA_10s_CAN_PLATFORM_English_Trial_Standard_STAN_TIN_T4_1</v></cell><cell r="AJ5042"><v>103043835</v></cell></row><row r="5043"><cell r="C5043" t="str"><v>43317FACEBOOK»USA-Trial-ITD-Interest Prospecting-AZR-AZR»1 x 1»SocialBan»CAN»ALL»CPA»PRO»X»NA»SS»NA»FBCTCBenefit2inMotion»PRC1SW</v></cell><cell r="D5043" t="str"><v>43317223933138</v></cell><cell r="E5043" t="str"><v>43317103178645PRC1SW</v></cell><cell r="F5043" t="str"><v>DCM</v></cell><cell r="G5043" t="str"><v>https://azure.microsoft.com/en-us/pricing/purchase-options/?v=18.19&OCID=AID%eexcid!_OLA_%ebuy!_%epid!_%ecid!</v></cell></row><row r="5043"><cell r="K5043" t="str"><v>August</v></cell><cell r="L5043"><v>43323</v></cell><cell r="M5043" t="str"><v>Tier 0</v></cell><cell r="N5043" t="str"><v>North America</v></cell><cell r="O5043" t="str"><v>United States</v></cell><cell r="P5043" t="str"><v>Trial</v></cell><cell r="Q5043" t="str"><v>Social</v></cell><cell r="R5043" t="str"><v>Azure</v></cell><cell r="S5043" t="str"><v>Apps & Infra</v></cell><cell r="T5043" t="str"><v>Developers & ITI's</v></cell><cell r="U5043" t="str"><v>USA-Trial-ITD-Interest Prospecting-AZR-AZR</v></cell><cell r="V5043" t="str"><v>Prospecting</v></cell><cell r="W5043" t="str"><v>Canvas Ad</v></cell><cell r="X5043" t="str"><v>1x1</v></cell></row><row r="5043"><cell r="AA5043"><v>43317</v></cell><cell r="AB5043" t="str"><v>USA_gaPMG_AZR_AZR_Q1_19_Direct-Social</v></cell><cell r="AC5043"><v>21358715</v></cell><cell r="AD5043"><v>720197</v></cell><cell r="AE5043" t="str"><v>Facebook</v></cell><cell r="AF5043"><v>3654128</v></cell><cell r="AG5043" t="str"><v>FACEBOOK»USA-Trial-ITD-Interest Prospecting-AZR-AZR»1 x 1»SocialBan»CAN»ALL»CPA»PRO»X»NA»SS»NA»FBCTCBenefit2inMotion»PRC1SW</v></cell><cell r="AH5043"><v>223933138</v></cell><cell r="AI5043" t="str"><v>AzurePlatform_FBCTCBenefit2inMotion_USA_10s_CAN_PLATFORM_English_Trial_Standard_STAN_TIN_T4_2</v></cell><cell r="AJ5043"><v>103178645</v></cell></row><row r="5044"><cell r="C5044" t="str"><v>43317FACEBOOK»USA-Trial-ITD-Interest Prospecting-AZR-AZR»1 x 1»SocialBan»CAN»ALL»CPA»PRO»X»NA»SS»NA»FBCTCBrandinMotion»PRC1SY</v></cell><cell r="D5044" t="str"><v>43317224104929</v></cell><cell r="E5044" t="str"><v>43317103176812PRC1SY</v></cell><cell r="F5044" t="str"><v>DCM</v></cell><cell r="G5044" t="str"><v>https://signup.azure.com/?OCID=AID%eexcid!_OLA_%ebuy!_%epid!_%ecid!</v></cell></row><row r="5044"><cell r="K5044" t="str"><v>August</v></cell><cell r="L5044"><v>43323</v></cell><cell r="M5044" t="str"><v>Tier 0</v></cell><cell r="N5044" t="str"><v>North America</v></cell><cell r="O5044" t="str"><v>United States</v></cell><cell r="P5044" t="str"><v>Trial</v></cell><cell r="Q5044" t="str"><v>Social</v></cell><cell r="R5044" t="str"><v>Azure</v></cell><cell r="S5044" t="str"><v>Apps & Infra</v></cell><cell r="T5044" t="str"><v>Developers & ITI's</v></cell><cell r="U5044" t="str"><v>USA-Trial-ITD-Interest Prospecting-AZR-AZR</v></cell><cell r="V5044" t="str"><v>Prospecting</v></cell><cell r="W5044" t="str"><v>Canvas Ad</v></cell><cell r="X5044" t="str"><v>1x1</v></cell></row><row r="5044"><cell r="AA5044"><v>43317</v></cell><cell r="AB5044" t="str"><v>USA_gaPMG_AZR_AZR_Q1_19_Direct-Social</v></cell><cell r="AC5044"><v>21358715</v></cell><cell r="AD5044"><v>720197</v></cell><cell r="AE5044" t="str"><v>Facebook</v></cell><cell r="AF5044"><v>3654128</v></cell><cell r="AG5044" t="str"><v>FACEBOOK»USA-Trial-ITD-Interest Prospecting-AZR-AZR»1 x 1»SocialBan»CAN»ALL»CPA»PRO»X»NA»SS»NA»FBCTCBrandinMotion»PRC1SY</v></cell><cell r="AH5044"><v>224104929</v></cell><cell r="AI5044" t="str"><v>AzurePlatform_FBCTCBrandinMotion_USA_10s_CAN_PLATFORM_English_Trial_Standard_STAN_TIN_T2_1</v></cell><cell r="AJ5044"><v>103176812</v></cell></row><row r="5045"><cell r="C5045" t="str"><v>43317FACEBOOK»USA-Trial-ITD-Interest Prospecting-AZR-AZR»1 x 1»SocialBan»CAN»ALL»CPA»PRO»X»NA»SS»NA»FBCTCBrandinMotion»PRC1SY</v></cell><cell r="D5045" t="str"><v>43317224104929</v></cell><cell r="E5045" t="str"><v>43317103032823PRC1SY</v></cell><cell r="F5045" t="str"><v>DCM</v></cell><cell r="G5045" t="str"><v>https://azure.microsoft.com/en-us/pricing/purchase-options/?v=18.19&OCID=AID%eexcid!_OLA_%ebuy!_%epid!_%ecid!</v></cell></row><row r="5045"><cell r="K5045" t="str"><v>August</v></cell><cell r="L5045"><v>43323</v></cell><cell r="M5045" t="str"><v>Tier 0</v></cell><cell r="N5045" t="str"><v>North America</v></cell><cell r="O5045" t="str"><v>United States</v></cell><cell r="P5045" t="str"><v>Trial</v></cell><cell r="Q5045" t="str"><v>Social</v></cell><cell r="R5045" t="str"><v>Azure</v></cell><cell r="S5045" t="str"><v>Apps & Infra</v></cell><cell r="T5045" t="str"><v>Developers & ITI's</v></cell><cell r="U5045" t="str"><v>USA-Trial-ITD-Interest Prospecting-AZR-AZR</v></cell><cell r="V5045" t="str"><v>Prospecting</v></cell><cell r="W5045" t="str"><v>Canvas Ad</v></cell><cell r="X5045" t="str"><v>1x1</v></cell></row><row r="5045"><cell r="AA5045"><v>43317</v></cell><cell r="AB5045" t="str"><v>USA_gaPMG_AZR_AZR_Q1_19_Direct-Social</v></cell><cell r="AC5045"><v>21358715</v></cell><cell r="AD5045"><v>720197</v></cell><cell r="AE5045" t="str"><v>Facebook</v></cell><cell r="AF5045"><v>3654128</v></cell><cell r="AG5045" t="str"><v>FACEBOOK»USA-Trial-ITD-Interest Prospecting-AZR-AZR»1 x 1»SocialBan»CAN»ALL»CPA»PRO»X»NA»SS»NA»FBCTCBrandinMotion»PRC1SY</v></cell><cell r="AH5045"><v>224104929</v></cell><cell r="AI5045" t="str"><v>AzurePlatform_FBCTCBrandinMotion_USA_10s_CAN_PLATFORM_English_Trial_Standard_STAN_TIN_T2_2</v></cell><cell r="AJ5045"><v>103032823</v></cell></row><row r="5046"><cell r="C5046" t="str"><v>43317FACEBOOK»USA-Trial-ITD-Interest Prospecting-AZR-AZR»1 x 1»SocialBan»LIA»ALL»CPA»PRO»X»NA»SS»NA»FreeAcctITProFB-AnimatedSecureMngd-Ch1»PRC1T4</v></cell><cell r="D5046" t="str"><v>43317224104914</v></cell><cell r="E5046" t="str"><v>43317103176830PRC1T4</v></cell><cell r="F5046" t="str"><v>DCM</v></cell></row><row r="5046"><cell r="K5046" t="str"><v>August</v></cell><cell r="L5046"><v>43323</v></cell><cell r="M5046" t="str"><v>Tier 0</v></cell><cell r="N5046" t="str"><v>North America</v></cell><cell r="O5046" t="str"><v>United States</v></cell><cell r="P5046" t="str"><v>Trial</v></cell><cell r="Q5046" t="str"><v>Social</v></cell><cell r="R5046" t="str"><v>Azure</v></cell><cell r="S5046" t="str"><v>Apps & Infra</v></cell><cell r="T5046" t="str"><v>Developers & ITI's</v></cell><cell r="U5046" t="str"><v>USA-Trial-ITD-Interest Prospecting-AZR-AZR</v></cell><cell r="V5046" t="str"><v>Prospecting</v></cell><cell r="W5046" t="str"><v>Link Ad</v></cell><cell r="X5046" t="str"><v>1x1</v></cell></row><row r="5046"><cell r="AA5046"><v>43317</v></cell><cell r="AB5046" t="str"><v>USA_gaPMG_AZR_AZR_Q1_19_Direct-Social</v></cell><cell r="AC5046"><v>21358715</v></cell><cell r="AD5046"><v>720197</v></cell><cell r="AE5046" t="str"><v>Facebook</v></cell><cell r="AF5046"><v>3654128</v></cell><cell r="AG5046" t="str"><v>FACEBOOK»USA-Trial-ITD-Interest Prospecting-AZR-AZR»1 x 1»SocialBan»LIA»ALL»CPA»PRO»X»NA»SS»NA»FreeAcctITProFB-AnimatedSecureMngd-Ch1»PRC1T4</v></cell><cell r="AH5046"><v>224104914</v></cell><cell r="AI5046" t="str"><v>AZR_FreeAcctITProFB-AnimatedSecureMngd-Ch1_USA_1200x1200_CAN_Direct_English_Trial_Standard_ANI_LEA_T1_1</v></cell><cell r="AJ5046"><v>103176830</v></cell></row><row r="5047"><cell r="C5047" t="str"><v>43317FACEBOOK»USA-Trial-ITD-Retargeting-AZR-AZR»1 x 1»SocialBan»LIA»ALL»CPA»RT»X»NA»SS»NA»FreeAcctDeveloperFB-AnimatedAI-Ch3»PRC26H</v></cell><cell r="D5047" t="str"><v>43317223863371</v></cell><cell r="E5047" t="str"><v>43317103032778PRC26H</v></cell><cell r="F5047" t="str"><v>DCM</v></cell></row><row r="5047"><cell r="K5047" t="str"><v>August</v></cell><cell r="L5047"><v>43323</v></cell><cell r="M5047" t="str"><v>Tier 0</v></cell><cell r="N5047" t="str"><v>North America</v></cell><cell r="O5047" t="str"><v>United States</v></cell><cell r="P5047" t="str"><v>Trial</v></cell><cell r="Q5047" t="str"><v>Social</v></cell><cell r="R5047" t="str"><v>Azure</v></cell><cell r="S5047" t="str"><v>Apps & Infra</v></cell><cell r="T5047" t="str"><v>Developers & ITI's</v></cell><cell r="U5047" t="str"><v>USA-Trial-ITD-Retargeting-AZR-AZR</v></cell><cell r="V5047" t="str"><v>Retargeting</v></cell><cell r="W5047" t="str"><v>Link Ad</v></cell><cell r="X5047" t="str"><v>1x1</v></cell></row><row r="5047"><cell r="AA5047"><v>43317</v></cell><cell r="AB5047" t="str"><v>USA_gaPMG_AZR_AZR_Q1_19_Direct-Social</v></cell><cell r="AC5047"><v>21358715</v></cell><cell r="AD5047"><v>720197</v></cell><cell r="AE5047" t="str"><v>Facebook</v></cell><cell r="AF5047"><v>3654128</v></cell><cell r="AG5047" t="str"><v>FACEBOOK»USA-Trial-ITD-Retargeting-AZR-AZR»1 x 1»SocialBan»LIA»ALL»CPA»RT»X»NA»SS»NA»FreeAcctDeveloperFB-AnimatedAI-Ch3»PRC26H</v></cell><cell r="AH5047"><v>223863371</v></cell><cell r="AI5047" t="str"><v>AZR_FreeAcctDeveloperFB-AnimatedAI-Ch3_USA_1200x1200_CAN_Direct_English_Trial_Standard_ANI_LEA_T3_1</v></cell><cell r="AJ5047"><v>103032778</v></cell></row><row r="5048"><cell r="C5048" t="str"><v>43317FACEBOOK»USA-Trial-ITD-Retargeting-AZR-AZR»1 x 1»SocialBan»LIA»ALL»CPA»RT»X»NA»SS»NA»FreeAcctITProFB-AnimatedMigration-Ch3»PRC26P</v></cell><cell r="D5048" t="str"><v>43317223934056</v></cell><cell r="E5048" t="str"><v>43317103176827PRC26P</v></cell><cell r="F5048" t="str"><v>DCM</v></cell></row><row r="5048"><cell r="K5048" t="str"><v>August</v></cell><cell r="L5048"><v>43323</v></cell><cell r="M5048" t="str"><v>Tier 0</v></cell><cell r="N5048" t="str"><v>North America</v></cell><cell r="O5048" t="str"><v>United States</v></cell><cell r="P5048" t="str"><v>Trial</v></cell><cell r="Q5048" t="str"><v>Social</v></cell><cell r="R5048" t="str"><v>Azure</v></cell><cell r="S5048" t="str"><v>Apps & Infra</v></cell><cell r="T5048" t="str"><v>Developers & ITI's</v></cell><cell r="U5048" t="str"><v>USA-Trial-ITD-Retargeting-AZR-AZR</v></cell><cell r="V5048" t="str"><v>Retargeting</v></cell><cell r="W5048" t="str"><v>Link Ad</v></cell><cell r="X5048" t="str"><v>1x1</v></cell></row><row r="5048"><cell r="AA5048"><v>43317</v></cell><cell r="AB5048" t="str"><v>USA_gaPMG_AZR_AZR_Q1_19_Direct-Social</v></cell><cell r="AC5048"><v>21358715</v></cell><cell r="AD5048"><v>720197</v></cell><cell r="AE5048" t="str"><v>Facebook</v></cell><cell r="AF5048"><v>3654128</v></cell><cell r="AG5048" t="str"><v>FACEBOOK»USA-Trial-ITD-Retargeting-AZR-AZR»1 x 1»SocialBan»LIA»ALL»CPA»RT»X»NA»SS»NA»FreeAcctITProFB-AnimatedMigration-Ch3»PRC26P</v></cell><cell r="AH5048"><v>223934056</v></cell><cell r="AI5048" t="str"><v>AZR_FreeAcctITProFB-AnimatedMigration-Ch3_USA_1200x1200_CAN_Direct_English_Trial_Standard_ANI_LEA_T3_1</v></cell><cell r="AJ5048"><v>103176827</v></cell></row><row r="5049"><cell r="C5049" t="str"><v>43317FACEBOOK»USA-Trial-ITD-Retargeting-AZR-AZR»1 x 1»SocialBan»LIA»ALL»CPA»RT»X»NA»SS»NA»FreeAcctRetargetingFB-Credit-ChA»PRC1RV</v></cell><cell r="D5049" t="str"><v>43317224106075</v></cell><cell r="E5049" t="str"><v>43317103034917PRC1RV</v></cell><cell r="F5049" t="str"><v>DCM</v></cell><cell r="G5049" t="str"><v>https://azure.microsoft.com/en-us/free/search/?OCID=AID%eexcid!_OLA_%ebuy!_%epid!_%ecid!</v></cell></row><row r="5049"><cell r="K5049" t="str"><v>August</v></cell><cell r="L5049"><v>43323</v></cell><cell r="M5049" t="str"><v>Tier 0</v></cell><cell r="N5049" t="str"><v>North America</v></cell><cell r="O5049" t="str"><v>United States</v></cell><cell r="P5049" t="str"><v>Trial</v></cell><cell r="Q5049" t="str"><v>Social</v></cell><cell r="R5049" t="str"><v>Azure</v></cell><cell r="S5049" t="str"><v>Apps & Infra</v></cell><cell r="T5049" t="str"><v>Developers & ITI's</v></cell><cell r="U5049" t="str"><v>USA-Trial-ITD-Retargeting-AZR-AZR</v></cell><cell r="V5049" t="str"><v>Retargeting</v></cell><cell r="W5049" t="str"><v>Link Ad</v></cell><cell r="X5049" t="str"><v>1x1</v></cell></row><row r="5049"><cell r="AA5049"><v>43317</v></cell><cell r="AB5049" t="str"><v>USA_gaPMG_AZR_AZR_Q1_19_Direct-Social</v></cell><cell r="AC5049"><v>21358715</v></cell><cell r="AD5049"><v>720197</v></cell><cell r="AE5049" t="str"><v>Facebook</v></cell><cell r="AF5049"><v>3654128</v></cell><cell r="AG5049" t="str"><v>FACEBOOK»USA-Trial-ITD-Retargeting-AZR-AZR»1 x 1»SocialBan»LIA»ALL»CPA»RT»X»NA»SS»NA»FreeAcctRetargetingFB-Credit-ChA»PRC1RV</v></cell><cell r="AH5049"><v>224106075</v></cell><cell r="AI5049" t="str"><v>AzurePlatform_FreeAcctRetargetingFB-Credit-ChA_USA_1200x628_CAN_PLATFORM_English_Free Account_Standard_NA_SINU_T1_2</v></cell><cell r="AJ5049"><v>103034917</v></cell></row><row r="5050"><cell r="C5050" t="str"><v>43317FACEBOOK»USA-Trial-ITD-Retargeting-AZR-AZR»1 x 1»SocialBan»LIA»ALL»CPA»RT»X»NA»SS»NA»FreeAcctRetargetingFB-GlobalAlt-ChB»PRC1RW</v></cell><cell r="D5050" t="str"><v>43317223862756</v></cell><cell r="E5050" t="str"><v>43317103180592PRC1RW</v></cell><cell r="F5050" t="str"><v>DCM</v></cell><cell r="G5050" t="str"><v>https://azure.microsoft.com/en-us/free/search/?OCID=AID%eexcid!_OLA_%ebuy!_%epid!_%ecid!</v></cell></row><row r="5050"><cell r="K5050" t="str"><v>August</v></cell><cell r="L5050"><v>43323</v></cell><cell r="M5050" t="str"><v>Tier 0</v></cell><cell r="N5050" t="str"><v>North America</v></cell><cell r="O5050" t="str"><v>United States</v></cell><cell r="P5050" t="str"><v>Trial</v></cell><cell r="Q5050" t="str"><v>Social</v></cell><cell r="R5050" t="str"><v>Azure</v></cell><cell r="S5050" t="str"><v>Apps & Infra</v></cell><cell r="T5050" t="str"><v>Developers & ITI's</v></cell><cell r="U5050" t="str"><v>USA-Trial-ITD-Retargeting-AZR-AZR</v></cell><cell r="V5050" t="str"><v>Retargeting</v></cell><cell r="W5050" t="str"><v>Link Ad</v></cell><cell r="X5050" t="str"><v>1x1</v></cell></row><row r="5050"><cell r="AA5050"><v>43317</v></cell><cell r="AB5050" t="str"><v>USA_gaPMG_AZR_AZR_Q1_19_Direct-Social</v></cell><cell r="AC5050"><v>21358715</v></cell><cell r="AD5050"><v>720197</v></cell><cell r="AE5050" t="str"><v>Facebook</v></cell><cell r="AF5050"><v>3654128</v></cell><cell r="AG5050" t="str"><v>FACEBOOK»USA-Trial-ITD-Retargeting-AZR-AZR»1 x 1»SocialBan»LIA»ALL»CPA»RT»X»NA»SS»NA»FreeAcctRetargetingFB-GlobalAlt-ChB»PRC1RW</v></cell><cell r="AH5050"><v>223862756</v></cell><cell r="AI5050" t="str"><v>AzurePlatform_FreeAcctRetargetingFB-GlobalAlt-ChB_USA_1200x628_CAN_PLATFORM_English_Free Account_Standard_NA_SINU_T2_1</v></cell><cell r="AJ5050"><v>103180592</v></cell></row><row r="5051"><cell r="C5051" t="str"><v>43317FACEBOOK»USA-Trial-ITD-Retargeting-AZR-AZR»1 x 1»SocialBan»LIA»ALL»CPA»RT»X»NA»SS»NA»FreeAcctRetargetingVMFB-750Hrs-ChD»PRC1RY</v></cell><cell r="D5051" t="str"><v>43317223862747</v></cell><cell r="E5051" t="str"><v>43317103034911PRC1RY</v></cell><cell r="F5051" t="str"><v>DCM</v></cell><cell r="G5051" t="str"><v>https://azure.microsoft.com/en-us/free/virtual-machines/search/?OCID=AID%eexcid!_OLA_%ebuy!_%epid!_%ecid!</v></cell></row><row r="5051"><cell r="K5051" t="str"><v>August</v></cell><cell r="L5051"><v>43323</v></cell><cell r="M5051" t="str"><v>Tier 0</v></cell><cell r="N5051" t="str"><v>North America</v></cell><cell r="O5051" t="str"><v>United States</v></cell><cell r="P5051" t="str"><v>Trial</v></cell><cell r="Q5051" t="str"><v>Social</v></cell><cell r="R5051" t="str"><v>Azure</v></cell><cell r="S5051" t="str"><v>Apps & Infra</v></cell><cell r="T5051" t="str"><v>Developers & ITI's</v></cell><cell r="U5051" t="str"><v>USA-Trial-ITD-Retargeting-AZR-AZR</v></cell><cell r="V5051" t="str"><v>Retargeting</v></cell><cell r="W5051" t="str"><v>Link Ad</v></cell><cell r="X5051" t="str"><v>1x1</v></cell></row><row r="5051"><cell r="AA5051"><v>43317</v></cell><cell r="AB5051" t="str"><v>USA_gaPMG_AZR_AZR_Q1_19_Direct-Social</v></cell><cell r="AC5051"><v>21358715</v></cell><cell r="AD5051"><v>720197</v></cell><cell r="AE5051" t="str"><v>Facebook</v></cell><cell r="AF5051"><v>3654128</v></cell><cell r="AG5051" t="str"><v>FACEBOOK»USA-Trial-ITD-Retargeting-AZR-AZR»1 x 1»SocialBan»LIA»ALL»CPA»RT»X»NA»SS»NA»FreeAcctRetargetingVMFB-750Hrs-ChD»PRC1RY</v></cell><cell r="AH5051"><v>223862747</v></cell><cell r="AI5051" t="str"><v>AzurePlatform_FreeAcctRetargetingVMFB-750Hrs-ChD_USA_1200x628_CAN_PLATFORM_English_Free Account_Standard_NA_SINU_T1_1</v></cell><cell r="AJ5051"><v>103034911</v></cell></row><row r="5052"><cell r="C5052" t="str"><v>43317FACEBOOK»USA-Trial-ITD-Retargeting-AZR-AZR»1 x 1»SocialBan»LIA»ALL»CPA»RT»X»NA»SS»NA»FreeAcctRetargetingVMFB-OnDemand-ChE»PRC1S0</v></cell><cell r="D5052" t="str"><v>43317224104899</v></cell><cell r="E5052" t="str"><v>43317103180610PRC1S0</v></cell><cell r="F5052" t="str"><v>DCM</v></cell><cell r="G5052" t="str"><v>https://azure.microsoft.com/en-us/free/virtual-machines/search/?OCID=AID%eexcid!_OLA_%ebuy!_%epid!_%ecid!</v></cell></row><row r="5052"><cell r="K5052" t="str"><v>August</v></cell><cell r="L5052"><v>43323</v></cell><cell r="M5052" t="str"><v>Tier 0</v></cell><cell r="N5052" t="str"><v>North America</v></cell><cell r="O5052" t="str"><v>United States</v></cell><cell r="P5052" t="str"><v>Trial</v></cell><cell r="Q5052" t="str"><v>Social</v></cell><cell r="R5052" t="str"><v>Azure</v></cell><cell r="S5052" t="str"><v>Apps & Infra</v></cell><cell r="T5052" t="str"><v>Developers & ITI's</v></cell><cell r="U5052" t="str"><v>USA-Trial-ITD-Retargeting-AZR-AZR</v></cell><cell r="V5052" t="str"><v>Retargeting</v></cell><cell r="W5052" t="str"><v>Link Ad</v></cell><cell r="X5052" t="str"><v>1x1</v></cell></row><row r="5052"><cell r="AA5052"><v>43317</v></cell><cell r="AB5052" t="str"><v>USA_gaPMG_AZR_AZR_Q1_19_Direct-Social</v></cell><cell r="AC5052"><v>21358715</v></cell><cell r="AD5052"><v>720197</v></cell><cell r="AE5052" t="str"><v>Facebook</v></cell><cell r="AF5052"><v>3654128</v></cell><cell r="AG5052" t="str"><v>FACEBOOK»USA-Trial-ITD-Retargeting-AZR-AZR»1 x 1»SocialBan»LIA»ALL»CPA»RT»X»NA»SS»NA»FreeAcctRetargetingVMFB-OnDemand-ChE»PRC1S0</v></cell><cell r="AH5052"><v>224104899</v></cell><cell r="AI5052" t="str"><v>AzurePlatform_FreeAcctRetargetingVMFB-OnDemand-ChE_USA_1200x628_CAN_PLATFORM_English_Free Account_Standard_NA_SINU_T2_1</v></cell><cell r="AJ5052"><v>103180610</v></cell></row><row r="5053"><cell r="C5053" t="str"><v>43317FACEBOOK»USA-Trial-ITD-Retargeting-AZR-AZR»1 x 1»SocialBan»CAN»ALL»CPA»RT»X»NA»SS»NA»FBCTCBrandinMotion»PRC1RT</v></cell><cell r="D5053" t="str"><v>43317224106069</v></cell><cell r="E5053" t="str"><v>43317103176812PRC1RT</v></cell><cell r="F5053" t="str"><v>DCM</v></cell><cell r="G5053" t="str"><v>https://signup.azure.com/?OCID=AID%eexcid!_OLA_%ebuy!_%epid!_%ecid!</v></cell></row><row r="5053"><cell r="K5053" t="str"><v>August</v></cell><cell r="L5053"><v>43323</v></cell><cell r="M5053" t="str"><v>Tier 0</v></cell><cell r="N5053" t="str"><v>North America</v></cell><cell r="O5053" t="str"><v>United States</v></cell><cell r="P5053" t="str"><v>Trial</v></cell><cell r="Q5053" t="str"><v>Social</v></cell><cell r="R5053" t="str"><v>Azure</v></cell><cell r="S5053" t="str"><v>Apps & Infra</v></cell><cell r="T5053" t="str"><v>Developers & ITI's</v></cell><cell r="U5053" t="str"><v>USA-Trial-ITD-Retargeting-AZR-AZR</v></cell><cell r="V5053" t="str"><v>Retargeting</v></cell><cell r="W5053" t="str"><v>Canvas Ad</v></cell><cell r="X5053" t="str"><v>1x1</v></cell></row><row r="5053"><cell r="AA5053"><v>43317</v></cell><cell r="AB5053" t="str"><v>USA_gaPMG_AZR_AZR_Q1_19_Direct-Social</v></cell><cell r="AC5053"><v>21358715</v></cell><cell r="AD5053"><v>720197</v></cell><cell r="AE5053" t="str"><v>Facebook</v></cell><cell r="AF5053"><v>3654128</v></cell><cell r="AG5053" t="str"><v>FACEBOOK»USA-Trial-ITD-Retargeting-AZR-AZR»1 x 1»SocialBan»CAN»ALL»CPA»RT»X»NA»SS»NA»FBCTCBrandinMotion»PRC1RT</v></cell><cell r="AH5053"><v>224106069</v></cell><cell r="AI5053" t="str"><v>AzurePlatform_FBCTCBrandinMotion_USA_10s_CAN_PLATFORM_English_Trial_Standard_STAN_TIN_T2_1</v></cell><cell r="AJ5053"><v>103176812</v></cell></row><row r="5054"><cell r="C5054" t="str"><v>43317FACEBOOK»USA-Trial-ITD-Trial Lookalike-AZR-AZR»1 x 1»SocialBan»CAN»ALL»CPA»LAL»X»NA»SS»NA»FBCTCBenefit2inMotion»PRC1M0</v></cell><cell r="D5054" t="str"><v>43317223862927</v></cell><cell r="E5054" t="str"><v>43317103043835PRC1M0</v></cell><cell r="F5054" t="str"><v>DCM</v></cell><cell r="G5054" t="str"><v>https://signup.azure.com/?OCID=AID%eexcid!_OLA_%ebuy!_%epid!_%ecid!</v></cell></row><row r="5054"><cell r="K5054" t="str"><v>August</v></cell><cell r="L5054"><v>43323</v></cell><cell r="M5054" t="str"><v>Tier 0</v></cell><cell r="N5054" t="str"><v>North America</v></cell><cell r="O5054" t="str"><v>United States</v></cell><cell r="P5054" t="str"><v>Trial</v></cell><cell r="Q5054" t="str"><v>Social</v></cell><cell r="R5054" t="str"><v>Azure</v></cell><cell r="S5054" t="str"><v>Apps & Infra</v></cell><cell r="T5054" t="str"><v>Developers & ITI's</v></cell><cell r="U5054" t="str"><v>USA-Trial-ITD-Trial Lookalike-AZR-AZR</v></cell><cell r="V5054" t="str"><v>Lookalike Targeting</v></cell><cell r="W5054" t="str"><v>Canvas Ad</v></cell><cell r="X5054" t="str"><v>1x1</v></cell></row><row r="5054"><cell r="AA5054"><v>43317</v></cell><cell r="AB5054" t="str"><v>USA_gaPMG_AZR_AZR_Q1_19_Direct-Social</v></cell><cell r="AC5054"><v>21358715</v></cell><cell r="AD5054"><v>720197</v></cell><cell r="AE5054" t="str"><v>Facebook</v></cell><cell r="AF5054"><v>3654128</v></cell><cell r="AG5054" t="str"><v>FACEBOOK»USA-Trial-ITD-Trial Lookalike-AZR-AZR»1 x 1»SocialBan»CAN»ALL»CPA»LAL»X»NA»SS»NA»FBCTCBenefit2inMotion»PRC1M0</v></cell><cell r="AH5054"><v>223862927</v></cell><cell r="AI5054" t="str"><v>AzurePlatform_FBCTCBenefit2inMotion_USA_10s_CAN_PLATFORM_English_Trial_Standard_STAN_TIN_T4_1</v></cell><cell r="AJ5054"><v>103043835</v></cell></row><row r="5055"><cell r="C5055" t="str"><v>43317FACEBOOK»USA-Trial-ITD-Trial Lookalike-AZR-AZR»1 x 1»SocialBan»CAN»ALL»CPA»LAL»X»NA»SS»NA»FBCTCBenefit2inMotion»PRC1M0</v></cell><cell r="D5055" t="str"><v>43317223862927</v></cell><cell r="E5055" t="str"><v>43317103178645PRC1M0</v></cell><cell r="F5055" t="str"><v>DCM</v></cell><cell r="G5055" t="str"><v>https://azure.microsoft.com/en-us/pricing/purchase-options/?v=18.19&OCID=AID%eexcid!_OLA_%ebuy!_%epid!_%ecid!</v></cell></row><row r="5055"><cell r="K5055" t="str"><v>August</v></cell><cell r="L5055"><v>43323</v></cell><cell r="M5055" t="str"><v>Tier 0</v></cell><cell r="N5055" t="str"><v>North America</v></cell><cell r="O5055" t="str"><v>United States</v></cell><cell r="P5055" t="str"><v>Trial</v></cell><cell r="Q5055" t="str"><v>Social</v></cell><cell r="R5055" t="str"><v>Azure</v></cell><cell r="S5055" t="str"><v>Apps & Infra</v></cell><cell r="T5055" t="str"><v>Developers & ITI's</v></cell><cell r="U5055" t="str"><v>USA-Trial-ITD-Trial Lookalike-AZR-AZR</v></cell><cell r="V5055" t="str"><v>Lookalike Targeting</v></cell><cell r="W5055" t="str"><v>Canvas Ad</v></cell><cell r="X5055" t="str"><v>1x1</v></cell></row><row r="5055"><cell r="AA5055"><v>43317</v></cell><cell r="AB5055" t="str"><v>USA_gaPMG_AZR_AZR_Q1_19_Direct-Social</v></cell><cell r="AC5055"><v>21358715</v></cell><cell r="AD5055"><v>720197</v></cell><cell r="AE5055" t="str"><v>Facebook</v></cell><cell r="AF5055"><v>3654128</v></cell><cell r="AG5055" t="str"><v>FACEBOOK»USA-Trial-ITD-Trial Lookalike-AZR-AZR»1 x 1»SocialBan»CAN»ALL»CPA»LAL»X»NA»SS»NA»FBCTCBenefit2inMotion»PRC1M0</v></cell><cell r="AH5055"><v>223862927</v></cell><cell r="AI5055" t="str"><v>AzurePlatform_FBCTCBenefit2inMotion_USA_10s_CAN_PLATFORM_English_Trial_Standard_STAN_TIN_T4_2</v></cell><cell r="AJ5055"><v>103178645</v></cell></row><row r="5056"><cell r="C5056" t="str"><v>43317FACEBOOK»USA-Trial-ITD-Trial Lookalike-AZR-AZR»1 x 1»SocialBan»LIA»ALL»CPA»LAL»X»NA»SS»NA»FreeAcctDeveloperFB-AnimatedAI-Ch3»PRC1M7</v></cell><cell r="D5056" t="str"><v>43317223934104</v></cell><cell r="E5056" t="str"><v>43317103032778PRC1M7</v></cell><cell r="F5056" t="str"><v>DCM</v></cell></row><row r="5056"><cell r="K5056" t="str"><v>August</v></cell><cell r="L5056"><v>43323</v></cell><cell r="M5056" t="str"><v>Tier 0</v></cell><cell r="N5056" t="str"><v>North America</v></cell><cell r="O5056" t="str"><v>United States</v></cell><cell r="P5056" t="str"><v>Trial</v></cell><cell r="Q5056" t="str"><v>Social</v></cell><cell r="R5056" t="str"><v>Azure</v></cell><cell r="S5056" t="str"><v>Apps & Infra</v></cell><cell r="T5056" t="str"><v>Developers & ITI's</v></cell><cell r="U5056" t="str"><v>USA-Trial-ITD-Trial Lookalike-AZR-AZR</v></cell><cell r="V5056" t="str"><v>Lookalike Targeting</v></cell><cell r="W5056" t="str"><v>Link Ad</v></cell><cell r="X5056" t="str"><v>1x1</v></cell></row><row r="5056"><cell r="AA5056"><v>43317</v></cell><cell r="AB5056" t="str"><v>USA_gaPMG_AZR_AZR_Q1_19_Direct-Social</v></cell><cell r="AC5056"><v>21358715</v></cell><cell r="AD5056"><v>720197</v></cell><cell r="AE5056" t="str"><v>Facebook</v></cell><cell r="AF5056"><v>3654128</v></cell><cell r="AG5056" t="str"><v>FACEBOOK»USA-Trial-ITD-Trial Lookalike-AZR-AZR»1 x 1»SocialBan»LIA»ALL»CPA»LAL»X»NA»SS»NA»FreeAcctDeveloperFB-AnimatedAI-Ch3»PRC1M7</v></cell><cell r="AH5056"><v>223934104</v></cell><cell r="AI5056" t="str"><v>AZR_FreeAcctDeveloperFB-AnimatedAI-Ch3_USA_1200x1200_CAN_Direct_English_Trial_Standard_ANI_LEA_T3_1</v></cell><cell r="AJ5056"><v>103032778</v></cell></row><row r="5057"><cell r="C5057" t="str"><v>43317FACEBOOK»USA-Trial-ITD-Trial Lookalike-AZR-AZR»1 x 1»SocialBan»LIA»ALL»CPA»LAL»X»NA»SS»NA»FreeAcctDeveloperFB-AnimatedData-Ch4»PRC1M8</v></cell><cell r="D5057" t="str"><v>43317223862933</v></cell><cell r="E5057" t="str"><v>43317103037935PRC1M8</v></cell><cell r="F5057" t="str"><v>DCM</v></cell></row><row r="5057"><cell r="K5057" t="str"><v>August</v></cell><cell r="L5057"><v>43323</v></cell><cell r="M5057" t="str"><v>Tier 0</v></cell><cell r="N5057" t="str"><v>North America</v></cell><cell r="O5057" t="str"><v>United States</v></cell><cell r="P5057" t="str"><v>Trial</v></cell><cell r="Q5057" t="str"><v>Social</v></cell><cell r="R5057" t="str"><v>Azure</v></cell><cell r="S5057" t="str"><v>Apps & Infra</v></cell><cell r="T5057" t="str"><v>Developers & ITI's</v></cell><cell r="U5057" t="str"><v>USA-Trial-ITD-Trial Lookalike-AZR-AZR</v></cell><cell r="V5057" t="str"><v>Lookalike Targeting</v></cell><cell r="W5057" t="str"><v>Link Ad</v></cell><cell r="X5057" t="str"><v>1x1</v></cell></row><row r="5057"><cell r="AA5057"><v>43317</v></cell><cell r="AB5057" t="str"><v>USA_gaPMG_AZR_AZR_Q1_19_Direct-Social</v></cell><cell r="AC5057"><v>21358715</v></cell><cell r="AD5057"><v>720197</v></cell><cell r="AE5057" t="str"><v>Facebook</v></cell><cell r="AF5057"><v>3654128</v></cell><cell r="AG5057" t="str"><v>FACEBOOK»USA-Trial-ITD-Trial Lookalike-AZR-AZR»1 x 1»SocialBan»LIA»ALL»CPA»LAL»X»NA»SS»NA»FreeAcctDeveloperFB-AnimatedData-Ch4»PRC1M8</v></cell><cell r="AH5057"><v>223862933</v></cell><cell r="AI5057" t="str"><v>AZR_FreeAcctDeveloperFB-AnimatedData-Ch4_USA_1200x1200_CAN_Direct_English_Trial_Standard_ANI_LEA_T4_2</v></cell><cell r="AJ5057"><v>103037935</v></cell></row><row r="5058"><cell r="C5058" t="str"><v>43317FACEBOOK»USA-Trial-ITD-Trial PayGo Lookalike-AZR-AZR»1 x 1»SocialBan»CAN»ALL»CPA»LAL»X»NA»SS»NA»FBCTCBenefit2inMotion»PRC1Q1</v></cell><cell r="D5058" t="str"><v>43317224104986</v></cell><cell r="E5058" t="str"><v>43317103043835PRC1Q1</v></cell><cell r="F5058" t="str"><v>DCM</v></cell><cell r="G5058" t="str"><v>https://signup.azure.com/?OCID=AID%eexcid!_OLA_%ebuy!_%epid!_%ecid!</v></cell></row><row r="5058"><cell r="K5058" t="str"><v>August</v></cell><cell r="L5058"><v>43323</v></cell><cell r="M5058" t="str"><v>Tier 0</v></cell><cell r="N5058" t="str"><v>North America</v></cell><cell r="O5058" t="str"><v>United States</v></cell><cell r="P5058" t="str"><v>Trial</v></cell><cell r="Q5058" t="str"><v>Social</v></cell><cell r="R5058" t="str"><v>Azure</v></cell><cell r="S5058" t="str"><v>Apps & Infra</v></cell><cell r="T5058" t="str"><v>Developers & ITI's</v></cell><cell r="U5058" t="str"><v>USA-Trial-ITD-Trial PayGo Lookalike-AZR-AZR</v></cell><cell r="V5058" t="str"><v>Lookalike Targeting</v></cell><cell r="W5058" t="str"><v>Canvas Ad</v></cell><cell r="X5058" t="str"><v>1x1</v></cell></row><row r="5058"><cell r="AA5058"><v>43317</v></cell><cell r="AB5058" t="str"><v>USA_gaPMG_AZR_AZR_Q1_19_Direct-Social</v></cell><cell r="AC5058"><v>21358715</v></cell><cell r="AD5058"><v>720197</v></cell><cell r="AE5058" t="str"><v>Facebook</v></cell><cell r="AF5058"><v>3654128</v></cell><cell r="AG5058" t="str"><v>FACEBOOK»USA-Trial-ITD-Trial PayGo Lookalike-AZR-AZR»1 x 1»SocialBan»CAN»ALL»CPA»LAL»X»NA»SS»NA»FBCTCBenefit2inMotion»PRC1Q1</v></cell><cell r="AH5058"><v>224104986</v></cell><cell r="AI5058" t="str"><v>AzurePlatform_FBCTCBenefit2inMotion_USA_10s_CAN_PLATFORM_English_Trial_Standard_STAN_TIN_T4_1</v></cell><cell r="AJ5058"><v>103043835</v></cell></row><row r="5059"><cell r="C5059" t="str"><v>43317FACEBOOK»USA-Trial-ITD-Trial PayGo Lookalike-AZR-AZR»1 x 1»SocialBan»CAN»ALL»CPA»LAL»X»NA»SS»NA»FBCTCBenefit2inMotion»PRC1Q1</v></cell><cell r="D5059" t="str"><v>43317224104986</v></cell><cell r="E5059" t="str"><v>43317103178645PRC1Q1</v></cell><cell r="F5059" t="str"><v>DCM</v></cell><cell r="G5059" t="str"><v>https://azure.microsoft.com/en-us/pricing/purchase-options/?v=18.19&OCID=AID%eexcid!_OLA_%ebuy!_%epid!_%ecid!</v></cell></row><row r="5059"><cell r="K5059" t="str"><v>August</v></cell><cell r="L5059"><v>43323</v></cell><cell r="M5059" t="str"><v>Tier 0</v></cell><cell r="N5059" t="str"><v>North America</v></cell><cell r="O5059" t="str"><v>United States</v></cell><cell r="P5059" t="str"><v>Trial</v></cell><cell r="Q5059" t="str"><v>Social</v></cell><cell r="R5059" t="str"><v>Azure</v></cell><cell r="S5059" t="str"><v>Apps & Infra</v></cell><cell r="T5059" t="str"><v>Developers & ITI's</v></cell><cell r="U5059" t="str"><v>USA-Trial-ITD-Trial PayGo Lookalike-AZR-AZR</v></cell><cell r="V5059" t="str"><v>Lookalike Targeting</v></cell><cell r="W5059" t="str"><v>Canvas Ad</v></cell><cell r="X5059" t="str"><v>1x1</v></cell></row><row r="5059"><cell r="AA5059"><v>43317</v></cell><cell r="AB5059" t="str"><v>USA_gaPMG_AZR_AZR_Q1_19_Direct-Social</v></cell><cell r="AC5059"><v>21358715</v></cell><cell r="AD5059"><v>720197</v></cell><cell r="AE5059" t="str"><v>Facebook</v></cell><cell r="AF5059"><v>3654128</v></cell><cell r="AG5059" t="str"><v>FACEBOOK»USA-Trial-ITD-Trial PayGo Lookalike-AZR-AZR»1 x 1»SocialBan»CAN»ALL»CPA»LAL»X»NA»SS»NA»FBCTCBenefit2inMotion»PRC1Q1</v></cell><cell r="AH5059"><v>224104986</v></cell><cell r="AI5059" t="str"><v>AzurePlatform_FBCTCBenefit2inMotion_USA_10s_CAN_PLATFORM_English_Trial_Standard_STAN_TIN_T4_2</v></cell><cell r="AJ5059"><v>103178645</v></cell></row><row r="5060"><cell r="C5060" t="str"><v>43317FACEBOOK»USA-Trial-ITD-Trial PayGo Lookalike-AZR-AZR»1 x 1»SocialBan»CAN»ALL»CPA»LAL»X»NA»SS»NA»FBCTCBrandinMotion»PRC1Q3</v></cell><cell r="D5060" t="str"><v>43317223935349</v></cell><cell r="E5060" t="str"><v>43317103176812PRC1Q3</v></cell><cell r="F5060" t="str"><v>DCM</v></cell><cell r="G5060" t="str"><v>https://signup.azure.com/?OCID=AID%eexcid!_OLA_%ebuy!_%epid!_%ecid!</v></cell></row><row r="5060"><cell r="K5060" t="str"><v>August</v></cell><cell r="L5060"><v>43323</v></cell><cell r="M5060" t="str"><v>Tier 0</v></cell><cell r="N5060" t="str"><v>North America</v></cell><cell r="O5060" t="str"><v>United States</v></cell><cell r="P5060" t="str"><v>Trial</v></cell><cell r="Q5060" t="str"><v>Social</v></cell><cell r="R5060" t="str"><v>Azure</v></cell><cell r="S5060" t="str"><v>Apps & Infra</v></cell><cell r="T5060" t="str"><v>Developers & ITI's</v></cell><cell r="U5060" t="str"><v>USA-Trial-ITD-Trial PayGo Lookalike-AZR-AZR</v></cell><cell r="V5060" t="str"><v>Lookalike Targeting</v></cell><cell r="W5060" t="str"><v>Canvas Ad</v></cell><cell r="X5060" t="str"><v>1x1</v></cell></row><row r="5060"><cell r="AA5060"><v>43317</v></cell><cell r="AB5060" t="str"><v>USA_gaPMG_AZR_AZR_Q1_19_Direct-Social</v></cell><cell r="AC5060"><v>21358715</v></cell><cell r="AD5060"><v>720197</v></cell><cell r="AE5060" t="str"><v>Facebook</v></cell><cell r="AF5060"><v>3654128</v></cell><cell r="AG5060" t="str"><v>FACEBOOK»USA-Trial-ITD-Trial PayGo Lookalike-AZR-AZR»1 x 1»SocialBan»CAN»ALL»CPA»LAL»X»NA»SS»NA»FBCTCBrandinMotion»PRC1Q3</v></cell><cell r="AH5060"><v>223935349</v></cell><cell r="AI5060" t="str"><v>AzurePlatform_FBCTCBrandinMotion_USA_10s_CAN_PLATFORM_English_Trial_Standard_STAN_TIN_T2_1</v></cell><cell r="AJ5060"><v>103176812</v></cell></row><row r="5061"><cell r="C5061" t="str"><v>43317FACEBOOK»USA-Trial-ITD-Trial PayGo Lookalike-AZR-AZR»1 x 1»SocialBan»CAN»ALL»CPA»LAL»X»NA»SS»NA»FBCTCBrandinMotion»PRC1Q3</v></cell><cell r="D5061" t="str"><v>43317223935349</v></cell><cell r="E5061" t="str"><v>43317103032823PRC1Q3</v></cell><cell r="F5061" t="str"><v>DCM</v></cell><cell r="G5061" t="str"><v>https://azure.microsoft.com/en-us/pricing/purchase-options/?v=18.19&OCID=AID%eexcid!_OLA_%ebuy!_%epid!_%ecid!</v></cell></row><row r="5061"><cell r="K5061" t="str"><v>August</v></cell><cell r="L5061"><v>43323</v></cell><cell r="M5061" t="str"><v>Tier 0</v></cell><cell r="N5061" t="str"><v>North America</v></cell><cell r="O5061" t="str"><v>United States</v></cell><cell r="P5061" t="str"><v>Trial</v></cell><cell r="Q5061" t="str"><v>Social</v></cell><cell r="R5061" t="str"><v>Azure</v></cell><cell r="S5061" t="str"><v>Apps & Infra</v></cell><cell r="T5061" t="str"><v>Developers & ITI's</v></cell><cell r="U5061" t="str"><v>USA-Trial-ITD-Trial PayGo Lookalike-AZR-AZR</v></cell><cell r="V5061" t="str"><v>Lookalike Targeting</v></cell><cell r="W5061" t="str"><v>Canvas Ad</v></cell><cell r="X5061" t="str"><v>1x1</v></cell></row><row r="5061"><cell r="AA5061"><v>43317</v></cell><cell r="AB5061" t="str"><v>USA_gaPMG_AZR_AZR_Q1_19_Direct-Social</v></cell><cell r="AC5061"><v>21358715</v></cell><cell r="AD5061"><v>720197</v></cell><cell r="AE5061" t="str"><v>Facebook</v></cell><cell r="AF5061"><v>3654128</v></cell><cell r="AG5061" t="str"><v>FACEBOOK»USA-Trial-ITD-Trial PayGo Lookalike-AZR-AZR»1 x 1»SocialBan»CAN»ALL»CPA»LAL»X»NA»SS»NA»FBCTCBrandinMotion»PRC1Q3</v></cell><cell r="AH5061"><v>223935349</v></cell><cell r="AI5061" t="str"><v>AzurePlatform_FBCTCBrandinMotion_USA_10s_CAN_PLATFORM_English_Trial_Standard_STAN_TIN_T2_2</v></cell><cell r="AJ5061"><v>103032823</v></cell></row><row r="5062"><cell r="C5062" t="str"><v>43317FACEBOOK»USA-Trial-ITD-Trial PayGo Lookalike-AZR-AZR»1 x 1»SocialBan»CAN»ALL»CPA»LAL»X»NA»SS»NA»FBCTCBenefitinMotion»PRC1Q2</v></cell><cell r="D5062" t="str"><v>43317223862960</v></cell><cell r="E5062" t="str"><v>43317103032775PRC1Q2</v></cell><cell r="F5062" t="str"><v>DCM</v></cell><cell r="G5062" t="str"><v>https://signup.azure.com/?OCID=AID%eexcid!_OLA_%ebuy!_%epid!_%ecid!</v></cell></row><row r="5062"><cell r="K5062" t="str"><v>August</v></cell><cell r="L5062"><v>43323</v></cell><cell r="M5062" t="str"><v>Tier 0</v></cell><cell r="N5062" t="str"><v>North America</v></cell><cell r="O5062" t="str"><v>United States</v></cell><cell r="P5062" t="str"><v>Trial</v></cell><cell r="Q5062" t="str"><v>Social</v></cell><cell r="R5062" t="str"><v>Azure</v></cell><cell r="S5062" t="str"><v>Apps & Infra</v></cell><cell r="T5062" t="str"><v>Developers & ITI's</v></cell><cell r="U5062" t="str"><v>USA-Trial-ITD-Trial PayGo Lookalike-AZR-AZR</v></cell><cell r="V5062" t="str"><v>Lookalike Targeting</v></cell><cell r="W5062" t="str"><v>Canvas Ad</v></cell><cell r="X5062" t="str"><v>1x1</v></cell></row><row r="5062"><cell r="AA5062"><v>43317</v></cell><cell r="AB5062" t="str"><v>USA_gaPMG_AZR_AZR_Q1_19_Direct-Social</v></cell><cell r="AC5062"><v>21358715</v></cell><cell r="AD5062"><v>720197</v></cell><cell r="AE5062" t="str"><v>Facebook</v></cell><cell r="AF5062"><v>3654128</v></cell><cell r="AG5062" t="str"><v>FACEBOOK»USA-Trial-ITD-Trial PayGo Lookalike-AZR-AZR»1 x 1»SocialBan»CAN»ALL»CPA»LAL»X»NA»SS»NA»FBCTCBenefitinMotion»PRC1Q2</v></cell><cell r="AH5062"><v>223862960</v></cell><cell r="AI5062" t="str"><v>AzurePlatform_FBCTCBenefitinMotion_USA_10s_CAN_PLATFORM_English_Trial_Standard_STAN_TIN_T3_1</v></cell><cell r="AJ5062"><v>103032775</v></cell></row><row r="5063"><cell r="C5063" t="str"><v>43317FACEBOOK»USA-Trial-ITD-Trial PayGo Lookalike-AZR-AZR»1 x 1»SocialBan»LIA»ALL»CPA»LAL»X»NA»SS»NA»FreeAcctDeveloperFB-AnimatedGeneric-Ch1»PRC1Q6</v></cell><cell r="D5063" t="str"><v>43317224106129</v></cell><cell r="E5063" t="str"><v>43317103176851PRC1Q6</v></cell><cell r="F5063" t="str"><v>DCM</v></cell><cell r="G5063" t="str"><v>https://azure.microsoft.com/en-us/free/search/?OCID=AID%eexcid!_OLA_%ebuy!_%epid!_%ecid!</v></cell></row><row r="5063"><cell r="K5063" t="str"><v>August</v></cell><cell r="L5063"><v>43323</v></cell><cell r="M5063" t="str"><v>Tier 0</v></cell><cell r="N5063" t="str"><v>North America</v></cell><cell r="O5063" t="str"><v>United States</v></cell><cell r="P5063" t="str"><v>Trial</v></cell><cell r="Q5063" t="str"><v>Social</v></cell><cell r="R5063" t="str"><v>Azure</v></cell><cell r="S5063" t="str"><v>Apps & Infra</v></cell><cell r="T5063" t="str"><v>Developers & ITI's</v></cell><cell r="U5063" t="str"><v>USA-Trial-ITD-Trial PayGo Lookalike-AZR-AZR</v></cell><cell r="V5063" t="str"><v>Lookalike Targeting</v></cell><cell r="W5063" t="str"><v>Link Ad</v></cell><cell r="X5063" t="str"><v>1x1</v></cell></row><row r="5063"><cell r="AA5063"><v>43317</v></cell><cell r="AB5063" t="str"><v>USA_gaPMG_AZR_AZR_Q1_19_Direct-Social</v></cell><cell r="AC5063"><v>21358715</v></cell><cell r="AD5063"><v>720197</v></cell><cell r="AE5063" t="str"><v>Facebook</v></cell><cell r="AF5063"><v>3654128</v></cell><cell r="AG5063" t="str"><v>FACEBOOK»USA-Trial-ITD-Trial PayGo Lookalike-AZR-AZR»1 x 1»SocialBan»LIA»ALL»CPA»LAL»X»NA»SS»NA»FreeAcctDeveloperFB-AnimatedGeneric-Ch1»PRC1Q6</v></cell><cell r="AH5063"><v>224106129</v></cell><cell r="AI5063" t="str"><v>AZR_FreeAcctDeveloperFB-AnimatedGeneric-Ch1_USA_1200x1200_CAN_Direct_English_Trial_Standard_ANI_LEA_T1_2</v></cell><cell r="AJ5063"><v>103176851</v></cell></row><row r="5064"><cell r="C5064" t="str"><v>43317FACEBOOK»USA-Trial-ITD-Trial PayGo Lookalike-AZR-AZR»1 x 1»SocialBan»CCA»ALL»CPA»LAL»X»NA»SS»NA»Azure Developer Facebook Collections»PRSH6K</v></cell><cell r="D5064" t="str"><v>43317225217676</v></cell><cell r="E5064" t="str"><v>43317103776921PRSH6K</v></cell><cell r="F5064" t="str"><v>DCM</v></cell><cell r="G5064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064"><cell r="K5064" t="str"><v>August</v></cell><cell r="L5064"><v>43323</v></cell><cell r="M5064" t="str"><v>Tier 0</v></cell><cell r="N5064" t="str"><v>North America</v></cell><cell r="O5064" t="str"><v>United States</v></cell><cell r="P5064" t="str"><v>Trial</v></cell><cell r="Q5064" t="str"><v>Social</v></cell><cell r="R5064" t="str"><v>Azure</v></cell><cell r="S5064" t="str"><v>Apps & Infra</v></cell><cell r="T5064" t="str"><v>Developers & ITI's</v></cell><cell r="U5064" t="str"><v>USA-Trial-ITD-Trial PayGo Lookalike-AZR-AZR</v></cell><cell r="V5064" t="str"><v>Lookalike Targeting</v></cell><cell r="W5064" t="str"><v>Canvas Collection Ad</v></cell><cell r="X5064" t="str"><v>1x1</v></cell></row><row r="5064"><cell r="AA5064"><v>43317</v></cell><cell r="AB5064" t="str"><v>USA_gaPMG_AZR_AZR_Q1_19_Direct-Social</v></cell><cell r="AC5064"><v>21358715</v></cell><cell r="AD5064"><v>720197</v></cell><cell r="AE5064" t="str"><v>Facebook</v></cell><cell r="AF5064"><v>3654128</v></cell><cell r="AG5064" t="str"><v>FACEBOOK»USA-Trial-ITD-Trial PayGo Lookalike-AZR-AZR»1 x 1»SocialBan»CCA»ALL»CPA»LAL»X»NA»SS»NA»Azure Developer Facebook Collections»PRSH6K</v></cell><cell r="AH5064"><v>225217676</v></cell><cell r="AI5064" t="str"><v>AZR_FBCollections-FreeStuffTryAzureFreeCTA-Img5_USA_1200x182_SOC_Plat_EN_NA_Standard_NA_TIN_T1_5</v></cell><cell r="AJ5064"><v>103776921</v></cell></row><row r="5065"><cell r="C5065" t="str"><v>43317FACEBOOK»USA-Trial-ITD-Trial PayGo Lookalike-AZR-AZR»1 x 1»SocialBan»CCA»ALL»CPA»LAL»X»NA»SS»NA»Azure Developer Facebook Collections»PRSH6K</v></cell><cell r="D5065" t="str"><v>43317225217676</v></cell><cell r="E5065" t="str"><v>43317103773180PRSH6K</v></cell><cell r="F5065" t="str"><v>DCM</v></cell><cell r="G5065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065"><cell r="K5065" t="str"><v>August</v></cell><cell r="L5065"><v>43323</v></cell><cell r="M5065" t="str"><v>Tier 0</v></cell><cell r="N5065" t="str"><v>North America</v></cell><cell r="O5065" t="str"><v>United States</v></cell><cell r="P5065" t="str"><v>Trial</v></cell><cell r="Q5065" t="str"><v>Social</v></cell><cell r="R5065" t="str"><v>Azure</v></cell><cell r="S5065" t="str"><v>Apps & Infra</v></cell><cell r="T5065" t="str"><v>Developers & ITI's</v></cell><cell r="U5065" t="str"><v>USA-Trial-ITD-Trial PayGo Lookalike-AZR-AZR</v></cell><cell r="V5065" t="str"><v>Lookalike Targeting</v></cell><cell r="W5065" t="str"><v>Canvas Collection Ad</v></cell><cell r="X5065" t="str"><v>1x1</v></cell></row><row r="5065"><cell r="AA5065"><v>43317</v></cell><cell r="AB5065" t="str"><v>USA_gaPMG_AZR_AZR_Q1_19_Direct-Social</v></cell><cell r="AC5065"><v>21358715</v></cell><cell r="AD5065"><v>720197</v></cell><cell r="AE5065" t="str"><v>Facebook</v></cell><cell r="AF5065"><v>3654128</v></cell><cell r="AG5065" t="str"><v>FACEBOOK»USA-Trial-ITD-Trial PayGo Lookalike-AZR-AZR»1 x 1»SocialBan»CCA»ALL»CPA»LAL»X»NA»SS»NA»Azure Developer Facebook Collections»PRSH6K</v></cell><cell r="AH5065"><v>225217676</v></cell><cell r="AI5065" t="str"><v>AZR_FBCollections-SmartDataTryAzureFreeCTA-Img4_USA_1200x182_SOC_Plat_EN_NA_Standard_NA_TIN_T1_4</v></cell><cell r="AJ5065"><v>103773180</v></cell></row><row r="5066"><cell r="C5066" t="str"><v>43317INSTAGRAM»USA-Trial-ITD-Interest Prospecting-AZR-AZR»1 x 1»SocialBan»CAN»ALL»CPA»PRO»X»NA»SS»NA»IGCTCBenefit2inMotion»PRC2PD</v></cell><cell r="D5066" t="str"><v>43317223933084</v></cell><cell r="E5066" t="str"><v>43317103180628PRC2PD</v></cell><cell r="F5066" t="str"><v>DCM</v></cell><cell r="G5066" t="str"><v>https://signup.azure.com/?OCID=AID%eexcid!_OLA_%ebuy!_%epid!_%ecid!</v></cell></row><row r="5066"><cell r="K5066" t="str"><v>August</v></cell><cell r="L5066"><v>43323</v></cell><cell r="M5066" t="str"><v>Tier 0</v></cell><cell r="N5066" t="str"><v>North America</v></cell><cell r="O5066" t="str"><v>United States</v></cell><cell r="P5066" t="str"><v>Trial</v></cell><cell r="Q5066" t="str"><v>Social</v></cell><cell r="R5066" t="str"><v>Azure</v></cell><cell r="S5066" t="str"><v>Apps & Infra</v></cell><cell r="T5066" t="str"><v>Developers & ITI's</v></cell><cell r="U5066" t="str"><v>USA-Trial-ITD-Interest Prospecting-AZR-AZR</v></cell><cell r="V5066" t="str"><v>Prospecting</v></cell><cell r="W5066" t="str"><v>Canvas Ad</v></cell><cell r="X5066" t="str"><v>1x1</v></cell></row><row r="5066"><cell r="AA5066"><v>43317</v></cell><cell r="AB5066" t="str"><v>USA_gaPMG_AZR_AZR_Q1_19_Direct-Social</v></cell><cell r="AC5066"><v>21358715</v></cell><cell r="AD5066"><v>720197</v></cell><cell r="AE5066" t="str"><v>Facebook - Instagram</v></cell><cell r="AF5066"><v>3654128</v></cell><cell r="AG5066" t="str"><v>INSTAGRAM»USA-Trial-ITD-Interest Prospecting-AZR-AZR»1 x 1»SocialBan»CAN»ALL»CPA»PRO»X»NA»SS»NA»IGCTCBenefit2inMotion»PRC2PD</v></cell><cell r="AH5066"><v>223933084</v></cell><cell r="AI5066" t="str"><v>AzurePlatform_IGCTCBrandinMotion_USA_10s_CAN_PLATFORM_English_Trial_Standard_STAN_TIN_T2_1</v></cell><cell r="AJ5066"><v>103180628</v></cell></row><row r="5067"><cell r="C5067" t="str"><v>43317INSTAGRAM»USA-Trial-ITD-Interest Prospecting-AZR-AZR»1 x 1»SocialBan»CAN»ALL»CPA»PRO»X»NA»SS»NA»IGCTCBenefit2inMotion»PRC2PD</v></cell><cell r="D5067" t="str"><v>43317223933084</v></cell><cell r="E5067" t="str"><v>43317103050786PRC2PD</v></cell><cell r="F5067" t="str"><v>DCM</v></cell><cell r="G5067" t="str"><v>https://azure.microsoft.com/en-us/pricing/purchase-options/?v=18.19&OCID=AID%eexcid!_OLA_%ebuy!_%epid!_%ecid!</v></cell></row><row r="5067"><cell r="K5067" t="str"><v>August</v></cell><cell r="L5067"><v>43323</v></cell><cell r="M5067" t="str"><v>Tier 0</v></cell><cell r="N5067" t="str"><v>North America</v></cell><cell r="O5067" t="str"><v>United States</v></cell><cell r="P5067" t="str"><v>Trial</v></cell><cell r="Q5067" t="str"><v>Social</v></cell><cell r="R5067" t="str"><v>Azure</v></cell><cell r="S5067" t="str"><v>Apps & Infra</v></cell><cell r="T5067" t="str"><v>Developers & ITI's</v></cell><cell r="U5067" t="str"><v>USA-Trial-ITD-Interest Prospecting-AZR-AZR</v></cell><cell r="V5067" t="str"><v>Prospecting</v></cell><cell r="W5067" t="str"><v>Canvas Ad</v></cell><cell r="X5067" t="str"><v>1x1</v></cell></row><row r="5067"><cell r="AA5067"><v>43317</v></cell><cell r="AB5067" t="str"><v>USA_gaPMG_AZR_AZR_Q1_19_Direct-Social</v></cell><cell r="AC5067"><v>21358715</v></cell><cell r="AD5067"><v>720197</v></cell><cell r="AE5067" t="str"><v>Facebook - Instagram</v></cell><cell r="AF5067"><v>3654128</v></cell><cell r="AG5067" t="str"><v>INSTAGRAM»USA-Trial-ITD-Interest Prospecting-AZR-AZR»1 x 1»SocialBan»CAN»ALL»CPA»PRO»X»NA»SS»NA»IGCTCBenefit2inMotion»PRC2PD</v></cell><cell r="AH5067"><v>223933084</v></cell><cell r="AI5067" t="str"><v>AzurePlatform_IGCTCBrandinMotion_USA_10s_CAN_PLATFORM_English_Trial_Standard_STAN_TIN_T2_2</v></cell><cell r="AJ5067"><v>103050786</v></cell></row><row r="5068"><cell r="C5068" t="str"><v>43317INSTAGRAM»USA-Trial-ITD-Interest Prospecting-AZR-AZR»1 x 1»SocialBan»CAN»ALL»CPA»PRO»X»NA»SS»NA»IGCTCBrandinMotion»PRC2PB</v></cell><cell r="D5068" t="str"><v>43317223862690</v></cell><cell r="E5068" t="str"><v>43317103050783PRC2PB</v></cell><cell r="F5068" t="str"><v>DCM</v></cell><cell r="G5068" t="str"><v>https://signup.azure.com/?OCID=AID%eexcid!_OLA_%ebuy!_%epid!_%ecid!</v></cell></row><row r="5068"><cell r="K5068" t="str"><v>August</v></cell><cell r="L5068"><v>43323</v></cell><cell r="M5068" t="str"><v>Tier 0</v></cell><cell r="N5068" t="str"><v>North America</v></cell><cell r="O5068" t="str"><v>United States</v></cell><cell r="P5068" t="str"><v>Trial</v></cell><cell r="Q5068" t="str"><v>Social</v></cell><cell r="R5068" t="str"><v>Azure</v></cell><cell r="S5068" t="str"><v>Apps & Infra</v></cell><cell r="T5068" t="str"><v>Developers & ITI's</v></cell><cell r="U5068" t="str"><v>USA-Trial-ITD-Interest Prospecting-AZR-AZR</v></cell><cell r="V5068" t="str"><v>Prospecting</v></cell><cell r="W5068" t="str"><v>Canvas Ad</v></cell><cell r="X5068" t="str"><v>1x1</v></cell></row><row r="5068"><cell r="AA5068"><v>43317</v></cell><cell r="AB5068" t="str"><v>USA_gaPMG_AZR_AZR_Q1_19_Direct-Social</v></cell><cell r="AC5068"><v>21358715</v></cell><cell r="AD5068"><v>720197</v></cell><cell r="AE5068" t="str"><v>Facebook - Instagram</v></cell><cell r="AF5068"><v>3654128</v></cell><cell r="AG5068" t="str"><v>INSTAGRAM»USA-Trial-ITD-Interest Prospecting-AZR-AZR»1 x 1»SocialBan»CAN»ALL»CPA»PRO»X»NA»SS»NA»IGCTCBrandinMotion»PRC2PB</v></cell><cell r="AH5068"><v>223862690</v></cell><cell r="AI5068" t="str"><v>AzurePlatform_IGCTCBenefit2inMotion_USA_10s_CAN_PLATFORM_English_Trial_Standard_STAN_TIN_T4_1</v></cell><cell r="AJ5068"><v>103050783</v></cell></row><row r="5069"><cell r="C5069" t="str"><v>43317INSTAGRAM»USA-Trial-ITD-Interest Prospecting-AZR-AZR»1 x 1»SocialBan»CAN»ALL»CPA»PRO»X»NA»SS»NA»IGCTCBrandinMotion»PRC2PB</v></cell><cell r="D5069" t="str"><v>43317223862690</v></cell><cell r="E5069" t="str"><v>43317103178714PRC2PB</v></cell><cell r="F5069" t="str"><v>DCM</v></cell><cell r="G5069" t="str"><v>https://azure.microsoft.com/en-us/pricing/purchase-options/?v=18.19&OCID=AID%eexcid!_OLA_%ebuy!_%epid!_%ecid!</v></cell></row><row r="5069"><cell r="K5069" t="str"><v>August</v></cell><cell r="L5069"><v>43323</v></cell><cell r="M5069" t="str"><v>Tier 0</v></cell><cell r="N5069" t="str"><v>North America</v></cell><cell r="O5069" t="str"><v>United States</v></cell><cell r="P5069" t="str"><v>Trial</v></cell><cell r="Q5069" t="str"><v>Social</v></cell><cell r="R5069" t="str"><v>Azure</v></cell><cell r="S5069" t="str"><v>Apps & Infra</v></cell><cell r="T5069" t="str"><v>Developers & ITI's</v></cell><cell r="U5069" t="str"><v>USA-Trial-ITD-Interest Prospecting-AZR-AZR</v></cell><cell r="V5069" t="str"><v>Prospecting</v></cell><cell r="W5069" t="str"><v>Canvas Ad</v></cell><cell r="X5069" t="str"><v>1x1</v></cell></row><row r="5069"><cell r="AA5069"><v>43317</v></cell><cell r="AB5069" t="str"><v>USA_gaPMG_AZR_AZR_Q1_19_Direct-Social</v></cell><cell r="AC5069"><v>21358715</v></cell><cell r="AD5069"><v>720197</v></cell><cell r="AE5069" t="str"><v>Facebook - Instagram</v></cell><cell r="AF5069"><v>3654128</v></cell><cell r="AG5069" t="str"><v>INSTAGRAM»USA-Trial-ITD-Interest Prospecting-AZR-AZR»1 x 1»SocialBan»CAN»ALL»CPA»PRO»X»NA»SS»NA»IGCTCBrandinMotion»PRC2PB</v></cell><cell r="AH5069"><v>223862690</v></cell><cell r="AI5069" t="str"><v>AzurePlatform_IGCTCBenefit2inMotion_USA_10s_CAN_PLATFORM_English_Trial_Standard_STAN_TIN_T4_2</v></cell><cell r="AJ5069"><v>103178714</v></cell></row><row r="5070"><cell r="C5070" t="str"><v>43317INSTAGRAM»USA-Trial-ITD-Retargeting-AZR-AZR»1 x 1»SocialBan»CAN»ALL»CPA»RT»X»NA»SS»NA»IGCTCBrandinMotion»PRC2G3</v></cell><cell r="D5070" t="str"><v>43317224107014</v></cell><cell r="E5070" t="str"><v>43317103050783PRC2G3</v></cell><cell r="F5070" t="str"><v>DCM</v></cell><cell r="G5070" t="str"><v>https://signup.azure.com/?OCID=AID%eexcid!_OLA_%ebuy!_%epid!_%ecid!</v></cell></row><row r="5070"><cell r="K5070" t="str"><v>August</v></cell><cell r="L5070"><v>43323</v></cell><cell r="M5070" t="str"><v>Tier 0</v></cell><cell r="N5070" t="str"><v>North America</v></cell><cell r="O5070" t="str"><v>United States</v></cell><cell r="P5070" t="str"><v>Trial</v></cell><cell r="Q5070" t="str"><v>Social</v></cell><cell r="R5070" t="str"><v>Azure</v></cell><cell r="S5070" t="str"><v>Apps & Infra</v></cell><cell r="T5070" t="str"><v>Developers & ITI's</v></cell><cell r="U5070" t="str"><v>USA-Trial-ITD-Retargeting-AZR-AZR</v></cell><cell r="V5070" t="str"><v>Retargeting</v></cell><cell r="W5070" t="str"><v>Canvas Ad</v></cell><cell r="X5070" t="str"><v>1x1</v></cell></row><row r="5070"><cell r="AA5070"><v>43317</v></cell><cell r="AB5070" t="str"><v>USA_gaPMG_AZR_AZR_Q1_19_Direct-Social</v></cell><cell r="AC5070"><v>21358715</v></cell><cell r="AD5070"><v>720197</v></cell><cell r="AE5070" t="str"><v>Facebook - Instagram</v></cell><cell r="AF5070"><v>3654128</v></cell><cell r="AG5070" t="str"><v>INSTAGRAM»USA-Trial-ITD-Retargeting-AZR-AZR»1 x 1»SocialBan»CAN»ALL»CPA»RT»X»NA»SS»NA»IGCTCBrandinMotion»PRC2G3</v></cell><cell r="AH5070"><v>224107014</v></cell><cell r="AI5070" t="str"><v>AzurePlatform_IGCTCBenefit2inMotion_USA_10s_CAN_PLATFORM_English_Trial_Standard_STAN_TIN_T4_1</v></cell><cell r="AJ5070"><v>103050783</v></cell></row><row r="5071"><cell r="C5071" t="str"><v>43317INSTAGRAM»USA-Trial-ITD-Retargeting-AZR-AZR»1 x 1»SocialBan»CAN»ALL»CPA»RT»X»NA»SS»NA»IGCTCBrandinMotion»PRC2G3</v></cell><cell r="D5071" t="str"><v>43317224107014</v></cell><cell r="E5071" t="str"><v>43317103178714PRC2G3</v></cell><cell r="F5071" t="str"><v>DCM</v></cell><cell r="G5071" t="str"><v>https://azure.microsoft.com/en-us/pricing/purchase-options/?v=18.19&OCID=AID%eexcid!_OLA_%ebuy!_%epid!_%ecid!</v></cell></row><row r="5071"><cell r="K5071" t="str"><v>August</v></cell><cell r="L5071"><v>43323</v></cell><cell r="M5071" t="str"><v>Tier 0</v></cell><cell r="N5071" t="str"><v>North America</v></cell><cell r="O5071" t="str"><v>United States</v></cell><cell r="P5071" t="str"><v>Trial</v></cell><cell r="Q5071" t="str"><v>Social</v></cell><cell r="R5071" t="str"><v>Azure</v></cell><cell r="S5071" t="str"><v>Apps & Infra</v></cell><cell r="T5071" t="str"><v>Developers & ITI's</v></cell><cell r="U5071" t="str"><v>USA-Trial-ITD-Retargeting-AZR-AZR</v></cell><cell r="V5071" t="str"><v>Retargeting</v></cell><cell r="W5071" t="str"><v>Canvas Ad</v></cell><cell r="X5071" t="str"><v>1x1</v></cell></row><row r="5071"><cell r="AA5071"><v>43317</v></cell><cell r="AB5071" t="str"><v>USA_gaPMG_AZR_AZR_Q1_19_Direct-Social</v></cell><cell r="AC5071"><v>21358715</v></cell><cell r="AD5071"><v>720197</v></cell><cell r="AE5071" t="str"><v>Facebook - Instagram</v></cell><cell r="AF5071"><v>3654128</v></cell><cell r="AG5071" t="str"><v>INSTAGRAM»USA-Trial-ITD-Retargeting-AZR-AZR»1 x 1»SocialBan»CAN»ALL»CPA»RT»X»NA»SS»NA»IGCTCBrandinMotion»PRC2G3</v></cell><cell r="AH5071"><v>224107014</v></cell><cell r="AI5071" t="str"><v>AzurePlatform_IGCTCBenefit2inMotion_USA_10s_CAN_PLATFORM_English_Trial_Standard_STAN_TIN_T4_2</v></cell><cell r="AJ5071"><v>103178714</v></cell></row><row r="5072"><cell r="C5072" t="str"><v>43317INSTAGRAM»USA-Trial-ITD-Retargeting-AZR-AZR»1 x 1»SocialBan»CAN»ALL»CPA»RT»X»NA»SS»NA»IGCTCBenefitinMotion»PRC2G4</v></cell><cell r="D5072" t="str"><v>43317224107536</v></cell><cell r="E5072" t="str"><v>43317103050780PRC2G4</v></cell><cell r="F5072" t="str"><v>DCM</v></cell><cell r="G5072" t="str"><v>https://signup.azure.com/?OCID=AID%eexcid!_OLA_%ebuy!_%epid!_%ecid!</v></cell></row><row r="5072"><cell r="K5072" t="str"><v>August</v></cell><cell r="L5072"><v>43323</v></cell><cell r="M5072" t="str"><v>Tier 0</v></cell><cell r="N5072" t="str"><v>North America</v></cell><cell r="O5072" t="str"><v>United States</v></cell><cell r="P5072" t="str"><v>Trial</v></cell><cell r="Q5072" t="str"><v>Social</v></cell><cell r="R5072" t="str"><v>Azure</v></cell><cell r="S5072" t="str"><v>Apps & Infra</v></cell><cell r="T5072" t="str"><v>Developers & ITI's</v></cell><cell r="U5072" t="str"><v>USA-Trial-ITD-Retargeting-AZR-AZR</v></cell><cell r="V5072" t="str"><v>Retargeting</v></cell><cell r="W5072" t="str"><v>Canvas Ad</v></cell><cell r="X5072" t="str"><v>1x1</v></cell></row><row r="5072"><cell r="AA5072"><v>43317</v></cell><cell r="AB5072" t="str"><v>USA_gaPMG_AZR_AZR_Q1_19_Direct-Social</v></cell><cell r="AC5072"><v>21358715</v></cell><cell r="AD5072"><v>720197</v></cell><cell r="AE5072" t="str"><v>Facebook - Instagram</v></cell><cell r="AF5072"><v>3654128</v></cell><cell r="AG5072" t="str"><v>INSTAGRAM»USA-Trial-ITD-Retargeting-AZR-AZR»1 x 1»SocialBan»CAN»ALL»CPA»RT»X»NA»SS»NA»IGCTCBenefitinMotion»PRC2G4</v></cell><cell r="AH5072"><v>224107536</v></cell><cell r="AI5072" t="str"><v>AzurePlatform_IGCTCBenefitinMotion_USA_10s_CAN_PLATFORM_English_Trial_Standard_STAN_TIN_T3_1</v></cell><cell r="AJ5072"><v>103050780</v></cell></row><row r="5073"><cell r="C5073" t="str"><v>43317INSTAGRAM»USA-Trial-ITD-Trial Lookalike-AZR-AZR»1 x 1»SocialBan»CAN»ALL»CPA»LAL»X»NA»SS»NA»IGCTCBenefit2inMotion»PRC2FL</v></cell><cell r="D5073" t="str"><v>43317223935022</v></cell><cell r="E5073" t="str"><v>43317103180628PRC2FL</v></cell><cell r="F5073" t="str"><v>DCM</v></cell><cell r="G5073" t="str"><v>https://signup.azure.com/?OCID=AID%eexcid!_OLA_%ebuy!_%epid!_%ecid!</v></cell></row><row r="5073"><cell r="K5073" t="str"><v>August</v></cell><cell r="L5073"><v>43323</v></cell><cell r="M5073" t="str"><v>Tier 0</v></cell><cell r="N5073" t="str"><v>North America</v></cell><cell r="O5073" t="str"><v>United States</v></cell><cell r="P5073" t="str"><v>Trial</v></cell><cell r="Q5073" t="str"><v>Social</v></cell><cell r="R5073" t="str"><v>Azure</v></cell><cell r="S5073" t="str"><v>Apps & Infra</v></cell><cell r="T5073" t="str"><v>Developers & ITI's</v></cell><cell r="U5073" t="str"><v>USA-Trial-ITD-Trial Lookalike-AZR-AZR</v></cell><cell r="V5073" t="str"><v>Lookalike Targeting</v></cell><cell r="W5073" t="str"><v>Canvas Ad</v></cell><cell r="X5073" t="str"><v>1x1</v></cell></row><row r="5073"><cell r="AA5073"><v>43317</v></cell><cell r="AB5073" t="str"><v>USA_gaPMG_AZR_AZR_Q1_19_Direct-Social</v></cell><cell r="AC5073"><v>21358715</v></cell><cell r="AD5073"><v>720197</v></cell><cell r="AE5073" t="str"><v>Facebook - Instagram</v></cell><cell r="AF5073"><v>3654128</v></cell><cell r="AG5073" t="str"><v>INSTAGRAM»USA-Trial-ITD-Trial Lookalike-AZR-AZR»1 x 1»SocialBan»CAN»ALL»CPA»LAL»X»NA»SS»NA»IGCTCBenefit2inMotion»PRC2FL</v></cell><cell r="AH5073"><v>223935022</v></cell><cell r="AI5073" t="str"><v>AzurePlatform_IGCTCBrandinMotion_USA_10s_CAN_PLATFORM_English_Trial_Standard_STAN_TIN_T2_1</v></cell><cell r="AJ5073"><v>103180628</v></cell></row><row r="5074"><cell r="C5074" t="str"><v>43317INSTAGRAM»USA-Trial-ITD-Trial Lookalike-AZR-AZR»1 x 1»SocialBan»CAN»ALL»CPA»LAL»X»NA»SS»NA»IGCTCBenefit2inMotion»PRC2FL</v></cell><cell r="D5074" t="str"><v>43317223935022</v></cell><cell r="E5074" t="str"><v>43317103050786PRC2FL</v></cell><cell r="F5074" t="str"><v>DCM</v></cell><cell r="G5074" t="str"><v>https://azure.microsoft.com/en-us/pricing/purchase-options/?v=18.19&OCID=AID%eexcid!_OLA_%ebuy!_%epid!_%ecid!</v></cell></row><row r="5074"><cell r="K5074" t="str"><v>August</v></cell><cell r="L5074"><v>43323</v></cell><cell r="M5074" t="str"><v>Tier 0</v></cell><cell r="N5074" t="str"><v>North America</v></cell><cell r="O5074" t="str"><v>United States</v></cell><cell r="P5074" t="str"><v>Trial</v></cell><cell r="Q5074" t="str"><v>Social</v></cell><cell r="R5074" t="str"><v>Azure</v></cell><cell r="S5074" t="str"><v>Apps & Infra</v></cell><cell r="T5074" t="str"><v>Developers & ITI's</v></cell><cell r="U5074" t="str"><v>USA-Trial-ITD-Trial Lookalike-AZR-AZR</v></cell><cell r="V5074" t="str"><v>Lookalike Targeting</v></cell><cell r="W5074" t="str"><v>Canvas Ad</v></cell><cell r="X5074" t="str"><v>1x1</v></cell></row><row r="5074"><cell r="AA5074"><v>43317</v></cell><cell r="AB5074" t="str"><v>USA_gaPMG_AZR_AZR_Q1_19_Direct-Social</v></cell><cell r="AC5074"><v>21358715</v></cell><cell r="AD5074"><v>720197</v></cell><cell r="AE5074" t="str"><v>Facebook - Instagram</v></cell><cell r="AF5074"><v>3654128</v></cell><cell r="AG5074" t="str"><v>INSTAGRAM»USA-Trial-ITD-Trial Lookalike-AZR-AZR»1 x 1»SocialBan»CAN»ALL»CPA»LAL»X»NA»SS»NA»IGCTCBenefit2inMotion»PRC2FL</v></cell><cell r="AH5074"><v>223935022</v></cell><cell r="AI5074" t="str"><v>AzurePlatform_IGCTCBrandinMotion_USA_10s_CAN_PLATFORM_English_Trial_Standard_STAN_TIN_T2_2</v></cell><cell r="AJ5074"><v>103050786</v></cell></row><row r="5075"><cell r="C5075" t="str"><v>43317INSTAGRAM»USA-Trial-ITD-Trial Lookalike-AZR-AZR»1 x 1»SocialBan»CAN»ALL»CPA»LAL»X»NA»SS»NA»IGCTCBrandinMotion»PRC2FH</v></cell><cell r="D5075" t="str"><v>43317223935019</v></cell><cell r="E5075" t="str"><v>43317103050783PRC2FH</v></cell><cell r="F5075" t="str"><v>DCM</v></cell><cell r="G5075" t="str"><v>https://signup.azure.com/?OCID=AID%eexcid!_OLA_%ebuy!_%epid!_%ecid!</v></cell></row><row r="5075"><cell r="K5075" t="str"><v>August</v></cell><cell r="L5075"><v>43323</v></cell><cell r="M5075" t="str"><v>Tier 0</v></cell><cell r="N5075" t="str"><v>North America</v></cell><cell r="O5075" t="str"><v>United States</v></cell><cell r="P5075" t="str"><v>Trial</v></cell><cell r="Q5075" t="str"><v>Social</v></cell><cell r="R5075" t="str"><v>Azure</v></cell><cell r="S5075" t="str"><v>Apps & Infra</v></cell><cell r="T5075" t="str"><v>Developers & ITI's</v></cell><cell r="U5075" t="str"><v>USA-Trial-ITD-Trial Lookalike-AZR-AZR</v></cell><cell r="V5075" t="str"><v>Lookalike Targeting</v></cell><cell r="W5075" t="str"><v>Canvas Ad</v></cell><cell r="X5075" t="str"><v>1x1</v></cell></row><row r="5075"><cell r="AA5075"><v>43317</v></cell><cell r="AB5075" t="str"><v>USA_gaPMG_AZR_AZR_Q1_19_Direct-Social</v></cell><cell r="AC5075"><v>21358715</v></cell><cell r="AD5075"><v>720197</v></cell><cell r="AE5075" t="str"><v>Facebook - Instagram</v></cell><cell r="AF5075"><v>3654128</v></cell><cell r="AG5075" t="str"><v>INSTAGRAM»USA-Trial-ITD-Trial Lookalike-AZR-AZR»1 x 1»SocialBan»CAN»ALL»CPA»LAL»X»NA»SS»NA»IGCTCBrandinMotion»PRC2FH</v></cell><cell r="AH5075"><v>223935019</v></cell><cell r="AI5075" t="str"><v>AzurePlatform_IGCTCBenefit2inMotion_USA_10s_CAN_PLATFORM_English_Trial_Standard_STAN_TIN_T4_1</v></cell><cell r="AJ5075"><v>103050783</v></cell></row><row r="5076"><cell r="C5076" t="str"><v>43317INSTAGRAM»USA-Trial-ITD-Trial Lookalike-AZR-AZR»1 x 1»SocialBan»CAN»ALL»CPA»LAL»X»NA»SS»NA»IGCTCBrandinMotion»PRC2FH</v></cell><cell r="D5076" t="str"><v>43317223935019</v></cell><cell r="E5076" t="str"><v>43317103178714PRC2FH</v></cell><cell r="F5076" t="str"><v>DCM</v></cell><cell r="G5076" t="str"><v>https://azure.microsoft.com/en-us/pricing/purchase-options/?v=18.19&OCID=AID%eexcid!_OLA_%ebuy!_%epid!_%ecid!</v></cell></row><row r="5076"><cell r="K5076" t="str"><v>August</v></cell><cell r="L5076"><v>43323</v></cell><cell r="M5076" t="str"><v>Tier 0</v></cell><cell r="N5076" t="str"><v>North America</v></cell><cell r="O5076" t="str"><v>United States</v></cell><cell r="P5076" t="str"><v>Trial</v></cell><cell r="Q5076" t="str"><v>Social</v></cell><cell r="R5076" t="str"><v>Azure</v></cell><cell r="S5076" t="str"><v>Apps & Infra</v></cell><cell r="T5076" t="str"><v>Developers & ITI's</v></cell><cell r="U5076" t="str"><v>USA-Trial-ITD-Trial Lookalike-AZR-AZR</v></cell><cell r="V5076" t="str"><v>Lookalike Targeting</v></cell><cell r="W5076" t="str"><v>Canvas Ad</v></cell><cell r="X5076" t="str"><v>1x1</v></cell></row><row r="5076"><cell r="AA5076"><v>43317</v></cell><cell r="AB5076" t="str"><v>USA_gaPMG_AZR_AZR_Q1_19_Direct-Social</v></cell><cell r="AC5076"><v>21358715</v></cell><cell r="AD5076"><v>720197</v></cell><cell r="AE5076" t="str"><v>Facebook - Instagram</v></cell><cell r="AF5076"><v>3654128</v></cell><cell r="AG5076" t="str"><v>INSTAGRAM»USA-Trial-ITD-Trial Lookalike-AZR-AZR»1 x 1»SocialBan»CAN»ALL»CPA»LAL»X»NA»SS»NA»IGCTCBrandinMotion»PRC2FH</v></cell><cell r="AH5076"><v>223935019</v></cell><cell r="AI5076" t="str"><v>AzurePlatform_IGCTCBenefit2inMotion_USA_10s_CAN_PLATFORM_English_Trial_Standard_STAN_TIN_T4_2</v></cell><cell r="AJ5076"><v>103178714</v></cell></row><row r="5077"><cell r="C5077" t="str"><v>43317INSTAGRAM»USA-Trial-ITD-Trial PayGo Lookalike-AZR-AZR»1 x 1»SocialBan»CAN»ALL»CPA»LAL»X»NA»SS»NA»IGCTCBrandinMotion»PRC2FW</v></cell><cell r="D5077" t="str"><v>43317223862654</v></cell><cell r="E5077" t="str"><v>43317103050783PRC2FW</v></cell><cell r="F5077" t="str"><v>DCM</v></cell><cell r="G5077" t="str"><v>https://signup.azure.com/?OCID=AID%eexcid!_OLA_%ebuy!_%epid!_%ecid!</v></cell></row><row r="5077"><cell r="K5077" t="str"><v>August</v></cell><cell r="L5077"><v>43323</v></cell><cell r="M5077" t="str"><v>Tier 0</v></cell><cell r="N5077" t="str"><v>North America</v></cell><cell r="O5077" t="str"><v>United States</v></cell><cell r="P5077" t="str"><v>Trial</v></cell><cell r="Q5077" t="str"><v>Social</v></cell><cell r="R5077" t="str"><v>Azure</v></cell><cell r="S5077" t="str"><v>Apps & Infra</v></cell><cell r="T5077" t="str"><v>Developers & ITI's</v></cell><cell r="U5077" t="str"><v>USA-Trial-ITD-Trial PayGo Lookalike-AZR-AZR</v></cell><cell r="V5077" t="str"><v>Lookalike Targeting</v></cell><cell r="W5077" t="str"><v>Canvas Ad</v></cell><cell r="X5077" t="str"><v>1x1</v></cell></row><row r="5077"><cell r="AA5077"><v>43317</v></cell><cell r="AB5077" t="str"><v>USA_gaPMG_AZR_AZR_Q1_19_Direct-Social</v></cell><cell r="AC5077"><v>21358715</v></cell><cell r="AD5077"><v>720197</v></cell><cell r="AE5077" t="str"><v>Facebook - Instagram</v></cell><cell r="AF5077"><v>3654128</v></cell><cell r="AG5077" t="str"><v>INSTAGRAM»USA-Trial-ITD-Trial PayGo Lookalike-AZR-AZR»1 x 1»SocialBan»CAN»ALL»CPA»LAL»X»NA»SS»NA»IGCTCBrandinMotion»PRC2FW</v></cell><cell r="AH5077"><v>223862654</v></cell><cell r="AI5077" t="str"><v>AzurePlatform_IGCTCBenefit2inMotion_USA_10s_CAN_PLATFORM_English_Trial_Standard_STAN_TIN_T4_1</v></cell><cell r="AJ5077"><v>103050783</v></cell></row><row r="5078"><cell r="C5078" t="str"><v>43317INSTAGRAM»USA-Trial-ITD-Trial PayGo Lookalike-AZR-AZR»1 x 1»SocialBan»CAN»ALL»CPA»LAL»X»NA»SS»NA»IGCTCBrandinMotion»PRC2FW</v></cell><cell r="D5078" t="str"><v>43317223862654</v></cell><cell r="E5078" t="str"><v>43317103178714PRC2FW</v></cell><cell r="F5078" t="str"><v>DCM</v></cell><cell r="G5078" t="str"><v>https://azure.microsoft.com/en-us/pricing/purchase-options/?v=18.19&OCID=AID%eexcid!_OLA_%ebuy!_%epid!_%ecid!</v></cell></row><row r="5078"><cell r="K5078" t="str"><v>August</v></cell><cell r="L5078"><v>43323</v></cell><cell r="M5078" t="str"><v>Tier 0</v></cell><cell r="N5078" t="str"><v>North America</v></cell><cell r="O5078" t="str"><v>United States</v></cell><cell r="P5078" t="str"><v>Trial</v></cell><cell r="Q5078" t="str"><v>Social</v></cell><cell r="R5078" t="str"><v>Azure</v></cell><cell r="S5078" t="str"><v>Apps & Infra</v></cell><cell r="T5078" t="str"><v>Developers & ITI's</v></cell><cell r="U5078" t="str"><v>USA-Trial-ITD-Trial PayGo Lookalike-AZR-AZR</v></cell><cell r="V5078" t="str"><v>Lookalike Targeting</v></cell><cell r="W5078" t="str"><v>Canvas Ad</v></cell><cell r="X5078" t="str"><v>1x1</v></cell></row><row r="5078"><cell r="AA5078"><v>43317</v></cell><cell r="AB5078" t="str"><v>USA_gaPMG_AZR_AZR_Q1_19_Direct-Social</v></cell><cell r="AC5078"><v>21358715</v></cell><cell r="AD5078"><v>720197</v></cell><cell r="AE5078" t="str"><v>Facebook - Instagram</v></cell><cell r="AF5078"><v>3654128</v></cell><cell r="AG5078" t="str"><v>INSTAGRAM»USA-Trial-ITD-Trial PayGo Lookalike-AZR-AZR»1 x 1»SocialBan»CAN»ALL»CPA»LAL»X»NA»SS»NA»IGCTCBrandinMotion»PRC2FW</v></cell><cell r="AH5078"><v>223862654</v></cell><cell r="AI5078" t="str"><v>AzurePlatform_IGCTCBenefit2inMotion_USA_10s_CAN_PLATFORM_English_Trial_Standard_STAN_TIN_T4_2</v></cell><cell r="AJ5078"><v>103178714</v></cell></row><row r="5079"><cell r="C5079" t="str"><v>43317INSTAGRAM»USA-Trial-ITD-Trial PayGo Lookalike-AZR-AZR»1 x 1»SocialBan»CAN»ALL»CPA»LAL»X»NA»SS»NA»IGCTCBenefit2inMotion»PRC2FZ</v></cell><cell r="D5079" t="str"><v>43317223933075</v></cell><cell r="E5079" t="str"><v>43317103050786PRC2FZ</v></cell><cell r="F5079" t="str"><v>DCM</v></cell><cell r="G5079" t="str"><v>https://azure.microsoft.com/en-us/pricing/purchase-options/?v=18.19&OCID=AID%eexcid!_OLA_%ebuy!_%epid!_%ecid!</v></cell></row><row r="5079"><cell r="K5079" t="str"><v>August</v></cell><cell r="L5079"><v>43323</v></cell><cell r="M5079" t="str"><v>Tier 0</v></cell><cell r="N5079" t="str"><v>North America</v></cell><cell r="O5079" t="str"><v>United States</v></cell><cell r="P5079" t="str"><v>Trial</v></cell><cell r="Q5079" t="str"><v>Social</v></cell><cell r="R5079" t="str"><v>Azure</v></cell><cell r="S5079" t="str"><v>Apps & Infra</v></cell><cell r="T5079" t="str"><v>Developers & ITI's</v></cell><cell r="U5079" t="str"><v>USA-Trial-ITD-Trial PayGo Lookalike-AZR-AZR</v></cell><cell r="V5079" t="str"><v>Lookalike Targeting</v></cell><cell r="W5079" t="str"><v>Canvas Ad</v></cell><cell r="X5079" t="str"><v>1x1</v></cell></row><row r="5079"><cell r="AA5079"><v>43317</v></cell><cell r="AB5079" t="str"><v>USA_gaPMG_AZR_AZR_Q1_19_Direct-Social</v></cell><cell r="AC5079"><v>21358715</v></cell><cell r="AD5079"><v>720197</v></cell><cell r="AE5079" t="str"><v>Facebook - Instagram</v></cell><cell r="AF5079"><v>3654128</v></cell><cell r="AG5079" t="str"><v>INSTAGRAM»USA-Trial-ITD-Trial PayGo Lookalike-AZR-AZR»1 x 1»SocialBan»CAN»ALL»CPA»LAL»X»NA»SS»NA»IGCTCBenefit2inMotion»PRC2FZ</v></cell><cell r="AH5079"><v>223933075</v></cell><cell r="AI5079" t="str"><v>AzurePlatform_IGCTCBrandinMotion_USA_10s_CAN_PLATFORM_English_Trial_Standard_STAN_TIN_T2_2</v></cell><cell r="AJ5079"><v>103050786</v></cell></row><row r="5080"><cell r="C5080" t="str"><v>43318Facebook»Audience & Interest Targeting»1x1»Canvas»OTH»DT»DYN»AUT»W»NA»SS»NA»FBCTCcanvaspage-StartFreeCTA_FBCTCcanvaspage-BuyNowCTA</v></cell><cell r="D5080" t="str"><v>43318224639151</v></cell><cell r="E5080" t="str"><v>43318103316832NowCTA</v></cell><cell r="F5080" t="str"><v>DCM</v></cell><cell r="G5080" t="str"><v>https://azure.microsoft.com/en-au/pricing/purchase-options/</v></cell></row><row r="5080"><cell r="K5080" t="str"><v>August</v></cell><cell r="L5080"><v>43323</v></cell><cell r="M5080" t="str"><v>Tier 1</v></cell><cell r="N5080" t="str"><v>APAC</v></cell><cell r="O5080" t="str"><v>Australia</v></cell><cell r="P5080" t="str"><v>Trial</v></cell><cell r="Q5080" t="str"><v>Social</v></cell><cell r="R5080" t="str"><v>Azure</v></cell><cell r="S5080" t="str"><v>Apps & Infra</v></cell><cell r="T5080" t="str"><v>Developers & ITI's</v></cell><cell r="U5080" t="str"><v>Audience & Interest Targeting</v></cell><cell r="V5080" t="str"><v>Audience Targeting</v></cell><cell r="W5080" t="str"><v>Other</v></cell><cell r="X5080" t="str"><v>1x1</v></cell></row><row r="5080"><cell r="AA5080"><v>43318</v></cell><cell r="AB5080" t="str"><v>AUS_gaPMG_AZR_AZR_Q1_19_Trial-Social</v></cell><cell r="AC5080"><v>21358568</v></cell><cell r="AD5080"><v>720191</v></cell><cell r="AE5080" t="str"><v>Facebook</v></cell><cell r="AF5080"><v>3654128</v></cell><cell r="AG5080" t="str"><v>Facebook»Audience & Interest Targeting»1x1»Canvas»OTH»DT»DYN»AUT»W»NA»SS»NA»FBCTCcanvaspage-StartFreeCTA_FBCTCcanvaspage-BuyNowCTA</v></cell><cell r="AH5080"><v>224639151</v></cell><cell r="AI5080" t="str"><v>AzurePlatform_FBCTCcanvaspage-BuyNowCTA-Img3_AUS_1080x162_SOC_Plat_English_NA_Standard_NA_BN_T3_1</v></cell><cell r="AJ5080"><v>103316832</v></cell></row><row r="5081"><cell r="C5081" t="str"><v>43318Facebook»Audience & Interest Targeting»1x1»Canvas»OTH»DT»DYN»AUT»W»NA»SS»NA»FBCTCcanvaspage-StartFreeCTA_FBCTCcanvaspage-BuyNowCTA</v></cell><cell r="D5081" t="str"><v>43318224639151</v></cell><cell r="E5081" t="str"><v>43318103316829NowCTA</v></cell><cell r="F5081" t="str"><v>DCM</v></cell><cell r="G5081" t="str"><v>https://signup.azure.com/signup?offer=ms-azr-0044p&appId=102&ref=paidmedia-social-fb&redirectURL=https%3a%2f%2fazure.microsoft.com%2fen-au%2fget-started%2fwelcome-to-azure%2f&l=en-au&correlationId=ead86c34-1f10-49dd-a72b-6918462a2cbf</v></cell></row><row r="5081"><cell r="K5081" t="str"><v>August</v></cell><cell r="L5081"><v>43323</v></cell><cell r="M5081" t="str"><v>Tier 1</v></cell><cell r="N5081" t="str"><v>APAC</v></cell><cell r="O5081" t="str"><v>Australia</v></cell><cell r="P5081" t="str"><v>Trial</v></cell><cell r="Q5081" t="str"><v>Social</v></cell><cell r="R5081" t="str"><v>Azure</v></cell><cell r="S5081" t="str"><v>Apps & Infra</v></cell><cell r="T5081" t="str"><v>Developers & ITI's</v></cell><cell r="U5081" t="str"><v>Audience & Interest Targeting</v></cell><cell r="V5081" t="str"><v>Audience Targeting</v></cell><cell r="W5081" t="str"><v>Other</v></cell><cell r="X5081" t="str"><v>1x1</v></cell></row><row r="5081"><cell r="AA5081"><v>43318</v></cell><cell r="AB5081" t="str"><v>AUS_gaPMG_AZR_AZR_Q1_19_Trial-Social</v></cell><cell r="AC5081"><v>21358568</v></cell><cell r="AD5081"><v>720191</v></cell><cell r="AE5081" t="str"><v>Facebook</v></cell><cell r="AF5081"><v>3654128</v></cell><cell r="AG5081" t="str"><v>Facebook»Audience & Interest Targeting»1x1»Canvas»OTH»DT»DYN»AUT»W»NA»SS»NA»FBCTCcanvaspage-StartFreeCTA_FBCTCcanvaspage-BuyNowCTA</v></cell><cell r="AH5081"><v>224639151</v></cell><cell r="AI5081" t="str"><v>AzurePlatform_FBCTCcanvaspage-StartFreeCTA-Img2_AUS_1080x143 _SOC_Plat_English_NA_Standard_NA_NA_T2_1</v></cell><cell r="AJ5081"><v>103316829</v></cell></row><row r="5082"><cell r="C5082" t="str"><v>43318Facebook»Audience & Interest Targeting»1x1»TextLink»OTH»DT»DYN»AUT»W»NA»SS»NA»Free Account Refresh- Device ChB</v></cell><cell r="D5082" t="str"><v>43318224160777</v></cell><cell r="E5082" t="str"><v>43318103048479ce ChB</v></cell><cell r="F5082" t="str"><v>DCM</v></cell></row><row r="5082"><cell r="K5082" t="str"><v>August</v></cell><cell r="L5082"><v>43323</v></cell><cell r="M5082" t="str"><v>Tier 1</v></cell><cell r="N5082" t="str"><v>APAC</v></cell><cell r="O5082" t="str"><v>Australia</v></cell><cell r="P5082" t="str"><v>Trial</v></cell><cell r="Q5082" t="str"><v>Social</v></cell><cell r="R5082" t="str"><v>Azure</v></cell><cell r="S5082" t="str"><v>Apps & Infra</v></cell><cell r="T5082" t="str"><v>Developers & ITI's</v></cell><cell r="U5082" t="str"><v>Audience & Interest Targeting</v></cell><cell r="V5082" t="str"><v>Audience Targeting</v></cell><cell r="W5082" t="str"><v>Other</v></cell><cell r="X5082" t="str"><v>1x1</v></cell></row><row r="5082"><cell r="AA5082"><v>43318</v></cell><cell r="AB5082" t="str"><v>AUS_gaPMG_AZR_AZR_Q1_19_Trial-Social</v></cell><cell r="AC5082"><v>21358568</v></cell><cell r="AD5082"><v>720191</v></cell><cell r="AE5082" t="str"><v>Facebook</v></cell><cell r="AF5082"><v>3654128</v></cell><cell r="AG5082" t="str"><v>Facebook»Audience & Interest Targeting»1x1»TextLink»OTH»DT»DYN»AUT»W»NA»SS»NA»Free Account Refresh- Device ChB</v></cell><cell r="AH5082"><v>224160777</v></cell><cell r="AI5082" t="str"><v>AzurePlatform_FreeAcctAppsFACEBOOKDeviceChB_AUS_1200x628_SOC_PLAT_EN_Trial_Standard_NA_SNU_T2_1</v></cell><cell r="AJ5082"><v>103048479</v></cell></row><row r="5083"><cell r="C5083" t="str"><v>43318Facebook»Audience & Interest Targeting»1x1»TextLink»OTH»DT»DYN»AUT»W»NA»SS»NA»Free Account Refresh- Illustration ChC</v></cell><cell r="D5083" t="str"><v>43318224160774</v></cell><cell r="E5083" t="str"><v>43318103186910on ChC</v></cell><cell r="F5083" t="str"><v>DCM</v></cell></row><row r="5083"><cell r="K5083" t="str"><v>August</v></cell><cell r="L5083"><v>43323</v></cell><cell r="M5083" t="str"><v>Tier 1</v></cell><cell r="N5083" t="str"><v>APAC</v></cell><cell r="O5083" t="str"><v>Australia</v></cell><cell r="P5083" t="str"><v>Trial</v></cell><cell r="Q5083" t="str"><v>Social</v></cell><cell r="R5083" t="str"><v>Azure</v></cell><cell r="S5083" t="str"><v>Apps & Infra</v></cell><cell r="T5083" t="str"><v>Developers & ITI's</v></cell><cell r="U5083" t="str"><v>Audience & Interest Targeting</v></cell><cell r="V5083" t="str"><v>Audience Targeting</v></cell><cell r="W5083" t="str"><v>Other</v></cell><cell r="X5083" t="str"><v>1x1</v></cell></row><row r="5083"><cell r="AA5083"><v>43318</v></cell><cell r="AB5083" t="str"><v>AUS_gaPMG_AZR_AZR_Q1_19_Trial-Social</v></cell><cell r="AC5083"><v>21358568</v></cell><cell r="AD5083"><v>720191</v></cell><cell r="AE5083" t="str"><v>Facebook</v></cell><cell r="AF5083"><v>3654128</v></cell><cell r="AG5083" t="str"><v>Facebook»Audience & Interest Targeting»1x1»TextLink»OTH»DT»DYN»AUT»W»NA»SS»NA»Free Account Refresh- Illustration ChC</v></cell><cell r="AH5083"><v>224160774</v></cell><cell r="AI5083" t="str"><v>AzurePlatform_FreeAcctAppsFACEBOOKIllustrationChC_AUS_1200x628_SOC_PLAT_EN_Trial_Standard_NA_SNU_T3_1</v></cell><cell r="AJ5083"><v>103186910</v></cell></row><row r="5084"><cell r="C5084" t="str"><v>43318Facebook»Audience & Interest Targeting»1x1»TextLink»OTH»DT»DYN»AUT»W»NA»SS»NA»Free Account Refresh- Lifestyle ChA</v></cell><cell r="D5084" t="str"><v>43318224160771</v></cell><cell r="E5084" t="str"><v>43318103048488le ChA</v></cell><cell r="F5084" t="str"><v>DCM</v></cell></row><row r="5084"><cell r="K5084" t="str"><v>August</v></cell><cell r="L5084"><v>43323</v></cell><cell r="M5084" t="str"><v>Tier 1</v></cell><cell r="N5084" t="str"><v>APAC</v></cell><cell r="O5084" t="str"><v>Australia</v></cell><cell r="P5084" t="str"><v>Trial</v></cell><cell r="Q5084" t="str"><v>Social</v></cell><cell r="R5084" t="str"><v>Azure</v></cell><cell r="S5084" t="str"><v>Apps & Infra</v></cell><cell r="T5084" t="str"><v>Developers & ITI's</v></cell><cell r="U5084" t="str"><v>Audience & Interest Targeting</v></cell><cell r="V5084" t="str"><v>Audience Targeting</v></cell><cell r="W5084" t="str"><v>Other</v></cell><cell r="X5084" t="str"><v>1x1</v></cell></row><row r="5084"><cell r="AA5084"><v>43318</v></cell><cell r="AB5084" t="str"><v>AUS_gaPMG_AZR_AZR_Q1_19_Trial-Social</v></cell><cell r="AC5084"><v>21358568</v></cell><cell r="AD5084"><v>720191</v></cell><cell r="AE5084" t="str"><v>Facebook</v></cell><cell r="AF5084"><v>3654128</v></cell><cell r="AG5084" t="str"><v>Facebook»Audience & Interest Targeting»1x1»TextLink»OTH»DT»DYN»AUT»W»NA»SS»NA»Free Account Refresh- Lifestyle ChA</v></cell><cell r="AH5084"><v>224160771</v></cell><cell r="AI5084" t="str"><v>AzurePlatform_FreeAcctAppsFACEBOOKLifestyleChA_AUS_1200x628_SOC_PLAT_EN_Trial_Standard_NA_SNU_T1_1</v></cell><cell r="AJ5084"><v>103048488</v></cell></row><row r="5085"><cell r="C5085" t="str"><v>43318Facebook»LAL»1x1»TextLink»SOC»DT»DYN»LAL»W»NA»SS»NA»Free Account Refresh- 200 Credit ChD</v></cell><cell r="D5085" t="str"><v>43318224160720</v></cell><cell r="E5085" t="str"><v>43318103186907it ChD</v></cell><cell r="F5085" t="str"><v>DCM</v></cell><cell r="G5085" t="str"><v>https://azure.microsoft.com/en-au/free/open-source/search/</v></cell></row><row r="5085"><cell r="K5085" t="str"><v>August</v></cell><cell r="L5085"><v>43323</v></cell><cell r="M5085" t="str"><v>Tier 1</v></cell><cell r="N5085" t="str"><v>APAC</v></cell><cell r="O5085" t="str"><v>Australia</v></cell><cell r="P5085" t="str"><v>Trial</v></cell><cell r="Q5085" t="str"><v>Social</v></cell><cell r="R5085" t="str"><v>Azure</v></cell><cell r="S5085" t="str"><v>Apps & Infra</v></cell><cell r="T5085" t="str"><v>Developers & ITI's</v></cell><cell r="U5085" t="str"><v>LAL</v></cell><cell r="V5085" t="str"><v>Lookalike Targeting</v></cell><cell r="W5085" t="str"><v>Social</v></cell><cell r="X5085" t="str"><v>1x1</v></cell></row><row r="5085"><cell r="AA5085"><v>43318</v></cell><cell r="AB5085" t="str"><v>AUS_gaPMG_AZR_AZR_Q1_19_Trial-Social</v></cell><cell r="AC5085"><v>21358568</v></cell><cell r="AD5085"><v>720191</v></cell><cell r="AE5085" t="str"><v>Facebook</v></cell><cell r="AF5085"><v>3654128</v></cell><cell r="AG5085" t="str"><v>Facebook»LAL»1x1»TextLink»SOC»DT»DYN»LAL»W»NA»SS»NA»Free Account Refresh- 200 Credit ChD</v></cell><cell r="AH5085"><v>224160720</v></cell><cell r="AI5085" t="str"><v>AzurePlatform_FreeAcctRetargetingOSSFB-Logos-ChG_AUS_1200x628_SOC_Plat_EN_Free Account_Standard_NA_SNU_T2_1</v></cell><cell r="AJ5085"><v>103186907</v></cell></row><row r="5086"><cell r="C5086" t="str"><v>43318Facebook»LAL»1x1»TextLink»SOC»DT»DYN»LAL»W»NA»SS»NA»Free Account Refresh- Device ChB</v></cell><cell r="D5086" t="str"><v>43318224160717</v></cell><cell r="E5086" t="str"><v>43318103048485ce ChB</v></cell><cell r="F5086" t="str"><v>DCM</v></cell><cell r="G5086" t="str"><v>https://azure.microsoft.com/en-au/free/open-source/search/</v></cell></row><row r="5086"><cell r="K5086" t="str"><v>August</v></cell><cell r="L5086"><v>43323</v></cell><cell r="M5086" t="str"><v>Tier 1</v></cell><cell r="N5086" t="str"><v>APAC</v></cell><cell r="O5086" t="str"><v>Australia</v></cell><cell r="P5086" t="str"><v>Trial</v></cell><cell r="Q5086" t="str"><v>Social</v></cell><cell r="R5086" t="str"><v>Azure</v></cell><cell r="S5086" t="str"><v>Apps & Infra</v></cell><cell r="T5086" t="str"><v>Developers & ITI's</v></cell><cell r="U5086" t="str"><v>LAL</v></cell><cell r="V5086" t="str"><v>Lookalike Targeting</v></cell><cell r="W5086" t="str"><v>Social</v></cell><cell r="X5086" t="str"><v>1x1</v></cell></row><row r="5086"><cell r="AA5086"><v>43318</v></cell><cell r="AB5086" t="str"><v>AUS_gaPMG_AZR_AZR_Q1_19_Trial-Social</v></cell><cell r="AC5086"><v>21358568</v></cell><cell r="AD5086"><v>720191</v></cell><cell r="AE5086" t="str"><v>Facebook</v></cell><cell r="AF5086"><v>3654128</v></cell><cell r="AG5086" t="str"><v>Facebook»LAL»1x1»TextLink»SOC»DT»DYN»LAL»W»NA»SS»NA»Free Account Refresh- Device ChB</v></cell><cell r="AH5086"><v>224160717</v></cell><cell r="AI5086" t="str"><v>AzurePlatform_FreeAcctRetargetingOSSFB-Text-ChF_AUS_1200x628_SOC_Plat_EN_Free Account_Standard_NA_SNU_T1_1</v></cell><cell r="AJ5086"><v>103048485</v></cell></row><row r="5087"><cell r="C5087" t="str"><v>43318Facebook»LAL»1x1»TextLink»SOC»DT»DYN»LAL»W»NA»SS»NA»Free Account Refresh- Illustration ChC</v></cell><cell r="D5087" t="str"><v>43318224160714</v></cell><cell r="E5087" t="str"><v>43318103186916on ChC</v></cell><cell r="F5087" t="str"><v>DCM</v></cell><cell r="G5087" t="str"><v>https://azure.microsoft.com/en-au/free/virtual-machines/search/</v></cell></row><row r="5087"><cell r="K5087" t="str"><v>August</v></cell><cell r="L5087"><v>43323</v></cell><cell r="M5087" t="str"><v>Tier 1</v></cell><cell r="N5087" t="str"><v>APAC</v></cell><cell r="O5087" t="str"><v>Australia</v></cell><cell r="P5087" t="str"><v>Trial</v></cell><cell r="Q5087" t="str"><v>Social</v></cell><cell r="R5087" t="str"><v>Azure</v></cell><cell r="S5087" t="str"><v>Apps & Infra</v></cell><cell r="T5087" t="str"><v>Developers & ITI's</v></cell><cell r="U5087" t="str"><v>LAL</v></cell><cell r="V5087" t="str"><v>Lookalike Targeting</v></cell><cell r="W5087" t="str"><v>Social</v></cell><cell r="X5087" t="str"><v>1x1</v></cell></row><row r="5087"><cell r="AA5087"><v>43318</v></cell><cell r="AB5087" t="str"><v>AUS_gaPMG_AZR_AZR_Q1_19_Trial-Social</v></cell><cell r="AC5087"><v>21358568</v></cell><cell r="AD5087"><v>720191</v></cell><cell r="AE5087" t="str"><v>Facebook</v></cell><cell r="AF5087"><v>3654128</v></cell><cell r="AG5087" t="str"><v>Facebook»LAL»1x1»TextLink»SOC»DT»DYN»LAL»W»NA»SS»NA»Free Account Refresh- Illustration ChC</v></cell><cell r="AH5087"><v>224160714</v></cell><cell r="AI5087" t="str"><v>AzurePlatform_FreeAcctRetargetingVMFB-750Hrs-ChD_AUS_1200x628_SOC_Plat_EN_Free Account_Standard_NA_SNU_T1_1</v></cell><cell r="AJ5087"><v>103186916</v></cell></row><row r="5088"><cell r="C5088" t="str"><v>43318Facebook»LAL»1x1»TextLink»SOC»DT»DYN»LAL»W»NA»SS»NA»Free Account Refresh- Lifestyle ChA</v></cell><cell r="D5088" t="str"><v>43318224160711</v></cell><cell r="E5088" t="str"><v>43318103048491le ChA</v></cell><cell r="F5088" t="str"><v>DCM</v></cell><cell r="G5088" t="str"><v>https://azure.microsoft.com/en-au/free/virtual-machines/search/</v></cell></row><row r="5088"><cell r="K5088" t="str"><v>August</v></cell><cell r="L5088"><v>43323</v></cell><cell r="M5088" t="str"><v>Tier 1</v></cell><cell r="N5088" t="str"><v>APAC</v></cell><cell r="O5088" t="str"><v>Australia</v></cell><cell r="P5088" t="str"><v>Trial</v></cell><cell r="Q5088" t="str"><v>Social</v></cell><cell r="R5088" t="str"><v>Azure</v></cell><cell r="S5088" t="str"><v>Apps & Infra</v></cell><cell r="T5088" t="str"><v>Developers & ITI's</v></cell><cell r="U5088" t="str"><v>LAL</v></cell><cell r="V5088" t="str"><v>Lookalike Targeting</v></cell><cell r="W5088" t="str"><v>Social</v></cell><cell r="X5088" t="str"><v>1x1</v></cell></row><row r="5088"><cell r="AA5088"><v>43318</v></cell><cell r="AB5088" t="str"><v>AUS_gaPMG_AZR_AZR_Q1_19_Trial-Social</v></cell><cell r="AC5088"><v>21358568</v></cell><cell r="AD5088"><v>720191</v></cell><cell r="AE5088" t="str"><v>Facebook</v></cell><cell r="AF5088"><v>3654128</v></cell><cell r="AG5088" t="str"><v>Facebook»LAL»1x1»TextLink»SOC»DT»DYN»LAL»W»NA»SS»NA»Free Account Refresh- Lifestyle ChA</v></cell><cell r="AH5088"><v>224160711</v></cell><cell r="AI5088" t="str"><v>AzurePlatform_FreeAcctRetargetingVMFB-OnDemand-ChE_AUS_1200x628_SOC_Plat_EN_Free Account_Standard_NA_SNU_T2_1</v></cell><cell r="AJ5088"><v>103048491</v></cell></row><row r="5089"><cell r="C5089" t="str"><v>43318Facebook»Retargeting»1x1»TextLink»SOC»DT»DYN»RT»W»NA»SS»NA»Free Account Refresh- Device ChB</v></cell><cell r="D5089" t="str"><v>43318224160735</v></cell><cell r="E5089" t="str"><v>43318103048479ce ChB</v></cell><cell r="F5089" t="str"><v>DCM</v></cell></row><row r="5089"><cell r="K5089" t="str"><v>August</v></cell><cell r="L5089"><v>43323</v></cell><cell r="M5089" t="str"><v>Tier 1</v></cell><cell r="N5089" t="str"><v>APAC</v></cell><cell r="O5089" t="str"><v>Australia</v></cell><cell r="P5089" t="str"><v>Trial</v></cell><cell r="Q5089" t="str"><v>Social</v></cell><cell r="R5089" t="str"><v>Azure</v></cell><cell r="S5089" t="str"><v>Apps & Infra</v></cell><cell r="T5089" t="str"><v>Developers & ITI's</v></cell><cell r="U5089" t="str"><v>Retargeting</v></cell><cell r="V5089" t="str"><v>Retargeting</v></cell><cell r="W5089" t="str"><v>Social</v></cell><cell r="X5089" t="str"><v>1x1</v></cell></row><row r="5089"><cell r="AA5089"><v>43318</v></cell><cell r="AB5089" t="str"><v>AUS_gaPMG_AZR_AZR_Q1_19_Trial-Social</v></cell><cell r="AC5089"><v>21358568</v></cell><cell r="AD5089"><v>720191</v></cell><cell r="AE5089" t="str"><v>Facebook</v></cell><cell r="AF5089"><v>3654128</v></cell><cell r="AG5089" t="str"><v>Facebook»Retargeting»1x1»TextLink»SOC»DT»DYN»RT»W»NA»SS»NA»Free Account Refresh- Device ChB</v></cell><cell r="AH5089"><v>224160735</v></cell><cell r="AI5089" t="str"><v>AzurePlatform_FreeAcctAppsFACEBOOKDeviceChB_AUS_1200x628_SOC_PLAT_EN_Trial_Standard_NA_SNU_T2_1</v></cell><cell r="AJ5089"><v>103048479</v></cell></row><row r="5090"><cell r="C5090" t="str"><v>43318Facebook»Retargeting»1x1»TextLink»SOC»DT»DYN»RT»W»NA»SS»NA»Free Account Refresh- Illustration ChC</v></cell><cell r="D5090" t="str"><v>43318224160732</v></cell><cell r="E5090" t="str"><v>43318103186910on ChC</v></cell><cell r="F5090" t="str"><v>DCM</v></cell></row><row r="5090"><cell r="K5090" t="str"><v>August</v></cell><cell r="L5090"><v>43323</v></cell><cell r="M5090" t="str"><v>Tier 1</v></cell><cell r="N5090" t="str"><v>APAC</v></cell><cell r="O5090" t="str"><v>Australia</v></cell><cell r="P5090" t="str"><v>Trial</v></cell><cell r="Q5090" t="str"><v>Social</v></cell><cell r="R5090" t="str"><v>Azure</v></cell><cell r="S5090" t="str"><v>Apps & Infra</v></cell><cell r="T5090" t="str"><v>Developers & ITI's</v></cell><cell r="U5090" t="str"><v>Retargeting</v></cell><cell r="V5090" t="str"><v>Retargeting</v></cell><cell r="W5090" t="str"><v>Social</v></cell><cell r="X5090" t="str"><v>1x1</v></cell></row><row r="5090"><cell r="AA5090"><v>43318</v></cell><cell r="AB5090" t="str"><v>AUS_gaPMG_AZR_AZR_Q1_19_Trial-Social</v></cell><cell r="AC5090"><v>21358568</v></cell><cell r="AD5090"><v>720191</v></cell><cell r="AE5090" t="str"><v>Facebook</v></cell><cell r="AF5090"><v>3654128</v></cell><cell r="AG5090" t="str"><v>Facebook»Retargeting»1x1»TextLink»SOC»DT»DYN»RT»W»NA»SS»NA»Free Account Refresh- Illustration ChC</v></cell><cell r="AH5090"><v>224160732</v></cell><cell r="AI5090" t="str"><v>AzurePlatform_FreeAcctAppsFACEBOOKIllustrationChC_AUS_1200x628_SOC_PLAT_EN_Trial_Standard_NA_SNU_T3_1</v></cell><cell r="AJ5090"><v>103186910</v></cell></row><row r="5091"><cell r="C5091" t="str"><v>43318Facebook»Retargeting»1x1»TextLink»SOC»DT»DYN»RT»W»NA»SS»NA»Free Account Refresh- Lifestyle ChA</v></cell><cell r="D5091" t="str"><v>43318224160729</v></cell><cell r="E5091" t="str"><v>43318103048488le ChA</v></cell><cell r="F5091" t="str"><v>DCM</v></cell></row><row r="5091"><cell r="K5091" t="str"><v>August</v></cell><cell r="L5091"><v>43323</v></cell><cell r="M5091" t="str"><v>Tier 1</v></cell><cell r="N5091" t="str"><v>APAC</v></cell><cell r="O5091" t="str"><v>Australia</v></cell><cell r="P5091" t="str"><v>Trial</v></cell><cell r="Q5091" t="str"><v>Social</v></cell><cell r="R5091" t="str"><v>Azure</v></cell><cell r="S5091" t="str"><v>Apps & Infra</v></cell><cell r="T5091" t="str"><v>Developers & ITI's</v></cell><cell r="U5091" t="str"><v>Retargeting</v></cell><cell r="V5091" t="str"><v>Retargeting</v></cell><cell r="W5091" t="str"><v>Social</v></cell><cell r="X5091" t="str"><v>1x1</v></cell></row><row r="5091"><cell r="AA5091"><v>43318</v></cell><cell r="AB5091" t="str"><v>AUS_gaPMG_AZR_AZR_Q1_19_Trial-Social</v></cell><cell r="AC5091"><v>21358568</v></cell><cell r="AD5091"><v>720191</v></cell><cell r="AE5091" t="str"><v>Facebook</v></cell><cell r="AF5091"><v>3654128</v></cell><cell r="AG5091" t="str"><v>Facebook»Retargeting»1x1»TextLink»SOC»DT»DYN»RT»W»NA»SS»NA»Free Account Refresh- Lifestyle ChA</v></cell><cell r="AH5091"><v>224160729</v></cell><cell r="AI5091" t="str"><v>AzurePlatform_FreeAcctAppsFACEBOOKLifestyleChA_AUS_1200x628_SOC_PLAT_EN_Trial_Standard_NA_SNU_T1_1</v></cell><cell r="AJ5091"><v>103048488</v></cell></row><row r="5092"><cell r="C5092" t="str"><v>43318Facebook»AZR»1x1»NA»EGV»ALL»DYN»AUT»D»All»SS»NA»Free Acc CTC - T1 - EN</v></cell><cell r="D5092" t="str"><v>43318223684451</v></cell><cell r="E5092" t="str"><v>433181029018821 - EN</v></cell><cell r="F5092" t="str"><v>DCM</v></cell><cell r="G5092" t="str"><v>https://signup.azure.com/</v></cell></row><row r="5092"><cell r="K5092" t="str"><v>August</v></cell><cell r="L5092"><v>43323</v></cell><cell r="M5092" t="str"><v>Tier 1</v></cell><cell r="N5092" t="str"><v>North America</v></cell><cell r="O5092" t="str"><v>Canada</v></cell><cell r="P5092" t="str"><v>Trial</v></cell><cell r="Q5092" t="str"><v>Social</v></cell><cell r="R5092" t="str"><v>Azure</v></cell><cell r="S5092" t="str"><v>Apps & Infra</v></cell><cell r="T5092" t="str"><v>Developers & ITI's</v></cell><cell r="U5092" t="str"><v>AZR</v></cell><cell r="V5092" t="str"><v>Audience Targeting</v></cell><cell r="W5092" t="str"><v>Engagement Video</v></cell><cell r="X5092" t="str"><v>1x1</v></cell></row><row r="5092"><cell r="AA5092"><v>43318</v></cell><cell r="AB5092" t="str"><v>CAN_gaPMG_AZR_AZR_Q1_19_Trial-Social</v></cell><cell r="AC5092"><v>21337220</v></cell><cell r="AD5092"><v>720192</v></cell><cell r="AE5092" t="str"><v>Facebook</v></cell><cell r="AF5092"><v>3654128</v></cell><cell r="AG5092" t="str"><v>Facebook»AZR»1x1»NA»EGV»ALL»DYN»AUT»D»All»SS»NA»Free Acc CTC - T1 - EN</v></cell><cell r="AH5092"><v>223684451</v></cell><cell r="AI5092" t="str"><v>AzurePlatform_FBCTCBasicMotion_CAN_10s_ISV_PLAT_English_Trial_Standard_STAN_TN_T1_1</v></cell><cell r="AJ5092"><v>102901882</v></cell></row><row r="5093"><cell r="C5093" t="str"><v>43318Facebook»AZR»1x1»NA»EGV»ALL»DYN»AUT»D»All»SS»NA»Free Acc CTC - T1 - FR</v></cell><cell r="D5093" t="str"><v>43318223691801</v></cell><cell r="E5093" t="str"><v>433181030533231 - FR</v></cell><cell r="F5093" t="str"><v>DCM</v></cell><cell r="G5093" t="str"><v>https://signup.azure.com/</v></cell></row><row r="5093"><cell r="K5093" t="str"><v>August</v></cell><cell r="L5093"><v>43323</v></cell><cell r="M5093" t="str"><v>Tier 1</v></cell><cell r="N5093" t="str"><v>North America</v></cell><cell r="O5093" t="str"><v>Canada</v></cell><cell r="P5093" t="str"><v>Trial</v></cell><cell r="Q5093" t="str"><v>Social</v></cell><cell r="R5093" t="str"><v>Azure</v></cell><cell r="S5093" t="str"><v>Apps & Infra</v></cell><cell r="T5093" t="str"><v>Developers & ITI's</v></cell><cell r="U5093" t="str"><v>AZR</v></cell><cell r="V5093" t="str"><v>Audience Targeting</v></cell><cell r="W5093" t="str"><v>Engagement Video</v></cell><cell r="X5093" t="str"><v>1x1</v></cell></row><row r="5093"><cell r="AA5093"><v>43318</v></cell><cell r="AB5093" t="str"><v>CAN_gaPMG_AZR_AZR_Q1_19_Trial-Social</v></cell><cell r="AC5093"><v>21337220</v></cell><cell r="AD5093"><v>720192</v></cell><cell r="AE5093" t="str"><v>Facebook</v></cell><cell r="AF5093"><v>3654128</v></cell><cell r="AG5093" t="str"><v>Facebook»AZR»1x1»NA»EGV»ALL»DYN»AUT»D»All»SS»NA»Free Acc CTC - T1 - FR</v></cell><cell r="AH5093"><v>223691801</v></cell><cell r="AI5093" t="str"><v>AzurePlatform_FBCTCBasicMotion_CAN_10s_ISV_PLAT_FR_Trial_Standard_STAN_TN_T1_1</v></cell><cell r="AJ5093"><v>103053323</v></cell></row><row r="5094"><cell r="C5094" t="str"><v>43318Facebook»AZR»1x1»NA»EGV»ALL»DYN»AUT»D»All»SS»NA»Free Acc CTC - T2 - EN</v></cell><cell r="D5094" t="str"><v>43318223691840</v></cell><cell r="E5094" t="str"><v>433181029029502 - EN</v></cell><cell r="F5094" t="str"><v>DCM</v></cell><cell r="G5094" t="str"><v>https://signup.azure.com/</v></cell></row><row r="5094"><cell r="K5094" t="str"><v>August</v></cell><cell r="L5094"><v>43323</v></cell><cell r="M5094" t="str"><v>Tier 1</v></cell><cell r="N5094" t="str"><v>North America</v></cell><cell r="O5094" t="str"><v>Canada</v></cell><cell r="P5094" t="str"><v>Trial</v></cell><cell r="Q5094" t="str"><v>Social</v></cell><cell r="R5094" t="str"><v>Azure</v></cell><cell r="S5094" t="str"><v>Apps & Infra</v></cell><cell r="T5094" t="str"><v>Developers & ITI's</v></cell><cell r="U5094" t="str"><v>AZR</v></cell><cell r="V5094" t="str"><v>Audience Targeting</v></cell><cell r="W5094" t="str"><v>Engagement Video</v></cell><cell r="X5094" t="str"><v>1x1</v></cell></row><row r="5094"><cell r="AA5094"><v>43318</v></cell><cell r="AB5094" t="str"><v>CAN_gaPMG_AZR_AZR_Q1_19_Trial-Social</v></cell><cell r="AC5094"><v>21337220</v></cell><cell r="AD5094"><v>720192</v></cell><cell r="AE5094" t="str"><v>Facebook</v></cell><cell r="AF5094"><v>3654128</v></cell><cell r="AG5094" t="str"><v>Facebook»AZR»1x1»NA»EGV»ALL»DYN»AUT»D»All»SS»NA»Free Acc CTC - T2 - EN</v></cell><cell r="AH5094"><v>223691840</v></cell><cell r="AI5094" t="str"><v>AzurePlatform_FBCTCBrandinMotion_CAN_12s_ISV_PLAT_English_Trial_Standard_STAN_TN_T2_1</v></cell><cell r="AJ5094"><v>102902950</v></cell></row><row r="5095"><cell r="C5095" t="str"><v>43318Facebook»AZR»1x1»NA»EGV»ALL»DYN»AUT»D»All»SS»NA»Free Acc CTC - T2 - FR</v></cell><cell r="D5095" t="str"><v>43318223691798</v></cell><cell r="E5095" t="str"><v>433181029163472 - FR</v></cell><cell r="F5095" t="str"><v>DCM</v></cell><cell r="G5095" t="str"><v>https://signup.azure.com/</v></cell></row><row r="5095"><cell r="K5095" t="str"><v>August</v></cell><cell r="L5095"><v>43323</v></cell><cell r="M5095" t="str"><v>Tier 1</v></cell><cell r="N5095" t="str"><v>North America</v></cell><cell r="O5095" t="str"><v>Canada</v></cell><cell r="P5095" t="str"><v>Trial</v></cell><cell r="Q5095" t="str"><v>Social</v></cell><cell r="R5095" t="str"><v>Azure</v></cell><cell r="S5095" t="str"><v>Apps & Infra</v></cell><cell r="T5095" t="str"><v>Developers & ITI's</v></cell><cell r="U5095" t="str"><v>AZR</v></cell><cell r="V5095" t="str"><v>Audience Targeting</v></cell><cell r="W5095" t="str"><v>Engagement Video</v></cell><cell r="X5095" t="str"><v>1x1</v></cell></row><row r="5095"><cell r="AA5095"><v>43318</v></cell><cell r="AB5095" t="str"><v>CAN_gaPMG_AZR_AZR_Q1_19_Trial-Social</v></cell><cell r="AC5095"><v>21337220</v></cell><cell r="AD5095"><v>720192</v></cell><cell r="AE5095" t="str"><v>Facebook</v></cell><cell r="AF5095"><v>3654128</v></cell><cell r="AG5095" t="str"><v>Facebook»AZR»1x1»NA»EGV»ALL»DYN»AUT»D»All»SS»NA»Free Acc CTC - T2 - FR</v></cell><cell r="AH5095"><v>223691798</v></cell><cell r="AI5095" t="str"><v>AzurePlatform_FBCTCBrandinMotion_CAN_12s_ISV_PLAT_FR_Trial_Standard_STAN_TN_T2_1</v></cell><cell r="AJ5095"><v>102916347</v></cell></row><row r="5096"><cell r="C5096" t="str"><v>43318Facebook»AZR»1x1»NA»EGV»ALL»DYN»AUT»D»All»SS»NA»Free Acc CTC - T4 - EN</v></cell><cell r="D5096" t="str"><v>43318223691837</v></cell><cell r="E5096" t="str"><v>433181030533144 - EN</v></cell><cell r="F5096" t="str"><v>DCM</v></cell><cell r="G5096" t="str"><v>https://signup.azure.com/</v></cell></row><row r="5096"><cell r="K5096" t="str"><v>August</v></cell><cell r="L5096"><v>43323</v></cell><cell r="M5096" t="str"><v>Tier 1</v></cell><cell r="N5096" t="str"><v>North America</v></cell><cell r="O5096" t="str"><v>Canada</v></cell><cell r="P5096" t="str"><v>Trial</v></cell><cell r="Q5096" t="str"><v>Social</v></cell><cell r="R5096" t="str"><v>Azure</v></cell><cell r="S5096" t="str"><v>Apps & Infra</v></cell><cell r="T5096" t="str"><v>Developers & ITI's</v></cell><cell r="U5096" t="str"><v>AZR</v></cell><cell r="V5096" t="str"><v>Audience Targeting</v></cell><cell r="W5096" t="str"><v>Engagement Video</v></cell><cell r="X5096" t="str"><v>1x1</v></cell></row><row r="5096"><cell r="AA5096"><v>43318</v></cell><cell r="AB5096" t="str"><v>CAN_gaPMG_AZR_AZR_Q1_19_Trial-Social</v></cell><cell r="AC5096"><v>21337220</v></cell><cell r="AD5096"><v>720192</v></cell><cell r="AE5096" t="str"><v>Facebook</v></cell><cell r="AF5096"><v>3654128</v></cell><cell r="AG5096" t="str"><v>Facebook»AZR»1x1»NA»EGV»ALL»DYN»AUT»D»All»SS»NA»Free Acc CTC - T4 - EN</v></cell><cell r="AH5096"><v>223691837</v></cell><cell r="AI5096" t="str"><v>AzurePlatform_FBCTCBenefit2inMotion_CAN_14s_ISV_PLAT_English_Trial_Standard_STAN_TN_T4_1</v></cell><cell r="AJ5096"><v>103053314</v></cell></row><row r="5097"><cell r="C5097" t="str"><v>43318Facebook»AZR»1x1»NA»SOC»ALL»DYN»PRO»D»All»SS»NA»Canvas - Buy Now - EN</v></cell><cell r="D5097" t="str"><v>43318225322327</v></cell><cell r="E5097" t="str"><v>43318103902287w - EN</v></cell><cell r="F5097" t="str"><v>DCM</v></cell><cell r="G5097" t="str"><v>https://azure.microsoft.com/en-ca/pricing/purchase-options/</v></cell></row><row r="5097"><cell r="K5097" t="str"><v>August</v></cell><cell r="L5097"><v>43323</v></cell><cell r="M5097" t="str"><v>Tier 1</v></cell><cell r="N5097" t="str"><v>North America</v></cell><cell r="O5097" t="str"><v>Canada</v></cell><cell r="P5097" t="str"><v>Trial</v></cell><cell r="Q5097" t="str"><v>Social</v></cell><cell r="R5097" t="str"><v>Azure</v></cell><cell r="S5097" t="str"><v>Apps & Infra</v></cell><cell r="T5097" t="str"><v>Developers & ITI's</v></cell><cell r="U5097" t="str"><v>AZR</v></cell><cell r="V5097" t="str"><v>Prospecting</v></cell><cell r="W5097" t="str"><v>Social</v></cell><cell r="X5097" t="str"><v>1x1</v></cell></row><row r="5097"><cell r="AA5097"><v>43318</v></cell><cell r="AB5097" t="str"><v>CAN_gaPMG_AZR_AZR_Q1_19_Trial-Social</v></cell><cell r="AC5097"><v>21337220</v></cell><cell r="AD5097"><v>720192</v></cell><cell r="AE5097" t="str"><v>Facebook</v></cell><cell r="AF5097"><v>3654128</v></cell><cell r="AG5097" t="str"><v>Facebook»AZR»1x1»NA»SOC»ALL»DYN»PRO»D»All»SS»NA»Canvas - Buy Now - EN</v></cell><cell r="AH5097"><v>225322327</v></cell><cell r="AI5097" t="str"><v>AzurePlatform_FBCTCcanvaspage-BuyNowCTA-Img3_CAN_1080x162_SOC_Plat_English_NA_Standard_NA_BN_T3_1</v></cell><cell r="AJ5097"><v>103902287</v></cell></row><row r="5098"><cell r="C5098" t="str"><v>43318Facebook»AZR»1x1»NA»SOC»ALL»DYN»PRO»D»All»SS»NA»Canvas - Buy Now - FR</v></cell><cell r="D5098" t="str"><v>43318225322324</v></cell><cell r="E5098" t="str"><v>43318103789915w - FR</v></cell><cell r="F5098" t="str"><v>DCM</v></cell><cell r="G5098" t="str"><v>https://azure.microsoft.com/fr-ca/pricing/purchase-options/</v></cell></row><row r="5098"><cell r="K5098" t="str"><v>August</v></cell><cell r="L5098"><v>43323</v></cell><cell r="M5098" t="str"><v>Tier 1</v></cell><cell r="N5098" t="str"><v>North America</v></cell><cell r="O5098" t="str"><v>Canada</v></cell><cell r="P5098" t="str"><v>Trial</v></cell><cell r="Q5098" t="str"><v>Social</v></cell><cell r="R5098" t="str"><v>Azure</v></cell><cell r="S5098" t="str"><v>Apps & Infra</v></cell><cell r="T5098" t="str"><v>Developers & ITI's</v></cell><cell r="U5098" t="str"><v>AZR</v></cell><cell r="V5098" t="str"><v>Prospecting</v></cell><cell r="W5098" t="str"><v>Social</v></cell><cell r="X5098" t="str"><v>1x1</v></cell></row><row r="5098"><cell r="AA5098"><v>43318</v></cell><cell r="AB5098" t="str"><v>CAN_gaPMG_AZR_AZR_Q1_19_Trial-Social</v></cell><cell r="AC5098"><v>21337220</v></cell><cell r="AD5098"><v>720192</v></cell><cell r="AE5098" t="str"><v>Facebook</v></cell><cell r="AF5098"><v>3654128</v></cell><cell r="AG5098" t="str"><v>Facebook»AZR»1x1»NA»SOC»ALL»DYN»PRO»D»All»SS»NA»Canvas - Buy Now - FR</v></cell><cell r="AH5098"><v>225322324</v></cell><cell r="AI5098" t="str"><v>AzurePlatform_FBCTCcanvaspage-BuyNowCTA-Img3_CAN_1080x162_SOC_Plat_French_NA_Standard_NA_BN_T3_1</v></cell><cell r="AJ5098"><v>103789915</v></cell></row><row r="5099"><cell r="C5099" t="str"><v>43318Facebook»AZR»1x1»NA»SOC»ALL»DYN»PRO»D»All»SS»NA»Canvas - Start Free - EN</v></cell><cell r="D5099" t="str"><v>43318225252365</v></cell><cell r="E5099" t="str"><v>43318103807590e - EN</v></cell><cell r="F5099" t="str"><v>DCM</v></cell><cell r="G5099" t="str"><v>https://signup.azure.com/signup?offer=ms-azr-0044p&appId=102&ref=paidmedia-social-fb&redirectURL=https%3a%2f%2fazure.microsoft.com%2fen-ca%2fget-started%2fwelcome-to-azure%2f&l=en-ca&correlationId=ead86c34-1f10-49dd-a72b-6918462a2cbf</v></cell></row><row r="5099"><cell r="K5099" t="str"><v>August</v></cell><cell r="L5099"><v>43323</v></cell><cell r="M5099" t="str"><v>Tier 1</v></cell><cell r="N5099" t="str"><v>North America</v></cell><cell r="O5099" t="str"><v>Canada</v></cell><cell r="P5099" t="str"><v>Trial</v></cell><cell r="Q5099" t="str"><v>Social</v></cell><cell r="R5099" t="str"><v>Azure</v></cell><cell r="S5099" t="str"><v>Apps & Infra</v></cell><cell r="T5099" t="str"><v>Developers & ITI's</v></cell><cell r="U5099" t="str"><v>AZR</v></cell><cell r="V5099" t="str"><v>Prospecting</v></cell><cell r="W5099" t="str"><v>Social</v></cell><cell r="X5099" t="str"><v>1x1</v></cell></row><row r="5099"><cell r="AA5099"><v>43318</v></cell><cell r="AB5099" t="str"><v>CAN_gaPMG_AZR_AZR_Q1_19_Trial-Social</v></cell><cell r="AC5099"><v>21337220</v></cell><cell r="AD5099"><v>720192</v></cell><cell r="AE5099" t="str"><v>Facebook</v></cell><cell r="AF5099"><v>3654128</v></cell><cell r="AG5099" t="str"><v>Facebook»AZR»1x1»NA»SOC»ALL»DYN»PRO»D»All»SS»NA»Canvas - Start Free - EN</v></cell><cell r="AH5099"><v>225252365</v></cell><cell r="AI5099" t="str"><v>AzurePlatform_FBCTCcanvaspage-StartFreeCTA-Img2_CAN_1080x143 _SOC_Plat_English_NA_Standard_NA_NA_T2_1</v></cell><cell r="AJ5099"><v>103807590</v></cell></row><row r="5100"><cell r="C5100" t="str"><v>43318Facebook»AZR»1x1»NA»SOC»ALL»DYN»PRO»D»All»SS»NA»Canvas - Start Free - FR</v></cell><cell r="D5100" t="str"><v>43318225525936</v></cell><cell r="E5100" t="str"><v>43318103902551e - FR</v></cell><cell r="F5100" t="str"><v>DCM</v></cell><cell r="G5100" t="str"><v>https://signup.azure.com/signup?offer=ms-azr-0044p&appId=102&ref=paidmedia-social-fb&redirectURL=https%3a%2f%2fazure.microsoft.com%2ffr-ca%2fget-started%2fwelcome-to-azure%2f&l=fr-ca&correlationId=ead86c34-1f10-49dd-a72b-6918462a2cbf</v></cell></row><row r="5100"><cell r="K5100" t="str"><v>August</v></cell><cell r="L5100"><v>43323</v></cell><cell r="M5100" t="str"><v>Tier 1</v></cell><cell r="N5100" t="str"><v>North America</v></cell><cell r="O5100" t="str"><v>Canada</v></cell><cell r="P5100" t="str"><v>Trial</v></cell><cell r="Q5100" t="str"><v>Social</v></cell><cell r="R5100" t="str"><v>Azure</v></cell><cell r="S5100" t="str"><v>Apps & Infra</v></cell><cell r="T5100" t="str"><v>Developers & ITI's</v></cell><cell r="U5100" t="str"><v>AZR</v></cell><cell r="V5100" t="str"><v>Prospecting</v></cell><cell r="W5100" t="str"><v>Social</v></cell><cell r="X5100" t="str"><v>1x1</v></cell></row><row r="5100"><cell r="AA5100"><v>43318</v></cell><cell r="AB5100" t="str"><v>CAN_gaPMG_AZR_AZR_Q1_19_Trial-Social</v></cell><cell r="AC5100"><v>21337220</v></cell><cell r="AD5100"><v>720192</v></cell><cell r="AE5100" t="str"><v>Facebook</v></cell><cell r="AF5100"><v>3654128</v></cell><cell r="AG5100" t="str"><v>Facebook»AZR»1x1»NA»SOC»ALL»DYN»PRO»D»All»SS»NA»Canvas - Start Free - FR</v></cell><cell r="AH5100"><v>225525936</v></cell><cell r="AI5100" t="str"><v>AzurePlatform_FBCTCcanvaspage-StartFreeCTA-Img2_CAN_1080x143 _SOC_Plat_French_NA_Standard_NA_NA_T2_1</v></cell><cell r="AJ5100"><v>103902551</v></cell></row><row r="5101"><cell r="C5101" t="str"><v>43318Facebook»AZR»1x1»SocialBan»NA»ALL»DYN»AUT»D»All»SS»NA»Free Acc Refresh - T1 - EN</v></cell><cell r="D5101" t="str"><v>43318223691804</v></cell><cell r="E5101" t="str"><v>433181030587171 - EN</v></cell><cell r="F5101" t="str"><v>DCM</v></cell><cell r="G5101" t="str"><v>https://azure.microsoft.com/en-CA/free/search/</v></cell></row><row r="5101"><cell r="K5101" t="str"><v>August</v></cell><cell r="L5101"><v>43323</v></cell><cell r="M5101" t="str"><v>Tier 1</v></cell><cell r="N5101" t="str"><v>North America</v></cell><cell r="O5101" t="str"><v>Canada</v></cell><cell r="P5101" t="str"><v>Trial</v></cell><cell r="Q5101" t="str"><v>Social</v></cell><cell r="R5101" t="str"><v>Azure</v></cell><cell r="S5101" t="str"><v>Apps & Infra</v></cell><cell r="T5101" t="str"><v>Developers & ITI's</v></cell><cell r="U5101" t="str"><v>AZR</v></cell><cell r="V5101" t="str"><v>Audience Targeting</v></cell><cell r="W5101" t="str"><v>NotApplicable</v></cell><cell r="X5101" t="str"><v>1x1</v></cell></row><row r="5101"><cell r="AA5101"><v>43318</v></cell><cell r="AB5101" t="str"><v>CAN_gaPMG_AZR_AZR_Q1_19_Trial-Social</v></cell><cell r="AC5101"><v>21337220</v></cell><cell r="AD5101"><v>720192</v></cell><cell r="AE5101" t="str"><v>Facebook</v></cell><cell r="AF5101"><v>3654128</v></cell><cell r="AG5101" t="str"><v>Facebook»AZR»1x1»SocialBan»NA»ALL»DYN»AUT»D»All»SS»NA»Free Acc Refresh - T1 - EN</v></cell><cell r="AH5101"><v>223691804</v></cell><cell r="AI5101" t="str"><v>AzurePlatform_FreeAcctAppsFACEBOOKLifestyleChA_CAN_1200x628_SOC_PLAT_EN_Trial_Standard_NA_SU_T1_1.png</v></cell><cell r="AJ5101"><v>103058717</v></cell></row><row r="5102"><cell r="C5102" t="str"><v>43318Facebook»AZR»1x1»SocialBan»NA»ALL»DYN»AUT»D»All»SS»NA»Free Acc Refresh - T1 - FR</v></cell><cell r="D5102" t="str"><v>43318223691762</v></cell><cell r="E5102" t="str"><v>433181029029741 - FR</v></cell><cell r="F5102" t="str"><v>DCM</v></cell><cell r="G5102" t="str"><v>https://azure.microsoft.com/fr-ca/free/search/</v></cell></row><row r="5102"><cell r="K5102" t="str"><v>August</v></cell><cell r="L5102"><v>43323</v></cell><cell r="M5102" t="str"><v>Tier 1</v></cell><cell r="N5102" t="str"><v>North America</v></cell><cell r="O5102" t="str"><v>Canada</v></cell><cell r="P5102" t="str"><v>Trial</v></cell><cell r="Q5102" t="str"><v>Social</v></cell><cell r="R5102" t="str"><v>Azure</v></cell><cell r="S5102" t="str"><v>Apps & Infra</v></cell><cell r="T5102" t="str"><v>Developers & ITI's</v></cell><cell r="U5102" t="str"><v>AZR</v></cell><cell r="V5102" t="str"><v>Audience Targeting</v></cell><cell r="W5102" t="str"><v>NotApplicable</v></cell><cell r="X5102" t="str"><v>1x1</v></cell></row><row r="5102"><cell r="AA5102"><v>43318</v></cell><cell r="AB5102" t="str"><v>CAN_gaPMG_AZR_AZR_Q1_19_Trial-Social</v></cell><cell r="AC5102"><v>21337220</v></cell><cell r="AD5102"><v>720192</v></cell><cell r="AE5102" t="str"><v>Facebook</v></cell><cell r="AF5102"><v>3654128</v></cell><cell r="AG5102" t="str"><v>Facebook»AZR»1x1»SocialBan»NA»ALL»DYN»AUT»D»All»SS»NA»Free Acc Refresh - T1 - FR</v></cell><cell r="AH5102"><v>223691762</v></cell><cell r="AI5102" t="str"><v>AzurePlatform_FreeAcctAppsFACEBOOKLifestyleChA_CAN_1200x628_SOC_PLAT_FR_Trial_Standard_NA_SU_T1_1.png</v></cell><cell r="AJ5102"><v>102902974</v></cell></row><row r="5103"><cell r="C5103" t="str"><v>43318Facebook»AZR»1x1»SocialBan»NA»ALL»DYN»AUT»D»All»SS»NA»Free Acc Refresh - T2 - EN</v></cell><cell r="D5103" t="str"><v>43318223691810</v></cell><cell r="E5103" t="str"><v>433181030587112 - EN</v></cell><cell r="F5103" t="str"><v>DCM</v></cell><cell r="G5103" t="str"><v>https://azure.microsoft.com/en-CA/free/search/</v></cell></row><row r="5103"><cell r="K5103" t="str"><v>August</v></cell><cell r="L5103"><v>43323</v></cell><cell r="M5103" t="str"><v>Tier 1</v></cell><cell r="N5103" t="str"><v>North America</v></cell><cell r="O5103" t="str"><v>Canada</v></cell><cell r="P5103" t="str"><v>Trial</v></cell><cell r="Q5103" t="str"><v>Social</v></cell><cell r="R5103" t="str"><v>Azure</v></cell><cell r="S5103" t="str"><v>Apps & Infra</v></cell><cell r="T5103" t="str"><v>Developers & ITI's</v></cell><cell r="U5103" t="str"><v>AZR</v></cell><cell r="V5103" t="str"><v>Audience Targeting</v></cell><cell r="W5103" t="str"><v>NotApplicable</v></cell><cell r="X5103" t="str"><v>1x1</v></cell></row><row r="5103"><cell r="AA5103"><v>43318</v></cell><cell r="AB5103" t="str"><v>CAN_gaPMG_AZR_AZR_Q1_19_Trial-Social</v></cell><cell r="AC5103"><v>21337220</v></cell><cell r="AD5103"><v>720192</v></cell><cell r="AE5103" t="str"><v>Facebook</v></cell><cell r="AF5103"><v>3654128</v></cell><cell r="AG5103" t="str"><v>Facebook»AZR»1x1»SocialBan»NA»ALL»DYN»AUT»D»All»SS»NA»Free Acc Refresh - T2 - EN</v></cell><cell r="AH5103"><v>223691810</v></cell><cell r="AI5103" t="str"><v>AzurePlatform_FreeAcctAppsFACEBOOKDeviceChB_CAN_1200x628_SOC_PLAT_EN_Trial_Standard_NA_SU_T2_1.png</v></cell><cell r="AJ5103"><v>103058711</v></cell></row><row r="5104"><cell r="C5104" t="str"><v>43318Facebook»AZR»1x1»SocialBan»NA»ALL»DYN»AUT»D»All»SS»NA»Free Acc Refresh - T2 - FR</v></cell><cell r="D5104" t="str"><v>43318223691768</v></cell><cell r="E5104" t="str"><v>433181029029712 - FR</v></cell><cell r="F5104" t="str"><v>DCM</v></cell><cell r="G5104" t="str"><v>https://azure.microsoft.com/fr-ca/free/search/</v></cell></row><row r="5104"><cell r="K5104" t="str"><v>August</v></cell><cell r="L5104"><v>43323</v></cell><cell r="M5104" t="str"><v>Tier 1</v></cell><cell r="N5104" t="str"><v>North America</v></cell><cell r="O5104" t="str"><v>Canada</v></cell><cell r="P5104" t="str"><v>Trial</v></cell><cell r="Q5104" t="str"><v>Social</v></cell><cell r="R5104" t="str"><v>Azure</v></cell><cell r="S5104" t="str"><v>Apps & Infra</v></cell><cell r="T5104" t="str"><v>Developers & ITI's</v></cell><cell r="U5104" t="str"><v>AZR</v></cell><cell r="V5104" t="str"><v>Audience Targeting</v></cell><cell r="W5104" t="str"><v>NotApplicable</v></cell><cell r="X5104" t="str"><v>1x1</v></cell></row><row r="5104"><cell r="AA5104"><v>43318</v></cell><cell r="AB5104" t="str"><v>CAN_gaPMG_AZR_AZR_Q1_19_Trial-Social</v></cell><cell r="AC5104"><v>21337220</v></cell><cell r="AD5104"><v>720192</v></cell><cell r="AE5104" t="str"><v>Facebook</v></cell><cell r="AF5104"><v>3654128</v></cell><cell r="AG5104" t="str"><v>Facebook»AZR»1x1»SocialBan»NA»ALL»DYN»AUT»D»All»SS»NA»Free Acc Refresh - T2 - FR</v></cell><cell r="AH5104"><v>223691768</v></cell><cell r="AI5104" t="str"><v>AzurePlatform_FreeAcctAppsFACEBOOKDeviceChB_CAN_1200x628_SOC_PLAT_FR_Trial_Standard_NA_SU_T2_1.png</v></cell><cell r="AJ5104"><v>102902971</v></cell></row><row r="5105"><cell r="C5105" t="str"><v>43318Facebook»AZR»1x1»SocialBan»NA»ALL»DYN»AUT»D»All»SS»NA»Free Acc Refresh - T3 - EN</v></cell><cell r="D5105" t="str"><v>43318223691807</v></cell><cell r="E5105" t="str"><v>433181029006853 - EN</v></cell><cell r="F5105" t="str"><v>DCM</v></cell><cell r="G5105" t="str"><v>https://azure.microsoft.com/en-CA/free/search/</v></cell></row><row r="5105"><cell r="K5105" t="str"><v>August</v></cell><cell r="L5105"><v>43323</v></cell><cell r="M5105" t="str"><v>Tier 1</v></cell><cell r="N5105" t="str"><v>North America</v></cell><cell r="O5105" t="str"><v>Canada</v></cell><cell r="P5105" t="str"><v>Trial</v></cell><cell r="Q5105" t="str"><v>Social</v></cell><cell r="R5105" t="str"><v>Azure</v></cell><cell r="S5105" t="str"><v>Apps & Infra</v></cell><cell r="T5105" t="str"><v>Developers & ITI's</v></cell><cell r="U5105" t="str"><v>AZR</v></cell><cell r="V5105" t="str"><v>Audience Targeting</v></cell><cell r="W5105" t="str"><v>NotApplicable</v></cell><cell r="X5105" t="str"><v>1x1</v></cell></row><row r="5105"><cell r="AA5105"><v>43318</v></cell><cell r="AB5105" t="str"><v>CAN_gaPMG_AZR_AZR_Q1_19_Trial-Social</v></cell><cell r="AC5105"><v>21337220</v></cell><cell r="AD5105"><v>720192</v></cell><cell r="AE5105" t="str"><v>Facebook</v></cell><cell r="AF5105"><v>3654128</v></cell><cell r="AG5105" t="str"><v>Facebook»AZR»1x1»SocialBan»NA»ALL»DYN»AUT»D»All»SS»NA»Free Acc Refresh - T3 - EN</v></cell><cell r="AH5105"><v>223691807</v></cell><cell r="AI5105" t="str"><v>AzurePlatform_FreeAcctAppsFACEBOOKIllustrationChC_CAN_1200x628_SOC_PLAT_EN_Trial_Standard_NA_SU_T3_1.png</v></cell><cell r="AJ5105"><v>102900685</v></cell></row><row r="5106"><cell r="C5106" t="str"><v>43318Facebook»AZR»1x1»SocialBan»NA»ALL»DYN»AUT»D»All»SS»NA»Free Acc Refresh - T3 - FR</v></cell><cell r="D5106" t="str"><v>43318223691765</v></cell><cell r="E5106" t="str"><v>433181030533323 - FR</v></cell><cell r="F5106" t="str"><v>DCM</v></cell><cell r="G5106" t="str"><v>https://azure.microsoft.com/fr-ca/free/search/</v></cell></row><row r="5106"><cell r="K5106" t="str"><v>August</v></cell><cell r="L5106"><v>43323</v></cell><cell r="M5106" t="str"><v>Tier 1</v></cell><cell r="N5106" t="str"><v>North America</v></cell><cell r="O5106" t="str"><v>Canada</v></cell><cell r="P5106" t="str"><v>Trial</v></cell><cell r="Q5106" t="str"><v>Social</v></cell><cell r="R5106" t="str"><v>Azure</v></cell><cell r="S5106" t="str"><v>Apps & Infra</v></cell><cell r="T5106" t="str"><v>Developers & ITI's</v></cell><cell r="U5106" t="str"><v>AZR</v></cell><cell r="V5106" t="str"><v>Audience Targeting</v></cell><cell r="W5106" t="str"><v>NotApplicable</v></cell><cell r="X5106" t="str"><v>1x1</v></cell></row><row r="5106"><cell r="AA5106"><v>43318</v></cell><cell r="AB5106" t="str"><v>CAN_gaPMG_AZR_AZR_Q1_19_Trial-Social</v></cell><cell r="AC5106"><v>21337220</v></cell><cell r="AD5106"><v>720192</v></cell><cell r="AE5106" t="str"><v>Facebook</v></cell><cell r="AF5106"><v>3654128</v></cell><cell r="AG5106" t="str"><v>Facebook»AZR»1x1»SocialBan»NA»ALL»DYN»AUT»D»All»SS»NA»Free Acc Refresh - T3 - FR</v></cell><cell r="AH5106"><v>223691765</v></cell><cell r="AI5106" t="str"><v>AzurePlatform_FreeAcctAppsFACEBOOKIllustrationChC_CAN_1200x628_SOC_PLAT_FR_Trial_Standard_NA_SU_T3_1.png</v></cell><cell r="AJ5106"><v>103053332</v></cell></row><row r="5107"><cell r="C5107" t="str"><v>43318Facebook»AZR»1x1»SocialBan»NA»ALL»DYN»AUT»D»All»SS»NA»Free Acc Refresh - T4 - EN</v></cell><cell r="D5107" t="str"><v>43318223691813</v></cell><cell r="E5107" t="str"><v>433181030533204 - EN</v></cell><cell r="F5107" t="str"><v>DCM</v></cell><cell r="G5107" t="str"><v>https://azure.microsoft.com/en-CA/free/search/</v></cell></row><row r="5107"><cell r="K5107" t="str"><v>August</v></cell><cell r="L5107"><v>43323</v></cell><cell r="M5107" t="str"><v>Tier 1</v></cell><cell r="N5107" t="str"><v>North America</v></cell><cell r="O5107" t="str"><v>Canada</v></cell><cell r="P5107" t="str"><v>Trial</v></cell><cell r="Q5107" t="str"><v>Social</v></cell><cell r="R5107" t="str"><v>Azure</v></cell><cell r="S5107" t="str"><v>Apps & Infra</v></cell><cell r="T5107" t="str"><v>Developers & ITI's</v></cell><cell r="U5107" t="str"><v>AZR</v></cell><cell r="V5107" t="str"><v>Audience Targeting</v></cell><cell r="W5107" t="str"><v>NotApplicable</v></cell><cell r="X5107" t="str"><v>1x1</v></cell></row><row r="5107"><cell r="AA5107"><v>43318</v></cell><cell r="AB5107" t="str"><v>CAN_gaPMG_AZR_AZR_Q1_19_Trial-Social</v></cell><cell r="AC5107"><v>21337220</v></cell><cell r="AD5107"><v>720192</v></cell><cell r="AE5107" t="str"><v>Facebook</v></cell><cell r="AF5107"><v>3654128</v></cell><cell r="AG5107" t="str"><v>Facebook»AZR»1x1»SocialBan»NA»ALL»DYN»AUT»D»All»SS»NA»Free Acc Refresh - T4 - EN</v></cell><cell r="AH5107"><v>223691813</v></cell><cell r="AI5107" t="str"><v>AzurePlatform_FreeAcctAppsFACEBOOK200CreditChD_CAN_1200x628_SOC_PLAT_EN_Trial_Standard_NA_SU_T4_1.png</v></cell><cell r="AJ5107"><v>103053320</v></cell></row><row r="5108"><cell r="C5108" t="str"><v>43318Facebook»AZR»1x1»SocialBan»NA»ALL»DYN»AUT»D»All»SS»NA»Free Acc Refresh - T5 - FR</v></cell><cell r="D5108" t="str"><v>43318223691774</v></cell><cell r="E5108" t="str"><v>433181029163565 - FR</v></cell><cell r="F5108" t="str"><v>DCM</v></cell><cell r="G5108" t="str"><v>https://azure.microsoft.com/fr-ca/free/search/</v></cell></row><row r="5108"><cell r="K5108" t="str"><v>August</v></cell><cell r="L5108"><v>43323</v></cell><cell r="M5108" t="str"><v>Tier 1</v></cell><cell r="N5108" t="str"><v>North America</v></cell><cell r="O5108" t="str"><v>Canada</v></cell><cell r="P5108" t="str"><v>Trial</v></cell><cell r="Q5108" t="str"><v>Social</v></cell><cell r="R5108" t="str"><v>Azure</v></cell><cell r="S5108" t="str"><v>Apps & Infra</v></cell><cell r="T5108" t="str"><v>Developers & ITI's</v></cell><cell r="U5108" t="str"><v>AZR</v></cell><cell r="V5108" t="str"><v>Audience Targeting</v></cell><cell r="W5108" t="str"><v>NotApplicable</v></cell><cell r="X5108" t="str"><v>1x1</v></cell></row><row r="5108"><cell r="AA5108"><v>43318</v></cell><cell r="AB5108" t="str"><v>CAN_gaPMG_AZR_AZR_Q1_19_Trial-Social</v></cell><cell r="AC5108"><v>21337220</v></cell><cell r="AD5108"><v>720192</v></cell><cell r="AE5108" t="str"><v>Facebook</v></cell><cell r="AF5108"><v>3654128</v></cell><cell r="AG5108" t="str"><v>Facebook»AZR»1x1»SocialBan»NA»ALL»DYN»AUT»D»All»SS»NA»Free Acc Refresh - T5 - FR</v></cell><cell r="AH5108"><v>223691774</v></cell><cell r="AI5108" t="str"><v>AzurePlatform_FreeAcctAppsFACEBOOK12monthsChE_CAN_1200x628_SOC_PLAT_FR_Trial_Standard_NA_SU_T5_1.png</v></cell><cell r="AJ5108"><v>102916356</v></cell></row><row r="5109"><cell r="C5109" t="str"><v>43318Facebook»AZR»1x1»SocialBan»NA»ALL»DYN»RT»D»All»SS»NA» Free Account Retargeting OSS - T1 - FR</v></cell><cell r="D5109" t="str"><v>43318223691786</v></cell><cell r="E5109" t="str"><v>433181030587201 - FR</v></cell><cell r="F5109" t="str"><v>DCM</v></cell><cell r="G5109" t="str"><v>https://azure.microsoft.com/fr-ca/free/open-source/search/</v></cell></row><row r="5109"><cell r="K5109" t="str"><v>August</v></cell><cell r="L5109"><v>43323</v></cell><cell r="M5109" t="str"><v>Tier 1</v></cell><cell r="N5109" t="str"><v>North America</v></cell><cell r="O5109" t="str"><v>Canada</v></cell><cell r="P5109" t="str"><v>Trial</v></cell><cell r="Q5109" t="str"><v>Social</v></cell><cell r="R5109" t="str"><v>Azure</v></cell><cell r="S5109" t="str"><v>Apps & Infra</v></cell><cell r="T5109" t="str"><v>Developers & ITI's</v></cell><cell r="U5109" t="str"><v>AZR</v></cell><cell r="V5109" t="str"><v>Retargeting</v></cell><cell r="W5109" t="str"><v>NotApplicable</v></cell><cell r="X5109" t="str"><v>1x1</v></cell></row><row r="5109"><cell r="AA5109"><v>43318</v></cell><cell r="AB5109" t="str"><v>CAN_gaPMG_AZR_AZR_Q1_19_Trial-Social</v></cell><cell r="AC5109"><v>21337220</v></cell><cell r="AD5109"><v>720192</v></cell><cell r="AE5109" t="str"><v>Facebook</v></cell><cell r="AF5109"><v>3654128</v></cell><cell r="AG5109" t="str"><v>Facebook»AZR»1x1»SocialBan»NA»ALL»DYN»RT»D»All»SS»NA» Free Account Retargeting OSS - T1 - FR</v></cell><cell r="AH5109"><v>223691786</v></cell><cell r="AI5109" t="str"><v>AzurePlatform_FreeAcctRetargetingOSSFB-Text-ChF_CAN_1200x628_SOC_Plat_FR_Free Account_Standard_NA_SU_T1_1</v></cell><cell r="AJ5109"><v>103058720</v></cell></row><row r="5110"><cell r="C5110" t="str"><v>43318Facebook»AZR»1x1»SocialBan»NA»ALL»DYN»RT»D»All»SS»NA» Free Account Retargeting OSS - T2 - EN</v></cell><cell r="D5110" t="str"><v>43318223691831</v></cell><cell r="E5110" t="str"><v>433181029138002 - EN</v></cell><cell r="F5110" t="str"><v>DCM</v></cell><cell r="G5110" t="str"><v>https://azure.microsoft.com/en-ca/free/open-source/search/</v></cell></row><row r="5110"><cell r="K5110" t="str"><v>August</v></cell><cell r="L5110"><v>43323</v></cell><cell r="M5110" t="str"><v>Tier 1</v></cell><cell r="N5110" t="str"><v>North America</v></cell><cell r="O5110" t="str"><v>Canada</v></cell><cell r="P5110" t="str"><v>Trial</v></cell><cell r="Q5110" t="str"><v>Social</v></cell><cell r="R5110" t="str"><v>Azure</v></cell><cell r="S5110" t="str"><v>Apps & Infra</v></cell><cell r="T5110" t="str"><v>Developers & ITI's</v></cell><cell r="U5110" t="str"><v>AZR</v></cell><cell r="V5110" t="str"><v>Retargeting</v></cell><cell r="W5110" t="str"><v>NotApplicable</v></cell><cell r="X5110" t="str"><v>1x1</v></cell></row><row r="5110"><cell r="AA5110"><v>43318</v></cell><cell r="AB5110" t="str"><v>CAN_gaPMG_AZR_AZR_Q1_19_Trial-Social</v></cell><cell r="AC5110"><v>21337220</v></cell><cell r="AD5110"><v>720192</v></cell><cell r="AE5110" t="str"><v>Facebook</v></cell><cell r="AF5110"><v>3654128</v></cell><cell r="AG5110" t="str"><v>Facebook»AZR»1x1»SocialBan»NA»ALL»DYN»RT»D»All»SS»NA» Free Account Retargeting OSS - T2 - EN</v></cell><cell r="AH5110"><v>223691831</v></cell><cell r="AI5110" t="str"><v>AzurePlatform_FreeAcctRetargetingOSSFB-Logos-ChG_CAN_1200x628_SOC_Plat_EN_Free Account_Standard_NA_SU_T2_1</v></cell><cell r="AJ5110"><v>102913800</v></cell></row><row r="5111"><cell r="C5111" t="str"><v>43318Facebook»AZR»1x1»SocialBan»NA»ALL»DYN»RT»D»All»SS»NA»Free Account Retargeting VM - T1 - EN</v></cell><cell r="D5111" t="str"><v>43318223691825</v></cell><cell r="E5111" t="str"><v>433181029163381 - EN</v></cell><cell r="F5111" t="str"><v>DCM</v></cell><cell r="G5111" t="str"><v>https://azure.microsoft.com/en-ca/free/virtual-machines/search/</v></cell></row><row r="5111"><cell r="K5111" t="str"><v>August</v></cell><cell r="L5111"><v>43323</v></cell><cell r="M5111" t="str"><v>Tier 1</v></cell><cell r="N5111" t="str"><v>North America</v></cell><cell r="O5111" t="str"><v>Canada</v></cell><cell r="P5111" t="str"><v>Trial</v></cell><cell r="Q5111" t="str"><v>Social</v></cell><cell r="R5111" t="str"><v>Azure</v></cell><cell r="S5111" t="str"><v>Apps & Infra</v></cell><cell r="T5111" t="str"><v>Developers & ITI's</v></cell><cell r="U5111" t="str"><v>AZR</v></cell><cell r="V5111" t="str"><v>Retargeting</v></cell><cell r="W5111" t="str"><v>NotApplicable</v></cell><cell r="X5111" t="str"><v>1x1</v></cell></row><row r="5111"><cell r="AA5111"><v>43318</v></cell><cell r="AB5111" t="str"><v>CAN_gaPMG_AZR_AZR_Q1_19_Trial-Social</v></cell><cell r="AC5111"><v>21337220</v></cell><cell r="AD5111"><v>720192</v></cell><cell r="AE5111" t="str"><v>Facebook</v></cell><cell r="AF5111"><v>3654128</v></cell><cell r="AG5111" t="str"><v>Facebook»AZR»1x1»SocialBan»NA»ALL»DYN»RT»D»All»SS»NA»Free Account Retargeting VM - T1 - EN</v></cell><cell r="AH5111"><v>223691825</v></cell><cell r="AI5111" t="str"><v>AzurePlatform_FreeAcctRetargetingVMFB-750Hrs-ChD_CAN_1200x628_SOC_Plat_EN_Free Account_Standard_NA_SU_T1_1</v></cell><cell r="AJ5111"><v>102916338</v></cell></row><row r="5112"><cell r="C5112" t="str"><v>43318Facebook»AZR»1x1»SocialBan»NA»ALL»DYN»RT»D»All»SS»NA»Free Account Retargeting VM - T2 - EN</v></cell><cell r="D5112" t="str"><v>43318223691822</v></cell><cell r="E5112" t="str"><v>433181030587082 - EN</v></cell><cell r="F5112" t="str"><v>DCM</v></cell><cell r="G5112" t="str"><v>https://azure.microsoft.com/en-ca/free/virtual-machines/search/</v></cell></row><row r="5112"><cell r="K5112" t="str"><v>August</v></cell><cell r="L5112"><v>43323</v></cell><cell r="M5112" t="str"><v>Tier 1</v></cell><cell r="N5112" t="str"><v>North America</v></cell><cell r="O5112" t="str"><v>Canada</v></cell><cell r="P5112" t="str"><v>Trial</v></cell><cell r="Q5112" t="str"><v>Social</v></cell><cell r="R5112" t="str"><v>Azure</v></cell><cell r="S5112" t="str"><v>Apps & Infra</v></cell><cell r="T5112" t="str"><v>Developers & ITI's</v></cell><cell r="U5112" t="str"><v>AZR</v></cell><cell r="V5112" t="str"><v>Retargeting</v></cell><cell r="W5112" t="str"><v>NotApplicable</v></cell><cell r="X5112" t="str"><v>1x1</v></cell></row><row r="5112"><cell r="AA5112"><v>43318</v></cell><cell r="AB5112" t="str"><v>CAN_gaPMG_AZR_AZR_Q1_19_Trial-Social</v></cell><cell r="AC5112"><v>21337220</v></cell><cell r="AD5112"><v>720192</v></cell><cell r="AE5112" t="str"><v>Facebook</v></cell><cell r="AF5112"><v>3654128</v></cell><cell r="AG5112" t="str"><v>Facebook»AZR»1x1»SocialBan»NA»ALL»DYN»RT»D»All»SS»NA»Free Account Retargeting VM - T2 - EN</v></cell><cell r="AH5112"><v>223691822</v></cell><cell r="AI5112" t="str"><v>AzurePlatform_FreeAcctRetargetingVMFB-OnDemand-ChE_CAN_1200x628_SOC_Plat_EN_Free Account_Standard_NA_SU_T2_1</v></cell><cell r="AJ5112"><v>103058708</v></cell></row><row r="5113"><cell r="C5113" t="str"><v>43318Facebook»DEV-ITP-AZR-FB|CanvasAds|Interesttargeting»1x1»TextLink»CAN»DT»CPM»AUT»W»NA»SS»NA»39684020-11000</v></cell><cell r="D5113" t="str"><v>43318224009494</v></cell><cell r="E5113" t="str"><v>43318103236186-11000</v></cell><cell r="F5113" t="str"><v>DCM</v></cell><cell r="G5113" t="str"><v>https://signup.azure.com/signup?offer=ms-azr-0044p&appId=102&ref=paidmedia-social-fb&redirectURL=https%3a%2f%2fazure.microsoft.com%2fde-de%2fget-started%2fwelcome-to-azure%2f&l=de-de&correlationId=ead86c34-1f10-49dd-a72b-6918462a2cbf</v></cell></row><row r="5113"><cell r="K5113" t="str"><v>August</v></cell><cell r="L5113"><v>43323</v></cell><cell r="M5113" t="str"><v>Tier 1</v></cell><cell r="N5113" t="str"><v>EMEA</v></cell><cell r="O5113" t="str"><v>Germany</v></cell><cell r="P5113" t="str"><v>Trial</v></cell><cell r="Q5113" t="str"><v>Social</v></cell><cell r="R5113" t="str"><v>Azure</v></cell><cell r="S5113" t="str"><v>Apps & Infra</v></cell><cell r="T5113" t="str"><v>Developers & ITI's</v></cell><cell r="U5113" t="str"><v>DEV-ITP-AZR-FB|CanvasAds|Interesttargeting</v></cell><cell r="V5113" t="str"><v>Audience Targeting</v></cell><cell r="W5113" t="str"><v>Canvas Ad</v></cell><cell r="X5113" t="str"><v>1x1</v></cell></row><row r="5113"><cell r="AA5113"><v>43318</v></cell><cell r="AB5113" t="str"><v>DEU_gaPMG_AZR_AZR_Q1_19_Trial-Social- 39684</v></cell><cell r="AC5113"><v>21359477</v></cell><cell r="AD5113"><v>720194</v></cell><cell r="AE5113" t="str"><v>Facebook</v></cell><cell r="AF5113"><v>3654128</v></cell><cell r="AG5113" t="str"><v>Facebook»DEV-ITP-AZR-FB|CanvasAds|Interesttargeting»1x1»TextLink»CAN»DT»CPM»AUT»W»NA»SS»NA»39684020-11000</v></cell><cell r="AH5113"><v>224009494</v></cell><cell r="AI5113" t="str"><v>AzurePlatform_FBCTCBasicMotion-StartFreeCT_DEU_10s_ISV_PLAT_DE_Trial_Standard_STAN_TN_T1_1</v></cell><cell r="AJ5113"><v>103236186</v></cell></row><row r="5114"><cell r="C5114" t="str"><v>43318Facebook»DEV-ITP-AZR-FB|CanvasAds|Interesttargeting»1x1»TextLink»CAN»DT»CPM»AUT»W»NA»SS»NA»39684020-11000</v></cell><cell r="D5114" t="str"><v>43318224009494</v></cell><cell r="E5114" t="str"><v>43318103237290-11000</v></cell><cell r="F5114" t="str"><v>DCM</v></cell><cell r="G5114" t="str"><v>https://signup.azure.com/signup?offer=ms-azr-0044p&appId=102&ref=paidmedia-social-fb&redirectURL=https%3a%2f%2fazure.microsoft.com%2fde-de%2fget-started%2fwelcome-to-azure%2f&l=de-de&correlationId=ead86c34-1f10-49dd-a72b-6918462a2cbf</v></cell></row><row r="5114"><cell r="K5114" t="str"><v>August</v></cell><cell r="L5114"><v>43323</v></cell><cell r="M5114" t="str"><v>Tier 1</v></cell><cell r="N5114" t="str"><v>EMEA</v></cell><cell r="O5114" t="str"><v>Germany</v></cell><cell r="P5114" t="str"><v>Trial</v></cell><cell r="Q5114" t="str"><v>Social</v></cell><cell r="R5114" t="str"><v>Azure</v></cell><cell r="S5114" t="str"><v>Apps & Infra</v></cell><cell r="T5114" t="str"><v>Developers & ITI's</v></cell><cell r="U5114" t="str"><v>DEV-ITP-AZR-FB|CanvasAds|Interesttargeting</v></cell><cell r="V5114" t="str"><v>Audience Targeting</v></cell><cell r="W5114" t="str"><v>Canvas Ad</v></cell><cell r="X5114" t="str"><v>1x1</v></cell></row><row r="5114"><cell r="AA5114"><v>43318</v></cell><cell r="AB5114" t="str"><v>DEU_gaPMG_AZR_AZR_Q1_19_Trial-Social- 39684</v></cell><cell r="AC5114"><v>21359477</v></cell><cell r="AD5114"><v>720194</v></cell><cell r="AE5114" t="str"><v>Facebook</v></cell><cell r="AF5114"><v>3654128</v></cell><cell r="AG5114" t="str"><v>Facebook»DEV-ITP-AZR-FB|CanvasAds|Interesttargeting»1x1»TextLink»CAN»DT»CPM»AUT»W»NA»SS»NA»39684020-11000</v></cell><cell r="AH5114"><v>224009494</v></cell><cell r="AI5114" t="str"><v>AzurePlatform_FBCTCBenefit2inMotion-StartFreeCT_DEU_14s_ISV_PLAT_DE_Trial_Standard_STAN_TN_T4_1</v></cell><cell r="AJ5114"><v>103237290</v></cell></row><row r="5115"><cell r="C5115" t="str"><v>43318Facebook»DEV-ITP-AZR-FB|CanvasAds|Interesttargeting»1x1»TextLink»CAN»DT»CPM»AUT»W»NA»SS»NA»39684020-11000</v></cell><cell r="D5115" t="str"><v>43318224009494</v></cell><cell r="E5115" t="str"><v>43318103350059-11000</v></cell><cell r="F5115" t="str"><v>DCM</v></cell><cell r="G5115" t="str"><v>https://azure.microsoft.com/de-de/pricing/purchase-options/</v></cell></row><row r="5115"><cell r="K5115" t="str"><v>August</v></cell><cell r="L5115"><v>43323</v></cell><cell r="M5115" t="str"><v>Tier 1</v></cell><cell r="N5115" t="str"><v>EMEA</v></cell><cell r="O5115" t="str"><v>Germany</v></cell><cell r="P5115" t="str"><v>Trial</v></cell><cell r="Q5115" t="str"><v>Social</v></cell><cell r="R5115" t="str"><v>Azure</v></cell><cell r="S5115" t="str"><v>Apps & Infra</v></cell><cell r="T5115" t="str"><v>Developers & ITI's</v></cell><cell r="U5115" t="str"><v>DEV-ITP-AZR-FB|CanvasAds|Interesttargeting</v></cell><cell r="V5115" t="str"><v>Audience Targeting</v></cell><cell r="W5115" t="str"><v>Canvas Ad</v></cell><cell r="X5115" t="str"><v>1x1</v></cell></row><row r="5115"><cell r="AA5115"><v>43318</v></cell><cell r="AB5115" t="str"><v>DEU_gaPMG_AZR_AZR_Q1_19_Trial-Social- 39684</v></cell><cell r="AC5115"><v>21359477</v></cell><cell r="AD5115"><v>720194</v></cell><cell r="AE5115" t="str"><v>Facebook</v></cell><cell r="AF5115"><v>3654128</v></cell><cell r="AG5115" t="str"><v>Facebook»DEV-ITP-AZR-FB|CanvasAds|Interesttargeting»1x1»TextLink»CAN»DT»CPM»AUT»W»NA»SS»NA»39684020-11000</v></cell><cell r="AH5115"><v>224009494</v></cell><cell r="AI5115" t="str"><v>AzurePlatform_FBCTCBrandinMotion-BuyNow_DEU_12s_ISV_PLAT_DE_Trial_Standard_STAN_TN_T2_1</v></cell><cell r="AJ5115"><v>103350059</v></cell></row><row r="5116"><cell r="C5116" t="str"><v>43318Facebook»DEV-ITP-AZR-FB|CanvasAds|Interesttargeting»1x1»TextLink»CAN»DT»CPM»AUT»W»NA»SS»NA»39684020-11000</v></cell><cell r="D5116" t="str"><v>43318224009494</v></cell><cell r="E5116" t="str"><v>43318103237293-11000</v></cell><cell r="F5116" t="str"><v>DCM</v></cell><cell r="G5116" t="str"><v>https://signup.azure.com/signup?offer=ms-azr-0044p&appId=102&ref=paidmedia-social-fb&redirectURL=https%3a%2f%2fazure.microsoft.com%2fde-de%2fget-started%2fwelcome-to-azure%2f&l=de-de&correlationId=ead86c34-1f10-49dd-a72b-6918462a2cbf</v></cell></row><row r="5116"><cell r="K5116" t="str"><v>August</v></cell><cell r="L5116"><v>43323</v></cell><cell r="M5116" t="str"><v>Tier 1</v></cell><cell r="N5116" t="str"><v>EMEA</v></cell><cell r="O5116" t="str"><v>Germany</v></cell><cell r="P5116" t="str"><v>Trial</v></cell><cell r="Q5116" t="str"><v>Social</v></cell><cell r="R5116" t="str"><v>Azure</v></cell><cell r="S5116" t="str"><v>Apps & Infra</v></cell><cell r="T5116" t="str"><v>Developers & ITI's</v></cell><cell r="U5116" t="str"><v>DEV-ITP-AZR-FB|CanvasAds|Interesttargeting</v></cell><cell r="V5116" t="str"><v>Audience Targeting</v></cell><cell r="W5116" t="str"><v>Canvas Ad</v></cell><cell r="X5116" t="str"><v>1x1</v></cell></row><row r="5116"><cell r="AA5116"><v>43318</v></cell><cell r="AB5116" t="str"><v>DEU_gaPMG_AZR_AZR_Q1_19_Trial-Social- 39684</v></cell><cell r="AC5116"><v>21359477</v></cell><cell r="AD5116"><v>720194</v></cell><cell r="AE5116" t="str"><v>Facebook</v></cell><cell r="AF5116"><v>3654128</v></cell><cell r="AG5116" t="str"><v>Facebook»DEV-ITP-AZR-FB|CanvasAds|Interesttargeting»1x1»TextLink»CAN»DT»CPM»AUT»W»NA»SS»NA»39684020-11000</v></cell><cell r="AH5116"><v>224009494</v></cell><cell r="AI5116" t="str"><v>AzurePlatform_FBCTCBrandinMotion-StartFreeCT_DEU_12s_ISV_PLAT_DE_Trial_Standard_STAN_TN_T2_1</v></cell><cell r="AJ5116"><v>103237293</v></cell></row><row r="5117"><cell r="C5117" t="str"><v>43318Facebook»DEV-ITP-AZR-FB|LinkAd|CustomerAudienceRetargeting»1x1»TextLink»LIA»DT»CPM»RT»W»NA»SS»NA»39684019-11000</v></cell><cell r="D5117" t="str"><v>43318224010415</v></cell><cell r="E5117" t="str"><v>43318103048548-11000</v></cell><cell r="F5117" t="str"><v>DCM</v></cell><cell r="G5117" t="str"><v>https://azure.microsoft.com/de-de/free/search/</v></cell></row><row r="5117"><cell r="K5117" t="str"><v>August</v></cell><cell r="L5117"><v>43323</v></cell><cell r="M5117" t="str"><v>Tier 1</v></cell><cell r="N5117" t="str"><v>EMEA</v></cell><cell r="O5117" t="str"><v>Germany</v></cell><cell r="P5117" t="str"><v>Trial</v></cell><cell r="Q5117" t="str"><v>Social</v></cell><cell r="R5117" t="str"><v>Azure</v></cell><cell r="S5117" t="str"><v>Apps & Infra</v></cell><cell r="T5117" t="str"><v>Developers & ITI's</v></cell><cell r="U5117" t="str"><v>DEV-ITP-AZR-FB|LinkAd|CustomerAudienceRetargeting</v></cell><cell r="V5117" t="str"><v>Retargeting</v></cell><cell r="W5117" t="str"><v>Link Ad</v></cell><cell r="X5117" t="str"><v>1x1</v></cell></row><row r="5117"><cell r="AA5117"><v>43318</v></cell><cell r="AB5117" t="str"><v>DEU_gaPMG_AZR_AZR_Q1_19_Trial-Social- 39684</v></cell><cell r="AC5117"><v>21359477</v></cell><cell r="AD5117"><v>720194</v></cell><cell r="AE5117" t="str"><v>Facebook</v></cell><cell r="AF5117"><v>3654128</v></cell><cell r="AG5117" t="str"><v>Facebook»DEV-ITP-AZR-FB|LinkAd|CustomerAudienceRetargeting»1x1»TextLink»LIA»DT»CPM»RT»W»NA»SS»NA»39684019-11000</v></cell><cell r="AH5117"><v>224010415</v></cell><cell r="AI5117" t="str"><v>AzurePlatform_FreeAcctRetargetingFB-Animated-ChC_DEU_1200x628_SOC_Plat_DE_Free Account_Standard_ANI_SNU_T3_1</v></cell><cell r="AJ5117"><v>103048548</v></cell></row><row r="5118"><cell r="C5118" t="str"><v>43318Facebook»DEV-ITP-AZR-FB|LinkAd|CustomerAudienceRetargeting»1x1»TextLink»LIA»DT»CPM»RT»W»NA»SS»NA»39684019-11000</v></cell><cell r="D5118" t="str"><v>43318224010415</v></cell><cell r="E5118" t="str"><v>43318103040320-11000</v></cell><cell r="F5118" t="str"><v>DCM</v></cell><cell r="G5118" t="str"><v>https://azure.microsoft.com/de-de/free/search/</v></cell></row><row r="5118"><cell r="K5118" t="str"><v>August</v></cell><cell r="L5118"><v>43323</v></cell><cell r="M5118" t="str"><v>Tier 1</v></cell><cell r="N5118" t="str"><v>EMEA</v></cell><cell r="O5118" t="str"><v>Germany</v></cell><cell r="P5118" t="str"><v>Trial</v></cell><cell r="Q5118" t="str"><v>Social</v></cell><cell r="R5118" t="str"><v>Azure</v></cell><cell r="S5118" t="str"><v>Apps & Infra</v></cell><cell r="T5118" t="str"><v>Developers & ITI's</v></cell><cell r="U5118" t="str"><v>DEV-ITP-AZR-FB|LinkAd|CustomerAudienceRetargeting</v></cell><cell r="V5118" t="str"><v>Retargeting</v></cell><cell r="W5118" t="str"><v>Link Ad</v></cell><cell r="X5118" t="str"><v>1x1</v></cell></row><row r="5118"><cell r="AA5118"><v>43318</v></cell><cell r="AB5118" t="str"><v>DEU_gaPMG_AZR_AZR_Q1_19_Trial-Social- 39684</v></cell><cell r="AC5118"><v>21359477</v></cell><cell r="AD5118"><v>720194</v></cell><cell r="AE5118" t="str"><v>Facebook</v></cell><cell r="AF5118"><v>3654128</v></cell><cell r="AG5118" t="str"><v>Facebook»DEV-ITP-AZR-FB|LinkAd|CustomerAudienceRetargeting»1x1»TextLink»LIA»DT»CPM»RT»W»NA»SS»NA»39684019-11000</v></cell><cell r="AH5118"><v>224010415</v></cell><cell r="AI5118" t="str"><v>AzurePlatform_FreeAcctRetargetingFB-GlobalAlt-ChB_DEU_1200x628_SOC_Plat_DE_Free Account_Standard_NA_SNU_T2_1</v></cell><cell r="AJ5118"><v>103040320</v></cell></row><row r="5119"><cell r="C5119" t="str"><v>43318Facebook»DEV-ITP-AZR-FB|LinkAd|CustomerAudienceRetargeting»1x1»TextLink»LIA»DT»CPM»RT»W»NA»SS»NA»39684019-11000</v></cell><cell r="D5119" t="str"><v>43318224010415</v></cell><cell r="E5119" t="str"><v>43318103055394-11000</v></cell><cell r="F5119" t="str"><v>DCM</v></cell><cell r="G5119" t="str"><v>https://azure.microsoft.com/de-de/free/open-source/search/</v></cell></row><row r="5119"><cell r="K5119" t="str"><v>August</v></cell><cell r="L5119"><v>43323</v></cell><cell r="M5119" t="str"><v>Tier 1</v></cell><cell r="N5119" t="str"><v>EMEA</v></cell><cell r="O5119" t="str"><v>Germany</v></cell><cell r="P5119" t="str"><v>Trial</v></cell><cell r="Q5119" t="str"><v>Social</v></cell><cell r="R5119" t="str"><v>Azure</v></cell><cell r="S5119" t="str"><v>Apps & Infra</v></cell><cell r="T5119" t="str"><v>Developers & ITI's</v></cell><cell r="U5119" t="str"><v>DEV-ITP-AZR-FB|LinkAd|CustomerAudienceRetargeting</v></cell><cell r="V5119" t="str"><v>Retargeting</v></cell><cell r="W5119" t="str"><v>Link Ad</v></cell><cell r="X5119" t="str"><v>1x1</v></cell></row><row r="5119"><cell r="AA5119"><v>43318</v></cell><cell r="AB5119" t="str"><v>DEU_gaPMG_AZR_AZR_Q1_19_Trial-Social- 39684</v></cell><cell r="AC5119"><v>21359477</v></cell><cell r="AD5119"><v>720194</v></cell><cell r="AE5119" t="str"><v>Facebook</v></cell><cell r="AF5119"><v>3654128</v></cell><cell r="AG5119" t="str"><v>Facebook»DEV-ITP-AZR-FB|LinkAd|CustomerAudienceRetargeting»1x1»TextLink»LIA»DT»CPM»RT»W»NA»SS»NA»39684019-11000</v></cell><cell r="AH5119"><v>224010415</v></cell><cell r="AI5119" t="str"><v>AzurePlatform_FreeAcctRetargetingOSSFB-Text-ChF_DEU_1200x628_SOC_Plat_DE_Free Account_Standard_NA_SNU_T1_1</v></cell><cell r="AJ5119"><v>103055394</v></cell></row><row r="5120"><cell r="C5120" t="str"><v>43318Facebook»DEV-ITP-AZR-FB|LinkAd|CustomerAudienceRetargeting»1x1»TextLink»LIA»DT»CPM»RT»W»NA»SS»NA»39684019-11000</v></cell><cell r="D5120" t="str"><v>43318224010415</v></cell><cell r="E5120" t="str"><v>43318103043341-11000</v></cell><cell r="F5120" t="str"><v>DCM</v></cell><cell r="G5120" t="str"><v>https://azure.microsoft.com/de-de/free/virtual-machines/search/</v></cell></row><row r="5120"><cell r="K5120" t="str"><v>August</v></cell><cell r="L5120"><v>43323</v></cell><cell r="M5120" t="str"><v>Tier 1</v></cell><cell r="N5120" t="str"><v>EMEA</v></cell><cell r="O5120" t="str"><v>Germany</v></cell><cell r="P5120" t="str"><v>Trial</v></cell><cell r="Q5120" t="str"><v>Social</v></cell><cell r="R5120" t="str"><v>Azure</v></cell><cell r="S5120" t="str"><v>Apps & Infra</v></cell><cell r="T5120" t="str"><v>Developers & ITI's</v></cell><cell r="U5120" t="str"><v>DEV-ITP-AZR-FB|LinkAd|CustomerAudienceRetargeting</v></cell><cell r="V5120" t="str"><v>Retargeting</v></cell><cell r="W5120" t="str"><v>Link Ad</v></cell><cell r="X5120" t="str"><v>1x1</v></cell></row><row r="5120"><cell r="AA5120"><v>43318</v></cell><cell r="AB5120" t="str"><v>DEU_gaPMG_AZR_AZR_Q1_19_Trial-Social- 39684</v></cell><cell r="AC5120"><v>21359477</v></cell><cell r="AD5120"><v>720194</v></cell><cell r="AE5120" t="str"><v>Facebook</v></cell><cell r="AF5120"><v>3654128</v></cell><cell r="AG5120" t="str"><v>Facebook»DEV-ITP-AZR-FB|LinkAd|CustomerAudienceRetargeting»1x1»TextLink»LIA»DT»CPM»RT»W»NA»SS»NA»39684019-11000</v></cell><cell r="AH5120"><v>224010415</v></cell><cell r="AI5120" t="str"><v>AzurePlatform_FreeAcctRetargetingVMFB-750Hrs-ChD_DEU_1200x628_SOC_Plat_DE_Free Account_Standard_NA_SNU_T1_1</v></cell><cell r="AJ5120"><v>103043341</v></cell></row><row r="5121"><cell r="C5121" t="str"><v>43318Facebook»Developers/ITPros-Azure Direct-Sponsored Post-Canvas-FBCTCcanvaspage-BuyNowCTA-Img3_FBCTCBasicMotion_FRA_10sec»1x1»Canvas»SOC»ALL»CPC»BT»D»UNK»SS»NA»Trials</v></cell><cell r="D5121" t="str"><v>43318224369893</v></cell><cell r="E5121" t="str"><v>43318103256571Trials</v></cell><cell r="F5121" t="str"><v>DCM</v></cell><cell r="G5121" t="str"><v>https://azure.microsoft.com/fr-fr/pricing/purchase-options/</v></cell></row><row r="5121"><cell r="K5121" t="str"><v>August</v></cell><cell r="L5121"><v>43323</v></cell><cell r="M5121" t="str"><v>Tier 1</v></cell><cell r="N5121" t="str"><v>EMEA</v></cell><cell r="O5121" t="str"><v>France</v></cell><cell r="P5121" t="str"><v>Trial</v></cell><cell r="Q5121" t="str"><v>Social</v></cell><cell r="R5121" t="str"><v>Azure</v></cell><cell r="S5121" t="str"><v>Apps & Infra</v></cell><cell r="T5121" t="str"><v>Developers & ITI's</v></cell><cell r="U5121" t="str"><v>Developers/ITPros-Azure Direct-Sponsored Post-Canvas-FBCTCcanvaspage-BuyNowCTA-Img3_FBCTCBasicMotion_FRA_10sec</v></cell><cell r="V5121" t="str"><v>Behavioral Targeting</v></cell><cell r="W5121" t="str"><v>Social</v></cell><cell r="X5121" t="str"><v>1x1</v></cell></row><row r="5121"><cell r="AA5121"><v>43318</v></cell><cell r="AB5121" t="str"><v>FRA_gaPMG_AZR_AZR_Q1_19_AzureDirect-Trial-Social</v></cell><cell r="AC5121"><v>21356941</v></cell><cell r="AD5121"><v>720193</v></cell><cell r="AE5121" t="str"><v>Facebook</v></cell><cell r="AF5121"><v>3654128</v></cell><cell r="AG5121" t="str"><v>Facebook»Developers/ITPros-Azure Direct-Sponsored Post-Canvas-FBCTCcanvaspage-BuyNowCTA-Img3_FBCTCBasicMotion_FRA_10sec»1x1»Canvas»SOC»ALL»CPC»BT»D»UNK»SS»NA»Trials</v></cell><cell r="AH5121"><v>224369893</v></cell><cell r="AI5121" t="str"><v>AZR_FBCTCcanvaspage-BuyNowCTA-Img3_FRA_1080x162_SOC_AZRDirect_French_NA_Facebook_SBAN_BN_T3_1</v></cell><cell r="AJ5121"><v>103256571</v></cell></row><row r="5122"><cell r="C5122" t="str"><v>43318Facebook»Developers/ITPros-Azure Direct-Sponsored Post-Canvas-FBCTCcanvaspage-BuyNowCTA-Img3_FBCTCBrandinMotion_FRA_14sec»1x1»Canvas»SOC»ALL»CPC»BT»D»UNK»SS»NA»Trials</v></cell><cell r="D5122" t="str"><v>43318224416918</v></cell><cell r="E5122" t="str"><v>43318103256571Trials</v></cell><cell r="F5122" t="str"><v>DCM</v></cell><cell r="G5122" t="str"><v>https://azure.microsoft.com/fr-fr/pricing/purchase-options/</v></cell></row><row r="5122"><cell r="K5122" t="str"><v>August</v></cell><cell r="L5122"><v>43323</v></cell><cell r="M5122" t="str"><v>Tier 1</v></cell><cell r="N5122" t="str"><v>EMEA</v></cell><cell r="O5122" t="str"><v>France</v></cell><cell r="P5122" t="str"><v>Trial</v></cell><cell r="Q5122" t="str"><v>Social</v></cell><cell r="R5122" t="str"><v>Azure</v></cell><cell r="S5122" t="str"><v>Apps & Infra</v></cell><cell r="T5122" t="str"><v>Developers & ITI's</v></cell><cell r="U5122" t="str"><v>Developers/ITPros-Azure Direct-Sponsored Post-Canvas-FBCTCcanvaspage-BuyNowCTA-Img3_FBCTCBrandinMotion_FRA_14sec</v></cell><cell r="V5122" t="str"><v>Behavioral Targeting</v></cell><cell r="W5122" t="str"><v>Social</v></cell><cell r="X5122" t="str"><v>1x1</v></cell></row><row r="5122"><cell r="AA5122"><v>43318</v></cell><cell r="AB5122" t="str"><v>FRA_gaPMG_AZR_AZR_Q1_19_AzureDirect-Trial-Social</v></cell><cell r="AC5122"><v>21356941</v></cell><cell r="AD5122"><v>720193</v></cell><cell r="AE5122" t="str"><v>Facebook</v></cell><cell r="AF5122"><v>3654128</v></cell><cell r="AG5122" t="str"><v>Facebook»Developers/ITPros-Azure Direct-Sponsored Post-Canvas-FBCTCcanvaspage-BuyNowCTA-Img3_FBCTCBrandinMotion_FRA_14sec»1x1»Canvas»SOC»ALL»CPC»BT»D»UNK»SS»NA»Trials</v></cell><cell r="AH5122"><v>224416918</v></cell><cell r="AI5122" t="str"><v>AZR_FBCTCcanvaspage-BuyNowCTA-Img3_FRA_1080x162_SOC_AZRDirect_French_NA_Facebook_SBAN_BN_T3_1</v></cell><cell r="AJ5122"><v>103256571</v></cell></row><row r="5123"><cell r="C5123" t="str"><v>43318Facebook»Developers/ITPros-Azure Direct-Sponsored Post-Canvas-FBCTCcanvaspage-StartFreeCTA-Img2_FBCTCBasicMotion_FRA_10sec»1x1»Canvas»SOC»ALL»CPC»BT»D»UNK»SS»NA»Trials</v></cell><cell r="D5123" t="str"><v>43318224560884</v></cell><cell r="E5123" t="str"><v>43318103259958Trials</v></cell><cell r="F5123" t="str"><v>DCM</v></cell><cell r="G5123" t="str"><v>https://signup.azure.com/signup?offer=ms-azr-0044p&appId=102&ref=paidmedia-social-fb&redirectURL=https%3a%2f%2fazure.microsoft.com%2ffr-fr%2fget-started%2fwelcome-to-azure%2f&l=fr-fr&correlationId=ead86c34-1f10-49dd-a72b-6918462a2cbf</v></cell></row><row r="5123"><cell r="K5123" t="str"><v>August</v></cell><cell r="L5123"><v>43323</v></cell><cell r="M5123" t="str"><v>Tier 1</v></cell><cell r="N5123" t="str"><v>EMEA</v></cell><cell r="O5123" t="str"><v>France</v></cell><cell r="P5123" t="str"><v>Trial</v></cell><cell r="Q5123" t="str"><v>Social</v></cell><cell r="R5123" t="str"><v>Azure</v></cell><cell r="S5123" t="str"><v>Apps & Infra</v></cell><cell r="T5123" t="str"><v>Developers & ITI's</v></cell><cell r="U5123" t="str"><v>Developers/ITPros-Azure Direct-Sponsored Post-Canvas-FBCTCcanvaspage-StartFreeCTA-Img2_FBCTCBasicMotion_FRA_10sec</v></cell><cell r="V5123" t="str"><v>Behavioral Targeting</v></cell><cell r="W5123" t="str"><v>Social</v></cell><cell r="X5123" t="str"><v>1x1</v></cell></row><row r="5123"><cell r="AA5123"><v>43318</v></cell><cell r="AB5123" t="str"><v>FRA_gaPMG_AZR_AZR_Q1_19_AzureDirect-Trial-Social</v></cell><cell r="AC5123"><v>21356941</v></cell><cell r="AD5123"><v>720193</v></cell><cell r="AE5123" t="str"><v>Facebook</v></cell><cell r="AF5123"><v>3654128</v></cell><cell r="AG5123" t="str"><v>Facebook»Developers/ITPros-Azure Direct-Sponsored Post-Canvas-FBCTCcanvaspage-StartFreeCTA-Img2_FBCTCBasicMotion_FRA_10sec»1x1»Canvas»SOC»ALL»CPC»BT»D»UNK»SS»NA»Trials</v></cell><cell r="AH5123"><v>224560884</v></cell><cell r="AI5123" t="str"><v>AZR_FBCTCcanvaspage-StartFreeCTA-Img2_FRA_1080x143_SOC_AZRDirect_French_NA_Facebook_SBAN_BN_T2_1</v></cell><cell r="AJ5123"><v>103259958</v></cell></row><row r="5124"><cell r="C5124" t="str"><v>43318Facebook»Developers/ITPros-Azure Direct-Sponsored Post-Canvas-FBCTCcanvaspage-StartFreeCTA-Img2_FBCTCBrandinMotion_FRA_14sec»1x1»Canvas»SOC»ALL»CPC»BT»D»UNK»SS»NA»Trials</v></cell><cell r="D5124" t="str"><v>43318224560872</v></cell><cell r="E5124" t="str"><v>43318103259958Trials</v></cell><cell r="F5124" t="str"><v>DCM</v></cell><cell r="G5124" t="str"><v>https://signup.azure.com/signup?offer=ms-azr-0044p&appId=102&ref=paidmedia-social-fb&redirectURL=https%3a%2f%2fazure.microsoft.com%2ffr-fr%2fget-started%2fwelcome-to-azure%2f&l=fr-fr&correlationId=ead86c34-1f10-49dd-a72b-6918462a2cbf</v></cell></row><row r="5124"><cell r="K5124" t="str"><v>August</v></cell><cell r="L5124"><v>43323</v></cell><cell r="M5124" t="str"><v>Tier 1</v></cell><cell r="N5124" t="str"><v>EMEA</v></cell><cell r="O5124" t="str"><v>France</v></cell><cell r="P5124" t="str"><v>Trial</v></cell><cell r="Q5124" t="str"><v>Social</v></cell><cell r="R5124" t="str"><v>Azure</v></cell><cell r="S5124" t="str"><v>Apps & Infra</v></cell><cell r="T5124" t="str"><v>Developers & ITI's</v></cell><cell r="U5124" t="str"><v>Developers/ITPros-Azure Direct-Sponsored Post-Canvas-FBCTCcanvaspage-StartFreeCTA-Img2_FBCTCBrandinMotion_FRA_14sec</v></cell><cell r="V5124" t="str"><v>Behavioral Targeting</v></cell><cell r="W5124" t="str"><v>Social</v></cell><cell r="X5124" t="str"><v>1x1</v></cell></row><row r="5124"><cell r="AA5124"><v>43318</v></cell><cell r="AB5124" t="str"><v>FRA_gaPMG_AZR_AZR_Q1_19_AzureDirect-Trial-Social</v></cell><cell r="AC5124"><v>21356941</v></cell><cell r="AD5124"><v>720193</v></cell><cell r="AE5124" t="str"><v>Facebook</v></cell><cell r="AF5124"><v>3654128</v></cell><cell r="AG5124" t="str"><v>Facebook»Developers/ITPros-Azure Direct-Sponsored Post-Canvas-FBCTCcanvaspage-StartFreeCTA-Img2_FBCTCBrandinMotion_FRA_14sec»1x1»Canvas»SOC»ALL»CPC»BT»D»UNK»SS»NA»Trials</v></cell><cell r="AH5124"><v>224560872</v></cell><cell r="AI5124" t="str"><v>AZR_FBCTCcanvaspage-StartFreeCTA-Img2_FRA_1080x143_SOC_AZRDirect_French_NA_Facebook_SBAN_BN_T2_1</v></cell><cell r="AJ5124"><v>103259958</v></cell></row><row r="5125"><cell r="C5125" t="str"><v>43318Facebook»Developers/ITPros-Azure Direct-Sponsored Post-Link Ad-FreeAcctRetargetingFB-GlobalAlt-ChB»1x1»SocialBan»SOC»ALL»CPC»BT»D»UNK»SS»NA»Trials</v></cell><cell r="D5125" t="str"><v>43318224560845</v></cell><cell r="E5125" t="str"><v>43318103259520Trials</v></cell><cell r="F5125" t="str"><v>DCM</v></cell><cell r="G5125" t="str"><v>https://azure.microsoft.com/fr-fr/free/search/</v></cell></row><row r="5125"><cell r="K5125" t="str"><v>August</v></cell><cell r="L5125"><v>43323</v></cell><cell r="M5125" t="str"><v>Tier 1</v></cell><cell r="N5125" t="str"><v>EMEA</v></cell><cell r="O5125" t="str"><v>France</v></cell><cell r="P5125" t="str"><v>Trial</v></cell><cell r="Q5125" t="str"><v>Social</v></cell><cell r="R5125" t="str"><v>Azure</v></cell><cell r="S5125" t="str"><v>Apps & Infra</v></cell><cell r="T5125" t="str"><v>Developers & ITI's</v></cell><cell r="U5125" t="str"><v>Developers/ITPros-Azure Direct-Sponsored Post-Link Ad-FreeAcctRetargetingFB-GlobalAlt-ChB</v></cell><cell r="V5125" t="str"><v>Behavioral Targeting</v></cell><cell r="W5125" t="str"><v>Social</v></cell><cell r="X5125" t="str"><v>1x1</v></cell></row><row r="5125"><cell r="AA5125"><v>43318</v></cell><cell r="AB5125" t="str"><v>FRA_gaPMG_AZR_AZR_Q1_19_AzureDirect-Trial-Social</v></cell><cell r="AC5125"><v>21356941</v></cell><cell r="AD5125"><v>720193</v></cell><cell r="AE5125" t="str"><v>Facebook</v></cell><cell r="AF5125"><v>3654128</v></cell><cell r="AG5125" t="str"><v>Facebook»Developers/ITPros-Azure Direct-Sponsored Post-Link Ad-FreeAcctRetargetingFB-GlobalAlt-ChB»1x1»SocialBan»SOC»ALL»CPC»BT»D»UNK»SS»NA»Trials</v></cell><cell r="AH5125"><v>224560845</v></cell><cell r="AI5125" t="str"><v>AZR_FreeAcctRetargetingFB-GlobalAlt-ChB_FRA_1200x628_SOC_AZRDirect_French_NA_Facebook_SBAN_SINU_T2_1</v></cell><cell r="AJ5125"><v>103259520</v></cell></row><row r="5126"><cell r="C5126" t="str"><v>43318Facebook»Developers/ITPros-Azure Direct-Sponsored Post-Video Ad-FBCTCBasicMotion_FRA_10s_RTG Landing Page»1x1»05s»SOC»ALL»CPC»BT»D»UNK»SS»NA»Trials</v></cell><cell r="D5126" t="str"><v>43318224416915</v></cell><cell r="E5126" t="str"><v>43318103376981Trials</v></cell><cell r="F5126" t="str"><v>DCM</v></cell></row><row r="5126"><cell r="K5126" t="str"><v>August</v></cell><cell r="L5126"><v>43323</v></cell><cell r="M5126" t="str"><v>Tier 1</v></cell><cell r="N5126" t="str"><v>EMEA</v></cell><cell r="O5126" t="str"><v>France</v></cell><cell r="P5126" t="str"><v>Trial</v></cell><cell r="Q5126" t="str"><v>Social</v></cell><cell r="R5126" t="str"><v>Azure</v></cell><cell r="S5126" t="str"><v>Apps & Infra</v></cell><cell r="T5126" t="str"><v>Developers & ITI's</v></cell><cell r="U5126" t="str"><v>Developers/ITPros-Azure Direct-Sponsored Post-Video Ad-FBCTCBasicMotion_FRA_10s_RTG Landing Page</v></cell><cell r="V5126" t="str"><v>Behavioral Targeting</v></cell><cell r="W5126" t="str"><v>Social</v></cell><cell r="X5126" t="str"><v>1x1</v></cell></row><row r="5126"><cell r="AA5126"><v>43318</v></cell><cell r="AB5126" t="str"><v>FRA_gaPMG_AZR_AZR_Q1_19_AzureDirect-Trial-Social</v></cell><cell r="AC5126"><v>21356941</v></cell><cell r="AD5126"><v>720193</v></cell><cell r="AE5126" t="str"><v>Facebook</v></cell><cell r="AF5126"><v>3654128</v></cell><cell r="AG5126" t="str"><v>Facebook»Developers/ITPros-Azure Direct-Sponsored Post-Video Ad-FBCTCBasicMotion_FRA_10s_RTG Landing Page»1x1»05s»SOC»ALL»CPC»BT»D»UNK»SS»NA»Trials</v></cell><cell r="AH5126"><v>224416915</v></cell><cell r="AI5126" t="str"><v>AZR_FBCTCBasicMotion_FRA_10s_VIA_AZRDirect_French_NA_Facebook_STAN_TIN_T1_1</v></cell><cell r="AJ5126"><v>103376981</v></cell></row><row r="5127"><cell r="C5127" t="str"><v>43318Facebook»Developers/ITPros-Azure Direct-Sponsored Post-Video Ad-FBCTCBenefit2inMotion_FRA_14s_RTG Landing Page»1x1»06s»SOC»ALL»CPC»BT»D»UNK»SS»NA»Trials</v></cell><cell r="D5127" t="str"><v>43318224560875</v></cell><cell r="E5127" t="str"><v>43318103259766Trials</v></cell><cell r="F5127" t="str"><v>DCM</v></cell><cell r="G5127" t="str"><v>https://signup.azure.com/signup?offer=ms-azr-0044p&appId=102&ref=paidmedia-social-fb&redirectURL=https:%2F%2Fazure.microsoft.com%2Ffr-fr%2Fget-started%2Fwelcome-to-azure%2F&l=fr-fr&correlationId=ead86c34-1f10-49dd-a72b-6918462a2cbf</v></cell></row><row r="5127"><cell r="K5127" t="str"><v>August</v></cell><cell r="L5127"><v>43323</v></cell><cell r="M5127" t="str"><v>Tier 1</v></cell><cell r="N5127" t="str"><v>EMEA</v></cell><cell r="O5127" t="str"><v>France</v></cell><cell r="P5127" t="str"><v>Trial</v></cell><cell r="Q5127" t="str"><v>Social</v></cell><cell r="R5127" t="str"><v>Azure</v></cell><cell r="S5127" t="str"><v>Apps & Infra</v></cell><cell r="T5127" t="str"><v>Developers & ITI's</v></cell><cell r="U5127" t="str"><v>Developers/ITPros-Azure Direct-Sponsored Post-Video Ad-FBCTCBenefit2inMotion_FRA_14s_RTG Landing Page</v></cell><cell r="V5127" t="str"><v>Behavioral Targeting</v></cell><cell r="W5127" t="str"><v>Social</v></cell><cell r="X5127" t="str"><v>1x1</v></cell></row><row r="5127"><cell r="AA5127"><v>43318</v></cell><cell r="AB5127" t="str"><v>FRA_gaPMG_AZR_AZR_Q1_19_AzureDirect-Trial-Social</v></cell><cell r="AC5127"><v>21356941</v></cell><cell r="AD5127"><v>720193</v></cell><cell r="AE5127" t="str"><v>Facebook</v></cell><cell r="AF5127"><v>3654128</v></cell><cell r="AG5127" t="str"><v>Facebook»Developers/ITPros-Azure Direct-Sponsored Post-Video Ad-FBCTCBenefit2inMotion_FRA_14s_RTG Landing Page»1x1»06s»SOC»ALL»CPC»BT»D»UNK»SS»NA»Trials</v></cell><cell r="AH5127"><v>224560875</v></cell><cell r="AI5127" t="str"><v>AZR_FBCTCBenefit2inMotion_FRA_14s_VIA_AZRDirect_French_NA_Facebook_STAN_TIN_T4_1</v></cell><cell r="AJ5127"><v>103259766</v></cell></row><row r="5128"><cell r="C5128" t="str"><v>43318Facebook»Developers/ITPros-Azure Direct-Sponsored Post-Video Ad-FBCTCBrandinMotion_FRA_12s_RTG Landing Page»1x1»05s»SOC»ALL»CPC»BT»D»UNK»SS»NA»Trials</v></cell><cell r="D5128" t="str"><v>43318224560863</v></cell><cell r="E5128" t="str"><v>43318103256577Trials</v></cell><cell r="F5128" t="str"><v>DCM</v></cell></row><row r="5128"><cell r="K5128" t="str"><v>August</v></cell><cell r="L5128"><v>43323</v></cell><cell r="M5128" t="str"><v>Tier 1</v></cell><cell r="N5128" t="str"><v>EMEA</v></cell><cell r="O5128" t="str"><v>France</v></cell><cell r="P5128" t="str"><v>Trial</v></cell><cell r="Q5128" t="str"><v>Social</v></cell><cell r="R5128" t="str"><v>Azure</v></cell><cell r="S5128" t="str"><v>Apps & Infra</v></cell><cell r="T5128" t="str"><v>Developers & ITI's</v></cell><cell r="U5128" t="str"><v>Developers/ITPros-Azure Direct-Sponsored Post-Video Ad-FBCTCBrandinMotion_FRA_12s_RTG Landing Page</v></cell><cell r="V5128" t="str"><v>Behavioral Targeting</v></cell><cell r="W5128" t="str"><v>Social</v></cell><cell r="X5128" t="str"><v>1x1</v></cell></row><row r="5128"><cell r="AA5128"><v>43318</v></cell><cell r="AB5128" t="str"><v>FRA_gaPMG_AZR_AZR_Q1_19_AzureDirect-Trial-Social</v></cell><cell r="AC5128"><v>21356941</v></cell><cell r="AD5128"><v>720193</v></cell><cell r="AE5128" t="str"><v>Facebook</v></cell><cell r="AF5128"><v>3654128</v></cell><cell r="AG5128" t="str"><v>Facebook»Developers/ITPros-Azure Direct-Sponsored Post-Video Ad-FBCTCBrandinMotion_FRA_12s_RTG Landing Page»1x1»05s»SOC»ALL»CPC»BT»D»UNK»SS»NA»Trials</v></cell><cell r="AH5128"><v>224560863</v></cell><cell r="AI5128" t="str"><v>AZR_FBCTCBrandinMotion_FRA_12s_VIA_AZRDirect_French_NA_Facebook_STAN_TIN_T2_1</v></cell><cell r="AJ5128"><v>103256577</v></cell></row><row r="5129"><cell r="C5129" t="str"><v>43318Facebook»Audience & Interest Targeting»1x1»SocialBan»LIA»DT»CPC»AUT»W»NA»SS»NA»Basic Motion</v></cell><cell r="D5129" t="str"><v>43318224399962</v></cell><cell r="E5129" t="str"><v>43318103230847Motion</v></cell><cell r="F5129" t="str"><v>DCM</v></cell><cell r="G5129" t="str"><v>https://azure.microsoft.com/en-gb/pricing/purchase-options/</v></cell></row><row r="5129"><cell r="K5129" t="str"><v>August</v></cell><cell r="L5129"><v>43323</v></cell><cell r="M5129" t="str"><v>Tier 1</v></cell><cell r="N5129" t="str"><v>EMEA</v></cell><cell r="O5129" t="str"><v>United Kingdom</v></cell><cell r="P5129" t="str"><v>Trial</v></cell><cell r="Q5129" t="str"><v>Social</v></cell><cell r="R5129" t="str"><v>Azure</v></cell><cell r="S5129" t="str"><v>Apps & Infra</v></cell><cell r="T5129" t="str"><v>Developers & ITI's</v></cell><cell r="U5129" t="str"><v>Audience & Interest Targeting</v></cell><cell r="V5129" t="str"><v>Audience Targeting</v></cell><cell r="W5129" t="str"><v>Link Ad</v></cell><cell r="X5129" t="str"><v>1x1</v></cell></row><row r="5129"><cell r="AA5129"><v>43318</v></cell><cell r="AB5129" t="str"><v>GBR_gaPMG_CE_AZR_Q1_19_Trial-Social</v></cell><cell r="AC5129"><v>21337013</v></cell><cell r="AD5129"><v>720196</v></cell><cell r="AE5129" t="str"><v>Facebook</v></cell><cell r="AF5129"><v>3654128</v></cell><cell r="AG5129" t="str"><v>Facebook»Audience & Interest Targeting»1x1»SocialBan»LIA»DT»CPC»AUT»W»NA»SS»NA»Basic Motion</v></cell><cell r="AH5129"><v>224399962</v></cell><cell r="AI5129" t="str"><v>AzurePlatform_FBCTCcanvaspage-BuyNowCTA-Img3_GBR_1080x162_SOC_Plat_English_NA_Standard_NA_BN_T3_1</v></cell><cell r="AJ5129"><v>103230847</v></cell></row><row r="5130"><cell r="C5130" t="str"><v>43318Facebook»Audience & Interest Targeting»1x1»SocialBan»LIA»DT»CPC»AUT»W»NA»SS»NA»Basic Motion</v></cell><cell r="D5130" t="str"><v>43318224399962</v></cell><cell r="E5130" t="str"><v>43318103235146Motion</v></cell><cell r="F5130" t="str"><v>DCM</v></cell><cell r="G5130" t="str"><v>https://signup.azure.com/signup?offer=ms-azr-0044p&appId=102&ref=paidmedia-social-fb&redirectURL=https%3a%2f%2fazure.microsoft.com%2fen-gb%2fget-started%2fwelcome-to-azure%2f&l=en-gb&correlationId=ead86c34-1f10-49dd-a72b-6918462a2cbf</v></cell></row><row r="5130"><cell r="K5130" t="str"><v>August</v></cell><cell r="L5130"><v>43323</v></cell><cell r="M5130" t="str"><v>Tier 1</v></cell><cell r="N5130" t="str"><v>EMEA</v></cell><cell r="O5130" t="str"><v>United Kingdom</v></cell><cell r="P5130" t="str"><v>Trial</v></cell><cell r="Q5130" t="str"><v>Social</v></cell><cell r="R5130" t="str"><v>Azure</v></cell><cell r="S5130" t="str"><v>Apps & Infra</v></cell><cell r="T5130" t="str"><v>Developers & ITI's</v></cell><cell r="U5130" t="str"><v>Audience & Interest Targeting</v></cell><cell r="V5130" t="str"><v>Audience Targeting</v></cell><cell r="W5130" t="str"><v>Link Ad</v></cell><cell r="X5130" t="str"><v>1x1</v></cell></row><row r="5130"><cell r="AA5130"><v>43318</v></cell><cell r="AB5130" t="str"><v>GBR_gaPMG_CE_AZR_Q1_19_Trial-Social</v></cell><cell r="AC5130"><v>21337013</v></cell><cell r="AD5130"><v>720196</v></cell><cell r="AE5130" t="str"><v>Facebook</v></cell><cell r="AF5130"><v>3654128</v></cell><cell r="AG5130" t="str"><v>Facebook»Audience & Interest Targeting»1x1»SocialBan»LIA»DT»CPC»AUT»W»NA»SS»NA»Basic Motion</v></cell><cell r="AH5130"><v>224399962</v></cell><cell r="AI5130" t="str"><v>AzurePlatform_FBCTCcanvaspage-StartFreeCTA-Img2_GBR_1080x143 _SOC_Plat_English_NA_Standard_NA_NA_T2_1</v></cell><cell r="AJ5130"><v>103235146</v></cell></row><row r="5131"><cell r="C5131" t="str"><v>43318Facebook»Audience & Interest Targeting»1x1»SocialBan»LIA»DT»CPC»AUT»W»NA»SS»NA»Benefit 2 in Motion</v></cell><cell r="D5131" t="str"><v>43318224334170</v></cell><cell r="E5131" t="str"><v>43318103230847Motion</v></cell><cell r="F5131" t="str"><v>DCM</v></cell><cell r="G5131" t="str"><v>https://azure.microsoft.com/en-gb/pricing/purchase-options/</v></cell></row><row r="5131"><cell r="K5131" t="str"><v>August</v></cell><cell r="L5131"><v>43323</v></cell><cell r="M5131" t="str"><v>Tier 1</v></cell><cell r="N5131" t="str"><v>EMEA</v></cell><cell r="O5131" t="str"><v>United Kingdom</v></cell><cell r="P5131" t="str"><v>Trial</v></cell><cell r="Q5131" t="str"><v>Social</v></cell><cell r="R5131" t="str"><v>Azure</v></cell><cell r="S5131" t="str"><v>Apps & Infra</v></cell><cell r="T5131" t="str"><v>Developers & ITI's</v></cell><cell r="U5131" t="str"><v>Audience & Interest Targeting</v></cell><cell r="V5131" t="str"><v>Audience Targeting</v></cell><cell r="W5131" t="str"><v>Link Ad</v></cell><cell r="X5131" t="str"><v>1x1</v></cell></row><row r="5131"><cell r="AA5131"><v>43318</v></cell><cell r="AB5131" t="str"><v>GBR_gaPMG_CE_AZR_Q1_19_Trial-Social</v></cell><cell r="AC5131"><v>21337013</v></cell><cell r="AD5131"><v>720196</v></cell><cell r="AE5131" t="str"><v>Facebook</v></cell><cell r="AF5131"><v>3654128</v></cell><cell r="AG5131" t="str"><v>Facebook»Audience & Interest Targeting»1x1»SocialBan»LIA»DT»CPC»AUT»W»NA»SS»NA»Benefit 2 in Motion</v></cell><cell r="AH5131"><v>224334170</v></cell><cell r="AI5131" t="str"><v>AzurePlatform_FBCTCcanvaspage-BuyNowCTA-Img3_GBR_1080x162_SOC_Plat_English_NA_Standard_NA_BN_T3_1</v></cell><cell r="AJ5131"><v>103230847</v></cell></row><row r="5132"><cell r="C5132" t="str"><v>43318Facebook»Audience & Interest Targeting»1x1»SocialBan»LIA»DT»CPC»AUT»W»NA»SS»NA»Benefit 2 in Motion</v></cell><cell r="D5132" t="str"><v>43318224334170</v></cell><cell r="E5132" t="str"><v>43318103235146Motion</v></cell><cell r="F5132" t="str"><v>DCM</v></cell><cell r="G5132" t="str"><v>https://signup.azure.com/signup?offer=ms-azr-0044p&appId=102&ref=paidmedia-social-fb&redirectURL=https%3a%2f%2fazure.microsoft.com%2fen-gb%2fget-started%2fwelcome-to-azure%2f&l=en-gb&correlationId=ead86c34-1f10-49dd-a72b-6918462a2cbf</v></cell></row><row r="5132"><cell r="K5132" t="str"><v>August</v></cell><cell r="L5132"><v>43323</v></cell><cell r="M5132" t="str"><v>Tier 1</v></cell><cell r="N5132" t="str"><v>EMEA</v></cell><cell r="O5132" t="str"><v>United Kingdom</v></cell><cell r="P5132" t="str"><v>Trial</v></cell><cell r="Q5132" t="str"><v>Social</v></cell><cell r="R5132" t="str"><v>Azure</v></cell><cell r="S5132" t="str"><v>Apps & Infra</v></cell><cell r="T5132" t="str"><v>Developers & ITI's</v></cell><cell r="U5132" t="str"><v>Audience & Interest Targeting</v></cell><cell r="V5132" t="str"><v>Audience Targeting</v></cell><cell r="W5132" t="str"><v>Link Ad</v></cell><cell r="X5132" t="str"><v>1x1</v></cell></row><row r="5132"><cell r="AA5132"><v>43318</v></cell><cell r="AB5132" t="str"><v>GBR_gaPMG_CE_AZR_Q1_19_Trial-Social</v></cell><cell r="AC5132"><v>21337013</v></cell><cell r="AD5132"><v>720196</v></cell><cell r="AE5132" t="str"><v>Facebook</v></cell><cell r="AF5132"><v>3654128</v></cell><cell r="AG5132" t="str"><v>Facebook»Audience & Interest Targeting»1x1»SocialBan»LIA»DT»CPC»AUT»W»NA»SS»NA»Benefit 2 in Motion</v></cell><cell r="AH5132"><v>224334170</v></cell><cell r="AI5132" t="str"><v>AzurePlatform_FBCTCcanvaspage-StartFreeCTA-Img2_GBR_1080x143 _SOC_Plat_English_NA_Standard_NA_NA_T2_1</v></cell><cell r="AJ5132"><v>103235146</v></cell></row><row r="5133"><cell r="C5133" t="str"><v>43318Facebook»Audience & Interest Targeting»1x1»SocialBan»LIA»DT»CPC»AUT»W»NA»SS»NA»Brand in Motion</v></cell><cell r="D5133" t="str"><v>43318224549481</v></cell><cell r="E5133" t="str"><v>43318103235146Motion</v></cell><cell r="F5133" t="str"><v>DCM</v></cell><cell r="G5133" t="str"><v>https://signup.azure.com/signup?offer=ms-azr-0044p&appId=102&ref=paidmedia-social-fb&redirectURL=https%3a%2f%2fazure.microsoft.com%2fen-gb%2fget-started%2fwelcome-to-azure%2f&l=en-gb&correlationId=ead86c34-1f10-49dd-a72b-6918462a2cbf</v></cell></row><row r="5133"><cell r="K5133" t="str"><v>August</v></cell><cell r="L5133"><v>43323</v></cell><cell r="M5133" t="str"><v>Tier 1</v></cell><cell r="N5133" t="str"><v>EMEA</v></cell><cell r="O5133" t="str"><v>United Kingdom</v></cell><cell r="P5133" t="str"><v>Trial</v></cell><cell r="Q5133" t="str"><v>Social</v></cell><cell r="R5133" t="str"><v>Azure</v></cell><cell r="S5133" t="str"><v>Apps & Infra</v></cell><cell r="T5133" t="str"><v>Developers & ITI's</v></cell><cell r="U5133" t="str"><v>Audience & Interest Targeting</v></cell><cell r="V5133" t="str"><v>Audience Targeting</v></cell><cell r="W5133" t="str"><v>Link Ad</v></cell><cell r="X5133" t="str"><v>1x1</v></cell></row><row r="5133"><cell r="AA5133"><v>43318</v></cell><cell r="AB5133" t="str"><v>GBR_gaPMG_CE_AZR_Q1_19_Trial-Social</v></cell><cell r="AC5133"><v>21337013</v></cell><cell r="AD5133"><v>720196</v></cell><cell r="AE5133" t="str"><v>Facebook</v></cell><cell r="AF5133"><v>3654128</v></cell><cell r="AG5133" t="str"><v>Facebook»Audience & Interest Targeting»1x1»SocialBan»LIA»DT»CPC»AUT»W»NA»SS»NA»Brand in Motion</v></cell><cell r="AH5133"><v>224549481</v></cell><cell r="AI5133" t="str"><v>AzurePlatform_FBCTCcanvaspage-StartFreeCTA-Img2_GBR_1080x143 _SOC_Plat_English_NA_Standard_NA_NA_T2_1</v></cell><cell r="AJ5133"><v>103235146</v></cell></row><row r="5134"><cell r="C5134" t="str"><v>43318Facebook»Audience & Interest Targeting»1x1»SocialBan»LIA»DT»DYN»AUT»W»NA»SS»NA»Free Account Refresh- 12 months ChE</v></cell><cell r="D5134" t="str"><v>43318223567691</v></cell><cell r="E5134" t="str"><v>43318102854007hs ChE</v></cell><cell r="F5134" t="str"><v>DCM</v></cell><cell r="G5134" t="str"><v>https://azure.microsoft.com/en-gb/free/search/</v></cell></row><row r="5134"><cell r="K5134" t="str"><v>August</v></cell><cell r="L5134"><v>43323</v></cell><cell r="M5134" t="str"><v>Tier 1</v></cell><cell r="N5134" t="str"><v>EMEA</v></cell><cell r="O5134" t="str"><v>United Kingdom</v></cell><cell r="P5134" t="str"><v>Trial</v></cell><cell r="Q5134" t="str"><v>Social</v></cell><cell r="R5134" t="str"><v>Azure</v></cell><cell r="S5134" t="str"><v>Apps & Infra</v></cell><cell r="T5134" t="str"><v>Developers & ITI's</v></cell><cell r="U5134" t="str"><v>Audience & Interest Targeting</v></cell><cell r="V5134" t="str"><v>Audience Targeting</v></cell><cell r="W5134" t="str"><v>Link Ad</v></cell><cell r="X5134" t="str"><v>1x1</v></cell></row><row r="5134"><cell r="AA5134"><v>43318</v></cell><cell r="AB5134" t="str"><v>GBR_gaPMG_CE_AZR_Q1_19_Trial-Social</v></cell><cell r="AC5134"><v>21337013</v></cell><cell r="AD5134"><v>720196</v></cell><cell r="AE5134" t="str"><v>Facebook</v></cell><cell r="AF5134"><v>3654128</v></cell><cell r="AG5134" t="str"><v>Facebook»Audience & Interest Targeting»1x1»SocialBan»LIA»DT»DYN»AUT»W»NA»SS»NA»Free Account Refresh- 12 months ChE</v></cell><cell r="AH5134"><v>223567691</v></cell><cell r="AI5134" t="str"><v>AzurePlatform_FreeAcctAppsFACEBOOK12monthsChE_GBR_1200x628_SOC_PLAT_EN_Trial_Standard_NA_SU_T5_1</v></cell><cell r="AJ5134"><v>102854007</v></cell></row><row r="5135"><cell r="C5135" t="str"><v>43318Facebook»Audience & Interest Targeting»1x1»SocialBan»LIA»DT»DYN»AUT»W»NA»SS»NA»Free Account Refresh- 200 Credit ChD</v></cell><cell r="D5135" t="str"><v>43318223560359</v></cell><cell r="E5135" t="str"><v>43318103005662it ChD</v></cell><cell r="F5135" t="str"><v>DCM</v></cell><cell r="G5135" t="str"><v>https://azure.microsoft.com/en-gb/free/search/</v></cell></row><row r="5135"><cell r="K5135" t="str"><v>August</v></cell><cell r="L5135"><v>43323</v></cell><cell r="M5135" t="str"><v>Tier 1</v></cell><cell r="N5135" t="str"><v>EMEA</v></cell><cell r="O5135" t="str"><v>United Kingdom</v></cell><cell r="P5135" t="str"><v>Trial</v></cell><cell r="Q5135" t="str"><v>Social</v></cell><cell r="R5135" t="str"><v>Azure</v></cell><cell r="S5135" t="str"><v>Apps & Infra</v></cell><cell r="T5135" t="str"><v>Developers & ITI's</v></cell><cell r="U5135" t="str"><v>Audience & Interest Targeting</v></cell><cell r="V5135" t="str"><v>Audience Targeting</v></cell><cell r="W5135" t="str"><v>Link Ad</v></cell><cell r="X5135" t="str"><v>1x1</v></cell></row><row r="5135"><cell r="AA5135"><v>43318</v></cell><cell r="AB5135" t="str"><v>GBR_gaPMG_CE_AZR_Q1_19_Trial-Social</v></cell><cell r="AC5135"><v>21337013</v></cell><cell r="AD5135"><v>720196</v></cell><cell r="AE5135" t="str"><v>Facebook</v></cell><cell r="AF5135"><v>3654128</v></cell><cell r="AG5135" t="str"><v>Facebook»Audience & Interest Targeting»1x1»SocialBan»LIA»DT»DYN»AUT»W»NA»SS»NA»Free Account Refresh- 200 Credit ChD</v></cell><cell r="AH5135"><v>223560359</v></cell><cell r="AI5135" t="str"><v>AzurePlatform_FreeAcctAppsFACEBOOK200CreditChD_GBR_1200x628_SOC_PLAT_EN_Trial_Standard_NA_SU_T4_1</v></cell><cell r="AJ5135"><v>103005662</v></cell></row><row r="5136"><cell r="C5136" t="str"><v>43318Facebook»Audience & Interest Targeting»1x1»SocialBan»LIA»DT»DYN»AUT»W»NA»SS»NA»Free Account Refresh- Device ChB</v></cell><cell r="D5136" t="str"><v>43318223560353</v></cell><cell r="E5136" t="str"><v>43318102854010ce ChB</v></cell><cell r="F5136" t="str"><v>DCM</v></cell><cell r="G5136" t="str"><v>https://azure.microsoft.com/en-gb/free/search/</v></cell></row><row r="5136"><cell r="K5136" t="str"><v>August</v></cell><cell r="L5136"><v>43323</v></cell><cell r="M5136" t="str"><v>Tier 1</v></cell><cell r="N5136" t="str"><v>EMEA</v></cell><cell r="O5136" t="str"><v>United Kingdom</v></cell><cell r="P5136" t="str"><v>Trial</v></cell><cell r="Q5136" t="str"><v>Social</v></cell><cell r="R5136" t="str"><v>Azure</v></cell><cell r="S5136" t="str"><v>Apps & Infra</v></cell><cell r="T5136" t="str"><v>Developers & ITI's</v></cell><cell r="U5136" t="str"><v>Audience & Interest Targeting</v></cell><cell r="V5136" t="str"><v>Audience Targeting</v></cell><cell r="W5136" t="str"><v>Link Ad</v></cell><cell r="X5136" t="str"><v>1x1</v></cell></row><row r="5136"><cell r="AA5136"><v>43318</v></cell><cell r="AB5136" t="str"><v>GBR_gaPMG_CE_AZR_Q1_19_Trial-Social</v></cell><cell r="AC5136"><v>21337013</v></cell><cell r="AD5136"><v>720196</v></cell><cell r="AE5136" t="str"><v>Facebook</v></cell><cell r="AF5136"><v>3654128</v></cell><cell r="AG5136" t="str"><v>Facebook»Audience & Interest Targeting»1x1»SocialBan»LIA»DT»DYN»AUT»W»NA»SS»NA»Free Account Refresh- Device ChB</v></cell><cell r="AH5136"><v>223560353</v></cell><cell r="AI5136" t="str"><v>AzurePlatform_FreeAcctAppsFACEBOOKDeviceChB_GBR_1200x628_SOC_PLAT_EN_Trial_Standard_NA_SU_T2_1</v></cell><cell r="AJ5136"><v>102854010</v></cell></row><row r="5137"><cell r="C5137" t="str"><v>43318Facebook»Audience & Interest Targeting»1x1»SocialBan»LIA»DT»DYN»AUT»W»NA»SS»NA»Free Account Refresh- Illustration ChC</v></cell><cell r="D5137" t="str"><v>43318223560347</v></cell><cell r="E5137" t="str"><v>43318102857037on ChC</v></cell><cell r="F5137" t="str"><v>DCM</v></cell><cell r="G5137" t="str"><v>https://azure.microsoft.com/en-gb/free/search/</v></cell></row><row r="5137"><cell r="K5137" t="str"><v>August</v></cell><cell r="L5137"><v>43323</v></cell><cell r="M5137" t="str"><v>Tier 1</v></cell><cell r="N5137" t="str"><v>EMEA</v></cell><cell r="O5137" t="str"><v>United Kingdom</v></cell><cell r="P5137" t="str"><v>Trial</v></cell><cell r="Q5137" t="str"><v>Social</v></cell><cell r="R5137" t="str"><v>Azure</v></cell><cell r="S5137" t="str"><v>Apps & Infra</v></cell><cell r="T5137" t="str"><v>Developers & ITI's</v></cell><cell r="U5137" t="str"><v>Audience & Interest Targeting</v></cell><cell r="V5137" t="str"><v>Audience Targeting</v></cell><cell r="W5137" t="str"><v>Link Ad</v></cell><cell r="X5137" t="str"><v>1x1</v></cell></row><row r="5137"><cell r="AA5137"><v>43318</v></cell><cell r="AB5137" t="str"><v>GBR_gaPMG_CE_AZR_Q1_19_Trial-Social</v></cell><cell r="AC5137"><v>21337013</v></cell><cell r="AD5137"><v>720196</v></cell><cell r="AE5137" t="str"><v>Facebook</v></cell><cell r="AF5137"><v>3654128</v></cell><cell r="AG5137" t="str"><v>Facebook»Audience & Interest Targeting»1x1»SocialBan»LIA»DT»DYN»AUT»W»NA»SS»NA»Free Account Refresh- Illustration ChC</v></cell><cell r="AH5137"><v>223560347</v></cell><cell r="AI5137" t="str"><v>AzurePlatform_FreeAcctAppsFACEBOOKIllustrationChC_GBR_1200x628_SOC_PLAT_EN_Trial_Standard_NA_SU_T3_1</v></cell><cell r="AJ5137"><v>102857037</v></cell></row><row r="5138"><cell r="C5138" t="str"><v>43318Facebook»Audience & Interest Targeting»1x1»SocialBan»LIA»DT»DYN»AUT»W»NA»SS»NA»Free Account Refresh- Lifestyle ChA</v></cell><cell r="D5138" t="str"><v>43318223560341</v></cell><cell r="E5138" t="str"><v>43318102853597le ChA</v></cell><cell r="F5138" t="str"><v>DCM</v></cell><cell r="G5138" t="str"><v>https://azure.microsoft.com/en-gb/free/search/</v></cell></row><row r="5138"><cell r="K5138" t="str"><v>August</v></cell><cell r="L5138"><v>43323</v></cell><cell r="M5138" t="str"><v>Tier 1</v></cell><cell r="N5138" t="str"><v>EMEA</v></cell><cell r="O5138" t="str"><v>United Kingdom</v></cell><cell r="P5138" t="str"><v>Trial</v></cell><cell r="Q5138" t="str"><v>Social</v></cell><cell r="R5138" t="str"><v>Azure</v></cell><cell r="S5138" t="str"><v>Apps & Infra</v></cell><cell r="T5138" t="str"><v>Developers & ITI's</v></cell><cell r="U5138" t="str"><v>Audience & Interest Targeting</v></cell><cell r="V5138" t="str"><v>Audience Targeting</v></cell><cell r="W5138" t="str"><v>Link Ad</v></cell><cell r="X5138" t="str"><v>1x1</v></cell></row><row r="5138"><cell r="AA5138"><v>43318</v></cell><cell r="AB5138" t="str"><v>GBR_gaPMG_CE_AZR_Q1_19_Trial-Social</v></cell><cell r="AC5138"><v>21337013</v></cell><cell r="AD5138"><v>720196</v></cell><cell r="AE5138" t="str"><v>Facebook</v></cell><cell r="AF5138"><v>3654128</v></cell><cell r="AG5138" t="str"><v>Facebook»Audience & Interest Targeting»1x1»SocialBan»LIA»DT»DYN»AUT»W»NA»SS»NA»Free Account Refresh- Lifestyle ChA</v></cell><cell r="AH5138"><v>223560341</v></cell><cell r="AI5138" t="str"><v>AzurePlatform_FreeAcctAppsFACEBOOKLifestyleChA_GBR_1200x628_SOC_PLAT_EN_Trial_Standard_NA_SU_T1_1</v></cell><cell r="AJ5138"><v>102853597</v></cell></row><row r="5139"><cell r="C5139" t="str"><v>43318Facebook»Retargeting»1x1»SocialBan»LIA»DT»DYN»RT»W»NA»SS»NA»Free Account Retargeting Generic- Animated ChC</v></cell><cell r="D5139" t="str"><v>43318223560299</v></cell><cell r="E5139" t="str"><v>43318102854019ed ChC</v></cell><cell r="F5139" t="str"><v>DCM</v></cell><cell r="G5139" t="str"><v>https://azure.microsoft.com/en-gb/free/search/</v></cell></row><row r="5139"><cell r="K5139" t="str"><v>August</v></cell><cell r="L5139"><v>43323</v></cell><cell r="M5139" t="str"><v>Tier 1</v></cell><cell r="N5139" t="str"><v>EMEA</v></cell><cell r="O5139" t="str"><v>United Kingdom</v></cell><cell r="P5139" t="str"><v>Trial</v></cell><cell r="Q5139" t="str"><v>Social</v></cell><cell r="R5139" t="str"><v>Azure</v></cell><cell r="S5139" t="str"><v>Apps & Infra</v></cell><cell r="T5139" t="str"><v>Developers & ITI's</v></cell><cell r="U5139" t="str"><v>Retargeting</v></cell><cell r="V5139" t="str"><v>Retargeting</v></cell><cell r="W5139" t="str"><v>Link Ad</v></cell><cell r="X5139" t="str"><v>1x1</v></cell></row><row r="5139"><cell r="AA5139"><v>43318</v></cell><cell r="AB5139" t="str"><v>GBR_gaPMG_CE_AZR_Q1_19_Trial-Social</v></cell><cell r="AC5139"><v>21337013</v></cell><cell r="AD5139"><v>720196</v></cell><cell r="AE5139" t="str"><v>Facebook</v></cell><cell r="AF5139"><v>3654128</v></cell><cell r="AG5139" t="str"><v>Facebook»Retargeting»1x1»SocialBan»LIA»DT»DYN»RT»W»NA»SS»NA»Free Account Retargeting Generic- Animated ChC</v></cell><cell r="AH5139"><v>223560299</v></cell><cell r="AI5139" t="str"><v>AzurePlatform_FreeAcctRetargetingFB-Animated-ChC_GBR_1200x628_SOC_Plat_EN_Free Account_Standard_ANI_SU_T3_1</v></cell><cell r="AJ5139"><v>102854019</v></cell></row><row r="5140"><cell r="C5140" t="str"><v>43318Facebook»Retargeting»1x1»SocialBan»LIA»DT»DYN»RT»W»NA»SS»NA»Free Account Retargeting Generic- Global Alt ChB</v></cell><cell r="D5140" t="str"><v>43318223560356</v></cell><cell r="E5140" t="str"><v>43318102854016lt ChB</v></cell><cell r="F5140" t="str"><v>DCM</v></cell><cell r="G5140" t="str"><v>https://azure.microsoft.com/en-gb/free/search/</v></cell></row><row r="5140"><cell r="K5140" t="str"><v>August</v></cell><cell r="L5140"><v>43323</v></cell><cell r="M5140" t="str"><v>Tier 1</v></cell><cell r="N5140" t="str"><v>EMEA</v></cell><cell r="O5140" t="str"><v>United Kingdom</v></cell><cell r="P5140" t="str"><v>Trial</v></cell><cell r="Q5140" t="str"><v>Social</v></cell><cell r="R5140" t="str"><v>Azure</v></cell><cell r="S5140" t="str"><v>Apps & Infra</v></cell><cell r="T5140" t="str"><v>Developers & ITI's</v></cell><cell r="U5140" t="str"><v>Retargeting</v></cell><cell r="V5140" t="str"><v>Retargeting</v></cell><cell r="W5140" t="str"><v>Link Ad</v></cell><cell r="X5140" t="str"><v>1x1</v></cell></row><row r="5140"><cell r="AA5140"><v>43318</v></cell><cell r="AB5140" t="str"><v>GBR_gaPMG_CE_AZR_Q1_19_Trial-Social</v></cell><cell r="AC5140"><v>21337013</v></cell><cell r="AD5140"><v>720196</v></cell><cell r="AE5140" t="str"><v>Facebook</v></cell><cell r="AF5140"><v>3654128</v></cell><cell r="AG5140" t="str"><v>Facebook»Retargeting»1x1»SocialBan»LIA»DT»DYN»RT»W»NA»SS»NA»Free Account Retargeting Generic- Global Alt ChB</v></cell><cell r="AH5140"><v>223560356</v></cell><cell r="AI5140" t="str"><v>AzurePlatform_FreeAcctRetargetingFB-GlobalAlt-ChB_GBR_1200x628_SOC_Plat_EN_Free Account_Standard_NA_SU_T2_1</v></cell><cell r="AJ5140"><v>102854016</v></cell></row><row r="5141"><cell r="C5141" t="str"><v>43318Facebook»Retargeting»1x1»SocialBan»LIA»DT»DYN»RT»W»NA»SS»NA»Free Account Retargeting OSS- Logos ChG</v></cell><cell r="D5141" t="str"><v>43318223560350</v></cell><cell r="E5141" t="str"><v>43318103006547os ChG</v></cell><cell r="F5141" t="str"><v>DCM</v></cell><cell r="G5141" t="str"><v>https://azure.microsoft.com/en-gb/free/open-source/search/</v></cell></row><row r="5141"><cell r="K5141" t="str"><v>August</v></cell><cell r="L5141"><v>43323</v></cell><cell r="M5141" t="str"><v>Tier 1</v></cell><cell r="N5141" t="str"><v>EMEA</v></cell><cell r="O5141" t="str"><v>United Kingdom</v></cell><cell r="P5141" t="str"><v>Trial</v></cell><cell r="Q5141" t="str"><v>Social</v></cell><cell r="R5141" t="str"><v>Azure</v></cell><cell r="S5141" t="str"><v>Apps & Infra</v></cell><cell r="T5141" t="str"><v>Developers & ITI's</v></cell><cell r="U5141" t="str"><v>Retargeting</v></cell><cell r="V5141" t="str"><v>Retargeting</v></cell><cell r="W5141" t="str"><v>Link Ad</v></cell><cell r="X5141" t="str"><v>1x1</v></cell></row><row r="5141"><cell r="AA5141"><v>43318</v></cell><cell r="AB5141" t="str"><v>GBR_gaPMG_CE_AZR_Q1_19_Trial-Social</v></cell><cell r="AC5141"><v>21337013</v></cell><cell r="AD5141"><v>720196</v></cell><cell r="AE5141" t="str"><v>Facebook</v></cell><cell r="AF5141"><v>3654128</v></cell><cell r="AG5141" t="str"><v>Facebook»Retargeting»1x1»SocialBan»LIA»DT»DYN»RT»W»NA»SS»NA»Free Account Retargeting OSS- Logos ChG</v></cell><cell r="AH5141"><v>223560350</v></cell><cell r="AI5141" t="str"><v>AzurePlatform_FreeAcctRetargetingOSSFB-Logos-ChG_GBR_1200x628_SOC_Plat_EN_Free Account_Standard_NA_SU_T2_1</v></cell><cell r="AJ5141"><v>103006547</v></cell></row><row r="5142"><cell r="C5142" t="str"><v>43318Facebook»Retargeting»1x1»SocialBan»LIA»DT»DYN»RT»W»NA»SS»NA»Free Account Retargeting VM- 750 Hrs ChD</v></cell><cell r="D5142" t="str"><v>43318223560338</v></cell><cell r="E5142" t="str"><v>43318102853603rs ChD</v></cell><cell r="F5142" t="str"><v>DCM</v></cell><cell r="G5142" t="str"><v>https://azure.microsoft.com/en-gb/free/virtual-machines/search/</v></cell></row><row r="5142"><cell r="K5142" t="str"><v>August</v></cell><cell r="L5142"><v>43323</v></cell><cell r="M5142" t="str"><v>Tier 1</v></cell><cell r="N5142" t="str"><v>EMEA</v></cell><cell r="O5142" t="str"><v>United Kingdom</v></cell><cell r="P5142" t="str"><v>Trial</v></cell><cell r="Q5142" t="str"><v>Social</v></cell><cell r="R5142" t="str"><v>Azure</v></cell><cell r="S5142" t="str"><v>Apps & Infra</v></cell><cell r="T5142" t="str"><v>Developers & ITI's</v></cell><cell r="U5142" t="str"><v>Retargeting</v></cell><cell r="V5142" t="str"><v>Retargeting</v></cell><cell r="W5142" t="str"><v>Link Ad</v></cell><cell r="X5142" t="str"><v>1x1</v></cell></row><row r="5142"><cell r="AA5142"><v>43318</v></cell><cell r="AB5142" t="str"><v>GBR_gaPMG_CE_AZR_Q1_19_Trial-Social</v></cell><cell r="AC5142"><v>21337013</v></cell><cell r="AD5142"><v>720196</v></cell><cell r="AE5142" t="str"><v>Facebook</v></cell><cell r="AF5142"><v>3654128</v></cell><cell r="AG5142" t="str"><v>Facebook»Retargeting»1x1»SocialBan»LIA»DT»DYN»RT»W»NA»SS»NA»Free Account Retargeting VM- 750 Hrs ChD</v></cell><cell r="AH5142"><v>223560338</v></cell><cell r="AI5142" t="str"><v>AzurePlatform_FreeAcctRetargetingVMFB-750Hrs-ChD_GBR_1200x628_SOC_Plat_EN_Free Account_Standard_NA_SU_T1_1</v></cell><cell r="AJ5142"><v>102853603</v></cell></row><row r="5143"><cell r="C5143" t="str"><v>43318Facebook»Retargeting»1x1»SocialBan»LIA»DT»DYN»RT»W»NA»SS»NA»Free Account Retargeting VM- On Demand ChE</v></cell><cell r="D5143" t="str"><v>43318223560332</v></cell><cell r="E5143" t="str"><v>43318102854037nd ChE</v></cell><cell r="F5143" t="str"><v>DCM</v></cell><cell r="G5143" t="str"><v>https://azure.microsoft.com/en-gb/free/virtual-machines/search/</v></cell></row><row r="5143"><cell r="K5143" t="str"><v>August</v></cell><cell r="L5143"><v>43323</v></cell><cell r="M5143" t="str"><v>Tier 1</v></cell><cell r="N5143" t="str"><v>EMEA</v></cell><cell r="O5143" t="str"><v>United Kingdom</v></cell><cell r="P5143" t="str"><v>Trial</v></cell><cell r="Q5143" t="str"><v>Social</v></cell><cell r="R5143" t="str"><v>Azure</v></cell><cell r="S5143" t="str"><v>Apps & Infra</v></cell><cell r="T5143" t="str"><v>Developers & ITI's</v></cell><cell r="U5143" t="str"><v>Retargeting</v></cell><cell r="V5143" t="str"><v>Retargeting</v></cell><cell r="W5143" t="str"><v>Link Ad</v></cell><cell r="X5143" t="str"><v>1x1</v></cell></row><row r="5143"><cell r="AA5143"><v>43318</v></cell><cell r="AB5143" t="str"><v>GBR_gaPMG_CE_AZR_Q1_19_Trial-Social</v></cell><cell r="AC5143"><v>21337013</v></cell><cell r="AD5143"><v>720196</v></cell><cell r="AE5143" t="str"><v>Facebook</v></cell><cell r="AF5143"><v>3654128</v></cell><cell r="AG5143" t="str"><v>Facebook»Retargeting»1x1»SocialBan»LIA»DT»DYN»RT»W»NA»SS»NA»Free Account Retargeting VM- On Demand ChE</v></cell><cell r="AH5143"><v>223560332</v></cell><cell r="AI5143" t="str"><v>AzurePlatform_FreeAcctRetargetingVMFB-OnDemand-ChE_GBR_1200x628_SOC_Plat_EN_Free Account_Standard_NA_SU_T2_1</v></cell><cell r="AJ5143"><v>102854037</v></cell></row><row r="5144"><cell r="C5144" t="str"><v>43318Facebook»AZP-Canvas-Interest&Role-Trial»1x1»Canvas»OTH»MO»CPM»PRO»X»UNK»TP»OT»Canvas-Trial</v></cell><cell r="D5144" t="str"><v>43318223298805</v></cell><cell r="E5144" t="str"><v>43318102609621-Trial</v></cell><cell r="F5144" t="str"><v>DCM</v></cell><cell r="G5144" t="str"><v>https://signup.azure.com/signup?offer=ms-azr-0044p&appId=102&ref=paidmedia-social-fb&redirectURL=https%3a%2f%2fazure.microsoft.com%2fja-jp%2fget-started%2fwelcome-to-azure%2f&l=ja-jp&correlationId=ead86c34-1f10-49dd-a72b-6918462a2cbf</v></cell></row><row r="5144"><cell r="K5144" t="str"><v>August</v></cell><cell r="L5144"><v>43323</v></cell><cell r="M5144" t="str"><v>Tier 1</v></cell><cell r="N5144" t="str"><v>APAC</v></cell><cell r="O5144" t="str"><v>Japan</v></cell><cell r="P5144" t="str"><v>Trial</v></cell><cell r="Q5144" t="str"><v>Social</v></cell><cell r="R5144" t="str"><v>Azure</v></cell><cell r="S5144" t="str"><v>Apps & Infra</v></cell><cell r="T5144" t="str"><v>Developers & ITI's</v></cell><cell r="U5144" t="str"><v>AZP-Canvas-Interest&Role-Trial</v></cell><cell r="V5144" t="str"><v>Prospecting</v></cell><cell r="W5144" t="str"><v>Other</v></cell><cell r="X5144" t="str"><v>1x1</v></cell></row><row r="5144"><cell r="AA5144"><v>43318</v></cell><cell r="AB5144" t="str"><v>JPN_gaPMG_AZR_AZR_Q1_19_Trial-Social</v></cell><cell r="AC5144"><v>21276694</v></cell><cell r="AD5144"><v>720195</v></cell><cell r="AE5144" t="str"><v>Facebook</v></cell><cell r="AF5144"><v>3654128</v></cell><cell r="AG5144" t="str"><v>Facebook»AZP-Canvas-Interest&Role-Trial»1x1»Canvas»OTH»MO»CPM»PRO»X»UNK»TP»OT»Canvas-Trial</v></cell><cell r="AH5144"><v>223298805</v></cell><cell r="AI5144" t="str"><v>AzurePlatform_FBCTCcanvaspage-StartFreeCTA-Img2_JPN_1080x143 _SOC_Plat_Japanese_NA_Standard_NA_NA_T2_1</v></cell><cell r="AJ5144"><v>102609621</v></cell></row><row r="5145"><cell r="C5145" t="str"><v>43318Facebook»AZP-Canvas-Look a Like-Trial»1x1»Canvas»OTH»MO»CPM»PRO»X»UNK»TP»OT»Canvas-Trial</v></cell><cell r="D5145" t="str"><v>43318223297413</v></cell><cell r="E5145" t="str"><v>43318102609621-Trial</v></cell><cell r="F5145" t="str"><v>DCM</v></cell><cell r="G5145" t="str"><v>https://signup.azure.com/signup?offer=ms-azr-0044p&appId=102&ref=paidmedia-social-fb&redirectURL=https%3a%2f%2fazure.microsoft.com%2fja-jp%2fget-started%2fwelcome-to-azure%2f&l=ja-jp&correlationId=ead86c34-1f10-49dd-a72b-6918462a2cbf</v></cell></row><row r="5145"><cell r="K5145" t="str"><v>August</v></cell><cell r="L5145"><v>43323</v></cell><cell r="M5145" t="str"><v>Tier 1</v></cell><cell r="N5145" t="str"><v>APAC</v></cell><cell r="O5145" t="str"><v>Japan</v></cell><cell r="P5145" t="str"><v>Trial</v></cell><cell r="Q5145" t="str"><v>Social</v></cell><cell r="R5145" t="str"><v>Azure</v></cell><cell r="S5145" t="str"><v>Apps & Infra</v></cell><cell r="T5145" t="str"><v>Developers & ITI's</v></cell><cell r="U5145" t="str"><v>AZP-Canvas-Look a Like-Trial</v></cell><cell r="V5145" t="str"><v>Prospecting</v></cell><cell r="W5145" t="str"><v>Other</v></cell><cell r="X5145" t="str"><v>1x1</v></cell></row><row r="5145"><cell r="AA5145"><v>43318</v></cell><cell r="AB5145" t="str"><v>JPN_gaPMG_AZR_AZR_Q1_19_Trial-Social</v></cell><cell r="AC5145"><v>21276694</v></cell><cell r="AD5145"><v>720195</v></cell><cell r="AE5145" t="str"><v>Facebook</v></cell><cell r="AF5145"><v>3654128</v></cell><cell r="AG5145" t="str"><v>Facebook»AZP-Canvas-Look a Like-Trial»1x1»Canvas»OTH»MO»CPM»PRO»X»UNK»TP»OT»Canvas-Trial</v></cell><cell r="AH5145"><v>223297413</v></cell><cell r="AI5145" t="str"><v>AzurePlatform_FBCTCcanvaspage-StartFreeCTA-Img2_JPN_1080x143 _SOC_Plat_Japanese_NA_Standard_NA_NA_T2_1</v></cell><cell r="AJ5145"><v>102609621</v></cell></row><row r="5146"><cell r="C5146" t="str"><v>43318Facebook»AZP-Retargeting»1x1»Newsfeed»LIA»ALL»CPM»RT»X»UNK»SS»NA»Developer-Generic</v></cell><cell r="D5146" t="str"><v>43318225671576</v></cell><cell r="E5146" t="str"><v>43318104060550eneric</v></cell><cell r="F5146" t="str"><v>DCM</v></cell><cell r="G5146" t="str"><v>https://azure.microsoft.com/ja-jp/free/</v></cell></row><row r="5146"><cell r="K5146" t="str"><v>August</v></cell><cell r="L5146"><v>43323</v></cell><cell r="M5146" t="str"><v>Tier 1</v></cell><cell r="N5146" t="str"><v>APAC</v></cell><cell r="O5146" t="str"><v>Japan</v></cell><cell r="P5146" t="str"><v>Trial</v></cell><cell r="Q5146" t="str"><v>Social</v></cell><cell r="R5146" t="str"><v>Azure</v></cell><cell r="S5146" t="str"><v>Apps & Infra</v></cell><cell r="T5146" t="str"><v>Developers & ITI's</v></cell><cell r="U5146" t="str"><v>AZP-Retargeting</v></cell><cell r="V5146" t="str"><v>Retargeting</v></cell><cell r="W5146" t="str"><v>Link Ad</v></cell><cell r="X5146" t="str"><v>1x1</v></cell></row><row r="5146"><cell r="AA5146"><v>43318</v></cell><cell r="AB5146" t="str"><v>JPN_gaPMG_AZR_AZR_Q1_19_Trial-Social</v></cell><cell r="AC5146"><v>21276694</v></cell><cell r="AD5146"><v>720195</v></cell><cell r="AE5146" t="str"><v>Facebook</v></cell><cell r="AF5146"><v>3654128</v></cell><cell r="AG5146" t="str"><v>Facebook»AZP-Retargeting»1x1»Newsfeed»LIA»ALL»CPM»RT»X»UNK»SS»NA»Developer-Generic</v></cell><cell r="AH5146"><v>225671576</v></cell><cell r="AI5146" t="str"><v>AZR_FreeAcctDeveloperFB-AnimatedGeneric-Ch1_JPN_1200x1200_SOC_Direct_JA_Trial_Standard_ANI_LEA_T1_1</v></cell><cell r="AJ5146"><v>104060550</v></cell></row><row r="5147"><cell r="C5147" t="str"><v>43318Facebook»AZP-Retargeting»1x1»Newsfeed»LIA»ALL»CPM»RT»X»UNK»SS»NA»Developer-Open Source</v></cell><cell r="D5147" t="str"><v>43318225671573</v></cell><cell r="E5147" t="str"><v>43318104060553Source</v></cell><cell r="F5147" t="str"><v>DCM</v></cell><cell r="G5147" t="str"><v>https://azure.microsoft.com/ja-jp/free/</v></cell></row><row r="5147"><cell r="K5147" t="str"><v>August</v></cell><cell r="L5147"><v>43323</v></cell><cell r="M5147" t="str"><v>Tier 1</v></cell><cell r="N5147" t="str"><v>APAC</v></cell><cell r="O5147" t="str"><v>Japan</v></cell><cell r="P5147" t="str"><v>Trial</v></cell><cell r="Q5147" t="str"><v>Social</v></cell><cell r="R5147" t="str"><v>Azure</v></cell><cell r="S5147" t="str"><v>Apps & Infra</v></cell><cell r="T5147" t="str"><v>Developers & ITI's</v></cell><cell r="U5147" t="str"><v>AZP-Retargeting</v></cell><cell r="V5147" t="str"><v>Retargeting</v></cell><cell r="W5147" t="str"><v>Link Ad</v></cell><cell r="X5147" t="str"><v>1x1</v></cell></row><row r="5147"><cell r="AA5147"><v>43318</v></cell><cell r="AB5147" t="str"><v>JPN_gaPMG_AZR_AZR_Q1_19_Trial-Social</v></cell><cell r="AC5147"><v>21276694</v></cell><cell r="AD5147"><v>720195</v></cell><cell r="AE5147" t="str"><v>Facebook</v></cell><cell r="AF5147"><v>3654128</v></cell><cell r="AG5147" t="str"><v>Facebook»AZP-Retargeting»1x1»Newsfeed»LIA»ALL»CPM»RT»X»UNK»SS»NA»Developer-Open Source</v></cell><cell r="AH5147"><v>225671573</v></cell><cell r="AI5147" t="str"><v>AZR_FreeAcctDeveloperFB-AnimatedOpenSource-Ch2_JPN_1200x1200_SOC_Direct_JA_Trial_Standard_ANI_LEA_T2_1</v></cell><cell r="AJ5147"><v>104060553</v></cell></row><row r="5148"><cell r="C5148" t="str"><v>43318Facebook»AZP-Canvas-Retargeting-Trial»1x1»Canvas»SOC»MO»CPM»PRO»W»UNK»SS»OT»Canvas-Trial</v></cell><cell r="D5148" t="str"><v>43318226269941</v></cell><cell r="E5148" t="str"><v>43318104060547-Trial</v></cell><cell r="F5148" t="str"><v>DCM</v></cell><cell r="G5148" t="str"><v>https://azure.microsoft.com/ja-jp/pricing/purchase-options/</v></cell></row><row r="5148"><cell r="K5148" t="str"><v>August</v></cell><cell r="L5148"><v>43323</v></cell><cell r="M5148" t="str"><v>Tier 1</v></cell><cell r="N5148" t="str"><v>APAC</v></cell><cell r="O5148" t="str"><v>Japan</v></cell><cell r="P5148" t="str"><v>Trial</v></cell><cell r="Q5148" t="str"><v>Social</v></cell><cell r="R5148" t="str"><v>Azure</v></cell><cell r="S5148" t="str"><v>Apps & Infra</v></cell><cell r="T5148" t="str"><v>Developers & ITI's</v></cell><cell r="U5148" t="str"><v>AZP-Canvas-Retargeting-Trial</v></cell><cell r="V5148" t="str"><v>Prospecting</v></cell><cell r="W5148" t="str"><v>Social</v></cell><cell r="X5148" t="str"><v>1x1</v></cell></row><row r="5148"><cell r="AA5148"><v>43318</v></cell><cell r="AB5148" t="str"><v>JPN_gaPMG_AZR_AZR_Q1_19_Trial-Social</v></cell><cell r="AC5148"><v>21276694</v></cell><cell r="AD5148"><v>720195</v></cell><cell r="AE5148" t="str"><v>Facebook</v></cell><cell r="AF5148"><v>3654128</v></cell><cell r="AG5148" t="str"><v>Facebook»AZP-Canvas-Retargeting-Trial»1x1»Canvas»SOC»MO»CPM»PRO»W»UNK»SS»OT»Canvas-Trial</v></cell><cell r="AH5148"><v>226269941</v></cell><cell r="AI5148" t="str"><v>AZR_FBCTCcanvaspage-BuyNowCTA-Img3_JPN_1080x162_SOC_Plat_Japanese_NA_Standard_NA_BN_T3_1</v></cell><cell r="AJ5148"><v>104060547</v></cell></row><row r="5149"><cell r="C5149" t="str"><v>43318Facebook»AZP-Canvas-Retargeting-Trial»1x1»Canvas»SOC»MO»CPM»PRO»W»UNK»SS»OT»Canvas-Trial</v></cell><cell r="D5149" t="str"><v>43318226269941</v></cell><cell r="E5149" t="str"><v>43318104061321-Trial</v></cell><cell r="F5149" t="str"><v>DCM</v></cell><cell r="G5149" t="str"><v>https://signup.azure.com/signup?offer=ms-azr-0044p&appId=102&ref=paidmedia-social-fb&redirectURL=https%3a%2f%2fazure.microsoft.com%2fja-jp%2fget-started%2fwelcome-to-azure%2f&l=ja-jp&correlationId=ead86c34-1f10-49dd-a72b-6918462a2cbf</v></cell></row><row r="5149"><cell r="K5149" t="str"><v>August</v></cell><cell r="L5149"><v>43323</v></cell><cell r="M5149" t="str"><v>Tier 1</v></cell><cell r="N5149" t="str"><v>APAC</v></cell><cell r="O5149" t="str"><v>Japan</v></cell><cell r="P5149" t="str"><v>Trial</v></cell><cell r="Q5149" t="str"><v>Social</v></cell><cell r="R5149" t="str"><v>Azure</v></cell><cell r="S5149" t="str"><v>Apps & Infra</v></cell><cell r="T5149" t="str"><v>Developers & ITI's</v></cell><cell r="U5149" t="str"><v>AZP-Canvas-Retargeting-Trial</v></cell><cell r="V5149" t="str"><v>Prospecting</v></cell><cell r="W5149" t="str"><v>Social</v></cell><cell r="X5149" t="str"><v>1x1</v></cell></row><row r="5149"><cell r="AA5149"><v>43318</v></cell><cell r="AB5149" t="str"><v>JPN_gaPMG_AZR_AZR_Q1_19_Trial-Social</v></cell><cell r="AC5149"><v>21276694</v></cell><cell r="AD5149"><v>720195</v></cell><cell r="AE5149" t="str"><v>Facebook</v></cell><cell r="AF5149"><v>3654128</v></cell><cell r="AG5149" t="str"><v>Facebook»AZP-Canvas-Retargeting-Trial»1x1»Canvas»SOC»MO»CPM»PRO»W»UNK»SS»OT»Canvas-Trial</v></cell><cell r="AH5149"><v>226269941</v></cell><cell r="AI5149" t="str"><v>AZR_FBCTCcanvaspage-StartFreeCTA-Img2_JPN_1080x143 _SOC_Plat_Japanese_NA_Standard_NA_NA_T2_1</v></cell><cell r="AJ5149"><v>104061321</v></cell></row><row r="5150"><cell r="C5150" t="str"><v>43318FACEBOOK»USA-Trial-ITD-Interest Prospecting-AZR-AZR»1 x 1»SocialBan»CAN»ALL»CPA»PRO»X»NA»SS»NA»FBCTCBenefit2inMotion»PRC1SW</v></cell><cell r="D5150" t="str"><v>43318223933138</v></cell><cell r="E5150" t="str"><v>43318103043835PRC1SW</v></cell><cell r="F5150" t="str"><v>DCM</v></cell><cell r="G5150" t="str"><v>https://signup.azure.com/?OCID=AID%eexcid!_OLA_%ebuy!_%epid!_%ecid!</v></cell></row><row r="5150"><cell r="K5150" t="str"><v>August</v></cell><cell r="L5150"><v>43323</v></cell><cell r="M5150" t="str"><v>Tier 0</v></cell><cell r="N5150" t="str"><v>North America</v></cell><cell r="O5150" t="str"><v>United States</v></cell><cell r="P5150" t="str"><v>Trial</v></cell><cell r="Q5150" t="str"><v>Social</v></cell><cell r="R5150" t="str"><v>Azure</v></cell><cell r="S5150" t="str"><v>Apps & Infra</v></cell><cell r="T5150" t="str"><v>Developers & ITI's</v></cell><cell r="U5150" t="str"><v>USA-Trial-ITD-Interest Prospecting-AZR-AZR</v></cell><cell r="V5150" t="str"><v>Prospecting</v></cell><cell r="W5150" t="str"><v>Canvas Ad</v></cell><cell r="X5150" t="str"><v>1x1</v></cell></row><row r="5150"><cell r="AA5150"><v>43318</v></cell><cell r="AB5150" t="str"><v>USA_gaPMG_AZR_AZR_Q1_19_Direct-Social</v></cell><cell r="AC5150"><v>21358715</v></cell><cell r="AD5150"><v>720197</v></cell><cell r="AE5150" t="str"><v>Facebook</v></cell><cell r="AF5150"><v>3654128</v></cell><cell r="AG5150" t="str"><v>FACEBOOK»USA-Trial-ITD-Interest Prospecting-AZR-AZR»1 x 1»SocialBan»CAN»ALL»CPA»PRO»X»NA»SS»NA»FBCTCBenefit2inMotion»PRC1SW</v></cell><cell r="AH5150"><v>223933138</v></cell><cell r="AI5150" t="str"><v>AzurePlatform_FBCTCBenefit2inMotion_USA_10s_CAN_PLATFORM_English_Trial_Standard_STAN_TIN_T4_1</v></cell><cell r="AJ5150"><v>103043835</v></cell></row><row r="5151"><cell r="C5151" t="str"><v>43318FACEBOOK»USA-Trial-ITD-Interest Prospecting-AZR-AZR»1 x 1»SocialBan»CAN»ALL»CPA»PRO»X»NA»SS»NA»FBCTCBenefit2inMotion»PRC1SW</v></cell><cell r="D5151" t="str"><v>43318223933138</v></cell><cell r="E5151" t="str"><v>43318103178645PRC1SW</v></cell><cell r="F5151" t="str"><v>DCM</v></cell><cell r="G5151" t="str"><v>https://azure.microsoft.com/en-us/pricing/purchase-options/?v=18.19&OCID=AID%eexcid!_OLA_%ebuy!_%epid!_%ecid!</v></cell></row><row r="5151"><cell r="K5151" t="str"><v>August</v></cell><cell r="L5151"><v>43323</v></cell><cell r="M5151" t="str"><v>Tier 0</v></cell><cell r="N5151" t="str"><v>North America</v></cell><cell r="O5151" t="str"><v>United States</v></cell><cell r="P5151" t="str"><v>Trial</v></cell><cell r="Q5151" t="str"><v>Social</v></cell><cell r="R5151" t="str"><v>Azure</v></cell><cell r="S5151" t="str"><v>Apps & Infra</v></cell><cell r="T5151" t="str"><v>Developers & ITI's</v></cell><cell r="U5151" t="str"><v>USA-Trial-ITD-Interest Prospecting-AZR-AZR</v></cell><cell r="V5151" t="str"><v>Prospecting</v></cell><cell r="W5151" t="str"><v>Canvas Ad</v></cell><cell r="X5151" t="str"><v>1x1</v></cell></row><row r="5151"><cell r="AA5151"><v>43318</v></cell><cell r="AB5151" t="str"><v>USA_gaPMG_AZR_AZR_Q1_19_Direct-Social</v></cell><cell r="AC5151"><v>21358715</v></cell><cell r="AD5151"><v>720197</v></cell><cell r="AE5151" t="str"><v>Facebook</v></cell><cell r="AF5151"><v>3654128</v></cell><cell r="AG5151" t="str"><v>FACEBOOK»USA-Trial-ITD-Interest Prospecting-AZR-AZR»1 x 1»SocialBan»CAN»ALL»CPA»PRO»X»NA»SS»NA»FBCTCBenefit2inMotion»PRC1SW</v></cell><cell r="AH5151"><v>223933138</v></cell><cell r="AI5151" t="str"><v>AzurePlatform_FBCTCBenefit2inMotion_USA_10s_CAN_PLATFORM_English_Trial_Standard_STAN_TIN_T4_2</v></cell><cell r="AJ5151"><v>103178645</v></cell></row><row r="5152"><cell r="C5152" t="str"><v>43318FACEBOOK»USA-Trial-ITD-Interest Prospecting-AZR-AZR»1 x 1»SocialBan»LIA»ALL»CPA»PRO»X»NA»SS»NA»FreeAcctDeveloperFB-AnimatedGeneric-Ch1»PRC1T0</v></cell><cell r="D5152" t="str"><v>43318223934065</v></cell><cell r="E5152" t="str"><v>43318103176851PRC1T0</v></cell><cell r="F5152" t="str"><v>DCM</v></cell><cell r="G5152" t="str"><v>https://azure.microsoft.com/en-us/free/search/?OCID=AID%eexcid!_OLA_%ebuy!_%epid!_%ecid!</v></cell></row><row r="5152"><cell r="K5152" t="str"><v>August</v></cell><cell r="L5152"><v>43323</v></cell><cell r="M5152" t="str"><v>Tier 0</v></cell><cell r="N5152" t="str"><v>North America</v></cell><cell r="O5152" t="str"><v>United States</v></cell><cell r="P5152" t="str"><v>Trial</v></cell><cell r="Q5152" t="str"><v>Social</v></cell><cell r="R5152" t="str"><v>Azure</v></cell><cell r="S5152" t="str"><v>Apps & Infra</v></cell><cell r="T5152" t="str"><v>Developers & ITI's</v></cell><cell r="U5152" t="str"><v>USA-Trial-ITD-Interest Prospecting-AZR-AZR</v></cell><cell r="V5152" t="str"><v>Prospecting</v></cell><cell r="W5152" t="str"><v>Link Ad</v></cell><cell r="X5152" t="str"><v>1x1</v></cell></row><row r="5152"><cell r="AA5152"><v>43318</v></cell><cell r="AB5152" t="str"><v>USA_gaPMG_AZR_AZR_Q1_19_Direct-Social</v></cell><cell r="AC5152"><v>21358715</v></cell><cell r="AD5152"><v>720197</v></cell><cell r="AE5152" t="str"><v>Facebook</v></cell><cell r="AF5152"><v>3654128</v></cell><cell r="AG5152" t="str"><v>FACEBOOK»USA-Trial-ITD-Interest Prospecting-AZR-AZR»1 x 1»SocialBan»LIA»ALL»CPA»PRO»X»NA»SS»NA»FreeAcctDeveloperFB-AnimatedGeneric-Ch1»PRC1T0</v></cell><cell r="AH5152"><v>223934065</v></cell><cell r="AI5152" t="str"><v>AZR_FreeAcctDeveloperFB-AnimatedGeneric-Ch1_USA_1200x1200_CAN_Direct_English_Trial_Standard_ANI_LEA_T1_2</v></cell><cell r="AJ5152"><v>103176851</v></cell></row><row r="5153"><cell r="C5153" t="str"><v>43318FACEBOOK»USA-Trial-ITD-Interest Prospecting-AZR-AZR»1 x 1»SocialBan»LIA»ALL»CPA»PRO»X»NA»SS»NA»FreeAcctITProFB-AnimatedSecureMngd-Ch1»PRC1T4</v></cell><cell r="D5153" t="str"><v>43318224104914</v></cell><cell r="E5153" t="str"><v>43318103176830PRC1T4</v></cell><cell r="F5153" t="str"><v>DCM</v></cell></row><row r="5153"><cell r="K5153" t="str"><v>August</v></cell><cell r="L5153"><v>43323</v></cell><cell r="M5153" t="str"><v>Tier 0</v></cell><cell r="N5153" t="str"><v>North America</v></cell><cell r="O5153" t="str"><v>United States</v></cell><cell r="P5153" t="str"><v>Trial</v></cell><cell r="Q5153" t="str"><v>Social</v></cell><cell r="R5153" t="str"><v>Azure</v></cell><cell r="S5153" t="str"><v>Apps & Infra</v></cell><cell r="T5153" t="str"><v>Developers & ITI's</v></cell><cell r="U5153" t="str"><v>USA-Trial-ITD-Interest Prospecting-AZR-AZR</v></cell><cell r="V5153" t="str"><v>Prospecting</v></cell><cell r="W5153" t="str"><v>Link Ad</v></cell><cell r="X5153" t="str"><v>1x1</v></cell></row><row r="5153"><cell r="AA5153"><v>43318</v></cell><cell r="AB5153" t="str"><v>USA_gaPMG_AZR_AZR_Q1_19_Direct-Social</v></cell><cell r="AC5153"><v>21358715</v></cell><cell r="AD5153"><v>720197</v></cell><cell r="AE5153" t="str"><v>Facebook</v></cell><cell r="AF5153"><v>3654128</v></cell><cell r="AG5153" t="str"><v>FACEBOOK»USA-Trial-ITD-Interest Prospecting-AZR-AZR»1 x 1»SocialBan»LIA»ALL»CPA»PRO»X»NA»SS»NA»FreeAcctITProFB-AnimatedSecureMngd-Ch1»PRC1T4</v></cell><cell r="AH5153"><v>224104914</v></cell><cell r="AI5153" t="str"><v>AZR_FreeAcctITProFB-AnimatedSecureMngd-Ch1_USA_1200x1200_CAN_Direct_English_Trial_Standard_ANI_LEA_T1_1</v></cell><cell r="AJ5153"><v>103176830</v></cell></row><row r="5154"><cell r="C5154" t="str"><v>43318FACEBOOK»USA-Trial-ITD-Interest Prospecting-AZR-AZR»1 x 1»SocialBan»CCA»ALL»CPA»PRO»X»NA»SS»NA»Azure Developer Facebook Collections»PRSGV0</v></cell><cell r="D5154" t="str"><v>43318225283843</v></cell><cell r="E5154" t="str"><v>43318103773177PRSGV0</v></cell><cell r="F5154" t="str"><v>DCM</v></cell><cell r="G5154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154"><cell r="K5154" t="str"><v>August</v></cell><cell r="L5154"><v>43323</v></cell><cell r="M5154" t="str"><v>Tier 0</v></cell><cell r="N5154" t="str"><v>North America</v></cell><cell r="O5154" t="str"><v>United States</v></cell><cell r="P5154" t="str"><v>Trial</v></cell><cell r="Q5154" t="str"><v>Social</v></cell><cell r="R5154" t="str"><v>Azure</v></cell><cell r="S5154" t="str"><v>Apps & Infra</v></cell><cell r="T5154" t="str"><v>Developers & ITI's</v></cell><cell r="U5154" t="str"><v>USA-Trial-ITD-Interest Prospecting-AZR-AZR</v></cell><cell r="V5154" t="str"><v>Prospecting</v></cell><cell r="W5154" t="str"><v>Canvas Collection Ad</v></cell><cell r="X5154" t="str"><v>1x1</v></cell></row><row r="5154"><cell r="AA5154"><v>43318</v></cell><cell r="AB5154" t="str"><v>USA_gaPMG_AZR_AZR_Q1_19_Direct-Social</v></cell><cell r="AC5154"><v>21358715</v></cell><cell r="AD5154"><v>720197</v></cell><cell r="AE5154" t="str"><v>Facebook</v></cell><cell r="AF5154"><v>3654128</v></cell><cell r="AG5154" t="str"><v>FACEBOOK»USA-Trial-ITD-Interest Prospecting-AZR-AZR»1 x 1»SocialBan»CCA»ALL»CPA»PRO»X»NA»SS»NA»Azure Developer Facebook Collections»PRSGV0</v></cell><cell r="AH5154"><v>225283843</v></cell><cell r="AI5154" t="str"><v>AZR_FBCollections-AITryAzureFreeCTA-Img2_USA_1200x182_SOC_Plat_EN_NA_Standard_NA_TIN_T1_2</v></cell><cell r="AJ5154"><v>103773177</v></cell></row><row r="5155"><cell r="C5155" t="str"><v>43318FACEBOOK»USA-Trial-ITD-Interest Prospecting-AZR-AZR»1 x 1»SocialBan»CCA»ALL»CPA»PRO»X»NA»SS»NA»Azure Developer Facebook Collections»PRSGV0</v></cell><cell r="D5155" t="str"><v>43318225283843</v></cell><cell r="E5155" t="str"><v>43318103873631PRSGV0</v></cell><cell r="F5155" t="str"><v>DCM</v></cell><cell r="G5155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155"><cell r="K5155" t="str"><v>August</v></cell><cell r="L5155"><v>43323</v></cell><cell r="M5155" t="str"><v>Tier 0</v></cell><cell r="N5155" t="str"><v>North America</v></cell><cell r="O5155" t="str"><v>United States</v></cell><cell r="P5155" t="str"><v>Trial</v></cell><cell r="Q5155" t="str"><v>Social</v></cell><cell r="R5155" t="str"><v>Azure</v></cell><cell r="S5155" t="str"><v>Apps & Infra</v></cell><cell r="T5155" t="str"><v>Developers & ITI's</v></cell><cell r="U5155" t="str"><v>USA-Trial-ITD-Interest Prospecting-AZR-AZR</v></cell><cell r="V5155" t="str"><v>Prospecting</v></cell><cell r="W5155" t="str"><v>Canvas Collection Ad</v></cell><cell r="X5155" t="str"><v>1x1</v></cell></row><row r="5155"><cell r="AA5155"><v>43318</v></cell><cell r="AB5155" t="str"><v>USA_gaPMG_AZR_AZR_Q1_19_Direct-Social</v></cell><cell r="AC5155"><v>21358715</v></cell><cell r="AD5155"><v>720197</v></cell><cell r="AE5155" t="str"><v>Facebook</v></cell><cell r="AF5155"><v>3654128</v></cell><cell r="AG5155" t="str"><v>FACEBOOK»USA-Trial-ITD-Interest Prospecting-AZR-AZR»1 x 1»SocialBan»CCA»ALL»CPA»PRO»X»NA»SS»NA»Azure Developer Facebook Collections»PRSGV0</v></cell><cell r="AH5155"><v>225283843</v></cell><cell r="AI5155" t="str"><v>AZR_FBCollections-OSSTryAzureFreeCTA-Img3_USA_1200x182_SOC_Plat_EN_NA_Standard_NA_TIN_T1_3</v></cell><cell r="AJ5155"><v>103873631</v></cell></row><row r="5156"><cell r="C5156" t="str"><v>43318FACEBOOK»USA-Trial-ITD-Interest Prospecting-AZR-AZR»1 x 1»SocialBan»CCA»ALL»CPA»PRO»X»NA»SS»NA»Azure Developer Facebook Collections»PRSGV0</v></cell><cell r="D5156" t="str"><v>43318225283843</v></cell><cell r="E5156" t="str"><v>43318103874423PRSGV0</v></cell><cell r="F5156" t="str"><v>DCM</v></cell><cell r="G5156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156"><cell r="K5156" t="str"><v>August</v></cell><cell r="L5156"><v>43323</v></cell><cell r="M5156" t="str"><v>Tier 0</v></cell><cell r="N5156" t="str"><v>North America</v></cell><cell r="O5156" t="str"><v>United States</v></cell><cell r="P5156" t="str"><v>Trial</v></cell><cell r="Q5156" t="str"><v>Social</v></cell><cell r="R5156" t="str"><v>Azure</v></cell><cell r="S5156" t="str"><v>Apps & Infra</v></cell><cell r="T5156" t="str"><v>Developers & ITI's</v></cell><cell r="U5156" t="str"><v>USA-Trial-ITD-Interest Prospecting-AZR-AZR</v></cell><cell r="V5156" t="str"><v>Prospecting</v></cell><cell r="W5156" t="str"><v>Canvas Collection Ad</v></cell><cell r="X5156" t="str"><v>1x1</v></cell></row><row r="5156"><cell r="AA5156"><v>43318</v></cell><cell r="AB5156" t="str"><v>USA_gaPMG_AZR_AZR_Q1_19_Direct-Social</v></cell><cell r="AC5156"><v>21358715</v></cell><cell r="AD5156"><v>720197</v></cell><cell r="AE5156" t="str"><v>Facebook</v></cell><cell r="AF5156"><v>3654128</v></cell><cell r="AG5156" t="str"><v>FACEBOOK»USA-Trial-ITD-Interest Prospecting-AZR-AZR»1 x 1»SocialBan»CCA»ALL»CPA»PRO»X»NA»SS»NA»Azure Developer Facebook Collections»PRSGV0</v></cell><cell r="AH5156"><v>225283843</v></cell><cell r="AI5156" t="str"><v>AZR_FBCollections-TryAzureFreeCTA-Img1_USA_1200x182_SOC_Plat_EN_NA_Standard_NA_TIN_T1_1</v></cell><cell r="AJ5156"><v>103874423</v></cell></row><row r="5157"><cell r="C5157" t="str"><v>43318FACEBOOK»USA-Trial-ITD-Retargeting-AZR-AZR»1 x 1»SocialBan»LIA»ALL»CPA»RT»X»NA»SS»NA»FreeAcctITProFB-AnimatedMigration-Ch3»PRC26P</v></cell><cell r="D5157" t="str"><v>43318223934056</v></cell><cell r="E5157" t="str"><v>43318103176827PRC26P</v></cell><cell r="F5157" t="str"><v>DCM</v></cell></row><row r="5157"><cell r="K5157" t="str"><v>August</v></cell><cell r="L5157"><v>43323</v></cell><cell r="M5157" t="str"><v>Tier 0</v></cell><cell r="N5157" t="str"><v>North America</v></cell><cell r="O5157" t="str"><v>United States</v></cell><cell r="P5157" t="str"><v>Trial</v></cell><cell r="Q5157" t="str"><v>Social</v></cell><cell r="R5157" t="str"><v>Azure</v></cell><cell r="S5157" t="str"><v>Apps & Infra</v></cell><cell r="T5157" t="str"><v>Developers & ITI's</v></cell><cell r="U5157" t="str"><v>USA-Trial-ITD-Retargeting-AZR-AZR</v></cell><cell r="V5157" t="str"><v>Retargeting</v></cell><cell r="W5157" t="str"><v>Link Ad</v></cell><cell r="X5157" t="str"><v>1x1</v></cell></row><row r="5157"><cell r="AA5157"><v>43318</v></cell><cell r="AB5157" t="str"><v>USA_gaPMG_AZR_AZR_Q1_19_Direct-Social</v></cell><cell r="AC5157"><v>21358715</v></cell><cell r="AD5157"><v>720197</v></cell><cell r="AE5157" t="str"><v>Facebook</v></cell><cell r="AF5157"><v>3654128</v></cell><cell r="AG5157" t="str"><v>FACEBOOK»USA-Trial-ITD-Retargeting-AZR-AZR»1 x 1»SocialBan»LIA»ALL»CPA»RT»X»NA»SS»NA»FreeAcctITProFB-AnimatedMigration-Ch3»PRC26P</v></cell><cell r="AH5157"><v>223934056</v></cell><cell r="AI5157" t="str"><v>AZR_FreeAcctITProFB-AnimatedMigration-Ch3_USA_1200x1200_CAN_Direct_English_Trial_Standard_ANI_LEA_T3_1</v></cell><cell r="AJ5157"><v>103176827</v></cell></row><row r="5158"><cell r="C5158" t="str"><v>43318FACEBOOK»USA-Trial-ITD-Retargeting-AZR-AZR»1 x 1»SocialBan»LIA»ALL»CPA»RT»X»NA»SS»NA»FreeAcctRetargetingFB-Credit-ChA»PRC1RV</v></cell><cell r="D5158" t="str"><v>43318224106075</v></cell><cell r="E5158" t="str"><v>43318103034917PRC1RV</v></cell><cell r="F5158" t="str"><v>DCM</v></cell><cell r="G5158" t="str"><v>https://azure.microsoft.com/en-us/free/search/?OCID=AID%eexcid!_OLA_%ebuy!_%epid!_%ecid!</v></cell></row><row r="5158"><cell r="K5158" t="str"><v>August</v></cell><cell r="L5158"><v>43323</v></cell><cell r="M5158" t="str"><v>Tier 0</v></cell><cell r="N5158" t="str"><v>North America</v></cell><cell r="O5158" t="str"><v>United States</v></cell><cell r="P5158" t="str"><v>Trial</v></cell><cell r="Q5158" t="str"><v>Social</v></cell><cell r="R5158" t="str"><v>Azure</v></cell><cell r="S5158" t="str"><v>Apps & Infra</v></cell><cell r="T5158" t="str"><v>Developers & ITI's</v></cell><cell r="U5158" t="str"><v>USA-Trial-ITD-Retargeting-AZR-AZR</v></cell><cell r="V5158" t="str"><v>Retargeting</v></cell><cell r="W5158" t="str"><v>Link Ad</v></cell><cell r="X5158" t="str"><v>1x1</v></cell></row><row r="5158"><cell r="AA5158"><v>43318</v></cell><cell r="AB5158" t="str"><v>USA_gaPMG_AZR_AZR_Q1_19_Direct-Social</v></cell><cell r="AC5158"><v>21358715</v></cell><cell r="AD5158"><v>720197</v></cell><cell r="AE5158" t="str"><v>Facebook</v></cell><cell r="AF5158"><v>3654128</v></cell><cell r="AG5158" t="str"><v>FACEBOOK»USA-Trial-ITD-Retargeting-AZR-AZR»1 x 1»SocialBan»LIA»ALL»CPA»RT»X»NA»SS»NA»FreeAcctRetargetingFB-Credit-ChA»PRC1RV</v></cell><cell r="AH5158"><v>224106075</v></cell><cell r="AI5158" t="str"><v>AzurePlatform_FreeAcctRetargetingFB-Credit-ChA_USA_1200x628_CAN_PLATFORM_English_Free Account_Standard_NA_SINU_T1_2</v></cell><cell r="AJ5158"><v>103034917</v></cell></row><row r="5159"><cell r="C5159" t="str"><v>43318FACEBOOK»USA-Trial-ITD-Retargeting-AZR-AZR»1 x 1»SocialBan»LIA»ALL»CPA»RT»X»NA»SS»NA»FreeAcctRetargetingFB-GlobalAlt-ChB»PRC1RW</v></cell><cell r="D5159" t="str"><v>43318223862756</v></cell><cell r="E5159" t="str"><v>43318103180592PRC1RW</v></cell><cell r="F5159" t="str"><v>DCM</v></cell><cell r="G5159" t="str"><v>https://azure.microsoft.com/en-us/free/search/?OCID=AID%eexcid!_OLA_%ebuy!_%epid!_%ecid!</v></cell></row><row r="5159"><cell r="K5159" t="str"><v>August</v></cell><cell r="L5159"><v>43323</v></cell><cell r="M5159" t="str"><v>Tier 0</v></cell><cell r="N5159" t="str"><v>North America</v></cell><cell r="O5159" t="str"><v>United States</v></cell><cell r="P5159" t="str"><v>Trial</v></cell><cell r="Q5159" t="str"><v>Social</v></cell><cell r="R5159" t="str"><v>Azure</v></cell><cell r="S5159" t="str"><v>Apps & Infra</v></cell><cell r="T5159" t="str"><v>Developers & ITI's</v></cell><cell r="U5159" t="str"><v>USA-Trial-ITD-Retargeting-AZR-AZR</v></cell><cell r="V5159" t="str"><v>Retargeting</v></cell><cell r="W5159" t="str"><v>Link Ad</v></cell><cell r="X5159" t="str"><v>1x1</v></cell></row><row r="5159"><cell r="AA5159"><v>43318</v></cell><cell r="AB5159" t="str"><v>USA_gaPMG_AZR_AZR_Q1_19_Direct-Social</v></cell><cell r="AC5159"><v>21358715</v></cell><cell r="AD5159"><v>720197</v></cell><cell r="AE5159" t="str"><v>Facebook</v></cell><cell r="AF5159"><v>3654128</v></cell><cell r="AG5159" t="str"><v>FACEBOOK»USA-Trial-ITD-Retargeting-AZR-AZR»1 x 1»SocialBan»LIA»ALL»CPA»RT»X»NA»SS»NA»FreeAcctRetargetingFB-GlobalAlt-ChB»PRC1RW</v></cell><cell r="AH5159"><v>223862756</v></cell><cell r="AI5159" t="str"><v>AzurePlatform_FreeAcctRetargetingFB-GlobalAlt-ChB_USA_1200x628_CAN_PLATFORM_English_Free Account_Standard_NA_SINU_T2_1</v></cell><cell r="AJ5159"><v>103180592</v></cell></row><row r="5160"><cell r="C5160" t="str"><v>43318FACEBOOK»USA-Trial-ITD-Retargeting-AZR-AZR»1 x 1»SocialBan»LIA»ALL»CPA»RT»X»NA»SS»NA»FreeAcctRetargetingVMFB-750Hrs-ChD»PRC1RY</v></cell><cell r="D5160" t="str"><v>43318223862747</v></cell><cell r="E5160" t="str"><v>43318103034911PRC1RY</v></cell><cell r="F5160" t="str"><v>DCM</v></cell><cell r="G5160" t="str"><v>https://azure.microsoft.com/en-us/free/virtual-machines/search/?OCID=AID%eexcid!_OLA_%ebuy!_%epid!_%ecid!</v></cell></row><row r="5160"><cell r="K5160" t="str"><v>August</v></cell><cell r="L5160"><v>43323</v></cell><cell r="M5160" t="str"><v>Tier 0</v></cell><cell r="N5160" t="str"><v>North America</v></cell><cell r="O5160" t="str"><v>United States</v></cell><cell r="P5160" t="str"><v>Trial</v></cell><cell r="Q5160" t="str"><v>Social</v></cell><cell r="R5160" t="str"><v>Azure</v></cell><cell r="S5160" t="str"><v>Apps & Infra</v></cell><cell r="T5160" t="str"><v>Developers & ITI's</v></cell><cell r="U5160" t="str"><v>USA-Trial-ITD-Retargeting-AZR-AZR</v></cell><cell r="V5160" t="str"><v>Retargeting</v></cell><cell r="W5160" t="str"><v>Link Ad</v></cell><cell r="X5160" t="str"><v>1x1</v></cell></row><row r="5160"><cell r="AA5160"><v>43318</v></cell><cell r="AB5160" t="str"><v>USA_gaPMG_AZR_AZR_Q1_19_Direct-Social</v></cell><cell r="AC5160"><v>21358715</v></cell><cell r="AD5160"><v>720197</v></cell><cell r="AE5160" t="str"><v>Facebook</v></cell><cell r="AF5160"><v>3654128</v></cell><cell r="AG5160" t="str"><v>FACEBOOK»USA-Trial-ITD-Retargeting-AZR-AZR»1 x 1»SocialBan»LIA»ALL»CPA»RT»X»NA»SS»NA»FreeAcctRetargetingVMFB-750Hrs-ChD»PRC1RY</v></cell><cell r="AH5160"><v>223862747</v></cell><cell r="AI5160" t="str"><v>AzurePlatform_FreeAcctRetargetingVMFB-750Hrs-ChD_USA_1200x628_CAN_PLATFORM_English_Free Account_Standard_NA_SINU_T1_1</v></cell><cell r="AJ5160"><v>103034911</v></cell></row><row r="5161"><cell r="C5161" t="str"><v>43318FACEBOOK»USA-Trial-ITD-Retargeting-AZR-AZR»1 x 1»SocialBan»LIA»ALL»CPA»RT»X»NA»SS»NA»FreeAcctRetargetingVMFB-OnDemand-ChE»PRC1S0</v></cell><cell r="D5161" t="str"><v>43318224104899</v></cell><cell r="E5161" t="str"><v>43318103180610PRC1S0</v></cell><cell r="F5161" t="str"><v>DCM</v></cell><cell r="G5161" t="str"><v>https://azure.microsoft.com/en-us/free/virtual-machines/search/?OCID=AID%eexcid!_OLA_%ebuy!_%epid!_%ecid!</v></cell></row><row r="5161"><cell r="K5161" t="str"><v>August</v></cell><cell r="L5161"><v>43323</v></cell><cell r="M5161" t="str"><v>Tier 0</v></cell><cell r="N5161" t="str"><v>North America</v></cell><cell r="O5161" t="str"><v>United States</v></cell><cell r="P5161" t="str"><v>Trial</v></cell><cell r="Q5161" t="str"><v>Social</v></cell><cell r="R5161" t="str"><v>Azure</v></cell><cell r="S5161" t="str"><v>Apps & Infra</v></cell><cell r="T5161" t="str"><v>Developers & ITI's</v></cell><cell r="U5161" t="str"><v>USA-Trial-ITD-Retargeting-AZR-AZR</v></cell><cell r="V5161" t="str"><v>Retargeting</v></cell><cell r="W5161" t="str"><v>Link Ad</v></cell><cell r="X5161" t="str"><v>1x1</v></cell></row><row r="5161"><cell r="AA5161"><v>43318</v></cell><cell r="AB5161" t="str"><v>USA_gaPMG_AZR_AZR_Q1_19_Direct-Social</v></cell><cell r="AC5161"><v>21358715</v></cell><cell r="AD5161"><v>720197</v></cell><cell r="AE5161" t="str"><v>Facebook</v></cell><cell r="AF5161"><v>3654128</v></cell><cell r="AG5161" t="str"><v>FACEBOOK»USA-Trial-ITD-Retargeting-AZR-AZR»1 x 1»SocialBan»LIA»ALL»CPA»RT»X»NA»SS»NA»FreeAcctRetargetingVMFB-OnDemand-ChE»PRC1S0</v></cell><cell r="AH5161"><v>224104899</v></cell><cell r="AI5161" t="str"><v>AzurePlatform_FreeAcctRetargetingVMFB-OnDemand-ChE_USA_1200x628_CAN_PLATFORM_English_Free Account_Standard_NA_SINU_T2_1</v></cell><cell r="AJ5161"><v>103180610</v></cell></row><row r="5162"><cell r="C5162" t="str"><v>43318FACEBOOK»USA-Trial-ITD-Retargeting-AZR-AZR»1 x 1»SocialBan»CAN»ALL»CPA»RT»X»NA»SS»NA»FBCTCBrandinMotion»PRC1RT</v></cell><cell r="D5162" t="str"><v>43318224106069</v></cell><cell r="E5162" t="str"><v>43318103176812PRC1RT</v></cell><cell r="F5162" t="str"><v>DCM</v></cell><cell r="G5162" t="str"><v>https://signup.azure.com/?OCID=AID%eexcid!_OLA_%ebuy!_%epid!_%ecid!</v></cell></row><row r="5162"><cell r="K5162" t="str"><v>August</v></cell><cell r="L5162"><v>43323</v></cell><cell r="M5162" t="str"><v>Tier 0</v></cell><cell r="N5162" t="str"><v>North America</v></cell><cell r="O5162" t="str"><v>United States</v></cell><cell r="P5162" t="str"><v>Trial</v></cell><cell r="Q5162" t="str"><v>Social</v></cell><cell r="R5162" t="str"><v>Azure</v></cell><cell r="S5162" t="str"><v>Apps & Infra</v></cell><cell r="T5162" t="str"><v>Developers & ITI's</v></cell><cell r="U5162" t="str"><v>USA-Trial-ITD-Retargeting-AZR-AZR</v></cell><cell r="V5162" t="str"><v>Retargeting</v></cell><cell r="W5162" t="str"><v>Canvas Ad</v></cell><cell r="X5162" t="str"><v>1x1</v></cell></row><row r="5162"><cell r="AA5162"><v>43318</v></cell><cell r="AB5162" t="str"><v>USA_gaPMG_AZR_AZR_Q1_19_Direct-Social</v></cell><cell r="AC5162"><v>21358715</v></cell><cell r="AD5162"><v>720197</v></cell><cell r="AE5162" t="str"><v>Facebook</v></cell><cell r="AF5162"><v>3654128</v></cell><cell r="AG5162" t="str"><v>FACEBOOK»USA-Trial-ITD-Retargeting-AZR-AZR»1 x 1»SocialBan»CAN»ALL»CPA»RT»X»NA»SS»NA»FBCTCBrandinMotion»PRC1RT</v></cell><cell r="AH5162"><v>224106069</v></cell><cell r="AI5162" t="str"><v>AzurePlatform_FBCTCBrandinMotion_USA_10s_CAN_PLATFORM_English_Trial_Standard_STAN_TIN_T2_1</v></cell><cell r="AJ5162"><v>103176812</v></cell></row><row r="5163"><cell r="C5163" t="str"><v>43318FACEBOOK»USA-Trial-ITD-Trial Lookalike-AZR-AZR»1 x 1»SocialBan»CAN»ALL»CPA»LAL»X»NA»SS»NA»FBCTCBenefit2inMotion»PRC1M0</v></cell><cell r="D5163" t="str"><v>43318223862927</v></cell><cell r="E5163" t="str"><v>43318103043835PRC1M0</v></cell><cell r="F5163" t="str"><v>DCM</v></cell><cell r="G5163" t="str"><v>https://signup.azure.com/?OCID=AID%eexcid!_OLA_%ebuy!_%epid!_%ecid!</v></cell></row><row r="5163"><cell r="K5163" t="str"><v>August</v></cell><cell r="L5163"><v>43323</v></cell><cell r="M5163" t="str"><v>Tier 0</v></cell><cell r="N5163" t="str"><v>North America</v></cell><cell r="O5163" t="str"><v>United States</v></cell><cell r="P5163" t="str"><v>Trial</v></cell><cell r="Q5163" t="str"><v>Social</v></cell><cell r="R5163" t="str"><v>Azure</v></cell><cell r="S5163" t="str"><v>Apps & Infra</v></cell><cell r="T5163" t="str"><v>Developers & ITI's</v></cell><cell r="U5163" t="str"><v>USA-Trial-ITD-Trial Lookalike-AZR-AZR</v></cell><cell r="V5163" t="str"><v>Lookalike Targeting</v></cell><cell r="W5163" t="str"><v>Canvas Ad</v></cell><cell r="X5163" t="str"><v>1x1</v></cell></row><row r="5163"><cell r="AA5163"><v>43318</v></cell><cell r="AB5163" t="str"><v>USA_gaPMG_AZR_AZR_Q1_19_Direct-Social</v></cell><cell r="AC5163"><v>21358715</v></cell><cell r="AD5163"><v>720197</v></cell><cell r="AE5163" t="str"><v>Facebook</v></cell><cell r="AF5163"><v>3654128</v></cell><cell r="AG5163" t="str"><v>FACEBOOK»USA-Trial-ITD-Trial Lookalike-AZR-AZR»1 x 1»SocialBan»CAN»ALL»CPA»LAL»X»NA»SS»NA»FBCTCBenefit2inMotion»PRC1M0</v></cell><cell r="AH5163"><v>223862927</v></cell><cell r="AI5163" t="str"><v>AzurePlatform_FBCTCBenefit2inMotion_USA_10s_CAN_PLATFORM_English_Trial_Standard_STAN_TIN_T4_1</v></cell><cell r="AJ5163"><v>103043835</v></cell></row><row r="5164"><cell r="C5164" t="str"><v>43318FACEBOOK»USA-Trial-ITD-Trial Lookalike-AZR-AZR»1 x 1»SocialBan»CAN»ALL»CPA»LAL»X»NA»SS»NA»FBCTCBenefit2inMotion»PRC1M0</v></cell><cell r="D5164" t="str"><v>43318223862927</v></cell><cell r="E5164" t="str"><v>43318103178645PRC1M0</v></cell><cell r="F5164" t="str"><v>DCM</v></cell><cell r="G5164" t="str"><v>https://azure.microsoft.com/en-us/pricing/purchase-options/?v=18.19&OCID=AID%eexcid!_OLA_%ebuy!_%epid!_%ecid!</v></cell></row><row r="5164"><cell r="K5164" t="str"><v>August</v></cell><cell r="L5164"><v>43323</v></cell><cell r="M5164" t="str"><v>Tier 0</v></cell><cell r="N5164" t="str"><v>North America</v></cell><cell r="O5164" t="str"><v>United States</v></cell><cell r="P5164" t="str"><v>Trial</v></cell><cell r="Q5164" t="str"><v>Social</v></cell><cell r="R5164" t="str"><v>Azure</v></cell><cell r="S5164" t="str"><v>Apps & Infra</v></cell><cell r="T5164" t="str"><v>Developers & ITI's</v></cell><cell r="U5164" t="str"><v>USA-Trial-ITD-Trial Lookalike-AZR-AZR</v></cell><cell r="V5164" t="str"><v>Lookalike Targeting</v></cell><cell r="W5164" t="str"><v>Canvas Ad</v></cell><cell r="X5164" t="str"><v>1x1</v></cell></row><row r="5164"><cell r="AA5164"><v>43318</v></cell><cell r="AB5164" t="str"><v>USA_gaPMG_AZR_AZR_Q1_19_Direct-Social</v></cell><cell r="AC5164"><v>21358715</v></cell><cell r="AD5164"><v>720197</v></cell><cell r="AE5164" t="str"><v>Facebook</v></cell><cell r="AF5164"><v>3654128</v></cell><cell r="AG5164" t="str"><v>FACEBOOK»USA-Trial-ITD-Trial Lookalike-AZR-AZR»1 x 1»SocialBan»CAN»ALL»CPA»LAL»X»NA»SS»NA»FBCTCBenefit2inMotion»PRC1M0</v></cell><cell r="AH5164"><v>223862927</v></cell><cell r="AI5164" t="str"><v>AzurePlatform_FBCTCBenefit2inMotion_USA_10s_CAN_PLATFORM_English_Trial_Standard_STAN_TIN_T4_2</v></cell><cell r="AJ5164"><v>103178645</v></cell></row><row r="5165"><cell r="C5165" t="str"><v>43318FACEBOOK»USA-Trial-ITD-Trial Lookalike-AZR-AZR»1 x 1»SocialBan»LIA»ALL»CPA»LAL»X»NA»SS»NA»FreeAcctDeveloperFB-AnimatedData-Ch4»PRC1M8</v></cell><cell r="D5165" t="str"><v>43318223862933</v></cell><cell r="E5165" t="str"><v>43318103037935PRC1M8</v></cell><cell r="F5165" t="str"><v>DCM</v></cell></row><row r="5165"><cell r="K5165" t="str"><v>August</v></cell><cell r="L5165"><v>43323</v></cell><cell r="M5165" t="str"><v>Tier 0</v></cell><cell r="N5165" t="str"><v>North America</v></cell><cell r="O5165" t="str"><v>United States</v></cell><cell r="P5165" t="str"><v>Trial</v></cell><cell r="Q5165" t="str"><v>Social</v></cell><cell r="R5165" t="str"><v>Azure</v></cell><cell r="S5165" t="str"><v>Apps & Infra</v></cell><cell r="T5165" t="str"><v>Developers & ITI's</v></cell><cell r="U5165" t="str"><v>USA-Trial-ITD-Trial Lookalike-AZR-AZR</v></cell><cell r="V5165" t="str"><v>Lookalike Targeting</v></cell><cell r="W5165" t="str"><v>Link Ad</v></cell><cell r="X5165" t="str"><v>1x1</v></cell></row><row r="5165"><cell r="AA5165"><v>43318</v></cell><cell r="AB5165" t="str"><v>USA_gaPMG_AZR_AZR_Q1_19_Direct-Social</v></cell><cell r="AC5165"><v>21358715</v></cell><cell r="AD5165"><v>720197</v></cell><cell r="AE5165" t="str"><v>Facebook</v></cell><cell r="AF5165"><v>3654128</v></cell><cell r="AG5165" t="str"><v>FACEBOOK»USA-Trial-ITD-Trial Lookalike-AZR-AZR»1 x 1»SocialBan»LIA»ALL»CPA»LAL»X»NA»SS»NA»FreeAcctDeveloperFB-AnimatedData-Ch4»PRC1M8</v></cell><cell r="AH5165"><v>223862933</v></cell><cell r="AI5165" t="str"><v>AZR_FreeAcctDeveloperFB-AnimatedData-Ch4_USA_1200x1200_CAN_Direct_English_Trial_Standard_ANI_LEA_T4_2</v></cell><cell r="AJ5165"><v>103037935</v></cell></row><row r="5166"><cell r="C5166" t="str"><v>43318FACEBOOK»USA-Trial-ITD-Trial PayGo Lookalike-AZR-AZR»1 x 1»SocialBan»CAN»ALL»CPA»LAL»X»NA»SS»NA»FBCTCBenefit2inMotion»PRC1Q1</v></cell><cell r="D5166" t="str"><v>43318224104986</v></cell><cell r="E5166" t="str"><v>43318103043835PRC1Q1</v></cell><cell r="F5166" t="str"><v>DCM</v></cell><cell r="G5166" t="str"><v>https://signup.azure.com/?OCID=AID%eexcid!_OLA_%ebuy!_%epid!_%ecid!</v></cell></row><row r="5166"><cell r="K5166" t="str"><v>August</v></cell><cell r="L5166"><v>43323</v></cell><cell r="M5166" t="str"><v>Tier 0</v></cell><cell r="N5166" t="str"><v>North America</v></cell><cell r="O5166" t="str"><v>United States</v></cell><cell r="P5166" t="str"><v>Trial</v></cell><cell r="Q5166" t="str"><v>Social</v></cell><cell r="R5166" t="str"><v>Azure</v></cell><cell r="S5166" t="str"><v>Apps & Infra</v></cell><cell r="T5166" t="str"><v>Developers & ITI's</v></cell><cell r="U5166" t="str"><v>USA-Trial-ITD-Trial PayGo Lookalike-AZR-AZR</v></cell><cell r="V5166" t="str"><v>Lookalike Targeting</v></cell><cell r="W5166" t="str"><v>Canvas Ad</v></cell><cell r="X5166" t="str"><v>1x1</v></cell></row><row r="5166"><cell r="AA5166"><v>43318</v></cell><cell r="AB5166" t="str"><v>USA_gaPMG_AZR_AZR_Q1_19_Direct-Social</v></cell><cell r="AC5166"><v>21358715</v></cell><cell r="AD5166"><v>720197</v></cell><cell r="AE5166" t="str"><v>Facebook</v></cell><cell r="AF5166"><v>3654128</v></cell><cell r="AG5166" t="str"><v>FACEBOOK»USA-Trial-ITD-Trial PayGo Lookalike-AZR-AZR»1 x 1»SocialBan»CAN»ALL»CPA»LAL»X»NA»SS»NA»FBCTCBenefit2inMotion»PRC1Q1</v></cell><cell r="AH5166"><v>224104986</v></cell><cell r="AI5166" t="str"><v>AzurePlatform_FBCTCBenefit2inMotion_USA_10s_CAN_PLATFORM_English_Trial_Standard_STAN_TIN_T4_1</v></cell><cell r="AJ5166"><v>103043835</v></cell></row><row r="5167"><cell r="C5167" t="str"><v>43318FACEBOOK»USA-Trial-ITD-Trial PayGo Lookalike-AZR-AZR»1 x 1»SocialBan»CAN»ALL»CPA»LAL»X»NA»SS»NA»FBCTCBrandinMotion»PRC1Q3</v></cell><cell r="D5167" t="str"><v>43318223935349</v></cell><cell r="E5167" t="str"><v>43318103176812PRC1Q3</v></cell><cell r="F5167" t="str"><v>DCM</v></cell><cell r="G5167" t="str"><v>https://signup.azure.com/?OCID=AID%eexcid!_OLA_%ebuy!_%epid!_%ecid!</v></cell></row><row r="5167"><cell r="K5167" t="str"><v>August</v></cell><cell r="L5167"><v>43323</v></cell><cell r="M5167" t="str"><v>Tier 0</v></cell><cell r="N5167" t="str"><v>North America</v></cell><cell r="O5167" t="str"><v>United States</v></cell><cell r="P5167" t="str"><v>Trial</v></cell><cell r="Q5167" t="str"><v>Social</v></cell><cell r="R5167" t="str"><v>Azure</v></cell><cell r="S5167" t="str"><v>Apps & Infra</v></cell><cell r="T5167" t="str"><v>Developers & ITI's</v></cell><cell r="U5167" t="str"><v>USA-Trial-ITD-Trial PayGo Lookalike-AZR-AZR</v></cell><cell r="V5167" t="str"><v>Lookalike Targeting</v></cell><cell r="W5167" t="str"><v>Canvas Ad</v></cell><cell r="X5167" t="str"><v>1x1</v></cell></row><row r="5167"><cell r="AA5167"><v>43318</v></cell><cell r="AB5167" t="str"><v>USA_gaPMG_AZR_AZR_Q1_19_Direct-Social</v></cell><cell r="AC5167"><v>21358715</v></cell><cell r="AD5167"><v>720197</v></cell><cell r="AE5167" t="str"><v>Facebook</v></cell><cell r="AF5167"><v>3654128</v></cell><cell r="AG5167" t="str"><v>FACEBOOK»USA-Trial-ITD-Trial PayGo Lookalike-AZR-AZR»1 x 1»SocialBan»CAN»ALL»CPA»LAL»X»NA»SS»NA»FBCTCBrandinMotion»PRC1Q3</v></cell><cell r="AH5167"><v>223935349</v></cell><cell r="AI5167" t="str"><v>AzurePlatform_FBCTCBrandinMotion_USA_10s_CAN_PLATFORM_English_Trial_Standard_STAN_TIN_T2_1</v></cell><cell r="AJ5167"><v>103176812</v></cell></row><row r="5168"><cell r="C5168" t="str"><v>43318FACEBOOK»USA-Trial-ITD-Trial PayGo Lookalike-AZR-AZR»1 x 1»SocialBan»CAN»ALL»CPA»LAL»X»NA»SS»NA»FBCTCBrandinMotion»PRC1Q3</v></cell><cell r="D5168" t="str"><v>43318223935349</v></cell><cell r="E5168" t="str"><v>43318103032823PRC1Q3</v></cell><cell r="F5168" t="str"><v>DCM</v></cell><cell r="G5168" t="str"><v>https://azure.microsoft.com/en-us/pricing/purchase-options/?v=18.19&OCID=AID%eexcid!_OLA_%ebuy!_%epid!_%ecid!</v></cell></row><row r="5168"><cell r="K5168" t="str"><v>August</v></cell><cell r="L5168"><v>43323</v></cell><cell r="M5168" t="str"><v>Tier 0</v></cell><cell r="N5168" t="str"><v>North America</v></cell><cell r="O5168" t="str"><v>United States</v></cell><cell r="P5168" t="str"><v>Trial</v></cell><cell r="Q5168" t="str"><v>Social</v></cell><cell r="R5168" t="str"><v>Azure</v></cell><cell r="S5168" t="str"><v>Apps & Infra</v></cell><cell r="T5168" t="str"><v>Developers & ITI's</v></cell><cell r="U5168" t="str"><v>USA-Trial-ITD-Trial PayGo Lookalike-AZR-AZR</v></cell><cell r="V5168" t="str"><v>Lookalike Targeting</v></cell><cell r="W5168" t="str"><v>Canvas Ad</v></cell><cell r="X5168" t="str"><v>1x1</v></cell></row><row r="5168"><cell r="AA5168"><v>43318</v></cell><cell r="AB5168" t="str"><v>USA_gaPMG_AZR_AZR_Q1_19_Direct-Social</v></cell><cell r="AC5168"><v>21358715</v></cell><cell r="AD5168"><v>720197</v></cell><cell r="AE5168" t="str"><v>Facebook</v></cell><cell r="AF5168"><v>3654128</v></cell><cell r="AG5168" t="str"><v>FACEBOOK»USA-Trial-ITD-Trial PayGo Lookalike-AZR-AZR»1 x 1»SocialBan»CAN»ALL»CPA»LAL»X»NA»SS»NA»FBCTCBrandinMotion»PRC1Q3</v></cell><cell r="AH5168"><v>223935349</v></cell><cell r="AI5168" t="str"><v>AzurePlatform_FBCTCBrandinMotion_USA_10s_CAN_PLATFORM_English_Trial_Standard_STAN_TIN_T2_2</v></cell><cell r="AJ5168"><v>103032823</v></cell></row><row r="5169"><cell r="C5169" t="str"><v>43318FACEBOOK»USA-Trial-ITD-Trial PayGo Lookalike-AZR-AZR»1 x 1»SocialBan»CAN»ALL»CPA»LAL»X»NA»SS»NA»FBCTCBenefitinMotion»PRC1Q2</v></cell><cell r="D5169" t="str"><v>43318223862960</v></cell><cell r="E5169" t="str"><v>43318103176836PRC1Q2</v></cell><cell r="F5169" t="str"><v>DCM</v></cell><cell r="G5169" t="str"><v>https://azure.microsoft.com/en-us/pricing/purchase-options/?v=18.19&OCID=AID%eexcid!_OLA_%ebuy!_%epid!_%ecid!</v></cell></row><row r="5169"><cell r="K5169" t="str"><v>August</v></cell><cell r="L5169"><v>43323</v></cell><cell r="M5169" t="str"><v>Tier 0</v></cell><cell r="N5169" t="str"><v>North America</v></cell><cell r="O5169" t="str"><v>United States</v></cell><cell r="P5169" t="str"><v>Trial</v></cell><cell r="Q5169" t="str"><v>Social</v></cell><cell r="R5169" t="str"><v>Azure</v></cell><cell r="S5169" t="str"><v>Apps & Infra</v></cell><cell r="T5169" t="str"><v>Developers & ITI's</v></cell><cell r="U5169" t="str"><v>USA-Trial-ITD-Trial PayGo Lookalike-AZR-AZR</v></cell><cell r="V5169" t="str"><v>Lookalike Targeting</v></cell><cell r="W5169" t="str"><v>Canvas Ad</v></cell><cell r="X5169" t="str"><v>1x1</v></cell></row><row r="5169"><cell r="AA5169"><v>43318</v></cell><cell r="AB5169" t="str"><v>USA_gaPMG_AZR_AZR_Q1_19_Direct-Social</v></cell><cell r="AC5169"><v>21358715</v></cell><cell r="AD5169"><v>720197</v></cell><cell r="AE5169" t="str"><v>Facebook</v></cell><cell r="AF5169"><v>3654128</v></cell><cell r="AG5169" t="str"><v>FACEBOOK»USA-Trial-ITD-Trial PayGo Lookalike-AZR-AZR»1 x 1»SocialBan»CAN»ALL»CPA»LAL»X»NA»SS»NA»FBCTCBenefitinMotion»PRC1Q2</v></cell><cell r="AH5169"><v>223862960</v></cell><cell r="AI5169" t="str"><v>AzurePlatform_FBCTCBenefitinMotion_USA_10s_CAN_PLATFORM_English_Trial_Standard_STAN_TIN_T3_2</v></cell><cell r="AJ5169"><v>103176836</v></cell></row><row r="5170"><cell r="C5170" t="str"><v>43318FACEBOOK»USA-Trial-ITD-Trial PayGo Lookalike-AZR-AZR»1 x 1»SocialBan»LIA»ALL»CPA»LAL»X»NA»SS»NA»FreeAcctDeveloperFB-AnimatedGeneric-Ch1»PRC1Q6</v></cell><cell r="D5170" t="str"><v>43318224106129</v></cell><cell r="E5170" t="str"><v>43318103176851PRC1Q6</v></cell><cell r="F5170" t="str"><v>DCM</v></cell><cell r="G5170" t="str"><v>https://azure.microsoft.com/en-us/free/search/?OCID=AID%eexcid!_OLA_%ebuy!_%epid!_%ecid!</v></cell></row><row r="5170"><cell r="K5170" t="str"><v>August</v></cell><cell r="L5170"><v>43323</v></cell><cell r="M5170" t="str"><v>Tier 0</v></cell><cell r="N5170" t="str"><v>North America</v></cell><cell r="O5170" t="str"><v>United States</v></cell><cell r="P5170" t="str"><v>Trial</v></cell><cell r="Q5170" t="str"><v>Social</v></cell><cell r="R5170" t="str"><v>Azure</v></cell><cell r="S5170" t="str"><v>Apps & Infra</v></cell><cell r="T5170" t="str"><v>Developers & ITI's</v></cell><cell r="U5170" t="str"><v>USA-Trial-ITD-Trial PayGo Lookalike-AZR-AZR</v></cell><cell r="V5170" t="str"><v>Lookalike Targeting</v></cell><cell r="W5170" t="str"><v>Link Ad</v></cell><cell r="X5170" t="str"><v>1x1</v></cell></row><row r="5170"><cell r="AA5170"><v>43318</v></cell><cell r="AB5170" t="str"><v>USA_gaPMG_AZR_AZR_Q1_19_Direct-Social</v></cell><cell r="AC5170"><v>21358715</v></cell><cell r="AD5170"><v>720197</v></cell><cell r="AE5170" t="str"><v>Facebook</v></cell><cell r="AF5170"><v>3654128</v></cell><cell r="AG5170" t="str"><v>FACEBOOK»USA-Trial-ITD-Trial PayGo Lookalike-AZR-AZR»1 x 1»SocialBan»LIA»ALL»CPA»LAL»X»NA»SS»NA»FreeAcctDeveloperFB-AnimatedGeneric-Ch1»PRC1Q6</v></cell><cell r="AH5170"><v>224106129</v></cell><cell r="AI5170" t="str"><v>AZR_FreeAcctDeveloperFB-AnimatedGeneric-Ch1_USA_1200x1200_CAN_Direct_English_Trial_Standard_ANI_LEA_T1_2</v></cell><cell r="AJ5170"><v>103176851</v></cell></row><row r="5171"><cell r="C5171" t="str"><v>43318FACEBOOK»USA-Trial-ITD-Trial PayGo Lookalike-AZR-AZR»1 x 1»SocialBan»CCA»ALL»CPA»LAL»X»NA»SS»NA»Azure Developer Facebook Collections»PRSH6K</v></cell><cell r="D5171" t="str"><v>43318225217676</v></cell><cell r="E5171" t="str"><v>43318103776921PRSH6K</v></cell><cell r="F5171" t="str"><v>DCM</v></cell><cell r="G5171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171"><cell r="K5171" t="str"><v>August</v></cell><cell r="L5171"><v>43323</v></cell><cell r="M5171" t="str"><v>Tier 0</v></cell><cell r="N5171" t="str"><v>North America</v></cell><cell r="O5171" t="str"><v>United States</v></cell><cell r="P5171" t="str"><v>Trial</v></cell><cell r="Q5171" t="str"><v>Social</v></cell><cell r="R5171" t="str"><v>Azure</v></cell><cell r="S5171" t="str"><v>Apps & Infra</v></cell><cell r="T5171" t="str"><v>Developers & ITI's</v></cell><cell r="U5171" t="str"><v>USA-Trial-ITD-Trial PayGo Lookalike-AZR-AZR</v></cell><cell r="V5171" t="str"><v>Lookalike Targeting</v></cell><cell r="W5171" t="str"><v>Canvas Collection Ad</v></cell><cell r="X5171" t="str"><v>1x1</v></cell></row><row r="5171"><cell r="AA5171"><v>43318</v></cell><cell r="AB5171" t="str"><v>USA_gaPMG_AZR_AZR_Q1_19_Direct-Social</v></cell><cell r="AC5171"><v>21358715</v></cell><cell r="AD5171"><v>720197</v></cell><cell r="AE5171" t="str"><v>Facebook</v></cell><cell r="AF5171"><v>3654128</v></cell><cell r="AG5171" t="str"><v>FACEBOOK»USA-Trial-ITD-Trial PayGo Lookalike-AZR-AZR»1 x 1»SocialBan»CCA»ALL»CPA»LAL»X»NA»SS»NA»Azure Developer Facebook Collections»PRSH6K</v></cell><cell r="AH5171"><v>225217676</v></cell><cell r="AI5171" t="str"><v>AZR_FBCollections-FreeStuffTryAzureFreeCTA-Img5_USA_1200x182_SOC_Plat_EN_NA_Standard_NA_TIN_T1_5</v></cell><cell r="AJ5171"><v>103776921</v></cell></row><row r="5172"><cell r="C5172" t="str"><v>43318FACEBOOK»USA-Trial-ITD-Trial PayGo Lookalike-AZR-AZR»1 x 1»SocialBan»CCA»ALL»CPA»LAL»X»NA»SS»NA»Azure Developer Facebook Collections»PRSH6K</v></cell><cell r="D5172" t="str"><v>43318225217676</v></cell><cell r="E5172" t="str"><v>43318103873631PRSH6K</v></cell><cell r="F5172" t="str"><v>DCM</v></cell><cell r="G5172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172"><cell r="K5172" t="str"><v>August</v></cell><cell r="L5172"><v>43323</v></cell><cell r="M5172" t="str"><v>Tier 0</v></cell><cell r="N5172" t="str"><v>North America</v></cell><cell r="O5172" t="str"><v>United States</v></cell><cell r="P5172" t="str"><v>Trial</v></cell><cell r="Q5172" t="str"><v>Social</v></cell><cell r="R5172" t="str"><v>Azure</v></cell><cell r="S5172" t="str"><v>Apps & Infra</v></cell><cell r="T5172" t="str"><v>Developers & ITI's</v></cell><cell r="U5172" t="str"><v>USA-Trial-ITD-Trial PayGo Lookalike-AZR-AZR</v></cell><cell r="V5172" t="str"><v>Lookalike Targeting</v></cell><cell r="W5172" t="str"><v>Canvas Collection Ad</v></cell><cell r="X5172" t="str"><v>1x1</v></cell></row><row r="5172"><cell r="AA5172"><v>43318</v></cell><cell r="AB5172" t="str"><v>USA_gaPMG_AZR_AZR_Q1_19_Direct-Social</v></cell><cell r="AC5172"><v>21358715</v></cell><cell r="AD5172"><v>720197</v></cell><cell r="AE5172" t="str"><v>Facebook</v></cell><cell r="AF5172"><v>3654128</v></cell><cell r="AG5172" t="str"><v>FACEBOOK»USA-Trial-ITD-Trial PayGo Lookalike-AZR-AZR»1 x 1»SocialBan»CCA»ALL»CPA»LAL»X»NA»SS»NA»Azure Developer Facebook Collections»PRSH6K</v></cell><cell r="AH5172"><v>225217676</v></cell><cell r="AI5172" t="str"><v>AZR_FBCollections-OSSTryAzureFreeCTA-Img3_USA_1200x182_SOC_Plat_EN_NA_Standard_NA_TIN_T1_3</v></cell><cell r="AJ5172"><v>103873631</v></cell></row><row r="5173"><cell r="C5173" t="str"><v>43318FACEBOOK»USA-Trial-ITD-Trial PayGo Lookalike-AZR-AZR»1 x 1»SocialBan»CCA»ALL»CPA»LAL»X»NA»SS»NA»Azure Developer Facebook Collections»PRSH6K</v></cell><cell r="D5173" t="str"><v>43318225217676</v></cell><cell r="E5173" t="str"><v>43318103874423PRSH6K</v></cell><cell r="F5173" t="str"><v>DCM</v></cell><cell r="G5173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173"><cell r="K5173" t="str"><v>August</v></cell><cell r="L5173"><v>43323</v></cell><cell r="M5173" t="str"><v>Tier 0</v></cell><cell r="N5173" t="str"><v>North America</v></cell><cell r="O5173" t="str"><v>United States</v></cell><cell r="P5173" t="str"><v>Trial</v></cell><cell r="Q5173" t="str"><v>Social</v></cell><cell r="R5173" t="str"><v>Azure</v></cell><cell r="S5173" t="str"><v>Apps & Infra</v></cell><cell r="T5173" t="str"><v>Developers & ITI's</v></cell><cell r="U5173" t="str"><v>USA-Trial-ITD-Trial PayGo Lookalike-AZR-AZR</v></cell><cell r="V5173" t="str"><v>Lookalike Targeting</v></cell><cell r="W5173" t="str"><v>Canvas Collection Ad</v></cell><cell r="X5173" t="str"><v>1x1</v></cell></row><row r="5173"><cell r="AA5173"><v>43318</v></cell><cell r="AB5173" t="str"><v>USA_gaPMG_AZR_AZR_Q1_19_Direct-Social</v></cell><cell r="AC5173"><v>21358715</v></cell><cell r="AD5173"><v>720197</v></cell><cell r="AE5173" t="str"><v>Facebook</v></cell><cell r="AF5173"><v>3654128</v></cell><cell r="AG5173" t="str"><v>FACEBOOK»USA-Trial-ITD-Trial PayGo Lookalike-AZR-AZR»1 x 1»SocialBan»CCA»ALL»CPA»LAL»X»NA»SS»NA»Azure Developer Facebook Collections»PRSH6K</v></cell><cell r="AH5173"><v>225217676</v></cell><cell r="AI5173" t="str"><v>AZR_FBCollections-TryAzureFreeCTA-Img1_USA_1200x182_SOC_Plat_EN_NA_Standard_NA_TIN_T1_1</v></cell><cell r="AJ5173"><v>103874423</v></cell></row><row r="5174"><cell r="C5174" t="str"><v>43318FACEBOOK»USA-Trial-ITD-Retargeting-AZR-AZR»1 x 1»SocialBan»CCA»ALL»CPA»RT»X»NA»SS»NA»Azure Developer Facebook Collections»PRSGY7</v></cell><cell r="D5174" t="str"><v>43318225283585</v></cell><cell r="E5174" t="str"><v>43318103773177PRSGY7</v></cell><cell r="F5174" t="str"><v>DCM</v></cell><cell r="G5174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174"><cell r="K5174" t="str"><v>August</v></cell><cell r="L5174"><v>43323</v></cell><cell r="M5174" t="str"><v>Tier 0</v></cell><cell r="N5174" t="str"><v>North America</v></cell><cell r="O5174" t="str"><v>United States</v></cell><cell r="P5174" t="str"><v>Trial</v></cell><cell r="Q5174" t="str"><v>Social</v></cell><cell r="R5174" t="str"><v>Azure</v></cell><cell r="S5174" t="str"><v>Apps & Infra</v></cell><cell r="T5174" t="str"><v>Developers & ITI's</v></cell><cell r="U5174" t="str"><v>USA-Trial-ITD-Retargeting-AZR-AZR</v></cell><cell r="V5174" t="str"><v>Retargeting</v></cell><cell r="W5174" t="str"><v>Canvas Collection Ad</v></cell><cell r="X5174" t="str"><v>1x1</v></cell></row><row r="5174"><cell r="AA5174"><v>43318</v></cell><cell r="AB5174" t="str"><v>USA_gaPMG_AZR_AZR_Q1_19_Direct-Social</v></cell><cell r="AC5174"><v>21358715</v></cell><cell r="AD5174"><v>720197</v></cell><cell r="AE5174" t="str"><v>Facebook</v></cell><cell r="AF5174"><v>3654128</v></cell><cell r="AG5174" t="str"><v>FACEBOOK»USA-Trial-ITD-Retargeting-AZR-AZR»1 x 1»SocialBan»CCA»ALL»CPA»RT»X»NA»SS»NA»Azure Developer Facebook Collections»PRSGY7</v></cell><cell r="AH5174"><v>225283585</v></cell><cell r="AI5174" t="str"><v>AZR_FBCollections-AITryAzureFreeCTA-Img2_USA_1200x182_SOC_Plat_EN_NA_Standard_NA_TIN_T1_2</v></cell><cell r="AJ5174"><v>103773177</v></cell></row><row r="5175"><cell r="C5175" t="str"><v>43318FACEBOOK»USA-Trial-ITD-Retargeting-AZR-AZR»1 x 1»SocialBan»CCA»ALL»CPA»RT»X»NA»SS»NA»Azure Developer Facebook Collections»PRSGY7</v></cell><cell r="D5175" t="str"><v>43318225283585</v></cell><cell r="E5175" t="str"><v>43318103776921PRSGY7</v></cell><cell r="F5175" t="str"><v>DCM</v></cell><cell r="G5175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175"><cell r="K5175" t="str"><v>August</v></cell><cell r="L5175"><v>43323</v></cell><cell r="M5175" t="str"><v>Tier 0</v></cell><cell r="N5175" t="str"><v>North America</v></cell><cell r="O5175" t="str"><v>United States</v></cell><cell r="P5175" t="str"><v>Trial</v></cell><cell r="Q5175" t="str"><v>Social</v></cell><cell r="R5175" t="str"><v>Azure</v></cell><cell r="S5175" t="str"><v>Apps & Infra</v></cell><cell r="T5175" t="str"><v>Developers & ITI's</v></cell><cell r="U5175" t="str"><v>USA-Trial-ITD-Retargeting-AZR-AZR</v></cell><cell r="V5175" t="str"><v>Retargeting</v></cell><cell r="W5175" t="str"><v>Canvas Collection Ad</v></cell><cell r="X5175" t="str"><v>1x1</v></cell></row><row r="5175"><cell r="AA5175"><v>43318</v></cell><cell r="AB5175" t="str"><v>USA_gaPMG_AZR_AZR_Q1_19_Direct-Social</v></cell><cell r="AC5175"><v>21358715</v></cell><cell r="AD5175"><v>720197</v></cell><cell r="AE5175" t="str"><v>Facebook</v></cell><cell r="AF5175"><v>3654128</v></cell><cell r="AG5175" t="str"><v>FACEBOOK»USA-Trial-ITD-Retargeting-AZR-AZR»1 x 1»SocialBan»CCA»ALL»CPA»RT»X»NA»SS»NA»Azure Developer Facebook Collections»PRSGY7</v></cell><cell r="AH5175"><v>225283585</v></cell><cell r="AI5175" t="str"><v>AZR_FBCollections-FreeStuffTryAzureFreeCTA-Img5_USA_1200x182_SOC_Plat_EN_NA_Standard_NA_TIN_T1_5</v></cell><cell r="AJ5175"><v>103776921</v></cell></row><row r="5176"><cell r="C5176" t="str"><v>43318FACEBOOK»USA-Trial-ITD-Retargeting-AZR-AZR»1 x 1»SocialBan»CCA»ALL»CPA»RT»X»NA»SS»NA»Azure Developer Facebook Collections»PRSGY7</v></cell><cell r="D5176" t="str"><v>43318225283585</v></cell><cell r="E5176" t="str"><v>43318103873631PRSGY7</v></cell><cell r="F5176" t="str"><v>DCM</v></cell><cell r="G5176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176"><cell r="K5176" t="str"><v>August</v></cell><cell r="L5176"><v>43323</v></cell><cell r="M5176" t="str"><v>Tier 0</v></cell><cell r="N5176" t="str"><v>North America</v></cell><cell r="O5176" t="str"><v>United States</v></cell><cell r="P5176" t="str"><v>Trial</v></cell><cell r="Q5176" t="str"><v>Social</v></cell><cell r="R5176" t="str"><v>Azure</v></cell><cell r="S5176" t="str"><v>Apps & Infra</v></cell><cell r="T5176" t="str"><v>Developers & ITI's</v></cell><cell r="U5176" t="str"><v>USA-Trial-ITD-Retargeting-AZR-AZR</v></cell><cell r="V5176" t="str"><v>Retargeting</v></cell><cell r="W5176" t="str"><v>Canvas Collection Ad</v></cell><cell r="X5176" t="str"><v>1x1</v></cell></row><row r="5176"><cell r="AA5176"><v>43318</v></cell><cell r="AB5176" t="str"><v>USA_gaPMG_AZR_AZR_Q1_19_Direct-Social</v></cell><cell r="AC5176"><v>21358715</v></cell><cell r="AD5176"><v>720197</v></cell><cell r="AE5176" t="str"><v>Facebook</v></cell><cell r="AF5176"><v>3654128</v></cell><cell r="AG5176" t="str"><v>FACEBOOK»USA-Trial-ITD-Retargeting-AZR-AZR»1 x 1»SocialBan»CCA»ALL»CPA»RT»X»NA»SS»NA»Azure Developer Facebook Collections»PRSGY7</v></cell><cell r="AH5176"><v>225283585</v></cell><cell r="AI5176" t="str"><v>AZR_FBCollections-OSSTryAzureFreeCTA-Img3_USA_1200x182_SOC_Plat_EN_NA_Standard_NA_TIN_T1_3</v></cell><cell r="AJ5176"><v>103873631</v></cell></row><row r="5177"><cell r="C5177" t="str"><v>43318FACEBOOK»USA-Trial-ITD-Retargeting-AZR-AZR»1 x 1»SocialBan»CCA»ALL»CPA»RT»X»NA»SS»NA»Azure Developer Facebook Collections»PRSGY7</v></cell><cell r="D5177" t="str"><v>43318225283585</v></cell><cell r="E5177" t="str"><v>43318103874423PRSGY7</v></cell><cell r="F5177" t="str"><v>DCM</v></cell><cell r="G5177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177"><cell r="K5177" t="str"><v>August</v></cell><cell r="L5177"><v>43323</v></cell><cell r="M5177" t="str"><v>Tier 0</v></cell><cell r="N5177" t="str"><v>North America</v></cell><cell r="O5177" t="str"><v>United States</v></cell><cell r="P5177" t="str"><v>Trial</v></cell><cell r="Q5177" t="str"><v>Social</v></cell><cell r="R5177" t="str"><v>Azure</v></cell><cell r="S5177" t="str"><v>Apps & Infra</v></cell><cell r="T5177" t="str"><v>Developers & ITI's</v></cell><cell r="U5177" t="str"><v>USA-Trial-ITD-Retargeting-AZR-AZR</v></cell><cell r="V5177" t="str"><v>Retargeting</v></cell><cell r="W5177" t="str"><v>Canvas Collection Ad</v></cell><cell r="X5177" t="str"><v>1x1</v></cell></row><row r="5177"><cell r="AA5177"><v>43318</v></cell><cell r="AB5177" t="str"><v>USA_gaPMG_AZR_AZR_Q1_19_Direct-Social</v></cell><cell r="AC5177"><v>21358715</v></cell><cell r="AD5177"><v>720197</v></cell><cell r="AE5177" t="str"><v>Facebook</v></cell><cell r="AF5177"><v>3654128</v></cell><cell r="AG5177" t="str"><v>FACEBOOK»USA-Trial-ITD-Retargeting-AZR-AZR»1 x 1»SocialBan»CCA»ALL»CPA»RT»X»NA»SS»NA»Azure Developer Facebook Collections»PRSGY7</v></cell><cell r="AH5177"><v>225283585</v></cell><cell r="AI5177" t="str"><v>AZR_FBCollections-TryAzureFreeCTA-Img1_USA_1200x182_SOC_Plat_EN_NA_Standard_NA_TIN_T1_1</v></cell><cell r="AJ5177"><v>103874423</v></cell></row><row r="5178"><cell r="C5178" t="str"><v>43318FACEBOOK»USA-Trial-ITD-Trial Lookalike-AZR-AZR»1 x 1»SocialBan»CCA»ALL»CPA»LAL»X»NA»SS»NA»Azure Developer Facebook Collections»PRSH0N</v></cell><cell r="D5178" t="str"><v>43318225282481</v></cell><cell r="E5178" t="str"><v>43318103873631PRSH0N</v></cell><cell r="F5178" t="str"><v>DCM</v></cell><cell r="G5178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178"><cell r="K5178" t="str"><v>August</v></cell><cell r="L5178"><v>43323</v></cell><cell r="M5178" t="str"><v>Tier 0</v></cell><cell r="N5178" t="str"><v>North America</v></cell><cell r="O5178" t="str"><v>United States</v></cell><cell r="P5178" t="str"><v>Trial</v></cell><cell r="Q5178" t="str"><v>Social</v></cell><cell r="R5178" t="str"><v>Azure</v></cell><cell r="S5178" t="str"><v>Apps & Infra</v></cell><cell r="T5178" t="str"><v>Developers & ITI's</v></cell><cell r="U5178" t="str"><v>USA-Trial-ITD-Trial Lookalike-AZR-AZR</v></cell><cell r="V5178" t="str"><v>Lookalike Targeting</v></cell><cell r="W5178" t="str"><v>Canvas Collection Ad</v></cell><cell r="X5178" t="str"><v>1x1</v></cell></row><row r="5178"><cell r="AA5178"><v>43318</v></cell><cell r="AB5178" t="str"><v>USA_gaPMG_AZR_AZR_Q1_19_Direct-Social</v></cell><cell r="AC5178"><v>21358715</v></cell><cell r="AD5178"><v>720197</v></cell><cell r="AE5178" t="str"><v>Facebook</v></cell><cell r="AF5178"><v>3654128</v></cell><cell r="AG5178" t="str"><v>FACEBOOK»USA-Trial-ITD-Trial Lookalike-AZR-AZR»1 x 1»SocialBan»CCA»ALL»CPA»LAL»X»NA»SS»NA»Azure Developer Facebook Collections»PRSH0N</v></cell><cell r="AH5178"><v>225282481</v></cell><cell r="AI5178" t="str"><v>AZR_FBCollections-OSSTryAzureFreeCTA-Img3_USA_1200x182_SOC_Plat_EN_NA_Standard_NA_TIN_T1_3</v></cell><cell r="AJ5178"><v>103873631</v></cell></row><row r="5179"><cell r="C5179" t="str"><v>43318FACEBOOK»USA-Trial-ITD-Trial Lookalike-AZR-AZR»1 x 1»SocialBan»CCA»ALL»CPA»LAL»X»NA»SS»NA»Azure Developer Facebook Collections»PRSH0N</v></cell><cell r="D5179" t="str"><v>43318225282481</v></cell><cell r="E5179" t="str"><v>43318103874423PRSH0N</v></cell><cell r="F5179" t="str"><v>DCM</v></cell><cell r="G517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179"><cell r="K5179" t="str"><v>August</v></cell><cell r="L5179"><v>43323</v></cell><cell r="M5179" t="str"><v>Tier 0</v></cell><cell r="N5179" t="str"><v>North America</v></cell><cell r="O5179" t="str"><v>United States</v></cell><cell r="P5179" t="str"><v>Trial</v></cell><cell r="Q5179" t="str"><v>Social</v></cell><cell r="R5179" t="str"><v>Azure</v></cell><cell r="S5179" t="str"><v>Apps & Infra</v></cell><cell r="T5179" t="str"><v>Developers & ITI's</v></cell><cell r="U5179" t="str"><v>USA-Trial-ITD-Trial Lookalike-AZR-AZR</v></cell><cell r="V5179" t="str"><v>Lookalike Targeting</v></cell><cell r="W5179" t="str"><v>Canvas Collection Ad</v></cell><cell r="X5179" t="str"><v>1x1</v></cell></row><row r="5179"><cell r="AA5179"><v>43318</v></cell><cell r="AB5179" t="str"><v>USA_gaPMG_AZR_AZR_Q1_19_Direct-Social</v></cell><cell r="AC5179"><v>21358715</v></cell><cell r="AD5179"><v>720197</v></cell><cell r="AE5179" t="str"><v>Facebook</v></cell><cell r="AF5179"><v>3654128</v></cell><cell r="AG5179" t="str"><v>FACEBOOK»USA-Trial-ITD-Trial Lookalike-AZR-AZR»1 x 1»SocialBan»CCA»ALL»CPA»LAL»X»NA»SS»NA»Azure Developer Facebook Collections»PRSH0N</v></cell><cell r="AH5179"><v>225282481</v></cell><cell r="AI5179" t="str"><v>AZR_FBCollections-TryAzureFreeCTA-Img1_USA_1200x182_SOC_Plat_EN_NA_Standard_NA_TIN_T1_1</v></cell><cell r="AJ5179"><v>103874423</v></cell></row><row r="5180"><cell r="C5180" t="str"><v>43318INSTAGRAM»USA-Trial-ITD-Interest Prospecting-AZR-AZR»1 x 1»SocialBan»CAN»ALL»CPA»PRO»X»NA»SS»NA»IGCTCBenefit2inMotion»PRC2PD</v></cell><cell r="D5180" t="str"><v>43318223933084</v></cell><cell r="E5180" t="str"><v>43318103050786PRC2PD</v></cell><cell r="F5180" t="str"><v>DCM</v></cell><cell r="G5180" t="str"><v>https://azure.microsoft.com/en-us/pricing/purchase-options/?v=18.19&OCID=AID%eexcid!_OLA_%ebuy!_%epid!_%ecid!</v></cell></row><row r="5180"><cell r="K5180" t="str"><v>August</v></cell><cell r="L5180"><v>43323</v></cell><cell r="M5180" t="str"><v>Tier 0</v></cell><cell r="N5180" t="str"><v>North America</v></cell><cell r="O5180" t="str"><v>United States</v></cell><cell r="P5180" t="str"><v>Trial</v></cell><cell r="Q5180" t="str"><v>Social</v></cell><cell r="R5180" t="str"><v>Azure</v></cell><cell r="S5180" t="str"><v>Apps & Infra</v></cell><cell r="T5180" t="str"><v>Developers & ITI's</v></cell><cell r="U5180" t="str"><v>USA-Trial-ITD-Interest Prospecting-AZR-AZR</v></cell><cell r="V5180" t="str"><v>Prospecting</v></cell><cell r="W5180" t="str"><v>Canvas Ad</v></cell><cell r="X5180" t="str"><v>1x1</v></cell></row><row r="5180"><cell r="AA5180"><v>43318</v></cell><cell r="AB5180" t="str"><v>USA_gaPMG_AZR_AZR_Q1_19_Direct-Social</v></cell><cell r="AC5180"><v>21358715</v></cell><cell r="AD5180"><v>720197</v></cell><cell r="AE5180" t="str"><v>Facebook - Instagram</v></cell><cell r="AF5180"><v>3654128</v></cell><cell r="AG5180" t="str"><v>INSTAGRAM»USA-Trial-ITD-Interest Prospecting-AZR-AZR»1 x 1»SocialBan»CAN»ALL»CPA»PRO»X»NA»SS»NA»IGCTCBenefit2inMotion»PRC2PD</v></cell><cell r="AH5180"><v>223933084</v></cell><cell r="AI5180" t="str"><v>AzurePlatform_IGCTCBrandinMotion_USA_10s_CAN_PLATFORM_English_Trial_Standard_STAN_TIN_T2_2</v></cell><cell r="AJ5180"><v>103050786</v></cell></row><row r="5181"><cell r="C5181" t="str"><v>43318INSTAGRAM»USA-Trial-ITD-Interest Prospecting-AZR-AZR»1 x 1»SocialBan»CAN»ALL»CPA»PRO»X»NA»SS»NA»IGCTCBrandinMotion»PRC2PB</v></cell><cell r="D5181" t="str"><v>43318223862690</v></cell><cell r="E5181" t="str"><v>43318103050783PRC2PB</v></cell><cell r="F5181" t="str"><v>DCM</v></cell><cell r="G5181" t="str"><v>https://signup.azure.com/?OCID=AID%eexcid!_OLA_%ebuy!_%epid!_%ecid!</v></cell></row><row r="5181"><cell r="K5181" t="str"><v>August</v></cell><cell r="L5181"><v>43323</v></cell><cell r="M5181" t="str"><v>Tier 0</v></cell><cell r="N5181" t="str"><v>North America</v></cell><cell r="O5181" t="str"><v>United States</v></cell><cell r="P5181" t="str"><v>Trial</v></cell><cell r="Q5181" t="str"><v>Social</v></cell><cell r="R5181" t="str"><v>Azure</v></cell><cell r="S5181" t="str"><v>Apps & Infra</v></cell><cell r="T5181" t="str"><v>Developers & ITI's</v></cell><cell r="U5181" t="str"><v>USA-Trial-ITD-Interest Prospecting-AZR-AZR</v></cell><cell r="V5181" t="str"><v>Prospecting</v></cell><cell r="W5181" t="str"><v>Canvas Ad</v></cell><cell r="X5181" t="str"><v>1x1</v></cell></row><row r="5181"><cell r="AA5181"><v>43318</v></cell><cell r="AB5181" t="str"><v>USA_gaPMG_AZR_AZR_Q1_19_Direct-Social</v></cell><cell r="AC5181"><v>21358715</v></cell><cell r="AD5181"><v>720197</v></cell><cell r="AE5181" t="str"><v>Facebook - Instagram</v></cell><cell r="AF5181"><v>3654128</v></cell><cell r="AG5181" t="str"><v>INSTAGRAM»USA-Trial-ITD-Interest Prospecting-AZR-AZR»1 x 1»SocialBan»CAN»ALL»CPA»PRO»X»NA»SS»NA»IGCTCBrandinMotion»PRC2PB</v></cell><cell r="AH5181"><v>223862690</v></cell><cell r="AI5181" t="str"><v>AzurePlatform_IGCTCBenefit2inMotion_USA_10s_CAN_PLATFORM_English_Trial_Standard_STAN_TIN_T4_1</v></cell><cell r="AJ5181"><v>103050783</v></cell></row><row r="5182"><cell r="C5182" t="str"><v>43318INSTAGRAM»USA-Trial-ITD-Interest Prospecting-AZR-AZR»1 x 1»SocialBan»CAN»ALL»CPA»PRO»X»NA»SS»NA»IGCTCBrandinMotion»PRC2PB</v></cell><cell r="D5182" t="str"><v>43318223862690</v></cell><cell r="E5182" t="str"><v>43318103178714PRC2PB</v></cell><cell r="F5182" t="str"><v>DCM</v></cell><cell r="G5182" t="str"><v>https://azure.microsoft.com/en-us/pricing/purchase-options/?v=18.19&OCID=AID%eexcid!_OLA_%ebuy!_%epid!_%ecid!</v></cell></row><row r="5182"><cell r="K5182" t="str"><v>August</v></cell><cell r="L5182"><v>43323</v></cell><cell r="M5182" t="str"><v>Tier 0</v></cell><cell r="N5182" t="str"><v>North America</v></cell><cell r="O5182" t="str"><v>United States</v></cell><cell r="P5182" t="str"><v>Trial</v></cell><cell r="Q5182" t="str"><v>Social</v></cell><cell r="R5182" t="str"><v>Azure</v></cell><cell r="S5182" t="str"><v>Apps & Infra</v></cell><cell r="T5182" t="str"><v>Developers & ITI's</v></cell><cell r="U5182" t="str"><v>USA-Trial-ITD-Interest Prospecting-AZR-AZR</v></cell><cell r="V5182" t="str"><v>Prospecting</v></cell><cell r="W5182" t="str"><v>Canvas Ad</v></cell><cell r="X5182" t="str"><v>1x1</v></cell></row><row r="5182"><cell r="AA5182"><v>43318</v></cell><cell r="AB5182" t="str"><v>USA_gaPMG_AZR_AZR_Q1_19_Direct-Social</v></cell><cell r="AC5182"><v>21358715</v></cell><cell r="AD5182"><v>720197</v></cell><cell r="AE5182" t="str"><v>Facebook - Instagram</v></cell><cell r="AF5182"><v>3654128</v></cell><cell r="AG5182" t="str"><v>INSTAGRAM»USA-Trial-ITD-Interest Prospecting-AZR-AZR»1 x 1»SocialBan»CAN»ALL»CPA»PRO»X»NA»SS»NA»IGCTCBrandinMotion»PRC2PB</v></cell><cell r="AH5182"><v>223862690</v></cell><cell r="AI5182" t="str"><v>AzurePlatform_IGCTCBenefit2inMotion_USA_10s_CAN_PLATFORM_English_Trial_Standard_STAN_TIN_T4_2</v></cell><cell r="AJ5182"><v>103178714</v></cell></row><row r="5183"><cell r="C5183" t="str"><v>43318INSTAGRAM»USA-Trial-ITD-Retargeting-AZR-AZR»1 x 1»SocialBan»CAN»ALL»CPA»RT»X»NA»SS»NA»IGCTCBrandinMotion»PRC2G3</v></cell><cell r="D5183" t="str"><v>43318224107014</v></cell><cell r="E5183" t="str"><v>43318103050783PRC2G3</v></cell><cell r="F5183" t="str"><v>DCM</v></cell><cell r="G5183" t="str"><v>https://signup.azure.com/?OCID=AID%eexcid!_OLA_%ebuy!_%epid!_%ecid!</v></cell></row><row r="5183"><cell r="K5183" t="str"><v>August</v></cell><cell r="L5183"><v>43323</v></cell><cell r="M5183" t="str"><v>Tier 0</v></cell><cell r="N5183" t="str"><v>North America</v></cell><cell r="O5183" t="str"><v>United States</v></cell><cell r="P5183" t="str"><v>Trial</v></cell><cell r="Q5183" t="str"><v>Social</v></cell><cell r="R5183" t="str"><v>Azure</v></cell><cell r="S5183" t="str"><v>Apps & Infra</v></cell><cell r="T5183" t="str"><v>Developers & ITI's</v></cell><cell r="U5183" t="str"><v>USA-Trial-ITD-Retargeting-AZR-AZR</v></cell><cell r="V5183" t="str"><v>Retargeting</v></cell><cell r="W5183" t="str"><v>Canvas Ad</v></cell><cell r="X5183" t="str"><v>1x1</v></cell></row><row r="5183"><cell r="AA5183"><v>43318</v></cell><cell r="AB5183" t="str"><v>USA_gaPMG_AZR_AZR_Q1_19_Direct-Social</v></cell><cell r="AC5183"><v>21358715</v></cell><cell r="AD5183"><v>720197</v></cell><cell r="AE5183" t="str"><v>Facebook - Instagram</v></cell><cell r="AF5183"><v>3654128</v></cell><cell r="AG5183" t="str"><v>INSTAGRAM»USA-Trial-ITD-Retargeting-AZR-AZR»1 x 1»SocialBan»CAN»ALL»CPA»RT»X»NA»SS»NA»IGCTCBrandinMotion»PRC2G3</v></cell><cell r="AH5183"><v>224107014</v></cell><cell r="AI5183" t="str"><v>AzurePlatform_IGCTCBenefit2inMotion_USA_10s_CAN_PLATFORM_English_Trial_Standard_STAN_TIN_T4_1</v></cell><cell r="AJ5183"><v>103050783</v></cell></row><row r="5184"><cell r="C5184" t="str"><v>43318INSTAGRAM»USA-Trial-ITD-Trial Lookalike-AZR-AZR»1 x 1»SocialBan»CAN»ALL»CPA»LAL»X»NA»SS»NA»IGCTCBenefit2inMotion»PRC2FL</v></cell><cell r="D5184" t="str"><v>43318223935022</v></cell><cell r="E5184" t="str"><v>43318103180628PRC2FL</v></cell><cell r="F5184" t="str"><v>DCM</v></cell><cell r="G5184" t="str"><v>https://signup.azure.com/?OCID=AID%eexcid!_OLA_%ebuy!_%epid!_%ecid!</v></cell></row><row r="5184"><cell r="K5184" t="str"><v>August</v></cell><cell r="L5184"><v>43323</v></cell><cell r="M5184" t="str"><v>Tier 0</v></cell><cell r="N5184" t="str"><v>North America</v></cell><cell r="O5184" t="str"><v>United States</v></cell><cell r="P5184" t="str"><v>Trial</v></cell><cell r="Q5184" t="str"><v>Social</v></cell><cell r="R5184" t="str"><v>Azure</v></cell><cell r="S5184" t="str"><v>Apps & Infra</v></cell><cell r="T5184" t="str"><v>Developers & ITI's</v></cell><cell r="U5184" t="str"><v>USA-Trial-ITD-Trial Lookalike-AZR-AZR</v></cell><cell r="V5184" t="str"><v>Lookalike Targeting</v></cell><cell r="W5184" t="str"><v>Canvas Ad</v></cell><cell r="X5184" t="str"><v>1x1</v></cell></row><row r="5184"><cell r="AA5184"><v>43318</v></cell><cell r="AB5184" t="str"><v>USA_gaPMG_AZR_AZR_Q1_19_Direct-Social</v></cell><cell r="AC5184"><v>21358715</v></cell><cell r="AD5184"><v>720197</v></cell><cell r="AE5184" t="str"><v>Facebook - Instagram</v></cell><cell r="AF5184"><v>3654128</v></cell><cell r="AG5184" t="str"><v>INSTAGRAM»USA-Trial-ITD-Trial Lookalike-AZR-AZR»1 x 1»SocialBan»CAN»ALL»CPA»LAL»X»NA»SS»NA»IGCTCBenefit2inMotion»PRC2FL</v></cell><cell r="AH5184"><v>223935022</v></cell><cell r="AI5184" t="str"><v>AzurePlatform_IGCTCBrandinMotion_USA_10s_CAN_PLATFORM_English_Trial_Standard_STAN_TIN_T2_1</v></cell><cell r="AJ5184"><v>103180628</v></cell></row><row r="5185"><cell r="C5185" t="str"><v>43318INSTAGRAM»USA-Trial-ITD-Trial Lookalike-AZR-AZR»1 x 1»SocialBan»CAN»ALL»CPA»LAL»X»NA»SS»NA»IGCTCBenefit2inMotion»PRC2FL</v></cell><cell r="D5185" t="str"><v>43318223935022</v></cell><cell r="E5185" t="str"><v>43318103050786PRC2FL</v></cell><cell r="F5185" t="str"><v>DCM</v></cell><cell r="G5185" t="str"><v>https://azure.microsoft.com/en-us/pricing/purchase-options/?v=18.19&OCID=AID%eexcid!_OLA_%ebuy!_%epid!_%ecid!</v></cell></row><row r="5185"><cell r="K5185" t="str"><v>August</v></cell><cell r="L5185"><v>43323</v></cell><cell r="M5185" t="str"><v>Tier 0</v></cell><cell r="N5185" t="str"><v>North America</v></cell><cell r="O5185" t="str"><v>United States</v></cell><cell r="P5185" t="str"><v>Trial</v></cell><cell r="Q5185" t="str"><v>Social</v></cell><cell r="R5185" t="str"><v>Azure</v></cell><cell r="S5185" t="str"><v>Apps & Infra</v></cell><cell r="T5185" t="str"><v>Developers & ITI's</v></cell><cell r="U5185" t="str"><v>USA-Trial-ITD-Trial Lookalike-AZR-AZR</v></cell><cell r="V5185" t="str"><v>Lookalike Targeting</v></cell><cell r="W5185" t="str"><v>Canvas Ad</v></cell><cell r="X5185" t="str"><v>1x1</v></cell></row><row r="5185"><cell r="AA5185"><v>43318</v></cell><cell r="AB5185" t="str"><v>USA_gaPMG_AZR_AZR_Q1_19_Direct-Social</v></cell><cell r="AC5185"><v>21358715</v></cell><cell r="AD5185"><v>720197</v></cell><cell r="AE5185" t="str"><v>Facebook - Instagram</v></cell><cell r="AF5185"><v>3654128</v></cell><cell r="AG5185" t="str"><v>INSTAGRAM»USA-Trial-ITD-Trial Lookalike-AZR-AZR»1 x 1»SocialBan»CAN»ALL»CPA»LAL»X»NA»SS»NA»IGCTCBenefit2inMotion»PRC2FL</v></cell><cell r="AH5185"><v>223935022</v></cell><cell r="AI5185" t="str"><v>AzurePlatform_IGCTCBrandinMotion_USA_10s_CAN_PLATFORM_English_Trial_Standard_STAN_TIN_T2_2</v></cell><cell r="AJ5185"><v>103050786</v></cell></row><row r="5186"><cell r="C5186" t="str"><v>43318INSTAGRAM»USA-Trial-ITD-Trial Lookalike-AZR-AZR»1 x 1»SocialBan»CAN»ALL»CPA»LAL»X»NA»SS»NA»IGCTCBrandinMotion»PRC2FH</v></cell><cell r="D5186" t="str"><v>43318223935019</v></cell><cell r="E5186" t="str"><v>43318103050783PRC2FH</v></cell><cell r="F5186" t="str"><v>DCM</v></cell><cell r="G5186" t="str"><v>https://signup.azure.com/?OCID=AID%eexcid!_OLA_%ebuy!_%epid!_%ecid!</v></cell></row><row r="5186"><cell r="K5186" t="str"><v>August</v></cell><cell r="L5186"><v>43323</v></cell><cell r="M5186" t="str"><v>Tier 0</v></cell><cell r="N5186" t="str"><v>North America</v></cell><cell r="O5186" t="str"><v>United States</v></cell><cell r="P5186" t="str"><v>Trial</v></cell><cell r="Q5186" t="str"><v>Social</v></cell><cell r="R5186" t="str"><v>Azure</v></cell><cell r="S5186" t="str"><v>Apps & Infra</v></cell><cell r="T5186" t="str"><v>Developers & ITI's</v></cell><cell r="U5186" t="str"><v>USA-Trial-ITD-Trial Lookalike-AZR-AZR</v></cell><cell r="V5186" t="str"><v>Lookalike Targeting</v></cell><cell r="W5186" t="str"><v>Canvas Ad</v></cell><cell r="X5186" t="str"><v>1x1</v></cell></row><row r="5186"><cell r="AA5186"><v>43318</v></cell><cell r="AB5186" t="str"><v>USA_gaPMG_AZR_AZR_Q1_19_Direct-Social</v></cell><cell r="AC5186"><v>21358715</v></cell><cell r="AD5186"><v>720197</v></cell><cell r="AE5186" t="str"><v>Facebook - Instagram</v></cell><cell r="AF5186"><v>3654128</v></cell><cell r="AG5186" t="str"><v>INSTAGRAM»USA-Trial-ITD-Trial Lookalike-AZR-AZR»1 x 1»SocialBan»CAN»ALL»CPA»LAL»X»NA»SS»NA»IGCTCBrandinMotion»PRC2FH</v></cell><cell r="AH5186"><v>223935019</v></cell><cell r="AI5186" t="str"><v>AzurePlatform_IGCTCBenefit2inMotion_USA_10s_CAN_PLATFORM_English_Trial_Standard_STAN_TIN_T4_1</v></cell><cell r="AJ5186"><v>103050783</v></cell></row><row r="5187"><cell r="C5187" t="str"><v>43318INSTAGRAM»USA-Trial-ITD-Trial Lookalike-AZR-AZR»1 x 1»SocialBan»CAN»ALL»CPA»LAL»X»NA»SS»NA»IGCTCBrandinMotion»PRC2FH</v></cell><cell r="D5187" t="str"><v>43318223935019</v></cell><cell r="E5187" t="str"><v>43318103178714PRC2FH</v></cell><cell r="F5187" t="str"><v>DCM</v></cell><cell r="G5187" t="str"><v>https://azure.microsoft.com/en-us/pricing/purchase-options/?v=18.19&OCID=AID%eexcid!_OLA_%ebuy!_%epid!_%ecid!</v></cell></row><row r="5187"><cell r="K5187" t="str"><v>August</v></cell><cell r="L5187"><v>43323</v></cell><cell r="M5187" t="str"><v>Tier 0</v></cell><cell r="N5187" t="str"><v>North America</v></cell><cell r="O5187" t="str"><v>United States</v></cell><cell r="P5187" t="str"><v>Trial</v></cell><cell r="Q5187" t="str"><v>Social</v></cell><cell r="R5187" t="str"><v>Azure</v></cell><cell r="S5187" t="str"><v>Apps & Infra</v></cell><cell r="T5187" t="str"><v>Developers & ITI's</v></cell><cell r="U5187" t="str"><v>USA-Trial-ITD-Trial Lookalike-AZR-AZR</v></cell><cell r="V5187" t="str"><v>Lookalike Targeting</v></cell><cell r="W5187" t="str"><v>Canvas Ad</v></cell><cell r="X5187" t="str"><v>1x1</v></cell></row><row r="5187"><cell r="AA5187"><v>43318</v></cell><cell r="AB5187" t="str"><v>USA_gaPMG_AZR_AZR_Q1_19_Direct-Social</v></cell><cell r="AC5187"><v>21358715</v></cell><cell r="AD5187"><v>720197</v></cell><cell r="AE5187" t="str"><v>Facebook - Instagram</v></cell><cell r="AF5187"><v>3654128</v></cell><cell r="AG5187" t="str"><v>INSTAGRAM»USA-Trial-ITD-Trial Lookalike-AZR-AZR»1 x 1»SocialBan»CAN»ALL»CPA»LAL»X»NA»SS»NA»IGCTCBrandinMotion»PRC2FH</v></cell><cell r="AH5187"><v>223935019</v></cell><cell r="AI5187" t="str"><v>AzurePlatform_IGCTCBenefit2inMotion_USA_10s_CAN_PLATFORM_English_Trial_Standard_STAN_TIN_T4_2</v></cell><cell r="AJ5187"><v>103178714</v></cell></row><row r="5188"><cell r="C5188" t="str"><v>43318INSTAGRAM»USA-Trial-ITD-Trial PayGo Lookalike-AZR-AZR»1 x 1»SocialBan»CAN»ALL»CPA»LAL»X»NA»SS»NA»IGCTCBrandinMotion»PRC2FW</v></cell><cell r="D5188" t="str"><v>43318223862654</v></cell><cell r="E5188" t="str"><v>43318103050783PRC2FW</v></cell><cell r="F5188" t="str"><v>DCM</v></cell><cell r="G5188" t="str"><v>https://signup.azure.com/?OCID=AID%eexcid!_OLA_%ebuy!_%epid!_%ecid!</v></cell></row><row r="5188"><cell r="K5188" t="str"><v>August</v></cell><cell r="L5188"><v>43323</v></cell><cell r="M5188" t="str"><v>Tier 0</v></cell><cell r="N5188" t="str"><v>North America</v></cell><cell r="O5188" t="str"><v>United States</v></cell><cell r="P5188" t="str"><v>Trial</v></cell><cell r="Q5188" t="str"><v>Social</v></cell><cell r="R5188" t="str"><v>Azure</v></cell><cell r="S5188" t="str"><v>Apps & Infra</v></cell><cell r="T5188" t="str"><v>Developers & ITI's</v></cell><cell r="U5188" t="str"><v>USA-Trial-ITD-Trial PayGo Lookalike-AZR-AZR</v></cell><cell r="V5188" t="str"><v>Lookalike Targeting</v></cell><cell r="W5188" t="str"><v>Canvas Ad</v></cell><cell r="X5188" t="str"><v>1x1</v></cell></row><row r="5188"><cell r="AA5188"><v>43318</v></cell><cell r="AB5188" t="str"><v>USA_gaPMG_AZR_AZR_Q1_19_Direct-Social</v></cell><cell r="AC5188"><v>21358715</v></cell><cell r="AD5188"><v>720197</v></cell><cell r="AE5188" t="str"><v>Facebook - Instagram</v></cell><cell r="AF5188"><v>3654128</v></cell><cell r="AG5188" t="str"><v>INSTAGRAM»USA-Trial-ITD-Trial PayGo Lookalike-AZR-AZR»1 x 1»SocialBan»CAN»ALL»CPA»LAL»X»NA»SS»NA»IGCTCBrandinMotion»PRC2FW</v></cell><cell r="AH5188"><v>223862654</v></cell><cell r="AI5188" t="str"><v>AzurePlatform_IGCTCBenefit2inMotion_USA_10s_CAN_PLATFORM_English_Trial_Standard_STAN_TIN_T4_1</v></cell><cell r="AJ5188"><v>103050783</v></cell></row><row r="5189"><cell r="C5189" t="str"><v>43318INSTAGRAM»USA-Trial-ITD-Trial PayGo Lookalike-AZR-AZR»1 x 1»SocialBan»CAN»ALL»CPA»LAL»X»NA»SS»NA»IGCTCBrandinMotion»PRC2FW</v></cell><cell r="D5189" t="str"><v>43318223862654</v></cell><cell r="E5189" t="str"><v>43318103178714PRC2FW</v></cell><cell r="F5189" t="str"><v>DCM</v></cell><cell r="G5189" t="str"><v>https://azure.microsoft.com/en-us/pricing/purchase-options/?v=18.19&OCID=AID%eexcid!_OLA_%ebuy!_%epid!_%ecid!</v></cell></row><row r="5189"><cell r="K5189" t="str"><v>August</v></cell><cell r="L5189"><v>43323</v></cell><cell r="M5189" t="str"><v>Tier 0</v></cell><cell r="N5189" t="str"><v>North America</v></cell><cell r="O5189" t="str"><v>United States</v></cell><cell r="P5189" t="str"><v>Trial</v></cell><cell r="Q5189" t="str"><v>Social</v></cell><cell r="R5189" t="str"><v>Azure</v></cell><cell r="S5189" t="str"><v>Apps & Infra</v></cell><cell r="T5189" t="str"><v>Developers & ITI's</v></cell><cell r="U5189" t="str"><v>USA-Trial-ITD-Trial PayGo Lookalike-AZR-AZR</v></cell><cell r="V5189" t="str"><v>Lookalike Targeting</v></cell><cell r="W5189" t="str"><v>Canvas Ad</v></cell><cell r="X5189" t="str"><v>1x1</v></cell></row><row r="5189"><cell r="AA5189"><v>43318</v></cell><cell r="AB5189" t="str"><v>USA_gaPMG_AZR_AZR_Q1_19_Direct-Social</v></cell><cell r="AC5189"><v>21358715</v></cell><cell r="AD5189"><v>720197</v></cell><cell r="AE5189" t="str"><v>Facebook - Instagram</v></cell><cell r="AF5189"><v>3654128</v></cell><cell r="AG5189" t="str"><v>INSTAGRAM»USA-Trial-ITD-Trial PayGo Lookalike-AZR-AZR»1 x 1»SocialBan»CAN»ALL»CPA»LAL»X»NA»SS»NA»IGCTCBrandinMotion»PRC2FW</v></cell><cell r="AH5189"><v>223862654</v></cell><cell r="AI5189" t="str"><v>AzurePlatform_IGCTCBenefit2inMotion_USA_10s_CAN_PLATFORM_English_Trial_Standard_STAN_TIN_T4_2</v></cell><cell r="AJ5189"><v>103178714</v></cell></row><row r="5190"><cell r="C5190" t="str"><v>43318INSTAGRAM»USA-Trial-ITD-Trial PayGo Lookalike-AZR-AZR»1 x 1»SocialBan»CAN»ALL»CPA»LAL»X»NA»SS»NA»IGCTCBenefit2inMotion»PRC2FZ</v></cell><cell r="D5190" t="str"><v>43318223933075</v></cell><cell r="E5190" t="str"><v>43318103180628PRC2FZ</v></cell><cell r="F5190" t="str"><v>DCM</v></cell><cell r="G5190" t="str"><v>https://signup.azure.com/?OCID=AID%eexcid!_OLA_%ebuy!_%epid!_%ecid!</v></cell></row><row r="5190"><cell r="K5190" t="str"><v>August</v></cell><cell r="L5190"><v>43323</v></cell><cell r="M5190" t="str"><v>Tier 0</v></cell><cell r="N5190" t="str"><v>North America</v></cell><cell r="O5190" t="str"><v>United States</v></cell><cell r="P5190" t="str"><v>Trial</v></cell><cell r="Q5190" t="str"><v>Social</v></cell><cell r="R5190" t="str"><v>Azure</v></cell><cell r="S5190" t="str"><v>Apps & Infra</v></cell><cell r="T5190" t="str"><v>Developers & ITI's</v></cell><cell r="U5190" t="str"><v>USA-Trial-ITD-Trial PayGo Lookalike-AZR-AZR</v></cell><cell r="V5190" t="str"><v>Lookalike Targeting</v></cell><cell r="W5190" t="str"><v>Canvas Ad</v></cell><cell r="X5190" t="str"><v>1x1</v></cell></row><row r="5190"><cell r="AA5190"><v>43318</v></cell><cell r="AB5190" t="str"><v>USA_gaPMG_AZR_AZR_Q1_19_Direct-Social</v></cell><cell r="AC5190"><v>21358715</v></cell><cell r="AD5190"><v>720197</v></cell><cell r="AE5190" t="str"><v>Facebook - Instagram</v></cell><cell r="AF5190"><v>3654128</v></cell><cell r="AG5190" t="str"><v>INSTAGRAM»USA-Trial-ITD-Trial PayGo Lookalike-AZR-AZR»1 x 1»SocialBan»CAN»ALL»CPA»LAL»X»NA»SS»NA»IGCTCBenefit2inMotion»PRC2FZ</v></cell><cell r="AH5190"><v>223933075</v></cell><cell r="AI5190" t="str"><v>AzurePlatform_IGCTCBrandinMotion_USA_10s_CAN_PLATFORM_English_Trial_Standard_STAN_TIN_T2_1</v></cell><cell r="AJ5190"><v>103180628</v></cell></row><row r="5191"><cell r="C5191" t="str"><v>43319Facebook»Audience & Interest Targeting»1x1»Canvas»OTH»DT»DYN»AUT»W»NA»SS»NA»FBCTCcanvaspage-StartFreeCTA_FBCTCcanvaspage-BuyNowCTA</v></cell><cell r="D5191" t="str"><v>43319224639151</v></cell><cell r="E5191" t="str"><v>43319103316832NowCTA</v></cell><cell r="F5191" t="str"><v>DCM</v></cell><cell r="G5191" t="str"><v>https://azure.microsoft.com/en-au/pricing/purchase-options/</v></cell></row><row r="5191"><cell r="K5191" t="str"><v>August</v></cell><cell r="L5191"><v>43323</v></cell><cell r="M5191" t="str"><v>Tier 1</v></cell><cell r="N5191" t="str"><v>APAC</v></cell><cell r="O5191" t="str"><v>Australia</v></cell><cell r="P5191" t="str"><v>Trial</v></cell><cell r="Q5191" t="str"><v>Social</v></cell><cell r="R5191" t="str"><v>Azure</v></cell><cell r="S5191" t="str"><v>Apps & Infra</v></cell><cell r="T5191" t="str"><v>Developers & ITI's</v></cell><cell r="U5191" t="str"><v>Audience & Interest Targeting</v></cell><cell r="V5191" t="str"><v>Audience Targeting</v></cell><cell r="W5191" t="str"><v>Other</v></cell><cell r="X5191" t="str"><v>1x1</v></cell></row><row r="5191"><cell r="AA5191"><v>43319</v></cell><cell r="AB5191" t="str"><v>AUS_gaPMG_AZR_AZR_Q1_19_Trial-Social</v></cell><cell r="AC5191"><v>21358568</v></cell><cell r="AD5191"><v>720191</v></cell><cell r="AE5191" t="str"><v>Facebook</v></cell><cell r="AF5191"><v>3654128</v></cell><cell r="AG5191" t="str"><v>Facebook»Audience & Interest Targeting»1x1»Canvas»OTH»DT»DYN»AUT»W»NA»SS»NA»FBCTCcanvaspage-StartFreeCTA_FBCTCcanvaspage-BuyNowCTA</v></cell><cell r="AH5191"><v>224639151</v></cell><cell r="AI5191" t="str"><v>AzurePlatform_FBCTCcanvaspage-BuyNowCTA-Img3_AUS_1080x162_SOC_Plat_English_NA_Standard_NA_BN_T3_1</v></cell><cell r="AJ5191"><v>103316832</v></cell></row><row r="5192"><cell r="C5192" t="str"><v>43319Facebook»Audience & Interest Targeting»1x1»Canvas»OTH»DT»DYN»AUT»W»NA»SS»NA»FBCTCcanvaspage-StartFreeCTA_FBCTCcanvaspage-BuyNowCTA</v></cell><cell r="D5192" t="str"><v>43319224639151</v></cell><cell r="E5192" t="str"><v>43319103316829NowCTA</v></cell><cell r="F5192" t="str"><v>DCM</v></cell><cell r="G5192" t="str"><v>https://signup.azure.com/signup?offer=ms-azr-0044p&appId=102&ref=paidmedia-social-fb&redirectURL=https%3a%2f%2fazure.microsoft.com%2fen-au%2fget-started%2fwelcome-to-azure%2f&l=en-au&correlationId=ead86c34-1f10-49dd-a72b-6918462a2cbf</v></cell></row><row r="5192"><cell r="K5192" t="str"><v>August</v></cell><cell r="L5192"><v>43323</v></cell><cell r="M5192" t="str"><v>Tier 1</v></cell><cell r="N5192" t="str"><v>APAC</v></cell><cell r="O5192" t="str"><v>Australia</v></cell><cell r="P5192" t="str"><v>Trial</v></cell><cell r="Q5192" t="str"><v>Social</v></cell><cell r="R5192" t="str"><v>Azure</v></cell><cell r="S5192" t="str"><v>Apps & Infra</v></cell><cell r="T5192" t="str"><v>Developers & ITI's</v></cell><cell r="U5192" t="str"><v>Audience & Interest Targeting</v></cell><cell r="V5192" t="str"><v>Audience Targeting</v></cell><cell r="W5192" t="str"><v>Other</v></cell><cell r="X5192" t="str"><v>1x1</v></cell></row><row r="5192"><cell r="AA5192"><v>43319</v></cell><cell r="AB5192" t="str"><v>AUS_gaPMG_AZR_AZR_Q1_19_Trial-Social</v></cell><cell r="AC5192"><v>21358568</v></cell><cell r="AD5192"><v>720191</v></cell><cell r="AE5192" t="str"><v>Facebook</v></cell><cell r="AF5192"><v>3654128</v></cell><cell r="AG5192" t="str"><v>Facebook»Audience & Interest Targeting»1x1»Canvas»OTH»DT»DYN»AUT»W»NA»SS»NA»FBCTCcanvaspage-StartFreeCTA_FBCTCcanvaspage-BuyNowCTA</v></cell><cell r="AH5192"><v>224639151</v></cell><cell r="AI5192" t="str"><v>AzurePlatform_FBCTCcanvaspage-StartFreeCTA-Img2_AUS_1080x143 _SOC_Plat_English_NA_Standard_NA_NA_T2_1</v></cell><cell r="AJ5192"><v>103316829</v></cell></row><row r="5193"><cell r="C5193" t="str"><v>43319Facebook»Audience & Interest Targeting»1x1»TextLink»OTH»DT»DYN»AUT»W»NA»SS»NA»Free Account Refresh- 12 months ChE</v></cell><cell r="D5193" t="str"><v>43319224160783</v></cell><cell r="E5193" t="str"><v>43319103051614hs ChE</v></cell><cell r="F5193" t="str"><v>DCM</v></cell></row><row r="5193"><cell r="K5193" t="str"><v>August</v></cell><cell r="L5193"><v>43323</v></cell><cell r="M5193" t="str"><v>Tier 1</v></cell><cell r="N5193" t="str"><v>APAC</v></cell><cell r="O5193" t="str"><v>Australia</v></cell><cell r="P5193" t="str"><v>Trial</v></cell><cell r="Q5193" t="str"><v>Social</v></cell><cell r="R5193" t="str"><v>Azure</v></cell><cell r="S5193" t="str"><v>Apps & Infra</v></cell><cell r="T5193" t="str"><v>Developers & ITI's</v></cell><cell r="U5193" t="str"><v>Audience & Interest Targeting</v></cell><cell r="V5193" t="str"><v>Audience Targeting</v></cell><cell r="W5193" t="str"><v>Other</v></cell><cell r="X5193" t="str"><v>1x1</v></cell></row><row r="5193"><cell r="AA5193"><v>43319</v></cell><cell r="AB5193" t="str"><v>AUS_gaPMG_AZR_AZR_Q1_19_Trial-Social</v></cell><cell r="AC5193"><v>21358568</v></cell><cell r="AD5193"><v>720191</v></cell><cell r="AE5193" t="str"><v>Facebook</v></cell><cell r="AF5193"><v>3654128</v></cell><cell r="AG5193" t="str"><v>Facebook»Audience & Interest Targeting»1x1»TextLink»OTH»DT»DYN»AUT»W»NA»SS»NA»Free Account Refresh- 12 months ChE</v></cell><cell r="AH5193"><v>224160783</v></cell><cell r="AI5193" t="str"><v>AzurePlatform_FreeAcctAppsFACEBOOK12monthsChE_AUS_1200x628_SOC_PLAT_EN_Trial_Standard_NA_SNU_T5_1</v></cell><cell r="AJ5193"><v>103051614</v></cell></row><row r="5194"><cell r="C5194" t="str"><v>43319Facebook»Audience & Interest Targeting»1x1»TextLink»OTH»DT»DYN»AUT»W»NA»SS»NA»Free Account Refresh- Device ChB</v></cell><cell r="D5194" t="str"><v>43319224160777</v></cell><cell r="E5194" t="str"><v>43319103048479ce ChB</v></cell><cell r="F5194" t="str"><v>DCM</v></cell></row><row r="5194"><cell r="K5194" t="str"><v>August</v></cell><cell r="L5194"><v>43323</v></cell><cell r="M5194" t="str"><v>Tier 1</v></cell><cell r="N5194" t="str"><v>APAC</v></cell><cell r="O5194" t="str"><v>Australia</v></cell><cell r="P5194" t="str"><v>Trial</v></cell><cell r="Q5194" t="str"><v>Social</v></cell><cell r="R5194" t="str"><v>Azure</v></cell><cell r="S5194" t="str"><v>Apps & Infra</v></cell><cell r="T5194" t="str"><v>Developers & ITI's</v></cell><cell r="U5194" t="str"><v>Audience & Interest Targeting</v></cell><cell r="V5194" t="str"><v>Audience Targeting</v></cell><cell r="W5194" t="str"><v>Other</v></cell><cell r="X5194" t="str"><v>1x1</v></cell></row><row r="5194"><cell r="AA5194"><v>43319</v></cell><cell r="AB5194" t="str"><v>AUS_gaPMG_AZR_AZR_Q1_19_Trial-Social</v></cell><cell r="AC5194"><v>21358568</v></cell><cell r="AD5194"><v>720191</v></cell><cell r="AE5194" t="str"><v>Facebook</v></cell><cell r="AF5194"><v>3654128</v></cell><cell r="AG5194" t="str"><v>Facebook»Audience & Interest Targeting»1x1»TextLink»OTH»DT»DYN»AUT»W»NA»SS»NA»Free Account Refresh- Device ChB</v></cell><cell r="AH5194"><v>224160777</v></cell><cell r="AI5194" t="str"><v>AzurePlatform_FreeAcctAppsFACEBOOKDeviceChB_AUS_1200x628_SOC_PLAT_EN_Trial_Standard_NA_SNU_T2_1</v></cell><cell r="AJ5194"><v>103048479</v></cell></row><row r="5195"><cell r="C5195" t="str"><v>43319Facebook»Audience & Interest Targeting»1x1»TextLink»OTH»DT»DYN»AUT»W»NA»SS»NA»Free Account Refresh- Illustration ChC</v></cell><cell r="D5195" t="str"><v>43319224160774</v></cell><cell r="E5195" t="str"><v>43319103186910on ChC</v></cell><cell r="F5195" t="str"><v>DCM</v></cell></row><row r="5195"><cell r="K5195" t="str"><v>August</v></cell><cell r="L5195"><v>43323</v></cell><cell r="M5195" t="str"><v>Tier 1</v></cell><cell r="N5195" t="str"><v>APAC</v></cell><cell r="O5195" t="str"><v>Australia</v></cell><cell r="P5195" t="str"><v>Trial</v></cell><cell r="Q5195" t="str"><v>Social</v></cell><cell r="R5195" t="str"><v>Azure</v></cell><cell r="S5195" t="str"><v>Apps & Infra</v></cell><cell r="T5195" t="str"><v>Developers & ITI's</v></cell><cell r="U5195" t="str"><v>Audience & Interest Targeting</v></cell><cell r="V5195" t="str"><v>Audience Targeting</v></cell><cell r="W5195" t="str"><v>Other</v></cell><cell r="X5195" t="str"><v>1x1</v></cell></row><row r="5195"><cell r="AA5195"><v>43319</v></cell><cell r="AB5195" t="str"><v>AUS_gaPMG_AZR_AZR_Q1_19_Trial-Social</v></cell><cell r="AC5195"><v>21358568</v></cell><cell r="AD5195"><v>720191</v></cell><cell r="AE5195" t="str"><v>Facebook</v></cell><cell r="AF5195"><v>3654128</v></cell><cell r="AG5195" t="str"><v>Facebook»Audience & Interest Targeting»1x1»TextLink»OTH»DT»DYN»AUT»W»NA»SS»NA»Free Account Refresh- Illustration ChC</v></cell><cell r="AH5195"><v>224160774</v></cell><cell r="AI5195" t="str"><v>AzurePlatform_FreeAcctAppsFACEBOOKIllustrationChC_AUS_1200x628_SOC_PLAT_EN_Trial_Standard_NA_SNU_T3_1</v></cell><cell r="AJ5195"><v>103186910</v></cell></row><row r="5196"><cell r="C5196" t="str"><v>43319Facebook»Audience & Interest Targeting»1x1»TextLink»OTH»DT»DYN»AUT»W»NA»SS»NA»Free Account Refresh- Lifestyle ChA</v></cell><cell r="D5196" t="str"><v>43319224160771</v></cell><cell r="E5196" t="str"><v>43319103048488le ChA</v></cell><cell r="F5196" t="str"><v>DCM</v></cell></row><row r="5196"><cell r="K5196" t="str"><v>August</v></cell><cell r="L5196"><v>43323</v></cell><cell r="M5196" t="str"><v>Tier 1</v></cell><cell r="N5196" t="str"><v>APAC</v></cell><cell r="O5196" t="str"><v>Australia</v></cell><cell r="P5196" t="str"><v>Trial</v></cell><cell r="Q5196" t="str"><v>Social</v></cell><cell r="R5196" t="str"><v>Azure</v></cell><cell r="S5196" t="str"><v>Apps & Infra</v></cell><cell r="T5196" t="str"><v>Developers & ITI's</v></cell><cell r="U5196" t="str"><v>Audience & Interest Targeting</v></cell><cell r="V5196" t="str"><v>Audience Targeting</v></cell><cell r="W5196" t="str"><v>Other</v></cell><cell r="X5196" t="str"><v>1x1</v></cell></row><row r="5196"><cell r="AA5196"><v>43319</v></cell><cell r="AB5196" t="str"><v>AUS_gaPMG_AZR_AZR_Q1_19_Trial-Social</v></cell><cell r="AC5196"><v>21358568</v></cell><cell r="AD5196"><v>720191</v></cell><cell r="AE5196" t="str"><v>Facebook</v></cell><cell r="AF5196"><v>3654128</v></cell><cell r="AG5196" t="str"><v>Facebook»Audience & Interest Targeting»1x1»TextLink»OTH»DT»DYN»AUT»W»NA»SS»NA»Free Account Refresh- Lifestyle ChA</v></cell><cell r="AH5196"><v>224160771</v></cell><cell r="AI5196" t="str"><v>AzurePlatform_FreeAcctAppsFACEBOOKLifestyleChA_AUS_1200x628_SOC_PLAT_EN_Trial_Standard_NA_SNU_T1_1</v></cell><cell r="AJ5196"><v>103048488</v></cell></row><row r="5197"><cell r="C5197" t="str"><v>43319Facebook»LAL»1x1»TextLink»SOC»DT»DYN»LAL»W»NA»SS»NA»Free Account Refresh- 200 Credit ChD</v></cell><cell r="D5197" t="str"><v>43319224160720</v></cell><cell r="E5197" t="str"><v>43319103186907it ChD</v></cell><cell r="F5197" t="str"><v>DCM</v></cell><cell r="G5197" t="str"><v>https://azure.microsoft.com/en-au/free/open-source/search/</v></cell></row><row r="5197"><cell r="K5197" t="str"><v>August</v></cell><cell r="L5197"><v>43323</v></cell><cell r="M5197" t="str"><v>Tier 1</v></cell><cell r="N5197" t="str"><v>APAC</v></cell><cell r="O5197" t="str"><v>Australia</v></cell><cell r="P5197" t="str"><v>Trial</v></cell><cell r="Q5197" t="str"><v>Social</v></cell><cell r="R5197" t="str"><v>Azure</v></cell><cell r="S5197" t="str"><v>Apps & Infra</v></cell><cell r="T5197" t="str"><v>Developers & ITI's</v></cell><cell r="U5197" t="str"><v>LAL</v></cell><cell r="V5197" t="str"><v>Lookalike Targeting</v></cell><cell r="W5197" t="str"><v>Social</v></cell><cell r="X5197" t="str"><v>1x1</v></cell></row><row r="5197"><cell r="AA5197"><v>43319</v></cell><cell r="AB5197" t="str"><v>AUS_gaPMG_AZR_AZR_Q1_19_Trial-Social</v></cell><cell r="AC5197"><v>21358568</v></cell><cell r="AD5197"><v>720191</v></cell><cell r="AE5197" t="str"><v>Facebook</v></cell><cell r="AF5197"><v>3654128</v></cell><cell r="AG5197" t="str"><v>Facebook»LAL»1x1»TextLink»SOC»DT»DYN»LAL»W»NA»SS»NA»Free Account Refresh- 200 Credit ChD</v></cell><cell r="AH5197"><v>224160720</v></cell><cell r="AI5197" t="str"><v>AzurePlatform_FreeAcctRetargetingOSSFB-Logos-ChG_AUS_1200x628_SOC_Plat_EN_Free Account_Standard_NA_SNU_T2_1</v></cell><cell r="AJ5197"><v>103186907</v></cell></row><row r="5198"><cell r="C5198" t="str"><v>43319Facebook»LAL»1x1»TextLink»SOC»DT»DYN»LAL»W»NA»SS»NA»Free Account Refresh- Device ChB</v></cell><cell r="D5198" t="str"><v>43319224160717</v></cell><cell r="E5198" t="str"><v>43319103048485ce ChB</v></cell><cell r="F5198" t="str"><v>DCM</v></cell><cell r="G5198" t="str"><v>https://azure.microsoft.com/en-au/free/open-source/search/</v></cell></row><row r="5198"><cell r="K5198" t="str"><v>August</v></cell><cell r="L5198"><v>43323</v></cell><cell r="M5198" t="str"><v>Tier 1</v></cell><cell r="N5198" t="str"><v>APAC</v></cell><cell r="O5198" t="str"><v>Australia</v></cell><cell r="P5198" t="str"><v>Trial</v></cell><cell r="Q5198" t="str"><v>Social</v></cell><cell r="R5198" t="str"><v>Azure</v></cell><cell r="S5198" t="str"><v>Apps & Infra</v></cell><cell r="T5198" t="str"><v>Developers & ITI's</v></cell><cell r="U5198" t="str"><v>LAL</v></cell><cell r="V5198" t="str"><v>Lookalike Targeting</v></cell><cell r="W5198" t="str"><v>Social</v></cell><cell r="X5198" t="str"><v>1x1</v></cell></row><row r="5198"><cell r="AA5198"><v>43319</v></cell><cell r="AB5198" t="str"><v>AUS_gaPMG_AZR_AZR_Q1_19_Trial-Social</v></cell><cell r="AC5198"><v>21358568</v></cell><cell r="AD5198"><v>720191</v></cell><cell r="AE5198" t="str"><v>Facebook</v></cell><cell r="AF5198"><v>3654128</v></cell><cell r="AG5198" t="str"><v>Facebook»LAL»1x1»TextLink»SOC»DT»DYN»LAL»W»NA»SS»NA»Free Account Refresh- Device ChB</v></cell><cell r="AH5198"><v>224160717</v></cell><cell r="AI5198" t="str"><v>AzurePlatform_FreeAcctRetargetingOSSFB-Text-ChF_AUS_1200x628_SOC_Plat_EN_Free Account_Standard_NA_SNU_T1_1</v></cell><cell r="AJ5198"><v>103048485</v></cell></row><row r="5199"><cell r="C5199" t="str"><v>43319Facebook»LAL»1x1»TextLink»SOC»DT»DYN»LAL»W»NA»SS»NA»Free Account Refresh- Illustration ChC</v></cell><cell r="D5199" t="str"><v>43319224160714</v></cell><cell r="E5199" t="str"><v>43319103186916on ChC</v></cell><cell r="F5199" t="str"><v>DCM</v></cell><cell r="G5199" t="str"><v>https://azure.microsoft.com/en-au/free/virtual-machines/search/</v></cell></row><row r="5199"><cell r="K5199" t="str"><v>August</v></cell><cell r="L5199"><v>43323</v></cell><cell r="M5199" t="str"><v>Tier 1</v></cell><cell r="N5199" t="str"><v>APAC</v></cell><cell r="O5199" t="str"><v>Australia</v></cell><cell r="P5199" t="str"><v>Trial</v></cell><cell r="Q5199" t="str"><v>Social</v></cell><cell r="R5199" t="str"><v>Azure</v></cell><cell r="S5199" t="str"><v>Apps & Infra</v></cell><cell r="T5199" t="str"><v>Developers & ITI's</v></cell><cell r="U5199" t="str"><v>LAL</v></cell><cell r="V5199" t="str"><v>Lookalike Targeting</v></cell><cell r="W5199" t="str"><v>Social</v></cell><cell r="X5199" t="str"><v>1x1</v></cell></row><row r="5199"><cell r="AA5199"><v>43319</v></cell><cell r="AB5199" t="str"><v>AUS_gaPMG_AZR_AZR_Q1_19_Trial-Social</v></cell><cell r="AC5199"><v>21358568</v></cell><cell r="AD5199"><v>720191</v></cell><cell r="AE5199" t="str"><v>Facebook</v></cell><cell r="AF5199"><v>3654128</v></cell><cell r="AG5199" t="str"><v>Facebook»LAL»1x1»TextLink»SOC»DT»DYN»LAL»W»NA»SS»NA»Free Account Refresh- Illustration ChC</v></cell><cell r="AH5199"><v>224160714</v></cell><cell r="AI5199" t="str"><v>AzurePlatform_FreeAcctRetargetingVMFB-750Hrs-ChD_AUS_1200x628_SOC_Plat_EN_Free Account_Standard_NA_SNU_T1_1</v></cell><cell r="AJ5199"><v>103186916</v></cell></row><row r="5200"><cell r="C5200" t="str"><v>43319Facebook»LAL»1x1»TextLink»SOC»DT»DYN»LAL»W»NA»SS»NA»Free Account Refresh- Lifestyle ChA</v></cell><cell r="D5200" t="str"><v>43319224160711</v></cell><cell r="E5200" t="str"><v>43319103048491le ChA</v></cell><cell r="F5200" t="str"><v>DCM</v></cell><cell r="G5200" t="str"><v>https://azure.microsoft.com/en-au/free/virtual-machines/search/</v></cell></row><row r="5200"><cell r="K5200" t="str"><v>August</v></cell><cell r="L5200"><v>43323</v></cell><cell r="M5200" t="str"><v>Tier 1</v></cell><cell r="N5200" t="str"><v>APAC</v></cell><cell r="O5200" t="str"><v>Australia</v></cell><cell r="P5200" t="str"><v>Trial</v></cell><cell r="Q5200" t="str"><v>Social</v></cell><cell r="R5200" t="str"><v>Azure</v></cell><cell r="S5200" t="str"><v>Apps & Infra</v></cell><cell r="T5200" t="str"><v>Developers & ITI's</v></cell><cell r="U5200" t="str"><v>LAL</v></cell><cell r="V5200" t="str"><v>Lookalike Targeting</v></cell><cell r="W5200" t="str"><v>Social</v></cell><cell r="X5200" t="str"><v>1x1</v></cell></row><row r="5200"><cell r="AA5200"><v>43319</v></cell><cell r="AB5200" t="str"><v>AUS_gaPMG_AZR_AZR_Q1_19_Trial-Social</v></cell><cell r="AC5200"><v>21358568</v></cell><cell r="AD5200"><v>720191</v></cell><cell r="AE5200" t="str"><v>Facebook</v></cell><cell r="AF5200"><v>3654128</v></cell><cell r="AG5200" t="str"><v>Facebook»LAL»1x1»TextLink»SOC»DT»DYN»LAL»W»NA»SS»NA»Free Account Refresh- Lifestyle ChA</v></cell><cell r="AH5200"><v>224160711</v></cell><cell r="AI5200" t="str"><v>AzurePlatform_FreeAcctRetargetingVMFB-OnDemand-ChE_AUS_1200x628_SOC_Plat_EN_Free Account_Standard_NA_SNU_T2_1</v></cell><cell r="AJ5200"><v>103048491</v></cell></row><row r="5201"><cell r="C5201" t="str"><v>43319Facebook»Retargeting»1x1»TextLink»SOC»DT»DYN»RT»W»NA»SS»NA»Free Account Refresh- Device ChB</v></cell><cell r="D5201" t="str"><v>43319224160735</v></cell><cell r="E5201" t="str"><v>43319103048479ce ChB</v></cell><cell r="F5201" t="str"><v>DCM</v></cell></row><row r="5201"><cell r="K5201" t="str"><v>August</v></cell><cell r="L5201"><v>43323</v></cell><cell r="M5201" t="str"><v>Tier 1</v></cell><cell r="N5201" t="str"><v>APAC</v></cell><cell r="O5201" t="str"><v>Australia</v></cell><cell r="P5201" t="str"><v>Trial</v></cell><cell r="Q5201" t="str"><v>Social</v></cell><cell r="R5201" t="str"><v>Azure</v></cell><cell r="S5201" t="str"><v>Apps & Infra</v></cell><cell r="T5201" t="str"><v>Developers & ITI's</v></cell><cell r="U5201" t="str"><v>Retargeting</v></cell><cell r="V5201" t="str"><v>Retargeting</v></cell><cell r="W5201" t="str"><v>Social</v></cell><cell r="X5201" t="str"><v>1x1</v></cell></row><row r="5201"><cell r="AA5201"><v>43319</v></cell><cell r="AB5201" t="str"><v>AUS_gaPMG_AZR_AZR_Q1_19_Trial-Social</v></cell><cell r="AC5201"><v>21358568</v></cell><cell r="AD5201"><v>720191</v></cell><cell r="AE5201" t="str"><v>Facebook</v></cell><cell r="AF5201"><v>3654128</v></cell><cell r="AG5201" t="str"><v>Facebook»Retargeting»1x1»TextLink»SOC»DT»DYN»RT»W»NA»SS»NA»Free Account Refresh- Device ChB</v></cell><cell r="AH5201"><v>224160735</v></cell><cell r="AI5201" t="str"><v>AzurePlatform_FreeAcctAppsFACEBOOKDeviceChB_AUS_1200x628_SOC_PLAT_EN_Trial_Standard_NA_SNU_T2_1</v></cell><cell r="AJ5201"><v>103048479</v></cell></row><row r="5202"><cell r="C5202" t="str"><v>43319Facebook»Retargeting»1x1»TextLink»SOC»DT»DYN»RT»W»NA»SS»NA»Free Account Refresh- Illustration ChC</v></cell><cell r="D5202" t="str"><v>43319224160732</v></cell><cell r="E5202" t="str"><v>43319103186910on ChC</v></cell><cell r="F5202" t="str"><v>DCM</v></cell></row><row r="5202"><cell r="K5202" t="str"><v>August</v></cell><cell r="L5202"><v>43323</v></cell><cell r="M5202" t="str"><v>Tier 1</v></cell><cell r="N5202" t="str"><v>APAC</v></cell><cell r="O5202" t="str"><v>Australia</v></cell><cell r="P5202" t="str"><v>Trial</v></cell><cell r="Q5202" t="str"><v>Social</v></cell><cell r="R5202" t="str"><v>Azure</v></cell><cell r="S5202" t="str"><v>Apps & Infra</v></cell><cell r="T5202" t="str"><v>Developers & ITI's</v></cell><cell r="U5202" t="str"><v>Retargeting</v></cell><cell r="V5202" t="str"><v>Retargeting</v></cell><cell r="W5202" t="str"><v>Social</v></cell><cell r="X5202" t="str"><v>1x1</v></cell></row><row r="5202"><cell r="AA5202"><v>43319</v></cell><cell r="AB5202" t="str"><v>AUS_gaPMG_AZR_AZR_Q1_19_Trial-Social</v></cell><cell r="AC5202"><v>21358568</v></cell><cell r="AD5202"><v>720191</v></cell><cell r="AE5202" t="str"><v>Facebook</v></cell><cell r="AF5202"><v>3654128</v></cell><cell r="AG5202" t="str"><v>Facebook»Retargeting»1x1»TextLink»SOC»DT»DYN»RT»W»NA»SS»NA»Free Account Refresh- Illustration ChC</v></cell><cell r="AH5202"><v>224160732</v></cell><cell r="AI5202" t="str"><v>AzurePlatform_FreeAcctAppsFACEBOOKIllustrationChC_AUS_1200x628_SOC_PLAT_EN_Trial_Standard_NA_SNU_T3_1</v></cell><cell r="AJ5202"><v>103186910</v></cell></row><row r="5203"><cell r="C5203" t="str"><v>43319Facebook»AZR»1x1»NA»EGV»ALL»DYN»AUT»D»All»SS»NA»Free Acc CTC - T1 - EN</v></cell><cell r="D5203" t="str"><v>43319223684451</v></cell><cell r="E5203" t="str"><v>433191029018821 - EN</v></cell><cell r="F5203" t="str"><v>DCM</v></cell><cell r="G5203" t="str"><v>https://signup.azure.com/</v></cell></row><row r="5203"><cell r="K5203" t="str"><v>August</v></cell><cell r="L5203"><v>43323</v></cell><cell r="M5203" t="str"><v>Tier 1</v></cell><cell r="N5203" t="str"><v>North America</v></cell><cell r="O5203" t="str"><v>Canada</v></cell><cell r="P5203" t="str"><v>Trial</v></cell><cell r="Q5203" t="str"><v>Social</v></cell><cell r="R5203" t="str"><v>Azure</v></cell><cell r="S5203" t="str"><v>Apps & Infra</v></cell><cell r="T5203" t="str"><v>Developers & ITI's</v></cell><cell r="U5203" t="str"><v>AZR</v></cell><cell r="V5203" t="str"><v>Audience Targeting</v></cell><cell r="W5203" t="str"><v>Engagement Video</v></cell><cell r="X5203" t="str"><v>1x1</v></cell></row><row r="5203"><cell r="AA5203"><v>43319</v></cell><cell r="AB5203" t="str"><v>CAN_gaPMG_AZR_AZR_Q1_19_Trial-Social</v></cell><cell r="AC5203"><v>21337220</v></cell><cell r="AD5203"><v>720192</v></cell><cell r="AE5203" t="str"><v>Facebook</v></cell><cell r="AF5203"><v>3654128</v></cell><cell r="AG5203" t="str"><v>Facebook»AZR»1x1»NA»EGV»ALL»DYN»AUT»D»All»SS»NA»Free Acc CTC - T1 - EN</v></cell><cell r="AH5203"><v>223684451</v></cell><cell r="AI5203" t="str"><v>AzurePlatform_FBCTCBasicMotion_CAN_10s_ISV_PLAT_English_Trial_Standard_STAN_TN_T1_1</v></cell><cell r="AJ5203"><v>102901882</v></cell></row><row r="5204"><cell r="C5204" t="str"><v>43319Facebook»AZR»1x1»NA»EGV»ALL»DYN»AUT»D»All»SS»NA»Free Acc CTC - T1 - FR</v></cell><cell r="D5204" t="str"><v>43319223691801</v></cell><cell r="E5204" t="str"><v>433191030533231 - FR</v></cell><cell r="F5204" t="str"><v>DCM</v></cell><cell r="G5204" t="str"><v>https://signup.azure.com/</v></cell></row><row r="5204"><cell r="K5204" t="str"><v>August</v></cell><cell r="L5204"><v>43323</v></cell><cell r="M5204" t="str"><v>Tier 1</v></cell><cell r="N5204" t="str"><v>North America</v></cell><cell r="O5204" t="str"><v>Canada</v></cell><cell r="P5204" t="str"><v>Trial</v></cell><cell r="Q5204" t="str"><v>Social</v></cell><cell r="R5204" t="str"><v>Azure</v></cell><cell r="S5204" t="str"><v>Apps & Infra</v></cell><cell r="T5204" t="str"><v>Developers & ITI's</v></cell><cell r="U5204" t="str"><v>AZR</v></cell><cell r="V5204" t="str"><v>Audience Targeting</v></cell><cell r="W5204" t="str"><v>Engagement Video</v></cell><cell r="X5204" t="str"><v>1x1</v></cell></row><row r="5204"><cell r="AA5204"><v>43319</v></cell><cell r="AB5204" t="str"><v>CAN_gaPMG_AZR_AZR_Q1_19_Trial-Social</v></cell><cell r="AC5204"><v>21337220</v></cell><cell r="AD5204"><v>720192</v></cell><cell r="AE5204" t="str"><v>Facebook</v></cell><cell r="AF5204"><v>3654128</v></cell><cell r="AG5204" t="str"><v>Facebook»AZR»1x1»NA»EGV»ALL»DYN»AUT»D»All»SS»NA»Free Acc CTC - T1 - FR</v></cell><cell r="AH5204"><v>223691801</v></cell><cell r="AI5204" t="str"><v>AzurePlatform_FBCTCBasicMotion_CAN_10s_ISV_PLAT_FR_Trial_Standard_STAN_TN_T1_1</v></cell><cell r="AJ5204"><v>103053323</v></cell></row><row r="5205"><cell r="C5205" t="str"><v>43319Facebook»AZR»1x1»NA»EGV»ALL»DYN»AUT»D»All»SS»NA»Free Acc CTC - T2 - EN</v></cell><cell r="D5205" t="str"><v>43319223691840</v></cell><cell r="E5205" t="str"><v>433191029029502 - EN</v></cell><cell r="F5205" t="str"><v>DCM</v></cell><cell r="G5205" t="str"><v>https://signup.azure.com/</v></cell></row><row r="5205"><cell r="K5205" t="str"><v>August</v></cell><cell r="L5205"><v>43323</v></cell><cell r="M5205" t="str"><v>Tier 1</v></cell><cell r="N5205" t="str"><v>North America</v></cell><cell r="O5205" t="str"><v>Canada</v></cell><cell r="P5205" t="str"><v>Trial</v></cell><cell r="Q5205" t="str"><v>Social</v></cell><cell r="R5205" t="str"><v>Azure</v></cell><cell r="S5205" t="str"><v>Apps & Infra</v></cell><cell r="T5205" t="str"><v>Developers & ITI's</v></cell><cell r="U5205" t="str"><v>AZR</v></cell><cell r="V5205" t="str"><v>Audience Targeting</v></cell><cell r="W5205" t="str"><v>Engagement Video</v></cell><cell r="X5205" t="str"><v>1x1</v></cell></row><row r="5205"><cell r="AA5205"><v>43319</v></cell><cell r="AB5205" t="str"><v>CAN_gaPMG_AZR_AZR_Q1_19_Trial-Social</v></cell><cell r="AC5205"><v>21337220</v></cell><cell r="AD5205"><v>720192</v></cell><cell r="AE5205" t="str"><v>Facebook</v></cell><cell r="AF5205"><v>3654128</v></cell><cell r="AG5205" t="str"><v>Facebook»AZR»1x1»NA»EGV»ALL»DYN»AUT»D»All»SS»NA»Free Acc CTC - T2 - EN</v></cell><cell r="AH5205"><v>223691840</v></cell><cell r="AI5205" t="str"><v>AzurePlatform_FBCTCBrandinMotion_CAN_12s_ISV_PLAT_English_Trial_Standard_STAN_TN_T2_1</v></cell><cell r="AJ5205"><v>102902950</v></cell></row><row r="5206"><cell r="C5206" t="str"><v>43319Facebook»AZR»1x1»NA»EGV»ALL»DYN»AUT»D»All»SS»NA»Free Acc CTC - T4 - EN</v></cell><cell r="D5206" t="str"><v>43319223691837</v></cell><cell r="E5206" t="str"><v>433191030533144 - EN</v></cell><cell r="F5206" t="str"><v>DCM</v></cell><cell r="G5206" t="str"><v>https://signup.azure.com/</v></cell></row><row r="5206"><cell r="K5206" t="str"><v>August</v></cell><cell r="L5206"><v>43323</v></cell><cell r="M5206" t="str"><v>Tier 1</v></cell><cell r="N5206" t="str"><v>North America</v></cell><cell r="O5206" t="str"><v>Canada</v></cell><cell r="P5206" t="str"><v>Trial</v></cell><cell r="Q5206" t="str"><v>Social</v></cell><cell r="R5206" t="str"><v>Azure</v></cell><cell r="S5206" t="str"><v>Apps & Infra</v></cell><cell r="T5206" t="str"><v>Developers & ITI's</v></cell><cell r="U5206" t="str"><v>AZR</v></cell><cell r="V5206" t="str"><v>Audience Targeting</v></cell><cell r="W5206" t="str"><v>Engagement Video</v></cell><cell r="X5206" t="str"><v>1x1</v></cell></row><row r="5206"><cell r="AA5206"><v>43319</v></cell><cell r="AB5206" t="str"><v>CAN_gaPMG_AZR_AZR_Q1_19_Trial-Social</v></cell><cell r="AC5206"><v>21337220</v></cell><cell r="AD5206"><v>720192</v></cell><cell r="AE5206" t="str"><v>Facebook</v></cell><cell r="AF5206"><v>3654128</v></cell><cell r="AG5206" t="str"><v>Facebook»AZR»1x1»NA»EGV»ALL»DYN»AUT»D»All»SS»NA»Free Acc CTC - T4 - EN</v></cell><cell r="AH5206"><v>223691837</v></cell><cell r="AI5206" t="str"><v>AzurePlatform_FBCTCBenefit2inMotion_CAN_14s_ISV_PLAT_English_Trial_Standard_STAN_TN_T4_1</v></cell><cell r="AJ5206"><v>103053314</v></cell></row><row r="5207"><cell r="C5207" t="str"><v>43319Facebook»AZR»1x1»NA»SOC»ALL»DYN»PRO»D»All»SS»NA»Canvas - Buy Now - EN</v></cell><cell r="D5207" t="str"><v>43319225322327</v></cell><cell r="E5207" t="str"><v>43319103902287w - EN</v></cell><cell r="F5207" t="str"><v>DCM</v></cell><cell r="G5207" t="str"><v>https://azure.microsoft.com/en-ca/pricing/purchase-options/</v></cell></row><row r="5207"><cell r="K5207" t="str"><v>August</v></cell><cell r="L5207"><v>43323</v></cell><cell r="M5207" t="str"><v>Tier 1</v></cell><cell r="N5207" t="str"><v>North America</v></cell><cell r="O5207" t="str"><v>Canada</v></cell><cell r="P5207" t="str"><v>Trial</v></cell><cell r="Q5207" t="str"><v>Social</v></cell><cell r="R5207" t="str"><v>Azure</v></cell><cell r="S5207" t="str"><v>Apps & Infra</v></cell><cell r="T5207" t="str"><v>Developers & ITI's</v></cell><cell r="U5207" t="str"><v>AZR</v></cell><cell r="V5207" t="str"><v>Prospecting</v></cell><cell r="W5207" t="str"><v>Social</v></cell><cell r="X5207" t="str"><v>1x1</v></cell></row><row r="5207"><cell r="AA5207"><v>43319</v></cell><cell r="AB5207" t="str"><v>CAN_gaPMG_AZR_AZR_Q1_19_Trial-Social</v></cell><cell r="AC5207"><v>21337220</v></cell><cell r="AD5207"><v>720192</v></cell><cell r="AE5207" t="str"><v>Facebook</v></cell><cell r="AF5207"><v>3654128</v></cell><cell r="AG5207" t="str"><v>Facebook»AZR»1x1»NA»SOC»ALL»DYN»PRO»D»All»SS»NA»Canvas - Buy Now - EN</v></cell><cell r="AH5207"><v>225322327</v></cell><cell r="AI5207" t="str"><v>AzurePlatform_FBCTCcanvaspage-BuyNowCTA-Img3_CAN_1080x162_SOC_Plat_English_NA_Standard_NA_BN_T3_1</v></cell><cell r="AJ5207"><v>103902287</v></cell></row><row r="5208"><cell r="C5208" t="str"><v>43319Facebook»AZR»1x1»NA»SOC»ALL»DYN»PRO»D»All»SS»NA»Canvas - Buy Now - FR</v></cell><cell r="D5208" t="str"><v>43319225322324</v></cell><cell r="E5208" t="str"><v>43319103789915w - FR</v></cell><cell r="F5208" t="str"><v>DCM</v></cell><cell r="G5208" t="str"><v>https://azure.microsoft.com/fr-ca/pricing/purchase-options/</v></cell></row><row r="5208"><cell r="K5208" t="str"><v>August</v></cell><cell r="L5208"><v>43323</v></cell><cell r="M5208" t="str"><v>Tier 1</v></cell><cell r="N5208" t="str"><v>North America</v></cell><cell r="O5208" t="str"><v>Canada</v></cell><cell r="P5208" t="str"><v>Trial</v></cell><cell r="Q5208" t="str"><v>Social</v></cell><cell r="R5208" t="str"><v>Azure</v></cell><cell r="S5208" t="str"><v>Apps & Infra</v></cell><cell r="T5208" t="str"><v>Developers & ITI's</v></cell><cell r="U5208" t="str"><v>AZR</v></cell><cell r="V5208" t="str"><v>Prospecting</v></cell><cell r="W5208" t="str"><v>Social</v></cell><cell r="X5208" t="str"><v>1x1</v></cell></row><row r="5208"><cell r="AA5208"><v>43319</v></cell><cell r="AB5208" t="str"><v>CAN_gaPMG_AZR_AZR_Q1_19_Trial-Social</v></cell><cell r="AC5208"><v>21337220</v></cell><cell r="AD5208"><v>720192</v></cell><cell r="AE5208" t="str"><v>Facebook</v></cell><cell r="AF5208"><v>3654128</v></cell><cell r="AG5208" t="str"><v>Facebook»AZR»1x1»NA»SOC»ALL»DYN»PRO»D»All»SS»NA»Canvas - Buy Now - FR</v></cell><cell r="AH5208"><v>225322324</v></cell><cell r="AI5208" t="str"><v>AzurePlatform_FBCTCcanvaspage-BuyNowCTA-Img3_CAN_1080x162_SOC_Plat_French_NA_Standard_NA_BN_T3_1</v></cell><cell r="AJ5208"><v>103789915</v></cell></row><row r="5209"><cell r="C5209" t="str"><v>43319Facebook»AZR»1x1»NA»SOC»ALL»DYN»PRO»D»All»SS»NA»Canvas - Start Free - EN</v></cell><cell r="D5209" t="str"><v>43319225252365</v></cell><cell r="E5209" t="str"><v>43319103807590e - EN</v></cell><cell r="F5209" t="str"><v>DCM</v></cell><cell r="G5209" t="str"><v>https://signup.azure.com/signup?offer=ms-azr-0044p&appId=102&ref=paidmedia-social-fb&redirectURL=https%3a%2f%2fazure.microsoft.com%2fen-ca%2fget-started%2fwelcome-to-azure%2f&l=en-ca&correlationId=ead86c34-1f10-49dd-a72b-6918462a2cbf</v></cell></row><row r="5209"><cell r="K5209" t="str"><v>August</v></cell><cell r="L5209"><v>43323</v></cell><cell r="M5209" t="str"><v>Tier 1</v></cell><cell r="N5209" t="str"><v>North America</v></cell><cell r="O5209" t="str"><v>Canada</v></cell><cell r="P5209" t="str"><v>Trial</v></cell><cell r="Q5209" t="str"><v>Social</v></cell><cell r="R5209" t="str"><v>Azure</v></cell><cell r="S5209" t="str"><v>Apps & Infra</v></cell><cell r="T5209" t="str"><v>Developers & ITI's</v></cell><cell r="U5209" t="str"><v>AZR</v></cell><cell r="V5209" t="str"><v>Prospecting</v></cell><cell r="W5209" t="str"><v>Social</v></cell><cell r="X5209" t="str"><v>1x1</v></cell></row><row r="5209"><cell r="AA5209"><v>43319</v></cell><cell r="AB5209" t="str"><v>CAN_gaPMG_AZR_AZR_Q1_19_Trial-Social</v></cell><cell r="AC5209"><v>21337220</v></cell><cell r="AD5209"><v>720192</v></cell><cell r="AE5209" t="str"><v>Facebook</v></cell><cell r="AF5209"><v>3654128</v></cell><cell r="AG5209" t="str"><v>Facebook»AZR»1x1»NA»SOC»ALL»DYN»PRO»D»All»SS»NA»Canvas - Start Free - EN</v></cell><cell r="AH5209"><v>225252365</v></cell><cell r="AI5209" t="str"><v>AzurePlatform_FBCTCcanvaspage-StartFreeCTA-Img2_CAN_1080x143 _SOC_Plat_English_NA_Standard_NA_NA_T2_1</v></cell><cell r="AJ5209"><v>103807590</v></cell></row><row r="5210"><cell r="C5210" t="str"><v>43319Facebook»AZR»1x1»NA»SOC»ALL»DYN»PRO»D»All»SS»NA»Canvas - Start Free - FR</v></cell><cell r="D5210" t="str"><v>43319225525936</v></cell><cell r="E5210" t="str"><v>43319103902551e - FR</v></cell><cell r="F5210" t="str"><v>DCM</v></cell><cell r="G5210" t="str"><v>https://signup.azure.com/signup?offer=ms-azr-0044p&appId=102&ref=paidmedia-social-fb&redirectURL=https%3a%2f%2fazure.microsoft.com%2ffr-ca%2fget-started%2fwelcome-to-azure%2f&l=fr-ca&correlationId=ead86c34-1f10-49dd-a72b-6918462a2cbf</v></cell></row><row r="5210"><cell r="K5210" t="str"><v>August</v></cell><cell r="L5210"><v>43323</v></cell><cell r="M5210" t="str"><v>Tier 1</v></cell><cell r="N5210" t="str"><v>North America</v></cell><cell r="O5210" t="str"><v>Canada</v></cell><cell r="P5210" t="str"><v>Trial</v></cell><cell r="Q5210" t="str"><v>Social</v></cell><cell r="R5210" t="str"><v>Azure</v></cell><cell r="S5210" t="str"><v>Apps & Infra</v></cell><cell r="T5210" t="str"><v>Developers & ITI's</v></cell><cell r="U5210" t="str"><v>AZR</v></cell><cell r="V5210" t="str"><v>Prospecting</v></cell><cell r="W5210" t="str"><v>Social</v></cell><cell r="X5210" t="str"><v>1x1</v></cell></row><row r="5210"><cell r="AA5210"><v>43319</v></cell><cell r="AB5210" t="str"><v>CAN_gaPMG_AZR_AZR_Q1_19_Trial-Social</v></cell><cell r="AC5210"><v>21337220</v></cell><cell r="AD5210"><v>720192</v></cell><cell r="AE5210" t="str"><v>Facebook</v></cell><cell r="AF5210"><v>3654128</v></cell><cell r="AG5210" t="str"><v>Facebook»AZR»1x1»NA»SOC»ALL»DYN»PRO»D»All»SS»NA»Canvas - Start Free - FR</v></cell><cell r="AH5210"><v>225525936</v></cell><cell r="AI5210" t="str"><v>AzurePlatform_FBCTCcanvaspage-StartFreeCTA-Img2_CAN_1080x143 _SOC_Plat_French_NA_Standard_NA_NA_T2_1</v></cell><cell r="AJ5210"><v>103902551</v></cell></row><row r="5211"><cell r="C5211" t="str"><v>43319Facebook»AZR»1x1»SocialBan»NA»ALL»DYN»AUT»D»All»SS»NA»Free Acc Refresh - T1 - EN</v></cell><cell r="D5211" t="str"><v>43319223691804</v></cell><cell r="E5211" t="str"><v>433191030587171 - EN</v></cell><cell r="F5211" t="str"><v>DCM</v></cell><cell r="G5211" t="str"><v>https://azure.microsoft.com/en-CA/free/search/</v></cell></row><row r="5211"><cell r="K5211" t="str"><v>August</v></cell><cell r="L5211"><v>43323</v></cell><cell r="M5211" t="str"><v>Tier 1</v></cell><cell r="N5211" t="str"><v>North America</v></cell><cell r="O5211" t="str"><v>Canada</v></cell><cell r="P5211" t="str"><v>Trial</v></cell><cell r="Q5211" t="str"><v>Social</v></cell><cell r="R5211" t="str"><v>Azure</v></cell><cell r="S5211" t="str"><v>Apps & Infra</v></cell><cell r="T5211" t="str"><v>Developers & ITI's</v></cell><cell r="U5211" t="str"><v>AZR</v></cell><cell r="V5211" t="str"><v>Audience Targeting</v></cell><cell r="W5211" t="str"><v>NotApplicable</v></cell><cell r="X5211" t="str"><v>1x1</v></cell></row><row r="5211"><cell r="AA5211"><v>43319</v></cell><cell r="AB5211" t="str"><v>CAN_gaPMG_AZR_AZR_Q1_19_Trial-Social</v></cell><cell r="AC5211"><v>21337220</v></cell><cell r="AD5211"><v>720192</v></cell><cell r="AE5211" t="str"><v>Facebook</v></cell><cell r="AF5211"><v>3654128</v></cell><cell r="AG5211" t="str"><v>Facebook»AZR»1x1»SocialBan»NA»ALL»DYN»AUT»D»All»SS»NA»Free Acc Refresh - T1 - EN</v></cell><cell r="AH5211"><v>223691804</v></cell><cell r="AI5211" t="str"><v>AzurePlatform_FreeAcctAppsFACEBOOKLifestyleChA_CAN_1200x628_SOC_PLAT_EN_Trial_Standard_NA_SU_T1_1.png</v></cell><cell r="AJ5211"><v>103058717</v></cell></row><row r="5212"><cell r="C5212" t="str"><v>43319Facebook»AZR»1x1»SocialBan»NA»ALL»DYN»AUT»D»All»SS»NA»Free Acc Refresh - T2 - FR</v></cell><cell r="D5212" t="str"><v>43319223691768</v></cell><cell r="E5212" t="str"><v>433191029029712 - FR</v></cell><cell r="F5212" t="str"><v>DCM</v></cell><cell r="G5212" t="str"><v>https://azure.microsoft.com/fr-ca/free/search/</v></cell></row><row r="5212"><cell r="K5212" t="str"><v>August</v></cell><cell r="L5212"><v>43323</v></cell><cell r="M5212" t="str"><v>Tier 1</v></cell><cell r="N5212" t="str"><v>North America</v></cell><cell r="O5212" t="str"><v>Canada</v></cell><cell r="P5212" t="str"><v>Trial</v></cell><cell r="Q5212" t="str"><v>Social</v></cell><cell r="R5212" t="str"><v>Azure</v></cell><cell r="S5212" t="str"><v>Apps & Infra</v></cell><cell r="T5212" t="str"><v>Developers & ITI's</v></cell><cell r="U5212" t="str"><v>AZR</v></cell><cell r="V5212" t="str"><v>Audience Targeting</v></cell><cell r="W5212" t="str"><v>NotApplicable</v></cell><cell r="X5212" t="str"><v>1x1</v></cell></row><row r="5212"><cell r="AA5212"><v>43319</v></cell><cell r="AB5212" t="str"><v>CAN_gaPMG_AZR_AZR_Q1_19_Trial-Social</v></cell><cell r="AC5212"><v>21337220</v></cell><cell r="AD5212"><v>720192</v></cell><cell r="AE5212" t="str"><v>Facebook</v></cell><cell r="AF5212"><v>3654128</v></cell><cell r="AG5212" t="str"><v>Facebook»AZR»1x1»SocialBan»NA»ALL»DYN»AUT»D»All»SS»NA»Free Acc Refresh - T2 - FR</v></cell><cell r="AH5212"><v>223691768</v></cell><cell r="AI5212" t="str"><v>AzurePlatform_FreeAcctAppsFACEBOOKDeviceChB_CAN_1200x628_SOC_PLAT_FR_Trial_Standard_NA_SU_T2_1.png</v></cell><cell r="AJ5212"><v>102902971</v></cell></row><row r="5213"><cell r="C5213" t="str"><v>43319Facebook»AZR»1x1»SocialBan»NA»ALL»DYN»AUT»D»All»SS»NA»Free Acc Refresh - T3 - EN</v></cell><cell r="D5213" t="str"><v>43319223691807</v></cell><cell r="E5213" t="str"><v>433191029006853 - EN</v></cell><cell r="F5213" t="str"><v>DCM</v></cell><cell r="G5213" t="str"><v>https://azure.microsoft.com/en-CA/free/search/</v></cell></row><row r="5213"><cell r="K5213" t="str"><v>August</v></cell><cell r="L5213"><v>43323</v></cell><cell r="M5213" t="str"><v>Tier 1</v></cell><cell r="N5213" t="str"><v>North America</v></cell><cell r="O5213" t="str"><v>Canada</v></cell><cell r="P5213" t="str"><v>Trial</v></cell><cell r="Q5213" t="str"><v>Social</v></cell><cell r="R5213" t="str"><v>Azure</v></cell><cell r="S5213" t="str"><v>Apps & Infra</v></cell><cell r="T5213" t="str"><v>Developers & ITI's</v></cell><cell r="U5213" t="str"><v>AZR</v></cell><cell r="V5213" t="str"><v>Audience Targeting</v></cell><cell r="W5213" t="str"><v>NotApplicable</v></cell><cell r="X5213" t="str"><v>1x1</v></cell></row><row r="5213"><cell r="AA5213"><v>43319</v></cell><cell r="AB5213" t="str"><v>CAN_gaPMG_AZR_AZR_Q1_19_Trial-Social</v></cell><cell r="AC5213"><v>21337220</v></cell><cell r="AD5213"><v>720192</v></cell><cell r="AE5213" t="str"><v>Facebook</v></cell><cell r="AF5213"><v>3654128</v></cell><cell r="AG5213" t="str"><v>Facebook»AZR»1x1»SocialBan»NA»ALL»DYN»AUT»D»All»SS»NA»Free Acc Refresh - T3 - EN</v></cell><cell r="AH5213"><v>223691807</v></cell><cell r="AI5213" t="str"><v>AzurePlatform_FreeAcctAppsFACEBOOKIllustrationChC_CAN_1200x628_SOC_PLAT_EN_Trial_Standard_NA_SU_T3_1.png</v></cell><cell r="AJ5213"><v>102900685</v></cell></row><row r="5214"><cell r="C5214" t="str"><v>43319Facebook»AZR»1x1»SocialBan»NA»ALL»DYN»AUT»D»All»SS»NA»Free Acc Refresh - T3 - FR</v></cell><cell r="D5214" t="str"><v>43319223691765</v></cell><cell r="E5214" t="str"><v>433191030533323 - FR</v></cell><cell r="F5214" t="str"><v>DCM</v></cell><cell r="G5214" t="str"><v>https://azure.microsoft.com/fr-ca/free/search/</v></cell></row><row r="5214"><cell r="K5214" t="str"><v>August</v></cell><cell r="L5214"><v>43323</v></cell><cell r="M5214" t="str"><v>Tier 1</v></cell><cell r="N5214" t="str"><v>North America</v></cell><cell r="O5214" t="str"><v>Canada</v></cell><cell r="P5214" t="str"><v>Trial</v></cell><cell r="Q5214" t="str"><v>Social</v></cell><cell r="R5214" t="str"><v>Azure</v></cell><cell r="S5214" t="str"><v>Apps & Infra</v></cell><cell r="T5214" t="str"><v>Developers & ITI's</v></cell><cell r="U5214" t="str"><v>AZR</v></cell><cell r="V5214" t="str"><v>Audience Targeting</v></cell><cell r="W5214" t="str"><v>NotApplicable</v></cell><cell r="X5214" t="str"><v>1x1</v></cell></row><row r="5214"><cell r="AA5214"><v>43319</v></cell><cell r="AB5214" t="str"><v>CAN_gaPMG_AZR_AZR_Q1_19_Trial-Social</v></cell><cell r="AC5214"><v>21337220</v></cell><cell r="AD5214"><v>720192</v></cell><cell r="AE5214" t="str"><v>Facebook</v></cell><cell r="AF5214"><v>3654128</v></cell><cell r="AG5214" t="str"><v>Facebook»AZR»1x1»SocialBan»NA»ALL»DYN»AUT»D»All»SS»NA»Free Acc Refresh - T3 - FR</v></cell><cell r="AH5214"><v>223691765</v></cell><cell r="AI5214" t="str"><v>AzurePlatform_FreeAcctAppsFACEBOOKIllustrationChC_CAN_1200x628_SOC_PLAT_FR_Trial_Standard_NA_SU_T3_1.png</v></cell><cell r="AJ5214"><v>103053332</v></cell></row><row r="5215"><cell r="C5215" t="str"><v>43319Facebook»AZR»1x1»SocialBan»NA»ALL»DYN»AUT»D»All»SS»NA»Free Acc Refresh - T4 - FR</v></cell><cell r="D5215" t="str"><v>43319223691771</v></cell><cell r="E5215" t="str"><v>433191029029684 - FR</v></cell><cell r="F5215" t="str"><v>DCM</v></cell><cell r="G5215" t="str"><v>https://azure.microsoft.com/fr-ca/free/search/</v></cell></row><row r="5215"><cell r="K5215" t="str"><v>August</v></cell><cell r="L5215"><v>43323</v></cell><cell r="M5215" t="str"><v>Tier 1</v></cell><cell r="N5215" t="str"><v>North America</v></cell><cell r="O5215" t="str"><v>Canada</v></cell><cell r="P5215" t="str"><v>Trial</v></cell><cell r="Q5215" t="str"><v>Social</v></cell><cell r="R5215" t="str"><v>Azure</v></cell><cell r="S5215" t="str"><v>Apps & Infra</v></cell><cell r="T5215" t="str"><v>Developers & ITI's</v></cell><cell r="U5215" t="str"><v>AZR</v></cell><cell r="V5215" t="str"><v>Audience Targeting</v></cell><cell r="W5215" t="str"><v>NotApplicable</v></cell><cell r="X5215" t="str"><v>1x1</v></cell></row><row r="5215"><cell r="AA5215"><v>43319</v></cell><cell r="AB5215" t="str"><v>CAN_gaPMG_AZR_AZR_Q1_19_Trial-Social</v></cell><cell r="AC5215"><v>21337220</v></cell><cell r="AD5215"><v>720192</v></cell><cell r="AE5215" t="str"><v>Facebook</v></cell><cell r="AF5215"><v>3654128</v></cell><cell r="AG5215" t="str"><v>Facebook»AZR»1x1»SocialBan»NA»ALL»DYN»AUT»D»All»SS»NA»Free Acc Refresh - T4 - FR</v></cell><cell r="AH5215"><v>223691771</v></cell><cell r="AI5215" t="str"><v>AzurePlatform_FreeAcctAppsFACEBOOK200CreditChD_CAN_1200x628_SOC_PLAT_FR_Trial_Standard_NA_SU_T4_1.png</v></cell><cell r="AJ5215"><v>102902968</v></cell></row><row r="5216"><cell r="C5216" t="str"><v>43319Facebook»AZR»1x1»SocialBan»NA»ALL»DYN»AUT»D»All»SS»NA»Free Acc Refresh - T5 - EN</v></cell><cell r="D5216" t="str"><v>43319223691816</v></cell><cell r="E5216" t="str"><v>433191029163415 - EN</v></cell><cell r="F5216" t="str"><v>DCM</v></cell><cell r="G5216" t="str"><v>https://azure.microsoft.com/en-CA/free/search/</v></cell></row><row r="5216"><cell r="K5216" t="str"><v>August</v></cell><cell r="L5216"><v>43323</v></cell><cell r="M5216" t="str"><v>Tier 1</v></cell><cell r="N5216" t="str"><v>North America</v></cell><cell r="O5216" t="str"><v>Canada</v></cell><cell r="P5216" t="str"><v>Trial</v></cell><cell r="Q5216" t="str"><v>Social</v></cell><cell r="R5216" t="str"><v>Azure</v></cell><cell r="S5216" t="str"><v>Apps & Infra</v></cell><cell r="T5216" t="str"><v>Developers & ITI's</v></cell><cell r="U5216" t="str"><v>AZR</v></cell><cell r="V5216" t="str"><v>Audience Targeting</v></cell><cell r="W5216" t="str"><v>NotApplicable</v></cell><cell r="X5216" t="str"><v>1x1</v></cell></row><row r="5216"><cell r="AA5216"><v>43319</v></cell><cell r="AB5216" t="str"><v>CAN_gaPMG_AZR_AZR_Q1_19_Trial-Social</v></cell><cell r="AC5216"><v>21337220</v></cell><cell r="AD5216"><v>720192</v></cell><cell r="AE5216" t="str"><v>Facebook</v></cell><cell r="AF5216"><v>3654128</v></cell><cell r="AG5216" t="str"><v>Facebook»AZR»1x1»SocialBan»NA»ALL»DYN»AUT»D»All»SS»NA»Free Acc Refresh - T5 - EN</v></cell><cell r="AH5216"><v>223691816</v></cell><cell r="AI5216" t="str"><v>AzurePlatform_FreeAcctAppsFACEBOOK12monthsChE_CAN_1200x628_SOC_PLAT_EN_Trial_Standard_NA_SU_T5_1.png</v></cell><cell r="AJ5216"><v>102916341</v></cell></row><row r="5217"><cell r="C5217" t="str"><v>43319Facebook»AZR»1x1»SocialBan»NA»ALL»DYN»AUT»D»All»SS»NA»Free Acc Refresh - T5 - FR</v></cell><cell r="D5217" t="str"><v>43319223691774</v></cell><cell r="E5217" t="str"><v>433191029163565 - FR</v></cell><cell r="F5217" t="str"><v>DCM</v></cell><cell r="G5217" t="str"><v>https://azure.microsoft.com/fr-ca/free/search/</v></cell></row><row r="5217"><cell r="K5217" t="str"><v>August</v></cell><cell r="L5217"><v>43323</v></cell><cell r="M5217" t="str"><v>Tier 1</v></cell><cell r="N5217" t="str"><v>North America</v></cell><cell r="O5217" t="str"><v>Canada</v></cell><cell r="P5217" t="str"><v>Trial</v></cell><cell r="Q5217" t="str"><v>Social</v></cell><cell r="R5217" t="str"><v>Azure</v></cell><cell r="S5217" t="str"><v>Apps & Infra</v></cell><cell r="T5217" t="str"><v>Developers & ITI's</v></cell><cell r="U5217" t="str"><v>AZR</v></cell><cell r="V5217" t="str"><v>Audience Targeting</v></cell><cell r="W5217" t="str"><v>NotApplicable</v></cell><cell r="X5217" t="str"><v>1x1</v></cell></row><row r="5217"><cell r="AA5217"><v>43319</v></cell><cell r="AB5217" t="str"><v>CAN_gaPMG_AZR_AZR_Q1_19_Trial-Social</v></cell><cell r="AC5217"><v>21337220</v></cell><cell r="AD5217"><v>720192</v></cell><cell r="AE5217" t="str"><v>Facebook</v></cell><cell r="AF5217"><v>3654128</v></cell><cell r="AG5217" t="str"><v>Facebook»AZR»1x1»SocialBan»NA»ALL»DYN»AUT»D»All»SS»NA»Free Acc Refresh - T5 - FR</v></cell><cell r="AH5217"><v>223691774</v></cell><cell r="AI5217" t="str"><v>AzurePlatform_FreeAcctAppsFACEBOOK12monthsChE_CAN_1200x628_SOC_PLAT_FR_Trial_Standard_NA_SU_T5_1.png</v></cell><cell r="AJ5217"><v>102916356</v></cell></row><row r="5218"><cell r="C5218" t="str"><v>43319Facebook»AZR»1x1»SocialBan»NA»ALL»DYN»RT»D»All»SS»NA» Free Account Retargeting OSS - T1 - FR</v></cell><cell r="D5218" t="str"><v>43319223691786</v></cell><cell r="E5218" t="str"><v>433191030587201 - FR</v></cell><cell r="F5218" t="str"><v>DCM</v></cell><cell r="G5218" t="str"><v>https://azure.microsoft.com/fr-ca/free/open-source/search/</v></cell></row><row r="5218"><cell r="K5218" t="str"><v>August</v></cell><cell r="L5218"><v>43323</v></cell><cell r="M5218" t="str"><v>Tier 1</v></cell><cell r="N5218" t="str"><v>North America</v></cell><cell r="O5218" t="str"><v>Canada</v></cell><cell r="P5218" t="str"><v>Trial</v></cell><cell r="Q5218" t="str"><v>Social</v></cell><cell r="R5218" t="str"><v>Azure</v></cell><cell r="S5218" t="str"><v>Apps & Infra</v></cell><cell r="T5218" t="str"><v>Developers & ITI's</v></cell><cell r="U5218" t="str"><v>AZR</v></cell><cell r="V5218" t="str"><v>Retargeting</v></cell><cell r="W5218" t="str"><v>NotApplicable</v></cell><cell r="X5218" t="str"><v>1x1</v></cell></row><row r="5218"><cell r="AA5218"><v>43319</v></cell><cell r="AB5218" t="str"><v>CAN_gaPMG_AZR_AZR_Q1_19_Trial-Social</v></cell><cell r="AC5218"><v>21337220</v></cell><cell r="AD5218"><v>720192</v></cell><cell r="AE5218" t="str"><v>Facebook</v></cell><cell r="AF5218"><v>3654128</v></cell><cell r="AG5218" t="str"><v>Facebook»AZR»1x1»SocialBan»NA»ALL»DYN»RT»D»All»SS»NA» Free Account Retargeting OSS - T1 - FR</v></cell><cell r="AH5218"><v>223691786</v></cell><cell r="AI5218" t="str"><v>AzurePlatform_FreeAcctRetargetingOSSFB-Text-ChF_CAN_1200x628_SOC_Plat_FR_Free Account_Standard_NA_SU_T1_1</v></cell><cell r="AJ5218"><v>103058720</v></cell></row><row r="5219"><cell r="C5219" t="str"><v>43319Facebook»AZR»1x1»SocialBan»NA»ALL»DYN»RT»D»All»SS»NA» Free Account Retargeting OSS - T2 - EN</v></cell><cell r="D5219" t="str"><v>43319223691831</v></cell><cell r="E5219" t="str"><v>433191029138002 - EN</v></cell><cell r="F5219" t="str"><v>DCM</v></cell><cell r="G5219" t="str"><v>https://azure.microsoft.com/en-ca/free/open-source/search/</v></cell></row><row r="5219"><cell r="K5219" t="str"><v>August</v></cell><cell r="L5219"><v>43323</v></cell><cell r="M5219" t="str"><v>Tier 1</v></cell><cell r="N5219" t="str"><v>North America</v></cell><cell r="O5219" t="str"><v>Canada</v></cell><cell r="P5219" t="str"><v>Trial</v></cell><cell r="Q5219" t="str"><v>Social</v></cell><cell r="R5219" t="str"><v>Azure</v></cell><cell r="S5219" t="str"><v>Apps & Infra</v></cell><cell r="T5219" t="str"><v>Developers & ITI's</v></cell><cell r="U5219" t="str"><v>AZR</v></cell><cell r="V5219" t="str"><v>Retargeting</v></cell><cell r="W5219" t="str"><v>NotApplicable</v></cell><cell r="X5219" t="str"><v>1x1</v></cell></row><row r="5219"><cell r="AA5219"><v>43319</v></cell><cell r="AB5219" t="str"><v>CAN_gaPMG_AZR_AZR_Q1_19_Trial-Social</v></cell><cell r="AC5219"><v>21337220</v></cell><cell r="AD5219"><v>720192</v></cell><cell r="AE5219" t="str"><v>Facebook</v></cell><cell r="AF5219"><v>3654128</v></cell><cell r="AG5219" t="str"><v>Facebook»AZR»1x1»SocialBan»NA»ALL»DYN»RT»D»All»SS»NA» Free Account Retargeting OSS - T2 - EN</v></cell><cell r="AH5219"><v>223691831</v></cell><cell r="AI5219" t="str"><v>AzurePlatform_FreeAcctRetargetingOSSFB-Logos-ChG_CAN_1200x628_SOC_Plat_EN_Free Account_Standard_NA_SU_T2_1</v></cell><cell r="AJ5219"><v>102913800</v></cell></row><row r="5220"><cell r="C5220" t="str"><v>43319Facebook»AZR»1x1»SocialBan»NA»ALL»DYN»RT»D»All»SS»NA»Free Account Retargeting Generic - T3 - FR</v></cell><cell r="D5220" t="str"><v>43319223691777</v></cell><cell r="E5220" t="str"><v>433191029006973 - FR</v></cell><cell r="F5220" t="str"><v>DCM</v></cell><cell r="G5220" t="str"><v>https://azure.microsoft.com/fr-ca/free/search/</v></cell></row><row r="5220"><cell r="K5220" t="str"><v>August</v></cell><cell r="L5220"><v>43323</v></cell><cell r="M5220" t="str"><v>Tier 1</v></cell><cell r="N5220" t="str"><v>North America</v></cell><cell r="O5220" t="str"><v>Canada</v></cell><cell r="P5220" t="str"><v>Trial</v></cell><cell r="Q5220" t="str"><v>Social</v></cell><cell r="R5220" t="str"><v>Azure</v></cell><cell r="S5220" t="str"><v>Apps & Infra</v></cell><cell r="T5220" t="str"><v>Developers & ITI's</v></cell><cell r="U5220" t="str"><v>AZR</v></cell><cell r="V5220" t="str"><v>Retargeting</v></cell><cell r="W5220" t="str"><v>NotApplicable</v></cell><cell r="X5220" t="str"><v>1x1</v></cell></row><row r="5220"><cell r="AA5220"><v>43319</v></cell><cell r="AB5220" t="str"><v>CAN_gaPMG_AZR_AZR_Q1_19_Trial-Social</v></cell><cell r="AC5220"><v>21337220</v></cell><cell r="AD5220"><v>720192</v></cell><cell r="AE5220" t="str"><v>Facebook</v></cell><cell r="AF5220"><v>3654128</v></cell><cell r="AG5220" t="str"><v>Facebook»AZR»1x1»SocialBan»NA»ALL»DYN»RT»D»All»SS»NA»Free Account Retargeting Generic - T3 - FR</v></cell><cell r="AH5220"><v>223691777</v></cell><cell r="AI5220" t="str"><v>AzurePlatform_FreeAcctRetargetingFB-Animated-ChC_CAN_1200x628_SOC_Plat_FR_Free Account_Standard_ANI_SU_T3_1</v></cell><cell r="AJ5220"><v>102900697</v></cell></row><row r="5221"><cell r="C5221" t="str"><v>43319Facebook»AZR»1x1»SocialBan»NA»ALL»DYN»RT»D»All»SS»NA»Free Account Retargeting VM - T1 - EN</v></cell><cell r="D5221" t="str"><v>43319223691825</v></cell><cell r="E5221" t="str"><v>433191029163381 - EN</v></cell><cell r="F5221" t="str"><v>DCM</v></cell><cell r="G5221" t="str"><v>https://azure.microsoft.com/en-ca/free/virtual-machines/search/</v></cell></row><row r="5221"><cell r="K5221" t="str"><v>August</v></cell><cell r="L5221"><v>43323</v></cell><cell r="M5221" t="str"><v>Tier 1</v></cell><cell r="N5221" t="str"><v>North America</v></cell><cell r="O5221" t="str"><v>Canada</v></cell><cell r="P5221" t="str"><v>Trial</v></cell><cell r="Q5221" t="str"><v>Social</v></cell><cell r="R5221" t="str"><v>Azure</v></cell><cell r="S5221" t="str"><v>Apps & Infra</v></cell><cell r="T5221" t="str"><v>Developers & ITI's</v></cell><cell r="U5221" t="str"><v>AZR</v></cell><cell r="V5221" t="str"><v>Retargeting</v></cell><cell r="W5221" t="str"><v>NotApplicable</v></cell><cell r="X5221" t="str"><v>1x1</v></cell></row><row r="5221"><cell r="AA5221"><v>43319</v></cell><cell r="AB5221" t="str"><v>CAN_gaPMG_AZR_AZR_Q1_19_Trial-Social</v></cell><cell r="AC5221"><v>21337220</v></cell><cell r="AD5221"><v>720192</v></cell><cell r="AE5221" t="str"><v>Facebook</v></cell><cell r="AF5221"><v>3654128</v></cell><cell r="AG5221" t="str"><v>Facebook»AZR»1x1»SocialBan»NA»ALL»DYN»RT»D»All»SS»NA»Free Account Retargeting VM - T1 - EN</v></cell><cell r="AH5221"><v>223691825</v></cell><cell r="AI5221" t="str"><v>AzurePlatform_FreeAcctRetargetingVMFB-750Hrs-ChD_CAN_1200x628_SOC_Plat_EN_Free Account_Standard_NA_SU_T1_1</v></cell><cell r="AJ5221"><v>102916338</v></cell></row><row r="5222"><cell r="C5222" t="str"><v>43319Facebook»AZR»1x1»SocialBan»NA»ALL»DYN»RT»D»All»SS»NA»Free Account Retargeting VM - T2 - FR</v></cell><cell r="D5222" t="str"><v>43319223691780</v></cell><cell r="E5222" t="str"><v>433191030587262 - FR</v></cell><cell r="F5222" t="str"><v>DCM</v></cell><cell r="G5222" t="str"><v>https://azure.microsoft.com/fr-ca/free/virtual-machines/search/</v></cell></row><row r="5222"><cell r="K5222" t="str"><v>August</v></cell><cell r="L5222"><v>43323</v></cell><cell r="M5222" t="str"><v>Tier 1</v></cell><cell r="N5222" t="str"><v>North America</v></cell><cell r="O5222" t="str"><v>Canada</v></cell><cell r="P5222" t="str"><v>Trial</v></cell><cell r="Q5222" t="str"><v>Social</v></cell><cell r="R5222" t="str"><v>Azure</v></cell><cell r="S5222" t="str"><v>Apps & Infra</v></cell><cell r="T5222" t="str"><v>Developers & ITI's</v></cell><cell r="U5222" t="str"><v>AZR</v></cell><cell r="V5222" t="str"><v>Retargeting</v></cell><cell r="W5222" t="str"><v>NotApplicable</v></cell><cell r="X5222" t="str"><v>1x1</v></cell></row><row r="5222"><cell r="AA5222"><v>43319</v></cell><cell r="AB5222" t="str"><v>CAN_gaPMG_AZR_AZR_Q1_19_Trial-Social</v></cell><cell r="AC5222"><v>21337220</v></cell><cell r="AD5222"><v>720192</v></cell><cell r="AE5222" t="str"><v>Facebook</v></cell><cell r="AF5222"><v>3654128</v></cell><cell r="AG5222" t="str"><v>Facebook»AZR»1x1»SocialBan»NA»ALL»DYN»RT»D»All»SS»NA»Free Account Retargeting VM - T2 - FR</v></cell><cell r="AH5222"><v>223691780</v></cell><cell r="AI5222" t="str"><v>AzurePlatform_FreeAcctRetargetingVMFB-OnDemand-ChE_CAN_1200x628_SOC_Plat_FR_Free Account_Standard_NA_SU_T2_1</v></cell><cell r="AJ5222"><v>103058726</v></cell></row><row r="5223"><cell r="C5223" t="str"><v>43319Facebook»DEV-ITP-AZR-FB|CanvasAds|Interesttargeting»1x1»TextLink»CAN»DT»CPM»AUT»W»NA»SS»NA»39684020-11000</v></cell><cell r="D5223" t="str"><v>43319224009494</v></cell><cell r="E5223" t="str"><v>43319103236186-11000</v></cell><cell r="F5223" t="str"><v>DCM</v></cell><cell r="G5223" t="str"><v>https://signup.azure.com/signup?offer=ms-azr-0044p&appId=102&ref=paidmedia-social-fb&redirectURL=https%3a%2f%2fazure.microsoft.com%2fde-de%2fget-started%2fwelcome-to-azure%2f&l=de-de&correlationId=ead86c34-1f10-49dd-a72b-6918462a2cbf</v></cell></row><row r="5223"><cell r="K5223" t="str"><v>August</v></cell><cell r="L5223"><v>43323</v></cell><cell r="M5223" t="str"><v>Tier 1</v></cell><cell r="N5223" t="str"><v>EMEA</v></cell><cell r="O5223" t="str"><v>Germany</v></cell><cell r="P5223" t="str"><v>Trial</v></cell><cell r="Q5223" t="str"><v>Social</v></cell><cell r="R5223" t="str"><v>Azure</v></cell><cell r="S5223" t="str"><v>Apps & Infra</v></cell><cell r="T5223" t="str"><v>Developers & ITI's</v></cell><cell r="U5223" t="str"><v>DEV-ITP-AZR-FB|CanvasAds|Interesttargeting</v></cell><cell r="V5223" t="str"><v>Audience Targeting</v></cell><cell r="W5223" t="str"><v>Canvas Ad</v></cell><cell r="X5223" t="str"><v>1x1</v></cell></row><row r="5223"><cell r="AA5223"><v>43319</v></cell><cell r="AB5223" t="str"><v>DEU_gaPMG_AZR_AZR_Q1_19_Trial-Social- 39684</v></cell><cell r="AC5223"><v>21359477</v></cell><cell r="AD5223"><v>720194</v></cell><cell r="AE5223" t="str"><v>Facebook</v></cell><cell r="AF5223"><v>3654128</v></cell><cell r="AG5223" t="str"><v>Facebook»DEV-ITP-AZR-FB|CanvasAds|Interesttargeting»1x1»TextLink»CAN»DT»CPM»AUT»W»NA»SS»NA»39684020-11000</v></cell><cell r="AH5223"><v>224009494</v></cell><cell r="AI5223" t="str"><v>AzurePlatform_FBCTCBasicMotion-StartFreeCT_DEU_10s_ISV_PLAT_DE_Trial_Standard_STAN_TN_T1_1</v></cell><cell r="AJ5223"><v>103236186</v></cell></row><row r="5224"><cell r="C5224" t="str"><v>43319Facebook»DEV-ITP-AZR-FB|CanvasAds|Interesttargeting»1x1»TextLink»CAN»DT»CPM»AUT»W»NA»SS»NA»39684020-11000</v></cell><cell r="D5224" t="str"><v>43319224009494</v></cell><cell r="E5224" t="str"><v>43319103236189-11000</v></cell><cell r="F5224" t="str"><v>DCM</v></cell><cell r="G5224" t="str"><v>https://azure.microsoft.com/de-de/pricing/purchase-options/</v></cell></row><row r="5224"><cell r="K5224" t="str"><v>August</v></cell><cell r="L5224"><v>43323</v></cell><cell r="M5224" t="str"><v>Tier 1</v></cell><cell r="N5224" t="str"><v>EMEA</v></cell><cell r="O5224" t="str"><v>Germany</v></cell><cell r="P5224" t="str"><v>Trial</v></cell><cell r="Q5224" t="str"><v>Social</v></cell><cell r="R5224" t="str"><v>Azure</v></cell><cell r="S5224" t="str"><v>Apps & Infra</v></cell><cell r="T5224" t="str"><v>Developers & ITI's</v></cell><cell r="U5224" t="str"><v>DEV-ITP-AZR-FB|CanvasAds|Interesttargeting</v></cell><cell r="V5224" t="str"><v>Audience Targeting</v></cell><cell r="W5224" t="str"><v>Canvas Ad</v></cell><cell r="X5224" t="str"><v>1x1</v></cell></row><row r="5224"><cell r="AA5224"><v>43319</v></cell><cell r="AB5224" t="str"><v>DEU_gaPMG_AZR_AZR_Q1_19_Trial-Social- 39684</v></cell><cell r="AC5224"><v>21359477</v></cell><cell r="AD5224"><v>720194</v></cell><cell r="AE5224" t="str"><v>Facebook</v></cell><cell r="AF5224"><v>3654128</v></cell><cell r="AG5224" t="str"><v>Facebook»DEV-ITP-AZR-FB|CanvasAds|Interesttargeting»1x1»TextLink»CAN»DT»CPM»AUT»W»NA»SS»NA»39684020-11000</v></cell><cell r="AH5224"><v>224009494</v></cell><cell r="AI5224" t="str"><v>AzurePlatform_FBCTCBenefit2inMotion-BuyNow_DEU_14s_ISV_PLAT_DE_Trial_Standard_STAN_TN_T4_1</v></cell><cell r="AJ5224"><v>103236189</v></cell></row><row r="5225"><cell r="C5225" t="str"><v>43319Facebook»DEV-ITP-AZR-FB|CanvasAds|Interesttargeting»1x1»TextLink»CAN»DT»CPM»AUT»W»NA»SS»NA»39684020-11000</v></cell><cell r="D5225" t="str"><v>43319224009494</v></cell><cell r="E5225" t="str"><v>43319103237290-11000</v></cell><cell r="F5225" t="str"><v>DCM</v></cell><cell r="G5225" t="str"><v>https://signup.azure.com/signup?offer=ms-azr-0044p&appId=102&ref=paidmedia-social-fb&redirectURL=https%3a%2f%2fazure.microsoft.com%2fde-de%2fget-started%2fwelcome-to-azure%2f&l=de-de&correlationId=ead86c34-1f10-49dd-a72b-6918462a2cbf</v></cell></row><row r="5225"><cell r="K5225" t="str"><v>August</v></cell><cell r="L5225"><v>43323</v></cell><cell r="M5225" t="str"><v>Tier 1</v></cell><cell r="N5225" t="str"><v>EMEA</v></cell><cell r="O5225" t="str"><v>Germany</v></cell><cell r="P5225" t="str"><v>Trial</v></cell><cell r="Q5225" t="str"><v>Social</v></cell><cell r="R5225" t="str"><v>Azure</v></cell><cell r="S5225" t="str"><v>Apps & Infra</v></cell><cell r="T5225" t="str"><v>Developers & ITI's</v></cell><cell r="U5225" t="str"><v>DEV-ITP-AZR-FB|CanvasAds|Interesttargeting</v></cell><cell r="V5225" t="str"><v>Audience Targeting</v></cell><cell r="W5225" t="str"><v>Canvas Ad</v></cell><cell r="X5225" t="str"><v>1x1</v></cell></row><row r="5225"><cell r="AA5225"><v>43319</v></cell><cell r="AB5225" t="str"><v>DEU_gaPMG_AZR_AZR_Q1_19_Trial-Social- 39684</v></cell><cell r="AC5225"><v>21359477</v></cell><cell r="AD5225"><v>720194</v></cell><cell r="AE5225" t="str"><v>Facebook</v></cell><cell r="AF5225"><v>3654128</v></cell><cell r="AG5225" t="str"><v>Facebook»DEV-ITP-AZR-FB|CanvasAds|Interesttargeting»1x1»TextLink»CAN»DT»CPM»AUT»W»NA»SS»NA»39684020-11000</v></cell><cell r="AH5225"><v>224009494</v></cell><cell r="AI5225" t="str"><v>AzurePlatform_FBCTCBenefit2inMotion-StartFreeCT_DEU_14s_ISV_PLAT_DE_Trial_Standard_STAN_TN_T4_1</v></cell><cell r="AJ5225"><v>103237290</v></cell></row><row r="5226"><cell r="C5226" t="str"><v>43319Facebook»DEV-ITP-AZR-FB|CanvasAds|Interesttargeting»1x1»TextLink»CAN»DT»CPM»AUT»W»NA»SS»NA»39684020-11000</v></cell><cell r="D5226" t="str"><v>43319224009494</v></cell><cell r="E5226" t="str"><v>43319103237293-11000</v></cell><cell r="F5226" t="str"><v>DCM</v></cell><cell r="G5226" t="str"><v>https://signup.azure.com/signup?offer=ms-azr-0044p&appId=102&ref=paidmedia-social-fb&redirectURL=https%3a%2f%2fazure.microsoft.com%2fde-de%2fget-started%2fwelcome-to-azure%2f&l=de-de&correlationId=ead86c34-1f10-49dd-a72b-6918462a2cbf</v></cell></row><row r="5226"><cell r="K5226" t="str"><v>August</v></cell><cell r="L5226"><v>43323</v></cell><cell r="M5226" t="str"><v>Tier 1</v></cell><cell r="N5226" t="str"><v>EMEA</v></cell><cell r="O5226" t="str"><v>Germany</v></cell><cell r="P5226" t="str"><v>Trial</v></cell><cell r="Q5226" t="str"><v>Social</v></cell><cell r="R5226" t="str"><v>Azure</v></cell><cell r="S5226" t="str"><v>Apps & Infra</v></cell><cell r="T5226" t="str"><v>Developers & ITI's</v></cell><cell r="U5226" t="str"><v>DEV-ITP-AZR-FB|CanvasAds|Interesttargeting</v></cell><cell r="V5226" t="str"><v>Audience Targeting</v></cell><cell r="W5226" t="str"><v>Canvas Ad</v></cell><cell r="X5226" t="str"><v>1x1</v></cell></row><row r="5226"><cell r="AA5226"><v>43319</v></cell><cell r="AB5226" t="str"><v>DEU_gaPMG_AZR_AZR_Q1_19_Trial-Social- 39684</v></cell><cell r="AC5226"><v>21359477</v></cell><cell r="AD5226"><v>720194</v></cell><cell r="AE5226" t="str"><v>Facebook</v></cell><cell r="AF5226"><v>3654128</v></cell><cell r="AG5226" t="str"><v>Facebook»DEV-ITP-AZR-FB|CanvasAds|Interesttargeting»1x1»TextLink»CAN»DT»CPM»AUT»W»NA»SS»NA»39684020-11000</v></cell><cell r="AH5226"><v>224009494</v></cell><cell r="AI5226" t="str"><v>AzurePlatform_FBCTCBrandinMotion-StartFreeCT_DEU_12s_ISV_PLAT_DE_Trial_Standard_STAN_TN_T2_1</v></cell><cell r="AJ5226"><v>103237293</v></cell></row><row r="5227"><cell r="C5227" t="str"><v>43319Facebook»DEV-ITP-AZR-FB|LinkAd|CustomerAudienceRetargeting»1x1»TextLink»LIA»DT»CPM»RT»W»NA»SS»NA»39684019-11000</v></cell><cell r="D5227" t="str"><v>43319224010415</v></cell><cell r="E5227" t="str"><v>43319103048548-11000</v></cell><cell r="F5227" t="str"><v>DCM</v></cell><cell r="G5227" t="str"><v>https://azure.microsoft.com/de-de/free/search/</v></cell></row><row r="5227"><cell r="K5227" t="str"><v>August</v></cell><cell r="L5227"><v>43323</v></cell><cell r="M5227" t="str"><v>Tier 1</v></cell><cell r="N5227" t="str"><v>EMEA</v></cell><cell r="O5227" t="str"><v>Germany</v></cell><cell r="P5227" t="str"><v>Trial</v></cell><cell r="Q5227" t="str"><v>Social</v></cell><cell r="R5227" t="str"><v>Azure</v></cell><cell r="S5227" t="str"><v>Apps & Infra</v></cell><cell r="T5227" t="str"><v>Developers & ITI's</v></cell><cell r="U5227" t="str"><v>DEV-ITP-AZR-FB|LinkAd|CustomerAudienceRetargeting</v></cell><cell r="V5227" t="str"><v>Retargeting</v></cell><cell r="W5227" t="str"><v>Link Ad</v></cell><cell r="X5227" t="str"><v>1x1</v></cell></row><row r="5227"><cell r="AA5227"><v>43319</v></cell><cell r="AB5227" t="str"><v>DEU_gaPMG_AZR_AZR_Q1_19_Trial-Social- 39684</v></cell><cell r="AC5227"><v>21359477</v></cell><cell r="AD5227"><v>720194</v></cell><cell r="AE5227" t="str"><v>Facebook</v></cell><cell r="AF5227"><v>3654128</v></cell><cell r="AG5227" t="str"><v>Facebook»DEV-ITP-AZR-FB|LinkAd|CustomerAudienceRetargeting»1x1»TextLink»LIA»DT»CPM»RT»W»NA»SS»NA»39684019-11000</v></cell><cell r="AH5227"><v>224010415</v></cell><cell r="AI5227" t="str"><v>AzurePlatform_FreeAcctRetargetingFB-Animated-ChC_DEU_1200x628_SOC_Plat_DE_Free Account_Standard_ANI_SNU_T3_1</v></cell><cell r="AJ5227"><v>103048548</v></cell></row><row r="5228"><cell r="C5228" t="str"><v>43319Facebook»DEV-ITP-AZR-FB|LinkAd|CustomerAudienceRetargeting»1x1»TextLink»LIA»DT»CPM»RT»W»NA»SS»NA»39684019-11000</v></cell><cell r="D5228" t="str"><v>43319224010415</v></cell><cell r="E5228" t="str"><v>43319103055394-11000</v></cell><cell r="F5228" t="str"><v>DCM</v></cell><cell r="G5228" t="str"><v>https://azure.microsoft.com/de-de/free/open-source/search/</v></cell></row><row r="5228"><cell r="K5228" t="str"><v>August</v></cell><cell r="L5228"><v>43323</v></cell><cell r="M5228" t="str"><v>Tier 1</v></cell><cell r="N5228" t="str"><v>EMEA</v></cell><cell r="O5228" t="str"><v>Germany</v></cell><cell r="P5228" t="str"><v>Trial</v></cell><cell r="Q5228" t="str"><v>Social</v></cell><cell r="R5228" t="str"><v>Azure</v></cell><cell r="S5228" t="str"><v>Apps & Infra</v></cell><cell r="T5228" t="str"><v>Developers & ITI's</v></cell><cell r="U5228" t="str"><v>DEV-ITP-AZR-FB|LinkAd|CustomerAudienceRetargeting</v></cell><cell r="V5228" t="str"><v>Retargeting</v></cell><cell r="W5228" t="str"><v>Link Ad</v></cell><cell r="X5228" t="str"><v>1x1</v></cell></row><row r="5228"><cell r="AA5228"><v>43319</v></cell><cell r="AB5228" t="str"><v>DEU_gaPMG_AZR_AZR_Q1_19_Trial-Social- 39684</v></cell><cell r="AC5228"><v>21359477</v></cell><cell r="AD5228"><v>720194</v></cell><cell r="AE5228" t="str"><v>Facebook</v></cell><cell r="AF5228"><v>3654128</v></cell><cell r="AG5228" t="str"><v>Facebook»DEV-ITP-AZR-FB|LinkAd|CustomerAudienceRetargeting»1x1»TextLink»LIA»DT»CPM»RT»W»NA»SS»NA»39684019-11000</v></cell><cell r="AH5228"><v>224010415</v></cell><cell r="AI5228" t="str"><v>AzurePlatform_FreeAcctRetargetingOSSFB-Text-ChF_DEU_1200x628_SOC_Plat_DE_Free Account_Standard_NA_SNU_T1_1</v></cell><cell r="AJ5228"><v>103055394</v></cell></row><row r="5229"><cell r="C5229" t="str"><v>43319Facebook»DEV-ITP-AZR-FB|LinkAd|CustomerAudienceRetargeting»1x1»TextLink»LIA»DT»CPM»RT»W»NA»SS»NA»39684019-11000</v></cell><cell r="D5229" t="str"><v>43319224010415</v></cell><cell r="E5229" t="str"><v>43319103043341-11000</v></cell><cell r="F5229" t="str"><v>DCM</v></cell><cell r="G5229" t="str"><v>https://azure.microsoft.com/de-de/free/virtual-machines/search/</v></cell></row><row r="5229"><cell r="K5229" t="str"><v>August</v></cell><cell r="L5229"><v>43323</v></cell><cell r="M5229" t="str"><v>Tier 1</v></cell><cell r="N5229" t="str"><v>EMEA</v></cell><cell r="O5229" t="str"><v>Germany</v></cell><cell r="P5229" t="str"><v>Trial</v></cell><cell r="Q5229" t="str"><v>Social</v></cell><cell r="R5229" t="str"><v>Azure</v></cell><cell r="S5229" t="str"><v>Apps & Infra</v></cell><cell r="T5229" t="str"><v>Developers & ITI's</v></cell><cell r="U5229" t="str"><v>DEV-ITP-AZR-FB|LinkAd|CustomerAudienceRetargeting</v></cell><cell r="V5229" t="str"><v>Retargeting</v></cell><cell r="W5229" t="str"><v>Link Ad</v></cell><cell r="X5229" t="str"><v>1x1</v></cell></row><row r="5229"><cell r="AA5229"><v>43319</v></cell><cell r="AB5229" t="str"><v>DEU_gaPMG_AZR_AZR_Q1_19_Trial-Social- 39684</v></cell><cell r="AC5229"><v>21359477</v></cell><cell r="AD5229"><v>720194</v></cell><cell r="AE5229" t="str"><v>Facebook</v></cell><cell r="AF5229"><v>3654128</v></cell><cell r="AG5229" t="str"><v>Facebook»DEV-ITP-AZR-FB|LinkAd|CustomerAudienceRetargeting»1x1»TextLink»LIA»DT»CPM»RT»W»NA»SS»NA»39684019-11000</v></cell><cell r="AH5229"><v>224010415</v></cell><cell r="AI5229" t="str"><v>AzurePlatform_FreeAcctRetargetingVMFB-750Hrs-ChD_DEU_1200x628_SOC_Plat_DE_Free Account_Standard_NA_SNU_T1_1</v></cell><cell r="AJ5229"><v>103043341</v></cell></row><row r="5230"><cell r="C5230" t="str"><v>43319Facebook»DEV-ITP-AZR-FB|LinkAd|CustomerAudienceRetargeting»1x1»TextLink»LIA»DT»CPM»RT»W»NA»SS»NA»39684019-11000</v></cell><cell r="D5230" t="str"><v>43319224010415</v></cell><cell r="E5230" t="str"><v>43319103043338-11000</v></cell><cell r="F5230" t="str"><v>DCM</v></cell><cell r="G5230" t="str"><v>https://azure.microsoft.com/de-de/free/virtual-machines/search/</v></cell></row><row r="5230"><cell r="K5230" t="str"><v>August</v></cell><cell r="L5230"><v>43323</v></cell><cell r="M5230" t="str"><v>Tier 1</v></cell><cell r="N5230" t="str"><v>EMEA</v></cell><cell r="O5230" t="str"><v>Germany</v></cell><cell r="P5230" t="str"><v>Trial</v></cell><cell r="Q5230" t="str"><v>Social</v></cell><cell r="R5230" t="str"><v>Azure</v></cell><cell r="S5230" t="str"><v>Apps & Infra</v></cell><cell r="T5230" t="str"><v>Developers & ITI's</v></cell><cell r="U5230" t="str"><v>DEV-ITP-AZR-FB|LinkAd|CustomerAudienceRetargeting</v></cell><cell r="V5230" t="str"><v>Retargeting</v></cell><cell r="W5230" t="str"><v>Link Ad</v></cell><cell r="X5230" t="str"><v>1x1</v></cell></row><row r="5230"><cell r="AA5230"><v>43319</v></cell><cell r="AB5230" t="str"><v>DEU_gaPMG_AZR_AZR_Q1_19_Trial-Social- 39684</v></cell><cell r="AC5230"><v>21359477</v></cell><cell r="AD5230"><v>720194</v></cell><cell r="AE5230" t="str"><v>Facebook</v></cell><cell r="AF5230"><v>3654128</v></cell><cell r="AG5230" t="str"><v>Facebook»DEV-ITP-AZR-FB|LinkAd|CustomerAudienceRetargeting»1x1»TextLink»LIA»DT»CPM»RT»W»NA»SS»NA»39684019-11000</v></cell><cell r="AH5230"><v>224010415</v></cell><cell r="AI5230" t="str"><v>AzurePlatform_FreeAcctRetargetingVMFB-OnDemand-ChE_DEU_1200x628_SOC_Plat_DE_Free Account_Standard_NA_SNU_T2_1</v></cell><cell r="AJ5230"><v>103043338</v></cell></row><row r="5231"><cell r="C5231" t="str"><v>43319Facebook»Developers/ITPros-Azure Direct-Sponsored Post-Canvas-FBCTCcanvaspage-BuyNowCTA-Img3_FBCTCBasicMotion_FRA_10sec»1x1»Canvas»SOC»ALL»CPC»BT»D»UNK»SS»NA»Trials</v></cell><cell r="D5231" t="str"><v>43319224369893</v></cell><cell r="E5231" t="str"><v>43319103256571Trials</v></cell><cell r="F5231" t="str"><v>DCM</v></cell><cell r="G5231" t="str"><v>https://azure.microsoft.com/fr-fr/pricing/purchase-options/</v></cell></row><row r="5231"><cell r="K5231" t="str"><v>August</v></cell><cell r="L5231"><v>43323</v></cell><cell r="M5231" t="str"><v>Tier 1</v></cell><cell r="N5231" t="str"><v>EMEA</v></cell><cell r="O5231" t="str"><v>France</v></cell><cell r="P5231" t="str"><v>Trial</v></cell><cell r="Q5231" t="str"><v>Social</v></cell><cell r="R5231" t="str"><v>Azure</v></cell><cell r="S5231" t="str"><v>Apps & Infra</v></cell><cell r="T5231" t="str"><v>Developers & ITI's</v></cell><cell r="U5231" t="str"><v>Developers/ITPros-Azure Direct-Sponsored Post-Canvas-FBCTCcanvaspage-BuyNowCTA-Img3_FBCTCBasicMotion_FRA_10sec</v></cell><cell r="V5231" t="str"><v>Behavioral Targeting</v></cell><cell r="W5231" t="str"><v>Social</v></cell><cell r="X5231" t="str"><v>1x1</v></cell></row><row r="5231"><cell r="AA5231"><v>43319</v></cell><cell r="AB5231" t="str"><v>FRA_gaPMG_AZR_AZR_Q1_19_AzureDirect-Trial-Social</v></cell><cell r="AC5231"><v>21356941</v></cell><cell r="AD5231"><v>720193</v></cell><cell r="AE5231" t="str"><v>Facebook</v></cell><cell r="AF5231"><v>3654128</v></cell><cell r="AG5231" t="str"><v>Facebook»Developers/ITPros-Azure Direct-Sponsored Post-Canvas-FBCTCcanvaspage-BuyNowCTA-Img3_FBCTCBasicMotion_FRA_10sec»1x1»Canvas»SOC»ALL»CPC»BT»D»UNK»SS»NA»Trials</v></cell><cell r="AH5231"><v>224369893</v></cell><cell r="AI5231" t="str"><v>AZR_FBCTCcanvaspage-BuyNowCTA-Img3_FRA_1080x162_SOC_AZRDirect_French_NA_Facebook_SBAN_BN_T3_1</v></cell><cell r="AJ5231"><v>103256571</v></cell></row><row r="5232"><cell r="C5232" t="str"><v>43319Facebook»Developers/ITPros-Azure Direct-Sponsored Post-Canvas-FBCTCcanvaspage-StartFreeCTA-Img2_FBCTCBasicMotion_FRA_10sec»1x1»Canvas»SOC»ALL»CPC»BT»D»UNK»SS»NA»Trials</v></cell><cell r="D5232" t="str"><v>43319224560884</v></cell><cell r="E5232" t="str"><v>43319103259958Trials</v></cell><cell r="F5232" t="str"><v>DCM</v></cell><cell r="G5232" t="str"><v>https://signup.azure.com/signup?offer=ms-azr-0044p&appId=102&ref=paidmedia-social-fb&redirectURL=https%3a%2f%2fazure.microsoft.com%2ffr-fr%2fget-started%2fwelcome-to-azure%2f&l=fr-fr&correlationId=ead86c34-1f10-49dd-a72b-6918462a2cbf</v></cell></row><row r="5232"><cell r="K5232" t="str"><v>August</v></cell><cell r="L5232"><v>43323</v></cell><cell r="M5232" t="str"><v>Tier 1</v></cell><cell r="N5232" t="str"><v>EMEA</v></cell><cell r="O5232" t="str"><v>France</v></cell><cell r="P5232" t="str"><v>Trial</v></cell><cell r="Q5232" t="str"><v>Social</v></cell><cell r="R5232" t="str"><v>Azure</v></cell><cell r="S5232" t="str"><v>Apps & Infra</v></cell><cell r="T5232" t="str"><v>Developers & ITI's</v></cell><cell r="U5232" t="str"><v>Developers/ITPros-Azure Direct-Sponsored Post-Canvas-FBCTCcanvaspage-StartFreeCTA-Img2_FBCTCBasicMotion_FRA_10sec</v></cell><cell r="V5232" t="str"><v>Behavioral Targeting</v></cell><cell r="W5232" t="str"><v>Social</v></cell><cell r="X5232" t="str"><v>1x1</v></cell></row><row r="5232"><cell r="AA5232"><v>43319</v></cell><cell r="AB5232" t="str"><v>FRA_gaPMG_AZR_AZR_Q1_19_AzureDirect-Trial-Social</v></cell><cell r="AC5232"><v>21356941</v></cell><cell r="AD5232"><v>720193</v></cell><cell r="AE5232" t="str"><v>Facebook</v></cell><cell r="AF5232"><v>3654128</v></cell><cell r="AG5232" t="str"><v>Facebook»Developers/ITPros-Azure Direct-Sponsored Post-Canvas-FBCTCcanvaspage-StartFreeCTA-Img2_FBCTCBasicMotion_FRA_10sec»1x1»Canvas»SOC»ALL»CPC»BT»D»UNK»SS»NA»Trials</v></cell><cell r="AH5232"><v>224560884</v></cell><cell r="AI5232" t="str"><v>AZR_FBCTCcanvaspage-StartFreeCTA-Img2_FRA_1080x143_SOC_AZRDirect_French_NA_Facebook_SBAN_BN_T2_1</v></cell><cell r="AJ5232"><v>103259958</v></cell></row><row r="5233"><cell r="C5233" t="str"><v>43319Facebook»Developers/ITPros-Azure Direct-Sponsored Post-Canvas-FBCTCcanvaspage-StartFreeCTA-Img2_FBCTCBrandinMotion_FRA_12sec»1x1»Canvas»SOC»ALL»CPC»BT»D»UNK»SS»NA»Trials</v></cell><cell r="D5233" t="str"><v>43319224560878</v></cell><cell r="E5233" t="str"><v>43319103259958Trials</v></cell><cell r="F5233" t="str"><v>DCM</v></cell><cell r="G5233" t="str"><v>https://signup.azure.com/signup?offer=ms-azr-0044p&appId=102&ref=paidmedia-social-fb&redirectURL=https%3a%2f%2fazure.microsoft.com%2ffr-fr%2fget-started%2fwelcome-to-azure%2f&l=fr-fr&correlationId=ead86c34-1f10-49dd-a72b-6918462a2cbf</v></cell></row><row r="5233"><cell r="K5233" t="str"><v>August</v></cell><cell r="L5233"><v>43323</v></cell><cell r="M5233" t="str"><v>Tier 1</v></cell><cell r="N5233" t="str"><v>EMEA</v></cell><cell r="O5233" t="str"><v>France</v></cell><cell r="P5233" t="str"><v>Trial</v></cell><cell r="Q5233" t="str"><v>Social</v></cell><cell r="R5233" t="str"><v>Azure</v></cell><cell r="S5233" t="str"><v>Apps & Infra</v></cell><cell r="T5233" t="str"><v>Developers & ITI's</v></cell><cell r="U5233" t="str"><v>Developers/ITPros-Azure Direct-Sponsored Post-Canvas-FBCTCcanvaspage-StartFreeCTA-Img2_FBCTCBrandinMotion_FRA_12sec</v></cell><cell r="V5233" t="str"><v>Behavioral Targeting</v></cell><cell r="W5233" t="str"><v>Social</v></cell><cell r="X5233" t="str"><v>1x1</v></cell></row><row r="5233"><cell r="AA5233"><v>43319</v></cell><cell r="AB5233" t="str"><v>FRA_gaPMG_AZR_AZR_Q1_19_AzureDirect-Trial-Social</v></cell><cell r="AC5233"><v>21356941</v></cell><cell r="AD5233"><v>720193</v></cell><cell r="AE5233" t="str"><v>Facebook</v></cell><cell r="AF5233"><v>3654128</v></cell><cell r="AG5233" t="str"><v>Facebook»Developers/ITPros-Azure Direct-Sponsored Post-Canvas-FBCTCcanvaspage-StartFreeCTA-Img2_FBCTCBrandinMotion_FRA_12sec»1x1»Canvas»SOC»ALL»CPC»BT»D»UNK»SS»NA»Trials</v></cell><cell r="AH5233"><v>224560878</v></cell><cell r="AI5233" t="str"><v>AZR_FBCTCcanvaspage-StartFreeCTA-Img2_FRA_1080x143_SOC_AZRDirect_French_NA_Facebook_SBAN_BN_T2_1</v></cell><cell r="AJ5233"><v>103259958</v></cell></row><row r="5234"><cell r="C5234" t="str"><v>43319Facebook»Developers/ITPros-Azure Direct-Sponsored Post-Canvas-FBCTCcanvaspage-StartFreeCTA-Img2_FBCTCBrandinMotion_FRA_14sec»1x1»Canvas»SOC»ALL»CPC»BT»D»UNK»SS»NA»Trials</v></cell><cell r="D5234" t="str"><v>43319224560872</v></cell><cell r="E5234" t="str"><v>43319103259958Trials</v></cell><cell r="F5234" t="str"><v>DCM</v></cell><cell r="G5234" t="str"><v>https://signup.azure.com/signup?offer=ms-azr-0044p&appId=102&ref=paidmedia-social-fb&redirectURL=https%3a%2f%2fazure.microsoft.com%2ffr-fr%2fget-started%2fwelcome-to-azure%2f&l=fr-fr&correlationId=ead86c34-1f10-49dd-a72b-6918462a2cbf</v></cell></row><row r="5234"><cell r="K5234" t="str"><v>August</v></cell><cell r="L5234"><v>43323</v></cell><cell r="M5234" t="str"><v>Tier 1</v></cell><cell r="N5234" t="str"><v>EMEA</v></cell><cell r="O5234" t="str"><v>France</v></cell><cell r="P5234" t="str"><v>Trial</v></cell><cell r="Q5234" t="str"><v>Social</v></cell><cell r="R5234" t="str"><v>Azure</v></cell><cell r="S5234" t="str"><v>Apps & Infra</v></cell><cell r="T5234" t="str"><v>Developers & ITI's</v></cell><cell r="U5234" t="str"><v>Developers/ITPros-Azure Direct-Sponsored Post-Canvas-FBCTCcanvaspage-StartFreeCTA-Img2_FBCTCBrandinMotion_FRA_14sec</v></cell><cell r="V5234" t="str"><v>Behavioral Targeting</v></cell><cell r="W5234" t="str"><v>Social</v></cell><cell r="X5234" t="str"><v>1x1</v></cell></row><row r="5234"><cell r="AA5234"><v>43319</v></cell><cell r="AB5234" t="str"><v>FRA_gaPMG_AZR_AZR_Q1_19_AzureDirect-Trial-Social</v></cell><cell r="AC5234"><v>21356941</v></cell><cell r="AD5234"><v>720193</v></cell><cell r="AE5234" t="str"><v>Facebook</v></cell><cell r="AF5234"><v>3654128</v></cell><cell r="AG5234" t="str"><v>Facebook»Developers/ITPros-Azure Direct-Sponsored Post-Canvas-FBCTCcanvaspage-StartFreeCTA-Img2_FBCTCBrandinMotion_FRA_14sec»1x1»Canvas»SOC»ALL»CPC»BT»D»UNK»SS»NA»Trials</v></cell><cell r="AH5234"><v>224560872</v></cell><cell r="AI5234" t="str"><v>AZR_FBCTCcanvaspage-StartFreeCTA-Img2_FRA_1080x143_SOC_AZRDirect_French_NA_Facebook_SBAN_BN_T2_1</v></cell><cell r="AJ5234"><v>103259958</v></cell></row><row r="5235"><cell r="C5235" t="str"><v>43319Facebook»Developers/ITPros-Azure Direct-Sponsored Post-Link Ad-FreeAcctRetargetingFB-GlobalAlt-ChB»1x1»SocialBan»SOC»ALL»CPC»BT»D»UNK»SS»NA»Trials</v></cell><cell r="D5235" t="str"><v>43319224560845</v></cell><cell r="E5235" t="str"><v>43319103259520Trials</v></cell><cell r="F5235" t="str"><v>DCM</v></cell><cell r="G5235" t="str"><v>https://azure.microsoft.com/fr-fr/free/search/</v></cell></row><row r="5235"><cell r="K5235" t="str"><v>August</v></cell><cell r="L5235"><v>43323</v></cell><cell r="M5235" t="str"><v>Tier 1</v></cell><cell r="N5235" t="str"><v>EMEA</v></cell><cell r="O5235" t="str"><v>France</v></cell><cell r="P5235" t="str"><v>Trial</v></cell><cell r="Q5235" t="str"><v>Social</v></cell><cell r="R5235" t="str"><v>Azure</v></cell><cell r="S5235" t="str"><v>Apps & Infra</v></cell><cell r="T5235" t="str"><v>Developers & ITI's</v></cell><cell r="U5235" t="str"><v>Developers/ITPros-Azure Direct-Sponsored Post-Link Ad-FreeAcctRetargetingFB-GlobalAlt-ChB</v></cell><cell r="V5235" t="str"><v>Behavioral Targeting</v></cell><cell r="W5235" t="str"><v>Social</v></cell><cell r="X5235" t="str"><v>1x1</v></cell></row><row r="5235"><cell r="AA5235"><v>43319</v></cell><cell r="AB5235" t="str"><v>FRA_gaPMG_AZR_AZR_Q1_19_AzureDirect-Trial-Social</v></cell><cell r="AC5235"><v>21356941</v></cell><cell r="AD5235"><v>720193</v></cell><cell r="AE5235" t="str"><v>Facebook</v></cell><cell r="AF5235"><v>3654128</v></cell><cell r="AG5235" t="str"><v>Facebook»Developers/ITPros-Azure Direct-Sponsored Post-Link Ad-FreeAcctRetargetingFB-GlobalAlt-ChB»1x1»SocialBan»SOC»ALL»CPC»BT»D»UNK»SS»NA»Trials</v></cell><cell r="AH5235"><v>224560845</v></cell><cell r="AI5235" t="str"><v>AZR_FreeAcctRetargetingFB-GlobalAlt-ChB_FRA_1200x628_SOC_AZRDirect_French_NA_Facebook_SBAN_SINU_T2_1</v></cell><cell r="AJ5235"><v>103259520</v></cell></row><row r="5236"><cell r="C5236" t="str"><v>43319Facebook»Developers/ITPros-Azure Direct-Sponsored Post-Video Ad-FBCTCBasicMotion_FRA_10s_RTG Landing Page»1x1»05s»SOC»ALL»CPC»BT»D»UNK»SS»NA»Trials</v></cell><cell r="D5236" t="str"><v>43319224416915</v></cell><cell r="E5236" t="str"><v>43319103376981Trials</v></cell><cell r="F5236" t="str"><v>DCM</v></cell></row><row r="5236"><cell r="K5236" t="str"><v>August</v></cell><cell r="L5236"><v>43323</v></cell><cell r="M5236" t="str"><v>Tier 1</v></cell><cell r="N5236" t="str"><v>EMEA</v></cell><cell r="O5236" t="str"><v>France</v></cell><cell r="P5236" t="str"><v>Trial</v></cell><cell r="Q5236" t="str"><v>Social</v></cell><cell r="R5236" t="str"><v>Azure</v></cell><cell r="S5236" t="str"><v>Apps & Infra</v></cell><cell r="T5236" t="str"><v>Developers & ITI's</v></cell><cell r="U5236" t="str"><v>Developers/ITPros-Azure Direct-Sponsored Post-Video Ad-FBCTCBasicMotion_FRA_10s_RTG Landing Page</v></cell><cell r="V5236" t="str"><v>Behavioral Targeting</v></cell><cell r="W5236" t="str"><v>Social</v></cell><cell r="X5236" t="str"><v>1x1</v></cell></row><row r="5236"><cell r="AA5236"><v>43319</v></cell><cell r="AB5236" t="str"><v>FRA_gaPMG_AZR_AZR_Q1_19_AzureDirect-Trial-Social</v></cell><cell r="AC5236"><v>21356941</v></cell><cell r="AD5236"><v>720193</v></cell><cell r="AE5236" t="str"><v>Facebook</v></cell><cell r="AF5236"><v>3654128</v></cell><cell r="AG5236" t="str"><v>Facebook»Developers/ITPros-Azure Direct-Sponsored Post-Video Ad-FBCTCBasicMotion_FRA_10s_RTG Landing Page»1x1»05s»SOC»ALL»CPC»BT»D»UNK»SS»NA»Trials</v></cell><cell r="AH5236"><v>224416915</v></cell><cell r="AI5236" t="str"><v>AZR_FBCTCBasicMotion_FRA_10s_VIA_AZRDirect_French_NA_Facebook_STAN_TIN_T1_1</v></cell><cell r="AJ5236"><v>103376981</v></cell></row><row r="5237"><cell r="C5237" t="str"><v>43319Facebook»Developers/ITPros-Azure Direct-Sponsored Post-Video Ad-FBCTCBenefit2inMotion_FRA_14s_RTG Landing Page»1x1»06s»SOC»ALL»CPC»BT»D»UNK»SS»NA»Trials</v></cell><cell r="D5237" t="str"><v>43319224560875</v></cell><cell r="E5237" t="str"><v>43319103259766Trials</v></cell><cell r="F5237" t="str"><v>DCM</v></cell><cell r="G5237" t="str"><v>https://signup.azure.com/signup?offer=ms-azr-0044p&appId=102&ref=paidmedia-social-fb&redirectURL=https:%2F%2Fazure.microsoft.com%2Ffr-fr%2Fget-started%2Fwelcome-to-azure%2F&l=fr-fr&correlationId=ead86c34-1f10-49dd-a72b-6918462a2cbf</v></cell></row><row r="5237"><cell r="K5237" t="str"><v>August</v></cell><cell r="L5237"><v>43323</v></cell><cell r="M5237" t="str"><v>Tier 1</v></cell><cell r="N5237" t="str"><v>EMEA</v></cell><cell r="O5237" t="str"><v>France</v></cell><cell r="P5237" t="str"><v>Trial</v></cell><cell r="Q5237" t="str"><v>Social</v></cell><cell r="R5237" t="str"><v>Azure</v></cell><cell r="S5237" t="str"><v>Apps & Infra</v></cell><cell r="T5237" t="str"><v>Developers & ITI's</v></cell><cell r="U5237" t="str"><v>Developers/ITPros-Azure Direct-Sponsored Post-Video Ad-FBCTCBenefit2inMotion_FRA_14s_RTG Landing Page</v></cell><cell r="V5237" t="str"><v>Behavioral Targeting</v></cell><cell r="W5237" t="str"><v>Social</v></cell><cell r="X5237" t="str"><v>1x1</v></cell></row><row r="5237"><cell r="AA5237"><v>43319</v></cell><cell r="AB5237" t="str"><v>FRA_gaPMG_AZR_AZR_Q1_19_AzureDirect-Trial-Social</v></cell><cell r="AC5237"><v>21356941</v></cell><cell r="AD5237"><v>720193</v></cell><cell r="AE5237" t="str"><v>Facebook</v></cell><cell r="AF5237"><v>3654128</v></cell><cell r="AG5237" t="str"><v>Facebook»Developers/ITPros-Azure Direct-Sponsored Post-Video Ad-FBCTCBenefit2inMotion_FRA_14s_RTG Landing Page»1x1»06s»SOC»ALL»CPC»BT»D»UNK»SS»NA»Trials</v></cell><cell r="AH5237"><v>224560875</v></cell><cell r="AI5237" t="str"><v>AZR_FBCTCBenefit2inMotion_FRA_14s_VIA_AZRDirect_French_NA_Facebook_STAN_TIN_T4_1</v></cell><cell r="AJ5237"><v>103259766</v></cell></row><row r="5238"><cell r="C5238" t="str"><v>43319Facebook»Developers/ITPros-Azure Direct-Sponsored Post-Video Ad-FBCTCBrandinMotion_FRA_12s_RTG Landing Page»1x1»05s»SOC»ALL»CPC»BT»D»UNK»SS»NA»Trials</v></cell><cell r="D5238" t="str"><v>43319224560863</v></cell><cell r="E5238" t="str"><v>43319103256577Trials</v></cell><cell r="F5238" t="str"><v>DCM</v></cell></row><row r="5238"><cell r="K5238" t="str"><v>August</v></cell><cell r="L5238"><v>43323</v></cell><cell r="M5238" t="str"><v>Tier 1</v></cell><cell r="N5238" t="str"><v>EMEA</v></cell><cell r="O5238" t="str"><v>France</v></cell><cell r="P5238" t="str"><v>Trial</v></cell><cell r="Q5238" t="str"><v>Social</v></cell><cell r="R5238" t="str"><v>Azure</v></cell><cell r="S5238" t="str"><v>Apps & Infra</v></cell><cell r="T5238" t="str"><v>Developers & ITI's</v></cell><cell r="U5238" t="str"><v>Developers/ITPros-Azure Direct-Sponsored Post-Video Ad-FBCTCBrandinMotion_FRA_12s_RTG Landing Page</v></cell><cell r="V5238" t="str"><v>Behavioral Targeting</v></cell><cell r="W5238" t="str"><v>Social</v></cell><cell r="X5238" t="str"><v>1x1</v></cell></row><row r="5238"><cell r="AA5238"><v>43319</v></cell><cell r="AB5238" t="str"><v>FRA_gaPMG_AZR_AZR_Q1_19_AzureDirect-Trial-Social</v></cell><cell r="AC5238"><v>21356941</v></cell><cell r="AD5238"><v>720193</v></cell><cell r="AE5238" t="str"><v>Facebook</v></cell><cell r="AF5238"><v>3654128</v></cell><cell r="AG5238" t="str"><v>Facebook»Developers/ITPros-Azure Direct-Sponsored Post-Video Ad-FBCTCBrandinMotion_FRA_12s_RTG Landing Page»1x1»05s»SOC»ALL»CPC»BT»D»UNK»SS»NA»Trials</v></cell><cell r="AH5238"><v>224560863</v></cell><cell r="AI5238" t="str"><v>AZR_FBCTCBrandinMotion_FRA_12s_VIA_AZRDirect_French_NA_Facebook_STAN_TIN_T2_1</v></cell><cell r="AJ5238"><v>103256577</v></cell></row><row r="5239"><cell r="C5239" t="str"><v>43319Facebook»Audience & Interest Targeting»1x1»SocialBan»LIA»DT»CPC»AUT»W»NA»SS»NA»Basic Motion</v></cell><cell r="D5239" t="str"><v>43319224399962</v></cell><cell r="E5239" t="str"><v>43319103235146Motion</v></cell><cell r="F5239" t="str"><v>DCM</v></cell><cell r="G5239" t="str"><v>https://signup.azure.com/signup?offer=ms-azr-0044p&appId=102&ref=paidmedia-social-fb&redirectURL=https%3a%2f%2fazure.microsoft.com%2fen-gb%2fget-started%2fwelcome-to-azure%2f&l=en-gb&correlationId=ead86c34-1f10-49dd-a72b-6918462a2cbf</v></cell></row><row r="5239"><cell r="K5239" t="str"><v>August</v></cell><cell r="L5239"><v>43323</v></cell><cell r="M5239" t="str"><v>Tier 1</v></cell><cell r="N5239" t="str"><v>EMEA</v></cell><cell r="O5239" t="str"><v>United Kingdom</v></cell><cell r="P5239" t="str"><v>Trial</v></cell><cell r="Q5239" t="str"><v>Social</v></cell><cell r="R5239" t="str"><v>Azure</v></cell><cell r="S5239" t="str"><v>Apps & Infra</v></cell><cell r="T5239" t="str"><v>Developers & ITI's</v></cell><cell r="U5239" t="str"><v>Audience & Interest Targeting</v></cell><cell r="V5239" t="str"><v>Audience Targeting</v></cell><cell r="W5239" t="str"><v>Link Ad</v></cell><cell r="X5239" t="str"><v>1x1</v></cell></row><row r="5239"><cell r="AA5239"><v>43319</v></cell><cell r="AB5239" t="str"><v>GBR_gaPMG_CE_AZR_Q1_19_Trial-Social</v></cell><cell r="AC5239"><v>21337013</v></cell><cell r="AD5239"><v>720196</v></cell><cell r="AE5239" t="str"><v>Facebook</v></cell><cell r="AF5239"><v>3654128</v></cell><cell r="AG5239" t="str"><v>Facebook»Audience & Interest Targeting»1x1»SocialBan»LIA»DT»CPC»AUT»W»NA»SS»NA»Basic Motion</v></cell><cell r="AH5239"><v>224399962</v></cell><cell r="AI5239" t="str"><v>AzurePlatform_FBCTCcanvaspage-StartFreeCTA-Img2_GBR_1080x143 _SOC_Plat_English_NA_Standard_NA_NA_T2_1</v></cell><cell r="AJ5239"><v>103235146</v></cell></row><row r="5240"><cell r="C5240" t="str"><v>43319Facebook»Audience & Interest Targeting»1x1»SocialBan»LIA»DT»CPC»AUT»W»NA»SS»NA»Benefit 2 in Motion</v></cell><cell r="D5240" t="str"><v>43319224334170</v></cell><cell r="E5240" t="str"><v>43319103235146Motion</v></cell><cell r="F5240" t="str"><v>DCM</v></cell><cell r="G5240" t="str"><v>https://signup.azure.com/signup?offer=ms-azr-0044p&appId=102&ref=paidmedia-social-fb&redirectURL=https%3a%2f%2fazure.microsoft.com%2fen-gb%2fget-started%2fwelcome-to-azure%2f&l=en-gb&correlationId=ead86c34-1f10-49dd-a72b-6918462a2cbf</v></cell></row><row r="5240"><cell r="K5240" t="str"><v>August</v></cell><cell r="L5240"><v>43323</v></cell><cell r="M5240" t="str"><v>Tier 1</v></cell><cell r="N5240" t="str"><v>EMEA</v></cell><cell r="O5240" t="str"><v>United Kingdom</v></cell><cell r="P5240" t="str"><v>Trial</v></cell><cell r="Q5240" t="str"><v>Social</v></cell><cell r="R5240" t="str"><v>Azure</v></cell><cell r="S5240" t="str"><v>Apps & Infra</v></cell><cell r="T5240" t="str"><v>Developers & ITI's</v></cell><cell r="U5240" t="str"><v>Audience & Interest Targeting</v></cell><cell r="V5240" t="str"><v>Audience Targeting</v></cell><cell r="W5240" t="str"><v>Link Ad</v></cell><cell r="X5240" t="str"><v>1x1</v></cell></row><row r="5240"><cell r="AA5240"><v>43319</v></cell><cell r="AB5240" t="str"><v>GBR_gaPMG_CE_AZR_Q1_19_Trial-Social</v></cell><cell r="AC5240"><v>21337013</v></cell><cell r="AD5240"><v>720196</v></cell><cell r="AE5240" t="str"><v>Facebook</v></cell><cell r="AF5240"><v>3654128</v></cell><cell r="AG5240" t="str"><v>Facebook»Audience & Interest Targeting»1x1»SocialBan»LIA»DT»CPC»AUT»W»NA»SS»NA»Benefit 2 in Motion</v></cell><cell r="AH5240"><v>224334170</v></cell><cell r="AI5240" t="str"><v>AzurePlatform_FBCTCcanvaspage-StartFreeCTA-Img2_GBR_1080x143 _SOC_Plat_English_NA_Standard_NA_NA_T2_1</v></cell><cell r="AJ5240"><v>103235146</v></cell></row><row r="5241"><cell r="C5241" t="str"><v>43319Facebook»Audience & Interest Targeting»1x1»SocialBan»LIA»DT»CPC»AUT»W»NA»SS»NA»Brand in Motion</v></cell><cell r="D5241" t="str"><v>43319224549481</v></cell><cell r="E5241" t="str"><v>43319103235146Motion</v></cell><cell r="F5241" t="str"><v>DCM</v></cell><cell r="G5241" t="str"><v>https://signup.azure.com/signup?offer=ms-azr-0044p&appId=102&ref=paidmedia-social-fb&redirectURL=https%3a%2f%2fazure.microsoft.com%2fen-gb%2fget-started%2fwelcome-to-azure%2f&l=en-gb&correlationId=ead86c34-1f10-49dd-a72b-6918462a2cbf</v></cell></row><row r="5241"><cell r="K5241" t="str"><v>August</v></cell><cell r="L5241"><v>43323</v></cell><cell r="M5241" t="str"><v>Tier 1</v></cell><cell r="N5241" t="str"><v>EMEA</v></cell><cell r="O5241" t="str"><v>United Kingdom</v></cell><cell r="P5241" t="str"><v>Trial</v></cell><cell r="Q5241" t="str"><v>Social</v></cell><cell r="R5241" t="str"><v>Azure</v></cell><cell r="S5241" t="str"><v>Apps & Infra</v></cell><cell r="T5241" t="str"><v>Developers & ITI's</v></cell><cell r="U5241" t="str"><v>Audience & Interest Targeting</v></cell><cell r="V5241" t="str"><v>Audience Targeting</v></cell><cell r="W5241" t="str"><v>Link Ad</v></cell><cell r="X5241" t="str"><v>1x1</v></cell></row><row r="5241"><cell r="AA5241"><v>43319</v></cell><cell r="AB5241" t="str"><v>GBR_gaPMG_CE_AZR_Q1_19_Trial-Social</v></cell><cell r="AC5241"><v>21337013</v></cell><cell r="AD5241"><v>720196</v></cell><cell r="AE5241" t="str"><v>Facebook</v></cell><cell r="AF5241"><v>3654128</v></cell><cell r="AG5241" t="str"><v>Facebook»Audience & Interest Targeting»1x1»SocialBan»LIA»DT»CPC»AUT»W»NA»SS»NA»Brand in Motion</v></cell><cell r="AH5241"><v>224549481</v></cell><cell r="AI5241" t="str"><v>AzurePlatform_FBCTCcanvaspage-StartFreeCTA-Img2_GBR_1080x143 _SOC_Plat_English_NA_Standard_NA_NA_T2_1</v></cell><cell r="AJ5241"><v>103235146</v></cell></row><row r="5242"><cell r="C5242" t="str"><v>43319Facebook»Audience & Interest Targeting»1x1»SocialBan»LIA»DT»DYN»AUT»W»NA»SS»NA»Free Account Refresh- 12 months ChE</v></cell><cell r="D5242" t="str"><v>43319223567691</v></cell><cell r="E5242" t="str"><v>43319102854007hs ChE</v></cell><cell r="F5242" t="str"><v>DCM</v></cell><cell r="G5242" t="str"><v>https://azure.microsoft.com/en-gb/free/search/</v></cell></row><row r="5242"><cell r="K5242" t="str"><v>August</v></cell><cell r="L5242"><v>43323</v></cell><cell r="M5242" t="str"><v>Tier 1</v></cell><cell r="N5242" t="str"><v>EMEA</v></cell><cell r="O5242" t="str"><v>United Kingdom</v></cell><cell r="P5242" t="str"><v>Trial</v></cell><cell r="Q5242" t="str"><v>Social</v></cell><cell r="R5242" t="str"><v>Azure</v></cell><cell r="S5242" t="str"><v>Apps & Infra</v></cell><cell r="T5242" t="str"><v>Developers & ITI's</v></cell><cell r="U5242" t="str"><v>Audience & Interest Targeting</v></cell><cell r="V5242" t="str"><v>Audience Targeting</v></cell><cell r="W5242" t="str"><v>Link Ad</v></cell><cell r="X5242" t="str"><v>1x1</v></cell></row><row r="5242"><cell r="AA5242"><v>43319</v></cell><cell r="AB5242" t="str"><v>GBR_gaPMG_CE_AZR_Q1_19_Trial-Social</v></cell><cell r="AC5242"><v>21337013</v></cell><cell r="AD5242"><v>720196</v></cell><cell r="AE5242" t="str"><v>Facebook</v></cell><cell r="AF5242"><v>3654128</v></cell><cell r="AG5242" t="str"><v>Facebook»Audience & Interest Targeting»1x1»SocialBan»LIA»DT»DYN»AUT»W»NA»SS»NA»Free Account Refresh- 12 months ChE</v></cell><cell r="AH5242"><v>223567691</v></cell><cell r="AI5242" t="str"><v>AzurePlatform_FreeAcctAppsFACEBOOK12monthsChE_GBR_1200x628_SOC_PLAT_EN_Trial_Standard_NA_SU_T5_1</v></cell><cell r="AJ5242"><v>102854007</v></cell></row><row r="5243"><cell r="C5243" t="str"><v>43319Facebook»Audience & Interest Targeting»1x1»SocialBan»LIA»DT»DYN»AUT»W»NA»SS»NA»Free Account Refresh- 200 Credit ChD</v></cell><cell r="D5243" t="str"><v>43319223560359</v></cell><cell r="E5243" t="str"><v>43319103005662it ChD</v></cell><cell r="F5243" t="str"><v>DCM</v></cell><cell r="G5243" t="str"><v>https://azure.microsoft.com/en-gb/free/search/</v></cell></row><row r="5243"><cell r="K5243" t="str"><v>August</v></cell><cell r="L5243"><v>43323</v></cell><cell r="M5243" t="str"><v>Tier 1</v></cell><cell r="N5243" t="str"><v>EMEA</v></cell><cell r="O5243" t="str"><v>United Kingdom</v></cell><cell r="P5243" t="str"><v>Trial</v></cell><cell r="Q5243" t="str"><v>Social</v></cell><cell r="R5243" t="str"><v>Azure</v></cell><cell r="S5243" t="str"><v>Apps & Infra</v></cell><cell r="T5243" t="str"><v>Developers & ITI's</v></cell><cell r="U5243" t="str"><v>Audience & Interest Targeting</v></cell><cell r="V5243" t="str"><v>Audience Targeting</v></cell><cell r="W5243" t="str"><v>Link Ad</v></cell><cell r="X5243" t="str"><v>1x1</v></cell></row><row r="5243"><cell r="AA5243"><v>43319</v></cell><cell r="AB5243" t="str"><v>GBR_gaPMG_CE_AZR_Q1_19_Trial-Social</v></cell><cell r="AC5243"><v>21337013</v></cell><cell r="AD5243"><v>720196</v></cell><cell r="AE5243" t="str"><v>Facebook</v></cell><cell r="AF5243"><v>3654128</v></cell><cell r="AG5243" t="str"><v>Facebook»Audience & Interest Targeting»1x1»SocialBan»LIA»DT»DYN»AUT»W»NA»SS»NA»Free Account Refresh- 200 Credit ChD</v></cell><cell r="AH5243"><v>223560359</v></cell><cell r="AI5243" t="str"><v>AzurePlatform_FreeAcctAppsFACEBOOK200CreditChD_GBR_1200x628_SOC_PLAT_EN_Trial_Standard_NA_SU_T4_1</v></cell><cell r="AJ5243"><v>103005662</v></cell></row><row r="5244"><cell r="C5244" t="str"><v>43319Facebook»Audience & Interest Targeting»1x1»SocialBan»LIA»DT»DYN»AUT»W»NA»SS»NA»Free Account Refresh- Device ChB</v></cell><cell r="D5244" t="str"><v>43319223560353</v></cell><cell r="E5244" t="str"><v>43319102854010ce ChB</v></cell><cell r="F5244" t="str"><v>DCM</v></cell><cell r="G5244" t="str"><v>https://azure.microsoft.com/en-gb/free/search/</v></cell></row><row r="5244"><cell r="K5244" t="str"><v>August</v></cell><cell r="L5244"><v>43323</v></cell><cell r="M5244" t="str"><v>Tier 1</v></cell><cell r="N5244" t="str"><v>EMEA</v></cell><cell r="O5244" t="str"><v>United Kingdom</v></cell><cell r="P5244" t="str"><v>Trial</v></cell><cell r="Q5244" t="str"><v>Social</v></cell><cell r="R5244" t="str"><v>Azure</v></cell><cell r="S5244" t="str"><v>Apps & Infra</v></cell><cell r="T5244" t="str"><v>Developers & ITI's</v></cell><cell r="U5244" t="str"><v>Audience & Interest Targeting</v></cell><cell r="V5244" t="str"><v>Audience Targeting</v></cell><cell r="W5244" t="str"><v>Link Ad</v></cell><cell r="X5244" t="str"><v>1x1</v></cell></row><row r="5244"><cell r="AA5244"><v>43319</v></cell><cell r="AB5244" t="str"><v>GBR_gaPMG_CE_AZR_Q1_19_Trial-Social</v></cell><cell r="AC5244"><v>21337013</v></cell><cell r="AD5244"><v>720196</v></cell><cell r="AE5244" t="str"><v>Facebook</v></cell><cell r="AF5244"><v>3654128</v></cell><cell r="AG5244" t="str"><v>Facebook»Audience & Interest Targeting»1x1»SocialBan»LIA»DT»DYN»AUT»W»NA»SS»NA»Free Account Refresh- Device ChB</v></cell><cell r="AH5244"><v>223560353</v></cell><cell r="AI5244" t="str"><v>AzurePlatform_FreeAcctAppsFACEBOOKDeviceChB_GBR_1200x628_SOC_PLAT_EN_Trial_Standard_NA_SU_T2_1</v></cell><cell r="AJ5244"><v>102854010</v></cell></row><row r="5245"><cell r="C5245" t="str"><v>43319Facebook»Audience & Interest Targeting»1x1»SocialBan»LIA»DT»DYN»AUT»W»NA»SS»NA»Free Account Refresh- Illustration ChC</v></cell><cell r="D5245" t="str"><v>43319223560347</v></cell><cell r="E5245" t="str"><v>43319102857037on ChC</v></cell><cell r="F5245" t="str"><v>DCM</v></cell><cell r="G5245" t="str"><v>https://azure.microsoft.com/en-gb/free/search/</v></cell></row><row r="5245"><cell r="K5245" t="str"><v>August</v></cell><cell r="L5245"><v>43323</v></cell><cell r="M5245" t="str"><v>Tier 1</v></cell><cell r="N5245" t="str"><v>EMEA</v></cell><cell r="O5245" t="str"><v>United Kingdom</v></cell><cell r="P5245" t="str"><v>Trial</v></cell><cell r="Q5245" t="str"><v>Social</v></cell><cell r="R5245" t="str"><v>Azure</v></cell><cell r="S5245" t="str"><v>Apps & Infra</v></cell><cell r="T5245" t="str"><v>Developers & ITI's</v></cell><cell r="U5245" t="str"><v>Audience & Interest Targeting</v></cell><cell r="V5245" t="str"><v>Audience Targeting</v></cell><cell r="W5245" t="str"><v>Link Ad</v></cell><cell r="X5245" t="str"><v>1x1</v></cell></row><row r="5245"><cell r="AA5245"><v>43319</v></cell><cell r="AB5245" t="str"><v>GBR_gaPMG_CE_AZR_Q1_19_Trial-Social</v></cell><cell r="AC5245"><v>21337013</v></cell><cell r="AD5245"><v>720196</v></cell><cell r="AE5245" t="str"><v>Facebook</v></cell><cell r="AF5245"><v>3654128</v></cell><cell r="AG5245" t="str"><v>Facebook»Audience & Interest Targeting»1x1»SocialBan»LIA»DT»DYN»AUT»W»NA»SS»NA»Free Account Refresh- Illustration ChC</v></cell><cell r="AH5245"><v>223560347</v></cell><cell r="AI5245" t="str"><v>AzurePlatform_FreeAcctAppsFACEBOOKIllustrationChC_GBR_1200x628_SOC_PLAT_EN_Trial_Standard_NA_SU_T3_1</v></cell><cell r="AJ5245"><v>102857037</v></cell></row><row r="5246"><cell r="C5246" t="str"><v>43319Facebook»Audience & Interest Targeting»1x1»SocialBan»LIA»DT»DYN»AUT»W»NA»SS»NA»Free Account Refresh- Lifestyle ChA</v></cell><cell r="D5246" t="str"><v>43319223560341</v></cell><cell r="E5246" t="str"><v>43319102853597le ChA</v></cell><cell r="F5246" t="str"><v>DCM</v></cell><cell r="G5246" t="str"><v>https://azure.microsoft.com/en-gb/free/search/</v></cell></row><row r="5246"><cell r="K5246" t="str"><v>August</v></cell><cell r="L5246"><v>43323</v></cell><cell r="M5246" t="str"><v>Tier 1</v></cell><cell r="N5246" t="str"><v>EMEA</v></cell><cell r="O5246" t="str"><v>United Kingdom</v></cell><cell r="P5246" t="str"><v>Trial</v></cell><cell r="Q5246" t="str"><v>Social</v></cell><cell r="R5246" t="str"><v>Azure</v></cell><cell r="S5246" t="str"><v>Apps & Infra</v></cell><cell r="T5246" t="str"><v>Developers & ITI's</v></cell><cell r="U5246" t="str"><v>Audience & Interest Targeting</v></cell><cell r="V5246" t="str"><v>Audience Targeting</v></cell><cell r="W5246" t="str"><v>Link Ad</v></cell><cell r="X5246" t="str"><v>1x1</v></cell></row><row r="5246"><cell r="AA5246"><v>43319</v></cell><cell r="AB5246" t="str"><v>GBR_gaPMG_CE_AZR_Q1_19_Trial-Social</v></cell><cell r="AC5246"><v>21337013</v></cell><cell r="AD5246"><v>720196</v></cell><cell r="AE5246" t="str"><v>Facebook</v></cell><cell r="AF5246"><v>3654128</v></cell><cell r="AG5246" t="str"><v>Facebook»Audience & Interest Targeting»1x1»SocialBan»LIA»DT»DYN»AUT»W»NA»SS»NA»Free Account Refresh- Lifestyle ChA</v></cell><cell r="AH5246"><v>223560341</v></cell><cell r="AI5246" t="str"><v>AzurePlatform_FreeAcctAppsFACEBOOKLifestyleChA_GBR_1200x628_SOC_PLAT_EN_Trial_Standard_NA_SU_T1_1</v></cell><cell r="AJ5246"><v>102853597</v></cell></row><row r="5247"><cell r="C5247" t="str"><v>43319Facebook»Retargeting»1x1»SocialBan»LIA»DT»DYN»RT»W»NA»SS»NA»Free Account Retargeting Generic- Animated ChC</v></cell><cell r="D5247" t="str"><v>43319223560299</v></cell><cell r="E5247" t="str"><v>43319102854019ed ChC</v></cell><cell r="F5247" t="str"><v>DCM</v></cell><cell r="G5247" t="str"><v>https://azure.microsoft.com/en-gb/free/search/</v></cell></row><row r="5247"><cell r="K5247" t="str"><v>August</v></cell><cell r="L5247"><v>43323</v></cell><cell r="M5247" t="str"><v>Tier 1</v></cell><cell r="N5247" t="str"><v>EMEA</v></cell><cell r="O5247" t="str"><v>United Kingdom</v></cell><cell r="P5247" t="str"><v>Trial</v></cell><cell r="Q5247" t="str"><v>Social</v></cell><cell r="R5247" t="str"><v>Azure</v></cell><cell r="S5247" t="str"><v>Apps & Infra</v></cell><cell r="T5247" t="str"><v>Developers & ITI's</v></cell><cell r="U5247" t="str"><v>Retargeting</v></cell><cell r="V5247" t="str"><v>Retargeting</v></cell><cell r="W5247" t="str"><v>Link Ad</v></cell><cell r="X5247" t="str"><v>1x1</v></cell></row><row r="5247"><cell r="AA5247"><v>43319</v></cell><cell r="AB5247" t="str"><v>GBR_gaPMG_CE_AZR_Q1_19_Trial-Social</v></cell><cell r="AC5247"><v>21337013</v></cell><cell r="AD5247"><v>720196</v></cell><cell r="AE5247" t="str"><v>Facebook</v></cell><cell r="AF5247"><v>3654128</v></cell><cell r="AG5247" t="str"><v>Facebook»Retargeting»1x1»SocialBan»LIA»DT»DYN»RT»W»NA»SS»NA»Free Account Retargeting Generic- Animated ChC</v></cell><cell r="AH5247"><v>223560299</v></cell><cell r="AI5247" t="str"><v>AzurePlatform_FreeAcctRetargetingFB-Animated-ChC_GBR_1200x628_SOC_Plat_EN_Free Account_Standard_ANI_SU_T3_1</v></cell><cell r="AJ5247"><v>102854019</v></cell></row><row r="5248"><cell r="C5248" t="str"><v>43319Facebook»Retargeting»1x1»SocialBan»LIA»DT»DYN»RT»W»NA»SS»NA»Free Account Retargeting Generic- Global Alt ChB</v></cell><cell r="D5248" t="str"><v>43319223560356</v></cell><cell r="E5248" t="str"><v>43319102854016lt ChB</v></cell><cell r="F5248" t="str"><v>DCM</v></cell><cell r="G5248" t="str"><v>https://azure.microsoft.com/en-gb/free/search/</v></cell></row><row r="5248"><cell r="K5248" t="str"><v>August</v></cell><cell r="L5248"><v>43323</v></cell><cell r="M5248" t="str"><v>Tier 1</v></cell><cell r="N5248" t="str"><v>EMEA</v></cell><cell r="O5248" t="str"><v>United Kingdom</v></cell><cell r="P5248" t="str"><v>Trial</v></cell><cell r="Q5248" t="str"><v>Social</v></cell><cell r="R5248" t="str"><v>Azure</v></cell><cell r="S5248" t="str"><v>Apps & Infra</v></cell><cell r="T5248" t="str"><v>Developers & ITI's</v></cell><cell r="U5248" t="str"><v>Retargeting</v></cell><cell r="V5248" t="str"><v>Retargeting</v></cell><cell r="W5248" t="str"><v>Link Ad</v></cell><cell r="X5248" t="str"><v>1x1</v></cell></row><row r="5248"><cell r="AA5248"><v>43319</v></cell><cell r="AB5248" t="str"><v>GBR_gaPMG_CE_AZR_Q1_19_Trial-Social</v></cell><cell r="AC5248"><v>21337013</v></cell><cell r="AD5248"><v>720196</v></cell><cell r="AE5248" t="str"><v>Facebook</v></cell><cell r="AF5248"><v>3654128</v></cell><cell r="AG5248" t="str"><v>Facebook»Retargeting»1x1»SocialBan»LIA»DT»DYN»RT»W»NA»SS»NA»Free Account Retargeting Generic- Global Alt ChB</v></cell><cell r="AH5248"><v>223560356</v></cell><cell r="AI5248" t="str"><v>AzurePlatform_FreeAcctRetargetingFB-GlobalAlt-ChB_GBR_1200x628_SOC_Plat_EN_Free Account_Standard_NA_SU_T2_1</v></cell><cell r="AJ5248"><v>102854016</v></cell></row><row r="5249"><cell r="C5249" t="str"><v>43319Facebook»Retargeting»1x1»SocialBan»LIA»DT»DYN»RT»W»NA»SS»NA»Free Account Retargeting OSS- Logos ChG</v></cell><cell r="D5249" t="str"><v>43319223560350</v></cell><cell r="E5249" t="str"><v>43319103006547os ChG</v></cell><cell r="F5249" t="str"><v>DCM</v></cell><cell r="G5249" t="str"><v>https://azure.microsoft.com/en-gb/free/open-source/search/</v></cell></row><row r="5249"><cell r="K5249" t="str"><v>August</v></cell><cell r="L5249"><v>43323</v></cell><cell r="M5249" t="str"><v>Tier 1</v></cell><cell r="N5249" t="str"><v>EMEA</v></cell><cell r="O5249" t="str"><v>United Kingdom</v></cell><cell r="P5249" t="str"><v>Trial</v></cell><cell r="Q5249" t="str"><v>Social</v></cell><cell r="R5249" t="str"><v>Azure</v></cell><cell r="S5249" t="str"><v>Apps & Infra</v></cell><cell r="T5249" t="str"><v>Developers & ITI's</v></cell><cell r="U5249" t="str"><v>Retargeting</v></cell><cell r="V5249" t="str"><v>Retargeting</v></cell><cell r="W5249" t="str"><v>Link Ad</v></cell><cell r="X5249" t="str"><v>1x1</v></cell></row><row r="5249"><cell r="AA5249"><v>43319</v></cell><cell r="AB5249" t="str"><v>GBR_gaPMG_CE_AZR_Q1_19_Trial-Social</v></cell><cell r="AC5249"><v>21337013</v></cell><cell r="AD5249"><v>720196</v></cell><cell r="AE5249" t="str"><v>Facebook</v></cell><cell r="AF5249"><v>3654128</v></cell><cell r="AG5249" t="str"><v>Facebook»Retargeting»1x1»SocialBan»LIA»DT»DYN»RT»W»NA»SS»NA»Free Account Retargeting OSS- Logos ChG</v></cell><cell r="AH5249"><v>223560350</v></cell><cell r="AI5249" t="str"><v>AzurePlatform_FreeAcctRetargetingOSSFB-Logos-ChG_GBR_1200x628_SOC_Plat_EN_Free Account_Standard_NA_SU_T2_1</v></cell><cell r="AJ5249"><v>103006547</v></cell></row><row r="5250"><cell r="C5250" t="str"><v>43319Facebook»Retargeting»1x1»SocialBan»LIA»DT»DYN»RT»W»NA»SS»NA»Free Account Retargeting OSS- Text ChF</v></cell><cell r="D5250" t="str"><v>43319223560344</v></cell><cell r="E5250" t="str"><v>43319102861246xt ChF</v></cell><cell r="F5250" t="str"><v>DCM</v></cell><cell r="G5250" t="str"><v>https://azure.microsoft.com/en-gb/free/open-source/search/</v></cell></row><row r="5250"><cell r="K5250" t="str"><v>August</v></cell><cell r="L5250"><v>43323</v></cell><cell r="M5250" t="str"><v>Tier 1</v></cell><cell r="N5250" t="str"><v>EMEA</v></cell><cell r="O5250" t="str"><v>United Kingdom</v></cell><cell r="P5250" t="str"><v>Trial</v></cell><cell r="Q5250" t="str"><v>Social</v></cell><cell r="R5250" t="str"><v>Azure</v></cell><cell r="S5250" t="str"><v>Apps & Infra</v></cell><cell r="T5250" t="str"><v>Developers & ITI's</v></cell><cell r="U5250" t="str"><v>Retargeting</v></cell><cell r="V5250" t="str"><v>Retargeting</v></cell><cell r="W5250" t="str"><v>Link Ad</v></cell><cell r="X5250" t="str"><v>1x1</v></cell></row><row r="5250"><cell r="AA5250"><v>43319</v></cell><cell r="AB5250" t="str"><v>GBR_gaPMG_CE_AZR_Q1_19_Trial-Social</v></cell><cell r="AC5250"><v>21337013</v></cell><cell r="AD5250"><v>720196</v></cell><cell r="AE5250" t="str"><v>Facebook</v></cell><cell r="AF5250"><v>3654128</v></cell><cell r="AG5250" t="str"><v>Facebook»Retargeting»1x1»SocialBan»LIA»DT»DYN»RT»W»NA»SS»NA»Free Account Retargeting OSS- Text ChF</v></cell><cell r="AH5250"><v>223560344</v></cell><cell r="AI5250" t="str"><v>AzurePlatform_FreeAcctRetargetingOSSFB-Text-ChF_GBR_1200x628_SOC_Plat_EN_Free Account_Standard_NA_SU_T1_1</v></cell><cell r="AJ5250"><v>102861246</v></cell></row><row r="5251"><cell r="C5251" t="str"><v>43319Facebook»Retargeting»1x1»SocialBan»LIA»DT»DYN»RT»W»NA»SS»NA»Free Account Retargeting VM- 750 Hrs ChD</v></cell><cell r="D5251" t="str"><v>43319223560338</v></cell><cell r="E5251" t="str"><v>43319102853603rs ChD</v></cell><cell r="F5251" t="str"><v>DCM</v></cell><cell r="G5251" t="str"><v>https://azure.microsoft.com/en-gb/free/virtual-machines/search/</v></cell></row><row r="5251"><cell r="K5251" t="str"><v>August</v></cell><cell r="L5251"><v>43323</v></cell><cell r="M5251" t="str"><v>Tier 1</v></cell><cell r="N5251" t="str"><v>EMEA</v></cell><cell r="O5251" t="str"><v>United Kingdom</v></cell><cell r="P5251" t="str"><v>Trial</v></cell><cell r="Q5251" t="str"><v>Social</v></cell><cell r="R5251" t="str"><v>Azure</v></cell><cell r="S5251" t="str"><v>Apps & Infra</v></cell><cell r="T5251" t="str"><v>Developers & ITI's</v></cell><cell r="U5251" t="str"><v>Retargeting</v></cell><cell r="V5251" t="str"><v>Retargeting</v></cell><cell r="W5251" t="str"><v>Link Ad</v></cell><cell r="X5251" t="str"><v>1x1</v></cell></row><row r="5251"><cell r="AA5251"><v>43319</v></cell><cell r="AB5251" t="str"><v>GBR_gaPMG_CE_AZR_Q1_19_Trial-Social</v></cell><cell r="AC5251"><v>21337013</v></cell><cell r="AD5251"><v>720196</v></cell><cell r="AE5251" t="str"><v>Facebook</v></cell><cell r="AF5251"><v>3654128</v></cell><cell r="AG5251" t="str"><v>Facebook»Retargeting»1x1»SocialBan»LIA»DT»DYN»RT»W»NA»SS»NA»Free Account Retargeting VM- 750 Hrs ChD</v></cell><cell r="AH5251"><v>223560338</v></cell><cell r="AI5251" t="str"><v>AzurePlatform_FreeAcctRetargetingVMFB-750Hrs-ChD_GBR_1200x628_SOC_Plat_EN_Free Account_Standard_NA_SU_T1_1</v></cell><cell r="AJ5251"><v>102853603</v></cell></row><row r="5252"><cell r="C5252" t="str"><v>43319Facebook»Retargeting»1x1»SocialBan»LIA»DT»DYN»RT»W»NA»SS»NA»Free Account Retargeting VM- On Demand ChE</v></cell><cell r="D5252" t="str"><v>43319223560332</v></cell><cell r="E5252" t="str"><v>43319102854037nd ChE</v></cell><cell r="F5252" t="str"><v>DCM</v></cell><cell r="G5252" t="str"><v>https://azure.microsoft.com/en-gb/free/virtual-machines/search/</v></cell></row><row r="5252"><cell r="K5252" t="str"><v>August</v></cell><cell r="L5252"><v>43323</v></cell><cell r="M5252" t="str"><v>Tier 1</v></cell><cell r="N5252" t="str"><v>EMEA</v></cell><cell r="O5252" t="str"><v>United Kingdom</v></cell><cell r="P5252" t="str"><v>Trial</v></cell><cell r="Q5252" t="str"><v>Social</v></cell><cell r="R5252" t="str"><v>Azure</v></cell><cell r="S5252" t="str"><v>Apps & Infra</v></cell><cell r="T5252" t="str"><v>Developers & ITI's</v></cell><cell r="U5252" t="str"><v>Retargeting</v></cell><cell r="V5252" t="str"><v>Retargeting</v></cell><cell r="W5252" t="str"><v>Link Ad</v></cell><cell r="X5252" t="str"><v>1x1</v></cell></row><row r="5252"><cell r="AA5252"><v>43319</v></cell><cell r="AB5252" t="str"><v>GBR_gaPMG_CE_AZR_Q1_19_Trial-Social</v></cell><cell r="AC5252"><v>21337013</v></cell><cell r="AD5252"><v>720196</v></cell><cell r="AE5252" t="str"><v>Facebook</v></cell><cell r="AF5252"><v>3654128</v></cell><cell r="AG5252" t="str"><v>Facebook»Retargeting»1x1»SocialBan»LIA»DT»DYN»RT»W»NA»SS»NA»Free Account Retargeting VM- On Demand ChE</v></cell><cell r="AH5252"><v>223560332</v></cell><cell r="AI5252" t="str"><v>AzurePlatform_FreeAcctRetargetingVMFB-OnDemand-ChE_GBR_1200x628_SOC_Plat_EN_Free Account_Standard_NA_SU_T2_1</v></cell><cell r="AJ5252"><v>102854037</v></cell></row><row r="5253"><cell r="C5253" t="str"><v>43319Facebook»AZP-Canvas-Interest&Role-Trial»1x1»Canvas»OTH»MO»CPM»PRO»X»UNK»TP»OT»Canvas-Trial</v></cell><cell r="D5253" t="str"><v>43319223298805</v></cell><cell r="E5253" t="str"><v>43319102630373-Trial</v></cell><cell r="F5253" t="str"><v>DCM</v></cell><cell r="G5253" t="str"><v>https://azure.microsoft.com/ja-jp/pricing/purchase-options/</v></cell></row><row r="5253"><cell r="K5253" t="str"><v>August</v></cell><cell r="L5253"><v>43323</v></cell><cell r="M5253" t="str"><v>Tier 1</v></cell><cell r="N5253" t="str"><v>APAC</v></cell><cell r="O5253" t="str"><v>Japan</v></cell><cell r="P5253" t="str"><v>Trial</v></cell><cell r="Q5253" t="str"><v>Social</v></cell><cell r="R5253" t="str"><v>Azure</v></cell><cell r="S5253" t="str"><v>Apps & Infra</v></cell><cell r="T5253" t="str"><v>Developers & ITI's</v></cell><cell r="U5253" t="str"><v>AZP-Canvas-Interest&Role-Trial</v></cell><cell r="V5253" t="str"><v>Prospecting</v></cell><cell r="W5253" t="str"><v>Other</v></cell><cell r="X5253" t="str"><v>1x1</v></cell></row><row r="5253"><cell r="AA5253"><v>43319</v></cell><cell r="AB5253" t="str"><v>JPN_gaPMG_AZR_AZR_Q1_19_Trial-Social</v></cell><cell r="AC5253"><v>21276694</v></cell><cell r="AD5253"><v>720195</v></cell><cell r="AE5253" t="str"><v>Facebook</v></cell><cell r="AF5253"><v>3654128</v></cell><cell r="AG5253" t="str"><v>Facebook»AZP-Canvas-Interest&Role-Trial»1x1»Canvas»OTH»MO»CPM»PRO»X»UNK»TP»OT»Canvas-Trial</v></cell><cell r="AH5253"><v>223298805</v></cell><cell r="AI5253" t="str"><v>AzurePlatform_FBCTCcanvaspage-BuyNowCTA-Img3_JPN_1080x162_SOC_Plat_Japanese_NA_Standard_NA_BN_T3_1</v></cell><cell r="AJ5253"><v>102630373</v></cell></row><row r="5254"><cell r="C5254" t="str"><v>43319Facebook»AZP-Canvas-Interest&Role-Trial»1x1»Canvas»OTH»MO»CPM»PRO»X»UNK»TP»OT»Canvas-Trial</v></cell><cell r="D5254" t="str"><v>43319223298805</v></cell><cell r="E5254" t="str"><v>43319102609621-Trial</v></cell><cell r="F5254" t="str"><v>DCM</v></cell><cell r="G5254" t="str"><v>https://signup.azure.com/signup?offer=ms-azr-0044p&appId=102&ref=paidmedia-social-fb&redirectURL=https%3a%2f%2fazure.microsoft.com%2fja-jp%2fget-started%2fwelcome-to-azure%2f&l=ja-jp&correlationId=ead86c34-1f10-49dd-a72b-6918462a2cbf</v></cell></row><row r="5254"><cell r="K5254" t="str"><v>August</v></cell><cell r="L5254"><v>43323</v></cell><cell r="M5254" t="str"><v>Tier 1</v></cell><cell r="N5254" t="str"><v>APAC</v></cell><cell r="O5254" t="str"><v>Japan</v></cell><cell r="P5254" t="str"><v>Trial</v></cell><cell r="Q5254" t="str"><v>Social</v></cell><cell r="R5254" t="str"><v>Azure</v></cell><cell r="S5254" t="str"><v>Apps & Infra</v></cell><cell r="T5254" t="str"><v>Developers & ITI's</v></cell><cell r="U5254" t="str"><v>AZP-Canvas-Interest&Role-Trial</v></cell><cell r="V5254" t="str"><v>Prospecting</v></cell><cell r="W5254" t="str"><v>Other</v></cell><cell r="X5254" t="str"><v>1x1</v></cell></row><row r="5254"><cell r="AA5254"><v>43319</v></cell><cell r="AB5254" t="str"><v>JPN_gaPMG_AZR_AZR_Q1_19_Trial-Social</v></cell><cell r="AC5254"><v>21276694</v></cell><cell r="AD5254"><v>720195</v></cell><cell r="AE5254" t="str"><v>Facebook</v></cell><cell r="AF5254"><v>3654128</v></cell><cell r="AG5254" t="str"><v>Facebook»AZP-Canvas-Interest&Role-Trial»1x1»Canvas»OTH»MO»CPM»PRO»X»UNK»TP»OT»Canvas-Trial</v></cell><cell r="AH5254"><v>223298805</v></cell><cell r="AI5254" t="str"><v>AzurePlatform_FBCTCcanvaspage-StartFreeCTA-Img2_JPN_1080x143 _SOC_Plat_Japanese_NA_Standard_NA_NA_T2_1</v></cell><cell r="AJ5254"><v>102609621</v></cell></row><row r="5255"><cell r="C5255" t="str"><v>43319Facebook»AZP-Canvas-Look a Like-Trial»1x1»Canvas»OTH»MO»CPM»PRO»X»UNK»TP»OT»Canvas-Trial</v></cell><cell r="D5255" t="str"><v>43319223297413</v></cell><cell r="E5255" t="str"><v>43319102630373-Trial</v></cell><cell r="F5255" t="str"><v>DCM</v></cell><cell r="G5255" t="str"><v>https://azure.microsoft.com/ja-jp/pricing/purchase-options/</v></cell></row><row r="5255"><cell r="K5255" t="str"><v>August</v></cell><cell r="L5255"><v>43323</v></cell><cell r="M5255" t="str"><v>Tier 1</v></cell><cell r="N5255" t="str"><v>APAC</v></cell><cell r="O5255" t="str"><v>Japan</v></cell><cell r="P5255" t="str"><v>Trial</v></cell><cell r="Q5255" t="str"><v>Social</v></cell><cell r="R5255" t="str"><v>Azure</v></cell><cell r="S5255" t="str"><v>Apps & Infra</v></cell><cell r="T5255" t="str"><v>Developers & ITI's</v></cell><cell r="U5255" t="str"><v>AZP-Canvas-Look a Like-Trial</v></cell><cell r="V5255" t="str"><v>Prospecting</v></cell><cell r="W5255" t="str"><v>Other</v></cell><cell r="X5255" t="str"><v>1x1</v></cell></row><row r="5255"><cell r="AA5255"><v>43319</v></cell><cell r="AB5255" t="str"><v>JPN_gaPMG_AZR_AZR_Q1_19_Trial-Social</v></cell><cell r="AC5255"><v>21276694</v></cell><cell r="AD5255"><v>720195</v></cell><cell r="AE5255" t="str"><v>Facebook</v></cell><cell r="AF5255"><v>3654128</v></cell><cell r="AG5255" t="str"><v>Facebook»AZP-Canvas-Look a Like-Trial»1x1»Canvas»OTH»MO»CPM»PRO»X»UNK»TP»OT»Canvas-Trial</v></cell><cell r="AH5255"><v>223297413</v></cell><cell r="AI5255" t="str"><v>AzurePlatform_FBCTCcanvaspage-BuyNowCTA-Img3_JPN_1080x162_SOC_Plat_Japanese_NA_Standard_NA_BN_T3_1</v></cell><cell r="AJ5255"><v>102630373</v></cell></row><row r="5256"><cell r="C5256" t="str"><v>43319Facebook»AZP-Canvas-Look a Like-Trial»1x1»Canvas»OTH»MO»CPM»PRO»X»UNK»TP»OT»Canvas-Trial</v></cell><cell r="D5256" t="str"><v>43319223297413</v></cell><cell r="E5256" t="str"><v>43319102609621-Trial</v></cell><cell r="F5256" t="str"><v>DCM</v></cell><cell r="G5256" t="str"><v>https://signup.azure.com/signup?offer=ms-azr-0044p&appId=102&ref=paidmedia-social-fb&redirectURL=https%3a%2f%2fazure.microsoft.com%2fja-jp%2fget-started%2fwelcome-to-azure%2f&l=ja-jp&correlationId=ead86c34-1f10-49dd-a72b-6918462a2cbf</v></cell></row><row r="5256"><cell r="K5256" t="str"><v>August</v></cell><cell r="L5256"><v>43323</v></cell><cell r="M5256" t="str"><v>Tier 1</v></cell><cell r="N5256" t="str"><v>APAC</v></cell><cell r="O5256" t="str"><v>Japan</v></cell><cell r="P5256" t="str"><v>Trial</v></cell><cell r="Q5256" t="str"><v>Social</v></cell><cell r="R5256" t="str"><v>Azure</v></cell><cell r="S5256" t="str"><v>Apps & Infra</v></cell><cell r="T5256" t="str"><v>Developers & ITI's</v></cell><cell r="U5256" t="str"><v>AZP-Canvas-Look a Like-Trial</v></cell><cell r="V5256" t="str"><v>Prospecting</v></cell><cell r="W5256" t="str"><v>Other</v></cell><cell r="X5256" t="str"><v>1x1</v></cell></row><row r="5256"><cell r="AA5256"><v>43319</v></cell><cell r="AB5256" t="str"><v>JPN_gaPMG_AZR_AZR_Q1_19_Trial-Social</v></cell><cell r="AC5256"><v>21276694</v></cell><cell r="AD5256"><v>720195</v></cell><cell r="AE5256" t="str"><v>Facebook</v></cell><cell r="AF5256"><v>3654128</v></cell><cell r="AG5256" t="str"><v>Facebook»AZP-Canvas-Look a Like-Trial»1x1»Canvas»OTH»MO»CPM»PRO»X»UNK»TP»OT»Canvas-Trial</v></cell><cell r="AH5256"><v>223297413</v></cell><cell r="AI5256" t="str"><v>AzurePlatform_FBCTCcanvaspage-StartFreeCTA-Img2_JPN_1080x143 _SOC_Plat_Japanese_NA_Standard_NA_NA_T2_1</v></cell><cell r="AJ5256"><v>102609621</v></cell></row><row r="5257"><cell r="C5257" t="str"><v>43319Facebook»AZP-Retargeting»1x1»Ban»LIA»ALL»CPM»RT»X»All»TP»OT»Free Account Retargeting OSS-ChF</v></cell><cell r="D5257" t="str"><v>43319223726368</v></cell><cell r="E5257" t="str"><v>43319102974750SS-ChF</v></cell><cell r="F5257" t="str"><v>DCM</v></cell><cell r="G5257" t="str"><v>https://azure.microsoft.com/ja-jp/free/open-source/search/</v></cell></row><row r="5257"><cell r="K5257" t="str"><v>August</v></cell><cell r="L5257"><v>43323</v></cell><cell r="M5257" t="str"><v>Tier 1</v></cell><cell r="N5257" t="str"><v>APAC</v></cell><cell r="O5257" t="str"><v>Japan</v></cell><cell r="P5257" t="str"><v>Trial</v></cell><cell r="Q5257" t="str"><v>Social</v></cell><cell r="R5257" t="str"><v>Azure</v></cell><cell r="S5257" t="str"><v>Apps & Infra</v></cell><cell r="T5257" t="str"><v>Developers & ITI's</v></cell><cell r="U5257" t="str"><v>AZP-Retargeting</v></cell><cell r="V5257" t="str"><v>Retargeting</v></cell><cell r="W5257" t="str"><v>Link Ad</v></cell><cell r="X5257" t="str"><v>1x1</v></cell></row><row r="5257"><cell r="AA5257"><v>43319</v></cell><cell r="AB5257" t="str"><v>JPN_gaPMG_AZR_AZR_Q1_19_Trial-Social</v></cell><cell r="AC5257"><v>21276694</v></cell><cell r="AD5257"><v>720195</v></cell><cell r="AE5257" t="str"><v>Facebook</v></cell><cell r="AF5257"><v>3654128</v></cell><cell r="AG5257" t="str"><v>Facebook»AZP-Retargeting»1x1»Ban»LIA»ALL»CPM»RT»X»All»TP»OT»Free Account Retargeting OSS-ChF</v></cell><cell r="AH5257"><v>223726368</v></cell><cell r="AI5257" t="str"><v>AzurePlatform_FreeAcctRetargetingOSSFB-Text-ChF_JPN_1200x628_SOC_Plat_JA_Free Account_Standard_NA_SU_T1_1</v></cell><cell r="AJ5257"><v>102974750</v></cell></row><row r="5258"><cell r="C5258" t="str"><v>43319Facebook»AZP-Retargeting»1x1»Newsfeed»LIA»ALL»CPM»RT»X»UNK»SS»NA»Developer-Generic</v></cell><cell r="D5258" t="str"><v>43319225671576</v></cell><cell r="E5258" t="str"><v>43319104060550eneric</v></cell><cell r="F5258" t="str"><v>DCM</v></cell><cell r="G5258" t="str"><v>https://azure.microsoft.com/ja-jp/free/</v></cell></row><row r="5258"><cell r="K5258" t="str"><v>August</v></cell><cell r="L5258"><v>43323</v></cell><cell r="M5258" t="str"><v>Tier 1</v></cell><cell r="N5258" t="str"><v>APAC</v></cell><cell r="O5258" t="str"><v>Japan</v></cell><cell r="P5258" t="str"><v>Trial</v></cell><cell r="Q5258" t="str"><v>Social</v></cell><cell r="R5258" t="str"><v>Azure</v></cell><cell r="S5258" t="str"><v>Apps & Infra</v></cell><cell r="T5258" t="str"><v>Developers & ITI's</v></cell><cell r="U5258" t="str"><v>AZP-Retargeting</v></cell><cell r="V5258" t="str"><v>Retargeting</v></cell><cell r="W5258" t="str"><v>Link Ad</v></cell><cell r="X5258" t="str"><v>1x1</v></cell></row><row r="5258"><cell r="AA5258"><v>43319</v></cell><cell r="AB5258" t="str"><v>JPN_gaPMG_AZR_AZR_Q1_19_Trial-Social</v></cell><cell r="AC5258"><v>21276694</v></cell><cell r="AD5258"><v>720195</v></cell><cell r="AE5258" t="str"><v>Facebook</v></cell><cell r="AF5258"><v>3654128</v></cell><cell r="AG5258" t="str"><v>Facebook»AZP-Retargeting»1x1»Newsfeed»LIA»ALL»CPM»RT»X»UNK»SS»NA»Developer-Generic</v></cell><cell r="AH5258"><v>225671576</v></cell><cell r="AI5258" t="str"><v>AZR_FreeAcctDeveloperFB-AnimatedGeneric-Ch1_JPN_1200x1200_SOC_Direct_JA_Trial_Standard_ANI_LEA_T1_1</v></cell><cell r="AJ5258"><v>104060550</v></cell></row><row r="5259"><cell r="C5259" t="str"><v>43319Facebook»AZP-Retargeting»1x1»Newsfeed»LIA»ALL»CPM»RT»X»UNK»SS»NA»Developer-Intelligent Data</v></cell><cell r="D5259" t="str"><v>43319225761746</v></cell><cell r="E5259" t="str"><v>43319104064204t Data</v></cell><cell r="F5259" t="str"><v>DCM</v></cell><cell r="G5259" t="str"><v>https://azure.microsoft.com/ja-jp/free/</v></cell></row><row r="5259"><cell r="K5259" t="str"><v>August</v></cell><cell r="L5259"><v>43323</v></cell><cell r="M5259" t="str"><v>Tier 1</v></cell><cell r="N5259" t="str"><v>APAC</v></cell><cell r="O5259" t="str"><v>Japan</v></cell><cell r="P5259" t="str"><v>Trial</v></cell><cell r="Q5259" t="str"><v>Social</v></cell><cell r="R5259" t="str"><v>Azure</v></cell><cell r="S5259" t="str"><v>Apps & Infra</v></cell><cell r="T5259" t="str"><v>Developers & ITI's</v></cell><cell r="U5259" t="str"><v>AZP-Retargeting</v></cell><cell r="V5259" t="str"><v>Retargeting</v></cell><cell r="W5259" t="str"><v>Link Ad</v></cell><cell r="X5259" t="str"><v>1x1</v></cell></row><row r="5259"><cell r="AA5259"><v>43319</v></cell><cell r="AB5259" t="str"><v>JPN_gaPMG_AZR_AZR_Q1_19_Trial-Social</v></cell><cell r="AC5259"><v>21276694</v></cell><cell r="AD5259"><v>720195</v></cell><cell r="AE5259" t="str"><v>Facebook</v></cell><cell r="AF5259"><v>3654128</v></cell><cell r="AG5259" t="str"><v>Facebook»AZP-Retargeting»1x1»Newsfeed»LIA»ALL»CPM»RT»X»UNK»SS»NA»Developer-Intelligent Data</v></cell><cell r="AH5259"><v>225761746</v></cell><cell r="AI5259" t="str"><v>AZR_FreeAcctDeveloperFB-AnimatedData-Ch4_JPN_1200x1200_SOC_Direct_JA_Trial_Standard_ANI_LEA_T4_1</v></cell><cell r="AJ5259"><v>104064204</v></cell></row><row r="5260"><cell r="C5260" t="str"><v>43319FACEBOOK»USA-Trial-ITD-Interest Prospecting-AZR-AZR»1 x 1»SocialBan»CAN»ALL»CPA»PRO»X»NA»SS»NA»FBCTCBenefit2inMotion»PRC1SW</v></cell><cell r="D5260" t="str"><v>43319223933138</v></cell><cell r="E5260" t="str"><v>43319103043835PRC1SW</v></cell><cell r="F5260" t="str"><v>DCM</v></cell><cell r="G5260" t="str"><v>https://signup.azure.com/?OCID=AID%eexcid!_OLA_%ebuy!_%epid!_%ecid!</v></cell></row><row r="5260"><cell r="K5260" t="str"><v>August</v></cell><cell r="L5260"><v>43323</v></cell><cell r="M5260" t="str"><v>Tier 0</v></cell><cell r="N5260" t="str"><v>North America</v></cell><cell r="O5260" t="str"><v>United States</v></cell><cell r="P5260" t="str"><v>Trial</v></cell><cell r="Q5260" t="str"><v>Social</v></cell><cell r="R5260" t="str"><v>Azure</v></cell><cell r="S5260" t="str"><v>Apps & Infra</v></cell><cell r="T5260" t="str"><v>Developers & ITI's</v></cell><cell r="U5260" t="str"><v>USA-Trial-ITD-Interest Prospecting-AZR-AZR</v></cell><cell r="V5260" t="str"><v>Prospecting</v></cell><cell r="W5260" t="str"><v>Canvas Ad</v></cell><cell r="X5260" t="str"><v>1x1</v></cell></row><row r="5260"><cell r="AA5260"><v>43319</v></cell><cell r="AB5260" t="str"><v>USA_gaPMG_AZR_AZR_Q1_19_Direct-Social</v></cell><cell r="AC5260"><v>21358715</v></cell><cell r="AD5260"><v>720197</v></cell><cell r="AE5260" t="str"><v>Facebook</v></cell><cell r="AF5260"><v>3654128</v></cell><cell r="AG5260" t="str"><v>FACEBOOK»USA-Trial-ITD-Interest Prospecting-AZR-AZR»1 x 1»SocialBan»CAN»ALL»CPA»PRO»X»NA»SS»NA»FBCTCBenefit2inMotion»PRC1SW</v></cell><cell r="AH5260"><v>223933138</v></cell><cell r="AI5260" t="str"><v>AzurePlatform_FBCTCBenefit2inMotion_USA_10s_CAN_PLATFORM_English_Trial_Standard_STAN_TIN_T4_1</v></cell><cell r="AJ5260"><v>103043835</v></cell></row><row r="5261"><cell r="C5261" t="str"><v>43319FACEBOOK»USA-Trial-ITD-Interest Prospecting-AZR-AZR»1 x 1»SocialBan»CAN»ALL»CPA»PRO»X»NA»SS»NA»FBCTCBenefit2inMotion»PRC1SW</v></cell><cell r="D5261" t="str"><v>43319223933138</v></cell><cell r="E5261" t="str"><v>43319103178645PRC1SW</v></cell><cell r="F5261" t="str"><v>DCM</v></cell><cell r="G5261" t="str"><v>https://azure.microsoft.com/en-us/pricing/purchase-options/?v=18.19&OCID=AID%eexcid!_OLA_%ebuy!_%epid!_%ecid!</v></cell></row><row r="5261"><cell r="K5261" t="str"><v>August</v></cell><cell r="L5261"><v>43323</v></cell><cell r="M5261" t="str"><v>Tier 0</v></cell><cell r="N5261" t="str"><v>North America</v></cell><cell r="O5261" t="str"><v>United States</v></cell><cell r="P5261" t="str"><v>Trial</v></cell><cell r="Q5261" t="str"><v>Social</v></cell><cell r="R5261" t="str"><v>Azure</v></cell><cell r="S5261" t="str"><v>Apps & Infra</v></cell><cell r="T5261" t="str"><v>Developers & ITI's</v></cell><cell r="U5261" t="str"><v>USA-Trial-ITD-Interest Prospecting-AZR-AZR</v></cell><cell r="V5261" t="str"><v>Prospecting</v></cell><cell r="W5261" t="str"><v>Canvas Ad</v></cell><cell r="X5261" t="str"><v>1x1</v></cell></row><row r="5261"><cell r="AA5261"><v>43319</v></cell><cell r="AB5261" t="str"><v>USA_gaPMG_AZR_AZR_Q1_19_Direct-Social</v></cell><cell r="AC5261"><v>21358715</v></cell><cell r="AD5261"><v>720197</v></cell><cell r="AE5261" t="str"><v>Facebook</v></cell><cell r="AF5261"><v>3654128</v></cell><cell r="AG5261" t="str"><v>FACEBOOK»USA-Trial-ITD-Interest Prospecting-AZR-AZR»1 x 1»SocialBan»CAN»ALL»CPA»PRO»X»NA»SS»NA»FBCTCBenefit2inMotion»PRC1SW</v></cell><cell r="AH5261"><v>223933138</v></cell><cell r="AI5261" t="str"><v>AzurePlatform_FBCTCBenefit2inMotion_USA_10s_CAN_PLATFORM_English_Trial_Standard_STAN_TIN_T4_2</v></cell><cell r="AJ5261"><v>103178645</v></cell></row><row r="5262"><cell r="C5262" t="str"><v>43319FACEBOOK»USA-Trial-ITD-Interest Prospecting-AZR-AZR»1 x 1»SocialBan»LIA»ALL»CPA»PRO»X»NA»SS»NA»FreeAcctITProFB-AnimatedSecureMngd-Ch1»PRC1T4</v></cell><cell r="D5262" t="str"><v>43319224104914</v></cell><cell r="E5262" t="str"><v>43319103176830PRC1T4</v></cell><cell r="F5262" t="str"><v>DCM</v></cell></row><row r="5262"><cell r="K5262" t="str"><v>August</v></cell><cell r="L5262"><v>43323</v></cell><cell r="M5262" t="str"><v>Tier 0</v></cell><cell r="N5262" t="str"><v>North America</v></cell><cell r="O5262" t="str"><v>United States</v></cell><cell r="P5262" t="str"><v>Trial</v></cell><cell r="Q5262" t="str"><v>Social</v></cell><cell r="R5262" t="str"><v>Azure</v></cell><cell r="S5262" t="str"><v>Apps & Infra</v></cell><cell r="T5262" t="str"><v>Developers & ITI's</v></cell><cell r="U5262" t="str"><v>USA-Trial-ITD-Interest Prospecting-AZR-AZR</v></cell><cell r="V5262" t="str"><v>Prospecting</v></cell><cell r="W5262" t="str"><v>Link Ad</v></cell><cell r="X5262" t="str"><v>1x1</v></cell></row><row r="5262"><cell r="AA5262"><v>43319</v></cell><cell r="AB5262" t="str"><v>USA_gaPMG_AZR_AZR_Q1_19_Direct-Social</v></cell><cell r="AC5262"><v>21358715</v></cell><cell r="AD5262"><v>720197</v></cell><cell r="AE5262" t="str"><v>Facebook</v></cell><cell r="AF5262"><v>3654128</v></cell><cell r="AG5262" t="str"><v>FACEBOOK»USA-Trial-ITD-Interest Prospecting-AZR-AZR»1 x 1»SocialBan»LIA»ALL»CPA»PRO»X»NA»SS»NA»FreeAcctITProFB-AnimatedSecureMngd-Ch1»PRC1T4</v></cell><cell r="AH5262"><v>224104914</v></cell><cell r="AI5262" t="str"><v>AZR_FreeAcctITProFB-AnimatedSecureMngd-Ch1_USA_1200x1200_CAN_Direct_English_Trial_Standard_ANI_LEA_T1_1</v></cell><cell r="AJ5262"><v>103176830</v></cell></row><row r="5263"><cell r="C5263" t="str"><v>43319FACEBOOK»USA-Trial-ITD-Interest Prospecting-AZR-AZR»1 x 1»SocialBan»CCA»ALL»CPA»PRO»X»NA»SS»NA»Azure Developer Facebook Collections»PRSGV0</v></cell><cell r="D5263" t="str"><v>43319225283843</v></cell><cell r="E5263" t="str"><v>43319103776921PRSGV0</v></cell><cell r="F5263" t="str"><v>DCM</v></cell><cell r="G5263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263"><cell r="K5263" t="str"><v>August</v></cell><cell r="L5263"><v>43323</v></cell><cell r="M5263" t="str"><v>Tier 0</v></cell><cell r="N5263" t="str"><v>North America</v></cell><cell r="O5263" t="str"><v>United States</v></cell><cell r="P5263" t="str"><v>Trial</v></cell><cell r="Q5263" t="str"><v>Social</v></cell><cell r="R5263" t="str"><v>Azure</v></cell><cell r="S5263" t="str"><v>Apps & Infra</v></cell><cell r="T5263" t="str"><v>Developers & ITI's</v></cell><cell r="U5263" t="str"><v>USA-Trial-ITD-Interest Prospecting-AZR-AZR</v></cell><cell r="V5263" t="str"><v>Prospecting</v></cell><cell r="W5263" t="str"><v>Canvas Collection Ad</v></cell><cell r="X5263" t="str"><v>1x1</v></cell></row><row r="5263"><cell r="AA5263"><v>43319</v></cell><cell r="AB5263" t="str"><v>USA_gaPMG_AZR_AZR_Q1_19_Direct-Social</v></cell><cell r="AC5263"><v>21358715</v></cell><cell r="AD5263"><v>720197</v></cell><cell r="AE5263" t="str"><v>Facebook</v></cell><cell r="AF5263"><v>3654128</v></cell><cell r="AG5263" t="str"><v>FACEBOOK»USA-Trial-ITD-Interest Prospecting-AZR-AZR»1 x 1»SocialBan»CCA»ALL»CPA»PRO»X»NA»SS»NA»Azure Developer Facebook Collections»PRSGV0</v></cell><cell r="AH5263"><v>225283843</v></cell><cell r="AI5263" t="str"><v>AZR_FBCollections-FreeStuffTryAzureFreeCTA-Img5_USA_1200x182_SOC_Plat_EN_NA_Standard_NA_TIN_T1_5</v></cell><cell r="AJ5263"><v>103776921</v></cell></row><row r="5264"><cell r="C5264" t="str"><v>43319FACEBOOK»USA-Trial-ITD-Interest Prospecting-AZR-AZR»1 x 1»SocialBan»CCA»ALL»CPA»PRO»X»NA»SS»NA»Azure Developer Facebook Collections»PRSGV0</v></cell><cell r="D5264" t="str"><v>43319225283843</v></cell><cell r="E5264" t="str"><v>43319103873631PRSGV0</v></cell><cell r="F5264" t="str"><v>DCM</v></cell><cell r="G5264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264"><cell r="K5264" t="str"><v>August</v></cell><cell r="L5264"><v>43323</v></cell><cell r="M5264" t="str"><v>Tier 0</v></cell><cell r="N5264" t="str"><v>North America</v></cell><cell r="O5264" t="str"><v>United States</v></cell><cell r="P5264" t="str"><v>Trial</v></cell><cell r="Q5264" t="str"><v>Social</v></cell><cell r="R5264" t="str"><v>Azure</v></cell><cell r="S5264" t="str"><v>Apps & Infra</v></cell><cell r="T5264" t="str"><v>Developers & ITI's</v></cell><cell r="U5264" t="str"><v>USA-Trial-ITD-Interest Prospecting-AZR-AZR</v></cell><cell r="V5264" t="str"><v>Prospecting</v></cell><cell r="W5264" t="str"><v>Canvas Collection Ad</v></cell><cell r="X5264" t="str"><v>1x1</v></cell></row><row r="5264"><cell r="AA5264"><v>43319</v></cell><cell r="AB5264" t="str"><v>USA_gaPMG_AZR_AZR_Q1_19_Direct-Social</v></cell><cell r="AC5264"><v>21358715</v></cell><cell r="AD5264"><v>720197</v></cell><cell r="AE5264" t="str"><v>Facebook</v></cell><cell r="AF5264"><v>3654128</v></cell><cell r="AG5264" t="str"><v>FACEBOOK»USA-Trial-ITD-Interest Prospecting-AZR-AZR»1 x 1»SocialBan»CCA»ALL»CPA»PRO»X»NA»SS»NA»Azure Developer Facebook Collections»PRSGV0</v></cell><cell r="AH5264"><v>225283843</v></cell><cell r="AI5264" t="str"><v>AZR_FBCollections-OSSTryAzureFreeCTA-Img3_USA_1200x182_SOC_Plat_EN_NA_Standard_NA_TIN_T1_3</v></cell><cell r="AJ5264"><v>103873631</v></cell></row><row r="5265"><cell r="C5265" t="str"><v>43319FACEBOOK»USA-Trial-ITD-Interest Prospecting-AZR-AZR»1 x 1»SocialBan»CCA»ALL»CPA»PRO»X»NA»SS»NA»Azure Developer Facebook Collections»PRSGV0</v></cell><cell r="D5265" t="str"><v>43319225283843</v></cell><cell r="E5265" t="str"><v>43319103773180PRSGV0</v></cell><cell r="F5265" t="str"><v>DCM</v></cell><cell r="G5265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265"><cell r="K5265" t="str"><v>August</v></cell><cell r="L5265"><v>43323</v></cell><cell r="M5265" t="str"><v>Tier 0</v></cell><cell r="N5265" t="str"><v>North America</v></cell><cell r="O5265" t="str"><v>United States</v></cell><cell r="P5265" t="str"><v>Trial</v></cell><cell r="Q5265" t="str"><v>Social</v></cell><cell r="R5265" t="str"><v>Azure</v></cell><cell r="S5265" t="str"><v>Apps & Infra</v></cell><cell r="T5265" t="str"><v>Developers & ITI's</v></cell><cell r="U5265" t="str"><v>USA-Trial-ITD-Interest Prospecting-AZR-AZR</v></cell><cell r="V5265" t="str"><v>Prospecting</v></cell><cell r="W5265" t="str"><v>Canvas Collection Ad</v></cell><cell r="X5265" t="str"><v>1x1</v></cell></row><row r="5265"><cell r="AA5265"><v>43319</v></cell><cell r="AB5265" t="str"><v>USA_gaPMG_AZR_AZR_Q1_19_Direct-Social</v></cell><cell r="AC5265"><v>21358715</v></cell><cell r="AD5265"><v>720197</v></cell><cell r="AE5265" t="str"><v>Facebook</v></cell><cell r="AF5265"><v>3654128</v></cell><cell r="AG5265" t="str"><v>FACEBOOK»USA-Trial-ITD-Interest Prospecting-AZR-AZR»1 x 1»SocialBan»CCA»ALL»CPA»PRO»X»NA»SS»NA»Azure Developer Facebook Collections»PRSGV0</v></cell><cell r="AH5265"><v>225283843</v></cell><cell r="AI5265" t="str"><v>AZR_FBCollections-SmartDataTryAzureFreeCTA-Img4_USA_1200x182_SOC_Plat_EN_NA_Standard_NA_TIN_T1_4</v></cell><cell r="AJ5265"><v>103773180</v></cell></row><row r="5266"><cell r="C5266" t="str"><v>43319FACEBOOK»USA-Trial-ITD-Interest Prospecting-AZR-AZR»1 x 1»SocialBan»CCA»ALL»CPA»PRO»X»NA»SS»NA»Azure Developer Facebook Collections»PRSGV0</v></cell><cell r="D5266" t="str"><v>43319225283843</v></cell><cell r="E5266" t="str"><v>43319103874423PRSGV0</v></cell><cell r="F5266" t="str"><v>DCM</v></cell><cell r="G5266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266"><cell r="K5266" t="str"><v>August</v></cell><cell r="L5266"><v>43323</v></cell><cell r="M5266" t="str"><v>Tier 0</v></cell><cell r="N5266" t="str"><v>North America</v></cell><cell r="O5266" t="str"><v>United States</v></cell><cell r="P5266" t="str"><v>Trial</v></cell><cell r="Q5266" t="str"><v>Social</v></cell><cell r="R5266" t="str"><v>Azure</v></cell><cell r="S5266" t="str"><v>Apps & Infra</v></cell><cell r="T5266" t="str"><v>Developers & ITI's</v></cell><cell r="U5266" t="str"><v>USA-Trial-ITD-Interest Prospecting-AZR-AZR</v></cell><cell r="V5266" t="str"><v>Prospecting</v></cell><cell r="W5266" t="str"><v>Canvas Collection Ad</v></cell><cell r="X5266" t="str"><v>1x1</v></cell></row><row r="5266"><cell r="AA5266"><v>43319</v></cell><cell r="AB5266" t="str"><v>USA_gaPMG_AZR_AZR_Q1_19_Direct-Social</v></cell><cell r="AC5266"><v>21358715</v></cell><cell r="AD5266"><v>720197</v></cell><cell r="AE5266" t="str"><v>Facebook</v></cell><cell r="AF5266"><v>3654128</v></cell><cell r="AG5266" t="str"><v>FACEBOOK»USA-Trial-ITD-Interest Prospecting-AZR-AZR»1 x 1»SocialBan»CCA»ALL»CPA»PRO»X»NA»SS»NA»Azure Developer Facebook Collections»PRSGV0</v></cell><cell r="AH5266"><v>225283843</v></cell><cell r="AI5266" t="str"><v>AZR_FBCollections-TryAzureFreeCTA-Img1_USA_1200x182_SOC_Plat_EN_NA_Standard_NA_TIN_T1_1</v></cell><cell r="AJ5266"><v>103874423</v></cell></row><row r="5267"><cell r="C5267" t="str"><v>43319FACEBOOK»USA-Trial-ITD-Retargeting-AZR-AZR»1 x 1»SocialBan»LIA»ALL»CPA»RT»X»NA»SS»NA»FreeAcctDeveloperFB-AnimatedData-Ch4»PRC26J</v></cell><cell r="D5267" t="str"><v>43319224106078</v></cell><cell r="E5267" t="str"><v>43319103037935PRC26J</v></cell><cell r="F5267" t="str"><v>DCM</v></cell></row><row r="5267"><cell r="K5267" t="str"><v>August</v></cell><cell r="L5267"><v>43323</v></cell><cell r="M5267" t="str"><v>Tier 0</v></cell><cell r="N5267" t="str"><v>North America</v></cell><cell r="O5267" t="str"><v>United States</v></cell><cell r="P5267" t="str"><v>Trial</v></cell><cell r="Q5267" t="str"><v>Social</v></cell><cell r="R5267" t="str"><v>Azure</v></cell><cell r="S5267" t="str"><v>Apps & Infra</v></cell><cell r="T5267" t="str"><v>Developers & ITI's</v></cell><cell r="U5267" t="str"><v>USA-Trial-ITD-Retargeting-AZR-AZR</v></cell><cell r="V5267" t="str"><v>Retargeting</v></cell><cell r="W5267" t="str"><v>Link Ad</v></cell><cell r="X5267" t="str"><v>1x1</v></cell></row><row r="5267"><cell r="AA5267"><v>43319</v></cell><cell r="AB5267" t="str"><v>USA_gaPMG_AZR_AZR_Q1_19_Direct-Social</v></cell><cell r="AC5267"><v>21358715</v></cell><cell r="AD5267"><v>720197</v></cell><cell r="AE5267" t="str"><v>Facebook</v></cell><cell r="AF5267"><v>3654128</v></cell><cell r="AG5267" t="str"><v>FACEBOOK»USA-Trial-ITD-Retargeting-AZR-AZR»1 x 1»SocialBan»LIA»ALL»CPA»RT»X»NA»SS»NA»FreeAcctDeveloperFB-AnimatedData-Ch4»PRC26J</v></cell><cell r="AH5267"><v>224106078</v></cell><cell r="AI5267" t="str"><v>AZR_FreeAcctDeveloperFB-AnimatedData-Ch4_USA_1200x1200_CAN_Direct_English_Trial_Standard_ANI_LEA_T4_2</v></cell><cell r="AJ5267"><v>103037935</v></cell></row><row r="5268"><cell r="C5268" t="str"><v>43319FACEBOOK»USA-Trial-ITD-Retargeting-AZR-AZR»1 x 1»SocialBan»LIA»ALL»CPA»RT»X»NA»SS»NA»FreeAcctRetargetingFB-Credit-ChA»PRC1RV</v></cell><cell r="D5268" t="str"><v>43319224106075</v></cell><cell r="E5268" t="str"><v>43319103034917PRC1RV</v></cell><cell r="F5268" t="str"><v>DCM</v></cell><cell r="G5268" t="str"><v>https://azure.microsoft.com/en-us/free/search/?OCID=AID%eexcid!_OLA_%ebuy!_%epid!_%ecid!</v></cell></row><row r="5268"><cell r="K5268" t="str"><v>August</v></cell><cell r="L5268"><v>43323</v></cell><cell r="M5268" t="str"><v>Tier 0</v></cell><cell r="N5268" t="str"><v>North America</v></cell><cell r="O5268" t="str"><v>United States</v></cell><cell r="P5268" t="str"><v>Trial</v></cell><cell r="Q5268" t="str"><v>Social</v></cell><cell r="R5268" t="str"><v>Azure</v></cell><cell r="S5268" t="str"><v>Apps & Infra</v></cell><cell r="T5268" t="str"><v>Developers & ITI's</v></cell><cell r="U5268" t="str"><v>USA-Trial-ITD-Retargeting-AZR-AZR</v></cell><cell r="V5268" t="str"><v>Retargeting</v></cell><cell r="W5268" t="str"><v>Link Ad</v></cell><cell r="X5268" t="str"><v>1x1</v></cell></row><row r="5268"><cell r="AA5268"><v>43319</v></cell><cell r="AB5268" t="str"><v>USA_gaPMG_AZR_AZR_Q1_19_Direct-Social</v></cell><cell r="AC5268"><v>21358715</v></cell><cell r="AD5268"><v>720197</v></cell><cell r="AE5268" t="str"><v>Facebook</v></cell><cell r="AF5268"><v>3654128</v></cell><cell r="AG5268" t="str"><v>FACEBOOK»USA-Trial-ITD-Retargeting-AZR-AZR»1 x 1»SocialBan»LIA»ALL»CPA»RT»X»NA»SS»NA»FreeAcctRetargetingFB-Credit-ChA»PRC1RV</v></cell><cell r="AH5268"><v>224106075</v></cell><cell r="AI5268" t="str"><v>AzurePlatform_FreeAcctRetargetingFB-Credit-ChA_USA_1200x628_CAN_PLATFORM_English_Free Account_Standard_NA_SINU_T1_2</v></cell><cell r="AJ5268"><v>103034917</v></cell></row><row r="5269"><cell r="C5269" t="str"><v>43319FACEBOOK»USA-Trial-ITD-Retargeting-AZR-AZR»1 x 1»SocialBan»LIA»ALL»CPA»RT»X»NA»SS»NA»FreeAcctRetargetingFB-GlobalAlt-ChB»PRC1RW</v></cell><cell r="D5269" t="str"><v>43319223862756</v></cell><cell r="E5269" t="str"><v>43319103180592PRC1RW</v></cell><cell r="F5269" t="str"><v>DCM</v></cell><cell r="G5269" t="str"><v>https://azure.microsoft.com/en-us/free/search/?OCID=AID%eexcid!_OLA_%ebuy!_%epid!_%ecid!</v></cell></row><row r="5269"><cell r="K5269" t="str"><v>August</v></cell><cell r="L5269"><v>43323</v></cell><cell r="M5269" t="str"><v>Tier 0</v></cell><cell r="N5269" t="str"><v>North America</v></cell><cell r="O5269" t="str"><v>United States</v></cell><cell r="P5269" t="str"><v>Trial</v></cell><cell r="Q5269" t="str"><v>Social</v></cell><cell r="R5269" t="str"><v>Azure</v></cell><cell r="S5269" t="str"><v>Apps & Infra</v></cell><cell r="T5269" t="str"><v>Developers & ITI's</v></cell><cell r="U5269" t="str"><v>USA-Trial-ITD-Retargeting-AZR-AZR</v></cell><cell r="V5269" t="str"><v>Retargeting</v></cell><cell r="W5269" t="str"><v>Link Ad</v></cell><cell r="X5269" t="str"><v>1x1</v></cell></row><row r="5269"><cell r="AA5269"><v>43319</v></cell><cell r="AB5269" t="str"><v>USA_gaPMG_AZR_AZR_Q1_19_Direct-Social</v></cell><cell r="AC5269"><v>21358715</v></cell><cell r="AD5269"><v>720197</v></cell><cell r="AE5269" t="str"><v>Facebook</v></cell><cell r="AF5269"><v>3654128</v></cell><cell r="AG5269" t="str"><v>FACEBOOK»USA-Trial-ITD-Retargeting-AZR-AZR»1 x 1»SocialBan»LIA»ALL»CPA»RT»X»NA»SS»NA»FreeAcctRetargetingFB-GlobalAlt-ChB»PRC1RW</v></cell><cell r="AH5269"><v>223862756</v></cell><cell r="AI5269" t="str"><v>AzurePlatform_FreeAcctRetargetingFB-GlobalAlt-ChB_USA_1200x628_CAN_PLATFORM_English_Free Account_Standard_NA_SINU_T2_1</v></cell><cell r="AJ5269"><v>103180592</v></cell></row><row r="5270"><cell r="C5270" t="str"><v>43319FACEBOOK»USA-Trial-ITD-Retargeting-AZR-AZR»1 x 1»SocialBan»LIA»ALL»CPA»RT»X»NA»SS»NA»FreeAcctRetargetingVMFB-750Hrs-ChD»PRC1RY</v></cell><cell r="D5270" t="str"><v>43319223862747</v></cell><cell r="E5270" t="str"><v>43319103034911PRC1RY</v></cell><cell r="F5270" t="str"><v>DCM</v></cell><cell r="G5270" t="str"><v>https://azure.microsoft.com/en-us/free/virtual-machines/search/?OCID=AID%eexcid!_OLA_%ebuy!_%epid!_%ecid!</v></cell></row><row r="5270"><cell r="K5270" t="str"><v>August</v></cell><cell r="L5270"><v>43323</v></cell><cell r="M5270" t="str"><v>Tier 0</v></cell><cell r="N5270" t="str"><v>North America</v></cell><cell r="O5270" t="str"><v>United States</v></cell><cell r="P5270" t="str"><v>Trial</v></cell><cell r="Q5270" t="str"><v>Social</v></cell><cell r="R5270" t="str"><v>Azure</v></cell><cell r="S5270" t="str"><v>Apps & Infra</v></cell><cell r="T5270" t="str"><v>Developers & ITI's</v></cell><cell r="U5270" t="str"><v>USA-Trial-ITD-Retargeting-AZR-AZR</v></cell><cell r="V5270" t="str"><v>Retargeting</v></cell><cell r="W5270" t="str"><v>Link Ad</v></cell><cell r="X5270" t="str"><v>1x1</v></cell></row><row r="5270"><cell r="AA5270"><v>43319</v></cell><cell r="AB5270" t="str"><v>USA_gaPMG_AZR_AZR_Q1_19_Direct-Social</v></cell><cell r="AC5270"><v>21358715</v></cell><cell r="AD5270"><v>720197</v></cell><cell r="AE5270" t="str"><v>Facebook</v></cell><cell r="AF5270"><v>3654128</v></cell><cell r="AG5270" t="str"><v>FACEBOOK»USA-Trial-ITD-Retargeting-AZR-AZR»1 x 1»SocialBan»LIA»ALL»CPA»RT»X»NA»SS»NA»FreeAcctRetargetingVMFB-750Hrs-ChD»PRC1RY</v></cell><cell r="AH5270"><v>223862747</v></cell><cell r="AI5270" t="str"><v>AzurePlatform_FreeAcctRetargetingVMFB-750Hrs-ChD_USA_1200x628_CAN_PLATFORM_English_Free Account_Standard_NA_SINU_T1_1</v></cell><cell r="AJ5270"><v>103034911</v></cell></row><row r="5271"><cell r="C5271" t="str"><v>43319FACEBOOK»USA-Trial-ITD-Retargeting-AZR-AZR»1 x 1»SocialBan»LIA»ALL»CPA»RT»X»NA»SS»NA»FreeAcctRetargetingVMFB-OnDemand-ChE»PRC1S0</v></cell><cell r="D5271" t="str"><v>43319224104899</v></cell><cell r="E5271" t="str"><v>43319103180610PRC1S0</v></cell><cell r="F5271" t="str"><v>DCM</v></cell><cell r="G5271" t="str"><v>https://azure.microsoft.com/en-us/free/virtual-machines/search/?OCID=AID%eexcid!_OLA_%ebuy!_%epid!_%ecid!</v></cell></row><row r="5271"><cell r="K5271" t="str"><v>August</v></cell><cell r="L5271"><v>43323</v></cell><cell r="M5271" t="str"><v>Tier 0</v></cell><cell r="N5271" t="str"><v>North America</v></cell><cell r="O5271" t="str"><v>United States</v></cell><cell r="P5271" t="str"><v>Trial</v></cell><cell r="Q5271" t="str"><v>Social</v></cell><cell r="R5271" t="str"><v>Azure</v></cell><cell r="S5271" t="str"><v>Apps & Infra</v></cell><cell r="T5271" t="str"><v>Developers & ITI's</v></cell><cell r="U5271" t="str"><v>USA-Trial-ITD-Retargeting-AZR-AZR</v></cell><cell r="V5271" t="str"><v>Retargeting</v></cell><cell r="W5271" t="str"><v>Link Ad</v></cell><cell r="X5271" t="str"><v>1x1</v></cell></row><row r="5271"><cell r="AA5271"><v>43319</v></cell><cell r="AB5271" t="str"><v>USA_gaPMG_AZR_AZR_Q1_19_Direct-Social</v></cell><cell r="AC5271"><v>21358715</v></cell><cell r="AD5271"><v>720197</v></cell><cell r="AE5271" t="str"><v>Facebook</v></cell><cell r="AF5271"><v>3654128</v></cell><cell r="AG5271" t="str"><v>FACEBOOK»USA-Trial-ITD-Retargeting-AZR-AZR»1 x 1»SocialBan»LIA»ALL»CPA»RT»X»NA»SS»NA»FreeAcctRetargetingVMFB-OnDemand-ChE»PRC1S0</v></cell><cell r="AH5271"><v>224104899</v></cell><cell r="AI5271" t="str"><v>AzurePlatform_FreeAcctRetargetingVMFB-OnDemand-ChE_USA_1200x628_CAN_PLATFORM_English_Free Account_Standard_NA_SINU_T2_1</v></cell><cell r="AJ5271"><v>103180610</v></cell></row><row r="5272"><cell r="C5272" t="str"><v>43319FACEBOOK»USA-Trial-ITD-Retargeting-AZR-AZR»1 x 1»SocialBan»CAN»ALL»CPA»RT»X»NA»SS»NA»FBCTCBrandinMotion»PRC1RT</v></cell><cell r="D5272" t="str"><v>43319224106069</v></cell><cell r="E5272" t="str"><v>43319103176812PRC1RT</v></cell><cell r="F5272" t="str"><v>DCM</v></cell><cell r="G5272" t="str"><v>https://signup.azure.com/?OCID=AID%eexcid!_OLA_%ebuy!_%epid!_%ecid!</v></cell></row><row r="5272"><cell r="K5272" t="str"><v>August</v></cell><cell r="L5272"><v>43323</v></cell><cell r="M5272" t="str"><v>Tier 0</v></cell><cell r="N5272" t="str"><v>North America</v></cell><cell r="O5272" t="str"><v>United States</v></cell><cell r="P5272" t="str"><v>Trial</v></cell><cell r="Q5272" t="str"><v>Social</v></cell><cell r="R5272" t="str"><v>Azure</v></cell><cell r="S5272" t="str"><v>Apps & Infra</v></cell><cell r="T5272" t="str"><v>Developers & ITI's</v></cell><cell r="U5272" t="str"><v>USA-Trial-ITD-Retargeting-AZR-AZR</v></cell><cell r="V5272" t="str"><v>Retargeting</v></cell><cell r="W5272" t="str"><v>Canvas Ad</v></cell><cell r="X5272" t="str"><v>1x1</v></cell></row><row r="5272"><cell r="AA5272"><v>43319</v></cell><cell r="AB5272" t="str"><v>USA_gaPMG_AZR_AZR_Q1_19_Direct-Social</v></cell><cell r="AC5272"><v>21358715</v></cell><cell r="AD5272"><v>720197</v></cell><cell r="AE5272" t="str"><v>Facebook</v></cell><cell r="AF5272"><v>3654128</v></cell><cell r="AG5272" t="str"><v>FACEBOOK»USA-Trial-ITD-Retargeting-AZR-AZR»1 x 1»SocialBan»CAN»ALL»CPA»RT»X»NA»SS»NA»FBCTCBrandinMotion»PRC1RT</v></cell><cell r="AH5272"><v>224106069</v></cell><cell r="AI5272" t="str"><v>AzurePlatform_FBCTCBrandinMotion_USA_10s_CAN_PLATFORM_English_Trial_Standard_STAN_TIN_T2_1</v></cell><cell r="AJ5272"><v>103176812</v></cell></row><row r="5273"><cell r="C5273" t="str"><v>43319FACEBOOK»USA-Trial-ITD-Trial Lookalike-AZR-AZR»1 x 1»SocialBan»CAN»ALL»CPA»LAL»X»NA»SS»NA»FBCTCBenefit2inMotion»PRC1M0</v></cell><cell r="D5273" t="str"><v>43319223862927</v></cell><cell r="E5273" t="str"><v>43319103043835PRC1M0</v></cell><cell r="F5273" t="str"><v>DCM</v></cell><cell r="G5273" t="str"><v>https://signup.azure.com/?OCID=AID%eexcid!_OLA_%ebuy!_%epid!_%ecid!</v></cell></row><row r="5273"><cell r="K5273" t="str"><v>August</v></cell><cell r="L5273"><v>43323</v></cell><cell r="M5273" t="str"><v>Tier 0</v></cell><cell r="N5273" t="str"><v>North America</v></cell><cell r="O5273" t="str"><v>United States</v></cell><cell r="P5273" t="str"><v>Trial</v></cell><cell r="Q5273" t="str"><v>Social</v></cell><cell r="R5273" t="str"><v>Azure</v></cell><cell r="S5273" t="str"><v>Apps & Infra</v></cell><cell r="T5273" t="str"><v>Developers & ITI's</v></cell><cell r="U5273" t="str"><v>USA-Trial-ITD-Trial Lookalike-AZR-AZR</v></cell><cell r="V5273" t="str"><v>Lookalike Targeting</v></cell><cell r="W5273" t="str"><v>Canvas Ad</v></cell><cell r="X5273" t="str"><v>1x1</v></cell></row><row r="5273"><cell r="AA5273"><v>43319</v></cell><cell r="AB5273" t="str"><v>USA_gaPMG_AZR_AZR_Q1_19_Direct-Social</v></cell><cell r="AC5273"><v>21358715</v></cell><cell r="AD5273"><v>720197</v></cell><cell r="AE5273" t="str"><v>Facebook</v></cell><cell r="AF5273"><v>3654128</v></cell><cell r="AG5273" t="str"><v>FACEBOOK»USA-Trial-ITD-Trial Lookalike-AZR-AZR»1 x 1»SocialBan»CAN»ALL»CPA»LAL»X»NA»SS»NA»FBCTCBenefit2inMotion»PRC1M0</v></cell><cell r="AH5273"><v>223862927</v></cell><cell r="AI5273" t="str"><v>AzurePlatform_FBCTCBenefit2inMotion_USA_10s_CAN_PLATFORM_English_Trial_Standard_STAN_TIN_T4_1</v></cell><cell r="AJ5273"><v>103043835</v></cell></row><row r="5274"><cell r="C5274" t="str"><v>43319FACEBOOK»USA-Trial-ITD-Trial Lookalike-AZR-AZR»1 x 1»SocialBan»CAN»ALL»CPA»LAL»X»NA»SS»NA»FBCTCBenefit2inMotion»PRC1M0</v></cell><cell r="D5274" t="str"><v>43319223862927</v></cell><cell r="E5274" t="str"><v>43319103178645PRC1M0</v></cell><cell r="F5274" t="str"><v>DCM</v></cell><cell r="G5274" t="str"><v>https://azure.microsoft.com/en-us/pricing/purchase-options/?v=18.19&OCID=AID%eexcid!_OLA_%ebuy!_%epid!_%ecid!</v></cell></row><row r="5274"><cell r="K5274" t="str"><v>August</v></cell><cell r="L5274"><v>43323</v></cell><cell r="M5274" t="str"><v>Tier 0</v></cell><cell r="N5274" t="str"><v>North America</v></cell><cell r="O5274" t="str"><v>United States</v></cell><cell r="P5274" t="str"><v>Trial</v></cell><cell r="Q5274" t="str"><v>Social</v></cell><cell r="R5274" t="str"><v>Azure</v></cell><cell r="S5274" t="str"><v>Apps & Infra</v></cell><cell r="T5274" t="str"><v>Developers & ITI's</v></cell><cell r="U5274" t="str"><v>USA-Trial-ITD-Trial Lookalike-AZR-AZR</v></cell><cell r="V5274" t="str"><v>Lookalike Targeting</v></cell><cell r="W5274" t="str"><v>Canvas Ad</v></cell><cell r="X5274" t="str"><v>1x1</v></cell></row><row r="5274"><cell r="AA5274"><v>43319</v></cell><cell r="AB5274" t="str"><v>USA_gaPMG_AZR_AZR_Q1_19_Direct-Social</v></cell><cell r="AC5274"><v>21358715</v></cell><cell r="AD5274"><v>720197</v></cell><cell r="AE5274" t="str"><v>Facebook</v></cell><cell r="AF5274"><v>3654128</v></cell><cell r="AG5274" t="str"><v>FACEBOOK»USA-Trial-ITD-Trial Lookalike-AZR-AZR»1 x 1»SocialBan»CAN»ALL»CPA»LAL»X»NA»SS»NA»FBCTCBenefit2inMotion»PRC1M0</v></cell><cell r="AH5274"><v>223862927</v></cell><cell r="AI5274" t="str"><v>AzurePlatform_FBCTCBenefit2inMotion_USA_10s_CAN_PLATFORM_English_Trial_Standard_STAN_TIN_T4_2</v></cell><cell r="AJ5274"><v>103178645</v></cell></row><row r="5275"><cell r="C5275" t="str"><v>43319FACEBOOK»USA-Trial-ITD-Trial Lookalike-AZR-AZR»1 x 1»SocialBan»LIA»ALL»CPA»LAL»X»NA»SS»NA»FreeAcctDeveloperFB-AnimatedData-Ch4»PRC1M8</v></cell><cell r="D5275" t="str"><v>43319223862933</v></cell><cell r="E5275" t="str"><v>43319103037935PRC1M8</v></cell><cell r="F5275" t="str"><v>DCM</v></cell></row><row r="5275"><cell r="K5275" t="str"><v>August</v></cell><cell r="L5275"><v>43323</v></cell><cell r="M5275" t="str"><v>Tier 0</v></cell><cell r="N5275" t="str"><v>North America</v></cell><cell r="O5275" t="str"><v>United States</v></cell><cell r="P5275" t="str"><v>Trial</v></cell><cell r="Q5275" t="str"><v>Social</v></cell><cell r="R5275" t="str"><v>Azure</v></cell><cell r="S5275" t="str"><v>Apps & Infra</v></cell><cell r="T5275" t="str"><v>Developers & ITI's</v></cell><cell r="U5275" t="str"><v>USA-Trial-ITD-Trial Lookalike-AZR-AZR</v></cell><cell r="V5275" t="str"><v>Lookalike Targeting</v></cell><cell r="W5275" t="str"><v>Link Ad</v></cell><cell r="X5275" t="str"><v>1x1</v></cell></row><row r="5275"><cell r="AA5275"><v>43319</v></cell><cell r="AB5275" t="str"><v>USA_gaPMG_AZR_AZR_Q1_19_Direct-Social</v></cell><cell r="AC5275"><v>21358715</v></cell><cell r="AD5275"><v>720197</v></cell><cell r="AE5275" t="str"><v>Facebook</v></cell><cell r="AF5275"><v>3654128</v></cell><cell r="AG5275" t="str"><v>FACEBOOK»USA-Trial-ITD-Trial Lookalike-AZR-AZR»1 x 1»SocialBan»LIA»ALL»CPA»LAL»X»NA»SS»NA»FreeAcctDeveloperFB-AnimatedData-Ch4»PRC1M8</v></cell><cell r="AH5275"><v>223862933</v></cell><cell r="AI5275" t="str"><v>AZR_FreeAcctDeveloperFB-AnimatedData-Ch4_USA_1200x1200_CAN_Direct_English_Trial_Standard_ANI_LEA_T4_2</v></cell><cell r="AJ5275"><v>103037935</v></cell></row><row r="5276"><cell r="C5276" t="str"><v>43319FACEBOOK»USA-Trial-ITD-Trial PayGo Lookalike-AZR-AZR»1 x 1»SocialBan»CAN»ALL»CPA»LAL»X»NA»SS»NA»FBCTCBenefit2inMotion»PRC1Q1</v></cell><cell r="D5276" t="str"><v>43319224104986</v></cell><cell r="E5276" t="str"><v>43319103043835PRC1Q1</v></cell><cell r="F5276" t="str"><v>DCM</v></cell><cell r="G5276" t="str"><v>https://signup.azure.com/?OCID=AID%eexcid!_OLA_%ebuy!_%epid!_%ecid!</v></cell></row><row r="5276"><cell r="K5276" t="str"><v>August</v></cell><cell r="L5276"><v>43323</v></cell><cell r="M5276" t="str"><v>Tier 0</v></cell><cell r="N5276" t="str"><v>North America</v></cell><cell r="O5276" t="str"><v>United States</v></cell><cell r="P5276" t="str"><v>Trial</v></cell><cell r="Q5276" t="str"><v>Social</v></cell><cell r="R5276" t="str"><v>Azure</v></cell><cell r="S5276" t="str"><v>Apps & Infra</v></cell><cell r="T5276" t="str"><v>Developers & ITI's</v></cell><cell r="U5276" t="str"><v>USA-Trial-ITD-Trial PayGo Lookalike-AZR-AZR</v></cell><cell r="V5276" t="str"><v>Lookalike Targeting</v></cell><cell r="W5276" t="str"><v>Canvas Ad</v></cell><cell r="X5276" t="str"><v>1x1</v></cell></row><row r="5276"><cell r="AA5276"><v>43319</v></cell><cell r="AB5276" t="str"><v>USA_gaPMG_AZR_AZR_Q1_19_Direct-Social</v></cell><cell r="AC5276"><v>21358715</v></cell><cell r="AD5276"><v>720197</v></cell><cell r="AE5276" t="str"><v>Facebook</v></cell><cell r="AF5276"><v>3654128</v></cell><cell r="AG5276" t="str"><v>FACEBOOK»USA-Trial-ITD-Trial PayGo Lookalike-AZR-AZR»1 x 1»SocialBan»CAN»ALL»CPA»LAL»X»NA»SS»NA»FBCTCBenefit2inMotion»PRC1Q1</v></cell><cell r="AH5276"><v>224104986</v></cell><cell r="AI5276" t="str"><v>AzurePlatform_FBCTCBenefit2inMotion_USA_10s_CAN_PLATFORM_English_Trial_Standard_STAN_TIN_T4_1</v></cell><cell r="AJ5276"><v>103043835</v></cell></row><row r="5277"><cell r="C5277" t="str"><v>43319FACEBOOK»USA-Trial-ITD-Trial PayGo Lookalike-AZR-AZR»1 x 1»SocialBan»CAN»ALL»CPA»LAL»X»NA»SS»NA»FBCTCBenefit2inMotion»PRC1Q1</v></cell><cell r="D5277" t="str"><v>43319224104986</v></cell><cell r="E5277" t="str"><v>43319103178645PRC1Q1</v></cell><cell r="F5277" t="str"><v>DCM</v></cell><cell r="G5277" t="str"><v>https://azure.microsoft.com/en-us/pricing/purchase-options/?v=18.19&OCID=AID%eexcid!_OLA_%ebuy!_%epid!_%ecid!</v></cell></row><row r="5277"><cell r="K5277" t="str"><v>August</v></cell><cell r="L5277"><v>43323</v></cell><cell r="M5277" t="str"><v>Tier 0</v></cell><cell r="N5277" t="str"><v>North America</v></cell><cell r="O5277" t="str"><v>United States</v></cell><cell r="P5277" t="str"><v>Trial</v></cell><cell r="Q5277" t="str"><v>Social</v></cell><cell r="R5277" t="str"><v>Azure</v></cell><cell r="S5277" t="str"><v>Apps & Infra</v></cell><cell r="T5277" t="str"><v>Developers & ITI's</v></cell><cell r="U5277" t="str"><v>USA-Trial-ITD-Trial PayGo Lookalike-AZR-AZR</v></cell><cell r="V5277" t="str"><v>Lookalike Targeting</v></cell><cell r="W5277" t="str"><v>Canvas Ad</v></cell><cell r="X5277" t="str"><v>1x1</v></cell></row><row r="5277"><cell r="AA5277"><v>43319</v></cell><cell r="AB5277" t="str"><v>USA_gaPMG_AZR_AZR_Q1_19_Direct-Social</v></cell><cell r="AC5277"><v>21358715</v></cell><cell r="AD5277"><v>720197</v></cell><cell r="AE5277" t="str"><v>Facebook</v></cell><cell r="AF5277"><v>3654128</v></cell><cell r="AG5277" t="str"><v>FACEBOOK»USA-Trial-ITD-Trial PayGo Lookalike-AZR-AZR»1 x 1»SocialBan»CAN»ALL»CPA»LAL»X»NA»SS»NA»FBCTCBenefit2inMotion»PRC1Q1</v></cell><cell r="AH5277"><v>224104986</v></cell><cell r="AI5277" t="str"><v>AzurePlatform_FBCTCBenefit2inMotion_USA_10s_CAN_PLATFORM_English_Trial_Standard_STAN_TIN_T4_2</v></cell><cell r="AJ5277"><v>103178645</v></cell></row><row r="5278"><cell r="C5278" t="str"><v>43319FACEBOOK»USA-Trial-ITD-Trial PayGo Lookalike-AZR-AZR»1 x 1»SocialBan»CAN»ALL»CPA»LAL»X»NA»SS»NA»FBCTCBrandinMotion»PRC1Q3</v></cell><cell r="D5278" t="str"><v>43319223935349</v></cell><cell r="E5278" t="str"><v>43319103176812PRC1Q3</v></cell><cell r="F5278" t="str"><v>DCM</v></cell><cell r="G5278" t="str"><v>https://signup.azure.com/?OCID=AID%eexcid!_OLA_%ebuy!_%epid!_%ecid!</v></cell></row><row r="5278"><cell r="K5278" t="str"><v>August</v></cell><cell r="L5278"><v>43323</v></cell><cell r="M5278" t="str"><v>Tier 0</v></cell><cell r="N5278" t="str"><v>North America</v></cell><cell r="O5278" t="str"><v>United States</v></cell><cell r="P5278" t="str"><v>Trial</v></cell><cell r="Q5278" t="str"><v>Social</v></cell><cell r="R5278" t="str"><v>Azure</v></cell><cell r="S5278" t="str"><v>Apps & Infra</v></cell><cell r="T5278" t="str"><v>Developers & ITI's</v></cell><cell r="U5278" t="str"><v>USA-Trial-ITD-Trial PayGo Lookalike-AZR-AZR</v></cell><cell r="V5278" t="str"><v>Lookalike Targeting</v></cell><cell r="W5278" t="str"><v>Canvas Ad</v></cell><cell r="X5278" t="str"><v>1x1</v></cell></row><row r="5278"><cell r="AA5278"><v>43319</v></cell><cell r="AB5278" t="str"><v>USA_gaPMG_AZR_AZR_Q1_19_Direct-Social</v></cell><cell r="AC5278"><v>21358715</v></cell><cell r="AD5278"><v>720197</v></cell><cell r="AE5278" t="str"><v>Facebook</v></cell><cell r="AF5278"><v>3654128</v></cell><cell r="AG5278" t="str"><v>FACEBOOK»USA-Trial-ITD-Trial PayGo Lookalike-AZR-AZR»1 x 1»SocialBan»CAN»ALL»CPA»LAL»X»NA»SS»NA»FBCTCBrandinMotion»PRC1Q3</v></cell><cell r="AH5278"><v>223935349</v></cell><cell r="AI5278" t="str"><v>AzurePlatform_FBCTCBrandinMotion_USA_10s_CAN_PLATFORM_English_Trial_Standard_STAN_TIN_T2_1</v></cell><cell r="AJ5278"><v>103176812</v></cell></row><row r="5279"><cell r="C5279" t="str"><v>43319FACEBOOK»USA-Trial-ITD-Trial PayGo Lookalike-AZR-AZR»1 x 1»SocialBan»CAN»ALL»CPA»LAL»X»NA»SS»NA»FBCTCBrandinMotion»PRC1Q3</v></cell><cell r="D5279" t="str"><v>43319223935349</v></cell><cell r="E5279" t="str"><v>43319103032823PRC1Q3</v></cell><cell r="F5279" t="str"><v>DCM</v></cell><cell r="G5279" t="str"><v>https://azure.microsoft.com/en-us/pricing/purchase-options/?v=18.19&OCID=AID%eexcid!_OLA_%ebuy!_%epid!_%ecid!</v></cell></row><row r="5279"><cell r="K5279" t="str"><v>August</v></cell><cell r="L5279"><v>43323</v></cell><cell r="M5279" t="str"><v>Tier 0</v></cell><cell r="N5279" t="str"><v>North America</v></cell><cell r="O5279" t="str"><v>United States</v></cell><cell r="P5279" t="str"><v>Trial</v></cell><cell r="Q5279" t="str"><v>Social</v></cell><cell r="R5279" t="str"><v>Azure</v></cell><cell r="S5279" t="str"><v>Apps & Infra</v></cell><cell r="T5279" t="str"><v>Developers & ITI's</v></cell><cell r="U5279" t="str"><v>USA-Trial-ITD-Trial PayGo Lookalike-AZR-AZR</v></cell><cell r="V5279" t="str"><v>Lookalike Targeting</v></cell><cell r="W5279" t="str"><v>Canvas Ad</v></cell><cell r="X5279" t="str"><v>1x1</v></cell></row><row r="5279"><cell r="AA5279"><v>43319</v></cell><cell r="AB5279" t="str"><v>USA_gaPMG_AZR_AZR_Q1_19_Direct-Social</v></cell><cell r="AC5279"><v>21358715</v></cell><cell r="AD5279"><v>720197</v></cell><cell r="AE5279" t="str"><v>Facebook</v></cell><cell r="AF5279"><v>3654128</v></cell><cell r="AG5279" t="str"><v>FACEBOOK»USA-Trial-ITD-Trial PayGo Lookalike-AZR-AZR»1 x 1»SocialBan»CAN»ALL»CPA»LAL»X»NA»SS»NA»FBCTCBrandinMotion»PRC1Q3</v></cell><cell r="AH5279"><v>223935349</v></cell><cell r="AI5279" t="str"><v>AzurePlatform_FBCTCBrandinMotion_USA_10s_CAN_PLATFORM_English_Trial_Standard_STAN_TIN_T2_2</v></cell><cell r="AJ5279"><v>103032823</v></cell></row><row r="5280"><cell r="C5280" t="str"><v>43319FACEBOOK»USA-Trial-ITD-Trial PayGo Lookalike-AZR-AZR»1 x 1»SocialBan»CAN»ALL»CPA»LAL»X»NA»SS»NA»FBCTCBenefitinMotion»PRC1Q2</v></cell><cell r="D5280" t="str"><v>43319223862960</v></cell><cell r="E5280" t="str"><v>43319103032775PRC1Q2</v></cell><cell r="F5280" t="str"><v>DCM</v></cell><cell r="G5280" t="str"><v>https://signup.azure.com/?OCID=AID%eexcid!_OLA_%ebuy!_%epid!_%ecid!</v></cell></row><row r="5280"><cell r="K5280" t="str"><v>August</v></cell><cell r="L5280"><v>43323</v></cell><cell r="M5280" t="str"><v>Tier 0</v></cell><cell r="N5280" t="str"><v>North America</v></cell><cell r="O5280" t="str"><v>United States</v></cell><cell r="P5280" t="str"><v>Trial</v></cell><cell r="Q5280" t="str"><v>Social</v></cell><cell r="R5280" t="str"><v>Azure</v></cell><cell r="S5280" t="str"><v>Apps & Infra</v></cell><cell r="T5280" t="str"><v>Developers & ITI's</v></cell><cell r="U5280" t="str"><v>USA-Trial-ITD-Trial PayGo Lookalike-AZR-AZR</v></cell><cell r="V5280" t="str"><v>Lookalike Targeting</v></cell><cell r="W5280" t="str"><v>Canvas Ad</v></cell><cell r="X5280" t="str"><v>1x1</v></cell></row><row r="5280"><cell r="AA5280"><v>43319</v></cell><cell r="AB5280" t="str"><v>USA_gaPMG_AZR_AZR_Q1_19_Direct-Social</v></cell><cell r="AC5280"><v>21358715</v></cell><cell r="AD5280"><v>720197</v></cell><cell r="AE5280" t="str"><v>Facebook</v></cell><cell r="AF5280"><v>3654128</v></cell><cell r="AG5280" t="str"><v>FACEBOOK»USA-Trial-ITD-Trial PayGo Lookalike-AZR-AZR»1 x 1»SocialBan»CAN»ALL»CPA»LAL»X»NA»SS»NA»FBCTCBenefitinMotion»PRC1Q2</v></cell><cell r="AH5280"><v>223862960</v></cell><cell r="AI5280" t="str"><v>AzurePlatform_FBCTCBenefitinMotion_USA_10s_CAN_PLATFORM_English_Trial_Standard_STAN_TIN_T3_1</v></cell><cell r="AJ5280"><v>103032775</v></cell></row><row r="5281"><cell r="C5281" t="str"><v>43319FACEBOOK»USA-Trial-ITD-Trial PayGo Lookalike-AZR-AZR»1 x 1»SocialBan»LIA»ALL»CPA»LAL»X»NA»SS»NA»FreeAcctDeveloperFB-AnimatedGeneric-Ch1»PRC1Q6</v></cell><cell r="D5281" t="str"><v>43319224106129</v></cell><cell r="E5281" t="str"><v>43319103176851PRC1Q6</v></cell><cell r="F5281" t="str"><v>DCM</v></cell><cell r="G5281" t="str"><v>https://azure.microsoft.com/en-us/free/search/?OCID=AID%eexcid!_OLA_%ebuy!_%epid!_%ecid!</v></cell></row><row r="5281"><cell r="K5281" t="str"><v>August</v></cell><cell r="L5281"><v>43323</v></cell><cell r="M5281" t="str"><v>Tier 0</v></cell><cell r="N5281" t="str"><v>North America</v></cell><cell r="O5281" t="str"><v>United States</v></cell><cell r="P5281" t="str"><v>Trial</v></cell><cell r="Q5281" t="str"><v>Social</v></cell><cell r="R5281" t="str"><v>Azure</v></cell><cell r="S5281" t="str"><v>Apps & Infra</v></cell><cell r="T5281" t="str"><v>Developers & ITI's</v></cell><cell r="U5281" t="str"><v>USA-Trial-ITD-Trial PayGo Lookalike-AZR-AZR</v></cell><cell r="V5281" t="str"><v>Lookalike Targeting</v></cell><cell r="W5281" t="str"><v>Link Ad</v></cell><cell r="X5281" t="str"><v>1x1</v></cell></row><row r="5281"><cell r="AA5281"><v>43319</v></cell><cell r="AB5281" t="str"><v>USA_gaPMG_AZR_AZR_Q1_19_Direct-Social</v></cell><cell r="AC5281"><v>21358715</v></cell><cell r="AD5281"><v>720197</v></cell><cell r="AE5281" t="str"><v>Facebook</v></cell><cell r="AF5281"><v>3654128</v></cell><cell r="AG5281" t="str"><v>FACEBOOK»USA-Trial-ITD-Trial PayGo Lookalike-AZR-AZR»1 x 1»SocialBan»LIA»ALL»CPA»LAL»X»NA»SS»NA»FreeAcctDeveloperFB-AnimatedGeneric-Ch1»PRC1Q6</v></cell><cell r="AH5281"><v>224106129</v></cell><cell r="AI5281" t="str"><v>AZR_FreeAcctDeveloperFB-AnimatedGeneric-Ch1_USA_1200x1200_CAN_Direct_English_Trial_Standard_ANI_LEA_T1_2</v></cell><cell r="AJ5281"><v>103176851</v></cell></row><row r="5282"><cell r="C5282" t="str"><v>43319FACEBOOK»USA-Trial-ITD-Trial PayGo Lookalike-AZR-AZR»1 x 1»SocialBan»CCA»ALL»CPA»LAL»X»NA»SS»NA»Azure Developer Facebook Collections»PRSH6K</v></cell><cell r="D5282" t="str"><v>43319225217676</v></cell><cell r="E5282" t="str"><v>43319103874423PRSH6K</v></cell><cell r="F5282" t="str"><v>DCM</v></cell><cell r="G5282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282"><cell r="K5282" t="str"><v>August</v></cell><cell r="L5282"><v>43323</v></cell><cell r="M5282" t="str"><v>Tier 0</v></cell><cell r="N5282" t="str"><v>North America</v></cell><cell r="O5282" t="str"><v>United States</v></cell><cell r="P5282" t="str"><v>Trial</v></cell><cell r="Q5282" t="str"><v>Social</v></cell><cell r="R5282" t="str"><v>Azure</v></cell><cell r="S5282" t="str"><v>Apps & Infra</v></cell><cell r="T5282" t="str"><v>Developers & ITI's</v></cell><cell r="U5282" t="str"><v>USA-Trial-ITD-Trial PayGo Lookalike-AZR-AZR</v></cell><cell r="V5282" t="str"><v>Lookalike Targeting</v></cell><cell r="W5282" t="str"><v>Canvas Collection Ad</v></cell><cell r="X5282" t="str"><v>1x1</v></cell></row><row r="5282"><cell r="AA5282"><v>43319</v></cell><cell r="AB5282" t="str"><v>USA_gaPMG_AZR_AZR_Q1_19_Direct-Social</v></cell><cell r="AC5282"><v>21358715</v></cell><cell r="AD5282"><v>720197</v></cell><cell r="AE5282" t="str"><v>Facebook</v></cell><cell r="AF5282"><v>3654128</v></cell><cell r="AG5282" t="str"><v>FACEBOOK»USA-Trial-ITD-Trial PayGo Lookalike-AZR-AZR»1 x 1»SocialBan»CCA»ALL»CPA»LAL»X»NA»SS»NA»Azure Developer Facebook Collections»PRSH6K</v></cell><cell r="AH5282"><v>225217676</v></cell><cell r="AI5282" t="str"><v>AZR_FBCollections-TryAzureFreeCTA-Img1_USA_1200x182_SOC_Plat_EN_NA_Standard_NA_TIN_T1_1</v></cell><cell r="AJ5282"><v>103874423</v></cell></row><row r="5283"><cell r="C5283" t="str"><v>43319FACEBOOK»USA-Trial-ITD-Retargeting-AZR-AZR»1 x 1»SocialBan»CCA»ALL»CPA»RT»X»NA»SS»NA»Azure Developer Facebook Collections»PRSGY7</v></cell><cell r="D5283" t="str"><v>43319225283585</v></cell><cell r="E5283" t="str"><v>43319103773177PRSGY7</v></cell><cell r="F5283" t="str"><v>DCM</v></cell><cell r="G5283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283"><cell r="K5283" t="str"><v>August</v></cell><cell r="L5283"><v>43323</v></cell><cell r="M5283" t="str"><v>Tier 0</v></cell><cell r="N5283" t="str"><v>North America</v></cell><cell r="O5283" t="str"><v>United States</v></cell><cell r="P5283" t="str"><v>Trial</v></cell><cell r="Q5283" t="str"><v>Social</v></cell><cell r="R5283" t="str"><v>Azure</v></cell><cell r="S5283" t="str"><v>Apps & Infra</v></cell><cell r="T5283" t="str"><v>Developers & ITI's</v></cell><cell r="U5283" t="str"><v>USA-Trial-ITD-Retargeting-AZR-AZR</v></cell><cell r="V5283" t="str"><v>Retargeting</v></cell><cell r="W5283" t="str"><v>Canvas Collection Ad</v></cell><cell r="X5283" t="str"><v>1x1</v></cell></row><row r="5283"><cell r="AA5283"><v>43319</v></cell><cell r="AB5283" t="str"><v>USA_gaPMG_AZR_AZR_Q1_19_Direct-Social</v></cell><cell r="AC5283"><v>21358715</v></cell><cell r="AD5283"><v>720197</v></cell><cell r="AE5283" t="str"><v>Facebook</v></cell><cell r="AF5283"><v>3654128</v></cell><cell r="AG5283" t="str"><v>FACEBOOK»USA-Trial-ITD-Retargeting-AZR-AZR»1 x 1»SocialBan»CCA»ALL»CPA»RT»X»NA»SS»NA»Azure Developer Facebook Collections»PRSGY7</v></cell><cell r="AH5283"><v>225283585</v></cell><cell r="AI5283" t="str"><v>AZR_FBCollections-AITryAzureFreeCTA-Img2_USA_1200x182_SOC_Plat_EN_NA_Standard_NA_TIN_T1_2</v></cell><cell r="AJ5283"><v>103773177</v></cell></row><row r="5284"><cell r="C5284" t="str"><v>43319FACEBOOK»USA-Trial-ITD-Retargeting-AZR-AZR»1 x 1»SocialBan»CCA»ALL»CPA»RT»X»NA»SS»NA»Azure Developer Facebook Collections»PRSGY7</v></cell><cell r="D5284" t="str"><v>43319225283585</v></cell><cell r="E5284" t="str"><v>43319103776921PRSGY7</v></cell><cell r="F5284" t="str"><v>DCM</v></cell><cell r="G5284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284"><cell r="K5284" t="str"><v>August</v></cell><cell r="L5284"><v>43323</v></cell><cell r="M5284" t="str"><v>Tier 0</v></cell><cell r="N5284" t="str"><v>North America</v></cell><cell r="O5284" t="str"><v>United States</v></cell><cell r="P5284" t="str"><v>Trial</v></cell><cell r="Q5284" t="str"><v>Social</v></cell><cell r="R5284" t="str"><v>Azure</v></cell><cell r="S5284" t="str"><v>Apps & Infra</v></cell><cell r="T5284" t="str"><v>Developers & ITI's</v></cell><cell r="U5284" t="str"><v>USA-Trial-ITD-Retargeting-AZR-AZR</v></cell><cell r="V5284" t="str"><v>Retargeting</v></cell><cell r="W5284" t="str"><v>Canvas Collection Ad</v></cell><cell r="X5284" t="str"><v>1x1</v></cell></row><row r="5284"><cell r="AA5284"><v>43319</v></cell><cell r="AB5284" t="str"><v>USA_gaPMG_AZR_AZR_Q1_19_Direct-Social</v></cell><cell r="AC5284"><v>21358715</v></cell><cell r="AD5284"><v>720197</v></cell><cell r="AE5284" t="str"><v>Facebook</v></cell><cell r="AF5284"><v>3654128</v></cell><cell r="AG5284" t="str"><v>FACEBOOK»USA-Trial-ITD-Retargeting-AZR-AZR»1 x 1»SocialBan»CCA»ALL»CPA»RT»X»NA»SS»NA»Azure Developer Facebook Collections»PRSGY7</v></cell><cell r="AH5284"><v>225283585</v></cell><cell r="AI5284" t="str"><v>AZR_FBCollections-FreeStuffTryAzureFreeCTA-Img5_USA_1200x182_SOC_Plat_EN_NA_Standard_NA_TIN_T1_5</v></cell><cell r="AJ5284"><v>103776921</v></cell></row><row r="5285"><cell r="C5285" t="str"><v>43319FACEBOOK»USA-Trial-ITD-Retargeting-AZR-AZR»1 x 1»SocialBan»CCA»ALL»CPA»RT»X»NA»SS»NA»Azure Developer Facebook Collections»PRSGY7</v></cell><cell r="D5285" t="str"><v>43319225283585</v></cell><cell r="E5285" t="str"><v>43319103873631PRSGY7</v></cell><cell r="F5285" t="str"><v>DCM</v></cell><cell r="G5285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285"><cell r="K5285" t="str"><v>August</v></cell><cell r="L5285"><v>43323</v></cell><cell r="M5285" t="str"><v>Tier 0</v></cell><cell r="N5285" t="str"><v>North America</v></cell><cell r="O5285" t="str"><v>United States</v></cell><cell r="P5285" t="str"><v>Trial</v></cell><cell r="Q5285" t="str"><v>Social</v></cell><cell r="R5285" t="str"><v>Azure</v></cell><cell r="S5285" t="str"><v>Apps & Infra</v></cell><cell r="T5285" t="str"><v>Developers & ITI's</v></cell><cell r="U5285" t="str"><v>USA-Trial-ITD-Retargeting-AZR-AZR</v></cell><cell r="V5285" t="str"><v>Retargeting</v></cell><cell r="W5285" t="str"><v>Canvas Collection Ad</v></cell><cell r="X5285" t="str"><v>1x1</v></cell></row><row r="5285"><cell r="AA5285"><v>43319</v></cell><cell r="AB5285" t="str"><v>USA_gaPMG_AZR_AZR_Q1_19_Direct-Social</v></cell><cell r="AC5285"><v>21358715</v></cell><cell r="AD5285"><v>720197</v></cell><cell r="AE5285" t="str"><v>Facebook</v></cell><cell r="AF5285"><v>3654128</v></cell><cell r="AG5285" t="str"><v>FACEBOOK»USA-Trial-ITD-Retargeting-AZR-AZR»1 x 1»SocialBan»CCA»ALL»CPA»RT»X»NA»SS»NA»Azure Developer Facebook Collections»PRSGY7</v></cell><cell r="AH5285"><v>225283585</v></cell><cell r="AI5285" t="str"><v>AZR_FBCollections-OSSTryAzureFreeCTA-Img3_USA_1200x182_SOC_Plat_EN_NA_Standard_NA_TIN_T1_3</v></cell><cell r="AJ5285"><v>103873631</v></cell></row><row r="5286"><cell r="C5286" t="str"><v>43319FACEBOOK»USA-Trial-ITD-Retargeting-AZR-AZR»1 x 1»SocialBan»CCA»ALL»CPA»RT»X»NA»SS»NA»Azure Developer Facebook Collections»PRSGY7</v></cell><cell r="D5286" t="str"><v>43319225283585</v></cell><cell r="E5286" t="str"><v>43319103773180PRSGY7</v></cell><cell r="F5286" t="str"><v>DCM</v></cell><cell r="G5286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286"><cell r="K5286" t="str"><v>August</v></cell><cell r="L5286"><v>43323</v></cell><cell r="M5286" t="str"><v>Tier 0</v></cell><cell r="N5286" t="str"><v>North America</v></cell><cell r="O5286" t="str"><v>United States</v></cell><cell r="P5286" t="str"><v>Trial</v></cell><cell r="Q5286" t="str"><v>Social</v></cell><cell r="R5286" t="str"><v>Azure</v></cell><cell r="S5286" t="str"><v>Apps & Infra</v></cell><cell r="T5286" t="str"><v>Developers & ITI's</v></cell><cell r="U5286" t="str"><v>USA-Trial-ITD-Retargeting-AZR-AZR</v></cell><cell r="V5286" t="str"><v>Retargeting</v></cell><cell r="W5286" t="str"><v>Canvas Collection Ad</v></cell><cell r="X5286" t="str"><v>1x1</v></cell></row><row r="5286"><cell r="AA5286"><v>43319</v></cell><cell r="AB5286" t="str"><v>USA_gaPMG_AZR_AZR_Q1_19_Direct-Social</v></cell><cell r="AC5286"><v>21358715</v></cell><cell r="AD5286"><v>720197</v></cell><cell r="AE5286" t="str"><v>Facebook</v></cell><cell r="AF5286"><v>3654128</v></cell><cell r="AG5286" t="str"><v>FACEBOOK»USA-Trial-ITD-Retargeting-AZR-AZR»1 x 1»SocialBan»CCA»ALL»CPA»RT»X»NA»SS»NA»Azure Developer Facebook Collections»PRSGY7</v></cell><cell r="AH5286"><v>225283585</v></cell><cell r="AI5286" t="str"><v>AZR_FBCollections-SmartDataTryAzureFreeCTA-Img4_USA_1200x182_SOC_Plat_EN_NA_Standard_NA_TIN_T1_4</v></cell><cell r="AJ5286"><v>103773180</v></cell></row><row r="5287"><cell r="C5287" t="str"><v>43319FACEBOOK»USA-Trial-ITD-Retargeting-AZR-AZR»1 x 1»SocialBan»CCA»ALL»CPA»RT»X»NA»SS»NA»Azure Developer Facebook Collections»PRSGY7</v></cell><cell r="D5287" t="str"><v>43319225283585</v></cell><cell r="E5287" t="str"><v>43319103874423PRSGY7</v></cell><cell r="F5287" t="str"><v>DCM</v></cell><cell r="G5287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287"><cell r="K5287" t="str"><v>August</v></cell><cell r="L5287"><v>43323</v></cell><cell r="M5287" t="str"><v>Tier 0</v></cell><cell r="N5287" t="str"><v>North America</v></cell><cell r="O5287" t="str"><v>United States</v></cell><cell r="P5287" t="str"><v>Trial</v></cell><cell r="Q5287" t="str"><v>Social</v></cell><cell r="R5287" t="str"><v>Azure</v></cell><cell r="S5287" t="str"><v>Apps & Infra</v></cell><cell r="T5287" t="str"><v>Developers & ITI's</v></cell><cell r="U5287" t="str"><v>USA-Trial-ITD-Retargeting-AZR-AZR</v></cell><cell r="V5287" t="str"><v>Retargeting</v></cell><cell r="W5287" t="str"><v>Canvas Collection Ad</v></cell><cell r="X5287" t="str"><v>1x1</v></cell></row><row r="5287"><cell r="AA5287"><v>43319</v></cell><cell r="AB5287" t="str"><v>USA_gaPMG_AZR_AZR_Q1_19_Direct-Social</v></cell><cell r="AC5287"><v>21358715</v></cell><cell r="AD5287"><v>720197</v></cell><cell r="AE5287" t="str"><v>Facebook</v></cell><cell r="AF5287"><v>3654128</v></cell><cell r="AG5287" t="str"><v>FACEBOOK»USA-Trial-ITD-Retargeting-AZR-AZR»1 x 1»SocialBan»CCA»ALL»CPA»RT»X»NA»SS»NA»Azure Developer Facebook Collections»PRSGY7</v></cell><cell r="AH5287"><v>225283585</v></cell><cell r="AI5287" t="str"><v>AZR_FBCollections-TryAzureFreeCTA-Img1_USA_1200x182_SOC_Plat_EN_NA_Standard_NA_TIN_T1_1</v></cell><cell r="AJ5287"><v>103874423</v></cell></row><row r="5288"><cell r="C5288" t="str"><v>43319FACEBOOK»USA-Trial-ITD-Trial Lookalike-AZR-AZR»1 x 1»SocialBan»CCA»ALL»CPA»LAL»X»NA»SS»NA»Azure Developer Facebook Collections»PRSH0N</v></cell><cell r="D5288" t="str"><v>43319225282481</v></cell><cell r="E5288" t="str"><v>43319103773177PRSH0N</v></cell><cell r="F5288" t="str"><v>DCM</v></cell><cell r="G5288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288"><cell r="K5288" t="str"><v>August</v></cell><cell r="L5288"><v>43323</v></cell><cell r="M5288" t="str"><v>Tier 0</v></cell><cell r="N5288" t="str"><v>North America</v></cell><cell r="O5288" t="str"><v>United States</v></cell><cell r="P5288" t="str"><v>Trial</v></cell><cell r="Q5288" t="str"><v>Social</v></cell><cell r="R5288" t="str"><v>Azure</v></cell><cell r="S5288" t="str"><v>Apps & Infra</v></cell><cell r="T5288" t="str"><v>Developers & ITI's</v></cell><cell r="U5288" t="str"><v>USA-Trial-ITD-Trial Lookalike-AZR-AZR</v></cell><cell r="V5288" t="str"><v>Lookalike Targeting</v></cell><cell r="W5288" t="str"><v>Canvas Collection Ad</v></cell><cell r="X5288" t="str"><v>1x1</v></cell></row><row r="5288"><cell r="AA5288"><v>43319</v></cell><cell r="AB5288" t="str"><v>USA_gaPMG_AZR_AZR_Q1_19_Direct-Social</v></cell><cell r="AC5288"><v>21358715</v></cell><cell r="AD5288"><v>720197</v></cell><cell r="AE5288" t="str"><v>Facebook</v></cell><cell r="AF5288"><v>3654128</v></cell><cell r="AG5288" t="str"><v>FACEBOOK»USA-Trial-ITD-Trial Lookalike-AZR-AZR»1 x 1»SocialBan»CCA»ALL»CPA»LAL»X»NA»SS»NA»Azure Developer Facebook Collections»PRSH0N</v></cell><cell r="AH5288"><v>225282481</v></cell><cell r="AI5288" t="str"><v>AZR_FBCollections-AITryAzureFreeCTA-Img2_USA_1200x182_SOC_Plat_EN_NA_Standard_NA_TIN_T1_2</v></cell><cell r="AJ5288"><v>103773177</v></cell></row><row r="5289"><cell r="C5289" t="str"><v>43319FACEBOOK»USA-Trial-ITD-Trial Lookalike-AZR-AZR»1 x 1»SocialBan»CCA»ALL»CPA»LAL»X»NA»SS»NA»Azure Developer Facebook Collections»PRSH0N</v></cell><cell r="D5289" t="str"><v>43319225282481</v></cell><cell r="E5289" t="str"><v>43319103874423PRSH0N</v></cell><cell r="F5289" t="str"><v>DCM</v></cell><cell r="G528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289"><cell r="K5289" t="str"><v>August</v></cell><cell r="L5289"><v>43323</v></cell><cell r="M5289" t="str"><v>Tier 0</v></cell><cell r="N5289" t="str"><v>North America</v></cell><cell r="O5289" t="str"><v>United States</v></cell><cell r="P5289" t="str"><v>Trial</v></cell><cell r="Q5289" t="str"><v>Social</v></cell><cell r="R5289" t="str"><v>Azure</v></cell><cell r="S5289" t="str"><v>Apps & Infra</v></cell><cell r="T5289" t="str"><v>Developers & ITI's</v></cell><cell r="U5289" t="str"><v>USA-Trial-ITD-Trial Lookalike-AZR-AZR</v></cell><cell r="V5289" t="str"><v>Lookalike Targeting</v></cell><cell r="W5289" t="str"><v>Canvas Collection Ad</v></cell><cell r="X5289" t="str"><v>1x1</v></cell></row><row r="5289"><cell r="AA5289"><v>43319</v></cell><cell r="AB5289" t="str"><v>USA_gaPMG_AZR_AZR_Q1_19_Direct-Social</v></cell><cell r="AC5289"><v>21358715</v></cell><cell r="AD5289"><v>720197</v></cell><cell r="AE5289" t="str"><v>Facebook</v></cell><cell r="AF5289"><v>3654128</v></cell><cell r="AG5289" t="str"><v>FACEBOOK»USA-Trial-ITD-Trial Lookalike-AZR-AZR»1 x 1»SocialBan»CCA»ALL»CPA»LAL»X»NA»SS»NA»Azure Developer Facebook Collections»PRSH0N</v></cell><cell r="AH5289"><v>225282481</v></cell><cell r="AI5289" t="str"><v>AZR_FBCollections-TryAzureFreeCTA-Img1_USA_1200x182_SOC_Plat_EN_NA_Standard_NA_TIN_T1_1</v></cell><cell r="AJ5289"><v>103874423</v></cell></row><row r="5290"><cell r="C5290" t="str"><v>43319INSTAGRAM»USA-Trial-ITD-Interest Prospecting-AZR-AZR»1 x 1»SocialBan»CAN»ALL»CPA»PRO»X»NA»SS»NA»IGCTCBrandinMotion»PRC2PB</v></cell><cell r="D5290" t="str"><v>43319223862690</v></cell><cell r="E5290" t="str"><v>43319103050783PRC2PB</v></cell><cell r="F5290" t="str"><v>DCM</v></cell><cell r="G5290" t="str"><v>https://signup.azure.com/?OCID=AID%eexcid!_OLA_%ebuy!_%epid!_%ecid!</v></cell></row><row r="5290"><cell r="K5290" t="str"><v>August</v></cell><cell r="L5290"><v>43323</v></cell><cell r="M5290" t="str"><v>Tier 0</v></cell><cell r="N5290" t="str"><v>North America</v></cell><cell r="O5290" t="str"><v>United States</v></cell><cell r="P5290" t="str"><v>Trial</v></cell><cell r="Q5290" t="str"><v>Social</v></cell><cell r="R5290" t="str"><v>Azure</v></cell><cell r="S5290" t="str"><v>Apps & Infra</v></cell><cell r="T5290" t="str"><v>Developers & ITI's</v></cell><cell r="U5290" t="str"><v>USA-Trial-ITD-Interest Prospecting-AZR-AZR</v></cell><cell r="V5290" t="str"><v>Prospecting</v></cell><cell r="W5290" t="str"><v>Canvas Ad</v></cell><cell r="X5290" t="str"><v>1x1</v></cell></row><row r="5290"><cell r="AA5290"><v>43319</v></cell><cell r="AB5290" t="str"><v>USA_gaPMG_AZR_AZR_Q1_19_Direct-Social</v></cell><cell r="AC5290"><v>21358715</v></cell><cell r="AD5290"><v>720197</v></cell><cell r="AE5290" t="str"><v>Facebook - Instagram</v></cell><cell r="AF5290"><v>3654128</v></cell><cell r="AG5290" t="str"><v>INSTAGRAM»USA-Trial-ITD-Interest Prospecting-AZR-AZR»1 x 1»SocialBan»CAN»ALL»CPA»PRO»X»NA»SS»NA»IGCTCBrandinMotion»PRC2PB</v></cell><cell r="AH5290"><v>223862690</v></cell><cell r="AI5290" t="str"><v>AzurePlatform_IGCTCBenefit2inMotion_USA_10s_CAN_PLATFORM_English_Trial_Standard_STAN_TIN_T4_1</v></cell><cell r="AJ5290"><v>103050783</v></cell></row><row r="5291"><cell r="C5291" t="str"><v>43319INSTAGRAM»USA-Trial-ITD-Interest Prospecting-AZR-AZR»1 x 1»SocialBan»CAN»ALL»CPA»PRO»X»NA»SS»NA»IGCTCBrandinMotion»PRC2PB</v></cell><cell r="D5291" t="str"><v>43319223862690</v></cell><cell r="E5291" t="str"><v>43319103178714PRC2PB</v></cell><cell r="F5291" t="str"><v>DCM</v></cell><cell r="G5291" t="str"><v>https://azure.microsoft.com/en-us/pricing/purchase-options/?v=18.19&OCID=AID%eexcid!_OLA_%ebuy!_%epid!_%ecid!</v></cell></row><row r="5291"><cell r="K5291" t="str"><v>August</v></cell><cell r="L5291"><v>43323</v></cell><cell r="M5291" t="str"><v>Tier 0</v></cell><cell r="N5291" t="str"><v>North America</v></cell><cell r="O5291" t="str"><v>United States</v></cell><cell r="P5291" t="str"><v>Trial</v></cell><cell r="Q5291" t="str"><v>Social</v></cell><cell r="R5291" t="str"><v>Azure</v></cell><cell r="S5291" t="str"><v>Apps & Infra</v></cell><cell r="T5291" t="str"><v>Developers & ITI's</v></cell><cell r="U5291" t="str"><v>USA-Trial-ITD-Interest Prospecting-AZR-AZR</v></cell><cell r="V5291" t="str"><v>Prospecting</v></cell><cell r="W5291" t="str"><v>Canvas Ad</v></cell><cell r="X5291" t="str"><v>1x1</v></cell></row><row r="5291"><cell r="AA5291"><v>43319</v></cell><cell r="AB5291" t="str"><v>USA_gaPMG_AZR_AZR_Q1_19_Direct-Social</v></cell><cell r="AC5291"><v>21358715</v></cell><cell r="AD5291"><v>720197</v></cell><cell r="AE5291" t="str"><v>Facebook - Instagram</v></cell><cell r="AF5291"><v>3654128</v></cell><cell r="AG5291" t="str"><v>INSTAGRAM»USA-Trial-ITD-Interest Prospecting-AZR-AZR»1 x 1»SocialBan»CAN»ALL»CPA»PRO»X»NA»SS»NA»IGCTCBrandinMotion»PRC2PB</v></cell><cell r="AH5291"><v>223862690</v></cell><cell r="AI5291" t="str"><v>AzurePlatform_IGCTCBenefit2inMotion_USA_10s_CAN_PLATFORM_English_Trial_Standard_STAN_TIN_T4_2</v></cell><cell r="AJ5291"><v>103178714</v></cell></row><row r="5292"><cell r="C5292" t="str"><v>43319INSTAGRAM»USA-Trial-ITD-Retargeting-AZR-AZR»1 x 1»SocialBan»CAN»ALL»CPA»RT»X»NA»SS»NA»IGCTCBrandinMotion»PRC2G3</v></cell><cell r="D5292" t="str"><v>43319224107014</v></cell><cell r="E5292" t="str"><v>43319103050783PRC2G3</v></cell><cell r="F5292" t="str"><v>DCM</v></cell><cell r="G5292" t="str"><v>https://signup.azure.com/?OCID=AID%eexcid!_OLA_%ebuy!_%epid!_%ecid!</v></cell></row><row r="5292"><cell r="K5292" t="str"><v>August</v></cell><cell r="L5292"><v>43323</v></cell><cell r="M5292" t="str"><v>Tier 0</v></cell><cell r="N5292" t="str"><v>North America</v></cell><cell r="O5292" t="str"><v>United States</v></cell><cell r="P5292" t="str"><v>Trial</v></cell><cell r="Q5292" t="str"><v>Social</v></cell><cell r="R5292" t="str"><v>Azure</v></cell><cell r="S5292" t="str"><v>Apps & Infra</v></cell><cell r="T5292" t="str"><v>Developers & ITI's</v></cell><cell r="U5292" t="str"><v>USA-Trial-ITD-Retargeting-AZR-AZR</v></cell><cell r="V5292" t="str"><v>Retargeting</v></cell><cell r="W5292" t="str"><v>Canvas Ad</v></cell><cell r="X5292" t="str"><v>1x1</v></cell></row><row r="5292"><cell r="AA5292"><v>43319</v></cell><cell r="AB5292" t="str"><v>USA_gaPMG_AZR_AZR_Q1_19_Direct-Social</v></cell><cell r="AC5292"><v>21358715</v></cell><cell r="AD5292"><v>720197</v></cell><cell r="AE5292" t="str"><v>Facebook - Instagram</v></cell><cell r="AF5292"><v>3654128</v></cell><cell r="AG5292" t="str"><v>INSTAGRAM»USA-Trial-ITD-Retargeting-AZR-AZR»1 x 1»SocialBan»CAN»ALL»CPA»RT»X»NA»SS»NA»IGCTCBrandinMotion»PRC2G3</v></cell><cell r="AH5292"><v>224107014</v></cell><cell r="AI5292" t="str"><v>AzurePlatform_IGCTCBenefit2inMotion_USA_10s_CAN_PLATFORM_English_Trial_Standard_STAN_TIN_T4_1</v></cell><cell r="AJ5292"><v>103050783</v></cell></row><row r="5293"><cell r="C5293" t="str"><v>43319INSTAGRAM»USA-Trial-ITD-Retargeting-AZR-AZR»1 x 1»SocialBan»CAN»ALL»CPA»RT»X»NA»SS»NA»IGCTCBenefitinMotion»PRC2G4</v></cell><cell r="D5293" t="str"><v>43319224107536</v></cell><cell r="E5293" t="str"><v>43319103050780PRC2G4</v></cell><cell r="F5293" t="str"><v>DCM</v></cell><cell r="G5293" t="str"><v>https://signup.azure.com/?OCID=AID%eexcid!_OLA_%ebuy!_%epid!_%ecid!</v></cell></row><row r="5293"><cell r="K5293" t="str"><v>August</v></cell><cell r="L5293"><v>43323</v></cell><cell r="M5293" t="str"><v>Tier 0</v></cell><cell r="N5293" t="str"><v>North America</v></cell><cell r="O5293" t="str"><v>United States</v></cell><cell r="P5293" t="str"><v>Trial</v></cell><cell r="Q5293" t="str"><v>Social</v></cell><cell r="R5293" t="str"><v>Azure</v></cell><cell r="S5293" t="str"><v>Apps & Infra</v></cell><cell r="T5293" t="str"><v>Developers & ITI's</v></cell><cell r="U5293" t="str"><v>USA-Trial-ITD-Retargeting-AZR-AZR</v></cell><cell r="V5293" t="str"><v>Retargeting</v></cell><cell r="W5293" t="str"><v>Canvas Ad</v></cell><cell r="X5293" t="str"><v>1x1</v></cell></row><row r="5293"><cell r="AA5293"><v>43319</v></cell><cell r="AB5293" t="str"><v>USA_gaPMG_AZR_AZR_Q1_19_Direct-Social</v></cell><cell r="AC5293"><v>21358715</v></cell><cell r="AD5293"><v>720197</v></cell><cell r="AE5293" t="str"><v>Facebook - Instagram</v></cell><cell r="AF5293"><v>3654128</v></cell><cell r="AG5293" t="str"><v>INSTAGRAM»USA-Trial-ITD-Retargeting-AZR-AZR»1 x 1»SocialBan»CAN»ALL»CPA»RT»X»NA»SS»NA»IGCTCBenefitinMotion»PRC2G4</v></cell><cell r="AH5293"><v>224107536</v></cell><cell r="AI5293" t="str"><v>AzurePlatform_IGCTCBenefitinMotion_USA_10s_CAN_PLATFORM_English_Trial_Standard_STAN_TIN_T3_1</v></cell><cell r="AJ5293"><v>103050780</v></cell></row><row r="5294"><cell r="C5294" t="str"><v>43319INSTAGRAM»USA-Trial-ITD-Retargeting-AZR-AZR»1 x 1»SocialBan»CAN»ALL»CPA»RT»X»NA»SS»NA»IGCTCBenefitinMotion»PRC2G4</v></cell><cell r="D5294" t="str"><v>43319224107536</v></cell><cell r="E5294" t="str"><v>43319103180637PRC2G4</v></cell><cell r="F5294" t="str"><v>DCM</v></cell><cell r="G5294" t="str"><v>https://azure.microsoft.com/en-us/pricing/purchase-options/?v=18.19&OCID=AID%eexcid!_OLA_%ebuy!_%epid!_%ecid!</v></cell></row><row r="5294"><cell r="K5294" t="str"><v>August</v></cell><cell r="L5294"><v>43323</v></cell><cell r="M5294" t="str"><v>Tier 0</v></cell><cell r="N5294" t="str"><v>North America</v></cell><cell r="O5294" t="str"><v>United States</v></cell><cell r="P5294" t="str"><v>Trial</v></cell><cell r="Q5294" t="str"><v>Social</v></cell><cell r="R5294" t="str"><v>Azure</v></cell><cell r="S5294" t="str"><v>Apps & Infra</v></cell><cell r="T5294" t="str"><v>Developers & ITI's</v></cell><cell r="U5294" t="str"><v>USA-Trial-ITD-Retargeting-AZR-AZR</v></cell><cell r="V5294" t="str"><v>Retargeting</v></cell><cell r="W5294" t="str"><v>Canvas Ad</v></cell><cell r="X5294" t="str"><v>1x1</v></cell></row><row r="5294"><cell r="AA5294"><v>43319</v></cell><cell r="AB5294" t="str"><v>USA_gaPMG_AZR_AZR_Q1_19_Direct-Social</v></cell><cell r="AC5294"><v>21358715</v></cell><cell r="AD5294"><v>720197</v></cell><cell r="AE5294" t="str"><v>Facebook - Instagram</v></cell><cell r="AF5294"><v>3654128</v></cell><cell r="AG5294" t="str"><v>INSTAGRAM»USA-Trial-ITD-Retargeting-AZR-AZR»1 x 1»SocialBan»CAN»ALL»CPA»RT»X»NA»SS»NA»IGCTCBenefitinMotion»PRC2G4</v></cell><cell r="AH5294"><v>224107536</v></cell><cell r="AI5294" t="str"><v>AzurePlatform_IGCTCBenefitinMotion_USA_10s_CAN_PLATFORM_English_Trial_Standard_STAN_TIN_T3_2</v></cell><cell r="AJ5294"><v>103180637</v></cell></row><row r="5295"><cell r="C5295" t="str"><v>43319INSTAGRAM»USA-Trial-ITD-Trial Lookalike-AZR-AZR»1 x 1»SocialBan»CAN»ALL»CPA»LAL»X»NA»SS»NA»IGCTCBenefit2inMotion»PRC2FL</v></cell><cell r="D5295" t="str"><v>43319223935022</v></cell><cell r="E5295" t="str"><v>43319103050786PRC2FL</v></cell><cell r="F5295" t="str"><v>DCM</v></cell><cell r="G5295" t="str"><v>https://azure.microsoft.com/en-us/pricing/purchase-options/?v=18.19&OCID=AID%eexcid!_OLA_%ebuy!_%epid!_%ecid!</v></cell></row><row r="5295"><cell r="K5295" t="str"><v>August</v></cell><cell r="L5295"><v>43323</v></cell><cell r="M5295" t="str"><v>Tier 0</v></cell><cell r="N5295" t="str"><v>North America</v></cell><cell r="O5295" t="str"><v>United States</v></cell><cell r="P5295" t="str"><v>Trial</v></cell><cell r="Q5295" t="str"><v>Social</v></cell><cell r="R5295" t="str"><v>Azure</v></cell><cell r="S5295" t="str"><v>Apps & Infra</v></cell><cell r="T5295" t="str"><v>Developers & ITI's</v></cell><cell r="U5295" t="str"><v>USA-Trial-ITD-Trial Lookalike-AZR-AZR</v></cell><cell r="V5295" t="str"><v>Lookalike Targeting</v></cell><cell r="W5295" t="str"><v>Canvas Ad</v></cell><cell r="X5295" t="str"><v>1x1</v></cell></row><row r="5295"><cell r="AA5295"><v>43319</v></cell><cell r="AB5295" t="str"><v>USA_gaPMG_AZR_AZR_Q1_19_Direct-Social</v></cell><cell r="AC5295"><v>21358715</v></cell><cell r="AD5295"><v>720197</v></cell><cell r="AE5295" t="str"><v>Facebook - Instagram</v></cell><cell r="AF5295"><v>3654128</v></cell><cell r="AG5295" t="str"><v>INSTAGRAM»USA-Trial-ITD-Trial Lookalike-AZR-AZR»1 x 1»SocialBan»CAN»ALL»CPA»LAL»X»NA»SS»NA»IGCTCBenefit2inMotion»PRC2FL</v></cell><cell r="AH5295"><v>223935022</v></cell><cell r="AI5295" t="str"><v>AzurePlatform_IGCTCBrandinMotion_USA_10s_CAN_PLATFORM_English_Trial_Standard_STAN_TIN_T2_2</v></cell><cell r="AJ5295"><v>103050786</v></cell></row><row r="5296"><cell r="C5296" t="str"><v>43319INSTAGRAM»USA-Trial-ITD-Trial Lookalike-AZR-AZR»1 x 1»SocialBan»CAN»ALL»CPA»LAL»X»NA»SS»NA»IGCTCBrandinMotion»PRC2FH</v></cell><cell r="D5296" t="str"><v>43319223935019</v></cell><cell r="E5296" t="str"><v>43319103050783PRC2FH</v></cell><cell r="F5296" t="str"><v>DCM</v></cell><cell r="G5296" t="str"><v>https://signup.azure.com/?OCID=AID%eexcid!_OLA_%ebuy!_%epid!_%ecid!</v></cell></row><row r="5296"><cell r="K5296" t="str"><v>August</v></cell><cell r="L5296"><v>43323</v></cell><cell r="M5296" t="str"><v>Tier 0</v></cell><cell r="N5296" t="str"><v>North America</v></cell><cell r="O5296" t="str"><v>United States</v></cell><cell r="P5296" t="str"><v>Trial</v></cell><cell r="Q5296" t="str"><v>Social</v></cell><cell r="R5296" t="str"><v>Azure</v></cell><cell r="S5296" t="str"><v>Apps & Infra</v></cell><cell r="T5296" t="str"><v>Developers & ITI's</v></cell><cell r="U5296" t="str"><v>USA-Trial-ITD-Trial Lookalike-AZR-AZR</v></cell><cell r="V5296" t="str"><v>Lookalike Targeting</v></cell><cell r="W5296" t="str"><v>Canvas Ad</v></cell><cell r="X5296" t="str"><v>1x1</v></cell></row><row r="5296"><cell r="AA5296"><v>43319</v></cell><cell r="AB5296" t="str"><v>USA_gaPMG_AZR_AZR_Q1_19_Direct-Social</v></cell><cell r="AC5296"><v>21358715</v></cell><cell r="AD5296"><v>720197</v></cell><cell r="AE5296" t="str"><v>Facebook - Instagram</v></cell><cell r="AF5296"><v>3654128</v></cell><cell r="AG5296" t="str"><v>INSTAGRAM»USA-Trial-ITD-Trial Lookalike-AZR-AZR»1 x 1»SocialBan»CAN»ALL»CPA»LAL»X»NA»SS»NA»IGCTCBrandinMotion»PRC2FH</v></cell><cell r="AH5296"><v>223935019</v></cell><cell r="AI5296" t="str"><v>AzurePlatform_IGCTCBenefit2inMotion_USA_10s_CAN_PLATFORM_English_Trial_Standard_STAN_TIN_T4_1</v></cell><cell r="AJ5296"><v>103050783</v></cell></row><row r="5297"><cell r="C5297" t="str"><v>43319INSTAGRAM»USA-Trial-ITD-Trial Lookalike-AZR-AZR»1 x 1»SocialBan»CAN»ALL»CPA»LAL»X»NA»SS»NA»IGCTCBrandinMotion»PRC2FH</v></cell><cell r="D5297" t="str"><v>43319223935019</v></cell><cell r="E5297" t="str"><v>43319103178714PRC2FH</v></cell><cell r="F5297" t="str"><v>DCM</v></cell><cell r="G5297" t="str"><v>https://azure.microsoft.com/en-us/pricing/purchase-options/?v=18.19&OCID=AID%eexcid!_OLA_%ebuy!_%epid!_%ecid!</v></cell></row><row r="5297"><cell r="K5297" t="str"><v>August</v></cell><cell r="L5297"><v>43323</v></cell><cell r="M5297" t="str"><v>Tier 0</v></cell><cell r="N5297" t="str"><v>North America</v></cell><cell r="O5297" t="str"><v>United States</v></cell><cell r="P5297" t="str"><v>Trial</v></cell><cell r="Q5297" t="str"><v>Social</v></cell><cell r="R5297" t="str"><v>Azure</v></cell><cell r="S5297" t="str"><v>Apps & Infra</v></cell><cell r="T5297" t="str"><v>Developers & ITI's</v></cell><cell r="U5297" t="str"><v>USA-Trial-ITD-Trial Lookalike-AZR-AZR</v></cell><cell r="V5297" t="str"><v>Lookalike Targeting</v></cell><cell r="W5297" t="str"><v>Canvas Ad</v></cell><cell r="X5297" t="str"><v>1x1</v></cell></row><row r="5297"><cell r="AA5297"><v>43319</v></cell><cell r="AB5297" t="str"><v>USA_gaPMG_AZR_AZR_Q1_19_Direct-Social</v></cell><cell r="AC5297"><v>21358715</v></cell><cell r="AD5297"><v>720197</v></cell><cell r="AE5297" t="str"><v>Facebook - Instagram</v></cell><cell r="AF5297"><v>3654128</v></cell><cell r="AG5297" t="str"><v>INSTAGRAM»USA-Trial-ITD-Trial Lookalike-AZR-AZR»1 x 1»SocialBan»CAN»ALL»CPA»LAL»X»NA»SS»NA»IGCTCBrandinMotion»PRC2FH</v></cell><cell r="AH5297"><v>223935019</v></cell><cell r="AI5297" t="str"><v>AzurePlatform_IGCTCBenefit2inMotion_USA_10s_CAN_PLATFORM_English_Trial_Standard_STAN_TIN_T4_2</v></cell><cell r="AJ5297"><v>103178714</v></cell></row><row r="5298"><cell r="C5298" t="str"><v>43319INSTAGRAM»USA-Trial-ITD-Trial PayGo Lookalike-AZR-AZR»1 x 1»SocialBan»CAN»ALL»CPA»LAL»X»NA»SS»NA»IGCTCBrandinMotion»PRC2FW</v></cell><cell r="D5298" t="str"><v>43319223862654</v></cell><cell r="E5298" t="str"><v>43319103050783PRC2FW</v></cell><cell r="F5298" t="str"><v>DCM</v></cell><cell r="G5298" t="str"><v>https://signup.azure.com/?OCID=AID%eexcid!_OLA_%ebuy!_%epid!_%ecid!</v></cell></row><row r="5298"><cell r="K5298" t="str"><v>August</v></cell><cell r="L5298"><v>43323</v></cell><cell r="M5298" t="str"><v>Tier 0</v></cell><cell r="N5298" t="str"><v>North America</v></cell><cell r="O5298" t="str"><v>United States</v></cell><cell r="P5298" t="str"><v>Trial</v></cell><cell r="Q5298" t="str"><v>Social</v></cell><cell r="R5298" t="str"><v>Azure</v></cell><cell r="S5298" t="str"><v>Apps & Infra</v></cell><cell r="T5298" t="str"><v>Developers & ITI's</v></cell><cell r="U5298" t="str"><v>USA-Trial-ITD-Trial PayGo Lookalike-AZR-AZR</v></cell><cell r="V5298" t="str"><v>Lookalike Targeting</v></cell><cell r="W5298" t="str"><v>Canvas Ad</v></cell><cell r="X5298" t="str"><v>1x1</v></cell></row><row r="5298"><cell r="AA5298"><v>43319</v></cell><cell r="AB5298" t="str"><v>USA_gaPMG_AZR_AZR_Q1_19_Direct-Social</v></cell><cell r="AC5298"><v>21358715</v></cell><cell r="AD5298"><v>720197</v></cell><cell r="AE5298" t="str"><v>Facebook - Instagram</v></cell><cell r="AF5298"><v>3654128</v></cell><cell r="AG5298" t="str"><v>INSTAGRAM»USA-Trial-ITD-Trial PayGo Lookalike-AZR-AZR»1 x 1»SocialBan»CAN»ALL»CPA»LAL»X»NA»SS»NA»IGCTCBrandinMotion»PRC2FW</v></cell><cell r="AH5298"><v>223862654</v></cell><cell r="AI5298" t="str"><v>AzurePlatform_IGCTCBenefit2inMotion_USA_10s_CAN_PLATFORM_English_Trial_Standard_STAN_TIN_T4_1</v></cell><cell r="AJ5298"><v>103050783</v></cell></row><row r="5299"><cell r="C5299" t="str"><v>43319INSTAGRAM»USA-Trial-ITD-Trial PayGo Lookalike-AZR-AZR»1 x 1»SocialBan»CAN»ALL»CPA»LAL»X»NA»SS»NA»IGCTCBrandinMotion»PRC2FW</v></cell><cell r="D5299" t="str"><v>43319223862654</v></cell><cell r="E5299" t="str"><v>43319103178714PRC2FW</v></cell><cell r="F5299" t="str"><v>DCM</v></cell><cell r="G5299" t="str"><v>https://azure.microsoft.com/en-us/pricing/purchase-options/?v=18.19&OCID=AID%eexcid!_OLA_%ebuy!_%epid!_%ecid!</v></cell></row><row r="5299"><cell r="K5299" t="str"><v>August</v></cell><cell r="L5299"><v>43323</v></cell><cell r="M5299" t="str"><v>Tier 0</v></cell><cell r="N5299" t="str"><v>North America</v></cell><cell r="O5299" t="str"><v>United States</v></cell><cell r="P5299" t="str"><v>Trial</v></cell><cell r="Q5299" t="str"><v>Social</v></cell><cell r="R5299" t="str"><v>Azure</v></cell><cell r="S5299" t="str"><v>Apps & Infra</v></cell><cell r="T5299" t="str"><v>Developers & ITI's</v></cell><cell r="U5299" t="str"><v>USA-Trial-ITD-Trial PayGo Lookalike-AZR-AZR</v></cell><cell r="V5299" t="str"><v>Lookalike Targeting</v></cell><cell r="W5299" t="str"><v>Canvas Ad</v></cell><cell r="X5299" t="str"><v>1x1</v></cell></row><row r="5299"><cell r="AA5299"><v>43319</v></cell><cell r="AB5299" t="str"><v>USA_gaPMG_AZR_AZR_Q1_19_Direct-Social</v></cell><cell r="AC5299"><v>21358715</v></cell><cell r="AD5299"><v>720197</v></cell><cell r="AE5299" t="str"><v>Facebook - Instagram</v></cell><cell r="AF5299"><v>3654128</v></cell><cell r="AG5299" t="str"><v>INSTAGRAM»USA-Trial-ITD-Trial PayGo Lookalike-AZR-AZR»1 x 1»SocialBan»CAN»ALL»CPA»LAL»X»NA»SS»NA»IGCTCBrandinMotion»PRC2FW</v></cell><cell r="AH5299"><v>223862654</v></cell><cell r="AI5299" t="str"><v>AzurePlatform_IGCTCBenefit2inMotion_USA_10s_CAN_PLATFORM_English_Trial_Standard_STAN_TIN_T4_2</v></cell><cell r="AJ5299"><v>103178714</v></cell></row><row r="5300"><cell r="C5300" t="str"><v>43319INSTAGRAM»USA-Trial-ITD-Trial PayGo Lookalike-AZR-AZR»1 x 1»SocialBan»CAN»ALL»CPA»LAL»X»NA»SS»NA»IGCTCBenefit2inMotion»PRC2FZ</v></cell><cell r="D5300" t="str"><v>43319223933075</v></cell><cell r="E5300" t="str"><v>43319103180628PRC2FZ</v></cell><cell r="F5300" t="str"><v>DCM</v></cell><cell r="G5300" t="str"><v>https://signup.azure.com/?OCID=AID%eexcid!_OLA_%ebuy!_%epid!_%ecid!</v></cell></row><row r="5300"><cell r="K5300" t="str"><v>August</v></cell><cell r="L5300"><v>43323</v></cell><cell r="M5300" t="str"><v>Tier 0</v></cell><cell r="N5300" t="str"><v>North America</v></cell><cell r="O5300" t="str"><v>United States</v></cell><cell r="P5300" t="str"><v>Trial</v></cell><cell r="Q5300" t="str"><v>Social</v></cell><cell r="R5300" t="str"><v>Azure</v></cell><cell r="S5300" t="str"><v>Apps & Infra</v></cell><cell r="T5300" t="str"><v>Developers & ITI's</v></cell><cell r="U5300" t="str"><v>USA-Trial-ITD-Trial PayGo Lookalike-AZR-AZR</v></cell><cell r="V5300" t="str"><v>Lookalike Targeting</v></cell><cell r="W5300" t="str"><v>Canvas Ad</v></cell><cell r="X5300" t="str"><v>1x1</v></cell></row><row r="5300"><cell r="AA5300"><v>43319</v></cell><cell r="AB5300" t="str"><v>USA_gaPMG_AZR_AZR_Q1_19_Direct-Social</v></cell><cell r="AC5300"><v>21358715</v></cell><cell r="AD5300"><v>720197</v></cell><cell r="AE5300" t="str"><v>Facebook - Instagram</v></cell><cell r="AF5300"><v>3654128</v></cell><cell r="AG5300" t="str"><v>INSTAGRAM»USA-Trial-ITD-Trial PayGo Lookalike-AZR-AZR»1 x 1»SocialBan»CAN»ALL»CPA»LAL»X»NA»SS»NA»IGCTCBenefit2inMotion»PRC2FZ</v></cell><cell r="AH5300"><v>223933075</v></cell><cell r="AI5300" t="str"><v>AzurePlatform_IGCTCBrandinMotion_USA_10s_CAN_PLATFORM_English_Trial_Standard_STAN_TIN_T2_1</v></cell><cell r="AJ5300"><v>103180628</v></cell></row><row r="5301"><cell r="C5301" t="str"><v>43320Facebook»Audience & Interest Targeting»1x1»Canvas»OTH»DT»DYN»AUT»W»NA»SS»NA»FBCTCcanvaspage-StartFreeCTA_FBCTCcanvaspage-BuyNowCTA</v></cell><cell r="D5301" t="str"><v>43320224639151</v></cell><cell r="E5301" t="str"><v>43320103316832NowCTA</v></cell><cell r="F5301" t="str"><v>DCM</v></cell><cell r="G5301" t="str"><v>https://azure.microsoft.com/en-au/pricing/purchase-options/</v></cell></row><row r="5301"><cell r="K5301" t="str"><v>August</v></cell><cell r="L5301"><v>43323</v></cell><cell r="M5301" t="str"><v>Tier 1</v></cell><cell r="N5301" t="str"><v>APAC</v></cell><cell r="O5301" t="str"><v>Australia</v></cell><cell r="P5301" t="str"><v>Trial</v></cell><cell r="Q5301" t="str"><v>Social</v></cell><cell r="R5301" t="str"><v>Azure</v></cell><cell r="S5301" t="str"><v>Apps & Infra</v></cell><cell r="T5301" t="str"><v>Developers & ITI's</v></cell><cell r="U5301" t="str"><v>Audience & Interest Targeting</v></cell><cell r="V5301" t="str"><v>Audience Targeting</v></cell><cell r="W5301" t="str"><v>Other</v></cell><cell r="X5301" t="str"><v>1x1</v></cell></row><row r="5301"><cell r="AA5301"><v>43320</v></cell><cell r="AB5301" t="str"><v>AUS_gaPMG_AZR_AZR_Q1_19_Trial-Social</v></cell><cell r="AC5301"><v>21358568</v></cell><cell r="AD5301"><v>720191</v></cell><cell r="AE5301" t="str"><v>Facebook</v></cell><cell r="AF5301"><v>3654128</v></cell><cell r="AG5301" t="str"><v>Facebook»Audience & Interest Targeting»1x1»Canvas»OTH»DT»DYN»AUT»W»NA»SS»NA»FBCTCcanvaspage-StartFreeCTA_FBCTCcanvaspage-BuyNowCTA</v></cell><cell r="AH5301"><v>224639151</v></cell><cell r="AI5301" t="str"><v>AzurePlatform_FBCTCcanvaspage-BuyNowCTA-Img3_AUS_1080x162_SOC_Plat_English_NA_Standard_NA_BN_T3_1</v></cell><cell r="AJ5301"><v>103316832</v></cell></row><row r="5302"><cell r="C5302" t="str"><v>43320Facebook»Audience & Interest Targeting»1x1»Canvas»OTH»DT»DYN»AUT»W»NA»SS»NA»FBCTCcanvaspage-StartFreeCTA_FBCTCcanvaspage-BuyNowCTA</v></cell><cell r="D5302" t="str"><v>43320224639151</v></cell><cell r="E5302" t="str"><v>43320103316829NowCTA</v></cell><cell r="F5302" t="str"><v>DCM</v></cell><cell r="G5302" t="str"><v>https://signup.azure.com/signup?offer=ms-azr-0044p&appId=102&ref=paidmedia-social-fb&redirectURL=https%3a%2f%2fazure.microsoft.com%2fen-au%2fget-started%2fwelcome-to-azure%2f&l=en-au&correlationId=ead86c34-1f10-49dd-a72b-6918462a2cbf</v></cell></row><row r="5302"><cell r="K5302" t="str"><v>August</v></cell><cell r="L5302"><v>43323</v></cell><cell r="M5302" t="str"><v>Tier 1</v></cell><cell r="N5302" t="str"><v>APAC</v></cell><cell r="O5302" t="str"><v>Australia</v></cell><cell r="P5302" t="str"><v>Trial</v></cell><cell r="Q5302" t="str"><v>Social</v></cell><cell r="R5302" t="str"><v>Azure</v></cell><cell r="S5302" t="str"><v>Apps & Infra</v></cell><cell r="T5302" t="str"><v>Developers & ITI's</v></cell><cell r="U5302" t="str"><v>Audience & Interest Targeting</v></cell><cell r="V5302" t="str"><v>Audience Targeting</v></cell><cell r="W5302" t="str"><v>Other</v></cell><cell r="X5302" t="str"><v>1x1</v></cell></row><row r="5302"><cell r="AA5302"><v>43320</v></cell><cell r="AB5302" t="str"><v>AUS_gaPMG_AZR_AZR_Q1_19_Trial-Social</v></cell><cell r="AC5302"><v>21358568</v></cell><cell r="AD5302"><v>720191</v></cell><cell r="AE5302" t="str"><v>Facebook</v></cell><cell r="AF5302"><v>3654128</v></cell><cell r="AG5302" t="str"><v>Facebook»Audience & Interest Targeting»1x1»Canvas»OTH»DT»DYN»AUT»W»NA»SS»NA»FBCTCcanvaspage-StartFreeCTA_FBCTCcanvaspage-BuyNowCTA</v></cell><cell r="AH5302"><v>224639151</v></cell><cell r="AI5302" t="str"><v>AzurePlatform_FBCTCcanvaspage-StartFreeCTA-Img2_AUS_1080x143 _SOC_Plat_English_NA_Standard_NA_NA_T2_1</v></cell><cell r="AJ5302"><v>103316829</v></cell></row><row r="5303"><cell r="C5303" t="str"><v>43320Facebook»Audience & Interest Targeting»1x1»TextLink»OTH»DT»DYN»AUT»W»NA»SS»NA»Free Account Refresh- 12 months ChE</v></cell><cell r="D5303" t="str"><v>43320224160783</v></cell><cell r="E5303" t="str"><v>43320103051614hs ChE</v></cell><cell r="F5303" t="str"><v>DCM</v></cell></row><row r="5303"><cell r="K5303" t="str"><v>August</v></cell><cell r="L5303"><v>43323</v></cell><cell r="M5303" t="str"><v>Tier 1</v></cell><cell r="N5303" t="str"><v>APAC</v></cell><cell r="O5303" t="str"><v>Australia</v></cell><cell r="P5303" t="str"><v>Trial</v></cell><cell r="Q5303" t="str"><v>Social</v></cell><cell r="R5303" t="str"><v>Azure</v></cell><cell r="S5303" t="str"><v>Apps & Infra</v></cell><cell r="T5303" t="str"><v>Developers & ITI's</v></cell><cell r="U5303" t="str"><v>Audience & Interest Targeting</v></cell><cell r="V5303" t="str"><v>Audience Targeting</v></cell><cell r="W5303" t="str"><v>Other</v></cell><cell r="X5303" t="str"><v>1x1</v></cell></row><row r="5303"><cell r="AA5303"><v>43320</v></cell><cell r="AB5303" t="str"><v>AUS_gaPMG_AZR_AZR_Q1_19_Trial-Social</v></cell><cell r="AC5303"><v>21358568</v></cell><cell r="AD5303"><v>720191</v></cell><cell r="AE5303" t="str"><v>Facebook</v></cell><cell r="AF5303"><v>3654128</v></cell><cell r="AG5303" t="str"><v>Facebook»Audience & Interest Targeting»1x1»TextLink»OTH»DT»DYN»AUT»W»NA»SS»NA»Free Account Refresh- 12 months ChE</v></cell><cell r="AH5303"><v>224160783</v></cell><cell r="AI5303" t="str"><v>AzurePlatform_FreeAcctAppsFACEBOOK12monthsChE_AUS_1200x628_SOC_PLAT_EN_Trial_Standard_NA_SNU_T5_1</v></cell><cell r="AJ5303"><v>103051614</v></cell></row><row r="5304"><cell r="C5304" t="str"><v>43320Facebook»Audience & Interest Targeting»1x1»TextLink»OTH»DT»DYN»AUT»W»NA»SS»NA»Free Account Refresh- 200 Credit ChD</v></cell><cell r="D5304" t="str"><v>43320224160780</v></cell><cell r="E5304" t="str"><v>43320103186904it ChD</v></cell><cell r="F5304" t="str"><v>DCM</v></cell></row><row r="5304"><cell r="K5304" t="str"><v>August</v></cell><cell r="L5304"><v>43323</v></cell><cell r="M5304" t="str"><v>Tier 1</v></cell><cell r="N5304" t="str"><v>APAC</v></cell><cell r="O5304" t="str"><v>Australia</v></cell><cell r="P5304" t="str"><v>Trial</v></cell><cell r="Q5304" t="str"><v>Social</v></cell><cell r="R5304" t="str"><v>Azure</v></cell><cell r="S5304" t="str"><v>Apps & Infra</v></cell><cell r="T5304" t="str"><v>Developers & ITI's</v></cell><cell r="U5304" t="str"><v>Audience & Interest Targeting</v></cell><cell r="V5304" t="str"><v>Audience Targeting</v></cell><cell r="W5304" t="str"><v>Other</v></cell><cell r="X5304" t="str"><v>1x1</v></cell></row><row r="5304"><cell r="AA5304"><v>43320</v></cell><cell r="AB5304" t="str"><v>AUS_gaPMG_AZR_AZR_Q1_19_Trial-Social</v></cell><cell r="AC5304"><v>21358568</v></cell><cell r="AD5304"><v>720191</v></cell><cell r="AE5304" t="str"><v>Facebook</v></cell><cell r="AF5304"><v>3654128</v></cell><cell r="AG5304" t="str"><v>Facebook»Audience & Interest Targeting»1x1»TextLink»OTH»DT»DYN»AUT»W»NA»SS»NA»Free Account Refresh- 200 Credit ChD</v></cell><cell r="AH5304"><v>224160780</v></cell><cell r="AI5304" t="str"><v>AzurePlatform_FreeAcctAppsFACEBOOK200CreditChD_AUS_1200x628_SOC_PLAT_EN_Trial_Standard_NA_SNU_T4_1</v></cell><cell r="AJ5304"><v>103186904</v></cell></row><row r="5305"><cell r="C5305" t="str"><v>43320Facebook»Audience & Interest Targeting»1x1»TextLink»OTH»DT»DYN»AUT»W»NA»SS»NA»Free Account Refresh- Device ChB</v></cell><cell r="D5305" t="str"><v>43320224160777</v></cell><cell r="E5305" t="str"><v>43320103048479ce ChB</v></cell><cell r="F5305" t="str"><v>DCM</v></cell></row><row r="5305"><cell r="K5305" t="str"><v>August</v></cell><cell r="L5305"><v>43323</v></cell><cell r="M5305" t="str"><v>Tier 1</v></cell><cell r="N5305" t="str"><v>APAC</v></cell><cell r="O5305" t="str"><v>Australia</v></cell><cell r="P5305" t="str"><v>Trial</v></cell><cell r="Q5305" t="str"><v>Social</v></cell><cell r="R5305" t="str"><v>Azure</v></cell><cell r="S5305" t="str"><v>Apps & Infra</v></cell><cell r="T5305" t="str"><v>Developers & ITI's</v></cell><cell r="U5305" t="str"><v>Audience & Interest Targeting</v></cell><cell r="V5305" t="str"><v>Audience Targeting</v></cell><cell r="W5305" t="str"><v>Other</v></cell><cell r="X5305" t="str"><v>1x1</v></cell></row><row r="5305"><cell r="AA5305"><v>43320</v></cell><cell r="AB5305" t="str"><v>AUS_gaPMG_AZR_AZR_Q1_19_Trial-Social</v></cell><cell r="AC5305"><v>21358568</v></cell><cell r="AD5305"><v>720191</v></cell><cell r="AE5305" t="str"><v>Facebook</v></cell><cell r="AF5305"><v>3654128</v></cell><cell r="AG5305" t="str"><v>Facebook»Audience & Interest Targeting»1x1»TextLink»OTH»DT»DYN»AUT»W»NA»SS»NA»Free Account Refresh- Device ChB</v></cell><cell r="AH5305"><v>224160777</v></cell><cell r="AI5305" t="str"><v>AzurePlatform_FreeAcctAppsFACEBOOKDeviceChB_AUS_1200x628_SOC_PLAT_EN_Trial_Standard_NA_SNU_T2_1</v></cell><cell r="AJ5305"><v>103048479</v></cell></row><row r="5306"><cell r="C5306" t="str"><v>43320Facebook»Audience & Interest Targeting»1x1»TextLink»OTH»DT»DYN»AUT»W»NA»SS»NA»Free Account Refresh- Illustration ChC</v></cell><cell r="D5306" t="str"><v>43320224160774</v></cell><cell r="E5306" t="str"><v>43320103186910on ChC</v></cell><cell r="F5306" t="str"><v>DCM</v></cell></row><row r="5306"><cell r="K5306" t="str"><v>August</v></cell><cell r="L5306"><v>43323</v></cell><cell r="M5306" t="str"><v>Tier 1</v></cell><cell r="N5306" t="str"><v>APAC</v></cell><cell r="O5306" t="str"><v>Australia</v></cell><cell r="P5306" t="str"><v>Trial</v></cell><cell r="Q5306" t="str"><v>Social</v></cell><cell r="R5306" t="str"><v>Azure</v></cell><cell r="S5306" t="str"><v>Apps & Infra</v></cell><cell r="T5306" t="str"><v>Developers & ITI's</v></cell><cell r="U5306" t="str"><v>Audience & Interest Targeting</v></cell><cell r="V5306" t="str"><v>Audience Targeting</v></cell><cell r="W5306" t="str"><v>Other</v></cell><cell r="X5306" t="str"><v>1x1</v></cell></row><row r="5306"><cell r="AA5306"><v>43320</v></cell><cell r="AB5306" t="str"><v>AUS_gaPMG_AZR_AZR_Q1_19_Trial-Social</v></cell><cell r="AC5306"><v>21358568</v></cell><cell r="AD5306"><v>720191</v></cell><cell r="AE5306" t="str"><v>Facebook</v></cell><cell r="AF5306"><v>3654128</v></cell><cell r="AG5306" t="str"><v>Facebook»Audience & Interest Targeting»1x1»TextLink»OTH»DT»DYN»AUT»W»NA»SS»NA»Free Account Refresh- Illustration ChC</v></cell><cell r="AH5306"><v>224160774</v></cell><cell r="AI5306" t="str"><v>AzurePlatform_FreeAcctAppsFACEBOOKIllustrationChC_AUS_1200x628_SOC_PLAT_EN_Trial_Standard_NA_SNU_T3_1</v></cell><cell r="AJ5306"><v>103186910</v></cell></row><row r="5307"><cell r="C5307" t="str"><v>43320Facebook»Audience & Interest Targeting»1x1»TextLink»OTH»DT»DYN»AUT»W»NA»SS»NA»Free Account Refresh- Lifestyle ChA</v></cell><cell r="D5307" t="str"><v>43320224160771</v></cell><cell r="E5307" t="str"><v>43320103048488le ChA</v></cell><cell r="F5307" t="str"><v>DCM</v></cell></row><row r="5307"><cell r="K5307" t="str"><v>August</v></cell><cell r="L5307"><v>43323</v></cell><cell r="M5307" t="str"><v>Tier 1</v></cell><cell r="N5307" t="str"><v>APAC</v></cell><cell r="O5307" t="str"><v>Australia</v></cell><cell r="P5307" t="str"><v>Trial</v></cell><cell r="Q5307" t="str"><v>Social</v></cell><cell r="R5307" t="str"><v>Azure</v></cell><cell r="S5307" t="str"><v>Apps & Infra</v></cell><cell r="T5307" t="str"><v>Developers & ITI's</v></cell><cell r="U5307" t="str"><v>Audience & Interest Targeting</v></cell><cell r="V5307" t="str"><v>Audience Targeting</v></cell><cell r="W5307" t="str"><v>Other</v></cell><cell r="X5307" t="str"><v>1x1</v></cell></row><row r="5307"><cell r="AA5307"><v>43320</v></cell><cell r="AB5307" t="str"><v>AUS_gaPMG_AZR_AZR_Q1_19_Trial-Social</v></cell><cell r="AC5307"><v>21358568</v></cell><cell r="AD5307"><v>720191</v></cell><cell r="AE5307" t="str"><v>Facebook</v></cell><cell r="AF5307"><v>3654128</v></cell><cell r="AG5307" t="str"><v>Facebook»Audience & Interest Targeting»1x1»TextLink»OTH»DT»DYN»AUT»W»NA»SS»NA»Free Account Refresh- Lifestyle ChA</v></cell><cell r="AH5307"><v>224160771</v></cell><cell r="AI5307" t="str"><v>AzurePlatform_FreeAcctAppsFACEBOOKLifestyleChA_AUS_1200x628_SOC_PLAT_EN_Trial_Standard_NA_SNU_T1_1</v></cell><cell r="AJ5307"><v>103048488</v></cell></row><row r="5308"><cell r="C5308" t="str"><v>43320Facebook»LAL»1x1»TextLink»SOC»DT»DYN»LAL»W»NA»SS»NA»Free Account Refresh- Device ChB</v></cell><cell r="D5308" t="str"><v>43320224160717</v></cell><cell r="E5308" t="str"><v>43320103048485ce ChB</v></cell><cell r="F5308" t="str"><v>DCM</v></cell><cell r="G5308" t="str"><v>https://azure.microsoft.com/en-au/free/open-source/search/</v></cell></row><row r="5308"><cell r="K5308" t="str"><v>August</v></cell><cell r="L5308"><v>43323</v></cell><cell r="M5308" t="str"><v>Tier 1</v></cell><cell r="N5308" t="str"><v>APAC</v></cell><cell r="O5308" t="str"><v>Australia</v></cell><cell r="P5308" t="str"><v>Trial</v></cell><cell r="Q5308" t="str"><v>Social</v></cell><cell r="R5308" t="str"><v>Azure</v></cell><cell r="S5308" t="str"><v>Apps & Infra</v></cell><cell r="T5308" t="str"><v>Developers & ITI's</v></cell><cell r="U5308" t="str"><v>LAL</v></cell><cell r="V5308" t="str"><v>Lookalike Targeting</v></cell><cell r="W5308" t="str"><v>Social</v></cell><cell r="X5308" t="str"><v>1x1</v></cell></row><row r="5308"><cell r="AA5308"><v>43320</v></cell><cell r="AB5308" t="str"><v>AUS_gaPMG_AZR_AZR_Q1_19_Trial-Social</v></cell><cell r="AC5308"><v>21358568</v></cell><cell r="AD5308"><v>720191</v></cell><cell r="AE5308" t="str"><v>Facebook</v></cell><cell r="AF5308"><v>3654128</v></cell><cell r="AG5308" t="str"><v>Facebook»LAL»1x1»TextLink»SOC»DT»DYN»LAL»W»NA»SS»NA»Free Account Refresh- Device ChB</v></cell><cell r="AH5308"><v>224160717</v></cell><cell r="AI5308" t="str"><v>AzurePlatform_FreeAcctRetargetingOSSFB-Text-ChF_AUS_1200x628_SOC_Plat_EN_Free Account_Standard_NA_SNU_T1_1</v></cell><cell r="AJ5308"><v>103048485</v></cell></row><row r="5309"><cell r="C5309" t="str"><v>43320Facebook»LAL»1x1»TextLink»SOC»DT»DYN»LAL»W»NA»SS»NA»Free Account Refresh- Illustration ChC</v></cell><cell r="D5309" t="str"><v>43320224160714</v></cell><cell r="E5309" t="str"><v>43320103186916on ChC</v></cell><cell r="F5309" t="str"><v>DCM</v></cell><cell r="G5309" t="str"><v>https://azure.microsoft.com/en-au/free/virtual-machines/search/</v></cell></row><row r="5309"><cell r="K5309" t="str"><v>August</v></cell><cell r="L5309"><v>43323</v></cell><cell r="M5309" t="str"><v>Tier 1</v></cell><cell r="N5309" t="str"><v>APAC</v></cell><cell r="O5309" t="str"><v>Australia</v></cell><cell r="P5309" t="str"><v>Trial</v></cell><cell r="Q5309" t="str"><v>Social</v></cell><cell r="R5309" t="str"><v>Azure</v></cell><cell r="S5309" t="str"><v>Apps & Infra</v></cell><cell r="T5309" t="str"><v>Developers & ITI's</v></cell><cell r="U5309" t="str"><v>LAL</v></cell><cell r="V5309" t="str"><v>Lookalike Targeting</v></cell><cell r="W5309" t="str"><v>Social</v></cell><cell r="X5309" t="str"><v>1x1</v></cell></row><row r="5309"><cell r="AA5309"><v>43320</v></cell><cell r="AB5309" t="str"><v>AUS_gaPMG_AZR_AZR_Q1_19_Trial-Social</v></cell><cell r="AC5309"><v>21358568</v></cell><cell r="AD5309"><v>720191</v></cell><cell r="AE5309" t="str"><v>Facebook</v></cell><cell r="AF5309"><v>3654128</v></cell><cell r="AG5309" t="str"><v>Facebook»LAL»1x1»TextLink»SOC»DT»DYN»LAL»W»NA»SS»NA»Free Account Refresh- Illustration ChC</v></cell><cell r="AH5309"><v>224160714</v></cell><cell r="AI5309" t="str"><v>AzurePlatform_FreeAcctRetargetingVMFB-750Hrs-ChD_AUS_1200x628_SOC_Plat_EN_Free Account_Standard_NA_SNU_T1_1</v></cell><cell r="AJ5309"><v>103186916</v></cell></row><row r="5310"><cell r="C5310" t="str"><v>43320Facebook»Retargeting»1x1»TextLink»SOC»DT»DYN»RT»W»NA»SS»NA»Free Account Refresh- 200 Credit ChD</v></cell><cell r="D5310" t="str"><v>43320224160738</v></cell><cell r="E5310" t="str"><v>43320103186904it ChD</v></cell><cell r="F5310" t="str"><v>DCM</v></cell></row><row r="5310"><cell r="K5310" t="str"><v>August</v></cell><cell r="L5310"><v>43323</v></cell><cell r="M5310" t="str"><v>Tier 1</v></cell><cell r="N5310" t="str"><v>APAC</v></cell><cell r="O5310" t="str"><v>Australia</v></cell><cell r="P5310" t="str"><v>Trial</v></cell><cell r="Q5310" t="str"><v>Social</v></cell><cell r="R5310" t="str"><v>Azure</v></cell><cell r="S5310" t="str"><v>Apps & Infra</v></cell><cell r="T5310" t="str"><v>Developers & ITI's</v></cell><cell r="U5310" t="str"><v>Retargeting</v></cell><cell r="V5310" t="str"><v>Retargeting</v></cell><cell r="W5310" t="str"><v>Social</v></cell><cell r="X5310" t="str"><v>1x1</v></cell></row><row r="5310"><cell r="AA5310"><v>43320</v></cell><cell r="AB5310" t="str"><v>AUS_gaPMG_AZR_AZR_Q1_19_Trial-Social</v></cell><cell r="AC5310"><v>21358568</v></cell><cell r="AD5310"><v>720191</v></cell><cell r="AE5310" t="str"><v>Facebook</v></cell><cell r="AF5310"><v>3654128</v></cell><cell r="AG5310" t="str"><v>Facebook»Retargeting»1x1»TextLink»SOC»DT»DYN»RT»W»NA»SS»NA»Free Account Refresh- 200 Credit ChD</v></cell><cell r="AH5310"><v>224160738</v></cell><cell r="AI5310" t="str"><v>AzurePlatform_FreeAcctAppsFACEBOOK200CreditChD_AUS_1200x628_SOC_PLAT_EN_Trial_Standard_NA_SNU_T4_1</v></cell><cell r="AJ5310"><v>103186904</v></cell></row><row r="5311"><cell r="C5311" t="str"><v>43320Facebook»Retargeting»1x1»TextLink»SOC»DT»DYN»RT»W»NA»SS»NA»Free Account Refresh- Device ChB</v></cell><cell r="D5311" t="str"><v>43320224160735</v></cell><cell r="E5311" t="str"><v>43320103048479ce ChB</v></cell><cell r="F5311" t="str"><v>DCM</v></cell></row><row r="5311"><cell r="K5311" t="str"><v>August</v></cell><cell r="L5311"><v>43323</v></cell><cell r="M5311" t="str"><v>Tier 1</v></cell><cell r="N5311" t="str"><v>APAC</v></cell><cell r="O5311" t="str"><v>Australia</v></cell><cell r="P5311" t="str"><v>Trial</v></cell><cell r="Q5311" t="str"><v>Social</v></cell><cell r="R5311" t="str"><v>Azure</v></cell><cell r="S5311" t="str"><v>Apps & Infra</v></cell><cell r="T5311" t="str"><v>Developers & ITI's</v></cell><cell r="U5311" t="str"><v>Retargeting</v></cell><cell r="V5311" t="str"><v>Retargeting</v></cell><cell r="W5311" t="str"><v>Social</v></cell><cell r="X5311" t="str"><v>1x1</v></cell></row><row r="5311"><cell r="AA5311"><v>43320</v></cell><cell r="AB5311" t="str"><v>AUS_gaPMG_AZR_AZR_Q1_19_Trial-Social</v></cell><cell r="AC5311"><v>21358568</v></cell><cell r="AD5311"><v>720191</v></cell><cell r="AE5311" t="str"><v>Facebook</v></cell><cell r="AF5311"><v>3654128</v></cell><cell r="AG5311" t="str"><v>Facebook»Retargeting»1x1»TextLink»SOC»DT»DYN»RT»W»NA»SS»NA»Free Account Refresh- Device ChB</v></cell><cell r="AH5311"><v>224160735</v></cell><cell r="AI5311" t="str"><v>AzurePlatform_FreeAcctAppsFACEBOOKDeviceChB_AUS_1200x628_SOC_PLAT_EN_Trial_Standard_NA_SNU_T2_1</v></cell><cell r="AJ5311"><v>103048479</v></cell></row><row r="5312"><cell r="C5312" t="str"><v>43320Facebook»Retargeting»1x1»TextLink»SOC»DT»DYN»RT»W»NA»SS»NA»Free Account Refresh- Illustration ChC</v></cell><cell r="D5312" t="str"><v>43320224160732</v></cell><cell r="E5312" t="str"><v>43320103186910on ChC</v></cell><cell r="F5312" t="str"><v>DCM</v></cell></row><row r="5312"><cell r="K5312" t="str"><v>August</v></cell><cell r="L5312"><v>43323</v></cell><cell r="M5312" t="str"><v>Tier 1</v></cell><cell r="N5312" t="str"><v>APAC</v></cell><cell r="O5312" t="str"><v>Australia</v></cell><cell r="P5312" t="str"><v>Trial</v></cell><cell r="Q5312" t="str"><v>Social</v></cell><cell r="R5312" t="str"><v>Azure</v></cell><cell r="S5312" t="str"><v>Apps & Infra</v></cell><cell r="T5312" t="str"><v>Developers & ITI's</v></cell><cell r="U5312" t="str"><v>Retargeting</v></cell><cell r="V5312" t="str"><v>Retargeting</v></cell><cell r="W5312" t="str"><v>Social</v></cell><cell r="X5312" t="str"><v>1x1</v></cell></row><row r="5312"><cell r="AA5312"><v>43320</v></cell><cell r="AB5312" t="str"><v>AUS_gaPMG_AZR_AZR_Q1_19_Trial-Social</v></cell><cell r="AC5312"><v>21358568</v></cell><cell r="AD5312"><v>720191</v></cell><cell r="AE5312" t="str"><v>Facebook</v></cell><cell r="AF5312"><v>3654128</v></cell><cell r="AG5312" t="str"><v>Facebook»Retargeting»1x1»TextLink»SOC»DT»DYN»RT»W»NA»SS»NA»Free Account Refresh- Illustration ChC</v></cell><cell r="AH5312"><v>224160732</v></cell><cell r="AI5312" t="str"><v>AzurePlatform_FreeAcctAppsFACEBOOKIllustrationChC_AUS_1200x628_SOC_PLAT_EN_Trial_Standard_NA_SNU_T3_1</v></cell><cell r="AJ5312"><v>103186910</v></cell></row><row r="5313"><cell r="C5313" t="str"><v>43320Facebook»Retargeting»1x1»TextLink»SOC»DT»DYN»RT»W»NA»SS»NA»Free Account Refresh- Lifestyle ChA</v></cell><cell r="D5313" t="str"><v>43320224160729</v></cell><cell r="E5313" t="str"><v>43320103048488le ChA</v></cell><cell r="F5313" t="str"><v>DCM</v></cell></row><row r="5313"><cell r="K5313" t="str"><v>August</v></cell><cell r="L5313"><v>43323</v></cell><cell r="M5313" t="str"><v>Tier 1</v></cell><cell r="N5313" t="str"><v>APAC</v></cell><cell r="O5313" t="str"><v>Australia</v></cell><cell r="P5313" t="str"><v>Trial</v></cell><cell r="Q5313" t="str"><v>Social</v></cell><cell r="R5313" t="str"><v>Azure</v></cell><cell r="S5313" t="str"><v>Apps & Infra</v></cell><cell r="T5313" t="str"><v>Developers & ITI's</v></cell><cell r="U5313" t="str"><v>Retargeting</v></cell><cell r="V5313" t="str"><v>Retargeting</v></cell><cell r="W5313" t="str"><v>Social</v></cell><cell r="X5313" t="str"><v>1x1</v></cell></row><row r="5313"><cell r="AA5313"><v>43320</v></cell><cell r="AB5313" t="str"><v>AUS_gaPMG_AZR_AZR_Q1_19_Trial-Social</v></cell><cell r="AC5313"><v>21358568</v></cell><cell r="AD5313"><v>720191</v></cell><cell r="AE5313" t="str"><v>Facebook</v></cell><cell r="AF5313"><v>3654128</v></cell><cell r="AG5313" t="str"><v>Facebook»Retargeting»1x1»TextLink»SOC»DT»DYN»RT»W»NA»SS»NA»Free Account Refresh- Lifestyle ChA</v></cell><cell r="AH5313"><v>224160729</v></cell><cell r="AI5313" t="str"><v>AzurePlatform_FreeAcctAppsFACEBOOKLifestyleChA_AUS_1200x628_SOC_PLAT_EN_Trial_Standard_NA_SNU_T1_1</v></cell><cell r="AJ5313"><v>103048488</v></cell></row><row r="5314"><cell r="C5314" t="str"><v>43320Facebook»AZR»1x1»NA»EGV»ALL»DYN»AUT»D»All»SS»NA»Free Acc CTC - T1 - EN</v></cell><cell r="D5314" t="str"><v>43320223684451</v></cell><cell r="E5314" t="str"><v>433201029018821 - EN</v></cell><cell r="F5314" t="str"><v>DCM</v></cell><cell r="G5314" t="str"><v>https://signup.azure.com/</v></cell></row><row r="5314"><cell r="K5314" t="str"><v>August</v></cell><cell r="L5314"><v>43323</v></cell><cell r="M5314" t="str"><v>Tier 1</v></cell><cell r="N5314" t="str"><v>North America</v></cell><cell r="O5314" t="str"><v>Canada</v></cell><cell r="P5314" t="str"><v>Trial</v></cell><cell r="Q5314" t="str"><v>Social</v></cell><cell r="R5314" t="str"><v>Azure</v></cell><cell r="S5314" t="str"><v>Apps & Infra</v></cell><cell r="T5314" t="str"><v>Developers & ITI's</v></cell><cell r="U5314" t="str"><v>AZR</v></cell><cell r="V5314" t="str"><v>Audience Targeting</v></cell><cell r="W5314" t="str"><v>Engagement Video</v></cell><cell r="X5314" t="str"><v>1x1</v></cell></row><row r="5314"><cell r="AA5314"><v>43320</v></cell><cell r="AB5314" t="str"><v>CAN_gaPMG_AZR_AZR_Q1_19_Trial-Social</v></cell><cell r="AC5314"><v>21337220</v></cell><cell r="AD5314"><v>720192</v></cell><cell r="AE5314" t="str"><v>Facebook</v></cell><cell r="AF5314"><v>3654128</v></cell><cell r="AG5314" t="str"><v>Facebook»AZR»1x1»NA»EGV»ALL»DYN»AUT»D»All»SS»NA»Free Acc CTC - T1 - EN</v></cell><cell r="AH5314"><v>223684451</v></cell><cell r="AI5314" t="str"><v>AzurePlatform_FBCTCBasicMotion_CAN_10s_ISV_PLAT_English_Trial_Standard_STAN_TN_T1_1</v></cell><cell r="AJ5314"><v>102901882</v></cell></row><row r="5315"><cell r="C5315" t="str"><v>43320Facebook»AZR»1x1»NA»EGV»ALL»DYN»AUT»D»All»SS»NA»Free Acc CTC - T1 - FR</v></cell><cell r="D5315" t="str"><v>43320223691801</v></cell><cell r="E5315" t="str"><v>433201030533231 - FR</v></cell><cell r="F5315" t="str"><v>DCM</v></cell><cell r="G5315" t="str"><v>https://signup.azure.com/</v></cell></row><row r="5315"><cell r="K5315" t="str"><v>August</v></cell><cell r="L5315"><v>43323</v></cell><cell r="M5315" t="str"><v>Tier 1</v></cell><cell r="N5315" t="str"><v>North America</v></cell><cell r="O5315" t="str"><v>Canada</v></cell><cell r="P5315" t="str"><v>Trial</v></cell><cell r="Q5315" t="str"><v>Social</v></cell><cell r="R5315" t="str"><v>Azure</v></cell><cell r="S5315" t="str"><v>Apps & Infra</v></cell><cell r="T5315" t="str"><v>Developers & ITI's</v></cell><cell r="U5315" t="str"><v>AZR</v></cell><cell r="V5315" t="str"><v>Audience Targeting</v></cell><cell r="W5315" t="str"><v>Engagement Video</v></cell><cell r="X5315" t="str"><v>1x1</v></cell></row><row r="5315"><cell r="AA5315"><v>43320</v></cell><cell r="AB5315" t="str"><v>CAN_gaPMG_AZR_AZR_Q1_19_Trial-Social</v></cell><cell r="AC5315"><v>21337220</v></cell><cell r="AD5315"><v>720192</v></cell><cell r="AE5315" t="str"><v>Facebook</v></cell><cell r="AF5315"><v>3654128</v></cell><cell r="AG5315" t="str"><v>Facebook»AZR»1x1»NA»EGV»ALL»DYN»AUT»D»All»SS»NA»Free Acc CTC - T1 - FR</v></cell><cell r="AH5315"><v>223691801</v></cell><cell r="AI5315" t="str"><v>AzurePlatform_FBCTCBasicMotion_CAN_10s_ISV_PLAT_FR_Trial_Standard_STAN_TN_T1_1</v></cell><cell r="AJ5315"><v>103053323</v></cell></row><row r="5316"><cell r="C5316" t="str"><v>43320Facebook»AZR»1x1»NA»EGV»ALL»DYN»AUT»D»All»SS»NA»Free Acc CTC - T2 - EN</v></cell><cell r="D5316" t="str"><v>43320223691840</v></cell><cell r="E5316" t="str"><v>433201029029502 - EN</v></cell><cell r="F5316" t="str"><v>DCM</v></cell><cell r="G5316" t="str"><v>https://signup.azure.com/</v></cell></row><row r="5316"><cell r="K5316" t="str"><v>August</v></cell><cell r="L5316"><v>43323</v></cell><cell r="M5316" t="str"><v>Tier 1</v></cell><cell r="N5316" t="str"><v>North America</v></cell><cell r="O5316" t="str"><v>Canada</v></cell><cell r="P5316" t="str"><v>Trial</v></cell><cell r="Q5316" t="str"><v>Social</v></cell><cell r="R5316" t="str"><v>Azure</v></cell><cell r="S5316" t="str"><v>Apps & Infra</v></cell><cell r="T5316" t="str"><v>Developers & ITI's</v></cell><cell r="U5316" t="str"><v>AZR</v></cell><cell r="V5316" t="str"><v>Audience Targeting</v></cell><cell r="W5316" t="str"><v>Engagement Video</v></cell><cell r="X5316" t="str"><v>1x1</v></cell></row><row r="5316"><cell r="AA5316"><v>43320</v></cell><cell r="AB5316" t="str"><v>CAN_gaPMG_AZR_AZR_Q1_19_Trial-Social</v></cell><cell r="AC5316"><v>21337220</v></cell><cell r="AD5316"><v>720192</v></cell><cell r="AE5316" t="str"><v>Facebook</v></cell><cell r="AF5316"><v>3654128</v></cell><cell r="AG5316" t="str"><v>Facebook»AZR»1x1»NA»EGV»ALL»DYN»AUT»D»All»SS»NA»Free Acc CTC - T2 - EN</v></cell><cell r="AH5316"><v>223691840</v></cell><cell r="AI5316" t="str"><v>AzurePlatform_FBCTCBrandinMotion_CAN_12s_ISV_PLAT_English_Trial_Standard_STAN_TN_T2_1</v></cell><cell r="AJ5316"><v>102902950</v></cell></row><row r="5317"><cell r="C5317" t="str"><v>43320Facebook»AZR»1x1»NA»EGV»ALL»DYN»AUT»D»All»SS»NA»Free Acc CTC - T2 - FR</v></cell><cell r="D5317" t="str"><v>43320223691798</v></cell><cell r="E5317" t="str"><v>433201029163472 - FR</v></cell><cell r="F5317" t="str"><v>DCM</v></cell><cell r="G5317" t="str"><v>https://signup.azure.com/</v></cell></row><row r="5317"><cell r="K5317" t="str"><v>August</v></cell><cell r="L5317"><v>43323</v></cell><cell r="M5317" t="str"><v>Tier 1</v></cell><cell r="N5317" t="str"><v>North America</v></cell><cell r="O5317" t="str"><v>Canada</v></cell><cell r="P5317" t="str"><v>Trial</v></cell><cell r="Q5317" t="str"><v>Social</v></cell><cell r="R5317" t="str"><v>Azure</v></cell><cell r="S5317" t="str"><v>Apps & Infra</v></cell><cell r="T5317" t="str"><v>Developers & ITI's</v></cell><cell r="U5317" t="str"><v>AZR</v></cell><cell r="V5317" t="str"><v>Audience Targeting</v></cell><cell r="W5317" t="str"><v>Engagement Video</v></cell><cell r="X5317" t="str"><v>1x1</v></cell></row><row r="5317"><cell r="AA5317"><v>43320</v></cell><cell r="AB5317" t="str"><v>CAN_gaPMG_AZR_AZR_Q1_19_Trial-Social</v></cell><cell r="AC5317"><v>21337220</v></cell><cell r="AD5317"><v>720192</v></cell><cell r="AE5317" t="str"><v>Facebook</v></cell><cell r="AF5317"><v>3654128</v></cell><cell r="AG5317" t="str"><v>Facebook»AZR»1x1»NA»EGV»ALL»DYN»AUT»D»All»SS»NA»Free Acc CTC - T2 - FR</v></cell><cell r="AH5317"><v>223691798</v></cell><cell r="AI5317" t="str"><v>AzurePlatform_FBCTCBrandinMotion_CAN_12s_ISV_PLAT_FR_Trial_Standard_STAN_TN_T2_1</v></cell><cell r="AJ5317"><v>102916347</v></cell></row><row r="5318"><cell r="C5318" t="str"><v>43320Facebook»AZR»1x1»NA»EGV»ALL»DYN»AUT»D»All»SS»NA»Free Acc CTC - T4 - EN</v></cell><cell r="D5318" t="str"><v>43320223691837</v></cell><cell r="E5318" t="str"><v>433201030533144 - EN</v></cell><cell r="F5318" t="str"><v>DCM</v></cell><cell r="G5318" t="str"><v>https://signup.azure.com/</v></cell></row><row r="5318"><cell r="K5318" t="str"><v>August</v></cell><cell r="L5318"><v>43323</v></cell><cell r="M5318" t="str"><v>Tier 1</v></cell><cell r="N5318" t="str"><v>North America</v></cell><cell r="O5318" t="str"><v>Canada</v></cell><cell r="P5318" t="str"><v>Trial</v></cell><cell r="Q5318" t="str"><v>Social</v></cell><cell r="R5318" t="str"><v>Azure</v></cell><cell r="S5318" t="str"><v>Apps & Infra</v></cell><cell r="T5318" t="str"><v>Developers & ITI's</v></cell><cell r="U5318" t="str"><v>AZR</v></cell><cell r="V5318" t="str"><v>Audience Targeting</v></cell><cell r="W5318" t="str"><v>Engagement Video</v></cell><cell r="X5318" t="str"><v>1x1</v></cell></row><row r="5318"><cell r="AA5318"><v>43320</v></cell><cell r="AB5318" t="str"><v>CAN_gaPMG_AZR_AZR_Q1_19_Trial-Social</v></cell><cell r="AC5318"><v>21337220</v></cell><cell r="AD5318"><v>720192</v></cell><cell r="AE5318" t="str"><v>Facebook</v></cell><cell r="AF5318"><v>3654128</v></cell><cell r="AG5318" t="str"><v>Facebook»AZR»1x1»NA»EGV»ALL»DYN»AUT»D»All»SS»NA»Free Acc CTC - T4 - EN</v></cell><cell r="AH5318"><v>223691837</v></cell><cell r="AI5318" t="str"><v>AzurePlatform_FBCTCBenefit2inMotion_CAN_14s_ISV_PLAT_English_Trial_Standard_STAN_TN_T4_1</v></cell><cell r="AJ5318"><v>103053314</v></cell></row><row r="5319"><cell r="C5319" t="str"><v>43320Facebook»AZR»1x1»NA»EGV»ALL»DYN»AUT»D»All»SS»NA»Free Acc CTC - T4 - FR</v></cell><cell r="D5319" t="str"><v>43320223691795</v></cell><cell r="E5319" t="str"><v>433201029006884 - FR</v></cell><cell r="F5319" t="str"><v>DCM</v></cell><cell r="G5319" t="str"><v>https://signup.azure.com/</v></cell></row><row r="5319"><cell r="K5319" t="str"><v>August</v></cell><cell r="L5319"><v>43323</v></cell><cell r="M5319" t="str"><v>Tier 1</v></cell><cell r="N5319" t="str"><v>North America</v></cell><cell r="O5319" t="str"><v>Canada</v></cell><cell r="P5319" t="str"><v>Trial</v></cell><cell r="Q5319" t="str"><v>Social</v></cell><cell r="R5319" t="str"><v>Azure</v></cell><cell r="S5319" t="str"><v>Apps & Infra</v></cell><cell r="T5319" t="str"><v>Developers & ITI's</v></cell><cell r="U5319" t="str"><v>AZR</v></cell><cell r="V5319" t="str"><v>Audience Targeting</v></cell><cell r="W5319" t="str"><v>Engagement Video</v></cell><cell r="X5319" t="str"><v>1x1</v></cell></row><row r="5319"><cell r="AA5319"><v>43320</v></cell><cell r="AB5319" t="str"><v>CAN_gaPMG_AZR_AZR_Q1_19_Trial-Social</v></cell><cell r="AC5319"><v>21337220</v></cell><cell r="AD5319"><v>720192</v></cell><cell r="AE5319" t="str"><v>Facebook</v></cell><cell r="AF5319"><v>3654128</v></cell><cell r="AG5319" t="str"><v>Facebook»AZR»1x1»NA»EGV»ALL»DYN»AUT»D»All»SS»NA»Free Acc CTC - T4 - FR</v></cell><cell r="AH5319"><v>223691795</v></cell><cell r="AI5319" t="str"><v>AzurePlatform_FBCTCBenefit2inMotion_CAN_14s_ISV_PLAT_FR_Trial_Standard_STAN_TN_T4_1</v></cell><cell r="AJ5319"><v>102900688</v></cell></row><row r="5320"><cell r="C5320" t="str"><v>43320Facebook»AZR»1x1»NA»SOC»ALL»DYN»PRO»D»All»SS»NA»Canvas - Buy Now - EN</v></cell><cell r="D5320" t="str"><v>43320225322327</v></cell><cell r="E5320" t="str"><v>43320103902287w - EN</v></cell><cell r="F5320" t="str"><v>DCM</v></cell><cell r="G5320" t="str"><v>https://azure.microsoft.com/en-ca/pricing/purchase-options/</v></cell></row><row r="5320"><cell r="K5320" t="str"><v>August</v></cell><cell r="L5320"><v>43323</v></cell><cell r="M5320" t="str"><v>Tier 1</v></cell><cell r="N5320" t="str"><v>North America</v></cell><cell r="O5320" t="str"><v>Canada</v></cell><cell r="P5320" t="str"><v>Trial</v></cell><cell r="Q5320" t="str"><v>Social</v></cell><cell r="R5320" t="str"><v>Azure</v></cell><cell r="S5320" t="str"><v>Apps & Infra</v></cell><cell r="T5320" t="str"><v>Developers & ITI's</v></cell><cell r="U5320" t="str"><v>AZR</v></cell><cell r="V5320" t="str"><v>Prospecting</v></cell><cell r="W5320" t="str"><v>Social</v></cell><cell r="X5320" t="str"><v>1x1</v></cell></row><row r="5320"><cell r="AA5320"><v>43320</v></cell><cell r="AB5320" t="str"><v>CAN_gaPMG_AZR_AZR_Q1_19_Trial-Social</v></cell><cell r="AC5320"><v>21337220</v></cell><cell r="AD5320"><v>720192</v></cell><cell r="AE5320" t="str"><v>Facebook</v></cell><cell r="AF5320"><v>3654128</v></cell><cell r="AG5320" t="str"><v>Facebook»AZR»1x1»NA»SOC»ALL»DYN»PRO»D»All»SS»NA»Canvas - Buy Now - EN</v></cell><cell r="AH5320"><v>225322327</v></cell><cell r="AI5320" t="str"><v>AzurePlatform_FBCTCcanvaspage-BuyNowCTA-Img3_CAN_1080x162_SOC_Plat_English_NA_Standard_NA_BN_T3_1</v></cell><cell r="AJ5320"><v>103902287</v></cell></row><row r="5321"><cell r="C5321" t="str"><v>43320Facebook»AZR»1x1»NA»SOC»ALL»DYN»PRO»D»All»SS»NA»Canvas - Start Free - EN</v></cell><cell r="D5321" t="str"><v>43320225252365</v></cell><cell r="E5321" t="str"><v>43320103807590e - EN</v></cell><cell r="F5321" t="str"><v>DCM</v></cell><cell r="G5321" t="str"><v>https://signup.azure.com/signup?offer=ms-azr-0044p&appId=102&ref=paidmedia-social-fb&redirectURL=https%3a%2f%2fazure.microsoft.com%2fen-ca%2fget-started%2fwelcome-to-azure%2f&l=en-ca&correlationId=ead86c34-1f10-49dd-a72b-6918462a2cbf</v></cell></row><row r="5321"><cell r="K5321" t="str"><v>August</v></cell><cell r="L5321"><v>43323</v></cell><cell r="M5321" t="str"><v>Tier 1</v></cell><cell r="N5321" t="str"><v>North America</v></cell><cell r="O5321" t="str"><v>Canada</v></cell><cell r="P5321" t="str"><v>Trial</v></cell><cell r="Q5321" t="str"><v>Social</v></cell><cell r="R5321" t="str"><v>Azure</v></cell><cell r="S5321" t="str"><v>Apps & Infra</v></cell><cell r="T5321" t="str"><v>Developers & ITI's</v></cell><cell r="U5321" t="str"><v>AZR</v></cell><cell r="V5321" t="str"><v>Prospecting</v></cell><cell r="W5321" t="str"><v>Social</v></cell><cell r="X5321" t="str"><v>1x1</v></cell></row><row r="5321"><cell r="AA5321"><v>43320</v></cell><cell r="AB5321" t="str"><v>CAN_gaPMG_AZR_AZR_Q1_19_Trial-Social</v></cell><cell r="AC5321"><v>21337220</v></cell><cell r="AD5321"><v>720192</v></cell><cell r="AE5321" t="str"><v>Facebook</v></cell><cell r="AF5321"><v>3654128</v></cell><cell r="AG5321" t="str"><v>Facebook»AZR»1x1»NA»SOC»ALL»DYN»PRO»D»All»SS»NA»Canvas - Start Free - EN</v></cell><cell r="AH5321"><v>225252365</v></cell><cell r="AI5321" t="str"><v>AzurePlatform_FBCTCcanvaspage-StartFreeCTA-Img2_CAN_1080x143 _SOC_Plat_English_NA_Standard_NA_NA_T2_1</v></cell><cell r="AJ5321"><v>103807590</v></cell></row><row r="5322"><cell r="C5322" t="str"><v>43320Facebook»AZR»1x1»NA»SOC»ALL»DYN»PRO»D»All»SS»NA»Canvas - Start Free - FR</v></cell><cell r="D5322" t="str"><v>43320225525936</v></cell><cell r="E5322" t="str"><v>43320103902551e - FR</v></cell><cell r="F5322" t="str"><v>DCM</v></cell><cell r="G5322" t="str"><v>https://signup.azure.com/signup?offer=ms-azr-0044p&appId=102&ref=paidmedia-social-fb&redirectURL=https%3a%2f%2fazure.microsoft.com%2ffr-ca%2fget-started%2fwelcome-to-azure%2f&l=fr-ca&correlationId=ead86c34-1f10-49dd-a72b-6918462a2cbf</v></cell></row><row r="5322"><cell r="K5322" t="str"><v>August</v></cell><cell r="L5322"><v>43323</v></cell><cell r="M5322" t="str"><v>Tier 1</v></cell><cell r="N5322" t="str"><v>North America</v></cell><cell r="O5322" t="str"><v>Canada</v></cell><cell r="P5322" t="str"><v>Trial</v></cell><cell r="Q5322" t="str"><v>Social</v></cell><cell r="R5322" t="str"><v>Azure</v></cell><cell r="S5322" t="str"><v>Apps & Infra</v></cell><cell r="T5322" t="str"><v>Developers & ITI's</v></cell><cell r="U5322" t="str"><v>AZR</v></cell><cell r="V5322" t="str"><v>Prospecting</v></cell><cell r="W5322" t="str"><v>Social</v></cell><cell r="X5322" t="str"><v>1x1</v></cell></row><row r="5322"><cell r="AA5322"><v>43320</v></cell><cell r="AB5322" t="str"><v>CAN_gaPMG_AZR_AZR_Q1_19_Trial-Social</v></cell><cell r="AC5322"><v>21337220</v></cell><cell r="AD5322"><v>720192</v></cell><cell r="AE5322" t="str"><v>Facebook</v></cell><cell r="AF5322"><v>3654128</v></cell><cell r="AG5322" t="str"><v>Facebook»AZR»1x1»NA»SOC»ALL»DYN»PRO»D»All»SS»NA»Canvas - Start Free - FR</v></cell><cell r="AH5322"><v>225525936</v></cell><cell r="AI5322" t="str"><v>AzurePlatform_FBCTCcanvaspage-StartFreeCTA-Img2_CAN_1080x143 _SOC_Plat_French_NA_Standard_NA_NA_T2_1</v></cell><cell r="AJ5322"><v>103902551</v></cell></row><row r="5323"><cell r="C5323" t="str"><v>43320Facebook»AZR»1x1»SocialBan»NA»ALL»DYN»AUT»D»All»SS»NA»Free Acc Refresh - T1 - EN</v></cell><cell r="D5323" t="str"><v>43320223691804</v></cell><cell r="E5323" t="str"><v>433201030587171 - EN</v></cell><cell r="F5323" t="str"><v>DCM</v></cell><cell r="G5323" t="str"><v>https://azure.microsoft.com/en-CA/free/search/</v></cell></row><row r="5323"><cell r="K5323" t="str"><v>August</v></cell><cell r="L5323"><v>43323</v></cell><cell r="M5323" t="str"><v>Tier 1</v></cell><cell r="N5323" t="str"><v>North America</v></cell><cell r="O5323" t="str"><v>Canada</v></cell><cell r="P5323" t="str"><v>Trial</v></cell><cell r="Q5323" t="str"><v>Social</v></cell><cell r="R5323" t="str"><v>Azure</v></cell><cell r="S5323" t="str"><v>Apps & Infra</v></cell><cell r="T5323" t="str"><v>Developers & ITI's</v></cell><cell r="U5323" t="str"><v>AZR</v></cell><cell r="V5323" t="str"><v>Audience Targeting</v></cell><cell r="W5323" t="str"><v>NotApplicable</v></cell><cell r="X5323" t="str"><v>1x1</v></cell></row><row r="5323"><cell r="AA5323"><v>43320</v></cell><cell r="AB5323" t="str"><v>CAN_gaPMG_AZR_AZR_Q1_19_Trial-Social</v></cell><cell r="AC5323"><v>21337220</v></cell><cell r="AD5323"><v>720192</v></cell><cell r="AE5323" t="str"><v>Facebook</v></cell><cell r="AF5323"><v>3654128</v></cell><cell r="AG5323" t="str"><v>Facebook»AZR»1x1»SocialBan»NA»ALL»DYN»AUT»D»All»SS»NA»Free Acc Refresh - T1 - EN</v></cell><cell r="AH5323"><v>223691804</v></cell><cell r="AI5323" t="str"><v>AzurePlatform_FreeAcctAppsFACEBOOKLifestyleChA_CAN_1200x628_SOC_PLAT_EN_Trial_Standard_NA_SU_T1_1.png</v></cell><cell r="AJ5323"><v>103058717</v></cell></row><row r="5324"><cell r="C5324" t="str"><v>43320Facebook»AZR»1x1»SocialBan»NA»ALL»DYN»AUT»D»All»SS»NA»Free Acc Refresh - T2 - EN</v></cell><cell r="D5324" t="str"><v>43320223691810</v></cell><cell r="E5324" t="str"><v>433201030587112 - EN</v></cell><cell r="F5324" t="str"><v>DCM</v></cell><cell r="G5324" t="str"><v>https://azure.microsoft.com/en-CA/free/search/</v></cell></row><row r="5324"><cell r="K5324" t="str"><v>August</v></cell><cell r="L5324"><v>43323</v></cell><cell r="M5324" t="str"><v>Tier 1</v></cell><cell r="N5324" t="str"><v>North America</v></cell><cell r="O5324" t="str"><v>Canada</v></cell><cell r="P5324" t="str"><v>Trial</v></cell><cell r="Q5324" t="str"><v>Social</v></cell><cell r="R5324" t="str"><v>Azure</v></cell><cell r="S5324" t="str"><v>Apps & Infra</v></cell><cell r="T5324" t="str"><v>Developers & ITI's</v></cell><cell r="U5324" t="str"><v>AZR</v></cell><cell r="V5324" t="str"><v>Audience Targeting</v></cell><cell r="W5324" t="str"><v>NotApplicable</v></cell><cell r="X5324" t="str"><v>1x1</v></cell></row><row r="5324"><cell r="AA5324"><v>43320</v></cell><cell r="AB5324" t="str"><v>CAN_gaPMG_AZR_AZR_Q1_19_Trial-Social</v></cell><cell r="AC5324"><v>21337220</v></cell><cell r="AD5324"><v>720192</v></cell><cell r="AE5324" t="str"><v>Facebook</v></cell><cell r="AF5324"><v>3654128</v></cell><cell r="AG5324" t="str"><v>Facebook»AZR»1x1»SocialBan»NA»ALL»DYN»AUT»D»All»SS»NA»Free Acc Refresh - T2 - EN</v></cell><cell r="AH5324"><v>223691810</v></cell><cell r="AI5324" t="str"><v>AzurePlatform_FreeAcctAppsFACEBOOKDeviceChB_CAN_1200x628_SOC_PLAT_EN_Trial_Standard_NA_SU_T2_1.png</v></cell><cell r="AJ5324"><v>103058711</v></cell></row><row r="5325"><cell r="C5325" t="str"><v>43320Facebook»AZR»1x1»SocialBan»NA»ALL»DYN»AUT»D»All»SS»NA»Free Acc Refresh - T2 - FR</v></cell><cell r="D5325" t="str"><v>43320223691768</v></cell><cell r="E5325" t="str"><v>433201029029712 - FR</v></cell><cell r="F5325" t="str"><v>DCM</v></cell><cell r="G5325" t="str"><v>https://azure.microsoft.com/fr-ca/free/search/</v></cell></row><row r="5325"><cell r="K5325" t="str"><v>August</v></cell><cell r="L5325"><v>43323</v></cell><cell r="M5325" t="str"><v>Tier 1</v></cell><cell r="N5325" t="str"><v>North America</v></cell><cell r="O5325" t="str"><v>Canada</v></cell><cell r="P5325" t="str"><v>Trial</v></cell><cell r="Q5325" t="str"><v>Social</v></cell><cell r="R5325" t="str"><v>Azure</v></cell><cell r="S5325" t="str"><v>Apps & Infra</v></cell><cell r="T5325" t="str"><v>Developers & ITI's</v></cell><cell r="U5325" t="str"><v>AZR</v></cell><cell r="V5325" t="str"><v>Audience Targeting</v></cell><cell r="W5325" t="str"><v>NotApplicable</v></cell><cell r="X5325" t="str"><v>1x1</v></cell></row><row r="5325"><cell r="AA5325"><v>43320</v></cell><cell r="AB5325" t="str"><v>CAN_gaPMG_AZR_AZR_Q1_19_Trial-Social</v></cell><cell r="AC5325"><v>21337220</v></cell><cell r="AD5325"><v>720192</v></cell><cell r="AE5325" t="str"><v>Facebook</v></cell><cell r="AF5325"><v>3654128</v></cell><cell r="AG5325" t="str"><v>Facebook»AZR»1x1»SocialBan»NA»ALL»DYN»AUT»D»All»SS»NA»Free Acc Refresh - T2 - FR</v></cell><cell r="AH5325"><v>223691768</v></cell><cell r="AI5325" t="str"><v>AzurePlatform_FreeAcctAppsFACEBOOKDeviceChB_CAN_1200x628_SOC_PLAT_FR_Trial_Standard_NA_SU_T2_1.png</v></cell><cell r="AJ5325"><v>102902971</v></cell></row><row r="5326"><cell r="C5326" t="str"><v>43320Facebook»AZR»1x1»SocialBan»NA»ALL»DYN»AUT»D»All»SS»NA»Free Acc Refresh - T3 - EN</v></cell><cell r="D5326" t="str"><v>43320223691807</v></cell><cell r="E5326" t="str"><v>433201029006853 - EN</v></cell><cell r="F5326" t="str"><v>DCM</v></cell><cell r="G5326" t="str"><v>https://azure.microsoft.com/en-CA/free/search/</v></cell></row><row r="5326"><cell r="K5326" t="str"><v>August</v></cell><cell r="L5326"><v>43323</v></cell><cell r="M5326" t="str"><v>Tier 1</v></cell><cell r="N5326" t="str"><v>North America</v></cell><cell r="O5326" t="str"><v>Canada</v></cell><cell r="P5326" t="str"><v>Trial</v></cell><cell r="Q5326" t="str"><v>Social</v></cell><cell r="R5326" t="str"><v>Azure</v></cell><cell r="S5326" t="str"><v>Apps & Infra</v></cell><cell r="T5326" t="str"><v>Developers & ITI's</v></cell><cell r="U5326" t="str"><v>AZR</v></cell><cell r="V5326" t="str"><v>Audience Targeting</v></cell><cell r="W5326" t="str"><v>NotApplicable</v></cell><cell r="X5326" t="str"><v>1x1</v></cell></row><row r="5326"><cell r="AA5326"><v>43320</v></cell><cell r="AB5326" t="str"><v>CAN_gaPMG_AZR_AZR_Q1_19_Trial-Social</v></cell><cell r="AC5326"><v>21337220</v></cell><cell r="AD5326"><v>720192</v></cell><cell r="AE5326" t="str"><v>Facebook</v></cell><cell r="AF5326"><v>3654128</v></cell><cell r="AG5326" t="str"><v>Facebook»AZR»1x1»SocialBan»NA»ALL»DYN»AUT»D»All»SS»NA»Free Acc Refresh - T3 - EN</v></cell><cell r="AH5326"><v>223691807</v></cell><cell r="AI5326" t="str"><v>AzurePlatform_FreeAcctAppsFACEBOOKIllustrationChC_CAN_1200x628_SOC_PLAT_EN_Trial_Standard_NA_SU_T3_1.png</v></cell><cell r="AJ5326"><v>102900685</v></cell></row><row r="5327"><cell r="C5327" t="str"><v>43320Facebook»AZR»1x1»SocialBan»NA»ALL»DYN»AUT»D»All»SS»NA»Free Acc Refresh - T3 - FR</v></cell><cell r="D5327" t="str"><v>43320223691765</v></cell><cell r="E5327" t="str"><v>433201030533323 - FR</v></cell><cell r="F5327" t="str"><v>DCM</v></cell><cell r="G5327" t="str"><v>https://azure.microsoft.com/fr-ca/free/search/</v></cell></row><row r="5327"><cell r="K5327" t="str"><v>August</v></cell><cell r="L5327"><v>43323</v></cell><cell r="M5327" t="str"><v>Tier 1</v></cell><cell r="N5327" t="str"><v>North America</v></cell><cell r="O5327" t="str"><v>Canada</v></cell><cell r="P5327" t="str"><v>Trial</v></cell><cell r="Q5327" t="str"><v>Social</v></cell><cell r="R5327" t="str"><v>Azure</v></cell><cell r="S5327" t="str"><v>Apps & Infra</v></cell><cell r="T5327" t="str"><v>Developers & ITI's</v></cell><cell r="U5327" t="str"><v>AZR</v></cell><cell r="V5327" t="str"><v>Audience Targeting</v></cell><cell r="W5327" t="str"><v>NotApplicable</v></cell><cell r="X5327" t="str"><v>1x1</v></cell></row><row r="5327"><cell r="AA5327"><v>43320</v></cell><cell r="AB5327" t="str"><v>CAN_gaPMG_AZR_AZR_Q1_19_Trial-Social</v></cell><cell r="AC5327"><v>21337220</v></cell><cell r="AD5327"><v>720192</v></cell><cell r="AE5327" t="str"><v>Facebook</v></cell><cell r="AF5327"><v>3654128</v></cell><cell r="AG5327" t="str"><v>Facebook»AZR»1x1»SocialBan»NA»ALL»DYN»AUT»D»All»SS»NA»Free Acc Refresh - T3 - FR</v></cell><cell r="AH5327"><v>223691765</v></cell><cell r="AI5327" t="str"><v>AzurePlatform_FreeAcctAppsFACEBOOKIllustrationChC_CAN_1200x628_SOC_PLAT_FR_Trial_Standard_NA_SU_T3_1.png</v></cell><cell r="AJ5327"><v>103053332</v></cell></row><row r="5328"><cell r="C5328" t="str"><v>43320Facebook»AZR»1x1»SocialBan»NA»ALL»DYN»AUT»D»All»SS»NA»Free Acc Refresh - T4 - EN</v></cell><cell r="D5328" t="str"><v>43320223691813</v></cell><cell r="E5328" t="str"><v>433201030533204 - EN</v></cell><cell r="F5328" t="str"><v>DCM</v></cell><cell r="G5328" t="str"><v>https://azure.microsoft.com/en-CA/free/search/</v></cell></row><row r="5328"><cell r="K5328" t="str"><v>August</v></cell><cell r="L5328"><v>43323</v></cell><cell r="M5328" t="str"><v>Tier 1</v></cell><cell r="N5328" t="str"><v>North America</v></cell><cell r="O5328" t="str"><v>Canada</v></cell><cell r="P5328" t="str"><v>Trial</v></cell><cell r="Q5328" t="str"><v>Social</v></cell><cell r="R5328" t="str"><v>Azure</v></cell><cell r="S5328" t="str"><v>Apps & Infra</v></cell><cell r="T5328" t="str"><v>Developers & ITI's</v></cell><cell r="U5328" t="str"><v>AZR</v></cell><cell r="V5328" t="str"><v>Audience Targeting</v></cell><cell r="W5328" t="str"><v>NotApplicable</v></cell><cell r="X5328" t="str"><v>1x1</v></cell></row><row r="5328"><cell r="AA5328"><v>43320</v></cell><cell r="AB5328" t="str"><v>CAN_gaPMG_AZR_AZR_Q1_19_Trial-Social</v></cell><cell r="AC5328"><v>21337220</v></cell><cell r="AD5328"><v>720192</v></cell><cell r="AE5328" t="str"><v>Facebook</v></cell><cell r="AF5328"><v>3654128</v></cell><cell r="AG5328" t="str"><v>Facebook»AZR»1x1»SocialBan»NA»ALL»DYN»AUT»D»All»SS»NA»Free Acc Refresh - T4 - EN</v></cell><cell r="AH5328"><v>223691813</v></cell><cell r="AI5328" t="str"><v>AzurePlatform_FreeAcctAppsFACEBOOK200CreditChD_CAN_1200x628_SOC_PLAT_EN_Trial_Standard_NA_SU_T4_1.png</v></cell><cell r="AJ5328"><v>103053320</v></cell></row><row r="5329"><cell r="C5329" t="str"><v>43320Facebook»AZR»1x1»SocialBan»NA»ALL»DYN»AUT»D»All»SS»NA»Free Acc Refresh - T4 - FR</v></cell><cell r="D5329" t="str"><v>43320223691771</v></cell><cell r="E5329" t="str"><v>433201029029684 - FR</v></cell><cell r="F5329" t="str"><v>DCM</v></cell><cell r="G5329" t="str"><v>https://azure.microsoft.com/fr-ca/free/search/</v></cell></row><row r="5329"><cell r="K5329" t="str"><v>August</v></cell><cell r="L5329"><v>43323</v></cell><cell r="M5329" t="str"><v>Tier 1</v></cell><cell r="N5329" t="str"><v>North America</v></cell><cell r="O5329" t="str"><v>Canada</v></cell><cell r="P5329" t="str"><v>Trial</v></cell><cell r="Q5329" t="str"><v>Social</v></cell><cell r="R5329" t="str"><v>Azure</v></cell><cell r="S5329" t="str"><v>Apps & Infra</v></cell><cell r="T5329" t="str"><v>Developers & ITI's</v></cell><cell r="U5329" t="str"><v>AZR</v></cell><cell r="V5329" t="str"><v>Audience Targeting</v></cell><cell r="W5329" t="str"><v>NotApplicable</v></cell><cell r="X5329" t="str"><v>1x1</v></cell></row><row r="5329"><cell r="AA5329"><v>43320</v></cell><cell r="AB5329" t="str"><v>CAN_gaPMG_AZR_AZR_Q1_19_Trial-Social</v></cell><cell r="AC5329"><v>21337220</v></cell><cell r="AD5329"><v>720192</v></cell><cell r="AE5329" t="str"><v>Facebook</v></cell><cell r="AF5329"><v>3654128</v></cell><cell r="AG5329" t="str"><v>Facebook»AZR»1x1»SocialBan»NA»ALL»DYN»AUT»D»All»SS»NA»Free Acc Refresh - T4 - FR</v></cell><cell r="AH5329"><v>223691771</v></cell><cell r="AI5329" t="str"><v>AzurePlatform_FreeAcctAppsFACEBOOK200CreditChD_CAN_1200x628_SOC_PLAT_FR_Trial_Standard_NA_SU_T4_1.png</v></cell><cell r="AJ5329"><v>102902968</v></cell></row><row r="5330"><cell r="C5330" t="str"><v>43320Facebook»AZR»1x1»SocialBan»NA»ALL»DYN»AUT»D»All»SS»NA»Free Acc Refresh - T5 - EN</v></cell><cell r="D5330" t="str"><v>43320223691816</v></cell><cell r="E5330" t="str"><v>433201029163415 - EN</v></cell><cell r="F5330" t="str"><v>DCM</v></cell><cell r="G5330" t="str"><v>https://azure.microsoft.com/en-CA/free/search/</v></cell></row><row r="5330"><cell r="K5330" t="str"><v>August</v></cell><cell r="L5330"><v>43323</v></cell><cell r="M5330" t="str"><v>Tier 1</v></cell><cell r="N5330" t="str"><v>North America</v></cell><cell r="O5330" t="str"><v>Canada</v></cell><cell r="P5330" t="str"><v>Trial</v></cell><cell r="Q5330" t="str"><v>Social</v></cell><cell r="R5330" t="str"><v>Azure</v></cell><cell r="S5330" t="str"><v>Apps & Infra</v></cell><cell r="T5330" t="str"><v>Developers & ITI's</v></cell><cell r="U5330" t="str"><v>AZR</v></cell><cell r="V5330" t="str"><v>Audience Targeting</v></cell><cell r="W5330" t="str"><v>NotApplicable</v></cell><cell r="X5330" t="str"><v>1x1</v></cell></row><row r="5330"><cell r="AA5330"><v>43320</v></cell><cell r="AB5330" t="str"><v>CAN_gaPMG_AZR_AZR_Q1_19_Trial-Social</v></cell><cell r="AC5330"><v>21337220</v></cell><cell r="AD5330"><v>720192</v></cell><cell r="AE5330" t="str"><v>Facebook</v></cell><cell r="AF5330"><v>3654128</v></cell><cell r="AG5330" t="str"><v>Facebook»AZR»1x1»SocialBan»NA»ALL»DYN»AUT»D»All»SS»NA»Free Acc Refresh - T5 - EN</v></cell><cell r="AH5330"><v>223691816</v></cell><cell r="AI5330" t="str"><v>AzurePlatform_FreeAcctAppsFACEBOOK12monthsChE_CAN_1200x628_SOC_PLAT_EN_Trial_Standard_NA_SU_T5_1.png</v></cell><cell r="AJ5330"><v>102916341</v></cell></row><row r="5331"><cell r="C5331" t="str"><v>43320Facebook»AZR»1x1»SocialBan»NA»ALL»DYN»AUT»D»All»SS»NA»Free Acc Refresh - T5 - FR</v></cell><cell r="D5331" t="str"><v>43320223691774</v></cell><cell r="E5331" t="str"><v>433201029163565 - FR</v></cell><cell r="F5331" t="str"><v>DCM</v></cell><cell r="G5331" t="str"><v>https://azure.microsoft.com/fr-ca/free/search/</v></cell></row><row r="5331"><cell r="K5331" t="str"><v>August</v></cell><cell r="L5331"><v>43323</v></cell><cell r="M5331" t="str"><v>Tier 1</v></cell><cell r="N5331" t="str"><v>North America</v></cell><cell r="O5331" t="str"><v>Canada</v></cell><cell r="P5331" t="str"><v>Trial</v></cell><cell r="Q5331" t="str"><v>Social</v></cell><cell r="R5331" t="str"><v>Azure</v></cell><cell r="S5331" t="str"><v>Apps & Infra</v></cell><cell r="T5331" t="str"><v>Developers & ITI's</v></cell><cell r="U5331" t="str"><v>AZR</v></cell><cell r="V5331" t="str"><v>Audience Targeting</v></cell><cell r="W5331" t="str"><v>NotApplicable</v></cell><cell r="X5331" t="str"><v>1x1</v></cell></row><row r="5331"><cell r="AA5331"><v>43320</v></cell><cell r="AB5331" t="str"><v>CAN_gaPMG_AZR_AZR_Q1_19_Trial-Social</v></cell><cell r="AC5331"><v>21337220</v></cell><cell r="AD5331"><v>720192</v></cell><cell r="AE5331" t="str"><v>Facebook</v></cell><cell r="AF5331"><v>3654128</v></cell><cell r="AG5331" t="str"><v>Facebook»AZR»1x1»SocialBan»NA»ALL»DYN»AUT»D»All»SS»NA»Free Acc Refresh - T5 - FR</v></cell><cell r="AH5331"><v>223691774</v></cell><cell r="AI5331" t="str"><v>AzurePlatform_FreeAcctAppsFACEBOOK12monthsChE_CAN_1200x628_SOC_PLAT_FR_Trial_Standard_NA_SU_T5_1.png</v></cell><cell r="AJ5331"><v>102916356</v></cell></row><row r="5332"><cell r="C5332" t="str"><v>43320Facebook»AZR»1x1»SocialBan»NA»ALL»DYN»RT»D»All»SS»NA» Free Account Retargeting OSS - T1 - EN</v></cell><cell r="D5332" t="str"><v>43320223691828</v></cell><cell r="E5332" t="str"><v>433201029029561 - EN</v></cell><cell r="F5332" t="str"><v>DCM</v></cell><cell r="G5332" t="str"><v>https://azure.microsoft.com/en-ca/free/open-source/search/</v></cell></row><row r="5332"><cell r="K5332" t="str"><v>August</v></cell><cell r="L5332"><v>43323</v></cell><cell r="M5332" t="str"><v>Tier 1</v></cell><cell r="N5332" t="str"><v>North America</v></cell><cell r="O5332" t="str"><v>Canada</v></cell><cell r="P5332" t="str"><v>Trial</v></cell><cell r="Q5332" t="str"><v>Social</v></cell><cell r="R5332" t="str"><v>Azure</v></cell><cell r="S5332" t="str"><v>Apps & Infra</v></cell><cell r="T5332" t="str"><v>Developers & ITI's</v></cell><cell r="U5332" t="str"><v>AZR</v></cell><cell r="V5332" t="str"><v>Retargeting</v></cell><cell r="W5332" t="str"><v>NotApplicable</v></cell><cell r="X5332" t="str"><v>1x1</v></cell></row><row r="5332"><cell r="AA5332"><v>43320</v></cell><cell r="AB5332" t="str"><v>CAN_gaPMG_AZR_AZR_Q1_19_Trial-Social</v></cell><cell r="AC5332"><v>21337220</v></cell><cell r="AD5332"><v>720192</v></cell><cell r="AE5332" t="str"><v>Facebook</v></cell><cell r="AF5332"><v>3654128</v></cell><cell r="AG5332" t="str"><v>Facebook»AZR»1x1»SocialBan»NA»ALL»DYN»RT»D»All»SS»NA» Free Account Retargeting OSS - T1 - EN</v></cell><cell r="AH5332"><v>223691828</v></cell><cell r="AI5332" t="str"><v>AzurePlatform_FreeAcctRetargetingOSSFB-Text-ChF_CAN_1200x628_SOC_Plat_EN_Free Account_Standard_NA_SU_T1_1</v></cell><cell r="AJ5332"><v>102902956</v></cell></row><row r="5333"><cell r="C5333" t="str"><v>43320Facebook»AZR»1x1»SocialBan»NA»ALL»DYN»RT»D»All»SS»NA» Free Account Retargeting OSS - T2 - EN</v></cell><cell r="D5333" t="str"><v>43320223691831</v></cell><cell r="E5333" t="str"><v>433201029138002 - EN</v></cell><cell r="F5333" t="str"><v>DCM</v></cell><cell r="G5333" t="str"><v>https://azure.microsoft.com/en-ca/free/open-source/search/</v></cell></row><row r="5333"><cell r="K5333" t="str"><v>August</v></cell><cell r="L5333"><v>43323</v></cell><cell r="M5333" t="str"><v>Tier 1</v></cell><cell r="N5333" t="str"><v>North America</v></cell><cell r="O5333" t="str"><v>Canada</v></cell><cell r="P5333" t="str"><v>Trial</v></cell><cell r="Q5333" t="str"><v>Social</v></cell><cell r="R5333" t="str"><v>Azure</v></cell><cell r="S5333" t="str"><v>Apps & Infra</v></cell><cell r="T5333" t="str"><v>Developers & ITI's</v></cell><cell r="U5333" t="str"><v>AZR</v></cell><cell r="V5333" t="str"><v>Retargeting</v></cell><cell r="W5333" t="str"><v>NotApplicable</v></cell><cell r="X5333" t="str"><v>1x1</v></cell></row><row r="5333"><cell r="AA5333"><v>43320</v></cell><cell r="AB5333" t="str"><v>CAN_gaPMG_AZR_AZR_Q1_19_Trial-Social</v></cell><cell r="AC5333"><v>21337220</v></cell><cell r="AD5333"><v>720192</v></cell><cell r="AE5333" t="str"><v>Facebook</v></cell><cell r="AF5333"><v>3654128</v></cell><cell r="AG5333" t="str"><v>Facebook»AZR»1x1»SocialBan»NA»ALL»DYN»RT»D»All»SS»NA» Free Account Retargeting OSS - T2 - EN</v></cell><cell r="AH5333"><v>223691831</v></cell><cell r="AI5333" t="str"><v>AzurePlatform_FreeAcctRetargetingOSSFB-Logos-ChG_CAN_1200x628_SOC_Plat_EN_Free Account_Standard_NA_SU_T2_1</v></cell><cell r="AJ5333"><v>102913800</v></cell></row><row r="5334"><cell r="C5334" t="str"><v>43320Facebook»AZR»1x1»SocialBan»NA»ALL»DYN»RT»D»All»SS»NA»Free Account Retargeting Generic - T2 - EN</v></cell><cell r="D5334" t="str"><v>43320223691834</v></cell><cell r="E5334" t="str"><v>433201029029532 - EN</v></cell><cell r="F5334" t="str"><v>DCM</v></cell><cell r="G5334" t="str"><v>https://azure.microsoft.com/en-CA/free/search/</v></cell></row><row r="5334"><cell r="K5334" t="str"><v>August</v></cell><cell r="L5334"><v>43323</v></cell><cell r="M5334" t="str"><v>Tier 1</v></cell><cell r="N5334" t="str"><v>North America</v></cell><cell r="O5334" t="str"><v>Canada</v></cell><cell r="P5334" t="str"><v>Trial</v></cell><cell r="Q5334" t="str"><v>Social</v></cell><cell r="R5334" t="str"><v>Azure</v></cell><cell r="S5334" t="str"><v>Apps & Infra</v></cell><cell r="T5334" t="str"><v>Developers & ITI's</v></cell><cell r="U5334" t="str"><v>AZR</v></cell><cell r="V5334" t="str"><v>Retargeting</v></cell><cell r="W5334" t="str"><v>NotApplicable</v></cell><cell r="X5334" t="str"><v>1x1</v></cell></row><row r="5334"><cell r="AA5334"><v>43320</v></cell><cell r="AB5334" t="str"><v>CAN_gaPMG_AZR_AZR_Q1_19_Trial-Social</v></cell><cell r="AC5334"><v>21337220</v></cell><cell r="AD5334"><v>720192</v></cell><cell r="AE5334" t="str"><v>Facebook</v></cell><cell r="AF5334"><v>3654128</v></cell><cell r="AG5334" t="str"><v>Facebook»AZR»1x1»SocialBan»NA»ALL»DYN»RT»D»All»SS»NA»Free Account Retargeting Generic - T2 - EN</v></cell><cell r="AH5334"><v>223691834</v></cell><cell r="AI5334" t="str"><v>AzurePlatform_FreeAcctRetargetingFB-GlobalAlt-ChB_CAN_1200x628_SOC_Plat_EN_Free Account_Standard_NA_SU_T2_1</v></cell><cell r="AJ5334"><v>102902953</v></cell></row><row r="5335"><cell r="C5335" t="str"><v>43320Facebook»AZR»1x1»SocialBan»NA»ALL»DYN»RT»D»All»SS»NA»Free Account Retargeting Generic - T3 - FR</v></cell><cell r="D5335" t="str"><v>43320223691777</v></cell><cell r="E5335" t="str"><v>433201029006973 - FR</v></cell><cell r="F5335" t="str"><v>DCM</v></cell><cell r="G5335" t="str"><v>https://azure.microsoft.com/fr-ca/free/search/</v></cell></row><row r="5335"><cell r="K5335" t="str"><v>August</v></cell><cell r="L5335"><v>43323</v></cell><cell r="M5335" t="str"><v>Tier 1</v></cell><cell r="N5335" t="str"><v>North America</v></cell><cell r="O5335" t="str"><v>Canada</v></cell><cell r="P5335" t="str"><v>Trial</v></cell><cell r="Q5335" t="str"><v>Social</v></cell><cell r="R5335" t="str"><v>Azure</v></cell><cell r="S5335" t="str"><v>Apps & Infra</v></cell><cell r="T5335" t="str"><v>Developers & ITI's</v></cell><cell r="U5335" t="str"><v>AZR</v></cell><cell r="V5335" t="str"><v>Retargeting</v></cell><cell r="W5335" t="str"><v>NotApplicable</v></cell><cell r="X5335" t="str"><v>1x1</v></cell></row><row r="5335"><cell r="AA5335"><v>43320</v></cell><cell r="AB5335" t="str"><v>CAN_gaPMG_AZR_AZR_Q1_19_Trial-Social</v></cell><cell r="AC5335"><v>21337220</v></cell><cell r="AD5335"><v>720192</v></cell><cell r="AE5335" t="str"><v>Facebook</v></cell><cell r="AF5335"><v>3654128</v></cell><cell r="AG5335" t="str"><v>Facebook»AZR»1x1»SocialBan»NA»ALL»DYN»RT»D»All»SS»NA»Free Account Retargeting Generic - T3 - FR</v></cell><cell r="AH5335"><v>223691777</v></cell><cell r="AI5335" t="str"><v>AzurePlatform_FreeAcctRetargetingFB-Animated-ChC_CAN_1200x628_SOC_Plat_FR_Free Account_Standard_ANI_SU_T3_1</v></cell><cell r="AJ5335"><v>102900697</v></cell></row><row r="5336"><cell r="C5336" t="str"><v>43320Facebook»AZR»1x1»SocialBan»NA»ALL»DYN»RT»D»All»SS»NA»Free Account Retargeting VM - T1 - EN</v></cell><cell r="D5336" t="str"><v>43320223691825</v></cell><cell r="E5336" t="str"><v>433201029163381 - EN</v></cell><cell r="F5336" t="str"><v>DCM</v></cell><cell r="G5336" t="str"><v>https://azure.microsoft.com/en-ca/free/virtual-machines/search/</v></cell></row><row r="5336"><cell r="K5336" t="str"><v>August</v></cell><cell r="L5336"><v>43323</v></cell><cell r="M5336" t="str"><v>Tier 1</v></cell><cell r="N5336" t="str"><v>North America</v></cell><cell r="O5336" t="str"><v>Canada</v></cell><cell r="P5336" t="str"><v>Trial</v></cell><cell r="Q5336" t="str"><v>Social</v></cell><cell r="R5336" t="str"><v>Azure</v></cell><cell r="S5336" t="str"><v>Apps & Infra</v></cell><cell r="T5336" t="str"><v>Developers & ITI's</v></cell><cell r="U5336" t="str"><v>AZR</v></cell><cell r="V5336" t="str"><v>Retargeting</v></cell><cell r="W5336" t="str"><v>NotApplicable</v></cell><cell r="X5336" t="str"><v>1x1</v></cell></row><row r="5336"><cell r="AA5336"><v>43320</v></cell><cell r="AB5336" t="str"><v>CAN_gaPMG_AZR_AZR_Q1_19_Trial-Social</v></cell><cell r="AC5336"><v>21337220</v></cell><cell r="AD5336"><v>720192</v></cell><cell r="AE5336" t="str"><v>Facebook</v></cell><cell r="AF5336"><v>3654128</v></cell><cell r="AG5336" t="str"><v>Facebook»AZR»1x1»SocialBan»NA»ALL»DYN»RT»D»All»SS»NA»Free Account Retargeting VM - T1 - EN</v></cell><cell r="AH5336"><v>223691825</v></cell><cell r="AI5336" t="str"><v>AzurePlatform_FreeAcctRetargetingVMFB-750Hrs-ChD_CAN_1200x628_SOC_Plat_EN_Free Account_Standard_NA_SU_T1_1</v></cell><cell r="AJ5336"><v>102916338</v></cell></row><row r="5337"><cell r="C5337" t="str"><v>43320Facebook»AZR»1x1»SocialBan»NA»ALL»DYN»RT»D»All»SS»NA»Free Account Retargeting VM - T2 - EN</v></cell><cell r="D5337" t="str"><v>43320223691822</v></cell><cell r="E5337" t="str"><v>433201030587082 - EN</v></cell><cell r="F5337" t="str"><v>DCM</v></cell><cell r="G5337" t="str"><v>https://azure.microsoft.com/en-ca/free/virtual-machines/search/</v></cell></row><row r="5337"><cell r="K5337" t="str"><v>August</v></cell><cell r="L5337"><v>43323</v></cell><cell r="M5337" t="str"><v>Tier 1</v></cell><cell r="N5337" t="str"><v>North America</v></cell><cell r="O5337" t="str"><v>Canada</v></cell><cell r="P5337" t="str"><v>Trial</v></cell><cell r="Q5337" t="str"><v>Social</v></cell><cell r="R5337" t="str"><v>Azure</v></cell><cell r="S5337" t="str"><v>Apps & Infra</v></cell><cell r="T5337" t="str"><v>Developers & ITI's</v></cell><cell r="U5337" t="str"><v>AZR</v></cell><cell r="V5337" t="str"><v>Retargeting</v></cell><cell r="W5337" t="str"><v>NotApplicable</v></cell><cell r="X5337" t="str"><v>1x1</v></cell></row><row r="5337"><cell r="AA5337"><v>43320</v></cell><cell r="AB5337" t="str"><v>CAN_gaPMG_AZR_AZR_Q1_19_Trial-Social</v></cell><cell r="AC5337"><v>21337220</v></cell><cell r="AD5337"><v>720192</v></cell><cell r="AE5337" t="str"><v>Facebook</v></cell><cell r="AF5337"><v>3654128</v></cell><cell r="AG5337" t="str"><v>Facebook»AZR»1x1»SocialBan»NA»ALL»DYN»RT»D»All»SS»NA»Free Account Retargeting VM - T2 - EN</v></cell><cell r="AH5337"><v>223691822</v></cell><cell r="AI5337" t="str"><v>AzurePlatform_FreeAcctRetargetingVMFB-OnDemand-ChE_CAN_1200x628_SOC_Plat_EN_Free Account_Standard_NA_SU_T2_1</v></cell><cell r="AJ5337"><v>103058708</v></cell></row><row r="5338"><cell r="C5338" t="str"><v>43320Facebook»AZR»1x1»SocialBan»NA»ALL»DYN»RT»D»All»SS»NA»Free Account Retargeting VM - T2 - FR</v></cell><cell r="D5338" t="str"><v>43320223691780</v></cell><cell r="E5338" t="str"><v>433201030587262 - FR</v></cell><cell r="F5338" t="str"><v>DCM</v></cell><cell r="G5338" t="str"><v>https://azure.microsoft.com/fr-ca/free/virtual-machines/search/</v></cell></row><row r="5338"><cell r="K5338" t="str"><v>August</v></cell><cell r="L5338"><v>43323</v></cell><cell r="M5338" t="str"><v>Tier 1</v></cell><cell r="N5338" t="str"><v>North America</v></cell><cell r="O5338" t="str"><v>Canada</v></cell><cell r="P5338" t="str"><v>Trial</v></cell><cell r="Q5338" t="str"><v>Social</v></cell><cell r="R5338" t="str"><v>Azure</v></cell><cell r="S5338" t="str"><v>Apps & Infra</v></cell><cell r="T5338" t="str"><v>Developers & ITI's</v></cell><cell r="U5338" t="str"><v>AZR</v></cell><cell r="V5338" t="str"><v>Retargeting</v></cell><cell r="W5338" t="str"><v>NotApplicable</v></cell><cell r="X5338" t="str"><v>1x1</v></cell></row><row r="5338"><cell r="AA5338"><v>43320</v></cell><cell r="AB5338" t="str"><v>CAN_gaPMG_AZR_AZR_Q1_19_Trial-Social</v></cell><cell r="AC5338"><v>21337220</v></cell><cell r="AD5338"><v>720192</v></cell><cell r="AE5338" t="str"><v>Facebook</v></cell><cell r="AF5338"><v>3654128</v></cell><cell r="AG5338" t="str"><v>Facebook»AZR»1x1»SocialBan»NA»ALL»DYN»RT»D»All»SS»NA»Free Account Retargeting VM - T2 - FR</v></cell><cell r="AH5338"><v>223691780</v></cell><cell r="AI5338" t="str"><v>AzurePlatform_FreeAcctRetargetingVMFB-OnDemand-ChE_CAN_1200x628_SOC_Plat_FR_Free Account_Standard_NA_SU_T2_1</v></cell><cell r="AJ5338"><v>103058726</v></cell></row><row r="5339"><cell r="C5339" t="str"><v>43320Facebook»DEV-ITP-AZR-FB|CanvasAds|Interesttargeting»1x1»TextLink»CAN»DT»CPM»AUT»W»NA»SS»NA»39684020-11000</v></cell><cell r="D5339" t="str"><v>43320224009494</v></cell><cell r="E5339" t="str"><v>43320103235787-11000</v></cell><cell r="F5339" t="str"><v>DCM</v></cell><cell r="G5339" t="str"><v>https://azure.microsoft.com/de-de/pricing/purchase-options/</v></cell></row><row r="5339"><cell r="K5339" t="str"><v>August</v></cell><cell r="L5339"><v>43323</v></cell><cell r="M5339" t="str"><v>Tier 1</v></cell><cell r="N5339" t="str"><v>EMEA</v></cell><cell r="O5339" t="str"><v>Germany</v></cell><cell r="P5339" t="str"><v>Trial</v></cell><cell r="Q5339" t="str"><v>Social</v></cell><cell r="R5339" t="str"><v>Azure</v></cell><cell r="S5339" t="str"><v>Apps & Infra</v></cell><cell r="T5339" t="str"><v>Developers & ITI's</v></cell><cell r="U5339" t="str"><v>DEV-ITP-AZR-FB|CanvasAds|Interesttargeting</v></cell><cell r="V5339" t="str"><v>Audience Targeting</v></cell><cell r="W5339" t="str"><v>Canvas Ad</v></cell><cell r="X5339" t="str"><v>1x1</v></cell></row><row r="5339"><cell r="AA5339"><v>43320</v></cell><cell r="AB5339" t="str"><v>DEU_gaPMG_AZR_AZR_Q1_19_Trial-Social- 39684</v></cell><cell r="AC5339"><v>21359477</v></cell><cell r="AD5339"><v>720194</v></cell><cell r="AE5339" t="str"><v>Facebook</v></cell><cell r="AF5339"><v>3654128</v></cell><cell r="AG5339" t="str"><v>Facebook»DEV-ITP-AZR-FB|CanvasAds|Interesttargeting»1x1»TextLink»CAN»DT»CPM»AUT»W»NA»SS»NA»39684020-11000</v></cell><cell r="AH5339"><v>224009494</v></cell><cell r="AI5339" t="str"><v>AzurePlatform_FBCTCBasicMotion-BuyNow_DEU_10s_ISV_PLAT_DE_Trial_Standard_STAN_TN_T1_1</v></cell><cell r="AJ5339"><v>103235787</v></cell></row><row r="5340"><cell r="C5340" t="str"><v>43320Facebook»DEV-ITP-AZR-FB|CanvasAds|Interesttargeting»1x1»TextLink»CAN»DT»CPM»AUT»W»NA»SS»NA»39684020-11000</v></cell><cell r="D5340" t="str"><v>43320224009494</v></cell><cell r="E5340" t="str"><v>43320103236186-11000</v></cell><cell r="F5340" t="str"><v>DCM</v></cell><cell r="G5340" t="str"><v>https://signup.azure.com/signup?offer=ms-azr-0044p&appId=102&ref=paidmedia-social-fb&redirectURL=https%3a%2f%2fazure.microsoft.com%2fde-de%2fget-started%2fwelcome-to-azure%2f&l=de-de&correlationId=ead86c34-1f10-49dd-a72b-6918462a2cbf</v></cell></row><row r="5340"><cell r="K5340" t="str"><v>August</v></cell><cell r="L5340"><v>43323</v></cell><cell r="M5340" t="str"><v>Tier 1</v></cell><cell r="N5340" t="str"><v>EMEA</v></cell><cell r="O5340" t="str"><v>Germany</v></cell><cell r="P5340" t="str"><v>Trial</v></cell><cell r="Q5340" t="str"><v>Social</v></cell><cell r="R5340" t="str"><v>Azure</v></cell><cell r="S5340" t="str"><v>Apps & Infra</v></cell><cell r="T5340" t="str"><v>Developers & ITI's</v></cell><cell r="U5340" t="str"><v>DEV-ITP-AZR-FB|CanvasAds|Interesttargeting</v></cell><cell r="V5340" t="str"><v>Audience Targeting</v></cell><cell r="W5340" t="str"><v>Canvas Ad</v></cell><cell r="X5340" t="str"><v>1x1</v></cell></row><row r="5340"><cell r="AA5340"><v>43320</v></cell><cell r="AB5340" t="str"><v>DEU_gaPMG_AZR_AZR_Q1_19_Trial-Social- 39684</v></cell><cell r="AC5340"><v>21359477</v></cell><cell r="AD5340"><v>720194</v></cell><cell r="AE5340" t="str"><v>Facebook</v></cell><cell r="AF5340"><v>3654128</v></cell><cell r="AG5340" t="str"><v>Facebook»DEV-ITP-AZR-FB|CanvasAds|Interesttargeting»1x1»TextLink»CAN»DT»CPM»AUT»W»NA»SS»NA»39684020-11000</v></cell><cell r="AH5340"><v>224009494</v></cell><cell r="AI5340" t="str"><v>AzurePlatform_FBCTCBasicMotion-StartFreeCT_DEU_10s_ISV_PLAT_DE_Trial_Standard_STAN_TN_T1_1</v></cell><cell r="AJ5340"><v>103236186</v></cell></row><row r="5341"><cell r="C5341" t="str"><v>43320Facebook»DEV-ITP-AZR-FB|CanvasAds|Interesttargeting»1x1»TextLink»CAN»DT»CPM»AUT»W»NA»SS»NA»39684020-11000</v></cell><cell r="D5341" t="str"><v>43320224009494</v></cell><cell r="E5341" t="str"><v>43320103236189-11000</v></cell><cell r="F5341" t="str"><v>DCM</v></cell><cell r="G5341" t="str"><v>https://azure.microsoft.com/de-de/pricing/purchase-options/</v></cell></row><row r="5341"><cell r="K5341" t="str"><v>August</v></cell><cell r="L5341"><v>43323</v></cell><cell r="M5341" t="str"><v>Tier 1</v></cell><cell r="N5341" t="str"><v>EMEA</v></cell><cell r="O5341" t="str"><v>Germany</v></cell><cell r="P5341" t="str"><v>Trial</v></cell><cell r="Q5341" t="str"><v>Social</v></cell><cell r="R5341" t="str"><v>Azure</v></cell><cell r="S5341" t="str"><v>Apps & Infra</v></cell><cell r="T5341" t="str"><v>Developers & ITI's</v></cell><cell r="U5341" t="str"><v>DEV-ITP-AZR-FB|CanvasAds|Interesttargeting</v></cell><cell r="V5341" t="str"><v>Audience Targeting</v></cell><cell r="W5341" t="str"><v>Canvas Ad</v></cell><cell r="X5341" t="str"><v>1x1</v></cell></row><row r="5341"><cell r="AA5341"><v>43320</v></cell><cell r="AB5341" t="str"><v>DEU_gaPMG_AZR_AZR_Q1_19_Trial-Social- 39684</v></cell><cell r="AC5341"><v>21359477</v></cell><cell r="AD5341"><v>720194</v></cell><cell r="AE5341" t="str"><v>Facebook</v></cell><cell r="AF5341"><v>3654128</v></cell><cell r="AG5341" t="str"><v>Facebook»DEV-ITP-AZR-FB|CanvasAds|Interesttargeting»1x1»TextLink»CAN»DT»CPM»AUT»W»NA»SS»NA»39684020-11000</v></cell><cell r="AH5341"><v>224009494</v></cell><cell r="AI5341" t="str"><v>AzurePlatform_FBCTCBenefit2inMotion-BuyNow_DEU_14s_ISV_PLAT_DE_Trial_Standard_STAN_TN_T4_1</v></cell><cell r="AJ5341"><v>103236189</v></cell></row><row r="5342"><cell r="C5342" t="str"><v>43320Facebook»DEV-ITP-AZR-FB|CanvasAds|Interesttargeting»1x1»TextLink»CAN»DT»CPM»AUT»W»NA»SS»NA»39684020-11000</v></cell><cell r="D5342" t="str"><v>43320224009494</v></cell><cell r="E5342" t="str"><v>43320103237290-11000</v></cell><cell r="F5342" t="str"><v>DCM</v></cell><cell r="G5342" t="str"><v>https://signup.azure.com/signup?offer=ms-azr-0044p&appId=102&ref=paidmedia-social-fb&redirectURL=https%3a%2f%2fazure.microsoft.com%2fde-de%2fget-started%2fwelcome-to-azure%2f&l=de-de&correlationId=ead86c34-1f10-49dd-a72b-6918462a2cbf</v></cell></row><row r="5342"><cell r="K5342" t="str"><v>August</v></cell><cell r="L5342"><v>43323</v></cell><cell r="M5342" t="str"><v>Tier 1</v></cell><cell r="N5342" t="str"><v>EMEA</v></cell><cell r="O5342" t="str"><v>Germany</v></cell><cell r="P5342" t="str"><v>Trial</v></cell><cell r="Q5342" t="str"><v>Social</v></cell><cell r="R5342" t="str"><v>Azure</v></cell><cell r="S5342" t="str"><v>Apps & Infra</v></cell><cell r="T5342" t="str"><v>Developers & ITI's</v></cell><cell r="U5342" t="str"><v>DEV-ITP-AZR-FB|CanvasAds|Interesttargeting</v></cell><cell r="V5342" t="str"><v>Audience Targeting</v></cell><cell r="W5342" t="str"><v>Canvas Ad</v></cell><cell r="X5342" t="str"><v>1x1</v></cell></row><row r="5342"><cell r="AA5342"><v>43320</v></cell><cell r="AB5342" t="str"><v>DEU_gaPMG_AZR_AZR_Q1_19_Trial-Social- 39684</v></cell><cell r="AC5342"><v>21359477</v></cell><cell r="AD5342"><v>720194</v></cell><cell r="AE5342" t="str"><v>Facebook</v></cell><cell r="AF5342"><v>3654128</v></cell><cell r="AG5342" t="str"><v>Facebook»DEV-ITP-AZR-FB|CanvasAds|Interesttargeting»1x1»TextLink»CAN»DT»CPM»AUT»W»NA»SS»NA»39684020-11000</v></cell><cell r="AH5342"><v>224009494</v></cell><cell r="AI5342" t="str"><v>AzurePlatform_FBCTCBenefit2inMotion-StartFreeCT_DEU_14s_ISV_PLAT_DE_Trial_Standard_STAN_TN_T4_1</v></cell><cell r="AJ5342"><v>103237290</v></cell></row><row r="5343"><cell r="C5343" t="str"><v>43320Facebook»DEV-ITP-AZR-FB|CanvasAds|Interesttargeting»1x1»TextLink»CAN»DT»CPM»AUT»W»NA»SS»NA»39684020-11000</v></cell><cell r="D5343" t="str"><v>43320224009494</v></cell><cell r="E5343" t="str"><v>43320103237293-11000</v></cell><cell r="F5343" t="str"><v>DCM</v></cell><cell r="G5343" t="str"><v>https://signup.azure.com/signup?offer=ms-azr-0044p&appId=102&ref=paidmedia-social-fb&redirectURL=https%3a%2f%2fazure.microsoft.com%2fde-de%2fget-started%2fwelcome-to-azure%2f&l=de-de&correlationId=ead86c34-1f10-49dd-a72b-6918462a2cbf</v></cell></row><row r="5343"><cell r="K5343" t="str"><v>August</v></cell><cell r="L5343"><v>43323</v></cell><cell r="M5343" t="str"><v>Tier 1</v></cell><cell r="N5343" t="str"><v>EMEA</v></cell><cell r="O5343" t="str"><v>Germany</v></cell><cell r="P5343" t="str"><v>Trial</v></cell><cell r="Q5343" t="str"><v>Social</v></cell><cell r="R5343" t="str"><v>Azure</v></cell><cell r="S5343" t="str"><v>Apps & Infra</v></cell><cell r="T5343" t="str"><v>Developers & ITI's</v></cell><cell r="U5343" t="str"><v>DEV-ITP-AZR-FB|CanvasAds|Interesttargeting</v></cell><cell r="V5343" t="str"><v>Audience Targeting</v></cell><cell r="W5343" t="str"><v>Canvas Ad</v></cell><cell r="X5343" t="str"><v>1x1</v></cell></row><row r="5343"><cell r="AA5343"><v>43320</v></cell><cell r="AB5343" t="str"><v>DEU_gaPMG_AZR_AZR_Q1_19_Trial-Social- 39684</v></cell><cell r="AC5343"><v>21359477</v></cell><cell r="AD5343"><v>720194</v></cell><cell r="AE5343" t="str"><v>Facebook</v></cell><cell r="AF5343"><v>3654128</v></cell><cell r="AG5343" t="str"><v>Facebook»DEV-ITP-AZR-FB|CanvasAds|Interesttargeting»1x1»TextLink»CAN»DT»CPM»AUT»W»NA»SS»NA»39684020-11000</v></cell><cell r="AH5343"><v>224009494</v></cell><cell r="AI5343" t="str"><v>AzurePlatform_FBCTCBrandinMotion-StartFreeCT_DEU_12s_ISV_PLAT_DE_Trial_Standard_STAN_TN_T2_1</v></cell><cell r="AJ5343"><v>103237293</v></cell></row><row r="5344"><cell r="C5344" t="str"><v>43320Facebook»DEV-ITP-AZR-FB|LinkAd|CustomerAudienceRetargeting»1x1»TextLink»LIA»DT»CPM»RT»W»NA»SS»NA»39684019-11000</v></cell><cell r="D5344" t="str"><v>43320224010415</v></cell><cell r="E5344" t="str"><v>43320103055394-11000</v></cell><cell r="F5344" t="str"><v>DCM</v></cell><cell r="G5344" t="str"><v>https://azure.microsoft.com/de-de/free/open-source/search/</v></cell></row><row r="5344"><cell r="K5344" t="str"><v>August</v></cell><cell r="L5344"><v>43323</v></cell><cell r="M5344" t="str"><v>Tier 1</v></cell><cell r="N5344" t="str"><v>EMEA</v></cell><cell r="O5344" t="str"><v>Germany</v></cell><cell r="P5344" t="str"><v>Trial</v></cell><cell r="Q5344" t="str"><v>Social</v></cell><cell r="R5344" t="str"><v>Azure</v></cell><cell r="S5344" t="str"><v>Apps & Infra</v></cell><cell r="T5344" t="str"><v>Developers & ITI's</v></cell><cell r="U5344" t="str"><v>DEV-ITP-AZR-FB|LinkAd|CustomerAudienceRetargeting</v></cell><cell r="V5344" t="str"><v>Retargeting</v></cell><cell r="W5344" t="str"><v>Link Ad</v></cell><cell r="X5344" t="str"><v>1x1</v></cell></row><row r="5344"><cell r="AA5344"><v>43320</v></cell><cell r="AB5344" t="str"><v>DEU_gaPMG_AZR_AZR_Q1_19_Trial-Social- 39684</v></cell><cell r="AC5344"><v>21359477</v></cell><cell r="AD5344"><v>720194</v></cell><cell r="AE5344" t="str"><v>Facebook</v></cell><cell r="AF5344"><v>3654128</v></cell><cell r="AG5344" t="str"><v>Facebook»DEV-ITP-AZR-FB|LinkAd|CustomerAudienceRetargeting»1x1»TextLink»LIA»DT»CPM»RT»W»NA»SS»NA»39684019-11000</v></cell><cell r="AH5344"><v>224010415</v></cell><cell r="AI5344" t="str"><v>AzurePlatform_FreeAcctRetargetingOSSFB-Text-ChF_DEU_1200x628_SOC_Plat_DE_Free Account_Standard_NA_SNU_T1_1</v></cell><cell r="AJ5344"><v>103055394</v></cell></row><row r="5345"><cell r="C5345" t="str"><v>43320Facebook»DEV-ITP-AZR-FB|LinkAd|CustomerAudienceRetargeting»1x1»TextLink»LIA»DT»CPM»RT»W»NA»SS»NA»39684019-11000</v></cell><cell r="D5345" t="str"><v>43320224010415</v></cell><cell r="E5345" t="str"><v>43320103043338-11000</v></cell><cell r="F5345" t="str"><v>DCM</v></cell><cell r="G5345" t="str"><v>https://azure.microsoft.com/de-de/free/virtual-machines/search/</v></cell></row><row r="5345"><cell r="K5345" t="str"><v>August</v></cell><cell r="L5345"><v>43323</v></cell><cell r="M5345" t="str"><v>Tier 1</v></cell><cell r="N5345" t="str"><v>EMEA</v></cell><cell r="O5345" t="str"><v>Germany</v></cell><cell r="P5345" t="str"><v>Trial</v></cell><cell r="Q5345" t="str"><v>Social</v></cell><cell r="R5345" t="str"><v>Azure</v></cell><cell r="S5345" t="str"><v>Apps & Infra</v></cell><cell r="T5345" t="str"><v>Developers & ITI's</v></cell><cell r="U5345" t="str"><v>DEV-ITP-AZR-FB|LinkAd|CustomerAudienceRetargeting</v></cell><cell r="V5345" t="str"><v>Retargeting</v></cell><cell r="W5345" t="str"><v>Link Ad</v></cell><cell r="X5345" t="str"><v>1x1</v></cell></row><row r="5345"><cell r="AA5345"><v>43320</v></cell><cell r="AB5345" t="str"><v>DEU_gaPMG_AZR_AZR_Q1_19_Trial-Social- 39684</v></cell><cell r="AC5345"><v>21359477</v></cell><cell r="AD5345"><v>720194</v></cell><cell r="AE5345" t="str"><v>Facebook</v></cell><cell r="AF5345"><v>3654128</v></cell><cell r="AG5345" t="str"><v>Facebook»DEV-ITP-AZR-FB|LinkAd|CustomerAudienceRetargeting»1x1»TextLink»LIA»DT»CPM»RT»W»NA»SS»NA»39684019-11000</v></cell><cell r="AH5345"><v>224010415</v></cell><cell r="AI5345" t="str"><v>AzurePlatform_FreeAcctRetargetingVMFB-OnDemand-ChE_DEU_1200x628_SOC_Plat_DE_Free Account_Standard_NA_SNU_T2_1</v></cell><cell r="AJ5345"><v>103043338</v></cell></row><row r="5346"><cell r="C5346" t="str"><v>43320Facebook»Developers/ITPros-Azure Direct-Sponsored Post-Canvas-FBCTCcanvaspage-BuyNowCTA-Img3_FBCTCBasicMotion_FRA_10sec»1x1»Canvas»SOC»ALL»CPC»BT»D»UNK»SS»NA»Trials</v></cell><cell r="D5346" t="str"><v>43320224369893</v></cell><cell r="E5346" t="str"><v>43320103256571Trials</v></cell><cell r="F5346" t="str"><v>DCM</v></cell><cell r="G5346" t="str"><v>https://azure.microsoft.com/fr-fr/pricing/purchase-options/</v></cell></row><row r="5346"><cell r="K5346" t="str"><v>August</v></cell><cell r="L5346"><v>43323</v></cell><cell r="M5346" t="str"><v>Tier 1</v></cell><cell r="N5346" t="str"><v>EMEA</v></cell><cell r="O5346" t="str"><v>France</v></cell><cell r="P5346" t="str"><v>Trial</v></cell><cell r="Q5346" t="str"><v>Social</v></cell><cell r="R5346" t="str"><v>Azure</v></cell><cell r="S5346" t="str"><v>Apps & Infra</v></cell><cell r="T5346" t="str"><v>Developers & ITI's</v></cell><cell r="U5346" t="str"><v>Developers/ITPros-Azure Direct-Sponsored Post-Canvas-FBCTCcanvaspage-BuyNowCTA-Img3_FBCTCBasicMotion_FRA_10sec</v></cell><cell r="V5346" t="str"><v>Behavioral Targeting</v></cell><cell r="W5346" t="str"><v>Social</v></cell><cell r="X5346" t="str"><v>1x1</v></cell></row><row r="5346"><cell r="AA5346"><v>43320</v></cell><cell r="AB5346" t="str"><v>FRA_gaPMG_AZR_AZR_Q1_19_AzureDirect-Trial-Social</v></cell><cell r="AC5346"><v>21356941</v></cell><cell r="AD5346"><v>720193</v></cell><cell r="AE5346" t="str"><v>Facebook</v></cell><cell r="AF5346"><v>3654128</v></cell><cell r="AG5346" t="str"><v>Facebook»Developers/ITPros-Azure Direct-Sponsored Post-Canvas-FBCTCcanvaspage-BuyNowCTA-Img3_FBCTCBasicMotion_FRA_10sec»1x1»Canvas»SOC»ALL»CPC»BT»D»UNK»SS»NA»Trials</v></cell><cell r="AH5346"><v>224369893</v></cell><cell r="AI5346" t="str"><v>AZR_FBCTCcanvaspage-BuyNowCTA-Img3_FRA_1080x162_SOC_AZRDirect_French_NA_Facebook_SBAN_BN_T3_1</v></cell><cell r="AJ5346"><v>103256571</v></cell></row><row r="5347"><cell r="C5347" t="str"><v>43320Facebook»Developers/ITPros-Azure Direct-Sponsored Post-Canvas-FBCTCcanvaspage-StartFreeCTA-Img2_FBCTCBasicMotion_FRA_10sec»1x1»Canvas»SOC»ALL»CPC»BT»D»UNK»SS»NA»Trials</v></cell><cell r="D5347" t="str"><v>43320224560884</v></cell><cell r="E5347" t="str"><v>43320103259958Trials</v></cell><cell r="F5347" t="str"><v>DCM</v></cell><cell r="G5347" t="str"><v>https://signup.azure.com/signup?offer=ms-azr-0044p&appId=102&ref=paidmedia-social-fb&redirectURL=https%3a%2f%2fazure.microsoft.com%2ffr-fr%2fget-started%2fwelcome-to-azure%2f&l=fr-fr&correlationId=ead86c34-1f10-49dd-a72b-6918462a2cbf</v></cell></row><row r="5347"><cell r="K5347" t="str"><v>August</v></cell><cell r="L5347"><v>43323</v></cell><cell r="M5347" t="str"><v>Tier 1</v></cell><cell r="N5347" t="str"><v>EMEA</v></cell><cell r="O5347" t="str"><v>France</v></cell><cell r="P5347" t="str"><v>Trial</v></cell><cell r="Q5347" t="str"><v>Social</v></cell><cell r="R5347" t="str"><v>Azure</v></cell><cell r="S5347" t="str"><v>Apps & Infra</v></cell><cell r="T5347" t="str"><v>Developers & ITI's</v></cell><cell r="U5347" t="str"><v>Developers/ITPros-Azure Direct-Sponsored Post-Canvas-FBCTCcanvaspage-StartFreeCTA-Img2_FBCTCBasicMotion_FRA_10sec</v></cell><cell r="V5347" t="str"><v>Behavioral Targeting</v></cell><cell r="W5347" t="str"><v>Social</v></cell><cell r="X5347" t="str"><v>1x1</v></cell></row><row r="5347"><cell r="AA5347"><v>43320</v></cell><cell r="AB5347" t="str"><v>FRA_gaPMG_AZR_AZR_Q1_19_AzureDirect-Trial-Social</v></cell><cell r="AC5347"><v>21356941</v></cell><cell r="AD5347"><v>720193</v></cell><cell r="AE5347" t="str"><v>Facebook</v></cell><cell r="AF5347"><v>3654128</v></cell><cell r="AG5347" t="str"><v>Facebook»Developers/ITPros-Azure Direct-Sponsored Post-Canvas-FBCTCcanvaspage-StartFreeCTA-Img2_FBCTCBasicMotion_FRA_10sec»1x1»Canvas»SOC»ALL»CPC»BT»D»UNK»SS»NA»Trials</v></cell><cell r="AH5347"><v>224560884</v></cell><cell r="AI5347" t="str"><v>AZR_FBCTCcanvaspage-StartFreeCTA-Img2_FRA_1080x143_SOC_AZRDirect_French_NA_Facebook_SBAN_BN_T2_1</v></cell><cell r="AJ5347"><v>103259958</v></cell></row><row r="5348"><cell r="C5348" t="str"><v>43320Facebook»Developers/ITPros-Azure Direct-Sponsored Post-Canvas-FBCTCcanvaspage-StartFreeCTA-Img2_FBCTCBrandinMotion_FRA_14sec»1x1»Canvas»SOC»ALL»CPC»BT»D»UNK»SS»NA»Trials</v></cell><cell r="D5348" t="str"><v>43320224560872</v></cell><cell r="E5348" t="str"><v>43320103259958Trials</v></cell><cell r="F5348" t="str"><v>DCM</v></cell><cell r="G5348" t="str"><v>https://signup.azure.com/signup?offer=ms-azr-0044p&appId=102&ref=paidmedia-social-fb&redirectURL=https%3a%2f%2fazure.microsoft.com%2ffr-fr%2fget-started%2fwelcome-to-azure%2f&l=fr-fr&correlationId=ead86c34-1f10-49dd-a72b-6918462a2cbf</v></cell></row><row r="5348"><cell r="K5348" t="str"><v>August</v></cell><cell r="L5348"><v>43323</v></cell><cell r="M5348" t="str"><v>Tier 1</v></cell><cell r="N5348" t="str"><v>EMEA</v></cell><cell r="O5348" t="str"><v>France</v></cell><cell r="P5348" t="str"><v>Trial</v></cell><cell r="Q5348" t="str"><v>Social</v></cell><cell r="R5348" t="str"><v>Azure</v></cell><cell r="S5348" t="str"><v>Apps & Infra</v></cell><cell r="T5348" t="str"><v>Developers & ITI's</v></cell><cell r="U5348" t="str"><v>Developers/ITPros-Azure Direct-Sponsored Post-Canvas-FBCTCcanvaspage-StartFreeCTA-Img2_FBCTCBrandinMotion_FRA_14sec</v></cell><cell r="V5348" t="str"><v>Behavioral Targeting</v></cell><cell r="W5348" t="str"><v>Social</v></cell><cell r="X5348" t="str"><v>1x1</v></cell></row><row r="5348"><cell r="AA5348"><v>43320</v></cell><cell r="AB5348" t="str"><v>FRA_gaPMG_AZR_AZR_Q1_19_AzureDirect-Trial-Social</v></cell><cell r="AC5348"><v>21356941</v></cell><cell r="AD5348"><v>720193</v></cell><cell r="AE5348" t="str"><v>Facebook</v></cell><cell r="AF5348"><v>3654128</v></cell><cell r="AG5348" t="str"><v>Facebook»Developers/ITPros-Azure Direct-Sponsored Post-Canvas-FBCTCcanvaspage-StartFreeCTA-Img2_FBCTCBrandinMotion_FRA_14sec»1x1»Canvas»SOC»ALL»CPC»BT»D»UNK»SS»NA»Trials</v></cell><cell r="AH5348"><v>224560872</v></cell><cell r="AI5348" t="str"><v>AZR_FBCTCcanvaspage-StartFreeCTA-Img2_FRA_1080x143_SOC_AZRDirect_French_NA_Facebook_SBAN_BN_T2_1</v></cell><cell r="AJ5348"><v>103259958</v></cell></row><row r="5349"><cell r="C5349" t="str"><v>43320Facebook»Developers/ITPros-Azure Direct-Sponsored Post-Link Ad-FreeAcctRetargetingFB-GlobalAlt-ChB»1x1»SocialBan»SOC»ALL»CPC»BT»D»UNK»SS»NA»Trials</v></cell><cell r="D5349" t="str"><v>43320224560845</v></cell><cell r="E5349" t="str"><v>43320103259520Trials</v></cell><cell r="F5349" t="str"><v>DCM</v></cell><cell r="G5349" t="str"><v>https://azure.microsoft.com/fr-fr/free/search/</v></cell></row><row r="5349"><cell r="K5349" t="str"><v>August</v></cell><cell r="L5349"><v>43323</v></cell><cell r="M5349" t="str"><v>Tier 1</v></cell><cell r="N5349" t="str"><v>EMEA</v></cell><cell r="O5349" t="str"><v>France</v></cell><cell r="P5349" t="str"><v>Trial</v></cell><cell r="Q5349" t="str"><v>Social</v></cell><cell r="R5349" t="str"><v>Azure</v></cell><cell r="S5349" t="str"><v>Apps & Infra</v></cell><cell r="T5349" t="str"><v>Developers & ITI's</v></cell><cell r="U5349" t="str"><v>Developers/ITPros-Azure Direct-Sponsored Post-Link Ad-FreeAcctRetargetingFB-GlobalAlt-ChB</v></cell><cell r="V5349" t="str"><v>Behavioral Targeting</v></cell><cell r="W5349" t="str"><v>Social</v></cell><cell r="X5349" t="str"><v>1x1</v></cell></row><row r="5349"><cell r="AA5349"><v>43320</v></cell><cell r="AB5349" t="str"><v>FRA_gaPMG_AZR_AZR_Q1_19_AzureDirect-Trial-Social</v></cell><cell r="AC5349"><v>21356941</v></cell><cell r="AD5349"><v>720193</v></cell><cell r="AE5349" t="str"><v>Facebook</v></cell><cell r="AF5349"><v>3654128</v></cell><cell r="AG5349" t="str"><v>Facebook»Developers/ITPros-Azure Direct-Sponsored Post-Link Ad-FreeAcctRetargetingFB-GlobalAlt-ChB»1x1»SocialBan»SOC»ALL»CPC»BT»D»UNK»SS»NA»Trials</v></cell><cell r="AH5349"><v>224560845</v></cell><cell r="AI5349" t="str"><v>AZR_FreeAcctRetargetingFB-GlobalAlt-ChB_FRA_1200x628_SOC_AZRDirect_French_NA_Facebook_SBAN_SINU_T2_1</v></cell><cell r="AJ5349"><v>103259520</v></cell></row><row r="5350"><cell r="C5350" t="str"><v>43320Facebook»Developers/ITPros-Azure Direct-Sponsored Post-Link Ad-FreeAcctRetargetingOSSFB-Text-ChF»1x1»SocialBan»SOC»ALL»CPC»BT»D»UNK»SS»NA»Trials</v></cell><cell r="D5350" t="str"><v>43320224560839</v></cell><cell r="E5350" t="str"><v>43320103257810Trials</v></cell><cell r="F5350" t="str"><v>DCM</v></cell><cell r="G5350" t="str"><v>https://azure.microsoft.com/fr-fr/free/open-source/search/</v></cell></row><row r="5350"><cell r="K5350" t="str"><v>August</v></cell><cell r="L5350"><v>43323</v></cell><cell r="M5350" t="str"><v>Tier 1</v></cell><cell r="N5350" t="str"><v>EMEA</v></cell><cell r="O5350" t="str"><v>France</v></cell><cell r="P5350" t="str"><v>Trial</v></cell><cell r="Q5350" t="str"><v>Social</v></cell><cell r="R5350" t="str"><v>Azure</v></cell><cell r="S5350" t="str"><v>Apps & Infra</v></cell><cell r="T5350" t="str"><v>Developers & ITI's</v></cell><cell r="U5350" t="str"><v>Developers/ITPros-Azure Direct-Sponsored Post-Link Ad-FreeAcctRetargetingOSSFB-Text-ChF</v></cell><cell r="V5350" t="str"><v>Behavioral Targeting</v></cell><cell r="W5350" t="str"><v>Social</v></cell><cell r="X5350" t="str"><v>1x1</v></cell></row><row r="5350"><cell r="AA5350"><v>43320</v></cell><cell r="AB5350" t="str"><v>FRA_gaPMG_AZR_AZR_Q1_19_AzureDirect-Trial-Social</v></cell><cell r="AC5350"><v>21356941</v></cell><cell r="AD5350"><v>720193</v></cell><cell r="AE5350" t="str"><v>Facebook</v></cell><cell r="AF5350"><v>3654128</v></cell><cell r="AG5350" t="str"><v>Facebook»Developers/ITPros-Azure Direct-Sponsored Post-Link Ad-FreeAcctRetargetingOSSFB-Text-ChF»1x1»SocialBan»SOC»ALL»CPC»BT»D»UNK»SS»NA»Trials</v></cell><cell r="AH5350"><v>224560839</v></cell><cell r="AI5350" t="str"><v>AZR_FreeAcctRetargetingOSSFB-Text-ChF_FRA_1200x628_SOC_AZRDirect_French_NA_Facebook_SBAN_SINU_T1_1</v></cell><cell r="AJ5350"><v>103257810</v></cell></row><row r="5351"><cell r="C5351" t="str"><v>43320Facebook»Developers/ITPros-Azure Direct-Sponsored Post-Link Ad-FreeAcctRetargetingVMFB-750Hrs-ChD»1x1»SocialBan»SOC»ALL»CPC»BT»D»UNK»SS»NA»Trials</v></cell><cell r="D5351" t="str"><v>43320224560836</v></cell><cell r="E5351" t="str"><v>43320103259010Trials</v></cell><cell r="F5351" t="str"><v>DCM</v></cell><cell r="G5351" t="str"><v>https://azure.microsoft.com/fr-fr/free/virtual-machines/search/</v></cell></row><row r="5351"><cell r="K5351" t="str"><v>August</v></cell><cell r="L5351"><v>43323</v></cell><cell r="M5351" t="str"><v>Tier 1</v></cell><cell r="N5351" t="str"><v>EMEA</v></cell><cell r="O5351" t="str"><v>France</v></cell><cell r="P5351" t="str"><v>Trial</v></cell><cell r="Q5351" t="str"><v>Social</v></cell><cell r="R5351" t="str"><v>Azure</v></cell><cell r="S5351" t="str"><v>Apps & Infra</v></cell><cell r="T5351" t="str"><v>Developers & ITI's</v></cell><cell r="U5351" t="str"><v>Developers/ITPros-Azure Direct-Sponsored Post-Link Ad-FreeAcctRetargetingVMFB-750Hrs-ChD</v></cell><cell r="V5351" t="str"><v>Behavioral Targeting</v></cell><cell r="W5351" t="str"><v>Social</v></cell><cell r="X5351" t="str"><v>1x1</v></cell></row><row r="5351"><cell r="AA5351"><v>43320</v></cell><cell r="AB5351" t="str"><v>FRA_gaPMG_AZR_AZR_Q1_19_AzureDirect-Trial-Social</v></cell><cell r="AC5351"><v>21356941</v></cell><cell r="AD5351"><v>720193</v></cell><cell r="AE5351" t="str"><v>Facebook</v></cell><cell r="AF5351"><v>3654128</v></cell><cell r="AG5351" t="str"><v>Facebook»Developers/ITPros-Azure Direct-Sponsored Post-Link Ad-FreeAcctRetargetingVMFB-750Hrs-ChD»1x1»SocialBan»SOC»ALL»CPC»BT»D»UNK»SS»NA»Trials</v></cell><cell r="AH5351"><v>224560836</v></cell><cell r="AI5351" t="str"><v>AZR_FreeAcctRetargetingVMFB-750Hrs-ChD_FRA_1200x628_SOC_AZRDirect_French_NA_Facebook_SBAN_SINU_T1_1</v></cell><cell r="AJ5351"><v>103259010</v></cell></row><row r="5352"><cell r="C5352" t="str"><v>43320Facebook»Developers/ITPros-Azure Direct-Sponsored Post-Video Ad-FBCTCBasicMotion_FRA_10s_RTG Landing Page»1x1»05s»SOC»ALL»CPC»BT»D»UNK»SS»NA»Trials</v></cell><cell r="D5352" t="str"><v>43320224416915</v></cell><cell r="E5352" t="str"><v>43320103376981Trials</v></cell><cell r="F5352" t="str"><v>DCM</v></cell></row><row r="5352"><cell r="K5352" t="str"><v>August</v></cell><cell r="L5352"><v>43323</v></cell><cell r="M5352" t="str"><v>Tier 1</v></cell><cell r="N5352" t="str"><v>EMEA</v></cell><cell r="O5352" t="str"><v>France</v></cell><cell r="P5352" t="str"><v>Trial</v></cell><cell r="Q5352" t="str"><v>Social</v></cell><cell r="R5352" t="str"><v>Azure</v></cell><cell r="S5352" t="str"><v>Apps & Infra</v></cell><cell r="T5352" t="str"><v>Developers & ITI's</v></cell><cell r="U5352" t="str"><v>Developers/ITPros-Azure Direct-Sponsored Post-Video Ad-FBCTCBasicMotion_FRA_10s_RTG Landing Page</v></cell><cell r="V5352" t="str"><v>Behavioral Targeting</v></cell><cell r="W5352" t="str"><v>Social</v></cell><cell r="X5352" t="str"><v>1x1</v></cell></row><row r="5352"><cell r="AA5352"><v>43320</v></cell><cell r="AB5352" t="str"><v>FRA_gaPMG_AZR_AZR_Q1_19_AzureDirect-Trial-Social</v></cell><cell r="AC5352"><v>21356941</v></cell><cell r="AD5352"><v>720193</v></cell><cell r="AE5352" t="str"><v>Facebook</v></cell><cell r="AF5352"><v>3654128</v></cell><cell r="AG5352" t="str"><v>Facebook»Developers/ITPros-Azure Direct-Sponsored Post-Video Ad-FBCTCBasicMotion_FRA_10s_RTG Landing Page»1x1»05s»SOC»ALL»CPC»BT»D»UNK»SS»NA»Trials</v></cell><cell r="AH5352"><v>224416915</v></cell><cell r="AI5352" t="str"><v>AZR_FBCTCBasicMotion_FRA_10s_VIA_AZRDirect_French_NA_Facebook_STAN_TIN_T1_1</v></cell><cell r="AJ5352"><v>103376981</v></cell></row><row r="5353"><cell r="C5353" t="str"><v>43320Facebook»Developers/ITPros-Azure Direct-Sponsored Post-Video Ad-FBCTCBenefit2inMotion_FRA_14s_RTG Landing Page»1x1»06s»SOC»ALL»CPC»BT»D»UNK»SS»NA»Trials</v></cell><cell r="D5353" t="str"><v>43320224560875</v></cell><cell r="E5353" t="str"><v>43320103259766Trials</v></cell><cell r="F5353" t="str"><v>DCM</v></cell><cell r="G5353" t="str"><v>https://signup.azure.com/signup?offer=ms-azr-0044p&appId=102&ref=paidmedia-social-fb&redirectURL=https:%2F%2Fazure.microsoft.com%2Ffr-fr%2Fget-started%2Fwelcome-to-azure%2F&l=fr-fr&correlationId=ead86c34-1f10-49dd-a72b-6918462a2cbf</v></cell></row><row r="5353"><cell r="K5353" t="str"><v>August</v></cell><cell r="L5353"><v>43323</v></cell><cell r="M5353" t="str"><v>Tier 1</v></cell><cell r="N5353" t="str"><v>EMEA</v></cell><cell r="O5353" t="str"><v>France</v></cell><cell r="P5353" t="str"><v>Trial</v></cell><cell r="Q5353" t="str"><v>Social</v></cell><cell r="R5353" t="str"><v>Azure</v></cell><cell r="S5353" t="str"><v>Apps & Infra</v></cell><cell r="T5353" t="str"><v>Developers & ITI's</v></cell><cell r="U5353" t="str"><v>Developers/ITPros-Azure Direct-Sponsored Post-Video Ad-FBCTCBenefit2inMotion_FRA_14s_RTG Landing Page</v></cell><cell r="V5353" t="str"><v>Behavioral Targeting</v></cell><cell r="W5353" t="str"><v>Social</v></cell><cell r="X5353" t="str"><v>1x1</v></cell></row><row r="5353"><cell r="AA5353"><v>43320</v></cell><cell r="AB5353" t="str"><v>FRA_gaPMG_AZR_AZR_Q1_19_AzureDirect-Trial-Social</v></cell><cell r="AC5353"><v>21356941</v></cell><cell r="AD5353"><v>720193</v></cell><cell r="AE5353" t="str"><v>Facebook</v></cell><cell r="AF5353"><v>3654128</v></cell><cell r="AG5353" t="str"><v>Facebook»Developers/ITPros-Azure Direct-Sponsored Post-Video Ad-FBCTCBenefit2inMotion_FRA_14s_RTG Landing Page»1x1»06s»SOC»ALL»CPC»BT»D»UNK»SS»NA»Trials</v></cell><cell r="AH5353"><v>224560875</v></cell><cell r="AI5353" t="str"><v>AZR_FBCTCBenefit2inMotion_FRA_14s_VIA_AZRDirect_French_NA_Facebook_STAN_TIN_T4_1</v></cell><cell r="AJ5353"><v>103259766</v></cell></row><row r="5354"><cell r="C5354" t="str"><v>43320Facebook»Developers/ITPros-Azure Direct-Sponsored Post-Video Ad-FBCTCBrandinMotion_FRA_12s_RTG Landing Page»1x1»05s»SOC»ALL»CPC»BT»D»UNK»SS»NA»Trials</v></cell><cell r="D5354" t="str"><v>43320224560863</v></cell><cell r="E5354" t="str"><v>43320103256577Trials</v></cell><cell r="F5354" t="str"><v>DCM</v></cell></row><row r="5354"><cell r="K5354" t="str"><v>August</v></cell><cell r="L5354"><v>43323</v></cell><cell r="M5354" t="str"><v>Tier 1</v></cell><cell r="N5354" t="str"><v>EMEA</v></cell><cell r="O5354" t="str"><v>France</v></cell><cell r="P5354" t="str"><v>Trial</v></cell><cell r="Q5354" t="str"><v>Social</v></cell><cell r="R5354" t="str"><v>Azure</v></cell><cell r="S5354" t="str"><v>Apps & Infra</v></cell><cell r="T5354" t="str"><v>Developers & ITI's</v></cell><cell r="U5354" t="str"><v>Developers/ITPros-Azure Direct-Sponsored Post-Video Ad-FBCTCBrandinMotion_FRA_12s_RTG Landing Page</v></cell><cell r="V5354" t="str"><v>Behavioral Targeting</v></cell><cell r="W5354" t="str"><v>Social</v></cell><cell r="X5354" t="str"><v>1x1</v></cell></row><row r="5354"><cell r="AA5354"><v>43320</v></cell><cell r="AB5354" t="str"><v>FRA_gaPMG_AZR_AZR_Q1_19_AzureDirect-Trial-Social</v></cell><cell r="AC5354"><v>21356941</v></cell><cell r="AD5354"><v>720193</v></cell><cell r="AE5354" t="str"><v>Facebook</v></cell><cell r="AF5354"><v>3654128</v></cell><cell r="AG5354" t="str"><v>Facebook»Developers/ITPros-Azure Direct-Sponsored Post-Video Ad-FBCTCBrandinMotion_FRA_12s_RTG Landing Page»1x1»05s»SOC»ALL»CPC»BT»D»UNK»SS»NA»Trials</v></cell><cell r="AH5354"><v>224560863</v></cell><cell r="AI5354" t="str"><v>AZR_FBCTCBrandinMotion_FRA_12s_VIA_AZRDirect_French_NA_Facebook_STAN_TIN_T2_1</v></cell><cell r="AJ5354"><v>103256577</v></cell></row><row r="5355"><cell r="C5355" t="str"><v>43320Facebook»Audience & Interest Targeting»1x1»SocialBan»LIA»DT»CPC»AUT»W»NA»SS»NA»Basic Motion</v></cell><cell r="D5355" t="str"><v>43320224399962</v></cell><cell r="E5355" t="str"><v>43320103230847Motion</v></cell><cell r="F5355" t="str"><v>DCM</v></cell><cell r="G5355" t="str"><v>https://azure.microsoft.com/en-gb/pricing/purchase-options/</v></cell></row><row r="5355"><cell r="K5355" t="str"><v>August</v></cell><cell r="L5355"><v>43323</v></cell><cell r="M5355" t="str"><v>Tier 1</v></cell><cell r="N5355" t="str"><v>EMEA</v></cell><cell r="O5355" t="str"><v>United Kingdom</v></cell><cell r="P5355" t="str"><v>Trial</v></cell><cell r="Q5355" t="str"><v>Social</v></cell><cell r="R5355" t="str"><v>Azure</v></cell><cell r="S5355" t="str"><v>Apps & Infra</v></cell><cell r="T5355" t="str"><v>Developers & ITI's</v></cell><cell r="U5355" t="str"><v>Audience & Interest Targeting</v></cell><cell r="V5355" t="str"><v>Audience Targeting</v></cell><cell r="W5355" t="str"><v>Link Ad</v></cell><cell r="X5355" t="str"><v>1x1</v></cell></row><row r="5355"><cell r="AA5355"><v>43320</v></cell><cell r="AB5355" t="str"><v>GBR_gaPMG_CE_AZR_Q1_19_Trial-Social</v></cell><cell r="AC5355"><v>21337013</v></cell><cell r="AD5355"><v>720196</v></cell><cell r="AE5355" t="str"><v>Facebook</v></cell><cell r="AF5355"><v>3654128</v></cell><cell r="AG5355" t="str"><v>Facebook»Audience & Interest Targeting»1x1»SocialBan»LIA»DT»CPC»AUT»W»NA»SS»NA»Basic Motion</v></cell><cell r="AH5355"><v>224399962</v></cell><cell r="AI5355" t="str"><v>AzurePlatform_FBCTCcanvaspage-BuyNowCTA-Img3_GBR_1080x162_SOC_Plat_English_NA_Standard_NA_BN_T3_1</v></cell><cell r="AJ5355"><v>103230847</v></cell></row><row r="5356"><cell r="C5356" t="str"><v>43320Facebook»Audience & Interest Targeting»1x1»SocialBan»LIA»DT»CPC»AUT»W»NA»SS»NA»Basic Motion</v></cell><cell r="D5356" t="str"><v>43320224399962</v></cell><cell r="E5356" t="str"><v>43320103235146Motion</v></cell><cell r="F5356" t="str"><v>DCM</v></cell><cell r="G5356" t="str"><v>https://signup.azure.com/signup?offer=ms-azr-0044p&appId=102&ref=paidmedia-social-fb&redirectURL=https%3a%2f%2fazure.microsoft.com%2fen-gb%2fget-started%2fwelcome-to-azure%2f&l=en-gb&correlationId=ead86c34-1f10-49dd-a72b-6918462a2cbf</v></cell></row><row r="5356"><cell r="K5356" t="str"><v>August</v></cell><cell r="L5356"><v>43323</v></cell><cell r="M5356" t="str"><v>Tier 1</v></cell><cell r="N5356" t="str"><v>EMEA</v></cell><cell r="O5356" t="str"><v>United Kingdom</v></cell><cell r="P5356" t="str"><v>Trial</v></cell><cell r="Q5356" t="str"><v>Social</v></cell><cell r="R5356" t="str"><v>Azure</v></cell><cell r="S5356" t="str"><v>Apps & Infra</v></cell><cell r="T5356" t="str"><v>Developers & ITI's</v></cell><cell r="U5356" t="str"><v>Audience & Interest Targeting</v></cell><cell r="V5356" t="str"><v>Audience Targeting</v></cell><cell r="W5356" t="str"><v>Link Ad</v></cell><cell r="X5356" t="str"><v>1x1</v></cell></row><row r="5356"><cell r="AA5356"><v>43320</v></cell><cell r="AB5356" t="str"><v>GBR_gaPMG_CE_AZR_Q1_19_Trial-Social</v></cell><cell r="AC5356"><v>21337013</v></cell><cell r="AD5356"><v>720196</v></cell><cell r="AE5356" t="str"><v>Facebook</v></cell><cell r="AF5356"><v>3654128</v></cell><cell r="AG5356" t="str"><v>Facebook»Audience & Interest Targeting»1x1»SocialBan»LIA»DT»CPC»AUT»W»NA»SS»NA»Basic Motion</v></cell><cell r="AH5356"><v>224399962</v></cell><cell r="AI5356" t="str"><v>AzurePlatform_FBCTCcanvaspage-StartFreeCTA-Img2_GBR_1080x143 _SOC_Plat_English_NA_Standard_NA_NA_T2_1</v></cell><cell r="AJ5356"><v>103235146</v></cell></row><row r="5357"><cell r="C5357" t="str"><v>43320Facebook»Audience & Interest Targeting»1x1»SocialBan»LIA»DT»CPC»AUT»W»NA»SS»NA»Benefit 2 in Motion</v></cell><cell r="D5357" t="str"><v>43320224334170</v></cell><cell r="E5357" t="str"><v>43320103230847Motion</v></cell><cell r="F5357" t="str"><v>DCM</v></cell><cell r="G5357" t="str"><v>https://azure.microsoft.com/en-gb/pricing/purchase-options/</v></cell></row><row r="5357"><cell r="K5357" t="str"><v>August</v></cell><cell r="L5357"><v>43323</v></cell><cell r="M5357" t="str"><v>Tier 1</v></cell><cell r="N5357" t="str"><v>EMEA</v></cell><cell r="O5357" t="str"><v>United Kingdom</v></cell><cell r="P5357" t="str"><v>Trial</v></cell><cell r="Q5357" t="str"><v>Social</v></cell><cell r="R5357" t="str"><v>Azure</v></cell><cell r="S5357" t="str"><v>Apps & Infra</v></cell><cell r="T5357" t="str"><v>Developers & ITI's</v></cell><cell r="U5357" t="str"><v>Audience & Interest Targeting</v></cell><cell r="V5357" t="str"><v>Audience Targeting</v></cell><cell r="W5357" t="str"><v>Link Ad</v></cell><cell r="X5357" t="str"><v>1x1</v></cell></row><row r="5357"><cell r="AA5357"><v>43320</v></cell><cell r="AB5357" t="str"><v>GBR_gaPMG_CE_AZR_Q1_19_Trial-Social</v></cell><cell r="AC5357"><v>21337013</v></cell><cell r="AD5357"><v>720196</v></cell><cell r="AE5357" t="str"><v>Facebook</v></cell><cell r="AF5357"><v>3654128</v></cell><cell r="AG5357" t="str"><v>Facebook»Audience & Interest Targeting»1x1»SocialBan»LIA»DT»CPC»AUT»W»NA»SS»NA»Benefit 2 in Motion</v></cell><cell r="AH5357"><v>224334170</v></cell><cell r="AI5357" t="str"><v>AzurePlatform_FBCTCcanvaspage-BuyNowCTA-Img3_GBR_1080x162_SOC_Plat_English_NA_Standard_NA_BN_T3_1</v></cell><cell r="AJ5357"><v>103230847</v></cell></row><row r="5358"><cell r="C5358" t="str"><v>43320Facebook»Audience & Interest Targeting»1x1»SocialBan»LIA»DT»CPC»AUT»W»NA»SS»NA»Benefit 2 in Motion</v></cell><cell r="D5358" t="str"><v>43320224334170</v></cell><cell r="E5358" t="str"><v>43320103235146Motion</v></cell><cell r="F5358" t="str"><v>DCM</v></cell><cell r="G5358" t="str"><v>https://signup.azure.com/signup?offer=ms-azr-0044p&appId=102&ref=paidmedia-social-fb&redirectURL=https%3a%2f%2fazure.microsoft.com%2fen-gb%2fget-started%2fwelcome-to-azure%2f&l=en-gb&correlationId=ead86c34-1f10-49dd-a72b-6918462a2cbf</v></cell></row><row r="5358"><cell r="K5358" t="str"><v>August</v></cell><cell r="L5358"><v>43323</v></cell><cell r="M5358" t="str"><v>Tier 1</v></cell><cell r="N5358" t="str"><v>EMEA</v></cell><cell r="O5358" t="str"><v>United Kingdom</v></cell><cell r="P5358" t="str"><v>Trial</v></cell><cell r="Q5358" t="str"><v>Social</v></cell><cell r="R5358" t="str"><v>Azure</v></cell><cell r="S5358" t="str"><v>Apps & Infra</v></cell><cell r="T5358" t="str"><v>Developers & ITI's</v></cell><cell r="U5358" t="str"><v>Audience & Interest Targeting</v></cell><cell r="V5358" t="str"><v>Audience Targeting</v></cell><cell r="W5358" t="str"><v>Link Ad</v></cell><cell r="X5358" t="str"><v>1x1</v></cell></row><row r="5358"><cell r="AA5358"><v>43320</v></cell><cell r="AB5358" t="str"><v>GBR_gaPMG_CE_AZR_Q1_19_Trial-Social</v></cell><cell r="AC5358"><v>21337013</v></cell><cell r="AD5358"><v>720196</v></cell><cell r="AE5358" t="str"><v>Facebook</v></cell><cell r="AF5358"><v>3654128</v></cell><cell r="AG5358" t="str"><v>Facebook»Audience & Interest Targeting»1x1»SocialBan»LIA»DT»CPC»AUT»W»NA»SS»NA»Benefit 2 in Motion</v></cell><cell r="AH5358"><v>224334170</v></cell><cell r="AI5358" t="str"><v>AzurePlatform_FBCTCcanvaspage-StartFreeCTA-Img2_GBR_1080x143 _SOC_Plat_English_NA_Standard_NA_NA_T2_1</v></cell><cell r="AJ5358"><v>103235146</v></cell></row><row r="5359"><cell r="C5359" t="str"><v>43320Facebook»Audience & Interest Targeting»1x1»SocialBan»LIA»DT»CPC»AUT»W»NA»SS»NA»Brand in Motion</v></cell><cell r="D5359" t="str"><v>43320224549481</v></cell><cell r="E5359" t="str"><v>43320103235146Motion</v></cell><cell r="F5359" t="str"><v>DCM</v></cell><cell r="G5359" t="str"><v>https://signup.azure.com/signup?offer=ms-azr-0044p&appId=102&ref=paidmedia-social-fb&redirectURL=https%3a%2f%2fazure.microsoft.com%2fen-gb%2fget-started%2fwelcome-to-azure%2f&l=en-gb&correlationId=ead86c34-1f10-49dd-a72b-6918462a2cbf</v></cell></row><row r="5359"><cell r="K5359" t="str"><v>August</v></cell><cell r="L5359"><v>43323</v></cell><cell r="M5359" t="str"><v>Tier 1</v></cell><cell r="N5359" t="str"><v>EMEA</v></cell><cell r="O5359" t="str"><v>United Kingdom</v></cell><cell r="P5359" t="str"><v>Trial</v></cell><cell r="Q5359" t="str"><v>Social</v></cell><cell r="R5359" t="str"><v>Azure</v></cell><cell r="S5359" t="str"><v>Apps & Infra</v></cell><cell r="T5359" t="str"><v>Developers & ITI's</v></cell><cell r="U5359" t="str"><v>Audience & Interest Targeting</v></cell><cell r="V5359" t="str"><v>Audience Targeting</v></cell><cell r="W5359" t="str"><v>Link Ad</v></cell><cell r="X5359" t="str"><v>1x1</v></cell></row><row r="5359"><cell r="AA5359"><v>43320</v></cell><cell r="AB5359" t="str"><v>GBR_gaPMG_CE_AZR_Q1_19_Trial-Social</v></cell><cell r="AC5359"><v>21337013</v></cell><cell r="AD5359"><v>720196</v></cell><cell r="AE5359" t="str"><v>Facebook</v></cell><cell r="AF5359"><v>3654128</v></cell><cell r="AG5359" t="str"><v>Facebook»Audience & Interest Targeting»1x1»SocialBan»LIA»DT»CPC»AUT»W»NA»SS»NA»Brand in Motion</v></cell><cell r="AH5359"><v>224549481</v></cell><cell r="AI5359" t="str"><v>AzurePlatform_FBCTCcanvaspage-StartFreeCTA-Img2_GBR_1080x143 _SOC_Plat_English_NA_Standard_NA_NA_T2_1</v></cell><cell r="AJ5359"><v>103235146</v></cell></row><row r="5360"><cell r="C5360" t="str"><v>43320Facebook»Audience & Interest Targeting»1x1»SocialBan»LIA»DT»DYN»AUT»W»NA»SS»NA»Free Account Refresh- 12 months ChE</v></cell><cell r="D5360" t="str"><v>43320223567691</v></cell><cell r="E5360" t="str"><v>43320102854007hs ChE</v></cell><cell r="F5360" t="str"><v>DCM</v></cell><cell r="G5360" t="str"><v>https://azure.microsoft.com/en-gb/free/search/</v></cell></row><row r="5360"><cell r="K5360" t="str"><v>August</v></cell><cell r="L5360"><v>43323</v></cell><cell r="M5360" t="str"><v>Tier 1</v></cell><cell r="N5360" t="str"><v>EMEA</v></cell><cell r="O5360" t="str"><v>United Kingdom</v></cell><cell r="P5360" t="str"><v>Trial</v></cell><cell r="Q5360" t="str"><v>Social</v></cell><cell r="R5360" t="str"><v>Azure</v></cell><cell r="S5360" t="str"><v>Apps & Infra</v></cell><cell r="T5360" t="str"><v>Developers & ITI's</v></cell><cell r="U5360" t="str"><v>Audience & Interest Targeting</v></cell><cell r="V5360" t="str"><v>Audience Targeting</v></cell><cell r="W5360" t="str"><v>Link Ad</v></cell><cell r="X5360" t="str"><v>1x1</v></cell></row><row r="5360"><cell r="AA5360"><v>43320</v></cell><cell r="AB5360" t="str"><v>GBR_gaPMG_CE_AZR_Q1_19_Trial-Social</v></cell><cell r="AC5360"><v>21337013</v></cell><cell r="AD5360"><v>720196</v></cell><cell r="AE5360" t="str"><v>Facebook</v></cell><cell r="AF5360"><v>3654128</v></cell><cell r="AG5360" t="str"><v>Facebook»Audience & Interest Targeting»1x1»SocialBan»LIA»DT»DYN»AUT»W»NA»SS»NA»Free Account Refresh- 12 months ChE</v></cell><cell r="AH5360"><v>223567691</v></cell><cell r="AI5360" t="str"><v>AzurePlatform_FreeAcctAppsFACEBOOK12monthsChE_GBR_1200x628_SOC_PLAT_EN_Trial_Standard_NA_SU_T5_1</v></cell><cell r="AJ5360"><v>102854007</v></cell></row><row r="5361"><cell r="C5361" t="str"><v>43320Facebook»Audience & Interest Targeting»1x1»SocialBan»LIA»DT»DYN»AUT»W»NA»SS»NA»Free Account Refresh- 200 Credit ChD</v></cell><cell r="D5361" t="str"><v>43320223560359</v></cell><cell r="E5361" t="str"><v>43320103005662it ChD</v></cell><cell r="F5361" t="str"><v>DCM</v></cell><cell r="G5361" t="str"><v>https://azure.microsoft.com/en-gb/free/search/</v></cell></row><row r="5361"><cell r="K5361" t="str"><v>August</v></cell><cell r="L5361"><v>43323</v></cell><cell r="M5361" t="str"><v>Tier 1</v></cell><cell r="N5361" t="str"><v>EMEA</v></cell><cell r="O5361" t="str"><v>United Kingdom</v></cell><cell r="P5361" t="str"><v>Trial</v></cell><cell r="Q5361" t="str"><v>Social</v></cell><cell r="R5361" t="str"><v>Azure</v></cell><cell r="S5361" t="str"><v>Apps & Infra</v></cell><cell r="T5361" t="str"><v>Developers & ITI's</v></cell><cell r="U5361" t="str"><v>Audience & Interest Targeting</v></cell><cell r="V5361" t="str"><v>Audience Targeting</v></cell><cell r="W5361" t="str"><v>Link Ad</v></cell><cell r="X5361" t="str"><v>1x1</v></cell></row><row r="5361"><cell r="AA5361"><v>43320</v></cell><cell r="AB5361" t="str"><v>GBR_gaPMG_CE_AZR_Q1_19_Trial-Social</v></cell><cell r="AC5361"><v>21337013</v></cell><cell r="AD5361"><v>720196</v></cell><cell r="AE5361" t="str"><v>Facebook</v></cell><cell r="AF5361"><v>3654128</v></cell><cell r="AG5361" t="str"><v>Facebook»Audience & Interest Targeting»1x1»SocialBan»LIA»DT»DYN»AUT»W»NA»SS»NA»Free Account Refresh- 200 Credit ChD</v></cell><cell r="AH5361"><v>223560359</v></cell><cell r="AI5361" t="str"><v>AzurePlatform_FreeAcctAppsFACEBOOK200CreditChD_GBR_1200x628_SOC_PLAT_EN_Trial_Standard_NA_SU_T4_1</v></cell><cell r="AJ5361"><v>103005662</v></cell></row><row r="5362"><cell r="C5362" t="str"><v>43320Facebook»Audience & Interest Targeting»1x1»SocialBan»LIA»DT»DYN»AUT»W»NA»SS»NA»Free Account Refresh- Device ChB</v></cell><cell r="D5362" t="str"><v>43320223560353</v></cell><cell r="E5362" t="str"><v>43320102854010ce ChB</v></cell><cell r="F5362" t="str"><v>DCM</v></cell><cell r="G5362" t="str"><v>https://azure.microsoft.com/en-gb/free/search/</v></cell></row><row r="5362"><cell r="K5362" t="str"><v>August</v></cell><cell r="L5362"><v>43323</v></cell><cell r="M5362" t="str"><v>Tier 1</v></cell><cell r="N5362" t="str"><v>EMEA</v></cell><cell r="O5362" t="str"><v>United Kingdom</v></cell><cell r="P5362" t="str"><v>Trial</v></cell><cell r="Q5362" t="str"><v>Social</v></cell><cell r="R5362" t="str"><v>Azure</v></cell><cell r="S5362" t="str"><v>Apps & Infra</v></cell><cell r="T5362" t="str"><v>Developers & ITI's</v></cell><cell r="U5362" t="str"><v>Audience & Interest Targeting</v></cell><cell r="V5362" t="str"><v>Audience Targeting</v></cell><cell r="W5362" t="str"><v>Link Ad</v></cell><cell r="X5362" t="str"><v>1x1</v></cell></row><row r="5362"><cell r="AA5362"><v>43320</v></cell><cell r="AB5362" t="str"><v>GBR_gaPMG_CE_AZR_Q1_19_Trial-Social</v></cell><cell r="AC5362"><v>21337013</v></cell><cell r="AD5362"><v>720196</v></cell><cell r="AE5362" t="str"><v>Facebook</v></cell><cell r="AF5362"><v>3654128</v></cell><cell r="AG5362" t="str"><v>Facebook»Audience & Interest Targeting»1x1»SocialBan»LIA»DT»DYN»AUT»W»NA»SS»NA»Free Account Refresh- Device ChB</v></cell><cell r="AH5362"><v>223560353</v></cell><cell r="AI5362" t="str"><v>AzurePlatform_FreeAcctAppsFACEBOOKDeviceChB_GBR_1200x628_SOC_PLAT_EN_Trial_Standard_NA_SU_T2_1</v></cell><cell r="AJ5362"><v>102854010</v></cell></row><row r="5363"><cell r="C5363" t="str"><v>43320Facebook»Audience & Interest Targeting»1x1»SocialBan»LIA»DT»DYN»AUT»W»NA»SS»NA»Free Account Refresh- Illustration ChC</v></cell><cell r="D5363" t="str"><v>43320223560347</v></cell><cell r="E5363" t="str"><v>43320102857037on ChC</v></cell><cell r="F5363" t="str"><v>DCM</v></cell><cell r="G5363" t="str"><v>https://azure.microsoft.com/en-gb/free/search/</v></cell></row><row r="5363"><cell r="K5363" t="str"><v>August</v></cell><cell r="L5363"><v>43323</v></cell><cell r="M5363" t="str"><v>Tier 1</v></cell><cell r="N5363" t="str"><v>EMEA</v></cell><cell r="O5363" t="str"><v>United Kingdom</v></cell><cell r="P5363" t="str"><v>Trial</v></cell><cell r="Q5363" t="str"><v>Social</v></cell><cell r="R5363" t="str"><v>Azure</v></cell><cell r="S5363" t="str"><v>Apps & Infra</v></cell><cell r="T5363" t="str"><v>Developers & ITI's</v></cell><cell r="U5363" t="str"><v>Audience & Interest Targeting</v></cell><cell r="V5363" t="str"><v>Audience Targeting</v></cell><cell r="W5363" t="str"><v>Link Ad</v></cell><cell r="X5363" t="str"><v>1x1</v></cell></row><row r="5363"><cell r="AA5363"><v>43320</v></cell><cell r="AB5363" t="str"><v>GBR_gaPMG_CE_AZR_Q1_19_Trial-Social</v></cell><cell r="AC5363"><v>21337013</v></cell><cell r="AD5363"><v>720196</v></cell><cell r="AE5363" t="str"><v>Facebook</v></cell><cell r="AF5363"><v>3654128</v></cell><cell r="AG5363" t="str"><v>Facebook»Audience & Interest Targeting»1x1»SocialBan»LIA»DT»DYN»AUT»W»NA»SS»NA»Free Account Refresh- Illustration ChC</v></cell><cell r="AH5363"><v>223560347</v></cell><cell r="AI5363" t="str"><v>AzurePlatform_FreeAcctAppsFACEBOOKIllustrationChC_GBR_1200x628_SOC_PLAT_EN_Trial_Standard_NA_SU_T3_1</v></cell><cell r="AJ5363"><v>102857037</v></cell></row><row r="5364"><cell r="C5364" t="str"><v>43320Facebook»Audience & Interest Targeting»1x1»SocialBan»LIA»DT»DYN»AUT»W»NA»SS»NA»Free Account Refresh- Lifestyle ChA</v></cell><cell r="D5364" t="str"><v>43320223560341</v></cell><cell r="E5364" t="str"><v>43320102853597le ChA</v></cell><cell r="F5364" t="str"><v>DCM</v></cell><cell r="G5364" t="str"><v>https://azure.microsoft.com/en-gb/free/search/</v></cell></row><row r="5364"><cell r="K5364" t="str"><v>August</v></cell><cell r="L5364"><v>43323</v></cell><cell r="M5364" t="str"><v>Tier 1</v></cell><cell r="N5364" t="str"><v>EMEA</v></cell><cell r="O5364" t="str"><v>United Kingdom</v></cell><cell r="P5364" t="str"><v>Trial</v></cell><cell r="Q5364" t="str"><v>Social</v></cell><cell r="R5364" t="str"><v>Azure</v></cell><cell r="S5364" t="str"><v>Apps & Infra</v></cell><cell r="T5364" t="str"><v>Developers & ITI's</v></cell><cell r="U5364" t="str"><v>Audience & Interest Targeting</v></cell><cell r="V5364" t="str"><v>Audience Targeting</v></cell><cell r="W5364" t="str"><v>Link Ad</v></cell><cell r="X5364" t="str"><v>1x1</v></cell></row><row r="5364"><cell r="AA5364"><v>43320</v></cell><cell r="AB5364" t="str"><v>GBR_gaPMG_CE_AZR_Q1_19_Trial-Social</v></cell><cell r="AC5364"><v>21337013</v></cell><cell r="AD5364"><v>720196</v></cell><cell r="AE5364" t="str"><v>Facebook</v></cell><cell r="AF5364"><v>3654128</v></cell><cell r="AG5364" t="str"><v>Facebook»Audience & Interest Targeting»1x1»SocialBan»LIA»DT»DYN»AUT»W»NA»SS»NA»Free Account Refresh- Lifestyle ChA</v></cell><cell r="AH5364"><v>223560341</v></cell><cell r="AI5364" t="str"><v>AzurePlatform_FreeAcctAppsFACEBOOKLifestyleChA_GBR_1200x628_SOC_PLAT_EN_Trial_Standard_NA_SU_T1_1</v></cell><cell r="AJ5364"><v>102853597</v></cell></row><row r="5365"><cell r="C5365" t="str"><v>43320Facebook»Retargeting»1x1»SocialBan»LIA»DT»DYN»RT»W»NA»SS»NA»Free Account Retargeting Generic- Global Alt ChB</v></cell><cell r="D5365" t="str"><v>43320223560356</v></cell><cell r="E5365" t="str"><v>43320102854016lt ChB</v></cell><cell r="F5365" t="str"><v>DCM</v></cell><cell r="G5365" t="str"><v>https://azure.microsoft.com/en-gb/free/search/</v></cell></row><row r="5365"><cell r="K5365" t="str"><v>August</v></cell><cell r="L5365"><v>43323</v></cell><cell r="M5365" t="str"><v>Tier 1</v></cell><cell r="N5365" t="str"><v>EMEA</v></cell><cell r="O5365" t="str"><v>United Kingdom</v></cell><cell r="P5365" t="str"><v>Trial</v></cell><cell r="Q5365" t="str"><v>Social</v></cell><cell r="R5365" t="str"><v>Azure</v></cell><cell r="S5365" t="str"><v>Apps & Infra</v></cell><cell r="T5365" t="str"><v>Developers & ITI's</v></cell><cell r="U5365" t="str"><v>Retargeting</v></cell><cell r="V5365" t="str"><v>Retargeting</v></cell><cell r="W5365" t="str"><v>Link Ad</v></cell><cell r="X5365" t="str"><v>1x1</v></cell></row><row r="5365"><cell r="AA5365"><v>43320</v></cell><cell r="AB5365" t="str"><v>GBR_gaPMG_CE_AZR_Q1_19_Trial-Social</v></cell><cell r="AC5365"><v>21337013</v></cell><cell r="AD5365"><v>720196</v></cell><cell r="AE5365" t="str"><v>Facebook</v></cell><cell r="AF5365"><v>3654128</v></cell><cell r="AG5365" t="str"><v>Facebook»Retargeting»1x1»SocialBan»LIA»DT»DYN»RT»W»NA»SS»NA»Free Account Retargeting Generic- Global Alt ChB</v></cell><cell r="AH5365"><v>223560356</v></cell><cell r="AI5365" t="str"><v>AzurePlatform_FreeAcctRetargetingFB-GlobalAlt-ChB_GBR_1200x628_SOC_Plat_EN_Free Account_Standard_NA_SU_T2_1</v></cell><cell r="AJ5365"><v>102854016</v></cell></row><row r="5366"><cell r="C5366" t="str"><v>43320Facebook»Retargeting»1x1»SocialBan»LIA»DT»DYN»RT»W»NA»SS»NA»Free Account Retargeting OSS- Logos ChG</v></cell><cell r="D5366" t="str"><v>43320223560350</v></cell><cell r="E5366" t="str"><v>43320103006547os ChG</v></cell><cell r="F5366" t="str"><v>DCM</v></cell><cell r="G5366" t="str"><v>https://azure.microsoft.com/en-gb/free/open-source/search/</v></cell></row><row r="5366"><cell r="K5366" t="str"><v>August</v></cell><cell r="L5366"><v>43323</v></cell><cell r="M5366" t="str"><v>Tier 1</v></cell><cell r="N5366" t="str"><v>EMEA</v></cell><cell r="O5366" t="str"><v>United Kingdom</v></cell><cell r="P5366" t="str"><v>Trial</v></cell><cell r="Q5366" t="str"><v>Social</v></cell><cell r="R5366" t="str"><v>Azure</v></cell><cell r="S5366" t="str"><v>Apps & Infra</v></cell><cell r="T5366" t="str"><v>Developers & ITI's</v></cell><cell r="U5366" t="str"><v>Retargeting</v></cell><cell r="V5366" t="str"><v>Retargeting</v></cell><cell r="W5366" t="str"><v>Link Ad</v></cell><cell r="X5366" t="str"><v>1x1</v></cell></row><row r="5366"><cell r="AA5366"><v>43320</v></cell><cell r="AB5366" t="str"><v>GBR_gaPMG_CE_AZR_Q1_19_Trial-Social</v></cell><cell r="AC5366"><v>21337013</v></cell><cell r="AD5366"><v>720196</v></cell><cell r="AE5366" t="str"><v>Facebook</v></cell><cell r="AF5366"><v>3654128</v></cell><cell r="AG5366" t="str"><v>Facebook»Retargeting»1x1»SocialBan»LIA»DT»DYN»RT»W»NA»SS»NA»Free Account Retargeting OSS- Logos ChG</v></cell><cell r="AH5366"><v>223560350</v></cell><cell r="AI5366" t="str"><v>AzurePlatform_FreeAcctRetargetingOSSFB-Logos-ChG_GBR_1200x628_SOC_Plat_EN_Free Account_Standard_NA_SU_T2_1</v></cell><cell r="AJ5366"><v>103006547</v></cell></row><row r="5367"><cell r="C5367" t="str"><v>43320Facebook»Retargeting»1x1»SocialBan»LIA»DT»DYN»RT»W»NA»SS»NA»Free Account Retargeting OSS- Text ChF</v></cell><cell r="D5367" t="str"><v>43320223560344</v></cell><cell r="E5367" t="str"><v>43320102861246xt ChF</v></cell><cell r="F5367" t="str"><v>DCM</v></cell><cell r="G5367" t="str"><v>https://azure.microsoft.com/en-gb/free/open-source/search/</v></cell></row><row r="5367"><cell r="K5367" t="str"><v>August</v></cell><cell r="L5367"><v>43323</v></cell><cell r="M5367" t="str"><v>Tier 1</v></cell><cell r="N5367" t="str"><v>EMEA</v></cell><cell r="O5367" t="str"><v>United Kingdom</v></cell><cell r="P5367" t="str"><v>Trial</v></cell><cell r="Q5367" t="str"><v>Social</v></cell><cell r="R5367" t="str"><v>Azure</v></cell><cell r="S5367" t="str"><v>Apps & Infra</v></cell><cell r="T5367" t="str"><v>Developers & ITI's</v></cell><cell r="U5367" t="str"><v>Retargeting</v></cell><cell r="V5367" t="str"><v>Retargeting</v></cell><cell r="W5367" t="str"><v>Link Ad</v></cell><cell r="X5367" t="str"><v>1x1</v></cell></row><row r="5367"><cell r="AA5367"><v>43320</v></cell><cell r="AB5367" t="str"><v>GBR_gaPMG_CE_AZR_Q1_19_Trial-Social</v></cell><cell r="AC5367"><v>21337013</v></cell><cell r="AD5367"><v>720196</v></cell><cell r="AE5367" t="str"><v>Facebook</v></cell><cell r="AF5367"><v>3654128</v></cell><cell r="AG5367" t="str"><v>Facebook»Retargeting»1x1»SocialBan»LIA»DT»DYN»RT»W»NA»SS»NA»Free Account Retargeting OSS- Text ChF</v></cell><cell r="AH5367"><v>223560344</v></cell><cell r="AI5367" t="str"><v>AzurePlatform_FreeAcctRetargetingOSSFB-Text-ChF_GBR_1200x628_SOC_Plat_EN_Free Account_Standard_NA_SU_T1_1</v></cell><cell r="AJ5367"><v>102861246</v></cell></row><row r="5368"><cell r="C5368" t="str"><v>43320Facebook»Retargeting»1x1»SocialBan»LIA»DT»DYN»RT»W»NA»SS»NA»Free Account Retargeting VM- 750 Hrs ChD</v></cell><cell r="D5368" t="str"><v>43320223560338</v></cell><cell r="E5368" t="str"><v>43320102853603rs ChD</v></cell><cell r="F5368" t="str"><v>DCM</v></cell><cell r="G5368" t="str"><v>https://azure.microsoft.com/en-gb/free/virtual-machines/search/</v></cell></row><row r="5368"><cell r="K5368" t="str"><v>August</v></cell><cell r="L5368"><v>43323</v></cell><cell r="M5368" t="str"><v>Tier 1</v></cell><cell r="N5368" t="str"><v>EMEA</v></cell><cell r="O5368" t="str"><v>United Kingdom</v></cell><cell r="P5368" t="str"><v>Trial</v></cell><cell r="Q5368" t="str"><v>Social</v></cell><cell r="R5368" t="str"><v>Azure</v></cell><cell r="S5368" t="str"><v>Apps & Infra</v></cell><cell r="T5368" t="str"><v>Developers & ITI's</v></cell><cell r="U5368" t="str"><v>Retargeting</v></cell><cell r="V5368" t="str"><v>Retargeting</v></cell><cell r="W5368" t="str"><v>Link Ad</v></cell><cell r="X5368" t="str"><v>1x1</v></cell></row><row r="5368"><cell r="AA5368"><v>43320</v></cell><cell r="AB5368" t="str"><v>GBR_gaPMG_CE_AZR_Q1_19_Trial-Social</v></cell><cell r="AC5368"><v>21337013</v></cell><cell r="AD5368"><v>720196</v></cell><cell r="AE5368" t="str"><v>Facebook</v></cell><cell r="AF5368"><v>3654128</v></cell><cell r="AG5368" t="str"><v>Facebook»Retargeting»1x1»SocialBan»LIA»DT»DYN»RT»W»NA»SS»NA»Free Account Retargeting VM- 750 Hrs ChD</v></cell><cell r="AH5368"><v>223560338</v></cell><cell r="AI5368" t="str"><v>AzurePlatform_FreeAcctRetargetingVMFB-750Hrs-ChD_GBR_1200x628_SOC_Plat_EN_Free Account_Standard_NA_SU_T1_1</v></cell><cell r="AJ5368"><v>102853603</v></cell></row><row r="5369"><cell r="C5369" t="str"><v>43320Facebook»Retargeting»1x1»SocialBan»LIA»DT»DYN»RT»W»NA»SS»NA»Free Account Retargeting VM- On Demand ChE</v></cell><cell r="D5369" t="str"><v>43320223560332</v></cell><cell r="E5369" t="str"><v>43320102854037nd ChE</v></cell><cell r="F5369" t="str"><v>DCM</v></cell><cell r="G5369" t="str"><v>https://azure.microsoft.com/en-gb/free/virtual-machines/search/</v></cell></row><row r="5369"><cell r="K5369" t="str"><v>August</v></cell><cell r="L5369"><v>43323</v></cell><cell r="M5369" t="str"><v>Tier 1</v></cell><cell r="N5369" t="str"><v>EMEA</v></cell><cell r="O5369" t="str"><v>United Kingdom</v></cell><cell r="P5369" t="str"><v>Trial</v></cell><cell r="Q5369" t="str"><v>Social</v></cell><cell r="R5369" t="str"><v>Azure</v></cell><cell r="S5369" t="str"><v>Apps & Infra</v></cell><cell r="T5369" t="str"><v>Developers & ITI's</v></cell><cell r="U5369" t="str"><v>Retargeting</v></cell><cell r="V5369" t="str"><v>Retargeting</v></cell><cell r="W5369" t="str"><v>Link Ad</v></cell><cell r="X5369" t="str"><v>1x1</v></cell></row><row r="5369"><cell r="AA5369"><v>43320</v></cell><cell r="AB5369" t="str"><v>GBR_gaPMG_CE_AZR_Q1_19_Trial-Social</v></cell><cell r="AC5369"><v>21337013</v></cell><cell r="AD5369"><v>720196</v></cell><cell r="AE5369" t="str"><v>Facebook</v></cell><cell r="AF5369"><v>3654128</v></cell><cell r="AG5369" t="str"><v>Facebook»Retargeting»1x1»SocialBan»LIA»DT»DYN»RT»W»NA»SS»NA»Free Account Retargeting VM- On Demand ChE</v></cell><cell r="AH5369"><v>223560332</v></cell><cell r="AI5369" t="str"><v>AzurePlatform_FreeAcctRetargetingVMFB-OnDemand-ChE_GBR_1200x628_SOC_Plat_EN_Free Account_Standard_NA_SU_T2_1</v></cell><cell r="AJ5369"><v>102854037</v></cell></row><row r="5370"><cell r="C5370" t="str"><v>43320Facebook»AZP-Canvas-Interest&Role-Trial»1x1»Canvas»OTH»MO»CPM»PRO»X»UNK»TP»OT»Canvas-Trial</v></cell><cell r="D5370" t="str"><v>43320223298805</v></cell><cell r="E5370" t="str"><v>43320102630373-Trial</v></cell><cell r="F5370" t="str"><v>DCM</v></cell><cell r="G5370" t="str"><v>https://azure.microsoft.com/ja-jp/pricing/purchase-options/</v></cell></row><row r="5370"><cell r="K5370" t="str"><v>August</v></cell><cell r="L5370"><v>43323</v></cell><cell r="M5370" t="str"><v>Tier 1</v></cell><cell r="N5370" t="str"><v>APAC</v></cell><cell r="O5370" t="str"><v>Japan</v></cell><cell r="P5370" t="str"><v>Trial</v></cell><cell r="Q5370" t="str"><v>Social</v></cell><cell r="R5370" t="str"><v>Azure</v></cell><cell r="S5370" t="str"><v>Apps & Infra</v></cell><cell r="T5370" t="str"><v>Developers & ITI's</v></cell><cell r="U5370" t="str"><v>AZP-Canvas-Interest&Role-Trial</v></cell><cell r="V5370" t="str"><v>Prospecting</v></cell><cell r="W5370" t="str"><v>Other</v></cell><cell r="X5370" t="str"><v>1x1</v></cell></row><row r="5370"><cell r="AA5370"><v>43320</v></cell><cell r="AB5370" t="str"><v>JPN_gaPMG_AZR_AZR_Q1_19_Trial-Social</v></cell><cell r="AC5370"><v>21276694</v></cell><cell r="AD5370"><v>720195</v></cell><cell r="AE5370" t="str"><v>Facebook</v></cell><cell r="AF5370"><v>3654128</v></cell><cell r="AG5370" t="str"><v>Facebook»AZP-Canvas-Interest&Role-Trial»1x1»Canvas»OTH»MO»CPM»PRO»X»UNK»TP»OT»Canvas-Trial</v></cell><cell r="AH5370"><v>223298805</v></cell><cell r="AI5370" t="str"><v>AzurePlatform_FBCTCcanvaspage-BuyNowCTA-Img3_JPN_1080x162_SOC_Plat_Japanese_NA_Standard_NA_BN_T3_1</v></cell><cell r="AJ5370"><v>102630373</v></cell></row><row r="5371"><cell r="C5371" t="str"><v>43320Facebook»AZP-Canvas-Interest&Role-Trial»1x1»Canvas»OTH»MO»CPM»PRO»X»UNK»TP»OT»Canvas-Trial</v></cell><cell r="D5371" t="str"><v>43320223298805</v></cell><cell r="E5371" t="str"><v>43320102609621-Trial</v></cell><cell r="F5371" t="str"><v>DCM</v></cell><cell r="G5371" t="str"><v>https://signup.azure.com/signup?offer=ms-azr-0044p&appId=102&ref=paidmedia-social-fb&redirectURL=https%3a%2f%2fazure.microsoft.com%2fja-jp%2fget-started%2fwelcome-to-azure%2f&l=ja-jp&correlationId=ead86c34-1f10-49dd-a72b-6918462a2cbf</v></cell></row><row r="5371"><cell r="K5371" t="str"><v>August</v></cell><cell r="L5371"><v>43323</v></cell><cell r="M5371" t="str"><v>Tier 1</v></cell><cell r="N5371" t="str"><v>APAC</v></cell><cell r="O5371" t="str"><v>Japan</v></cell><cell r="P5371" t="str"><v>Trial</v></cell><cell r="Q5371" t="str"><v>Social</v></cell><cell r="R5371" t="str"><v>Azure</v></cell><cell r="S5371" t="str"><v>Apps & Infra</v></cell><cell r="T5371" t="str"><v>Developers & ITI's</v></cell><cell r="U5371" t="str"><v>AZP-Canvas-Interest&Role-Trial</v></cell><cell r="V5371" t="str"><v>Prospecting</v></cell><cell r="W5371" t="str"><v>Other</v></cell><cell r="X5371" t="str"><v>1x1</v></cell></row><row r="5371"><cell r="AA5371"><v>43320</v></cell><cell r="AB5371" t="str"><v>JPN_gaPMG_AZR_AZR_Q1_19_Trial-Social</v></cell><cell r="AC5371"><v>21276694</v></cell><cell r="AD5371"><v>720195</v></cell><cell r="AE5371" t="str"><v>Facebook</v></cell><cell r="AF5371"><v>3654128</v></cell><cell r="AG5371" t="str"><v>Facebook»AZP-Canvas-Interest&Role-Trial»1x1»Canvas»OTH»MO»CPM»PRO»X»UNK»TP»OT»Canvas-Trial</v></cell><cell r="AH5371"><v>223298805</v></cell><cell r="AI5371" t="str"><v>AzurePlatform_FBCTCcanvaspage-StartFreeCTA-Img2_JPN_1080x143 _SOC_Plat_Japanese_NA_Standard_NA_NA_T2_1</v></cell><cell r="AJ5371"><v>102609621</v></cell></row><row r="5372"><cell r="C5372" t="str"><v>43320Facebook»AZP-Canvas-Look a Like-Trial»1x1»Canvas»OTH»MO»CPM»PRO»X»UNK»TP»OT»Canvas-Trial</v></cell><cell r="D5372" t="str"><v>43320223297413</v></cell><cell r="E5372" t="str"><v>43320102630373-Trial</v></cell><cell r="F5372" t="str"><v>DCM</v></cell><cell r="G5372" t="str"><v>https://azure.microsoft.com/ja-jp/pricing/purchase-options/</v></cell></row><row r="5372"><cell r="K5372" t="str"><v>August</v></cell><cell r="L5372"><v>43323</v></cell><cell r="M5372" t="str"><v>Tier 1</v></cell><cell r="N5372" t="str"><v>APAC</v></cell><cell r="O5372" t="str"><v>Japan</v></cell><cell r="P5372" t="str"><v>Trial</v></cell><cell r="Q5372" t="str"><v>Social</v></cell><cell r="R5372" t="str"><v>Azure</v></cell><cell r="S5372" t="str"><v>Apps & Infra</v></cell><cell r="T5372" t="str"><v>Developers & ITI's</v></cell><cell r="U5372" t="str"><v>AZP-Canvas-Look a Like-Trial</v></cell><cell r="V5372" t="str"><v>Prospecting</v></cell><cell r="W5372" t="str"><v>Other</v></cell><cell r="X5372" t="str"><v>1x1</v></cell></row><row r="5372"><cell r="AA5372"><v>43320</v></cell><cell r="AB5372" t="str"><v>JPN_gaPMG_AZR_AZR_Q1_19_Trial-Social</v></cell><cell r="AC5372"><v>21276694</v></cell><cell r="AD5372"><v>720195</v></cell><cell r="AE5372" t="str"><v>Facebook</v></cell><cell r="AF5372"><v>3654128</v></cell><cell r="AG5372" t="str"><v>Facebook»AZP-Canvas-Look a Like-Trial»1x1»Canvas»OTH»MO»CPM»PRO»X»UNK»TP»OT»Canvas-Trial</v></cell><cell r="AH5372"><v>223297413</v></cell><cell r="AI5372" t="str"><v>AzurePlatform_FBCTCcanvaspage-BuyNowCTA-Img3_JPN_1080x162_SOC_Plat_Japanese_NA_Standard_NA_BN_T3_1</v></cell><cell r="AJ5372"><v>102630373</v></cell></row><row r="5373"><cell r="C5373" t="str"><v>43320Facebook»AZP-Canvas-Look a Like-Trial»1x1»Canvas»OTH»MO»CPM»PRO»X»UNK»TP»OT»Canvas-Trial</v></cell><cell r="D5373" t="str"><v>43320223297413</v></cell><cell r="E5373" t="str"><v>43320102609621-Trial</v></cell><cell r="F5373" t="str"><v>DCM</v></cell><cell r="G5373" t="str"><v>https://signup.azure.com/signup?offer=ms-azr-0044p&appId=102&ref=paidmedia-social-fb&redirectURL=https%3a%2f%2fazure.microsoft.com%2fja-jp%2fget-started%2fwelcome-to-azure%2f&l=ja-jp&correlationId=ead86c34-1f10-49dd-a72b-6918462a2cbf</v></cell></row><row r="5373"><cell r="K5373" t="str"><v>August</v></cell><cell r="L5373"><v>43323</v></cell><cell r="M5373" t="str"><v>Tier 1</v></cell><cell r="N5373" t="str"><v>APAC</v></cell><cell r="O5373" t="str"><v>Japan</v></cell><cell r="P5373" t="str"><v>Trial</v></cell><cell r="Q5373" t="str"><v>Social</v></cell><cell r="R5373" t="str"><v>Azure</v></cell><cell r="S5373" t="str"><v>Apps & Infra</v></cell><cell r="T5373" t="str"><v>Developers & ITI's</v></cell><cell r="U5373" t="str"><v>AZP-Canvas-Look a Like-Trial</v></cell><cell r="V5373" t="str"><v>Prospecting</v></cell><cell r="W5373" t="str"><v>Other</v></cell><cell r="X5373" t="str"><v>1x1</v></cell></row><row r="5373"><cell r="AA5373"><v>43320</v></cell><cell r="AB5373" t="str"><v>JPN_gaPMG_AZR_AZR_Q1_19_Trial-Social</v></cell><cell r="AC5373"><v>21276694</v></cell><cell r="AD5373"><v>720195</v></cell><cell r="AE5373" t="str"><v>Facebook</v></cell><cell r="AF5373"><v>3654128</v></cell><cell r="AG5373" t="str"><v>Facebook»AZP-Canvas-Look a Like-Trial»1x1»Canvas»OTH»MO»CPM»PRO»X»UNK»TP»OT»Canvas-Trial</v></cell><cell r="AH5373"><v>223297413</v></cell><cell r="AI5373" t="str"><v>AzurePlatform_FBCTCcanvaspage-StartFreeCTA-Img2_JPN_1080x143 _SOC_Plat_Japanese_NA_Standard_NA_NA_T2_1</v></cell><cell r="AJ5373"><v>102609621</v></cell></row><row r="5374"><cell r="C5374" t="str"><v>43320Facebook»AZP-Retargeting»1x1»Ban»LIA»ALL»CPM»RT»X»All»TP»OT»Free Account Retargeting OSS-ChF</v></cell><cell r="D5374" t="str"><v>43320223726368</v></cell><cell r="E5374" t="str"><v>43320102974750SS-ChF</v></cell><cell r="F5374" t="str"><v>DCM</v></cell><cell r="G5374" t="str"><v>https://azure.microsoft.com/ja-jp/free/open-source/search/</v></cell></row><row r="5374"><cell r="K5374" t="str"><v>August</v></cell><cell r="L5374"><v>43323</v></cell><cell r="M5374" t="str"><v>Tier 1</v></cell><cell r="N5374" t="str"><v>APAC</v></cell><cell r="O5374" t="str"><v>Japan</v></cell><cell r="P5374" t="str"><v>Trial</v></cell><cell r="Q5374" t="str"><v>Social</v></cell><cell r="R5374" t="str"><v>Azure</v></cell><cell r="S5374" t="str"><v>Apps & Infra</v></cell><cell r="T5374" t="str"><v>Developers & ITI's</v></cell><cell r="U5374" t="str"><v>AZP-Retargeting</v></cell><cell r="V5374" t="str"><v>Retargeting</v></cell><cell r="W5374" t="str"><v>Link Ad</v></cell><cell r="X5374" t="str"><v>1x1</v></cell></row><row r="5374"><cell r="AA5374"><v>43320</v></cell><cell r="AB5374" t="str"><v>JPN_gaPMG_AZR_AZR_Q1_19_Trial-Social</v></cell><cell r="AC5374"><v>21276694</v></cell><cell r="AD5374"><v>720195</v></cell><cell r="AE5374" t="str"><v>Facebook</v></cell><cell r="AF5374"><v>3654128</v></cell><cell r="AG5374" t="str"><v>Facebook»AZP-Retargeting»1x1»Ban»LIA»ALL»CPM»RT»X»All»TP»OT»Free Account Retargeting OSS-ChF</v></cell><cell r="AH5374"><v>223726368</v></cell><cell r="AI5374" t="str"><v>AzurePlatform_FreeAcctRetargetingOSSFB-Text-ChF_JPN_1200x628_SOC_Plat_JA_Free Account_Standard_NA_SU_T1_1</v></cell><cell r="AJ5374"><v>102974750</v></cell></row><row r="5375"><cell r="C5375" t="str"><v>43320Facebook»AZP-Retargeting»1x1»Ban»LIA»ALL»CPM»RT»X»All»TP»OT»Free Account Retargeting VM-ChD</v></cell><cell r="D5375" t="str"><v>43320223726374</v></cell><cell r="E5375" t="str"><v>43320102971306VM-ChD</v></cell><cell r="F5375" t="str"><v>DCM</v></cell><cell r="G5375" t="str"><v>https://azure.microsoft.com/ja-jp/free/virtual-machines/search/</v></cell></row><row r="5375"><cell r="K5375" t="str"><v>August</v></cell><cell r="L5375"><v>43323</v></cell><cell r="M5375" t="str"><v>Tier 1</v></cell><cell r="N5375" t="str"><v>APAC</v></cell><cell r="O5375" t="str"><v>Japan</v></cell><cell r="P5375" t="str"><v>Trial</v></cell><cell r="Q5375" t="str"><v>Social</v></cell><cell r="R5375" t="str"><v>Azure</v></cell><cell r="S5375" t="str"><v>Apps & Infra</v></cell><cell r="T5375" t="str"><v>Developers & ITI's</v></cell><cell r="U5375" t="str"><v>AZP-Retargeting</v></cell><cell r="V5375" t="str"><v>Retargeting</v></cell><cell r="W5375" t="str"><v>Link Ad</v></cell><cell r="X5375" t="str"><v>1x1</v></cell></row><row r="5375"><cell r="AA5375"><v>43320</v></cell><cell r="AB5375" t="str"><v>JPN_gaPMG_AZR_AZR_Q1_19_Trial-Social</v></cell><cell r="AC5375"><v>21276694</v></cell><cell r="AD5375"><v>720195</v></cell><cell r="AE5375" t="str"><v>Facebook</v></cell><cell r="AF5375"><v>3654128</v></cell><cell r="AG5375" t="str"><v>Facebook»AZP-Retargeting»1x1»Ban»LIA»ALL»CPM»RT»X»All»TP»OT»Free Account Retargeting VM-ChD</v></cell><cell r="AH5375"><v>223726374</v></cell><cell r="AI5375" t="str"><v>AzurePlatform_FreeAcctRetargetingVMFB-750Hrs-ChD_JPN_1200x628_SOC_Plat_JA_Free Account_Standard_NA_SU_T1_1</v></cell><cell r="AJ5375"><v>102971306</v></cell></row><row r="5376"><cell r="C5376" t="str"><v>43320Facebook»AZP-Retargeting»1x1»Ban»LIA»ALL»CPM»RT»X»All»TP»OT»Free Account Retargeting VM-ChE</v></cell><cell r="D5376" t="str"><v>43320223726371</v></cell><cell r="E5376" t="str"><v>43320102977723VM-ChE</v></cell><cell r="F5376" t="str"><v>DCM</v></cell><cell r="G5376" t="str"><v>https://azure.microsoft.com/ja-jp/free/virtual-machines/search/</v></cell></row><row r="5376"><cell r="K5376" t="str"><v>August</v></cell><cell r="L5376"><v>43323</v></cell><cell r="M5376" t="str"><v>Tier 1</v></cell><cell r="N5376" t="str"><v>APAC</v></cell><cell r="O5376" t="str"><v>Japan</v></cell><cell r="P5376" t="str"><v>Trial</v></cell><cell r="Q5376" t="str"><v>Social</v></cell><cell r="R5376" t="str"><v>Azure</v></cell><cell r="S5376" t="str"><v>Apps & Infra</v></cell><cell r="T5376" t="str"><v>Developers & ITI's</v></cell><cell r="U5376" t="str"><v>AZP-Retargeting</v></cell><cell r="V5376" t="str"><v>Retargeting</v></cell><cell r="W5376" t="str"><v>Link Ad</v></cell><cell r="X5376" t="str"><v>1x1</v></cell></row><row r="5376"><cell r="AA5376"><v>43320</v></cell><cell r="AB5376" t="str"><v>JPN_gaPMG_AZR_AZR_Q1_19_Trial-Social</v></cell><cell r="AC5376"><v>21276694</v></cell><cell r="AD5376"><v>720195</v></cell><cell r="AE5376" t="str"><v>Facebook</v></cell><cell r="AF5376"><v>3654128</v></cell><cell r="AG5376" t="str"><v>Facebook»AZP-Retargeting»1x1»Ban»LIA»ALL»CPM»RT»X»All»TP»OT»Free Account Retargeting VM-ChE</v></cell><cell r="AH5376"><v>223726371</v></cell><cell r="AI5376" t="str"><v>AzurePlatform_FreeAcctRetargetingVMFB-OnDemand-ChE_JPN_1200x628_SOC_Plat_JA_Free Account_Standard_NA_SU_T2_1</v></cell><cell r="AJ5376"><v>102977723</v></cell></row><row r="5377"><cell r="C5377" t="str"><v>43320Facebook»AZP-Retargeting»1x1»Newsfeed»LIA»ALL»CPM»RT»X»UNK»SS»NA»Developer-Generic</v></cell><cell r="D5377" t="str"><v>43320225671576</v></cell><cell r="E5377" t="str"><v>43320104060550eneric</v></cell><cell r="F5377" t="str"><v>DCM</v></cell><cell r="G5377" t="str"><v>https://azure.microsoft.com/ja-jp/free/</v></cell></row><row r="5377"><cell r="K5377" t="str"><v>August</v></cell><cell r="L5377"><v>43323</v></cell><cell r="M5377" t="str"><v>Tier 1</v></cell><cell r="N5377" t="str"><v>APAC</v></cell><cell r="O5377" t="str"><v>Japan</v></cell><cell r="P5377" t="str"><v>Trial</v></cell><cell r="Q5377" t="str"><v>Social</v></cell><cell r="R5377" t="str"><v>Azure</v></cell><cell r="S5377" t="str"><v>Apps & Infra</v></cell><cell r="T5377" t="str"><v>Developers & ITI's</v></cell><cell r="U5377" t="str"><v>AZP-Retargeting</v></cell><cell r="V5377" t="str"><v>Retargeting</v></cell><cell r="W5377" t="str"><v>Link Ad</v></cell><cell r="X5377" t="str"><v>1x1</v></cell></row><row r="5377"><cell r="AA5377"><v>43320</v></cell><cell r="AB5377" t="str"><v>JPN_gaPMG_AZR_AZR_Q1_19_Trial-Social</v></cell><cell r="AC5377"><v>21276694</v></cell><cell r="AD5377"><v>720195</v></cell><cell r="AE5377" t="str"><v>Facebook</v></cell><cell r="AF5377"><v>3654128</v></cell><cell r="AG5377" t="str"><v>Facebook»AZP-Retargeting»1x1»Newsfeed»LIA»ALL»CPM»RT»X»UNK»SS»NA»Developer-Generic</v></cell><cell r="AH5377"><v>225671576</v></cell><cell r="AI5377" t="str"><v>AZR_FreeAcctDeveloperFB-AnimatedGeneric-Ch1_JPN_1200x1200_SOC_Direct_JA_Trial_Standard_ANI_LEA_T1_1</v></cell><cell r="AJ5377"><v>104060550</v></cell></row><row r="5378"><cell r="C5378" t="str"><v>43320Facebook»AZP-Retargeting»1x1»Newsfeed»LIA»ALL»CPM»RT»X»UNK»SS»NA»Developer-Intelligent Data</v></cell><cell r="D5378" t="str"><v>43320225761746</v></cell><cell r="E5378" t="str"><v>43320104064204t Data</v></cell><cell r="F5378" t="str"><v>DCM</v></cell><cell r="G5378" t="str"><v>https://azure.microsoft.com/ja-jp/free/</v></cell></row><row r="5378"><cell r="K5378" t="str"><v>August</v></cell><cell r="L5378"><v>43323</v></cell><cell r="M5378" t="str"><v>Tier 1</v></cell><cell r="N5378" t="str"><v>APAC</v></cell><cell r="O5378" t="str"><v>Japan</v></cell><cell r="P5378" t="str"><v>Trial</v></cell><cell r="Q5378" t="str"><v>Social</v></cell><cell r="R5378" t="str"><v>Azure</v></cell><cell r="S5378" t="str"><v>Apps & Infra</v></cell><cell r="T5378" t="str"><v>Developers & ITI's</v></cell><cell r="U5378" t="str"><v>AZP-Retargeting</v></cell><cell r="V5378" t="str"><v>Retargeting</v></cell><cell r="W5378" t="str"><v>Link Ad</v></cell><cell r="X5378" t="str"><v>1x1</v></cell></row><row r="5378"><cell r="AA5378"><v>43320</v></cell><cell r="AB5378" t="str"><v>JPN_gaPMG_AZR_AZR_Q1_19_Trial-Social</v></cell><cell r="AC5378"><v>21276694</v></cell><cell r="AD5378"><v>720195</v></cell><cell r="AE5378" t="str"><v>Facebook</v></cell><cell r="AF5378"><v>3654128</v></cell><cell r="AG5378" t="str"><v>Facebook»AZP-Retargeting»1x1»Newsfeed»LIA»ALL»CPM»RT»X»UNK»SS»NA»Developer-Intelligent Data</v></cell><cell r="AH5378"><v>225761746</v></cell><cell r="AI5378" t="str"><v>AZR_FreeAcctDeveloperFB-AnimatedData-Ch4_JPN_1200x1200_SOC_Direct_JA_Trial_Standard_ANI_LEA_T4_1</v></cell><cell r="AJ5378"><v>104064204</v></cell></row><row r="5379"><cell r="C5379" t="str"><v>43320FACEBOOK»USA-Trial-ITD-Interest Prospecting-AZR-AZR»1 x 1»SocialBan»CAN»ALL»CPA»PRO»X»NA»SS»NA»FBCTCBenefit2inMotion»PRC1SW</v></cell><cell r="D5379" t="str"><v>43320223933138</v></cell><cell r="E5379" t="str"><v>43320103043835PRC1SW</v></cell><cell r="F5379" t="str"><v>DCM</v></cell><cell r="G5379" t="str"><v>https://signup.azure.com/?OCID=AID%eexcid!_OLA_%ebuy!_%epid!_%ecid!</v></cell></row><row r="5379"><cell r="K5379" t="str"><v>August</v></cell><cell r="L5379"><v>43323</v></cell><cell r="M5379" t="str"><v>Tier 0</v></cell><cell r="N5379" t="str"><v>North America</v></cell><cell r="O5379" t="str"><v>United States</v></cell><cell r="P5379" t="str"><v>Trial</v></cell><cell r="Q5379" t="str"><v>Social</v></cell><cell r="R5379" t="str"><v>Azure</v></cell><cell r="S5379" t="str"><v>Apps & Infra</v></cell><cell r="T5379" t="str"><v>Developers & ITI's</v></cell><cell r="U5379" t="str"><v>USA-Trial-ITD-Interest Prospecting-AZR-AZR</v></cell><cell r="V5379" t="str"><v>Prospecting</v></cell><cell r="W5379" t="str"><v>Canvas Ad</v></cell><cell r="X5379" t="str"><v>1x1</v></cell></row><row r="5379"><cell r="AA5379"><v>43320</v></cell><cell r="AB5379" t="str"><v>USA_gaPMG_AZR_AZR_Q1_19_Direct-Social</v></cell><cell r="AC5379"><v>21358715</v></cell><cell r="AD5379"><v>720197</v></cell><cell r="AE5379" t="str"><v>Facebook</v></cell><cell r="AF5379"><v>3654128</v></cell><cell r="AG5379" t="str"><v>FACEBOOK»USA-Trial-ITD-Interest Prospecting-AZR-AZR»1 x 1»SocialBan»CAN»ALL»CPA»PRO»X»NA»SS»NA»FBCTCBenefit2inMotion»PRC1SW</v></cell><cell r="AH5379"><v>223933138</v></cell><cell r="AI5379" t="str"><v>AzurePlatform_FBCTCBenefit2inMotion_USA_10s_CAN_PLATFORM_English_Trial_Standard_STAN_TIN_T4_1</v></cell><cell r="AJ5379"><v>103043835</v></cell></row><row r="5380"><cell r="C5380" t="str"><v>43320FACEBOOK»USA-Trial-ITD-Interest Prospecting-AZR-AZR»1 x 1»SocialBan»CAN»ALL»CPA»PRO»X»NA»SS»NA»FBCTCBenefit2inMotion»PRC1SW</v></cell><cell r="D5380" t="str"><v>43320223933138</v></cell><cell r="E5380" t="str"><v>43320103178645PRC1SW</v></cell><cell r="F5380" t="str"><v>DCM</v></cell><cell r="G5380" t="str"><v>https://azure.microsoft.com/en-us/pricing/purchase-options/?v=18.19&OCID=AID%eexcid!_OLA_%ebuy!_%epid!_%ecid!</v></cell></row><row r="5380"><cell r="K5380" t="str"><v>August</v></cell><cell r="L5380"><v>43323</v></cell><cell r="M5380" t="str"><v>Tier 0</v></cell><cell r="N5380" t="str"><v>North America</v></cell><cell r="O5380" t="str"><v>United States</v></cell><cell r="P5380" t="str"><v>Trial</v></cell><cell r="Q5380" t="str"><v>Social</v></cell><cell r="R5380" t="str"><v>Azure</v></cell><cell r="S5380" t="str"><v>Apps & Infra</v></cell><cell r="T5380" t="str"><v>Developers & ITI's</v></cell><cell r="U5380" t="str"><v>USA-Trial-ITD-Interest Prospecting-AZR-AZR</v></cell><cell r="V5380" t="str"><v>Prospecting</v></cell><cell r="W5380" t="str"><v>Canvas Ad</v></cell><cell r="X5380" t="str"><v>1x1</v></cell></row><row r="5380"><cell r="AA5380"><v>43320</v></cell><cell r="AB5380" t="str"><v>USA_gaPMG_AZR_AZR_Q1_19_Direct-Social</v></cell><cell r="AC5380"><v>21358715</v></cell><cell r="AD5380"><v>720197</v></cell><cell r="AE5380" t="str"><v>Facebook</v></cell><cell r="AF5380"><v>3654128</v></cell><cell r="AG5380" t="str"><v>FACEBOOK»USA-Trial-ITD-Interest Prospecting-AZR-AZR»1 x 1»SocialBan»CAN»ALL»CPA»PRO»X»NA»SS»NA»FBCTCBenefit2inMotion»PRC1SW</v></cell><cell r="AH5380"><v>223933138</v></cell><cell r="AI5380" t="str"><v>AzurePlatform_FBCTCBenefit2inMotion_USA_10s_CAN_PLATFORM_English_Trial_Standard_STAN_TIN_T4_2</v></cell><cell r="AJ5380"><v>103178645</v></cell></row><row r="5381"><cell r="C5381" t="str"><v>43320FACEBOOK»USA-Trial-ITD-Interest Prospecting-AZR-AZR»1 x 1»SocialBan»LIA»ALL»CPA»PRO»X»NA»SS»NA»FreeAcctITProFB-AnimatedSecureMngd-Ch1»PRC1T4</v></cell><cell r="D5381" t="str"><v>43320224104914</v></cell><cell r="E5381" t="str"><v>43320103176830PRC1T4</v></cell><cell r="F5381" t="str"><v>DCM</v></cell></row><row r="5381"><cell r="K5381" t="str"><v>August</v></cell><cell r="L5381"><v>43323</v></cell><cell r="M5381" t="str"><v>Tier 0</v></cell><cell r="N5381" t="str"><v>North America</v></cell><cell r="O5381" t="str"><v>United States</v></cell><cell r="P5381" t="str"><v>Trial</v></cell><cell r="Q5381" t="str"><v>Social</v></cell><cell r="R5381" t="str"><v>Azure</v></cell><cell r="S5381" t="str"><v>Apps & Infra</v></cell><cell r="T5381" t="str"><v>Developers & ITI's</v></cell><cell r="U5381" t="str"><v>USA-Trial-ITD-Interest Prospecting-AZR-AZR</v></cell><cell r="V5381" t="str"><v>Prospecting</v></cell><cell r="W5381" t="str"><v>Link Ad</v></cell><cell r="X5381" t="str"><v>1x1</v></cell></row><row r="5381"><cell r="AA5381"><v>43320</v></cell><cell r="AB5381" t="str"><v>USA_gaPMG_AZR_AZR_Q1_19_Direct-Social</v></cell><cell r="AC5381"><v>21358715</v></cell><cell r="AD5381"><v>720197</v></cell><cell r="AE5381" t="str"><v>Facebook</v></cell><cell r="AF5381"><v>3654128</v></cell><cell r="AG5381" t="str"><v>FACEBOOK»USA-Trial-ITD-Interest Prospecting-AZR-AZR»1 x 1»SocialBan»LIA»ALL»CPA»PRO»X»NA»SS»NA»FreeAcctITProFB-AnimatedSecureMngd-Ch1»PRC1T4</v></cell><cell r="AH5381"><v>224104914</v></cell><cell r="AI5381" t="str"><v>AZR_FreeAcctITProFB-AnimatedSecureMngd-Ch1_USA_1200x1200_CAN_Direct_English_Trial_Standard_ANI_LEA_T1_1</v></cell><cell r="AJ5381"><v>103176830</v></cell></row><row r="5382"><cell r="C5382" t="str"><v>43320FACEBOOK»USA-Trial-ITD-Interest Prospecting-AZR-AZR»1 x 1»SocialBan»CCA»ALL»CPA»PRO»X»NA»SS»NA»Azure Developer Facebook Collections»PRSGV0</v></cell><cell r="D5382" t="str"><v>43320225283843</v></cell><cell r="E5382" t="str"><v>43320103773177PRSGV0</v></cell><cell r="F5382" t="str"><v>DCM</v></cell><cell r="G5382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382"><cell r="K5382" t="str"><v>August</v></cell><cell r="L5382"><v>43323</v></cell><cell r="M5382" t="str"><v>Tier 0</v></cell><cell r="N5382" t="str"><v>North America</v></cell><cell r="O5382" t="str"><v>United States</v></cell><cell r="P5382" t="str"><v>Trial</v></cell><cell r="Q5382" t="str"><v>Social</v></cell><cell r="R5382" t="str"><v>Azure</v></cell><cell r="S5382" t="str"><v>Apps & Infra</v></cell><cell r="T5382" t="str"><v>Developers & ITI's</v></cell><cell r="U5382" t="str"><v>USA-Trial-ITD-Interest Prospecting-AZR-AZR</v></cell><cell r="V5382" t="str"><v>Prospecting</v></cell><cell r="W5382" t="str"><v>Canvas Collection Ad</v></cell><cell r="X5382" t="str"><v>1x1</v></cell></row><row r="5382"><cell r="AA5382"><v>43320</v></cell><cell r="AB5382" t="str"><v>USA_gaPMG_AZR_AZR_Q1_19_Direct-Social</v></cell><cell r="AC5382"><v>21358715</v></cell><cell r="AD5382"><v>720197</v></cell><cell r="AE5382" t="str"><v>Facebook</v></cell><cell r="AF5382"><v>3654128</v></cell><cell r="AG5382" t="str"><v>FACEBOOK»USA-Trial-ITD-Interest Prospecting-AZR-AZR»1 x 1»SocialBan»CCA»ALL»CPA»PRO»X»NA»SS»NA»Azure Developer Facebook Collections»PRSGV0</v></cell><cell r="AH5382"><v>225283843</v></cell><cell r="AI5382" t="str"><v>AZR_FBCollections-AITryAzureFreeCTA-Img2_USA_1200x182_SOC_Plat_EN_NA_Standard_NA_TIN_T1_2</v></cell><cell r="AJ5382"><v>103773177</v></cell></row><row r="5383"><cell r="C5383" t="str"><v>43320FACEBOOK»USA-Trial-ITD-Interest Prospecting-AZR-AZR»1 x 1»SocialBan»CCA»ALL»CPA»PRO»X»NA»SS»NA»Azure Developer Facebook Collections»PRSGV0</v></cell><cell r="D5383" t="str"><v>43320225283843</v></cell><cell r="E5383" t="str"><v>43320103776921PRSGV0</v></cell><cell r="F5383" t="str"><v>DCM</v></cell><cell r="G5383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383"><cell r="K5383" t="str"><v>August</v></cell><cell r="L5383"><v>43323</v></cell><cell r="M5383" t="str"><v>Tier 0</v></cell><cell r="N5383" t="str"><v>North America</v></cell><cell r="O5383" t="str"><v>United States</v></cell><cell r="P5383" t="str"><v>Trial</v></cell><cell r="Q5383" t="str"><v>Social</v></cell><cell r="R5383" t="str"><v>Azure</v></cell><cell r="S5383" t="str"><v>Apps & Infra</v></cell><cell r="T5383" t="str"><v>Developers & ITI's</v></cell><cell r="U5383" t="str"><v>USA-Trial-ITD-Interest Prospecting-AZR-AZR</v></cell><cell r="V5383" t="str"><v>Prospecting</v></cell><cell r="W5383" t="str"><v>Canvas Collection Ad</v></cell><cell r="X5383" t="str"><v>1x1</v></cell></row><row r="5383"><cell r="AA5383"><v>43320</v></cell><cell r="AB5383" t="str"><v>USA_gaPMG_AZR_AZR_Q1_19_Direct-Social</v></cell><cell r="AC5383"><v>21358715</v></cell><cell r="AD5383"><v>720197</v></cell><cell r="AE5383" t="str"><v>Facebook</v></cell><cell r="AF5383"><v>3654128</v></cell><cell r="AG5383" t="str"><v>FACEBOOK»USA-Trial-ITD-Interest Prospecting-AZR-AZR»1 x 1»SocialBan»CCA»ALL»CPA»PRO»X»NA»SS»NA»Azure Developer Facebook Collections»PRSGV0</v></cell><cell r="AH5383"><v>225283843</v></cell><cell r="AI5383" t="str"><v>AZR_FBCollections-FreeStuffTryAzureFreeCTA-Img5_USA_1200x182_SOC_Plat_EN_NA_Standard_NA_TIN_T1_5</v></cell><cell r="AJ5383"><v>103776921</v></cell></row><row r="5384"><cell r="C5384" t="str"><v>43320FACEBOOK»USA-Trial-ITD-Interest Prospecting-AZR-AZR»1 x 1»SocialBan»CCA»ALL»CPA»PRO»X»NA»SS»NA»Azure Developer Facebook Collections»PRSGV0</v></cell><cell r="D5384" t="str"><v>43320225283843</v></cell><cell r="E5384" t="str"><v>43320103773180PRSGV0</v></cell><cell r="F5384" t="str"><v>DCM</v></cell><cell r="G5384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384"><cell r="K5384" t="str"><v>August</v></cell><cell r="L5384"><v>43323</v></cell><cell r="M5384" t="str"><v>Tier 0</v></cell><cell r="N5384" t="str"><v>North America</v></cell><cell r="O5384" t="str"><v>United States</v></cell><cell r="P5384" t="str"><v>Trial</v></cell><cell r="Q5384" t="str"><v>Social</v></cell><cell r="R5384" t="str"><v>Azure</v></cell><cell r="S5384" t="str"><v>Apps & Infra</v></cell><cell r="T5384" t="str"><v>Developers & ITI's</v></cell><cell r="U5384" t="str"><v>USA-Trial-ITD-Interest Prospecting-AZR-AZR</v></cell><cell r="V5384" t="str"><v>Prospecting</v></cell><cell r="W5384" t="str"><v>Canvas Collection Ad</v></cell><cell r="X5384" t="str"><v>1x1</v></cell></row><row r="5384"><cell r="AA5384"><v>43320</v></cell><cell r="AB5384" t="str"><v>USA_gaPMG_AZR_AZR_Q1_19_Direct-Social</v></cell><cell r="AC5384"><v>21358715</v></cell><cell r="AD5384"><v>720197</v></cell><cell r="AE5384" t="str"><v>Facebook</v></cell><cell r="AF5384"><v>3654128</v></cell><cell r="AG5384" t="str"><v>FACEBOOK»USA-Trial-ITD-Interest Prospecting-AZR-AZR»1 x 1»SocialBan»CCA»ALL»CPA»PRO»X»NA»SS»NA»Azure Developer Facebook Collections»PRSGV0</v></cell><cell r="AH5384"><v>225283843</v></cell><cell r="AI5384" t="str"><v>AZR_FBCollections-SmartDataTryAzureFreeCTA-Img4_USA_1200x182_SOC_Plat_EN_NA_Standard_NA_TIN_T1_4</v></cell><cell r="AJ5384"><v>103773180</v></cell></row><row r="5385"><cell r="C5385" t="str"><v>43320FACEBOOK»USA-Trial-ITD-Interest Prospecting-AZR-AZR»1 x 1»SocialBan»CCA»ALL»CPA»PRO»X»NA»SS»NA»Azure Developer Facebook Collections»PRSGV0</v></cell><cell r="D5385" t="str"><v>43320225283843</v></cell><cell r="E5385" t="str"><v>43320103874423PRSGV0</v></cell><cell r="F5385" t="str"><v>DCM</v></cell><cell r="G5385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385"><cell r="K5385" t="str"><v>August</v></cell><cell r="L5385"><v>43323</v></cell><cell r="M5385" t="str"><v>Tier 0</v></cell><cell r="N5385" t="str"><v>North America</v></cell><cell r="O5385" t="str"><v>United States</v></cell><cell r="P5385" t="str"><v>Trial</v></cell><cell r="Q5385" t="str"><v>Social</v></cell><cell r="R5385" t="str"><v>Azure</v></cell><cell r="S5385" t="str"><v>Apps & Infra</v></cell><cell r="T5385" t="str"><v>Developers & ITI's</v></cell><cell r="U5385" t="str"><v>USA-Trial-ITD-Interest Prospecting-AZR-AZR</v></cell><cell r="V5385" t="str"><v>Prospecting</v></cell><cell r="W5385" t="str"><v>Canvas Collection Ad</v></cell><cell r="X5385" t="str"><v>1x1</v></cell></row><row r="5385"><cell r="AA5385"><v>43320</v></cell><cell r="AB5385" t="str"><v>USA_gaPMG_AZR_AZR_Q1_19_Direct-Social</v></cell><cell r="AC5385"><v>21358715</v></cell><cell r="AD5385"><v>720197</v></cell><cell r="AE5385" t="str"><v>Facebook</v></cell><cell r="AF5385"><v>3654128</v></cell><cell r="AG5385" t="str"><v>FACEBOOK»USA-Trial-ITD-Interest Prospecting-AZR-AZR»1 x 1»SocialBan»CCA»ALL»CPA»PRO»X»NA»SS»NA»Azure Developer Facebook Collections»PRSGV0</v></cell><cell r="AH5385"><v>225283843</v></cell><cell r="AI5385" t="str"><v>AZR_FBCollections-TryAzureFreeCTA-Img1_USA_1200x182_SOC_Plat_EN_NA_Standard_NA_TIN_T1_1</v></cell><cell r="AJ5385"><v>103874423</v></cell></row><row r="5386"><cell r="C5386" t="str"><v>43320FACEBOOK»USA-Trial-ITD-Retargeting-AZR-AZR»1 x 1»SocialBan»LIA»ALL»CPA»RT»X»NA»SS»NA»FreeAcctITProFB-AnimatedMigration-Ch3»PRC26P</v></cell><cell r="D5386" t="str"><v>43320223934056</v></cell><cell r="E5386" t="str"><v>43320103176827PRC26P</v></cell><cell r="F5386" t="str"><v>DCM</v></cell></row><row r="5386"><cell r="K5386" t="str"><v>August</v></cell><cell r="L5386"><v>43323</v></cell><cell r="M5386" t="str"><v>Tier 0</v></cell><cell r="N5386" t="str"><v>North America</v></cell><cell r="O5386" t="str"><v>United States</v></cell><cell r="P5386" t="str"><v>Trial</v></cell><cell r="Q5386" t="str"><v>Social</v></cell><cell r="R5386" t="str"><v>Azure</v></cell><cell r="S5386" t="str"><v>Apps & Infra</v></cell><cell r="T5386" t="str"><v>Developers & ITI's</v></cell><cell r="U5386" t="str"><v>USA-Trial-ITD-Retargeting-AZR-AZR</v></cell><cell r="V5386" t="str"><v>Retargeting</v></cell><cell r="W5386" t="str"><v>Link Ad</v></cell><cell r="X5386" t="str"><v>1x1</v></cell></row><row r="5386"><cell r="AA5386"><v>43320</v></cell><cell r="AB5386" t="str"><v>USA_gaPMG_AZR_AZR_Q1_19_Direct-Social</v></cell><cell r="AC5386"><v>21358715</v></cell><cell r="AD5386"><v>720197</v></cell><cell r="AE5386" t="str"><v>Facebook</v></cell><cell r="AF5386"><v>3654128</v></cell><cell r="AG5386" t="str"><v>FACEBOOK»USA-Trial-ITD-Retargeting-AZR-AZR»1 x 1»SocialBan»LIA»ALL»CPA»RT»X»NA»SS»NA»FreeAcctITProFB-AnimatedMigration-Ch3»PRC26P</v></cell><cell r="AH5386"><v>223934056</v></cell><cell r="AI5386" t="str"><v>AZR_FreeAcctITProFB-AnimatedMigration-Ch3_USA_1200x1200_CAN_Direct_English_Trial_Standard_ANI_LEA_T3_1</v></cell><cell r="AJ5386"><v>103176827</v></cell></row><row r="5387"><cell r="C5387" t="str"><v>43320FACEBOOK»USA-Trial-ITD-Retargeting-AZR-AZR»1 x 1»SocialBan»LIA»ALL»CPA»RT»X»NA»SS»NA»FreeAcctRetargetingFB-Credit-ChA»PRC1RV</v></cell><cell r="D5387" t="str"><v>43320224106075</v></cell><cell r="E5387" t="str"><v>43320103034917PRC1RV</v></cell><cell r="F5387" t="str"><v>DCM</v></cell><cell r="G5387" t="str"><v>https://azure.microsoft.com/en-us/free/search/?OCID=AID%eexcid!_OLA_%ebuy!_%epid!_%ecid!</v></cell></row><row r="5387"><cell r="K5387" t="str"><v>August</v></cell><cell r="L5387"><v>43323</v></cell><cell r="M5387" t="str"><v>Tier 0</v></cell><cell r="N5387" t="str"><v>North America</v></cell><cell r="O5387" t="str"><v>United States</v></cell><cell r="P5387" t="str"><v>Trial</v></cell><cell r="Q5387" t="str"><v>Social</v></cell><cell r="R5387" t="str"><v>Azure</v></cell><cell r="S5387" t="str"><v>Apps & Infra</v></cell><cell r="T5387" t="str"><v>Developers & ITI's</v></cell><cell r="U5387" t="str"><v>USA-Trial-ITD-Retargeting-AZR-AZR</v></cell><cell r="V5387" t="str"><v>Retargeting</v></cell><cell r="W5387" t="str"><v>Link Ad</v></cell><cell r="X5387" t="str"><v>1x1</v></cell></row><row r="5387"><cell r="AA5387"><v>43320</v></cell><cell r="AB5387" t="str"><v>USA_gaPMG_AZR_AZR_Q1_19_Direct-Social</v></cell><cell r="AC5387"><v>21358715</v></cell><cell r="AD5387"><v>720197</v></cell><cell r="AE5387" t="str"><v>Facebook</v></cell><cell r="AF5387"><v>3654128</v></cell><cell r="AG5387" t="str"><v>FACEBOOK»USA-Trial-ITD-Retargeting-AZR-AZR»1 x 1»SocialBan»LIA»ALL»CPA»RT»X»NA»SS»NA»FreeAcctRetargetingFB-Credit-ChA»PRC1RV</v></cell><cell r="AH5387"><v>224106075</v></cell><cell r="AI5387" t="str"><v>AzurePlatform_FreeAcctRetargetingFB-Credit-ChA_USA_1200x628_CAN_PLATFORM_English_Free Account_Standard_NA_SINU_T1_2</v></cell><cell r="AJ5387"><v>103034917</v></cell></row><row r="5388"><cell r="C5388" t="str"><v>43320FACEBOOK»USA-Trial-ITD-Retargeting-AZR-AZR»1 x 1»SocialBan»LIA»ALL»CPA»RT»X»NA»SS»NA»FreeAcctRetargetingFB-GlobalAlt-ChB»PRC1RW</v></cell><cell r="D5388" t="str"><v>43320223862756</v></cell><cell r="E5388" t="str"><v>43320103180592PRC1RW</v></cell><cell r="F5388" t="str"><v>DCM</v></cell><cell r="G5388" t="str"><v>https://azure.microsoft.com/en-us/free/search/?OCID=AID%eexcid!_OLA_%ebuy!_%epid!_%ecid!</v></cell></row><row r="5388"><cell r="K5388" t="str"><v>August</v></cell><cell r="L5388"><v>43323</v></cell><cell r="M5388" t="str"><v>Tier 0</v></cell><cell r="N5388" t="str"><v>North America</v></cell><cell r="O5388" t="str"><v>United States</v></cell><cell r="P5388" t="str"><v>Trial</v></cell><cell r="Q5388" t="str"><v>Social</v></cell><cell r="R5388" t="str"><v>Azure</v></cell><cell r="S5388" t="str"><v>Apps & Infra</v></cell><cell r="T5388" t="str"><v>Developers & ITI's</v></cell><cell r="U5388" t="str"><v>USA-Trial-ITD-Retargeting-AZR-AZR</v></cell><cell r="V5388" t="str"><v>Retargeting</v></cell><cell r="W5388" t="str"><v>Link Ad</v></cell><cell r="X5388" t="str"><v>1x1</v></cell></row><row r="5388"><cell r="AA5388"><v>43320</v></cell><cell r="AB5388" t="str"><v>USA_gaPMG_AZR_AZR_Q1_19_Direct-Social</v></cell><cell r="AC5388"><v>21358715</v></cell><cell r="AD5388"><v>720197</v></cell><cell r="AE5388" t="str"><v>Facebook</v></cell><cell r="AF5388"><v>3654128</v></cell><cell r="AG5388" t="str"><v>FACEBOOK»USA-Trial-ITD-Retargeting-AZR-AZR»1 x 1»SocialBan»LIA»ALL»CPA»RT»X»NA»SS»NA»FreeAcctRetargetingFB-GlobalAlt-ChB»PRC1RW</v></cell><cell r="AH5388"><v>223862756</v></cell><cell r="AI5388" t="str"><v>AzurePlatform_FreeAcctRetargetingFB-GlobalAlt-ChB_USA_1200x628_CAN_PLATFORM_English_Free Account_Standard_NA_SINU_T2_1</v></cell><cell r="AJ5388"><v>103180592</v></cell></row><row r="5389"><cell r="C5389" t="str"><v>43320FACEBOOK»USA-Trial-ITD-Retargeting-AZR-AZR»1 x 1»SocialBan»LIA»ALL»CPA»RT»X»NA»SS»NA»FreeAcctRetargetingVMFB-750Hrs-ChD»PRC1RY</v></cell><cell r="D5389" t="str"><v>43320223862747</v></cell><cell r="E5389" t="str"><v>43320103034911PRC1RY</v></cell><cell r="F5389" t="str"><v>DCM</v></cell><cell r="G5389" t="str"><v>https://azure.microsoft.com/en-us/free/virtual-machines/search/?OCID=AID%eexcid!_OLA_%ebuy!_%epid!_%ecid!</v></cell></row><row r="5389"><cell r="K5389" t="str"><v>August</v></cell><cell r="L5389"><v>43323</v></cell><cell r="M5389" t="str"><v>Tier 0</v></cell><cell r="N5389" t="str"><v>North America</v></cell><cell r="O5389" t="str"><v>United States</v></cell><cell r="P5389" t="str"><v>Trial</v></cell><cell r="Q5389" t="str"><v>Social</v></cell><cell r="R5389" t="str"><v>Azure</v></cell><cell r="S5389" t="str"><v>Apps & Infra</v></cell><cell r="T5389" t="str"><v>Developers & ITI's</v></cell><cell r="U5389" t="str"><v>USA-Trial-ITD-Retargeting-AZR-AZR</v></cell><cell r="V5389" t="str"><v>Retargeting</v></cell><cell r="W5389" t="str"><v>Link Ad</v></cell><cell r="X5389" t="str"><v>1x1</v></cell></row><row r="5389"><cell r="AA5389"><v>43320</v></cell><cell r="AB5389" t="str"><v>USA_gaPMG_AZR_AZR_Q1_19_Direct-Social</v></cell><cell r="AC5389"><v>21358715</v></cell><cell r="AD5389"><v>720197</v></cell><cell r="AE5389" t="str"><v>Facebook</v></cell><cell r="AF5389"><v>3654128</v></cell><cell r="AG5389" t="str"><v>FACEBOOK»USA-Trial-ITD-Retargeting-AZR-AZR»1 x 1»SocialBan»LIA»ALL»CPA»RT»X»NA»SS»NA»FreeAcctRetargetingVMFB-750Hrs-ChD»PRC1RY</v></cell><cell r="AH5389"><v>223862747</v></cell><cell r="AI5389" t="str"><v>AzurePlatform_FreeAcctRetargetingVMFB-750Hrs-ChD_USA_1200x628_CAN_PLATFORM_English_Free Account_Standard_NA_SINU_T1_1</v></cell><cell r="AJ5389"><v>103034911</v></cell></row><row r="5390"><cell r="C5390" t="str"><v>43320FACEBOOK»USA-Trial-ITD-Retargeting-AZR-AZR»1 x 1»SocialBan»LIA»ALL»CPA»RT»X»NA»SS»NA»FreeAcctRetargetingVMFB-OnDemand-ChE»PRC1S0</v></cell><cell r="D5390" t="str"><v>43320224104899</v></cell><cell r="E5390" t="str"><v>43320103180610PRC1S0</v></cell><cell r="F5390" t="str"><v>DCM</v></cell><cell r="G5390" t="str"><v>https://azure.microsoft.com/en-us/free/virtual-machines/search/?OCID=AID%eexcid!_OLA_%ebuy!_%epid!_%ecid!</v></cell></row><row r="5390"><cell r="K5390" t="str"><v>August</v></cell><cell r="L5390"><v>43323</v></cell><cell r="M5390" t="str"><v>Tier 0</v></cell><cell r="N5390" t="str"><v>North America</v></cell><cell r="O5390" t="str"><v>United States</v></cell><cell r="P5390" t="str"><v>Trial</v></cell><cell r="Q5390" t="str"><v>Social</v></cell><cell r="R5390" t="str"><v>Azure</v></cell><cell r="S5390" t="str"><v>Apps & Infra</v></cell><cell r="T5390" t="str"><v>Developers & ITI's</v></cell><cell r="U5390" t="str"><v>USA-Trial-ITD-Retargeting-AZR-AZR</v></cell><cell r="V5390" t="str"><v>Retargeting</v></cell><cell r="W5390" t="str"><v>Link Ad</v></cell><cell r="X5390" t="str"><v>1x1</v></cell></row><row r="5390"><cell r="AA5390"><v>43320</v></cell><cell r="AB5390" t="str"><v>USA_gaPMG_AZR_AZR_Q1_19_Direct-Social</v></cell><cell r="AC5390"><v>21358715</v></cell><cell r="AD5390"><v>720197</v></cell><cell r="AE5390" t="str"><v>Facebook</v></cell><cell r="AF5390"><v>3654128</v></cell><cell r="AG5390" t="str"><v>FACEBOOK»USA-Trial-ITD-Retargeting-AZR-AZR»1 x 1»SocialBan»LIA»ALL»CPA»RT»X»NA»SS»NA»FreeAcctRetargetingVMFB-OnDemand-ChE»PRC1S0</v></cell><cell r="AH5390"><v>224104899</v></cell><cell r="AI5390" t="str"><v>AzurePlatform_FreeAcctRetargetingVMFB-OnDemand-ChE_USA_1200x628_CAN_PLATFORM_English_Free Account_Standard_NA_SINU_T2_1</v></cell><cell r="AJ5390"><v>103180610</v></cell></row><row r="5391"><cell r="C5391" t="str"><v>43320FACEBOOK»USA-Trial-ITD-Retargeting-AZR-AZR»1 x 1»SocialBan»CAN»ALL»CPA»RT»X»NA»SS»NA»FBCTCBrandinMotion»PRC1RT</v></cell><cell r="D5391" t="str"><v>43320224106069</v></cell><cell r="E5391" t="str"><v>43320103176812PRC1RT</v></cell><cell r="F5391" t="str"><v>DCM</v></cell><cell r="G5391" t="str"><v>https://signup.azure.com/?OCID=AID%eexcid!_OLA_%ebuy!_%epid!_%ecid!</v></cell></row><row r="5391"><cell r="K5391" t="str"><v>August</v></cell><cell r="L5391"><v>43323</v></cell><cell r="M5391" t="str"><v>Tier 0</v></cell><cell r="N5391" t="str"><v>North America</v></cell><cell r="O5391" t="str"><v>United States</v></cell><cell r="P5391" t="str"><v>Trial</v></cell><cell r="Q5391" t="str"><v>Social</v></cell><cell r="R5391" t="str"><v>Azure</v></cell><cell r="S5391" t="str"><v>Apps & Infra</v></cell><cell r="T5391" t="str"><v>Developers & ITI's</v></cell><cell r="U5391" t="str"><v>USA-Trial-ITD-Retargeting-AZR-AZR</v></cell><cell r="V5391" t="str"><v>Retargeting</v></cell><cell r="W5391" t="str"><v>Canvas Ad</v></cell><cell r="X5391" t="str"><v>1x1</v></cell></row><row r="5391"><cell r="AA5391"><v>43320</v></cell><cell r="AB5391" t="str"><v>USA_gaPMG_AZR_AZR_Q1_19_Direct-Social</v></cell><cell r="AC5391"><v>21358715</v></cell><cell r="AD5391"><v>720197</v></cell><cell r="AE5391" t="str"><v>Facebook</v></cell><cell r="AF5391"><v>3654128</v></cell><cell r="AG5391" t="str"><v>FACEBOOK»USA-Trial-ITD-Retargeting-AZR-AZR»1 x 1»SocialBan»CAN»ALL»CPA»RT»X»NA»SS»NA»FBCTCBrandinMotion»PRC1RT</v></cell><cell r="AH5391"><v>224106069</v></cell><cell r="AI5391" t="str"><v>AzurePlatform_FBCTCBrandinMotion_USA_10s_CAN_PLATFORM_English_Trial_Standard_STAN_TIN_T2_1</v></cell><cell r="AJ5391"><v>103176812</v></cell></row><row r="5392"><cell r="C5392" t="str"><v>43320FACEBOOK»USA-Trial-ITD-Retargeting-AZR-AZR»1 x 1»SocialBan»CAN»ALL»CPA»RT»X»NA»SS»NA»FBCTCBrandinMotion»PRC1RT</v></cell><cell r="D5392" t="str"><v>43320224106069</v></cell><cell r="E5392" t="str"><v>43320103032823PRC1RT</v></cell><cell r="F5392" t="str"><v>DCM</v></cell><cell r="G5392" t="str"><v>https://azure.microsoft.com/en-us/pricing/purchase-options/?v=18.19&OCID=AID%eexcid!_OLA_%ebuy!_%epid!_%ecid!</v></cell></row><row r="5392"><cell r="K5392" t="str"><v>August</v></cell><cell r="L5392"><v>43323</v></cell><cell r="M5392" t="str"><v>Tier 0</v></cell><cell r="N5392" t="str"><v>North America</v></cell><cell r="O5392" t="str"><v>United States</v></cell><cell r="P5392" t="str"><v>Trial</v></cell><cell r="Q5392" t="str"><v>Social</v></cell><cell r="R5392" t="str"><v>Azure</v></cell><cell r="S5392" t="str"><v>Apps & Infra</v></cell><cell r="T5392" t="str"><v>Developers & ITI's</v></cell><cell r="U5392" t="str"><v>USA-Trial-ITD-Retargeting-AZR-AZR</v></cell><cell r="V5392" t="str"><v>Retargeting</v></cell><cell r="W5392" t="str"><v>Canvas Ad</v></cell><cell r="X5392" t="str"><v>1x1</v></cell></row><row r="5392"><cell r="AA5392"><v>43320</v></cell><cell r="AB5392" t="str"><v>USA_gaPMG_AZR_AZR_Q1_19_Direct-Social</v></cell><cell r="AC5392"><v>21358715</v></cell><cell r="AD5392"><v>720197</v></cell><cell r="AE5392" t="str"><v>Facebook</v></cell><cell r="AF5392"><v>3654128</v></cell><cell r="AG5392" t="str"><v>FACEBOOK»USA-Trial-ITD-Retargeting-AZR-AZR»1 x 1»SocialBan»CAN»ALL»CPA»RT»X»NA»SS»NA»FBCTCBrandinMotion»PRC1RT</v></cell><cell r="AH5392"><v>224106069</v></cell><cell r="AI5392" t="str"><v>AzurePlatform_FBCTCBrandinMotion_USA_10s_CAN_PLATFORM_English_Trial_Standard_STAN_TIN_T2_2</v></cell><cell r="AJ5392"><v>103032823</v></cell></row><row r="5393"><cell r="C5393" t="str"><v>43320FACEBOOK»USA-Trial-ITD-Trial Lookalike-AZR-AZR»1 x 1»SocialBan»CAN»ALL»CPA»LAL»X»NA»SS»NA»FBCTCBenefit2inMotion»PRC1M0</v></cell><cell r="D5393" t="str"><v>43320223862927</v></cell><cell r="E5393" t="str"><v>43320103043835PRC1M0</v></cell><cell r="F5393" t="str"><v>DCM</v></cell><cell r="G5393" t="str"><v>https://signup.azure.com/?OCID=AID%eexcid!_OLA_%ebuy!_%epid!_%ecid!</v></cell></row><row r="5393"><cell r="K5393" t="str"><v>August</v></cell><cell r="L5393"><v>43323</v></cell><cell r="M5393" t="str"><v>Tier 0</v></cell><cell r="N5393" t="str"><v>North America</v></cell><cell r="O5393" t="str"><v>United States</v></cell><cell r="P5393" t="str"><v>Trial</v></cell><cell r="Q5393" t="str"><v>Social</v></cell><cell r="R5393" t="str"><v>Azure</v></cell><cell r="S5393" t="str"><v>Apps & Infra</v></cell><cell r="T5393" t="str"><v>Developers & ITI's</v></cell><cell r="U5393" t="str"><v>USA-Trial-ITD-Trial Lookalike-AZR-AZR</v></cell><cell r="V5393" t="str"><v>Lookalike Targeting</v></cell><cell r="W5393" t="str"><v>Canvas Ad</v></cell><cell r="X5393" t="str"><v>1x1</v></cell></row><row r="5393"><cell r="AA5393"><v>43320</v></cell><cell r="AB5393" t="str"><v>USA_gaPMG_AZR_AZR_Q1_19_Direct-Social</v></cell><cell r="AC5393"><v>21358715</v></cell><cell r="AD5393"><v>720197</v></cell><cell r="AE5393" t="str"><v>Facebook</v></cell><cell r="AF5393"><v>3654128</v></cell><cell r="AG5393" t="str"><v>FACEBOOK»USA-Trial-ITD-Trial Lookalike-AZR-AZR»1 x 1»SocialBan»CAN»ALL»CPA»LAL»X»NA»SS»NA»FBCTCBenefit2inMotion»PRC1M0</v></cell><cell r="AH5393"><v>223862927</v></cell><cell r="AI5393" t="str"><v>AzurePlatform_FBCTCBenefit2inMotion_USA_10s_CAN_PLATFORM_English_Trial_Standard_STAN_TIN_T4_1</v></cell><cell r="AJ5393"><v>103043835</v></cell></row><row r="5394"><cell r="C5394" t="str"><v>43320FACEBOOK»USA-Trial-ITD-Trial Lookalike-AZR-AZR»1 x 1»SocialBan»CAN»ALL»CPA»LAL»X»NA»SS»NA»FBCTCBenefit2inMotion»PRC1M0</v></cell><cell r="D5394" t="str"><v>43320223862927</v></cell><cell r="E5394" t="str"><v>43320103178645PRC1M0</v></cell><cell r="F5394" t="str"><v>DCM</v></cell><cell r="G5394" t="str"><v>https://azure.microsoft.com/en-us/pricing/purchase-options/?v=18.19&OCID=AID%eexcid!_OLA_%ebuy!_%epid!_%ecid!</v></cell></row><row r="5394"><cell r="K5394" t="str"><v>August</v></cell><cell r="L5394"><v>43323</v></cell><cell r="M5394" t="str"><v>Tier 0</v></cell><cell r="N5394" t="str"><v>North America</v></cell><cell r="O5394" t="str"><v>United States</v></cell><cell r="P5394" t="str"><v>Trial</v></cell><cell r="Q5394" t="str"><v>Social</v></cell><cell r="R5394" t="str"><v>Azure</v></cell><cell r="S5394" t="str"><v>Apps & Infra</v></cell><cell r="T5394" t="str"><v>Developers & ITI's</v></cell><cell r="U5394" t="str"><v>USA-Trial-ITD-Trial Lookalike-AZR-AZR</v></cell><cell r="V5394" t="str"><v>Lookalike Targeting</v></cell><cell r="W5394" t="str"><v>Canvas Ad</v></cell><cell r="X5394" t="str"><v>1x1</v></cell></row><row r="5394"><cell r="AA5394"><v>43320</v></cell><cell r="AB5394" t="str"><v>USA_gaPMG_AZR_AZR_Q1_19_Direct-Social</v></cell><cell r="AC5394"><v>21358715</v></cell><cell r="AD5394"><v>720197</v></cell><cell r="AE5394" t="str"><v>Facebook</v></cell><cell r="AF5394"><v>3654128</v></cell><cell r="AG5394" t="str"><v>FACEBOOK»USA-Trial-ITD-Trial Lookalike-AZR-AZR»1 x 1»SocialBan»CAN»ALL»CPA»LAL»X»NA»SS»NA»FBCTCBenefit2inMotion»PRC1M0</v></cell><cell r="AH5394"><v>223862927</v></cell><cell r="AI5394" t="str"><v>AzurePlatform_FBCTCBenefit2inMotion_USA_10s_CAN_PLATFORM_English_Trial_Standard_STAN_TIN_T4_2</v></cell><cell r="AJ5394"><v>103178645</v></cell></row><row r="5395"><cell r="C5395" t="str"><v>43320FACEBOOK»USA-Trial-ITD-Trial Lookalike-AZR-AZR»1 x 1»SocialBan»LIA»ALL»CPA»LAL»X»NA»SS»NA»FreeAcctDeveloperFB-AnimatedData-Ch4»PRC1M8</v></cell><cell r="D5395" t="str"><v>43320223862933</v></cell><cell r="E5395" t="str"><v>43320103037935PRC1M8</v></cell><cell r="F5395" t="str"><v>DCM</v></cell></row><row r="5395"><cell r="K5395" t="str"><v>August</v></cell><cell r="L5395"><v>43323</v></cell><cell r="M5395" t="str"><v>Tier 0</v></cell><cell r="N5395" t="str"><v>North America</v></cell><cell r="O5395" t="str"><v>United States</v></cell><cell r="P5395" t="str"><v>Trial</v></cell><cell r="Q5395" t="str"><v>Social</v></cell><cell r="R5395" t="str"><v>Azure</v></cell><cell r="S5395" t="str"><v>Apps & Infra</v></cell><cell r="T5395" t="str"><v>Developers & ITI's</v></cell><cell r="U5395" t="str"><v>USA-Trial-ITD-Trial Lookalike-AZR-AZR</v></cell><cell r="V5395" t="str"><v>Lookalike Targeting</v></cell><cell r="W5395" t="str"><v>Link Ad</v></cell><cell r="X5395" t="str"><v>1x1</v></cell></row><row r="5395"><cell r="AA5395"><v>43320</v></cell><cell r="AB5395" t="str"><v>USA_gaPMG_AZR_AZR_Q1_19_Direct-Social</v></cell><cell r="AC5395"><v>21358715</v></cell><cell r="AD5395"><v>720197</v></cell><cell r="AE5395" t="str"><v>Facebook</v></cell><cell r="AF5395"><v>3654128</v></cell><cell r="AG5395" t="str"><v>FACEBOOK»USA-Trial-ITD-Trial Lookalike-AZR-AZR»1 x 1»SocialBan»LIA»ALL»CPA»LAL»X»NA»SS»NA»FreeAcctDeveloperFB-AnimatedData-Ch4»PRC1M8</v></cell><cell r="AH5395"><v>223862933</v></cell><cell r="AI5395" t="str"><v>AZR_FreeAcctDeveloperFB-AnimatedData-Ch4_USA_1200x1200_CAN_Direct_English_Trial_Standard_ANI_LEA_T4_2</v></cell><cell r="AJ5395"><v>103037935</v></cell></row><row r="5396"><cell r="C5396" t="str"><v>43320FACEBOOK»USA-Trial-ITD-Trial PayGo Lookalike-AZR-AZR»1 x 1»SocialBan»CAN»ALL»CPA»LAL»X»NA»SS»NA»FBCTCBenefit2inMotion»PRC1Q1</v></cell><cell r="D5396" t="str"><v>43320224104986</v></cell><cell r="E5396" t="str"><v>43320103043835PRC1Q1</v></cell><cell r="F5396" t="str"><v>DCM</v></cell><cell r="G5396" t="str"><v>https://signup.azure.com/?OCID=AID%eexcid!_OLA_%ebuy!_%epid!_%ecid!</v></cell></row><row r="5396"><cell r="K5396" t="str"><v>August</v></cell><cell r="L5396"><v>43323</v></cell><cell r="M5396" t="str"><v>Tier 0</v></cell><cell r="N5396" t="str"><v>North America</v></cell><cell r="O5396" t="str"><v>United States</v></cell><cell r="P5396" t="str"><v>Trial</v></cell><cell r="Q5396" t="str"><v>Social</v></cell><cell r="R5396" t="str"><v>Azure</v></cell><cell r="S5396" t="str"><v>Apps & Infra</v></cell><cell r="T5396" t="str"><v>Developers & ITI's</v></cell><cell r="U5396" t="str"><v>USA-Trial-ITD-Trial PayGo Lookalike-AZR-AZR</v></cell><cell r="V5396" t="str"><v>Lookalike Targeting</v></cell><cell r="W5396" t="str"><v>Canvas Ad</v></cell><cell r="X5396" t="str"><v>1x1</v></cell></row><row r="5396"><cell r="AA5396"><v>43320</v></cell><cell r="AB5396" t="str"><v>USA_gaPMG_AZR_AZR_Q1_19_Direct-Social</v></cell><cell r="AC5396"><v>21358715</v></cell><cell r="AD5396"><v>720197</v></cell><cell r="AE5396" t="str"><v>Facebook</v></cell><cell r="AF5396"><v>3654128</v></cell><cell r="AG5396" t="str"><v>FACEBOOK»USA-Trial-ITD-Trial PayGo Lookalike-AZR-AZR»1 x 1»SocialBan»CAN»ALL»CPA»LAL»X»NA»SS»NA»FBCTCBenefit2inMotion»PRC1Q1</v></cell><cell r="AH5396"><v>224104986</v></cell><cell r="AI5396" t="str"><v>AzurePlatform_FBCTCBenefit2inMotion_USA_10s_CAN_PLATFORM_English_Trial_Standard_STAN_TIN_T4_1</v></cell><cell r="AJ5396"><v>103043835</v></cell></row><row r="5397"><cell r="C5397" t="str"><v>43320FACEBOOK»USA-Trial-ITD-Trial PayGo Lookalike-AZR-AZR»1 x 1»SocialBan»CAN»ALL»CPA»LAL»X»NA»SS»NA»FBCTCBenefit2inMotion»PRC1Q1</v></cell><cell r="D5397" t="str"><v>43320224104986</v></cell><cell r="E5397" t="str"><v>43320103178645PRC1Q1</v></cell><cell r="F5397" t="str"><v>DCM</v></cell><cell r="G5397" t="str"><v>https://azure.microsoft.com/en-us/pricing/purchase-options/?v=18.19&OCID=AID%eexcid!_OLA_%ebuy!_%epid!_%ecid!</v></cell></row><row r="5397"><cell r="K5397" t="str"><v>August</v></cell><cell r="L5397"><v>43323</v></cell><cell r="M5397" t="str"><v>Tier 0</v></cell><cell r="N5397" t="str"><v>North America</v></cell><cell r="O5397" t="str"><v>United States</v></cell><cell r="P5397" t="str"><v>Trial</v></cell><cell r="Q5397" t="str"><v>Social</v></cell><cell r="R5397" t="str"><v>Azure</v></cell><cell r="S5397" t="str"><v>Apps & Infra</v></cell><cell r="T5397" t="str"><v>Developers & ITI's</v></cell><cell r="U5397" t="str"><v>USA-Trial-ITD-Trial PayGo Lookalike-AZR-AZR</v></cell><cell r="V5397" t="str"><v>Lookalike Targeting</v></cell><cell r="W5397" t="str"><v>Canvas Ad</v></cell><cell r="X5397" t="str"><v>1x1</v></cell></row><row r="5397"><cell r="AA5397"><v>43320</v></cell><cell r="AB5397" t="str"><v>USA_gaPMG_AZR_AZR_Q1_19_Direct-Social</v></cell><cell r="AC5397"><v>21358715</v></cell><cell r="AD5397"><v>720197</v></cell><cell r="AE5397" t="str"><v>Facebook</v></cell><cell r="AF5397"><v>3654128</v></cell><cell r="AG5397" t="str"><v>FACEBOOK»USA-Trial-ITD-Trial PayGo Lookalike-AZR-AZR»1 x 1»SocialBan»CAN»ALL»CPA»LAL»X»NA»SS»NA»FBCTCBenefit2inMotion»PRC1Q1</v></cell><cell r="AH5397"><v>224104986</v></cell><cell r="AI5397" t="str"><v>AzurePlatform_FBCTCBenefit2inMotion_USA_10s_CAN_PLATFORM_English_Trial_Standard_STAN_TIN_T4_2</v></cell><cell r="AJ5397"><v>103178645</v></cell></row><row r="5398"><cell r="C5398" t="str"><v>43320FACEBOOK»USA-Trial-ITD-Trial PayGo Lookalike-AZR-AZR»1 x 1»SocialBan»CAN»ALL»CPA»LAL»X»NA»SS»NA»FBCTCBrandinMotion»PRC1Q3</v></cell><cell r="D5398" t="str"><v>43320223935349</v></cell><cell r="E5398" t="str"><v>43320103176812PRC1Q3</v></cell><cell r="F5398" t="str"><v>DCM</v></cell><cell r="G5398" t="str"><v>https://signup.azure.com/?OCID=AID%eexcid!_OLA_%ebuy!_%epid!_%ecid!</v></cell></row><row r="5398"><cell r="K5398" t="str"><v>August</v></cell><cell r="L5398"><v>43323</v></cell><cell r="M5398" t="str"><v>Tier 0</v></cell><cell r="N5398" t="str"><v>North America</v></cell><cell r="O5398" t="str"><v>United States</v></cell><cell r="P5398" t="str"><v>Trial</v></cell><cell r="Q5398" t="str"><v>Social</v></cell><cell r="R5398" t="str"><v>Azure</v></cell><cell r="S5398" t="str"><v>Apps & Infra</v></cell><cell r="T5398" t="str"><v>Developers & ITI's</v></cell><cell r="U5398" t="str"><v>USA-Trial-ITD-Trial PayGo Lookalike-AZR-AZR</v></cell><cell r="V5398" t="str"><v>Lookalike Targeting</v></cell><cell r="W5398" t="str"><v>Canvas Ad</v></cell><cell r="X5398" t="str"><v>1x1</v></cell></row><row r="5398"><cell r="AA5398"><v>43320</v></cell><cell r="AB5398" t="str"><v>USA_gaPMG_AZR_AZR_Q1_19_Direct-Social</v></cell><cell r="AC5398"><v>21358715</v></cell><cell r="AD5398"><v>720197</v></cell><cell r="AE5398" t="str"><v>Facebook</v></cell><cell r="AF5398"><v>3654128</v></cell><cell r="AG5398" t="str"><v>FACEBOOK»USA-Trial-ITD-Trial PayGo Lookalike-AZR-AZR»1 x 1»SocialBan»CAN»ALL»CPA»LAL»X»NA»SS»NA»FBCTCBrandinMotion»PRC1Q3</v></cell><cell r="AH5398"><v>223935349</v></cell><cell r="AI5398" t="str"><v>AzurePlatform_FBCTCBrandinMotion_USA_10s_CAN_PLATFORM_English_Trial_Standard_STAN_TIN_T2_1</v></cell><cell r="AJ5398"><v>103176812</v></cell></row><row r="5399"><cell r="C5399" t="str"><v>43320FACEBOOK»USA-Trial-ITD-Trial PayGo Lookalike-AZR-AZR»1 x 1»SocialBan»CAN»ALL»CPA»LAL»X»NA»SS»NA»FBCTCBrandinMotion»PRC1Q3</v></cell><cell r="D5399" t="str"><v>43320223935349</v></cell><cell r="E5399" t="str"><v>43320103032823PRC1Q3</v></cell><cell r="F5399" t="str"><v>DCM</v></cell><cell r="G5399" t="str"><v>https://azure.microsoft.com/en-us/pricing/purchase-options/?v=18.19&OCID=AID%eexcid!_OLA_%ebuy!_%epid!_%ecid!</v></cell></row><row r="5399"><cell r="K5399" t="str"><v>August</v></cell><cell r="L5399"><v>43323</v></cell><cell r="M5399" t="str"><v>Tier 0</v></cell><cell r="N5399" t="str"><v>North America</v></cell><cell r="O5399" t="str"><v>United States</v></cell><cell r="P5399" t="str"><v>Trial</v></cell><cell r="Q5399" t="str"><v>Social</v></cell><cell r="R5399" t="str"><v>Azure</v></cell><cell r="S5399" t="str"><v>Apps & Infra</v></cell><cell r="T5399" t="str"><v>Developers & ITI's</v></cell><cell r="U5399" t="str"><v>USA-Trial-ITD-Trial PayGo Lookalike-AZR-AZR</v></cell><cell r="V5399" t="str"><v>Lookalike Targeting</v></cell><cell r="W5399" t="str"><v>Canvas Ad</v></cell><cell r="X5399" t="str"><v>1x1</v></cell></row><row r="5399"><cell r="AA5399"><v>43320</v></cell><cell r="AB5399" t="str"><v>USA_gaPMG_AZR_AZR_Q1_19_Direct-Social</v></cell><cell r="AC5399"><v>21358715</v></cell><cell r="AD5399"><v>720197</v></cell><cell r="AE5399" t="str"><v>Facebook</v></cell><cell r="AF5399"><v>3654128</v></cell><cell r="AG5399" t="str"><v>FACEBOOK»USA-Trial-ITD-Trial PayGo Lookalike-AZR-AZR»1 x 1»SocialBan»CAN»ALL»CPA»LAL»X»NA»SS»NA»FBCTCBrandinMotion»PRC1Q3</v></cell><cell r="AH5399"><v>223935349</v></cell><cell r="AI5399" t="str"><v>AzurePlatform_FBCTCBrandinMotion_USA_10s_CAN_PLATFORM_English_Trial_Standard_STAN_TIN_T2_2</v></cell><cell r="AJ5399"><v>103032823</v></cell></row><row r="5400"><cell r="C5400" t="str"><v>43320FACEBOOK»USA-Trial-ITD-Trial PayGo Lookalike-AZR-AZR»1 x 1»SocialBan»CAN»ALL»CPA»LAL»X»NA»SS»NA»FBCTCBenefitinMotion»PRC1Q2</v></cell><cell r="D5400" t="str"><v>43320223862960</v></cell><cell r="E5400" t="str"><v>43320103032775PRC1Q2</v></cell><cell r="F5400" t="str"><v>DCM</v></cell><cell r="G5400" t="str"><v>https://signup.azure.com/?OCID=AID%eexcid!_OLA_%ebuy!_%epid!_%ecid!</v></cell></row><row r="5400"><cell r="K5400" t="str"><v>August</v></cell><cell r="L5400"><v>43323</v></cell><cell r="M5400" t="str"><v>Tier 0</v></cell><cell r="N5400" t="str"><v>North America</v></cell><cell r="O5400" t="str"><v>United States</v></cell><cell r="P5400" t="str"><v>Trial</v></cell><cell r="Q5400" t="str"><v>Social</v></cell><cell r="R5400" t="str"><v>Azure</v></cell><cell r="S5400" t="str"><v>Apps & Infra</v></cell><cell r="T5400" t="str"><v>Developers & ITI's</v></cell><cell r="U5400" t="str"><v>USA-Trial-ITD-Trial PayGo Lookalike-AZR-AZR</v></cell><cell r="V5400" t="str"><v>Lookalike Targeting</v></cell><cell r="W5400" t="str"><v>Canvas Ad</v></cell><cell r="X5400" t="str"><v>1x1</v></cell></row><row r="5400"><cell r="AA5400"><v>43320</v></cell><cell r="AB5400" t="str"><v>USA_gaPMG_AZR_AZR_Q1_19_Direct-Social</v></cell><cell r="AC5400"><v>21358715</v></cell><cell r="AD5400"><v>720197</v></cell><cell r="AE5400" t="str"><v>Facebook</v></cell><cell r="AF5400"><v>3654128</v></cell><cell r="AG5400" t="str"><v>FACEBOOK»USA-Trial-ITD-Trial PayGo Lookalike-AZR-AZR»1 x 1»SocialBan»CAN»ALL»CPA»LAL»X»NA»SS»NA»FBCTCBenefitinMotion»PRC1Q2</v></cell><cell r="AH5400"><v>223862960</v></cell><cell r="AI5400" t="str"><v>AzurePlatform_FBCTCBenefitinMotion_USA_10s_CAN_PLATFORM_English_Trial_Standard_STAN_TIN_T3_1</v></cell><cell r="AJ5400"><v>103032775</v></cell></row><row r="5401"><cell r="C5401" t="str"><v>43320FACEBOOK»USA-Trial-ITD-Trial PayGo Lookalike-AZR-AZR»1 x 1»SocialBan»CAN»ALL»CPA»LAL»X»NA»SS»NA»FBCTCBenefitinMotion»PRC1Q2</v></cell><cell r="D5401" t="str"><v>43320223862960</v></cell><cell r="E5401" t="str"><v>43320103176836PRC1Q2</v></cell><cell r="F5401" t="str"><v>DCM</v></cell><cell r="G5401" t="str"><v>https://azure.microsoft.com/en-us/pricing/purchase-options/?v=18.19&OCID=AID%eexcid!_OLA_%ebuy!_%epid!_%ecid!</v></cell></row><row r="5401"><cell r="K5401" t="str"><v>August</v></cell><cell r="L5401"><v>43323</v></cell><cell r="M5401" t="str"><v>Tier 0</v></cell><cell r="N5401" t="str"><v>North America</v></cell><cell r="O5401" t="str"><v>United States</v></cell><cell r="P5401" t="str"><v>Trial</v></cell><cell r="Q5401" t="str"><v>Social</v></cell><cell r="R5401" t="str"><v>Azure</v></cell><cell r="S5401" t="str"><v>Apps & Infra</v></cell><cell r="T5401" t="str"><v>Developers & ITI's</v></cell><cell r="U5401" t="str"><v>USA-Trial-ITD-Trial PayGo Lookalike-AZR-AZR</v></cell><cell r="V5401" t="str"><v>Lookalike Targeting</v></cell><cell r="W5401" t="str"><v>Canvas Ad</v></cell><cell r="X5401" t="str"><v>1x1</v></cell></row><row r="5401"><cell r="AA5401"><v>43320</v></cell><cell r="AB5401" t="str"><v>USA_gaPMG_AZR_AZR_Q1_19_Direct-Social</v></cell><cell r="AC5401"><v>21358715</v></cell><cell r="AD5401"><v>720197</v></cell><cell r="AE5401" t="str"><v>Facebook</v></cell><cell r="AF5401"><v>3654128</v></cell><cell r="AG5401" t="str"><v>FACEBOOK»USA-Trial-ITD-Trial PayGo Lookalike-AZR-AZR»1 x 1»SocialBan»CAN»ALL»CPA»LAL»X»NA»SS»NA»FBCTCBenefitinMotion»PRC1Q2</v></cell><cell r="AH5401"><v>223862960</v></cell><cell r="AI5401" t="str"><v>AzurePlatform_FBCTCBenefitinMotion_USA_10s_CAN_PLATFORM_English_Trial_Standard_STAN_TIN_T3_2</v></cell><cell r="AJ5401"><v>103176836</v></cell></row><row r="5402"><cell r="C5402" t="str"><v>43320FACEBOOK»USA-Trial-ITD-Trial PayGo Lookalike-AZR-AZR»1 x 1»SocialBan»LIA»ALL»CPA»LAL»X»NA»SS»NA»FreeAcctDeveloperFB-AnimatedGeneric-Ch1»PRC1Q6</v></cell><cell r="D5402" t="str"><v>43320224106129</v></cell><cell r="E5402" t="str"><v>43320103176851PRC1Q6</v></cell><cell r="F5402" t="str"><v>DCM</v></cell><cell r="G5402" t="str"><v>https://azure.microsoft.com/en-us/free/search/?OCID=AID%eexcid!_OLA_%ebuy!_%epid!_%ecid!</v></cell></row><row r="5402"><cell r="K5402" t="str"><v>August</v></cell><cell r="L5402"><v>43323</v></cell><cell r="M5402" t="str"><v>Tier 0</v></cell><cell r="N5402" t="str"><v>North America</v></cell><cell r="O5402" t="str"><v>United States</v></cell><cell r="P5402" t="str"><v>Trial</v></cell><cell r="Q5402" t="str"><v>Social</v></cell><cell r="R5402" t="str"><v>Azure</v></cell><cell r="S5402" t="str"><v>Apps & Infra</v></cell><cell r="T5402" t="str"><v>Developers & ITI's</v></cell><cell r="U5402" t="str"><v>USA-Trial-ITD-Trial PayGo Lookalike-AZR-AZR</v></cell><cell r="V5402" t="str"><v>Lookalike Targeting</v></cell><cell r="W5402" t="str"><v>Link Ad</v></cell><cell r="X5402" t="str"><v>1x1</v></cell></row><row r="5402"><cell r="AA5402"><v>43320</v></cell><cell r="AB5402" t="str"><v>USA_gaPMG_AZR_AZR_Q1_19_Direct-Social</v></cell><cell r="AC5402"><v>21358715</v></cell><cell r="AD5402"><v>720197</v></cell><cell r="AE5402" t="str"><v>Facebook</v></cell><cell r="AF5402"><v>3654128</v></cell><cell r="AG5402" t="str"><v>FACEBOOK»USA-Trial-ITD-Trial PayGo Lookalike-AZR-AZR»1 x 1»SocialBan»LIA»ALL»CPA»LAL»X»NA»SS»NA»FreeAcctDeveloperFB-AnimatedGeneric-Ch1»PRC1Q6</v></cell><cell r="AH5402"><v>224106129</v></cell><cell r="AI5402" t="str"><v>AZR_FreeAcctDeveloperFB-AnimatedGeneric-Ch1_USA_1200x1200_CAN_Direct_English_Trial_Standard_ANI_LEA_T1_2</v></cell><cell r="AJ5402"><v>103176851</v></cell></row><row r="5403"><cell r="C5403" t="str"><v>43320FACEBOOK»USA-Trial-ITD-Retargeting-AZR-AZR»1 x 1»SocialBan»CCA»ALL»CPA»RT»X»NA»SS»NA»Azure Developer Facebook Collections»PRSGY7</v></cell><cell r="D5403" t="str"><v>43320225283585</v></cell><cell r="E5403" t="str"><v>43320103773177PRSGY7</v></cell><cell r="F5403" t="str"><v>DCM</v></cell><cell r="G5403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403"><cell r="K5403" t="str"><v>August</v></cell><cell r="L5403"><v>43323</v></cell><cell r="M5403" t="str"><v>Tier 0</v></cell><cell r="N5403" t="str"><v>North America</v></cell><cell r="O5403" t="str"><v>United States</v></cell><cell r="P5403" t="str"><v>Trial</v></cell><cell r="Q5403" t="str"><v>Social</v></cell><cell r="R5403" t="str"><v>Azure</v></cell><cell r="S5403" t="str"><v>Apps & Infra</v></cell><cell r="T5403" t="str"><v>Developers & ITI's</v></cell><cell r="U5403" t="str"><v>USA-Trial-ITD-Retargeting-AZR-AZR</v></cell><cell r="V5403" t="str"><v>Retargeting</v></cell><cell r="W5403" t="str"><v>Canvas Collection Ad</v></cell><cell r="X5403" t="str"><v>1x1</v></cell></row><row r="5403"><cell r="AA5403"><v>43320</v></cell><cell r="AB5403" t="str"><v>USA_gaPMG_AZR_AZR_Q1_19_Direct-Social</v></cell><cell r="AC5403"><v>21358715</v></cell><cell r="AD5403"><v>720197</v></cell><cell r="AE5403" t="str"><v>Facebook</v></cell><cell r="AF5403"><v>3654128</v></cell><cell r="AG5403" t="str"><v>FACEBOOK»USA-Trial-ITD-Retargeting-AZR-AZR»1 x 1»SocialBan»CCA»ALL»CPA»RT»X»NA»SS»NA»Azure Developer Facebook Collections»PRSGY7</v></cell><cell r="AH5403"><v>225283585</v></cell><cell r="AI5403" t="str"><v>AZR_FBCollections-AITryAzureFreeCTA-Img2_USA_1200x182_SOC_Plat_EN_NA_Standard_NA_TIN_T1_2</v></cell><cell r="AJ5403"><v>103773177</v></cell></row><row r="5404"><cell r="C5404" t="str"><v>43320FACEBOOK»USA-Trial-ITD-Retargeting-AZR-AZR»1 x 1»SocialBan»CCA»ALL»CPA»RT»X»NA»SS»NA»Azure Developer Facebook Collections»PRSGY7</v></cell><cell r="D5404" t="str"><v>43320225283585</v></cell><cell r="E5404" t="str"><v>43320103874423PRSGY7</v></cell><cell r="F5404" t="str"><v>DCM</v></cell><cell r="G5404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404"><cell r="K5404" t="str"><v>August</v></cell><cell r="L5404"><v>43323</v></cell><cell r="M5404" t="str"><v>Tier 0</v></cell><cell r="N5404" t="str"><v>North America</v></cell><cell r="O5404" t="str"><v>United States</v></cell><cell r="P5404" t="str"><v>Trial</v></cell><cell r="Q5404" t="str"><v>Social</v></cell><cell r="R5404" t="str"><v>Azure</v></cell><cell r="S5404" t="str"><v>Apps & Infra</v></cell><cell r="T5404" t="str"><v>Developers & ITI's</v></cell><cell r="U5404" t="str"><v>USA-Trial-ITD-Retargeting-AZR-AZR</v></cell><cell r="V5404" t="str"><v>Retargeting</v></cell><cell r="W5404" t="str"><v>Canvas Collection Ad</v></cell><cell r="X5404" t="str"><v>1x1</v></cell></row><row r="5404"><cell r="AA5404"><v>43320</v></cell><cell r="AB5404" t="str"><v>USA_gaPMG_AZR_AZR_Q1_19_Direct-Social</v></cell><cell r="AC5404"><v>21358715</v></cell><cell r="AD5404"><v>720197</v></cell><cell r="AE5404" t="str"><v>Facebook</v></cell><cell r="AF5404"><v>3654128</v></cell><cell r="AG5404" t="str"><v>FACEBOOK»USA-Trial-ITD-Retargeting-AZR-AZR»1 x 1»SocialBan»CCA»ALL»CPA»RT»X»NA»SS»NA»Azure Developer Facebook Collections»PRSGY7</v></cell><cell r="AH5404"><v>225283585</v></cell><cell r="AI5404" t="str"><v>AZR_FBCollections-TryAzureFreeCTA-Img1_USA_1200x182_SOC_Plat_EN_NA_Standard_NA_TIN_T1_1</v></cell><cell r="AJ5404"><v>103874423</v></cell></row><row r="5405"><cell r="C5405" t="str"><v>43320FACEBOOK»USA-Trial-ITD-Lead Completes Lookalike-AZR-AZR»1 x 1»SocialBan»LIA»ALL»CPA»LAL»X»NA»SS»NA»FreeAcctDeveloperFB-AnimatedAI-Ch3»PRX71T</v></cell><cell r="D5405" t="str"><v>43320226030107</v></cell><cell r="E5405" t="str"><v>43320104604558PRX71T</v></cell><cell r="F5405" t="str"><v>DCM</v></cell><cell r="G5405" t="str"><v>https://azure.microsoft.com/en-us/free/sql-database/search/?OCID=AID%eexcid!_OLA_%ebuy!_%epid!_%ecid!</v></cell></row><row r="5405"><cell r="K5405" t="str"><v>August</v></cell><cell r="L5405"><v>43323</v></cell><cell r="M5405" t="str"><v>Tier 0</v></cell><cell r="N5405" t="str"><v>North America</v></cell><cell r="O5405" t="str"><v>United States</v></cell><cell r="P5405" t="str"><v>Trial</v></cell><cell r="Q5405" t="str"><v>Social</v></cell><cell r="R5405" t="str"><v>Azure</v></cell><cell r="S5405" t="str"><v>Apps & Infra</v></cell><cell r="T5405" t="str"><v>Developers & ITI's</v></cell><cell r="U5405" t="str"><v>USA-Trial-ITD-Lead Completes Lookalike-AZR-AZR</v></cell><cell r="V5405" t="str"><v>Lookalike Targeting</v></cell><cell r="W5405" t="str"><v>Link Ad</v></cell><cell r="X5405" t="str"><v>1x1</v></cell></row><row r="5405"><cell r="AA5405"><v>43320</v></cell><cell r="AB5405" t="str"><v>USA_gaPMG_AZR_AZR_Q1_19_Direct-Social</v></cell><cell r="AC5405"><v>21358715</v></cell><cell r="AD5405"><v>720197</v></cell><cell r="AE5405" t="str"><v>Facebook</v></cell><cell r="AF5405"><v>3654128</v></cell><cell r="AG5405" t="str"><v>FACEBOOK»USA-Trial-ITD-Lead Completes Lookalike-AZR-AZR»1 x 1»SocialBan»LIA»ALL»CPA»LAL»X»NA»SS»NA»FreeAcctDeveloperFB-AnimatedAI-Ch3»PRX71T</v></cell><cell r="AH5405"><v>226030107</v></cell><cell r="AI5405" t="str"><v>AZR_FreeAcctDeveloperFB-AnimatedAI-Ch3_USA_1200x1200_SOC_Direct_EN_Trial_Standard_ANI_LM_T3_2</v></cell><cell r="AJ5405"><v>104604558</v></cell></row><row r="5406"><cell r="C5406" t="str"><v>43320FACEBOOK»USA-Trial-ITD-Lead Completes Lookalike-AZR-AZR»1 x 1»SocialBan»LIA»ALL»CPA»LAL»X»NA»SS»NA»FreeAcctITProFB-AnimatedHybrid-Ch2»PRX71W</v></cell><cell r="D5406" t="str"><v>43320225761633</v></cell><cell r="E5406" t="str"><v>43320104593705PRX71W</v></cell><cell r="F5406" t="str"><v>DCM</v></cell><cell r="G5406" t="str"><v>https://azure.microsoft.com/en-us/free/hybrid-cloud/search?OCID=AID%eexcid!_OLA_%ebuy!_%epid!_%ecid!</v></cell></row><row r="5406"><cell r="K5406" t="str"><v>August</v></cell><cell r="L5406"><v>43323</v></cell><cell r="M5406" t="str"><v>Tier 0</v></cell><cell r="N5406" t="str"><v>North America</v></cell><cell r="O5406" t="str"><v>United States</v></cell><cell r="P5406" t="str"><v>Trial</v></cell><cell r="Q5406" t="str"><v>Social</v></cell><cell r="R5406" t="str"><v>Azure</v></cell><cell r="S5406" t="str"><v>Apps & Infra</v></cell><cell r="T5406" t="str"><v>Developers & ITI's</v></cell><cell r="U5406" t="str"><v>USA-Trial-ITD-Lead Completes Lookalike-AZR-AZR</v></cell><cell r="V5406" t="str"><v>Lookalike Targeting</v></cell><cell r="W5406" t="str"><v>Link Ad</v></cell><cell r="X5406" t="str"><v>1x1</v></cell></row><row r="5406"><cell r="AA5406"><v>43320</v></cell><cell r="AB5406" t="str"><v>USA_gaPMG_AZR_AZR_Q1_19_Direct-Social</v></cell><cell r="AC5406"><v>21358715</v></cell><cell r="AD5406"><v>720197</v></cell><cell r="AE5406" t="str"><v>Facebook</v></cell><cell r="AF5406"><v>3654128</v></cell><cell r="AG5406" t="str"><v>FACEBOOK»USA-Trial-ITD-Lead Completes Lookalike-AZR-AZR»1 x 1»SocialBan»LIA»ALL»CPA»LAL»X»NA»SS»NA»FreeAcctITProFB-AnimatedHybrid-Ch2»PRX71W</v></cell><cell r="AH5406"><v>225761633</v></cell><cell r="AI5406" t="str"><v>AZR_FreeAcctITProFB-AnimatedHybrid-Ch2_USA_1200x1200_LIA_Direct_English_Trial_Standard_ANI_LEA_T2_1</v></cell><cell r="AJ5406"><v>104593705</v></cell></row><row r="5407"><cell r="C5407" t="str"><v>43320FACEBOOK»USA-Trial-ITD-Trial Lookalike-AZR-AZR»1 x 1»SocialBan»CCA»ALL»CPA»LAL»X»NA»SS»NA»Azure Developer Facebook Collections»PRSH0N</v></cell><cell r="D5407" t="str"><v>43320225282481</v></cell><cell r="E5407" t="str"><v>43320103773177PRSH0N</v></cell><cell r="F5407" t="str"><v>DCM</v></cell><cell r="G5407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407"><cell r="K5407" t="str"><v>August</v></cell><cell r="L5407"><v>43323</v></cell><cell r="M5407" t="str"><v>Tier 0</v></cell><cell r="N5407" t="str"><v>North America</v></cell><cell r="O5407" t="str"><v>United States</v></cell><cell r="P5407" t="str"><v>Trial</v></cell><cell r="Q5407" t="str"><v>Social</v></cell><cell r="R5407" t="str"><v>Azure</v></cell><cell r="S5407" t="str"><v>Apps & Infra</v></cell><cell r="T5407" t="str"><v>Developers & ITI's</v></cell><cell r="U5407" t="str"><v>USA-Trial-ITD-Trial Lookalike-AZR-AZR</v></cell><cell r="V5407" t="str"><v>Lookalike Targeting</v></cell><cell r="W5407" t="str"><v>Canvas Collection Ad</v></cell><cell r="X5407" t="str"><v>1x1</v></cell></row><row r="5407"><cell r="AA5407"><v>43320</v></cell><cell r="AB5407" t="str"><v>USA_gaPMG_AZR_AZR_Q1_19_Direct-Social</v></cell><cell r="AC5407"><v>21358715</v></cell><cell r="AD5407"><v>720197</v></cell><cell r="AE5407" t="str"><v>Facebook</v></cell><cell r="AF5407"><v>3654128</v></cell><cell r="AG5407" t="str"><v>FACEBOOK»USA-Trial-ITD-Trial Lookalike-AZR-AZR»1 x 1»SocialBan»CCA»ALL»CPA»LAL»X»NA»SS»NA»Azure Developer Facebook Collections»PRSH0N</v></cell><cell r="AH5407"><v>225282481</v></cell><cell r="AI5407" t="str"><v>AZR_FBCollections-AITryAzureFreeCTA-Img2_USA_1200x182_SOC_Plat_EN_NA_Standard_NA_TIN_T1_2</v></cell><cell r="AJ5407"><v>103773177</v></cell></row><row r="5408"><cell r="C5408" t="str"><v>43320FACEBOOK»USA-Trial-ITD-Trial Lookalike-AZR-AZR»1 x 1»SocialBan»CCA»ALL»CPA»LAL»X»NA»SS»NA»Azure Developer Facebook Collections»PRSH0N</v></cell><cell r="D5408" t="str"><v>43320225282481</v></cell><cell r="E5408" t="str"><v>43320103776921PRSH0N</v></cell><cell r="F5408" t="str"><v>DCM</v></cell><cell r="G5408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408"><cell r="K5408" t="str"><v>August</v></cell><cell r="L5408"><v>43323</v></cell><cell r="M5408" t="str"><v>Tier 0</v></cell><cell r="N5408" t="str"><v>North America</v></cell><cell r="O5408" t="str"><v>United States</v></cell><cell r="P5408" t="str"><v>Trial</v></cell><cell r="Q5408" t="str"><v>Social</v></cell><cell r="R5408" t="str"><v>Azure</v></cell><cell r="S5408" t="str"><v>Apps & Infra</v></cell><cell r="T5408" t="str"><v>Developers & ITI's</v></cell><cell r="U5408" t="str"><v>USA-Trial-ITD-Trial Lookalike-AZR-AZR</v></cell><cell r="V5408" t="str"><v>Lookalike Targeting</v></cell><cell r="W5408" t="str"><v>Canvas Collection Ad</v></cell><cell r="X5408" t="str"><v>1x1</v></cell></row><row r="5408"><cell r="AA5408"><v>43320</v></cell><cell r="AB5408" t="str"><v>USA_gaPMG_AZR_AZR_Q1_19_Direct-Social</v></cell><cell r="AC5408"><v>21358715</v></cell><cell r="AD5408"><v>720197</v></cell><cell r="AE5408" t="str"><v>Facebook</v></cell><cell r="AF5408"><v>3654128</v></cell><cell r="AG5408" t="str"><v>FACEBOOK»USA-Trial-ITD-Trial Lookalike-AZR-AZR»1 x 1»SocialBan»CCA»ALL»CPA»LAL»X»NA»SS»NA»Azure Developer Facebook Collections»PRSH0N</v></cell><cell r="AH5408"><v>225282481</v></cell><cell r="AI5408" t="str"><v>AZR_FBCollections-FreeStuffTryAzureFreeCTA-Img5_USA_1200x182_SOC_Plat_EN_NA_Standard_NA_TIN_T1_5</v></cell><cell r="AJ5408"><v>103776921</v></cell></row><row r="5409"><cell r="C5409" t="str"><v>43320FACEBOOK»USA-Trial-ITD-Trial Lookalike-AZR-AZR»1 x 1»SocialBan»CCA»ALL»CPA»LAL»X»NA»SS»NA»Azure Developer Facebook Collections»PRSH0N</v></cell><cell r="D5409" t="str"><v>43320225282481</v></cell><cell r="E5409" t="str"><v>43320103773180PRSH0N</v></cell><cell r="F5409" t="str"><v>DCM</v></cell><cell r="G540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409"><cell r="K5409" t="str"><v>August</v></cell><cell r="L5409"><v>43323</v></cell><cell r="M5409" t="str"><v>Tier 0</v></cell><cell r="N5409" t="str"><v>North America</v></cell><cell r="O5409" t="str"><v>United States</v></cell><cell r="P5409" t="str"><v>Trial</v></cell><cell r="Q5409" t="str"><v>Social</v></cell><cell r="R5409" t="str"><v>Azure</v></cell><cell r="S5409" t="str"><v>Apps & Infra</v></cell><cell r="T5409" t="str"><v>Developers & ITI's</v></cell><cell r="U5409" t="str"><v>USA-Trial-ITD-Trial Lookalike-AZR-AZR</v></cell><cell r="V5409" t="str"><v>Lookalike Targeting</v></cell><cell r="W5409" t="str"><v>Canvas Collection Ad</v></cell><cell r="X5409" t="str"><v>1x1</v></cell></row><row r="5409"><cell r="AA5409"><v>43320</v></cell><cell r="AB5409" t="str"><v>USA_gaPMG_AZR_AZR_Q1_19_Direct-Social</v></cell><cell r="AC5409"><v>21358715</v></cell><cell r="AD5409"><v>720197</v></cell><cell r="AE5409" t="str"><v>Facebook</v></cell><cell r="AF5409"><v>3654128</v></cell><cell r="AG5409" t="str"><v>FACEBOOK»USA-Trial-ITD-Trial Lookalike-AZR-AZR»1 x 1»SocialBan»CCA»ALL»CPA»LAL»X»NA»SS»NA»Azure Developer Facebook Collections»PRSH0N</v></cell><cell r="AH5409"><v>225282481</v></cell><cell r="AI5409" t="str"><v>AZR_FBCollections-SmartDataTryAzureFreeCTA-Img4_USA_1200x182_SOC_Plat_EN_NA_Standard_NA_TIN_T1_4</v></cell><cell r="AJ5409"><v>103773180</v></cell></row><row r="5410"><cell r="C5410" t="str"><v>43320FACEBOOK»USA-Trial-ITD-Trial Lookalike-AZR-AZR»1 x 1»SocialBan»CCA»ALL»CPA»LAL»X»NA»SS»NA»Azure Developer Facebook Collections»PRSH0N</v></cell><cell r="D5410" t="str"><v>43320225282481</v></cell><cell r="E5410" t="str"><v>43320103874423PRSH0N</v></cell><cell r="F5410" t="str"><v>DCM</v></cell><cell r="G5410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410"><cell r="K5410" t="str"><v>August</v></cell><cell r="L5410"><v>43323</v></cell><cell r="M5410" t="str"><v>Tier 0</v></cell><cell r="N5410" t="str"><v>North America</v></cell><cell r="O5410" t="str"><v>United States</v></cell><cell r="P5410" t="str"><v>Trial</v></cell><cell r="Q5410" t="str"><v>Social</v></cell><cell r="R5410" t="str"><v>Azure</v></cell><cell r="S5410" t="str"><v>Apps & Infra</v></cell><cell r="T5410" t="str"><v>Developers & ITI's</v></cell><cell r="U5410" t="str"><v>USA-Trial-ITD-Trial Lookalike-AZR-AZR</v></cell><cell r="V5410" t="str"><v>Lookalike Targeting</v></cell><cell r="W5410" t="str"><v>Canvas Collection Ad</v></cell><cell r="X5410" t="str"><v>1x1</v></cell></row><row r="5410"><cell r="AA5410"><v>43320</v></cell><cell r="AB5410" t="str"><v>USA_gaPMG_AZR_AZR_Q1_19_Direct-Social</v></cell><cell r="AC5410"><v>21358715</v></cell><cell r="AD5410"><v>720197</v></cell><cell r="AE5410" t="str"><v>Facebook</v></cell><cell r="AF5410"><v>3654128</v></cell><cell r="AG5410" t="str"><v>FACEBOOK»USA-Trial-ITD-Trial Lookalike-AZR-AZR»1 x 1»SocialBan»CCA»ALL»CPA»LAL»X»NA»SS»NA»Azure Developer Facebook Collections»PRSH0N</v></cell><cell r="AH5410"><v>225282481</v></cell><cell r="AI5410" t="str"><v>AZR_FBCollections-TryAzureFreeCTA-Img1_USA_1200x182_SOC_Plat_EN_NA_Standard_NA_TIN_T1_1</v></cell><cell r="AJ5410"><v>103874423</v></cell></row><row r="5411"><cell r="C5411" t="str"><v>43320INSTAGRAM»USA-Trial-ITD-Interest Prospecting-AZR-AZR»1 x 1»SocialBan»CAN»ALL»CPA»PRO»X»NA»SS»NA»IGCTCBrandinMotion»PRC2PB</v></cell><cell r="D5411" t="str"><v>43320223862690</v></cell><cell r="E5411" t="str"><v>43320103050783PRC2PB</v></cell><cell r="F5411" t="str"><v>DCM</v></cell><cell r="G5411" t="str"><v>https://signup.azure.com/?OCID=AID%eexcid!_OLA_%ebuy!_%epid!_%ecid!</v></cell></row><row r="5411"><cell r="K5411" t="str"><v>August</v></cell><cell r="L5411"><v>43323</v></cell><cell r="M5411" t="str"><v>Tier 0</v></cell><cell r="N5411" t="str"><v>North America</v></cell><cell r="O5411" t="str"><v>United States</v></cell><cell r="P5411" t="str"><v>Trial</v></cell><cell r="Q5411" t="str"><v>Social</v></cell><cell r="R5411" t="str"><v>Azure</v></cell><cell r="S5411" t="str"><v>Apps & Infra</v></cell><cell r="T5411" t="str"><v>Developers & ITI's</v></cell><cell r="U5411" t="str"><v>USA-Trial-ITD-Interest Prospecting-AZR-AZR</v></cell><cell r="V5411" t="str"><v>Prospecting</v></cell><cell r="W5411" t="str"><v>Canvas Ad</v></cell><cell r="X5411" t="str"><v>1x1</v></cell></row><row r="5411"><cell r="AA5411"><v>43320</v></cell><cell r="AB5411" t="str"><v>USA_gaPMG_AZR_AZR_Q1_19_Direct-Social</v></cell><cell r="AC5411"><v>21358715</v></cell><cell r="AD5411"><v>720197</v></cell><cell r="AE5411" t="str"><v>Facebook - Instagram</v></cell><cell r="AF5411"><v>3654128</v></cell><cell r="AG5411" t="str"><v>INSTAGRAM»USA-Trial-ITD-Interest Prospecting-AZR-AZR»1 x 1»SocialBan»CAN»ALL»CPA»PRO»X»NA»SS»NA»IGCTCBrandinMotion»PRC2PB</v></cell><cell r="AH5411"><v>223862690</v></cell><cell r="AI5411" t="str"><v>AzurePlatform_IGCTCBenefit2inMotion_USA_10s_CAN_PLATFORM_English_Trial_Standard_STAN_TIN_T4_1</v></cell><cell r="AJ5411"><v>103050783</v></cell></row><row r="5412"><cell r="C5412" t="str"><v>43320INSTAGRAM»USA-Trial-ITD-Interest Prospecting-AZR-AZR»1 x 1»SocialBan»CAN»ALL»CPA»PRO»X»NA»SS»NA»IGCTCBrandinMotion»PRC2PB</v></cell><cell r="D5412" t="str"><v>43320223862690</v></cell><cell r="E5412" t="str"><v>43320103178714PRC2PB</v></cell><cell r="F5412" t="str"><v>DCM</v></cell><cell r="G5412" t="str"><v>https://azure.microsoft.com/en-us/pricing/purchase-options/?v=18.19&OCID=AID%eexcid!_OLA_%ebuy!_%epid!_%ecid!</v></cell></row><row r="5412"><cell r="K5412" t="str"><v>August</v></cell><cell r="L5412"><v>43323</v></cell><cell r="M5412" t="str"><v>Tier 0</v></cell><cell r="N5412" t="str"><v>North America</v></cell><cell r="O5412" t="str"><v>United States</v></cell><cell r="P5412" t="str"><v>Trial</v></cell><cell r="Q5412" t="str"><v>Social</v></cell><cell r="R5412" t="str"><v>Azure</v></cell><cell r="S5412" t="str"><v>Apps & Infra</v></cell><cell r="T5412" t="str"><v>Developers & ITI's</v></cell><cell r="U5412" t="str"><v>USA-Trial-ITD-Interest Prospecting-AZR-AZR</v></cell><cell r="V5412" t="str"><v>Prospecting</v></cell><cell r="W5412" t="str"><v>Canvas Ad</v></cell><cell r="X5412" t="str"><v>1x1</v></cell></row><row r="5412"><cell r="AA5412"><v>43320</v></cell><cell r="AB5412" t="str"><v>USA_gaPMG_AZR_AZR_Q1_19_Direct-Social</v></cell><cell r="AC5412"><v>21358715</v></cell><cell r="AD5412"><v>720197</v></cell><cell r="AE5412" t="str"><v>Facebook - Instagram</v></cell><cell r="AF5412"><v>3654128</v></cell><cell r="AG5412" t="str"><v>INSTAGRAM»USA-Trial-ITD-Interest Prospecting-AZR-AZR»1 x 1»SocialBan»CAN»ALL»CPA»PRO»X»NA»SS»NA»IGCTCBrandinMotion»PRC2PB</v></cell><cell r="AH5412"><v>223862690</v></cell><cell r="AI5412" t="str"><v>AzurePlatform_IGCTCBenefit2inMotion_USA_10s_CAN_PLATFORM_English_Trial_Standard_STAN_TIN_T4_2</v></cell><cell r="AJ5412"><v>103178714</v></cell></row><row r="5413"><cell r="C5413" t="str"><v>43320INSTAGRAM»USA-Trial-ITD-Retargeting-AZR-AZR»1 x 1»SocialBan»CAN»ALL»CPA»RT»X»NA»SS»NA»IGCTCBrandinMotion»PRC2G3</v></cell><cell r="D5413" t="str"><v>43320224107014</v></cell><cell r="E5413" t="str"><v>43320103050783PRC2G3</v></cell><cell r="F5413" t="str"><v>DCM</v></cell><cell r="G5413" t="str"><v>https://signup.azure.com/?OCID=AID%eexcid!_OLA_%ebuy!_%epid!_%ecid!</v></cell></row><row r="5413"><cell r="K5413" t="str"><v>August</v></cell><cell r="L5413"><v>43323</v></cell><cell r="M5413" t="str"><v>Tier 0</v></cell><cell r="N5413" t="str"><v>North America</v></cell><cell r="O5413" t="str"><v>United States</v></cell><cell r="P5413" t="str"><v>Trial</v></cell><cell r="Q5413" t="str"><v>Social</v></cell><cell r="R5413" t="str"><v>Azure</v></cell><cell r="S5413" t="str"><v>Apps & Infra</v></cell><cell r="T5413" t="str"><v>Developers & ITI's</v></cell><cell r="U5413" t="str"><v>USA-Trial-ITD-Retargeting-AZR-AZR</v></cell><cell r="V5413" t="str"><v>Retargeting</v></cell><cell r="W5413" t="str"><v>Canvas Ad</v></cell><cell r="X5413" t="str"><v>1x1</v></cell></row><row r="5413"><cell r="AA5413"><v>43320</v></cell><cell r="AB5413" t="str"><v>USA_gaPMG_AZR_AZR_Q1_19_Direct-Social</v></cell><cell r="AC5413"><v>21358715</v></cell><cell r="AD5413"><v>720197</v></cell><cell r="AE5413" t="str"><v>Facebook - Instagram</v></cell><cell r="AF5413"><v>3654128</v></cell><cell r="AG5413" t="str"><v>INSTAGRAM»USA-Trial-ITD-Retargeting-AZR-AZR»1 x 1»SocialBan»CAN»ALL»CPA»RT»X»NA»SS»NA»IGCTCBrandinMotion»PRC2G3</v></cell><cell r="AH5413"><v>224107014</v></cell><cell r="AI5413" t="str"><v>AzurePlatform_IGCTCBenefit2inMotion_USA_10s_CAN_PLATFORM_English_Trial_Standard_STAN_TIN_T4_1</v></cell><cell r="AJ5413"><v>103050783</v></cell></row><row r="5414"><cell r="C5414" t="str"><v>43320INSTAGRAM»USA-Trial-ITD-Retargeting-AZR-AZR»1 x 1»SocialBan»CAN»ALL»CPA»RT»X»NA»SS»NA»IGCTCBenefitinMotion»PRC2G4</v></cell><cell r="D5414" t="str"><v>43320224107536</v></cell><cell r="E5414" t="str"><v>43320103050780PRC2G4</v></cell><cell r="F5414" t="str"><v>DCM</v></cell><cell r="G5414" t="str"><v>https://signup.azure.com/?OCID=AID%eexcid!_OLA_%ebuy!_%epid!_%ecid!</v></cell></row><row r="5414"><cell r="K5414" t="str"><v>August</v></cell><cell r="L5414"><v>43323</v></cell><cell r="M5414" t="str"><v>Tier 0</v></cell><cell r="N5414" t="str"><v>North America</v></cell><cell r="O5414" t="str"><v>United States</v></cell><cell r="P5414" t="str"><v>Trial</v></cell><cell r="Q5414" t="str"><v>Social</v></cell><cell r="R5414" t="str"><v>Azure</v></cell><cell r="S5414" t="str"><v>Apps & Infra</v></cell><cell r="T5414" t="str"><v>Developers & ITI's</v></cell><cell r="U5414" t="str"><v>USA-Trial-ITD-Retargeting-AZR-AZR</v></cell><cell r="V5414" t="str"><v>Retargeting</v></cell><cell r="W5414" t="str"><v>Canvas Ad</v></cell><cell r="X5414" t="str"><v>1x1</v></cell></row><row r="5414"><cell r="AA5414"><v>43320</v></cell><cell r="AB5414" t="str"><v>USA_gaPMG_AZR_AZR_Q1_19_Direct-Social</v></cell><cell r="AC5414"><v>21358715</v></cell><cell r="AD5414"><v>720197</v></cell><cell r="AE5414" t="str"><v>Facebook - Instagram</v></cell><cell r="AF5414"><v>3654128</v></cell><cell r="AG5414" t="str"><v>INSTAGRAM»USA-Trial-ITD-Retargeting-AZR-AZR»1 x 1»SocialBan»CAN»ALL»CPA»RT»X»NA»SS»NA»IGCTCBenefitinMotion»PRC2G4</v></cell><cell r="AH5414"><v>224107536</v></cell><cell r="AI5414" t="str"><v>AzurePlatform_IGCTCBenefitinMotion_USA_10s_CAN_PLATFORM_English_Trial_Standard_STAN_TIN_T3_1</v></cell><cell r="AJ5414"><v>103050780</v></cell></row><row r="5415"><cell r="C5415" t="str"><v>43320INSTAGRAM»USA-Trial-ITD-Trial Lookalike-AZR-AZR»1 x 1»SocialBan»CAN»ALL»CPA»LAL»X»NA»SS»NA»IGCTCBenefit2inMotion»PRC2FL</v></cell><cell r="D5415" t="str"><v>43320223935022</v></cell><cell r="E5415" t="str"><v>43320103180628PRC2FL</v></cell><cell r="F5415" t="str"><v>DCM</v></cell><cell r="G5415" t="str"><v>https://signup.azure.com/?OCID=AID%eexcid!_OLA_%ebuy!_%epid!_%ecid!</v></cell></row><row r="5415"><cell r="K5415" t="str"><v>August</v></cell><cell r="L5415"><v>43323</v></cell><cell r="M5415" t="str"><v>Tier 0</v></cell><cell r="N5415" t="str"><v>North America</v></cell><cell r="O5415" t="str"><v>United States</v></cell><cell r="P5415" t="str"><v>Trial</v></cell><cell r="Q5415" t="str"><v>Social</v></cell><cell r="R5415" t="str"><v>Azure</v></cell><cell r="S5415" t="str"><v>Apps & Infra</v></cell><cell r="T5415" t="str"><v>Developers & ITI's</v></cell><cell r="U5415" t="str"><v>USA-Trial-ITD-Trial Lookalike-AZR-AZR</v></cell><cell r="V5415" t="str"><v>Lookalike Targeting</v></cell><cell r="W5415" t="str"><v>Canvas Ad</v></cell><cell r="X5415" t="str"><v>1x1</v></cell></row><row r="5415"><cell r="AA5415"><v>43320</v></cell><cell r="AB5415" t="str"><v>USA_gaPMG_AZR_AZR_Q1_19_Direct-Social</v></cell><cell r="AC5415"><v>21358715</v></cell><cell r="AD5415"><v>720197</v></cell><cell r="AE5415" t="str"><v>Facebook - Instagram</v></cell><cell r="AF5415"><v>3654128</v></cell><cell r="AG5415" t="str"><v>INSTAGRAM»USA-Trial-ITD-Trial Lookalike-AZR-AZR»1 x 1»SocialBan»CAN»ALL»CPA»LAL»X»NA»SS»NA»IGCTCBenefit2inMotion»PRC2FL</v></cell><cell r="AH5415"><v>223935022</v></cell><cell r="AI5415" t="str"><v>AzurePlatform_IGCTCBrandinMotion_USA_10s_CAN_PLATFORM_English_Trial_Standard_STAN_TIN_T2_1</v></cell><cell r="AJ5415"><v>103180628</v></cell></row><row r="5416"><cell r="C5416" t="str"><v>43320INSTAGRAM»USA-Trial-ITD-Trial Lookalike-AZR-AZR»1 x 1»SocialBan»CAN»ALL»CPA»LAL»X»NA»SS»NA»IGCTCBrandinMotion»PRC2FH</v></cell><cell r="D5416" t="str"><v>43320223935019</v></cell><cell r="E5416" t="str"><v>43320103050783PRC2FH</v></cell><cell r="F5416" t="str"><v>DCM</v></cell><cell r="G5416" t="str"><v>https://signup.azure.com/?OCID=AID%eexcid!_OLA_%ebuy!_%epid!_%ecid!</v></cell></row><row r="5416"><cell r="K5416" t="str"><v>August</v></cell><cell r="L5416"><v>43323</v></cell><cell r="M5416" t="str"><v>Tier 0</v></cell><cell r="N5416" t="str"><v>North America</v></cell><cell r="O5416" t="str"><v>United States</v></cell><cell r="P5416" t="str"><v>Trial</v></cell><cell r="Q5416" t="str"><v>Social</v></cell><cell r="R5416" t="str"><v>Azure</v></cell><cell r="S5416" t="str"><v>Apps & Infra</v></cell><cell r="T5416" t="str"><v>Developers & ITI's</v></cell><cell r="U5416" t="str"><v>USA-Trial-ITD-Trial Lookalike-AZR-AZR</v></cell><cell r="V5416" t="str"><v>Lookalike Targeting</v></cell><cell r="W5416" t="str"><v>Canvas Ad</v></cell><cell r="X5416" t="str"><v>1x1</v></cell></row><row r="5416"><cell r="AA5416"><v>43320</v></cell><cell r="AB5416" t="str"><v>USA_gaPMG_AZR_AZR_Q1_19_Direct-Social</v></cell><cell r="AC5416"><v>21358715</v></cell><cell r="AD5416"><v>720197</v></cell><cell r="AE5416" t="str"><v>Facebook - Instagram</v></cell><cell r="AF5416"><v>3654128</v></cell><cell r="AG5416" t="str"><v>INSTAGRAM»USA-Trial-ITD-Trial Lookalike-AZR-AZR»1 x 1»SocialBan»CAN»ALL»CPA»LAL»X»NA»SS»NA»IGCTCBrandinMotion»PRC2FH</v></cell><cell r="AH5416"><v>223935019</v></cell><cell r="AI5416" t="str"><v>AzurePlatform_IGCTCBenefit2inMotion_USA_10s_CAN_PLATFORM_English_Trial_Standard_STAN_TIN_T4_1</v></cell><cell r="AJ5416"><v>103050783</v></cell></row><row r="5417"><cell r="C5417" t="str"><v>43320INSTAGRAM»USA-Trial-ITD-Trial Lookalike-AZR-AZR»1 x 1»SocialBan»CAN»ALL»CPA»LAL»X»NA»SS»NA»IGCTCBrandinMotion»PRC2FH</v></cell><cell r="D5417" t="str"><v>43320223935019</v></cell><cell r="E5417" t="str"><v>43320103178714PRC2FH</v></cell><cell r="F5417" t="str"><v>DCM</v></cell><cell r="G5417" t="str"><v>https://azure.microsoft.com/en-us/pricing/purchase-options/?v=18.19&OCID=AID%eexcid!_OLA_%ebuy!_%epid!_%ecid!</v></cell></row><row r="5417"><cell r="K5417" t="str"><v>August</v></cell><cell r="L5417"><v>43323</v></cell><cell r="M5417" t="str"><v>Tier 0</v></cell><cell r="N5417" t="str"><v>North America</v></cell><cell r="O5417" t="str"><v>United States</v></cell><cell r="P5417" t="str"><v>Trial</v></cell><cell r="Q5417" t="str"><v>Social</v></cell><cell r="R5417" t="str"><v>Azure</v></cell><cell r="S5417" t="str"><v>Apps & Infra</v></cell><cell r="T5417" t="str"><v>Developers & ITI's</v></cell><cell r="U5417" t="str"><v>USA-Trial-ITD-Trial Lookalike-AZR-AZR</v></cell><cell r="V5417" t="str"><v>Lookalike Targeting</v></cell><cell r="W5417" t="str"><v>Canvas Ad</v></cell><cell r="X5417" t="str"><v>1x1</v></cell></row><row r="5417"><cell r="AA5417"><v>43320</v></cell><cell r="AB5417" t="str"><v>USA_gaPMG_AZR_AZR_Q1_19_Direct-Social</v></cell><cell r="AC5417"><v>21358715</v></cell><cell r="AD5417"><v>720197</v></cell><cell r="AE5417" t="str"><v>Facebook - Instagram</v></cell><cell r="AF5417"><v>3654128</v></cell><cell r="AG5417" t="str"><v>INSTAGRAM»USA-Trial-ITD-Trial Lookalike-AZR-AZR»1 x 1»SocialBan»CAN»ALL»CPA»LAL»X»NA»SS»NA»IGCTCBrandinMotion»PRC2FH</v></cell><cell r="AH5417"><v>223935019</v></cell><cell r="AI5417" t="str"><v>AzurePlatform_IGCTCBenefit2inMotion_USA_10s_CAN_PLATFORM_English_Trial_Standard_STAN_TIN_T4_2</v></cell><cell r="AJ5417"><v>103178714</v></cell></row><row r="5418"><cell r="C5418" t="str"><v>43320INSTAGRAM»USA-Trial-ITD-Trial PayGo Lookalike-AZR-AZR»1 x 1»SocialBan»CAN»ALL»CPA»LAL»X»NA»SS»NA»IGCTCBrandinMotion»PRC2FW</v></cell><cell r="D5418" t="str"><v>43320223862654</v></cell><cell r="E5418" t="str"><v>43320103050783PRC2FW</v></cell><cell r="F5418" t="str"><v>DCM</v></cell><cell r="G5418" t="str"><v>https://signup.azure.com/?OCID=AID%eexcid!_OLA_%ebuy!_%epid!_%ecid!</v></cell></row><row r="5418"><cell r="K5418" t="str"><v>August</v></cell><cell r="L5418"><v>43323</v></cell><cell r="M5418" t="str"><v>Tier 0</v></cell><cell r="N5418" t="str"><v>North America</v></cell><cell r="O5418" t="str"><v>United States</v></cell><cell r="P5418" t="str"><v>Trial</v></cell><cell r="Q5418" t="str"><v>Social</v></cell><cell r="R5418" t="str"><v>Azure</v></cell><cell r="S5418" t="str"><v>Apps & Infra</v></cell><cell r="T5418" t="str"><v>Developers & ITI's</v></cell><cell r="U5418" t="str"><v>USA-Trial-ITD-Trial PayGo Lookalike-AZR-AZR</v></cell><cell r="V5418" t="str"><v>Lookalike Targeting</v></cell><cell r="W5418" t="str"><v>Canvas Ad</v></cell><cell r="X5418" t="str"><v>1x1</v></cell></row><row r="5418"><cell r="AA5418"><v>43320</v></cell><cell r="AB5418" t="str"><v>USA_gaPMG_AZR_AZR_Q1_19_Direct-Social</v></cell><cell r="AC5418"><v>21358715</v></cell><cell r="AD5418"><v>720197</v></cell><cell r="AE5418" t="str"><v>Facebook - Instagram</v></cell><cell r="AF5418"><v>3654128</v></cell><cell r="AG5418" t="str"><v>INSTAGRAM»USA-Trial-ITD-Trial PayGo Lookalike-AZR-AZR»1 x 1»SocialBan»CAN»ALL»CPA»LAL»X»NA»SS»NA»IGCTCBrandinMotion»PRC2FW</v></cell><cell r="AH5418"><v>223862654</v></cell><cell r="AI5418" t="str"><v>AzurePlatform_IGCTCBenefit2inMotion_USA_10s_CAN_PLATFORM_English_Trial_Standard_STAN_TIN_T4_1</v></cell><cell r="AJ5418"><v>103050783</v></cell></row><row r="5419"><cell r="C5419" t="str"><v>43320INSTAGRAM»USA-Trial-ITD-Trial PayGo Lookalike-AZR-AZR»1 x 1»SocialBan»CAN»ALL»CPA»LAL»X»NA»SS»NA»IGCTCBenefit2inMotion»PRC2FZ</v></cell><cell r="D5419" t="str"><v>43320223933075</v></cell><cell r="E5419" t="str"><v>43320103180628PRC2FZ</v></cell><cell r="F5419" t="str"><v>DCM</v></cell><cell r="G5419" t="str"><v>https://signup.azure.com/?OCID=AID%eexcid!_OLA_%ebuy!_%epid!_%ecid!</v></cell></row><row r="5419"><cell r="K5419" t="str"><v>August</v></cell><cell r="L5419"><v>43323</v></cell><cell r="M5419" t="str"><v>Tier 0</v></cell><cell r="N5419" t="str"><v>North America</v></cell><cell r="O5419" t="str"><v>United States</v></cell><cell r="P5419" t="str"><v>Trial</v></cell><cell r="Q5419" t="str"><v>Social</v></cell><cell r="R5419" t="str"><v>Azure</v></cell><cell r="S5419" t="str"><v>Apps & Infra</v></cell><cell r="T5419" t="str"><v>Developers & ITI's</v></cell><cell r="U5419" t="str"><v>USA-Trial-ITD-Trial PayGo Lookalike-AZR-AZR</v></cell><cell r="V5419" t="str"><v>Lookalike Targeting</v></cell><cell r="W5419" t="str"><v>Canvas Ad</v></cell><cell r="X5419" t="str"><v>1x1</v></cell></row><row r="5419"><cell r="AA5419"><v>43320</v></cell><cell r="AB5419" t="str"><v>USA_gaPMG_AZR_AZR_Q1_19_Direct-Social</v></cell><cell r="AC5419"><v>21358715</v></cell><cell r="AD5419"><v>720197</v></cell><cell r="AE5419" t="str"><v>Facebook - Instagram</v></cell><cell r="AF5419"><v>3654128</v></cell><cell r="AG5419" t="str"><v>INSTAGRAM»USA-Trial-ITD-Trial PayGo Lookalike-AZR-AZR»1 x 1»SocialBan»CAN»ALL»CPA»LAL»X»NA»SS»NA»IGCTCBenefit2inMotion»PRC2FZ</v></cell><cell r="AH5419"><v>223933075</v></cell><cell r="AI5419" t="str"><v>AzurePlatform_IGCTCBrandinMotion_USA_10s_CAN_PLATFORM_English_Trial_Standard_STAN_TIN_T2_1</v></cell><cell r="AJ5419"><v>103180628</v></cell></row><row r="5420"><cell r="C5420" t="str"><v>43320INSTAGRAM»USA-Trial-ITD-Trial PayGo Lookalike-AZR-AZR»1 x 1»SocialBan»CAN»ALL»CPA»LAL»X»NA»SS»NA»IGCTCBenefit2inMotion»PRC2FZ</v></cell><cell r="D5420" t="str"><v>43320223933075</v></cell><cell r="E5420" t="str"><v>43320103050786PRC2FZ</v></cell><cell r="F5420" t="str"><v>DCM</v></cell><cell r="G5420" t="str"><v>https://azure.microsoft.com/en-us/pricing/purchase-options/?v=18.19&OCID=AID%eexcid!_OLA_%ebuy!_%epid!_%ecid!</v></cell></row><row r="5420"><cell r="K5420" t="str"><v>August</v></cell><cell r="L5420"><v>43323</v></cell><cell r="M5420" t="str"><v>Tier 0</v></cell><cell r="N5420" t="str"><v>North America</v></cell><cell r="O5420" t="str"><v>United States</v></cell><cell r="P5420" t="str"><v>Trial</v></cell><cell r="Q5420" t="str"><v>Social</v></cell><cell r="R5420" t="str"><v>Azure</v></cell><cell r="S5420" t="str"><v>Apps & Infra</v></cell><cell r="T5420" t="str"><v>Developers & ITI's</v></cell><cell r="U5420" t="str"><v>USA-Trial-ITD-Trial PayGo Lookalike-AZR-AZR</v></cell><cell r="V5420" t="str"><v>Lookalike Targeting</v></cell><cell r="W5420" t="str"><v>Canvas Ad</v></cell><cell r="X5420" t="str"><v>1x1</v></cell></row><row r="5420"><cell r="AA5420"><v>43320</v></cell><cell r="AB5420" t="str"><v>USA_gaPMG_AZR_AZR_Q1_19_Direct-Social</v></cell><cell r="AC5420"><v>21358715</v></cell><cell r="AD5420"><v>720197</v></cell><cell r="AE5420" t="str"><v>Facebook - Instagram</v></cell><cell r="AF5420"><v>3654128</v></cell><cell r="AG5420" t="str"><v>INSTAGRAM»USA-Trial-ITD-Trial PayGo Lookalike-AZR-AZR»1 x 1»SocialBan»CAN»ALL»CPA»LAL»X»NA»SS»NA»IGCTCBenefit2inMotion»PRC2FZ</v></cell><cell r="AH5420"><v>223933075</v></cell><cell r="AI5420" t="str"><v>AzurePlatform_IGCTCBrandinMotion_USA_10s_CAN_PLATFORM_English_Trial_Standard_STAN_TIN_T2_2</v></cell><cell r="AJ5420"><v>103050786</v></cell></row><row r="5421"><cell r="C5421" t="str"><v>43320LINKEDIN»USA-Trial-ITD-Skills Prospecting-AZR-AZR»1 x 1»SocialBan»LIA»ALL»CPA»PRO»D»All»SS»NA»FreeAcctRetargetingLI-GlobalAlt-ChB»PS7BV6</v></cell><cell r="D5421" t="str"><v>43320226535237</v></cell><cell r="E5421" t="str"><v>43320104593723PS7BV6</v></cell><cell r="F5421" t="str"><v>DCM</v></cell><cell r="G5421" t="str"><v>https://azure.microsoft.com/en-us/free/search/?OCID=AID%eexcid!_OLA_%ebuy!_%epid!_%ecid!</v></cell></row><row r="5421"><cell r="K5421" t="str"><v>August</v></cell><cell r="L5421"><v>43323</v></cell><cell r="M5421" t="str"><v>Tier 0</v></cell><cell r="N5421" t="str"><v>North America</v></cell><cell r="O5421" t="str"><v>United States</v></cell><cell r="P5421" t="str"><v>Trial</v></cell><cell r="Q5421" t="str"><v>Social</v></cell><cell r="R5421" t="str"><v>Azure</v></cell><cell r="S5421" t="str"><v>Apps & Infra</v></cell><cell r="T5421" t="str"><v>Developers & ITI's</v></cell><cell r="U5421" t="str"><v>USA-Trial-ITD-Skills Prospecting-AZR-AZR</v></cell><cell r="V5421" t="str"><v>Prospecting</v></cell><cell r="W5421" t="str"><v>Link Ad</v></cell><cell r="X5421" t="str"><v>1x1</v></cell></row><row r="5421"><cell r="AA5421"><v>43320</v></cell><cell r="AB5421" t="str"><v>USA_gaPMG_AZR_AZR_Q1_19_Direct-Social</v></cell><cell r="AC5421"><v>21358715</v></cell><cell r="AD5421"><v>720197</v></cell><cell r="AE5421" t="str"><v>Linkedin</v></cell><cell r="AF5421"><v>3654329</v></cell><cell r="AG5421" t="str"><v>LINKEDIN»USA-Trial-ITD-Skills Prospecting-AZR-AZR»1 x 1»SocialBan»LIA»ALL»CPA»PRO»D»All»SS»NA»FreeAcctRetargetingLI-GlobalAlt-ChB»PS7BV6</v></cell><cell r="AH5421"><v>226535237</v></cell><cell r="AI5421" t="str"><v>AZR_FreeAcctRetargetingLI-GlobalAlt-ChB_USA_1200x627_LIA_Plat_English_Free Account_Standard_NA_SINU_T2_1</v></cell><cell r="AJ5421"><v>104593723</v></cell></row><row r="5422"><cell r="C5422" t="str"><v>43321Facebook»Audience & Interest Targeting»1x1»Canvas»OTH»DT»DYN»AUT»W»NA»SS»NA»FBCTCcanvaspage-StartFreeCTA_FBCTCcanvaspage-BuyNowCTA</v></cell><cell r="D5422" t="str"><v>43321224639151</v></cell><cell r="E5422" t="str"><v>43321103316832NowCTA</v></cell><cell r="F5422" t="str"><v>DCM</v></cell><cell r="G5422" t="str"><v>https://azure.microsoft.com/en-au/pricing/purchase-options/</v></cell></row><row r="5422"><cell r="K5422" t="str"><v>August</v></cell><cell r="L5422"><v>43323</v></cell><cell r="M5422" t="str"><v>Tier 1</v></cell><cell r="N5422" t="str"><v>APAC</v></cell><cell r="O5422" t="str"><v>Australia</v></cell><cell r="P5422" t="str"><v>Trial</v></cell><cell r="Q5422" t="str"><v>Social</v></cell><cell r="R5422" t="str"><v>Azure</v></cell><cell r="S5422" t="str"><v>Apps & Infra</v></cell><cell r="T5422" t="str"><v>Developers & ITI's</v></cell><cell r="U5422" t="str"><v>Audience & Interest Targeting</v></cell><cell r="V5422" t="str"><v>Audience Targeting</v></cell><cell r="W5422" t="str"><v>Other</v></cell><cell r="X5422" t="str"><v>1x1</v></cell></row><row r="5422"><cell r="AA5422"><v>43321</v></cell><cell r="AB5422" t="str"><v>AUS_gaPMG_AZR_AZR_Q1_19_Trial-Social</v></cell><cell r="AC5422"><v>21358568</v></cell><cell r="AD5422"><v>720191</v></cell><cell r="AE5422" t="str"><v>Facebook</v></cell><cell r="AF5422"><v>3654128</v></cell><cell r="AG5422" t="str"><v>Facebook»Audience & Interest Targeting»1x1»Canvas»OTH»DT»DYN»AUT»W»NA»SS»NA»FBCTCcanvaspage-StartFreeCTA_FBCTCcanvaspage-BuyNowCTA</v></cell><cell r="AH5422"><v>224639151</v></cell><cell r="AI5422" t="str"><v>AzurePlatform_FBCTCcanvaspage-BuyNowCTA-Img3_AUS_1080x162_SOC_Plat_English_NA_Standard_NA_BN_T3_1</v></cell><cell r="AJ5422"><v>103316832</v></cell></row><row r="5423"><cell r="C5423" t="str"><v>43321Facebook»Audience & Interest Targeting»1x1»Canvas»OTH»DT»DYN»AUT»W»NA»SS»NA»FBCTCcanvaspage-StartFreeCTA_FBCTCcanvaspage-BuyNowCTA</v></cell><cell r="D5423" t="str"><v>43321224639151</v></cell><cell r="E5423" t="str"><v>43321103316829NowCTA</v></cell><cell r="F5423" t="str"><v>DCM</v></cell><cell r="G5423" t="str"><v>https://signup.azure.com/signup?offer=ms-azr-0044p&appId=102&ref=paidmedia-social-fb&redirectURL=https%3a%2f%2fazure.microsoft.com%2fen-au%2fget-started%2fwelcome-to-azure%2f&l=en-au&correlationId=ead86c34-1f10-49dd-a72b-6918462a2cbf</v></cell></row><row r="5423"><cell r="K5423" t="str"><v>August</v></cell><cell r="L5423"><v>43323</v></cell><cell r="M5423" t="str"><v>Tier 1</v></cell><cell r="N5423" t="str"><v>APAC</v></cell><cell r="O5423" t="str"><v>Australia</v></cell><cell r="P5423" t="str"><v>Trial</v></cell><cell r="Q5423" t="str"><v>Social</v></cell><cell r="R5423" t="str"><v>Azure</v></cell><cell r="S5423" t="str"><v>Apps & Infra</v></cell><cell r="T5423" t="str"><v>Developers & ITI's</v></cell><cell r="U5423" t="str"><v>Audience & Interest Targeting</v></cell><cell r="V5423" t="str"><v>Audience Targeting</v></cell><cell r="W5423" t="str"><v>Other</v></cell><cell r="X5423" t="str"><v>1x1</v></cell></row><row r="5423"><cell r="AA5423"><v>43321</v></cell><cell r="AB5423" t="str"><v>AUS_gaPMG_AZR_AZR_Q1_19_Trial-Social</v></cell><cell r="AC5423"><v>21358568</v></cell><cell r="AD5423"><v>720191</v></cell><cell r="AE5423" t="str"><v>Facebook</v></cell><cell r="AF5423"><v>3654128</v></cell><cell r="AG5423" t="str"><v>Facebook»Audience & Interest Targeting»1x1»Canvas»OTH»DT»DYN»AUT»W»NA»SS»NA»FBCTCcanvaspage-StartFreeCTA_FBCTCcanvaspage-BuyNowCTA</v></cell><cell r="AH5423"><v>224639151</v></cell><cell r="AI5423" t="str"><v>AzurePlatform_FBCTCcanvaspage-StartFreeCTA-Img2_AUS_1080x143 _SOC_Plat_English_NA_Standard_NA_NA_T2_1</v></cell><cell r="AJ5423"><v>103316829</v></cell></row><row r="5424"><cell r="C5424" t="str"><v>43321Facebook»Audience & Interest Targeting»1x1»TextLink»OTH»DT»DYN»AUT»W»NA»SS»NA»Free Account Refresh- 12 months ChE</v></cell><cell r="D5424" t="str"><v>43321224160783</v></cell><cell r="E5424" t="str"><v>43321103051614hs ChE</v></cell><cell r="F5424" t="str"><v>DCM</v></cell></row><row r="5424"><cell r="K5424" t="str"><v>August</v></cell><cell r="L5424"><v>43323</v></cell><cell r="M5424" t="str"><v>Tier 1</v></cell><cell r="N5424" t="str"><v>APAC</v></cell><cell r="O5424" t="str"><v>Australia</v></cell><cell r="P5424" t="str"><v>Trial</v></cell><cell r="Q5424" t="str"><v>Social</v></cell><cell r="R5424" t="str"><v>Azure</v></cell><cell r="S5424" t="str"><v>Apps & Infra</v></cell><cell r="T5424" t="str"><v>Developers & ITI's</v></cell><cell r="U5424" t="str"><v>Audience & Interest Targeting</v></cell><cell r="V5424" t="str"><v>Audience Targeting</v></cell><cell r="W5424" t="str"><v>Other</v></cell><cell r="X5424" t="str"><v>1x1</v></cell></row><row r="5424"><cell r="AA5424"><v>43321</v></cell><cell r="AB5424" t="str"><v>AUS_gaPMG_AZR_AZR_Q1_19_Trial-Social</v></cell><cell r="AC5424"><v>21358568</v></cell><cell r="AD5424"><v>720191</v></cell><cell r="AE5424" t="str"><v>Facebook</v></cell><cell r="AF5424"><v>3654128</v></cell><cell r="AG5424" t="str"><v>Facebook»Audience & Interest Targeting»1x1»TextLink»OTH»DT»DYN»AUT»W»NA»SS»NA»Free Account Refresh- 12 months ChE</v></cell><cell r="AH5424"><v>224160783</v></cell><cell r="AI5424" t="str"><v>AzurePlatform_FreeAcctAppsFACEBOOK12monthsChE_AUS_1200x628_SOC_PLAT_EN_Trial_Standard_NA_SNU_T5_1</v></cell><cell r="AJ5424"><v>103051614</v></cell></row><row r="5425"><cell r="C5425" t="str"><v>43321Facebook»Audience & Interest Targeting»1x1»TextLink»OTH»DT»DYN»AUT»W»NA»SS»NA»Free Account Refresh- 200 Credit ChD</v></cell><cell r="D5425" t="str"><v>43321224160780</v></cell><cell r="E5425" t="str"><v>43321103186904it ChD</v></cell><cell r="F5425" t="str"><v>DCM</v></cell></row><row r="5425"><cell r="K5425" t="str"><v>August</v></cell><cell r="L5425"><v>43323</v></cell><cell r="M5425" t="str"><v>Tier 1</v></cell><cell r="N5425" t="str"><v>APAC</v></cell><cell r="O5425" t="str"><v>Australia</v></cell><cell r="P5425" t="str"><v>Trial</v></cell><cell r="Q5425" t="str"><v>Social</v></cell><cell r="R5425" t="str"><v>Azure</v></cell><cell r="S5425" t="str"><v>Apps & Infra</v></cell><cell r="T5425" t="str"><v>Developers & ITI's</v></cell><cell r="U5425" t="str"><v>Audience & Interest Targeting</v></cell><cell r="V5425" t="str"><v>Audience Targeting</v></cell><cell r="W5425" t="str"><v>Other</v></cell><cell r="X5425" t="str"><v>1x1</v></cell></row><row r="5425"><cell r="AA5425"><v>43321</v></cell><cell r="AB5425" t="str"><v>AUS_gaPMG_AZR_AZR_Q1_19_Trial-Social</v></cell><cell r="AC5425"><v>21358568</v></cell><cell r="AD5425"><v>720191</v></cell><cell r="AE5425" t="str"><v>Facebook</v></cell><cell r="AF5425"><v>3654128</v></cell><cell r="AG5425" t="str"><v>Facebook»Audience & Interest Targeting»1x1»TextLink»OTH»DT»DYN»AUT»W»NA»SS»NA»Free Account Refresh- 200 Credit ChD</v></cell><cell r="AH5425"><v>224160780</v></cell><cell r="AI5425" t="str"><v>AzurePlatform_FreeAcctAppsFACEBOOK200CreditChD_AUS_1200x628_SOC_PLAT_EN_Trial_Standard_NA_SNU_T4_1</v></cell><cell r="AJ5425"><v>103186904</v></cell></row><row r="5426"><cell r="C5426" t="str"><v>43321Facebook»Audience & Interest Targeting»1x1»TextLink»OTH»DT»DYN»AUT»W»NA»SS»NA»Free Account Refresh- Device ChB</v></cell><cell r="D5426" t="str"><v>43321224160777</v></cell><cell r="E5426" t="str"><v>43321103048479ce ChB</v></cell><cell r="F5426" t="str"><v>DCM</v></cell></row><row r="5426"><cell r="K5426" t="str"><v>August</v></cell><cell r="L5426"><v>43323</v></cell><cell r="M5426" t="str"><v>Tier 1</v></cell><cell r="N5426" t="str"><v>APAC</v></cell><cell r="O5426" t="str"><v>Australia</v></cell><cell r="P5426" t="str"><v>Trial</v></cell><cell r="Q5426" t="str"><v>Social</v></cell><cell r="R5426" t="str"><v>Azure</v></cell><cell r="S5426" t="str"><v>Apps & Infra</v></cell><cell r="T5426" t="str"><v>Developers & ITI's</v></cell><cell r="U5426" t="str"><v>Audience & Interest Targeting</v></cell><cell r="V5426" t="str"><v>Audience Targeting</v></cell><cell r="W5426" t="str"><v>Other</v></cell><cell r="X5426" t="str"><v>1x1</v></cell></row><row r="5426"><cell r="AA5426"><v>43321</v></cell><cell r="AB5426" t="str"><v>AUS_gaPMG_AZR_AZR_Q1_19_Trial-Social</v></cell><cell r="AC5426"><v>21358568</v></cell><cell r="AD5426"><v>720191</v></cell><cell r="AE5426" t="str"><v>Facebook</v></cell><cell r="AF5426"><v>3654128</v></cell><cell r="AG5426" t="str"><v>Facebook»Audience & Interest Targeting»1x1»TextLink»OTH»DT»DYN»AUT»W»NA»SS»NA»Free Account Refresh- Device ChB</v></cell><cell r="AH5426"><v>224160777</v></cell><cell r="AI5426" t="str"><v>AzurePlatform_FreeAcctAppsFACEBOOKDeviceChB_AUS_1200x628_SOC_PLAT_EN_Trial_Standard_NA_SNU_T2_1</v></cell><cell r="AJ5426"><v>103048479</v></cell></row><row r="5427"><cell r="C5427" t="str"><v>43321Facebook»Audience & Interest Targeting»1x1»TextLink»OTH»DT»DYN»AUT»W»NA»SS»NA»Free Account Refresh- Illustration ChC</v></cell><cell r="D5427" t="str"><v>43321224160774</v></cell><cell r="E5427" t="str"><v>43321103186910on ChC</v></cell><cell r="F5427" t="str"><v>DCM</v></cell></row><row r="5427"><cell r="K5427" t="str"><v>August</v></cell><cell r="L5427"><v>43323</v></cell><cell r="M5427" t="str"><v>Tier 1</v></cell><cell r="N5427" t="str"><v>APAC</v></cell><cell r="O5427" t="str"><v>Australia</v></cell><cell r="P5427" t="str"><v>Trial</v></cell><cell r="Q5427" t="str"><v>Social</v></cell><cell r="R5427" t="str"><v>Azure</v></cell><cell r="S5427" t="str"><v>Apps & Infra</v></cell><cell r="T5427" t="str"><v>Developers & ITI's</v></cell><cell r="U5427" t="str"><v>Audience & Interest Targeting</v></cell><cell r="V5427" t="str"><v>Audience Targeting</v></cell><cell r="W5427" t="str"><v>Other</v></cell><cell r="X5427" t="str"><v>1x1</v></cell></row><row r="5427"><cell r="AA5427"><v>43321</v></cell><cell r="AB5427" t="str"><v>AUS_gaPMG_AZR_AZR_Q1_19_Trial-Social</v></cell><cell r="AC5427"><v>21358568</v></cell><cell r="AD5427"><v>720191</v></cell><cell r="AE5427" t="str"><v>Facebook</v></cell><cell r="AF5427"><v>3654128</v></cell><cell r="AG5427" t="str"><v>Facebook»Audience & Interest Targeting»1x1»TextLink»OTH»DT»DYN»AUT»W»NA»SS»NA»Free Account Refresh- Illustration ChC</v></cell><cell r="AH5427"><v>224160774</v></cell><cell r="AI5427" t="str"><v>AzurePlatform_FreeAcctAppsFACEBOOKIllustrationChC_AUS_1200x628_SOC_PLAT_EN_Trial_Standard_NA_SNU_T3_1</v></cell><cell r="AJ5427"><v>103186910</v></cell></row><row r="5428"><cell r="C5428" t="str"><v>43321Facebook»Audience & Interest Targeting»1x1»TextLink»OTH»DT»DYN»AUT»W»NA»SS»NA»Free Account Refresh- Lifestyle ChA</v></cell><cell r="D5428" t="str"><v>43321224160771</v></cell><cell r="E5428" t="str"><v>43321103048488le ChA</v></cell><cell r="F5428" t="str"><v>DCM</v></cell></row><row r="5428"><cell r="K5428" t="str"><v>August</v></cell><cell r="L5428"><v>43323</v></cell><cell r="M5428" t="str"><v>Tier 1</v></cell><cell r="N5428" t="str"><v>APAC</v></cell><cell r="O5428" t="str"><v>Australia</v></cell><cell r="P5428" t="str"><v>Trial</v></cell><cell r="Q5428" t="str"><v>Social</v></cell><cell r="R5428" t="str"><v>Azure</v></cell><cell r="S5428" t="str"><v>Apps & Infra</v></cell><cell r="T5428" t="str"><v>Developers & ITI's</v></cell><cell r="U5428" t="str"><v>Audience & Interest Targeting</v></cell><cell r="V5428" t="str"><v>Audience Targeting</v></cell><cell r="W5428" t="str"><v>Other</v></cell><cell r="X5428" t="str"><v>1x1</v></cell></row><row r="5428"><cell r="AA5428"><v>43321</v></cell><cell r="AB5428" t="str"><v>AUS_gaPMG_AZR_AZR_Q1_19_Trial-Social</v></cell><cell r="AC5428"><v>21358568</v></cell><cell r="AD5428"><v>720191</v></cell><cell r="AE5428" t="str"><v>Facebook</v></cell><cell r="AF5428"><v>3654128</v></cell><cell r="AG5428" t="str"><v>Facebook»Audience & Interest Targeting»1x1»TextLink»OTH»DT»DYN»AUT»W»NA»SS»NA»Free Account Refresh- Lifestyle ChA</v></cell><cell r="AH5428"><v>224160771</v></cell><cell r="AI5428" t="str"><v>AzurePlatform_FreeAcctAppsFACEBOOKLifestyleChA_AUS_1200x628_SOC_PLAT_EN_Trial_Standard_NA_SNU_T1_1</v></cell><cell r="AJ5428"><v>103048488</v></cell></row><row r="5429"><cell r="C5429" t="str"><v>43321Facebook»LAL»1x1»TextLink»SOC»DT»DYN»LAL»W»NA»SS»NA»Free Account Refresh- 200 Credit ChD</v></cell><cell r="D5429" t="str"><v>43321224160720</v></cell><cell r="E5429" t="str"><v>43321103186907it ChD</v></cell><cell r="F5429" t="str"><v>DCM</v></cell><cell r="G5429" t="str"><v>https://azure.microsoft.com/en-au/free/open-source/search/</v></cell></row><row r="5429"><cell r="K5429" t="str"><v>August</v></cell><cell r="L5429"><v>43323</v></cell><cell r="M5429" t="str"><v>Tier 1</v></cell><cell r="N5429" t="str"><v>APAC</v></cell><cell r="O5429" t="str"><v>Australia</v></cell><cell r="P5429" t="str"><v>Trial</v></cell><cell r="Q5429" t="str"><v>Social</v></cell><cell r="R5429" t="str"><v>Azure</v></cell><cell r="S5429" t="str"><v>Apps & Infra</v></cell><cell r="T5429" t="str"><v>Developers & ITI's</v></cell><cell r="U5429" t="str"><v>LAL</v></cell><cell r="V5429" t="str"><v>Lookalike Targeting</v></cell><cell r="W5429" t="str"><v>Social</v></cell><cell r="X5429" t="str"><v>1x1</v></cell></row><row r="5429"><cell r="AA5429"><v>43321</v></cell><cell r="AB5429" t="str"><v>AUS_gaPMG_AZR_AZR_Q1_19_Trial-Social</v></cell><cell r="AC5429"><v>21358568</v></cell><cell r="AD5429"><v>720191</v></cell><cell r="AE5429" t="str"><v>Facebook</v></cell><cell r="AF5429"><v>3654128</v></cell><cell r="AG5429" t="str"><v>Facebook»LAL»1x1»TextLink»SOC»DT»DYN»LAL»W»NA»SS»NA»Free Account Refresh- 200 Credit ChD</v></cell><cell r="AH5429"><v>224160720</v></cell><cell r="AI5429" t="str"><v>AzurePlatform_FreeAcctRetargetingOSSFB-Logos-ChG_AUS_1200x628_SOC_Plat_EN_Free Account_Standard_NA_SNU_T2_1</v></cell><cell r="AJ5429"><v>103186907</v></cell></row><row r="5430"><cell r="C5430" t="str"><v>43321Facebook»LAL»1x1»TextLink»SOC»DT»DYN»LAL»W»NA»SS»NA»Free Account Refresh- Device ChB</v></cell><cell r="D5430" t="str"><v>43321224160717</v></cell><cell r="E5430" t="str"><v>43321103048485ce ChB</v></cell><cell r="F5430" t="str"><v>DCM</v></cell><cell r="G5430" t="str"><v>https://azure.microsoft.com/en-au/free/open-source/search/</v></cell></row><row r="5430"><cell r="K5430" t="str"><v>August</v></cell><cell r="L5430"><v>43323</v></cell><cell r="M5430" t="str"><v>Tier 1</v></cell><cell r="N5430" t="str"><v>APAC</v></cell><cell r="O5430" t="str"><v>Australia</v></cell><cell r="P5430" t="str"><v>Trial</v></cell><cell r="Q5430" t="str"><v>Social</v></cell><cell r="R5430" t="str"><v>Azure</v></cell><cell r="S5430" t="str"><v>Apps & Infra</v></cell><cell r="T5430" t="str"><v>Developers & ITI's</v></cell><cell r="U5430" t="str"><v>LAL</v></cell><cell r="V5430" t="str"><v>Lookalike Targeting</v></cell><cell r="W5430" t="str"><v>Social</v></cell><cell r="X5430" t="str"><v>1x1</v></cell></row><row r="5430"><cell r="AA5430"><v>43321</v></cell><cell r="AB5430" t="str"><v>AUS_gaPMG_AZR_AZR_Q1_19_Trial-Social</v></cell><cell r="AC5430"><v>21358568</v></cell><cell r="AD5430"><v>720191</v></cell><cell r="AE5430" t="str"><v>Facebook</v></cell><cell r="AF5430"><v>3654128</v></cell><cell r="AG5430" t="str"><v>Facebook»LAL»1x1»TextLink»SOC»DT»DYN»LAL»W»NA»SS»NA»Free Account Refresh- Device ChB</v></cell><cell r="AH5430"><v>224160717</v></cell><cell r="AI5430" t="str"><v>AzurePlatform_FreeAcctRetargetingOSSFB-Text-ChF_AUS_1200x628_SOC_Plat_EN_Free Account_Standard_NA_SNU_T1_1</v></cell><cell r="AJ5430"><v>103048485</v></cell></row><row r="5431"><cell r="C5431" t="str"><v>43321Facebook»LAL»1x1»TextLink»SOC»DT»DYN»LAL»W»NA»SS»NA»Free Account Refresh- Illustration ChC</v></cell><cell r="D5431" t="str"><v>43321224160714</v></cell><cell r="E5431" t="str"><v>43321103186916on ChC</v></cell><cell r="F5431" t="str"><v>DCM</v></cell><cell r="G5431" t="str"><v>https://azure.microsoft.com/en-au/free/virtual-machines/search/</v></cell></row><row r="5431"><cell r="K5431" t="str"><v>August</v></cell><cell r="L5431"><v>43323</v></cell><cell r="M5431" t="str"><v>Tier 1</v></cell><cell r="N5431" t="str"><v>APAC</v></cell><cell r="O5431" t="str"><v>Australia</v></cell><cell r="P5431" t="str"><v>Trial</v></cell><cell r="Q5431" t="str"><v>Social</v></cell><cell r="R5431" t="str"><v>Azure</v></cell><cell r="S5431" t="str"><v>Apps & Infra</v></cell><cell r="T5431" t="str"><v>Developers & ITI's</v></cell><cell r="U5431" t="str"><v>LAL</v></cell><cell r="V5431" t="str"><v>Lookalike Targeting</v></cell><cell r="W5431" t="str"><v>Social</v></cell><cell r="X5431" t="str"><v>1x1</v></cell></row><row r="5431"><cell r="AA5431"><v>43321</v></cell><cell r="AB5431" t="str"><v>AUS_gaPMG_AZR_AZR_Q1_19_Trial-Social</v></cell><cell r="AC5431"><v>21358568</v></cell><cell r="AD5431"><v>720191</v></cell><cell r="AE5431" t="str"><v>Facebook</v></cell><cell r="AF5431"><v>3654128</v></cell><cell r="AG5431" t="str"><v>Facebook»LAL»1x1»TextLink»SOC»DT»DYN»LAL»W»NA»SS»NA»Free Account Refresh- Illustration ChC</v></cell><cell r="AH5431"><v>224160714</v></cell><cell r="AI5431" t="str"><v>AzurePlatform_FreeAcctRetargetingVMFB-750Hrs-ChD_AUS_1200x628_SOC_Plat_EN_Free Account_Standard_NA_SNU_T1_1</v></cell><cell r="AJ5431"><v>103186916</v></cell></row><row r="5432"><cell r="C5432" t="str"><v>43321Facebook»LAL»1x1»TextLink»SOC»DT»DYN»LAL»W»NA»SS»NA»Free Account Refresh- Lifestyle ChA</v></cell><cell r="D5432" t="str"><v>43321224160711</v></cell><cell r="E5432" t="str"><v>43321103048491le ChA</v></cell><cell r="F5432" t="str"><v>DCM</v></cell><cell r="G5432" t="str"><v>https://azure.microsoft.com/en-au/free/virtual-machines/search/</v></cell></row><row r="5432"><cell r="K5432" t="str"><v>August</v></cell><cell r="L5432"><v>43323</v></cell><cell r="M5432" t="str"><v>Tier 1</v></cell><cell r="N5432" t="str"><v>APAC</v></cell><cell r="O5432" t="str"><v>Australia</v></cell><cell r="P5432" t="str"><v>Trial</v></cell><cell r="Q5432" t="str"><v>Social</v></cell><cell r="R5432" t="str"><v>Azure</v></cell><cell r="S5432" t="str"><v>Apps & Infra</v></cell><cell r="T5432" t="str"><v>Developers & ITI's</v></cell><cell r="U5432" t="str"><v>LAL</v></cell><cell r="V5432" t="str"><v>Lookalike Targeting</v></cell><cell r="W5432" t="str"><v>Social</v></cell><cell r="X5432" t="str"><v>1x1</v></cell></row><row r="5432"><cell r="AA5432"><v>43321</v></cell><cell r="AB5432" t="str"><v>AUS_gaPMG_AZR_AZR_Q1_19_Trial-Social</v></cell><cell r="AC5432"><v>21358568</v></cell><cell r="AD5432"><v>720191</v></cell><cell r="AE5432" t="str"><v>Facebook</v></cell><cell r="AF5432"><v>3654128</v></cell><cell r="AG5432" t="str"><v>Facebook»LAL»1x1»TextLink»SOC»DT»DYN»LAL»W»NA»SS»NA»Free Account Refresh- Lifestyle ChA</v></cell><cell r="AH5432"><v>224160711</v></cell><cell r="AI5432" t="str"><v>AzurePlatform_FreeAcctRetargetingVMFB-OnDemand-ChE_AUS_1200x628_SOC_Plat_EN_Free Account_Standard_NA_SNU_T2_1</v></cell><cell r="AJ5432"><v>103048491</v></cell></row><row r="5433"><cell r="C5433" t="str"><v>43321Facebook»Retargeting»1x1»TextLink»SOC»DT»DYN»RT»W»NA»SS»NA»Free Account Refresh- 200 Credit ChD</v></cell><cell r="D5433" t="str"><v>43321224160738</v></cell><cell r="E5433" t="str"><v>43321103186904it ChD</v></cell><cell r="F5433" t="str"><v>DCM</v></cell></row><row r="5433"><cell r="K5433" t="str"><v>August</v></cell><cell r="L5433"><v>43323</v></cell><cell r="M5433" t="str"><v>Tier 1</v></cell><cell r="N5433" t="str"><v>APAC</v></cell><cell r="O5433" t="str"><v>Australia</v></cell><cell r="P5433" t="str"><v>Trial</v></cell><cell r="Q5433" t="str"><v>Social</v></cell><cell r="R5433" t="str"><v>Azure</v></cell><cell r="S5433" t="str"><v>Apps & Infra</v></cell><cell r="T5433" t="str"><v>Developers & ITI's</v></cell><cell r="U5433" t="str"><v>Retargeting</v></cell><cell r="V5433" t="str"><v>Retargeting</v></cell><cell r="W5433" t="str"><v>Social</v></cell><cell r="X5433" t="str"><v>1x1</v></cell></row><row r="5433"><cell r="AA5433"><v>43321</v></cell><cell r="AB5433" t="str"><v>AUS_gaPMG_AZR_AZR_Q1_19_Trial-Social</v></cell><cell r="AC5433"><v>21358568</v></cell><cell r="AD5433"><v>720191</v></cell><cell r="AE5433" t="str"><v>Facebook</v></cell><cell r="AF5433"><v>3654128</v></cell><cell r="AG5433" t="str"><v>Facebook»Retargeting»1x1»TextLink»SOC»DT»DYN»RT»W»NA»SS»NA»Free Account Refresh- 200 Credit ChD</v></cell><cell r="AH5433"><v>224160738</v></cell><cell r="AI5433" t="str"><v>AzurePlatform_FreeAcctAppsFACEBOOK200CreditChD_AUS_1200x628_SOC_PLAT_EN_Trial_Standard_NA_SNU_T4_1</v></cell><cell r="AJ5433"><v>103186904</v></cell></row><row r="5434"><cell r="C5434" t="str"><v>43321Facebook»Retargeting»1x1»TextLink»SOC»DT»DYN»RT»W»NA»SS»NA»Free Account Refresh- Device ChB</v></cell><cell r="D5434" t="str"><v>43321224160735</v></cell><cell r="E5434" t="str"><v>43321103048479ce ChB</v></cell><cell r="F5434" t="str"><v>DCM</v></cell></row><row r="5434"><cell r="K5434" t="str"><v>August</v></cell><cell r="L5434"><v>43323</v></cell><cell r="M5434" t="str"><v>Tier 1</v></cell><cell r="N5434" t="str"><v>APAC</v></cell><cell r="O5434" t="str"><v>Australia</v></cell><cell r="P5434" t="str"><v>Trial</v></cell><cell r="Q5434" t="str"><v>Social</v></cell><cell r="R5434" t="str"><v>Azure</v></cell><cell r="S5434" t="str"><v>Apps & Infra</v></cell><cell r="T5434" t="str"><v>Developers & ITI's</v></cell><cell r="U5434" t="str"><v>Retargeting</v></cell><cell r="V5434" t="str"><v>Retargeting</v></cell><cell r="W5434" t="str"><v>Social</v></cell><cell r="X5434" t="str"><v>1x1</v></cell></row><row r="5434"><cell r="AA5434"><v>43321</v></cell><cell r="AB5434" t="str"><v>AUS_gaPMG_AZR_AZR_Q1_19_Trial-Social</v></cell><cell r="AC5434"><v>21358568</v></cell><cell r="AD5434"><v>720191</v></cell><cell r="AE5434" t="str"><v>Facebook</v></cell><cell r="AF5434"><v>3654128</v></cell><cell r="AG5434" t="str"><v>Facebook»Retargeting»1x1»TextLink»SOC»DT»DYN»RT»W»NA»SS»NA»Free Account Refresh- Device ChB</v></cell><cell r="AH5434"><v>224160735</v></cell><cell r="AI5434" t="str"><v>AzurePlatform_FreeAcctAppsFACEBOOKDeviceChB_AUS_1200x628_SOC_PLAT_EN_Trial_Standard_NA_SNU_T2_1</v></cell><cell r="AJ5434"><v>103048479</v></cell></row><row r="5435"><cell r="C5435" t="str"><v>43321Facebook»Retargeting»1x1»TextLink»SOC»DT»DYN»RT»W»NA»SS»NA»Free Account Refresh- Illustration ChC</v></cell><cell r="D5435" t="str"><v>43321224160732</v></cell><cell r="E5435" t="str"><v>43321103186910on ChC</v></cell><cell r="F5435" t="str"><v>DCM</v></cell></row><row r="5435"><cell r="K5435" t="str"><v>August</v></cell><cell r="L5435"><v>43323</v></cell><cell r="M5435" t="str"><v>Tier 1</v></cell><cell r="N5435" t="str"><v>APAC</v></cell><cell r="O5435" t="str"><v>Australia</v></cell><cell r="P5435" t="str"><v>Trial</v></cell><cell r="Q5435" t="str"><v>Social</v></cell><cell r="R5435" t="str"><v>Azure</v></cell><cell r="S5435" t="str"><v>Apps & Infra</v></cell><cell r="T5435" t="str"><v>Developers & ITI's</v></cell><cell r="U5435" t="str"><v>Retargeting</v></cell><cell r="V5435" t="str"><v>Retargeting</v></cell><cell r="W5435" t="str"><v>Social</v></cell><cell r="X5435" t="str"><v>1x1</v></cell></row><row r="5435"><cell r="AA5435"><v>43321</v></cell><cell r="AB5435" t="str"><v>AUS_gaPMG_AZR_AZR_Q1_19_Trial-Social</v></cell><cell r="AC5435"><v>21358568</v></cell><cell r="AD5435"><v>720191</v></cell><cell r="AE5435" t="str"><v>Facebook</v></cell><cell r="AF5435"><v>3654128</v></cell><cell r="AG5435" t="str"><v>Facebook»Retargeting»1x1»TextLink»SOC»DT»DYN»RT»W»NA»SS»NA»Free Account Refresh- Illustration ChC</v></cell><cell r="AH5435"><v>224160732</v></cell><cell r="AI5435" t="str"><v>AzurePlatform_FreeAcctAppsFACEBOOKIllustrationChC_AUS_1200x628_SOC_PLAT_EN_Trial_Standard_NA_SNU_T3_1</v></cell><cell r="AJ5435"><v>103186910</v></cell></row><row r="5436"><cell r="C5436" t="str"><v>43321Facebook»Retargeting»1x1»TextLink»SOC»DT»DYN»RT»W»NA»SS»NA»Free Account Refresh- Lifestyle ChA</v></cell><cell r="D5436" t="str"><v>43321224160729</v></cell><cell r="E5436" t="str"><v>43321103048488le ChA</v></cell><cell r="F5436" t="str"><v>DCM</v></cell></row><row r="5436"><cell r="K5436" t="str"><v>August</v></cell><cell r="L5436"><v>43323</v></cell><cell r="M5436" t="str"><v>Tier 1</v></cell><cell r="N5436" t="str"><v>APAC</v></cell><cell r="O5436" t="str"><v>Australia</v></cell><cell r="P5436" t="str"><v>Trial</v></cell><cell r="Q5436" t="str"><v>Social</v></cell><cell r="R5436" t="str"><v>Azure</v></cell><cell r="S5436" t="str"><v>Apps & Infra</v></cell><cell r="T5436" t="str"><v>Developers & ITI's</v></cell><cell r="U5436" t="str"><v>Retargeting</v></cell><cell r="V5436" t="str"><v>Retargeting</v></cell><cell r="W5436" t="str"><v>Social</v></cell><cell r="X5436" t="str"><v>1x1</v></cell></row><row r="5436"><cell r="AA5436"><v>43321</v></cell><cell r="AB5436" t="str"><v>AUS_gaPMG_AZR_AZR_Q1_19_Trial-Social</v></cell><cell r="AC5436"><v>21358568</v></cell><cell r="AD5436"><v>720191</v></cell><cell r="AE5436" t="str"><v>Facebook</v></cell><cell r="AF5436"><v>3654128</v></cell><cell r="AG5436" t="str"><v>Facebook»Retargeting»1x1»TextLink»SOC»DT»DYN»RT»W»NA»SS»NA»Free Account Refresh- Lifestyle ChA</v></cell><cell r="AH5436"><v>224160729</v></cell><cell r="AI5436" t="str"><v>AzurePlatform_FreeAcctAppsFACEBOOKLifestyleChA_AUS_1200x628_SOC_PLAT_EN_Trial_Standard_NA_SNU_T1_1</v></cell><cell r="AJ5436"><v>103048488</v></cell></row><row r="5437"><cell r="C5437" t="str"><v>43321Facebook»AZR»1x1»NA»EGV»ALL»DYN»AUT»D»All»SS»NA»Free Acc CTC - T1 - EN</v></cell><cell r="D5437" t="str"><v>43321223684451</v></cell><cell r="E5437" t="str"><v>433211029018821 - EN</v></cell><cell r="F5437" t="str"><v>DCM</v></cell><cell r="G5437" t="str"><v>https://signup.azure.com/</v></cell></row><row r="5437"><cell r="K5437" t="str"><v>August</v></cell><cell r="L5437"><v>43323</v></cell><cell r="M5437" t="str"><v>Tier 1</v></cell><cell r="N5437" t="str"><v>North America</v></cell><cell r="O5437" t="str"><v>Canada</v></cell><cell r="P5437" t="str"><v>Trial</v></cell><cell r="Q5437" t="str"><v>Social</v></cell><cell r="R5437" t="str"><v>Azure</v></cell><cell r="S5437" t="str"><v>Apps & Infra</v></cell><cell r="T5437" t="str"><v>Developers & ITI's</v></cell><cell r="U5437" t="str"><v>AZR</v></cell><cell r="V5437" t="str"><v>Audience Targeting</v></cell><cell r="W5437" t="str"><v>Engagement Video</v></cell><cell r="X5437" t="str"><v>1x1</v></cell></row><row r="5437"><cell r="AA5437"><v>43321</v></cell><cell r="AB5437" t="str"><v>CAN_gaPMG_AZR_AZR_Q1_19_Trial-Social</v></cell><cell r="AC5437"><v>21337220</v></cell><cell r="AD5437"><v>720192</v></cell><cell r="AE5437" t="str"><v>Facebook</v></cell><cell r="AF5437"><v>3654128</v></cell><cell r="AG5437" t="str"><v>Facebook»AZR»1x1»NA»EGV»ALL»DYN»AUT»D»All»SS»NA»Free Acc CTC - T1 - EN</v></cell><cell r="AH5437"><v>223684451</v></cell><cell r="AI5437" t="str"><v>AzurePlatform_FBCTCBasicMotion_CAN_10s_ISV_PLAT_English_Trial_Standard_STAN_TN_T1_1</v></cell><cell r="AJ5437"><v>102901882</v></cell></row><row r="5438"><cell r="C5438" t="str"><v>43321Facebook»AZR»1x1»NA»EGV»ALL»DYN»AUT»D»All»SS»NA»Free Acc CTC - T1 - FR</v></cell><cell r="D5438" t="str"><v>43321223691801</v></cell><cell r="E5438" t="str"><v>433211030533231 - FR</v></cell><cell r="F5438" t="str"><v>DCM</v></cell><cell r="G5438" t="str"><v>https://signup.azure.com/</v></cell></row><row r="5438"><cell r="K5438" t="str"><v>August</v></cell><cell r="L5438"><v>43323</v></cell><cell r="M5438" t="str"><v>Tier 1</v></cell><cell r="N5438" t="str"><v>North America</v></cell><cell r="O5438" t="str"><v>Canada</v></cell><cell r="P5438" t="str"><v>Trial</v></cell><cell r="Q5438" t="str"><v>Social</v></cell><cell r="R5438" t="str"><v>Azure</v></cell><cell r="S5438" t="str"><v>Apps & Infra</v></cell><cell r="T5438" t="str"><v>Developers & ITI's</v></cell><cell r="U5438" t="str"><v>AZR</v></cell><cell r="V5438" t="str"><v>Audience Targeting</v></cell><cell r="W5438" t="str"><v>Engagement Video</v></cell><cell r="X5438" t="str"><v>1x1</v></cell></row><row r="5438"><cell r="AA5438"><v>43321</v></cell><cell r="AB5438" t="str"><v>CAN_gaPMG_AZR_AZR_Q1_19_Trial-Social</v></cell><cell r="AC5438"><v>21337220</v></cell><cell r="AD5438"><v>720192</v></cell><cell r="AE5438" t="str"><v>Facebook</v></cell><cell r="AF5438"><v>3654128</v></cell><cell r="AG5438" t="str"><v>Facebook»AZR»1x1»NA»EGV»ALL»DYN»AUT»D»All»SS»NA»Free Acc CTC - T1 - FR</v></cell><cell r="AH5438"><v>223691801</v></cell><cell r="AI5438" t="str"><v>AzurePlatform_FBCTCBasicMotion_CAN_10s_ISV_PLAT_FR_Trial_Standard_STAN_TN_T1_1</v></cell><cell r="AJ5438"><v>103053323</v></cell></row><row r="5439"><cell r="C5439" t="str"><v>43321Facebook»AZR»1x1»NA»EGV»ALL»DYN»AUT»D»All»SS»NA»Free Acc CTC - T2 - EN</v></cell><cell r="D5439" t="str"><v>43321223691840</v></cell><cell r="E5439" t="str"><v>433211029029502 - EN</v></cell><cell r="F5439" t="str"><v>DCM</v></cell><cell r="G5439" t="str"><v>https://signup.azure.com/</v></cell></row><row r="5439"><cell r="K5439" t="str"><v>August</v></cell><cell r="L5439"><v>43323</v></cell><cell r="M5439" t="str"><v>Tier 1</v></cell><cell r="N5439" t="str"><v>North America</v></cell><cell r="O5439" t="str"><v>Canada</v></cell><cell r="P5439" t="str"><v>Trial</v></cell><cell r="Q5439" t="str"><v>Social</v></cell><cell r="R5439" t="str"><v>Azure</v></cell><cell r="S5439" t="str"><v>Apps & Infra</v></cell><cell r="T5439" t="str"><v>Developers & ITI's</v></cell><cell r="U5439" t="str"><v>AZR</v></cell><cell r="V5439" t="str"><v>Audience Targeting</v></cell><cell r="W5439" t="str"><v>Engagement Video</v></cell><cell r="X5439" t="str"><v>1x1</v></cell></row><row r="5439"><cell r="AA5439"><v>43321</v></cell><cell r="AB5439" t="str"><v>CAN_gaPMG_AZR_AZR_Q1_19_Trial-Social</v></cell><cell r="AC5439"><v>21337220</v></cell><cell r="AD5439"><v>720192</v></cell><cell r="AE5439" t="str"><v>Facebook</v></cell><cell r="AF5439"><v>3654128</v></cell><cell r="AG5439" t="str"><v>Facebook»AZR»1x1»NA»EGV»ALL»DYN»AUT»D»All»SS»NA»Free Acc CTC - T2 - EN</v></cell><cell r="AH5439"><v>223691840</v></cell><cell r="AI5439" t="str"><v>AzurePlatform_FBCTCBrandinMotion_CAN_12s_ISV_PLAT_English_Trial_Standard_STAN_TN_T2_1</v></cell><cell r="AJ5439"><v>102902950</v></cell></row><row r="5440"><cell r="C5440" t="str"><v>43321Facebook»AZR»1x1»NA»EGV»ALL»DYN»AUT»D»All»SS»NA»Free Acc CTC - T4 - EN</v></cell><cell r="D5440" t="str"><v>43321223691837</v></cell><cell r="E5440" t="str"><v>433211030533144 - EN</v></cell><cell r="F5440" t="str"><v>DCM</v></cell><cell r="G5440" t="str"><v>https://signup.azure.com/</v></cell></row><row r="5440"><cell r="K5440" t="str"><v>August</v></cell><cell r="L5440"><v>43323</v></cell><cell r="M5440" t="str"><v>Tier 1</v></cell><cell r="N5440" t="str"><v>North America</v></cell><cell r="O5440" t="str"><v>Canada</v></cell><cell r="P5440" t="str"><v>Trial</v></cell><cell r="Q5440" t="str"><v>Social</v></cell><cell r="R5440" t="str"><v>Azure</v></cell><cell r="S5440" t="str"><v>Apps & Infra</v></cell><cell r="T5440" t="str"><v>Developers & ITI's</v></cell><cell r="U5440" t="str"><v>AZR</v></cell><cell r="V5440" t="str"><v>Audience Targeting</v></cell><cell r="W5440" t="str"><v>Engagement Video</v></cell><cell r="X5440" t="str"><v>1x1</v></cell></row><row r="5440"><cell r="AA5440"><v>43321</v></cell><cell r="AB5440" t="str"><v>CAN_gaPMG_AZR_AZR_Q1_19_Trial-Social</v></cell><cell r="AC5440"><v>21337220</v></cell><cell r="AD5440"><v>720192</v></cell><cell r="AE5440" t="str"><v>Facebook</v></cell><cell r="AF5440"><v>3654128</v></cell><cell r="AG5440" t="str"><v>Facebook»AZR»1x1»NA»EGV»ALL»DYN»AUT»D»All»SS»NA»Free Acc CTC - T4 - EN</v></cell><cell r="AH5440"><v>223691837</v></cell><cell r="AI5440" t="str"><v>AzurePlatform_FBCTCBenefit2inMotion_CAN_14s_ISV_PLAT_English_Trial_Standard_STAN_TN_T4_1</v></cell><cell r="AJ5440"><v>103053314</v></cell></row><row r="5441"><cell r="C5441" t="str"><v>43321Facebook»AZR»1x1»NA»EGV»ALL»DYN»AUT»D»All»SS»NA»Free Acc CTC - T4 - FR</v></cell><cell r="D5441" t="str"><v>43321223691795</v></cell><cell r="E5441" t="str"><v>433211029006884 - FR</v></cell><cell r="F5441" t="str"><v>DCM</v></cell><cell r="G5441" t="str"><v>https://signup.azure.com/</v></cell></row><row r="5441"><cell r="K5441" t="str"><v>August</v></cell><cell r="L5441"><v>43323</v></cell><cell r="M5441" t="str"><v>Tier 1</v></cell><cell r="N5441" t="str"><v>North America</v></cell><cell r="O5441" t="str"><v>Canada</v></cell><cell r="P5441" t="str"><v>Trial</v></cell><cell r="Q5441" t="str"><v>Social</v></cell><cell r="R5441" t="str"><v>Azure</v></cell><cell r="S5441" t="str"><v>Apps & Infra</v></cell><cell r="T5441" t="str"><v>Developers & ITI's</v></cell><cell r="U5441" t="str"><v>AZR</v></cell><cell r="V5441" t="str"><v>Audience Targeting</v></cell><cell r="W5441" t="str"><v>Engagement Video</v></cell><cell r="X5441" t="str"><v>1x1</v></cell></row><row r="5441"><cell r="AA5441"><v>43321</v></cell><cell r="AB5441" t="str"><v>CAN_gaPMG_AZR_AZR_Q1_19_Trial-Social</v></cell><cell r="AC5441"><v>21337220</v></cell><cell r="AD5441"><v>720192</v></cell><cell r="AE5441" t="str"><v>Facebook</v></cell><cell r="AF5441"><v>3654128</v></cell><cell r="AG5441" t="str"><v>Facebook»AZR»1x1»NA»EGV»ALL»DYN»AUT»D»All»SS»NA»Free Acc CTC - T4 - FR</v></cell><cell r="AH5441"><v>223691795</v></cell><cell r="AI5441" t="str"><v>AzurePlatform_FBCTCBenefit2inMotion_CAN_14s_ISV_PLAT_FR_Trial_Standard_STAN_TN_T4_1</v></cell><cell r="AJ5441"><v>102900688</v></cell></row><row r="5442"><cell r="C5442" t="str"><v>43321Facebook»AZR»1x1»NA»SOC»ALL»DYN»PRO»D»All»SS»NA»Canvas - Buy Now - EN</v></cell><cell r="D5442" t="str"><v>43321225322327</v></cell><cell r="E5442" t="str"><v>43321103902287w - EN</v></cell><cell r="F5442" t="str"><v>DCM</v></cell><cell r="G5442" t="str"><v>https://azure.microsoft.com/en-ca/pricing/purchase-options/</v></cell></row><row r="5442"><cell r="K5442" t="str"><v>August</v></cell><cell r="L5442"><v>43323</v></cell><cell r="M5442" t="str"><v>Tier 1</v></cell><cell r="N5442" t="str"><v>North America</v></cell><cell r="O5442" t="str"><v>Canada</v></cell><cell r="P5442" t="str"><v>Trial</v></cell><cell r="Q5442" t="str"><v>Social</v></cell><cell r="R5442" t="str"><v>Azure</v></cell><cell r="S5442" t="str"><v>Apps & Infra</v></cell><cell r="T5442" t="str"><v>Developers & ITI's</v></cell><cell r="U5442" t="str"><v>AZR</v></cell><cell r="V5442" t="str"><v>Prospecting</v></cell><cell r="W5442" t="str"><v>Social</v></cell><cell r="X5442" t="str"><v>1x1</v></cell></row><row r="5442"><cell r="AA5442"><v>43321</v></cell><cell r="AB5442" t="str"><v>CAN_gaPMG_AZR_AZR_Q1_19_Trial-Social</v></cell><cell r="AC5442"><v>21337220</v></cell><cell r="AD5442"><v>720192</v></cell><cell r="AE5442" t="str"><v>Facebook</v></cell><cell r="AF5442"><v>3654128</v></cell><cell r="AG5442" t="str"><v>Facebook»AZR»1x1»NA»SOC»ALL»DYN»PRO»D»All»SS»NA»Canvas - Buy Now - EN</v></cell><cell r="AH5442"><v>225322327</v></cell><cell r="AI5442" t="str"><v>AzurePlatform_FBCTCcanvaspage-BuyNowCTA-Img3_CAN_1080x162_SOC_Plat_English_NA_Standard_NA_BN_T3_1</v></cell><cell r="AJ5442"><v>103902287</v></cell></row><row r="5443"><cell r="C5443" t="str"><v>43321Facebook»AZR»1x1»NA»SOC»ALL»DYN»PRO»D»All»SS»NA»Canvas - Start Free - EN</v></cell><cell r="D5443" t="str"><v>43321225252365</v></cell><cell r="E5443" t="str"><v>43321103807590e - EN</v></cell><cell r="F5443" t="str"><v>DCM</v></cell><cell r="G5443" t="str"><v>https://signup.azure.com/signup?offer=ms-azr-0044p&appId=102&ref=paidmedia-social-fb&redirectURL=https%3a%2f%2fazure.microsoft.com%2fen-ca%2fget-started%2fwelcome-to-azure%2f&l=en-ca&correlationId=ead86c34-1f10-49dd-a72b-6918462a2cbf</v></cell></row><row r="5443"><cell r="K5443" t="str"><v>August</v></cell><cell r="L5443"><v>43323</v></cell><cell r="M5443" t="str"><v>Tier 1</v></cell><cell r="N5443" t="str"><v>North America</v></cell><cell r="O5443" t="str"><v>Canada</v></cell><cell r="P5443" t="str"><v>Trial</v></cell><cell r="Q5443" t="str"><v>Social</v></cell><cell r="R5443" t="str"><v>Azure</v></cell><cell r="S5443" t="str"><v>Apps & Infra</v></cell><cell r="T5443" t="str"><v>Developers & ITI's</v></cell><cell r="U5443" t="str"><v>AZR</v></cell><cell r="V5443" t="str"><v>Prospecting</v></cell><cell r="W5443" t="str"><v>Social</v></cell><cell r="X5443" t="str"><v>1x1</v></cell></row><row r="5443"><cell r="AA5443"><v>43321</v></cell><cell r="AB5443" t="str"><v>CAN_gaPMG_AZR_AZR_Q1_19_Trial-Social</v></cell><cell r="AC5443"><v>21337220</v></cell><cell r="AD5443"><v>720192</v></cell><cell r="AE5443" t="str"><v>Facebook</v></cell><cell r="AF5443"><v>3654128</v></cell><cell r="AG5443" t="str"><v>Facebook»AZR»1x1»NA»SOC»ALL»DYN»PRO»D»All»SS»NA»Canvas - Start Free - EN</v></cell><cell r="AH5443"><v>225252365</v></cell><cell r="AI5443" t="str"><v>AzurePlatform_FBCTCcanvaspage-StartFreeCTA-Img2_CAN_1080x143 _SOC_Plat_English_NA_Standard_NA_NA_T2_1</v></cell><cell r="AJ5443"><v>103807590</v></cell></row><row r="5444"><cell r="C5444" t="str"><v>43321Facebook»AZR»1x1»NA»SOC»ALL»DYN»PRO»D»All»SS»NA»Canvas - Start Free - FR</v></cell><cell r="D5444" t="str"><v>43321225525936</v></cell><cell r="E5444" t="str"><v>43321103902551e - FR</v></cell><cell r="F5444" t="str"><v>DCM</v></cell><cell r="G5444" t="str"><v>https://signup.azure.com/signup?offer=ms-azr-0044p&appId=102&ref=paidmedia-social-fb&redirectURL=https%3a%2f%2fazure.microsoft.com%2ffr-ca%2fget-started%2fwelcome-to-azure%2f&l=fr-ca&correlationId=ead86c34-1f10-49dd-a72b-6918462a2cbf</v></cell></row><row r="5444"><cell r="K5444" t="str"><v>August</v></cell><cell r="L5444"><v>43323</v></cell><cell r="M5444" t="str"><v>Tier 1</v></cell><cell r="N5444" t="str"><v>North America</v></cell><cell r="O5444" t="str"><v>Canada</v></cell><cell r="P5444" t="str"><v>Trial</v></cell><cell r="Q5444" t="str"><v>Social</v></cell><cell r="R5444" t="str"><v>Azure</v></cell><cell r="S5444" t="str"><v>Apps & Infra</v></cell><cell r="T5444" t="str"><v>Developers & ITI's</v></cell><cell r="U5444" t="str"><v>AZR</v></cell><cell r="V5444" t="str"><v>Prospecting</v></cell><cell r="W5444" t="str"><v>Social</v></cell><cell r="X5444" t="str"><v>1x1</v></cell></row><row r="5444"><cell r="AA5444"><v>43321</v></cell><cell r="AB5444" t="str"><v>CAN_gaPMG_AZR_AZR_Q1_19_Trial-Social</v></cell><cell r="AC5444"><v>21337220</v></cell><cell r="AD5444"><v>720192</v></cell><cell r="AE5444" t="str"><v>Facebook</v></cell><cell r="AF5444"><v>3654128</v></cell><cell r="AG5444" t="str"><v>Facebook»AZR»1x1»NA»SOC»ALL»DYN»PRO»D»All»SS»NA»Canvas - Start Free - FR</v></cell><cell r="AH5444"><v>225525936</v></cell><cell r="AI5444" t="str"><v>AzurePlatform_FBCTCcanvaspage-StartFreeCTA-Img2_CAN_1080x143 _SOC_Plat_French_NA_Standard_NA_NA_T2_1</v></cell><cell r="AJ5444"><v>103902551</v></cell></row><row r="5445"><cell r="C5445" t="str"><v>43321Facebook»AZR»1x1»SocialBan»NA»ALL»DYN»AUT»D»All»SS»NA»Free Acc Refresh - T1 - EN</v></cell><cell r="D5445" t="str"><v>43321223691804</v></cell><cell r="E5445" t="str"><v>433211030587171 - EN</v></cell><cell r="F5445" t="str"><v>DCM</v></cell><cell r="G5445" t="str"><v>https://azure.microsoft.com/en-CA/free/search/</v></cell></row><row r="5445"><cell r="K5445" t="str"><v>August</v></cell><cell r="L5445"><v>43323</v></cell><cell r="M5445" t="str"><v>Tier 1</v></cell><cell r="N5445" t="str"><v>North America</v></cell><cell r="O5445" t="str"><v>Canada</v></cell><cell r="P5445" t="str"><v>Trial</v></cell><cell r="Q5445" t="str"><v>Social</v></cell><cell r="R5445" t="str"><v>Azure</v></cell><cell r="S5445" t="str"><v>Apps & Infra</v></cell><cell r="T5445" t="str"><v>Developers & ITI's</v></cell><cell r="U5445" t="str"><v>AZR</v></cell><cell r="V5445" t="str"><v>Audience Targeting</v></cell><cell r="W5445" t="str"><v>NotApplicable</v></cell><cell r="X5445" t="str"><v>1x1</v></cell></row><row r="5445"><cell r="AA5445"><v>43321</v></cell><cell r="AB5445" t="str"><v>CAN_gaPMG_AZR_AZR_Q1_19_Trial-Social</v></cell><cell r="AC5445"><v>21337220</v></cell><cell r="AD5445"><v>720192</v></cell><cell r="AE5445" t="str"><v>Facebook</v></cell><cell r="AF5445"><v>3654128</v></cell><cell r="AG5445" t="str"><v>Facebook»AZR»1x1»SocialBan»NA»ALL»DYN»AUT»D»All»SS»NA»Free Acc Refresh - T1 - EN</v></cell><cell r="AH5445"><v>223691804</v></cell><cell r="AI5445" t="str"><v>AzurePlatform_FreeAcctAppsFACEBOOKLifestyleChA_CAN_1200x628_SOC_PLAT_EN_Trial_Standard_NA_SU_T1_1.png</v></cell><cell r="AJ5445"><v>103058717</v></cell></row><row r="5446"><cell r="C5446" t="str"><v>43321Facebook»AZR»1x1»SocialBan»NA»ALL»DYN»AUT»D»All»SS»NA»Free Acc Refresh - T2 - EN</v></cell><cell r="D5446" t="str"><v>43321223691810</v></cell><cell r="E5446" t="str"><v>433211030587112 - EN</v></cell><cell r="F5446" t="str"><v>DCM</v></cell><cell r="G5446" t="str"><v>https://azure.microsoft.com/en-CA/free/search/</v></cell></row><row r="5446"><cell r="K5446" t="str"><v>August</v></cell><cell r="L5446"><v>43323</v></cell><cell r="M5446" t="str"><v>Tier 1</v></cell><cell r="N5446" t="str"><v>North America</v></cell><cell r="O5446" t="str"><v>Canada</v></cell><cell r="P5446" t="str"><v>Trial</v></cell><cell r="Q5446" t="str"><v>Social</v></cell><cell r="R5446" t="str"><v>Azure</v></cell><cell r="S5446" t="str"><v>Apps & Infra</v></cell><cell r="T5446" t="str"><v>Developers & ITI's</v></cell><cell r="U5446" t="str"><v>AZR</v></cell><cell r="V5446" t="str"><v>Audience Targeting</v></cell><cell r="W5446" t="str"><v>NotApplicable</v></cell><cell r="X5446" t="str"><v>1x1</v></cell></row><row r="5446"><cell r="AA5446"><v>43321</v></cell><cell r="AB5446" t="str"><v>CAN_gaPMG_AZR_AZR_Q1_19_Trial-Social</v></cell><cell r="AC5446"><v>21337220</v></cell><cell r="AD5446"><v>720192</v></cell><cell r="AE5446" t="str"><v>Facebook</v></cell><cell r="AF5446"><v>3654128</v></cell><cell r="AG5446" t="str"><v>Facebook»AZR»1x1»SocialBan»NA»ALL»DYN»AUT»D»All»SS»NA»Free Acc Refresh - T2 - EN</v></cell><cell r="AH5446"><v>223691810</v></cell><cell r="AI5446" t="str"><v>AzurePlatform_FreeAcctAppsFACEBOOKDeviceChB_CAN_1200x628_SOC_PLAT_EN_Trial_Standard_NA_SU_T2_1.png</v></cell><cell r="AJ5446"><v>103058711</v></cell></row><row r="5447"><cell r="C5447" t="str"><v>43321Facebook»AZR»1x1»SocialBan»NA»ALL»DYN»AUT»D»All»SS»NA»Free Acc Refresh - T2 - FR</v></cell><cell r="D5447" t="str"><v>43321223691768</v></cell><cell r="E5447" t="str"><v>433211029029712 - FR</v></cell><cell r="F5447" t="str"><v>DCM</v></cell><cell r="G5447" t="str"><v>https://azure.microsoft.com/fr-ca/free/search/</v></cell></row><row r="5447"><cell r="K5447" t="str"><v>August</v></cell><cell r="L5447"><v>43323</v></cell><cell r="M5447" t="str"><v>Tier 1</v></cell><cell r="N5447" t="str"><v>North America</v></cell><cell r="O5447" t="str"><v>Canada</v></cell><cell r="P5447" t="str"><v>Trial</v></cell><cell r="Q5447" t="str"><v>Social</v></cell><cell r="R5447" t="str"><v>Azure</v></cell><cell r="S5447" t="str"><v>Apps & Infra</v></cell><cell r="T5447" t="str"><v>Developers & ITI's</v></cell><cell r="U5447" t="str"><v>AZR</v></cell><cell r="V5447" t="str"><v>Audience Targeting</v></cell><cell r="W5447" t="str"><v>NotApplicable</v></cell><cell r="X5447" t="str"><v>1x1</v></cell></row><row r="5447"><cell r="AA5447"><v>43321</v></cell><cell r="AB5447" t="str"><v>CAN_gaPMG_AZR_AZR_Q1_19_Trial-Social</v></cell><cell r="AC5447"><v>21337220</v></cell><cell r="AD5447"><v>720192</v></cell><cell r="AE5447" t="str"><v>Facebook</v></cell><cell r="AF5447"><v>3654128</v></cell><cell r="AG5447" t="str"><v>Facebook»AZR»1x1»SocialBan»NA»ALL»DYN»AUT»D»All»SS»NA»Free Acc Refresh - T2 - FR</v></cell><cell r="AH5447"><v>223691768</v></cell><cell r="AI5447" t="str"><v>AzurePlatform_FreeAcctAppsFACEBOOKDeviceChB_CAN_1200x628_SOC_PLAT_FR_Trial_Standard_NA_SU_T2_1.png</v></cell><cell r="AJ5447"><v>102902971</v></cell></row><row r="5448"><cell r="C5448" t="str"><v>43321Facebook»AZR»1x1»SocialBan»NA»ALL»DYN»AUT»D»All»SS»NA»Free Acc Refresh - T3 - EN</v></cell><cell r="D5448" t="str"><v>43321223691807</v></cell><cell r="E5448" t="str"><v>433211029006853 - EN</v></cell><cell r="F5448" t="str"><v>DCM</v></cell><cell r="G5448" t="str"><v>https://azure.microsoft.com/en-CA/free/search/</v></cell></row><row r="5448"><cell r="K5448" t="str"><v>August</v></cell><cell r="L5448"><v>43323</v></cell><cell r="M5448" t="str"><v>Tier 1</v></cell><cell r="N5448" t="str"><v>North America</v></cell><cell r="O5448" t="str"><v>Canada</v></cell><cell r="P5448" t="str"><v>Trial</v></cell><cell r="Q5448" t="str"><v>Social</v></cell><cell r="R5448" t="str"><v>Azure</v></cell><cell r="S5448" t="str"><v>Apps & Infra</v></cell><cell r="T5448" t="str"><v>Developers & ITI's</v></cell><cell r="U5448" t="str"><v>AZR</v></cell><cell r="V5448" t="str"><v>Audience Targeting</v></cell><cell r="W5448" t="str"><v>NotApplicable</v></cell><cell r="X5448" t="str"><v>1x1</v></cell></row><row r="5448"><cell r="AA5448"><v>43321</v></cell><cell r="AB5448" t="str"><v>CAN_gaPMG_AZR_AZR_Q1_19_Trial-Social</v></cell><cell r="AC5448"><v>21337220</v></cell><cell r="AD5448"><v>720192</v></cell><cell r="AE5448" t="str"><v>Facebook</v></cell><cell r="AF5448"><v>3654128</v></cell><cell r="AG5448" t="str"><v>Facebook»AZR»1x1»SocialBan»NA»ALL»DYN»AUT»D»All»SS»NA»Free Acc Refresh - T3 - EN</v></cell><cell r="AH5448"><v>223691807</v></cell><cell r="AI5448" t="str"><v>AzurePlatform_FreeAcctAppsFACEBOOKIllustrationChC_CAN_1200x628_SOC_PLAT_EN_Trial_Standard_NA_SU_T3_1.png</v></cell><cell r="AJ5448"><v>102900685</v></cell></row><row r="5449"><cell r="C5449" t="str"><v>43321Facebook»AZR»1x1»SocialBan»NA»ALL»DYN»AUT»D»All»SS»NA»Free Acc Refresh - T5 - FR</v></cell><cell r="D5449" t="str"><v>43321223691774</v></cell><cell r="E5449" t="str"><v>433211029163565 - FR</v></cell><cell r="F5449" t="str"><v>DCM</v></cell><cell r="G5449" t="str"><v>https://azure.microsoft.com/fr-ca/free/search/</v></cell></row><row r="5449"><cell r="K5449" t="str"><v>August</v></cell><cell r="L5449"><v>43323</v></cell><cell r="M5449" t="str"><v>Tier 1</v></cell><cell r="N5449" t="str"><v>North America</v></cell><cell r="O5449" t="str"><v>Canada</v></cell><cell r="P5449" t="str"><v>Trial</v></cell><cell r="Q5449" t="str"><v>Social</v></cell><cell r="R5449" t="str"><v>Azure</v></cell><cell r="S5449" t="str"><v>Apps & Infra</v></cell><cell r="T5449" t="str"><v>Developers & ITI's</v></cell><cell r="U5449" t="str"><v>AZR</v></cell><cell r="V5449" t="str"><v>Audience Targeting</v></cell><cell r="W5449" t="str"><v>NotApplicable</v></cell><cell r="X5449" t="str"><v>1x1</v></cell></row><row r="5449"><cell r="AA5449"><v>43321</v></cell><cell r="AB5449" t="str"><v>CAN_gaPMG_AZR_AZR_Q1_19_Trial-Social</v></cell><cell r="AC5449"><v>21337220</v></cell><cell r="AD5449"><v>720192</v></cell><cell r="AE5449" t="str"><v>Facebook</v></cell><cell r="AF5449"><v>3654128</v></cell><cell r="AG5449" t="str"><v>Facebook»AZR»1x1»SocialBan»NA»ALL»DYN»AUT»D»All»SS»NA»Free Acc Refresh - T5 - FR</v></cell><cell r="AH5449"><v>223691774</v></cell><cell r="AI5449" t="str"><v>AzurePlatform_FreeAcctAppsFACEBOOK12monthsChE_CAN_1200x628_SOC_PLAT_FR_Trial_Standard_NA_SU_T5_1.png</v></cell><cell r="AJ5449"><v>102916356</v></cell></row><row r="5450"><cell r="C5450" t="str"><v>43321Facebook»AZR»1x1»SocialBan»NA»ALL»DYN»RT»D»All»SS»NA» Free Account Retargeting OSS - T2 - EN</v></cell><cell r="D5450" t="str"><v>43321223691831</v></cell><cell r="E5450" t="str"><v>433211029138002 - EN</v></cell><cell r="F5450" t="str"><v>DCM</v></cell><cell r="G5450" t="str"><v>https://azure.microsoft.com/en-ca/free/open-source/search/</v></cell></row><row r="5450"><cell r="K5450" t="str"><v>August</v></cell><cell r="L5450"><v>43323</v></cell><cell r="M5450" t="str"><v>Tier 1</v></cell><cell r="N5450" t="str"><v>North America</v></cell><cell r="O5450" t="str"><v>Canada</v></cell><cell r="P5450" t="str"><v>Trial</v></cell><cell r="Q5450" t="str"><v>Social</v></cell><cell r="R5450" t="str"><v>Azure</v></cell><cell r="S5450" t="str"><v>Apps & Infra</v></cell><cell r="T5450" t="str"><v>Developers & ITI's</v></cell><cell r="U5450" t="str"><v>AZR</v></cell><cell r="V5450" t="str"><v>Retargeting</v></cell><cell r="W5450" t="str"><v>NotApplicable</v></cell><cell r="X5450" t="str"><v>1x1</v></cell></row><row r="5450"><cell r="AA5450"><v>43321</v></cell><cell r="AB5450" t="str"><v>CAN_gaPMG_AZR_AZR_Q1_19_Trial-Social</v></cell><cell r="AC5450"><v>21337220</v></cell><cell r="AD5450"><v>720192</v></cell><cell r="AE5450" t="str"><v>Facebook</v></cell><cell r="AF5450"><v>3654128</v></cell><cell r="AG5450" t="str"><v>Facebook»AZR»1x1»SocialBan»NA»ALL»DYN»RT»D»All»SS»NA» Free Account Retargeting OSS - T2 - EN</v></cell><cell r="AH5450"><v>223691831</v></cell><cell r="AI5450" t="str"><v>AzurePlatform_FreeAcctRetargetingOSSFB-Logos-ChG_CAN_1200x628_SOC_Plat_EN_Free Account_Standard_NA_SU_T2_1</v></cell><cell r="AJ5450"><v>102913800</v></cell></row><row r="5451"><cell r="C5451" t="str"><v>43321Facebook»AZR»1x1»SocialBan»NA»ALL»DYN»RT»D»All»SS»NA»Free Account Retargeting Generic - T2 - EN</v></cell><cell r="D5451" t="str"><v>43321223691834</v></cell><cell r="E5451" t="str"><v>433211029029532 - EN</v></cell><cell r="F5451" t="str"><v>DCM</v></cell><cell r="G5451" t="str"><v>https://azure.microsoft.com/en-CA/free/search/</v></cell></row><row r="5451"><cell r="K5451" t="str"><v>August</v></cell><cell r="L5451"><v>43323</v></cell><cell r="M5451" t="str"><v>Tier 1</v></cell><cell r="N5451" t="str"><v>North America</v></cell><cell r="O5451" t="str"><v>Canada</v></cell><cell r="P5451" t="str"><v>Trial</v></cell><cell r="Q5451" t="str"><v>Social</v></cell><cell r="R5451" t="str"><v>Azure</v></cell><cell r="S5451" t="str"><v>Apps & Infra</v></cell><cell r="T5451" t="str"><v>Developers & ITI's</v></cell><cell r="U5451" t="str"><v>AZR</v></cell><cell r="V5451" t="str"><v>Retargeting</v></cell><cell r="W5451" t="str"><v>NotApplicable</v></cell><cell r="X5451" t="str"><v>1x1</v></cell></row><row r="5451"><cell r="AA5451"><v>43321</v></cell><cell r="AB5451" t="str"><v>CAN_gaPMG_AZR_AZR_Q1_19_Trial-Social</v></cell><cell r="AC5451"><v>21337220</v></cell><cell r="AD5451"><v>720192</v></cell><cell r="AE5451" t="str"><v>Facebook</v></cell><cell r="AF5451"><v>3654128</v></cell><cell r="AG5451" t="str"><v>Facebook»AZR»1x1»SocialBan»NA»ALL»DYN»RT»D»All»SS»NA»Free Account Retargeting Generic - T2 - EN</v></cell><cell r="AH5451"><v>223691834</v></cell><cell r="AI5451" t="str"><v>AzurePlatform_FreeAcctRetargetingFB-GlobalAlt-ChB_CAN_1200x628_SOC_Plat_EN_Free Account_Standard_NA_SU_T2_1</v></cell><cell r="AJ5451"><v>102902953</v></cell></row><row r="5452"><cell r="C5452" t="str"><v>43321Facebook»AZR»1x1»SocialBan»NA»ALL»DYN»RT»D»All»SS»NA»Free Account Retargeting Generic - T2 - FR</v></cell><cell r="D5452" t="str"><v>43321223691792</v></cell><cell r="E5452" t="str"><v>433211029018942 - FR</v></cell><cell r="F5452" t="str"><v>DCM</v></cell><cell r="G5452" t="str"><v>https://azure.microsoft.com/fr-ca/free/search/</v></cell></row><row r="5452"><cell r="K5452" t="str"><v>August</v></cell><cell r="L5452"><v>43323</v></cell><cell r="M5452" t="str"><v>Tier 1</v></cell><cell r="N5452" t="str"><v>North America</v></cell><cell r="O5452" t="str"><v>Canada</v></cell><cell r="P5452" t="str"><v>Trial</v></cell><cell r="Q5452" t="str"><v>Social</v></cell><cell r="R5452" t="str"><v>Azure</v></cell><cell r="S5452" t="str"><v>Apps & Infra</v></cell><cell r="T5452" t="str"><v>Developers & ITI's</v></cell><cell r="U5452" t="str"><v>AZR</v></cell><cell r="V5452" t="str"><v>Retargeting</v></cell><cell r="W5452" t="str"><v>NotApplicable</v></cell><cell r="X5452" t="str"><v>1x1</v></cell></row><row r="5452"><cell r="AA5452"><v>43321</v></cell><cell r="AB5452" t="str"><v>CAN_gaPMG_AZR_AZR_Q1_19_Trial-Social</v></cell><cell r="AC5452"><v>21337220</v></cell><cell r="AD5452"><v>720192</v></cell><cell r="AE5452" t="str"><v>Facebook</v></cell><cell r="AF5452"><v>3654128</v></cell><cell r="AG5452" t="str"><v>Facebook»AZR»1x1»SocialBan»NA»ALL»DYN»RT»D»All»SS»NA»Free Account Retargeting Generic - T2 - FR</v></cell><cell r="AH5452"><v>223691792</v></cell><cell r="AI5452" t="str"><v>AzurePlatform_FreeAcctRetargetingFB-GlobalAlt-ChB_CAN_1200x628_SOC_Plat_FR_Free Account_Standard_NA_SU_T2_1</v></cell><cell r="AJ5452"><v>102901894</v></cell></row><row r="5453"><cell r="C5453" t="str"><v>43321Facebook»AZR»1x1»SocialBan»NA»ALL»DYN»RT»D»All»SS»NA»Free Account Retargeting Generic - T3 - FR</v></cell><cell r="D5453" t="str"><v>43321223691777</v></cell><cell r="E5453" t="str"><v>433211029006973 - FR</v></cell><cell r="F5453" t="str"><v>DCM</v></cell><cell r="G5453" t="str"><v>https://azure.microsoft.com/fr-ca/free/search/</v></cell></row><row r="5453"><cell r="K5453" t="str"><v>August</v></cell><cell r="L5453"><v>43323</v></cell><cell r="M5453" t="str"><v>Tier 1</v></cell><cell r="N5453" t="str"><v>North America</v></cell><cell r="O5453" t="str"><v>Canada</v></cell><cell r="P5453" t="str"><v>Trial</v></cell><cell r="Q5453" t="str"><v>Social</v></cell><cell r="R5453" t="str"><v>Azure</v></cell><cell r="S5453" t="str"><v>Apps & Infra</v></cell><cell r="T5453" t="str"><v>Developers & ITI's</v></cell><cell r="U5453" t="str"><v>AZR</v></cell><cell r="V5453" t="str"><v>Retargeting</v></cell><cell r="W5453" t="str"><v>NotApplicable</v></cell><cell r="X5453" t="str"><v>1x1</v></cell></row><row r="5453"><cell r="AA5453"><v>43321</v></cell><cell r="AB5453" t="str"><v>CAN_gaPMG_AZR_AZR_Q1_19_Trial-Social</v></cell><cell r="AC5453"><v>21337220</v></cell><cell r="AD5453"><v>720192</v></cell><cell r="AE5453" t="str"><v>Facebook</v></cell><cell r="AF5453"><v>3654128</v></cell><cell r="AG5453" t="str"><v>Facebook»AZR»1x1»SocialBan»NA»ALL»DYN»RT»D»All»SS»NA»Free Account Retargeting Generic - T3 - FR</v></cell><cell r="AH5453"><v>223691777</v></cell><cell r="AI5453" t="str"><v>AzurePlatform_FreeAcctRetargetingFB-Animated-ChC_CAN_1200x628_SOC_Plat_FR_Free Account_Standard_ANI_SU_T3_1</v></cell><cell r="AJ5453"><v>102900697</v></cell></row><row r="5454"><cell r="C5454" t="str"><v>43321Facebook»AZR»1x1»SocialBan»NA»ALL»DYN»RT»D»All»SS»NA»Free Account Retargeting VM - T1 - EN</v></cell><cell r="D5454" t="str"><v>43321223691825</v></cell><cell r="E5454" t="str"><v>433211029163381 - EN</v></cell><cell r="F5454" t="str"><v>DCM</v></cell><cell r="G5454" t="str"><v>https://azure.microsoft.com/en-ca/free/virtual-machines/search/</v></cell></row><row r="5454"><cell r="K5454" t="str"><v>August</v></cell><cell r="L5454"><v>43323</v></cell><cell r="M5454" t="str"><v>Tier 1</v></cell><cell r="N5454" t="str"><v>North America</v></cell><cell r="O5454" t="str"><v>Canada</v></cell><cell r="P5454" t="str"><v>Trial</v></cell><cell r="Q5454" t="str"><v>Social</v></cell><cell r="R5454" t="str"><v>Azure</v></cell><cell r="S5454" t="str"><v>Apps & Infra</v></cell><cell r="T5454" t="str"><v>Developers & ITI's</v></cell><cell r="U5454" t="str"><v>AZR</v></cell><cell r="V5454" t="str"><v>Retargeting</v></cell><cell r="W5454" t="str"><v>NotApplicable</v></cell><cell r="X5454" t="str"><v>1x1</v></cell></row><row r="5454"><cell r="AA5454"><v>43321</v></cell><cell r="AB5454" t="str"><v>CAN_gaPMG_AZR_AZR_Q1_19_Trial-Social</v></cell><cell r="AC5454"><v>21337220</v></cell><cell r="AD5454"><v>720192</v></cell><cell r="AE5454" t="str"><v>Facebook</v></cell><cell r="AF5454"><v>3654128</v></cell><cell r="AG5454" t="str"><v>Facebook»AZR»1x1»SocialBan»NA»ALL»DYN»RT»D»All»SS»NA»Free Account Retargeting VM - T1 - EN</v></cell><cell r="AH5454"><v>223691825</v></cell><cell r="AI5454" t="str"><v>AzurePlatform_FreeAcctRetargetingVMFB-750Hrs-ChD_CAN_1200x628_SOC_Plat_EN_Free Account_Standard_NA_SU_T1_1</v></cell><cell r="AJ5454"><v>102916338</v></cell></row><row r="5455"><cell r="C5455" t="str"><v>43321Facebook»AZR»1x1»SocialBan»NA»ALL»DYN»RT»D»All»SS»NA»Free Account Retargeting VM - T2 - EN</v></cell><cell r="D5455" t="str"><v>43321223691822</v></cell><cell r="E5455" t="str"><v>433211030587082 - EN</v></cell><cell r="F5455" t="str"><v>DCM</v></cell><cell r="G5455" t="str"><v>https://azure.microsoft.com/en-ca/free/virtual-machines/search/</v></cell></row><row r="5455"><cell r="K5455" t="str"><v>August</v></cell><cell r="L5455"><v>43323</v></cell><cell r="M5455" t="str"><v>Tier 1</v></cell><cell r="N5455" t="str"><v>North America</v></cell><cell r="O5455" t="str"><v>Canada</v></cell><cell r="P5455" t="str"><v>Trial</v></cell><cell r="Q5455" t="str"><v>Social</v></cell><cell r="R5455" t="str"><v>Azure</v></cell><cell r="S5455" t="str"><v>Apps & Infra</v></cell><cell r="T5455" t="str"><v>Developers & ITI's</v></cell><cell r="U5455" t="str"><v>AZR</v></cell><cell r="V5455" t="str"><v>Retargeting</v></cell><cell r="W5455" t="str"><v>NotApplicable</v></cell><cell r="X5455" t="str"><v>1x1</v></cell></row><row r="5455"><cell r="AA5455"><v>43321</v></cell><cell r="AB5455" t="str"><v>CAN_gaPMG_AZR_AZR_Q1_19_Trial-Social</v></cell><cell r="AC5455"><v>21337220</v></cell><cell r="AD5455"><v>720192</v></cell><cell r="AE5455" t="str"><v>Facebook</v></cell><cell r="AF5455"><v>3654128</v></cell><cell r="AG5455" t="str"><v>Facebook»AZR»1x1»SocialBan»NA»ALL»DYN»RT»D»All»SS»NA»Free Account Retargeting VM - T2 - EN</v></cell><cell r="AH5455"><v>223691822</v></cell><cell r="AI5455" t="str"><v>AzurePlatform_FreeAcctRetargetingVMFB-OnDemand-ChE_CAN_1200x628_SOC_Plat_EN_Free Account_Standard_NA_SU_T2_1</v></cell><cell r="AJ5455"><v>103058708</v></cell></row><row r="5456"><cell r="C5456" t="str"><v>43321Facebook»AZR»1x1»SocialBan»NA»ALL»DYN»RT»D»All»SS»NA»Free Account Retargeting VM - T2 - FR</v></cell><cell r="D5456" t="str"><v>43321223691780</v></cell><cell r="E5456" t="str"><v>433211030587262 - FR</v></cell><cell r="F5456" t="str"><v>DCM</v></cell><cell r="G5456" t="str"><v>https://azure.microsoft.com/fr-ca/free/virtual-machines/search/</v></cell></row><row r="5456"><cell r="K5456" t="str"><v>August</v></cell><cell r="L5456"><v>43323</v></cell><cell r="M5456" t="str"><v>Tier 1</v></cell><cell r="N5456" t="str"><v>North America</v></cell><cell r="O5456" t="str"><v>Canada</v></cell><cell r="P5456" t="str"><v>Trial</v></cell><cell r="Q5456" t="str"><v>Social</v></cell><cell r="R5456" t="str"><v>Azure</v></cell><cell r="S5456" t="str"><v>Apps & Infra</v></cell><cell r="T5456" t="str"><v>Developers & ITI's</v></cell><cell r="U5456" t="str"><v>AZR</v></cell><cell r="V5456" t="str"><v>Retargeting</v></cell><cell r="W5456" t="str"><v>NotApplicable</v></cell><cell r="X5456" t="str"><v>1x1</v></cell></row><row r="5456"><cell r="AA5456"><v>43321</v></cell><cell r="AB5456" t="str"><v>CAN_gaPMG_AZR_AZR_Q1_19_Trial-Social</v></cell><cell r="AC5456"><v>21337220</v></cell><cell r="AD5456"><v>720192</v></cell><cell r="AE5456" t="str"><v>Facebook</v></cell><cell r="AF5456"><v>3654128</v></cell><cell r="AG5456" t="str"><v>Facebook»AZR»1x1»SocialBan»NA»ALL»DYN»RT»D»All»SS»NA»Free Account Retargeting VM - T2 - FR</v></cell><cell r="AH5456"><v>223691780</v></cell><cell r="AI5456" t="str"><v>AzurePlatform_FreeAcctRetargetingVMFB-OnDemand-ChE_CAN_1200x628_SOC_Plat_FR_Free Account_Standard_NA_SU_T2_1</v></cell><cell r="AJ5456"><v>103058726</v></cell></row><row r="5457"><cell r="C5457" t="str"><v>43321Facebook»DEV-ITP-AZR-FB|CanvasAds|Interesttargeting»1x1»TextLink»CAN»DT»CPM»AUT»W»NA»SS»NA»39684020-11000</v></cell><cell r="D5457" t="str"><v>43321224009494</v></cell><cell r="E5457" t="str"><v>43321103236186-11000</v></cell><cell r="F5457" t="str"><v>DCM</v></cell><cell r="G5457" t="str"><v>https://signup.azure.com/signup?offer=ms-azr-0044p&appId=102&ref=paidmedia-social-fb&redirectURL=https%3a%2f%2fazure.microsoft.com%2fde-de%2fget-started%2fwelcome-to-azure%2f&l=de-de&correlationId=ead86c34-1f10-49dd-a72b-6918462a2cbf</v></cell></row><row r="5457"><cell r="K5457" t="str"><v>August</v></cell><cell r="L5457"><v>43323</v></cell><cell r="M5457" t="str"><v>Tier 1</v></cell><cell r="N5457" t="str"><v>EMEA</v></cell><cell r="O5457" t="str"><v>Germany</v></cell><cell r="P5457" t="str"><v>Trial</v></cell><cell r="Q5457" t="str"><v>Social</v></cell><cell r="R5457" t="str"><v>Azure</v></cell><cell r="S5457" t="str"><v>Apps & Infra</v></cell><cell r="T5457" t="str"><v>Developers & ITI's</v></cell><cell r="U5457" t="str"><v>DEV-ITP-AZR-FB|CanvasAds|Interesttargeting</v></cell><cell r="V5457" t="str"><v>Audience Targeting</v></cell><cell r="W5457" t="str"><v>Canvas Ad</v></cell><cell r="X5457" t="str"><v>1x1</v></cell></row><row r="5457"><cell r="AA5457"><v>43321</v></cell><cell r="AB5457" t="str"><v>DEU_gaPMG_AZR_AZR_Q1_19_Trial-Social- 39684</v></cell><cell r="AC5457"><v>21359477</v></cell><cell r="AD5457"><v>720194</v></cell><cell r="AE5457" t="str"><v>Facebook</v></cell><cell r="AF5457"><v>3654128</v></cell><cell r="AG5457" t="str"><v>Facebook»DEV-ITP-AZR-FB|CanvasAds|Interesttargeting»1x1»TextLink»CAN»DT»CPM»AUT»W»NA»SS»NA»39684020-11000</v></cell><cell r="AH5457"><v>224009494</v></cell><cell r="AI5457" t="str"><v>AzurePlatform_FBCTCBasicMotion-StartFreeCT_DEU_10s_ISV_PLAT_DE_Trial_Standard_STAN_TN_T1_1</v></cell><cell r="AJ5457"><v>103236186</v></cell></row><row r="5458"><cell r="C5458" t="str"><v>43321Facebook»DEV-ITP-AZR-FB|CanvasAds|Interesttargeting»1x1»TextLink»CAN»DT»CPM»AUT»W»NA»SS»NA»39684020-11000</v></cell><cell r="D5458" t="str"><v>43321224009494</v></cell><cell r="E5458" t="str"><v>43321103236189-11000</v></cell><cell r="F5458" t="str"><v>DCM</v></cell><cell r="G5458" t="str"><v>https://azure.microsoft.com/de-de/pricing/purchase-options/</v></cell></row><row r="5458"><cell r="K5458" t="str"><v>August</v></cell><cell r="L5458"><v>43323</v></cell><cell r="M5458" t="str"><v>Tier 1</v></cell><cell r="N5458" t="str"><v>EMEA</v></cell><cell r="O5458" t="str"><v>Germany</v></cell><cell r="P5458" t="str"><v>Trial</v></cell><cell r="Q5458" t="str"><v>Social</v></cell><cell r="R5458" t="str"><v>Azure</v></cell><cell r="S5458" t="str"><v>Apps & Infra</v></cell><cell r="T5458" t="str"><v>Developers & ITI's</v></cell><cell r="U5458" t="str"><v>DEV-ITP-AZR-FB|CanvasAds|Interesttargeting</v></cell><cell r="V5458" t="str"><v>Audience Targeting</v></cell><cell r="W5458" t="str"><v>Canvas Ad</v></cell><cell r="X5458" t="str"><v>1x1</v></cell></row><row r="5458"><cell r="AA5458"><v>43321</v></cell><cell r="AB5458" t="str"><v>DEU_gaPMG_AZR_AZR_Q1_19_Trial-Social- 39684</v></cell><cell r="AC5458"><v>21359477</v></cell><cell r="AD5458"><v>720194</v></cell><cell r="AE5458" t="str"><v>Facebook</v></cell><cell r="AF5458"><v>3654128</v></cell><cell r="AG5458" t="str"><v>Facebook»DEV-ITP-AZR-FB|CanvasAds|Interesttargeting»1x1»TextLink»CAN»DT»CPM»AUT»W»NA»SS»NA»39684020-11000</v></cell><cell r="AH5458"><v>224009494</v></cell><cell r="AI5458" t="str"><v>AzurePlatform_FBCTCBenefit2inMotion-BuyNow_DEU_14s_ISV_PLAT_DE_Trial_Standard_STAN_TN_T4_1</v></cell><cell r="AJ5458"><v>103236189</v></cell></row><row r="5459"><cell r="C5459" t="str"><v>43321Facebook»DEV-ITP-AZR-FB|CanvasAds|Interesttargeting»1x1»TextLink»CAN»DT»CPM»AUT»W»NA»SS»NA»39684020-11000</v></cell><cell r="D5459" t="str"><v>43321224009494</v></cell><cell r="E5459" t="str"><v>43321103237290-11000</v></cell><cell r="F5459" t="str"><v>DCM</v></cell><cell r="G5459" t="str"><v>https://signup.azure.com/signup?offer=ms-azr-0044p&appId=102&ref=paidmedia-social-fb&redirectURL=https%3a%2f%2fazure.microsoft.com%2fde-de%2fget-started%2fwelcome-to-azure%2f&l=de-de&correlationId=ead86c34-1f10-49dd-a72b-6918462a2cbf</v></cell></row><row r="5459"><cell r="K5459" t="str"><v>August</v></cell><cell r="L5459"><v>43323</v></cell><cell r="M5459" t="str"><v>Tier 1</v></cell><cell r="N5459" t="str"><v>EMEA</v></cell><cell r="O5459" t="str"><v>Germany</v></cell><cell r="P5459" t="str"><v>Trial</v></cell><cell r="Q5459" t="str"><v>Social</v></cell><cell r="R5459" t="str"><v>Azure</v></cell><cell r="S5459" t="str"><v>Apps & Infra</v></cell><cell r="T5459" t="str"><v>Developers & ITI's</v></cell><cell r="U5459" t="str"><v>DEV-ITP-AZR-FB|CanvasAds|Interesttargeting</v></cell><cell r="V5459" t="str"><v>Audience Targeting</v></cell><cell r="W5459" t="str"><v>Canvas Ad</v></cell><cell r="X5459" t="str"><v>1x1</v></cell></row><row r="5459"><cell r="AA5459"><v>43321</v></cell><cell r="AB5459" t="str"><v>DEU_gaPMG_AZR_AZR_Q1_19_Trial-Social- 39684</v></cell><cell r="AC5459"><v>21359477</v></cell><cell r="AD5459"><v>720194</v></cell><cell r="AE5459" t="str"><v>Facebook</v></cell><cell r="AF5459"><v>3654128</v></cell><cell r="AG5459" t="str"><v>Facebook»DEV-ITP-AZR-FB|CanvasAds|Interesttargeting»1x1»TextLink»CAN»DT»CPM»AUT»W»NA»SS»NA»39684020-11000</v></cell><cell r="AH5459"><v>224009494</v></cell><cell r="AI5459" t="str"><v>AzurePlatform_FBCTCBenefit2inMotion-StartFreeCT_DEU_14s_ISV_PLAT_DE_Trial_Standard_STAN_TN_T4_1</v></cell><cell r="AJ5459"><v>103237290</v></cell></row><row r="5460"><cell r="C5460" t="str"><v>43321Facebook»DEV-ITP-AZR-FB|CanvasAds|Interesttargeting»1x1»TextLink»CAN»DT»CPM»AUT»W»NA»SS»NA»39684020-11000</v></cell><cell r="D5460" t="str"><v>43321224009494</v></cell><cell r="E5460" t="str"><v>43321103350059-11000</v></cell><cell r="F5460" t="str"><v>DCM</v></cell><cell r="G5460" t="str"><v>https://azure.microsoft.com/de-de/pricing/purchase-options/</v></cell></row><row r="5460"><cell r="K5460" t="str"><v>August</v></cell><cell r="L5460"><v>43323</v></cell><cell r="M5460" t="str"><v>Tier 1</v></cell><cell r="N5460" t="str"><v>EMEA</v></cell><cell r="O5460" t="str"><v>Germany</v></cell><cell r="P5460" t="str"><v>Trial</v></cell><cell r="Q5460" t="str"><v>Social</v></cell><cell r="R5460" t="str"><v>Azure</v></cell><cell r="S5460" t="str"><v>Apps & Infra</v></cell><cell r="T5460" t="str"><v>Developers & ITI's</v></cell><cell r="U5460" t="str"><v>DEV-ITP-AZR-FB|CanvasAds|Interesttargeting</v></cell><cell r="V5460" t="str"><v>Audience Targeting</v></cell><cell r="W5460" t="str"><v>Canvas Ad</v></cell><cell r="X5460" t="str"><v>1x1</v></cell></row><row r="5460"><cell r="AA5460"><v>43321</v></cell><cell r="AB5460" t="str"><v>DEU_gaPMG_AZR_AZR_Q1_19_Trial-Social- 39684</v></cell><cell r="AC5460"><v>21359477</v></cell><cell r="AD5460"><v>720194</v></cell><cell r="AE5460" t="str"><v>Facebook</v></cell><cell r="AF5460"><v>3654128</v></cell><cell r="AG5460" t="str"><v>Facebook»DEV-ITP-AZR-FB|CanvasAds|Interesttargeting»1x1»TextLink»CAN»DT»CPM»AUT»W»NA»SS»NA»39684020-11000</v></cell><cell r="AH5460"><v>224009494</v></cell><cell r="AI5460" t="str"><v>AzurePlatform_FBCTCBrandinMotion-BuyNow_DEU_12s_ISV_PLAT_DE_Trial_Standard_STAN_TN_T2_1</v></cell><cell r="AJ5460"><v>103350059</v></cell></row><row r="5461"><cell r="C5461" t="str"><v>43321Facebook»DEV-ITP-AZR-FB|CanvasAds|Interesttargeting»1x1»TextLink»CAN»DT»CPM»AUT»W»NA»SS»NA»39684020-11000</v></cell><cell r="D5461" t="str"><v>43321224009494</v></cell><cell r="E5461" t="str"><v>43321103237293-11000</v></cell><cell r="F5461" t="str"><v>DCM</v></cell><cell r="G5461" t="str"><v>https://signup.azure.com/signup?offer=ms-azr-0044p&appId=102&ref=paidmedia-social-fb&redirectURL=https%3a%2f%2fazure.microsoft.com%2fde-de%2fget-started%2fwelcome-to-azure%2f&l=de-de&correlationId=ead86c34-1f10-49dd-a72b-6918462a2cbf</v></cell></row><row r="5461"><cell r="K5461" t="str"><v>August</v></cell><cell r="L5461"><v>43323</v></cell><cell r="M5461" t="str"><v>Tier 1</v></cell><cell r="N5461" t="str"><v>EMEA</v></cell><cell r="O5461" t="str"><v>Germany</v></cell><cell r="P5461" t="str"><v>Trial</v></cell><cell r="Q5461" t="str"><v>Social</v></cell><cell r="R5461" t="str"><v>Azure</v></cell><cell r="S5461" t="str"><v>Apps & Infra</v></cell><cell r="T5461" t="str"><v>Developers & ITI's</v></cell><cell r="U5461" t="str"><v>DEV-ITP-AZR-FB|CanvasAds|Interesttargeting</v></cell><cell r="V5461" t="str"><v>Audience Targeting</v></cell><cell r="W5461" t="str"><v>Canvas Ad</v></cell><cell r="X5461" t="str"><v>1x1</v></cell></row><row r="5461"><cell r="AA5461"><v>43321</v></cell><cell r="AB5461" t="str"><v>DEU_gaPMG_AZR_AZR_Q1_19_Trial-Social- 39684</v></cell><cell r="AC5461"><v>21359477</v></cell><cell r="AD5461"><v>720194</v></cell><cell r="AE5461" t="str"><v>Facebook</v></cell><cell r="AF5461"><v>3654128</v></cell><cell r="AG5461" t="str"><v>Facebook»DEV-ITP-AZR-FB|CanvasAds|Interesttargeting»1x1»TextLink»CAN»DT»CPM»AUT»W»NA»SS»NA»39684020-11000</v></cell><cell r="AH5461"><v>224009494</v></cell><cell r="AI5461" t="str"><v>AzurePlatform_FBCTCBrandinMotion-StartFreeCT_DEU_12s_ISV_PLAT_DE_Trial_Standard_STAN_TN_T2_1</v></cell><cell r="AJ5461"><v>103237293</v></cell></row><row r="5462"><cell r="C5462" t="str"><v>43321Facebook»DEV-ITP-AZR-FB|LinkAd|CustomerAudienceRetargeting»1x1»TextLink»LIA»DT»CPM»RT»W»NA»SS»NA»39684019-11000</v></cell><cell r="D5462" t="str"><v>43321224010415</v></cell><cell r="E5462" t="str"><v>43321103048548-11000</v></cell><cell r="F5462" t="str"><v>DCM</v></cell><cell r="G5462" t="str"><v>https://azure.microsoft.com/de-de/free/search/</v></cell></row><row r="5462"><cell r="K5462" t="str"><v>August</v></cell><cell r="L5462"><v>43323</v></cell><cell r="M5462" t="str"><v>Tier 1</v></cell><cell r="N5462" t="str"><v>EMEA</v></cell><cell r="O5462" t="str"><v>Germany</v></cell><cell r="P5462" t="str"><v>Trial</v></cell><cell r="Q5462" t="str"><v>Social</v></cell><cell r="R5462" t="str"><v>Azure</v></cell><cell r="S5462" t="str"><v>Apps & Infra</v></cell><cell r="T5462" t="str"><v>Developers & ITI's</v></cell><cell r="U5462" t="str"><v>DEV-ITP-AZR-FB|LinkAd|CustomerAudienceRetargeting</v></cell><cell r="V5462" t="str"><v>Retargeting</v></cell><cell r="W5462" t="str"><v>Link Ad</v></cell><cell r="X5462" t="str"><v>1x1</v></cell></row><row r="5462"><cell r="AA5462"><v>43321</v></cell><cell r="AB5462" t="str"><v>DEU_gaPMG_AZR_AZR_Q1_19_Trial-Social- 39684</v></cell><cell r="AC5462"><v>21359477</v></cell><cell r="AD5462"><v>720194</v></cell><cell r="AE5462" t="str"><v>Facebook</v></cell><cell r="AF5462"><v>3654128</v></cell><cell r="AG5462" t="str"><v>Facebook»DEV-ITP-AZR-FB|LinkAd|CustomerAudienceRetargeting»1x1»TextLink»LIA»DT»CPM»RT»W»NA»SS»NA»39684019-11000</v></cell><cell r="AH5462"><v>224010415</v></cell><cell r="AI5462" t="str"><v>AzurePlatform_FreeAcctRetargetingFB-Animated-ChC_DEU_1200x628_SOC_Plat_DE_Free Account_Standard_ANI_SNU_T3_1</v></cell><cell r="AJ5462"><v>103048548</v></cell></row><row r="5463"><cell r="C5463" t="str"><v>43321Facebook»DEV-ITP-AZR-FB|LinkAd|CustomerAudienceRetargeting»1x1»TextLink»LIA»DT»CPM»RT»W»NA»SS»NA»39684019-11000</v></cell><cell r="D5463" t="str"><v>43321224010415</v></cell><cell r="E5463" t="str"><v>43321103055394-11000</v></cell><cell r="F5463" t="str"><v>DCM</v></cell><cell r="G5463" t="str"><v>https://azure.microsoft.com/de-de/free/open-source/search/</v></cell></row><row r="5463"><cell r="K5463" t="str"><v>August</v></cell><cell r="L5463"><v>43323</v></cell><cell r="M5463" t="str"><v>Tier 1</v></cell><cell r="N5463" t="str"><v>EMEA</v></cell><cell r="O5463" t="str"><v>Germany</v></cell><cell r="P5463" t="str"><v>Trial</v></cell><cell r="Q5463" t="str"><v>Social</v></cell><cell r="R5463" t="str"><v>Azure</v></cell><cell r="S5463" t="str"><v>Apps & Infra</v></cell><cell r="T5463" t="str"><v>Developers & ITI's</v></cell><cell r="U5463" t="str"><v>DEV-ITP-AZR-FB|LinkAd|CustomerAudienceRetargeting</v></cell><cell r="V5463" t="str"><v>Retargeting</v></cell><cell r="W5463" t="str"><v>Link Ad</v></cell><cell r="X5463" t="str"><v>1x1</v></cell></row><row r="5463"><cell r="AA5463"><v>43321</v></cell><cell r="AB5463" t="str"><v>DEU_gaPMG_AZR_AZR_Q1_19_Trial-Social- 39684</v></cell><cell r="AC5463"><v>21359477</v></cell><cell r="AD5463"><v>720194</v></cell><cell r="AE5463" t="str"><v>Facebook</v></cell><cell r="AF5463"><v>3654128</v></cell><cell r="AG5463" t="str"><v>Facebook»DEV-ITP-AZR-FB|LinkAd|CustomerAudienceRetargeting»1x1»TextLink»LIA»DT»CPM»RT»W»NA»SS»NA»39684019-11000</v></cell><cell r="AH5463"><v>224010415</v></cell><cell r="AI5463" t="str"><v>AzurePlatform_FreeAcctRetargetingOSSFB-Text-ChF_DEU_1200x628_SOC_Plat_DE_Free Account_Standard_NA_SNU_T1_1</v></cell><cell r="AJ5463"><v>103055394</v></cell></row><row r="5464"><cell r="C5464" t="str"><v>43321Facebook»DEV-ITP-AZR-FB|LinkAd|CustomerAudienceRetargeting»1x1»TextLink»LIA»DT»CPM»RT»W»NA»SS»NA»39684019-11000</v></cell><cell r="D5464" t="str"><v>43321224010415</v></cell><cell r="E5464" t="str"><v>43321103043338-11000</v></cell><cell r="F5464" t="str"><v>DCM</v></cell><cell r="G5464" t="str"><v>https://azure.microsoft.com/de-de/free/virtual-machines/search/</v></cell></row><row r="5464"><cell r="K5464" t="str"><v>August</v></cell><cell r="L5464"><v>43323</v></cell><cell r="M5464" t="str"><v>Tier 1</v></cell><cell r="N5464" t="str"><v>EMEA</v></cell><cell r="O5464" t="str"><v>Germany</v></cell><cell r="P5464" t="str"><v>Trial</v></cell><cell r="Q5464" t="str"><v>Social</v></cell><cell r="R5464" t="str"><v>Azure</v></cell><cell r="S5464" t="str"><v>Apps & Infra</v></cell><cell r="T5464" t="str"><v>Developers & ITI's</v></cell><cell r="U5464" t="str"><v>DEV-ITP-AZR-FB|LinkAd|CustomerAudienceRetargeting</v></cell><cell r="V5464" t="str"><v>Retargeting</v></cell><cell r="W5464" t="str"><v>Link Ad</v></cell><cell r="X5464" t="str"><v>1x1</v></cell></row><row r="5464"><cell r="AA5464"><v>43321</v></cell><cell r="AB5464" t="str"><v>DEU_gaPMG_AZR_AZR_Q1_19_Trial-Social- 39684</v></cell><cell r="AC5464"><v>21359477</v></cell><cell r="AD5464"><v>720194</v></cell><cell r="AE5464" t="str"><v>Facebook</v></cell><cell r="AF5464"><v>3654128</v></cell><cell r="AG5464" t="str"><v>Facebook»DEV-ITP-AZR-FB|LinkAd|CustomerAudienceRetargeting»1x1»TextLink»LIA»DT»CPM»RT»W»NA»SS»NA»39684019-11000</v></cell><cell r="AH5464"><v>224010415</v></cell><cell r="AI5464" t="str"><v>AzurePlatform_FreeAcctRetargetingVMFB-OnDemand-ChE_DEU_1200x628_SOC_Plat_DE_Free Account_Standard_NA_SNU_T2_1</v></cell><cell r="AJ5464"><v>103043338</v></cell></row><row r="5465"><cell r="C5465" t="str"><v>43321Facebook»Developers-Azure Direct-Sponsored Post_Trial-Video Ad-Free Account Developer - AI»1x1»30s»SOC»ALL»CPC»RT»D»UNK»SS»NA»Trials</v></cell><cell r="D5465" t="str"><v>43321226359881</v></cell><cell r="E5465" t="str"><v>43321104537813Trials</v></cell><cell r="F5465" t="str"><v>DCM</v></cell><cell r="G5465" t="str"><v>https://signup.azure.com/signup?offer=ms-azr-0044p&appId=102&ref=paidmedia-social-fb&redirectURL=https%3a%2f%2fazure.microsoft.com%2ffr-fr%2fget-started%2fwelcome-to-azure%2f&l=fr-fr&correlationId=ead86c34-1f10-49dd-a72b-6918462a2cbf</v></cell></row><row r="5465"><cell r="K5465" t="str"><v>August</v></cell><cell r="L5465"><v>43323</v></cell><cell r="M5465" t="str"><v>Tier 1</v></cell><cell r="N5465" t="str"><v>EMEA</v></cell><cell r="O5465" t="str"><v>France</v></cell><cell r="P5465" t="str"><v>Trial</v></cell><cell r="Q5465" t="str"><v>Social</v></cell><cell r="R5465" t="str"><v>Azure</v></cell><cell r="S5465" t="str"><v>Apps & Infra</v></cell><cell r="T5465" t="str"><v>Developers & ITI's</v></cell><cell r="U5465" t="str"><v>Developers-Azure Direct-Sponsored Post_Trial-Video Ad-Free Account Developer - AI</v></cell><cell r="V5465" t="str"><v>Retargeting</v></cell><cell r="W5465" t="str"><v>Social</v></cell><cell r="X5465" t="str"><v>1x1</v></cell></row><row r="5465"><cell r="AA5465"><v>43321</v></cell><cell r="AB5465" t="str"><v>FRA_gaPMG_AZR_AZR_Q1_19_AzureDirect-Trial-Social</v></cell><cell r="AC5465"><v>21356941</v></cell><cell r="AD5465"><v>720193</v></cell><cell r="AE5465" t="str"><v>Facebook</v></cell><cell r="AF5465"><v>3654128</v></cell><cell r="AG5465" t="str"><v>Facebook»Developers-Azure Direct-Sponsored Post_Trial-Video Ad-Free Account Developer - AI»1x1»30s»SOC»ALL»CPC»RT»D»UNK»SS»NA»Trials</v></cell><cell r="AH5465"><v>226359881</v></cell><cell r="AI5465" t="str"><v>AZR_FreeAcctDeveloperFB-AnimatedAI-Ch3_FRA_1200x1200_VIA_AZRDirect_French_NA_Facebook_STAN_LEA_T3_1</v></cell><cell r="AJ5465"><v>104537813</v></cell></row><row r="5466"><cell r="C5466" t="str"><v>43321Facebook»Developers-Azure Direct-Sponsored Post_Trial-Video Ad-Free Account Developer - Open Source»1x1»30s»SOC»ALL»CPC»RT»D»UNK»SS»NA»Trials</v></cell><cell r="D5466" t="str"><v>43321226359884</v></cell><cell r="E5466" t="str"><v>43321104537132Trials</v></cell><cell r="F5466" t="str"><v>DCM</v></cell><cell r="G5466" t="str"><v>https://signup.azure.com/signup?offer=ms-azr-0044p&appId=102&ref=paidmedia-social-fb&redirectURL=https%3a%2f%2fazure.microsoft.com%2ffr-fr%2fget-started%2fwelcome-to-azure%2f&l=fr-fr&correlationId=ead86c34-1f10-49dd-a72b-6918462a2cbf</v></cell></row><row r="5466"><cell r="K5466" t="str"><v>August</v></cell><cell r="L5466"><v>43323</v></cell><cell r="M5466" t="str"><v>Tier 1</v></cell><cell r="N5466" t="str"><v>EMEA</v></cell><cell r="O5466" t="str"><v>France</v></cell><cell r="P5466" t="str"><v>Trial</v></cell><cell r="Q5466" t="str"><v>Social</v></cell><cell r="R5466" t="str"><v>Azure</v></cell><cell r="S5466" t="str"><v>Apps & Infra</v></cell><cell r="T5466" t="str"><v>Developers & ITI's</v></cell><cell r="U5466" t="str"><v>Developers-Azure Direct-Sponsored Post_Trial-Video Ad-Free Account Developer - Open Source</v></cell><cell r="V5466" t="str"><v>Retargeting</v></cell><cell r="W5466" t="str"><v>Social</v></cell><cell r="X5466" t="str"><v>1x1</v></cell></row><row r="5466"><cell r="AA5466"><v>43321</v></cell><cell r="AB5466" t="str"><v>FRA_gaPMG_AZR_AZR_Q1_19_AzureDirect-Trial-Social</v></cell><cell r="AC5466"><v>21356941</v></cell><cell r="AD5466"><v>720193</v></cell><cell r="AE5466" t="str"><v>Facebook</v></cell><cell r="AF5466"><v>3654128</v></cell><cell r="AG5466" t="str"><v>Facebook»Developers-Azure Direct-Sponsored Post_Trial-Video Ad-Free Account Developer - Open Source»1x1»30s»SOC»ALL»CPC»RT»D»UNK»SS»NA»Trials</v></cell><cell r="AH5466"><v>226359884</v></cell><cell r="AI5466" t="str"><v>AZR_FreeAcctDeveloperFB-AnimatedOpenSource-Ch2_FRA_1200x1200_VIA_AZRDirect_French_NA_Facebook_STAN_LEA_T2_1</v></cell><cell r="AJ5466"><v>104537132</v></cell></row><row r="5467"><cell r="C5467" t="str"><v>43321Facebook»Developers-Azure Direct-Sponsored Post_Trial_PayGo-Video Ad-Free Account Developer - Generic»1x1»30s»SOC»ALL»CPC»LAL»D»UNK»SS»NA»Trials</v></cell><cell r="D5467" t="str"><v>43321226359953</v></cell><cell r="E5467" t="str"><v>43321104537129Trials</v></cell><cell r="F5467" t="str"><v>DCM</v></cell><cell r="G5467" t="str"><v>https://signup.azure.com/signup?offer=ms-azr-0044p&appId=102&ref=paidmedia-social-fb&redirectURL=https%3a%2f%2fazure.microsoft.com%2ffr-fr%2fget-started%2fwelcome-to-azure%2f&l=fr-fr&correlationId=ead86c34-1f10-49dd-a72b-6918462a2cbf</v></cell></row><row r="5467"><cell r="K5467" t="str"><v>August</v></cell><cell r="L5467"><v>43323</v></cell><cell r="M5467" t="str"><v>Tier 1</v></cell><cell r="N5467" t="str"><v>EMEA</v></cell><cell r="O5467" t="str"><v>France</v></cell><cell r="P5467" t="str"><v>Trial</v></cell><cell r="Q5467" t="str"><v>Social</v></cell><cell r="R5467" t="str"><v>Azure</v></cell><cell r="S5467" t="str"><v>Apps & Infra</v></cell><cell r="T5467" t="str"><v>Developers & ITI's</v></cell><cell r="U5467" t="str"><v>Developers-Azure Direct-Sponsored Post_Trial_PayGo-Video Ad-Free Account Developer - Generic</v></cell><cell r="V5467" t="str"><v>Lookalike Targeting</v></cell><cell r="W5467" t="str"><v>Social</v></cell><cell r="X5467" t="str"><v>1x1</v></cell></row><row r="5467"><cell r="AA5467"><v>43321</v></cell><cell r="AB5467" t="str"><v>FRA_gaPMG_AZR_AZR_Q1_19_AzureDirect-Trial-Social</v></cell><cell r="AC5467"><v>21356941</v></cell><cell r="AD5467"><v>720193</v></cell><cell r="AE5467" t="str"><v>Facebook</v></cell><cell r="AF5467"><v>3654128</v></cell><cell r="AG5467" t="str"><v>Facebook»Developers-Azure Direct-Sponsored Post_Trial_PayGo-Video Ad-Free Account Developer - Generic»1x1»30s»SOC»ALL»CPC»LAL»D»UNK»SS»NA»Trials</v></cell><cell r="AH5467"><v>226359953</v></cell><cell r="AI5467" t="str"><v>AZR_FreeAcctDeveloperFB-AnimatedGeneric-Ch1_FRA_1200x1200_VIA_AZRDirect_French_NA_Facebook_STAN_LEA_T1_1</v></cell><cell r="AJ5467"><v>104537129</v></cell></row><row r="5468"><cell r="C5468" t="str"><v>43321Facebook»Developers/ITPros-Azure Direct-Sponsored Post-Canvas-FBCTCcanvaspage-BuyNowCTA-Img3_FBCTCBasicMotion_FRA_10sec»1x1»Canvas»SOC»ALL»CPC»BT»D»UNK»SS»NA»Trials</v></cell><cell r="D5468" t="str"><v>43321224369893</v></cell><cell r="E5468" t="str"><v>43321103256571Trials</v></cell><cell r="F5468" t="str"><v>DCM</v></cell><cell r="G5468" t="str"><v>https://azure.microsoft.com/fr-fr/pricing/purchase-options/</v></cell></row><row r="5468"><cell r="K5468" t="str"><v>August</v></cell><cell r="L5468"><v>43323</v></cell><cell r="M5468" t="str"><v>Tier 1</v></cell><cell r="N5468" t="str"><v>EMEA</v></cell><cell r="O5468" t="str"><v>France</v></cell><cell r="P5468" t="str"><v>Trial</v></cell><cell r="Q5468" t="str"><v>Social</v></cell><cell r="R5468" t="str"><v>Azure</v></cell><cell r="S5468" t="str"><v>Apps & Infra</v></cell><cell r="T5468" t="str"><v>Developers & ITI's</v></cell><cell r="U5468" t="str"><v>Developers/ITPros-Azure Direct-Sponsored Post-Canvas-FBCTCcanvaspage-BuyNowCTA-Img3_FBCTCBasicMotion_FRA_10sec</v></cell><cell r="V5468" t="str"><v>Behavioral Targeting</v></cell><cell r="W5468" t="str"><v>Social</v></cell><cell r="X5468" t="str"><v>1x1</v></cell></row><row r="5468"><cell r="AA5468"><v>43321</v></cell><cell r="AB5468" t="str"><v>FRA_gaPMG_AZR_AZR_Q1_19_AzureDirect-Trial-Social</v></cell><cell r="AC5468"><v>21356941</v></cell><cell r="AD5468"><v>720193</v></cell><cell r="AE5468" t="str"><v>Facebook</v></cell><cell r="AF5468"><v>3654128</v></cell><cell r="AG5468" t="str"><v>Facebook»Developers/ITPros-Azure Direct-Sponsored Post-Canvas-FBCTCcanvaspage-BuyNowCTA-Img3_FBCTCBasicMotion_FRA_10sec»1x1»Canvas»SOC»ALL»CPC»BT»D»UNK»SS»NA»Trials</v></cell><cell r="AH5468"><v>224369893</v></cell><cell r="AI5468" t="str"><v>AZR_FBCTCcanvaspage-BuyNowCTA-Img3_FRA_1080x162_SOC_AZRDirect_French_NA_Facebook_SBAN_BN_T3_1</v></cell><cell r="AJ5468"><v>103256571</v></cell></row><row r="5469"><cell r="C5469" t="str"><v>43321Facebook»Developers/ITPros-Azure Direct-Sponsored Post-Canvas-FBCTCcanvaspage-StartFreeCTA-Img2_FBCTCBasicMotion_FRA_10sec»1x1»Canvas»SOC»ALL»CPC»BT»D»UNK»SS»NA»Trials</v></cell><cell r="D5469" t="str"><v>43321224560884</v></cell><cell r="E5469" t="str"><v>43321103259958Trials</v></cell><cell r="F5469" t="str"><v>DCM</v></cell><cell r="G5469" t="str"><v>https://signup.azure.com/signup?offer=ms-azr-0044p&appId=102&ref=paidmedia-social-fb&redirectURL=https%3a%2f%2fazure.microsoft.com%2ffr-fr%2fget-started%2fwelcome-to-azure%2f&l=fr-fr&correlationId=ead86c34-1f10-49dd-a72b-6918462a2cbf</v></cell></row><row r="5469"><cell r="K5469" t="str"><v>August</v></cell><cell r="L5469"><v>43323</v></cell><cell r="M5469" t="str"><v>Tier 1</v></cell><cell r="N5469" t="str"><v>EMEA</v></cell><cell r="O5469" t="str"><v>France</v></cell><cell r="P5469" t="str"><v>Trial</v></cell><cell r="Q5469" t="str"><v>Social</v></cell><cell r="R5469" t="str"><v>Azure</v></cell><cell r="S5469" t="str"><v>Apps & Infra</v></cell><cell r="T5469" t="str"><v>Developers & ITI's</v></cell><cell r="U5469" t="str"><v>Developers/ITPros-Azure Direct-Sponsored Post-Canvas-FBCTCcanvaspage-StartFreeCTA-Img2_FBCTCBasicMotion_FRA_10sec</v></cell><cell r="V5469" t="str"><v>Behavioral Targeting</v></cell><cell r="W5469" t="str"><v>Social</v></cell><cell r="X5469" t="str"><v>1x1</v></cell></row><row r="5469"><cell r="AA5469"><v>43321</v></cell><cell r="AB5469" t="str"><v>FRA_gaPMG_AZR_AZR_Q1_19_AzureDirect-Trial-Social</v></cell><cell r="AC5469"><v>21356941</v></cell><cell r="AD5469"><v>720193</v></cell><cell r="AE5469" t="str"><v>Facebook</v></cell><cell r="AF5469"><v>3654128</v></cell><cell r="AG5469" t="str"><v>Facebook»Developers/ITPros-Azure Direct-Sponsored Post-Canvas-FBCTCcanvaspage-StartFreeCTA-Img2_FBCTCBasicMotion_FRA_10sec»1x1»Canvas»SOC»ALL»CPC»BT»D»UNK»SS»NA»Trials</v></cell><cell r="AH5469"><v>224560884</v></cell><cell r="AI5469" t="str"><v>AZR_FBCTCcanvaspage-StartFreeCTA-Img2_FRA_1080x143_SOC_AZRDirect_French_NA_Facebook_SBAN_BN_T2_1</v></cell><cell r="AJ5469"><v>103259958</v></cell></row><row r="5470"><cell r="C5470" t="str"><v>43321Facebook»Developers/ITPros-Azure Direct-Sponsored Post-Canvas-FBCTCcanvaspage-StartFreeCTA-Img2_FBCTCBrandinMotion_FRA_14sec»1x1»Canvas»SOC»ALL»CPC»BT»D»UNK»SS»NA»Trials</v></cell><cell r="D5470" t="str"><v>43321224560872</v></cell><cell r="E5470" t="str"><v>43321103259958Trials</v></cell><cell r="F5470" t="str"><v>DCM</v></cell><cell r="G5470" t="str"><v>https://signup.azure.com/signup?offer=ms-azr-0044p&appId=102&ref=paidmedia-social-fb&redirectURL=https%3a%2f%2fazure.microsoft.com%2ffr-fr%2fget-started%2fwelcome-to-azure%2f&l=fr-fr&correlationId=ead86c34-1f10-49dd-a72b-6918462a2cbf</v></cell></row><row r="5470"><cell r="K5470" t="str"><v>August</v></cell><cell r="L5470"><v>43323</v></cell><cell r="M5470" t="str"><v>Tier 1</v></cell><cell r="N5470" t="str"><v>EMEA</v></cell><cell r="O5470" t="str"><v>France</v></cell><cell r="P5470" t="str"><v>Trial</v></cell><cell r="Q5470" t="str"><v>Social</v></cell><cell r="R5470" t="str"><v>Azure</v></cell><cell r="S5470" t="str"><v>Apps & Infra</v></cell><cell r="T5470" t="str"><v>Developers & ITI's</v></cell><cell r="U5470" t="str"><v>Developers/ITPros-Azure Direct-Sponsored Post-Canvas-FBCTCcanvaspage-StartFreeCTA-Img2_FBCTCBrandinMotion_FRA_14sec</v></cell><cell r="V5470" t="str"><v>Behavioral Targeting</v></cell><cell r="W5470" t="str"><v>Social</v></cell><cell r="X5470" t="str"><v>1x1</v></cell></row><row r="5470"><cell r="AA5470"><v>43321</v></cell><cell r="AB5470" t="str"><v>FRA_gaPMG_AZR_AZR_Q1_19_AzureDirect-Trial-Social</v></cell><cell r="AC5470"><v>21356941</v></cell><cell r="AD5470"><v>720193</v></cell><cell r="AE5470" t="str"><v>Facebook</v></cell><cell r="AF5470"><v>3654128</v></cell><cell r="AG5470" t="str"><v>Facebook»Developers/ITPros-Azure Direct-Sponsored Post-Canvas-FBCTCcanvaspage-StartFreeCTA-Img2_FBCTCBrandinMotion_FRA_14sec»1x1»Canvas»SOC»ALL»CPC»BT»D»UNK»SS»NA»Trials</v></cell><cell r="AH5470"><v>224560872</v></cell><cell r="AI5470" t="str"><v>AZR_FBCTCcanvaspage-StartFreeCTA-Img2_FRA_1080x143_SOC_AZRDirect_French_NA_Facebook_SBAN_BN_T2_1</v></cell><cell r="AJ5470"><v>103259958</v></cell></row><row r="5471"><cell r="C5471" t="str"><v>43321Facebook»Developers/ITPros-Azure Direct-Sponsored Post-Link Ad-FreeAcctRetargetingFB-GlobalAlt-ChB»1x1»SocialBan»SOC»ALL»CPC»BT»D»UNK»SS»NA»Trials</v></cell><cell r="D5471" t="str"><v>43321224560845</v></cell><cell r="E5471" t="str"><v>43321103259520Trials</v></cell><cell r="F5471" t="str"><v>DCM</v></cell><cell r="G5471" t="str"><v>https://azure.microsoft.com/fr-fr/free/search/</v></cell></row><row r="5471"><cell r="K5471" t="str"><v>August</v></cell><cell r="L5471"><v>43323</v></cell><cell r="M5471" t="str"><v>Tier 1</v></cell><cell r="N5471" t="str"><v>EMEA</v></cell><cell r="O5471" t="str"><v>France</v></cell><cell r="P5471" t="str"><v>Trial</v></cell><cell r="Q5471" t="str"><v>Social</v></cell><cell r="R5471" t="str"><v>Azure</v></cell><cell r="S5471" t="str"><v>Apps & Infra</v></cell><cell r="T5471" t="str"><v>Developers & ITI's</v></cell><cell r="U5471" t="str"><v>Developers/ITPros-Azure Direct-Sponsored Post-Link Ad-FreeAcctRetargetingFB-GlobalAlt-ChB</v></cell><cell r="V5471" t="str"><v>Behavioral Targeting</v></cell><cell r="W5471" t="str"><v>Social</v></cell><cell r="X5471" t="str"><v>1x1</v></cell></row><row r="5471"><cell r="AA5471"><v>43321</v></cell><cell r="AB5471" t="str"><v>FRA_gaPMG_AZR_AZR_Q1_19_AzureDirect-Trial-Social</v></cell><cell r="AC5471"><v>21356941</v></cell><cell r="AD5471"><v>720193</v></cell><cell r="AE5471" t="str"><v>Facebook</v></cell><cell r="AF5471"><v>3654128</v></cell><cell r="AG5471" t="str"><v>Facebook»Developers/ITPros-Azure Direct-Sponsored Post-Link Ad-FreeAcctRetargetingFB-GlobalAlt-ChB»1x1»SocialBan»SOC»ALL»CPC»BT»D»UNK»SS»NA»Trials</v></cell><cell r="AH5471"><v>224560845</v></cell><cell r="AI5471" t="str"><v>AZR_FreeAcctRetargetingFB-GlobalAlt-ChB_FRA_1200x628_SOC_AZRDirect_French_NA_Facebook_SBAN_SINU_T2_1</v></cell><cell r="AJ5471"><v>103259520</v></cell></row><row r="5472"><cell r="C5472" t="str"><v>43321Facebook»Developers/ITPros-Azure Direct-Sponsored Post-Video Ad-FBCTCBasicMotion_FRA_10s_RTG Landing Page»1x1»05s»SOC»ALL»CPC»BT»D»UNK»SS»NA»Trials</v></cell><cell r="D5472" t="str"><v>43321224416915</v></cell><cell r="E5472" t="str"><v>43321103376981Trials</v></cell><cell r="F5472" t="str"><v>DCM</v></cell></row><row r="5472"><cell r="K5472" t="str"><v>August</v></cell><cell r="L5472"><v>43323</v></cell><cell r="M5472" t="str"><v>Tier 1</v></cell><cell r="N5472" t="str"><v>EMEA</v></cell><cell r="O5472" t="str"><v>France</v></cell><cell r="P5472" t="str"><v>Trial</v></cell><cell r="Q5472" t="str"><v>Social</v></cell><cell r="R5472" t="str"><v>Azure</v></cell><cell r="S5472" t="str"><v>Apps & Infra</v></cell><cell r="T5472" t="str"><v>Developers & ITI's</v></cell><cell r="U5472" t="str"><v>Developers/ITPros-Azure Direct-Sponsored Post-Video Ad-FBCTCBasicMotion_FRA_10s_RTG Landing Page</v></cell><cell r="V5472" t="str"><v>Behavioral Targeting</v></cell><cell r="W5472" t="str"><v>Social</v></cell><cell r="X5472" t="str"><v>1x1</v></cell></row><row r="5472"><cell r="AA5472"><v>43321</v></cell><cell r="AB5472" t="str"><v>FRA_gaPMG_AZR_AZR_Q1_19_AzureDirect-Trial-Social</v></cell><cell r="AC5472"><v>21356941</v></cell><cell r="AD5472"><v>720193</v></cell><cell r="AE5472" t="str"><v>Facebook</v></cell><cell r="AF5472"><v>3654128</v></cell><cell r="AG5472" t="str"><v>Facebook»Developers/ITPros-Azure Direct-Sponsored Post-Video Ad-FBCTCBasicMotion_FRA_10s_RTG Landing Page»1x1»05s»SOC»ALL»CPC»BT»D»UNK»SS»NA»Trials</v></cell><cell r="AH5472"><v>224416915</v></cell><cell r="AI5472" t="str"><v>AZR_FBCTCBasicMotion_FRA_10s_VIA_AZRDirect_French_NA_Facebook_STAN_TIN_T1_1</v></cell><cell r="AJ5472"><v>103376981</v></cell></row><row r="5473"><cell r="C5473" t="str"><v>43321Facebook»Developers/ITPros-Azure Direct-Sponsored Post-Video Ad-FBCTCBenefit2inMotion_FRA_14s_RTG Landing Page»1x1»06s»SOC»ALL»CPC»BT»D»UNK»SS»NA»Trials</v></cell><cell r="D5473" t="str"><v>43321224560875</v></cell><cell r="E5473" t="str"><v>43321103259766Trials</v></cell><cell r="F5473" t="str"><v>DCM</v></cell><cell r="G5473" t="str"><v>https://signup.azure.com/signup?offer=ms-azr-0044p&appId=102&ref=paidmedia-social-fb&redirectURL=https:%2F%2Fazure.microsoft.com%2Ffr-fr%2Fget-started%2Fwelcome-to-azure%2F&l=fr-fr&correlationId=ead86c34-1f10-49dd-a72b-6918462a2cbf</v></cell></row><row r="5473"><cell r="K5473" t="str"><v>August</v></cell><cell r="L5473"><v>43323</v></cell><cell r="M5473" t="str"><v>Tier 1</v></cell><cell r="N5473" t="str"><v>EMEA</v></cell><cell r="O5473" t="str"><v>France</v></cell><cell r="P5473" t="str"><v>Trial</v></cell><cell r="Q5473" t="str"><v>Social</v></cell><cell r="R5473" t="str"><v>Azure</v></cell><cell r="S5473" t="str"><v>Apps & Infra</v></cell><cell r="T5473" t="str"><v>Developers & ITI's</v></cell><cell r="U5473" t="str"><v>Developers/ITPros-Azure Direct-Sponsored Post-Video Ad-FBCTCBenefit2inMotion_FRA_14s_RTG Landing Page</v></cell><cell r="V5473" t="str"><v>Behavioral Targeting</v></cell><cell r="W5473" t="str"><v>Social</v></cell><cell r="X5473" t="str"><v>1x1</v></cell></row><row r="5473"><cell r="AA5473"><v>43321</v></cell><cell r="AB5473" t="str"><v>FRA_gaPMG_AZR_AZR_Q1_19_AzureDirect-Trial-Social</v></cell><cell r="AC5473"><v>21356941</v></cell><cell r="AD5473"><v>720193</v></cell><cell r="AE5473" t="str"><v>Facebook</v></cell><cell r="AF5473"><v>3654128</v></cell><cell r="AG5473" t="str"><v>Facebook»Developers/ITPros-Azure Direct-Sponsored Post-Video Ad-FBCTCBenefit2inMotion_FRA_14s_RTG Landing Page»1x1»06s»SOC»ALL»CPC»BT»D»UNK»SS»NA»Trials</v></cell><cell r="AH5473"><v>224560875</v></cell><cell r="AI5473" t="str"><v>AZR_FBCTCBenefit2inMotion_FRA_14s_VIA_AZRDirect_French_NA_Facebook_STAN_TIN_T4_1</v></cell><cell r="AJ5473"><v>103259766</v></cell></row><row r="5474"><cell r="C5474" t="str"><v>43321Facebook»Developers/ITPros-Azure Direct-Sponsored Post-Video Ad-FBCTCBrandinMotion_FRA_12s_RTG Landing Page»1x1»05s»SOC»ALL»CPC»BT»D»UNK»SS»NA»Trials</v></cell><cell r="D5474" t="str"><v>43321224560863</v></cell><cell r="E5474" t="str"><v>43321103256577Trials</v></cell><cell r="F5474" t="str"><v>DCM</v></cell></row><row r="5474"><cell r="K5474" t="str"><v>August</v></cell><cell r="L5474"><v>43323</v></cell><cell r="M5474" t="str"><v>Tier 1</v></cell><cell r="N5474" t="str"><v>EMEA</v></cell><cell r="O5474" t="str"><v>France</v></cell><cell r="P5474" t="str"><v>Trial</v></cell><cell r="Q5474" t="str"><v>Social</v></cell><cell r="R5474" t="str"><v>Azure</v></cell><cell r="S5474" t="str"><v>Apps & Infra</v></cell><cell r="T5474" t="str"><v>Developers & ITI's</v></cell><cell r="U5474" t="str"><v>Developers/ITPros-Azure Direct-Sponsored Post-Video Ad-FBCTCBrandinMotion_FRA_12s_RTG Landing Page</v></cell><cell r="V5474" t="str"><v>Behavioral Targeting</v></cell><cell r="W5474" t="str"><v>Social</v></cell><cell r="X5474" t="str"><v>1x1</v></cell></row><row r="5474"><cell r="AA5474"><v>43321</v></cell><cell r="AB5474" t="str"><v>FRA_gaPMG_AZR_AZR_Q1_19_AzureDirect-Trial-Social</v></cell><cell r="AC5474"><v>21356941</v></cell><cell r="AD5474"><v>720193</v></cell><cell r="AE5474" t="str"><v>Facebook</v></cell><cell r="AF5474"><v>3654128</v></cell><cell r="AG5474" t="str"><v>Facebook»Developers/ITPros-Azure Direct-Sponsored Post-Video Ad-FBCTCBrandinMotion_FRA_12s_RTG Landing Page»1x1»05s»SOC»ALL»CPC»BT»D»UNK»SS»NA»Trials</v></cell><cell r="AH5474"><v>224560863</v></cell><cell r="AI5474" t="str"><v>AZR_FBCTCBrandinMotion_FRA_12s_VIA_AZRDirect_French_NA_Facebook_STAN_TIN_T2_1</v></cell><cell r="AJ5474"><v>103256577</v></cell></row><row r="5475"><cell r="C5475" t="str"><v>43321Facebook»Developers/ITPros-Azure Direct-Sponsored Post_Trial-Link Ad-FreeAcctRetargetingVMFB-750Hrs-ChD CanvasOpener»1x1»SocialBan»SOC»ALL»CPC»LAL»D»UNK»SS»NA»Trials</v></cell><cell r="D5475" t="str"><v>43321226496098</v></cell><cell r="E5475" t="str"><v>43321103259010Trials</v></cell><cell r="F5475" t="str"><v>DCM</v></cell><cell r="G5475" t="str"><v>https://azure.microsoft.com/fr-fr/free/virtual-machines/search/</v></cell></row><row r="5475"><cell r="K5475" t="str"><v>August</v></cell><cell r="L5475"><v>43323</v></cell><cell r="M5475" t="str"><v>Tier 1</v></cell><cell r="N5475" t="str"><v>EMEA</v></cell><cell r="O5475" t="str"><v>France</v></cell><cell r="P5475" t="str"><v>Trial</v></cell><cell r="Q5475" t="str"><v>Social</v></cell><cell r="R5475" t="str"><v>Azure</v></cell><cell r="S5475" t="str"><v>Apps & Infra</v></cell><cell r="T5475" t="str"><v>Developers & ITI's</v></cell><cell r="U5475" t="str"><v>Developers/ITPros-Azure Direct-Sponsored Post_Trial-Link Ad-FreeAcctRetargetingVMFB-750Hrs-ChD CanvasOpener</v></cell><cell r="V5475" t="str"><v>Lookalike Targeting</v></cell><cell r="W5475" t="str"><v>Social</v></cell><cell r="X5475" t="str"><v>1x1</v></cell></row><row r="5475"><cell r="AA5475"><v>43321</v></cell><cell r="AB5475" t="str"><v>FRA_gaPMG_AZR_AZR_Q1_19_AzureDirect-Trial-Social</v></cell><cell r="AC5475"><v>21356941</v></cell><cell r="AD5475"><v>720193</v></cell><cell r="AE5475" t="str"><v>Facebook</v></cell><cell r="AF5475"><v>3654128</v></cell><cell r="AG5475" t="str"><v>Facebook»Developers/ITPros-Azure Direct-Sponsored Post_Trial-Link Ad-FreeAcctRetargetingVMFB-750Hrs-ChD CanvasOpener»1x1»SocialBan»SOC»ALL»CPC»LAL»D»UNK»SS»NA»Trials</v></cell><cell r="AH5475"><v>226496098</v></cell><cell r="AI5475" t="str"><v>AZR_FreeAcctRetargetingVMFB-750Hrs-ChD_FRA_1200x628_SOC_AZRDirect_French_NA_Facebook_SBAN_SINU_T1_1</v></cell><cell r="AJ5475"><v>103259010</v></cell></row><row r="5476"><cell r="C5476" t="str"><v>43321Facebook»ITPros-Azure Direct-Sponsored Post-Video Ad-Free Account IT Pro - Migration»1x1»30s»SOC»ALL»CPC»AUT»D»UNK»SS»NA»Trials</v></cell><cell r="D5476" t="str"><v>43321226360010</v></cell><cell r="E5476" t="str"><v>43321104458003Trials</v></cell><cell r="F5476" t="str"><v>DCM</v></cell><cell r="G5476" t="str"><v>https://signup.azure.com/signup?offer=ms-azr-0044p&appId=102&ref=paidmedia-social-fb&redirectURL=https%3a%2f%2fazure.microsoft.com%2ffr-fr%2fget-started%2fwelcome-to-azure%2f&l=fr-fr&correlationId=ead86c34-1f10-49dd-a72b-6918462a2cbf</v></cell></row><row r="5476"><cell r="K5476" t="str"><v>August</v></cell><cell r="L5476"><v>43323</v></cell><cell r="M5476" t="str"><v>Tier 1</v></cell><cell r="N5476" t="str"><v>EMEA</v></cell><cell r="O5476" t="str"><v>France</v></cell><cell r="P5476" t="str"><v>Trial</v></cell><cell r="Q5476" t="str"><v>Social</v></cell><cell r="R5476" t="str"><v>Azure</v></cell><cell r="S5476" t="str"><v>Apps & Infra</v></cell><cell r="T5476" t="str"><v>Developers & ITI's</v></cell><cell r="U5476" t="str"><v>ITPros-Azure Direct-Sponsored Post-Video Ad-Free Account IT Pro - Migration</v></cell><cell r="V5476" t="str"><v>Audience Targeting</v></cell><cell r="W5476" t="str"><v>Social</v></cell><cell r="X5476" t="str"><v>1x1</v></cell></row><row r="5476"><cell r="AA5476"><v>43321</v></cell><cell r="AB5476" t="str"><v>FRA_gaPMG_AZR_AZR_Q1_19_AzureDirect-Trial-Social</v></cell><cell r="AC5476"><v>21356941</v></cell><cell r="AD5476"><v>720193</v></cell><cell r="AE5476" t="str"><v>Facebook</v></cell><cell r="AF5476"><v>3654128</v></cell><cell r="AG5476" t="str"><v>Facebook»ITPros-Azure Direct-Sponsored Post-Video Ad-Free Account IT Pro - Migration»1x1»30s»SOC»ALL»CPC»AUT»D»UNK»SS»NA»Trials</v></cell><cell r="AH5476"><v>226360010</v></cell><cell r="AI5476" t="str"><v>AZR_FreeAcctITProFB-AnimatedMigration-Ch3_FRA_1200x1200_VIA_AZRDirect_French_NA_Facebook_STAN_LEA_T3_1</v></cell><cell r="AJ5476"><v>104458003</v></cell></row><row r="5477"><cell r="C5477" t="str"><v>43321Facebook»ITPros-Azure Direct-Sponsored Post_Trial-Video Ad-Free Account IT Pro - Migration»1x1»30s»SOC»ALL»CPC»RT»D»UNK»SS»NA»Trials</v></cell><cell r="D5477" t="str"><v>43321226496137</v></cell><cell r="E5477" t="str"><v>43321104458003Trials</v></cell><cell r="F5477" t="str"><v>DCM</v></cell><cell r="G5477" t="str"><v>https://signup.azure.com/signup?offer=ms-azr-0044p&appId=102&ref=paidmedia-social-fb&redirectURL=https%3a%2f%2fazure.microsoft.com%2ffr-fr%2fget-started%2fwelcome-to-azure%2f&l=fr-fr&correlationId=ead86c34-1f10-49dd-a72b-6918462a2cbf</v></cell></row><row r="5477"><cell r="K5477" t="str"><v>August</v></cell><cell r="L5477"><v>43323</v></cell><cell r="M5477" t="str"><v>Tier 1</v></cell><cell r="N5477" t="str"><v>EMEA</v></cell><cell r="O5477" t="str"><v>France</v></cell><cell r="P5477" t="str"><v>Trial</v></cell><cell r="Q5477" t="str"><v>Social</v></cell><cell r="R5477" t="str"><v>Azure</v></cell><cell r="S5477" t="str"><v>Apps & Infra</v></cell><cell r="T5477" t="str"><v>Developers & ITI's</v></cell><cell r="U5477" t="str"><v>ITPros-Azure Direct-Sponsored Post_Trial-Video Ad-Free Account IT Pro - Migration</v></cell><cell r="V5477" t="str"><v>Retargeting</v></cell><cell r="W5477" t="str"><v>Social</v></cell><cell r="X5477" t="str"><v>1x1</v></cell></row><row r="5477"><cell r="AA5477"><v>43321</v></cell><cell r="AB5477" t="str"><v>FRA_gaPMG_AZR_AZR_Q1_19_AzureDirect-Trial-Social</v></cell><cell r="AC5477"><v>21356941</v></cell><cell r="AD5477"><v>720193</v></cell><cell r="AE5477" t="str"><v>Facebook</v></cell><cell r="AF5477"><v>3654128</v></cell><cell r="AG5477" t="str"><v>Facebook»ITPros-Azure Direct-Sponsored Post_Trial-Video Ad-Free Account IT Pro - Migration»1x1»30s»SOC»ALL»CPC»RT»D»UNK»SS»NA»Trials</v></cell><cell r="AH5477"><v>226496137</v></cell><cell r="AI5477" t="str"><v>AZR_FreeAcctITProFB-AnimatedMigration-Ch3_FRA_1200x1200_VIA_AZRDirect_French_NA_Facebook_STAN_LEA_T3_1</v></cell><cell r="AJ5477"><v>104458003</v></cell></row><row r="5478"><cell r="C5478" t="str"><v>43321Facebook»ITPros-Azure Direct-Sponsored Post_Trial_PayGo-Video Ad-Free Account IT Pro - Hybrid»1x1»30s»SOC»ALL»CPC»LAL»D»UNK»SS»NA»Trials</v></cell><cell r="D5478" t="str"><v>43321226359938</v></cell><cell r="E5478" t="str"><v>43321104456278Trials</v></cell><cell r="F5478" t="str"><v>DCM</v></cell><cell r="G5478" t="str"><v>https://signup.azure.com/signup?offer=ms-azr-0044p&appId=102&ref=paidmedia-social-fb&redirectURL=https%3a%2f%2fazure.microsoft.com%2ffr-fr%2fget-started%2fwelcome-to-azure%2f&l=fr-fr&correlationId=ead86c34-1f10-49dd-a72b-6918462a2cbf</v></cell></row><row r="5478"><cell r="K5478" t="str"><v>August</v></cell><cell r="L5478"><v>43323</v></cell><cell r="M5478" t="str"><v>Tier 1</v></cell><cell r="N5478" t="str"><v>EMEA</v></cell><cell r="O5478" t="str"><v>France</v></cell><cell r="P5478" t="str"><v>Trial</v></cell><cell r="Q5478" t="str"><v>Social</v></cell><cell r="R5478" t="str"><v>Azure</v></cell><cell r="S5478" t="str"><v>Apps & Infra</v></cell><cell r="T5478" t="str"><v>Developers & ITI's</v></cell><cell r="U5478" t="str"><v>ITPros-Azure Direct-Sponsored Post_Trial_PayGo-Video Ad-Free Account IT Pro - Hybrid</v></cell><cell r="V5478" t="str"><v>Lookalike Targeting</v></cell><cell r="W5478" t="str"><v>Social</v></cell><cell r="X5478" t="str"><v>1x1</v></cell></row><row r="5478"><cell r="AA5478"><v>43321</v></cell><cell r="AB5478" t="str"><v>FRA_gaPMG_AZR_AZR_Q1_19_AzureDirect-Trial-Social</v></cell><cell r="AC5478"><v>21356941</v></cell><cell r="AD5478"><v>720193</v></cell><cell r="AE5478" t="str"><v>Facebook</v></cell><cell r="AF5478"><v>3654128</v></cell><cell r="AG5478" t="str"><v>Facebook»ITPros-Azure Direct-Sponsored Post_Trial_PayGo-Video Ad-Free Account IT Pro - Hybrid»1x1»30s»SOC»ALL»CPC»LAL»D»UNK»SS»NA»Trials</v></cell><cell r="AH5478"><v>226359938</v></cell><cell r="AI5478" t="str"><v>AZR_FreeAcctITProFB-AnimatedHybrid-Ch2_FRA_1200x1200_VIA_AZRDirect_French_NA_Facebook_STAN_LEA_T2_1</v></cell><cell r="AJ5478"><v>104456278</v></cell></row><row r="5479"><cell r="C5479" t="str"><v>43321Facebook»Developers-Azure Direct-Sponsored Post-Video Ad-Free Account Developer - AI»1x1»30s»SOC»ALL»CPC»BT»D»UNK»SS»NA»Trials</v></cell><cell r="D5479" t="str"><v>43321226360034</v></cell><cell r="E5479" t="str"><v>43321104537813Trials</v></cell><cell r="F5479" t="str"><v>DCM</v></cell><cell r="G5479" t="str"><v>https://signup.azure.com/signup?offer=ms-azr-0044p&appId=102&ref=paidmedia-social-fb&redirectURL=https%3a%2f%2fazure.microsoft.com%2ffr-fr%2fget-started%2fwelcome-to-azure%2f&l=fr-fr&correlationId=ead86c34-1f10-49dd-a72b-6918462a2cbf</v></cell></row><row r="5479"><cell r="K5479" t="str"><v>August</v></cell><cell r="L5479"><v>43323</v></cell><cell r="M5479" t="str"><v>Tier 1</v></cell><cell r="N5479" t="str"><v>EMEA</v></cell><cell r="O5479" t="str"><v>France</v></cell><cell r="P5479" t="str"><v>Trial</v></cell><cell r="Q5479" t="str"><v>Social</v></cell><cell r="R5479" t="str"><v>Azure</v></cell><cell r="S5479" t="str"><v>Apps & Infra</v></cell><cell r="T5479" t="str"><v>Developers & ITI's</v></cell><cell r="U5479" t="str"><v>Developers-Azure Direct-Sponsored Post-Video Ad-Free Account Developer - AI</v></cell><cell r="V5479" t="str"><v>Behavioral Targeting</v></cell><cell r="W5479" t="str"><v>Social</v></cell><cell r="X5479" t="str"><v>1x1</v></cell></row><row r="5479"><cell r="AA5479"><v>43321</v></cell><cell r="AB5479" t="str"><v>FRA_gaPMG_AZR_AZR_Q1_19_AzureDirect-Trial-Social</v></cell><cell r="AC5479"><v>21356941</v></cell><cell r="AD5479"><v>720193</v></cell><cell r="AE5479" t="str"><v>Facebook</v></cell><cell r="AF5479"><v>3654128</v></cell><cell r="AG5479" t="str"><v>Facebook»Developers-Azure Direct-Sponsored Post-Video Ad-Free Account Developer - AI»1x1»30s»SOC»ALL»CPC»BT»D»UNK»SS»NA»Trials</v></cell><cell r="AH5479"><v>226360034</v></cell><cell r="AI5479" t="str"><v>AZR_FreeAcctDeveloperFB-AnimatedAI-Ch3_FRA_1200x1200_VIA_AZRDirect_French_NA_Facebook_STAN_LEA_T3_1</v></cell><cell r="AJ5479"><v>104537813</v></cell></row><row r="5480"><cell r="C5480" t="str"><v>43321Facebook»Developers-Azure Direct-Sponsored Post-Video Ad-Free Account Developer - Generic»1x1»30s»SOC»ALL»CPC»BT»D»UNK»SS»NA»Trials</v></cell><cell r="D5480" t="str"><v>43321226420298</v></cell><cell r="E5480" t="str"><v>43321104537129Trials</v></cell><cell r="F5480" t="str"><v>DCM</v></cell><cell r="G5480" t="str"><v>https://signup.azure.com/signup?offer=ms-azr-0044p&appId=102&ref=paidmedia-social-fb&redirectURL=https%3a%2f%2fazure.microsoft.com%2ffr-fr%2fget-started%2fwelcome-to-azure%2f&l=fr-fr&correlationId=ead86c34-1f10-49dd-a72b-6918462a2cbf</v></cell></row><row r="5480"><cell r="K5480" t="str"><v>August</v></cell><cell r="L5480"><v>43323</v></cell><cell r="M5480" t="str"><v>Tier 1</v></cell><cell r="N5480" t="str"><v>EMEA</v></cell><cell r="O5480" t="str"><v>France</v></cell><cell r="P5480" t="str"><v>Trial</v></cell><cell r="Q5480" t="str"><v>Social</v></cell><cell r="R5480" t="str"><v>Azure</v></cell><cell r="S5480" t="str"><v>Apps & Infra</v></cell><cell r="T5480" t="str"><v>Developers & ITI's</v></cell><cell r="U5480" t="str"><v>Developers-Azure Direct-Sponsored Post-Video Ad-Free Account Developer - Generic</v></cell><cell r="V5480" t="str"><v>Behavioral Targeting</v></cell><cell r="W5480" t="str"><v>Social</v></cell><cell r="X5480" t="str"><v>1x1</v></cell></row><row r="5480"><cell r="AA5480"><v>43321</v></cell><cell r="AB5480" t="str"><v>FRA_gaPMG_AZR_AZR_Q1_19_AzureDirect-Trial-Social</v></cell><cell r="AC5480"><v>21356941</v></cell><cell r="AD5480"><v>720193</v></cell><cell r="AE5480" t="str"><v>Facebook</v></cell><cell r="AF5480"><v>3654128</v></cell><cell r="AG5480" t="str"><v>Facebook»Developers-Azure Direct-Sponsored Post-Video Ad-Free Account Developer - Generic»1x1»30s»SOC»ALL»CPC»BT»D»UNK»SS»NA»Trials</v></cell><cell r="AH5480"><v>226420298</v></cell><cell r="AI5480" t="str"><v>AZR_FreeAcctDeveloperFB-AnimatedGeneric-Ch1_FRA_1200x1200_VIA_AZRDirect_French_NA_Facebook_STAN_LEA_T1_1</v></cell><cell r="AJ5480"><v>104537129</v></cell></row><row r="5481"><cell r="C5481" t="str"><v>43321Facebook»Developers-Azure Direct-Sponsored Post-Video Ad-Free Account Developer - Intelligent Data»1x1»30s»SOC»ALL»CPC»BT»D»UNK»SS»NA»Trials</v></cell><cell r="D5481" t="str"><v>43321226360028</v></cell><cell r="E5481" t="str"><v>43321104537816Trials</v></cell><cell r="F5481" t="str"><v>DCM</v></cell><cell r="G5481" t="str"><v>https://signup.azure.com/signup?offer=ms-azr-0044p&appId=102&ref=paidmedia-social-fb&redirectURL=https%3a%2f%2fazure.microsoft.com%2ffr-fr%2fget-started%2fwelcome-to-azure%2f&l=fr-fr&correlationId=ead86c34-1f10-49dd-a72b-6918462a2cbf</v></cell></row><row r="5481"><cell r="K5481" t="str"><v>August</v></cell><cell r="L5481"><v>43323</v></cell><cell r="M5481" t="str"><v>Tier 1</v></cell><cell r="N5481" t="str"><v>EMEA</v></cell><cell r="O5481" t="str"><v>France</v></cell><cell r="P5481" t="str"><v>Trial</v></cell><cell r="Q5481" t="str"><v>Social</v></cell><cell r="R5481" t="str"><v>Azure</v></cell><cell r="S5481" t="str"><v>Apps & Infra</v></cell><cell r="T5481" t="str"><v>Developers & ITI's</v></cell><cell r="U5481" t="str"><v>Developers-Azure Direct-Sponsored Post-Video Ad-Free Account Developer - Intelligent Data</v></cell><cell r="V5481" t="str"><v>Behavioral Targeting</v></cell><cell r="W5481" t="str"><v>Social</v></cell><cell r="X5481" t="str"><v>1x1</v></cell></row><row r="5481"><cell r="AA5481"><v>43321</v></cell><cell r="AB5481" t="str"><v>FRA_gaPMG_AZR_AZR_Q1_19_AzureDirect-Trial-Social</v></cell><cell r="AC5481"><v>21356941</v></cell><cell r="AD5481"><v>720193</v></cell><cell r="AE5481" t="str"><v>Facebook</v></cell><cell r="AF5481"><v>3654128</v></cell><cell r="AG5481" t="str"><v>Facebook»Developers-Azure Direct-Sponsored Post-Video Ad-Free Account Developer - Intelligent Data»1x1»30s»SOC»ALL»CPC»BT»D»UNK»SS»NA»Trials</v></cell><cell r="AH5481"><v>226360028</v></cell><cell r="AI5481" t="str"><v>AZR_FreeAcctDeveloperFB-AnimatedData-Ch4_FRA_1200x1200_VIA_AZRDirect_French_NA_Facebook_STAN_LEA_T4_1</v></cell><cell r="AJ5481"><v>104537816</v></cell></row><row r="5482"><cell r="C5482" t="str"><v>43321Facebook»Developers-Azure Direct-Sponsored Post-Video Ad-Free Account Developer - Open Source»1x1»30s»SOC»ALL»CPC»BT»D»UNK»SS»NA»Trials</v></cell><cell r="D5482" t="str"><v>43321226360040</v></cell><cell r="E5482" t="str"><v>43321104537132Trials</v></cell><cell r="F5482" t="str"><v>DCM</v></cell><cell r="G5482" t="str"><v>https://signup.azure.com/signup?offer=ms-azr-0044p&appId=102&ref=paidmedia-social-fb&redirectURL=https%3a%2f%2fazure.microsoft.com%2ffr-fr%2fget-started%2fwelcome-to-azure%2f&l=fr-fr&correlationId=ead86c34-1f10-49dd-a72b-6918462a2cbf</v></cell></row><row r="5482"><cell r="K5482" t="str"><v>August</v></cell><cell r="L5482"><v>43323</v></cell><cell r="M5482" t="str"><v>Tier 1</v></cell><cell r="N5482" t="str"><v>EMEA</v></cell><cell r="O5482" t="str"><v>France</v></cell><cell r="P5482" t="str"><v>Trial</v></cell><cell r="Q5482" t="str"><v>Social</v></cell><cell r="R5482" t="str"><v>Azure</v></cell><cell r="S5482" t="str"><v>Apps & Infra</v></cell><cell r="T5482" t="str"><v>Developers & ITI's</v></cell><cell r="U5482" t="str"><v>Developers-Azure Direct-Sponsored Post-Video Ad-Free Account Developer - Open Source</v></cell><cell r="V5482" t="str"><v>Behavioral Targeting</v></cell><cell r="W5482" t="str"><v>Social</v></cell><cell r="X5482" t="str"><v>1x1</v></cell></row><row r="5482"><cell r="AA5482"><v>43321</v></cell><cell r="AB5482" t="str"><v>FRA_gaPMG_AZR_AZR_Q1_19_AzureDirect-Trial-Social</v></cell><cell r="AC5482"><v>21356941</v></cell><cell r="AD5482"><v>720193</v></cell><cell r="AE5482" t="str"><v>Facebook</v></cell><cell r="AF5482"><v>3654128</v></cell><cell r="AG5482" t="str"><v>Facebook»Developers-Azure Direct-Sponsored Post-Video Ad-Free Account Developer - Open Source»1x1»30s»SOC»ALL»CPC»BT»D»UNK»SS»NA»Trials</v></cell><cell r="AH5482"><v>226360040</v></cell><cell r="AI5482" t="str"><v>AZR_FreeAcctDeveloperFB-AnimatedOpenSource-Ch2_FRA_1200x1200_VIA_AZRDirect_French_NA_Facebook_STAN_LEA_T2_1</v></cell><cell r="AJ5482"><v>104537132</v></cell></row><row r="5483"><cell r="C5483" t="str"><v>43321Facebook»Developers-Azure Direct-Sponsored Post_Trial-Video Ad-Free Account Developer - AI»1x1»30s»SOC»ALL»CPC»LAL»D»UNK»SS»NA»Trials</v></cell><cell r="D5483" t="str"><v>43321226360019</v></cell><cell r="E5483" t="str"><v>43321104537813Trials</v></cell><cell r="F5483" t="str"><v>DCM</v></cell><cell r="G5483" t="str"><v>https://signup.azure.com/signup?offer=ms-azr-0044p&appId=102&ref=paidmedia-social-fb&redirectURL=https%3a%2f%2fazure.microsoft.com%2ffr-fr%2fget-started%2fwelcome-to-azure%2f&l=fr-fr&correlationId=ead86c34-1f10-49dd-a72b-6918462a2cbf</v></cell></row><row r="5483"><cell r="K5483" t="str"><v>August</v></cell><cell r="L5483"><v>43323</v></cell><cell r="M5483" t="str"><v>Tier 1</v></cell><cell r="N5483" t="str"><v>EMEA</v></cell><cell r="O5483" t="str"><v>France</v></cell><cell r="P5483" t="str"><v>Trial</v></cell><cell r="Q5483" t="str"><v>Social</v></cell><cell r="R5483" t="str"><v>Azure</v></cell><cell r="S5483" t="str"><v>Apps & Infra</v></cell><cell r="T5483" t="str"><v>Developers & ITI's</v></cell><cell r="U5483" t="str"><v>Developers-Azure Direct-Sponsored Post_Trial-Video Ad-Free Account Developer - AI</v></cell><cell r="V5483" t="str"><v>Lookalike Targeting</v></cell><cell r="W5483" t="str"><v>Social</v></cell><cell r="X5483" t="str"><v>1x1</v></cell></row><row r="5483"><cell r="AA5483"><v>43321</v></cell><cell r="AB5483" t="str"><v>FRA_gaPMG_AZR_AZR_Q1_19_AzureDirect-Trial-Social</v></cell><cell r="AC5483"><v>21356941</v></cell><cell r="AD5483"><v>720193</v></cell><cell r="AE5483" t="str"><v>Facebook</v></cell><cell r="AF5483"><v>3654128</v></cell><cell r="AG5483" t="str"><v>Facebook»Developers-Azure Direct-Sponsored Post_Trial-Video Ad-Free Account Developer - AI»1x1»30s»SOC»ALL»CPC»LAL»D»UNK»SS»NA»Trials</v></cell><cell r="AH5483"><v>226360019</v></cell><cell r="AI5483" t="str"><v>AZR_FreeAcctDeveloperFB-AnimatedAI-Ch3_FRA_1200x1200_VIA_AZRDirect_French_NA_Facebook_STAN_LEA_T3_1</v></cell><cell r="AJ5483"><v>104537813</v></cell></row><row r="5484"><cell r="C5484" t="str"><v>43321Facebook»Developers-Azure Direct-Sponsored Post_Trial-Video Ad-Free Account Developer - Generic»1x1»30s»SOC»ALL»CPC»LAL»D»UNK»SS»NA»Trials</v></cell><cell r="D5484" t="str"><v>43321226360031</v></cell><cell r="E5484" t="str"><v>43321104537129Trials</v></cell><cell r="F5484" t="str"><v>DCM</v></cell><cell r="G5484" t="str"><v>https://signup.azure.com/signup?offer=ms-azr-0044p&appId=102&ref=paidmedia-social-fb&redirectURL=https%3a%2f%2fazure.microsoft.com%2ffr-fr%2fget-started%2fwelcome-to-azure%2f&l=fr-fr&correlationId=ead86c34-1f10-49dd-a72b-6918462a2cbf</v></cell></row><row r="5484"><cell r="K5484" t="str"><v>August</v></cell><cell r="L5484"><v>43323</v></cell><cell r="M5484" t="str"><v>Tier 1</v></cell><cell r="N5484" t="str"><v>EMEA</v></cell><cell r="O5484" t="str"><v>France</v></cell><cell r="P5484" t="str"><v>Trial</v></cell><cell r="Q5484" t="str"><v>Social</v></cell><cell r="R5484" t="str"><v>Azure</v></cell><cell r="S5484" t="str"><v>Apps & Infra</v></cell><cell r="T5484" t="str"><v>Developers & ITI's</v></cell><cell r="U5484" t="str"><v>Developers-Azure Direct-Sponsored Post_Trial-Video Ad-Free Account Developer - Generic</v></cell><cell r="V5484" t="str"><v>Lookalike Targeting</v></cell><cell r="W5484" t="str"><v>Social</v></cell><cell r="X5484" t="str"><v>1x1</v></cell></row><row r="5484"><cell r="AA5484"><v>43321</v></cell><cell r="AB5484" t="str"><v>FRA_gaPMG_AZR_AZR_Q1_19_AzureDirect-Trial-Social</v></cell><cell r="AC5484"><v>21356941</v></cell><cell r="AD5484"><v>720193</v></cell><cell r="AE5484" t="str"><v>Facebook</v></cell><cell r="AF5484"><v>3654128</v></cell><cell r="AG5484" t="str"><v>Facebook»Developers-Azure Direct-Sponsored Post_Trial-Video Ad-Free Account Developer - Generic»1x1»30s»SOC»ALL»CPC»LAL»D»UNK»SS»NA»Trials</v></cell><cell r="AH5484"><v>226360031</v></cell><cell r="AI5484" t="str"><v>AZR_FreeAcctDeveloperFB-AnimatedGeneric-Ch1_FRA_1200x1200_VIA_AZRDirect_French_NA_Facebook_STAN_LEA_T1_1</v></cell><cell r="AJ5484"><v>104537129</v></cell></row><row r="5485"><cell r="C5485" t="str"><v>43321Facebook»Developers-Azure Direct-Sponsored Post_Trial-Video Ad-Free Account Developer - Generic»1x1»30s»SOC»ALL»CPC»RT»D»UNK»SS»NA»Trials</v></cell><cell r="D5485" t="str"><v>43321226359887</v></cell><cell r="E5485" t="str"><v>43321104537129Trials</v></cell><cell r="F5485" t="str"><v>DCM</v></cell><cell r="G5485" t="str"><v>https://signup.azure.com/signup?offer=ms-azr-0044p&appId=102&ref=paidmedia-social-fb&redirectURL=https%3a%2f%2fazure.microsoft.com%2ffr-fr%2fget-started%2fwelcome-to-azure%2f&l=fr-fr&correlationId=ead86c34-1f10-49dd-a72b-6918462a2cbf</v></cell></row><row r="5485"><cell r="K5485" t="str"><v>August</v></cell><cell r="L5485"><v>43323</v></cell><cell r="M5485" t="str"><v>Tier 1</v></cell><cell r="N5485" t="str"><v>EMEA</v></cell><cell r="O5485" t="str"><v>France</v></cell><cell r="P5485" t="str"><v>Trial</v></cell><cell r="Q5485" t="str"><v>Social</v></cell><cell r="R5485" t="str"><v>Azure</v></cell><cell r="S5485" t="str"><v>Apps & Infra</v></cell><cell r="T5485" t="str"><v>Developers & ITI's</v></cell><cell r="U5485" t="str"><v>Developers-Azure Direct-Sponsored Post_Trial-Video Ad-Free Account Developer - Generic</v></cell><cell r="V5485" t="str"><v>Retargeting</v></cell><cell r="W5485" t="str"><v>Social</v></cell><cell r="X5485" t="str"><v>1x1</v></cell></row><row r="5485"><cell r="AA5485"><v>43321</v></cell><cell r="AB5485" t="str"><v>FRA_gaPMG_AZR_AZR_Q1_19_AzureDirect-Trial-Social</v></cell><cell r="AC5485"><v>21356941</v></cell><cell r="AD5485"><v>720193</v></cell><cell r="AE5485" t="str"><v>Facebook</v></cell><cell r="AF5485"><v>3654128</v></cell><cell r="AG5485" t="str"><v>Facebook»Developers-Azure Direct-Sponsored Post_Trial-Video Ad-Free Account Developer - Generic»1x1»30s»SOC»ALL»CPC»RT»D»UNK»SS»NA»Trials</v></cell><cell r="AH5485"><v>226359887</v></cell><cell r="AI5485" t="str"><v>AZR_FreeAcctDeveloperFB-AnimatedGeneric-Ch1_FRA_1200x1200_VIA_AZRDirect_French_NA_Facebook_STAN_LEA_T1_1</v></cell><cell r="AJ5485"><v>104537129</v></cell></row><row r="5486"><cell r="C5486" t="str"><v>43321Facebook»Developers-Azure Direct-Sponsored Post_Trial-Video Ad-Free Account Developer - Intelligent Data»1x1»30s»SOC»ALL»CPC»LAL»D»UNK»SS»NA»Trials</v></cell><cell r="D5486" t="str"><v>43321226360013</v></cell><cell r="E5486" t="str"><v>43321104537816Trials</v></cell><cell r="F5486" t="str"><v>DCM</v></cell><cell r="G5486" t="str"><v>https://signup.azure.com/signup?offer=ms-azr-0044p&appId=102&ref=paidmedia-social-fb&redirectURL=https%3a%2f%2fazure.microsoft.com%2ffr-fr%2fget-started%2fwelcome-to-azure%2f&l=fr-fr&correlationId=ead86c34-1f10-49dd-a72b-6918462a2cbf</v></cell></row><row r="5486"><cell r="K5486" t="str"><v>August</v></cell><cell r="L5486"><v>43323</v></cell><cell r="M5486" t="str"><v>Tier 1</v></cell><cell r="N5486" t="str"><v>EMEA</v></cell><cell r="O5486" t="str"><v>France</v></cell><cell r="P5486" t="str"><v>Trial</v></cell><cell r="Q5486" t="str"><v>Social</v></cell><cell r="R5486" t="str"><v>Azure</v></cell><cell r="S5486" t="str"><v>Apps & Infra</v></cell><cell r="T5486" t="str"><v>Developers & ITI's</v></cell><cell r="U5486" t="str"><v>Developers-Azure Direct-Sponsored Post_Trial-Video Ad-Free Account Developer - Intelligent Data</v></cell><cell r="V5486" t="str"><v>Lookalike Targeting</v></cell><cell r="W5486" t="str"><v>Social</v></cell><cell r="X5486" t="str"><v>1x1</v></cell></row><row r="5486"><cell r="AA5486"><v>43321</v></cell><cell r="AB5486" t="str"><v>FRA_gaPMG_AZR_AZR_Q1_19_AzureDirect-Trial-Social</v></cell><cell r="AC5486"><v>21356941</v></cell><cell r="AD5486"><v>720193</v></cell><cell r="AE5486" t="str"><v>Facebook</v></cell><cell r="AF5486"><v>3654128</v></cell><cell r="AG5486" t="str"><v>Facebook»Developers-Azure Direct-Sponsored Post_Trial-Video Ad-Free Account Developer - Intelligent Data»1x1»30s»SOC»ALL»CPC»LAL»D»UNK»SS»NA»Trials</v></cell><cell r="AH5486"><v>226360013</v></cell><cell r="AI5486" t="str"><v>AZR_FreeAcctDeveloperFB-AnimatedData-Ch4_FRA_1200x1200_VIA_AZRDirect_French_NA_Facebook_STAN_LEA_T4_1</v></cell><cell r="AJ5486"><v>104537816</v></cell></row><row r="5487"><cell r="C5487" t="str"><v>43321Facebook»Developers-Azure Direct-Sponsored Post_Trial-Video Ad-Free Account Developer - Open Source»1x1»30s»SOC»ALL»CPC»LAL»D»UNK»SS»NA»Trials</v></cell><cell r="D5487" t="str"><v>43321226360025</v></cell><cell r="E5487" t="str"><v>43321104537132Trials</v></cell><cell r="F5487" t="str"><v>DCM</v></cell><cell r="G5487" t="str"><v>https://signup.azure.com/signup?offer=ms-azr-0044p&appId=102&ref=paidmedia-social-fb&redirectURL=https%3a%2f%2fazure.microsoft.com%2ffr-fr%2fget-started%2fwelcome-to-azure%2f&l=fr-fr&correlationId=ead86c34-1f10-49dd-a72b-6918462a2cbf</v></cell></row><row r="5487"><cell r="K5487" t="str"><v>August</v></cell><cell r="L5487"><v>43323</v></cell><cell r="M5487" t="str"><v>Tier 1</v></cell><cell r="N5487" t="str"><v>EMEA</v></cell><cell r="O5487" t="str"><v>France</v></cell><cell r="P5487" t="str"><v>Trial</v></cell><cell r="Q5487" t="str"><v>Social</v></cell><cell r="R5487" t="str"><v>Azure</v></cell><cell r="S5487" t="str"><v>Apps & Infra</v></cell><cell r="T5487" t="str"><v>Developers & ITI's</v></cell><cell r="U5487" t="str"><v>Developers-Azure Direct-Sponsored Post_Trial-Video Ad-Free Account Developer - Open Source</v></cell><cell r="V5487" t="str"><v>Lookalike Targeting</v></cell><cell r="W5487" t="str"><v>Social</v></cell><cell r="X5487" t="str"><v>1x1</v></cell></row><row r="5487"><cell r="AA5487"><v>43321</v></cell><cell r="AB5487" t="str"><v>FRA_gaPMG_AZR_AZR_Q1_19_AzureDirect-Trial-Social</v></cell><cell r="AC5487"><v>21356941</v></cell><cell r="AD5487"><v>720193</v></cell><cell r="AE5487" t="str"><v>Facebook</v></cell><cell r="AF5487"><v>3654128</v></cell><cell r="AG5487" t="str"><v>Facebook»Developers-Azure Direct-Sponsored Post_Trial-Video Ad-Free Account Developer - Open Source»1x1»30s»SOC»ALL»CPC»LAL»D»UNK»SS»NA»Trials</v></cell><cell r="AH5487"><v>226360025</v></cell><cell r="AI5487" t="str"><v>AZR_FreeAcctDeveloperFB-AnimatedOpenSource-Ch2_FRA_1200x1200_VIA_AZRDirect_French_NA_Facebook_STAN_LEA_T2_1</v></cell><cell r="AJ5487"><v>104537132</v></cell></row><row r="5488"><cell r="C5488" t="str"><v>43321Facebook»Developers-Azure Direct-Sponsored Post_Trial_PayGo-Video Ad-Free Account Developer - AI»1x1»30s»SOC»ALL»CPC»LAL»D»UNK»SS»NA»Trials</v></cell><cell r="D5488" t="str"><v>43321226359947</v></cell><cell r="E5488" t="str"><v>43321104537813Trials</v></cell><cell r="F5488" t="str"><v>DCM</v></cell><cell r="G5488" t="str"><v>https://signup.azure.com/signup?offer=ms-azr-0044p&appId=102&ref=paidmedia-social-fb&redirectURL=https%3a%2f%2fazure.microsoft.com%2ffr-fr%2fget-started%2fwelcome-to-azure%2f&l=fr-fr&correlationId=ead86c34-1f10-49dd-a72b-6918462a2cbf</v></cell></row><row r="5488"><cell r="K5488" t="str"><v>August</v></cell><cell r="L5488"><v>43323</v></cell><cell r="M5488" t="str"><v>Tier 1</v></cell><cell r="N5488" t="str"><v>EMEA</v></cell><cell r="O5488" t="str"><v>France</v></cell><cell r="P5488" t="str"><v>Trial</v></cell><cell r="Q5488" t="str"><v>Social</v></cell><cell r="R5488" t="str"><v>Azure</v></cell><cell r="S5488" t="str"><v>Apps & Infra</v></cell><cell r="T5488" t="str"><v>Developers & ITI's</v></cell><cell r="U5488" t="str"><v>Developers-Azure Direct-Sponsored Post_Trial_PayGo-Video Ad-Free Account Developer - AI</v></cell><cell r="V5488" t="str"><v>Lookalike Targeting</v></cell><cell r="W5488" t="str"><v>Social</v></cell><cell r="X5488" t="str"><v>1x1</v></cell></row><row r="5488"><cell r="AA5488"><v>43321</v></cell><cell r="AB5488" t="str"><v>FRA_gaPMG_AZR_AZR_Q1_19_AzureDirect-Trial-Social</v></cell><cell r="AC5488"><v>21356941</v></cell><cell r="AD5488"><v>720193</v></cell><cell r="AE5488" t="str"><v>Facebook</v></cell><cell r="AF5488"><v>3654128</v></cell><cell r="AG5488" t="str"><v>Facebook»Developers-Azure Direct-Sponsored Post_Trial_PayGo-Video Ad-Free Account Developer - AI»1x1»30s»SOC»ALL»CPC»LAL»D»UNK»SS»NA»Trials</v></cell><cell r="AH5488"><v>226359947</v></cell><cell r="AI5488" t="str"><v>AZR_FreeAcctDeveloperFB-AnimatedAI-Ch3_FRA_1200x1200_VIA_AZRDirect_French_NA_Facebook_STAN_LEA_T3_1</v></cell><cell r="AJ5488"><v>104537813</v></cell></row><row r="5489"><cell r="C5489" t="str"><v>43321Facebook»Developers-Azure Direct-Sponsored Post_Trial_PayGo-Video Ad-Free Account Developer - Intelligent Data»1x1»30s»SOC»ALL»CPC»LAL»D»UNK»SS»NA»Trials</v></cell><cell r="D5489" t="str"><v>43321226359944</v></cell><cell r="E5489" t="str"><v>43321104537816Trials</v></cell><cell r="F5489" t="str"><v>DCM</v></cell><cell r="G5489" t="str"><v>https://signup.azure.com/signup?offer=ms-azr-0044p&appId=102&ref=paidmedia-social-fb&redirectURL=https%3a%2f%2fazure.microsoft.com%2ffr-fr%2fget-started%2fwelcome-to-azure%2f&l=fr-fr&correlationId=ead86c34-1f10-49dd-a72b-6918462a2cbf</v></cell></row><row r="5489"><cell r="K5489" t="str"><v>August</v></cell><cell r="L5489"><v>43323</v></cell><cell r="M5489" t="str"><v>Tier 1</v></cell><cell r="N5489" t="str"><v>EMEA</v></cell><cell r="O5489" t="str"><v>France</v></cell><cell r="P5489" t="str"><v>Trial</v></cell><cell r="Q5489" t="str"><v>Social</v></cell><cell r="R5489" t="str"><v>Azure</v></cell><cell r="S5489" t="str"><v>Apps & Infra</v></cell><cell r="T5489" t="str"><v>Developers & ITI's</v></cell><cell r="U5489" t="str"><v>Developers-Azure Direct-Sponsored Post_Trial_PayGo-Video Ad-Free Account Developer - Intelligent Data</v></cell><cell r="V5489" t="str"><v>Lookalike Targeting</v></cell><cell r="W5489" t="str"><v>Social</v></cell><cell r="X5489" t="str"><v>1x1</v></cell></row><row r="5489"><cell r="AA5489"><v>43321</v></cell><cell r="AB5489" t="str"><v>FRA_gaPMG_AZR_AZR_Q1_19_AzureDirect-Trial-Social</v></cell><cell r="AC5489"><v>21356941</v></cell><cell r="AD5489"><v>720193</v></cell><cell r="AE5489" t="str"><v>Facebook</v></cell><cell r="AF5489"><v>3654128</v></cell><cell r="AG5489" t="str"><v>Facebook»Developers-Azure Direct-Sponsored Post_Trial_PayGo-Video Ad-Free Account Developer - Intelligent Data»1x1»30s»SOC»ALL»CPC»LAL»D»UNK»SS»NA»Trials</v></cell><cell r="AH5489"><v>226359944</v></cell><cell r="AI5489" t="str"><v>AZR_FreeAcctDeveloperFB-AnimatedData-Ch4_FRA_1200x1200_VIA_AZRDirect_French_NA_Facebook_STAN_LEA_T4_1</v></cell><cell r="AJ5489"><v>104537816</v></cell></row><row r="5490"><cell r="C5490" t="str"><v>43321Facebook»Developers-Azure Direct-Sponsored Post_Trial_PayGo-Video Ad-Free Account Developer - Open Source»1x1»30s»SOC»ALL»CPC»LAL»D»UNK»SS»NA»Trials</v></cell><cell r="D5490" t="str"><v>43321226359950</v></cell><cell r="E5490" t="str"><v>43321104537132Trials</v></cell><cell r="F5490" t="str"><v>DCM</v></cell><cell r="G5490" t="str"><v>https://signup.azure.com/signup?offer=ms-azr-0044p&appId=102&ref=paidmedia-social-fb&redirectURL=https%3a%2f%2fazure.microsoft.com%2ffr-fr%2fget-started%2fwelcome-to-azure%2f&l=fr-fr&correlationId=ead86c34-1f10-49dd-a72b-6918462a2cbf</v></cell></row><row r="5490"><cell r="K5490" t="str"><v>August</v></cell><cell r="L5490"><v>43323</v></cell><cell r="M5490" t="str"><v>Tier 1</v></cell><cell r="N5490" t="str"><v>EMEA</v></cell><cell r="O5490" t="str"><v>France</v></cell><cell r="P5490" t="str"><v>Trial</v></cell><cell r="Q5490" t="str"><v>Social</v></cell><cell r="R5490" t="str"><v>Azure</v></cell><cell r="S5490" t="str"><v>Apps & Infra</v></cell><cell r="T5490" t="str"><v>Developers & ITI's</v></cell><cell r="U5490" t="str"><v>Developers-Azure Direct-Sponsored Post_Trial_PayGo-Video Ad-Free Account Developer - Open Source</v></cell><cell r="V5490" t="str"><v>Lookalike Targeting</v></cell><cell r="W5490" t="str"><v>Social</v></cell><cell r="X5490" t="str"><v>1x1</v></cell></row><row r="5490"><cell r="AA5490"><v>43321</v></cell><cell r="AB5490" t="str"><v>FRA_gaPMG_AZR_AZR_Q1_19_AzureDirect-Trial-Social</v></cell><cell r="AC5490"><v>21356941</v></cell><cell r="AD5490"><v>720193</v></cell><cell r="AE5490" t="str"><v>Facebook</v></cell><cell r="AF5490"><v>3654128</v></cell><cell r="AG5490" t="str"><v>Facebook»Developers-Azure Direct-Sponsored Post_Trial_PayGo-Video Ad-Free Account Developer - Open Source»1x1»30s»SOC»ALL»CPC»LAL»D»UNK»SS»NA»Trials</v></cell><cell r="AH5490"><v>226359950</v></cell><cell r="AI5490" t="str"><v>AZR_FreeAcctDeveloperFB-AnimatedOpenSource-Ch2_FRA_1200x1200_VIA_AZRDirect_French_NA_Facebook_STAN_LEA_T2_1</v></cell><cell r="AJ5490"><v>104537132</v></cell></row><row r="5491"><cell r="C5491" t="str"><v>43321Facebook»Developers/ITPros-Azure Direct-Sponsored Post_Trial-Link Ad-FreeAcctRetargetingFB-Animated-ChC CanvasOpener»1x1»SocialBan»SOC»ALL»CPC»LAL»D»UNK»SS»NA»Trials</v></cell><cell r="D5491" t="str"><v>43321226360037</v></cell><cell r="E5491" t="str"><v>43321103259775Trials</v></cell><cell r="F5491" t="str"><v>DCM</v></cell><cell r="G5491" t="str"><v>https://azure.microsoft.com/fr-fr/free/search/</v></cell></row><row r="5491"><cell r="K5491" t="str"><v>August</v></cell><cell r="L5491"><v>43323</v></cell><cell r="M5491" t="str"><v>Tier 1</v></cell><cell r="N5491" t="str"><v>EMEA</v></cell><cell r="O5491" t="str"><v>France</v></cell><cell r="P5491" t="str"><v>Trial</v></cell><cell r="Q5491" t="str"><v>Social</v></cell><cell r="R5491" t="str"><v>Azure</v></cell><cell r="S5491" t="str"><v>Apps & Infra</v></cell><cell r="T5491" t="str"><v>Developers & ITI's</v></cell><cell r="U5491" t="str"><v>Developers/ITPros-Azure Direct-Sponsored Post_Trial-Link Ad-FreeAcctRetargetingFB-Animated-ChC CanvasOpener</v></cell><cell r="V5491" t="str"><v>Lookalike Targeting</v></cell><cell r="W5491" t="str"><v>Social</v></cell><cell r="X5491" t="str"><v>1x1</v></cell></row><row r="5491"><cell r="AA5491"><v>43321</v></cell><cell r="AB5491" t="str"><v>FRA_gaPMG_AZR_AZR_Q1_19_AzureDirect-Trial-Social</v></cell><cell r="AC5491"><v>21356941</v></cell><cell r="AD5491"><v>720193</v></cell><cell r="AE5491" t="str"><v>Facebook</v></cell><cell r="AF5491"><v>3654128</v></cell><cell r="AG5491" t="str"><v>Facebook»Developers/ITPros-Azure Direct-Sponsored Post_Trial-Link Ad-FreeAcctRetargetingFB-Animated-ChC CanvasOpener»1x1»SocialBan»SOC»ALL»CPC»LAL»D»UNK»SS»NA»Trials</v></cell><cell r="AH5491"><v>226360037</v></cell><cell r="AI5491" t="str"><v>AZR_reeAcctRetargetingFB-Animated-ChC_FRA_1200x628_SOC_AZRDirect_French_NA_Facebook_SBAN_SINU_T3_1</v></cell><cell r="AJ5491"><v>103259775</v></cell></row><row r="5492"><cell r="C5492" t="str"><v>43321Facebook»Developers/ITPros-Azure Direct-Sponsored Post_Trial-Link Ad-FreeAcctRetargetingFB-GlobalAlt-ChB_RTG CanvasOpener»1x1»SocialBan»SOC»ALL»CPC»LAL»D»UNK»SS»NA»Trials</v></cell><cell r="D5492" t="str"><v>43321226496107</v></cell><cell r="E5492" t="str"><v>43321103259520Trials</v></cell><cell r="F5492" t="str"><v>DCM</v></cell><cell r="G5492" t="str"><v>https://azure.microsoft.com/fr-fr/free/search/</v></cell></row><row r="5492"><cell r="K5492" t="str"><v>August</v></cell><cell r="L5492"><v>43323</v></cell><cell r="M5492" t="str"><v>Tier 1</v></cell><cell r="N5492" t="str"><v>EMEA</v></cell><cell r="O5492" t="str"><v>France</v></cell><cell r="P5492" t="str"><v>Trial</v></cell><cell r="Q5492" t="str"><v>Social</v></cell><cell r="R5492" t="str"><v>Azure</v></cell><cell r="S5492" t="str"><v>Apps & Infra</v></cell><cell r="T5492" t="str"><v>Developers & ITI's</v></cell><cell r="U5492" t="str"><v>Developers/ITPros-Azure Direct-Sponsored Post_Trial-Link Ad-FreeAcctRetargetingFB-GlobalAlt-ChB_RTG CanvasOpener</v></cell><cell r="V5492" t="str"><v>Lookalike Targeting</v></cell><cell r="W5492" t="str"><v>Social</v></cell><cell r="X5492" t="str"><v>1x1</v></cell></row><row r="5492"><cell r="AA5492"><v>43321</v></cell><cell r="AB5492" t="str"><v>FRA_gaPMG_AZR_AZR_Q1_19_AzureDirect-Trial-Social</v></cell><cell r="AC5492"><v>21356941</v></cell><cell r="AD5492"><v>720193</v></cell><cell r="AE5492" t="str"><v>Facebook</v></cell><cell r="AF5492"><v>3654128</v></cell><cell r="AG5492" t="str"><v>Facebook»Developers/ITPros-Azure Direct-Sponsored Post_Trial-Link Ad-FreeAcctRetargetingFB-GlobalAlt-ChB_RTG CanvasOpener»1x1»SocialBan»SOC»ALL»CPC»LAL»D»UNK»SS»NA»Trials</v></cell><cell r="AH5492"><v>226496107</v></cell><cell r="AI5492" t="str"><v>AZR_FreeAcctRetargetingFB-GlobalAlt-ChB_FRA_1200x628_SOC_AZRDirect_French_NA_Facebook_SBAN_SINU_T2_1</v></cell><cell r="AJ5492"><v>103259520</v></cell></row><row r="5493"><cell r="C5493" t="str"><v>43321Facebook»Developers/ITPros-Azure Direct-Sponsored Post_Trial-Link Ad-FreeAcctRetargetingOSSFB-Logos-ChG CanvasOpener»1x1»SocialBan»SOC»ALL»CPC»LAL»D»UNK»SS»NA»Trials</v></cell><cell r="D5493" t="str"><v>43321226496104</v></cell><cell r="E5493" t="str"><v>43321103259769Trials</v></cell><cell r="F5493" t="str"><v>DCM</v></cell><cell r="G5493" t="str"><v>https://azure.microsoft.com/fr-fr/free/open-source/search/</v></cell></row><row r="5493"><cell r="K5493" t="str"><v>August</v></cell><cell r="L5493"><v>43323</v></cell><cell r="M5493" t="str"><v>Tier 1</v></cell><cell r="N5493" t="str"><v>EMEA</v></cell><cell r="O5493" t="str"><v>France</v></cell><cell r="P5493" t="str"><v>Trial</v></cell><cell r="Q5493" t="str"><v>Social</v></cell><cell r="R5493" t="str"><v>Azure</v></cell><cell r="S5493" t="str"><v>Apps & Infra</v></cell><cell r="T5493" t="str"><v>Developers & ITI's</v></cell><cell r="U5493" t="str"><v>Developers/ITPros-Azure Direct-Sponsored Post_Trial-Link Ad-FreeAcctRetargetingOSSFB-Logos-ChG CanvasOpener</v></cell><cell r="V5493" t="str"><v>Lookalike Targeting</v></cell><cell r="W5493" t="str"><v>Social</v></cell><cell r="X5493" t="str"><v>1x1</v></cell></row><row r="5493"><cell r="AA5493"><v>43321</v></cell><cell r="AB5493" t="str"><v>FRA_gaPMG_AZR_AZR_Q1_19_AzureDirect-Trial-Social</v></cell><cell r="AC5493"><v>21356941</v></cell><cell r="AD5493"><v>720193</v></cell><cell r="AE5493" t="str"><v>Facebook</v></cell><cell r="AF5493"><v>3654128</v></cell><cell r="AG5493" t="str"><v>Facebook»Developers/ITPros-Azure Direct-Sponsored Post_Trial-Link Ad-FreeAcctRetargetingOSSFB-Logos-ChG CanvasOpener»1x1»SocialBan»SOC»ALL»CPC»LAL»D»UNK»SS»NA»Trials</v></cell><cell r="AH5493"><v>226496104</v></cell><cell r="AI5493" t="str"><v>AZR_FreeAcctRetargetingOSSFB-Logos-ChG_FRA_1200x628_SOC_AZRDirect_French_NA_Facebook_SBAN_SINU_T2_1</v></cell><cell r="AJ5493"><v>103259769</v></cell></row><row r="5494"><cell r="C5494" t="str"><v>43321Facebook»Developers/ITPros-Azure Direct-Sponsored Post_Trial-Link Ad-FreeAcctRetargetingOSSFB-Text-ChF CanvasOpener»1x1»SocialBan»SOC»ALL»CPC»LAL»D»UNK»SS»NA»Trials</v></cell><cell r="D5494" t="str"><v>43321226496101</v></cell><cell r="E5494" t="str"><v>43321103257810Trials</v></cell><cell r="F5494" t="str"><v>DCM</v></cell><cell r="G5494" t="str"><v>https://azure.microsoft.com/fr-fr/free/open-source/search/</v></cell></row><row r="5494"><cell r="K5494" t="str"><v>August</v></cell><cell r="L5494"><v>43323</v></cell><cell r="M5494" t="str"><v>Tier 1</v></cell><cell r="N5494" t="str"><v>EMEA</v></cell><cell r="O5494" t="str"><v>France</v></cell><cell r="P5494" t="str"><v>Trial</v></cell><cell r="Q5494" t="str"><v>Social</v></cell><cell r="R5494" t="str"><v>Azure</v></cell><cell r="S5494" t="str"><v>Apps & Infra</v></cell><cell r="T5494" t="str"><v>Developers & ITI's</v></cell><cell r="U5494" t="str"><v>Developers/ITPros-Azure Direct-Sponsored Post_Trial-Link Ad-FreeAcctRetargetingOSSFB-Text-ChF CanvasOpener</v></cell><cell r="V5494" t="str"><v>Lookalike Targeting</v></cell><cell r="W5494" t="str"><v>Social</v></cell><cell r="X5494" t="str"><v>1x1</v></cell></row><row r="5494"><cell r="AA5494"><v>43321</v></cell><cell r="AB5494" t="str"><v>FRA_gaPMG_AZR_AZR_Q1_19_AzureDirect-Trial-Social</v></cell><cell r="AC5494"><v>21356941</v></cell><cell r="AD5494"><v>720193</v></cell><cell r="AE5494" t="str"><v>Facebook</v></cell><cell r="AF5494"><v>3654128</v></cell><cell r="AG5494" t="str"><v>Facebook»Developers/ITPros-Azure Direct-Sponsored Post_Trial-Link Ad-FreeAcctRetargetingOSSFB-Text-ChF CanvasOpener»1x1»SocialBan»SOC»ALL»CPC»LAL»D»UNK»SS»NA»Trials</v></cell><cell r="AH5494"><v>226496101</v></cell><cell r="AI5494" t="str"><v>AZR_FreeAcctRetargetingOSSFB-Text-ChF_FRA_1200x628_SOC_AZRDirect_French_NA_Facebook_SBAN_SINU_T1_1</v></cell><cell r="AJ5494"><v>103257810</v></cell></row><row r="5495"><cell r="C5495" t="str"><v>43321Facebook»Developers/ITPros-Azure Direct-Sponsored Post_Trial_PayGo-Link Ad-FreeAcctRetargetingFB-Animated-ChC CanvasOpener»1x1»SocialBan»SOC»ALL»CPC»LAL»D»UNK»SS»NA»Trials</v></cell><cell r="D5495" t="str"><v>43321226359956</v></cell><cell r="E5495" t="str"><v>43321103259775Trials</v></cell><cell r="F5495" t="str"><v>DCM</v></cell><cell r="G5495" t="str"><v>https://azure.microsoft.com/fr-fr/free/search/</v></cell></row><row r="5495"><cell r="K5495" t="str"><v>August</v></cell><cell r="L5495"><v>43323</v></cell><cell r="M5495" t="str"><v>Tier 1</v></cell><cell r="N5495" t="str"><v>EMEA</v></cell><cell r="O5495" t="str"><v>France</v></cell><cell r="P5495" t="str"><v>Trial</v></cell><cell r="Q5495" t="str"><v>Social</v></cell><cell r="R5495" t="str"><v>Azure</v></cell><cell r="S5495" t="str"><v>Apps & Infra</v></cell><cell r="T5495" t="str"><v>Developers & ITI's</v></cell><cell r="U5495" t="str"><v>Developers/ITPros-Azure Direct-Sponsored Post_Trial_PayGo-Link Ad-FreeAcctRetargetingFB-Animated-ChC CanvasOpener</v></cell><cell r="V5495" t="str"><v>Lookalike Targeting</v></cell><cell r="W5495" t="str"><v>Social</v></cell><cell r="X5495" t="str"><v>1x1</v></cell></row><row r="5495"><cell r="AA5495"><v>43321</v></cell><cell r="AB5495" t="str"><v>FRA_gaPMG_AZR_AZR_Q1_19_AzureDirect-Trial-Social</v></cell><cell r="AC5495"><v>21356941</v></cell><cell r="AD5495"><v>720193</v></cell><cell r="AE5495" t="str"><v>Facebook</v></cell><cell r="AF5495"><v>3654128</v></cell><cell r="AG5495" t="str"><v>Facebook»Developers/ITPros-Azure Direct-Sponsored Post_Trial_PayGo-Link Ad-FreeAcctRetargetingFB-Animated-ChC CanvasOpener»1x1»SocialBan»SOC»ALL»CPC»LAL»D»UNK»SS»NA»Trials</v></cell><cell r="AH5495"><v>226359956</v></cell><cell r="AI5495" t="str"><v>AZR_reeAcctRetargetingFB-Animated-ChC_FRA_1200x628_SOC_AZRDirect_French_NA_Facebook_SBAN_SINU_T3_1</v></cell><cell r="AJ5495"><v>103259775</v></cell></row><row r="5496"><cell r="C5496" t="str"><v>43321Facebook»Developers/ITPros-Azure Direct-Sponsored Post_Trial_PayGo-Link Ad-FreeAcctRetargetingFB-GlobalAlt-ChB_RTG CanvasOpener»1x1»SocialBan»SOC»ALL»CPC»LAL»D»UNK»SS»NA»Trials</v></cell><cell r="D5496" t="str"><v>43321226359971</v></cell><cell r="E5496" t="str"><v>43321103259520Trials</v></cell><cell r="F5496" t="str"><v>DCM</v></cell><cell r="G5496" t="str"><v>https://azure.microsoft.com/fr-fr/free/search/</v></cell></row><row r="5496"><cell r="K5496" t="str"><v>August</v></cell><cell r="L5496"><v>43323</v></cell><cell r="M5496" t="str"><v>Tier 1</v></cell><cell r="N5496" t="str"><v>EMEA</v></cell><cell r="O5496" t="str"><v>France</v></cell><cell r="P5496" t="str"><v>Trial</v></cell><cell r="Q5496" t="str"><v>Social</v></cell><cell r="R5496" t="str"><v>Azure</v></cell><cell r="S5496" t="str"><v>Apps & Infra</v></cell><cell r="T5496" t="str"><v>Developers & ITI's</v></cell><cell r="U5496" t="str"><v>Developers/ITPros-Azure Direct-Sponsored Post_Trial_PayGo-Link Ad-FreeAcctRetargetingFB-GlobalAlt-ChB_RTG CanvasOpener</v></cell><cell r="V5496" t="str"><v>Lookalike Targeting</v></cell><cell r="W5496" t="str"><v>Social</v></cell><cell r="X5496" t="str"><v>1x1</v></cell></row><row r="5496"><cell r="AA5496"><v>43321</v></cell><cell r="AB5496" t="str"><v>FRA_gaPMG_AZR_AZR_Q1_19_AzureDirect-Trial-Social</v></cell><cell r="AC5496"><v>21356941</v></cell><cell r="AD5496"><v>720193</v></cell><cell r="AE5496" t="str"><v>Facebook</v></cell><cell r="AF5496"><v>3654128</v></cell><cell r="AG5496" t="str"><v>Facebook»Developers/ITPros-Azure Direct-Sponsored Post_Trial_PayGo-Link Ad-FreeAcctRetargetingFB-GlobalAlt-ChB_RTG CanvasOpener»1x1»SocialBan»SOC»ALL»CPC»LAL»D»UNK»SS»NA»Trials</v></cell><cell r="AH5496"><v>226359971</v></cell><cell r="AI5496" t="str"><v>AZR_FreeAcctRetargetingFB-GlobalAlt-ChB_FRA_1200x628_SOC_AZRDirect_French_NA_Facebook_SBAN_SINU_T2_1</v></cell><cell r="AJ5496"><v>103259520</v></cell></row><row r="5497"><cell r="C5497" t="str"><v>43321Facebook»Developers/ITPros-Azure Direct-Sponsored Post_Trial_PayGo-Link Ad-FreeAcctRetargetingOSSFB-Logos-ChG CanvasOpener»1x1»SocialBan»SOC»ALL»CPC»LAL»D»UNK»SS»NA»Trials</v></cell><cell r="D5497" t="str"><v>43321226359968</v></cell><cell r="E5497" t="str"><v>43321103259769Trials</v></cell><cell r="F5497" t="str"><v>DCM</v></cell><cell r="G5497" t="str"><v>https://azure.microsoft.com/fr-fr/free/open-source/search/</v></cell></row><row r="5497"><cell r="K5497" t="str"><v>August</v></cell><cell r="L5497"><v>43323</v></cell><cell r="M5497" t="str"><v>Tier 1</v></cell><cell r="N5497" t="str"><v>EMEA</v></cell><cell r="O5497" t="str"><v>France</v></cell><cell r="P5497" t="str"><v>Trial</v></cell><cell r="Q5497" t="str"><v>Social</v></cell><cell r="R5497" t="str"><v>Azure</v></cell><cell r="S5497" t="str"><v>Apps & Infra</v></cell><cell r="T5497" t="str"><v>Developers & ITI's</v></cell><cell r="U5497" t="str"><v>Developers/ITPros-Azure Direct-Sponsored Post_Trial_PayGo-Link Ad-FreeAcctRetargetingOSSFB-Logos-ChG CanvasOpener</v></cell><cell r="V5497" t="str"><v>Lookalike Targeting</v></cell><cell r="W5497" t="str"><v>Social</v></cell><cell r="X5497" t="str"><v>1x1</v></cell></row><row r="5497"><cell r="AA5497"><v>43321</v></cell><cell r="AB5497" t="str"><v>FRA_gaPMG_AZR_AZR_Q1_19_AzureDirect-Trial-Social</v></cell><cell r="AC5497"><v>21356941</v></cell><cell r="AD5497"><v>720193</v></cell><cell r="AE5497" t="str"><v>Facebook</v></cell><cell r="AF5497"><v>3654128</v></cell><cell r="AG5497" t="str"><v>Facebook»Developers/ITPros-Azure Direct-Sponsored Post_Trial_PayGo-Link Ad-FreeAcctRetargetingOSSFB-Logos-ChG CanvasOpener»1x1»SocialBan»SOC»ALL»CPC»LAL»D»UNK»SS»NA»Trials</v></cell><cell r="AH5497"><v>226359968</v></cell><cell r="AI5497" t="str"><v>AZR_FreeAcctRetargetingOSSFB-Logos-ChG_FRA_1200x628_SOC_AZRDirect_French_NA_Facebook_SBAN_SINU_T2_1</v></cell><cell r="AJ5497"><v>103259769</v></cell></row><row r="5498"><cell r="C5498" t="str"><v>43321Facebook»Developers/ITPros-Azure Direct-Sponsored Post_Trial_PayGo-Link Ad-FreeAcctRetargetingOSSFB-Text-ChF CanvasOpener»1x1»SocialBan»SOC»ALL»CPC»LAL»D»UNK»SS»NA»Trials</v></cell><cell r="D5498" t="str"><v>43321226359965</v></cell><cell r="E5498" t="str"><v>43321103257810Trials</v></cell><cell r="F5498" t="str"><v>DCM</v></cell><cell r="G5498" t="str"><v>https://azure.microsoft.com/fr-fr/free/open-source/search/</v></cell></row><row r="5498"><cell r="K5498" t="str"><v>August</v></cell><cell r="L5498"><v>43323</v></cell><cell r="M5498" t="str"><v>Tier 1</v></cell><cell r="N5498" t="str"><v>EMEA</v></cell><cell r="O5498" t="str"><v>France</v></cell><cell r="P5498" t="str"><v>Trial</v></cell><cell r="Q5498" t="str"><v>Social</v></cell><cell r="R5498" t="str"><v>Azure</v></cell><cell r="S5498" t="str"><v>Apps & Infra</v></cell><cell r="T5498" t="str"><v>Developers & ITI's</v></cell><cell r="U5498" t="str"><v>Developers/ITPros-Azure Direct-Sponsored Post_Trial_PayGo-Link Ad-FreeAcctRetargetingOSSFB-Text-ChF CanvasOpener</v></cell><cell r="V5498" t="str"><v>Lookalike Targeting</v></cell><cell r="W5498" t="str"><v>Social</v></cell><cell r="X5498" t="str"><v>1x1</v></cell></row><row r="5498"><cell r="AA5498"><v>43321</v></cell><cell r="AB5498" t="str"><v>FRA_gaPMG_AZR_AZR_Q1_19_AzureDirect-Trial-Social</v></cell><cell r="AC5498"><v>21356941</v></cell><cell r="AD5498"><v>720193</v></cell><cell r="AE5498" t="str"><v>Facebook</v></cell><cell r="AF5498"><v>3654128</v></cell><cell r="AG5498" t="str"><v>Facebook»Developers/ITPros-Azure Direct-Sponsored Post_Trial_PayGo-Link Ad-FreeAcctRetargetingOSSFB-Text-ChF CanvasOpener»1x1»SocialBan»SOC»ALL»CPC»LAL»D»UNK»SS»NA»Trials</v></cell><cell r="AH5498"><v>226359965</v></cell><cell r="AI5498" t="str"><v>AZR_FreeAcctRetargetingOSSFB-Text-ChF_FRA_1200x628_SOC_AZRDirect_French_NA_Facebook_SBAN_SINU_T1_1</v></cell><cell r="AJ5498"><v>103257810</v></cell></row><row r="5499"><cell r="C5499" t="str"><v>43321Facebook»Developers/ITPros-Azure Direct-Sponsored Post_Trial_PayGo-Link Ad-FreeAcctRetargetingVMFB-750Hrs-ChD CanvasOpener»1x1»SocialBan»SOC»ALL»CPC»LAL»D»UNK»SS»NA»Trials</v></cell><cell r="D5499" t="str"><v>43321226359962</v></cell><cell r="E5499" t="str"><v>43321103259010Trials</v></cell><cell r="F5499" t="str"><v>DCM</v></cell><cell r="G5499" t="str"><v>https://azure.microsoft.com/fr-fr/free/virtual-machines/search/</v></cell></row><row r="5499"><cell r="K5499" t="str"><v>August</v></cell><cell r="L5499"><v>43323</v></cell><cell r="M5499" t="str"><v>Tier 1</v></cell><cell r="N5499" t="str"><v>EMEA</v></cell><cell r="O5499" t="str"><v>France</v></cell><cell r="P5499" t="str"><v>Trial</v></cell><cell r="Q5499" t="str"><v>Social</v></cell><cell r="R5499" t="str"><v>Azure</v></cell><cell r="S5499" t="str"><v>Apps & Infra</v></cell><cell r="T5499" t="str"><v>Developers & ITI's</v></cell><cell r="U5499" t="str"><v>Developers/ITPros-Azure Direct-Sponsored Post_Trial_PayGo-Link Ad-FreeAcctRetargetingVMFB-750Hrs-ChD CanvasOpener</v></cell><cell r="V5499" t="str"><v>Lookalike Targeting</v></cell><cell r="W5499" t="str"><v>Social</v></cell><cell r="X5499" t="str"><v>1x1</v></cell></row><row r="5499"><cell r="AA5499"><v>43321</v></cell><cell r="AB5499" t="str"><v>FRA_gaPMG_AZR_AZR_Q1_19_AzureDirect-Trial-Social</v></cell><cell r="AC5499"><v>21356941</v></cell><cell r="AD5499"><v>720193</v></cell><cell r="AE5499" t="str"><v>Facebook</v></cell><cell r="AF5499"><v>3654128</v></cell><cell r="AG5499" t="str"><v>Facebook»Developers/ITPros-Azure Direct-Sponsored Post_Trial_PayGo-Link Ad-FreeAcctRetargetingVMFB-750Hrs-ChD CanvasOpener»1x1»SocialBan»SOC»ALL»CPC»LAL»D»UNK»SS»NA»Trials</v></cell><cell r="AH5499"><v>226359962</v></cell><cell r="AI5499" t="str"><v>AZR_FreeAcctRetargetingVMFB-750Hrs-ChD_FRA_1200x628_SOC_AZRDirect_French_NA_Facebook_SBAN_SINU_T1_1</v></cell><cell r="AJ5499"><v>103259010</v></cell></row><row r="5500"><cell r="C5500" t="str"><v>43321Facebook»Developers/ITPros-Azure Direct-Sponsored Post_Trial_PayGo-Link Ad-FreeAcctRetargetingVMFB-OnDemand-ChE CanvasOpener»1x1»SocialBan»SOC»ALL»CPC»LAL»D»UNK»SS»NA»Trials</v></cell><cell r="D5500" t="str"><v>43321226359959</v></cell><cell r="E5500" t="str"><v>43321103376990Trials</v></cell><cell r="F5500" t="str"><v>DCM</v></cell><cell r="G5500" t="str"><v>https://azure.microsoft.com/fr-fr/free/virtual-machines/search/</v></cell></row><row r="5500"><cell r="K5500" t="str"><v>August</v></cell><cell r="L5500"><v>43323</v></cell><cell r="M5500" t="str"><v>Tier 1</v></cell><cell r="N5500" t="str"><v>EMEA</v></cell><cell r="O5500" t="str"><v>France</v></cell><cell r="P5500" t="str"><v>Trial</v></cell><cell r="Q5500" t="str"><v>Social</v></cell><cell r="R5500" t="str"><v>Azure</v></cell><cell r="S5500" t="str"><v>Apps & Infra</v></cell><cell r="T5500" t="str"><v>Developers & ITI's</v></cell><cell r="U5500" t="str"><v>Developers/ITPros-Azure Direct-Sponsored Post_Trial_PayGo-Link Ad-FreeAcctRetargetingVMFB-OnDemand-ChE CanvasOpener</v></cell><cell r="V5500" t="str"><v>Lookalike Targeting</v></cell><cell r="W5500" t="str"><v>Social</v></cell><cell r="X5500" t="str"><v>1x1</v></cell></row><row r="5500"><cell r="AA5500"><v>43321</v></cell><cell r="AB5500" t="str"><v>FRA_gaPMG_AZR_AZR_Q1_19_AzureDirect-Trial-Social</v></cell><cell r="AC5500"><v>21356941</v></cell><cell r="AD5500"><v>720193</v></cell><cell r="AE5500" t="str"><v>Facebook</v></cell><cell r="AF5500"><v>3654128</v></cell><cell r="AG5500" t="str"><v>Facebook»Developers/ITPros-Azure Direct-Sponsored Post_Trial_PayGo-Link Ad-FreeAcctRetargetingVMFB-OnDemand-ChE CanvasOpener»1x1»SocialBan»SOC»ALL»CPC»LAL»D»UNK»SS»NA»Trials</v></cell><cell r="AH5500"><v>226359959</v></cell><cell r="AI5500" t="str"><v>AZR_FreeAcctRetargetingVMFB-OnDemand-ChE_FRA_1200x628_SOC_AZRDirect_French_NA_Facebook_SBAN_SINU_T2_1</v></cell><cell r="AJ5500"><v>103376990</v></cell></row><row r="5501"><cell r="C5501" t="str"><v>43321Facebook»ITPros-Azure Direct-Sponsored Post-Video Ad-Free Account IT Pro - Hybrid»1x1»30s»SOC»ALL»CPC»AUT»D»UNK»SS»NA»Trials</v></cell><cell r="D5501" t="str"><v>43321226360016</v></cell><cell r="E5501" t="str"><v>43321104456278Trials</v></cell><cell r="F5501" t="str"><v>DCM</v></cell><cell r="G5501" t="str"><v>https://signup.azure.com/signup?offer=ms-azr-0044p&appId=102&ref=paidmedia-social-fb&redirectURL=https%3a%2f%2fazure.microsoft.com%2ffr-fr%2fget-started%2fwelcome-to-azure%2f&l=fr-fr&correlationId=ead86c34-1f10-49dd-a72b-6918462a2cbf</v></cell></row><row r="5501"><cell r="K5501" t="str"><v>August</v></cell><cell r="L5501"><v>43323</v></cell><cell r="M5501" t="str"><v>Tier 1</v></cell><cell r="N5501" t="str"><v>EMEA</v></cell><cell r="O5501" t="str"><v>France</v></cell><cell r="P5501" t="str"><v>Trial</v></cell><cell r="Q5501" t="str"><v>Social</v></cell><cell r="R5501" t="str"><v>Azure</v></cell><cell r="S5501" t="str"><v>Apps & Infra</v></cell><cell r="T5501" t="str"><v>Developers & ITI's</v></cell><cell r="U5501" t="str"><v>ITPros-Azure Direct-Sponsored Post-Video Ad-Free Account IT Pro - Hybrid</v></cell><cell r="V5501" t="str"><v>Audience Targeting</v></cell><cell r="W5501" t="str"><v>Social</v></cell><cell r="X5501" t="str"><v>1x1</v></cell></row><row r="5501"><cell r="AA5501"><v>43321</v></cell><cell r="AB5501" t="str"><v>FRA_gaPMG_AZR_AZR_Q1_19_AzureDirect-Trial-Social</v></cell><cell r="AC5501"><v>21356941</v></cell><cell r="AD5501"><v>720193</v></cell><cell r="AE5501" t="str"><v>Facebook</v></cell><cell r="AF5501"><v>3654128</v></cell><cell r="AG5501" t="str"><v>Facebook»ITPros-Azure Direct-Sponsored Post-Video Ad-Free Account IT Pro - Hybrid»1x1»30s»SOC»ALL»CPC»AUT»D»UNK»SS»NA»Trials</v></cell><cell r="AH5501"><v>226360016</v></cell><cell r="AI5501" t="str"><v>AZR_FreeAcctITProFB-AnimatedHybrid-Ch2_FRA_1200x1200_VIA_AZRDirect_French_NA_Facebook_STAN_LEA_T2_1</v></cell><cell r="AJ5501"><v>104456278</v></cell></row><row r="5502"><cell r="C5502" t="str"><v>43321Facebook»ITPros-Azure Direct-Sponsored Post-Video Ad-Free Account IT Pro - Secure»1x1»30s»SOC»ALL»CPC»AUT»D»UNK»SS»NA»Trials</v></cell><cell r="D5502" t="str"><v>43321226360022</v></cell><cell r="E5502" t="str"><v>43321104455906Trials</v></cell><cell r="F5502" t="str"><v>DCM</v></cell><cell r="G5502" t="str"><v>https://signup.azure.com/signup?offer=ms-azr-0044p&appId=102&ref=paidmedia-social-fb&redirectURL=https%3a%2f%2fazure.microsoft.com%2ffr-fr%2fget-started%2fwelcome-to-azure%2f&l=fr-fr&correlationId=ead86c34-1f10-49dd-a72b-6918462a2cbf</v></cell></row><row r="5502"><cell r="K5502" t="str"><v>August</v></cell><cell r="L5502"><v>43323</v></cell><cell r="M5502" t="str"><v>Tier 1</v></cell><cell r="N5502" t="str"><v>EMEA</v></cell><cell r="O5502" t="str"><v>France</v></cell><cell r="P5502" t="str"><v>Trial</v></cell><cell r="Q5502" t="str"><v>Social</v></cell><cell r="R5502" t="str"><v>Azure</v></cell><cell r="S5502" t="str"><v>Apps & Infra</v></cell><cell r="T5502" t="str"><v>Developers & ITI's</v></cell><cell r="U5502" t="str"><v>ITPros-Azure Direct-Sponsored Post-Video Ad-Free Account IT Pro - Secure</v></cell><cell r="V5502" t="str"><v>Audience Targeting</v></cell><cell r="W5502" t="str"><v>Social</v></cell><cell r="X5502" t="str"><v>1x1</v></cell></row><row r="5502"><cell r="AA5502"><v>43321</v></cell><cell r="AB5502" t="str"><v>FRA_gaPMG_AZR_AZR_Q1_19_AzureDirect-Trial-Social</v></cell><cell r="AC5502"><v>21356941</v></cell><cell r="AD5502"><v>720193</v></cell><cell r="AE5502" t="str"><v>Facebook</v></cell><cell r="AF5502"><v>3654128</v></cell><cell r="AG5502" t="str"><v>Facebook»ITPros-Azure Direct-Sponsored Post-Video Ad-Free Account IT Pro - Secure»1x1»30s»SOC»ALL»CPC»AUT»D»UNK»SS»NA»Trials</v></cell><cell r="AH5502"><v>226360022</v></cell><cell r="AI5502" t="str"><v>AZR_FreeAcctITProFB-AnimatedSecureMngd-Ch1_FRA_1200x1200_VIA_AZRDirect_French_NA_Facebook_STAN_LEA_T1_1</v></cell><cell r="AJ5502"><v>104455906</v></cell></row><row r="5503"><cell r="C5503" t="str"><v>43321Facebook»ITPros-Azure Direct-Sponsored Post_Trial-Video Ad-Free Account IT Pro - Hybrid»1x1»30s»SOC»ALL»CPC»LAL»D»UNK»SS»NA»Trials</v></cell><cell r="D5503" t="str"><v>43321226360001</v></cell><cell r="E5503" t="str"><v>43321104456278Trials</v></cell><cell r="F5503" t="str"><v>DCM</v></cell><cell r="G5503" t="str"><v>https://signup.azure.com/signup?offer=ms-azr-0044p&appId=102&ref=paidmedia-social-fb&redirectURL=https%3a%2f%2fazure.microsoft.com%2ffr-fr%2fget-started%2fwelcome-to-azure%2f&l=fr-fr&correlationId=ead86c34-1f10-49dd-a72b-6918462a2cbf</v></cell></row><row r="5503"><cell r="K5503" t="str"><v>August</v></cell><cell r="L5503"><v>43323</v></cell><cell r="M5503" t="str"><v>Tier 1</v></cell><cell r="N5503" t="str"><v>EMEA</v></cell><cell r="O5503" t="str"><v>France</v></cell><cell r="P5503" t="str"><v>Trial</v></cell><cell r="Q5503" t="str"><v>Social</v></cell><cell r="R5503" t="str"><v>Azure</v></cell><cell r="S5503" t="str"><v>Apps & Infra</v></cell><cell r="T5503" t="str"><v>Developers & ITI's</v></cell><cell r="U5503" t="str"><v>ITPros-Azure Direct-Sponsored Post_Trial-Video Ad-Free Account IT Pro - Hybrid</v></cell><cell r="V5503" t="str"><v>Lookalike Targeting</v></cell><cell r="W5503" t="str"><v>Social</v></cell><cell r="X5503" t="str"><v>1x1</v></cell></row><row r="5503"><cell r="AA5503"><v>43321</v></cell><cell r="AB5503" t="str"><v>FRA_gaPMG_AZR_AZR_Q1_19_AzureDirect-Trial-Social</v></cell><cell r="AC5503"><v>21356941</v></cell><cell r="AD5503"><v>720193</v></cell><cell r="AE5503" t="str"><v>Facebook</v></cell><cell r="AF5503"><v>3654128</v></cell><cell r="AG5503" t="str"><v>Facebook»ITPros-Azure Direct-Sponsored Post_Trial-Video Ad-Free Account IT Pro - Hybrid»1x1»30s»SOC»ALL»CPC»LAL»D»UNK»SS»NA»Trials</v></cell><cell r="AH5503"><v>226360001</v></cell><cell r="AI5503" t="str"><v>AZR_FreeAcctITProFB-AnimatedHybrid-Ch2_FRA_1200x1200_VIA_AZRDirect_French_NA_Facebook_STAN_LEA_T2_1</v></cell><cell r="AJ5503"><v>104456278</v></cell></row><row r="5504"><cell r="C5504" t="str"><v>43321Facebook»ITPros-Azure Direct-Sponsored Post_Trial-Video Ad-Free Account IT Pro - Hybrid»1x1»30s»SOC»ALL»CPC»RT»D»UNK»SS»NA»Trials</v></cell><cell r="D5504" t="str"><v>43321226496140</v></cell><cell r="E5504" t="str"><v>43321104456278Trials</v></cell><cell r="F5504" t="str"><v>DCM</v></cell><cell r="G5504" t="str"><v>https://signup.azure.com/signup?offer=ms-azr-0044p&appId=102&ref=paidmedia-social-fb&redirectURL=https%3a%2f%2fazure.microsoft.com%2ffr-fr%2fget-started%2fwelcome-to-azure%2f&l=fr-fr&correlationId=ead86c34-1f10-49dd-a72b-6918462a2cbf</v></cell></row><row r="5504"><cell r="K5504" t="str"><v>August</v></cell><cell r="L5504"><v>43323</v></cell><cell r="M5504" t="str"><v>Tier 1</v></cell><cell r="N5504" t="str"><v>EMEA</v></cell><cell r="O5504" t="str"><v>France</v></cell><cell r="P5504" t="str"><v>Trial</v></cell><cell r="Q5504" t="str"><v>Social</v></cell><cell r="R5504" t="str"><v>Azure</v></cell><cell r="S5504" t="str"><v>Apps & Infra</v></cell><cell r="T5504" t="str"><v>Developers & ITI's</v></cell><cell r="U5504" t="str"><v>ITPros-Azure Direct-Sponsored Post_Trial-Video Ad-Free Account IT Pro - Hybrid</v></cell><cell r="V5504" t="str"><v>Retargeting</v></cell><cell r="W5504" t="str"><v>Social</v></cell><cell r="X5504" t="str"><v>1x1</v></cell></row><row r="5504"><cell r="AA5504"><v>43321</v></cell><cell r="AB5504" t="str"><v>FRA_gaPMG_AZR_AZR_Q1_19_AzureDirect-Trial-Social</v></cell><cell r="AC5504"><v>21356941</v></cell><cell r="AD5504"><v>720193</v></cell><cell r="AE5504" t="str"><v>Facebook</v></cell><cell r="AF5504"><v>3654128</v></cell><cell r="AG5504" t="str"><v>Facebook»ITPros-Azure Direct-Sponsored Post_Trial-Video Ad-Free Account IT Pro - Hybrid»1x1»30s»SOC»ALL»CPC»RT»D»UNK»SS»NA»Trials</v></cell><cell r="AH5504"><v>226496140</v></cell><cell r="AI5504" t="str"><v>AZR_FreeAcctITProFB-AnimatedHybrid-Ch2_FRA_1200x1200_VIA_AZRDirect_French_NA_Facebook_STAN_LEA_T2_1</v></cell><cell r="AJ5504"><v>104456278</v></cell></row><row r="5505"><cell r="C5505" t="str"><v>43321Facebook»ITPros-Azure Direct-Sponsored Post_Trial-Video Ad-Free Account IT Pro - Migration»1x1»30s»SOC»ALL»CPC»LAL»D»UNK»SS»NA»Trials</v></cell><cell r="D5505" t="str"><v>43321226359995</v></cell><cell r="E5505" t="str"><v>43321104458003Trials</v></cell><cell r="F5505" t="str"><v>DCM</v></cell><cell r="G5505" t="str"><v>https://signup.azure.com/signup?offer=ms-azr-0044p&appId=102&ref=paidmedia-social-fb&redirectURL=https%3a%2f%2fazure.microsoft.com%2ffr-fr%2fget-started%2fwelcome-to-azure%2f&l=fr-fr&correlationId=ead86c34-1f10-49dd-a72b-6918462a2cbf</v></cell></row><row r="5505"><cell r="K5505" t="str"><v>August</v></cell><cell r="L5505"><v>43323</v></cell><cell r="M5505" t="str"><v>Tier 1</v></cell><cell r="N5505" t="str"><v>EMEA</v></cell><cell r="O5505" t="str"><v>France</v></cell><cell r="P5505" t="str"><v>Trial</v></cell><cell r="Q5505" t="str"><v>Social</v></cell><cell r="R5505" t="str"><v>Azure</v></cell><cell r="S5505" t="str"><v>Apps & Infra</v></cell><cell r="T5505" t="str"><v>Developers & ITI's</v></cell><cell r="U5505" t="str"><v>ITPros-Azure Direct-Sponsored Post_Trial-Video Ad-Free Account IT Pro - Migration</v></cell><cell r="V5505" t="str"><v>Lookalike Targeting</v></cell><cell r="W5505" t="str"><v>Social</v></cell><cell r="X5505" t="str"><v>1x1</v></cell></row><row r="5505"><cell r="AA5505"><v>43321</v></cell><cell r="AB5505" t="str"><v>FRA_gaPMG_AZR_AZR_Q1_19_AzureDirect-Trial-Social</v></cell><cell r="AC5505"><v>21356941</v></cell><cell r="AD5505"><v>720193</v></cell><cell r="AE5505" t="str"><v>Facebook</v></cell><cell r="AF5505"><v>3654128</v></cell><cell r="AG5505" t="str"><v>Facebook»ITPros-Azure Direct-Sponsored Post_Trial-Video Ad-Free Account IT Pro - Migration»1x1»30s»SOC»ALL»CPC»LAL»D»UNK»SS»NA»Trials</v></cell><cell r="AH5505"><v>226359995</v></cell><cell r="AI5505" t="str"><v>AZR_FreeAcctITProFB-AnimatedMigration-Ch3_FRA_1200x1200_VIA_AZRDirect_French_NA_Facebook_STAN_LEA_T3_1</v></cell><cell r="AJ5505"><v>104458003</v></cell></row><row r="5506"><cell r="C5506" t="str"><v>43321Facebook»ITPros-Azure Direct-Sponsored Post_Trial-Video Ad-Free Account IT Pro - Secure»1x1»30s»SOC»ALL»CPC»LAL»D»UNK»SS»NA»Trials</v></cell><cell r="D5506" t="str"><v>43321226360007</v></cell><cell r="E5506" t="str"><v>43321104455906Trials</v></cell><cell r="F5506" t="str"><v>DCM</v></cell><cell r="G5506" t="str"><v>https://signup.azure.com/signup?offer=ms-azr-0044p&appId=102&ref=paidmedia-social-fb&redirectURL=https%3a%2f%2fazure.microsoft.com%2ffr-fr%2fget-started%2fwelcome-to-azure%2f&l=fr-fr&correlationId=ead86c34-1f10-49dd-a72b-6918462a2cbf</v></cell></row><row r="5506"><cell r="K5506" t="str"><v>August</v></cell><cell r="L5506"><v>43323</v></cell><cell r="M5506" t="str"><v>Tier 1</v></cell><cell r="N5506" t="str"><v>EMEA</v></cell><cell r="O5506" t="str"><v>France</v></cell><cell r="P5506" t="str"><v>Trial</v></cell><cell r="Q5506" t="str"><v>Social</v></cell><cell r="R5506" t="str"><v>Azure</v></cell><cell r="S5506" t="str"><v>Apps & Infra</v></cell><cell r="T5506" t="str"><v>Developers & ITI's</v></cell><cell r="U5506" t="str"><v>ITPros-Azure Direct-Sponsored Post_Trial-Video Ad-Free Account IT Pro - Secure</v></cell><cell r="V5506" t="str"><v>Lookalike Targeting</v></cell><cell r="W5506" t="str"><v>Social</v></cell><cell r="X5506" t="str"><v>1x1</v></cell></row><row r="5506"><cell r="AA5506"><v>43321</v></cell><cell r="AB5506" t="str"><v>FRA_gaPMG_AZR_AZR_Q1_19_AzureDirect-Trial-Social</v></cell><cell r="AC5506"><v>21356941</v></cell><cell r="AD5506"><v>720193</v></cell><cell r="AE5506" t="str"><v>Facebook</v></cell><cell r="AF5506"><v>3654128</v></cell><cell r="AG5506" t="str"><v>Facebook»ITPros-Azure Direct-Sponsored Post_Trial-Video Ad-Free Account IT Pro - Secure»1x1»30s»SOC»ALL»CPC»LAL»D»UNK»SS»NA»Trials</v></cell><cell r="AH5506"><v>226360007</v></cell><cell r="AI5506" t="str"><v>AZR_FreeAcctITProFB-AnimatedSecureMngd-Ch1_FRA_1200x1200_VIA_AZRDirect_French_NA_Facebook_STAN_LEA_T1_1</v></cell><cell r="AJ5506"><v>104455906</v></cell></row><row r="5507"><cell r="C5507" t="str"><v>43321Facebook»ITPros-Azure Direct-Sponsored Post_Trial-Video Ad-Free Account IT Pro - Secure»1x1»30s»SOC»ALL»CPC»RT»D»UNK»SS»NA»Trials</v></cell><cell r="D5507" t="str"><v>43321226496143</v></cell><cell r="E5507" t="str"><v>43321104455906Trials</v></cell><cell r="F5507" t="str"><v>DCM</v></cell><cell r="G5507" t="str"><v>https://signup.azure.com/signup?offer=ms-azr-0044p&appId=102&ref=paidmedia-social-fb&redirectURL=https%3a%2f%2fazure.microsoft.com%2ffr-fr%2fget-started%2fwelcome-to-azure%2f&l=fr-fr&correlationId=ead86c34-1f10-49dd-a72b-6918462a2cbf</v></cell></row><row r="5507"><cell r="K5507" t="str"><v>August</v></cell><cell r="L5507"><v>43323</v></cell><cell r="M5507" t="str"><v>Tier 1</v></cell><cell r="N5507" t="str"><v>EMEA</v></cell><cell r="O5507" t="str"><v>France</v></cell><cell r="P5507" t="str"><v>Trial</v></cell><cell r="Q5507" t="str"><v>Social</v></cell><cell r="R5507" t="str"><v>Azure</v></cell><cell r="S5507" t="str"><v>Apps & Infra</v></cell><cell r="T5507" t="str"><v>Developers & ITI's</v></cell><cell r="U5507" t="str"><v>ITPros-Azure Direct-Sponsored Post_Trial-Video Ad-Free Account IT Pro - Secure</v></cell><cell r="V5507" t="str"><v>Retargeting</v></cell><cell r="W5507" t="str"><v>Social</v></cell><cell r="X5507" t="str"><v>1x1</v></cell></row><row r="5507"><cell r="AA5507"><v>43321</v></cell><cell r="AB5507" t="str"><v>FRA_gaPMG_AZR_AZR_Q1_19_AzureDirect-Trial-Social</v></cell><cell r="AC5507"><v>21356941</v></cell><cell r="AD5507"><v>720193</v></cell><cell r="AE5507" t="str"><v>Facebook</v></cell><cell r="AF5507"><v>3654128</v></cell><cell r="AG5507" t="str"><v>Facebook»ITPros-Azure Direct-Sponsored Post_Trial-Video Ad-Free Account IT Pro - Secure»1x1»30s»SOC»ALL»CPC»RT»D»UNK»SS»NA»Trials</v></cell><cell r="AH5507"><v>226496143</v></cell><cell r="AI5507" t="str"><v>AZR_FreeAcctITProFB-AnimatedSecureMngd-Ch1_FRA_1200x1200_VIA_AZRDirect_French_NA_Facebook_STAN_LEA_T1_1</v></cell><cell r="AJ5507"><v>104455906</v></cell></row><row r="5508"><cell r="C5508" t="str"><v>43321Facebook»ITPros-Azure Direct-Sponsored Post_Trial_PayGo-Video Ad-Free Account IT Pro - Migration»1x1»30s»SOC»ALL»CPC»LAL»D»UNK»SS»NA»Trials</v></cell><cell r="D5508" t="str"><v>43321226359935</v></cell><cell r="E5508" t="str"><v>43321104458003Trials</v></cell><cell r="F5508" t="str"><v>DCM</v></cell><cell r="G5508" t="str"><v>https://signup.azure.com/signup?offer=ms-azr-0044p&appId=102&ref=paidmedia-social-fb&redirectURL=https%3a%2f%2fazure.microsoft.com%2ffr-fr%2fget-started%2fwelcome-to-azure%2f&l=fr-fr&correlationId=ead86c34-1f10-49dd-a72b-6918462a2cbf</v></cell></row><row r="5508"><cell r="K5508" t="str"><v>August</v></cell><cell r="L5508"><v>43323</v></cell><cell r="M5508" t="str"><v>Tier 1</v></cell><cell r="N5508" t="str"><v>EMEA</v></cell><cell r="O5508" t="str"><v>France</v></cell><cell r="P5508" t="str"><v>Trial</v></cell><cell r="Q5508" t="str"><v>Social</v></cell><cell r="R5508" t="str"><v>Azure</v></cell><cell r="S5508" t="str"><v>Apps & Infra</v></cell><cell r="T5508" t="str"><v>Developers & ITI's</v></cell><cell r="U5508" t="str"><v>ITPros-Azure Direct-Sponsored Post_Trial_PayGo-Video Ad-Free Account IT Pro - Migration</v></cell><cell r="V5508" t="str"><v>Lookalike Targeting</v></cell><cell r="W5508" t="str"><v>Social</v></cell><cell r="X5508" t="str"><v>1x1</v></cell></row><row r="5508"><cell r="AA5508"><v>43321</v></cell><cell r="AB5508" t="str"><v>FRA_gaPMG_AZR_AZR_Q1_19_AzureDirect-Trial-Social</v></cell><cell r="AC5508"><v>21356941</v></cell><cell r="AD5508"><v>720193</v></cell><cell r="AE5508" t="str"><v>Facebook</v></cell><cell r="AF5508"><v>3654128</v></cell><cell r="AG5508" t="str"><v>Facebook»ITPros-Azure Direct-Sponsored Post_Trial_PayGo-Video Ad-Free Account IT Pro - Migration»1x1»30s»SOC»ALL»CPC»LAL»D»UNK»SS»NA»Trials</v></cell><cell r="AH5508"><v>226359935</v></cell><cell r="AI5508" t="str"><v>AZR_FreeAcctITProFB-AnimatedMigration-Ch3_FRA_1200x1200_VIA_AZRDirect_French_NA_Facebook_STAN_LEA_T3_1</v></cell><cell r="AJ5508"><v>104458003</v></cell></row><row r="5509"><cell r="C5509" t="str"><v>43321Facebook»ITPros-Azure Direct-Sponsored Post_Trial_PayGo-Video Ad-Free Account IT Pro - Secure»1x1»30s»SOC»ALL»CPC»LAL»D»UNK»SS»NA»Trials</v></cell><cell r="D5509" t="str"><v>43321226359941</v></cell><cell r="E5509" t="str"><v>43321104455906Trials</v></cell><cell r="F5509" t="str"><v>DCM</v></cell><cell r="G5509" t="str"><v>https://signup.azure.com/signup?offer=ms-azr-0044p&appId=102&ref=paidmedia-social-fb&redirectURL=https%3a%2f%2fazure.microsoft.com%2ffr-fr%2fget-started%2fwelcome-to-azure%2f&l=fr-fr&correlationId=ead86c34-1f10-49dd-a72b-6918462a2cbf</v></cell></row><row r="5509"><cell r="K5509" t="str"><v>August</v></cell><cell r="L5509"><v>43323</v></cell><cell r="M5509" t="str"><v>Tier 1</v></cell><cell r="N5509" t="str"><v>EMEA</v></cell><cell r="O5509" t="str"><v>France</v></cell><cell r="P5509" t="str"><v>Trial</v></cell><cell r="Q5509" t="str"><v>Social</v></cell><cell r="R5509" t="str"><v>Azure</v></cell><cell r="S5509" t="str"><v>Apps & Infra</v></cell><cell r="T5509" t="str"><v>Developers & ITI's</v></cell><cell r="U5509" t="str"><v>ITPros-Azure Direct-Sponsored Post_Trial_PayGo-Video Ad-Free Account IT Pro - Secure</v></cell><cell r="V5509" t="str"><v>Lookalike Targeting</v></cell><cell r="W5509" t="str"><v>Social</v></cell><cell r="X5509" t="str"><v>1x1</v></cell></row><row r="5509"><cell r="AA5509"><v>43321</v></cell><cell r="AB5509" t="str"><v>FRA_gaPMG_AZR_AZR_Q1_19_AzureDirect-Trial-Social</v></cell><cell r="AC5509"><v>21356941</v></cell><cell r="AD5509"><v>720193</v></cell><cell r="AE5509" t="str"><v>Facebook</v></cell><cell r="AF5509"><v>3654128</v></cell><cell r="AG5509" t="str"><v>Facebook»ITPros-Azure Direct-Sponsored Post_Trial_PayGo-Video Ad-Free Account IT Pro - Secure»1x1»30s»SOC»ALL»CPC»LAL»D»UNK»SS»NA»Trials</v></cell><cell r="AH5509"><v>226359941</v></cell><cell r="AI5509" t="str"><v>AZR_FreeAcctITProFB-AnimatedSecureMngd-Ch1_FRA_1200x1200_VIA_AZRDirect_French_NA_Facebook_STAN_LEA_T1_1</v></cell><cell r="AJ5509"><v>104455906</v></cell></row><row r="5510"><cell r="C5510" t="str"><v>43321Facebook»Audience & Interest Targeting»1x1»SocialBan»LIA»DT»CPC»AUT»W»NA»SS»NA»Basic Motion</v></cell><cell r="D5510" t="str"><v>43321224399962</v></cell><cell r="E5510" t="str"><v>43321103235146Motion</v></cell><cell r="F5510" t="str"><v>DCM</v></cell><cell r="G5510" t="str"><v>https://signup.azure.com/signup?offer=ms-azr-0044p&appId=102&ref=paidmedia-social-fb&redirectURL=https%3a%2f%2fazure.microsoft.com%2fen-gb%2fget-started%2fwelcome-to-azure%2f&l=en-gb&correlationId=ead86c34-1f10-49dd-a72b-6918462a2cbf</v></cell></row><row r="5510"><cell r="K5510" t="str"><v>August</v></cell><cell r="L5510"><v>43323</v></cell><cell r="M5510" t="str"><v>Tier 1</v></cell><cell r="N5510" t="str"><v>EMEA</v></cell><cell r="O5510" t="str"><v>United Kingdom</v></cell><cell r="P5510" t="str"><v>Trial</v></cell><cell r="Q5510" t="str"><v>Social</v></cell><cell r="R5510" t="str"><v>Azure</v></cell><cell r="S5510" t="str"><v>Apps & Infra</v></cell><cell r="T5510" t="str"><v>Developers & ITI's</v></cell><cell r="U5510" t="str"><v>Audience & Interest Targeting</v></cell><cell r="V5510" t="str"><v>Audience Targeting</v></cell><cell r="W5510" t="str"><v>Link Ad</v></cell><cell r="X5510" t="str"><v>1x1</v></cell></row><row r="5510"><cell r="AA5510"><v>43321</v></cell><cell r="AB5510" t="str"><v>GBR_gaPMG_CE_AZR_Q1_19_Trial-Social</v></cell><cell r="AC5510"><v>21337013</v></cell><cell r="AD5510"><v>720196</v></cell><cell r="AE5510" t="str"><v>Facebook</v></cell><cell r="AF5510"><v>3654128</v></cell><cell r="AG5510" t="str"><v>Facebook»Audience & Interest Targeting»1x1»SocialBan»LIA»DT»CPC»AUT»W»NA»SS»NA»Basic Motion</v></cell><cell r="AH5510"><v>224399962</v></cell><cell r="AI5510" t="str"><v>AzurePlatform_FBCTCcanvaspage-StartFreeCTA-Img2_GBR_1080x143 _SOC_Plat_English_NA_Standard_NA_NA_T2_1</v></cell><cell r="AJ5510"><v>103235146</v></cell></row><row r="5511"><cell r="C5511" t="str"><v>43321Facebook»Audience & Interest Targeting»1x1»SocialBan»LIA»DT»CPC»AUT»W»NA»SS»NA»Benefit 2 in Motion</v></cell><cell r="D5511" t="str"><v>43321224334170</v></cell><cell r="E5511" t="str"><v>43321103230847Motion</v></cell><cell r="F5511" t="str"><v>DCM</v></cell><cell r="G5511" t="str"><v>https://azure.microsoft.com/en-gb/pricing/purchase-options/</v></cell></row><row r="5511"><cell r="K5511" t="str"><v>August</v></cell><cell r="L5511"><v>43323</v></cell><cell r="M5511" t="str"><v>Tier 1</v></cell><cell r="N5511" t="str"><v>EMEA</v></cell><cell r="O5511" t="str"><v>United Kingdom</v></cell><cell r="P5511" t="str"><v>Trial</v></cell><cell r="Q5511" t="str"><v>Social</v></cell><cell r="R5511" t="str"><v>Azure</v></cell><cell r="S5511" t="str"><v>Apps & Infra</v></cell><cell r="T5511" t="str"><v>Developers & ITI's</v></cell><cell r="U5511" t="str"><v>Audience & Interest Targeting</v></cell><cell r="V5511" t="str"><v>Audience Targeting</v></cell><cell r="W5511" t="str"><v>Link Ad</v></cell><cell r="X5511" t="str"><v>1x1</v></cell></row><row r="5511"><cell r="AA5511"><v>43321</v></cell><cell r="AB5511" t="str"><v>GBR_gaPMG_CE_AZR_Q1_19_Trial-Social</v></cell><cell r="AC5511"><v>21337013</v></cell><cell r="AD5511"><v>720196</v></cell><cell r="AE5511" t="str"><v>Facebook</v></cell><cell r="AF5511"><v>3654128</v></cell><cell r="AG5511" t="str"><v>Facebook»Audience & Interest Targeting»1x1»SocialBan»LIA»DT»CPC»AUT»W»NA»SS»NA»Benefit 2 in Motion</v></cell><cell r="AH5511"><v>224334170</v></cell><cell r="AI5511" t="str"><v>AzurePlatform_FBCTCcanvaspage-BuyNowCTA-Img3_GBR_1080x162_SOC_Plat_English_NA_Standard_NA_BN_T3_1</v></cell><cell r="AJ5511"><v>103230847</v></cell></row><row r="5512"><cell r="C5512" t="str"><v>43321Facebook»Audience & Interest Targeting»1x1»SocialBan»LIA»DT»CPC»AUT»W»NA»SS»NA»Benefit 2 in Motion</v></cell><cell r="D5512" t="str"><v>43321224334170</v></cell><cell r="E5512" t="str"><v>43321103235146Motion</v></cell><cell r="F5512" t="str"><v>DCM</v></cell><cell r="G5512" t="str"><v>https://signup.azure.com/signup?offer=ms-azr-0044p&appId=102&ref=paidmedia-social-fb&redirectURL=https%3a%2f%2fazure.microsoft.com%2fen-gb%2fget-started%2fwelcome-to-azure%2f&l=en-gb&correlationId=ead86c34-1f10-49dd-a72b-6918462a2cbf</v></cell></row><row r="5512"><cell r="K5512" t="str"><v>August</v></cell><cell r="L5512"><v>43323</v></cell><cell r="M5512" t="str"><v>Tier 1</v></cell><cell r="N5512" t="str"><v>EMEA</v></cell><cell r="O5512" t="str"><v>United Kingdom</v></cell><cell r="P5512" t="str"><v>Trial</v></cell><cell r="Q5512" t="str"><v>Social</v></cell><cell r="R5512" t="str"><v>Azure</v></cell><cell r="S5512" t="str"><v>Apps & Infra</v></cell><cell r="T5512" t="str"><v>Developers & ITI's</v></cell><cell r="U5512" t="str"><v>Audience & Interest Targeting</v></cell><cell r="V5512" t="str"><v>Audience Targeting</v></cell><cell r="W5512" t="str"><v>Link Ad</v></cell><cell r="X5512" t="str"><v>1x1</v></cell></row><row r="5512"><cell r="AA5512"><v>43321</v></cell><cell r="AB5512" t="str"><v>GBR_gaPMG_CE_AZR_Q1_19_Trial-Social</v></cell><cell r="AC5512"><v>21337013</v></cell><cell r="AD5512"><v>720196</v></cell><cell r="AE5512" t="str"><v>Facebook</v></cell><cell r="AF5512"><v>3654128</v></cell><cell r="AG5512" t="str"><v>Facebook»Audience & Interest Targeting»1x1»SocialBan»LIA»DT»CPC»AUT»W»NA»SS»NA»Benefit 2 in Motion</v></cell><cell r="AH5512"><v>224334170</v></cell><cell r="AI5512" t="str"><v>AzurePlatform_FBCTCcanvaspage-StartFreeCTA-Img2_GBR_1080x143 _SOC_Plat_English_NA_Standard_NA_NA_T2_1</v></cell><cell r="AJ5512"><v>103235146</v></cell></row><row r="5513"><cell r="C5513" t="str"><v>43321Facebook»Audience & Interest Targeting»1x1»SocialBan»LIA»DT»CPC»AUT»W»NA»SS»NA»Brand in Motion</v></cell><cell r="D5513" t="str"><v>43321224549481</v></cell><cell r="E5513" t="str"><v>43321103235146Motion</v></cell><cell r="F5513" t="str"><v>DCM</v></cell><cell r="G5513" t="str"><v>https://signup.azure.com/signup?offer=ms-azr-0044p&appId=102&ref=paidmedia-social-fb&redirectURL=https%3a%2f%2fazure.microsoft.com%2fen-gb%2fget-started%2fwelcome-to-azure%2f&l=en-gb&correlationId=ead86c34-1f10-49dd-a72b-6918462a2cbf</v></cell></row><row r="5513"><cell r="K5513" t="str"><v>August</v></cell><cell r="L5513"><v>43323</v></cell><cell r="M5513" t="str"><v>Tier 1</v></cell><cell r="N5513" t="str"><v>EMEA</v></cell><cell r="O5513" t="str"><v>United Kingdom</v></cell><cell r="P5513" t="str"><v>Trial</v></cell><cell r="Q5513" t="str"><v>Social</v></cell><cell r="R5513" t="str"><v>Azure</v></cell><cell r="S5513" t="str"><v>Apps & Infra</v></cell><cell r="T5513" t="str"><v>Developers & ITI's</v></cell><cell r="U5513" t="str"><v>Audience & Interest Targeting</v></cell><cell r="V5513" t="str"><v>Audience Targeting</v></cell><cell r="W5513" t="str"><v>Link Ad</v></cell><cell r="X5513" t="str"><v>1x1</v></cell></row><row r="5513"><cell r="AA5513"><v>43321</v></cell><cell r="AB5513" t="str"><v>GBR_gaPMG_CE_AZR_Q1_19_Trial-Social</v></cell><cell r="AC5513"><v>21337013</v></cell><cell r="AD5513"><v>720196</v></cell><cell r="AE5513" t="str"><v>Facebook</v></cell><cell r="AF5513"><v>3654128</v></cell><cell r="AG5513" t="str"><v>Facebook»Audience & Interest Targeting»1x1»SocialBan»LIA»DT»CPC»AUT»W»NA»SS»NA»Brand in Motion</v></cell><cell r="AH5513"><v>224549481</v></cell><cell r="AI5513" t="str"><v>AzurePlatform_FBCTCcanvaspage-StartFreeCTA-Img2_GBR_1080x143 _SOC_Plat_English_NA_Standard_NA_NA_T2_1</v></cell><cell r="AJ5513"><v>103235146</v></cell></row><row r="5514"><cell r="C5514" t="str"><v>43321Facebook»Audience & Interest Targeting»1x1»SocialBan»LIA»DT»DYN»AUT»W»NA»SS»NA»Free Account Refresh- 12 months ChE</v></cell><cell r="D5514" t="str"><v>43321223567691</v></cell><cell r="E5514" t="str"><v>43321102854007hs ChE</v></cell><cell r="F5514" t="str"><v>DCM</v></cell><cell r="G5514" t="str"><v>https://azure.microsoft.com/en-gb/free/search/</v></cell></row><row r="5514"><cell r="K5514" t="str"><v>August</v></cell><cell r="L5514"><v>43323</v></cell><cell r="M5514" t="str"><v>Tier 1</v></cell><cell r="N5514" t="str"><v>EMEA</v></cell><cell r="O5514" t="str"><v>United Kingdom</v></cell><cell r="P5514" t="str"><v>Trial</v></cell><cell r="Q5514" t="str"><v>Social</v></cell><cell r="R5514" t="str"><v>Azure</v></cell><cell r="S5514" t="str"><v>Apps & Infra</v></cell><cell r="T5514" t="str"><v>Developers & ITI's</v></cell><cell r="U5514" t="str"><v>Audience & Interest Targeting</v></cell><cell r="V5514" t="str"><v>Audience Targeting</v></cell><cell r="W5514" t="str"><v>Link Ad</v></cell><cell r="X5514" t="str"><v>1x1</v></cell></row><row r="5514"><cell r="AA5514"><v>43321</v></cell><cell r="AB5514" t="str"><v>GBR_gaPMG_CE_AZR_Q1_19_Trial-Social</v></cell><cell r="AC5514"><v>21337013</v></cell><cell r="AD5514"><v>720196</v></cell><cell r="AE5514" t="str"><v>Facebook</v></cell><cell r="AF5514"><v>3654128</v></cell><cell r="AG5514" t="str"><v>Facebook»Audience & Interest Targeting»1x1»SocialBan»LIA»DT»DYN»AUT»W»NA»SS»NA»Free Account Refresh- 12 months ChE</v></cell><cell r="AH5514"><v>223567691</v></cell><cell r="AI5514" t="str"><v>AzurePlatform_FreeAcctAppsFACEBOOK12monthsChE_GBR_1200x628_SOC_PLAT_EN_Trial_Standard_NA_SU_T5_1</v></cell><cell r="AJ5514"><v>102854007</v></cell></row><row r="5515"><cell r="C5515" t="str"><v>43321Facebook»Audience & Interest Targeting»1x1»SocialBan»LIA»DT»DYN»AUT»W»NA»SS»NA»Free Account Refresh- 200 Credit ChD</v></cell><cell r="D5515" t="str"><v>43321223560359</v></cell><cell r="E5515" t="str"><v>43321103005662it ChD</v></cell><cell r="F5515" t="str"><v>DCM</v></cell><cell r="G5515" t="str"><v>https://azure.microsoft.com/en-gb/free/search/</v></cell></row><row r="5515"><cell r="K5515" t="str"><v>August</v></cell><cell r="L5515"><v>43323</v></cell><cell r="M5515" t="str"><v>Tier 1</v></cell><cell r="N5515" t="str"><v>EMEA</v></cell><cell r="O5515" t="str"><v>United Kingdom</v></cell><cell r="P5515" t="str"><v>Trial</v></cell><cell r="Q5515" t="str"><v>Social</v></cell><cell r="R5515" t="str"><v>Azure</v></cell><cell r="S5515" t="str"><v>Apps & Infra</v></cell><cell r="T5515" t="str"><v>Developers & ITI's</v></cell><cell r="U5515" t="str"><v>Audience & Interest Targeting</v></cell><cell r="V5515" t="str"><v>Audience Targeting</v></cell><cell r="W5515" t="str"><v>Link Ad</v></cell><cell r="X5515" t="str"><v>1x1</v></cell></row><row r="5515"><cell r="AA5515"><v>43321</v></cell><cell r="AB5515" t="str"><v>GBR_gaPMG_CE_AZR_Q1_19_Trial-Social</v></cell><cell r="AC5515"><v>21337013</v></cell><cell r="AD5515"><v>720196</v></cell><cell r="AE5515" t="str"><v>Facebook</v></cell><cell r="AF5515"><v>3654128</v></cell><cell r="AG5515" t="str"><v>Facebook»Audience & Interest Targeting»1x1»SocialBan»LIA»DT»DYN»AUT»W»NA»SS»NA»Free Account Refresh- 200 Credit ChD</v></cell><cell r="AH5515"><v>223560359</v></cell><cell r="AI5515" t="str"><v>AzurePlatform_FreeAcctAppsFACEBOOK200CreditChD_GBR_1200x628_SOC_PLAT_EN_Trial_Standard_NA_SU_T4_1</v></cell><cell r="AJ5515"><v>103005662</v></cell></row><row r="5516"><cell r="C5516" t="str"><v>43321Facebook»Audience & Interest Targeting»1x1»SocialBan»LIA»DT»DYN»AUT»W»NA»SS»NA»Free Account Refresh- Device ChB</v></cell><cell r="D5516" t="str"><v>43321223560353</v></cell><cell r="E5516" t="str"><v>43321102854010ce ChB</v></cell><cell r="F5516" t="str"><v>DCM</v></cell><cell r="G5516" t="str"><v>https://azure.microsoft.com/en-gb/free/search/</v></cell></row><row r="5516"><cell r="K5516" t="str"><v>August</v></cell><cell r="L5516"><v>43323</v></cell><cell r="M5516" t="str"><v>Tier 1</v></cell><cell r="N5516" t="str"><v>EMEA</v></cell><cell r="O5516" t="str"><v>United Kingdom</v></cell><cell r="P5516" t="str"><v>Trial</v></cell><cell r="Q5516" t="str"><v>Social</v></cell><cell r="R5516" t="str"><v>Azure</v></cell><cell r="S5516" t="str"><v>Apps & Infra</v></cell><cell r="T5516" t="str"><v>Developers & ITI's</v></cell><cell r="U5516" t="str"><v>Audience & Interest Targeting</v></cell><cell r="V5516" t="str"><v>Audience Targeting</v></cell><cell r="W5516" t="str"><v>Link Ad</v></cell><cell r="X5516" t="str"><v>1x1</v></cell></row><row r="5516"><cell r="AA5516"><v>43321</v></cell><cell r="AB5516" t="str"><v>GBR_gaPMG_CE_AZR_Q1_19_Trial-Social</v></cell><cell r="AC5516"><v>21337013</v></cell><cell r="AD5516"><v>720196</v></cell><cell r="AE5516" t="str"><v>Facebook</v></cell><cell r="AF5516"><v>3654128</v></cell><cell r="AG5516" t="str"><v>Facebook»Audience & Interest Targeting»1x1»SocialBan»LIA»DT»DYN»AUT»W»NA»SS»NA»Free Account Refresh- Device ChB</v></cell><cell r="AH5516"><v>223560353</v></cell><cell r="AI5516" t="str"><v>AzurePlatform_FreeAcctAppsFACEBOOKDeviceChB_GBR_1200x628_SOC_PLAT_EN_Trial_Standard_NA_SU_T2_1</v></cell><cell r="AJ5516"><v>102854010</v></cell></row><row r="5517"><cell r="C5517" t="str"><v>43321Facebook»Audience & Interest Targeting»1x1»SocialBan»LIA»DT»DYN»AUT»W»NA»SS»NA»Free Account Refresh- Illustration ChC</v></cell><cell r="D5517" t="str"><v>43321223560347</v></cell><cell r="E5517" t="str"><v>43321102857037on ChC</v></cell><cell r="F5517" t="str"><v>DCM</v></cell><cell r="G5517" t="str"><v>https://azure.microsoft.com/en-gb/free/search/</v></cell></row><row r="5517"><cell r="K5517" t="str"><v>August</v></cell><cell r="L5517"><v>43323</v></cell><cell r="M5517" t="str"><v>Tier 1</v></cell><cell r="N5517" t="str"><v>EMEA</v></cell><cell r="O5517" t="str"><v>United Kingdom</v></cell><cell r="P5517" t="str"><v>Trial</v></cell><cell r="Q5517" t="str"><v>Social</v></cell><cell r="R5517" t="str"><v>Azure</v></cell><cell r="S5517" t="str"><v>Apps & Infra</v></cell><cell r="T5517" t="str"><v>Developers & ITI's</v></cell><cell r="U5517" t="str"><v>Audience & Interest Targeting</v></cell><cell r="V5517" t="str"><v>Audience Targeting</v></cell><cell r="W5517" t="str"><v>Link Ad</v></cell><cell r="X5517" t="str"><v>1x1</v></cell></row><row r="5517"><cell r="AA5517"><v>43321</v></cell><cell r="AB5517" t="str"><v>GBR_gaPMG_CE_AZR_Q1_19_Trial-Social</v></cell><cell r="AC5517"><v>21337013</v></cell><cell r="AD5517"><v>720196</v></cell><cell r="AE5517" t="str"><v>Facebook</v></cell><cell r="AF5517"><v>3654128</v></cell><cell r="AG5517" t="str"><v>Facebook»Audience & Interest Targeting»1x1»SocialBan»LIA»DT»DYN»AUT»W»NA»SS»NA»Free Account Refresh- Illustration ChC</v></cell><cell r="AH5517"><v>223560347</v></cell><cell r="AI5517" t="str"><v>AzurePlatform_FreeAcctAppsFACEBOOKIllustrationChC_GBR_1200x628_SOC_PLAT_EN_Trial_Standard_NA_SU_T3_1</v></cell><cell r="AJ5517"><v>102857037</v></cell></row><row r="5518"><cell r="C5518" t="str"><v>43321Facebook»Audience & Interest Targeting»1x1»SocialBan»LIA»DT»DYN»AUT»W»NA»SS»NA»Free Account Refresh- Lifestyle ChA</v></cell><cell r="D5518" t="str"><v>43321223560341</v></cell><cell r="E5518" t="str"><v>43321102853597le ChA</v></cell><cell r="F5518" t="str"><v>DCM</v></cell><cell r="G5518" t="str"><v>https://azure.microsoft.com/en-gb/free/search/</v></cell></row><row r="5518"><cell r="K5518" t="str"><v>August</v></cell><cell r="L5518"><v>43323</v></cell><cell r="M5518" t="str"><v>Tier 1</v></cell><cell r="N5518" t="str"><v>EMEA</v></cell><cell r="O5518" t="str"><v>United Kingdom</v></cell><cell r="P5518" t="str"><v>Trial</v></cell><cell r="Q5518" t="str"><v>Social</v></cell><cell r="R5518" t="str"><v>Azure</v></cell><cell r="S5518" t="str"><v>Apps & Infra</v></cell><cell r="T5518" t="str"><v>Developers & ITI's</v></cell><cell r="U5518" t="str"><v>Audience & Interest Targeting</v></cell><cell r="V5518" t="str"><v>Audience Targeting</v></cell><cell r="W5518" t="str"><v>Link Ad</v></cell><cell r="X5518" t="str"><v>1x1</v></cell></row><row r="5518"><cell r="AA5518"><v>43321</v></cell><cell r="AB5518" t="str"><v>GBR_gaPMG_CE_AZR_Q1_19_Trial-Social</v></cell><cell r="AC5518"><v>21337013</v></cell><cell r="AD5518"><v>720196</v></cell><cell r="AE5518" t="str"><v>Facebook</v></cell><cell r="AF5518"><v>3654128</v></cell><cell r="AG5518" t="str"><v>Facebook»Audience & Interest Targeting»1x1»SocialBan»LIA»DT»DYN»AUT»W»NA»SS»NA»Free Account Refresh- Lifestyle ChA</v></cell><cell r="AH5518"><v>223560341</v></cell><cell r="AI5518" t="str"><v>AzurePlatform_FreeAcctAppsFACEBOOKLifestyleChA_GBR_1200x628_SOC_PLAT_EN_Trial_Standard_NA_SU_T1_1</v></cell><cell r="AJ5518"><v>102853597</v></cell></row><row r="5519"><cell r="C5519" t="str"><v>43321Facebook»Retargeting»1x1»SocialBan»LIA»DT»DYN»RT»W»NA»SS»NA»Free Account Retargeting Generic- Animated ChC</v></cell><cell r="D5519" t="str"><v>43321223560299</v></cell><cell r="E5519" t="str"><v>43321102854019ed ChC</v></cell><cell r="F5519" t="str"><v>DCM</v></cell><cell r="G5519" t="str"><v>https://azure.microsoft.com/en-gb/free/search/</v></cell></row><row r="5519"><cell r="K5519" t="str"><v>August</v></cell><cell r="L5519"><v>43323</v></cell><cell r="M5519" t="str"><v>Tier 1</v></cell><cell r="N5519" t="str"><v>EMEA</v></cell><cell r="O5519" t="str"><v>United Kingdom</v></cell><cell r="P5519" t="str"><v>Trial</v></cell><cell r="Q5519" t="str"><v>Social</v></cell><cell r="R5519" t="str"><v>Azure</v></cell><cell r="S5519" t="str"><v>Apps & Infra</v></cell><cell r="T5519" t="str"><v>Developers & ITI's</v></cell><cell r="U5519" t="str"><v>Retargeting</v></cell><cell r="V5519" t="str"><v>Retargeting</v></cell><cell r="W5519" t="str"><v>Link Ad</v></cell><cell r="X5519" t="str"><v>1x1</v></cell></row><row r="5519"><cell r="AA5519"><v>43321</v></cell><cell r="AB5519" t="str"><v>GBR_gaPMG_CE_AZR_Q1_19_Trial-Social</v></cell><cell r="AC5519"><v>21337013</v></cell><cell r="AD5519"><v>720196</v></cell><cell r="AE5519" t="str"><v>Facebook</v></cell><cell r="AF5519"><v>3654128</v></cell><cell r="AG5519" t="str"><v>Facebook»Retargeting»1x1»SocialBan»LIA»DT»DYN»RT»W»NA»SS»NA»Free Account Retargeting Generic- Animated ChC</v></cell><cell r="AH5519"><v>223560299</v></cell><cell r="AI5519" t="str"><v>AzurePlatform_FreeAcctRetargetingFB-Animated-ChC_GBR_1200x628_SOC_Plat_EN_Free Account_Standard_ANI_SU_T3_1</v></cell><cell r="AJ5519"><v>102854019</v></cell></row><row r="5520"><cell r="C5520" t="str"><v>43321Facebook»Retargeting»1x1»SocialBan»LIA»DT»DYN»RT»W»NA»SS»NA»Free Account Retargeting Generic- Global Alt ChB</v></cell><cell r="D5520" t="str"><v>43321223560356</v></cell><cell r="E5520" t="str"><v>43321102854016lt ChB</v></cell><cell r="F5520" t="str"><v>DCM</v></cell><cell r="G5520" t="str"><v>https://azure.microsoft.com/en-gb/free/search/</v></cell></row><row r="5520"><cell r="K5520" t="str"><v>August</v></cell><cell r="L5520"><v>43323</v></cell><cell r="M5520" t="str"><v>Tier 1</v></cell><cell r="N5520" t="str"><v>EMEA</v></cell><cell r="O5520" t="str"><v>United Kingdom</v></cell><cell r="P5520" t="str"><v>Trial</v></cell><cell r="Q5520" t="str"><v>Social</v></cell><cell r="R5520" t="str"><v>Azure</v></cell><cell r="S5520" t="str"><v>Apps & Infra</v></cell><cell r="T5520" t="str"><v>Developers & ITI's</v></cell><cell r="U5520" t="str"><v>Retargeting</v></cell><cell r="V5520" t="str"><v>Retargeting</v></cell><cell r="W5520" t="str"><v>Link Ad</v></cell><cell r="X5520" t="str"><v>1x1</v></cell></row><row r="5520"><cell r="AA5520"><v>43321</v></cell><cell r="AB5520" t="str"><v>GBR_gaPMG_CE_AZR_Q1_19_Trial-Social</v></cell><cell r="AC5520"><v>21337013</v></cell><cell r="AD5520"><v>720196</v></cell><cell r="AE5520" t="str"><v>Facebook</v></cell><cell r="AF5520"><v>3654128</v></cell><cell r="AG5520" t="str"><v>Facebook»Retargeting»1x1»SocialBan»LIA»DT»DYN»RT»W»NA»SS»NA»Free Account Retargeting Generic- Global Alt ChB</v></cell><cell r="AH5520"><v>223560356</v></cell><cell r="AI5520" t="str"><v>AzurePlatform_FreeAcctRetargetingFB-GlobalAlt-ChB_GBR_1200x628_SOC_Plat_EN_Free Account_Standard_NA_SU_T2_1</v></cell><cell r="AJ5520"><v>102854016</v></cell></row><row r="5521"><cell r="C5521" t="str"><v>43321Facebook»Retargeting»1x1»SocialBan»LIA»DT»DYN»RT»W»NA»SS»NA»Free Account Retargeting OSS- Logos ChG</v></cell><cell r="D5521" t="str"><v>43321223560350</v></cell><cell r="E5521" t="str"><v>43321103006547os ChG</v></cell><cell r="F5521" t="str"><v>DCM</v></cell><cell r="G5521" t="str"><v>https://azure.microsoft.com/en-gb/free/open-source/search/</v></cell></row><row r="5521"><cell r="K5521" t="str"><v>August</v></cell><cell r="L5521"><v>43323</v></cell><cell r="M5521" t="str"><v>Tier 1</v></cell><cell r="N5521" t="str"><v>EMEA</v></cell><cell r="O5521" t="str"><v>United Kingdom</v></cell><cell r="P5521" t="str"><v>Trial</v></cell><cell r="Q5521" t="str"><v>Social</v></cell><cell r="R5521" t="str"><v>Azure</v></cell><cell r="S5521" t="str"><v>Apps & Infra</v></cell><cell r="T5521" t="str"><v>Developers & ITI's</v></cell><cell r="U5521" t="str"><v>Retargeting</v></cell><cell r="V5521" t="str"><v>Retargeting</v></cell><cell r="W5521" t="str"><v>Link Ad</v></cell><cell r="X5521" t="str"><v>1x1</v></cell></row><row r="5521"><cell r="AA5521"><v>43321</v></cell><cell r="AB5521" t="str"><v>GBR_gaPMG_CE_AZR_Q1_19_Trial-Social</v></cell><cell r="AC5521"><v>21337013</v></cell><cell r="AD5521"><v>720196</v></cell><cell r="AE5521" t="str"><v>Facebook</v></cell><cell r="AF5521"><v>3654128</v></cell><cell r="AG5521" t="str"><v>Facebook»Retargeting»1x1»SocialBan»LIA»DT»DYN»RT»W»NA»SS»NA»Free Account Retargeting OSS- Logos ChG</v></cell><cell r="AH5521"><v>223560350</v></cell><cell r="AI5521" t="str"><v>AzurePlatform_FreeAcctRetargetingOSSFB-Logos-ChG_GBR_1200x628_SOC_Plat_EN_Free Account_Standard_NA_SU_T2_1</v></cell><cell r="AJ5521"><v>103006547</v></cell></row><row r="5522"><cell r="C5522" t="str"><v>43321Facebook»Retargeting»1x1»SocialBan»LIA»DT»DYN»RT»W»NA»SS»NA»Free Account Retargeting OSS- Text ChF</v></cell><cell r="D5522" t="str"><v>43321223560344</v></cell><cell r="E5522" t="str"><v>43321102861246xt ChF</v></cell><cell r="F5522" t="str"><v>DCM</v></cell><cell r="G5522" t="str"><v>https://azure.microsoft.com/en-gb/free/open-source/search/</v></cell></row><row r="5522"><cell r="K5522" t="str"><v>August</v></cell><cell r="L5522"><v>43323</v></cell><cell r="M5522" t="str"><v>Tier 1</v></cell><cell r="N5522" t="str"><v>EMEA</v></cell><cell r="O5522" t="str"><v>United Kingdom</v></cell><cell r="P5522" t="str"><v>Trial</v></cell><cell r="Q5522" t="str"><v>Social</v></cell><cell r="R5522" t="str"><v>Azure</v></cell><cell r="S5522" t="str"><v>Apps & Infra</v></cell><cell r="T5522" t="str"><v>Developers & ITI's</v></cell><cell r="U5522" t="str"><v>Retargeting</v></cell><cell r="V5522" t="str"><v>Retargeting</v></cell><cell r="W5522" t="str"><v>Link Ad</v></cell><cell r="X5522" t="str"><v>1x1</v></cell></row><row r="5522"><cell r="AA5522"><v>43321</v></cell><cell r="AB5522" t="str"><v>GBR_gaPMG_CE_AZR_Q1_19_Trial-Social</v></cell><cell r="AC5522"><v>21337013</v></cell><cell r="AD5522"><v>720196</v></cell><cell r="AE5522" t="str"><v>Facebook</v></cell><cell r="AF5522"><v>3654128</v></cell><cell r="AG5522" t="str"><v>Facebook»Retargeting»1x1»SocialBan»LIA»DT»DYN»RT»W»NA»SS»NA»Free Account Retargeting OSS- Text ChF</v></cell><cell r="AH5522"><v>223560344</v></cell><cell r="AI5522" t="str"><v>AzurePlatform_FreeAcctRetargetingOSSFB-Text-ChF_GBR_1200x628_SOC_Plat_EN_Free Account_Standard_NA_SU_T1_1</v></cell><cell r="AJ5522"><v>102861246</v></cell></row><row r="5523"><cell r="C5523" t="str"><v>43321Facebook»Retargeting»1x1»SocialBan»LIA»DT»DYN»RT»W»NA»SS»NA»Free Account Retargeting VM- 750 Hrs ChD</v></cell><cell r="D5523" t="str"><v>43321223560338</v></cell><cell r="E5523" t="str"><v>43321102853603rs ChD</v></cell><cell r="F5523" t="str"><v>DCM</v></cell><cell r="G5523" t="str"><v>https://azure.microsoft.com/en-gb/free/virtual-machines/search/</v></cell></row><row r="5523"><cell r="K5523" t="str"><v>August</v></cell><cell r="L5523"><v>43323</v></cell><cell r="M5523" t="str"><v>Tier 1</v></cell><cell r="N5523" t="str"><v>EMEA</v></cell><cell r="O5523" t="str"><v>United Kingdom</v></cell><cell r="P5523" t="str"><v>Trial</v></cell><cell r="Q5523" t="str"><v>Social</v></cell><cell r="R5523" t="str"><v>Azure</v></cell><cell r="S5523" t="str"><v>Apps & Infra</v></cell><cell r="T5523" t="str"><v>Developers & ITI's</v></cell><cell r="U5523" t="str"><v>Retargeting</v></cell><cell r="V5523" t="str"><v>Retargeting</v></cell><cell r="W5523" t="str"><v>Link Ad</v></cell><cell r="X5523" t="str"><v>1x1</v></cell></row><row r="5523"><cell r="AA5523"><v>43321</v></cell><cell r="AB5523" t="str"><v>GBR_gaPMG_CE_AZR_Q1_19_Trial-Social</v></cell><cell r="AC5523"><v>21337013</v></cell><cell r="AD5523"><v>720196</v></cell><cell r="AE5523" t="str"><v>Facebook</v></cell><cell r="AF5523"><v>3654128</v></cell><cell r="AG5523" t="str"><v>Facebook»Retargeting»1x1»SocialBan»LIA»DT»DYN»RT»W»NA»SS»NA»Free Account Retargeting VM- 750 Hrs ChD</v></cell><cell r="AH5523"><v>223560338</v></cell><cell r="AI5523" t="str"><v>AzurePlatform_FreeAcctRetargetingVMFB-750Hrs-ChD_GBR_1200x628_SOC_Plat_EN_Free Account_Standard_NA_SU_T1_1</v></cell><cell r="AJ5523"><v>102853603</v></cell></row><row r="5524"><cell r="C5524" t="str"><v>43321Facebook»Retargeting»1x1»SocialBan»LIA»DT»DYN»RT»W»NA»SS»NA»Free Account Retargeting VM- On Demand ChE</v></cell><cell r="D5524" t="str"><v>43321223560332</v></cell><cell r="E5524" t="str"><v>43321102854037nd ChE</v></cell><cell r="F5524" t="str"><v>DCM</v></cell><cell r="G5524" t="str"><v>https://azure.microsoft.com/en-gb/free/virtual-machines/search/</v></cell></row><row r="5524"><cell r="K5524" t="str"><v>August</v></cell><cell r="L5524"><v>43323</v></cell><cell r="M5524" t="str"><v>Tier 1</v></cell><cell r="N5524" t="str"><v>EMEA</v></cell><cell r="O5524" t="str"><v>United Kingdom</v></cell><cell r="P5524" t="str"><v>Trial</v></cell><cell r="Q5524" t="str"><v>Social</v></cell><cell r="R5524" t="str"><v>Azure</v></cell><cell r="S5524" t="str"><v>Apps & Infra</v></cell><cell r="T5524" t="str"><v>Developers & ITI's</v></cell><cell r="U5524" t="str"><v>Retargeting</v></cell><cell r="V5524" t="str"><v>Retargeting</v></cell><cell r="W5524" t="str"><v>Link Ad</v></cell><cell r="X5524" t="str"><v>1x1</v></cell></row><row r="5524"><cell r="AA5524"><v>43321</v></cell><cell r="AB5524" t="str"><v>GBR_gaPMG_CE_AZR_Q1_19_Trial-Social</v></cell><cell r="AC5524"><v>21337013</v></cell><cell r="AD5524"><v>720196</v></cell><cell r="AE5524" t="str"><v>Facebook</v></cell><cell r="AF5524"><v>3654128</v></cell><cell r="AG5524" t="str"><v>Facebook»Retargeting»1x1»SocialBan»LIA»DT»DYN»RT»W»NA»SS»NA»Free Account Retargeting VM- On Demand ChE</v></cell><cell r="AH5524"><v>223560332</v></cell><cell r="AI5524" t="str"><v>AzurePlatform_FreeAcctRetargetingVMFB-OnDemand-ChE_GBR_1200x628_SOC_Plat_EN_Free Account_Standard_NA_SU_T2_1</v></cell><cell r="AJ5524"><v>102854037</v></cell></row><row r="5525"><cell r="C5525" t="str"><v>43321Facebook»AZP-Canvas-Interest&Role-Trial»1x1»Canvas»OTH»MO»CPM»PRO»X»UNK»TP»OT»Canvas-Trial</v></cell><cell r="D5525" t="str"><v>43321223298805</v></cell><cell r="E5525" t="str"><v>43321102609621-Trial</v></cell><cell r="F5525" t="str"><v>DCM</v></cell><cell r="G5525" t="str"><v>https://signup.azure.com/signup?offer=ms-azr-0044p&appId=102&ref=paidmedia-social-fb&redirectURL=https%3a%2f%2fazure.microsoft.com%2fja-jp%2fget-started%2fwelcome-to-azure%2f&l=ja-jp&correlationId=ead86c34-1f10-49dd-a72b-6918462a2cbf</v></cell></row><row r="5525"><cell r="K5525" t="str"><v>August</v></cell><cell r="L5525"><v>43323</v></cell><cell r="M5525" t="str"><v>Tier 1</v></cell><cell r="N5525" t="str"><v>APAC</v></cell><cell r="O5525" t="str"><v>Japan</v></cell><cell r="P5525" t="str"><v>Trial</v></cell><cell r="Q5525" t="str"><v>Social</v></cell><cell r="R5525" t="str"><v>Azure</v></cell><cell r="S5525" t="str"><v>Apps & Infra</v></cell><cell r="T5525" t="str"><v>Developers & ITI's</v></cell><cell r="U5525" t="str"><v>AZP-Canvas-Interest&Role-Trial</v></cell><cell r="V5525" t="str"><v>Prospecting</v></cell><cell r="W5525" t="str"><v>Other</v></cell><cell r="X5525" t="str"><v>1x1</v></cell></row><row r="5525"><cell r="AA5525"><v>43321</v></cell><cell r="AB5525" t="str"><v>JPN_gaPMG_AZR_AZR_Q1_19_Trial-Social</v></cell><cell r="AC5525"><v>21276694</v></cell><cell r="AD5525"><v>720195</v></cell><cell r="AE5525" t="str"><v>Facebook</v></cell><cell r="AF5525"><v>3654128</v></cell><cell r="AG5525" t="str"><v>Facebook»AZP-Canvas-Interest&Role-Trial»1x1»Canvas»OTH»MO»CPM»PRO»X»UNK»TP»OT»Canvas-Trial</v></cell><cell r="AH5525"><v>223298805</v></cell><cell r="AI5525" t="str"><v>AzurePlatform_FBCTCcanvaspage-StartFreeCTA-Img2_JPN_1080x143 _SOC_Plat_Japanese_NA_Standard_NA_NA_T2_1</v></cell><cell r="AJ5525"><v>102609621</v></cell></row><row r="5526"><cell r="C5526" t="str"><v>43321Facebook»AZP-Retargeting»1x1»Ban»LIA»ALL»CPM»RT»X»All»TP»OT»Free Account Retargeting Generic-ChB</v></cell><cell r="D5526" t="str"><v>43321223726377</v></cell><cell r="E5526" t="str"><v>43321102977720ic-ChB</v></cell><cell r="F5526" t="str"><v>DCM</v></cell><cell r="G5526" t="str"><v>https://azure.microsoft.com/ja-jp/free/search/</v></cell></row><row r="5526"><cell r="K5526" t="str"><v>August</v></cell><cell r="L5526"><v>43323</v></cell><cell r="M5526" t="str"><v>Tier 1</v></cell><cell r="N5526" t="str"><v>APAC</v></cell><cell r="O5526" t="str"><v>Japan</v></cell><cell r="P5526" t="str"><v>Trial</v></cell><cell r="Q5526" t="str"><v>Social</v></cell><cell r="R5526" t="str"><v>Azure</v></cell><cell r="S5526" t="str"><v>Apps & Infra</v></cell><cell r="T5526" t="str"><v>Developers & ITI's</v></cell><cell r="U5526" t="str"><v>AZP-Retargeting</v></cell><cell r="V5526" t="str"><v>Retargeting</v></cell><cell r="W5526" t="str"><v>Link Ad</v></cell><cell r="X5526" t="str"><v>1x1</v></cell></row><row r="5526"><cell r="AA5526"><v>43321</v></cell><cell r="AB5526" t="str"><v>JPN_gaPMG_AZR_AZR_Q1_19_Trial-Social</v></cell><cell r="AC5526"><v>21276694</v></cell><cell r="AD5526"><v>720195</v></cell><cell r="AE5526" t="str"><v>Facebook</v></cell><cell r="AF5526"><v>3654128</v></cell><cell r="AG5526" t="str"><v>Facebook»AZP-Retargeting»1x1»Ban»LIA»ALL»CPM»RT»X»All»TP»OT»Free Account Retargeting Generic-ChB</v></cell><cell r="AH5526"><v>223726377</v></cell><cell r="AI5526" t="str"><v>AzurePlatform_FreeAcctRetargetingFB-GlobalAlt-ChB_JPN_1200x628_SOC_Plat_JA_Free Account_Standard_NA_SU_T2_1</v></cell><cell r="AJ5526"><v>102977720</v></cell></row><row r="5527"><cell r="C5527" t="str"><v>43321Facebook»AZP-Retargeting»1x1»Ban»LIA»ALL»CPM»RT»X»All»TP»OT»Free Account Retargeting OSS-ChG</v></cell><cell r="D5527" t="str"><v>43321223726365</v></cell><cell r="E5527" t="str"><v>43321102976850SS-ChG</v></cell><cell r="F5527" t="str"><v>DCM</v></cell><cell r="G5527" t="str"><v>https://azure.microsoft.com/ja-jp/free/open-source/search/</v></cell></row><row r="5527"><cell r="K5527" t="str"><v>August</v></cell><cell r="L5527"><v>43323</v></cell><cell r="M5527" t="str"><v>Tier 1</v></cell><cell r="N5527" t="str"><v>APAC</v></cell><cell r="O5527" t="str"><v>Japan</v></cell><cell r="P5527" t="str"><v>Trial</v></cell><cell r="Q5527" t="str"><v>Social</v></cell><cell r="R5527" t="str"><v>Azure</v></cell><cell r="S5527" t="str"><v>Apps & Infra</v></cell><cell r="T5527" t="str"><v>Developers & ITI's</v></cell><cell r="U5527" t="str"><v>AZP-Retargeting</v></cell><cell r="V5527" t="str"><v>Retargeting</v></cell><cell r="W5527" t="str"><v>Link Ad</v></cell><cell r="X5527" t="str"><v>1x1</v></cell></row><row r="5527"><cell r="AA5527"><v>43321</v></cell><cell r="AB5527" t="str"><v>JPN_gaPMG_AZR_AZR_Q1_19_Trial-Social</v></cell><cell r="AC5527"><v>21276694</v></cell><cell r="AD5527"><v>720195</v></cell><cell r="AE5527" t="str"><v>Facebook</v></cell><cell r="AF5527"><v>3654128</v></cell><cell r="AG5527" t="str"><v>Facebook»AZP-Retargeting»1x1»Ban»LIA»ALL»CPM»RT»X»All»TP»OT»Free Account Retargeting OSS-ChG</v></cell><cell r="AH5527"><v>223726365</v></cell><cell r="AI5527" t="str"><v>AzurePlatform_FreeAcctRetargetingOSSFB-Logos-ChG_JPN_1200x628_SOC_Plat_JA_Free Account_Standard_NA_SU_T2_1</v></cell><cell r="AJ5527"><v>102976850</v></cell></row><row r="5528"><cell r="C5528" t="str"><v>43321Facebook»AZP-Retargeting»1x1»Ban»LIA»ALL»CPM»RT»X»All»TP»OT»Free Account Retargeting VM-ChD</v></cell><cell r="D5528" t="str"><v>43321223726374</v></cell><cell r="E5528" t="str"><v>43321102971306VM-ChD</v></cell><cell r="F5528" t="str"><v>DCM</v></cell><cell r="G5528" t="str"><v>https://azure.microsoft.com/ja-jp/free/virtual-machines/search/</v></cell></row><row r="5528"><cell r="K5528" t="str"><v>August</v></cell><cell r="L5528"><v>43323</v></cell><cell r="M5528" t="str"><v>Tier 1</v></cell><cell r="N5528" t="str"><v>APAC</v></cell><cell r="O5528" t="str"><v>Japan</v></cell><cell r="P5528" t="str"><v>Trial</v></cell><cell r="Q5528" t="str"><v>Social</v></cell><cell r="R5528" t="str"><v>Azure</v></cell><cell r="S5528" t="str"><v>Apps & Infra</v></cell><cell r="T5528" t="str"><v>Developers & ITI's</v></cell><cell r="U5528" t="str"><v>AZP-Retargeting</v></cell><cell r="V5528" t="str"><v>Retargeting</v></cell><cell r="W5528" t="str"><v>Link Ad</v></cell><cell r="X5528" t="str"><v>1x1</v></cell></row><row r="5528"><cell r="AA5528"><v>43321</v></cell><cell r="AB5528" t="str"><v>JPN_gaPMG_AZR_AZR_Q1_19_Trial-Social</v></cell><cell r="AC5528"><v>21276694</v></cell><cell r="AD5528"><v>720195</v></cell><cell r="AE5528" t="str"><v>Facebook</v></cell><cell r="AF5528"><v>3654128</v></cell><cell r="AG5528" t="str"><v>Facebook»AZP-Retargeting»1x1»Ban»LIA»ALL»CPM»RT»X»All»TP»OT»Free Account Retargeting VM-ChD</v></cell><cell r="AH5528"><v>223726374</v></cell><cell r="AI5528" t="str"><v>AzurePlatform_FreeAcctRetargetingVMFB-750Hrs-ChD_JPN_1200x628_SOC_Plat_JA_Free Account_Standard_NA_SU_T1_1</v></cell><cell r="AJ5528"><v>102971306</v></cell></row><row r="5529"><cell r="C5529" t="str"><v>43321Facebook»AZP-Retargeting»1x1»Newsfeed»LIA»ALL»CPM»RT»X»UNK»SS»NA»Developer-Generic</v></cell><cell r="D5529" t="str"><v>43321225671576</v></cell><cell r="E5529" t="str"><v>43321104060550eneric</v></cell><cell r="F5529" t="str"><v>DCM</v></cell><cell r="G5529" t="str"><v>https://azure.microsoft.com/ja-jp/free/</v></cell></row><row r="5529"><cell r="K5529" t="str"><v>August</v></cell><cell r="L5529"><v>43323</v></cell><cell r="M5529" t="str"><v>Tier 1</v></cell><cell r="N5529" t="str"><v>APAC</v></cell><cell r="O5529" t="str"><v>Japan</v></cell><cell r="P5529" t="str"><v>Trial</v></cell><cell r="Q5529" t="str"><v>Social</v></cell><cell r="R5529" t="str"><v>Azure</v></cell><cell r="S5529" t="str"><v>Apps & Infra</v></cell><cell r="T5529" t="str"><v>Developers & ITI's</v></cell><cell r="U5529" t="str"><v>AZP-Retargeting</v></cell><cell r="V5529" t="str"><v>Retargeting</v></cell><cell r="W5529" t="str"><v>Link Ad</v></cell><cell r="X5529" t="str"><v>1x1</v></cell></row><row r="5529"><cell r="AA5529"><v>43321</v></cell><cell r="AB5529" t="str"><v>JPN_gaPMG_AZR_AZR_Q1_19_Trial-Social</v></cell><cell r="AC5529"><v>21276694</v></cell><cell r="AD5529"><v>720195</v></cell><cell r="AE5529" t="str"><v>Facebook</v></cell><cell r="AF5529"><v>3654128</v></cell><cell r="AG5529" t="str"><v>Facebook»AZP-Retargeting»1x1»Newsfeed»LIA»ALL»CPM»RT»X»UNK»SS»NA»Developer-Generic</v></cell><cell r="AH5529"><v>225671576</v></cell><cell r="AI5529" t="str"><v>AZR_FreeAcctDeveloperFB-AnimatedGeneric-Ch1_JPN_1200x1200_SOC_Direct_JA_Trial_Standard_ANI_LEA_T1_1</v></cell><cell r="AJ5529"><v>104060550</v></cell></row><row r="5530"><cell r="C5530" t="str"><v>43321Facebook»AZP-Canvas-Retargeting-Trial»1x1»Canvas»SOC»MO»CPM»PRO»W»UNK»SS»OT»Canvas-Trial</v></cell><cell r="D5530" t="str"><v>43321226269941</v></cell><cell r="E5530" t="str"><v>43321104061321-Trial</v></cell><cell r="F5530" t="str"><v>DCM</v></cell><cell r="G5530" t="str"><v>https://signup.azure.com/signup?offer=ms-azr-0044p&appId=102&ref=paidmedia-social-fb&redirectURL=https%3a%2f%2fazure.microsoft.com%2fja-jp%2fget-started%2fwelcome-to-azure%2f&l=ja-jp&correlationId=ead86c34-1f10-49dd-a72b-6918462a2cbf</v></cell></row><row r="5530"><cell r="K5530" t="str"><v>August</v></cell><cell r="L5530"><v>43323</v></cell><cell r="M5530" t="str"><v>Tier 1</v></cell><cell r="N5530" t="str"><v>APAC</v></cell><cell r="O5530" t="str"><v>Japan</v></cell><cell r="P5530" t="str"><v>Trial</v></cell><cell r="Q5530" t="str"><v>Social</v></cell><cell r="R5530" t="str"><v>Azure</v></cell><cell r="S5530" t="str"><v>Apps & Infra</v></cell><cell r="T5530" t="str"><v>Developers & ITI's</v></cell><cell r="U5530" t="str"><v>AZP-Canvas-Retargeting-Trial</v></cell><cell r="V5530" t="str"><v>Prospecting</v></cell><cell r="W5530" t="str"><v>Social</v></cell><cell r="X5530" t="str"><v>1x1</v></cell></row><row r="5530"><cell r="AA5530"><v>43321</v></cell><cell r="AB5530" t="str"><v>JPN_gaPMG_AZR_AZR_Q1_19_Trial-Social</v></cell><cell r="AC5530"><v>21276694</v></cell><cell r="AD5530"><v>720195</v></cell><cell r="AE5530" t="str"><v>Facebook</v></cell><cell r="AF5530"><v>3654128</v></cell><cell r="AG5530" t="str"><v>Facebook»AZP-Canvas-Retargeting-Trial»1x1»Canvas»SOC»MO»CPM»PRO»W»UNK»SS»OT»Canvas-Trial</v></cell><cell r="AH5530"><v>226269941</v></cell><cell r="AI5530" t="str"><v>AZR_FBCTCcanvaspage-StartFreeCTA-Img2_JPN_1080x143 _SOC_Plat_Japanese_NA_Standard_NA_NA_T2_1</v></cell><cell r="AJ5530"><v>104061321</v></cell></row><row r="5531"><cell r="C5531" t="str"><v>43321FACEBOOK»USA-Trial-ITD-Interest Prospecting-AZR-AZR»1 x 1»SocialBan»CAN»ALL»CPA»PRO»X»NA»SS»NA»FBCTCBenefit2inMotion»PRC1SW</v></cell><cell r="D5531" t="str"><v>43321223933138</v></cell><cell r="E5531" t="str"><v>43321103043835PRC1SW</v></cell><cell r="F5531" t="str"><v>DCM</v></cell><cell r="G5531" t="str"><v>https://signup.azure.com/?OCID=AID%eexcid!_OLA_%ebuy!_%epid!_%ecid!</v></cell></row><row r="5531"><cell r="K5531" t="str"><v>August</v></cell><cell r="L5531"><v>43323</v></cell><cell r="M5531" t="str"><v>Tier 0</v></cell><cell r="N5531" t="str"><v>North America</v></cell><cell r="O5531" t="str"><v>United States</v></cell><cell r="P5531" t="str"><v>Trial</v></cell><cell r="Q5531" t="str"><v>Social</v></cell><cell r="R5531" t="str"><v>Azure</v></cell><cell r="S5531" t="str"><v>Apps & Infra</v></cell><cell r="T5531" t="str"><v>Developers & ITI's</v></cell><cell r="U5531" t="str"><v>USA-Trial-ITD-Interest Prospecting-AZR-AZR</v></cell><cell r="V5531" t="str"><v>Prospecting</v></cell><cell r="W5531" t="str"><v>Canvas Ad</v></cell><cell r="X5531" t="str"><v>1x1</v></cell></row><row r="5531"><cell r="AA5531"><v>43321</v></cell><cell r="AB5531" t="str"><v>USA_gaPMG_AZR_AZR_Q1_19_Direct-Social</v></cell><cell r="AC5531"><v>21358715</v></cell><cell r="AD5531"><v>720197</v></cell><cell r="AE5531" t="str"><v>Facebook</v></cell><cell r="AF5531"><v>3654128</v></cell><cell r="AG5531" t="str"><v>FACEBOOK»USA-Trial-ITD-Interest Prospecting-AZR-AZR»1 x 1»SocialBan»CAN»ALL»CPA»PRO»X»NA»SS»NA»FBCTCBenefit2inMotion»PRC1SW</v></cell><cell r="AH5531"><v>223933138</v></cell><cell r="AI5531" t="str"><v>AzurePlatform_FBCTCBenefit2inMotion_USA_10s_CAN_PLATFORM_English_Trial_Standard_STAN_TIN_T4_1</v></cell><cell r="AJ5531"><v>103043835</v></cell></row><row r="5532"><cell r="C5532" t="str"><v>43321FACEBOOK»USA-Trial-ITD-Interest Prospecting-AZR-AZR»1 x 1»SocialBan»CAN»ALL»CPA»PRO»X»NA»SS»NA»FBCTCBenefit2inMotion»PRC1SW</v></cell><cell r="D5532" t="str"><v>43321223933138</v></cell><cell r="E5532" t="str"><v>43321103178645PRC1SW</v></cell><cell r="F5532" t="str"><v>DCM</v></cell><cell r="G5532" t="str"><v>https://azure.microsoft.com/en-us/pricing/purchase-options/?v=18.19&OCID=AID%eexcid!_OLA_%ebuy!_%epid!_%ecid!</v></cell></row><row r="5532"><cell r="K5532" t="str"><v>August</v></cell><cell r="L5532"><v>43323</v></cell><cell r="M5532" t="str"><v>Tier 0</v></cell><cell r="N5532" t="str"><v>North America</v></cell><cell r="O5532" t="str"><v>United States</v></cell><cell r="P5532" t="str"><v>Trial</v></cell><cell r="Q5532" t="str"><v>Social</v></cell><cell r="R5532" t="str"><v>Azure</v></cell><cell r="S5532" t="str"><v>Apps & Infra</v></cell><cell r="T5532" t="str"><v>Developers & ITI's</v></cell><cell r="U5532" t="str"><v>USA-Trial-ITD-Interest Prospecting-AZR-AZR</v></cell><cell r="V5532" t="str"><v>Prospecting</v></cell><cell r="W5532" t="str"><v>Canvas Ad</v></cell><cell r="X5532" t="str"><v>1x1</v></cell></row><row r="5532"><cell r="AA5532"><v>43321</v></cell><cell r="AB5532" t="str"><v>USA_gaPMG_AZR_AZR_Q1_19_Direct-Social</v></cell><cell r="AC5532"><v>21358715</v></cell><cell r="AD5532"><v>720197</v></cell><cell r="AE5532" t="str"><v>Facebook</v></cell><cell r="AF5532"><v>3654128</v></cell><cell r="AG5532" t="str"><v>FACEBOOK»USA-Trial-ITD-Interest Prospecting-AZR-AZR»1 x 1»SocialBan»CAN»ALL»CPA»PRO»X»NA»SS»NA»FBCTCBenefit2inMotion»PRC1SW</v></cell><cell r="AH5532"><v>223933138</v></cell><cell r="AI5532" t="str"><v>AzurePlatform_FBCTCBenefit2inMotion_USA_10s_CAN_PLATFORM_English_Trial_Standard_STAN_TIN_T4_2</v></cell><cell r="AJ5532"><v>103178645</v></cell></row><row r="5533"><cell r="C5533" t="str"><v>43321FACEBOOK»USA-Trial-ITD-Interest Prospecting-AZR-AZR»1 x 1»SocialBan»CAN»ALL»CPA»PRO»X»NA»SS»NA»FBCTCBrandinMotion»PRC1SY</v></cell><cell r="D5533" t="str"><v>43321224104929</v></cell><cell r="E5533" t="str"><v>43321103176812PRC1SY</v></cell><cell r="F5533" t="str"><v>DCM</v></cell><cell r="G5533" t="str"><v>https://signup.azure.com/?OCID=AID%eexcid!_OLA_%ebuy!_%epid!_%ecid!</v></cell></row><row r="5533"><cell r="K5533" t="str"><v>August</v></cell><cell r="L5533"><v>43323</v></cell><cell r="M5533" t="str"><v>Tier 0</v></cell><cell r="N5533" t="str"><v>North America</v></cell><cell r="O5533" t="str"><v>United States</v></cell><cell r="P5533" t="str"><v>Trial</v></cell><cell r="Q5533" t="str"><v>Social</v></cell><cell r="R5533" t="str"><v>Azure</v></cell><cell r="S5533" t="str"><v>Apps & Infra</v></cell><cell r="T5533" t="str"><v>Developers & ITI's</v></cell><cell r="U5533" t="str"><v>USA-Trial-ITD-Interest Prospecting-AZR-AZR</v></cell><cell r="V5533" t="str"><v>Prospecting</v></cell><cell r="W5533" t="str"><v>Canvas Ad</v></cell><cell r="X5533" t="str"><v>1x1</v></cell></row><row r="5533"><cell r="AA5533"><v>43321</v></cell><cell r="AB5533" t="str"><v>USA_gaPMG_AZR_AZR_Q1_19_Direct-Social</v></cell><cell r="AC5533"><v>21358715</v></cell><cell r="AD5533"><v>720197</v></cell><cell r="AE5533" t="str"><v>Facebook</v></cell><cell r="AF5533"><v>3654128</v></cell><cell r="AG5533" t="str"><v>FACEBOOK»USA-Trial-ITD-Interest Prospecting-AZR-AZR»1 x 1»SocialBan»CAN»ALL»CPA»PRO»X»NA»SS»NA»FBCTCBrandinMotion»PRC1SY</v></cell><cell r="AH5533"><v>224104929</v></cell><cell r="AI5533" t="str"><v>AzurePlatform_FBCTCBrandinMotion_USA_10s_CAN_PLATFORM_English_Trial_Standard_STAN_TIN_T2_1</v></cell><cell r="AJ5533"><v>103176812</v></cell></row><row r="5534"><cell r="C5534" t="str"><v>43321FACEBOOK»USA-Trial-ITD-Interest Prospecting-AZR-AZR»1 x 1»SocialBan»CAN»ALL»CPA»PRO»X»NA»SS»NA»FBCTCBrandinMotion»PRC1SY</v></cell><cell r="D5534" t="str"><v>43321224104929</v></cell><cell r="E5534" t="str"><v>43321103032823PRC1SY</v></cell><cell r="F5534" t="str"><v>DCM</v></cell><cell r="G5534" t="str"><v>https://azure.microsoft.com/en-us/pricing/purchase-options/?v=18.19&OCID=AID%eexcid!_OLA_%ebuy!_%epid!_%ecid!</v></cell></row><row r="5534"><cell r="K5534" t="str"><v>August</v></cell><cell r="L5534"><v>43323</v></cell><cell r="M5534" t="str"><v>Tier 0</v></cell><cell r="N5534" t="str"><v>North America</v></cell><cell r="O5534" t="str"><v>United States</v></cell><cell r="P5534" t="str"><v>Trial</v></cell><cell r="Q5534" t="str"><v>Social</v></cell><cell r="R5534" t="str"><v>Azure</v></cell><cell r="S5534" t="str"><v>Apps & Infra</v></cell><cell r="T5534" t="str"><v>Developers & ITI's</v></cell><cell r="U5534" t="str"><v>USA-Trial-ITD-Interest Prospecting-AZR-AZR</v></cell><cell r="V5534" t="str"><v>Prospecting</v></cell><cell r="W5534" t="str"><v>Canvas Ad</v></cell><cell r="X5534" t="str"><v>1x1</v></cell></row><row r="5534"><cell r="AA5534"><v>43321</v></cell><cell r="AB5534" t="str"><v>USA_gaPMG_AZR_AZR_Q1_19_Direct-Social</v></cell><cell r="AC5534"><v>21358715</v></cell><cell r="AD5534"><v>720197</v></cell><cell r="AE5534" t="str"><v>Facebook</v></cell><cell r="AF5534"><v>3654128</v></cell><cell r="AG5534" t="str"><v>FACEBOOK»USA-Trial-ITD-Interest Prospecting-AZR-AZR»1 x 1»SocialBan»CAN»ALL»CPA»PRO»X»NA»SS»NA»FBCTCBrandinMotion»PRC1SY</v></cell><cell r="AH5534"><v>224104929</v></cell><cell r="AI5534" t="str"><v>AzurePlatform_FBCTCBrandinMotion_USA_10s_CAN_PLATFORM_English_Trial_Standard_STAN_TIN_T2_2</v></cell><cell r="AJ5534"><v>103032823</v></cell></row><row r="5535"><cell r="C5535" t="str"><v>43321FACEBOOK»USA-Trial-ITD-Interest Prospecting-AZR-AZR»1 x 1»SocialBan»LIA»ALL»CPA»PRO»X»NA»SS»NA»FreeAcctITProFB-AnimatedHybrid-Ch2»PRC1T5</v></cell><cell r="D5535" t="str"><v>43321223862882</v></cell><cell r="E5535" t="str"><v>43321103180583PRC1T5</v></cell><cell r="F5535" t="str"><v>DCM</v></cell></row><row r="5535"><cell r="K5535" t="str"><v>August</v></cell><cell r="L5535"><v>43323</v></cell><cell r="M5535" t="str"><v>Tier 0</v></cell><cell r="N5535" t="str"><v>North America</v></cell><cell r="O5535" t="str"><v>United States</v></cell><cell r="P5535" t="str"><v>Trial</v></cell><cell r="Q5535" t="str"><v>Social</v></cell><cell r="R5535" t="str"><v>Azure</v></cell><cell r="S5535" t="str"><v>Apps & Infra</v></cell><cell r="T5535" t="str"><v>Developers & ITI's</v></cell><cell r="U5535" t="str"><v>USA-Trial-ITD-Interest Prospecting-AZR-AZR</v></cell><cell r="V5535" t="str"><v>Prospecting</v></cell><cell r="W5535" t="str"><v>Link Ad</v></cell><cell r="X5535" t="str"><v>1x1</v></cell></row><row r="5535"><cell r="AA5535"><v>43321</v></cell><cell r="AB5535" t="str"><v>USA_gaPMG_AZR_AZR_Q1_19_Direct-Social</v></cell><cell r="AC5535"><v>21358715</v></cell><cell r="AD5535"><v>720197</v></cell><cell r="AE5535" t="str"><v>Facebook</v></cell><cell r="AF5535"><v>3654128</v></cell><cell r="AG5535" t="str"><v>FACEBOOK»USA-Trial-ITD-Interest Prospecting-AZR-AZR»1 x 1»SocialBan»LIA»ALL»CPA»PRO»X»NA»SS»NA»FreeAcctITProFB-AnimatedHybrid-Ch2»PRC1T5</v></cell><cell r="AH5535"><v>223862882</v></cell><cell r="AI5535" t="str"><v>AZR_FreeAcctITProFB-AnimatedHybrid-Ch2_USA_1200x1200_CAN_Direct_English_Trial_Standard_ANI_LEA_T2_2</v></cell><cell r="AJ5535"><v>103180583</v></cell></row><row r="5536"><cell r="C5536" t="str"><v>43321FACEBOOK»USA-Trial-ITD-Interest Prospecting-AZR-AZR»1 x 1»SocialBan»LIA»ALL»CPA»PRO»X»NA»SS»NA»FreeAcctITProFB-AnimatedSecureMngd-Ch1»PRC1T4</v></cell><cell r="D5536" t="str"><v>43321224104914</v></cell><cell r="E5536" t="str"><v>43321103176830PRC1T4</v></cell><cell r="F5536" t="str"><v>DCM</v></cell></row><row r="5536"><cell r="K5536" t="str"><v>August</v></cell><cell r="L5536"><v>43323</v></cell><cell r="M5536" t="str"><v>Tier 0</v></cell><cell r="N5536" t="str"><v>North America</v></cell><cell r="O5536" t="str"><v>United States</v></cell><cell r="P5536" t="str"><v>Trial</v></cell><cell r="Q5536" t="str"><v>Social</v></cell><cell r="R5536" t="str"><v>Azure</v></cell><cell r="S5536" t="str"><v>Apps & Infra</v></cell><cell r="T5536" t="str"><v>Developers & ITI's</v></cell><cell r="U5536" t="str"><v>USA-Trial-ITD-Interest Prospecting-AZR-AZR</v></cell><cell r="V5536" t="str"><v>Prospecting</v></cell><cell r="W5536" t="str"><v>Link Ad</v></cell><cell r="X5536" t="str"><v>1x1</v></cell></row><row r="5536"><cell r="AA5536"><v>43321</v></cell><cell r="AB5536" t="str"><v>USA_gaPMG_AZR_AZR_Q1_19_Direct-Social</v></cell><cell r="AC5536"><v>21358715</v></cell><cell r="AD5536"><v>720197</v></cell><cell r="AE5536" t="str"><v>Facebook</v></cell><cell r="AF5536"><v>3654128</v></cell><cell r="AG5536" t="str"><v>FACEBOOK»USA-Trial-ITD-Interest Prospecting-AZR-AZR»1 x 1»SocialBan»LIA»ALL»CPA»PRO»X»NA»SS»NA»FreeAcctITProFB-AnimatedSecureMngd-Ch1»PRC1T4</v></cell><cell r="AH5536"><v>224104914</v></cell><cell r="AI5536" t="str"><v>AZR_FreeAcctITProFB-AnimatedSecureMngd-Ch1_USA_1200x1200_CAN_Direct_English_Trial_Standard_ANI_LEA_T1_1</v></cell><cell r="AJ5536"><v>103176830</v></cell></row><row r="5537"><cell r="C5537" t="str"><v>43321FACEBOOK»USA-Trial-ITD-Interest Prospecting-AZR-AZR»1 x 1»SocialBan»CAN»ALL»CPA»PRO»X»NA»SS»NA»FBCTCBenefitinMotion»PRC1SX</v></cell><cell r="D5537" t="str"><v>43321224104077</v></cell><cell r="E5537" t="str"><v>43321103032775PRC1SX</v></cell><cell r="F5537" t="str"><v>DCM</v></cell><cell r="G5537" t="str"><v>https://signup.azure.com/?OCID=AID%eexcid!_OLA_%ebuy!_%epid!_%ecid!</v></cell></row><row r="5537"><cell r="K5537" t="str"><v>August</v></cell><cell r="L5537"><v>43323</v></cell><cell r="M5537" t="str"><v>Tier 0</v></cell><cell r="N5537" t="str"><v>North America</v></cell><cell r="O5537" t="str"><v>United States</v></cell><cell r="P5537" t="str"><v>Trial</v></cell><cell r="Q5537" t="str"><v>Social</v></cell><cell r="R5537" t="str"><v>Azure</v></cell><cell r="S5537" t="str"><v>Apps & Infra</v></cell><cell r="T5537" t="str"><v>Developers & ITI's</v></cell><cell r="U5537" t="str"><v>USA-Trial-ITD-Interest Prospecting-AZR-AZR</v></cell><cell r="V5537" t="str"><v>Prospecting</v></cell><cell r="W5537" t="str"><v>Canvas Ad</v></cell><cell r="X5537" t="str"><v>1x1</v></cell></row><row r="5537"><cell r="AA5537"><v>43321</v></cell><cell r="AB5537" t="str"><v>USA_gaPMG_AZR_AZR_Q1_19_Direct-Social</v></cell><cell r="AC5537"><v>21358715</v></cell><cell r="AD5537"><v>720197</v></cell><cell r="AE5537" t="str"><v>Facebook</v></cell><cell r="AF5537"><v>3654128</v></cell><cell r="AG5537" t="str"><v>FACEBOOK»USA-Trial-ITD-Interest Prospecting-AZR-AZR»1 x 1»SocialBan»CAN»ALL»CPA»PRO»X»NA»SS»NA»FBCTCBenefitinMotion»PRC1SX</v></cell><cell r="AH5537"><v>224104077</v></cell><cell r="AI5537" t="str"><v>AzurePlatform_FBCTCBenefitinMotion_USA_10s_CAN_PLATFORM_English_Trial_Standard_STAN_TIN_T3_1</v></cell><cell r="AJ5537"><v>103032775</v></cell></row><row r="5538"><cell r="C5538" t="str"><v>43321FACEBOOK»USA-Trial-ITD-Interest Prospecting-AZR-AZR»1 x 1»SocialBan»CAN»ALL»CPA»PRO»X»NA»SS»NA»FBCTCBenefitinMotion»PRC1SX</v></cell><cell r="D5538" t="str"><v>43321224104077</v></cell><cell r="E5538" t="str"><v>43321103176836PRC1SX</v></cell><cell r="F5538" t="str"><v>DCM</v></cell><cell r="G5538" t="str"><v>https://azure.microsoft.com/en-us/pricing/purchase-options/?v=18.19&OCID=AID%eexcid!_OLA_%ebuy!_%epid!_%ecid!</v></cell></row><row r="5538"><cell r="K5538" t="str"><v>August</v></cell><cell r="L5538"><v>43323</v></cell><cell r="M5538" t="str"><v>Tier 0</v></cell><cell r="N5538" t="str"><v>North America</v></cell><cell r="O5538" t="str"><v>United States</v></cell><cell r="P5538" t="str"><v>Trial</v></cell><cell r="Q5538" t="str"><v>Social</v></cell><cell r="R5538" t="str"><v>Azure</v></cell><cell r="S5538" t="str"><v>Apps & Infra</v></cell><cell r="T5538" t="str"><v>Developers & ITI's</v></cell><cell r="U5538" t="str"><v>USA-Trial-ITD-Interest Prospecting-AZR-AZR</v></cell><cell r="V5538" t="str"><v>Prospecting</v></cell><cell r="W5538" t="str"><v>Canvas Ad</v></cell><cell r="X5538" t="str"><v>1x1</v></cell></row><row r="5538"><cell r="AA5538"><v>43321</v></cell><cell r="AB5538" t="str"><v>USA_gaPMG_AZR_AZR_Q1_19_Direct-Social</v></cell><cell r="AC5538"><v>21358715</v></cell><cell r="AD5538"><v>720197</v></cell><cell r="AE5538" t="str"><v>Facebook</v></cell><cell r="AF5538"><v>3654128</v></cell><cell r="AG5538" t="str"><v>FACEBOOK»USA-Trial-ITD-Interest Prospecting-AZR-AZR»1 x 1»SocialBan»CAN»ALL»CPA»PRO»X»NA»SS»NA»FBCTCBenefitinMotion»PRC1SX</v></cell><cell r="AH5538"><v>224104077</v></cell><cell r="AI5538" t="str"><v>AzurePlatform_FBCTCBenefitinMotion_USA_10s_CAN_PLATFORM_English_Trial_Standard_STAN_TIN_T3_2</v></cell><cell r="AJ5538"><v>103176836</v></cell></row><row r="5539"><cell r="C5539" t="str"><v>43321FACEBOOK»USA-Trial-ITD-Interest Prospecting-AZR-AZR»1 x 1»SocialBan»CCA»ALL»CPA»PRO»X»NA»SS»NA»Azure Developer Facebook Collections»PRSGV0</v></cell><cell r="D5539" t="str"><v>43321225283843</v></cell><cell r="E5539" t="str"><v>43321103773177PRSGV0</v></cell><cell r="F5539" t="str"><v>DCM</v></cell><cell r="G553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539"><cell r="K5539" t="str"><v>August</v></cell><cell r="L5539"><v>43323</v></cell><cell r="M5539" t="str"><v>Tier 0</v></cell><cell r="N5539" t="str"><v>North America</v></cell><cell r="O5539" t="str"><v>United States</v></cell><cell r="P5539" t="str"><v>Trial</v></cell><cell r="Q5539" t="str"><v>Social</v></cell><cell r="R5539" t="str"><v>Azure</v></cell><cell r="S5539" t="str"><v>Apps & Infra</v></cell><cell r="T5539" t="str"><v>Developers & ITI's</v></cell><cell r="U5539" t="str"><v>USA-Trial-ITD-Interest Prospecting-AZR-AZR</v></cell><cell r="V5539" t="str"><v>Prospecting</v></cell><cell r="W5539" t="str"><v>Canvas Collection Ad</v></cell><cell r="X5539" t="str"><v>1x1</v></cell></row><row r="5539"><cell r="AA5539"><v>43321</v></cell><cell r="AB5539" t="str"><v>USA_gaPMG_AZR_AZR_Q1_19_Direct-Social</v></cell><cell r="AC5539"><v>21358715</v></cell><cell r="AD5539"><v>720197</v></cell><cell r="AE5539" t="str"><v>Facebook</v></cell><cell r="AF5539"><v>3654128</v></cell><cell r="AG5539" t="str"><v>FACEBOOK»USA-Trial-ITD-Interest Prospecting-AZR-AZR»1 x 1»SocialBan»CCA»ALL»CPA»PRO»X»NA»SS»NA»Azure Developer Facebook Collections»PRSGV0</v></cell><cell r="AH5539"><v>225283843</v></cell><cell r="AI5539" t="str"><v>AZR_FBCollections-AITryAzureFreeCTA-Img2_USA_1200x182_SOC_Plat_EN_NA_Standard_NA_TIN_T1_2</v></cell><cell r="AJ5539"><v>103773177</v></cell></row><row r="5540"><cell r="C5540" t="str"><v>43321FACEBOOK»USA-Trial-ITD-Interest Prospecting-AZR-AZR»1 x 1»SocialBan»CCA»ALL»CPA»PRO»X»NA»SS»NA»Azure Developer Facebook Collections»PRSGV0</v></cell><cell r="D5540" t="str"><v>43321225283843</v></cell><cell r="E5540" t="str"><v>43321103776921PRSGV0</v></cell><cell r="F5540" t="str"><v>DCM</v></cell><cell r="G5540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540"><cell r="K5540" t="str"><v>August</v></cell><cell r="L5540"><v>43323</v></cell><cell r="M5540" t="str"><v>Tier 0</v></cell><cell r="N5540" t="str"><v>North America</v></cell><cell r="O5540" t="str"><v>United States</v></cell><cell r="P5540" t="str"><v>Trial</v></cell><cell r="Q5540" t="str"><v>Social</v></cell><cell r="R5540" t="str"><v>Azure</v></cell><cell r="S5540" t="str"><v>Apps & Infra</v></cell><cell r="T5540" t="str"><v>Developers & ITI's</v></cell><cell r="U5540" t="str"><v>USA-Trial-ITD-Interest Prospecting-AZR-AZR</v></cell><cell r="V5540" t="str"><v>Prospecting</v></cell><cell r="W5540" t="str"><v>Canvas Collection Ad</v></cell><cell r="X5540" t="str"><v>1x1</v></cell></row><row r="5540"><cell r="AA5540"><v>43321</v></cell><cell r="AB5540" t="str"><v>USA_gaPMG_AZR_AZR_Q1_19_Direct-Social</v></cell><cell r="AC5540"><v>21358715</v></cell><cell r="AD5540"><v>720197</v></cell><cell r="AE5540" t="str"><v>Facebook</v></cell><cell r="AF5540"><v>3654128</v></cell><cell r="AG5540" t="str"><v>FACEBOOK»USA-Trial-ITD-Interest Prospecting-AZR-AZR»1 x 1»SocialBan»CCA»ALL»CPA»PRO»X»NA»SS»NA»Azure Developer Facebook Collections»PRSGV0</v></cell><cell r="AH5540"><v>225283843</v></cell><cell r="AI5540" t="str"><v>AZR_FBCollections-FreeStuffTryAzureFreeCTA-Img5_USA_1200x182_SOC_Plat_EN_NA_Standard_NA_TIN_T1_5</v></cell><cell r="AJ5540"><v>103776921</v></cell></row><row r="5541"><cell r="C5541" t="str"><v>43321FACEBOOK»USA-Trial-ITD-Interest Prospecting-AZR-AZR»1 x 1»SocialBan»CCA»ALL»CPA»PRO»X»NA»SS»NA»Azure Developer Facebook Collections»PRSGV0</v></cell><cell r="D5541" t="str"><v>43321225283843</v></cell><cell r="E5541" t="str"><v>43321103873631PRSGV0</v></cell><cell r="F5541" t="str"><v>DCM</v></cell><cell r="G5541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541"><cell r="K5541" t="str"><v>August</v></cell><cell r="L5541"><v>43323</v></cell><cell r="M5541" t="str"><v>Tier 0</v></cell><cell r="N5541" t="str"><v>North America</v></cell><cell r="O5541" t="str"><v>United States</v></cell><cell r="P5541" t="str"><v>Trial</v></cell><cell r="Q5541" t="str"><v>Social</v></cell><cell r="R5541" t="str"><v>Azure</v></cell><cell r="S5541" t="str"><v>Apps & Infra</v></cell><cell r="T5541" t="str"><v>Developers & ITI's</v></cell><cell r="U5541" t="str"><v>USA-Trial-ITD-Interest Prospecting-AZR-AZR</v></cell><cell r="V5541" t="str"><v>Prospecting</v></cell><cell r="W5541" t="str"><v>Canvas Collection Ad</v></cell><cell r="X5541" t="str"><v>1x1</v></cell></row><row r="5541"><cell r="AA5541"><v>43321</v></cell><cell r="AB5541" t="str"><v>USA_gaPMG_AZR_AZR_Q1_19_Direct-Social</v></cell><cell r="AC5541"><v>21358715</v></cell><cell r="AD5541"><v>720197</v></cell><cell r="AE5541" t="str"><v>Facebook</v></cell><cell r="AF5541"><v>3654128</v></cell><cell r="AG5541" t="str"><v>FACEBOOK»USA-Trial-ITD-Interest Prospecting-AZR-AZR»1 x 1»SocialBan»CCA»ALL»CPA»PRO»X»NA»SS»NA»Azure Developer Facebook Collections»PRSGV0</v></cell><cell r="AH5541"><v>225283843</v></cell><cell r="AI5541" t="str"><v>AZR_FBCollections-OSSTryAzureFreeCTA-Img3_USA_1200x182_SOC_Plat_EN_NA_Standard_NA_TIN_T1_3</v></cell><cell r="AJ5541"><v>103873631</v></cell></row><row r="5542"><cell r="C5542" t="str"><v>43321FACEBOOK»USA-Trial-ITD-Interest Prospecting-AZR-AZR»1 x 1»SocialBan»CCA»ALL»CPA»PRO»X»NA»SS»NA»Azure Developer Facebook Collections»PRSGV0</v></cell><cell r="D5542" t="str"><v>43321225283843</v></cell><cell r="E5542" t="str"><v>43321103773180PRSGV0</v></cell><cell r="F5542" t="str"><v>DCM</v></cell><cell r="G5542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542"><cell r="K5542" t="str"><v>August</v></cell><cell r="L5542"><v>43323</v></cell><cell r="M5542" t="str"><v>Tier 0</v></cell><cell r="N5542" t="str"><v>North America</v></cell><cell r="O5542" t="str"><v>United States</v></cell><cell r="P5542" t="str"><v>Trial</v></cell><cell r="Q5542" t="str"><v>Social</v></cell><cell r="R5542" t="str"><v>Azure</v></cell><cell r="S5542" t="str"><v>Apps & Infra</v></cell><cell r="T5542" t="str"><v>Developers & ITI's</v></cell><cell r="U5542" t="str"><v>USA-Trial-ITD-Interest Prospecting-AZR-AZR</v></cell><cell r="V5542" t="str"><v>Prospecting</v></cell><cell r="W5542" t="str"><v>Canvas Collection Ad</v></cell><cell r="X5542" t="str"><v>1x1</v></cell></row><row r="5542"><cell r="AA5542"><v>43321</v></cell><cell r="AB5542" t="str"><v>USA_gaPMG_AZR_AZR_Q1_19_Direct-Social</v></cell><cell r="AC5542"><v>21358715</v></cell><cell r="AD5542"><v>720197</v></cell><cell r="AE5542" t="str"><v>Facebook</v></cell><cell r="AF5542"><v>3654128</v></cell><cell r="AG5542" t="str"><v>FACEBOOK»USA-Trial-ITD-Interest Prospecting-AZR-AZR»1 x 1»SocialBan»CCA»ALL»CPA»PRO»X»NA»SS»NA»Azure Developer Facebook Collections»PRSGV0</v></cell><cell r="AH5542"><v>225283843</v></cell><cell r="AI5542" t="str"><v>AZR_FBCollections-SmartDataTryAzureFreeCTA-Img4_USA_1200x182_SOC_Plat_EN_NA_Standard_NA_TIN_T1_4</v></cell><cell r="AJ5542"><v>103773180</v></cell></row><row r="5543"><cell r="C5543" t="str"><v>43321FACEBOOK»USA-Trial-ITD-Interest Prospecting-AZR-AZR»1 x 1»SocialBan»CCA»ALL»CPA»PRO»X»NA»SS»NA»Azure Developer Facebook Collections»PRSGV0</v></cell><cell r="D5543" t="str"><v>43321225283843</v></cell><cell r="E5543" t="str"><v>43321103874423PRSGV0</v></cell><cell r="F5543" t="str"><v>DCM</v></cell><cell r="G5543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543"><cell r="K5543" t="str"><v>August</v></cell><cell r="L5543"><v>43323</v></cell><cell r="M5543" t="str"><v>Tier 0</v></cell><cell r="N5543" t="str"><v>North America</v></cell><cell r="O5543" t="str"><v>United States</v></cell><cell r="P5543" t="str"><v>Trial</v></cell><cell r="Q5543" t="str"><v>Social</v></cell><cell r="R5543" t="str"><v>Azure</v></cell><cell r="S5543" t="str"><v>Apps & Infra</v></cell><cell r="T5543" t="str"><v>Developers & ITI's</v></cell><cell r="U5543" t="str"><v>USA-Trial-ITD-Interest Prospecting-AZR-AZR</v></cell><cell r="V5543" t="str"><v>Prospecting</v></cell><cell r="W5543" t="str"><v>Canvas Collection Ad</v></cell><cell r="X5543" t="str"><v>1x1</v></cell></row><row r="5543"><cell r="AA5543"><v>43321</v></cell><cell r="AB5543" t="str"><v>USA_gaPMG_AZR_AZR_Q1_19_Direct-Social</v></cell><cell r="AC5543"><v>21358715</v></cell><cell r="AD5543"><v>720197</v></cell><cell r="AE5543" t="str"><v>Facebook</v></cell><cell r="AF5543"><v>3654128</v></cell><cell r="AG5543" t="str"><v>FACEBOOK»USA-Trial-ITD-Interest Prospecting-AZR-AZR»1 x 1»SocialBan»CCA»ALL»CPA»PRO»X»NA»SS»NA»Azure Developer Facebook Collections»PRSGV0</v></cell><cell r="AH5543"><v>225283843</v></cell><cell r="AI5543" t="str"><v>AZR_FBCollections-TryAzureFreeCTA-Img1_USA_1200x182_SOC_Plat_EN_NA_Standard_NA_TIN_T1_1</v></cell><cell r="AJ5543"><v>103874423</v></cell></row><row r="5544"><cell r="C5544" t="str"><v>43321FACEBOOK»USA-Trial-ITD-Retargeting-AZR-AZR»1 x 1»SocialBan»LIA»ALL»CPA»RT»X»NA»SS»NA»FreeAcctDeveloperFB-AnimatedAI-Ch3»PRC26H</v></cell><cell r="D5544" t="str"><v>43321223863371</v></cell><cell r="E5544" t="str"><v>43321103032778PRC26H</v></cell><cell r="F5544" t="str"><v>DCM</v></cell></row><row r="5544"><cell r="K5544" t="str"><v>August</v></cell><cell r="L5544"><v>43323</v></cell><cell r="M5544" t="str"><v>Tier 0</v></cell><cell r="N5544" t="str"><v>North America</v></cell><cell r="O5544" t="str"><v>United States</v></cell><cell r="P5544" t="str"><v>Trial</v></cell><cell r="Q5544" t="str"><v>Social</v></cell><cell r="R5544" t="str"><v>Azure</v></cell><cell r="S5544" t="str"><v>Apps & Infra</v></cell><cell r="T5544" t="str"><v>Developers & ITI's</v></cell><cell r="U5544" t="str"><v>USA-Trial-ITD-Retargeting-AZR-AZR</v></cell><cell r="V5544" t="str"><v>Retargeting</v></cell><cell r="W5544" t="str"><v>Link Ad</v></cell><cell r="X5544" t="str"><v>1x1</v></cell></row><row r="5544"><cell r="AA5544"><v>43321</v></cell><cell r="AB5544" t="str"><v>USA_gaPMG_AZR_AZR_Q1_19_Direct-Social</v></cell><cell r="AC5544"><v>21358715</v></cell><cell r="AD5544"><v>720197</v></cell><cell r="AE5544" t="str"><v>Facebook</v></cell><cell r="AF5544"><v>3654128</v></cell><cell r="AG5544" t="str"><v>FACEBOOK»USA-Trial-ITD-Retargeting-AZR-AZR»1 x 1»SocialBan»LIA»ALL»CPA»RT»X»NA»SS»NA»FreeAcctDeveloperFB-AnimatedAI-Ch3»PRC26H</v></cell><cell r="AH5544"><v>223863371</v></cell><cell r="AI5544" t="str"><v>AZR_FreeAcctDeveloperFB-AnimatedAI-Ch3_USA_1200x1200_CAN_Direct_English_Trial_Standard_ANI_LEA_T3_1</v></cell><cell r="AJ5544"><v>103032778</v></cell></row><row r="5545"><cell r="C5545" t="str"><v>43321FACEBOOK»USA-Trial-ITD-Retargeting-AZR-AZR»1 x 1»SocialBan»LIA»ALL»CPA»RT»X»NA»SS»NA»FreeAcctDeveloperFB-AnimatedGeneric-Ch1»PRC26F</v></cell><cell r="D5545" t="str"><v>43321224105850</v></cell><cell r="E5545" t="str"><v>43321103176851PRC26F</v></cell><cell r="F5545" t="str"><v>DCM</v></cell><cell r="G5545" t="str"><v>https://azure.microsoft.com/en-us/free/search/?OCID=AID%eexcid!_OLA_%ebuy!_%epid!_%ecid!</v></cell></row><row r="5545"><cell r="K5545" t="str"><v>August</v></cell><cell r="L5545"><v>43323</v></cell><cell r="M5545" t="str"><v>Tier 0</v></cell><cell r="N5545" t="str"><v>North America</v></cell><cell r="O5545" t="str"><v>United States</v></cell><cell r="P5545" t="str"><v>Trial</v></cell><cell r="Q5545" t="str"><v>Social</v></cell><cell r="R5545" t="str"><v>Azure</v></cell><cell r="S5545" t="str"><v>Apps & Infra</v></cell><cell r="T5545" t="str"><v>Developers & ITI's</v></cell><cell r="U5545" t="str"><v>USA-Trial-ITD-Retargeting-AZR-AZR</v></cell><cell r="V5545" t="str"><v>Retargeting</v></cell><cell r="W5545" t="str"><v>Link Ad</v></cell><cell r="X5545" t="str"><v>1x1</v></cell></row><row r="5545"><cell r="AA5545"><v>43321</v></cell><cell r="AB5545" t="str"><v>USA_gaPMG_AZR_AZR_Q1_19_Direct-Social</v></cell><cell r="AC5545"><v>21358715</v></cell><cell r="AD5545"><v>720197</v></cell><cell r="AE5545" t="str"><v>Facebook</v></cell><cell r="AF5545"><v>3654128</v></cell><cell r="AG5545" t="str"><v>FACEBOOK»USA-Trial-ITD-Retargeting-AZR-AZR»1 x 1»SocialBan»LIA»ALL»CPA»RT»X»NA»SS»NA»FreeAcctDeveloperFB-AnimatedGeneric-Ch1»PRC26F</v></cell><cell r="AH5545"><v>224105850</v></cell><cell r="AI5545" t="str"><v>AZR_FreeAcctDeveloperFB-AnimatedGeneric-Ch1_USA_1200x1200_CAN_Direct_English_Trial_Standard_ANI_LEA_T1_2</v></cell><cell r="AJ5545"><v>103176851</v></cell></row><row r="5546"><cell r="C5546" t="str"><v>43321FACEBOOK»USA-Trial-ITD-Retargeting-AZR-AZR»1 x 1»SocialBan»LIA»ALL»CPA»RT»X»NA»SS»NA»FreeAcctDeveloperFB-AnimatedOpenSource-Ch2»PRC26G</v></cell><cell r="D5546" t="str"><v>43321223862873</v></cell><cell r="E5546" t="str"><v>43321103048329PRC26G</v></cell><cell r="F5546" t="str"><v>DCM</v></cell><cell r="G5546" t="str"><v>https://azure.microsoft.com/en-us/free/open-source/search/?OCID=AID%eexcid!_OLA_%ebuy!_%epid!_%ecid!</v></cell></row><row r="5546"><cell r="K5546" t="str"><v>August</v></cell><cell r="L5546"><v>43323</v></cell><cell r="M5546" t="str"><v>Tier 0</v></cell><cell r="N5546" t="str"><v>North America</v></cell><cell r="O5546" t="str"><v>United States</v></cell><cell r="P5546" t="str"><v>Trial</v></cell><cell r="Q5546" t="str"><v>Social</v></cell><cell r="R5546" t="str"><v>Azure</v></cell><cell r="S5546" t="str"><v>Apps & Infra</v></cell><cell r="T5546" t="str"><v>Developers & ITI's</v></cell><cell r="U5546" t="str"><v>USA-Trial-ITD-Retargeting-AZR-AZR</v></cell><cell r="V5546" t="str"><v>Retargeting</v></cell><cell r="W5546" t="str"><v>Link Ad</v></cell><cell r="X5546" t="str"><v>1x1</v></cell></row><row r="5546"><cell r="AA5546"><v>43321</v></cell><cell r="AB5546" t="str"><v>USA_gaPMG_AZR_AZR_Q1_19_Direct-Social</v></cell><cell r="AC5546"><v>21358715</v></cell><cell r="AD5546"><v>720197</v></cell><cell r="AE5546" t="str"><v>Facebook</v></cell><cell r="AF5546"><v>3654128</v></cell><cell r="AG5546" t="str"><v>FACEBOOK»USA-Trial-ITD-Retargeting-AZR-AZR»1 x 1»SocialBan»LIA»ALL»CPA»RT»X»NA»SS»NA»FreeAcctDeveloperFB-AnimatedOpenSource-Ch2»PRC26G</v></cell><cell r="AH5546"><v>223862873</v></cell><cell r="AI5546" t="str"><v>AZR_FreeAcctDeveloperFB-AnimatedOpenSource-Ch2_USA_1200x1200_CAN_Direct_English_Trial_Standard_ANI_LEA_T2_1</v></cell><cell r="AJ5546"><v>103048329</v></cell></row><row r="5547"><cell r="C5547" t="str"><v>43321FACEBOOK»USA-Trial-ITD-Retargeting-AZR-AZR»1 x 1»SocialBan»LIA»ALL»CPA»RT»X»NA»SS»NA»FreeAcctITProFB-AnimatedHybrid-Ch2»PRC26N</v></cell><cell r="D5547" t="str"><v>43321223934053</v></cell><cell r="E5547" t="str"><v>43321103180583PRC26N</v></cell><cell r="F5547" t="str"><v>DCM</v></cell></row><row r="5547"><cell r="K5547" t="str"><v>August</v></cell><cell r="L5547"><v>43323</v></cell><cell r="M5547" t="str"><v>Tier 0</v></cell><cell r="N5547" t="str"><v>North America</v></cell><cell r="O5547" t="str"><v>United States</v></cell><cell r="P5547" t="str"><v>Trial</v></cell><cell r="Q5547" t="str"><v>Social</v></cell><cell r="R5547" t="str"><v>Azure</v></cell><cell r="S5547" t="str"><v>Apps & Infra</v></cell><cell r="T5547" t="str"><v>Developers & ITI's</v></cell><cell r="U5547" t="str"><v>USA-Trial-ITD-Retargeting-AZR-AZR</v></cell><cell r="V5547" t="str"><v>Retargeting</v></cell><cell r="W5547" t="str"><v>Link Ad</v></cell><cell r="X5547" t="str"><v>1x1</v></cell></row><row r="5547"><cell r="AA5547"><v>43321</v></cell><cell r="AB5547" t="str"><v>USA_gaPMG_AZR_AZR_Q1_19_Direct-Social</v></cell><cell r="AC5547"><v>21358715</v></cell><cell r="AD5547"><v>720197</v></cell><cell r="AE5547" t="str"><v>Facebook</v></cell><cell r="AF5547"><v>3654128</v></cell><cell r="AG5547" t="str"><v>FACEBOOK»USA-Trial-ITD-Retargeting-AZR-AZR»1 x 1»SocialBan»LIA»ALL»CPA»RT»X»NA»SS»NA»FreeAcctITProFB-AnimatedHybrid-Ch2»PRC26N</v></cell><cell r="AH5547"><v>223934053</v></cell><cell r="AI5547" t="str"><v>AZR_FreeAcctITProFB-AnimatedHybrid-Ch2_USA_1200x1200_CAN_Direct_English_Trial_Standard_ANI_LEA_T2_2</v></cell><cell r="AJ5547"><v>103180583</v></cell></row><row r="5548"><cell r="C5548" t="str"><v>43321FACEBOOK»USA-Trial-ITD-Retargeting-AZR-AZR»1 x 1»SocialBan»LIA»ALL»CPA»RT»X»NA»SS»NA»FreeAcctITProFB-AnimatedMigration-Ch3»PRC26P</v></cell><cell r="D5548" t="str"><v>43321223934056</v></cell><cell r="E5548" t="str"><v>43321103176827PRC26P</v></cell><cell r="F5548" t="str"><v>DCM</v></cell></row><row r="5548"><cell r="K5548" t="str"><v>August</v></cell><cell r="L5548"><v>43323</v></cell><cell r="M5548" t="str"><v>Tier 0</v></cell><cell r="N5548" t="str"><v>North America</v></cell><cell r="O5548" t="str"><v>United States</v></cell><cell r="P5548" t="str"><v>Trial</v></cell><cell r="Q5548" t="str"><v>Social</v></cell><cell r="R5548" t="str"><v>Azure</v></cell><cell r="S5548" t="str"><v>Apps & Infra</v></cell><cell r="T5548" t="str"><v>Developers & ITI's</v></cell><cell r="U5548" t="str"><v>USA-Trial-ITD-Retargeting-AZR-AZR</v></cell><cell r="V5548" t="str"><v>Retargeting</v></cell><cell r="W5548" t="str"><v>Link Ad</v></cell><cell r="X5548" t="str"><v>1x1</v></cell></row><row r="5548"><cell r="AA5548"><v>43321</v></cell><cell r="AB5548" t="str"><v>USA_gaPMG_AZR_AZR_Q1_19_Direct-Social</v></cell><cell r="AC5548"><v>21358715</v></cell><cell r="AD5548"><v>720197</v></cell><cell r="AE5548" t="str"><v>Facebook</v></cell><cell r="AF5548"><v>3654128</v></cell><cell r="AG5548" t="str"><v>FACEBOOK»USA-Trial-ITD-Retargeting-AZR-AZR»1 x 1»SocialBan»LIA»ALL»CPA»RT»X»NA»SS»NA»FreeAcctITProFB-AnimatedMigration-Ch3»PRC26P</v></cell><cell r="AH5548"><v>223934056</v></cell><cell r="AI5548" t="str"><v>AZR_FreeAcctITProFB-AnimatedMigration-Ch3_USA_1200x1200_CAN_Direct_English_Trial_Standard_ANI_LEA_T3_1</v></cell><cell r="AJ5548"><v>103176827</v></cell></row><row r="5549"><cell r="C5549" t="str"><v>43321FACEBOOK»USA-Trial-ITD-Retargeting-AZR-AZR»1 x 1»SocialBan»LIA»ALL»CPA»RT»X»NA»SS»NA»FreeAcctRetargetingFB-Animated-ChC»PRC1RX</v></cell><cell r="D5549" t="str"><v>43321223862864</v></cell><cell r="E5549" t="str"><v>43321103180880PRC1RX</v></cell><cell r="F5549" t="str"><v>DCM</v></cell><cell r="G5549" t="str"><v>https://azure.microsoft.com/en-us/free/search/?OCID=AID%eexcid!_OLA_%ebuy!_%epid!_%ecid!</v></cell></row><row r="5549"><cell r="K5549" t="str"><v>August</v></cell><cell r="L5549"><v>43323</v></cell><cell r="M5549" t="str"><v>Tier 0</v></cell><cell r="N5549" t="str"><v>North America</v></cell><cell r="O5549" t="str"><v>United States</v></cell><cell r="P5549" t="str"><v>Trial</v></cell><cell r="Q5549" t="str"><v>Social</v></cell><cell r="R5549" t="str"><v>Azure</v></cell><cell r="S5549" t="str"><v>Apps & Infra</v></cell><cell r="T5549" t="str"><v>Developers & ITI's</v></cell><cell r="U5549" t="str"><v>USA-Trial-ITD-Retargeting-AZR-AZR</v></cell><cell r="V5549" t="str"><v>Retargeting</v></cell><cell r="W5549" t="str"><v>Link Ad</v></cell><cell r="X5549" t="str"><v>1x1</v></cell></row><row r="5549"><cell r="AA5549"><v>43321</v></cell><cell r="AB5549" t="str"><v>USA_gaPMG_AZR_AZR_Q1_19_Direct-Social</v></cell><cell r="AC5549"><v>21358715</v></cell><cell r="AD5549"><v>720197</v></cell><cell r="AE5549" t="str"><v>Facebook</v></cell><cell r="AF5549"><v>3654128</v></cell><cell r="AG5549" t="str"><v>FACEBOOK»USA-Trial-ITD-Retargeting-AZR-AZR»1 x 1»SocialBan»LIA»ALL»CPA»RT»X»NA»SS»NA»FreeAcctRetargetingFB-Animated-ChC»PRC1RX</v></cell><cell r="AH5549"><v>223862864</v></cell><cell r="AI5549" t="str"><v>AzurePlatform_FreeAcctRetargetingFB-Animated-ChC_USA_1200x628_CAN_PLATFORM_English_Free Account_Standard_ANI_SINU_T3_2</v></cell><cell r="AJ5549"><v>103180880</v></cell></row><row r="5550"><cell r="C5550" t="str"><v>43321FACEBOOK»USA-Trial-ITD-Retargeting-AZR-AZR»1 x 1»SocialBan»LIA»ALL»CPA»RT»X»NA»SS»NA»FreeAcctRetargetingFB-Credit-ChA»PRC1RV</v></cell><cell r="D5550" t="str"><v>43321224106075</v></cell><cell r="E5550" t="str"><v>43321103034917PRC1RV</v></cell><cell r="F5550" t="str"><v>DCM</v></cell><cell r="G5550" t="str"><v>https://azure.microsoft.com/en-us/free/search/?OCID=AID%eexcid!_OLA_%ebuy!_%epid!_%ecid!</v></cell></row><row r="5550"><cell r="K5550" t="str"><v>August</v></cell><cell r="L5550"><v>43323</v></cell><cell r="M5550" t="str"><v>Tier 0</v></cell><cell r="N5550" t="str"><v>North America</v></cell><cell r="O5550" t="str"><v>United States</v></cell><cell r="P5550" t="str"><v>Trial</v></cell><cell r="Q5550" t="str"><v>Social</v></cell><cell r="R5550" t="str"><v>Azure</v></cell><cell r="S5550" t="str"><v>Apps & Infra</v></cell><cell r="T5550" t="str"><v>Developers & ITI's</v></cell><cell r="U5550" t="str"><v>USA-Trial-ITD-Retargeting-AZR-AZR</v></cell><cell r="V5550" t="str"><v>Retargeting</v></cell><cell r="W5550" t="str"><v>Link Ad</v></cell><cell r="X5550" t="str"><v>1x1</v></cell></row><row r="5550"><cell r="AA5550"><v>43321</v></cell><cell r="AB5550" t="str"><v>USA_gaPMG_AZR_AZR_Q1_19_Direct-Social</v></cell><cell r="AC5550"><v>21358715</v></cell><cell r="AD5550"><v>720197</v></cell><cell r="AE5550" t="str"><v>Facebook</v></cell><cell r="AF5550"><v>3654128</v></cell><cell r="AG5550" t="str"><v>FACEBOOK»USA-Trial-ITD-Retargeting-AZR-AZR»1 x 1»SocialBan»LIA»ALL»CPA»RT»X»NA»SS»NA»FreeAcctRetargetingFB-Credit-ChA»PRC1RV</v></cell><cell r="AH5550"><v>224106075</v></cell><cell r="AI5550" t="str"><v>AzurePlatform_FreeAcctRetargetingFB-Credit-ChA_USA_1200x628_CAN_PLATFORM_English_Free Account_Standard_NA_SINU_T1_2</v></cell><cell r="AJ5550"><v>103034917</v></cell></row><row r="5551"><cell r="C5551" t="str"><v>43321FACEBOOK»USA-Trial-ITD-Retargeting-AZR-AZR»1 x 1»SocialBan»LIA»ALL»CPA»RT»X»NA»SS»NA»FreeAcctRetargetingFB-GlobalAlt-ChB»PRC1RW</v></cell><cell r="D5551" t="str"><v>43321223862756</v></cell><cell r="E5551" t="str"><v>43321103180592PRC1RW</v></cell><cell r="F5551" t="str"><v>DCM</v></cell><cell r="G5551" t="str"><v>https://azure.microsoft.com/en-us/free/search/?OCID=AID%eexcid!_OLA_%ebuy!_%epid!_%ecid!</v></cell></row><row r="5551"><cell r="K5551" t="str"><v>August</v></cell><cell r="L5551"><v>43323</v></cell><cell r="M5551" t="str"><v>Tier 0</v></cell><cell r="N5551" t="str"><v>North America</v></cell><cell r="O5551" t="str"><v>United States</v></cell><cell r="P5551" t="str"><v>Trial</v></cell><cell r="Q5551" t="str"><v>Social</v></cell><cell r="R5551" t="str"><v>Azure</v></cell><cell r="S5551" t="str"><v>Apps & Infra</v></cell><cell r="T5551" t="str"><v>Developers & ITI's</v></cell><cell r="U5551" t="str"><v>USA-Trial-ITD-Retargeting-AZR-AZR</v></cell><cell r="V5551" t="str"><v>Retargeting</v></cell><cell r="W5551" t="str"><v>Link Ad</v></cell><cell r="X5551" t="str"><v>1x1</v></cell></row><row r="5551"><cell r="AA5551"><v>43321</v></cell><cell r="AB5551" t="str"><v>USA_gaPMG_AZR_AZR_Q1_19_Direct-Social</v></cell><cell r="AC5551"><v>21358715</v></cell><cell r="AD5551"><v>720197</v></cell><cell r="AE5551" t="str"><v>Facebook</v></cell><cell r="AF5551"><v>3654128</v></cell><cell r="AG5551" t="str"><v>FACEBOOK»USA-Trial-ITD-Retargeting-AZR-AZR»1 x 1»SocialBan»LIA»ALL»CPA»RT»X»NA»SS»NA»FreeAcctRetargetingFB-GlobalAlt-ChB»PRC1RW</v></cell><cell r="AH5551"><v>223862756</v></cell><cell r="AI5551" t="str"><v>AzurePlatform_FreeAcctRetargetingFB-GlobalAlt-ChB_USA_1200x628_CAN_PLATFORM_English_Free Account_Standard_NA_SINU_T2_1</v></cell><cell r="AJ5551"><v>103180592</v></cell></row><row r="5552"><cell r="C5552" t="str"><v>43321FACEBOOK»USA-Trial-ITD-Retargeting-AZR-AZR»1 x 1»SocialBan»LIA»ALL»CPA»RT»X»NA»SS»NA»FreeAcctRetargetingVMFB-750Hrs-ChD»PRC1RY</v></cell><cell r="D5552" t="str"><v>43321223862747</v></cell><cell r="E5552" t="str"><v>43321103034911PRC1RY</v></cell><cell r="F5552" t="str"><v>DCM</v></cell><cell r="G5552" t="str"><v>https://azure.microsoft.com/en-us/free/virtual-machines/search/?OCID=AID%eexcid!_OLA_%ebuy!_%epid!_%ecid!</v></cell></row><row r="5552"><cell r="K5552" t="str"><v>August</v></cell><cell r="L5552"><v>43323</v></cell><cell r="M5552" t="str"><v>Tier 0</v></cell><cell r="N5552" t="str"><v>North America</v></cell><cell r="O5552" t="str"><v>United States</v></cell><cell r="P5552" t="str"><v>Trial</v></cell><cell r="Q5552" t="str"><v>Social</v></cell><cell r="R5552" t="str"><v>Azure</v></cell><cell r="S5552" t="str"><v>Apps & Infra</v></cell><cell r="T5552" t="str"><v>Developers & ITI's</v></cell><cell r="U5552" t="str"><v>USA-Trial-ITD-Retargeting-AZR-AZR</v></cell><cell r="V5552" t="str"><v>Retargeting</v></cell><cell r="W5552" t="str"><v>Link Ad</v></cell><cell r="X5552" t="str"><v>1x1</v></cell></row><row r="5552"><cell r="AA5552"><v>43321</v></cell><cell r="AB5552" t="str"><v>USA_gaPMG_AZR_AZR_Q1_19_Direct-Social</v></cell><cell r="AC5552"><v>21358715</v></cell><cell r="AD5552"><v>720197</v></cell><cell r="AE5552" t="str"><v>Facebook</v></cell><cell r="AF5552"><v>3654128</v></cell><cell r="AG5552" t="str"><v>FACEBOOK»USA-Trial-ITD-Retargeting-AZR-AZR»1 x 1»SocialBan»LIA»ALL»CPA»RT»X»NA»SS»NA»FreeAcctRetargetingVMFB-750Hrs-ChD»PRC1RY</v></cell><cell r="AH5552"><v>223862747</v></cell><cell r="AI5552" t="str"><v>AzurePlatform_FreeAcctRetargetingVMFB-750Hrs-ChD_USA_1200x628_CAN_PLATFORM_English_Free Account_Standard_NA_SINU_T1_1</v></cell><cell r="AJ5552"><v>103034911</v></cell></row><row r="5553"><cell r="C5553" t="str"><v>43321FACEBOOK»USA-Trial-ITD-Retargeting-AZR-AZR»1 x 1»SocialBan»LIA»ALL»CPA»RT»X»NA»SS»NA»FreeAcctRetargetingVMFB-OnDemand-ChE»PRC1S0</v></cell><cell r="D5553" t="str"><v>43321224104899</v></cell><cell r="E5553" t="str"><v>43321103180610PRC1S0</v></cell><cell r="F5553" t="str"><v>DCM</v></cell><cell r="G5553" t="str"><v>https://azure.microsoft.com/en-us/free/virtual-machines/search/?OCID=AID%eexcid!_OLA_%ebuy!_%epid!_%ecid!</v></cell></row><row r="5553"><cell r="K5553" t="str"><v>August</v></cell><cell r="L5553"><v>43323</v></cell><cell r="M5553" t="str"><v>Tier 0</v></cell><cell r="N5553" t="str"><v>North America</v></cell><cell r="O5553" t="str"><v>United States</v></cell><cell r="P5553" t="str"><v>Trial</v></cell><cell r="Q5553" t="str"><v>Social</v></cell><cell r="R5553" t="str"><v>Azure</v></cell><cell r="S5553" t="str"><v>Apps & Infra</v></cell><cell r="T5553" t="str"><v>Developers & ITI's</v></cell><cell r="U5553" t="str"><v>USA-Trial-ITD-Retargeting-AZR-AZR</v></cell><cell r="V5553" t="str"><v>Retargeting</v></cell><cell r="W5553" t="str"><v>Link Ad</v></cell><cell r="X5553" t="str"><v>1x1</v></cell></row><row r="5553"><cell r="AA5553"><v>43321</v></cell><cell r="AB5553" t="str"><v>USA_gaPMG_AZR_AZR_Q1_19_Direct-Social</v></cell><cell r="AC5553"><v>21358715</v></cell><cell r="AD5553"><v>720197</v></cell><cell r="AE5553" t="str"><v>Facebook</v></cell><cell r="AF5553"><v>3654128</v></cell><cell r="AG5553" t="str"><v>FACEBOOK»USA-Trial-ITD-Retargeting-AZR-AZR»1 x 1»SocialBan»LIA»ALL»CPA»RT»X»NA»SS»NA»FreeAcctRetargetingVMFB-OnDemand-ChE»PRC1S0</v></cell><cell r="AH5553"><v>224104899</v></cell><cell r="AI5553" t="str"><v>AzurePlatform_FreeAcctRetargetingVMFB-OnDemand-ChE_USA_1200x628_CAN_PLATFORM_English_Free Account_Standard_NA_SINU_T2_1</v></cell><cell r="AJ5553"><v>103180610</v></cell></row><row r="5554"><cell r="C5554" t="str"><v>43321FACEBOOK»USA-Trial-ITD-Retargeting-AZR-AZR»1 x 1»SocialBan»CAN»ALL»CPA»RT»X»NA»SS»NA»FBCTCBenefit2inMotion»PRC1RR</v></cell><cell r="D5554" t="str"><v>43321224104896</v></cell><cell r="E5554" t="str"><v>43321103043835PRC1RR</v></cell><cell r="F5554" t="str"><v>DCM</v></cell><cell r="G5554" t="str"><v>https://signup.azure.com/?OCID=AID%eexcid!_OLA_%ebuy!_%epid!_%ecid!</v></cell></row><row r="5554"><cell r="K5554" t="str"><v>August</v></cell><cell r="L5554"><v>43323</v></cell><cell r="M5554" t="str"><v>Tier 0</v></cell><cell r="N5554" t="str"><v>North America</v></cell><cell r="O5554" t="str"><v>United States</v></cell><cell r="P5554" t="str"><v>Trial</v></cell><cell r="Q5554" t="str"><v>Social</v></cell><cell r="R5554" t="str"><v>Azure</v></cell><cell r="S5554" t="str"><v>Apps & Infra</v></cell><cell r="T5554" t="str"><v>Developers & ITI's</v></cell><cell r="U5554" t="str"><v>USA-Trial-ITD-Retargeting-AZR-AZR</v></cell><cell r="V5554" t="str"><v>Retargeting</v></cell><cell r="W5554" t="str"><v>Canvas Ad</v></cell><cell r="X5554" t="str"><v>1x1</v></cell></row><row r="5554"><cell r="AA5554"><v>43321</v></cell><cell r="AB5554" t="str"><v>USA_gaPMG_AZR_AZR_Q1_19_Direct-Social</v></cell><cell r="AC5554"><v>21358715</v></cell><cell r="AD5554"><v>720197</v></cell><cell r="AE5554" t="str"><v>Facebook</v></cell><cell r="AF5554"><v>3654128</v></cell><cell r="AG5554" t="str"><v>FACEBOOK»USA-Trial-ITD-Retargeting-AZR-AZR»1 x 1»SocialBan»CAN»ALL»CPA»RT»X»NA»SS»NA»FBCTCBenefit2inMotion»PRC1RR</v></cell><cell r="AH5554"><v>224104896</v></cell><cell r="AI5554" t="str"><v>AzurePlatform_FBCTCBenefit2inMotion_USA_10s_CAN_PLATFORM_English_Trial_Standard_STAN_TIN_T4_1</v></cell><cell r="AJ5554"><v>103043835</v></cell></row><row r="5555"><cell r="C5555" t="str"><v>43321FACEBOOK»USA-Trial-ITD-Trial Lookalike-AZR-AZR»1 x 1»SocialBan»CAN»ALL»CPA»LAL»X»NA»SS»NA»FBCTCBenefit2inMotion»PRC1M0</v></cell><cell r="D5555" t="str"><v>43321223862927</v></cell><cell r="E5555" t="str"><v>43321103043835PRC1M0</v></cell><cell r="F5555" t="str"><v>DCM</v></cell><cell r="G5555" t="str"><v>https://signup.azure.com/?OCID=AID%eexcid!_OLA_%ebuy!_%epid!_%ecid!</v></cell></row><row r="5555"><cell r="K5555" t="str"><v>August</v></cell><cell r="L5555"><v>43323</v></cell><cell r="M5555" t="str"><v>Tier 0</v></cell><cell r="N5555" t="str"><v>North America</v></cell><cell r="O5555" t="str"><v>United States</v></cell><cell r="P5555" t="str"><v>Trial</v></cell><cell r="Q5555" t="str"><v>Social</v></cell><cell r="R5555" t="str"><v>Azure</v></cell><cell r="S5555" t="str"><v>Apps & Infra</v></cell><cell r="T5555" t="str"><v>Developers & ITI's</v></cell><cell r="U5555" t="str"><v>USA-Trial-ITD-Trial Lookalike-AZR-AZR</v></cell><cell r="V5555" t="str"><v>Lookalike Targeting</v></cell><cell r="W5555" t="str"><v>Canvas Ad</v></cell><cell r="X5555" t="str"><v>1x1</v></cell></row><row r="5555"><cell r="AA5555"><v>43321</v></cell><cell r="AB5555" t="str"><v>USA_gaPMG_AZR_AZR_Q1_19_Direct-Social</v></cell><cell r="AC5555"><v>21358715</v></cell><cell r="AD5555"><v>720197</v></cell><cell r="AE5555" t="str"><v>Facebook</v></cell><cell r="AF5555"><v>3654128</v></cell><cell r="AG5555" t="str"><v>FACEBOOK»USA-Trial-ITD-Trial Lookalike-AZR-AZR»1 x 1»SocialBan»CAN»ALL»CPA»LAL»X»NA»SS»NA»FBCTCBenefit2inMotion»PRC1M0</v></cell><cell r="AH5555"><v>223862927</v></cell><cell r="AI5555" t="str"><v>AzurePlatform_FBCTCBenefit2inMotion_USA_10s_CAN_PLATFORM_English_Trial_Standard_STAN_TIN_T4_1</v></cell><cell r="AJ5555"><v>103043835</v></cell></row><row r="5556"><cell r="C5556" t="str"><v>43321FACEBOOK»USA-Trial-ITD-Trial Lookalike-AZR-AZR»1 x 1»SocialBan»CAN»ALL»CPA»LAL»X»NA»SS»NA»FBCTCBenefit2inMotion»PRC1M0</v></cell><cell r="D5556" t="str"><v>43321223862927</v></cell><cell r="E5556" t="str"><v>43321103178645PRC1M0</v></cell><cell r="F5556" t="str"><v>DCM</v></cell><cell r="G5556" t="str"><v>https://azure.microsoft.com/en-us/pricing/purchase-options/?v=18.19&OCID=AID%eexcid!_OLA_%ebuy!_%epid!_%ecid!</v></cell></row><row r="5556"><cell r="K5556" t="str"><v>August</v></cell><cell r="L5556"><v>43323</v></cell><cell r="M5556" t="str"><v>Tier 0</v></cell><cell r="N5556" t="str"><v>North America</v></cell><cell r="O5556" t="str"><v>United States</v></cell><cell r="P5556" t="str"><v>Trial</v></cell><cell r="Q5556" t="str"><v>Social</v></cell><cell r="R5556" t="str"><v>Azure</v></cell><cell r="S5556" t="str"><v>Apps & Infra</v></cell><cell r="T5556" t="str"><v>Developers & ITI's</v></cell><cell r="U5556" t="str"><v>USA-Trial-ITD-Trial Lookalike-AZR-AZR</v></cell><cell r="V5556" t="str"><v>Lookalike Targeting</v></cell><cell r="W5556" t="str"><v>Canvas Ad</v></cell><cell r="X5556" t="str"><v>1x1</v></cell></row><row r="5556"><cell r="AA5556"><v>43321</v></cell><cell r="AB5556" t="str"><v>USA_gaPMG_AZR_AZR_Q1_19_Direct-Social</v></cell><cell r="AC5556"><v>21358715</v></cell><cell r="AD5556"><v>720197</v></cell><cell r="AE5556" t="str"><v>Facebook</v></cell><cell r="AF5556"><v>3654128</v></cell><cell r="AG5556" t="str"><v>FACEBOOK»USA-Trial-ITD-Trial Lookalike-AZR-AZR»1 x 1»SocialBan»CAN»ALL»CPA»LAL»X»NA»SS»NA»FBCTCBenefit2inMotion»PRC1M0</v></cell><cell r="AH5556"><v>223862927</v></cell><cell r="AI5556" t="str"><v>AzurePlatform_FBCTCBenefit2inMotion_USA_10s_CAN_PLATFORM_English_Trial_Standard_STAN_TIN_T4_2</v></cell><cell r="AJ5556"><v>103178645</v></cell></row><row r="5557"><cell r="C5557" t="str"><v>43321FACEBOOK»USA-Trial-ITD-Trial Lookalike-AZR-AZR»1 x 1»SocialBan»CAN»ALL»CPA»LAL»X»NA»SS»NA»FBCTCBenefitinMotion»PRC1M2</v></cell><cell r="D5557" t="str"><v>43321223862897</v></cell><cell r="E5557" t="str"><v>43321103032775PRC1M2</v></cell><cell r="F5557" t="str"><v>DCM</v></cell><cell r="G5557" t="str"><v>https://signup.azure.com/?OCID=AID%eexcid!_OLA_%ebuy!_%epid!_%ecid!</v></cell></row><row r="5557"><cell r="K5557" t="str"><v>August</v></cell><cell r="L5557"><v>43323</v></cell><cell r="M5557" t="str"><v>Tier 0</v></cell><cell r="N5557" t="str"><v>North America</v></cell><cell r="O5557" t="str"><v>United States</v></cell><cell r="P5557" t="str"><v>Trial</v></cell><cell r="Q5557" t="str"><v>Social</v></cell><cell r="R5557" t="str"><v>Azure</v></cell><cell r="S5557" t="str"><v>Apps & Infra</v></cell><cell r="T5557" t="str"><v>Developers & ITI's</v></cell><cell r="U5557" t="str"><v>USA-Trial-ITD-Trial Lookalike-AZR-AZR</v></cell><cell r="V5557" t="str"><v>Lookalike Targeting</v></cell><cell r="W5557" t="str"><v>Canvas Ad</v></cell><cell r="X5557" t="str"><v>1x1</v></cell></row><row r="5557"><cell r="AA5557"><v>43321</v></cell><cell r="AB5557" t="str"><v>USA_gaPMG_AZR_AZR_Q1_19_Direct-Social</v></cell><cell r="AC5557"><v>21358715</v></cell><cell r="AD5557"><v>720197</v></cell><cell r="AE5557" t="str"><v>Facebook</v></cell><cell r="AF5557"><v>3654128</v></cell><cell r="AG5557" t="str"><v>FACEBOOK»USA-Trial-ITD-Trial Lookalike-AZR-AZR»1 x 1»SocialBan»CAN»ALL»CPA»LAL»X»NA»SS»NA»FBCTCBenefitinMotion»PRC1M2</v></cell><cell r="AH5557"><v>223862897</v></cell><cell r="AI5557" t="str"><v>AzurePlatform_FBCTCBenefitinMotion_USA_10s_CAN_PLATFORM_English_Trial_Standard_STAN_TIN_T3_1</v></cell><cell r="AJ5557"><v>103032775</v></cell></row><row r="5558"><cell r="C5558" t="str"><v>43321FACEBOOK»USA-Trial-ITD-Trial Lookalike-AZR-AZR»1 x 1»SocialBan»CAN»ALL»CPA»LAL»X»NA»SS»NA»FBCTCBenefitinMotion»PRC1M2</v></cell><cell r="D5558" t="str"><v>43321223862897</v></cell><cell r="E5558" t="str"><v>43321103176836PRC1M2</v></cell><cell r="F5558" t="str"><v>DCM</v></cell><cell r="G5558" t="str"><v>https://azure.microsoft.com/en-us/pricing/purchase-options/?v=18.19&OCID=AID%eexcid!_OLA_%ebuy!_%epid!_%ecid!</v></cell></row><row r="5558"><cell r="K5558" t="str"><v>August</v></cell><cell r="L5558"><v>43323</v></cell><cell r="M5558" t="str"><v>Tier 0</v></cell><cell r="N5558" t="str"><v>North America</v></cell><cell r="O5558" t="str"><v>United States</v></cell><cell r="P5558" t="str"><v>Trial</v></cell><cell r="Q5558" t="str"><v>Social</v></cell><cell r="R5558" t="str"><v>Azure</v></cell><cell r="S5558" t="str"><v>Apps & Infra</v></cell><cell r="T5558" t="str"><v>Developers & ITI's</v></cell><cell r="U5558" t="str"><v>USA-Trial-ITD-Trial Lookalike-AZR-AZR</v></cell><cell r="V5558" t="str"><v>Lookalike Targeting</v></cell><cell r="W5558" t="str"><v>Canvas Ad</v></cell><cell r="X5558" t="str"><v>1x1</v></cell></row><row r="5558"><cell r="AA5558"><v>43321</v></cell><cell r="AB5558" t="str"><v>USA_gaPMG_AZR_AZR_Q1_19_Direct-Social</v></cell><cell r="AC5558"><v>21358715</v></cell><cell r="AD5558"><v>720197</v></cell><cell r="AE5558" t="str"><v>Facebook</v></cell><cell r="AF5558"><v>3654128</v></cell><cell r="AG5558" t="str"><v>FACEBOOK»USA-Trial-ITD-Trial Lookalike-AZR-AZR»1 x 1»SocialBan»CAN»ALL»CPA»LAL»X»NA»SS»NA»FBCTCBenefitinMotion»PRC1M2</v></cell><cell r="AH5558"><v>223862897</v></cell><cell r="AI5558" t="str"><v>AzurePlatform_FBCTCBenefitinMotion_USA_10s_CAN_PLATFORM_English_Trial_Standard_STAN_TIN_T3_2</v></cell><cell r="AJ5558"><v>103176836</v></cell></row><row r="5559"><cell r="C5559" t="str"><v>43321FACEBOOK»USA-Trial-ITD-Trial Lookalike-AZR-AZR»1 x 1»SocialBan»LIA»ALL»CPA»LAL»X»NA»SS»NA»FreeAcctDeveloperFB-AnimatedData-Ch4»PRC1M8</v></cell><cell r="D5559" t="str"><v>43321223862933</v></cell><cell r="E5559" t="str"><v>43321103037935PRC1M8</v></cell><cell r="F5559" t="str"><v>DCM</v></cell></row><row r="5559"><cell r="K5559" t="str"><v>August</v></cell><cell r="L5559"><v>43323</v></cell><cell r="M5559" t="str"><v>Tier 0</v></cell><cell r="N5559" t="str"><v>North America</v></cell><cell r="O5559" t="str"><v>United States</v></cell><cell r="P5559" t="str"><v>Trial</v></cell><cell r="Q5559" t="str"><v>Social</v></cell><cell r="R5559" t="str"><v>Azure</v></cell><cell r="S5559" t="str"><v>Apps & Infra</v></cell><cell r="T5559" t="str"><v>Developers & ITI's</v></cell><cell r="U5559" t="str"><v>USA-Trial-ITD-Trial Lookalike-AZR-AZR</v></cell><cell r="V5559" t="str"><v>Lookalike Targeting</v></cell><cell r="W5559" t="str"><v>Link Ad</v></cell><cell r="X5559" t="str"><v>1x1</v></cell></row><row r="5559"><cell r="AA5559"><v>43321</v></cell><cell r="AB5559" t="str"><v>USA_gaPMG_AZR_AZR_Q1_19_Direct-Social</v></cell><cell r="AC5559"><v>21358715</v></cell><cell r="AD5559"><v>720197</v></cell><cell r="AE5559" t="str"><v>Facebook</v></cell><cell r="AF5559"><v>3654128</v></cell><cell r="AG5559" t="str"><v>FACEBOOK»USA-Trial-ITD-Trial Lookalike-AZR-AZR»1 x 1»SocialBan»LIA»ALL»CPA»LAL»X»NA»SS»NA»FreeAcctDeveloperFB-AnimatedData-Ch4»PRC1M8</v></cell><cell r="AH5559"><v>223862933</v></cell><cell r="AI5559" t="str"><v>AZR_FreeAcctDeveloperFB-AnimatedData-Ch4_USA_1200x1200_CAN_Direct_English_Trial_Standard_ANI_LEA_T4_2</v></cell><cell r="AJ5559"><v>103037935</v></cell></row><row r="5560"><cell r="C5560" t="str"><v>43321FACEBOOK»USA-Trial-ITD-Trial Lookalike-AZR-AZR»1 x 1»SocialBan»LIA»ALL»CPA»LAL»X»NA»SS»NA»FreeAcctITProFB-AnimatedHybrid-Ch2»PRC1MC</v></cell><cell r="D5560" t="str"><v>43321224104956</v></cell><cell r="E5560" t="str"><v>43321103180583PRC1MC</v></cell><cell r="F5560" t="str"><v>DCM</v></cell></row><row r="5560"><cell r="K5560" t="str"><v>August</v></cell><cell r="L5560"><v>43323</v></cell><cell r="M5560" t="str"><v>Tier 0</v></cell><cell r="N5560" t="str"><v>North America</v></cell><cell r="O5560" t="str"><v>United States</v></cell><cell r="P5560" t="str"><v>Trial</v></cell><cell r="Q5560" t="str"><v>Social</v></cell><cell r="R5560" t="str"><v>Azure</v></cell><cell r="S5560" t="str"><v>Apps & Infra</v></cell><cell r="T5560" t="str"><v>Developers & ITI's</v></cell><cell r="U5560" t="str"><v>USA-Trial-ITD-Trial Lookalike-AZR-AZR</v></cell><cell r="V5560" t="str"><v>Lookalike Targeting</v></cell><cell r="W5560" t="str"><v>Link Ad</v></cell><cell r="X5560" t="str"><v>1x1</v></cell></row><row r="5560"><cell r="AA5560"><v>43321</v></cell><cell r="AB5560" t="str"><v>USA_gaPMG_AZR_AZR_Q1_19_Direct-Social</v></cell><cell r="AC5560"><v>21358715</v></cell><cell r="AD5560"><v>720197</v></cell><cell r="AE5560" t="str"><v>Facebook</v></cell><cell r="AF5560"><v>3654128</v></cell><cell r="AG5560" t="str"><v>FACEBOOK»USA-Trial-ITD-Trial Lookalike-AZR-AZR»1 x 1»SocialBan»LIA»ALL»CPA»LAL»X»NA»SS»NA»FreeAcctITProFB-AnimatedHybrid-Ch2»PRC1MC</v></cell><cell r="AH5560"><v>224104956</v></cell><cell r="AI5560" t="str"><v>AZR_FreeAcctITProFB-AnimatedHybrid-Ch2_USA_1200x1200_CAN_Direct_English_Trial_Standard_ANI_LEA_T2_2</v></cell><cell r="AJ5560"><v>103180583</v></cell></row><row r="5561"><cell r="C5561" t="str"><v>43321FACEBOOK»USA-Trial-ITD-Trial Lookalike-AZR-AZR»1 x 1»SocialBan»CAN»ALL»CPA»LAL»X»NA»SS»NA»FBCTCBrandinMotion»PRC1M3</v></cell><cell r="D5561" t="str"><v>43321223862900</v></cell><cell r="E5561" t="str"><v>43321103176812PRC1M3</v></cell><cell r="F5561" t="str"><v>DCM</v></cell><cell r="G5561" t="str"><v>https://signup.azure.com/?OCID=AID%eexcid!_OLA_%ebuy!_%epid!_%ecid!</v></cell></row><row r="5561"><cell r="K5561" t="str"><v>August</v></cell><cell r="L5561"><v>43323</v></cell><cell r="M5561" t="str"><v>Tier 0</v></cell><cell r="N5561" t="str"><v>North America</v></cell><cell r="O5561" t="str"><v>United States</v></cell><cell r="P5561" t="str"><v>Trial</v></cell><cell r="Q5561" t="str"><v>Social</v></cell><cell r="R5561" t="str"><v>Azure</v></cell><cell r="S5561" t="str"><v>Apps & Infra</v></cell><cell r="T5561" t="str"><v>Developers & ITI's</v></cell><cell r="U5561" t="str"><v>USA-Trial-ITD-Trial Lookalike-AZR-AZR</v></cell><cell r="V5561" t="str"><v>Lookalike Targeting</v></cell><cell r="W5561" t="str"><v>Canvas Ad</v></cell><cell r="X5561" t="str"><v>1x1</v></cell></row><row r="5561"><cell r="AA5561"><v>43321</v></cell><cell r="AB5561" t="str"><v>USA_gaPMG_AZR_AZR_Q1_19_Direct-Social</v></cell><cell r="AC5561"><v>21358715</v></cell><cell r="AD5561"><v>720197</v></cell><cell r="AE5561" t="str"><v>Facebook</v></cell><cell r="AF5561"><v>3654128</v></cell><cell r="AG5561" t="str"><v>FACEBOOK»USA-Trial-ITD-Trial Lookalike-AZR-AZR»1 x 1»SocialBan»CAN»ALL»CPA»LAL»X»NA»SS»NA»FBCTCBrandinMotion»PRC1M3</v></cell><cell r="AH5561"><v>223862900</v></cell><cell r="AI5561" t="str"><v>AzurePlatform_FBCTCBrandinMotion_USA_10s_CAN_PLATFORM_English_Trial_Standard_STAN_TIN_T2_1</v></cell><cell r="AJ5561"><v>103176812</v></cell></row><row r="5562"><cell r="C5562" t="str"><v>43321FACEBOOK»USA-Trial-ITD-Trial Lookalike-AZR-AZR»1 x 1»SocialBan»CAN»ALL»CPA»LAL»X»NA»SS»NA»FBCTCBrandinMotion»PRC1M3</v></cell><cell r="D5562" t="str"><v>43321223862900</v></cell><cell r="E5562" t="str"><v>43321103032823PRC1M3</v></cell><cell r="F5562" t="str"><v>DCM</v></cell><cell r="G5562" t="str"><v>https://azure.microsoft.com/en-us/pricing/purchase-options/?v=18.19&OCID=AID%eexcid!_OLA_%ebuy!_%epid!_%ecid!</v></cell></row><row r="5562"><cell r="K5562" t="str"><v>August</v></cell><cell r="L5562"><v>43323</v></cell><cell r="M5562" t="str"><v>Tier 0</v></cell><cell r="N5562" t="str"><v>North America</v></cell><cell r="O5562" t="str"><v>United States</v></cell><cell r="P5562" t="str"><v>Trial</v></cell><cell r="Q5562" t="str"><v>Social</v></cell><cell r="R5562" t="str"><v>Azure</v></cell><cell r="S5562" t="str"><v>Apps & Infra</v></cell><cell r="T5562" t="str"><v>Developers & ITI's</v></cell><cell r="U5562" t="str"><v>USA-Trial-ITD-Trial Lookalike-AZR-AZR</v></cell><cell r="V5562" t="str"><v>Lookalike Targeting</v></cell><cell r="W5562" t="str"><v>Canvas Ad</v></cell><cell r="X5562" t="str"><v>1x1</v></cell></row><row r="5562"><cell r="AA5562"><v>43321</v></cell><cell r="AB5562" t="str"><v>USA_gaPMG_AZR_AZR_Q1_19_Direct-Social</v></cell><cell r="AC5562"><v>21358715</v></cell><cell r="AD5562"><v>720197</v></cell><cell r="AE5562" t="str"><v>Facebook</v></cell><cell r="AF5562"><v>3654128</v></cell><cell r="AG5562" t="str"><v>FACEBOOK»USA-Trial-ITD-Trial Lookalike-AZR-AZR»1 x 1»SocialBan»CAN»ALL»CPA»LAL»X»NA»SS»NA»FBCTCBrandinMotion»PRC1M3</v></cell><cell r="AH5562"><v>223862900</v></cell><cell r="AI5562" t="str"><v>AzurePlatform_FBCTCBrandinMotion_USA_10s_CAN_PLATFORM_English_Trial_Standard_STAN_TIN_T2_2</v></cell><cell r="AJ5562"><v>103032823</v></cell></row><row r="5563"><cell r="C5563" t="str"><v>43321FACEBOOK»USA-Trial-ITD-Trial PayGo Lookalike-AZR-AZR»1 x 1»SocialBan»CAN»ALL»CPA»LAL»X»NA»SS»NA»FBCTCBenefit2inMotion»PRC1Q1</v></cell><cell r="D5563" t="str"><v>43321224104986</v></cell><cell r="E5563" t="str"><v>43321103043835PRC1Q1</v></cell><cell r="F5563" t="str"><v>DCM</v></cell><cell r="G5563" t="str"><v>https://signup.azure.com/?OCID=AID%eexcid!_OLA_%ebuy!_%epid!_%ecid!</v></cell></row><row r="5563"><cell r="K5563" t="str"><v>August</v></cell><cell r="L5563"><v>43323</v></cell><cell r="M5563" t="str"><v>Tier 0</v></cell><cell r="N5563" t="str"><v>North America</v></cell><cell r="O5563" t="str"><v>United States</v></cell><cell r="P5563" t="str"><v>Trial</v></cell><cell r="Q5563" t="str"><v>Social</v></cell><cell r="R5563" t="str"><v>Azure</v></cell><cell r="S5563" t="str"><v>Apps & Infra</v></cell><cell r="T5563" t="str"><v>Developers & ITI's</v></cell><cell r="U5563" t="str"><v>USA-Trial-ITD-Trial PayGo Lookalike-AZR-AZR</v></cell><cell r="V5563" t="str"><v>Lookalike Targeting</v></cell><cell r="W5563" t="str"><v>Canvas Ad</v></cell><cell r="X5563" t="str"><v>1x1</v></cell></row><row r="5563"><cell r="AA5563"><v>43321</v></cell><cell r="AB5563" t="str"><v>USA_gaPMG_AZR_AZR_Q1_19_Direct-Social</v></cell><cell r="AC5563"><v>21358715</v></cell><cell r="AD5563"><v>720197</v></cell><cell r="AE5563" t="str"><v>Facebook</v></cell><cell r="AF5563"><v>3654128</v></cell><cell r="AG5563" t="str"><v>FACEBOOK»USA-Trial-ITD-Trial PayGo Lookalike-AZR-AZR»1 x 1»SocialBan»CAN»ALL»CPA»LAL»X»NA»SS»NA»FBCTCBenefit2inMotion»PRC1Q1</v></cell><cell r="AH5563"><v>224104986</v></cell><cell r="AI5563" t="str"><v>AzurePlatform_FBCTCBenefit2inMotion_USA_10s_CAN_PLATFORM_English_Trial_Standard_STAN_TIN_T4_1</v></cell><cell r="AJ5563"><v>103043835</v></cell></row><row r="5564"><cell r="C5564" t="str"><v>43321FACEBOOK»USA-Trial-ITD-Trial PayGo Lookalike-AZR-AZR»1 x 1»SocialBan»CAN»ALL»CPA»LAL»X»NA»SS»NA»FBCTCBrandinMotion»PRC1Q3</v></cell><cell r="D5564" t="str"><v>43321223935349</v></cell><cell r="E5564" t="str"><v>43321103176812PRC1Q3</v></cell><cell r="F5564" t="str"><v>DCM</v></cell><cell r="G5564" t="str"><v>https://signup.azure.com/?OCID=AID%eexcid!_OLA_%ebuy!_%epid!_%ecid!</v></cell></row><row r="5564"><cell r="K5564" t="str"><v>August</v></cell><cell r="L5564"><v>43323</v></cell><cell r="M5564" t="str"><v>Tier 0</v></cell><cell r="N5564" t="str"><v>North America</v></cell><cell r="O5564" t="str"><v>United States</v></cell><cell r="P5564" t="str"><v>Trial</v></cell><cell r="Q5564" t="str"><v>Social</v></cell><cell r="R5564" t="str"><v>Azure</v></cell><cell r="S5564" t="str"><v>Apps & Infra</v></cell><cell r="T5564" t="str"><v>Developers & ITI's</v></cell><cell r="U5564" t="str"><v>USA-Trial-ITD-Trial PayGo Lookalike-AZR-AZR</v></cell><cell r="V5564" t="str"><v>Lookalike Targeting</v></cell><cell r="W5564" t="str"><v>Canvas Ad</v></cell><cell r="X5564" t="str"><v>1x1</v></cell></row><row r="5564"><cell r="AA5564"><v>43321</v></cell><cell r="AB5564" t="str"><v>USA_gaPMG_AZR_AZR_Q1_19_Direct-Social</v></cell><cell r="AC5564"><v>21358715</v></cell><cell r="AD5564"><v>720197</v></cell><cell r="AE5564" t="str"><v>Facebook</v></cell><cell r="AF5564"><v>3654128</v></cell><cell r="AG5564" t="str"><v>FACEBOOK»USA-Trial-ITD-Trial PayGo Lookalike-AZR-AZR»1 x 1»SocialBan»CAN»ALL»CPA»LAL»X»NA»SS»NA»FBCTCBrandinMotion»PRC1Q3</v></cell><cell r="AH5564"><v>223935349</v></cell><cell r="AI5564" t="str"><v>AzurePlatform_FBCTCBrandinMotion_USA_10s_CAN_PLATFORM_English_Trial_Standard_STAN_TIN_T2_1</v></cell><cell r="AJ5564"><v>103176812</v></cell></row><row r="5565"><cell r="C5565" t="str"><v>43321FACEBOOK»USA-Trial-ITD-Trial PayGo Lookalike-AZR-AZR»1 x 1»SocialBan»CAN»ALL»CPA»LAL»X»NA»SS»NA»FBCTCBrandinMotion»PRC1Q3</v></cell><cell r="D5565" t="str"><v>43321223935349</v></cell><cell r="E5565" t="str"><v>43321103032823PRC1Q3</v></cell><cell r="F5565" t="str"><v>DCM</v></cell><cell r="G5565" t="str"><v>https://azure.microsoft.com/en-us/pricing/purchase-options/?v=18.19&OCID=AID%eexcid!_OLA_%ebuy!_%epid!_%ecid!</v></cell></row><row r="5565"><cell r="K5565" t="str"><v>August</v></cell><cell r="L5565"><v>43323</v></cell><cell r="M5565" t="str"><v>Tier 0</v></cell><cell r="N5565" t="str"><v>North America</v></cell><cell r="O5565" t="str"><v>United States</v></cell><cell r="P5565" t="str"><v>Trial</v></cell><cell r="Q5565" t="str"><v>Social</v></cell><cell r="R5565" t="str"><v>Azure</v></cell><cell r="S5565" t="str"><v>Apps & Infra</v></cell><cell r="T5565" t="str"><v>Developers & ITI's</v></cell><cell r="U5565" t="str"><v>USA-Trial-ITD-Trial PayGo Lookalike-AZR-AZR</v></cell><cell r="V5565" t="str"><v>Lookalike Targeting</v></cell><cell r="W5565" t="str"><v>Canvas Ad</v></cell><cell r="X5565" t="str"><v>1x1</v></cell></row><row r="5565"><cell r="AA5565"><v>43321</v></cell><cell r="AB5565" t="str"><v>USA_gaPMG_AZR_AZR_Q1_19_Direct-Social</v></cell><cell r="AC5565"><v>21358715</v></cell><cell r="AD5565"><v>720197</v></cell><cell r="AE5565" t="str"><v>Facebook</v></cell><cell r="AF5565"><v>3654128</v></cell><cell r="AG5565" t="str"><v>FACEBOOK»USA-Trial-ITD-Trial PayGo Lookalike-AZR-AZR»1 x 1»SocialBan»CAN»ALL»CPA»LAL»X»NA»SS»NA»FBCTCBrandinMotion»PRC1Q3</v></cell><cell r="AH5565"><v>223935349</v></cell><cell r="AI5565" t="str"><v>AzurePlatform_FBCTCBrandinMotion_USA_10s_CAN_PLATFORM_English_Trial_Standard_STAN_TIN_T2_2</v></cell><cell r="AJ5565"><v>103032823</v></cell></row><row r="5566"><cell r="C5566" t="str"><v>43321FACEBOOK»USA-Trial-ITD-Trial PayGo Lookalike-AZR-AZR»1 x 1»SocialBan»CAN»ALL»CPA»LAL»X»NA»SS»NA»FBCTCBenefitinMotion»PRC1Q2</v></cell><cell r="D5566" t="str"><v>43321223862960</v></cell><cell r="E5566" t="str"><v>43321103032775PRC1Q2</v></cell><cell r="F5566" t="str"><v>DCM</v></cell><cell r="G5566" t="str"><v>https://signup.azure.com/?OCID=AID%eexcid!_OLA_%ebuy!_%epid!_%ecid!</v></cell></row><row r="5566"><cell r="K5566" t="str"><v>August</v></cell><cell r="L5566"><v>43323</v></cell><cell r="M5566" t="str"><v>Tier 0</v></cell><cell r="N5566" t="str"><v>North America</v></cell><cell r="O5566" t="str"><v>United States</v></cell><cell r="P5566" t="str"><v>Trial</v></cell><cell r="Q5566" t="str"><v>Social</v></cell><cell r="R5566" t="str"><v>Azure</v></cell><cell r="S5566" t="str"><v>Apps & Infra</v></cell><cell r="T5566" t="str"><v>Developers & ITI's</v></cell><cell r="U5566" t="str"><v>USA-Trial-ITD-Trial PayGo Lookalike-AZR-AZR</v></cell><cell r="V5566" t="str"><v>Lookalike Targeting</v></cell><cell r="W5566" t="str"><v>Canvas Ad</v></cell><cell r="X5566" t="str"><v>1x1</v></cell></row><row r="5566"><cell r="AA5566"><v>43321</v></cell><cell r="AB5566" t="str"><v>USA_gaPMG_AZR_AZR_Q1_19_Direct-Social</v></cell><cell r="AC5566"><v>21358715</v></cell><cell r="AD5566"><v>720197</v></cell><cell r="AE5566" t="str"><v>Facebook</v></cell><cell r="AF5566"><v>3654128</v></cell><cell r="AG5566" t="str"><v>FACEBOOK»USA-Trial-ITD-Trial PayGo Lookalike-AZR-AZR»1 x 1»SocialBan»CAN»ALL»CPA»LAL»X»NA»SS»NA»FBCTCBenefitinMotion»PRC1Q2</v></cell><cell r="AH5566"><v>223862960</v></cell><cell r="AI5566" t="str"><v>AzurePlatform_FBCTCBenefitinMotion_USA_10s_CAN_PLATFORM_English_Trial_Standard_STAN_TIN_T3_1</v></cell><cell r="AJ5566"><v>103032775</v></cell></row><row r="5567"><cell r="C5567" t="str"><v>43321FACEBOOK»USA-Trial-ITD-Trial PayGo Lookalike-AZR-AZR»1 x 1»SocialBan»CAN»ALL»CPA»LAL»X»NA»SS»NA»FBCTCBenefitinMotion»PRC1Q2</v></cell><cell r="D5567" t="str"><v>43321223862960</v></cell><cell r="E5567" t="str"><v>43321103176836PRC1Q2</v></cell><cell r="F5567" t="str"><v>DCM</v></cell><cell r="G5567" t="str"><v>https://azure.microsoft.com/en-us/pricing/purchase-options/?v=18.19&OCID=AID%eexcid!_OLA_%ebuy!_%epid!_%ecid!</v></cell></row><row r="5567"><cell r="K5567" t="str"><v>August</v></cell><cell r="L5567"><v>43323</v></cell><cell r="M5567" t="str"><v>Tier 0</v></cell><cell r="N5567" t="str"><v>North America</v></cell><cell r="O5567" t="str"><v>United States</v></cell><cell r="P5567" t="str"><v>Trial</v></cell><cell r="Q5567" t="str"><v>Social</v></cell><cell r="R5567" t="str"><v>Azure</v></cell><cell r="S5567" t="str"><v>Apps & Infra</v></cell><cell r="T5567" t="str"><v>Developers & ITI's</v></cell><cell r="U5567" t="str"><v>USA-Trial-ITD-Trial PayGo Lookalike-AZR-AZR</v></cell><cell r="V5567" t="str"><v>Lookalike Targeting</v></cell><cell r="W5567" t="str"><v>Canvas Ad</v></cell><cell r="X5567" t="str"><v>1x1</v></cell></row><row r="5567"><cell r="AA5567"><v>43321</v></cell><cell r="AB5567" t="str"><v>USA_gaPMG_AZR_AZR_Q1_19_Direct-Social</v></cell><cell r="AC5567"><v>21358715</v></cell><cell r="AD5567"><v>720197</v></cell><cell r="AE5567" t="str"><v>Facebook</v></cell><cell r="AF5567"><v>3654128</v></cell><cell r="AG5567" t="str"><v>FACEBOOK»USA-Trial-ITD-Trial PayGo Lookalike-AZR-AZR»1 x 1»SocialBan»CAN»ALL»CPA»LAL»X»NA»SS»NA»FBCTCBenefitinMotion»PRC1Q2</v></cell><cell r="AH5567"><v>223862960</v></cell><cell r="AI5567" t="str"><v>AzurePlatform_FBCTCBenefitinMotion_USA_10s_CAN_PLATFORM_English_Trial_Standard_STAN_TIN_T3_2</v></cell><cell r="AJ5567"><v>103176836</v></cell></row><row r="5568"><cell r="C5568" t="str"><v>43321FACEBOOK»USA-Trial-ITD-Trial PayGo Lookalike-AZR-AZR»1 x 1»SocialBan»LIA»ALL»CPA»LAL»X»NA»SS»NA»FreeAcctDeveloperFB-AnimatedGeneric-Ch1»PRC1Q6</v></cell><cell r="D5568" t="str"><v>43321224106129</v></cell><cell r="E5568" t="str"><v>43321103176851PRC1Q6</v></cell><cell r="F5568" t="str"><v>DCM</v></cell><cell r="G5568" t="str"><v>https://azure.microsoft.com/en-us/free/search/?OCID=AID%eexcid!_OLA_%ebuy!_%epid!_%ecid!</v></cell></row><row r="5568"><cell r="K5568" t="str"><v>August</v></cell><cell r="L5568"><v>43323</v></cell><cell r="M5568" t="str"><v>Tier 0</v></cell><cell r="N5568" t="str"><v>North America</v></cell><cell r="O5568" t="str"><v>United States</v></cell><cell r="P5568" t="str"><v>Trial</v></cell><cell r="Q5568" t="str"><v>Social</v></cell><cell r="R5568" t="str"><v>Azure</v></cell><cell r="S5568" t="str"><v>Apps & Infra</v></cell><cell r="T5568" t="str"><v>Developers & ITI's</v></cell><cell r="U5568" t="str"><v>USA-Trial-ITD-Trial PayGo Lookalike-AZR-AZR</v></cell><cell r="V5568" t="str"><v>Lookalike Targeting</v></cell><cell r="W5568" t="str"><v>Link Ad</v></cell><cell r="X5568" t="str"><v>1x1</v></cell></row><row r="5568"><cell r="AA5568"><v>43321</v></cell><cell r="AB5568" t="str"><v>USA_gaPMG_AZR_AZR_Q1_19_Direct-Social</v></cell><cell r="AC5568"><v>21358715</v></cell><cell r="AD5568"><v>720197</v></cell><cell r="AE5568" t="str"><v>Facebook</v></cell><cell r="AF5568"><v>3654128</v></cell><cell r="AG5568" t="str"><v>FACEBOOK»USA-Trial-ITD-Trial PayGo Lookalike-AZR-AZR»1 x 1»SocialBan»LIA»ALL»CPA»LAL»X»NA»SS»NA»FreeAcctDeveloperFB-AnimatedGeneric-Ch1»PRC1Q6</v></cell><cell r="AH5568"><v>224106129</v></cell><cell r="AI5568" t="str"><v>AZR_FreeAcctDeveloperFB-AnimatedGeneric-Ch1_USA_1200x1200_CAN_Direct_English_Trial_Standard_ANI_LEA_T1_2</v></cell><cell r="AJ5568"><v>103176851</v></cell></row><row r="5569"><cell r="C5569" t="str"><v>43321FACEBOOK»USA-Trial-ITD-Trial PayGo Lookalike-AZR-AZR»1 x 1»SocialBan»CCA»ALL»CPA»LAL»X»NA»SS»NA»Azure Developer Facebook Collections»PRSH6K</v></cell><cell r="D5569" t="str"><v>43321225217676</v></cell><cell r="E5569" t="str"><v>43321103773177PRSH6K</v></cell><cell r="F5569" t="str"><v>DCM</v></cell><cell r="G556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569"><cell r="K5569" t="str"><v>August</v></cell><cell r="L5569"><v>43323</v></cell><cell r="M5569" t="str"><v>Tier 0</v></cell><cell r="N5569" t="str"><v>North America</v></cell><cell r="O5569" t="str"><v>United States</v></cell><cell r="P5569" t="str"><v>Trial</v></cell><cell r="Q5569" t="str"><v>Social</v></cell><cell r="R5569" t="str"><v>Azure</v></cell><cell r="S5569" t="str"><v>Apps & Infra</v></cell><cell r="T5569" t="str"><v>Developers & ITI's</v></cell><cell r="U5569" t="str"><v>USA-Trial-ITD-Trial PayGo Lookalike-AZR-AZR</v></cell><cell r="V5569" t="str"><v>Lookalike Targeting</v></cell><cell r="W5569" t="str"><v>Canvas Collection Ad</v></cell><cell r="X5569" t="str"><v>1x1</v></cell></row><row r="5569"><cell r="AA5569"><v>43321</v></cell><cell r="AB5569" t="str"><v>USA_gaPMG_AZR_AZR_Q1_19_Direct-Social</v></cell><cell r="AC5569"><v>21358715</v></cell><cell r="AD5569"><v>720197</v></cell><cell r="AE5569" t="str"><v>Facebook</v></cell><cell r="AF5569"><v>3654128</v></cell><cell r="AG5569" t="str"><v>FACEBOOK»USA-Trial-ITD-Trial PayGo Lookalike-AZR-AZR»1 x 1»SocialBan»CCA»ALL»CPA»LAL»X»NA»SS»NA»Azure Developer Facebook Collections»PRSH6K</v></cell><cell r="AH5569"><v>225217676</v></cell><cell r="AI5569" t="str"><v>AZR_FBCollections-AITryAzureFreeCTA-Img2_USA_1200x182_SOC_Plat_EN_NA_Standard_NA_TIN_T1_2</v></cell><cell r="AJ5569"><v>103773177</v></cell></row><row r="5570"><cell r="C5570" t="str"><v>43321FACEBOOK»USA-Trial-ITD-Trial PayGo Lookalike-AZR-AZR»1 x 1»SocialBan»CCA»ALL»CPA»LAL»X»NA»SS»NA»Azure Developer Facebook Collections»PRSH6K</v></cell><cell r="D5570" t="str"><v>43321225217676</v></cell><cell r="E5570" t="str"><v>43321103874423PRSH6K</v></cell><cell r="F5570" t="str"><v>DCM</v></cell><cell r="G5570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570"><cell r="K5570" t="str"><v>August</v></cell><cell r="L5570"><v>43323</v></cell><cell r="M5570" t="str"><v>Tier 0</v></cell><cell r="N5570" t="str"><v>North America</v></cell><cell r="O5570" t="str"><v>United States</v></cell><cell r="P5570" t="str"><v>Trial</v></cell><cell r="Q5570" t="str"><v>Social</v></cell><cell r="R5570" t="str"><v>Azure</v></cell><cell r="S5570" t="str"><v>Apps & Infra</v></cell><cell r="T5570" t="str"><v>Developers & ITI's</v></cell><cell r="U5570" t="str"><v>USA-Trial-ITD-Trial PayGo Lookalike-AZR-AZR</v></cell><cell r="V5570" t="str"><v>Lookalike Targeting</v></cell><cell r="W5570" t="str"><v>Canvas Collection Ad</v></cell><cell r="X5570" t="str"><v>1x1</v></cell></row><row r="5570"><cell r="AA5570"><v>43321</v></cell><cell r="AB5570" t="str"><v>USA_gaPMG_AZR_AZR_Q1_19_Direct-Social</v></cell><cell r="AC5570"><v>21358715</v></cell><cell r="AD5570"><v>720197</v></cell><cell r="AE5570" t="str"><v>Facebook</v></cell><cell r="AF5570"><v>3654128</v></cell><cell r="AG5570" t="str"><v>FACEBOOK»USA-Trial-ITD-Trial PayGo Lookalike-AZR-AZR»1 x 1»SocialBan»CCA»ALL»CPA»LAL»X»NA»SS»NA»Azure Developer Facebook Collections»PRSH6K</v></cell><cell r="AH5570"><v>225217676</v></cell><cell r="AI5570" t="str"><v>AZR_FBCollections-TryAzureFreeCTA-Img1_USA_1200x182_SOC_Plat_EN_NA_Standard_NA_TIN_T1_1</v></cell><cell r="AJ5570"><v>103874423</v></cell></row><row r="5571"><cell r="C5571" t="str"><v>43321FACEBOOK»USA-Trial-ITD-Retargeting-AZR-AZR»1 x 1»SocialBan»CCA»ALL»CPA»RT»X»NA»SS»NA»Azure Developer Facebook Collections»PRSGY7</v></cell><cell r="D5571" t="str"><v>43321225283585</v></cell><cell r="E5571" t="str"><v>43321103773177PRSGY7</v></cell><cell r="F5571" t="str"><v>DCM</v></cell><cell r="G5571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571"><cell r="K5571" t="str"><v>August</v></cell><cell r="L5571"><v>43323</v></cell><cell r="M5571" t="str"><v>Tier 0</v></cell><cell r="N5571" t="str"><v>North America</v></cell><cell r="O5571" t="str"><v>United States</v></cell><cell r="P5571" t="str"><v>Trial</v></cell><cell r="Q5571" t="str"><v>Social</v></cell><cell r="R5571" t="str"><v>Azure</v></cell><cell r="S5571" t="str"><v>Apps & Infra</v></cell><cell r="T5571" t="str"><v>Developers & ITI's</v></cell><cell r="U5571" t="str"><v>USA-Trial-ITD-Retargeting-AZR-AZR</v></cell><cell r="V5571" t="str"><v>Retargeting</v></cell><cell r="W5571" t="str"><v>Canvas Collection Ad</v></cell><cell r="X5571" t="str"><v>1x1</v></cell></row><row r="5571"><cell r="AA5571"><v>43321</v></cell><cell r="AB5571" t="str"><v>USA_gaPMG_AZR_AZR_Q1_19_Direct-Social</v></cell><cell r="AC5571"><v>21358715</v></cell><cell r="AD5571"><v>720197</v></cell><cell r="AE5571" t="str"><v>Facebook</v></cell><cell r="AF5571"><v>3654128</v></cell><cell r="AG5571" t="str"><v>FACEBOOK»USA-Trial-ITD-Retargeting-AZR-AZR»1 x 1»SocialBan»CCA»ALL»CPA»RT»X»NA»SS»NA»Azure Developer Facebook Collections»PRSGY7</v></cell><cell r="AH5571"><v>225283585</v></cell><cell r="AI5571" t="str"><v>AZR_FBCollections-AITryAzureFreeCTA-Img2_USA_1200x182_SOC_Plat_EN_NA_Standard_NA_TIN_T1_2</v></cell><cell r="AJ5571"><v>103773177</v></cell></row><row r="5572"><cell r="C5572" t="str"><v>43321FACEBOOK»USA-Trial-ITD-Retargeting-AZR-AZR»1 x 1»SocialBan»CCA»ALL»CPA»RT»X»NA»SS»NA»Azure Developer Facebook Collections»PRSGY7</v></cell><cell r="D5572" t="str"><v>43321225283585</v></cell><cell r="E5572" t="str"><v>43321103776921PRSGY7</v></cell><cell r="F5572" t="str"><v>DCM</v></cell><cell r="G5572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572"><cell r="K5572" t="str"><v>August</v></cell><cell r="L5572"><v>43323</v></cell><cell r="M5572" t="str"><v>Tier 0</v></cell><cell r="N5572" t="str"><v>North America</v></cell><cell r="O5572" t="str"><v>United States</v></cell><cell r="P5572" t="str"><v>Trial</v></cell><cell r="Q5572" t="str"><v>Social</v></cell><cell r="R5572" t="str"><v>Azure</v></cell><cell r="S5572" t="str"><v>Apps & Infra</v></cell><cell r="T5572" t="str"><v>Developers & ITI's</v></cell><cell r="U5572" t="str"><v>USA-Trial-ITD-Retargeting-AZR-AZR</v></cell><cell r="V5572" t="str"><v>Retargeting</v></cell><cell r="W5572" t="str"><v>Canvas Collection Ad</v></cell><cell r="X5572" t="str"><v>1x1</v></cell></row><row r="5572"><cell r="AA5572"><v>43321</v></cell><cell r="AB5572" t="str"><v>USA_gaPMG_AZR_AZR_Q1_19_Direct-Social</v></cell><cell r="AC5572"><v>21358715</v></cell><cell r="AD5572"><v>720197</v></cell><cell r="AE5572" t="str"><v>Facebook</v></cell><cell r="AF5572"><v>3654128</v></cell><cell r="AG5572" t="str"><v>FACEBOOK»USA-Trial-ITD-Retargeting-AZR-AZR»1 x 1»SocialBan»CCA»ALL»CPA»RT»X»NA»SS»NA»Azure Developer Facebook Collections»PRSGY7</v></cell><cell r="AH5572"><v>225283585</v></cell><cell r="AI5572" t="str"><v>AZR_FBCollections-FreeStuffTryAzureFreeCTA-Img5_USA_1200x182_SOC_Plat_EN_NA_Standard_NA_TIN_T1_5</v></cell><cell r="AJ5572"><v>103776921</v></cell></row><row r="5573"><cell r="C5573" t="str"><v>43321FACEBOOK»USA-Trial-ITD-Retargeting-AZR-AZR»1 x 1»SocialBan»CCA»ALL»CPA»RT»X»NA»SS»NA»Azure Developer Facebook Collections»PRSGY7</v></cell><cell r="D5573" t="str"><v>43321225283585</v></cell><cell r="E5573" t="str"><v>43321103873631PRSGY7</v></cell><cell r="F5573" t="str"><v>DCM</v></cell><cell r="G5573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573"><cell r="K5573" t="str"><v>August</v></cell><cell r="L5573"><v>43323</v></cell><cell r="M5573" t="str"><v>Tier 0</v></cell><cell r="N5573" t="str"><v>North America</v></cell><cell r="O5573" t="str"><v>United States</v></cell><cell r="P5573" t="str"><v>Trial</v></cell><cell r="Q5573" t="str"><v>Social</v></cell><cell r="R5573" t="str"><v>Azure</v></cell><cell r="S5573" t="str"><v>Apps & Infra</v></cell><cell r="T5573" t="str"><v>Developers & ITI's</v></cell><cell r="U5573" t="str"><v>USA-Trial-ITD-Retargeting-AZR-AZR</v></cell><cell r="V5573" t="str"><v>Retargeting</v></cell><cell r="W5573" t="str"><v>Canvas Collection Ad</v></cell><cell r="X5573" t="str"><v>1x1</v></cell></row><row r="5573"><cell r="AA5573"><v>43321</v></cell><cell r="AB5573" t="str"><v>USA_gaPMG_AZR_AZR_Q1_19_Direct-Social</v></cell><cell r="AC5573"><v>21358715</v></cell><cell r="AD5573"><v>720197</v></cell><cell r="AE5573" t="str"><v>Facebook</v></cell><cell r="AF5573"><v>3654128</v></cell><cell r="AG5573" t="str"><v>FACEBOOK»USA-Trial-ITD-Retargeting-AZR-AZR»1 x 1»SocialBan»CCA»ALL»CPA»RT»X»NA»SS»NA»Azure Developer Facebook Collections»PRSGY7</v></cell><cell r="AH5573"><v>225283585</v></cell><cell r="AI5573" t="str"><v>AZR_FBCollections-OSSTryAzureFreeCTA-Img3_USA_1200x182_SOC_Plat_EN_NA_Standard_NA_TIN_T1_3</v></cell><cell r="AJ5573"><v>103873631</v></cell></row><row r="5574"><cell r="C5574" t="str"><v>43321FACEBOOK»USA-Trial-ITD-Retargeting-AZR-AZR»1 x 1»SocialBan»CCA»ALL»CPA»RT»X»NA»SS»NA»Azure Developer Facebook Collections»PRSGY7</v></cell><cell r="D5574" t="str"><v>43321225283585</v></cell><cell r="E5574" t="str"><v>43321103773180PRSGY7</v></cell><cell r="F5574" t="str"><v>DCM</v></cell><cell r="G5574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574"><cell r="K5574" t="str"><v>August</v></cell><cell r="L5574"><v>43323</v></cell><cell r="M5574" t="str"><v>Tier 0</v></cell><cell r="N5574" t="str"><v>North America</v></cell><cell r="O5574" t="str"><v>United States</v></cell><cell r="P5574" t="str"><v>Trial</v></cell><cell r="Q5574" t="str"><v>Social</v></cell><cell r="R5574" t="str"><v>Azure</v></cell><cell r="S5574" t="str"><v>Apps & Infra</v></cell><cell r="T5574" t="str"><v>Developers & ITI's</v></cell><cell r="U5574" t="str"><v>USA-Trial-ITD-Retargeting-AZR-AZR</v></cell><cell r="V5574" t="str"><v>Retargeting</v></cell><cell r="W5574" t="str"><v>Canvas Collection Ad</v></cell><cell r="X5574" t="str"><v>1x1</v></cell></row><row r="5574"><cell r="AA5574"><v>43321</v></cell><cell r="AB5574" t="str"><v>USA_gaPMG_AZR_AZR_Q1_19_Direct-Social</v></cell><cell r="AC5574"><v>21358715</v></cell><cell r="AD5574"><v>720197</v></cell><cell r="AE5574" t="str"><v>Facebook</v></cell><cell r="AF5574"><v>3654128</v></cell><cell r="AG5574" t="str"><v>FACEBOOK»USA-Trial-ITD-Retargeting-AZR-AZR»1 x 1»SocialBan»CCA»ALL»CPA»RT»X»NA»SS»NA»Azure Developer Facebook Collections»PRSGY7</v></cell><cell r="AH5574"><v>225283585</v></cell><cell r="AI5574" t="str"><v>AZR_FBCollections-SmartDataTryAzureFreeCTA-Img4_USA_1200x182_SOC_Plat_EN_NA_Standard_NA_TIN_T1_4</v></cell><cell r="AJ5574"><v>103773180</v></cell></row><row r="5575"><cell r="C5575" t="str"><v>43321FACEBOOK»USA-Trial-ITD-Retargeting-AZR-AZR»1 x 1»SocialBan»CCA»ALL»CPA»RT»X»NA»SS»NA»Azure Developer Facebook Collections»PRSGY7</v></cell><cell r="D5575" t="str"><v>43321225283585</v></cell><cell r="E5575" t="str"><v>43321103874423PRSGY7</v></cell><cell r="F5575" t="str"><v>DCM</v></cell><cell r="G5575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575"><cell r="K5575" t="str"><v>August</v></cell><cell r="L5575"><v>43323</v></cell><cell r="M5575" t="str"><v>Tier 0</v></cell><cell r="N5575" t="str"><v>North America</v></cell><cell r="O5575" t="str"><v>United States</v></cell><cell r="P5575" t="str"><v>Trial</v></cell><cell r="Q5575" t="str"><v>Social</v></cell><cell r="R5575" t="str"><v>Azure</v></cell><cell r="S5575" t="str"><v>Apps & Infra</v></cell><cell r="T5575" t="str"><v>Developers & ITI's</v></cell><cell r="U5575" t="str"><v>USA-Trial-ITD-Retargeting-AZR-AZR</v></cell><cell r="V5575" t="str"><v>Retargeting</v></cell><cell r="W5575" t="str"><v>Canvas Collection Ad</v></cell><cell r="X5575" t="str"><v>1x1</v></cell></row><row r="5575"><cell r="AA5575"><v>43321</v></cell><cell r="AB5575" t="str"><v>USA_gaPMG_AZR_AZR_Q1_19_Direct-Social</v></cell><cell r="AC5575"><v>21358715</v></cell><cell r="AD5575"><v>720197</v></cell><cell r="AE5575" t="str"><v>Facebook</v></cell><cell r="AF5575"><v>3654128</v></cell><cell r="AG5575" t="str"><v>FACEBOOK»USA-Trial-ITD-Retargeting-AZR-AZR»1 x 1»SocialBan»CCA»ALL»CPA»RT»X»NA»SS»NA»Azure Developer Facebook Collections»PRSGY7</v></cell><cell r="AH5575"><v>225283585</v></cell><cell r="AI5575" t="str"><v>AZR_FBCollections-TryAzureFreeCTA-Img1_USA_1200x182_SOC_Plat_EN_NA_Standard_NA_TIN_T1_1</v></cell><cell r="AJ5575"><v>103874423</v></cell></row><row r="5576"><cell r="C5576" t="str"><v>43321FACEBOOK»USA-Trial-ITD-Lead Completes Lookalike-AZR-AZR»1 x 1»SocialBan»LIA»ALL»CPA»LAL»X»NA»SS»NA»FreeAcctDeveloperFB-AnimatedAI-Ch3»PRX71T</v></cell><cell r="D5576" t="str"><v>43321226030107</v></cell><cell r="E5576" t="str"><v>43321104640217PRX71T</v></cell><cell r="F5576" t="str"><v>DCM</v></cell><cell r="G5576" t="str"><v>https://azure.microsoft.com/en-us/free/sql-database/search/?OCID=AID%eexcid!_OLA_%ebuy!_%epid!_%ecid!</v></cell></row><row r="5576"><cell r="K5576" t="str"><v>August</v></cell><cell r="L5576"><v>43323</v></cell><cell r="M5576" t="str"><v>Tier 0</v></cell><cell r="N5576" t="str"><v>North America</v></cell><cell r="O5576" t="str"><v>United States</v></cell><cell r="P5576" t="str"><v>Trial</v></cell><cell r="Q5576" t="str"><v>Social</v></cell><cell r="R5576" t="str"><v>Azure</v></cell><cell r="S5576" t="str"><v>Apps & Infra</v></cell><cell r="T5576" t="str"><v>Developers & ITI's</v></cell><cell r="U5576" t="str"><v>USA-Trial-ITD-Lead Completes Lookalike-AZR-AZR</v></cell><cell r="V5576" t="str"><v>Lookalike Targeting</v></cell><cell r="W5576" t="str"><v>Link Ad</v></cell><cell r="X5576" t="str"><v>1x1</v></cell></row><row r="5576"><cell r="AA5576"><v>43321</v></cell><cell r="AB5576" t="str"><v>USA_gaPMG_AZR_AZR_Q1_19_Direct-Social</v></cell><cell r="AC5576"><v>21358715</v></cell><cell r="AD5576"><v>720197</v></cell><cell r="AE5576" t="str"><v>Facebook</v></cell><cell r="AF5576"><v>3654128</v></cell><cell r="AG5576" t="str"><v>FACEBOOK»USA-Trial-ITD-Lead Completes Lookalike-AZR-AZR»1 x 1»SocialBan»LIA»ALL»CPA»LAL»X»NA»SS»NA»FreeAcctDeveloperFB-AnimatedAI-Ch3»PRX71T</v></cell><cell r="AH5576"><v>226030107</v></cell><cell r="AI5576" t="str"><v>AZR_FreeAcctDeveloperFB-AnimatedAI-Ch3_USA_1200x1200_SOC_Direct_EN_Trial_Standard_ANI_LM_T3_1</v></cell><cell r="AJ5576"><v>104640217</v></cell></row><row r="5577"><cell r="C5577" t="str"><v>43321FACEBOOK»USA-Trial-ITD-Lead Completes Lookalike-AZR-AZR»1 x 1»SocialBan»LIA»ALL»CPA»LAL»X»NA»SS»NA»FreeAcctDeveloperFB-AnimatedAI-Ch3»PRX71T</v></cell><cell r="D5577" t="str"><v>43321226030107</v></cell><cell r="E5577" t="str"><v>43321104604558PRX71T</v></cell><cell r="F5577" t="str"><v>DCM</v></cell><cell r="G5577" t="str"><v>https://azure.microsoft.com/en-us/free/sql-database/search/?OCID=AID%eexcid!_OLA_%ebuy!_%epid!_%ecid!</v></cell></row><row r="5577"><cell r="K5577" t="str"><v>August</v></cell><cell r="L5577"><v>43323</v></cell><cell r="M5577" t="str"><v>Tier 0</v></cell><cell r="N5577" t="str"><v>North America</v></cell><cell r="O5577" t="str"><v>United States</v></cell><cell r="P5577" t="str"><v>Trial</v></cell><cell r="Q5577" t="str"><v>Social</v></cell><cell r="R5577" t="str"><v>Azure</v></cell><cell r="S5577" t="str"><v>Apps & Infra</v></cell><cell r="T5577" t="str"><v>Developers & ITI's</v></cell><cell r="U5577" t="str"><v>USA-Trial-ITD-Lead Completes Lookalike-AZR-AZR</v></cell><cell r="V5577" t="str"><v>Lookalike Targeting</v></cell><cell r="W5577" t="str"><v>Link Ad</v></cell><cell r="X5577" t="str"><v>1x1</v></cell></row><row r="5577"><cell r="AA5577"><v>43321</v></cell><cell r="AB5577" t="str"><v>USA_gaPMG_AZR_AZR_Q1_19_Direct-Social</v></cell><cell r="AC5577"><v>21358715</v></cell><cell r="AD5577"><v>720197</v></cell><cell r="AE5577" t="str"><v>Facebook</v></cell><cell r="AF5577"><v>3654128</v></cell><cell r="AG5577" t="str"><v>FACEBOOK»USA-Trial-ITD-Lead Completes Lookalike-AZR-AZR»1 x 1»SocialBan»LIA»ALL»CPA»LAL»X»NA»SS»NA»FreeAcctDeveloperFB-AnimatedAI-Ch3»PRX71T</v></cell><cell r="AH5577"><v>226030107</v></cell><cell r="AI5577" t="str"><v>AZR_FreeAcctDeveloperFB-AnimatedAI-Ch3_USA_1200x1200_SOC_Direct_EN_Trial_Standard_ANI_LM_T3_2</v></cell><cell r="AJ5577"><v>104604558</v></cell></row><row r="5578"><cell r="C5578" t="str"><v>43321FACEBOOK»USA-Trial-ITD-Trial Lookalike-AZR-AZR»1 x 1»SocialBan»CCA»ALL»CPA»LAL»X»NA»SS»NA»Azure Developer Facebook Collections»PRSH0N</v></cell><cell r="D5578" t="str"><v>43321225282481</v></cell><cell r="E5578" t="str"><v>43321103874423PRSH0N</v></cell><cell r="F5578" t="str"><v>DCM</v></cell><cell r="G5578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578"><cell r="K5578" t="str"><v>August</v></cell><cell r="L5578"><v>43323</v></cell><cell r="M5578" t="str"><v>Tier 0</v></cell><cell r="N5578" t="str"><v>North America</v></cell><cell r="O5578" t="str"><v>United States</v></cell><cell r="P5578" t="str"><v>Trial</v></cell><cell r="Q5578" t="str"><v>Social</v></cell><cell r="R5578" t="str"><v>Azure</v></cell><cell r="S5578" t="str"><v>Apps & Infra</v></cell><cell r="T5578" t="str"><v>Developers & ITI's</v></cell><cell r="U5578" t="str"><v>USA-Trial-ITD-Trial Lookalike-AZR-AZR</v></cell><cell r="V5578" t="str"><v>Lookalike Targeting</v></cell><cell r="W5578" t="str"><v>Canvas Collection Ad</v></cell><cell r="X5578" t="str"><v>1x1</v></cell></row><row r="5578"><cell r="AA5578"><v>43321</v></cell><cell r="AB5578" t="str"><v>USA_gaPMG_AZR_AZR_Q1_19_Direct-Social</v></cell><cell r="AC5578"><v>21358715</v></cell><cell r="AD5578"><v>720197</v></cell><cell r="AE5578" t="str"><v>Facebook</v></cell><cell r="AF5578"><v>3654128</v></cell><cell r="AG5578" t="str"><v>FACEBOOK»USA-Trial-ITD-Trial Lookalike-AZR-AZR»1 x 1»SocialBan»CCA»ALL»CPA»LAL»X»NA»SS»NA»Azure Developer Facebook Collections»PRSH0N</v></cell><cell r="AH5578"><v>225282481</v></cell><cell r="AI5578" t="str"><v>AZR_FBCollections-TryAzureFreeCTA-Img1_USA_1200x182_SOC_Plat_EN_NA_Standard_NA_TIN_T1_1</v></cell><cell r="AJ5578"><v>103874423</v></cell></row><row r="5579"><cell r="C5579" t="str"><v>43321INSTAGRAM»USA-Trial-ITD-Interest Prospecting-AZR-AZR»1 x 1»SocialBan»CAN»ALL»CPA»PRO»X»NA»SS»NA»IGCTCBrandinMotion»PRC2PB</v></cell><cell r="D5579" t="str"><v>43321223862690</v></cell><cell r="E5579" t="str"><v>43321103050783PRC2PB</v></cell><cell r="F5579" t="str"><v>DCM</v></cell><cell r="G5579" t="str"><v>https://signup.azure.com/?OCID=AID%eexcid!_OLA_%ebuy!_%epid!_%ecid!</v></cell></row><row r="5579"><cell r="K5579" t="str"><v>August</v></cell><cell r="L5579"><v>43323</v></cell><cell r="M5579" t="str"><v>Tier 0</v></cell><cell r="N5579" t="str"><v>North America</v></cell><cell r="O5579" t="str"><v>United States</v></cell><cell r="P5579" t="str"><v>Trial</v></cell><cell r="Q5579" t="str"><v>Social</v></cell><cell r="R5579" t="str"><v>Azure</v></cell><cell r="S5579" t="str"><v>Apps & Infra</v></cell><cell r="T5579" t="str"><v>Developers & ITI's</v></cell><cell r="U5579" t="str"><v>USA-Trial-ITD-Interest Prospecting-AZR-AZR</v></cell><cell r="V5579" t="str"><v>Prospecting</v></cell><cell r="W5579" t="str"><v>Canvas Ad</v></cell><cell r="X5579" t="str"><v>1x1</v></cell></row><row r="5579"><cell r="AA5579"><v>43321</v></cell><cell r="AB5579" t="str"><v>USA_gaPMG_AZR_AZR_Q1_19_Direct-Social</v></cell><cell r="AC5579"><v>21358715</v></cell><cell r="AD5579"><v>720197</v></cell><cell r="AE5579" t="str"><v>Facebook - Instagram</v></cell><cell r="AF5579"><v>3654128</v></cell><cell r="AG5579" t="str"><v>INSTAGRAM»USA-Trial-ITD-Interest Prospecting-AZR-AZR»1 x 1»SocialBan»CAN»ALL»CPA»PRO»X»NA»SS»NA»IGCTCBrandinMotion»PRC2PB</v></cell><cell r="AH5579"><v>223862690</v></cell><cell r="AI5579" t="str"><v>AzurePlatform_IGCTCBenefit2inMotion_USA_10s_CAN_PLATFORM_English_Trial_Standard_STAN_TIN_T4_1</v></cell><cell r="AJ5579"><v>103050783</v></cell></row><row r="5580"><cell r="C5580" t="str"><v>43321INSTAGRAM»USA-Trial-ITD-Lead Completes-AZR-AZR»1 x 1»SocialBan»CAN»ALL»CPA»PRO»X»NA»SS»NA»IGCTCBasicMotion»PRC2M5</v></cell><cell r="D5580" t="str"><v>43321224101449</v></cell><cell r="E5580" t="str"><v>43321103037968PRC2M5</v></cell><cell r="F5580" t="str"><v>DCM</v></cell><cell r="G5580" t="str"><v>https://signup.azure.com/?OCID=AID%eexcid!_OLA_%ebuy!_%epid!_%ecid!</v></cell></row><row r="5580"><cell r="K5580" t="str"><v>August</v></cell><cell r="L5580"><v>43323</v></cell><cell r="M5580" t="str"><v>Tier 0</v></cell><cell r="N5580" t="str"><v>North America</v></cell><cell r="O5580" t="str"><v>United States</v></cell><cell r="P5580" t="str"><v>Trial</v></cell><cell r="Q5580" t="str"><v>Social</v></cell><cell r="R5580" t="str"><v>Azure</v></cell><cell r="S5580" t="str"><v>Apps & Infra</v></cell><cell r="T5580" t="str"><v>Developers & ITI's</v></cell><cell r="U5580" t="str"><v>USA-Trial-ITD-Lead Completes-AZR-AZR</v></cell><cell r="V5580" t="str"><v>Prospecting</v></cell><cell r="W5580" t="str"><v>Canvas Ad</v></cell><cell r="X5580" t="str"><v>1x1</v></cell></row><row r="5580"><cell r="AA5580"><v>43321</v></cell><cell r="AB5580" t="str"><v>USA_gaPMG_AZR_AZR_Q1_19_Direct-Social</v></cell><cell r="AC5580"><v>21358715</v></cell><cell r="AD5580"><v>720197</v></cell><cell r="AE5580" t="str"><v>Facebook - Instagram</v></cell><cell r="AF5580"><v>3654128</v></cell><cell r="AG5580" t="str"><v>INSTAGRAM»USA-Trial-ITD-Lead Completes-AZR-AZR»1 x 1»SocialBan»CAN»ALL»CPA»PRO»X»NA»SS»NA»IGCTCBasicMotion»PRC2M5</v></cell><cell r="AH5580"><v>224101449</v></cell><cell r="AI5580" t="str"><v>AzurePlatform_IGCTCBasicMotion_USA_10s_CAN_PLATFORM_English_Trial_Standard_STAN_TIN_T1_1</v></cell><cell r="AJ5580"><v>103037968</v></cell></row><row r="5581"><cell r="C5581" t="str"><v>43321INSTAGRAM»USA-Trial-ITD-Retargeting-AZR-AZR»1 x 1»SocialBan»CAN»ALL»CPA»RT»X»NA»SS»NA»IGCTCBrandinMotion»PRC2G3</v></cell><cell r="D5581" t="str"><v>43321224107014</v></cell><cell r="E5581" t="str"><v>43321103050783PRC2G3</v></cell><cell r="F5581" t="str"><v>DCM</v></cell><cell r="G5581" t="str"><v>https://signup.azure.com/?OCID=AID%eexcid!_OLA_%ebuy!_%epid!_%ecid!</v></cell></row><row r="5581"><cell r="K5581" t="str"><v>August</v></cell><cell r="L5581"><v>43323</v></cell><cell r="M5581" t="str"><v>Tier 0</v></cell><cell r="N5581" t="str"><v>North America</v></cell><cell r="O5581" t="str"><v>United States</v></cell><cell r="P5581" t="str"><v>Trial</v></cell><cell r="Q5581" t="str"><v>Social</v></cell><cell r="R5581" t="str"><v>Azure</v></cell><cell r="S5581" t="str"><v>Apps & Infra</v></cell><cell r="T5581" t="str"><v>Developers & ITI's</v></cell><cell r="U5581" t="str"><v>USA-Trial-ITD-Retargeting-AZR-AZR</v></cell><cell r="V5581" t="str"><v>Retargeting</v></cell><cell r="W5581" t="str"><v>Canvas Ad</v></cell><cell r="X5581" t="str"><v>1x1</v></cell></row><row r="5581"><cell r="AA5581"><v>43321</v></cell><cell r="AB5581" t="str"><v>USA_gaPMG_AZR_AZR_Q1_19_Direct-Social</v></cell><cell r="AC5581"><v>21358715</v></cell><cell r="AD5581"><v>720197</v></cell><cell r="AE5581" t="str"><v>Facebook - Instagram</v></cell><cell r="AF5581"><v>3654128</v></cell><cell r="AG5581" t="str"><v>INSTAGRAM»USA-Trial-ITD-Retargeting-AZR-AZR»1 x 1»SocialBan»CAN»ALL»CPA»RT»X»NA»SS»NA»IGCTCBrandinMotion»PRC2G3</v></cell><cell r="AH5581"><v>224107014</v></cell><cell r="AI5581" t="str"><v>AzurePlatform_IGCTCBenefit2inMotion_USA_10s_CAN_PLATFORM_English_Trial_Standard_STAN_TIN_T4_1</v></cell><cell r="AJ5581"><v>103050783</v></cell></row><row r="5582"><cell r="C5582" t="str"><v>43321INSTAGRAM»USA-Trial-ITD-Retargeting-AZR-AZR»1 x 1»SocialBan»CAN»ALL»CPA»RT»X»NA»SS»NA»IGCTCBrandinMotion»PRC2G3</v></cell><cell r="D5582" t="str"><v>43321224107014</v></cell><cell r="E5582" t="str"><v>43321103178714PRC2G3</v></cell><cell r="F5582" t="str"><v>DCM</v></cell><cell r="G5582" t="str"><v>https://azure.microsoft.com/en-us/pricing/purchase-options/?v=18.19&OCID=AID%eexcid!_OLA_%ebuy!_%epid!_%ecid!</v></cell></row><row r="5582"><cell r="K5582" t="str"><v>August</v></cell><cell r="L5582"><v>43323</v></cell><cell r="M5582" t="str"><v>Tier 0</v></cell><cell r="N5582" t="str"><v>North America</v></cell><cell r="O5582" t="str"><v>United States</v></cell><cell r="P5582" t="str"><v>Trial</v></cell><cell r="Q5582" t="str"><v>Social</v></cell><cell r="R5582" t="str"><v>Azure</v></cell><cell r="S5582" t="str"><v>Apps & Infra</v></cell><cell r="T5582" t="str"><v>Developers & ITI's</v></cell><cell r="U5582" t="str"><v>USA-Trial-ITD-Retargeting-AZR-AZR</v></cell><cell r="V5582" t="str"><v>Retargeting</v></cell><cell r="W5582" t="str"><v>Canvas Ad</v></cell><cell r="X5582" t="str"><v>1x1</v></cell></row><row r="5582"><cell r="AA5582"><v>43321</v></cell><cell r="AB5582" t="str"><v>USA_gaPMG_AZR_AZR_Q1_19_Direct-Social</v></cell><cell r="AC5582"><v>21358715</v></cell><cell r="AD5582"><v>720197</v></cell><cell r="AE5582" t="str"><v>Facebook - Instagram</v></cell><cell r="AF5582"><v>3654128</v></cell><cell r="AG5582" t="str"><v>INSTAGRAM»USA-Trial-ITD-Retargeting-AZR-AZR»1 x 1»SocialBan»CAN»ALL»CPA»RT»X»NA»SS»NA»IGCTCBrandinMotion»PRC2G3</v></cell><cell r="AH5582"><v>224107014</v></cell><cell r="AI5582" t="str"><v>AzurePlatform_IGCTCBenefit2inMotion_USA_10s_CAN_PLATFORM_English_Trial_Standard_STAN_TIN_T4_2</v></cell><cell r="AJ5582"><v>103178714</v></cell></row><row r="5583"><cell r="C5583" t="str"><v>43321INSTAGRAM»USA-Trial-ITD-Retargeting-AZR-AZR»1 x 1»SocialBan»CAN»ALL»CPA»RT»X»NA»SS»NA»IGCTCBasicMotion»PRC2G7</v></cell><cell r="D5583" t="str"><v>43321223935007</v></cell><cell r="E5583" t="str"><v>43321103037968PRC2G7</v></cell><cell r="F5583" t="str"><v>DCM</v></cell><cell r="G5583" t="str"><v>https://signup.azure.com/?OCID=AID%eexcid!_OLA_%ebuy!_%epid!_%ecid!</v></cell></row><row r="5583"><cell r="K5583" t="str"><v>August</v></cell><cell r="L5583"><v>43323</v></cell><cell r="M5583" t="str"><v>Tier 0</v></cell><cell r="N5583" t="str"><v>North America</v></cell><cell r="O5583" t="str"><v>United States</v></cell><cell r="P5583" t="str"><v>Trial</v></cell><cell r="Q5583" t="str"><v>Social</v></cell><cell r="R5583" t="str"><v>Azure</v></cell><cell r="S5583" t="str"><v>Apps & Infra</v></cell><cell r="T5583" t="str"><v>Developers & ITI's</v></cell><cell r="U5583" t="str"><v>USA-Trial-ITD-Retargeting-AZR-AZR</v></cell><cell r="V5583" t="str"><v>Retargeting</v></cell><cell r="W5583" t="str"><v>Canvas Ad</v></cell><cell r="X5583" t="str"><v>1x1</v></cell></row><row r="5583"><cell r="AA5583"><v>43321</v></cell><cell r="AB5583" t="str"><v>USA_gaPMG_AZR_AZR_Q1_19_Direct-Social</v></cell><cell r="AC5583"><v>21358715</v></cell><cell r="AD5583"><v>720197</v></cell><cell r="AE5583" t="str"><v>Facebook - Instagram</v></cell><cell r="AF5583"><v>3654128</v></cell><cell r="AG5583" t="str"><v>INSTAGRAM»USA-Trial-ITD-Retargeting-AZR-AZR»1 x 1»SocialBan»CAN»ALL»CPA»RT»X»NA»SS»NA»IGCTCBasicMotion»PRC2G7</v></cell><cell r="AH5583"><v>223935007</v></cell><cell r="AI5583" t="str"><v>AzurePlatform_IGCTCBasicMotion_USA_10s_CAN_PLATFORM_English_Trial_Standard_STAN_TIN_T1_1</v></cell><cell r="AJ5583"><v>103037968</v></cell></row><row r="5584"><cell r="C5584" t="str"><v>43321INSTAGRAM»USA-Trial-ITD-Trial Lookalike-AZR-AZR»1 x 1»SocialBan»CAN»ALL»CPA»LAL»X»NA»SS»NA»IGCTCBenefit2inMotion»PRC2FL</v></cell><cell r="D5584" t="str"><v>43321223935022</v></cell><cell r="E5584" t="str"><v>43321103180628PRC2FL</v></cell><cell r="F5584" t="str"><v>DCM</v></cell><cell r="G5584" t="str"><v>https://signup.azure.com/?OCID=AID%eexcid!_OLA_%ebuy!_%epid!_%ecid!</v></cell></row><row r="5584"><cell r="K5584" t="str"><v>August</v></cell><cell r="L5584"><v>43323</v></cell><cell r="M5584" t="str"><v>Tier 0</v></cell><cell r="N5584" t="str"><v>North America</v></cell><cell r="O5584" t="str"><v>United States</v></cell><cell r="P5584" t="str"><v>Trial</v></cell><cell r="Q5584" t="str"><v>Social</v></cell><cell r="R5584" t="str"><v>Azure</v></cell><cell r="S5584" t="str"><v>Apps & Infra</v></cell><cell r="T5584" t="str"><v>Developers & ITI's</v></cell><cell r="U5584" t="str"><v>USA-Trial-ITD-Trial Lookalike-AZR-AZR</v></cell><cell r="V5584" t="str"><v>Lookalike Targeting</v></cell><cell r="W5584" t="str"><v>Canvas Ad</v></cell><cell r="X5584" t="str"><v>1x1</v></cell></row><row r="5584"><cell r="AA5584"><v>43321</v></cell><cell r="AB5584" t="str"><v>USA_gaPMG_AZR_AZR_Q1_19_Direct-Social</v></cell><cell r="AC5584"><v>21358715</v></cell><cell r="AD5584"><v>720197</v></cell><cell r="AE5584" t="str"><v>Facebook - Instagram</v></cell><cell r="AF5584"><v>3654128</v></cell><cell r="AG5584" t="str"><v>INSTAGRAM»USA-Trial-ITD-Trial Lookalike-AZR-AZR»1 x 1»SocialBan»CAN»ALL»CPA»LAL»X»NA»SS»NA»IGCTCBenefit2inMotion»PRC2FL</v></cell><cell r="AH5584"><v>223935022</v></cell><cell r="AI5584" t="str"><v>AzurePlatform_IGCTCBrandinMotion_USA_10s_CAN_PLATFORM_English_Trial_Standard_STAN_TIN_T2_1</v></cell><cell r="AJ5584"><v>103180628</v></cell></row><row r="5585"><cell r="C5585" t="str"><v>43321INSTAGRAM»USA-Trial-ITD-Trial Lookalike-AZR-AZR»1 x 1»SocialBan»CAN»ALL»CPA»LAL»X»NA»SS»NA»IGCTCBenefit2inMotion»PRC2FL</v></cell><cell r="D5585" t="str"><v>43321223935022</v></cell><cell r="E5585" t="str"><v>43321103050786PRC2FL</v></cell><cell r="F5585" t="str"><v>DCM</v></cell><cell r="G5585" t="str"><v>https://azure.microsoft.com/en-us/pricing/purchase-options/?v=18.19&OCID=AID%eexcid!_OLA_%ebuy!_%epid!_%ecid!</v></cell></row><row r="5585"><cell r="K5585" t="str"><v>August</v></cell><cell r="L5585"><v>43323</v></cell><cell r="M5585" t="str"><v>Tier 0</v></cell><cell r="N5585" t="str"><v>North America</v></cell><cell r="O5585" t="str"><v>United States</v></cell><cell r="P5585" t="str"><v>Trial</v></cell><cell r="Q5585" t="str"><v>Social</v></cell><cell r="R5585" t="str"><v>Azure</v></cell><cell r="S5585" t="str"><v>Apps & Infra</v></cell><cell r="T5585" t="str"><v>Developers & ITI's</v></cell><cell r="U5585" t="str"><v>USA-Trial-ITD-Trial Lookalike-AZR-AZR</v></cell><cell r="V5585" t="str"><v>Lookalike Targeting</v></cell><cell r="W5585" t="str"><v>Canvas Ad</v></cell><cell r="X5585" t="str"><v>1x1</v></cell></row><row r="5585"><cell r="AA5585"><v>43321</v></cell><cell r="AB5585" t="str"><v>USA_gaPMG_AZR_AZR_Q1_19_Direct-Social</v></cell><cell r="AC5585"><v>21358715</v></cell><cell r="AD5585"><v>720197</v></cell><cell r="AE5585" t="str"><v>Facebook - Instagram</v></cell><cell r="AF5585"><v>3654128</v></cell><cell r="AG5585" t="str"><v>INSTAGRAM»USA-Trial-ITD-Trial Lookalike-AZR-AZR»1 x 1»SocialBan»CAN»ALL»CPA»LAL»X»NA»SS»NA»IGCTCBenefit2inMotion»PRC2FL</v></cell><cell r="AH5585"><v>223935022</v></cell><cell r="AI5585" t="str"><v>AzurePlatform_IGCTCBrandinMotion_USA_10s_CAN_PLATFORM_English_Trial_Standard_STAN_TIN_T2_2</v></cell><cell r="AJ5585"><v>103050786</v></cell></row><row r="5586"><cell r="C5586" t="str"><v>43321INSTAGRAM»USA-Trial-ITD-Trial Lookalike-AZR-AZR»1 x 1»SocialBan»CAN»ALL»CPA»LAL»X»NA»SS»NA»IGCTCBrandinMotion»PRC2FH</v></cell><cell r="D5586" t="str"><v>43321223935019</v></cell><cell r="E5586" t="str"><v>43321103050783PRC2FH</v></cell><cell r="F5586" t="str"><v>DCM</v></cell><cell r="G5586" t="str"><v>https://signup.azure.com/?OCID=AID%eexcid!_OLA_%ebuy!_%epid!_%ecid!</v></cell></row><row r="5586"><cell r="K5586" t="str"><v>August</v></cell><cell r="L5586"><v>43323</v></cell><cell r="M5586" t="str"><v>Tier 0</v></cell><cell r="N5586" t="str"><v>North America</v></cell><cell r="O5586" t="str"><v>United States</v></cell><cell r="P5586" t="str"><v>Trial</v></cell><cell r="Q5586" t="str"><v>Social</v></cell><cell r="R5586" t="str"><v>Azure</v></cell><cell r="S5586" t="str"><v>Apps & Infra</v></cell><cell r="T5586" t="str"><v>Developers & ITI's</v></cell><cell r="U5586" t="str"><v>USA-Trial-ITD-Trial Lookalike-AZR-AZR</v></cell><cell r="V5586" t="str"><v>Lookalike Targeting</v></cell><cell r="W5586" t="str"><v>Canvas Ad</v></cell><cell r="X5586" t="str"><v>1x1</v></cell></row><row r="5586"><cell r="AA5586"><v>43321</v></cell><cell r="AB5586" t="str"><v>USA_gaPMG_AZR_AZR_Q1_19_Direct-Social</v></cell><cell r="AC5586"><v>21358715</v></cell><cell r="AD5586"><v>720197</v></cell><cell r="AE5586" t="str"><v>Facebook - Instagram</v></cell><cell r="AF5586"><v>3654128</v></cell><cell r="AG5586" t="str"><v>INSTAGRAM»USA-Trial-ITD-Trial Lookalike-AZR-AZR»1 x 1»SocialBan»CAN»ALL»CPA»LAL»X»NA»SS»NA»IGCTCBrandinMotion»PRC2FH</v></cell><cell r="AH5586"><v>223935019</v></cell><cell r="AI5586" t="str"><v>AzurePlatform_IGCTCBenefit2inMotion_USA_10s_CAN_PLATFORM_English_Trial_Standard_STAN_TIN_T4_1</v></cell><cell r="AJ5586"><v>103050783</v></cell></row><row r="5587"><cell r="C5587" t="str"><v>43321INSTAGRAM»USA-Trial-ITD-Trial Lookalike-AZR-AZR»1 x 1»SocialBan»CAN»ALL»CPA»LAL»X»NA»SS»NA»IGCTCBrandinMotion»PRC2FH</v></cell><cell r="D5587" t="str"><v>43321223935019</v></cell><cell r="E5587" t="str"><v>43321103178714PRC2FH</v></cell><cell r="F5587" t="str"><v>DCM</v></cell><cell r="G5587" t="str"><v>https://azure.microsoft.com/en-us/pricing/purchase-options/?v=18.19&OCID=AID%eexcid!_OLA_%ebuy!_%epid!_%ecid!</v></cell></row><row r="5587"><cell r="K5587" t="str"><v>August</v></cell><cell r="L5587"><v>43323</v></cell><cell r="M5587" t="str"><v>Tier 0</v></cell><cell r="N5587" t="str"><v>North America</v></cell><cell r="O5587" t="str"><v>United States</v></cell><cell r="P5587" t="str"><v>Trial</v></cell><cell r="Q5587" t="str"><v>Social</v></cell><cell r="R5587" t="str"><v>Azure</v></cell><cell r="S5587" t="str"><v>Apps & Infra</v></cell><cell r="T5587" t="str"><v>Developers & ITI's</v></cell><cell r="U5587" t="str"><v>USA-Trial-ITD-Trial Lookalike-AZR-AZR</v></cell><cell r="V5587" t="str"><v>Lookalike Targeting</v></cell><cell r="W5587" t="str"><v>Canvas Ad</v></cell><cell r="X5587" t="str"><v>1x1</v></cell></row><row r="5587"><cell r="AA5587"><v>43321</v></cell><cell r="AB5587" t="str"><v>USA_gaPMG_AZR_AZR_Q1_19_Direct-Social</v></cell><cell r="AC5587"><v>21358715</v></cell><cell r="AD5587"><v>720197</v></cell><cell r="AE5587" t="str"><v>Facebook - Instagram</v></cell><cell r="AF5587"><v>3654128</v></cell><cell r="AG5587" t="str"><v>INSTAGRAM»USA-Trial-ITD-Trial Lookalike-AZR-AZR»1 x 1»SocialBan»CAN»ALL»CPA»LAL»X»NA»SS»NA»IGCTCBrandinMotion»PRC2FH</v></cell><cell r="AH5587"><v>223935019</v></cell><cell r="AI5587" t="str"><v>AzurePlatform_IGCTCBenefit2inMotion_USA_10s_CAN_PLATFORM_English_Trial_Standard_STAN_TIN_T4_2</v></cell><cell r="AJ5587"><v>103178714</v></cell></row><row r="5588"><cell r="C5588" t="str"><v>43321INSTAGRAM»USA-Trial-ITD-Trial PayGo Lookalike-AZR-AZR»1 x 1»SocialBan»CAN»ALL»CPA»LAL»X»NA»SS»NA»IGCTCBrandinMotion»PRC2FW</v></cell><cell r="D5588" t="str"><v>43321223862654</v></cell><cell r="E5588" t="str"><v>43321103050783PRC2FW</v></cell><cell r="F5588" t="str"><v>DCM</v></cell><cell r="G5588" t="str"><v>https://signup.azure.com/?OCID=AID%eexcid!_OLA_%ebuy!_%epid!_%ecid!</v></cell></row><row r="5588"><cell r="K5588" t="str"><v>August</v></cell><cell r="L5588"><v>43323</v></cell><cell r="M5588" t="str"><v>Tier 0</v></cell><cell r="N5588" t="str"><v>North America</v></cell><cell r="O5588" t="str"><v>United States</v></cell><cell r="P5588" t="str"><v>Trial</v></cell><cell r="Q5588" t="str"><v>Social</v></cell><cell r="R5588" t="str"><v>Azure</v></cell><cell r="S5588" t="str"><v>Apps & Infra</v></cell><cell r="T5588" t="str"><v>Developers & ITI's</v></cell><cell r="U5588" t="str"><v>USA-Trial-ITD-Trial PayGo Lookalike-AZR-AZR</v></cell><cell r="V5588" t="str"><v>Lookalike Targeting</v></cell><cell r="W5588" t="str"><v>Canvas Ad</v></cell><cell r="X5588" t="str"><v>1x1</v></cell></row><row r="5588"><cell r="AA5588"><v>43321</v></cell><cell r="AB5588" t="str"><v>USA_gaPMG_AZR_AZR_Q1_19_Direct-Social</v></cell><cell r="AC5588"><v>21358715</v></cell><cell r="AD5588"><v>720197</v></cell><cell r="AE5588" t="str"><v>Facebook - Instagram</v></cell><cell r="AF5588"><v>3654128</v></cell><cell r="AG5588" t="str"><v>INSTAGRAM»USA-Trial-ITD-Trial PayGo Lookalike-AZR-AZR»1 x 1»SocialBan»CAN»ALL»CPA»LAL»X»NA»SS»NA»IGCTCBrandinMotion»PRC2FW</v></cell><cell r="AH5588"><v>223862654</v></cell><cell r="AI5588" t="str"><v>AzurePlatform_IGCTCBenefit2inMotion_USA_10s_CAN_PLATFORM_English_Trial_Standard_STAN_TIN_T4_1</v></cell><cell r="AJ5588"><v>103050783</v></cell></row><row r="5589"><cell r="C5589" t="str"><v>43321INSTAGRAM»USA-Trial-ITD-Trial PayGo Lookalike-AZR-AZR»1 x 1»SocialBan»CAN»ALL»CPA»LAL»X»NA»SS»NA»IGCTCBrandinMotion»PRC2FW</v></cell><cell r="D5589" t="str"><v>43321223862654</v></cell><cell r="E5589" t="str"><v>43321103178714PRC2FW</v></cell><cell r="F5589" t="str"><v>DCM</v></cell><cell r="G5589" t="str"><v>https://azure.microsoft.com/en-us/pricing/purchase-options/?v=18.19&OCID=AID%eexcid!_OLA_%ebuy!_%epid!_%ecid!</v></cell></row><row r="5589"><cell r="K5589" t="str"><v>August</v></cell><cell r="L5589"><v>43323</v></cell><cell r="M5589" t="str"><v>Tier 0</v></cell><cell r="N5589" t="str"><v>North America</v></cell><cell r="O5589" t="str"><v>United States</v></cell><cell r="P5589" t="str"><v>Trial</v></cell><cell r="Q5589" t="str"><v>Social</v></cell><cell r="R5589" t="str"><v>Azure</v></cell><cell r="S5589" t="str"><v>Apps & Infra</v></cell><cell r="T5589" t="str"><v>Developers & ITI's</v></cell><cell r="U5589" t="str"><v>USA-Trial-ITD-Trial PayGo Lookalike-AZR-AZR</v></cell><cell r="V5589" t="str"><v>Lookalike Targeting</v></cell><cell r="W5589" t="str"><v>Canvas Ad</v></cell><cell r="X5589" t="str"><v>1x1</v></cell></row><row r="5589"><cell r="AA5589"><v>43321</v></cell><cell r="AB5589" t="str"><v>USA_gaPMG_AZR_AZR_Q1_19_Direct-Social</v></cell><cell r="AC5589"><v>21358715</v></cell><cell r="AD5589"><v>720197</v></cell><cell r="AE5589" t="str"><v>Facebook - Instagram</v></cell><cell r="AF5589"><v>3654128</v></cell><cell r="AG5589" t="str"><v>INSTAGRAM»USA-Trial-ITD-Trial PayGo Lookalike-AZR-AZR»1 x 1»SocialBan»CAN»ALL»CPA»LAL»X»NA»SS»NA»IGCTCBrandinMotion»PRC2FW</v></cell><cell r="AH5589"><v>223862654</v></cell><cell r="AI5589" t="str"><v>AzurePlatform_IGCTCBenefit2inMotion_USA_10s_CAN_PLATFORM_English_Trial_Standard_STAN_TIN_T4_2</v></cell><cell r="AJ5589"><v>103178714</v></cell></row><row r="5590"><cell r="C5590" t="str"><v>43322Facebook»Audience & Interest Targeting»1x1»Canvas»OTH»DT»DYN»AUT»W»NA»SS»NA»FBCTCcanvaspage-StartFreeCTA_FBCTCcanvaspage-BuyNowCTA</v></cell><cell r="D5590" t="str"><v>43322224639151</v></cell><cell r="E5590" t="str"><v>43322103316832NowCTA</v></cell><cell r="F5590" t="str"><v>DCM</v></cell><cell r="G5590" t="str"><v>https://azure.microsoft.com/en-au/pricing/purchase-options/</v></cell></row><row r="5590"><cell r="K5590" t="str"><v>August</v></cell><cell r="L5590"><v>43323</v></cell><cell r="M5590" t="str"><v>Tier 1</v></cell><cell r="N5590" t="str"><v>APAC</v></cell><cell r="O5590" t="str"><v>Australia</v></cell><cell r="P5590" t="str"><v>Trial</v></cell><cell r="Q5590" t="str"><v>Social</v></cell><cell r="R5590" t="str"><v>Azure</v></cell><cell r="S5590" t="str"><v>Apps & Infra</v></cell><cell r="T5590" t="str"><v>Developers & ITI's</v></cell><cell r="U5590" t="str"><v>Audience & Interest Targeting</v></cell><cell r="V5590" t="str"><v>Audience Targeting</v></cell><cell r="W5590" t="str"><v>Other</v></cell><cell r="X5590" t="str"><v>1x1</v></cell></row><row r="5590"><cell r="AA5590"><v>43322</v></cell><cell r="AB5590" t="str"><v>AUS_gaPMG_AZR_AZR_Q1_19_Trial-Social</v></cell><cell r="AC5590"><v>21358568</v></cell><cell r="AD5590"><v>720191</v></cell><cell r="AE5590" t="str"><v>Facebook</v></cell><cell r="AF5590"><v>3654128</v></cell><cell r="AG5590" t="str"><v>Facebook»Audience & Interest Targeting»1x1»Canvas»OTH»DT»DYN»AUT»W»NA»SS»NA»FBCTCcanvaspage-StartFreeCTA_FBCTCcanvaspage-BuyNowCTA</v></cell><cell r="AH5590"><v>224639151</v></cell><cell r="AI5590" t="str"><v>AzurePlatform_FBCTCcanvaspage-BuyNowCTA-Img3_AUS_1080x162_SOC_Plat_English_NA_Standard_NA_BN_T3_1</v></cell><cell r="AJ5590"><v>103316832</v></cell></row><row r="5591"><cell r="C5591" t="str"><v>43322Facebook»Audience & Interest Targeting»1x1»Canvas»OTH»DT»DYN»AUT»W»NA»SS»NA»FBCTCcanvaspage-StartFreeCTA_FBCTCcanvaspage-BuyNowCTA</v></cell><cell r="D5591" t="str"><v>43322224639151</v></cell><cell r="E5591" t="str"><v>43322103316829NowCTA</v></cell><cell r="F5591" t="str"><v>DCM</v></cell><cell r="G5591" t="str"><v>https://signup.azure.com/signup?offer=ms-azr-0044p&appId=102&ref=paidmedia-social-fb&redirectURL=https%3a%2f%2fazure.microsoft.com%2fen-au%2fget-started%2fwelcome-to-azure%2f&l=en-au&correlationId=ead86c34-1f10-49dd-a72b-6918462a2cbf</v></cell></row><row r="5591"><cell r="K5591" t="str"><v>August</v></cell><cell r="L5591"><v>43323</v></cell><cell r="M5591" t="str"><v>Tier 1</v></cell><cell r="N5591" t="str"><v>APAC</v></cell><cell r="O5591" t="str"><v>Australia</v></cell><cell r="P5591" t="str"><v>Trial</v></cell><cell r="Q5591" t="str"><v>Social</v></cell><cell r="R5591" t="str"><v>Azure</v></cell><cell r="S5591" t="str"><v>Apps & Infra</v></cell><cell r="T5591" t="str"><v>Developers & ITI's</v></cell><cell r="U5591" t="str"><v>Audience & Interest Targeting</v></cell><cell r="V5591" t="str"><v>Audience Targeting</v></cell><cell r="W5591" t="str"><v>Other</v></cell><cell r="X5591" t="str"><v>1x1</v></cell></row><row r="5591"><cell r="AA5591"><v>43322</v></cell><cell r="AB5591" t="str"><v>AUS_gaPMG_AZR_AZR_Q1_19_Trial-Social</v></cell><cell r="AC5591"><v>21358568</v></cell><cell r="AD5591"><v>720191</v></cell><cell r="AE5591" t="str"><v>Facebook</v></cell><cell r="AF5591"><v>3654128</v></cell><cell r="AG5591" t="str"><v>Facebook»Audience & Interest Targeting»1x1»Canvas»OTH»DT»DYN»AUT»W»NA»SS»NA»FBCTCcanvaspage-StartFreeCTA_FBCTCcanvaspage-BuyNowCTA</v></cell><cell r="AH5591"><v>224639151</v></cell><cell r="AI5591" t="str"><v>AzurePlatform_FBCTCcanvaspage-StartFreeCTA-Img2_AUS_1080x143 _SOC_Plat_English_NA_Standard_NA_NA_T2_1</v></cell><cell r="AJ5591"><v>103316829</v></cell></row><row r="5592"><cell r="C5592" t="str"><v>43322Facebook»Audience & Interest Targeting»1x1»TextLink»OTH»DT»DYN»AUT»W»NA»SS»NA»Free Account Refresh- 12 months ChE</v></cell><cell r="D5592" t="str"><v>43322224160783</v></cell><cell r="E5592" t="str"><v>43322103051614hs ChE</v></cell><cell r="F5592" t="str"><v>DCM</v></cell></row><row r="5592"><cell r="K5592" t="str"><v>August</v></cell><cell r="L5592"><v>43323</v></cell><cell r="M5592" t="str"><v>Tier 1</v></cell><cell r="N5592" t="str"><v>APAC</v></cell><cell r="O5592" t="str"><v>Australia</v></cell><cell r="P5592" t="str"><v>Trial</v></cell><cell r="Q5592" t="str"><v>Social</v></cell><cell r="R5592" t="str"><v>Azure</v></cell><cell r="S5592" t="str"><v>Apps & Infra</v></cell><cell r="T5592" t="str"><v>Developers & ITI's</v></cell><cell r="U5592" t="str"><v>Audience & Interest Targeting</v></cell><cell r="V5592" t="str"><v>Audience Targeting</v></cell><cell r="W5592" t="str"><v>Other</v></cell><cell r="X5592" t="str"><v>1x1</v></cell></row><row r="5592"><cell r="AA5592"><v>43322</v></cell><cell r="AB5592" t="str"><v>AUS_gaPMG_AZR_AZR_Q1_19_Trial-Social</v></cell><cell r="AC5592"><v>21358568</v></cell><cell r="AD5592"><v>720191</v></cell><cell r="AE5592" t="str"><v>Facebook</v></cell><cell r="AF5592"><v>3654128</v></cell><cell r="AG5592" t="str"><v>Facebook»Audience & Interest Targeting»1x1»TextLink»OTH»DT»DYN»AUT»W»NA»SS»NA»Free Account Refresh- 12 months ChE</v></cell><cell r="AH5592"><v>224160783</v></cell><cell r="AI5592" t="str"><v>AzurePlatform_FreeAcctAppsFACEBOOK12monthsChE_AUS_1200x628_SOC_PLAT_EN_Trial_Standard_NA_SNU_T5_1</v></cell><cell r="AJ5592"><v>103051614</v></cell></row><row r="5593"><cell r="C5593" t="str"><v>43322Facebook»Audience & Interest Targeting»1x1»TextLink»OTH»DT»DYN»AUT»W»NA»SS»NA»Free Account Refresh- 200 Credit ChD</v></cell><cell r="D5593" t="str"><v>43322224160780</v></cell><cell r="E5593" t="str"><v>43322103186904it ChD</v></cell><cell r="F5593" t="str"><v>DCM</v></cell></row><row r="5593"><cell r="K5593" t="str"><v>August</v></cell><cell r="L5593"><v>43323</v></cell><cell r="M5593" t="str"><v>Tier 1</v></cell><cell r="N5593" t="str"><v>APAC</v></cell><cell r="O5593" t="str"><v>Australia</v></cell><cell r="P5593" t="str"><v>Trial</v></cell><cell r="Q5593" t="str"><v>Social</v></cell><cell r="R5593" t="str"><v>Azure</v></cell><cell r="S5593" t="str"><v>Apps & Infra</v></cell><cell r="T5593" t="str"><v>Developers & ITI's</v></cell><cell r="U5593" t="str"><v>Audience & Interest Targeting</v></cell><cell r="V5593" t="str"><v>Audience Targeting</v></cell><cell r="W5593" t="str"><v>Other</v></cell><cell r="X5593" t="str"><v>1x1</v></cell></row><row r="5593"><cell r="AA5593"><v>43322</v></cell><cell r="AB5593" t="str"><v>AUS_gaPMG_AZR_AZR_Q1_19_Trial-Social</v></cell><cell r="AC5593"><v>21358568</v></cell><cell r="AD5593"><v>720191</v></cell><cell r="AE5593" t="str"><v>Facebook</v></cell><cell r="AF5593"><v>3654128</v></cell><cell r="AG5593" t="str"><v>Facebook»Audience & Interest Targeting»1x1»TextLink»OTH»DT»DYN»AUT»W»NA»SS»NA»Free Account Refresh- 200 Credit ChD</v></cell><cell r="AH5593"><v>224160780</v></cell><cell r="AI5593" t="str"><v>AzurePlatform_FreeAcctAppsFACEBOOK200CreditChD_AUS_1200x628_SOC_PLAT_EN_Trial_Standard_NA_SNU_T4_1</v></cell><cell r="AJ5593"><v>103186904</v></cell></row><row r="5594"><cell r="C5594" t="str"><v>43322Facebook»Audience & Interest Targeting»1x1»TextLink»OTH»DT»DYN»AUT»W»NA»SS»NA»Free Account Refresh- Device ChB</v></cell><cell r="D5594" t="str"><v>43322224160777</v></cell><cell r="E5594" t="str"><v>43322103048479ce ChB</v></cell><cell r="F5594" t="str"><v>DCM</v></cell></row><row r="5594"><cell r="K5594" t="str"><v>August</v></cell><cell r="L5594"><v>43323</v></cell><cell r="M5594" t="str"><v>Tier 1</v></cell><cell r="N5594" t="str"><v>APAC</v></cell><cell r="O5594" t="str"><v>Australia</v></cell><cell r="P5594" t="str"><v>Trial</v></cell><cell r="Q5594" t="str"><v>Social</v></cell><cell r="R5594" t="str"><v>Azure</v></cell><cell r="S5594" t="str"><v>Apps & Infra</v></cell><cell r="T5594" t="str"><v>Developers & ITI's</v></cell><cell r="U5594" t="str"><v>Audience & Interest Targeting</v></cell><cell r="V5594" t="str"><v>Audience Targeting</v></cell><cell r="W5594" t="str"><v>Other</v></cell><cell r="X5594" t="str"><v>1x1</v></cell></row><row r="5594"><cell r="AA5594"><v>43322</v></cell><cell r="AB5594" t="str"><v>AUS_gaPMG_AZR_AZR_Q1_19_Trial-Social</v></cell><cell r="AC5594"><v>21358568</v></cell><cell r="AD5594"><v>720191</v></cell><cell r="AE5594" t="str"><v>Facebook</v></cell><cell r="AF5594"><v>3654128</v></cell><cell r="AG5594" t="str"><v>Facebook»Audience & Interest Targeting»1x1»TextLink»OTH»DT»DYN»AUT»W»NA»SS»NA»Free Account Refresh- Device ChB</v></cell><cell r="AH5594"><v>224160777</v></cell><cell r="AI5594" t="str"><v>AzurePlatform_FreeAcctAppsFACEBOOKDeviceChB_AUS_1200x628_SOC_PLAT_EN_Trial_Standard_NA_SNU_T2_1</v></cell><cell r="AJ5594"><v>103048479</v></cell></row><row r="5595"><cell r="C5595" t="str"><v>43322Facebook»Audience & Interest Targeting»1x1»TextLink»OTH»DT»DYN»AUT»W»NA»SS»NA»Free Account Refresh- Illustration ChC</v></cell><cell r="D5595" t="str"><v>43322224160774</v></cell><cell r="E5595" t="str"><v>43322103186910on ChC</v></cell><cell r="F5595" t="str"><v>DCM</v></cell></row><row r="5595"><cell r="K5595" t="str"><v>August</v></cell><cell r="L5595"><v>43323</v></cell><cell r="M5595" t="str"><v>Tier 1</v></cell><cell r="N5595" t="str"><v>APAC</v></cell><cell r="O5595" t="str"><v>Australia</v></cell><cell r="P5595" t="str"><v>Trial</v></cell><cell r="Q5595" t="str"><v>Social</v></cell><cell r="R5595" t="str"><v>Azure</v></cell><cell r="S5595" t="str"><v>Apps & Infra</v></cell><cell r="T5595" t="str"><v>Developers & ITI's</v></cell><cell r="U5595" t="str"><v>Audience & Interest Targeting</v></cell><cell r="V5595" t="str"><v>Audience Targeting</v></cell><cell r="W5595" t="str"><v>Other</v></cell><cell r="X5595" t="str"><v>1x1</v></cell></row><row r="5595"><cell r="AA5595"><v>43322</v></cell><cell r="AB5595" t="str"><v>AUS_gaPMG_AZR_AZR_Q1_19_Trial-Social</v></cell><cell r="AC5595"><v>21358568</v></cell><cell r="AD5595"><v>720191</v></cell><cell r="AE5595" t="str"><v>Facebook</v></cell><cell r="AF5595"><v>3654128</v></cell><cell r="AG5595" t="str"><v>Facebook»Audience & Interest Targeting»1x1»TextLink»OTH»DT»DYN»AUT»W»NA»SS»NA»Free Account Refresh- Illustration ChC</v></cell><cell r="AH5595"><v>224160774</v></cell><cell r="AI5595" t="str"><v>AzurePlatform_FreeAcctAppsFACEBOOKIllustrationChC_AUS_1200x628_SOC_PLAT_EN_Trial_Standard_NA_SNU_T3_1</v></cell><cell r="AJ5595"><v>103186910</v></cell></row><row r="5596"><cell r="C5596" t="str"><v>43322Facebook»Audience & Interest Targeting»1x1»TextLink»OTH»DT»DYN»AUT»W»NA»SS»NA»Free Account Refresh- Lifestyle ChA</v></cell><cell r="D5596" t="str"><v>43322224160771</v></cell><cell r="E5596" t="str"><v>43322103048488le ChA</v></cell><cell r="F5596" t="str"><v>DCM</v></cell></row><row r="5596"><cell r="K5596" t="str"><v>August</v></cell><cell r="L5596"><v>43323</v></cell><cell r="M5596" t="str"><v>Tier 1</v></cell><cell r="N5596" t="str"><v>APAC</v></cell><cell r="O5596" t="str"><v>Australia</v></cell><cell r="P5596" t="str"><v>Trial</v></cell><cell r="Q5596" t="str"><v>Social</v></cell><cell r="R5596" t="str"><v>Azure</v></cell><cell r="S5596" t="str"><v>Apps & Infra</v></cell><cell r="T5596" t="str"><v>Developers & ITI's</v></cell><cell r="U5596" t="str"><v>Audience & Interest Targeting</v></cell><cell r="V5596" t="str"><v>Audience Targeting</v></cell><cell r="W5596" t="str"><v>Other</v></cell><cell r="X5596" t="str"><v>1x1</v></cell></row><row r="5596"><cell r="AA5596"><v>43322</v></cell><cell r="AB5596" t="str"><v>AUS_gaPMG_AZR_AZR_Q1_19_Trial-Social</v></cell><cell r="AC5596"><v>21358568</v></cell><cell r="AD5596"><v>720191</v></cell><cell r="AE5596" t="str"><v>Facebook</v></cell><cell r="AF5596"><v>3654128</v></cell><cell r="AG5596" t="str"><v>Facebook»Audience & Interest Targeting»1x1»TextLink»OTH»DT»DYN»AUT»W»NA»SS»NA»Free Account Refresh- Lifestyle ChA</v></cell><cell r="AH5596"><v>224160771</v></cell><cell r="AI5596" t="str"><v>AzurePlatform_FreeAcctAppsFACEBOOKLifestyleChA_AUS_1200x628_SOC_PLAT_EN_Trial_Standard_NA_SNU_T1_1</v></cell><cell r="AJ5596"><v>103048488</v></cell></row><row r="5597"><cell r="C5597" t="str"><v>43322Facebook»LAL»1x1»TextLink»SOC»DT»DYN»LAL»W»NA»SS»NA»Free Account Refresh- 200 Credit ChD</v></cell><cell r="D5597" t="str"><v>43322224160720</v></cell><cell r="E5597" t="str"><v>43322103186907it ChD</v></cell><cell r="F5597" t="str"><v>DCM</v></cell><cell r="G5597" t="str"><v>https://azure.microsoft.com/en-au/free/open-source/search/</v></cell></row><row r="5597"><cell r="K5597" t="str"><v>August</v></cell><cell r="L5597"><v>43323</v></cell><cell r="M5597" t="str"><v>Tier 1</v></cell><cell r="N5597" t="str"><v>APAC</v></cell><cell r="O5597" t="str"><v>Australia</v></cell><cell r="P5597" t="str"><v>Trial</v></cell><cell r="Q5597" t="str"><v>Social</v></cell><cell r="R5597" t="str"><v>Azure</v></cell><cell r="S5597" t="str"><v>Apps & Infra</v></cell><cell r="T5597" t="str"><v>Developers & ITI's</v></cell><cell r="U5597" t="str"><v>LAL</v></cell><cell r="V5597" t="str"><v>Lookalike Targeting</v></cell><cell r="W5597" t="str"><v>Social</v></cell><cell r="X5597" t="str"><v>1x1</v></cell></row><row r="5597"><cell r="AA5597"><v>43322</v></cell><cell r="AB5597" t="str"><v>AUS_gaPMG_AZR_AZR_Q1_19_Trial-Social</v></cell><cell r="AC5597"><v>21358568</v></cell><cell r="AD5597"><v>720191</v></cell><cell r="AE5597" t="str"><v>Facebook</v></cell><cell r="AF5597"><v>3654128</v></cell><cell r="AG5597" t="str"><v>Facebook»LAL»1x1»TextLink»SOC»DT»DYN»LAL»W»NA»SS»NA»Free Account Refresh- 200 Credit ChD</v></cell><cell r="AH5597"><v>224160720</v></cell><cell r="AI5597" t="str"><v>AzurePlatform_FreeAcctRetargetingOSSFB-Logos-ChG_AUS_1200x628_SOC_Plat_EN_Free Account_Standard_NA_SNU_T2_1</v></cell><cell r="AJ5597"><v>103186907</v></cell></row><row r="5598"><cell r="C5598" t="str"><v>43322Facebook»LAL»1x1»TextLink»SOC»DT»DYN»LAL»W»NA»SS»NA»Free Account Refresh- Device ChB</v></cell><cell r="D5598" t="str"><v>43322224160717</v></cell><cell r="E5598" t="str"><v>43322103048485ce ChB</v></cell><cell r="F5598" t="str"><v>DCM</v></cell><cell r="G5598" t="str"><v>https://azure.microsoft.com/en-au/free/open-source/search/</v></cell></row><row r="5598"><cell r="K5598" t="str"><v>August</v></cell><cell r="L5598"><v>43323</v></cell><cell r="M5598" t="str"><v>Tier 1</v></cell><cell r="N5598" t="str"><v>APAC</v></cell><cell r="O5598" t="str"><v>Australia</v></cell><cell r="P5598" t="str"><v>Trial</v></cell><cell r="Q5598" t="str"><v>Social</v></cell><cell r="R5598" t="str"><v>Azure</v></cell><cell r="S5598" t="str"><v>Apps & Infra</v></cell><cell r="T5598" t="str"><v>Developers & ITI's</v></cell><cell r="U5598" t="str"><v>LAL</v></cell><cell r="V5598" t="str"><v>Lookalike Targeting</v></cell><cell r="W5598" t="str"><v>Social</v></cell><cell r="X5598" t="str"><v>1x1</v></cell></row><row r="5598"><cell r="AA5598"><v>43322</v></cell><cell r="AB5598" t="str"><v>AUS_gaPMG_AZR_AZR_Q1_19_Trial-Social</v></cell><cell r="AC5598"><v>21358568</v></cell><cell r="AD5598"><v>720191</v></cell><cell r="AE5598" t="str"><v>Facebook</v></cell><cell r="AF5598"><v>3654128</v></cell><cell r="AG5598" t="str"><v>Facebook»LAL»1x1»TextLink»SOC»DT»DYN»LAL»W»NA»SS»NA»Free Account Refresh- Device ChB</v></cell><cell r="AH5598"><v>224160717</v></cell><cell r="AI5598" t="str"><v>AzurePlatform_FreeAcctRetargetingOSSFB-Text-ChF_AUS_1200x628_SOC_Plat_EN_Free Account_Standard_NA_SNU_T1_1</v></cell><cell r="AJ5598"><v>103048485</v></cell></row><row r="5599"><cell r="C5599" t="str"><v>43322Facebook»LAL»1x1»TextLink»SOC»DT»DYN»LAL»W»NA»SS»NA»Free Account Refresh- Illustration ChC</v></cell><cell r="D5599" t="str"><v>43322224160714</v></cell><cell r="E5599" t="str"><v>43322103186916on ChC</v></cell><cell r="F5599" t="str"><v>DCM</v></cell><cell r="G5599" t="str"><v>https://azure.microsoft.com/en-au/free/virtual-machines/search/</v></cell></row><row r="5599"><cell r="K5599" t="str"><v>August</v></cell><cell r="L5599"><v>43323</v></cell><cell r="M5599" t="str"><v>Tier 1</v></cell><cell r="N5599" t="str"><v>APAC</v></cell><cell r="O5599" t="str"><v>Australia</v></cell><cell r="P5599" t="str"><v>Trial</v></cell><cell r="Q5599" t="str"><v>Social</v></cell><cell r="R5599" t="str"><v>Azure</v></cell><cell r="S5599" t="str"><v>Apps & Infra</v></cell><cell r="T5599" t="str"><v>Developers & ITI's</v></cell><cell r="U5599" t="str"><v>LAL</v></cell><cell r="V5599" t="str"><v>Lookalike Targeting</v></cell><cell r="W5599" t="str"><v>Social</v></cell><cell r="X5599" t="str"><v>1x1</v></cell></row><row r="5599"><cell r="AA5599"><v>43322</v></cell><cell r="AB5599" t="str"><v>AUS_gaPMG_AZR_AZR_Q1_19_Trial-Social</v></cell><cell r="AC5599"><v>21358568</v></cell><cell r="AD5599"><v>720191</v></cell><cell r="AE5599" t="str"><v>Facebook</v></cell><cell r="AF5599"><v>3654128</v></cell><cell r="AG5599" t="str"><v>Facebook»LAL»1x1»TextLink»SOC»DT»DYN»LAL»W»NA»SS»NA»Free Account Refresh- Illustration ChC</v></cell><cell r="AH5599"><v>224160714</v></cell><cell r="AI5599" t="str"><v>AzurePlatform_FreeAcctRetargetingVMFB-750Hrs-ChD_AUS_1200x628_SOC_Plat_EN_Free Account_Standard_NA_SNU_T1_1</v></cell><cell r="AJ5599"><v>103186916</v></cell></row><row r="5600"><cell r="C5600" t="str"><v>43322Facebook»LAL»1x1»TextLink»SOC»DT»DYN»LAL»W»NA»SS»NA»Free Account Refresh- Lifestyle ChA</v></cell><cell r="D5600" t="str"><v>43322224160711</v></cell><cell r="E5600" t="str"><v>43322103048491le ChA</v></cell><cell r="F5600" t="str"><v>DCM</v></cell><cell r="G5600" t="str"><v>https://azure.microsoft.com/en-au/free/virtual-machines/search/</v></cell></row><row r="5600"><cell r="K5600" t="str"><v>August</v></cell><cell r="L5600"><v>43323</v></cell><cell r="M5600" t="str"><v>Tier 1</v></cell><cell r="N5600" t="str"><v>APAC</v></cell><cell r="O5600" t="str"><v>Australia</v></cell><cell r="P5600" t="str"><v>Trial</v></cell><cell r="Q5600" t="str"><v>Social</v></cell><cell r="R5600" t="str"><v>Azure</v></cell><cell r="S5600" t="str"><v>Apps & Infra</v></cell><cell r="T5600" t="str"><v>Developers & ITI's</v></cell><cell r="U5600" t="str"><v>LAL</v></cell><cell r="V5600" t="str"><v>Lookalike Targeting</v></cell><cell r="W5600" t="str"><v>Social</v></cell><cell r="X5600" t="str"><v>1x1</v></cell></row><row r="5600"><cell r="AA5600"><v>43322</v></cell><cell r="AB5600" t="str"><v>AUS_gaPMG_AZR_AZR_Q1_19_Trial-Social</v></cell><cell r="AC5600"><v>21358568</v></cell><cell r="AD5600"><v>720191</v></cell><cell r="AE5600" t="str"><v>Facebook</v></cell><cell r="AF5600"><v>3654128</v></cell><cell r="AG5600" t="str"><v>Facebook»LAL»1x1»TextLink»SOC»DT»DYN»LAL»W»NA»SS»NA»Free Account Refresh- Lifestyle ChA</v></cell><cell r="AH5600"><v>224160711</v></cell><cell r="AI5600" t="str"><v>AzurePlatform_FreeAcctRetargetingVMFB-OnDemand-ChE_AUS_1200x628_SOC_Plat_EN_Free Account_Standard_NA_SNU_T2_1</v></cell><cell r="AJ5600"><v>103048491</v></cell></row><row r="5601"><cell r="C5601" t="str"><v>43322Facebook»Retargeting»1x1»TextLink»SOC»DT»DYN»RT»W»NA»SS»NA»Free Account Refresh- 200 Credit ChD</v></cell><cell r="D5601" t="str"><v>43322224160738</v></cell><cell r="E5601" t="str"><v>43322103186904it ChD</v></cell><cell r="F5601" t="str"><v>DCM</v></cell></row><row r="5601"><cell r="K5601" t="str"><v>August</v></cell><cell r="L5601"><v>43323</v></cell><cell r="M5601" t="str"><v>Tier 1</v></cell><cell r="N5601" t="str"><v>APAC</v></cell><cell r="O5601" t="str"><v>Australia</v></cell><cell r="P5601" t="str"><v>Trial</v></cell><cell r="Q5601" t="str"><v>Social</v></cell><cell r="R5601" t="str"><v>Azure</v></cell><cell r="S5601" t="str"><v>Apps & Infra</v></cell><cell r="T5601" t="str"><v>Developers & ITI's</v></cell><cell r="U5601" t="str"><v>Retargeting</v></cell><cell r="V5601" t="str"><v>Retargeting</v></cell><cell r="W5601" t="str"><v>Social</v></cell><cell r="X5601" t="str"><v>1x1</v></cell></row><row r="5601"><cell r="AA5601"><v>43322</v></cell><cell r="AB5601" t="str"><v>AUS_gaPMG_AZR_AZR_Q1_19_Trial-Social</v></cell><cell r="AC5601"><v>21358568</v></cell><cell r="AD5601"><v>720191</v></cell><cell r="AE5601" t="str"><v>Facebook</v></cell><cell r="AF5601"><v>3654128</v></cell><cell r="AG5601" t="str"><v>Facebook»Retargeting»1x1»TextLink»SOC»DT»DYN»RT»W»NA»SS»NA»Free Account Refresh- 200 Credit ChD</v></cell><cell r="AH5601"><v>224160738</v></cell><cell r="AI5601" t="str"><v>AzurePlatform_FreeAcctAppsFACEBOOK200CreditChD_AUS_1200x628_SOC_PLAT_EN_Trial_Standard_NA_SNU_T4_1</v></cell><cell r="AJ5601"><v>103186904</v></cell></row><row r="5602"><cell r="C5602" t="str"><v>43322Facebook»Retargeting»1x1»TextLink»SOC»DT»DYN»RT»W»NA»SS»NA»Free Account Refresh- Device ChB</v></cell><cell r="D5602" t="str"><v>43322224160735</v></cell><cell r="E5602" t="str"><v>43322103048479ce ChB</v></cell><cell r="F5602" t="str"><v>DCM</v></cell></row><row r="5602"><cell r="K5602" t="str"><v>August</v></cell><cell r="L5602"><v>43323</v></cell><cell r="M5602" t="str"><v>Tier 1</v></cell><cell r="N5602" t="str"><v>APAC</v></cell><cell r="O5602" t="str"><v>Australia</v></cell><cell r="P5602" t="str"><v>Trial</v></cell><cell r="Q5602" t="str"><v>Social</v></cell><cell r="R5602" t="str"><v>Azure</v></cell><cell r="S5602" t="str"><v>Apps & Infra</v></cell><cell r="T5602" t="str"><v>Developers & ITI's</v></cell><cell r="U5602" t="str"><v>Retargeting</v></cell><cell r="V5602" t="str"><v>Retargeting</v></cell><cell r="W5602" t="str"><v>Social</v></cell><cell r="X5602" t="str"><v>1x1</v></cell></row><row r="5602"><cell r="AA5602"><v>43322</v></cell><cell r="AB5602" t="str"><v>AUS_gaPMG_AZR_AZR_Q1_19_Trial-Social</v></cell><cell r="AC5602"><v>21358568</v></cell><cell r="AD5602"><v>720191</v></cell><cell r="AE5602" t="str"><v>Facebook</v></cell><cell r="AF5602"><v>3654128</v></cell><cell r="AG5602" t="str"><v>Facebook»Retargeting»1x1»TextLink»SOC»DT»DYN»RT»W»NA»SS»NA»Free Account Refresh- Device ChB</v></cell><cell r="AH5602"><v>224160735</v></cell><cell r="AI5602" t="str"><v>AzurePlatform_FreeAcctAppsFACEBOOKDeviceChB_AUS_1200x628_SOC_PLAT_EN_Trial_Standard_NA_SNU_T2_1</v></cell><cell r="AJ5602"><v>103048479</v></cell></row><row r="5603"><cell r="C5603" t="str"><v>43322Facebook»Retargeting»1x1»TextLink»SOC»DT»DYN»RT»W»NA»SS»NA»Free Account Refresh- Illustration ChC</v></cell><cell r="D5603" t="str"><v>43322224160732</v></cell><cell r="E5603" t="str"><v>43322103186910on ChC</v></cell><cell r="F5603" t="str"><v>DCM</v></cell></row><row r="5603"><cell r="K5603" t="str"><v>August</v></cell><cell r="L5603"><v>43323</v></cell><cell r="M5603" t="str"><v>Tier 1</v></cell><cell r="N5603" t="str"><v>APAC</v></cell><cell r="O5603" t="str"><v>Australia</v></cell><cell r="P5603" t="str"><v>Trial</v></cell><cell r="Q5603" t="str"><v>Social</v></cell><cell r="R5603" t="str"><v>Azure</v></cell><cell r="S5603" t="str"><v>Apps & Infra</v></cell><cell r="T5603" t="str"><v>Developers & ITI's</v></cell><cell r="U5603" t="str"><v>Retargeting</v></cell><cell r="V5603" t="str"><v>Retargeting</v></cell><cell r="W5603" t="str"><v>Social</v></cell><cell r="X5603" t="str"><v>1x1</v></cell></row><row r="5603"><cell r="AA5603"><v>43322</v></cell><cell r="AB5603" t="str"><v>AUS_gaPMG_AZR_AZR_Q1_19_Trial-Social</v></cell><cell r="AC5603"><v>21358568</v></cell><cell r="AD5603"><v>720191</v></cell><cell r="AE5603" t="str"><v>Facebook</v></cell><cell r="AF5603"><v>3654128</v></cell><cell r="AG5603" t="str"><v>Facebook»Retargeting»1x1»TextLink»SOC»DT»DYN»RT»W»NA»SS»NA»Free Account Refresh- Illustration ChC</v></cell><cell r="AH5603"><v>224160732</v></cell><cell r="AI5603" t="str"><v>AzurePlatform_FreeAcctAppsFACEBOOKIllustrationChC_AUS_1200x628_SOC_PLAT_EN_Trial_Standard_NA_SNU_T3_1</v></cell><cell r="AJ5603"><v>103186910</v></cell></row><row r="5604"><cell r="C5604" t="str"><v>43322Facebook»Retargeting»1x1»TextLink»SOC»DT»DYN»RT»W»NA»SS»NA»Free Account Refresh- Lifestyle ChA</v></cell><cell r="D5604" t="str"><v>43322224160729</v></cell><cell r="E5604" t="str"><v>43322103048488le ChA</v></cell><cell r="F5604" t="str"><v>DCM</v></cell></row><row r="5604"><cell r="K5604" t="str"><v>August</v></cell><cell r="L5604"><v>43323</v></cell><cell r="M5604" t="str"><v>Tier 1</v></cell><cell r="N5604" t="str"><v>APAC</v></cell><cell r="O5604" t="str"><v>Australia</v></cell><cell r="P5604" t="str"><v>Trial</v></cell><cell r="Q5604" t="str"><v>Social</v></cell><cell r="R5604" t="str"><v>Azure</v></cell><cell r="S5604" t="str"><v>Apps & Infra</v></cell><cell r="T5604" t="str"><v>Developers & ITI's</v></cell><cell r="U5604" t="str"><v>Retargeting</v></cell><cell r="V5604" t="str"><v>Retargeting</v></cell><cell r="W5604" t="str"><v>Social</v></cell><cell r="X5604" t="str"><v>1x1</v></cell></row><row r="5604"><cell r="AA5604"><v>43322</v></cell><cell r="AB5604" t="str"><v>AUS_gaPMG_AZR_AZR_Q1_19_Trial-Social</v></cell><cell r="AC5604"><v>21358568</v></cell><cell r="AD5604"><v>720191</v></cell><cell r="AE5604" t="str"><v>Facebook</v></cell><cell r="AF5604"><v>3654128</v></cell><cell r="AG5604" t="str"><v>Facebook»Retargeting»1x1»TextLink»SOC»DT»DYN»RT»W»NA»SS»NA»Free Account Refresh- Lifestyle ChA</v></cell><cell r="AH5604"><v>224160729</v></cell><cell r="AI5604" t="str"><v>AzurePlatform_FreeAcctAppsFACEBOOKLifestyleChA_AUS_1200x628_SOC_PLAT_EN_Trial_Standard_NA_SNU_T1_1</v></cell><cell r="AJ5604"><v>103048488</v></cell></row><row r="5605"><cell r="C5605" t="str"><v>43322Facebook»AZR»1x1»NA»EGV»ALL»DYN»AUT»D»All»SS»NA»Free Acc CTC - T1 - EN</v></cell><cell r="D5605" t="str"><v>43322223684451</v></cell><cell r="E5605" t="str"><v>433221029018821 - EN</v></cell><cell r="F5605" t="str"><v>DCM</v></cell><cell r="G5605" t="str"><v>https://signup.azure.com/</v></cell></row><row r="5605"><cell r="K5605" t="str"><v>August</v></cell><cell r="L5605"><v>43323</v></cell><cell r="M5605" t="str"><v>Tier 1</v></cell><cell r="N5605" t="str"><v>North America</v></cell><cell r="O5605" t="str"><v>Canada</v></cell><cell r="P5605" t="str"><v>Trial</v></cell><cell r="Q5605" t="str"><v>Social</v></cell><cell r="R5605" t="str"><v>Azure</v></cell><cell r="S5605" t="str"><v>Apps & Infra</v></cell><cell r="T5605" t="str"><v>Developers & ITI's</v></cell><cell r="U5605" t="str"><v>AZR</v></cell><cell r="V5605" t="str"><v>Audience Targeting</v></cell><cell r="W5605" t="str"><v>Engagement Video</v></cell><cell r="X5605" t="str"><v>1x1</v></cell></row><row r="5605"><cell r="AA5605"><v>43322</v></cell><cell r="AB5605" t="str"><v>CAN_gaPMG_AZR_AZR_Q1_19_Trial-Social</v></cell><cell r="AC5605"><v>21337220</v></cell><cell r="AD5605"><v>720192</v></cell><cell r="AE5605" t="str"><v>Facebook</v></cell><cell r="AF5605"><v>3654128</v></cell><cell r="AG5605" t="str"><v>Facebook»AZR»1x1»NA»EGV»ALL»DYN»AUT»D»All»SS»NA»Free Acc CTC - T1 - EN</v></cell><cell r="AH5605"><v>223684451</v></cell><cell r="AI5605" t="str"><v>AzurePlatform_FBCTCBasicMotion_CAN_10s_ISV_PLAT_English_Trial_Standard_STAN_TN_T1_1</v></cell><cell r="AJ5605"><v>102901882</v></cell></row><row r="5606"><cell r="C5606" t="str"><v>43322Facebook»AZR»1x1»NA»EGV»ALL»DYN»AUT»D»All»SS»NA»Free Acc CTC - T1 - FR</v></cell><cell r="D5606" t="str"><v>43322223691801</v></cell><cell r="E5606" t="str"><v>433221030533231 - FR</v></cell><cell r="F5606" t="str"><v>DCM</v></cell><cell r="G5606" t="str"><v>https://signup.azure.com/</v></cell></row><row r="5606"><cell r="K5606" t="str"><v>August</v></cell><cell r="L5606"><v>43323</v></cell><cell r="M5606" t="str"><v>Tier 1</v></cell><cell r="N5606" t="str"><v>North America</v></cell><cell r="O5606" t="str"><v>Canada</v></cell><cell r="P5606" t="str"><v>Trial</v></cell><cell r="Q5606" t="str"><v>Social</v></cell><cell r="R5606" t="str"><v>Azure</v></cell><cell r="S5606" t="str"><v>Apps & Infra</v></cell><cell r="T5606" t="str"><v>Developers & ITI's</v></cell><cell r="U5606" t="str"><v>AZR</v></cell><cell r="V5606" t="str"><v>Audience Targeting</v></cell><cell r="W5606" t="str"><v>Engagement Video</v></cell><cell r="X5606" t="str"><v>1x1</v></cell></row><row r="5606"><cell r="AA5606"><v>43322</v></cell><cell r="AB5606" t="str"><v>CAN_gaPMG_AZR_AZR_Q1_19_Trial-Social</v></cell><cell r="AC5606"><v>21337220</v></cell><cell r="AD5606"><v>720192</v></cell><cell r="AE5606" t="str"><v>Facebook</v></cell><cell r="AF5606"><v>3654128</v></cell><cell r="AG5606" t="str"><v>Facebook»AZR»1x1»NA»EGV»ALL»DYN»AUT»D»All»SS»NA»Free Acc CTC - T1 - FR</v></cell><cell r="AH5606"><v>223691801</v></cell><cell r="AI5606" t="str"><v>AzurePlatform_FBCTCBasicMotion_CAN_10s_ISV_PLAT_FR_Trial_Standard_STAN_TN_T1_1</v></cell><cell r="AJ5606"><v>103053323</v></cell></row><row r="5607"><cell r="C5607" t="str"><v>43322Facebook»AZR»1x1»NA»EGV»ALL»DYN»AUT»D»All»SS»NA»Free Acc CTC - T2 - EN</v></cell><cell r="D5607" t="str"><v>43322223691840</v></cell><cell r="E5607" t="str"><v>433221029029502 - EN</v></cell><cell r="F5607" t="str"><v>DCM</v></cell><cell r="G5607" t="str"><v>https://signup.azure.com/</v></cell></row><row r="5607"><cell r="K5607" t="str"><v>August</v></cell><cell r="L5607"><v>43323</v></cell><cell r="M5607" t="str"><v>Tier 1</v></cell><cell r="N5607" t="str"><v>North America</v></cell><cell r="O5607" t="str"><v>Canada</v></cell><cell r="P5607" t="str"><v>Trial</v></cell><cell r="Q5607" t="str"><v>Social</v></cell><cell r="R5607" t="str"><v>Azure</v></cell><cell r="S5607" t="str"><v>Apps & Infra</v></cell><cell r="T5607" t="str"><v>Developers & ITI's</v></cell><cell r="U5607" t="str"><v>AZR</v></cell><cell r="V5607" t="str"><v>Audience Targeting</v></cell><cell r="W5607" t="str"><v>Engagement Video</v></cell><cell r="X5607" t="str"><v>1x1</v></cell></row><row r="5607"><cell r="AA5607"><v>43322</v></cell><cell r="AB5607" t="str"><v>CAN_gaPMG_AZR_AZR_Q1_19_Trial-Social</v></cell><cell r="AC5607"><v>21337220</v></cell><cell r="AD5607"><v>720192</v></cell><cell r="AE5607" t="str"><v>Facebook</v></cell><cell r="AF5607"><v>3654128</v></cell><cell r="AG5607" t="str"><v>Facebook»AZR»1x1»NA»EGV»ALL»DYN»AUT»D»All»SS»NA»Free Acc CTC - T2 - EN</v></cell><cell r="AH5607"><v>223691840</v></cell><cell r="AI5607" t="str"><v>AzurePlatform_FBCTCBrandinMotion_CAN_12s_ISV_PLAT_English_Trial_Standard_STAN_TN_T2_1</v></cell><cell r="AJ5607"><v>102902950</v></cell></row><row r="5608"><cell r="C5608" t="str"><v>43322Facebook»AZR»1x1»NA»EGV»ALL»DYN»AUT»D»All»SS»NA»Free Acc CTC - T4 - EN</v></cell><cell r="D5608" t="str"><v>43322223691837</v></cell><cell r="E5608" t="str"><v>433221030533144 - EN</v></cell><cell r="F5608" t="str"><v>DCM</v></cell><cell r="G5608" t="str"><v>https://signup.azure.com/</v></cell></row><row r="5608"><cell r="K5608" t="str"><v>August</v></cell><cell r="L5608"><v>43323</v></cell><cell r="M5608" t="str"><v>Tier 1</v></cell><cell r="N5608" t="str"><v>North America</v></cell><cell r="O5608" t="str"><v>Canada</v></cell><cell r="P5608" t="str"><v>Trial</v></cell><cell r="Q5608" t="str"><v>Social</v></cell><cell r="R5608" t="str"><v>Azure</v></cell><cell r="S5608" t="str"><v>Apps & Infra</v></cell><cell r="T5608" t="str"><v>Developers & ITI's</v></cell><cell r="U5608" t="str"><v>AZR</v></cell><cell r="V5608" t="str"><v>Audience Targeting</v></cell><cell r="W5608" t="str"><v>Engagement Video</v></cell><cell r="X5608" t="str"><v>1x1</v></cell></row><row r="5608"><cell r="AA5608"><v>43322</v></cell><cell r="AB5608" t="str"><v>CAN_gaPMG_AZR_AZR_Q1_19_Trial-Social</v></cell><cell r="AC5608"><v>21337220</v></cell><cell r="AD5608"><v>720192</v></cell><cell r="AE5608" t="str"><v>Facebook</v></cell><cell r="AF5608"><v>3654128</v></cell><cell r="AG5608" t="str"><v>Facebook»AZR»1x1»NA»EGV»ALL»DYN»AUT»D»All»SS»NA»Free Acc CTC - T4 - EN</v></cell><cell r="AH5608"><v>223691837</v></cell><cell r="AI5608" t="str"><v>AzurePlatform_FBCTCBenefit2inMotion_CAN_14s_ISV_PLAT_English_Trial_Standard_STAN_TN_T4_1</v></cell><cell r="AJ5608"><v>103053314</v></cell></row><row r="5609"><cell r="C5609" t="str"><v>43322Facebook»AZR»1x1»NA»EGV»ALL»DYN»AUT»D»All»SS»NA»Free Acc CTC - T4 - FR</v></cell><cell r="D5609" t="str"><v>43322223691795</v></cell><cell r="E5609" t="str"><v>433221029006884 - FR</v></cell><cell r="F5609" t="str"><v>DCM</v></cell><cell r="G5609" t="str"><v>https://signup.azure.com/</v></cell></row><row r="5609"><cell r="K5609" t="str"><v>August</v></cell><cell r="L5609"><v>43323</v></cell><cell r="M5609" t="str"><v>Tier 1</v></cell><cell r="N5609" t="str"><v>North America</v></cell><cell r="O5609" t="str"><v>Canada</v></cell><cell r="P5609" t="str"><v>Trial</v></cell><cell r="Q5609" t="str"><v>Social</v></cell><cell r="R5609" t="str"><v>Azure</v></cell><cell r="S5609" t="str"><v>Apps & Infra</v></cell><cell r="T5609" t="str"><v>Developers & ITI's</v></cell><cell r="U5609" t="str"><v>AZR</v></cell><cell r="V5609" t="str"><v>Audience Targeting</v></cell><cell r="W5609" t="str"><v>Engagement Video</v></cell><cell r="X5609" t="str"><v>1x1</v></cell></row><row r="5609"><cell r="AA5609"><v>43322</v></cell><cell r="AB5609" t="str"><v>CAN_gaPMG_AZR_AZR_Q1_19_Trial-Social</v></cell><cell r="AC5609"><v>21337220</v></cell><cell r="AD5609"><v>720192</v></cell><cell r="AE5609" t="str"><v>Facebook</v></cell><cell r="AF5609"><v>3654128</v></cell><cell r="AG5609" t="str"><v>Facebook»AZR»1x1»NA»EGV»ALL»DYN»AUT»D»All»SS»NA»Free Acc CTC - T4 - FR</v></cell><cell r="AH5609"><v>223691795</v></cell><cell r="AI5609" t="str"><v>AzurePlatform_FBCTCBenefit2inMotion_CAN_14s_ISV_PLAT_FR_Trial_Standard_STAN_TN_T4_1</v></cell><cell r="AJ5609"><v>102900688</v></cell></row><row r="5610"><cell r="C5610" t="str"><v>43322Facebook»AZR»1x1»NA»SOC»ALL»DYN»PRO»D»All»SS»NA»Canvas - Buy Now - EN</v></cell><cell r="D5610" t="str"><v>43322225322327</v></cell><cell r="E5610" t="str"><v>43322103902287w - EN</v></cell><cell r="F5610" t="str"><v>DCM</v></cell><cell r="G5610" t="str"><v>https://azure.microsoft.com/en-ca/pricing/purchase-options/</v></cell></row><row r="5610"><cell r="K5610" t="str"><v>August</v></cell><cell r="L5610"><v>43323</v></cell><cell r="M5610" t="str"><v>Tier 1</v></cell><cell r="N5610" t="str"><v>North America</v></cell><cell r="O5610" t="str"><v>Canada</v></cell><cell r="P5610" t="str"><v>Trial</v></cell><cell r="Q5610" t="str"><v>Social</v></cell><cell r="R5610" t="str"><v>Azure</v></cell><cell r="S5610" t="str"><v>Apps & Infra</v></cell><cell r="T5610" t="str"><v>Developers & ITI's</v></cell><cell r="U5610" t="str"><v>AZR</v></cell><cell r="V5610" t="str"><v>Prospecting</v></cell><cell r="W5610" t="str"><v>Social</v></cell><cell r="X5610" t="str"><v>1x1</v></cell></row><row r="5610"><cell r="AA5610"><v>43322</v></cell><cell r="AB5610" t="str"><v>CAN_gaPMG_AZR_AZR_Q1_19_Trial-Social</v></cell><cell r="AC5610"><v>21337220</v></cell><cell r="AD5610"><v>720192</v></cell><cell r="AE5610" t="str"><v>Facebook</v></cell><cell r="AF5610"><v>3654128</v></cell><cell r="AG5610" t="str"><v>Facebook»AZR»1x1»NA»SOC»ALL»DYN»PRO»D»All»SS»NA»Canvas - Buy Now - EN</v></cell><cell r="AH5610"><v>225322327</v></cell><cell r="AI5610" t="str"><v>AzurePlatform_FBCTCcanvaspage-BuyNowCTA-Img3_CAN_1080x162_SOC_Plat_English_NA_Standard_NA_BN_T3_1</v></cell><cell r="AJ5610"><v>103902287</v></cell></row><row r="5611"><cell r="C5611" t="str"><v>43322Facebook»AZR»1x1»NA»SOC»ALL»DYN»PRO»D»All»SS»NA»Canvas - Start Free - EN</v></cell><cell r="D5611" t="str"><v>43322225252365</v></cell><cell r="E5611" t="str"><v>43322103807590e - EN</v></cell><cell r="F5611" t="str"><v>DCM</v></cell><cell r="G5611" t="str"><v>https://signup.azure.com/signup?offer=ms-azr-0044p&appId=102&ref=paidmedia-social-fb&redirectURL=https%3a%2f%2fazure.microsoft.com%2fen-ca%2fget-started%2fwelcome-to-azure%2f&l=en-ca&correlationId=ead86c34-1f10-49dd-a72b-6918462a2cbf</v></cell></row><row r="5611"><cell r="K5611" t="str"><v>August</v></cell><cell r="L5611"><v>43323</v></cell><cell r="M5611" t="str"><v>Tier 1</v></cell><cell r="N5611" t="str"><v>North America</v></cell><cell r="O5611" t="str"><v>Canada</v></cell><cell r="P5611" t="str"><v>Trial</v></cell><cell r="Q5611" t="str"><v>Social</v></cell><cell r="R5611" t="str"><v>Azure</v></cell><cell r="S5611" t="str"><v>Apps & Infra</v></cell><cell r="T5611" t="str"><v>Developers & ITI's</v></cell><cell r="U5611" t="str"><v>AZR</v></cell><cell r="V5611" t="str"><v>Prospecting</v></cell><cell r="W5611" t="str"><v>Social</v></cell><cell r="X5611" t="str"><v>1x1</v></cell></row><row r="5611"><cell r="AA5611"><v>43322</v></cell><cell r="AB5611" t="str"><v>CAN_gaPMG_AZR_AZR_Q1_19_Trial-Social</v></cell><cell r="AC5611"><v>21337220</v></cell><cell r="AD5611"><v>720192</v></cell><cell r="AE5611" t="str"><v>Facebook</v></cell><cell r="AF5611"><v>3654128</v></cell><cell r="AG5611" t="str"><v>Facebook»AZR»1x1»NA»SOC»ALL»DYN»PRO»D»All»SS»NA»Canvas - Start Free - EN</v></cell><cell r="AH5611"><v>225252365</v></cell><cell r="AI5611" t="str"><v>AzurePlatform_FBCTCcanvaspage-StartFreeCTA-Img2_CAN_1080x143 _SOC_Plat_English_NA_Standard_NA_NA_T2_1</v></cell><cell r="AJ5611"><v>103807590</v></cell></row><row r="5612"><cell r="C5612" t="str"><v>43322Facebook»AZR»1x1»NA»SOC»ALL»DYN»PRO»D»All»SS»NA»Canvas - Start Free - FR</v></cell><cell r="D5612" t="str"><v>43322225525936</v></cell><cell r="E5612" t="str"><v>43322103902551e - FR</v></cell><cell r="F5612" t="str"><v>DCM</v></cell><cell r="G5612" t="str"><v>https://signup.azure.com/signup?offer=ms-azr-0044p&appId=102&ref=paidmedia-social-fb&redirectURL=https%3a%2f%2fazure.microsoft.com%2ffr-ca%2fget-started%2fwelcome-to-azure%2f&l=fr-ca&correlationId=ead86c34-1f10-49dd-a72b-6918462a2cbf</v></cell></row><row r="5612"><cell r="K5612" t="str"><v>August</v></cell><cell r="L5612"><v>43323</v></cell><cell r="M5612" t="str"><v>Tier 1</v></cell><cell r="N5612" t="str"><v>North America</v></cell><cell r="O5612" t="str"><v>Canada</v></cell><cell r="P5612" t="str"><v>Trial</v></cell><cell r="Q5612" t="str"><v>Social</v></cell><cell r="R5612" t="str"><v>Azure</v></cell><cell r="S5612" t="str"><v>Apps & Infra</v></cell><cell r="T5612" t="str"><v>Developers & ITI's</v></cell><cell r="U5612" t="str"><v>AZR</v></cell><cell r="V5612" t="str"><v>Prospecting</v></cell><cell r="W5612" t="str"><v>Social</v></cell><cell r="X5612" t="str"><v>1x1</v></cell></row><row r="5612"><cell r="AA5612"><v>43322</v></cell><cell r="AB5612" t="str"><v>CAN_gaPMG_AZR_AZR_Q1_19_Trial-Social</v></cell><cell r="AC5612"><v>21337220</v></cell><cell r="AD5612"><v>720192</v></cell><cell r="AE5612" t="str"><v>Facebook</v></cell><cell r="AF5612"><v>3654128</v></cell><cell r="AG5612" t="str"><v>Facebook»AZR»1x1»NA»SOC»ALL»DYN»PRO»D»All»SS»NA»Canvas - Start Free - FR</v></cell><cell r="AH5612"><v>225525936</v></cell><cell r="AI5612" t="str"><v>AzurePlatform_FBCTCcanvaspage-StartFreeCTA-Img2_CAN_1080x143 _SOC_Plat_French_NA_Standard_NA_NA_T2_1</v></cell><cell r="AJ5612"><v>103902551</v></cell></row><row r="5613"><cell r="C5613" t="str"><v>43322Facebook»AZR»1x1»SocialBan»NA»ALL»DYN»AUT»D»All»SS»NA»Free Acc Refresh - T1 - EN</v></cell><cell r="D5613" t="str"><v>43322223691804</v></cell><cell r="E5613" t="str"><v>433221030587171 - EN</v></cell><cell r="F5613" t="str"><v>DCM</v></cell><cell r="G5613" t="str"><v>https://azure.microsoft.com/en-CA/free/search/</v></cell></row><row r="5613"><cell r="K5613" t="str"><v>August</v></cell><cell r="L5613"><v>43323</v></cell><cell r="M5613" t="str"><v>Tier 1</v></cell><cell r="N5613" t="str"><v>North America</v></cell><cell r="O5613" t="str"><v>Canada</v></cell><cell r="P5613" t="str"><v>Trial</v></cell><cell r="Q5613" t="str"><v>Social</v></cell><cell r="R5613" t="str"><v>Azure</v></cell><cell r="S5613" t="str"><v>Apps & Infra</v></cell><cell r="T5613" t="str"><v>Developers & ITI's</v></cell><cell r="U5613" t="str"><v>AZR</v></cell><cell r="V5613" t="str"><v>Audience Targeting</v></cell><cell r="W5613" t="str"><v>NotApplicable</v></cell><cell r="X5613" t="str"><v>1x1</v></cell></row><row r="5613"><cell r="AA5613"><v>43322</v></cell><cell r="AB5613" t="str"><v>CAN_gaPMG_AZR_AZR_Q1_19_Trial-Social</v></cell><cell r="AC5613"><v>21337220</v></cell><cell r="AD5613"><v>720192</v></cell><cell r="AE5613" t="str"><v>Facebook</v></cell><cell r="AF5613"><v>3654128</v></cell><cell r="AG5613" t="str"><v>Facebook»AZR»1x1»SocialBan»NA»ALL»DYN»AUT»D»All»SS»NA»Free Acc Refresh - T1 - EN</v></cell><cell r="AH5613"><v>223691804</v></cell><cell r="AI5613" t="str"><v>AzurePlatform_FreeAcctAppsFACEBOOKLifestyleChA_CAN_1200x628_SOC_PLAT_EN_Trial_Standard_NA_SU_T1_1.png</v></cell><cell r="AJ5613"><v>103058717</v></cell></row><row r="5614"><cell r="C5614" t="str"><v>43322Facebook»AZR»1x1»SocialBan»NA»ALL»DYN»AUT»D»All»SS»NA»Free Acc Refresh - T1 - FR</v></cell><cell r="D5614" t="str"><v>43322223691762</v></cell><cell r="E5614" t="str"><v>433221029029741 - FR</v></cell><cell r="F5614" t="str"><v>DCM</v></cell><cell r="G5614" t="str"><v>https://azure.microsoft.com/fr-ca/free/search/</v></cell></row><row r="5614"><cell r="K5614" t="str"><v>August</v></cell><cell r="L5614"><v>43323</v></cell><cell r="M5614" t="str"><v>Tier 1</v></cell><cell r="N5614" t="str"><v>North America</v></cell><cell r="O5614" t="str"><v>Canada</v></cell><cell r="P5614" t="str"><v>Trial</v></cell><cell r="Q5614" t="str"><v>Social</v></cell><cell r="R5614" t="str"><v>Azure</v></cell><cell r="S5614" t="str"><v>Apps & Infra</v></cell><cell r="T5614" t="str"><v>Developers & ITI's</v></cell><cell r="U5614" t="str"><v>AZR</v></cell><cell r="V5614" t="str"><v>Audience Targeting</v></cell><cell r="W5614" t="str"><v>NotApplicable</v></cell><cell r="X5614" t="str"><v>1x1</v></cell></row><row r="5614"><cell r="AA5614"><v>43322</v></cell><cell r="AB5614" t="str"><v>CAN_gaPMG_AZR_AZR_Q1_19_Trial-Social</v></cell><cell r="AC5614"><v>21337220</v></cell><cell r="AD5614"><v>720192</v></cell><cell r="AE5614" t="str"><v>Facebook</v></cell><cell r="AF5614"><v>3654128</v></cell><cell r="AG5614" t="str"><v>Facebook»AZR»1x1»SocialBan»NA»ALL»DYN»AUT»D»All»SS»NA»Free Acc Refresh - T1 - FR</v></cell><cell r="AH5614"><v>223691762</v></cell><cell r="AI5614" t="str"><v>AzurePlatform_FreeAcctAppsFACEBOOKLifestyleChA_CAN_1200x628_SOC_PLAT_FR_Trial_Standard_NA_SU_T1_1.png</v></cell><cell r="AJ5614"><v>102902974</v></cell></row><row r="5615"><cell r="C5615" t="str"><v>43322Facebook»AZR»1x1»SocialBan»NA»ALL»DYN»AUT»D»All»SS»NA»Free Acc Refresh - T2 - EN</v></cell><cell r="D5615" t="str"><v>43322223691810</v></cell><cell r="E5615" t="str"><v>433221030587112 - EN</v></cell><cell r="F5615" t="str"><v>DCM</v></cell><cell r="G5615" t="str"><v>https://azure.microsoft.com/en-CA/free/search/</v></cell></row><row r="5615"><cell r="K5615" t="str"><v>August</v></cell><cell r="L5615"><v>43323</v></cell><cell r="M5615" t="str"><v>Tier 1</v></cell><cell r="N5615" t="str"><v>North America</v></cell><cell r="O5615" t="str"><v>Canada</v></cell><cell r="P5615" t="str"><v>Trial</v></cell><cell r="Q5615" t="str"><v>Social</v></cell><cell r="R5615" t="str"><v>Azure</v></cell><cell r="S5615" t="str"><v>Apps & Infra</v></cell><cell r="T5615" t="str"><v>Developers & ITI's</v></cell><cell r="U5615" t="str"><v>AZR</v></cell><cell r="V5615" t="str"><v>Audience Targeting</v></cell><cell r="W5615" t="str"><v>NotApplicable</v></cell><cell r="X5615" t="str"><v>1x1</v></cell></row><row r="5615"><cell r="AA5615"><v>43322</v></cell><cell r="AB5615" t="str"><v>CAN_gaPMG_AZR_AZR_Q1_19_Trial-Social</v></cell><cell r="AC5615"><v>21337220</v></cell><cell r="AD5615"><v>720192</v></cell><cell r="AE5615" t="str"><v>Facebook</v></cell><cell r="AF5615"><v>3654128</v></cell><cell r="AG5615" t="str"><v>Facebook»AZR»1x1»SocialBan»NA»ALL»DYN»AUT»D»All»SS»NA»Free Acc Refresh - T2 - EN</v></cell><cell r="AH5615"><v>223691810</v></cell><cell r="AI5615" t="str"><v>AzurePlatform_FreeAcctAppsFACEBOOKDeviceChB_CAN_1200x628_SOC_PLAT_EN_Trial_Standard_NA_SU_T2_1.png</v></cell><cell r="AJ5615"><v>103058711</v></cell></row><row r="5616"><cell r="C5616" t="str"><v>43322Facebook»AZR»1x1»SocialBan»NA»ALL»DYN»AUT»D»All»SS»NA»Free Acc Refresh - T2 - FR</v></cell><cell r="D5616" t="str"><v>43322223691768</v></cell><cell r="E5616" t="str"><v>433221029029712 - FR</v></cell><cell r="F5616" t="str"><v>DCM</v></cell><cell r="G5616" t="str"><v>https://azure.microsoft.com/fr-ca/free/search/</v></cell></row><row r="5616"><cell r="K5616" t="str"><v>August</v></cell><cell r="L5616"><v>43323</v></cell><cell r="M5616" t="str"><v>Tier 1</v></cell><cell r="N5616" t="str"><v>North America</v></cell><cell r="O5616" t="str"><v>Canada</v></cell><cell r="P5616" t="str"><v>Trial</v></cell><cell r="Q5616" t="str"><v>Social</v></cell><cell r="R5616" t="str"><v>Azure</v></cell><cell r="S5616" t="str"><v>Apps & Infra</v></cell><cell r="T5616" t="str"><v>Developers & ITI's</v></cell><cell r="U5616" t="str"><v>AZR</v></cell><cell r="V5616" t="str"><v>Audience Targeting</v></cell><cell r="W5616" t="str"><v>NotApplicable</v></cell><cell r="X5616" t="str"><v>1x1</v></cell></row><row r="5616"><cell r="AA5616"><v>43322</v></cell><cell r="AB5616" t="str"><v>CAN_gaPMG_AZR_AZR_Q1_19_Trial-Social</v></cell><cell r="AC5616"><v>21337220</v></cell><cell r="AD5616"><v>720192</v></cell><cell r="AE5616" t="str"><v>Facebook</v></cell><cell r="AF5616"><v>3654128</v></cell><cell r="AG5616" t="str"><v>Facebook»AZR»1x1»SocialBan»NA»ALL»DYN»AUT»D»All»SS»NA»Free Acc Refresh - T2 - FR</v></cell><cell r="AH5616"><v>223691768</v></cell><cell r="AI5616" t="str"><v>AzurePlatform_FreeAcctAppsFACEBOOKDeviceChB_CAN_1200x628_SOC_PLAT_FR_Trial_Standard_NA_SU_T2_1.png</v></cell><cell r="AJ5616"><v>102902971</v></cell></row><row r="5617"><cell r="C5617" t="str"><v>43322Facebook»AZR»1x1»SocialBan»NA»ALL»DYN»AUT»D»All»SS»NA»Free Acc Refresh - T3 - EN</v></cell><cell r="D5617" t="str"><v>43322223691807</v></cell><cell r="E5617" t="str"><v>433221029006853 - EN</v></cell><cell r="F5617" t="str"><v>DCM</v></cell><cell r="G5617" t="str"><v>https://azure.microsoft.com/en-CA/free/search/</v></cell></row><row r="5617"><cell r="K5617" t="str"><v>August</v></cell><cell r="L5617"><v>43323</v></cell><cell r="M5617" t="str"><v>Tier 1</v></cell><cell r="N5617" t="str"><v>North America</v></cell><cell r="O5617" t="str"><v>Canada</v></cell><cell r="P5617" t="str"><v>Trial</v></cell><cell r="Q5617" t="str"><v>Social</v></cell><cell r="R5617" t="str"><v>Azure</v></cell><cell r="S5617" t="str"><v>Apps & Infra</v></cell><cell r="T5617" t="str"><v>Developers & ITI's</v></cell><cell r="U5617" t="str"><v>AZR</v></cell><cell r="V5617" t="str"><v>Audience Targeting</v></cell><cell r="W5617" t="str"><v>NotApplicable</v></cell><cell r="X5617" t="str"><v>1x1</v></cell></row><row r="5617"><cell r="AA5617"><v>43322</v></cell><cell r="AB5617" t="str"><v>CAN_gaPMG_AZR_AZR_Q1_19_Trial-Social</v></cell><cell r="AC5617"><v>21337220</v></cell><cell r="AD5617"><v>720192</v></cell><cell r="AE5617" t="str"><v>Facebook</v></cell><cell r="AF5617"><v>3654128</v></cell><cell r="AG5617" t="str"><v>Facebook»AZR»1x1»SocialBan»NA»ALL»DYN»AUT»D»All»SS»NA»Free Acc Refresh - T3 - EN</v></cell><cell r="AH5617"><v>223691807</v></cell><cell r="AI5617" t="str"><v>AzurePlatform_FreeAcctAppsFACEBOOKIllustrationChC_CAN_1200x628_SOC_PLAT_EN_Trial_Standard_NA_SU_T3_1.png</v></cell><cell r="AJ5617"><v>102900685</v></cell></row><row r="5618"><cell r="C5618" t="str"><v>43322Facebook»AZR»1x1»SocialBan»NA»ALL»DYN»AUT»D»All»SS»NA»Free Acc Refresh - T3 - FR</v></cell><cell r="D5618" t="str"><v>43322223691765</v></cell><cell r="E5618" t="str"><v>433221030533323 - FR</v></cell><cell r="F5618" t="str"><v>DCM</v></cell><cell r="G5618" t="str"><v>https://azure.microsoft.com/fr-ca/free/search/</v></cell></row><row r="5618"><cell r="K5618" t="str"><v>August</v></cell><cell r="L5618"><v>43323</v></cell><cell r="M5618" t="str"><v>Tier 1</v></cell><cell r="N5618" t="str"><v>North America</v></cell><cell r="O5618" t="str"><v>Canada</v></cell><cell r="P5618" t="str"><v>Trial</v></cell><cell r="Q5618" t="str"><v>Social</v></cell><cell r="R5618" t="str"><v>Azure</v></cell><cell r="S5618" t="str"><v>Apps & Infra</v></cell><cell r="T5618" t="str"><v>Developers & ITI's</v></cell><cell r="U5618" t="str"><v>AZR</v></cell><cell r="V5618" t="str"><v>Audience Targeting</v></cell><cell r="W5618" t="str"><v>NotApplicable</v></cell><cell r="X5618" t="str"><v>1x1</v></cell></row><row r="5618"><cell r="AA5618"><v>43322</v></cell><cell r="AB5618" t="str"><v>CAN_gaPMG_AZR_AZR_Q1_19_Trial-Social</v></cell><cell r="AC5618"><v>21337220</v></cell><cell r="AD5618"><v>720192</v></cell><cell r="AE5618" t="str"><v>Facebook</v></cell><cell r="AF5618"><v>3654128</v></cell><cell r="AG5618" t="str"><v>Facebook»AZR»1x1»SocialBan»NA»ALL»DYN»AUT»D»All»SS»NA»Free Acc Refresh - T3 - FR</v></cell><cell r="AH5618"><v>223691765</v></cell><cell r="AI5618" t="str"><v>AzurePlatform_FreeAcctAppsFACEBOOKIllustrationChC_CAN_1200x628_SOC_PLAT_FR_Trial_Standard_NA_SU_T3_1.png</v></cell><cell r="AJ5618"><v>103053332</v></cell></row><row r="5619"><cell r="C5619" t="str"><v>43322Facebook»AZR»1x1»SocialBan»NA»ALL»DYN»AUT»D»All»SS»NA»Free Acc Refresh - T5 - EN</v></cell><cell r="D5619" t="str"><v>43322223691816</v></cell><cell r="E5619" t="str"><v>433221029163415 - EN</v></cell><cell r="F5619" t="str"><v>DCM</v></cell><cell r="G5619" t="str"><v>https://azure.microsoft.com/en-CA/free/search/</v></cell></row><row r="5619"><cell r="K5619" t="str"><v>August</v></cell><cell r="L5619"><v>43323</v></cell><cell r="M5619" t="str"><v>Tier 1</v></cell><cell r="N5619" t="str"><v>North America</v></cell><cell r="O5619" t="str"><v>Canada</v></cell><cell r="P5619" t="str"><v>Trial</v></cell><cell r="Q5619" t="str"><v>Social</v></cell><cell r="R5619" t="str"><v>Azure</v></cell><cell r="S5619" t="str"><v>Apps & Infra</v></cell><cell r="T5619" t="str"><v>Developers & ITI's</v></cell><cell r="U5619" t="str"><v>AZR</v></cell><cell r="V5619" t="str"><v>Audience Targeting</v></cell><cell r="W5619" t="str"><v>NotApplicable</v></cell><cell r="X5619" t="str"><v>1x1</v></cell></row><row r="5619"><cell r="AA5619"><v>43322</v></cell><cell r="AB5619" t="str"><v>CAN_gaPMG_AZR_AZR_Q1_19_Trial-Social</v></cell><cell r="AC5619"><v>21337220</v></cell><cell r="AD5619"><v>720192</v></cell><cell r="AE5619" t="str"><v>Facebook</v></cell><cell r="AF5619"><v>3654128</v></cell><cell r="AG5619" t="str"><v>Facebook»AZR»1x1»SocialBan»NA»ALL»DYN»AUT»D»All»SS»NA»Free Acc Refresh - T5 - EN</v></cell><cell r="AH5619"><v>223691816</v></cell><cell r="AI5619" t="str"><v>AzurePlatform_FreeAcctAppsFACEBOOK12monthsChE_CAN_1200x628_SOC_PLAT_EN_Trial_Standard_NA_SU_T5_1.png</v></cell><cell r="AJ5619"><v>102916341</v></cell></row><row r="5620"><cell r="C5620" t="str"><v>43322Facebook»AZR»1x1»SocialBan»NA»ALL»DYN»RT»D»All»SS»NA» Free Account Retargeting OSS - T2 - EN</v></cell><cell r="D5620" t="str"><v>43322223691831</v></cell><cell r="E5620" t="str"><v>433221029138002 - EN</v></cell><cell r="F5620" t="str"><v>DCM</v></cell><cell r="G5620" t="str"><v>https://azure.microsoft.com/en-ca/free/open-source/search/</v></cell></row><row r="5620"><cell r="K5620" t="str"><v>August</v></cell><cell r="L5620"><v>43323</v></cell><cell r="M5620" t="str"><v>Tier 1</v></cell><cell r="N5620" t="str"><v>North America</v></cell><cell r="O5620" t="str"><v>Canada</v></cell><cell r="P5620" t="str"><v>Trial</v></cell><cell r="Q5620" t="str"><v>Social</v></cell><cell r="R5620" t="str"><v>Azure</v></cell><cell r="S5620" t="str"><v>Apps & Infra</v></cell><cell r="T5620" t="str"><v>Developers & ITI's</v></cell><cell r="U5620" t="str"><v>AZR</v></cell><cell r="V5620" t="str"><v>Retargeting</v></cell><cell r="W5620" t="str"><v>NotApplicable</v></cell><cell r="X5620" t="str"><v>1x1</v></cell></row><row r="5620"><cell r="AA5620"><v>43322</v></cell><cell r="AB5620" t="str"><v>CAN_gaPMG_AZR_AZR_Q1_19_Trial-Social</v></cell><cell r="AC5620"><v>21337220</v></cell><cell r="AD5620"><v>720192</v></cell><cell r="AE5620" t="str"><v>Facebook</v></cell><cell r="AF5620"><v>3654128</v></cell><cell r="AG5620" t="str"><v>Facebook»AZR»1x1»SocialBan»NA»ALL»DYN»RT»D»All»SS»NA» Free Account Retargeting OSS - T2 - EN</v></cell><cell r="AH5620"><v>223691831</v></cell><cell r="AI5620" t="str"><v>AzurePlatform_FreeAcctRetargetingOSSFB-Logos-ChG_CAN_1200x628_SOC_Plat_EN_Free Account_Standard_NA_SU_T2_1</v></cell><cell r="AJ5620"><v>102913800</v></cell></row><row r="5621"><cell r="C5621" t="str"><v>43322Facebook»AZR»1x1»SocialBan»NA»ALL»DYN»RT»D»All»SS»NA» Free Account Retargeting OSS - T2 - FR</v></cell><cell r="D5621" t="str"><v>43322223691789</v></cell><cell r="E5621" t="str"><v>433221029006912 - FR</v></cell><cell r="F5621" t="str"><v>DCM</v></cell><cell r="G5621" t="str"><v>https://azure.microsoft.com/fr-ca/free/open-source/search/</v></cell></row><row r="5621"><cell r="K5621" t="str"><v>August</v></cell><cell r="L5621"><v>43323</v></cell><cell r="M5621" t="str"><v>Tier 1</v></cell><cell r="N5621" t="str"><v>North America</v></cell><cell r="O5621" t="str"><v>Canada</v></cell><cell r="P5621" t="str"><v>Trial</v></cell><cell r="Q5621" t="str"><v>Social</v></cell><cell r="R5621" t="str"><v>Azure</v></cell><cell r="S5621" t="str"><v>Apps & Infra</v></cell><cell r="T5621" t="str"><v>Developers & ITI's</v></cell><cell r="U5621" t="str"><v>AZR</v></cell><cell r="V5621" t="str"><v>Retargeting</v></cell><cell r="W5621" t="str"><v>NotApplicable</v></cell><cell r="X5621" t="str"><v>1x1</v></cell></row><row r="5621"><cell r="AA5621"><v>43322</v></cell><cell r="AB5621" t="str"><v>CAN_gaPMG_AZR_AZR_Q1_19_Trial-Social</v></cell><cell r="AC5621"><v>21337220</v></cell><cell r="AD5621"><v>720192</v></cell><cell r="AE5621" t="str"><v>Facebook</v></cell><cell r="AF5621"><v>3654128</v></cell><cell r="AG5621" t="str"><v>Facebook»AZR»1x1»SocialBan»NA»ALL»DYN»RT»D»All»SS»NA» Free Account Retargeting OSS - T2 - FR</v></cell><cell r="AH5621"><v>223691789</v></cell><cell r="AI5621" t="str"><v>AzurePlatform_FreeAcctRetargetingOSSFB-Logos-ChG_CAN_1200x628_SOC_Plat_FR_Free Account_Standard_NA_SU_T2_1</v></cell><cell r="AJ5621"><v>102900691</v></cell></row><row r="5622"><cell r="C5622" t="str"><v>43322Facebook»AZR»1x1»SocialBan»NA»ALL»DYN»RT»D»All»SS»NA»Free Account Retargeting Generic - T2 - FR</v></cell><cell r="D5622" t="str"><v>43322223691792</v></cell><cell r="E5622" t="str"><v>433221029018942 - FR</v></cell><cell r="F5622" t="str"><v>DCM</v></cell><cell r="G5622" t="str"><v>https://azure.microsoft.com/fr-ca/free/search/</v></cell></row><row r="5622"><cell r="K5622" t="str"><v>August</v></cell><cell r="L5622"><v>43323</v></cell><cell r="M5622" t="str"><v>Tier 1</v></cell><cell r="N5622" t="str"><v>North America</v></cell><cell r="O5622" t="str"><v>Canada</v></cell><cell r="P5622" t="str"><v>Trial</v></cell><cell r="Q5622" t="str"><v>Social</v></cell><cell r="R5622" t="str"><v>Azure</v></cell><cell r="S5622" t="str"><v>Apps & Infra</v></cell><cell r="T5622" t="str"><v>Developers & ITI's</v></cell><cell r="U5622" t="str"><v>AZR</v></cell><cell r="V5622" t="str"><v>Retargeting</v></cell><cell r="W5622" t="str"><v>NotApplicable</v></cell><cell r="X5622" t="str"><v>1x1</v></cell></row><row r="5622"><cell r="AA5622"><v>43322</v></cell><cell r="AB5622" t="str"><v>CAN_gaPMG_AZR_AZR_Q1_19_Trial-Social</v></cell><cell r="AC5622"><v>21337220</v></cell><cell r="AD5622"><v>720192</v></cell><cell r="AE5622" t="str"><v>Facebook</v></cell><cell r="AF5622"><v>3654128</v></cell><cell r="AG5622" t="str"><v>Facebook»AZR»1x1»SocialBan»NA»ALL»DYN»RT»D»All»SS»NA»Free Account Retargeting Generic - T2 - FR</v></cell><cell r="AH5622"><v>223691792</v></cell><cell r="AI5622" t="str"><v>AzurePlatform_FreeAcctRetargetingFB-GlobalAlt-ChB_CAN_1200x628_SOC_Plat_FR_Free Account_Standard_NA_SU_T2_1</v></cell><cell r="AJ5622"><v>102901894</v></cell></row><row r="5623"><cell r="C5623" t="str"><v>43322Facebook»AZR»1x1»SocialBan»NA»ALL»DYN»RT»D»All»SS»NA»Free Account Retargeting Generic - T3 - EN</v></cell><cell r="D5623" t="str"><v>43322223691819</v></cell><cell r="E5623" t="str"><v>433221029006823 - EN</v></cell><cell r="F5623" t="str"><v>DCM</v></cell><cell r="G5623" t="str"><v>https://azure.microsoft.com/en-CA/free/search/</v></cell></row><row r="5623"><cell r="K5623" t="str"><v>August</v></cell><cell r="L5623"><v>43323</v></cell><cell r="M5623" t="str"><v>Tier 1</v></cell><cell r="N5623" t="str"><v>North America</v></cell><cell r="O5623" t="str"><v>Canada</v></cell><cell r="P5623" t="str"><v>Trial</v></cell><cell r="Q5623" t="str"><v>Social</v></cell><cell r="R5623" t="str"><v>Azure</v></cell><cell r="S5623" t="str"><v>Apps & Infra</v></cell><cell r="T5623" t="str"><v>Developers & ITI's</v></cell><cell r="U5623" t="str"><v>AZR</v></cell><cell r="V5623" t="str"><v>Retargeting</v></cell><cell r="W5623" t="str"><v>NotApplicable</v></cell><cell r="X5623" t="str"><v>1x1</v></cell></row><row r="5623"><cell r="AA5623"><v>43322</v></cell><cell r="AB5623" t="str"><v>CAN_gaPMG_AZR_AZR_Q1_19_Trial-Social</v></cell><cell r="AC5623"><v>21337220</v></cell><cell r="AD5623"><v>720192</v></cell><cell r="AE5623" t="str"><v>Facebook</v></cell><cell r="AF5623"><v>3654128</v></cell><cell r="AG5623" t="str"><v>Facebook»AZR»1x1»SocialBan»NA»ALL»DYN»RT»D»All»SS»NA»Free Account Retargeting Generic - T3 - EN</v></cell><cell r="AH5623"><v>223691819</v></cell><cell r="AI5623" t="str"><v>AzurePlatform_FreeAcctRetargetingFB-Animated-ChC_CAN_1200x628_SOC_Plat_EN_Free Account_Standard_ANI_SU_T3_1</v></cell><cell r="AJ5623"><v>102900682</v></cell></row><row r="5624"><cell r="C5624" t="str"><v>43322Facebook»AZR»1x1»SocialBan»NA»ALL»DYN»RT»D»All»SS»NA»Free Account Retargeting Generic - T3 - FR</v></cell><cell r="D5624" t="str"><v>43322223691777</v></cell><cell r="E5624" t="str"><v>433221029006973 - FR</v></cell><cell r="F5624" t="str"><v>DCM</v></cell><cell r="G5624" t="str"><v>https://azure.microsoft.com/fr-ca/free/search/</v></cell></row><row r="5624"><cell r="K5624" t="str"><v>August</v></cell><cell r="L5624"><v>43323</v></cell><cell r="M5624" t="str"><v>Tier 1</v></cell><cell r="N5624" t="str"><v>North America</v></cell><cell r="O5624" t="str"><v>Canada</v></cell><cell r="P5624" t="str"><v>Trial</v></cell><cell r="Q5624" t="str"><v>Social</v></cell><cell r="R5624" t="str"><v>Azure</v></cell><cell r="S5624" t="str"><v>Apps & Infra</v></cell><cell r="T5624" t="str"><v>Developers & ITI's</v></cell><cell r="U5624" t="str"><v>AZR</v></cell><cell r="V5624" t="str"><v>Retargeting</v></cell><cell r="W5624" t="str"><v>NotApplicable</v></cell><cell r="X5624" t="str"><v>1x1</v></cell></row><row r="5624"><cell r="AA5624"><v>43322</v></cell><cell r="AB5624" t="str"><v>CAN_gaPMG_AZR_AZR_Q1_19_Trial-Social</v></cell><cell r="AC5624"><v>21337220</v></cell><cell r="AD5624"><v>720192</v></cell><cell r="AE5624" t="str"><v>Facebook</v></cell><cell r="AF5624"><v>3654128</v></cell><cell r="AG5624" t="str"><v>Facebook»AZR»1x1»SocialBan»NA»ALL»DYN»RT»D»All»SS»NA»Free Account Retargeting Generic - T3 - FR</v></cell><cell r="AH5624"><v>223691777</v></cell><cell r="AI5624" t="str"><v>AzurePlatform_FreeAcctRetargetingFB-Animated-ChC_CAN_1200x628_SOC_Plat_FR_Free Account_Standard_ANI_SU_T3_1</v></cell><cell r="AJ5624"><v>102900697</v></cell></row><row r="5625"><cell r="C5625" t="str"><v>43322Facebook»AZR»1x1»SocialBan»NA»ALL»DYN»RT»D»All»SS»NA»Free Account Retargeting VM - T1 - EN</v></cell><cell r="D5625" t="str"><v>43322223691825</v></cell><cell r="E5625" t="str"><v>433221029163381 - EN</v></cell><cell r="F5625" t="str"><v>DCM</v></cell><cell r="G5625" t="str"><v>https://azure.microsoft.com/en-ca/free/virtual-machines/search/</v></cell></row><row r="5625"><cell r="K5625" t="str"><v>August</v></cell><cell r="L5625"><v>43323</v></cell><cell r="M5625" t="str"><v>Tier 1</v></cell><cell r="N5625" t="str"><v>North America</v></cell><cell r="O5625" t="str"><v>Canada</v></cell><cell r="P5625" t="str"><v>Trial</v></cell><cell r="Q5625" t="str"><v>Social</v></cell><cell r="R5625" t="str"><v>Azure</v></cell><cell r="S5625" t="str"><v>Apps & Infra</v></cell><cell r="T5625" t="str"><v>Developers & ITI's</v></cell><cell r="U5625" t="str"><v>AZR</v></cell><cell r="V5625" t="str"><v>Retargeting</v></cell><cell r="W5625" t="str"><v>NotApplicable</v></cell><cell r="X5625" t="str"><v>1x1</v></cell></row><row r="5625"><cell r="AA5625"><v>43322</v></cell><cell r="AB5625" t="str"><v>CAN_gaPMG_AZR_AZR_Q1_19_Trial-Social</v></cell><cell r="AC5625"><v>21337220</v></cell><cell r="AD5625"><v>720192</v></cell><cell r="AE5625" t="str"><v>Facebook</v></cell><cell r="AF5625"><v>3654128</v></cell><cell r="AG5625" t="str"><v>Facebook»AZR»1x1»SocialBan»NA»ALL»DYN»RT»D»All»SS»NA»Free Account Retargeting VM - T1 - EN</v></cell><cell r="AH5625"><v>223691825</v></cell><cell r="AI5625" t="str"><v>AzurePlatform_FreeAcctRetargetingVMFB-750Hrs-ChD_CAN_1200x628_SOC_Plat_EN_Free Account_Standard_NA_SU_T1_1</v></cell><cell r="AJ5625"><v>102916338</v></cell></row><row r="5626"><cell r="C5626" t="str"><v>43322Facebook»AZR»1x1»SocialBan»NA»ALL»DYN»RT»D»All»SS»NA»Free Account Retargeting VM - T2 - EN</v></cell><cell r="D5626" t="str"><v>43322223691822</v></cell><cell r="E5626" t="str"><v>433221030587082 - EN</v></cell><cell r="F5626" t="str"><v>DCM</v></cell><cell r="G5626" t="str"><v>https://azure.microsoft.com/en-ca/free/virtual-machines/search/</v></cell></row><row r="5626"><cell r="K5626" t="str"><v>August</v></cell><cell r="L5626"><v>43323</v></cell><cell r="M5626" t="str"><v>Tier 1</v></cell><cell r="N5626" t="str"><v>North America</v></cell><cell r="O5626" t="str"><v>Canada</v></cell><cell r="P5626" t="str"><v>Trial</v></cell><cell r="Q5626" t="str"><v>Social</v></cell><cell r="R5626" t="str"><v>Azure</v></cell><cell r="S5626" t="str"><v>Apps & Infra</v></cell><cell r="T5626" t="str"><v>Developers & ITI's</v></cell><cell r="U5626" t="str"><v>AZR</v></cell><cell r="V5626" t="str"><v>Retargeting</v></cell><cell r="W5626" t="str"><v>NotApplicable</v></cell><cell r="X5626" t="str"><v>1x1</v></cell></row><row r="5626"><cell r="AA5626"><v>43322</v></cell><cell r="AB5626" t="str"><v>CAN_gaPMG_AZR_AZR_Q1_19_Trial-Social</v></cell><cell r="AC5626"><v>21337220</v></cell><cell r="AD5626"><v>720192</v></cell><cell r="AE5626" t="str"><v>Facebook</v></cell><cell r="AF5626"><v>3654128</v></cell><cell r="AG5626" t="str"><v>Facebook»AZR»1x1»SocialBan»NA»ALL»DYN»RT»D»All»SS»NA»Free Account Retargeting VM - T2 - EN</v></cell><cell r="AH5626"><v>223691822</v></cell><cell r="AI5626" t="str"><v>AzurePlatform_FreeAcctRetargetingVMFB-OnDemand-ChE_CAN_1200x628_SOC_Plat_EN_Free Account_Standard_NA_SU_T2_1</v></cell><cell r="AJ5626"><v>103058708</v></cell></row><row r="5627"><cell r="C5627" t="str"><v>43322Facebook»DEV-ITP-AZR-FB|CanvasAds|Interesttargeting»1x1»TextLink»CAN»DT»CPM»AUT»W»NA»SS»NA»39684020-11000</v></cell><cell r="D5627" t="str"><v>43322224009494</v></cell><cell r="E5627" t="str"><v>43322103236186-11000</v></cell><cell r="F5627" t="str"><v>DCM</v></cell><cell r="G5627" t="str"><v>https://signup.azure.com/signup?offer=ms-azr-0044p&appId=102&ref=paidmedia-social-fb&redirectURL=https%3a%2f%2fazure.microsoft.com%2fde-de%2fget-started%2fwelcome-to-azure%2f&l=de-de&correlationId=ead86c34-1f10-49dd-a72b-6918462a2cbf</v></cell></row><row r="5627"><cell r="K5627" t="str"><v>August</v></cell><cell r="L5627"><v>43323</v></cell><cell r="M5627" t="str"><v>Tier 1</v></cell><cell r="N5627" t="str"><v>EMEA</v></cell><cell r="O5627" t="str"><v>Germany</v></cell><cell r="P5627" t="str"><v>Trial</v></cell><cell r="Q5627" t="str"><v>Social</v></cell><cell r="R5627" t="str"><v>Azure</v></cell><cell r="S5627" t="str"><v>Apps & Infra</v></cell><cell r="T5627" t="str"><v>Developers & ITI's</v></cell><cell r="U5627" t="str"><v>DEV-ITP-AZR-FB|CanvasAds|Interesttargeting</v></cell><cell r="V5627" t="str"><v>Audience Targeting</v></cell><cell r="W5627" t="str"><v>Canvas Ad</v></cell><cell r="X5627" t="str"><v>1x1</v></cell></row><row r="5627"><cell r="AA5627"><v>43322</v></cell><cell r="AB5627" t="str"><v>DEU_gaPMG_AZR_AZR_Q1_19_Trial-Social- 39684</v></cell><cell r="AC5627"><v>21359477</v></cell><cell r="AD5627"><v>720194</v></cell><cell r="AE5627" t="str"><v>Facebook</v></cell><cell r="AF5627"><v>3654128</v></cell><cell r="AG5627" t="str"><v>Facebook»DEV-ITP-AZR-FB|CanvasAds|Interesttargeting»1x1»TextLink»CAN»DT»CPM»AUT»W»NA»SS»NA»39684020-11000</v></cell><cell r="AH5627"><v>224009494</v></cell><cell r="AI5627" t="str"><v>AzurePlatform_FBCTCBasicMotion-StartFreeCT_DEU_10s_ISV_PLAT_DE_Trial_Standard_STAN_TN_T1_1</v></cell><cell r="AJ5627"><v>103236186</v></cell></row><row r="5628"><cell r="C5628" t="str"><v>43322Facebook»DEV-ITP-AZR-FB|CanvasAds|Interesttargeting»1x1»TextLink»CAN»DT»CPM»AUT»W»NA»SS»NA»39684020-11000</v></cell><cell r="D5628" t="str"><v>43322224009494</v></cell><cell r="E5628" t="str"><v>43322103236189-11000</v></cell><cell r="F5628" t="str"><v>DCM</v></cell><cell r="G5628" t="str"><v>https://azure.microsoft.com/de-de/pricing/purchase-options/</v></cell></row><row r="5628"><cell r="K5628" t="str"><v>August</v></cell><cell r="L5628"><v>43323</v></cell><cell r="M5628" t="str"><v>Tier 1</v></cell><cell r="N5628" t="str"><v>EMEA</v></cell><cell r="O5628" t="str"><v>Germany</v></cell><cell r="P5628" t="str"><v>Trial</v></cell><cell r="Q5628" t="str"><v>Social</v></cell><cell r="R5628" t="str"><v>Azure</v></cell><cell r="S5628" t="str"><v>Apps & Infra</v></cell><cell r="T5628" t="str"><v>Developers & ITI's</v></cell><cell r="U5628" t="str"><v>DEV-ITP-AZR-FB|CanvasAds|Interesttargeting</v></cell><cell r="V5628" t="str"><v>Audience Targeting</v></cell><cell r="W5628" t="str"><v>Canvas Ad</v></cell><cell r="X5628" t="str"><v>1x1</v></cell></row><row r="5628"><cell r="AA5628"><v>43322</v></cell><cell r="AB5628" t="str"><v>DEU_gaPMG_AZR_AZR_Q1_19_Trial-Social- 39684</v></cell><cell r="AC5628"><v>21359477</v></cell><cell r="AD5628"><v>720194</v></cell><cell r="AE5628" t="str"><v>Facebook</v></cell><cell r="AF5628"><v>3654128</v></cell><cell r="AG5628" t="str"><v>Facebook»DEV-ITP-AZR-FB|CanvasAds|Interesttargeting»1x1»TextLink»CAN»DT»CPM»AUT»W»NA»SS»NA»39684020-11000</v></cell><cell r="AH5628"><v>224009494</v></cell><cell r="AI5628" t="str"><v>AzurePlatform_FBCTCBenefit2inMotion-BuyNow_DEU_14s_ISV_PLAT_DE_Trial_Standard_STAN_TN_T4_1</v></cell><cell r="AJ5628"><v>103236189</v></cell></row><row r="5629"><cell r="C5629" t="str"><v>43322Facebook»DEV-ITP-AZR-FB|CanvasAds|Interesttargeting»1x1»TextLink»CAN»DT»CPM»AUT»W»NA»SS»NA»39684020-11000</v></cell><cell r="D5629" t="str"><v>43322224009494</v></cell><cell r="E5629" t="str"><v>43322103237290-11000</v></cell><cell r="F5629" t="str"><v>DCM</v></cell><cell r="G5629" t="str"><v>https://signup.azure.com/signup?offer=ms-azr-0044p&appId=102&ref=paidmedia-social-fb&redirectURL=https%3a%2f%2fazure.microsoft.com%2fde-de%2fget-started%2fwelcome-to-azure%2f&l=de-de&correlationId=ead86c34-1f10-49dd-a72b-6918462a2cbf</v></cell></row><row r="5629"><cell r="K5629" t="str"><v>August</v></cell><cell r="L5629"><v>43323</v></cell><cell r="M5629" t="str"><v>Tier 1</v></cell><cell r="N5629" t="str"><v>EMEA</v></cell><cell r="O5629" t="str"><v>Germany</v></cell><cell r="P5629" t="str"><v>Trial</v></cell><cell r="Q5629" t="str"><v>Social</v></cell><cell r="R5629" t="str"><v>Azure</v></cell><cell r="S5629" t="str"><v>Apps & Infra</v></cell><cell r="T5629" t="str"><v>Developers & ITI's</v></cell><cell r="U5629" t="str"><v>DEV-ITP-AZR-FB|CanvasAds|Interesttargeting</v></cell><cell r="V5629" t="str"><v>Audience Targeting</v></cell><cell r="W5629" t="str"><v>Canvas Ad</v></cell><cell r="X5629" t="str"><v>1x1</v></cell></row><row r="5629"><cell r="AA5629"><v>43322</v></cell><cell r="AB5629" t="str"><v>DEU_gaPMG_AZR_AZR_Q1_19_Trial-Social- 39684</v></cell><cell r="AC5629"><v>21359477</v></cell><cell r="AD5629"><v>720194</v></cell><cell r="AE5629" t="str"><v>Facebook</v></cell><cell r="AF5629"><v>3654128</v></cell><cell r="AG5629" t="str"><v>Facebook»DEV-ITP-AZR-FB|CanvasAds|Interesttargeting»1x1»TextLink»CAN»DT»CPM»AUT»W»NA»SS»NA»39684020-11000</v></cell><cell r="AH5629"><v>224009494</v></cell><cell r="AI5629" t="str"><v>AzurePlatform_FBCTCBenefit2inMotion-StartFreeCT_DEU_14s_ISV_PLAT_DE_Trial_Standard_STAN_TN_T4_1</v></cell><cell r="AJ5629"><v>103237290</v></cell></row><row r="5630"><cell r="C5630" t="str"><v>43322Facebook»DEV-ITP-AZR-FB|CanvasAds|Interesttargeting»1x1»TextLink»CAN»DT»CPM»AUT»W»NA»SS»NA»39684020-11000</v></cell><cell r="D5630" t="str"><v>43322224009494</v></cell><cell r="E5630" t="str"><v>43322103237293-11000</v></cell><cell r="F5630" t="str"><v>DCM</v></cell><cell r="G5630" t="str"><v>https://signup.azure.com/signup?offer=ms-azr-0044p&appId=102&ref=paidmedia-social-fb&redirectURL=https%3a%2f%2fazure.microsoft.com%2fde-de%2fget-started%2fwelcome-to-azure%2f&l=de-de&correlationId=ead86c34-1f10-49dd-a72b-6918462a2cbf</v></cell></row><row r="5630"><cell r="K5630" t="str"><v>August</v></cell><cell r="L5630"><v>43323</v></cell><cell r="M5630" t="str"><v>Tier 1</v></cell><cell r="N5630" t="str"><v>EMEA</v></cell><cell r="O5630" t="str"><v>Germany</v></cell><cell r="P5630" t="str"><v>Trial</v></cell><cell r="Q5630" t="str"><v>Social</v></cell><cell r="R5630" t="str"><v>Azure</v></cell><cell r="S5630" t="str"><v>Apps & Infra</v></cell><cell r="T5630" t="str"><v>Developers & ITI's</v></cell><cell r="U5630" t="str"><v>DEV-ITP-AZR-FB|CanvasAds|Interesttargeting</v></cell><cell r="V5630" t="str"><v>Audience Targeting</v></cell><cell r="W5630" t="str"><v>Canvas Ad</v></cell><cell r="X5630" t="str"><v>1x1</v></cell></row><row r="5630"><cell r="AA5630"><v>43322</v></cell><cell r="AB5630" t="str"><v>DEU_gaPMG_AZR_AZR_Q1_19_Trial-Social- 39684</v></cell><cell r="AC5630"><v>21359477</v></cell><cell r="AD5630"><v>720194</v></cell><cell r="AE5630" t="str"><v>Facebook</v></cell><cell r="AF5630"><v>3654128</v></cell><cell r="AG5630" t="str"><v>Facebook»DEV-ITP-AZR-FB|CanvasAds|Interesttargeting»1x1»TextLink»CAN»DT»CPM»AUT»W»NA»SS»NA»39684020-11000</v></cell><cell r="AH5630"><v>224009494</v></cell><cell r="AI5630" t="str"><v>AzurePlatform_FBCTCBrandinMotion-StartFreeCT_DEU_12s_ISV_PLAT_DE_Trial_Standard_STAN_TN_T2_1</v></cell><cell r="AJ5630"><v>103237293</v></cell></row><row r="5631"><cell r="C5631" t="str"><v>43322Facebook»DEV-ITP-AZR-FB|LinkAd|CustomerAudienceRetargeting»1x1»TextLink»LIA»DT»CPM»RT»W»NA»SS»NA»39684019-11000</v></cell><cell r="D5631" t="str"><v>43322224010415</v></cell><cell r="E5631" t="str"><v>43322103055394-11000</v></cell><cell r="F5631" t="str"><v>DCM</v></cell><cell r="G5631" t="str"><v>https://azure.microsoft.com/de-de/free/open-source/search/</v></cell></row><row r="5631"><cell r="K5631" t="str"><v>August</v></cell><cell r="L5631"><v>43323</v></cell><cell r="M5631" t="str"><v>Tier 1</v></cell><cell r="N5631" t="str"><v>EMEA</v></cell><cell r="O5631" t="str"><v>Germany</v></cell><cell r="P5631" t="str"><v>Trial</v></cell><cell r="Q5631" t="str"><v>Social</v></cell><cell r="R5631" t="str"><v>Azure</v></cell><cell r="S5631" t="str"><v>Apps & Infra</v></cell><cell r="T5631" t="str"><v>Developers & ITI's</v></cell><cell r="U5631" t="str"><v>DEV-ITP-AZR-FB|LinkAd|CustomerAudienceRetargeting</v></cell><cell r="V5631" t="str"><v>Retargeting</v></cell><cell r="W5631" t="str"><v>Link Ad</v></cell><cell r="X5631" t="str"><v>1x1</v></cell></row><row r="5631"><cell r="AA5631"><v>43322</v></cell><cell r="AB5631" t="str"><v>DEU_gaPMG_AZR_AZR_Q1_19_Trial-Social- 39684</v></cell><cell r="AC5631"><v>21359477</v></cell><cell r="AD5631"><v>720194</v></cell><cell r="AE5631" t="str"><v>Facebook</v></cell><cell r="AF5631"><v>3654128</v></cell><cell r="AG5631" t="str"><v>Facebook»DEV-ITP-AZR-FB|LinkAd|CustomerAudienceRetargeting»1x1»TextLink»LIA»DT»CPM»RT»W»NA»SS»NA»39684019-11000</v></cell><cell r="AH5631"><v>224010415</v></cell><cell r="AI5631" t="str"><v>AzurePlatform_FreeAcctRetargetingOSSFB-Text-ChF_DEU_1200x628_SOC_Plat_DE_Free Account_Standard_NA_SNU_T1_1</v></cell><cell r="AJ5631"><v>103055394</v></cell></row><row r="5632"><cell r="C5632" t="str"><v>43322Facebook»Developers-Azure Direct-Sponsored Post_Trial_PayGo-Video Ad-Free Account Developer - Generic»1x1»30s»SOC»ALL»CPC»LAL»D»UNK»SS»NA»Trials</v></cell><cell r="D5632" t="str"><v>43322226359953</v></cell><cell r="E5632" t="str"><v>43322104537129Trials</v></cell><cell r="F5632" t="str"><v>DCM</v></cell><cell r="G5632" t="str"><v>https://signup.azure.com/signup?offer=ms-azr-0044p&appId=102&ref=paidmedia-social-fb&redirectURL=https%3a%2f%2fazure.microsoft.com%2ffr-fr%2fget-started%2fwelcome-to-azure%2f&l=fr-fr&correlationId=ead86c34-1f10-49dd-a72b-6918462a2cbf</v></cell></row><row r="5632"><cell r="K5632" t="str"><v>August</v></cell><cell r="L5632"><v>43323</v></cell><cell r="M5632" t="str"><v>Tier 1</v></cell><cell r="N5632" t="str"><v>EMEA</v></cell><cell r="O5632" t="str"><v>France</v></cell><cell r="P5632" t="str"><v>Trial</v></cell><cell r="Q5632" t="str"><v>Social</v></cell><cell r="R5632" t="str"><v>Azure</v></cell><cell r="S5632" t="str"><v>Apps & Infra</v></cell><cell r="T5632" t="str"><v>Developers & ITI's</v></cell><cell r="U5632" t="str"><v>Developers-Azure Direct-Sponsored Post_Trial_PayGo-Video Ad-Free Account Developer - Generic</v></cell><cell r="V5632" t="str"><v>Lookalike Targeting</v></cell><cell r="W5632" t="str"><v>Social</v></cell><cell r="X5632" t="str"><v>1x1</v></cell></row><row r="5632"><cell r="AA5632"><v>43322</v></cell><cell r="AB5632" t="str"><v>FRA_gaPMG_AZR_AZR_Q1_19_AzureDirect-Trial-Social</v></cell><cell r="AC5632"><v>21356941</v></cell><cell r="AD5632"><v>720193</v></cell><cell r="AE5632" t="str"><v>Facebook</v></cell><cell r="AF5632"><v>3654128</v></cell><cell r="AG5632" t="str"><v>Facebook»Developers-Azure Direct-Sponsored Post_Trial_PayGo-Video Ad-Free Account Developer - Generic»1x1»30s»SOC»ALL»CPC»LAL»D»UNK»SS»NA»Trials</v></cell><cell r="AH5632"><v>226359953</v></cell><cell r="AI5632" t="str"><v>AZR_FreeAcctDeveloperFB-AnimatedGeneric-Ch1_FRA_1200x1200_VIA_AZRDirect_French_NA_Facebook_STAN_LEA_T1_1</v></cell><cell r="AJ5632"><v>104537129</v></cell></row><row r="5633"><cell r="C5633" t="str"><v>43322Facebook»Developers/ITPros-Azure Direct-Sponsored Post-Canvas-FBCTCcanvaspage-StartFreeCTA-Img2_FBCTCBasicMotion_FRA_10sec»1x1»Canvas»SOC»ALL»CPC»BT»D»UNK»SS»NA»Trials</v></cell><cell r="D5633" t="str"><v>43322224560884</v></cell><cell r="E5633" t="str"><v>43322103259958Trials</v></cell><cell r="F5633" t="str"><v>DCM</v></cell><cell r="G5633" t="str"><v>https://signup.azure.com/signup?offer=ms-azr-0044p&appId=102&ref=paidmedia-social-fb&redirectURL=https%3a%2f%2fazure.microsoft.com%2ffr-fr%2fget-started%2fwelcome-to-azure%2f&l=fr-fr&correlationId=ead86c34-1f10-49dd-a72b-6918462a2cbf</v></cell></row><row r="5633"><cell r="K5633" t="str"><v>August</v></cell><cell r="L5633"><v>43323</v></cell><cell r="M5633" t="str"><v>Tier 1</v></cell><cell r="N5633" t="str"><v>EMEA</v></cell><cell r="O5633" t="str"><v>France</v></cell><cell r="P5633" t="str"><v>Trial</v></cell><cell r="Q5633" t="str"><v>Social</v></cell><cell r="R5633" t="str"><v>Azure</v></cell><cell r="S5633" t="str"><v>Apps & Infra</v></cell><cell r="T5633" t="str"><v>Developers & ITI's</v></cell><cell r="U5633" t="str"><v>Developers/ITPros-Azure Direct-Sponsored Post-Canvas-FBCTCcanvaspage-StartFreeCTA-Img2_FBCTCBasicMotion_FRA_10sec</v></cell><cell r="V5633" t="str"><v>Behavioral Targeting</v></cell><cell r="W5633" t="str"><v>Social</v></cell><cell r="X5633" t="str"><v>1x1</v></cell></row><row r="5633"><cell r="AA5633"><v>43322</v></cell><cell r="AB5633" t="str"><v>FRA_gaPMG_AZR_AZR_Q1_19_AzureDirect-Trial-Social</v></cell><cell r="AC5633"><v>21356941</v></cell><cell r="AD5633"><v>720193</v></cell><cell r="AE5633" t="str"><v>Facebook</v></cell><cell r="AF5633"><v>3654128</v></cell><cell r="AG5633" t="str"><v>Facebook»Developers/ITPros-Azure Direct-Sponsored Post-Canvas-FBCTCcanvaspage-StartFreeCTA-Img2_FBCTCBasicMotion_FRA_10sec»1x1»Canvas»SOC»ALL»CPC»BT»D»UNK»SS»NA»Trials</v></cell><cell r="AH5633"><v>224560884</v></cell><cell r="AI5633" t="str"><v>AZR_FBCTCcanvaspage-StartFreeCTA-Img2_FRA_1080x143_SOC_AZRDirect_French_NA_Facebook_SBAN_BN_T2_1</v></cell><cell r="AJ5633"><v>103259958</v></cell></row><row r="5634"><cell r="C5634" t="str"><v>43322Facebook»Developers/ITPros-Azure Direct-Sponsored Post-Canvas-FBCTCcanvaspage-StartFreeCTA-Img2_FBCTCBrandinMotion_FRA_14sec»1x1»Canvas»SOC»ALL»CPC»BT»D»UNK»SS»NA»Trials</v></cell><cell r="D5634" t="str"><v>43322224560872</v></cell><cell r="E5634" t="str"><v>43322103259958Trials</v></cell><cell r="F5634" t="str"><v>DCM</v></cell><cell r="G5634" t="str"><v>https://signup.azure.com/signup?offer=ms-azr-0044p&appId=102&ref=paidmedia-social-fb&redirectURL=https%3a%2f%2fazure.microsoft.com%2ffr-fr%2fget-started%2fwelcome-to-azure%2f&l=fr-fr&correlationId=ead86c34-1f10-49dd-a72b-6918462a2cbf</v></cell></row><row r="5634"><cell r="K5634" t="str"><v>August</v></cell><cell r="L5634"><v>43323</v></cell><cell r="M5634" t="str"><v>Tier 1</v></cell><cell r="N5634" t="str"><v>EMEA</v></cell><cell r="O5634" t="str"><v>France</v></cell><cell r="P5634" t="str"><v>Trial</v></cell><cell r="Q5634" t="str"><v>Social</v></cell><cell r="R5634" t="str"><v>Azure</v></cell><cell r="S5634" t="str"><v>Apps & Infra</v></cell><cell r="T5634" t="str"><v>Developers & ITI's</v></cell><cell r="U5634" t="str"><v>Developers/ITPros-Azure Direct-Sponsored Post-Canvas-FBCTCcanvaspage-StartFreeCTA-Img2_FBCTCBrandinMotion_FRA_14sec</v></cell><cell r="V5634" t="str"><v>Behavioral Targeting</v></cell><cell r="W5634" t="str"><v>Social</v></cell><cell r="X5634" t="str"><v>1x1</v></cell></row><row r="5634"><cell r="AA5634"><v>43322</v></cell><cell r="AB5634" t="str"><v>FRA_gaPMG_AZR_AZR_Q1_19_AzureDirect-Trial-Social</v></cell><cell r="AC5634"><v>21356941</v></cell><cell r="AD5634"><v>720193</v></cell><cell r="AE5634" t="str"><v>Facebook</v></cell><cell r="AF5634"><v>3654128</v></cell><cell r="AG5634" t="str"><v>Facebook»Developers/ITPros-Azure Direct-Sponsored Post-Canvas-FBCTCcanvaspage-StartFreeCTA-Img2_FBCTCBrandinMotion_FRA_14sec»1x1»Canvas»SOC»ALL»CPC»BT»D»UNK»SS»NA»Trials</v></cell><cell r="AH5634"><v>224560872</v></cell><cell r="AI5634" t="str"><v>AZR_FBCTCcanvaspage-StartFreeCTA-Img2_FRA_1080x143_SOC_AZRDirect_French_NA_Facebook_SBAN_BN_T2_1</v></cell><cell r="AJ5634"><v>103259958</v></cell></row><row r="5635"><cell r="C5635" t="str"><v>43322Facebook»Developers/ITPros-Azure Direct-Sponsored Post-Link Ad-FreeAcctRetargetingFB-GlobalAlt-ChB»1x1»SocialBan»SOC»ALL»CPC»BT»D»UNK»SS»NA»Trials</v></cell><cell r="D5635" t="str"><v>43322224560845</v></cell><cell r="E5635" t="str"><v>43322103259520Trials</v></cell><cell r="F5635" t="str"><v>DCM</v></cell><cell r="G5635" t="str"><v>https://azure.microsoft.com/fr-fr/free/search/</v></cell></row><row r="5635"><cell r="K5635" t="str"><v>August</v></cell><cell r="L5635"><v>43323</v></cell><cell r="M5635" t="str"><v>Tier 1</v></cell><cell r="N5635" t="str"><v>EMEA</v></cell><cell r="O5635" t="str"><v>France</v></cell><cell r="P5635" t="str"><v>Trial</v></cell><cell r="Q5635" t="str"><v>Social</v></cell><cell r="R5635" t="str"><v>Azure</v></cell><cell r="S5635" t="str"><v>Apps & Infra</v></cell><cell r="T5635" t="str"><v>Developers & ITI's</v></cell><cell r="U5635" t="str"><v>Developers/ITPros-Azure Direct-Sponsored Post-Link Ad-FreeAcctRetargetingFB-GlobalAlt-ChB</v></cell><cell r="V5635" t="str"><v>Behavioral Targeting</v></cell><cell r="W5635" t="str"><v>Social</v></cell><cell r="X5635" t="str"><v>1x1</v></cell></row><row r="5635"><cell r="AA5635"><v>43322</v></cell><cell r="AB5635" t="str"><v>FRA_gaPMG_AZR_AZR_Q1_19_AzureDirect-Trial-Social</v></cell><cell r="AC5635"><v>21356941</v></cell><cell r="AD5635"><v>720193</v></cell><cell r="AE5635" t="str"><v>Facebook</v></cell><cell r="AF5635"><v>3654128</v></cell><cell r="AG5635" t="str"><v>Facebook»Developers/ITPros-Azure Direct-Sponsored Post-Link Ad-FreeAcctRetargetingFB-GlobalAlt-ChB»1x1»SocialBan»SOC»ALL»CPC»BT»D»UNK»SS»NA»Trials</v></cell><cell r="AH5635"><v>224560845</v></cell><cell r="AI5635" t="str"><v>AZR_FreeAcctRetargetingFB-GlobalAlt-ChB_FRA_1200x628_SOC_AZRDirect_French_NA_Facebook_SBAN_SINU_T2_1</v></cell><cell r="AJ5635"><v>103259520</v></cell></row><row r="5636"><cell r="C5636" t="str"><v>43322Facebook»Developers/ITPros-Azure Direct-Sponsored Post-Video Ad-FBCTCBasicMotion_FRA_10s_RTG Landing Page»1x1»05s»SOC»ALL»CPC»BT»D»UNK»SS»NA»Trials</v></cell><cell r="D5636" t="str"><v>43322224416915</v></cell><cell r="E5636" t="str"><v>43322103376981Trials</v></cell><cell r="F5636" t="str"><v>DCM</v></cell></row><row r="5636"><cell r="K5636" t="str"><v>August</v></cell><cell r="L5636"><v>43323</v></cell><cell r="M5636" t="str"><v>Tier 1</v></cell><cell r="N5636" t="str"><v>EMEA</v></cell><cell r="O5636" t="str"><v>France</v></cell><cell r="P5636" t="str"><v>Trial</v></cell><cell r="Q5636" t="str"><v>Social</v></cell><cell r="R5636" t="str"><v>Azure</v></cell><cell r="S5636" t="str"><v>Apps & Infra</v></cell><cell r="T5636" t="str"><v>Developers & ITI's</v></cell><cell r="U5636" t="str"><v>Developers/ITPros-Azure Direct-Sponsored Post-Video Ad-FBCTCBasicMotion_FRA_10s_RTG Landing Page</v></cell><cell r="V5636" t="str"><v>Behavioral Targeting</v></cell><cell r="W5636" t="str"><v>Social</v></cell><cell r="X5636" t="str"><v>1x1</v></cell></row><row r="5636"><cell r="AA5636"><v>43322</v></cell><cell r="AB5636" t="str"><v>FRA_gaPMG_AZR_AZR_Q1_19_AzureDirect-Trial-Social</v></cell><cell r="AC5636"><v>21356941</v></cell><cell r="AD5636"><v>720193</v></cell><cell r="AE5636" t="str"><v>Facebook</v></cell><cell r="AF5636"><v>3654128</v></cell><cell r="AG5636" t="str"><v>Facebook»Developers/ITPros-Azure Direct-Sponsored Post-Video Ad-FBCTCBasicMotion_FRA_10s_RTG Landing Page»1x1»05s»SOC»ALL»CPC»BT»D»UNK»SS»NA»Trials</v></cell><cell r="AH5636"><v>224416915</v></cell><cell r="AI5636" t="str"><v>AZR_FBCTCBasicMotion_FRA_10s_VIA_AZRDirect_French_NA_Facebook_STAN_TIN_T1_1</v></cell><cell r="AJ5636"><v>103376981</v></cell></row><row r="5637"><cell r="C5637" t="str"><v>43322Facebook»Developers/ITPros-Azure Direct-Sponsored Post-Video Ad-FBCTCBenefit2inMotion_FRA_14s_RTG Landing Page»1x1»06s»SOC»ALL»CPC»BT»D»UNK»SS»NA»Trials</v></cell><cell r="D5637" t="str"><v>43322224560875</v></cell><cell r="E5637" t="str"><v>43322103259766Trials</v></cell><cell r="F5637" t="str"><v>DCM</v></cell><cell r="G5637" t="str"><v>https://signup.azure.com/signup?offer=ms-azr-0044p&appId=102&ref=paidmedia-social-fb&redirectURL=https:%2F%2Fazure.microsoft.com%2Ffr-fr%2Fget-started%2Fwelcome-to-azure%2F&l=fr-fr&correlationId=ead86c34-1f10-49dd-a72b-6918462a2cbf</v></cell></row><row r="5637"><cell r="K5637" t="str"><v>August</v></cell><cell r="L5637"><v>43323</v></cell><cell r="M5637" t="str"><v>Tier 1</v></cell><cell r="N5637" t="str"><v>EMEA</v></cell><cell r="O5637" t="str"><v>France</v></cell><cell r="P5637" t="str"><v>Trial</v></cell><cell r="Q5637" t="str"><v>Social</v></cell><cell r="R5637" t="str"><v>Azure</v></cell><cell r="S5637" t="str"><v>Apps & Infra</v></cell><cell r="T5637" t="str"><v>Developers & ITI's</v></cell><cell r="U5637" t="str"><v>Developers/ITPros-Azure Direct-Sponsored Post-Video Ad-FBCTCBenefit2inMotion_FRA_14s_RTG Landing Page</v></cell><cell r="V5637" t="str"><v>Behavioral Targeting</v></cell><cell r="W5637" t="str"><v>Social</v></cell><cell r="X5637" t="str"><v>1x1</v></cell></row><row r="5637"><cell r="AA5637"><v>43322</v></cell><cell r="AB5637" t="str"><v>FRA_gaPMG_AZR_AZR_Q1_19_AzureDirect-Trial-Social</v></cell><cell r="AC5637"><v>21356941</v></cell><cell r="AD5637"><v>720193</v></cell><cell r="AE5637" t="str"><v>Facebook</v></cell><cell r="AF5637"><v>3654128</v></cell><cell r="AG5637" t="str"><v>Facebook»Developers/ITPros-Azure Direct-Sponsored Post-Video Ad-FBCTCBenefit2inMotion_FRA_14s_RTG Landing Page»1x1»06s»SOC»ALL»CPC»BT»D»UNK»SS»NA»Trials</v></cell><cell r="AH5637"><v>224560875</v></cell><cell r="AI5637" t="str"><v>AZR_FBCTCBenefit2inMotion_FRA_14s_VIA_AZRDirect_French_NA_Facebook_STAN_TIN_T4_1</v></cell><cell r="AJ5637"><v>103259766</v></cell></row><row r="5638"><cell r="C5638" t="str"><v>43322Facebook»Developers/ITPros-Azure Direct-Sponsored Post-Video Ad-FBCTCBrandinMotion_FRA_12s_RTG Landing Page»1x1»05s»SOC»ALL»CPC»BT»D»UNK»SS»NA»Trials</v></cell><cell r="D5638" t="str"><v>43322224560863</v></cell><cell r="E5638" t="str"><v>43322103256577Trials</v></cell><cell r="F5638" t="str"><v>DCM</v></cell></row><row r="5638"><cell r="K5638" t="str"><v>August</v></cell><cell r="L5638"><v>43323</v></cell><cell r="M5638" t="str"><v>Tier 1</v></cell><cell r="N5638" t="str"><v>EMEA</v></cell><cell r="O5638" t="str"><v>France</v></cell><cell r="P5638" t="str"><v>Trial</v></cell><cell r="Q5638" t="str"><v>Social</v></cell><cell r="R5638" t="str"><v>Azure</v></cell><cell r="S5638" t="str"><v>Apps & Infra</v></cell><cell r="T5638" t="str"><v>Developers & ITI's</v></cell><cell r="U5638" t="str"><v>Developers/ITPros-Azure Direct-Sponsored Post-Video Ad-FBCTCBrandinMotion_FRA_12s_RTG Landing Page</v></cell><cell r="V5638" t="str"><v>Behavioral Targeting</v></cell><cell r="W5638" t="str"><v>Social</v></cell><cell r="X5638" t="str"><v>1x1</v></cell></row><row r="5638"><cell r="AA5638"><v>43322</v></cell><cell r="AB5638" t="str"><v>FRA_gaPMG_AZR_AZR_Q1_19_AzureDirect-Trial-Social</v></cell><cell r="AC5638"><v>21356941</v></cell><cell r="AD5638"><v>720193</v></cell><cell r="AE5638" t="str"><v>Facebook</v></cell><cell r="AF5638"><v>3654128</v></cell><cell r="AG5638" t="str"><v>Facebook»Developers/ITPros-Azure Direct-Sponsored Post-Video Ad-FBCTCBrandinMotion_FRA_12s_RTG Landing Page»1x1»05s»SOC»ALL»CPC»BT»D»UNK»SS»NA»Trials</v></cell><cell r="AH5638"><v>224560863</v></cell><cell r="AI5638" t="str"><v>AZR_FBCTCBrandinMotion_FRA_12s_VIA_AZRDirect_French_NA_Facebook_STAN_TIN_T2_1</v></cell><cell r="AJ5638"><v>103256577</v></cell></row><row r="5639"><cell r="C5639" t="str"><v>43322Facebook»Developers/ITPros-Azure Direct-Sponsored Post_Trial-Link Ad-FreeAcctRetargetingVMFB-750Hrs-ChD CanvasOpener»1x1»SocialBan»SOC»ALL»CPC»LAL»D»UNK»SS»NA»Trials</v></cell><cell r="D5639" t="str"><v>43322226496098</v></cell><cell r="E5639" t="str"><v>43322103259010Trials</v></cell><cell r="F5639" t="str"><v>DCM</v></cell><cell r="G5639" t="str"><v>https://azure.microsoft.com/fr-fr/free/virtual-machines/search/</v></cell></row><row r="5639"><cell r="K5639" t="str"><v>August</v></cell><cell r="L5639"><v>43323</v></cell><cell r="M5639" t="str"><v>Tier 1</v></cell><cell r="N5639" t="str"><v>EMEA</v></cell><cell r="O5639" t="str"><v>France</v></cell><cell r="P5639" t="str"><v>Trial</v></cell><cell r="Q5639" t="str"><v>Social</v></cell><cell r="R5639" t="str"><v>Azure</v></cell><cell r="S5639" t="str"><v>Apps & Infra</v></cell><cell r="T5639" t="str"><v>Developers & ITI's</v></cell><cell r="U5639" t="str"><v>Developers/ITPros-Azure Direct-Sponsored Post_Trial-Link Ad-FreeAcctRetargetingVMFB-750Hrs-ChD CanvasOpener</v></cell><cell r="V5639" t="str"><v>Lookalike Targeting</v></cell><cell r="W5639" t="str"><v>Social</v></cell><cell r="X5639" t="str"><v>1x1</v></cell></row><row r="5639"><cell r="AA5639"><v>43322</v></cell><cell r="AB5639" t="str"><v>FRA_gaPMG_AZR_AZR_Q1_19_AzureDirect-Trial-Social</v></cell><cell r="AC5639"><v>21356941</v></cell><cell r="AD5639"><v>720193</v></cell><cell r="AE5639" t="str"><v>Facebook</v></cell><cell r="AF5639"><v>3654128</v></cell><cell r="AG5639" t="str"><v>Facebook»Developers/ITPros-Azure Direct-Sponsored Post_Trial-Link Ad-FreeAcctRetargetingVMFB-750Hrs-ChD CanvasOpener»1x1»SocialBan»SOC»ALL»CPC»LAL»D»UNK»SS»NA»Trials</v></cell><cell r="AH5639"><v>226496098</v></cell><cell r="AI5639" t="str"><v>AZR_FreeAcctRetargetingVMFB-750Hrs-ChD_FRA_1200x628_SOC_AZRDirect_French_NA_Facebook_SBAN_SINU_T1_1</v></cell><cell r="AJ5639"><v>103259010</v></cell></row><row r="5640"><cell r="C5640" t="str"><v>43322Facebook»ITPros-Azure Direct-Sponsored Post-Video Ad-Free Account IT Pro - Migration»1x1»30s»SOC»ALL»CPC»AUT»D»UNK»SS»NA»Trials</v></cell><cell r="D5640" t="str"><v>43322226360010</v></cell><cell r="E5640" t="str"><v>43322104458003Trials</v></cell><cell r="F5640" t="str"><v>DCM</v></cell><cell r="G5640" t="str"><v>https://signup.azure.com/signup?offer=ms-azr-0044p&appId=102&ref=paidmedia-social-fb&redirectURL=https%3a%2f%2fazure.microsoft.com%2ffr-fr%2fget-started%2fwelcome-to-azure%2f&l=fr-fr&correlationId=ead86c34-1f10-49dd-a72b-6918462a2cbf</v></cell></row><row r="5640"><cell r="K5640" t="str"><v>August</v></cell><cell r="L5640"><v>43323</v></cell><cell r="M5640" t="str"><v>Tier 1</v></cell><cell r="N5640" t="str"><v>EMEA</v></cell><cell r="O5640" t="str"><v>France</v></cell><cell r="P5640" t="str"><v>Trial</v></cell><cell r="Q5640" t="str"><v>Social</v></cell><cell r="R5640" t="str"><v>Azure</v></cell><cell r="S5640" t="str"><v>Apps & Infra</v></cell><cell r="T5640" t="str"><v>Developers & ITI's</v></cell><cell r="U5640" t="str"><v>ITPros-Azure Direct-Sponsored Post-Video Ad-Free Account IT Pro - Migration</v></cell><cell r="V5640" t="str"><v>Audience Targeting</v></cell><cell r="W5640" t="str"><v>Social</v></cell><cell r="X5640" t="str"><v>1x1</v></cell></row><row r="5640"><cell r="AA5640"><v>43322</v></cell><cell r="AB5640" t="str"><v>FRA_gaPMG_AZR_AZR_Q1_19_AzureDirect-Trial-Social</v></cell><cell r="AC5640"><v>21356941</v></cell><cell r="AD5640"><v>720193</v></cell><cell r="AE5640" t="str"><v>Facebook</v></cell><cell r="AF5640"><v>3654128</v></cell><cell r="AG5640" t="str"><v>Facebook»ITPros-Azure Direct-Sponsored Post-Video Ad-Free Account IT Pro - Migration»1x1»30s»SOC»ALL»CPC»AUT»D»UNK»SS»NA»Trials</v></cell><cell r="AH5640"><v>226360010</v></cell><cell r="AI5640" t="str"><v>AZR_FreeAcctITProFB-AnimatedMigration-Ch3_FRA_1200x1200_VIA_AZRDirect_French_NA_Facebook_STAN_LEA_T3_1</v></cell><cell r="AJ5640"><v>104458003</v></cell></row><row r="5641"><cell r="C5641" t="str"><v>43322Facebook»ITPros-Azure Direct-Sponsored Post_Trial_PayGo-Video Ad-Free Account IT Pro - Hybrid»1x1»30s»SOC»ALL»CPC»LAL»D»UNK»SS»NA»Trials</v></cell><cell r="D5641" t="str"><v>43322226359938</v></cell><cell r="E5641" t="str"><v>43322104456278Trials</v></cell><cell r="F5641" t="str"><v>DCM</v></cell><cell r="G5641" t="str"><v>https://signup.azure.com/signup?offer=ms-azr-0044p&appId=102&ref=paidmedia-social-fb&redirectURL=https%3a%2f%2fazure.microsoft.com%2ffr-fr%2fget-started%2fwelcome-to-azure%2f&l=fr-fr&correlationId=ead86c34-1f10-49dd-a72b-6918462a2cbf</v></cell></row><row r="5641"><cell r="K5641" t="str"><v>August</v></cell><cell r="L5641"><v>43323</v></cell><cell r="M5641" t="str"><v>Tier 1</v></cell><cell r="N5641" t="str"><v>EMEA</v></cell><cell r="O5641" t="str"><v>France</v></cell><cell r="P5641" t="str"><v>Trial</v></cell><cell r="Q5641" t="str"><v>Social</v></cell><cell r="R5641" t="str"><v>Azure</v></cell><cell r="S5641" t="str"><v>Apps & Infra</v></cell><cell r="T5641" t="str"><v>Developers & ITI's</v></cell><cell r="U5641" t="str"><v>ITPros-Azure Direct-Sponsored Post_Trial_PayGo-Video Ad-Free Account IT Pro - Hybrid</v></cell><cell r="V5641" t="str"><v>Lookalike Targeting</v></cell><cell r="W5641" t="str"><v>Social</v></cell><cell r="X5641" t="str"><v>1x1</v></cell></row><row r="5641"><cell r="AA5641"><v>43322</v></cell><cell r="AB5641" t="str"><v>FRA_gaPMG_AZR_AZR_Q1_19_AzureDirect-Trial-Social</v></cell><cell r="AC5641"><v>21356941</v></cell><cell r="AD5641"><v>720193</v></cell><cell r="AE5641" t="str"><v>Facebook</v></cell><cell r="AF5641"><v>3654128</v></cell><cell r="AG5641" t="str"><v>Facebook»ITPros-Azure Direct-Sponsored Post_Trial_PayGo-Video Ad-Free Account IT Pro - Hybrid»1x1»30s»SOC»ALL»CPC»LAL»D»UNK»SS»NA»Trials</v></cell><cell r="AH5641"><v>226359938</v></cell><cell r="AI5641" t="str"><v>AZR_FreeAcctITProFB-AnimatedHybrid-Ch2_FRA_1200x1200_VIA_AZRDirect_French_NA_Facebook_STAN_LEA_T2_1</v></cell><cell r="AJ5641"><v>104456278</v></cell></row><row r="5642"><cell r="C5642" t="str"><v>43322Facebook»Developers-Azure Direct-Sponsored Post-Video Ad-Free Account Developer - AI»1x1»30s»SOC»ALL»CPC»BT»D»UNK»SS»NA»Trials</v></cell><cell r="D5642" t="str"><v>43322226360034</v></cell><cell r="E5642" t="str"><v>43322104537813Trials</v></cell><cell r="F5642" t="str"><v>DCM</v></cell><cell r="G5642" t="str"><v>https://signup.azure.com/signup?offer=ms-azr-0044p&appId=102&ref=paidmedia-social-fb&redirectURL=https%3a%2f%2fazure.microsoft.com%2ffr-fr%2fget-started%2fwelcome-to-azure%2f&l=fr-fr&correlationId=ead86c34-1f10-49dd-a72b-6918462a2cbf</v></cell></row><row r="5642"><cell r="K5642" t="str"><v>August</v></cell><cell r="L5642"><v>43323</v></cell><cell r="M5642" t="str"><v>Tier 1</v></cell><cell r="N5642" t="str"><v>EMEA</v></cell><cell r="O5642" t="str"><v>France</v></cell><cell r="P5642" t="str"><v>Trial</v></cell><cell r="Q5642" t="str"><v>Social</v></cell><cell r="R5642" t="str"><v>Azure</v></cell><cell r="S5642" t="str"><v>Apps & Infra</v></cell><cell r="T5642" t="str"><v>Developers & ITI's</v></cell><cell r="U5642" t="str"><v>Developers-Azure Direct-Sponsored Post-Video Ad-Free Account Developer - AI</v></cell><cell r="V5642" t="str"><v>Behavioral Targeting</v></cell><cell r="W5642" t="str"><v>Social</v></cell><cell r="X5642" t="str"><v>1x1</v></cell></row><row r="5642"><cell r="AA5642"><v>43322</v></cell><cell r="AB5642" t="str"><v>FRA_gaPMG_AZR_AZR_Q1_19_AzureDirect-Trial-Social</v></cell><cell r="AC5642"><v>21356941</v></cell><cell r="AD5642"><v>720193</v></cell><cell r="AE5642" t="str"><v>Facebook</v></cell><cell r="AF5642"><v>3654128</v></cell><cell r="AG5642" t="str"><v>Facebook»Developers-Azure Direct-Sponsored Post-Video Ad-Free Account Developer - AI»1x1»30s»SOC»ALL»CPC»BT»D»UNK»SS»NA»Trials</v></cell><cell r="AH5642"><v>226360034</v></cell><cell r="AI5642" t="str"><v>AZR_FreeAcctDeveloperFB-AnimatedAI-Ch3_FRA_1200x1200_VIA_AZRDirect_French_NA_Facebook_STAN_LEA_T3_1</v></cell><cell r="AJ5642"><v>104537813</v></cell></row><row r="5643"><cell r="C5643" t="str"><v>43322Facebook»Developers-Azure Direct-Sponsored Post-Video Ad-Free Account Developer - Generic»1x1»30s»SOC»ALL»CPC»BT»D»UNK»SS»NA»Trials</v></cell><cell r="D5643" t="str"><v>43322226420298</v></cell><cell r="E5643" t="str"><v>43322104537129Trials</v></cell><cell r="F5643" t="str"><v>DCM</v></cell><cell r="G5643" t="str"><v>https://signup.azure.com/signup?offer=ms-azr-0044p&appId=102&ref=paidmedia-social-fb&redirectURL=https%3a%2f%2fazure.microsoft.com%2ffr-fr%2fget-started%2fwelcome-to-azure%2f&l=fr-fr&correlationId=ead86c34-1f10-49dd-a72b-6918462a2cbf</v></cell></row><row r="5643"><cell r="K5643" t="str"><v>August</v></cell><cell r="L5643"><v>43323</v></cell><cell r="M5643" t="str"><v>Tier 1</v></cell><cell r="N5643" t="str"><v>EMEA</v></cell><cell r="O5643" t="str"><v>France</v></cell><cell r="P5643" t="str"><v>Trial</v></cell><cell r="Q5643" t="str"><v>Social</v></cell><cell r="R5643" t="str"><v>Azure</v></cell><cell r="S5643" t="str"><v>Apps & Infra</v></cell><cell r="T5643" t="str"><v>Developers & ITI's</v></cell><cell r="U5643" t="str"><v>Developers-Azure Direct-Sponsored Post-Video Ad-Free Account Developer - Generic</v></cell><cell r="V5643" t="str"><v>Behavioral Targeting</v></cell><cell r="W5643" t="str"><v>Social</v></cell><cell r="X5643" t="str"><v>1x1</v></cell></row><row r="5643"><cell r="AA5643"><v>43322</v></cell><cell r="AB5643" t="str"><v>FRA_gaPMG_AZR_AZR_Q1_19_AzureDirect-Trial-Social</v></cell><cell r="AC5643"><v>21356941</v></cell><cell r="AD5643"><v>720193</v></cell><cell r="AE5643" t="str"><v>Facebook</v></cell><cell r="AF5643"><v>3654128</v></cell><cell r="AG5643" t="str"><v>Facebook»Developers-Azure Direct-Sponsored Post-Video Ad-Free Account Developer - Generic»1x1»30s»SOC»ALL»CPC»BT»D»UNK»SS»NA»Trials</v></cell><cell r="AH5643"><v>226420298</v></cell><cell r="AI5643" t="str"><v>AZR_FreeAcctDeveloperFB-AnimatedGeneric-Ch1_FRA_1200x1200_VIA_AZRDirect_French_NA_Facebook_STAN_LEA_T1_1</v></cell><cell r="AJ5643"><v>104537129</v></cell></row><row r="5644"><cell r="C5644" t="str"><v>43322Facebook»Developers-Azure Direct-Sponsored Post-Video Ad-Free Account Developer - Intelligent Data»1x1»30s»SOC»ALL»CPC»BT»D»UNK»SS»NA»Trials</v></cell><cell r="D5644" t="str"><v>43322226360028</v></cell><cell r="E5644" t="str"><v>43322104537816Trials</v></cell><cell r="F5644" t="str"><v>DCM</v></cell><cell r="G5644" t="str"><v>https://signup.azure.com/signup?offer=ms-azr-0044p&appId=102&ref=paidmedia-social-fb&redirectURL=https%3a%2f%2fazure.microsoft.com%2ffr-fr%2fget-started%2fwelcome-to-azure%2f&l=fr-fr&correlationId=ead86c34-1f10-49dd-a72b-6918462a2cbf</v></cell></row><row r="5644"><cell r="K5644" t="str"><v>August</v></cell><cell r="L5644"><v>43323</v></cell><cell r="M5644" t="str"><v>Tier 1</v></cell><cell r="N5644" t="str"><v>EMEA</v></cell><cell r="O5644" t="str"><v>France</v></cell><cell r="P5644" t="str"><v>Trial</v></cell><cell r="Q5644" t="str"><v>Social</v></cell><cell r="R5644" t="str"><v>Azure</v></cell><cell r="S5644" t="str"><v>Apps & Infra</v></cell><cell r="T5644" t="str"><v>Developers & ITI's</v></cell><cell r="U5644" t="str"><v>Developers-Azure Direct-Sponsored Post-Video Ad-Free Account Developer - Intelligent Data</v></cell><cell r="V5644" t="str"><v>Behavioral Targeting</v></cell><cell r="W5644" t="str"><v>Social</v></cell><cell r="X5644" t="str"><v>1x1</v></cell></row><row r="5644"><cell r="AA5644"><v>43322</v></cell><cell r="AB5644" t="str"><v>FRA_gaPMG_AZR_AZR_Q1_19_AzureDirect-Trial-Social</v></cell><cell r="AC5644"><v>21356941</v></cell><cell r="AD5644"><v>720193</v></cell><cell r="AE5644" t="str"><v>Facebook</v></cell><cell r="AF5644"><v>3654128</v></cell><cell r="AG5644" t="str"><v>Facebook»Developers-Azure Direct-Sponsored Post-Video Ad-Free Account Developer - Intelligent Data»1x1»30s»SOC»ALL»CPC»BT»D»UNK»SS»NA»Trials</v></cell><cell r="AH5644"><v>226360028</v></cell><cell r="AI5644" t="str"><v>AZR_FreeAcctDeveloperFB-AnimatedData-Ch4_FRA_1200x1200_VIA_AZRDirect_French_NA_Facebook_STAN_LEA_T4_1</v></cell><cell r="AJ5644"><v>104537816</v></cell></row><row r="5645"><cell r="C5645" t="str"><v>43322Facebook»Developers-Azure Direct-Sponsored Post-Video Ad-Free Account Developer - Open Source»1x1»30s»SOC»ALL»CPC»BT»D»UNK»SS»NA»Trials</v></cell><cell r="D5645" t="str"><v>43322226360040</v></cell><cell r="E5645" t="str"><v>43322104537132Trials</v></cell><cell r="F5645" t="str"><v>DCM</v></cell><cell r="G5645" t="str"><v>https://signup.azure.com/signup?offer=ms-azr-0044p&appId=102&ref=paidmedia-social-fb&redirectURL=https%3a%2f%2fazure.microsoft.com%2ffr-fr%2fget-started%2fwelcome-to-azure%2f&l=fr-fr&correlationId=ead86c34-1f10-49dd-a72b-6918462a2cbf</v></cell></row><row r="5645"><cell r="K5645" t="str"><v>August</v></cell><cell r="L5645"><v>43323</v></cell><cell r="M5645" t="str"><v>Tier 1</v></cell><cell r="N5645" t="str"><v>EMEA</v></cell><cell r="O5645" t="str"><v>France</v></cell><cell r="P5645" t="str"><v>Trial</v></cell><cell r="Q5645" t="str"><v>Social</v></cell><cell r="R5645" t="str"><v>Azure</v></cell><cell r="S5645" t="str"><v>Apps & Infra</v></cell><cell r="T5645" t="str"><v>Developers & ITI's</v></cell><cell r="U5645" t="str"><v>Developers-Azure Direct-Sponsored Post-Video Ad-Free Account Developer - Open Source</v></cell><cell r="V5645" t="str"><v>Behavioral Targeting</v></cell><cell r="W5645" t="str"><v>Social</v></cell><cell r="X5645" t="str"><v>1x1</v></cell></row><row r="5645"><cell r="AA5645"><v>43322</v></cell><cell r="AB5645" t="str"><v>FRA_gaPMG_AZR_AZR_Q1_19_AzureDirect-Trial-Social</v></cell><cell r="AC5645"><v>21356941</v></cell><cell r="AD5645"><v>720193</v></cell><cell r="AE5645" t="str"><v>Facebook</v></cell><cell r="AF5645"><v>3654128</v></cell><cell r="AG5645" t="str"><v>Facebook»Developers-Azure Direct-Sponsored Post-Video Ad-Free Account Developer - Open Source»1x1»30s»SOC»ALL»CPC»BT»D»UNK»SS»NA»Trials</v></cell><cell r="AH5645"><v>226360040</v></cell><cell r="AI5645" t="str"><v>AZR_FreeAcctDeveloperFB-AnimatedOpenSource-Ch2_FRA_1200x1200_VIA_AZRDirect_French_NA_Facebook_STAN_LEA_T2_1</v></cell><cell r="AJ5645"><v>104537132</v></cell></row><row r="5646"><cell r="C5646" t="str"><v>43322Facebook»Developers-Azure Direct-Sponsored Post_Trial-Video Ad-Free Account Developer - AI»1x1»30s»SOC»ALL»CPC»LAL»D»UNK»SS»NA»Trials</v></cell><cell r="D5646" t="str"><v>43322226360019</v></cell><cell r="E5646" t="str"><v>43322104537813Trials</v></cell><cell r="F5646" t="str"><v>DCM</v></cell><cell r="G5646" t="str"><v>https://signup.azure.com/signup?offer=ms-azr-0044p&appId=102&ref=paidmedia-social-fb&redirectURL=https%3a%2f%2fazure.microsoft.com%2ffr-fr%2fget-started%2fwelcome-to-azure%2f&l=fr-fr&correlationId=ead86c34-1f10-49dd-a72b-6918462a2cbf</v></cell></row><row r="5646"><cell r="K5646" t="str"><v>August</v></cell><cell r="L5646"><v>43323</v></cell><cell r="M5646" t="str"><v>Tier 1</v></cell><cell r="N5646" t="str"><v>EMEA</v></cell><cell r="O5646" t="str"><v>France</v></cell><cell r="P5646" t="str"><v>Trial</v></cell><cell r="Q5646" t="str"><v>Social</v></cell><cell r="R5646" t="str"><v>Azure</v></cell><cell r="S5646" t="str"><v>Apps & Infra</v></cell><cell r="T5646" t="str"><v>Developers & ITI's</v></cell><cell r="U5646" t="str"><v>Developers-Azure Direct-Sponsored Post_Trial-Video Ad-Free Account Developer - AI</v></cell><cell r="V5646" t="str"><v>Lookalike Targeting</v></cell><cell r="W5646" t="str"><v>Social</v></cell><cell r="X5646" t="str"><v>1x1</v></cell></row><row r="5646"><cell r="AA5646"><v>43322</v></cell><cell r="AB5646" t="str"><v>FRA_gaPMG_AZR_AZR_Q1_19_AzureDirect-Trial-Social</v></cell><cell r="AC5646"><v>21356941</v></cell><cell r="AD5646"><v>720193</v></cell><cell r="AE5646" t="str"><v>Facebook</v></cell><cell r="AF5646"><v>3654128</v></cell><cell r="AG5646" t="str"><v>Facebook»Developers-Azure Direct-Sponsored Post_Trial-Video Ad-Free Account Developer - AI»1x1»30s»SOC»ALL»CPC»LAL»D»UNK»SS»NA»Trials</v></cell><cell r="AH5646"><v>226360019</v></cell><cell r="AI5646" t="str"><v>AZR_FreeAcctDeveloperFB-AnimatedAI-Ch3_FRA_1200x1200_VIA_AZRDirect_French_NA_Facebook_STAN_LEA_T3_1</v></cell><cell r="AJ5646"><v>104537813</v></cell></row><row r="5647"><cell r="C5647" t="str"><v>43322Facebook»Developers-Azure Direct-Sponsored Post_Trial-Video Ad-Free Account Developer - Generic»1x1»30s»SOC»ALL»CPC»LAL»D»UNK»SS»NA»Trials</v></cell><cell r="D5647" t="str"><v>43322226360031</v></cell><cell r="E5647" t="str"><v>43322104537129Trials</v></cell><cell r="F5647" t="str"><v>DCM</v></cell><cell r="G5647" t="str"><v>https://signup.azure.com/signup?offer=ms-azr-0044p&appId=102&ref=paidmedia-social-fb&redirectURL=https%3a%2f%2fazure.microsoft.com%2ffr-fr%2fget-started%2fwelcome-to-azure%2f&l=fr-fr&correlationId=ead86c34-1f10-49dd-a72b-6918462a2cbf</v></cell></row><row r="5647"><cell r="K5647" t="str"><v>August</v></cell><cell r="L5647"><v>43323</v></cell><cell r="M5647" t="str"><v>Tier 1</v></cell><cell r="N5647" t="str"><v>EMEA</v></cell><cell r="O5647" t="str"><v>France</v></cell><cell r="P5647" t="str"><v>Trial</v></cell><cell r="Q5647" t="str"><v>Social</v></cell><cell r="R5647" t="str"><v>Azure</v></cell><cell r="S5647" t="str"><v>Apps & Infra</v></cell><cell r="T5647" t="str"><v>Developers & ITI's</v></cell><cell r="U5647" t="str"><v>Developers-Azure Direct-Sponsored Post_Trial-Video Ad-Free Account Developer - Generic</v></cell><cell r="V5647" t="str"><v>Lookalike Targeting</v></cell><cell r="W5647" t="str"><v>Social</v></cell><cell r="X5647" t="str"><v>1x1</v></cell></row><row r="5647"><cell r="AA5647"><v>43322</v></cell><cell r="AB5647" t="str"><v>FRA_gaPMG_AZR_AZR_Q1_19_AzureDirect-Trial-Social</v></cell><cell r="AC5647"><v>21356941</v></cell><cell r="AD5647"><v>720193</v></cell><cell r="AE5647" t="str"><v>Facebook</v></cell><cell r="AF5647"><v>3654128</v></cell><cell r="AG5647" t="str"><v>Facebook»Developers-Azure Direct-Sponsored Post_Trial-Video Ad-Free Account Developer - Generic»1x1»30s»SOC»ALL»CPC»LAL»D»UNK»SS»NA»Trials</v></cell><cell r="AH5647"><v>226360031</v></cell><cell r="AI5647" t="str"><v>AZR_FreeAcctDeveloperFB-AnimatedGeneric-Ch1_FRA_1200x1200_VIA_AZRDirect_French_NA_Facebook_STAN_LEA_T1_1</v></cell><cell r="AJ5647"><v>104537129</v></cell></row><row r="5648"><cell r="C5648" t="str"><v>43322Facebook»Developers-Azure Direct-Sponsored Post_Trial-Video Ad-Free Account Developer - Open Source»1x1»30s»SOC»ALL»CPC»LAL»D»UNK»SS»NA»Trials</v></cell><cell r="D5648" t="str"><v>43322226360025</v></cell><cell r="E5648" t="str"><v>43322104537132Trials</v></cell><cell r="F5648" t="str"><v>DCM</v></cell><cell r="G5648" t="str"><v>https://signup.azure.com/signup?offer=ms-azr-0044p&appId=102&ref=paidmedia-social-fb&redirectURL=https%3a%2f%2fazure.microsoft.com%2ffr-fr%2fget-started%2fwelcome-to-azure%2f&l=fr-fr&correlationId=ead86c34-1f10-49dd-a72b-6918462a2cbf</v></cell></row><row r="5648"><cell r="K5648" t="str"><v>August</v></cell><cell r="L5648"><v>43323</v></cell><cell r="M5648" t="str"><v>Tier 1</v></cell><cell r="N5648" t="str"><v>EMEA</v></cell><cell r="O5648" t="str"><v>France</v></cell><cell r="P5648" t="str"><v>Trial</v></cell><cell r="Q5648" t="str"><v>Social</v></cell><cell r="R5648" t="str"><v>Azure</v></cell><cell r="S5648" t="str"><v>Apps & Infra</v></cell><cell r="T5648" t="str"><v>Developers & ITI's</v></cell><cell r="U5648" t="str"><v>Developers-Azure Direct-Sponsored Post_Trial-Video Ad-Free Account Developer - Open Source</v></cell><cell r="V5648" t="str"><v>Lookalike Targeting</v></cell><cell r="W5648" t="str"><v>Social</v></cell><cell r="X5648" t="str"><v>1x1</v></cell></row><row r="5648"><cell r="AA5648"><v>43322</v></cell><cell r="AB5648" t="str"><v>FRA_gaPMG_AZR_AZR_Q1_19_AzureDirect-Trial-Social</v></cell><cell r="AC5648"><v>21356941</v></cell><cell r="AD5648"><v>720193</v></cell><cell r="AE5648" t="str"><v>Facebook</v></cell><cell r="AF5648"><v>3654128</v></cell><cell r="AG5648" t="str"><v>Facebook»Developers-Azure Direct-Sponsored Post_Trial-Video Ad-Free Account Developer - Open Source»1x1»30s»SOC»ALL»CPC»LAL»D»UNK»SS»NA»Trials</v></cell><cell r="AH5648"><v>226360025</v></cell><cell r="AI5648" t="str"><v>AZR_FreeAcctDeveloperFB-AnimatedOpenSource-Ch2_FRA_1200x1200_VIA_AZRDirect_French_NA_Facebook_STAN_LEA_T2_1</v></cell><cell r="AJ5648"><v>104537132</v></cell></row><row r="5649"><cell r="C5649" t="str"><v>43322Facebook»Developers-Azure Direct-Sponsored Post_Trial_PayGo-Video Ad-Free Account Developer - AI»1x1»30s»SOC»ALL»CPC»LAL»D»UNK»SS»NA»Trials</v></cell><cell r="D5649" t="str"><v>43322226359947</v></cell><cell r="E5649" t="str"><v>43322104537813Trials</v></cell><cell r="F5649" t="str"><v>DCM</v></cell><cell r="G5649" t="str"><v>https://signup.azure.com/signup?offer=ms-azr-0044p&appId=102&ref=paidmedia-social-fb&redirectURL=https%3a%2f%2fazure.microsoft.com%2ffr-fr%2fget-started%2fwelcome-to-azure%2f&l=fr-fr&correlationId=ead86c34-1f10-49dd-a72b-6918462a2cbf</v></cell></row><row r="5649"><cell r="K5649" t="str"><v>August</v></cell><cell r="L5649"><v>43323</v></cell><cell r="M5649" t="str"><v>Tier 1</v></cell><cell r="N5649" t="str"><v>EMEA</v></cell><cell r="O5649" t="str"><v>France</v></cell><cell r="P5649" t="str"><v>Trial</v></cell><cell r="Q5649" t="str"><v>Social</v></cell><cell r="R5649" t="str"><v>Azure</v></cell><cell r="S5649" t="str"><v>Apps & Infra</v></cell><cell r="T5649" t="str"><v>Developers & ITI's</v></cell><cell r="U5649" t="str"><v>Developers-Azure Direct-Sponsored Post_Trial_PayGo-Video Ad-Free Account Developer - AI</v></cell><cell r="V5649" t="str"><v>Lookalike Targeting</v></cell><cell r="W5649" t="str"><v>Social</v></cell><cell r="X5649" t="str"><v>1x1</v></cell></row><row r="5649"><cell r="AA5649"><v>43322</v></cell><cell r="AB5649" t="str"><v>FRA_gaPMG_AZR_AZR_Q1_19_AzureDirect-Trial-Social</v></cell><cell r="AC5649"><v>21356941</v></cell><cell r="AD5649"><v>720193</v></cell><cell r="AE5649" t="str"><v>Facebook</v></cell><cell r="AF5649"><v>3654128</v></cell><cell r="AG5649" t="str"><v>Facebook»Developers-Azure Direct-Sponsored Post_Trial_PayGo-Video Ad-Free Account Developer - AI»1x1»30s»SOC»ALL»CPC»LAL»D»UNK»SS»NA»Trials</v></cell><cell r="AH5649"><v>226359947</v></cell><cell r="AI5649" t="str"><v>AZR_FreeAcctDeveloperFB-AnimatedAI-Ch3_FRA_1200x1200_VIA_AZRDirect_French_NA_Facebook_STAN_LEA_T3_1</v></cell><cell r="AJ5649"><v>104537813</v></cell></row><row r="5650"><cell r="C5650" t="str"><v>43322Facebook»Developers-Azure Direct-Sponsored Post_Trial_PayGo-Video Ad-Free Account Developer - Intelligent Data»1x1»30s»SOC»ALL»CPC»LAL»D»UNK»SS»NA»Trials</v></cell><cell r="D5650" t="str"><v>43322226359944</v></cell><cell r="E5650" t="str"><v>43322104537816Trials</v></cell><cell r="F5650" t="str"><v>DCM</v></cell><cell r="G5650" t="str"><v>https://signup.azure.com/signup?offer=ms-azr-0044p&appId=102&ref=paidmedia-social-fb&redirectURL=https%3a%2f%2fazure.microsoft.com%2ffr-fr%2fget-started%2fwelcome-to-azure%2f&l=fr-fr&correlationId=ead86c34-1f10-49dd-a72b-6918462a2cbf</v></cell></row><row r="5650"><cell r="K5650" t="str"><v>August</v></cell><cell r="L5650"><v>43323</v></cell><cell r="M5650" t="str"><v>Tier 1</v></cell><cell r="N5650" t="str"><v>EMEA</v></cell><cell r="O5650" t="str"><v>France</v></cell><cell r="P5650" t="str"><v>Trial</v></cell><cell r="Q5650" t="str"><v>Social</v></cell><cell r="R5650" t="str"><v>Azure</v></cell><cell r="S5650" t="str"><v>Apps & Infra</v></cell><cell r="T5650" t="str"><v>Developers & ITI's</v></cell><cell r="U5650" t="str"><v>Developers-Azure Direct-Sponsored Post_Trial_PayGo-Video Ad-Free Account Developer - Intelligent Data</v></cell><cell r="V5650" t="str"><v>Lookalike Targeting</v></cell><cell r="W5650" t="str"><v>Social</v></cell><cell r="X5650" t="str"><v>1x1</v></cell></row><row r="5650"><cell r="AA5650"><v>43322</v></cell><cell r="AB5650" t="str"><v>FRA_gaPMG_AZR_AZR_Q1_19_AzureDirect-Trial-Social</v></cell><cell r="AC5650"><v>21356941</v></cell><cell r="AD5650"><v>720193</v></cell><cell r="AE5650" t="str"><v>Facebook</v></cell><cell r="AF5650"><v>3654128</v></cell><cell r="AG5650" t="str"><v>Facebook»Developers-Azure Direct-Sponsored Post_Trial_PayGo-Video Ad-Free Account Developer - Intelligent Data»1x1»30s»SOC»ALL»CPC»LAL»D»UNK»SS»NA»Trials</v></cell><cell r="AH5650"><v>226359944</v></cell><cell r="AI5650" t="str"><v>AZR_FreeAcctDeveloperFB-AnimatedData-Ch4_FRA_1200x1200_VIA_AZRDirect_French_NA_Facebook_STAN_LEA_T4_1</v></cell><cell r="AJ5650"><v>104537816</v></cell></row><row r="5651"><cell r="C5651" t="str"><v>43322Facebook»Developers/ITPros-Azure Direct-Sponsored Post_Trial-Link Ad-FreeAcctRetargetingFB-GlobalAlt-ChB_RTG CanvasOpener»1x1»SocialBan»SOC»ALL»CPC»LAL»D»UNK»SS»NA»Trials</v></cell><cell r="D5651" t="str"><v>43322226496107</v></cell><cell r="E5651" t="str"><v>43322103259520Trials</v></cell><cell r="F5651" t="str"><v>DCM</v></cell><cell r="G5651" t="str"><v>https://azure.microsoft.com/fr-fr/free/search/</v></cell></row><row r="5651"><cell r="K5651" t="str"><v>August</v></cell><cell r="L5651"><v>43323</v></cell><cell r="M5651" t="str"><v>Tier 1</v></cell><cell r="N5651" t="str"><v>EMEA</v></cell><cell r="O5651" t="str"><v>France</v></cell><cell r="P5651" t="str"><v>Trial</v></cell><cell r="Q5651" t="str"><v>Social</v></cell><cell r="R5651" t="str"><v>Azure</v></cell><cell r="S5651" t="str"><v>Apps & Infra</v></cell><cell r="T5651" t="str"><v>Developers & ITI's</v></cell><cell r="U5651" t="str"><v>Developers/ITPros-Azure Direct-Sponsored Post_Trial-Link Ad-FreeAcctRetargetingFB-GlobalAlt-ChB_RTG CanvasOpener</v></cell><cell r="V5651" t="str"><v>Lookalike Targeting</v></cell><cell r="W5651" t="str"><v>Social</v></cell><cell r="X5651" t="str"><v>1x1</v></cell></row><row r="5651"><cell r="AA5651"><v>43322</v></cell><cell r="AB5651" t="str"><v>FRA_gaPMG_AZR_AZR_Q1_19_AzureDirect-Trial-Social</v></cell><cell r="AC5651"><v>21356941</v></cell><cell r="AD5651"><v>720193</v></cell><cell r="AE5651" t="str"><v>Facebook</v></cell><cell r="AF5651"><v>3654128</v></cell><cell r="AG5651" t="str"><v>Facebook»Developers/ITPros-Azure Direct-Sponsored Post_Trial-Link Ad-FreeAcctRetargetingFB-GlobalAlt-ChB_RTG CanvasOpener»1x1»SocialBan»SOC»ALL»CPC»LAL»D»UNK»SS»NA»Trials</v></cell><cell r="AH5651"><v>226496107</v></cell><cell r="AI5651" t="str"><v>AZR_FreeAcctRetargetingFB-GlobalAlt-ChB_FRA_1200x628_SOC_AZRDirect_French_NA_Facebook_SBAN_SINU_T2_1</v></cell><cell r="AJ5651"><v>103259520</v></cell></row><row r="5652"><cell r="C5652" t="str"><v>43322Facebook»Developers/ITPros-Azure Direct-Sponsored Post_Trial-Link Ad-FreeAcctRetargetingOSSFB-Logos-ChG CanvasOpener»1x1»SocialBan»SOC»ALL»CPC»LAL»D»UNK»SS»NA»Trials</v></cell><cell r="D5652" t="str"><v>43322226496104</v></cell><cell r="E5652" t="str"><v>43322103259769Trials</v></cell><cell r="F5652" t="str"><v>DCM</v></cell><cell r="G5652" t="str"><v>https://azure.microsoft.com/fr-fr/free/open-source/search/</v></cell></row><row r="5652"><cell r="K5652" t="str"><v>August</v></cell><cell r="L5652"><v>43323</v></cell><cell r="M5652" t="str"><v>Tier 1</v></cell><cell r="N5652" t="str"><v>EMEA</v></cell><cell r="O5652" t="str"><v>France</v></cell><cell r="P5652" t="str"><v>Trial</v></cell><cell r="Q5652" t="str"><v>Social</v></cell><cell r="R5652" t="str"><v>Azure</v></cell><cell r="S5652" t="str"><v>Apps & Infra</v></cell><cell r="T5652" t="str"><v>Developers & ITI's</v></cell><cell r="U5652" t="str"><v>Developers/ITPros-Azure Direct-Sponsored Post_Trial-Link Ad-FreeAcctRetargetingOSSFB-Logos-ChG CanvasOpener</v></cell><cell r="V5652" t="str"><v>Lookalike Targeting</v></cell><cell r="W5652" t="str"><v>Social</v></cell><cell r="X5652" t="str"><v>1x1</v></cell></row><row r="5652"><cell r="AA5652"><v>43322</v></cell><cell r="AB5652" t="str"><v>FRA_gaPMG_AZR_AZR_Q1_19_AzureDirect-Trial-Social</v></cell><cell r="AC5652"><v>21356941</v></cell><cell r="AD5652"><v>720193</v></cell><cell r="AE5652" t="str"><v>Facebook</v></cell><cell r="AF5652"><v>3654128</v></cell><cell r="AG5652" t="str"><v>Facebook»Developers/ITPros-Azure Direct-Sponsored Post_Trial-Link Ad-FreeAcctRetargetingOSSFB-Logos-ChG CanvasOpener»1x1»SocialBan»SOC»ALL»CPC»LAL»D»UNK»SS»NA»Trials</v></cell><cell r="AH5652"><v>226496104</v></cell><cell r="AI5652" t="str"><v>AZR_FreeAcctRetargetingOSSFB-Logos-ChG_FRA_1200x628_SOC_AZRDirect_French_NA_Facebook_SBAN_SINU_T2_1</v></cell><cell r="AJ5652"><v>103259769</v></cell></row><row r="5653"><cell r="C5653" t="str"><v>43322Facebook»Developers/ITPros-Azure Direct-Sponsored Post_Trial_PayGo-Link Ad-FreeAcctRetargetingVMFB-750Hrs-ChD CanvasOpener»1x1»SocialBan»SOC»ALL»CPC»LAL»D»UNK»SS»NA»Trials</v></cell><cell r="D5653" t="str"><v>43322226359962</v></cell><cell r="E5653" t="str"><v>43322103259010Trials</v></cell><cell r="F5653" t="str"><v>DCM</v></cell><cell r="G5653" t="str"><v>https://azure.microsoft.com/fr-fr/free/virtual-machines/search/</v></cell></row><row r="5653"><cell r="K5653" t="str"><v>August</v></cell><cell r="L5653"><v>43323</v></cell><cell r="M5653" t="str"><v>Tier 1</v></cell><cell r="N5653" t="str"><v>EMEA</v></cell><cell r="O5653" t="str"><v>France</v></cell><cell r="P5653" t="str"><v>Trial</v></cell><cell r="Q5653" t="str"><v>Social</v></cell><cell r="R5653" t="str"><v>Azure</v></cell><cell r="S5653" t="str"><v>Apps & Infra</v></cell><cell r="T5653" t="str"><v>Developers & ITI's</v></cell><cell r="U5653" t="str"><v>Developers/ITPros-Azure Direct-Sponsored Post_Trial_PayGo-Link Ad-FreeAcctRetargetingVMFB-750Hrs-ChD CanvasOpener</v></cell><cell r="V5653" t="str"><v>Lookalike Targeting</v></cell><cell r="W5653" t="str"><v>Social</v></cell><cell r="X5653" t="str"><v>1x1</v></cell></row><row r="5653"><cell r="AA5653"><v>43322</v></cell><cell r="AB5653" t="str"><v>FRA_gaPMG_AZR_AZR_Q1_19_AzureDirect-Trial-Social</v></cell><cell r="AC5653"><v>21356941</v></cell><cell r="AD5653"><v>720193</v></cell><cell r="AE5653" t="str"><v>Facebook</v></cell><cell r="AF5653"><v>3654128</v></cell><cell r="AG5653" t="str"><v>Facebook»Developers/ITPros-Azure Direct-Sponsored Post_Trial_PayGo-Link Ad-FreeAcctRetargetingVMFB-750Hrs-ChD CanvasOpener»1x1»SocialBan»SOC»ALL»CPC»LAL»D»UNK»SS»NA»Trials</v></cell><cell r="AH5653"><v>226359962</v></cell><cell r="AI5653" t="str"><v>AZR_FreeAcctRetargetingVMFB-750Hrs-ChD_FRA_1200x628_SOC_AZRDirect_French_NA_Facebook_SBAN_SINU_T1_1</v></cell><cell r="AJ5653"><v>103259010</v></cell></row><row r="5654"><cell r="C5654" t="str"><v>43322Facebook»ITPros-Azure Direct-Sponsored Post-Video Ad-Free Account IT Pro - Hybrid»1x1»30s»SOC»ALL»CPC»AUT»D»UNK»SS»NA»Trials</v></cell><cell r="D5654" t="str"><v>43322226360016</v></cell><cell r="E5654" t="str"><v>43322104456278Trials</v></cell><cell r="F5654" t="str"><v>DCM</v></cell><cell r="G5654" t="str"><v>https://signup.azure.com/signup?offer=ms-azr-0044p&appId=102&ref=paidmedia-social-fb&redirectURL=https%3a%2f%2fazure.microsoft.com%2ffr-fr%2fget-started%2fwelcome-to-azure%2f&l=fr-fr&correlationId=ead86c34-1f10-49dd-a72b-6918462a2cbf</v></cell></row><row r="5654"><cell r="K5654" t="str"><v>August</v></cell><cell r="L5654"><v>43323</v></cell><cell r="M5654" t="str"><v>Tier 1</v></cell><cell r="N5654" t="str"><v>EMEA</v></cell><cell r="O5654" t="str"><v>France</v></cell><cell r="P5654" t="str"><v>Trial</v></cell><cell r="Q5654" t="str"><v>Social</v></cell><cell r="R5654" t="str"><v>Azure</v></cell><cell r="S5654" t="str"><v>Apps & Infra</v></cell><cell r="T5654" t="str"><v>Developers & ITI's</v></cell><cell r="U5654" t="str"><v>ITPros-Azure Direct-Sponsored Post-Video Ad-Free Account IT Pro - Hybrid</v></cell><cell r="V5654" t="str"><v>Audience Targeting</v></cell><cell r="W5654" t="str"><v>Social</v></cell><cell r="X5654" t="str"><v>1x1</v></cell></row><row r="5654"><cell r="AA5654"><v>43322</v></cell><cell r="AB5654" t="str"><v>FRA_gaPMG_AZR_AZR_Q1_19_AzureDirect-Trial-Social</v></cell><cell r="AC5654"><v>21356941</v></cell><cell r="AD5654"><v>720193</v></cell><cell r="AE5654" t="str"><v>Facebook</v></cell><cell r="AF5654"><v>3654128</v></cell><cell r="AG5654" t="str"><v>Facebook»ITPros-Azure Direct-Sponsored Post-Video Ad-Free Account IT Pro - Hybrid»1x1»30s»SOC»ALL»CPC»AUT»D»UNK»SS»NA»Trials</v></cell><cell r="AH5654"><v>226360016</v></cell><cell r="AI5654" t="str"><v>AZR_FreeAcctITProFB-AnimatedHybrid-Ch2_FRA_1200x1200_VIA_AZRDirect_French_NA_Facebook_STAN_LEA_T2_1</v></cell><cell r="AJ5654"><v>104456278</v></cell></row><row r="5655"><cell r="C5655" t="str"><v>43322Facebook»ITPros-Azure Direct-Sponsored Post-Video Ad-Free Account IT Pro - Secure»1x1»30s»SOC»ALL»CPC»AUT»D»UNK»SS»NA»Trials</v></cell><cell r="D5655" t="str"><v>43322226360022</v></cell><cell r="E5655" t="str"><v>43322104455906Trials</v></cell><cell r="F5655" t="str"><v>DCM</v></cell><cell r="G5655" t="str"><v>https://signup.azure.com/signup?offer=ms-azr-0044p&appId=102&ref=paidmedia-social-fb&redirectURL=https%3a%2f%2fazure.microsoft.com%2ffr-fr%2fget-started%2fwelcome-to-azure%2f&l=fr-fr&correlationId=ead86c34-1f10-49dd-a72b-6918462a2cbf</v></cell></row><row r="5655"><cell r="K5655" t="str"><v>August</v></cell><cell r="L5655"><v>43323</v></cell><cell r="M5655" t="str"><v>Tier 1</v></cell><cell r="N5655" t="str"><v>EMEA</v></cell><cell r="O5655" t="str"><v>France</v></cell><cell r="P5655" t="str"><v>Trial</v></cell><cell r="Q5655" t="str"><v>Social</v></cell><cell r="R5655" t="str"><v>Azure</v></cell><cell r="S5655" t="str"><v>Apps & Infra</v></cell><cell r="T5655" t="str"><v>Developers & ITI's</v></cell><cell r="U5655" t="str"><v>ITPros-Azure Direct-Sponsored Post-Video Ad-Free Account IT Pro - Secure</v></cell><cell r="V5655" t="str"><v>Audience Targeting</v></cell><cell r="W5655" t="str"><v>Social</v></cell><cell r="X5655" t="str"><v>1x1</v></cell></row><row r="5655"><cell r="AA5655"><v>43322</v></cell><cell r="AB5655" t="str"><v>FRA_gaPMG_AZR_AZR_Q1_19_AzureDirect-Trial-Social</v></cell><cell r="AC5655"><v>21356941</v></cell><cell r="AD5655"><v>720193</v></cell><cell r="AE5655" t="str"><v>Facebook</v></cell><cell r="AF5655"><v>3654128</v></cell><cell r="AG5655" t="str"><v>Facebook»ITPros-Azure Direct-Sponsored Post-Video Ad-Free Account IT Pro - Secure»1x1»30s»SOC»ALL»CPC»AUT»D»UNK»SS»NA»Trials</v></cell><cell r="AH5655"><v>226360022</v></cell><cell r="AI5655" t="str"><v>AZR_FreeAcctITProFB-AnimatedSecureMngd-Ch1_FRA_1200x1200_VIA_AZRDirect_French_NA_Facebook_STAN_LEA_T1_1</v></cell><cell r="AJ5655"><v>104455906</v></cell></row><row r="5656"><cell r="C5656" t="str"><v>43322Facebook»ITPros-Azure Direct-Sponsored Post_Trial-Video Ad-Free Account IT Pro - Hybrid»1x1»30s»SOC»ALL»CPC»LAL»D»UNK»SS»NA»Trials</v></cell><cell r="D5656" t="str"><v>43322226360001</v></cell><cell r="E5656" t="str"><v>43322104456278Trials</v></cell><cell r="F5656" t="str"><v>DCM</v></cell><cell r="G5656" t="str"><v>https://signup.azure.com/signup?offer=ms-azr-0044p&appId=102&ref=paidmedia-social-fb&redirectURL=https%3a%2f%2fazure.microsoft.com%2ffr-fr%2fget-started%2fwelcome-to-azure%2f&l=fr-fr&correlationId=ead86c34-1f10-49dd-a72b-6918462a2cbf</v></cell></row><row r="5656"><cell r="K5656" t="str"><v>August</v></cell><cell r="L5656"><v>43323</v></cell><cell r="M5656" t="str"><v>Tier 1</v></cell><cell r="N5656" t="str"><v>EMEA</v></cell><cell r="O5656" t="str"><v>France</v></cell><cell r="P5656" t="str"><v>Trial</v></cell><cell r="Q5656" t="str"><v>Social</v></cell><cell r="R5656" t="str"><v>Azure</v></cell><cell r="S5656" t="str"><v>Apps & Infra</v></cell><cell r="T5656" t="str"><v>Developers & ITI's</v></cell><cell r="U5656" t="str"><v>ITPros-Azure Direct-Sponsored Post_Trial-Video Ad-Free Account IT Pro - Hybrid</v></cell><cell r="V5656" t="str"><v>Lookalike Targeting</v></cell><cell r="W5656" t="str"><v>Social</v></cell><cell r="X5656" t="str"><v>1x1</v></cell></row><row r="5656"><cell r="AA5656"><v>43322</v></cell><cell r="AB5656" t="str"><v>FRA_gaPMG_AZR_AZR_Q1_19_AzureDirect-Trial-Social</v></cell><cell r="AC5656"><v>21356941</v></cell><cell r="AD5656"><v>720193</v></cell><cell r="AE5656" t="str"><v>Facebook</v></cell><cell r="AF5656"><v>3654128</v></cell><cell r="AG5656" t="str"><v>Facebook»ITPros-Azure Direct-Sponsored Post_Trial-Video Ad-Free Account IT Pro - Hybrid»1x1»30s»SOC»ALL»CPC»LAL»D»UNK»SS»NA»Trials</v></cell><cell r="AH5656"><v>226360001</v></cell><cell r="AI5656" t="str"><v>AZR_FreeAcctITProFB-AnimatedHybrid-Ch2_FRA_1200x1200_VIA_AZRDirect_French_NA_Facebook_STAN_LEA_T2_1</v></cell><cell r="AJ5656"><v>104456278</v></cell></row><row r="5657"><cell r="C5657" t="str"><v>43322Facebook»ITPros-Azure Direct-Sponsored Post_Trial-Video Ad-Free Account IT Pro - Migration»1x1»30s»SOC»ALL»CPC»LAL»D»UNK»SS»NA»Trials</v></cell><cell r="D5657" t="str"><v>43322226359995</v></cell><cell r="E5657" t="str"><v>43322104458003Trials</v></cell><cell r="F5657" t="str"><v>DCM</v></cell><cell r="G5657" t="str"><v>https://signup.azure.com/signup?offer=ms-azr-0044p&appId=102&ref=paidmedia-social-fb&redirectURL=https%3a%2f%2fazure.microsoft.com%2ffr-fr%2fget-started%2fwelcome-to-azure%2f&l=fr-fr&correlationId=ead86c34-1f10-49dd-a72b-6918462a2cbf</v></cell></row><row r="5657"><cell r="K5657" t="str"><v>August</v></cell><cell r="L5657"><v>43323</v></cell><cell r="M5657" t="str"><v>Tier 1</v></cell><cell r="N5657" t="str"><v>EMEA</v></cell><cell r="O5657" t="str"><v>France</v></cell><cell r="P5657" t="str"><v>Trial</v></cell><cell r="Q5657" t="str"><v>Social</v></cell><cell r="R5657" t="str"><v>Azure</v></cell><cell r="S5657" t="str"><v>Apps & Infra</v></cell><cell r="T5657" t="str"><v>Developers & ITI's</v></cell><cell r="U5657" t="str"><v>ITPros-Azure Direct-Sponsored Post_Trial-Video Ad-Free Account IT Pro - Migration</v></cell><cell r="V5657" t="str"><v>Lookalike Targeting</v></cell><cell r="W5657" t="str"><v>Social</v></cell><cell r="X5657" t="str"><v>1x1</v></cell></row><row r="5657"><cell r="AA5657"><v>43322</v></cell><cell r="AB5657" t="str"><v>FRA_gaPMG_AZR_AZR_Q1_19_AzureDirect-Trial-Social</v></cell><cell r="AC5657"><v>21356941</v></cell><cell r="AD5657"><v>720193</v></cell><cell r="AE5657" t="str"><v>Facebook</v></cell><cell r="AF5657"><v>3654128</v></cell><cell r="AG5657" t="str"><v>Facebook»ITPros-Azure Direct-Sponsored Post_Trial-Video Ad-Free Account IT Pro - Migration»1x1»30s»SOC»ALL»CPC»LAL»D»UNK»SS»NA»Trials</v></cell><cell r="AH5657"><v>226359995</v></cell><cell r="AI5657" t="str"><v>AZR_FreeAcctITProFB-AnimatedMigration-Ch3_FRA_1200x1200_VIA_AZRDirect_French_NA_Facebook_STAN_LEA_T3_1</v></cell><cell r="AJ5657"><v>104458003</v></cell></row><row r="5658"><cell r="C5658" t="str"><v>43322Facebook»ITPros-Azure Direct-Sponsored Post_Trial-Video Ad-Free Account IT Pro - Secure»1x1»30s»SOC»ALL»CPC»LAL»D»UNK»SS»NA»Trials</v></cell><cell r="D5658" t="str"><v>43322226360007</v></cell><cell r="E5658" t="str"><v>43322104455906Trials</v></cell><cell r="F5658" t="str"><v>DCM</v></cell><cell r="G5658" t="str"><v>https://signup.azure.com/signup?offer=ms-azr-0044p&appId=102&ref=paidmedia-social-fb&redirectURL=https%3a%2f%2fazure.microsoft.com%2ffr-fr%2fget-started%2fwelcome-to-azure%2f&l=fr-fr&correlationId=ead86c34-1f10-49dd-a72b-6918462a2cbf</v></cell></row><row r="5658"><cell r="K5658" t="str"><v>August</v></cell><cell r="L5658"><v>43323</v></cell><cell r="M5658" t="str"><v>Tier 1</v></cell><cell r="N5658" t="str"><v>EMEA</v></cell><cell r="O5658" t="str"><v>France</v></cell><cell r="P5658" t="str"><v>Trial</v></cell><cell r="Q5658" t="str"><v>Social</v></cell><cell r="R5658" t="str"><v>Azure</v></cell><cell r="S5658" t="str"><v>Apps & Infra</v></cell><cell r="T5658" t="str"><v>Developers & ITI's</v></cell><cell r="U5658" t="str"><v>ITPros-Azure Direct-Sponsored Post_Trial-Video Ad-Free Account IT Pro - Secure</v></cell><cell r="V5658" t="str"><v>Lookalike Targeting</v></cell><cell r="W5658" t="str"><v>Social</v></cell><cell r="X5658" t="str"><v>1x1</v></cell></row><row r="5658"><cell r="AA5658"><v>43322</v></cell><cell r="AB5658" t="str"><v>FRA_gaPMG_AZR_AZR_Q1_19_AzureDirect-Trial-Social</v></cell><cell r="AC5658"><v>21356941</v></cell><cell r="AD5658"><v>720193</v></cell><cell r="AE5658" t="str"><v>Facebook</v></cell><cell r="AF5658"><v>3654128</v></cell><cell r="AG5658" t="str"><v>Facebook»ITPros-Azure Direct-Sponsored Post_Trial-Video Ad-Free Account IT Pro - Secure»1x1»30s»SOC»ALL»CPC»LAL»D»UNK»SS»NA»Trials</v></cell><cell r="AH5658"><v>226360007</v></cell><cell r="AI5658" t="str"><v>AZR_FreeAcctITProFB-AnimatedSecureMngd-Ch1_FRA_1200x1200_VIA_AZRDirect_French_NA_Facebook_STAN_LEA_T1_1</v></cell><cell r="AJ5658"><v>104455906</v></cell></row><row r="5659"><cell r="C5659" t="str"><v>43322Facebook»ITPros-Azure Direct-Sponsored Post_Trial_PayGo-Video Ad-Free Account IT Pro - Migration»1x1»30s»SOC»ALL»CPC»LAL»D»UNK»SS»NA»Trials</v></cell><cell r="D5659" t="str"><v>43322226359935</v></cell><cell r="E5659" t="str"><v>43322104458003Trials</v></cell><cell r="F5659" t="str"><v>DCM</v></cell><cell r="G5659" t="str"><v>https://signup.azure.com/signup?offer=ms-azr-0044p&appId=102&ref=paidmedia-social-fb&redirectURL=https%3a%2f%2fazure.microsoft.com%2ffr-fr%2fget-started%2fwelcome-to-azure%2f&l=fr-fr&correlationId=ead86c34-1f10-49dd-a72b-6918462a2cbf</v></cell></row><row r="5659"><cell r="K5659" t="str"><v>August</v></cell><cell r="L5659"><v>43323</v></cell><cell r="M5659" t="str"><v>Tier 1</v></cell><cell r="N5659" t="str"><v>EMEA</v></cell><cell r="O5659" t="str"><v>France</v></cell><cell r="P5659" t="str"><v>Trial</v></cell><cell r="Q5659" t="str"><v>Social</v></cell><cell r="R5659" t="str"><v>Azure</v></cell><cell r="S5659" t="str"><v>Apps & Infra</v></cell><cell r="T5659" t="str"><v>Developers & ITI's</v></cell><cell r="U5659" t="str"><v>ITPros-Azure Direct-Sponsored Post_Trial_PayGo-Video Ad-Free Account IT Pro - Migration</v></cell><cell r="V5659" t="str"><v>Lookalike Targeting</v></cell><cell r="W5659" t="str"><v>Social</v></cell><cell r="X5659" t="str"><v>1x1</v></cell></row><row r="5659"><cell r="AA5659"><v>43322</v></cell><cell r="AB5659" t="str"><v>FRA_gaPMG_AZR_AZR_Q1_19_AzureDirect-Trial-Social</v></cell><cell r="AC5659"><v>21356941</v></cell><cell r="AD5659"><v>720193</v></cell><cell r="AE5659" t="str"><v>Facebook</v></cell><cell r="AF5659"><v>3654128</v></cell><cell r="AG5659" t="str"><v>Facebook»ITPros-Azure Direct-Sponsored Post_Trial_PayGo-Video Ad-Free Account IT Pro - Migration»1x1»30s»SOC»ALL»CPC»LAL»D»UNK»SS»NA»Trials</v></cell><cell r="AH5659"><v>226359935</v></cell><cell r="AI5659" t="str"><v>AZR_FreeAcctITProFB-AnimatedMigration-Ch3_FRA_1200x1200_VIA_AZRDirect_French_NA_Facebook_STAN_LEA_T3_1</v></cell><cell r="AJ5659"><v>104458003</v></cell></row><row r="5660"><cell r="C5660" t="str"><v>43322Facebook»Audience & Interest Targeting»1x1»SocialBan»LIA»DT»CPC»AUT»W»NA»SS»NA»Basic Motion</v></cell><cell r="D5660" t="str"><v>43322224399962</v></cell><cell r="E5660" t="str"><v>43322103235146Motion</v></cell><cell r="F5660" t="str"><v>DCM</v></cell><cell r="G5660" t="str"><v>https://signup.azure.com/signup?offer=ms-azr-0044p&appId=102&ref=paidmedia-social-fb&redirectURL=https%3a%2f%2fazure.microsoft.com%2fen-gb%2fget-started%2fwelcome-to-azure%2f&l=en-gb&correlationId=ead86c34-1f10-49dd-a72b-6918462a2cbf</v></cell></row><row r="5660"><cell r="K5660" t="str"><v>August</v></cell><cell r="L5660"><v>43323</v></cell><cell r="M5660" t="str"><v>Tier 1</v></cell><cell r="N5660" t="str"><v>EMEA</v></cell><cell r="O5660" t="str"><v>United Kingdom</v></cell><cell r="P5660" t="str"><v>Trial</v></cell><cell r="Q5660" t="str"><v>Social</v></cell><cell r="R5660" t="str"><v>Azure</v></cell><cell r="S5660" t="str"><v>Apps & Infra</v></cell><cell r="T5660" t="str"><v>Developers & ITI's</v></cell><cell r="U5660" t="str"><v>Audience & Interest Targeting</v></cell><cell r="V5660" t="str"><v>Audience Targeting</v></cell><cell r="W5660" t="str"><v>Link Ad</v></cell><cell r="X5660" t="str"><v>1x1</v></cell></row><row r="5660"><cell r="AA5660"><v>43322</v></cell><cell r="AB5660" t="str"><v>GBR_gaPMG_CE_AZR_Q1_19_Trial-Social</v></cell><cell r="AC5660"><v>21337013</v></cell><cell r="AD5660"><v>720196</v></cell><cell r="AE5660" t="str"><v>Facebook</v></cell><cell r="AF5660"><v>3654128</v></cell><cell r="AG5660" t="str"><v>Facebook»Audience & Interest Targeting»1x1»SocialBan»LIA»DT»CPC»AUT»W»NA»SS»NA»Basic Motion</v></cell><cell r="AH5660"><v>224399962</v></cell><cell r="AI5660" t="str"><v>AzurePlatform_FBCTCcanvaspage-StartFreeCTA-Img2_GBR_1080x143 _SOC_Plat_English_NA_Standard_NA_NA_T2_1</v></cell><cell r="AJ5660"><v>103235146</v></cell></row><row r="5661"><cell r="C5661" t="str"><v>43322Facebook»Audience & Interest Targeting»1x1»SocialBan»LIA»DT»CPC»AUT»W»NA»SS»NA»Benefit 2 in Motion</v></cell><cell r="D5661" t="str"><v>43322224334170</v></cell><cell r="E5661" t="str"><v>43322103235146Motion</v></cell><cell r="F5661" t="str"><v>DCM</v></cell><cell r="G5661" t="str"><v>https://signup.azure.com/signup?offer=ms-azr-0044p&appId=102&ref=paidmedia-social-fb&redirectURL=https%3a%2f%2fazure.microsoft.com%2fen-gb%2fget-started%2fwelcome-to-azure%2f&l=en-gb&correlationId=ead86c34-1f10-49dd-a72b-6918462a2cbf</v></cell></row><row r="5661"><cell r="K5661" t="str"><v>August</v></cell><cell r="L5661"><v>43323</v></cell><cell r="M5661" t="str"><v>Tier 1</v></cell><cell r="N5661" t="str"><v>EMEA</v></cell><cell r="O5661" t="str"><v>United Kingdom</v></cell><cell r="P5661" t="str"><v>Trial</v></cell><cell r="Q5661" t="str"><v>Social</v></cell><cell r="R5661" t="str"><v>Azure</v></cell><cell r="S5661" t="str"><v>Apps & Infra</v></cell><cell r="T5661" t="str"><v>Developers & ITI's</v></cell><cell r="U5661" t="str"><v>Audience & Interest Targeting</v></cell><cell r="V5661" t="str"><v>Audience Targeting</v></cell><cell r="W5661" t="str"><v>Link Ad</v></cell><cell r="X5661" t="str"><v>1x1</v></cell></row><row r="5661"><cell r="AA5661"><v>43322</v></cell><cell r="AB5661" t="str"><v>GBR_gaPMG_CE_AZR_Q1_19_Trial-Social</v></cell><cell r="AC5661"><v>21337013</v></cell><cell r="AD5661"><v>720196</v></cell><cell r="AE5661" t="str"><v>Facebook</v></cell><cell r="AF5661"><v>3654128</v></cell><cell r="AG5661" t="str"><v>Facebook»Audience & Interest Targeting»1x1»SocialBan»LIA»DT»CPC»AUT»W»NA»SS»NA»Benefit 2 in Motion</v></cell><cell r="AH5661"><v>224334170</v></cell><cell r="AI5661" t="str"><v>AzurePlatform_FBCTCcanvaspage-StartFreeCTA-Img2_GBR_1080x143 _SOC_Plat_English_NA_Standard_NA_NA_T2_1</v></cell><cell r="AJ5661"><v>103235146</v></cell></row><row r="5662"><cell r="C5662" t="str"><v>43322Facebook»Audience & Interest Targeting»1x1»SocialBan»LIA»DT»CPC»AUT»W»NA»SS»NA»Brand in Motion</v></cell><cell r="D5662" t="str"><v>43322224549481</v></cell><cell r="E5662" t="str"><v>43322103235146Motion</v></cell><cell r="F5662" t="str"><v>DCM</v></cell><cell r="G5662" t="str"><v>https://signup.azure.com/signup?offer=ms-azr-0044p&appId=102&ref=paidmedia-social-fb&redirectURL=https%3a%2f%2fazure.microsoft.com%2fen-gb%2fget-started%2fwelcome-to-azure%2f&l=en-gb&correlationId=ead86c34-1f10-49dd-a72b-6918462a2cbf</v></cell></row><row r="5662"><cell r="K5662" t="str"><v>August</v></cell><cell r="L5662"><v>43323</v></cell><cell r="M5662" t="str"><v>Tier 1</v></cell><cell r="N5662" t="str"><v>EMEA</v></cell><cell r="O5662" t="str"><v>United Kingdom</v></cell><cell r="P5662" t="str"><v>Trial</v></cell><cell r="Q5662" t="str"><v>Social</v></cell><cell r="R5662" t="str"><v>Azure</v></cell><cell r="S5662" t="str"><v>Apps & Infra</v></cell><cell r="T5662" t="str"><v>Developers & ITI's</v></cell><cell r="U5662" t="str"><v>Audience & Interest Targeting</v></cell><cell r="V5662" t="str"><v>Audience Targeting</v></cell><cell r="W5662" t="str"><v>Link Ad</v></cell><cell r="X5662" t="str"><v>1x1</v></cell></row><row r="5662"><cell r="AA5662"><v>43322</v></cell><cell r="AB5662" t="str"><v>GBR_gaPMG_CE_AZR_Q1_19_Trial-Social</v></cell><cell r="AC5662"><v>21337013</v></cell><cell r="AD5662"><v>720196</v></cell><cell r="AE5662" t="str"><v>Facebook</v></cell><cell r="AF5662"><v>3654128</v></cell><cell r="AG5662" t="str"><v>Facebook»Audience & Interest Targeting»1x1»SocialBan»LIA»DT»CPC»AUT»W»NA»SS»NA»Brand in Motion</v></cell><cell r="AH5662"><v>224549481</v></cell><cell r="AI5662" t="str"><v>AzurePlatform_FBCTCcanvaspage-StartFreeCTA-Img2_GBR_1080x143 _SOC_Plat_English_NA_Standard_NA_NA_T2_1</v></cell><cell r="AJ5662"><v>103235146</v></cell></row><row r="5663"><cell r="C5663" t="str"><v>43322Facebook»Audience & Interest Targeting»1x1»SocialBan»LIA»DT»DYN»AUT»W»NA»SS»NA»Free Account Refresh- 12 months ChE</v></cell><cell r="D5663" t="str"><v>43322223567691</v></cell><cell r="E5663" t="str"><v>43322102854007hs ChE</v></cell><cell r="F5663" t="str"><v>DCM</v></cell><cell r="G5663" t="str"><v>https://azure.microsoft.com/en-gb/free/search/</v></cell></row><row r="5663"><cell r="K5663" t="str"><v>August</v></cell><cell r="L5663"><v>43323</v></cell><cell r="M5663" t="str"><v>Tier 1</v></cell><cell r="N5663" t="str"><v>EMEA</v></cell><cell r="O5663" t="str"><v>United Kingdom</v></cell><cell r="P5663" t="str"><v>Trial</v></cell><cell r="Q5663" t="str"><v>Social</v></cell><cell r="R5663" t="str"><v>Azure</v></cell><cell r="S5663" t="str"><v>Apps & Infra</v></cell><cell r="T5663" t="str"><v>Developers & ITI's</v></cell><cell r="U5663" t="str"><v>Audience & Interest Targeting</v></cell><cell r="V5663" t="str"><v>Audience Targeting</v></cell><cell r="W5663" t="str"><v>Link Ad</v></cell><cell r="X5663" t="str"><v>1x1</v></cell></row><row r="5663"><cell r="AA5663"><v>43322</v></cell><cell r="AB5663" t="str"><v>GBR_gaPMG_CE_AZR_Q1_19_Trial-Social</v></cell><cell r="AC5663"><v>21337013</v></cell><cell r="AD5663"><v>720196</v></cell><cell r="AE5663" t="str"><v>Facebook</v></cell><cell r="AF5663"><v>3654128</v></cell><cell r="AG5663" t="str"><v>Facebook»Audience & Interest Targeting»1x1»SocialBan»LIA»DT»DYN»AUT»W»NA»SS»NA»Free Account Refresh- 12 months ChE</v></cell><cell r="AH5663"><v>223567691</v></cell><cell r="AI5663" t="str"><v>AzurePlatform_FreeAcctAppsFACEBOOK12monthsChE_GBR_1200x628_SOC_PLAT_EN_Trial_Standard_NA_SU_T5_1</v></cell><cell r="AJ5663"><v>102854007</v></cell></row><row r="5664"><cell r="C5664" t="str"><v>43322Facebook»Audience & Interest Targeting»1x1»SocialBan»LIA»DT»DYN»AUT»W»NA»SS»NA»Free Account Refresh- 200 Credit ChD</v></cell><cell r="D5664" t="str"><v>43322223560359</v></cell><cell r="E5664" t="str"><v>43322103005662it ChD</v></cell><cell r="F5664" t="str"><v>DCM</v></cell><cell r="G5664" t="str"><v>https://azure.microsoft.com/en-gb/free/search/</v></cell></row><row r="5664"><cell r="K5664" t="str"><v>August</v></cell><cell r="L5664"><v>43323</v></cell><cell r="M5664" t="str"><v>Tier 1</v></cell><cell r="N5664" t="str"><v>EMEA</v></cell><cell r="O5664" t="str"><v>United Kingdom</v></cell><cell r="P5664" t="str"><v>Trial</v></cell><cell r="Q5664" t="str"><v>Social</v></cell><cell r="R5664" t="str"><v>Azure</v></cell><cell r="S5664" t="str"><v>Apps & Infra</v></cell><cell r="T5664" t="str"><v>Developers & ITI's</v></cell><cell r="U5664" t="str"><v>Audience & Interest Targeting</v></cell><cell r="V5664" t="str"><v>Audience Targeting</v></cell><cell r="W5664" t="str"><v>Link Ad</v></cell><cell r="X5664" t="str"><v>1x1</v></cell></row><row r="5664"><cell r="AA5664"><v>43322</v></cell><cell r="AB5664" t="str"><v>GBR_gaPMG_CE_AZR_Q1_19_Trial-Social</v></cell><cell r="AC5664"><v>21337013</v></cell><cell r="AD5664"><v>720196</v></cell><cell r="AE5664" t="str"><v>Facebook</v></cell><cell r="AF5664"><v>3654128</v></cell><cell r="AG5664" t="str"><v>Facebook»Audience & Interest Targeting»1x1»SocialBan»LIA»DT»DYN»AUT»W»NA»SS»NA»Free Account Refresh- 200 Credit ChD</v></cell><cell r="AH5664"><v>223560359</v></cell><cell r="AI5664" t="str"><v>AzurePlatform_FreeAcctAppsFACEBOOK200CreditChD_GBR_1200x628_SOC_PLAT_EN_Trial_Standard_NA_SU_T4_1</v></cell><cell r="AJ5664"><v>103005662</v></cell></row><row r="5665"><cell r="C5665" t="str"><v>43322Facebook»Audience & Interest Targeting»1x1»SocialBan»LIA»DT»DYN»AUT»W»NA»SS»NA»Free Account Refresh- Device ChB</v></cell><cell r="D5665" t="str"><v>43322223560353</v></cell><cell r="E5665" t="str"><v>43322102854010ce ChB</v></cell><cell r="F5665" t="str"><v>DCM</v></cell><cell r="G5665" t="str"><v>https://azure.microsoft.com/en-gb/free/search/</v></cell></row><row r="5665"><cell r="K5665" t="str"><v>August</v></cell><cell r="L5665"><v>43323</v></cell><cell r="M5665" t="str"><v>Tier 1</v></cell><cell r="N5665" t="str"><v>EMEA</v></cell><cell r="O5665" t="str"><v>United Kingdom</v></cell><cell r="P5665" t="str"><v>Trial</v></cell><cell r="Q5665" t="str"><v>Social</v></cell><cell r="R5665" t="str"><v>Azure</v></cell><cell r="S5665" t="str"><v>Apps & Infra</v></cell><cell r="T5665" t="str"><v>Developers & ITI's</v></cell><cell r="U5665" t="str"><v>Audience & Interest Targeting</v></cell><cell r="V5665" t="str"><v>Audience Targeting</v></cell><cell r="W5665" t="str"><v>Link Ad</v></cell><cell r="X5665" t="str"><v>1x1</v></cell></row><row r="5665"><cell r="AA5665"><v>43322</v></cell><cell r="AB5665" t="str"><v>GBR_gaPMG_CE_AZR_Q1_19_Trial-Social</v></cell><cell r="AC5665"><v>21337013</v></cell><cell r="AD5665"><v>720196</v></cell><cell r="AE5665" t="str"><v>Facebook</v></cell><cell r="AF5665"><v>3654128</v></cell><cell r="AG5665" t="str"><v>Facebook»Audience & Interest Targeting»1x1»SocialBan»LIA»DT»DYN»AUT»W»NA»SS»NA»Free Account Refresh- Device ChB</v></cell><cell r="AH5665"><v>223560353</v></cell><cell r="AI5665" t="str"><v>AzurePlatform_FreeAcctAppsFACEBOOKDeviceChB_GBR_1200x628_SOC_PLAT_EN_Trial_Standard_NA_SU_T2_1</v></cell><cell r="AJ5665"><v>102854010</v></cell></row><row r="5666"><cell r="C5666" t="str"><v>43322Facebook»Audience & Interest Targeting»1x1»SocialBan»LIA»DT»DYN»AUT»W»NA»SS»NA»Free Account Refresh- Illustration ChC</v></cell><cell r="D5666" t="str"><v>43322223560347</v></cell><cell r="E5666" t="str"><v>43322102857037on ChC</v></cell><cell r="F5666" t="str"><v>DCM</v></cell><cell r="G5666" t="str"><v>https://azure.microsoft.com/en-gb/free/search/</v></cell></row><row r="5666"><cell r="K5666" t="str"><v>August</v></cell><cell r="L5666"><v>43323</v></cell><cell r="M5666" t="str"><v>Tier 1</v></cell><cell r="N5666" t="str"><v>EMEA</v></cell><cell r="O5666" t="str"><v>United Kingdom</v></cell><cell r="P5666" t="str"><v>Trial</v></cell><cell r="Q5666" t="str"><v>Social</v></cell><cell r="R5666" t="str"><v>Azure</v></cell><cell r="S5666" t="str"><v>Apps & Infra</v></cell><cell r="T5666" t="str"><v>Developers & ITI's</v></cell><cell r="U5666" t="str"><v>Audience & Interest Targeting</v></cell><cell r="V5666" t="str"><v>Audience Targeting</v></cell><cell r="W5666" t="str"><v>Link Ad</v></cell><cell r="X5666" t="str"><v>1x1</v></cell></row><row r="5666"><cell r="AA5666"><v>43322</v></cell><cell r="AB5666" t="str"><v>GBR_gaPMG_CE_AZR_Q1_19_Trial-Social</v></cell><cell r="AC5666"><v>21337013</v></cell><cell r="AD5666"><v>720196</v></cell><cell r="AE5666" t="str"><v>Facebook</v></cell><cell r="AF5666"><v>3654128</v></cell><cell r="AG5666" t="str"><v>Facebook»Audience & Interest Targeting»1x1»SocialBan»LIA»DT»DYN»AUT»W»NA»SS»NA»Free Account Refresh- Illustration ChC</v></cell><cell r="AH5666"><v>223560347</v></cell><cell r="AI5666" t="str"><v>AzurePlatform_FreeAcctAppsFACEBOOKIllustrationChC_GBR_1200x628_SOC_PLAT_EN_Trial_Standard_NA_SU_T3_1</v></cell><cell r="AJ5666"><v>102857037</v></cell></row><row r="5667"><cell r="C5667" t="str"><v>43322Facebook»Audience & Interest Targeting»1x1»SocialBan»LIA»DT»DYN»AUT»W»NA»SS»NA»Free Account Refresh- Lifestyle ChA</v></cell><cell r="D5667" t="str"><v>43322223560341</v></cell><cell r="E5667" t="str"><v>43322102853597le ChA</v></cell><cell r="F5667" t="str"><v>DCM</v></cell><cell r="G5667" t="str"><v>https://azure.microsoft.com/en-gb/free/search/</v></cell></row><row r="5667"><cell r="K5667" t="str"><v>August</v></cell><cell r="L5667"><v>43323</v></cell><cell r="M5667" t="str"><v>Tier 1</v></cell><cell r="N5667" t="str"><v>EMEA</v></cell><cell r="O5667" t="str"><v>United Kingdom</v></cell><cell r="P5667" t="str"><v>Trial</v></cell><cell r="Q5667" t="str"><v>Social</v></cell><cell r="R5667" t="str"><v>Azure</v></cell><cell r="S5667" t="str"><v>Apps & Infra</v></cell><cell r="T5667" t="str"><v>Developers & ITI's</v></cell><cell r="U5667" t="str"><v>Audience & Interest Targeting</v></cell><cell r="V5667" t="str"><v>Audience Targeting</v></cell><cell r="W5667" t="str"><v>Link Ad</v></cell><cell r="X5667" t="str"><v>1x1</v></cell></row><row r="5667"><cell r="AA5667"><v>43322</v></cell><cell r="AB5667" t="str"><v>GBR_gaPMG_CE_AZR_Q1_19_Trial-Social</v></cell><cell r="AC5667"><v>21337013</v></cell><cell r="AD5667"><v>720196</v></cell><cell r="AE5667" t="str"><v>Facebook</v></cell><cell r="AF5667"><v>3654128</v></cell><cell r="AG5667" t="str"><v>Facebook»Audience & Interest Targeting»1x1»SocialBan»LIA»DT»DYN»AUT»W»NA»SS»NA»Free Account Refresh- Lifestyle ChA</v></cell><cell r="AH5667"><v>223560341</v></cell><cell r="AI5667" t="str"><v>AzurePlatform_FreeAcctAppsFACEBOOKLifestyleChA_GBR_1200x628_SOC_PLAT_EN_Trial_Standard_NA_SU_T1_1</v></cell><cell r="AJ5667"><v>102853597</v></cell></row><row r="5668"><cell r="C5668" t="str"><v>43322Facebook»Retargeting»1x1»SocialBan»LIA»DT»DYN»RT»W»NA»SS»NA»Free Account Retargeting Generic- Animated ChC</v></cell><cell r="D5668" t="str"><v>43322223560299</v></cell><cell r="E5668" t="str"><v>43322102854019ed ChC</v></cell><cell r="F5668" t="str"><v>DCM</v></cell><cell r="G5668" t="str"><v>https://azure.microsoft.com/en-gb/free/search/</v></cell></row><row r="5668"><cell r="K5668" t="str"><v>August</v></cell><cell r="L5668"><v>43323</v></cell><cell r="M5668" t="str"><v>Tier 1</v></cell><cell r="N5668" t="str"><v>EMEA</v></cell><cell r="O5668" t="str"><v>United Kingdom</v></cell><cell r="P5668" t="str"><v>Trial</v></cell><cell r="Q5668" t="str"><v>Social</v></cell><cell r="R5668" t="str"><v>Azure</v></cell><cell r="S5668" t="str"><v>Apps & Infra</v></cell><cell r="T5668" t="str"><v>Developers & ITI's</v></cell><cell r="U5668" t="str"><v>Retargeting</v></cell><cell r="V5668" t="str"><v>Retargeting</v></cell><cell r="W5668" t="str"><v>Link Ad</v></cell><cell r="X5668" t="str"><v>1x1</v></cell></row><row r="5668"><cell r="AA5668"><v>43322</v></cell><cell r="AB5668" t="str"><v>GBR_gaPMG_CE_AZR_Q1_19_Trial-Social</v></cell><cell r="AC5668"><v>21337013</v></cell><cell r="AD5668"><v>720196</v></cell><cell r="AE5668" t="str"><v>Facebook</v></cell><cell r="AF5668"><v>3654128</v></cell><cell r="AG5668" t="str"><v>Facebook»Retargeting»1x1»SocialBan»LIA»DT»DYN»RT»W»NA»SS»NA»Free Account Retargeting Generic- Animated ChC</v></cell><cell r="AH5668"><v>223560299</v></cell><cell r="AI5668" t="str"><v>AzurePlatform_FreeAcctRetargetingFB-Animated-ChC_GBR_1200x628_SOC_Plat_EN_Free Account_Standard_ANI_SU_T3_1</v></cell><cell r="AJ5668"><v>102854019</v></cell></row><row r="5669"><cell r="C5669" t="str"><v>43322Facebook»Retargeting»1x1»SocialBan»LIA»DT»DYN»RT»W»NA»SS»NA»Free Account Retargeting Generic- Global Alt ChB</v></cell><cell r="D5669" t="str"><v>43322223560356</v></cell><cell r="E5669" t="str"><v>43322102854016lt ChB</v></cell><cell r="F5669" t="str"><v>DCM</v></cell><cell r="G5669" t="str"><v>https://azure.microsoft.com/en-gb/free/search/</v></cell></row><row r="5669"><cell r="K5669" t="str"><v>August</v></cell><cell r="L5669"><v>43323</v></cell><cell r="M5669" t="str"><v>Tier 1</v></cell><cell r="N5669" t="str"><v>EMEA</v></cell><cell r="O5669" t="str"><v>United Kingdom</v></cell><cell r="P5669" t="str"><v>Trial</v></cell><cell r="Q5669" t="str"><v>Social</v></cell><cell r="R5669" t="str"><v>Azure</v></cell><cell r="S5669" t="str"><v>Apps & Infra</v></cell><cell r="T5669" t="str"><v>Developers & ITI's</v></cell><cell r="U5669" t="str"><v>Retargeting</v></cell><cell r="V5669" t="str"><v>Retargeting</v></cell><cell r="W5669" t="str"><v>Link Ad</v></cell><cell r="X5669" t="str"><v>1x1</v></cell></row><row r="5669"><cell r="AA5669"><v>43322</v></cell><cell r="AB5669" t="str"><v>GBR_gaPMG_CE_AZR_Q1_19_Trial-Social</v></cell><cell r="AC5669"><v>21337013</v></cell><cell r="AD5669"><v>720196</v></cell><cell r="AE5669" t="str"><v>Facebook</v></cell><cell r="AF5669"><v>3654128</v></cell><cell r="AG5669" t="str"><v>Facebook»Retargeting»1x1»SocialBan»LIA»DT»DYN»RT»W»NA»SS»NA»Free Account Retargeting Generic- Global Alt ChB</v></cell><cell r="AH5669"><v>223560356</v></cell><cell r="AI5669" t="str"><v>AzurePlatform_FreeAcctRetargetingFB-GlobalAlt-ChB_GBR_1200x628_SOC_Plat_EN_Free Account_Standard_NA_SU_T2_1</v></cell><cell r="AJ5669"><v>102854016</v></cell></row><row r="5670"><cell r="C5670" t="str"><v>43322Facebook»Retargeting»1x1»SocialBan»LIA»DT»DYN»RT»W»NA»SS»NA»Free Account Retargeting OSS- Logos ChG</v></cell><cell r="D5670" t="str"><v>43322223560350</v></cell><cell r="E5670" t="str"><v>43322103006547os ChG</v></cell><cell r="F5670" t="str"><v>DCM</v></cell><cell r="G5670" t="str"><v>https://azure.microsoft.com/en-gb/free/open-source/search/</v></cell></row><row r="5670"><cell r="K5670" t="str"><v>August</v></cell><cell r="L5670"><v>43323</v></cell><cell r="M5670" t="str"><v>Tier 1</v></cell><cell r="N5670" t="str"><v>EMEA</v></cell><cell r="O5670" t="str"><v>United Kingdom</v></cell><cell r="P5670" t="str"><v>Trial</v></cell><cell r="Q5670" t="str"><v>Social</v></cell><cell r="R5670" t="str"><v>Azure</v></cell><cell r="S5670" t="str"><v>Apps & Infra</v></cell><cell r="T5670" t="str"><v>Developers & ITI's</v></cell><cell r="U5670" t="str"><v>Retargeting</v></cell><cell r="V5670" t="str"><v>Retargeting</v></cell><cell r="W5670" t="str"><v>Link Ad</v></cell><cell r="X5670" t="str"><v>1x1</v></cell></row><row r="5670"><cell r="AA5670"><v>43322</v></cell><cell r="AB5670" t="str"><v>GBR_gaPMG_CE_AZR_Q1_19_Trial-Social</v></cell><cell r="AC5670"><v>21337013</v></cell><cell r="AD5670"><v>720196</v></cell><cell r="AE5670" t="str"><v>Facebook</v></cell><cell r="AF5670"><v>3654128</v></cell><cell r="AG5670" t="str"><v>Facebook»Retargeting»1x1»SocialBan»LIA»DT»DYN»RT»W»NA»SS»NA»Free Account Retargeting OSS- Logos ChG</v></cell><cell r="AH5670"><v>223560350</v></cell><cell r="AI5670" t="str"><v>AzurePlatform_FreeAcctRetargetingOSSFB-Logos-ChG_GBR_1200x628_SOC_Plat_EN_Free Account_Standard_NA_SU_T2_1</v></cell><cell r="AJ5670"><v>103006547</v></cell></row><row r="5671"><cell r="C5671" t="str"><v>43322Facebook»Retargeting»1x1»SocialBan»LIA»DT»DYN»RT»W»NA»SS»NA»Free Account Retargeting OSS- Text ChF</v></cell><cell r="D5671" t="str"><v>43322223560344</v></cell><cell r="E5671" t="str"><v>43322102861246xt ChF</v></cell><cell r="F5671" t="str"><v>DCM</v></cell><cell r="G5671" t="str"><v>https://azure.microsoft.com/en-gb/free/open-source/search/</v></cell></row><row r="5671"><cell r="K5671" t="str"><v>August</v></cell><cell r="L5671"><v>43323</v></cell><cell r="M5671" t="str"><v>Tier 1</v></cell><cell r="N5671" t="str"><v>EMEA</v></cell><cell r="O5671" t="str"><v>United Kingdom</v></cell><cell r="P5671" t="str"><v>Trial</v></cell><cell r="Q5671" t="str"><v>Social</v></cell><cell r="R5671" t="str"><v>Azure</v></cell><cell r="S5671" t="str"><v>Apps & Infra</v></cell><cell r="T5671" t="str"><v>Developers & ITI's</v></cell><cell r="U5671" t="str"><v>Retargeting</v></cell><cell r="V5671" t="str"><v>Retargeting</v></cell><cell r="W5671" t="str"><v>Link Ad</v></cell><cell r="X5671" t="str"><v>1x1</v></cell></row><row r="5671"><cell r="AA5671"><v>43322</v></cell><cell r="AB5671" t="str"><v>GBR_gaPMG_CE_AZR_Q1_19_Trial-Social</v></cell><cell r="AC5671"><v>21337013</v></cell><cell r="AD5671"><v>720196</v></cell><cell r="AE5671" t="str"><v>Facebook</v></cell><cell r="AF5671"><v>3654128</v></cell><cell r="AG5671" t="str"><v>Facebook»Retargeting»1x1»SocialBan»LIA»DT»DYN»RT»W»NA»SS»NA»Free Account Retargeting OSS- Text ChF</v></cell><cell r="AH5671"><v>223560344</v></cell><cell r="AI5671" t="str"><v>AzurePlatform_FreeAcctRetargetingOSSFB-Text-ChF_GBR_1200x628_SOC_Plat_EN_Free Account_Standard_NA_SU_T1_1</v></cell><cell r="AJ5671"><v>102861246</v></cell></row><row r="5672"><cell r="C5672" t="str"><v>43322Facebook»Retargeting»1x1»SocialBan»LIA»DT»DYN»RT»W»NA»SS»NA»Free Account Retargeting VM- 750 Hrs ChD</v></cell><cell r="D5672" t="str"><v>43322223560338</v></cell><cell r="E5672" t="str"><v>43322102853603rs ChD</v></cell><cell r="F5672" t="str"><v>DCM</v></cell><cell r="G5672" t="str"><v>https://azure.microsoft.com/en-gb/free/virtual-machines/search/</v></cell></row><row r="5672"><cell r="K5672" t="str"><v>August</v></cell><cell r="L5672"><v>43323</v></cell><cell r="M5672" t="str"><v>Tier 1</v></cell><cell r="N5672" t="str"><v>EMEA</v></cell><cell r="O5672" t="str"><v>United Kingdom</v></cell><cell r="P5672" t="str"><v>Trial</v></cell><cell r="Q5672" t="str"><v>Social</v></cell><cell r="R5672" t="str"><v>Azure</v></cell><cell r="S5672" t="str"><v>Apps & Infra</v></cell><cell r="T5672" t="str"><v>Developers & ITI's</v></cell><cell r="U5672" t="str"><v>Retargeting</v></cell><cell r="V5672" t="str"><v>Retargeting</v></cell><cell r="W5672" t="str"><v>Link Ad</v></cell><cell r="X5672" t="str"><v>1x1</v></cell></row><row r="5672"><cell r="AA5672"><v>43322</v></cell><cell r="AB5672" t="str"><v>GBR_gaPMG_CE_AZR_Q1_19_Trial-Social</v></cell><cell r="AC5672"><v>21337013</v></cell><cell r="AD5672"><v>720196</v></cell><cell r="AE5672" t="str"><v>Facebook</v></cell><cell r="AF5672"><v>3654128</v></cell><cell r="AG5672" t="str"><v>Facebook»Retargeting»1x1»SocialBan»LIA»DT»DYN»RT»W»NA»SS»NA»Free Account Retargeting VM- 750 Hrs ChD</v></cell><cell r="AH5672"><v>223560338</v></cell><cell r="AI5672" t="str"><v>AzurePlatform_FreeAcctRetargetingVMFB-750Hrs-ChD_GBR_1200x628_SOC_Plat_EN_Free Account_Standard_NA_SU_T1_1</v></cell><cell r="AJ5672"><v>102853603</v></cell></row><row r="5673"><cell r="C5673" t="str"><v>43322Facebook»Retargeting»1x1»SocialBan»LIA»DT»DYN»RT»W»NA»SS»NA»Free Account Retargeting VM- On Demand ChE</v></cell><cell r="D5673" t="str"><v>43322223560332</v></cell><cell r="E5673" t="str"><v>43322102854037nd ChE</v></cell><cell r="F5673" t="str"><v>DCM</v></cell><cell r="G5673" t="str"><v>https://azure.microsoft.com/en-gb/free/virtual-machines/search/</v></cell></row><row r="5673"><cell r="K5673" t="str"><v>August</v></cell><cell r="L5673"><v>43323</v></cell><cell r="M5673" t="str"><v>Tier 1</v></cell><cell r="N5673" t="str"><v>EMEA</v></cell><cell r="O5673" t="str"><v>United Kingdom</v></cell><cell r="P5673" t="str"><v>Trial</v></cell><cell r="Q5673" t="str"><v>Social</v></cell><cell r="R5673" t="str"><v>Azure</v></cell><cell r="S5673" t="str"><v>Apps & Infra</v></cell><cell r="T5673" t="str"><v>Developers & ITI's</v></cell><cell r="U5673" t="str"><v>Retargeting</v></cell><cell r="V5673" t="str"><v>Retargeting</v></cell><cell r="W5673" t="str"><v>Link Ad</v></cell><cell r="X5673" t="str"><v>1x1</v></cell></row><row r="5673"><cell r="AA5673"><v>43322</v></cell><cell r="AB5673" t="str"><v>GBR_gaPMG_CE_AZR_Q1_19_Trial-Social</v></cell><cell r="AC5673"><v>21337013</v></cell><cell r="AD5673"><v>720196</v></cell><cell r="AE5673" t="str"><v>Facebook</v></cell><cell r="AF5673"><v>3654128</v></cell><cell r="AG5673" t="str"><v>Facebook»Retargeting»1x1»SocialBan»LIA»DT»DYN»RT»W»NA»SS»NA»Free Account Retargeting VM- On Demand ChE</v></cell><cell r="AH5673"><v>223560332</v></cell><cell r="AI5673" t="str"><v>AzurePlatform_FreeAcctRetargetingVMFB-OnDemand-ChE_GBR_1200x628_SOC_Plat_EN_Free Account_Standard_NA_SU_T2_1</v></cell><cell r="AJ5673"><v>102854037</v></cell></row><row r="5674"><cell r="C5674" t="str"><v>43322Facebook»Audience & Interest Targeting- Azure Trial Lookalikes»1x1»TextLink»CAN»MO»CPM»AUT»W»NA»SS»NA»Free Account Developer- Generic</v></cell><cell r="D5674" t="str"><v>43322226794002</v></cell><cell r="E5674" t="str"><v>43322103230847eneric</v></cell><cell r="F5674" t="str"><v>DCM</v></cell><cell r="G5674" t="str"><v>https://azure.microsoft.com/en-gb/pricing/purchase-options/</v></cell></row><row r="5674"><cell r="K5674" t="str"><v>August</v></cell><cell r="L5674"><v>43323</v></cell><cell r="M5674" t="str"><v>Tier 1</v></cell><cell r="N5674" t="str"><v>EMEA</v></cell><cell r="O5674" t="str"><v>United Kingdom</v></cell><cell r="P5674" t="str"><v>Trial</v></cell><cell r="Q5674" t="str"><v>Social</v></cell><cell r="R5674" t="str"><v>Azure</v></cell><cell r="S5674" t="str"><v>Apps & Infra</v></cell><cell r="T5674" t="str"><v>Developers & ITI's</v></cell><cell r="U5674" t="str"><v>Audience & Interest Targeting- Azure Trial Lookalikes</v></cell><cell r="V5674" t="str"><v>Audience Targeting</v></cell><cell r="W5674" t="str"><v>Canvas Ad</v></cell><cell r="X5674" t="str"><v>1x1</v></cell></row><row r="5674"><cell r="AA5674"><v>43322</v></cell><cell r="AB5674" t="str"><v>GBR_gaPMG_CE_AZR_Q1_19_Trial-Social</v></cell><cell r="AC5674"><v>21337013</v></cell><cell r="AD5674"><v>720196</v></cell><cell r="AE5674" t="str"><v>Facebook</v></cell><cell r="AF5674"><v>3654128</v></cell><cell r="AG5674" t="str"><v>Facebook»Audience & Interest Targeting- Azure Trial Lookalikes»1x1»TextLink»CAN»MO»CPM»AUT»W»NA»SS»NA»Free Account Developer- Generic</v></cell><cell r="AH5674"><v>226794002</v></cell><cell r="AI5674" t="str"><v>AzurePlatform_FBCTCcanvaspage-BuyNowCTA-Img3_GBR_1080x162_SOC_Plat_English_NA_Standard_NA_BN_T3_1</v></cell><cell r="AJ5674"><v>103230847</v></cell></row><row r="5675"><cell r="C5675" t="str"><v>43322Facebook»Audience & Interest Targeting- Azure Trial Lookalikes»1x1»TextLink»CAN»MO»CPM»AUT»W»NA»SS»NA»Free Account Developer- Generic</v></cell><cell r="D5675" t="str"><v>43322226794002</v></cell><cell r="E5675" t="str"><v>43322103235146eneric</v></cell><cell r="F5675" t="str"><v>DCM</v></cell><cell r="G5675" t="str"><v>https://signup.azure.com/signup?offer=ms-azr-0044p&appId=102&ref=paidmedia-social-fb&redirectURL=https%3a%2f%2fazure.microsoft.com%2fen-gb%2fget-started%2fwelcome-to-azure%2f&l=en-gb&correlationId=ead86c34-1f10-49dd-a72b-6918462a2cbf</v></cell></row><row r="5675"><cell r="K5675" t="str"><v>August</v></cell><cell r="L5675"><v>43323</v></cell><cell r="M5675" t="str"><v>Tier 1</v></cell><cell r="N5675" t="str"><v>EMEA</v></cell><cell r="O5675" t="str"><v>United Kingdom</v></cell><cell r="P5675" t="str"><v>Trial</v></cell><cell r="Q5675" t="str"><v>Social</v></cell><cell r="R5675" t="str"><v>Azure</v></cell><cell r="S5675" t="str"><v>Apps & Infra</v></cell><cell r="T5675" t="str"><v>Developers & ITI's</v></cell><cell r="U5675" t="str"><v>Audience & Interest Targeting- Azure Trial Lookalikes</v></cell><cell r="V5675" t="str"><v>Audience Targeting</v></cell><cell r="W5675" t="str"><v>Canvas Ad</v></cell><cell r="X5675" t="str"><v>1x1</v></cell></row><row r="5675"><cell r="AA5675"><v>43322</v></cell><cell r="AB5675" t="str"><v>GBR_gaPMG_CE_AZR_Q1_19_Trial-Social</v></cell><cell r="AC5675"><v>21337013</v></cell><cell r="AD5675"><v>720196</v></cell><cell r="AE5675" t="str"><v>Facebook</v></cell><cell r="AF5675"><v>3654128</v></cell><cell r="AG5675" t="str"><v>Facebook»Audience & Interest Targeting- Azure Trial Lookalikes»1x1»TextLink»CAN»MO»CPM»AUT»W»NA»SS»NA»Free Account Developer- Generic</v></cell><cell r="AH5675"><v>226794002</v></cell><cell r="AI5675" t="str"><v>AzurePlatform_FBCTCcanvaspage-StartFreeCTA-Img2_GBR_1080x143 _SOC_Plat_English_NA_Standard_NA_NA_T2_1</v></cell><cell r="AJ5675"><v>103235146</v></cell></row><row r="5676"><cell r="C5676" t="str"><v>43322Facebook»Audience & Interest Targeting- Azure Trial PayGo Lookalikes»1x1»TextLink»CAN»MO»CPM»AUT»W»NA»SS»NA»Free Account Developer- Generic</v></cell><cell r="D5676" t="str"><v>43322226887154</v></cell><cell r="E5676" t="str"><v>43322103230847eneric</v></cell><cell r="F5676" t="str"><v>DCM</v></cell><cell r="G5676" t="str"><v>https://azure.microsoft.com/en-gb/pricing/purchase-options/</v></cell></row><row r="5676"><cell r="K5676" t="str"><v>August</v></cell><cell r="L5676"><v>43323</v></cell><cell r="M5676" t="str"><v>Tier 1</v></cell><cell r="N5676" t="str"><v>EMEA</v></cell><cell r="O5676" t="str"><v>United Kingdom</v></cell><cell r="P5676" t="str"><v>Trial</v></cell><cell r="Q5676" t="str"><v>Social</v></cell><cell r="R5676" t="str"><v>Azure</v></cell><cell r="S5676" t="str"><v>Apps & Infra</v></cell><cell r="T5676" t="str"><v>Developers & ITI's</v></cell><cell r="U5676" t="str"><v>Audience & Interest Targeting- Azure Trial PayGo Lookalikes</v></cell><cell r="V5676" t="str"><v>Audience Targeting</v></cell><cell r="W5676" t="str"><v>Canvas Ad</v></cell><cell r="X5676" t="str"><v>1x1</v></cell></row><row r="5676"><cell r="AA5676"><v>43322</v></cell><cell r="AB5676" t="str"><v>GBR_gaPMG_CE_AZR_Q1_19_Trial-Social</v></cell><cell r="AC5676"><v>21337013</v></cell><cell r="AD5676"><v>720196</v></cell><cell r="AE5676" t="str"><v>Facebook</v></cell><cell r="AF5676"><v>3654128</v></cell><cell r="AG5676" t="str"><v>Facebook»Audience & Interest Targeting- Azure Trial PayGo Lookalikes»1x1»TextLink»CAN»MO»CPM»AUT»W»NA»SS»NA»Free Account Developer- Generic</v></cell><cell r="AH5676"><v>226887154</v></cell><cell r="AI5676" t="str"><v>AzurePlatform_FBCTCcanvaspage-BuyNowCTA-Img3_GBR_1080x162_SOC_Plat_English_NA_Standard_NA_BN_T3_1</v></cell><cell r="AJ5676"><v>103230847</v></cell></row><row r="5677"><cell r="C5677" t="str"><v>43322Facebook»Audience & Interest Targeting- Azure Trial PayGo Lookalikes»1x1»TextLink»CAN»MO»CPM»AUT»W»NA»SS»NA»Free Account Developer- Generic</v></cell><cell r="D5677" t="str"><v>43322226887154</v></cell><cell r="E5677" t="str"><v>43322103235146eneric</v></cell><cell r="F5677" t="str"><v>DCM</v></cell><cell r="G5677" t="str"><v>https://signup.azure.com/signup?offer=ms-azr-0044p&appId=102&ref=paidmedia-social-fb&redirectURL=https%3a%2f%2fazure.microsoft.com%2fen-gb%2fget-started%2fwelcome-to-azure%2f&l=en-gb&correlationId=ead86c34-1f10-49dd-a72b-6918462a2cbf</v></cell></row><row r="5677"><cell r="K5677" t="str"><v>August</v></cell><cell r="L5677"><v>43323</v></cell><cell r="M5677" t="str"><v>Tier 1</v></cell><cell r="N5677" t="str"><v>EMEA</v></cell><cell r="O5677" t="str"><v>United Kingdom</v></cell><cell r="P5677" t="str"><v>Trial</v></cell><cell r="Q5677" t="str"><v>Social</v></cell><cell r="R5677" t="str"><v>Azure</v></cell><cell r="S5677" t="str"><v>Apps & Infra</v></cell><cell r="T5677" t="str"><v>Developers & ITI's</v></cell><cell r="U5677" t="str"><v>Audience & Interest Targeting- Azure Trial PayGo Lookalikes</v></cell><cell r="V5677" t="str"><v>Audience Targeting</v></cell><cell r="W5677" t="str"><v>Canvas Ad</v></cell><cell r="X5677" t="str"><v>1x1</v></cell></row><row r="5677"><cell r="AA5677"><v>43322</v></cell><cell r="AB5677" t="str"><v>GBR_gaPMG_CE_AZR_Q1_19_Trial-Social</v></cell><cell r="AC5677"><v>21337013</v></cell><cell r="AD5677"><v>720196</v></cell><cell r="AE5677" t="str"><v>Facebook</v></cell><cell r="AF5677"><v>3654128</v></cell><cell r="AG5677" t="str"><v>Facebook»Audience & Interest Targeting- Azure Trial PayGo Lookalikes»1x1»TextLink»CAN»MO»CPM»AUT»W»NA»SS»NA»Free Account Developer- Generic</v></cell><cell r="AH5677"><v>226887154</v></cell><cell r="AI5677" t="str"><v>AzurePlatform_FBCTCcanvaspage-StartFreeCTA-Img2_GBR_1080x143 _SOC_Plat_English_NA_Standard_NA_NA_T2_1</v></cell><cell r="AJ5677"><v>103235146</v></cell></row><row r="5678"><cell r="C5678" t="str"><v>43322Facebook»Audience & Interest Targeting- Azure Trial PayGo Lookalikes»1x1»TextLink»CAN»MO»CPM»AUT»W»NA»SS»NA»Free Account Developer- Open Source</v></cell><cell r="D5678" t="str"><v>43322226889134</v></cell><cell r="E5678" t="str"><v>43322103230847Source</v></cell><cell r="F5678" t="str"><v>DCM</v></cell><cell r="G5678" t="str"><v>https://azure.microsoft.com/en-gb/pricing/purchase-options/</v></cell></row><row r="5678"><cell r="K5678" t="str"><v>August</v></cell><cell r="L5678"><v>43323</v></cell><cell r="M5678" t="str"><v>Tier 1</v></cell><cell r="N5678" t="str"><v>EMEA</v></cell><cell r="O5678" t="str"><v>United Kingdom</v></cell><cell r="P5678" t="str"><v>Trial</v></cell><cell r="Q5678" t="str"><v>Social</v></cell><cell r="R5678" t="str"><v>Azure</v></cell><cell r="S5678" t="str"><v>Apps & Infra</v></cell><cell r="T5678" t="str"><v>Developers & ITI's</v></cell><cell r="U5678" t="str"><v>Audience & Interest Targeting- Azure Trial PayGo Lookalikes</v></cell><cell r="V5678" t="str"><v>Audience Targeting</v></cell><cell r="W5678" t="str"><v>Canvas Ad</v></cell><cell r="X5678" t="str"><v>1x1</v></cell></row><row r="5678"><cell r="AA5678"><v>43322</v></cell><cell r="AB5678" t="str"><v>GBR_gaPMG_CE_AZR_Q1_19_Trial-Social</v></cell><cell r="AC5678"><v>21337013</v></cell><cell r="AD5678"><v>720196</v></cell><cell r="AE5678" t="str"><v>Facebook</v></cell><cell r="AF5678"><v>3654128</v></cell><cell r="AG5678" t="str"><v>Facebook»Audience & Interest Targeting- Azure Trial PayGo Lookalikes»1x1»TextLink»CAN»MO»CPM»AUT»W»NA»SS»NA»Free Account Developer- Open Source</v></cell><cell r="AH5678"><v>226889134</v></cell><cell r="AI5678" t="str"><v>AzurePlatform_FBCTCcanvaspage-BuyNowCTA-Img3_GBR_1080x162_SOC_Plat_English_NA_Standard_NA_BN_T3_1</v></cell><cell r="AJ5678"><v>103230847</v></cell></row><row r="5679"><cell r="C5679" t="str"><v>43322Facebook»Audience & Interest Targeting- Azure Trial PayGo Lookalikes»1x1»TextLink»CAN»MO»CPM»AUT»W»NA»SS»NA»Free Account Developer- Open Source</v></cell><cell r="D5679" t="str"><v>43322226889134</v></cell><cell r="E5679" t="str"><v>43322103235146Source</v></cell><cell r="F5679" t="str"><v>DCM</v></cell><cell r="G5679" t="str"><v>https://signup.azure.com/signup?offer=ms-azr-0044p&appId=102&ref=paidmedia-social-fb&redirectURL=https%3a%2f%2fazure.microsoft.com%2fen-gb%2fget-started%2fwelcome-to-azure%2f&l=en-gb&correlationId=ead86c34-1f10-49dd-a72b-6918462a2cbf</v></cell></row><row r="5679"><cell r="K5679" t="str"><v>August</v></cell><cell r="L5679"><v>43323</v></cell><cell r="M5679" t="str"><v>Tier 1</v></cell><cell r="N5679" t="str"><v>EMEA</v></cell><cell r="O5679" t="str"><v>United Kingdom</v></cell><cell r="P5679" t="str"><v>Trial</v></cell><cell r="Q5679" t="str"><v>Social</v></cell><cell r="R5679" t="str"><v>Azure</v></cell><cell r="S5679" t="str"><v>Apps & Infra</v></cell><cell r="T5679" t="str"><v>Developers & ITI's</v></cell><cell r="U5679" t="str"><v>Audience & Interest Targeting- Azure Trial PayGo Lookalikes</v></cell><cell r="V5679" t="str"><v>Audience Targeting</v></cell><cell r="W5679" t="str"><v>Canvas Ad</v></cell><cell r="X5679" t="str"><v>1x1</v></cell></row><row r="5679"><cell r="AA5679"><v>43322</v></cell><cell r="AB5679" t="str"><v>GBR_gaPMG_CE_AZR_Q1_19_Trial-Social</v></cell><cell r="AC5679"><v>21337013</v></cell><cell r="AD5679"><v>720196</v></cell><cell r="AE5679" t="str"><v>Facebook</v></cell><cell r="AF5679"><v>3654128</v></cell><cell r="AG5679" t="str"><v>Facebook»Audience & Interest Targeting- Azure Trial PayGo Lookalikes»1x1»TextLink»CAN»MO»CPM»AUT»W»NA»SS»NA»Free Account Developer- Open Source</v></cell><cell r="AH5679"><v>226889134</v></cell><cell r="AI5679" t="str"><v>AzurePlatform_FBCTCcanvaspage-StartFreeCTA-Img2_GBR_1080x143 _SOC_Plat_English_NA_Standard_NA_NA_T2_1</v></cell><cell r="AJ5679"><v>103235146</v></cell></row><row r="5680"><cell r="C5680" t="str"><v>43322Facebook»Retargeting»1x1»TextLink»CAN»MO»CPM»AUT»W»NA»SS»NA»Free Account Retargeting Generic- Animated</v></cell><cell r="D5680" t="str"><v>43322226889164</v></cell><cell r="E5680" t="str"><v>43322103230847imated</v></cell><cell r="F5680" t="str"><v>DCM</v></cell><cell r="G5680" t="str"><v>https://azure.microsoft.com/en-gb/pricing/purchase-options/</v></cell></row><row r="5680"><cell r="K5680" t="str"><v>August</v></cell><cell r="L5680"><v>43323</v></cell><cell r="M5680" t="str"><v>Tier 1</v></cell><cell r="N5680" t="str"><v>EMEA</v></cell><cell r="O5680" t="str"><v>United Kingdom</v></cell><cell r="P5680" t="str"><v>Trial</v></cell><cell r="Q5680" t="str"><v>Social</v></cell><cell r="R5680" t="str"><v>Azure</v></cell><cell r="S5680" t="str"><v>Apps & Infra</v></cell><cell r="T5680" t="str"><v>Developers & ITI's</v></cell><cell r="U5680" t="str"><v>Retargeting</v></cell><cell r="V5680" t="str"><v>Audience Targeting</v></cell><cell r="W5680" t="str"><v>Canvas Ad</v></cell><cell r="X5680" t="str"><v>1x1</v></cell></row><row r="5680"><cell r="AA5680"><v>43322</v></cell><cell r="AB5680" t="str"><v>GBR_gaPMG_CE_AZR_Q1_19_Trial-Social</v></cell><cell r="AC5680"><v>21337013</v></cell><cell r="AD5680"><v>720196</v></cell><cell r="AE5680" t="str"><v>Facebook</v></cell><cell r="AF5680"><v>3654128</v></cell><cell r="AG5680" t="str"><v>Facebook»Retargeting»1x1»TextLink»CAN»MO»CPM»AUT»W»NA»SS»NA»Free Account Retargeting Generic- Animated</v></cell><cell r="AH5680"><v>226889164</v></cell><cell r="AI5680" t="str"><v>AzurePlatform_FBCTCcanvaspage-BuyNowCTA-Img3_GBR_1080x162_SOC_Plat_English_NA_Standard_NA_BN_T3_1</v></cell><cell r="AJ5680"><v>103230847</v></cell></row><row r="5681"><cell r="C5681" t="str"><v>43322Facebook»Retargeting»1x1»TextLink»CAN»MO»CPM»AUT»W»NA»SS»NA»Free Account Retargeting Generic- Animated</v></cell><cell r="D5681" t="str"><v>43322226889164</v></cell><cell r="E5681" t="str"><v>43322103235146imated</v></cell><cell r="F5681" t="str"><v>DCM</v></cell><cell r="G5681" t="str"><v>https://signup.azure.com/signup?offer=ms-azr-0044p&appId=102&ref=paidmedia-social-fb&redirectURL=https%3a%2f%2fazure.microsoft.com%2fen-gb%2fget-started%2fwelcome-to-azure%2f&l=en-gb&correlationId=ead86c34-1f10-49dd-a72b-6918462a2cbf</v></cell></row><row r="5681"><cell r="K5681" t="str"><v>August</v></cell><cell r="L5681"><v>43323</v></cell><cell r="M5681" t="str"><v>Tier 1</v></cell><cell r="N5681" t="str"><v>EMEA</v></cell><cell r="O5681" t="str"><v>United Kingdom</v></cell><cell r="P5681" t="str"><v>Trial</v></cell><cell r="Q5681" t="str"><v>Social</v></cell><cell r="R5681" t="str"><v>Azure</v></cell><cell r="S5681" t="str"><v>Apps & Infra</v></cell><cell r="T5681" t="str"><v>Developers & ITI's</v></cell><cell r="U5681" t="str"><v>Retargeting</v></cell><cell r="V5681" t="str"><v>Audience Targeting</v></cell><cell r="W5681" t="str"><v>Canvas Ad</v></cell><cell r="X5681" t="str"><v>1x1</v></cell></row><row r="5681"><cell r="AA5681"><v>43322</v></cell><cell r="AB5681" t="str"><v>GBR_gaPMG_CE_AZR_Q1_19_Trial-Social</v></cell><cell r="AC5681"><v>21337013</v></cell><cell r="AD5681"><v>720196</v></cell><cell r="AE5681" t="str"><v>Facebook</v></cell><cell r="AF5681"><v>3654128</v></cell><cell r="AG5681" t="str"><v>Facebook»Retargeting»1x1»TextLink»CAN»MO»CPM»AUT»W»NA»SS»NA»Free Account Retargeting Generic- Animated</v></cell><cell r="AH5681"><v>226889164</v></cell><cell r="AI5681" t="str"><v>AzurePlatform_FBCTCcanvaspage-StartFreeCTA-Img2_GBR_1080x143 _SOC_Plat_English_NA_Standard_NA_NA_T2_1</v></cell><cell r="AJ5681"><v>103235146</v></cell></row><row r="5682"><cell r="C5682" t="str"><v>43322Facebook»Retargeting»1x1»TextLink»CAN»MO»CPM»AUT»W»NA»SS»NA»Free Account Retargeting Generic- Global Alt</v></cell><cell r="D5682" t="str"><v>43322226889149</v></cell><cell r="E5682" t="str"><v>43322103230847al Alt</v></cell><cell r="F5682" t="str"><v>DCM</v></cell><cell r="G5682" t="str"><v>https://azure.microsoft.com/en-gb/pricing/purchase-options/</v></cell></row><row r="5682"><cell r="K5682" t="str"><v>August</v></cell><cell r="L5682"><v>43323</v></cell><cell r="M5682" t="str"><v>Tier 1</v></cell><cell r="N5682" t="str"><v>EMEA</v></cell><cell r="O5682" t="str"><v>United Kingdom</v></cell><cell r="P5682" t="str"><v>Trial</v></cell><cell r="Q5682" t="str"><v>Social</v></cell><cell r="R5682" t="str"><v>Azure</v></cell><cell r="S5682" t="str"><v>Apps & Infra</v></cell><cell r="T5682" t="str"><v>Developers & ITI's</v></cell><cell r="U5682" t="str"><v>Retargeting</v></cell><cell r="V5682" t="str"><v>Audience Targeting</v></cell><cell r="W5682" t="str"><v>Canvas Ad</v></cell><cell r="X5682" t="str"><v>1x1</v></cell></row><row r="5682"><cell r="AA5682"><v>43322</v></cell><cell r="AB5682" t="str"><v>GBR_gaPMG_CE_AZR_Q1_19_Trial-Social</v></cell><cell r="AC5682"><v>21337013</v></cell><cell r="AD5682"><v>720196</v></cell><cell r="AE5682" t="str"><v>Facebook</v></cell><cell r="AF5682"><v>3654128</v></cell><cell r="AG5682" t="str"><v>Facebook»Retargeting»1x1»TextLink»CAN»MO»CPM»AUT»W»NA»SS»NA»Free Account Retargeting Generic- Global Alt</v></cell><cell r="AH5682"><v>226889149</v></cell><cell r="AI5682" t="str"><v>AzurePlatform_FBCTCcanvaspage-BuyNowCTA-Img3_GBR_1080x162_SOC_Plat_English_NA_Standard_NA_BN_T3_1</v></cell><cell r="AJ5682"><v>103230847</v></cell></row><row r="5683"><cell r="C5683" t="str"><v>43322Facebook»Retargeting»1x1»TextLink»CAN»MO»CPM»AUT»W»NA»SS»NA»Free Account Retargeting Generic- Global Alt</v></cell><cell r="D5683" t="str"><v>43322226889149</v></cell><cell r="E5683" t="str"><v>43322103235146al Alt</v></cell><cell r="F5683" t="str"><v>DCM</v></cell><cell r="G5683" t="str"><v>https://signup.azure.com/signup?offer=ms-azr-0044p&appId=102&ref=paidmedia-social-fb&redirectURL=https%3a%2f%2fazure.microsoft.com%2fen-gb%2fget-started%2fwelcome-to-azure%2f&l=en-gb&correlationId=ead86c34-1f10-49dd-a72b-6918462a2cbf</v></cell></row><row r="5683"><cell r="K5683" t="str"><v>August</v></cell><cell r="L5683"><v>43323</v></cell><cell r="M5683" t="str"><v>Tier 1</v></cell><cell r="N5683" t="str"><v>EMEA</v></cell><cell r="O5683" t="str"><v>United Kingdom</v></cell><cell r="P5683" t="str"><v>Trial</v></cell><cell r="Q5683" t="str"><v>Social</v></cell><cell r="R5683" t="str"><v>Azure</v></cell><cell r="S5683" t="str"><v>Apps & Infra</v></cell><cell r="T5683" t="str"><v>Developers & ITI's</v></cell><cell r="U5683" t="str"><v>Retargeting</v></cell><cell r="V5683" t="str"><v>Audience Targeting</v></cell><cell r="W5683" t="str"><v>Canvas Ad</v></cell><cell r="X5683" t="str"><v>1x1</v></cell></row><row r="5683"><cell r="AA5683"><v>43322</v></cell><cell r="AB5683" t="str"><v>GBR_gaPMG_CE_AZR_Q1_19_Trial-Social</v></cell><cell r="AC5683"><v>21337013</v></cell><cell r="AD5683"><v>720196</v></cell><cell r="AE5683" t="str"><v>Facebook</v></cell><cell r="AF5683"><v>3654128</v></cell><cell r="AG5683" t="str"><v>Facebook»Retargeting»1x1»TextLink»CAN»MO»CPM»AUT»W»NA»SS»NA»Free Account Retargeting Generic- Global Alt</v></cell><cell r="AH5683"><v>226889149</v></cell><cell r="AI5683" t="str"><v>AzurePlatform_FBCTCcanvaspage-StartFreeCTA-Img2_GBR_1080x143 _SOC_Plat_English_NA_Standard_NA_NA_T2_1</v></cell><cell r="AJ5683"><v>103235146</v></cell></row><row r="5684"><cell r="C5684" t="str"><v>43322Facebook»Retargeting»1x1»TextLink»CAN»MO»CPM»AUT»W»NA»SS»NA»Free Account Retargeting OSS- Logos</v></cell><cell r="D5684" t="str"><v>43322227035854</v></cell><cell r="E5684" t="str"><v>43322103230847 Logos</v></cell><cell r="F5684" t="str"><v>DCM</v></cell><cell r="G5684" t="str"><v>https://azure.microsoft.com/en-gb/pricing/purchase-options/</v></cell></row><row r="5684"><cell r="K5684" t="str"><v>August</v></cell><cell r="L5684"><v>43323</v></cell><cell r="M5684" t="str"><v>Tier 1</v></cell><cell r="N5684" t="str"><v>EMEA</v></cell><cell r="O5684" t="str"><v>United Kingdom</v></cell><cell r="P5684" t="str"><v>Trial</v></cell><cell r="Q5684" t="str"><v>Social</v></cell><cell r="R5684" t="str"><v>Azure</v></cell><cell r="S5684" t="str"><v>Apps & Infra</v></cell><cell r="T5684" t="str"><v>Developers & ITI's</v></cell><cell r="U5684" t="str"><v>Retargeting</v></cell><cell r="V5684" t="str"><v>Audience Targeting</v></cell><cell r="W5684" t="str"><v>Canvas Ad</v></cell><cell r="X5684" t="str"><v>1x1</v></cell></row><row r="5684"><cell r="AA5684"><v>43322</v></cell><cell r="AB5684" t="str"><v>GBR_gaPMG_CE_AZR_Q1_19_Trial-Social</v></cell><cell r="AC5684"><v>21337013</v></cell><cell r="AD5684"><v>720196</v></cell><cell r="AE5684" t="str"><v>Facebook</v></cell><cell r="AF5684"><v>3654128</v></cell><cell r="AG5684" t="str"><v>Facebook»Retargeting»1x1»TextLink»CAN»MO»CPM»AUT»W»NA»SS»NA»Free Account Retargeting OSS- Logos</v></cell><cell r="AH5684"><v>227035854</v></cell><cell r="AI5684" t="str"><v>AzurePlatform_FBCTCcanvaspage-BuyNowCTA-Img3_GBR_1080x162_SOC_Plat_English_NA_Standard_NA_BN_T3_1</v></cell><cell r="AJ5684"><v>103230847</v></cell></row><row r="5685"><cell r="C5685" t="str"><v>43322Facebook»Retargeting»1x1»TextLink»CAN»MO»CPM»AUT»W»NA»SS»NA»Free Account Retargeting OSS- Logos</v></cell><cell r="D5685" t="str"><v>43322227035854</v></cell><cell r="E5685" t="str"><v>43322103235146 Logos</v></cell><cell r="F5685" t="str"><v>DCM</v></cell><cell r="G5685" t="str"><v>https://signup.azure.com/signup?offer=ms-azr-0044p&appId=102&ref=paidmedia-social-fb&redirectURL=https%3a%2f%2fazure.microsoft.com%2fen-gb%2fget-started%2fwelcome-to-azure%2f&l=en-gb&correlationId=ead86c34-1f10-49dd-a72b-6918462a2cbf</v></cell></row><row r="5685"><cell r="K5685" t="str"><v>August</v></cell><cell r="L5685"><v>43323</v></cell><cell r="M5685" t="str"><v>Tier 1</v></cell><cell r="N5685" t="str"><v>EMEA</v></cell><cell r="O5685" t="str"><v>United Kingdom</v></cell><cell r="P5685" t="str"><v>Trial</v></cell><cell r="Q5685" t="str"><v>Social</v></cell><cell r="R5685" t="str"><v>Azure</v></cell><cell r="S5685" t="str"><v>Apps & Infra</v></cell><cell r="T5685" t="str"><v>Developers & ITI's</v></cell><cell r="U5685" t="str"><v>Retargeting</v></cell><cell r="V5685" t="str"><v>Audience Targeting</v></cell><cell r="W5685" t="str"><v>Canvas Ad</v></cell><cell r="X5685" t="str"><v>1x1</v></cell></row><row r="5685"><cell r="AA5685"><v>43322</v></cell><cell r="AB5685" t="str"><v>GBR_gaPMG_CE_AZR_Q1_19_Trial-Social</v></cell><cell r="AC5685"><v>21337013</v></cell><cell r="AD5685"><v>720196</v></cell><cell r="AE5685" t="str"><v>Facebook</v></cell><cell r="AF5685"><v>3654128</v></cell><cell r="AG5685" t="str"><v>Facebook»Retargeting»1x1»TextLink»CAN»MO»CPM»AUT»W»NA»SS»NA»Free Account Retargeting OSS- Logos</v></cell><cell r="AH5685"><v>227035854</v></cell><cell r="AI5685" t="str"><v>AzurePlatform_FBCTCcanvaspage-StartFreeCTA-Img2_GBR_1080x143 _SOC_Plat_English_NA_Standard_NA_NA_T2_1</v></cell><cell r="AJ5685"><v>103235146</v></cell></row><row r="5686"><cell r="C5686" t="str"><v>43322Facebook»Retargeting»1x1»TextLink»CAN»MO»CPM»AUT»W»NA»SS»NA»Free Account Retargeting OSS- Text</v></cell><cell r="D5686" t="str"><v>43322226794020</v></cell><cell r="E5686" t="str"><v>43322103230847- Text</v></cell><cell r="F5686" t="str"><v>DCM</v></cell><cell r="G5686" t="str"><v>https://azure.microsoft.com/en-gb/pricing/purchase-options/</v></cell></row><row r="5686"><cell r="K5686" t="str"><v>August</v></cell><cell r="L5686"><v>43323</v></cell><cell r="M5686" t="str"><v>Tier 1</v></cell><cell r="N5686" t="str"><v>EMEA</v></cell><cell r="O5686" t="str"><v>United Kingdom</v></cell><cell r="P5686" t="str"><v>Trial</v></cell><cell r="Q5686" t="str"><v>Social</v></cell><cell r="R5686" t="str"><v>Azure</v></cell><cell r="S5686" t="str"><v>Apps & Infra</v></cell><cell r="T5686" t="str"><v>Developers & ITI's</v></cell><cell r="U5686" t="str"><v>Retargeting</v></cell><cell r="V5686" t="str"><v>Audience Targeting</v></cell><cell r="W5686" t="str"><v>Canvas Ad</v></cell><cell r="X5686" t="str"><v>1x1</v></cell></row><row r="5686"><cell r="AA5686"><v>43322</v></cell><cell r="AB5686" t="str"><v>GBR_gaPMG_CE_AZR_Q1_19_Trial-Social</v></cell><cell r="AC5686"><v>21337013</v></cell><cell r="AD5686"><v>720196</v></cell><cell r="AE5686" t="str"><v>Facebook</v></cell><cell r="AF5686"><v>3654128</v></cell><cell r="AG5686" t="str"><v>Facebook»Retargeting»1x1»TextLink»CAN»MO»CPM»AUT»W»NA»SS»NA»Free Account Retargeting OSS- Text</v></cell><cell r="AH5686"><v>226794020</v></cell><cell r="AI5686" t="str"><v>AzurePlatform_FBCTCcanvaspage-BuyNowCTA-Img3_GBR_1080x162_SOC_Plat_English_NA_Standard_NA_BN_T3_1</v></cell><cell r="AJ5686"><v>103230847</v></cell></row><row r="5687"><cell r="C5687" t="str"><v>43322Facebook»Retargeting»1x1»TextLink»CAN»MO»CPM»AUT»W»NA»SS»NA»Free Account Retargeting OSS- Text</v></cell><cell r="D5687" t="str"><v>43322226794020</v></cell><cell r="E5687" t="str"><v>43322103235146- Text</v></cell><cell r="F5687" t="str"><v>DCM</v></cell><cell r="G5687" t="str"><v>https://signup.azure.com/signup?offer=ms-azr-0044p&appId=102&ref=paidmedia-social-fb&redirectURL=https%3a%2f%2fazure.microsoft.com%2fen-gb%2fget-started%2fwelcome-to-azure%2f&l=en-gb&correlationId=ead86c34-1f10-49dd-a72b-6918462a2cbf</v></cell></row><row r="5687"><cell r="K5687" t="str"><v>August</v></cell><cell r="L5687"><v>43323</v></cell><cell r="M5687" t="str"><v>Tier 1</v></cell><cell r="N5687" t="str"><v>EMEA</v></cell><cell r="O5687" t="str"><v>United Kingdom</v></cell><cell r="P5687" t="str"><v>Trial</v></cell><cell r="Q5687" t="str"><v>Social</v></cell><cell r="R5687" t="str"><v>Azure</v></cell><cell r="S5687" t="str"><v>Apps & Infra</v></cell><cell r="T5687" t="str"><v>Developers & ITI's</v></cell><cell r="U5687" t="str"><v>Retargeting</v></cell><cell r="V5687" t="str"><v>Audience Targeting</v></cell><cell r="W5687" t="str"><v>Canvas Ad</v></cell><cell r="X5687" t="str"><v>1x1</v></cell></row><row r="5687"><cell r="AA5687"><v>43322</v></cell><cell r="AB5687" t="str"><v>GBR_gaPMG_CE_AZR_Q1_19_Trial-Social</v></cell><cell r="AC5687"><v>21337013</v></cell><cell r="AD5687"><v>720196</v></cell><cell r="AE5687" t="str"><v>Facebook</v></cell><cell r="AF5687"><v>3654128</v></cell><cell r="AG5687" t="str"><v>Facebook»Retargeting»1x1»TextLink»CAN»MO»CPM»AUT»W»NA»SS»NA»Free Account Retargeting OSS- Text</v></cell><cell r="AH5687"><v>226794020</v></cell><cell r="AI5687" t="str"><v>AzurePlatform_FBCTCcanvaspage-StartFreeCTA-Img2_GBR_1080x143 _SOC_Plat_English_NA_Standard_NA_NA_T2_1</v></cell><cell r="AJ5687"><v>103235146</v></cell></row><row r="5688"><cell r="C5688" t="str"><v>43322Facebook»AZP-Canvas-Interest&Role-Trial»1x1»Canvas»OTH»MO»CPM»PRO»X»UNK»TP»OT»Canvas-Trial</v></cell><cell r="D5688" t="str"><v>43322223298805</v></cell><cell r="E5688" t="str"><v>43322102609621-Trial</v></cell><cell r="F5688" t="str"><v>DCM</v></cell><cell r="G5688" t="str"><v>https://signup.azure.com/signup?offer=ms-azr-0044p&appId=102&ref=paidmedia-social-fb&redirectURL=https%3a%2f%2fazure.microsoft.com%2fja-jp%2fget-started%2fwelcome-to-azure%2f&l=ja-jp&correlationId=ead86c34-1f10-49dd-a72b-6918462a2cbf</v></cell></row><row r="5688"><cell r="K5688" t="str"><v>August</v></cell><cell r="L5688"><v>43323</v></cell><cell r="M5688" t="str"><v>Tier 1</v></cell><cell r="N5688" t="str"><v>APAC</v></cell><cell r="O5688" t="str"><v>Japan</v></cell><cell r="P5688" t="str"><v>Trial</v></cell><cell r="Q5688" t="str"><v>Social</v></cell><cell r="R5688" t="str"><v>Azure</v></cell><cell r="S5688" t="str"><v>Apps & Infra</v></cell><cell r="T5688" t="str"><v>Developers & ITI's</v></cell><cell r="U5688" t="str"><v>AZP-Canvas-Interest&Role-Trial</v></cell><cell r="V5688" t="str"><v>Prospecting</v></cell><cell r="W5688" t="str"><v>Other</v></cell><cell r="X5688" t="str"><v>1x1</v></cell></row><row r="5688"><cell r="AA5688"><v>43322</v></cell><cell r="AB5688" t="str"><v>JPN_gaPMG_AZR_AZR_Q1_19_Trial-Social</v></cell><cell r="AC5688"><v>21276694</v></cell><cell r="AD5688"><v>720195</v></cell><cell r="AE5688" t="str"><v>Facebook</v></cell><cell r="AF5688"><v>3654128</v></cell><cell r="AG5688" t="str"><v>Facebook»AZP-Canvas-Interest&Role-Trial»1x1»Canvas»OTH»MO»CPM»PRO»X»UNK»TP»OT»Canvas-Trial</v></cell><cell r="AH5688"><v>223298805</v></cell><cell r="AI5688" t="str"><v>AzurePlatform_FBCTCcanvaspage-StartFreeCTA-Img2_JPN_1080x143 _SOC_Plat_Japanese_NA_Standard_NA_NA_T2_1</v></cell><cell r="AJ5688"><v>102609621</v></cell></row><row r="5689"><cell r="C5689" t="str"><v>43322Facebook»AZP-Canvas-Look a Like-Trial»1x1»Canvas»OTH»MO»CPM»PRO»X»UNK»TP»OT»Canvas-Trial</v></cell><cell r="D5689" t="str"><v>43322223297413</v></cell><cell r="E5689" t="str"><v>43322102609621-Trial</v></cell><cell r="F5689" t="str"><v>DCM</v></cell><cell r="G5689" t="str"><v>https://signup.azure.com/signup?offer=ms-azr-0044p&appId=102&ref=paidmedia-social-fb&redirectURL=https%3a%2f%2fazure.microsoft.com%2fja-jp%2fget-started%2fwelcome-to-azure%2f&l=ja-jp&correlationId=ead86c34-1f10-49dd-a72b-6918462a2cbf</v></cell></row><row r="5689"><cell r="K5689" t="str"><v>August</v></cell><cell r="L5689"><v>43323</v></cell><cell r="M5689" t="str"><v>Tier 1</v></cell><cell r="N5689" t="str"><v>APAC</v></cell><cell r="O5689" t="str"><v>Japan</v></cell><cell r="P5689" t="str"><v>Trial</v></cell><cell r="Q5689" t="str"><v>Social</v></cell><cell r="R5689" t="str"><v>Azure</v></cell><cell r="S5689" t="str"><v>Apps & Infra</v></cell><cell r="T5689" t="str"><v>Developers & ITI's</v></cell><cell r="U5689" t="str"><v>AZP-Canvas-Look a Like-Trial</v></cell><cell r="V5689" t="str"><v>Prospecting</v></cell><cell r="W5689" t="str"><v>Other</v></cell><cell r="X5689" t="str"><v>1x1</v></cell></row><row r="5689"><cell r="AA5689"><v>43322</v></cell><cell r="AB5689" t="str"><v>JPN_gaPMG_AZR_AZR_Q1_19_Trial-Social</v></cell><cell r="AC5689"><v>21276694</v></cell><cell r="AD5689"><v>720195</v></cell><cell r="AE5689" t="str"><v>Facebook</v></cell><cell r="AF5689"><v>3654128</v></cell><cell r="AG5689" t="str"><v>Facebook»AZP-Canvas-Look a Like-Trial»1x1»Canvas»OTH»MO»CPM»PRO»X»UNK»TP»OT»Canvas-Trial</v></cell><cell r="AH5689"><v>223297413</v></cell><cell r="AI5689" t="str"><v>AzurePlatform_FBCTCcanvaspage-StartFreeCTA-Img2_JPN_1080x143 _SOC_Plat_Japanese_NA_Standard_NA_NA_T2_1</v></cell><cell r="AJ5689"><v>102609621</v></cell></row><row r="5690"><cell r="C5690" t="str"><v>43322Facebook»AZP-Retargeting»1x1»Ban»LIA»ALL»CPM»RT»X»All»TP»OT»Free Account Retargeting Generic-ChB</v></cell><cell r="D5690" t="str"><v>43322223726377</v></cell><cell r="E5690" t="str"><v>43322102977720ic-ChB</v></cell><cell r="F5690" t="str"><v>DCM</v></cell><cell r="G5690" t="str"><v>https://azure.microsoft.com/ja-jp/free/search/</v></cell></row><row r="5690"><cell r="K5690" t="str"><v>August</v></cell><cell r="L5690"><v>43323</v></cell><cell r="M5690" t="str"><v>Tier 1</v></cell><cell r="N5690" t="str"><v>APAC</v></cell><cell r="O5690" t="str"><v>Japan</v></cell><cell r="P5690" t="str"><v>Trial</v></cell><cell r="Q5690" t="str"><v>Social</v></cell><cell r="R5690" t="str"><v>Azure</v></cell><cell r="S5690" t="str"><v>Apps & Infra</v></cell><cell r="T5690" t="str"><v>Developers & ITI's</v></cell><cell r="U5690" t="str"><v>AZP-Retargeting</v></cell><cell r="V5690" t="str"><v>Retargeting</v></cell><cell r="W5690" t="str"><v>Link Ad</v></cell><cell r="X5690" t="str"><v>1x1</v></cell></row><row r="5690"><cell r="AA5690"><v>43322</v></cell><cell r="AB5690" t="str"><v>JPN_gaPMG_AZR_AZR_Q1_19_Trial-Social</v></cell><cell r="AC5690"><v>21276694</v></cell><cell r="AD5690"><v>720195</v></cell><cell r="AE5690" t="str"><v>Facebook</v></cell><cell r="AF5690"><v>3654128</v></cell><cell r="AG5690" t="str"><v>Facebook»AZP-Retargeting»1x1»Ban»LIA»ALL»CPM»RT»X»All»TP»OT»Free Account Retargeting Generic-ChB</v></cell><cell r="AH5690"><v>223726377</v></cell><cell r="AI5690" t="str"><v>AzurePlatform_FreeAcctRetargetingFB-GlobalAlt-ChB_JPN_1200x628_SOC_Plat_JA_Free Account_Standard_NA_SU_T2_1</v></cell><cell r="AJ5690"><v>102977720</v></cell></row><row r="5691"><cell r="C5691" t="str"><v>43322Facebook»AZP-Retargeting»1x1»Ban»LIA»ALL»CPM»RT»X»All»TP»OT»Free Account Retargeting OSS-ChF</v></cell><cell r="D5691" t="str"><v>43322223726368</v></cell><cell r="E5691" t="str"><v>43322102974750SS-ChF</v></cell><cell r="F5691" t="str"><v>DCM</v></cell><cell r="G5691" t="str"><v>https://azure.microsoft.com/ja-jp/free/open-source/search/</v></cell></row><row r="5691"><cell r="K5691" t="str"><v>August</v></cell><cell r="L5691"><v>43323</v></cell><cell r="M5691" t="str"><v>Tier 1</v></cell><cell r="N5691" t="str"><v>APAC</v></cell><cell r="O5691" t="str"><v>Japan</v></cell><cell r="P5691" t="str"><v>Trial</v></cell><cell r="Q5691" t="str"><v>Social</v></cell><cell r="R5691" t="str"><v>Azure</v></cell><cell r="S5691" t="str"><v>Apps & Infra</v></cell><cell r="T5691" t="str"><v>Developers & ITI's</v></cell><cell r="U5691" t="str"><v>AZP-Retargeting</v></cell><cell r="V5691" t="str"><v>Retargeting</v></cell><cell r="W5691" t="str"><v>Link Ad</v></cell><cell r="X5691" t="str"><v>1x1</v></cell></row><row r="5691"><cell r="AA5691"><v>43322</v></cell><cell r="AB5691" t="str"><v>JPN_gaPMG_AZR_AZR_Q1_19_Trial-Social</v></cell><cell r="AC5691"><v>21276694</v></cell><cell r="AD5691"><v>720195</v></cell><cell r="AE5691" t="str"><v>Facebook</v></cell><cell r="AF5691"><v>3654128</v></cell><cell r="AG5691" t="str"><v>Facebook»AZP-Retargeting»1x1»Ban»LIA»ALL»CPM»RT»X»All»TP»OT»Free Account Retargeting OSS-ChF</v></cell><cell r="AH5691"><v>223726368</v></cell><cell r="AI5691" t="str"><v>AzurePlatform_FreeAcctRetargetingOSSFB-Text-ChF_JPN_1200x628_SOC_Plat_JA_Free Account_Standard_NA_SU_T1_1</v></cell><cell r="AJ5691"><v>102974750</v></cell></row><row r="5692"><cell r="C5692" t="str"><v>43322Facebook»AZP-Retargeting»1x1»Canvas»OTH»MO»CPM»RT»W»UNK»TP»OT»Trial-Basicmotion</v></cell><cell r="D5692" t="str"><v>43322223298811</v></cell><cell r="E5692" t="str"><v>43322102773984motion</v></cell><cell r="F5692" t="str"><v>DCM</v></cell><cell r="G5692" t="str"><v>https://azure.microsoft.com/ja-jp/free/search/</v></cell></row><row r="5692"><cell r="K5692" t="str"><v>August</v></cell><cell r="L5692"><v>43323</v></cell><cell r="M5692" t="str"><v>Tier 1</v></cell><cell r="N5692" t="str"><v>APAC</v></cell><cell r="O5692" t="str"><v>Japan</v></cell><cell r="P5692" t="str"><v>Trial</v></cell><cell r="Q5692" t="str"><v>Social</v></cell><cell r="R5692" t="str"><v>Azure</v></cell><cell r="S5692" t="str"><v>Apps & Infra</v></cell><cell r="T5692" t="str"><v>Developers & ITI's</v></cell><cell r="U5692" t="str"><v>AZP-Retargeting</v></cell><cell r="V5692" t="str"><v>Retargeting</v></cell><cell r="W5692" t="str"><v>Other</v></cell><cell r="X5692" t="str"><v>1x1</v></cell></row><row r="5692"><cell r="AA5692"><v>43322</v></cell><cell r="AB5692" t="str"><v>JPN_gaPMG_AZR_AZR_Q1_19_Trial-Social</v></cell><cell r="AC5692"><v>21276694</v></cell><cell r="AD5692"><v>720195</v></cell><cell r="AE5692" t="str"><v>Facebook</v></cell><cell r="AF5692"><v>3654128</v></cell><cell r="AG5692" t="str"><v>Facebook»AZP-Retargeting»1x1»Canvas»OTH»MO»CPM»RT»W»UNK»TP»OT»Trial-Basicmotion</v></cell><cell r="AH5692"><v>223298811</v></cell><cell r="AI5692" t="str"><v>AzurePlatform_FBCTCBasicMotion_JPN_10sec_ISV_PLAT_JA_Trial_Standard_STAN_TN_T1_1</v></cell><cell r="AJ5692"><v>102773984</v></cell></row><row r="5693"><cell r="C5693" t="str"><v>43322Facebook»AZP-Canvas-Retargeting-Trial»1x1»Canvas»SOC»MO»CPM»PRO»W»UNK»SS»OT»Canvas-Trial</v></cell><cell r="D5693" t="str"><v>43322226269941</v></cell><cell r="E5693" t="str"><v>43322104060547-Trial</v></cell><cell r="F5693" t="str"><v>DCM</v></cell><cell r="G5693" t="str"><v>https://azure.microsoft.com/ja-jp/pricing/purchase-options/</v></cell></row><row r="5693"><cell r="K5693" t="str"><v>August</v></cell><cell r="L5693"><v>43323</v></cell><cell r="M5693" t="str"><v>Tier 1</v></cell><cell r="N5693" t="str"><v>APAC</v></cell><cell r="O5693" t="str"><v>Japan</v></cell><cell r="P5693" t="str"><v>Trial</v></cell><cell r="Q5693" t="str"><v>Social</v></cell><cell r="R5693" t="str"><v>Azure</v></cell><cell r="S5693" t="str"><v>Apps & Infra</v></cell><cell r="T5693" t="str"><v>Developers & ITI's</v></cell><cell r="U5693" t="str"><v>AZP-Canvas-Retargeting-Trial</v></cell><cell r="V5693" t="str"><v>Prospecting</v></cell><cell r="W5693" t="str"><v>Social</v></cell><cell r="X5693" t="str"><v>1x1</v></cell></row><row r="5693"><cell r="AA5693"><v>43322</v></cell><cell r="AB5693" t="str"><v>JPN_gaPMG_AZR_AZR_Q1_19_Trial-Social</v></cell><cell r="AC5693"><v>21276694</v></cell><cell r="AD5693"><v>720195</v></cell><cell r="AE5693" t="str"><v>Facebook</v></cell><cell r="AF5693"><v>3654128</v></cell><cell r="AG5693" t="str"><v>Facebook»AZP-Canvas-Retargeting-Trial»1x1»Canvas»SOC»MO»CPM»PRO»W»UNK»SS»OT»Canvas-Trial</v></cell><cell r="AH5693"><v>226269941</v></cell><cell r="AI5693" t="str"><v>AZR_FBCTCcanvaspage-BuyNowCTA-Img3_JPN_1080x162_SOC_Plat_Japanese_NA_Standard_NA_BN_T3_1</v></cell><cell r="AJ5693"><v>104060547</v></cell></row><row r="5694"><cell r="C5694" t="str"><v>43322Facebook»AZP-Canvas-Retargeting-Trial»1x1»Canvas»SOC»MO»CPM»PRO»W»UNK»SS»OT»Canvas-Trial</v></cell><cell r="D5694" t="str"><v>43322226269941</v></cell><cell r="E5694" t="str"><v>43322104061321-Trial</v></cell><cell r="F5694" t="str"><v>DCM</v></cell><cell r="G5694" t="str"><v>https://signup.azure.com/signup?offer=ms-azr-0044p&appId=102&ref=paidmedia-social-fb&redirectURL=https%3a%2f%2fazure.microsoft.com%2fja-jp%2fget-started%2fwelcome-to-azure%2f&l=ja-jp&correlationId=ead86c34-1f10-49dd-a72b-6918462a2cbf</v></cell></row><row r="5694"><cell r="K5694" t="str"><v>August</v></cell><cell r="L5694"><v>43323</v></cell><cell r="M5694" t="str"><v>Tier 1</v></cell><cell r="N5694" t="str"><v>APAC</v></cell><cell r="O5694" t="str"><v>Japan</v></cell><cell r="P5694" t="str"><v>Trial</v></cell><cell r="Q5694" t="str"><v>Social</v></cell><cell r="R5694" t="str"><v>Azure</v></cell><cell r="S5694" t="str"><v>Apps & Infra</v></cell><cell r="T5694" t="str"><v>Developers & ITI's</v></cell><cell r="U5694" t="str"><v>AZP-Canvas-Retargeting-Trial</v></cell><cell r="V5694" t="str"><v>Prospecting</v></cell><cell r="W5694" t="str"><v>Social</v></cell><cell r="X5694" t="str"><v>1x1</v></cell></row><row r="5694"><cell r="AA5694"><v>43322</v></cell><cell r="AB5694" t="str"><v>JPN_gaPMG_AZR_AZR_Q1_19_Trial-Social</v></cell><cell r="AC5694"><v>21276694</v></cell><cell r="AD5694"><v>720195</v></cell><cell r="AE5694" t="str"><v>Facebook</v></cell><cell r="AF5694"><v>3654128</v></cell><cell r="AG5694" t="str"><v>Facebook»AZP-Canvas-Retargeting-Trial»1x1»Canvas»SOC»MO»CPM»PRO»W»UNK»SS»OT»Canvas-Trial</v></cell><cell r="AH5694"><v>226269941</v></cell><cell r="AI5694" t="str"><v>AZR_FBCTCcanvaspage-StartFreeCTA-Img2_JPN_1080x143 _SOC_Plat_Japanese_NA_Standard_NA_NA_T2_1</v></cell><cell r="AJ5694"><v>104061321</v></cell></row><row r="5695"><cell r="C5695" t="str"><v>43322FACEBOOK»USA-Trial-ITD-Interest Prospecting-AZR-AZR»1 x 1»SocialBan»CAN»ALL»CPA»PRO»X»NA»SS»NA»FBCTCBasicMotion»PRC1SV</v></cell><cell r="D5695" t="str"><v>43322223934062</v></cell><cell r="E5695" t="str"><v>43322103043823PRC1SV</v></cell><cell r="F5695" t="str"><v>DCM</v></cell><cell r="G5695" t="str"><v>https://signup.azure.com/?OCID=AID%eexcid!_OLA_%ebuy!_%epid!_%ecid!</v></cell></row><row r="5695"><cell r="K5695" t="str"><v>August</v></cell><cell r="L5695"><v>43323</v></cell><cell r="M5695" t="str"><v>Tier 0</v></cell><cell r="N5695" t="str"><v>North America</v></cell><cell r="O5695" t="str"><v>United States</v></cell><cell r="P5695" t="str"><v>Trial</v></cell><cell r="Q5695" t="str"><v>Social</v></cell><cell r="R5695" t="str"><v>Azure</v></cell><cell r="S5695" t="str"><v>Apps & Infra</v></cell><cell r="T5695" t="str"><v>Developers & ITI's</v></cell><cell r="U5695" t="str"><v>USA-Trial-ITD-Interest Prospecting-AZR-AZR</v></cell><cell r="V5695" t="str"><v>Prospecting</v></cell><cell r="W5695" t="str"><v>Canvas Ad</v></cell><cell r="X5695" t="str"><v>1x1</v></cell></row><row r="5695"><cell r="AA5695"><v>43322</v></cell><cell r="AB5695" t="str"><v>USA_gaPMG_AZR_AZR_Q1_19_Direct-Social</v></cell><cell r="AC5695"><v>21358715</v></cell><cell r="AD5695"><v>720197</v></cell><cell r="AE5695" t="str"><v>Facebook</v></cell><cell r="AF5695"><v>3654128</v></cell><cell r="AG5695" t="str"><v>FACEBOOK»USA-Trial-ITD-Interest Prospecting-AZR-AZR»1 x 1»SocialBan»CAN»ALL»CPA»PRO»X»NA»SS»NA»FBCTCBasicMotion»PRC1SV</v></cell><cell r="AH5695"><v>223934062</v></cell><cell r="AI5695" t="str"><v>AzurePlatform_FBCTCBasicMotion_USA_10s_CAN_PLATFORM_English_Trial_Standard_STAN_TIN_T1_1</v></cell><cell r="AJ5695"><v>103043823</v></cell></row><row r="5696"><cell r="C5696" t="str"><v>43322FACEBOOK»USA-Trial-ITD-Interest Prospecting-AZR-AZR»1 x 1»SocialBan»CAN»ALL»CPA»PRO»X»NA»SS»NA»FBCTCBenefit2inMotion»PRC1SW</v></cell><cell r="D5696" t="str"><v>43322223933138</v></cell><cell r="E5696" t="str"><v>43322103043835PRC1SW</v></cell><cell r="F5696" t="str"><v>DCM</v></cell><cell r="G5696" t="str"><v>https://signup.azure.com/?OCID=AID%eexcid!_OLA_%ebuy!_%epid!_%ecid!</v></cell></row><row r="5696"><cell r="K5696" t="str"><v>August</v></cell><cell r="L5696"><v>43323</v></cell><cell r="M5696" t="str"><v>Tier 0</v></cell><cell r="N5696" t="str"><v>North America</v></cell><cell r="O5696" t="str"><v>United States</v></cell><cell r="P5696" t="str"><v>Trial</v></cell><cell r="Q5696" t="str"><v>Social</v></cell><cell r="R5696" t="str"><v>Azure</v></cell><cell r="S5696" t="str"><v>Apps & Infra</v></cell><cell r="T5696" t="str"><v>Developers & ITI's</v></cell><cell r="U5696" t="str"><v>USA-Trial-ITD-Interest Prospecting-AZR-AZR</v></cell><cell r="V5696" t="str"><v>Prospecting</v></cell><cell r="W5696" t="str"><v>Canvas Ad</v></cell><cell r="X5696" t="str"><v>1x1</v></cell></row><row r="5696"><cell r="AA5696"><v>43322</v></cell><cell r="AB5696" t="str"><v>USA_gaPMG_AZR_AZR_Q1_19_Direct-Social</v></cell><cell r="AC5696"><v>21358715</v></cell><cell r="AD5696"><v>720197</v></cell><cell r="AE5696" t="str"><v>Facebook</v></cell><cell r="AF5696"><v>3654128</v></cell><cell r="AG5696" t="str"><v>FACEBOOK»USA-Trial-ITD-Interest Prospecting-AZR-AZR»1 x 1»SocialBan»CAN»ALL»CPA»PRO»X»NA»SS»NA»FBCTCBenefit2inMotion»PRC1SW</v></cell><cell r="AH5696"><v>223933138</v></cell><cell r="AI5696" t="str"><v>AzurePlatform_FBCTCBenefit2inMotion_USA_10s_CAN_PLATFORM_English_Trial_Standard_STAN_TIN_T4_1</v></cell><cell r="AJ5696"><v>103043835</v></cell></row><row r="5697"><cell r="C5697" t="str"><v>43322FACEBOOK»USA-Trial-ITD-Interest Prospecting-AZR-AZR»1 x 1»SocialBan»CAN»ALL»CPA»PRO»X»NA»SS»NA»FBCTCBrandinMotion»PRC1SY</v></cell><cell r="D5697" t="str"><v>43322224104929</v></cell><cell r="E5697" t="str"><v>43322103176812PRC1SY</v></cell><cell r="F5697" t="str"><v>DCM</v></cell><cell r="G5697" t="str"><v>https://signup.azure.com/?OCID=AID%eexcid!_OLA_%ebuy!_%epid!_%ecid!</v></cell></row><row r="5697"><cell r="K5697" t="str"><v>August</v></cell><cell r="L5697"><v>43323</v></cell><cell r="M5697" t="str"><v>Tier 0</v></cell><cell r="N5697" t="str"><v>North America</v></cell><cell r="O5697" t="str"><v>United States</v></cell><cell r="P5697" t="str"><v>Trial</v></cell><cell r="Q5697" t="str"><v>Social</v></cell><cell r="R5697" t="str"><v>Azure</v></cell><cell r="S5697" t="str"><v>Apps & Infra</v></cell><cell r="T5697" t="str"><v>Developers & ITI's</v></cell><cell r="U5697" t="str"><v>USA-Trial-ITD-Interest Prospecting-AZR-AZR</v></cell><cell r="V5697" t="str"><v>Prospecting</v></cell><cell r="W5697" t="str"><v>Canvas Ad</v></cell><cell r="X5697" t="str"><v>1x1</v></cell></row><row r="5697"><cell r="AA5697"><v>43322</v></cell><cell r="AB5697" t="str"><v>USA_gaPMG_AZR_AZR_Q1_19_Direct-Social</v></cell><cell r="AC5697"><v>21358715</v></cell><cell r="AD5697"><v>720197</v></cell><cell r="AE5697" t="str"><v>Facebook</v></cell><cell r="AF5697"><v>3654128</v></cell><cell r="AG5697" t="str"><v>FACEBOOK»USA-Trial-ITD-Interest Prospecting-AZR-AZR»1 x 1»SocialBan»CAN»ALL»CPA»PRO»X»NA»SS»NA»FBCTCBrandinMotion»PRC1SY</v></cell><cell r="AH5697"><v>224104929</v></cell><cell r="AI5697" t="str"><v>AzurePlatform_FBCTCBrandinMotion_USA_10s_CAN_PLATFORM_English_Trial_Standard_STAN_TIN_T2_1</v></cell><cell r="AJ5697"><v>103176812</v></cell></row><row r="5698"><cell r="C5698" t="str"><v>43322FACEBOOK»USA-Trial-ITD-Interest Prospecting-AZR-AZR»1 x 1»SocialBan»CAN»ALL»CPA»PRO»X»NA»SS»NA»FBCTCBrandinMotion»PRC1SY</v></cell><cell r="D5698" t="str"><v>43322224104929</v></cell><cell r="E5698" t="str"><v>43322103032823PRC1SY</v></cell><cell r="F5698" t="str"><v>DCM</v></cell><cell r="G5698" t="str"><v>https://azure.microsoft.com/en-us/pricing/purchase-options/?v=18.19&OCID=AID%eexcid!_OLA_%ebuy!_%epid!_%ecid!</v></cell></row><row r="5698"><cell r="K5698" t="str"><v>August</v></cell><cell r="L5698"><v>43323</v></cell><cell r="M5698" t="str"><v>Tier 0</v></cell><cell r="N5698" t="str"><v>North America</v></cell><cell r="O5698" t="str"><v>United States</v></cell><cell r="P5698" t="str"><v>Trial</v></cell><cell r="Q5698" t="str"><v>Social</v></cell><cell r="R5698" t="str"><v>Azure</v></cell><cell r="S5698" t="str"><v>Apps & Infra</v></cell><cell r="T5698" t="str"><v>Developers & ITI's</v></cell><cell r="U5698" t="str"><v>USA-Trial-ITD-Interest Prospecting-AZR-AZR</v></cell><cell r="V5698" t="str"><v>Prospecting</v></cell><cell r="W5698" t="str"><v>Canvas Ad</v></cell><cell r="X5698" t="str"><v>1x1</v></cell></row><row r="5698"><cell r="AA5698"><v>43322</v></cell><cell r="AB5698" t="str"><v>USA_gaPMG_AZR_AZR_Q1_19_Direct-Social</v></cell><cell r="AC5698"><v>21358715</v></cell><cell r="AD5698"><v>720197</v></cell><cell r="AE5698" t="str"><v>Facebook</v></cell><cell r="AF5698"><v>3654128</v></cell><cell r="AG5698" t="str"><v>FACEBOOK»USA-Trial-ITD-Interest Prospecting-AZR-AZR»1 x 1»SocialBan»CAN»ALL»CPA»PRO»X»NA»SS»NA»FBCTCBrandinMotion»PRC1SY</v></cell><cell r="AH5698"><v>224104929</v></cell><cell r="AI5698" t="str"><v>AzurePlatform_FBCTCBrandinMotion_USA_10s_CAN_PLATFORM_English_Trial_Standard_STAN_TIN_T2_2</v></cell><cell r="AJ5698"><v>103032823</v></cell></row><row r="5699"><cell r="C5699" t="str"><v>43322FACEBOOK»USA-Trial-ITD-Interest Prospecting-AZR-AZR»1 x 1»SocialBan»LIA»ALL»CPA»PRO»X»NA»SS»NA»FreeAcctITProFB-AnimatedSecureMngd-Ch1»PRC1T4</v></cell><cell r="D5699" t="str"><v>43322224104914</v></cell><cell r="E5699" t="str"><v>43322103176830PRC1T4</v></cell><cell r="F5699" t="str"><v>DCM</v></cell></row><row r="5699"><cell r="K5699" t="str"><v>August</v></cell><cell r="L5699"><v>43323</v></cell><cell r="M5699" t="str"><v>Tier 0</v></cell><cell r="N5699" t="str"><v>North America</v></cell><cell r="O5699" t="str"><v>United States</v></cell><cell r="P5699" t="str"><v>Trial</v></cell><cell r="Q5699" t="str"><v>Social</v></cell><cell r="R5699" t="str"><v>Azure</v></cell><cell r="S5699" t="str"><v>Apps & Infra</v></cell><cell r="T5699" t="str"><v>Developers & ITI's</v></cell><cell r="U5699" t="str"><v>USA-Trial-ITD-Interest Prospecting-AZR-AZR</v></cell><cell r="V5699" t="str"><v>Prospecting</v></cell><cell r="W5699" t="str"><v>Link Ad</v></cell><cell r="X5699" t="str"><v>1x1</v></cell></row><row r="5699"><cell r="AA5699"><v>43322</v></cell><cell r="AB5699" t="str"><v>USA_gaPMG_AZR_AZR_Q1_19_Direct-Social</v></cell><cell r="AC5699"><v>21358715</v></cell><cell r="AD5699"><v>720197</v></cell><cell r="AE5699" t="str"><v>Facebook</v></cell><cell r="AF5699"><v>3654128</v></cell><cell r="AG5699" t="str"><v>FACEBOOK»USA-Trial-ITD-Interest Prospecting-AZR-AZR»1 x 1»SocialBan»LIA»ALL»CPA»PRO»X»NA»SS»NA»FreeAcctITProFB-AnimatedSecureMngd-Ch1»PRC1T4</v></cell><cell r="AH5699"><v>224104914</v></cell><cell r="AI5699" t="str"><v>AZR_FreeAcctITProFB-AnimatedSecureMngd-Ch1_USA_1200x1200_CAN_Direct_English_Trial_Standard_ANI_LEA_T1_1</v></cell><cell r="AJ5699"><v>103176830</v></cell></row><row r="5700"><cell r="C5700" t="str"><v>43322FACEBOOK»USA-Trial-ITD-Interest Prospecting-AZR-AZR»1 x 1»SocialBan»CAN»ALL»CPA»PRO»X»NA»SS»NA»FBCTCBenefitinMotion»PRC1SX</v></cell><cell r="D5700" t="str"><v>43322224104077</v></cell><cell r="E5700" t="str"><v>43322103032775PRC1SX</v></cell><cell r="F5700" t="str"><v>DCM</v></cell><cell r="G5700" t="str"><v>https://signup.azure.com/?OCID=AID%eexcid!_OLA_%ebuy!_%epid!_%ecid!</v></cell></row><row r="5700"><cell r="K5700" t="str"><v>August</v></cell><cell r="L5700"><v>43323</v></cell><cell r="M5700" t="str"><v>Tier 0</v></cell><cell r="N5700" t="str"><v>North America</v></cell><cell r="O5700" t="str"><v>United States</v></cell><cell r="P5700" t="str"><v>Trial</v></cell><cell r="Q5700" t="str"><v>Social</v></cell><cell r="R5700" t="str"><v>Azure</v></cell><cell r="S5700" t="str"><v>Apps & Infra</v></cell><cell r="T5700" t="str"><v>Developers & ITI's</v></cell><cell r="U5700" t="str"><v>USA-Trial-ITD-Interest Prospecting-AZR-AZR</v></cell><cell r="V5700" t="str"><v>Prospecting</v></cell><cell r="W5700" t="str"><v>Canvas Ad</v></cell><cell r="X5700" t="str"><v>1x1</v></cell></row><row r="5700"><cell r="AA5700"><v>43322</v></cell><cell r="AB5700" t="str"><v>USA_gaPMG_AZR_AZR_Q1_19_Direct-Social</v></cell><cell r="AC5700"><v>21358715</v></cell><cell r="AD5700"><v>720197</v></cell><cell r="AE5700" t="str"><v>Facebook</v></cell><cell r="AF5700"><v>3654128</v></cell><cell r="AG5700" t="str"><v>FACEBOOK»USA-Trial-ITD-Interest Prospecting-AZR-AZR»1 x 1»SocialBan»CAN»ALL»CPA»PRO»X»NA»SS»NA»FBCTCBenefitinMotion»PRC1SX</v></cell><cell r="AH5700"><v>224104077</v></cell><cell r="AI5700" t="str"><v>AzurePlatform_FBCTCBenefitinMotion_USA_10s_CAN_PLATFORM_English_Trial_Standard_STAN_TIN_T3_1</v></cell><cell r="AJ5700"><v>103032775</v></cell></row><row r="5701"><cell r="C5701" t="str"><v>43322FACEBOOK»USA-Trial-ITD-Interest Prospecting-AZR-AZR»1 x 1»SocialBan»CAN»ALL»CPA»PRO»X»NA»SS»NA»FBCTCBenefitinMotion»PRC1SX</v></cell><cell r="D5701" t="str"><v>43322224104077</v></cell><cell r="E5701" t="str"><v>43322103176836PRC1SX</v></cell><cell r="F5701" t="str"><v>DCM</v></cell><cell r="G5701" t="str"><v>https://azure.microsoft.com/en-us/pricing/purchase-options/?v=18.19&OCID=AID%eexcid!_OLA_%ebuy!_%epid!_%ecid!</v></cell></row><row r="5701"><cell r="K5701" t="str"><v>August</v></cell><cell r="L5701"><v>43323</v></cell><cell r="M5701" t="str"><v>Tier 0</v></cell><cell r="N5701" t="str"><v>North America</v></cell><cell r="O5701" t="str"><v>United States</v></cell><cell r="P5701" t="str"><v>Trial</v></cell><cell r="Q5701" t="str"><v>Social</v></cell><cell r="R5701" t="str"><v>Azure</v></cell><cell r="S5701" t="str"><v>Apps & Infra</v></cell><cell r="T5701" t="str"><v>Developers & ITI's</v></cell><cell r="U5701" t="str"><v>USA-Trial-ITD-Interest Prospecting-AZR-AZR</v></cell><cell r="V5701" t="str"><v>Prospecting</v></cell><cell r="W5701" t="str"><v>Canvas Ad</v></cell><cell r="X5701" t="str"><v>1x1</v></cell></row><row r="5701"><cell r="AA5701"><v>43322</v></cell><cell r="AB5701" t="str"><v>USA_gaPMG_AZR_AZR_Q1_19_Direct-Social</v></cell><cell r="AC5701"><v>21358715</v></cell><cell r="AD5701"><v>720197</v></cell><cell r="AE5701" t="str"><v>Facebook</v></cell><cell r="AF5701"><v>3654128</v></cell><cell r="AG5701" t="str"><v>FACEBOOK»USA-Trial-ITD-Interest Prospecting-AZR-AZR»1 x 1»SocialBan»CAN»ALL»CPA»PRO»X»NA»SS»NA»FBCTCBenefitinMotion»PRC1SX</v></cell><cell r="AH5701"><v>224104077</v></cell><cell r="AI5701" t="str"><v>AzurePlatform_FBCTCBenefitinMotion_USA_10s_CAN_PLATFORM_English_Trial_Standard_STAN_TIN_T3_2</v></cell><cell r="AJ5701"><v>103176836</v></cell></row><row r="5702"><cell r="C5702" t="str"><v>43322FACEBOOK»USA-Trial-ITD-Interest Prospecting-AZR-AZR»1 x 1»SocialBan»CCA»ALL»CPA»PRO»X»NA»SS»NA»Azure Developer Facebook Collections»PRSGV0</v></cell><cell r="D5702" t="str"><v>43322225283843</v></cell><cell r="E5702" t="str"><v>43322103773177PRSGV0</v></cell><cell r="F5702" t="str"><v>DCM</v></cell><cell r="G5702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702"><cell r="K5702" t="str"><v>August</v></cell><cell r="L5702"><v>43323</v></cell><cell r="M5702" t="str"><v>Tier 0</v></cell><cell r="N5702" t="str"><v>North America</v></cell><cell r="O5702" t="str"><v>United States</v></cell><cell r="P5702" t="str"><v>Trial</v></cell><cell r="Q5702" t="str"><v>Social</v></cell><cell r="R5702" t="str"><v>Azure</v></cell><cell r="S5702" t="str"><v>Apps & Infra</v></cell><cell r="T5702" t="str"><v>Developers & ITI's</v></cell><cell r="U5702" t="str"><v>USA-Trial-ITD-Interest Prospecting-AZR-AZR</v></cell><cell r="V5702" t="str"><v>Prospecting</v></cell><cell r="W5702" t="str"><v>Canvas Collection Ad</v></cell><cell r="X5702" t="str"><v>1x1</v></cell></row><row r="5702"><cell r="AA5702"><v>43322</v></cell><cell r="AB5702" t="str"><v>USA_gaPMG_AZR_AZR_Q1_19_Direct-Social</v></cell><cell r="AC5702"><v>21358715</v></cell><cell r="AD5702"><v>720197</v></cell><cell r="AE5702" t="str"><v>Facebook</v></cell><cell r="AF5702"><v>3654128</v></cell><cell r="AG5702" t="str"><v>FACEBOOK»USA-Trial-ITD-Interest Prospecting-AZR-AZR»1 x 1»SocialBan»CCA»ALL»CPA»PRO»X»NA»SS»NA»Azure Developer Facebook Collections»PRSGV0</v></cell><cell r="AH5702"><v>225283843</v></cell><cell r="AI5702" t="str"><v>AZR_FBCollections-AITryAzureFreeCTA-Img2_USA_1200x182_SOC_Plat_EN_NA_Standard_NA_TIN_T1_2</v></cell><cell r="AJ5702"><v>103773177</v></cell></row><row r="5703"><cell r="C5703" t="str"><v>43322FACEBOOK»USA-Trial-ITD-Interest Prospecting-AZR-AZR»1 x 1»SocialBan»CCA»ALL»CPA»PRO»X»NA»SS»NA»Azure Developer Facebook Collections»PRSGV0</v></cell><cell r="D5703" t="str"><v>43322225283843</v></cell><cell r="E5703" t="str"><v>43322103776921PRSGV0</v></cell><cell r="F5703" t="str"><v>DCM</v></cell><cell r="G5703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703"><cell r="K5703" t="str"><v>August</v></cell><cell r="L5703"><v>43323</v></cell><cell r="M5703" t="str"><v>Tier 0</v></cell><cell r="N5703" t="str"><v>North America</v></cell><cell r="O5703" t="str"><v>United States</v></cell><cell r="P5703" t="str"><v>Trial</v></cell><cell r="Q5703" t="str"><v>Social</v></cell><cell r="R5703" t="str"><v>Azure</v></cell><cell r="S5703" t="str"><v>Apps & Infra</v></cell><cell r="T5703" t="str"><v>Developers & ITI's</v></cell><cell r="U5703" t="str"><v>USA-Trial-ITD-Interest Prospecting-AZR-AZR</v></cell><cell r="V5703" t="str"><v>Prospecting</v></cell><cell r="W5703" t="str"><v>Canvas Collection Ad</v></cell><cell r="X5703" t="str"><v>1x1</v></cell></row><row r="5703"><cell r="AA5703"><v>43322</v></cell><cell r="AB5703" t="str"><v>USA_gaPMG_AZR_AZR_Q1_19_Direct-Social</v></cell><cell r="AC5703"><v>21358715</v></cell><cell r="AD5703"><v>720197</v></cell><cell r="AE5703" t="str"><v>Facebook</v></cell><cell r="AF5703"><v>3654128</v></cell><cell r="AG5703" t="str"><v>FACEBOOK»USA-Trial-ITD-Interest Prospecting-AZR-AZR»1 x 1»SocialBan»CCA»ALL»CPA»PRO»X»NA»SS»NA»Azure Developer Facebook Collections»PRSGV0</v></cell><cell r="AH5703"><v>225283843</v></cell><cell r="AI5703" t="str"><v>AZR_FBCollections-FreeStuffTryAzureFreeCTA-Img5_USA_1200x182_SOC_Plat_EN_NA_Standard_NA_TIN_T1_5</v></cell><cell r="AJ5703"><v>103776921</v></cell></row><row r="5704"><cell r="C5704" t="str"><v>43322FACEBOOK»USA-Trial-ITD-Interest Prospecting-AZR-AZR»1 x 1»SocialBan»CCA»ALL»CPA»PRO»X»NA»SS»NA»Azure Developer Facebook Collections»PRSGV0</v></cell><cell r="D5704" t="str"><v>43322225283843</v></cell><cell r="E5704" t="str"><v>43322103873631PRSGV0</v></cell><cell r="F5704" t="str"><v>DCM</v></cell><cell r="G5704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704"><cell r="K5704" t="str"><v>August</v></cell><cell r="L5704"><v>43323</v></cell><cell r="M5704" t="str"><v>Tier 0</v></cell><cell r="N5704" t="str"><v>North America</v></cell><cell r="O5704" t="str"><v>United States</v></cell><cell r="P5704" t="str"><v>Trial</v></cell><cell r="Q5704" t="str"><v>Social</v></cell><cell r="R5704" t="str"><v>Azure</v></cell><cell r="S5704" t="str"><v>Apps & Infra</v></cell><cell r="T5704" t="str"><v>Developers & ITI's</v></cell><cell r="U5704" t="str"><v>USA-Trial-ITD-Interest Prospecting-AZR-AZR</v></cell><cell r="V5704" t="str"><v>Prospecting</v></cell><cell r="W5704" t="str"><v>Canvas Collection Ad</v></cell><cell r="X5704" t="str"><v>1x1</v></cell></row><row r="5704"><cell r="AA5704"><v>43322</v></cell><cell r="AB5704" t="str"><v>USA_gaPMG_AZR_AZR_Q1_19_Direct-Social</v></cell><cell r="AC5704"><v>21358715</v></cell><cell r="AD5704"><v>720197</v></cell><cell r="AE5704" t="str"><v>Facebook</v></cell><cell r="AF5704"><v>3654128</v></cell><cell r="AG5704" t="str"><v>FACEBOOK»USA-Trial-ITD-Interest Prospecting-AZR-AZR»1 x 1»SocialBan»CCA»ALL»CPA»PRO»X»NA»SS»NA»Azure Developer Facebook Collections»PRSGV0</v></cell><cell r="AH5704"><v>225283843</v></cell><cell r="AI5704" t="str"><v>AZR_FBCollections-OSSTryAzureFreeCTA-Img3_USA_1200x182_SOC_Plat_EN_NA_Standard_NA_TIN_T1_3</v></cell><cell r="AJ5704"><v>103873631</v></cell></row><row r="5705"><cell r="C5705" t="str"><v>43322FACEBOOK»USA-Trial-ITD-Interest Prospecting-AZR-AZR»1 x 1»SocialBan»CCA»ALL»CPA»PRO»X»NA»SS»NA»Azure Developer Facebook Collections»PRSGV0</v></cell><cell r="D5705" t="str"><v>43322225283843</v></cell><cell r="E5705" t="str"><v>43322103773180PRSGV0</v></cell><cell r="F5705" t="str"><v>DCM</v></cell><cell r="G5705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705"><cell r="K5705" t="str"><v>August</v></cell><cell r="L5705"><v>43323</v></cell><cell r="M5705" t="str"><v>Tier 0</v></cell><cell r="N5705" t="str"><v>North America</v></cell><cell r="O5705" t="str"><v>United States</v></cell><cell r="P5705" t="str"><v>Trial</v></cell><cell r="Q5705" t="str"><v>Social</v></cell><cell r="R5705" t="str"><v>Azure</v></cell><cell r="S5705" t="str"><v>Apps & Infra</v></cell><cell r="T5705" t="str"><v>Developers & ITI's</v></cell><cell r="U5705" t="str"><v>USA-Trial-ITD-Interest Prospecting-AZR-AZR</v></cell><cell r="V5705" t="str"><v>Prospecting</v></cell><cell r="W5705" t="str"><v>Canvas Collection Ad</v></cell><cell r="X5705" t="str"><v>1x1</v></cell></row><row r="5705"><cell r="AA5705"><v>43322</v></cell><cell r="AB5705" t="str"><v>USA_gaPMG_AZR_AZR_Q1_19_Direct-Social</v></cell><cell r="AC5705"><v>21358715</v></cell><cell r="AD5705"><v>720197</v></cell><cell r="AE5705" t="str"><v>Facebook</v></cell><cell r="AF5705"><v>3654128</v></cell><cell r="AG5705" t="str"><v>FACEBOOK»USA-Trial-ITD-Interest Prospecting-AZR-AZR»1 x 1»SocialBan»CCA»ALL»CPA»PRO»X»NA»SS»NA»Azure Developer Facebook Collections»PRSGV0</v></cell><cell r="AH5705"><v>225283843</v></cell><cell r="AI5705" t="str"><v>AZR_FBCollections-SmartDataTryAzureFreeCTA-Img4_USA_1200x182_SOC_Plat_EN_NA_Standard_NA_TIN_T1_4</v></cell><cell r="AJ5705"><v>103773180</v></cell></row><row r="5706"><cell r="C5706" t="str"><v>43322FACEBOOK»USA-Trial-ITD-Interest Prospecting-AZR-AZR»1 x 1»SocialBan»CCA»ALL»CPA»PRO»X»NA»SS»NA»Azure Developer Facebook Collections»PRSGV0</v></cell><cell r="D5706" t="str"><v>43322225283843</v></cell><cell r="E5706" t="str"><v>43322103874423PRSGV0</v></cell><cell r="F5706" t="str"><v>DCM</v></cell><cell r="G5706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706"><cell r="K5706" t="str"><v>August</v></cell><cell r="L5706"><v>43323</v></cell><cell r="M5706" t="str"><v>Tier 0</v></cell><cell r="N5706" t="str"><v>North America</v></cell><cell r="O5706" t="str"><v>United States</v></cell><cell r="P5706" t="str"><v>Trial</v></cell><cell r="Q5706" t="str"><v>Social</v></cell><cell r="R5706" t="str"><v>Azure</v></cell><cell r="S5706" t="str"><v>Apps & Infra</v></cell><cell r="T5706" t="str"><v>Developers & ITI's</v></cell><cell r="U5706" t="str"><v>USA-Trial-ITD-Interest Prospecting-AZR-AZR</v></cell><cell r="V5706" t="str"><v>Prospecting</v></cell><cell r="W5706" t="str"><v>Canvas Collection Ad</v></cell><cell r="X5706" t="str"><v>1x1</v></cell></row><row r="5706"><cell r="AA5706"><v>43322</v></cell><cell r="AB5706" t="str"><v>USA_gaPMG_AZR_AZR_Q1_19_Direct-Social</v></cell><cell r="AC5706"><v>21358715</v></cell><cell r="AD5706"><v>720197</v></cell><cell r="AE5706" t="str"><v>Facebook</v></cell><cell r="AF5706"><v>3654128</v></cell><cell r="AG5706" t="str"><v>FACEBOOK»USA-Trial-ITD-Interest Prospecting-AZR-AZR»1 x 1»SocialBan»CCA»ALL»CPA»PRO»X»NA»SS»NA»Azure Developer Facebook Collections»PRSGV0</v></cell><cell r="AH5706"><v>225283843</v></cell><cell r="AI5706" t="str"><v>AZR_FBCollections-TryAzureFreeCTA-Img1_USA_1200x182_SOC_Plat_EN_NA_Standard_NA_TIN_T1_1</v></cell><cell r="AJ5706"><v>103874423</v></cell></row><row r="5707"><cell r="C5707" t="str"><v>43322FACEBOOK»USA-Trial-ITD-Retargeting-AZR-AZR»1 x 1»SocialBan»LIA»ALL»CPA»RT»X»NA»SS»NA»FreeAcctITProFB-AnimatedMigration-Ch3»PRC26P</v></cell><cell r="D5707" t="str"><v>43322223934056</v></cell><cell r="E5707" t="str"><v>43322103176827PRC26P</v></cell><cell r="F5707" t="str"><v>DCM</v></cell></row><row r="5707"><cell r="K5707" t="str"><v>August</v></cell><cell r="L5707"><v>43323</v></cell><cell r="M5707" t="str"><v>Tier 0</v></cell><cell r="N5707" t="str"><v>North America</v></cell><cell r="O5707" t="str"><v>United States</v></cell><cell r="P5707" t="str"><v>Trial</v></cell><cell r="Q5707" t="str"><v>Social</v></cell><cell r="R5707" t="str"><v>Azure</v></cell><cell r="S5707" t="str"><v>Apps & Infra</v></cell><cell r="T5707" t="str"><v>Developers & ITI's</v></cell><cell r="U5707" t="str"><v>USA-Trial-ITD-Retargeting-AZR-AZR</v></cell><cell r="V5707" t="str"><v>Retargeting</v></cell><cell r="W5707" t="str"><v>Link Ad</v></cell><cell r="X5707" t="str"><v>1x1</v></cell></row><row r="5707"><cell r="AA5707"><v>43322</v></cell><cell r="AB5707" t="str"><v>USA_gaPMG_AZR_AZR_Q1_19_Direct-Social</v></cell><cell r="AC5707"><v>21358715</v></cell><cell r="AD5707"><v>720197</v></cell><cell r="AE5707" t="str"><v>Facebook</v></cell><cell r="AF5707"><v>3654128</v></cell><cell r="AG5707" t="str"><v>FACEBOOK»USA-Trial-ITD-Retargeting-AZR-AZR»1 x 1»SocialBan»LIA»ALL»CPA»RT»X»NA»SS»NA»FreeAcctITProFB-AnimatedMigration-Ch3»PRC26P</v></cell><cell r="AH5707"><v>223934056</v></cell><cell r="AI5707" t="str"><v>AZR_FreeAcctITProFB-AnimatedMigration-Ch3_USA_1200x1200_CAN_Direct_English_Trial_Standard_ANI_LEA_T3_1</v></cell><cell r="AJ5707"><v>103176827</v></cell></row><row r="5708"><cell r="C5708" t="str"><v>43322FACEBOOK»USA-Trial-ITD-Retargeting-AZR-AZR»1 x 1»SocialBan»LIA»ALL»CPA»RT»X»NA»SS»NA»FreeAcctRetargetingFB-Credit-ChA»PRC1RV</v></cell><cell r="D5708" t="str"><v>43322224106075</v></cell><cell r="E5708" t="str"><v>43322103034917PRC1RV</v></cell><cell r="F5708" t="str"><v>DCM</v></cell><cell r="G5708" t="str"><v>https://azure.microsoft.com/en-us/free/search/?OCID=AID%eexcid!_OLA_%ebuy!_%epid!_%ecid!</v></cell></row><row r="5708"><cell r="K5708" t="str"><v>August</v></cell><cell r="L5708"><v>43323</v></cell><cell r="M5708" t="str"><v>Tier 0</v></cell><cell r="N5708" t="str"><v>North America</v></cell><cell r="O5708" t="str"><v>United States</v></cell><cell r="P5708" t="str"><v>Trial</v></cell><cell r="Q5708" t="str"><v>Social</v></cell><cell r="R5708" t="str"><v>Azure</v></cell><cell r="S5708" t="str"><v>Apps & Infra</v></cell><cell r="T5708" t="str"><v>Developers & ITI's</v></cell><cell r="U5708" t="str"><v>USA-Trial-ITD-Retargeting-AZR-AZR</v></cell><cell r="V5708" t="str"><v>Retargeting</v></cell><cell r="W5708" t="str"><v>Link Ad</v></cell><cell r="X5708" t="str"><v>1x1</v></cell></row><row r="5708"><cell r="AA5708"><v>43322</v></cell><cell r="AB5708" t="str"><v>USA_gaPMG_AZR_AZR_Q1_19_Direct-Social</v></cell><cell r="AC5708"><v>21358715</v></cell><cell r="AD5708"><v>720197</v></cell><cell r="AE5708" t="str"><v>Facebook</v></cell><cell r="AF5708"><v>3654128</v></cell><cell r="AG5708" t="str"><v>FACEBOOK»USA-Trial-ITD-Retargeting-AZR-AZR»1 x 1»SocialBan»LIA»ALL»CPA»RT»X»NA»SS»NA»FreeAcctRetargetingFB-Credit-ChA»PRC1RV</v></cell><cell r="AH5708"><v>224106075</v></cell><cell r="AI5708" t="str"><v>AzurePlatform_FreeAcctRetargetingFB-Credit-ChA_USA_1200x628_CAN_PLATFORM_English_Free Account_Standard_NA_SINU_T1_2</v></cell><cell r="AJ5708"><v>103034917</v></cell></row><row r="5709"><cell r="C5709" t="str"><v>43322FACEBOOK»USA-Trial-ITD-Retargeting-AZR-AZR»1 x 1»SocialBan»LIA»ALL»CPA»RT»X»NA»SS»NA»FreeAcctRetargetingFB-GlobalAlt-ChB»PRC1RW</v></cell><cell r="D5709" t="str"><v>43322223862756</v></cell><cell r="E5709" t="str"><v>43322103180592PRC1RW</v></cell><cell r="F5709" t="str"><v>DCM</v></cell><cell r="G5709" t="str"><v>https://azure.microsoft.com/en-us/free/search/?OCID=AID%eexcid!_OLA_%ebuy!_%epid!_%ecid!</v></cell></row><row r="5709"><cell r="K5709" t="str"><v>August</v></cell><cell r="L5709"><v>43323</v></cell><cell r="M5709" t="str"><v>Tier 0</v></cell><cell r="N5709" t="str"><v>North America</v></cell><cell r="O5709" t="str"><v>United States</v></cell><cell r="P5709" t="str"><v>Trial</v></cell><cell r="Q5709" t="str"><v>Social</v></cell><cell r="R5709" t="str"><v>Azure</v></cell><cell r="S5709" t="str"><v>Apps & Infra</v></cell><cell r="T5709" t="str"><v>Developers & ITI's</v></cell><cell r="U5709" t="str"><v>USA-Trial-ITD-Retargeting-AZR-AZR</v></cell><cell r="V5709" t="str"><v>Retargeting</v></cell><cell r="W5709" t="str"><v>Link Ad</v></cell><cell r="X5709" t="str"><v>1x1</v></cell></row><row r="5709"><cell r="AA5709"><v>43322</v></cell><cell r="AB5709" t="str"><v>USA_gaPMG_AZR_AZR_Q1_19_Direct-Social</v></cell><cell r="AC5709"><v>21358715</v></cell><cell r="AD5709"><v>720197</v></cell><cell r="AE5709" t="str"><v>Facebook</v></cell><cell r="AF5709"><v>3654128</v></cell><cell r="AG5709" t="str"><v>FACEBOOK»USA-Trial-ITD-Retargeting-AZR-AZR»1 x 1»SocialBan»LIA»ALL»CPA»RT»X»NA»SS»NA»FreeAcctRetargetingFB-GlobalAlt-ChB»PRC1RW</v></cell><cell r="AH5709"><v>223862756</v></cell><cell r="AI5709" t="str"><v>AzurePlatform_FreeAcctRetargetingFB-GlobalAlt-ChB_USA_1200x628_CAN_PLATFORM_English_Free Account_Standard_NA_SINU_T2_1</v></cell><cell r="AJ5709"><v>103180592</v></cell></row><row r="5710"><cell r="C5710" t="str"><v>43322FACEBOOK»USA-Trial-ITD-Retargeting-AZR-AZR»1 x 1»SocialBan»LIA»ALL»CPA»RT»X»NA»SS»NA»FreeAcctRetargetingVMFB-750Hrs-ChD»PRC1RY</v></cell><cell r="D5710" t="str"><v>43322223862747</v></cell><cell r="E5710" t="str"><v>43322103034911PRC1RY</v></cell><cell r="F5710" t="str"><v>DCM</v></cell><cell r="G5710" t="str"><v>https://azure.microsoft.com/en-us/free/virtual-machines/search/?OCID=AID%eexcid!_OLA_%ebuy!_%epid!_%ecid!</v></cell></row><row r="5710"><cell r="K5710" t="str"><v>August</v></cell><cell r="L5710"><v>43323</v></cell><cell r="M5710" t="str"><v>Tier 0</v></cell><cell r="N5710" t="str"><v>North America</v></cell><cell r="O5710" t="str"><v>United States</v></cell><cell r="P5710" t="str"><v>Trial</v></cell><cell r="Q5710" t="str"><v>Social</v></cell><cell r="R5710" t="str"><v>Azure</v></cell><cell r="S5710" t="str"><v>Apps & Infra</v></cell><cell r="T5710" t="str"><v>Developers & ITI's</v></cell><cell r="U5710" t="str"><v>USA-Trial-ITD-Retargeting-AZR-AZR</v></cell><cell r="V5710" t="str"><v>Retargeting</v></cell><cell r="W5710" t="str"><v>Link Ad</v></cell><cell r="X5710" t="str"><v>1x1</v></cell></row><row r="5710"><cell r="AA5710"><v>43322</v></cell><cell r="AB5710" t="str"><v>USA_gaPMG_AZR_AZR_Q1_19_Direct-Social</v></cell><cell r="AC5710"><v>21358715</v></cell><cell r="AD5710"><v>720197</v></cell><cell r="AE5710" t="str"><v>Facebook</v></cell><cell r="AF5710"><v>3654128</v></cell><cell r="AG5710" t="str"><v>FACEBOOK»USA-Trial-ITD-Retargeting-AZR-AZR»1 x 1»SocialBan»LIA»ALL»CPA»RT»X»NA»SS»NA»FreeAcctRetargetingVMFB-750Hrs-ChD»PRC1RY</v></cell><cell r="AH5710"><v>223862747</v></cell><cell r="AI5710" t="str"><v>AzurePlatform_FreeAcctRetargetingVMFB-750Hrs-ChD_USA_1200x628_CAN_PLATFORM_English_Free Account_Standard_NA_SINU_T1_1</v></cell><cell r="AJ5710"><v>103034911</v></cell></row><row r="5711"><cell r="C5711" t="str"><v>43322FACEBOOK»USA-Trial-ITD-Retargeting-AZR-AZR»1 x 1»SocialBan»LIA»ALL»CPA»RT»X»NA»SS»NA»FreeAcctRetargetingVMFB-OnDemand-ChE»PRC1S0</v></cell><cell r="D5711" t="str"><v>43322224104899</v></cell><cell r="E5711" t="str"><v>43322103180610PRC1S0</v></cell><cell r="F5711" t="str"><v>DCM</v></cell><cell r="G5711" t="str"><v>https://azure.microsoft.com/en-us/free/virtual-machines/search/?OCID=AID%eexcid!_OLA_%ebuy!_%epid!_%ecid!</v></cell></row><row r="5711"><cell r="K5711" t="str"><v>August</v></cell><cell r="L5711"><v>43323</v></cell><cell r="M5711" t="str"><v>Tier 0</v></cell><cell r="N5711" t="str"><v>North America</v></cell><cell r="O5711" t="str"><v>United States</v></cell><cell r="P5711" t="str"><v>Trial</v></cell><cell r="Q5711" t="str"><v>Social</v></cell><cell r="R5711" t="str"><v>Azure</v></cell><cell r="S5711" t="str"><v>Apps & Infra</v></cell><cell r="T5711" t="str"><v>Developers & ITI's</v></cell><cell r="U5711" t="str"><v>USA-Trial-ITD-Retargeting-AZR-AZR</v></cell><cell r="V5711" t="str"><v>Retargeting</v></cell><cell r="W5711" t="str"><v>Link Ad</v></cell><cell r="X5711" t="str"><v>1x1</v></cell></row><row r="5711"><cell r="AA5711"><v>43322</v></cell><cell r="AB5711" t="str"><v>USA_gaPMG_AZR_AZR_Q1_19_Direct-Social</v></cell><cell r="AC5711"><v>21358715</v></cell><cell r="AD5711"><v>720197</v></cell><cell r="AE5711" t="str"><v>Facebook</v></cell><cell r="AF5711"><v>3654128</v></cell><cell r="AG5711" t="str"><v>FACEBOOK»USA-Trial-ITD-Retargeting-AZR-AZR»1 x 1»SocialBan»LIA»ALL»CPA»RT»X»NA»SS»NA»FreeAcctRetargetingVMFB-OnDemand-ChE»PRC1S0</v></cell><cell r="AH5711"><v>224104899</v></cell><cell r="AI5711" t="str"><v>AzurePlatform_FreeAcctRetargetingVMFB-OnDemand-ChE_USA_1200x628_CAN_PLATFORM_English_Free Account_Standard_NA_SINU_T2_1</v></cell><cell r="AJ5711"><v>103180610</v></cell></row><row r="5712"><cell r="C5712" t="str"><v>43322FACEBOOK»USA-Trial-ITD-Trial Lookalike-AZR-AZR»1 x 1»SocialBan»CAN»ALL»CPA»LAL»X»NA»SS»NA»FBCTCBenefit2inMotion»PRC1M0</v></cell><cell r="D5712" t="str"><v>43322223862927</v></cell><cell r="E5712" t="str"><v>43322103043835PRC1M0</v></cell><cell r="F5712" t="str"><v>DCM</v></cell><cell r="G5712" t="str"><v>https://signup.azure.com/?OCID=AID%eexcid!_OLA_%ebuy!_%epid!_%ecid!</v></cell></row><row r="5712"><cell r="K5712" t="str"><v>August</v></cell><cell r="L5712"><v>43323</v></cell><cell r="M5712" t="str"><v>Tier 0</v></cell><cell r="N5712" t="str"><v>North America</v></cell><cell r="O5712" t="str"><v>United States</v></cell><cell r="P5712" t="str"><v>Trial</v></cell><cell r="Q5712" t="str"><v>Social</v></cell><cell r="R5712" t="str"><v>Azure</v></cell><cell r="S5712" t="str"><v>Apps & Infra</v></cell><cell r="T5712" t="str"><v>Developers & ITI's</v></cell><cell r="U5712" t="str"><v>USA-Trial-ITD-Trial Lookalike-AZR-AZR</v></cell><cell r="V5712" t="str"><v>Lookalike Targeting</v></cell><cell r="W5712" t="str"><v>Canvas Ad</v></cell><cell r="X5712" t="str"><v>1x1</v></cell></row><row r="5712"><cell r="AA5712"><v>43322</v></cell><cell r="AB5712" t="str"><v>USA_gaPMG_AZR_AZR_Q1_19_Direct-Social</v></cell><cell r="AC5712"><v>21358715</v></cell><cell r="AD5712"><v>720197</v></cell><cell r="AE5712" t="str"><v>Facebook</v></cell><cell r="AF5712"><v>3654128</v></cell><cell r="AG5712" t="str"><v>FACEBOOK»USA-Trial-ITD-Trial Lookalike-AZR-AZR»1 x 1»SocialBan»CAN»ALL»CPA»LAL»X»NA»SS»NA»FBCTCBenefit2inMotion»PRC1M0</v></cell><cell r="AH5712"><v>223862927</v></cell><cell r="AI5712" t="str"><v>AzurePlatform_FBCTCBenefit2inMotion_USA_10s_CAN_PLATFORM_English_Trial_Standard_STAN_TIN_T4_1</v></cell><cell r="AJ5712"><v>103043835</v></cell></row><row r="5713"><cell r="C5713" t="str"><v>43322FACEBOOK»USA-Trial-ITD-Trial Lookalike-AZR-AZR»1 x 1»SocialBan»CAN»ALL»CPA»LAL»X»NA»SS»NA»FBCTCBenefitinMotion»PRC1M2</v></cell><cell r="D5713" t="str"><v>43322223862897</v></cell><cell r="E5713" t="str"><v>43322103032775PRC1M2</v></cell><cell r="F5713" t="str"><v>DCM</v></cell><cell r="G5713" t="str"><v>https://signup.azure.com/?OCID=AID%eexcid!_OLA_%ebuy!_%epid!_%ecid!</v></cell></row><row r="5713"><cell r="K5713" t="str"><v>August</v></cell><cell r="L5713"><v>43323</v></cell><cell r="M5713" t="str"><v>Tier 0</v></cell><cell r="N5713" t="str"><v>North America</v></cell><cell r="O5713" t="str"><v>United States</v></cell><cell r="P5713" t="str"><v>Trial</v></cell><cell r="Q5713" t="str"><v>Social</v></cell><cell r="R5713" t="str"><v>Azure</v></cell><cell r="S5713" t="str"><v>Apps & Infra</v></cell><cell r="T5713" t="str"><v>Developers & ITI's</v></cell><cell r="U5713" t="str"><v>USA-Trial-ITD-Trial Lookalike-AZR-AZR</v></cell><cell r="V5713" t="str"><v>Lookalike Targeting</v></cell><cell r="W5713" t="str"><v>Canvas Ad</v></cell><cell r="X5713" t="str"><v>1x1</v></cell></row><row r="5713"><cell r="AA5713"><v>43322</v></cell><cell r="AB5713" t="str"><v>USA_gaPMG_AZR_AZR_Q1_19_Direct-Social</v></cell><cell r="AC5713"><v>21358715</v></cell><cell r="AD5713"><v>720197</v></cell><cell r="AE5713" t="str"><v>Facebook</v></cell><cell r="AF5713"><v>3654128</v></cell><cell r="AG5713" t="str"><v>FACEBOOK»USA-Trial-ITD-Trial Lookalike-AZR-AZR»1 x 1»SocialBan»CAN»ALL»CPA»LAL»X»NA»SS»NA»FBCTCBenefitinMotion»PRC1M2</v></cell><cell r="AH5713"><v>223862897</v></cell><cell r="AI5713" t="str"><v>AzurePlatform_FBCTCBenefitinMotion_USA_10s_CAN_PLATFORM_English_Trial_Standard_STAN_TIN_T3_1</v></cell><cell r="AJ5713"><v>103032775</v></cell></row><row r="5714"><cell r="C5714" t="str"><v>43322FACEBOOK»USA-Trial-ITD-Trial Lookalike-AZR-AZR»1 x 1»SocialBan»CAN»ALL»CPA»LAL»X»NA»SS»NA»FBCTCBenefitinMotion»PRC1M2</v></cell><cell r="D5714" t="str"><v>43322223862897</v></cell><cell r="E5714" t="str"><v>43322103176836PRC1M2</v></cell><cell r="F5714" t="str"><v>DCM</v></cell><cell r="G5714" t="str"><v>https://azure.microsoft.com/en-us/pricing/purchase-options/?v=18.19&OCID=AID%eexcid!_OLA_%ebuy!_%epid!_%ecid!</v></cell></row><row r="5714"><cell r="K5714" t="str"><v>August</v></cell><cell r="L5714"><v>43323</v></cell><cell r="M5714" t="str"><v>Tier 0</v></cell><cell r="N5714" t="str"><v>North America</v></cell><cell r="O5714" t="str"><v>United States</v></cell><cell r="P5714" t="str"><v>Trial</v></cell><cell r="Q5714" t="str"><v>Social</v></cell><cell r="R5714" t="str"><v>Azure</v></cell><cell r="S5714" t="str"><v>Apps & Infra</v></cell><cell r="T5714" t="str"><v>Developers & ITI's</v></cell><cell r="U5714" t="str"><v>USA-Trial-ITD-Trial Lookalike-AZR-AZR</v></cell><cell r="V5714" t="str"><v>Lookalike Targeting</v></cell><cell r="W5714" t="str"><v>Canvas Ad</v></cell><cell r="X5714" t="str"><v>1x1</v></cell></row><row r="5714"><cell r="AA5714"><v>43322</v></cell><cell r="AB5714" t="str"><v>USA_gaPMG_AZR_AZR_Q1_19_Direct-Social</v></cell><cell r="AC5714"><v>21358715</v></cell><cell r="AD5714"><v>720197</v></cell><cell r="AE5714" t="str"><v>Facebook</v></cell><cell r="AF5714"><v>3654128</v></cell><cell r="AG5714" t="str"><v>FACEBOOK»USA-Trial-ITD-Trial Lookalike-AZR-AZR»1 x 1»SocialBan»CAN»ALL»CPA»LAL»X»NA»SS»NA»FBCTCBenefitinMotion»PRC1M2</v></cell><cell r="AH5714"><v>223862897</v></cell><cell r="AI5714" t="str"><v>AzurePlatform_FBCTCBenefitinMotion_USA_10s_CAN_PLATFORM_English_Trial_Standard_STAN_TIN_T3_2</v></cell><cell r="AJ5714"><v>103176836</v></cell></row><row r="5715"><cell r="C5715" t="str"><v>43322FACEBOOK»USA-Trial-ITD-Trial Lookalike-AZR-AZR»1 x 1»SocialBan»LIA»ALL»CPA»LAL»X»NA»SS»NA»FreeAcctDeveloperFB-AnimatedData-Ch4»PRC1M8</v></cell><cell r="D5715" t="str"><v>43322223862933</v></cell><cell r="E5715" t="str"><v>43322103037935PRC1M8</v></cell><cell r="F5715" t="str"><v>DCM</v></cell></row><row r="5715"><cell r="K5715" t="str"><v>August</v></cell><cell r="L5715"><v>43323</v></cell><cell r="M5715" t="str"><v>Tier 0</v></cell><cell r="N5715" t="str"><v>North America</v></cell><cell r="O5715" t="str"><v>United States</v></cell><cell r="P5715" t="str"><v>Trial</v></cell><cell r="Q5715" t="str"><v>Social</v></cell><cell r="R5715" t="str"><v>Azure</v></cell><cell r="S5715" t="str"><v>Apps & Infra</v></cell><cell r="T5715" t="str"><v>Developers & ITI's</v></cell><cell r="U5715" t="str"><v>USA-Trial-ITD-Trial Lookalike-AZR-AZR</v></cell><cell r="V5715" t="str"><v>Lookalike Targeting</v></cell><cell r="W5715" t="str"><v>Link Ad</v></cell><cell r="X5715" t="str"><v>1x1</v></cell></row><row r="5715"><cell r="AA5715"><v>43322</v></cell><cell r="AB5715" t="str"><v>USA_gaPMG_AZR_AZR_Q1_19_Direct-Social</v></cell><cell r="AC5715"><v>21358715</v></cell><cell r="AD5715"><v>720197</v></cell><cell r="AE5715" t="str"><v>Facebook</v></cell><cell r="AF5715"><v>3654128</v></cell><cell r="AG5715" t="str"><v>FACEBOOK»USA-Trial-ITD-Trial Lookalike-AZR-AZR»1 x 1»SocialBan»LIA»ALL»CPA»LAL»X»NA»SS»NA»FreeAcctDeveloperFB-AnimatedData-Ch4»PRC1M8</v></cell><cell r="AH5715"><v>223862933</v></cell><cell r="AI5715" t="str"><v>AZR_FreeAcctDeveloperFB-AnimatedData-Ch4_USA_1200x1200_CAN_Direct_English_Trial_Standard_ANI_LEA_T4_2</v></cell><cell r="AJ5715"><v>103037935</v></cell></row><row r="5716"><cell r="C5716" t="str"><v>43322FACEBOOK»USA-Trial-ITD-Trial Lookalike-AZR-AZR»1 x 1»SocialBan»CAN»ALL»CPA»LAL»X»NA»SS»NA»FBCTCBrandinMotion»PRC1M3</v></cell><cell r="D5716" t="str"><v>43322223862900</v></cell><cell r="E5716" t="str"><v>43322103176812PRC1M3</v></cell><cell r="F5716" t="str"><v>DCM</v></cell><cell r="G5716" t="str"><v>https://signup.azure.com/?OCID=AID%eexcid!_OLA_%ebuy!_%epid!_%ecid!</v></cell></row><row r="5716"><cell r="K5716" t="str"><v>August</v></cell><cell r="L5716"><v>43323</v></cell><cell r="M5716" t="str"><v>Tier 0</v></cell><cell r="N5716" t="str"><v>North America</v></cell><cell r="O5716" t="str"><v>United States</v></cell><cell r="P5716" t="str"><v>Trial</v></cell><cell r="Q5716" t="str"><v>Social</v></cell><cell r="R5716" t="str"><v>Azure</v></cell><cell r="S5716" t="str"><v>Apps & Infra</v></cell><cell r="T5716" t="str"><v>Developers & ITI's</v></cell><cell r="U5716" t="str"><v>USA-Trial-ITD-Trial Lookalike-AZR-AZR</v></cell><cell r="V5716" t="str"><v>Lookalike Targeting</v></cell><cell r="W5716" t="str"><v>Canvas Ad</v></cell><cell r="X5716" t="str"><v>1x1</v></cell></row><row r="5716"><cell r="AA5716"><v>43322</v></cell><cell r="AB5716" t="str"><v>USA_gaPMG_AZR_AZR_Q1_19_Direct-Social</v></cell><cell r="AC5716"><v>21358715</v></cell><cell r="AD5716"><v>720197</v></cell><cell r="AE5716" t="str"><v>Facebook</v></cell><cell r="AF5716"><v>3654128</v></cell><cell r="AG5716" t="str"><v>FACEBOOK»USA-Trial-ITD-Trial Lookalike-AZR-AZR»1 x 1»SocialBan»CAN»ALL»CPA»LAL»X»NA»SS»NA»FBCTCBrandinMotion»PRC1M3</v></cell><cell r="AH5716"><v>223862900</v></cell><cell r="AI5716" t="str"><v>AzurePlatform_FBCTCBrandinMotion_USA_10s_CAN_PLATFORM_English_Trial_Standard_STAN_TIN_T2_1</v></cell><cell r="AJ5716"><v>103176812</v></cell></row><row r="5717"><cell r="C5717" t="str"><v>43322FACEBOOK»USA-Trial-ITD-Trial Lookalike-AZR-AZR»1 x 1»SocialBan»CAN»ALL»CPA»LAL»X»NA»SS»NA»FBCTCBrandinMotion»PRC1M3</v></cell><cell r="D5717" t="str"><v>43322223862900</v></cell><cell r="E5717" t="str"><v>43322103032823PRC1M3</v></cell><cell r="F5717" t="str"><v>DCM</v></cell><cell r="G5717" t="str"><v>https://azure.microsoft.com/en-us/pricing/purchase-options/?v=18.19&OCID=AID%eexcid!_OLA_%ebuy!_%epid!_%ecid!</v></cell></row><row r="5717"><cell r="K5717" t="str"><v>August</v></cell><cell r="L5717"><v>43323</v></cell><cell r="M5717" t="str"><v>Tier 0</v></cell><cell r="N5717" t="str"><v>North America</v></cell><cell r="O5717" t="str"><v>United States</v></cell><cell r="P5717" t="str"><v>Trial</v></cell><cell r="Q5717" t="str"><v>Social</v></cell><cell r="R5717" t="str"><v>Azure</v></cell><cell r="S5717" t="str"><v>Apps & Infra</v></cell><cell r="T5717" t="str"><v>Developers & ITI's</v></cell><cell r="U5717" t="str"><v>USA-Trial-ITD-Trial Lookalike-AZR-AZR</v></cell><cell r="V5717" t="str"><v>Lookalike Targeting</v></cell><cell r="W5717" t="str"><v>Canvas Ad</v></cell><cell r="X5717" t="str"><v>1x1</v></cell></row><row r="5717"><cell r="AA5717"><v>43322</v></cell><cell r="AB5717" t="str"><v>USA_gaPMG_AZR_AZR_Q1_19_Direct-Social</v></cell><cell r="AC5717"><v>21358715</v></cell><cell r="AD5717"><v>720197</v></cell><cell r="AE5717" t="str"><v>Facebook</v></cell><cell r="AF5717"><v>3654128</v></cell><cell r="AG5717" t="str"><v>FACEBOOK»USA-Trial-ITD-Trial Lookalike-AZR-AZR»1 x 1»SocialBan»CAN»ALL»CPA»LAL»X»NA»SS»NA»FBCTCBrandinMotion»PRC1M3</v></cell><cell r="AH5717"><v>223862900</v></cell><cell r="AI5717" t="str"><v>AzurePlatform_FBCTCBrandinMotion_USA_10s_CAN_PLATFORM_English_Trial_Standard_STAN_TIN_T2_2</v></cell><cell r="AJ5717"><v>103032823</v></cell></row><row r="5718"><cell r="C5718" t="str"><v>43322FACEBOOK»USA-Trial-ITD-Trial PayGo Lookalike-AZR-AZR»1 x 1»SocialBan»CAN»ALL»CPA»LAL»X»NA»SS»NA»FBCTCBenefit2inMotion»PRC1Q1</v></cell><cell r="D5718" t="str"><v>43322224104986</v></cell><cell r="E5718" t="str"><v>43322103043835PRC1Q1</v></cell><cell r="F5718" t="str"><v>DCM</v></cell><cell r="G5718" t="str"><v>https://signup.azure.com/?OCID=AID%eexcid!_OLA_%ebuy!_%epid!_%ecid!</v></cell></row><row r="5718"><cell r="K5718" t="str"><v>August</v></cell><cell r="L5718"><v>43323</v></cell><cell r="M5718" t="str"><v>Tier 0</v></cell><cell r="N5718" t="str"><v>North America</v></cell><cell r="O5718" t="str"><v>United States</v></cell><cell r="P5718" t="str"><v>Trial</v></cell><cell r="Q5718" t="str"><v>Social</v></cell><cell r="R5718" t="str"><v>Azure</v></cell><cell r="S5718" t="str"><v>Apps & Infra</v></cell><cell r="T5718" t="str"><v>Developers & ITI's</v></cell><cell r="U5718" t="str"><v>USA-Trial-ITD-Trial PayGo Lookalike-AZR-AZR</v></cell><cell r="V5718" t="str"><v>Lookalike Targeting</v></cell><cell r="W5718" t="str"><v>Canvas Ad</v></cell><cell r="X5718" t="str"><v>1x1</v></cell></row><row r="5718"><cell r="AA5718"><v>43322</v></cell><cell r="AB5718" t="str"><v>USA_gaPMG_AZR_AZR_Q1_19_Direct-Social</v></cell><cell r="AC5718"><v>21358715</v></cell><cell r="AD5718"><v>720197</v></cell><cell r="AE5718" t="str"><v>Facebook</v></cell><cell r="AF5718"><v>3654128</v></cell><cell r="AG5718" t="str"><v>FACEBOOK»USA-Trial-ITD-Trial PayGo Lookalike-AZR-AZR»1 x 1»SocialBan»CAN»ALL»CPA»LAL»X»NA»SS»NA»FBCTCBenefit2inMotion»PRC1Q1</v></cell><cell r="AH5718"><v>224104986</v></cell><cell r="AI5718" t="str"><v>AzurePlatform_FBCTCBenefit2inMotion_USA_10s_CAN_PLATFORM_English_Trial_Standard_STAN_TIN_T4_1</v></cell><cell r="AJ5718"><v>103043835</v></cell></row><row r="5719"><cell r="C5719" t="str"><v>43322FACEBOOK»USA-Trial-ITD-Trial PayGo Lookalike-AZR-AZR»1 x 1»SocialBan»CAN»ALL»CPA»LAL»X»NA»SS»NA»FBCTCBrandinMotion»PRC1Q3</v></cell><cell r="D5719" t="str"><v>43322223935349</v></cell><cell r="E5719" t="str"><v>43322103176812PRC1Q3</v></cell><cell r="F5719" t="str"><v>DCM</v></cell><cell r="G5719" t="str"><v>https://signup.azure.com/?OCID=AID%eexcid!_OLA_%ebuy!_%epid!_%ecid!</v></cell></row><row r="5719"><cell r="K5719" t="str"><v>August</v></cell><cell r="L5719"><v>43323</v></cell><cell r="M5719" t="str"><v>Tier 0</v></cell><cell r="N5719" t="str"><v>North America</v></cell><cell r="O5719" t="str"><v>United States</v></cell><cell r="P5719" t="str"><v>Trial</v></cell><cell r="Q5719" t="str"><v>Social</v></cell><cell r="R5719" t="str"><v>Azure</v></cell><cell r="S5719" t="str"><v>Apps & Infra</v></cell><cell r="T5719" t="str"><v>Developers & ITI's</v></cell><cell r="U5719" t="str"><v>USA-Trial-ITD-Trial PayGo Lookalike-AZR-AZR</v></cell><cell r="V5719" t="str"><v>Lookalike Targeting</v></cell><cell r="W5719" t="str"><v>Canvas Ad</v></cell><cell r="X5719" t="str"><v>1x1</v></cell></row><row r="5719"><cell r="AA5719"><v>43322</v></cell><cell r="AB5719" t="str"><v>USA_gaPMG_AZR_AZR_Q1_19_Direct-Social</v></cell><cell r="AC5719"><v>21358715</v></cell><cell r="AD5719"><v>720197</v></cell><cell r="AE5719" t="str"><v>Facebook</v></cell><cell r="AF5719"><v>3654128</v></cell><cell r="AG5719" t="str"><v>FACEBOOK»USA-Trial-ITD-Trial PayGo Lookalike-AZR-AZR»1 x 1»SocialBan»CAN»ALL»CPA»LAL»X»NA»SS»NA»FBCTCBrandinMotion»PRC1Q3</v></cell><cell r="AH5719"><v>223935349</v></cell><cell r="AI5719" t="str"><v>AzurePlatform_FBCTCBrandinMotion_USA_10s_CAN_PLATFORM_English_Trial_Standard_STAN_TIN_T2_1</v></cell><cell r="AJ5719"><v>103176812</v></cell></row><row r="5720"><cell r="C5720" t="str"><v>43322FACEBOOK»USA-Trial-ITD-Trial PayGo Lookalike-AZR-AZR»1 x 1»SocialBan»CAN»ALL»CPA»LAL»X»NA»SS»NA»FBCTCBrandinMotion»PRC1Q3</v></cell><cell r="D5720" t="str"><v>43322223935349</v></cell><cell r="E5720" t="str"><v>43322103032823PRC1Q3</v></cell><cell r="F5720" t="str"><v>DCM</v></cell><cell r="G5720" t="str"><v>https://azure.microsoft.com/en-us/pricing/purchase-options/?v=18.19&OCID=AID%eexcid!_OLA_%ebuy!_%epid!_%ecid!</v></cell></row><row r="5720"><cell r="K5720" t="str"><v>August</v></cell><cell r="L5720"><v>43323</v></cell><cell r="M5720" t="str"><v>Tier 0</v></cell><cell r="N5720" t="str"><v>North America</v></cell><cell r="O5720" t="str"><v>United States</v></cell><cell r="P5720" t="str"><v>Trial</v></cell><cell r="Q5720" t="str"><v>Social</v></cell><cell r="R5720" t="str"><v>Azure</v></cell><cell r="S5720" t="str"><v>Apps & Infra</v></cell><cell r="T5720" t="str"><v>Developers & ITI's</v></cell><cell r="U5720" t="str"><v>USA-Trial-ITD-Trial PayGo Lookalike-AZR-AZR</v></cell><cell r="V5720" t="str"><v>Lookalike Targeting</v></cell><cell r="W5720" t="str"><v>Canvas Ad</v></cell><cell r="X5720" t="str"><v>1x1</v></cell></row><row r="5720"><cell r="AA5720"><v>43322</v></cell><cell r="AB5720" t="str"><v>USA_gaPMG_AZR_AZR_Q1_19_Direct-Social</v></cell><cell r="AC5720"><v>21358715</v></cell><cell r="AD5720"><v>720197</v></cell><cell r="AE5720" t="str"><v>Facebook</v></cell><cell r="AF5720"><v>3654128</v></cell><cell r="AG5720" t="str"><v>FACEBOOK»USA-Trial-ITD-Trial PayGo Lookalike-AZR-AZR»1 x 1»SocialBan»CAN»ALL»CPA»LAL»X»NA»SS»NA»FBCTCBrandinMotion»PRC1Q3</v></cell><cell r="AH5720"><v>223935349</v></cell><cell r="AI5720" t="str"><v>AzurePlatform_FBCTCBrandinMotion_USA_10s_CAN_PLATFORM_English_Trial_Standard_STAN_TIN_T2_2</v></cell><cell r="AJ5720"><v>103032823</v></cell></row><row r="5721"><cell r="C5721" t="str"><v>43322FACEBOOK»USA-Trial-ITD-Trial PayGo Lookalike-AZR-AZR»1 x 1»SocialBan»CAN»ALL»CPA»LAL»X»NA»SS»NA»FBCTCBenefitinMotion»PRC1Q2</v></cell><cell r="D5721" t="str"><v>43322223862960</v></cell><cell r="E5721" t="str"><v>43322103032775PRC1Q2</v></cell><cell r="F5721" t="str"><v>DCM</v></cell><cell r="G5721" t="str"><v>https://signup.azure.com/?OCID=AID%eexcid!_OLA_%ebuy!_%epid!_%ecid!</v></cell></row><row r="5721"><cell r="K5721" t="str"><v>August</v></cell><cell r="L5721"><v>43323</v></cell><cell r="M5721" t="str"><v>Tier 0</v></cell><cell r="N5721" t="str"><v>North America</v></cell><cell r="O5721" t="str"><v>United States</v></cell><cell r="P5721" t="str"><v>Trial</v></cell><cell r="Q5721" t="str"><v>Social</v></cell><cell r="R5721" t="str"><v>Azure</v></cell><cell r="S5721" t="str"><v>Apps & Infra</v></cell><cell r="T5721" t="str"><v>Developers & ITI's</v></cell><cell r="U5721" t="str"><v>USA-Trial-ITD-Trial PayGo Lookalike-AZR-AZR</v></cell><cell r="V5721" t="str"><v>Lookalike Targeting</v></cell><cell r="W5721" t="str"><v>Canvas Ad</v></cell><cell r="X5721" t="str"><v>1x1</v></cell></row><row r="5721"><cell r="AA5721"><v>43322</v></cell><cell r="AB5721" t="str"><v>USA_gaPMG_AZR_AZR_Q1_19_Direct-Social</v></cell><cell r="AC5721"><v>21358715</v></cell><cell r="AD5721"><v>720197</v></cell><cell r="AE5721" t="str"><v>Facebook</v></cell><cell r="AF5721"><v>3654128</v></cell><cell r="AG5721" t="str"><v>FACEBOOK»USA-Trial-ITD-Trial PayGo Lookalike-AZR-AZR»1 x 1»SocialBan»CAN»ALL»CPA»LAL»X»NA»SS»NA»FBCTCBenefitinMotion»PRC1Q2</v></cell><cell r="AH5721"><v>223862960</v></cell><cell r="AI5721" t="str"><v>AzurePlatform_FBCTCBenefitinMotion_USA_10s_CAN_PLATFORM_English_Trial_Standard_STAN_TIN_T3_1</v></cell><cell r="AJ5721"><v>103032775</v></cell></row><row r="5722"><cell r="C5722" t="str"><v>43322FACEBOOK»USA-Trial-ITD-Trial PayGo Lookalike-AZR-AZR»1 x 1»SocialBan»CAN»ALL»CPA»LAL»X»NA»SS»NA»FBCTCBenefitinMotion»PRC1Q2</v></cell><cell r="D5722" t="str"><v>43322223862960</v></cell><cell r="E5722" t="str"><v>43322103176836PRC1Q2</v></cell><cell r="F5722" t="str"><v>DCM</v></cell><cell r="G5722" t="str"><v>https://azure.microsoft.com/en-us/pricing/purchase-options/?v=18.19&OCID=AID%eexcid!_OLA_%ebuy!_%epid!_%ecid!</v></cell></row><row r="5722"><cell r="K5722" t="str"><v>August</v></cell><cell r="L5722"><v>43323</v></cell><cell r="M5722" t="str"><v>Tier 0</v></cell><cell r="N5722" t="str"><v>North America</v></cell><cell r="O5722" t="str"><v>United States</v></cell><cell r="P5722" t="str"><v>Trial</v></cell><cell r="Q5722" t="str"><v>Social</v></cell><cell r="R5722" t="str"><v>Azure</v></cell><cell r="S5722" t="str"><v>Apps & Infra</v></cell><cell r="T5722" t="str"><v>Developers & ITI's</v></cell><cell r="U5722" t="str"><v>USA-Trial-ITD-Trial PayGo Lookalike-AZR-AZR</v></cell><cell r="V5722" t="str"><v>Lookalike Targeting</v></cell><cell r="W5722" t="str"><v>Canvas Ad</v></cell><cell r="X5722" t="str"><v>1x1</v></cell></row><row r="5722"><cell r="AA5722"><v>43322</v></cell><cell r="AB5722" t="str"><v>USA_gaPMG_AZR_AZR_Q1_19_Direct-Social</v></cell><cell r="AC5722"><v>21358715</v></cell><cell r="AD5722"><v>720197</v></cell><cell r="AE5722" t="str"><v>Facebook</v></cell><cell r="AF5722"><v>3654128</v></cell><cell r="AG5722" t="str"><v>FACEBOOK»USA-Trial-ITD-Trial PayGo Lookalike-AZR-AZR»1 x 1»SocialBan»CAN»ALL»CPA»LAL»X»NA»SS»NA»FBCTCBenefitinMotion»PRC1Q2</v></cell><cell r="AH5722"><v>223862960</v></cell><cell r="AI5722" t="str"><v>AzurePlatform_FBCTCBenefitinMotion_USA_10s_CAN_PLATFORM_English_Trial_Standard_STAN_TIN_T3_2</v></cell><cell r="AJ5722"><v>103176836</v></cell></row><row r="5723"><cell r="C5723" t="str"><v>43322FACEBOOK»USA-Trial-ITD-Trial PayGo Lookalike-AZR-AZR»1 x 1»SocialBan»LIA»ALL»CPA»LAL»X»NA»SS»NA»FreeAcctDeveloperFB-AnimatedGeneric-Ch1»PRC1Q6</v></cell><cell r="D5723" t="str"><v>43322224106129</v></cell><cell r="E5723" t="str"><v>43322103176851PRC1Q6</v></cell><cell r="F5723" t="str"><v>DCM</v></cell><cell r="G5723" t="str"><v>https://azure.microsoft.com/en-us/free/search/?OCID=AID%eexcid!_OLA_%ebuy!_%epid!_%ecid!</v></cell></row><row r="5723"><cell r="K5723" t="str"><v>August</v></cell><cell r="L5723"><v>43323</v></cell><cell r="M5723" t="str"><v>Tier 0</v></cell><cell r="N5723" t="str"><v>North America</v></cell><cell r="O5723" t="str"><v>United States</v></cell><cell r="P5723" t="str"><v>Trial</v></cell><cell r="Q5723" t="str"><v>Social</v></cell><cell r="R5723" t="str"><v>Azure</v></cell><cell r="S5723" t="str"><v>Apps & Infra</v></cell><cell r="T5723" t="str"><v>Developers & ITI's</v></cell><cell r="U5723" t="str"><v>USA-Trial-ITD-Trial PayGo Lookalike-AZR-AZR</v></cell><cell r="V5723" t="str"><v>Lookalike Targeting</v></cell><cell r="W5723" t="str"><v>Link Ad</v></cell><cell r="X5723" t="str"><v>1x1</v></cell></row><row r="5723"><cell r="AA5723"><v>43322</v></cell><cell r="AB5723" t="str"><v>USA_gaPMG_AZR_AZR_Q1_19_Direct-Social</v></cell><cell r="AC5723"><v>21358715</v></cell><cell r="AD5723"><v>720197</v></cell><cell r="AE5723" t="str"><v>Facebook</v></cell><cell r="AF5723"><v>3654128</v></cell><cell r="AG5723" t="str"><v>FACEBOOK»USA-Trial-ITD-Trial PayGo Lookalike-AZR-AZR»1 x 1»SocialBan»LIA»ALL»CPA»LAL»X»NA»SS»NA»FreeAcctDeveloperFB-AnimatedGeneric-Ch1»PRC1Q6</v></cell><cell r="AH5723"><v>224106129</v></cell><cell r="AI5723" t="str"><v>AZR_FreeAcctDeveloperFB-AnimatedGeneric-Ch1_USA_1200x1200_CAN_Direct_English_Trial_Standard_ANI_LEA_T1_2</v></cell><cell r="AJ5723"><v>103176851</v></cell></row><row r="5724"><cell r="C5724" t="str"><v>43322FACEBOOK»USA-Trial-ITD-Trial PayGo Lookalike-AZR-AZR»1 x 1»SocialBan»CCA»ALL»CPA»LAL»X»NA»SS»NA»Azure Developer Facebook Collections»PRSH6K</v></cell><cell r="D5724" t="str"><v>43322225217676</v></cell><cell r="E5724" t="str"><v>43322103874423PRSH6K</v></cell><cell r="F5724" t="str"><v>DCM</v></cell><cell r="G5724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724"><cell r="K5724" t="str"><v>August</v></cell><cell r="L5724"><v>43323</v></cell><cell r="M5724" t="str"><v>Tier 0</v></cell><cell r="N5724" t="str"><v>North America</v></cell><cell r="O5724" t="str"><v>United States</v></cell><cell r="P5724" t="str"><v>Trial</v></cell><cell r="Q5724" t="str"><v>Social</v></cell><cell r="R5724" t="str"><v>Azure</v></cell><cell r="S5724" t="str"><v>Apps & Infra</v></cell><cell r="T5724" t="str"><v>Developers & ITI's</v></cell><cell r="U5724" t="str"><v>USA-Trial-ITD-Trial PayGo Lookalike-AZR-AZR</v></cell><cell r="V5724" t="str"><v>Lookalike Targeting</v></cell><cell r="W5724" t="str"><v>Canvas Collection Ad</v></cell><cell r="X5724" t="str"><v>1x1</v></cell></row><row r="5724"><cell r="AA5724"><v>43322</v></cell><cell r="AB5724" t="str"><v>USA_gaPMG_AZR_AZR_Q1_19_Direct-Social</v></cell><cell r="AC5724"><v>21358715</v></cell><cell r="AD5724"><v>720197</v></cell><cell r="AE5724" t="str"><v>Facebook</v></cell><cell r="AF5724"><v>3654128</v></cell><cell r="AG5724" t="str"><v>FACEBOOK»USA-Trial-ITD-Trial PayGo Lookalike-AZR-AZR»1 x 1»SocialBan»CCA»ALL»CPA»LAL»X»NA»SS»NA»Azure Developer Facebook Collections»PRSH6K</v></cell><cell r="AH5724"><v>225217676</v></cell><cell r="AI5724" t="str"><v>AZR_FBCollections-TryAzureFreeCTA-Img1_USA_1200x182_SOC_Plat_EN_NA_Standard_NA_TIN_T1_1</v></cell><cell r="AJ5724"><v>103874423</v></cell></row><row r="5725"><cell r="C5725" t="str"><v>43322FACEBOOK»USA-Trial-ITD-Retargeting-AZR-AZR»1 x 1»SocialBan»CCA»ALL»CPA»RT»X»NA»SS»NA»Azure Developer Facebook Collections»PRSGY7</v></cell><cell r="D5725" t="str"><v>43322225283585</v></cell><cell r="E5725" t="str"><v>43322103773177PRSGY7</v></cell><cell r="F5725" t="str"><v>DCM</v></cell><cell r="G5725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725"><cell r="K5725" t="str"><v>August</v></cell><cell r="L5725"><v>43323</v></cell><cell r="M5725" t="str"><v>Tier 0</v></cell><cell r="N5725" t="str"><v>North America</v></cell><cell r="O5725" t="str"><v>United States</v></cell><cell r="P5725" t="str"><v>Trial</v></cell><cell r="Q5725" t="str"><v>Social</v></cell><cell r="R5725" t="str"><v>Azure</v></cell><cell r="S5725" t="str"><v>Apps & Infra</v></cell><cell r="T5725" t="str"><v>Developers & ITI's</v></cell><cell r="U5725" t="str"><v>USA-Trial-ITD-Retargeting-AZR-AZR</v></cell><cell r="V5725" t="str"><v>Retargeting</v></cell><cell r="W5725" t="str"><v>Canvas Collection Ad</v></cell><cell r="X5725" t="str"><v>1x1</v></cell></row><row r="5725"><cell r="AA5725"><v>43322</v></cell><cell r="AB5725" t="str"><v>USA_gaPMG_AZR_AZR_Q1_19_Direct-Social</v></cell><cell r="AC5725"><v>21358715</v></cell><cell r="AD5725"><v>720197</v></cell><cell r="AE5725" t="str"><v>Facebook</v></cell><cell r="AF5725"><v>3654128</v></cell><cell r="AG5725" t="str"><v>FACEBOOK»USA-Trial-ITD-Retargeting-AZR-AZR»1 x 1»SocialBan»CCA»ALL»CPA»RT»X»NA»SS»NA»Azure Developer Facebook Collections»PRSGY7</v></cell><cell r="AH5725"><v>225283585</v></cell><cell r="AI5725" t="str"><v>AZR_FBCollections-AITryAzureFreeCTA-Img2_USA_1200x182_SOC_Plat_EN_NA_Standard_NA_TIN_T1_2</v></cell><cell r="AJ5725"><v>103773177</v></cell></row><row r="5726"><cell r="C5726" t="str"><v>43322FACEBOOK»USA-Trial-ITD-Retargeting-AZR-AZR»1 x 1»SocialBan»CCA»ALL»CPA»RT»X»NA»SS»NA»Azure Developer Facebook Collections»PRSGY7</v></cell><cell r="D5726" t="str"><v>43322225283585</v></cell><cell r="E5726" t="str"><v>43322103776921PRSGY7</v></cell><cell r="F5726" t="str"><v>DCM</v></cell><cell r="G5726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726"><cell r="K5726" t="str"><v>August</v></cell><cell r="L5726"><v>43323</v></cell><cell r="M5726" t="str"><v>Tier 0</v></cell><cell r="N5726" t="str"><v>North America</v></cell><cell r="O5726" t="str"><v>United States</v></cell><cell r="P5726" t="str"><v>Trial</v></cell><cell r="Q5726" t="str"><v>Social</v></cell><cell r="R5726" t="str"><v>Azure</v></cell><cell r="S5726" t="str"><v>Apps & Infra</v></cell><cell r="T5726" t="str"><v>Developers & ITI's</v></cell><cell r="U5726" t="str"><v>USA-Trial-ITD-Retargeting-AZR-AZR</v></cell><cell r="V5726" t="str"><v>Retargeting</v></cell><cell r="W5726" t="str"><v>Canvas Collection Ad</v></cell><cell r="X5726" t="str"><v>1x1</v></cell></row><row r="5726"><cell r="AA5726"><v>43322</v></cell><cell r="AB5726" t="str"><v>USA_gaPMG_AZR_AZR_Q1_19_Direct-Social</v></cell><cell r="AC5726"><v>21358715</v></cell><cell r="AD5726"><v>720197</v></cell><cell r="AE5726" t="str"><v>Facebook</v></cell><cell r="AF5726"><v>3654128</v></cell><cell r="AG5726" t="str"><v>FACEBOOK»USA-Trial-ITD-Retargeting-AZR-AZR»1 x 1»SocialBan»CCA»ALL»CPA»RT»X»NA»SS»NA»Azure Developer Facebook Collections»PRSGY7</v></cell><cell r="AH5726"><v>225283585</v></cell><cell r="AI5726" t="str"><v>AZR_FBCollections-FreeStuffTryAzureFreeCTA-Img5_USA_1200x182_SOC_Plat_EN_NA_Standard_NA_TIN_T1_5</v></cell><cell r="AJ5726"><v>103776921</v></cell></row><row r="5727"><cell r="C5727" t="str"><v>43322FACEBOOK»USA-Trial-ITD-Retargeting-AZR-AZR»1 x 1»SocialBan»CCA»ALL»CPA»RT»X»NA»SS»NA»Azure Developer Facebook Collections»PRSGY7</v></cell><cell r="D5727" t="str"><v>43322225283585</v></cell><cell r="E5727" t="str"><v>43322103874423PRSGY7</v></cell><cell r="F5727" t="str"><v>DCM</v></cell><cell r="G5727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727"><cell r="K5727" t="str"><v>August</v></cell><cell r="L5727"><v>43323</v></cell><cell r="M5727" t="str"><v>Tier 0</v></cell><cell r="N5727" t="str"><v>North America</v></cell><cell r="O5727" t="str"><v>United States</v></cell><cell r="P5727" t="str"><v>Trial</v></cell><cell r="Q5727" t="str"><v>Social</v></cell><cell r="R5727" t="str"><v>Azure</v></cell><cell r="S5727" t="str"><v>Apps & Infra</v></cell><cell r="T5727" t="str"><v>Developers & ITI's</v></cell><cell r="U5727" t="str"><v>USA-Trial-ITD-Retargeting-AZR-AZR</v></cell><cell r="V5727" t="str"><v>Retargeting</v></cell><cell r="W5727" t="str"><v>Canvas Collection Ad</v></cell><cell r="X5727" t="str"><v>1x1</v></cell></row><row r="5727"><cell r="AA5727"><v>43322</v></cell><cell r="AB5727" t="str"><v>USA_gaPMG_AZR_AZR_Q1_19_Direct-Social</v></cell><cell r="AC5727"><v>21358715</v></cell><cell r="AD5727"><v>720197</v></cell><cell r="AE5727" t="str"><v>Facebook</v></cell><cell r="AF5727"><v>3654128</v></cell><cell r="AG5727" t="str"><v>FACEBOOK»USA-Trial-ITD-Retargeting-AZR-AZR»1 x 1»SocialBan»CCA»ALL»CPA»RT»X»NA»SS»NA»Azure Developer Facebook Collections»PRSGY7</v></cell><cell r="AH5727"><v>225283585</v></cell><cell r="AI5727" t="str"><v>AZR_FBCollections-TryAzureFreeCTA-Img1_USA_1200x182_SOC_Plat_EN_NA_Standard_NA_TIN_T1_1</v></cell><cell r="AJ5727"><v>103874423</v></cell></row><row r="5728"><cell r="C5728" t="str"><v>43322INSTAGRAM»USA-Trial-ITD-Interest Prospecting-AZR-AZR»1 x 1»SocialBan»CAN»ALL»CPA»PRO»X»NA»SS»NA»IGCTCBenefit2inMotion»PRC2PD</v></cell><cell r="D5728" t="str"><v>43322223933084</v></cell><cell r="E5728" t="str"><v>43322103180628PRC2PD</v></cell><cell r="F5728" t="str"><v>DCM</v></cell><cell r="G5728" t="str"><v>https://signup.azure.com/?OCID=AID%eexcid!_OLA_%ebuy!_%epid!_%ecid!</v></cell></row><row r="5728"><cell r="K5728" t="str"><v>August</v></cell><cell r="L5728"><v>43323</v></cell><cell r="M5728" t="str"><v>Tier 0</v></cell><cell r="N5728" t="str"><v>North America</v></cell><cell r="O5728" t="str"><v>United States</v></cell><cell r="P5728" t="str"><v>Trial</v></cell><cell r="Q5728" t="str"><v>Social</v></cell><cell r="R5728" t="str"><v>Azure</v></cell><cell r="S5728" t="str"><v>Apps & Infra</v></cell><cell r="T5728" t="str"><v>Developers & ITI's</v></cell><cell r="U5728" t="str"><v>USA-Trial-ITD-Interest Prospecting-AZR-AZR</v></cell><cell r="V5728" t="str"><v>Prospecting</v></cell><cell r="W5728" t="str"><v>Canvas Ad</v></cell><cell r="X5728" t="str"><v>1x1</v></cell></row><row r="5728"><cell r="AA5728"><v>43322</v></cell><cell r="AB5728" t="str"><v>USA_gaPMG_AZR_AZR_Q1_19_Direct-Social</v></cell><cell r="AC5728"><v>21358715</v></cell><cell r="AD5728"><v>720197</v></cell><cell r="AE5728" t="str"><v>Facebook - Instagram</v></cell><cell r="AF5728"><v>3654128</v></cell><cell r="AG5728" t="str"><v>INSTAGRAM»USA-Trial-ITD-Interest Prospecting-AZR-AZR»1 x 1»SocialBan»CAN»ALL»CPA»PRO»X»NA»SS»NA»IGCTCBenefit2inMotion»PRC2PD</v></cell><cell r="AH5728"><v>223933084</v></cell><cell r="AI5728" t="str"><v>AzurePlatform_IGCTCBrandinMotion_USA_10s_CAN_PLATFORM_English_Trial_Standard_STAN_TIN_T2_1</v></cell><cell r="AJ5728"><v>103180628</v></cell></row><row r="5729"><cell r="C5729" t="str"><v>43322INSTAGRAM»USA-Trial-ITD-Interest Prospecting-AZR-AZR»1 x 1»SocialBan»CAN»ALL»CPA»PRO»X»NA»SS»NA»IGCTCBrandinMotion»PRC2PB</v></cell><cell r="D5729" t="str"><v>43322223862690</v></cell><cell r="E5729" t="str"><v>43322103050783PRC2PB</v></cell><cell r="F5729" t="str"><v>DCM</v></cell><cell r="G5729" t="str"><v>https://signup.azure.com/?OCID=AID%eexcid!_OLA_%ebuy!_%epid!_%ecid!</v></cell></row><row r="5729"><cell r="K5729" t="str"><v>August</v></cell><cell r="L5729"><v>43323</v></cell><cell r="M5729" t="str"><v>Tier 0</v></cell><cell r="N5729" t="str"><v>North America</v></cell><cell r="O5729" t="str"><v>United States</v></cell><cell r="P5729" t="str"><v>Trial</v></cell><cell r="Q5729" t="str"><v>Social</v></cell><cell r="R5729" t="str"><v>Azure</v></cell><cell r="S5729" t="str"><v>Apps & Infra</v></cell><cell r="T5729" t="str"><v>Developers & ITI's</v></cell><cell r="U5729" t="str"><v>USA-Trial-ITD-Interest Prospecting-AZR-AZR</v></cell><cell r="V5729" t="str"><v>Prospecting</v></cell><cell r="W5729" t="str"><v>Canvas Ad</v></cell><cell r="X5729" t="str"><v>1x1</v></cell></row><row r="5729"><cell r="AA5729"><v>43322</v></cell><cell r="AB5729" t="str"><v>USA_gaPMG_AZR_AZR_Q1_19_Direct-Social</v></cell><cell r="AC5729"><v>21358715</v></cell><cell r="AD5729"><v>720197</v></cell><cell r="AE5729" t="str"><v>Facebook - Instagram</v></cell><cell r="AF5729"><v>3654128</v></cell><cell r="AG5729" t="str"><v>INSTAGRAM»USA-Trial-ITD-Interest Prospecting-AZR-AZR»1 x 1»SocialBan»CAN»ALL»CPA»PRO»X»NA»SS»NA»IGCTCBrandinMotion»PRC2PB</v></cell><cell r="AH5729"><v>223862690</v></cell><cell r="AI5729" t="str"><v>AzurePlatform_IGCTCBenefit2inMotion_USA_10s_CAN_PLATFORM_English_Trial_Standard_STAN_TIN_T4_1</v></cell><cell r="AJ5729"><v>103050783</v></cell></row><row r="5730"><cell r="C5730" t="str"><v>43322INSTAGRAM»USA-Trial-ITD-Retargeting-AZR-AZR»1 x 1»SocialBan»CAN»ALL»CPA»RT»X»NA»SS»NA»IGCTCBrandinMotion»PRC2G3</v></cell><cell r="D5730" t="str"><v>43322224107014</v></cell><cell r="E5730" t="str"><v>43322103050783PRC2G3</v></cell><cell r="F5730" t="str"><v>DCM</v></cell><cell r="G5730" t="str"><v>https://signup.azure.com/?OCID=AID%eexcid!_OLA_%ebuy!_%epid!_%ecid!</v></cell></row><row r="5730"><cell r="K5730" t="str"><v>August</v></cell><cell r="L5730"><v>43323</v></cell><cell r="M5730" t="str"><v>Tier 0</v></cell><cell r="N5730" t="str"><v>North America</v></cell><cell r="O5730" t="str"><v>United States</v></cell><cell r="P5730" t="str"><v>Trial</v></cell><cell r="Q5730" t="str"><v>Social</v></cell><cell r="R5730" t="str"><v>Azure</v></cell><cell r="S5730" t="str"><v>Apps & Infra</v></cell><cell r="T5730" t="str"><v>Developers & ITI's</v></cell><cell r="U5730" t="str"><v>USA-Trial-ITD-Retargeting-AZR-AZR</v></cell><cell r="V5730" t="str"><v>Retargeting</v></cell><cell r="W5730" t="str"><v>Canvas Ad</v></cell><cell r="X5730" t="str"><v>1x1</v></cell></row><row r="5730"><cell r="AA5730"><v>43322</v></cell><cell r="AB5730" t="str"><v>USA_gaPMG_AZR_AZR_Q1_19_Direct-Social</v></cell><cell r="AC5730"><v>21358715</v></cell><cell r="AD5730"><v>720197</v></cell><cell r="AE5730" t="str"><v>Facebook - Instagram</v></cell><cell r="AF5730"><v>3654128</v></cell><cell r="AG5730" t="str"><v>INSTAGRAM»USA-Trial-ITD-Retargeting-AZR-AZR»1 x 1»SocialBan»CAN»ALL»CPA»RT»X»NA»SS»NA»IGCTCBrandinMotion»PRC2G3</v></cell><cell r="AH5730"><v>224107014</v></cell><cell r="AI5730" t="str"><v>AzurePlatform_IGCTCBenefit2inMotion_USA_10s_CAN_PLATFORM_English_Trial_Standard_STAN_TIN_T4_1</v></cell><cell r="AJ5730"><v>103050783</v></cell></row><row r="5731"><cell r="C5731" t="str"><v>43322INSTAGRAM»USA-Trial-ITD-Retargeting-AZR-AZR»1 x 1»SocialBan»CAN»ALL»CPA»RT»X»NA»SS»NA»IGCTCBenefit2inMotion»PRC2G6</v></cell><cell r="D5731" t="str"><v>43322224105001</v></cell><cell r="E5731" t="str"><v>43322103180628PRC2G6</v></cell><cell r="F5731" t="str"><v>DCM</v></cell><cell r="G5731" t="str"><v>https://signup.azure.com/?OCID=AID%eexcid!_OLA_%ebuy!_%epid!_%ecid!</v></cell></row><row r="5731"><cell r="K5731" t="str"><v>August</v></cell><cell r="L5731"><v>43323</v></cell><cell r="M5731" t="str"><v>Tier 0</v></cell><cell r="N5731" t="str"><v>North America</v></cell><cell r="O5731" t="str"><v>United States</v></cell><cell r="P5731" t="str"><v>Trial</v></cell><cell r="Q5731" t="str"><v>Social</v></cell><cell r="R5731" t="str"><v>Azure</v></cell><cell r="S5731" t="str"><v>Apps & Infra</v></cell><cell r="T5731" t="str"><v>Developers & ITI's</v></cell><cell r="U5731" t="str"><v>USA-Trial-ITD-Retargeting-AZR-AZR</v></cell><cell r="V5731" t="str"><v>Retargeting</v></cell><cell r="W5731" t="str"><v>Canvas Ad</v></cell><cell r="X5731" t="str"><v>1x1</v></cell></row><row r="5731"><cell r="AA5731"><v>43322</v></cell><cell r="AB5731" t="str"><v>USA_gaPMG_AZR_AZR_Q1_19_Direct-Social</v></cell><cell r="AC5731"><v>21358715</v></cell><cell r="AD5731"><v>720197</v></cell><cell r="AE5731" t="str"><v>Facebook - Instagram</v></cell><cell r="AF5731"><v>3654128</v></cell><cell r="AG5731" t="str"><v>INSTAGRAM»USA-Trial-ITD-Retargeting-AZR-AZR»1 x 1»SocialBan»CAN»ALL»CPA»RT»X»NA»SS»NA»IGCTCBenefit2inMotion»PRC2G6</v></cell><cell r="AH5731"><v>224105001</v></cell><cell r="AI5731" t="str"><v>AzurePlatform_IGCTCBrandinMotion_USA_10s_CAN_PLATFORM_English_Trial_Standard_STAN_TIN_T2_1</v></cell><cell r="AJ5731"><v>103180628</v></cell></row><row r="5732"><cell r="C5732" t="str"><v>43322INSTAGRAM»USA-Trial-ITD-Trial Lookalike-AZR-AZR»1 x 1»SocialBan»CAN»ALL»CPA»LAL»X»NA»SS»NA»IGCTCBenefit2inMotion»PRC2FL</v></cell><cell r="D5732" t="str"><v>43322223935022</v></cell><cell r="E5732" t="str"><v>43322103180628PRC2FL</v></cell><cell r="F5732" t="str"><v>DCM</v></cell><cell r="G5732" t="str"><v>https://signup.azure.com/?OCID=AID%eexcid!_OLA_%ebuy!_%epid!_%ecid!</v></cell></row><row r="5732"><cell r="K5732" t="str"><v>August</v></cell><cell r="L5732"><v>43323</v></cell><cell r="M5732" t="str"><v>Tier 0</v></cell><cell r="N5732" t="str"><v>North America</v></cell><cell r="O5732" t="str"><v>United States</v></cell><cell r="P5732" t="str"><v>Trial</v></cell><cell r="Q5732" t="str"><v>Social</v></cell><cell r="R5732" t="str"><v>Azure</v></cell><cell r="S5732" t="str"><v>Apps & Infra</v></cell><cell r="T5732" t="str"><v>Developers & ITI's</v></cell><cell r="U5732" t="str"><v>USA-Trial-ITD-Trial Lookalike-AZR-AZR</v></cell><cell r="V5732" t="str"><v>Lookalike Targeting</v></cell><cell r="W5732" t="str"><v>Canvas Ad</v></cell><cell r="X5732" t="str"><v>1x1</v></cell></row><row r="5732"><cell r="AA5732"><v>43322</v></cell><cell r="AB5732" t="str"><v>USA_gaPMG_AZR_AZR_Q1_19_Direct-Social</v></cell><cell r="AC5732"><v>21358715</v></cell><cell r="AD5732"><v>720197</v></cell><cell r="AE5732" t="str"><v>Facebook - Instagram</v></cell><cell r="AF5732"><v>3654128</v></cell><cell r="AG5732" t="str"><v>INSTAGRAM»USA-Trial-ITD-Trial Lookalike-AZR-AZR»1 x 1»SocialBan»CAN»ALL»CPA»LAL»X»NA»SS»NA»IGCTCBenefit2inMotion»PRC2FL</v></cell><cell r="AH5732"><v>223935022</v></cell><cell r="AI5732" t="str"><v>AzurePlatform_IGCTCBrandinMotion_USA_10s_CAN_PLATFORM_English_Trial_Standard_STAN_TIN_T2_1</v></cell><cell r="AJ5732"><v>103180628</v></cell></row><row r="5733"><cell r="C5733" t="str"><v>43322INSTAGRAM»USA-Trial-ITD-Trial Lookalike-AZR-AZR»1 x 1»SocialBan»CAN»ALL»CPA»LAL»X»NA»SS»NA»IGCTCBenefit2inMotion»PRC2FL</v></cell><cell r="D5733" t="str"><v>43322223935022</v></cell><cell r="E5733" t="str"><v>43322103050786PRC2FL</v></cell><cell r="F5733" t="str"><v>DCM</v></cell><cell r="G5733" t="str"><v>https://azure.microsoft.com/en-us/pricing/purchase-options/?v=18.19&OCID=AID%eexcid!_OLA_%ebuy!_%epid!_%ecid!</v></cell></row><row r="5733"><cell r="K5733" t="str"><v>August</v></cell><cell r="L5733"><v>43323</v></cell><cell r="M5733" t="str"><v>Tier 0</v></cell><cell r="N5733" t="str"><v>North America</v></cell><cell r="O5733" t="str"><v>United States</v></cell><cell r="P5733" t="str"><v>Trial</v></cell><cell r="Q5733" t="str"><v>Social</v></cell><cell r="R5733" t="str"><v>Azure</v></cell><cell r="S5733" t="str"><v>Apps & Infra</v></cell><cell r="T5733" t="str"><v>Developers & ITI's</v></cell><cell r="U5733" t="str"><v>USA-Trial-ITD-Trial Lookalike-AZR-AZR</v></cell><cell r="V5733" t="str"><v>Lookalike Targeting</v></cell><cell r="W5733" t="str"><v>Canvas Ad</v></cell><cell r="X5733" t="str"><v>1x1</v></cell></row><row r="5733"><cell r="AA5733"><v>43322</v></cell><cell r="AB5733" t="str"><v>USA_gaPMG_AZR_AZR_Q1_19_Direct-Social</v></cell><cell r="AC5733"><v>21358715</v></cell><cell r="AD5733"><v>720197</v></cell><cell r="AE5733" t="str"><v>Facebook - Instagram</v></cell><cell r="AF5733"><v>3654128</v></cell><cell r="AG5733" t="str"><v>INSTAGRAM»USA-Trial-ITD-Trial Lookalike-AZR-AZR»1 x 1»SocialBan»CAN»ALL»CPA»LAL»X»NA»SS»NA»IGCTCBenefit2inMotion»PRC2FL</v></cell><cell r="AH5733"><v>223935022</v></cell><cell r="AI5733" t="str"><v>AzurePlatform_IGCTCBrandinMotion_USA_10s_CAN_PLATFORM_English_Trial_Standard_STAN_TIN_T2_2</v></cell><cell r="AJ5733"><v>103050786</v></cell></row><row r="5734"><cell r="C5734" t="str"><v>43322INSTAGRAM»USA-Trial-ITD-Trial Lookalike-AZR-AZR»1 x 1»SocialBan»CAN»ALL»CPA»LAL»X»NA»SS»NA»IGCTCBrandinMotion»PRC2FH</v></cell><cell r="D5734" t="str"><v>43322223935019</v></cell><cell r="E5734" t="str"><v>43322103050783PRC2FH</v></cell><cell r="F5734" t="str"><v>DCM</v></cell><cell r="G5734" t="str"><v>https://signup.azure.com/?OCID=AID%eexcid!_OLA_%ebuy!_%epid!_%ecid!</v></cell></row><row r="5734"><cell r="K5734" t="str"><v>August</v></cell><cell r="L5734"><v>43323</v></cell><cell r="M5734" t="str"><v>Tier 0</v></cell><cell r="N5734" t="str"><v>North America</v></cell><cell r="O5734" t="str"><v>United States</v></cell><cell r="P5734" t="str"><v>Trial</v></cell><cell r="Q5734" t="str"><v>Social</v></cell><cell r="R5734" t="str"><v>Azure</v></cell><cell r="S5734" t="str"><v>Apps & Infra</v></cell><cell r="T5734" t="str"><v>Developers & ITI's</v></cell><cell r="U5734" t="str"><v>USA-Trial-ITD-Trial Lookalike-AZR-AZR</v></cell><cell r="V5734" t="str"><v>Lookalike Targeting</v></cell><cell r="W5734" t="str"><v>Canvas Ad</v></cell><cell r="X5734" t="str"><v>1x1</v></cell></row><row r="5734"><cell r="AA5734"><v>43322</v></cell><cell r="AB5734" t="str"><v>USA_gaPMG_AZR_AZR_Q1_19_Direct-Social</v></cell><cell r="AC5734"><v>21358715</v></cell><cell r="AD5734"><v>720197</v></cell><cell r="AE5734" t="str"><v>Facebook - Instagram</v></cell><cell r="AF5734"><v>3654128</v></cell><cell r="AG5734" t="str"><v>INSTAGRAM»USA-Trial-ITD-Trial Lookalike-AZR-AZR»1 x 1»SocialBan»CAN»ALL»CPA»LAL»X»NA»SS»NA»IGCTCBrandinMotion»PRC2FH</v></cell><cell r="AH5734"><v>223935019</v></cell><cell r="AI5734" t="str"><v>AzurePlatform_IGCTCBenefit2inMotion_USA_10s_CAN_PLATFORM_English_Trial_Standard_STAN_TIN_T4_1</v></cell><cell r="AJ5734"><v>103050783</v></cell></row><row r="5735"><cell r="C5735" t="str"><v>43322INSTAGRAM»USA-Trial-ITD-Trial Lookalike-AZR-AZR»1 x 1»SocialBan»CAN»ALL»CPA»LAL»X»NA»SS»NA»IGCTCBrandinMotion»PRC2FH</v></cell><cell r="D5735" t="str"><v>43322223935019</v></cell><cell r="E5735" t="str"><v>43322103178714PRC2FH</v></cell><cell r="F5735" t="str"><v>DCM</v></cell><cell r="G5735" t="str"><v>https://azure.microsoft.com/en-us/pricing/purchase-options/?v=18.19&OCID=AID%eexcid!_OLA_%ebuy!_%epid!_%ecid!</v></cell></row><row r="5735"><cell r="K5735" t="str"><v>August</v></cell><cell r="L5735"><v>43323</v></cell><cell r="M5735" t="str"><v>Tier 0</v></cell><cell r="N5735" t="str"><v>North America</v></cell><cell r="O5735" t="str"><v>United States</v></cell><cell r="P5735" t="str"><v>Trial</v></cell><cell r="Q5735" t="str"><v>Social</v></cell><cell r="R5735" t="str"><v>Azure</v></cell><cell r="S5735" t="str"><v>Apps & Infra</v></cell><cell r="T5735" t="str"><v>Developers & ITI's</v></cell><cell r="U5735" t="str"><v>USA-Trial-ITD-Trial Lookalike-AZR-AZR</v></cell><cell r="V5735" t="str"><v>Lookalike Targeting</v></cell><cell r="W5735" t="str"><v>Canvas Ad</v></cell><cell r="X5735" t="str"><v>1x1</v></cell></row><row r="5735"><cell r="AA5735"><v>43322</v></cell><cell r="AB5735" t="str"><v>USA_gaPMG_AZR_AZR_Q1_19_Direct-Social</v></cell><cell r="AC5735"><v>21358715</v></cell><cell r="AD5735"><v>720197</v></cell><cell r="AE5735" t="str"><v>Facebook - Instagram</v></cell><cell r="AF5735"><v>3654128</v></cell><cell r="AG5735" t="str"><v>INSTAGRAM»USA-Trial-ITD-Trial Lookalike-AZR-AZR»1 x 1»SocialBan»CAN»ALL»CPA»LAL»X»NA»SS»NA»IGCTCBrandinMotion»PRC2FH</v></cell><cell r="AH5735"><v>223935019</v></cell><cell r="AI5735" t="str"><v>AzurePlatform_IGCTCBenefit2inMotion_USA_10s_CAN_PLATFORM_English_Trial_Standard_STAN_TIN_T4_2</v></cell><cell r="AJ5735"><v>103178714</v></cell></row><row r="5736"><cell r="C5736" t="str"><v>43322INSTAGRAM»USA-Trial-ITD-Trial PayGo Lookalike-AZR-AZR»1 x 1»SocialBan»CAN»ALL»CPA»LAL»X»NA»SS»NA»IGCTCBrandinMotion»PRC2FW</v></cell><cell r="D5736" t="str"><v>43322223862654</v></cell><cell r="E5736" t="str"><v>43322103050783PRC2FW</v></cell><cell r="F5736" t="str"><v>DCM</v></cell><cell r="G5736" t="str"><v>https://signup.azure.com/?OCID=AID%eexcid!_OLA_%ebuy!_%epid!_%ecid!</v></cell></row><row r="5736"><cell r="K5736" t="str"><v>August</v></cell><cell r="L5736"><v>43323</v></cell><cell r="M5736" t="str"><v>Tier 0</v></cell><cell r="N5736" t="str"><v>North America</v></cell><cell r="O5736" t="str"><v>United States</v></cell><cell r="P5736" t="str"><v>Trial</v></cell><cell r="Q5736" t="str"><v>Social</v></cell><cell r="R5736" t="str"><v>Azure</v></cell><cell r="S5736" t="str"><v>Apps & Infra</v></cell><cell r="T5736" t="str"><v>Developers & ITI's</v></cell><cell r="U5736" t="str"><v>USA-Trial-ITD-Trial PayGo Lookalike-AZR-AZR</v></cell><cell r="V5736" t="str"><v>Lookalike Targeting</v></cell><cell r="W5736" t="str"><v>Canvas Ad</v></cell><cell r="X5736" t="str"><v>1x1</v></cell></row><row r="5736"><cell r="AA5736"><v>43322</v></cell><cell r="AB5736" t="str"><v>USA_gaPMG_AZR_AZR_Q1_19_Direct-Social</v></cell><cell r="AC5736"><v>21358715</v></cell><cell r="AD5736"><v>720197</v></cell><cell r="AE5736" t="str"><v>Facebook - Instagram</v></cell><cell r="AF5736"><v>3654128</v></cell><cell r="AG5736" t="str"><v>INSTAGRAM»USA-Trial-ITD-Trial PayGo Lookalike-AZR-AZR»1 x 1»SocialBan»CAN»ALL»CPA»LAL»X»NA»SS»NA»IGCTCBrandinMotion»PRC2FW</v></cell><cell r="AH5736"><v>223862654</v></cell><cell r="AI5736" t="str"><v>AzurePlatform_IGCTCBenefit2inMotion_USA_10s_CAN_PLATFORM_English_Trial_Standard_STAN_TIN_T4_1</v></cell><cell r="AJ5736"><v>103050783</v></cell></row><row r="5737"><cell r="C5737" t="str"><v>43322INSTAGRAM»USA-Trial-ITD-Trial PayGo Lookalike-AZR-AZR»1 x 1»SocialBan»CAN»ALL»CPA»LAL»X»NA»SS»NA»IGCTCBrandinMotion»PRC2FW</v></cell><cell r="D5737" t="str"><v>43322223862654</v></cell><cell r="E5737" t="str"><v>43322103178714PRC2FW</v></cell><cell r="F5737" t="str"><v>DCM</v></cell><cell r="G5737" t="str"><v>https://azure.microsoft.com/en-us/pricing/purchase-options/?v=18.19&OCID=AID%eexcid!_OLA_%ebuy!_%epid!_%ecid!</v></cell></row><row r="5737"><cell r="K5737" t="str"><v>August</v></cell><cell r="L5737"><v>43323</v></cell><cell r="M5737" t="str"><v>Tier 0</v></cell><cell r="N5737" t="str"><v>North America</v></cell><cell r="O5737" t="str"><v>United States</v></cell><cell r="P5737" t="str"><v>Trial</v></cell><cell r="Q5737" t="str"><v>Social</v></cell><cell r="R5737" t="str"><v>Azure</v></cell><cell r="S5737" t="str"><v>Apps & Infra</v></cell><cell r="T5737" t="str"><v>Developers & ITI's</v></cell><cell r="U5737" t="str"><v>USA-Trial-ITD-Trial PayGo Lookalike-AZR-AZR</v></cell><cell r="V5737" t="str"><v>Lookalike Targeting</v></cell><cell r="W5737" t="str"><v>Canvas Ad</v></cell><cell r="X5737" t="str"><v>1x1</v></cell></row><row r="5737"><cell r="AA5737"><v>43322</v></cell><cell r="AB5737" t="str"><v>USA_gaPMG_AZR_AZR_Q1_19_Direct-Social</v></cell><cell r="AC5737"><v>21358715</v></cell><cell r="AD5737"><v>720197</v></cell><cell r="AE5737" t="str"><v>Facebook - Instagram</v></cell><cell r="AF5737"><v>3654128</v></cell><cell r="AG5737" t="str"><v>INSTAGRAM»USA-Trial-ITD-Trial PayGo Lookalike-AZR-AZR»1 x 1»SocialBan»CAN»ALL»CPA»LAL»X»NA»SS»NA»IGCTCBrandinMotion»PRC2FW</v></cell><cell r="AH5737"><v>223862654</v></cell><cell r="AI5737" t="str"><v>AzurePlatform_IGCTCBenefit2inMotion_USA_10s_CAN_PLATFORM_English_Trial_Standard_STAN_TIN_T4_2</v></cell><cell r="AJ5737"><v>103178714</v></cell></row><row r="5738"><cell r="C5738" t="str"><v>43322INSTAGRAM»USA-Trial-ITD-Trial PayGo Lookalike-AZR-AZR»1 x 1»SocialBan»CAN»ALL»CPA»LAL»X»NA»SS»NA»IGCTCBenefit2inMotion»PRC2FZ</v></cell><cell r="D5738" t="str"><v>43322223933075</v></cell><cell r="E5738" t="str"><v>43322103180628PRC2FZ</v></cell><cell r="F5738" t="str"><v>DCM</v></cell><cell r="G5738" t="str"><v>https://signup.azure.com/?OCID=AID%eexcid!_OLA_%ebuy!_%epid!_%ecid!</v></cell></row><row r="5738"><cell r="K5738" t="str"><v>August</v></cell><cell r="L5738"><v>43323</v></cell><cell r="M5738" t="str"><v>Tier 0</v></cell><cell r="N5738" t="str"><v>North America</v></cell><cell r="O5738" t="str"><v>United States</v></cell><cell r="P5738" t="str"><v>Trial</v></cell><cell r="Q5738" t="str"><v>Social</v></cell><cell r="R5738" t="str"><v>Azure</v></cell><cell r="S5738" t="str"><v>Apps & Infra</v></cell><cell r="T5738" t="str"><v>Developers & ITI's</v></cell><cell r="U5738" t="str"><v>USA-Trial-ITD-Trial PayGo Lookalike-AZR-AZR</v></cell><cell r="V5738" t="str"><v>Lookalike Targeting</v></cell><cell r="W5738" t="str"><v>Canvas Ad</v></cell><cell r="X5738" t="str"><v>1x1</v></cell></row><row r="5738"><cell r="AA5738"><v>43322</v></cell><cell r="AB5738" t="str"><v>USA_gaPMG_AZR_AZR_Q1_19_Direct-Social</v></cell><cell r="AC5738"><v>21358715</v></cell><cell r="AD5738"><v>720197</v></cell><cell r="AE5738" t="str"><v>Facebook - Instagram</v></cell><cell r="AF5738"><v>3654128</v></cell><cell r="AG5738" t="str"><v>INSTAGRAM»USA-Trial-ITD-Trial PayGo Lookalike-AZR-AZR»1 x 1»SocialBan»CAN»ALL»CPA»LAL»X»NA»SS»NA»IGCTCBenefit2inMotion»PRC2FZ</v></cell><cell r="AH5738"><v>223933075</v></cell><cell r="AI5738" t="str"><v>AzurePlatform_IGCTCBrandinMotion_USA_10s_CAN_PLATFORM_English_Trial_Standard_STAN_TIN_T2_1</v></cell><cell r="AJ5738"><v>103180628</v></cell></row><row r="5739"><cell r="C5739" t="str"><v>43323Facebook»Audience & Interest Targeting»1x1»Canvas»OTH»DT»DYN»AUT»W»NA»SS»NA»FBCTCcanvaspage-StartFreeCTA_FBCTCcanvaspage-BuyNowCTA</v></cell><cell r="D5739" t="str"><v>43323224639151</v></cell><cell r="E5739" t="str"><v>43323103316832NowCTA</v></cell><cell r="F5739" t="str"><v>DCM</v></cell><cell r="G5739" t="str"><v>https://azure.microsoft.com/en-au/pricing/purchase-options/</v></cell></row><row r="5739"><cell r="K5739" t="str"><v>August</v></cell><cell r="L5739"><v>43323</v></cell><cell r="M5739" t="str"><v>Tier 1</v></cell><cell r="N5739" t="str"><v>APAC</v></cell><cell r="O5739" t="str"><v>Australia</v></cell><cell r="P5739" t="str"><v>Trial</v></cell><cell r="Q5739" t="str"><v>Social</v></cell><cell r="R5739" t="str"><v>Azure</v></cell><cell r="S5739" t="str"><v>Apps & Infra</v></cell><cell r="T5739" t="str"><v>Developers & ITI's</v></cell><cell r="U5739" t="str"><v>Audience & Interest Targeting</v></cell><cell r="V5739" t="str"><v>Audience Targeting</v></cell><cell r="W5739" t="str"><v>Other</v></cell><cell r="X5739" t="str"><v>1x1</v></cell></row><row r="5739"><cell r="AA5739"><v>43323</v></cell><cell r="AB5739" t="str"><v>AUS_gaPMG_AZR_AZR_Q1_19_Trial-Social</v></cell><cell r="AC5739"><v>21358568</v></cell><cell r="AD5739"><v>720191</v></cell><cell r="AE5739" t="str"><v>Facebook</v></cell><cell r="AF5739"><v>3654128</v></cell><cell r="AG5739" t="str"><v>Facebook»Audience & Interest Targeting»1x1»Canvas»OTH»DT»DYN»AUT»W»NA»SS»NA»FBCTCcanvaspage-StartFreeCTA_FBCTCcanvaspage-BuyNowCTA</v></cell><cell r="AH5739"><v>224639151</v></cell><cell r="AI5739" t="str"><v>AzurePlatform_FBCTCcanvaspage-BuyNowCTA-Img3_AUS_1080x162_SOC_Plat_English_NA_Standard_NA_BN_T3_1</v></cell><cell r="AJ5739"><v>103316832</v></cell></row><row r="5740"><cell r="C5740" t="str"><v>43323Facebook»Audience & Interest Targeting»1x1»Canvas»OTH»DT»DYN»AUT»W»NA»SS»NA»FBCTCcanvaspage-StartFreeCTA_FBCTCcanvaspage-BuyNowCTA</v></cell><cell r="D5740" t="str"><v>43323224639151</v></cell><cell r="E5740" t="str"><v>43323103316829NowCTA</v></cell><cell r="F5740" t="str"><v>DCM</v></cell><cell r="G5740" t="str"><v>https://signup.azure.com/signup?offer=ms-azr-0044p&appId=102&ref=paidmedia-social-fb&redirectURL=https%3a%2f%2fazure.microsoft.com%2fen-au%2fget-started%2fwelcome-to-azure%2f&l=en-au&correlationId=ead86c34-1f10-49dd-a72b-6918462a2cbf</v></cell></row><row r="5740"><cell r="K5740" t="str"><v>August</v></cell><cell r="L5740"><v>43323</v></cell><cell r="M5740" t="str"><v>Tier 1</v></cell><cell r="N5740" t="str"><v>APAC</v></cell><cell r="O5740" t="str"><v>Australia</v></cell><cell r="P5740" t="str"><v>Trial</v></cell><cell r="Q5740" t="str"><v>Social</v></cell><cell r="R5740" t="str"><v>Azure</v></cell><cell r="S5740" t="str"><v>Apps & Infra</v></cell><cell r="T5740" t="str"><v>Developers & ITI's</v></cell><cell r="U5740" t="str"><v>Audience & Interest Targeting</v></cell><cell r="V5740" t="str"><v>Audience Targeting</v></cell><cell r="W5740" t="str"><v>Other</v></cell><cell r="X5740" t="str"><v>1x1</v></cell></row><row r="5740"><cell r="AA5740"><v>43323</v></cell><cell r="AB5740" t="str"><v>AUS_gaPMG_AZR_AZR_Q1_19_Trial-Social</v></cell><cell r="AC5740"><v>21358568</v></cell><cell r="AD5740"><v>720191</v></cell><cell r="AE5740" t="str"><v>Facebook</v></cell><cell r="AF5740"><v>3654128</v></cell><cell r="AG5740" t="str"><v>Facebook»Audience & Interest Targeting»1x1»Canvas»OTH»DT»DYN»AUT»W»NA»SS»NA»FBCTCcanvaspage-StartFreeCTA_FBCTCcanvaspage-BuyNowCTA</v></cell><cell r="AH5740"><v>224639151</v></cell><cell r="AI5740" t="str"><v>AzurePlatform_FBCTCcanvaspage-StartFreeCTA-Img2_AUS_1080x143 _SOC_Plat_English_NA_Standard_NA_NA_T2_1</v></cell><cell r="AJ5740"><v>103316829</v></cell></row><row r="5741"><cell r="C5741" t="str"><v>43323Facebook»Audience & Interest Targeting»1x1»TextLink»OTH»DT»DYN»AUT»W»NA»SS»NA»Free Account Refresh- 12 months ChE</v></cell><cell r="D5741" t="str"><v>43323224160783</v></cell><cell r="E5741" t="str"><v>43323103051614hs ChE</v></cell><cell r="F5741" t="str"><v>DCM</v></cell></row><row r="5741"><cell r="K5741" t="str"><v>August</v></cell><cell r="L5741"><v>43323</v></cell><cell r="M5741" t="str"><v>Tier 1</v></cell><cell r="N5741" t="str"><v>APAC</v></cell><cell r="O5741" t="str"><v>Australia</v></cell><cell r="P5741" t="str"><v>Trial</v></cell><cell r="Q5741" t="str"><v>Social</v></cell><cell r="R5741" t="str"><v>Azure</v></cell><cell r="S5741" t="str"><v>Apps & Infra</v></cell><cell r="T5741" t="str"><v>Developers & ITI's</v></cell><cell r="U5741" t="str"><v>Audience & Interest Targeting</v></cell><cell r="V5741" t="str"><v>Audience Targeting</v></cell><cell r="W5741" t="str"><v>Other</v></cell><cell r="X5741" t="str"><v>1x1</v></cell></row><row r="5741"><cell r="AA5741"><v>43323</v></cell><cell r="AB5741" t="str"><v>AUS_gaPMG_AZR_AZR_Q1_19_Trial-Social</v></cell><cell r="AC5741"><v>21358568</v></cell><cell r="AD5741"><v>720191</v></cell><cell r="AE5741" t="str"><v>Facebook</v></cell><cell r="AF5741"><v>3654128</v></cell><cell r="AG5741" t="str"><v>Facebook»Audience & Interest Targeting»1x1»TextLink»OTH»DT»DYN»AUT»W»NA»SS»NA»Free Account Refresh- 12 months ChE</v></cell><cell r="AH5741"><v>224160783</v></cell><cell r="AI5741" t="str"><v>AzurePlatform_FreeAcctAppsFACEBOOK12monthsChE_AUS_1200x628_SOC_PLAT_EN_Trial_Standard_NA_SNU_T5_1</v></cell><cell r="AJ5741"><v>103051614</v></cell></row><row r="5742"><cell r="C5742" t="str"><v>43323Facebook»Audience & Interest Targeting»1x1»TextLink»OTH»DT»DYN»AUT»W»NA»SS»NA»Free Account Refresh- Device ChB</v></cell><cell r="D5742" t="str"><v>43323224160777</v></cell><cell r="E5742" t="str"><v>43323103048479ce ChB</v></cell><cell r="F5742" t="str"><v>DCM</v></cell></row><row r="5742"><cell r="K5742" t="str"><v>August</v></cell><cell r="L5742"><v>43323</v></cell><cell r="M5742" t="str"><v>Tier 1</v></cell><cell r="N5742" t="str"><v>APAC</v></cell><cell r="O5742" t="str"><v>Australia</v></cell><cell r="P5742" t="str"><v>Trial</v></cell><cell r="Q5742" t="str"><v>Social</v></cell><cell r="R5742" t="str"><v>Azure</v></cell><cell r="S5742" t="str"><v>Apps & Infra</v></cell><cell r="T5742" t="str"><v>Developers & ITI's</v></cell><cell r="U5742" t="str"><v>Audience & Interest Targeting</v></cell><cell r="V5742" t="str"><v>Audience Targeting</v></cell><cell r="W5742" t="str"><v>Other</v></cell><cell r="X5742" t="str"><v>1x1</v></cell></row><row r="5742"><cell r="AA5742"><v>43323</v></cell><cell r="AB5742" t="str"><v>AUS_gaPMG_AZR_AZR_Q1_19_Trial-Social</v></cell><cell r="AC5742"><v>21358568</v></cell><cell r="AD5742"><v>720191</v></cell><cell r="AE5742" t="str"><v>Facebook</v></cell><cell r="AF5742"><v>3654128</v></cell><cell r="AG5742" t="str"><v>Facebook»Audience & Interest Targeting»1x1»TextLink»OTH»DT»DYN»AUT»W»NA»SS»NA»Free Account Refresh- Device ChB</v></cell><cell r="AH5742"><v>224160777</v></cell><cell r="AI5742" t="str"><v>AzurePlatform_FreeAcctAppsFACEBOOKDeviceChB_AUS_1200x628_SOC_PLAT_EN_Trial_Standard_NA_SNU_T2_1</v></cell><cell r="AJ5742"><v>103048479</v></cell></row><row r="5743"><cell r="C5743" t="str"><v>43323Facebook»Audience & Interest Targeting»1x1»TextLink»OTH»DT»DYN»AUT»W»NA»SS»NA»Free Account Refresh- Illustration ChC</v></cell><cell r="D5743" t="str"><v>43323224160774</v></cell><cell r="E5743" t="str"><v>43323103186910on ChC</v></cell><cell r="F5743" t="str"><v>DCM</v></cell></row><row r="5743"><cell r="K5743" t="str"><v>August</v></cell><cell r="L5743"><v>43323</v></cell><cell r="M5743" t="str"><v>Tier 1</v></cell><cell r="N5743" t="str"><v>APAC</v></cell><cell r="O5743" t="str"><v>Australia</v></cell><cell r="P5743" t="str"><v>Trial</v></cell><cell r="Q5743" t="str"><v>Social</v></cell><cell r="R5743" t="str"><v>Azure</v></cell><cell r="S5743" t="str"><v>Apps & Infra</v></cell><cell r="T5743" t="str"><v>Developers & ITI's</v></cell><cell r="U5743" t="str"><v>Audience & Interest Targeting</v></cell><cell r="V5743" t="str"><v>Audience Targeting</v></cell><cell r="W5743" t="str"><v>Other</v></cell><cell r="X5743" t="str"><v>1x1</v></cell></row><row r="5743"><cell r="AA5743"><v>43323</v></cell><cell r="AB5743" t="str"><v>AUS_gaPMG_AZR_AZR_Q1_19_Trial-Social</v></cell><cell r="AC5743"><v>21358568</v></cell><cell r="AD5743"><v>720191</v></cell><cell r="AE5743" t="str"><v>Facebook</v></cell><cell r="AF5743"><v>3654128</v></cell><cell r="AG5743" t="str"><v>Facebook»Audience & Interest Targeting»1x1»TextLink»OTH»DT»DYN»AUT»W»NA»SS»NA»Free Account Refresh- Illustration ChC</v></cell><cell r="AH5743"><v>224160774</v></cell><cell r="AI5743" t="str"><v>AzurePlatform_FreeAcctAppsFACEBOOKIllustrationChC_AUS_1200x628_SOC_PLAT_EN_Trial_Standard_NA_SNU_T3_1</v></cell><cell r="AJ5743"><v>103186910</v></cell></row><row r="5744"><cell r="C5744" t="str"><v>43323Facebook»Audience & Interest Targeting»1x1»TextLink»OTH»DT»DYN»AUT»W»NA»SS»NA»Free Account Refresh- Lifestyle ChA</v></cell><cell r="D5744" t="str"><v>43323224160771</v></cell><cell r="E5744" t="str"><v>43323103048488le ChA</v></cell><cell r="F5744" t="str"><v>DCM</v></cell></row><row r="5744"><cell r="K5744" t="str"><v>August</v></cell><cell r="L5744"><v>43323</v></cell><cell r="M5744" t="str"><v>Tier 1</v></cell><cell r="N5744" t="str"><v>APAC</v></cell><cell r="O5744" t="str"><v>Australia</v></cell><cell r="P5744" t="str"><v>Trial</v></cell><cell r="Q5744" t="str"><v>Social</v></cell><cell r="R5744" t="str"><v>Azure</v></cell><cell r="S5744" t="str"><v>Apps & Infra</v></cell><cell r="T5744" t="str"><v>Developers & ITI's</v></cell><cell r="U5744" t="str"><v>Audience & Interest Targeting</v></cell><cell r="V5744" t="str"><v>Audience Targeting</v></cell><cell r="W5744" t="str"><v>Other</v></cell><cell r="X5744" t="str"><v>1x1</v></cell></row><row r="5744"><cell r="AA5744"><v>43323</v></cell><cell r="AB5744" t="str"><v>AUS_gaPMG_AZR_AZR_Q1_19_Trial-Social</v></cell><cell r="AC5744"><v>21358568</v></cell><cell r="AD5744"><v>720191</v></cell><cell r="AE5744" t="str"><v>Facebook</v></cell><cell r="AF5744"><v>3654128</v></cell><cell r="AG5744" t="str"><v>Facebook»Audience & Interest Targeting»1x1»TextLink»OTH»DT»DYN»AUT»W»NA»SS»NA»Free Account Refresh- Lifestyle ChA</v></cell><cell r="AH5744"><v>224160771</v></cell><cell r="AI5744" t="str"><v>AzurePlatform_FreeAcctAppsFACEBOOKLifestyleChA_AUS_1200x628_SOC_PLAT_EN_Trial_Standard_NA_SNU_T1_1</v></cell><cell r="AJ5744"><v>103048488</v></cell></row><row r="5745"><cell r="C5745" t="str"><v>43323Facebook»LAL»1x1»TextLink»SOC»DT»DYN»LAL»W»NA»SS»NA»Free Account Refresh- Device ChB</v></cell><cell r="D5745" t="str"><v>43323224160717</v></cell><cell r="E5745" t="str"><v>43323103048485ce ChB</v></cell><cell r="F5745" t="str"><v>DCM</v></cell><cell r="G5745" t="str"><v>https://azure.microsoft.com/en-au/free/open-source/search/</v></cell></row><row r="5745"><cell r="K5745" t="str"><v>August</v></cell><cell r="L5745"><v>43323</v></cell><cell r="M5745" t="str"><v>Tier 1</v></cell><cell r="N5745" t="str"><v>APAC</v></cell><cell r="O5745" t="str"><v>Australia</v></cell><cell r="P5745" t="str"><v>Trial</v></cell><cell r="Q5745" t="str"><v>Social</v></cell><cell r="R5745" t="str"><v>Azure</v></cell><cell r="S5745" t="str"><v>Apps & Infra</v></cell><cell r="T5745" t="str"><v>Developers & ITI's</v></cell><cell r="U5745" t="str"><v>LAL</v></cell><cell r="V5745" t="str"><v>Lookalike Targeting</v></cell><cell r="W5745" t="str"><v>Social</v></cell><cell r="X5745" t="str"><v>1x1</v></cell></row><row r="5745"><cell r="AA5745"><v>43323</v></cell><cell r="AB5745" t="str"><v>AUS_gaPMG_AZR_AZR_Q1_19_Trial-Social</v></cell><cell r="AC5745"><v>21358568</v></cell><cell r="AD5745"><v>720191</v></cell><cell r="AE5745" t="str"><v>Facebook</v></cell><cell r="AF5745"><v>3654128</v></cell><cell r="AG5745" t="str"><v>Facebook»LAL»1x1»TextLink»SOC»DT»DYN»LAL»W»NA»SS»NA»Free Account Refresh- Device ChB</v></cell><cell r="AH5745"><v>224160717</v></cell><cell r="AI5745" t="str"><v>AzurePlatform_FreeAcctRetargetingOSSFB-Text-ChF_AUS_1200x628_SOC_Plat_EN_Free Account_Standard_NA_SNU_T1_1</v></cell><cell r="AJ5745"><v>103048485</v></cell></row><row r="5746"><cell r="C5746" t="str"><v>43323Facebook»LAL»1x1»TextLink»SOC»DT»DYN»LAL»W»NA»SS»NA»Free Account Refresh- Lifestyle ChA</v></cell><cell r="D5746" t="str"><v>43323224160711</v></cell><cell r="E5746" t="str"><v>43323103048491le ChA</v></cell><cell r="F5746" t="str"><v>DCM</v></cell><cell r="G5746" t="str"><v>https://azure.microsoft.com/en-au/free/virtual-machines/search/</v></cell></row><row r="5746"><cell r="K5746" t="str"><v>August</v></cell><cell r="L5746"><v>43323</v></cell><cell r="M5746" t="str"><v>Tier 1</v></cell><cell r="N5746" t="str"><v>APAC</v></cell><cell r="O5746" t="str"><v>Australia</v></cell><cell r="P5746" t="str"><v>Trial</v></cell><cell r="Q5746" t="str"><v>Social</v></cell><cell r="R5746" t="str"><v>Azure</v></cell><cell r="S5746" t="str"><v>Apps & Infra</v></cell><cell r="T5746" t="str"><v>Developers & ITI's</v></cell><cell r="U5746" t="str"><v>LAL</v></cell><cell r="V5746" t="str"><v>Lookalike Targeting</v></cell><cell r="W5746" t="str"><v>Social</v></cell><cell r="X5746" t="str"><v>1x1</v></cell></row><row r="5746"><cell r="AA5746"><v>43323</v></cell><cell r="AB5746" t="str"><v>AUS_gaPMG_AZR_AZR_Q1_19_Trial-Social</v></cell><cell r="AC5746"><v>21358568</v></cell><cell r="AD5746"><v>720191</v></cell><cell r="AE5746" t="str"><v>Facebook</v></cell><cell r="AF5746"><v>3654128</v></cell><cell r="AG5746" t="str"><v>Facebook»LAL»1x1»TextLink»SOC»DT»DYN»LAL»W»NA»SS»NA»Free Account Refresh- Lifestyle ChA</v></cell><cell r="AH5746"><v>224160711</v></cell><cell r="AI5746" t="str"><v>AzurePlatform_FreeAcctRetargetingVMFB-OnDemand-ChE_AUS_1200x628_SOC_Plat_EN_Free Account_Standard_NA_SNU_T2_1</v></cell><cell r="AJ5746"><v>103048491</v></cell></row><row r="5747"><cell r="C5747" t="str"><v>43323Facebook»Retargeting»1x1»TextLink»SOC»DT»DYN»RT»W»NA»SS»NA»Free Account Refresh- 200 Credit ChD</v></cell><cell r="D5747" t="str"><v>43323224160738</v></cell><cell r="E5747" t="str"><v>43323103186904it ChD</v></cell><cell r="F5747" t="str"><v>DCM</v></cell></row><row r="5747"><cell r="K5747" t="str"><v>August</v></cell><cell r="L5747"><v>43323</v></cell><cell r="M5747" t="str"><v>Tier 1</v></cell><cell r="N5747" t="str"><v>APAC</v></cell><cell r="O5747" t="str"><v>Australia</v></cell><cell r="P5747" t="str"><v>Trial</v></cell><cell r="Q5747" t="str"><v>Social</v></cell><cell r="R5747" t="str"><v>Azure</v></cell><cell r="S5747" t="str"><v>Apps & Infra</v></cell><cell r="T5747" t="str"><v>Developers & ITI's</v></cell><cell r="U5747" t="str"><v>Retargeting</v></cell><cell r="V5747" t="str"><v>Retargeting</v></cell><cell r="W5747" t="str"><v>Social</v></cell><cell r="X5747" t="str"><v>1x1</v></cell></row><row r="5747"><cell r="AA5747"><v>43323</v></cell><cell r="AB5747" t="str"><v>AUS_gaPMG_AZR_AZR_Q1_19_Trial-Social</v></cell><cell r="AC5747"><v>21358568</v></cell><cell r="AD5747"><v>720191</v></cell><cell r="AE5747" t="str"><v>Facebook</v></cell><cell r="AF5747"><v>3654128</v></cell><cell r="AG5747" t="str"><v>Facebook»Retargeting»1x1»TextLink»SOC»DT»DYN»RT»W»NA»SS»NA»Free Account Refresh- 200 Credit ChD</v></cell><cell r="AH5747"><v>224160738</v></cell><cell r="AI5747" t="str"><v>AzurePlatform_FreeAcctAppsFACEBOOK200CreditChD_AUS_1200x628_SOC_PLAT_EN_Trial_Standard_NA_SNU_T4_1</v></cell><cell r="AJ5747"><v>103186904</v></cell></row><row r="5748"><cell r="C5748" t="str"><v>43323Facebook»Retargeting»1x1»TextLink»SOC»DT»DYN»RT»W»NA»SS»NA»Free Account Refresh- Device ChB</v></cell><cell r="D5748" t="str"><v>43323224160735</v></cell><cell r="E5748" t="str"><v>43323103048479ce ChB</v></cell><cell r="F5748" t="str"><v>DCM</v></cell></row><row r="5748"><cell r="K5748" t="str"><v>August</v></cell><cell r="L5748"><v>43323</v></cell><cell r="M5748" t="str"><v>Tier 1</v></cell><cell r="N5748" t="str"><v>APAC</v></cell><cell r="O5748" t="str"><v>Australia</v></cell><cell r="P5748" t="str"><v>Trial</v></cell><cell r="Q5748" t="str"><v>Social</v></cell><cell r="R5748" t="str"><v>Azure</v></cell><cell r="S5748" t="str"><v>Apps & Infra</v></cell><cell r="T5748" t="str"><v>Developers & ITI's</v></cell><cell r="U5748" t="str"><v>Retargeting</v></cell><cell r="V5748" t="str"><v>Retargeting</v></cell><cell r="W5748" t="str"><v>Social</v></cell><cell r="X5748" t="str"><v>1x1</v></cell></row><row r="5748"><cell r="AA5748"><v>43323</v></cell><cell r="AB5748" t="str"><v>AUS_gaPMG_AZR_AZR_Q1_19_Trial-Social</v></cell><cell r="AC5748"><v>21358568</v></cell><cell r="AD5748"><v>720191</v></cell><cell r="AE5748" t="str"><v>Facebook</v></cell><cell r="AF5748"><v>3654128</v></cell><cell r="AG5748" t="str"><v>Facebook»Retargeting»1x1»TextLink»SOC»DT»DYN»RT»W»NA»SS»NA»Free Account Refresh- Device ChB</v></cell><cell r="AH5748"><v>224160735</v></cell><cell r="AI5748" t="str"><v>AzurePlatform_FreeAcctAppsFACEBOOKDeviceChB_AUS_1200x628_SOC_PLAT_EN_Trial_Standard_NA_SNU_T2_1</v></cell><cell r="AJ5748"><v>103048479</v></cell></row><row r="5749"><cell r="C5749" t="str"><v>43323Facebook»Retargeting»1x1»TextLink»SOC»DT»DYN»RT»W»NA»SS»NA»Free Account Refresh- Illustration ChC</v></cell><cell r="D5749" t="str"><v>43323224160732</v></cell><cell r="E5749" t="str"><v>43323103186910on ChC</v></cell><cell r="F5749" t="str"><v>DCM</v></cell></row><row r="5749"><cell r="K5749" t="str"><v>August</v></cell><cell r="L5749"><v>43323</v></cell><cell r="M5749" t="str"><v>Tier 1</v></cell><cell r="N5749" t="str"><v>APAC</v></cell><cell r="O5749" t="str"><v>Australia</v></cell><cell r="P5749" t="str"><v>Trial</v></cell><cell r="Q5749" t="str"><v>Social</v></cell><cell r="R5749" t="str"><v>Azure</v></cell><cell r="S5749" t="str"><v>Apps & Infra</v></cell><cell r="T5749" t="str"><v>Developers & ITI's</v></cell><cell r="U5749" t="str"><v>Retargeting</v></cell><cell r="V5749" t="str"><v>Retargeting</v></cell><cell r="W5749" t="str"><v>Social</v></cell><cell r="X5749" t="str"><v>1x1</v></cell></row><row r="5749"><cell r="AA5749"><v>43323</v></cell><cell r="AB5749" t="str"><v>AUS_gaPMG_AZR_AZR_Q1_19_Trial-Social</v></cell><cell r="AC5749"><v>21358568</v></cell><cell r="AD5749"><v>720191</v></cell><cell r="AE5749" t="str"><v>Facebook</v></cell><cell r="AF5749"><v>3654128</v></cell><cell r="AG5749" t="str"><v>Facebook»Retargeting»1x1»TextLink»SOC»DT»DYN»RT»W»NA»SS»NA»Free Account Refresh- Illustration ChC</v></cell><cell r="AH5749"><v>224160732</v></cell><cell r="AI5749" t="str"><v>AzurePlatform_FreeAcctAppsFACEBOOKIllustrationChC_AUS_1200x628_SOC_PLAT_EN_Trial_Standard_NA_SNU_T3_1</v></cell><cell r="AJ5749"><v>103186910</v></cell></row><row r="5750"><cell r="C5750" t="str"><v>43323Facebook»Retargeting»1x1»TextLink»SOC»DT»DYN»RT»W»NA»SS»NA»Free Account Refresh- Lifestyle ChA</v></cell><cell r="D5750" t="str"><v>43323224160729</v></cell><cell r="E5750" t="str"><v>43323103048488le ChA</v></cell><cell r="F5750" t="str"><v>DCM</v></cell></row><row r="5750"><cell r="K5750" t="str"><v>August</v></cell><cell r="L5750"><v>43323</v></cell><cell r="M5750" t="str"><v>Tier 1</v></cell><cell r="N5750" t="str"><v>APAC</v></cell><cell r="O5750" t="str"><v>Australia</v></cell><cell r="P5750" t="str"><v>Trial</v></cell><cell r="Q5750" t="str"><v>Social</v></cell><cell r="R5750" t="str"><v>Azure</v></cell><cell r="S5750" t="str"><v>Apps & Infra</v></cell><cell r="T5750" t="str"><v>Developers & ITI's</v></cell><cell r="U5750" t="str"><v>Retargeting</v></cell><cell r="V5750" t="str"><v>Retargeting</v></cell><cell r="W5750" t="str"><v>Social</v></cell><cell r="X5750" t="str"><v>1x1</v></cell></row><row r="5750"><cell r="AA5750"><v>43323</v></cell><cell r="AB5750" t="str"><v>AUS_gaPMG_AZR_AZR_Q1_19_Trial-Social</v></cell><cell r="AC5750"><v>21358568</v></cell><cell r="AD5750"><v>720191</v></cell><cell r="AE5750" t="str"><v>Facebook</v></cell><cell r="AF5750"><v>3654128</v></cell><cell r="AG5750" t="str"><v>Facebook»Retargeting»1x1»TextLink»SOC»DT»DYN»RT»W»NA»SS»NA»Free Account Refresh- Lifestyle ChA</v></cell><cell r="AH5750"><v>224160729</v></cell><cell r="AI5750" t="str"><v>AzurePlatform_FreeAcctAppsFACEBOOKLifestyleChA_AUS_1200x628_SOC_PLAT_EN_Trial_Standard_NA_SNU_T1_1</v></cell><cell r="AJ5750"><v>103048488</v></cell></row><row r="5751"><cell r="C5751" t="str"><v>43323Facebook»AZR»1x1»NA»EGV»ALL»DYN»AUT»D»All»SS»NA»Free Acc CTC - T1 - EN</v></cell><cell r="D5751" t="str"><v>43323223684451</v></cell><cell r="E5751" t="str"><v>433231029018821 - EN</v></cell><cell r="F5751" t="str"><v>DCM</v></cell><cell r="G5751" t="str"><v>https://signup.azure.com/</v></cell></row><row r="5751"><cell r="K5751" t="str"><v>August</v></cell><cell r="L5751"><v>43323</v></cell><cell r="M5751" t="str"><v>Tier 1</v></cell><cell r="N5751" t="str"><v>North America</v></cell><cell r="O5751" t="str"><v>Canada</v></cell><cell r="P5751" t="str"><v>Trial</v></cell><cell r="Q5751" t="str"><v>Social</v></cell><cell r="R5751" t="str"><v>Azure</v></cell><cell r="S5751" t="str"><v>Apps & Infra</v></cell><cell r="T5751" t="str"><v>Developers & ITI's</v></cell><cell r="U5751" t="str"><v>AZR</v></cell><cell r="V5751" t="str"><v>Audience Targeting</v></cell><cell r="W5751" t="str"><v>Engagement Video</v></cell><cell r="X5751" t="str"><v>1x1</v></cell></row><row r="5751"><cell r="AA5751"><v>43323</v></cell><cell r="AB5751" t="str"><v>CAN_gaPMG_AZR_AZR_Q1_19_Trial-Social</v></cell><cell r="AC5751"><v>21337220</v></cell><cell r="AD5751"><v>720192</v></cell><cell r="AE5751" t="str"><v>Facebook</v></cell><cell r="AF5751"><v>3654128</v></cell><cell r="AG5751" t="str"><v>Facebook»AZR»1x1»NA»EGV»ALL»DYN»AUT»D»All»SS»NA»Free Acc CTC - T1 - EN</v></cell><cell r="AH5751"><v>223684451</v></cell><cell r="AI5751" t="str"><v>AzurePlatform_FBCTCBasicMotion_CAN_10s_ISV_PLAT_English_Trial_Standard_STAN_TN_T1_1</v></cell><cell r="AJ5751"><v>102901882</v></cell></row><row r="5752"><cell r="C5752" t="str"><v>43323Facebook»AZR»1x1»NA»EGV»ALL»DYN»AUT»D»All»SS»NA»Free Acc CTC - T1 - FR</v></cell><cell r="D5752" t="str"><v>43323223691801</v></cell><cell r="E5752" t="str"><v>433231030533231 - FR</v></cell><cell r="F5752" t="str"><v>DCM</v></cell><cell r="G5752" t="str"><v>https://signup.azure.com/</v></cell></row><row r="5752"><cell r="K5752" t="str"><v>August</v></cell><cell r="L5752"><v>43323</v></cell><cell r="M5752" t="str"><v>Tier 1</v></cell><cell r="N5752" t="str"><v>North America</v></cell><cell r="O5752" t="str"><v>Canada</v></cell><cell r="P5752" t="str"><v>Trial</v></cell><cell r="Q5752" t="str"><v>Social</v></cell><cell r="R5752" t="str"><v>Azure</v></cell><cell r="S5752" t="str"><v>Apps & Infra</v></cell><cell r="T5752" t="str"><v>Developers & ITI's</v></cell><cell r="U5752" t="str"><v>AZR</v></cell><cell r="V5752" t="str"><v>Audience Targeting</v></cell><cell r="W5752" t="str"><v>Engagement Video</v></cell><cell r="X5752" t="str"><v>1x1</v></cell></row><row r="5752"><cell r="AA5752"><v>43323</v></cell><cell r="AB5752" t="str"><v>CAN_gaPMG_AZR_AZR_Q1_19_Trial-Social</v></cell><cell r="AC5752"><v>21337220</v></cell><cell r="AD5752"><v>720192</v></cell><cell r="AE5752" t="str"><v>Facebook</v></cell><cell r="AF5752"><v>3654128</v></cell><cell r="AG5752" t="str"><v>Facebook»AZR»1x1»NA»EGV»ALL»DYN»AUT»D»All»SS»NA»Free Acc CTC - T1 - FR</v></cell><cell r="AH5752"><v>223691801</v></cell><cell r="AI5752" t="str"><v>AzurePlatform_FBCTCBasicMotion_CAN_10s_ISV_PLAT_FR_Trial_Standard_STAN_TN_T1_1</v></cell><cell r="AJ5752"><v>103053323</v></cell></row><row r="5753"><cell r="C5753" t="str"><v>43323Facebook»AZR»1x1»NA»EGV»ALL»DYN»AUT»D»All»SS»NA»Free Acc CTC - T2 - EN</v></cell><cell r="D5753" t="str"><v>43323223691840</v></cell><cell r="E5753" t="str"><v>433231029029502 - EN</v></cell><cell r="F5753" t="str"><v>DCM</v></cell><cell r="G5753" t="str"><v>https://signup.azure.com/</v></cell></row><row r="5753"><cell r="K5753" t="str"><v>August</v></cell><cell r="L5753"><v>43323</v></cell><cell r="M5753" t="str"><v>Tier 1</v></cell><cell r="N5753" t="str"><v>North America</v></cell><cell r="O5753" t="str"><v>Canada</v></cell><cell r="P5753" t="str"><v>Trial</v></cell><cell r="Q5753" t="str"><v>Social</v></cell><cell r="R5753" t="str"><v>Azure</v></cell><cell r="S5753" t="str"><v>Apps & Infra</v></cell><cell r="T5753" t="str"><v>Developers & ITI's</v></cell><cell r="U5753" t="str"><v>AZR</v></cell><cell r="V5753" t="str"><v>Audience Targeting</v></cell><cell r="W5753" t="str"><v>Engagement Video</v></cell><cell r="X5753" t="str"><v>1x1</v></cell></row><row r="5753"><cell r="AA5753"><v>43323</v></cell><cell r="AB5753" t="str"><v>CAN_gaPMG_AZR_AZR_Q1_19_Trial-Social</v></cell><cell r="AC5753"><v>21337220</v></cell><cell r="AD5753"><v>720192</v></cell><cell r="AE5753" t="str"><v>Facebook</v></cell><cell r="AF5753"><v>3654128</v></cell><cell r="AG5753" t="str"><v>Facebook»AZR»1x1»NA»EGV»ALL»DYN»AUT»D»All»SS»NA»Free Acc CTC - T2 - EN</v></cell><cell r="AH5753"><v>223691840</v></cell><cell r="AI5753" t="str"><v>AzurePlatform_FBCTCBrandinMotion_CAN_12s_ISV_PLAT_English_Trial_Standard_STAN_TN_T2_1</v></cell><cell r="AJ5753"><v>102902950</v></cell></row><row r="5754"><cell r="C5754" t="str"><v>43323Facebook»AZR»1x1»NA»EGV»ALL»DYN»AUT»D»All»SS»NA»Free Acc CTC - T4 - EN</v></cell><cell r="D5754" t="str"><v>43323223691837</v></cell><cell r="E5754" t="str"><v>433231030533144 - EN</v></cell><cell r="F5754" t="str"><v>DCM</v></cell><cell r="G5754" t="str"><v>https://signup.azure.com/</v></cell></row><row r="5754"><cell r="K5754" t="str"><v>August</v></cell><cell r="L5754"><v>43323</v></cell><cell r="M5754" t="str"><v>Tier 1</v></cell><cell r="N5754" t="str"><v>North America</v></cell><cell r="O5754" t="str"><v>Canada</v></cell><cell r="P5754" t="str"><v>Trial</v></cell><cell r="Q5754" t="str"><v>Social</v></cell><cell r="R5754" t="str"><v>Azure</v></cell><cell r="S5754" t="str"><v>Apps & Infra</v></cell><cell r="T5754" t="str"><v>Developers & ITI's</v></cell><cell r="U5754" t="str"><v>AZR</v></cell><cell r="V5754" t="str"><v>Audience Targeting</v></cell><cell r="W5754" t="str"><v>Engagement Video</v></cell><cell r="X5754" t="str"><v>1x1</v></cell></row><row r="5754"><cell r="AA5754"><v>43323</v></cell><cell r="AB5754" t="str"><v>CAN_gaPMG_AZR_AZR_Q1_19_Trial-Social</v></cell><cell r="AC5754"><v>21337220</v></cell><cell r="AD5754"><v>720192</v></cell><cell r="AE5754" t="str"><v>Facebook</v></cell><cell r="AF5754"><v>3654128</v></cell><cell r="AG5754" t="str"><v>Facebook»AZR»1x1»NA»EGV»ALL»DYN»AUT»D»All»SS»NA»Free Acc CTC - T4 - EN</v></cell><cell r="AH5754"><v>223691837</v></cell><cell r="AI5754" t="str"><v>AzurePlatform_FBCTCBenefit2inMotion_CAN_14s_ISV_PLAT_English_Trial_Standard_STAN_TN_T4_1</v></cell><cell r="AJ5754"><v>103053314</v></cell></row><row r="5755"><cell r="C5755" t="str"><v>43323Facebook»AZR»1x1»NA»EGV»ALL»DYN»AUT»D»All»SS»NA»Free Acc CTC - T4 - FR</v></cell><cell r="D5755" t="str"><v>43323223691795</v></cell><cell r="E5755" t="str"><v>433231029006884 - FR</v></cell><cell r="F5755" t="str"><v>DCM</v></cell><cell r="G5755" t="str"><v>https://signup.azure.com/</v></cell></row><row r="5755"><cell r="K5755" t="str"><v>August</v></cell><cell r="L5755"><v>43323</v></cell><cell r="M5755" t="str"><v>Tier 1</v></cell><cell r="N5755" t="str"><v>North America</v></cell><cell r="O5755" t="str"><v>Canada</v></cell><cell r="P5755" t="str"><v>Trial</v></cell><cell r="Q5755" t="str"><v>Social</v></cell><cell r="R5755" t="str"><v>Azure</v></cell><cell r="S5755" t="str"><v>Apps & Infra</v></cell><cell r="T5755" t="str"><v>Developers & ITI's</v></cell><cell r="U5755" t="str"><v>AZR</v></cell><cell r="V5755" t="str"><v>Audience Targeting</v></cell><cell r="W5755" t="str"><v>Engagement Video</v></cell><cell r="X5755" t="str"><v>1x1</v></cell></row><row r="5755"><cell r="AA5755"><v>43323</v></cell><cell r="AB5755" t="str"><v>CAN_gaPMG_AZR_AZR_Q1_19_Trial-Social</v></cell><cell r="AC5755"><v>21337220</v></cell><cell r="AD5755"><v>720192</v></cell><cell r="AE5755" t="str"><v>Facebook</v></cell><cell r="AF5755"><v>3654128</v></cell><cell r="AG5755" t="str"><v>Facebook»AZR»1x1»NA»EGV»ALL»DYN»AUT»D»All»SS»NA»Free Acc CTC - T4 - FR</v></cell><cell r="AH5755"><v>223691795</v></cell><cell r="AI5755" t="str"><v>AzurePlatform_FBCTCBenefit2inMotion_CAN_14s_ISV_PLAT_FR_Trial_Standard_STAN_TN_T4_1</v></cell><cell r="AJ5755"><v>102900688</v></cell></row><row r="5756"><cell r="C5756" t="str"><v>43323Facebook»AZR»1x1»NA»SOC»ALL»DYN»PRO»D»All»SS»NA»Canvas - Buy Now - EN</v></cell><cell r="D5756" t="str"><v>43323225322327</v></cell><cell r="E5756" t="str"><v>43323103902287w - EN</v></cell><cell r="F5756" t="str"><v>DCM</v></cell><cell r="G5756" t="str"><v>https://azure.microsoft.com/en-ca/pricing/purchase-options/</v></cell></row><row r="5756"><cell r="K5756" t="str"><v>August</v></cell><cell r="L5756"><v>43323</v></cell><cell r="M5756" t="str"><v>Tier 1</v></cell><cell r="N5756" t="str"><v>North America</v></cell><cell r="O5756" t="str"><v>Canada</v></cell><cell r="P5756" t="str"><v>Trial</v></cell><cell r="Q5756" t="str"><v>Social</v></cell><cell r="R5756" t="str"><v>Azure</v></cell><cell r="S5756" t="str"><v>Apps & Infra</v></cell><cell r="T5756" t="str"><v>Developers & ITI's</v></cell><cell r="U5756" t="str"><v>AZR</v></cell><cell r="V5756" t="str"><v>Prospecting</v></cell><cell r="W5756" t="str"><v>Social</v></cell><cell r="X5756" t="str"><v>1x1</v></cell></row><row r="5756"><cell r="AA5756"><v>43323</v></cell><cell r="AB5756" t="str"><v>CAN_gaPMG_AZR_AZR_Q1_19_Trial-Social</v></cell><cell r="AC5756"><v>21337220</v></cell><cell r="AD5756"><v>720192</v></cell><cell r="AE5756" t="str"><v>Facebook</v></cell><cell r="AF5756"><v>3654128</v></cell><cell r="AG5756" t="str"><v>Facebook»AZR»1x1»NA»SOC»ALL»DYN»PRO»D»All»SS»NA»Canvas - Buy Now - EN</v></cell><cell r="AH5756"><v>225322327</v></cell><cell r="AI5756" t="str"><v>AzurePlatform_FBCTCcanvaspage-BuyNowCTA-Img3_CAN_1080x162_SOC_Plat_English_NA_Standard_NA_BN_T3_1</v></cell><cell r="AJ5756"><v>103902287</v></cell></row><row r="5757"><cell r="C5757" t="str"><v>43323Facebook»AZR»1x1»NA»SOC»ALL»DYN»PRO»D»All»SS»NA»Canvas - Start Free - EN</v></cell><cell r="D5757" t="str"><v>43323225252365</v></cell><cell r="E5757" t="str"><v>43323103807590e - EN</v></cell><cell r="F5757" t="str"><v>DCM</v></cell><cell r="G5757" t="str"><v>https://signup.azure.com/signup?offer=ms-azr-0044p&appId=102&ref=paidmedia-social-fb&redirectURL=https%3a%2f%2fazure.microsoft.com%2fen-ca%2fget-started%2fwelcome-to-azure%2f&l=en-ca&correlationId=ead86c34-1f10-49dd-a72b-6918462a2cbf</v></cell></row><row r="5757"><cell r="K5757" t="str"><v>August</v></cell><cell r="L5757"><v>43323</v></cell><cell r="M5757" t="str"><v>Tier 1</v></cell><cell r="N5757" t="str"><v>North America</v></cell><cell r="O5757" t="str"><v>Canada</v></cell><cell r="P5757" t="str"><v>Trial</v></cell><cell r="Q5757" t="str"><v>Social</v></cell><cell r="R5757" t="str"><v>Azure</v></cell><cell r="S5757" t="str"><v>Apps & Infra</v></cell><cell r="T5757" t="str"><v>Developers & ITI's</v></cell><cell r="U5757" t="str"><v>AZR</v></cell><cell r="V5757" t="str"><v>Prospecting</v></cell><cell r="W5757" t="str"><v>Social</v></cell><cell r="X5757" t="str"><v>1x1</v></cell></row><row r="5757"><cell r="AA5757"><v>43323</v></cell><cell r="AB5757" t="str"><v>CAN_gaPMG_AZR_AZR_Q1_19_Trial-Social</v></cell><cell r="AC5757"><v>21337220</v></cell><cell r="AD5757"><v>720192</v></cell><cell r="AE5757" t="str"><v>Facebook</v></cell><cell r="AF5757"><v>3654128</v></cell><cell r="AG5757" t="str"><v>Facebook»AZR»1x1»NA»SOC»ALL»DYN»PRO»D»All»SS»NA»Canvas - Start Free - EN</v></cell><cell r="AH5757"><v>225252365</v></cell><cell r="AI5757" t="str"><v>AzurePlatform_FBCTCcanvaspage-StartFreeCTA-Img2_CAN_1080x143 _SOC_Plat_English_NA_Standard_NA_NA_T2_1</v></cell><cell r="AJ5757"><v>103807590</v></cell></row><row r="5758"><cell r="C5758" t="str"><v>43323Facebook»AZR»1x1»NA»SOC»ALL»DYN»PRO»D»All»SS»NA»Canvas - Start Free - FR</v></cell><cell r="D5758" t="str"><v>43323225525936</v></cell><cell r="E5758" t="str"><v>43323103902551e - FR</v></cell><cell r="F5758" t="str"><v>DCM</v></cell><cell r="G5758" t="str"><v>https://signup.azure.com/signup?offer=ms-azr-0044p&appId=102&ref=paidmedia-social-fb&redirectURL=https%3a%2f%2fazure.microsoft.com%2ffr-ca%2fget-started%2fwelcome-to-azure%2f&l=fr-ca&correlationId=ead86c34-1f10-49dd-a72b-6918462a2cbf</v></cell></row><row r="5758"><cell r="K5758" t="str"><v>August</v></cell><cell r="L5758"><v>43323</v></cell><cell r="M5758" t="str"><v>Tier 1</v></cell><cell r="N5758" t="str"><v>North America</v></cell><cell r="O5758" t="str"><v>Canada</v></cell><cell r="P5758" t="str"><v>Trial</v></cell><cell r="Q5758" t="str"><v>Social</v></cell><cell r="R5758" t="str"><v>Azure</v></cell><cell r="S5758" t="str"><v>Apps & Infra</v></cell><cell r="T5758" t="str"><v>Developers & ITI's</v></cell><cell r="U5758" t="str"><v>AZR</v></cell><cell r="V5758" t="str"><v>Prospecting</v></cell><cell r="W5758" t="str"><v>Social</v></cell><cell r="X5758" t="str"><v>1x1</v></cell></row><row r="5758"><cell r="AA5758"><v>43323</v></cell><cell r="AB5758" t="str"><v>CAN_gaPMG_AZR_AZR_Q1_19_Trial-Social</v></cell><cell r="AC5758"><v>21337220</v></cell><cell r="AD5758"><v>720192</v></cell><cell r="AE5758" t="str"><v>Facebook</v></cell><cell r="AF5758"><v>3654128</v></cell><cell r="AG5758" t="str"><v>Facebook»AZR»1x1»NA»SOC»ALL»DYN»PRO»D»All»SS»NA»Canvas - Start Free - FR</v></cell><cell r="AH5758"><v>225525936</v></cell><cell r="AI5758" t="str"><v>AzurePlatform_FBCTCcanvaspage-StartFreeCTA-Img2_CAN_1080x143 _SOC_Plat_French_NA_Standard_NA_NA_T2_1</v></cell><cell r="AJ5758"><v>103902551</v></cell></row><row r="5759"><cell r="C5759" t="str"><v>43323Facebook»AZR»1x1»SocialBan»NA»ALL»DYN»AUT»D»All»SS»NA»Free Acc Refresh - T1 - EN</v></cell><cell r="D5759" t="str"><v>43323223691804</v></cell><cell r="E5759" t="str"><v>433231030587171 - EN</v></cell><cell r="F5759" t="str"><v>DCM</v></cell><cell r="G5759" t="str"><v>https://azure.microsoft.com/en-CA/free/search/</v></cell></row><row r="5759"><cell r="K5759" t="str"><v>August</v></cell><cell r="L5759"><v>43323</v></cell><cell r="M5759" t="str"><v>Tier 1</v></cell><cell r="N5759" t="str"><v>North America</v></cell><cell r="O5759" t="str"><v>Canada</v></cell><cell r="P5759" t="str"><v>Trial</v></cell><cell r="Q5759" t="str"><v>Social</v></cell><cell r="R5759" t="str"><v>Azure</v></cell><cell r="S5759" t="str"><v>Apps & Infra</v></cell><cell r="T5759" t="str"><v>Developers & ITI's</v></cell><cell r="U5759" t="str"><v>AZR</v></cell><cell r="V5759" t="str"><v>Audience Targeting</v></cell><cell r="W5759" t="str"><v>NotApplicable</v></cell><cell r="X5759" t="str"><v>1x1</v></cell></row><row r="5759"><cell r="AA5759"><v>43323</v></cell><cell r="AB5759" t="str"><v>CAN_gaPMG_AZR_AZR_Q1_19_Trial-Social</v></cell><cell r="AC5759"><v>21337220</v></cell><cell r="AD5759"><v>720192</v></cell><cell r="AE5759" t="str"><v>Facebook</v></cell><cell r="AF5759"><v>3654128</v></cell><cell r="AG5759" t="str"><v>Facebook»AZR»1x1»SocialBan»NA»ALL»DYN»AUT»D»All»SS»NA»Free Acc Refresh - T1 - EN</v></cell><cell r="AH5759"><v>223691804</v></cell><cell r="AI5759" t="str"><v>AzurePlatform_FreeAcctAppsFACEBOOKLifestyleChA_CAN_1200x628_SOC_PLAT_EN_Trial_Standard_NA_SU_T1_1.png</v></cell><cell r="AJ5759"><v>103058717</v></cell></row><row r="5760"><cell r="C5760" t="str"><v>43323Facebook»AZR»1x1»SocialBan»NA»ALL»DYN»AUT»D»All»SS»NA»Free Acc Refresh - T2 - EN</v></cell><cell r="D5760" t="str"><v>43323223691810</v></cell><cell r="E5760" t="str"><v>433231030587112 - EN</v></cell><cell r="F5760" t="str"><v>DCM</v></cell><cell r="G5760" t="str"><v>https://azure.microsoft.com/en-CA/free/search/</v></cell></row><row r="5760"><cell r="K5760" t="str"><v>August</v></cell><cell r="L5760"><v>43323</v></cell><cell r="M5760" t="str"><v>Tier 1</v></cell><cell r="N5760" t="str"><v>North America</v></cell><cell r="O5760" t="str"><v>Canada</v></cell><cell r="P5760" t="str"><v>Trial</v></cell><cell r="Q5760" t="str"><v>Social</v></cell><cell r="R5760" t="str"><v>Azure</v></cell><cell r="S5760" t="str"><v>Apps & Infra</v></cell><cell r="T5760" t="str"><v>Developers & ITI's</v></cell><cell r="U5760" t="str"><v>AZR</v></cell><cell r="V5760" t="str"><v>Audience Targeting</v></cell><cell r="W5760" t="str"><v>NotApplicable</v></cell><cell r="X5760" t="str"><v>1x1</v></cell></row><row r="5760"><cell r="AA5760"><v>43323</v></cell><cell r="AB5760" t="str"><v>CAN_gaPMG_AZR_AZR_Q1_19_Trial-Social</v></cell><cell r="AC5760"><v>21337220</v></cell><cell r="AD5760"><v>720192</v></cell><cell r="AE5760" t="str"><v>Facebook</v></cell><cell r="AF5760"><v>3654128</v></cell><cell r="AG5760" t="str"><v>Facebook»AZR»1x1»SocialBan»NA»ALL»DYN»AUT»D»All»SS»NA»Free Acc Refresh - T2 - EN</v></cell><cell r="AH5760"><v>223691810</v></cell><cell r="AI5760" t="str"><v>AzurePlatform_FreeAcctAppsFACEBOOKDeviceChB_CAN_1200x628_SOC_PLAT_EN_Trial_Standard_NA_SU_T2_1.png</v></cell><cell r="AJ5760"><v>103058711</v></cell></row><row r="5761"><cell r="C5761" t="str"><v>43323Facebook»AZR»1x1»SocialBan»NA»ALL»DYN»AUT»D»All»SS»NA»Free Acc Refresh - T3 - EN</v></cell><cell r="D5761" t="str"><v>43323223691807</v></cell><cell r="E5761" t="str"><v>433231029006853 - EN</v></cell><cell r="F5761" t="str"><v>DCM</v></cell><cell r="G5761" t="str"><v>https://azure.microsoft.com/en-CA/free/search/</v></cell></row><row r="5761"><cell r="K5761" t="str"><v>August</v></cell><cell r="L5761"><v>43323</v></cell><cell r="M5761" t="str"><v>Tier 1</v></cell><cell r="N5761" t="str"><v>North America</v></cell><cell r="O5761" t="str"><v>Canada</v></cell><cell r="P5761" t="str"><v>Trial</v></cell><cell r="Q5761" t="str"><v>Social</v></cell><cell r="R5761" t="str"><v>Azure</v></cell><cell r="S5761" t="str"><v>Apps & Infra</v></cell><cell r="T5761" t="str"><v>Developers & ITI's</v></cell><cell r="U5761" t="str"><v>AZR</v></cell><cell r="V5761" t="str"><v>Audience Targeting</v></cell><cell r="W5761" t="str"><v>NotApplicable</v></cell><cell r="X5761" t="str"><v>1x1</v></cell></row><row r="5761"><cell r="AA5761"><v>43323</v></cell><cell r="AB5761" t="str"><v>CAN_gaPMG_AZR_AZR_Q1_19_Trial-Social</v></cell><cell r="AC5761"><v>21337220</v></cell><cell r="AD5761"><v>720192</v></cell><cell r="AE5761" t="str"><v>Facebook</v></cell><cell r="AF5761"><v>3654128</v></cell><cell r="AG5761" t="str"><v>Facebook»AZR»1x1»SocialBan»NA»ALL»DYN»AUT»D»All»SS»NA»Free Acc Refresh - T3 - EN</v></cell><cell r="AH5761"><v>223691807</v></cell><cell r="AI5761" t="str"><v>AzurePlatform_FreeAcctAppsFACEBOOKIllustrationChC_CAN_1200x628_SOC_PLAT_EN_Trial_Standard_NA_SU_T3_1.png</v></cell><cell r="AJ5761"><v>102900685</v></cell></row><row r="5762"><cell r="C5762" t="str"><v>43323Facebook»AZR»1x1»SocialBan»NA»ALL»DYN»AUT»D»All»SS»NA»Free Acc Refresh - T3 - FR</v></cell><cell r="D5762" t="str"><v>43323223691765</v></cell><cell r="E5762" t="str"><v>433231030533323 - FR</v></cell><cell r="F5762" t="str"><v>DCM</v></cell><cell r="G5762" t="str"><v>https://azure.microsoft.com/fr-ca/free/search/</v></cell></row><row r="5762"><cell r="K5762" t="str"><v>August</v></cell><cell r="L5762"><v>43323</v></cell><cell r="M5762" t="str"><v>Tier 1</v></cell><cell r="N5762" t="str"><v>North America</v></cell><cell r="O5762" t="str"><v>Canada</v></cell><cell r="P5762" t="str"><v>Trial</v></cell><cell r="Q5762" t="str"><v>Social</v></cell><cell r="R5762" t="str"><v>Azure</v></cell><cell r="S5762" t="str"><v>Apps & Infra</v></cell><cell r="T5762" t="str"><v>Developers & ITI's</v></cell><cell r="U5762" t="str"><v>AZR</v></cell><cell r="V5762" t="str"><v>Audience Targeting</v></cell><cell r="W5762" t="str"><v>NotApplicable</v></cell><cell r="X5762" t="str"><v>1x1</v></cell></row><row r="5762"><cell r="AA5762"><v>43323</v></cell><cell r="AB5762" t="str"><v>CAN_gaPMG_AZR_AZR_Q1_19_Trial-Social</v></cell><cell r="AC5762"><v>21337220</v></cell><cell r="AD5762"><v>720192</v></cell><cell r="AE5762" t="str"><v>Facebook</v></cell><cell r="AF5762"><v>3654128</v></cell><cell r="AG5762" t="str"><v>Facebook»AZR»1x1»SocialBan»NA»ALL»DYN»AUT»D»All»SS»NA»Free Acc Refresh - T3 - FR</v></cell><cell r="AH5762"><v>223691765</v></cell><cell r="AI5762" t="str"><v>AzurePlatform_FreeAcctAppsFACEBOOKIllustrationChC_CAN_1200x628_SOC_PLAT_FR_Trial_Standard_NA_SU_T3_1.png</v></cell><cell r="AJ5762"><v>103053332</v></cell></row><row r="5763"><cell r="C5763" t="str"><v>43323Facebook»AZR»1x1»SocialBan»NA»ALL»DYN»AUT»D»All»SS»NA»Free Acc Refresh - T4 - EN</v></cell><cell r="D5763" t="str"><v>43323223691813</v></cell><cell r="E5763" t="str"><v>433231030533204 - EN</v></cell><cell r="F5763" t="str"><v>DCM</v></cell><cell r="G5763" t="str"><v>https://azure.microsoft.com/en-CA/free/search/</v></cell></row><row r="5763"><cell r="K5763" t="str"><v>August</v></cell><cell r="L5763"><v>43323</v></cell><cell r="M5763" t="str"><v>Tier 1</v></cell><cell r="N5763" t="str"><v>North America</v></cell><cell r="O5763" t="str"><v>Canada</v></cell><cell r="P5763" t="str"><v>Trial</v></cell><cell r="Q5763" t="str"><v>Social</v></cell><cell r="R5763" t="str"><v>Azure</v></cell><cell r="S5763" t="str"><v>Apps & Infra</v></cell><cell r="T5763" t="str"><v>Developers & ITI's</v></cell><cell r="U5763" t="str"><v>AZR</v></cell><cell r="V5763" t="str"><v>Audience Targeting</v></cell><cell r="W5763" t="str"><v>NotApplicable</v></cell><cell r="X5763" t="str"><v>1x1</v></cell></row><row r="5763"><cell r="AA5763"><v>43323</v></cell><cell r="AB5763" t="str"><v>CAN_gaPMG_AZR_AZR_Q1_19_Trial-Social</v></cell><cell r="AC5763"><v>21337220</v></cell><cell r="AD5763"><v>720192</v></cell><cell r="AE5763" t="str"><v>Facebook</v></cell><cell r="AF5763"><v>3654128</v></cell><cell r="AG5763" t="str"><v>Facebook»AZR»1x1»SocialBan»NA»ALL»DYN»AUT»D»All»SS»NA»Free Acc Refresh - T4 - EN</v></cell><cell r="AH5763"><v>223691813</v></cell><cell r="AI5763" t="str"><v>AzurePlatform_FreeAcctAppsFACEBOOK200CreditChD_CAN_1200x628_SOC_PLAT_EN_Trial_Standard_NA_SU_T4_1.png</v></cell><cell r="AJ5763"><v>103053320</v></cell></row><row r="5764"><cell r="C5764" t="str"><v>43323Facebook»AZR»1x1»SocialBan»NA»ALL»DYN»AUT»D»All»SS»NA»Free Acc Refresh - T4 - FR</v></cell><cell r="D5764" t="str"><v>43323223691771</v></cell><cell r="E5764" t="str"><v>433231029029684 - FR</v></cell><cell r="F5764" t="str"><v>DCM</v></cell><cell r="G5764" t="str"><v>https://azure.microsoft.com/fr-ca/free/search/</v></cell></row><row r="5764"><cell r="K5764" t="str"><v>August</v></cell><cell r="L5764"><v>43323</v></cell><cell r="M5764" t="str"><v>Tier 1</v></cell><cell r="N5764" t="str"><v>North America</v></cell><cell r="O5764" t="str"><v>Canada</v></cell><cell r="P5764" t="str"><v>Trial</v></cell><cell r="Q5764" t="str"><v>Social</v></cell><cell r="R5764" t="str"><v>Azure</v></cell><cell r="S5764" t="str"><v>Apps & Infra</v></cell><cell r="T5764" t="str"><v>Developers & ITI's</v></cell><cell r="U5764" t="str"><v>AZR</v></cell><cell r="V5764" t="str"><v>Audience Targeting</v></cell><cell r="W5764" t="str"><v>NotApplicable</v></cell><cell r="X5764" t="str"><v>1x1</v></cell></row><row r="5764"><cell r="AA5764"><v>43323</v></cell><cell r="AB5764" t="str"><v>CAN_gaPMG_AZR_AZR_Q1_19_Trial-Social</v></cell><cell r="AC5764"><v>21337220</v></cell><cell r="AD5764"><v>720192</v></cell><cell r="AE5764" t="str"><v>Facebook</v></cell><cell r="AF5764"><v>3654128</v></cell><cell r="AG5764" t="str"><v>Facebook»AZR»1x1»SocialBan»NA»ALL»DYN»AUT»D»All»SS»NA»Free Acc Refresh - T4 - FR</v></cell><cell r="AH5764"><v>223691771</v></cell><cell r="AI5764" t="str"><v>AzurePlatform_FreeAcctAppsFACEBOOK200CreditChD_CAN_1200x628_SOC_PLAT_FR_Trial_Standard_NA_SU_T4_1.png</v></cell><cell r="AJ5764"><v>102902968</v></cell></row><row r="5765"><cell r="C5765" t="str"><v>43323Facebook»AZR»1x1»SocialBan»NA»ALL»DYN»AUT»D»All»SS»NA»Free Acc Refresh - T5 - EN</v></cell><cell r="D5765" t="str"><v>43323223691816</v></cell><cell r="E5765" t="str"><v>433231029163415 - EN</v></cell><cell r="F5765" t="str"><v>DCM</v></cell><cell r="G5765" t="str"><v>https://azure.microsoft.com/en-CA/free/search/</v></cell></row><row r="5765"><cell r="K5765" t="str"><v>August</v></cell><cell r="L5765"><v>43323</v></cell><cell r="M5765" t="str"><v>Tier 1</v></cell><cell r="N5765" t="str"><v>North America</v></cell><cell r="O5765" t="str"><v>Canada</v></cell><cell r="P5765" t="str"><v>Trial</v></cell><cell r="Q5765" t="str"><v>Social</v></cell><cell r="R5765" t="str"><v>Azure</v></cell><cell r="S5765" t="str"><v>Apps & Infra</v></cell><cell r="T5765" t="str"><v>Developers & ITI's</v></cell><cell r="U5765" t="str"><v>AZR</v></cell><cell r="V5765" t="str"><v>Audience Targeting</v></cell><cell r="W5765" t="str"><v>NotApplicable</v></cell><cell r="X5765" t="str"><v>1x1</v></cell></row><row r="5765"><cell r="AA5765"><v>43323</v></cell><cell r="AB5765" t="str"><v>CAN_gaPMG_AZR_AZR_Q1_19_Trial-Social</v></cell><cell r="AC5765"><v>21337220</v></cell><cell r="AD5765"><v>720192</v></cell><cell r="AE5765" t="str"><v>Facebook</v></cell><cell r="AF5765"><v>3654128</v></cell><cell r="AG5765" t="str"><v>Facebook»AZR»1x1»SocialBan»NA»ALL»DYN»AUT»D»All»SS»NA»Free Acc Refresh - T5 - EN</v></cell><cell r="AH5765"><v>223691816</v></cell><cell r="AI5765" t="str"><v>AzurePlatform_FreeAcctAppsFACEBOOK12monthsChE_CAN_1200x628_SOC_PLAT_EN_Trial_Standard_NA_SU_T5_1.png</v></cell><cell r="AJ5765"><v>102916341</v></cell></row><row r="5766"><cell r="C5766" t="str"><v>43323Facebook»AZR»1x1»SocialBan»NA»ALL»DYN»AUT»D»All»SS»NA»Free Acc Refresh - T5 - FR</v></cell><cell r="D5766" t="str"><v>43323223691774</v></cell><cell r="E5766" t="str"><v>433231029163565 - FR</v></cell><cell r="F5766" t="str"><v>DCM</v></cell><cell r="G5766" t="str"><v>https://azure.microsoft.com/fr-ca/free/search/</v></cell></row><row r="5766"><cell r="K5766" t="str"><v>August</v></cell><cell r="L5766"><v>43323</v></cell><cell r="M5766" t="str"><v>Tier 1</v></cell><cell r="N5766" t="str"><v>North America</v></cell><cell r="O5766" t="str"><v>Canada</v></cell><cell r="P5766" t="str"><v>Trial</v></cell><cell r="Q5766" t="str"><v>Social</v></cell><cell r="R5766" t="str"><v>Azure</v></cell><cell r="S5766" t="str"><v>Apps & Infra</v></cell><cell r="T5766" t="str"><v>Developers & ITI's</v></cell><cell r="U5766" t="str"><v>AZR</v></cell><cell r="V5766" t="str"><v>Audience Targeting</v></cell><cell r="W5766" t="str"><v>NotApplicable</v></cell><cell r="X5766" t="str"><v>1x1</v></cell></row><row r="5766"><cell r="AA5766"><v>43323</v></cell><cell r="AB5766" t="str"><v>CAN_gaPMG_AZR_AZR_Q1_19_Trial-Social</v></cell><cell r="AC5766"><v>21337220</v></cell><cell r="AD5766"><v>720192</v></cell><cell r="AE5766" t="str"><v>Facebook</v></cell><cell r="AF5766"><v>3654128</v></cell><cell r="AG5766" t="str"><v>Facebook»AZR»1x1»SocialBan»NA»ALL»DYN»AUT»D»All»SS»NA»Free Acc Refresh - T5 - FR</v></cell><cell r="AH5766"><v>223691774</v></cell><cell r="AI5766" t="str"><v>AzurePlatform_FreeAcctAppsFACEBOOK12monthsChE_CAN_1200x628_SOC_PLAT_FR_Trial_Standard_NA_SU_T5_1.png</v></cell><cell r="AJ5766"><v>102916356</v></cell></row><row r="5767"><cell r="C5767" t="str"><v>43323Facebook»AZR»1x1»SocialBan»NA»ALL»DYN»RT»D»All»SS»NA» Free Account Retargeting OSS - T1 - FR</v></cell><cell r="D5767" t="str"><v>43323223691786</v></cell><cell r="E5767" t="str"><v>433231030587201 - FR</v></cell><cell r="F5767" t="str"><v>DCM</v></cell><cell r="G5767" t="str"><v>https://azure.microsoft.com/fr-ca/free/open-source/search/</v></cell></row><row r="5767"><cell r="K5767" t="str"><v>August</v></cell><cell r="L5767"><v>43323</v></cell><cell r="M5767" t="str"><v>Tier 1</v></cell><cell r="N5767" t="str"><v>North America</v></cell><cell r="O5767" t="str"><v>Canada</v></cell><cell r="P5767" t="str"><v>Trial</v></cell><cell r="Q5767" t="str"><v>Social</v></cell><cell r="R5767" t="str"><v>Azure</v></cell><cell r="S5767" t="str"><v>Apps & Infra</v></cell><cell r="T5767" t="str"><v>Developers & ITI's</v></cell><cell r="U5767" t="str"><v>AZR</v></cell><cell r="V5767" t="str"><v>Retargeting</v></cell><cell r="W5767" t="str"><v>NotApplicable</v></cell><cell r="X5767" t="str"><v>1x1</v></cell></row><row r="5767"><cell r="AA5767"><v>43323</v></cell><cell r="AB5767" t="str"><v>CAN_gaPMG_AZR_AZR_Q1_19_Trial-Social</v></cell><cell r="AC5767"><v>21337220</v></cell><cell r="AD5767"><v>720192</v></cell><cell r="AE5767" t="str"><v>Facebook</v></cell><cell r="AF5767"><v>3654128</v></cell><cell r="AG5767" t="str"><v>Facebook»AZR»1x1»SocialBan»NA»ALL»DYN»RT»D»All»SS»NA» Free Account Retargeting OSS - T1 - FR</v></cell><cell r="AH5767"><v>223691786</v></cell><cell r="AI5767" t="str"><v>AzurePlatform_FreeAcctRetargetingOSSFB-Text-ChF_CAN_1200x628_SOC_Plat_FR_Free Account_Standard_NA_SU_T1_1</v></cell><cell r="AJ5767"><v>103058720</v></cell></row><row r="5768"><cell r="C5768" t="str"><v>43323Facebook»AZR»1x1»SocialBan»NA»ALL»DYN»RT»D»All»SS»NA» Free Account Retargeting OSS - T2 - EN</v></cell><cell r="D5768" t="str"><v>43323223691831</v></cell><cell r="E5768" t="str"><v>433231029138002 - EN</v></cell><cell r="F5768" t="str"><v>DCM</v></cell><cell r="G5768" t="str"><v>https://azure.microsoft.com/en-ca/free/open-source/search/</v></cell></row><row r="5768"><cell r="K5768" t="str"><v>August</v></cell><cell r="L5768"><v>43323</v></cell><cell r="M5768" t="str"><v>Tier 1</v></cell><cell r="N5768" t="str"><v>North America</v></cell><cell r="O5768" t="str"><v>Canada</v></cell><cell r="P5768" t="str"><v>Trial</v></cell><cell r="Q5768" t="str"><v>Social</v></cell><cell r="R5768" t="str"><v>Azure</v></cell><cell r="S5768" t="str"><v>Apps & Infra</v></cell><cell r="T5768" t="str"><v>Developers & ITI's</v></cell><cell r="U5768" t="str"><v>AZR</v></cell><cell r="V5768" t="str"><v>Retargeting</v></cell><cell r="W5768" t="str"><v>NotApplicable</v></cell><cell r="X5768" t="str"><v>1x1</v></cell></row><row r="5768"><cell r="AA5768"><v>43323</v></cell><cell r="AB5768" t="str"><v>CAN_gaPMG_AZR_AZR_Q1_19_Trial-Social</v></cell><cell r="AC5768"><v>21337220</v></cell><cell r="AD5768"><v>720192</v></cell><cell r="AE5768" t="str"><v>Facebook</v></cell><cell r="AF5768"><v>3654128</v></cell><cell r="AG5768" t="str"><v>Facebook»AZR»1x1»SocialBan»NA»ALL»DYN»RT»D»All»SS»NA» Free Account Retargeting OSS - T2 - EN</v></cell><cell r="AH5768"><v>223691831</v></cell><cell r="AI5768" t="str"><v>AzurePlatform_FreeAcctRetargetingOSSFB-Logos-ChG_CAN_1200x628_SOC_Plat_EN_Free Account_Standard_NA_SU_T2_1</v></cell><cell r="AJ5768"><v>102913800</v></cell></row><row r="5769"><cell r="C5769" t="str"><v>43323Facebook»AZR»1x1»SocialBan»NA»ALL»DYN»RT»D»All»SS»NA»Free Account Retargeting Generic - T2 - EN</v></cell><cell r="D5769" t="str"><v>43323223691834</v></cell><cell r="E5769" t="str"><v>433231029029532 - EN</v></cell><cell r="F5769" t="str"><v>DCM</v></cell><cell r="G5769" t="str"><v>https://azure.microsoft.com/en-CA/free/search/</v></cell></row><row r="5769"><cell r="K5769" t="str"><v>August</v></cell><cell r="L5769"><v>43323</v></cell><cell r="M5769" t="str"><v>Tier 1</v></cell><cell r="N5769" t="str"><v>North America</v></cell><cell r="O5769" t="str"><v>Canada</v></cell><cell r="P5769" t="str"><v>Trial</v></cell><cell r="Q5769" t="str"><v>Social</v></cell><cell r="R5769" t="str"><v>Azure</v></cell><cell r="S5769" t="str"><v>Apps & Infra</v></cell><cell r="T5769" t="str"><v>Developers & ITI's</v></cell><cell r="U5769" t="str"><v>AZR</v></cell><cell r="V5769" t="str"><v>Retargeting</v></cell><cell r="W5769" t="str"><v>NotApplicable</v></cell><cell r="X5769" t="str"><v>1x1</v></cell></row><row r="5769"><cell r="AA5769"><v>43323</v></cell><cell r="AB5769" t="str"><v>CAN_gaPMG_AZR_AZR_Q1_19_Trial-Social</v></cell><cell r="AC5769"><v>21337220</v></cell><cell r="AD5769"><v>720192</v></cell><cell r="AE5769" t="str"><v>Facebook</v></cell><cell r="AF5769"><v>3654128</v></cell><cell r="AG5769" t="str"><v>Facebook»AZR»1x1»SocialBan»NA»ALL»DYN»RT»D»All»SS»NA»Free Account Retargeting Generic - T2 - EN</v></cell><cell r="AH5769"><v>223691834</v></cell><cell r="AI5769" t="str"><v>AzurePlatform_FreeAcctRetargetingFB-GlobalAlt-ChB_CAN_1200x628_SOC_Plat_EN_Free Account_Standard_NA_SU_T2_1</v></cell><cell r="AJ5769"><v>102902953</v></cell></row><row r="5770"><cell r="C5770" t="str"><v>43323Facebook»AZR»1x1»SocialBan»NA»ALL»DYN»RT»D»All»SS»NA»Free Account Retargeting Generic - T3 - FR</v></cell><cell r="D5770" t="str"><v>43323223691777</v></cell><cell r="E5770" t="str"><v>433231029006973 - FR</v></cell><cell r="F5770" t="str"><v>DCM</v></cell><cell r="G5770" t="str"><v>https://azure.microsoft.com/fr-ca/free/search/</v></cell></row><row r="5770"><cell r="K5770" t="str"><v>August</v></cell><cell r="L5770"><v>43323</v></cell><cell r="M5770" t="str"><v>Tier 1</v></cell><cell r="N5770" t="str"><v>North America</v></cell><cell r="O5770" t="str"><v>Canada</v></cell><cell r="P5770" t="str"><v>Trial</v></cell><cell r="Q5770" t="str"><v>Social</v></cell><cell r="R5770" t="str"><v>Azure</v></cell><cell r="S5770" t="str"><v>Apps & Infra</v></cell><cell r="T5770" t="str"><v>Developers & ITI's</v></cell><cell r="U5770" t="str"><v>AZR</v></cell><cell r="V5770" t="str"><v>Retargeting</v></cell><cell r="W5770" t="str"><v>NotApplicable</v></cell><cell r="X5770" t="str"><v>1x1</v></cell></row><row r="5770"><cell r="AA5770"><v>43323</v></cell><cell r="AB5770" t="str"><v>CAN_gaPMG_AZR_AZR_Q1_19_Trial-Social</v></cell><cell r="AC5770"><v>21337220</v></cell><cell r="AD5770"><v>720192</v></cell><cell r="AE5770" t="str"><v>Facebook</v></cell><cell r="AF5770"><v>3654128</v></cell><cell r="AG5770" t="str"><v>Facebook»AZR»1x1»SocialBan»NA»ALL»DYN»RT»D»All»SS»NA»Free Account Retargeting Generic - T3 - FR</v></cell><cell r="AH5770"><v>223691777</v></cell><cell r="AI5770" t="str"><v>AzurePlatform_FreeAcctRetargetingFB-Animated-ChC_CAN_1200x628_SOC_Plat_FR_Free Account_Standard_ANI_SU_T3_1</v></cell><cell r="AJ5770"><v>102900697</v></cell></row><row r="5771"><cell r="C5771" t="str"><v>43323Facebook»AZR»1x1»SocialBan»NA»ALL»DYN»RT»D»All»SS»NA»Free Account Retargeting VM - T1 - EN</v></cell><cell r="D5771" t="str"><v>43323223691825</v></cell><cell r="E5771" t="str"><v>433231029163381 - EN</v></cell><cell r="F5771" t="str"><v>DCM</v></cell><cell r="G5771" t="str"><v>https://azure.microsoft.com/en-ca/free/virtual-machines/search/</v></cell></row><row r="5771"><cell r="K5771" t="str"><v>August</v></cell><cell r="L5771"><v>43323</v></cell><cell r="M5771" t="str"><v>Tier 1</v></cell><cell r="N5771" t="str"><v>North America</v></cell><cell r="O5771" t="str"><v>Canada</v></cell><cell r="P5771" t="str"><v>Trial</v></cell><cell r="Q5771" t="str"><v>Social</v></cell><cell r="R5771" t="str"><v>Azure</v></cell><cell r="S5771" t="str"><v>Apps & Infra</v></cell><cell r="T5771" t="str"><v>Developers & ITI's</v></cell><cell r="U5771" t="str"><v>AZR</v></cell><cell r="V5771" t="str"><v>Retargeting</v></cell><cell r="W5771" t="str"><v>NotApplicable</v></cell><cell r="X5771" t="str"><v>1x1</v></cell></row><row r="5771"><cell r="AA5771"><v>43323</v></cell><cell r="AB5771" t="str"><v>CAN_gaPMG_AZR_AZR_Q1_19_Trial-Social</v></cell><cell r="AC5771"><v>21337220</v></cell><cell r="AD5771"><v>720192</v></cell><cell r="AE5771" t="str"><v>Facebook</v></cell><cell r="AF5771"><v>3654128</v></cell><cell r="AG5771" t="str"><v>Facebook»AZR»1x1»SocialBan»NA»ALL»DYN»RT»D»All»SS»NA»Free Account Retargeting VM - T1 - EN</v></cell><cell r="AH5771"><v>223691825</v></cell><cell r="AI5771" t="str"><v>AzurePlatform_FreeAcctRetargetingVMFB-750Hrs-ChD_CAN_1200x628_SOC_Plat_EN_Free Account_Standard_NA_SU_T1_1</v></cell><cell r="AJ5771"><v>102916338</v></cell></row><row r="5772"><cell r="C5772" t="str"><v>43323Facebook»AZR»1x1»SocialBan»NA»ALL»DYN»RT»D»All»SS»NA»Free Account Retargeting VM - T2 - EN</v></cell><cell r="D5772" t="str"><v>43323223691822</v></cell><cell r="E5772" t="str"><v>433231030587082 - EN</v></cell><cell r="F5772" t="str"><v>DCM</v></cell><cell r="G5772" t="str"><v>https://azure.microsoft.com/en-ca/free/virtual-machines/search/</v></cell></row><row r="5772"><cell r="K5772" t="str"><v>August</v></cell><cell r="L5772"><v>43323</v></cell><cell r="M5772" t="str"><v>Tier 1</v></cell><cell r="N5772" t="str"><v>North America</v></cell><cell r="O5772" t="str"><v>Canada</v></cell><cell r="P5772" t="str"><v>Trial</v></cell><cell r="Q5772" t="str"><v>Social</v></cell><cell r="R5772" t="str"><v>Azure</v></cell><cell r="S5772" t="str"><v>Apps & Infra</v></cell><cell r="T5772" t="str"><v>Developers & ITI's</v></cell><cell r="U5772" t="str"><v>AZR</v></cell><cell r="V5772" t="str"><v>Retargeting</v></cell><cell r="W5772" t="str"><v>NotApplicable</v></cell><cell r="X5772" t="str"><v>1x1</v></cell></row><row r="5772"><cell r="AA5772"><v>43323</v></cell><cell r="AB5772" t="str"><v>CAN_gaPMG_AZR_AZR_Q1_19_Trial-Social</v></cell><cell r="AC5772"><v>21337220</v></cell><cell r="AD5772"><v>720192</v></cell><cell r="AE5772" t="str"><v>Facebook</v></cell><cell r="AF5772"><v>3654128</v></cell><cell r="AG5772" t="str"><v>Facebook»AZR»1x1»SocialBan»NA»ALL»DYN»RT»D»All»SS»NA»Free Account Retargeting VM - T2 - EN</v></cell><cell r="AH5772"><v>223691822</v></cell><cell r="AI5772" t="str"><v>AzurePlatform_FreeAcctRetargetingVMFB-OnDemand-ChE_CAN_1200x628_SOC_Plat_EN_Free Account_Standard_NA_SU_T2_1</v></cell><cell r="AJ5772"><v>103058708</v></cell></row><row r="5773"><cell r="C5773" t="str"><v>43323Facebook»AZR»1x1»SocialBan»NA»ALL»DYN»RT»D»All»SS»NA»Free Account Retargeting VM - T2 - FR</v></cell><cell r="D5773" t="str"><v>43323223691780</v></cell><cell r="E5773" t="str"><v>433231030587262 - FR</v></cell><cell r="F5773" t="str"><v>DCM</v></cell><cell r="G5773" t="str"><v>https://azure.microsoft.com/fr-ca/free/virtual-machines/search/</v></cell></row><row r="5773"><cell r="K5773" t="str"><v>August</v></cell><cell r="L5773"><v>43323</v></cell><cell r="M5773" t="str"><v>Tier 1</v></cell><cell r="N5773" t="str"><v>North America</v></cell><cell r="O5773" t="str"><v>Canada</v></cell><cell r="P5773" t="str"><v>Trial</v></cell><cell r="Q5773" t="str"><v>Social</v></cell><cell r="R5773" t="str"><v>Azure</v></cell><cell r="S5773" t="str"><v>Apps & Infra</v></cell><cell r="T5773" t="str"><v>Developers & ITI's</v></cell><cell r="U5773" t="str"><v>AZR</v></cell><cell r="V5773" t="str"><v>Retargeting</v></cell><cell r="W5773" t="str"><v>NotApplicable</v></cell><cell r="X5773" t="str"><v>1x1</v></cell></row><row r="5773"><cell r="AA5773"><v>43323</v></cell><cell r="AB5773" t="str"><v>CAN_gaPMG_AZR_AZR_Q1_19_Trial-Social</v></cell><cell r="AC5773"><v>21337220</v></cell><cell r="AD5773"><v>720192</v></cell><cell r="AE5773" t="str"><v>Facebook</v></cell><cell r="AF5773"><v>3654128</v></cell><cell r="AG5773" t="str"><v>Facebook»AZR»1x1»SocialBan»NA»ALL»DYN»RT»D»All»SS»NA»Free Account Retargeting VM - T2 - FR</v></cell><cell r="AH5773"><v>223691780</v></cell><cell r="AI5773" t="str"><v>AzurePlatform_FreeAcctRetargetingVMFB-OnDemand-ChE_CAN_1200x628_SOC_Plat_FR_Free Account_Standard_NA_SU_T2_1</v></cell><cell r="AJ5773"><v>103058726</v></cell></row><row r="5774"><cell r="C5774" t="str"><v>43323Facebook»DEV-ITP-AZR-FB|CanvasAds|Interesttargeting»1x1»TextLink»CAN»DT»CPM»AUT»W»NA»SS»NA»39684020-11000</v></cell><cell r="D5774" t="str"><v>43323224009494</v></cell><cell r="E5774" t="str"><v>43323103236186-11000</v></cell><cell r="F5774" t="str"><v>DCM</v></cell><cell r="G5774" t="str"><v>https://signup.azure.com/signup?offer=ms-azr-0044p&appId=102&ref=paidmedia-social-fb&redirectURL=https%3a%2f%2fazure.microsoft.com%2fde-de%2fget-started%2fwelcome-to-azure%2f&l=de-de&correlationId=ead86c34-1f10-49dd-a72b-6918462a2cbf</v></cell></row><row r="5774"><cell r="K5774" t="str"><v>August</v></cell><cell r="L5774"><v>43323</v></cell><cell r="M5774" t="str"><v>Tier 1</v></cell><cell r="N5774" t="str"><v>EMEA</v></cell><cell r="O5774" t="str"><v>Germany</v></cell><cell r="P5774" t="str"><v>Trial</v></cell><cell r="Q5774" t="str"><v>Social</v></cell><cell r="R5774" t="str"><v>Azure</v></cell><cell r="S5774" t="str"><v>Apps & Infra</v></cell><cell r="T5774" t="str"><v>Developers & ITI's</v></cell><cell r="U5774" t="str"><v>DEV-ITP-AZR-FB|CanvasAds|Interesttargeting</v></cell><cell r="V5774" t="str"><v>Audience Targeting</v></cell><cell r="W5774" t="str"><v>Canvas Ad</v></cell><cell r="X5774" t="str"><v>1x1</v></cell></row><row r="5774"><cell r="AA5774"><v>43323</v></cell><cell r="AB5774" t="str"><v>DEU_gaPMG_AZR_AZR_Q1_19_Trial-Social- 39684</v></cell><cell r="AC5774"><v>21359477</v></cell><cell r="AD5774"><v>720194</v></cell><cell r="AE5774" t="str"><v>Facebook</v></cell><cell r="AF5774"><v>3654128</v></cell><cell r="AG5774" t="str"><v>Facebook»DEV-ITP-AZR-FB|CanvasAds|Interesttargeting»1x1»TextLink»CAN»DT»CPM»AUT»W»NA»SS»NA»39684020-11000</v></cell><cell r="AH5774"><v>224009494</v></cell><cell r="AI5774" t="str"><v>AzurePlatform_FBCTCBasicMotion-StartFreeCT_DEU_10s_ISV_PLAT_DE_Trial_Standard_STAN_TN_T1_1</v></cell><cell r="AJ5774"><v>103236186</v></cell></row><row r="5775"><cell r="C5775" t="str"><v>43323Facebook»DEV-ITP-AZR-FB|CanvasAds|Interesttargeting»1x1»TextLink»CAN»DT»CPM»AUT»W»NA»SS»NA»39684020-11000</v></cell><cell r="D5775" t="str"><v>43323224009494</v></cell><cell r="E5775" t="str"><v>43323103236189-11000</v></cell><cell r="F5775" t="str"><v>DCM</v></cell><cell r="G5775" t="str"><v>https://azure.microsoft.com/de-de/pricing/purchase-options/</v></cell></row><row r="5775"><cell r="K5775" t="str"><v>August</v></cell><cell r="L5775"><v>43323</v></cell><cell r="M5775" t="str"><v>Tier 1</v></cell><cell r="N5775" t="str"><v>EMEA</v></cell><cell r="O5775" t="str"><v>Germany</v></cell><cell r="P5775" t="str"><v>Trial</v></cell><cell r="Q5775" t="str"><v>Social</v></cell><cell r="R5775" t="str"><v>Azure</v></cell><cell r="S5775" t="str"><v>Apps & Infra</v></cell><cell r="T5775" t="str"><v>Developers & ITI's</v></cell><cell r="U5775" t="str"><v>DEV-ITP-AZR-FB|CanvasAds|Interesttargeting</v></cell><cell r="V5775" t="str"><v>Audience Targeting</v></cell><cell r="W5775" t="str"><v>Canvas Ad</v></cell><cell r="X5775" t="str"><v>1x1</v></cell></row><row r="5775"><cell r="AA5775"><v>43323</v></cell><cell r="AB5775" t="str"><v>DEU_gaPMG_AZR_AZR_Q1_19_Trial-Social- 39684</v></cell><cell r="AC5775"><v>21359477</v></cell><cell r="AD5775"><v>720194</v></cell><cell r="AE5775" t="str"><v>Facebook</v></cell><cell r="AF5775"><v>3654128</v></cell><cell r="AG5775" t="str"><v>Facebook»DEV-ITP-AZR-FB|CanvasAds|Interesttargeting»1x1»TextLink»CAN»DT»CPM»AUT»W»NA»SS»NA»39684020-11000</v></cell><cell r="AH5775"><v>224009494</v></cell><cell r="AI5775" t="str"><v>AzurePlatform_FBCTCBenefit2inMotion-BuyNow_DEU_14s_ISV_PLAT_DE_Trial_Standard_STAN_TN_T4_1</v></cell><cell r="AJ5775"><v>103236189</v></cell></row><row r="5776"><cell r="C5776" t="str"><v>43323Facebook»DEV-ITP-AZR-FB|CanvasAds|Interesttargeting»1x1»TextLink»CAN»DT»CPM»AUT»W»NA»SS»NA»39684020-11000</v></cell><cell r="D5776" t="str"><v>43323224009494</v></cell><cell r="E5776" t="str"><v>43323103237290-11000</v></cell><cell r="F5776" t="str"><v>DCM</v></cell><cell r="G5776" t="str"><v>https://signup.azure.com/signup?offer=ms-azr-0044p&appId=102&ref=paidmedia-social-fb&redirectURL=https%3a%2f%2fazure.microsoft.com%2fde-de%2fget-started%2fwelcome-to-azure%2f&l=de-de&correlationId=ead86c34-1f10-49dd-a72b-6918462a2cbf</v></cell></row><row r="5776"><cell r="K5776" t="str"><v>August</v></cell><cell r="L5776"><v>43323</v></cell><cell r="M5776" t="str"><v>Tier 1</v></cell><cell r="N5776" t="str"><v>EMEA</v></cell><cell r="O5776" t="str"><v>Germany</v></cell><cell r="P5776" t="str"><v>Trial</v></cell><cell r="Q5776" t="str"><v>Social</v></cell><cell r="R5776" t="str"><v>Azure</v></cell><cell r="S5776" t="str"><v>Apps & Infra</v></cell><cell r="T5776" t="str"><v>Developers & ITI's</v></cell><cell r="U5776" t="str"><v>DEV-ITP-AZR-FB|CanvasAds|Interesttargeting</v></cell><cell r="V5776" t="str"><v>Audience Targeting</v></cell><cell r="W5776" t="str"><v>Canvas Ad</v></cell><cell r="X5776" t="str"><v>1x1</v></cell></row><row r="5776"><cell r="AA5776"><v>43323</v></cell><cell r="AB5776" t="str"><v>DEU_gaPMG_AZR_AZR_Q1_19_Trial-Social- 39684</v></cell><cell r="AC5776"><v>21359477</v></cell><cell r="AD5776"><v>720194</v></cell><cell r="AE5776" t="str"><v>Facebook</v></cell><cell r="AF5776"><v>3654128</v></cell><cell r="AG5776" t="str"><v>Facebook»DEV-ITP-AZR-FB|CanvasAds|Interesttargeting»1x1»TextLink»CAN»DT»CPM»AUT»W»NA»SS»NA»39684020-11000</v></cell><cell r="AH5776"><v>224009494</v></cell><cell r="AI5776" t="str"><v>AzurePlatform_FBCTCBenefit2inMotion-StartFreeCT_DEU_14s_ISV_PLAT_DE_Trial_Standard_STAN_TN_T4_1</v></cell><cell r="AJ5776"><v>103237290</v></cell></row><row r="5777"><cell r="C5777" t="str"><v>43323Facebook»DEV-ITP-AZR-FB|CanvasAds|Interesttargeting»1x1»TextLink»CAN»DT»CPM»AUT»W»NA»SS»NA»39684020-11000</v></cell><cell r="D5777" t="str"><v>43323224009494</v></cell><cell r="E5777" t="str"><v>43323103237293-11000</v></cell><cell r="F5777" t="str"><v>DCM</v></cell><cell r="G5777" t="str"><v>https://signup.azure.com/signup?offer=ms-azr-0044p&appId=102&ref=paidmedia-social-fb&redirectURL=https%3a%2f%2fazure.microsoft.com%2fde-de%2fget-started%2fwelcome-to-azure%2f&l=de-de&correlationId=ead86c34-1f10-49dd-a72b-6918462a2cbf</v></cell></row><row r="5777"><cell r="K5777" t="str"><v>August</v></cell><cell r="L5777"><v>43323</v></cell><cell r="M5777" t="str"><v>Tier 1</v></cell><cell r="N5777" t="str"><v>EMEA</v></cell><cell r="O5777" t="str"><v>Germany</v></cell><cell r="P5777" t="str"><v>Trial</v></cell><cell r="Q5777" t="str"><v>Social</v></cell><cell r="R5777" t="str"><v>Azure</v></cell><cell r="S5777" t="str"><v>Apps & Infra</v></cell><cell r="T5777" t="str"><v>Developers & ITI's</v></cell><cell r="U5777" t="str"><v>DEV-ITP-AZR-FB|CanvasAds|Interesttargeting</v></cell><cell r="V5777" t="str"><v>Audience Targeting</v></cell><cell r="W5777" t="str"><v>Canvas Ad</v></cell><cell r="X5777" t="str"><v>1x1</v></cell></row><row r="5777"><cell r="AA5777"><v>43323</v></cell><cell r="AB5777" t="str"><v>DEU_gaPMG_AZR_AZR_Q1_19_Trial-Social- 39684</v></cell><cell r="AC5777"><v>21359477</v></cell><cell r="AD5777"><v>720194</v></cell><cell r="AE5777" t="str"><v>Facebook</v></cell><cell r="AF5777"><v>3654128</v></cell><cell r="AG5777" t="str"><v>Facebook»DEV-ITP-AZR-FB|CanvasAds|Interesttargeting»1x1»TextLink»CAN»DT»CPM»AUT»W»NA»SS»NA»39684020-11000</v></cell><cell r="AH5777"><v>224009494</v></cell><cell r="AI5777" t="str"><v>AzurePlatform_FBCTCBrandinMotion-StartFreeCT_DEU_12s_ISV_PLAT_DE_Trial_Standard_STAN_TN_T2_1</v></cell><cell r="AJ5777"><v>103237293</v></cell></row><row r="5778"><cell r="C5778" t="str"><v>43323Facebook»DEV-ITP-AZR-FB|LinkAd|CustomerAudienceRetargeting»1x1»TextLink»LIA»DT»CPM»RT»W»NA»SS»NA»39684019-11000</v></cell><cell r="D5778" t="str"><v>43323224010415</v></cell><cell r="E5778" t="str"><v>43323103048548-11000</v></cell><cell r="F5778" t="str"><v>DCM</v></cell><cell r="G5778" t="str"><v>https://azure.microsoft.com/de-de/free/search/</v></cell></row><row r="5778"><cell r="K5778" t="str"><v>August</v></cell><cell r="L5778"><v>43323</v></cell><cell r="M5778" t="str"><v>Tier 1</v></cell><cell r="N5778" t="str"><v>EMEA</v></cell><cell r="O5778" t="str"><v>Germany</v></cell><cell r="P5778" t="str"><v>Trial</v></cell><cell r="Q5778" t="str"><v>Social</v></cell><cell r="R5778" t="str"><v>Azure</v></cell><cell r="S5778" t="str"><v>Apps & Infra</v></cell><cell r="T5778" t="str"><v>Developers & ITI's</v></cell><cell r="U5778" t="str"><v>DEV-ITP-AZR-FB|LinkAd|CustomerAudienceRetargeting</v></cell><cell r="V5778" t="str"><v>Retargeting</v></cell><cell r="W5778" t="str"><v>Link Ad</v></cell><cell r="X5778" t="str"><v>1x1</v></cell></row><row r="5778"><cell r="AA5778"><v>43323</v></cell><cell r="AB5778" t="str"><v>DEU_gaPMG_AZR_AZR_Q1_19_Trial-Social- 39684</v></cell><cell r="AC5778"><v>21359477</v></cell><cell r="AD5778"><v>720194</v></cell><cell r="AE5778" t="str"><v>Facebook</v></cell><cell r="AF5778"><v>3654128</v></cell><cell r="AG5778" t="str"><v>Facebook»DEV-ITP-AZR-FB|LinkAd|CustomerAudienceRetargeting»1x1»TextLink»LIA»DT»CPM»RT»W»NA»SS»NA»39684019-11000</v></cell><cell r="AH5778"><v>224010415</v></cell><cell r="AI5778" t="str"><v>AzurePlatform_FreeAcctRetargetingFB-Animated-ChC_DEU_1200x628_SOC_Plat_DE_Free Account_Standard_ANI_SNU_T3_1</v></cell><cell r="AJ5778"><v>103048548</v></cell></row><row r="5779"><cell r="C5779" t="str"><v>43323Facebook»DEV-ITP-AZR-FB|LinkAd|CustomerAudienceRetargeting»1x1»TextLink»LIA»DT»CPM»RT»W»NA»SS»NA»39684019-11000</v></cell><cell r="D5779" t="str"><v>43323224010415</v></cell><cell r="E5779" t="str"><v>43323103040320-11000</v></cell><cell r="F5779" t="str"><v>DCM</v></cell><cell r="G5779" t="str"><v>https://azure.microsoft.com/de-de/free/search/</v></cell></row><row r="5779"><cell r="K5779" t="str"><v>August</v></cell><cell r="L5779"><v>43323</v></cell><cell r="M5779" t="str"><v>Tier 1</v></cell><cell r="N5779" t="str"><v>EMEA</v></cell><cell r="O5779" t="str"><v>Germany</v></cell><cell r="P5779" t="str"><v>Trial</v></cell><cell r="Q5779" t="str"><v>Social</v></cell><cell r="R5779" t="str"><v>Azure</v></cell><cell r="S5779" t="str"><v>Apps & Infra</v></cell><cell r="T5779" t="str"><v>Developers & ITI's</v></cell><cell r="U5779" t="str"><v>DEV-ITP-AZR-FB|LinkAd|CustomerAudienceRetargeting</v></cell><cell r="V5779" t="str"><v>Retargeting</v></cell><cell r="W5779" t="str"><v>Link Ad</v></cell><cell r="X5779" t="str"><v>1x1</v></cell></row><row r="5779"><cell r="AA5779"><v>43323</v></cell><cell r="AB5779" t="str"><v>DEU_gaPMG_AZR_AZR_Q1_19_Trial-Social- 39684</v></cell><cell r="AC5779"><v>21359477</v></cell><cell r="AD5779"><v>720194</v></cell><cell r="AE5779" t="str"><v>Facebook</v></cell><cell r="AF5779"><v>3654128</v></cell><cell r="AG5779" t="str"><v>Facebook»DEV-ITP-AZR-FB|LinkAd|CustomerAudienceRetargeting»1x1»TextLink»LIA»DT»CPM»RT»W»NA»SS»NA»39684019-11000</v></cell><cell r="AH5779"><v>224010415</v></cell><cell r="AI5779" t="str"><v>AzurePlatform_FreeAcctRetargetingFB-GlobalAlt-ChB_DEU_1200x628_SOC_Plat_DE_Free Account_Standard_NA_SNU_T2_1</v></cell><cell r="AJ5779"><v>103040320</v></cell></row><row r="5780"><cell r="C5780" t="str"><v>43323Facebook»DEV-ITP-AZR-FB|LinkAd|CustomerAudienceRetargeting»1x1»TextLink»LIA»DT»CPM»RT»W»NA»SS»NA»39684019-11000</v></cell><cell r="D5780" t="str"><v>43323224010415</v></cell><cell r="E5780" t="str"><v>43323103043329-11000</v></cell><cell r="F5780" t="str"><v>DCM</v></cell><cell r="G5780" t="str"><v>https://azure.microsoft.com/de-de/free/open-source/search/</v></cell></row><row r="5780"><cell r="K5780" t="str"><v>August</v></cell><cell r="L5780"><v>43323</v></cell><cell r="M5780" t="str"><v>Tier 1</v></cell><cell r="N5780" t="str"><v>EMEA</v></cell><cell r="O5780" t="str"><v>Germany</v></cell><cell r="P5780" t="str"><v>Trial</v></cell><cell r="Q5780" t="str"><v>Social</v></cell><cell r="R5780" t="str"><v>Azure</v></cell><cell r="S5780" t="str"><v>Apps & Infra</v></cell><cell r="T5780" t="str"><v>Developers & ITI's</v></cell><cell r="U5780" t="str"><v>DEV-ITP-AZR-FB|LinkAd|CustomerAudienceRetargeting</v></cell><cell r="V5780" t="str"><v>Retargeting</v></cell><cell r="W5780" t="str"><v>Link Ad</v></cell><cell r="X5780" t="str"><v>1x1</v></cell></row><row r="5780"><cell r="AA5780"><v>43323</v></cell><cell r="AB5780" t="str"><v>DEU_gaPMG_AZR_AZR_Q1_19_Trial-Social- 39684</v></cell><cell r="AC5780"><v>21359477</v></cell><cell r="AD5780"><v>720194</v></cell><cell r="AE5780" t="str"><v>Facebook</v></cell><cell r="AF5780"><v>3654128</v></cell><cell r="AG5780" t="str"><v>Facebook»DEV-ITP-AZR-FB|LinkAd|CustomerAudienceRetargeting»1x1»TextLink»LIA»DT»CPM»RT»W»NA»SS»NA»39684019-11000</v></cell><cell r="AH5780"><v>224010415</v></cell><cell r="AI5780" t="str"><v>AzurePlatform_FreeAcctRetargetingOSSFB-Logos-ChG_DEU_1200x628_SOC_Plat_DE_Free Account_Standard_NA_SNU_T2_1</v></cell><cell r="AJ5780"><v>103043329</v></cell></row><row r="5781"><cell r="C5781" t="str"><v>43323Facebook»DEV-ITP-AZR-FB|LinkAd|CustomerAudienceRetargeting»1x1»TextLink»LIA»DT»CPM»RT»W»NA»SS»NA»39684019-11000</v></cell><cell r="D5781" t="str"><v>43323224010415</v></cell><cell r="E5781" t="str"><v>43323103055394-11000</v></cell><cell r="F5781" t="str"><v>DCM</v></cell><cell r="G5781" t="str"><v>https://azure.microsoft.com/de-de/free/open-source/search/</v></cell></row><row r="5781"><cell r="K5781" t="str"><v>August</v></cell><cell r="L5781"><v>43323</v></cell><cell r="M5781" t="str"><v>Tier 1</v></cell><cell r="N5781" t="str"><v>EMEA</v></cell><cell r="O5781" t="str"><v>Germany</v></cell><cell r="P5781" t="str"><v>Trial</v></cell><cell r="Q5781" t="str"><v>Social</v></cell><cell r="R5781" t="str"><v>Azure</v></cell><cell r="S5781" t="str"><v>Apps & Infra</v></cell><cell r="T5781" t="str"><v>Developers & ITI's</v></cell><cell r="U5781" t="str"><v>DEV-ITP-AZR-FB|LinkAd|CustomerAudienceRetargeting</v></cell><cell r="V5781" t="str"><v>Retargeting</v></cell><cell r="W5781" t="str"><v>Link Ad</v></cell><cell r="X5781" t="str"><v>1x1</v></cell></row><row r="5781"><cell r="AA5781"><v>43323</v></cell><cell r="AB5781" t="str"><v>DEU_gaPMG_AZR_AZR_Q1_19_Trial-Social- 39684</v></cell><cell r="AC5781"><v>21359477</v></cell><cell r="AD5781"><v>720194</v></cell><cell r="AE5781" t="str"><v>Facebook</v></cell><cell r="AF5781"><v>3654128</v></cell><cell r="AG5781" t="str"><v>Facebook»DEV-ITP-AZR-FB|LinkAd|CustomerAudienceRetargeting»1x1»TextLink»LIA»DT»CPM»RT»W»NA»SS»NA»39684019-11000</v></cell><cell r="AH5781"><v>224010415</v></cell><cell r="AI5781" t="str"><v>AzurePlatform_FreeAcctRetargetingOSSFB-Text-ChF_DEU_1200x628_SOC_Plat_DE_Free Account_Standard_NA_SNU_T1_1</v></cell><cell r="AJ5781"><v>103055394</v></cell></row><row r="5782"><cell r="C5782" t="str"><v>43323Facebook»DEV-ITP-AZR-FB|LinkAd|CustomerAudienceRetargeting»1x1»TextLink»LIA»DT»CPM»RT»W»NA»SS»NA»39684019-11000</v></cell><cell r="D5782" t="str"><v>43323224010415</v></cell><cell r="E5782" t="str"><v>43323103043341-11000</v></cell><cell r="F5782" t="str"><v>DCM</v></cell><cell r="G5782" t="str"><v>https://azure.microsoft.com/de-de/free/virtual-machines/search/</v></cell></row><row r="5782"><cell r="K5782" t="str"><v>August</v></cell><cell r="L5782"><v>43323</v></cell><cell r="M5782" t="str"><v>Tier 1</v></cell><cell r="N5782" t="str"><v>EMEA</v></cell><cell r="O5782" t="str"><v>Germany</v></cell><cell r="P5782" t="str"><v>Trial</v></cell><cell r="Q5782" t="str"><v>Social</v></cell><cell r="R5782" t="str"><v>Azure</v></cell><cell r="S5782" t="str"><v>Apps & Infra</v></cell><cell r="T5782" t="str"><v>Developers & ITI's</v></cell><cell r="U5782" t="str"><v>DEV-ITP-AZR-FB|LinkAd|CustomerAudienceRetargeting</v></cell><cell r="V5782" t="str"><v>Retargeting</v></cell><cell r="W5782" t="str"><v>Link Ad</v></cell><cell r="X5782" t="str"><v>1x1</v></cell></row><row r="5782"><cell r="AA5782"><v>43323</v></cell><cell r="AB5782" t="str"><v>DEU_gaPMG_AZR_AZR_Q1_19_Trial-Social- 39684</v></cell><cell r="AC5782"><v>21359477</v></cell><cell r="AD5782"><v>720194</v></cell><cell r="AE5782" t="str"><v>Facebook</v></cell><cell r="AF5782"><v>3654128</v></cell><cell r="AG5782" t="str"><v>Facebook»DEV-ITP-AZR-FB|LinkAd|CustomerAudienceRetargeting»1x1»TextLink»LIA»DT»CPM»RT»W»NA»SS»NA»39684019-11000</v></cell><cell r="AH5782"><v>224010415</v></cell><cell r="AI5782" t="str"><v>AzurePlatform_FreeAcctRetargetingVMFB-750Hrs-ChD_DEU_1200x628_SOC_Plat_DE_Free Account_Standard_NA_SNU_T1_1</v></cell><cell r="AJ5782"><v>103043341</v></cell></row><row r="5783"><cell r="C5783" t="str"><v>43323Facebook»DEV-ITP-AZR-FB|LinkAd|CustomerAudienceRetargeting»1x1»TextLink»LIA»DT»CPM»RT»W»NA»SS»NA»39684019-11000</v></cell><cell r="D5783" t="str"><v>43323224010415</v></cell><cell r="E5783" t="str"><v>43323103043338-11000</v></cell><cell r="F5783" t="str"><v>DCM</v></cell><cell r="G5783" t="str"><v>https://azure.microsoft.com/de-de/free/virtual-machines/search/</v></cell></row><row r="5783"><cell r="K5783" t="str"><v>August</v></cell><cell r="L5783"><v>43323</v></cell><cell r="M5783" t="str"><v>Tier 1</v></cell><cell r="N5783" t="str"><v>EMEA</v></cell><cell r="O5783" t="str"><v>Germany</v></cell><cell r="P5783" t="str"><v>Trial</v></cell><cell r="Q5783" t="str"><v>Social</v></cell><cell r="R5783" t="str"><v>Azure</v></cell><cell r="S5783" t="str"><v>Apps & Infra</v></cell><cell r="T5783" t="str"><v>Developers & ITI's</v></cell><cell r="U5783" t="str"><v>DEV-ITP-AZR-FB|LinkAd|CustomerAudienceRetargeting</v></cell><cell r="V5783" t="str"><v>Retargeting</v></cell><cell r="W5783" t="str"><v>Link Ad</v></cell><cell r="X5783" t="str"><v>1x1</v></cell></row><row r="5783"><cell r="AA5783"><v>43323</v></cell><cell r="AB5783" t="str"><v>DEU_gaPMG_AZR_AZR_Q1_19_Trial-Social- 39684</v></cell><cell r="AC5783"><v>21359477</v></cell><cell r="AD5783"><v>720194</v></cell><cell r="AE5783" t="str"><v>Facebook</v></cell><cell r="AF5783"><v>3654128</v></cell><cell r="AG5783" t="str"><v>Facebook»DEV-ITP-AZR-FB|LinkAd|CustomerAudienceRetargeting»1x1»TextLink»LIA»DT»CPM»RT»W»NA»SS»NA»39684019-11000</v></cell><cell r="AH5783"><v>224010415</v></cell><cell r="AI5783" t="str"><v>AzurePlatform_FreeAcctRetargetingVMFB-OnDemand-ChE_DEU_1200x628_SOC_Plat_DE_Free Account_Standard_NA_SNU_T2_1</v></cell><cell r="AJ5783"><v>103043338</v></cell></row><row r="5784"><cell r="C5784" t="str"><v>43323Facebook»Developers-Azure Direct-Sponsored Post_Trial_PayGo-Video Ad-Free Account Developer - Generic»1x1»30s»SOC»ALL»CPC»LAL»D»UNK»SS»NA»Trials</v></cell><cell r="D5784" t="str"><v>43323226359953</v></cell><cell r="E5784" t="str"><v>43323104537129Trials</v></cell><cell r="F5784" t="str"><v>DCM</v></cell><cell r="G5784" t="str"><v>https://signup.azure.com/signup?offer=ms-azr-0044p&appId=102&ref=paidmedia-social-fb&redirectURL=https%3a%2f%2fazure.microsoft.com%2ffr-fr%2fget-started%2fwelcome-to-azure%2f&l=fr-fr&correlationId=ead86c34-1f10-49dd-a72b-6918462a2cbf</v></cell></row><row r="5784"><cell r="K5784" t="str"><v>August</v></cell><cell r="L5784"><v>43323</v></cell><cell r="M5784" t="str"><v>Tier 1</v></cell><cell r="N5784" t="str"><v>EMEA</v></cell><cell r="O5784" t="str"><v>France</v></cell><cell r="P5784" t="str"><v>Trial</v></cell><cell r="Q5784" t="str"><v>Social</v></cell><cell r="R5784" t="str"><v>Azure</v></cell><cell r="S5784" t="str"><v>Apps & Infra</v></cell><cell r="T5784" t="str"><v>Developers & ITI's</v></cell><cell r="U5784" t="str"><v>Developers-Azure Direct-Sponsored Post_Trial_PayGo-Video Ad-Free Account Developer - Generic</v></cell><cell r="V5784" t="str"><v>Lookalike Targeting</v></cell><cell r="W5784" t="str"><v>Social</v></cell><cell r="X5784" t="str"><v>1x1</v></cell></row><row r="5784"><cell r="AA5784"><v>43323</v></cell><cell r="AB5784" t="str"><v>FRA_gaPMG_AZR_AZR_Q1_19_AzureDirect-Trial-Social</v></cell><cell r="AC5784"><v>21356941</v></cell><cell r="AD5784"><v>720193</v></cell><cell r="AE5784" t="str"><v>Facebook</v></cell><cell r="AF5784"><v>3654128</v></cell><cell r="AG5784" t="str"><v>Facebook»Developers-Azure Direct-Sponsored Post_Trial_PayGo-Video Ad-Free Account Developer - Generic»1x1»30s»SOC»ALL»CPC»LAL»D»UNK»SS»NA»Trials</v></cell><cell r="AH5784"><v>226359953</v></cell><cell r="AI5784" t="str"><v>AZR_FreeAcctDeveloperFB-AnimatedGeneric-Ch1_FRA_1200x1200_VIA_AZRDirect_French_NA_Facebook_STAN_LEA_T1_1</v></cell><cell r="AJ5784"><v>104537129</v></cell></row><row r="5785"><cell r="C5785" t="str"><v>43323Facebook»Developers/ITPros-Azure Direct-Sponsored Post-Canvas-FBCTCcanvaspage-StartFreeCTA-Img2_FBCTCBasicMotion_FRA_10sec»1x1»Canvas»SOC»ALL»CPC»BT»D»UNK»SS»NA»Trials</v></cell><cell r="D5785" t="str"><v>43323224560884</v></cell><cell r="E5785" t="str"><v>43323103259958Trials</v></cell><cell r="F5785" t="str"><v>DCM</v></cell><cell r="G5785" t="str"><v>https://signup.azure.com/signup?offer=ms-azr-0044p&appId=102&ref=paidmedia-social-fb&redirectURL=https%3a%2f%2fazure.microsoft.com%2ffr-fr%2fget-started%2fwelcome-to-azure%2f&l=fr-fr&correlationId=ead86c34-1f10-49dd-a72b-6918462a2cbf</v></cell></row><row r="5785"><cell r="K5785" t="str"><v>August</v></cell><cell r="L5785"><v>43323</v></cell><cell r="M5785" t="str"><v>Tier 1</v></cell><cell r="N5785" t="str"><v>EMEA</v></cell><cell r="O5785" t="str"><v>France</v></cell><cell r="P5785" t="str"><v>Trial</v></cell><cell r="Q5785" t="str"><v>Social</v></cell><cell r="R5785" t="str"><v>Azure</v></cell><cell r="S5785" t="str"><v>Apps & Infra</v></cell><cell r="T5785" t="str"><v>Developers & ITI's</v></cell><cell r="U5785" t="str"><v>Developers/ITPros-Azure Direct-Sponsored Post-Canvas-FBCTCcanvaspage-StartFreeCTA-Img2_FBCTCBasicMotion_FRA_10sec</v></cell><cell r="V5785" t="str"><v>Behavioral Targeting</v></cell><cell r="W5785" t="str"><v>Social</v></cell><cell r="X5785" t="str"><v>1x1</v></cell></row><row r="5785"><cell r="AA5785"><v>43323</v></cell><cell r="AB5785" t="str"><v>FRA_gaPMG_AZR_AZR_Q1_19_AzureDirect-Trial-Social</v></cell><cell r="AC5785"><v>21356941</v></cell><cell r="AD5785"><v>720193</v></cell><cell r="AE5785" t="str"><v>Facebook</v></cell><cell r="AF5785"><v>3654128</v></cell><cell r="AG5785" t="str"><v>Facebook»Developers/ITPros-Azure Direct-Sponsored Post-Canvas-FBCTCcanvaspage-StartFreeCTA-Img2_FBCTCBasicMotion_FRA_10sec»1x1»Canvas»SOC»ALL»CPC»BT»D»UNK»SS»NA»Trials</v></cell><cell r="AH5785"><v>224560884</v></cell><cell r="AI5785" t="str"><v>AZR_FBCTCcanvaspage-StartFreeCTA-Img2_FRA_1080x143_SOC_AZRDirect_French_NA_Facebook_SBAN_BN_T2_1</v></cell><cell r="AJ5785"><v>103259958</v></cell></row><row r="5786"><cell r="C5786" t="str"><v>43323Facebook»Developers/ITPros-Azure Direct-Sponsored Post-Canvas-FBCTCcanvaspage-StartFreeCTA-Img2_FBCTCBrandinMotion_FRA_14sec»1x1»Canvas»SOC»ALL»CPC»BT»D»UNK»SS»NA»Trials</v></cell><cell r="D5786" t="str"><v>43323224560872</v></cell><cell r="E5786" t="str"><v>43323103259958Trials</v></cell><cell r="F5786" t="str"><v>DCM</v></cell><cell r="G5786" t="str"><v>https://signup.azure.com/signup?offer=ms-azr-0044p&appId=102&ref=paidmedia-social-fb&redirectURL=https%3a%2f%2fazure.microsoft.com%2ffr-fr%2fget-started%2fwelcome-to-azure%2f&l=fr-fr&correlationId=ead86c34-1f10-49dd-a72b-6918462a2cbf</v></cell></row><row r="5786"><cell r="K5786" t="str"><v>August</v></cell><cell r="L5786"><v>43323</v></cell><cell r="M5786" t="str"><v>Tier 1</v></cell><cell r="N5786" t="str"><v>EMEA</v></cell><cell r="O5786" t="str"><v>France</v></cell><cell r="P5786" t="str"><v>Trial</v></cell><cell r="Q5786" t="str"><v>Social</v></cell><cell r="R5786" t="str"><v>Azure</v></cell><cell r="S5786" t="str"><v>Apps & Infra</v></cell><cell r="T5786" t="str"><v>Developers & ITI's</v></cell><cell r="U5786" t="str"><v>Developers/ITPros-Azure Direct-Sponsored Post-Canvas-FBCTCcanvaspage-StartFreeCTA-Img2_FBCTCBrandinMotion_FRA_14sec</v></cell><cell r="V5786" t="str"><v>Behavioral Targeting</v></cell><cell r="W5786" t="str"><v>Social</v></cell><cell r="X5786" t="str"><v>1x1</v></cell></row><row r="5786"><cell r="AA5786"><v>43323</v></cell><cell r="AB5786" t="str"><v>FRA_gaPMG_AZR_AZR_Q1_19_AzureDirect-Trial-Social</v></cell><cell r="AC5786"><v>21356941</v></cell><cell r="AD5786"><v>720193</v></cell><cell r="AE5786" t="str"><v>Facebook</v></cell><cell r="AF5786"><v>3654128</v></cell><cell r="AG5786" t="str"><v>Facebook»Developers/ITPros-Azure Direct-Sponsored Post-Canvas-FBCTCcanvaspage-StartFreeCTA-Img2_FBCTCBrandinMotion_FRA_14sec»1x1»Canvas»SOC»ALL»CPC»BT»D»UNK»SS»NA»Trials</v></cell><cell r="AH5786"><v>224560872</v></cell><cell r="AI5786" t="str"><v>AZR_FBCTCcanvaspage-StartFreeCTA-Img2_FRA_1080x143_SOC_AZRDirect_French_NA_Facebook_SBAN_BN_T2_1</v></cell><cell r="AJ5786"><v>103259958</v></cell></row><row r="5787"><cell r="C5787" t="str"><v>43323Facebook»Developers/ITPros-Azure Direct-Sponsored Post-Link Ad-FreeAcctRetargetingFB-GlobalAlt-ChB»1x1»SocialBan»SOC»ALL»CPC»BT»D»UNK»SS»NA»Trials</v></cell><cell r="D5787" t="str"><v>43323224560845</v></cell><cell r="E5787" t="str"><v>43323103259520Trials</v></cell><cell r="F5787" t="str"><v>DCM</v></cell><cell r="G5787" t="str"><v>https://azure.microsoft.com/fr-fr/free/search/</v></cell></row><row r="5787"><cell r="K5787" t="str"><v>August</v></cell><cell r="L5787"><v>43323</v></cell><cell r="M5787" t="str"><v>Tier 1</v></cell><cell r="N5787" t="str"><v>EMEA</v></cell><cell r="O5787" t="str"><v>France</v></cell><cell r="P5787" t="str"><v>Trial</v></cell><cell r="Q5787" t="str"><v>Social</v></cell><cell r="R5787" t="str"><v>Azure</v></cell><cell r="S5787" t="str"><v>Apps & Infra</v></cell><cell r="T5787" t="str"><v>Developers & ITI's</v></cell><cell r="U5787" t="str"><v>Developers/ITPros-Azure Direct-Sponsored Post-Link Ad-FreeAcctRetargetingFB-GlobalAlt-ChB</v></cell><cell r="V5787" t="str"><v>Behavioral Targeting</v></cell><cell r="W5787" t="str"><v>Social</v></cell><cell r="X5787" t="str"><v>1x1</v></cell></row><row r="5787"><cell r="AA5787"><v>43323</v></cell><cell r="AB5787" t="str"><v>FRA_gaPMG_AZR_AZR_Q1_19_AzureDirect-Trial-Social</v></cell><cell r="AC5787"><v>21356941</v></cell><cell r="AD5787"><v>720193</v></cell><cell r="AE5787" t="str"><v>Facebook</v></cell><cell r="AF5787"><v>3654128</v></cell><cell r="AG5787" t="str"><v>Facebook»Developers/ITPros-Azure Direct-Sponsored Post-Link Ad-FreeAcctRetargetingFB-GlobalAlt-ChB»1x1»SocialBan»SOC»ALL»CPC»BT»D»UNK»SS»NA»Trials</v></cell><cell r="AH5787"><v>224560845</v></cell><cell r="AI5787" t="str"><v>AZR_FreeAcctRetargetingFB-GlobalAlt-ChB_FRA_1200x628_SOC_AZRDirect_French_NA_Facebook_SBAN_SINU_T2_1</v></cell><cell r="AJ5787"><v>103259520</v></cell></row><row r="5788"><cell r="C5788" t="str"><v>43323Facebook»Developers/ITPros-Azure Direct-Sponsored Post-Video Ad-FBCTCBasicMotion_FRA_10s_RTG Landing Page»1x1»05s»SOC»ALL»CPC»BT»D»UNK»SS»NA»Trials</v></cell><cell r="D5788" t="str"><v>43323224416915</v></cell><cell r="E5788" t="str"><v>43323103376981Trials</v></cell><cell r="F5788" t="str"><v>DCM</v></cell></row><row r="5788"><cell r="K5788" t="str"><v>August</v></cell><cell r="L5788"><v>43323</v></cell><cell r="M5788" t="str"><v>Tier 1</v></cell><cell r="N5788" t="str"><v>EMEA</v></cell><cell r="O5788" t="str"><v>France</v></cell><cell r="P5788" t="str"><v>Trial</v></cell><cell r="Q5788" t="str"><v>Social</v></cell><cell r="R5788" t="str"><v>Azure</v></cell><cell r="S5788" t="str"><v>Apps & Infra</v></cell><cell r="T5788" t="str"><v>Developers & ITI's</v></cell><cell r="U5788" t="str"><v>Developers/ITPros-Azure Direct-Sponsored Post-Video Ad-FBCTCBasicMotion_FRA_10s_RTG Landing Page</v></cell><cell r="V5788" t="str"><v>Behavioral Targeting</v></cell><cell r="W5788" t="str"><v>Social</v></cell><cell r="X5788" t="str"><v>1x1</v></cell></row><row r="5788"><cell r="AA5788"><v>43323</v></cell><cell r="AB5788" t="str"><v>FRA_gaPMG_AZR_AZR_Q1_19_AzureDirect-Trial-Social</v></cell><cell r="AC5788"><v>21356941</v></cell><cell r="AD5788"><v>720193</v></cell><cell r="AE5788" t="str"><v>Facebook</v></cell><cell r="AF5788"><v>3654128</v></cell><cell r="AG5788" t="str"><v>Facebook»Developers/ITPros-Azure Direct-Sponsored Post-Video Ad-FBCTCBasicMotion_FRA_10s_RTG Landing Page»1x1»05s»SOC»ALL»CPC»BT»D»UNK»SS»NA»Trials</v></cell><cell r="AH5788"><v>224416915</v></cell><cell r="AI5788" t="str"><v>AZR_FBCTCBasicMotion_FRA_10s_VIA_AZRDirect_French_NA_Facebook_STAN_TIN_T1_1</v></cell><cell r="AJ5788"><v>103376981</v></cell></row><row r="5789"><cell r="C5789" t="str"><v>43323Facebook»Developers/ITPros-Azure Direct-Sponsored Post-Video Ad-FBCTCBenefit2inMotion_FRA_14s_RTG Landing Page»1x1»06s»SOC»ALL»CPC»BT»D»UNK»SS»NA»Trials</v></cell><cell r="D5789" t="str"><v>43323224560875</v></cell><cell r="E5789" t="str"><v>43323103259766Trials</v></cell><cell r="F5789" t="str"><v>DCM</v></cell><cell r="G5789" t="str"><v>https://signup.azure.com/signup?offer=ms-azr-0044p&appId=102&ref=paidmedia-social-fb&redirectURL=https:%2F%2Fazure.microsoft.com%2Ffr-fr%2Fget-started%2Fwelcome-to-azure%2F&l=fr-fr&correlationId=ead86c34-1f10-49dd-a72b-6918462a2cbf</v></cell></row><row r="5789"><cell r="K5789" t="str"><v>August</v></cell><cell r="L5789"><v>43323</v></cell><cell r="M5789" t="str"><v>Tier 1</v></cell><cell r="N5789" t="str"><v>EMEA</v></cell><cell r="O5789" t="str"><v>France</v></cell><cell r="P5789" t="str"><v>Trial</v></cell><cell r="Q5789" t="str"><v>Social</v></cell><cell r="R5789" t="str"><v>Azure</v></cell><cell r="S5789" t="str"><v>Apps & Infra</v></cell><cell r="T5789" t="str"><v>Developers & ITI's</v></cell><cell r="U5789" t="str"><v>Developers/ITPros-Azure Direct-Sponsored Post-Video Ad-FBCTCBenefit2inMotion_FRA_14s_RTG Landing Page</v></cell><cell r="V5789" t="str"><v>Behavioral Targeting</v></cell><cell r="W5789" t="str"><v>Social</v></cell><cell r="X5789" t="str"><v>1x1</v></cell></row><row r="5789"><cell r="AA5789"><v>43323</v></cell><cell r="AB5789" t="str"><v>FRA_gaPMG_AZR_AZR_Q1_19_AzureDirect-Trial-Social</v></cell><cell r="AC5789"><v>21356941</v></cell><cell r="AD5789"><v>720193</v></cell><cell r="AE5789" t="str"><v>Facebook</v></cell><cell r="AF5789"><v>3654128</v></cell><cell r="AG5789" t="str"><v>Facebook»Developers/ITPros-Azure Direct-Sponsored Post-Video Ad-FBCTCBenefit2inMotion_FRA_14s_RTG Landing Page»1x1»06s»SOC»ALL»CPC»BT»D»UNK»SS»NA»Trials</v></cell><cell r="AH5789"><v>224560875</v></cell><cell r="AI5789" t="str"><v>AZR_FBCTCBenefit2inMotion_FRA_14s_VIA_AZRDirect_French_NA_Facebook_STAN_TIN_T4_1</v></cell><cell r="AJ5789"><v>103259766</v></cell></row><row r="5790"><cell r="C5790" t="str"><v>43323Facebook»Developers/ITPros-Azure Direct-Sponsored Post-Video Ad-FBCTCBrandinMotion_FRA_12s_RTG Landing Page»1x1»05s»SOC»ALL»CPC»BT»D»UNK»SS»NA»Trials</v></cell><cell r="D5790" t="str"><v>43323224560863</v></cell><cell r="E5790" t="str"><v>43323103256577Trials</v></cell><cell r="F5790" t="str"><v>DCM</v></cell></row><row r="5790"><cell r="K5790" t="str"><v>August</v></cell><cell r="L5790"><v>43323</v></cell><cell r="M5790" t="str"><v>Tier 1</v></cell><cell r="N5790" t="str"><v>EMEA</v></cell><cell r="O5790" t="str"><v>France</v></cell><cell r="P5790" t="str"><v>Trial</v></cell><cell r="Q5790" t="str"><v>Social</v></cell><cell r="R5790" t="str"><v>Azure</v></cell><cell r="S5790" t="str"><v>Apps & Infra</v></cell><cell r="T5790" t="str"><v>Developers & ITI's</v></cell><cell r="U5790" t="str"><v>Developers/ITPros-Azure Direct-Sponsored Post-Video Ad-FBCTCBrandinMotion_FRA_12s_RTG Landing Page</v></cell><cell r="V5790" t="str"><v>Behavioral Targeting</v></cell><cell r="W5790" t="str"><v>Social</v></cell><cell r="X5790" t="str"><v>1x1</v></cell></row><row r="5790"><cell r="AA5790"><v>43323</v></cell><cell r="AB5790" t="str"><v>FRA_gaPMG_AZR_AZR_Q1_19_AzureDirect-Trial-Social</v></cell><cell r="AC5790"><v>21356941</v></cell><cell r="AD5790"><v>720193</v></cell><cell r="AE5790" t="str"><v>Facebook</v></cell><cell r="AF5790"><v>3654128</v></cell><cell r="AG5790" t="str"><v>Facebook»Developers/ITPros-Azure Direct-Sponsored Post-Video Ad-FBCTCBrandinMotion_FRA_12s_RTG Landing Page»1x1»05s»SOC»ALL»CPC»BT»D»UNK»SS»NA»Trials</v></cell><cell r="AH5790"><v>224560863</v></cell><cell r="AI5790" t="str"><v>AZR_FBCTCBrandinMotion_FRA_12s_VIA_AZRDirect_French_NA_Facebook_STAN_TIN_T2_1</v></cell><cell r="AJ5790"><v>103256577</v></cell></row><row r="5791"><cell r="C5791" t="str"><v>43323Facebook»ITPros-Azure Direct-Sponsored Post-Video Ad-Free Account IT Pro - Migration»1x1»30s»SOC»ALL»CPC»AUT»D»UNK»SS»NA»Trials</v></cell><cell r="D5791" t="str"><v>43323226360010</v></cell><cell r="E5791" t="str"><v>43323104458003Trials</v></cell><cell r="F5791" t="str"><v>DCM</v></cell><cell r="G5791" t="str"><v>https://signup.azure.com/signup?offer=ms-azr-0044p&appId=102&ref=paidmedia-social-fb&redirectURL=https%3a%2f%2fazure.microsoft.com%2ffr-fr%2fget-started%2fwelcome-to-azure%2f&l=fr-fr&correlationId=ead86c34-1f10-49dd-a72b-6918462a2cbf</v></cell></row><row r="5791"><cell r="K5791" t="str"><v>August</v></cell><cell r="L5791"><v>43323</v></cell><cell r="M5791" t="str"><v>Tier 1</v></cell><cell r="N5791" t="str"><v>EMEA</v></cell><cell r="O5791" t="str"><v>France</v></cell><cell r="P5791" t="str"><v>Trial</v></cell><cell r="Q5791" t="str"><v>Social</v></cell><cell r="R5791" t="str"><v>Azure</v></cell><cell r="S5791" t="str"><v>Apps & Infra</v></cell><cell r="T5791" t="str"><v>Developers & ITI's</v></cell><cell r="U5791" t="str"><v>ITPros-Azure Direct-Sponsored Post-Video Ad-Free Account IT Pro - Migration</v></cell><cell r="V5791" t="str"><v>Audience Targeting</v></cell><cell r="W5791" t="str"><v>Social</v></cell><cell r="X5791" t="str"><v>1x1</v></cell></row><row r="5791"><cell r="AA5791"><v>43323</v></cell><cell r="AB5791" t="str"><v>FRA_gaPMG_AZR_AZR_Q1_19_AzureDirect-Trial-Social</v></cell><cell r="AC5791"><v>21356941</v></cell><cell r="AD5791"><v>720193</v></cell><cell r="AE5791" t="str"><v>Facebook</v></cell><cell r="AF5791"><v>3654128</v></cell><cell r="AG5791" t="str"><v>Facebook»ITPros-Azure Direct-Sponsored Post-Video Ad-Free Account IT Pro - Migration»1x1»30s»SOC»ALL»CPC»AUT»D»UNK»SS»NA»Trials</v></cell><cell r="AH5791"><v>226360010</v></cell><cell r="AI5791" t="str"><v>AZR_FreeAcctITProFB-AnimatedMigration-Ch3_FRA_1200x1200_VIA_AZRDirect_French_NA_Facebook_STAN_LEA_T3_1</v></cell><cell r="AJ5791"><v>104458003</v></cell></row><row r="5792"><cell r="C5792" t="str"><v>43323Facebook»ITPros-Azure Direct-Sponsored Post_Trial_PayGo-Video Ad-Free Account IT Pro - Hybrid»1x1»30s»SOC»ALL»CPC»LAL»D»UNK»SS»NA»Trials</v></cell><cell r="D5792" t="str"><v>43323226359938</v></cell><cell r="E5792" t="str"><v>43323104456278Trials</v></cell><cell r="F5792" t="str"><v>DCM</v></cell><cell r="G5792" t="str"><v>https://signup.azure.com/signup?offer=ms-azr-0044p&appId=102&ref=paidmedia-social-fb&redirectURL=https%3a%2f%2fazure.microsoft.com%2ffr-fr%2fget-started%2fwelcome-to-azure%2f&l=fr-fr&correlationId=ead86c34-1f10-49dd-a72b-6918462a2cbf</v></cell></row><row r="5792"><cell r="K5792" t="str"><v>August</v></cell><cell r="L5792"><v>43323</v></cell><cell r="M5792" t="str"><v>Tier 1</v></cell><cell r="N5792" t="str"><v>EMEA</v></cell><cell r="O5792" t="str"><v>France</v></cell><cell r="P5792" t="str"><v>Trial</v></cell><cell r="Q5792" t="str"><v>Social</v></cell><cell r="R5792" t="str"><v>Azure</v></cell><cell r="S5792" t="str"><v>Apps & Infra</v></cell><cell r="T5792" t="str"><v>Developers & ITI's</v></cell><cell r="U5792" t="str"><v>ITPros-Azure Direct-Sponsored Post_Trial_PayGo-Video Ad-Free Account IT Pro - Hybrid</v></cell><cell r="V5792" t="str"><v>Lookalike Targeting</v></cell><cell r="W5792" t="str"><v>Social</v></cell><cell r="X5792" t="str"><v>1x1</v></cell></row><row r="5792"><cell r="AA5792"><v>43323</v></cell><cell r="AB5792" t="str"><v>FRA_gaPMG_AZR_AZR_Q1_19_AzureDirect-Trial-Social</v></cell><cell r="AC5792"><v>21356941</v></cell><cell r="AD5792"><v>720193</v></cell><cell r="AE5792" t="str"><v>Facebook</v></cell><cell r="AF5792"><v>3654128</v></cell><cell r="AG5792" t="str"><v>Facebook»ITPros-Azure Direct-Sponsored Post_Trial_PayGo-Video Ad-Free Account IT Pro - Hybrid»1x1»30s»SOC»ALL»CPC»LAL»D»UNK»SS»NA»Trials</v></cell><cell r="AH5792"><v>226359938</v></cell><cell r="AI5792" t="str"><v>AZR_FreeAcctITProFB-AnimatedHybrid-Ch2_FRA_1200x1200_VIA_AZRDirect_French_NA_Facebook_STAN_LEA_T2_1</v></cell><cell r="AJ5792"><v>104456278</v></cell></row><row r="5793"><cell r="C5793" t="str"><v>43323Facebook»Developers-Azure Direct-Sponsored Post-Video Ad-Free Account Developer - AI»1x1»30s»SOC»ALL»CPC»BT»D»UNK»SS»NA»Trials</v></cell><cell r="D5793" t="str"><v>43323226360034</v></cell><cell r="E5793" t="str"><v>43323104537813Trials</v></cell><cell r="F5793" t="str"><v>DCM</v></cell><cell r="G5793" t="str"><v>https://signup.azure.com/signup?offer=ms-azr-0044p&appId=102&ref=paidmedia-social-fb&redirectURL=https%3a%2f%2fazure.microsoft.com%2ffr-fr%2fget-started%2fwelcome-to-azure%2f&l=fr-fr&correlationId=ead86c34-1f10-49dd-a72b-6918462a2cbf</v></cell></row><row r="5793"><cell r="K5793" t="str"><v>August</v></cell><cell r="L5793"><v>43323</v></cell><cell r="M5793" t="str"><v>Tier 1</v></cell><cell r="N5793" t="str"><v>EMEA</v></cell><cell r="O5793" t="str"><v>France</v></cell><cell r="P5793" t="str"><v>Trial</v></cell><cell r="Q5793" t="str"><v>Social</v></cell><cell r="R5793" t="str"><v>Azure</v></cell><cell r="S5793" t="str"><v>Apps & Infra</v></cell><cell r="T5793" t="str"><v>Developers & ITI's</v></cell><cell r="U5793" t="str"><v>Developers-Azure Direct-Sponsored Post-Video Ad-Free Account Developer - AI</v></cell><cell r="V5793" t="str"><v>Behavioral Targeting</v></cell><cell r="W5793" t="str"><v>Social</v></cell><cell r="X5793" t="str"><v>1x1</v></cell></row><row r="5793"><cell r="AA5793"><v>43323</v></cell><cell r="AB5793" t="str"><v>FRA_gaPMG_AZR_AZR_Q1_19_AzureDirect-Trial-Social</v></cell><cell r="AC5793"><v>21356941</v></cell><cell r="AD5793"><v>720193</v></cell><cell r="AE5793" t="str"><v>Facebook</v></cell><cell r="AF5793"><v>3654128</v></cell><cell r="AG5793" t="str"><v>Facebook»Developers-Azure Direct-Sponsored Post-Video Ad-Free Account Developer - AI»1x1»30s»SOC»ALL»CPC»BT»D»UNK»SS»NA»Trials</v></cell><cell r="AH5793"><v>226360034</v></cell><cell r="AI5793" t="str"><v>AZR_FreeAcctDeveloperFB-AnimatedAI-Ch3_FRA_1200x1200_VIA_AZRDirect_French_NA_Facebook_STAN_LEA_T3_1</v></cell><cell r="AJ5793"><v>104537813</v></cell></row><row r="5794"><cell r="C5794" t="str"><v>43323Facebook»Developers-Azure Direct-Sponsored Post-Video Ad-Free Account Developer - Generic»1x1»30s»SOC»ALL»CPC»BT»D»UNK»SS»NA»Trials</v></cell><cell r="D5794" t="str"><v>43323226420298</v></cell><cell r="E5794" t="str"><v>43323104537129Trials</v></cell><cell r="F5794" t="str"><v>DCM</v></cell><cell r="G5794" t="str"><v>https://signup.azure.com/signup?offer=ms-azr-0044p&appId=102&ref=paidmedia-social-fb&redirectURL=https%3a%2f%2fazure.microsoft.com%2ffr-fr%2fget-started%2fwelcome-to-azure%2f&l=fr-fr&correlationId=ead86c34-1f10-49dd-a72b-6918462a2cbf</v></cell></row><row r="5794"><cell r="K5794" t="str"><v>August</v></cell><cell r="L5794"><v>43323</v></cell><cell r="M5794" t="str"><v>Tier 1</v></cell><cell r="N5794" t="str"><v>EMEA</v></cell><cell r="O5794" t="str"><v>France</v></cell><cell r="P5794" t="str"><v>Trial</v></cell><cell r="Q5794" t="str"><v>Social</v></cell><cell r="R5794" t="str"><v>Azure</v></cell><cell r="S5794" t="str"><v>Apps & Infra</v></cell><cell r="T5794" t="str"><v>Developers & ITI's</v></cell><cell r="U5794" t="str"><v>Developers-Azure Direct-Sponsored Post-Video Ad-Free Account Developer - Generic</v></cell><cell r="V5794" t="str"><v>Behavioral Targeting</v></cell><cell r="W5794" t="str"><v>Social</v></cell><cell r="X5794" t="str"><v>1x1</v></cell></row><row r="5794"><cell r="AA5794"><v>43323</v></cell><cell r="AB5794" t="str"><v>FRA_gaPMG_AZR_AZR_Q1_19_AzureDirect-Trial-Social</v></cell><cell r="AC5794"><v>21356941</v></cell><cell r="AD5794"><v>720193</v></cell><cell r="AE5794" t="str"><v>Facebook</v></cell><cell r="AF5794"><v>3654128</v></cell><cell r="AG5794" t="str"><v>Facebook»Developers-Azure Direct-Sponsored Post-Video Ad-Free Account Developer - Generic»1x1»30s»SOC»ALL»CPC»BT»D»UNK»SS»NA»Trials</v></cell><cell r="AH5794"><v>226420298</v></cell><cell r="AI5794" t="str"><v>AZR_FreeAcctDeveloperFB-AnimatedGeneric-Ch1_FRA_1200x1200_VIA_AZRDirect_French_NA_Facebook_STAN_LEA_T1_1</v></cell><cell r="AJ5794"><v>104537129</v></cell></row><row r="5795"><cell r="C5795" t="str"><v>43323Facebook»Developers-Azure Direct-Sponsored Post-Video Ad-Free Account Developer - Intelligent Data»1x1»30s»SOC»ALL»CPC»BT»D»UNK»SS»NA»Trials</v></cell><cell r="D5795" t="str"><v>43323226360028</v></cell><cell r="E5795" t="str"><v>43323104537816Trials</v></cell><cell r="F5795" t="str"><v>DCM</v></cell><cell r="G5795" t="str"><v>https://signup.azure.com/signup?offer=ms-azr-0044p&appId=102&ref=paidmedia-social-fb&redirectURL=https%3a%2f%2fazure.microsoft.com%2ffr-fr%2fget-started%2fwelcome-to-azure%2f&l=fr-fr&correlationId=ead86c34-1f10-49dd-a72b-6918462a2cbf</v></cell></row><row r="5795"><cell r="K5795" t="str"><v>August</v></cell><cell r="L5795"><v>43323</v></cell><cell r="M5795" t="str"><v>Tier 1</v></cell><cell r="N5795" t="str"><v>EMEA</v></cell><cell r="O5795" t="str"><v>France</v></cell><cell r="P5795" t="str"><v>Trial</v></cell><cell r="Q5795" t="str"><v>Social</v></cell><cell r="R5795" t="str"><v>Azure</v></cell><cell r="S5795" t="str"><v>Apps & Infra</v></cell><cell r="T5795" t="str"><v>Developers & ITI's</v></cell><cell r="U5795" t="str"><v>Developers-Azure Direct-Sponsored Post-Video Ad-Free Account Developer - Intelligent Data</v></cell><cell r="V5795" t="str"><v>Behavioral Targeting</v></cell><cell r="W5795" t="str"><v>Social</v></cell><cell r="X5795" t="str"><v>1x1</v></cell></row><row r="5795"><cell r="AA5795"><v>43323</v></cell><cell r="AB5795" t="str"><v>FRA_gaPMG_AZR_AZR_Q1_19_AzureDirect-Trial-Social</v></cell><cell r="AC5795"><v>21356941</v></cell><cell r="AD5795"><v>720193</v></cell><cell r="AE5795" t="str"><v>Facebook</v></cell><cell r="AF5795"><v>3654128</v></cell><cell r="AG5795" t="str"><v>Facebook»Developers-Azure Direct-Sponsored Post-Video Ad-Free Account Developer - Intelligent Data»1x1»30s»SOC»ALL»CPC»BT»D»UNK»SS»NA»Trials</v></cell><cell r="AH5795"><v>226360028</v></cell><cell r="AI5795" t="str"><v>AZR_FreeAcctDeveloperFB-AnimatedData-Ch4_FRA_1200x1200_VIA_AZRDirect_French_NA_Facebook_STAN_LEA_T4_1</v></cell><cell r="AJ5795"><v>104537816</v></cell></row><row r="5796"><cell r="C5796" t="str"><v>43323Facebook»Developers-Azure Direct-Sponsored Post-Video Ad-Free Account Developer - Open Source»1x1»30s»SOC»ALL»CPC»BT»D»UNK»SS»NA»Trials</v></cell><cell r="D5796" t="str"><v>43323226360040</v></cell><cell r="E5796" t="str"><v>43323104537132Trials</v></cell><cell r="F5796" t="str"><v>DCM</v></cell><cell r="G5796" t="str"><v>https://signup.azure.com/signup?offer=ms-azr-0044p&appId=102&ref=paidmedia-social-fb&redirectURL=https%3a%2f%2fazure.microsoft.com%2ffr-fr%2fget-started%2fwelcome-to-azure%2f&l=fr-fr&correlationId=ead86c34-1f10-49dd-a72b-6918462a2cbf</v></cell></row><row r="5796"><cell r="K5796" t="str"><v>August</v></cell><cell r="L5796"><v>43323</v></cell><cell r="M5796" t="str"><v>Tier 1</v></cell><cell r="N5796" t="str"><v>EMEA</v></cell><cell r="O5796" t="str"><v>France</v></cell><cell r="P5796" t="str"><v>Trial</v></cell><cell r="Q5796" t="str"><v>Social</v></cell><cell r="R5796" t="str"><v>Azure</v></cell><cell r="S5796" t="str"><v>Apps & Infra</v></cell><cell r="T5796" t="str"><v>Developers & ITI's</v></cell><cell r="U5796" t="str"><v>Developers-Azure Direct-Sponsored Post-Video Ad-Free Account Developer - Open Source</v></cell><cell r="V5796" t="str"><v>Behavioral Targeting</v></cell><cell r="W5796" t="str"><v>Social</v></cell><cell r="X5796" t="str"><v>1x1</v></cell></row><row r="5796"><cell r="AA5796"><v>43323</v></cell><cell r="AB5796" t="str"><v>FRA_gaPMG_AZR_AZR_Q1_19_AzureDirect-Trial-Social</v></cell><cell r="AC5796"><v>21356941</v></cell><cell r="AD5796"><v>720193</v></cell><cell r="AE5796" t="str"><v>Facebook</v></cell><cell r="AF5796"><v>3654128</v></cell><cell r="AG5796" t="str"><v>Facebook»Developers-Azure Direct-Sponsored Post-Video Ad-Free Account Developer - Open Source»1x1»30s»SOC»ALL»CPC»BT»D»UNK»SS»NA»Trials</v></cell><cell r="AH5796"><v>226360040</v></cell><cell r="AI5796" t="str"><v>AZR_FreeAcctDeveloperFB-AnimatedOpenSource-Ch2_FRA_1200x1200_VIA_AZRDirect_French_NA_Facebook_STAN_LEA_T2_1</v></cell><cell r="AJ5796"><v>104537132</v></cell></row><row r="5797"><cell r="C5797" t="str"><v>43323Facebook»Developers-Azure Direct-Sponsored Post_Trial-Video Ad-Free Account Developer - Intelligent Data»1x1»30s»SOC»ALL»CPC»LAL»D»UNK»SS»NA»Trials</v></cell><cell r="D5797" t="str"><v>43323226360013</v></cell><cell r="E5797" t="str"><v>43323104537816Trials</v></cell><cell r="F5797" t="str"><v>DCM</v></cell><cell r="G5797" t="str"><v>https://signup.azure.com/signup?offer=ms-azr-0044p&appId=102&ref=paidmedia-social-fb&redirectURL=https%3a%2f%2fazure.microsoft.com%2ffr-fr%2fget-started%2fwelcome-to-azure%2f&l=fr-fr&correlationId=ead86c34-1f10-49dd-a72b-6918462a2cbf</v></cell></row><row r="5797"><cell r="K5797" t="str"><v>August</v></cell><cell r="L5797"><v>43323</v></cell><cell r="M5797" t="str"><v>Tier 1</v></cell><cell r="N5797" t="str"><v>EMEA</v></cell><cell r="O5797" t="str"><v>France</v></cell><cell r="P5797" t="str"><v>Trial</v></cell><cell r="Q5797" t="str"><v>Social</v></cell><cell r="R5797" t="str"><v>Azure</v></cell><cell r="S5797" t="str"><v>Apps & Infra</v></cell><cell r="T5797" t="str"><v>Developers & ITI's</v></cell><cell r="U5797" t="str"><v>Developers-Azure Direct-Sponsored Post_Trial-Video Ad-Free Account Developer - Intelligent Data</v></cell><cell r="V5797" t="str"><v>Lookalike Targeting</v></cell><cell r="W5797" t="str"><v>Social</v></cell><cell r="X5797" t="str"><v>1x1</v></cell></row><row r="5797"><cell r="AA5797"><v>43323</v></cell><cell r="AB5797" t="str"><v>FRA_gaPMG_AZR_AZR_Q1_19_AzureDirect-Trial-Social</v></cell><cell r="AC5797"><v>21356941</v></cell><cell r="AD5797"><v>720193</v></cell><cell r="AE5797" t="str"><v>Facebook</v></cell><cell r="AF5797"><v>3654128</v></cell><cell r="AG5797" t="str"><v>Facebook»Developers-Azure Direct-Sponsored Post_Trial-Video Ad-Free Account Developer - Intelligent Data»1x1»30s»SOC»ALL»CPC»LAL»D»UNK»SS»NA»Trials</v></cell><cell r="AH5797"><v>226360013</v></cell><cell r="AI5797" t="str"><v>AZR_FreeAcctDeveloperFB-AnimatedData-Ch4_FRA_1200x1200_VIA_AZRDirect_French_NA_Facebook_STAN_LEA_T4_1</v></cell><cell r="AJ5797"><v>104537816</v></cell></row><row r="5798"><cell r="C5798" t="str"><v>43323Facebook»Developers-Azure Direct-Sponsored Post_Trial-Video Ad-Free Account Developer - Open Source»1x1»30s»SOC»ALL»CPC»LAL»D»UNK»SS»NA»Trials</v></cell><cell r="D5798" t="str"><v>43323226360025</v></cell><cell r="E5798" t="str"><v>43323104537132Trials</v></cell><cell r="F5798" t="str"><v>DCM</v></cell><cell r="G5798" t="str"><v>https://signup.azure.com/signup?offer=ms-azr-0044p&appId=102&ref=paidmedia-social-fb&redirectURL=https%3a%2f%2fazure.microsoft.com%2ffr-fr%2fget-started%2fwelcome-to-azure%2f&l=fr-fr&correlationId=ead86c34-1f10-49dd-a72b-6918462a2cbf</v></cell></row><row r="5798"><cell r="K5798" t="str"><v>August</v></cell><cell r="L5798"><v>43323</v></cell><cell r="M5798" t="str"><v>Tier 1</v></cell><cell r="N5798" t="str"><v>EMEA</v></cell><cell r="O5798" t="str"><v>France</v></cell><cell r="P5798" t="str"><v>Trial</v></cell><cell r="Q5798" t="str"><v>Social</v></cell><cell r="R5798" t="str"><v>Azure</v></cell><cell r="S5798" t="str"><v>Apps & Infra</v></cell><cell r="T5798" t="str"><v>Developers & ITI's</v></cell><cell r="U5798" t="str"><v>Developers-Azure Direct-Sponsored Post_Trial-Video Ad-Free Account Developer - Open Source</v></cell><cell r="V5798" t="str"><v>Lookalike Targeting</v></cell><cell r="W5798" t="str"><v>Social</v></cell><cell r="X5798" t="str"><v>1x1</v></cell></row><row r="5798"><cell r="AA5798"><v>43323</v></cell><cell r="AB5798" t="str"><v>FRA_gaPMG_AZR_AZR_Q1_19_AzureDirect-Trial-Social</v></cell><cell r="AC5798"><v>21356941</v></cell><cell r="AD5798"><v>720193</v></cell><cell r="AE5798" t="str"><v>Facebook</v></cell><cell r="AF5798"><v>3654128</v></cell><cell r="AG5798" t="str"><v>Facebook»Developers-Azure Direct-Sponsored Post_Trial-Video Ad-Free Account Developer - Open Source»1x1»30s»SOC»ALL»CPC»LAL»D»UNK»SS»NA»Trials</v></cell><cell r="AH5798"><v>226360025</v></cell><cell r="AI5798" t="str"><v>AZR_FreeAcctDeveloperFB-AnimatedOpenSource-Ch2_FRA_1200x1200_VIA_AZRDirect_French_NA_Facebook_STAN_LEA_T2_1</v></cell><cell r="AJ5798"><v>104537132</v></cell></row><row r="5799"><cell r="C5799" t="str"><v>43323Facebook»Developers-Azure Direct-Sponsored Post_Trial_PayGo-Video Ad-Free Account Developer - AI»1x1»30s»SOC»ALL»CPC»LAL»D»UNK»SS»NA»Trials</v></cell><cell r="D5799" t="str"><v>43323226359947</v></cell><cell r="E5799" t="str"><v>43323104537813Trials</v></cell><cell r="F5799" t="str"><v>DCM</v></cell><cell r="G5799" t="str"><v>https://signup.azure.com/signup?offer=ms-azr-0044p&appId=102&ref=paidmedia-social-fb&redirectURL=https%3a%2f%2fazure.microsoft.com%2ffr-fr%2fget-started%2fwelcome-to-azure%2f&l=fr-fr&correlationId=ead86c34-1f10-49dd-a72b-6918462a2cbf</v></cell></row><row r="5799"><cell r="K5799" t="str"><v>August</v></cell><cell r="L5799"><v>43323</v></cell><cell r="M5799" t="str"><v>Tier 1</v></cell><cell r="N5799" t="str"><v>EMEA</v></cell><cell r="O5799" t="str"><v>France</v></cell><cell r="P5799" t="str"><v>Trial</v></cell><cell r="Q5799" t="str"><v>Social</v></cell><cell r="R5799" t="str"><v>Azure</v></cell><cell r="S5799" t="str"><v>Apps & Infra</v></cell><cell r="T5799" t="str"><v>Developers & ITI's</v></cell><cell r="U5799" t="str"><v>Developers-Azure Direct-Sponsored Post_Trial_PayGo-Video Ad-Free Account Developer - AI</v></cell><cell r="V5799" t="str"><v>Lookalike Targeting</v></cell><cell r="W5799" t="str"><v>Social</v></cell><cell r="X5799" t="str"><v>1x1</v></cell></row><row r="5799"><cell r="AA5799"><v>43323</v></cell><cell r="AB5799" t="str"><v>FRA_gaPMG_AZR_AZR_Q1_19_AzureDirect-Trial-Social</v></cell><cell r="AC5799"><v>21356941</v></cell><cell r="AD5799"><v>720193</v></cell><cell r="AE5799" t="str"><v>Facebook</v></cell><cell r="AF5799"><v>3654128</v></cell><cell r="AG5799" t="str"><v>Facebook»Developers-Azure Direct-Sponsored Post_Trial_PayGo-Video Ad-Free Account Developer - AI»1x1»30s»SOC»ALL»CPC»LAL»D»UNK»SS»NA»Trials</v></cell><cell r="AH5799"><v>226359947</v></cell><cell r="AI5799" t="str"><v>AZR_FreeAcctDeveloperFB-AnimatedAI-Ch3_FRA_1200x1200_VIA_AZRDirect_French_NA_Facebook_STAN_LEA_T3_1</v></cell><cell r="AJ5799"><v>104537813</v></cell></row><row r="5800"><cell r="C5800" t="str"><v>43323Facebook»Developers-Azure Direct-Sponsored Post_Trial_PayGo-Video Ad-Free Account Developer - Intelligent Data»1x1»30s»SOC»ALL»CPC»LAL»D»UNK»SS»NA»Trials</v></cell><cell r="D5800" t="str"><v>43323226359944</v></cell><cell r="E5800" t="str"><v>43323104537816Trials</v></cell><cell r="F5800" t="str"><v>DCM</v></cell><cell r="G5800" t="str"><v>https://signup.azure.com/signup?offer=ms-azr-0044p&appId=102&ref=paidmedia-social-fb&redirectURL=https%3a%2f%2fazure.microsoft.com%2ffr-fr%2fget-started%2fwelcome-to-azure%2f&l=fr-fr&correlationId=ead86c34-1f10-49dd-a72b-6918462a2cbf</v></cell></row><row r="5800"><cell r="K5800" t="str"><v>August</v></cell><cell r="L5800"><v>43323</v></cell><cell r="M5800" t="str"><v>Tier 1</v></cell><cell r="N5800" t="str"><v>EMEA</v></cell><cell r="O5800" t="str"><v>France</v></cell><cell r="P5800" t="str"><v>Trial</v></cell><cell r="Q5800" t="str"><v>Social</v></cell><cell r="R5800" t="str"><v>Azure</v></cell><cell r="S5800" t="str"><v>Apps & Infra</v></cell><cell r="T5800" t="str"><v>Developers & ITI's</v></cell><cell r="U5800" t="str"><v>Developers-Azure Direct-Sponsored Post_Trial_PayGo-Video Ad-Free Account Developer - Intelligent Data</v></cell><cell r="V5800" t="str"><v>Lookalike Targeting</v></cell><cell r="W5800" t="str"><v>Social</v></cell><cell r="X5800" t="str"><v>1x1</v></cell></row><row r="5800"><cell r="AA5800"><v>43323</v></cell><cell r="AB5800" t="str"><v>FRA_gaPMG_AZR_AZR_Q1_19_AzureDirect-Trial-Social</v></cell><cell r="AC5800"><v>21356941</v></cell><cell r="AD5800"><v>720193</v></cell><cell r="AE5800" t="str"><v>Facebook</v></cell><cell r="AF5800"><v>3654128</v></cell><cell r="AG5800" t="str"><v>Facebook»Developers-Azure Direct-Sponsored Post_Trial_PayGo-Video Ad-Free Account Developer - Intelligent Data»1x1»30s»SOC»ALL»CPC»LAL»D»UNK»SS»NA»Trials</v></cell><cell r="AH5800"><v>226359944</v></cell><cell r="AI5800" t="str"><v>AZR_FreeAcctDeveloperFB-AnimatedData-Ch4_FRA_1200x1200_VIA_AZRDirect_French_NA_Facebook_STAN_LEA_T4_1</v></cell><cell r="AJ5800"><v>104537816</v></cell></row><row r="5801"><cell r="C5801" t="str"><v>43323Facebook»Developers-Azure Direct-Sponsored Post_Trial_PayGo-Video Ad-Free Account Developer - Open Source»1x1»30s»SOC»ALL»CPC»LAL»D»UNK»SS»NA»Trials</v></cell><cell r="D5801" t="str"><v>43323226359950</v></cell><cell r="E5801" t="str"><v>43323104537132Trials</v></cell><cell r="F5801" t="str"><v>DCM</v></cell><cell r="G5801" t="str"><v>https://signup.azure.com/signup?offer=ms-azr-0044p&appId=102&ref=paidmedia-social-fb&redirectURL=https%3a%2f%2fazure.microsoft.com%2ffr-fr%2fget-started%2fwelcome-to-azure%2f&l=fr-fr&correlationId=ead86c34-1f10-49dd-a72b-6918462a2cbf</v></cell></row><row r="5801"><cell r="K5801" t="str"><v>August</v></cell><cell r="L5801"><v>43323</v></cell><cell r="M5801" t="str"><v>Tier 1</v></cell><cell r="N5801" t="str"><v>EMEA</v></cell><cell r="O5801" t="str"><v>France</v></cell><cell r="P5801" t="str"><v>Trial</v></cell><cell r="Q5801" t="str"><v>Social</v></cell><cell r="R5801" t="str"><v>Azure</v></cell><cell r="S5801" t="str"><v>Apps & Infra</v></cell><cell r="T5801" t="str"><v>Developers & ITI's</v></cell><cell r="U5801" t="str"><v>Developers-Azure Direct-Sponsored Post_Trial_PayGo-Video Ad-Free Account Developer - Open Source</v></cell><cell r="V5801" t="str"><v>Lookalike Targeting</v></cell><cell r="W5801" t="str"><v>Social</v></cell><cell r="X5801" t="str"><v>1x1</v></cell></row><row r="5801"><cell r="AA5801"><v>43323</v></cell><cell r="AB5801" t="str"><v>FRA_gaPMG_AZR_AZR_Q1_19_AzureDirect-Trial-Social</v></cell><cell r="AC5801"><v>21356941</v></cell><cell r="AD5801"><v>720193</v></cell><cell r="AE5801" t="str"><v>Facebook</v></cell><cell r="AF5801"><v>3654128</v></cell><cell r="AG5801" t="str"><v>Facebook»Developers-Azure Direct-Sponsored Post_Trial_PayGo-Video Ad-Free Account Developer - Open Source»1x1»30s»SOC»ALL»CPC»LAL»D»UNK»SS»NA»Trials</v></cell><cell r="AH5801"><v>226359950</v></cell><cell r="AI5801" t="str"><v>AZR_FreeAcctDeveloperFB-AnimatedOpenSource-Ch2_FRA_1200x1200_VIA_AZRDirect_French_NA_Facebook_STAN_LEA_T2_1</v></cell><cell r="AJ5801"><v>104537132</v></cell></row><row r="5802"><cell r="C5802" t="str"><v>43323Facebook»Developers/ITPros-Azure Direct-Sponsored Post_Trial-Link Ad-FreeAcctRetargetingFB-Animated-ChC CanvasOpener»1x1»SocialBan»SOC»ALL»CPC»LAL»D»UNK»SS»NA»Trials</v></cell><cell r="D5802" t="str"><v>43323226360037</v></cell><cell r="E5802" t="str"><v>43323103259775Trials</v></cell><cell r="F5802" t="str"><v>DCM</v></cell><cell r="G5802" t="str"><v>https://azure.microsoft.com/fr-fr/free/search/</v></cell></row><row r="5802"><cell r="K5802" t="str"><v>August</v></cell><cell r="L5802"><v>43323</v></cell><cell r="M5802" t="str"><v>Tier 1</v></cell><cell r="N5802" t="str"><v>EMEA</v></cell><cell r="O5802" t="str"><v>France</v></cell><cell r="P5802" t="str"><v>Trial</v></cell><cell r="Q5802" t="str"><v>Social</v></cell><cell r="R5802" t="str"><v>Azure</v></cell><cell r="S5802" t="str"><v>Apps & Infra</v></cell><cell r="T5802" t="str"><v>Developers & ITI's</v></cell><cell r="U5802" t="str"><v>Developers/ITPros-Azure Direct-Sponsored Post_Trial-Link Ad-FreeAcctRetargetingFB-Animated-ChC CanvasOpener</v></cell><cell r="V5802" t="str"><v>Lookalike Targeting</v></cell><cell r="W5802" t="str"><v>Social</v></cell><cell r="X5802" t="str"><v>1x1</v></cell></row><row r="5802"><cell r="AA5802"><v>43323</v></cell><cell r="AB5802" t="str"><v>FRA_gaPMG_AZR_AZR_Q1_19_AzureDirect-Trial-Social</v></cell><cell r="AC5802"><v>21356941</v></cell><cell r="AD5802"><v>720193</v></cell><cell r="AE5802" t="str"><v>Facebook</v></cell><cell r="AF5802"><v>3654128</v></cell><cell r="AG5802" t="str"><v>Facebook»Developers/ITPros-Azure Direct-Sponsored Post_Trial-Link Ad-FreeAcctRetargetingFB-Animated-ChC CanvasOpener»1x1»SocialBan»SOC»ALL»CPC»LAL»D»UNK»SS»NA»Trials</v></cell><cell r="AH5802"><v>226360037</v></cell><cell r="AI5802" t="str"><v>AZR_reeAcctRetargetingFB-Animated-ChC_FRA_1200x628_SOC_AZRDirect_French_NA_Facebook_SBAN_SINU_T3_1</v></cell><cell r="AJ5802"><v>103259775</v></cell></row><row r="5803"><cell r="C5803" t="str"><v>43323Facebook»Developers/ITPros-Azure Direct-Sponsored Post_Trial-Link Ad-FreeAcctRetargetingFB-GlobalAlt-ChB_RTG CanvasOpener»1x1»SocialBan»SOC»ALL»CPC»LAL»D»UNK»SS»NA»Trials</v></cell><cell r="D5803" t="str"><v>43323226496107</v></cell><cell r="E5803" t="str"><v>43323103259520Trials</v></cell><cell r="F5803" t="str"><v>DCM</v></cell><cell r="G5803" t="str"><v>https://azure.microsoft.com/fr-fr/free/search/</v></cell></row><row r="5803"><cell r="K5803" t="str"><v>August</v></cell><cell r="L5803"><v>43323</v></cell><cell r="M5803" t="str"><v>Tier 1</v></cell><cell r="N5803" t="str"><v>EMEA</v></cell><cell r="O5803" t="str"><v>France</v></cell><cell r="P5803" t="str"><v>Trial</v></cell><cell r="Q5803" t="str"><v>Social</v></cell><cell r="R5803" t="str"><v>Azure</v></cell><cell r="S5803" t="str"><v>Apps & Infra</v></cell><cell r="T5803" t="str"><v>Developers & ITI's</v></cell><cell r="U5803" t="str"><v>Developers/ITPros-Azure Direct-Sponsored Post_Trial-Link Ad-FreeAcctRetargetingFB-GlobalAlt-ChB_RTG CanvasOpener</v></cell><cell r="V5803" t="str"><v>Lookalike Targeting</v></cell><cell r="W5803" t="str"><v>Social</v></cell><cell r="X5803" t="str"><v>1x1</v></cell></row><row r="5803"><cell r="AA5803"><v>43323</v></cell><cell r="AB5803" t="str"><v>FRA_gaPMG_AZR_AZR_Q1_19_AzureDirect-Trial-Social</v></cell><cell r="AC5803"><v>21356941</v></cell><cell r="AD5803"><v>720193</v></cell><cell r="AE5803" t="str"><v>Facebook</v></cell><cell r="AF5803"><v>3654128</v></cell><cell r="AG5803" t="str"><v>Facebook»Developers/ITPros-Azure Direct-Sponsored Post_Trial-Link Ad-FreeAcctRetargetingFB-GlobalAlt-ChB_RTG CanvasOpener»1x1»SocialBan»SOC»ALL»CPC»LAL»D»UNK»SS»NA»Trials</v></cell><cell r="AH5803"><v>226496107</v></cell><cell r="AI5803" t="str"><v>AZR_FreeAcctRetargetingFB-GlobalAlt-ChB_FRA_1200x628_SOC_AZRDirect_French_NA_Facebook_SBAN_SINU_T2_1</v></cell><cell r="AJ5803"><v>103259520</v></cell></row><row r="5804"><cell r="C5804" t="str"><v>43323Facebook»Developers/ITPros-Azure Direct-Sponsored Post_Trial-Link Ad-FreeAcctRetargetingOSSFB-Logos-ChG CanvasOpener»1x1»SocialBan»SOC»ALL»CPC»LAL»D»UNK»SS»NA»Trials</v></cell><cell r="D5804" t="str"><v>43323226496104</v></cell><cell r="E5804" t="str"><v>43323103259769Trials</v></cell><cell r="F5804" t="str"><v>DCM</v></cell><cell r="G5804" t="str"><v>https://azure.microsoft.com/fr-fr/free/open-source/search/</v></cell></row><row r="5804"><cell r="K5804" t="str"><v>August</v></cell><cell r="L5804"><v>43323</v></cell><cell r="M5804" t="str"><v>Tier 1</v></cell><cell r="N5804" t="str"><v>EMEA</v></cell><cell r="O5804" t="str"><v>France</v></cell><cell r="P5804" t="str"><v>Trial</v></cell><cell r="Q5804" t="str"><v>Social</v></cell><cell r="R5804" t="str"><v>Azure</v></cell><cell r="S5804" t="str"><v>Apps & Infra</v></cell><cell r="T5804" t="str"><v>Developers & ITI's</v></cell><cell r="U5804" t="str"><v>Developers/ITPros-Azure Direct-Sponsored Post_Trial-Link Ad-FreeAcctRetargetingOSSFB-Logos-ChG CanvasOpener</v></cell><cell r="V5804" t="str"><v>Lookalike Targeting</v></cell><cell r="W5804" t="str"><v>Social</v></cell><cell r="X5804" t="str"><v>1x1</v></cell></row><row r="5804"><cell r="AA5804"><v>43323</v></cell><cell r="AB5804" t="str"><v>FRA_gaPMG_AZR_AZR_Q1_19_AzureDirect-Trial-Social</v></cell><cell r="AC5804"><v>21356941</v></cell><cell r="AD5804"><v>720193</v></cell><cell r="AE5804" t="str"><v>Facebook</v></cell><cell r="AF5804"><v>3654128</v></cell><cell r="AG5804" t="str"><v>Facebook»Developers/ITPros-Azure Direct-Sponsored Post_Trial-Link Ad-FreeAcctRetargetingOSSFB-Logos-ChG CanvasOpener»1x1»SocialBan»SOC»ALL»CPC»LAL»D»UNK»SS»NA»Trials</v></cell><cell r="AH5804"><v>226496104</v></cell><cell r="AI5804" t="str"><v>AZR_FreeAcctRetargetingOSSFB-Logos-ChG_FRA_1200x628_SOC_AZRDirect_French_NA_Facebook_SBAN_SINU_T2_1</v></cell><cell r="AJ5804"><v>103259769</v></cell></row><row r="5805"><cell r="C5805" t="str"><v>43323Facebook»Developers/ITPros-Azure Direct-Sponsored Post_Trial_PayGo-Link Ad-FreeAcctRetargetingOSSFB-Text-ChF CanvasOpener»1x1»SocialBan»SOC»ALL»CPC»LAL»D»UNK»SS»NA»Trials</v></cell><cell r="D5805" t="str"><v>43323226359965</v></cell><cell r="E5805" t="str"><v>43323103257810Trials</v></cell><cell r="F5805" t="str"><v>DCM</v></cell><cell r="G5805" t="str"><v>https://azure.microsoft.com/fr-fr/free/open-source/search/</v></cell></row><row r="5805"><cell r="K5805" t="str"><v>August</v></cell><cell r="L5805"><v>43323</v></cell><cell r="M5805" t="str"><v>Tier 1</v></cell><cell r="N5805" t="str"><v>EMEA</v></cell><cell r="O5805" t="str"><v>France</v></cell><cell r="P5805" t="str"><v>Trial</v></cell><cell r="Q5805" t="str"><v>Social</v></cell><cell r="R5805" t="str"><v>Azure</v></cell><cell r="S5805" t="str"><v>Apps & Infra</v></cell><cell r="T5805" t="str"><v>Developers & ITI's</v></cell><cell r="U5805" t="str"><v>Developers/ITPros-Azure Direct-Sponsored Post_Trial_PayGo-Link Ad-FreeAcctRetargetingOSSFB-Text-ChF CanvasOpener</v></cell><cell r="V5805" t="str"><v>Lookalike Targeting</v></cell><cell r="W5805" t="str"><v>Social</v></cell><cell r="X5805" t="str"><v>1x1</v></cell></row><row r="5805"><cell r="AA5805"><v>43323</v></cell><cell r="AB5805" t="str"><v>FRA_gaPMG_AZR_AZR_Q1_19_AzureDirect-Trial-Social</v></cell><cell r="AC5805"><v>21356941</v></cell><cell r="AD5805"><v>720193</v></cell><cell r="AE5805" t="str"><v>Facebook</v></cell><cell r="AF5805"><v>3654128</v></cell><cell r="AG5805" t="str"><v>Facebook»Developers/ITPros-Azure Direct-Sponsored Post_Trial_PayGo-Link Ad-FreeAcctRetargetingOSSFB-Text-ChF CanvasOpener»1x1»SocialBan»SOC»ALL»CPC»LAL»D»UNK»SS»NA»Trials</v></cell><cell r="AH5805"><v>226359965</v></cell><cell r="AI5805" t="str"><v>AZR_FreeAcctRetargetingOSSFB-Text-ChF_FRA_1200x628_SOC_AZRDirect_French_NA_Facebook_SBAN_SINU_T1_1</v></cell><cell r="AJ5805"><v>103257810</v></cell></row><row r="5806"><cell r="C5806" t="str"><v>43323Facebook»Developers/ITPros-Azure Direct-Sponsored Post_Trial_PayGo-Link Ad-FreeAcctRetargetingVMFB-750Hrs-ChD CanvasOpener»1x1»SocialBan»SOC»ALL»CPC»LAL»D»UNK»SS»NA»Trials</v></cell><cell r="D5806" t="str"><v>43323226359962</v></cell><cell r="E5806" t="str"><v>43323103259010Trials</v></cell><cell r="F5806" t="str"><v>DCM</v></cell><cell r="G5806" t="str"><v>https://azure.microsoft.com/fr-fr/free/virtual-machines/search/</v></cell></row><row r="5806"><cell r="K5806" t="str"><v>August</v></cell><cell r="L5806"><v>43323</v></cell><cell r="M5806" t="str"><v>Tier 1</v></cell><cell r="N5806" t="str"><v>EMEA</v></cell><cell r="O5806" t="str"><v>France</v></cell><cell r="P5806" t="str"><v>Trial</v></cell><cell r="Q5806" t="str"><v>Social</v></cell><cell r="R5806" t="str"><v>Azure</v></cell><cell r="S5806" t="str"><v>Apps & Infra</v></cell><cell r="T5806" t="str"><v>Developers & ITI's</v></cell><cell r="U5806" t="str"><v>Developers/ITPros-Azure Direct-Sponsored Post_Trial_PayGo-Link Ad-FreeAcctRetargetingVMFB-750Hrs-ChD CanvasOpener</v></cell><cell r="V5806" t="str"><v>Lookalike Targeting</v></cell><cell r="W5806" t="str"><v>Social</v></cell><cell r="X5806" t="str"><v>1x1</v></cell></row><row r="5806"><cell r="AA5806"><v>43323</v></cell><cell r="AB5806" t="str"><v>FRA_gaPMG_AZR_AZR_Q1_19_AzureDirect-Trial-Social</v></cell><cell r="AC5806"><v>21356941</v></cell><cell r="AD5806"><v>720193</v></cell><cell r="AE5806" t="str"><v>Facebook</v></cell><cell r="AF5806"><v>3654128</v></cell><cell r="AG5806" t="str"><v>Facebook»Developers/ITPros-Azure Direct-Sponsored Post_Trial_PayGo-Link Ad-FreeAcctRetargetingVMFB-750Hrs-ChD CanvasOpener»1x1»SocialBan»SOC»ALL»CPC»LAL»D»UNK»SS»NA»Trials</v></cell><cell r="AH5806"><v>226359962</v></cell><cell r="AI5806" t="str"><v>AZR_FreeAcctRetargetingVMFB-750Hrs-ChD_FRA_1200x628_SOC_AZRDirect_French_NA_Facebook_SBAN_SINU_T1_1</v></cell><cell r="AJ5806"><v>103259010</v></cell></row><row r="5807"><cell r="C5807" t="str"><v>43323Facebook»Developers/ITPros-Azure Direct-Sponsored Post_Trial_PayGo-Link Ad-FreeAcctRetargetingVMFB-OnDemand-ChE CanvasOpener»1x1»SocialBan»SOC»ALL»CPC»LAL»D»UNK»SS»NA»Trials</v></cell><cell r="D5807" t="str"><v>43323226359959</v></cell><cell r="E5807" t="str"><v>43323103376990Trials</v></cell><cell r="F5807" t="str"><v>DCM</v></cell><cell r="G5807" t="str"><v>https://azure.microsoft.com/fr-fr/free/virtual-machines/search/</v></cell></row><row r="5807"><cell r="K5807" t="str"><v>August</v></cell><cell r="L5807"><v>43323</v></cell><cell r="M5807" t="str"><v>Tier 1</v></cell><cell r="N5807" t="str"><v>EMEA</v></cell><cell r="O5807" t="str"><v>France</v></cell><cell r="P5807" t="str"><v>Trial</v></cell><cell r="Q5807" t="str"><v>Social</v></cell><cell r="R5807" t="str"><v>Azure</v></cell><cell r="S5807" t="str"><v>Apps & Infra</v></cell><cell r="T5807" t="str"><v>Developers & ITI's</v></cell><cell r="U5807" t="str"><v>Developers/ITPros-Azure Direct-Sponsored Post_Trial_PayGo-Link Ad-FreeAcctRetargetingVMFB-OnDemand-ChE CanvasOpener</v></cell><cell r="V5807" t="str"><v>Lookalike Targeting</v></cell><cell r="W5807" t="str"><v>Social</v></cell><cell r="X5807" t="str"><v>1x1</v></cell></row><row r="5807"><cell r="AA5807"><v>43323</v></cell><cell r="AB5807" t="str"><v>FRA_gaPMG_AZR_AZR_Q1_19_AzureDirect-Trial-Social</v></cell><cell r="AC5807"><v>21356941</v></cell><cell r="AD5807"><v>720193</v></cell><cell r="AE5807" t="str"><v>Facebook</v></cell><cell r="AF5807"><v>3654128</v></cell><cell r="AG5807" t="str"><v>Facebook»Developers/ITPros-Azure Direct-Sponsored Post_Trial_PayGo-Link Ad-FreeAcctRetargetingVMFB-OnDemand-ChE CanvasOpener»1x1»SocialBan»SOC»ALL»CPC»LAL»D»UNK»SS»NA»Trials</v></cell><cell r="AH5807"><v>226359959</v></cell><cell r="AI5807" t="str"><v>AZR_FreeAcctRetargetingVMFB-OnDemand-ChE_FRA_1200x628_SOC_AZRDirect_French_NA_Facebook_SBAN_SINU_T2_1</v></cell><cell r="AJ5807"><v>103376990</v></cell></row><row r="5808"><cell r="C5808" t="str"><v>43323Facebook»ITPros-Azure Direct-Sponsored Post-Video Ad-Free Account IT Pro - Hybrid»1x1»30s»SOC»ALL»CPC»AUT»D»UNK»SS»NA»Trials</v></cell><cell r="D5808" t="str"><v>43323226360016</v></cell><cell r="E5808" t="str"><v>43323104456278Trials</v></cell><cell r="F5808" t="str"><v>DCM</v></cell><cell r="G5808" t="str"><v>https://signup.azure.com/signup?offer=ms-azr-0044p&appId=102&ref=paidmedia-social-fb&redirectURL=https%3a%2f%2fazure.microsoft.com%2ffr-fr%2fget-started%2fwelcome-to-azure%2f&l=fr-fr&correlationId=ead86c34-1f10-49dd-a72b-6918462a2cbf</v></cell></row><row r="5808"><cell r="K5808" t="str"><v>August</v></cell><cell r="L5808"><v>43323</v></cell><cell r="M5808" t="str"><v>Tier 1</v></cell><cell r="N5808" t="str"><v>EMEA</v></cell><cell r="O5808" t="str"><v>France</v></cell><cell r="P5808" t="str"><v>Trial</v></cell><cell r="Q5808" t="str"><v>Social</v></cell><cell r="R5808" t="str"><v>Azure</v></cell><cell r="S5808" t="str"><v>Apps & Infra</v></cell><cell r="T5808" t="str"><v>Developers & ITI's</v></cell><cell r="U5808" t="str"><v>ITPros-Azure Direct-Sponsored Post-Video Ad-Free Account IT Pro - Hybrid</v></cell><cell r="V5808" t="str"><v>Audience Targeting</v></cell><cell r="W5808" t="str"><v>Social</v></cell><cell r="X5808" t="str"><v>1x1</v></cell></row><row r="5808"><cell r="AA5808"><v>43323</v></cell><cell r="AB5808" t="str"><v>FRA_gaPMG_AZR_AZR_Q1_19_AzureDirect-Trial-Social</v></cell><cell r="AC5808"><v>21356941</v></cell><cell r="AD5808"><v>720193</v></cell><cell r="AE5808" t="str"><v>Facebook</v></cell><cell r="AF5808"><v>3654128</v></cell><cell r="AG5808" t="str"><v>Facebook»ITPros-Azure Direct-Sponsored Post-Video Ad-Free Account IT Pro - Hybrid»1x1»30s»SOC»ALL»CPC»AUT»D»UNK»SS»NA»Trials</v></cell><cell r="AH5808"><v>226360016</v></cell><cell r="AI5808" t="str"><v>AZR_FreeAcctITProFB-AnimatedHybrid-Ch2_FRA_1200x1200_VIA_AZRDirect_French_NA_Facebook_STAN_LEA_T2_1</v></cell><cell r="AJ5808"><v>104456278</v></cell></row><row r="5809"><cell r="C5809" t="str"><v>43323Facebook»ITPros-Azure Direct-Sponsored Post-Video Ad-Free Account IT Pro - Secure»1x1»30s»SOC»ALL»CPC»AUT»D»UNK»SS»NA»Trials</v></cell><cell r="D5809" t="str"><v>43323226360022</v></cell><cell r="E5809" t="str"><v>43323104455906Trials</v></cell><cell r="F5809" t="str"><v>DCM</v></cell><cell r="G5809" t="str"><v>https://signup.azure.com/signup?offer=ms-azr-0044p&appId=102&ref=paidmedia-social-fb&redirectURL=https%3a%2f%2fazure.microsoft.com%2ffr-fr%2fget-started%2fwelcome-to-azure%2f&l=fr-fr&correlationId=ead86c34-1f10-49dd-a72b-6918462a2cbf</v></cell></row><row r="5809"><cell r="K5809" t="str"><v>August</v></cell><cell r="L5809"><v>43323</v></cell><cell r="M5809" t="str"><v>Tier 1</v></cell><cell r="N5809" t="str"><v>EMEA</v></cell><cell r="O5809" t="str"><v>France</v></cell><cell r="P5809" t="str"><v>Trial</v></cell><cell r="Q5809" t="str"><v>Social</v></cell><cell r="R5809" t="str"><v>Azure</v></cell><cell r="S5809" t="str"><v>Apps & Infra</v></cell><cell r="T5809" t="str"><v>Developers & ITI's</v></cell><cell r="U5809" t="str"><v>ITPros-Azure Direct-Sponsored Post-Video Ad-Free Account IT Pro - Secure</v></cell><cell r="V5809" t="str"><v>Audience Targeting</v></cell><cell r="W5809" t="str"><v>Social</v></cell><cell r="X5809" t="str"><v>1x1</v></cell></row><row r="5809"><cell r="AA5809"><v>43323</v></cell><cell r="AB5809" t="str"><v>FRA_gaPMG_AZR_AZR_Q1_19_AzureDirect-Trial-Social</v></cell><cell r="AC5809"><v>21356941</v></cell><cell r="AD5809"><v>720193</v></cell><cell r="AE5809" t="str"><v>Facebook</v></cell><cell r="AF5809"><v>3654128</v></cell><cell r="AG5809" t="str"><v>Facebook»ITPros-Azure Direct-Sponsored Post-Video Ad-Free Account IT Pro - Secure»1x1»30s»SOC»ALL»CPC»AUT»D»UNK»SS»NA»Trials</v></cell><cell r="AH5809"><v>226360022</v></cell><cell r="AI5809" t="str"><v>AZR_FreeAcctITProFB-AnimatedSecureMngd-Ch1_FRA_1200x1200_VIA_AZRDirect_French_NA_Facebook_STAN_LEA_T1_1</v></cell><cell r="AJ5809"><v>104455906</v></cell></row><row r="5810"><cell r="C5810" t="str"><v>43323Facebook»ITPros-Azure Direct-Sponsored Post_Trial-Video Ad-Free Account IT Pro - Hybrid»1x1»30s»SOC»ALL»CPC»LAL»D»UNK»SS»NA»Trials</v></cell><cell r="D5810" t="str"><v>43323226360001</v></cell><cell r="E5810" t="str"><v>43323104456278Trials</v></cell><cell r="F5810" t="str"><v>DCM</v></cell><cell r="G5810" t="str"><v>https://signup.azure.com/signup?offer=ms-azr-0044p&appId=102&ref=paidmedia-social-fb&redirectURL=https%3a%2f%2fazure.microsoft.com%2ffr-fr%2fget-started%2fwelcome-to-azure%2f&l=fr-fr&correlationId=ead86c34-1f10-49dd-a72b-6918462a2cbf</v></cell></row><row r="5810"><cell r="K5810" t="str"><v>August</v></cell><cell r="L5810"><v>43323</v></cell><cell r="M5810" t="str"><v>Tier 1</v></cell><cell r="N5810" t="str"><v>EMEA</v></cell><cell r="O5810" t="str"><v>France</v></cell><cell r="P5810" t="str"><v>Trial</v></cell><cell r="Q5810" t="str"><v>Social</v></cell><cell r="R5810" t="str"><v>Azure</v></cell><cell r="S5810" t="str"><v>Apps & Infra</v></cell><cell r="T5810" t="str"><v>Developers & ITI's</v></cell><cell r="U5810" t="str"><v>ITPros-Azure Direct-Sponsored Post_Trial-Video Ad-Free Account IT Pro - Hybrid</v></cell><cell r="V5810" t="str"><v>Lookalike Targeting</v></cell><cell r="W5810" t="str"><v>Social</v></cell><cell r="X5810" t="str"><v>1x1</v></cell></row><row r="5810"><cell r="AA5810"><v>43323</v></cell><cell r="AB5810" t="str"><v>FRA_gaPMG_AZR_AZR_Q1_19_AzureDirect-Trial-Social</v></cell><cell r="AC5810"><v>21356941</v></cell><cell r="AD5810"><v>720193</v></cell><cell r="AE5810" t="str"><v>Facebook</v></cell><cell r="AF5810"><v>3654128</v></cell><cell r="AG5810" t="str"><v>Facebook»ITPros-Azure Direct-Sponsored Post_Trial-Video Ad-Free Account IT Pro - Hybrid»1x1»30s»SOC»ALL»CPC»LAL»D»UNK»SS»NA»Trials</v></cell><cell r="AH5810"><v>226360001</v></cell><cell r="AI5810" t="str"><v>AZR_FreeAcctITProFB-AnimatedHybrid-Ch2_FRA_1200x1200_VIA_AZRDirect_French_NA_Facebook_STAN_LEA_T2_1</v></cell><cell r="AJ5810"><v>104456278</v></cell></row><row r="5811"><cell r="C5811" t="str"><v>43323Facebook»ITPros-Azure Direct-Sponsored Post_Trial-Video Ad-Free Account IT Pro - Migration»1x1»30s»SOC»ALL»CPC»LAL»D»UNK»SS»NA»Trials</v></cell><cell r="D5811" t="str"><v>43323226359995</v></cell><cell r="E5811" t="str"><v>43323104458003Trials</v></cell><cell r="F5811" t="str"><v>DCM</v></cell><cell r="G5811" t="str"><v>https://signup.azure.com/signup?offer=ms-azr-0044p&appId=102&ref=paidmedia-social-fb&redirectURL=https%3a%2f%2fazure.microsoft.com%2ffr-fr%2fget-started%2fwelcome-to-azure%2f&l=fr-fr&correlationId=ead86c34-1f10-49dd-a72b-6918462a2cbf</v></cell></row><row r="5811"><cell r="K5811" t="str"><v>August</v></cell><cell r="L5811"><v>43323</v></cell><cell r="M5811" t="str"><v>Tier 1</v></cell><cell r="N5811" t="str"><v>EMEA</v></cell><cell r="O5811" t="str"><v>France</v></cell><cell r="P5811" t="str"><v>Trial</v></cell><cell r="Q5811" t="str"><v>Social</v></cell><cell r="R5811" t="str"><v>Azure</v></cell><cell r="S5811" t="str"><v>Apps & Infra</v></cell><cell r="T5811" t="str"><v>Developers & ITI's</v></cell><cell r="U5811" t="str"><v>ITPros-Azure Direct-Sponsored Post_Trial-Video Ad-Free Account IT Pro - Migration</v></cell><cell r="V5811" t="str"><v>Lookalike Targeting</v></cell><cell r="W5811" t="str"><v>Social</v></cell><cell r="X5811" t="str"><v>1x1</v></cell></row><row r="5811"><cell r="AA5811"><v>43323</v></cell><cell r="AB5811" t="str"><v>FRA_gaPMG_AZR_AZR_Q1_19_AzureDirect-Trial-Social</v></cell><cell r="AC5811"><v>21356941</v></cell><cell r="AD5811"><v>720193</v></cell><cell r="AE5811" t="str"><v>Facebook</v></cell><cell r="AF5811"><v>3654128</v></cell><cell r="AG5811" t="str"><v>Facebook»ITPros-Azure Direct-Sponsored Post_Trial-Video Ad-Free Account IT Pro - Migration»1x1»30s»SOC»ALL»CPC»LAL»D»UNK»SS»NA»Trials</v></cell><cell r="AH5811"><v>226359995</v></cell><cell r="AI5811" t="str"><v>AZR_FreeAcctITProFB-AnimatedMigration-Ch3_FRA_1200x1200_VIA_AZRDirect_French_NA_Facebook_STAN_LEA_T3_1</v></cell><cell r="AJ5811"><v>104458003</v></cell></row><row r="5812"><cell r="C5812" t="str"><v>43323Facebook»Audience & Interest Targeting»1x1»SocialBan»LIA»DT»CPC»AUT»W»NA»SS»NA»Basic Motion</v></cell><cell r="D5812" t="str"><v>43323224399962</v></cell><cell r="E5812" t="str"><v>43323103235146Motion</v></cell><cell r="F5812" t="str"><v>DCM</v></cell><cell r="G5812" t="str"><v>https://signup.azure.com/signup?offer=ms-azr-0044p&appId=102&ref=paidmedia-social-fb&redirectURL=https%3a%2f%2fazure.microsoft.com%2fen-gb%2fget-started%2fwelcome-to-azure%2f&l=en-gb&correlationId=ead86c34-1f10-49dd-a72b-6918462a2cbf</v></cell></row><row r="5812"><cell r="K5812" t="str"><v>August</v></cell><cell r="L5812"><v>43323</v></cell><cell r="M5812" t="str"><v>Tier 1</v></cell><cell r="N5812" t="str"><v>EMEA</v></cell><cell r="O5812" t="str"><v>United Kingdom</v></cell><cell r="P5812" t="str"><v>Trial</v></cell><cell r="Q5812" t="str"><v>Social</v></cell><cell r="R5812" t="str"><v>Azure</v></cell><cell r="S5812" t="str"><v>Apps & Infra</v></cell><cell r="T5812" t="str"><v>Developers & ITI's</v></cell><cell r="U5812" t="str"><v>Audience & Interest Targeting</v></cell><cell r="V5812" t="str"><v>Audience Targeting</v></cell><cell r="W5812" t="str"><v>Link Ad</v></cell><cell r="X5812" t="str"><v>1x1</v></cell></row><row r="5812"><cell r="AA5812"><v>43323</v></cell><cell r="AB5812" t="str"><v>GBR_gaPMG_CE_AZR_Q1_19_Trial-Social</v></cell><cell r="AC5812"><v>21337013</v></cell><cell r="AD5812"><v>720196</v></cell><cell r="AE5812" t="str"><v>Facebook</v></cell><cell r="AF5812"><v>3654128</v></cell><cell r="AG5812" t="str"><v>Facebook»Audience & Interest Targeting»1x1»SocialBan»LIA»DT»CPC»AUT»W»NA»SS»NA»Basic Motion</v></cell><cell r="AH5812"><v>224399962</v></cell><cell r="AI5812" t="str"><v>AzurePlatform_FBCTCcanvaspage-StartFreeCTA-Img2_GBR_1080x143 _SOC_Plat_English_NA_Standard_NA_NA_T2_1</v></cell><cell r="AJ5812"><v>103235146</v></cell></row><row r="5813"><cell r="C5813" t="str"><v>43323Facebook»Audience & Interest Targeting»1x1»SocialBan»LIA»DT»CPC»AUT»W»NA»SS»NA»Benefit 2 in Motion</v></cell><cell r="D5813" t="str"><v>43323224334170</v></cell><cell r="E5813" t="str"><v>43323103235146Motion</v></cell><cell r="F5813" t="str"><v>DCM</v></cell><cell r="G5813" t="str"><v>https://signup.azure.com/signup?offer=ms-azr-0044p&appId=102&ref=paidmedia-social-fb&redirectURL=https%3a%2f%2fazure.microsoft.com%2fen-gb%2fget-started%2fwelcome-to-azure%2f&l=en-gb&correlationId=ead86c34-1f10-49dd-a72b-6918462a2cbf</v></cell></row><row r="5813"><cell r="K5813" t="str"><v>August</v></cell><cell r="L5813"><v>43323</v></cell><cell r="M5813" t="str"><v>Tier 1</v></cell><cell r="N5813" t="str"><v>EMEA</v></cell><cell r="O5813" t="str"><v>United Kingdom</v></cell><cell r="P5813" t="str"><v>Trial</v></cell><cell r="Q5813" t="str"><v>Social</v></cell><cell r="R5813" t="str"><v>Azure</v></cell><cell r="S5813" t="str"><v>Apps & Infra</v></cell><cell r="T5813" t="str"><v>Developers & ITI's</v></cell><cell r="U5813" t="str"><v>Audience & Interest Targeting</v></cell><cell r="V5813" t="str"><v>Audience Targeting</v></cell><cell r="W5813" t="str"><v>Link Ad</v></cell><cell r="X5813" t="str"><v>1x1</v></cell></row><row r="5813"><cell r="AA5813"><v>43323</v></cell><cell r="AB5813" t="str"><v>GBR_gaPMG_CE_AZR_Q1_19_Trial-Social</v></cell><cell r="AC5813"><v>21337013</v></cell><cell r="AD5813"><v>720196</v></cell><cell r="AE5813" t="str"><v>Facebook</v></cell><cell r="AF5813"><v>3654128</v></cell><cell r="AG5813" t="str"><v>Facebook»Audience & Interest Targeting»1x1»SocialBan»LIA»DT»CPC»AUT»W»NA»SS»NA»Benefit 2 in Motion</v></cell><cell r="AH5813"><v>224334170</v></cell><cell r="AI5813" t="str"><v>AzurePlatform_FBCTCcanvaspage-StartFreeCTA-Img2_GBR_1080x143 _SOC_Plat_English_NA_Standard_NA_NA_T2_1</v></cell><cell r="AJ5813"><v>103235146</v></cell></row><row r="5814"><cell r="C5814" t="str"><v>43323Facebook»Audience & Interest Targeting»1x1»SocialBan»LIA»DT»CPC»AUT»W»NA»SS»NA»Brand in Motion</v></cell><cell r="D5814" t="str"><v>43323224549481</v></cell><cell r="E5814" t="str"><v>43323103235146Motion</v></cell><cell r="F5814" t="str"><v>DCM</v></cell><cell r="G5814" t="str"><v>https://signup.azure.com/signup?offer=ms-azr-0044p&appId=102&ref=paidmedia-social-fb&redirectURL=https%3a%2f%2fazure.microsoft.com%2fen-gb%2fget-started%2fwelcome-to-azure%2f&l=en-gb&correlationId=ead86c34-1f10-49dd-a72b-6918462a2cbf</v></cell></row><row r="5814"><cell r="K5814" t="str"><v>August</v></cell><cell r="L5814"><v>43323</v></cell><cell r="M5814" t="str"><v>Tier 1</v></cell><cell r="N5814" t="str"><v>EMEA</v></cell><cell r="O5814" t="str"><v>United Kingdom</v></cell><cell r="P5814" t="str"><v>Trial</v></cell><cell r="Q5814" t="str"><v>Social</v></cell><cell r="R5814" t="str"><v>Azure</v></cell><cell r="S5814" t="str"><v>Apps & Infra</v></cell><cell r="T5814" t="str"><v>Developers & ITI's</v></cell><cell r="U5814" t="str"><v>Audience & Interest Targeting</v></cell><cell r="V5814" t="str"><v>Audience Targeting</v></cell><cell r="W5814" t="str"><v>Link Ad</v></cell><cell r="X5814" t="str"><v>1x1</v></cell></row><row r="5814"><cell r="AA5814"><v>43323</v></cell><cell r="AB5814" t="str"><v>GBR_gaPMG_CE_AZR_Q1_19_Trial-Social</v></cell><cell r="AC5814"><v>21337013</v></cell><cell r="AD5814"><v>720196</v></cell><cell r="AE5814" t="str"><v>Facebook</v></cell><cell r="AF5814"><v>3654128</v></cell><cell r="AG5814" t="str"><v>Facebook»Audience & Interest Targeting»1x1»SocialBan»LIA»DT»CPC»AUT»W»NA»SS»NA»Brand in Motion</v></cell><cell r="AH5814"><v>224549481</v></cell><cell r="AI5814" t="str"><v>AzurePlatform_FBCTCcanvaspage-StartFreeCTA-Img2_GBR_1080x143 _SOC_Plat_English_NA_Standard_NA_NA_T2_1</v></cell><cell r="AJ5814"><v>103235146</v></cell></row><row r="5815"><cell r="C5815" t="str"><v>43323Facebook»Audience & Interest Targeting»1x1»SocialBan»LIA»DT»DYN»AUT»W»NA»SS»NA»Free Account Refresh- 12 months ChE</v></cell><cell r="D5815" t="str"><v>43323223567691</v></cell><cell r="E5815" t="str"><v>43323102854007hs ChE</v></cell><cell r="F5815" t="str"><v>DCM</v></cell><cell r="G5815" t="str"><v>https://azure.microsoft.com/en-gb/free/search/</v></cell></row><row r="5815"><cell r="K5815" t="str"><v>August</v></cell><cell r="L5815"><v>43323</v></cell><cell r="M5815" t="str"><v>Tier 1</v></cell><cell r="N5815" t="str"><v>EMEA</v></cell><cell r="O5815" t="str"><v>United Kingdom</v></cell><cell r="P5815" t="str"><v>Trial</v></cell><cell r="Q5815" t="str"><v>Social</v></cell><cell r="R5815" t="str"><v>Azure</v></cell><cell r="S5815" t="str"><v>Apps & Infra</v></cell><cell r="T5815" t="str"><v>Developers & ITI's</v></cell><cell r="U5815" t="str"><v>Audience & Interest Targeting</v></cell><cell r="V5815" t="str"><v>Audience Targeting</v></cell><cell r="W5815" t="str"><v>Link Ad</v></cell><cell r="X5815" t="str"><v>1x1</v></cell></row><row r="5815"><cell r="AA5815"><v>43323</v></cell><cell r="AB5815" t="str"><v>GBR_gaPMG_CE_AZR_Q1_19_Trial-Social</v></cell><cell r="AC5815"><v>21337013</v></cell><cell r="AD5815"><v>720196</v></cell><cell r="AE5815" t="str"><v>Facebook</v></cell><cell r="AF5815"><v>3654128</v></cell><cell r="AG5815" t="str"><v>Facebook»Audience & Interest Targeting»1x1»SocialBan»LIA»DT»DYN»AUT»W»NA»SS»NA»Free Account Refresh- 12 months ChE</v></cell><cell r="AH5815"><v>223567691</v></cell><cell r="AI5815" t="str"><v>AzurePlatform_FreeAcctAppsFACEBOOK12monthsChE_GBR_1200x628_SOC_PLAT_EN_Trial_Standard_NA_SU_T5_1</v></cell><cell r="AJ5815"><v>102854007</v></cell></row><row r="5816"><cell r="C5816" t="str"><v>43323Facebook»Audience & Interest Targeting»1x1»SocialBan»LIA»DT»DYN»AUT»W»NA»SS»NA»Free Account Refresh- 200 Credit ChD</v></cell><cell r="D5816" t="str"><v>43323223560359</v></cell><cell r="E5816" t="str"><v>43323103005662it ChD</v></cell><cell r="F5816" t="str"><v>DCM</v></cell><cell r="G5816" t="str"><v>https://azure.microsoft.com/en-gb/free/search/</v></cell></row><row r="5816"><cell r="K5816" t="str"><v>August</v></cell><cell r="L5816"><v>43323</v></cell><cell r="M5816" t="str"><v>Tier 1</v></cell><cell r="N5816" t="str"><v>EMEA</v></cell><cell r="O5816" t="str"><v>United Kingdom</v></cell><cell r="P5816" t="str"><v>Trial</v></cell><cell r="Q5816" t="str"><v>Social</v></cell><cell r="R5816" t="str"><v>Azure</v></cell><cell r="S5816" t="str"><v>Apps & Infra</v></cell><cell r="T5816" t="str"><v>Developers & ITI's</v></cell><cell r="U5816" t="str"><v>Audience & Interest Targeting</v></cell><cell r="V5816" t="str"><v>Audience Targeting</v></cell><cell r="W5816" t="str"><v>Link Ad</v></cell><cell r="X5816" t="str"><v>1x1</v></cell></row><row r="5816"><cell r="AA5816"><v>43323</v></cell><cell r="AB5816" t="str"><v>GBR_gaPMG_CE_AZR_Q1_19_Trial-Social</v></cell><cell r="AC5816"><v>21337013</v></cell><cell r="AD5816"><v>720196</v></cell><cell r="AE5816" t="str"><v>Facebook</v></cell><cell r="AF5816"><v>3654128</v></cell><cell r="AG5816" t="str"><v>Facebook»Audience & Interest Targeting»1x1»SocialBan»LIA»DT»DYN»AUT»W»NA»SS»NA»Free Account Refresh- 200 Credit ChD</v></cell><cell r="AH5816"><v>223560359</v></cell><cell r="AI5816" t="str"><v>AzurePlatform_FreeAcctAppsFACEBOOK200CreditChD_GBR_1200x628_SOC_PLAT_EN_Trial_Standard_NA_SU_T4_1</v></cell><cell r="AJ5816"><v>103005662</v></cell></row><row r="5817"><cell r="C5817" t="str"><v>43323Facebook»Audience & Interest Targeting»1x1»SocialBan»LIA»DT»DYN»AUT»W»NA»SS»NA»Free Account Refresh- Device ChB</v></cell><cell r="D5817" t="str"><v>43323223560353</v></cell><cell r="E5817" t="str"><v>43323102854010ce ChB</v></cell><cell r="F5817" t="str"><v>DCM</v></cell><cell r="G5817" t="str"><v>https://azure.microsoft.com/en-gb/free/search/</v></cell></row><row r="5817"><cell r="K5817" t="str"><v>August</v></cell><cell r="L5817"><v>43323</v></cell><cell r="M5817" t="str"><v>Tier 1</v></cell><cell r="N5817" t="str"><v>EMEA</v></cell><cell r="O5817" t="str"><v>United Kingdom</v></cell><cell r="P5817" t="str"><v>Trial</v></cell><cell r="Q5817" t="str"><v>Social</v></cell><cell r="R5817" t="str"><v>Azure</v></cell><cell r="S5817" t="str"><v>Apps & Infra</v></cell><cell r="T5817" t="str"><v>Developers & ITI's</v></cell><cell r="U5817" t="str"><v>Audience & Interest Targeting</v></cell><cell r="V5817" t="str"><v>Audience Targeting</v></cell><cell r="W5817" t="str"><v>Link Ad</v></cell><cell r="X5817" t="str"><v>1x1</v></cell></row><row r="5817"><cell r="AA5817"><v>43323</v></cell><cell r="AB5817" t="str"><v>GBR_gaPMG_CE_AZR_Q1_19_Trial-Social</v></cell><cell r="AC5817"><v>21337013</v></cell><cell r="AD5817"><v>720196</v></cell><cell r="AE5817" t="str"><v>Facebook</v></cell><cell r="AF5817"><v>3654128</v></cell><cell r="AG5817" t="str"><v>Facebook»Audience & Interest Targeting»1x1»SocialBan»LIA»DT»DYN»AUT»W»NA»SS»NA»Free Account Refresh- Device ChB</v></cell><cell r="AH5817"><v>223560353</v></cell><cell r="AI5817" t="str"><v>AzurePlatform_FreeAcctAppsFACEBOOKDeviceChB_GBR_1200x628_SOC_PLAT_EN_Trial_Standard_NA_SU_T2_1</v></cell><cell r="AJ5817"><v>102854010</v></cell></row><row r="5818"><cell r="C5818" t="str"><v>43323Facebook»Audience & Interest Targeting»1x1»SocialBan»LIA»DT»DYN»AUT»W»NA»SS»NA»Free Account Refresh- Illustration ChC</v></cell><cell r="D5818" t="str"><v>43323223560347</v></cell><cell r="E5818" t="str"><v>43323102857037on ChC</v></cell><cell r="F5818" t="str"><v>DCM</v></cell><cell r="G5818" t="str"><v>https://azure.microsoft.com/en-gb/free/search/</v></cell></row><row r="5818"><cell r="K5818" t="str"><v>August</v></cell><cell r="L5818"><v>43323</v></cell><cell r="M5818" t="str"><v>Tier 1</v></cell><cell r="N5818" t="str"><v>EMEA</v></cell><cell r="O5818" t="str"><v>United Kingdom</v></cell><cell r="P5818" t="str"><v>Trial</v></cell><cell r="Q5818" t="str"><v>Social</v></cell><cell r="R5818" t="str"><v>Azure</v></cell><cell r="S5818" t="str"><v>Apps & Infra</v></cell><cell r="T5818" t="str"><v>Developers & ITI's</v></cell><cell r="U5818" t="str"><v>Audience & Interest Targeting</v></cell><cell r="V5818" t="str"><v>Audience Targeting</v></cell><cell r="W5818" t="str"><v>Link Ad</v></cell><cell r="X5818" t="str"><v>1x1</v></cell></row><row r="5818"><cell r="AA5818"><v>43323</v></cell><cell r="AB5818" t="str"><v>GBR_gaPMG_CE_AZR_Q1_19_Trial-Social</v></cell><cell r="AC5818"><v>21337013</v></cell><cell r="AD5818"><v>720196</v></cell><cell r="AE5818" t="str"><v>Facebook</v></cell><cell r="AF5818"><v>3654128</v></cell><cell r="AG5818" t="str"><v>Facebook»Audience & Interest Targeting»1x1»SocialBan»LIA»DT»DYN»AUT»W»NA»SS»NA»Free Account Refresh- Illustration ChC</v></cell><cell r="AH5818"><v>223560347</v></cell><cell r="AI5818" t="str"><v>AzurePlatform_FreeAcctAppsFACEBOOKIllustrationChC_GBR_1200x628_SOC_PLAT_EN_Trial_Standard_NA_SU_T3_1</v></cell><cell r="AJ5818"><v>102857037</v></cell></row><row r="5819"><cell r="C5819" t="str"><v>43323Facebook»Audience & Interest Targeting»1x1»SocialBan»LIA»DT»DYN»AUT»W»NA»SS»NA»Free Account Refresh- Lifestyle ChA</v></cell><cell r="D5819" t="str"><v>43323223560341</v></cell><cell r="E5819" t="str"><v>43323102853597le ChA</v></cell><cell r="F5819" t="str"><v>DCM</v></cell><cell r="G5819" t="str"><v>https://azure.microsoft.com/en-gb/free/search/</v></cell></row><row r="5819"><cell r="K5819" t="str"><v>August</v></cell><cell r="L5819"><v>43323</v></cell><cell r="M5819" t="str"><v>Tier 1</v></cell><cell r="N5819" t="str"><v>EMEA</v></cell><cell r="O5819" t="str"><v>United Kingdom</v></cell><cell r="P5819" t="str"><v>Trial</v></cell><cell r="Q5819" t="str"><v>Social</v></cell><cell r="R5819" t="str"><v>Azure</v></cell><cell r="S5819" t="str"><v>Apps & Infra</v></cell><cell r="T5819" t="str"><v>Developers & ITI's</v></cell><cell r="U5819" t="str"><v>Audience & Interest Targeting</v></cell><cell r="V5819" t="str"><v>Audience Targeting</v></cell><cell r="W5819" t="str"><v>Link Ad</v></cell><cell r="X5819" t="str"><v>1x1</v></cell></row><row r="5819"><cell r="AA5819"><v>43323</v></cell><cell r="AB5819" t="str"><v>GBR_gaPMG_CE_AZR_Q1_19_Trial-Social</v></cell><cell r="AC5819"><v>21337013</v></cell><cell r="AD5819"><v>720196</v></cell><cell r="AE5819" t="str"><v>Facebook</v></cell><cell r="AF5819"><v>3654128</v></cell><cell r="AG5819" t="str"><v>Facebook»Audience & Interest Targeting»1x1»SocialBan»LIA»DT»DYN»AUT»W»NA»SS»NA»Free Account Refresh- Lifestyle ChA</v></cell><cell r="AH5819"><v>223560341</v></cell><cell r="AI5819" t="str"><v>AzurePlatform_FreeAcctAppsFACEBOOKLifestyleChA_GBR_1200x628_SOC_PLAT_EN_Trial_Standard_NA_SU_T1_1</v></cell><cell r="AJ5819"><v>102853597</v></cell></row><row r="5820"><cell r="C5820" t="str"><v>43323Facebook»Retargeting»1x1»SocialBan»LIA»DT»DYN»RT»W»NA»SS»NA»Free Account Retargeting Generic- Animated ChC</v></cell><cell r="D5820" t="str"><v>43323223560299</v></cell><cell r="E5820" t="str"><v>43323102854019ed ChC</v></cell><cell r="F5820" t="str"><v>DCM</v></cell><cell r="G5820" t="str"><v>https://azure.microsoft.com/en-gb/free/search/</v></cell></row><row r="5820"><cell r="K5820" t="str"><v>August</v></cell><cell r="L5820"><v>43323</v></cell><cell r="M5820" t="str"><v>Tier 1</v></cell><cell r="N5820" t="str"><v>EMEA</v></cell><cell r="O5820" t="str"><v>United Kingdom</v></cell><cell r="P5820" t="str"><v>Trial</v></cell><cell r="Q5820" t="str"><v>Social</v></cell><cell r="R5820" t="str"><v>Azure</v></cell><cell r="S5820" t="str"><v>Apps & Infra</v></cell><cell r="T5820" t="str"><v>Developers & ITI's</v></cell><cell r="U5820" t="str"><v>Retargeting</v></cell><cell r="V5820" t="str"><v>Retargeting</v></cell><cell r="W5820" t="str"><v>Link Ad</v></cell><cell r="X5820" t="str"><v>1x1</v></cell></row><row r="5820"><cell r="AA5820"><v>43323</v></cell><cell r="AB5820" t="str"><v>GBR_gaPMG_CE_AZR_Q1_19_Trial-Social</v></cell><cell r="AC5820"><v>21337013</v></cell><cell r="AD5820"><v>720196</v></cell><cell r="AE5820" t="str"><v>Facebook</v></cell><cell r="AF5820"><v>3654128</v></cell><cell r="AG5820" t="str"><v>Facebook»Retargeting»1x1»SocialBan»LIA»DT»DYN»RT»W»NA»SS»NA»Free Account Retargeting Generic- Animated ChC</v></cell><cell r="AH5820"><v>223560299</v></cell><cell r="AI5820" t="str"><v>AzurePlatform_FreeAcctRetargetingFB-Animated-ChC_GBR_1200x628_SOC_Plat_EN_Free Account_Standard_ANI_SU_T3_1</v></cell><cell r="AJ5820"><v>102854019</v></cell></row><row r="5821"><cell r="C5821" t="str"><v>43323Facebook»Retargeting»1x1»SocialBan»LIA»DT»DYN»RT»W»NA»SS»NA»Free Account Retargeting Generic- Global Alt ChB</v></cell><cell r="D5821" t="str"><v>43323223560356</v></cell><cell r="E5821" t="str"><v>43323102854016lt ChB</v></cell><cell r="F5821" t="str"><v>DCM</v></cell><cell r="G5821" t="str"><v>https://azure.microsoft.com/en-gb/free/search/</v></cell></row><row r="5821"><cell r="K5821" t="str"><v>August</v></cell><cell r="L5821"><v>43323</v></cell><cell r="M5821" t="str"><v>Tier 1</v></cell><cell r="N5821" t="str"><v>EMEA</v></cell><cell r="O5821" t="str"><v>United Kingdom</v></cell><cell r="P5821" t="str"><v>Trial</v></cell><cell r="Q5821" t="str"><v>Social</v></cell><cell r="R5821" t="str"><v>Azure</v></cell><cell r="S5821" t="str"><v>Apps & Infra</v></cell><cell r="T5821" t="str"><v>Developers & ITI's</v></cell><cell r="U5821" t="str"><v>Retargeting</v></cell><cell r="V5821" t="str"><v>Retargeting</v></cell><cell r="W5821" t="str"><v>Link Ad</v></cell><cell r="X5821" t="str"><v>1x1</v></cell></row><row r="5821"><cell r="AA5821"><v>43323</v></cell><cell r="AB5821" t="str"><v>GBR_gaPMG_CE_AZR_Q1_19_Trial-Social</v></cell><cell r="AC5821"><v>21337013</v></cell><cell r="AD5821"><v>720196</v></cell><cell r="AE5821" t="str"><v>Facebook</v></cell><cell r="AF5821"><v>3654128</v></cell><cell r="AG5821" t="str"><v>Facebook»Retargeting»1x1»SocialBan»LIA»DT»DYN»RT»W»NA»SS»NA»Free Account Retargeting Generic- Global Alt ChB</v></cell><cell r="AH5821"><v>223560356</v></cell><cell r="AI5821" t="str"><v>AzurePlatform_FreeAcctRetargetingFB-GlobalAlt-ChB_GBR_1200x628_SOC_Plat_EN_Free Account_Standard_NA_SU_T2_1</v></cell><cell r="AJ5821"><v>102854016</v></cell></row><row r="5822"><cell r="C5822" t="str"><v>43323Facebook»Retargeting»1x1»SocialBan»LIA»DT»DYN»RT»W»NA»SS»NA»Free Account Retargeting OSS- Logos ChG</v></cell><cell r="D5822" t="str"><v>43323223560350</v></cell><cell r="E5822" t="str"><v>43323103006547os ChG</v></cell><cell r="F5822" t="str"><v>DCM</v></cell><cell r="G5822" t="str"><v>https://azure.microsoft.com/en-gb/free/open-source/search/</v></cell></row><row r="5822"><cell r="K5822" t="str"><v>August</v></cell><cell r="L5822"><v>43323</v></cell><cell r="M5822" t="str"><v>Tier 1</v></cell><cell r="N5822" t="str"><v>EMEA</v></cell><cell r="O5822" t="str"><v>United Kingdom</v></cell><cell r="P5822" t="str"><v>Trial</v></cell><cell r="Q5822" t="str"><v>Social</v></cell><cell r="R5822" t="str"><v>Azure</v></cell><cell r="S5822" t="str"><v>Apps & Infra</v></cell><cell r="T5822" t="str"><v>Developers & ITI's</v></cell><cell r="U5822" t="str"><v>Retargeting</v></cell><cell r="V5822" t="str"><v>Retargeting</v></cell><cell r="W5822" t="str"><v>Link Ad</v></cell><cell r="X5822" t="str"><v>1x1</v></cell></row><row r="5822"><cell r="AA5822"><v>43323</v></cell><cell r="AB5822" t="str"><v>GBR_gaPMG_CE_AZR_Q1_19_Trial-Social</v></cell><cell r="AC5822"><v>21337013</v></cell><cell r="AD5822"><v>720196</v></cell><cell r="AE5822" t="str"><v>Facebook</v></cell><cell r="AF5822"><v>3654128</v></cell><cell r="AG5822" t="str"><v>Facebook»Retargeting»1x1»SocialBan»LIA»DT»DYN»RT»W»NA»SS»NA»Free Account Retargeting OSS- Logos ChG</v></cell><cell r="AH5822"><v>223560350</v></cell><cell r="AI5822" t="str"><v>AzurePlatform_FreeAcctRetargetingOSSFB-Logos-ChG_GBR_1200x628_SOC_Plat_EN_Free Account_Standard_NA_SU_T2_1</v></cell><cell r="AJ5822"><v>103006547</v></cell></row><row r="5823"><cell r="C5823" t="str"><v>43323Facebook»Retargeting»1x1»SocialBan»LIA»DT»DYN»RT»W»NA»SS»NA»Free Account Retargeting OSS- Text ChF</v></cell><cell r="D5823" t="str"><v>43323223560344</v></cell><cell r="E5823" t="str"><v>43323102861246xt ChF</v></cell><cell r="F5823" t="str"><v>DCM</v></cell><cell r="G5823" t="str"><v>https://azure.microsoft.com/en-gb/free/open-source/search/</v></cell></row><row r="5823"><cell r="K5823" t="str"><v>August</v></cell><cell r="L5823"><v>43323</v></cell><cell r="M5823" t="str"><v>Tier 1</v></cell><cell r="N5823" t="str"><v>EMEA</v></cell><cell r="O5823" t="str"><v>United Kingdom</v></cell><cell r="P5823" t="str"><v>Trial</v></cell><cell r="Q5823" t="str"><v>Social</v></cell><cell r="R5823" t="str"><v>Azure</v></cell><cell r="S5823" t="str"><v>Apps & Infra</v></cell><cell r="T5823" t="str"><v>Developers & ITI's</v></cell><cell r="U5823" t="str"><v>Retargeting</v></cell><cell r="V5823" t="str"><v>Retargeting</v></cell><cell r="W5823" t="str"><v>Link Ad</v></cell><cell r="X5823" t="str"><v>1x1</v></cell></row><row r="5823"><cell r="AA5823"><v>43323</v></cell><cell r="AB5823" t="str"><v>GBR_gaPMG_CE_AZR_Q1_19_Trial-Social</v></cell><cell r="AC5823"><v>21337013</v></cell><cell r="AD5823"><v>720196</v></cell><cell r="AE5823" t="str"><v>Facebook</v></cell><cell r="AF5823"><v>3654128</v></cell><cell r="AG5823" t="str"><v>Facebook»Retargeting»1x1»SocialBan»LIA»DT»DYN»RT»W»NA»SS»NA»Free Account Retargeting OSS- Text ChF</v></cell><cell r="AH5823"><v>223560344</v></cell><cell r="AI5823" t="str"><v>AzurePlatform_FreeAcctRetargetingOSSFB-Text-ChF_GBR_1200x628_SOC_Plat_EN_Free Account_Standard_NA_SU_T1_1</v></cell><cell r="AJ5823"><v>102861246</v></cell></row><row r="5824"><cell r="C5824" t="str"><v>43323Facebook»Retargeting»1x1»SocialBan»LIA»DT»DYN»RT»W»NA»SS»NA»Free Account Retargeting VM- 750 Hrs ChD</v></cell><cell r="D5824" t="str"><v>43323223560338</v></cell><cell r="E5824" t="str"><v>43323102853603rs ChD</v></cell><cell r="F5824" t="str"><v>DCM</v></cell><cell r="G5824" t="str"><v>https://azure.microsoft.com/en-gb/free/virtual-machines/search/</v></cell></row><row r="5824"><cell r="K5824" t="str"><v>August</v></cell><cell r="L5824"><v>43323</v></cell><cell r="M5824" t="str"><v>Tier 1</v></cell><cell r="N5824" t="str"><v>EMEA</v></cell><cell r="O5824" t="str"><v>United Kingdom</v></cell><cell r="P5824" t="str"><v>Trial</v></cell><cell r="Q5824" t="str"><v>Social</v></cell><cell r="R5824" t="str"><v>Azure</v></cell><cell r="S5824" t="str"><v>Apps & Infra</v></cell><cell r="T5824" t="str"><v>Developers & ITI's</v></cell><cell r="U5824" t="str"><v>Retargeting</v></cell><cell r="V5824" t="str"><v>Retargeting</v></cell><cell r="W5824" t="str"><v>Link Ad</v></cell><cell r="X5824" t="str"><v>1x1</v></cell></row><row r="5824"><cell r="AA5824"><v>43323</v></cell><cell r="AB5824" t="str"><v>GBR_gaPMG_CE_AZR_Q1_19_Trial-Social</v></cell><cell r="AC5824"><v>21337013</v></cell><cell r="AD5824"><v>720196</v></cell><cell r="AE5824" t="str"><v>Facebook</v></cell><cell r="AF5824"><v>3654128</v></cell><cell r="AG5824" t="str"><v>Facebook»Retargeting»1x1»SocialBan»LIA»DT»DYN»RT»W»NA»SS»NA»Free Account Retargeting VM- 750 Hrs ChD</v></cell><cell r="AH5824"><v>223560338</v></cell><cell r="AI5824" t="str"><v>AzurePlatform_FreeAcctRetargetingVMFB-750Hrs-ChD_GBR_1200x628_SOC_Plat_EN_Free Account_Standard_NA_SU_T1_1</v></cell><cell r="AJ5824"><v>102853603</v></cell></row><row r="5825"><cell r="C5825" t="str"><v>43323Facebook»Retargeting»1x1»SocialBan»LIA»DT»DYN»RT»W»NA»SS»NA»Free Account Retargeting VM- On Demand ChE</v></cell><cell r="D5825" t="str"><v>43323223560332</v></cell><cell r="E5825" t="str"><v>43323102854037nd ChE</v></cell><cell r="F5825" t="str"><v>DCM</v></cell><cell r="G5825" t="str"><v>https://azure.microsoft.com/en-gb/free/virtual-machines/search/</v></cell></row><row r="5825"><cell r="K5825" t="str"><v>August</v></cell><cell r="L5825"><v>43323</v></cell><cell r="M5825" t="str"><v>Tier 1</v></cell><cell r="N5825" t="str"><v>EMEA</v></cell><cell r="O5825" t="str"><v>United Kingdom</v></cell><cell r="P5825" t="str"><v>Trial</v></cell><cell r="Q5825" t="str"><v>Social</v></cell><cell r="R5825" t="str"><v>Azure</v></cell><cell r="S5825" t="str"><v>Apps & Infra</v></cell><cell r="T5825" t="str"><v>Developers & ITI's</v></cell><cell r="U5825" t="str"><v>Retargeting</v></cell><cell r="V5825" t="str"><v>Retargeting</v></cell><cell r="W5825" t="str"><v>Link Ad</v></cell><cell r="X5825" t="str"><v>1x1</v></cell></row><row r="5825"><cell r="AA5825"><v>43323</v></cell><cell r="AB5825" t="str"><v>GBR_gaPMG_CE_AZR_Q1_19_Trial-Social</v></cell><cell r="AC5825"><v>21337013</v></cell><cell r="AD5825"><v>720196</v></cell><cell r="AE5825" t="str"><v>Facebook</v></cell><cell r="AF5825"><v>3654128</v></cell><cell r="AG5825" t="str"><v>Facebook»Retargeting»1x1»SocialBan»LIA»DT»DYN»RT»W»NA»SS»NA»Free Account Retargeting VM- On Demand ChE</v></cell><cell r="AH5825"><v>223560332</v></cell><cell r="AI5825" t="str"><v>AzurePlatform_FreeAcctRetargetingVMFB-OnDemand-ChE_GBR_1200x628_SOC_Plat_EN_Free Account_Standard_NA_SU_T2_1</v></cell><cell r="AJ5825"><v>102854037</v></cell></row><row r="5826"><cell r="C5826" t="str"><v>43323Facebook»AZP-Canvas-Interest&Role-Trial»1x1»Canvas»OTH»MO»CPM»PRO»X»UNK»TP»OT»Canvas-Trial</v></cell><cell r="D5826" t="str"><v>43323223298805</v></cell><cell r="E5826" t="str"><v>43323102609621-Trial</v></cell><cell r="F5826" t="str"><v>DCM</v></cell><cell r="G5826" t="str"><v>https://signup.azure.com/signup?offer=ms-azr-0044p&appId=102&ref=paidmedia-social-fb&redirectURL=https%3a%2f%2fazure.microsoft.com%2fja-jp%2fget-started%2fwelcome-to-azure%2f&l=ja-jp&correlationId=ead86c34-1f10-49dd-a72b-6918462a2cbf</v></cell></row><row r="5826"><cell r="K5826" t="str"><v>August</v></cell><cell r="L5826"><v>43323</v></cell><cell r="M5826" t="str"><v>Tier 1</v></cell><cell r="N5826" t="str"><v>APAC</v></cell><cell r="O5826" t="str"><v>Japan</v></cell><cell r="P5826" t="str"><v>Trial</v></cell><cell r="Q5826" t="str"><v>Social</v></cell><cell r="R5826" t="str"><v>Azure</v></cell><cell r="S5826" t="str"><v>Apps & Infra</v></cell><cell r="T5826" t="str"><v>Developers & ITI's</v></cell><cell r="U5826" t="str"><v>AZP-Canvas-Interest&Role-Trial</v></cell><cell r="V5826" t="str"><v>Prospecting</v></cell><cell r="W5826" t="str"><v>Other</v></cell><cell r="X5826" t="str"><v>1x1</v></cell></row><row r="5826"><cell r="AA5826"><v>43323</v></cell><cell r="AB5826" t="str"><v>JPN_gaPMG_AZR_AZR_Q1_19_Trial-Social</v></cell><cell r="AC5826"><v>21276694</v></cell><cell r="AD5826"><v>720195</v></cell><cell r="AE5826" t="str"><v>Facebook</v></cell><cell r="AF5826"><v>3654128</v></cell><cell r="AG5826" t="str"><v>Facebook»AZP-Canvas-Interest&Role-Trial»1x1»Canvas»OTH»MO»CPM»PRO»X»UNK»TP»OT»Canvas-Trial</v></cell><cell r="AH5826"><v>223298805</v></cell><cell r="AI5826" t="str"><v>AzurePlatform_FBCTCcanvaspage-StartFreeCTA-Img2_JPN_1080x143 _SOC_Plat_Japanese_NA_Standard_NA_NA_T2_1</v></cell><cell r="AJ5826"><v>102609621</v></cell></row><row r="5827"><cell r="C5827" t="str"><v>43323Facebook»AZP-Canvas-Look a Like-Trial»1x1»Canvas»OTH»MO»CPM»PRO»X»UNK»TP»OT»Canvas-Trial</v></cell><cell r="D5827" t="str"><v>43323223297413</v></cell><cell r="E5827" t="str"><v>43323102609621-Trial</v></cell><cell r="F5827" t="str"><v>DCM</v></cell><cell r="G5827" t="str"><v>https://signup.azure.com/signup?offer=ms-azr-0044p&appId=102&ref=paidmedia-social-fb&redirectURL=https%3a%2f%2fazure.microsoft.com%2fja-jp%2fget-started%2fwelcome-to-azure%2f&l=ja-jp&correlationId=ead86c34-1f10-49dd-a72b-6918462a2cbf</v></cell></row><row r="5827"><cell r="K5827" t="str"><v>August</v></cell><cell r="L5827"><v>43323</v></cell><cell r="M5827" t="str"><v>Tier 1</v></cell><cell r="N5827" t="str"><v>APAC</v></cell><cell r="O5827" t="str"><v>Japan</v></cell><cell r="P5827" t="str"><v>Trial</v></cell><cell r="Q5827" t="str"><v>Social</v></cell><cell r="R5827" t="str"><v>Azure</v></cell><cell r="S5827" t="str"><v>Apps & Infra</v></cell><cell r="T5827" t="str"><v>Developers & ITI's</v></cell><cell r="U5827" t="str"><v>AZP-Canvas-Look a Like-Trial</v></cell><cell r="V5827" t="str"><v>Prospecting</v></cell><cell r="W5827" t="str"><v>Other</v></cell><cell r="X5827" t="str"><v>1x1</v></cell></row><row r="5827"><cell r="AA5827"><v>43323</v></cell><cell r="AB5827" t="str"><v>JPN_gaPMG_AZR_AZR_Q1_19_Trial-Social</v></cell><cell r="AC5827"><v>21276694</v></cell><cell r="AD5827"><v>720195</v></cell><cell r="AE5827" t="str"><v>Facebook</v></cell><cell r="AF5827"><v>3654128</v></cell><cell r="AG5827" t="str"><v>Facebook»AZP-Canvas-Look a Like-Trial»1x1»Canvas»OTH»MO»CPM»PRO»X»UNK»TP»OT»Canvas-Trial</v></cell><cell r="AH5827"><v>223297413</v></cell><cell r="AI5827" t="str"><v>AzurePlatform_FBCTCcanvaspage-StartFreeCTA-Img2_JPN_1080x143 _SOC_Plat_Japanese_NA_Standard_NA_NA_T2_1</v></cell><cell r="AJ5827"><v>102609621</v></cell></row><row r="5828"><cell r="C5828" t="str"><v>43323Facebook»AZP-Canvas-Retargeting-Trial»1x1»Canvas»SOC»MO»CPM»PRO»W»UNK»SS»OT»Canvas-Trial</v></cell><cell r="D5828" t="str"><v>43323226269941</v></cell><cell r="E5828" t="str"><v>43323104061321-Trial</v></cell><cell r="F5828" t="str"><v>DCM</v></cell><cell r="G5828" t="str"><v>https://signup.azure.com/signup?offer=ms-azr-0044p&appId=102&ref=paidmedia-social-fb&redirectURL=https%3a%2f%2fazure.microsoft.com%2fja-jp%2fget-started%2fwelcome-to-azure%2f&l=ja-jp&correlationId=ead86c34-1f10-49dd-a72b-6918462a2cbf</v></cell></row><row r="5828"><cell r="K5828" t="str"><v>August</v></cell><cell r="L5828"><v>43323</v></cell><cell r="M5828" t="str"><v>Tier 1</v></cell><cell r="N5828" t="str"><v>APAC</v></cell><cell r="O5828" t="str"><v>Japan</v></cell><cell r="P5828" t="str"><v>Trial</v></cell><cell r="Q5828" t="str"><v>Social</v></cell><cell r="R5828" t="str"><v>Azure</v></cell><cell r="S5828" t="str"><v>Apps & Infra</v></cell><cell r="T5828" t="str"><v>Developers & ITI's</v></cell><cell r="U5828" t="str"><v>AZP-Canvas-Retargeting-Trial</v></cell><cell r="V5828" t="str"><v>Prospecting</v></cell><cell r="W5828" t="str"><v>Social</v></cell><cell r="X5828" t="str"><v>1x1</v></cell></row><row r="5828"><cell r="AA5828"><v>43323</v></cell><cell r="AB5828" t="str"><v>JPN_gaPMG_AZR_AZR_Q1_19_Trial-Social</v></cell><cell r="AC5828"><v>21276694</v></cell><cell r="AD5828"><v>720195</v></cell><cell r="AE5828" t="str"><v>Facebook</v></cell><cell r="AF5828"><v>3654128</v></cell><cell r="AG5828" t="str"><v>Facebook»AZP-Canvas-Retargeting-Trial»1x1»Canvas»SOC»MO»CPM»PRO»W»UNK»SS»OT»Canvas-Trial</v></cell><cell r="AH5828"><v>226269941</v></cell><cell r="AI5828" t="str"><v>AZR_FBCTCcanvaspage-StartFreeCTA-Img2_JPN_1080x143 _SOC_Plat_Japanese_NA_Standard_NA_NA_T2_1</v></cell><cell r="AJ5828"><v>104061321</v></cell></row><row r="5829"><cell r="C5829" t="str"><v>43323FACEBOOK»USA-Trial-ITD-Interest Prospecting-AZR-AZR»1 x 1»SocialBan»CAN»ALL»CPA»PRO»X»NA»SS»NA»FBCTCBenefit2inMotion»PRC1SW</v></cell><cell r="D5829" t="str"><v>43323223933138</v></cell><cell r="E5829" t="str"><v>43323103043835PRC1SW</v></cell><cell r="F5829" t="str"><v>DCM</v></cell><cell r="G5829" t="str"><v>https://signup.azure.com/?OCID=AID%eexcid!_OLA_%ebuy!_%epid!_%ecid!</v></cell></row><row r="5829"><cell r="K5829" t="str"><v>August</v></cell><cell r="L5829"><v>43323</v></cell><cell r="M5829" t="str"><v>Tier 0</v></cell><cell r="N5829" t="str"><v>North America</v></cell><cell r="O5829" t="str"><v>United States</v></cell><cell r="P5829" t="str"><v>Trial</v></cell><cell r="Q5829" t="str"><v>Social</v></cell><cell r="R5829" t="str"><v>Azure</v></cell><cell r="S5829" t="str"><v>Apps & Infra</v></cell><cell r="T5829" t="str"><v>Developers & ITI's</v></cell><cell r="U5829" t="str"><v>USA-Trial-ITD-Interest Prospecting-AZR-AZR</v></cell><cell r="V5829" t="str"><v>Prospecting</v></cell><cell r="W5829" t="str"><v>Canvas Ad</v></cell><cell r="X5829" t="str"><v>1x1</v></cell></row><row r="5829"><cell r="AA5829"><v>43323</v></cell><cell r="AB5829" t="str"><v>USA_gaPMG_AZR_AZR_Q1_19_Direct-Social</v></cell><cell r="AC5829"><v>21358715</v></cell><cell r="AD5829"><v>720197</v></cell><cell r="AE5829" t="str"><v>Facebook</v></cell><cell r="AF5829"><v>3654128</v></cell><cell r="AG5829" t="str"><v>FACEBOOK»USA-Trial-ITD-Interest Prospecting-AZR-AZR»1 x 1»SocialBan»CAN»ALL»CPA»PRO»X»NA»SS»NA»FBCTCBenefit2inMotion»PRC1SW</v></cell><cell r="AH5829"><v>223933138</v></cell><cell r="AI5829" t="str"><v>AzurePlatform_FBCTCBenefit2inMotion_USA_10s_CAN_PLATFORM_English_Trial_Standard_STAN_TIN_T4_1</v></cell><cell r="AJ5829"><v>103043835</v></cell></row><row r="5830"><cell r="C5830" t="str"><v>43323FACEBOOK»USA-Trial-ITD-Interest Prospecting-AZR-AZR»1 x 1»SocialBan»CAN»ALL»CPA»PRO»X»NA»SS»NA»FBCTCBenefit2inMotion»PRC1SW</v></cell><cell r="D5830" t="str"><v>43323223933138</v></cell><cell r="E5830" t="str"><v>43323103178645PRC1SW</v></cell><cell r="F5830" t="str"><v>DCM</v></cell><cell r="G5830" t="str"><v>https://azure.microsoft.com/en-us/pricing/purchase-options/?v=18.19&OCID=AID%eexcid!_OLA_%ebuy!_%epid!_%ecid!</v></cell></row><row r="5830"><cell r="K5830" t="str"><v>August</v></cell><cell r="L5830"><v>43323</v></cell><cell r="M5830" t="str"><v>Tier 0</v></cell><cell r="N5830" t="str"><v>North America</v></cell><cell r="O5830" t="str"><v>United States</v></cell><cell r="P5830" t="str"><v>Trial</v></cell><cell r="Q5830" t="str"><v>Social</v></cell><cell r="R5830" t="str"><v>Azure</v></cell><cell r="S5830" t="str"><v>Apps & Infra</v></cell><cell r="T5830" t="str"><v>Developers & ITI's</v></cell><cell r="U5830" t="str"><v>USA-Trial-ITD-Interest Prospecting-AZR-AZR</v></cell><cell r="V5830" t="str"><v>Prospecting</v></cell><cell r="W5830" t="str"><v>Canvas Ad</v></cell><cell r="X5830" t="str"><v>1x1</v></cell></row><row r="5830"><cell r="AA5830"><v>43323</v></cell><cell r="AB5830" t="str"><v>USA_gaPMG_AZR_AZR_Q1_19_Direct-Social</v></cell><cell r="AC5830"><v>21358715</v></cell><cell r="AD5830"><v>720197</v></cell><cell r="AE5830" t="str"><v>Facebook</v></cell><cell r="AF5830"><v>3654128</v></cell><cell r="AG5830" t="str"><v>FACEBOOK»USA-Trial-ITD-Interest Prospecting-AZR-AZR»1 x 1»SocialBan»CAN»ALL»CPA»PRO»X»NA»SS»NA»FBCTCBenefit2inMotion»PRC1SW</v></cell><cell r="AH5830"><v>223933138</v></cell><cell r="AI5830" t="str"><v>AzurePlatform_FBCTCBenefit2inMotion_USA_10s_CAN_PLATFORM_English_Trial_Standard_STAN_TIN_T4_2</v></cell><cell r="AJ5830"><v>103178645</v></cell></row><row r="5831"><cell r="C5831" t="str"><v>43323FACEBOOK»USA-Trial-ITD-Interest Prospecting-AZR-AZR»1 x 1»SocialBan»CAN»ALL»CPA»PRO»X»NA»SS»NA»FBCTCBrandinMotion»PRC1SY</v></cell><cell r="D5831" t="str"><v>43323224104929</v></cell><cell r="E5831" t="str"><v>43323103176812PRC1SY</v></cell><cell r="F5831" t="str"><v>DCM</v></cell><cell r="G5831" t="str"><v>https://signup.azure.com/?OCID=AID%eexcid!_OLA_%ebuy!_%epid!_%ecid!</v></cell></row><row r="5831"><cell r="K5831" t="str"><v>August</v></cell><cell r="L5831"><v>43323</v></cell><cell r="M5831" t="str"><v>Tier 0</v></cell><cell r="N5831" t="str"><v>North America</v></cell><cell r="O5831" t="str"><v>United States</v></cell><cell r="P5831" t="str"><v>Trial</v></cell><cell r="Q5831" t="str"><v>Social</v></cell><cell r="R5831" t="str"><v>Azure</v></cell><cell r="S5831" t="str"><v>Apps & Infra</v></cell><cell r="T5831" t="str"><v>Developers & ITI's</v></cell><cell r="U5831" t="str"><v>USA-Trial-ITD-Interest Prospecting-AZR-AZR</v></cell><cell r="V5831" t="str"><v>Prospecting</v></cell><cell r="W5831" t="str"><v>Canvas Ad</v></cell><cell r="X5831" t="str"><v>1x1</v></cell></row><row r="5831"><cell r="AA5831"><v>43323</v></cell><cell r="AB5831" t="str"><v>USA_gaPMG_AZR_AZR_Q1_19_Direct-Social</v></cell><cell r="AC5831"><v>21358715</v></cell><cell r="AD5831"><v>720197</v></cell><cell r="AE5831" t="str"><v>Facebook</v></cell><cell r="AF5831"><v>3654128</v></cell><cell r="AG5831" t="str"><v>FACEBOOK»USA-Trial-ITD-Interest Prospecting-AZR-AZR»1 x 1»SocialBan»CAN»ALL»CPA»PRO»X»NA»SS»NA»FBCTCBrandinMotion»PRC1SY</v></cell><cell r="AH5831"><v>224104929</v></cell><cell r="AI5831" t="str"><v>AzurePlatform_FBCTCBrandinMotion_USA_10s_CAN_PLATFORM_English_Trial_Standard_STAN_TIN_T2_1</v></cell><cell r="AJ5831"><v>103176812</v></cell></row><row r="5832"><cell r="C5832" t="str"><v>43323FACEBOOK»USA-Trial-ITD-Interest Prospecting-AZR-AZR»1 x 1»SocialBan»CAN»ALL»CPA»PRO»X»NA»SS»NA»FBCTCBrandinMotion»PRC1SY</v></cell><cell r="D5832" t="str"><v>43323224104929</v></cell><cell r="E5832" t="str"><v>43323103032823PRC1SY</v></cell><cell r="F5832" t="str"><v>DCM</v></cell><cell r="G5832" t="str"><v>https://azure.microsoft.com/en-us/pricing/purchase-options/?v=18.19&OCID=AID%eexcid!_OLA_%ebuy!_%epid!_%ecid!</v></cell></row><row r="5832"><cell r="K5832" t="str"><v>August</v></cell><cell r="L5832"><v>43323</v></cell><cell r="M5832" t="str"><v>Tier 0</v></cell><cell r="N5832" t="str"><v>North America</v></cell><cell r="O5832" t="str"><v>United States</v></cell><cell r="P5832" t="str"><v>Trial</v></cell><cell r="Q5832" t="str"><v>Social</v></cell><cell r="R5832" t="str"><v>Azure</v></cell><cell r="S5832" t="str"><v>Apps & Infra</v></cell><cell r="T5832" t="str"><v>Developers & ITI's</v></cell><cell r="U5832" t="str"><v>USA-Trial-ITD-Interest Prospecting-AZR-AZR</v></cell><cell r="V5832" t="str"><v>Prospecting</v></cell><cell r="W5832" t="str"><v>Canvas Ad</v></cell><cell r="X5832" t="str"><v>1x1</v></cell></row><row r="5832"><cell r="AA5832"><v>43323</v></cell><cell r="AB5832" t="str"><v>USA_gaPMG_AZR_AZR_Q1_19_Direct-Social</v></cell><cell r="AC5832"><v>21358715</v></cell><cell r="AD5832"><v>720197</v></cell><cell r="AE5832" t="str"><v>Facebook</v></cell><cell r="AF5832"><v>3654128</v></cell><cell r="AG5832" t="str"><v>FACEBOOK»USA-Trial-ITD-Interest Prospecting-AZR-AZR»1 x 1»SocialBan»CAN»ALL»CPA»PRO»X»NA»SS»NA»FBCTCBrandinMotion»PRC1SY</v></cell><cell r="AH5832"><v>224104929</v></cell><cell r="AI5832" t="str"><v>AzurePlatform_FBCTCBrandinMotion_USA_10s_CAN_PLATFORM_English_Trial_Standard_STAN_TIN_T2_2</v></cell><cell r="AJ5832"><v>103032823</v></cell></row><row r="5833"><cell r="C5833" t="str"><v>43323FACEBOOK»USA-Trial-ITD-Interest Prospecting-AZR-AZR»1 x 1»SocialBan»LIA»ALL»CPA»PRO»X»NA»SS»NA»FreeAcctDeveloperFB-AnimatedGeneric-Ch1»PRC1SZ</v></cell><cell r="D5833" t="str"><v>43323224104932</v></cell><cell r="E5833" t="str"><v>43323103176851PRC1SZ</v></cell><cell r="F5833" t="str"><v>DCM</v></cell><cell r="G5833" t="str"><v>https://azure.microsoft.com/en-us/free/search/?OCID=AID%eexcid!_OLA_%ebuy!_%epid!_%ecid!</v></cell></row><row r="5833"><cell r="K5833" t="str"><v>August</v></cell><cell r="L5833"><v>43323</v></cell><cell r="M5833" t="str"><v>Tier 0</v></cell><cell r="N5833" t="str"><v>North America</v></cell><cell r="O5833" t="str"><v>United States</v></cell><cell r="P5833" t="str"><v>Trial</v></cell><cell r="Q5833" t="str"><v>Social</v></cell><cell r="R5833" t="str"><v>Azure</v></cell><cell r="S5833" t="str"><v>Apps & Infra</v></cell><cell r="T5833" t="str"><v>Developers & ITI's</v></cell><cell r="U5833" t="str"><v>USA-Trial-ITD-Interest Prospecting-AZR-AZR</v></cell><cell r="V5833" t="str"><v>Prospecting</v></cell><cell r="W5833" t="str"><v>Link Ad</v></cell><cell r="X5833" t="str"><v>1x1</v></cell></row><row r="5833"><cell r="AA5833"><v>43323</v></cell><cell r="AB5833" t="str"><v>USA_gaPMG_AZR_AZR_Q1_19_Direct-Social</v></cell><cell r="AC5833"><v>21358715</v></cell><cell r="AD5833"><v>720197</v></cell><cell r="AE5833" t="str"><v>Facebook</v></cell><cell r="AF5833"><v>3654128</v></cell><cell r="AG5833" t="str"><v>FACEBOOK»USA-Trial-ITD-Interest Prospecting-AZR-AZR»1 x 1»SocialBan»LIA»ALL»CPA»PRO»X»NA»SS»NA»FreeAcctDeveloperFB-AnimatedGeneric-Ch1»PRC1SZ</v></cell><cell r="AH5833"><v>224104932</v></cell><cell r="AI5833" t="str"><v>AZR_FreeAcctDeveloperFB-AnimatedGeneric-Ch1_USA_1200x1200_CAN_Direct_English_Trial_Standard_ANI_LEA_T1_2</v></cell><cell r="AJ5833"><v>103176851</v></cell></row><row r="5834"><cell r="C5834" t="str"><v>43323FACEBOOK»USA-Trial-ITD-Interest Prospecting-AZR-AZR»1 x 1»SocialBan»LIA»ALL»CPA»PRO»X»NA»SS»NA»FreeAcctITProFB-AnimatedSecureMngd-Ch1»PRC1T4</v></cell><cell r="D5834" t="str"><v>43323224104914</v></cell><cell r="E5834" t="str"><v>43323103176830PRC1T4</v></cell><cell r="F5834" t="str"><v>DCM</v></cell></row><row r="5834"><cell r="K5834" t="str"><v>August</v></cell><cell r="L5834"><v>43323</v></cell><cell r="M5834" t="str"><v>Tier 0</v></cell><cell r="N5834" t="str"><v>North America</v></cell><cell r="O5834" t="str"><v>United States</v></cell><cell r="P5834" t="str"><v>Trial</v></cell><cell r="Q5834" t="str"><v>Social</v></cell><cell r="R5834" t="str"><v>Azure</v></cell><cell r="S5834" t="str"><v>Apps & Infra</v></cell><cell r="T5834" t="str"><v>Developers & ITI's</v></cell><cell r="U5834" t="str"><v>USA-Trial-ITD-Interest Prospecting-AZR-AZR</v></cell><cell r="V5834" t="str"><v>Prospecting</v></cell><cell r="W5834" t="str"><v>Link Ad</v></cell><cell r="X5834" t="str"><v>1x1</v></cell></row><row r="5834"><cell r="AA5834"><v>43323</v></cell><cell r="AB5834" t="str"><v>USA_gaPMG_AZR_AZR_Q1_19_Direct-Social</v></cell><cell r="AC5834"><v>21358715</v></cell><cell r="AD5834"><v>720197</v></cell><cell r="AE5834" t="str"><v>Facebook</v></cell><cell r="AF5834"><v>3654128</v></cell><cell r="AG5834" t="str"><v>FACEBOOK»USA-Trial-ITD-Interest Prospecting-AZR-AZR»1 x 1»SocialBan»LIA»ALL»CPA»PRO»X»NA»SS»NA»FreeAcctITProFB-AnimatedSecureMngd-Ch1»PRC1T4</v></cell><cell r="AH5834"><v>224104914</v></cell><cell r="AI5834" t="str"><v>AZR_FreeAcctITProFB-AnimatedSecureMngd-Ch1_USA_1200x1200_CAN_Direct_English_Trial_Standard_ANI_LEA_T1_1</v></cell><cell r="AJ5834"><v>103176830</v></cell></row><row r="5835"><cell r="C5835" t="str"><v>43323FACEBOOK»USA-Trial-ITD-Interest Prospecting-AZR-AZR»1 x 1»SocialBan»CAN»ALL»CPA»PRO»X»NA»SS»NA»FBCTCBenefitinMotion»PRC1SX</v></cell><cell r="D5835" t="str"><v>43323224104077</v></cell><cell r="E5835" t="str"><v>43323103032775PRC1SX</v></cell><cell r="F5835" t="str"><v>DCM</v></cell><cell r="G5835" t="str"><v>https://signup.azure.com/?OCID=AID%eexcid!_OLA_%ebuy!_%epid!_%ecid!</v></cell></row><row r="5835"><cell r="K5835" t="str"><v>August</v></cell><cell r="L5835"><v>43323</v></cell><cell r="M5835" t="str"><v>Tier 0</v></cell><cell r="N5835" t="str"><v>North America</v></cell><cell r="O5835" t="str"><v>United States</v></cell><cell r="P5835" t="str"><v>Trial</v></cell><cell r="Q5835" t="str"><v>Social</v></cell><cell r="R5835" t="str"><v>Azure</v></cell><cell r="S5835" t="str"><v>Apps & Infra</v></cell><cell r="T5835" t="str"><v>Developers & ITI's</v></cell><cell r="U5835" t="str"><v>USA-Trial-ITD-Interest Prospecting-AZR-AZR</v></cell><cell r="V5835" t="str"><v>Prospecting</v></cell><cell r="W5835" t="str"><v>Canvas Ad</v></cell><cell r="X5835" t="str"><v>1x1</v></cell></row><row r="5835"><cell r="AA5835"><v>43323</v></cell><cell r="AB5835" t="str"><v>USA_gaPMG_AZR_AZR_Q1_19_Direct-Social</v></cell><cell r="AC5835"><v>21358715</v></cell><cell r="AD5835"><v>720197</v></cell><cell r="AE5835" t="str"><v>Facebook</v></cell><cell r="AF5835"><v>3654128</v></cell><cell r="AG5835" t="str"><v>FACEBOOK»USA-Trial-ITD-Interest Prospecting-AZR-AZR»1 x 1»SocialBan»CAN»ALL»CPA»PRO»X»NA»SS»NA»FBCTCBenefitinMotion»PRC1SX</v></cell><cell r="AH5835"><v>224104077</v></cell><cell r="AI5835" t="str"><v>AzurePlatform_FBCTCBenefitinMotion_USA_10s_CAN_PLATFORM_English_Trial_Standard_STAN_TIN_T3_1</v></cell><cell r="AJ5835"><v>103032775</v></cell></row><row r="5836"><cell r="C5836" t="str"><v>43323FACEBOOK»USA-Trial-ITD-Interest Prospecting-AZR-AZR»1 x 1»SocialBan»CCA»ALL»CPA»PRO»X»NA»SS»NA»Azure Developer Facebook Collections»PRSGV0</v></cell><cell r="D5836" t="str"><v>43323225283843</v></cell><cell r="E5836" t="str"><v>43323103873631PRSGV0</v></cell><cell r="F5836" t="str"><v>DCM</v></cell><cell r="G5836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836"><cell r="K5836" t="str"><v>August</v></cell><cell r="L5836"><v>43323</v></cell><cell r="M5836" t="str"><v>Tier 0</v></cell><cell r="N5836" t="str"><v>North America</v></cell><cell r="O5836" t="str"><v>United States</v></cell><cell r="P5836" t="str"><v>Trial</v></cell><cell r="Q5836" t="str"><v>Social</v></cell><cell r="R5836" t="str"><v>Azure</v></cell><cell r="S5836" t="str"><v>Apps & Infra</v></cell><cell r="T5836" t="str"><v>Developers & ITI's</v></cell><cell r="U5836" t="str"><v>USA-Trial-ITD-Interest Prospecting-AZR-AZR</v></cell><cell r="V5836" t="str"><v>Prospecting</v></cell><cell r="W5836" t="str"><v>Canvas Collection Ad</v></cell><cell r="X5836" t="str"><v>1x1</v></cell></row><row r="5836"><cell r="AA5836"><v>43323</v></cell><cell r="AB5836" t="str"><v>USA_gaPMG_AZR_AZR_Q1_19_Direct-Social</v></cell><cell r="AC5836"><v>21358715</v></cell><cell r="AD5836"><v>720197</v></cell><cell r="AE5836" t="str"><v>Facebook</v></cell><cell r="AF5836"><v>3654128</v></cell><cell r="AG5836" t="str"><v>FACEBOOK»USA-Trial-ITD-Interest Prospecting-AZR-AZR»1 x 1»SocialBan»CCA»ALL»CPA»PRO»X»NA»SS»NA»Azure Developer Facebook Collections»PRSGV0</v></cell><cell r="AH5836"><v>225283843</v></cell><cell r="AI5836" t="str"><v>AZR_FBCollections-OSSTryAzureFreeCTA-Img3_USA_1200x182_SOC_Plat_EN_NA_Standard_NA_TIN_T1_3</v></cell><cell r="AJ5836"><v>103873631</v></cell></row><row r="5837"><cell r="C5837" t="str"><v>43323FACEBOOK»USA-Trial-ITD-Interest Prospecting-AZR-AZR»1 x 1»SocialBan»CCA»ALL»CPA»PRO»X»NA»SS»NA»Azure Developer Facebook Collections»PRSGV0</v></cell><cell r="D5837" t="str"><v>43323225283843</v></cell><cell r="E5837" t="str"><v>43323103773180PRSGV0</v></cell><cell r="F5837" t="str"><v>DCM</v></cell><cell r="G5837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837"><cell r="K5837" t="str"><v>August</v></cell><cell r="L5837"><v>43323</v></cell><cell r="M5837" t="str"><v>Tier 0</v></cell><cell r="N5837" t="str"><v>North America</v></cell><cell r="O5837" t="str"><v>United States</v></cell><cell r="P5837" t="str"><v>Trial</v></cell><cell r="Q5837" t="str"><v>Social</v></cell><cell r="R5837" t="str"><v>Azure</v></cell><cell r="S5837" t="str"><v>Apps & Infra</v></cell><cell r="T5837" t="str"><v>Developers & ITI's</v></cell><cell r="U5837" t="str"><v>USA-Trial-ITD-Interest Prospecting-AZR-AZR</v></cell><cell r="V5837" t="str"><v>Prospecting</v></cell><cell r="W5837" t="str"><v>Canvas Collection Ad</v></cell><cell r="X5837" t="str"><v>1x1</v></cell></row><row r="5837"><cell r="AA5837"><v>43323</v></cell><cell r="AB5837" t="str"><v>USA_gaPMG_AZR_AZR_Q1_19_Direct-Social</v></cell><cell r="AC5837"><v>21358715</v></cell><cell r="AD5837"><v>720197</v></cell><cell r="AE5837" t="str"><v>Facebook</v></cell><cell r="AF5837"><v>3654128</v></cell><cell r="AG5837" t="str"><v>FACEBOOK»USA-Trial-ITD-Interest Prospecting-AZR-AZR»1 x 1»SocialBan»CCA»ALL»CPA»PRO»X»NA»SS»NA»Azure Developer Facebook Collections»PRSGV0</v></cell><cell r="AH5837"><v>225283843</v></cell><cell r="AI5837" t="str"><v>AZR_FBCollections-SmartDataTryAzureFreeCTA-Img4_USA_1200x182_SOC_Plat_EN_NA_Standard_NA_TIN_T1_4</v></cell><cell r="AJ5837"><v>103773180</v></cell></row><row r="5838"><cell r="C5838" t="str"><v>43323FACEBOOK»USA-Trial-ITD-Interest Prospecting-AZR-AZR»1 x 1»SocialBan»CCA»ALL»CPA»PRO»X»NA»SS»NA»Azure Developer Facebook Collections»PRSGV0</v></cell><cell r="D5838" t="str"><v>43323225283843</v></cell><cell r="E5838" t="str"><v>43323103874423PRSGV0</v></cell><cell r="F5838" t="str"><v>DCM</v></cell><cell r="G5838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838"><cell r="K5838" t="str"><v>August</v></cell><cell r="L5838"><v>43323</v></cell><cell r="M5838" t="str"><v>Tier 0</v></cell><cell r="N5838" t="str"><v>North America</v></cell><cell r="O5838" t="str"><v>United States</v></cell><cell r="P5838" t="str"><v>Trial</v></cell><cell r="Q5838" t="str"><v>Social</v></cell><cell r="R5838" t="str"><v>Azure</v></cell><cell r="S5838" t="str"><v>Apps & Infra</v></cell><cell r="T5838" t="str"><v>Developers & ITI's</v></cell><cell r="U5838" t="str"><v>USA-Trial-ITD-Interest Prospecting-AZR-AZR</v></cell><cell r="V5838" t="str"><v>Prospecting</v></cell><cell r="W5838" t="str"><v>Canvas Collection Ad</v></cell><cell r="X5838" t="str"><v>1x1</v></cell></row><row r="5838"><cell r="AA5838"><v>43323</v></cell><cell r="AB5838" t="str"><v>USA_gaPMG_AZR_AZR_Q1_19_Direct-Social</v></cell><cell r="AC5838"><v>21358715</v></cell><cell r="AD5838"><v>720197</v></cell><cell r="AE5838" t="str"><v>Facebook</v></cell><cell r="AF5838"><v>3654128</v></cell><cell r="AG5838" t="str"><v>FACEBOOK»USA-Trial-ITD-Interest Prospecting-AZR-AZR»1 x 1»SocialBan»CCA»ALL»CPA»PRO»X»NA»SS»NA»Azure Developer Facebook Collections»PRSGV0</v></cell><cell r="AH5838"><v>225283843</v></cell><cell r="AI5838" t="str"><v>AZR_FBCollections-TryAzureFreeCTA-Img1_USA_1200x182_SOC_Plat_EN_NA_Standard_NA_TIN_T1_1</v></cell><cell r="AJ5838"><v>103874423</v></cell></row><row r="5839"><cell r="C5839" t="str"><v>43323FACEBOOK»USA-Trial-ITD-Retargeting-AZR-AZR»1 x 1»SocialBan»LIA»ALL»CPA»RT»X»NA»SS»NA»FreeAcctITProFB-AnimatedMigration-Ch3»PRC26P</v></cell><cell r="D5839" t="str"><v>43323223934056</v></cell><cell r="E5839" t="str"><v>43323103176827PRC26P</v></cell><cell r="F5839" t="str"><v>DCM</v></cell></row><row r="5839"><cell r="K5839" t="str"><v>August</v></cell><cell r="L5839"><v>43323</v></cell><cell r="M5839" t="str"><v>Tier 0</v></cell><cell r="N5839" t="str"><v>North America</v></cell><cell r="O5839" t="str"><v>United States</v></cell><cell r="P5839" t="str"><v>Trial</v></cell><cell r="Q5839" t="str"><v>Social</v></cell><cell r="R5839" t="str"><v>Azure</v></cell><cell r="S5839" t="str"><v>Apps & Infra</v></cell><cell r="T5839" t="str"><v>Developers & ITI's</v></cell><cell r="U5839" t="str"><v>USA-Trial-ITD-Retargeting-AZR-AZR</v></cell><cell r="V5839" t="str"><v>Retargeting</v></cell><cell r="W5839" t="str"><v>Link Ad</v></cell><cell r="X5839" t="str"><v>1x1</v></cell></row><row r="5839"><cell r="AA5839"><v>43323</v></cell><cell r="AB5839" t="str"><v>USA_gaPMG_AZR_AZR_Q1_19_Direct-Social</v></cell><cell r="AC5839"><v>21358715</v></cell><cell r="AD5839"><v>720197</v></cell><cell r="AE5839" t="str"><v>Facebook</v></cell><cell r="AF5839"><v>3654128</v></cell><cell r="AG5839" t="str"><v>FACEBOOK»USA-Trial-ITD-Retargeting-AZR-AZR»1 x 1»SocialBan»LIA»ALL»CPA»RT»X»NA»SS»NA»FreeAcctITProFB-AnimatedMigration-Ch3»PRC26P</v></cell><cell r="AH5839"><v>223934056</v></cell><cell r="AI5839" t="str"><v>AZR_FreeAcctITProFB-AnimatedMigration-Ch3_USA_1200x1200_CAN_Direct_English_Trial_Standard_ANI_LEA_T3_1</v></cell><cell r="AJ5839"><v>103176827</v></cell></row><row r="5840"><cell r="C5840" t="str"><v>43323FACEBOOK»USA-Trial-ITD-Retargeting-AZR-AZR»1 x 1»SocialBan»LIA»ALL»CPA»RT»X»NA»SS»NA»FreeAcctRetargetingFB-Credit-ChA»PRC1RV</v></cell><cell r="D5840" t="str"><v>43323224106075</v></cell><cell r="E5840" t="str"><v>43323103034917PRC1RV</v></cell><cell r="F5840" t="str"><v>DCM</v></cell><cell r="G5840" t="str"><v>https://azure.microsoft.com/en-us/free/search/?OCID=AID%eexcid!_OLA_%ebuy!_%epid!_%ecid!</v></cell></row><row r="5840"><cell r="K5840" t="str"><v>August</v></cell><cell r="L5840"><v>43323</v></cell><cell r="M5840" t="str"><v>Tier 0</v></cell><cell r="N5840" t="str"><v>North America</v></cell><cell r="O5840" t="str"><v>United States</v></cell><cell r="P5840" t="str"><v>Trial</v></cell><cell r="Q5840" t="str"><v>Social</v></cell><cell r="R5840" t="str"><v>Azure</v></cell><cell r="S5840" t="str"><v>Apps & Infra</v></cell><cell r="T5840" t="str"><v>Developers & ITI's</v></cell><cell r="U5840" t="str"><v>USA-Trial-ITD-Retargeting-AZR-AZR</v></cell><cell r="V5840" t="str"><v>Retargeting</v></cell><cell r="W5840" t="str"><v>Link Ad</v></cell><cell r="X5840" t="str"><v>1x1</v></cell></row><row r="5840"><cell r="AA5840"><v>43323</v></cell><cell r="AB5840" t="str"><v>USA_gaPMG_AZR_AZR_Q1_19_Direct-Social</v></cell><cell r="AC5840"><v>21358715</v></cell><cell r="AD5840"><v>720197</v></cell><cell r="AE5840" t="str"><v>Facebook</v></cell><cell r="AF5840"><v>3654128</v></cell><cell r="AG5840" t="str"><v>FACEBOOK»USA-Trial-ITD-Retargeting-AZR-AZR»1 x 1»SocialBan»LIA»ALL»CPA»RT»X»NA»SS»NA»FreeAcctRetargetingFB-Credit-ChA»PRC1RV</v></cell><cell r="AH5840"><v>224106075</v></cell><cell r="AI5840" t="str"><v>AzurePlatform_FreeAcctRetargetingFB-Credit-ChA_USA_1200x628_CAN_PLATFORM_English_Free Account_Standard_NA_SINU_T1_2</v></cell><cell r="AJ5840"><v>103034917</v></cell></row><row r="5841"><cell r="C5841" t="str"><v>43323FACEBOOK»USA-Trial-ITD-Retargeting-AZR-AZR»1 x 1»SocialBan»LIA»ALL»CPA»RT»X»NA»SS»NA»FreeAcctRetargetingFB-GlobalAlt-ChB»PRC1RW</v></cell><cell r="D5841" t="str"><v>43323223862756</v></cell><cell r="E5841" t="str"><v>43323103180592PRC1RW</v></cell><cell r="F5841" t="str"><v>DCM</v></cell><cell r="G5841" t="str"><v>https://azure.microsoft.com/en-us/free/search/?OCID=AID%eexcid!_OLA_%ebuy!_%epid!_%ecid!</v></cell></row><row r="5841"><cell r="K5841" t="str"><v>August</v></cell><cell r="L5841"><v>43323</v></cell><cell r="M5841" t="str"><v>Tier 0</v></cell><cell r="N5841" t="str"><v>North America</v></cell><cell r="O5841" t="str"><v>United States</v></cell><cell r="P5841" t="str"><v>Trial</v></cell><cell r="Q5841" t="str"><v>Social</v></cell><cell r="R5841" t="str"><v>Azure</v></cell><cell r="S5841" t="str"><v>Apps & Infra</v></cell><cell r="T5841" t="str"><v>Developers & ITI's</v></cell><cell r="U5841" t="str"><v>USA-Trial-ITD-Retargeting-AZR-AZR</v></cell><cell r="V5841" t="str"><v>Retargeting</v></cell><cell r="W5841" t="str"><v>Link Ad</v></cell><cell r="X5841" t="str"><v>1x1</v></cell></row><row r="5841"><cell r="AA5841"><v>43323</v></cell><cell r="AB5841" t="str"><v>USA_gaPMG_AZR_AZR_Q1_19_Direct-Social</v></cell><cell r="AC5841"><v>21358715</v></cell><cell r="AD5841"><v>720197</v></cell><cell r="AE5841" t="str"><v>Facebook</v></cell><cell r="AF5841"><v>3654128</v></cell><cell r="AG5841" t="str"><v>FACEBOOK»USA-Trial-ITD-Retargeting-AZR-AZR»1 x 1»SocialBan»LIA»ALL»CPA»RT»X»NA»SS»NA»FreeAcctRetargetingFB-GlobalAlt-ChB»PRC1RW</v></cell><cell r="AH5841"><v>223862756</v></cell><cell r="AI5841" t="str"><v>AzurePlatform_FreeAcctRetargetingFB-GlobalAlt-ChB_USA_1200x628_CAN_PLATFORM_English_Free Account_Standard_NA_SINU_T2_1</v></cell><cell r="AJ5841"><v>103180592</v></cell></row><row r="5842"><cell r="C5842" t="str"><v>43323FACEBOOK»USA-Trial-ITD-Retargeting-AZR-AZR»1 x 1»SocialBan»LIA»ALL»CPA»RT»X»NA»SS»NA»FreeAcctRetargetingVMFB-750Hrs-ChD»PRC1RY</v></cell><cell r="D5842" t="str"><v>43323223862747</v></cell><cell r="E5842" t="str"><v>43323103034911PRC1RY</v></cell><cell r="F5842" t="str"><v>DCM</v></cell><cell r="G5842" t="str"><v>https://azure.microsoft.com/en-us/free/virtual-machines/search/?OCID=AID%eexcid!_OLA_%ebuy!_%epid!_%ecid!</v></cell></row><row r="5842"><cell r="K5842" t="str"><v>August</v></cell><cell r="L5842"><v>43323</v></cell><cell r="M5842" t="str"><v>Tier 0</v></cell><cell r="N5842" t="str"><v>North America</v></cell><cell r="O5842" t="str"><v>United States</v></cell><cell r="P5842" t="str"><v>Trial</v></cell><cell r="Q5842" t="str"><v>Social</v></cell><cell r="R5842" t="str"><v>Azure</v></cell><cell r="S5842" t="str"><v>Apps & Infra</v></cell><cell r="T5842" t="str"><v>Developers & ITI's</v></cell><cell r="U5842" t="str"><v>USA-Trial-ITD-Retargeting-AZR-AZR</v></cell><cell r="V5842" t="str"><v>Retargeting</v></cell><cell r="W5842" t="str"><v>Link Ad</v></cell><cell r="X5842" t="str"><v>1x1</v></cell></row><row r="5842"><cell r="AA5842"><v>43323</v></cell><cell r="AB5842" t="str"><v>USA_gaPMG_AZR_AZR_Q1_19_Direct-Social</v></cell><cell r="AC5842"><v>21358715</v></cell><cell r="AD5842"><v>720197</v></cell><cell r="AE5842" t="str"><v>Facebook</v></cell><cell r="AF5842"><v>3654128</v></cell><cell r="AG5842" t="str"><v>FACEBOOK»USA-Trial-ITD-Retargeting-AZR-AZR»1 x 1»SocialBan»LIA»ALL»CPA»RT»X»NA»SS»NA»FreeAcctRetargetingVMFB-750Hrs-ChD»PRC1RY</v></cell><cell r="AH5842"><v>223862747</v></cell><cell r="AI5842" t="str"><v>AzurePlatform_FreeAcctRetargetingVMFB-750Hrs-ChD_USA_1200x628_CAN_PLATFORM_English_Free Account_Standard_NA_SINU_T1_1</v></cell><cell r="AJ5842"><v>103034911</v></cell></row><row r="5843"><cell r="C5843" t="str"><v>43323FACEBOOK»USA-Trial-ITD-Retargeting-AZR-AZR»1 x 1»SocialBan»LIA»ALL»CPA»RT»X»NA»SS»NA»FreeAcctRetargetingVMFB-OnDemand-ChE»PRC1S0</v></cell><cell r="D5843" t="str"><v>43323224104899</v></cell><cell r="E5843" t="str"><v>43323103180610PRC1S0</v></cell><cell r="F5843" t="str"><v>DCM</v></cell><cell r="G5843" t="str"><v>https://azure.microsoft.com/en-us/free/virtual-machines/search/?OCID=AID%eexcid!_OLA_%ebuy!_%epid!_%ecid!</v></cell></row><row r="5843"><cell r="K5843" t="str"><v>August</v></cell><cell r="L5843"><v>43323</v></cell><cell r="M5843" t="str"><v>Tier 0</v></cell><cell r="N5843" t="str"><v>North America</v></cell><cell r="O5843" t="str"><v>United States</v></cell><cell r="P5843" t="str"><v>Trial</v></cell><cell r="Q5843" t="str"><v>Social</v></cell><cell r="R5843" t="str"><v>Azure</v></cell><cell r="S5843" t="str"><v>Apps & Infra</v></cell><cell r="T5843" t="str"><v>Developers & ITI's</v></cell><cell r="U5843" t="str"><v>USA-Trial-ITD-Retargeting-AZR-AZR</v></cell><cell r="V5843" t="str"><v>Retargeting</v></cell><cell r="W5843" t="str"><v>Link Ad</v></cell><cell r="X5843" t="str"><v>1x1</v></cell></row><row r="5843"><cell r="AA5843"><v>43323</v></cell><cell r="AB5843" t="str"><v>USA_gaPMG_AZR_AZR_Q1_19_Direct-Social</v></cell><cell r="AC5843"><v>21358715</v></cell><cell r="AD5843"><v>720197</v></cell><cell r="AE5843" t="str"><v>Facebook</v></cell><cell r="AF5843"><v>3654128</v></cell><cell r="AG5843" t="str"><v>FACEBOOK»USA-Trial-ITD-Retargeting-AZR-AZR»1 x 1»SocialBan»LIA»ALL»CPA»RT»X»NA»SS»NA»FreeAcctRetargetingVMFB-OnDemand-ChE»PRC1S0</v></cell><cell r="AH5843"><v>224104899</v></cell><cell r="AI5843" t="str"><v>AzurePlatform_FreeAcctRetargetingVMFB-OnDemand-ChE_USA_1200x628_CAN_PLATFORM_English_Free Account_Standard_NA_SINU_T2_1</v></cell><cell r="AJ5843"><v>103180610</v></cell></row><row r="5844"><cell r="C5844" t="str"><v>43323FACEBOOK»USA-Trial-ITD-Retargeting-AZR-AZR»1 x 1»SocialBan»CAN»ALL»CPA»RT»X»NA»SS»NA»FBCTCBenefit2inMotion»PRC1RR</v></cell><cell r="D5844" t="str"><v>43323224104896</v></cell><cell r="E5844" t="str"><v>43323103043835PRC1RR</v></cell><cell r="F5844" t="str"><v>DCM</v></cell><cell r="G5844" t="str"><v>https://signup.azure.com/?OCID=AID%eexcid!_OLA_%ebuy!_%epid!_%ecid!</v></cell></row><row r="5844"><cell r="K5844" t="str"><v>August</v></cell><cell r="L5844"><v>43323</v></cell><cell r="M5844" t="str"><v>Tier 0</v></cell><cell r="N5844" t="str"><v>North America</v></cell><cell r="O5844" t="str"><v>United States</v></cell><cell r="P5844" t="str"><v>Trial</v></cell><cell r="Q5844" t="str"><v>Social</v></cell><cell r="R5844" t="str"><v>Azure</v></cell><cell r="S5844" t="str"><v>Apps & Infra</v></cell><cell r="T5844" t="str"><v>Developers & ITI's</v></cell><cell r="U5844" t="str"><v>USA-Trial-ITD-Retargeting-AZR-AZR</v></cell><cell r="V5844" t="str"><v>Retargeting</v></cell><cell r="W5844" t="str"><v>Canvas Ad</v></cell><cell r="X5844" t="str"><v>1x1</v></cell></row><row r="5844"><cell r="AA5844"><v>43323</v></cell><cell r="AB5844" t="str"><v>USA_gaPMG_AZR_AZR_Q1_19_Direct-Social</v></cell><cell r="AC5844"><v>21358715</v></cell><cell r="AD5844"><v>720197</v></cell><cell r="AE5844" t="str"><v>Facebook</v></cell><cell r="AF5844"><v>3654128</v></cell><cell r="AG5844" t="str"><v>FACEBOOK»USA-Trial-ITD-Retargeting-AZR-AZR»1 x 1»SocialBan»CAN»ALL»CPA»RT»X»NA»SS»NA»FBCTCBenefit2inMotion»PRC1RR</v></cell><cell r="AH5844"><v>224104896</v></cell><cell r="AI5844" t="str"><v>AzurePlatform_FBCTCBenefit2inMotion_USA_10s_CAN_PLATFORM_English_Trial_Standard_STAN_TIN_T4_1</v></cell><cell r="AJ5844"><v>103043835</v></cell></row><row r="5845"><cell r="C5845" t="str"><v>43323FACEBOOK»USA-Trial-ITD-Trial Lookalike-AZR-AZR»1 x 1»SocialBan»CAN»ALL»CPA»LAL»X»NA»SS»NA»FBCTCBenefit2inMotion»PRC1M0</v></cell><cell r="D5845" t="str"><v>43323223862927</v></cell><cell r="E5845" t="str"><v>43323103043835PRC1M0</v></cell><cell r="F5845" t="str"><v>DCM</v></cell><cell r="G5845" t="str"><v>https://signup.azure.com/?OCID=AID%eexcid!_OLA_%ebuy!_%epid!_%ecid!</v></cell></row><row r="5845"><cell r="K5845" t="str"><v>August</v></cell><cell r="L5845"><v>43323</v></cell><cell r="M5845" t="str"><v>Tier 0</v></cell><cell r="N5845" t="str"><v>North America</v></cell><cell r="O5845" t="str"><v>United States</v></cell><cell r="P5845" t="str"><v>Trial</v></cell><cell r="Q5845" t="str"><v>Social</v></cell><cell r="R5845" t="str"><v>Azure</v></cell><cell r="S5845" t="str"><v>Apps & Infra</v></cell><cell r="T5845" t="str"><v>Developers & ITI's</v></cell><cell r="U5845" t="str"><v>USA-Trial-ITD-Trial Lookalike-AZR-AZR</v></cell><cell r="V5845" t="str"><v>Lookalike Targeting</v></cell><cell r="W5845" t="str"><v>Canvas Ad</v></cell><cell r="X5845" t="str"><v>1x1</v></cell></row><row r="5845"><cell r="AA5845"><v>43323</v></cell><cell r="AB5845" t="str"><v>USA_gaPMG_AZR_AZR_Q1_19_Direct-Social</v></cell><cell r="AC5845"><v>21358715</v></cell><cell r="AD5845"><v>720197</v></cell><cell r="AE5845" t="str"><v>Facebook</v></cell><cell r="AF5845"><v>3654128</v></cell><cell r="AG5845" t="str"><v>FACEBOOK»USA-Trial-ITD-Trial Lookalike-AZR-AZR»1 x 1»SocialBan»CAN»ALL»CPA»LAL»X»NA»SS»NA»FBCTCBenefit2inMotion»PRC1M0</v></cell><cell r="AH5845"><v>223862927</v></cell><cell r="AI5845" t="str"><v>AzurePlatform_FBCTCBenefit2inMotion_USA_10s_CAN_PLATFORM_English_Trial_Standard_STAN_TIN_T4_1</v></cell><cell r="AJ5845"><v>103043835</v></cell></row><row r="5846"><cell r="C5846" t="str"><v>43323FACEBOOK»USA-Trial-ITD-Trial Lookalike-AZR-AZR»1 x 1»SocialBan»CAN»ALL»CPA»LAL»X»NA»SS»NA»FBCTCBenefit2inMotion»PRC1M0</v></cell><cell r="D5846" t="str"><v>43323223862927</v></cell><cell r="E5846" t="str"><v>43323103178645PRC1M0</v></cell><cell r="F5846" t="str"><v>DCM</v></cell><cell r="G5846" t="str"><v>https://azure.microsoft.com/en-us/pricing/purchase-options/?v=18.19&OCID=AID%eexcid!_OLA_%ebuy!_%epid!_%ecid!</v></cell></row><row r="5846"><cell r="K5846" t="str"><v>August</v></cell><cell r="L5846"><v>43323</v></cell><cell r="M5846" t="str"><v>Tier 0</v></cell><cell r="N5846" t="str"><v>North America</v></cell><cell r="O5846" t="str"><v>United States</v></cell><cell r="P5846" t="str"><v>Trial</v></cell><cell r="Q5846" t="str"><v>Social</v></cell><cell r="R5846" t="str"><v>Azure</v></cell><cell r="S5846" t="str"><v>Apps & Infra</v></cell><cell r="T5846" t="str"><v>Developers & ITI's</v></cell><cell r="U5846" t="str"><v>USA-Trial-ITD-Trial Lookalike-AZR-AZR</v></cell><cell r="V5846" t="str"><v>Lookalike Targeting</v></cell><cell r="W5846" t="str"><v>Canvas Ad</v></cell><cell r="X5846" t="str"><v>1x1</v></cell></row><row r="5846"><cell r="AA5846"><v>43323</v></cell><cell r="AB5846" t="str"><v>USA_gaPMG_AZR_AZR_Q1_19_Direct-Social</v></cell><cell r="AC5846"><v>21358715</v></cell><cell r="AD5846"><v>720197</v></cell><cell r="AE5846" t="str"><v>Facebook</v></cell><cell r="AF5846"><v>3654128</v></cell><cell r="AG5846" t="str"><v>FACEBOOK»USA-Trial-ITD-Trial Lookalike-AZR-AZR»1 x 1»SocialBan»CAN»ALL»CPA»LAL»X»NA»SS»NA»FBCTCBenefit2inMotion»PRC1M0</v></cell><cell r="AH5846"><v>223862927</v></cell><cell r="AI5846" t="str"><v>AzurePlatform_FBCTCBenefit2inMotion_USA_10s_CAN_PLATFORM_English_Trial_Standard_STAN_TIN_T4_2</v></cell><cell r="AJ5846"><v>103178645</v></cell></row><row r="5847"><cell r="C5847" t="str"><v>43323FACEBOOK»USA-Trial-ITD-Trial Lookalike-AZR-AZR»1 x 1»SocialBan»CAN»ALL»CPA»LAL»X»NA»SS»NA»FBCTCBenefitinMotion»PRC1M2</v></cell><cell r="D5847" t="str"><v>43323223862897</v></cell><cell r="E5847" t="str"><v>43323103032775PRC1M2</v></cell><cell r="F5847" t="str"><v>DCM</v></cell><cell r="G5847" t="str"><v>https://signup.azure.com/?OCID=AID%eexcid!_OLA_%ebuy!_%epid!_%ecid!</v></cell></row><row r="5847"><cell r="K5847" t="str"><v>August</v></cell><cell r="L5847"><v>43323</v></cell><cell r="M5847" t="str"><v>Tier 0</v></cell><cell r="N5847" t="str"><v>North America</v></cell><cell r="O5847" t="str"><v>United States</v></cell><cell r="P5847" t="str"><v>Trial</v></cell><cell r="Q5847" t="str"><v>Social</v></cell><cell r="R5847" t="str"><v>Azure</v></cell><cell r="S5847" t="str"><v>Apps & Infra</v></cell><cell r="T5847" t="str"><v>Developers & ITI's</v></cell><cell r="U5847" t="str"><v>USA-Trial-ITD-Trial Lookalike-AZR-AZR</v></cell><cell r="V5847" t="str"><v>Lookalike Targeting</v></cell><cell r="W5847" t="str"><v>Canvas Ad</v></cell><cell r="X5847" t="str"><v>1x1</v></cell></row><row r="5847"><cell r="AA5847"><v>43323</v></cell><cell r="AB5847" t="str"><v>USA_gaPMG_AZR_AZR_Q1_19_Direct-Social</v></cell><cell r="AC5847"><v>21358715</v></cell><cell r="AD5847"><v>720197</v></cell><cell r="AE5847" t="str"><v>Facebook</v></cell><cell r="AF5847"><v>3654128</v></cell><cell r="AG5847" t="str"><v>FACEBOOK»USA-Trial-ITD-Trial Lookalike-AZR-AZR»1 x 1»SocialBan»CAN»ALL»CPA»LAL»X»NA»SS»NA»FBCTCBenefitinMotion»PRC1M2</v></cell><cell r="AH5847"><v>223862897</v></cell><cell r="AI5847" t="str"><v>AzurePlatform_FBCTCBenefitinMotion_USA_10s_CAN_PLATFORM_English_Trial_Standard_STAN_TIN_T3_1</v></cell><cell r="AJ5847"><v>103032775</v></cell></row><row r="5848"><cell r="C5848" t="str"><v>43323FACEBOOK»USA-Trial-ITD-Trial Lookalike-AZR-AZR»1 x 1»SocialBan»CAN»ALL»CPA»LAL»X»NA»SS»NA»FBCTCBenefitinMotion»PRC1M2</v></cell><cell r="D5848" t="str"><v>43323223862897</v></cell><cell r="E5848" t="str"><v>43323103176836PRC1M2</v></cell><cell r="F5848" t="str"><v>DCM</v></cell><cell r="G5848" t="str"><v>https://azure.microsoft.com/en-us/pricing/purchase-options/?v=18.19&OCID=AID%eexcid!_OLA_%ebuy!_%epid!_%ecid!</v></cell></row><row r="5848"><cell r="K5848" t="str"><v>August</v></cell><cell r="L5848"><v>43323</v></cell><cell r="M5848" t="str"><v>Tier 0</v></cell><cell r="N5848" t="str"><v>North America</v></cell><cell r="O5848" t="str"><v>United States</v></cell><cell r="P5848" t="str"><v>Trial</v></cell><cell r="Q5848" t="str"><v>Social</v></cell><cell r="R5848" t="str"><v>Azure</v></cell><cell r="S5848" t="str"><v>Apps & Infra</v></cell><cell r="T5848" t="str"><v>Developers & ITI's</v></cell><cell r="U5848" t="str"><v>USA-Trial-ITD-Trial Lookalike-AZR-AZR</v></cell><cell r="V5848" t="str"><v>Lookalike Targeting</v></cell><cell r="W5848" t="str"><v>Canvas Ad</v></cell><cell r="X5848" t="str"><v>1x1</v></cell></row><row r="5848"><cell r="AA5848"><v>43323</v></cell><cell r="AB5848" t="str"><v>USA_gaPMG_AZR_AZR_Q1_19_Direct-Social</v></cell><cell r="AC5848"><v>21358715</v></cell><cell r="AD5848"><v>720197</v></cell><cell r="AE5848" t="str"><v>Facebook</v></cell><cell r="AF5848"><v>3654128</v></cell><cell r="AG5848" t="str"><v>FACEBOOK»USA-Trial-ITD-Trial Lookalike-AZR-AZR»1 x 1»SocialBan»CAN»ALL»CPA»LAL»X»NA»SS»NA»FBCTCBenefitinMotion»PRC1M2</v></cell><cell r="AH5848"><v>223862897</v></cell><cell r="AI5848" t="str"><v>AzurePlatform_FBCTCBenefitinMotion_USA_10s_CAN_PLATFORM_English_Trial_Standard_STAN_TIN_T3_2</v></cell><cell r="AJ5848"><v>103176836</v></cell></row><row r="5849"><cell r="C5849" t="str"><v>43323FACEBOOK»USA-Trial-ITD-Trial Lookalike-AZR-AZR»1 x 1»SocialBan»LIA»ALL»CPA»LAL»X»NA»SS»NA»FreeAcctDeveloperFB-AnimatedData-Ch4»PRC1M8</v></cell><cell r="D5849" t="str"><v>43323223862933</v></cell><cell r="E5849" t="str"><v>43323103037935PRC1M8</v></cell><cell r="F5849" t="str"><v>DCM</v></cell></row><row r="5849"><cell r="K5849" t="str"><v>August</v></cell><cell r="L5849"><v>43323</v></cell><cell r="M5849" t="str"><v>Tier 0</v></cell><cell r="N5849" t="str"><v>North America</v></cell><cell r="O5849" t="str"><v>United States</v></cell><cell r="P5849" t="str"><v>Trial</v></cell><cell r="Q5849" t="str"><v>Social</v></cell><cell r="R5849" t="str"><v>Azure</v></cell><cell r="S5849" t="str"><v>Apps & Infra</v></cell><cell r="T5849" t="str"><v>Developers & ITI's</v></cell><cell r="U5849" t="str"><v>USA-Trial-ITD-Trial Lookalike-AZR-AZR</v></cell><cell r="V5849" t="str"><v>Lookalike Targeting</v></cell><cell r="W5849" t="str"><v>Link Ad</v></cell><cell r="X5849" t="str"><v>1x1</v></cell></row><row r="5849"><cell r="AA5849"><v>43323</v></cell><cell r="AB5849" t="str"><v>USA_gaPMG_AZR_AZR_Q1_19_Direct-Social</v></cell><cell r="AC5849"><v>21358715</v></cell><cell r="AD5849"><v>720197</v></cell><cell r="AE5849" t="str"><v>Facebook</v></cell><cell r="AF5849"><v>3654128</v></cell><cell r="AG5849" t="str"><v>FACEBOOK»USA-Trial-ITD-Trial Lookalike-AZR-AZR»1 x 1»SocialBan»LIA»ALL»CPA»LAL»X»NA»SS»NA»FreeAcctDeveloperFB-AnimatedData-Ch4»PRC1M8</v></cell><cell r="AH5849"><v>223862933</v></cell><cell r="AI5849" t="str"><v>AZR_FreeAcctDeveloperFB-AnimatedData-Ch4_USA_1200x1200_CAN_Direct_English_Trial_Standard_ANI_LEA_T4_2</v></cell><cell r="AJ5849"><v>103037935</v></cell></row><row r="5850"><cell r="C5850" t="str"><v>43323FACEBOOK»USA-Trial-ITD-Trial Lookalike-AZR-AZR»1 x 1»SocialBan»CAN»ALL»CPA»LAL»X»NA»SS»NA»FBCTCBrandinMotion»PRC1M3</v></cell><cell r="D5850" t="str"><v>43323223862900</v></cell><cell r="E5850" t="str"><v>43323103176812PRC1M3</v></cell><cell r="F5850" t="str"><v>DCM</v></cell><cell r="G5850" t="str"><v>https://signup.azure.com/?OCID=AID%eexcid!_OLA_%ebuy!_%epid!_%ecid!</v></cell></row><row r="5850"><cell r="K5850" t="str"><v>August</v></cell><cell r="L5850"><v>43323</v></cell><cell r="M5850" t="str"><v>Tier 0</v></cell><cell r="N5850" t="str"><v>North America</v></cell><cell r="O5850" t="str"><v>United States</v></cell><cell r="P5850" t="str"><v>Trial</v></cell><cell r="Q5850" t="str"><v>Social</v></cell><cell r="R5850" t="str"><v>Azure</v></cell><cell r="S5850" t="str"><v>Apps & Infra</v></cell><cell r="T5850" t="str"><v>Developers & ITI's</v></cell><cell r="U5850" t="str"><v>USA-Trial-ITD-Trial Lookalike-AZR-AZR</v></cell><cell r="V5850" t="str"><v>Lookalike Targeting</v></cell><cell r="W5850" t="str"><v>Canvas Ad</v></cell><cell r="X5850" t="str"><v>1x1</v></cell></row><row r="5850"><cell r="AA5850"><v>43323</v></cell><cell r="AB5850" t="str"><v>USA_gaPMG_AZR_AZR_Q1_19_Direct-Social</v></cell><cell r="AC5850"><v>21358715</v></cell><cell r="AD5850"><v>720197</v></cell><cell r="AE5850" t="str"><v>Facebook</v></cell><cell r="AF5850"><v>3654128</v></cell><cell r="AG5850" t="str"><v>FACEBOOK»USA-Trial-ITD-Trial Lookalike-AZR-AZR»1 x 1»SocialBan»CAN»ALL»CPA»LAL»X»NA»SS»NA»FBCTCBrandinMotion»PRC1M3</v></cell><cell r="AH5850"><v>223862900</v></cell><cell r="AI5850" t="str"><v>AzurePlatform_FBCTCBrandinMotion_USA_10s_CAN_PLATFORM_English_Trial_Standard_STAN_TIN_T2_1</v></cell><cell r="AJ5850"><v>103176812</v></cell></row><row r="5851"><cell r="C5851" t="str"><v>43323FACEBOOK»USA-Trial-ITD-Trial Lookalike-AZR-AZR»1 x 1»SocialBan»CAN»ALL»CPA»LAL»X»NA»SS»NA»FBCTCBrandinMotion»PRC1M3</v></cell><cell r="D5851" t="str"><v>43323223862900</v></cell><cell r="E5851" t="str"><v>43323103032823PRC1M3</v></cell><cell r="F5851" t="str"><v>DCM</v></cell><cell r="G5851" t="str"><v>https://azure.microsoft.com/en-us/pricing/purchase-options/?v=18.19&OCID=AID%eexcid!_OLA_%ebuy!_%epid!_%ecid!</v></cell></row><row r="5851"><cell r="K5851" t="str"><v>August</v></cell><cell r="L5851"><v>43323</v></cell><cell r="M5851" t="str"><v>Tier 0</v></cell><cell r="N5851" t="str"><v>North America</v></cell><cell r="O5851" t="str"><v>United States</v></cell><cell r="P5851" t="str"><v>Trial</v></cell><cell r="Q5851" t="str"><v>Social</v></cell><cell r="R5851" t="str"><v>Azure</v></cell><cell r="S5851" t="str"><v>Apps & Infra</v></cell><cell r="T5851" t="str"><v>Developers & ITI's</v></cell><cell r="U5851" t="str"><v>USA-Trial-ITD-Trial Lookalike-AZR-AZR</v></cell><cell r="V5851" t="str"><v>Lookalike Targeting</v></cell><cell r="W5851" t="str"><v>Canvas Ad</v></cell><cell r="X5851" t="str"><v>1x1</v></cell></row><row r="5851"><cell r="AA5851"><v>43323</v></cell><cell r="AB5851" t="str"><v>USA_gaPMG_AZR_AZR_Q1_19_Direct-Social</v></cell><cell r="AC5851"><v>21358715</v></cell><cell r="AD5851"><v>720197</v></cell><cell r="AE5851" t="str"><v>Facebook</v></cell><cell r="AF5851"><v>3654128</v></cell><cell r="AG5851" t="str"><v>FACEBOOK»USA-Trial-ITD-Trial Lookalike-AZR-AZR»1 x 1»SocialBan»CAN»ALL»CPA»LAL»X»NA»SS»NA»FBCTCBrandinMotion»PRC1M3</v></cell><cell r="AH5851"><v>223862900</v></cell><cell r="AI5851" t="str"><v>AzurePlatform_FBCTCBrandinMotion_USA_10s_CAN_PLATFORM_English_Trial_Standard_STAN_TIN_T2_2</v></cell><cell r="AJ5851"><v>103032823</v></cell></row><row r="5852"><cell r="C5852" t="str"><v>43323FACEBOOK»USA-Trial-ITD-Trial PayGo Lookalike-AZR-AZR»1 x 1»SocialBan»CAN»ALL»CPA»LAL»X»NA»SS»NA»FBCTCBrandinMotion»PRC1Q3</v></cell><cell r="D5852" t="str"><v>43323223935349</v></cell><cell r="E5852" t="str"><v>43323103176812PRC1Q3</v></cell><cell r="F5852" t="str"><v>DCM</v></cell><cell r="G5852" t="str"><v>https://signup.azure.com/?OCID=AID%eexcid!_OLA_%ebuy!_%epid!_%ecid!</v></cell></row><row r="5852"><cell r="K5852" t="str"><v>August</v></cell><cell r="L5852"><v>43323</v></cell><cell r="M5852" t="str"><v>Tier 0</v></cell><cell r="N5852" t="str"><v>North America</v></cell><cell r="O5852" t="str"><v>United States</v></cell><cell r="P5852" t="str"><v>Trial</v></cell><cell r="Q5852" t="str"><v>Social</v></cell><cell r="R5852" t="str"><v>Azure</v></cell><cell r="S5852" t="str"><v>Apps & Infra</v></cell><cell r="T5852" t="str"><v>Developers & ITI's</v></cell><cell r="U5852" t="str"><v>USA-Trial-ITD-Trial PayGo Lookalike-AZR-AZR</v></cell><cell r="V5852" t="str"><v>Lookalike Targeting</v></cell><cell r="W5852" t="str"><v>Canvas Ad</v></cell><cell r="X5852" t="str"><v>1x1</v></cell></row><row r="5852"><cell r="AA5852"><v>43323</v></cell><cell r="AB5852" t="str"><v>USA_gaPMG_AZR_AZR_Q1_19_Direct-Social</v></cell><cell r="AC5852"><v>21358715</v></cell><cell r="AD5852"><v>720197</v></cell><cell r="AE5852" t="str"><v>Facebook</v></cell><cell r="AF5852"><v>3654128</v></cell><cell r="AG5852" t="str"><v>FACEBOOK»USA-Trial-ITD-Trial PayGo Lookalike-AZR-AZR»1 x 1»SocialBan»CAN»ALL»CPA»LAL»X»NA»SS»NA»FBCTCBrandinMotion»PRC1Q3</v></cell><cell r="AH5852"><v>223935349</v></cell><cell r="AI5852" t="str"><v>AzurePlatform_FBCTCBrandinMotion_USA_10s_CAN_PLATFORM_English_Trial_Standard_STAN_TIN_T2_1</v></cell><cell r="AJ5852"><v>103176812</v></cell></row><row r="5853"><cell r="C5853" t="str"><v>43323FACEBOOK»USA-Trial-ITD-Trial PayGo Lookalike-AZR-AZR»1 x 1»SocialBan»CAN»ALL»CPA»LAL»X»NA»SS»NA»FBCTCBrandinMotion»PRC1Q3</v></cell><cell r="D5853" t="str"><v>43323223935349</v></cell><cell r="E5853" t="str"><v>43323103032823PRC1Q3</v></cell><cell r="F5853" t="str"><v>DCM</v></cell><cell r="G5853" t="str"><v>https://azure.microsoft.com/en-us/pricing/purchase-options/?v=18.19&OCID=AID%eexcid!_OLA_%ebuy!_%epid!_%ecid!</v></cell></row><row r="5853"><cell r="K5853" t="str"><v>August</v></cell><cell r="L5853"><v>43323</v></cell><cell r="M5853" t="str"><v>Tier 0</v></cell><cell r="N5853" t="str"><v>North America</v></cell><cell r="O5853" t="str"><v>United States</v></cell><cell r="P5853" t="str"><v>Trial</v></cell><cell r="Q5853" t="str"><v>Social</v></cell><cell r="R5853" t="str"><v>Azure</v></cell><cell r="S5853" t="str"><v>Apps & Infra</v></cell><cell r="T5853" t="str"><v>Developers & ITI's</v></cell><cell r="U5853" t="str"><v>USA-Trial-ITD-Trial PayGo Lookalike-AZR-AZR</v></cell><cell r="V5853" t="str"><v>Lookalike Targeting</v></cell><cell r="W5853" t="str"><v>Canvas Ad</v></cell><cell r="X5853" t="str"><v>1x1</v></cell></row><row r="5853"><cell r="AA5853"><v>43323</v></cell><cell r="AB5853" t="str"><v>USA_gaPMG_AZR_AZR_Q1_19_Direct-Social</v></cell><cell r="AC5853"><v>21358715</v></cell><cell r="AD5853"><v>720197</v></cell><cell r="AE5853" t="str"><v>Facebook</v></cell><cell r="AF5853"><v>3654128</v></cell><cell r="AG5853" t="str"><v>FACEBOOK»USA-Trial-ITD-Trial PayGo Lookalike-AZR-AZR»1 x 1»SocialBan»CAN»ALL»CPA»LAL»X»NA»SS»NA»FBCTCBrandinMotion»PRC1Q3</v></cell><cell r="AH5853"><v>223935349</v></cell><cell r="AI5853" t="str"><v>AzurePlatform_FBCTCBrandinMotion_USA_10s_CAN_PLATFORM_English_Trial_Standard_STAN_TIN_T2_2</v></cell><cell r="AJ5853"><v>103032823</v></cell></row><row r="5854"><cell r="C5854" t="str"><v>43323FACEBOOK»USA-Trial-ITD-Trial PayGo Lookalike-AZR-AZR»1 x 1»SocialBan»CAN»ALL»CPA»LAL»X»NA»SS»NA»FBCTCBenefitinMotion»PRC1Q2</v></cell><cell r="D5854" t="str"><v>43323223862960</v></cell><cell r="E5854" t="str"><v>43323103032775PRC1Q2</v></cell><cell r="F5854" t="str"><v>DCM</v></cell><cell r="G5854" t="str"><v>https://signup.azure.com/?OCID=AID%eexcid!_OLA_%ebuy!_%epid!_%ecid!</v></cell></row><row r="5854"><cell r="K5854" t="str"><v>August</v></cell><cell r="L5854"><v>43323</v></cell><cell r="M5854" t="str"><v>Tier 0</v></cell><cell r="N5854" t="str"><v>North America</v></cell><cell r="O5854" t="str"><v>United States</v></cell><cell r="P5854" t="str"><v>Trial</v></cell><cell r="Q5854" t="str"><v>Social</v></cell><cell r="R5854" t="str"><v>Azure</v></cell><cell r="S5854" t="str"><v>Apps & Infra</v></cell><cell r="T5854" t="str"><v>Developers & ITI's</v></cell><cell r="U5854" t="str"><v>USA-Trial-ITD-Trial PayGo Lookalike-AZR-AZR</v></cell><cell r="V5854" t="str"><v>Lookalike Targeting</v></cell><cell r="W5854" t="str"><v>Canvas Ad</v></cell><cell r="X5854" t="str"><v>1x1</v></cell></row><row r="5854"><cell r="AA5854"><v>43323</v></cell><cell r="AB5854" t="str"><v>USA_gaPMG_AZR_AZR_Q1_19_Direct-Social</v></cell><cell r="AC5854"><v>21358715</v></cell><cell r="AD5854"><v>720197</v></cell><cell r="AE5854" t="str"><v>Facebook</v></cell><cell r="AF5854"><v>3654128</v></cell><cell r="AG5854" t="str"><v>FACEBOOK»USA-Trial-ITD-Trial PayGo Lookalike-AZR-AZR»1 x 1»SocialBan»CAN»ALL»CPA»LAL»X»NA»SS»NA»FBCTCBenefitinMotion»PRC1Q2</v></cell><cell r="AH5854"><v>223862960</v></cell><cell r="AI5854" t="str"><v>AzurePlatform_FBCTCBenefitinMotion_USA_10s_CAN_PLATFORM_English_Trial_Standard_STAN_TIN_T3_1</v></cell><cell r="AJ5854"><v>103032775</v></cell></row><row r="5855"><cell r="C5855" t="str"><v>43323FACEBOOK»USA-Trial-ITD-Trial PayGo Lookalike-AZR-AZR»1 x 1»SocialBan»LIA»ALL»CPA»LAL»X»NA»SS»NA»FreeAcctDeveloperFB-AnimatedGeneric-Ch1»PRC1Q6</v></cell><cell r="D5855" t="str"><v>43323224106129</v></cell><cell r="E5855" t="str"><v>43323103176851PRC1Q6</v></cell><cell r="F5855" t="str"><v>DCM</v></cell><cell r="G5855" t="str"><v>https://azure.microsoft.com/en-us/free/search/?OCID=AID%eexcid!_OLA_%ebuy!_%epid!_%ecid!</v></cell></row><row r="5855"><cell r="K5855" t="str"><v>August</v></cell><cell r="L5855"><v>43323</v></cell><cell r="M5855" t="str"><v>Tier 0</v></cell><cell r="N5855" t="str"><v>North America</v></cell><cell r="O5855" t="str"><v>United States</v></cell><cell r="P5855" t="str"><v>Trial</v></cell><cell r="Q5855" t="str"><v>Social</v></cell><cell r="R5855" t="str"><v>Azure</v></cell><cell r="S5855" t="str"><v>Apps & Infra</v></cell><cell r="T5855" t="str"><v>Developers & ITI's</v></cell><cell r="U5855" t="str"><v>USA-Trial-ITD-Trial PayGo Lookalike-AZR-AZR</v></cell><cell r="V5855" t="str"><v>Lookalike Targeting</v></cell><cell r="W5855" t="str"><v>Link Ad</v></cell><cell r="X5855" t="str"><v>1x1</v></cell></row><row r="5855"><cell r="AA5855"><v>43323</v></cell><cell r="AB5855" t="str"><v>USA_gaPMG_AZR_AZR_Q1_19_Direct-Social</v></cell><cell r="AC5855"><v>21358715</v></cell><cell r="AD5855"><v>720197</v></cell><cell r="AE5855" t="str"><v>Facebook</v></cell><cell r="AF5855"><v>3654128</v></cell><cell r="AG5855" t="str"><v>FACEBOOK»USA-Trial-ITD-Trial PayGo Lookalike-AZR-AZR»1 x 1»SocialBan»LIA»ALL»CPA»LAL»X»NA»SS»NA»FreeAcctDeveloperFB-AnimatedGeneric-Ch1»PRC1Q6</v></cell><cell r="AH5855"><v>224106129</v></cell><cell r="AI5855" t="str"><v>AZR_FreeAcctDeveloperFB-AnimatedGeneric-Ch1_USA_1200x1200_CAN_Direct_English_Trial_Standard_ANI_LEA_T1_2</v></cell><cell r="AJ5855"><v>103176851</v></cell></row><row r="5856"><cell r="C5856" t="str"><v>43323FACEBOOK»USA-Trial-ITD-Trial PayGo Lookalike-AZR-AZR»1 x 1»SocialBan»CCA»ALL»CPA»LAL»X»NA»SS»NA»Azure Developer Facebook Collections»PRSH6K</v></cell><cell r="D5856" t="str"><v>43323225217676</v></cell><cell r="E5856" t="str"><v>43323103874423PRSH6K</v></cell><cell r="F5856" t="str"><v>DCM</v></cell><cell r="G5856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856"><cell r="K5856" t="str"><v>August</v></cell><cell r="L5856"><v>43323</v></cell><cell r="M5856" t="str"><v>Tier 0</v></cell><cell r="N5856" t="str"><v>North America</v></cell><cell r="O5856" t="str"><v>United States</v></cell><cell r="P5856" t="str"><v>Trial</v></cell><cell r="Q5856" t="str"><v>Social</v></cell><cell r="R5856" t="str"><v>Azure</v></cell><cell r="S5856" t="str"><v>Apps & Infra</v></cell><cell r="T5856" t="str"><v>Developers & ITI's</v></cell><cell r="U5856" t="str"><v>USA-Trial-ITD-Trial PayGo Lookalike-AZR-AZR</v></cell><cell r="V5856" t="str"><v>Lookalike Targeting</v></cell><cell r="W5856" t="str"><v>Canvas Collection Ad</v></cell><cell r="X5856" t="str"><v>1x1</v></cell></row><row r="5856"><cell r="AA5856"><v>43323</v></cell><cell r="AB5856" t="str"><v>USA_gaPMG_AZR_AZR_Q1_19_Direct-Social</v></cell><cell r="AC5856"><v>21358715</v></cell><cell r="AD5856"><v>720197</v></cell><cell r="AE5856" t="str"><v>Facebook</v></cell><cell r="AF5856"><v>3654128</v></cell><cell r="AG5856" t="str"><v>FACEBOOK»USA-Trial-ITD-Trial PayGo Lookalike-AZR-AZR»1 x 1»SocialBan»CCA»ALL»CPA»LAL»X»NA»SS»NA»Azure Developer Facebook Collections»PRSH6K</v></cell><cell r="AH5856"><v>225217676</v></cell><cell r="AI5856" t="str"><v>AZR_FBCollections-TryAzureFreeCTA-Img1_USA_1200x182_SOC_Plat_EN_NA_Standard_NA_TIN_T1_1</v></cell><cell r="AJ5856"><v>103874423</v></cell></row><row r="5857"><cell r="C5857" t="str"><v>43323FACEBOOK»USA-Trial-ITD-Retargeting-AZR-AZR»1 x 1»SocialBan»CCA»ALL»CPA»RT»X»NA»SS»NA»Azure Developer Facebook Collections»PRSGY7</v></cell><cell r="D5857" t="str"><v>43323225283585</v></cell><cell r="E5857" t="str"><v>43323103874423PRSGY7</v></cell><cell r="F5857" t="str"><v>DCM</v></cell><cell r="G5857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857"><cell r="K5857" t="str"><v>August</v></cell><cell r="L5857"><v>43323</v></cell><cell r="M5857" t="str"><v>Tier 0</v></cell><cell r="N5857" t="str"><v>North America</v></cell><cell r="O5857" t="str"><v>United States</v></cell><cell r="P5857" t="str"><v>Trial</v></cell><cell r="Q5857" t="str"><v>Social</v></cell><cell r="R5857" t="str"><v>Azure</v></cell><cell r="S5857" t="str"><v>Apps & Infra</v></cell><cell r="T5857" t="str"><v>Developers & ITI's</v></cell><cell r="U5857" t="str"><v>USA-Trial-ITD-Retargeting-AZR-AZR</v></cell><cell r="V5857" t="str"><v>Retargeting</v></cell><cell r="W5857" t="str"><v>Canvas Collection Ad</v></cell><cell r="X5857" t="str"><v>1x1</v></cell></row><row r="5857"><cell r="AA5857"><v>43323</v></cell><cell r="AB5857" t="str"><v>USA_gaPMG_AZR_AZR_Q1_19_Direct-Social</v></cell><cell r="AC5857"><v>21358715</v></cell><cell r="AD5857"><v>720197</v></cell><cell r="AE5857" t="str"><v>Facebook</v></cell><cell r="AF5857"><v>3654128</v></cell><cell r="AG5857" t="str"><v>FACEBOOK»USA-Trial-ITD-Retargeting-AZR-AZR»1 x 1»SocialBan»CCA»ALL»CPA»RT»X»NA»SS»NA»Azure Developer Facebook Collections»PRSGY7</v></cell><cell r="AH5857"><v>225283585</v></cell><cell r="AI5857" t="str"><v>AZR_FBCollections-TryAzureFreeCTA-Img1_USA_1200x182_SOC_Plat_EN_NA_Standard_NA_TIN_T1_1</v></cell><cell r="AJ5857"><v>103874423</v></cell></row><row r="5858"><cell r="C5858" t="str"><v>43323INSTAGRAM»USA-Trial-ITD-Interest Prospecting-AZR-AZR»1 x 1»SocialBan»CAN»ALL»CPA»PRO»X»NA»SS»NA»IGCTCBenefit2inMotion»PRC2PD</v></cell><cell r="D5858" t="str"><v>43323223933084</v></cell><cell r="E5858" t="str"><v>43323103180628PRC2PD</v></cell><cell r="F5858" t="str"><v>DCM</v></cell><cell r="G5858" t="str"><v>https://signup.azure.com/?OCID=AID%eexcid!_OLA_%ebuy!_%epid!_%ecid!</v></cell></row><row r="5858"><cell r="K5858" t="str"><v>August</v></cell><cell r="L5858"><v>43323</v></cell><cell r="M5858" t="str"><v>Tier 0</v></cell><cell r="N5858" t="str"><v>North America</v></cell><cell r="O5858" t="str"><v>United States</v></cell><cell r="P5858" t="str"><v>Trial</v></cell><cell r="Q5858" t="str"><v>Social</v></cell><cell r="R5858" t="str"><v>Azure</v></cell><cell r="S5858" t="str"><v>Apps & Infra</v></cell><cell r="T5858" t="str"><v>Developers & ITI's</v></cell><cell r="U5858" t="str"><v>USA-Trial-ITD-Interest Prospecting-AZR-AZR</v></cell><cell r="V5858" t="str"><v>Prospecting</v></cell><cell r="W5858" t="str"><v>Canvas Ad</v></cell><cell r="X5858" t="str"><v>1x1</v></cell></row><row r="5858"><cell r="AA5858"><v>43323</v></cell><cell r="AB5858" t="str"><v>USA_gaPMG_AZR_AZR_Q1_19_Direct-Social</v></cell><cell r="AC5858"><v>21358715</v></cell><cell r="AD5858"><v>720197</v></cell><cell r="AE5858" t="str"><v>Facebook - Instagram</v></cell><cell r="AF5858"><v>3654128</v></cell><cell r="AG5858" t="str"><v>INSTAGRAM»USA-Trial-ITD-Interest Prospecting-AZR-AZR»1 x 1»SocialBan»CAN»ALL»CPA»PRO»X»NA»SS»NA»IGCTCBenefit2inMotion»PRC2PD</v></cell><cell r="AH5858"><v>223933084</v></cell><cell r="AI5858" t="str"><v>AzurePlatform_IGCTCBrandinMotion_USA_10s_CAN_PLATFORM_English_Trial_Standard_STAN_TIN_T2_1</v></cell><cell r="AJ5858"><v>103180628</v></cell></row><row r="5859"><cell r="C5859" t="str"><v>43323INSTAGRAM»USA-Trial-ITD-Interest Prospecting-AZR-AZR»1 x 1»SocialBan»CAN»ALL»CPA»PRO»X»NA»SS»NA»IGCTCBrandinMotion»PRC2PB</v></cell><cell r="D5859" t="str"><v>43323223862690</v></cell><cell r="E5859" t="str"><v>43323103050783PRC2PB</v></cell><cell r="F5859" t="str"><v>DCM</v></cell><cell r="G5859" t="str"><v>https://signup.azure.com/?OCID=AID%eexcid!_OLA_%ebuy!_%epid!_%ecid!</v></cell></row><row r="5859"><cell r="K5859" t="str"><v>August</v></cell><cell r="L5859"><v>43323</v></cell><cell r="M5859" t="str"><v>Tier 0</v></cell><cell r="N5859" t="str"><v>North America</v></cell><cell r="O5859" t="str"><v>United States</v></cell><cell r="P5859" t="str"><v>Trial</v></cell><cell r="Q5859" t="str"><v>Social</v></cell><cell r="R5859" t="str"><v>Azure</v></cell><cell r="S5859" t="str"><v>Apps & Infra</v></cell><cell r="T5859" t="str"><v>Developers & ITI's</v></cell><cell r="U5859" t="str"><v>USA-Trial-ITD-Interest Prospecting-AZR-AZR</v></cell><cell r="V5859" t="str"><v>Prospecting</v></cell><cell r="W5859" t="str"><v>Canvas Ad</v></cell><cell r="X5859" t="str"><v>1x1</v></cell></row><row r="5859"><cell r="AA5859"><v>43323</v></cell><cell r="AB5859" t="str"><v>USA_gaPMG_AZR_AZR_Q1_19_Direct-Social</v></cell><cell r="AC5859"><v>21358715</v></cell><cell r="AD5859"><v>720197</v></cell><cell r="AE5859" t="str"><v>Facebook - Instagram</v></cell><cell r="AF5859"><v>3654128</v></cell><cell r="AG5859" t="str"><v>INSTAGRAM»USA-Trial-ITD-Interest Prospecting-AZR-AZR»1 x 1»SocialBan»CAN»ALL»CPA»PRO»X»NA»SS»NA»IGCTCBrandinMotion»PRC2PB</v></cell><cell r="AH5859"><v>223862690</v></cell><cell r="AI5859" t="str"><v>AzurePlatform_IGCTCBenefit2inMotion_USA_10s_CAN_PLATFORM_English_Trial_Standard_STAN_TIN_T4_1</v></cell><cell r="AJ5859"><v>103050783</v></cell></row><row r="5860"><cell r="C5860" t="str"><v>43323INSTAGRAM»USA-Trial-ITD-Interest Prospecting-AZR-AZR»1 x 1»SocialBan»CAN»ALL»CPA»PRO»X»NA»SS»NA»IGCTCBrandinMotion»PRC2PB</v></cell><cell r="D5860" t="str"><v>43323223862690</v></cell><cell r="E5860" t="str"><v>43323103178714PRC2PB</v></cell><cell r="F5860" t="str"><v>DCM</v></cell><cell r="G5860" t="str"><v>https://azure.microsoft.com/en-us/pricing/purchase-options/?v=18.19&OCID=AID%eexcid!_OLA_%ebuy!_%epid!_%ecid!</v></cell></row><row r="5860"><cell r="K5860" t="str"><v>August</v></cell><cell r="L5860"><v>43323</v></cell><cell r="M5860" t="str"><v>Tier 0</v></cell><cell r="N5860" t="str"><v>North America</v></cell><cell r="O5860" t="str"><v>United States</v></cell><cell r="P5860" t="str"><v>Trial</v></cell><cell r="Q5860" t="str"><v>Social</v></cell><cell r="R5860" t="str"><v>Azure</v></cell><cell r="S5860" t="str"><v>Apps & Infra</v></cell><cell r="T5860" t="str"><v>Developers & ITI's</v></cell><cell r="U5860" t="str"><v>USA-Trial-ITD-Interest Prospecting-AZR-AZR</v></cell><cell r="V5860" t="str"><v>Prospecting</v></cell><cell r="W5860" t="str"><v>Canvas Ad</v></cell><cell r="X5860" t="str"><v>1x1</v></cell></row><row r="5860"><cell r="AA5860"><v>43323</v></cell><cell r="AB5860" t="str"><v>USA_gaPMG_AZR_AZR_Q1_19_Direct-Social</v></cell><cell r="AC5860"><v>21358715</v></cell><cell r="AD5860"><v>720197</v></cell><cell r="AE5860" t="str"><v>Facebook - Instagram</v></cell><cell r="AF5860"><v>3654128</v></cell><cell r="AG5860" t="str"><v>INSTAGRAM»USA-Trial-ITD-Interest Prospecting-AZR-AZR»1 x 1»SocialBan»CAN»ALL»CPA»PRO»X»NA»SS»NA»IGCTCBrandinMotion»PRC2PB</v></cell><cell r="AH5860"><v>223862690</v></cell><cell r="AI5860" t="str"><v>AzurePlatform_IGCTCBenefit2inMotion_USA_10s_CAN_PLATFORM_English_Trial_Standard_STAN_TIN_T4_2</v></cell><cell r="AJ5860"><v>103178714</v></cell></row><row r="5861"><cell r="C5861" t="str"><v>43323INSTAGRAM»USA-Trial-ITD-Trial Lookalike-AZR-AZR»1 x 1»SocialBan»CAN»ALL»CPA»LAL»X»NA»SS»NA»IGCTCBenefit2inMotion»PRC2FL</v></cell><cell r="D5861" t="str"><v>43323223935022</v></cell><cell r="E5861" t="str"><v>43323103180628PRC2FL</v></cell><cell r="F5861" t="str"><v>DCM</v></cell><cell r="G5861" t="str"><v>https://signup.azure.com/?OCID=AID%eexcid!_OLA_%ebuy!_%epid!_%ecid!</v></cell></row><row r="5861"><cell r="K5861" t="str"><v>August</v></cell><cell r="L5861"><v>43323</v></cell><cell r="M5861" t="str"><v>Tier 0</v></cell><cell r="N5861" t="str"><v>North America</v></cell><cell r="O5861" t="str"><v>United States</v></cell><cell r="P5861" t="str"><v>Trial</v></cell><cell r="Q5861" t="str"><v>Social</v></cell><cell r="R5861" t="str"><v>Azure</v></cell><cell r="S5861" t="str"><v>Apps & Infra</v></cell><cell r="T5861" t="str"><v>Developers & ITI's</v></cell><cell r="U5861" t="str"><v>USA-Trial-ITD-Trial Lookalike-AZR-AZR</v></cell><cell r="V5861" t="str"><v>Lookalike Targeting</v></cell><cell r="W5861" t="str"><v>Canvas Ad</v></cell><cell r="X5861" t="str"><v>1x1</v></cell></row><row r="5861"><cell r="AA5861"><v>43323</v></cell><cell r="AB5861" t="str"><v>USA_gaPMG_AZR_AZR_Q1_19_Direct-Social</v></cell><cell r="AC5861"><v>21358715</v></cell><cell r="AD5861"><v>720197</v></cell><cell r="AE5861" t="str"><v>Facebook - Instagram</v></cell><cell r="AF5861"><v>3654128</v></cell><cell r="AG5861" t="str"><v>INSTAGRAM»USA-Trial-ITD-Trial Lookalike-AZR-AZR»1 x 1»SocialBan»CAN»ALL»CPA»LAL»X»NA»SS»NA»IGCTCBenefit2inMotion»PRC2FL</v></cell><cell r="AH5861"><v>223935022</v></cell><cell r="AI5861" t="str"><v>AzurePlatform_IGCTCBrandinMotion_USA_10s_CAN_PLATFORM_English_Trial_Standard_STAN_TIN_T2_1</v></cell><cell r="AJ5861"><v>103180628</v></cell></row><row r="5862"><cell r="C5862" t="str"><v>43323INSTAGRAM»USA-Trial-ITD-Trial Lookalike-AZR-AZR»1 x 1»SocialBan»CAN»ALL»CPA»LAL»X»NA»SS»NA»IGCTCBrandinMotion»PRC2FH</v></cell><cell r="D5862" t="str"><v>43323223935019</v></cell><cell r="E5862" t="str"><v>43323103050783PRC2FH</v></cell><cell r="F5862" t="str"><v>DCM</v></cell><cell r="G5862" t="str"><v>https://signup.azure.com/?OCID=AID%eexcid!_OLA_%ebuy!_%epid!_%ecid!</v></cell></row><row r="5862"><cell r="K5862" t="str"><v>August</v></cell><cell r="L5862"><v>43323</v></cell><cell r="M5862" t="str"><v>Tier 0</v></cell><cell r="N5862" t="str"><v>North America</v></cell><cell r="O5862" t="str"><v>United States</v></cell><cell r="P5862" t="str"><v>Trial</v></cell><cell r="Q5862" t="str"><v>Social</v></cell><cell r="R5862" t="str"><v>Azure</v></cell><cell r="S5862" t="str"><v>Apps & Infra</v></cell><cell r="T5862" t="str"><v>Developers & ITI's</v></cell><cell r="U5862" t="str"><v>USA-Trial-ITD-Trial Lookalike-AZR-AZR</v></cell><cell r="V5862" t="str"><v>Lookalike Targeting</v></cell><cell r="W5862" t="str"><v>Canvas Ad</v></cell><cell r="X5862" t="str"><v>1x1</v></cell></row><row r="5862"><cell r="AA5862"><v>43323</v></cell><cell r="AB5862" t="str"><v>USA_gaPMG_AZR_AZR_Q1_19_Direct-Social</v></cell><cell r="AC5862"><v>21358715</v></cell><cell r="AD5862"><v>720197</v></cell><cell r="AE5862" t="str"><v>Facebook - Instagram</v></cell><cell r="AF5862"><v>3654128</v></cell><cell r="AG5862" t="str"><v>INSTAGRAM»USA-Trial-ITD-Trial Lookalike-AZR-AZR»1 x 1»SocialBan»CAN»ALL»CPA»LAL»X»NA»SS»NA»IGCTCBrandinMotion»PRC2FH</v></cell><cell r="AH5862"><v>223935019</v></cell><cell r="AI5862" t="str"><v>AzurePlatform_IGCTCBenefit2inMotion_USA_10s_CAN_PLATFORM_English_Trial_Standard_STAN_TIN_T4_1</v></cell><cell r="AJ5862"><v>103050783</v></cell></row><row r="5863"><cell r="C5863" t="str"><v>43323INSTAGRAM»USA-Trial-ITD-Trial PayGo Lookalike-AZR-AZR»1 x 1»SocialBan»CAN»ALL»CPA»LAL»X»NA»SS»NA»IGCTCBrandinMotion»PRC2FW</v></cell><cell r="D5863" t="str"><v>43323223862654</v></cell><cell r="E5863" t="str"><v>43323103050783PRC2FW</v></cell><cell r="F5863" t="str"><v>DCM</v></cell><cell r="G5863" t="str"><v>https://signup.azure.com/?OCID=AID%eexcid!_OLA_%ebuy!_%epid!_%ecid!</v></cell></row><row r="5863"><cell r="K5863" t="str"><v>August</v></cell><cell r="L5863"><v>43323</v></cell><cell r="M5863" t="str"><v>Tier 0</v></cell><cell r="N5863" t="str"><v>North America</v></cell><cell r="O5863" t="str"><v>United States</v></cell><cell r="P5863" t="str"><v>Trial</v></cell><cell r="Q5863" t="str"><v>Social</v></cell><cell r="R5863" t="str"><v>Azure</v></cell><cell r="S5863" t="str"><v>Apps & Infra</v></cell><cell r="T5863" t="str"><v>Developers & ITI's</v></cell><cell r="U5863" t="str"><v>USA-Trial-ITD-Trial PayGo Lookalike-AZR-AZR</v></cell><cell r="V5863" t="str"><v>Lookalike Targeting</v></cell><cell r="W5863" t="str"><v>Canvas Ad</v></cell><cell r="X5863" t="str"><v>1x1</v></cell></row><row r="5863"><cell r="AA5863"><v>43323</v></cell><cell r="AB5863" t="str"><v>USA_gaPMG_AZR_AZR_Q1_19_Direct-Social</v></cell><cell r="AC5863"><v>21358715</v></cell><cell r="AD5863"><v>720197</v></cell><cell r="AE5863" t="str"><v>Facebook - Instagram</v></cell><cell r="AF5863"><v>3654128</v></cell><cell r="AG5863" t="str"><v>INSTAGRAM»USA-Trial-ITD-Trial PayGo Lookalike-AZR-AZR»1 x 1»SocialBan»CAN»ALL»CPA»LAL»X»NA»SS»NA»IGCTCBrandinMotion»PRC2FW</v></cell><cell r="AH5863"><v>223862654</v></cell><cell r="AI5863" t="str"><v>AzurePlatform_IGCTCBenefit2inMotion_USA_10s_CAN_PLATFORM_English_Trial_Standard_STAN_TIN_T4_1</v></cell><cell r="AJ5863"><v>103050783</v></cell></row><row r="5864"><cell r="C5864" t="str"><v>43323INSTAGRAM»USA-Trial-ITD-Trial PayGo Lookalike-AZR-AZR»1 x 1»SocialBan»CAN»ALL»CPA»LAL»X»NA»SS»NA»IGCTCBrandinMotion»PRC2FW</v></cell><cell r="D5864" t="str"><v>43323223862654</v></cell><cell r="E5864" t="str"><v>43323103178714PRC2FW</v></cell><cell r="F5864" t="str"><v>DCM</v></cell><cell r="G5864" t="str"><v>https://azure.microsoft.com/en-us/pricing/purchase-options/?v=18.19&OCID=AID%eexcid!_OLA_%ebuy!_%epid!_%ecid!</v></cell></row><row r="5864"><cell r="K5864" t="str"><v>August</v></cell><cell r="L5864"><v>43323</v></cell><cell r="M5864" t="str"><v>Tier 0</v></cell><cell r="N5864" t="str"><v>North America</v></cell><cell r="O5864" t="str"><v>United States</v></cell><cell r="P5864" t="str"><v>Trial</v></cell><cell r="Q5864" t="str"><v>Social</v></cell><cell r="R5864" t="str"><v>Azure</v></cell><cell r="S5864" t="str"><v>Apps & Infra</v></cell><cell r="T5864" t="str"><v>Developers & ITI's</v></cell><cell r="U5864" t="str"><v>USA-Trial-ITD-Trial PayGo Lookalike-AZR-AZR</v></cell><cell r="V5864" t="str"><v>Lookalike Targeting</v></cell><cell r="W5864" t="str"><v>Canvas Ad</v></cell><cell r="X5864" t="str"><v>1x1</v></cell></row><row r="5864"><cell r="AA5864"><v>43323</v></cell><cell r="AB5864" t="str"><v>USA_gaPMG_AZR_AZR_Q1_19_Direct-Social</v></cell><cell r="AC5864"><v>21358715</v></cell><cell r="AD5864"><v>720197</v></cell><cell r="AE5864" t="str"><v>Facebook - Instagram</v></cell><cell r="AF5864"><v>3654128</v></cell><cell r="AG5864" t="str"><v>INSTAGRAM»USA-Trial-ITD-Trial PayGo Lookalike-AZR-AZR»1 x 1»SocialBan»CAN»ALL»CPA»LAL»X»NA»SS»NA»IGCTCBrandinMotion»PRC2FW</v></cell><cell r="AH5864"><v>223862654</v></cell><cell r="AI5864" t="str"><v>AzurePlatform_IGCTCBenefit2inMotion_USA_10s_CAN_PLATFORM_English_Trial_Standard_STAN_TIN_T4_2</v></cell><cell r="AJ5864"><v>103178714</v></cell></row><row r="5865"><cell r="C5865" t="str"><v>43324Facebook»Audience & Interest Targeting»1x1»Canvas»OTH»DT»DYN»AUT»W»NA»SS»NA»FBCTCcanvaspage-StartFreeCTA_FBCTCcanvaspage-BuyNowCTA</v></cell><cell r="D5865" t="str"><v>43324224639151</v></cell><cell r="E5865" t="str"><v>43324103316829NowCTA</v></cell><cell r="F5865" t="str"><v>DCM</v></cell><cell r="G5865" t="str"><v>https://signup.azure.com/signup?offer=ms-azr-0044p&appId=102&ref=paidmedia-social-fb&redirectURL=https%3a%2f%2fazure.microsoft.com%2fen-au%2fget-started%2fwelcome-to-azure%2f&l=en-au&correlationId=ead86c34-1f10-49dd-a72b-6918462a2cbf</v></cell></row><row r="5865"><cell r="K5865" t="str"><v>August</v></cell><cell r="L5865"><v>43330</v></cell><cell r="M5865" t="str"><v>Tier 1</v></cell><cell r="N5865" t="str"><v>APAC</v></cell><cell r="O5865" t="str"><v>Australia</v></cell><cell r="P5865" t="str"><v>Trial</v></cell><cell r="Q5865" t="str"><v>Social</v></cell><cell r="R5865" t="str"><v>Azure</v></cell><cell r="S5865" t="str"><v>Apps & Infra</v></cell><cell r="T5865" t="str"><v>Developers & ITI's</v></cell><cell r="U5865" t="str"><v>Audience & Interest Targeting</v></cell><cell r="V5865" t="str"><v>Audience Targeting</v></cell><cell r="W5865" t="str"><v>Other</v></cell><cell r="X5865" t="str"><v>1x1</v></cell></row><row r="5865"><cell r="AA5865"><v>43324</v></cell><cell r="AB5865" t="str"><v>AUS_gaPMG_AZR_AZR_Q1_19_Trial-Social</v></cell><cell r="AC5865"><v>21358568</v></cell><cell r="AD5865"><v>720191</v></cell><cell r="AE5865" t="str"><v>Facebook</v></cell><cell r="AF5865"><v>3654128</v></cell><cell r="AG5865" t="str"><v>Facebook»Audience & Interest Targeting»1x1»Canvas»OTH»DT»DYN»AUT»W»NA»SS»NA»FBCTCcanvaspage-StartFreeCTA_FBCTCcanvaspage-BuyNowCTA</v></cell><cell r="AH5865"><v>224639151</v></cell><cell r="AI5865" t="str"><v>AzurePlatform_FBCTCcanvaspage-StartFreeCTA-Img2_AUS_1080x143 _SOC_Plat_English_NA_Standard_NA_NA_T2_1</v></cell><cell r="AJ5865"><v>103316829</v></cell></row><row r="5866"><cell r="C5866" t="str"><v>43324Facebook»Audience & Interest Targeting»1x1»TextLink»OTH»DT»DYN»AUT»W»NA»SS»NA»Free Account Refresh- 12 months ChE</v></cell><cell r="D5866" t="str"><v>43324224160783</v></cell><cell r="E5866" t="str"><v>43324103051614hs ChE</v></cell><cell r="F5866" t="str"><v>DCM</v></cell></row><row r="5866"><cell r="K5866" t="str"><v>August</v></cell><cell r="L5866"><v>43330</v></cell><cell r="M5866" t="str"><v>Tier 1</v></cell><cell r="N5866" t="str"><v>APAC</v></cell><cell r="O5866" t="str"><v>Australia</v></cell><cell r="P5866" t="str"><v>Trial</v></cell><cell r="Q5866" t="str"><v>Social</v></cell><cell r="R5866" t="str"><v>Azure</v></cell><cell r="S5866" t="str"><v>Apps & Infra</v></cell><cell r="T5866" t="str"><v>Developers & ITI's</v></cell><cell r="U5866" t="str"><v>Audience & Interest Targeting</v></cell><cell r="V5866" t="str"><v>Audience Targeting</v></cell><cell r="W5866" t="str"><v>Other</v></cell><cell r="X5866" t="str"><v>1x1</v></cell></row><row r="5866"><cell r="AA5866"><v>43324</v></cell><cell r="AB5866" t="str"><v>AUS_gaPMG_AZR_AZR_Q1_19_Trial-Social</v></cell><cell r="AC5866"><v>21358568</v></cell><cell r="AD5866"><v>720191</v></cell><cell r="AE5866" t="str"><v>Facebook</v></cell><cell r="AF5866"><v>3654128</v></cell><cell r="AG5866" t="str"><v>Facebook»Audience & Interest Targeting»1x1»TextLink»OTH»DT»DYN»AUT»W»NA»SS»NA»Free Account Refresh- 12 months ChE</v></cell><cell r="AH5866"><v>224160783</v></cell><cell r="AI5866" t="str"><v>AzurePlatform_FreeAcctAppsFACEBOOK12monthsChE_AUS_1200x628_SOC_PLAT_EN_Trial_Standard_NA_SNU_T5_1</v></cell><cell r="AJ5866"><v>103051614</v></cell></row><row r="5867"><cell r="C5867" t="str"><v>43324Facebook»Audience & Interest Targeting»1x1»TextLink»OTH»DT»DYN»AUT»W»NA»SS»NA»Free Account Refresh- Device ChB</v></cell><cell r="D5867" t="str"><v>43324224160777</v></cell><cell r="E5867" t="str"><v>43324103048479ce ChB</v></cell><cell r="F5867" t="str"><v>DCM</v></cell></row><row r="5867"><cell r="K5867" t="str"><v>August</v></cell><cell r="L5867"><v>43330</v></cell><cell r="M5867" t="str"><v>Tier 1</v></cell><cell r="N5867" t="str"><v>APAC</v></cell><cell r="O5867" t="str"><v>Australia</v></cell><cell r="P5867" t="str"><v>Trial</v></cell><cell r="Q5867" t="str"><v>Social</v></cell><cell r="R5867" t="str"><v>Azure</v></cell><cell r="S5867" t="str"><v>Apps & Infra</v></cell><cell r="T5867" t="str"><v>Developers & ITI's</v></cell><cell r="U5867" t="str"><v>Audience & Interest Targeting</v></cell><cell r="V5867" t="str"><v>Audience Targeting</v></cell><cell r="W5867" t="str"><v>Other</v></cell><cell r="X5867" t="str"><v>1x1</v></cell></row><row r="5867"><cell r="AA5867"><v>43324</v></cell><cell r="AB5867" t="str"><v>AUS_gaPMG_AZR_AZR_Q1_19_Trial-Social</v></cell><cell r="AC5867"><v>21358568</v></cell><cell r="AD5867"><v>720191</v></cell><cell r="AE5867" t="str"><v>Facebook</v></cell><cell r="AF5867"><v>3654128</v></cell><cell r="AG5867" t="str"><v>Facebook»Audience & Interest Targeting»1x1»TextLink»OTH»DT»DYN»AUT»W»NA»SS»NA»Free Account Refresh- Device ChB</v></cell><cell r="AH5867"><v>224160777</v></cell><cell r="AI5867" t="str"><v>AzurePlatform_FreeAcctAppsFACEBOOKDeviceChB_AUS_1200x628_SOC_PLAT_EN_Trial_Standard_NA_SNU_T2_1</v></cell><cell r="AJ5867"><v>103048479</v></cell></row><row r="5868"><cell r="C5868" t="str"><v>43324Facebook»Audience & Interest Targeting»1x1»TextLink»OTH»DT»DYN»AUT»W»NA»SS»NA»Free Account Refresh- Illustration ChC</v></cell><cell r="D5868" t="str"><v>43324224160774</v></cell><cell r="E5868" t="str"><v>43324103186910on ChC</v></cell><cell r="F5868" t="str"><v>DCM</v></cell></row><row r="5868"><cell r="K5868" t="str"><v>August</v></cell><cell r="L5868"><v>43330</v></cell><cell r="M5868" t="str"><v>Tier 1</v></cell><cell r="N5868" t="str"><v>APAC</v></cell><cell r="O5868" t="str"><v>Australia</v></cell><cell r="P5868" t="str"><v>Trial</v></cell><cell r="Q5868" t="str"><v>Social</v></cell><cell r="R5868" t="str"><v>Azure</v></cell><cell r="S5868" t="str"><v>Apps & Infra</v></cell><cell r="T5868" t="str"><v>Developers & ITI's</v></cell><cell r="U5868" t="str"><v>Audience & Interest Targeting</v></cell><cell r="V5868" t="str"><v>Audience Targeting</v></cell><cell r="W5868" t="str"><v>Other</v></cell><cell r="X5868" t="str"><v>1x1</v></cell></row><row r="5868"><cell r="AA5868"><v>43324</v></cell><cell r="AB5868" t="str"><v>AUS_gaPMG_AZR_AZR_Q1_19_Trial-Social</v></cell><cell r="AC5868"><v>21358568</v></cell><cell r="AD5868"><v>720191</v></cell><cell r="AE5868" t="str"><v>Facebook</v></cell><cell r="AF5868"><v>3654128</v></cell><cell r="AG5868" t="str"><v>Facebook»Audience & Interest Targeting»1x1»TextLink»OTH»DT»DYN»AUT»W»NA»SS»NA»Free Account Refresh- Illustration ChC</v></cell><cell r="AH5868"><v>224160774</v></cell><cell r="AI5868" t="str"><v>AzurePlatform_FreeAcctAppsFACEBOOKIllustrationChC_AUS_1200x628_SOC_PLAT_EN_Trial_Standard_NA_SNU_T3_1</v></cell><cell r="AJ5868"><v>103186910</v></cell></row><row r="5869"><cell r="C5869" t="str"><v>43324Facebook»Audience & Interest Targeting»1x1»TextLink»OTH»DT»DYN»AUT»W»NA»SS»NA»Free Account Refresh- Lifestyle ChA</v></cell><cell r="D5869" t="str"><v>43324224160771</v></cell><cell r="E5869" t="str"><v>43324103048488le ChA</v></cell><cell r="F5869" t="str"><v>DCM</v></cell></row><row r="5869"><cell r="K5869" t="str"><v>August</v></cell><cell r="L5869"><v>43330</v></cell><cell r="M5869" t="str"><v>Tier 1</v></cell><cell r="N5869" t="str"><v>APAC</v></cell><cell r="O5869" t="str"><v>Australia</v></cell><cell r="P5869" t="str"><v>Trial</v></cell><cell r="Q5869" t="str"><v>Social</v></cell><cell r="R5869" t="str"><v>Azure</v></cell><cell r="S5869" t="str"><v>Apps & Infra</v></cell><cell r="T5869" t="str"><v>Developers & ITI's</v></cell><cell r="U5869" t="str"><v>Audience & Interest Targeting</v></cell><cell r="V5869" t="str"><v>Audience Targeting</v></cell><cell r="W5869" t="str"><v>Other</v></cell><cell r="X5869" t="str"><v>1x1</v></cell></row><row r="5869"><cell r="AA5869"><v>43324</v></cell><cell r="AB5869" t="str"><v>AUS_gaPMG_AZR_AZR_Q1_19_Trial-Social</v></cell><cell r="AC5869"><v>21358568</v></cell><cell r="AD5869"><v>720191</v></cell><cell r="AE5869" t="str"><v>Facebook</v></cell><cell r="AF5869"><v>3654128</v></cell><cell r="AG5869" t="str"><v>Facebook»Audience & Interest Targeting»1x1»TextLink»OTH»DT»DYN»AUT»W»NA»SS»NA»Free Account Refresh- Lifestyle ChA</v></cell><cell r="AH5869"><v>224160771</v></cell><cell r="AI5869" t="str"><v>AzurePlatform_FreeAcctAppsFACEBOOKLifestyleChA_AUS_1200x628_SOC_PLAT_EN_Trial_Standard_NA_SNU_T1_1</v></cell><cell r="AJ5869"><v>103048488</v></cell></row><row r="5870"><cell r="C5870" t="str"><v>43324Facebook»LAL»1x1»TextLink»SOC»DT»DYN»LAL»W»NA»SS»NA»Free Account Refresh- Device ChB</v></cell><cell r="D5870" t="str"><v>43324224160717</v></cell><cell r="E5870" t="str"><v>43324103048485ce ChB</v></cell><cell r="F5870" t="str"><v>DCM</v></cell><cell r="G5870" t="str"><v>https://azure.microsoft.com/en-au/free/open-source/search/</v></cell></row><row r="5870"><cell r="K5870" t="str"><v>August</v></cell><cell r="L5870"><v>43330</v></cell><cell r="M5870" t="str"><v>Tier 1</v></cell><cell r="N5870" t="str"><v>APAC</v></cell><cell r="O5870" t="str"><v>Australia</v></cell><cell r="P5870" t="str"><v>Trial</v></cell><cell r="Q5870" t="str"><v>Social</v></cell><cell r="R5870" t="str"><v>Azure</v></cell><cell r="S5870" t="str"><v>Apps & Infra</v></cell><cell r="T5870" t="str"><v>Developers & ITI's</v></cell><cell r="U5870" t="str"><v>LAL</v></cell><cell r="V5870" t="str"><v>Lookalike Targeting</v></cell><cell r="W5870" t="str"><v>Social</v></cell><cell r="X5870" t="str"><v>1x1</v></cell></row><row r="5870"><cell r="AA5870"><v>43324</v></cell><cell r="AB5870" t="str"><v>AUS_gaPMG_AZR_AZR_Q1_19_Trial-Social</v></cell><cell r="AC5870"><v>21358568</v></cell><cell r="AD5870"><v>720191</v></cell><cell r="AE5870" t="str"><v>Facebook</v></cell><cell r="AF5870"><v>3654128</v></cell><cell r="AG5870" t="str"><v>Facebook»LAL»1x1»TextLink»SOC»DT»DYN»LAL»W»NA»SS»NA»Free Account Refresh- Device ChB</v></cell><cell r="AH5870"><v>224160717</v></cell><cell r="AI5870" t="str"><v>AzurePlatform_FreeAcctRetargetingOSSFB-Text-ChF_AUS_1200x628_SOC_Plat_EN_Free Account_Standard_NA_SNU_T1_1</v></cell><cell r="AJ5870"><v>103048485</v></cell></row><row r="5871"><cell r="C5871" t="str"><v>43324Facebook»LAL»1x1»TextLink»SOC»DT»DYN»LAL»W»NA»SS»NA»Free Account Refresh- Illustration ChC</v></cell><cell r="D5871" t="str"><v>43324224160714</v></cell><cell r="E5871" t="str"><v>43324103186916on ChC</v></cell><cell r="F5871" t="str"><v>DCM</v></cell><cell r="G5871" t="str"><v>https://azure.microsoft.com/en-au/free/virtual-machines/search/</v></cell></row><row r="5871"><cell r="K5871" t="str"><v>August</v></cell><cell r="L5871"><v>43330</v></cell><cell r="M5871" t="str"><v>Tier 1</v></cell><cell r="N5871" t="str"><v>APAC</v></cell><cell r="O5871" t="str"><v>Australia</v></cell><cell r="P5871" t="str"><v>Trial</v></cell><cell r="Q5871" t="str"><v>Social</v></cell><cell r="R5871" t="str"><v>Azure</v></cell><cell r="S5871" t="str"><v>Apps & Infra</v></cell><cell r="T5871" t="str"><v>Developers & ITI's</v></cell><cell r="U5871" t="str"><v>LAL</v></cell><cell r="V5871" t="str"><v>Lookalike Targeting</v></cell><cell r="W5871" t="str"><v>Social</v></cell><cell r="X5871" t="str"><v>1x1</v></cell></row><row r="5871"><cell r="AA5871"><v>43324</v></cell><cell r="AB5871" t="str"><v>AUS_gaPMG_AZR_AZR_Q1_19_Trial-Social</v></cell><cell r="AC5871"><v>21358568</v></cell><cell r="AD5871"><v>720191</v></cell><cell r="AE5871" t="str"><v>Facebook</v></cell><cell r="AF5871"><v>3654128</v></cell><cell r="AG5871" t="str"><v>Facebook»LAL»1x1»TextLink»SOC»DT»DYN»LAL»W»NA»SS»NA»Free Account Refresh- Illustration ChC</v></cell><cell r="AH5871"><v>224160714</v></cell><cell r="AI5871" t="str"><v>AzurePlatform_FreeAcctRetargetingVMFB-750Hrs-ChD_AUS_1200x628_SOC_Plat_EN_Free Account_Standard_NA_SNU_T1_1</v></cell><cell r="AJ5871"><v>103186916</v></cell></row><row r="5872"><cell r="C5872" t="str"><v>43324Facebook»Retargeting»1x1»TextLink»SOC»DT»DYN»RT»W»NA»SS»NA»Free Account Refresh- 200 Credit ChD</v></cell><cell r="D5872" t="str"><v>43324224160738</v></cell><cell r="E5872" t="str"><v>43324103186904it ChD</v></cell><cell r="F5872" t="str"><v>DCM</v></cell></row><row r="5872"><cell r="K5872" t="str"><v>August</v></cell><cell r="L5872"><v>43330</v></cell><cell r="M5872" t="str"><v>Tier 1</v></cell><cell r="N5872" t="str"><v>APAC</v></cell><cell r="O5872" t="str"><v>Australia</v></cell><cell r="P5872" t="str"><v>Trial</v></cell><cell r="Q5872" t="str"><v>Social</v></cell><cell r="R5872" t="str"><v>Azure</v></cell><cell r="S5872" t="str"><v>Apps & Infra</v></cell><cell r="T5872" t="str"><v>Developers & ITI's</v></cell><cell r="U5872" t="str"><v>Retargeting</v></cell><cell r="V5872" t="str"><v>Retargeting</v></cell><cell r="W5872" t="str"><v>Social</v></cell><cell r="X5872" t="str"><v>1x1</v></cell></row><row r="5872"><cell r="AA5872"><v>43324</v></cell><cell r="AB5872" t="str"><v>AUS_gaPMG_AZR_AZR_Q1_19_Trial-Social</v></cell><cell r="AC5872"><v>21358568</v></cell><cell r="AD5872"><v>720191</v></cell><cell r="AE5872" t="str"><v>Facebook</v></cell><cell r="AF5872"><v>3654128</v></cell><cell r="AG5872" t="str"><v>Facebook»Retargeting»1x1»TextLink»SOC»DT»DYN»RT»W»NA»SS»NA»Free Account Refresh- 200 Credit ChD</v></cell><cell r="AH5872"><v>224160738</v></cell><cell r="AI5872" t="str"><v>AzurePlatform_FreeAcctAppsFACEBOOK200CreditChD_AUS_1200x628_SOC_PLAT_EN_Trial_Standard_NA_SNU_T4_1</v></cell><cell r="AJ5872"><v>103186904</v></cell></row><row r="5873"><cell r="C5873" t="str"><v>43324Facebook»Retargeting»1x1»TextLink»SOC»DT»DYN»RT»W»NA»SS»NA»Free Account Refresh- Device ChB</v></cell><cell r="D5873" t="str"><v>43324224160735</v></cell><cell r="E5873" t="str"><v>43324103048479ce ChB</v></cell><cell r="F5873" t="str"><v>DCM</v></cell></row><row r="5873"><cell r="K5873" t="str"><v>August</v></cell><cell r="L5873"><v>43330</v></cell><cell r="M5873" t="str"><v>Tier 1</v></cell><cell r="N5873" t="str"><v>APAC</v></cell><cell r="O5873" t="str"><v>Australia</v></cell><cell r="P5873" t="str"><v>Trial</v></cell><cell r="Q5873" t="str"><v>Social</v></cell><cell r="R5873" t="str"><v>Azure</v></cell><cell r="S5873" t="str"><v>Apps & Infra</v></cell><cell r="T5873" t="str"><v>Developers & ITI's</v></cell><cell r="U5873" t="str"><v>Retargeting</v></cell><cell r="V5873" t="str"><v>Retargeting</v></cell><cell r="W5873" t="str"><v>Social</v></cell><cell r="X5873" t="str"><v>1x1</v></cell></row><row r="5873"><cell r="AA5873"><v>43324</v></cell><cell r="AB5873" t="str"><v>AUS_gaPMG_AZR_AZR_Q1_19_Trial-Social</v></cell><cell r="AC5873"><v>21358568</v></cell><cell r="AD5873"><v>720191</v></cell><cell r="AE5873" t="str"><v>Facebook</v></cell><cell r="AF5873"><v>3654128</v></cell><cell r="AG5873" t="str"><v>Facebook»Retargeting»1x1»TextLink»SOC»DT»DYN»RT»W»NA»SS»NA»Free Account Refresh- Device ChB</v></cell><cell r="AH5873"><v>224160735</v></cell><cell r="AI5873" t="str"><v>AzurePlatform_FreeAcctAppsFACEBOOKDeviceChB_AUS_1200x628_SOC_PLAT_EN_Trial_Standard_NA_SNU_T2_1</v></cell><cell r="AJ5873"><v>103048479</v></cell></row><row r="5874"><cell r="C5874" t="str"><v>43324Facebook»Retargeting»1x1»TextLink»SOC»DT»DYN»RT»W»NA»SS»NA»Free Account Refresh- Illustration ChC</v></cell><cell r="D5874" t="str"><v>43324224160732</v></cell><cell r="E5874" t="str"><v>43324103186910on ChC</v></cell><cell r="F5874" t="str"><v>DCM</v></cell></row><row r="5874"><cell r="K5874" t="str"><v>August</v></cell><cell r="L5874"><v>43330</v></cell><cell r="M5874" t="str"><v>Tier 1</v></cell><cell r="N5874" t="str"><v>APAC</v></cell><cell r="O5874" t="str"><v>Australia</v></cell><cell r="P5874" t="str"><v>Trial</v></cell><cell r="Q5874" t="str"><v>Social</v></cell><cell r="R5874" t="str"><v>Azure</v></cell><cell r="S5874" t="str"><v>Apps & Infra</v></cell><cell r="T5874" t="str"><v>Developers & ITI's</v></cell><cell r="U5874" t="str"><v>Retargeting</v></cell><cell r="V5874" t="str"><v>Retargeting</v></cell><cell r="W5874" t="str"><v>Social</v></cell><cell r="X5874" t="str"><v>1x1</v></cell></row><row r="5874"><cell r="AA5874"><v>43324</v></cell><cell r="AB5874" t="str"><v>AUS_gaPMG_AZR_AZR_Q1_19_Trial-Social</v></cell><cell r="AC5874"><v>21358568</v></cell><cell r="AD5874"><v>720191</v></cell><cell r="AE5874" t="str"><v>Facebook</v></cell><cell r="AF5874"><v>3654128</v></cell><cell r="AG5874" t="str"><v>Facebook»Retargeting»1x1»TextLink»SOC»DT»DYN»RT»W»NA»SS»NA»Free Account Refresh- Illustration ChC</v></cell><cell r="AH5874"><v>224160732</v></cell><cell r="AI5874" t="str"><v>AzurePlatform_FreeAcctAppsFACEBOOKIllustrationChC_AUS_1200x628_SOC_PLAT_EN_Trial_Standard_NA_SNU_T3_1</v></cell><cell r="AJ5874"><v>103186910</v></cell></row><row r="5875"><cell r="C5875" t="str"><v>43324Facebook»Retargeting»1x1»TextLink»SOC»DT»DYN»RT»W»NA»SS»NA»Free Account Refresh- Lifestyle ChA</v></cell><cell r="D5875" t="str"><v>43324224160729</v></cell><cell r="E5875" t="str"><v>43324103048488le ChA</v></cell><cell r="F5875" t="str"><v>DCM</v></cell></row><row r="5875"><cell r="K5875" t="str"><v>August</v></cell><cell r="L5875"><v>43330</v></cell><cell r="M5875" t="str"><v>Tier 1</v></cell><cell r="N5875" t="str"><v>APAC</v></cell><cell r="O5875" t="str"><v>Australia</v></cell><cell r="P5875" t="str"><v>Trial</v></cell><cell r="Q5875" t="str"><v>Social</v></cell><cell r="R5875" t="str"><v>Azure</v></cell><cell r="S5875" t="str"><v>Apps & Infra</v></cell><cell r="T5875" t="str"><v>Developers & ITI's</v></cell><cell r="U5875" t="str"><v>Retargeting</v></cell><cell r="V5875" t="str"><v>Retargeting</v></cell><cell r="W5875" t="str"><v>Social</v></cell><cell r="X5875" t="str"><v>1x1</v></cell></row><row r="5875"><cell r="AA5875"><v>43324</v></cell><cell r="AB5875" t="str"><v>AUS_gaPMG_AZR_AZR_Q1_19_Trial-Social</v></cell><cell r="AC5875"><v>21358568</v></cell><cell r="AD5875"><v>720191</v></cell><cell r="AE5875" t="str"><v>Facebook</v></cell><cell r="AF5875"><v>3654128</v></cell><cell r="AG5875" t="str"><v>Facebook»Retargeting»1x1»TextLink»SOC»DT»DYN»RT»W»NA»SS»NA»Free Account Refresh- Lifestyle ChA</v></cell><cell r="AH5875"><v>224160729</v></cell><cell r="AI5875" t="str"><v>AzurePlatform_FreeAcctAppsFACEBOOKLifestyleChA_AUS_1200x628_SOC_PLAT_EN_Trial_Standard_NA_SNU_T1_1</v></cell><cell r="AJ5875"><v>103048488</v></cell></row><row r="5876"><cell r="C5876" t="str"><v>43324Facebook»AZR»1x1»NA»EGV»ALL»DYN»AUT»D»All»SS»NA»Free Acc CTC - T1 - EN</v></cell><cell r="D5876" t="str"><v>43324223684451</v></cell><cell r="E5876" t="str"><v>433241029018821 - EN</v></cell><cell r="F5876" t="str"><v>DCM</v></cell><cell r="G5876" t="str"><v>https://signup.azure.com/</v></cell></row><row r="5876"><cell r="K5876" t="str"><v>August</v></cell><cell r="L5876"><v>43330</v></cell><cell r="M5876" t="str"><v>Tier 1</v></cell><cell r="N5876" t="str"><v>North America</v></cell><cell r="O5876" t="str"><v>Canada</v></cell><cell r="P5876" t="str"><v>Trial</v></cell><cell r="Q5876" t="str"><v>Social</v></cell><cell r="R5876" t="str"><v>Azure</v></cell><cell r="S5876" t="str"><v>Apps & Infra</v></cell><cell r="T5876" t="str"><v>Developers & ITI's</v></cell><cell r="U5876" t="str"><v>AZR</v></cell><cell r="V5876" t="str"><v>Audience Targeting</v></cell><cell r="W5876" t="str"><v>Engagement Video</v></cell><cell r="X5876" t="str"><v>1x1</v></cell></row><row r="5876"><cell r="AA5876"><v>43324</v></cell><cell r="AB5876" t="str"><v>CAN_gaPMG_AZR_AZR_Q1_19_Trial-Social</v></cell><cell r="AC5876"><v>21337220</v></cell><cell r="AD5876"><v>720192</v></cell><cell r="AE5876" t="str"><v>Facebook</v></cell><cell r="AF5876"><v>3654128</v></cell><cell r="AG5876" t="str"><v>Facebook»AZR»1x1»NA»EGV»ALL»DYN»AUT»D»All»SS»NA»Free Acc CTC - T1 - EN</v></cell><cell r="AH5876"><v>223684451</v></cell><cell r="AI5876" t="str"><v>AzurePlatform_FBCTCBasicMotion_CAN_10s_ISV_PLAT_English_Trial_Standard_STAN_TN_T1_1</v></cell><cell r="AJ5876"><v>102901882</v></cell></row><row r="5877"><cell r="C5877" t="str"><v>43324Facebook»AZR»1x1»NA»EGV»ALL»DYN»AUT»D»All»SS»NA»Free Acc CTC - T1 - FR</v></cell><cell r="D5877" t="str"><v>43324223691801</v></cell><cell r="E5877" t="str"><v>433241030533231 - FR</v></cell><cell r="F5877" t="str"><v>DCM</v></cell><cell r="G5877" t="str"><v>https://signup.azure.com/</v></cell></row><row r="5877"><cell r="K5877" t="str"><v>August</v></cell><cell r="L5877"><v>43330</v></cell><cell r="M5877" t="str"><v>Tier 1</v></cell><cell r="N5877" t="str"><v>North America</v></cell><cell r="O5877" t="str"><v>Canada</v></cell><cell r="P5877" t="str"><v>Trial</v></cell><cell r="Q5877" t="str"><v>Social</v></cell><cell r="R5877" t="str"><v>Azure</v></cell><cell r="S5877" t="str"><v>Apps & Infra</v></cell><cell r="T5877" t="str"><v>Developers & ITI's</v></cell><cell r="U5877" t="str"><v>AZR</v></cell><cell r="V5877" t="str"><v>Audience Targeting</v></cell><cell r="W5877" t="str"><v>Engagement Video</v></cell><cell r="X5877" t="str"><v>1x1</v></cell></row><row r="5877"><cell r="AA5877"><v>43324</v></cell><cell r="AB5877" t="str"><v>CAN_gaPMG_AZR_AZR_Q1_19_Trial-Social</v></cell><cell r="AC5877"><v>21337220</v></cell><cell r="AD5877"><v>720192</v></cell><cell r="AE5877" t="str"><v>Facebook</v></cell><cell r="AF5877"><v>3654128</v></cell><cell r="AG5877" t="str"><v>Facebook»AZR»1x1»NA»EGV»ALL»DYN»AUT»D»All»SS»NA»Free Acc CTC - T1 - FR</v></cell><cell r="AH5877"><v>223691801</v></cell><cell r="AI5877" t="str"><v>AzurePlatform_FBCTCBasicMotion_CAN_10s_ISV_PLAT_FR_Trial_Standard_STAN_TN_T1_1</v></cell><cell r="AJ5877"><v>103053323</v></cell></row><row r="5878"><cell r="C5878" t="str"><v>43324Facebook»AZR»1x1»NA»EGV»ALL»DYN»AUT»D»All»SS»NA»Free Acc CTC - T2 - EN</v></cell><cell r="D5878" t="str"><v>43324223691840</v></cell><cell r="E5878" t="str"><v>433241029029502 - EN</v></cell><cell r="F5878" t="str"><v>DCM</v></cell><cell r="G5878" t="str"><v>https://signup.azure.com/</v></cell></row><row r="5878"><cell r="K5878" t="str"><v>August</v></cell><cell r="L5878"><v>43330</v></cell><cell r="M5878" t="str"><v>Tier 1</v></cell><cell r="N5878" t="str"><v>North America</v></cell><cell r="O5878" t="str"><v>Canada</v></cell><cell r="P5878" t="str"><v>Trial</v></cell><cell r="Q5878" t="str"><v>Social</v></cell><cell r="R5878" t="str"><v>Azure</v></cell><cell r="S5878" t="str"><v>Apps & Infra</v></cell><cell r="T5878" t="str"><v>Developers & ITI's</v></cell><cell r="U5878" t="str"><v>AZR</v></cell><cell r="V5878" t="str"><v>Audience Targeting</v></cell><cell r="W5878" t="str"><v>Engagement Video</v></cell><cell r="X5878" t="str"><v>1x1</v></cell></row><row r="5878"><cell r="AA5878"><v>43324</v></cell><cell r="AB5878" t="str"><v>CAN_gaPMG_AZR_AZR_Q1_19_Trial-Social</v></cell><cell r="AC5878"><v>21337220</v></cell><cell r="AD5878"><v>720192</v></cell><cell r="AE5878" t="str"><v>Facebook</v></cell><cell r="AF5878"><v>3654128</v></cell><cell r="AG5878" t="str"><v>Facebook»AZR»1x1»NA»EGV»ALL»DYN»AUT»D»All»SS»NA»Free Acc CTC - T2 - EN</v></cell><cell r="AH5878"><v>223691840</v></cell><cell r="AI5878" t="str"><v>AzurePlatform_FBCTCBrandinMotion_CAN_12s_ISV_PLAT_English_Trial_Standard_STAN_TN_T2_1</v></cell><cell r="AJ5878"><v>102902950</v></cell></row><row r="5879"><cell r="C5879" t="str"><v>43324Facebook»AZR»1x1»NA»EGV»ALL»DYN»AUT»D»All»SS»NA»Free Acc CTC - T2 - FR</v></cell><cell r="D5879" t="str"><v>43324223691798</v></cell><cell r="E5879" t="str"><v>433241029163472 - FR</v></cell><cell r="F5879" t="str"><v>DCM</v></cell><cell r="G5879" t="str"><v>https://signup.azure.com/</v></cell></row><row r="5879"><cell r="K5879" t="str"><v>August</v></cell><cell r="L5879"><v>43330</v></cell><cell r="M5879" t="str"><v>Tier 1</v></cell><cell r="N5879" t="str"><v>North America</v></cell><cell r="O5879" t="str"><v>Canada</v></cell><cell r="P5879" t="str"><v>Trial</v></cell><cell r="Q5879" t="str"><v>Social</v></cell><cell r="R5879" t="str"><v>Azure</v></cell><cell r="S5879" t="str"><v>Apps & Infra</v></cell><cell r="T5879" t="str"><v>Developers & ITI's</v></cell><cell r="U5879" t="str"><v>AZR</v></cell><cell r="V5879" t="str"><v>Audience Targeting</v></cell><cell r="W5879" t="str"><v>Engagement Video</v></cell><cell r="X5879" t="str"><v>1x1</v></cell></row><row r="5879"><cell r="AA5879"><v>43324</v></cell><cell r="AB5879" t="str"><v>CAN_gaPMG_AZR_AZR_Q1_19_Trial-Social</v></cell><cell r="AC5879"><v>21337220</v></cell><cell r="AD5879"><v>720192</v></cell><cell r="AE5879" t="str"><v>Facebook</v></cell><cell r="AF5879"><v>3654128</v></cell><cell r="AG5879" t="str"><v>Facebook»AZR»1x1»NA»EGV»ALL»DYN»AUT»D»All»SS»NA»Free Acc CTC - T2 - FR</v></cell><cell r="AH5879"><v>223691798</v></cell><cell r="AI5879" t="str"><v>AzurePlatform_FBCTCBrandinMotion_CAN_12s_ISV_PLAT_FR_Trial_Standard_STAN_TN_T2_1</v></cell><cell r="AJ5879"><v>102916347</v></cell></row><row r="5880"><cell r="C5880" t="str"><v>43324Facebook»AZR»1x1»NA»EGV»ALL»DYN»AUT»D»All»SS»NA»Free Acc CTC - T4 - EN</v></cell><cell r="D5880" t="str"><v>43324223691837</v></cell><cell r="E5880" t="str"><v>433241030533144 - EN</v></cell><cell r="F5880" t="str"><v>DCM</v></cell><cell r="G5880" t="str"><v>https://signup.azure.com/</v></cell></row><row r="5880"><cell r="K5880" t="str"><v>August</v></cell><cell r="L5880"><v>43330</v></cell><cell r="M5880" t="str"><v>Tier 1</v></cell><cell r="N5880" t="str"><v>North America</v></cell><cell r="O5880" t="str"><v>Canada</v></cell><cell r="P5880" t="str"><v>Trial</v></cell><cell r="Q5880" t="str"><v>Social</v></cell><cell r="R5880" t="str"><v>Azure</v></cell><cell r="S5880" t="str"><v>Apps & Infra</v></cell><cell r="T5880" t="str"><v>Developers & ITI's</v></cell><cell r="U5880" t="str"><v>AZR</v></cell><cell r="V5880" t="str"><v>Audience Targeting</v></cell><cell r="W5880" t="str"><v>Engagement Video</v></cell><cell r="X5880" t="str"><v>1x1</v></cell></row><row r="5880"><cell r="AA5880"><v>43324</v></cell><cell r="AB5880" t="str"><v>CAN_gaPMG_AZR_AZR_Q1_19_Trial-Social</v></cell><cell r="AC5880"><v>21337220</v></cell><cell r="AD5880"><v>720192</v></cell><cell r="AE5880" t="str"><v>Facebook</v></cell><cell r="AF5880"><v>3654128</v></cell><cell r="AG5880" t="str"><v>Facebook»AZR»1x1»NA»EGV»ALL»DYN»AUT»D»All»SS»NA»Free Acc CTC - T4 - EN</v></cell><cell r="AH5880"><v>223691837</v></cell><cell r="AI5880" t="str"><v>AzurePlatform_FBCTCBenefit2inMotion_CAN_14s_ISV_PLAT_English_Trial_Standard_STAN_TN_T4_1</v></cell><cell r="AJ5880"><v>103053314</v></cell></row><row r="5881"><cell r="C5881" t="str"><v>43324Facebook»AZR»1x1»NA»EGV»ALL»DYN»AUT»D»All»SS»NA»Free Acc CTC - T4 - FR</v></cell><cell r="D5881" t="str"><v>43324223691795</v></cell><cell r="E5881" t="str"><v>433241029006884 - FR</v></cell><cell r="F5881" t="str"><v>DCM</v></cell><cell r="G5881" t="str"><v>https://signup.azure.com/</v></cell></row><row r="5881"><cell r="K5881" t="str"><v>August</v></cell><cell r="L5881"><v>43330</v></cell><cell r="M5881" t="str"><v>Tier 1</v></cell><cell r="N5881" t="str"><v>North America</v></cell><cell r="O5881" t="str"><v>Canada</v></cell><cell r="P5881" t="str"><v>Trial</v></cell><cell r="Q5881" t="str"><v>Social</v></cell><cell r="R5881" t="str"><v>Azure</v></cell><cell r="S5881" t="str"><v>Apps & Infra</v></cell><cell r="T5881" t="str"><v>Developers & ITI's</v></cell><cell r="U5881" t="str"><v>AZR</v></cell><cell r="V5881" t="str"><v>Audience Targeting</v></cell><cell r="W5881" t="str"><v>Engagement Video</v></cell><cell r="X5881" t="str"><v>1x1</v></cell></row><row r="5881"><cell r="AA5881"><v>43324</v></cell><cell r="AB5881" t="str"><v>CAN_gaPMG_AZR_AZR_Q1_19_Trial-Social</v></cell><cell r="AC5881"><v>21337220</v></cell><cell r="AD5881"><v>720192</v></cell><cell r="AE5881" t="str"><v>Facebook</v></cell><cell r="AF5881"><v>3654128</v></cell><cell r="AG5881" t="str"><v>Facebook»AZR»1x1»NA»EGV»ALL»DYN»AUT»D»All»SS»NA»Free Acc CTC - T4 - FR</v></cell><cell r="AH5881"><v>223691795</v></cell><cell r="AI5881" t="str"><v>AzurePlatform_FBCTCBenefit2inMotion_CAN_14s_ISV_PLAT_FR_Trial_Standard_STAN_TN_T4_1</v></cell><cell r="AJ5881"><v>102900688</v></cell></row><row r="5882"><cell r="C5882" t="str"><v>43324Facebook»AZR»1x1»NA»SOC»ALL»DYN»PRO»D»All»SS»NA»Canvas - Start Free - EN</v></cell><cell r="D5882" t="str"><v>43324225252365</v></cell><cell r="E5882" t="str"><v>43324103807590e - EN</v></cell><cell r="F5882" t="str"><v>DCM</v></cell><cell r="G5882" t="str"><v>https://signup.azure.com/signup?offer=ms-azr-0044p&appId=102&ref=paidmedia-social-fb&redirectURL=https%3a%2f%2fazure.microsoft.com%2fen-ca%2fget-started%2fwelcome-to-azure%2f&l=en-ca&correlationId=ead86c34-1f10-49dd-a72b-6918462a2cbf</v></cell></row><row r="5882"><cell r="K5882" t="str"><v>August</v></cell><cell r="L5882"><v>43330</v></cell><cell r="M5882" t="str"><v>Tier 1</v></cell><cell r="N5882" t="str"><v>North America</v></cell><cell r="O5882" t="str"><v>Canada</v></cell><cell r="P5882" t="str"><v>Trial</v></cell><cell r="Q5882" t="str"><v>Social</v></cell><cell r="R5882" t="str"><v>Azure</v></cell><cell r="S5882" t="str"><v>Apps & Infra</v></cell><cell r="T5882" t="str"><v>Developers & ITI's</v></cell><cell r="U5882" t="str"><v>AZR</v></cell><cell r="V5882" t="str"><v>Prospecting</v></cell><cell r="W5882" t="str"><v>Social</v></cell><cell r="X5882" t="str"><v>1x1</v></cell></row><row r="5882"><cell r="AA5882"><v>43324</v></cell><cell r="AB5882" t="str"><v>CAN_gaPMG_AZR_AZR_Q1_19_Trial-Social</v></cell><cell r="AC5882"><v>21337220</v></cell><cell r="AD5882"><v>720192</v></cell><cell r="AE5882" t="str"><v>Facebook</v></cell><cell r="AF5882"><v>3654128</v></cell><cell r="AG5882" t="str"><v>Facebook»AZR»1x1»NA»SOC»ALL»DYN»PRO»D»All»SS»NA»Canvas - Start Free - EN</v></cell><cell r="AH5882"><v>225252365</v></cell><cell r="AI5882" t="str"><v>AzurePlatform_FBCTCcanvaspage-StartFreeCTA-Img2_CAN_1080x143 _SOC_Plat_English_NA_Standard_NA_NA_T2_1</v></cell><cell r="AJ5882"><v>103807590</v></cell></row><row r="5883"><cell r="C5883" t="str"><v>43324Facebook»AZR»1x1»NA»SOC»ALL»DYN»PRO»D»All»SS»NA»Canvas - Start Free - FR</v></cell><cell r="D5883" t="str"><v>43324225525936</v></cell><cell r="E5883" t="str"><v>43324103902551e - FR</v></cell><cell r="F5883" t="str"><v>DCM</v></cell><cell r="G5883" t="str"><v>https://signup.azure.com/signup?offer=ms-azr-0044p&appId=102&ref=paidmedia-social-fb&redirectURL=https%3a%2f%2fazure.microsoft.com%2ffr-ca%2fget-started%2fwelcome-to-azure%2f&l=fr-ca&correlationId=ead86c34-1f10-49dd-a72b-6918462a2cbf</v></cell></row><row r="5883"><cell r="K5883" t="str"><v>August</v></cell><cell r="L5883"><v>43330</v></cell><cell r="M5883" t="str"><v>Tier 1</v></cell><cell r="N5883" t="str"><v>North America</v></cell><cell r="O5883" t="str"><v>Canada</v></cell><cell r="P5883" t="str"><v>Trial</v></cell><cell r="Q5883" t="str"><v>Social</v></cell><cell r="R5883" t="str"><v>Azure</v></cell><cell r="S5883" t="str"><v>Apps & Infra</v></cell><cell r="T5883" t="str"><v>Developers & ITI's</v></cell><cell r="U5883" t="str"><v>AZR</v></cell><cell r="V5883" t="str"><v>Prospecting</v></cell><cell r="W5883" t="str"><v>Social</v></cell><cell r="X5883" t="str"><v>1x1</v></cell></row><row r="5883"><cell r="AA5883"><v>43324</v></cell><cell r="AB5883" t="str"><v>CAN_gaPMG_AZR_AZR_Q1_19_Trial-Social</v></cell><cell r="AC5883"><v>21337220</v></cell><cell r="AD5883"><v>720192</v></cell><cell r="AE5883" t="str"><v>Facebook</v></cell><cell r="AF5883"><v>3654128</v></cell><cell r="AG5883" t="str"><v>Facebook»AZR»1x1»NA»SOC»ALL»DYN»PRO»D»All»SS»NA»Canvas - Start Free - FR</v></cell><cell r="AH5883"><v>225525936</v></cell><cell r="AI5883" t="str"><v>AzurePlatform_FBCTCcanvaspage-StartFreeCTA-Img2_CAN_1080x143 _SOC_Plat_French_NA_Standard_NA_NA_T2_1</v></cell><cell r="AJ5883"><v>103902551</v></cell></row><row r="5884"><cell r="C5884" t="str"><v>43324Facebook»AZR»1x1»SocialBan»NA»ALL»DYN»AUT»D»All»SS»NA»Free Acc Refresh - T1 - EN</v></cell><cell r="D5884" t="str"><v>43324223691804</v></cell><cell r="E5884" t="str"><v>433241030587171 - EN</v></cell><cell r="F5884" t="str"><v>DCM</v></cell><cell r="G5884" t="str"><v>https://azure.microsoft.com/en-CA/free/search/</v></cell></row><row r="5884"><cell r="K5884" t="str"><v>August</v></cell><cell r="L5884"><v>43330</v></cell><cell r="M5884" t="str"><v>Tier 1</v></cell><cell r="N5884" t="str"><v>North America</v></cell><cell r="O5884" t="str"><v>Canada</v></cell><cell r="P5884" t="str"><v>Trial</v></cell><cell r="Q5884" t="str"><v>Social</v></cell><cell r="R5884" t="str"><v>Azure</v></cell><cell r="S5884" t="str"><v>Apps & Infra</v></cell><cell r="T5884" t="str"><v>Developers & ITI's</v></cell><cell r="U5884" t="str"><v>AZR</v></cell><cell r="V5884" t="str"><v>Audience Targeting</v></cell><cell r="W5884" t="str"><v>NotApplicable</v></cell><cell r="X5884" t="str"><v>1x1</v></cell></row><row r="5884"><cell r="AA5884"><v>43324</v></cell><cell r="AB5884" t="str"><v>CAN_gaPMG_AZR_AZR_Q1_19_Trial-Social</v></cell><cell r="AC5884"><v>21337220</v></cell><cell r="AD5884"><v>720192</v></cell><cell r="AE5884" t="str"><v>Facebook</v></cell><cell r="AF5884"><v>3654128</v></cell><cell r="AG5884" t="str"><v>Facebook»AZR»1x1»SocialBan»NA»ALL»DYN»AUT»D»All»SS»NA»Free Acc Refresh - T1 - EN</v></cell><cell r="AH5884"><v>223691804</v></cell><cell r="AI5884" t="str"><v>AzurePlatform_FreeAcctAppsFACEBOOKLifestyleChA_CAN_1200x628_SOC_PLAT_EN_Trial_Standard_NA_SU_T1_1.png</v></cell><cell r="AJ5884"><v>103058717</v></cell></row><row r="5885"><cell r="C5885" t="str"><v>43324Facebook»AZR»1x1»SocialBan»NA»ALL»DYN»AUT»D»All»SS»NA»Free Acc Refresh - T1 - FR</v></cell><cell r="D5885" t="str"><v>43324223691762</v></cell><cell r="E5885" t="str"><v>433241029029741 - FR</v></cell><cell r="F5885" t="str"><v>DCM</v></cell><cell r="G5885" t="str"><v>https://azure.microsoft.com/fr-ca/free/search/</v></cell></row><row r="5885"><cell r="K5885" t="str"><v>August</v></cell><cell r="L5885"><v>43330</v></cell><cell r="M5885" t="str"><v>Tier 1</v></cell><cell r="N5885" t="str"><v>North America</v></cell><cell r="O5885" t="str"><v>Canada</v></cell><cell r="P5885" t="str"><v>Trial</v></cell><cell r="Q5885" t="str"><v>Social</v></cell><cell r="R5885" t="str"><v>Azure</v></cell><cell r="S5885" t="str"><v>Apps & Infra</v></cell><cell r="T5885" t="str"><v>Developers & ITI's</v></cell><cell r="U5885" t="str"><v>AZR</v></cell><cell r="V5885" t="str"><v>Audience Targeting</v></cell><cell r="W5885" t="str"><v>NotApplicable</v></cell><cell r="X5885" t="str"><v>1x1</v></cell></row><row r="5885"><cell r="AA5885"><v>43324</v></cell><cell r="AB5885" t="str"><v>CAN_gaPMG_AZR_AZR_Q1_19_Trial-Social</v></cell><cell r="AC5885"><v>21337220</v></cell><cell r="AD5885"><v>720192</v></cell><cell r="AE5885" t="str"><v>Facebook</v></cell><cell r="AF5885"><v>3654128</v></cell><cell r="AG5885" t="str"><v>Facebook»AZR»1x1»SocialBan»NA»ALL»DYN»AUT»D»All»SS»NA»Free Acc Refresh - T1 - FR</v></cell><cell r="AH5885"><v>223691762</v></cell><cell r="AI5885" t="str"><v>AzurePlatform_FreeAcctAppsFACEBOOKLifestyleChA_CAN_1200x628_SOC_PLAT_FR_Trial_Standard_NA_SU_T1_1.png</v></cell><cell r="AJ5885"><v>102902974</v></cell></row><row r="5886"><cell r="C5886" t="str"><v>43324Facebook»AZR»1x1»SocialBan»NA»ALL»DYN»AUT»D»All»SS»NA»Free Acc Refresh - T2 - EN</v></cell><cell r="D5886" t="str"><v>43324223691810</v></cell><cell r="E5886" t="str"><v>433241030587112 - EN</v></cell><cell r="F5886" t="str"><v>DCM</v></cell><cell r="G5886" t="str"><v>https://azure.microsoft.com/en-CA/free/search/</v></cell></row><row r="5886"><cell r="K5886" t="str"><v>August</v></cell><cell r="L5886"><v>43330</v></cell><cell r="M5886" t="str"><v>Tier 1</v></cell><cell r="N5886" t="str"><v>North America</v></cell><cell r="O5886" t="str"><v>Canada</v></cell><cell r="P5886" t="str"><v>Trial</v></cell><cell r="Q5886" t="str"><v>Social</v></cell><cell r="R5886" t="str"><v>Azure</v></cell><cell r="S5886" t="str"><v>Apps & Infra</v></cell><cell r="T5886" t="str"><v>Developers & ITI's</v></cell><cell r="U5886" t="str"><v>AZR</v></cell><cell r="V5886" t="str"><v>Audience Targeting</v></cell><cell r="W5886" t="str"><v>NotApplicable</v></cell><cell r="X5886" t="str"><v>1x1</v></cell></row><row r="5886"><cell r="AA5886"><v>43324</v></cell><cell r="AB5886" t="str"><v>CAN_gaPMG_AZR_AZR_Q1_19_Trial-Social</v></cell><cell r="AC5886"><v>21337220</v></cell><cell r="AD5886"><v>720192</v></cell><cell r="AE5886" t="str"><v>Facebook</v></cell><cell r="AF5886"><v>3654128</v></cell><cell r="AG5886" t="str"><v>Facebook»AZR»1x1»SocialBan»NA»ALL»DYN»AUT»D»All»SS»NA»Free Acc Refresh - T2 - EN</v></cell><cell r="AH5886"><v>223691810</v></cell><cell r="AI5886" t="str"><v>AzurePlatform_FreeAcctAppsFACEBOOKDeviceChB_CAN_1200x628_SOC_PLAT_EN_Trial_Standard_NA_SU_T2_1.png</v></cell><cell r="AJ5886"><v>103058711</v></cell></row><row r="5887"><cell r="C5887" t="str"><v>43324Facebook»AZR»1x1»SocialBan»NA»ALL»DYN»AUT»D»All»SS»NA»Free Acc Refresh - T2 - FR</v></cell><cell r="D5887" t="str"><v>43324223691768</v></cell><cell r="E5887" t="str"><v>433241029029712 - FR</v></cell><cell r="F5887" t="str"><v>DCM</v></cell><cell r="G5887" t="str"><v>https://azure.microsoft.com/fr-ca/free/search/</v></cell></row><row r="5887"><cell r="K5887" t="str"><v>August</v></cell><cell r="L5887"><v>43330</v></cell><cell r="M5887" t="str"><v>Tier 1</v></cell><cell r="N5887" t="str"><v>North America</v></cell><cell r="O5887" t="str"><v>Canada</v></cell><cell r="P5887" t="str"><v>Trial</v></cell><cell r="Q5887" t="str"><v>Social</v></cell><cell r="R5887" t="str"><v>Azure</v></cell><cell r="S5887" t="str"><v>Apps & Infra</v></cell><cell r="T5887" t="str"><v>Developers & ITI's</v></cell><cell r="U5887" t="str"><v>AZR</v></cell><cell r="V5887" t="str"><v>Audience Targeting</v></cell><cell r="W5887" t="str"><v>NotApplicable</v></cell><cell r="X5887" t="str"><v>1x1</v></cell></row><row r="5887"><cell r="AA5887"><v>43324</v></cell><cell r="AB5887" t="str"><v>CAN_gaPMG_AZR_AZR_Q1_19_Trial-Social</v></cell><cell r="AC5887"><v>21337220</v></cell><cell r="AD5887"><v>720192</v></cell><cell r="AE5887" t="str"><v>Facebook</v></cell><cell r="AF5887"><v>3654128</v></cell><cell r="AG5887" t="str"><v>Facebook»AZR»1x1»SocialBan»NA»ALL»DYN»AUT»D»All»SS»NA»Free Acc Refresh - T2 - FR</v></cell><cell r="AH5887"><v>223691768</v></cell><cell r="AI5887" t="str"><v>AzurePlatform_FreeAcctAppsFACEBOOKDeviceChB_CAN_1200x628_SOC_PLAT_FR_Trial_Standard_NA_SU_T2_1.png</v></cell><cell r="AJ5887"><v>102902971</v></cell></row><row r="5888"><cell r="C5888" t="str"><v>43324Facebook»AZR»1x1»SocialBan»NA»ALL»DYN»AUT»D»All»SS»NA»Free Acc Refresh - T3 - EN</v></cell><cell r="D5888" t="str"><v>43324223691807</v></cell><cell r="E5888" t="str"><v>433241029006853 - EN</v></cell><cell r="F5888" t="str"><v>DCM</v></cell><cell r="G5888" t="str"><v>https://azure.microsoft.com/en-CA/free/search/</v></cell></row><row r="5888"><cell r="K5888" t="str"><v>August</v></cell><cell r="L5888"><v>43330</v></cell><cell r="M5888" t="str"><v>Tier 1</v></cell><cell r="N5888" t="str"><v>North America</v></cell><cell r="O5888" t="str"><v>Canada</v></cell><cell r="P5888" t="str"><v>Trial</v></cell><cell r="Q5888" t="str"><v>Social</v></cell><cell r="R5888" t="str"><v>Azure</v></cell><cell r="S5888" t="str"><v>Apps & Infra</v></cell><cell r="T5888" t="str"><v>Developers & ITI's</v></cell><cell r="U5888" t="str"><v>AZR</v></cell><cell r="V5888" t="str"><v>Audience Targeting</v></cell><cell r="W5888" t="str"><v>NotApplicable</v></cell><cell r="X5888" t="str"><v>1x1</v></cell></row><row r="5888"><cell r="AA5888"><v>43324</v></cell><cell r="AB5888" t="str"><v>CAN_gaPMG_AZR_AZR_Q1_19_Trial-Social</v></cell><cell r="AC5888"><v>21337220</v></cell><cell r="AD5888"><v>720192</v></cell><cell r="AE5888" t="str"><v>Facebook</v></cell><cell r="AF5888"><v>3654128</v></cell><cell r="AG5888" t="str"><v>Facebook»AZR»1x1»SocialBan»NA»ALL»DYN»AUT»D»All»SS»NA»Free Acc Refresh - T3 - EN</v></cell><cell r="AH5888"><v>223691807</v></cell><cell r="AI5888" t="str"><v>AzurePlatform_FreeAcctAppsFACEBOOKIllustrationChC_CAN_1200x628_SOC_PLAT_EN_Trial_Standard_NA_SU_T3_1.png</v></cell><cell r="AJ5888"><v>102900685</v></cell></row><row r="5889"><cell r="C5889" t="str"><v>43324Facebook»AZR»1x1»SocialBan»NA»ALL»DYN»AUT»D»All»SS»NA»Free Acc Refresh - T3 - FR</v></cell><cell r="D5889" t="str"><v>43324223691765</v></cell><cell r="E5889" t="str"><v>433241030533323 - FR</v></cell><cell r="F5889" t="str"><v>DCM</v></cell><cell r="G5889" t="str"><v>https://azure.microsoft.com/fr-ca/free/search/</v></cell></row><row r="5889"><cell r="K5889" t="str"><v>August</v></cell><cell r="L5889"><v>43330</v></cell><cell r="M5889" t="str"><v>Tier 1</v></cell><cell r="N5889" t="str"><v>North America</v></cell><cell r="O5889" t="str"><v>Canada</v></cell><cell r="P5889" t="str"><v>Trial</v></cell><cell r="Q5889" t="str"><v>Social</v></cell><cell r="R5889" t="str"><v>Azure</v></cell><cell r="S5889" t="str"><v>Apps & Infra</v></cell><cell r="T5889" t="str"><v>Developers & ITI's</v></cell><cell r="U5889" t="str"><v>AZR</v></cell><cell r="V5889" t="str"><v>Audience Targeting</v></cell><cell r="W5889" t="str"><v>NotApplicable</v></cell><cell r="X5889" t="str"><v>1x1</v></cell></row><row r="5889"><cell r="AA5889"><v>43324</v></cell><cell r="AB5889" t="str"><v>CAN_gaPMG_AZR_AZR_Q1_19_Trial-Social</v></cell><cell r="AC5889"><v>21337220</v></cell><cell r="AD5889"><v>720192</v></cell><cell r="AE5889" t="str"><v>Facebook</v></cell><cell r="AF5889"><v>3654128</v></cell><cell r="AG5889" t="str"><v>Facebook»AZR»1x1»SocialBan»NA»ALL»DYN»AUT»D»All»SS»NA»Free Acc Refresh - T3 - FR</v></cell><cell r="AH5889"><v>223691765</v></cell><cell r="AI5889" t="str"><v>AzurePlatform_FreeAcctAppsFACEBOOKIllustrationChC_CAN_1200x628_SOC_PLAT_FR_Trial_Standard_NA_SU_T3_1.png</v></cell><cell r="AJ5889"><v>103053332</v></cell></row><row r="5890"><cell r="C5890" t="str"><v>43324Facebook»AZR»1x1»SocialBan»NA»ALL»DYN»AUT»D»All»SS»NA»Free Acc Refresh - T4 - FR</v></cell><cell r="D5890" t="str"><v>43324223691771</v></cell><cell r="E5890" t="str"><v>433241029029684 - FR</v></cell><cell r="F5890" t="str"><v>DCM</v></cell><cell r="G5890" t="str"><v>https://azure.microsoft.com/fr-ca/free/search/</v></cell></row><row r="5890"><cell r="K5890" t="str"><v>August</v></cell><cell r="L5890"><v>43330</v></cell><cell r="M5890" t="str"><v>Tier 1</v></cell><cell r="N5890" t="str"><v>North America</v></cell><cell r="O5890" t="str"><v>Canada</v></cell><cell r="P5890" t="str"><v>Trial</v></cell><cell r="Q5890" t="str"><v>Social</v></cell><cell r="R5890" t="str"><v>Azure</v></cell><cell r="S5890" t="str"><v>Apps & Infra</v></cell><cell r="T5890" t="str"><v>Developers & ITI's</v></cell><cell r="U5890" t="str"><v>AZR</v></cell><cell r="V5890" t="str"><v>Audience Targeting</v></cell><cell r="W5890" t="str"><v>NotApplicable</v></cell><cell r="X5890" t="str"><v>1x1</v></cell></row><row r="5890"><cell r="AA5890"><v>43324</v></cell><cell r="AB5890" t="str"><v>CAN_gaPMG_AZR_AZR_Q1_19_Trial-Social</v></cell><cell r="AC5890"><v>21337220</v></cell><cell r="AD5890"><v>720192</v></cell><cell r="AE5890" t="str"><v>Facebook</v></cell><cell r="AF5890"><v>3654128</v></cell><cell r="AG5890" t="str"><v>Facebook»AZR»1x1»SocialBan»NA»ALL»DYN»AUT»D»All»SS»NA»Free Acc Refresh - T4 - FR</v></cell><cell r="AH5890"><v>223691771</v></cell><cell r="AI5890" t="str"><v>AzurePlatform_FreeAcctAppsFACEBOOK200CreditChD_CAN_1200x628_SOC_PLAT_FR_Trial_Standard_NA_SU_T4_1.png</v></cell><cell r="AJ5890"><v>102902968</v></cell></row><row r="5891"><cell r="C5891" t="str"><v>43324Facebook»AZR»1x1»SocialBan»NA»ALL»DYN»AUT»D»All»SS»NA»Free Acc Refresh - T5 - FR</v></cell><cell r="D5891" t="str"><v>43324223691774</v></cell><cell r="E5891" t="str"><v>433241029163565 - FR</v></cell><cell r="F5891" t="str"><v>DCM</v></cell><cell r="G5891" t="str"><v>https://azure.microsoft.com/fr-ca/free/search/</v></cell></row><row r="5891"><cell r="K5891" t="str"><v>August</v></cell><cell r="L5891"><v>43330</v></cell><cell r="M5891" t="str"><v>Tier 1</v></cell><cell r="N5891" t="str"><v>North America</v></cell><cell r="O5891" t="str"><v>Canada</v></cell><cell r="P5891" t="str"><v>Trial</v></cell><cell r="Q5891" t="str"><v>Social</v></cell><cell r="R5891" t="str"><v>Azure</v></cell><cell r="S5891" t="str"><v>Apps & Infra</v></cell><cell r="T5891" t="str"><v>Developers & ITI's</v></cell><cell r="U5891" t="str"><v>AZR</v></cell><cell r="V5891" t="str"><v>Audience Targeting</v></cell><cell r="W5891" t="str"><v>NotApplicable</v></cell><cell r="X5891" t="str"><v>1x1</v></cell></row><row r="5891"><cell r="AA5891"><v>43324</v></cell><cell r="AB5891" t="str"><v>CAN_gaPMG_AZR_AZR_Q1_19_Trial-Social</v></cell><cell r="AC5891"><v>21337220</v></cell><cell r="AD5891"><v>720192</v></cell><cell r="AE5891" t="str"><v>Facebook</v></cell><cell r="AF5891"><v>3654128</v></cell><cell r="AG5891" t="str"><v>Facebook»AZR»1x1»SocialBan»NA»ALL»DYN»AUT»D»All»SS»NA»Free Acc Refresh - T5 - FR</v></cell><cell r="AH5891"><v>223691774</v></cell><cell r="AI5891" t="str"><v>AzurePlatform_FreeAcctAppsFACEBOOK12monthsChE_CAN_1200x628_SOC_PLAT_FR_Trial_Standard_NA_SU_T5_1.png</v></cell><cell r="AJ5891"><v>102916356</v></cell></row><row r="5892"><cell r="C5892" t="str"><v>43324Facebook»AZR»1x1»SocialBan»NA»ALL»DYN»RT»D»All»SS»NA» Free Account Retargeting OSS - T1 - EN</v></cell><cell r="D5892" t="str"><v>43324223691828</v></cell><cell r="E5892" t="str"><v>433241029029561 - EN</v></cell><cell r="F5892" t="str"><v>DCM</v></cell><cell r="G5892" t="str"><v>https://azure.microsoft.com/en-ca/free/open-source/search/</v></cell></row><row r="5892"><cell r="K5892" t="str"><v>August</v></cell><cell r="L5892"><v>43330</v></cell><cell r="M5892" t="str"><v>Tier 1</v></cell><cell r="N5892" t="str"><v>North America</v></cell><cell r="O5892" t="str"><v>Canada</v></cell><cell r="P5892" t="str"><v>Trial</v></cell><cell r="Q5892" t="str"><v>Social</v></cell><cell r="R5892" t="str"><v>Azure</v></cell><cell r="S5892" t="str"><v>Apps & Infra</v></cell><cell r="T5892" t="str"><v>Developers & ITI's</v></cell><cell r="U5892" t="str"><v>AZR</v></cell><cell r="V5892" t="str"><v>Retargeting</v></cell><cell r="W5892" t="str"><v>NotApplicable</v></cell><cell r="X5892" t="str"><v>1x1</v></cell></row><row r="5892"><cell r="AA5892"><v>43324</v></cell><cell r="AB5892" t="str"><v>CAN_gaPMG_AZR_AZR_Q1_19_Trial-Social</v></cell><cell r="AC5892"><v>21337220</v></cell><cell r="AD5892"><v>720192</v></cell><cell r="AE5892" t="str"><v>Facebook</v></cell><cell r="AF5892"><v>3654128</v></cell><cell r="AG5892" t="str"><v>Facebook»AZR»1x1»SocialBan»NA»ALL»DYN»RT»D»All»SS»NA» Free Account Retargeting OSS - T1 - EN</v></cell><cell r="AH5892"><v>223691828</v></cell><cell r="AI5892" t="str"><v>AzurePlatform_FreeAcctRetargetingOSSFB-Text-ChF_CAN_1200x628_SOC_Plat_EN_Free Account_Standard_NA_SU_T1_1</v></cell><cell r="AJ5892"><v>102902956</v></cell></row><row r="5893"><cell r="C5893" t="str"><v>43324Facebook»AZR»1x1»SocialBan»NA»ALL»DYN»RT»D»All»SS»NA» Free Account Retargeting OSS - T2 - EN</v></cell><cell r="D5893" t="str"><v>43324223691831</v></cell><cell r="E5893" t="str"><v>433241029138002 - EN</v></cell><cell r="F5893" t="str"><v>DCM</v></cell><cell r="G5893" t="str"><v>https://azure.microsoft.com/en-ca/free/open-source/search/</v></cell></row><row r="5893"><cell r="K5893" t="str"><v>August</v></cell><cell r="L5893"><v>43330</v></cell><cell r="M5893" t="str"><v>Tier 1</v></cell><cell r="N5893" t="str"><v>North America</v></cell><cell r="O5893" t="str"><v>Canada</v></cell><cell r="P5893" t="str"><v>Trial</v></cell><cell r="Q5893" t="str"><v>Social</v></cell><cell r="R5893" t="str"><v>Azure</v></cell><cell r="S5893" t="str"><v>Apps & Infra</v></cell><cell r="T5893" t="str"><v>Developers & ITI's</v></cell><cell r="U5893" t="str"><v>AZR</v></cell><cell r="V5893" t="str"><v>Retargeting</v></cell><cell r="W5893" t="str"><v>NotApplicable</v></cell><cell r="X5893" t="str"><v>1x1</v></cell></row><row r="5893"><cell r="AA5893"><v>43324</v></cell><cell r="AB5893" t="str"><v>CAN_gaPMG_AZR_AZR_Q1_19_Trial-Social</v></cell><cell r="AC5893"><v>21337220</v></cell><cell r="AD5893"><v>720192</v></cell><cell r="AE5893" t="str"><v>Facebook</v></cell><cell r="AF5893"><v>3654128</v></cell><cell r="AG5893" t="str"><v>Facebook»AZR»1x1»SocialBan»NA»ALL»DYN»RT»D»All»SS»NA» Free Account Retargeting OSS - T2 - EN</v></cell><cell r="AH5893"><v>223691831</v></cell><cell r="AI5893" t="str"><v>AzurePlatform_FreeAcctRetargetingOSSFB-Logos-ChG_CAN_1200x628_SOC_Plat_EN_Free Account_Standard_NA_SU_T2_1</v></cell><cell r="AJ5893"><v>102913800</v></cell></row><row r="5894"><cell r="C5894" t="str"><v>43324Facebook»AZR»1x1»SocialBan»NA»ALL»DYN»RT»D»All»SS»NA» Free Account Retargeting OSS - T2 - FR</v></cell><cell r="D5894" t="str"><v>43324223691789</v></cell><cell r="E5894" t="str"><v>433241029006912 - FR</v></cell><cell r="F5894" t="str"><v>DCM</v></cell><cell r="G5894" t="str"><v>https://azure.microsoft.com/fr-ca/free/open-source/search/</v></cell></row><row r="5894"><cell r="K5894" t="str"><v>August</v></cell><cell r="L5894"><v>43330</v></cell><cell r="M5894" t="str"><v>Tier 1</v></cell><cell r="N5894" t="str"><v>North America</v></cell><cell r="O5894" t="str"><v>Canada</v></cell><cell r="P5894" t="str"><v>Trial</v></cell><cell r="Q5894" t="str"><v>Social</v></cell><cell r="R5894" t="str"><v>Azure</v></cell><cell r="S5894" t="str"><v>Apps & Infra</v></cell><cell r="T5894" t="str"><v>Developers & ITI's</v></cell><cell r="U5894" t="str"><v>AZR</v></cell><cell r="V5894" t="str"><v>Retargeting</v></cell><cell r="W5894" t="str"><v>NotApplicable</v></cell><cell r="X5894" t="str"><v>1x1</v></cell></row><row r="5894"><cell r="AA5894"><v>43324</v></cell><cell r="AB5894" t="str"><v>CAN_gaPMG_AZR_AZR_Q1_19_Trial-Social</v></cell><cell r="AC5894"><v>21337220</v></cell><cell r="AD5894"><v>720192</v></cell><cell r="AE5894" t="str"><v>Facebook</v></cell><cell r="AF5894"><v>3654128</v></cell><cell r="AG5894" t="str"><v>Facebook»AZR»1x1»SocialBan»NA»ALL»DYN»RT»D»All»SS»NA» Free Account Retargeting OSS - T2 - FR</v></cell><cell r="AH5894"><v>223691789</v></cell><cell r="AI5894" t="str"><v>AzurePlatform_FreeAcctRetargetingOSSFB-Logos-ChG_CAN_1200x628_SOC_Plat_FR_Free Account_Standard_NA_SU_T2_1</v></cell><cell r="AJ5894"><v>102900691</v></cell></row><row r="5895"><cell r="C5895" t="str"><v>43324Facebook»AZR»1x1»SocialBan»NA»ALL»DYN»RT»D»All»SS»NA»Free Account Retargeting Generic - T2 - EN</v></cell><cell r="D5895" t="str"><v>43324223691834</v></cell><cell r="E5895" t="str"><v>433241029029532 - EN</v></cell><cell r="F5895" t="str"><v>DCM</v></cell><cell r="G5895" t="str"><v>https://azure.microsoft.com/en-CA/free/search/</v></cell></row><row r="5895"><cell r="K5895" t="str"><v>August</v></cell><cell r="L5895"><v>43330</v></cell><cell r="M5895" t="str"><v>Tier 1</v></cell><cell r="N5895" t="str"><v>North America</v></cell><cell r="O5895" t="str"><v>Canada</v></cell><cell r="P5895" t="str"><v>Trial</v></cell><cell r="Q5895" t="str"><v>Social</v></cell><cell r="R5895" t="str"><v>Azure</v></cell><cell r="S5895" t="str"><v>Apps & Infra</v></cell><cell r="T5895" t="str"><v>Developers & ITI's</v></cell><cell r="U5895" t="str"><v>AZR</v></cell><cell r="V5895" t="str"><v>Retargeting</v></cell><cell r="W5895" t="str"><v>NotApplicable</v></cell><cell r="X5895" t="str"><v>1x1</v></cell></row><row r="5895"><cell r="AA5895"><v>43324</v></cell><cell r="AB5895" t="str"><v>CAN_gaPMG_AZR_AZR_Q1_19_Trial-Social</v></cell><cell r="AC5895"><v>21337220</v></cell><cell r="AD5895"><v>720192</v></cell><cell r="AE5895" t="str"><v>Facebook</v></cell><cell r="AF5895"><v>3654128</v></cell><cell r="AG5895" t="str"><v>Facebook»AZR»1x1»SocialBan»NA»ALL»DYN»RT»D»All»SS»NA»Free Account Retargeting Generic - T2 - EN</v></cell><cell r="AH5895"><v>223691834</v></cell><cell r="AI5895" t="str"><v>AzurePlatform_FreeAcctRetargetingFB-GlobalAlt-ChB_CAN_1200x628_SOC_Plat_EN_Free Account_Standard_NA_SU_T2_1</v></cell><cell r="AJ5895"><v>102902953</v></cell></row><row r="5896"><cell r="C5896" t="str"><v>43324Facebook»AZR»1x1»SocialBan»NA»ALL»DYN»RT»D»All»SS»NA»Free Account Retargeting Generic - T3 - EN</v></cell><cell r="D5896" t="str"><v>43324223691819</v></cell><cell r="E5896" t="str"><v>433241029006823 - EN</v></cell><cell r="F5896" t="str"><v>DCM</v></cell><cell r="G5896" t="str"><v>https://azure.microsoft.com/en-CA/free/search/</v></cell></row><row r="5896"><cell r="K5896" t="str"><v>August</v></cell><cell r="L5896"><v>43330</v></cell><cell r="M5896" t="str"><v>Tier 1</v></cell><cell r="N5896" t="str"><v>North America</v></cell><cell r="O5896" t="str"><v>Canada</v></cell><cell r="P5896" t="str"><v>Trial</v></cell><cell r="Q5896" t="str"><v>Social</v></cell><cell r="R5896" t="str"><v>Azure</v></cell><cell r="S5896" t="str"><v>Apps & Infra</v></cell><cell r="T5896" t="str"><v>Developers & ITI's</v></cell><cell r="U5896" t="str"><v>AZR</v></cell><cell r="V5896" t="str"><v>Retargeting</v></cell><cell r="W5896" t="str"><v>NotApplicable</v></cell><cell r="X5896" t="str"><v>1x1</v></cell></row><row r="5896"><cell r="AA5896"><v>43324</v></cell><cell r="AB5896" t="str"><v>CAN_gaPMG_AZR_AZR_Q1_19_Trial-Social</v></cell><cell r="AC5896"><v>21337220</v></cell><cell r="AD5896"><v>720192</v></cell><cell r="AE5896" t="str"><v>Facebook</v></cell><cell r="AF5896"><v>3654128</v></cell><cell r="AG5896" t="str"><v>Facebook»AZR»1x1»SocialBan»NA»ALL»DYN»RT»D»All»SS»NA»Free Account Retargeting Generic - T3 - EN</v></cell><cell r="AH5896"><v>223691819</v></cell><cell r="AI5896" t="str"><v>AzurePlatform_FreeAcctRetargetingFB-Animated-ChC_CAN_1200x628_SOC_Plat_EN_Free Account_Standard_ANI_SU_T3_1</v></cell><cell r="AJ5896"><v>102900682</v></cell></row><row r="5897"><cell r="C5897" t="str"><v>43324Facebook»AZR»1x1»SocialBan»NA»ALL»DYN»RT»D»All»SS»NA»Free Account Retargeting Generic - T3 - FR</v></cell><cell r="D5897" t="str"><v>43324223691777</v></cell><cell r="E5897" t="str"><v>433241029006973 - FR</v></cell><cell r="F5897" t="str"><v>DCM</v></cell><cell r="G5897" t="str"><v>https://azure.microsoft.com/fr-ca/free/search/</v></cell></row><row r="5897"><cell r="K5897" t="str"><v>August</v></cell><cell r="L5897"><v>43330</v></cell><cell r="M5897" t="str"><v>Tier 1</v></cell><cell r="N5897" t="str"><v>North America</v></cell><cell r="O5897" t="str"><v>Canada</v></cell><cell r="P5897" t="str"><v>Trial</v></cell><cell r="Q5897" t="str"><v>Social</v></cell><cell r="R5897" t="str"><v>Azure</v></cell><cell r="S5897" t="str"><v>Apps & Infra</v></cell><cell r="T5897" t="str"><v>Developers & ITI's</v></cell><cell r="U5897" t="str"><v>AZR</v></cell><cell r="V5897" t="str"><v>Retargeting</v></cell><cell r="W5897" t="str"><v>NotApplicable</v></cell><cell r="X5897" t="str"><v>1x1</v></cell></row><row r="5897"><cell r="AA5897"><v>43324</v></cell><cell r="AB5897" t="str"><v>CAN_gaPMG_AZR_AZR_Q1_19_Trial-Social</v></cell><cell r="AC5897"><v>21337220</v></cell><cell r="AD5897"><v>720192</v></cell><cell r="AE5897" t="str"><v>Facebook</v></cell><cell r="AF5897"><v>3654128</v></cell><cell r="AG5897" t="str"><v>Facebook»AZR»1x1»SocialBan»NA»ALL»DYN»RT»D»All»SS»NA»Free Account Retargeting Generic - T3 - FR</v></cell><cell r="AH5897"><v>223691777</v></cell><cell r="AI5897" t="str"><v>AzurePlatform_FreeAcctRetargetingFB-Animated-ChC_CAN_1200x628_SOC_Plat_FR_Free Account_Standard_ANI_SU_T3_1</v></cell><cell r="AJ5897"><v>102900697</v></cell></row><row r="5898"><cell r="C5898" t="str"><v>43324Facebook»AZR»1x1»SocialBan»NA»ALL»DYN»RT»D»All»SS»NA»Free Account Retargeting VM - T1 - EN</v></cell><cell r="D5898" t="str"><v>43324223691825</v></cell><cell r="E5898" t="str"><v>433241029163381 - EN</v></cell><cell r="F5898" t="str"><v>DCM</v></cell><cell r="G5898" t="str"><v>https://azure.microsoft.com/en-ca/free/virtual-machines/search/</v></cell></row><row r="5898"><cell r="K5898" t="str"><v>August</v></cell><cell r="L5898"><v>43330</v></cell><cell r="M5898" t="str"><v>Tier 1</v></cell><cell r="N5898" t="str"><v>North America</v></cell><cell r="O5898" t="str"><v>Canada</v></cell><cell r="P5898" t="str"><v>Trial</v></cell><cell r="Q5898" t="str"><v>Social</v></cell><cell r="R5898" t="str"><v>Azure</v></cell><cell r="S5898" t="str"><v>Apps & Infra</v></cell><cell r="T5898" t="str"><v>Developers & ITI's</v></cell><cell r="U5898" t="str"><v>AZR</v></cell><cell r="V5898" t="str"><v>Retargeting</v></cell><cell r="W5898" t="str"><v>NotApplicable</v></cell><cell r="X5898" t="str"><v>1x1</v></cell></row><row r="5898"><cell r="AA5898"><v>43324</v></cell><cell r="AB5898" t="str"><v>CAN_gaPMG_AZR_AZR_Q1_19_Trial-Social</v></cell><cell r="AC5898"><v>21337220</v></cell><cell r="AD5898"><v>720192</v></cell><cell r="AE5898" t="str"><v>Facebook</v></cell><cell r="AF5898"><v>3654128</v></cell><cell r="AG5898" t="str"><v>Facebook»AZR»1x1»SocialBan»NA»ALL»DYN»RT»D»All»SS»NA»Free Account Retargeting VM - T1 - EN</v></cell><cell r="AH5898"><v>223691825</v></cell><cell r="AI5898" t="str"><v>AzurePlatform_FreeAcctRetargetingVMFB-750Hrs-ChD_CAN_1200x628_SOC_Plat_EN_Free Account_Standard_NA_SU_T1_1</v></cell><cell r="AJ5898"><v>102916338</v></cell></row><row r="5899"><cell r="C5899" t="str"><v>43324Facebook»AZR»1x1»SocialBan»NA»ALL»DYN»RT»D»All»SS»NA»Free Account Retargeting VM - T1 - FR</v></cell><cell r="D5899" t="str"><v>43324223691783</v></cell><cell r="E5899" t="str"><v>433241030587231 - FR</v></cell><cell r="F5899" t="str"><v>DCM</v></cell><cell r="G5899" t="str"><v>https://azure.microsoft.com/fr-ca/free/virtual-machines/search/</v></cell></row><row r="5899"><cell r="K5899" t="str"><v>August</v></cell><cell r="L5899"><v>43330</v></cell><cell r="M5899" t="str"><v>Tier 1</v></cell><cell r="N5899" t="str"><v>North America</v></cell><cell r="O5899" t="str"><v>Canada</v></cell><cell r="P5899" t="str"><v>Trial</v></cell><cell r="Q5899" t="str"><v>Social</v></cell><cell r="R5899" t="str"><v>Azure</v></cell><cell r="S5899" t="str"><v>Apps & Infra</v></cell><cell r="T5899" t="str"><v>Developers & ITI's</v></cell><cell r="U5899" t="str"><v>AZR</v></cell><cell r="V5899" t="str"><v>Retargeting</v></cell><cell r="W5899" t="str"><v>NotApplicable</v></cell><cell r="X5899" t="str"><v>1x1</v></cell></row><row r="5899"><cell r="AA5899"><v>43324</v></cell><cell r="AB5899" t="str"><v>CAN_gaPMG_AZR_AZR_Q1_19_Trial-Social</v></cell><cell r="AC5899"><v>21337220</v></cell><cell r="AD5899"><v>720192</v></cell><cell r="AE5899" t="str"><v>Facebook</v></cell><cell r="AF5899"><v>3654128</v></cell><cell r="AG5899" t="str"><v>Facebook»AZR»1x1»SocialBan»NA»ALL»DYN»RT»D»All»SS»NA»Free Account Retargeting VM - T1 - FR</v></cell><cell r="AH5899"><v>223691783</v></cell><cell r="AI5899" t="str"><v>AzurePlatform_FreeAcctRetargetingVMFB-750Hrs-ChD_CAN_1200x628_SOC_Plat_FR_Free Account_Standard_NA_SU_T1_1</v></cell><cell r="AJ5899"><v>103058723</v></cell></row><row r="5900"><cell r="C5900" t="str"><v>43324Facebook»AZR»1x1»SocialBan»NA»ALL»DYN»RT»D»All»SS»NA»Free Account Retargeting VM - T2 - EN</v></cell><cell r="D5900" t="str"><v>43324223691822</v></cell><cell r="E5900" t="str"><v>433241030587082 - EN</v></cell><cell r="F5900" t="str"><v>DCM</v></cell><cell r="G5900" t="str"><v>https://azure.microsoft.com/en-ca/free/virtual-machines/search/</v></cell></row><row r="5900"><cell r="K5900" t="str"><v>August</v></cell><cell r="L5900"><v>43330</v></cell><cell r="M5900" t="str"><v>Tier 1</v></cell><cell r="N5900" t="str"><v>North America</v></cell><cell r="O5900" t="str"><v>Canada</v></cell><cell r="P5900" t="str"><v>Trial</v></cell><cell r="Q5900" t="str"><v>Social</v></cell><cell r="R5900" t="str"><v>Azure</v></cell><cell r="S5900" t="str"><v>Apps & Infra</v></cell><cell r="T5900" t="str"><v>Developers & ITI's</v></cell><cell r="U5900" t="str"><v>AZR</v></cell><cell r="V5900" t="str"><v>Retargeting</v></cell><cell r="W5900" t="str"><v>NotApplicable</v></cell><cell r="X5900" t="str"><v>1x1</v></cell></row><row r="5900"><cell r="AA5900"><v>43324</v></cell><cell r="AB5900" t="str"><v>CAN_gaPMG_AZR_AZR_Q1_19_Trial-Social</v></cell><cell r="AC5900"><v>21337220</v></cell><cell r="AD5900"><v>720192</v></cell><cell r="AE5900" t="str"><v>Facebook</v></cell><cell r="AF5900"><v>3654128</v></cell><cell r="AG5900" t="str"><v>Facebook»AZR»1x1»SocialBan»NA»ALL»DYN»RT»D»All»SS»NA»Free Account Retargeting VM - T2 - EN</v></cell><cell r="AH5900"><v>223691822</v></cell><cell r="AI5900" t="str"><v>AzurePlatform_FreeAcctRetargetingVMFB-OnDemand-ChE_CAN_1200x628_SOC_Plat_EN_Free Account_Standard_NA_SU_T2_1</v></cell><cell r="AJ5900"><v>103058708</v></cell></row><row r="5901"><cell r="C5901" t="str"><v>43324Facebook»AZR»1x1»SocialBan»NA»ALL»DYN»RT»D»All»SS»NA»Free Account Retargeting VM - T2 - FR</v></cell><cell r="D5901" t="str"><v>43324223691780</v></cell><cell r="E5901" t="str"><v>433241030587262 - FR</v></cell><cell r="F5901" t="str"><v>DCM</v></cell><cell r="G5901" t="str"><v>https://azure.microsoft.com/fr-ca/free/virtual-machines/search/</v></cell></row><row r="5901"><cell r="K5901" t="str"><v>August</v></cell><cell r="L5901"><v>43330</v></cell><cell r="M5901" t="str"><v>Tier 1</v></cell><cell r="N5901" t="str"><v>North America</v></cell><cell r="O5901" t="str"><v>Canada</v></cell><cell r="P5901" t="str"><v>Trial</v></cell><cell r="Q5901" t="str"><v>Social</v></cell><cell r="R5901" t="str"><v>Azure</v></cell><cell r="S5901" t="str"><v>Apps & Infra</v></cell><cell r="T5901" t="str"><v>Developers & ITI's</v></cell><cell r="U5901" t="str"><v>AZR</v></cell><cell r="V5901" t="str"><v>Retargeting</v></cell><cell r="W5901" t="str"><v>NotApplicable</v></cell><cell r="X5901" t="str"><v>1x1</v></cell></row><row r="5901"><cell r="AA5901"><v>43324</v></cell><cell r="AB5901" t="str"><v>CAN_gaPMG_AZR_AZR_Q1_19_Trial-Social</v></cell><cell r="AC5901"><v>21337220</v></cell><cell r="AD5901"><v>720192</v></cell><cell r="AE5901" t="str"><v>Facebook</v></cell><cell r="AF5901"><v>3654128</v></cell><cell r="AG5901" t="str"><v>Facebook»AZR»1x1»SocialBan»NA»ALL»DYN»RT»D»All»SS»NA»Free Account Retargeting VM - T2 - FR</v></cell><cell r="AH5901"><v>223691780</v></cell><cell r="AI5901" t="str"><v>AzurePlatform_FreeAcctRetargetingVMFB-OnDemand-ChE_CAN_1200x628_SOC_Plat_FR_Free Account_Standard_NA_SU_T2_1</v></cell><cell r="AJ5901"><v>103058726</v></cell></row><row r="5902"><cell r="C5902" t="str"><v>43324Facebook»DEV-ITP-AZR-FB|CanvasAds|Interesttargeting»1x1»TextLink»CAN»DT»CPM»AUT»W»NA»SS»NA»39684020-11000</v></cell><cell r="D5902" t="str"><v>43324224009494</v></cell><cell r="E5902" t="str"><v>43324103236186-11000</v></cell><cell r="F5902" t="str"><v>DCM</v></cell><cell r="G5902" t="str"><v>https://signup.azure.com/signup?offer=ms-azr-0044p&appId=102&ref=paidmedia-social-fb&redirectURL=https%3a%2f%2fazure.microsoft.com%2fde-de%2fget-started%2fwelcome-to-azure%2f&l=de-de&correlationId=ead86c34-1f10-49dd-a72b-6918462a2cbf</v></cell></row><row r="5902"><cell r="K5902" t="str"><v>August</v></cell><cell r="L5902"><v>43330</v></cell><cell r="M5902" t="str"><v>Tier 1</v></cell><cell r="N5902" t="str"><v>EMEA</v></cell><cell r="O5902" t="str"><v>Germany</v></cell><cell r="P5902" t="str"><v>Trial</v></cell><cell r="Q5902" t="str"><v>Social</v></cell><cell r="R5902" t="str"><v>Azure</v></cell><cell r="S5902" t="str"><v>Apps & Infra</v></cell><cell r="T5902" t="str"><v>Developers & ITI's</v></cell><cell r="U5902" t="str"><v>DEV-ITP-AZR-FB|CanvasAds|Interesttargeting</v></cell><cell r="V5902" t="str"><v>Audience Targeting</v></cell><cell r="W5902" t="str"><v>Canvas Ad</v></cell><cell r="X5902" t="str"><v>1x1</v></cell></row><row r="5902"><cell r="AA5902"><v>43324</v></cell><cell r="AB5902" t="str"><v>DEU_gaPMG_AZR_AZR_Q1_19_Trial-Social- 39684</v></cell><cell r="AC5902"><v>21359477</v></cell><cell r="AD5902"><v>720194</v></cell><cell r="AE5902" t="str"><v>Facebook</v></cell><cell r="AF5902"><v>3654128</v></cell><cell r="AG5902" t="str"><v>Facebook»DEV-ITP-AZR-FB|CanvasAds|Interesttargeting»1x1»TextLink»CAN»DT»CPM»AUT»W»NA»SS»NA»39684020-11000</v></cell><cell r="AH5902"><v>224009494</v></cell><cell r="AI5902" t="str"><v>AzurePlatform_FBCTCBasicMotion-StartFreeCT_DEU_10s_ISV_PLAT_DE_Trial_Standard_STAN_TN_T1_1</v></cell><cell r="AJ5902"><v>103236186</v></cell></row><row r="5903"><cell r="C5903" t="str"><v>43324Facebook»DEV-ITP-AZR-FB|CanvasAds|Interesttargeting»1x1»TextLink»CAN»DT»CPM»AUT»W»NA»SS»NA»39684020-11000</v></cell><cell r="D5903" t="str"><v>43324224009494</v></cell><cell r="E5903" t="str"><v>43324103236189-11000</v></cell><cell r="F5903" t="str"><v>DCM</v></cell><cell r="G5903" t="str"><v>https://azure.microsoft.com/de-de/pricing/purchase-options/</v></cell></row><row r="5903"><cell r="K5903" t="str"><v>August</v></cell><cell r="L5903"><v>43330</v></cell><cell r="M5903" t="str"><v>Tier 1</v></cell><cell r="N5903" t="str"><v>EMEA</v></cell><cell r="O5903" t="str"><v>Germany</v></cell><cell r="P5903" t="str"><v>Trial</v></cell><cell r="Q5903" t="str"><v>Social</v></cell><cell r="R5903" t="str"><v>Azure</v></cell><cell r="S5903" t="str"><v>Apps & Infra</v></cell><cell r="T5903" t="str"><v>Developers & ITI's</v></cell><cell r="U5903" t="str"><v>DEV-ITP-AZR-FB|CanvasAds|Interesttargeting</v></cell><cell r="V5903" t="str"><v>Audience Targeting</v></cell><cell r="W5903" t="str"><v>Canvas Ad</v></cell><cell r="X5903" t="str"><v>1x1</v></cell></row><row r="5903"><cell r="AA5903"><v>43324</v></cell><cell r="AB5903" t="str"><v>DEU_gaPMG_AZR_AZR_Q1_19_Trial-Social- 39684</v></cell><cell r="AC5903"><v>21359477</v></cell><cell r="AD5903"><v>720194</v></cell><cell r="AE5903" t="str"><v>Facebook</v></cell><cell r="AF5903"><v>3654128</v></cell><cell r="AG5903" t="str"><v>Facebook»DEV-ITP-AZR-FB|CanvasAds|Interesttargeting»1x1»TextLink»CAN»DT»CPM»AUT»W»NA»SS»NA»39684020-11000</v></cell><cell r="AH5903"><v>224009494</v></cell><cell r="AI5903" t="str"><v>AzurePlatform_FBCTCBenefit2inMotion-BuyNow_DEU_14s_ISV_PLAT_DE_Trial_Standard_STAN_TN_T4_1</v></cell><cell r="AJ5903"><v>103236189</v></cell></row><row r="5904"><cell r="C5904" t="str"><v>43324Facebook»DEV-ITP-AZR-FB|CanvasAds|Interesttargeting»1x1»TextLink»CAN»DT»CPM»AUT»W»NA»SS»NA»39684020-11000</v></cell><cell r="D5904" t="str"><v>43324224009494</v></cell><cell r="E5904" t="str"><v>43324103237290-11000</v></cell><cell r="F5904" t="str"><v>DCM</v></cell><cell r="G5904" t="str"><v>https://signup.azure.com/signup?offer=ms-azr-0044p&appId=102&ref=paidmedia-social-fb&redirectURL=https%3a%2f%2fazure.microsoft.com%2fde-de%2fget-started%2fwelcome-to-azure%2f&l=de-de&correlationId=ead86c34-1f10-49dd-a72b-6918462a2cbf</v></cell></row><row r="5904"><cell r="K5904" t="str"><v>August</v></cell><cell r="L5904"><v>43330</v></cell><cell r="M5904" t="str"><v>Tier 1</v></cell><cell r="N5904" t="str"><v>EMEA</v></cell><cell r="O5904" t="str"><v>Germany</v></cell><cell r="P5904" t="str"><v>Trial</v></cell><cell r="Q5904" t="str"><v>Social</v></cell><cell r="R5904" t="str"><v>Azure</v></cell><cell r="S5904" t="str"><v>Apps & Infra</v></cell><cell r="T5904" t="str"><v>Developers & ITI's</v></cell><cell r="U5904" t="str"><v>DEV-ITP-AZR-FB|CanvasAds|Interesttargeting</v></cell><cell r="V5904" t="str"><v>Audience Targeting</v></cell><cell r="W5904" t="str"><v>Canvas Ad</v></cell><cell r="X5904" t="str"><v>1x1</v></cell></row><row r="5904"><cell r="AA5904"><v>43324</v></cell><cell r="AB5904" t="str"><v>DEU_gaPMG_AZR_AZR_Q1_19_Trial-Social- 39684</v></cell><cell r="AC5904"><v>21359477</v></cell><cell r="AD5904"><v>720194</v></cell><cell r="AE5904" t="str"><v>Facebook</v></cell><cell r="AF5904"><v>3654128</v></cell><cell r="AG5904" t="str"><v>Facebook»DEV-ITP-AZR-FB|CanvasAds|Interesttargeting»1x1»TextLink»CAN»DT»CPM»AUT»W»NA»SS»NA»39684020-11000</v></cell><cell r="AH5904"><v>224009494</v></cell><cell r="AI5904" t="str"><v>AzurePlatform_FBCTCBenefit2inMotion-StartFreeCT_DEU_14s_ISV_PLAT_DE_Trial_Standard_STAN_TN_T4_1</v></cell><cell r="AJ5904"><v>103237290</v></cell></row><row r="5905"><cell r="C5905" t="str"><v>43324Facebook»DEV-ITP-AZR-FB|CanvasAds|Interesttargeting»1x1»TextLink»CAN»DT»CPM»AUT»W»NA»SS»NA»39684020-11000</v></cell><cell r="D5905" t="str"><v>43324224009494</v></cell><cell r="E5905" t="str"><v>43324103350059-11000</v></cell><cell r="F5905" t="str"><v>DCM</v></cell><cell r="G5905" t="str"><v>https://azure.microsoft.com/de-de/pricing/purchase-options/</v></cell></row><row r="5905"><cell r="K5905" t="str"><v>August</v></cell><cell r="L5905"><v>43330</v></cell><cell r="M5905" t="str"><v>Tier 1</v></cell><cell r="N5905" t="str"><v>EMEA</v></cell><cell r="O5905" t="str"><v>Germany</v></cell><cell r="P5905" t="str"><v>Trial</v></cell><cell r="Q5905" t="str"><v>Social</v></cell><cell r="R5905" t="str"><v>Azure</v></cell><cell r="S5905" t="str"><v>Apps & Infra</v></cell><cell r="T5905" t="str"><v>Developers & ITI's</v></cell><cell r="U5905" t="str"><v>DEV-ITP-AZR-FB|CanvasAds|Interesttargeting</v></cell><cell r="V5905" t="str"><v>Audience Targeting</v></cell><cell r="W5905" t="str"><v>Canvas Ad</v></cell><cell r="X5905" t="str"><v>1x1</v></cell></row><row r="5905"><cell r="AA5905"><v>43324</v></cell><cell r="AB5905" t="str"><v>DEU_gaPMG_AZR_AZR_Q1_19_Trial-Social- 39684</v></cell><cell r="AC5905"><v>21359477</v></cell><cell r="AD5905"><v>720194</v></cell><cell r="AE5905" t="str"><v>Facebook</v></cell><cell r="AF5905"><v>3654128</v></cell><cell r="AG5905" t="str"><v>Facebook»DEV-ITP-AZR-FB|CanvasAds|Interesttargeting»1x1»TextLink»CAN»DT»CPM»AUT»W»NA»SS»NA»39684020-11000</v></cell><cell r="AH5905"><v>224009494</v></cell><cell r="AI5905" t="str"><v>AzurePlatform_FBCTCBrandinMotion-BuyNow_DEU_12s_ISV_PLAT_DE_Trial_Standard_STAN_TN_T2_1</v></cell><cell r="AJ5905"><v>103350059</v></cell></row><row r="5906"><cell r="C5906" t="str"><v>43324Facebook»DEV-ITP-AZR-FB|CanvasAds|Interesttargeting»1x1»TextLink»CAN»DT»CPM»AUT»W»NA»SS»NA»39684020-11000</v></cell><cell r="D5906" t="str"><v>43324224009494</v></cell><cell r="E5906" t="str"><v>43324103237293-11000</v></cell><cell r="F5906" t="str"><v>DCM</v></cell><cell r="G5906" t="str"><v>https://signup.azure.com/signup?offer=ms-azr-0044p&appId=102&ref=paidmedia-social-fb&redirectURL=https%3a%2f%2fazure.microsoft.com%2fde-de%2fget-started%2fwelcome-to-azure%2f&l=de-de&correlationId=ead86c34-1f10-49dd-a72b-6918462a2cbf</v></cell></row><row r="5906"><cell r="K5906" t="str"><v>August</v></cell><cell r="L5906"><v>43330</v></cell><cell r="M5906" t="str"><v>Tier 1</v></cell><cell r="N5906" t="str"><v>EMEA</v></cell><cell r="O5906" t="str"><v>Germany</v></cell><cell r="P5906" t="str"><v>Trial</v></cell><cell r="Q5906" t="str"><v>Social</v></cell><cell r="R5906" t="str"><v>Azure</v></cell><cell r="S5906" t="str"><v>Apps & Infra</v></cell><cell r="T5906" t="str"><v>Developers & ITI's</v></cell><cell r="U5906" t="str"><v>DEV-ITP-AZR-FB|CanvasAds|Interesttargeting</v></cell><cell r="V5906" t="str"><v>Audience Targeting</v></cell><cell r="W5906" t="str"><v>Canvas Ad</v></cell><cell r="X5906" t="str"><v>1x1</v></cell></row><row r="5906"><cell r="AA5906"><v>43324</v></cell><cell r="AB5906" t="str"><v>DEU_gaPMG_AZR_AZR_Q1_19_Trial-Social- 39684</v></cell><cell r="AC5906"><v>21359477</v></cell><cell r="AD5906"><v>720194</v></cell><cell r="AE5906" t="str"><v>Facebook</v></cell><cell r="AF5906"><v>3654128</v></cell><cell r="AG5906" t="str"><v>Facebook»DEV-ITP-AZR-FB|CanvasAds|Interesttargeting»1x1»TextLink»CAN»DT»CPM»AUT»W»NA»SS»NA»39684020-11000</v></cell><cell r="AH5906"><v>224009494</v></cell><cell r="AI5906" t="str"><v>AzurePlatform_FBCTCBrandinMotion-StartFreeCT_DEU_12s_ISV_PLAT_DE_Trial_Standard_STAN_TN_T2_1</v></cell><cell r="AJ5906"><v>103237293</v></cell></row><row r="5907"><cell r="C5907" t="str"><v>43324Facebook»DEV-ITP-AZR-FB|LinkAd|CustomerAudienceRetargeting»1x1»TextLink»LIA»DT»CPM»RT»W»NA»SS»NA»39684019-11000</v></cell><cell r="D5907" t="str"><v>43324224010415</v></cell><cell r="E5907" t="str"><v>43324103048548-11000</v></cell><cell r="F5907" t="str"><v>DCM</v></cell><cell r="G5907" t="str"><v>https://azure.microsoft.com/de-de/free/search/</v></cell></row><row r="5907"><cell r="K5907" t="str"><v>August</v></cell><cell r="L5907"><v>43330</v></cell><cell r="M5907" t="str"><v>Tier 1</v></cell><cell r="N5907" t="str"><v>EMEA</v></cell><cell r="O5907" t="str"><v>Germany</v></cell><cell r="P5907" t="str"><v>Trial</v></cell><cell r="Q5907" t="str"><v>Social</v></cell><cell r="R5907" t="str"><v>Azure</v></cell><cell r="S5907" t="str"><v>Apps & Infra</v></cell><cell r="T5907" t="str"><v>Developers & ITI's</v></cell><cell r="U5907" t="str"><v>DEV-ITP-AZR-FB|LinkAd|CustomerAudienceRetargeting</v></cell><cell r="V5907" t="str"><v>Retargeting</v></cell><cell r="W5907" t="str"><v>Link Ad</v></cell><cell r="X5907" t="str"><v>1x1</v></cell></row><row r="5907"><cell r="AA5907"><v>43324</v></cell><cell r="AB5907" t="str"><v>DEU_gaPMG_AZR_AZR_Q1_19_Trial-Social- 39684</v></cell><cell r="AC5907"><v>21359477</v></cell><cell r="AD5907"><v>720194</v></cell><cell r="AE5907" t="str"><v>Facebook</v></cell><cell r="AF5907"><v>3654128</v></cell><cell r="AG5907" t="str"><v>Facebook»DEV-ITP-AZR-FB|LinkAd|CustomerAudienceRetargeting»1x1»TextLink»LIA»DT»CPM»RT»W»NA»SS»NA»39684019-11000</v></cell><cell r="AH5907"><v>224010415</v></cell><cell r="AI5907" t="str"><v>AzurePlatform_FreeAcctRetargetingFB-Animated-ChC_DEU_1200x628_SOC_Plat_DE_Free Account_Standard_ANI_SNU_T3_1</v></cell><cell r="AJ5907"><v>103048548</v></cell></row><row r="5908"><cell r="C5908" t="str"><v>43324Facebook»DEV-ITP-AZR-FB|LinkAd|CustomerAudienceRetargeting»1x1»TextLink»LIA»DT»CPM»RT»W»NA»SS»NA»39684019-11000</v></cell><cell r="D5908" t="str"><v>43324224010415</v></cell><cell r="E5908" t="str"><v>43324103040320-11000</v></cell><cell r="F5908" t="str"><v>DCM</v></cell><cell r="G5908" t="str"><v>https://azure.microsoft.com/de-de/free/search/</v></cell></row><row r="5908"><cell r="K5908" t="str"><v>August</v></cell><cell r="L5908"><v>43330</v></cell><cell r="M5908" t="str"><v>Tier 1</v></cell><cell r="N5908" t="str"><v>EMEA</v></cell><cell r="O5908" t="str"><v>Germany</v></cell><cell r="P5908" t="str"><v>Trial</v></cell><cell r="Q5908" t="str"><v>Social</v></cell><cell r="R5908" t="str"><v>Azure</v></cell><cell r="S5908" t="str"><v>Apps & Infra</v></cell><cell r="T5908" t="str"><v>Developers & ITI's</v></cell><cell r="U5908" t="str"><v>DEV-ITP-AZR-FB|LinkAd|CustomerAudienceRetargeting</v></cell><cell r="V5908" t="str"><v>Retargeting</v></cell><cell r="W5908" t="str"><v>Link Ad</v></cell><cell r="X5908" t="str"><v>1x1</v></cell></row><row r="5908"><cell r="AA5908"><v>43324</v></cell><cell r="AB5908" t="str"><v>DEU_gaPMG_AZR_AZR_Q1_19_Trial-Social- 39684</v></cell><cell r="AC5908"><v>21359477</v></cell><cell r="AD5908"><v>720194</v></cell><cell r="AE5908" t="str"><v>Facebook</v></cell><cell r="AF5908"><v>3654128</v></cell><cell r="AG5908" t="str"><v>Facebook»DEV-ITP-AZR-FB|LinkAd|CustomerAudienceRetargeting»1x1»TextLink»LIA»DT»CPM»RT»W»NA»SS»NA»39684019-11000</v></cell><cell r="AH5908"><v>224010415</v></cell><cell r="AI5908" t="str"><v>AzurePlatform_FreeAcctRetargetingFB-GlobalAlt-ChB_DEU_1200x628_SOC_Plat_DE_Free Account_Standard_NA_SNU_T2_1</v></cell><cell r="AJ5908"><v>103040320</v></cell></row><row r="5909"><cell r="C5909" t="str"><v>43324Facebook»DEV-ITP-AZR-FB|LinkAd|CustomerAudienceRetargeting»1x1»TextLink»LIA»DT»CPM»RT»W»NA»SS»NA»39684019-11000</v></cell><cell r="D5909" t="str"><v>43324224010415</v></cell><cell r="E5909" t="str"><v>43324103043329-11000</v></cell><cell r="F5909" t="str"><v>DCM</v></cell><cell r="G5909" t="str"><v>https://azure.microsoft.com/de-de/free/open-source/search/</v></cell></row><row r="5909"><cell r="K5909" t="str"><v>August</v></cell><cell r="L5909"><v>43330</v></cell><cell r="M5909" t="str"><v>Tier 1</v></cell><cell r="N5909" t="str"><v>EMEA</v></cell><cell r="O5909" t="str"><v>Germany</v></cell><cell r="P5909" t="str"><v>Trial</v></cell><cell r="Q5909" t="str"><v>Social</v></cell><cell r="R5909" t="str"><v>Azure</v></cell><cell r="S5909" t="str"><v>Apps & Infra</v></cell><cell r="T5909" t="str"><v>Developers & ITI's</v></cell><cell r="U5909" t="str"><v>DEV-ITP-AZR-FB|LinkAd|CustomerAudienceRetargeting</v></cell><cell r="V5909" t="str"><v>Retargeting</v></cell><cell r="W5909" t="str"><v>Link Ad</v></cell><cell r="X5909" t="str"><v>1x1</v></cell></row><row r="5909"><cell r="AA5909"><v>43324</v></cell><cell r="AB5909" t="str"><v>DEU_gaPMG_AZR_AZR_Q1_19_Trial-Social- 39684</v></cell><cell r="AC5909"><v>21359477</v></cell><cell r="AD5909"><v>720194</v></cell><cell r="AE5909" t="str"><v>Facebook</v></cell><cell r="AF5909"><v>3654128</v></cell><cell r="AG5909" t="str"><v>Facebook»DEV-ITP-AZR-FB|LinkAd|CustomerAudienceRetargeting»1x1»TextLink»LIA»DT»CPM»RT»W»NA»SS»NA»39684019-11000</v></cell><cell r="AH5909"><v>224010415</v></cell><cell r="AI5909" t="str"><v>AzurePlatform_FreeAcctRetargetingOSSFB-Logos-ChG_DEU_1200x628_SOC_Plat_DE_Free Account_Standard_NA_SNU_T2_1</v></cell><cell r="AJ5909"><v>103043329</v></cell></row><row r="5910"><cell r="C5910" t="str"><v>43324Facebook»DEV-ITP-AZR-FB|LinkAd|CustomerAudienceRetargeting»1x1»TextLink»LIA»DT»CPM»RT»W»NA»SS»NA»39684019-11000</v></cell><cell r="D5910" t="str"><v>43324224010415</v></cell><cell r="E5910" t="str"><v>43324103055394-11000</v></cell><cell r="F5910" t="str"><v>DCM</v></cell><cell r="G5910" t="str"><v>https://azure.microsoft.com/de-de/free/open-source/search/</v></cell></row><row r="5910"><cell r="K5910" t="str"><v>August</v></cell><cell r="L5910"><v>43330</v></cell><cell r="M5910" t="str"><v>Tier 1</v></cell><cell r="N5910" t="str"><v>EMEA</v></cell><cell r="O5910" t="str"><v>Germany</v></cell><cell r="P5910" t="str"><v>Trial</v></cell><cell r="Q5910" t="str"><v>Social</v></cell><cell r="R5910" t="str"><v>Azure</v></cell><cell r="S5910" t="str"><v>Apps & Infra</v></cell><cell r="T5910" t="str"><v>Developers & ITI's</v></cell><cell r="U5910" t="str"><v>DEV-ITP-AZR-FB|LinkAd|CustomerAudienceRetargeting</v></cell><cell r="V5910" t="str"><v>Retargeting</v></cell><cell r="W5910" t="str"><v>Link Ad</v></cell><cell r="X5910" t="str"><v>1x1</v></cell></row><row r="5910"><cell r="AA5910"><v>43324</v></cell><cell r="AB5910" t="str"><v>DEU_gaPMG_AZR_AZR_Q1_19_Trial-Social- 39684</v></cell><cell r="AC5910"><v>21359477</v></cell><cell r="AD5910"><v>720194</v></cell><cell r="AE5910" t="str"><v>Facebook</v></cell><cell r="AF5910"><v>3654128</v></cell><cell r="AG5910" t="str"><v>Facebook»DEV-ITP-AZR-FB|LinkAd|CustomerAudienceRetargeting»1x1»TextLink»LIA»DT»CPM»RT»W»NA»SS»NA»39684019-11000</v></cell><cell r="AH5910"><v>224010415</v></cell><cell r="AI5910" t="str"><v>AzurePlatform_FreeAcctRetargetingOSSFB-Text-ChF_DEU_1200x628_SOC_Plat_DE_Free Account_Standard_NA_SNU_T1_1</v></cell><cell r="AJ5910"><v>103055394</v></cell></row><row r="5911"><cell r="C5911" t="str"><v>43324Facebook»Developers/ITPros-Azure Direct-Sponsored Post-Canvas-FBCTCcanvaspage-BuyNowCTA-Img3_FBCTCBrandinMotion_FRA_14sec»1x1»Canvas»SOC»ALL»CPC»BT»D»UNK»SS»NA»Trials</v></cell><cell r="D5911" t="str"><v>43324224416918</v></cell><cell r="E5911" t="str"><v>43324103256571Trials</v></cell><cell r="F5911" t="str"><v>DCM</v></cell><cell r="G5911" t="str"><v>https://azure.microsoft.com/fr-fr/pricing/purchase-options/</v></cell></row><row r="5911"><cell r="K5911" t="str"><v>August</v></cell><cell r="L5911"><v>43330</v></cell><cell r="M5911" t="str"><v>Tier 1</v></cell><cell r="N5911" t="str"><v>EMEA</v></cell><cell r="O5911" t="str"><v>France</v></cell><cell r="P5911" t="str"><v>Trial</v></cell><cell r="Q5911" t="str"><v>Social</v></cell><cell r="R5911" t="str"><v>Azure</v></cell><cell r="S5911" t="str"><v>Apps & Infra</v></cell><cell r="T5911" t="str"><v>Developers & ITI's</v></cell><cell r="U5911" t="str"><v>Developers/ITPros-Azure Direct-Sponsored Post-Canvas-FBCTCcanvaspage-BuyNowCTA-Img3_FBCTCBrandinMotion_FRA_14sec</v></cell><cell r="V5911" t="str"><v>Behavioral Targeting</v></cell><cell r="W5911" t="str"><v>Social</v></cell><cell r="X5911" t="str"><v>1x1</v></cell></row><row r="5911"><cell r="AA5911"><v>43324</v></cell><cell r="AB5911" t="str"><v>FRA_gaPMG_AZR_AZR_Q1_19_AzureDirect-Trial-Social</v></cell><cell r="AC5911"><v>21356941</v></cell><cell r="AD5911"><v>720193</v></cell><cell r="AE5911" t="str"><v>Facebook</v></cell><cell r="AF5911"><v>3654128</v></cell><cell r="AG5911" t="str"><v>Facebook»Developers/ITPros-Azure Direct-Sponsored Post-Canvas-FBCTCcanvaspage-BuyNowCTA-Img3_FBCTCBrandinMotion_FRA_14sec»1x1»Canvas»SOC»ALL»CPC»BT»D»UNK»SS»NA»Trials</v></cell><cell r="AH5911"><v>224416918</v></cell><cell r="AI5911" t="str"><v>AZR_FBCTCcanvaspage-BuyNowCTA-Img3_FRA_1080x162_SOC_AZRDirect_French_NA_Facebook_SBAN_BN_T3_1</v></cell><cell r="AJ5911"><v>103256571</v></cell></row><row r="5912"><cell r="C5912" t="str"><v>43324Facebook»Developers/ITPros-Azure Direct-Sponsored Post-Canvas-FBCTCcanvaspage-StartFreeCTA-Img2_FBCTCBasicMotion_FRA_10sec»1x1»Canvas»SOC»ALL»CPC»BT»D»UNK»SS»NA»Trials</v></cell><cell r="D5912" t="str"><v>43324224560884</v></cell><cell r="E5912" t="str"><v>43324103259958Trials</v></cell><cell r="F5912" t="str"><v>DCM</v></cell><cell r="G5912" t="str"><v>https://signup.azure.com/signup?offer=ms-azr-0044p&appId=102&ref=paidmedia-social-fb&redirectURL=https%3a%2f%2fazure.microsoft.com%2ffr-fr%2fget-started%2fwelcome-to-azure%2f&l=fr-fr&correlationId=ead86c34-1f10-49dd-a72b-6918462a2cbf</v></cell></row><row r="5912"><cell r="K5912" t="str"><v>August</v></cell><cell r="L5912"><v>43330</v></cell><cell r="M5912" t="str"><v>Tier 1</v></cell><cell r="N5912" t="str"><v>EMEA</v></cell><cell r="O5912" t="str"><v>France</v></cell><cell r="P5912" t="str"><v>Trial</v></cell><cell r="Q5912" t="str"><v>Social</v></cell><cell r="R5912" t="str"><v>Azure</v></cell><cell r="S5912" t="str"><v>Apps & Infra</v></cell><cell r="T5912" t="str"><v>Developers & ITI's</v></cell><cell r="U5912" t="str"><v>Developers/ITPros-Azure Direct-Sponsored Post-Canvas-FBCTCcanvaspage-StartFreeCTA-Img2_FBCTCBasicMotion_FRA_10sec</v></cell><cell r="V5912" t="str"><v>Behavioral Targeting</v></cell><cell r="W5912" t="str"><v>Social</v></cell><cell r="X5912" t="str"><v>1x1</v></cell></row><row r="5912"><cell r="AA5912"><v>43324</v></cell><cell r="AB5912" t="str"><v>FRA_gaPMG_AZR_AZR_Q1_19_AzureDirect-Trial-Social</v></cell><cell r="AC5912"><v>21356941</v></cell><cell r="AD5912"><v>720193</v></cell><cell r="AE5912" t="str"><v>Facebook</v></cell><cell r="AF5912"><v>3654128</v></cell><cell r="AG5912" t="str"><v>Facebook»Developers/ITPros-Azure Direct-Sponsored Post-Canvas-FBCTCcanvaspage-StartFreeCTA-Img2_FBCTCBasicMotion_FRA_10sec»1x1»Canvas»SOC»ALL»CPC»BT»D»UNK»SS»NA»Trials</v></cell><cell r="AH5912"><v>224560884</v></cell><cell r="AI5912" t="str"><v>AZR_FBCTCcanvaspage-StartFreeCTA-Img2_FRA_1080x143_SOC_AZRDirect_French_NA_Facebook_SBAN_BN_T2_1</v></cell><cell r="AJ5912"><v>103259958</v></cell></row><row r="5913"><cell r="C5913" t="str"><v>43324Facebook»Developers/ITPros-Azure Direct-Sponsored Post-Canvas-FBCTCcanvaspage-StartFreeCTA-Img2_FBCTCBrandinMotion_FRA_14sec»1x1»Canvas»SOC»ALL»CPC»BT»D»UNK»SS»NA»Trials</v></cell><cell r="D5913" t="str"><v>43324224560872</v></cell><cell r="E5913" t="str"><v>43324103259958Trials</v></cell><cell r="F5913" t="str"><v>DCM</v></cell><cell r="G5913" t="str"><v>https://signup.azure.com/signup?offer=ms-azr-0044p&appId=102&ref=paidmedia-social-fb&redirectURL=https%3a%2f%2fazure.microsoft.com%2ffr-fr%2fget-started%2fwelcome-to-azure%2f&l=fr-fr&correlationId=ead86c34-1f10-49dd-a72b-6918462a2cbf</v></cell></row><row r="5913"><cell r="K5913" t="str"><v>August</v></cell><cell r="L5913"><v>43330</v></cell><cell r="M5913" t="str"><v>Tier 1</v></cell><cell r="N5913" t="str"><v>EMEA</v></cell><cell r="O5913" t="str"><v>France</v></cell><cell r="P5913" t="str"><v>Trial</v></cell><cell r="Q5913" t="str"><v>Social</v></cell><cell r="R5913" t="str"><v>Azure</v></cell><cell r="S5913" t="str"><v>Apps & Infra</v></cell><cell r="T5913" t="str"><v>Developers & ITI's</v></cell><cell r="U5913" t="str"><v>Developers/ITPros-Azure Direct-Sponsored Post-Canvas-FBCTCcanvaspage-StartFreeCTA-Img2_FBCTCBrandinMotion_FRA_14sec</v></cell><cell r="V5913" t="str"><v>Behavioral Targeting</v></cell><cell r="W5913" t="str"><v>Social</v></cell><cell r="X5913" t="str"><v>1x1</v></cell></row><row r="5913"><cell r="AA5913"><v>43324</v></cell><cell r="AB5913" t="str"><v>FRA_gaPMG_AZR_AZR_Q1_19_AzureDirect-Trial-Social</v></cell><cell r="AC5913"><v>21356941</v></cell><cell r="AD5913"><v>720193</v></cell><cell r="AE5913" t="str"><v>Facebook</v></cell><cell r="AF5913"><v>3654128</v></cell><cell r="AG5913" t="str"><v>Facebook»Developers/ITPros-Azure Direct-Sponsored Post-Canvas-FBCTCcanvaspage-StartFreeCTA-Img2_FBCTCBrandinMotion_FRA_14sec»1x1»Canvas»SOC»ALL»CPC»BT»D»UNK»SS»NA»Trials</v></cell><cell r="AH5913"><v>224560872</v></cell><cell r="AI5913" t="str"><v>AZR_FBCTCcanvaspage-StartFreeCTA-Img2_FRA_1080x143_SOC_AZRDirect_French_NA_Facebook_SBAN_BN_T2_1</v></cell><cell r="AJ5913"><v>103259958</v></cell></row><row r="5914"><cell r="C5914" t="str"><v>43324Facebook»Developers/ITPros-Azure Direct-Sponsored Post-Link Ad-FreeAcctRetargetingFB-GlobalAlt-ChB»1x1»SocialBan»SOC»ALL»CPC»BT»D»UNK»SS»NA»Trials</v></cell><cell r="D5914" t="str"><v>43324224560845</v></cell><cell r="E5914" t="str"><v>43324103259520Trials</v></cell><cell r="F5914" t="str"><v>DCM</v></cell><cell r="G5914" t="str"><v>https://azure.microsoft.com/fr-fr/free/search/</v></cell></row><row r="5914"><cell r="K5914" t="str"><v>August</v></cell><cell r="L5914"><v>43330</v></cell><cell r="M5914" t="str"><v>Tier 1</v></cell><cell r="N5914" t="str"><v>EMEA</v></cell><cell r="O5914" t="str"><v>France</v></cell><cell r="P5914" t="str"><v>Trial</v></cell><cell r="Q5914" t="str"><v>Social</v></cell><cell r="R5914" t="str"><v>Azure</v></cell><cell r="S5914" t="str"><v>Apps & Infra</v></cell><cell r="T5914" t="str"><v>Developers & ITI's</v></cell><cell r="U5914" t="str"><v>Developers/ITPros-Azure Direct-Sponsored Post-Link Ad-FreeAcctRetargetingFB-GlobalAlt-ChB</v></cell><cell r="V5914" t="str"><v>Behavioral Targeting</v></cell><cell r="W5914" t="str"><v>Social</v></cell><cell r="X5914" t="str"><v>1x1</v></cell></row><row r="5914"><cell r="AA5914"><v>43324</v></cell><cell r="AB5914" t="str"><v>FRA_gaPMG_AZR_AZR_Q1_19_AzureDirect-Trial-Social</v></cell><cell r="AC5914"><v>21356941</v></cell><cell r="AD5914"><v>720193</v></cell><cell r="AE5914" t="str"><v>Facebook</v></cell><cell r="AF5914"><v>3654128</v></cell><cell r="AG5914" t="str"><v>Facebook»Developers/ITPros-Azure Direct-Sponsored Post-Link Ad-FreeAcctRetargetingFB-GlobalAlt-ChB»1x1»SocialBan»SOC»ALL»CPC»BT»D»UNK»SS»NA»Trials</v></cell><cell r="AH5914"><v>224560845</v></cell><cell r="AI5914" t="str"><v>AZR_FreeAcctRetargetingFB-GlobalAlt-ChB_FRA_1200x628_SOC_AZRDirect_French_NA_Facebook_SBAN_SINU_T2_1</v></cell><cell r="AJ5914"><v>103259520</v></cell></row><row r="5915"><cell r="C5915" t="str"><v>43324Facebook»Developers/ITPros-Azure Direct-Sponsored Post-Video Ad-FBCTCBasicMotion_FRA_10s_RTG Landing Page»1x1»05s»SOC»ALL»CPC»BT»D»UNK»SS»NA»Trials</v></cell><cell r="D5915" t="str"><v>43324224416915</v></cell><cell r="E5915" t="str"><v>43324103376981Trials</v></cell><cell r="F5915" t="str"><v>DCM</v></cell></row><row r="5915"><cell r="K5915" t="str"><v>August</v></cell><cell r="L5915"><v>43330</v></cell><cell r="M5915" t="str"><v>Tier 1</v></cell><cell r="N5915" t="str"><v>EMEA</v></cell><cell r="O5915" t="str"><v>France</v></cell><cell r="P5915" t="str"><v>Trial</v></cell><cell r="Q5915" t="str"><v>Social</v></cell><cell r="R5915" t="str"><v>Azure</v></cell><cell r="S5915" t="str"><v>Apps & Infra</v></cell><cell r="T5915" t="str"><v>Developers & ITI's</v></cell><cell r="U5915" t="str"><v>Developers/ITPros-Azure Direct-Sponsored Post-Video Ad-FBCTCBasicMotion_FRA_10s_RTG Landing Page</v></cell><cell r="V5915" t="str"><v>Behavioral Targeting</v></cell><cell r="W5915" t="str"><v>Social</v></cell><cell r="X5915" t="str"><v>1x1</v></cell></row><row r="5915"><cell r="AA5915"><v>43324</v></cell><cell r="AB5915" t="str"><v>FRA_gaPMG_AZR_AZR_Q1_19_AzureDirect-Trial-Social</v></cell><cell r="AC5915"><v>21356941</v></cell><cell r="AD5915"><v>720193</v></cell><cell r="AE5915" t="str"><v>Facebook</v></cell><cell r="AF5915"><v>3654128</v></cell><cell r="AG5915" t="str"><v>Facebook»Developers/ITPros-Azure Direct-Sponsored Post-Video Ad-FBCTCBasicMotion_FRA_10s_RTG Landing Page»1x1»05s»SOC»ALL»CPC»BT»D»UNK»SS»NA»Trials</v></cell><cell r="AH5915"><v>224416915</v></cell><cell r="AI5915" t="str"><v>AZR_FBCTCBasicMotion_FRA_10s_VIA_AZRDirect_French_NA_Facebook_STAN_TIN_T1_1</v></cell><cell r="AJ5915"><v>103376981</v></cell></row><row r="5916"><cell r="C5916" t="str"><v>43324Facebook»Developers/ITPros-Azure Direct-Sponsored Post-Video Ad-FBCTCBenefit2inMotion_FRA_14s_RTG Landing Page»1x1»06s»SOC»ALL»CPC»BT»D»UNK»SS»NA»Trials</v></cell><cell r="D5916" t="str"><v>43324224560875</v></cell><cell r="E5916" t="str"><v>43324103259766Trials</v></cell><cell r="F5916" t="str"><v>DCM</v></cell><cell r="G5916" t="str"><v>https://signup.azure.com/signup?offer=ms-azr-0044p&appId=102&ref=paidmedia-social-fb&redirectURL=https:%2F%2Fazure.microsoft.com%2Ffr-fr%2Fget-started%2Fwelcome-to-azure%2F&l=fr-fr&correlationId=ead86c34-1f10-49dd-a72b-6918462a2cbf</v></cell></row><row r="5916"><cell r="K5916" t="str"><v>August</v></cell><cell r="L5916"><v>43330</v></cell><cell r="M5916" t="str"><v>Tier 1</v></cell><cell r="N5916" t="str"><v>EMEA</v></cell><cell r="O5916" t="str"><v>France</v></cell><cell r="P5916" t="str"><v>Trial</v></cell><cell r="Q5916" t="str"><v>Social</v></cell><cell r="R5916" t="str"><v>Azure</v></cell><cell r="S5916" t="str"><v>Apps & Infra</v></cell><cell r="T5916" t="str"><v>Developers & ITI's</v></cell><cell r="U5916" t="str"><v>Developers/ITPros-Azure Direct-Sponsored Post-Video Ad-FBCTCBenefit2inMotion_FRA_14s_RTG Landing Page</v></cell><cell r="V5916" t="str"><v>Behavioral Targeting</v></cell><cell r="W5916" t="str"><v>Social</v></cell><cell r="X5916" t="str"><v>1x1</v></cell></row><row r="5916"><cell r="AA5916"><v>43324</v></cell><cell r="AB5916" t="str"><v>FRA_gaPMG_AZR_AZR_Q1_19_AzureDirect-Trial-Social</v></cell><cell r="AC5916"><v>21356941</v></cell><cell r="AD5916"><v>720193</v></cell><cell r="AE5916" t="str"><v>Facebook</v></cell><cell r="AF5916"><v>3654128</v></cell><cell r="AG5916" t="str"><v>Facebook»Developers/ITPros-Azure Direct-Sponsored Post-Video Ad-FBCTCBenefit2inMotion_FRA_14s_RTG Landing Page»1x1»06s»SOC»ALL»CPC»BT»D»UNK»SS»NA»Trials</v></cell><cell r="AH5916"><v>224560875</v></cell><cell r="AI5916" t="str"><v>AZR_FBCTCBenefit2inMotion_FRA_14s_VIA_AZRDirect_French_NA_Facebook_STAN_TIN_T4_1</v></cell><cell r="AJ5916"><v>103259766</v></cell></row><row r="5917"><cell r="C5917" t="str"><v>43324Facebook»Developers/ITPros-Azure Direct-Sponsored Post-Video Ad-FBCTCBrandinMotion_FRA_12s_RTG Landing Page»1x1»05s»SOC»ALL»CPC»BT»D»UNK»SS»NA»Trials</v></cell><cell r="D5917" t="str"><v>43324224560863</v></cell><cell r="E5917" t="str"><v>43324103256577Trials</v></cell><cell r="F5917" t="str"><v>DCM</v></cell></row><row r="5917"><cell r="K5917" t="str"><v>August</v></cell><cell r="L5917"><v>43330</v></cell><cell r="M5917" t="str"><v>Tier 1</v></cell><cell r="N5917" t="str"><v>EMEA</v></cell><cell r="O5917" t="str"><v>France</v></cell><cell r="P5917" t="str"><v>Trial</v></cell><cell r="Q5917" t="str"><v>Social</v></cell><cell r="R5917" t="str"><v>Azure</v></cell><cell r="S5917" t="str"><v>Apps & Infra</v></cell><cell r="T5917" t="str"><v>Developers & ITI's</v></cell><cell r="U5917" t="str"><v>Developers/ITPros-Azure Direct-Sponsored Post-Video Ad-FBCTCBrandinMotion_FRA_12s_RTG Landing Page</v></cell><cell r="V5917" t="str"><v>Behavioral Targeting</v></cell><cell r="W5917" t="str"><v>Social</v></cell><cell r="X5917" t="str"><v>1x1</v></cell></row><row r="5917"><cell r="AA5917"><v>43324</v></cell><cell r="AB5917" t="str"><v>FRA_gaPMG_AZR_AZR_Q1_19_AzureDirect-Trial-Social</v></cell><cell r="AC5917"><v>21356941</v></cell><cell r="AD5917"><v>720193</v></cell><cell r="AE5917" t="str"><v>Facebook</v></cell><cell r="AF5917"><v>3654128</v></cell><cell r="AG5917" t="str"><v>Facebook»Developers/ITPros-Azure Direct-Sponsored Post-Video Ad-FBCTCBrandinMotion_FRA_12s_RTG Landing Page»1x1»05s»SOC»ALL»CPC»BT»D»UNK»SS»NA»Trials</v></cell><cell r="AH5917"><v>224560863</v></cell><cell r="AI5917" t="str"><v>AZR_FBCTCBrandinMotion_FRA_12s_VIA_AZRDirect_French_NA_Facebook_STAN_TIN_T2_1</v></cell><cell r="AJ5917"><v>103256577</v></cell></row><row r="5918"><cell r="C5918" t="str"><v>43324Facebook»Developers/ITPros-Azure Direct-Sponsored Post_Trial-Link Ad-FreeAcctRetargetingVMFB-750Hrs-ChD CanvasOpener»1x1»SocialBan»SOC»ALL»CPC»LAL»D»UNK»SS»NA»Trials</v></cell><cell r="D5918" t="str"><v>43324226496098</v></cell><cell r="E5918" t="str"><v>43324103259010Trials</v></cell><cell r="F5918" t="str"><v>DCM</v></cell><cell r="G5918" t="str"><v>https://azure.microsoft.com/fr-fr/free/virtual-machines/search/</v></cell></row><row r="5918"><cell r="K5918" t="str"><v>August</v></cell><cell r="L5918"><v>43330</v></cell><cell r="M5918" t="str"><v>Tier 1</v></cell><cell r="N5918" t="str"><v>EMEA</v></cell><cell r="O5918" t="str"><v>France</v></cell><cell r="P5918" t="str"><v>Trial</v></cell><cell r="Q5918" t="str"><v>Social</v></cell><cell r="R5918" t="str"><v>Azure</v></cell><cell r="S5918" t="str"><v>Apps & Infra</v></cell><cell r="T5918" t="str"><v>Developers & ITI's</v></cell><cell r="U5918" t="str"><v>Developers/ITPros-Azure Direct-Sponsored Post_Trial-Link Ad-FreeAcctRetargetingVMFB-750Hrs-ChD CanvasOpener</v></cell><cell r="V5918" t="str"><v>Lookalike Targeting</v></cell><cell r="W5918" t="str"><v>Social</v></cell><cell r="X5918" t="str"><v>1x1</v></cell></row><row r="5918"><cell r="AA5918"><v>43324</v></cell><cell r="AB5918" t="str"><v>FRA_gaPMG_AZR_AZR_Q1_19_AzureDirect-Trial-Social</v></cell><cell r="AC5918"><v>21356941</v></cell><cell r="AD5918"><v>720193</v></cell><cell r="AE5918" t="str"><v>Facebook</v></cell><cell r="AF5918"><v>3654128</v></cell><cell r="AG5918" t="str"><v>Facebook»Developers/ITPros-Azure Direct-Sponsored Post_Trial-Link Ad-FreeAcctRetargetingVMFB-750Hrs-ChD CanvasOpener»1x1»SocialBan»SOC»ALL»CPC»LAL»D»UNK»SS»NA»Trials</v></cell><cell r="AH5918"><v>226496098</v></cell><cell r="AI5918" t="str"><v>AZR_FreeAcctRetargetingVMFB-750Hrs-ChD_FRA_1200x628_SOC_AZRDirect_French_NA_Facebook_SBAN_SINU_T1_1</v></cell><cell r="AJ5918"><v>103259010</v></cell></row><row r="5919"><cell r="C5919" t="str"><v>43324Facebook»ITPros-Azure Direct-Sponsored Post-Video Ad-Free Account IT Pro - Migration»1x1»30s»SOC»ALL»CPC»AUT»D»UNK»SS»NA»Trials</v></cell><cell r="D5919" t="str"><v>43324226360010</v></cell><cell r="E5919" t="str"><v>43324104458003Trials</v></cell><cell r="F5919" t="str"><v>DCM</v></cell><cell r="G5919" t="str"><v>https://signup.azure.com/signup?offer=ms-azr-0044p&appId=102&ref=paidmedia-social-fb&redirectURL=https%3a%2f%2fazure.microsoft.com%2ffr-fr%2fget-started%2fwelcome-to-azure%2f&l=fr-fr&correlationId=ead86c34-1f10-49dd-a72b-6918462a2cbf</v></cell></row><row r="5919"><cell r="K5919" t="str"><v>August</v></cell><cell r="L5919"><v>43330</v></cell><cell r="M5919" t="str"><v>Tier 1</v></cell><cell r="N5919" t="str"><v>EMEA</v></cell><cell r="O5919" t="str"><v>France</v></cell><cell r="P5919" t="str"><v>Trial</v></cell><cell r="Q5919" t="str"><v>Social</v></cell><cell r="R5919" t="str"><v>Azure</v></cell><cell r="S5919" t="str"><v>Apps & Infra</v></cell><cell r="T5919" t="str"><v>Developers & ITI's</v></cell><cell r="U5919" t="str"><v>ITPros-Azure Direct-Sponsored Post-Video Ad-Free Account IT Pro - Migration</v></cell><cell r="V5919" t="str"><v>Audience Targeting</v></cell><cell r="W5919" t="str"><v>Social</v></cell><cell r="X5919" t="str"><v>1x1</v></cell></row><row r="5919"><cell r="AA5919"><v>43324</v></cell><cell r="AB5919" t="str"><v>FRA_gaPMG_AZR_AZR_Q1_19_AzureDirect-Trial-Social</v></cell><cell r="AC5919"><v>21356941</v></cell><cell r="AD5919"><v>720193</v></cell><cell r="AE5919" t="str"><v>Facebook</v></cell><cell r="AF5919"><v>3654128</v></cell><cell r="AG5919" t="str"><v>Facebook»ITPros-Azure Direct-Sponsored Post-Video Ad-Free Account IT Pro - Migration»1x1»30s»SOC»ALL»CPC»AUT»D»UNK»SS»NA»Trials</v></cell><cell r="AH5919"><v>226360010</v></cell><cell r="AI5919" t="str"><v>AZR_FreeAcctITProFB-AnimatedMigration-Ch3_FRA_1200x1200_VIA_AZRDirect_French_NA_Facebook_STAN_LEA_T3_1</v></cell><cell r="AJ5919"><v>104458003</v></cell></row><row r="5920"><cell r="C5920" t="str"><v>43324Facebook»ITPros-Azure Direct-Sponsored Post_Trial_PayGo-Video Ad-Free Account IT Pro - Hybrid»1x1»30s»SOC»ALL»CPC»LAL»D»UNK»SS»NA»Trials</v></cell><cell r="D5920" t="str"><v>43324226359938</v></cell><cell r="E5920" t="str"><v>43324104456278Trials</v></cell><cell r="F5920" t="str"><v>DCM</v></cell><cell r="G5920" t="str"><v>https://signup.azure.com/signup?offer=ms-azr-0044p&appId=102&ref=paidmedia-social-fb&redirectURL=https%3a%2f%2fazure.microsoft.com%2ffr-fr%2fget-started%2fwelcome-to-azure%2f&l=fr-fr&correlationId=ead86c34-1f10-49dd-a72b-6918462a2cbf</v></cell></row><row r="5920"><cell r="K5920" t="str"><v>August</v></cell><cell r="L5920"><v>43330</v></cell><cell r="M5920" t="str"><v>Tier 1</v></cell><cell r="N5920" t="str"><v>EMEA</v></cell><cell r="O5920" t="str"><v>France</v></cell><cell r="P5920" t="str"><v>Trial</v></cell><cell r="Q5920" t="str"><v>Social</v></cell><cell r="R5920" t="str"><v>Azure</v></cell><cell r="S5920" t="str"><v>Apps & Infra</v></cell><cell r="T5920" t="str"><v>Developers & ITI's</v></cell><cell r="U5920" t="str"><v>ITPros-Azure Direct-Sponsored Post_Trial_PayGo-Video Ad-Free Account IT Pro - Hybrid</v></cell><cell r="V5920" t="str"><v>Lookalike Targeting</v></cell><cell r="W5920" t="str"><v>Social</v></cell><cell r="X5920" t="str"><v>1x1</v></cell></row><row r="5920"><cell r="AA5920"><v>43324</v></cell><cell r="AB5920" t="str"><v>FRA_gaPMG_AZR_AZR_Q1_19_AzureDirect-Trial-Social</v></cell><cell r="AC5920"><v>21356941</v></cell><cell r="AD5920"><v>720193</v></cell><cell r="AE5920" t="str"><v>Facebook</v></cell><cell r="AF5920"><v>3654128</v></cell><cell r="AG5920" t="str"><v>Facebook»ITPros-Azure Direct-Sponsored Post_Trial_PayGo-Video Ad-Free Account IT Pro - Hybrid»1x1»30s»SOC»ALL»CPC»LAL»D»UNK»SS»NA»Trials</v></cell><cell r="AH5920"><v>226359938</v></cell><cell r="AI5920" t="str"><v>AZR_FreeAcctITProFB-AnimatedHybrid-Ch2_FRA_1200x1200_VIA_AZRDirect_French_NA_Facebook_STAN_LEA_T2_1</v></cell><cell r="AJ5920"><v>104456278</v></cell></row><row r="5921"><cell r="C5921" t="str"><v>43324Facebook»Developers-Azure Direct-Sponsored Post-Video Ad-Free Account Developer - AI»1x1»30s»SOC»ALL»CPC»BT»D»UNK»SS»NA»Trials</v></cell><cell r="D5921" t="str"><v>43324226360034</v></cell><cell r="E5921" t="str"><v>43324104537813Trials</v></cell><cell r="F5921" t="str"><v>DCM</v></cell><cell r="G5921" t="str"><v>https://signup.azure.com/signup?offer=ms-azr-0044p&appId=102&ref=paidmedia-social-fb&redirectURL=https%3a%2f%2fazure.microsoft.com%2ffr-fr%2fget-started%2fwelcome-to-azure%2f&l=fr-fr&correlationId=ead86c34-1f10-49dd-a72b-6918462a2cbf</v></cell></row><row r="5921"><cell r="K5921" t="str"><v>August</v></cell><cell r="L5921"><v>43330</v></cell><cell r="M5921" t="str"><v>Tier 1</v></cell><cell r="N5921" t="str"><v>EMEA</v></cell><cell r="O5921" t="str"><v>France</v></cell><cell r="P5921" t="str"><v>Trial</v></cell><cell r="Q5921" t="str"><v>Social</v></cell><cell r="R5921" t="str"><v>Azure</v></cell><cell r="S5921" t="str"><v>Apps & Infra</v></cell><cell r="T5921" t="str"><v>Developers & ITI's</v></cell><cell r="U5921" t="str"><v>Developers-Azure Direct-Sponsored Post-Video Ad-Free Account Developer - AI</v></cell><cell r="V5921" t="str"><v>Behavioral Targeting</v></cell><cell r="W5921" t="str"><v>Social</v></cell><cell r="X5921" t="str"><v>1x1</v></cell></row><row r="5921"><cell r="AA5921"><v>43324</v></cell><cell r="AB5921" t="str"><v>FRA_gaPMG_AZR_AZR_Q1_19_AzureDirect-Trial-Social</v></cell><cell r="AC5921"><v>21356941</v></cell><cell r="AD5921"><v>720193</v></cell><cell r="AE5921" t="str"><v>Facebook</v></cell><cell r="AF5921"><v>3654128</v></cell><cell r="AG5921" t="str"><v>Facebook»Developers-Azure Direct-Sponsored Post-Video Ad-Free Account Developer - AI»1x1»30s»SOC»ALL»CPC»BT»D»UNK»SS»NA»Trials</v></cell><cell r="AH5921"><v>226360034</v></cell><cell r="AI5921" t="str"><v>AZR_FreeAcctDeveloperFB-AnimatedAI-Ch3_FRA_1200x1200_VIA_AZRDirect_French_NA_Facebook_STAN_LEA_T3_1</v></cell><cell r="AJ5921"><v>104537813</v></cell></row><row r="5922"><cell r="C5922" t="str"><v>43324Facebook»Developers-Azure Direct-Sponsored Post-Video Ad-Free Account Developer - Generic»1x1»30s»SOC»ALL»CPC»BT»D»UNK»SS»NA»Trials</v></cell><cell r="D5922" t="str"><v>43324226420298</v></cell><cell r="E5922" t="str"><v>43324104537129Trials</v></cell><cell r="F5922" t="str"><v>DCM</v></cell><cell r="G5922" t="str"><v>https://signup.azure.com/signup?offer=ms-azr-0044p&appId=102&ref=paidmedia-social-fb&redirectURL=https%3a%2f%2fazure.microsoft.com%2ffr-fr%2fget-started%2fwelcome-to-azure%2f&l=fr-fr&correlationId=ead86c34-1f10-49dd-a72b-6918462a2cbf</v></cell></row><row r="5922"><cell r="K5922" t="str"><v>August</v></cell><cell r="L5922"><v>43330</v></cell><cell r="M5922" t="str"><v>Tier 1</v></cell><cell r="N5922" t="str"><v>EMEA</v></cell><cell r="O5922" t="str"><v>France</v></cell><cell r="P5922" t="str"><v>Trial</v></cell><cell r="Q5922" t="str"><v>Social</v></cell><cell r="R5922" t="str"><v>Azure</v></cell><cell r="S5922" t="str"><v>Apps & Infra</v></cell><cell r="T5922" t="str"><v>Developers & ITI's</v></cell><cell r="U5922" t="str"><v>Developers-Azure Direct-Sponsored Post-Video Ad-Free Account Developer - Generic</v></cell><cell r="V5922" t="str"><v>Behavioral Targeting</v></cell><cell r="W5922" t="str"><v>Social</v></cell><cell r="X5922" t="str"><v>1x1</v></cell></row><row r="5922"><cell r="AA5922"><v>43324</v></cell><cell r="AB5922" t="str"><v>FRA_gaPMG_AZR_AZR_Q1_19_AzureDirect-Trial-Social</v></cell><cell r="AC5922"><v>21356941</v></cell><cell r="AD5922"><v>720193</v></cell><cell r="AE5922" t="str"><v>Facebook</v></cell><cell r="AF5922"><v>3654128</v></cell><cell r="AG5922" t="str"><v>Facebook»Developers-Azure Direct-Sponsored Post-Video Ad-Free Account Developer - Generic»1x1»30s»SOC»ALL»CPC»BT»D»UNK»SS»NA»Trials</v></cell><cell r="AH5922"><v>226420298</v></cell><cell r="AI5922" t="str"><v>AZR_FreeAcctDeveloperFB-AnimatedGeneric-Ch1_FRA_1200x1200_VIA_AZRDirect_French_NA_Facebook_STAN_LEA_T1_1</v></cell><cell r="AJ5922"><v>104537129</v></cell></row><row r="5923"><cell r="C5923" t="str"><v>43324Facebook»Developers-Azure Direct-Sponsored Post-Video Ad-Free Account Developer - Intelligent Data»1x1»30s»SOC»ALL»CPC»BT»D»UNK»SS»NA»Trials</v></cell><cell r="D5923" t="str"><v>43324226360028</v></cell><cell r="E5923" t="str"><v>43324104537816Trials</v></cell><cell r="F5923" t="str"><v>DCM</v></cell><cell r="G5923" t="str"><v>https://signup.azure.com/signup?offer=ms-azr-0044p&appId=102&ref=paidmedia-social-fb&redirectURL=https%3a%2f%2fazure.microsoft.com%2ffr-fr%2fget-started%2fwelcome-to-azure%2f&l=fr-fr&correlationId=ead86c34-1f10-49dd-a72b-6918462a2cbf</v></cell></row><row r="5923"><cell r="K5923" t="str"><v>August</v></cell><cell r="L5923"><v>43330</v></cell><cell r="M5923" t="str"><v>Tier 1</v></cell><cell r="N5923" t="str"><v>EMEA</v></cell><cell r="O5923" t="str"><v>France</v></cell><cell r="P5923" t="str"><v>Trial</v></cell><cell r="Q5923" t="str"><v>Social</v></cell><cell r="R5923" t="str"><v>Azure</v></cell><cell r="S5923" t="str"><v>Apps & Infra</v></cell><cell r="T5923" t="str"><v>Developers & ITI's</v></cell><cell r="U5923" t="str"><v>Developers-Azure Direct-Sponsored Post-Video Ad-Free Account Developer - Intelligent Data</v></cell><cell r="V5923" t="str"><v>Behavioral Targeting</v></cell><cell r="W5923" t="str"><v>Social</v></cell><cell r="X5923" t="str"><v>1x1</v></cell></row><row r="5923"><cell r="AA5923"><v>43324</v></cell><cell r="AB5923" t="str"><v>FRA_gaPMG_AZR_AZR_Q1_19_AzureDirect-Trial-Social</v></cell><cell r="AC5923"><v>21356941</v></cell><cell r="AD5923"><v>720193</v></cell><cell r="AE5923" t="str"><v>Facebook</v></cell><cell r="AF5923"><v>3654128</v></cell><cell r="AG5923" t="str"><v>Facebook»Developers-Azure Direct-Sponsored Post-Video Ad-Free Account Developer - Intelligent Data»1x1»30s»SOC»ALL»CPC»BT»D»UNK»SS»NA»Trials</v></cell><cell r="AH5923"><v>226360028</v></cell><cell r="AI5923" t="str"><v>AZR_FreeAcctDeveloperFB-AnimatedData-Ch4_FRA_1200x1200_VIA_AZRDirect_French_NA_Facebook_STAN_LEA_T4_1</v></cell><cell r="AJ5923"><v>104537816</v></cell></row><row r="5924"><cell r="C5924" t="str"><v>43324Facebook»Developers-Azure Direct-Sponsored Post-Video Ad-Free Account Developer - Open Source»1x1»30s»SOC»ALL»CPC»BT»D»UNK»SS»NA»Trials</v></cell><cell r="D5924" t="str"><v>43324226360040</v></cell><cell r="E5924" t="str"><v>43324104537132Trials</v></cell><cell r="F5924" t="str"><v>DCM</v></cell><cell r="G5924" t="str"><v>https://signup.azure.com/signup?offer=ms-azr-0044p&appId=102&ref=paidmedia-social-fb&redirectURL=https%3a%2f%2fazure.microsoft.com%2ffr-fr%2fget-started%2fwelcome-to-azure%2f&l=fr-fr&correlationId=ead86c34-1f10-49dd-a72b-6918462a2cbf</v></cell></row><row r="5924"><cell r="K5924" t="str"><v>August</v></cell><cell r="L5924"><v>43330</v></cell><cell r="M5924" t="str"><v>Tier 1</v></cell><cell r="N5924" t="str"><v>EMEA</v></cell><cell r="O5924" t="str"><v>France</v></cell><cell r="P5924" t="str"><v>Trial</v></cell><cell r="Q5924" t="str"><v>Social</v></cell><cell r="R5924" t="str"><v>Azure</v></cell><cell r="S5924" t="str"><v>Apps & Infra</v></cell><cell r="T5924" t="str"><v>Developers & ITI's</v></cell><cell r="U5924" t="str"><v>Developers-Azure Direct-Sponsored Post-Video Ad-Free Account Developer - Open Source</v></cell><cell r="V5924" t="str"><v>Behavioral Targeting</v></cell><cell r="W5924" t="str"><v>Social</v></cell><cell r="X5924" t="str"><v>1x1</v></cell></row><row r="5924"><cell r="AA5924"><v>43324</v></cell><cell r="AB5924" t="str"><v>FRA_gaPMG_AZR_AZR_Q1_19_AzureDirect-Trial-Social</v></cell><cell r="AC5924"><v>21356941</v></cell><cell r="AD5924"><v>720193</v></cell><cell r="AE5924" t="str"><v>Facebook</v></cell><cell r="AF5924"><v>3654128</v></cell><cell r="AG5924" t="str"><v>Facebook»Developers-Azure Direct-Sponsored Post-Video Ad-Free Account Developer - Open Source»1x1»30s»SOC»ALL»CPC»BT»D»UNK»SS»NA»Trials</v></cell><cell r="AH5924"><v>226360040</v></cell><cell r="AI5924" t="str"><v>AZR_FreeAcctDeveloperFB-AnimatedOpenSource-Ch2_FRA_1200x1200_VIA_AZRDirect_French_NA_Facebook_STAN_LEA_T2_1</v></cell><cell r="AJ5924"><v>104537132</v></cell></row><row r="5925"><cell r="C5925" t="str"><v>43324Facebook»Developers-Azure Direct-Sponsored Post_Trial-Video Ad-Free Account Developer - AI»1x1»30s»SOC»ALL»CPC»LAL»D»UNK»SS»NA»Trials</v></cell><cell r="D5925" t="str"><v>43324226360019</v></cell><cell r="E5925" t="str"><v>43324104537813Trials</v></cell><cell r="F5925" t="str"><v>DCM</v></cell><cell r="G5925" t="str"><v>https://signup.azure.com/signup?offer=ms-azr-0044p&appId=102&ref=paidmedia-social-fb&redirectURL=https%3a%2f%2fazure.microsoft.com%2ffr-fr%2fget-started%2fwelcome-to-azure%2f&l=fr-fr&correlationId=ead86c34-1f10-49dd-a72b-6918462a2cbf</v></cell></row><row r="5925"><cell r="K5925" t="str"><v>August</v></cell><cell r="L5925"><v>43330</v></cell><cell r="M5925" t="str"><v>Tier 1</v></cell><cell r="N5925" t="str"><v>EMEA</v></cell><cell r="O5925" t="str"><v>France</v></cell><cell r="P5925" t="str"><v>Trial</v></cell><cell r="Q5925" t="str"><v>Social</v></cell><cell r="R5925" t="str"><v>Azure</v></cell><cell r="S5925" t="str"><v>Apps & Infra</v></cell><cell r="T5925" t="str"><v>Developers & ITI's</v></cell><cell r="U5925" t="str"><v>Developers-Azure Direct-Sponsored Post_Trial-Video Ad-Free Account Developer - AI</v></cell><cell r="V5925" t="str"><v>Lookalike Targeting</v></cell><cell r="W5925" t="str"><v>Social</v></cell><cell r="X5925" t="str"><v>1x1</v></cell></row><row r="5925"><cell r="AA5925"><v>43324</v></cell><cell r="AB5925" t="str"><v>FRA_gaPMG_AZR_AZR_Q1_19_AzureDirect-Trial-Social</v></cell><cell r="AC5925"><v>21356941</v></cell><cell r="AD5925"><v>720193</v></cell><cell r="AE5925" t="str"><v>Facebook</v></cell><cell r="AF5925"><v>3654128</v></cell><cell r="AG5925" t="str"><v>Facebook»Developers-Azure Direct-Sponsored Post_Trial-Video Ad-Free Account Developer - AI»1x1»30s»SOC»ALL»CPC»LAL»D»UNK»SS»NA»Trials</v></cell><cell r="AH5925"><v>226360019</v></cell><cell r="AI5925" t="str"><v>AZR_FreeAcctDeveloperFB-AnimatedAI-Ch3_FRA_1200x1200_VIA_AZRDirect_French_NA_Facebook_STAN_LEA_T3_1</v></cell><cell r="AJ5925"><v>104537813</v></cell></row><row r="5926"><cell r="C5926" t="str"><v>43324Facebook»Developers-Azure Direct-Sponsored Post_Trial-Video Ad-Free Account Developer - Generic»1x1»30s»SOC»ALL»CPC»LAL»D»UNK»SS»NA»Trials</v></cell><cell r="D5926" t="str"><v>43324226360031</v></cell><cell r="E5926" t="str"><v>43324104537129Trials</v></cell><cell r="F5926" t="str"><v>DCM</v></cell><cell r="G5926" t="str"><v>https://signup.azure.com/signup?offer=ms-azr-0044p&appId=102&ref=paidmedia-social-fb&redirectURL=https%3a%2f%2fazure.microsoft.com%2ffr-fr%2fget-started%2fwelcome-to-azure%2f&l=fr-fr&correlationId=ead86c34-1f10-49dd-a72b-6918462a2cbf</v></cell></row><row r="5926"><cell r="K5926" t="str"><v>August</v></cell><cell r="L5926"><v>43330</v></cell><cell r="M5926" t="str"><v>Tier 1</v></cell><cell r="N5926" t="str"><v>EMEA</v></cell><cell r="O5926" t="str"><v>France</v></cell><cell r="P5926" t="str"><v>Trial</v></cell><cell r="Q5926" t="str"><v>Social</v></cell><cell r="R5926" t="str"><v>Azure</v></cell><cell r="S5926" t="str"><v>Apps & Infra</v></cell><cell r="T5926" t="str"><v>Developers & ITI's</v></cell><cell r="U5926" t="str"><v>Developers-Azure Direct-Sponsored Post_Trial-Video Ad-Free Account Developer - Generic</v></cell><cell r="V5926" t="str"><v>Lookalike Targeting</v></cell><cell r="W5926" t="str"><v>Social</v></cell><cell r="X5926" t="str"><v>1x1</v></cell></row><row r="5926"><cell r="AA5926"><v>43324</v></cell><cell r="AB5926" t="str"><v>FRA_gaPMG_AZR_AZR_Q1_19_AzureDirect-Trial-Social</v></cell><cell r="AC5926"><v>21356941</v></cell><cell r="AD5926"><v>720193</v></cell><cell r="AE5926" t="str"><v>Facebook</v></cell><cell r="AF5926"><v>3654128</v></cell><cell r="AG5926" t="str"><v>Facebook»Developers-Azure Direct-Sponsored Post_Trial-Video Ad-Free Account Developer - Generic»1x1»30s»SOC»ALL»CPC»LAL»D»UNK»SS»NA»Trials</v></cell><cell r="AH5926"><v>226360031</v></cell><cell r="AI5926" t="str"><v>AZR_FreeAcctDeveloperFB-AnimatedGeneric-Ch1_FRA_1200x1200_VIA_AZRDirect_French_NA_Facebook_STAN_LEA_T1_1</v></cell><cell r="AJ5926"><v>104537129</v></cell></row><row r="5927"><cell r="C5927" t="str"><v>43324Facebook»Developers-Azure Direct-Sponsored Post_Trial-Video Ad-Free Account Developer - Intelligent Data»1x1»30s»SOC»ALL»CPC»LAL»D»UNK»SS»NA»Trials</v></cell><cell r="D5927" t="str"><v>43324226360013</v></cell><cell r="E5927" t="str"><v>43324104537816Trials</v></cell><cell r="F5927" t="str"><v>DCM</v></cell><cell r="G5927" t="str"><v>https://signup.azure.com/signup?offer=ms-azr-0044p&appId=102&ref=paidmedia-social-fb&redirectURL=https%3a%2f%2fazure.microsoft.com%2ffr-fr%2fget-started%2fwelcome-to-azure%2f&l=fr-fr&correlationId=ead86c34-1f10-49dd-a72b-6918462a2cbf</v></cell></row><row r="5927"><cell r="K5927" t="str"><v>August</v></cell><cell r="L5927"><v>43330</v></cell><cell r="M5927" t="str"><v>Tier 1</v></cell><cell r="N5927" t="str"><v>EMEA</v></cell><cell r="O5927" t="str"><v>France</v></cell><cell r="P5927" t="str"><v>Trial</v></cell><cell r="Q5927" t="str"><v>Social</v></cell><cell r="R5927" t="str"><v>Azure</v></cell><cell r="S5927" t="str"><v>Apps & Infra</v></cell><cell r="T5927" t="str"><v>Developers & ITI's</v></cell><cell r="U5927" t="str"><v>Developers-Azure Direct-Sponsored Post_Trial-Video Ad-Free Account Developer - Intelligent Data</v></cell><cell r="V5927" t="str"><v>Lookalike Targeting</v></cell><cell r="W5927" t="str"><v>Social</v></cell><cell r="X5927" t="str"><v>1x1</v></cell></row><row r="5927"><cell r="AA5927"><v>43324</v></cell><cell r="AB5927" t="str"><v>FRA_gaPMG_AZR_AZR_Q1_19_AzureDirect-Trial-Social</v></cell><cell r="AC5927"><v>21356941</v></cell><cell r="AD5927"><v>720193</v></cell><cell r="AE5927" t="str"><v>Facebook</v></cell><cell r="AF5927"><v>3654128</v></cell><cell r="AG5927" t="str"><v>Facebook»Developers-Azure Direct-Sponsored Post_Trial-Video Ad-Free Account Developer - Intelligent Data»1x1»30s»SOC»ALL»CPC»LAL»D»UNK»SS»NA»Trials</v></cell><cell r="AH5927"><v>226360013</v></cell><cell r="AI5927" t="str"><v>AZR_FreeAcctDeveloperFB-AnimatedData-Ch4_FRA_1200x1200_VIA_AZRDirect_French_NA_Facebook_STAN_LEA_T4_1</v></cell><cell r="AJ5927"><v>104537816</v></cell></row><row r="5928"><cell r="C5928" t="str"><v>43324Facebook»Developers-Azure Direct-Sponsored Post_Trial-Video Ad-Free Account Developer - Open Source»1x1»30s»SOC»ALL»CPC»LAL»D»UNK»SS»NA»Trials</v></cell><cell r="D5928" t="str"><v>43324226360025</v></cell><cell r="E5928" t="str"><v>43324104537132Trials</v></cell><cell r="F5928" t="str"><v>DCM</v></cell><cell r="G5928" t="str"><v>https://signup.azure.com/signup?offer=ms-azr-0044p&appId=102&ref=paidmedia-social-fb&redirectURL=https%3a%2f%2fazure.microsoft.com%2ffr-fr%2fget-started%2fwelcome-to-azure%2f&l=fr-fr&correlationId=ead86c34-1f10-49dd-a72b-6918462a2cbf</v></cell></row><row r="5928"><cell r="K5928" t="str"><v>August</v></cell><cell r="L5928"><v>43330</v></cell><cell r="M5928" t="str"><v>Tier 1</v></cell><cell r="N5928" t="str"><v>EMEA</v></cell><cell r="O5928" t="str"><v>France</v></cell><cell r="P5928" t="str"><v>Trial</v></cell><cell r="Q5928" t="str"><v>Social</v></cell><cell r="R5928" t="str"><v>Azure</v></cell><cell r="S5928" t="str"><v>Apps & Infra</v></cell><cell r="T5928" t="str"><v>Developers & ITI's</v></cell><cell r="U5928" t="str"><v>Developers-Azure Direct-Sponsored Post_Trial-Video Ad-Free Account Developer - Open Source</v></cell><cell r="V5928" t="str"><v>Lookalike Targeting</v></cell><cell r="W5928" t="str"><v>Social</v></cell><cell r="X5928" t="str"><v>1x1</v></cell></row><row r="5928"><cell r="AA5928"><v>43324</v></cell><cell r="AB5928" t="str"><v>FRA_gaPMG_AZR_AZR_Q1_19_AzureDirect-Trial-Social</v></cell><cell r="AC5928"><v>21356941</v></cell><cell r="AD5928"><v>720193</v></cell><cell r="AE5928" t="str"><v>Facebook</v></cell><cell r="AF5928"><v>3654128</v></cell><cell r="AG5928" t="str"><v>Facebook»Developers-Azure Direct-Sponsored Post_Trial-Video Ad-Free Account Developer - Open Source»1x1»30s»SOC»ALL»CPC»LAL»D»UNK»SS»NA»Trials</v></cell><cell r="AH5928"><v>226360025</v></cell><cell r="AI5928" t="str"><v>AZR_FreeAcctDeveloperFB-AnimatedOpenSource-Ch2_FRA_1200x1200_VIA_AZRDirect_French_NA_Facebook_STAN_LEA_T2_1</v></cell><cell r="AJ5928"><v>104537132</v></cell></row><row r="5929"><cell r="C5929" t="str"><v>43324Facebook»Developers-Azure Direct-Sponsored Post_Trial_PayGo-Video Ad-Free Account Developer - Intelligent Data»1x1»30s»SOC»ALL»CPC»LAL»D»UNK»SS»NA»Trials</v></cell><cell r="D5929" t="str"><v>43324226359944</v></cell><cell r="E5929" t="str"><v>43324104537816Trials</v></cell><cell r="F5929" t="str"><v>DCM</v></cell><cell r="G5929" t="str"><v>https://signup.azure.com/signup?offer=ms-azr-0044p&appId=102&ref=paidmedia-social-fb&redirectURL=https%3a%2f%2fazure.microsoft.com%2ffr-fr%2fget-started%2fwelcome-to-azure%2f&l=fr-fr&correlationId=ead86c34-1f10-49dd-a72b-6918462a2cbf</v></cell></row><row r="5929"><cell r="K5929" t="str"><v>August</v></cell><cell r="L5929"><v>43330</v></cell><cell r="M5929" t="str"><v>Tier 1</v></cell><cell r="N5929" t="str"><v>EMEA</v></cell><cell r="O5929" t="str"><v>France</v></cell><cell r="P5929" t="str"><v>Trial</v></cell><cell r="Q5929" t="str"><v>Social</v></cell><cell r="R5929" t="str"><v>Azure</v></cell><cell r="S5929" t="str"><v>Apps & Infra</v></cell><cell r="T5929" t="str"><v>Developers & ITI's</v></cell><cell r="U5929" t="str"><v>Developers-Azure Direct-Sponsored Post_Trial_PayGo-Video Ad-Free Account Developer - Intelligent Data</v></cell><cell r="V5929" t="str"><v>Lookalike Targeting</v></cell><cell r="W5929" t="str"><v>Social</v></cell><cell r="X5929" t="str"><v>1x1</v></cell></row><row r="5929"><cell r="AA5929"><v>43324</v></cell><cell r="AB5929" t="str"><v>FRA_gaPMG_AZR_AZR_Q1_19_AzureDirect-Trial-Social</v></cell><cell r="AC5929"><v>21356941</v></cell><cell r="AD5929"><v>720193</v></cell><cell r="AE5929" t="str"><v>Facebook</v></cell><cell r="AF5929"><v>3654128</v></cell><cell r="AG5929" t="str"><v>Facebook»Developers-Azure Direct-Sponsored Post_Trial_PayGo-Video Ad-Free Account Developer - Intelligent Data»1x1»30s»SOC»ALL»CPC»LAL»D»UNK»SS»NA»Trials</v></cell><cell r="AH5929"><v>226359944</v></cell><cell r="AI5929" t="str"><v>AZR_FreeAcctDeveloperFB-AnimatedData-Ch4_FRA_1200x1200_VIA_AZRDirect_French_NA_Facebook_STAN_LEA_T4_1</v></cell><cell r="AJ5929"><v>104537816</v></cell></row><row r="5930"><cell r="C5930" t="str"><v>43324Facebook»Developers-Azure Direct-Sponsored Post_Trial_PayGo-Video Ad-Free Account Developer - Open Source»1x1»30s»SOC»ALL»CPC»LAL»D»UNK»SS»NA»Trials</v></cell><cell r="D5930" t="str"><v>43324226359950</v></cell><cell r="E5930" t="str"><v>43324104537132Trials</v></cell><cell r="F5930" t="str"><v>DCM</v></cell><cell r="G5930" t="str"><v>https://signup.azure.com/signup?offer=ms-azr-0044p&appId=102&ref=paidmedia-social-fb&redirectURL=https%3a%2f%2fazure.microsoft.com%2ffr-fr%2fget-started%2fwelcome-to-azure%2f&l=fr-fr&correlationId=ead86c34-1f10-49dd-a72b-6918462a2cbf</v></cell></row><row r="5930"><cell r="K5930" t="str"><v>August</v></cell><cell r="L5930"><v>43330</v></cell><cell r="M5930" t="str"><v>Tier 1</v></cell><cell r="N5930" t="str"><v>EMEA</v></cell><cell r="O5930" t="str"><v>France</v></cell><cell r="P5930" t="str"><v>Trial</v></cell><cell r="Q5930" t="str"><v>Social</v></cell><cell r="R5930" t="str"><v>Azure</v></cell><cell r="S5930" t="str"><v>Apps & Infra</v></cell><cell r="T5930" t="str"><v>Developers & ITI's</v></cell><cell r="U5930" t="str"><v>Developers-Azure Direct-Sponsored Post_Trial_PayGo-Video Ad-Free Account Developer - Open Source</v></cell><cell r="V5930" t="str"><v>Lookalike Targeting</v></cell><cell r="W5930" t="str"><v>Social</v></cell><cell r="X5930" t="str"><v>1x1</v></cell></row><row r="5930"><cell r="AA5930"><v>43324</v></cell><cell r="AB5930" t="str"><v>FRA_gaPMG_AZR_AZR_Q1_19_AzureDirect-Trial-Social</v></cell><cell r="AC5930"><v>21356941</v></cell><cell r="AD5930"><v>720193</v></cell><cell r="AE5930" t="str"><v>Facebook</v></cell><cell r="AF5930"><v>3654128</v></cell><cell r="AG5930" t="str"><v>Facebook»Developers-Azure Direct-Sponsored Post_Trial_PayGo-Video Ad-Free Account Developer - Open Source»1x1»30s»SOC»ALL»CPC»LAL»D»UNK»SS»NA»Trials</v></cell><cell r="AH5930"><v>226359950</v></cell><cell r="AI5930" t="str"><v>AZR_FreeAcctDeveloperFB-AnimatedOpenSource-Ch2_FRA_1200x1200_VIA_AZRDirect_French_NA_Facebook_STAN_LEA_T2_1</v></cell><cell r="AJ5930"><v>104537132</v></cell></row><row r="5931"><cell r="C5931" t="str"><v>43324Facebook»Developers/ITPros-Azure Direct-Sponsored Post_Trial-Link Ad-FreeAcctRetargetingFB-Animated-ChC CanvasOpener»1x1»SocialBan»SOC»ALL»CPC»LAL»D»UNK»SS»NA»Trials</v></cell><cell r="D5931" t="str"><v>43324226360037</v></cell><cell r="E5931" t="str"><v>43324103259775Trials</v></cell><cell r="F5931" t="str"><v>DCM</v></cell><cell r="G5931" t="str"><v>https://azure.microsoft.com/fr-fr/free/search/</v></cell></row><row r="5931"><cell r="K5931" t="str"><v>August</v></cell><cell r="L5931"><v>43330</v></cell><cell r="M5931" t="str"><v>Tier 1</v></cell><cell r="N5931" t="str"><v>EMEA</v></cell><cell r="O5931" t="str"><v>France</v></cell><cell r="P5931" t="str"><v>Trial</v></cell><cell r="Q5931" t="str"><v>Social</v></cell><cell r="R5931" t="str"><v>Azure</v></cell><cell r="S5931" t="str"><v>Apps & Infra</v></cell><cell r="T5931" t="str"><v>Developers & ITI's</v></cell><cell r="U5931" t="str"><v>Developers/ITPros-Azure Direct-Sponsored Post_Trial-Link Ad-FreeAcctRetargetingFB-Animated-ChC CanvasOpener</v></cell><cell r="V5931" t="str"><v>Lookalike Targeting</v></cell><cell r="W5931" t="str"><v>Social</v></cell><cell r="X5931" t="str"><v>1x1</v></cell></row><row r="5931"><cell r="AA5931"><v>43324</v></cell><cell r="AB5931" t="str"><v>FRA_gaPMG_AZR_AZR_Q1_19_AzureDirect-Trial-Social</v></cell><cell r="AC5931"><v>21356941</v></cell><cell r="AD5931"><v>720193</v></cell><cell r="AE5931" t="str"><v>Facebook</v></cell><cell r="AF5931"><v>3654128</v></cell><cell r="AG5931" t="str"><v>Facebook»Developers/ITPros-Azure Direct-Sponsored Post_Trial-Link Ad-FreeAcctRetargetingFB-Animated-ChC CanvasOpener»1x1»SocialBan»SOC»ALL»CPC»LAL»D»UNK»SS»NA»Trials</v></cell><cell r="AH5931"><v>226360037</v></cell><cell r="AI5931" t="str"><v>AZR_reeAcctRetargetingFB-Animated-ChC_FRA_1200x628_SOC_AZRDirect_French_NA_Facebook_SBAN_SINU_T3_1</v></cell><cell r="AJ5931"><v>103259775</v></cell></row><row r="5932"><cell r="C5932" t="str"><v>43324Facebook»Developers/ITPros-Azure Direct-Sponsored Post_Trial-Link Ad-FreeAcctRetargetingFB-GlobalAlt-ChB_RTG CanvasOpener»1x1»SocialBan»SOC»ALL»CPC»LAL»D»UNK»SS»NA»Trials</v></cell><cell r="D5932" t="str"><v>43324226496107</v></cell><cell r="E5932" t="str"><v>43324103259520Trials</v></cell><cell r="F5932" t="str"><v>DCM</v></cell><cell r="G5932" t="str"><v>https://azure.microsoft.com/fr-fr/free/search/</v></cell></row><row r="5932"><cell r="K5932" t="str"><v>August</v></cell><cell r="L5932"><v>43330</v></cell><cell r="M5932" t="str"><v>Tier 1</v></cell><cell r="N5932" t="str"><v>EMEA</v></cell><cell r="O5932" t="str"><v>France</v></cell><cell r="P5932" t="str"><v>Trial</v></cell><cell r="Q5932" t="str"><v>Social</v></cell><cell r="R5932" t="str"><v>Azure</v></cell><cell r="S5932" t="str"><v>Apps & Infra</v></cell><cell r="T5932" t="str"><v>Developers & ITI's</v></cell><cell r="U5932" t="str"><v>Developers/ITPros-Azure Direct-Sponsored Post_Trial-Link Ad-FreeAcctRetargetingFB-GlobalAlt-ChB_RTG CanvasOpener</v></cell><cell r="V5932" t="str"><v>Lookalike Targeting</v></cell><cell r="W5932" t="str"><v>Social</v></cell><cell r="X5932" t="str"><v>1x1</v></cell></row><row r="5932"><cell r="AA5932"><v>43324</v></cell><cell r="AB5932" t="str"><v>FRA_gaPMG_AZR_AZR_Q1_19_AzureDirect-Trial-Social</v></cell><cell r="AC5932"><v>21356941</v></cell><cell r="AD5932"><v>720193</v></cell><cell r="AE5932" t="str"><v>Facebook</v></cell><cell r="AF5932"><v>3654128</v></cell><cell r="AG5932" t="str"><v>Facebook»Developers/ITPros-Azure Direct-Sponsored Post_Trial-Link Ad-FreeAcctRetargetingFB-GlobalAlt-ChB_RTG CanvasOpener»1x1»SocialBan»SOC»ALL»CPC»LAL»D»UNK»SS»NA»Trials</v></cell><cell r="AH5932"><v>226496107</v></cell><cell r="AI5932" t="str"><v>AZR_FreeAcctRetargetingFB-GlobalAlt-ChB_FRA_1200x628_SOC_AZRDirect_French_NA_Facebook_SBAN_SINU_T2_1</v></cell><cell r="AJ5932"><v>103259520</v></cell></row><row r="5933"><cell r="C5933" t="str"><v>43324Facebook»Developers/ITPros-Azure Direct-Sponsored Post_Trial_PayGo-Link Ad-FreeAcctRetargetingOSSFB-Text-ChF CanvasOpener»1x1»SocialBan»SOC»ALL»CPC»LAL»D»UNK»SS»NA»Trials</v></cell><cell r="D5933" t="str"><v>43324226359965</v></cell><cell r="E5933" t="str"><v>43324103257810Trials</v></cell><cell r="F5933" t="str"><v>DCM</v></cell><cell r="G5933" t="str"><v>https://azure.microsoft.com/fr-fr/free/open-source/search/</v></cell></row><row r="5933"><cell r="K5933" t="str"><v>August</v></cell><cell r="L5933"><v>43330</v></cell><cell r="M5933" t="str"><v>Tier 1</v></cell><cell r="N5933" t="str"><v>EMEA</v></cell><cell r="O5933" t="str"><v>France</v></cell><cell r="P5933" t="str"><v>Trial</v></cell><cell r="Q5933" t="str"><v>Social</v></cell><cell r="R5933" t="str"><v>Azure</v></cell><cell r="S5933" t="str"><v>Apps & Infra</v></cell><cell r="T5933" t="str"><v>Developers & ITI's</v></cell><cell r="U5933" t="str"><v>Developers/ITPros-Azure Direct-Sponsored Post_Trial_PayGo-Link Ad-FreeAcctRetargetingOSSFB-Text-ChF CanvasOpener</v></cell><cell r="V5933" t="str"><v>Lookalike Targeting</v></cell><cell r="W5933" t="str"><v>Social</v></cell><cell r="X5933" t="str"><v>1x1</v></cell></row><row r="5933"><cell r="AA5933"><v>43324</v></cell><cell r="AB5933" t="str"><v>FRA_gaPMG_AZR_AZR_Q1_19_AzureDirect-Trial-Social</v></cell><cell r="AC5933"><v>21356941</v></cell><cell r="AD5933"><v>720193</v></cell><cell r="AE5933" t="str"><v>Facebook</v></cell><cell r="AF5933"><v>3654128</v></cell><cell r="AG5933" t="str"><v>Facebook»Developers/ITPros-Azure Direct-Sponsored Post_Trial_PayGo-Link Ad-FreeAcctRetargetingOSSFB-Text-ChF CanvasOpener»1x1»SocialBan»SOC»ALL»CPC»LAL»D»UNK»SS»NA»Trials</v></cell><cell r="AH5933"><v>226359965</v></cell><cell r="AI5933" t="str"><v>AZR_FreeAcctRetargetingOSSFB-Text-ChF_FRA_1200x628_SOC_AZRDirect_French_NA_Facebook_SBAN_SINU_T1_1</v></cell><cell r="AJ5933"><v>103257810</v></cell></row><row r="5934"><cell r="C5934" t="str"><v>43324Facebook»Developers/ITPros-Azure Direct-Sponsored Post_Trial_PayGo-Link Ad-FreeAcctRetargetingVMFB-750Hrs-ChD CanvasOpener»1x1»SocialBan»SOC»ALL»CPC»LAL»D»UNK»SS»NA»Trials</v></cell><cell r="D5934" t="str"><v>43324226359962</v></cell><cell r="E5934" t="str"><v>43324103259010Trials</v></cell><cell r="F5934" t="str"><v>DCM</v></cell><cell r="G5934" t="str"><v>https://azure.microsoft.com/fr-fr/free/virtual-machines/search/</v></cell></row><row r="5934"><cell r="K5934" t="str"><v>August</v></cell><cell r="L5934"><v>43330</v></cell><cell r="M5934" t="str"><v>Tier 1</v></cell><cell r="N5934" t="str"><v>EMEA</v></cell><cell r="O5934" t="str"><v>France</v></cell><cell r="P5934" t="str"><v>Trial</v></cell><cell r="Q5934" t="str"><v>Social</v></cell><cell r="R5934" t="str"><v>Azure</v></cell><cell r="S5934" t="str"><v>Apps & Infra</v></cell><cell r="T5934" t="str"><v>Developers & ITI's</v></cell><cell r="U5934" t="str"><v>Developers/ITPros-Azure Direct-Sponsored Post_Trial_PayGo-Link Ad-FreeAcctRetargetingVMFB-750Hrs-ChD CanvasOpener</v></cell><cell r="V5934" t="str"><v>Lookalike Targeting</v></cell><cell r="W5934" t="str"><v>Social</v></cell><cell r="X5934" t="str"><v>1x1</v></cell></row><row r="5934"><cell r="AA5934"><v>43324</v></cell><cell r="AB5934" t="str"><v>FRA_gaPMG_AZR_AZR_Q1_19_AzureDirect-Trial-Social</v></cell><cell r="AC5934"><v>21356941</v></cell><cell r="AD5934"><v>720193</v></cell><cell r="AE5934" t="str"><v>Facebook</v></cell><cell r="AF5934"><v>3654128</v></cell><cell r="AG5934" t="str"><v>Facebook»Developers/ITPros-Azure Direct-Sponsored Post_Trial_PayGo-Link Ad-FreeAcctRetargetingVMFB-750Hrs-ChD CanvasOpener»1x1»SocialBan»SOC»ALL»CPC»LAL»D»UNK»SS»NA»Trials</v></cell><cell r="AH5934"><v>226359962</v></cell><cell r="AI5934" t="str"><v>AZR_FreeAcctRetargetingVMFB-750Hrs-ChD_FRA_1200x628_SOC_AZRDirect_French_NA_Facebook_SBAN_SINU_T1_1</v></cell><cell r="AJ5934"><v>103259010</v></cell></row><row r="5935"><cell r="C5935" t="str"><v>43324Facebook»ITPros-Azure Direct-Sponsored Post-Video Ad-Free Account IT Pro - Hybrid»1x1»30s»SOC»ALL»CPC»AUT»D»UNK»SS»NA»Trials</v></cell><cell r="D5935" t="str"><v>43324226360016</v></cell><cell r="E5935" t="str"><v>43324104456278Trials</v></cell><cell r="F5935" t="str"><v>DCM</v></cell><cell r="G5935" t="str"><v>https://signup.azure.com/signup?offer=ms-azr-0044p&appId=102&ref=paidmedia-social-fb&redirectURL=https%3a%2f%2fazure.microsoft.com%2ffr-fr%2fget-started%2fwelcome-to-azure%2f&l=fr-fr&correlationId=ead86c34-1f10-49dd-a72b-6918462a2cbf</v></cell></row><row r="5935"><cell r="K5935" t="str"><v>August</v></cell><cell r="L5935"><v>43330</v></cell><cell r="M5935" t="str"><v>Tier 1</v></cell><cell r="N5935" t="str"><v>EMEA</v></cell><cell r="O5935" t="str"><v>France</v></cell><cell r="P5935" t="str"><v>Trial</v></cell><cell r="Q5935" t="str"><v>Social</v></cell><cell r="R5935" t="str"><v>Azure</v></cell><cell r="S5935" t="str"><v>Apps & Infra</v></cell><cell r="T5935" t="str"><v>Developers & ITI's</v></cell><cell r="U5935" t="str"><v>ITPros-Azure Direct-Sponsored Post-Video Ad-Free Account IT Pro - Hybrid</v></cell><cell r="V5935" t="str"><v>Audience Targeting</v></cell><cell r="W5935" t="str"><v>Social</v></cell><cell r="X5935" t="str"><v>1x1</v></cell></row><row r="5935"><cell r="AA5935"><v>43324</v></cell><cell r="AB5935" t="str"><v>FRA_gaPMG_AZR_AZR_Q1_19_AzureDirect-Trial-Social</v></cell><cell r="AC5935"><v>21356941</v></cell><cell r="AD5935"><v>720193</v></cell><cell r="AE5935" t="str"><v>Facebook</v></cell><cell r="AF5935"><v>3654128</v></cell><cell r="AG5935" t="str"><v>Facebook»ITPros-Azure Direct-Sponsored Post-Video Ad-Free Account IT Pro - Hybrid»1x1»30s»SOC»ALL»CPC»AUT»D»UNK»SS»NA»Trials</v></cell><cell r="AH5935"><v>226360016</v></cell><cell r="AI5935" t="str"><v>AZR_FreeAcctITProFB-AnimatedHybrid-Ch2_FRA_1200x1200_VIA_AZRDirect_French_NA_Facebook_STAN_LEA_T2_1</v></cell><cell r="AJ5935"><v>104456278</v></cell></row><row r="5936"><cell r="C5936" t="str"><v>43324Facebook»ITPros-Azure Direct-Sponsored Post-Video Ad-Free Account IT Pro - Secure»1x1»30s»SOC»ALL»CPC»AUT»D»UNK»SS»NA»Trials</v></cell><cell r="D5936" t="str"><v>43324226360022</v></cell><cell r="E5936" t="str"><v>43324104455906Trials</v></cell><cell r="F5936" t="str"><v>DCM</v></cell><cell r="G5936" t="str"><v>https://signup.azure.com/signup?offer=ms-azr-0044p&appId=102&ref=paidmedia-social-fb&redirectURL=https%3a%2f%2fazure.microsoft.com%2ffr-fr%2fget-started%2fwelcome-to-azure%2f&l=fr-fr&correlationId=ead86c34-1f10-49dd-a72b-6918462a2cbf</v></cell></row><row r="5936"><cell r="K5936" t="str"><v>August</v></cell><cell r="L5936"><v>43330</v></cell><cell r="M5936" t="str"><v>Tier 1</v></cell><cell r="N5936" t="str"><v>EMEA</v></cell><cell r="O5936" t="str"><v>France</v></cell><cell r="P5936" t="str"><v>Trial</v></cell><cell r="Q5936" t="str"><v>Social</v></cell><cell r="R5936" t="str"><v>Azure</v></cell><cell r="S5936" t="str"><v>Apps & Infra</v></cell><cell r="T5936" t="str"><v>Developers & ITI's</v></cell><cell r="U5936" t="str"><v>ITPros-Azure Direct-Sponsored Post-Video Ad-Free Account IT Pro - Secure</v></cell><cell r="V5936" t="str"><v>Audience Targeting</v></cell><cell r="W5936" t="str"><v>Social</v></cell><cell r="X5936" t="str"><v>1x1</v></cell></row><row r="5936"><cell r="AA5936"><v>43324</v></cell><cell r="AB5936" t="str"><v>FRA_gaPMG_AZR_AZR_Q1_19_AzureDirect-Trial-Social</v></cell><cell r="AC5936"><v>21356941</v></cell><cell r="AD5936"><v>720193</v></cell><cell r="AE5936" t="str"><v>Facebook</v></cell><cell r="AF5936"><v>3654128</v></cell><cell r="AG5936" t="str"><v>Facebook»ITPros-Azure Direct-Sponsored Post-Video Ad-Free Account IT Pro - Secure»1x1»30s»SOC»ALL»CPC»AUT»D»UNK»SS»NA»Trials</v></cell><cell r="AH5936"><v>226360022</v></cell><cell r="AI5936" t="str"><v>AZR_FreeAcctITProFB-AnimatedSecureMngd-Ch1_FRA_1200x1200_VIA_AZRDirect_French_NA_Facebook_STAN_LEA_T1_1</v></cell><cell r="AJ5936"><v>104455906</v></cell></row><row r="5937"><cell r="C5937" t="str"><v>43324Facebook»ITPros-Azure Direct-Sponsored Post_Trial-Video Ad-Free Account IT Pro - Hybrid»1x1»30s»SOC»ALL»CPC»LAL»D»UNK»SS»NA»Trials</v></cell><cell r="D5937" t="str"><v>43324226360001</v></cell><cell r="E5937" t="str"><v>43324104456278Trials</v></cell><cell r="F5937" t="str"><v>DCM</v></cell><cell r="G5937" t="str"><v>https://signup.azure.com/signup?offer=ms-azr-0044p&appId=102&ref=paidmedia-social-fb&redirectURL=https%3a%2f%2fazure.microsoft.com%2ffr-fr%2fget-started%2fwelcome-to-azure%2f&l=fr-fr&correlationId=ead86c34-1f10-49dd-a72b-6918462a2cbf</v></cell></row><row r="5937"><cell r="K5937" t="str"><v>August</v></cell><cell r="L5937"><v>43330</v></cell><cell r="M5937" t="str"><v>Tier 1</v></cell><cell r="N5937" t="str"><v>EMEA</v></cell><cell r="O5937" t="str"><v>France</v></cell><cell r="P5937" t="str"><v>Trial</v></cell><cell r="Q5937" t="str"><v>Social</v></cell><cell r="R5937" t="str"><v>Azure</v></cell><cell r="S5937" t="str"><v>Apps & Infra</v></cell><cell r="T5937" t="str"><v>Developers & ITI's</v></cell><cell r="U5937" t="str"><v>ITPros-Azure Direct-Sponsored Post_Trial-Video Ad-Free Account IT Pro - Hybrid</v></cell><cell r="V5937" t="str"><v>Lookalike Targeting</v></cell><cell r="W5937" t="str"><v>Social</v></cell><cell r="X5937" t="str"><v>1x1</v></cell></row><row r="5937"><cell r="AA5937"><v>43324</v></cell><cell r="AB5937" t="str"><v>FRA_gaPMG_AZR_AZR_Q1_19_AzureDirect-Trial-Social</v></cell><cell r="AC5937"><v>21356941</v></cell><cell r="AD5937"><v>720193</v></cell><cell r="AE5937" t="str"><v>Facebook</v></cell><cell r="AF5937"><v>3654128</v></cell><cell r="AG5937" t="str"><v>Facebook»ITPros-Azure Direct-Sponsored Post_Trial-Video Ad-Free Account IT Pro - Hybrid»1x1»30s»SOC»ALL»CPC»LAL»D»UNK»SS»NA»Trials</v></cell><cell r="AH5937"><v>226360001</v></cell><cell r="AI5937" t="str"><v>AZR_FreeAcctITProFB-AnimatedHybrid-Ch2_FRA_1200x1200_VIA_AZRDirect_French_NA_Facebook_STAN_LEA_T2_1</v></cell><cell r="AJ5937"><v>104456278</v></cell></row><row r="5938"><cell r="C5938" t="str"><v>43324Facebook»ITPros-Azure Direct-Sponsored Post_Trial-Video Ad-Free Account IT Pro - Migration»1x1»30s»SOC»ALL»CPC»LAL»D»UNK»SS»NA»Trials</v></cell><cell r="D5938" t="str"><v>43324226359995</v></cell><cell r="E5938" t="str"><v>43324104458003Trials</v></cell><cell r="F5938" t="str"><v>DCM</v></cell><cell r="G5938" t="str"><v>https://signup.azure.com/signup?offer=ms-azr-0044p&appId=102&ref=paidmedia-social-fb&redirectURL=https%3a%2f%2fazure.microsoft.com%2ffr-fr%2fget-started%2fwelcome-to-azure%2f&l=fr-fr&correlationId=ead86c34-1f10-49dd-a72b-6918462a2cbf</v></cell></row><row r="5938"><cell r="K5938" t="str"><v>August</v></cell><cell r="L5938"><v>43330</v></cell><cell r="M5938" t="str"><v>Tier 1</v></cell><cell r="N5938" t="str"><v>EMEA</v></cell><cell r="O5938" t="str"><v>France</v></cell><cell r="P5938" t="str"><v>Trial</v></cell><cell r="Q5938" t="str"><v>Social</v></cell><cell r="R5938" t="str"><v>Azure</v></cell><cell r="S5938" t="str"><v>Apps & Infra</v></cell><cell r="T5938" t="str"><v>Developers & ITI's</v></cell><cell r="U5938" t="str"><v>ITPros-Azure Direct-Sponsored Post_Trial-Video Ad-Free Account IT Pro - Migration</v></cell><cell r="V5938" t="str"><v>Lookalike Targeting</v></cell><cell r="W5938" t="str"><v>Social</v></cell><cell r="X5938" t="str"><v>1x1</v></cell></row><row r="5938"><cell r="AA5938"><v>43324</v></cell><cell r="AB5938" t="str"><v>FRA_gaPMG_AZR_AZR_Q1_19_AzureDirect-Trial-Social</v></cell><cell r="AC5938"><v>21356941</v></cell><cell r="AD5938"><v>720193</v></cell><cell r="AE5938" t="str"><v>Facebook</v></cell><cell r="AF5938"><v>3654128</v></cell><cell r="AG5938" t="str"><v>Facebook»ITPros-Azure Direct-Sponsored Post_Trial-Video Ad-Free Account IT Pro - Migration»1x1»30s»SOC»ALL»CPC»LAL»D»UNK»SS»NA»Trials</v></cell><cell r="AH5938"><v>226359995</v></cell><cell r="AI5938" t="str"><v>AZR_FreeAcctITProFB-AnimatedMigration-Ch3_FRA_1200x1200_VIA_AZRDirect_French_NA_Facebook_STAN_LEA_T3_1</v></cell><cell r="AJ5938"><v>104458003</v></cell></row><row r="5939"><cell r="C5939" t="str"><v>43324Facebook»ITPros-Azure Direct-Sponsored Post_Trial_PayGo-Video Ad-Free Account IT Pro - Migration»1x1»30s»SOC»ALL»CPC»LAL»D»UNK»SS»NA»Trials</v></cell><cell r="D5939" t="str"><v>43324226359935</v></cell><cell r="E5939" t="str"><v>43324104458003Trials</v></cell><cell r="F5939" t="str"><v>DCM</v></cell><cell r="G5939" t="str"><v>https://signup.azure.com/signup?offer=ms-azr-0044p&appId=102&ref=paidmedia-social-fb&redirectURL=https%3a%2f%2fazure.microsoft.com%2ffr-fr%2fget-started%2fwelcome-to-azure%2f&l=fr-fr&correlationId=ead86c34-1f10-49dd-a72b-6918462a2cbf</v></cell></row><row r="5939"><cell r="K5939" t="str"><v>August</v></cell><cell r="L5939"><v>43330</v></cell><cell r="M5939" t="str"><v>Tier 1</v></cell><cell r="N5939" t="str"><v>EMEA</v></cell><cell r="O5939" t="str"><v>France</v></cell><cell r="P5939" t="str"><v>Trial</v></cell><cell r="Q5939" t="str"><v>Social</v></cell><cell r="R5939" t="str"><v>Azure</v></cell><cell r="S5939" t="str"><v>Apps & Infra</v></cell><cell r="T5939" t="str"><v>Developers & ITI's</v></cell><cell r="U5939" t="str"><v>ITPros-Azure Direct-Sponsored Post_Trial_PayGo-Video Ad-Free Account IT Pro - Migration</v></cell><cell r="V5939" t="str"><v>Lookalike Targeting</v></cell><cell r="W5939" t="str"><v>Social</v></cell><cell r="X5939" t="str"><v>1x1</v></cell></row><row r="5939"><cell r="AA5939"><v>43324</v></cell><cell r="AB5939" t="str"><v>FRA_gaPMG_AZR_AZR_Q1_19_AzureDirect-Trial-Social</v></cell><cell r="AC5939"><v>21356941</v></cell><cell r="AD5939"><v>720193</v></cell><cell r="AE5939" t="str"><v>Facebook</v></cell><cell r="AF5939"><v>3654128</v></cell><cell r="AG5939" t="str"><v>Facebook»ITPros-Azure Direct-Sponsored Post_Trial_PayGo-Video Ad-Free Account IT Pro - Migration»1x1»30s»SOC»ALL»CPC»LAL»D»UNK»SS»NA»Trials</v></cell><cell r="AH5939"><v>226359935</v></cell><cell r="AI5939" t="str"><v>AZR_FreeAcctITProFB-AnimatedMigration-Ch3_FRA_1200x1200_VIA_AZRDirect_French_NA_Facebook_STAN_LEA_T3_1</v></cell><cell r="AJ5939"><v>104458003</v></cell></row><row r="5940"><cell r="C5940" t="str"><v>43324Facebook»Developers/ITPros-Azure Direct-Sponsored Post_Trial-Link Ad-FreeAcctRetargetingVMFB-OnDemand-ChE CanvasOpener»1x1»SocialBan»SOC»ALL»CPC»LAL»D»UNK»SS»NA»Trials</v></cell><cell r="D5940" t="str"><v>43324226496095</v></cell><cell r="E5940" t="str"><v>43324103376990Trials</v></cell><cell r="F5940" t="str"><v>DCM</v></cell><cell r="G5940" t="str"><v>https://azure.microsoft.com/fr-fr/free/virtual-machines/search/</v></cell></row><row r="5940"><cell r="K5940" t="str"><v>August</v></cell><cell r="L5940"><v>43330</v></cell><cell r="M5940" t="str"><v>Tier 1</v></cell><cell r="N5940" t="str"><v>EMEA</v></cell><cell r="O5940" t="str"><v>France</v></cell><cell r="P5940" t="str"><v>Trial</v></cell><cell r="Q5940" t="str"><v>Social</v></cell><cell r="R5940" t="str"><v>Azure</v></cell><cell r="S5940" t="str"><v>Apps & Infra</v></cell><cell r="T5940" t="str"><v>Developers & ITI's</v></cell><cell r="U5940" t="str"><v>Developers/ITPros-Azure Direct-Sponsored Post_Trial-Link Ad-FreeAcctRetargetingVMFB-OnDemand-ChE CanvasOpener</v></cell><cell r="V5940" t="str"><v>Lookalike Targeting</v></cell><cell r="W5940" t="str"><v>Social</v></cell><cell r="X5940" t="str"><v>1x1</v></cell></row><row r="5940"><cell r="AA5940"><v>43324</v></cell><cell r="AB5940" t="str"><v>FRA_gaPMG_AZR_AZR_Q1_19_AzureDirect-Trial-Social</v></cell><cell r="AC5940"><v>21356941</v></cell><cell r="AD5940"><v>720193</v></cell><cell r="AE5940" t="str"><v>Facebook</v></cell><cell r="AF5940"><v>3654128</v></cell><cell r="AG5940" t="str"><v>Facebook»Developers/ITPros-Azure Direct-Sponsored Post_Trial-Link Ad-FreeAcctRetargetingVMFB-OnDemand-ChE CanvasOpener»1x1»SocialBan»SOC»ALL»CPC»LAL»D»UNK»SS»NA»Trials</v></cell><cell r="AH5940"><v>226496095</v></cell><cell r="AI5940" t="str"><v>AZR_FreeAcctRetargetingVMFB-OnDemand-ChE_FRA_1200x628_SOC_AZRDirect_French_NA_Facebook_SBAN_SINU_T2_1</v></cell><cell r="AJ5940"><v>103376990</v></cell></row><row r="5941"><cell r="C5941" t="str"><v>43324Facebook»Audience & Interest Targeting»1x1»SocialBan»LIA»DT»CPC»AUT»W»NA»SS»NA»Basic Motion</v></cell><cell r="D5941" t="str"><v>43324224399962</v></cell><cell r="E5941" t="str"><v>43324103230847Motion</v></cell><cell r="F5941" t="str"><v>DCM</v></cell><cell r="G5941" t="str"><v>https://azure.microsoft.com/en-gb/pricing/purchase-options/</v></cell></row><row r="5941"><cell r="K5941" t="str"><v>August</v></cell><cell r="L5941"><v>43330</v></cell><cell r="M5941" t="str"><v>Tier 1</v></cell><cell r="N5941" t="str"><v>EMEA</v></cell><cell r="O5941" t="str"><v>United Kingdom</v></cell><cell r="P5941" t="str"><v>Trial</v></cell><cell r="Q5941" t="str"><v>Social</v></cell><cell r="R5941" t="str"><v>Azure</v></cell><cell r="S5941" t="str"><v>Apps & Infra</v></cell><cell r="T5941" t="str"><v>Developers & ITI's</v></cell><cell r="U5941" t="str"><v>Audience & Interest Targeting</v></cell><cell r="V5941" t="str"><v>Audience Targeting</v></cell><cell r="W5941" t="str"><v>Link Ad</v></cell><cell r="X5941" t="str"><v>1x1</v></cell></row><row r="5941"><cell r="AA5941"><v>43324</v></cell><cell r="AB5941" t="str"><v>GBR_gaPMG_CE_AZR_Q1_19_Trial-Social</v></cell><cell r="AC5941"><v>21337013</v></cell><cell r="AD5941"><v>720196</v></cell><cell r="AE5941" t="str"><v>Facebook</v></cell><cell r="AF5941"><v>3654128</v></cell><cell r="AG5941" t="str"><v>Facebook»Audience & Interest Targeting»1x1»SocialBan»LIA»DT»CPC»AUT»W»NA»SS»NA»Basic Motion</v></cell><cell r="AH5941"><v>224399962</v></cell><cell r="AI5941" t="str"><v>AzurePlatform_FBCTCcanvaspage-BuyNowCTA-Img3_GBR_1080x162_SOC_Plat_English_NA_Standard_NA_BN_T3_1</v></cell><cell r="AJ5941"><v>103230847</v></cell></row><row r="5942"><cell r="C5942" t="str"><v>43324Facebook»Audience & Interest Targeting»1x1»SocialBan»LIA»DT»CPC»AUT»W»NA»SS»NA»Basic Motion</v></cell><cell r="D5942" t="str"><v>43324224399962</v></cell><cell r="E5942" t="str"><v>43324103235146Motion</v></cell><cell r="F5942" t="str"><v>DCM</v></cell><cell r="G5942" t="str"><v>https://signup.azure.com/signup?offer=ms-azr-0044p&appId=102&ref=paidmedia-social-fb&redirectURL=https%3a%2f%2fazure.microsoft.com%2fen-gb%2fget-started%2fwelcome-to-azure%2f&l=en-gb&correlationId=ead86c34-1f10-49dd-a72b-6918462a2cbf</v></cell></row><row r="5942"><cell r="K5942" t="str"><v>August</v></cell><cell r="L5942"><v>43330</v></cell><cell r="M5942" t="str"><v>Tier 1</v></cell><cell r="N5942" t="str"><v>EMEA</v></cell><cell r="O5942" t="str"><v>United Kingdom</v></cell><cell r="P5942" t="str"><v>Trial</v></cell><cell r="Q5942" t="str"><v>Social</v></cell><cell r="R5942" t="str"><v>Azure</v></cell><cell r="S5942" t="str"><v>Apps & Infra</v></cell><cell r="T5942" t="str"><v>Developers & ITI's</v></cell><cell r="U5942" t="str"><v>Audience & Interest Targeting</v></cell><cell r="V5942" t="str"><v>Audience Targeting</v></cell><cell r="W5942" t="str"><v>Link Ad</v></cell><cell r="X5942" t="str"><v>1x1</v></cell></row><row r="5942"><cell r="AA5942"><v>43324</v></cell><cell r="AB5942" t="str"><v>GBR_gaPMG_CE_AZR_Q1_19_Trial-Social</v></cell><cell r="AC5942"><v>21337013</v></cell><cell r="AD5942"><v>720196</v></cell><cell r="AE5942" t="str"><v>Facebook</v></cell><cell r="AF5942"><v>3654128</v></cell><cell r="AG5942" t="str"><v>Facebook»Audience & Interest Targeting»1x1»SocialBan»LIA»DT»CPC»AUT»W»NA»SS»NA»Basic Motion</v></cell><cell r="AH5942"><v>224399962</v></cell><cell r="AI5942" t="str"><v>AzurePlatform_FBCTCcanvaspage-StartFreeCTA-Img2_GBR_1080x143 _SOC_Plat_English_NA_Standard_NA_NA_T2_1</v></cell><cell r="AJ5942"><v>103235146</v></cell></row><row r="5943"><cell r="C5943" t="str"><v>43324Facebook»Audience & Interest Targeting»1x1»SocialBan»LIA»DT»CPC»AUT»W»NA»SS»NA»Benefit 2 in Motion</v></cell><cell r="D5943" t="str"><v>43324224334170</v></cell><cell r="E5943" t="str"><v>43324103235146Motion</v></cell><cell r="F5943" t="str"><v>DCM</v></cell><cell r="G5943" t="str"><v>https://signup.azure.com/signup?offer=ms-azr-0044p&appId=102&ref=paidmedia-social-fb&redirectURL=https%3a%2f%2fazure.microsoft.com%2fen-gb%2fget-started%2fwelcome-to-azure%2f&l=en-gb&correlationId=ead86c34-1f10-49dd-a72b-6918462a2cbf</v></cell></row><row r="5943"><cell r="K5943" t="str"><v>August</v></cell><cell r="L5943"><v>43330</v></cell><cell r="M5943" t="str"><v>Tier 1</v></cell><cell r="N5943" t="str"><v>EMEA</v></cell><cell r="O5943" t="str"><v>United Kingdom</v></cell><cell r="P5943" t="str"><v>Trial</v></cell><cell r="Q5943" t="str"><v>Social</v></cell><cell r="R5943" t="str"><v>Azure</v></cell><cell r="S5943" t="str"><v>Apps & Infra</v></cell><cell r="T5943" t="str"><v>Developers & ITI's</v></cell><cell r="U5943" t="str"><v>Audience & Interest Targeting</v></cell><cell r="V5943" t="str"><v>Audience Targeting</v></cell><cell r="W5943" t="str"><v>Link Ad</v></cell><cell r="X5943" t="str"><v>1x1</v></cell></row><row r="5943"><cell r="AA5943"><v>43324</v></cell><cell r="AB5943" t="str"><v>GBR_gaPMG_CE_AZR_Q1_19_Trial-Social</v></cell><cell r="AC5943"><v>21337013</v></cell><cell r="AD5943"><v>720196</v></cell><cell r="AE5943" t="str"><v>Facebook</v></cell><cell r="AF5943"><v>3654128</v></cell><cell r="AG5943" t="str"><v>Facebook»Audience & Interest Targeting»1x1»SocialBan»LIA»DT»CPC»AUT»W»NA»SS»NA»Benefit 2 in Motion</v></cell><cell r="AH5943"><v>224334170</v></cell><cell r="AI5943" t="str"><v>AzurePlatform_FBCTCcanvaspage-StartFreeCTA-Img2_GBR_1080x143 _SOC_Plat_English_NA_Standard_NA_NA_T2_1</v></cell><cell r="AJ5943"><v>103235146</v></cell></row><row r="5944"><cell r="C5944" t="str"><v>43324Facebook»Audience & Interest Targeting»1x1»SocialBan»LIA»DT»CPC»AUT»W»NA»SS»NA»Brand in Motion</v></cell><cell r="D5944" t="str"><v>43324224549481</v></cell><cell r="E5944" t="str"><v>43324103235146Motion</v></cell><cell r="F5944" t="str"><v>DCM</v></cell><cell r="G5944" t="str"><v>https://signup.azure.com/signup?offer=ms-azr-0044p&appId=102&ref=paidmedia-social-fb&redirectURL=https%3a%2f%2fazure.microsoft.com%2fen-gb%2fget-started%2fwelcome-to-azure%2f&l=en-gb&correlationId=ead86c34-1f10-49dd-a72b-6918462a2cbf</v></cell></row><row r="5944"><cell r="K5944" t="str"><v>August</v></cell><cell r="L5944"><v>43330</v></cell><cell r="M5944" t="str"><v>Tier 1</v></cell><cell r="N5944" t="str"><v>EMEA</v></cell><cell r="O5944" t="str"><v>United Kingdom</v></cell><cell r="P5944" t="str"><v>Trial</v></cell><cell r="Q5944" t="str"><v>Social</v></cell><cell r="R5944" t="str"><v>Azure</v></cell><cell r="S5944" t="str"><v>Apps & Infra</v></cell><cell r="T5944" t="str"><v>Developers & ITI's</v></cell><cell r="U5944" t="str"><v>Audience & Interest Targeting</v></cell><cell r="V5944" t="str"><v>Audience Targeting</v></cell><cell r="W5944" t="str"><v>Link Ad</v></cell><cell r="X5944" t="str"><v>1x1</v></cell></row><row r="5944"><cell r="AA5944"><v>43324</v></cell><cell r="AB5944" t="str"><v>GBR_gaPMG_CE_AZR_Q1_19_Trial-Social</v></cell><cell r="AC5944"><v>21337013</v></cell><cell r="AD5944"><v>720196</v></cell><cell r="AE5944" t="str"><v>Facebook</v></cell><cell r="AF5944"><v>3654128</v></cell><cell r="AG5944" t="str"><v>Facebook»Audience & Interest Targeting»1x1»SocialBan»LIA»DT»CPC»AUT»W»NA»SS»NA»Brand in Motion</v></cell><cell r="AH5944"><v>224549481</v></cell><cell r="AI5944" t="str"><v>AzurePlatform_FBCTCcanvaspage-StartFreeCTA-Img2_GBR_1080x143 _SOC_Plat_English_NA_Standard_NA_NA_T2_1</v></cell><cell r="AJ5944"><v>103235146</v></cell></row><row r="5945"><cell r="C5945" t="str"><v>43324Facebook»Audience & Interest Targeting»1x1»SocialBan»LIA»DT»DYN»AUT»W»NA»SS»NA»Free Account Refresh- 12 months ChE</v></cell><cell r="D5945" t="str"><v>43324223567691</v></cell><cell r="E5945" t="str"><v>43324102854007hs ChE</v></cell><cell r="F5945" t="str"><v>DCM</v></cell><cell r="G5945" t="str"><v>https://azure.microsoft.com/en-gb/free/search/</v></cell></row><row r="5945"><cell r="K5945" t="str"><v>August</v></cell><cell r="L5945"><v>43330</v></cell><cell r="M5945" t="str"><v>Tier 1</v></cell><cell r="N5945" t="str"><v>EMEA</v></cell><cell r="O5945" t="str"><v>United Kingdom</v></cell><cell r="P5945" t="str"><v>Trial</v></cell><cell r="Q5945" t="str"><v>Social</v></cell><cell r="R5945" t="str"><v>Azure</v></cell><cell r="S5945" t="str"><v>Apps & Infra</v></cell><cell r="T5945" t="str"><v>Developers & ITI's</v></cell><cell r="U5945" t="str"><v>Audience & Interest Targeting</v></cell><cell r="V5945" t="str"><v>Audience Targeting</v></cell><cell r="W5945" t="str"><v>Link Ad</v></cell><cell r="X5945" t="str"><v>1x1</v></cell></row><row r="5945"><cell r="AA5945"><v>43324</v></cell><cell r="AB5945" t="str"><v>GBR_gaPMG_CE_AZR_Q1_19_Trial-Social</v></cell><cell r="AC5945"><v>21337013</v></cell><cell r="AD5945"><v>720196</v></cell><cell r="AE5945" t="str"><v>Facebook</v></cell><cell r="AF5945"><v>3654128</v></cell><cell r="AG5945" t="str"><v>Facebook»Audience & Interest Targeting»1x1»SocialBan»LIA»DT»DYN»AUT»W»NA»SS»NA»Free Account Refresh- 12 months ChE</v></cell><cell r="AH5945"><v>223567691</v></cell><cell r="AI5945" t="str"><v>AzurePlatform_FreeAcctAppsFACEBOOK12monthsChE_GBR_1200x628_SOC_PLAT_EN_Trial_Standard_NA_SU_T5_1</v></cell><cell r="AJ5945"><v>102854007</v></cell></row><row r="5946"><cell r="C5946" t="str"><v>43324Facebook»Audience & Interest Targeting»1x1»SocialBan»LIA»DT»DYN»AUT»W»NA»SS»NA»Free Account Refresh- 200 Credit ChD</v></cell><cell r="D5946" t="str"><v>43324223560359</v></cell><cell r="E5946" t="str"><v>43324103005662it ChD</v></cell><cell r="F5946" t="str"><v>DCM</v></cell><cell r="G5946" t="str"><v>https://azure.microsoft.com/en-gb/free/search/</v></cell></row><row r="5946"><cell r="K5946" t="str"><v>August</v></cell><cell r="L5946"><v>43330</v></cell><cell r="M5946" t="str"><v>Tier 1</v></cell><cell r="N5946" t="str"><v>EMEA</v></cell><cell r="O5946" t="str"><v>United Kingdom</v></cell><cell r="P5946" t="str"><v>Trial</v></cell><cell r="Q5946" t="str"><v>Social</v></cell><cell r="R5946" t="str"><v>Azure</v></cell><cell r="S5946" t="str"><v>Apps & Infra</v></cell><cell r="T5946" t="str"><v>Developers & ITI's</v></cell><cell r="U5946" t="str"><v>Audience & Interest Targeting</v></cell><cell r="V5946" t="str"><v>Audience Targeting</v></cell><cell r="W5946" t="str"><v>Link Ad</v></cell><cell r="X5946" t="str"><v>1x1</v></cell></row><row r="5946"><cell r="AA5946"><v>43324</v></cell><cell r="AB5946" t="str"><v>GBR_gaPMG_CE_AZR_Q1_19_Trial-Social</v></cell><cell r="AC5946"><v>21337013</v></cell><cell r="AD5946"><v>720196</v></cell><cell r="AE5946" t="str"><v>Facebook</v></cell><cell r="AF5946"><v>3654128</v></cell><cell r="AG5946" t="str"><v>Facebook»Audience & Interest Targeting»1x1»SocialBan»LIA»DT»DYN»AUT»W»NA»SS»NA»Free Account Refresh- 200 Credit ChD</v></cell><cell r="AH5946"><v>223560359</v></cell><cell r="AI5946" t="str"><v>AzurePlatform_FreeAcctAppsFACEBOOK200CreditChD_GBR_1200x628_SOC_PLAT_EN_Trial_Standard_NA_SU_T4_1</v></cell><cell r="AJ5946"><v>103005662</v></cell></row><row r="5947"><cell r="C5947" t="str"><v>43324Facebook»Audience & Interest Targeting»1x1»SocialBan»LIA»DT»DYN»AUT»W»NA»SS»NA»Free Account Refresh- Device ChB</v></cell><cell r="D5947" t="str"><v>43324223560353</v></cell><cell r="E5947" t="str"><v>43324102854010ce ChB</v></cell><cell r="F5947" t="str"><v>DCM</v></cell><cell r="G5947" t="str"><v>https://azure.microsoft.com/en-gb/free/search/</v></cell></row><row r="5947"><cell r="K5947" t="str"><v>August</v></cell><cell r="L5947"><v>43330</v></cell><cell r="M5947" t="str"><v>Tier 1</v></cell><cell r="N5947" t="str"><v>EMEA</v></cell><cell r="O5947" t="str"><v>United Kingdom</v></cell><cell r="P5947" t="str"><v>Trial</v></cell><cell r="Q5947" t="str"><v>Social</v></cell><cell r="R5947" t="str"><v>Azure</v></cell><cell r="S5947" t="str"><v>Apps & Infra</v></cell><cell r="T5947" t="str"><v>Developers & ITI's</v></cell><cell r="U5947" t="str"><v>Audience & Interest Targeting</v></cell><cell r="V5947" t="str"><v>Audience Targeting</v></cell><cell r="W5947" t="str"><v>Link Ad</v></cell><cell r="X5947" t="str"><v>1x1</v></cell></row><row r="5947"><cell r="AA5947"><v>43324</v></cell><cell r="AB5947" t="str"><v>GBR_gaPMG_CE_AZR_Q1_19_Trial-Social</v></cell><cell r="AC5947"><v>21337013</v></cell><cell r="AD5947"><v>720196</v></cell><cell r="AE5947" t="str"><v>Facebook</v></cell><cell r="AF5947"><v>3654128</v></cell><cell r="AG5947" t="str"><v>Facebook»Audience & Interest Targeting»1x1»SocialBan»LIA»DT»DYN»AUT»W»NA»SS»NA»Free Account Refresh- Device ChB</v></cell><cell r="AH5947"><v>223560353</v></cell><cell r="AI5947" t="str"><v>AzurePlatform_FreeAcctAppsFACEBOOKDeviceChB_GBR_1200x628_SOC_PLAT_EN_Trial_Standard_NA_SU_T2_1</v></cell><cell r="AJ5947"><v>102854010</v></cell></row><row r="5948"><cell r="C5948" t="str"><v>43324Facebook»Audience & Interest Targeting»1x1»SocialBan»LIA»DT»DYN»AUT»W»NA»SS»NA»Free Account Refresh- Illustration ChC</v></cell><cell r="D5948" t="str"><v>43324223560347</v></cell><cell r="E5948" t="str"><v>43324102857037on ChC</v></cell><cell r="F5948" t="str"><v>DCM</v></cell><cell r="G5948" t="str"><v>https://azure.microsoft.com/en-gb/free/search/</v></cell></row><row r="5948"><cell r="K5948" t="str"><v>August</v></cell><cell r="L5948"><v>43330</v></cell><cell r="M5948" t="str"><v>Tier 1</v></cell><cell r="N5948" t="str"><v>EMEA</v></cell><cell r="O5948" t="str"><v>United Kingdom</v></cell><cell r="P5948" t="str"><v>Trial</v></cell><cell r="Q5948" t="str"><v>Social</v></cell><cell r="R5948" t="str"><v>Azure</v></cell><cell r="S5948" t="str"><v>Apps & Infra</v></cell><cell r="T5948" t="str"><v>Developers & ITI's</v></cell><cell r="U5948" t="str"><v>Audience & Interest Targeting</v></cell><cell r="V5948" t="str"><v>Audience Targeting</v></cell><cell r="W5948" t="str"><v>Link Ad</v></cell><cell r="X5948" t="str"><v>1x1</v></cell></row><row r="5948"><cell r="AA5948"><v>43324</v></cell><cell r="AB5948" t="str"><v>GBR_gaPMG_CE_AZR_Q1_19_Trial-Social</v></cell><cell r="AC5948"><v>21337013</v></cell><cell r="AD5948"><v>720196</v></cell><cell r="AE5948" t="str"><v>Facebook</v></cell><cell r="AF5948"><v>3654128</v></cell><cell r="AG5948" t="str"><v>Facebook»Audience & Interest Targeting»1x1»SocialBan»LIA»DT»DYN»AUT»W»NA»SS»NA»Free Account Refresh- Illustration ChC</v></cell><cell r="AH5948"><v>223560347</v></cell><cell r="AI5948" t="str"><v>AzurePlatform_FreeAcctAppsFACEBOOKIllustrationChC_GBR_1200x628_SOC_PLAT_EN_Trial_Standard_NA_SU_T3_1</v></cell><cell r="AJ5948"><v>102857037</v></cell></row><row r="5949"><cell r="C5949" t="str"><v>43324Facebook»Audience & Interest Targeting»1x1»SocialBan»LIA»DT»DYN»AUT»W»NA»SS»NA»Free Account Refresh- Lifestyle ChA</v></cell><cell r="D5949" t="str"><v>43324223560341</v></cell><cell r="E5949" t="str"><v>43324102853597le ChA</v></cell><cell r="F5949" t="str"><v>DCM</v></cell><cell r="G5949" t="str"><v>https://azure.microsoft.com/en-gb/free/search/</v></cell></row><row r="5949"><cell r="K5949" t="str"><v>August</v></cell><cell r="L5949"><v>43330</v></cell><cell r="M5949" t="str"><v>Tier 1</v></cell><cell r="N5949" t="str"><v>EMEA</v></cell><cell r="O5949" t="str"><v>United Kingdom</v></cell><cell r="P5949" t="str"><v>Trial</v></cell><cell r="Q5949" t="str"><v>Social</v></cell><cell r="R5949" t="str"><v>Azure</v></cell><cell r="S5949" t="str"><v>Apps & Infra</v></cell><cell r="T5949" t="str"><v>Developers & ITI's</v></cell><cell r="U5949" t="str"><v>Audience & Interest Targeting</v></cell><cell r="V5949" t="str"><v>Audience Targeting</v></cell><cell r="W5949" t="str"><v>Link Ad</v></cell><cell r="X5949" t="str"><v>1x1</v></cell></row><row r="5949"><cell r="AA5949"><v>43324</v></cell><cell r="AB5949" t="str"><v>GBR_gaPMG_CE_AZR_Q1_19_Trial-Social</v></cell><cell r="AC5949"><v>21337013</v></cell><cell r="AD5949"><v>720196</v></cell><cell r="AE5949" t="str"><v>Facebook</v></cell><cell r="AF5949"><v>3654128</v></cell><cell r="AG5949" t="str"><v>Facebook»Audience & Interest Targeting»1x1»SocialBan»LIA»DT»DYN»AUT»W»NA»SS»NA»Free Account Refresh- Lifestyle ChA</v></cell><cell r="AH5949"><v>223560341</v></cell><cell r="AI5949" t="str"><v>AzurePlatform_FreeAcctAppsFACEBOOKLifestyleChA_GBR_1200x628_SOC_PLAT_EN_Trial_Standard_NA_SU_T1_1</v></cell><cell r="AJ5949"><v>102853597</v></cell></row><row r="5950"><cell r="C5950" t="str"><v>43324Facebook»Retargeting»1x1»SocialBan»LIA»DT»DYN»RT»W»NA»SS»NA»Free Account Retargeting Generic- Animated ChC</v></cell><cell r="D5950" t="str"><v>43324223560299</v></cell><cell r="E5950" t="str"><v>43324102854019ed ChC</v></cell><cell r="F5950" t="str"><v>DCM</v></cell><cell r="G5950" t="str"><v>https://azure.microsoft.com/en-gb/free/search/</v></cell></row><row r="5950"><cell r="K5950" t="str"><v>August</v></cell><cell r="L5950"><v>43330</v></cell><cell r="M5950" t="str"><v>Tier 1</v></cell><cell r="N5950" t="str"><v>EMEA</v></cell><cell r="O5950" t="str"><v>United Kingdom</v></cell><cell r="P5950" t="str"><v>Trial</v></cell><cell r="Q5950" t="str"><v>Social</v></cell><cell r="R5950" t="str"><v>Azure</v></cell><cell r="S5950" t="str"><v>Apps & Infra</v></cell><cell r="T5950" t="str"><v>Developers & ITI's</v></cell><cell r="U5950" t="str"><v>Retargeting</v></cell><cell r="V5950" t="str"><v>Retargeting</v></cell><cell r="W5950" t="str"><v>Link Ad</v></cell><cell r="X5950" t="str"><v>1x1</v></cell></row><row r="5950"><cell r="AA5950"><v>43324</v></cell><cell r="AB5950" t="str"><v>GBR_gaPMG_CE_AZR_Q1_19_Trial-Social</v></cell><cell r="AC5950"><v>21337013</v></cell><cell r="AD5950"><v>720196</v></cell><cell r="AE5950" t="str"><v>Facebook</v></cell><cell r="AF5950"><v>3654128</v></cell><cell r="AG5950" t="str"><v>Facebook»Retargeting»1x1»SocialBan»LIA»DT»DYN»RT»W»NA»SS»NA»Free Account Retargeting Generic- Animated ChC</v></cell><cell r="AH5950"><v>223560299</v></cell><cell r="AI5950" t="str"><v>AzurePlatform_FreeAcctRetargetingFB-Animated-ChC_GBR_1200x628_SOC_Plat_EN_Free Account_Standard_ANI_SU_T3_1</v></cell><cell r="AJ5950"><v>102854019</v></cell></row><row r="5951"><cell r="C5951" t="str"><v>43324Facebook»Retargeting»1x1»SocialBan»LIA»DT»DYN»RT»W»NA»SS»NA»Free Account Retargeting Generic- Global Alt ChB</v></cell><cell r="D5951" t="str"><v>43324223560356</v></cell><cell r="E5951" t="str"><v>43324102854016lt ChB</v></cell><cell r="F5951" t="str"><v>DCM</v></cell><cell r="G5951" t="str"><v>https://azure.microsoft.com/en-gb/free/search/</v></cell></row><row r="5951"><cell r="K5951" t="str"><v>August</v></cell><cell r="L5951"><v>43330</v></cell><cell r="M5951" t="str"><v>Tier 1</v></cell><cell r="N5951" t="str"><v>EMEA</v></cell><cell r="O5951" t="str"><v>United Kingdom</v></cell><cell r="P5951" t="str"><v>Trial</v></cell><cell r="Q5951" t="str"><v>Social</v></cell><cell r="R5951" t="str"><v>Azure</v></cell><cell r="S5951" t="str"><v>Apps & Infra</v></cell><cell r="T5951" t="str"><v>Developers & ITI's</v></cell><cell r="U5951" t="str"><v>Retargeting</v></cell><cell r="V5951" t="str"><v>Retargeting</v></cell><cell r="W5951" t="str"><v>Link Ad</v></cell><cell r="X5951" t="str"><v>1x1</v></cell></row><row r="5951"><cell r="AA5951"><v>43324</v></cell><cell r="AB5951" t="str"><v>GBR_gaPMG_CE_AZR_Q1_19_Trial-Social</v></cell><cell r="AC5951"><v>21337013</v></cell><cell r="AD5951"><v>720196</v></cell><cell r="AE5951" t="str"><v>Facebook</v></cell><cell r="AF5951"><v>3654128</v></cell><cell r="AG5951" t="str"><v>Facebook»Retargeting»1x1»SocialBan»LIA»DT»DYN»RT»W»NA»SS»NA»Free Account Retargeting Generic- Global Alt ChB</v></cell><cell r="AH5951"><v>223560356</v></cell><cell r="AI5951" t="str"><v>AzurePlatform_FreeAcctRetargetingFB-GlobalAlt-ChB_GBR_1200x628_SOC_Plat_EN_Free Account_Standard_NA_SU_T2_1</v></cell><cell r="AJ5951"><v>102854016</v></cell></row><row r="5952"><cell r="C5952" t="str"><v>43324Facebook»Retargeting»1x1»SocialBan»LIA»DT»DYN»RT»W»NA»SS»NA»Free Account Retargeting OSS- Logos ChG</v></cell><cell r="D5952" t="str"><v>43324223560350</v></cell><cell r="E5952" t="str"><v>43324103006547os ChG</v></cell><cell r="F5952" t="str"><v>DCM</v></cell><cell r="G5952" t="str"><v>https://azure.microsoft.com/en-gb/free/open-source/search/</v></cell></row><row r="5952"><cell r="K5952" t="str"><v>August</v></cell><cell r="L5952"><v>43330</v></cell><cell r="M5952" t="str"><v>Tier 1</v></cell><cell r="N5952" t="str"><v>EMEA</v></cell><cell r="O5952" t="str"><v>United Kingdom</v></cell><cell r="P5952" t="str"><v>Trial</v></cell><cell r="Q5952" t="str"><v>Social</v></cell><cell r="R5952" t="str"><v>Azure</v></cell><cell r="S5952" t="str"><v>Apps & Infra</v></cell><cell r="T5952" t="str"><v>Developers & ITI's</v></cell><cell r="U5952" t="str"><v>Retargeting</v></cell><cell r="V5952" t="str"><v>Retargeting</v></cell><cell r="W5952" t="str"><v>Link Ad</v></cell><cell r="X5952" t="str"><v>1x1</v></cell></row><row r="5952"><cell r="AA5952"><v>43324</v></cell><cell r="AB5952" t="str"><v>GBR_gaPMG_CE_AZR_Q1_19_Trial-Social</v></cell><cell r="AC5952"><v>21337013</v></cell><cell r="AD5952"><v>720196</v></cell><cell r="AE5952" t="str"><v>Facebook</v></cell><cell r="AF5952"><v>3654128</v></cell><cell r="AG5952" t="str"><v>Facebook»Retargeting»1x1»SocialBan»LIA»DT»DYN»RT»W»NA»SS»NA»Free Account Retargeting OSS- Logos ChG</v></cell><cell r="AH5952"><v>223560350</v></cell><cell r="AI5952" t="str"><v>AzurePlatform_FreeAcctRetargetingOSSFB-Logos-ChG_GBR_1200x628_SOC_Plat_EN_Free Account_Standard_NA_SU_T2_1</v></cell><cell r="AJ5952"><v>103006547</v></cell></row><row r="5953"><cell r="C5953" t="str"><v>43324Facebook»Retargeting»1x1»SocialBan»LIA»DT»DYN»RT»W»NA»SS»NA»Free Account Retargeting OSS- Text ChF</v></cell><cell r="D5953" t="str"><v>43324223560344</v></cell><cell r="E5953" t="str"><v>43324102861246xt ChF</v></cell><cell r="F5953" t="str"><v>DCM</v></cell><cell r="G5953" t="str"><v>https://azure.microsoft.com/en-gb/free/open-source/search/</v></cell></row><row r="5953"><cell r="K5953" t="str"><v>August</v></cell><cell r="L5953"><v>43330</v></cell><cell r="M5953" t="str"><v>Tier 1</v></cell><cell r="N5953" t="str"><v>EMEA</v></cell><cell r="O5953" t="str"><v>United Kingdom</v></cell><cell r="P5953" t="str"><v>Trial</v></cell><cell r="Q5953" t="str"><v>Social</v></cell><cell r="R5953" t="str"><v>Azure</v></cell><cell r="S5953" t="str"><v>Apps & Infra</v></cell><cell r="T5953" t="str"><v>Developers & ITI's</v></cell><cell r="U5953" t="str"><v>Retargeting</v></cell><cell r="V5953" t="str"><v>Retargeting</v></cell><cell r="W5953" t="str"><v>Link Ad</v></cell><cell r="X5953" t="str"><v>1x1</v></cell></row><row r="5953"><cell r="AA5953"><v>43324</v></cell><cell r="AB5953" t="str"><v>GBR_gaPMG_CE_AZR_Q1_19_Trial-Social</v></cell><cell r="AC5953"><v>21337013</v></cell><cell r="AD5953"><v>720196</v></cell><cell r="AE5953" t="str"><v>Facebook</v></cell><cell r="AF5953"><v>3654128</v></cell><cell r="AG5953" t="str"><v>Facebook»Retargeting»1x1»SocialBan»LIA»DT»DYN»RT»W»NA»SS»NA»Free Account Retargeting OSS- Text ChF</v></cell><cell r="AH5953"><v>223560344</v></cell><cell r="AI5953" t="str"><v>AzurePlatform_FreeAcctRetargetingOSSFB-Text-ChF_GBR_1200x628_SOC_Plat_EN_Free Account_Standard_NA_SU_T1_1</v></cell><cell r="AJ5953"><v>102861246</v></cell></row><row r="5954"><cell r="C5954" t="str"><v>43324Facebook»Retargeting»1x1»SocialBan»LIA»DT»DYN»RT»W»NA»SS»NA»Free Account Retargeting VM- 750 Hrs ChD</v></cell><cell r="D5954" t="str"><v>43324223560338</v></cell><cell r="E5954" t="str"><v>43324102853603rs ChD</v></cell><cell r="F5954" t="str"><v>DCM</v></cell><cell r="G5954" t="str"><v>https://azure.microsoft.com/en-gb/free/virtual-machines/search/</v></cell></row><row r="5954"><cell r="K5954" t="str"><v>August</v></cell><cell r="L5954"><v>43330</v></cell><cell r="M5954" t="str"><v>Tier 1</v></cell><cell r="N5954" t="str"><v>EMEA</v></cell><cell r="O5954" t="str"><v>United Kingdom</v></cell><cell r="P5954" t="str"><v>Trial</v></cell><cell r="Q5954" t="str"><v>Social</v></cell><cell r="R5954" t="str"><v>Azure</v></cell><cell r="S5954" t="str"><v>Apps & Infra</v></cell><cell r="T5954" t="str"><v>Developers & ITI's</v></cell><cell r="U5954" t="str"><v>Retargeting</v></cell><cell r="V5954" t="str"><v>Retargeting</v></cell><cell r="W5954" t="str"><v>Link Ad</v></cell><cell r="X5954" t="str"><v>1x1</v></cell></row><row r="5954"><cell r="AA5954"><v>43324</v></cell><cell r="AB5954" t="str"><v>GBR_gaPMG_CE_AZR_Q1_19_Trial-Social</v></cell><cell r="AC5954"><v>21337013</v></cell><cell r="AD5954"><v>720196</v></cell><cell r="AE5954" t="str"><v>Facebook</v></cell><cell r="AF5954"><v>3654128</v></cell><cell r="AG5954" t="str"><v>Facebook»Retargeting»1x1»SocialBan»LIA»DT»DYN»RT»W»NA»SS»NA»Free Account Retargeting VM- 750 Hrs ChD</v></cell><cell r="AH5954"><v>223560338</v></cell><cell r="AI5954" t="str"><v>AzurePlatform_FreeAcctRetargetingVMFB-750Hrs-ChD_GBR_1200x628_SOC_Plat_EN_Free Account_Standard_NA_SU_T1_1</v></cell><cell r="AJ5954"><v>102853603</v></cell></row><row r="5955"><cell r="C5955" t="str"><v>43324Facebook»Retargeting»1x1»SocialBan»LIA»DT»DYN»RT»W»NA»SS»NA»Free Account Retargeting VM- On Demand ChE</v></cell><cell r="D5955" t="str"><v>43324223560332</v></cell><cell r="E5955" t="str"><v>43324102854037nd ChE</v></cell><cell r="F5955" t="str"><v>DCM</v></cell><cell r="G5955" t="str"><v>https://azure.microsoft.com/en-gb/free/virtual-machines/search/</v></cell></row><row r="5955"><cell r="K5955" t="str"><v>August</v></cell><cell r="L5955"><v>43330</v></cell><cell r="M5955" t="str"><v>Tier 1</v></cell><cell r="N5955" t="str"><v>EMEA</v></cell><cell r="O5955" t="str"><v>United Kingdom</v></cell><cell r="P5955" t="str"><v>Trial</v></cell><cell r="Q5955" t="str"><v>Social</v></cell><cell r="R5955" t="str"><v>Azure</v></cell><cell r="S5955" t="str"><v>Apps & Infra</v></cell><cell r="T5955" t="str"><v>Developers & ITI's</v></cell><cell r="U5955" t="str"><v>Retargeting</v></cell><cell r="V5955" t="str"><v>Retargeting</v></cell><cell r="W5955" t="str"><v>Link Ad</v></cell><cell r="X5955" t="str"><v>1x1</v></cell></row><row r="5955"><cell r="AA5955"><v>43324</v></cell><cell r="AB5955" t="str"><v>GBR_gaPMG_CE_AZR_Q1_19_Trial-Social</v></cell><cell r="AC5955"><v>21337013</v></cell><cell r="AD5955"><v>720196</v></cell><cell r="AE5955" t="str"><v>Facebook</v></cell><cell r="AF5955"><v>3654128</v></cell><cell r="AG5955" t="str"><v>Facebook»Retargeting»1x1»SocialBan»LIA»DT»DYN»RT»W»NA»SS»NA»Free Account Retargeting VM- On Demand ChE</v></cell><cell r="AH5955"><v>223560332</v></cell><cell r="AI5955" t="str"><v>AzurePlatform_FreeAcctRetargetingVMFB-OnDemand-ChE_GBR_1200x628_SOC_Plat_EN_Free Account_Standard_NA_SU_T2_1</v></cell><cell r="AJ5955"><v>102854037</v></cell></row><row r="5956"><cell r="C5956" t="str"><v>43324Facebook»AZP-Canvas-Interest&Role-Trial»1x1»Canvas»OTH»MO»CPM»PRO»X»UNK»TP»OT»Canvas-Trial</v></cell><cell r="D5956" t="str"><v>43324223298805</v></cell><cell r="E5956" t="str"><v>43324102609621-Trial</v></cell><cell r="F5956" t="str"><v>DCM</v></cell><cell r="G5956" t="str"><v>https://signup.azure.com/signup?offer=ms-azr-0044p&appId=102&ref=paidmedia-social-fb&redirectURL=https%3a%2f%2fazure.microsoft.com%2fja-jp%2fget-started%2fwelcome-to-azure%2f&l=ja-jp&correlationId=ead86c34-1f10-49dd-a72b-6918462a2cbf</v></cell></row><row r="5956"><cell r="K5956" t="str"><v>August</v></cell><cell r="L5956"><v>43330</v></cell><cell r="M5956" t="str"><v>Tier 1</v></cell><cell r="N5956" t="str"><v>APAC</v></cell><cell r="O5956" t="str"><v>Japan</v></cell><cell r="P5956" t="str"><v>Trial</v></cell><cell r="Q5956" t="str"><v>Social</v></cell><cell r="R5956" t="str"><v>Azure</v></cell><cell r="S5956" t="str"><v>Apps & Infra</v></cell><cell r="T5956" t="str"><v>Developers & ITI's</v></cell><cell r="U5956" t="str"><v>AZP-Canvas-Interest&Role-Trial</v></cell><cell r="V5956" t="str"><v>Prospecting</v></cell><cell r="W5956" t="str"><v>Other</v></cell><cell r="X5956" t="str"><v>1x1</v></cell></row><row r="5956"><cell r="AA5956"><v>43324</v></cell><cell r="AB5956" t="str"><v>JPN_gaPMG_AZR_AZR_Q1_19_Trial-Social</v></cell><cell r="AC5956"><v>21276694</v></cell><cell r="AD5956"><v>720195</v></cell><cell r="AE5956" t="str"><v>Facebook</v></cell><cell r="AF5956"><v>3654128</v></cell><cell r="AG5956" t="str"><v>Facebook»AZP-Canvas-Interest&Role-Trial»1x1»Canvas»OTH»MO»CPM»PRO»X»UNK»TP»OT»Canvas-Trial</v></cell><cell r="AH5956"><v>223298805</v></cell><cell r="AI5956" t="str"><v>AzurePlatform_FBCTCcanvaspage-StartFreeCTA-Img2_JPN_1080x143 _SOC_Plat_Japanese_NA_Standard_NA_NA_T2_1</v></cell><cell r="AJ5956"><v>102609621</v></cell></row><row r="5957"><cell r="C5957" t="str"><v>43324Facebook»AZP-Canvas-Look a Like-Trial»1x1»Canvas»OTH»MO»CPM»PRO»X»UNK»TP»OT»Canvas-Trial</v></cell><cell r="D5957" t="str"><v>43324223297413</v></cell><cell r="E5957" t="str"><v>43324102630373-Trial</v></cell><cell r="F5957" t="str"><v>DCM</v></cell><cell r="G5957" t="str"><v>https://azure.microsoft.com/ja-jp/pricing/purchase-options/</v></cell></row><row r="5957"><cell r="K5957" t="str"><v>August</v></cell><cell r="L5957"><v>43330</v></cell><cell r="M5957" t="str"><v>Tier 1</v></cell><cell r="N5957" t="str"><v>APAC</v></cell><cell r="O5957" t="str"><v>Japan</v></cell><cell r="P5957" t="str"><v>Trial</v></cell><cell r="Q5957" t="str"><v>Social</v></cell><cell r="R5957" t="str"><v>Azure</v></cell><cell r="S5957" t="str"><v>Apps & Infra</v></cell><cell r="T5957" t="str"><v>Developers & ITI's</v></cell><cell r="U5957" t="str"><v>AZP-Canvas-Look a Like-Trial</v></cell><cell r="V5957" t="str"><v>Prospecting</v></cell><cell r="W5957" t="str"><v>Other</v></cell><cell r="X5957" t="str"><v>1x1</v></cell></row><row r="5957"><cell r="AA5957"><v>43324</v></cell><cell r="AB5957" t="str"><v>JPN_gaPMG_AZR_AZR_Q1_19_Trial-Social</v></cell><cell r="AC5957"><v>21276694</v></cell><cell r="AD5957"><v>720195</v></cell><cell r="AE5957" t="str"><v>Facebook</v></cell><cell r="AF5957"><v>3654128</v></cell><cell r="AG5957" t="str"><v>Facebook»AZP-Canvas-Look a Like-Trial»1x1»Canvas»OTH»MO»CPM»PRO»X»UNK»TP»OT»Canvas-Trial</v></cell><cell r="AH5957"><v>223297413</v></cell><cell r="AI5957" t="str"><v>AzurePlatform_FBCTCcanvaspage-BuyNowCTA-Img3_JPN_1080x162_SOC_Plat_Japanese_NA_Standard_NA_BN_T3_1</v></cell><cell r="AJ5957"><v>102630373</v></cell></row><row r="5958"><cell r="C5958" t="str"><v>43324Facebook»AZP-Canvas-Look a Like-Trial»1x1»Canvas»OTH»MO»CPM»PRO»X»UNK»TP»OT»Canvas-Trial</v></cell><cell r="D5958" t="str"><v>43324223297413</v></cell><cell r="E5958" t="str"><v>43324102609621-Trial</v></cell><cell r="F5958" t="str"><v>DCM</v></cell><cell r="G5958" t="str"><v>https://signup.azure.com/signup?offer=ms-azr-0044p&appId=102&ref=paidmedia-social-fb&redirectURL=https%3a%2f%2fazure.microsoft.com%2fja-jp%2fget-started%2fwelcome-to-azure%2f&l=ja-jp&correlationId=ead86c34-1f10-49dd-a72b-6918462a2cbf</v></cell></row><row r="5958"><cell r="K5958" t="str"><v>August</v></cell><cell r="L5958"><v>43330</v></cell><cell r="M5958" t="str"><v>Tier 1</v></cell><cell r="N5958" t="str"><v>APAC</v></cell><cell r="O5958" t="str"><v>Japan</v></cell><cell r="P5958" t="str"><v>Trial</v></cell><cell r="Q5958" t="str"><v>Social</v></cell><cell r="R5958" t="str"><v>Azure</v></cell><cell r="S5958" t="str"><v>Apps & Infra</v></cell><cell r="T5958" t="str"><v>Developers & ITI's</v></cell><cell r="U5958" t="str"><v>AZP-Canvas-Look a Like-Trial</v></cell><cell r="V5958" t="str"><v>Prospecting</v></cell><cell r="W5958" t="str"><v>Other</v></cell><cell r="X5958" t="str"><v>1x1</v></cell></row><row r="5958"><cell r="AA5958"><v>43324</v></cell><cell r="AB5958" t="str"><v>JPN_gaPMG_AZR_AZR_Q1_19_Trial-Social</v></cell><cell r="AC5958"><v>21276694</v></cell><cell r="AD5958"><v>720195</v></cell><cell r="AE5958" t="str"><v>Facebook</v></cell><cell r="AF5958"><v>3654128</v></cell><cell r="AG5958" t="str"><v>Facebook»AZP-Canvas-Look a Like-Trial»1x1»Canvas»OTH»MO»CPM»PRO»X»UNK»TP»OT»Canvas-Trial</v></cell><cell r="AH5958"><v>223297413</v></cell><cell r="AI5958" t="str"><v>AzurePlatform_FBCTCcanvaspage-StartFreeCTA-Img2_JPN_1080x143 _SOC_Plat_Japanese_NA_Standard_NA_NA_T2_1</v></cell><cell r="AJ5958"><v>102609621</v></cell></row><row r="5959"><cell r="C5959" t="str"><v>43324Facebook»AZP-Canvas-Retargeting-Trial»1x1»Canvas»SOC»MO»CPM»PRO»W»UNK»SS»OT»Canvas-Trial</v></cell><cell r="D5959" t="str"><v>43324226269941</v></cell><cell r="E5959" t="str"><v>43324104060547-Trial</v></cell><cell r="F5959" t="str"><v>DCM</v></cell><cell r="G5959" t="str"><v>https://azure.microsoft.com/ja-jp/pricing/purchase-options/</v></cell></row><row r="5959"><cell r="K5959" t="str"><v>August</v></cell><cell r="L5959"><v>43330</v></cell><cell r="M5959" t="str"><v>Tier 1</v></cell><cell r="N5959" t="str"><v>APAC</v></cell><cell r="O5959" t="str"><v>Japan</v></cell><cell r="P5959" t="str"><v>Trial</v></cell><cell r="Q5959" t="str"><v>Social</v></cell><cell r="R5959" t="str"><v>Azure</v></cell><cell r="S5959" t="str"><v>Apps & Infra</v></cell><cell r="T5959" t="str"><v>Developers & ITI's</v></cell><cell r="U5959" t="str"><v>AZP-Canvas-Retargeting-Trial</v></cell><cell r="V5959" t="str"><v>Prospecting</v></cell><cell r="W5959" t="str"><v>Social</v></cell><cell r="X5959" t="str"><v>1x1</v></cell></row><row r="5959"><cell r="AA5959"><v>43324</v></cell><cell r="AB5959" t="str"><v>JPN_gaPMG_AZR_AZR_Q1_19_Trial-Social</v></cell><cell r="AC5959"><v>21276694</v></cell><cell r="AD5959"><v>720195</v></cell><cell r="AE5959" t="str"><v>Facebook</v></cell><cell r="AF5959"><v>3654128</v></cell><cell r="AG5959" t="str"><v>Facebook»AZP-Canvas-Retargeting-Trial»1x1»Canvas»SOC»MO»CPM»PRO»W»UNK»SS»OT»Canvas-Trial</v></cell><cell r="AH5959"><v>226269941</v></cell><cell r="AI5959" t="str"><v>AZR_FBCTCcanvaspage-BuyNowCTA-Img3_JPN_1080x162_SOC_Plat_Japanese_NA_Standard_NA_BN_T3_1</v></cell><cell r="AJ5959"><v>104060547</v></cell></row><row r="5960"><cell r="C5960" t="str"><v>43324Facebook»AZP-Canvas-Retargeting-Trial»1x1»Canvas»SOC»MO»CPM»PRO»W»UNK»SS»OT»Canvas-Trial</v></cell><cell r="D5960" t="str"><v>43324226269941</v></cell><cell r="E5960" t="str"><v>43324104061321-Trial</v></cell><cell r="F5960" t="str"><v>DCM</v></cell><cell r="G5960" t="str"><v>https://signup.azure.com/signup?offer=ms-azr-0044p&appId=102&ref=paidmedia-social-fb&redirectURL=https%3a%2f%2fazure.microsoft.com%2fja-jp%2fget-started%2fwelcome-to-azure%2f&l=ja-jp&correlationId=ead86c34-1f10-49dd-a72b-6918462a2cbf</v></cell></row><row r="5960"><cell r="K5960" t="str"><v>August</v></cell><cell r="L5960"><v>43330</v></cell><cell r="M5960" t="str"><v>Tier 1</v></cell><cell r="N5960" t="str"><v>APAC</v></cell><cell r="O5960" t="str"><v>Japan</v></cell><cell r="P5960" t="str"><v>Trial</v></cell><cell r="Q5960" t="str"><v>Social</v></cell><cell r="R5960" t="str"><v>Azure</v></cell><cell r="S5960" t="str"><v>Apps & Infra</v></cell><cell r="T5960" t="str"><v>Developers & ITI's</v></cell><cell r="U5960" t="str"><v>AZP-Canvas-Retargeting-Trial</v></cell><cell r="V5960" t="str"><v>Prospecting</v></cell><cell r="W5960" t="str"><v>Social</v></cell><cell r="X5960" t="str"><v>1x1</v></cell></row><row r="5960"><cell r="AA5960"><v>43324</v></cell><cell r="AB5960" t="str"><v>JPN_gaPMG_AZR_AZR_Q1_19_Trial-Social</v></cell><cell r="AC5960"><v>21276694</v></cell><cell r="AD5960"><v>720195</v></cell><cell r="AE5960" t="str"><v>Facebook</v></cell><cell r="AF5960"><v>3654128</v></cell><cell r="AG5960" t="str"><v>Facebook»AZP-Canvas-Retargeting-Trial»1x1»Canvas»SOC»MO»CPM»PRO»W»UNK»SS»OT»Canvas-Trial</v></cell><cell r="AH5960"><v>226269941</v></cell><cell r="AI5960" t="str"><v>AZR_FBCTCcanvaspage-StartFreeCTA-Img2_JPN_1080x143 _SOC_Plat_Japanese_NA_Standard_NA_NA_T2_1</v></cell><cell r="AJ5960"><v>104061321</v></cell></row><row r="5961"><cell r="C5961" t="str"><v>43324FACEBOOK»USA-Trial-ITD-Interest Prospecting-AZR-AZR»1 x 1»SocialBan»CAN»ALL»CPA»PRO»X»NA»SS»NA»FBCTCBenefit2inMotion»PRC1SW</v></cell><cell r="D5961" t="str"><v>43324223933138</v></cell><cell r="E5961" t="str"><v>43324103043835PRC1SW</v></cell><cell r="F5961" t="str"><v>DCM</v></cell><cell r="G5961" t="str"><v>https://signup.azure.com/?OCID=AID%eexcid!_OLA_%ebuy!_%epid!_%ecid!</v></cell></row><row r="5961"><cell r="K5961" t="str"><v>August</v></cell><cell r="L5961"><v>43330</v></cell><cell r="M5961" t="str"><v>Tier 0</v></cell><cell r="N5961" t="str"><v>North America</v></cell><cell r="O5961" t="str"><v>United States</v></cell><cell r="P5961" t="str"><v>Trial</v></cell><cell r="Q5961" t="str"><v>Social</v></cell><cell r="R5961" t="str"><v>Azure</v></cell><cell r="S5961" t="str"><v>Apps & Infra</v></cell><cell r="T5961" t="str"><v>Developers & ITI's</v></cell><cell r="U5961" t="str"><v>USA-Trial-ITD-Interest Prospecting-AZR-AZR</v></cell><cell r="V5961" t="str"><v>Prospecting</v></cell><cell r="W5961" t="str"><v>Canvas Ad</v></cell><cell r="X5961" t="str"><v>1x1</v></cell></row><row r="5961"><cell r="AA5961"><v>43324</v></cell><cell r="AB5961" t="str"><v>USA_gaPMG_AZR_AZR_Q1_19_Direct-Social</v></cell><cell r="AC5961"><v>21358715</v></cell><cell r="AD5961"><v>720197</v></cell><cell r="AE5961" t="str"><v>Facebook</v></cell><cell r="AF5961"><v>3654128</v></cell><cell r="AG5961" t="str"><v>FACEBOOK»USA-Trial-ITD-Interest Prospecting-AZR-AZR»1 x 1»SocialBan»CAN»ALL»CPA»PRO»X»NA»SS»NA»FBCTCBenefit2inMotion»PRC1SW</v></cell><cell r="AH5961"><v>223933138</v></cell><cell r="AI5961" t="str"><v>AzurePlatform_FBCTCBenefit2inMotion_USA_10s_CAN_PLATFORM_English_Trial_Standard_STAN_TIN_T4_1</v></cell><cell r="AJ5961"><v>103043835</v></cell></row><row r="5962"><cell r="C5962" t="str"><v>43324FACEBOOK»USA-Trial-ITD-Interest Prospecting-AZR-AZR»1 x 1»SocialBan»CAN»ALL»CPA»PRO»X»NA»SS»NA»FBCTCBrandinMotion»PRC1SY</v></cell><cell r="D5962" t="str"><v>43324224104929</v></cell><cell r="E5962" t="str"><v>43324103176812PRC1SY</v></cell><cell r="F5962" t="str"><v>DCM</v></cell><cell r="G5962" t="str"><v>https://signup.azure.com/?OCID=AID%eexcid!_OLA_%ebuy!_%epid!_%ecid!</v></cell></row><row r="5962"><cell r="K5962" t="str"><v>August</v></cell><cell r="L5962"><v>43330</v></cell><cell r="M5962" t="str"><v>Tier 0</v></cell><cell r="N5962" t="str"><v>North America</v></cell><cell r="O5962" t="str"><v>United States</v></cell><cell r="P5962" t="str"><v>Trial</v></cell><cell r="Q5962" t="str"><v>Social</v></cell><cell r="R5962" t="str"><v>Azure</v></cell><cell r="S5962" t="str"><v>Apps & Infra</v></cell><cell r="T5962" t="str"><v>Developers & ITI's</v></cell><cell r="U5962" t="str"><v>USA-Trial-ITD-Interest Prospecting-AZR-AZR</v></cell><cell r="V5962" t="str"><v>Prospecting</v></cell><cell r="W5962" t="str"><v>Canvas Ad</v></cell><cell r="X5962" t="str"><v>1x1</v></cell></row><row r="5962"><cell r="AA5962"><v>43324</v></cell><cell r="AB5962" t="str"><v>USA_gaPMG_AZR_AZR_Q1_19_Direct-Social</v></cell><cell r="AC5962"><v>21358715</v></cell><cell r="AD5962"><v>720197</v></cell><cell r="AE5962" t="str"><v>Facebook</v></cell><cell r="AF5962"><v>3654128</v></cell><cell r="AG5962" t="str"><v>FACEBOOK»USA-Trial-ITD-Interest Prospecting-AZR-AZR»1 x 1»SocialBan»CAN»ALL»CPA»PRO»X»NA»SS»NA»FBCTCBrandinMotion»PRC1SY</v></cell><cell r="AH5962"><v>224104929</v></cell><cell r="AI5962" t="str"><v>AzurePlatform_FBCTCBrandinMotion_USA_10s_CAN_PLATFORM_English_Trial_Standard_STAN_TIN_T2_1</v></cell><cell r="AJ5962"><v>103176812</v></cell></row><row r="5963"><cell r="C5963" t="str"><v>43324FACEBOOK»USA-Trial-ITD-Interest Prospecting-AZR-AZR»1 x 1»SocialBan»CAN»ALL»CPA»PRO»X»NA»SS»NA»FBCTCBrandinMotion»PRC1SY</v></cell><cell r="D5963" t="str"><v>43324224104929</v></cell><cell r="E5963" t="str"><v>43324103032823PRC1SY</v></cell><cell r="F5963" t="str"><v>DCM</v></cell><cell r="G5963" t="str"><v>https://azure.microsoft.com/en-us/pricing/purchase-options/?v=18.19&OCID=AID%eexcid!_OLA_%ebuy!_%epid!_%ecid!</v></cell></row><row r="5963"><cell r="K5963" t="str"><v>August</v></cell><cell r="L5963"><v>43330</v></cell><cell r="M5963" t="str"><v>Tier 0</v></cell><cell r="N5963" t="str"><v>North America</v></cell><cell r="O5963" t="str"><v>United States</v></cell><cell r="P5963" t="str"><v>Trial</v></cell><cell r="Q5963" t="str"><v>Social</v></cell><cell r="R5963" t="str"><v>Azure</v></cell><cell r="S5963" t="str"><v>Apps & Infra</v></cell><cell r="T5963" t="str"><v>Developers & ITI's</v></cell><cell r="U5963" t="str"><v>USA-Trial-ITD-Interest Prospecting-AZR-AZR</v></cell><cell r="V5963" t="str"><v>Prospecting</v></cell><cell r="W5963" t="str"><v>Canvas Ad</v></cell><cell r="X5963" t="str"><v>1x1</v></cell></row><row r="5963"><cell r="AA5963"><v>43324</v></cell><cell r="AB5963" t="str"><v>USA_gaPMG_AZR_AZR_Q1_19_Direct-Social</v></cell><cell r="AC5963"><v>21358715</v></cell><cell r="AD5963"><v>720197</v></cell><cell r="AE5963" t="str"><v>Facebook</v></cell><cell r="AF5963"><v>3654128</v></cell><cell r="AG5963" t="str"><v>FACEBOOK»USA-Trial-ITD-Interest Prospecting-AZR-AZR»1 x 1»SocialBan»CAN»ALL»CPA»PRO»X»NA»SS»NA»FBCTCBrandinMotion»PRC1SY</v></cell><cell r="AH5963"><v>224104929</v></cell><cell r="AI5963" t="str"><v>AzurePlatform_FBCTCBrandinMotion_USA_10s_CAN_PLATFORM_English_Trial_Standard_STAN_TIN_T2_2</v></cell><cell r="AJ5963"><v>103032823</v></cell></row><row r="5964"><cell r="C5964" t="str"><v>43324FACEBOOK»USA-Trial-ITD-Interest Prospecting-AZR-AZR»1 x 1»SocialBan»LIA»ALL»CPA»PRO»X»NA»SS»NA»FreeAcctITProFB-AnimatedHybrid-Ch2»PRC1T5</v></cell><cell r="D5964" t="str"><v>43324223862882</v></cell><cell r="E5964" t="str"><v>43324103180583PRC1T5</v></cell><cell r="F5964" t="str"><v>DCM</v></cell></row><row r="5964"><cell r="K5964" t="str"><v>August</v></cell><cell r="L5964"><v>43330</v></cell><cell r="M5964" t="str"><v>Tier 0</v></cell><cell r="N5964" t="str"><v>North America</v></cell><cell r="O5964" t="str"><v>United States</v></cell><cell r="P5964" t="str"><v>Trial</v></cell><cell r="Q5964" t="str"><v>Social</v></cell><cell r="R5964" t="str"><v>Azure</v></cell><cell r="S5964" t="str"><v>Apps & Infra</v></cell><cell r="T5964" t="str"><v>Developers & ITI's</v></cell><cell r="U5964" t="str"><v>USA-Trial-ITD-Interest Prospecting-AZR-AZR</v></cell><cell r="V5964" t="str"><v>Prospecting</v></cell><cell r="W5964" t="str"><v>Link Ad</v></cell><cell r="X5964" t="str"><v>1x1</v></cell></row><row r="5964"><cell r="AA5964"><v>43324</v></cell><cell r="AB5964" t="str"><v>USA_gaPMG_AZR_AZR_Q1_19_Direct-Social</v></cell><cell r="AC5964"><v>21358715</v></cell><cell r="AD5964"><v>720197</v></cell><cell r="AE5964" t="str"><v>Facebook</v></cell><cell r="AF5964"><v>3654128</v></cell><cell r="AG5964" t="str"><v>FACEBOOK»USA-Trial-ITD-Interest Prospecting-AZR-AZR»1 x 1»SocialBan»LIA»ALL»CPA»PRO»X»NA»SS»NA»FreeAcctITProFB-AnimatedHybrid-Ch2»PRC1T5</v></cell><cell r="AH5964"><v>223862882</v></cell><cell r="AI5964" t="str"><v>AZR_FreeAcctITProFB-AnimatedHybrid-Ch2_USA_1200x1200_CAN_Direct_English_Trial_Standard_ANI_LEA_T2_2</v></cell><cell r="AJ5964"><v>103180583</v></cell></row><row r="5965"><cell r="C5965" t="str"><v>43324FACEBOOK»USA-Trial-ITD-Interest Prospecting-AZR-AZR»1 x 1»SocialBan»LIA»ALL»CPA»PRO»X»NA»SS»NA»FreeAcctITProFB-AnimatedSecureMngd-Ch1»PRC1T4</v></cell><cell r="D5965" t="str"><v>43324224104914</v></cell><cell r="E5965" t="str"><v>43324103176830PRC1T4</v></cell><cell r="F5965" t="str"><v>DCM</v></cell></row><row r="5965"><cell r="K5965" t="str"><v>August</v></cell><cell r="L5965"><v>43330</v></cell><cell r="M5965" t="str"><v>Tier 0</v></cell><cell r="N5965" t="str"><v>North America</v></cell><cell r="O5965" t="str"><v>United States</v></cell><cell r="P5965" t="str"><v>Trial</v></cell><cell r="Q5965" t="str"><v>Social</v></cell><cell r="R5965" t="str"><v>Azure</v></cell><cell r="S5965" t="str"><v>Apps & Infra</v></cell><cell r="T5965" t="str"><v>Developers & ITI's</v></cell><cell r="U5965" t="str"><v>USA-Trial-ITD-Interest Prospecting-AZR-AZR</v></cell><cell r="V5965" t="str"><v>Prospecting</v></cell><cell r="W5965" t="str"><v>Link Ad</v></cell><cell r="X5965" t="str"><v>1x1</v></cell></row><row r="5965"><cell r="AA5965"><v>43324</v></cell><cell r="AB5965" t="str"><v>USA_gaPMG_AZR_AZR_Q1_19_Direct-Social</v></cell><cell r="AC5965"><v>21358715</v></cell><cell r="AD5965"><v>720197</v></cell><cell r="AE5965" t="str"><v>Facebook</v></cell><cell r="AF5965"><v>3654128</v></cell><cell r="AG5965" t="str"><v>FACEBOOK»USA-Trial-ITD-Interest Prospecting-AZR-AZR»1 x 1»SocialBan»LIA»ALL»CPA»PRO»X»NA»SS»NA»FreeAcctITProFB-AnimatedSecureMngd-Ch1»PRC1T4</v></cell><cell r="AH5965"><v>224104914</v></cell><cell r="AI5965" t="str"><v>AZR_FreeAcctITProFB-AnimatedSecureMngd-Ch1_USA_1200x1200_CAN_Direct_English_Trial_Standard_ANI_LEA_T1_1</v></cell><cell r="AJ5965"><v>103176830</v></cell></row><row r="5966"><cell r="C5966" t="str"><v>43324FACEBOOK»USA-Trial-ITD-Interest Prospecting-AZR-AZR»1 x 1»SocialBan»CAN»ALL»CPA»PRO»X»NA»SS»NA»FBCTCBenefitinMotion»PRC1SX</v></cell><cell r="D5966" t="str"><v>43324224104077</v></cell><cell r="E5966" t="str"><v>43324103032775PRC1SX</v></cell><cell r="F5966" t="str"><v>DCM</v></cell><cell r="G5966" t="str"><v>https://signup.azure.com/?OCID=AID%eexcid!_OLA_%ebuy!_%epid!_%ecid!</v></cell></row><row r="5966"><cell r="K5966" t="str"><v>August</v></cell><cell r="L5966"><v>43330</v></cell><cell r="M5966" t="str"><v>Tier 0</v></cell><cell r="N5966" t="str"><v>North America</v></cell><cell r="O5966" t="str"><v>United States</v></cell><cell r="P5966" t="str"><v>Trial</v></cell><cell r="Q5966" t="str"><v>Social</v></cell><cell r="R5966" t="str"><v>Azure</v></cell><cell r="S5966" t="str"><v>Apps & Infra</v></cell><cell r="T5966" t="str"><v>Developers & ITI's</v></cell><cell r="U5966" t="str"><v>USA-Trial-ITD-Interest Prospecting-AZR-AZR</v></cell><cell r="V5966" t="str"><v>Prospecting</v></cell><cell r="W5966" t="str"><v>Canvas Ad</v></cell><cell r="X5966" t="str"><v>1x1</v></cell></row><row r="5966"><cell r="AA5966"><v>43324</v></cell><cell r="AB5966" t="str"><v>USA_gaPMG_AZR_AZR_Q1_19_Direct-Social</v></cell><cell r="AC5966"><v>21358715</v></cell><cell r="AD5966"><v>720197</v></cell><cell r="AE5966" t="str"><v>Facebook</v></cell><cell r="AF5966"><v>3654128</v></cell><cell r="AG5966" t="str"><v>FACEBOOK»USA-Trial-ITD-Interest Prospecting-AZR-AZR»1 x 1»SocialBan»CAN»ALL»CPA»PRO»X»NA»SS»NA»FBCTCBenefitinMotion»PRC1SX</v></cell><cell r="AH5966"><v>224104077</v></cell><cell r="AI5966" t="str"><v>AzurePlatform_FBCTCBenefitinMotion_USA_10s_CAN_PLATFORM_English_Trial_Standard_STAN_TIN_T3_1</v></cell><cell r="AJ5966"><v>103032775</v></cell></row><row r="5967"><cell r="C5967" t="str"><v>43324FACEBOOK»USA-Trial-ITD-Interest Prospecting-AZR-AZR»1 x 1»SocialBan»CAN»ALL»CPA»PRO»X»NA»SS»NA»FBCTCBenefitinMotion»PRC1SX</v></cell><cell r="D5967" t="str"><v>43324224104077</v></cell><cell r="E5967" t="str"><v>43324103176836PRC1SX</v></cell><cell r="F5967" t="str"><v>DCM</v></cell><cell r="G5967" t="str"><v>https://azure.microsoft.com/en-us/pricing/purchase-options/?v=18.19&OCID=AID%eexcid!_OLA_%ebuy!_%epid!_%ecid!</v></cell></row><row r="5967"><cell r="K5967" t="str"><v>August</v></cell><cell r="L5967"><v>43330</v></cell><cell r="M5967" t="str"><v>Tier 0</v></cell><cell r="N5967" t="str"><v>North America</v></cell><cell r="O5967" t="str"><v>United States</v></cell><cell r="P5967" t="str"><v>Trial</v></cell><cell r="Q5967" t="str"><v>Social</v></cell><cell r="R5967" t="str"><v>Azure</v></cell><cell r="S5967" t="str"><v>Apps & Infra</v></cell><cell r="T5967" t="str"><v>Developers & ITI's</v></cell><cell r="U5967" t="str"><v>USA-Trial-ITD-Interest Prospecting-AZR-AZR</v></cell><cell r="V5967" t="str"><v>Prospecting</v></cell><cell r="W5967" t="str"><v>Canvas Ad</v></cell><cell r="X5967" t="str"><v>1x1</v></cell></row><row r="5967"><cell r="AA5967"><v>43324</v></cell><cell r="AB5967" t="str"><v>USA_gaPMG_AZR_AZR_Q1_19_Direct-Social</v></cell><cell r="AC5967"><v>21358715</v></cell><cell r="AD5967"><v>720197</v></cell><cell r="AE5967" t="str"><v>Facebook</v></cell><cell r="AF5967"><v>3654128</v></cell><cell r="AG5967" t="str"><v>FACEBOOK»USA-Trial-ITD-Interest Prospecting-AZR-AZR»1 x 1»SocialBan»CAN»ALL»CPA»PRO»X»NA»SS»NA»FBCTCBenefitinMotion»PRC1SX</v></cell><cell r="AH5967"><v>224104077</v></cell><cell r="AI5967" t="str"><v>AzurePlatform_FBCTCBenefitinMotion_USA_10s_CAN_PLATFORM_English_Trial_Standard_STAN_TIN_T3_2</v></cell><cell r="AJ5967"><v>103176836</v></cell></row><row r="5968"><cell r="C5968" t="str"><v>43324FACEBOOK»USA-Trial-ITD-Interest Prospecting-AZR-AZR»1 x 1»SocialBan»CCA»ALL»CPA»PRO»X»NA»SS»NA»Azure Developer Facebook Collections»PRSGV0</v></cell><cell r="D5968" t="str"><v>43324225283843</v></cell><cell r="E5968" t="str"><v>43324103874423PRSGV0</v></cell><cell r="F5968" t="str"><v>DCM</v></cell><cell r="G5968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968"><cell r="K5968" t="str"><v>August</v></cell><cell r="L5968"><v>43330</v></cell><cell r="M5968" t="str"><v>Tier 0</v></cell><cell r="N5968" t="str"><v>North America</v></cell><cell r="O5968" t="str"><v>United States</v></cell><cell r="P5968" t="str"><v>Trial</v></cell><cell r="Q5968" t="str"><v>Social</v></cell><cell r="R5968" t="str"><v>Azure</v></cell><cell r="S5968" t="str"><v>Apps & Infra</v></cell><cell r="T5968" t="str"><v>Developers & ITI's</v></cell><cell r="U5968" t="str"><v>USA-Trial-ITD-Interest Prospecting-AZR-AZR</v></cell><cell r="V5968" t="str"><v>Prospecting</v></cell><cell r="W5968" t="str"><v>Canvas Collection Ad</v></cell><cell r="X5968" t="str"><v>1x1</v></cell></row><row r="5968"><cell r="AA5968"><v>43324</v></cell><cell r="AB5968" t="str"><v>USA_gaPMG_AZR_AZR_Q1_19_Direct-Social</v></cell><cell r="AC5968"><v>21358715</v></cell><cell r="AD5968"><v>720197</v></cell><cell r="AE5968" t="str"><v>Facebook</v></cell><cell r="AF5968"><v>3654128</v></cell><cell r="AG5968" t="str"><v>FACEBOOK»USA-Trial-ITD-Interest Prospecting-AZR-AZR»1 x 1»SocialBan»CCA»ALL»CPA»PRO»X»NA»SS»NA»Azure Developer Facebook Collections»PRSGV0</v></cell><cell r="AH5968"><v>225283843</v></cell><cell r="AI5968" t="str"><v>AZR_FBCollections-TryAzureFreeCTA-Img1_USA_1200x182_SOC_Plat_EN_NA_Standard_NA_TIN_T1_1</v></cell><cell r="AJ5968"><v>103874423</v></cell></row><row r="5969"><cell r="C5969" t="str"><v>43324FACEBOOK»USA-Trial-ITD-Retargeting-AZR-AZR»1 x 1»SocialBan»LIA»ALL»CPA»RT»X»NA»SS»NA»FreeAcctDeveloperFB-AnimatedOpenSource-Ch2»PRC26G</v></cell><cell r="D5969" t="str"><v>43324223862873</v></cell><cell r="E5969" t="str"><v>43324103048329PRC26G</v></cell><cell r="F5969" t="str"><v>DCM</v></cell><cell r="G5969" t="str"><v>https://azure.microsoft.com/en-us/free/open-source/search/?OCID=AID%eexcid!_OLA_%ebuy!_%epid!_%ecid!</v></cell></row><row r="5969"><cell r="K5969" t="str"><v>August</v></cell><cell r="L5969"><v>43330</v></cell><cell r="M5969" t="str"><v>Tier 0</v></cell><cell r="N5969" t="str"><v>North America</v></cell><cell r="O5969" t="str"><v>United States</v></cell><cell r="P5969" t="str"><v>Trial</v></cell><cell r="Q5969" t="str"><v>Social</v></cell><cell r="R5969" t="str"><v>Azure</v></cell><cell r="S5969" t="str"><v>Apps & Infra</v></cell><cell r="T5969" t="str"><v>Developers & ITI's</v></cell><cell r="U5969" t="str"><v>USA-Trial-ITD-Retargeting-AZR-AZR</v></cell><cell r="V5969" t="str"><v>Retargeting</v></cell><cell r="W5969" t="str"><v>Link Ad</v></cell><cell r="X5969" t="str"><v>1x1</v></cell></row><row r="5969"><cell r="AA5969"><v>43324</v></cell><cell r="AB5969" t="str"><v>USA_gaPMG_AZR_AZR_Q1_19_Direct-Social</v></cell><cell r="AC5969"><v>21358715</v></cell><cell r="AD5969"><v>720197</v></cell><cell r="AE5969" t="str"><v>Facebook</v></cell><cell r="AF5969"><v>3654128</v></cell><cell r="AG5969" t="str"><v>FACEBOOK»USA-Trial-ITD-Retargeting-AZR-AZR»1 x 1»SocialBan»LIA»ALL»CPA»RT»X»NA»SS»NA»FreeAcctDeveloperFB-AnimatedOpenSource-Ch2»PRC26G</v></cell><cell r="AH5969"><v>223862873</v></cell><cell r="AI5969" t="str"><v>AZR_FreeAcctDeveloperFB-AnimatedOpenSource-Ch2_USA_1200x1200_CAN_Direct_English_Trial_Standard_ANI_LEA_T2_1</v></cell><cell r="AJ5969"><v>103048329</v></cell></row><row r="5970"><cell r="C5970" t="str"><v>43324FACEBOOK»USA-Trial-ITD-Retargeting-AZR-AZR»1 x 1»SocialBan»LIA»ALL»CPA»RT»X»NA»SS»NA»FreeAcctRetargetingFB-Credit-ChA»PRC1RV</v></cell><cell r="D5970" t="str"><v>43324224106075</v></cell><cell r="E5970" t="str"><v>43324103034917PRC1RV</v></cell><cell r="F5970" t="str"><v>DCM</v></cell><cell r="G5970" t="str"><v>https://azure.microsoft.com/en-us/free/search/?OCID=AID%eexcid!_OLA_%ebuy!_%epid!_%ecid!</v></cell></row><row r="5970"><cell r="K5970" t="str"><v>August</v></cell><cell r="L5970"><v>43330</v></cell><cell r="M5970" t="str"><v>Tier 0</v></cell><cell r="N5970" t="str"><v>North America</v></cell><cell r="O5970" t="str"><v>United States</v></cell><cell r="P5970" t="str"><v>Trial</v></cell><cell r="Q5970" t="str"><v>Social</v></cell><cell r="R5970" t="str"><v>Azure</v></cell><cell r="S5970" t="str"><v>Apps & Infra</v></cell><cell r="T5970" t="str"><v>Developers & ITI's</v></cell><cell r="U5970" t="str"><v>USA-Trial-ITD-Retargeting-AZR-AZR</v></cell><cell r="V5970" t="str"><v>Retargeting</v></cell><cell r="W5970" t="str"><v>Link Ad</v></cell><cell r="X5970" t="str"><v>1x1</v></cell></row><row r="5970"><cell r="AA5970"><v>43324</v></cell><cell r="AB5970" t="str"><v>USA_gaPMG_AZR_AZR_Q1_19_Direct-Social</v></cell><cell r="AC5970"><v>21358715</v></cell><cell r="AD5970"><v>720197</v></cell><cell r="AE5970" t="str"><v>Facebook</v></cell><cell r="AF5970"><v>3654128</v></cell><cell r="AG5970" t="str"><v>FACEBOOK»USA-Trial-ITD-Retargeting-AZR-AZR»1 x 1»SocialBan»LIA»ALL»CPA»RT»X»NA»SS»NA»FreeAcctRetargetingFB-Credit-ChA»PRC1RV</v></cell><cell r="AH5970"><v>224106075</v></cell><cell r="AI5970" t="str"><v>AzurePlatform_FreeAcctRetargetingFB-Credit-ChA_USA_1200x628_CAN_PLATFORM_English_Free Account_Standard_NA_SINU_T1_2</v></cell><cell r="AJ5970"><v>103034917</v></cell></row><row r="5971"><cell r="C5971" t="str"><v>43324FACEBOOK»USA-Trial-ITD-Retargeting-AZR-AZR»1 x 1»SocialBan»LIA»ALL»CPA»RT»X»NA»SS»NA»FreeAcctRetargetingFB-GlobalAlt-ChB»PRC1RW</v></cell><cell r="D5971" t="str"><v>43324223862756</v></cell><cell r="E5971" t="str"><v>43324103180592PRC1RW</v></cell><cell r="F5971" t="str"><v>DCM</v></cell><cell r="G5971" t="str"><v>https://azure.microsoft.com/en-us/free/search/?OCID=AID%eexcid!_OLA_%ebuy!_%epid!_%ecid!</v></cell></row><row r="5971"><cell r="K5971" t="str"><v>August</v></cell><cell r="L5971"><v>43330</v></cell><cell r="M5971" t="str"><v>Tier 0</v></cell><cell r="N5971" t="str"><v>North America</v></cell><cell r="O5971" t="str"><v>United States</v></cell><cell r="P5971" t="str"><v>Trial</v></cell><cell r="Q5971" t="str"><v>Social</v></cell><cell r="R5971" t="str"><v>Azure</v></cell><cell r="S5971" t="str"><v>Apps & Infra</v></cell><cell r="T5971" t="str"><v>Developers & ITI's</v></cell><cell r="U5971" t="str"><v>USA-Trial-ITD-Retargeting-AZR-AZR</v></cell><cell r="V5971" t="str"><v>Retargeting</v></cell><cell r="W5971" t="str"><v>Link Ad</v></cell><cell r="X5971" t="str"><v>1x1</v></cell></row><row r="5971"><cell r="AA5971"><v>43324</v></cell><cell r="AB5971" t="str"><v>USA_gaPMG_AZR_AZR_Q1_19_Direct-Social</v></cell><cell r="AC5971"><v>21358715</v></cell><cell r="AD5971"><v>720197</v></cell><cell r="AE5971" t="str"><v>Facebook</v></cell><cell r="AF5971"><v>3654128</v></cell><cell r="AG5971" t="str"><v>FACEBOOK»USA-Trial-ITD-Retargeting-AZR-AZR»1 x 1»SocialBan»LIA»ALL»CPA»RT»X»NA»SS»NA»FreeAcctRetargetingFB-GlobalAlt-ChB»PRC1RW</v></cell><cell r="AH5971"><v>223862756</v></cell><cell r="AI5971" t="str"><v>AzurePlatform_FreeAcctRetargetingFB-GlobalAlt-ChB_USA_1200x628_CAN_PLATFORM_English_Free Account_Standard_NA_SINU_T2_1</v></cell><cell r="AJ5971"><v>103180592</v></cell></row><row r="5972"><cell r="C5972" t="str"><v>43324FACEBOOK»USA-Trial-ITD-Retargeting-AZR-AZR»1 x 1»SocialBan»LIA»ALL»CPA»RT»X»NA»SS»NA»FreeAcctRetargetingVMFB-750Hrs-ChD»PRC1RY</v></cell><cell r="D5972" t="str"><v>43324223862747</v></cell><cell r="E5972" t="str"><v>43324103034911PRC1RY</v></cell><cell r="F5972" t="str"><v>DCM</v></cell><cell r="G5972" t="str"><v>https://azure.microsoft.com/en-us/free/virtual-machines/search/?OCID=AID%eexcid!_OLA_%ebuy!_%epid!_%ecid!</v></cell></row><row r="5972"><cell r="K5972" t="str"><v>August</v></cell><cell r="L5972"><v>43330</v></cell><cell r="M5972" t="str"><v>Tier 0</v></cell><cell r="N5972" t="str"><v>North America</v></cell><cell r="O5972" t="str"><v>United States</v></cell><cell r="P5972" t="str"><v>Trial</v></cell><cell r="Q5972" t="str"><v>Social</v></cell><cell r="R5972" t="str"><v>Azure</v></cell><cell r="S5972" t="str"><v>Apps & Infra</v></cell><cell r="T5972" t="str"><v>Developers & ITI's</v></cell><cell r="U5972" t="str"><v>USA-Trial-ITD-Retargeting-AZR-AZR</v></cell><cell r="V5972" t="str"><v>Retargeting</v></cell><cell r="W5972" t="str"><v>Link Ad</v></cell><cell r="X5972" t="str"><v>1x1</v></cell></row><row r="5972"><cell r="AA5972"><v>43324</v></cell><cell r="AB5972" t="str"><v>USA_gaPMG_AZR_AZR_Q1_19_Direct-Social</v></cell><cell r="AC5972"><v>21358715</v></cell><cell r="AD5972"><v>720197</v></cell><cell r="AE5972" t="str"><v>Facebook</v></cell><cell r="AF5972"><v>3654128</v></cell><cell r="AG5972" t="str"><v>FACEBOOK»USA-Trial-ITD-Retargeting-AZR-AZR»1 x 1»SocialBan»LIA»ALL»CPA»RT»X»NA»SS»NA»FreeAcctRetargetingVMFB-750Hrs-ChD»PRC1RY</v></cell><cell r="AH5972"><v>223862747</v></cell><cell r="AI5972" t="str"><v>AzurePlatform_FreeAcctRetargetingVMFB-750Hrs-ChD_USA_1200x628_CAN_PLATFORM_English_Free Account_Standard_NA_SINU_T1_1</v></cell><cell r="AJ5972"><v>103034911</v></cell></row><row r="5973"><cell r="C5973" t="str"><v>43324FACEBOOK»USA-Trial-ITD-Retargeting-AZR-AZR»1 x 1»SocialBan»LIA»ALL»CPA»RT»X»NA»SS»NA»FreeAcctRetargetingVMFB-OnDemand-ChE»PRC1S0</v></cell><cell r="D5973" t="str"><v>43324224104899</v></cell><cell r="E5973" t="str"><v>43324103180610PRC1S0</v></cell><cell r="F5973" t="str"><v>DCM</v></cell><cell r="G5973" t="str"><v>https://azure.microsoft.com/en-us/free/virtual-machines/search/?OCID=AID%eexcid!_OLA_%ebuy!_%epid!_%ecid!</v></cell></row><row r="5973"><cell r="K5973" t="str"><v>August</v></cell><cell r="L5973"><v>43330</v></cell><cell r="M5973" t="str"><v>Tier 0</v></cell><cell r="N5973" t="str"><v>North America</v></cell><cell r="O5973" t="str"><v>United States</v></cell><cell r="P5973" t="str"><v>Trial</v></cell><cell r="Q5973" t="str"><v>Social</v></cell><cell r="R5973" t="str"><v>Azure</v></cell><cell r="S5973" t="str"><v>Apps & Infra</v></cell><cell r="T5973" t="str"><v>Developers & ITI's</v></cell><cell r="U5973" t="str"><v>USA-Trial-ITD-Retargeting-AZR-AZR</v></cell><cell r="V5973" t="str"><v>Retargeting</v></cell><cell r="W5973" t="str"><v>Link Ad</v></cell><cell r="X5973" t="str"><v>1x1</v></cell></row><row r="5973"><cell r="AA5973"><v>43324</v></cell><cell r="AB5973" t="str"><v>USA_gaPMG_AZR_AZR_Q1_19_Direct-Social</v></cell><cell r="AC5973"><v>21358715</v></cell><cell r="AD5973"><v>720197</v></cell><cell r="AE5973" t="str"><v>Facebook</v></cell><cell r="AF5973"><v>3654128</v></cell><cell r="AG5973" t="str"><v>FACEBOOK»USA-Trial-ITD-Retargeting-AZR-AZR»1 x 1»SocialBan»LIA»ALL»CPA»RT»X»NA»SS»NA»FreeAcctRetargetingVMFB-OnDemand-ChE»PRC1S0</v></cell><cell r="AH5973"><v>224104899</v></cell><cell r="AI5973" t="str"><v>AzurePlatform_FreeAcctRetargetingVMFB-OnDemand-ChE_USA_1200x628_CAN_PLATFORM_English_Free Account_Standard_NA_SINU_T2_1</v></cell><cell r="AJ5973"><v>103180610</v></cell></row><row r="5974"><cell r="C5974" t="str"><v>43324FACEBOOK»USA-Trial-ITD-Trial Lookalike-AZR-AZR»1 x 1»SocialBan»CAN»ALL»CPA»LAL»X»NA»SS»NA»FBCTCBenefit2inMotion»PRC1M0</v></cell><cell r="D5974" t="str"><v>43324223862927</v></cell><cell r="E5974" t="str"><v>43324103043835PRC1M0</v></cell><cell r="F5974" t="str"><v>DCM</v></cell><cell r="G5974" t="str"><v>https://signup.azure.com/?OCID=AID%eexcid!_OLA_%ebuy!_%epid!_%ecid!</v></cell></row><row r="5974"><cell r="K5974" t="str"><v>August</v></cell><cell r="L5974"><v>43330</v></cell><cell r="M5974" t="str"><v>Tier 0</v></cell><cell r="N5974" t="str"><v>North America</v></cell><cell r="O5974" t="str"><v>United States</v></cell><cell r="P5974" t="str"><v>Trial</v></cell><cell r="Q5974" t="str"><v>Social</v></cell><cell r="R5974" t="str"><v>Azure</v></cell><cell r="S5974" t="str"><v>Apps & Infra</v></cell><cell r="T5974" t="str"><v>Developers & ITI's</v></cell><cell r="U5974" t="str"><v>USA-Trial-ITD-Trial Lookalike-AZR-AZR</v></cell><cell r="V5974" t="str"><v>Lookalike Targeting</v></cell><cell r="W5974" t="str"><v>Canvas Ad</v></cell><cell r="X5974" t="str"><v>1x1</v></cell></row><row r="5974"><cell r="AA5974"><v>43324</v></cell><cell r="AB5974" t="str"><v>USA_gaPMG_AZR_AZR_Q1_19_Direct-Social</v></cell><cell r="AC5974"><v>21358715</v></cell><cell r="AD5974"><v>720197</v></cell><cell r="AE5974" t="str"><v>Facebook</v></cell><cell r="AF5974"><v>3654128</v></cell><cell r="AG5974" t="str"><v>FACEBOOK»USA-Trial-ITD-Trial Lookalike-AZR-AZR»1 x 1»SocialBan»CAN»ALL»CPA»LAL»X»NA»SS»NA»FBCTCBenefit2inMotion»PRC1M0</v></cell><cell r="AH5974"><v>223862927</v></cell><cell r="AI5974" t="str"><v>AzurePlatform_FBCTCBenefit2inMotion_USA_10s_CAN_PLATFORM_English_Trial_Standard_STAN_TIN_T4_1</v></cell><cell r="AJ5974"><v>103043835</v></cell></row><row r="5975"><cell r="C5975" t="str"><v>43324FACEBOOK»USA-Trial-ITD-Trial Lookalike-AZR-AZR»1 x 1»SocialBan»LIA»ALL»CPA»LAL»X»NA»SS»NA»FreeAcctDeveloperFB-AnimatedData-Ch4»PRC1M8</v></cell><cell r="D5975" t="str"><v>43324223862933</v></cell><cell r="E5975" t="str"><v>43324103037935PRC1M8</v></cell><cell r="F5975" t="str"><v>DCM</v></cell></row><row r="5975"><cell r="K5975" t="str"><v>August</v></cell><cell r="L5975"><v>43330</v></cell><cell r="M5975" t="str"><v>Tier 0</v></cell><cell r="N5975" t="str"><v>North America</v></cell><cell r="O5975" t="str"><v>United States</v></cell><cell r="P5975" t="str"><v>Trial</v></cell><cell r="Q5975" t="str"><v>Social</v></cell><cell r="R5975" t="str"><v>Azure</v></cell><cell r="S5975" t="str"><v>Apps & Infra</v></cell><cell r="T5975" t="str"><v>Developers & ITI's</v></cell><cell r="U5975" t="str"><v>USA-Trial-ITD-Trial Lookalike-AZR-AZR</v></cell><cell r="V5975" t="str"><v>Lookalike Targeting</v></cell><cell r="W5975" t="str"><v>Link Ad</v></cell><cell r="X5975" t="str"><v>1x1</v></cell></row><row r="5975"><cell r="AA5975"><v>43324</v></cell><cell r="AB5975" t="str"><v>USA_gaPMG_AZR_AZR_Q1_19_Direct-Social</v></cell><cell r="AC5975"><v>21358715</v></cell><cell r="AD5975"><v>720197</v></cell><cell r="AE5975" t="str"><v>Facebook</v></cell><cell r="AF5975"><v>3654128</v></cell><cell r="AG5975" t="str"><v>FACEBOOK»USA-Trial-ITD-Trial Lookalike-AZR-AZR»1 x 1»SocialBan»LIA»ALL»CPA»LAL»X»NA»SS»NA»FreeAcctDeveloperFB-AnimatedData-Ch4»PRC1M8</v></cell><cell r="AH5975"><v>223862933</v></cell><cell r="AI5975" t="str"><v>AZR_FreeAcctDeveloperFB-AnimatedData-Ch4_USA_1200x1200_CAN_Direct_English_Trial_Standard_ANI_LEA_T4_2</v></cell><cell r="AJ5975"><v>103037935</v></cell></row><row r="5976"><cell r="C5976" t="str"><v>43324FACEBOOK»USA-Trial-ITD-Trial Lookalike-AZR-AZR»1 x 1»SocialBan»CAN»ALL»CPA»LAL»X»NA»SS»NA»FBCTCBrandinMotion»PRC1M3</v></cell><cell r="D5976" t="str"><v>43324223862900</v></cell><cell r="E5976" t="str"><v>43324103176812PRC1M3</v></cell><cell r="F5976" t="str"><v>DCM</v></cell><cell r="G5976" t="str"><v>https://signup.azure.com/?OCID=AID%eexcid!_OLA_%ebuy!_%epid!_%ecid!</v></cell></row><row r="5976"><cell r="K5976" t="str"><v>August</v></cell><cell r="L5976"><v>43330</v></cell><cell r="M5976" t="str"><v>Tier 0</v></cell><cell r="N5976" t="str"><v>North America</v></cell><cell r="O5976" t="str"><v>United States</v></cell><cell r="P5976" t="str"><v>Trial</v></cell><cell r="Q5976" t="str"><v>Social</v></cell><cell r="R5976" t="str"><v>Azure</v></cell><cell r="S5976" t="str"><v>Apps & Infra</v></cell><cell r="T5976" t="str"><v>Developers & ITI's</v></cell><cell r="U5976" t="str"><v>USA-Trial-ITD-Trial Lookalike-AZR-AZR</v></cell><cell r="V5976" t="str"><v>Lookalike Targeting</v></cell><cell r="W5976" t="str"><v>Canvas Ad</v></cell><cell r="X5976" t="str"><v>1x1</v></cell></row><row r="5976"><cell r="AA5976"><v>43324</v></cell><cell r="AB5976" t="str"><v>USA_gaPMG_AZR_AZR_Q1_19_Direct-Social</v></cell><cell r="AC5976"><v>21358715</v></cell><cell r="AD5976"><v>720197</v></cell><cell r="AE5976" t="str"><v>Facebook</v></cell><cell r="AF5976"><v>3654128</v></cell><cell r="AG5976" t="str"><v>FACEBOOK»USA-Trial-ITD-Trial Lookalike-AZR-AZR»1 x 1»SocialBan»CAN»ALL»CPA»LAL»X»NA»SS»NA»FBCTCBrandinMotion»PRC1M3</v></cell><cell r="AH5976"><v>223862900</v></cell><cell r="AI5976" t="str"><v>AzurePlatform_FBCTCBrandinMotion_USA_10s_CAN_PLATFORM_English_Trial_Standard_STAN_TIN_T2_1</v></cell><cell r="AJ5976"><v>103176812</v></cell></row><row r="5977"><cell r="C5977" t="str"><v>43324FACEBOOK»USA-Trial-ITD-Trial Lookalike-AZR-AZR»1 x 1»SocialBan»CAN»ALL»CPA»LAL»X»NA»SS»NA»FBCTCBrandinMotion»PRC1M3</v></cell><cell r="D5977" t="str"><v>43324223862900</v></cell><cell r="E5977" t="str"><v>43324103032823PRC1M3</v></cell><cell r="F5977" t="str"><v>DCM</v></cell><cell r="G5977" t="str"><v>https://azure.microsoft.com/en-us/pricing/purchase-options/?v=18.19&OCID=AID%eexcid!_OLA_%ebuy!_%epid!_%ecid!</v></cell></row><row r="5977"><cell r="K5977" t="str"><v>August</v></cell><cell r="L5977"><v>43330</v></cell><cell r="M5977" t="str"><v>Tier 0</v></cell><cell r="N5977" t="str"><v>North America</v></cell><cell r="O5977" t="str"><v>United States</v></cell><cell r="P5977" t="str"><v>Trial</v></cell><cell r="Q5977" t="str"><v>Social</v></cell><cell r="R5977" t="str"><v>Azure</v></cell><cell r="S5977" t="str"><v>Apps & Infra</v></cell><cell r="T5977" t="str"><v>Developers & ITI's</v></cell><cell r="U5977" t="str"><v>USA-Trial-ITD-Trial Lookalike-AZR-AZR</v></cell><cell r="V5977" t="str"><v>Lookalike Targeting</v></cell><cell r="W5977" t="str"><v>Canvas Ad</v></cell><cell r="X5977" t="str"><v>1x1</v></cell></row><row r="5977"><cell r="AA5977"><v>43324</v></cell><cell r="AB5977" t="str"><v>USA_gaPMG_AZR_AZR_Q1_19_Direct-Social</v></cell><cell r="AC5977"><v>21358715</v></cell><cell r="AD5977"><v>720197</v></cell><cell r="AE5977" t="str"><v>Facebook</v></cell><cell r="AF5977"><v>3654128</v></cell><cell r="AG5977" t="str"><v>FACEBOOK»USA-Trial-ITD-Trial Lookalike-AZR-AZR»1 x 1»SocialBan»CAN»ALL»CPA»LAL»X»NA»SS»NA»FBCTCBrandinMotion»PRC1M3</v></cell><cell r="AH5977"><v>223862900</v></cell><cell r="AI5977" t="str"><v>AzurePlatform_FBCTCBrandinMotion_USA_10s_CAN_PLATFORM_English_Trial_Standard_STAN_TIN_T2_2</v></cell><cell r="AJ5977"><v>103032823</v></cell></row><row r="5978"><cell r="C5978" t="str"><v>43324FACEBOOK»USA-Trial-ITD-Trial PayGo Lookalike-AZR-AZR»1 x 1»SocialBan»CAN»ALL»CPA»LAL»X»NA»SS»NA»FBCTCBrandinMotion»PRC1Q3</v></cell><cell r="D5978" t="str"><v>43324223935349</v></cell><cell r="E5978" t="str"><v>43324103176812PRC1Q3</v></cell><cell r="F5978" t="str"><v>DCM</v></cell><cell r="G5978" t="str"><v>https://signup.azure.com/?OCID=AID%eexcid!_OLA_%ebuy!_%epid!_%ecid!</v></cell></row><row r="5978"><cell r="K5978" t="str"><v>August</v></cell><cell r="L5978"><v>43330</v></cell><cell r="M5978" t="str"><v>Tier 0</v></cell><cell r="N5978" t="str"><v>North America</v></cell><cell r="O5978" t="str"><v>United States</v></cell><cell r="P5978" t="str"><v>Trial</v></cell><cell r="Q5978" t="str"><v>Social</v></cell><cell r="R5978" t="str"><v>Azure</v></cell><cell r="S5978" t="str"><v>Apps & Infra</v></cell><cell r="T5978" t="str"><v>Developers & ITI's</v></cell><cell r="U5978" t="str"><v>USA-Trial-ITD-Trial PayGo Lookalike-AZR-AZR</v></cell><cell r="V5978" t="str"><v>Lookalike Targeting</v></cell><cell r="W5978" t="str"><v>Canvas Ad</v></cell><cell r="X5978" t="str"><v>1x1</v></cell></row><row r="5978"><cell r="AA5978"><v>43324</v></cell><cell r="AB5978" t="str"><v>USA_gaPMG_AZR_AZR_Q1_19_Direct-Social</v></cell><cell r="AC5978"><v>21358715</v></cell><cell r="AD5978"><v>720197</v></cell><cell r="AE5978" t="str"><v>Facebook</v></cell><cell r="AF5978"><v>3654128</v></cell><cell r="AG5978" t="str"><v>FACEBOOK»USA-Trial-ITD-Trial PayGo Lookalike-AZR-AZR»1 x 1»SocialBan»CAN»ALL»CPA»LAL»X»NA»SS»NA»FBCTCBrandinMotion»PRC1Q3</v></cell><cell r="AH5978"><v>223935349</v></cell><cell r="AI5978" t="str"><v>AzurePlatform_FBCTCBrandinMotion_USA_10s_CAN_PLATFORM_English_Trial_Standard_STAN_TIN_T2_1</v></cell><cell r="AJ5978"><v>103176812</v></cell></row><row r="5979"><cell r="C5979" t="str"><v>43324FACEBOOK»USA-Trial-ITD-Trial PayGo Lookalike-AZR-AZR»1 x 1»SocialBan»LIA»ALL»CPA»LAL»X»NA»SS»NA»FreeAcctDeveloperFB-AnimatedGeneric-Ch1»PRC1Q6</v></cell><cell r="D5979" t="str"><v>43324224106129</v></cell><cell r="E5979" t="str"><v>43324103176851PRC1Q6</v></cell><cell r="F5979" t="str"><v>DCM</v></cell><cell r="G5979" t="str"><v>https://azure.microsoft.com/en-us/free/search/?OCID=AID%eexcid!_OLA_%ebuy!_%epid!_%ecid!</v></cell></row><row r="5979"><cell r="K5979" t="str"><v>August</v></cell><cell r="L5979"><v>43330</v></cell><cell r="M5979" t="str"><v>Tier 0</v></cell><cell r="N5979" t="str"><v>North America</v></cell><cell r="O5979" t="str"><v>United States</v></cell><cell r="P5979" t="str"><v>Trial</v></cell><cell r="Q5979" t="str"><v>Social</v></cell><cell r="R5979" t="str"><v>Azure</v></cell><cell r="S5979" t="str"><v>Apps & Infra</v></cell><cell r="T5979" t="str"><v>Developers & ITI's</v></cell><cell r="U5979" t="str"><v>USA-Trial-ITD-Trial PayGo Lookalike-AZR-AZR</v></cell><cell r="V5979" t="str"><v>Lookalike Targeting</v></cell><cell r="W5979" t="str"><v>Link Ad</v></cell><cell r="X5979" t="str"><v>1x1</v></cell></row><row r="5979"><cell r="AA5979"><v>43324</v></cell><cell r="AB5979" t="str"><v>USA_gaPMG_AZR_AZR_Q1_19_Direct-Social</v></cell><cell r="AC5979"><v>21358715</v></cell><cell r="AD5979"><v>720197</v></cell><cell r="AE5979" t="str"><v>Facebook</v></cell><cell r="AF5979"><v>3654128</v></cell><cell r="AG5979" t="str"><v>FACEBOOK»USA-Trial-ITD-Trial PayGo Lookalike-AZR-AZR»1 x 1»SocialBan»LIA»ALL»CPA»LAL»X»NA»SS»NA»FreeAcctDeveloperFB-AnimatedGeneric-Ch1»PRC1Q6</v></cell><cell r="AH5979"><v>224106129</v></cell><cell r="AI5979" t="str"><v>AZR_FreeAcctDeveloperFB-AnimatedGeneric-Ch1_USA_1200x1200_CAN_Direct_English_Trial_Standard_ANI_LEA_T1_2</v></cell><cell r="AJ5979"><v>103176851</v></cell></row><row r="5980"><cell r="C5980" t="str"><v>43324FACEBOOK»USA-Trial-ITD-Trial PayGo Lookalike-AZR-AZR»1 x 1»SocialBan»CCA»ALL»CPA»LAL»X»NA»SS»NA»Azure Developer Facebook Collections»PRSH6K</v></cell><cell r="D5980" t="str"><v>43324225217676</v></cell><cell r="E5980" t="str"><v>43324103873631PRSH6K</v></cell><cell r="F5980" t="str"><v>DCM</v></cell><cell r="G5980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980"><cell r="K5980" t="str"><v>August</v></cell><cell r="L5980"><v>43330</v></cell><cell r="M5980" t="str"><v>Tier 0</v></cell><cell r="N5980" t="str"><v>North America</v></cell><cell r="O5980" t="str"><v>United States</v></cell><cell r="P5980" t="str"><v>Trial</v></cell><cell r="Q5980" t="str"><v>Social</v></cell><cell r="R5980" t="str"><v>Azure</v></cell><cell r="S5980" t="str"><v>Apps & Infra</v></cell><cell r="T5980" t="str"><v>Developers & ITI's</v></cell><cell r="U5980" t="str"><v>USA-Trial-ITD-Trial PayGo Lookalike-AZR-AZR</v></cell><cell r="V5980" t="str"><v>Lookalike Targeting</v></cell><cell r="W5980" t="str"><v>Canvas Collection Ad</v></cell><cell r="X5980" t="str"><v>1x1</v></cell></row><row r="5980"><cell r="AA5980"><v>43324</v></cell><cell r="AB5980" t="str"><v>USA_gaPMG_AZR_AZR_Q1_19_Direct-Social</v></cell><cell r="AC5980"><v>21358715</v></cell><cell r="AD5980"><v>720197</v></cell><cell r="AE5980" t="str"><v>Facebook</v></cell><cell r="AF5980"><v>3654128</v></cell><cell r="AG5980" t="str"><v>FACEBOOK»USA-Trial-ITD-Trial PayGo Lookalike-AZR-AZR»1 x 1»SocialBan»CCA»ALL»CPA»LAL»X»NA»SS»NA»Azure Developer Facebook Collections»PRSH6K</v></cell><cell r="AH5980"><v>225217676</v></cell><cell r="AI5980" t="str"><v>AZR_FBCollections-OSSTryAzureFreeCTA-Img3_USA_1200x182_SOC_Plat_EN_NA_Standard_NA_TIN_T1_3</v></cell><cell r="AJ5980"><v>103873631</v></cell></row><row r="5981"><cell r="C5981" t="str"><v>43324FACEBOOK»USA-Trial-ITD-Trial PayGo Lookalike-AZR-AZR»1 x 1»SocialBan»CCA»ALL»CPA»LAL»X»NA»SS»NA»Azure Developer Facebook Collections»PRSH6K</v></cell><cell r="D5981" t="str"><v>43324225217676</v></cell><cell r="E5981" t="str"><v>43324103773180PRSH6K</v></cell><cell r="F5981" t="str"><v>DCM</v></cell><cell r="G5981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981"><cell r="K5981" t="str"><v>August</v></cell><cell r="L5981"><v>43330</v></cell><cell r="M5981" t="str"><v>Tier 0</v></cell><cell r="N5981" t="str"><v>North America</v></cell><cell r="O5981" t="str"><v>United States</v></cell><cell r="P5981" t="str"><v>Trial</v></cell><cell r="Q5981" t="str"><v>Social</v></cell><cell r="R5981" t="str"><v>Azure</v></cell><cell r="S5981" t="str"><v>Apps & Infra</v></cell><cell r="T5981" t="str"><v>Developers & ITI's</v></cell><cell r="U5981" t="str"><v>USA-Trial-ITD-Trial PayGo Lookalike-AZR-AZR</v></cell><cell r="V5981" t="str"><v>Lookalike Targeting</v></cell><cell r="W5981" t="str"><v>Canvas Collection Ad</v></cell><cell r="X5981" t="str"><v>1x1</v></cell></row><row r="5981"><cell r="AA5981"><v>43324</v></cell><cell r="AB5981" t="str"><v>USA_gaPMG_AZR_AZR_Q1_19_Direct-Social</v></cell><cell r="AC5981"><v>21358715</v></cell><cell r="AD5981"><v>720197</v></cell><cell r="AE5981" t="str"><v>Facebook</v></cell><cell r="AF5981"><v>3654128</v></cell><cell r="AG5981" t="str"><v>FACEBOOK»USA-Trial-ITD-Trial PayGo Lookalike-AZR-AZR»1 x 1»SocialBan»CCA»ALL»CPA»LAL»X»NA»SS»NA»Azure Developer Facebook Collections»PRSH6K</v></cell><cell r="AH5981"><v>225217676</v></cell><cell r="AI5981" t="str"><v>AZR_FBCollections-SmartDataTryAzureFreeCTA-Img4_USA_1200x182_SOC_Plat_EN_NA_Standard_NA_TIN_T1_4</v></cell><cell r="AJ5981"><v>103773180</v></cell></row><row r="5982"><cell r="C5982" t="str"><v>43324FACEBOOK»USA-Trial-ITD-Trial Lookalike-AZR-AZR»1 x 1»SocialBan»CCA»ALL»CPA»LAL»X»NA»SS»NA»Azure Developer Facebook Collections»PRSH0N</v></cell><cell r="D5982" t="str"><v>43324225282481</v></cell><cell r="E5982" t="str"><v>43324103773180PRSH0N</v></cell><cell r="F5982" t="str"><v>DCM</v></cell><cell r="G5982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5982"><cell r="K5982" t="str"><v>August</v></cell><cell r="L5982"><v>43330</v></cell><cell r="M5982" t="str"><v>Tier 0</v></cell><cell r="N5982" t="str"><v>North America</v></cell><cell r="O5982" t="str"><v>United States</v></cell><cell r="P5982" t="str"><v>Trial</v></cell><cell r="Q5982" t="str"><v>Social</v></cell><cell r="R5982" t="str"><v>Azure</v></cell><cell r="S5982" t="str"><v>Apps & Infra</v></cell><cell r="T5982" t="str"><v>Developers & ITI's</v></cell><cell r="U5982" t="str"><v>USA-Trial-ITD-Trial Lookalike-AZR-AZR</v></cell><cell r="V5982" t="str"><v>Lookalike Targeting</v></cell><cell r="W5982" t="str"><v>Canvas Collection Ad</v></cell><cell r="X5982" t="str"><v>1x1</v></cell></row><row r="5982"><cell r="AA5982"><v>43324</v></cell><cell r="AB5982" t="str"><v>USA_gaPMG_AZR_AZR_Q1_19_Direct-Social</v></cell><cell r="AC5982"><v>21358715</v></cell><cell r="AD5982"><v>720197</v></cell><cell r="AE5982" t="str"><v>Facebook</v></cell><cell r="AF5982"><v>3654128</v></cell><cell r="AG5982" t="str"><v>FACEBOOK»USA-Trial-ITD-Trial Lookalike-AZR-AZR»1 x 1»SocialBan»CCA»ALL»CPA»LAL»X»NA»SS»NA»Azure Developer Facebook Collections»PRSH0N</v></cell><cell r="AH5982"><v>225282481</v></cell><cell r="AI5982" t="str"><v>AZR_FBCollections-SmartDataTryAzureFreeCTA-Img4_USA_1200x182_SOC_Plat_EN_NA_Standard_NA_TIN_T1_4</v></cell><cell r="AJ5982"><v>103773180</v></cell></row><row r="5983"><cell r="C5983" t="str"><v>43324INSTAGRAM»USA-Trial-ITD-Interest Prospecting-AZR-AZR»1 x 1»SocialBan»CAN»ALL»CPA»PRO»X»NA»SS»NA»IGCTCBenefit2inMotion»PRC2PD</v></cell><cell r="D5983" t="str"><v>43324223933084</v></cell><cell r="E5983" t="str"><v>43324103180628PRC2PD</v></cell><cell r="F5983" t="str"><v>DCM</v></cell><cell r="G5983" t="str"><v>https://signup.azure.com/?OCID=AID%eexcid!_OLA_%ebuy!_%epid!_%ecid!</v></cell></row><row r="5983"><cell r="K5983" t="str"><v>August</v></cell><cell r="L5983"><v>43330</v></cell><cell r="M5983" t="str"><v>Tier 0</v></cell><cell r="N5983" t="str"><v>North America</v></cell><cell r="O5983" t="str"><v>United States</v></cell><cell r="P5983" t="str"><v>Trial</v></cell><cell r="Q5983" t="str"><v>Social</v></cell><cell r="R5983" t="str"><v>Azure</v></cell><cell r="S5983" t="str"><v>Apps & Infra</v></cell><cell r="T5983" t="str"><v>Developers & ITI's</v></cell><cell r="U5983" t="str"><v>USA-Trial-ITD-Interest Prospecting-AZR-AZR</v></cell><cell r="V5983" t="str"><v>Prospecting</v></cell><cell r="W5983" t="str"><v>Canvas Ad</v></cell><cell r="X5983" t="str"><v>1x1</v></cell></row><row r="5983"><cell r="AA5983"><v>43324</v></cell><cell r="AB5983" t="str"><v>USA_gaPMG_AZR_AZR_Q1_19_Direct-Social</v></cell><cell r="AC5983"><v>21358715</v></cell><cell r="AD5983"><v>720197</v></cell><cell r="AE5983" t="str"><v>Facebook - Instagram</v></cell><cell r="AF5983"><v>3654128</v></cell><cell r="AG5983" t="str"><v>INSTAGRAM»USA-Trial-ITD-Interest Prospecting-AZR-AZR»1 x 1»SocialBan»CAN»ALL»CPA»PRO»X»NA»SS»NA»IGCTCBenefit2inMotion»PRC2PD</v></cell><cell r="AH5983"><v>223933084</v></cell><cell r="AI5983" t="str"><v>AzurePlatform_IGCTCBrandinMotion_USA_10s_CAN_PLATFORM_English_Trial_Standard_STAN_TIN_T2_1</v></cell><cell r="AJ5983"><v>103180628</v></cell></row><row r="5984"><cell r="C5984" t="str"><v>43324INSTAGRAM»USA-Trial-ITD-Interest Prospecting-AZR-AZR»1 x 1»SocialBan»CAN»ALL»CPA»PRO»X»NA»SS»NA»IGCTCBrandinMotion»PRC2PB</v></cell><cell r="D5984" t="str"><v>43324223862690</v></cell><cell r="E5984" t="str"><v>43324103050783PRC2PB</v></cell><cell r="F5984" t="str"><v>DCM</v></cell><cell r="G5984" t="str"><v>https://signup.azure.com/?OCID=AID%eexcid!_OLA_%ebuy!_%epid!_%ecid!</v></cell></row><row r="5984"><cell r="K5984" t="str"><v>August</v></cell><cell r="L5984"><v>43330</v></cell><cell r="M5984" t="str"><v>Tier 0</v></cell><cell r="N5984" t="str"><v>North America</v></cell><cell r="O5984" t="str"><v>United States</v></cell><cell r="P5984" t="str"><v>Trial</v></cell><cell r="Q5984" t="str"><v>Social</v></cell><cell r="R5984" t="str"><v>Azure</v></cell><cell r="S5984" t="str"><v>Apps & Infra</v></cell><cell r="T5984" t="str"><v>Developers & ITI's</v></cell><cell r="U5984" t="str"><v>USA-Trial-ITD-Interest Prospecting-AZR-AZR</v></cell><cell r="V5984" t="str"><v>Prospecting</v></cell><cell r="W5984" t="str"><v>Canvas Ad</v></cell><cell r="X5984" t="str"><v>1x1</v></cell></row><row r="5984"><cell r="AA5984"><v>43324</v></cell><cell r="AB5984" t="str"><v>USA_gaPMG_AZR_AZR_Q1_19_Direct-Social</v></cell><cell r="AC5984"><v>21358715</v></cell><cell r="AD5984"><v>720197</v></cell><cell r="AE5984" t="str"><v>Facebook - Instagram</v></cell><cell r="AF5984"><v>3654128</v></cell><cell r="AG5984" t="str"><v>INSTAGRAM»USA-Trial-ITD-Interest Prospecting-AZR-AZR»1 x 1»SocialBan»CAN»ALL»CPA»PRO»X»NA»SS»NA»IGCTCBrandinMotion»PRC2PB</v></cell><cell r="AH5984"><v>223862690</v></cell><cell r="AI5984" t="str"><v>AzurePlatform_IGCTCBenefit2inMotion_USA_10s_CAN_PLATFORM_English_Trial_Standard_STAN_TIN_T4_1</v></cell><cell r="AJ5984"><v>103050783</v></cell></row><row r="5985"><cell r="C5985" t="str"><v>43324INSTAGRAM»USA-Trial-ITD-Interest Prospecting-AZR-AZR»1 x 1»SocialBan»CAN»ALL»CPA»PRO»X»NA»SS»NA»IGCTCBrandinMotion»PRC2PB</v></cell><cell r="D5985" t="str"><v>43324223862690</v></cell><cell r="E5985" t="str"><v>43324103178714PRC2PB</v></cell><cell r="F5985" t="str"><v>DCM</v></cell><cell r="G5985" t="str"><v>https://azure.microsoft.com/en-us/pricing/purchase-options/?v=18.19&OCID=AID%eexcid!_OLA_%ebuy!_%epid!_%ecid!</v></cell></row><row r="5985"><cell r="K5985" t="str"><v>August</v></cell><cell r="L5985"><v>43330</v></cell><cell r="M5985" t="str"><v>Tier 0</v></cell><cell r="N5985" t="str"><v>North America</v></cell><cell r="O5985" t="str"><v>United States</v></cell><cell r="P5985" t="str"><v>Trial</v></cell><cell r="Q5985" t="str"><v>Social</v></cell><cell r="R5985" t="str"><v>Azure</v></cell><cell r="S5985" t="str"><v>Apps & Infra</v></cell><cell r="T5985" t="str"><v>Developers & ITI's</v></cell><cell r="U5985" t="str"><v>USA-Trial-ITD-Interest Prospecting-AZR-AZR</v></cell><cell r="V5985" t="str"><v>Prospecting</v></cell><cell r="W5985" t="str"><v>Canvas Ad</v></cell><cell r="X5985" t="str"><v>1x1</v></cell></row><row r="5985"><cell r="AA5985"><v>43324</v></cell><cell r="AB5985" t="str"><v>USA_gaPMG_AZR_AZR_Q1_19_Direct-Social</v></cell><cell r="AC5985"><v>21358715</v></cell><cell r="AD5985"><v>720197</v></cell><cell r="AE5985" t="str"><v>Facebook - Instagram</v></cell><cell r="AF5985"><v>3654128</v></cell><cell r="AG5985" t="str"><v>INSTAGRAM»USA-Trial-ITD-Interest Prospecting-AZR-AZR»1 x 1»SocialBan»CAN»ALL»CPA»PRO»X»NA»SS»NA»IGCTCBrandinMotion»PRC2PB</v></cell><cell r="AH5985"><v>223862690</v></cell><cell r="AI5985" t="str"><v>AzurePlatform_IGCTCBenefit2inMotion_USA_10s_CAN_PLATFORM_English_Trial_Standard_STAN_TIN_T4_2</v></cell><cell r="AJ5985"><v>103178714</v></cell></row><row r="5986"><cell r="C5986" t="str"><v>43324INSTAGRAM»USA-Trial-ITD-Retargeting-AZR-AZR»1 x 1»SocialBan»CAN»ALL»CPA»RT»X»NA»SS»NA»IGCTCBenefit2inMotion»PRC2G6</v></cell><cell r="D5986" t="str"><v>43324224105001</v></cell><cell r="E5986" t="str"><v>43324103180628PRC2G6</v></cell><cell r="F5986" t="str"><v>DCM</v></cell><cell r="G5986" t="str"><v>https://signup.azure.com/?OCID=AID%eexcid!_OLA_%ebuy!_%epid!_%ecid!</v></cell></row><row r="5986"><cell r="K5986" t="str"><v>August</v></cell><cell r="L5986"><v>43330</v></cell><cell r="M5986" t="str"><v>Tier 0</v></cell><cell r="N5986" t="str"><v>North America</v></cell><cell r="O5986" t="str"><v>United States</v></cell><cell r="P5986" t="str"><v>Trial</v></cell><cell r="Q5986" t="str"><v>Social</v></cell><cell r="R5986" t="str"><v>Azure</v></cell><cell r="S5986" t="str"><v>Apps & Infra</v></cell><cell r="T5986" t="str"><v>Developers & ITI's</v></cell><cell r="U5986" t="str"><v>USA-Trial-ITD-Retargeting-AZR-AZR</v></cell><cell r="V5986" t="str"><v>Retargeting</v></cell><cell r="W5986" t="str"><v>Canvas Ad</v></cell><cell r="X5986" t="str"><v>1x1</v></cell></row><row r="5986"><cell r="AA5986"><v>43324</v></cell><cell r="AB5986" t="str"><v>USA_gaPMG_AZR_AZR_Q1_19_Direct-Social</v></cell><cell r="AC5986"><v>21358715</v></cell><cell r="AD5986"><v>720197</v></cell><cell r="AE5986" t="str"><v>Facebook - Instagram</v></cell><cell r="AF5986"><v>3654128</v></cell><cell r="AG5986" t="str"><v>INSTAGRAM»USA-Trial-ITD-Retargeting-AZR-AZR»1 x 1»SocialBan»CAN»ALL»CPA»RT»X»NA»SS»NA»IGCTCBenefit2inMotion»PRC2G6</v></cell><cell r="AH5986"><v>224105001</v></cell><cell r="AI5986" t="str"><v>AzurePlatform_IGCTCBrandinMotion_USA_10s_CAN_PLATFORM_English_Trial_Standard_STAN_TIN_T2_1</v></cell><cell r="AJ5986"><v>103180628</v></cell></row><row r="5987"><cell r="C5987" t="str"><v>43324INSTAGRAM»USA-Trial-ITD-Trial Lookalike-AZR-AZR»1 x 1»SocialBan»CAN»ALL»CPA»LAL»X»NA»SS»NA»IGCTCBenefit2inMotion»PRC2FL</v></cell><cell r="D5987" t="str"><v>43324223935022</v></cell><cell r="E5987" t="str"><v>43324103180628PRC2FL</v></cell><cell r="F5987" t="str"><v>DCM</v></cell><cell r="G5987" t="str"><v>https://signup.azure.com/?OCID=AID%eexcid!_OLA_%ebuy!_%epid!_%ecid!</v></cell></row><row r="5987"><cell r="K5987" t="str"><v>August</v></cell><cell r="L5987"><v>43330</v></cell><cell r="M5987" t="str"><v>Tier 0</v></cell><cell r="N5987" t="str"><v>North America</v></cell><cell r="O5987" t="str"><v>United States</v></cell><cell r="P5987" t="str"><v>Trial</v></cell><cell r="Q5987" t="str"><v>Social</v></cell><cell r="R5987" t="str"><v>Azure</v></cell><cell r="S5987" t="str"><v>Apps & Infra</v></cell><cell r="T5987" t="str"><v>Developers & ITI's</v></cell><cell r="U5987" t="str"><v>USA-Trial-ITD-Trial Lookalike-AZR-AZR</v></cell><cell r="V5987" t="str"><v>Lookalike Targeting</v></cell><cell r="W5987" t="str"><v>Canvas Ad</v></cell><cell r="X5987" t="str"><v>1x1</v></cell></row><row r="5987"><cell r="AA5987"><v>43324</v></cell><cell r="AB5987" t="str"><v>USA_gaPMG_AZR_AZR_Q1_19_Direct-Social</v></cell><cell r="AC5987"><v>21358715</v></cell><cell r="AD5987"><v>720197</v></cell><cell r="AE5987" t="str"><v>Facebook - Instagram</v></cell><cell r="AF5987"><v>3654128</v></cell><cell r="AG5987" t="str"><v>INSTAGRAM»USA-Trial-ITD-Trial Lookalike-AZR-AZR»1 x 1»SocialBan»CAN»ALL»CPA»LAL»X»NA»SS»NA»IGCTCBenefit2inMotion»PRC2FL</v></cell><cell r="AH5987"><v>223935022</v></cell><cell r="AI5987" t="str"><v>AzurePlatform_IGCTCBrandinMotion_USA_10s_CAN_PLATFORM_English_Trial_Standard_STAN_TIN_T2_1</v></cell><cell r="AJ5987"><v>103180628</v></cell></row><row r="5988"><cell r="C5988" t="str"><v>43324INSTAGRAM»USA-Trial-ITD-Trial Lookalike-AZR-AZR»1 x 1»SocialBan»CAN»ALL»CPA»LAL»X»NA»SS»NA»IGCTCBenefit2inMotion»PRC2FL</v></cell><cell r="D5988" t="str"><v>43324223935022</v></cell><cell r="E5988" t="str"><v>43324103050786PRC2FL</v></cell><cell r="F5988" t="str"><v>DCM</v></cell><cell r="G5988" t="str"><v>https://azure.microsoft.com/en-us/pricing/purchase-options/?v=18.19&OCID=AID%eexcid!_OLA_%ebuy!_%epid!_%ecid!</v></cell></row><row r="5988"><cell r="K5988" t="str"><v>August</v></cell><cell r="L5988"><v>43330</v></cell><cell r="M5988" t="str"><v>Tier 0</v></cell><cell r="N5988" t="str"><v>North America</v></cell><cell r="O5988" t="str"><v>United States</v></cell><cell r="P5988" t="str"><v>Trial</v></cell><cell r="Q5988" t="str"><v>Social</v></cell><cell r="R5988" t="str"><v>Azure</v></cell><cell r="S5988" t="str"><v>Apps & Infra</v></cell><cell r="T5988" t="str"><v>Developers & ITI's</v></cell><cell r="U5988" t="str"><v>USA-Trial-ITD-Trial Lookalike-AZR-AZR</v></cell><cell r="V5988" t="str"><v>Lookalike Targeting</v></cell><cell r="W5988" t="str"><v>Canvas Ad</v></cell><cell r="X5988" t="str"><v>1x1</v></cell></row><row r="5988"><cell r="AA5988"><v>43324</v></cell><cell r="AB5988" t="str"><v>USA_gaPMG_AZR_AZR_Q1_19_Direct-Social</v></cell><cell r="AC5988"><v>21358715</v></cell><cell r="AD5988"><v>720197</v></cell><cell r="AE5988" t="str"><v>Facebook - Instagram</v></cell><cell r="AF5988"><v>3654128</v></cell><cell r="AG5988" t="str"><v>INSTAGRAM»USA-Trial-ITD-Trial Lookalike-AZR-AZR»1 x 1»SocialBan»CAN»ALL»CPA»LAL»X»NA»SS»NA»IGCTCBenefit2inMotion»PRC2FL</v></cell><cell r="AH5988"><v>223935022</v></cell><cell r="AI5988" t="str"><v>AzurePlatform_IGCTCBrandinMotion_USA_10s_CAN_PLATFORM_English_Trial_Standard_STAN_TIN_T2_2</v></cell><cell r="AJ5988"><v>103050786</v></cell></row><row r="5989"><cell r="C5989" t="str"><v>43324INSTAGRAM»USA-Trial-ITD-Trial Lookalike-AZR-AZR»1 x 1»SocialBan»CAN»ALL»CPA»LAL»X»NA»SS»NA»IGCTCBrandinMotion»PRC2FH</v></cell><cell r="D5989" t="str"><v>43324223935019</v></cell><cell r="E5989" t="str"><v>43324103050783PRC2FH</v></cell><cell r="F5989" t="str"><v>DCM</v></cell><cell r="G5989" t="str"><v>https://signup.azure.com/?OCID=AID%eexcid!_OLA_%ebuy!_%epid!_%ecid!</v></cell></row><row r="5989"><cell r="K5989" t="str"><v>August</v></cell><cell r="L5989"><v>43330</v></cell><cell r="M5989" t="str"><v>Tier 0</v></cell><cell r="N5989" t="str"><v>North America</v></cell><cell r="O5989" t="str"><v>United States</v></cell><cell r="P5989" t="str"><v>Trial</v></cell><cell r="Q5989" t="str"><v>Social</v></cell><cell r="R5989" t="str"><v>Azure</v></cell><cell r="S5989" t="str"><v>Apps & Infra</v></cell><cell r="T5989" t="str"><v>Developers & ITI's</v></cell><cell r="U5989" t="str"><v>USA-Trial-ITD-Trial Lookalike-AZR-AZR</v></cell><cell r="V5989" t="str"><v>Lookalike Targeting</v></cell><cell r="W5989" t="str"><v>Canvas Ad</v></cell><cell r="X5989" t="str"><v>1x1</v></cell></row><row r="5989"><cell r="AA5989"><v>43324</v></cell><cell r="AB5989" t="str"><v>USA_gaPMG_AZR_AZR_Q1_19_Direct-Social</v></cell><cell r="AC5989"><v>21358715</v></cell><cell r="AD5989"><v>720197</v></cell><cell r="AE5989" t="str"><v>Facebook - Instagram</v></cell><cell r="AF5989"><v>3654128</v></cell><cell r="AG5989" t="str"><v>INSTAGRAM»USA-Trial-ITD-Trial Lookalike-AZR-AZR»1 x 1»SocialBan»CAN»ALL»CPA»LAL»X»NA»SS»NA»IGCTCBrandinMotion»PRC2FH</v></cell><cell r="AH5989"><v>223935019</v></cell><cell r="AI5989" t="str"><v>AzurePlatform_IGCTCBenefit2inMotion_USA_10s_CAN_PLATFORM_English_Trial_Standard_STAN_TIN_T4_1</v></cell><cell r="AJ5989"><v>103050783</v></cell></row><row r="5990"><cell r="C5990" t="str"><v>43324INSTAGRAM»USA-Trial-ITD-Trial Lookalike-AZR-AZR»1 x 1»SocialBan»CAN»ALL»CPA»LAL»X»NA»SS»NA»IGCTCBrandinMotion»PRC2FH</v></cell><cell r="D5990" t="str"><v>43324223935019</v></cell><cell r="E5990" t="str"><v>43324103178714PRC2FH</v></cell><cell r="F5990" t="str"><v>DCM</v></cell><cell r="G5990" t="str"><v>https://azure.microsoft.com/en-us/pricing/purchase-options/?v=18.19&OCID=AID%eexcid!_OLA_%ebuy!_%epid!_%ecid!</v></cell></row><row r="5990"><cell r="K5990" t="str"><v>August</v></cell><cell r="L5990"><v>43330</v></cell><cell r="M5990" t="str"><v>Tier 0</v></cell><cell r="N5990" t="str"><v>North America</v></cell><cell r="O5990" t="str"><v>United States</v></cell><cell r="P5990" t="str"><v>Trial</v></cell><cell r="Q5990" t="str"><v>Social</v></cell><cell r="R5990" t="str"><v>Azure</v></cell><cell r="S5990" t="str"><v>Apps & Infra</v></cell><cell r="T5990" t="str"><v>Developers & ITI's</v></cell><cell r="U5990" t="str"><v>USA-Trial-ITD-Trial Lookalike-AZR-AZR</v></cell><cell r="V5990" t="str"><v>Lookalike Targeting</v></cell><cell r="W5990" t="str"><v>Canvas Ad</v></cell><cell r="X5990" t="str"><v>1x1</v></cell></row><row r="5990"><cell r="AA5990"><v>43324</v></cell><cell r="AB5990" t="str"><v>USA_gaPMG_AZR_AZR_Q1_19_Direct-Social</v></cell><cell r="AC5990"><v>21358715</v></cell><cell r="AD5990"><v>720197</v></cell><cell r="AE5990" t="str"><v>Facebook - Instagram</v></cell><cell r="AF5990"><v>3654128</v></cell><cell r="AG5990" t="str"><v>INSTAGRAM»USA-Trial-ITD-Trial Lookalike-AZR-AZR»1 x 1»SocialBan»CAN»ALL»CPA»LAL»X»NA»SS»NA»IGCTCBrandinMotion»PRC2FH</v></cell><cell r="AH5990"><v>223935019</v></cell><cell r="AI5990" t="str"><v>AzurePlatform_IGCTCBenefit2inMotion_USA_10s_CAN_PLATFORM_English_Trial_Standard_STAN_TIN_T4_2</v></cell><cell r="AJ5990"><v>103178714</v></cell></row><row r="5991"><cell r="C5991" t="str"><v>43324INSTAGRAM»USA-Trial-ITD-Trial PayGo Lookalike-AZR-AZR»1 x 1»SocialBan»CAN»ALL»CPA»LAL»X»NA»SS»NA»IGCTCBrandinMotion»PRC2FW</v></cell><cell r="D5991" t="str"><v>43324223862654</v></cell><cell r="E5991" t="str"><v>43324103050783PRC2FW</v></cell><cell r="F5991" t="str"><v>DCM</v></cell><cell r="G5991" t="str"><v>https://signup.azure.com/?OCID=AID%eexcid!_OLA_%ebuy!_%epid!_%ecid!</v></cell></row><row r="5991"><cell r="K5991" t="str"><v>August</v></cell><cell r="L5991"><v>43330</v></cell><cell r="M5991" t="str"><v>Tier 0</v></cell><cell r="N5991" t="str"><v>North America</v></cell><cell r="O5991" t="str"><v>United States</v></cell><cell r="P5991" t="str"><v>Trial</v></cell><cell r="Q5991" t="str"><v>Social</v></cell><cell r="R5991" t="str"><v>Azure</v></cell><cell r="S5991" t="str"><v>Apps & Infra</v></cell><cell r="T5991" t="str"><v>Developers & ITI's</v></cell><cell r="U5991" t="str"><v>USA-Trial-ITD-Trial PayGo Lookalike-AZR-AZR</v></cell><cell r="V5991" t="str"><v>Lookalike Targeting</v></cell><cell r="W5991" t="str"><v>Canvas Ad</v></cell><cell r="X5991" t="str"><v>1x1</v></cell></row><row r="5991"><cell r="AA5991"><v>43324</v></cell><cell r="AB5991" t="str"><v>USA_gaPMG_AZR_AZR_Q1_19_Direct-Social</v></cell><cell r="AC5991"><v>21358715</v></cell><cell r="AD5991"><v>720197</v></cell><cell r="AE5991" t="str"><v>Facebook - Instagram</v></cell><cell r="AF5991"><v>3654128</v></cell><cell r="AG5991" t="str"><v>INSTAGRAM»USA-Trial-ITD-Trial PayGo Lookalike-AZR-AZR»1 x 1»SocialBan»CAN»ALL»CPA»LAL»X»NA»SS»NA»IGCTCBrandinMotion»PRC2FW</v></cell><cell r="AH5991"><v>223862654</v></cell><cell r="AI5991" t="str"><v>AzurePlatform_IGCTCBenefit2inMotion_USA_10s_CAN_PLATFORM_English_Trial_Standard_STAN_TIN_T4_1</v></cell><cell r="AJ5991"><v>103050783</v></cell></row><row r="5992"><cell r="C5992" t="str"><v>43324INSTAGRAM»USA-Trial-ITD-Trial PayGo Lookalike-AZR-AZR»1 x 1»SocialBan»CAN»ALL»CPA»LAL»X»NA»SS»NA»IGCTCBrandinMotion»PRC2FW</v></cell><cell r="D5992" t="str"><v>43324223862654</v></cell><cell r="E5992" t="str"><v>43324103178714PRC2FW</v></cell><cell r="F5992" t="str"><v>DCM</v></cell><cell r="G5992" t="str"><v>https://azure.microsoft.com/en-us/pricing/purchase-options/?v=18.19&OCID=AID%eexcid!_OLA_%ebuy!_%epid!_%ecid!</v></cell></row><row r="5992"><cell r="K5992" t="str"><v>August</v></cell><cell r="L5992"><v>43330</v></cell><cell r="M5992" t="str"><v>Tier 0</v></cell><cell r="N5992" t="str"><v>North America</v></cell><cell r="O5992" t="str"><v>United States</v></cell><cell r="P5992" t="str"><v>Trial</v></cell><cell r="Q5992" t="str"><v>Social</v></cell><cell r="R5992" t="str"><v>Azure</v></cell><cell r="S5992" t="str"><v>Apps & Infra</v></cell><cell r="T5992" t="str"><v>Developers & ITI's</v></cell><cell r="U5992" t="str"><v>USA-Trial-ITD-Trial PayGo Lookalike-AZR-AZR</v></cell><cell r="V5992" t="str"><v>Lookalike Targeting</v></cell><cell r="W5992" t="str"><v>Canvas Ad</v></cell><cell r="X5992" t="str"><v>1x1</v></cell></row><row r="5992"><cell r="AA5992"><v>43324</v></cell><cell r="AB5992" t="str"><v>USA_gaPMG_AZR_AZR_Q1_19_Direct-Social</v></cell><cell r="AC5992"><v>21358715</v></cell><cell r="AD5992"><v>720197</v></cell><cell r="AE5992" t="str"><v>Facebook - Instagram</v></cell><cell r="AF5992"><v>3654128</v></cell><cell r="AG5992" t="str"><v>INSTAGRAM»USA-Trial-ITD-Trial PayGo Lookalike-AZR-AZR»1 x 1»SocialBan»CAN»ALL»CPA»LAL»X»NA»SS»NA»IGCTCBrandinMotion»PRC2FW</v></cell><cell r="AH5992"><v>223862654</v></cell><cell r="AI5992" t="str"><v>AzurePlatform_IGCTCBenefit2inMotion_USA_10s_CAN_PLATFORM_English_Trial_Standard_STAN_TIN_T4_2</v></cell><cell r="AJ5992"><v>103178714</v></cell></row><row r="5993"><cell r="C5993" t="str"><v>43324INSTAGRAM»USA-Trial-ITD-Trial PayGo Lookalike-AZR-AZR»1 x 1»SocialBan»CAN»ALL»CPA»LAL»X»NA»SS»NA»IGCTCBenefit2inMotion»PRC2FZ</v></cell><cell r="D5993" t="str"><v>43324223933075</v></cell><cell r="E5993" t="str"><v>43324103180628PRC2FZ</v></cell><cell r="F5993" t="str"><v>DCM</v></cell><cell r="G5993" t="str"><v>https://signup.azure.com/?OCID=AID%eexcid!_OLA_%ebuy!_%epid!_%ecid!</v></cell></row><row r="5993"><cell r="K5993" t="str"><v>August</v></cell><cell r="L5993"><v>43330</v></cell><cell r="M5993" t="str"><v>Tier 0</v></cell><cell r="N5993" t="str"><v>North America</v></cell><cell r="O5993" t="str"><v>United States</v></cell><cell r="P5993" t="str"><v>Trial</v></cell><cell r="Q5993" t="str"><v>Social</v></cell><cell r="R5993" t="str"><v>Azure</v></cell><cell r="S5993" t="str"><v>Apps & Infra</v></cell><cell r="T5993" t="str"><v>Developers & ITI's</v></cell><cell r="U5993" t="str"><v>USA-Trial-ITD-Trial PayGo Lookalike-AZR-AZR</v></cell><cell r="V5993" t="str"><v>Lookalike Targeting</v></cell><cell r="W5993" t="str"><v>Canvas Ad</v></cell><cell r="X5993" t="str"><v>1x1</v></cell></row><row r="5993"><cell r="AA5993"><v>43324</v></cell><cell r="AB5993" t="str"><v>USA_gaPMG_AZR_AZR_Q1_19_Direct-Social</v></cell><cell r="AC5993"><v>21358715</v></cell><cell r="AD5993"><v>720197</v></cell><cell r="AE5993" t="str"><v>Facebook - Instagram</v></cell><cell r="AF5993"><v>3654128</v></cell><cell r="AG5993" t="str"><v>INSTAGRAM»USA-Trial-ITD-Trial PayGo Lookalike-AZR-AZR»1 x 1»SocialBan»CAN»ALL»CPA»LAL»X»NA»SS»NA»IGCTCBenefit2inMotion»PRC2FZ</v></cell><cell r="AH5993"><v>223933075</v></cell><cell r="AI5993" t="str"><v>AzurePlatform_IGCTCBrandinMotion_USA_10s_CAN_PLATFORM_English_Trial_Standard_STAN_TIN_T2_1</v></cell><cell r="AJ5993"><v>103180628</v></cell></row><row r="5994"><cell r="C5994" t="str"><v>43325Facebook»Audience & Interest Targeting»1x1»Canvas»OTH»DT»DYN»AUT»W»NA»SS»NA»FBCTCcanvaspage-StartFreeCTA_FBCTCcanvaspage-BuyNowCTA</v></cell><cell r="D5994" t="str"><v>43325224639151</v></cell><cell r="E5994" t="str"><v>43325103316832NowCTA</v></cell><cell r="F5994" t="str"><v>DCM</v></cell><cell r="G5994" t="str"><v>https://azure.microsoft.com/en-au/pricing/purchase-options/</v></cell></row><row r="5994"><cell r="K5994" t="str"><v>August</v></cell><cell r="L5994"><v>43330</v></cell><cell r="M5994" t="str"><v>Tier 1</v></cell><cell r="N5994" t="str"><v>APAC</v></cell><cell r="O5994" t="str"><v>Australia</v></cell><cell r="P5994" t="str"><v>Trial</v></cell><cell r="Q5994" t="str"><v>Social</v></cell><cell r="R5994" t="str"><v>Azure</v></cell><cell r="S5994" t="str"><v>Apps & Infra</v></cell><cell r="T5994" t="str"><v>Developers & ITI's</v></cell><cell r="U5994" t="str"><v>Audience & Interest Targeting</v></cell><cell r="V5994" t="str"><v>Audience Targeting</v></cell><cell r="W5994" t="str"><v>Other</v></cell><cell r="X5994" t="str"><v>1x1</v></cell></row><row r="5994"><cell r="AA5994"><v>43325</v></cell><cell r="AB5994" t="str"><v>AUS_gaPMG_AZR_AZR_Q1_19_Trial-Social</v></cell><cell r="AC5994"><v>21358568</v></cell><cell r="AD5994"><v>720191</v></cell><cell r="AE5994" t="str"><v>Facebook</v></cell><cell r="AF5994"><v>3654128</v></cell><cell r="AG5994" t="str"><v>Facebook»Audience & Interest Targeting»1x1»Canvas»OTH»DT»DYN»AUT»W»NA»SS»NA»FBCTCcanvaspage-StartFreeCTA_FBCTCcanvaspage-BuyNowCTA</v></cell><cell r="AH5994"><v>224639151</v></cell><cell r="AI5994" t="str"><v>AzurePlatform_FBCTCcanvaspage-BuyNowCTA-Img3_AUS_1080x162_SOC_Plat_English_NA_Standard_NA_BN_T3_1</v></cell><cell r="AJ5994"><v>103316832</v></cell></row><row r="5995"><cell r="C5995" t="str"><v>43325Facebook»Audience & Interest Targeting»1x1»Canvas»OTH»DT»DYN»AUT»W»NA»SS»NA»FBCTCcanvaspage-StartFreeCTA_FBCTCcanvaspage-BuyNowCTA</v></cell><cell r="D5995" t="str"><v>43325224639151</v></cell><cell r="E5995" t="str"><v>43325103316829NowCTA</v></cell><cell r="F5995" t="str"><v>DCM</v></cell><cell r="G5995" t="str"><v>https://signup.azure.com/signup?offer=ms-azr-0044p&appId=102&ref=paidmedia-social-fb&redirectURL=https%3a%2f%2fazure.microsoft.com%2fen-au%2fget-started%2fwelcome-to-azure%2f&l=en-au&correlationId=ead86c34-1f10-49dd-a72b-6918462a2cbf</v></cell></row><row r="5995"><cell r="K5995" t="str"><v>August</v></cell><cell r="L5995"><v>43330</v></cell><cell r="M5995" t="str"><v>Tier 1</v></cell><cell r="N5995" t="str"><v>APAC</v></cell><cell r="O5995" t="str"><v>Australia</v></cell><cell r="P5995" t="str"><v>Trial</v></cell><cell r="Q5995" t="str"><v>Social</v></cell><cell r="R5995" t="str"><v>Azure</v></cell><cell r="S5995" t="str"><v>Apps & Infra</v></cell><cell r="T5995" t="str"><v>Developers & ITI's</v></cell><cell r="U5995" t="str"><v>Audience & Interest Targeting</v></cell><cell r="V5995" t="str"><v>Audience Targeting</v></cell><cell r="W5995" t="str"><v>Other</v></cell><cell r="X5995" t="str"><v>1x1</v></cell></row><row r="5995"><cell r="AA5995"><v>43325</v></cell><cell r="AB5995" t="str"><v>AUS_gaPMG_AZR_AZR_Q1_19_Trial-Social</v></cell><cell r="AC5995"><v>21358568</v></cell><cell r="AD5995"><v>720191</v></cell><cell r="AE5995" t="str"><v>Facebook</v></cell><cell r="AF5995"><v>3654128</v></cell><cell r="AG5995" t="str"><v>Facebook»Audience & Interest Targeting»1x1»Canvas»OTH»DT»DYN»AUT»W»NA»SS»NA»FBCTCcanvaspage-StartFreeCTA_FBCTCcanvaspage-BuyNowCTA</v></cell><cell r="AH5995"><v>224639151</v></cell><cell r="AI5995" t="str"><v>AzurePlatform_FBCTCcanvaspage-StartFreeCTA-Img2_AUS_1080x143 _SOC_Plat_English_NA_Standard_NA_NA_T2_1</v></cell><cell r="AJ5995"><v>103316829</v></cell></row><row r="5996"><cell r="C5996" t="str"><v>43325Facebook»Audience & Interest Targeting»1x1»TextLink»OTH»DT»DYN»AUT»W»NA»SS»NA»Free Account Refresh- 12 months ChE</v></cell><cell r="D5996" t="str"><v>43325224160783</v></cell><cell r="E5996" t="str"><v>43325103051614hs ChE</v></cell><cell r="F5996" t="str"><v>DCM</v></cell></row><row r="5996"><cell r="K5996" t="str"><v>August</v></cell><cell r="L5996"><v>43330</v></cell><cell r="M5996" t="str"><v>Tier 1</v></cell><cell r="N5996" t="str"><v>APAC</v></cell><cell r="O5996" t="str"><v>Australia</v></cell><cell r="P5996" t="str"><v>Trial</v></cell><cell r="Q5996" t="str"><v>Social</v></cell><cell r="R5996" t="str"><v>Azure</v></cell><cell r="S5996" t="str"><v>Apps & Infra</v></cell><cell r="T5996" t="str"><v>Developers & ITI's</v></cell><cell r="U5996" t="str"><v>Audience & Interest Targeting</v></cell><cell r="V5996" t="str"><v>Audience Targeting</v></cell><cell r="W5996" t="str"><v>Other</v></cell><cell r="X5996" t="str"><v>1x1</v></cell></row><row r="5996"><cell r="AA5996"><v>43325</v></cell><cell r="AB5996" t="str"><v>AUS_gaPMG_AZR_AZR_Q1_19_Trial-Social</v></cell><cell r="AC5996"><v>21358568</v></cell><cell r="AD5996"><v>720191</v></cell><cell r="AE5996" t="str"><v>Facebook</v></cell><cell r="AF5996"><v>3654128</v></cell><cell r="AG5996" t="str"><v>Facebook»Audience & Interest Targeting»1x1»TextLink»OTH»DT»DYN»AUT»W»NA»SS»NA»Free Account Refresh- 12 months ChE</v></cell><cell r="AH5996"><v>224160783</v></cell><cell r="AI5996" t="str"><v>AzurePlatform_FreeAcctAppsFACEBOOK12monthsChE_AUS_1200x628_SOC_PLAT_EN_Trial_Standard_NA_SNU_T5_1</v></cell><cell r="AJ5996"><v>103051614</v></cell></row><row r="5997"><cell r="C5997" t="str"><v>43325Facebook»Audience & Interest Targeting»1x1»TextLink»OTH»DT»DYN»AUT»W»NA»SS»NA»Free Account Refresh- 200 Credit ChD</v></cell><cell r="D5997" t="str"><v>43325224160780</v></cell><cell r="E5997" t="str"><v>43325103186904it ChD</v></cell><cell r="F5997" t="str"><v>DCM</v></cell></row><row r="5997"><cell r="K5997" t="str"><v>August</v></cell><cell r="L5997"><v>43330</v></cell><cell r="M5997" t="str"><v>Tier 1</v></cell><cell r="N5997" t="str"><v>APAC</v></cell><cell r="O5997" t="str"><v>Australia</v></cell><cell r="P5997" t="str"><v>Trial</v></cell><cell r="Q5997" t="str"><v>Social</v></cell><cell r="R5997" t="str"><v>Azure</v></cell><cell r="S5997" t="str"><v>Apps & Infra</v></cell><cell r="T5997" t="str"><v>Developers & ITI's</v></cell><cell r="U5997" t="str"><v>Audience & Interest Targeting</v></cell><cell r="V5997" t="str"><v>Audience Targeting</v></cell><cell r="W5997" t="str"><v>Other</v></cell><cell r="X5997" t="str"><v>1x1</v></cell></row><row r="5997"><cell r="AA5997"><v>43325</v></cell><cell r="AB5997" t="str"><v>AUS_gaPMG_AZR_AZR_Q1_19_Trial-Social</v></cell><cell r="AC5997"><v>21358568</v></cell><cell r="AD5997"><v>720191</v></cell><cell r="AE5997" t="str"><v>Facebook</v></cell><cell r="AF5997"><v>3654128</v></cell><cell r="AG5997" t="str"><v>Facebook»Audience & Interest Targeting»1x1»TextLink»OTH»DT»DYN»AUT»W»NA»SS»NA»Free Account Refresh- 200 Credit ChD</v></cell><cell r="AH5997"><v>224160780</v></cell><cell r="AI5997" t="str"><v>AzurePlatform_FreeAcctAppsFACEBOOK200CreditChD_AUS_1200x628_SOC_PLAT_EN_Trial_Standard_NA_SNU_T4_1</v></cell><cell r="AJ5997"><v>103186904</v></cell></row><row r="5998"><cell r="C5998" t="str"><v>43325Facebook»Audience & Interest Targeting»1x1»TextLink»OTH»DT»DYN»AUT»W»NA»SS»NA»Free Account Refresh- Device ChB</v></cell><cell r="D5998" t="str"><v>43325224160777</v></cell><cell r="E5998" t="str"><v>43325103048479ce ChB</v></cell><cell r="F5998" t="str"><v>DCM</v></cell></row><row r="5998"><cell r="K5998" t="str"><v>August</v></cell><cell r="L5998"><v>43330</v></cell><cell r="M5998" t="str"><v>Tier 1</v></cell><cell r="N5998" t="str"><v>APAC</v></cell><cell r="O5998" t="str"><v>Australia</v></cell><cell r="P5998" t="str"><v>Trial</v></cell><cell r="Q5998" t="str"><v>Social</v></cell><cell r="R5998" t="str"><v>Azure</v></cell><cell r="S5998" t="str"><v>Apps & Infra</v></cell><cell r="T5998" t="str"><v>Developers & ITI's</v></cell><cell r="U5998" t="str"><v>Audience & Interest Targeting</v></cell><cell r="V5998" t="str"><v>Audience Targeting</v></cell><cell r="W5998" t="str"><v>Other</v></cell><cell r="X5998" t="str"><v>1x1</v></cell></row><row r="5998"><cell r="AA5998"><v>43325</v></cell><cell r="AB5998" t="str"><v>AUS_gaPMG_AZR_AZR_Q1_19_Trial-Social</v></cell><cell r="AC5998"><v>21358568</v></cell><cell r="AD5998"><v>720191</v></cell><cell r="AE5998" t="str"><v>Facebook</v></cell><cell r="AF5998"><v>3654128</v></cell><cell r="AG5998" t="str"><v>Facebook»Audience & Interest Targeting»1x1»TextLink»OTH»DT»DYN»AUT»W»NA»SS»NA»Free Account Refresh- Device ChB</v></cell><cell r="AH5998"><v>224160777</v></cell><cell r="AI5998" t="str"><v>AzurePlatform_FreeAcctAppsFACEBOOKDeviceChB_AUS_1200x628_SOC_PLAT_EN_Trial_Standard_NA_SNU_T2_1</v></cell><cell r="AJ5998"><v>103048479</v></cell></row><row r="5999"><cell r="C5999" t="str"><v>43325Facebook»Audience & Interest Targeting»1x1»TextLink»OTH»DT»DYN»AUT»W»NA»SS»NA»Free Account Refresh- Illustration ChC</v></cell><cell r="D5999" t="str"><v>43325224160774</v></cell><cell r="E5999" t="str"><v>43325103186910on ChC</v></cell><cell r="F5999" t="str"><v>DCM</v></cell></row><row r="5999"><cell r="K5999" t="str"><v>August</v></cell><cell r="L5999"><v>43330</v></cell><cell r="M5999" t="str"><v>Tier 1</v></cell><cell r="N5999" t="str"><v>APAC</v></cell><cell r="O5999" t="str"><v>Australia</v></cell><cell r="P5999" t="str"><v>Trial</v></cell><cell r="Q5999" t="str"><v>Social</v></cell><cell r="R5999" t="str"><v>Azure</v></cell><cell r="S5999" t="str"><v>Apps & Infra</v></cell><cell r="T5999" t="str"><v>Developers & ITI's</v></cell><cell r="U5999" t="str"><v>Audience & Interest Targeting</v></cell><cell r="V5999" t="str"><v>Audience Targeting</v></cell><cell r="W5999" t="str"><v>Other</v></cell><cell r="X5999" t="str"><v>1x1</v></cell></row><row r="5999"><cell r="AA5999"><v>43325</v></cell><cell r="AB5999" t="str"><v>AUS_gaPMG_AZR_AZR_Q1_19_Trial-Social</v></cell><cell r="AC5999"><v>21358568</v></cell><cell r="AD5999"><v>720191</v></cell><cell r="AE5999" t="str"><v>Facebook</v></cell><cell r="AF5999"><v>3654128</v></cell><cell r="AG5999" t="str"><v>Facebook»Audience & Interest Targeting»1x1»TextLink»OTH»DT»DYN»AUT»W»NA»SS»NA»Free Account Refresh- Illustration ChC</v></cell><cell r="AH5999"><v>224160774</v></cell><cell r="AI5999" t="str"><v>AzurePlatform_FreeAcctAppsFACEBOOKIllustrationChC_AUS_1200x628_SOC_PLAT_EN_Trial_Standard_NA_SNU_T3_1</v></cell><cell r="AJ5999"><v>103186910</v></cell></row><row r="6000"><cell r="C6000" t="str"><v>43325Facebook»Audience & Interest Targeting»1x1»TextLink»OTH»DT»DYN»AUT»W»NA»SS»NA»Free Account Refresh- Lifestyle ChA</v></cell><cell r="D6000" t="str"><v>43325224160771</v></cell><cell r="E6000" t="str"><v>43325103048488le ChA</v></cell><cell r="F6000" t="str"><v>DCM</v></cell></row><row r="6000"><cell r="K6000" t="str"><v>August</v></cell><cell r="L6000"><v>43330</v></cell><cell r="M6000" t="str"><v>Tier 1</v></cell><cell r="N6000" t="str"><v>APAC</v></cell><cell r="O6000" t="str"><v>Australia</v></cell><cell r="P6000" t="str"><v>Trial</v></cell><cell r="Q6000" t="str"><v>Social</v></cell><cell r="R6000" t="str"><v>Azure</v></cell><cell r="S6000" t="str"><v>Apps & Infra</v></cell><cell r="T6000" t="str"><v>Developers & ITI's</v></cell><cell r="U6000" t="str"><v>Audience & Interest Targeting</v></cell><cell r="V6000" t="str"><v>Audience Targeting</v></cell><cell r="W6000" t="str"><v>Other</v></cell><cell r="X6000" t="str"><v>1x1</v></cell></row><row r="6000"><cell r="AA6000"><v>43325</v></cell><cell r="AB6000" t="str"><v>AUS_gaPMG_AZR_AZR_Q1_19_Trial-Social</v></cell><cell r="AC6000"><v>21358568</v></cell><cell r="AD6000"><v>720191</v></cell><cell r="AE6000" t="str"><v>Facebook</v></cell><cell r="AF6000"><v>3654128</v></cell><cell r="AG6000" t="str"><v>Facebook»Audience & Interest Targeting»1x1»TextLink»OTH»DT»DYN»AUT»W»NA»SS»NA»Free Account Refresh- Lifestyle ChA</v></cell><cell r="AH6000"><v>224160771</v></cell><cell r="AI6000" t="str"><v>AzurePlatform_FreeAcctAppsFACEBOOKLifestyleChA_AUS_1200x628_SOC_PLAT_EN_Trial_Standard_NA_SNU_T1_1</v></cell><cell r="AJ6000"><v>103048488</v></cell></row><row r="6001"><cell r="C6001" t="str"><v>43325Facebook»LAL»1x1»TextLink»SOC»DT»DYN»LAL»W»NA»SS»NA»Free Account Refresh- 200 Credit ChD</v></cell><cell r="D6001" t="str"><v>43325224160720</v></cell><cell r="E6001" t="str"><v>43325103186907it ChD</v></cell><cell r="F6001" t="str"><v>DCM</v></cell><cell r="G6001" t="str"><v>https://azure.microsoft.com/en-au/free/open-source/search/</v></cell></row><row r="6001"><cell r="K6001" t="str"><v>August</v></cell><cell r="L6001"><v>43330</v></cell><cell r="M6001" t="str"><v>Tier 1</v></cell><cell r="N6001" t="str"><v>APAC</v></cell><cell r="O6001" t="str"><v>Australia</v></cell><cell r="P6001" t="str"><v>Trial</v></cell><cell r="Q6001" t="str"><v>Social</v></cell><cell r="R6001" t="str"><v>Azure</v></cell><cell r="S6001" t="str"><v>Apps & Infra</v></cell><cell r="T6001" t="str"><v>Developers & ITI's</v></cell><cell r="U6001" t="str"><v>LAL</v></cell><cell r="V6001" t="str"><v>Lookalike Targeting</v></cell><cell r="W6001" t="str"><v>Social</v></cell><cell r="X6001" t="str"><v>1x1</v></cell></row><row r="6001"><cell r="AA6001"><v>43325</v></cell><cell r="AB6001" t="str"><v>AUS_gaPMG_AZR_AZR_Q1_19_Trial-Social</v></cell><cell r="AC6001"><v>21358568</v></cell><cell r="AD6001"><v>720191</v></cell><cell r="AE6001" t="str"><v>Facebook</v></cell><cell r="AF6001"><v>3654128</v></cell><cell r="AG6001" t="str"><v>Facebook»LAL»1x1»TextLink»SOC»DT»DYN»LAL»W»NA»SS»NA»Free Account Refresh- 200 Credit ChD</v></cell><cell r="AH6001"><v>224160720</v></cell><cell r="AI6001" t="str"><v>AzurePlatform_FreeAcctRetargetingOSSFB-Logos-ChG_AUS_1200x628_SOC_Plat_EN_Free Account_Standard_NA_SNU_T2_1</v></cell><cell r="AJ6001"><v>103186907</v></cell></row><row r="6002"><cell r="C6002" t="str"><v>43325Facebook»LAL»1x1»TextLink»SOC»DT»DYN»LAL»W»NA»SS»NA»Free Account Refresh- Device ChB</v></cell><cell r="D6002" t="str"><v>43325224160717</v></cell><cell r="E6002" t="str"><v>43325103048485ce ChB</v></cell><cell r="F6002" t="str"><v>DCM</v></cell><cell r="G6002" t="str"><v>https://azure.microsoft.com/en-au/free/open-source/search/</v></cell></row><row r="6002"><cell r="K6002" t="str"><v>August</v></cell><cell r="L6002"><v>43330</v></cell><cell r="M6002" t="str"><v>Tier 1</v></cell><cell r="N6002" t="str"><v>APAC</v></cell><cell r="O6002" t="str"><v>Australia</v></cell><cell r="P6002" t="str"><v>Trial</v></cell><cell r="Q6002" t="str"><v>Social</v></cell><cell r="R6002" t="str"><v>Azure</v></cell><cell r="S6002" t="str"><v>Apps & Infra</v></cell><cell r="T6002" t="str"><v>Developers & ITI's</v></cell><cell r="U6002" t="str"><v>LAL</v></cell><cell r="V6002" t="str"><v>Lookalike Targeting</v></cell><cell r="W6002" t="str"><v>Social</v></cell><cell r="X6002" t="str"><v>1x1</v></cell></row><row r="6002"><cell r="AA6002"><v>43325</v></cell><cell r="AB6002" t="str"><v>AUS_gaPMG_AZR_AZR_Q1_19_Trial-Social</v></cell><cell r="AC6002"><v>21358568</v></cell><cell r="AD6002"><v>720191</v></cell><cell r="AE6002" t="str"><v>Facebook</v></cell><cell r="AF6002"><v>3654128</v></cell><cell r="AG6002" t="str"><v>Facebook»LAL»1x1»TextLink»SOC»DT»DYN»LAL»W»NA»SS»NA»Free Account Refresh- Device ChB</v></cell><cell r="AH6002"><v>224160717</v></cell><cell r="AI6002" t="str"><v>AzurePlatform_FreeAcctRetargetingOSSFB-Text-ChF_AUS_1200x628_SOC_Plat_EN_Free Account_Standard_NA_SNU_T1_1</v></cell><cell r="AJ6002"><v>103048485</v></cell></row><row r="6003"><cell r="C6003" t="str"><v>43325Facebook»LAL»1x1»TextLink»SOC»DT»DYN»LAL»W»NA»SS»NA»Free Account Refresh- Lifestyle ChA</v></cell><cell r="D6003" t="str"><v>43325224160711</v></cell><cell r="E6003" t="str"><v>43325103048491le ChA</v></cell><cell r="F6003" t="str"><v>DCM</v></cell><cell r="G6003" t="str"><v>https://azure.microsoft.com/en-au/free/virtual-machines/search/</v></cell></row><row r="6003"><cell r="K6003" t="str"><v>August</v></cell><cell r="L6003"><v>43330</v></cell><cell r="M6003" t="str"><v>Tier 1</v></cell><cell r="N6003" t="str"><v>APAC</v></cell><cell r="O6003" t="str"><v>Australia</v></cell><cell r="P6003" t="str"><v>Trial</v></cell><cell r="Q6003" t="str"><v>Social</v></cell><cell r="R6003" t="str"><v>Azure</v></cell><cell r="S6003" t="str"><v>Apps & Infra</v></cell><cell r="T6003" t="str"><v>Developers & ITI's</v></cell><cell r="U6003" t="str"><v>LAL</v></cell><cell r="V6003" t="str"><v>Lookalike Targeting</v></cell><cell r="W6003" t="str"><v>Social</v></cell><cell r="X6003" t="str"><v>1x1</v></cell></row><row r="6003"><cell r="AA6003"><v>43325</v></cell><cell r="AB6003" t="str"><v>AUS_gaPMG_AZR_AZR_Q1_19_Trial-Social</v></cell><cell r="AC6003"><v>21358568</v></cell><cell r="AD6003"><v>720191</v></cell><cell r="AE6003" t="str"><v>Facebook</v></cell><cell r="AF6003"><v>3654128</v></cell><cell r="AG6003" t="str"><v>Facebook»LAL»1x1»TextLink»SOC»DT»DYN»LAL»W»NA»SS»NA»Free Account Refresh- Lifestyle ChA</v></cell><cell r="AH6003"><v>224160711</v></cell><cell r="AI6003" t="str"><v>AzurePlatform_FreeAcctRetargetingVMFB-OnDemand-ChE_AUS_1200x628_SOC_Plat_EN_Free Account_Standard_NA_SNU_T2_1</v></cell><cell r="AJ6003"><v>103048491</v></cell></row><row r="6004"><cell r="C6004" t="str"><v>43325Facebook»Retargeting»1x1»TextLink»SOC»DT»DYN»RT»W»NA»SS»NA»Free Account Refresh- 200 Credit ChD</v></cell><cell r="D6004" t="str"><v>43325224160738</v></cell><cell r="E6004" t="str"><v>43325103186904it ChD</v></cell><cell r="F6004" t="str"><v>DCM</v></cell></row><row r="6004"><cell r="K6004" t="str"><v>August</v></cell><cell r="L6004"><v>43330</v></cell><cell r="M6004" t="str"><v>Tier 1</v></cell><cell r="N6004" t="str"><v>APAC</v></cell><cell r="O6004" t="str"><v>Australia</v></cell><cell r="P6004" t="str"><v>Trial</v></cell><cell r="Q6004" t="str"><v>Social</v></cell><cell r="R6004" t="str"><v>Azure</v></cell><cell r="S6004" t="str"><v>Apps & Infra</v></cell><cell r="T6004" t="str"><v>Developers & ITI's</v></cell><cell r="U6004" t="str"><v>Retargeting</v></cell><cell r="V6004" t="str"><v>Retargeting</v></cell><cell r="W6004" t="str"><v>Social</v></cell><cell r="X6004" t="str"><v>1x1</v></cell></row><row r="6004"><cell r="AA6004"><v>43325</v></cell><cell r="AB6004" t="str"><v>AUS_gaPMG_AZR_AZR_Q1_19_Trial-Social</v></cell><cell r="AC6004"><v>21358568</v></cell><cell r="AD6004"><v>720191</v></cell><cell r="AE6004" t="str"><v>Facebook</v></cell><cell r="AF6004"><v>3654128</v></cell><cell r="AG6004" t="str"><v>Facebook»Retargeting»1x1»TextLink»SOC»DT»DYN»RT»W»NA»SS»NA»Free Account Refresh- 200 Credit ChD</v></cell><cell r="AH6004"><v>224160738</v></cell><cell r="AI6004" t="str"><v>AzurePlatform_FreeAcctAppsFACEBOOK200CreditChD_AUS_1200x628_SOC_PLAT_EN_Trial_Standard_NA_SNU_T4_1</v></cell><cell r="AJ6004"><v>103186904</v></cell></row><row r="6005"><cell r="C6005" t="str"><v>43325Facebook»Retargeting»1x1»TextLink»SOC»DT»DYN»RT»W»NA»SS»NA»Free Account Refresh- Device ChB</v></cell><cell r="D6005" t="str"><v>43325224160735</v></cell><cell r="E6005" t="str"><v>43325103048479ce ChB</v></cell><cell r="F6005" t="str"><v>DCM</v></cell></row><row r="6005"><cell r="K6005" t="str"><v>August</v></cell><cell r="L6005"><v>43330</v></cell><cell r="M6005" t="str"><v>Tier 1</v></cell><cell r="N6005" t="str"><v>APAC</v></cell><cell r="O6005" t="str"><v>Australia</v></cell><cell r="P6005" t="str"><v>Trial</v></cell><cell r="Q6005" t="str"><v>Social</v></cell><cell r="R6005" t="str"><v>Azure</v></cell><cell r="S6005" t="str"><v>Apps & Infra</v></cell><cell r="T6005" t="str"><v>Developers & ITI's</v></cell><cell r="U6005" t="str"><v>Retargeting</v></cell><cell r="V6005" t="str"><v>Retargeting</v></cell><cell r="W6005" t="str"><v>Social</v></cell><cell r="X6005" t="str"><v>1x1</v></cell></row><row r="6005"><cell r="AA6005"><v>43325</v></cell><cell r="AB6005" t="str"><v>AUS_gaPMG_AZR_AZR_Q1_19_Trial-Social</v></cell><cell r="AC6005"><v>21358568</v></cell><cell r="AD6005"><v>720191</v></cell><cell r="AE6005" t="str"><v>Facebook</v></cell><cell r="AF6005"><v>3654128</v></cell><cell r="AG6005" t="str"><v>Facebook»Retargeting»1x1»TextLink»SOC»DT»DYN»RT»W»NA»SS»NA»Free Account Refresh- Device ChB</v></cell><cell r="AH6005"><v>224160735</v></cell><cell r="AI6005" t="str"><v>AzurePlatform_FreeAcctAppsFACEBOOKDeviceChB_AUS_1200x628_SOC_PLAT_EN_Trial_Standard_NA_SNU_T2_1</v></cell><cell r="AJ6005"><v>103048479</v></cell></row><row r="6006"><cell r="C6006" t="str"><v>43325Facebook»Retargeting»1x1»TextLink»SOC»DT»DYN»RT»W»NA»SS»NA»Free Account Refresh- Illustration ChC</v></cell><cell r="D6006" t="str"><v>43325224160732</v></cell><cell r="E6006" t="str"><v>43325103186910on ChC</v></cell><cell r="F6006" t="str"><v>DCM</v></cell></row><row r="6006"><cell r="K6006" t="str"><v>August</v></cell><cell r="L6006"><v>43330</v></cell><cell r="M6006" t="str"><v>Tier 1</v></cell><cell r="N6006" t="str"><v>APAC</v></cell><cell r="O6006" t="str"><v>Australia</v></cell><cell r="P6006" t="str"><v>Trial</v></cell><cell r="Q6006" t="str"><v>Social</v></cell><cell r="R6006" t="str"><v>Azure</v></cell><cell r="S6006" t="str"><v>Apps & Infra</v></cell><cell r="T6006" t="str"><v>Developers & ITI's</v></cell><cell r="U6006" t="str"><v>Retargeting</v></cell><cell r="V6006" t="str"><v>Retargeting</v></cell><cell r="W6006" t="str"><v>Social</v></cell><cell r="X6006" t="str"><v>1x1</v></cell></row><row r="6006"><cell r="AA6006"><v>43325</v></cell><cell r="AB6006" t="str"><v>AUS_gaPMG_AZR_AZR_Q1_19_Trial-Social</v></cell><cell r="AC6006"><v>21358568</v></cell><cell r="AD6006"><v>720191</v></cell><cell r="AE6006" t="str"><v>Facebook</v></cell><cell r="AF6006"><v>3654128</v></cell><cell r="AG6006" t="str"><v>Facebook»Retargeting»1x1»TextLink»SOC»DT»DYN»RT»W»NA»SS»NA»Free Account Refresh- Illustration ChC</v></cell><cell r="AH6006"><v>224160732</v></cell><cell r="AI6006" t="str"><v>AzurePlatform_FreeAcctAppsFACEBOOKIllustrationChC_AUS_1200x628_SOC_PLAT_EN_Trial_Standard_NA_SNU_T3_1</v></cell><cell r="AJ6006"><v>103186910</v></cell></row><row r="6007"><cell r="C6007" t="str"><v>43325Facebook»Retargeting»1x1»TextLink»SOC»DT»DYN»RT»W»NA»SS»NA»Free Account Refresh- Lifestyle ChA</v></cell><cell r="D6007" t="str"><v>43325224160729</v></cell><cell r="E6007" t="str"><v>43325103048488le ChA</v></cell><cell r="F6007" t="str"><v>DCM</v></cell></row><row r="6007"><cell r="K6007" t="str"><v>August</v></cell><cell r="L6007"><v>43330</v></cell><cell r="M6007" t="str"><v>Tier 1</v></cell><cell r="N6007" t="str"><v>APAC</v></cell><cell r="O6007" t="str"><v>Australia</v></cell><cell r="P6007" t="str"><v>Trial</v></cell><cell r="Q6007" t="str"><v>Social</v></cell><cell r="R6007" t="str"><v>Azure</v></cell><cell r="S6007" t="str"><v>Apps & Infra</v></cell><cell r="T6007" t="str"><v>Developers & ITI's</v></cell><cell r="U6007" t="str"><v>Retargeting</v></cell><cell r="V6007" t="str"><v>Retargeting</v></cell><cell r="W6007" t="str"><v>Social</v></cell><cell r="X6007" t="str"><v>1x1</v></cell></row><row r="6007"><cell r="AA6007"><v>43325</v></cell><cell r="AB6007" t="str"><v>AUS_gaPMG_AZR_AZR_Q1_19_Trial-Social</v></cell><cell r="AC6007"><v>21358568</v></cell><cell r="AD6007"><v>720191</v></cell><cell r="AE6007" t="str"><v>Facebook</v></cell><cell r="AF6007"><v>3654128</v></cell><cell r="AG6007" t="str"><v>Facebook»Retargeting»1x1»TextLink»SOC»DT»DYN»RT»W»NA»SS»NA»Free Account Refresh- Lifestyle ChA</v></cell><cell r="AH6007"><v>224160729</v></cell><cell r="AI6007" t="str"><v>AzurePlatform_FreeAcctAppsFACEBOOKLifestyleChA_AUS_1200x628_SOC_PLAT_EN_Trial_Standard_NA_SNU_T1_1</v></cell><cell r="AJ6007"><v>103048488</v></cell></row><row r="6008"><cell r="C6008" t="str"><v>43325Facebook»AZR»1x1»NA»EGV»ALL»DYN»AUT»D»All»SS»NA»Free Acc CTC - T1 - EN</v></cell><cell r="D6008" t="str"><v>43325223684451</v></cell><cell r="E6008" t="str"><v>433251029018821 - EN</v></cell><cell r="F6008" t="str"><v>DCM</v></cell><cell r="G6008" t="str"><v>https://signup.azure.com/</v></cell></row><row r="6008"><cell r="K6008" t="str"><v>August</v></cell><cell r="L6008"><v>43330</v></cell><cell r="M6008" t="str"><v>Tier 1</v></cell><cell r="N6008" t="str"><v>North America</v></cell><cell r="O6008" t="str"><v>Canada</v></cell><cell r="P6008" t="str"><v>Trial</v></cell><cell r="Q6008" t="str"><v>Social</v></cell><cell r="R6008" t="str"><v>Azure</v></cell><cell r="S6008" t="str"><v>Apps & Infra</v></cell><cell r="T6008" t="str"><v>Developers & ITI's</v></cell><cell r="U6008" t="str"><v>AZR</v></cell><cell r="V6008" t="str"><v>Audience Targeting</v></cell><cell r="W6008" t="str"><v>Engagement Video</v></cell><cell r="X6008" t="str"><v>1x1</v></cell></row><row r="6008"><cell r="AA6008"><v>43325</v></cell><cell r="AB6008" t="str"><v>CAN_gaPMG_AZR_AZR_Q1_19_Trial-Social</v></cell><cell r="AC6008"><v>21337220</v></cell><cell r="AD6008"><v>720192</v></cell><cell r="AE6008" t="str"><v>Facebook</v></cell><cell r="AF6008"><v>3654128</v></cell><cell r="AG6008" t="str"><v>Facebook»AZR»1x1»NA»EGV»ALL»DYN»AUT»D»All»SS»NA»Free Acc CTC - T1 - EN</v></cell><cell r="AH6008"><v>223684451</v></cell><cell r="AI6008" t="str"><v>AzurePlatform_FBCTCBasicMotion_CAN_10s_ISV_PLAT_English_Trial_Standard_STAN_TN_T1_1</v></cell><cell r="AJ6008"><v>102901882</v></cell></row><row r="6009"><cell r="C6009" t="str"><v>43325Facebook»AZR»1x1»NA»EGV»ALL»DYN»AUT»D»All»SS»NA»Free Acc CTC - T1 - FR</v></cell><cell r="D6009" t="str"><v>43325223691801</v></cell><cell r="E6009" t="str"><v>433251030533231 - FR</v></cell><cell r="F6009" t="str"><v>DCM</v></cell><cell r="G6009" t="str"><v>https://signup.azure.com/</v></cell></row><row r="6009"><cell r="K6009" t="str"><v>August</v></cell><cell r="L6009"><v>43330</v></cell><cell r="M6009" t="str"><v>Tier 1</v></cell><cell r="N6009" t="str"><v>North America</v></cell><cell r="O6009" t="str"><v>Canada</v></cell><cell r="P6009" t="str"><v>Trial</v></cell><cell r="Q6009" t="str"><v>Social</v></cell><cell r="R6009" t="str"><v>Azure</v></cell><cell r="S6009" t="str"><v>Apps & Infra</v></cell><cell r="T6009" t="str"><v>Developers & ITI's</v></cell><cell r="U6009" t="str"><v>AZR</v></cell><cell r="V6009" t="str"><v>Audience Targeting</v></cell><cell r="W6009" t="str"><v>Engagement Video</v></cell><cell r="X6009" t="str"><v>1x1</v></cell></row><row r="6009"><cell r="AA6009"><v>43325</v></cell><cell r="AB6009" t="str"><v>CAN_gaPMG_AZR_AZR_Q1_19_Trial-Social</v></cell><cell r="AC6009"><v>21337220</v></cell><cell r="AD6009"><v>720192</v></cell><cell r="AE6009" t="str"><v>Facebook</v></cell><cell r="AF6009"><v>3654128</v></cell><cell r="AG6009" t="str"><v>Facebook»AZR»1x1»NA»EGV»ALL»DYN»AUT»D»All»SS»NA»Free Acc CTC - T1 - FR</v></cell><cell r="AH6009"><v>223691801</v></cell><cell r="AI6009" t="str"><v>AzurePlatform_FBCTCBasicMotion_CAN_10s_ISV_PLAT_FR_Trial_Standard_STAN_TN_T1_1</v></cell><cell r="AJ6009"><v>103053323</v></cell></row><row r="6010"><cell r="C6010" t="str"><v>43325Facebook»AZR»1x1»NA»EGV»ALL»DYN»AUT»D»All»SS»NA»Free Acc CTC - T2 - EN</v></cell><cell r="D6010" t="str"><v>43325223691840</v></cell><cell r="E6010" t="str"><v>433251029029502 - EN</v></cell><cell r="F6010" t="str"><v>DCM</v></cell><cell r="G6010" t="str"><v>https://signup.azure.com/</v></cell></row><row r="6010"><cell r="K6010" t="str"><v>August</v></cell><cell r="L6010"><v>43330</v></cell><cell r="M6010" t="str"><v>Tier 1</v></cell><cell r="N6010" t="str"><v>North America</v></cell><cell r="O6010" t="str"><v>Canada</v></cell><cell r="P6010" t="str"><v>Trial</v></cell><cell r="Q6010" t="str"><v>Social</v></cell><cell r="R6010" t="str"><v>Azure</v></cell><cell r="S6010" t="str"><v>Apps & Infra</v></cell><cell r="T6010" t="str"><v>Developers & ITI's</v></cell><cell r="U6010" t="str"><v>AZR</v></cell><cell r="V6010" t="str"><v>Audience Targeting</v></cell><cell r="W6010" t="str"><v>Engagement Video</v></cell><cell r="X6010" t="str"><v>1x1</v></cell></row><row r="6010"><cell r="AA6010"><v>43325</v></cell><cell r="AB6010" t="str"><v>CAN_gaPMG_AZR_AZR_Q1_19_Trial-Social</v></cell><cell r="AC6010"><v>21337220</v></cell><cell r="AD6010"><v>720192</v></cell><cell r="AE6010" t="str"><v>Facebook</v></cell><cell r="AF6010"><v>3654128</v></cell><cell r="AG6010" t="str"><v>Facebook»AZR»1x1»NA»EGV»ALL»DYN»AUT»D»All»SS»NA»Free Acc CTC - T2 - EN</v></cell><cell r="AH6010"><v>223691840</v></cell><cell r="AI6010" t="str"><v>AzurePlatform_FBCTCBrandinMotion_CAN_12s_ISV_PLAT_English_Trial_Standard_STAN_TN_T2_1</v></cell><cell r="AJ6010"><v>102902950</v></cell></row><row r="6011"><cell r="C6011" t="str"><v>43325Facebook»AZR»1x1»NA»EGV»ALL»DYN»AUT»D»All»SS»NA»Free Acc CTC - T2 - FR</v></cell><cell r="D6011" t="str"><v>43325223691798</v></cell><cell r="E6011" t="str"><v>433251029163472 - FR</v></cell><cell r="F6011" t="str"><v>DCM</v></cell><cell r="G6011" t="str"><v>https://signup.azure.com/</v></cell></row><row r="6011"><cell r="K6011" t="str"><v>August</v></cell><cell r="L6011"><v>43330</v></cell><cell r="M6011" t="str"><v>Tier 1</v></cell><cell r="N6011" t="str"><v>North America</v></cell><cell r="O6011" t="str"><v>Canada</v></cell><cell r="P6011" t="str"><v>Trial</v></cell><cell r="Q6011" t="str"><v>Social</v></cell><cell r="R6011" t="str"><v>Azure</v></cell><cell r="S6011" t="str"><v>Apps & Infra</v></cell><cell r="T6011" t="str"><v>Developers & ITI's</v></cell><cell r="U6011" t="str"><v>AZR</v></cell><cell r="V6011" t="str"><v>Audience Targeting</v></cell><cell r="W6011" t="str"><v>Engagement Video</v></cell><cell r="X6011" t="str"><v>1x1</v></cell></row><row r="6011"><cell r="AA6011"><v>43325</v></cell><cell r="AB6011" t="str"><v>CAN_gaPMG_AZR_AZR_Q1_19_Trial-Social</v></cell><cell r="AC6011"><v>21337220</v></cell><cell r="AD6011"><v>720192</v></cell><cell r="AE6011" t="str"><v>Facebook</v></cell><cell r="AF6011"><v>3654128</v></cell><cell r="AG6011" t="str"><v>Facebook»AZR»1x1»NA»EGV»ALL»DYN»AUT»D»All»SS»NA»Free Acc CTC - T2 - FR</v></cell><cell r="AH6011"><v>223691798</v></cell><cell r="AI6011" t="str"><v>AzurePlatform_FBCTCBrandinMotion_CAN_12s_ISV_PLAT_FR_Trial_Standard_STAN_TN_T2_1</v></cell><cell r="AJ6011"><v>102916347</v></cell></row><row r="6012"><cell r="C6012" t="str"><v>43325Facebook»AZR»1x1»NA»EGV»ALL»DYN»AUT»D»All»SS»NA»Free Acc CTC - T4 - EN</v></cell><cell r="D6012" t="str"><v>43325223691837</v></cell><cell r="E6012" t="str"><v>433251030533144 - EN</v></cell><cell r="F6012" t="str"><v>DCM</v></cell><cell r="G6012" t="str"><v>https://signup.azure.com/</v></cell></row><row r="6012"><cell r="K6012" t="str"><v>August</v></cell><cell r="L6012"><v>43330</v></cell><cell r="M6012" t="str"><v>Tier 1</v></cell><cell r="N6012" t="str"><v>North America</v></cell><cell r="O6012" t="str"><v>Canada</v></cell><cell r="P6012" t="str"><v>Trial</v></cell><cell r="Q6012" t="str"><v>Social</v></cell><cell r="R6012" t="str"><v>Azure</v></cell><cell r="S6012" t="str"><v>Apps & Infra</v></cell><cell r="T6012" t="str"><v>Developers & ITI's</v></cell><cell r="U6012" t="str"><v>AZR</v></cell><cell r="V6012" t="str"><v>Audience Targeting</v></cell><cell r="W6012" t="str"><v>Engagement Video</v></cell><cell r="X6012" t="str"><v>1x1</v></cell></row><row r="6012"><cell r="AA6012"><v>43325</v></cell><cell r="AB6012" t="str"><v>CAN_gaPMG_AZR_AZR_Q1_19_Trial-Social</v></cell><cell r="AC6012"><v>21337220</v></cell><cell r="AD6012"><v>720192</v></cell><cell r="AE6012" t="str"><v>Facebook</v></cell><cell r="AF6012"><v>3654128</v></cell><cell r="AG6012" t="str"><v>Facebook»AZR»1x1»NA»EGV»ALL»DYN»AUT»D»All»SS»NA»Free Acc CTC - T4 - EN</v></cell><cell r="AH6012"><v>223691837</v></cell><cell r="AI6012" t="str"><v>AzurePlatform_FBCTCBenefit2inMotion_CAN_14s_ISV_PLAT_English_Trial_Standard_STAN_TN_T4_1</v></cell><cell r="AJ6012"><v>103053314</v></cell></row><row r="6013"><cell r="C6013" t="str"><v>43325Facebook»AZR»1x1»NA»SOC»ALL»DYN»PRO»D»All»SS»NA»Canvas - Buy Now - EN</v></cell><cell r="D6013" t="str"><v>43325225322327</v></cell><cell r="E6013" t="str"><v>43325103902287w - EN</v></cell><cell r="F6013" t="str"><v>DCM</v></cell><cell r="G6013" t="str"><v>https://azure.microsoft.com/en-ca/pricing/purchase-options/</v></cell></row><row r="6013"><cell r="K6013" t="str"><v>August</v></cell><cell r="L6013"><v>43330</v></cell><cell r="M6013" t="str"><v>Tier 1</v></cell><cell r="N6013" t="str"><v>North America</v></cell><cell r="O6013" t="str"><v>Canada</v></cell><cell r="P6013" t="str"><v>Trial</v></cell><cell r="Q6013" t="str"><v>Social</v></cell><cell r="R6013" t="str"><v>Azure</v></cell><cell r="S6013" t="str"><v>Apps & Infra</v></cell><cell r="T6013" t="str"><v>Developers & ITI's</v></cell><cell r="U6013" t="str"><v>AZR</v></cell><cell r="V6013" t="str"><v>Prospecting</v></cell><cell r="W6013" t="str"><v>Social</v></cell><cell r="X6013" t="str"><v>1x1</v></cell></row><row r="6013"><cell r="AA6013"><v>43325</v></cell><cell r="AB6013" t="str"><v>CAN_gaPMG_AZR_AZR_Q1_19_Trial-Social</v></cell><cell r="AC6013"><v>21337220</v></cell><cell r="AD6013"><v>720192</v></cell><cell r="AE6013" t="str"><v>Facebook</v></cell><cell r="AF6013"><v>3654128</v></cell><cell r="AG6013" t="str"><v>Facebook»AZR»1x1»NA»SOC»ALL»DYN»PRO»D»All»SS»NA»Canvas - Buy Now - EN</v></cell><cell r="AH6013"><v>225322327</v></cell><cell r="AI6013" t="str"><v>AzurePlatform_FBCTCcanvaspage-BuyNowCTA-Img3_CAN_1080x162_SOC_Plat_English_NA_Standard_NA_BN_T3_1</v></cell><cell r="AJ6013"><v>103902287</v></cell></row><row r="6014"><cell r="C6014" t="str"><v>43325Facebook»AZR»1x1»NA»SOC»ALL»DYN»PRO»D»All»SS»NA»Canvas - Buy Now - FR</v></cell><cell r="D6014" t="str"><v>43325225322324</v></cell><cell r="E6014" t="str"><v>43325103789915w - FR</v></cell><cell r="F6014" t="str"><v>DCM</v></cell><cell r="G6014" t="str"><v>https://azure.microsoft.com/fr-ca/pricing/purchase-options/</v></cell></row><row r="6014"><cell r="K6014" t="str"><v>August</v></cell><cell r="L6014"><v>43330</v></cell><cell r="M6014" t="str"><v>Tier 1</v></cell><cell r="N6014" t="str"><v>North America</v></cell><cell r="O6014" t="str"><v>Canada</v></cell><cell r="P6014" t="str"><v>Trial</v></cell><cell r="Q6014" t="str"><v>Social</v></cell><cell r="R6014" t="str"><v>Azure</v></cell><cell r="S6014" t="str"><v>Apps & Infra</v></cell><cell r="T6014" t="str"><v>Developers & ITI's</v></cell><cell r="U6014" t="str"><v>AZR</v></cell><cell r="V6014" t="str"><v>Prospecting</v></cell><cell r="W6014" t="str"><v>Social</v></cell><cell r="X6014" t="str"><v>1x1</v></cell></row><row r="6014"><cell r="AA6014"><v>43325</v></cell><cell r="AB6014" t="str"><v>CAN_gaPMG_AZR_AZR_Q1_19_Trial-Social</v></cell><cell r="AC6014"><v>21337220</v></cell><cell r="AD6014"><v>720192</v></cell><cell r="AE6014" t="str"><v>Facebook</v></cell><cell r="AF6014"><v>3654128</v></cell><cell r="AG6014" t="str"><v>Facebook»AZR»1x1»NA»SOC»ALL»DYN»PRO»D»All»SS»NA»Canvas - Buy Now - FR</v></cell><cell r="AH6014"><v>225322324</v></cell><cell r="AI6014" t="str"><v>AzurePlatform_FBCTCcanvaspage-BuyNowCTA-Img3_CAN_1080x162_SOC_Plat_French_NA_Standard_NA_BN_T3_1</v></cell><cell r="AJ6014"><v>103789915</v></cell></row><row r="6015"><cell r="C6015" t="str"><v>43325Facebook»AZR»1x1»NA»SOC»ALL»DYN»PRO»D»All»SS»NA»Canvas - Start Free - EN</v></cell><cell r="D6015" t="str"><v>43325225252365</v></cell><cell r="E6015" t="str"><v>43325103807590e - EN</v></cell><cell r="F6015" t="str"><v>DCM</v></cell><cell r="G6015" t="str"><v>https://signup.azure.com/signup?offer=ms-azr-0044p&appId=102&ref=paidmedia-social-fb&redirectURL=https%3a%2f%2fazure.microsoft.com%2fen-ca%2fget-started%2fwelcome-to-azure%2f&l=en-ca&correlationId=ead86c34-1f10-49dd-a72b-6918462a2cbf</v></cell></row><row r="6015"><cell r="K6015" t="str"><v>August</v></cell><cell r="L6015"><v>43330</v></cell><cell r="M6015" t="str"><v>Tier 1</v></cell><cell r="N6015" t="str"><v>North America</v></cell><cell r="O6015" t="str"><v>Canada</v></cell><cell r="P6015" t="str"><v>Trial</v></cell><cell r="Q6015" t="str"><v>Social</v></cell><cell r="R6015" t="str"><v>Azure</v></cell><cell r="S6015" t="str"><v>Apps & Infra</v></cell><cell r="T6015" t="str"><v>Developers & ITI's</v></cell><cell r="U6015" t="str"><v>AZR</v></cell><cell r="V6015" t="str"><v>Prospecting</v></cell><cell r="W6015" t="str"><v>Social</v></cell><cell r="X6015" t="str"><v>1x1</v></cell></row><row r="6015"><cell r="AA6015"><v>43325</v></cell><cell r="AB6015" t="str"><v>CAN_gaPMG_AZR_AZR_Q1_19_Trial-Social</v></cell><cell r="AC6015"><v>21337220</v></cell><cell r="AD6015"><v>720192</v></cell><cell r="AE6015" t="str"><v>Facebook</v></cell><cell r="AF6015"><v>3654128</v></cell><cell r="AG6015" t="str"><v>Facebook»AZR»1x1»NA»SOC»ALL»DYN»PRO»D»All»SS»NA»Canvas - Start Free - EN</v></cell><cell r="AH6015"><v>225252365</v></cell><cell r="AI6015" t="str"><v>AzurePlatform_FBCTCcanvaspage-StartFreeCTA-Img2_CAN_1080x143 _SOC_Plat_English_NA_Standard_NA_NA_T2_1</v></cell><cell r="AJ6015"><v>103807590</v></cell></row><row r="6016"><cell r="C6016" t="str"><v>43325Facebook»AZR»1x1»NA»SOC»ALL»DYN»PRO»D»All»SS»NA»Canvas - Start Free - FR</v></cell><cell r="D6016" t="str"><v>43325225525936</v></cell><cell r="E6016" t="str"><v>43325103902551e - FR</v></cell><cell r="F6016" t="str"><v>DCM</v></cell><cell r="G6016" t="str"><v>https://signup.azure.com/signup?offer=ms-azr-0044p&appId=102&ref=paidmedia-social-fb&redirectURL=https%3a%2f%2fazure.microsoft.com%2ffr-ca%2fget-started%2fwelcome-to-azure%2f&l=fr-ca&correlationId=ead86c34-1f10-49dd-a72b-6918462a2cbf</v></cell></row><row r="6016"><cell r="K6016" t="str"><v>August</v></cell><cell r="L6016"><v>43330</v></cell><cell r="M6016" t="str"><v>Tier 1</v></cell><cell r="N6016" t="str"><v>North America</v></cell><cell r="O6016" t="str"><v>Canada</v></cell><cell r="P6016" t="str"><v>Trial</v></cell><cell r="Q6016" t="str"><v>Social</v></cell><cell r="R6016" t="str"><v>Azure</v></cell><cell r="S6016" t="str"><v>Apps & Infra</v></cell><cell r="T6016" t="str"><v>Developers & ITI's</v></cell><cell r="U6016" t="str"><v>AZR</v></cell><cell r="V6016" t="str"><v>Prospecting</v></cell><cell r="W6016" t="str"><v>Social</v></cell><cell r="X6016" t="str"><v>1x1</v></cell></row><row r="6016"><cell r="AA6016"><v>43325</v></cell><cell r="AB6016" t="str"><v>CAN_gaPMG_AZR_AZR_Q1_19_Trial-Social</v></cell><cell r="AC6016"><v>21337220</v></cell><cell r="AD6016"><v>720192</v></cell><cell r="AE6016" t="str"><v>Facebook</v></cell><cell r="AF6016"><v>3654128</v></cell><cell r="AG6016" t="str"><v>Facebook»AZR»1x1»NA»SOC»ALL»DYN»PRO»D»All»SS»NA»Canvas - Start Free - FR</v></cell><cell r="AH6016"><v>225525936</v></cell><cell r="AI6016" t="str"><v>AzurePlatform_FBCTCcanvaspage-StartFreeCTA-Img2_CAN_1080x143 _SOC_Plat_French_NA_Standard_NA_NA_T2_1</v></cell><cell r="AJ6016"><v>103902551</v></cell></row><row r="6017"><cell r="C6017" t="str"><v>43325Facebook»AZR»1x1»SocialBan»NA»ALL»DYN»AUT»D»All»SS»NA»Free Acc Refresh - T1 - EN</v></cell><cell r="D6017" t="str"><v>43325223691804</v></cell><cell r="E6017" t="str"><v>433251030587171 - EN</v></cell><cell r="F6017" t="str"><v>DCM</v></cell><cell r="G6017" t="str"><v>https://azure.microsoft.com/en-CA/free/search/</v></cell></row><row r="6017"><cell r="K6017" t="str"><v>August</v></cell><cell r="L6017"><v>43330</v></cell><cell r="M6017" t="str"><v>Tier 1</v></cell><cell r="N6017" t="str"><v>North America</v></cell><cell r="O6017" t="str"><v>Canada</v></cell><cell r="P6017" t="str"><v>Trial</v></cell><cell r="Q6017" t="str"><v>Social</v></cell><cell r="R6017" t="str"><v>Azure</v></cell><cell r="S6017" t="str"><v>Apps & Infra</v></cell><cell r="T6017" t="str"><v>Developers & ITI's</v></cell><cell r="U6017" t="str"><v>AZR</v></cell><cell r="V6017" t="str"><v>Audience Targeting</v></cell><cell r="W6017" t="str"><v>NotApplicable</v></cell><cell r="X6017" t="str"><v>1x1</v></cell></row><row r="6017"><cell r="AA6017"><v>43325</v></cell><cell r="AB6017" t="str"><v>CAN_gaPMG_AZR_AZR_Q1_19_Trial-Social</v></cell><cell r="AC6017"><v>21337220</v></cell><cell r="AD6017"><v>720192</v></cell><cell r="AE6017" t="str"><v>Facebook</v></cell><cell r="AF6017"><v>3654128</v></cell><cell r="AG6017" t="str"><v>Facebook»AZR»1x1»SocialBan»NA»ALL»DYN»AUT»D»All»SS»NA»Free Acc Refresh - T1 - EN</v></cell><cell r="AH6017"><v>223691804</v></cell><cell r="AI6017" t="str"><v>AzurePlatform_FreeAcctAppsFACEBOOKLifestyleChA_CAN_1200x628_SOC_PLAT_EN_Trial_Standard_NA_SU_T1_1.png</v></cell><cell r="AJ6017"><v>103058717</v></cell></row><row r="6018"><cell r="C6018" t="str"><v>43325Facebook»AZR»1x1»SocialBan»NA»ALL»DYN»AUT»D»All»SS»NA»Free Acc Refresh - T1 - FR</v></cell><cell r="D6018" t="str"><v>43325223691762</v></cell><cell r="E6018" t="str"><v>433251029029741 - FR</v></cell><cell r="F6018" t="str"><v>DCM</v></cell><cell r="G6018" t="str"><v>https://azure.microsoft.com/fr-ca/free/search/</v></cell></row><row r="6018"><cell r="K6018" t="str"><v>August</v></cell><cell r="L6018"><v>43330</v></cell><cell r="M6018" t="str"><v>Tier 1</v></cell><cell r="N6018" t="str"><v>North America</v></cell><cell r="O6018" t="str"><v>Canada</v></cell><cell r="P6018" t="str"><v>Trial</v></cell><cell r="Q6018" t="str"><v>Social</v></cell><cell r="R6018" t="str"><v>Azure</v></cell><cell r="S6018" t="str"><v>Apps & Infra</v></cell><cell r="T6018" t="str"><v>Developers & ITI's</v></cell><cell r="U6018" t="str"><v>AZR</v></cell><cell r="V6018" t="str"><v>Audience Targeting</v></cell><cell r="W6018" t="str"><v>NotApplicable</v></cell><cell r="X6018" t="str"><v>1x1</v></cell></row><row r="6018"><cell r="AA6018"><v>43325</v></cell><cell r="AB6018" t="str"><v>CAN_gaPMG_AZR_AZR_Q1_19_Trial-Social</v></cell><cell r="AC6018"><v>21337220</v></cell><cell r="AD6018"><v>720192</v></cell><cell r="AE6018" t="str"><v>Facebook</v></cell><cell r="AF6018"><v>3654128</v></cell><cell r="AG6018" t="str"><v>Facebook»AZR»1x1»SocialBan»NA»ALL»DYN»AUT»D»All»SS»NA»Free Acc Refresh - T1 - FR</v></cell><cell r="AH6018"><v>223691762</v></cell><cell r="AI6018" t="str"><v>AzurePlatform_FreeAcctAppsFACEBOOKLifestyleChA_CAN_1200x628_SOC_PLAT_FR_Trial_Standard_NA_SU_T1_1.png</v></cell><cell r="AJ6018"><v>102902974</v></cell></row><row r="6019"><cell r="C6019" t="str"><v>43325Facebook»AZR»1x1»SocialBan»NA»ALL»DYN»AUT»D»All»SS»NA»Free Acc Refresh - T2 - EN</v></cell><cell r="D6019" t="str"><v>43325223691810</v></cell><cell r="E6019" t="str"><v>433251030587112 - EN</v></cell><cell r="F6019" t="str"><v>DCM</v></cell><cell r="G6019" t="str"><v>https://azure.microsoft.com/en-CA/free/search/</v></cell></row><row r="6019"><cell r="K6019" t="str"><v>August</v></cell><cell r="L6019"><v>43330</v></cell><cell r="M6019" t="str"><v>Tier 1</v></cell><cell r="N6019" t="str"><v>North America</v></cell><cell r="O6019" t="str"><v>Canada</v></cell><cell r="P6019" t="str"><v>Trial</v></cell><cell r="Q6019" t="str"><v>Social</v></cell><cell r="R6019" t="str"><v>Azure</v></cell><cell r="S6019" t="str"><v>Apps & Infra</v></cell><cell r="T6019" t="str"><v>Developers & ITI's</v></cell><cell r="U6019" t="str"><v>AZR</v></cell><cell r="V6019" t="str"><v>Audience Targeting</v></cell><cell r="W6019" t="str"><v>NotApplicable</v></cell><cell r="X6019" t="str"><v>1x1</v></cell></row><row r="6019"><cell r="AA6019"><v>43325</v></cell><cell r="AB6019" t="str"><v>CAN_gaPMG_AZR_AZR_Q1_19_Trial-Social</v></cell><cell r="AC6019"><v>21337220</v></cell><cell r="AD6019"><v>720192</v></cell><cell r="AE6019" t="str"><v>Facebook</v></cell><cell r="AF6019"><v>3654128</v></cell><cell r="AG6019" t="str"><v>Facebook»AZR»1x1»SocialBan»NA»ALL»DYN»AUT»D»All»SS»NA»Free Acc Refresh - T2 - EN</v></cell><cell r="AH6019"><v>223691810</v></cell><cell r="AI6019" t="str"><v>AzurePlatform_FreeAcctAppsFACEBOOKDeviceChB_CAN_1200x628_SOC_PLAT_EN_Trial_Standard_NA_SU_T2_1.png</v></cell><cell r="AJ6019"><v>103058711</v></cell></row><row r="6020"><cell r="C6020" t="str"><v>43325Facebook»AZR»1x1»SocialBan»NA»ALL»DYN»AUT»D»All»SS»NA»Free Acc Refresh - T2 - FR</v></cell><cell r="D6020" t="str"><v>43325223691768</v></cell><cell r="E6020" t="str"><v>433251029029712 - FR</v></cell><cell r="F6020" t="str"><v>DCM</v></cell><cell r="G6020" t="str"><v>https://azure.microsoft.com/fr-ca/free/search/</v></cell></row><row r="6020"><cell r="K6020" t="str"><v>August</v></cell><cell r="L6020"><v>43330</v></cell><cell r="M6020" t="str"><v>Tier 1</v></cell><cell r="N6020" t="str"><v>North America</v></cell><cell r="O6020" t="str"><v>Canada</v></cell><cell r="P6020" t="str"><v>Trial</v></cell><cell r="Q6020" t="str"><v>Social</v></cell><cell r="R6020" t="str"><v>Azure</v></cell><cell r="S6020" t="str"><v>Apps & Infra</v></cell><cell r="T6020" t="str"><v>Developers & ITI's</v></cell><cell r="U6020" t="str"><v>AZR</v></cell><cell r="V6020" t="str"><v>Audience Targeting</v></cell><cell r="W6020" t="str"><v>NotApplicable</v></cell><cell r="X6020" t="str"><v>1x1</v></cell></row><row r="6020"><cell r="AA6020"><v>43325</v></cell><cell r="AB6020" t="str"><v>CAN_gaPMG_AZR_AZR_Q1_19_Trial-Social</v></cell><cell r="AC6020"><v>21337220</v></cell><cell r="AD6020"><v>720192</v></cell><cell r="AE6020" t="str"><v>Facebook</v></cell><cell r="AF6020"><v>3654128</v></cell><cell r="AG6020" t="str"><v>Facebook»AZR»1x1»SocialBan»NA»ALL»DYN»AUT»D»All»SS»NA»Free Acc Refresh - T2 - FR</v></cell><cell r="AH6020"><v>223691768</v></cell><cell r="AI6020" t="str"><v>AzurePlatform_FreeAcctAppsFACEBOOKDeviceChB_CAN_1200x628_SOC_PLAT_FR_Trial_Standard_NA_SU_T2_1.png</v></cell><cell r="AJ6020"><v>102902971</v></cell></row><row r="6021"><cell r="C6021" t="str"><v>43325Facebook»AZR»1x1»SocialBan»NA»ALL»DYN»AUT»D»All»SS»NA»Free Acc Refresh - T3 - EN</v></cell><cell r="D6021" t="str"><v>43325223691807</v></cell><cell r="E6021" t="str"><v>433251029006853 - EN</v></cell><cell r="F6021" t="str"><v>DCM</v></cell><cell r="G6021" t="str"><v>https://azure.microsoft.com/en-CA/free/search/</v></cell></row><row r="6021"><cell r="K6021" t="str"><v>August</v></cell><cell r="L6021"><v>43330</v></cell><cell r="M6021" t="str"><v>Tier 1</v></cell><cell r="N6021" t="str"><v>North America</v></cell><cell r="O6021" t="str"><v>Canada</v></cell><cell r="P6021" t="str"><v>Trial</v></cell><cell r="Q6021" t="str"><v>Social</v></cell><cell r="R6021" t="str"><v>Azure</v></cell><cell r="S6021" t="str"><v>Apps & Infra</v></cell><cell r="T6021" t="str"><v>Developers & ITI's</v></cell><cell r="U6021" t="str"><v>AZR</v></cell><cell r="V6021" t="str"><v>Audience Targeting</v></cell><cell r="W6021" t="str"><v>NotApplicable</v></cell><cell r="X6021" t="str"><v>1x1</v></cell></row><row r="6021"><cell r="AA6021"><v>43325</v></cell><cell r="AB6021" t="str"><v>CAN_gaPMG_AZR_AZR_Q1_19_Trial-Social</v></cell><cell r="AC6021"><v>21337220</v></cell><cell r="AD6021"><v>720192</v></cell><cell r="AE6021" t="str"><v>Facebook</v></cell><cell r="AF6021"><v>3654128</v></cell><cell r="AG6021" t="str"><v>Facebook»AZR»1x1»SocialBan»NA»ALL»DYN»AUT»D»All»SS»NA»Free Acc Refresh - T3 - EN</v></cell><cell r="AH6021"><v>223691807</v></cell><cell r="AI6021" t="str"><v>AzurePlatform_FreeAcctAppsFACEBOOKIllustrationChC_CAN_1200x628_SOC_PLAT_EN_Trial_Standard_NA_SU_T3_1.png</v></cell><cell r="AJ6021"><v>102900685</v></cell></row><row r="6022"><cell r="C6022" t="str"><v>43325Facebook»AZR»1x1»SocialBan»NA»ALL»DYN»AUT»D»All»SS»NA»Free Acc Refresh - T3 - FR</v></cell><cell r="D6022" t="str"><v>43325223691765</v></cell><cell r="E6022" t="str"><v>433251030533323 - FR</v></cell><cell r="F6022" t="str"><v>DCM</v></cell><cell r="G6022" t="str"><v>https://azure.microsoft.com/fr-ca/free/search/</v></cell></row><row r="6022"><cell r="K6022" t="str"><v>August</v></cell><cell r="L6022"><v>43330</v></cell><cell r="M6022" t="str"><v>Tier 1</v></cell><cell r="N6022" t="str"><v>North America</v></cell><cell r="O6022" t="str"><v>Canada</v></cell><cell r="P6022" t="str"><v>Trial</v></cell><cell r="Q6022" t="str"><v>Social</v></cell><cell r="R6022" t="str"><v>Azure</v></cell><cell r="S6022" t="str"><v>Apps & Infra</v></cell><cell r="T6022" t="str"><v>Developers & ITI's</v></cell><cell r="U6022" t="str"><v>AZR</v></cell><cell r="V6022" t="str"><v>Audience Targeting</v></cell><cell r="W6022" t="str"><v>NotApplicable</v></cell><cell r="X6022" t="str"><v>1x1</v></cell></row><row r="6022"><cell r="AA6022"><v>43325</v></cell><cell r="AB6022" t="str"><v>CAN_gaPMG_AZR_AZR_Q1_19_Trial-Social</v></cell><cell r="AC6022"><v>21337220</v></cell><cell r="AD6022"><v>720192</v></cell><cell r="AE6022" t="str"><v>Facebook</v></cell><cell r="AF6022"><v>3654128</v></cell><cell r="AG6022" t="str"><v>Facebook»AZR»1x1»SocialBan»NA»ALL»DYN»AUT»D»All»SS»NA»Free Acc Refresh - T3 - FR</v></cell><cell r="AH6022"><v>223691765</v></cell><cell r="AI6022" t="str"><v>AzurePlatform_FreeAcctAppsFACEBOOKIllustrationChC_CAN_1200x628_SOC_PLAT_FR_Trial_Standard_NA_SU_T3_1.png</v></cell><cell r="AJ6022"><v>103053332</v></cell></row><row r="6023"><cell r="C6023" t="str"><v>43325Facebook»AZR»1x1»SocialBan»NA»ALL»DYN»AUT»D»All»SS»NA»Free Acc Refresh - T4 - EN</v></cell><cell r="D6023" t="str"><v>43325223691813</v></cell><cell r="E6023" t="str"><v>433251030533204 - EN</v></cell><cell r="F6023" t="str"><v>DCM</v></cell><cell r="G6023" t="str"><v>https://azure.microsoft.com/en-CA/free/search/</v></cell></row><row r="6023"><cell r="K6023" t="str"><v>August</v></cell><cell r="L6023"><v>43330</v></cell><cell r="M6023" t="str"><v>Tier 1</v></cell><cell r="N6023" t="str"><v>North America</v></cell><cell r="O6023" t="str"><v>Canada</v></cell><cell r="P6023" t="str"><v>Trial</v></cell><cell r="Q6023" t="str"><v>Social</v></cell><cell r="R6023" t="str"><v>Azure</v></cell><cell r="S6023" t="str"><v>Apps & Infra</v></cell><cell r="T6023" t="str"><v>Developers & ITI's</v></cell><cell r="U6023" t="str"><v>AZR</v></cell><cell r="V6023" t="str"><v>Audience Targeting</v></cell><cell r="W6023" t="str"><v>NotApplicable</v></cell><cell r="X6023" t="str"><v>1x1</v></cell></row><row r="6023"><cell r="AA6023"><v>43325</v></cell><cell r="AB6023" t="str"><v>CAN_gaPMG_AZR_AZR_Q1_19_Trial-Social</v></cell><cell r="AC6023"><v>21337220</v></cell><cell r="AD6023"><v>720192</v></cell><cell r="AE6023" t="str"><v>Facebook</v></cell><cell r="AF6023"><v>3654128</v></cell><cell r="AG6023" t="str"><v>Facebook»AZR»1x1»SocialBan»NA»ALL»DYN»AUT»D»All»SS»NA»Free Acc Refresh - T4 - EN</v></cell><cell r="AH6023"><v>223691813</v></cell><cell r="AI6023" t="str"><v>AzurePlatform_FreeAcctAppsFACEBOOK200CreditChD_CAN_1200x628_SOC_PLAT_EN_Trial_Standard_NA_SU_T4_1.png</v></cell><cell r="AJ6023"><v>103053320</v></cell></row><row r="6024"><cell r="C6024" t="str"><v>43325Facebook»AZR»1x1»SocialBan»NA»ALL»DYN»AUT»D»All»SS»NA»Free Acc Refresh - T5 - EN</v></cell><cell r="D6024" t="str"><v>43325223691816</v></cell><cell r="E6024" t="str"><v>433251029163415 - EN</v></cell><cell r="F6024" t="str"><v>DCM</v></cell><cell r="G6024" t="str"><v>https://azure.microsoft.com/en-CA/free/search/</v></cell></row><row r="6024"><cell r="K6024" t="str"><v>August</v></cell><cell r="L6024"><v>43330</v></cell><cell r="M6024" t="str"><v>Tier 1</v></cell><cell r="N6024" t="str"><v>North America</v></cell><cell r="O6024" t="str"><v>Canada</v></cell><cell r="P6024" t="str"><v>Trial</v></cell><cell r="Q6024" t="str"><v>Social</v></cell><cell r="R6024" t="str"><v>Azure</v></cell><cell r="S6024" t="str"><v>Apps & Infra</v></cell><cell r="T6024" t="str"><v>Developers & ITI's</v></cell><cell r="U6024" t="str"><v>AZR</v></cell><cell r="V6024" t="str"><v>Audience Targeting</v></cell><cell r="W6024" t="str"><v>NotApplicable</v></cell><cell r="X6024" t="str"><v>1x1</v></cell></row><row r="6024"><cell r="AA6024"><v>43325</v></cell><cell r="AB6024" t="str"><v>CAN_gaPMG_AZR_AZR_Q1_19_Trial-Social</v></cell><cell r="AC6024"><v>21337220</v></cell><cell r="AD6024"><v>720192</v></cell><cell r="AE6024" t="str"><v>Facebook</v></cell><cell r="AF6024"><v>3654128</v></cell><cell r="AG6024" t="str"><v>Facebook»AZR»1x1»SocialBan»NA»ALL»DYN»AUT»D»All»SS»NA»Free Acc Refresh - T5 - EN</v></cell><cell r="AH6024"><v>223691816</v></cell><cell r="AI6024" t="str"><v>AzurePlatform_FreeAcctAppsFACEBOOK12monthsChE_CAN_1200x628_SOC_PLAT_EN_Trial_Standard_NA_SU_T5_1.png</v></cell><cell r="AJ6024"><v>102916341</v></cell></row><row r="6025"><cell r="C6025" t="str"><v>43325Facebook»AZR»1x1»SocialBan»NA»ALL»DYN»AUT»D»All»SS»NA»Free Acc Refresh - T5 - FR</v></cell><cell r="D6025" t="str"><v>43325223691774</v></cell><cell r="E6025" t="str"><v>433251029163565 - FR</v></cell><cell r="F6025" t="str"><v>DCM</v></cell><cell r="G6025" t="str"><v>https://azure.microsoft.com/fr-ca/free/search/</v></cell></row><row r="6025"><cell r="K6025" t="str"><v>August</v></cell><cell r="L6025"><v>43330</v></cell><cell r="M6025" t="str"><v>Tier 1</v></cell><cell r="N6025" t="str"><v>North America</v></cell><cell r="O6025" t="str"><v>Canada</v></cell><cell r="P6025" t="str"><v>Trial</v></cell><cell r="Q6025" t="str"><v>Social</v></cell><cell r="R6025" t="str"><v>Azure</v></cell><cell r="S6025" t="str"><v>Apps & Infra</v></cell><cell r="T6025" t="str"><v>Developers & ITI's</v></cell><cell r="U6025" t="str"><v>AZR</v></cell><cell r="V6025" t="str"><v>Audience Targeting</v></cell><cell r="W6025" t="str"><v>NotApplicable</v></cell><cell r="X6025" t="str"><v>1x1</v></cell></row><row r="6025"><cell r="AA6025"><v>43325</v></cell><cell r="AB6025" t="str"><v>CAN_gaPMG_AZR_AZR_Q1_19_Trial-Social</v></cell><cell r="AC6025"><v>21337220</v></cell><cell r="AD6025"><v>720192</v></cell><cell r="AE6025" t="str"><v>Facebook</v></cell><cell r="AF6025"><v>3654128</v></cell><cell r="AG6025" t="str"><v>Facebook»AZR»1x1»SocialBan»NA»ALL»DYN»AUT»D»All»SS»NA»Free Acc Refresh - T5 - FR</v></cell><cell r="AH6025"><v>223691774</v></cell><cell r="AI6025" t="str"><v>AzurePlatform_FreeAcctAppsFACEBOOK12monthsChE_CAN_1200x628_SOC_PLAT_FR_Trial_Standard_NA_SU_T5_1.png</v></cell><cell r="AJ6025"><v>102916356</v></cell></row><row r="6026"><cell r="C6026" t="str"><v>43325Facebook»AZR»1x1»SocialBan»NA»ALL»DYN»RT»D»All»SS»NA» Free Account Retargeting OSS - T2 - EN</v></cell><cell r="D6026" t="str"><v>43325223691831</v></cell><cell r="E6026" t="str"><v>433251029138002 - EN</v></cell><cell r="F6026" t="str"><v>DCM</v></cell><cell r="G6026" t="str"><v>https://azure.microsoft.com/en-ca/free/open-source/search/</v></cell></row><row r="6026"><cell r="K6026" t="str"><v>August</v></cell><cell r="L6026"><v>43330</v></cell><cell r="M6026" t="str"><v>Tier 1</v></cell><cell r="N6026" t="str"><v>North America</v></cell><cell r="O6026" t="str"><v>Canada</v></cell><cell r="P6026" t="str"><v>Trial</v></cell><cell r="Q6026" t="str"><v>Social</v></cell><cell r="R6026" t="str"><v>Azure</v></cell><cell r="S6026" t="str"><v>Apps & Infra</v></cell><cell r="T6026" t="str"><v>Developers & ITI's</v></cell><cell r="U6026" t="str"><v>AZR</v></cell><cell r="V6026" t="str"><v>Retargeting</v></cell><cell r="W6026" t="str"><v>NotApplicable</v></cell><cell r="X6026" t="str"><v>1x1</v></cell></row><row r="6026"><cell r="AA6026"><v>43325</v></cell><cell r="AB6026" t="str"><v>CAN_gaPMG_AZR_AZR_Q1_19_Trial-Social</v></cell><cell r="AC6026"><v>21337220</v></cell><cell r="AD6026"><v>720192</v></cell><cell r="AE6026" t="str"><v>Facebook</v></cell><cell r="AF6026"><v>3654128</v></cell><cell r="AG6026" t="str"><v>Facebook»AZR»1x1»SocialBan»NA»ALL»DYN»RT»D»All»SS»NA» Free Account Retargeting OSS - T2 - EN</v></cell><cell r="AH6026"><v>223691831</v></cell><cell r="AI6026" t="str"><v>AzurePlatform_FreeAcctRetargetingOSSFB-Logos-ChG_CAN_1200x628_SOC_Plat_EN_Free Account_Standard_NA_SU_T2_1</v></cell><cell r="AJ6026"><v>102913800</v></cell></row><row r="6027"><cell r="C6027" t="str"><v>43325Facebook»AZR»1x1»SocialBan»NA»ALL»DYN»RT»D»All»SS»NA» Free Account Retargeting OSS - T2 - FR</v></cell><cell r="D6027" t="str"><v>43325223691789</v></cell><cell r="E6027" t="str"><v>433251029006912 - FR</v></cell><cell r="F6027" t="str"><v>DCM</v></cell><cell r="G6027" t="str"><v>https://azure.microsoft.com/fr-ca/free/open-source/search/</v></cell></row><row r="6027"><cell r="K6027" t="str"><v>August</v></cell><cell r="L6027"><v>43330</v></cell><cell r="M6027" t="str"><v>Tier 1</v></cell><cell r="N6027" t="str"><v>North America</v></cell><cell r="O6027" t="str"><v>Canada</v></cell><cell r="P6027" t="str"><v>Trial</v></cell><cell r="Q6027" t="str"><v>Social</v></cell><cell r="R6027" t="str"><v>Azure</v></cell><cell r="S6027" t="str"><v>Apps & Infra</v></cell><cell r="T6027" t="str"><v>Developers & ITI's</v></cell><cell r="U6027" t="str"><v>AZR</v></cell><cell r="V6027" t="str"><v>Retargeting</v></cell><cell r="W6027" t="str"><v>NotApplicable</v></cell><cell r="X6027" t="str"><v>1x1</v></cell></row><row r="6027"><cell r="AA6027"><v>43325</v></cell><cell r="AB6027" t="str"><v>CAN_gaPMG_AZR_AZR_Q1_19_Trial-Social</v></cell><cell r="AC6027"><v>21337220</v></cell><cell r="AD6027"><v>720192</v></cell><cell r="AE6027" t="str"><v>Facebook</v></cell><cell r="AF6027"><v>3654128</v></cell><cell r="AG6027" t="str"><v>Facebook»AZR»1x1»SocialBan»NA»ALL»DYN»RT»D»All»SS»NA» Free Account Retargeting OSS - T2 - FR</v></cell><cell r="AH6027"><v>223691789</v></cell><cell r="AI6027" t="str"><v>AzurePlatform_FreeAcctRetargetingOSSFB-Logos-ChG_CAN_1200x628_SOC_Plat_FR_Free Account_Standard_NA_SU_T2_1</v></cell><cell r="AJ6027"><v>102900691</v></cell></row><row r="6028"><cell r="C6028" t="str"><v>43325Facebook»AZR»1x1»SocialBan»NA»ALL»DYN»RT»D»All»SS»NA»Free Account Retargeting Generic - T2 - EN</v></cell><cell r="D6028" t="str"><v>43325223691834</v></cell><cell r="E6028" t="str"><v>433251029029532 - EN</v></cell><cell r="F6028" t="str"><v>DCM</v></cell><cell r="G6028" t="str"><v>https://azure.microsoft.com/en-CA/free/search/</v></cell></row><row r="6028"><cell r="K6028" t="str"><v>August</v></cell><cell r="L6028"><v>43330</v></cell><cell r="M6028" t="str"><v>Tier 1</v></cell><cell r="N6028" t="str"><v>North America</v></cell><cell r="O6028" t="str"><v>Canada</v></cell><cell r="P6028" t="str"><v>Trial</v></cell><cell r="Q6028" t="str"><v>Social</v></cell><cell r="R6028" t="str"><v>Azure</v></cell><cell r="S6028" t="str"><v>Apps & Infra</v></cell><cell r="T6028" t="str"><v>Developers & ITI's</v></cell><cell r="U6028" t="str"><v>AZR</v></cell><cell r="V6028" t="str"><v>Retargeting</v></cell><cell r="W6028" t="str"><v>NotApplicable</v></cell><cell r="X6028" t="str"><v>1x1</v></cell></row><row r="6028"><cell r="AA6028"><v>43325</v></cell><cell r="AB6028" t="str"><v>CAN_gaPMG_AZR_AZR_Q1_19_Trial-Social</v></cell><cell r="AC6028"><v>21337220</v></cell><cell r="AD6028"><v>720192</v></cell><cell r="AE6028" t="str"><v>Facebook</v></cell><cell r="AF6028"><v>3654128</v></cell><cell r="AG6028" t="str"><v>Facebook»AZR»1x1»SocialBan»NA»ALL»DYN»RT»D»All»SS»NA»Free Account Retargeting Generic - T2 - EN</v></cell><cell r="AH6028"><v>223691834</v></cell><cell r="AI6028" t="str"><v>AzurePlatform_FreeAcctRetargetingFB-GlobalAlt-ChB_CAN_1200x628_SOC_Plat_EN_Free Account_Standard_NA_SU_T2_1</v></cell><cell r="AJ6028"><v>102902953</v></cell></row><row r="6029"><cell r="C6029" t="str"><v>43325Facebook»AZR»1x1»SocialBan»NA»ALL»DYN»RT»D»All»SS»NA»Free Account Retargeting Generic - T3 - FR</v></cell><cell r="D6029" t="str"><v>43325223691777</v></cell><cell r="E6029" t="str"><v>433251029006973 - FR</v></cell><cell r="F6029" t="str"><v>DCM</v></cell><cell r="G6029" t="str"><v>https://azure.microsoft.com/fr-ca/free/search/</v></cell></row><row r="6029"><cell r="K6029" t="str"><v>August</v></cell><cell r="L6029"><v>43330</v></cell><cell r="M6029" t="str"><v>Tier 1</v></cell><cell r="N6029" t="str"><v>North America</v></cell><cell r="O6029" t="str"><v>Canada</v></cell><cell r="P6029" t="str"><v>Trial</v></cell><cell r="Q6029" t="str"><v>Social</v></cell><cell r="R6029" t="str"><v>Azure</v></cell><cell r="S6029" t="str"><v>Apps & Infra</v></cell><cell r="T6029" t="str"><v>Developers & ITI's</v></cell><cell r="U6029" t="str"><v>AZR</v></cell><cell r="V6029" t="str"><v>Retargeting</v></cell><cell r="W6029" t="str"><v>NotApplicable</v></cell><cell r="X6029" t="str"><v>1x1</v></cell></row><row r="6029"><cell r="AA6029"><v>43325</v></cell><cell r="AB6029" t="str"><v>CAN_gaPMG_AZR_AZR_Q1_19_Trial-Social</v></cell><cell r="AC6029"><v>21337220</v></cell><cell r="AD6029"><v>720192</v></cell><cell r="AE6029" t="str"><v>Facebook</v></cell><cell r="AF6029"><v>3654128</v></cell><cell r="AG6029" t="str"><v>Facebook»AZR»1x1»SocialBan»NA»ALL»DYN»RT»D»All»SS»NA»Free Account Retargeting Generic - T3 - FR</v></cell><cell r="AH6029"><v>223691777</v></cell><cell r="AI6029" t="str"><v>AzurePlatform_FreeAcctRetargetingFB-Animated-ChC_CAN_1200x628_SOC_Plat_FR_Free Account_Standard_ANI_SU_T3_1</v></cell><cell r="AJ6029"><v>102900697</v></cell></row><row r="6030"><cell r="C6030" t="str"><v>43325Facebook»AZR»1x1»SocialBan»NA»ALL»DYN»RT»D»All»SS»NA»Free Account Retargeting VM - T1 - EN</v></cell><cell r="D6030" t="str"><v>43325223691825</v></cell><cell r="E6030" t="str"><v>433251029163381 - EN</v></cell><cell r="F6030" t="str"><v>DCM</v></cell><cell r="G6030" t="str"><v>https://azure.microsoft.com/en-ca/free/virtual-machines/search/</v></cell></row><row r="6030"><cell r="K6030" t="str"><v>August</v></cell><cell r="L6030"><v>43330</v></cell><cell r="M6030" t="str"><v>Tier 1</v></cell><cell r="N6030" t="str"><v>North America</v></cell><cell r="O6030" t="str"><v>Canada</v></cell><cell r="P6030" t="str"><v>Trial</v></cell><cell r="Q6030" t="str"><v>Social</v></cell><cell r="R6030" t="str"><v>Azure</v></cell><cell r="S6030" t="str"><v>Apps & Infra</v></cell><cell r="T6030" t="str"><v>Developers & ITI's</v></cell><cell r="U6030" t="str"><v>AZR</v></cell><cell r="V6030" t="str"><v>Retargeting</v></cell><cell r="W6030" t="str"><v>NotApplicable</v></cell><cell r="X6030" t="str"><v>1x1</v></cell></row><row r="6030"><cell r="AA6030"><v>43325</v></cell><cell r="AB6030" t="str"><v>CAN_gaPMG_AZR_AZR_Q1_19_Trial-Social</v></cell><cell r="AC6030"><v>21337220</v></cell><cell r="AD6030"><v>720192</v></cell><cell r="AE6030" t="str"><v>Facebook</v></cell><cell r="AF6030"><v>3654128</v></cell><cell r="AG6030" t="str"><v>Facebook»AZR»1x1»SocialBan»NA»ALL»DYN»RT»D»All»SS»NA»Free Account Retargeting VM - T1 - EN</v></cell><cell r="AH6030"><v>223691825</v></cell><cell r="AI6030" t="str"><v>AzurePlatform_FreeAcctRetargetingVMFB-750Hrs-ChD_CAN_1200x628_SOC_Plat_EN_Free Account_Standard_NA_SU_T1_1</v></cell><cell r="AJ6030"><v>102916338</v></cell></row><row r="6031"><cell r="C6031" t="str"><v>43325Facebook»AZR»1x1»SocialBan»NA»ALL»DYN»RT»D»All»SS»NA»Free Account Retargeting VM - T1 - FR</v></cell><cell r="D6031" t="str"><v>43325223691783</v></cell><cell r="E6031" t="str"><v>433251030587231 - FR</v></cell><cell r="F6031" t="str"><v>DCM</v></cell><cell r="G6031" t="str"><v>https://azure.microsoft.com/fr-ca/free/virtual-machines/search/</v></cell></row><row r="6031"><cell r="K6031" t="str"><v>August</v></cell><cell r="L6031"><v>43330</v></cell><cell r="M6031" t="str"><v>Tier 1</v></cell><cell r="N6031" t="str"><v>North America</v></cell><cell r="O6031" t="str"><v>Canada</v></cell><cell r="P6031" t="str"><v>Trial</v></cell><cell r="Q6031" t="str"><v>Social</v></cell><cell r="R6031" t="str"><v>Azure</v></cell><cell r="S6031" t="str"><v>Apps & Infra</v></cell><cell r="T6031" t="str"><v>Developers & ITI's</v></cell><cell r="U6031" t="str"><v>AZR</v></cell><cell r="V6031" t="str"><v>Retargeting</v></cell><cell r="W6031" t="str"><v>NotApplicable</v></cell><cell r="X6031" t="str"><v>1x1</v></cell></row><row r="6031"><cell r="AA6031"><v>43325</v></cell><cell r="AB6031" t="str"><v>CAN_gaPMG_AZR_AZR_Q1_19_Trial-Social</v></cell><cell r="AC6031"><v>21337220</v></cell><cell r="AD6031"><v>720192</v></cell><cell r="AE6031" t="str"><v>Facebook</v></cell><cell r="AF6031"><v>3654128</v></cell><cell r="AG6031" t="str"><v>Facebook»AZR»1x1»SocialBan»NA»ALL»DYN»RT»D»All»SS»NA»Free Account Retargeting VM - T1 - FR</v></cell><cell r="AH6031"><v>223691783</v></cell><cell r="AI6031" t="str"><v>AzurePlatform_FreeAcctRetargetingVMFB-750Hrs-ChD_CAN_1200x628_SOC_Plat_FR_Free Account_Standard_NA_SU_T1_1</v></cell><cell r="AJ6031"><v>103058723</v></cell></row><row r="6032"><cell r="C6032" t="str"><v>43325Facebook»AZR»1x1»SocialBan»NA»ALL»DYN»RT»D»All»SS»NA»Free Account Retargeting VM - T2 - EN</v></cell><cell r="D6032" t="str"><v>43325223691822</v></cell><cell r="E6032" t="str"><v>433251030587082 - EN</v></cell><cell r="F6032" t="str"><v>DCM</v></cell><cell r="G6032" t="str"><v>https://azure.microsoft.com/en-ca/free/virtual-machines/search/</v></cell></row><row r="6032"><cell r="K6032" t="str"><v>August</v></cell><cell r="L6032"><v>43330</v></cell><cell r="M6032" t="str"><v>Tier 1</v></cell><cell r="N6032" t="str"><v>North America</v></cell><cell r="O6032" t="str"><v>Canada</v></cell><cell r="P6032" t="str"><v>Trial</v></cell><cell r="Q6032" t="str"><v>Social</v></cell><cell r="R6032" t="str"><v>Azure</v></cell><cell r="S6032" t="str"><v>Apps & Infra</v></cell><cell r="T6032" t="str"><v>Developers & ITI's</v></cell><cell r="U6032" t="str"><v>AZR</v></cell><cell r="V6032" t="str"><v>Retargeting</v></cell><cell r="W6032" t="str"><v>NotApplicable</v></cell><cell r="X6032" t="str"><v>1x1</v></cell></row><row r="6032"><cell r="AA6032"><v>43325</v></cell><cell r="AB6032" t="str"><v>CAN_gaPMG_AZR_AZR_Q1_19_Trial-Social</v></cell><cell r="AC6032"><v>21337220</v></cell><cell r="AD6032"><v>720192</v></cell><cell r="AE6032" t="str"><v>Facebook</v></cell><cell r="AF6032"><v>3654128</v></cell><cell r="AG6032" t="str"><v>Facebook»AZR»1x1»SocialBan»NA»ALL»DYN»RT»D»All»SS»NA»Free Account Retargeting VM - T2 - EN</v></cell><cell r="AH6032"><v>223691822</v></cell><cell r="AI6032" t="str"><v>AzurePlatform_FreeAcctRetargetingVMFB-OnDemand-ChE_CAN_1200x628_SOC_Plat_EN_Free Account_Standard_NA_SU_T2_1</v></cell><cell r="AJ6032"><v>103058708</v></cell></row><row r="6033"><cell r="C6033" t="str"><v>43325Facebook»AZR»1x1»SocialBan»NA»ALL»DYN»RT»D»All»SS»NA»Free Account Retargeting VM - T2 - FR</v></cell><cell r="D6033" t="str"><v>43325223691780</v></cell><cell r="E6033" t="str"><v>433251030587262 - FR</v></cell><cell r="F6033" t="str"><v>DCM</v></cell><cell r="G6033" t="str"><v>https://azure.microsoft.com/fr-ca/free/virtual-machines/search/</v></cell></row><row r="6033"><cell r="K6033" t="str"><v>August</v></cell><cell r="L6033"><v>43330</v></cell><cell r="M6033" t="str"><v>Tier 1</v></cell><cell r="N6033" t="str"><v>North America</v></cell><cell r="O6033" t="str"><v>Canada</v></cell><cell r="P6033" t="str"><v>Trial</v></cell><cell r="Q6033" t="str"><v>Social</v></cell><cell r="R6033" t="str"><v>Azure</v></cell><cell r="S6033" t="str"><v>Apps & Infra</v></cell><cell r="T6033" t="str"><v>Developers & ITI's</v></cell><cell r="U6033" t="str"><v>AZR</v></cell><cell r="V6033" t="str"><v>Retargeting</v></cell><cell r="W6033" t="str"><v>NotApplicable</v></cell><cell r="X6033" t="str"><v>1x1</v></cell></row><row r="6033"><cell r="AA6033"><v>43325</v></cell><cell r="AB6033" t="str"><v>CAN_gaPMG_AZR_AZR_Q1_19_Trial-Social</v></cell><cell r="AC6033"><v>21337220</v></cell><cell r="AD6033"><v>720192</v></cell><cell r="AE6033" t="str"><v>Facebook</v></cell><cell r="AF6033"><v>3654128</v></cell><cell r="AG6033" t="str"><v>Facebook»AZR»1x1»SocialBan»NA»ALL»DYN»RT»D»All»SS»NA»Free Account Retargeting VM - T2 - FR</v></cell><cell r="AH6033"><v>223691780</v></cell><cell r="AI6033" t="str"><v>AzurePlatform_FreeAcctRetargetingVMFB-OnDemand-ChE_CAN_1200x628_SOC_Plat_FR_Free Account_Standard_NA_SU_T2_1</v></cell><cell r="AJ6033"><v>103058726</v></cell></row><row r="6034"><cell r="C6034" t="str"><v>43325Facebook»DEV-ITP-AZR-FB|CanvasAds|Interesttargeting»1x1»TextLink»CAN»DT»CPM»AUT»W»NA»SS»NA»39684020-11000</v></cell><cell r="D6034" t="str"><v>43325224009494</v></cell><cell r="E6034" t="str"><v>43325103236186-11000</v></cell><cell r="F6034" t="str"><v>DCM</v></cell><cell r="G6034" t="str"><v>https://signup.azure.com/signup?offer=ms-azr-0044p&appId=102&ref=paidmedia-social-fb&redirectURL=https%3a%2f%2fazure.microsoft.com%2fde-de%2fget-started%2fwelcome-to-azure%2f&l=de-de&correlationId=ead86c34-1f10-49dd-a72b-6918462a2cbf</v></cell></row><row r="6034"><cell r="K6034" t="str"><v>August</v></cell><cell r="L6034"><v>43330</v></cell><cell r="M6034" t="str"><v>Tier 1</v></cell><cell r="N6034" t="str"><v>EMEA</v></cell><cell r="O6034" t="str"><v>Germany</v></cell><cell r="P6034" t="str"><v>Trial</v></cell><cell r="Q6034" t="str"><v>Social</v></cell><cell r="R6034" t="str"><v>Azure</v></cell><cell r="S6034" t="str"><v>Apps & Infra</v></cell><cell r="T6034" t="str"><v>Developers & ITI's</v></cell><cell r="U6034" t="str"><v>DEV-ITP-AZR-FB|CanvasAds|Interesttargeting</v></cell><cell r="V6034" t="str"><v>Audience Targeting</v></cell><cell r="W6034" t="str"><v>Canvas Ad</v></cell><cell r="X6034" t="str"><v>1x1</v></cell></row><row r="6034"><cell r="AA6034"><v>43325</v></cell><cell r="AB6034" t="str"><v>DEU_gaPMG_AZR_AZR_Q1_19_Trial-Social- 39684</v></cell><cell r="AC6034"><v>21359477</v></cell><cell r="AD6034"><v>720194</v></cell><cell r="AE6034" t="str"><v>Facebook</v></cell><cell r="AF6034"><v>3654128</v></cell><cell r="AG6034" t="str"><v>Facebook»DEV-ITP-AZR-FB|CanvasAds|Interesttargeting»1x1»TextLink»CAN»DT»CPM»AUT»W»NA»SS»NA»39684020-11000</v></cell><cell r="AH6034"><v>224009494</v></cell><cell r="AI6034" t="str"><v>AzurePlatform_FBCTCBasicMotion-StartFreeCT_DEU_10s_ISV_PLAT_DE_Trial_Standard_STAN_TN_T1_1</v></cell><cell r="AJ6034"><v>103236186</v></cell></row><row r="6035"><cell r="C6035" t="str"><v>43325Facebook»DEV-ITP-AZR-FB|CanvasAds|Interesttargeting»1x1»TextLink»CAN»DT»CPM»AUT»W»NA»SS»NA»39684020-11000</v></cell><cell r="D6035" t="str"><v>43325224009494</v></cell><cell r="E6035" t="str"><v>43325103237290-11000</v></cell><cell r="F6035" t="str"><v>DCM</v></cell><cell r="G6035" t="str"><v>https://signup.azure.com/signup?offer=ms-azr-0044p&appId=102&ref=paidmedia-social-fb&redirectURL=https%3a%2f%2fazure.microsoft.com%2fde-de%2fget-started%2fwelcome-to-azure%2f&l=de-de&correlationId=ead86c34-1f10-49dd-a72b-6918462a2cbf</v></cell></row><row r="6035"><cell r="K6035" t="str"><v>August</v></cell><cell r="L6035"><v>43330</v></cell><cell r="M6035" t="str"><v>Tier 1</v></cell><cell r="N6035" t="str"><v>EMEA</v></cell><cell r="O6035" t="str"><v>Germany</v></cell><cell r="P6035" t="str"><v>Trial</v></cell><cell r="Q6035" t="str"><v>Social</v></cell><cell r="R6035" t="str"><v>Azure</v></cell><cell r="S6035" t="str"><v>Apps & Infra</v></cell><cell r="T6035" t="str"><v>Developers & ITI's</v></cell><cell r="U6035" t="str"><v>DEV-ITP-AZR-FB|CanvasAds|Interesttargeting</v></cell><cell r="V6035" t="str"><v>Audience Targeting</v></cell><cell r="W6035" t="str"><v>Canvas Ad</v></cell><cell r="X6035" t="str"><v>1x1</v></cell></row><row r="6035"><cell r="AA6035"><v>43325</v></cell><cell r="AB6035" t="str"><v>DEU_gaPMG_AZR_AZR_Q1_19_Trial-Social- 39684</v></cell><cell r="AC6035"><v>21359477</v></cell><cell r="AD6035"><v>720194</v></cell><cell r="AE6035" t="str"><v>Facebook</v></cell><cell r="AF6035"><v>3654128</v></cell><cell r="AG6035" t="str"><v>Facebook»DEV-ITP-AZR-FB|CanvasAds|Interesttargeting»1x1»TextLink»CAN»DT»CPM»AUT»W»NA»SS»NA»39684020-11000</v></cell><cell r="AH6035"><v>224009494</v></cell><cell r="AI6035" t="str"><v>AzurePlatform_FBCTCBenefit2inMotion-StartFreeCT_DEU_14s_ISV_PLAT_DE_Trial_Standard_STAN_TN_T4_1</v></cell><cell r="AJ6035"><v>103237290</v></cell></row><row r="6036"><cell r="C6036" t="str"><v>43325Facebook»DEV-ITP-AZR-FB|CanvasAds|Interesttargeting»1x1»TextLink»CAN»DT»CPM»AUT»W»NA»SS»NA»39684020-11000</v></cell><cell r="D6036" t="str"><v>43325224009494</v></cell><cell r="E6036" t="str"><v>43325103350059-11000</v></cell><cell r="F6036" t="str"><v>DCM</v></cell><cell r="G6036" t="str"><v>https://azure.microsoft.com/de-de/pricing/purchase-options/</v></cell></row><row r="6036"><cell r="K6036" t="str"><v>August</v></cell><cell r="L6036"><v>43330</v></cell><cell r="M6036" t="str"><v>Tier 1</v></cell><cell r="N6036" t="str"><v>EMEA</v></cell><cell r="O6036" t="str"><v>Germany</v></cell><cell r="P6036" t="str"><v>Trial</v></cell><cell r="Q6036" t="str"><v>Social</v></cell><cell r="R6036" t="str"><v>Azure</v></cell><cell r="S6036" t="str"><v>Apps & Infra</v></cell><cell r="T6036" t="str"><v>Developers & ITI's</v></cell><cell r="U6036" t="str"><v>DEV-ITP-AZR-FB|CanvasAds|Interesttargeting</v></cell><cell r="V6036" t="str"><v>Audience Targeting</v></cell><cell r="W6036" t="str"><v>Canvas Ad</v></cell><cell r="X6036" t="str"><v>1x1</v></cell></row><row r="6036"><cell r="AA6036"><v>43325</v></cell><cell r="AB6036" t="str"><v>DEU_gaPMG_AZR_AZR_Q1_19_Trial-Social- 39684</v></cell><cell r="AC6036"><v>21359477</v></cell><cell r="AD6036"><v>720194</v></cell><cell r="AE6036" t="str"><v>Facebook</v></cell><cell r="AF6036"><v>3654128</v></cell><cell r="AG6036" t="str"><v>Facebook»DEV-ITP-AZR-FB|CanvasAds|Interesttargeting»1x1»TextLink»CAN»DT»CPM»AUT»W»NA»SS»NA»39684020-11000</v></cell><cell r="AH6036"><v>224009494</v></cell><cell r="AI6036" t="str"><v>AzurePlatform_FBCTCBrandinMotion-BuyNow_DEU_12s_ISV_PLAT_DE_Trial_Standard_STAN_TN_T2_1</v></cell><cell r="AJ6036"><v>103350059</v></cell></row><row r="6037"><cell r="C6037" t="str"><v>43325Facebook»DEV-ITP-AZR-FB|CanvasAds|Interesttargeting»1x1»TextLink»CAN»DT»CPM»AUT»W»NA»SS»NA»39684020-11000</v></cell><cell r="D6037" t="str"><v>43325224009494</v></cell><cell r="E6037" t="str"><v>43325103237293-11000</v></cell><cell r="F6037" t="str"><v>DCM</v></cell><cell r="G6037" t="str"><v>https://signup.azure.com/signup?offer=ms-azr-0044p&appId=102&ref=paidmedia-social-fb&redirectURL=https%3a%2f%2fazure.microsoft.com%2fde-de%2fget-started%2fwelcome-to-azure%2f&l=de-de&correlationId=ead86c34-1f10-49dd-a72b-6918462a2cbf</v></cell></row><row r="6037"><cell r="K6037" t="str"><v>August</v></cell><cell r="L6037"><v>43330</v></cell><cell r="M6037" t="str"><v>Tier 1</v></cell><cell r="N6037" t="str"><v>EMEA</v></cell><cell r="O6037" t="str"><v>Germany</v></cell><cell r="P6037" t="str"><v>Trial</v></cell><cell r="Q6037" t="str"><v>Social</v></cell><cell r="R6037" t="str"><v>Azure</v></cell><cell r="S6037" t="str"><v>Apps & Infra</v></cell><cell r="T6037" t="str"><v>Developers & ITI's</v></cell><cell r="U6037" t="str"><v>DEV-ITP-AZR-FB|CanvasAds|Interesttargeting</v></cell><cell r="V6037" t="str"><v>Audience Targeting</v></cell><cell r="W6037" t="str"><v>Canvas Ad</v></cell><cell r="X6037" t="str"><v>1x1</v></cell></row><row r="6037"><cell r="AA6037"><v>43325</v></cell><cell r="AB6037" t="str"><v>DEU_gaPMG_AZR_AZR_Q1_19_Trial-Social- 39684</v></cell><cell r="AC6037"><v>21359477</v></cell><cell r="AD6037"><v>720194</v></cell><cell r="AE6037" t="str"><v>Facebook</v></cell><cell r="AF6037"><v>3654128</v></cell><cell r="AG6037" t="str"><v>Facebook»DEV-ITP-AZR-FB|CanvasAds|Interesttargeting»1x1»TextLink»CAN»DT»CPM»AUT»W»NA»SS»NA»39684020-11000</v></cell><cell r="AH6037"><v>224009494</v></cell><cell r="AI6037" t="str"><v>AzurePlatform_FBCTCBrandinMotion-StartFreeCT_DEU_12s_ISV_PLAT_DE_Trial_Standard_STAN_TN_T2_1</v></cell><cell r="AJ6037"><v>103237293</v></cell></row><row r="6038"><cell r="C6038" t="str"><v>43325Facebook»DEV-ITP-AZR-FB|LinkAd|CustomerAudienceRetargeting»1x1»TextLink»LIA»DT»CPM»RT»W»NA»SS»NA»39684019-11000</v></cell><cell r="D6038" t="str"><v>43325224010415</v></cell><cell r="E6038" t="str"><v>43325103048548-11000</v></cell><cell r="F6038" t="str"><v>DCM</v></cell><cell r="G6038" t="str"><v>https://azure.microsoft.com/de-de/free/search/</v></cell></row><row r="6038"><cell r="K6038" t="str"><v>August</v></cell><cell r="L6038"><v>43330</v></cell><cell r="M6038" t="str"><v>Tier 1</v></cell><cell r="N6038" t="str"><v>EMEA</v></cell><cell r="O6038" t="str"><v>Germany</v></cell><cell r="P6038" t="str"><v>Trial</v></cell><cell r="Q6038" t="str"><v>Social</v></cell><cell r="R6038" t="str"><v>Azure</v></cell><cell r="S6038" t="str"><v>Apps & Infra</v></cell><cell r="T6038" t="str"><v>Developers & ITI's</v></cell><cell r="U6038" t="str"><v>DEV-ITP-AZR-FB|LinkAd|CustomerAudienceRetargeting</v></cell><cell r="V6038" t="str"><v>Retargeting</v></cell><cell r="W6038" t="str"><v>Link Ad</v></cell><cell r="X6038" t="str"><v>1x1</v></cell></row><row r="6038"><cell r="AA6038"><v>43325</v></cell><cell r="AB6038" t="str"><v>DEU_gaPMG_AZR_AZR_Q1_19_Trial-Social- 39684</v></cell><cell r="AC6038"><v>21359477</v></cell><cell r="AD6038"><v>720194</v></cell><cell r="AE6038" t="str"><v>Facebook</v></cell><cell r="AF6038"><v>3654128</v></cell><cell r="AG6038" t="str"><v>Facebook»DEV-ITP-AZR-FB|LinkAd|CustomerAudienceRetargeting»1x1»TextLink»LIA»DT»CPM»RT»W»NA»SS»NA»39684019-11000</v></cell><cell r="AH6038"><v>224010415</v></cell><cell r="AI6038" t="str"><v>AzurePlatform_FreeAcctRetargetingFB-Animated-ChC_DEU_1200x628_SOC_Plat_DE_Free Account_Standard_ANI_SNU_T3_1</v></cell><cell r="AJ6038"><v>103048548</v></cell></row><row r="6039"><cell r="C6039" t="str"><v>43325Facebook»DEV-ITP-AZR-FB|LinkAd|CustomerAudienceRetargeting»1x1»TextLink»LIA»DT»CPM»RT»W»NA»SS»NA»39684019-11000</v></cell><cell r="D6039" t="str"><v>43325224010415</v></cell><cell r="E6039" t="str"><v>43325103040320-11000</v></cell><cell r="F6039" t="str"><v>DCM</v></cell><cell r="G6039" t="str"><v>https://azure.microsoft.com/de-de/free/search/</v></cell></row><row r="6039"><cell r="K6039" t="str"><v>August</v></cell><cell r="L6039"><v>43330</v></cell><cell r="M6039" t="str"><v>Tier 1</v></cell><cell r="N6039" t="str"><v>EMEA</v></cell><cell r="O6039" t="str"><v>Germany</v></cell><cell r="P6039" t="str"><v>Trial</v></cell><cell r="Q6039" t="str"><v>Social</v></cell><cell r="R6039" t="str"><v>Azure</v></cell><cell r="S6039" t="str"><v>Apps & Infra</v></cell><cell r="T6039" t="str"><v>Developers & ITI's</v></cell><cell r="U6039" t="str"><v>DEV-ITP-AZR-FB|LinkAd|CustomerAudienceRetargeting</v></cell><cell r="V6039" t="str"><v>Retargeting</v></cell><cell r="W6039" t="str"><v>Link Ad</v></cell><cell r="X6039" t="str"><v>1x1</v></cell></row><row r="6039"><cell r="AA6039"><v>43325</v></cell><cell r="AB6039" t="str"><v>DEU_gaPMG_AZR_AZR_Q1_19_Trial-Social- 39684</v></cell><cell r="AC6039"><v>21359477</v></cell><cell r="AD6039"><v>720194</v></cell><cell r="AE6039" t="str"><v>Facebook</v></cell><cell r="AF6039"><v>3654128</v></cell><cell r="AG6039" t="str"><v>Facebook»DEV-ITP-AZR-FB|LinkAd|CustomerAudienceRetargeting»1x1»TextLink»LIA»DT»CPM»RT»W»NA»SS»NA»39684019-11000</v></cell><cell r="AH6039"><v>224010415</v></cell><cell r="AI6039" t="str"><v>AzurePlatform_FreeAcctRetargetingFB-GlobalAlt-ChB_DEU_1200x628_SOC_Plat_DE_Free Account_Standard_NA_SNU_T2_1</v></cell><cell r="AJ6039"><v>103040320</v></cell></row><row r="6040"><cell r="C6040" t="str"><v>43325Facebook»DEV-ITP-AZR-FB|LinkAd|CustomerAudienceRetargeting»1x1»TextLink»LIA»DT»CPM»RT»W»NA»SS»NA»39684019-11000</v></cell><cell r="D6040" t="str"><v>43325224010415</v></cell><cell r="E6040" t="str"><v>43325103043329-11000</v></cell><cell r="F6040" t="str"><v>DCM</v></cell><cell r="G6040" t="str"><v>https://azure.microsoft.com/de-de/free/open-source/search/</v></cell></row><row r="6040"><cell r="K6040" t="str"><v>August</v></cell><cell r="L6040"><v>43330</v></cell><cell r="M6040" t="str"><v>Tier 1</v></cell><cell r="N6040" t="str"><v>EMEA</v></cell><cell r="O6040" t="str"><v>Germany</v></cell><cell r="P6040" t="str"><v>Trial</v></cell><cell r="Q6040" t="str"><v>Social</v></cell><cell r="R6040" t="str"><v>Azure</v></cell><cell r="S6040" t="str"><v>Apps & Infra</v></cell><cell r="T6040" t="str"><v>Developers & ITI's</v></cell><cell r="U6040" t="str"><v>DEV-ITP-AZR-FB|LinkAd|CustomerAudienceRetargeting</v></cell><cell r="V6040" t="str"><v>Retargeting</v></cell><cell r="W6040" t="str"><v>Link Ad</v></cell><cell r="X6040" t="str"><v>1x1</v></cell></row><row r="6040"><cell r="AA6040"><v>43325</v></cell><cell r="AB6040" t="str"><v>DEU_gaPMG_AZR_AZR_Q1_19_Trial-Social- 39684</v></cell><cell r="AC6040"><v>21359477</v></cell><cell r="AD6040"><v>720194</v></cell><cell r="AE6040" t="str"><v>Facebook</v></cell><cell r="AF6040"><v>3654128</v></cell><cell r="AG6040" t="str"><v>Facebook»DEV-ITP-AZR-FB|LinkAd|CustomerAudienceRetargeting»1x1»TextLink»LIA»DT»CPM»RT»W»NA»SS»NA»39684019-11000</v></cell><cell r="AH6040"><v>224010415</v></cell><cell r="AI6040" t="str"><v>AzurePlatform_FreeAcctRetargetingOSSFB-Logos-ChG_DEU_1200x628_SOC_Plat_DE_Free Account_Standard_NA_SNU_T2_1</v></cell><cell r="AJ6040"><v>103043329</v></cell></row><row r="6041"><cell r="C6041" t="str"><v>43325Facebook»DEV-ITP-AZR-FB|LinkAd|CustomerAudienceRetargeting»1x1»TextLink»LIA»DT»CPM»RT»W»NA»SS»NA»39684019-11000</v></cell><cell r="D6041" t="str"><v>43325224010415</v></cell><cell r="E6041" t="str"><v>43325103055394-11000</v></cell><cell r="F6041" t="str"><v>DCM</v></cell><cell r="G6041" t="str"><v>https://azure.microsoft.com/de-de/free/open-source/search/</v></cell></row><row r="6041"><cell r="K6041" t="str"><v>August</v></cell><cell r="L6041"><v>43330</v></cell><cell r="M6041" t="str"><v>Tier 1</v></cell><cell r="N6041" t="str"><v>EMEA</v></cell><cell r="O6041" t="str"><v>Germany</v></cell><cell r="P6041" t="str"><v>Trial</v></cell><cell r="Q6041" t="str"><v>Social</v></cell><cell r="R6041" t="str"><v>Azure</v></cell><cell r="S6041" t="str"><v>Apps & Infra</v></cell><cell r="T6041" t="str"><v>Developers & ITI's</v></cell><cell r="U6041" t="str"><v>DEV-ITP-AZR-FB|LinkAd|CustomerAudienceRetargeting</v></cell><cell r="V6041" t="str"><v>Retargeting</v></cell><cell r="W6041" t="str"><v>Link Ad</v></cell><cell r="X6041" t="str"><v>1x1</v></cell></row><row r="6041"><cell r="AA6041"><v>43325</v></cell><cell r="AB6041" t="str"><v>DEU_gaPMG_AZR_AZR_Q1_19_Trial-Social- 39684</v></cell><cell r="AC6041"><v>21359477</v></cell><cell r="AD6041"><v>720194</v></cell><cell r="AE6041" t="str"><v>Facebook</v></cell><cell r="AF6041"><v>3654128</v></cell><cell r="AG6041" t="str"><v>Facebook»DEV-ITP-AZR-FB|LinkAd|CustomerAudienceRetargeting»1x1»TextLink»LIA»DT»CPM»RT»W»NA»SS»NA»39684019-11000</v></cell><cell r="AH6041"><v>224010415</v></cell><cell r="AI6041" t="str"><v>AzurePlatform_FreeAcctRetargetingOSSFB-Text-ChF_DEU_1200x628_SOC_Plat_DE_Free Account_Standard_NA_SNU_T1_1</v></cell><cell r="AJ6041"><v>103055394</v></cell></row><row r="6042"><cell r="C6042" t="str"><v>43325Facebook»Developers-Azure Direct-Sponsored Post_Trial_PayGo-Video Ad-Free Account Developer - Generic»1x1»30s»SOC»ALL»CPC»LAL»D»UNK»SS»NA»Trials</v></cell><cell r="D6042" t="str"><v>43325226359953</v></cell><cell r="E6042" t="str"><v>43325104537129Trials</v></cell><cell r="F6042" t="str"><v>DCM</v></cell><cell r="G6042" t="str"><v>https://signup.azure.com/signup?offer=ms-azr-0044p&appId=102&ref=paidmedia-social-fb&redirectURL=https%3a%2f%2fazure.microsoft.com%2ffr-fr%2fget-started%2fwelcome-to-azure%2f&l=fr-fr&correlationId=ead86c34-1f10-49dd-a72b-6918462a2cbf</v></cell></row><row r="6042"><cell r="K6042" t="str"><v>August</v></cell><cell r="L6042"><v>43330</v></cell><cell r="M6042" t="str"><v>Tier 1</v></cell><cell r="N6042" t="str"><v>EMEA</v></cell><cell r="O6042" t="str"><v>France</v></cell><cell r="P6042" t="str"><v>Trial</v></cell><cell r="Q6042" t="str"><v>Social</v></cell><cell r="R6042" t="str"><v>Azure</v></cell><cell r="S6042" t="str"><v>Apps & Infra</v></cell><cell r="T6042" t="str"><v>Developers & ITI's</v></cell><cell r="U6042" t="str"><v>Developers-Azure Direct-Sponsored Post_Trial_PayGo-Video Ad-Free Account Developer - Generic</v></cell><cell r="V6042" t="str"><v>Lookalike Targeting</v></cell><cell r="W6042" t="str"><v>Social</v></cell><cell r="X6042" t="str"><v>1x1</v></cell></row><row r="6042"><cell r="AA6042"><v>43325</v></cell><cell r="AB6042" t="str"><v>FRA_gaPMG_AZR_AZR_Q1_19_AzureDirect-Trial-Social</v></cell><cell r="AC6042"><v>21356941</v></cell><cell r="AD6042"><v>720193</v></cell><cell r="AE6042" t="str"><v>Facebook</v></cell><cell r="AF6042"><v>3654128</v></cell><cell r="AG6042" t="str"><v>Facebook»Developers-Azure Direct-Sponsored Post_Trial_PayGo-Video Ad-Free Account Developer - Generic»1x1»30s»SOC»ALL»CPC»LAL»D»UNK»SS»NA»Trials</v></cell><cell r="AH6042"><v>226359953</v></cell><cell r="AI6042" t="str"><v>AZR_FreeAcctDeveloperFB-AnimatedGeneric-Ch1_FRA_1200x1200_VIA_AZRDirect_French_NA_Facebook_STAN_LEA_T1_1</v></cell><cell r="AJ6042"><v>104537129</v></cell></row><row r="6043"><cell r="C6043" t="str"><v>43325Facebook»Developers/ITPros-Azure Direct-Sponsored Post-Canvas-FBCTCcanvaspage-BuyNowCTA-Img3_FBCTCBasicMotion_FRA_10sec»1x1»Canvas»SOC»ALL»CPC»BT»D»UNK»SS»NA»Trials</v></cell><cell r="D6043" t="str"><v>43325224369893</v></cell><cell r="E6043" t="str"><v>43325103256571Trials</v></cell><cell r="F6043" t="str"><v>DCM</v></cell><cell r="G6043" t="str"><v>https://azure.microsoft.com/fr-fr/pricing/purchase-options/</v></cell></row><row r="6043"><cell r="K6043" t="str"><v>August</v></cell><cell r="L6043"><v>43330</v></cell><cell r="M6043" t="str"><v>Tier 1</v></cell><cell r="N6043" t="str"><v>EMEA</v></cell><cell r="O6043" t="str"><v>France</v></cell><cell r="P6043" t="str"><v>Trial</v></cell><cell r="Q6043" t="str"><v>Social</v></cell><cell r="R6043" t="str"><v>Azure</v></cell><cell r="S6043" t="str"><v>Apps & Infra</v></cell><cell r="T6043" t="str"><v>Developers & ITI's</v></cell><cell r="U6043" t="str"><v>Developers/ITPros-Azure Direct-Sponsored Post-Canvas-FBCTCcanvaspage-BuyNowCTA-Img3_FBCTCBasicMotion_FRA_10sec</v></cell><cell r="V6043" t="str"><v>Behavioral Targeting</v></cell><cell r="W6043" t="str"><v>Social</v></cell><cell r="X6043" t="str"><v>1x1</v></cell></row><row r="6043"><cell r="AA6043"><v>43325</v></cell><cell r="AB6043" t="str"><v>FRA_gaPMG_AZR_AZR_Q1_19_AzureDirect-Trial-Social</v></cell><cell r="AC6043"><v>21356941</v></cell><cell r="AD6043"><v>720193</v></cell><cell r="AE6043" t="str"><v>Facebook</v></cell><cell r="AF6043"><v>3654128</v></cell><cell r="AG6043" t="str"><v>Facebook»Developers/ITPros-Azure Direct-Sponsored Post-Canvas-FBCTCcanvaspage-BuyNowCTA-Img3_FBCTCBasicMotion_FRA_10sec»1x1»Canvas»SOC»ALL»CPC»BT»D»UNK»SS»NA»Trials</v></cell><cell r="AH6043"><v>224369893</v></cell><cell r="AI6043" t="str"><v>AZR_FBCTCcanvaspage-BuyNowCTA-Img3_FRA_1080x162_SOC_AZRDirect_French_NA_Facebook_SBAN_BN_T3_1</v></cell><cell r="AJ6043"><v>103256571</v></cell></row><row r="6044"><cell r="C6044" t="str"><v>43325Facebook»Developers/ITPros-Azure Direct-Sponsored Post-Canvas-FBCTCcanvaspage-StartFreeCTA-Img2_FBCTCBasicMotion_FRA_10sec»1x1»Canvas»SOC»ALL»CPC»BT»D»UNK»SS»NA»Trials</v></cell><cell r="D6044" t="str"><v>43325224560884</v></cell><cell r="E6044" t="str"><v>43325103259958Trials</v></cell><cell r="F6044" t="str"><v>DCM</v></cell><cell r="G6044" t="str"><v>https://signup.azure.com/signup?offer=ms-azr-0044p&appId=102&ref=paidmedia-social-fb&redirectURL=https%3a%2f%2fazure.microsoft.com%2ffr-fr%2fget-started%2fwelcome-to-azure%2f&l=fr-fr&correlationId=ead86c34-1f10-49dd-a72b-6918462a2cbf</v></cell></row><row r="6044"><cell r="K6044" t="str"><v>August</v></cell><cell r="L6044"><v>43330</v></cell><cell r="M6044" t="str"><v>Tier 1</v></cell><cell r="N6044" t="str"><v>EMEA</v></cell><cell r="O6044" t="str"><v>France</v></cell><cell r="P6044" t="str"><v>Trial</v></cell><cell r="Q6044" t="str"><v>Social</v></cell><cell r="R6044" t="str"><v>Azure</v></cell><cell r="S6044" t="str"><v>Apps & Infra</v></cell><cell r="T6044" t="str"><v>Developers & ITI's</v></cell><cell r="U6044" t="str"><v>Developers/ITPros-Azure Direct-Sponsored Post-Canvas-FBCTCcanvaspage-StartFreeCTA-Img2_FBCTCBasicMotion_FRA_10sec</v></cell><cell r="V6044" t="str"><v>Behavioral Targeting</v></cell><cell r="W6044" t="str"><v>Social</v></cell><cell r="X6044" t="str"><v>1x1</v></cell></row><row r="6044"><cell r="AA6044"><v>43325</v></cell><cell r="AB6044" t="str"><v>FRA_gaPMG_AZR_AZR_Q1_19_AzureDirect-Trial-Social</v></cell><cell r="AC6044"><v>21356941</v></cell><cell r="AD6044"><v>720193</v></cell><cell r="AE6044" t="str"><v>Facebook</v></cell><cell r="AF6044"><v>3654128</v></cell><cell r="AG6044" t="str"><v>Facebook»Developers/ITPros-Azure Direct-Sponsored Post-Canvas-FBCTCcanvaspage-StartFreeCTA-Img2_FBCTCBasicMotion_FRA_10sec»1x1»Canvas»SOC»ALL»CPC»BT»D»UNK»SS»NA»Trials</v></cell><cell r="AH6044"><v>224560884</v></cell><cell r="AI6044" t="str"><v>AZR_FBCTCcanvaspage-StartFreeCTA-Img2_FRA_1080x143_SOC_AZRDirect_French_NA_Facebook_SBAN_BN_T2_1</v></cell><cell r="AJ6044"><v>103259958</v></cell></row><row r="6045"><cell r="C6045" t="str"><v>43325Facebook»Developers/ITPros-Azure Direct-Sponsored Post-Canvas-FBCTCcanvaspage-StartFreeCTA-Img2_FBCTCBrandinMotion_FRA_14sec»1x1»Canvas»SOC»ALL»CPC»BT»D»UNK»SS»NA»Trials</v></cell><cell r="D6045" t="str"><v>43325224560872</v></cell><cell r="E6045" t="str"><v>43325103259958Trials</v></cell><cell r="F6045" t="str"><v>DCM</v></cell><cell r="G6045" t="str"><v>https://signup.azure.com/signup?offer=ms-azr-0044p&appId=102&ref=paidmedia-social-fb&redirectURL=https%3a%2f%2fazure.microsoft.com%2ffr-fr%2fget-started%2fwelcome-to-azure%2f&l=fr-fr&correlationId=ead86c34-1f10-49dd-a72b-6918462a2cbf</v></cell></row><row r="6045"><cell r="K6045" t="str"><v>August</v></cell><cell r="L6045"><v>43330</v></cell><cell r="M6045" t="str"><v>Tier 1</v></cell><cell r="N6045" t="str"><v>EMEA</v></cell><cell r="O6045" t="str"><v>France</v></cell><cell r="P6045" t="str"><v>Trial</v></cell><cell r="Q6045" t="str"><v>Social</v></cell><cell r="R6045" t="str"><v>Azure</v></cell><cell r="S6045" t="str"><v>Apps & Infra</v></cell><cell r="T6045" t="str"><v>Developers & ITI's</v></cell><cell r="U6045" t="str"><v>Developers/ITPros-Azure Direct-Sponsored Post-Canvas-FBCTCcanvaspage-StartFreeCTA-Img2_FBCTCBrandinMotion_FRA_14sec</v></cell><cell r="V6045" t="str"><v>Behavioral Targeting</v></cell><cell r="W6045" t="str"><v>Social</v></cell><cell r="X6045" t="str"><v>1x1</v></cell></row><row r="6045"><cell r="AA6045"><v>43325</v></cell><cell r="AB6045" t="str"><v>FRA_gaPMG_AZR_AZR_Q1_19_AzureDirect-Trial-Social</v></cell><cell r="AC6045"><v>21356941</v></cell><cell r="AD6045"><v>720193</v></cell><cell r="AE6045" t="str"><v>Facebook</v></cell><cell r="AF6045"><v>3654128</v></cell><cell r="AG6045" t="str"><v>Facebook»Developers/ITPros-Azure Direct-Sponsored Post-Canvas-FBCTCcanvaspage-StartFreeCTA-Img2_FBCTCBrandinMotion_FRA_14sec»1x1»Canvas»SOC»ALL»CPC»BT»D»UNK»SS»NA»Trials</v></cell><cell r="AH6045"><v>224560872</v></cell><cell r="AI6045" t="str"><v>AZR_FBCTCcanvaspage-StartFreeCTA-Img2_FRA_1080x143_SOC_AZRDirect_French_NA_Facebook_SBAN_BN_T2_1</v></cell><cell r="AJ6045"><v>103259958</v></cell></row><row r="6046"><cell r="C6046" t="str"><v>43325Facebook»Developers/ITPros-Azure Direct-Sponsored Post-Link Ad-FreeAcctRetargetingFB-GlobalAlt-ChB»1x1»SocialBan»SOC»ALL»CPC»BT»D»UNK»SS»NA»Trials</v></cell><cell r="D6046" t="str"><v>43325224560845</v></cell><cell r="E6046" t="str"><v>43325103259520Trials</v></cell><cell r="F6046" t="str"><v>DCM</v></cell><cell r="G6046" t="str"><v>https://azure.microsoft.com/fr-fr/free/search/</v></cell></row><row r="6046"><cell r="K6046" t="str"><v>August</v></cell><cell r="L6046"><v>43330</v></cell><cell r="M6046" t="str"><v>Tier 1</v></cell><cell r="N6046" t="str"><v>EMEA</v></cell><cell r="O6046" t="str"><v>France</v></cell><cell r="P6046" t="str"><v>Trial</v></cell><cell r="Q6046" t="str"><v>Social</v></cell><cell r="R6046" t="str"><v>Azure</v></cell><cell r="S6046" t="str"><v>Apps & Infra</v></cell><cell r="T6046" t="str"><v>Developers & ITI's</v></cell><cell r="U6046" t="str"><v>Developers/ITPros-Azure Direct-Sponsored Post-Link Ad-FreeAcctRetargetingFB-GlobalAlt-ChB</v></cell><cell r="V6046" t="str"><v>Behavioral Targeting</v></cell><cell r="W6046" t="str"><v>Social</v></cell><cell r="X6046" t="str"><v>1x1</v></cell></row><row r="6046"><cell r="AA6046"><v>43325</v></cell><cell r="AB6046" t="str"><v>FRA_gaPMG_AZR_AZR_Q1_19_AzureDirect-Trial-Social</v></cell><cell r="AC6046"><v>21356941</v></cell><cell r="AD6046"><v>720193</v></cell><cell r="AE6046" t="str"><v>Facebook</v></cell><cell r="AF6046"><v>3654128</v></cell><cell r="AG6046" t="str"><v>Facebook»Developers/ITPros-Azure Direct-Sponsored Post-Link Ad-FreeAcctRetargetingFB-GlobalAlt-ChB»1x1»SocialBan»SOC»ALL»CPC»BT»D»UNK»SS»NA»Trials</v></cell><cell r="AH6046"><v>224560845</v></cell><cell r="AI6046" t="str"><v>AZR_FreeAcctRetargetingFB-GlobalAlt-ChB_FRA_1200x628_SOC_AZRDirect_French_NA_Facebook_SBAN_SINU_T2_1</v></cell><cell r="AJ6046"><v>103259520</v></cell></row><row r="6047"><cell r="C6047" t="str"><v>43325Facebook»Developers/ITPros-Azure Direct-Sponsored Post-Video Ad-FBCTCBasicMotion_FRA_10s_RTG Landing Page»1x1»05s»SOC»ALL»CPC»BT»D»UNK»SS»NA»Trials</v></cell><cell r="D6047" t="str"><v>43325224416915</v></cell><cell r="E6047" t="str"><v>43325103376981Trials</v></cell><cell r="F6047" t="str"><v>DCM</v></cell></row><row r="6047"><cell r="K6047" t="str"><v>August</v></cell><cell r="L6047"><v>43330</v></cell><cell r="M6047" t="str"><v>Tier 1</v></cell><cell r="N6047" t="str"><v>EMEA</v></cell><cell r="O6047" t="str"><v>France</v></cell><cell r="P6047" t="str"><v>Trial</v></cell><cell r="Q6047" t="str"><v>Social</v></cell><cell r="R6047" t="str"><v>Azure</v></cell><cell r="S6047" t="str"><v>Apps & Infra</v></cell><cell r="T6047" t="str"><v>Developers & ITI's</v></cell><cell r="U6047" t="str"><v>Developers/ITPros-Azure Direct-Sponsored Post-Video Ad-FBCTCBasicMotion_FRA_10s_RTG Landing Page</v></cell><cell r="V6047" t="str"><v>Behavioral Targeting</v></cell><cell r="W6047" t="str"><v>Social</v></cell><cell r="X6047" t="str"><v>1x1</v></cell></row><row r="6047"><cell r="AA6047"><v>43325</v></cell><cell r="AB6047" t="str"><v>FRA_gaPMG_AZR_AZR_Q1_19_AzureDirect-Trial-Social</v></cell><cell r="AC6047"><v>21356941</v></cell><cell r="AD6047"><v>720193</v></cell><cell r="AE6047" t="str"><v>Facebook</v></cell><cell r="AF6047"><v>3654128</v></cell><cell r="AG6047" t="str"><v>Facebook»Developers/ITPros-Azure Direct-Sponsored Post-Video Ad-FBCTCBasicMotion_FRA_10s_RTG Landing Page»1x1»05s»SOC»ALL»CPC»BT»D»UNK»SS»NA»Trials</v></cell><cell r="AH6047"><v>224416915</v></cell><cell r="AI6047" t="str"><v>AZR_FBCTCBasicMotion_FRA_10s_VIA_AZRDirect_French_NA_Facebook_STAN_TIN_T1_1</v></cell><cell r="AJ6047"><v>103376981</v></cell></row><row r="6048"><cell r="C6048" t="str"><v>43325Facebook»Developers/ITPros-Azure Direct-Sponsored Post-Video Ad-FBCTCBenefit2inMotion_FRA_14s_RTG Landing Page»1x1»06s»SOC»ALL»CPC»BT»D»UNK»SS»NA»Trials</v></cell><cell r="D6048" t="str"><v>43325224560875</v></cell><cell r="E6048" t="str"><v>43325103259766Trials</v></cell><cell r="F6048" t="str"><v>DCM</v></cell><cell r="G6048" t="str"><v>https://signup.azure.com/signup?offer=ms-azr-0044p&appId=102&ref=paidmedia-social-fb&redirectURL=https:%2F%2Fazure.microsoft.com%2Ffr-fr%2Fget-started%2Fwelcome-to-azure%2F&l=fr-fr&correlationId=ead86c34-1f10-49dd-a72b-6918462a2cbf</v></cell></row><row r="6048"><cell r="K6048" t="str"><v>August</v></cell><cell r="L6048"><v>43330</v></cell><cell r="M6048" t="str"><v>Tier 1</v></cell><cell r="N6048" t="str"><v>EMEA</v></cell><cell r="O6048" t="str"><v>France</v></cell><cell r="P6048" t="str"><v>Trial</v></cell><cell r="Q6048" t="str"><v>Social</v></cell><cell r="R6048" t="str"><v>Azure</v></cell><cell r="S6048" t="str"><v>Apps & Infra</v></cell><cell r="T6048" t="str"><v>Developers & ITI's</v></cell><cell r="U6048" t="str"><v>Developers/ITPros-Azure Direct-Sponsored Post-Video Ad-FBCTCBenefit2inMotion_FRA_14s_RTG Landing Page</v></cell><cell r="V6048" t="str"><v>Behavioral Targeting</v></cell><cell r="W6048" t="str"><v>Social</v></cell><cell r="X6048" t="str"><v>1x1</v></cell></row><row r="6048"><cell r="AA6048"><v>43325</v></cell><cell r="AB6048" t="str"><v>FRA_gaPMG_AZR_AZR_Q1_19_AzureDirect-Trial-Social</v></cell><cell r="AC6048"><v>21356941</v></cell><cell r="AD6048"><v>720193</v></cell><cell r="AE6048" t="str"><v>Facebook</v></cell><cell r="AF6048"><v>3654128</v></cell><cell r="AG6048" t="str"><v>Facebook»Developers/ITPros-Azure Direct-Sponsored Post-Video Ad-FBCTCBenefit2inMotion_FRA_14s_RTG Landing Page»1x1»06s»SOC»ALL»CPC»BT»D»UNK»SS»NA»Trials</v></cell><cell r="AH6048"><v>224560875</v></cell><cell r="AI6048" t="str"><v>AZR_FBCTCBenefit2inMotion_FRA_14s_VIA_AZRDirect_French_NA_Facebook_STAN_TIN_T4_1</v></cell><cell r="AJ6048"><v>103259766</v></cell></row><row r="6049"><cell r="C6049" t="str"><v>43325Facebook»Developers/ITPros-Azure Direct-Sponsored Post-Video Ad-FBCTCBrandinMotion_FRA_12s_RTG Landing Page»1x1»05s»SOC»ALL»CPC»BT»D»UNK»SS»NA»Trials</v></cell><cell r="D6049" t="str"><v>43325224560863</v></cell><cell r="E6049" t="str"><v>43325103256577Trials</v></cell><cell r="F6049" t="str"><v>DCM</v></cell></row><row r="6049"><cell r="K6049" t="str"><v>August</v></cell><cell r="L6049"><v>43330</v></cell><cell r="M6049" t="str"><v>Tier 1</v></cell><cell r="N6049" t="str"><v>EMEA</v></cell><cell r="O6049" t="str"><v>France</v></cell><cell r="P6049" t="str"><v>Trial</v></cell><cell r="Q6049" t="str"><v>Social</v></cell><cell r="R6049" t="str"><v>Azure</v></cell><cell r="S6049" t="str"><v>Apps & Infra</v></cell><cell r="T6049" t="str"><v>Developers & ITI's</v></cell><cell r="U6049" t="str"><v>Developers/ITPros-Azure Direct-Sponsored Post-Video Ad-FBCTCBrandinMotion_FRA_12s_RTG Landing Page</v></cell><cell r="V6049" t="str"><v>Behavioral Targeting</v></cell><cell r="W6049" t="str"><v>Social</v></cell><cell r="X6049" t="str"><v>1x1</v></cell></row><row r="6049"><cell r="AA6049"><v>43325</v></cell><cell r="AB6049" t="str"><v>FRA_gaPMG_AZR_AZR_Q1_19_AzureDirect-Trial-Social</v></cell><cell r="AC6049"><v>21356941</v></cell><cell r="AD6049"><v>720193</v></cell><cell r="AE6049" t="str"><v>Facebook</v></cell><cell r="AF6049"><v>3654128</v></cell><cell r="AG6049" t="str"><v>Facebook»Developers/ITPros-Azure Direct-Sponsored Post-Video Ad-FBCTCBrandinMotion_FRA_12s_RTG Landing Page»1x1»05s»SOC»ALL»CPC»BT»D»UNK»SS»NA»Trials</v></cell><cell r="AH6049"><v>224560863</v></cell><cell r="AI6049" t="str"><v>AZR_FBCTCBrandinMotion_FRA_12s_VIA_AZRDirect_French_NA_Facebook_STAN_TIN_T2_1</v></cell><cell r="AJ6049"><v>103256577</v></cell></row><row r="6050"><cell r="C6050" t="str"><v>43325Facebook»Developers/ITPros-Azure Direct-Sponsored Post_Trial-Link Ad-FreeAcctRetargetingVMFB-750Hrs-ChD CanvasOpener»1x1»SocialBan»SOC»ALL»CPC»LAL»D»UNK»SS»NA»Trials</v></cell><cell r="D6050" t="str"><v>43325226496098</v></cell><cell r="E6050" t="str"><v>43325103259010Trials</v></cell><cell r="F6050" t="str"><v>DCM</v></cell><cell r="G6050" t="str"><v>https://azure.microsoft.com/fr-fr/free/virtual-machines/search/</v></cell></row><row r="6050"><cell r="K6050" t="str"><v>August</v></cell><cell r="L6050"><v>43330</v></cell><cell r="M6050" t="str"><v>Tier 1</v></cell><cell r="N6050" t="str"><v>EMEA</v></cell><cell r="O6050" t="str"><v>France</v></cell><cell r="P6050" t="str"><v>Trial</v></cell><cell r="Q6050" t="str"><v>Social</v></cell><cell r="R6050" t="str"><v>Azure</v></cell><cell r="S6050" t="str"><v>Apps & Infra</v></cell><cell r="T6050" t="str"><v>Developers & ITI's</v></cell><cell r="U6050" t="str"><v>Developers/ITPros-Azure Direct-Sponsored Post_Trial-Link Ad-FreeAcctRetargetingVMFB-750Hrs-ChD CanvasOpener</v></cell><cell r="V6050" t="str"><v>Lookalike Targeting</v></cell><cell r="W6050" t="str"><v>Social</v></cell><cell r="X6050" t="str"><v>1x1</v></cell></row><row r="6050"><cell r="AA6050"><v>43325</v></cell><cell r="AB6050" t="str"><v>FRA_gaPMG_AZR_AZR_Q1_19_AzureDirect-Trial-Social</v></cell><cell r="AC6050"><v>21356941</v></cell><cell r="AD6050"><v>720193</v></cell><cell r="AE6050" t="str"><v>Facebook</v></cell><cell r="AF6050"><v>3654128</v></cell><cell r="AG6050" t="str"><v>Facebook»Developers/ITPros-Azure Direct-Sponsored Post_Trial-Link Ad-FreeAcctRetargetingVMFB-750Hrs-ChD CanvasOpener»1x1»SocialBan»SOC»ALL»CPC»LAL»D»UNK»SS»NA»Trials</v></cell><cell r="AH6050"><v>226496098</v></cell><cell r="AI6050" t="str"><v>AZR_FreeAcctRetargetingVMFB-750Hrs-ChD_FRA_1200x628_SOC_AZRDirect_French_NA_Facebook_SBAN_SINU_T1_1</v></cell><cell r="AJ6050"><v>103259010</v></cell></row><row r="6051"><cell r="C6051" t="str"><v>43325Facebook»ITPros-Azure Direct-Sponsored Post-Video Ad-Free Account IT Pro - Migration»1x1»30s»SOC»ALL»CPC»AUT»D»UNK»SS»NA»Trials</v></cell><cell r="D6051" t="str"><v>43325226360010</v></cell><cell r="E6051" t="str"><v>43325104458003Trials</v></cell><cell r="F6051" t="str"><v>DCM</v></cell><cell r="G6051" t="str"><v>https://signup.azure.com/signup?offer=ms-azr-0044p&appId=102&ref=paidmedia-social-fb&redirectURL=https%3a%2f%2fazure.microsoft.com%2ffr-fr%2fget-started%2fwelcome-to-azure%2f&l=fr-fr&correlationId=ead86c34-1f10-49dd-a72b-6918462a2cbf</v></cell></row><row r="6051"><cell r="K6051" t="str"><v>August</v></cell><cell r="L6051"><v>43330</v></cell><cell r="M6051" t="str"><v>Tier 1</v></cell><cell r="N6051" t="str"><v>EMEA</v></cell><cell r="O6051" t="str"><v>France</v></cell><cell r="P6051" t="str"><v>Trial</v></cell><cell r="Q6051" t="str"><v>Social</v></cell><cell r="R6051" t="str"><v>Azure</v></cell><cell r="S6051" t="str"><v>Apps & Infra</v></cell><cell r="T6051" t="str"><v>Developers & ITI's</v></cell><cell r="U6051" t="str"><v>ITPros-Azure Direct-Sponsored Post-Video Ad-Free Account IT Pro - Migration</v></cell><cell r="V6051" t="str"><v>Audience Targeting</v></cell><cell r="W6051" t="str"><v>Social</v></cell><cell r="X6051" t="str"><v>1x1</v></cell></row><row r="6051"><cell r="AA6051"><v>43325</v></cell><cell r="AB6051" t="str"><v>FRA_gaPMG_AZR_AZR_Q1_19_AzureDirect-Trial-Social</v></cell><cell r="AC6051"><v>21356941</v></cell><cell r="AD6051"><v>720193</v></cell><cell r="AE6051" t="str"><v>Facebook</v></cell><cell r="AF6051"><v>3654128</v></cell><cell r="AG6051" t="str"><v>Facebook»ITPros-Azure Direct-Sponsored Post-Video Ad-Free Account IT Pro - Migration»1x1»30s»SOC»ALL»CPC»AUT»D»UNK»SS»NA»Trials</v></cell><cell r="AH6051"><v>226360010</v></cell><cell r="AI6051" t="str"><v>AZR_FreeAcctITProFB-AnimatedMigration-Ch3_FRA_1200x1200_VIA_AZRDirect_French_NA_Facebook_STAN_LEA_T3_1</v></cell><cell r="AJ6051"><v>104458003</v></cell></row><row r="6052"><cell r="C6052" t="str"><v>43325Facebook»ITPros-Azure Direct-Sponsored Post_Trial_PayGo-Video Ad-Free Account IT Pro - Hybrid»1x1»30s»SOC»ALL»CPC»LAL»D»UNK»SS»NA»Trials</v></cell><cell r="D6052" t="str"><v>43325226359938</v></cell><cell r="E6052" t="str"><v>43325104456278Trials</v></cell><cell r="F6052" t="str"><v>DCM</v></cell><cell r="G6052" t="str"><v>https://signup.azure.com/signup?offer=ms-azr-0044p&appId=102&ref=paidmedia-social-fb&redirectURL=https%3a%2f%2fazure.microsoft.com%2ffr-fr%2fget-started%2fwelcome-to-azure%2f&l=fr-fr&correlationId=ead86c34-1f10-49dd-a72b-6918462a2cbf</v></cell></row><row r="6052"><cell r="K6052" t="str"><v>August</v></cell><cell r="L6052"><v>43330</v></cell><cell r="M6052" t="str"><v>Tier 1</v></cell><cell r="N6052" t="str"><v>EMEA</v></cell><cell r="O6052" t="str"><v>France</v></cell><cell r="P6052" t="str"><v>Trial</v></cell><cell r="Q6052" t="str"><v>Social</v></cell><cell r="R6052" t="str"><v>Azure</v></cell><cell r="S6052" t="str"><v>Apps & Infra</v></cell><cell r="T6052" t="str"><v>Developers & ITI's</v></cell><cell r="U6052" t="str"><v>ITPros-Azure Direct-Sponsored Post_Trial_PayGo-Video Ad-Free Account IT Pro - Hybrid</v></cell><cell r="V6052" t="str"><v>Lookalike Targeting</v></cell><cell r="W6052" t="str"><v>Social</v></cell><cell r="X6052" t="str"><v>1x1</v></cell></row><row r="6052"><cell r="AA6052"><v>43325</v></cell><cell r="AB6052" t="str"><v>FRA_gaPMG_AZR_AZR_Q1_19_AzureDirect-Trial-Social</v></cell><cell r="AC6052"><v>21356941</v></cell><cell r="AD6052"><v>720193</v></cell><cell r="AE6052" t="str"><v>Facebook</v></cell><cell r="AF6052"><v>3654128</v></cell><cell r="AG6052" t="str"><v>Facebook»ITPros-Azure Direct-Sponsored Post_Trial_PayGo-Video Ad-Free Account IT Pro - Hybrid»1x1»30s»SOC»ALL»CPC»LAL»D»UNK»SS»NA»Trials</v></cell><cell r="AH6052"><v>226359938</v></cell><cell r="AI6052" t="str"><v>AZR_FreeAcctITProFB-AnimatedHybrid-Ch2_FRA_1200x1200_VIA_AZRDirect_French_NA_Facebook_STAN_LEA_T2_1</v></cell><cell r="AJ6052"><v>104456278</v></cell></row><row r="6053"><cell r="C6053" t="str"><v>43325Facebook»Developers-Azure Direct-Sponsored Post-Video Ad-Free Account Developer - AI»1x1»30s»SOC»ALL»CPC»BT»D»UNK»SS»NA»Trials</v></cell><cell r="D6053" t="str"><v>43325226360034</v></cell><cell r="E6053" t="str"><v>43325104537813Trials</v></cell><cell r="F6053" t="str"><v>DCM</v></cell><cell r="G6053" t="str"><v>https://signup.azure.com/signup?offer=ms-azr-0044p&appId=102&ref=paidmedia-social-fb&redirectURL=https%3a%2f%2fazure.microsoft.com%2ffr-fr%2fget-started%2fwelcome-to-azure%2f&l=fr-fr&correlationId=ead86c34-1f10-49dd-a72b-6918462a2cbf</v></cell></row><row r="6053"><cell r="K6053" t="str"><v>August</v></cell><cell r="L6053"><v>43330</v></cell><cell r="M6053" t="str"><v>Tier 1</v></cell><cell r="N6053" t="str"><v>EMEA</v></cell><cell r="O6053" t="str"><v>France</v></cell><cell r="P6053" t="str"><v>Trial</v></cell><cell r="Q6053" t="str"><v>Social</v></cell><cell r="R6053" t="str"><v>Azure</v></cell><cell r="S6053" t="str"><v>Apps & Infra</v></cell><cell r="T6053" t="str"><v>Developers & ITI's</v></cell><cell r="U6053" t="str"><v>Developers-Azure Direct-Sponsored Post-Video Ad-Free Account Developer - AI</v></cell><cell r="V6053" t="str"><v>Behavioral Targeting</v></cell><cell r="W6053" t="str"><v>Social</v></cell><cell r="X6053" t="str"><v>1x1</v></cell></row><row r="6053"><cell r="AA6053"><v>43325</v></cell><cell r="AB6053" t="str"><v>FRA_gaPMG_AZR_AZR_Q1_19_AzureDirect-Trial-Social</v></cell><cell r="AC6053"><v>21356941</v></cell><cell r="AD6053"><v>720193</v></cell><cell r="AE6053" t="str"><v>Facebook</v></cell><cell r="AF6053"><v>3654128</v></cell><cell r="AG6053" t="str"><v>Facebook»Developers-Azure Direct-Sponsored Post-Video Ad-Free Account Developer - AI»1x1»30s»SOC»ALL»CPC»BT»D»UNK»SS»NA»Trials</v></cell><cell r="AH6053"><v>226360034</v></cell><cell r="AI6053" t="str"><v>AZR_FreeAcctDeveloperFB-AnimatedAI-Ch3_FRA_1200x1200_VIA_AZRDirect_French_NA_Facebook_STAN_LEA_T3_1</v></cell><cell r="AJ6053"><v>104537813</v></cell></row><row r="6054"><cell r="C6054" t="str"><v>43325Facebook»Developers-Azure Direct-Sponsored Post-Video Ad-Free Account Developer - Generic»1x1»30s»SOC»ALL»CPC»BT»D»UNK»SS»NA»Trials</v></cell><cell r="D6054" t="str"><v>43325226420298</v></cell><cell r="E6054" t="str"><v>43325104537129Trials</v></cell><cell r="F6054" t="str"><v>DCM</v></cell><cell r="G6054" t="str"><v>https://signup.azure.com/signup?offer=ms-azr-0044p&appId=102&ref=paidmedia-social-fb&redirectURL=https%3a%2f%2fazure.microsoft.com%2ffr-fr%2fget-started%2fwelcome-to-azure%2f&l=fr-fr&correlationId=ead86c34-1f10-49dd-a72b-6918462a2cbf</v></cell></row><row r="6054"><cell r="K6054" t="str"><v>August</v></cell><cell r="L6054"><v>43330</v></cell><cell r="M6054" t="str"><v>Tier 1</v></cell><cell r="N6054" t="str"><v>EMEA</v></cell><cell r="O6054" t="str"><v>France</v></cell><cell r="P6054" t="str"><v>Trial</v></cell><cell r="Q6054" t="str"><v>Social</v></cell><cell r="R6054" t="str"><v>Azure</v></cell><cell r="S6054" t="str"><v>Apps & Infra</v></cell><cell r="T6054" t="str"><v>Developers & ITI's</v></cell><cell r="U6054" t="str"><v>Developers-Azure Direct-Sponsored Post-Video Ad-Free Account Developer - Generic</v></cell><cell r="V6054" t="str"><v>Behavioral Targeting</v></cell><cell r="W6054" t="str"><v>Social</v></cell><cell r="X6054" t="str"><v>1x1</v></cell></row><row r="6054"><cell r="AA6054"><v>43325</v></cell><cell r="AB6054" t="str"><v>FRA_gaPMG_AZR_AZR_Q1_19_AzureDirect-Trial-Social</v></cell><cell r="AC6054"><v>21356941</v></cell><cell r="AD6054"><v>720193</v></cell><cell r="AE6054" t="str"><v>Facebook</v></cell><cell r="AF6054"><v>3654128</v></cell><cell r="AG6054" t="str"><v>Facebook»Developers-Azure Direct-Sponsored Post-Video Ad-Free Account Developer - Generic»1x1»30s»SOC»ALL»CPC»BT»D»UNK»SS»NA»Trials</v></cell><cell r="AH6054"><v>226420298</v></cell><cell r="AI6054" t="str"><v>AZR_FreeAcctDeveloperFB-AnimatedGeneric-Ch1_FRA_1200x1200_VIA_AZRDirect_French_NA_Facebook_STAN_LEA_T1_1</v></cell><cell r="AJ6054"><v>104537129</v></cell></row><row r="6055"><cell r="C6055" t="str"><v>43325Facebook»Developers-Azure Direct-Sponsored Post-Video Ad-Free Account Developer - Intelligent Data»1x1»30s»SOC»ALL»CPC»BT»D»UNK»SS»NA»Trials</v></cell><cell r="D6055" t="str"><v>43325226360028</v></cell><cell r="E6055" t="str"><v>43325104537816Trials</v></cell><cell r="F6055" t="str"><v>DCM</v></cell><cell r="G6055" t="str"><v>https://signup.azure.com/signup?offer=ms-azr-0044p&appId=102&ref=paidmedia-social-fb&redirectURL=https%3a%2f%2fazure.microsoft.com%2ffr-fr%2fget-started%2fwelcome-to-azure%2f&l=fr-fr&correlationId=ead86c34-1f10-49dd-a72b-6918462a2cbf</v></cell></row><row r="6055"><cell r="K6055" t="str"><v>August</v></cell><cell r="L6055"><v>43330</v></cell><cell r="M6055" t="str"><v>Tier 1</v></cell><cell r="N6055" t="str"><v>EMEA</v></cell><cell r="O6055" t="str"><v>France</v></cell><cell r="P6055" t="str"><v>Trial</v></cell><cell r="Q6055" t="str"><v>Social</v></cell><cell r="R6055" t="str"><v>Azure</v></cell><cell r="S6055" t="str"><v>Apps & Infra</v></cell><cell r="T6055" t="str"><v>Developers & ITI's</v></cell><cell r="U6055" t="str"><v>Developers-Azure Direct-Sponsored Post-Video Ad-Free Account Developer - Intelligent Data</v></cell><cell r="V6055" t="str"><v>Behavioral Targeting</v></cell><cell r="W6055" t="str"><v>Social</v></cell><cell r="X6055" t="str"><v>1x1</v></cell></row><row r="6055"><cell r="AA6055"><v>43325</v></cell><cell r="AB6055" t="str"><v>FRA_gaPMG_AZR_AZR_Q1_19_AzureDirect-Trial-Social</v></cell><cell r="AC6055"><v>21356941</v></cell><cell r="AD6055"><v>720193</v></cell><cell r="AE6055" t="str"><v>Facebook</v></cell><cell r="AF6055"><v>3654128</v></cell><cell r="AG6055" t="str"><v>Facebook»Developers-Azure Direct-Sponsored Post-Video Ad-Free Account Developer - Intelligent Data»1x1»30s»SOC»ALL»CPC»BT»D»UNK»SS»NA»Trials</v></cell><cell r="AH6055"><v>226360028</v></cell><cell r="AI6055" t="str"><v>AZR_FreeAcctDeveloperFB-AnimatedData-Ch4_FRA_1200x1200_VIA_AZRDirect_French_NA_Facebook_STAN_LEA_T4_1</v></cell><cell r="AJ6055"><v>104537816</v></cell></row><row r="6056"><cell r="C6056" t="str"><v>43325Facebook»Developers-Azure Direct-Sponsored Post-Video Ad-Free Account Developer - Open Source»1x1»30s»SOC»ALL»CPC»BT»D»UNK»SS»NA»Trials</v></cell><cell r="D6056" t="str"><v>43325226360040</v></cell><cell r="E6056" t="str"><v>43325104537132Trials</v></cell><cell r="F6056" t="str"><v>DCM</v></cell><cell r="G6056" t="str"><v>https://signup.azure.com/signup?offer=ms-azr-0044p&appId=102&ref=paidmedia-social-fb&redirectURL=https%3a%2f%2fazure.microsoft.com%2ffr-fr%2fget-started%2fwelcome-to-azure%2f&l=fr-fr&correlationId=ead86c34-1f10-49dd-a72b-6918462a2cbf</v></cell></row><row r="6056"><cell r="K6056" t="str"><v>August</v></cell><cell r="L6056"><v>43330</v></cell><cell r="M6056" t="str"><v>Tier 1</v></cell><cell r="N6056" t="str"><v>EMEA</v></cell><cell r="O6056" t="str"><v>France</v></cell><cell r="P6056" t="str"><v>Trial</v></cell><cell r="Q6056" t="str"><v>Social</v></cell><cell r="R6056" t="str"><v>Azure</v></cell><cell r="S6056" t="str"><v>Apps & Infra</v></cell><cell r="T6056" t="str"><v>Developers & ITI's</v></cell><cell r="U6056" t="str"><v>Developers-Azure Direct-Sponsored Post-Video Ad-Free Account Developer - Open Source</v></cell><cell r="V6056" t="str"><v>Behavioral Targeting</v></cell><cell r="W6056" t="str"><v>Social</v></cell><cell r="X6056" t="str"><v>1x1</v></cell></row><row r="6056"><cell r="AA6056"><v>43325</v></cell><cell r="AB6056" t="str"><v>FRA_gaPMG_AZR_AZR_Q1_19_AzureDirect-Trial-Social</v></cell><cell r="AC6056"><v>21356941</v></cell><cell r="AD6056"><v>720193</v></cell><cell r="AE6056" t="str"><v>Facebook</v></cell><cell r="AF6056"><v>3654128</v></cell><cell r="AG6056" t="str"><v>Facebook»Developers-Azure Direct-Sponsored Post-Video Ad-Free Account Developer - Open Source»1x1»30s»SOC»ALL»CPC»BT»D»UNK»SS»NA»Trials</v></cell><cell r="AH6056"><v>226360040</v></cell><cell r="AI6056" t="str"><v>AZR_FreeAcctDeveloperFB-AnimatedOpenSource-Ch2_FRA_1200x1200_VIA_AZRDirect_French_NA_Facebook_STAN_LEA_T2_1</v></cell><cell r="AJ6056"><v>104537132</v></cell></row><row r="6057"><cell r="C6057" t="str"><v>43325Facebook»Developers-Azure Direct-Sponsored Post_Trial-Video Ad-Free Account Developer - AI»1x1»30s»SOC»ALL»CPC»LAL»D»UNK»SS»NA»Trials</v></cell><cell r="D6057" t="str"><v>43325226360019</v></cell><cell r="E6057" t="str"><v>43325104537813Trials</v></cell><cell r="F6057" t="str"><v>DCM</v></cell><cell r="G6057" t="str"><v>https://signup.azure.com/signup?offer=ms-azr-0044p&appId=102&ref=paidmedia-social-fb&redirectURL=https%3a%2f%2fazure.microsoft.com%2ffr-fr%2fget-started%2fwelcome-to-azure%2f&l=fr-fr&correlationId=ead86c34-1f10-49dd-a72b-6918462a2cbf</v></cell></row><row r="6057"><cell r="K6057" t="str"><v>August</v></cell><cell r="L6057"><v>43330</v></cell><cell r="M6057" t="str"><v>Tier 1</v></cell><cell r="N6057" t="str"><v>EMEA</v></cell><cell r="O6057" t="str"><v>France</v></cell><cell r="P6057" t="str"><v>Trial</v></cell><cell r="Q6057" t="str"><v>Social</v></cell><cell r="R6057" t="str"><v>Azure</v></cell><cell r="S6057" t="str"><v>Apps & Infra</v></cell><cell r="T6057" t="str"><v>Developers & ITI's</v></cell><cell r="U6057" t="str"><v>Developers-Azure Direct-Sponsored Post_Trial-Video Ad-Free Account Developer - AI</v></cell><cell r="V6057" t="str"><v>Lookalike Targeting</v></cell><cell r="W6057" t="str"><v>Social</v></cell><cell r="X6057" t="str"><v>1x1</v></cell></row><row r="6057"><cell r="AA6057"><v>43325</v></cell><cell r="AB6057" t="str"><v>FRA_gaPMG_AZR_AZR_Q1_19_AzureDirect-Trial-Social</v></cell><cell r="AC6057"><v>21356941</v></cell><cell r="AD6057"><v>720193</v></cell><cell r="AE6057" t="str"><v>Facebook</v></cell><cell r="AF6057"><v>3654128</v></cell><cell r="AG6057" t="str"><v>Facebook»Developers-Azure Direct-Sponsored Post_Trial-Video Ad-Free Account Developer - AI»1x1»30s»SOC»ALL»CPC»LAL»D»UNK»SS»NA»Trials</v></cell><cell r="AH6057"><v>226360019</v></cell><cell r="AI6057" t="str"><v>AZR_FreeAcctDeveloperFB-AnimatedAI-Ch3_FRA_1200x1200_VIA_AZRDirect_French_NA_Facebook_STAN_LEA_T3_1</v></cell><cell r="AJ6057"><v>104537813</v></cell></row><row r="6058"><cell r="C6058" t="str"><v>43325Facebook»Developers-Azure Direct-Sponsored Post_Trial-Video Ad-Free Account Developer - Generic»1x1»30s»SOC»ALL»CPC»LAL»D»UNK»SS»NA»Trials</v></cell><cell r="D6058" t="str"><v>43325226360031</v></cell><cell r="E6058" t="str"><v>43325104537129Trials</v></cell><cell r="F6058" t="str"><v>DCM</v></cell><cell r="G6058" t="str"><v>https://signup.azure.com/signup?offer=ms-azr-0044p&appId=102&ref=paidmedia-social-fb&redirectURL=https%3a%2f%2fazure.microsoft.com%2ffr-fr%2fget-started%2fwelcome-to-azure%2f&l=fr-fr&correlationId=ead86c34-1f10-49dd-a72b-6918462a2cbf</v></cell></row><row r="6058"><cell r="K6058" t="str"><v>August</v></cell><cell r="L6058"><v>43330</v></cell><cell r="M6058" t="str"><v>Tier 1</v></cell><cell r="N6058" t="str"><v>EMEA</v></cell><cell r="O6058" t="str"><v>France</v></cell><cell r="P6058" t="str"><v>Trial</v></cell><cell r="Q6058" t="str"><v>Social</v></cell><cell r="R6058" t="str"><v>Azure</v></cell><cell r="S6058" t="str"><v>Apps & Infra</v></cell><cell r="T6058" t="str"><v>Developers & ITI's</v></cell><cell r="U6058" t="str"><v>Developers-Azure Direct-Sponsored Post_Trial-Video Ad-Free Account Developer - Generic</v></cell><cell r="V6058" t="str"><v>Lookalike Targeting</v></cell><cell r="W6058" t="str"><v>Social</v></cell><cell r="X6058" t="str"><v>1x1</v></cell></row><row r="6058"><cell r="AA6058"><v>43325</v></cell><cell r="AB6058" t="str"><v>FRA_gaPMG_AZR_AZR_Q1_19_AzureDirect-Trial-Social</v></cell><cell r="AC6058"><v>21356941</v></cell><cell r="AD6058"><v>720193</v></cell><cell r="AE6058" t="str"><v>Facebook</v></cell><cell r="AF6058"><v>3654128</v></cell><cell r="AG6058" t="str"><v>Facebook»Developers-Azure Direct-Sponsored Post_Trial-Video Ad-Free Account Developer - Generic»1x1»30s»SOC»ALL»CPC»LAL»D»UNK»SS»NA»Trials</v></cell><cell r="AH6058"><v>226360031</v></cell><cell r="AI6058" t="str"><v>AZR_FreeAcctDeveloperFB-AnimatedGeneric-Ch1_FRA_1200x1200_VIA_AZRDirect_French_NA_Facebook_STAN_LEA_T1_1</v></cell><cell r="AJ6058"><v>104537129</v></cell></row><row r="6059"><cell r="C6059" t="str"><v>43325Facebook»Developers-Azure Direct-Sponsored Post_Trial-Video Ad-Free Account Developer - Intelligent Data»1x1»30s»SOC»ALL»CPC»LAL»D»UNK»SS»NA»Trials</v></cell><cell r="D6059" t="str"><v>43325226360013</v></cell><cell r="E6059" t="str"><v>43325104537816Trials</v></cell><cell r="F6059" t="str"><v>DCM</v></cell><cell r="G6059" t="str"><v>https://signup.azure.com/signup?offer=ms-azr-0044p&appId=102&ref=paidmedia-social-fb&redirectURL=https%3a%2f%2fazure.microsoft.com%2ffr-fr%2fget-started%2fwelcome-to-azure%2f&l=fr-fr&correlationId=ead86c34-1f10-49dd-a72b-6918462a2cbf</v></cell></row><row r="6059"><cell r="K6059" t="str"><v>August</v></cell><cell r="L6059"><v>43330</v></cell><cell r="M6059" t="str"><v>Tier 1</v></cell><cell r="N6059" t="str"><v>EMEA</v></cell><cell r="O6059" t="str"><v>France</v></cell><cell r="P6059" t="str"><v>Trial</v></cell><cell r="Q6059" t="str"><v>Social</v></cell><cell r="R6059" t="str"><v>Azure</v></cell><cell r="S6059" t="str"><v>Apps & Infra</v></cell><cell r="T6059" t="str"><v>Developers & ITI's</v></cell><cell r="U6059" t="str"><v>Developers-Azure Direct-Sponsored Post_Trial-Video Ad-Free Account Developer - Intelligent Data</v></cell><cell r="V6059" t="str"><v>Lookalike Targeting</v></cell><cell r="W6059" t="str"><v>Social</v></cell><cell r="X6059" t="str"><v>1x1</v></cell></row><row r="6059"><cell r="AA6059"><v>43325</v></cell><cell r="AB6059" t="str"><v>FRA_gaPMG_AZR_AZR_Q1_19_AzureDirect-Trial-Social</v></cell><cell r="AC6059"><v>21356941</v></cell><cell r="AD6059"><v>720193</v></cell><cell r="AE6059" t="str"><v>Facebook</v></cell><cell r="AF6059"><v>3654128</v></cell><cell r="AG6059" t="str"><v>Facebook»Developers-Azure Direct-Sponsored Post_Trial-Video Ad-Free Account Developer - Intelligent Data»1x1»30s»SOC»ALL»CPC»LAL»D»UNK»SS»NA»Trials</v></cell><cell r="AH6059"><v>226360013</v></cell><cell r="AI6059" t="str"><v>AZR_FreeAcctDeveloperFB-AnimatedData-Ch4_FRA_1200x1200_VIA_AZRDirect_French_NA_Facebook_STAN_LEA_T4_1</v></cell><cell r="AJ6059"><v>104537816</v></cell></row><row r="6060"><cell r="C6060" t="str"><v>43325Facebook»Developers-Azure Direct-Sponsored Post_Trial_PayGo-Video Ad-Free Account Developer - Open Source»1x1»30s»SOC»ALL»CPC»LAL»D»UNK»SS»NA»Trials</v></cell><cell r="D6060" t="str"><v>43325226359950</v></cell><cell r="E6060" t="str"><v>43325104537132Trials</v></cell><cell r="F6060" t="str"><v>DCM</v></cell><cell r="G6060" t="str"><v>https://signup.azure.com/signup?offer=ms-azr-0044p&appId=102&ref=paidmedia-social-fb&redirectURL=https%3a%2f%2fazure.microsoft.com%2ffr-fr%2fget-started%2fwelcome-to-azure%2f&l=fr-fr&correlationId=ead86c34-1f10-49dd-a72b-6918462a2cbf</v></cell></row><row r="6060"><cell r="K6060" t="str"><v>August</v></cell><cell r="L6060"><v>43330</v></cell><cell r="M6060" t="str"><v>Tier 1</v></cell><cell r="N6060" t="str"><v>EMEA</v></cell><cell r="O6060" t="str"><v>France</v></cell><cell r="P6060" t="str"><v>Trial</v></cell><cell r="Q6060" t="str"><v>Social</v></cell><cell r="R6060" t="str"><v>Azure</v></cell><cell r="S6060" t="str"><v>Apps & Infra</v></cell><cell r="T6060" t="str"><v>Developers & ITI's</v></cell><cell r="U6060" t="str"><v>Developers-Azure Direct-Sponsored Post_Trial_PayGo-Video Ad-Free Account Developer - Open Source</v></cell><cell r="V6060" t="str"><v>Lookalike Targeting</v></cell><cell r="W6060" t="str"><v>Social</v></cell><cell r="X6060" t="str"><v>1x1</v></cell></row><row r="6060"><cell r="AA6060"><v>43325</v></cell><cell r="AB6060" t="str"><v>FRA_gaPMG_AZR_AZR_Q1_19_AzureDirect-Trial-Social</v></cell><cell r="AC6060"><v>21356941</v></cell><cell r="AD6060"><v>720193</v></cell><cell r="AE6060" t="str"><v>Facebook</v></cell><cell r="AF6060"><v>3654128</v></cell><cell r="AG6060" t="str"><v>Facebook»Developers-Azure Direct-Sponsored Post_Trial_PayGo-Video Ad-Free Account Developer - Open Source»1x1»30s»SOC»ALL»CPC»LAL»D»UNK»SS»NA»Trials</v></cell><cell r="AH6060"><v>226359950</v></cell><cell r="AI6060" t="str"><v>AZR_FreeAcctDeveloperFB-AnimatedOpenSource-Ch2_FRA_1200x1200_VIA_AZRDirect_French_NA_Facebook_STAN_LEA_T2_1</v></cell><cell r="AJ6060"><v>104537132</v></cell></row><row r="6061"><cell r="C6061" t="str"><v>43325Facebook»Developers/ITPros-Azure Direct-Sponsored Post_Trial-Link Ad-FreeAcctRetargetingOSSFB-Logos-ChG CanvasOpener»1x1»SocialBan»SOC»ALL»CPC»LAL»D»UNK»SS»NA»Trials</v></cell><cell r="D6061" t="str"><v>43325226496104</v></cell><cell r="E6061" t="str"><v>43325103259769Trials</v></cell><cell r="F6061" t="str"><v>DCM</v></cell><cell r="G6061" t="str"><v>https://azure.microsoft.com/fr-fr/free/open-source/search/</v></cell></row><row r="6061"><cell r="K6061" t="str"><v>August</v></cell><cell r="L6061"><v>43330</v></cell><cell r="M6061" t="str"><v>Tier 1</v></cell><cell r="N6061" t="str"><v>EMEA</v></cell><cell r="O6061" t="str"><v>France</v></cell><cell r="P6061" t="str"><v>Trial</v></cell><cell r="Q6061" t="str"><v>Social</v></cell><cell r="R6061" t="str"><v>Azure</v></cell><cell r="S6061" t="str"><v>Apps & Infra</v></cell><cell r="T6061" t="str"><v>Developers & ITI's</v></cell><cell r="U6061" t="str"><v>Developers/ITPros-Azure Direct-Sponsored Post_Trial-Link Ad-FreeAcctRetargetingOSSFB-Logos-ChG CanvasOpener</v></cell><cell r="V6061" t="str"><v>Lookalike Targeting</v></cell><cell r="W6061" t="str"><v>Social</v></cell><cell r="X6061" t="str"><v>1x1</v></cell></row><row r="6061"><cell r="AA6061"><v>43325</v></cell><cell r="AB6061" t="str"><v>FRA_gaPMG_AZR_AZR_Q1_19_AzureDirect-Trial-Social</v></cell><cell r="AC6061"><v>21356941</v></cell><cell r="AD6061"><v>720193</v></cell><cell r="AE6061" t="str"><v>Facebook</v></cell><cell r="AF6061"><v>3654128</v></cell><cell r="AG6061" t="str"><v>Facebook»Developers/ITPros-Azure Direct-Sponsored Post_Trial-Link Ad-FreeAcctRetargetingOSSFB-Logos-ChG CanvasOpener»1x1»SocialBan»SOC»ALL»CPC»LAL»D»UNK»SS»NA»Trials</v></cell><cell r="AH6061"><v>226496104</v></cell><cell r="AI6061" t="str"><v>AZR_FreeAcctRetargetingOSSFB-Logos-ChG_FRA_1200x628_SOC_AZRDirect_French_NA_Facebook_SBAN_SINU_T2_1</v></cell><cell r="AJ6061"><v>103259769</v></cell></row><row r="6062"><cell r="C6062" t="str"><v>43325Facebook»Developers/ITPros-Azure Direct-Sponsored Post_Trial_PayGo-Link Ad-FreeAcctRetargetingFB-Animated-ChC CanvasOpener»1x1»SocialBan»SOC»ALL»CPC»LAL»D»UNK»SS»NA»Trials</v></cell><cell r="D6062" t="str"><v>43325226359956</v></cell><cell r="E6062" t="str"><v>43325103259775Trials</v></cell><cell r="F6062" t="str"><v>DCM</v></cell><cell r="G6062" t="str"><v>https://azure.microsoft.com/fr-fr/free/search/</v></cell></row><row r="6062"><cell r="K6062" t="str"><v>August</v></cell><cell r="L6062"><v>43330</v></cell><cell r="M6062" t="str"><v>Tier 1</v></cell><cell r="N6062" t="str"><v>EMEA</v></cell><cell r="O6062" t="str"><v>France</v></cell><cell r="P6062" t="str"><v>Trial</v></cell><cell r="Q6062" t="str"><v>Social</v></cell><cell r="R6062" t="str"><v>Azure</v></cell><cell r="S6062" t="str"><v>Apps & Infra</v></cell><cell r="T6062" t="str"><v>Developers & ITI's</v></cell><cell r="U6062" t="str"><v>Developers/ITPros-Azure Direct-Sponsored Post_Trial_PayGo-Link Ad-FreeAcctRetargetingFB-Animated-ChC CanvasOpener</v></cell><cell r="V6062" t="str"><v>Lookalike Targeting</v></cell><cell r="W6062" t="str"><v>Social</v></cell><cell r="X6062" t="str"><v>1x1</v></cell></row><row r="6062"><cell r="AA6062"><v>43325</v></cell><cell r="AB6062" t="str"><v>FRA_gaPMG_AZR_AZR_Q1_19_AzureDirect-Trial-Social</v></cell><cell r="AC6062"><v>21356941</v></cell><cell r="AD6062"><v>720193</v></cell><cell r="AE6062" t="str"><v>Facebook</v></cell><cell r="AF6062"><v>3654128</v></cell><cell r="AG6062" t="str"><v>Facebook»Developers/ITPros-Azure Direct-Sponsored Post_Trial_PayGo-Link Ad-FreeAcctRetargetingFB-Animated-ChC CanvasOpener»1x1»SocialBan»SOC»ALL»CPC»LAL»D»UNK»SS»NA»Trials</v></cell><cell r="AH6062"><v>226359956</v></cell><cell r="AI6062" t="str"><v>AZR_reeAcctRetargetingFB-Animated-ChC_FRA_1200x628_SOC_AZRDirect_French_NA_Facebook_SBAN_SINU_T3_1</v></cell><cell r="AJ6062"><v>103259775</v></cell></row><row r="6063"><cell r="C6063" t="str"><v>43325Facebook»Developers/ITPros-Azure Direct-Sponsored Post_Trial_PayGo-Link Ad-FreeAcctRetargetingOSSFB-Text-ChF CanvasOpener»1x1»SocialBan»SOC»ALL»CPC»LAL»D»UNK»SS»NA»Trials</v></cell><cell r="D6063" t="str"><v>43325226359965</v></cell><cell r="E6063" t="str"><v>43325103257810Trials</v></cell><cell r="F6063" t="str"><v>DCM</v></cell><cell r="G6063" t="str"><v>https://azure.microsoft.com/fr-fr/free/open-source/search/</v></cell></row><row r="6063"><cell r="K6063" t="str"><v>August</v></cell><cell r="L6063"><v>43330</v></cell><cell r="M6063" t="str"><v>Tier 1</v></cell><cell r="N6063" t="str"><v>EMEA</v></cell><cell r="O6063" t="str"><v>France</v></cell><cell r="P6063" t="str"><v>Trial</v></cell><cell r="Q6063" t="str"><v>Social</v></cell><cell r="R6063" t="str"><v>Azure</v></cell><cell r="S6063" t="str"><v>Apps & Infra</v></cell><cell r="T6063" t="str"><v>Developers & ITI's</v></cell><cell r="U6063" t="str"><v>Developers/ITPros-Azure Direct-Sponsored Post_Trial_PayGo-Link Ad-FreeAcctRetargetingOSSFB-Text-ChF CanvasOpener</v></cell><cell r="V6063" t="str"><v>Lookalike Targeting</v></cell><cell r="W6063" t="str"><v>Social</v></cell><cell r="X6063" t="str"><v>1x1</v></cell></row><row r="6063"><cell r="AA6063"><v>43325</v></cell><cell r="AB6063" t="str"><v>FRA_gaPMG_AZR_AZR_Q1_19_AzureDirect-Trial-Social</v></cell><cell r="AC6063"><v>21356941</v></cell><cell r="AD6063"><v>720193</v></cell><cell r="AE6063" t="str"><v>Facebook</v></cell><cell r="AF6063"><v>3654128</v></cell><cell r="AG6063" t="str"><v>Facebook»Developers/ITPros-Azure Direct-Sponsored Post_Trial_PayGo-Link Ad-FreeAcctRetargetingOSSFB-Text-ChF CanvasOpener»1x1»SocialBan»SOC»ALL»CPC»LAL»D»UNK»SS»NA»Trials</v></cell><cell r="AH6063"><v>226359965</v></cell><cell r="AI6063" t="str"><v>AZR_FreeAcctRetargetingOSSFB-Text-ChF_FRA_1200x628_SOC_AZRDirect_French_NA_Facebook_SBAN_SINU_T1_1</v></cell><cell r="AJ6063"><v>103257810</v></cell></row><row r="6064"><cell r="C6064" t="str"><v>43325Facebook»Developers/ITPros-Azure Direct-Sponsored Post_Trial_PayGo-Link Ad-FreeAcctRetargetingVMFB-OnDemand-ChE CanvasOpener»1x1»SocialBan»SOC»ALL»CPC»LAL»D»UNK»SS»NA»Trials</v></cell><cell r="D6064" t="str"><v>43325226359959</v></cell><cell r="E6064" t="str"><v>43325103376990Trials</v></cell><cell r="F6064" t="str"><v>DCM</v></cell><cell r="G6064" t="str"><v>https://azure.microsoft.com/fr-fr/free/virtual-machines/search/</v></cell></row><row r="6064"><cell r="K6064" t="str"><v>August</v></cell><cell r="L6064"><v>43330</v></cell><cell r="M6064" t="str"><v>Tier 1</v></cell><cell r="N6064" t="str"><v>EMEA</v></cell><cell r="O6064" t="str"><v>France</v></cell><cell r="P6064" t="str"><v>Trial</v></cell><cell r="Q6064" t="str"><v>Social</v></cell><cell r="R6064" t="str"><v>Azure</v></cell><cell r="S6064" t="str"><v>Apps & Infra</v></cell><cell r="T6064" t="str"><v>Developers & ITI's</v></cell><cell r="U6064" t="str"><v>Developers/ITPros-Azure Direct-Sponsored Post_Trial_PayGo-Link Ad-FreeAcctRetargetingVMFB-OnDemand-ChE CanvasOpener</v></cell><cell r="V6064" t="str"><v>Lookalike Targeting</v></cell><cell r="W6064" t="str"><v>Social</v></cell><cell r="X6064" t="str"><v>1x1</v></cell></row><row r="6064"><cell r="AA6064"><v>43325</v></cell><cell r="AB6064" t="str"><v>FRA_gaPMG_AZR_AZR_Q1_19_AzureDirect-Trial-Social</v></cell><cell r="AC6064"><v>21356941</v></cell><cell r="AD6064"><v>720193</v></cell><cell r="AE6064" t="str"><v>Facebook</v></cell><cell r="AF6064"><v>3654128</v></cell><cell r="AG6064" t="str"><v>Facebook»Developers/ITPros-Azure Direct-Sponsored Post_Trial_PayGo-Link Ad-FreeAcctRetargetingVMFB-OnDemand-ChE CanvasOpener»1x1»SocialBan»SOC»ALL»CPC»LAL»D»UNK»SS»NA»Trials</v></cell><cell r="AH6064"><v>226359959</v></cell><cell r="AI6064" t="str"><v>AZR_FreeAcctRetargetingVMFB-OnDemand-ChE_FRA_1200x628_SOC_AZRDirect_French_NA_Facebook_SBAN_SINU_T2_1</v></cell><cell r="AJ6064"><v>103376990</v></cell></row><row r="6065"><cell r="C6065" t="str"><v>43325Facebook»ITPros-Azure Direct-Sponsored Post-Video Ad-Free Account IT Pro - Hybrid»1x1»30s»SOC»ALL»CPC»AUT»D»UNK»SS»NA»Trials</v></cell><cell r="D6065" t="str"><v>43325226360016</v></cell><cell r="E6065" t="str"><v>43325104456278Trials</v></cell><cell r="F6065" t="str"><v>DCM</v></cell><cell r="G6065" t="str"><v>https://signup.azure.com/signup?offer=ms-azr-0044p&appId=102&ref=paidmedia-social-fb&redirectURL=https%3a%2f%2fazure.microsoft.com%2ffr-fr%2fget-started%2fwelcome-to-azure%2f&l=fr-fr&correlationId=ead86c34-1f10-49dd-a72b-6918462a2cbf</v></cell></row><row r="6065"><cell r="K6065" t="str"><v>August</v></cell><cell r="L6065"><v>43330</v></cell><cell r="M6065" t="str"><v>Tier 1</v></cell><cell r="N6065" t="str"><v>EMEA</v></cell><cell r="O6065" t="str"><v>France</v></cell><cell r="P6065" t="str"><v>Trial</v></cell><cell r="Q6065" t="str"><v>Social</v></cell><cell r="R6065" t="str"><v>Azure</v></cell><cell r="S6065" t="str"><v>Apps & Infra</v></cell><cell r="T6065" t="str"><v>Developers & ITI's</v></cell><cell r="U6065" t="str"><v>ITPros-Azure Direct-Sponsored Post-Video Ad-Free Account IT Pro - Hybrid</v></cell><cell r="V6065" t="str"><v>Audience Targeting</v></cell><cell r="W6065" t="str"><v>Social</v></cell><cell r="X6065" t="str"><v>1x1</v></cell></row><row r="6065"><cell r="AA6065"><v>43325</v></cell><cell r="AB6065" t="str"><v>FRA_gaPMG_AZR_AZR_Q1_19_AzureDirect-Trial-Social</v></cell><cell r="AC6065"><v>21356941</v></cell><cell r="AD6065"><v>720193</v></cell><cell r="AE6065" t="str"><v>Facebook</v></cell><cell r="AF6065"><v>3654128</v></cell><cell r="AG6065" t="str"><v>Facebook»ITPros-Azure Direct-Sponsored Post-Video Ad-Free Account IT Pro - Hybrid»1x1»30s»SOC»ALL»CPC»AUT»D»UNK»SS»NA»Trials</v></cell><cell r="AH6065"><v>226360016</v></cell><cell r="AI6065" t="str"><v>AZR_FreeAcctITProFB-AnimatedHybrid-Ch2_FRA_1200x1200_VIA_AZRDirect_French_NA_Facebook_STAN_LEA_T2_1</v></cell><cell r="AJ6065"><v>104456278</v></cell></row><row r="6066"><cell r="C6066" t="str"><v>43325Facebook»ITPros-Azure Direct-Sponsored Post-Video Ad-Free Account IT Pro - Secure»1x1»30s»SOC»ALL»CPC»AUT»D»UNK»SS»NA»Trials</v></cell><cell r="D6066" t="str"><v>43325226360022</v></cell><cell r="E6066" t="str"><v>43325104455906Trials</v></cell><cell r="F6066" t="str"><v>DCM</v></cell><cell r="G6066" t="str"><v>https://signup.azure.com/signup?offer=ms-azr-0044p&appId=102&ref=paidmedia-social-fb&redirectURL=https%3a%2f%2fazure.microsoft.com%2ffr-fr%2fget-started%2fwelcome-to-azure%2f&l=fr-fr&correlationId=ead86c34-1f10-49dd-a72b-6918462a2cbf</v></cell></row><row r="6066"><cell r="K6066" t="str"><v>August</v></cell><cell r="L6066"><v>43330</v></cell><cell r="M6066" t="str"><v>Tier 1</v></cell><cell r="N6066" t="str"><v>EMEA</v></cell><cell r="O6066" t="str"><v>France</v></cell><cell r="P6066" t="str"><v>Trial</v></cell><cell r="Q6066" t="str"><v>Social</v></cell><cell r="R6066" t="str"><v>Azure</v></cell><cell r="S6066" t="str"><v>Apps & Infra</v></cell><cell r="T6066" t="str"><v>Developers & ITI's</v></cell><cell r="U6066" t="str"><v>ITPros-Azure Direct-Sponsored Post-Video Ad-Free Account IT Pro - Secure</v></cell><cell r="V6066" t="str"><v>Audience Targeting</v></cell><cell r="W6066" t="str"><v>Social</v></cell><cell r="X6066" t="str"><v>1x1</v></cell></row><row r="6066"><cell r="AA6066"><v>43325</v></cell><cell r="AB6066" t="str"><v>FRA_gaPMG_AZR_AZR_Q1_19_AzureDirect-Trial-Social</v></cell><cell r="AC6066"><v>21356941</v></cell><cell r="AD6066"><v>720193</v></cell><cell r="AE6066" t="str"><v>Facebook</v></cell><cell r="AF6066"><v>3654128</v></cell><cell r="AG6066" t="str"><v>Facebook»ITPros-Azure Direct-Sponsored Post-Video Ad-Free Account IT Pro - Secure»1x1»30s»SOC»ALL»CPC»AUT»D»UNK»SS»NA»Trials</v></cell><cell r="AH6066"><v>226360022</v></cell><cell r="AI6066" t="str"><v>AZR_FreeAcctITProFB-AnimatedSecureMngd-Ch1_FRA_1200x1200_VIA_AZRDirect_French_NA_Facebook_STAN_LEA_T1_1</v></cell><cell r="AJ6066"><v>104455906</v></cell></row><row r="6067"><cell r="C6067" t="str"><v>43325Facebook»ITPros-Azure Direct-Sponsored Post_Trial-Video Ad-Free Account IT Pro - Hybrid»1x1»30s»SOC»ALL»CPC»LAL»D»UNK»SS»NA»Trials</v></cell><cell r="D6067" t="str"><v>43325226360001</v></cell><cell r="E6067" t="str"><v>43325104456278Trials</v></cell><cell r="F6067" t="str"><v>DCM</v></cell><cell r="G6067" t="str"><v>https://signup.azure.com/signup?offer=ms-azr-0044p&appId=102&ref=paidmedia-social-fb&redirectURL=https%3a%2f%2fazure.microsoft.com%2ffr-fr%2fget-started%2fwelcome-to-azure%2f&l=fr-fr&correlationId=ead86c34-1f10-49dd-a72b-6918462a2cbf</v></cell></row><row r="6067"><cell r="K6067" t="str"><v>August</v></cell><cell r="L6067"><v>43330</v></cell><cell r="M6067" t="str"><v>Tier 1</v></cell><cell r="N6067" t="str"><v>EMEA</v></cell><cell r="O6067" t="str"><v>France</v></cell><cell r="P6067" t="str"><v>Trial</v></cell><cell r="Q6067" t="str"><v>Social</v></cell><cell r="R6067" t="str"><v>Azure</v></cell><cell r="S6067" t="str"><v>Apps & Infra</v></cell><cell r="T6067" t="str"><v>Developers & ITI's</v></cell><cell r="U6067" t="str"><v>ITPros-Azure Direct-Sponsored Post_Trial-Video Ad-Free Account IT Pro - Hybrid</v></cell><cell r="V6067" t="str"><v>Lookalike Targeting</v></cell><cell r="W6067" t="str"><v>Social</v></cell><cell r="X6067" t="str"><v>1x1</v></cell></row><row r="6067"><cell r="AA6067"><v>43325</v></cell><cell r="AB6067" t="str"><v>FRA_gaPMG_AZR_AZR_Q1_19_AzureDirect-Trial-Social</v></cell><cell r="AC6067"><v>21356941</v></cell><cell r="AD6067"><v>720193</v></cell><cell r="AE6067" t="str"><v>Facebook</v></cell><cell r="AF6067"><v>3654128</v></cell><cell r="AG6067" t="str"><v>Facebook»ITPros-Azure Direct-Sponsored Post_Trial-Video Ad-Free Account IT Pro - Hybrid»1x1»30s»SOC»ALL»CPC»LAL»D»UNK»SS»NA»Trials</v></cell><cell r="AH6067"><v>226360001</v></cell><cell r="AI6067" t="str"><v>AZR_FreeAcctITProFB-AnimatedHybrid-Ch2_FRA_1200x1200_VIA_AZRDirect_French_NA_Facebook_STAN_LEA_T2_1</v></cell><cell r="AJ6067"><v>104456278</v></cell></row><row r="6068"><cell r="C6068" t="str"><v>43325Facebook»ITPros-Azure Direct-Sponsored Post_Trial-Video Ad-Free Account IT Pro - Migration»1x1»30s»SOC»ALL»CPC»LAL»D»UNK»SS»NA»Trials</v></cell><cell r="D6068" t="str"><v>43325226359995</v></cell><cell r="E6068" t="str"><v>43325104458003Trials</v></cell><cell r="F6068" t="str"><v>DCM</v></cell><cell r="G6068" t="str"><v>https://signup.azure.com/signup?offer=ms-azr-0044p&appId=102&ref=paidmedia-social-fb&redirectURL=https%3a%2f%2fazure.microsoft.com%2ffr-fr%2fget-started%2fwelcome-to-azure%2f&l=fr-fr&correlationId=ead86c34-1f10-49dd-a72b-6918462a2cbf</v></cell></row><row r="6068"><cell r="K6068" t="str"><v>August</v></cell><cell r="L6068"><v>43330</v></cell><cell r="M6068" t="str"><v>Tier 1</v></cell><cell r="N6068" t="str"><v>EMEA</v></cell><cell r="O6068" t="str"><v>France</v></cell><cell r="P6068" t="str"><v>Trial</v></cell><cell r="Q6068" t="str"><v>Social</v></cell><cell r="R6068" t="str"><v>Azure</v></cell><cell r="S6068" t="str"><v>Apps & Infra</v></cell><cell r="T6068" t="str"><v>Developers & ITI's</v></cell><cell r="U6068" t="str"><v>ITPros-Azure Direct-Sponsored Post_Trial-Video Ad-Free Account IT Pro - Migration</v></cell><cell r="V6068" t="str"><v>Lookalike Targeting</v></cell><cell r="W6068" t="str"><v>Social</v></cell><cell r="X6068" t="str"><v>1x1</v></cell></row><row r="6068"><cell r="AA6068"><v>43325</v></cell><cell r="AB6068" t="str"><v>FRA_gaPMG_AZR_AZR_Q1_19_AzureDirect-Trial-Social</v></cell><cell r="AC6068"><v>21356941</v></cell><cell r="AD6068"><v>720193</v></cell><cell r="AE6068" t="str"><v>Facebook</v></cell><cell r="AF6068"><v>3654128</v></cell><cell r="AG6068" t="str"><v>Facebook»ITPros-Azure Direct-Sponsored Post_Trial-Video Ad-Free Account IT Pro - Migration»1x1»30s»SOC»ALL»CPC»LAL»D»UNK»SS»NA»Trials</v></cell><cell r="AH6068"><v>226359995</v></cell><cell r="AI6068" t="str"><v>AZR_FreeAcctITProFB-AnimatedMigration-Ch3_FRA_1200x1200_VIA_AZRDirect_French_NA_Facebook_STAN_LEA_T3_1</v></cell><cell r="AJ6068"><v>104458003</v></cell></row><row r="6069"><cell r="C6069" t="str"><v>43325Facebook»ITPros-Azure Direct-Sponsored Post_Trial_PayGo-Video Ad-Free Account IT Pro - Migration»1x1»30s»SOC»ALL»CPC»LAL»D»UNK»SS»NA»Trials</v></cell><cell r="D6069" t="str"><v>43325226359935</v></cell><cell r="E6069" t="str"><v>43325104458003Trials</v></cell><cell r="F6069" t="str"><v>DCM</v></cell><cell r="G6069" t="str"><v>https://signup.azure.com/signup?offer=ms-azr-0044p&appId=102&ref=paidmedia-social-fb&redirectURL=https%3a%2f%2fazure.microsoft.com%2ffr-fr%2fget-started%2fwelcome-to-azure%2f&l=fr-fr&correlationId=ead86c34-1f10-49dd-a72b-6918462a2cbf</v></cell></row><row r="6069"><cell r="K6069" t="str"><v>August</v></cell><cell r="L6069"><v>43330</v></cell><cell r="M6069" t="str"><v>Tier 1</v></cell><cell r="N6069" t="str"><v>EMEA</v></cell><cell r="O6069" t="str"><v>France</v></cell><cell r="P6069" t="str"><v>Trial</v></cell><cell r="Q6069" t="str"><v>Social</v></cell><cell r="R6069" t="str"><v>Azure</v></cell><cell r="S6069" t="str"><v>Apps & Infra</v></cell><cell r="T6069" t="str"><v>Developers & ITI's</v></cell><cell r="U6069" t="str"><v>ITPros-Azure Direct-Sponsored Post_Trial_PayGo-Video Ad-Free Account IT Pro - Migration</v></cell><cell r="V6069" t="str"><v>Lookalike Targeting</v></cell><cell r="W6069" t="str"><v>Social</v></cell><cell r="X6069" t="str"><v>1x1</v></cell></row><row r="6069"><cell r="AA6069"><v>43325</v></cell><cell r="AB6069" t="str"><v>FRA_gaPMG_AZR_AZR_Q1_19_AzureDirect-Trial-Social</v></cell><cell r="AC6069"><v>21356941</v></cell><cell r="AD6069"><v>720193</v></cell><cell r="AE6069" t="str"><v>Facebook</v></cell><cell r="AF6069"><v>3654128</v></cell><cell r="AG6069" t="str"><v>Facebook»ITPros-Azure Direct-Sponsored Post_Trial_PayGo-Video Ad-Free Account IT Pro - Migration»1x1»30s»SOC»ALL»CPC»LAL»D»UNK»SS»NA»Trials</v></cell><cell r="AH6069"><v>226359935</v></cell><cell r="AI6069" t="str"><v>AZR_FreeAcctITProFB-AnimatedMigration-Ch3_FRA_1200x1200_VIA_AZRDirect_French_NA_Facebook_STAN_LEA_T3_1</v></cell><cell r="AJ6069"><v>104458003</v></cell></row><row r="6070"><cell r="C6070" t="str"><v>43325Facebook»Audience & Interest Targeting»1x1»SocialBan»LIA»DT»CPC»AUT»W»NA»SS»NA»Basic Motion</v></cell><cell r="D6070" t="str"><v>43325224399962</v></cell><cell r="E6070" t="str"><v>43325103230847Motion</v></cell><cell r="F6070" t="str"><v>DCM</v></cell><cell r="G6070" t="str"><v>https://azure.microsoft.com/en-gb/pricing/purchase-options/</v></cell></row><row r="6070"><cell r="K6070" t="str"><v>August</v></cell><cell r="L6070"><v>43330</v></cell><cell r="M6070" t="str"><v>Tier 1</v></cell><cell r="N6070" t="str"><v>EMEA</v></cell><cell r="O6070" t="str"><v>United Kingdom</v></cell><cell r="P6070" t="str"><v>Trial</v></cell><cell r="Q6070" t="str"><v>Social</v></cell><cell r="R6070" t="str"><v>Azure</v></cell><cell r="S6070" t="str"><v>Apps & Infra</v></cell><cell r="T6070" t="str"><v>Developers & ITI's</v></cell><cell r="U6070" t="str"><v>Audience & Interest Targeting</v></cell><cell r="V6070" t="str"><v>Audience Targeting</v></cell><cell r="W6070" t="str"><v>Link Ad</v></cell><cell r="X6070" t="str"><v>1x1</v></cell></row><row r="6070"><cell r="AA6070"><v>43325</v></cell><cell r="AB6070" t="str"><v>GBR_gaPMG_CE_AZR_Q1_19_Trial-Social</v></cell><cell r="AC6070"><v>21337013</v></cell><cell r="AD6070"><v>720196</v></cell><cell r="AE6070" t="str"><v>Facebook</v></cell><cell r="AF6070"><v>3654128</v></cell><cell r="AG6070" t="str"><v>Facebook»Audience & Interest Targeting»1x1»SocialBan»LIA»DT»CPC»AUT»W»NA»SS»NA»Basic Motion</v></cell><cell r="AH6070"><v>224399962</v></cell><cell r="AI6070" t="str"><v>AzurePlatform_FBCTCcanvaspage-BuyNowCTA-Img3_GBR_1080x162_SOC_Plat_English_NA_Standard_NA_BN_T3_1</v></cell><cell r="AJ6070"><v>103230847</v></cell></row><row r="6071"><cell r="C6071" t="str"><v>43325Facebook»Audience & Interest Targeting»1x1»SocialBan»LIA»DT»CPC»AUT»W»NA»SS»NA»Basic Motion</v></cell><cell r="D6071" t="str"><v>43325224399962</v></cell><cell r="E6071" t="str"><v>43325103235146Motion</v></cell><cell r="F6071" t="str"><v>DCM</v></cell><cell r="G6071" t="str"><v>https://signup.azure.com/signup?offer=ms-azr-0044p&appId=102&ref=paidmedia-social-fb&redirectURL=https%3a%2f%2fazure.microsoft.com%2fen-gb%2fget-started%2fwelcome-to-azure%2f&l=en-gb&correlationId=ead86c34-1f10-49dd-a72b-6918462a2cbf</v></cell></row><row r="6071"><cell r="K6071" t="str"><v>August</v></cell><cell r="L6071"><v>43330</v></cell><cell r="M6071" t="str"><v>Tier 1</v></cell><cell r="N6071" t="str"><v>EMEA</v></cell><cell r="O6071" t="str"><v>United Kingdom</v></cell><cell r="P6071" t="str"><v>Trial</v></cell><cell r="Q6071" t="str"><v>Social</v></cell><cell r="R6071" t="str"><v>Azure</v></cell><cell r="S6071" t="str"><v>Apps & Infra</v></cell><cell r="T6071" t="str"><v>Developers & ITI's</v></cell><cell r="U6071" t="str"><v>Audience & Interest Targeting</v></cell><cell r="V6071" t="str"><v>Audience Targeting</v></cell><cell r="W6071" t="str"><v>Link Ad</v></cell><cell r="X6071" t="str"><v>1x1</v></cell></row><row r="6071"><cell r="AA6071"><v>43325</v></cell><cell r="AB6071" t="str"><v>GBR_gaPMG_CE_AZR_Q1_19_Trial-Social</v></cell><cell r="AC6071"><v>21337013</v></cell><cell r="AD6071"><v>720196</v></cell><cell r="AE6071" t="str"><v>Facebook</v></cell><cell r="AF6071"><v>3654128</v></cell><cell r="AG6071" t="str"><v>Facebook»Audience & Interest Targeting»1x1»SocialBan»LIA»DT»CPC»AUT»W»NA»SS»NA»Basic Motion</v></cell><cell r="AH6071"><v>224399962</v></cell><cell r="AI6071" t="str"><v>AzurePlatform_FBCTCcanvaspage-StartFreeCTA-Img2_GBR_1080x143 _SOC_Plat_English_NA_Standard_NA_NA_T2_1</v></cell><cell r="AJ6071"><v>103235146</v></cell></row><row r="6072"><cell r="C6072" t="str"><v>43325Facebook»Audience & Interest Targeting»1x1»SocialBan»LIA»DT»CPC»AUT»W»NA»SS»NA»Benefit 2 in Motion</v></cell><cell r="D6072" t="str"><v>43325224334170</v></cell><cell r="E6072" t="str"><v>43325103235146Motion</v></cell><cell r="F6072" t="str"><v>DCM</v></cell><cell r="G6072" t="str"><v>https://signup.azure.com/signup?offer=ms-azr-0044p&appId=102&ref=paidmedia-social-fb&redirectURL=https%3a%2f%2fazure.microsoft.com%2fen-gb%2fget-started%2fwelcome-to-azure%2f&l=en-gb&correlationId=ead86c34-1f10-49dd-a72b-6918462a2cbf</v></cell></row><row r="6072"><cell r="K6072" t="str"><v>August</v></cell><cell r="L6072"><v>43330</v></cell><cell r="M6072" t="str"><v>Tier 1</v></cell><cell r="N6072" t="str"><v>EMEA</v></cell><cell r="O6072" t="str"><v>United Kingdom</v></cell><cell r="P6072" t="str"><v>Trial</v></cell><cell r="Q6072" t="str"><v>Social</v></cell><cell r="R6072" t="str"><v>Azure</v></cell><cell r="S6072" t="str"><v>Apps & Infra</v></cell><cell r="T6072" t="str"><v>Developers & ITI's</v></cell><cell r="U6072" t="str"><v>Audience & Interest Targeting</v></cell><cell r="V6072" t="str"><v>Audience Targeting</v></cell><cell r="W6072" t="str"><v>Link Ad</v></cell><cell r="X6072" t="str"><v>1x1</v></cell></row><row r="6072"><cell r="AA6072"><v>43325</v></cell><cell r="AB6072" t="str"><v>GBR_gaPMG_CE_AZR_Q1_19_Trial-Social</v></cell><cell r="AC6072"><v>21337013</v></cell><cell r="AD6072"><v>720196</v></cell><cell r="AE6072" t="str"><v>Facebook</v></cell><cell r="AF6072"><v>3654128</v></cell><cell r="AG6072" t="str"><v>Facebook»Audience & Interest Targeting»1x1»SocialBan»LIA»DT»CPC»AUT»W»NA»SS»NA»Benefit 2 in Motion</v></cell><cell r="AH6072"><v>224334170</v></cell><cell r="AI6072" t="str"><v>AzurePlatform_FBCTCcanvaspage-StartFreeCTA-Img2_GBR_1080x143 _SOC_Plat_English_NA_Standard_NA_NA_T2_1</v></cell><cell r="AJ6072"><v>103235146</v></cell></row><row r="6073"><cell r="C6073" t="str"><v>43325Facebook»Audience & Interest Targeting»1x1»SocialBan»LIA»DT»CPC»AUT»W»NA»SS»NA»Brand in Motion</v></cell><cell r="D6073" t="str"><v>43325224549481</v></cell><cell r="E6073" t="str"><v>43325103235146Motion</v></cell><cell r="F6073" t="str"><v>DCM</v></cell><cell r="G6073" t="str"><v>https://signup.azure.com/signup?offer=ms-azr-0044p&appId=102&ref=paidmedia-social-fb&redirectURL=https%3a%2f%2fazure.microsoft.com%2fen-gb%2fget-started%2fwelcome-to-azure%2f&l=en-gb&correlationId=ead86c34-1f10-49dd-a72b-6918462a2cbf</v></cell></row><row r="6073"><cell r="K6073" t="str"><v>August</v></cell><cell r="L6073"><v>43330</v></cell><cell r="M6073" t="str"><v>Tier 1</v></cell><cell r="N6073" t="str"><v>EMEA</v></cell><cell r="O6073" t="str"><v>United Kingdom</v></cell><cell r="P6073" t="str"><v>Trial</v></cell><cell r="Q6073" t="str"><v>Social</v></cell><cell r="R6073" t="str"><v>Azure</v></cell><cell r="S6073" t="str"><v>Apps & Infra</v></cell><cell r="T6073" t="str"><v>Developers & ITI's</v></cell><cell r="U6073" t="str"><v>Audience & Interest Targeting</v></cell><cell r="V6073" t="str"><v>Audience Targeting</v></cell><cell r="W6073" t="str"><v>Link Ad</v></cell><cell r="X6073" t="str"><v>1x1</v></cell></row><row r="6073"><cell r="AA6073"><v>43325</v></cell><cell r="AB6073" t="str"><v>GBR_gaPMG_CE_AZR_Q1_19_Trial-Social</v></cell><cell r="AC6073"><v>21337013</v></cell><cell r="AD6073"><v>720196</v></cell><cell r="AE6073" t="str"><v>Facebook</v></cell><cell r="AF6073"><v>3654128</v></cell><cell r="AG6073" t="str"><v>Facebook»Audience & Interest Targeting»1x1»SocialBan»LIA»DT»CPC»AUT»W»NA»SS»NA»Brand in Motion</v></cell><cell r="AH6073"><v>224549481</v></cell><cell r="AI6073" t="str"><v>AzurePlatform_FBCTCcanvaspage-StartFreeCTA-Img2_GBR_1080x143 _SOC_Plat_English_NA_Standard_NA_NA_T2_1</v></cell><cell r="AJ6073"><v>103235146</v></cell></row><row r="6074"><cell r="C6074" t="str"><v>43325Facebook»Audience & Interest Targeting»1x1»SocialBan»LIA»DT»DYN»AUT»W»NA»SS»NA»Free Account Refresh- 12 months ChE</v></cell><cell r="D6074" t="str"><v>43325223567691</v></cell><cell r="E6074" t="str"><v>43325102854007hs ChE</v></cell><cell r="F6074" t="str"><v>DCM</v></cell><cell r="G6074" t="str"><v>https://azure.microsoft.com/en-gb/free/search/</v></cell></row><row r="6074"><cell r="K6074" t="str"><v>August</v></cell><cell r="L6074"><v>43330</v></cell><cell r="M6074" t="str"><v>Tier 1</v></cell><cell r="N6074" t="str"><v>EMEA</v></cell><cell r="O6074" t="str"><v>United Kingdom</v></cell><cell r="P6074" t="str"><v>Trial</v></cell><cell r="Q6074" t="str"><v>Social</v></cell><cell r="R6074" t="str"><v>Azure</v></cell><cell r="S6074" t="str"><v>Apps & Infra</v></cell><cell r="T6074" t="str"><v>Developers & ITI's</v></cell><cell r="U6074" t="str"><v>Audience & Interest Targeting</v></cell><cell r="V6074" t="str"><v>Audience Targeting</v></cell><cell r="W6074" t="str"><v>Link Ad</v></cell><cell r="X6074" t="str"><v>1x1</v></cell></row><row r="6074"><cell r="AA6074"><v>43325</v></cell><cell r="AB6074" t="str"><v>GBR_gaPMG_CE_AZR_Q1_19_Trial-Social</v></cell><cell r="AC6074"><v>21337013</v></cell><cell r="AD6074"><v>720196</v></cell><cell r="AE6074" t="str"><v>Facebook</v></cell><cell r="AF6074"><v>3654128</v></cell><cell r="AG6074" t="str"><v>Facebook»Audience & Interest Targeting»1x1»SocialBan»LIA»DT»DYN»AUT»W»NA»SS»NA»Free Account Refresh- 12 months ChE</v></cell><cell r="AH6074"><v>223567691</v></cell><cell r="AI6074" t="str"><v>AzurePlatform_FreeAcctAppsFACEBOOK12monthsChE_GBR_1200x628_SOC_PLAT_EN_Trial_Standard_NA_SU_T5_1</v></cell><cell r="AJ6074"><v>102854007</v></cell></row><row r="6075"><cell r="C6075" t="str"><v>43325Facebook»Audience & Interest Targeting»1x1»SocialBan»LIA»DT»DYN»AUT»W»NA»SS»NA»Free Account Refresh- 200 Credit ChD</v></cell><cell r="D6075" t="str"><v>43325223560359</v></cell><cell r="E6075" t="str"><v>43325103005662it ChD</v></cell><cell r="F6075" t="str"><v>DCM</v></cell><cell r="G6075" t="str"><v>https://azure.microsoft.com/en-gb/free/search/</v></cell></row><row r="6075"><cell r="K6075" t="str"><v>August</v></cell><cell r="L6075"><v>43330</v></cell><cell r="M6075" t="str"><v>Tier 1</v></cell><cell r="N6075" t="str"><v>EMEA</v></cell><cell r="O6075" t="str"><v>United Kingdom</v></cell><cell r="P6075" t="str"><v>Trial</v></cell><cell r="Q6075" t="str"><v>Social</v></cell><cell r="R6075" t="str"><v>Azure</v></cell><cell r="S6075" t="str"><v>Apps & Infra</v></cell><cell r="T6075" t="str"><v>Developers & ITI's</v></cell><cell r="U6075" t="str"><v>Audience & Interest Targeting</v></cell><cell r="V6075" t="str"><v>Audience Targeting</v></cell><cell r="W6075" t="str"><v>Link Ad</v></cell><cell r="X6075" t="str"><v>1x1</v></cell></row><row r="6075"><cell r="AA6075"><v>43325</v></cell><cell r="AB6075" t="str"><v>GBR_gaPMG_CE_AZR_Q1_19_Trial-Social</v></cell><cell r="AC6075"><v>21337013</v></cell><cell r="AD6075"><v>720196</v></cell><cell r="AE6075" t="str"><v>Facebook</v></cell><cell r="AF6075"><v>3654128</v></cell><cell r="AG6075" t="str"><v>Facebook»Audience & Interest Targeting»1x1»SocialBan»LIA»DT»DYN»AUT»W»NA»SS»NA»Free Account Refresh- 200 Credit ChD</v></cell><cell r="AH6075"><v>223560359</v></cell><cell r="AI6075" t="str"><v>AzurePlatform_FreeAcctAppsFACEBOOK200CreditChD_GBR_1200x628_SOC_PLAT_EN_Trial_Standard_NA_SU_T4_1</v></cell><cell r="AJ6075"><v>103005662</v></cell></row><row r="6076"><cell r="C6076" t="str"><v>43325Facebook»Audience & Interest Targeting»1x1»SocialBan»LIA»DT»DYN»AUT»W»NA»SS»NA»Free Account Refresh- Device ChB</v></cell><cell r="D6076" t="str"><v>43325223560353</v></cell><cell r="E6076" t="str"><v>43325102854010ce ChB</v></cell><cell r="F6076" t="str"><v>DCM</v></cell><cell r="G6076" t="str"><v>https://azure.microsoft.com/en-gb/free/search/</v></cell></row><row r="6076"><cell r="K6076" t="str"><v>August</v></cell><cell r="L6076"><v>43330</v></cell><cell r="M6076" t="str"><v>Tier 1</v></cell><cell r="N6076" t="str"><v>EMEA</v></cell><cell r="O6076" t="str"><v>United Kingdom</v></cell><cell r="P6076" t="str"><v>Trial</v></cell><cell r="Q6076" t="str"><v>Social</v></cell><cell r="R6076" t="str"><v>Azure</v></cell><cell r="S6076" t="str"><v>Apps & Infra</v></cell><cell r="T6076" t="str"><v>Developers & ITI's</v></cell><cell r="U6076" t="str"><v>Audience & Interest Targeting</v></cell><cell r="V6076" t="str"><v>Audience Targeting</v></cell><cell r="W6076" t="str"><v>Link Ad</v></cell><cell r="X6076" t="str"><v>1x1</v></cell></row><row r="6076"><cell r="AA6076"><v>43325</v></cell><cell r="AB6076" t="str"><v>GBR_gaPMG_CE_AZR_Q1_19_Trial-Social</v></cell><cell r="AC6076"><v>21337013</v></cell><cell r="AD6076"><v>720196</v></cell><cell r="AE6076" t="str"><v>Facebook</v></cell><cell r="AF6076"><v>3654128</v></cell><cell r="AG6076" t="str"><v>Facebook»Audience & Interest Targeting»1x1»SocialBan»LIA»DT»DYN»AUT»W»NA»SS»NA»Free Account Refresh- Device ChB</v></cell><cell r="AH6076"><v>223560353</v></cell><cell r="AI6076" t="str"><v>AzurePlatform_FreeAcctAppsFACEBOOKDeviceChB_GBR_1200x628_SOC_PLAT_EN_Trial_Standard_NA_SU_T2_1</v></cell><cell r="AJ6076"><v>102854010</v></cell></row><row r="6077"><cell r="C6077" t="str"><v>43325Facebook»Audience & Interest Targeting»1x1»SocialBan»LIA»DT»DYN»AUT»W»NA»SS»NA»Free Account Refresh- Illustration ChC</v></cell><cell r="D6077" t="str"><v>43325223560347</v></cell><cell r="E6077" t="str"><v>43325102857037on ChC</v></cell><cell r="F6077" t="str"><v>DCM</v></cell><cell r="G6077" t="str"><v>https://azure.microsoft.com/en-gb/free/search/</v></cell></row><row r="6077"><cell r="K6077" t="str"><v>August</v></cell><cell r="L6077"><v>43330</v></cell><cell r="M6077" t="str"><v>Tier 1</v></cell><cell r="N6077" t="str"><v>EMEA</v></cell><cell r="O6077" t="str"><v>United Kingdom</v></cell><cell r="P6077" t="str"><v>Trial</v></cell><cell r="Q6077" t="str"><v>Social</v></cell><cell r="R6077" t="str"><v>Azure</v></cell><cell r="S6077" t="str"><v>Apps & Infra</v></cell><cell r="T6077" t="str"><v>Developers & ITI's</v></cell><cell r="U6077" t="str"><v>Audience & Interest Targeting</v></cell><cell r="V6077" t="str"><v>Audience Targeting</v></cell><cell r="W6077" t="str"><v>Link Ad</v></cell><cell r="X6077" t="str"><v>1x1</v></cell></row><row r="6077"><cell r="AA6077"><v>43325</v></cell><cell r="AB6077" t="str"><v>GBR_gaPMG_CE_AZR_Q1_19_Trial-Social</v></cell><cell r="AC6077"><v>21337013</v></cell><cell r="AD6077"><v>720196</v></cell><cell r="AE6077" t="str"><v>Facebook</v></cell><cell r="AF6077"><v>3654128</v></cell><cell r="AG6077" t="str"><v>Facebook»Audience & Interest Targeting»1x1»SocialBan»LIA»DT»DYN»AUT»W»NA»SS»NA»Free Account Refresh- Illustration ChC</v></cell><cell r="AH6077"><v>223560347</v></cell><cell r="AI6077" t="str"><v>AzurePlatform_FreeAcctAppsFACEBOOKIllustrationChC_GBR_1200x628_SOC_PLAT_EN_Trial_Standard_NA_SU_T3_1</v></cell><cell r="AJ6077"><v>102857037</v></cell></row><row r="6078"><cell r="C6078" t="str"><v>43325Facebook»Audience & Interest Targeting»1x1»SocialBan»LIA»DT»DYN»AUT»W»NA»SS»NA»Free Account Refresh- Lifestyle ChA</v></cell><cell r="D6078" t="str"><v>43325223560341</v></cell><cell r="E6078" t="str"><v>43325102853597le ChA</v></cell><cell r="F6078" t="str"><v>DCM</v></cell><cell r="G6078" t="str"><v>https://azure.microsoft.com/en-gb/free/search/</v></cell></row><row r="6078"><cell r="K6078" t="str"><v>August</v></cell><cell r="L6078"><v>43330</v></cell><cell r="M6078" t="str"><v>Tier 1</v></cell><cell r="N6078" t="str"><v>EMEA</v></cell><cell r="O6078" t="str"><v>United Kingdom</v></cell><cell r="P6078" t="str"><v>Trial</v></cell><cell r="Q6078" t="str"><v>Social</v></cell><cell r="R6078" t="str"><v>Azure</v></cell><cell r="S6078" t="str"><v>Apps & Infra</v></cell><cell r="T6078" t="str"><v>Developers & ITI's</v></cell><cell r="U6078" t="str"><v>Audience & Interest Targeting</v></cell><cell r="V6078" t="str"><v>Audience Targeting</v></cell><cell r="W6078" t="str"><v>Link Ad</v></cell><cell r="X6078" t="str"><v>1x1</v></cell></row><row r="6078"><cell r="AA6078"><v>43325</v></cell><cell r="AB6078" t="str"><v>GBR_gaPMG_CE_AZR_Q1_19_Trial-Social</v></cell><cell r="AC6078"><v>21337013</v></cell><cell r="AD6078"><v>720196</v></cell><cell r="AE6078" t="str"><v>Facebook</v></cell><cell r="AF6078"><v>3654128</v></cell><cell r="AG6078" t="str"><v>Facebook»Audience & Interest Targeting»1x1»SocialBan»LIA»DT»DYN»AUT»W»NA»SS»NA»Free Account Refresh- Lifestyle ChA</v></cell><cell r="AH6078"><v>223560341</v></cell><cell r="AI6078" t="str"><v>AzurePlatform_FreeAcctAppsFACEBOOKLifestyleChA_GBR_1200x628_SOC_PLAT_EN_Trial_Standard_NA_SU_T1_1</v></cell><cell r="AJ6078"><v>102853597</v></cell></row><row r="6079"><cell r="C6079" t="str"><v>43325Facebook»Retargeting»1x1»SocialBan»LIA»DT»DYN»RT»W»NA»SS»NA»Free Account Retargeting Generic- Animated ChC</v></cell><cell r="D6079" t="str"><v>43325223560299</v></cell><cell r="E6079" t="str"><v>43325102854019ed ChC</v></cell><cell r="F6079" t="str"><v>DCM</v></cell><cell r="G6079" t="str"><v>https://azure.microsoft.com/en-gb/free/search/</v></cell></row><row r="6079"><cell r="K6079" t="str"><v>August</v></cell><cell r="L6079"><v>43330</v></cell><cell r="M6079" t="str"><v>Tier 1</v></cell><cell r="N6079" t="str"><v>EMEA</v></cell><cell r="O6079" t="str"><v>United Kingdom</v></cell><cell r="P6079" t="str"><v>Trial</v></cell><cell r="Q6079" t="str"><v>Social</v></cell><cell r="R6079" t="str"><v>Azure</v></cell><cell r="S6079" t="str"><v>Apps & Infra</v></cell><cell r="T6079" t="str"><v>Developers & ITI's</v></cell><cell r="U6079" t="str"><v>Retargeting</v></cell><cell r="V6079" t="str"><v>Retargeting</v></cell><cell r="W6079" t="str"><v>Link Ad</v></cell><cell r="X6079" t="str"><v>1x1</v></cell></row><row r="6079"><cell r="AA6079"><v>43325</v></cell><cell r="AB6079" t="str"><v>GBR_gaPMG_CE_AZR_Q1_19_Trial-Social</v></cell><cell r="AC6079"><v>21337013</v></cell><cell r="AD6079"><v>720196</v></cell><cell r="AE6079" t="str"><v>Facebook</v></cell><cell r="AF6079"><v>3654128</v></cell><cell r="AG6079" t="str"><v>Facebook»Retargeting»1x1»SocialBan»LIA»DT»DYN»RT»W»NA»SS»NA»Free Account Retargeting Generic- Animated ChC</v></cell><cell r="AH6079"><v>223560299</v></cell><cell r="AI6079" t="str"><v>AzurePlatform_FreeAcctRetargetingFB-Animated-ChC_GBR_1200x628_SOC_Plat_EN_Free Account_Standard_ANI_SU_T3_1</v></cell><cell r="AJ6079"><v>102854019</v></cell></row><row r="6080"><cell r="C6080" t="str"><v>43325Facebook»Retargeting»1x1»SocialBan»LIA»DT»DYN»RT»W»NA»SS»NA»Free Account Retargeting Generic- Global Alt ChB</v></cell><cell r="D6080" t="str"><v>43325223560356</v></cell><cell r="E6080" t="str"><v>43325102854016lt ChB</v></cell><cell r="F6080" t="str"><v>DCM</v></cell><cell r="G6080" t="str"><v>https://azure.microsoft.com/en-gb/free/search/</v></cell></row><row r="6080"><cell r="K6080" t="str"><v>August</v></cell><cell r="L6080"><v>43330</v></cell><cell r="M6080" t="str"><v>Tier 1</v></cell><cell r="N6080" t="str"><v>EMEA</v></cell><cell r="O6080" t="str"><v>United Kingdom</v></cell><cell r="P6080" t="str"><v>Trial</v></cell><cell r="Q6080" t="str"><v>Social</v></cell><cell r="R6080" t="str"><v>Azure</v></cell><cell r="S6080" t="str"><v>Apps & Infra</v></cell><cell r="T6080" t="str"><v>Developers & ITI's</v></cell><cell r="U6080" t="str"><v>Retargeting</v></cell><cell r="V6080" t="str"><v>Retargeting</v></cell><cell r="W6080" t="str"><v>Link Ad</v></cell><cell r="X6080" t="str"><v>1x1</v></cell></row><row r="6080"><cell r="AA6080"><v>43325</v></cell><cell r="AB6080" t="str"><v>GBR_gaPMG_CE_AZR_Q1_19_Trial-Social</v></cell><cell r="AC6080"><v>21337013</v></cell><cell r="AD6080"><v>720196</v></cell><cell r="AE6080" t="str"><v>Facebook</v></cell><cell r="AF6080"><v>3654128</v></cell><cell r="AG6080" t="str"><v>Facebook»Retargeting»1x1»SocialBan»LIA»DT»DYN»RT»W»NA»SS»NA»Free Account Retargeting Generic- Global Alt ChB</v></cell><cell r="AH6080"><v>223560356</v></cell><cell r="AI6080" t="str"><v>AzurePlatform_FreeAcctRetargetingFB-GlobalAlt-ChB_GBR_1200x628_SOC_Plat_EN_Free Account_Standard_NA_SU_T2_1</v></cell><cell r="AJ6080"><v>102854016</v></cell></row><row r="6081"><cell r="C6081" t="str"><v>43325Facebook»Retargeting»1x1»SocialBan»LIA»DT»DYN»RT»W»NA»SS»NA»Free Account Retargeting OSS- Logos ChG</v></cell><cell r="D6081" t="str"><v>43325223560350</v></cell><cell r="E6081" t="str"><v>43325103006547os ChG</v></cell><cell r="F6081" t="str"><v>DCM</v></cell><cell r="G6081" t="str"><v>https://azure.microsoft.com/en-gb/free/open-source/search/</v></cell></row><row r="6081"><cell r="K6081" t="str"><v>August</v></cell><cell r="L6081"><v>43330</v></cell><cell r="M6081" t="str"><v>Tier 1</v></cell><cell r="N6081" t="str"><v>EMEA</v></cell><cell r="O6081" t="str"><v>United Kingdom</v></cell><cell r="P6081" t="str"><v>Trial</v></cell><cell r="Q6081" t="str"><v>Social</v></cell><cell r="R6081" t="str"><v>Azure</v></cell><cell r="S6081" t="str"><v>Apps & Infra</v></cell><cell r="T6081" t="str"><v>Developers & ITI's</v></cell><cell r="U6081" t="str"><v>Retargeting</v></cell><cell r="V6081" t="str"><v>Retargeting</v></cell><cell r="W6081" t="str"><v>Link Ad</v></cell><cell r="X6081" t="str"><v>1x1</v></cell></row><row r="6081"><cell r="AA6081"><v>43325</v></cell><cell r="AB6081" t="str"><v>GBR_gaPMG_CE_AZR_Q1_19_Trial-Social</v></cell><cell r="AC6081"><v>21337013</v></cell><cell r="AD6081"><v>720196</v></cell><cell r="AE6081" t="str"><v>Facebook</v></cell><cell r="AF6081"><v>3654128</v></cell><cell r="AG6081" t="str"><v>Facebook»Retargeting»1x1»SocialBan»LIA»DT»DYN»RT»W»NA»SS»NA»Free Account Retargeting OSS- Logos ChG</v></cell><cell r="AH6081"><v>223560350</v></cell><cell r="AI6081" t="str"><v>AzurePlatform_FreeAcctRetargetingOSSFB-Logos-ChG_GBR_1200x628_SOC_Plat_EN_Free Account_Standard_NA_SU_T2_1</v></cell><cell r="AJ6081"><v>103006547</v></cell></row><row r="6082"><cell r="C6082" t="str"><v>43325Facebook»Retargeting»1x1»SocialBan»LIA»DT»DYN»RT»W»NA»SS»NA»Free Account Retargeting OSS- Text ChF</v></cell><cell r="D6082" t="str"><v>43325223560344</v></cell><cell r="E6082" t="str"><v>43325102861246xt ChF</v></cell><cell r="F6082" t="str"><v>DCM</v></cell><cell r="G6082" t="str"><v>https://azure.microsoft.com/en-gb/free/open-source/search/</v></cell></row><row r="6082"><cell r="K6082" t="str"><v>August</v></cell><cell r="L6082"><v>43330</v></cell><cell r="M6082" t="str"><v>Tier 1</v></cell><cell r="N6082" t="str"><v>EMEA</v></cell><cell r="O6082" t="str"><v>United Kingdom</v></cell><cell r="P6082" t="str"><v>Trial</v></cell><cell r="Q6082" t="str"><v>Social</v></cell><cell r="R6082" t="str"><v>Azure</v></cell><cell r="S6082" t="str"><v>Apps & Infra</v></cell><cell r="T6082" t="str"><v>Developers & ITI's</v></cell><cell r="U6082" t="str"><v>Retargeting</v></cell><cell r="V6082" t="str"><v>Retargeting</v></cell><cell r="W6082" t="str"><v>Link Ad</v></cell><cell r="X6082" t="str"><v>1x1</v></cell></row><row r="6082"><cell r="AA6082"><v>43325</v></cell><cell r="AB6082" t="str"><v>GBR_gaPMG_CE_AZR_Q1_19_Trial-Social</v></cell><cell r="AC6082"><v>21337013</v></cell><cell r="AD6082"><v>720196</v></cell><cell r="AE6082" t="str"><v>Facebook</v></cell><cell r="AF6082"><v>3654128</v></cell><cell r="AG6082" t="str"><v>Facebook»Retargeting»1x1»SocialBan»LIA»DT»DYN»RT»W»NA»SS»NA»Free Account Retargeting OSS- Text ChF</v></cell><cell r="AH6082"><v>223560344</v></cell><cell r="AI6082" t="str"><v>AzurePlatform_FreeAcctRetargetingOSSFB-Text-ChF_GBR_1200x628_SOC_Plat_EN_Free Account_Standard_NA_SU_T1_1</v></cell><cell r="AJ6082"><v>102861246</v></cell></row><row r="6083"><cell r="C6083" t="str"><v>43325Facebook»Retargeting»1x1»SocialBan»LIA»DT»DYN»RT»W»NA»SS»NA»Free Account Retargeting VM- 750 Hrs ChD</v></cell><cell r="D6083" t="str"><v>43325223560338</v></cell><cell r="E6083" t="str"><v>43325102853603rs ChD</v></cell><cell r="F6083" t="str"><v>DCM</v></cell><cell r="G6083" t="str"><v>https://azure.microsoft.com/en-gb/free/virtual-machines/search/</v></cell></row><row r="6083"><cell r="K6083" t="str"><v>August</v></cell><cell r="L6083"><v>43330</v></cell><cell r="M6083" t="str"><v>Tier 1</v></cell><cell r="N6083" t="str"><v>EMEA</v></cell><cell r="O6083" t="str"><v>United Kingdom</v></cell><cell r="P6083" t="str"><v>Trial</v></cell><cell r="Q6083" t="str"><v>Social</v></cell><cell r="R6083" t="str"><v>Azure</v></cell><cell r="S6083" t="str"><v>Apps & Infra</v></cell><cell r="T6083" t="str"><v>Developers & ITI's</v></cell><cell r="U6083" t="str"><v>Retargeting</v></cell><cell r="V6083" t="str"><v>Retargeting</v></cell><cell r="W6083" t="str"><v>Link Ad</v></cell><cell r="X6083" t="str"><v>1x1</v></cell></row><row r="6083"><cell r="AA6083"><v>43325</v></cell><cell r="AB6083" t="str"><v>GBR_gaPMG_CE_AZR_Q1_19_Trial-Social</v></cell><cell r="AC6083"><v>21337013</v></cell><cell r="AD6083"><v>720196</v></cell><cell r="AE6083" t="str"><v>Facebook</v></cell><cell r="AF6083"><v>3654128</v></cell><cell r="AG6083" t="str"><v>Facebook»Retargeting»1x1»SocialBan»LIA»DT»DYN»RT»W»NA»SS»NA»Free Account Retargeting VM- 750 Hrs ChD</v></cell><cell r="AH6083"><v>223560338</v></cell><cell r="AI6083" t="str"><v>AzurePlatform_FreeAcctRetargetingVMFB-750Hrs-ChD_GBR_1200x628_SOC_Plat_EN_Free Account_Standard_NA_SU_T1_1</v></cell><cell r="AJ6083"><v>102853603</v></cell></row><row r="6084"><cell r="C6084" t="str"><v>43325Facebook»AZP-Canvas-Look a Like-Trial»1x1»Canvas»OTH»MO»CPM»PRO»X»UNK»TP»OT»Canvas-Trial</v></cell><cell r="D6084" t="str"><v>43325223297413</v></cell><cell r="E6084" t="str"><v>43325102630373-Trial</v></cell><cell r="F6084" t="str"><v>DCM</v></cell><cell r="G6084" t="str"><v>https://azure.microsoft.com/ja-jp/pricing/purchase-options/</v></cell></row><row r="6084"><cell r="K6084" t="str"><v>August</v></cell><cell r="L6084"><v>43330</v></cell><cell r="M6084" t="str"><v>Tier 1</v></cell><cell r="N6084" t="str"><v>APAC</v></cell><cell r="O6084" t="str"><v>Japan</v></cell><cell r="P6084" t="str"><v>Trial</v></cell><cell r="Q6084" t="str"><v>Social</v></cell><cell r="R6084" t="str"><v>Azure</v></cell><cell r="S6084" t="str"><v>Apps & Infra</v></cell><cell r="T6084" t="str"><v>Developers & ITI's</v></cell><cell r="U6084" t="str"><v>AZP-Canvas-Look a Like-Trial</v></cell><cell r="V6084" t="str"><v>Prospecting</v></cell><cell r="W6084" t="str"><v>Other</v></cell><cell r="X6084" t="str"><v>1x1</v></cell></row><row r="6084"><cell r="AA6084"><v>43325</v></cell><cell r="AB6084" t="str"><v>JPN_gaPMG_AZR_AZR_Q1_19_Trial-Social</v></cell><cell r="AC6084"><v>21276694</v></cell><cell r="AD6084"><v>720195</v></cell><cell r="AE6084" t="str"><v>Facebook</v></cell><cell r="AF6084"><v>3654128</v></cell><cell r="AG6084" t="str"><v>Facebook»AZP-Canvas-Look a Like-Trial»1x1»Canvas»OTH»MO»CPM»PRO»X»UNK»TP»OT»Canvas-Trial</v></cell><cell r="AH6084"><v>223297413</v></cell><cell r="AI6084" t="str"><v>AzurePlatform_FBCTCcanvaspage-BuyNowCTA-Img3_JPN_1080x162_SOC_Plat_Japanese_NA_Standard_NA_BN_T3_1</v></cell><cell r="AJ6084"><v>102630373</v></cell></row><row r="6085"><cell r="C6085" t="str"><v>43325Facebook»AZP-Canvas-Look a Like-Trial»1x1»Canvas»OTH»MO»CPM»PRO»X»UNK»TP»OT»Canvas-Trial</v></cell><cell r="D6085" t="str"><v>43325223297413</v></cell><cell r="E6085" t="str"><v>43325102609621-Trial</v></cell><cell r="F6085" t="str"><v>DCM</v></cell><cell r="G6085" t="str"><v>https://signup.azure.com/signup?offer=ms-azr-0044p&appId=102&ref=paidmedia-social-fb&redirectURL=https%3a%2f%2fazure.microsoft.com%2fja-jp%2fget-started%2fwelcome-to-azure%2f&l=ja-jp&correlationId=ead86c34-1f10-49dd-a72b-6918462a2cbf</v></cell></row><row r="6085"><cell r="K6085" t="str"><v>August</v></cell><cell r="L6085"><v>43330</v></cell><cell r="M6085" t="str"><v>Tier 1</v></cell><cell r="N6085" t="str"><v>APAC</v></cell><cell r="O6085" t="str"><v>Japan</v></cell><cell r="P6085" t="str"><v>Trial</v></cell><cell r="Q6085" t="str"><v>Social</v></cell><cell r="R6085" t="str"><v>Azure</v></cell><cell r="S6085" t="str"><v>Apps & Infra</v></cell><cell r="T6085" t="str"><v>Developers & ITI's</v></cell><cell r="U6085" t="str"><v>AZP-Canvas-Look a Like-Trial</v></cell><cell r="V6085" t="str"><v>Prospecting</v></cell><cell r="W6085" t="str"><v>Other</v></cell><cell r="X6085" t="str"><v>1x1</v></cell></row><row r="6085"><cell r="AA6085"><v>43325</v></cell><cell r="AB6085" t="str"><v>JPN_gaPMG_AZR_AZR_Q1_19_Trial-Social</v></cell><cell r="AC6085"><v>21276694</v></cell><cell r="AD6085"><v>720195</v></cell><cell r="AE6085" t="str"><v>Facebook</v></cell><cell r="AF6085"><v>3654128</v></cell><cell r="AG6085" t="str"><v>Facebook»AZP-Canvas-Look a Like-Trial»1x1»Canvas»OTH»MO»CPM»PRO»X»UNK»TP»OT»Canvas-Trial</v></cell><cell r="AH6085"><v>223297413</v></cell><cell r="AI6085" t="str"><v>AzurePlatform_FBCTCcanvaspage-StartFreeCTA-Img2_JPN_1080x143 _SOC_Plat_Japanese_NA_Standard_NA_NA_T2_1</v></cell><cell r="AJ6085"><v>102609621</v></cell></row><row r="6086"><cell r="C6086" t="str"><v>43325Facebook»AZP-Canvas-Retargeting-Trial»1x1»Canvas»SOC»MO»CPM»PRO»W»UNK»SS»OT»Canvas-Trial</v></cell><cell r="D6086" t="str"><v>43325226269941</v></cell><cell r="E6086" t="str"><v>43325104060547-Trial</v></cell><cell r="F6086" t="str"><v>DCM</v></cell><cell r="G6086" t="str"><v>https://azure.microsoft.com/ja-jp/pricing/purchase-options/</v></cell></row><row r="6086"><cell r="K6086" t="str"><v>August</v></cell><cell r="L6086"><v>43330</v></cell><cell r="M6086" t="str"><v>Tier 1</v></cell><cell r="N6086" t="str"><v>APAC</v></cell><cell r="O6086" t="str"><v>Japan</v></cell><cell r="P6086" t="str"><v>Trial</v></cell><cell r="Q6086" t="str"><v>Social</v></cell><cell r="R6086" t="str"><v>Azure</v></cell><cell r="S6086" t="str"><v>Apps & Infra</v></cell><cell r="T6086" t="str"><v>Developers & ITI's</v></cell><cell r="U6086" t="str"><v>AZP-Canvas-Retargeting-Trial</v></cell><cell r="V6086" t="str"><v>Prospecting</v></cell><cell r="W6086" t="str"><v>Social</v></cell><cell r="X6086" t="str"><v>1x1</v></cell></row><row r="6086"><cell r="AA6086"><v>43325</v></cell><cell r="AB6086" t="str"><v>JPN_gaPMG_AZR_AZR_Q1_19_Trial-Social</v></cell><cell r="AC6086"><v>21276694</v></cell><cell r="AD6086"><v>720195</v></cell><cell r="AE6086" t="str"><v>Facebook</v></cell><cell r="AF6086"><v>3654128</v></cell><cell r="AG6086" t="str"><v>Facebook»AZP-Canvas-Retargeting-Trial»1x1»Canvas»SOC»MO»CPM»PRO»W»UNK»SS»OT»Canvas-Trial</v></cell><cell r="AH6086"><v>226269941</v></cell><cell r="AI6086" t="str"><v>AZR_FBCTCcanvaspage-BuyNowCTA-Img3_JPN_1080x162_SOC_Plat_Japanese_NA_Standard_NA_BN_T3_1</v></cell><cell r="AJ6086"><v>104060547</v></cell></row><row r="6087"><cell r="C6087" t="str"><v>43325Facebook»AZP-Canvas-Retargeting-Trial»1x1»Canvas»SOC»MO»CPM»PRO»W»UNK»SS»OT»Canvas-Trial</v></cell><cell r="D6087" t="str"><v>43325226269941</v></cell><cell r="E6087" t="str"><v>43325104061321-Trial</v></cell><cell r="F6087" t="str"><v>DCM</v></cell><cell r="G6087" t="str"><v>https://signup.azure.com/signup?offer=ms-azr-0044p&appId=102&ref=paidmedia-social-fb&redirectURL=https%3a%2f%2fazure.microsoft.com%2fja-jp%2fget-started%2fwelcome-to-azure%2f&l=ja-jp&correlationId=ead86c34-1f10-49dd-a72b-6918462a2cbf</v></cell></row><row r="6087"><cell r="K6087" t="str"><v>August</v></cell><cell r="L6087"><v>43330</v></cell><cell r="M6087" t="str"><v>Tier 1</v></cell><cell r="N6087" t="str"><v>APAC</v></cell><cell r="O6087" t="str"><v>Japan</v></cell><cell r="P6087" t="str"><v>Trial</v></cell><cell r="Q6087" t="str"><v>Social</v></cell><cell r="R6087" t="str"><v>Azure</v></cell><cell r="S6087" t="str"><v>Apps & Infra</v></cell><cell r="T6087" t="str"><v>Developers & ITI's</v></cell><cell r="U6087" t="str"><v>AZP-Canvas-Retargeting-Trial</v></cell><cell r="V6087" t="str"><v>Prospecting</v></cell><cell r="W6087" t="str"><v>Social</v></cell><cell r="X6087" t="str"><v>1x1</v></cell></row><row r="6087"><cell r="AA6087"><v>43325</v></cell><cell r="AB6087" t="str"><v>JPN_gaPMG_AZR_AZR_Q1_19_Trial-Social</v></cell><cell r="AC6087"><v>21276694</v></cell><cell r="AD6087"><v>720195</v></cell><cell r="AE6087" t="str"><v>Facebook</v></cell><cell r="AF6087"><v>3654128</v></cell><cell r="AG6087" t="str"><v>Facebook»AZP-Canvas-Retargeting-Trial»1x1»Canvas»SOC»MO»CPM»PRO»W»UNK»SS»OT»Canvas-Trial</v></cell><cell r="AH6087"><v>226269941</v></cell><cell r="AI6087" t="str"><v>AZR_FBCTCcanvaspage-StartFreeCTA-Img2_JPN_1080x143 _SOC_Plat_Japanese_NA_Standard_NA_NA_T2_1</v></cell><cell r="AJ6087"><v>104061321</v></cell></row><row r="6088"><cell r="C6088" t="str"><v>43325FACEBOOK»USA-Trial-ITD-Interest Prospecting-AZR-AZR»1 x 1»SocialBan»CAN»ALL»CPA»PRO»X»NA»SS»NA»FBCTCBenefit2inMotion»PRC1SW</v></cell><cell r="D6088" t="str"><v>43325223933138</v></cell><cell r="E6088" t="str"><v>43325103043835PRC1SW</v></cell><cell r="F6088" t="str"><v>DCM</v></cell><cell r="G6088" t="str"><v>https://signup.azure.com/?OCID=AID%eexcid!_OLA_%ebuy!_%epid!_%ecid!</v></cell></row><row r="6088"><cell r="K6088" t="str"><v>August</v></cell><cell r="L6088"><v>43330</v></cell><cell r="M6088" t="str"><v>Tier 0</v></cell><cell r="N6088" t="str"><v>North America</v></cell><cell r="O6088" t="str"><v>United States</v></cell><cell r="P6088" t="str"><v>Trial</v></cell><cell r="Q6088" t="str"><v>Social</v></cell><cell r="R6088" t="str"><v>Azure</v></cell><cell r="S6088" t="str"><v>Apps & Infra</v></cell><cell r="T6088" t="str"><v>Developers & ITI's</v></cell><cell r="U6088" t="str"><v>USA-Trial-ITD-Interest Prospecting-AZR-AZR</v></cell><cell r="V6088" t="str"><v>Prospecting</v></cell><cell r="W6088" t="str"><v>Canvas Ad</v></cell><cell r="X6088" t="str"><v>1x1</v></cell></row><row r="6088"><cell r="AA6088"><v>43325</v></cell><cell r="AB6088" t="str"><v>USA_gaPMG_AZR_AZR_Q1_19_Direct-Social</v></cell><cell r="AC6088"><v>21358715</v></cell><cell r="AD6088"><v>720197</v></cell><cell r="AE6088" t="str"><v>Facebook</v></cell><cell r="AF6088"><v>3654128</v></cell><cell r="AG6088" t="str"><v>FACEBOOK»USA-Trial-ITD-Interest Prospecting-AZR-AZR»1 x 1»SocialBan»CAN»ALL»CPA»PRO»X»NA»SS»NA»FBCTCBenefit2inMotion»PRC1SW</v></cell><cell r="AH6088"><v>223933138</v></cell><cell r="AI6088" t="str"><v>AzurePlatform_FBCTCBenefit2inMotion_USA_10s_CAN_PLATFORM_English_Trial_Standard_STAN_TIN_T4_1</v></cell><cell r="AJ6088"><v>103043835</v></cell></row><row r="6089"><cell r="C6089" t="str"><v>43325FACEBOOK»USA-Trial-ITD-Interest Prospecting-AZR-AZR»1 x 1»SocialBan»CAN»ALL»CPA»PRO»X»NA»SS»NA»FBCTCBenefit2inMotion»PRC1SW</v></cell><cell r="D6089" t="str"><v>43325223933138</v></cell><cell r="E6089" t="str"><v>43325103178645PRC1SW</v></cell><cell r="F6089" t="str"><v>DCM</v></cell><cell r="G6089" t="str"><v>https://azure.microsoft.com/en-us/pricing/purchase-options/?v=18.19&OCID=AID%eexcid!_OLA_%ebuy!_%epid!_%ecid!</v></cell></row><row r="6089"><cell r="K6089" t="str"><v>August</v></cell><cell r="L6089"><v>43330</v></cell><cell r="M6089" t="str"><v>Tier 0</v></cell><cell r="N6089" t="str"><v>North America</v></cell><cell r="O6089" t="str"><v>United States</v></cell><cell r="P6089" t="str"><v>Trial</v></cell><cell r="Q6089" t="str"><v>Social</v></cell><cell r="R6089" t="str"><v>Azure</v></cell><cell r="S6089" t="str"><v>Apps & Infra</v></cell><cell r="T6089" t="str"><v>Developers & ITI's</v></cell><cell r="U6089" t="str"><v>USA-Trial-ITD-Interest Prospecting-AZR-AZR</v></cell><cell r="V6089" t="str"><v>Prospecting</v></cell><cell r="W6089" t="str"><v>Canvas Ad</v></cell><cell r="X6089" t="str"><v>1x1</v></cell></row><row r="6089"><cell r="AA6089"><v>43325</v></cell><cell r="AB6089" t="str"><v>USA_gaPMG_AZR_AZR_Q1_19_Direct-Social</v></cell><cell r="AC6089"><v>21358715</v></cell><cell r="AD6089"><v>720197</v></cell><cell r="AE6089" t="str"><v>Facebook</v></cell><cell r="AF6089"><v>3654128</v></cell><cell r="AG6089" t="str"><v>FACEBOOK»USA-Trial-ITD-Interest Prospecting-AZR-AZR»1 x 1»SocialBan»CAN»ALL»CPA»PRO»X»NA»SS»NA»FBCTCBenefit2inMotion»PRC1SW</v></cell><cell r="AH6089"><v>223933138</v></cell><cell r="AI6089" t="str"><v>AzurePlatform_FBCTCBenefit2inMotion_USA_10s_CAN_PLATFORM_English_Trial_Standard_STAN_TIN_T4_2</v></cell><cell r="AJ6089"><v>103178645</v></cell></row><row r="6090"><cell r="C6090" t="str"><v>43325FACEBOOK»USA-Trial-ITD-Interest Prospecting-AZR-AZR»1 x 1»SocialBan»CAN»ALL»CPA»PRO»X»NA»SS»NA»FBCTCBrandinMotion»PRC1SY</v></cell><cell r="D6090" t="str"><v>43325224104929</v></cell><cell r="E6090" t="str"><v>43325103176812PRC1SY</v></cell><cell r="F6090" t="str"><v>DCM</v></cell><cell r="G6090" t="str"><v>https://signup.azure.com/?OCID=AID%eexcid!_OLA_%ebuy!_%epid!_%ecid!</v></cell></row><row r="6090"><cell r="K6090" t="str"><v>August</v></cell><cell r="L6090"><v>43330</v></cell><cell r="M6090" t="str"><v>Tier 0</v></cell><cell r="N6090" t="str"><v>North America</v></cell><cell r="O6090" t="str"><v>United States</v></cell><cell r="P6090" t="str"><v>Trial</v></cell><cell r="Q6090" t="str"><v>Social</v></cell><cell r="R6090" t="str"><v>Azure</v></cell><cell r="S6090" t="str"><v>Apps & Infra</v></cell><cell r="T6090" t="str"><v>Developers & ITI's</v></cell><cell r="U6090" t="str"><v>USA-Trial-ITD-Interest Prospecting-AZR-AZR</v></cell><cell r="V6090" t="str"><v>Prospecting</v></cell><cell r="W6090" t="str"><v>Canvas Ad</v></cell><cell r="X6090" t="str"><v>1x1</v></cell></row><row r="6090"><cell r="AA6090"><v>43325</v></cell><cell r="AB6090" t="str"><v>USA_gaPMG_AZR_AZR_Q1_19_Direct-Social</v></cell><cell r="AC6090"><v>21358715</v></cell><cell r="AD6090"><v>720197</v></cell><cell r="AE6090" t="str"><v>Facebook</v></cell><cell r="AF6090"><v>3654128</v></cell><cell r="AG6090" t="str"><v>FACEBOOK»USA-Trial-ITD-Interest Prospecting-AZR-AZR»1 x 1»SocialBan»CAN»ALL»CPA»PRO»X»NA»SS»NA»FBCTCBrandinMotion»PRC1SY</v></cell><cell r="AH6090"><v>224104929</v></cell><cell r="AI6090" t="str"><v>AzurePlatform_FBCTCBrandinMotion_USA_10s_CAN_PLATFORM_English_Trial_Standard_STAN_TIN_T2_1</v></cell><cell r="AJ6090"><v>103176812</v></cell></row><row r="6091"><cell r="C6091" t="str"><v>43325FACEBOOK»USA-Trial-ITD-Interest Prospecting-AZR-AZR»1 x 1»SocialBan»CAN»ALL»CPA»PRO»X»NA»SS»NA»FBCTCBrandinMotion»PRC1SY</v></cell><cell r="D6091" t="str"><v>43325224104929</v></cell><cell r="E6091" t="str"><v>43325103032823PRC1SY</v></cell><cell r="F6091" t="str"><v>DCM</v></cell><cell r="G6091" t="str"><v>https://azure.microsoft.com/en-us/pricing/purchase-options/?v=18.19&OCID=AID%eexcid!_OLA_%ebuy!_%epid!_%ecid!</v></cell></row><row r="6091"><cell r="K6091" t="str"><v>August</v></cell><cell r="L6091"><v>43330</v></cell><cell r="M6091" t="str"><v>Tier 0</v></cell><cell r="N6091" t="str"><v>North America</v></cell><cell r="O6091" t="str"><v>United States</v></cell><cell r="P6091" t="str"><v>Trial</v></cell><cell r="Q6091" t="str"><v>Social</v></cell><cell r="R6091" t="str"><v>Azure</v></cell><cell r="S6091" t="str"><v>Apps & Infra</v></cell><cell r="T6091" t="str"><v>Developers & ITI's</v></cell><cell r="U6091" t="str"><v>USA-Trial-ITD-Interest Prospecting-AZR-AZR</v></cell><cell r="V6091" t="str"><v>Prospecting</v></cell><cell r="W6091" t="str"><v>Canvas Ad</v></cell><cell r="X6091" t="str"><v>1x1</v></cell></row><row r="6091"><cell r="AA6091"><v>43325</v></cell><cell r="AB6091" t="str"><v>USA_gaPMG_AZR_AZR_Q1_19_Direct-Social</v></cell><cell r="AC6091"><v>21358715</v></cell><cell r="AD6091"><v>720197</v></cell><cell r="AE6091" t="str"><v>Facebook</v></cell><cell r="AF6091"><v>3654128</v></cell><cell r="AG6091" t="str"><v>FACEBOOK»USA-Trial-ITD-Interest Prospecting-AZR-AZR»1 x 1»SocialBan»CAN»ALL»CPA»PRO»X»NA»SS»NA»FBCTCBrandinMotion»PRC1SY</v></cell><cell r="AH6091"><v>224104929</v></cell><cell r="AI6091" t="str"><v>AzurePlatform_FBCTCBrandinMotion_USA_10s_CAN_PLATFORM_English_Trial_Standard_STAN_TIN_T2_2</v></cell><cell r="AJ6091"><v>103032823</v></cell></row><row r="6092"><cell r="C6092" t="str"><v>43325FACEBOOK»USA-Trial-ITD-Interest Prospecting-AZR-AZR»1 x 1»SocialBan»LIA»ALL»CPA»PRO»X»NA»SS»NA»FreeAcctDeveloperFB-AnimatedGeneric-Ch1»PRC1SZ</v></cell><cell r="D6092" t="str"><v>43325224104932</v></cell><cell r="E6092" t="str"><v>43325103176851PRC1SZ</v></cell><cell r="F6092" t="str"><v>DCM</v></cell><cell r="G6092" t="str"><v>https://azure.microsoft.com/en-us/free/search/?OCID=AID%eexcid!_OLA_%ebuy!_%epid!_%ecid!</v></cell></row><row r="6092"><cell r="K6092" t="str"><v>August</v></cell><cell r="L6092"><v>43330</v></cell><cell r="M6092" t="str"><v>Tier 0</v></cell><cell r="N6092" t="str"><v>North America</v></cell><cell r="O6092" t="str"><v>United States</v></cell><cell r="P6092" t="str"><v>Trial</v></cell><cell r="Q6092" t="str"><v>Social</v></cell><cell r="R6092" t="str"><v>Azure</v></cell><cell r="S6092" t="str"><v>Apps & Infra</v></cell><cell r="T6092" t="str"><v>Developers & ITI's</v></cell><cell r="U6092" t="str"><v>USA-Trial-ITD-Interest Prospecting-AZR-AZR</v></cell><cell r="V6092" t="str"><v>Prospecting</v></cell><cell r="W6092" t="str"><v>Link Ad</v></cell><cell r="X6092" t="str"><v>1x1</v></cell></row><row r="6092"><cell r="AA6092"><v>43325</v></cell><cell r="AB6092" t="str"><v>USA_gaPMG_AZR_AZR_Q1_19_Direct-Social</v></cell><cell r="AC6092"><v>21358715</v></cell><cell r="AD6092"><v>720197</v></cell><cell r="AE6092" t="str"><v>Facebook</v></cell><cell r="AF6092"><v>3654128</v></cell><cell r="AG6092" t="str"><v>FACEBOOK»USA-Trial-ITD-Interest Prospecting-AZR-AZR»1 x 1»SocialBan»LIA»ALL»CPA»PRO»X»NA»SS»NA»FreeAcctDeveloperFB-AnimatedGeneric-Ch1»PRC1SZ</v></cell><cell r="AH6092"><v>224104932</v></cell><cell r="AI6092" t="str"><v>AZR_FreeAcctDeveloperFB-AnimatedGeneric-Ch1_USA_1200x1200_CAN_Direct_English_Trial_Standard_ANI_LEA_T1_2</v></cell><cell r="AJ6092"><v>103176851</v></cell></row><row r="6093"><cell r="C6093" t="str"><v>43325FACEBOOK»USA-Trial-ITD-Interest Prospecting-AZR-AZR»1 x 1»SocialBan»LIA»ALL»CPA»PRO»X»NA»SS»NA»FreeAcctITProFB-AnimatedSecureMngd-Ch1»PRC1T4</v></cell><cell r="D6093" t="str"><v>43325224104914</v></cell><cell r="E6093" t="str"><v>43325103176830PRC1T4</v></cell><cell r="F6093" t="str"><v>DCM</v></cell></row><row r="6093"><cell r="K6093" t="str"><v>August</v></cell><cell r="L6093"><v>43330</v></cell><cell r="M6093" t="str"><v>Tier 0</v></cell><cell r="N6093" t="str"><v>North America</v></cell><cell r="O6093" t="str"><v>United States</v></cell><cell r="P6093" t="str"><v>Trial</v></cell><cell r="Q6093" t="str"><v>Social</v></cell><cell r="R6093" t="str"><v>Azure</v></cell><cell r="S6093" t="str"><v>Apps & Infra</v></cell><cell r="T6093" t="str"><v>Developers & ITI's</v></cell><cell r="U6093" t="str"><v>USA-Trial-ITD-Interest Prospecting-AZR-AZR</v></cell><cell r="V6093" t="str"><v>Prospecting</v></cell><cell r="W6093" t="str"><v>Link Ad</v></cell><cell r="X6093" t="str"><v>1x1</v></cell></row><row r="6093"><cell r="AA6093"><v>43325</v></cell><cell r="AB6093" t="str"><v>USA_gaPMG_AZR_AZR_Q1_19_Direct-Social</v></cell><cell r="AC6093"><v>21358715</v></cell><cell r="AD6093"><v>720197</v></cell><cell r="AE6093" t="str"><v>Facebook</v></cell><cell r="AF6093"><v>3654128</v></cell><cell r="AG6093" t="str"><v>FACEBOOK»USA-Trial-ITD-Interest Prospecting-AZR-AZR»1 x 1»SocialBan»LIA»ALL»CPA»PRO»X»NA»SS»NA»FreeAcctITProFB-AnimatedSecureMngd-Ch1»PRC1T4</v></cell><cell r="AH6093"><v>224104914</v></cell><cell r="AI6093" t="str"><v>AZR_FreeAcctITProFB-AnimatedSecureMngd-Ch1_USA_1200x1200_CAN_Direct_English_Trial_Standard_ANI_LEA_T1_1</v></cell><cell r="AJ6093"><v>103176830</v></cell></row><row r="6094"><cell r="C6094" t="str"><v>43325FACEBOOK»USA-Trial-ITD-Interest Prospecting-AZR-AZR»1 x 1»SocialBan»CAN»ALL»CPA»PRO»X»NA»SS»NA»FBCTCBenefitinMotion»PRC1SX</v></cell><cell r="D6094" t="str"><v>43325224104077</v></cell><cell r="E6094" t="str"><v>43325103032775PRC1SX</v></cell><cell r="F6094" t="str"><v>DCM</v></cell><cell r="G6094" t="str"><v>https://signup.azure.com/?OCID=AID%eexcid!_OLA_%ebuy!_%epid!_%ecid!</v></cell></row><row r="6094"><cell r="K6094" t="str"><v>August</v></cell><cell r="L6094"><v>43330</v></cell><cell r="M6094" t="str"><v>Tier 0</v></cell><cell r="N6094" t="str"><v>North America</v></cell><cell r="O6094" t="str"><v>United States</v></cell><cell r="P6094" t="str"><v>Trial</v></cell><cell r="Q6094" t="str"><v>Social</v></cell><cell r="R6094" t="str"><v>Azure</v></cell><cell r="S6094" t="str"><v>Apps & Infra</v></cell><cell r="T6094" t="str"><v>Developers & ITI's</v></cell><cell r="U6094" t="str"><v>USA-Trial-ITD-Interest Prospecting-AZR-AZR</v></cell><cell r="V6094" t="str"><v>Prospecting</v></cell><cell r="W6094" t="str"><v>Canvas Ad</v></cell><cell r="X6094" t="str"><v>1x1</v></cell></row><row r="6094"><cell r="AA6094"><v>43325</v></cell><cell r="AB6094" t="str"><v>USA_gaPMG_AZR_AZR_Q1_19_Direct-Social</v></cell><cell r="AC6094"><v>21358715</v></cell><cell r="AD6094"><v>720197</v></cell><cell r="AE6094" t="str"><v>Facebook</v></cell><cell r="AF6094"><v>3654128</v></cell><cell r="AG6094" t="str"><v>FACEBOOK»USA-Trial-ITD-Interest Prospecting-AZR-AZR»1 x 1»SocialBan»CAN»ALL»CPA»PRO»X»NA»SS»NA»FBCTCBenefitinMotion»PRC1SX</v></cell><cell r="AH6094"><v>224104077</v></cell><cell r="AI6094" t="str"><v>AzurePlatform_FBCTCBenefitinMotion_USA_10s_CAN_PLATFORM_English_Trial_Standard_STAN_TIN_T3_1</v></cell><cell r="AJ6094"><v>103032775</v></cell></row><row r="6095"><cell r="C6095" t="str"><v>43325FACEBOOK»USA-Trial-ITD-Interest Prospecting-AZR-AZR»1 x 1»SocialBan»CAN»ALL»CPA»PRO»X»NA»SS»NA»FBCTCBenefitinMotion»PRC1SX</v></cell><cell r="D6095" t="str"><v>43325224104077</v></cell><cell r="E6095" t="str"><v>43325103176836PRC1SX</v></cell><cell r="F6095" t="str"><v>DCM</v></cell><cell r="G6095" t="str"><v>https://azure.microsoft.com/en-us/pricing/purchase-options/?v=18.19&OCID=AID%eexcid!_OLA_%ebuy!_%epid!_%ecid!</v></cell></row><row r="6095"><cell r="K6095" t="str"><v>August</v></cell><cell r="L6095"><v>43330</v></cell><cell r="M6095" t="str"><v>Tier 0</v></cell><cell r="N6095" t="str"><v>North America</v></cell><cell r="O6095" t="str"><v>United States</v></cell><cell r="P6095" t="str"><v>Trial</v></cell><cell r="Q6095" t="str"><v>Social</v></cell><cell r="R6095" t="str"><v>Azure</v></cell><cell r="S6095" t="str"><v>Apps & Infra</v></cell><cell r="T6095" t="str"><v>Developers & ITI's</v></cell><cell r="U6095" t="str"><v>USA-Trial-ITD-Interest Prospecting-AZR-AZR</v></cell><cell r="V6095" t="str"><v>Prospecting</v></cell><cell r="W6095" t="str"><v>Canvas Ad</v></cell><cell r="X6095" t="str"><v>1x1</v></cell></row><row r="6095"><cell r="AA6095"><v>43325</v></cell><cell r="AB6095" t="str"><v>USA_gaPMG_AZR_AZR_Q1_19_Direct-Social</v></cell><cell r="AC6095"><v>21358715</v></cell><cell r="AD6095"><v>720197</v></cell><cell r="AE6095" t="str"><v>Facebook</v></cell><cell r="AF6095"><v>3654128</v></cell><cell r="AG6095" t="str"><v>FACEBOOK»USA-Trial-ITD-Interest Prospecting-AZR-AZR»1 x 1»SocialBan»CAN»ALL»CPA»PRO»X»NA»SS»NA»FBCTCBenefitinMotion»PRC1SX</v></cell><cell r="AH6095"><v>224104077</v></cell><cell r="AI6095" t="str"><v>AzurePlatform_FBCTCBenefitinMotion_USA_10s_CAN_PLATFORM_English_Trial_Standard_STAN_TIN_T3_2</v></cell><cell r="AJ6095"><v>103176836</v></cell></row><row r="6096"><cell r="C6096" t="str"><v>43325FACEBOOK»USA-Trial-ITD-Interest Prospecting-AZR-AZR»1 x 1»SocialBan»CCA»ALL»CPA»PRO»X»NA»SS»NA»Azure Developer Facebook Collections»PRSGV0</v></cell><cell r="D6096" t="str"><v>43325225283843</v></cell><cell r="E6096" t="str"><v>43325103873631PRSGV0</v></cell><cell r="F6096" t="str"><v>DCM</v></cell><cell r="G6096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096"><cell r="K6096" t="str"><v>August</v></cell><cell r="L6096"><v>43330</v></cell><cell r="M6096" t="str"><v>Tier 0</v></cell><cell r="N6096" t="str"><v>North America</v></cell><cell r="O6096" t="str"><v>United States</v></cell><cell r="P6096" t="str"><v>Trial</v></cell><cell r="Q6096" t="str"><v>Social</v></cell><cell r="R6096" t="str"><v>Azure</v></cell><cell r="S6096" t="str"><v>Apps & Infra</v></cell><cell r="T6096" t="str"><v>Developers & ITI's</v></cell><cell r="U6096" t="str"><v>USA-Trial-ITD-Interest Prospecting-AZR-AZR</v></cell><cell r="V6096" t="str"><v>Prospecting</v></cell><cell r="W6096" t="str"><v>Canvas Collection Ad</v></cell><cell r="X6096" t="str"><v>1x1</v></cell></row><row r="6096"><cell r="AA6096"><v>43325</v></cell><cell r="AB6096" t="str"><v>USA_gaPMG_AZR_AZR_Q1_19_Direct-Social</v></cell><cell r="AC6096"><v>21358715</v></cell><cell r="AD6096"><v>720197</v></cell><cell r="AE6096" t="str"><v>Facebook</v></cell><cell r="AF6096"><v>3654128</v></cell><cell r="AG6096" t="str"><v>FACEBOOK»USA-Trial-ITD-Interest Prospecting-AZR-AZR»1 x 1»SocialBan»CCA»ALL»CPA»PRO»X»NA»SS»NA»Azure Developer Facebook Collections»PRSGV0</v></cell><cell r="AH6096"><v>225283843</v></cell><cell r="AI6096" t="str"><v>AZR_FBCollections-OSSTryAzureFreeCTA-Img3_USA_1200x182_SOC_Plat_EN_NA_Standard_NA_TIN_T1_3</v></cell><cell r="AJ6096"><v>103873631</v></cell></row><row r="6097"><cell r="C6097" t="str"><v>43325FACEBOOK»USA-Trial-ITD-Interest Prospecting-AZR-AZR»1 x 1»SocialBan»CCA»ALL»CPA»PRO»X»NA»SS»NA»Azure Developer Facebook Collections»PRSGV0</v></cell><cell r="D6097" t="str"><v>43325225283843</v></cell><cell r="E6097" t="str"><v>43325103773180PRSGV0</v></cell><cell r="F6097" t="str"><v>DCM</v></cell><cell r="G6097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097"><cell r="K6097" t="str"><v>August</v></cell><cell r="L6097"><v>43330</v></cell><cell r="M6097" t="str"><v>Tier 0</v></cell><cell r="N6097" t="str"><v>North America</v></cell><cell r="O6097" t="str"><v>United States</v></cell><cell r="P6097" t="str"><v>Trial</v></cell><cell r="Q6097" t="str"><v>Social</v></cell><cell r="R6097" t="str"><v>Azure</v></cell><cell r="S6097" t="str"><v>Apps & Infra</v></cell><cell r="T6097" t="str"><v>Developers & ITI's</v></cell><cell r="U6097" t="str"><v>USA-Trial-ITD-Interest Prospecting-AZR-AZR</v></cell><cell r="V6097" t="str"><v>Prospecting</v></cell><cell r="W6097" t="str"><v>Canvas Collection Ad</v></cell><cell r="X6097" t="str"><v>1x1</v></cell></row><row r="6097"><cell r="AA6097"><v>43325</v></cell><cell r="AB6097" t="str"><v>USA_gaPMG_AZR_AZR_Q1_19_Direct-Social</v></cell><cell r="AC6097"><v>21358715</v></cell><cell r="AD6097"><v>720197</v></cell><cell r="AE6097" t="str"><v>Facebook</v></cell><cell r="AF6097"><v>3654128</v></cell><cell r="AG6097" t="str"><v>FACEBOOK»USA-Trial-ITD-Interest Prospecting-AZR-AZR»1 x 1»SocialBan»CCA»ALL»CPA»PRO»X»NA»SS»NA»Azure Developer Facebook Collections»PRSGV0</v></cell><cell r="AH6097"><v>225283843</v></cell><cell r="AI6097" t="str"><v>AZR_FBCollections-SmartDataTryAzureFreeCTA-Img4_USA_1200x182_SOC_Plat_EN_NA_Standard_NA_TIN_T1_4</v></cell><cell r="AJ6097"><v>103773180</v></cell></row><row r="6098"><cell r="C6098" t="str"><v>43325FACEBOOK»USA-Trial-ITD-Interest Prospecting-AZR-AZR»1 x 1»SocialBan»CCA»ALL»CPA»PRO»X»NA»SS»NA»Azure Developer Facebook Collections»PRSGV0</v></cell><cell r="D6098" t="str"><v>43325225283843</v></cell><cell r="E6098" t="str"><v>43325103874423PRSGV0</v></cell><cell r="F6098" t="str"><v>DCM</v></cell><cell r="G6098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098"><cell r="K6098" t="str"><v>August</v></cell><cell r="L6098"><v>43330</v></cell><cell r="M6098" t="str"><v>Tier 0</v></cell><cell r="N6098" t="str"><v>North America</v></cell><cell r="O6098" t="str"><v>United States</v></cell><cell r="P6098" t="str"><v>Trial</v></cell><cell r="Q6098" t="str"><v>Social</v></cell><cell r="R6098" t="str"><v>Azure</v></cell><cell r="S6098" t="str"><v>Apps & Infra</v></cell><cell r="T6098" t="str"><v>Developers & ITI's</v></cell><cell r="U6098" t="str"><v>USA-Trial-ITD-Interest Prospecting-AZR-AZR</v></cell><cell r="V6098" t="str"><v>Prospecting</v></cell><cell r="W6098" t="str"><v>Canvas Collection Ad</v></cell><cell r="X6098" t="str"><v>1x1</v></cell></row><row r="6098"><cell r="AA6098"><v>43325</v></cell><cell r="AB6098" t="str"><v>USA_gaPMG_AZR_AZR_Q1_19_Direct-Social</v></cell><cell r="AC6098"><v>21358715</v></cell><cell r="AD6098"><v>720197</v></cell><cell r="AE6098" t="str"><v>Facebook</v></cell><cell r="AF6098"><v>3654128</v></cell><cell r="AG6098" t="str"><v>FACEBOOK»USA-Trial-ITD-Interest Prospecting-AZR-AZR»1 x 1»SocialBan»CCA»ALL»CPA»PRO»X»NA»SS»NA»Azure Developer Facebook Collections»PRSGV0</v></cell><cell r="AH6098"><v>225283843</v></cell><cell r="AI6098" t="str"><v>AZR_FBCollections-TryAzureFreeCTA-Img1_USA_1200x182_SOC_Plat_EN_NA_Standard_NA_TIN_T1_1</v></cell><cell r="AJ6098"><v>103874423</v></cell></row><row r="6099"><cell r="C6099" t="str"><v>43325FACEBOOK»USA-Trial-ITD-Retargeting-AZR-AZR»1 x 1»SocialBan»LIA»ALL»CPA»RT»X»NA»SS»NA»FreeAcctRetargetingFB-Credit-ChA»PRC1RV</v></cell><cell r="D6099" t="str"><v>43325224106075</v></cell><cell r="E6099" t="str"><v>43325103034917PRC1RV</v></cell><cell r="F6099" t="str"><v>DCM</v></cell><cell r="G6099" t="str"><v>https://azure.microsoft.com/en-us/free/search/?OCID=AID%eexcid!_OLA_%ebuy!_%epid!_%ecid!</v></cell></row><row r="6099"><cell r="K6099" t="str"><v>August</v></cell><cell r="L6099"><v>43330</v></cell><cell r="M6099" t="str"><v>Tier 0</v></cell><cell r="N6099" t="str"><v>North America</v></cell><cell r="O6099" t="str"><v>United States</v></cell><cell r="P6099" t="str"><v>Trial</v></cell><cell r="Q6099" t="str"><v>Social</v></cell><cell r="R6099" t="str"><v>Azure</v></cell><cell r="S6099" t="str"><v>Apps & Infra</v></cell><cell r="T6099" t="str"><v>Developers & ITI's</v></cell><cell r="U6099" t="str"><v>USA-Trial-ITD-Retargeting-AZR-AZR</v></cell><cell r="V6099" t="str"><v>Retargeting</v></cell><cell r="W6099" t="str"><v>Link Ad</v></cell><cell r="X6099" t="str"><v>1x1</v></cell></row><row r="6099"><cell r="AA6099"><v>43325</v></cell><cell r="AB6099" t="str"><v>USA_gaPMG_AZR_AZR_Q1_19_Direct-Social</v></cell><cell r="AC6099"><v>21358715</v></cell><cell r="AD6099"><v>720197</v></cell><cell r="AE6099" t="str"><v>Facebook</v></cell><cell r="AF6099"><v>3654128</v></cell><cell r="AG6099" t="str"><v>FACEBOOK»USA-Trial-ITD-Retargeting-AZR-AZR»1 x 1»SocialBan»LIA»ALL»CPA»RT»X»NA»SS»NA»FreeAcctRetargetingFB-Credit-ChA»PRC1RV</v></cell><cell r="AH6099"><v>224106075</v></cell><cell r="AI6099" t="str"><v>AzurePlatform_FreeAcctRetargetingFB-Credit-ChA_USA_1200x628_CAN_PLATFORM_English_Free Account_Standard_NA_SINU_T1_2</v></cell><cell r="AJ6099"><v>103034917</v></cell></row><row r="6100"><cell r="C6100" t="str"><v>43325FACEBOOK»USA-Trial-ITD-Retargeting-AZR-AZR»1 x 1»SocialBan»LIA»ALL»CPA»RT»X»NA»SS»NA»FreeAcctRetargetingFB-GlobalAlt-ChB»PRC1RW</v></cell><cell r="D6100" t="str"><v>43325223862756</v></cell><cell r="E6100" t="str"><v>43325103180592PRC1RW</v></cell><cell r="F6100" t="str"><v>DCM</v></cell><cell r="G6100" t="str"><v>https://azure.microsoft.com/en-us/free/search/?OCID=AID%eexcid!_OLA_%ebuy!_%epid!_%ecid!</v></cell></row><row r="6100"><cell r="K6100" t="str"><v>August</v></cell><cell r="L6100"><v>43330</v></cell><cell r="M6100" t="str"><v>Tier 0</v></cell><cell r="N6100" t="str"><v>North America</v></cell><cell r="O6100" t="str"><v>United States</v></cell><cell r="P6100" t="str"><v>Trial</v></cell><cell r="Q6100" t="str"><v>Social</v></cell><cell r="R6100" t="str"><v>Azure</v></cell><cell r="S6100" t="str"><v>Apps & Infra</v></cell><cell r="T6100" t="str"><v>Developers & ITI's</v></cell><cell r="U6100" t="str"><v>USA-Trial-ITD-Retargeting-AZR-AZR</v></cell><cell r="V6100" t="str"><v>Retargeting</v></cell><cell r="W6100" t="str"><v>Link Ad</v></cell><cell r="X6100" t="str"><v>1x1</v></cell></row><row r="6100"><cell r="AA6100"><v>43325</v></cell><cell r="AB6100" t="str"><v>USA_gaPMG_AZR_AZR_Q1_19_Direct-Social</v></cell><cell r="AC6100"><v>21358715</v></cell><cell r="AD6100"><v>720197</v></cell><cell r="AE6100" t="str"><v>Facebook</v></cell><cell r="AF6100"><v>3654128</v></cell><cell r="AG6100" t="str"><v>FACEBOOK»USA-Trial-ITD-Retargeting-AZR-AZR»1 x 1»SocialBan»LIA»ALL»CPA»RT»X»NA»SS»NA»FreeAcctRetargetingFB-GlobalAlt-ChB»PRC1RW</v></cell><cell r="AH6100"><v>223862756</v></cell><cell r="AI6100" t="str"><v>AzurePlatform_FreeAcctRetargetingFB-GlobalAlt-ChB_USA_1200x628_CAN_PLATFORM_English_Free Account_Standard_NA_SINU_T2_1</v></cell><cell r="AJ6100"><v>103180592</v></cell></row><row r="6101"><cell r="C6101" t="str"><v>43325FACEBOOK»USA-Trial-ITD-Retargeting-AZR-AZR»1 x 1»SocialBan»LIA»ALL»CPA»RT»X»NA»SS»NA»FreeAcctRetargetingVMFB-750Hrs-ChD»PRC1RY</v></cell><cell r="D6101" t="str"><v>43325223862747</v></cell><cell r="E6101" t="str"><v>43325103034911PRC1RY</v></cell><cell r="F6101" t="str"><v>DCM</v></cell><cell r="G6101" t="str"><v>https://azure.microsoft.com/en-us/free/virtual-machines/search/?OCID=AID%eexcid!_OLA_%ebuy!_%epid!_%ecid!</v></cell></row><row r="6101"><cell r="K6101" t="str"><v>August</v></cell><cell r="L6101"><v>43330</v></cell><cell r="M6101" t="str"><v>Tier 0</v></cell><cell r="N6101" t="str"><v>North America</v></cell><cell r="O6101" t="str"><v>United States</v></cell><cell r="P6101" t="str"><v>Trial</v></cell><cell r="Q6101" t="str"><v>Social</v></cell><cell r="R6101" t="str"><v>Azure</v></cell><cell r="S6101" t="str"><v>Apps & Infra</v></cell><cell r="T6101" t="str"><v>Developers & ITI's</v></cell><cell r="U6101" t="str"><v>USA-Trial-ITD-Retargeting-AZR-AZR</v></cell><cell r="V6101" t="str"><v>Retargeting</v></cell><cell r="W6101" t="str"><v>Link Ad</v></cell><cell r="X6101" t="str"><v>1x1</v></cell></row><row r="6101"><cell r="AA6101"><v>43325</v></cell><cell r="AB6101" t="str"><v>USA_gaPMG_AZR_AZR_Q1_19_Direct-Social</v></cell><cell r="AC6101"><v>21358715</v></cell><cell r="AD6101"><v>720197</v></cell><cell r="AE6101" t="str"><v>Facebook</v></cell><cell r="AF6101"><v>3654128</v></cell><cell r="AG6101" t="str"><v>FACEBOOK»USA-Trial-ITD-Retargeting-AZR-AZR»1 x 1»SocialBan»LIA»ALL»CPA»RT»X»NA»SS»NA»FreeAcctRetargetingVMFB-750Hrs-ChD»PRC1RY</v></cell><cell r="AH6101"><v>223862747</v></cell><cell r="AI6101" t="str"><v>AzurePlatform_FreeAcctRetargetingVMFB-750Hrs-ChD_USA_1200x628_CAN_PLATFORM_English_Free Account_Standard_NA_SINU_T1_1</v></cell><cell r="AJ6101"><v>103034911</v></cell></row><row r="6102"><cell r="C6102" t="str"><v>43325FACEBOOK»USA-Trial-ITD-Retargeting-AZR-AZR»1 x 1»SocialBan»LIA»ALL»CPA»RT»X»NA»SS»NA»FreeAcctRetargetingVMFB-OnDemand-ChE»PRC1S0</v></cell><cell r="D6102" t="str"><v>43325224104899</v></cell><cell r="E6102" t="str"><v>43325103180610PRC1S0</v></cell><cell r="F6102" t="str"><v>DCM</v></cell><cell r="G6102" t="str"><v>https://azure.microsoft.com/en-us/free/virtual-machines/search/?OCID=AID%eexcid!_OLA_%ebuy!_%epid!_%ecid!</v></cell></row><row r="6102"><cell r="K6102" t="str"><v>August</v></cell><cell r="L6102"><v>43330</v></cell><cell r="M6102" t="str"><v>Tier 0</v></cell><cell r="N6102" t="str"><v>North America</v></cell><cell r="O6102" t="str"><v>United States</v></cell><cell r="P6102" t="str"><v>Trial</v></cell><cell r="Q6102" t="str"><v>Social</v></cell><cell r="R6102" t="str"><v>Azure</v></cell><cell r="S6102" t="str"><v>Apps & Infra</v></cell><cell r="T6102" t="str"><v>Developers & ITI's</v></cell><cell r="U6102" t="str"><v>USA-Trial-ITD-Retargeting-AZR-AZR</v></cell><cell r="V6102" t="str"><v>Retargeting</v></cell><cell r="W6102" t="str"><v>Link Ad</v></cell><cell r="X6102" t="str"><v>1x1</v></cell></row><row r="6102"><cell r="AA6102"><v>43325</v></cell><cell r="AB6102" t="str"><v>USA_gaPMG_AZR_AZR_Q1_19_Direct-Social</v></cell><cell r="AC6102"><v>21358715</v></cell><cell r="AD6102"><v>720197</v></cell><cell r="AE6102" t="str"><v>Facebook</v></cell><cell r="AF6102"><v>3654128</v></cell><cell r="AG6102" t="str"><v>FACEBOOK»USA-Trial-ITD-Retargeting-AZR-AZR»1 x 1»SocialBan»LIA»ALL»CPA»RT»X»NA»SS»NA»FreeAcctRetargetingVMFB-OnDemand-ChE»PRC1S0</v></cell><cell r="AH6102"><v>224104899</v></cell><cell r="AI6102" t="str"><v>AzurePlatform_FreeAcctRetargetingVMFB-OnDemand-ChE_USA_1200x628_CAN_PLATFORM_English_Free Account_Standard_NA_SINU_T2_1</v></cell><cell r="AJ6102"><v>103180610</v></cell></row><row r="6103"><cell r="C6103" t="str"><v>43325FACEBOOK»USA-Trial-ITD-Retargeting-AZR-AZR»1 x 1»SocialBan»CAN»ALL»CPA»RT»X»NA»SS»NA»FBCTCBenefit2inMotion»PRC1RR</v></cell><cell r="D6103" t="str"><v>43325224104896</v></cell><cell r="E6103" t="str"><v>43325103043835PRC1RR</v></cell><cell r="F6103" t="str"><v>DCM</v></cell><cell r="G6103" t="str"><v>https://signup.azure.com/?OCID=AID%eexcid!_OLA_%ebuy!_%epid!_%ecid!</v></cell></row><row r="6103"><cell r="K6103" t="str"><v>August</v></cell><cell r="L6103"><v>43330</v></cell><cell r="M6103" t="str"><v>Tier 0</v></cell><cell r="N6103" t="str"><v>North America</v></cell><cell r="O6103" t="str"><v>United States</v></cell><cell r="P6103" t="str"><v>Trial</v></cell><cell r="Q6103" t="str"><v>Social</v></cell><cell r="R6103" t="str"><v>Azure</v></cell><cell r="S6103" t="str"><v>Apps & Infra</v></cell><cell r="T6103" t="str"><v>Developers & ITI's</v></cell><cell r="U6103" t="str"><v>USA-Trial-ITD-Retargeting-AZR-AZR</v></cell><cell r="V6103" t="str"><v>Retargeting</v></cell><cell r="W6103" t="str"><v>Canvas Ad</v></cell><cell r="X6103" t="str"><v>1x1</v></cell></row><row r="6103"><cell r="AA6103"><v>43325</v></cell><cell r="AB6103" t="str"><v>USA_gaPMG_AZR_AZR_Q1_19_Direct-Social</v></cell><cell r="AC6103"><v>21358715</v></cell><cell r="AD6103"><v>720197</v></cell><cell r="AE6103" t="str"><v>Facebook</v></cell><cell r="AF6103"><v>3654128</v></cell><cell r="AG6103" t="str"><v>FACEBOOK»USA-Trial-ITD-Retargeting-AZR-AZR»1 x 1»SocialBan»CAN»ALL»CPA»RT»X»NA»SS»NA»FBCTCBenefit2inMotion»PRC1RR</v></cell><cell r="AH6103"><v>224104896</v></cell><cell r="AI6103" t="str"><v>AzurePlatform_FBCTCBenefit2inMotion_USA_10s_CAN_PLATFORM_English_Trial_Standard_STAN_TIN_T4_1</v></cell><cell r="AJ6103"><v>103043835</v></cell></row><row r="6104"><cell r="C6104" t="str"><v>43325FACEBOOK»USA-Trial-ITD-Retargeting-AZR-AZR»1 x 1»SocialBan»CAN»ALL»CPA»RT»X»NA»SS»NA»FBCTCBrandinMotion»PRC1RT</v></cell><cell r="D6104" t="str"><v>43325224106069</v></cell><cell r="E6104" t="str"><v>43325103176812PRC1RT</v></cell><cell r="F6104" t="str"><v>DCM</v></cell><cell r="G6104" t="str"><v>https://signup.azure.com/?OCID=AID%eexcid!_OLA_%ebuy!_%epid!_%ecid!</v></cell></row><row r="6104"><cell r="K6104" t="str"><v>August</v></cell><cell r="L6104"><v>43330</v></cell><cell r="M6104" t="str"><v>Tier 0</v></cell><cell r="N6104" t="str"><v>North America</v></cell><cell r="O6104" t="str"><v>United States</v></cell><cell r="P6104" t="str"><v>Trial</v></cell><cell r="Q6104" t="str"><v>Social</v></cell><cell r="R6104" t="str"><v>Azure</v></cell><cell r="S6104" t="str"><v>Apps & Infra</v></cell><cell r="T6104" t="str"><v>Developers & ITI's</v></cell><cell r="U6104" t="str"><v>USA-Trial-ITD-Retargeting-AZR-AZR</v></cell><cell r="V6104" t="str"><v>Retargeting</v></cell><cell r="W6104" t="str"><v>Canvas Ad</v></cell><cell r="X6104" t="str"><v>1x1</v></cell></row><row r="6104"><cell r="AA6104"><v>43325</v></cell><cell r="AB6104" t="str"><v>USA_gaPMG_AZR_AZR_Q1_19_Direct-Social</v></cell><cell r="AC6104"><v>21358715</v></cell><cell r="AD6104"><v>720197</v></cell><cell r="AE6104" t="str"><v>Facebook</v></cell><cell r="AF6104"><v>3654128</v></cell><cell r="AG6104" t="str"><v>FACEBOOK»USA-Trial-ITD-Retargeting-AZR-AZR»1 x 1»SocialBan»CAN»ALL»CPA»RT»X»NA»SS»NA»FBCTCBrandinMotion»PRC1RT</v></cell><cell r="AH6104"><v>224106069</v></cell><cell r="AI6104" t="str"><v>AzurePlatform_FBCTCBrandinMotion_USA_10s_CAN_PLATFORM_English_Trial_Standard_STAN_TIN_T2_1</v></cell><cell r="AJ6104"><v>103176812</v></cell></row><row r="6105"><cell r="C6105" t="str"><v>43325FACEBOOK»USA-Trial-ITD-Trial Lookalike-AZR-AZR»1 x 1»SocialBan»CAN»ALL»CPA»LAL»X»NA»SS»NA»FBCTCBenefit2inMotion»PRC1M0</v></cell><cell r="D6105" t="str"><v>43325223862927</v></cell><cell r="E6105" t="str"><v>43325103043835PRC1M0</v></cell><cell r="F6105" t="str"><v>DCM</v></cell><cell r="G6105" t="str"><v>https://signup.azure.com/?OCID=AID%eexcid!_OLA_%ebuy!_%epid!_%ecid!</v></cell></row><row r="6105"><cell r="K6105" t="str"><v>August</v></cell><cell r="L6105"><v>43330</v></cell><cell r="M6105" t="str"><v>Tier 0</v></cell><cell r="N6105" t="str"><v>North America</v></cell><cell r="O6105" t="str"><v>United States</v></cell><cell r="P6105" t="str"><v>Trial</v></cell><cell r="Q6105" t="str"><v>Social</v></cell><cell r="R6105" t="str"><v>Azure</v></cell><cell r="S6105" t="str"><v>Apps & Infra</v></cell><cell r="T6105" t="str"><v>Developers & ITI's</v></cell><cell r="U6105" t="str"><v>USA-Trial-ITD-Trial Lookalike-AZR-AZR</v></cell><cell r="V6105" t="str"><v>Lookalike Targeting</v></cell><cell r="W6105" t="str"><v>Canvas Ad</v></cell><cell r="X6105" t="str"><v>1x1</v></cell></row><row r="6105"><cell r="AA6105"><v>43325</v></cell><cell r="AB6105" t="str"><v>USA_gaPMG_AZR_AZR_Q1_19_Direct-Social</v></cell><cell r="AC6105"><v>21358715</v></cell><cell r="AD6105"><v>720197</v></cell><cell r="AE6105" t="str"><v>Facebook</v></cell><cell r="AF6105"><v>3654128</v></cell><cell r="AG6105" t="str"><v>FACEBOOK»USA-Trial-ITD-Trial Lookalike-AZR-AZR»1 x 1»SocialBan»CAN»ALL»CPA»LAL»X»NA»SS»NA»FBCTCBenefit2inMotion»PRC1M0</v></cell><cell r="AH6105"><v>223862927</v></cell><cell r="AI6105" t="str"><v>AzurePlatform_FBCTCBenefit2inMotion_USA_10s_CAN_PLATFORM_English_Trial_Standard_STAN_TIN_T4_1</v></cell><cell r="AJ6105"><v>103043835</v></cell></row><row r="6106"><cell r="C6106" t="str"><v>43325FACEBOOK»USA-Trial-ITD-Trial Lookalike-AZR-AZR»1 x 1»SocialBan»CAN»ALL»CPA»LAL»X»NA»SS»NA»FBCTCBenefit2inMotion»PRC1M0</v></cell><cell r="D6106" t="str"><v>43325223862927</v></cell><cell r="E6106" t="str"><v>43325103178645PRC1M0</v></cell><cell r="F6106" t="str"><v>DCM</v></cell><cell r="G6106" t="str"><v>https://azure.microsoft.com/en-us/pricing/purchase-options/?v=18.19&OCID=AID%eexcid!_OLA_%ebuy!_%epid!_%ecid!</v></cell></row><row r="6106"><cell r="K6106" t="str"><v>August</v></cell><cell r="L6106"><v>43330</v></cell><cell r="M6106" t="str"><v>Tier 0</v></cell><cell r="N6106" t="str"><v>North America</v></cell><cell r="O6106" t="str"><v>United States</v></cell><cell r="P6106" t="str"><v>Trial</v></cell><cell r="Q6106" t="str"><v>Social</v></cell><cell r="R6106" t="str"><v>Azure</v></cell><cell r="S6106" t="str"><v>Apps & Infra</v></cell><cell r="T6106" t="str"><v>Developers & ITI's</v></cell><cell r="U6106" t="str"><v>USA-Trial-ITD-Trial Lookalike-AZR-AZR</v></cell><cell r="V6106" t="str"><v>Lookalike Targeting</v></cell><cell r="W6106" t="str"><v>Canvas Ad</v></cell><cell r="X6106" t="str"><v>1x1</v></cell></row><row r="6106"><cell r="AA6106"><v>43325</v></cell><cell r="AB6106" t="str"><v>USA_gaPMG_AZR_AZR_Q1_19_Direct-Social</v></cell><cell r="AC6106"><v>21358715</v></cell><cell r="AD6106"><v>720197</v></cell><cell r="AE6106" t="str"><v>Facebook</v></cell><cell r="AF6106"><v>3654128</v></cell><cell r="AG6106" t="str"><v>FACEBOOK»USA-Trial-ITD-Trial Lookalike-AZR-AZR»1 x 1»SocialBan»CAN»ALL»CPA»LAL»X»NA»SS»NA»FBCTCBenefit2inMotion»PRC1M0</v></cell><cell r="AH6106"><v>223862927</v></cell><cell r="AI6106" t="str"><v>AzurePlatform_FBCTCBenefit2inMotion_USA_10s_CAN_PLATFORM_English_Trial_Standard_STAN_TIN_T4_2</v></cell><cell r="AJ6106"><v>103178645</v></cell></row><row r="6107"><cell r="C6107" t="str"><v>43325FACEBOOK»USA-Trial-ITD-Trial Lookalike-AZR-AZR»1 x 1»SocialBan»CAN»ALL»CPA»LAL»X»NA»SS»NA»FBCTCBenefitinMotion»PRC1M2</v></cell><cell r="D6107" t="str"><v>43325223862897</v></cell><cell r="E6107" t="str"><v>43325103032775PRC1M2</v></cell><cell r="F6107" t="str"><v>DCM</v></cell><cell r="G6107" t="str"><v>https://signup.azure.com/?OCID=AID%eexcid!_OLA_%ebuy!_%epid!_%ecid!</v></cell></row><row r="6107"><cell r="K6107" t="str"><v>August</v></cell><cell r="L6107"><v>43330</v></cell><cell r="M6107" t="str"><v>Tier 0</v></cell><cell r="N6107" t="str"><v>North America</v></cell><cell r="O6107" t="str"><v>United States</v></cell><cell r="P6107" t="str"><v>Trial</v></cell><cell r="Q6107" t="str"><v>Social</v></cell><cell r="R6107" t="str"><v>Azure</v></cell><cell r="S6107" t="str"><v>Apps & Infra</v></cell><cell r="T6107" t="str"><v>Developers & ITI's</v></cell><cell r="U6107" t="str"><v>USA-Trial-ITD-Trial Lookalike-AZR-AZR</v></cell><cell r="V6107" t="str"><v>Lookalike Targeting</v></cell><cell r="W6107" t="str"><v>Canvas Ad</v></cell><cell r="X6107" t="str"><v>1x1</v></cell></row><row r="6107"><cell r="AA6107"><v>43325</v></cell><cell r="AB6107" t="str"><v>USA_gaPMG_AZR_AZR_Q1_19_Direct-Social</v></cell><cell r="AC6107"><v>21358715</v></cell><cell r="AD6107"><v>720197</v></cell><cell r="AE6107" t="str"><v>Facebook</v></cell><cell r="AF6107"><v>3654128</v></cell><cell r="AG6107" t="str"><v>FACEBOOK»USA-Trial-ITD-Trial Lookalike-AZR-AZR»1 x 1»SocialBan»CAN»ALL»CPA»LAL»X»NA»SS»NA»FBCTCBenefitinMotion»PRC1M2</v></cell><cell r="AH6107"><v>223862897</v></cell><cell r="AI6107" t="str"><v>AzurePlatform_FBCTCBenefitinMotion_USA_10s_CAN_PLATFORM_English_Trial_Standard_STAN_TIN_T3_1</v></cell><cell r="AJ6107"><v>103032775</v></cell></row><row r="6108"><cell r="C6108" t="str"><v>43325FACEBOOK»USA-Trial-ITD-Trial Lookalike-AZR-AZR»1 x 1»SocialBan»LIA»ALL»CPA»LAL»X»NA»SS»NA»FreeAcctDeveloperFB-AnimatedData-Ch4»PRC1M8</v></cell><cell r="D6108" t="str"><v>43325223862933</v></cell><cell r="E6108" t="str"><v>43325103037935PRC1M8</v></cell><cell r="F6108" t="str"><v>DCM</v></cell></row><row r="6108"><cell r="K6108" t="str"><v>August</v></cell><cell r="L6108"><v>43330</v></cell><cell r="M6108" t="str"><v>Tier 0</v></cell><cell r="N6108" t="str"><v>North America</v></cell><cell r="O6108" t="str"><v>United States</v></cell><cell r="P6108" t="str"><v>Trial</v></cell><cell r="Q6108" t="str"><v>Social</v></cell><cell r="R6108" t="str"><v>Azure</v></cell><cell r="S6108" t="str"><v>Apps & Infra</v></cell><cell r="T6108" t="str"><v>Developers & ITI's</v></cell><cell r="U6108" t="str"><v>USA-Trial-ITD-Trial Lookalike-AZR-AZR</v></cell><cell r="V6108" t="str"><v>Lookalike Targeting</v></cell><cell r="W6108" t="str"><v>Link Ad</v></cell><cell r="X6108" t="str"><v>1x1</v></cell></row><row r="6108"><cell r="AA6108"><v>43325</v></cell><cell r="AB6108" t="str"><v>USA_gaPMG_AZR_AZR_Q1_19_Direct-Social</v></cell><cell r="AC6108"><v>21358715</v></cell><cell r="AD6108"><v>720197</v></cell><cell r="AE6108" t="str"><v>Facebook</v></cell><cell r="AF6108"><v>3654128</v></cell><cell r="AG6108" t="str"><v>FACEBOOK»USA-Trial-ITD-Trial Lookalike-AZR-AZR»1 x 1»SocialBan»LIA»ALL»CPA»LAL»X»NA»SS»NA»FreeAcctDeveloperFB-AnimatedData-Ch4»PRC1M8</v></cell><cell r="AH6108"><v>223862933</v></cell><cell r="AI6108" t="str"><v>AZR_FreeAcctDeveloperFB-AnimatedData-Ch4_USA_1200x1200_CAN_Direct_English_Trial_Standard_ANI_LEA_T4_2</v></cell><cell r="AJ6108"><v>103037935</v></cell></row><row r="6109"><cell r="C6109" t="str"><v>43325FACEBOOK»USA-Trial-ITD-Trial Lookalike-AZR-AZR»1 x 1»SocialBan»LIA»ALL»CPA»LAL»X»NA»SS»NA»FreeAcctITProFB-AnimatedHybrid-Ch2»PRC1MC</v></cell><cell r="D6109" t="str"><v>43325224104956</v></cell><cell r="E6109" t="str"><v>43325103180583PRC1MC</v></cell><cell r="F6109" t="str"><v>DCM</v></cell></row><row r="6109"><cell r="K6109" t="str"><v>August</v></cell><cell r="L6109"><v>43330</v></cell><cell r="M6109" t="str"><v>Tier 0</v></cell><cell r="N6109" t="str"><v>North America</v></cell><cell r="O6109" t="str"><v>United States</v></cell><cell r="P6109" t="str"><v>Trial</v></cell><cell r="Q6109" t="str"><v>Social</v></cell><cell r="R6109" t="str"><v>Azure</v></cell><cell r="S6109" t="str"><v>Apps & Infra</v></cell><cell r="T6109" t="str"><v>Developers & ITI's</v></cell><cell r="U6109" t="str"><v>USA-Trial-ITD-Trial Lookalike-AZR-AZR</v></cell><cell r="V6109" t="str"><v>Lookalike Targeting</v></cell><cell r="W6109" t="str"><v>Link Ad</v></cell><cell r="X6109" t="str"><v>1x1</v></cell></row><row r="6109"><cell r="AA6109"><v>43325</v></cell><cell r="AB6109" t="str"><v>USA_gaPMG_AZR_AZR_Q1_19_Direct-Social</v></cell><cell r="AC6109"><v>21358715</v></cell><cell r="AD6109"><v>720197</v></cell><cell r="AE6109" t="str"><v>Facebook</v></cell><cell r="AF6109"><v>3654128</v></cell><cell r="AG6109" t="str"><v>FACEBOOK»USA-Trial-ITD-Trial Lookalike-AZR-AZR»1 x 1»SocialBan»LIA»ALL»CPA»LAL»X»NA»SS»NA»FreeAcctITProFB-AnimatedHybrid-Ch2»PRC1MC</v></cell><cell r="AH6109"><v>224104956</v></cell><cell r="AI6109" t="str"><v>AZR_FreeAcctITProFB-AnimatedHybrid-Ch2_USA_1200x1200_CAN_Direct_English_Trial_Standard_ANI_LEA_T2_2</v></cell><cell r="AJ6109"><v>103180583</v></cell></row><row r="6110"><cell r="C6110" t="str"><v>43325FACEBOOK»USA-Trial-ITD-Trial Lookalike-AZR-AZR»1 x 1»SocialBan»CAN»ALL»CPA»LAL»X»NA»SS»NA»FBCTCBrandinMotion»PRC1M3</v></cell><cell r="D6110" t="str"><v>43325223862900</v></cell><cell r="E6110" t="str"><v>43325103176812PRC1M3</v></cell><cell r="F6110" t="str"><v>DCM</v></cell><cell r="G6110" t="str"><v>https://signup.azure.com/?OCID=AID%eexcid!_OLA_%ebuy!_%epid!_%ecid!</v></cell></row><row r="6110"><cell r="K6110" t="str"><v>August</v></cell><cell r="L6110"><v>43330</v></cell><cell r="M6110" t="str"><v>Tier 0</v></cell><cell r="N6110" t="str"><v>North America</v></cell><cell r="O6110" t="str"><v>United States</v></cell><cell r="P6110" t="str"><v>Trial</v></cell><cell r="Q6110" t="str"><v>Social</v></cell><cell r="R6110" t="str"><v>Azure</v></cell><cell r="S6110" t="str"><v>Apps & Infra</v></cell><cell r="T6110" t="str"><v>Developers & ITI's</v></cell><cell r="U6110" t="str"><v>USA-Trial-ITD-Trial Lookalike-AZR-AZR</v></cell><cell r="V6110" t="str"><v>Lookalike Targeting</v></cell><cell r="W6110" t="str"><v>Canvas Ad</v></cell><cell r="X6110" t="str"><v>1x1</v></cell></row><row r="6110"><cell r="AA6110"><v>43325</v></cell><cell r="AB6110" t="str"><v>USA_gaPMG_AZR_AZR_Q1_19_Direct-Social</v></cell><cell r="AC6110"><v>21358715</v></cell><cell r="AD6110"><v>720197</v></cell><cell r="AE6110" t="str"><v>Facebook</v></cell><cell r="AF6110"><v>3654128</v></cell><cell r="AG6110" t="str"><v>FACEBOOK»USA-Trial-ITD-Trial Lookalike-AZR-AZR»1 x 1»SocialBan»CAN»ALL»CPA»LAL»X»NA»SS»NA»FBCTCBrandinMotion»PRC1M3</v></cell><cell r="AH6110"><v>223862900</v></cell><cell r="AI6110" t="str"><v>AzurePlatform_FBCTCBrandinMotion_USA_10s_CAN_PLATFORM_English_Trial_Standard_STAN_TIN_T2_1</v></cell><cell r="AJ6110"><v>103176812</v></cell></row><row r="6111"><cell r="C6111" t="str"><v>43325FACEBOOK»USA-Trial-ITD-Trial Lookalike-AZR-AZR»1 x 1»SocialBan»CAN»ALL»CPA»LAL»X»NA»SS»NA»FBCTCBrandinMotion»PRC1M3</v></cell><cell r="D6111" t="str"><v>43325223862900</v></cell><cell r="E6111" t="str"><v>43325103032823PRC1M3</v></cell><cell r="F6111" t="str"><v>DCM</v></cell><cell r="G6111" t="str"><v>https://azure.microsoft.com/en-us/pricing/purchase-options/?v=18.19&OCID=AID%eexcid!_OLA_%ebuy!_%epid!_%ecid!</v></cell></row><row r="6111"><cell r="K6111" t="str"><v>August</v></cell><cell r="L6111"><v>43330</v></cell><cell r="M6111" t="str"><v>Tier 0</v></cell><cell r="N6111" t="str"><v>North America</v></cell><cell r="O6111" t="str"><v>United States</v></cell><cell r="P6111" t="str"><v>Trial</v></cell><cell r="Q6111" t="str"><v>Social</v></cell><cell r="R6111" t="str"><v>Azure</v></cell><cell r="S6111" t="str"><v>Apps & Infra</v></cell><cell r="T6111" t="str"><v>Developers & ITI's</v></cell><cell r="U6111" t="str"><v>USA-Trial-ITD-Trial Lookalike-AZR-AZR</v></cell><cell r="V6111" t="str"><v>Lookalike Targeting</v></cell><cell r="W6111" t="str"><v>Canvas Ad</v></cell><cell r="X6111" t="str"><v>1x1</v></cell></row><row r="6111"><cell r="AA6111"><v>43325</v></cell><cell r="AB6111" t="str"><v>USA_gaPMG_AZR_AZR_Q1_19_Direct-Social</v></cell><cell r="AC6111"><v>21358715</v></cell><cell r="AD6111"><v>720197</v></cell><cell r="AE6111" t="str"><v>Facebook</v></cell><cell r="AF6111"><v>3654128</v></cell><cell r="AG6111" t="str"><v>FACEBOOK»USA-Trial-ITD-Trial Lookalike-AZR-AZR»1 x 1»SocialBan»CAN»ALL»CPA»LAL»X»NA»SS»NA»FBCTCBrandinMotion»PRC1M3</v></cell><cell r="AH6111"><v>223862900</v></cell><cell r="AI6111" t="str"><v>AzurePlatform_FBCTCBrandinMotion_USA_10s_CAN_PLATFORM_English_Trial_Standard_STAN_TIN_T2_2</v></cell><cell r="AJ6111"><v>103032823</v></cell></row><row r="6112"><cell r="C6112" t="str"><v>43325FACEBOOK»USA-Trial-ITD-Trial PayGo Lookalike-AZR-AZR»1 x 1»SocialBan»CAN»ALL»CPA»LAL»X»NA»SS»NA»FBCTCBrandinMotion»PRC1Q3</v></cell><cell r="D6112" t="str"><v>43325223935349</v></cell><cell r="E6112" t="str"><v>43325103176812PRC1Q3</v></cell><cell r="F6112" t="str"><v>DCM</v></cell><cell r="G6112" t="str"><v>https://signup.azure.com/?OCID=AID%eexcid!_OLA_%ebuy!_%epid!_%ecid!</v></cell></row><row r="6112"><cell r="K6112" t="str"><v>August</v></cell><cell r="L6112"><v>43330</v></cell><cell r="M6112" t="str"><v>Tier 0</v></cell><cell r="N6112" t="str"><v>North America</v></cell><cell r="O6112" t="str"><v>United States</v></cell><cell r="P6112" t="str"><v>Trial</v></cell><cell r="Q6112" t="str"><v>Social</v></cell><cell r="R6112" t="str"><v>Azure</v></cell><cell r="S6112" t="str"><v>Apps & Infra</v></cell><cell r="T6112" t="str"><v>Developers & ITI's</v></cell><cell r="U6112" t="str"><v>USA-Trial-ITD-Trial PayGo Lookalike-AZR-AZR</v></cell><cell r="V6112" t="str"><v>Lookalike Targeting</v></cell><cell r="W6112" t="str"><v>Canvas Ad</v></cell><cell r="X6112" t="str"><v>1x1</v></cell></row><row r="6112"><cell r="AA6112"><v>43325</v></cell><cell r="AB6112" t="str"><v>USA_gaPMG_AZR_AZR_Q1_19_Direct-Social</v></cell><cell r="AC6112"><v>21358715</v></cell><cell r="AD6112"><v>720197</v></cell><cell r="AE6112" t="str"><v>Facebook</v></cell><cell r="AF6112"><v>3654128</v></cell><cell r="AG6112" t="str"><v>FACEBOOK»USA-Trial-ITD-Trial PayGo Lookalike-AZR-AZR»1 x 1»SocialBan»CAN»ALL»CPA»LAL»X»NA»SS»NA»FBCTCBrandinMotion»PRC1Q3</v></cell><cell r="AH6112"><v>223935349</v></cell><cell r="AI6112" t="str"><v>AzurePlatform_FBCTCBrandinMotion_USA_10s_CAN_PLATFORM_English_Trial_Standard_STAN_TIN_T2_1</v></cell><cell r="AJ6112"><v>103176812</v></cell></row><row r="6113"><cell r="C6113" t="str"><v>43325FACEBOOK»USA-Trial-ITD-Trial PayGo Lookalike-AZR-AZR»1 x 1»SocialBan»CAN»ALL»CPA»LAL»X»NA»SS»NA»FBCTCBrandinMotion»PRC1Q3</v></cell><cell r="D6113" t="str"><v>43325223935349</v></cell><cell r="E6113" t="str"><v>43325103032823PRC1Q3</v></cell><cell r="F6113" t="str"><v>DCM</v></cell><cell r="G6113" t="str"><v>https://azure.microsoft.com/en-us/pricing/purchase-options/?v=18.19&OCID=AID%eexcid!_OLA_%ebuy!_%epid!_%ecid!</v></cell></row><row r="6113"><cell r="K6113" t="str"><v>August</v></cell><cell r="L6113"><v>43330</v></cell><cell r="M6113" t="str"><v>Tier 0</v></cell><cell r="N6113" t="str"><v>North America</v></cell><cell r="O6113" t="str"><v>United States</v></cell><cell r="P6113" t="str"><v>Trial</v></cell><cell r="Q6113" t="str"><v>Social</v></cell><cell r="R6113" t="str"><v>Azure</v></cell><cell r="S6113" t="str"><v>Apps & Infra</v></cell><cell r="T6113" t="str"><v>Developers & ITI's</v></cell><cell r="U6113" t="str"><v>USA-Trial-ITD-Trial PayGo Lookalike-AZR-AZR</v></cell><cell r="V6113" t="str"><v>Lookalike Targeting</v></cell><cell r="W6113" t="str"><v>Canvas Ad</v></cell><cell r="X6113" t="str"><v>1x1</v></cell></row><row r="6113"><cell r="AA6113"><v>43325</v></cell><cell r="AB6113" t="str"><v>USA_gaPMG_AZR_AZR_Q1_19_Direct-Social</v></cell><cell r="AC6113"><v>21358715</v></cell><cell r="AD6113"><v>720197</v></cell><cell r="AE6113" t="str"><v>Facebook</v></cell><cell r="AF6113"><v>3654128</v></cell><cell r="AG6113" t="str"><v>FACEBOOK»USA-Trial-ITD-Trial PayGo Lookalike-AZR-AZR»1 x 1»SocialBan»CAN»ALL»CPA»LAL»X»NA»SS»NA»FBCTCBrandinMotion»PRC1Q3</v></cell><cell r="AH6113"><v>223935349</v></cell><cell r="AI6113" t="str"><v>AzurePlatform_FBCTCBrandinMotion_USA_10s_CAN_PLATFORM_English_Trial_Standard_STAN_TIN_T2_2</v></cell><cell r="AJ6113"><v>103032823</v></cell></row><row r="6114"><cell r="C6114" t="str"><v>43325FACEBOOK»USA-Trial-ITD-Trial PayGo Lookalike-AZR-AZR»1 x 1»SocialBan»CAN»ALL»CPA»LAL»X»NA»SS»NA»FBCTCBenefitinMotion»PRC1Q2</v></cell><cell r="D6114" t="str"><v>43325223862960</v></cell><cell r="E6114" t="str"><v>43325103032775PRC1Q2</v></cell><cell r="F6114" t="str"><v>DCM</v></cell><cell r="G6114" t="str"><v>https://signup.azure.com/?OCID=AID%eexcid!_OLA_%ebuy!_%epid!_%ecid!</v></cell></row><row r="6114"><cell r="K6114" t="str"><v>August</v></cell><cell r="L6114"><v>43330</v></cell><cell r="M6114" t="str"><v>Tier 0</v></cell><cell r="N6114" t="str"><v>North America</v></cell><cell r="O6114" t="str"><v>United States</v></cell><cell r="P6114" t="str"><v>Trial</v></cell><cell r="Q6114" t="str"><v>Social</v></cell><cell r="R6114" t="str"><v>Azure</v></cell><cell r="S6114" t="str"><v>Apps & Infra</v></cell><cell r="T6114" t="str"><v>Developers & ITI's</v></cell><cell r="U6114" t="str"><v>USA-Trial-ITD-Trial PayGo Lookalike-AZR-AZR</v></cell><cell r="V6114" t="str"><v>Lookalike Targeting</v></cell><cell r="W6114" t="str"><v>Canvas Ad</v></cell><cell r="X6114" t="str"><v>1x1</v></cell></row><row r="6114"><cell r="AA6114"><v>43325</v></cell><cell r="AB6114" t="str"><v>USA_gaPMG_AZR_AZR_Q1_19_Direct-Social</v></cell><cell r="AC6114"><v>21358715</v></cell><cell r="AD6114"><v>720197</v></cell><cell r="AE6114" t="str"><v>Facebook</v></cell><cell r="AF6114"><v>3654128</v></cell><cell r="AG6114" t="str"><v>FACEBOOK»USA-Trial-ITD-Trial PayGo Lookalike-AZR-AZR»1 x 1»SocialBan»CAN»ALL»CPA»LAL»X»NA»SS»NA»FBCTCBenefitinMotion»PRC1Q2</v></cell><cell r="AH6114"><v>223862960</v></cell><cell r="AI6114" t="str"><v>AzurePlatform_FBCTCBenefitinMotion_USA_10s_CAN_PLATFORM_English_Trial_Standard_STAN_TIN_T3_1</v></cell><cell r="AJ6114"><v>103032775</v></cell></row><row r="6115"><cell r="C6115" t="str"><v>43325FACEBOOK»USA-Trial-ITD-Trial PayGo Lookalike-AZR-AZR»1 x 1»SocialBan»CAN»ALL»CPA»LAL»X»NA»SS»NA»FBCTCBenefitinMotion»PRC1Q2</v></cell><cell r="D6115" t="str"><v>43325223862960</v></cell><cell r="E6115" t="str"><v>43325103176836PRC1Q2</v></cell><cell r="F6115" t="str"><v>DCM</v></cell><cell r="G6115" t="str"><v>https://azure.microsoft.com/en-us/pricing/purchase-options/?v=18.19&OCID=AID%eexcid!_OLA_%ebuy!_%epid!_%ecid!</v></cell></row><row r="6115"><cell r="K6115" t="str"><v>August</v></cell><cell r="L6115"><v>43330</v></cell><cell r="M6115" t="str"><v>Tier 0</v></cell><cell r="N6115" t="str"><v>North America</v></cell><cell r="O6115" t="str"><v>United States</v></cell><cell r="P6115" t="str"><v>Trial</v></cell><cell r="Q6115" t="str"><v>Social</v></cell><cell r="R6115" t="str"><v>Azure</v></cell><cell r="S6115" t="str"><v>Apps & Infra</v></cell><cell r="T6115" t="str"><v>Developers & ITI's</v></cell><cell r="U6115" t="str"><v>USA-Trial-ITD-Trial PayGo Lookalike-AZR-AZR</v></cell><cell r="V6115" t="str"><v>Lookalike Targeting</v></cell><cell r="W6115" t="str"><v>Canvas Ad</v></cell><cell r="X6115" t="str"><v>1x1</v></cell></row><row r="6115"><cell r="AA6115"><v>43325</v></cell><cell r="AB6115" t="str"><v>USA_gaPMG_AZR_AZR_Q1_19_Direct-Social</v></cell><cell r="AC6115"><v>21358715</v></cell><cell r="AD6115"><v>720197</v></cell><cell r="AE6115" t="str"><v>Facebook</v></cell><cell r="AF6115"><v>3654128</v></cell><cell r="AG6115" t="str"><v>FACEBOOK»USA-Trial-ITD-Trial PayGo Lookalike-AZR-AZR»1 x 1»SocialBan»CAN»ALL»CPA»LAL»X»NA»SS»NA»FBCTCBenefitinMotion»PRC1Q2</v></cell><cell r="AH6115"><v>223862960</v></cell><cell r="AI6115" t="str"><v>AzurePlatform_FBCTCBenefitinMotion_USA_10s_CAN_PLATFORM_English_Trial_Standard_STAN_TIN_T3_2</v></cell><cell r="AJ6115"><v>103176836</v></cell></row><row r="6116"><cell r="C6116" t="str"><v>43325FACEBOOK»USA-Trial-ITD-Trial PayGo Lookalike-AZR-AZR»1 x 1»SocialBan»LIA»ALL»CPA»LAL»X»NA»SS»NA»FreeAcctDeveloperFB-AnimatedGeneric-Ch1»PRC1Q6</v></cell><cell r="D6116" t="str"><v>43325224106129</v></cell><cell r="E6116" t="str"><v>43325103176851PRC1Q6</v></cell><cell r="F6116" t="str"><v>DCM</v></cell><cell r="G6116" t="str"><v>https://azure.microsoft.com/en-us/free/search/?OCID=AID%eexcid!_OLA_%ebuy!_%epid!_%ecid!</v></cell></row><row r="6116"><cell r="K6116" t="str"><v>August</v></cell><cell r="L6116"><v>43330</v></cell><cell r="M6116" t="str"><v>Tier 0</v></cell><cell r="N6116" t="str"><v>North America</v></cell><cell r="O6116" t="str"><v>United States</v></cell><cell r="P6116" t="str"><v>Trial</v></cell><cell r="Q6116" t="str"><v>Social</v></cell><cell r="R6116" t="str"><v>Azure</v></cell><cell r="S6116" t="str"><v>Apps & Infra</v></cell><cell r="T6116" t="str"><v>Developers & ITI's</v></cell><cell r="U6116" t="str"><v>USA-Trial-ITD-Trial PayGo Lookalike-AZR-AZR</v></cell><cell r="V6116" t="str"><v>Lookalike Targeting</v></cell><cell r="W6116" t="str"><v>Link Ad</v></cell><cell r="X6116" t="str"><v>1x1</v></cell></row><row r="6116"><cell r="AA6116"><v>43325</v></cell><cell r="AB6116" t="str"><v>USA_gaPMG_AZR_AZR_Q1_19_Direct-Social</v></cell><cell r="AC6116"><v>21358715</v></cell><cell r="AD6116"><v>720197</v></cell><cell r="AE6116" t="str"><v>Facebook</v></cell><cell r="AF6116"><v>3654128</v></cell><cell r="AG6116" t="str"><v>FACEBOOK»USA-Trial-ITD-Trial PayGo Lookalike-AZR-AZR»1 x 1»SocialBan»LIA»ALL»CPA»LAL»X»NA»SS»NA»FreeAcctDeveloperFB-AnimatedGeneric-Ch1»PRC1Q6</v></cell><cell r="AH6116"><v>224106129</v></cell><cell r="AI6116" t="str"><v>AZR_FreeAcctDeveloperFB-AnimatedGeneric-Ch1_USA_1200x1200_CAN_Direct_English_Trial_Standard_ANI_LEA_T1_2</v></cell><cell r="AJ6116"><v>103176851</v></cell></row><row r="6117"><cell r="C6117" t="str"><v>43325FACEBOOK»USA-Trial-ITD-Retargeting-AZR-AZR»1 x 1»SocialBan»CCA»ALL»CPA»RT»X»NA»SS»NA»Azure Developer Facebook Collections»PRSGY7</v></cell><cell r="D6117" t="str"><v>43325225283585</v></cell><cell r="E6117" t="str"><v>43325103773177PRSGY7</v></cell><cell r="F6117" t="str"><v>DCM</v></cell><cell r="G6117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117"><cell r="K6117" t="str"><v>August</v></cell><cell r="L6117"><v>43330</v></cell><cell r="M6117" t="str"><v>Tier 0</v></cell><cell r="N6117" t="str"><v>North America</v></cell><cell r="O6117" t="str"><v>United States</v></cell><cell r="P6117" t="str"><v>Trial</v></cell><cell r="Q6117" t="str"><v>Social</v></cell><cell r="R6117" t="str"><v>Azure</v></cell><cell r="S6117" t="str"><v>Apps & Infra</v></cell><cell r="T6117" t="str"><v>Developers & ITI's</v></cell><cell r="U6117" t="str"><v>USA-Trial-ITD-Retargeting-AZR-AZR</v></cell><cell r="V6117" t="str"><v>Retargeting</v></cell><cell r="W6117" t="str"><v>Canvas Collection Ad</v></cell><cell r="X6117" t="str"><v>1x1</v></cell></row><row r="6117"><cell r="AA6117"><v>43325</v></cell><cell r="AB6117" t="str"><v>USA_gaPMG_AZR_AZR_Q1_19_Direct-Social</v></cell><cell r="AC6117"><v>21358715</v></cell><cell r="AD6117"><v>720197</v></cell><cell r="AE6117" t="str"><v>Facebook</v></cell><cell r="AF6117"><v>3654128</v></cell><cell r="AG6117" t="str"><v>FACEBOOK»USA-Trial-ITD-Retargeting-AZR-AZR»1 x 1»SocialBan»CCA»ALL»CPA»RT»X»NA»SS»NA»Azure Developer Facebook Collections»PRSGY7</v></cell><cell r="AH6117"><v>225283585</v></cell><cell r="AI6117" t="str"><v>AZR_FBCollections-AITryAzureFreeCTA-Img2_USA_1200x182_SOC_Plat_EN_NA_Standard_NA_TIN_T1_2</v></cell><cell r="AJ6117"><v>103773177</v></cell></row><row r="6118"><cell r="C6118" t="str"><v>43325FACEBOOK»USA-Trial-ITD-Retargeting-AZR-AZR»1 x 1»SocialBan»CCA»ALL»CPA»RT»X»NA»SS»NA»Azure Developer Facebook Collections»PRSGY7</v></cell><cell r="D6118" t="str"><v>43325225283585</v></cell><cell r="E6118" t="str"><v>43325103776921PRSGY7</v></cell><cell r="F6118" t="str"><v>DCM</v></cell><cell r="G6118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118"><cell r="K6118" t="str"><v>August</v></cell><cell r="L6118"><v>43330</v></cell><cell r="M6118" t="str"><v>Tier 0</v></cell><cell r="N6118" t="str"><v>North America</v></cell><cell r="O6118" t="str"><v>United States</v></cell><cell r="P6118" t="str"><v>Trial</v></cell><cell r="Q6118" t="str"><v>Social</v></cell><cell r="R6118" t="str"><v>Azure</v></cell><cell r="S6118" t="str"><v>Apps & Infra</v></cell><cell r="T6118" t="str"><v>Developers & ITI's</v></cell><cell r="U6118" t="str"><v>USA-Trial-ITD-Retargeting-AZR-AZR</v></cell><cell r="V6118" t="str"><v>Retargeting</v></cell><cell r="W6118" t="str"><v>Canvas Collection Ad</v></cell><cell r="X6118" t="str"><v>1x1</v></cell></row><row r="6118"><cell r="AA6118"><v>43325</v></cell><cell r="AB6118" t="str"><v>USA_gaPMG_AZR_AZR_Q1_19_Direct-Social</v></cell><cell r="AC6118"><v>21358715</v></cell><cell r="AD6118"><v>720197</v></cell><cell r="AE6118" t="str"><v>Facebook</v></cell><cell r="AF6118"><v>3654128</v></cell><cell r="AG6118" t="str"><v>FACEBOOK»USA-Trial-ITD-Retargeting-AZR-AZR»1 x 1»SocialBan»CCA»ALL»CPA»RT»X»NA»SS»NA»Azure Developer Facebook Collections»PRSGY7</v></cell><cell r="AH6118"><v>225283585</v></cell><cell r="AI6118" t="str"><v>AZR_FBCollections-FreeStuffTryAzureFreeCTA-Img5_USA_1200x182_SOC_Plat_EN_NA_Standard_NA_TIN_T1_5</v></cell><cell r="AJ6118"><v>103776921</v></cell></row><row r="6119"><cell r="C6119" t="str"><v>43325FACEBOOK»USA-Trial-ITD-Retargeting-AZR-AZR»1 x 1»SocialBan»CCA»ALL»CPA»RT»X»NA»SS»NA»Azure Developer Facebook Collections»PRSGY7</v></cell><cell r="D6119" t="str"><v>43325225283585</v></cell><cell r="E6119" t="str"><v>43325103873631PRSGY7</v></cell><cell r="F6119" t="str"><v>DCM</v></cell><cell r="G611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119"><cell r="K6119" t="str"><v>August</v></cell><cell r="L6119"><v>43330</v></cell><cell r="M6119" t="str"><v>Tier 0</v></cell><cell r="N6119" t="str"><v>North America</v></cell><cell r="O6119" t="str"><v>United States</v></cell><cell r="P6119" t="str"><v>Trial</v></cell><cell r="Q6119" t="str"><v>Social</v></cell><cell r="R6119" t="str"><v>Azure</v></cell><cell r="S6119" t="str"><v>Apps & Infra</v></cell><cell r="T6119" t="str"><v>Developers & ITI's</v></cell><cell r="U6119" t="str"><v>USA-Trial-ITD-Retargeting-AZR-AZR</v></cell><cell r="V6119" t="str"><v>Retargeting</v></cell><cell r="W6119" t="str"><v>Canvas Collection Ad</v></cell><cell r="X6119" t="str"><v>1x1</v></cell></row><row r="6119"><cell r="AA6119"><v>43325</v></cell><cell r="AB6119" t="str"><v>USA_gaPMG_AZR_AZR_Q1_19_Direct-Social</v></cell><cell r="AC6119"><v>21358715</v></cell><cell r="AD6119"><v>720197</v></cell><cell r="AE6119" t="str"><v>Facebook</v></cell><cell r="AF6119"><v>3654128</v></cell><cell r="AG6119" t="str"><v>FACEBOOK»USA-Trial-ITD-Retargeting-AZR-AZR»1 x 1»SocialBan»CCA»ALL»CPA»RT»X»NA»SS»NA»Azure Developer Facebook Collections»PRSGY7</v></cell><cell r="AH6119"><v>225283585</v></cell><cell r="AI6119" t="str"><v>AZR_FBCollections-OSSTryAzureFreeCTA-Img3_USA_1200x182_SOC_Plat_EN_NA_Standard_NA_TIN_T1_3</v></cell><cell r="AJ6119"><v>103873631</v></cell></row><row r="6120"><cell r="C6120" t="str"><v>43325FACEBOOK»USA-Trial-ITD-Retargeting-AZR-AZR»1 x 1»SocialBan»CCA»ALL»CPA»RT»X»NA»SS»NA»Azure Developer Facebook Collections»PRSGY7</v></cell><cell r="D6120" t="str"><v>43325225283585</v></cell><cell r="E6120" t="str"><v>43325103773180PRSGY7</v></cell><cell r="F6120" t="str"><v>DCM</v></cell><cell r="G6120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120"><cell r="K6120" t="str"><v>August</v></cell><cell r="L6120"><v>43330</v></cell><cell r="M6120" t="str"><v>Tier 0</v></cell><cell r="N6120" t="str"><v>North America</v></cell><cell r="O6120" t="str"><v>United States</v></cell><cell r="P6120" t="str"><v>Trial</v></cell><cell r="Q6120" t="str"><v>Social</v></cell><cell r="R6120" t="str"><v>Azure</v></cell><cell r="S6120" t="str"><v>Apps & Infra</v></cell><cell r="T6120" t="str"><v>Developers & ITI's</v></cell><cell r="U6120" t="str"><v>USA-Trial-ITD-Retargeting-AZR-AZR</v></cell><cell r="V6120" t="str"><v>Retargeting</v></cell><cell r="W6120" t="str"><v>Canvas Collection Ad</v></cell><cell r="X6120" t="str"><v>1x1</v></cell></row><row r="6120"><cell r="AA6120"><v>43325</v></cell><cell r="AB6120" t="str"><v>USA_gaPMG_AZR_AZR_Q1_19_Direct-Social</v></cell><cell r="AC6120"><v>21358715</v></cell><cell r="AD6120"><v>720197</v></cell><cell r="AE6120" t="str"><v>Facebook</v></cell><cell r="AF6120"><v>3654128</v></cell><cell r="AG6120" t="str"><v>FACEBOOK»USA-Trial-ITD-Retargeting-AZR-AZR»1 x 1»SocialBan»CCA»ALL»CPA»RT»X»NA»SS»NA»Azure Developer Facebook Collections»PRSGY7</v></cell><cell r="AH6120"><v>225283585</v></cell><cell r="AI6120" t="str"><v>AZR_FBCollections-SmartDataTryAzureFreeCTA-Img4_USA_1200x182_SOC_Plat_EN_NA_Standard_NA_TIN_T1_4</v></cell><cell r="AJ6120"><v>103773180</v></cell></row><row r="6121"><cell r="C6121" t="str"><v>43325FACEBOOK»USA-Trial-ITD-Retargeting-AZR-AZR»1 x 1»SocialBan»CCA»ALL»CPA»RT»X»NA»SS»NA»Azure Developer Facebook Collections»PRSGY7</v></cell><cell r="D6121" t="str"><v>43325225283585</v></cell><cell r="E6121" t="str"><v>43325103874423PRSGY7</v></cell><cell r="F6121" t="str"><v>DCM</v></cell><cell r="G6121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121"><cell r="K6121" t="str"><v>August</v></cell><cell r="L6121"><v>43330</v></cell><cell r="M6121" t="str"><v>Tier 0</v></cell><cell r="N6121" t="str"><v>North America</v></cell><cell r="O6121" t="str"><v>United States</v></cell><cell r="P6121" t="str"><v>Trial</v></cell><cell r="Q6121" t="str"><v>Social</v></cell><cell r="R6121" t="str"><v>Azure</v></cell><cell r="S6121" t="str"><v>Apps & Infra</v></cell><cell r="T6121" t="str"><v>Developers & ITI's</v></cell><cell r="U6121" t="str"><v>USA-Trial-ITD-Retargeting-AZR-AZR</v></cell><cell r="V6121" t="str"><v>Retargeting</v></cell><cell r="W6121" t="str"><v>Canvas Collection Ad</v></cell><cell r="X6121" t="str"><v>1x1</v></cell></row><row r="6121"><cell r="AA6121"><v>43325</v></cell><cell r="AB6121" t="str"><v>USA_gaPMG_AZR_AZR_Q1_19_Direct-Social</v></cell><cell r="AC6121"><v>21358715</v></cell><cell r="AD6121"><v>720197</v></cell><cell r="AE6121" t="str"><v>Facebook</v></cell><cell r="AF6121"><v>3654128</v></cell><cell r="AG6121" t="str"><v>FACEBOOK»USA-Trial-ITD-Retargeting-AZR-AZR»1 x 1»SocialBan»CCA»ALL»CPA»RT»X»NA»SS»NA»Azure Developer Facebook Collections»PRSGY7</v></cell><cell r="AH6121"><v>225283585</v></cell><cell r="AI6121" t="str"><v>AZR_FBCollections-TryAzureFreeCTA-Img1_USA_1200x182_SOC_Plat_EN_NA_Standard_NA_TIN_T1_1</v></cell><cell r="AJ6121"><v>103874423</v></cell></row><row r="6122"><cell r="C6122" t="str"><v>43325FACEBOOK»USA-Trial-ITD-Trial PayGo Lookalike-AZR-AZR»1 x 1»SocialBan»LIA»ALL»CPA»LAL»X»NA»SS»NA»FreeAcctDeveloperFB-AnimatedData-Ch4»PRC1Q9</v></cell><cell r="D6122" t="str"><v>43325224106990</v></cell><cell r="E6122" t="str"><v>43325103037935PRC1Q9</v></cell><cell r="F6122" t="str"><v>DCM</v></cell></row><row r="6122"><cell r="K6122" t="str"><v>August</v></cell><cell r="L6122"><v>43330</v></cell><cell r="M6122" t="str"><v>Tier 0</v></cell><cell r="N6122" t="str"><v>North America</v></cell><cell r="O6122" t="str"><v>United States</v></cell><cell r="P6122" t="str"><v>Trial</v></cell><cell r="Q6122" t="str"><v>Social</v></cell><cell r="R6122" t="str"><v>Azure</v></cell><cell r="S6122" t="str"><v>Apps & Infra</v></cell><cell r="T6122" t="str"><v>Developers & ITI's</v></cell><cell r="U6122" t="str"><v>USA-Trial-ITD-Trial PayGo Lookalike-AZR-AZR</v></cell><cell r="V6122" t="str"><v>Lookalike Targeting</v></cell><cell r="W6122" t="str"><v>Link Ad</v></cell><cell r="X6122" t="str"><v>1x1</v></cell></row><row r="6122"><cell r="AA6122"><v>43325</v></cell><cell r="AB6122" t="str"><v>USA_gaPMG_AZR_AZR_Q1_19_Direct-Social</v></cell><cell r="AC6122"><v>21358715</v></cell><cell r="AD6122"><v>720197</v></cell><cell r="AE6122" t="str"><v>Facebook</v></cell><cell r="AF6122"><v>3654128</v></cell><cell r="AG6122" t="str"><v>FACEBOOK»USA-Trial-ITD-Trial PayGo Lookalike-AZR-AZR»1 x 1»SocialBan»LIA»ALL»CPA»LAL»X»NA»SS»NA»FreeAcctDeveloperFB-AnimatedData-Ch4»PRC1Q9</v></cell><cell r="AH6122"><v>224106990</v></cell><cell r="AI6122" t="str"><v>AZR_FreeAcctDeveloperFB-AnimatedData-Ch4_USA_1200x1200_CAN_Direct_English_Trial_Standard_ANI_LEA_T4_2</v></cell><cell r="AJ6122"><v>103037935</v></cell></row><row r="6123"><cell r="C6123" t="str"><v>43325FACEBOOK»USA-Trial-ITD-Trial PayGo Lookalike-AZR-AZR»1 x 1»SocialBan»LIA»ALL»CPA»LAL»X»NA»SS»NA»FreeAcctDeveloperFB-AnimatedGeneric-Ch1»PRC1Q5</v></cell><cell r="D6123" t="str"><v>43325224104092</v></cell><cell r="E6123" t="str"><v>43325103176851PRC1Q5</v></cell><cell r="F6123" t="str"><v>DCM</v></cell><cell r="G6123" t="str"><v>https://azure.microsoft.com/en-us/free/search/?OCID=AID%eexcid!_OLA_%ebuy!_%epid!_%ecid!</v></cell></row><row r="6123"><cell r="K6123" t="str"><v>August</v></cell><cell r="L6123"><v>43330</v></cell><cell r="M6123" t="str"><v>Tier 0</v></cell><cell r="N6123" t="str"><v>North America</v></cell><cell r="O6123" t="str"><v>United States</v></cell><cell r="P6123" t="str"><v>Trial</v></cell><cell r="Q6123" t="str"><v>Social</v></cell><cell r="R6123" t="str"><v>Azure</v></cell><cell r="S6123" t="str"><v>Apps & Infra</v></cell><cell r="T6123" t="str"><v>Developers & ITI's</v></cell><cell r="U6123" t="str"><v>USA-Trial-ITD-Trial PayGo Lookalike-AZR-AZR</v></cell><cell r="V6123" t="str"><v>Lookalike Targeting</v></cell><cell r="W6123" t="str"><v>Link Ad</v></cell><cell r="X6123" t="str"><v>1x1</v></cell></row><row r="6123"><cell r="AA6123"><v>43325</v></cell><cell r="AB6123" t="str"><v>USA_gaPMG_AZR_AZR_Q1_19_Direct-Social</v></cell><cell r="AC6123"><v>21358715</v></cell><cell r="AD6123"><v>720197</v></cell><cell r="AE6123" t="str"><v>Facebook</v></cell><cell r="AF6123"><v>3654128</v></cell><cell r="AG6123" t="str"><v>FACEBOOK»USA-Trial-ITD-Trial PayGo Lookalike-AZR-AZR»1 x 1»SocialBan»LIA»ALL»CPA»LAL»X»NA»SS»NA»FreeAcctDeveloperFB-AnimatedGeneric-Ch1»PRC1Q5</v></cell><cell r="AH6123"><v>224104092</v></cell><cell r="AI6123" t="str"><v>AZR_FreeAcctDeveloperFB-AnimatedGeneric-Ch1_USA_1200x1200_CAN_Direct_English_Trial_Standard_ANI_LEA_T1_2</v></cell><cell r="AJ6123"><v>103176851</v></cell></row><row r="6124"><cell r="C6124" t="str"><v>43325INSTAGRAM»USA-Trial-ITD-Interest Prospecting-AZR-AZR»1 x 1»SocialBan»CAN»ALL»CPA»PRO»X»NA»SS»NA»IGCTCBrandinMotion»PRC2PB</v></cell><cell r="D6124" t="str"><v>43325223862690</v></cell><cell r="E6124" t="str"><v>43325103050783PRC2PB</v></cell><cell r="F6124" t="str"><v>DCM</v></cell><cell r="G6124" t="str"><v>https://signup.azure.com/?OCID=AID%eexcid!_OLA_%ebuy!_%epid!_%ecid!</v></cell></row><row r="6124"><cell r="K6124" t="str"><v>August</v></cell><cell r="L6124"><v>43330</v></cell><cell r="M6124" t="str"><v>Tier 0</v></cell><cell r="N6124" t="str"><v>North America</v></cell><cell r="O6124" t="str"><v>United States</v></cell><cell r="P6124" t="str"><v>Trial</v></cell><cell r="Q6124" t="str"><v>Social</v></cell><cell r="R6124" t="str"><v>Azure</v></cell><cell r="S6124" t="str"><v>Apps & Infra</v></cell><cell r="T6124" t="str"><v>Developers & ITI's</v></cell><cell r="U6124" t="str"><v>USA-Trial-ITD-Interest Prospecting-AZR-AZR</v></cell><cell r="V6124" t="str"><v>Prospecting</v></cell><cell r="W6124" t="str"><v>Canvas Ad</v></cell><cell r="X6124" t="str"><v>1x1</v></cell></row><row r="6124"><cell r="AA6124"><v>43325</v></cell><cell r="AB6124" t="str"><v>USA_gaPMG_AZR_AZR_Q1_19_Direct-Social</v></cell><cell r="AC6124"><v>21358715</v></cell><cell r="AD6124"><v>720197</v></cell><cell r="AE6124" t="str"><v>Facebook - Instagram</v></cell><cell r="AF6124"><v>3654128</v></cell><cell r="AG6124" t="str"><v>INSTAGRAM»USA-Trial-ITD-Interest Prospecting-AZR-AZR»1 x 1»SocialBan»CAN»ALL»CPA»PRO»X»NA»SS»NA»IGCTCBrandinMotion»PRC2PB</v></cell><cell r="AH6124"><v>223862690</v></cell><cell r="AI6124" t="str"><v>AzurePlatform_IGCTCBenefit2inMotion_USA_10s_CAN_PLATFORM_English_Trial_Standard_STAN_TIN_T4_1</v></cell><cell r="AJ6124"><v>103050783</v></cell></row><row r="6125"><cell r="C6125" t="str"><v>43325INSTAGRAM»USA-Trial-ITD-Interest Prospecting-AZR-AZR»1 x 1»SocialBan»CAN»ALL»CPA»PRO»X»NA»SS»NA»IGCTCBrandinMotion»PRC2PB</v></cell><cell r="D6125" t="str"><v>43325223862690</v></cell><cell r="E6125" t="str"><v>43325103178714PRC2PB</v></cell><cell r="F6125" t="str"><v>DCM</v></cell><cell r="G6125" t="str"><v>https://azure.microsoft.com/en-us/pricing/purchase-options/?v=18.19&OCID=AID%eexcid!_OLA_%ebuy!_%epid!_%ecid!</v></cell></row><row r="6125"><cell r="K6125" t="str"><v>August</v></cell><cell r="L6125"><v>43330</v></cell><cell r="M6125" t="str"><v>Tier 0</v></cell><cell r="N6125" t="str"><v>North America</v></cell><cell r="O6125" t="str"><v>United States</v></cell><cell r="P6125" t="str"><v>Trial</v></cell><cell r="Q6125" t="str"><v>Social</v></cell><cell r="R6125" t="str"><v>Azure</v></cell><cell r="S6125" t="str"><v>Apps & Infra</v></cell><cell r="T6125" t="str"><v>Developers & ITI's</v></cell><cell r="U6125" t="str"><v>USA-Trial-ITD-Interest Prospecting-AZR-AZR</v></cell><cell r="V6125" t="str"><v>Prospecting</v></cell><cell r="W6125" t="str"><v>Canvas Ad</v></cell><cell r="X6125" t="str"><v>1x1</v></cell></row><row r="6125"><cell r="AA6125"><v>43325</v></cell><cell r="AB6125" t="str"><v>USA_gaPMG_AZR_AZR_Q1_19_Direct-Social</v></cell><cell r="AC6125"><v>21358715</v></cell><cell r="AD6125"><v>720197</v></cell><cell r="AE6125" t="str"><v>Facebook - Instagram</v></cell><cell r="AF6125"><v>3654128</v></cell><cell r="AG6125" t="str"><v>INSTAGRAM»USA-Trial-ITD-Interest Prospecting-AZR-AZR»1 x 1»SocialBan»CAN»ALL»CPA»PRO»X»NA»SS»NA»IGCTCBrandinMotion»PRC2PB</v></cell><cell r="AH6125"><v>223862690</v></cell><cell r="AI6125" t="str"><v>AzurePlatform_IGCTCBenefit2inMotion_USA_10s_CAN_PLATFORM_English_Trial_Standard_STAN_TIN_T4_2</v></cell><cell r="AJ6125"><v>103178714</v></cell></row><row r="6126"><cell r="C6126" t="str"><v>43325INSTAGRAM»USA-Trial-ITD-Retargeting-AZR-AZR»1 x 1»SocialBan»CAN»ALL»CPA»RT»X»NA»SS»NA»IGCTCBrandinMotion»PRC2G3</v></cell><cell r="D6126" t="str"><v>43325224107014</v></cell><cell r="E6126" t="str"><v>43325103178714PRC2G3</v></cell><cell r="F6126" t="str"><v>DCM</v></cell><cell r="G6126" t="str"><v>https://azure.microsoft.com/en-us/pricing/purchase-options/?v=18.19&OCID=AID%eexcid!_OLA_%ebuy!_%epid!_%ecid!</v></cell></row><row r="6126"><cell r="K6126" t="str"><v>August</v></cell><cell r="L6126"><v>43330</v></cell><cell r="M6126" t="str"><v>Tier 0</v></cell><cell r="N6126" t="str"><v>North America</v></cell><cell r="O6126" t="str"><v>United States</v></cell><cell r="P6126" t="str"><v>Trial</v></cell><cell r="Q6126" t="str"><v>Social</v></cell><cell r="R6126" t="str"><v>Azure</v></cell><cell r="S6126" t="str"><v>Apps & Infra</v></cell><cell r="T6126" t="str"><v>Developers & ITI's</v></cell><cell r="U6126" t="str"><v>USA-Trial-ITD-Retargeting-AZR-AZR</v></cell><cell r="V6126" t="str"><v>Retargeting</v></cell><cell r="W6126" t="str"><v>Canvas Ad</v></cell><cell r="X6126" t="str"><v>1x1</v></cell></row><row r="6126"><cell r="AA6126"><v>43325</v></cell><cell r="AB6126" t="str"><v>USA_gaPMG_AZR_AZR_Q1_19_Direct-Social</v></cell><cell r="AC6126"><v>21358715</v></cell><cell r="AD6126"><v>720197</v></cell><cell r="AE6126" t="str"><v>Facebook - Instagram</v></cell><cell r="AF6126"><v>3654128</v></cell><cell r="AG6126" t="str"><v>INSTAGRAM»USA-Trial-ITD-Retargeting-AZR-AZR»1 x 1»SocialBan»CAN»ALL»CPA»RT»X»NA»SS»NA»IGCTCBrandinMotion»PRC2G3</v></cell><cell r="AH6126"><v>224107014</v></cell><cell r="AI6126" t="str"><v>AzurePlatform_IGCTCBenefit2inMotion_USA_10s_CAN_PLATFORM_English_Trial_Standard_STAN_TIN_T4_2</v></cell><cell r="AJ6126"><v>103178714</v></cell></row><row r="6127"><cell r="C6127" t="str"><v>43325INSTAGRAM»USA-Trial-ITD-Retargeting-AZR-AZR»1 x 1»SocialBan»CAN»ALL»CPA»RT»X»NA»SS»NA»IGCTCBasicMotion»PRC2G7</v></cell><cell r="D6127" t="str"><v>43325223935007</v></cell><cell r="E6127" t="str"><v>43325103037968PRC2G7</v></cell><cell r="F6127" t="str"><v>DCM</v></cell><cell r="G6127" t="str"><v>https://signup.azure.com/?OCID=AID%eexcid!_OLA_%ebuy!_%epid!_%ecid!</v></cell></row><row r="6127"><cell r="K6127" t="str"><v>August</v></cell><cell r="L6127"><v>43330</v></cell><cell r="M6127" t="str"><v>Tier 0</v></cell><cell r="N6127" t="str"><v>North America</v></cell><cell r="O6127" t="str"><v>United States</v></cell><cell r="P6127" t="str"><v>Trial</v></cell><cell r="Q6127" t="str"><v>Social</v></cell><cell r="R6127" t="str"><v>Azure</v></cell><cell r="S6127" t="str"><v>Apps & Infra</v></cell><cell r="T6127" t="str"><v>Developers & ITI's</v></cell><cell r="U6127" t="str"><v>USA-Trial-ITD-Retargeting-AZR-AZR</v></cell><cell r="V6127" t="str"><v>Retargeting</v></cell><cell r="W6127" t="str"><v>Canvas Ad</v></cell><cell r="X6127" t="str"><v>1x1</v></cell></row><row r="6127"><cell r="AA6127"><v>43325</v></cell><cell r="AB6127" t="str"><v>USA_gaPMG_AZR_AZR_Q1_19_Direct-Social</v></cell><cell r="AC6127"><v>21358715</v></cell><cell r="AD6127"><v>720197</v></cell><cell r="AE6127" t="str"><v>Facebook - Instagram</v></cell><cell r="AF6127"><v>3654128</v></cell><cell r="AG6127" t="str"><v>INSTAGRAM»USA-Trial-ITD-Retargeting-AZR-AZR»1 x 1»SocialBan»CAN»ALL»CPA»RT»X»NA»SS»NA»IGCTCBasicMotion»PRC2G7</v></cell><cell r="AH6127"><v>223935007</v></cell><cell r="AI6127" t="str"><v>AzurePlatform_IGCTCBasicMotion_USA_10s_CAN_PLATFORM_English_Trial_Standard_STAN_TIN_T1_1</v></cell><cell r="AJ6127"><v>103037968</v></cell></row><row r="6128"><cell r="C6128" t="str"><v>43325INSTAGRAM»USA-Trial-ITD-Retargeting-AZR-AZR»1 x 1»SocialBan»CAN»ALL»CPA»RT»X»NA»SS»NA»IGCTCBasicMotion»PRC2G7</v></cell><cell r="D6128" t="str"><v>43325223935007</v></cell><cell r="E6128" t="str"><v>43325103037974PRC2G7</v></cell><cell r="F6128" t="str"><v>DCM</v></cell><cell r="G6128" t="str"><v>https://azure.microsoft.com/en-us/pricing/purchase-options/?v=18.19&OCID=AID%eexcid!_OLA_%ebuy!_%epid!_%ecid!</v></cell></row><row r="6128"><cell r="K6128" t="str"><v>August</v></cell><cell r="L6128"><v>43330</v></cell><cell r="M6128" t="str"><v>Tier 0</v></cell><cell r="N6128" t="str"><v>North America</v></cell><cell r="O6128" t="str"><v>United States</v></cell><cell r="P6128" t="str"><v>Trial</v></cell><cell r="Q6128" t="str"><v>Social</v></cell><cell r="R6128" t="str"><v>Azure</v></cell><cell r="S6128" t="str"><v>Apps & Infra</v></cell><cell r="T6128" t="str"><v>Developers & ITI's</v></cell><cell r="U6128" t="str"><v>USA-Trial-ITD-Retargeting-AZR-AZR</v></cell><cell r="V6128" t="str"><v>Retargeting</v></cell><cell r="W6128" t="str"><v>Canvas Ad</v></cell><cell r="X6128" t="str"><v>1x1</v></cell></row><row r="6128"><cell r="AA6128"><v>43325</v></cell><cell r="AB6128" t="str"><v>USA_gaPMG_AZR_AZR_Q1_19_Direct-Social</v></cell><cell r="AC6128"><v>21358715</v></cell><cell r="AD6128"><v>720197</v></cell><cell r="AE6128" t="str"><v>Facebook - Instagram</v></cell><cell r="AF6128"><v>3654128</v></cell><cell r="AG6128" t="str"><v>INSTAGRAM»USA-Trial-ITD-Retargeting-AZR-AZR»1 x 1»SocialBan»CAN»ALL»CPA»RT»X»NA»SS»NA»IGCTCBasicMotion»PRC2G7</v></cell><cell r="AH6128"><v>223935007</v></cell><cell r="AI6128" t="str"><v>AzurePlatform_IGCTCBasicMotion_USA_10s_CAN_PLATFORM_English_Trial_Standard_STAN_TIN_T1_2</v></cell><cell r="AJ6128"><v>103037974</v></cell></row><row r="6129"><cell r="C6129" t="str"><v>43325INSTAGRAM»USA-Trial-ITD-Trial Lookalike-AZR-AZR»1 x 1»SocialBan»CAN»ALL»CPA»LAL»X»NA»SS»NA»IGCTCBenefit2inMotion»PRC2FL</v></cell><cell r="D6129" t="str"><v>43325223935022</v></cell><cell r="E6129" t="str"><v>43325103180628PRC2FL</v></cell><cell r="F6129" t="str"><v>DCM</v></cell><cell r="G6129" t="str"><v>https://signup.azure.com/?OCID=AID%eexcid!_OLA_%ebuy!_%epid!_%ecid!</v></cell></row><row r="6129"><cell r="K6129" t="str"><v>August</v></cell><cell r="L6129"><v>43330</v></cell><cell r="M6129" t="str"><v>Tier 0</v></cell><cell r="N6129" t="str"><v>North America</v></cell><cell r="O6129" t="str"><v>United States</v></cell><cell r="P6129" t="str"><v>Trial</v></cell><cell r="Q6129" t="str"><v>Social</v></cell><cell r="R6129" t="str"><v>Azure</v></cell><cell r="S6129" t="str"><v>Apps & Infra</v></cell><cell r="T6129" t="str"><v>Developers & ITI's</v></cell><cell r="U6129" t="str"><v>USA-Trial-ITD-Trial Lookalike-AZR-AZR</v></cell><cell r="V6129" t="str"><v>Lookalike Targeting</v></cell><cell r="W6129" t="str"><v>Canvas Ad</v></cell><cell r="X6129" t="str"><v>1x1</v></cell></row><row r="6129"><cell r="AA6129"><v>43325</v></cell><cell r="AB6129" t="str"><v>USA_gaPMG_AZR_AZR_Q1_19_Direct-Social</v></cell><cell r="AC6129"><v>21358715</v></cell><cell r="AD6129"><v>720197</v></cell><cell r="AE6129" t="str"><v>Facebook - Instagram</v></cell><cell r="AF6129"><v>3654128</v></cell><cell r="AG6129" t="str"><v>INSTAGRAM»USA-Trial-ITD-Trial Lookalike-AZR-AZR»1 x 1»SocialBan»CAN»ALL»CPA»LAL»X»NA»SS»NA»IGCTCBenefit2inMotion»PRC2FL</v></cell><cell r="AH6129"><v>223935022</v></cell><cell r="AI6129" t="str"><v>AzurePlatform_IGCTCBrandinMotion_USA_10s_CAN_PLATFORM_English_Trial_Standard_STAN_TIN_T2_1</v></cell><cell r="AJ6129"><v>103180628</v></cell></row><row r="6130"><cell r="C6130" t="str"><v>43325INSTAGRAM»USA-Trial-ITD-Trial Lookalike-AZR-AZR»1 x 1»SocialBan»CAN»ALL»CPA»LAL»X»NA»SS»NA»IGCTCBenefit2inMotion»PRC2FL</v></cell><cell r="D6130" t="str"><v>43325223935022</v></cell><cell r="E6130" t="str"><v>43325103050786PRC2FL</v></cell><cell r="F6130" t="str"><v>DCM</v></cell><cell r="G6130" t="str"><v>https://azure.microsoft.com/en-us/pricing/purchase-options/?v=18.19&OCID=AID%eexcid!_OLA_%ebuy!_%epid!_%ecid!</v></cell></row><row r="6130"><cell r="K6130" t="str"><v>August</v></cell><cell r="L6130"><v>43330</v></cell><cell r="M6130" t="str"><v>Tier 0</v></cell><cell r="N6130" t="str"><v>North America</v></cell><cell r="O6130" t="str"><v>United States</v></cell><cell r="P6130" t="str"><v>Trial</v></cell><cell r="Q6130" t="str"><v>Social</v></cell><cell r="R6130" t="str"><v>Azure</v></cell><cell r="S6130" t="str"><v>Apps & Infra</v></cell><cell r="T6130" t="str"><v>Developers & ITI's</v></cell><cell r="U6130" t="str"><v>USA-Trial-ITD-Trial Lookalike-AZR-AZR</v></cell><cell r="V6130" t="str"><v>Lookalike Targeting</v></cell><cell r="W6130" t="str"><v>Canvas Ad</v></cell><cell r="X6130" t="str"><v>1x1</v></cell></row><row r="6130"><cell r="AA6130"><v>43325</v></cell><cell r="AB6130" t="str"><v>USA_gaPMG_AZR_AZR_Q1_19_Direct-Social</v></cell><cell r="AC6130"><v>21358715</v></cell><cell r="AD6130"><v>720197</v></cell><cell r="AE6130" t="str"><v>Facebook - Instagram</v></cell><cell r="AF6130"><v>3654128</v></cell><cell r="AG6130" t="str"><v>INSTAGRAM»USA-Trial-ITD-Trial Lookalike-AZR-AZR»1 x 1»SocialBan»CAN»ALL»CPA»LAL»X»NA»SS»NA»IGCTCBenefit2inMotion»PRC2FL</v></cell><cell r="AH6130"><v>223935022</v></cell><cell r="AI6130" t="str"><v>AzurePlatform_IGCTCBrandinMotion_USA_10s_CAN_PLATFORM_English_Trial_Standard_STAN_TIN_T2_2</v></cell><cell r="AJ6130"><v>103050786</v></cell></row><row r="6131"><cell r="C6131" t="str"><v>43325INSTAGRAM»USA-Trial-ITD-Trial PayGo Lookalike-AZR-AZR»1 x 1»SocialBan»CAN»ALL»CPA»LAL»X»NA»SS»NA»IGCTCBrandinMotion»PRC2FW</v></cell><cell r="D6131" t="str"><v>43325223862654</v></cell><cell r="E6131" t="str"><v>43325103050783PRC2FW</v></cell><cell r="F6131" t="str"><v>DCM</v></cell><cell r="G6131" t="str"><v>https://signup.azure.com/?OCID=AID%eexcid!_OLA_%ebuy!_%epid!_%ecid!</v></cell></row><row r="6131"><cell r="K6131" t="str"><v>August</v></cell><cell r="L6131"><v>43330</v></cell><cell r="M6131" t="str"><v>Tier 0</v></cell><cell r="N6131" t="str"><v>North America</v></cell><cell r="O6131" t="str"><v>United States</v></cell><cell r="P6131" t="str"><v>Trial</v></cell><cell r="Q6131" t="str"><v>Social</v></cell><cell r="R6131" t="str"><v>Azure</v></cell><cell r="S6131" t="str"><v>Apps & Infra</v></cell><cell r="T6131" t="str"><v>Developers & ITI's</v></cell><cell r="U6131" t="str"><v>USA-Trial-ITD-Trial PayGo Lookalike-AZR-AZR</v></cell><cell r="V6131" t="str"><v>Lookalike Targeting</v></cell><cell r="W6131" t="str"><v>Canvas Ad</v></cell><cell r="X6131" t="str"><v>1x1</v></cell></row><row r="6131"><cell r="AA6131"><v>43325</v></cell><cell r="AB6131" t="str"><v>USA_gaPMG_AZR_AZR_Q1_19_Direct-Social</v></cell><cell r="AC6131"><v>21358715</v></cell><cell r="AD6131"><v>720197</v></cell><cell r="AE6131" t="str"><v>Facebook - Instagram</v></cell><cell r="AF6131"><v>3654128</v></cell><cell r="AG6131" t="str"><v>INSTAGRAM»USA-Trial-ITD-Trial PayGo Lookalike-AZR-AZR»1 x 1»SocialBan»CAN»ALL»CPA»LAL»X»NA»SS»NA»IGCTCBrandinMotion»PRC2FW</v></cell><cell r="AH6131"><v>223862654</v></cell><cell r="AI6131" t="str"><v>AzurePlatform_IGCTCBenefit2inMotion_USA_10s_CAN_PLATFORM_English_Trial_Standard_STAN_TIN_T4_1</v></cell><cell r="AJ6131"><v>103050783</v></cell></row><row r="6132"><cell r="C6132" t="str"><v>43325INSTAGRAM»USA-Trial-ITD-Trial PayGo Lookalike-AZR-AZR»1 x 1»SocialBan»CAN»ALL»CPA»LAL»X»NA»SS»NA»IGCTCBrandinMotion»PRC2FW</v></cell><cell r="D6132" t="str"><v>43325223862654</v></cell><cell r="E6132" t="str"><v>43325103178714PRC2FW</v></cell><cell r="F6132" t="str"><v>DCM</v></cell><cell r="G6132" t="str"><v>https://azure.microsoft.com/en-us/pricing/purchase-options/?v=18.19&OCID=AID%eexcid!_OLA_%ebuy!_%epid!_%ecid!</v></cell></row><row r="6132"><cell r="K6132" t="str"><v>August</v></cell><cell r="L6132"><v>43330</v></cell><cell r="M6132" t="str"><v>Tier 0</v></cell><cell r="N6132" t="str"><v>North America</v></cell><cell r="O6132" t="str"><v>United States</v></cell><cell r="P6132" t="str"><v>Trial</v></cell><cell r="Q6132" t="str"><v>Social</v></cell><cell r="R6132" t="str"><v>Azure</v></cell><cell r="S6132" t="str"><v>Apps & Infra</v></cell><cell r="T6132" t="str"><v>Developers & ITI's</v></cell><cell r="U6132" t="str"><v>USA-Trial-ITD-Trial PayGo Lookalike-AZR-AZR</v></cell><cell r="V6132" t="str"><v>Lookalike Targeting</v></cell><cell r="W6132" t="str"><v>Canvas Ad</v></cell><cell r="X6132" t="str"><v>1x1</v></cell></row><row r="6132"><cell r="AA6132"><v>43325</v></cell><cell r="AB6132" t="str"><v>USA_gaPMG_AZR_AZR_Q1_19_Direct-Social</v></cell><cell r="AC6132"><v>21358715</v></cell><cell r="AD6132"><v>720197</v></cell><cell r="AE6132" t="str"><v>Facebook - Instagram</v></cell><cell r="AF6132"><v>3654128</v></cell><cell r="AG6132" t="str"><v>INSTAGRAM»USA-Trial-ITD-Trial PayGo Lookalike-AZR-AZR»1 x 1»SocialBan»CAN»ALL»CPA»LAL»X»NA»SS»NA»IGCTCBrandinMotion»PRC2FW</v></cell><cell r="AH6132"><v>223862654</v></cell><cell r="AI6132" t="str"><v>AzurePlatform_IGCTCBenefit2inMotion_USA_10s_CAN_PLATFORM_English_Trial_Standard_STAN_TIN_T4_2</v></cell><cell r="AJ6132"><v>103178714</v></cell></row><row r="6133"><cell r="C6133" t="str"><v>43325LINKEDIN»USA-Trial-ITD-Bing Retargeting LAL-AZR-AZR»1 x 1»SocialBan»LIA»ALL»CPA»RT»D»All»SS»NA»FreeAcctRetargetingLI-GlobalAlt-ChB»PS7BT3</v></cell><cell r="D6133" t="str"><v>43325226622833</v></cell><cell r="E6133" t="str"><v>43325104593723PS7BT3</v></cell><cell r="F6133" t="str"><v>DCM</v></cell><cell r="G6133" t="str"><v>https://azure.microsoft.com/en-us/free/search/?OCID=AID%eexcid!_OLA_%ebuy!_%epid!_%ecid!</v></cell></row><row r="6133"><cell r="K6133" t="str"><v>August</v></cell><cell r="L6133"><v>43330</v></cell><cell r="M6133" t="str"><v>Tier 0</v></cell><cell r="N6133" t="str"><v>North America</v></cell><cell r="O6133" t="str"><v>United States</v></cell><cell r="P6133" t="str"><v>Trial</v></cell><cell r="Q6133" t="str"><v>Social</v></cell><cell r="R6133" t="str"><v>Azure</v></cell><cell r="S6133" t="str"><v>Apps & Infra</v></cell><cell r="T6133" t="str"><v>Developers & ITI's</v></cell><cell r="U6133" t="str"><v>USA-Trial-ITD-Bing Retargeting LAL-AZR-AZR</v></cell><cell r="V6133" t="str"><v>Retargeting</v></cell><cell r="W6133" t="str"><v>Link Ad</v></cell><cell r="X6133" t="str"><v>1x1</v></cell></row><row r="6133"><cell r="AA6133"><v>43325</v></cell><cell r="AB6133" t="str"><v>USA_gaPMG_AZR_AZR_Q1_19_Direct-Social</v></cell><cell r="AC6133"><v>21358715</v></cell><cell r="AD6133"><v>720197</v></cell><cell r="AE6133" t="str"><v>Linkedin</v></cell><cell r="AF6133"><v>3654329</v></cell><cell r="AG6133" t="str"><v>LINKEDIN»USA-Trial-ITD-Bing Retargeting LAL-AZR-AZR»1 x 1»SocialBan»LIA»ALL»CPA»RT»D»All»SS»NA»FreeAcctRetargetingLI-GlobalAlt-ChB»PS7BT3</v></cell><cell r="AH6133"><v>226622833</v></cell><cell r="AI6133" t="str"><v>AZR_FreeAcctRetargetingLI-GlobalAlt-ChB_USA_1200x627_LIA_Plat_English_Free Account_Standard_NA_SINU_T2_1</v></cell><cell r="AJ6133"><v>104593723</v></cell></row><row r="6134"><cell r="C6134" t="str"><v>43325LINKEDIN»USA-Trial-ITD-Bing Retargeting LAL-AZR-AZR»1 x 1»SocialBan»LIA»ALL»CPA»RT»D»All»SS»NA»FreeAcctRetargetingOSSLI-Logos-ChG»PS7BT0</v></cell><cell r="D6134" t="str"><v>43325226536110</v></cell><cell r="E6134" t="str"><v>43325104595727PS7BT0</v></cell><cell r="F6134" t="str"><v>DCM</v></cell><cell r="G6134" t="str"><v>https://azure.microsoft.com/en-us/free/open-source/search/?OCID=AID%eexcid!_OLA_%ebuy!_%epid!_%ecid!</v></cell></row><row r="6134"><cell r="K6134" t="str"><v>August</v></cell><cell r="L6134"><v>43330</v></cell><cell r="M6134" t="str"><v>Tier 0</v></cell><cell r="N6134" t="str"><v>North America</v></cell><cell r="O6134" t="str"><v>United States</v></cell><cell r="P6134" t="str"><v>Trial</v></cell><cell r="Q6134" t="str"><v>Social</v></cell><cell r="R6134" t="str"><v>Azure</v></cell><cell r="S6134" t="str"><v>Apps & Infra</v></cell><cell r="T6134" t="str"><v>Developers & ITI's</v></cell><cell r="U6134" t="str"><v>USA-Trial-ITD-Bing Retargeting LAL-AZR-AZR</v></cell><cell r="V6134" t="str"><v>Retargeting</v></cell><cell r="W6134" t="str"><v>Link Ad</v></cell><cell r="X6134" t="str"><v>1x1</v></cell></row><row r="6134"><cell r="AA6134"><v>43325</v></cell><cell r="AB6134" t="str"><v>USA_gaPMG_AZR_AZR_Q1_19_Direct-Social</v></cell><cell r="AC6134"><v>21358715</v></cell><cell r="AD6134"><v>720197</v></cell><cell r="AE6134" t="str"><v>Linkedin</v></cell><cell r="AF6134"><v>3654329</v></cell><cell r="AG6134" t="str"><v>LINKEDIN»USA-Trial-ITD-Bing Retargeting LAL-AZR-AZR»1 x 1»SocialBan»LIA»ALL»CPA»RT»D»All»SS»NA»FreeAcctRetargetingOSSLI-Logos-ChG»PS7BT0</v></cell><cell r="AH6134"><v>226536110</v></cell><cell r="AI6134" t="str"><v>AZR_FreeAcctRetargetingOSSLI-Logos-ChG_USA_1200x627_LIA_Plat_English_Free Account_Standard_NA_SINU_T2_1</v></cell><cell r="AJ6134"><v>104595727</v></cell></row><row r="6135"><cell r="C6135" t="str"><v>43325LINKEDIN»USA-Trial-ITD-Bing Retargeting LAL-AZR-AZR»1 x 1»SocialBan»LIA»ALL»CPA»RT»D»All»SS»NA»FreeAcctRetargetingOSSLI-Text-ChF»PS7BSY</v></cell><cell r="D6135" t="str"><v>43325226774290</v></cell><cell r="E6135" t="str"><v>43325104595754PS7BSY</v></cell><cell r="F6135" t="str"><v>DCM</v></cell><cell r="G6135" t="str"><v>https://azure.microsoft.com/en-us/free/open-source/search/?OCID=AID%eexcid!_OLA_%ebuy!_%epid!_%ecid!</v></cell></row><row r="6135"><cell r="K6135" t="str"><v>August</v></cell><cell r="L6135"><v>43330</v></cell><cell r="M6135" t="str"><v>Tier 0</v></cell><cell r="N6135" t="str"><v>North America</v></cell><cell r="O6135" t="str"><v>United States</v></cell><cell r="P6135" t="str"><v>Trial</v></cell><cell r="Q6135" t="str"><v>Social</v></cell><cell r="R6135" t="str"><v>Azure</v></cell><cell r="S6135" t="str"><v>Apps & Infra</v></cell><cell r="T6135" t="str"><v>Developers & ITI's</v></cell><cell r="U6135" t="str"><v>USA-Trial-ITD-Bing Retargeting LAL-AZR-AZR</v></cell><cell r="V6135" t="str"><v>Retargeting</v></cell><cell r="W6135" t="str"><v>Link Ad</v></cell><cell r="X6135" t="str"><v>1x1</v></cell></row><row r="6135"><cell r="AA6135"><v>43325</v></cell><cell r="AB6135" t="str"><v>USA_gaPMG_AZR_AZR_Q1_19_Direct-Social</v></cell><cell r="AC6135"><v>21358715</v></cell><cell r="AD6135"><v>720197</v></cell><cell r="AE6135" t="str"><v>Linkedin</v></cell><cell r="AF6135"><v>3654329</v></cell><cell r="AG6135" t="str"><v>LINKEDIN»USA-Trial-ITD-Bing Retargeting LAL-AZR-AZR»1 x 1»SocialBan»LIA»ALL»CPA»RT»D»All»SS»NA»FreeAcctRetargetingOSSLI-Text-ChF»PS7BSY</v></cell><cell r="AH6135"><v>226774290</v></cell><cell r="AI6135" t="str"><v>AZR_FreeAcctRetargetingOSSLI-Text-ChF_USA_1200x627_LIA_Plat_English_Free Account_Standard_NA_SINU_T1_1</v></cell><cell r="AJ6135"><v>104595754</v></cell></row><row r="6136"><cell r="C6136" t="str"><v>43325LINKEDIN»USA-Trial-ITD-Bing Retargeting LAL-AZR-AZR»1 x 1»SocialBan»LIA»ALL»CPA»RT»D»All»SS»NA»FreeAcctRetargetingVMLI-750Hrs-ChD»PS7BSW</v></cell><cell r="D6136" t="str"><v>43325226622842</v></cell><cell r="E6136" t="str"><v>43325104671415PS7BSW</v></cell><cell r="F6136" t="str"><v>DCM</v></cell><cell r="G6136" t="str"><v>https://azure.microsoft.com/en-us/free/virtual-machines/search/?OCID=AID%eexcid!_OLA_%ebuy!_%epid!_%ecid!</v></cell></row><row r="6136"><cell r="K6136" t="str"><v>August</v></cell><cell r="L6136"><v>43330</v></cell><cell r="M6136" t="str"><v>Tier 0</v></cell><cell r="N6136" t="str"><v>North America</v></cell><cell r="O6136" t="str"><v>United States</v></cell><cell r="P6136" t="str"><v>Trial</v></cell><cell r="Q6136" t="str"><v>Social</v></cell><cell r="R6136" t="str"><v>Azure</v></cell><cell r="S6136" t="str"><v>Apps & Infra</v></cell><cell r="T6136" t="str"><v>Developers & ITI's</v></cell><cell r="U6136" t="str"><v>USA-Trial-ITD-Bing Retargeting LAL-AZR-AZR</v></cell><cell r="V6136" t="str"><v>Retargeting</v></cell><cell r="W6136" t="str"><v>Link Ad</v></cell><cell r="X6136" t="str"><v>1x1</v></cell></row><row r="6136"><cell r="AA6136"><v>43325</v></cell><cell r="AB6136" t="str"><v>USA_gaPMG_AZR_AZR_Q1_19_Direct-Social</v></cell><cell r="AC6136"><v>21358715</v></cell><cell r="AD6136"><v>720197</v></cell><cell r="AE6136" t="str"><v>Linkedin</v></cell><cell r="AF6136"><v>3654329</v></cell><cell r="AG6136" t="str"><v>LINKEDIN»USA-Trial-ITD-Bing Retargeting LAL-AZR-AZR»1 x 1»SocialBan»LIA»ALL»CPA»RT»D»All»SS»NA»FreeAcctRetargetingVMLI-750Hrs-ChD»PS7BSW</v></cell><cell r="AH6136"><v>226622842</v></cell><cell r="AI6136" t="str"><v>AZR_FreeAcctRetargetingVMLI-750Hrs-ChD_USA_1200x627_LIA_Plat_English_Free Account_Standard_NA_SINU_T1_1</v></cell><cell r="AJ6136"><v>104671415</v></cell></row><row r="6137"><cell r="C6137" t="str"><v>43325LINKEDIN»USA-Trial-ITD-Groups Prospecting-AZR-AZR»1 x 1»SocialBan»LIA»ALL»CPA»PRO»D»All»SS»NA»FreeAcctRetargetingOSSLI-Logos-ChG»PS7BRY</v></cell><cell r="D6137" t="str"><v>43325226539362</v></cell><cell r="E6137" t="str"><v>43325104595727PS7BRY</v></cell><cell r="F6137" t="str"><v>DCM</v></cell><cell r="G6137" t="str"><v>https://azure.microsoft.com/en-us/free/open-source/search/?OCID=AID%eexcid!_OLA_%ebuy!_%epid!_%ecid!</v></cell></row><row r="6137"><cell r="K6137" t="str"><v>August</v></cell><cell r="L6137"><v>43330</v></cell><cell r="M6137" t="str"><v>Tier 0</v></cell><cell r="N6137" t="str"><v>North America</v></cell><cell r="O6137" t="str"><v>United States</v></cell><cell r="P6137" t="str"><v>Trial</v></cell><cell r="Q6137" t="str"><v>Social</v></cell><cell r="R6137" t="str"><v>Azure</v></cell><cell r="S6137" t="str"><v>Apps & Infra</v></cell><cell r="T6137" t="str"><v>Developers & ITI's</v></cell><cell r="U6137" t="str"><v>USA-Trial-ITD-Groups Prospecting-AZR-AZR</v></cell><cell r="V6137" t="str"><v>Prospecting</v></cell><cell r="W6137" t="str"><v>Link Ad</v></cell><cell r="X6137" t="str"><v>1x1</v></cell></row><row r="6137"><cell r="AA6137"><v>43325</v></cell><cell r="AB6137" t="str"><v>USA_gaPMG_AZR_AZR_Q1_19_Direct-Social</v></cell><cell r="AC6137"><v>21358715</v></cell><cell r="AD6137"><v>720197</v></cell><cell r="AE6137" t="str"><v>Linkedin</v></cell><cell r="AF6137"><v>3654329</v></cell><cell r="AG6137" t="str"><v>LINKEDIN»USA-Trial-ITD-Groups Prospecting-AZR-AZR»1 x 1»SocialBan»LIA»ALL»CPA»PRO»D»All»SS»NA»FreeAcctRetargetingOSSLI-Logos-ChG»PS7BRY</v></cell><cell r="AH6137"><v>226539362</v></cell><cell r="AI6137" t="str"><v>AZR_FreeAcctRetargetingOSSLI-Logos-ChG_USA_1200x627_LIA_Plat_English_Free Account_Standard_NA_SINU_T2_1</v></cell><cell r="AJ6137"><v>104595727</v></cell></row><row r="6138"><cell r="C6138" t="str"><v>43325LINKEDIN»USA-Trial-ITD-Groups Prospecting-AZR-AZR»1 x 1»SocialBan»LIA»ALL»CPA»PRO»D»All»SS»NA»FreeAcctRetargetingVMLI-750Hrs-ChD»PS7BRT</v></cell><cell r="D6138" t="str"><v>43325226536125</v></cell><cell r="E6138" t="str"><v>43325104671415PS7BRT</v></cell><cell r="F6138" t="str"><v>DCM</v></cell><cell r="G6138" t="str"><v>https://azure.microsoft.com/en-us/free/virtual-machines/search/?OCID=AID%eexcid!_OLA_%ebuy!_%epid!_%ecid!</v></cell></row><row r="6138"><cell r="K6138" t="str"><v>August</v></cell><cell r="L6138"><v>43330</v></cell><cell r="M6138" t="str"><v>Tier 0</v></cell><cell r="N6138" t="str"><v>North America</v></cell><cell r="O6138" t="str"><v>United States</v></cell><cell r="P6138" t="str"><v>Trial</v></cell><cell r="Q6138" t="str"><v>Social</v></cell><cell r="R6138" t="str"><v>Azure</v></cell><cell r="S6138" t="str"><v>Apps & Infra</v></cell><cell r="T6138" t="str"><v>Developers & ITI's</v></cell><cell r="U6138" t="str"><v>USA-Trial-ITD-Groups Prospecting-AZR-AZR</v></cell><cell r="V6138" t="str"><v>Prospecting</v></cell><cell r="W6138" t="str"><v>Link Ad</v></cell><cell r="X6138" t="str"><v>1x1</v></cell></row><row r="6138"><cell r="AA6138"><v>43325</v></cell><cell r="AB6138" t="str"><v>USA_gaPMG_AZR_AZR_Q1_19_Direct-Social</v></cell><cell r="AC6138"><v>21358715</v></cell><cell r="AD6138"><v>720197</v></cell><cell r="AE6138" t="str"><v>Linkedin</v></cell><cell r="AF6138"><v>3654329</v></cell><cell r="AG6138" t="str"><v>LINKEDIN»USA-Trial-ITD-Groups Prospecting-AZR-AZR»1 x 1»SocialBan»LIA»ALL»CPA»PRO»D»All»SS»NA»FreeAcctRetargetingVMLI-750Hrs-ChD»PS7BRT</v></cell><cell r="AH6138"><v>226536125</v></cell><cell r="AI6138" t="str"><v>AZR_FreeAcctRetargetingVMLI-750Hrs-ChD_USA_1200x627_LIA_Plat_English_Free Account_Standard_NA_SINU_T1_1</v></cell><cell r="AJ6138"><v>104671415</v></cell></row><row r="6139"><cell r="C6139" t="str"><v>43325LINKEDIN»USA-Trial-ITD-Groups Prospecting-AZR-AZR»1 x 1»SocialBan»LIA»ALL»CPA»PRO»D»All»SS»NA»FreeAcctRetargetingVMLI-OnDemand-ChE»PS7BRV</v></cell><cell r="D6139" t="str"><v>43325226786230</v></cell><cell r="E6139" t="str"><v>43325104592529PS7BRV</v></cell><cell r="F6139" t="str"><v>DCM</v></cell><cell r="G6139" t="str"><v>https://azure.microsoft.com/en-us/free/virtual-machines/search/?OCID=AID%eexcid!_OLA_%ebuy!_%epid!_%ecid!</v></cell></row><row r="6139"><cell r="K6139" t="str"><v>August</v></cell><cell r="L6139"><v>43330</v></cell><cell r="M6139" t="str"><v>Tier 0</v></cell><cell r="N6139" t="str"><v>North America</v></cell><cell r="O6139" t="str"><v>United States</v></cell><cell r="P6139" t="str"><v>Trial</v></cell><cell r="Q6139" t="str"><v>Social</v></cell><cell r="R6139" t="str"><v>Azure</v></cell><cell r="S6139" t="str"><v>Apps & Infra</v></cell><cell r="T6139" t="str"><v>Developers & ITI's</v></cell><cell r="U6139" t="str"><v>USA-Trial-ITD-Groups Prospecting-AZR-AZR</v></cell><cell r="V6139" t="str"><v>Prospecting</v></cell><cell r="W6139" t="str"><v>Link Ad</v></cell><cell r="X6139" t="str"><v>1x1</v></cell></row><row r="6139"><cell r="AA6139"><v>43325</v></cell><cell r="AB6139" t="str"><v>USA_gaPMG_AZR_AZR_Q1_19_Direct-Social</v></cell><cell r="AC6139"><v>21358715</v></cell><cell r="AD6139"><v>720197</v></cell><cell r="AE6139" t="str"><v>Linkedin</v></cell><cell r="AF6139"><v>3654329</v></cell><cell r="AG6139" t="str"><v>LINKEDIN»USA-Trial-ITD-Groups Prospecting-AZR-AZR»1 x 1»SocialBan»LIA»ALL»CPA»PRO»D»All»SS»NA»FreeAcctRetargetingVMLI-OnDemand-ChE»PS7BRV</v></cell><cell r="AH6139"><v>226786230</v></cell><cell r="AI6139" t="str"><v>AZR_FreeAcctRetargetingVMLI-OnDemand-ChE_USA_1200x627_LIA_Plat_English_Free Account_Standard_NA_SINU_T2_1</v></cell><cell r="AJ6139"><v>104592529</v></cell></row><row r="6140"><cell r="C6140" t="str"><v>43325LINKEDIN»USA-Trial-ITD-Job Functions Prospecting-AZR-AZR»1 x 1»SocialBan»LIA»ALL»CPA»PRO»D»All»SS»NA»FreeAcctRetargetingLI-Credit-ChA»PS7BSG</v></cell><cell r="D6140" t="str"><v>43325226538561</v></cell><cell r="E6140" t="str"><v>43325104593435PS7BSG</v></cell><cell r="F6140" t="str"><v>DCM</v></cell><cell r="G6140" t="str"><v>https://azure.microsoft.com/en-us/free/search/?OCID=AID%eexcid!_OLA_%ebuy!_%epid!_%ecid!</v></cell></row><row r="6140"><cell r="K6140" t="str"><v>August</v></cell><cell r="L6140"><v>43330</v></cell><cell r="M6140" t="str"><v>Tier 0</v></cell><cell r="N6140" t="str"><v>North America</v></cell><cell r="O6140" t="str"><v>United States</v></cell><cell r="P6140" t="str"><v>Trial</v></cell><cell r="Q6140" t="str"><v>Social</v></cell><cell r="R6140" t="str"><v>Azure</v></cell><cell r="S6140" t="str"><v>Apps & Infra</v></cell><cell r="T6140" t="str"><v>Developers & ITI's</v></cell><cell r="U6140" t="str"><v>USA-Trial-ITD-Job Functions Prospecting-AZR-AZR</v></cell><cell r="V6140" t="str"><v>Prospecting</v></cell><cell r="W6140" t="str"><v>Link Ad</v></cell><cell r="X6140" t="str"><v>1x1</v></cell></row><row r="6140"><cell r="AA6140"><v>43325</v></cell><cell r="AB6140" t="str"><v>USA_gaPMG_AZR_AZR_Q1_19_Direct-Social</v></cell><cell r="AC6140"><v>21358715</v></cell><cell r="AD6140"><v>720197</v></cell><cell r="AE6140" t="str"><v>Linkedin</v></cell><cell r="AF6140"><v>3654329</v></cell><cell r="AG6140" t="str"><v>LINKEDIN»USA-Trial-ITD-Job Functions Prospecting-AZR-AZR»1 x 1»SocialBan»LIA»ALL»CPA»PRO»D»All»SS»NA»FreeAcctRetargetingLI-Credit-ChA»PS7BSG</v></cell><cell r="AH6140"><v>226538561</v></cell><cell r="AI6140" t="str"><v>AZR_FreeAcctRetargetingLI-Credit-ChA_USA_1200x627_LIA_Plat_English_Free Account_Standard_NA_SINU_T1_1</v></cell><cell r="AJ6140"><v>104593435</v></cell></row><row r="6141"><cell r="C6141" t="str"><v>43325LINKEDIN»USA-Trial-ITD-Job Functions Prospecting-AZR-AZR»1 x 1»SocialBan»LIA»ALL»CPA»PRO»D»All»SS»NA»FreeAcctRetargetingLI-GlobalAlt-ChB»PS7BSL</v></cell><cell r="D6141" t="str"><v>43325226536116</v></cell><cell r="E6141" t="str"><v>43325104593723PS7BSL</v></cell><cell r="F6141" t="str"><v>DCM</v></cell><cell r="G6141" t="str"><v>https://azure.microsoft.com/en-us/free/search/?OCID=AID%eexcid!_OLA_%ebuy!_%epid!_%ecid!</v></cell></row><row r="6141"><cell r="K6141" t="str"><v>August</v></cell><cell r="L6141"><v>43330</v></cell><cell r="M6141" t="str"><v>Tier 0</v></cell><cell r="N6141" t="str"><v>North America</v></cell><cell r="O6141" t="str"><v>United States</v></cell><cell r="P6141" t="str"><v>Trial</v></cell><cell r="Q6141" t="str"><v>Social</v></cell><cell r="R6141" t="str"><v>Azure</v></cell><cell r="S6141" t="str"><v>Apps & Infra</v></cell><cell r="T6141" t="str"><v>Developers & ITI's</v></cell><cell r="U6141" t="str"><v>USA-Trial-ITD-Job Functions Prospecting-AZR-AZR</v></cell><cell r="V6141" t="str"><v>Prospecting</v></cell><cell r="W6141" t="str"><v>Link Ad</v></cell><cell r="X6141" t="str"><v>1x1</v></cell></row><row r="6141"><cell r="AA6141"><v>43325</v></cell><cell r="AB6141" t="str"><v>USA_gaPMG_AZR_AZR_Q1_19_Direct-Social</v></cell><cell r="AC6141"><v>21358715</v></cell><cell r="AD6141"><v>720197</v></cell><cell r="AE6141" t="str"><v>Linkedin</v></cell><cell r="AF6141"><v>3654329</v></cell><cell r="AG6141" t="str"><v>LINKEDIN»USA-Trial-ITD-Job Functions Prospecting-AZR-AZR»1 x 1»SocialBan»LIA»ALL»CPA»PRO»D»All»SS»NA»FreeAcctRetargetingLI-GlobalAlt-ChB»PS7BSL</v></cell><cell r="AH6141"><v>226536116</v></cell><cell r="AI6141" t="str"><v>AZR_FreeAcctRetargetingLI-GlobalAlt-ChB_USA_1200x627_LIA_Plat_English_Free Account_Standard_NA_SINU_T2_1</v></cell><cell r="AJ6141"><v>104593723</v></cell></row><row r="6142"><cell r="C6142" t="str"><v>43325LINKEDIN»USA-Trial-ITD-Job Functions Prospecting-AZR-AZR»1 x 1»SocialBan»LIA»ALL»CPA»PRO»D»All»SS»NA»FreeAcctRetargetingOSSLI-Logos-ChG»PS7BSH</v></cell><cell r="D6142" t="str"><v>43325226539077</v></cell><cell r="E6142" t="str"><v>43325104595727PS7BSH</v></cell><cell r="F6142" t="str"><v>DCM</v></cell><cell r="G6142" t="str"><v>https://azure.microsoft.com/en-us/free/open-source/search/?OCID=AID%eexcid!_OLA_%ebuy!_%epid!_%ecid!</v></cell></row><row r="6142"><cell r="K6142" t="str"><v>August</v></cell><cell r="L6142"><v>43330</v></cell><cell r="M6142" t="str"><v>Tier 0</v></cell><cell r="N6142" t="str"><v>North America</v></cell><cell r="O6142" t="str"><v>United States</v></cell><cell r="P6142" t="str"><v>Trial</v></cell><cell r="Q6142" t="str"><v>Social</v></cell><cell r="R6142" t="str"><v>Azure</v></cell><cell r="S6142" t="str"><v>Apps & Infra</v></cell><cell r="T6142" t="str"><v>Developers & ITI's</v></cell><cell r="U6142" t="str"><v>USA-Trial-ITD-Job Functions Prospecting-AZR-AZR</v></cell><cell r="V6142" t="str"><v>Prospecting</v></cell><cell r="W6142" t="str"><v>Link Ad</v></cell><cell r="X6142" t="str"><v>1x1</v></cell></row><row r="6142"><cell r="AA6142"><v>43325</v></cell><cell r="AB6142" t="str"><v>USA_gaPMG_AZR_AZR_Q1_19_Direct-Social</v></cell><cell r="AC6142"><v>21358715</v></cell><cell r="AD6142"><v>720197</v></cell><cell r="AE6142" t="str"><v>Linkedin</v></cell><cell r="AF6142"><v>3654329</v></cell><cell r="AG6142" t="str"><v>LINKEDIN»USA-Trial-ITD-Job Functions Prospecting-AZR-AZR»1 x 1»SocialBan»LIA»ALL»CPA»PRO»D»All»SS»NA»FreeAcctRetargetingOSSLI-Logos-ChG»PS7BSH</v></cell><cell r="AH6142"><v>226539077</v></cell><cell r="AI6142" t="str"><v>AZR_FreeAcctRetargetingOSSLI-Logos-ChG_USA_1200x627_LIA_Plat_English_Free Account_Standard_NA_SINU_T2_1</v></cell><cell r="AJ6142"><v>104595727</v></cell></row><row r="6143"><cell r="C6143" t="str"><v>43325LINKEDIN»USA-Trial-ITD-Job Titles Prospecting-AZR-AZR»1 x 1»SocialBan»LIA»ALL»CPA»PRO»D»All»SS»NA»FreeAcctRetargetingLI-GlobalAlt-ChB»PS7B68</v></cell><cell r="D6143" t="str"><v>43325226774233</v></cell><cell r="E6143" t="str"><v>43325104593723PS7B68</v></cell><cell r="F6143" t="str"><v>DCM</v></cell><cell r="G6143" t="str"><v>https://azure.microsoft.com/en-us/free/search/?OCID=AID%eexcid!_OLA_%ebuy!_%epid!_%ecid!</v></cell></row><row r="6143"><cell r="K6143" t="str"><v>August</v></cell><cell r="L6143"><v>43330</v></cell><cell r="M6143" t="str"><v>Tier 0</v></cell><cell r="N6143" t="str"><v>North America</v></cell><cell r="O6143" t="str"><v>United States</v></cell><cell r="P6143" t="str"><v>Trial</v></cell><cell r="Q6143" t="str"><v>Social</v></cell><cell r="R6143" t="str"><v>Azure</v></cell><cell r="S6143" t="str"><v>Apps & Infra</v></cell><cell r="T6143" t="str"><v>Developers & ITI's</v></cell><cell r="U6143" t="str"><v>USA-Trial-ITD-Job Titles Prospecting-AZR-AZR</v></cell><cell r="V6143" t="str"><v>Prospecting</v></cell><cell r="W6143" t="str"><v>Link Ad</v></cell><cell r="X6143" t="str"><v>1x1</v></cell></row><row r="6143"><cell r="AA6143"><v>43325</v></cell><cell r="AB6143" t="str"><v>USA_gaPMG_AZR_AZR_Q1_19_Direct-Social</v></cell><cell r="AC6143"><v>21358715</v></cell><cell r="AD6143"><v>720197</v></cell><cell r="AE6143" t="str"><v>Linkedin</v></cell><cell r="AF6143"><v>3654329</v></cell><cell r="AG6143" t="str"><v>LINKEDIN»USA-Trial-ITD-Job Titles Prospecting-AZR-AZR»1 x 1»SocialBan»LIA»ALL»CPA»PRO»D»All»SS»NA»FreeAcctRetargetingLI-GlobalAlt-ChB»PS7B68</v></cell><cell r="AH6143"><v>226774233</v></cell><cell r="AI6143" t="str"><v>AZR_FreeAcctRetargetingLI-GlobalAlt-ChB_USA_1200x627_LIA_Plat_English_Free Account_Standard_NA_SINU_T2_1</v></cell><cell r="AJ6143"><v>104593723</v></cell></row><row r="6144"><cell r="C6144" t="str"><v>43325LINKEDIN»USA-Trial-ITD-Job Titles Prospecting-AZR-AZR»1 x 1»SocialBan»LIA»ALL»CPA»PRO»D»All»SS»NA»FreeAcctRetargetingVMLI-750Hrs-ChD»PS7B6D</v></cell><cell r="D6144" t="str"><v>43325226620871</v></cell><cell r="E6144" t="str"><v>43325104671415PS7B6D</v></cell><cell r="F6144" t="str"><v>DCM</v></cell><cell r="G6144" t="str"><v>https://azure.microsoft.com/en-us/free/virtual-machines/search/?OCID=AID%eexcid!_OLA_%ebuy!_%epid!_%ecid!</v></cell></row><row r="6144"><cell r="K6144" t="str"><v>August</v></cell><cell r="L6144"><v>43330</v></cell><cell r="M6144" t="str"><v>Tier 0</v></cell><cell r="N6144" t="str"><v>North America</v></cell><cell r="O6144" t="str"><v>United States</v></cell><cell r="P6144" t="str"><v>Trial</v></cell><cell r="Q6144" t="str"><v>Social</v></cell><cell r="R6144" t="str"><v>Azure</v></cell><cell r="S6144" t="str"><v>Apps & Infra</v></cell><cell r="T6144" t="str"><v>Developers & ITI's</v></cell><cell r="U6144" t="str"><v>USA-Trial-ITD-Job Titles Prospecting-AZR-AZR</v></cell><cell r="V6144" t="str"><v>Prospecting</v></cell><cell r="W6144" t="str"><v>Link Ad</v></cell><cell r="X6144" t="str"><v>1x1</v></cell></row><row r="6144"><cell r="AA6144"><v>43325</v></cell><cell r="AB6144" t="str"><v>USA_gaPMG_AZR_AZR_Q1_19_Direct-Social</v></cell><cell r="AC6144"><v>21358715</v></cell><cell r="AD6144"><v>720197</v></cell><cell r="AE6144" t="str"><v>Linkedin</v></cell><cell r="AF6144"><v>3654329</v></cell><cell r="AG6144" t="str"><v>LINKEDIN»USA-Trial-ITD-Job Titles Prospecting-AZR-AZR»1 x 1»SocialBan»LIA»ALL»CPA»PRO»D»All»SS»NA»FreeAcctRetargetingVMLI-750Hrs-ChD»PS7B6D</v></cell><cell r="AH6144"><v>226620871</v></cell><cell r="AI6144" t="str"><v>AZR_FreeAcctRetargetingVMLI-750Hrs-ChD_USA_1200x627_LIA_Plat_English_Free Account_Standard_NA_SINU_T1_1</v></cell><cell r="AJ6144"><v>104671415</v></cell></row><row r="6145"><cell r="C6145" t="str"><v>43325LINKEDIN»USA-Trial-ITD-Skills Prospecting-AZR-AZR»1 x 1»SocialBan»LIA»ALL»CPA»PRO»D»All»SS»NA»FreeAcctRetargetingOSSLI-Logos-ChG»PS7BV3</v></cell><cell r="D6145" t="str"><v>43325226774260</v></cell><cell r="E6145" t="str"><v>43325104595727PS7BV3</v></cell><cell r="F6145" t="str"><v>DCM</v></cell><cell r="G6145" t="str"><v>https://azure.microsoft.com/en-us/free/open-source/search/?OCID=AID%eexcid!_OLA_%ebuy!_%epid!_%ecid!</v></cell></row><row r="6145"><cell r="K6145" t="str"><v>August</v></cell><cell r="L6145"><v>43330</v></cell><cell r="M6145" t="str"><v>Tier 0</v></cell><cell r="N6145" t="str"><v>North America</v></cell><cell r="O6145" t="str"><v>United States</v></cell><cell r="P6145" t="str"><v>Trial</v></cell><cell r="Q6145" t="str"><v>Social</v></cell><cell r="R6145" t="str"><v>Azure</v></cell><cell r="S6145" t="str"><v>Apps & Infra</v></cell><cell r="T6145" t="str"><v>Developers & ITI's</v></cell><cell r="U6145" t="str"><v>USA-Trial-ITD-Skills Prospecting-AZR-AZR</v></cell><cell r="V6145" t="str"><v>Prospecting</v></cell><cell r="W6145" t="str"><v>Link Ad</v></cell><cell r="X6145" t="str"><v>1x1</v></cell></row><row r="6145"><cell r="AA6145"><v>43325</v></cell><cell r="AB6145" t="str"><v>USA_gaPMG_AZR_AZR_Q1_19_Direct-Social</v></cell><cell r="AC6145"><v>21358715</v></cell><cell r="AD6145"><v>720197</v></cell><cell r="AE6145" t="str"><v>Linkedin</v></cell><cell r="AF6145"><v>3654329</v></cell><cell r="AG6145" t="str"><v>LINKEDIN»USA-Trial-ITD-Skills Prospecting-AZR-AZR»1 x 1»SocialBan»LIA»ALL»CPA»PRO»D»All»SS»NA»FreeAcctRetargetingOSSLI-Logos-ChG»PS7BV3</v></cell><cell r="AH6145"><v>226774260</v></cell><cell r="AI6145" t="str"><v>AZR_FreeAcctRetargetingOSSLI-Logos-ChG_USA_1200x627_LIA_Plat_English_Free Account_Standard_NA_SINU_T2_1</v></cell><cell r="AJ6145"><v>104595727</v></cell></row><row r="6146"><cell r="C6146" t="str"><v>43325LINKEDIN»USA-Trial-ITD-Skills Prospecting-AZR-AZR»1 x 1»SocialBan»LIA»ALL»CPA»PRO»D»All»SS»NA»FreeAcctRetargetingVMLI-750Hrs-ChD»PS7BTZ</v></cell><cell r="D6146" t="str"><v>43325226537553</v></cell><cell r="E6146" t="str"><v>43325104671415PS7BTZ</v></cell><cell r="F6146" t="str"><v>DCM</v></cell><cell r="G6146" t="str"><v>https://azure.microsoft.com/en-us/free/virtual-machines/search/?OCID=AID%eexcid!_OLA_%ebuy!_%epid!_%ecid!</v></cell></row><row r="6146"><cell r="K6146" t="str"><v>August</v></cell><cell r="L6146"><v>43330</v></cell><cell r="M6146" t="str"><v>Tier 0</v></cell><cell r="N6146" t="str"><v>North America</v></cell><cell r="O6146" t="str"><v>United States</v></cell><cell r="P6146" t="str"><v>Trial</v></cell><cell r="Q6146" t="str"><v>Social</v></cell><cell r="R6146" t="str"><v>Azure</v></cell><cell r="S6146" t="str"><v>Apps & Infra</v></cell><cell r="T6146" t="str"><v>Developers & ITI's</v></cell><cell r="U6146" t="str"><v>USA-Trial-ITD-Skills Prospecting-AZR-AZR</v></cell><cell r="V6146" t="str"><v>Prospecting</v></cell><cell r="W6146" t="str"><v>Link Ad</v></cell><cell r="X6146" t="str"><v>1x1</v></cell></row><row r="6146"><cell r="AA6146"><v>43325</v></cell><cell r="AB6146" t="str"><v>USA_gaPMG_AZR_AZR_Q1_19_Direct-Social</v></cell><cell r="AC6146"><v>21358715</v></cell><cell r="AD6146"><v>720197</v></cell><cell r="AE6146" t="str"><v>Linkedin</v></cell><cell r="AF6146"><v>3654329</v></cell><cell r="AG6146" t="str"><v>LINKEDIN»USA-Trial-ITD-Skills Prospecting-AZR-AZR»1 x 1»SocialBan»LIA»ALL»CPA»PRO»D»All»SS»NA»FreeAcctRetargetingVMLI-750Hrs-ChD»PS7BTZ</v></cell><cell r="AH6146"><v>226537553</v></cell><cell r="AI6146" t="str"><v>AZR_FreeAcctRetargetingVMLI-750Hrs-ChD_USA_1200x627_LIA_Plat_English_Free Account_Standard_NA_SINU_T1_1</v></cell><cell r="AJ6146"><v>104671415</v></cell></row><row r="6147"><cell r="C6147" t="str"><v>43325LINKEDIN»USA-Trial-ITD-Website Retargeting-AZR-AZR»1 x 1»SocialBan»LIA»ALL»CPA»RT»D»All»SS»NA»FreeAcctRetargetingLI-Credit-ChA»PS7BVM</v></cell><cell r="D6147" t="str"><v>43325226536077</v></cell><cell r="E6147" t="str"><v>43325104593435PS7BVM</v></cell><cell r="F6147" t="str"><v>DCM</v></cell><cell r="G6147" t="str"><v>https://azure.microsoft.com/en-us/free/search/?OCID=AID%eexcid!_OLA_%ebuy!_%epid!_%ecid!</v></cell></row><row r="6147"><cell r="K6147" t="str"><v>August</v></cell><cell r="L6147"><v>43330</v></cell><cell r="M6147" t="str"><v>Tier 0</v></cell><cell r="N6147" t="str"><v>North America</v></cell><cell r="O6147" t="str"><v>United States</v></cell><cell r="P6147" t="str"><v>Trial</v></cell><cell r="Q6147" t="str"><v>Social</v></cell><cell r="R6147" t="str"><v>Azure</v></cell><cell r="S6147" t="str"><v>Apps & Infra</v></cell><cell r="T6147" t="str"><v>Developers & ITI's</v></cell><cell r="U6147" t="str"><v>USA-Trial-ITD-Website Retargeting-AZR-AZR</v></cell><cell r="V6147" t="str"><v>Retargeting</v></cell><cell r="W6147" t="str"><v>Link Ad</v></cell><cell r="X6147" t="str"><v>1x1</v></cell></row><row r="6147"><cell r="AA6147"><v>43325</v></cell><cell r="AB6147" t="str"><v>USA_gaPMG_AZR_AZR_Q1_19_Direct-Social</v></cell><cell r="AC6147"><v>21358715</v></cell><cell r="AD6147"><v>720197</v></cell><cell r="AE6147" t="str"><v>Linkedin</v></cell><cell r="AF6147"><v>3654329</v></cell><cell r="AG6147" t="str"><v>LINKEDIN»USA-Trial-ITD-Website Retargeting-AZR-AZR»1 x 1»SocialBan»LIA»ALL»CPA»RT»D»All»SS»NA»FreeAcctRetargetingLI-Credit-ChA»PS7BVM</v></cell><cell r="AH6147"><v>226536077</v></cell><cell r="AI6147" t="str"><v>AZR_FreeAcctRetargetingLI-Credit-ChA_USA_1200x627_LIA_Plat_English_Free Account_Standard_NA_SINU_T1_1</v></cell><cell r="AJ6147"><v>104593435</v></cell></row><row r="6148"><cell r="C6148" t="str"><v>43326Facebook»Audience & Interest Targeting»1x1»Canvas»OTH»DT»DYN»AUT»W»NA»SS»NA»FBCTCcanvaspage-StartFreeCTA_FBCTCcanvaspage-BuyNowCTA</v></cell><cell r="D6148" t="str"><v>43326224639151</v></cell><cell r="E6148" t="str"><v>43326103316832NowCTA</v></cell><cell r="F6148" t="str"><v>DCM</v></cell><cell r="G6148" t="str"><v>https://azure.microsoft.com/en-au/pricing/purchase-options/</v></cell></row><row r="6148"><cell r="K6148" t="str"><v>August</v></cell><cell r="L6148"><v>43330</v></cell><cell r="M6148" t="str"><v>Tier 1</v></cell><cell r="N6148" t="str"><v>APAC</v></cell><cell r="O6148" t="str"><v>Australia</v></cell><cell r="P6148" t="str"><v>Trial</v></cell><cell r="Q6148" t="str"><v>Social</v></cell><cell r="R6148" t="str"><v>Azure</v></cell><cell r="S6148" t="str"><v>Apps & Infra</v></cell><cell r="T6148" t="str"><v>Developers & ITI's</v></cell><cell r="U6148" t="str"><v>Audience & Interest Targeting</v></cell><cell r="V6148" t="str"><v>Audience Targeting</v></cell><cell r="W6148" t="str"><v>Other</v></cell><cell r="X6148" t="str"><v>1x1</v></cell></row><row r="6148"><cell r="AA6148"><v>43326</v></cell><cell r="AB6148" t="str"><v>AUS_gaPMG_AZR_AZR_Q1_19_Trial-Social</v></cell><cell r="AC6148"><v>21358568</v></cell><cell r="AD6148"><v>720191</v></cell><cell r="AE6148" t="str"><v>Facebook</v></cell><cell r="AF6148"><v>3654128</v></cell><cell r="AG6148" t="str"><v>Facebook»Audience & Interest Targeting»1x1»Canvas»OTH»DT»DYN»AUT»W»NA»SS»NA»FBCTCcanvaspage-StartFreeCTA_FBCTCcanvaspage-BuyNowCTA</v></cell><cell r="AH6148"><v>224639151</v></cell><cell r="AI6148" t="str"><v>AzurePlatform_FBCTCcanvaspage-BuyNowCTA-Img3_AUS_1080x162_SOC_Plat_English_NA_Standard_NA_BN_T3_1</v></cell><cell r="AJ6148"><v>103316832</v></cell></row><row r="6149"><cell r="C6149" t="str"><v>43326Facebook»Audience & Interest Targeting»1x1»Canvas»OTH»DT»DYN»AUT»W»NA»SS»NA»FBCTCcanvaspage-StartFreeCTA_FBCTCcanvaspage-BuyNowCTA</v></cell><cell r="D6149" t="str"><v>43326224639151</v></cell><cell r="E6149" t="str"><v>43326103316829NowCTA</v></cell><cell r="F6149" t="str"><v>DCM</v></cell><cell r="G6149" t="str"><v>https://signup.azure.com/signup?offer=ms-azr-0044p&appId=102&ref=paidmedia-social-fb&redirectURL=https%3a%2f%2fazure.microsoft.com%2fen-au%2fget-started%2fwelcome-to-azure%2f&l=en-au&correlationId=ead86c34-1f10-49dd-a72b-6918462a2cbf</v></cell></row><row r="6149"><cell r="K6149" t="str"><v>August</v></cell><cell r="L6149"><v>43330</v></cell><cell r="M6149" t="str"><v>Tier 1</v></cell><cell r="N6149" t="str"><v>APAC</v></cell><cell r="O6149" t="str"><v>Australia</v></cell><cell r="P6149" t="str"><v>Trial</v></cell><cell r="Q6149" t="str"><v>Social</v></cell><cell r="R6149" t="str"><v>Azure</v></cell><cell r="S6149" t="str"><v>Apps & Infra</v></cell><cell r="T6149" t="str"><v>Developers & ITI's</v></cell><cell r="U6149" t="str"><v>Audience & Interest Targeting</v></cell><cell r="V6149" t="str"><v>Audience Targeting</v></cell><cell r="W6149" t="str"><v>Other</v></cell><cell r="X6149" t="str"><v>1x1</v></cell></row><row r="6149"><cell r="AA6149"><v>43326</v></cell><cell r="AB6149" t="str"><v>AUS_gaPMG_AZR_AZR_Q1_19_Trial-Social</v></cell><cell r="AC6149"><v>21358568</v></cell><cell r="AD6149"><v>720191</v></cell><cell r="AE6149" t="str"><v>Facebook</v></cell><cell r="AF6149"><v>3654128</v></cell><cell r="AG6149" t="str"><v>Facebook»Audience & Interest Targeting»1x1»Canvas»OTH»DT»DYN»AUT»W»NA»SS»NA»FBCTCcanvaspage-StartFreeCTA_FBCTCcanvaspage-BuyNowCTA</v></cell><cell r="AH6149"><v>224639151</v></cell><cell r="AI6149" t="str"><v>AzurePlatform_FBCTCcanvaspage-StartFreeCTA-Img2_AUS_1080x143 _SOC_Plat_English_NA_Standard_NA_NA_T2_1</v></cell><cell r="AJ6149"><v>103316829</v></cell></row><row r="6150"><cell r="C6150" t="str"><v>43326Facebook»Audience & Interest Targeting»1x1»TextLink»OTH»DT»DYN»AUT»W»NA»SS»NA»Free Account Refresh- 12 months ChE</v></cell><cell r="D6150" t="str"><v>43326224160783</v></cell><cell r="E6150" t="str"><v>43326103051614hs ChE</v></cell><cell r="F6150" t="str"><v>DCM</v></cell></row><row r="6150"><cell r="K6150" t="str"><v>August</v></cell><cell r="L6150"><v>43330</v></cell><cell r="M6150" t="str"><v>Tier 1</v></cell><cell r="N6150" t="str"><v>APAC</v></cell><cell r="O6150" t="str"><v>Australia</v></cell><cell r="P6150" t="str"><v>Trial</v></cell><cell r="Q6150" t="str"><v>Social</v></cell><cell r="R6150" t="str"><v>Azure</v></cell><cell r="S6150" t="str"><v>Apps & Infra</v></cell><cell r="T6150" t="str"><v>Developers & ITI's</v></cell><cell r="U6150" t="str"><v>Audience & Interest Targeting</v></cell><cell r="V6150" t="str"><v>Audience Targeting</v></cell><cell r="W6150" t="str"><v>Other</v></cell><cell r="X6150" t="str"><v>1x1</v></cell></row><row r="6150"><cell r="AA6150"><v>43326</v></cell><cell r="AB6150" t="str"><v>AUS_gaPMG_AZR_AZR_Q1_19_Trial-Social</v></cell><cell r="AC6150"><v>21358568</v></cell><cell r="AD6150"><v>720191</v></cell><cell r="AE6150" t="str"><v>Facebook</v></cell><cell r="AF6150"><v>3654128</v></cell><cell r="AG6150" t="str"><v>Facebook»Audience & Interest Targeting»1x1»TextLink»OTH»DT»DYN»AUT»W»NA»SS»NA»Free Account Refresh- 12 months ChE</v></cell><cell r="AH6150"><v>224160783</v></cell><cell r="AI6150" t="str"><v>AzurePlatform_FreeAcctAppsFACEBOOK12monthsChE_AUS_1200x628_SOC_PLAT_EN_Trial_Standard_NA_SNU_T5_1</v></cell><cell r="AJ6150"><v>103051614</v></cell></row><row r="6151"><cell r="C6151" t="str"><v>43326Facebook»Audience & Interest Targeting»1x1»TextLink»OTH»DT»DYN»AUT»W»NA»SS»NA»Free Account Refresh- 200 Credit ChD</v></cell><cell r="D6151" t="str"><v>43326224160780</v></cell><cell r="E6151" t="str"><v>43326103186904it ChD</v></cell><cell r="F6151" t="str"><v>DCM</v></cell></row><row r="6151"><cell r="K6151" t="str"><v>August</v></cell><cell r="L6151"><v>43330</v></cell><cell r="M6151" t="str"><v>Tier 1</v></cell><cell r="N6151" t="str"><v>APAC</v></cell><cell r="O6151" t="str"><v>Australia</v></cell><cell r="P6151" t="str"><v>Trial</v></cell><cell r="Q6151" t="str"><v>Social</v></cell><cell r="R6151" t="str"><v>Azure</v></cell><cell r="S6151" t="str"><v>Apps & Infra</v></cell><cell r="T6151" t="str"><v>Developers & ITI's</v></cell><cell r="U6151" t="str"><v>Audience & Interest Targeting</v></cell><cell r="V6151" t="str"><v>Audience Targeting</v></cell><cell r="W6151" t="str"><v>Other</v></cell><cell r="X6151" t="str"><v>1x1</v></cell></row><row r="6151"><cell r="AA6151"><v>43326</v></cell><cell r="AB6151" t="str"><v>AUS_gaPMG_AZR_AZR_Q1_19_Trial-Social</v></cell><cell r="AC6151"><v>21358568</v></cell><cell r="AD6151"><v>720191</v></cell><cell r="AE6151" t="str"><v>Facebook</v></cell><cell r="AF6151"><v>3654128</v></cell><cell r="AG6151" t="str"><v>Facebook»Audience & Interest Targeting»1x1»TextLink»OTH»DT»DYN»AUT»W»NA»SS»NA»Free Account Refresh- 200 Credit ChD</v></cell><cell r="AH6151"><v>224160780</v></cell><cell r="AI6151" t="str"><v>AzurePlatform_FreeAcctAppsFACEBOOK200CreditChD_AUS_1200x628_SOC_PLAT_EN_Trial_Standard_NA_SNU_T4_1</v></cell><cell r="AJ6151"><v>103186904</v></cell></row><row r="6152"><cell r="C6152" t="str"><v>43326Facebook»Audience & Interest Targeting»1x1»TextLink»OTH»DT»DYN»AUT»W»NA»SS»NA»Free Account Refresh- Device ChB</v></cell><cell r="D6152" t="str"><v>43326224160777</v></cell><cell r="E6152" t="str"><v>43326103048479ce ChB</v></cell><cell r="F6152" t="str"><v>DCM</v></cell></row><row r="6152"><cell r="K6152" t="str"><v>August</v></cell><cell r="L6152"><v>43330</v></cell><cell r="M6152" t="str"><v>Tier 1</v></cell><cell r="N6152" t="str"><v>APAC</v></cell><cell r="O6152" t="str"><v>Australia</v></cell><cell r="P6152" t="str"><v>Trial</v></cell><cell r="Q6152" t="str"><v>Social</v></cell><cell r="R6152" t="str"><v>Azure</v></cell><cell r="S6152" t="str"><v>Apps & Infra</v></cell><cell r="T6152" t="str"><v>Developers & ITI's</v></cell><cell r="U6152" t="str"><v>Audience & Interest Targeting</v></cell><cell r="V6152" t="str"><v>Audience Targeting</v></cell><cell r="W6152" t="str"><v>Other</v></cell><cell r="X6152" t="str"><v>1x1</v></cell></row><row r="6152"><cell r="AA6152"><v>43326</v></cell><cell r="AB6152" t="str"><v>AUS_gaPMG_AZR_AZR_Q1_19_Trial-Social</v></cell><cell r="AC6152"><v>21358568</v></cell><cell r="AD6152"><v>720191</v></cell><cell r="AE6152" t="str"><v>Facebook</v></cell><cell r="AF6152"><v>3654128</v></cell><cell r="AG6152" t="str"><v>Facebook»Audience & Interest Targeting»1x1»TextLink»OTH»DT»DYN»AUT»W»NA»SS»NA»Free Account Refresh- Device ChB</v></cell><cell r="AH6152"><v>224160777</v></cell><cell r="AI6152" t="str"><v>AzurePlatform_FreeAcctAppsFACEBOOKDeviceChB_AUS_1200x628_SOC_PLAT_EN_Trial_Standard_NA_SNU_T2_1</v></cell><cell r="AJ6152"><v>103048479</v></cell></row><row r="6153"><cell r="C6153" t="str"><v>43326Facebook»Audience & Interest Targeting»1x1»TextLink»OTH»DT»DYN»AUT»W»NA»SS»NA»Free Account Refresh- Illustration ChC</v></cell><cell r="D6153" t="str"><v>43326224160774</v></cell><cell r="E6153" t="str"><v>43326103186910on ChC</v></cell><cell r="F6153" t="str"><v>DCM</v></cell></row><row r="6153"><cell r="K6153" t="str"><v>August</v></cell><cell r="L6153"><v>43330</v></cell><cell r="M6153" t="str"><v>Tier 1</v></cell><cell r="N6153" t="str"><v>APAC</v></cell><cell r="O6153" t="str"><v>Australia</v></cell><cell r="P6153" t="str"><v>Trial</v></cell><cell r="Q6153" t="str"><v>Social</v></cell><cell r="R6153" t="str"><v>Azure</v></cell><cell r="S6153" t="str"><v>Apps & Infra</v></cell><cell r="T6153" t="str"><v>Developers & ITI's</v></cell><cell r="U6153" t="str"><v>Audience & Interest Targeting</v></cell><cell r="V6153" t="str"><v>Audience Targeting</v></cell><cell r="W6153" t="str"><v>Other</v></cell><cell r="X6153" t="str"><v>1x1</v></cell></row><row r="6153"><cell r="AA6153"><v>43326</v></cell><cell r="AB6153" t="str"><v>AUS_gaPMG_AZR_AZR_Q1_19_Trial-Social</v></cell><cell r="AC6153"><v>21358568</v></cell><cell r="AD6153"><v>720191</v></cell><cell r="AE6153" t="str"><v>Facebook</v></cell><cell r="AF6153"><v>3654128</v></cell><cell r="AG6153" t="str"><v>Facebook»Audience & Interest Targeting»1x1»TextLink»OTH»DT»DYN»AUT»W»NA»SS»NA»Free Account Refresh- Illustration ChC</v></cell><cell r="AH6153"><v>224160774</v></cell><cell r="AI6153" t="str"><v>AzurePlatform_FreeAcctAppsFACEBOOKIllustrationChC_AUS_1200x628_SOC_PLAT_EN_Trial_Standard_NA_SNU_T3_1</v></cell><cell r="AJ6153"><v>103186910</v></cell></row><row r="6154"><cell r="C6154" t="str"><v>43326Facebook»Audience & Interest Targeting»1x1»TextLink»OTH»DT»DYN»AUT»W»NA»SS»NA»Free Account Refresh- Lifestyle ChA</v></cell><cell r="D6154" t="str"><v>43326224160771</v></cell><cell r="E6154" t="str"><v>43326103048488le ChA</v></cell><cell r="F6154" t="str"><v>DCM</v></cell></row><row r="6154"><cell r="K6154" t="str"><v>August</v></cell><cell r="L6154"><v>43330</v></cell><cell r="M6154" t="str"><v>Tier 1</v></cell><cell r="N6154" t="str"><v>APAC</v></cell><cell r="O6154" t="str"><v>Australia</v></cell><cell r="P6154" t="str"><v>Trial</v></cell><cell r="Q6154" t="str"><v>Social</v></cell><cell r="R6154" t="str"><v>Azure</v></cell><cell r="S6154" t="str"><v>Apps & Infra</v></cell><cell r="T6154" t="str"><v>Developers & ITI's</v></cell><cell r="U6154" t="str"><v>Audience & Interest Targeting</v></cell><cell r="V6154" t="str"><v>Audience Targeting</v></cell><cell r="W6154" t="str"><v>Other</v></cell><cell r="X6154" t="str"><v>1x1</v></cell></row><row r="6154"><cell r="AA6154"><v>43326</v></cell><cell r="AB6154" t="str"><v>AUS_gaPMG_AZR_AZR_Q1_19_Trial-Social</v></cell><cell r="AC6154"><v>21358568</v></cell><cell r="AD6154"><v>720191</v></cell><cell r="AE6154" t="str"><v>Facebook</v></cell><cell r="AF6154"><v>3654128</v></cell><cell r="AG6154" t="str"><v>Facebook»Audience & Interest Targeting»1x1»TextLink»OTH»DT»DYN»AUT»W»NA»SS»NA»Free Account Refresh- Lifestyle ChA</v></cell><cell r="AH6154"><v>224160771</v></cell><cell r="AI6154" t="str"><v>AzurePlatform_FreeAcctAppsFACEBOOKLifestyleChA_AUS_1200x628_SOC_PLAT_EN_Trial_Standard_NA_SNU_T1_1</v></cell><cell r="AJ6154"><v>103048488</v></cell></row><row r="6155"><cell r="C6155" t="str"><v>43326Facebook»LAL»1x1»TextLink»SOC»DT»DYN»LAL»W»NA»SS»NA»Free Account Refresh- 200 Credit ChD</v></cell><cell r="D6155" t="str"><v>43326224160720</v></cell><cell r="E6155" t="str"><v>43326103186907it ChD</v></cell><cell r="F6155" t="str"><v>DCM</v></cell><cell r="G6155" t="str"><v>https://azure.microsoft.com/en-au/free/open-source/search/</v></cell></row><row r="6155"><cell r="K6155" t="str"><v>August</v></cell><cell r="L6155"><v>43330</v></cell><cell r="M6155" t="str"><v>Tier 1</v></cell><cell r="N6155" t="str"><v>APAC</v></cell><cell r="O6155" t="str"><v>Australia</v></cell><cell r="P6155" t="str"><v>Trial</v></cell><cell r="Q6155" t="str"><v>Social</v></cell><cell r="R6155" t="str"><v>Azure</v></cell><cell r="S6155" t="str"><v>Apps & Infra</v></cell><cell r="T6155" t="str"><v>Developers & ITI's</v></cell><cell r="U6155" t="str"><v>LAL</v></cell><cell r="V6155" t="str"><v>Lookalike Targeting</v></cell><cell r="W6155" t="str"><v>Social</v></cell><cell r="X6155" t="str"><v>1x1</v></cell></row><row r="6155"><cell r="AA6155"><v>43326</v></cell><cell r="AB6155" t="str"><v>AUS_gaPMG_AZR_AZR_Q1_19_Trial-Social</v></cell><cell r="AC6155"><v>21358568</v></cell><cell r="AD6155"><v>720191</v></cell><cell r="AE6155" t="str"><v>Facebook</v></cell><cell r="AF6155"><v>3654128</v></cell><cell r="AG6155" t="str"><v>Facebook»LAL»1x1»TextLink»SOC»DT»DYN»LAL»W»NA»SS»NA»Free Account Refresh- 200 Credit ChD</v></cell><cell r="AH6155"><v>224160720</v></cell><cell r="AI6155" t="str"><v>AzurePlatform_FreeAcctRetargetingOSSFB-Logos-ChG_AUS_1200x628_SOC_Plat_EN_Free Account_Standard_NA_SNU_T2_1</v></cell><cell r="AJ6155"><v>103186907</v></cell></row><row r="6156"><cell r="C6156" t="str"><v>43326Facebook»LAL»1x1»TextLink»SOC»DT»DYN»LAL»W»NA»SS»NA»Free Account Refresh- Device ChB</v></cell><cell r="D6156" t="str"><v>43326224160717</v></cell><cell r="E6156" t="str"><v>43326103048485ce ChB</v></cell><cell r="F6156" t="str"><v>DCM</v></cell><cell r="G6156" t="str"><v>https://azure.microsoft.com/en-au/free/open-source/search/</v></cell></row><row r="6156"><cell r="K6156" t="str"><v>August</v></cell><cell r="L6156"><v>43330</v></cell><cell r="M6156" t="str"><v>Tier 1</v></cell><cell r="N6156" t="str"><v>APAC</v></cell><cell r="O6156" t="str"><v>Australia</v></cell><cell r="P6156" t="str"><v>Trial</v></cell><cell r="Q6156" t="str"><v>Social</v></cell><cell r="R6156" t="str"><v>Azure</v></cell><cell r="S6156" t="str"><v>Apps & Infra</v></cell><cell r="T6156" t="str"><v>Developers & ITI's</v></cell><cell r="U6156" t="str"><v>LAL</v></cell><cell r="V6156" t="str"><v>Lookalike Targeting</v></cell><cell r="W6156" t="str"><v>Social</v></cell><cell r="X6156" t="str"><v>1x1</v></cell></row><row r="6156"><cell r="AA6156"><v>43326</v></cell><cell r="AB6156" t="str"><v>AUS_gaPMG_AZR_AZR_Q1_19_Trial-Social</v></cell><cell r="AC6156"><v>21358568</v></cell><cell r="AD6156"><v>720191</v></cell><cell r="AE6156" t="str"><v>Facebook</v></cell><cell r="AF6156"><v>3654128</v></cell><cell r="AG6156" t="str"><v>Facebook»LAL»1x1»TextLink»SOC»DT»DYN»LAL»W»NA»SS»NA»Free Account Refresh- Device ChB</v></cell><cell r="AH6156"><v>224160717</v></cell><cell r="AI6156" t="str"><v>AzurePlatform_FreeAcctRetargetingOSSFB-Text-ChF_AUS_1200x628_SOC_Plat_EN_Free Account_Standard_NA_SNU_T1_1</v></cell><cell r="AJ6156"><v>103048485</v></cell></row><row r="6157"><cell r="C6157" t="str"><v>43326Facebook»LAL»1x1»TextLink»SOC»DT»DYN»LAL»W»NA»SS»NA»Free Account Refresh- Illustration ChC</v></cell><cell r="D6157" t="str"><v>43326224160714</v></cell><cell r="E6157" t="str"><v>43326103186916on ChC</v></cell><cell r="F6157" t="str"><v>DCM</v></cell><cell r="G6157" t="str"><v>https://azure.microsoft.com/en-au/free/virtual-machines/search/</v></cell></row><row r="6157"><cell r="K6157" t="str"><v>August</v></cell><cell r="L6157"><v>43330</v></cell><cell r="M6157" t="str"><v>Tier 1</v></cell><cell r="N6157" t="str"><v>APAC</v></cell><cell r="O6157" t="str"><v>Australia</v></cell><cell r="P6157" t="str"><v>Trial</v></cell><cell r="Q6157" t="str"><v>Social</v></cell><cell r="R6157" t="str"><v>Azure</v></cell><cell r="S6157" t="str"><v>Apps & Infra</v></cell><cell r="T6157" t="str"><v>Developers & ITI's</v></cell><cell r="U6157" t="str"><v>LAL</v></cell><cell r="V6157" t="str"><v>Lookalike Targeting</v></cell><cell r="W6157" t="str"><v>Social</v></cell><cell r="X6157" t="str"><v>1x1</v></cell></row><row r="6157"><cell r="AA6157"><v>43326</v></cell><cell r="AB6157" t="str"><v>AUS_gaPMG_AZR_AZR_Q1_19_Trial-Social</v></cell><cell r="AC6157"><v>21358568</v></cell><cell r="AD6157"><v>720191</v></cell><cell r="AE6157" t="str"><v>Facebook</v></cell><cell r="AF6157"><v>3654128</v></cell><cell r="AG6157" t="str"><v>Facebook»LAL»1x1»TextLink»SOC»DT»DYN»LAL»W»NA»SS»NA»Free Account Refresh- Illustration ChC</v></cell><cell r="AH6157"><v>224160714</v></cell><cell r="AI6157" t="str"><v>AzurePlatform_FreeAcctRetargetingVMFB-750Hrs-ChD_AUS_1200x628_SOC_Plat_EN_Free Account_Standard_NA_SNU_T1_1</v></cell><cell r="AJ6157"><v>103186916</v></cell></row><row r="6158"><cell r="C6158" t="str"><v>43326Facebook»LAL»1x1»TextLink»SOC»DT»DYN»LAL»W»NA»SS»NA»Free Account Refresh- Lifestyle ChA</v></cell><cell r="D6158" t="str"><v>43326224160711</v></cell><cell r="E6158" t="str"><v>43326103048491le ChA</v></cell><cell r="F6158" t="str"><v>DCM</v></cell><cell r="G6158" t="str"><v>https://azure.microsoft.com/en-au/free/virtual-machines/search/</v></cell></row><row r="6158"><cell r="K6158" t="str"><v>August</v></cell><cell r="L6158"><v>43330</v></cell><cell r="M6158" t="str"><v>Tier 1</v></cell><cell r="N6158" t="str"><v>APAC</v></cell><cell r="O6158" t="str"><v>Australia</v></cell><cell r="P6158" t="str"><v>Trial</v></cell><cell r="Q6158" t="str"><v>Social</v></cell><cell r="R6158" t="str"><v>Azure</v></cell><cell r="S6158" t="str"><v>Apps & Infra</v></cell><cell r="T6158" t="str"><v>Developers & ITI's</v></cell><cell r="U6158" t="str"><v>LAL</v></cell><cell r="V6158" t="str"><v>Lookalike Targeting</v></cell><cell r="W6158" t="str"><v>Social</v></cell><cell r="X6158" t="str"><v>1x1</v></cell></row><row r="6158"><cell r="AA6158"><v>43326</v></cell><cell r="AB6158" t="str"><v>AUS_gaPMG_AZR_AZR_Q1_19_Trial-Social</v></cell><cell r="AC6158"><v>21358568</v></cell><cell r="AD6158"><v>720191</v></cell><cell r="AE6158" t="str"><v>Facebook</v></cell><cell r="AF6158"><v>3654128</v></cell><cell r="AG6158" t="str"><v>Facebook»LAL»1x1»TextLink»SOC»DT»DYN»LAL»W»NA»SS»NA»Free Account Refresh- Lifestyle ChA</v></cell><cell r="AH6158"><v>224160711</v></cell><cell r="AI6158" t="str"><v>AzurePlatform_FreeAcctRetargetingVMFB-OnDemand-ChE_AUS_1200x628_SOC_Plat_EN_Free Account_Standard_NA_SNU_T2_1</v></cell><cell r="AJ6158"><v>103048491</v></cell></row><row r="6159"><cell r="C6159" t="str"><v>43326Facebook»Retargeting»1x1»TextLink»SOC»DT»DYN»RT»W»NA»SS»NA»Free Account Refresh- 200 Credit ChD</v></cell><cell r="D6159" t="str"><v>43326224160738</v></cell><cell r="E6159" t="str"><v>43326103186904it ChD</v></cell><cell r="F6159" t="str"><v>DCM</v></cell></row><row r="6159"><cell r="K6159" t="str"><v>August</v></cell><cell r="L6159"><v>43330</v></cell><cell r="M6159" t="str"><v>Tier 1</v></cell><cell r="N6159" t="str"><v>APAC</v></cell><cell r="O6159" t="str"><v>Australia</v></cell><cell r="P6159" t="str"><v>Trial</v></cell><cell r="Q6159" t="str"><v>Social</v></cell><cell r="R6159" t="str"><v>Azure</v></cell><cell r="S6159" t="str"><v>Apps & Infra</v></cell><cell r="T6159" t="str"><v>Developers & ITI's</v></cell><cell r="U6159" t="str"><v>Retargeting</v></cell><cell r="V6159" t="str"><v>Retargeting</v></cell><cell r="W6159" t="str"><v>Social</v></cell><cell r="X6159" t="str"><v>1x1</v></cell></row><row r="6159"><cell r="AA6159"><v>43326</v></cell><cell r="AB6159" t="str"><v>AUS_gaPMG_AZR_AZR_Q1_19_Trial-Social</v></cell><cell r="AC6159"><v>21358568</v></cell><cell r="AD6159"><v>720191</v></cell><cell r="AE6159" t="str"><v>Facebook</v></cell><cell r="AF6159"><v>3654128</v></cell><cell r="AG6159" t="str"><v>Facebook»Retargeting»1x1»TextLink»SOC»DT»DYN»RT»W»NA»SS»NA»Free Account Refresh- 200 Credit ChD</v></cell><cell r="AH6159"><v>224160738</v></cell><cell r="AI6159" t="str"><v>AzurePlatform_FreeAcctAppsFACEBOOK200CreditChD_AUS_1200x628_SOC_PLAT_EN_Trial_Standard_NA_SNU_T4_1</v></cell><cell r="AJ6159"><v>103186904</v></cell></row><row r="6160"><cell r="C6160" t="str"><v>43326Facebook»Retargeting»1x1»TextLink»SOC»DT»DYN»RT»W»NA»SS»NA»Free Account Refresh- Device ChB</v></cell><cell r="D6160" t="str"><v>43326224160735</v></cell><cell r="E6160" t="str"><v>43326103048479ce ChB</v></cell><cell r="F6160" t="str"><v>DCM</v></cell></row><row r="6160"><cell r="K6160" t="str"><v>August</v></cell><cell r="L6160"><v>43330</v></cell><cell r="M6160" t="str"><v>Tier 1</v></cell><cell r="N6160" t="str"><v>APAC</v></cell><cell r="O6160" t="str"><v>Australia</v></cell><cell r="P6160" t="str"><v>Trial</v></cell><cell r="Q6160" t="str"><v>Social</v></cell><cell r="R6160" t="str"><v>Azure</v></cell><cell r="S6160" t="str"><v>Apps & Infra</v></cell><cell r="T6160" t="str"><v>Developers & ITI's</v></cell><cell r="U6160" t="str"><v>Retargeting</v></cell><cell r="V6160" t="str"><v>Retargeting</v></cell><cell r="W6160" t="str"><v>Social</v></cell><cell r="X6160" t="str"><v>1x1</v></cell></row><row r="6160"><cell r="AA6160"><v>43326</v></cell><cell r="AB6160" t="str"><v>AUS_gaPMG_AZR_AZR_Q1_19_Trial-Social</v></cell><cell r="AC6160"><v>21358568</v></cell><cell r="AD6160"><v>720191</v></cell><cell r="AE6160" t="str"><v>Facebook</v></cell><cell r="AF6160"><v>3654128</v></cell><cell r="AG6160" t="str"><v>Facebook»Retargeting»1x1»TextLink»SOC»DT»DYN»RT»W»NA»SS»NA»Free Account Refresh- Device ChB</v></cell><cell r="AH6160"><v>224160735</v></cell><cell r="AI6160" t="str"><v>AzurePlatform_FreeAcctAppsFACEBOOKDeviceChB_AUS_1200x628_SOC_PLAT_EN_Trial_Standard_NA_SNU_T2_1</v></cell><cell r="AJ6160"><v>103048479</v></cell></row><row r="6161"><cell r="C6161" t="str"><v>43326Facebook»Retargeting»1x1»TextLink»SOC»DT»DYN»RT»W»NA»SS»NA»Free Account Refresh- Illustration ChC</v></cell><cell r="D6161" t="str"><v>43326224160732</v></cell><cell r="E6161" t="str"><v>43326103186910on ChC</v></cell><cell r="F6161" t="str"><v>DCM</v></cell></row><row r="6161"><cell r="K6161" t="str"><v>August</v></cell><cell r="L6161"><v>43330</v></cell><cell r="M6161" t="str"><v>Tier 1</v></cell><cell r="N6161" t="str"><v>APAC</v></cell><cell r="O6161" t="str"><v>Australia</v></cell><cell r="P6161" t="str"><v>Trial</v></cell><cell r="Q6161" t="str"><v>Social</v></cell><cell r="R6161" t="str"><v>Azure</v></cell><cell r="S6161" t="str"><v>Apps & Infra</v></cell><cell r="T6161" t="str"><v>Developers & ITI's</v></cell><cell r="U6161" t="str"><v>Retargeting</v></cell><cell r="V6161" t="str"><v>Retargeting</v></cell><cell r="W6161" t="str"><v>Social</v></cell><cell r="X6161" t="str"><v>1x1</v></cell></row><row r="6161"><cell r="AA6161"><v>43326</v></cell><cell r="AB6161" t="str"><v>AUS_gaPMG_AZR_AZR_Q1_19_Trial-Social</v></cell><cell r="AC6161"><v>21358568</v></cell><cell r="AD6161"><v>720191</v></cell><cell r="AE6161" t="str"><v>Facebook</v></cell><cell r="AF6161"><v>3654128</v></cell><cell r="AG6161" t="str"><v>Facebook»Retargeting»1x1»TextLink»SOC»DT»DYN»RT»W»NA»SS»NA»Free Account Refresh- Illustration ChC</v></cell><cell r="AH6161"><v>224160732</v></cell><cell r="AI6161" t="str"><v>AzurePlatform_FreeAcctAppsFACEBOOKIllustrationChC_AUS_1200x628_SOC_PLAT_EN_Trial_Standard_NA_SNU_T3_1</v></cell><cell r="AJ6161"><v>103186910</v></cell></row><row r="6162"><cell r="C6162" t="str"><v>43326Facebook»Retargeting»1x1»TextLink»SOC»DT»DYN»RT»W»NA»SS»NA»Free Account Refresh- Lifestyle ChA</v></cell><cell r="D6162" t="str"><v>43326224160729</v></cell><cell r="E6162" t="str"><v>43326103048488le ChA</v></cell><cell r="F6162" t="str"><v>DCM</v></cell></row><row r="6162"><cell r="K6162" t="str"><v>August</v></cell><cell r="L6162"><v>43330</v></cell><cell r="M6162" t="str"><v>Tier 1</v></cell><cell r="N6162" t="str"><v>APAC</v></cell><cell r="O6162" t="str"><v>Australia</v></cell><cell r="P6162" t="str"><v>Trial</v></cell><cell r="Q6162" t="str"><v>Social</v></cell><cell r="R6162" t="str"><v>Azure</v></cell><cell r="S6162" t="str"><v>Apps & Infra</v></cell><cell r="T6162" t="str"><v>Developers & ITI's</v></cell><cell r="U6162" t="str"><v>Retargeting</v></cell><cell r="V6162" t="str"><v>Retargeting</v></cell><cell r="W6162" t="str"><v>Social</v></cell><cell r="X6162" t="str"><v>1x1</v></cell></row><row r="6162"><cell r="AA6162"><v>43326</v></cell><cell r="AB6162" t="str"><v>AUS_gaPMG_AZR_AZR_Q1_19_Trial-Social</v></cell><cell r="AC6162"><v>21358568</v></cell><cell r="AD6162"><v>720191</v></cell><cell r="AE6162" t="str"><v>Facebook</v></cell><cell r="AF6162"><v>3654128</v></cell><cell r="AG6162" t="str"><v>Facebook»Retargeting»1x1»TextLink»SOC»DT»DYN»RT»W»NA»SS»NA»Free Account Refresh- Lifestyle ChA</v></cell><cell r="AH6162"><v>224160729</v></cell><cell r="AI6162" t="str"><v>AzurePlatform_FreeAcctAppsFACEBOOKLifestyleChA_AUS_1200x628_SOC_PLAT_EN_Trial_Standard_NA_SNU_T1_1</v></cell><cell r="AJ6162"><v>103048488</v></cell></row><row r="6163"><cell r="C6163" t="str"><v>43326Facebook»AZR»1x1»NA»EGV»ALL»DYN»AUT»D»All»SS»NA»Free Acc CTC - T1 - EN</v></cell><cell r="D6163" t="str"><v>43326223684451</v></cell><cell r="E6163" t="str"><v>433261029018821 - EN</v></cell><cell r="F6163" t="str"><v>DCM</v></cell><cell r="G6163" t="str"><v>https://signup.azure.com/</v></cell></row><row r="6163"><cell r="K6163" t="str"><v>August</v></cell><cell r="L6163"><v>43330</v></cell><cell r="M6163" t="str"><v>Tier 1</v></cell><cell r="N6163" t="str"><v>North America</v></cell><cell r="O6163" t="str"><v>Canada</v></cell><cell r="P6163" t="str"><v>Trial</v></cell><cell r="Q6163" t="str"><v>Social</v></cell><cell r="R6163" t="str"><v>Azure</v></cell><cell r="S6163" t="str"><v>Apps & Infra</v></cell><cell r="T6163" t="str"><v>Developers & ITI's</v></cell><cell r="U6163" t="str"><v>AZR</v></cell><cell r="V6163" t="str"><v>Audience Targeting</v></cell><cell r="W6163" t="str"><v>Engagement Video</v></cell><cell r="X6163" t="str"><v>1x1</v></cell></row><row r="6163"><cell r="AA6163"><v>43326</v></cell><cell r="AB6163" t="str"><v>CAN_gaPMG_AZR_AZR_Q1_19_Trial-Social</v></cell><cell r="AC6163"><v>21337220</v></cell><cell r="AD6163"><v>720192</v></cell><cell r="AE6163" t="str"><v>Facebook</v></cell><cell r="AF6163"><v>3654128</v></cell><cell r="AG6163" t="str"><v>Facebook»AZR»1x1»NA»EGV»ALL»DYN»AUT»D»All»SS»NA»Free Acc CTC - T1 - EN</v></cell><cell r="AH6163"><v>223684451</v></cell><cell r="AI6163" t="str"><v>AzurePlatform_FBCTCBasicMotion_CAN_10s_ISV_PLAT_English_Trial_Standard_STAN_TN_T1_1</v></cell><cell r="AJ6163"><v>102901882</v></cell></row><row r="6164"><cell r="C6164" t="str"><v>43326Facebook»AZR»1x1»NA»EGV»ALL»DYN»AUT»D»All»SS»NA»Free Acc CTC - T1 - FR</v></cell><cell r="D6164" t="str"><v>43326223691801</v></cell><cell r="E6164" t="str"><v>433261030533231 - FR</v></cell><cell r="F6164" t="str"><v>DCM</v></cell><cell r="G6164" t="str"><v>https://signup.azure.com/</v></cell></row><row r="6164"><cell r="K6164" t="str"><v>August</v></cell><cell r="L6164"><v>43330</v></cell><cell r="M6164" t="str"><v>Tier 1</v></cell><cell r="N6164" t="str"><v>North America</v></cell><cell r="O6164" t="str"><v>Canada</v></cell><cell r="P6164" t="str"><v>Trial</v></cell><cell r="Q6164" t="str"><v>Social</v></cell><cell r="R6164" t="str"><v>Azure</v></cell><cell r="S6164" t="str"><v>Apps & Infra</v></cell><cell r="T6164" t="str"><v>Developers & ITI's</v></cell><cell r="U6164" t="str"><v>AZR</v></cell><cell r="V6164" t="str"><v>Audience Targeting</v></cell><cell r="W6164" t="str"><v>Engagement Video</v></cell><cell r="X6164" t="str"><v>1x1</v></cell></row><row r="6164"><cell r="AA6164"><v>43326</v></cell><cell r="AB6164" t="str"><v>CAN_gaPMG_AZR_AZR_Q1_19_Trial-Social</v></cell><cell r="AC6164"><v>21337220</v></cell><cell r="AD6164"><v>720192</v></cell><cell r="AE6164" t="str"><v>Facebook</v></cell><cell r="AF6164"><v>3654128</v></cell><cell r="AG6164" t="str"><v>Facebook»AZR»1x1»NA»EGV»ALL»DYN»AUT»D»All»SS»NA»Free Acc CTC - T1 - FR</v></cell><cell r="AH6164"><v>223691801</v></cell><cell r="AI6164" t="str"><v>AzurePlatform_FBCTCBasicMotion_CAN_10s_ISV_PLAT_FR_Trial_Standard_STAN_TN_T1_1</v></cell><cell r="AJ6164"><v>103053323</v></cell></row><row r="6165"><cell r="C6165" t="str"><v>43326Facebook»AZR»1x1»NA»EGV»ALL»DYN»AUT»D»All»SS»NA»Free Acc CTC - T2 - EN</v></cell><cell r="D6165" t="str"><v>43326223691840</v></cell><cell r="E6165" t="str"><v>433261029029502 - EN</v></cell><cell r="F6165" t="str"><v>DCM</v></cell><cell r="G6165" t="str"><v>https://signup.azure.com/</v></cell></row><row r="6165"><cell r="K6165" t="str"><v>August</v></cell><cell r="L6165"><v>43330</v></cell><cell r="M6165" t="str"><v>Tier 1</v></cell><cell r="N6165" t="str"><v>North America</v></cell><cell r="O6165" t="str"><v>Canada</v></cell><cell r="P6165" t="str"><v>Trial</v></cell><cell r="Q6165" t="str"><v>Social</v></cell><cell r="R6165" t="str"><v>Azure</v></cell><cell r="S6165" t="str"><v>Apps & Infra</v></cell><cell r="T6165" t="str"><v>Developers & ITI's</v></cell><cell r="U6165" t="str"><v>AZR</v></cell><cell r="V6165" t="str"><v>Audience Targeting</v></cell><cell r="W6165" t="str"><v>Engagement Video</v></cell><cell r="X6165" t="str"><v>1x1</v></cell></row><row r="6165"><cell r="AA6165"><v>43326</v></cell><cell r="AB6165" t="str"><v>CAN_gaPMG_AZR_AZR_Q1_19_Trial-Social</v></cell><cell r="AC6165"><v>21337220</v></cell><cell r="AD6165"><v>720192</v></cell><cell r="AE6165" t="str"><v>Facebook</v></cell><cell r="AF6165"><v>3654128</v></cell><cell r="AG6165" t="str"><v>Facebook»AZR»1x1»NA»EGV»ALL»DYN»AUT»D»All»SS»NA»Free Acc CTC - T2 - EN</v></cell><cell r="AH6165"><v>223691840</v></cell><cell r="AI6165" t="str"><v>AzurePlatform_FBCTCBrandinMotion_CAN_12s_ISV_PLAT_English_Trial_Standard_STAN_TN_T2_1</v></cell><cell r="AJ6165"><v>102902950</v></cell></row><row r="6166"><cell r="C6166" t="str"><v>43326Facebook»AZR»1x1»NA»EGV»ALL»DYN»AUT»D»All»SS»NA»Free Acc CTC - T2 - FR</v></cell><cell r="D6166" t="str"><v>43326223691798</v></cell><cell r="E6166" t="str"><v>433261029163472 - FR</v></cell><cell r="F6166" t="str"><v>DCM</v></cell><cell r="G6166" t="str"><v>https://signup.azure.com/</v></cell></row><row r="6166"><cell r="K6166" t="str"><v>August</v></cell><cell r="L6166"><v>43330</v></cell><cell r="M6166" t="str"><v>Tier 1</v></cell><cell r="N6166" t="str"><v>North America</v></cell><cell r="O6166" t="str"><v>Canada</v></cell><cell r="P6166" t="str"><v>Trial</v></cell><cell r="Q6166" t="str"><v>Social</v></cell><cell r="R6166" t="str"><v>Azure</v></cell><cell r="S6166" t="str"><v>Apps & Infra</v></cell><cell r="T6166" t="str"><v>Developers & ITI's</v></cell><cell r="U6166" t="str"><v>AZR</v></cell><cell r="V6166" t="str"><v>Audience Targeting</v></cell><cell r="W6166" t="str"><v>Engagement Video</v></cell><cell r="X6166" t="str"><v>1x1</v></cell></row><row r="6166"><cell r="AA6166"><v>43326</v></cell><cell r="AB6166" t="str"><v>CAN_gaPMG_AZR_AZR_Q1_19_Trial-Social</v></cell><cell r="AC6166"><v>21337220</v></cell><cell r="AD6166"><v>720192</v></cell><cell r="AE6166" t="str"><v>Facebook</v></cell><cell r="AF6166"><v>3654128</v></cell><cell r="AG6166" t="str"><v>Facebook»AZR»1x1»NA»EGV»ALL»DYN»AUT»D»All»SS»NA»Free Acc CTC - T2 - FR</v></cell><cell r="AH6166"><v>223691798</v></cell><cell r="AI6166" t="str"><v>AzurePlatform_FBCTCBrandinMotion_CAN_12s_ISV_PLAT_FR_Trial_Standard_STAN_TN_T2_1</v></cell><cell r="AJ6166"><v>102916347</v></cell></row><row r="6167"><cell r="C6167" t="str"><v>43326Facebook»AZR»1x1»NA»EGV»ALL»DYN»AUT»D»All»SS»NA»Free Acc CTC - T4 - EN</v></cell><cell r="D6167" t="str"><v>43326223691837</v></cell><cell r="E6167" t="str"><v>433261030533144 - EN</v></cell><cell r="F6167" t="str"><v>DCM</v></cell><cell r="G6167" t="str"><v>https://signup.azure.com/</v></cell></row><row r="6167"><cell r="K6167" t="str"><v>August</v></cell><cell r="L6167"><v>43330</v></cell><cell r="M6167" t="str"><v>Tier 1</v></cell><cell r="N6167" t="str"><v>North America</v></cell><cell r="O6167" t="str"><v>Canada</v></cell><cell r="P6167" t="str"><v>Trial</v></cell><cell r="Q6167" t="str"><v>Social</v></cell><cell r="R6167" t="str"><v>Azure</v></cell><cell r="S6167" t="str"><v>Apps & Infra</v></cell><cell r="T6167" t="str"><v>Developers & ITI's</v></cell><cell r="U6167" t="str"><v>AZR</v></cell><cell r="V6167" t="str"><v>Audience Targeting</v></cell><cell r="W6167" t="str"><v>Engagement Video</v></cell><cell r="X6167" t="str"><v>1x1</v></cell></row><row r="6167"><cell r="AA6167"><v>43326</v></cell><cell r="AB6167" t="str"><v>CAN_gaPMG_AZR_AZR_Q1_19_Trial-Social</v></cell><cell r="AC6167"><v>21337220</v></cell><cell r="AD6167"><v>720192</v></cell><cell r="AE6167" t="str"><v>Facebook</v></cell><cell r="AF6167"><v>3654128</v></cell><cell r="AG6167" t="str"><v>Facebook»AZR»1x1»NA»EGV»ALL»DYN»AUT»D»All»SS»NA»Free Acc CTC - T4 - EN</v></cell><cell r="AH6167"><v>223691837</v></cell><cell r="AI6167" t="str"><v>AzurePlatform_FBCTCBenefit2inMotion_CAN_14s_ISV_PLAT_English_Trial_Standard_STAN_TN_T4_1</v></cell><cell r="AJ6167"><v>103053314</v></cell></row><row r="6168"><cell r="C6168" t="str"><v>43326Facebook»AZR»1x1»NA»EGV»ALL»DYN»AUT»D»All»SS»NA»Free Acc CTC - T4 - FR</v></cell><cell r="D6168" t="str"><v>43326223691795</v></cell><cell r="E6168" t="str"><v>433261029006884 - FR</v></cell><cell r="F6168" t="str"><v>DCM</v></cell><cell r="G6168" t="str"><v>https://signup.azure.com/</v></cell></row><row r="6168"><cell r="K6168" t="str"><v>August</v></cell><cell r="L6168"><v>43330</v></cell><cell r="M6168" t="str"><v>Tier 1</v></cell><cell r="N6168" t="str"><v>North America</v></cell><cell r="O6168" t="str"><v>Canada</v></cell><cell r="P6168" t="str"><v>Trial</v></cell><cell r="Q6168" t="str"><v>Social</v></cell><cell r="R6168" t="str"><v>Azure</v></cell><cell r="S6168" t="str"><v>Apps & Infra</v></cell><cell r="T6168" t="str"><v>Developers & ITI's</v></cell><cell r="U6168" t="str"><v>AZR</v></cell><cell r="V6168" t="str"><v>Audience Targeting</v></cell><cell r="W6168" t="str"><v>Engagement Video</v></cell><cell r="X6168" t="str"><v>1x1</v></cell></row><row r="6168"><cell r="AA6168"><v>43326</v></cell><cell r="AB6168" t="str"><v>CAN_gaPMG_AZR_AZR_Q1_19_Trial-Social</v></cell><cell r="AC6168"><v>21337220</v></cell><cell r="AD6168"><v>720192</v></cell><cell r="AE6168" t="str"><v>Facebook</v></cell><cell r="AF6168"><v>3654128</v></cell><cell r="AG6168" t="str"><v>Facebook»AZR»1x1»NA»EGV»ALL»DYN»AUT»D»All»SS»NA»Free Acc CTC - T4 - FR</v></cell><cell r="AH6168"><v>223691795</v></cell><cell r="AI6168" t="str"><v>AzurePlatform_FBCTCBenefit2inMotion_CAN_14s_ISV_PLAT_FR_Trial_Standard_STAN_TN_T4_1</v></cell><cell r="AJ6168"><v>102900688</v></cell></row><row r="6169"><cell r="C6169" t="str"><v>43326Facebook»AZR»1x1»NA»SOC»ALL»DYN»PRO»D»All»SS»NA»Canvas - Buy Now - EN</v></cell><cell r="D6169" t="str"><v>43326225322327</v></cell><cell r="E6169" t="str"><v>43326103902287w - EN</v></cell><cell r="F6169" t="str"><v>DCM</v></cell><cell r="G6169" t="str"><v>https://azure.microsoft.com/en-ca/pricing/purchase-options/</v></cell></row><row r="6169"><cell r="K6169" t="str"><v>August</v></cell><cell r="L6169"><v>43330</v></cell><cell r="M6169" t="str"><v>Tier 1</v></cell><cell r="N6169" t="str"><v>North America</v></cell><cell r="O6169" t="str"><v>Canada</v></cell><cell r="P6169" t="str"><v>Trial</v></cell><cell r="Q6169" t="str"><v>Social</v></cell><cell r="R6169" t="str"><v>Azure</v></cell><cell r="S6169" t="str"><v>Apps & Infra</v></cell><cell r="T6169" t="str"><v>Developers & ITI's</v></cell><cell r="U6169" t="str"><v>AZR</v></cell><cell r="V6169" t="str"><v>Prospecting</v></cell><cell r="W6169" t="str"><v>Social</v></cell><cell r="X6169" t="str"><v>1x1</v></cell></row><row r="6169"><cell r="AA6169"><v>43326</v></cell><cell r="AB6169" t="str"><v>CAN_gaPMG_AZR_AZR_Q1_19_Trial-Social</v></cell><cell r="AC6169"><v>21337220</v></cell><cell r="AD6169"><v>720192</v></cell><cell r="AE6169" t="str"><v>Facebook</v></cell><cell r="AF6169"><v>3654128</v></cell><cell r="AG6169" t="str"><v>Facebook»AZR»1x1»NA»SOC»ALL»DYN»PRO»D»All»SS»NA»Canvas - Buy Now - EN</v></cell><cell r="AH6169"><v>225322327</v></cell><cell r="AI6169" t="str"><v>AzurePlatform_FBCTCcanvaspage-BuyNowCTA-Img3_CAN_1080x162_SOC_Plat_English_NA_Standard_NA_BN_T3_1</v></cell><cell r="AJ6169"><v>103902287</v></cell></row><row r="6170"><cell r="C6170" t="str"><v>43326Facebook»AZR»1x1»NA»SOC»ALL»DYN»PRO»D»All»SS»NA»Canvas - Start Free - EN</v></cell><cell r="D6170" t="str"><v>43326225252365</v></cell><cell r="E6170" t="str"><v>43326103807590e - EN</v></cell><cell r="F6170" t="str"><v>DCM</v></cell><cell r="G6170" t="str"><v>https://signup.azure.com/signup?offer=ms-azr-0044p&appId=102&ref=paidmedia-social-fb&redirectURL=https%3a%2f%2fazure.microsoft.com%2fen-ca%2fget-started%2fwelcome-to-azure%2f&l=en-ca&correlationId=ead86c34-1f10-49dd-a72b-6918462a2cbf</v></cell></row><row r="6170"><cell r="K6170" t="str"><v>August</v></cell><cell r="L6170"><v>43330</v></cell><cell r="M6170" t="str"><v>Tier 1</v></cell><cell r="N6170" t="str"><v>North America</v></cell><cell r="O6170" t="str"><v>Canada</v></cell><cell r="P6170" t="str"><v>Trial</v></cell><cell r="Q6170" t="str"><v>Social</v></cell><cell r="R6170" t="str"><v>Azure</v></cell><cell r="S6170" t="str"><v>Apps & Infra</v></cell><cell r="T6170" t="str"><v>Developers & ITI's</v></cell><cell r="U6170" t="str"><v>AZR</v></cell><cell r="V6170" t="str"><v>Prospecting</v></cell><cell r="W6170" t="str"><v>Social</v></cell><cell r="X6170" t="str"><v>1x1</v></cell></row><row r="6170"><cell r="AA6170"><v>43326</v></cell><cell r="AB6170" t="str"><v>CAN_gaPMG_AZR_AZR_Q1_19_Trial-Social</v></cell><cell r="AC6170"><v>21337220</v></cell><cell r="AD6170"><v>720192</v></cell><cell r="AE6170" t="str"><v>Facebook</v></cell><cell r="AF6170"><v>3654128</v></cell><cell r="AG6170" t="str"><v>Facebook»AZR»1x1»NA»SOC»ALL»DYN»PRO»D»All»SS»NA»Canvas - Start Free - EN</v></cell><cell r="AH6170"><v>225252365</v></cell><cell r="AI6170" t="str"><v>AzurePlatform_FBCTCcanvaspage-StartFreeCTA-Img2_CAN_1080x143 _SOC_Plat_English_NA_Standard_NA_NA_T2_1</v></cell><cell r="AJ6170"><v>103807590</v></cell></row><row r="6171"><cell r="C6171" t="str"><v>43326Facebook»AZR»1x1»NA»SOC»ALL»DYN»PRO»D»All»SS»NA»Canvas - Start Free - FR</v></cell><cell r="D6171" t="str"><v>43326225525936</v></cell><cell r="E6171" t="str"><v>43326103902551e - FR</v></cell><cell r="F6171" t="str"><v>DCM</v></cell><cell r="G6171" t="str"><v>https://signup.azure.com/signup?offer=ms-azr-0044p&appId=102&ref=paidmedia-social-fb&redirectURL=https%3a%2f%2fazure.microsoft.com%2ffr-ca%2fget-started%2fwelcome-to-azure%2f&l=fr-ca&correlationId=ead86c34-1f10-49dd-a72b-6918462a2cbf</v></cell></row><row r="6171"><cell r="K6171" t="str"><v>August</v></cell><cell r="L6171"><v>43330</v></cell><cell r="M6171" t="str"><v>Tier 1</v></cell><cell r="N6171" t="str"><v>North America</v></cell><cell r="O6171" t="str"><v>Canada</v></cell><cell r="P6171" t="str"><v>Trial</v></cell><cell r="Q6171" t="str"><v>Social</v></cell><cell r="R6171" t="str"><v>Azure</v></cell><cell r="S6171" t="str"><v>Apps & Infra</v></cell><cell r="T6171" t="str"><v>Developers & ITI's</v></cell><cell r="U6171" t="str"><v>AZR</v></cell><cell r="V6171" t="str"><v>Prospecting</v></cell><cell r="W6171" t="str"><v>Social</v></cell><cell r="X6171" t="str"><v>1x1</v></cell></row><row r="6171"><cell r="AA6171"><v>43326</v></cell><cell r="AB6171" t="str"><v>CAN_gaPMG_AZR_AZR_Q1_19_Trial-Social</v></cell><cell r="AC6171"><v>21337220</v></cell><cell r="AD6171"><v>720192</v></cell><cell r="AE6171" t="str"><v>Facebook</v></cell><cell r="AF6171"><v>3654128</v></cell><cell r="AG6171" t="str"><v>Facebook»AZR»1x1»NA»SOC»ALL»DYN»PRO»D»All»SS»NA»Canvas - Start Free - FR</v></cell><cell r="AH6171"><v>225525936</v></cell><cell r="AI6171" t="str"><v>AzurePlatform_FBCTCcanvaspage-StartFreeCTA-Img2_CAN_1080x143 _SOC_Plat_French_NA_Standard_NA_NA_T2_1</v></cell><cell r="AJ6171"><v>103902551</v></cell></row><row r="6172"><cell r="C6172" t="str"><v>43326Facebook»AZR»1x1»SocialBan»NA»ALL»DYN»AUT»D»All»SS»NA»Free Acc Refresh - T1 - EN</v></cell><cell r="D6172" t="str"><v>43326223691804</v></cell><cell r="E6172" t="str"><v>433261030587171 - EN</v></cell><cell r="F6172" t="str"><v>DCM</v></cell><cell r="G6172" t="str"><v>https://azure.microsoft.com/en-CA/free/search/</v></cell></row><row r="6172"><cell r="K6172" t="str"><v>August</v></cell><cell r="L6172"><v>43330</v></cell><cell r="M6172" t="str"><v>Tier 1</v></cell><cell r="N6172" t="str"><v>North America</v></cell><cell r="O6172" t="str"><v>Canada</v></cell><cell r="P6172" t="str"><v>Trial</v></cell><cell r="Q6172" t="str"><v>Social</v></cell><cell r="R6172" t="str"><v>Azure</v></cell><cell r="S6172" t="str"><v>Apps & Infra</v></cell><cell r="T6172" t="str"><v>Developers & ITI's</v></cell><cell r="U6172" t="str"><v>AZR</v></cell><cell r="V6172" t="str"><v>Audience Targeting</v></cell><cell r="W6172" t="str"><v>NotApplicable</v></cell><cell r="X6172" t="str"><v>1x1</v></cell></row><row r="6172"><cell r="AA6172"><v>43326</v></cell><cell r="AB6172" t="str"><v>CAN_gaPMG_AZR_AZR_Q1_19_Trial-Social</v></cell><cell r="AC6172"><v>21337220</v></cell><cell r="AD6172"><v>720192</v></cell><cell r="AE6172" t="str"><v>Facebook</v></cell><cell r="AF6172"><v>3654128</v></cell><cell r="AG6172" t="str"><v>Facebook»AZR»1x1»SocialBan»NA»ALL»DYN»AUT»D»All»SS»NA»Free Acc Refresh - T1 - EN</v></cell><cell r="AH6172"><v>223691804</v></cell><cell r="AI6172" t="str"><v>AzurePlatform_FreeAcctAppsFACEBOOKLifestyleChA_CAN_1200x628_SOC_PLAT_EN_Trial_Standard_NA_SU_T1_1.png</v></cell><cell r="AJ6172"><v>103058717</v></cell></row><row r="6173"><cell r="C6173" t="str"><v>43326Facebook»AZR»1x1»SocialBan»NA»ALL»DYN»AUT»D»All»SS»NA»Free Acc Refresh - T1 - FR</v></cell><cell r="D6173" t="str"><v>43326223691762</v></cell><cell r="E6173" t="str"><v>433261029029741 - FR</v></cell><cell r="F6173" t="str"><v>DCM</v></cell><cell r="G6173" t="str"><v>https://azure.microsoft.com/fr-ca/free/search/</v></cell></row><row r="6173"><cell r="K6173" t="str"><v>August</v></cell><cell r="L6173"><v>43330</v></cell><cell r="M6173" t="str"><v>Tier 1</v></cell><cell r="N6173" t="str"><v>North America</v></cell><cell r="O6173" t="str"><v>Canada</v></cell><cell r="P6173" t="str"><v>Trial</v></cell><cell r="Q6173" t="str"><v>Social</v></cell><cell r="R6173" t="str"><v>Azure</v></cell><cell r="S6173" t="str"><v>Apps & Infra</v></cell><cell r="T6173" t="str"><v>Developers & ITI's</v></cell><cell r="U6173" t="str"><v>AZR</v></cell><cell r="V6173" t="str"><v>Audience Targeting</v></cell><cell r="W6173" t="str"><v>NotApplicable</v></cell><cell r="X6173" t="str"><v>1x1</v></cell></row><row r="6173"><cell r="AA6173"><v>43326</v></cell><cell r="AB6173" t="str"><v>CAN_gaPMG_AZR_AZR_Q1_19_Trial-Social</v></cell><cell r="AC6173"><v>21337220</v></cell><cell r="AD6173"><v>720192</v></cell><cell r="AE6173" t="str"><v>Facebook</v></cell><cell r="AF6173"><v>3654128</v></cell><cell r="AG6173" t="str"><v>Facebook»AZR»1x1»SocialBan»NA»ALL»DYN»AUT»D»All»SS»NA»Free Acc Refresh - T1 - FR</v></cell><cell r="AH6173"><v>223691762</v></cell><cell r="AI6173" t="str"><v>AzurePlatform_FreeAcctAppsFACEBOOKLifestyleChA_CAN_1200x628_SOC_PLAT_FR_Trial_Standard_NA_SU_T1_1.png</v></cell><cell r="AJ6173"><v>102902974</v></cell></row><row r="6174"><cell r="C6174" t="str"><v>43326Facebook»AZR»1x1»SocialBan»NA»ALL»DYN»AUT»D»All»SS»NA»Free Acc Refresh - T2 - EN</v></cell><cell r="D6174" t="str"><v>43326223691810</v></cell><cell r="E6174" t="str"><v>433261030587112 - EN</v></cell><cell r="F6174" t="str"><v>DCM</v></cell><cell r="G6174" t="str"><v>https://azure.microsoft.com/en-CA/free/search/</v></cell></row><row r="6174"><cell r="K6174" t="str"><v>August</v></cell><cell r="L6174"><v>43330</v></cell><cell r="M6174" t="str"><v>Tier 1</v></cell><cell r="N6174" t="str"><v>North America</v></cell><cell r="O6174" t="str"><v>Canada</v></cell><cell r="P6174" t="str"><v>Trial</v></cell><cell r="Q6174" t="str"><v>Social</v></cell><cell r="R6174" t="str"><v>Azure</v></cell><cell r="S6174" t="str"><v>Apps & Infra</v></cell><cell r="T6174" t="str"><v>Developers & ITI's</v></cell><cell r="U6174" t="str"><v>AZR</v></cell><cell r="V6174" t="str"><v>Audience Targeting</v></cell><cell r="W6174" t="str"><v>NotApplicable</v></cell><cell r="X6174" t="str"><v>1x1</v></cell></row><row r="6174"><cell r="AA6174"><v>43326</v></cell><cell r="AB6174" t="str"><v>CAN_gaPMG_AZR_AZR_Q1_19_Trial-Social</v></cell><cell r="AC6174"><v>21337220</v></cell><cell r="AD6174"><v>720192</v></cell><cell r="AE6174" t="str"><v>Facebook</v></cell><cell r="AF6174"><v>3654128</v></cell><cell r="AG6174" t="str"><v>Facebook»AZR»1x1»SocialBan»NA»ALL»DYN»AUT»D»All»SS»NA»Free Acc Refresh - T2 - EN</v></cell><cell r="AH6174"><v>223691810</v></cell><cell r="AI6174" t="str"><v>AzurePlatform_FreeAcctAppsFACEBOOKDeviceChB_CAN_1200x628_SOC_PLAT_EN_Trial_Standard_NA_SU_T2_1.png</v></cell><cell r="AJ6174"><v>103058711</v></cell></row><row r="6175"><cell r="C6175" t="str"><v>43326Facebook»AZR»1x1»SocialBan»NA»ALL»DYN»AUT»D»All»SS»NA»Free Acc Refresh - T2 - FR</v></cell><cell r="D6175" t="str"><v>43326223691768</v></cell><cell r="E6175" t="str"><v>433261029029712 - FR</v></cell><cell r="F6175" t="str"><v>DCM</v></cell><cell r="G6175" t="str"><v>https://azure.microsoft.com/fr-ca/free/search/</v></cell></row><row r="6175"><cell r="K6175" t="str"><v>August</v></cell><cell r="L6175"><v>43330</v></cell><cell r="M6175" t="str"><v>Tier 1</v></cell><cell r="N6175" t="str"><v>North America</v></cell><cell r="O6175" t="str"><v>Canada</v></cell><cell r="P6175" t="str"><v>Trial</v></cell><cell r="Q6175" t="str"><v>Social</v></cell><cell r="R6175" t="str"><v>Azure</v></cell><cell r="S6175" t="str"><v>Apps & Infra</v></cell><cell r="T6175" t="str"><v>Developers & ITI's</v></cell><cell r="U6175" t="str"><v>AZR</v></cell><cell r="V6175" t="str"><v>Audience Targeting</v></cell><cell r="W6175" t="str"><v>NotApplicable</v></cell><cell r="X6175" t="str"><v>1x1</v></cell></row><row r="6175"><cell r="AA6175"><v>43326</v></cell><cell r="AB6175" t="str"><v>CAN_gaPMG_AZR_AZR_Q1_19_Trial-Social</v></cell><cell r="AC6175"><v>21337220</v></cell><cell r="AD6175"><v>720192</v></cell><cell r="AE6175" t="str"><v>Facebook</v></cell><cell r="AF6175"><v>3654128</v></cell><cell r="AG6175" t="str"><v>Facebook»AZR»1x1»SocialBan»NA»ALL»DYN»AUT»D»All»SS»NA»Free Acc Refresh - T2 - FR</v></cell><cell r="AH6175"><v>223691768</v></cell><cell r="AI6175" t="str"><v>AzurePlatform_FreeAcctAppsFACEBOOKDeviceChB_CAN_1200x628_SOC_PLAT_FR_Trial_Standard_NA_SU_T2_1.png</v></cell><cell r="AJ6175"><v>102902971</v></cell></row><row r="6176"><cell r="C6176" t="str"><v>43326Facebook»AZR»1x1»SocialBan»NA»ALL»DYN»AUT»D»All»SS»NA»Free Acc Refresh - T3 - EN</v></cell><cell r="D6176" t="str"><v>43326223691807</v></cell><cell r="E6176" t="str"><v>433261029006853 - EN</v></cell><cell r="F6176" t="str"><v>DCM</v></cell><cell r="G6176" t="str"><v>https://azure.microsoft.com/en-CA/free/search/</v></cell></row><row r="6176"><cell r="K6176" t="str"><v>August</v></cell><cell r="L6176"><v>43330</v></cell><cell r="M6176" t="str"><v>Tier 1</v></cell><cell r="N6176" t="str"><v>North America</v></cell><cell r="O6176" t="str"><v>Canada</v></cell><cell r="P6176" t="str"><v>Trial</v></cell><cell r="Q6176" t="str"><v>Social</v></cell><cell r="R6176" t="str"><v>Azure</v></cell><cell r="S6176" t="str"><v>Apps & Infra</v></cell><cell r="T6176" t="str"><v>Developers & ITI's</v></cell><cell r="U6176" t="str"><v>AZR</v></cell><cell r="V6176" t="str"><v>Audience Targeting</v></cell><cell r="W6176" t="str"><v>NotApplicable</v></cell><cell r="X6176" t="str"><v>1x1</v></cell></row><row r="6176"><cell r="AA6176"><v>43326</v></cell><cell r="AB6176" t="str"><v>CAN_gaPMG_AZR_AZR_Q1_19_Trial-Social</v></cell><cell r="AC6176"><v>21337220</v></cell><cell r="AD6176"><v>720192</v></cell><cell r="AE6176" t="str"><v>Facebook</v></cell><cell r="AF6176"><v>3654128</v></cell><cell r="AG6176" t="str"><v>Facebook»AZR»1x1»SocialBan»NA»ALL»DYN»AUT»D»All»SS»NA»Free Acc Refresh - T3 - EN</v></cell><cell r="AH6176"><v>223691807</v></cell><cell r="AI6176" t="str"><v>AzurePlatform_FreeAcctAppsFACEBOOKIllustrationChC_CAN_1200x628_SOC_PLAT_EN_Trial_Standard_NA_SU_T3_1.png</v></cell><cell r="AJ6176"><v>102900685</v></cell></row><row r="6177"><cell r="C6177" t="str"><v>43326Facebook»AZR»1x1»SocialBan»NA»ALL»DYN»AUT»D»All»SS»NA»Free Acc Refresh - T3 - FR</v></cell><cell r="D6177" t="str"><v>43326223691765</v></cell><cell r="E6177" t="str"><v>433261030533323 - FR</v></cell><cell r="F6177" t="str"><v>DCM</v></cell><cell r="G6177" t="str"><v>https://azure.microsoft.com/fr-ca/free/search/</v></cell></row><row r="6177"><cell r="K6177" t="str"><v>August</v></cell><cell r="L6177"><v>43330</v></cell><cell r="M6177" t="str"><v>Tier 1</v></cell><cell r="N6177" t="str"><v>North America</v></cell><cell r="O6177" t="str"><v>Canada</v></cell><cell r="P6177" t="str"><v>Trial</v></cell><cell r="Q6177" t="str"><v>Social</v></cell><cell r="R6177" t="str"><v>Azure</v></cell><cell r="S6177" t="str"><v>Apps & Infra</v></cell><cell r="T6177" t="str"><v>Developers & ITI's</v></cell><cell r="U6177" t="str"><v>AZR</v></cell><cell r="V6177" t="str"><v>Audience Targeting</v></cell><cell r="W6177" t="str"><v>NotApplicable</v></cell><cell r="X6177" t="str"><v>1x1</v></cell></row><row r="6177"><cell r="AA6177"><v>43326</v></cell><cell r="AB6177" t="str"><v>CAN_gaPMG_AZR_AZR_Q1_19_Trial-Social</v></cell><cell r="AC6177"><v>21337220</v></cell><cell r="AD6177"><v>720192</v></cell><cell r="AE6177" t="str"><v>Facebook</v></cell><cell r="AF6177"><v>3654128</v></cell><cell r="AG6177" t="str"><v>Facebook»AZR»1x1»SocialBan»NA»ALL»DYN»AUT»D»All»SS»NA»Free Acc Refresh - T3 - FR</v></cell><cell r="AH6177"><v>223691765</v></cell><cell r="AI6177" t="str"><v>AzurePlatform_FreeAcctAppsFACEBOOKIllustrationChC_CAN_1200x628_SOC_PLAT_FR_Trial_Standard_NA_SU_T3_1.png</v></cell><cell r="AJ6177"><v>103053332</v></cell></row><row r="6178"><cell r="C6178" t="str"><v>43326Facebook»AZR»1x1»SocialBan»NA»ALL»DYN»AUT»D»All»SS»NA»Free Acc Refresh - T4 - FR</v></cell><cell r="D6178" t="str"><v>43326223691771</v></cell><cell r="E6178" t="str"><v>433261029029684 - FR</v></cell><cell r="F6178" t="str"><v>DCM</v></cell><cell r="G6178" t="str"><v>https://azure.microsoft.com/fr-ca/free/search/</v></cell></row><row r="6178"><cell r="K6178" t="str"><v>August</v></cell><cell r="L6178"><v>43330</v></cell><cell r="M6178" t="str"><v>Tier 1</v></cell><cell r="N6178" t="str"><v>North America</v></cell><cell r="O6178" t="str"><v>Canada</v></cell><cell r="P6178" t="str"><v>Trial</v></cell><cell r="Q6178" t="str"><v>Social</v></cell><cell r="R6178" t="str"><v>Azure</v></cell><cell r="S6178" t="str"><v>Apps & Infra</v></cell><cell r="T6178" t="str"><v>Developers & ITI's</v></cell><cell r="U6178" t="str"><v>AZR</v></cell><cell r="V6178" t="str"><v>Audience Targeting</v></cell><cell r="W6178" t="str"><v>NotApplicable</v></cell><cell r="X6178" t="str"><v>1x1</v></cell></row><row r="6178"><cell r="AA6178"><v>43326</v></cell><cell r="AB6178" t="str"><v>CAN_gaPMG_AZR_AZR_Q1_19_Trial-Social</v></cell><cell r="AC6178"><v>21337220</v></cell><cell r="AD6178"><v>720192</v></cell><cell r="AE6178" t="str"><v>Facebook</v></cell><cell r="AF6178"><v>3654128</v></cell><cell r="AG6178" t="str"><v>Facebook»AZR»1x1»SocialBan»NA»ALL»DYN»AUT»D»All»SS»NA»Free Acc Refresh - T4 - FR</v></cell><cell r="AH6178"><v>223691771</v></cell><cell r="AI6178" t="str"><v>AzurePlatform_FreeAcctAppsFACEBOOK200CreditChD_CAN_1200x628_SOC_PLAT_FR_Trial_Standard_NA_SU_T4_1.png</v></cell><cell r="AJ6178"><v>102902968</v></cell></row><row r="6179"><cell r="C6179" t="str"><v>43326Facebook»AZR»1x1»SocialBan»NA»ALL»DYN»AUT»D»All»SS»NA»Free Acc Refresh - T5 - EN</v></cell><cell r="D6179" t="str"><v>43326223691816</v></cell><cell r="E6179" t="str"><v>433261029163415 - EN</v></cell><cell r="F6179" t="str"><v>DCM</v></cell><cell r="G6179" t="str"><v>https://azure.microsoft.com/en-CA/free/search/</v></cell></row><row r="6179"><cell r="K6179" t="str"><v>August</v></cell><cell r="L6179"><v>43330</v></cell><cell r="M6179" t="str"><v>Tier 1</v></cell><cell r="N6179" t="str"><v>North America</v></cell><cell r="O6179" t="str"><v>Canada</v></cell><cell r="P6179" t="str"><v>Trial</v></cell><cell r="Q6179" t="str"><v>Social</v></cell><cell r="R6179" t="str"><v>Azure</v></cell><cell r="S6179" t="str"><v>Apps & Infra</v></cell><cell r="T6179" t="str"><v>Developers & ITI's</v></cell><cell r="U6179" t="str"><v>AZR</v></cell><cell r="V6179" t="str"><v>Audience Targeting</v></cell><cell r="W6179" t="str"><v>NotApplicable</v></cell><cell r="X6179" t="str"><v>1x1</v></cell></row><row r="6179"><cell r="AA6179"><v>43326</v></cell><cell r="AB6179" t="str"><v>CAN_gaPMG_AZR_AZR_Q1_19_Trial-Social</v></cell><cell r="AC6179"><v>21337220</v></cell><cell r="AD6179"><v>720192</v></cell><cell r="AE6179" t="str"><v>Facebook</v></cell><cell r="AF6179"><v>3654128</v></cell><cell r="AG6179" t="str"><v>Facebook»AZR»1x1»SocialBan»NA»ALL»DYN»AUT»D»All»SS»NA»Free Acc Refresh - T5 - EN</v></cell><cell r="AH6179"><v>223691816</v></cell><cell r="AI6179" t="str"><v>AzurePlatform_FreeAcctAppsFACEBOOK12monthsChE_CAN_1200x628_SOC_PLAT_EN_Trial_Standard_NA_SU_T5_1.png</v></cell><cell r="AJ6179"><v>102916341</v></cell></row><row r="6180"><cell r="C6180" t="str"><v>43326Facebook»AZR»1x1»SocialBan»NA»ALL»DYN»RT»D»All»SS»NA» Free Account Retargeting OSS - T1 - EN</v></cell><cell r="D6180" t="str"><v>43326223691828</v></cell><cell r="E6180" t="str"><v>433261029029561 - EN</v></cell><cell r="F6180" t="str"><v>DCM</v></cell><cell r="G6180" t="str"><v>https://azure.microsoft.com/en-ca/free/open-source/search/</v></cell></row><row r="6180"><cell r="K6180" t="str"><v>August</v></cell><cell r="L6180"><v>43330</v></cell><cell r="M6180" t="str"><v>Tier 1</v></cell><cell r="N6180" t="str"><v>North America</v></cell><cell r="O6180" t="str"><v>Canada</v></cell><cell r="P6180" t="str"><v>Trial</v></cell><cell r="Q6180" t="str"><v>Social</v></cell><cell r="R6180" t="str"><v>Azure</v></cell><cell r="S6180" t="str"><v>Apps & Infra</v></cell><cell r="T6180" t="str"><v>Developers & ITI's</v></cell><cell r="U6180" t="str"><v>AZR</v></cell><cell r="V6180" t="str"><v>Retargeting</v></cell><cell r="W6180" t="str"><v>NotApplicable</v></cell><cell r="X6180" t="str"><v>1x1</v></cell></row><row r="6180"><cell r="AA6180"><v>43326</v></cell><cell r="AB6180" t="str"><v>CAN_gaPMG_AZR_AZR_Q1_19_Trial-Social</v></cell><cell r="AC6180"><v>21337220</v></cell><cell r="AD6180"><v>720192</v></cell><cell r="AE6180" t="str"><v>Facebook</v></cell><cell r="AF6180"><v>3654128</v></cell><cell r="AG6180" t="str"><v>Facebook»AZR»1x1»SocialBan»NA»ALL»DYN»RT»D»All»SS»NA» Free Account Retargeting OSS - T1 - EN</v></cell><cell r="AH6180"><v>223691828</v></cell><cell r="AI6180" t="str"><v>AzurePlatform_FreeAcctRetargetingOSSFB-Text-ChF_CAN_1200x628_SOC_Plat_EN_Free Account_Standard_NA_SU_T1_1</v></cell><cell r="AJ6180"><v>102902956</v></cell></row><row r="6181"><cell r="C6181" t="str"><v>43326Facebook»AZR»1x1»SocialBan»NA»ALL»DYN»RT»D»All»SS»NA» Free Account Retargeting OSS - T1 - FR</v></cell><cell r="D6181" t="str"><v>43326223691786</v></cell><cell r="E6181" t="str"><v>433261030587201 - FR</v></cell><cell r="F6181" t="str"><v>DCM</v></cell><cell r="G6181" t="str"><v>https://azure.microsoft.com/fr-ca/free/open-source/search/</v></cell></row><row r="6181"><cell r="K6181" t="str"><v>August</v></cell><cell r="L6181"><v>43330</v></cell><cell r="M6181" t="str"><v>Tier 1</v></cell><cell r="N6181" t="str"><v>North America</v></cell><cell r="O6181" t="str"><v>Canada</v></cell><cell r="P6181" t="str"><v>Trial</v></cell><cell r="Q6181" t="str"><v>Social</v></cell><cell r="R6181" t="str"><v>Azure</v></cell><cell r="S6181" t="str"><v>Apps & Infra</v></cell><cell r="T6181" t="str"><v>Developers & ITI's</v></cell><cell r="U6181" t="str"><v>AZR</v></cell><cell r="V6181" t="str"><v>Retargeting</v></cell><cell r="W6181" t="str"><v>NotApplicable</v></cell><cell r="X6181" t="str"><v>1x1</v></cell></row><row r="6181"><cell r="AA6181"><v>43326</v></cell><cell r="AB6181" t="str"><v>CAN_gaPMG_AZR_AZR_Q1_19_Trial-Social</v></cell><cell r="AC6181"><v>21337220</v></cell><cell r="AD6181"><v>720192</v></cell><cell r="AE6181" t="str"><v>Facebook</v></cell><cell r="AF6181"><v>3654128</v></cell><cell r="AG6181" t="str"><v>Facebook»AZR»1x1»SocialBan»NA»ALL»DYN»RT»D»All»SS»NA» Free Account Retargeting OSS - T1 - FR</v></cell><cell r="AH6181"><v>223691786</v></cell><cell r="AI6181" t="str"><v>AzurePlatform_FreeAcctRetargetingOSSFB-Text-ChF_CAN_1200x628_SOC_Plat_FR_Free Account_Standard_NA_SU_T1_1</v></cell><cell r="AJ6181"><v>103058720</v></cell></row><row r="6182"><cell r="C6182" t="str"><v>43326Facebook»AZR»1x1»SocialBan»NA»ALL»DYN»RT»D»All»SS»NA» Free Account Retargeting OSS - T2 - EN</v></cell><cell r="D6182" t="str"><v>43326223691831</v></cell><cell r="E6182" t="str"><v>433261029138002 - EN</v></cell><cell r="F6182" t="str"><v>DCM</v></cell><cell r="G6182" t="str"><v>https://azure.microsoft.com/en-ca/free/open-source/search/</v></cell></row><row r="6182"><cell r="K6182" t="str"><v>August</v></cell><cell r="L6182"><v>43330</v></cell><cell r="M6182" t="str"><v>Tier 1</v></cell><cell r="N6182" t="str"><v>North America</v></cell><cell r="O6182" t="str"><v>Canada</v></cell><cell r="P6182" t="str"><v>Trial</v></cell><cell r="Q6182" t="str"><v>Social</v></cell><cell r="R6182" t="str"><v>Azure</v></cell><cell r="S6182" t="str"><v>Apps & Infra</v></cell><cell r="T6182" t="str"><v>Developers & ITI's</v></cell><cell r="U6182" t="str"><v>AZR</v></cell><cell r="V6182" t="str"><v>Retargeting</v></cell><cell r="W6182" t="str"><v>NotApplicable</v></cell><cell r="X6182" t="str"><v>1x1</v></cell></row><row r="6182"><cell r="AA6182"><v>43326</v></cell><cell r="AB6182" t="str"><v>CAN_gaPMG_AZR_AZR_Q1_19_Trial-Social</v></cell><cell r="AC6182"><v>21337220</v></cell><cell r="AD6182"><v>720192</v></cell><cell r="AE6182" t="str"><v>Facebook</v></cell><cell r="AF6182"><v>3654128</v></cell><cell r="AG6182" t="str"><v>Facebook»AZR»1x1»SocialBan»NA»ALL»DYN»RT»D»All»SS»NA» Free Account Retargeting OSS - T2 - EN</v></cell><cell r="AH6182"><v>223691831</v></cell><cell r="AI6182" t="str"><v>AzurePlatform_FreeAcctRetargetingOSSFB-Logos-ChG_CAN_1200x628_SOC_Plat_EN_Free Account_Standard_NA_SU_T2_1</v></cell><cell r="AJ6182"><v>102913800</v></cell></row><row r="6183"><cell r="C6183" t="str"><v>43326Facebook»AZR»1x1»SocialBan»NA»ALL»DYN»RT»D»All»SS»NA»Free Account Retargeting Generic - T2 - EN</v></cell><cell r="D6183" t="str"><v>43326223691834</v></cell><cell r="E6183" t="str"><v>433261029029532 - EN</v></cell><cell r="F6183" t="str"><v>DCM</v></cell><cell r="G6183" t="str"><v>https://azure.microsoft.com/en-CA/free/search/</v></cell></row><row r="6183"><cell r="K6183" t="str"><v>August</v></cell><cell r="L6183"><v>43330</v></cell><cell r="M6183" t="str"><v>Tier 1</v></cell><cell r="N6183" t="str"><v>North America</v></cell><cell r="O6183" t="str"><v>Canada</v></cell><cell r="P6183" t="str"><v>Trial</v></cell><cell r="Q6183" t="str"><v>Social</v></cell><cell r="R6183" t="str"><v>Azure</v></cell><cell r="S6183" t="str"><v>Apps & Infra</v></cell><cell r="T6183" t="str"><v>Developers & ITI's</v></cell><cell r="U6183" t="str"><v>AZR</v></cell><cell r="V6183" t="str"><v>Retargeting</v></cell><cell r="W6183" t="str"><v>NotApplicable</v></cell><cell r="X6183" t="str"><v>1x1</v></cell></row><row r="6183"><cell r="AA6183"><v>43326</v></cell><cell r="AB6183" t="str"><v>CAN_gaPMG_AZR_AZR_Q1_19_Trial-Social</v></cell><cell r="AC6183"><v>21337220</v></cell><cell r="AD6183"><v>720192</v></cell><cell r="AE6183" t="str"><v>Facebook</v></cell><cell r="AF6183"><v>3654128</v></cell><cell r="AG6183" t="str"><v>Facebook»AZR»1x1»SocialBan»NA»ALL»DYN»RT»D»All»SS»NA»Free Account Retargeting Generic - T2 - EN</v></cell><cell r="AH6183"><v>223691834</v></cell><cell r="AI6183" t="str"><v>AzurePlatform_FreeAcctRetargetingFB-GlobalAlt-ChB_CAN_1200x628_SOC_Plat_EN_Free Account_Standard_NA_SU_T2_1</v></cell><cell r="AJ6183"><v>102902953</v></cell></row><row r="6184"><cell r="C6184" t="str"><v>43326Facebook»AZR»1x1»SocialBan»NA»ALL»DYN»RT»D»All»SS»NA»Free Account Retargeting Generic - T2 - FR</v></cell><cell r="D6184" t="str"><v>43326223691792</v></cell><cell r="E6184" t="str"><v>433261029018942 - FR</v></cell><cell r="F6184" t="str"><v>DCM</v></cell><cell r="G6184" t="str"><v>https://azure.microsoft.com/fr-ca/free/search/</v></cell></row><row r="6184"><cell r="K6184" t="str"><v>August</v></cell><cell r="L6184"><v>43330</v></cell><cell r="M6184" t="str"><v>Tier 1</v></cell><cell r="N6184" t="str"><v>North America</v></cell><cell r="O6184" t="str"><v>Canada</v></cell><cell r="P6184" t="str"><v>Trial</v></cell><cell r="Q6184" t="str"><v>Social</v></cell><cell r="R6184" t="str"><v>Azure</v></cell><cell r="S6184" t="str"><v>Apps & Infra</v></cell><cell r="T6184" t="str"><v>Developers & ITI's</v></cell><cell r="U6184" t="str"><v>AZR</v></cell><cell r="V6184" t="str"><v>Retargeting</v></cell><cell r="W6184" t="str"><v>NotApplicable</v></cell><cell r="X6184" t="str"><v>1x1</v></cell></row><row r="6184"><cell r="AA6184"><v>43326</v></cell><cell r="AB6184" t="str"><v>CAN_gaPMG_AZR_AZR_Q1_19_Trial-Social</v></cell><cell r="AC6184"><v>21337220</v></cell><cell r="AD6184"><v>720192</v></cell><cell r="AE6184" t="str"><v>Facebook</v></cell><cell r="AF6184"><v>3654128</v></cell><cell r="AG6184" t="str"><v>Facebook»AZR»1x1»SocialBan»NA»ALL»DYN»RT»D»All»SS»NA»Free Account Retargeting Generic - T2 - FR</v></cell><cell r="AH6184"><v>223691792</v></cell><cell r="AI6184" t="str"><v>AzurePlatform_FreeAcctRetargetingFB-GlobalAlt-ChB_CAN_1200x628_SOC_Plat_FR_Free Account_Standard_NA_SU_T2_1</v></cell><cell r="AJ6184"><v>102901894</v></cell></row><row r="6185"><cell r="C6185" t="str"><v>43326Facebook»AZR»1x1»SocialBan»NA»ALL»DYN»RT»D»All»SS»NA»Free Account Retargeting Generic - T3 - FR</v></cell><cell r="D6185" t="str"><v>43326223691777</v></cell><cell r="E6185" t="str"><v>433261029006973 - FR</v></cell><cell r="F6185" t="str"><v>DCM</v></cell><cell r="G6185" t="str"><v>https://azure.microsoft.com/fr-ca/free/search/</v></cell></row><row r="6185"><cell r="K6185" t="str"><v>August</v></cell><cell r="L6185"><v>43330</v></cell><cell r="M6185" t="str"><v>Tier 1</v></cell><cell r="N6185" t="str"><v>North America</v></cell><cell r="O6185" t="str"><v>Canada</v></cell><cell r="P6185" t="str"><v>Trial</v></cell><cell r="Q6185" t="str"><v>Social</v></cell><cell r="R6185" t="str"><v>Azure</v></cell><cell r="S6185" t="str"><v>Apps & Infra</v></cell><cell r="T6185" t="str"><v>Developers & ITI's</v></cell><cell r="U6185" t="str"><v>AZR</v></cell><cell r="V6185" t="str"><v>Retargeting</v></cell><cell r="W6185" t="str"><v>NotApplicable</v></cell><cell r="X6185" t="str"><v>1x1</v></cell></row><row r="6185"><cell r="AA6185"><v>43326</v></cell><cell r="AB6185" t="str"><v>CAN_gaPMG_AZR_AZR_Q1_19_Trial-Social</v></cell><cell r="AC6185"><v>21337220</v></cell><cell r="AD6185"><v>720192</v></cell><cell r="AE6185" t="str"><v>Facebook</v></cell><cell r="AF6185"><v>3654128</v></cell><cell r="AG6185" t="str"><v>Facebook»AZR»1x1»SocialBan»NA»ALL»DYN»RT»D»All»SS»NA»Free Account Retargeting Generic - T3 - FR</v></cell><cell r="AH6185"><v>223691777</v></cell><cell r="AI6185" t="str"><v>AzurePlatform_FreeAcctRetargetingFB-Animated-ChC_CAN_1200x628_SOC_Plat_FR_Free Account_Standard_ANI_SU_T3_1</v></cell><cell r="AJ6185"><v>102900697</v></cell></row><row r="6186"><cell r="C6186" t="str"><v>43326Facebook»AZR»1x1»SocialBan»NA»ALL»DYN»RT»D»All»SS»NA»Free Account Retargeting VM - T1 - EN</v></cell><cell r="D6186" t="str"><v>43326223691825</v></cell><cell r="E6186" t="str"><v>433261029163381 - EN</v></cell><cell r="F6186" t="str"><v>DCM</v></cell><cell r="G6186" t="str"><v>https://azure.microsoft.com/en-ca/free/virtual-machines/search/</v></cell></row><row r="6186"><cell r="K6186" t="str"><v>August</v></cell><cell r="L6186"><v>43330</v></cell><cell r="M6186" t="str"><v>Tier 1</v></cell><cell r="N6186" t="str"><v>North America</v></cell><cell r="O6186" t="str"><v>Canada</v></cell><cell r="P6186" t="str"><v>Trial</v></cell><cell r="Q6186" t="str"><v>Social</v></cell><cell r="R6186" t="str"><v>Azure</v></cell><cell r="S6186" t="str"><v>Apps & Infra</v></cell><cell r="T6186" t="str"><v>Developers & ITI's</v></cell><cell r="U6186" t="str"><v>AZR</v></cell><cell r="V6186" t="str"><v>Retargeting</v></cell><cell r="W6186" t="str"><v>NotApplicable</v></cell><cell r="X6186" t="str"><v>1x1</v></cell></row><row r="6186"><cell r="AA6186"><v>43326</v></cell><cell r="AB6186" t="str"><v>CAN_gaPMG_AZR_AZR_Q1_19_Trial-Social</v></cell><cell r="AC6186"><v>21337220</v></cell><cell r="AD6186"><v>720192</v></cell><cell r="AE6186" t="str"><v>Facebook</v></cell><cell r="AF6186"><v>3654128</v></cell><cell r="AG6186" t="str"><v>Facebook»AZR»1x1»SocialBan»NA»ALL»DYN»RT»D»All»SS»NA»Free Account Retargeting VM - T1 - EN</v></cell><cell r="AH6186"><v>223691825</v></cell><cell r="AI6186" t="str"><v>AzurePlatform_FreeAcctRetargetingVMFB-750Hrs-ChD_CAN_1200x628_SOC_Plat_EN_Free Account_Standard_NA_SU_T1_1</v></cell><cell r="AJ6186"><v>102916338</v></cell></row><row r="6187"><cell r="C6187" t="str"><v>43326Facebook»AZR»1x1»SocialBan»NA»ALL»DYN»RT»D»All»SS»NA»Free Account Retargeting VM - T2 - EN</v></cell><cell r="D6187" t="str"><v>43326223691822</v></cell><cell r="E6187" t="str"><v>433261030587082 - EN</v></cell><cell r="F6187" t="str"><v>DCM</v></cell><cell r="G6187" t="str"><v>https://azure.microsoft.com/en-ca/free/virtual-machines/search/</v></cell></row><row r="6187"><cell r="K6187" t="str"><v>August</v></cell><cell r="L6187"><v>43330</v></cell><cell r="M6187" t="str"><v>Tier 1</v></cell><cell r="N6187" t="str"><v>North America</v></cell><cell r="O6187" t="str"><v>Canada</v></cell><cell r="P6187" t="str"><v>Trial</v></cell><cell r="Q6187" t="str"><v>Social</v></cell><cell r="R6187" t="str"><v>Azure</v></cell><cell r="S6187" t="str"><v>Apps & Infra</v></cell><cell r="T6187" t="str"><v>Developers & ITI's</v></cell><cell r="U6187" t="str"><v>AZR</v></cell><cell r="V6187" t="str"><v>Retargeting</v></cell><cell r="W6187" t="str"><v>NotApplicable</v></cell><cell r="X6187" t="str"><v>1x1</v></cell></row><row r="6187"><cell r="AA6187"><v>43326</v></cell><cell r="AB6187" t="str"><v>CAN_gaPMG_AZR_AZR_Q1_19_Trial-Social</v></cell><cell r="AC6187"><v>21337220</v></cell><cell r="AD6187"><v>720192</v></cell><cell r="AE6187" t="str"><v>Facebook</v></cell><cell r="AF6187"><v>3654128</v></cell><cell r="AG6187" t="str"><v>Facebook»AZR»1x1»SocialBan»NA»ALL»DYN»RT»D»All»SS»NA»Free Account Retargeting VM - T2 - EN</v></cell><cell r="AH6187"><v>223691822</v></cell><cell r="AI6187" t="str"><v>AzurePlatform_FreeAcctRetargetingVMFB-OnDemand-ChE_CAN_1200x628_SOC_Plat_EN_Free Account_Standard_NA_SU_T2_1</v></cell><cell r="AJ6187"><v>103058708</v></cell></row><row r="6188"><cell r="C6188" t="str"><v>43326Facebook»DEV-ITP-AZR-FB|CanvasAds|Interesttargeting»1x1»TextLink»CAN»DT»CPM»AUT»W»NA»SS»NA»39684020-11000</v></cell><cell r="D6188" t="str"><v>43326224009494</v></cell><cell r="E6188" t="str"><v>43326103236186-11000</v></cell><cell r="F6188" t="str"><v>DCM</v></cell><cell r="G6188" t="str"><v>https://signup.azure.com/signup?offer=ms-azr-0044p&appId=102&ref=paidmedia-social-fb&redirectURL=https%3a%2f%2fazure.microsoft.com%2fde-de%2fget-started%2fwelcome-to-azure%2f&l=de-de&correlationId=ead86c34-1f10-49dd-a72b-6918462a2cbf</v></cell></row><row r="6188"><cell r="K6188" t="str"><v>August</v></cell><cell r="L6188"><v>43330</v></cell><cell r="M6188" t="str"><v>Tier 1</v></cell><cell r="N6188" t="str"><v>EMEA</v></cell><cell r="O6188" t="str"><v>Germany</v></cell><cell r="P6188" t="str"><v>Trial</v></cell><cell r="Q6188" t="str"><v>Social</v></cell><cell r="R6188" t="str"><v>Azure</v></cell><cell r="S6188" t="str"><v>Apps & Infra</v></cell><cell r="T6188" t="str"><v>Developers & ITI's</v></cell><cell r="U6188" t="str"><v>DEV-ITP-AZR-FB|CanvasAds|Interesttargeting</v></cell><cell r="V6188" t="str"><v>Audience Targeting</v></cell><cell r="W6188" t="str"><v>Canvas Ad</v></cell><cell r="X6188" t="str"><v>1x1</v></cell></row><row r="6188"><cell r="AA6188"><v>43326</v></cell><cell r="AB6188" t="str"><v>DEU_gaPMG_AZR_AZR_Q1_19_Trial-Social- 39684</v></cell><cell r="AC6188"><v>21359477</v></cell><cell r="AD6188"><v>720194</v></cell><cell r="AE6188" t="str"><v>Facebook</v></cell><cell r="AF6188"><v>3654128</v></cell><cell r="AG6188" t="str"><v>Facebook»DEV-ITP-AZR-FB|CanvasAds|Interesttargeting»1x1»TextLink»CAN»DT»CPM»AUT»W»NA»SS»NA»39684020-11000</v></cell><cell r="AH6188"><v>224009494</v></cell><cell r="AI6188" t="str"><v>AzurePlatform_FBCTCBasicMotion-StartFreeCT_DEU_10s_ISV_PLAT_DE_Trial_Standard_STAN_TN_T1_1</v></cell><cell r="AJ6188"><v>103236186</v></cell></row><row r="6189"><cell r="C6189" t="str"><v>43326Facebook»DEV-ITP-AZR-FB|CanvasAds|Interesttargeting»1x1»TextLink»CAN»DT»CPM»AUT»W»NA»SS»NA»39684020-11000</v></cell><cell r="D6189" t="str"><v>43326224009494</v></cell><cell r="E6189" t="str"><v>43326103236189-11000</v></cell><cell r="F6189" t="str"><v>DCM</v></cell><cell r="G6189" t="str"><v>https://azure.microsoft.com/de-de/pricing/purchase-options/</v></cell></row><row r="6189"><cell r="K6189" t="str"><v>August</v></cell><cell r="L6189"><v>43330</v></cell><cell r="M6189" t="str"><v>Tier 1</v></cell><cell r="N6189" t="str"><v>EMEA</v></cell><cell r="O6189" t="str"><v>Germany</v></cell><cell r="P6189" t="str"><v>Trial</v></cell><cell r="Q6189" t="str"><v>Social</v></cell><cell r="R6189" t="str"><v>Azure</v></cell><cell r="S6189" t="str"><v>Apps & Infra</v></cell><cell r="T6189" t="str"><v>Developers & ITI's</v></cell><cell r="U6189" t="str"><v>DEV-ITP-AZR-FB|CanvasAds|Interesttargeting</v></cell><cell r="V6189" t="str"><v>Audience Targeting</v></cell><cell r="W6189" t="str"><v>Canvas Ad</v></cell><cell r="X6189" t="str"><v>1x1</v></cell></row><row r="6189"><cell r="AA6189"><v>43326</v></cell><cell r="AB6189" t="str"><v>DEU_gaPMG_AZR_AZR_Q1_19_Trial-Social- 39684</v></cell><cell r="AC6189"><v>21359477</v></cell><cell r="AD6189"><v>720194</v></cell><cell r="AE6189" t="str"><v>Facebook</v></cell><cell r="AF6189"><v>3654128</v></cell><cell r="AG6189" t="str"><v>Facebook»DEV-ITP-AZR-FB|CanvasAds|Interesttargeting»1x1»TextLink»CAN»DT»CPM»AUT»W»NA»SS»NA»39684020-11000</v></cell><cell r="AH6189"><v>224009494</v></cell><cell r="AI6189" t="str"><v>AzurePlatform_FBCTCBenefit2inMotion-BuyNow_DEU_14s_ISV_PLAT_DE_Trial_Standard_STAN_TN_T4_1</v></cell><cell r="AJ6189"><v>103236189</v></cell></row><row r="6190"><cell r="C6190" t="str"><v>43326Facebook»DEV-ITP-AZR-FB|CanvasAds|Interesttargeting»1x1»TextLink»CAN»DT»CPM»AUT»W»NA»SS»NA»39684020-11000</v></cell><cell r="D6190" t="str"><v>43326224009494</v></cell><cell r="E6190" t="str"><v>43326103237290-11000</v></cell><cell r="F6190" t="str"><v>DCM</v></cell><cell r="G6190" t="str"><v>https://signup.azure.com/signup?offer=ms-azr-0044p&appId=102&ref=paidmedia-social-fb&redirectURL=https%3a%2f%2fazure.microsoft.com%2fde-de%2fget-started%2fwelcome-to-azure%2f&l=de-de&correlationId=ead86c34-1f10-49dd-a72b-6918462a2cbf</v></cell></row><row r="6190"><cell r="K6190" t="str"><v>August</v></cell><cell r="L6190"><v>43330</v></cell><cell r="M6190" t="str"><v>Tier 1</v></cell><cell r="N6190" t="str"><v>EMEA</v></cell><cell r="O6190" t="str"><v>Germany</v></cell><cell r="P6190" t="str"><v>Trial</v></cell><cell r="Q6190" t="str"><v>Social</v></cell><cell r="R6190" t="str"><v>Azure</v></cell><cell r="S6190" t="str"><v>Apps & Infra</v></cell><cell r="T6190" t="str"><v>Developers & ITI's</v></cell><cell r="U6190" t="str"><v>DEV-ITP-AZR-FB|CanvasAds|Interesttargeting</v></cell><cell r="V6190" t="str"><v>Audience Targeting</v></cell><cell r="W6190" t="str"><v>Canvas Ad</v></cell><cell r="X6190" t="str"><v>1x1</v></cell></row><row r="6190"><cell r="AA6190"><v>43326</v></cell><cell r="AB6190" t="str"><v>DEU_gaPMG_AZR_AZR_Q1_19_Trial-Social- 39684</v></cell><cell r="AC6190"><v>21359477</v></cell><cell r="AD6190"><v>720194</v></cell><cell r="AE6190" t="str"><v>Facebook</v></cell><cell r="AF6190"><v>3654128</v></cell><cell r="AG6190" t="str"><v>Facebook»DEV-ITP-AZR-FB|CanvasAds|Interesttargeting»1x1»TextLink»CAN»DT»CPM»AUT»W»NA»SS»NA»39684020-11000</v></cell><cell r="AH6190"><v>224009494</v></cell><cell r="AI6190" t="str"><v>AzurePlatform_FBCTCBenefit2inMotion-StartFreeCT_DEU_14s_ISV_PLAT_DE_Trial_Standard_STAN_TN_T4_1</v></cell><cell r="AJ6190"><v>103237290</v></cell></row><row r="6191"><cell r="C6191" t="str"><v>43326Facebook»DEV-ITP-AZR-FB|CanvasAds|Interesttargeting»1x1»TextLink»CAN»DT»CPM»AUT»W»NA»SS»NA»39684020-11000</v></cell><cell r="D6191" t="str"><v>43326224009494</v></cell><cell r="E6191" t="str"><v>43326103350059-11000</v></cell><cell r="F6191" t="str"><v>DCM</v></cell><cell r="G6191" t="str"><v>https://azure.microsoft.com/de-de/pricing/purchase-options/</v></cell></row><row r="6191"><cell r="K6191" t="str"><v>August</v></cell><cell r="L6191"><v>43330</v></cell><cell r="M6191" t="str"><v>Tier 1</v></cell><cell r="N6191" t="str"><v>EMEA</v></cell><cell r="O6191" t="str"><v>Germany</v></cell><cell r="P6191" t="str"><v>Trial</v></cell><cell r="Q6191" t="str"><v>Social</v></cell><cell r="R6191" t="str"><v>Azure</v></cell><cell r="S6191" t="str"><v>Apps & Infra</v></cell><cell r="T6191" t="str"><v>Developers & ITI's</v></cell><cell r="U6191" t="str"><v>DEV-ITP-AZR-FB|CanvasAds|Interesttargeting</v></cell><cell r="V6191" t="str"><v>Audience Targeting</v></cell><cell r="W6191" t="str"><v>Canvas Ad</v></cell><cell r="X6191" t="str"><v>1x1</v></cell></row><row r="6191"><cell r="AA6191"><v>43326</v></cell><cell r="AB6191" t="str"><v>DEU_gaPMG_AZR_AZR_Q1_19_Trial-Social- 39684</v></cell><cell r="AC6191"><v>21359477</v></cell><cell r="AD6191"><v>720194</v></cell><cell r="AE6191" t="str"><v>Facebook</v></cell><cell r="AF6191"><v>3654128</v></cell><cell r="AG6191" t="str"><v>Facebook»DEV-ITP-AZR-FB|CanvasAds|Interesttargeting»1x1»TextLink»CAN»DT»CPM»AUT»W»NA»SS»NA»39684020-11000</v></cell><cell r="AH6191"><v>224009494</v></cell><cell r="AI6191" t="str"><v>AzurePlatform_FBCTCBrandinMotion-BuyNow_DEU_12s_ISV_PLAT_DE_Trial_Standard_STAN_TN_T2_1</v></cell><cell r="AJ6191"><v>103350059</v></cell></row><row r="6192"><cell r="C6192" t="str"><v>43326Facebook»DEV-ITP-AZR-FB|CanvasAds|Interesttargeting»1x1»TextLink»CAN»DT»CPM»AUT»W»NA»SS»NA»39684020-11000</v></cell><cell r="D6192" t="str"><v>43326224009494</v></cell><cell r="E6192" t="str"><v>43326103237293-11000</v></cell><cell r="F6192" t="str"><v>DCM</v></cell><cell r="G6192" t="str"><v>https://signup.azure.com/signup?offer=ms-azr-0044p&appId=102&ref=paidmedia-social-fb&redirectURL=https%3a%2f%2fazure.microsoft.com%2fde-de%2fget-started%2fwelcome-to-azure%2f&l=de-de&correlationId=ead86c34-1f10-49dd-a72b-6918462a2cbf</v></cell></row><row r="6192"><cell r="K6192" t="str"><v>August</v></cell><cell r="L6192"><v>43330</v></cell><cell r="M6192" t="str"><v>Tier 1</v></cell><cell r="N6192" t="str"><v>EMEA</v></cell><cell r="O6192" t="str"><v>Germany</v></cell><cell r="P6192" t="str"><v>Trial</v></cell><cell r="Q6192" t="str"><v>Social</v></cell><cell r="R6192" t="str"><v>Azure</v></cell><cell r="S6192" t="str"><v>Apps & Infra</v></cell><cell r="T6192" t="str"><v>Developers & ITI's</v></cell><cell r="U6192" t="str"><v>DEV-ITP-AZR-FB|CanvasAds|Interesttargeting</v></cell><cell r="V6192" t="str"><v>Audience Targeting</v></cell><cell r="W6192" t="str"><v>Canvas Ad</v></cell><cell r="X6192" t="str"><v>1x1</v></cell></row><row r="6192"><cell r="AA6192"><v>43326</v></cell><cell r="AB6192" t="str"><v>DEU_gaPMG_AZR_AZR_Q1_19_Trial-Social- 39684</v></cell><cell r="AC6192"><v>21359477</v></cell><cell r="AD6192"><v>720194</v></cell><cell r="AE6192" t="str"><v>Facebook</v></cell><cell r="AF6192"><v>3654128</v></cell><cell r="AG6192" t="str"><v>Facebook»DEV-ITP-AZR-FB|CanvasAds|Interesttargeting»1x1»TextLink»CAN»DT»CPM»AUT»W»NA»SS»NA»39684020-11000</v></cell><cell r="AH6192"><v>224009494</v></cell><cell r="AI6192" t="str"><v>AzurePlatform_FBCTCBrandinMotion-StartFreeCT_DEU_12s_ISV_PLAT_DE_Trial_Standard_STAN_TN_T2_1</v></cell><cell r="AJ6192"><v>103237293</v></cell></row><row r="6193"><cell r="C6193" t="str"><v>43326Facebook»DEV-ITP-AZR-FB|LinkAd|CustomerAudienceRetargeting»1x1»TextLink»LIA»DT»CPM»RT»W»NA»SS»NA»39684019-11000</v></cell><cell r="D6193" t="str"><v>43326224010415</v></cell><cell r="E6193" t="str"><v>43326103048548-11000</v></cell><cell r="F6193" t="str"><v>DCM</v></cell><cell r="G6193" t="str"><v>https://azure.microsoft.com/de-de/free/search/</v></cell></row><row r="6193"><cell r="K6193" t="str"><v>August</v></cell><cell r="L6193"><v>43330</v></cell><cell r="M6193" t="str"><v>Tier 1</v></cell><cell r="N6193" t="str"><v>EMEA</v></cell><cell r="O6193" t="str"><v>Germany</v></cell><cell r="P6193" t="str"><v>Trial</v></cell><cell r="Q6193" t="str"><v>Social</v></cell><cell r="R6193" t="str"><v>Azure</v></cell><cell r="S6193" t="str"><v>Apps & Infra</v></cell><cell r="T6193" t="str"><v>Developers & ITI's</v></cell><cell r="U6193" t="str"><v>DEV-ITP-AZR-FB|LinkAd|CustomerAudienceRetargeting</v></cell><cell r="V6193" t="str"><v>Retargeting</v></cell><cell r="W6193" t="str"><v>Link Ad</v></cell><cell r="X6193" t="str"><v>1x1</v></cell></row><row r="6193"><cell r="AA6193"><v>43326</v></cell><cell r="AB6193" t="str"><v>DEU_gaPMG_AZR_AZR_Q1_19_Trial-Social- 39684</v></cell><cell r="AC6193"><v>21359477</v></cell><cell r="AD6193"><v>720194</v></cell><cell r="AE6193" t="str"><v>Facebook</v></cell><cell r="AF6193"><v>3654128</v></cell><cell r="AG6193" t="str"><v>Facebook»DEV-ITP-AZR-FB|LinkAd|CustomerAudienceRetargeting»1x1»TextLink»LIA»DT»CPM»RT»W»NA»SS»NA»39684019-11000</v></cell><cell r="AH6193"><v>224010415</v></cell><cell r="AI6193" t="str"><v>AzurePlatform_FreeAcctRetargetingFB-Animated-ChC_DEU_1200x628_SOC_Plat_DE_Free Account_Standard_ANI_SNU_T3_1</v></cell><cell r="AJ6193"><v>103048548</v></cell></row><row r="6194"><cell r="C6194" t="str"><v>43326Facebook»DEV-ITP-AZR-FB|LinkAd|CustomerAudienceRetargeting»1x1»TextLink»LIA»DT»CPM»RT»W»NA»SS»NA»39684019-11000</v></cell><cell r="D6194" t="str"><v>43326224010415</v></cell><cell r="E6194" t="str"><v>43326103040320-11000</v></cell><cell r="F6194" t="str"><v>DCM</v></cell><cell r="G6194" t="str"><v>https://azure.microsoft.com/de-de/free/search/</v></cell></row><row r="6194"><cell r="K6194" t="str"><v>August</v></cell><cell r="L6194"><v>43330</v></cell><cell r="M6194" t="str"><v>Tier 1</v></cell><cell r="N6194" t="str"><v>EMEA</v></cell><cell r="O6194" t="str"><v>Germany</v></cell><cell r="P6194" t="str"><v>Trial</v></cell><cell r="Q6194" t="str"><v>Social</v></cell><cell r="R6194" t="str"><v>Azure</v></cell><cell r="S6194" t="str"><v>Apps & Infra</v></cell><cell r="T6194" t="str"><v>Developers & ITI's</v></cell><cell r="U6194" t="str"><v>DEV-ITP-AZR-FB|LinkAd|CustomerAudienceRetargeting</v></cell><cell r="V6194" t="str"><v>Retargeting</v></cell><cell r="W6194" t="str"><v>Link Ad</v></cell><cell r="X6194" t="str"><v>1x1</v></cell></row><row r="6194"><cell r="AA6194"><v>43326</v></cell><cell r="AB6194" t="str"><v>DEU_gaPMG_AZR_AZR_Q1_19_Trial-Social- 39684</v></cell><cell r="AC6194"><v>21359477</v></cell><cell r="AD6194"><v>720194</v></cell><cell r="AE6194" t="str"><v>Facebook</v></cell><cell r="AF6194"><v>3654128</v></cell><cell r="AG6194" t="str"><v>Facebook»DEV-ITP-AZR-FB|LinkAd|CustomerAudienceRetargeting»1x1»TextLink»LIA»DT»CPM»RT»W»NA»SS»NA»39684019-11000</v></cell><cell r="AH6194"><v>224010415</v></cell><cell r="AI6194" t="str"><v>AzurePlatform_FreeAcctRetargetingFB-GlobalAlt-ChB_DEU_1200x628_SOC_Plat_DE_Free Account_Standard_NA_SNU_T2_1</v></cell><cell r="AJ6194"><v>103040320</v></cell></row><row r="6195"><cell r="C6195" t="str"><v>43326Facebook»DEV-ITP-AZR-FB|LinkAd|CustomerAudienceRetargeting»1x1»TextLink»LIA»DT»CPM»RT»W»NA»SS»NA»39684019-11000</v></cell><cell r="D6195" t="str"><v>43326224010415</v></cell><cell r="E6195" t="str"><v>43326103043329-11000</v></cell><cell r="F6195" t="str"><v>DCM</v></cell><cell r="G6195" t="str"><v>https://azure.microsoft.com/de-de/free/open-source/search/</v></cell></row><row r="6195"><cell r="K6195" t="str"><v>August</v></cell><cell r="L6195"><v>43330</v></cell><cell r="M6195" t="str"><v>Tier 1</v></cell><cell r="N6195" t="str"><v>EMEA</v></cell><cell r="O6195" t="str"><v>Germany</v></cell><cell r="P6195" t="str"><v>Trial</v></cell><cell r="Q6195" t="str"><v>Social</v></cell><cell r="R6195" t="str"><v>Azure</v></cell><cell r="S6195" t="str"><v>Apps & Infra</v></cell><cell r="T6195" t="str"><v>Developers & ITI's</v></cell><cell r="U6195" t="str"><v>DEV-ITP-AZR-FB|LinkAd|CustomerAudienceRetargeting</v></cell><cell r="V6195" t="str"><v>Retargeting</v></cell><cell r="W6195" t="str"><v>Link Ad</v></cell><cell r="X6195" t="str"><v>1x1</v></cell></row><row r="6195"><cell r="AA6195"><v>43326</v></cell><cell r="AB6195" t="str"><v>DEU_gaPMG_AZR_AZR_Q1_19_Trial-Social- 39684</v></cell><cell r="AC6195"><v>21359477</v></cell><cell r="AD6195"><v>720194</v></cell><cell r="AE6195" t="str"><v>Facebook</v></cell><cell r="AF6195"><v>3654128</v></cell><cell r="AG6195" t="str"><v>Facebook»DEV-ITP-AZR-FB|LinkAd|CustomerAudienceRetargeting»1x1»TextLink»LIA»DT»CPM»RT»W»NA»SS»NA»39684019-11000</v></cell><cell r="AH6195"><v>224010415</v></cell><cell r="AI6195" t="str"><v>AzurePlatform_FreeAcctRetargetingOSSFB-Logos-ChG_DEU_1200x628_SOC_Plat_DE_Free Account_Standard_NA_SNU_T2_1</v></cell><cell r="AJ6195"><v>103043329</v></cell></row><row r="6196"><cell r="C6196" t="str"><v>43326Facebook»DEV-ITP-AZR-FB|LinkAd|CustomerAudienceRetargeting»1x1»TextLink»LIA»DT»CPM»RT»W»NA»SS»NA»39684019-11000</v></cell><cell r="D6196" t="str"><v>43326224010415</v></cell><cell r="E6196" t="str"><v>43326103055394-11000</v></cell><cell r="F6196" t="str"><v>DCM</v></cell><cell r="G6196" t="str"><v>https://azure.microsoft.com/de-de/free/open-source/search/</v></cell></row><row r="6196"><cell r="K6196" t="str"><v>August</v></cell><cell r="L6196"><v>43330</v></cell><cell r="M6196" t="str"><v>Tier 1</v></cell><cell r="N6196" t="str"><v>EMEA</v></cell><cell r="O6196" t="str"><v>Germany</v></cell><cell r="P6196" t="str"><v>Trial</v></cell><cell r="Q6196" t="str"><v>Social</v></cell><cell r="R6196" t="str"><v>Azure</v></cell><cell r="S6196" t="str"><v>Apps & Infra</v></cell><cell r="T6196" t="str"><v>Developers & ITI's</v></cell><cell r="U6196" t="str"><v>DEV-ITP-AZR-FB|LinkAd|CustomerAudienceRetargeting</v></cell><cell r="V6196" t="str"><v>Retargeting</v></cell><cell r="W6196" t="str"><v>Link Ad</v></cell><cell r="X6196" t="str"><v>1x1</v></cell></row><row r="6196"><cell r="AA6196"><v>43326</v></cell><cell r="AB6196" t="str"><v>DEU_gaPMG_AZR_AZR_Q1_19_Trial-Social- 39684</v></cell><cell r="AC6196"><v>21359477</v></cell><cell r="AD6196"><v>720194</v></cell><cell r="AE6196" t="str"><v>Facebook</v></cell><cell r="AF6196"><v>3654128</v></cell><cell r="AG6196" t="str"><v>Facebook»DEV-ITP-AZR-FB|LinkAd|CustomerAudienceRetargeting»1x1»TextLink»LIA»DT»CPM»RT»W»NA»SS»NA»39684019-11000</v></cell><cell r="AH6196"><v>224010415</v></cell><cell r="AI6196" t="str"><v>AzurePlatform_FreeAcctRetargetingOSSFB-Text-ChF_DEU_1200x628_SOC_Plat_DE_Free Account_Standard_NA_SNU_T1_1</v></cell><cell r="AJ6196"><v>103055394</v></cell></row><row r="6197"><cell r="C6197" t="str"><v>43326Facebook»DEV-ITP-AZR-FB|LinkAd|CustomerAudienceRetargeting»1x1»TextLink»LIA»DT»CPM»RT»W»NA»SS»NA»39684019-11000</v></cell><cell r="D6197" t="str"><v>43326224010415</v></cell><cell r="E6197" t="str"><v>43326103043341-11000</v></cell><cell r="F6197" t="str"><v>DCM</v></cell><cell r="G6197" t="str"><v>https://azure.microsoft.com/de-de/free/virtual-machines/search/</v></cell></row><row r="6197"><cell r="K6197" t="str"><v>August</v></cell><cell r="L6197"><v>43330</v></cell><cell r="M6197" t="str"><v>Tier 1</v></cell><cell r="N6197" t="str"><v>EMEA</v></cell><cell r="O6197" t="str"><v>Germany</v></cell><cell r="P6197" t="str"><v>Trial</v></cell><cell r="Q6197" t="str"><v>Social</v></cell><cell r="R6197" t="str"><v>Azure</v></cell><cell r="S6197" t="str"><v>Apps & Infra</v></cell><cell r="T6197" t="str"><v>Developers & ITI's</v></cell><cell r="U6197" t="str"><v>DEV-ITP-AZR-FB|LinkAd|CustomerAudienceRetargeting</v></cell><cell r="V6197" t="str"><v>Retargeting</v></cell><cell r="W6197" t="str"><v>Link Ad</v></cell><cell r="X6197" t="str"><v>1x1</v></cell></row><row r="6197"><cell r="AA6197"><v>43326</v></cell><cell r="AB6197" t="str"><v>DEU_gaPMG_AZR_AZR_Q1_19_Trial-Social- 39684</v></cell><cell r="AC6197"><v>21359477</v></cell><cell r="AD6197"><v>720194</v></cell><cell r="AE6197" t="str"><v>Facebook</v></cell><cell r="AF6197"><v>3654128</v></cell><cell r="AG6197" t="str"><v>Facebook»DEV-ITP-AZR-FB|LinkAd|CustomerAudienceRetargeting»1x1»TextLink»LIA»DT»CPM»RT»W»NA»SS»NA»39684019-11000</v></cell><cell r="AH6197"><v>224010415</v></cell><cell r="AI6197" t="str"><v>AzurePlatform_FreeAcctRetargetingVMFB-750Hrs-ChD_DEU_1200x628_SOC_Plat_DE_Free Account_Standard_NA_SNU_T1_1</v></cell><cell r="AJ6197"><v>103043341</v></cell></row><row r="6198"><cell r="C6198" t="str"><v>43326Facebook»DEV-ITP-AZR-FB|LinkAd|CustomerAudienceRetargeting»1x1»TextLink»LIA»DT»CPM»RT»W»NA»SS»NA»39684019-11000</v></cell><cell r="D6198" t="str"><v>43326224010415</v></cell><cell r="E6198" t="str"><v>43326103043338-11000</v></cell><cell r="F6198" t="str"><v>DCM</v></cell><cell r="G6198" t="str"><v>https://azure.microsoft.com/de-de/free/virtual-machines/search/</v></cell></row><row r="6198"><cell r="K6198" t="str"><v>August</v></cell><cell r="L6198"><v>43330</v></cell><cell r="M6198" t="str"><v>Tier 1</v></cell><cell r="N6198" t="str"><v>EMEA</v></cell><cell r="O6198" t="str"><v>Germany</v></cell><cell r="P6198" t="str"><v>Trial</v></cell><cell r="Q6198" t="str"><v>Social</v></cell><cell r="R6198" t="str"><v>Azure</v></cell><cell r="S6198" t="str"><v>Apps & Infra</v></cell><cell r="T6198" t="str"><v>Developers & ITI's</v></cell><cell r="U6198" t="str"><v>DEV-ITP-AZR-FB|LinkAd|CustomerAudienceRetargeting</v></cell><cell r="V6198" t="str"><v>Retargeting</v></cell><cell r="W6198" t="str"><v>Link Ad</v></cell><cell r="X6198" t="str"><v>1x1</v></cell></row><row r="6198"><cell r="AA6198"><v>43326</v></cell><cell r="AB6198" t="str"><v>DEU_gaPMG_AZR_AZR_Q1_19_Trial-Social- 39684</v></cell><cell r="AC6198"><v>21359477</v></cell><cell r="AD6198"><v>720194</v></cell><cell r="AE6198" t="str"><v>Facebook</v></cell><cell r="AF6198"><v>3654128</v></cell><cell r="AG6198" t="str"><v>Facebook»DEV-ITP-AZR-FB|LinkAd|CustomerAudienceRetargeting»1x1»TextLink»LIA»DT»CPM»RT»W»NA»SS»NA»39684019-11000</v></cell><cell r="AH6198"><v>224010415</v></cell><cell r="AI6198" t="str"><v>AzurePlatform_FreeAcctRetargetingVMFB-OnDemand-ChE_DEU_1200x628_SOC_Plat_DE_Free Account_Standard_NA_SNU_T2_1</v></cell><cell r="AJ6198"><v>103043338</v></cell></row><row r="6199"><cell r="C6199" t="str"><v>43326Facebook»Developers-Azure Direct-Sponsored Post_Trial_PayGo-Video Ad-Free Account Developer - Generic»1x1»30s»SOC»ALL»CPC»LAL»D»UNK»SS»NA»Trials</v></cell><cell r="D6199" t="str"><v>43326226359953</v></cell><cell r="E6199" t="str"><v>43326104537129Trials</v></cell><cell r="F6199" t="str"><v>DCM</v></cell><cell r="G6199" t="str"><v>https://signup.azure.com/signup?offer=ms-azr-0044p&appId=102&ref=paidmedia-social-fb&redirectURL=https%3a%2f%2fazure.microsoft.com%2ffr-fr%2fget-started%2fwelcome-to-azure%2f&l=fr-fr&correlationId=ead86c34-1f10-49dd-a72b-6918462a2cbf</v></cell></row><row r="6199"><cell r="K6199" t="str"><v>August</v></cell><cell r="L6199"><v>43330</v></cell><cell r="M6199" t="str"><v>Tier 1</v></cell><cell r="N6199" t="str"><v>EMEA</v></cell><cell r="O6199" t="str"><v>France</v></cell><cell r="P6199" t="str"><v>Trial</v></cell><cell r="Q6199" t="str"><v>Social</v></cell><cell r="R6199" t="str"><v>Azure</v></cell><cell r="S6199" t="str"><v>Apps & Infra</v></cell><cell r="T6199" t="str"><v>Developers & ITI's</v></cell><cell r="U6199" t="str"><v>Developers-Azure Direct-Sponsored Post_Trial_PayGo-Video Ad-Free Account Developer - Generic</v></cell><cell r="V6199" t="str"><v>Lookalike Targeting</v></cell><cell r="W6199" t="str"><v>Social</v></cell><cell r="X6199" t="str"><v>1x1</v></cell></row><row r="6199"><cell r="AA6199"><v>43326</v></cell><cell r="AB6199" t="str"><v>FRA_gaPMG_AZR_AZR_Q1_19_AzureDirect-Trial-Social</v></cell><cell r="AC6199"><v>21356941</v></cell><cell r="AD6199"><v>720193</v></cell><cell r="AE6199" t="str"><v>Facebook</v></cell><cell r="AF6199"><v>3654128</v></cell><cell r="AG6199" t="str"><v>Facebook»Developers-Azure Direct-Sponsored Post_Trial_PayGo-Video Ad-Free Account Developer - Generic»1x1»30s»SOC»ALL»CPC»LAL»D»UNK»SS»NA»Trials</v></cell><cell r="AH6199"><v>226359953</v></cell><cell r="AI6199" t="str"><v>AZR_FreeAcctDeveloperFB-AnimatedGeneric-Ch1_FRA_1200x1200_VIA_AZRDirect_French_NA_Facebook_STAN_LEA_T1_1</v></cell><cell r="AJ6199"><v>104537129</v></cell></row><row r="6200"><cell r="C6200" t="str"><v>43326Facebook»Developers/ITPros-Azure Direct-Sponsored Post-Canvas-FBCTCcanvaspage-StartFreeCTA-Img2_FBCTCBasicMotion_FRA_10sec»1x1»Canvas»SOC»ALL»CPC»BT»D»UNK»SS»NA»Trials</v></cell><cell r="D6200" t="str"><v>43326224560884</v></cell><cell r="E6200" t="str"><v>43326103259958Trials</v></cell><cell r="F6200" t="str"><v>DCM</v></cell><cell r="G6200" t="str"><v>https://signup.azure.com/signup?offer=ms-azr-0044p&appId=102&ref=paidmedia-social-fb&redirectURL=https%3a%2f%2fazure.microsoft.com%2ffr-fr%2fget-started%2fwelcome-to-azure%2f&l=fr-fr&correlationId=ead86c34-1f10-49dd-a72b-6918462a2cbf</v></cell></row><row r="6200"><cell r="K6200" t="str"><v>August</v></cell><cell r="L6200"><v>43330</v></cell><cell r="M6200" t="str"><v>Tier 1</v></cell><cell r="N6200" t="str"><v>EMEA</v></cell><cell r="O6200" t="str"><v>France</v></cell><cell r="P6200" t="str"><v>Trial</v></cell><cell r="Q6200" t="str"><v>Social</v></cell><cell r="R6200" t="str"><v>Azure</v></cell><cell r="S6200" t="str"><v>Apps & Infra</v></cell><cell r="T6200" t="str"><v>Developers & ITI's</v></cell><cell r="U6200" t="str"><v>Developers/ITPros-Azure Direct-Sponsored Post-Canvas-FBCTCcanvaspage-StartFreeCTA-Img2_FBCTCBasicMotion_FRA_10sec</v></cell><cell r="V6200" t="str"><v>Behavioral Targeting</v></cell><cell r="W6200" t="str"><v>Social</v></cell><cell r="X6200" t="str"><v>1x1</v></cell></row><row r="6200"><cell r="AA6200"><v>43326</v></cell><cell r="AB6200" t="str"><v>FRA_gaPMG_AZR_AZR_Q1_19_AzureDirect-Trial-Social</v></cell><cell r="AC6200"><v>21356941</v></cell><cell r="AD6200"><v>720193</v></cell><cell r="AE6200" t="str"><v>Facebook</v></cell><cell r="AF6200"><v>3654128</v></cell><cell r="AG6200" t="str"><v>Facebook»Developers/ITPros-Azure Direct-Sponsored Post-Canvas-FBCTCcanvaspage-StartFreeCTA-Img2_FBCTCBasicMotion_FRA_10sec»1x1»Canvas»SOC»ALL»CPC»BT»D»UNK»SS»NA»Trials</v></cell><cell r="AH6200"><v>224560884</v></cell><cell r="AI6200" t="str"><v>AZR_FBCTCcanvaspage-StartFreeCTA-Img2_FRA_1080x143_SOC_AZRDirect_French_NA_Facebook_SBAN_BN_T2_1</v></cell><cell r="AJ6200"><v>103259958</v></cell></row><row r="6201"><cell r="C6201" t="str"><v>43326Facebook»Developers/ITPros-Azure Direct-Sponsored Post-Canvas-FBCTCcanvaspage-StartFreeCTA-Img2_FBCTCBrandinMotion_FRA_14sec»1x1»Canvas»SOC»ALL»CPC»BT»D»UNK»SS»NA»Trials</v></cell><cell r="D6201" t="str"><v>43326224560872</v></cell><cell r="E6201" t="str"><v>43326103259958Trials</v></cell><cell r="F6201" t="str"><v>DCM</v></cell><cell r="G6201" t="str"><v>https://signup.azure.com/signup?offer=ms-azr-0044p&appId=102&ref=paidmedia-social-fb&redirectURL=https%3a%2f%2fazure.microsoft.com%2ffr-fr%2fget-started%2fwelcome-to-azure%2f&l=fr-fr&correlationId=ead86c34-1f10-49dd-a72b-6918462a2cbf</v></cell></row><row r="6201"><cell r="K6201" t="str"><v>August</v></cell><cell r="L6201"><v>43330</v></cell><cell r="M6201" t="str"><v>Tier 1</v></cell><cell r="N6201" t="str"><v>EMEA</v></cell><cell r="O6201" t="str"><v>France</v></cell><cell r="P6201" t="str"><v>Trial</v></cell><cell r="Q6201" t="str"><v>Social</v></cell><cell r="R6201" t="str"><v>Azure</v></cell><cell r="S6201" t="str"><v>Apps & Infra</v></cell><cell r="T6201" t="str"><v>Developers & ITI's</v></cell><cell r="U6201" t="str"><v>Developers/ITPros-Azure Direct-Sponsored Post-Canvas-FBCTCcanvaspage-StartFreeCTA-Img2_FBCTCBrandinMotion_FRA_14sec</v></cell><cell r="V6201" t="str"><v>Behavioral Targeting</v></cell><cell r="W6201" t="str"><v>Social</v></cell><cell r="X6201" t="str"><v>1x1</v></cell></row><row r="6201"><cell r="AA6201"><v>43326</v></cell><cell r="AB6201" t="str"><v>FRA_gaPMG_AZR_AZR_Q1_19_AzureDirect-Trial-Social</v></cell><cell r="AC6201"><v>21356941</v></cell><cell r="AD6201"><v>720193</v></cell><cell r="AE6201" t="str"><v>Facebook</v></cell><cell r="AF6201"><v>3654128</v></cell><cell r="AG6201" t="str"><v>Facebook»Developers/ITPros-Azure Direct-Sponsored Post-Canvas-FBCTCcanvaspage-StartFreeCTA-Img2_FBCTCBrandinMotion_FRA_14sec»1x1»Canvas»SOC»ALL»CPC»BT»D»UNK»SS»NA»Trials</v></cell><cell r="AH6201"><v>224560872</v></cell><cell r="AI6201" t="str"><v>AZR_FBCTCcanvaspage-StartFreeCTA-Img2_FRA_1080x143_SOC_AZRDirect_French_NA_Facebook_SBAN_BN_T2_1</v></cell><cell r="AJ6201"><v>103259958</v></cell></row><row r="6202"><cell r="C6202" t="str"><v>43326Facebook»Developers/ITPros-Azure Direct-Sponsored Post-Link Ad-FreeAcctRetargetingFB-GlobalAlt-ChB»1x1»SocialBan»SOC»ALL»CPC»BT»D»UNK»SS»NA»Trials</v></cell><cell r="D6202" t="str"><v>43326224560845</v></cell><cell r="E6202" t="str"><v>43326103259520Trials</v></cell><cell r="F6202" t="str"><v>DCM</v></cell><cell r="G6202" t="str"><v>https://azure.microsoft.com/fr-fr/free/search/</v></cell></row><row r="6202"><cell r="K6202" t="str"><v>August</v></cell><cell r="L6202"><v>43330</v></cell><cell r="M6202" t="str"><v>Tier 1</v></cell><cell r="N6202" t="str"><v>EMEA</v></cell><cell r="O6202" t="str"><v>France</v></cell><cell r="P6202" t="str"><v>Trial</v></cell><cell r="Q6202" t="str"><v>Social</v></cell><cell r="R6202" t="str"><v>Azure</v></cell><cell r="S6202" t="str"><v>Apps & Infra</v></cell><cell r="T6202" t="str"><v>Developers & ITI's</v></cell><cell r="U6202" t="str"><v>Developers/ITPros-Azure Direct-Sponsored Post-Link Ad-FreeAcctRetargetingFB-GlobalAlt-ChB</v></cell><cell r="V6202" t="str"><v>Behavioral Targeting</v></cell><cell r="W6202" t="str"><v>Social</v></cell><cell r="X6202" t="str"><v>1x1</v></cell></row><row r="6202"><cell r="AA6202"><v>43326</v></cell><cell r="AB6202" t="str"><v>FRA_gaPMG_AZR_AZR_Q1_19_AzureDirect-Trial-Social</v></cell><cell r="AC6202"><v>21356941</v></cell><cell r="AD6202"><v>720193</v></cell><cell r="AE6202" t="str"><v>Facebook</v></cell><cell r="AF6202"><v>3654128</v></cell><cell r="AG6202" t="str"><v>Facebook»Developers/ITPros-Azure Direct-Sponsored Post-Link Ad-FreeAcctRetargetingFB-GlobalAlt-ChB»1x1»SocialBan»SOC»ALL»CPC»BT»D»UNK»SS»NA»Trials</v></cell><cell r="AH6202"><v>224560845</v></cell><cell r="AI6202" t="str"><v>AZR_FreeAcctRetargetingFB-GlobalAlt-ChB_FRA_1200x628_SOC_AZRDirect_French_NA_Facebook_SBAN_SINU_T2_1</v></cell><cell r="AJ6202"><v>103259520</v></cell></row><row r="6203"><cell r="C6203" t="str"><v>43326Facebook»Developers/ITPros-Azure Direct-Sponsored Post-Video Ad-FBCTCBasicMotion_FRA_10s_RTG Landing Page»1x1»05s»SOC»ALL»CPC»BT»D»UNK»SS»NA»Trials</v></cell><cell r="D6203" t="str"><v>43326224416915</v></cell><cell r="E6203" t="str"><v>43326103376981Trials</v></cell><cell r="F6203" t="str"><v>DCM</v></cell></row><row r="6203"><cell r="K6203" t="str"><v>August</v></cell><cell r="L6203"><v>43330</v></cell><cell r="M6203" t="str"><v>Tier 1</v></cell><cell r="N6203" t="str"><v>EMEA</v></cell><cell r="O6203" t="str"><v>France</v></cell><cell r="P6203" t="str"><v>Trial</v></cell><cell r="Q6203" t="str"><v>Social</v></cell><cell r="R6203" t="str"><v>Azure</v></cell><cell r="S6203" t="str"><v>Apps & Infra</v></cell><cell r="T6203" t="str"><v>Developers & ITI's</v></cell><cell r="U6203" t="str"><v>Developers/ITPros-Azure Direct-Sponsored Post-Video Ad-FBCTCBasicMotion_FRA_10s_RTG Landing Page</v></cell><cell r="V6203" t="str"><v>Behavioral Targeting</v></cell><cell r="W6203" t="str"><v>Social</v></cell><cell r="X6203" t="str"><v>1x1</v></cell></row><row r="6203"><cell r="AA6203"><v>43326</v></cell><cell r="AB6203" t="str"><v>FRA_gaPMG_AZR_AZR_Q1_19_AzureDirect-Trial-Social</v></cell><cell r="AC6203"><v>21356941</v></cell><cell r="AD6203"><v>720193</v></cell><cell r="AE6203" t="str"><v>Facebook</v></cell><cell r="AF6203"><v>3654128</v></cell><cell r="AG6203" t="str"><v>Facebook»Developers/ITPros-Azure Direct-Sponsored Post-Video Ad-FBCTCBasicMotion_FRA_10s_RTG Landing Page»1x1»05s»SOC»ALL»CPC»BT»D»UNK»SS»NA»Trials</v></cell><cell r="AH6203"><v>224416915</v></cell><cell r="AI6203" t="str"><v>AZR_FBCTCBasicMotion_FRA_10s_VIA_AZRDirect_French_NA_Facebook_STAN_TIN_T1_1</v></cell><cell r="AJ6203"><v>103376981</v></cell></row><row r="6204"><cell r="C6204" t="str"><v>43326Facebook»Developers/ITPros-Azure Direct-Sponsored Post-Video Ad-FBCTCBenefit2inMotion_FRA_14s_RTG Landing Page»1x1»06s»SOC»ALL»CPC»BT»D»UNK»SS»NA»Trials</v></cell><cell r="D6204" t="str"><v>43326224560875</v></cell><cell r="E6204" t="str"><v>43326103259766Trials</v></cell><cell r="F6204" t="str"><v>DCM</v></cell><cell r="G6204" t="str"><v>https://signup.azure.com/signup?offer=ms-azr-0044p&appId=102&ref=paidmedia-social-fb&redirectURL=https:%2F%2Fazure.microsoft.com%2Ffr-fr%2Fget-started%2Fwelcome-to-azure%2F&l=fr-fr&correlationId=ead86c34-1f10-49dd-a72b-6918462a2cbf</v></cell></row><row r="6204"><cell r="K6204" t="str"><v>August</v></cell><cell r="L6204"><v>43330</v></cell><cell r="M6204" t="str"><v>Tier 1</v></cell><cell r="N6204" t="str"><v>EMEA</v></cell><cell r="O6204" t="str"><v>France</v></cell><cell r="P6204" t="str"><v>Trial</v></cell><cell r="Q6204" t="str"><v>Social</v></cell><cell r="R6204" t="str"><v>Azure</v></cell><cell r="S6204" t="str"><v>Apps & Infra</v></cell><cell r="T6204" t="str"><v>Developers & ITI's</v></cell><cell r="U6204" t="str"><v>Developers/ITPros-Azure Direct-Sponsored Post-Video Ad-FBCTCBenefit2inMotion_FRA_14s_RTG Landing Page</v></cell><cell r="V6204" t="str"><v>Behavioral Targeting</v></cell><cell r="W6204" t="str"><v>Social</v></cell><cell r="X6204" t="str"><v>1x1</v></cell></row><row r="6204"><cell r="AA6204"><v>43326</v></cell><cell r="AB6204" t="str"><v>FRA_gaPMG_AZR_AZR_Q1_19_AzureDirect-Trial-Social</v></cell><cell r="AC6204"><v>21356941</v></cell><cell r="AD6204"><v>720193</v></cell><cell r="AE6204" t="str"><v>Facebook</v></cell><cell r="AF6204"><v>3654128</v></cell><cell r="AG6204" t="str"><v>Facebook»Developers/ITPros-Azure Direct-Sponsored Post-Video Ad-FBCTCBenefit2inMotion_FRA_14s_RTG Landing Page»1x1»06s»SOC»ALL»CPC»BT»D»UNK»SS»NA»Trials</v></cell><cell r="AH6204"><v>224560875</v></cell><cell r="AI6204" t="str"><v>AZR_FBCTCBenefit2inMotion_FRA_14s_VIA_AZRDirect_French_NA_Facebook_STAN_TIN_T4_1</v></cell><cell r="AJ6204"><v>103259766</v></cell></row><row r="6205"><cell r="C6205" t="str"><v>43326Facebook»Developers/ITPros-Azure Direct-Sponsored Post-Video Ad-FBCTCBrandinMotion_FRA_12s_RTG Landing Page»1x1»05s»SOC»ALL»CPC»BT»D»UNK»SS»NA»Trials</v></cell><cell r="D6205" t="str"><v>43326224560863</v></cell><cell r="E6205" t="str"><v>43326103256577Trials</v></cell><cell r="F6205" t="str"><v>DCM</v></cell></row><row r="6205"><cell r="K6205" t="str"><v>August</v></cell><cell r="L6205"><v>43330</v></cell><cell r="M6205" t="str"><v>Tier 1</v></cell><cell r="N6205" t="str"><v>EMEA</v></cell><cell r="O6205" t="str"><v>France</v></cell><cell r="P6205" t="str"><v>Trial</v></cell><cell r="Q6205" t="str"><v>Social</v></cell><cell r="R6205" t="str"><v>Azure</v></cell><cell r="S6205" t="str"><v>Apps & Infra</v></cell><cell r="T6205" t="str"><v>Developers & ITI's</v></cell><cell r="U6205" t="str"><v>Developers/ITPros-Azure Direct-Sponsored Post-Video Ad-FBCTCBrandinMotion_FRA_12s_RTG Landing Page</v></cell><cell r="V6205" t="str"><v>Behavioral Targeting</v></cell><cell r="W6205" t="str"><v>Social</v></cell><cell r="X6205" t="str"><v>1x1</v></cell></row><row r="6205"><cell r="AA6205"><v>43326</v></cell><cell r="AB6205" t="str"><v>FRA_gaPMG_AZR_AZR_Q1_19_AzureDirect-Trial-Social</v></cell><cell r="AC6205"><v>21356941</v></cell><cell r="AD6205"><v>720193</v></cell><cell r="AE6205" t="str"><v>Facebook</v></cell><cell r="AF6205"><v>3654128</v></cell><cell r="AG6205" t="str"><v>Facebook»Developers/ITPros-Azure Direct-Sponsored Post-Video Ad-FBCTCBrandinMotion_FRA_12s_RTG Landing Page»1x1»05s»SOC»ALL»CPC»BT»D»UNK»SS»NA»Trials</v></cell><cell r="AH6205"><v>224560863</v></cell><cell r="AI6205" t="str"><v>AZR_FBCTCBrandinMotion_FRA_12s_VIA_AZRDirect_French_NA_Facebook_STAN_TIN_T2_1</v></cell><cell r="AJ6205"><v>103256577</v></cell></row><row r="6206"><cell r="C6206" t="str"><v>43326Facebook»Developers/ITPros-Azure Direct-Sponsored Post_Trial-Link Ad-FreeAcctRetargetingVMFB-750Hrs-ChD CanvasOpener»1x1»SocialBan»SOC»ALL»CPC»LAL»D»UNK»SS»NA»Trials</v></cell><cell r="D6206" t="str"><v>43326226496098</v></cell><cell r="E6206" t="str"><v>43326103259010Trials</v></cell><cell r="F6206" t="str"><v>DCM</v></cell><cell r="G6206" t="str"><v>https://azure.microsoft.com/fr-fr/free/virtual-machines/search/</v></cell></row><row r="6206"><cell r="K6206" t="str"><v>August</v></cell><cell r="L6206"><v>43330</v></cell><cell r="M6206" t="str"><v>Tier 1</v></cell><cell r="N6206" t="str"><v>EMEA</v></cell><cell r="O6206" t="str"><v>France</v></cell><cell r="P6206" t="str"><v>Trial</v></cell><cell r="Q6206" t="str"><v>Social</v></cell><cell r="R6206" t="str"><v>Azure</v></cell><cell r="S6206" t="str"><v>Apps & Infra</v></cell><cell r="T6206" t="str"><v>Developers & ITI's</v></cell><cell r="U6206" t="str"><v>Developers/ITPros-Azure Direct-Sponsored Post_Trial-Link Ad-FreeAcctRetargetingVMFB-750Hrs-ChD CanvasOpener</v></cell><cell r="V6206" t="str"><v>Lookalike Targeting</v></cell><cell r="W6206" t="str"><v>Social</v></cell><cell r="X6206" t="str"><v>1x1</v></cell></row><row r="6206"><cell r="AA6206"><v>43326</v></cell><cell r="AB6206" t="str"><v>FRA_gaPMG_AZR_AZR_Q1_19_AzureDirect-Trial-Social</v></cell><cell r="AC6206"><v>21356941</v></cell><cell r="AD6206"><v>720193</v></cell><cell r="AE6206" t="str"><v>Facebook</v></cell><cell r="AF6206"><v>3654128</v></cell><cell r="AG6206" t="str"><v>Facebook»Developers/ITPros-Azure Direct-Sponsored Post_Trial-Link Ad-FreeAcctRetargetingVMFB-750Hrs-ChD CanvasOpener»1x1»SocialBan»SOC»ALL»CPC»LAL»D»UNK»SS»NA»Trials</v></cell><cell r="AH6206"><v>226496098</v></cell><cell r="AI6206" t="str"><v>AZR_FreeAcctRetargetingVMFB-750Hrs-ChD_FRA_1200x628_SOC_AZRDirect_French_NA_Facebook_SBAN_SINU_T1_1</v></cell><cell r="AJ6206"><v>103259010</v></cell></row><row r="6207"><cell r="C6207" t="str"><v>43326Facebook»ITPros-Azure Direct-Sponsored Post-Video Ad-Free Account IT Pro - Migration»1x1»30s»SOC»ALL»CPC»AUT»D»UNK»SS»NA»Trials</v></cell><cell r="D6207" t="str"><v>43326226360010</v></cell><cell r="E6207" t="str"><v>43326104458003Trials</v></cell><cell r="F6207" t="str"><v>DCM</v></cell><cell r="G6207" t="str"><v>https://signup.azure.com/signup?offer=ms-azr-0044p&appId=102&ref=paidmedia-social-fb&redirectURL=https%3a%2f%2fazure.microsoft.com%2ffr-fr%2fget-started%2fwelcome-to-azure%2f&l=fr-fr&correlationId=ead86c34-1f10-49dd-a72b-6918462a2cbf</v></cell></row><row r="6207"><cell r="K6207" t="str"><v>August</v></cell><cell r="L6207"><v>43330</v></cell><cell r="M6207" t="str"><v>Tier 1</v></cell><cell r="N6207" t="str"><v>EMEA</v></cell><cell r="O6207" t="str"><v>France</v></cell><cell r="P6207" t="str"><v>Trial</v></cell><cell r="Q6207" t="str"><v>Social</v></cell><cell r="R6207" t="str"><v>Azure</v></cell><cell r="S6207" t="str"><v>Apps & Infra</v></cell><cell r="T6207" t="str"><v>Developers & ITI's</v></cell><cell r="U6207" t="str"><v>ITPros-Azure Direct-Sponsored Post-Video Ad-Free Account IT Pro - Migration</v></cell><cell r="V6207" t="str"><v>Audience Targeting</v></cell><cell r="W6207" t="str"><v>Social</v></cell><cell r="X6207" t="str"><v>1x1</v></cell></row><row r="6207"><cell r="AA6207"><v>43326</v></cell><cell r="AB6207" t="str"><v>FRA_gaPMG_AZR_AZR_Q1_19_AzureDirect-Trial-Social</v></cell><cell r="AC6207"><v>21356941</v></cell><cell r="AD6207"><v>720193</v></cell><cell r="AE6207" t="str"><v>Facebook</v></cell><cell r="AF6207"><v>3654128</v></cell><cell r="AG6207" t="str"><v>Facebook»ITPros-Azure Direct-Sponsored Post-Video Ad-Free Account IT Pro - Migration»1x1»30s»SOC»ALL»CPC»AUT»D»UNK»SS»NA»Trials</v></cell><cell r="AH6207"><v>226360010</v></cell><cell r="AI6207" t="str"><v>AZR_FreeAcctITProFB-AnimatedMigration-Ch3_FRA_1200x1200_VIA_AZRDirect_French_NA_Facebook_STAN_LEA_T3_1</v></cell><cell r="AJ6207"><v>104458003</v></cell></row><row r="6208"><cell r="C6208" t="str"><v>43326Facebook»ITPros-Azure Direct-Sponsored Post_Trial_PayGo-Video Ad-Free Account IT Pro - Hybrid»1x1»30s»SOC»ALL»CPC»LAL»D»UNK»SS»NA»Trials</v></cell><cell r="D6208" t="str"><v>43326226359938</v></cell><cell r="E6208" t="str"><v>43326104456278Trials</v></cell><cell r="F6208" t="str"><v>DCM</v></cell><cell r="G6208" t="str"><v>https://signup.azure.com/signup?offer=ms-azr-0044p&appId=102&ref=paidmedia-social-fb&redirectURL=https%3a%2f%2fazure.microsoft.com%2ffr-fr%2fget-started%2fwelcome-to-azure%2f&l=fr-fr&correlationId=ead86c34-1f10-49dd-a72b-6918462a2cbf</v></cell></row><row r="6208"><cell r="K6208" t="str"><v>August</v></cell><cell r="L6208"><v>43330</v></cell><cell r="M6208" t="str"><v>Tier 1</v></cell><cell r="N6208" t="str"><v>EMEA</v></cell><cell r="O6208" t="str"><v>France</v></cell><cell r="P6208" t="str"><v>Trial</v></cell><cell r="Q6208" t="str"><v>Social</v></cell><cell r="R6208" t="str"><v>Azure</v></cell><cell r="S6208" t="str"><v>Apps & Infra</v></cell><cell r="T6208" t="str"><v>Developers & ITI's</v></cell><cell r="U6208" t="str"><v>ITPros-Azure Direct-Sponsored Post_Trial_PayGo-Video Ad-Free Account IT Pro - Hybrid</v></cell><cell r="V6208" t="str"><v>Lookalike Targeting</v></cell><cell r="W6208" t="str"><v>Social</v></cell><cell r="X6208" t="str"><v>1x1</v></cell></row><row r="6208"><cell r="AA6208"><v>43326</v></cell><cell r="AB6208" t="str"><v>FRA_gaPMG_AZR_AZR_Q1_19_AzureDirect-Trial-Social</v></cell><cell r="AC6208"><v>21356941</v></cell><cell r="AD6208"><v>720193</v></cell><cell r="AE6208" t="str"><v>Facebook</v></cell><cell r="AF6208"><v>3654128</v></cell><cell r="AG6208" t="str"><v>Facebook»ITPros-Azure Direct-Sponsored Post_Trial_PayGo-Video Ad-Free Account IT Pro - Hybrid»1x1»30s»SOC»ALL»CPC»LAL»D»UNK»SS»NA»Trials</v></cell><cell r="AH6208"><v>226359938</v></cell><cell r="AI6208" t="str"><v>AZR_FreeAcctITProFB-AnimatedHybrid-Ch2_FRA_1200x1200_VIA_AZRDirect_French_NA_Facebook_STAN_LEA_T2_1</v></cell><cell r="AJ6208"><v>104456278</v></cell></row><row r="6209"><cell r="C6209" t="str"><v>43326Facebook»Developers-Azure Direct-Sponsored Post-Video Ad-Free Account Developer - AI»1x1»30s»SOC»ALL»CPC»BT»D»UNK»SS»NA»Trials</v></cell><cell r="D6209" t="str"><v>43326226360034</v></cell><cell r="E6209" t="str"><v>43326104537813Trials</v></cell><cell r="F6209" t="str"><v>DCM</v></cell><cell r="G6209" t="str"><v>https://signup.azure.com/signup?offer=ms-azr-0044p&appId=102&ref=paidmedia-social-fb&redirectURL=https%3a%2f%2fazure.microsoft.com%2ffr-fr%2fget-started%2fwelcome-to-azure%2f&l=fr-fr&correlationId=ead86c34-1f10-49dd-a72b-6918462a2cbf</v></cell></row><row r="6209"><cell r="K6209" t="str"><v>August</v></cell><cell r="L6209"><v>43330</v></cell><cell r="M6209" t="str"><v>Tier 1</v></cell><cell r="N6209" t="str"><v>EMEA</v></cell><cell r="O6209" t="str"><v>France</v></cell><cell r="P6209" t="str"><v>Trial</v></cell><cell r="Q6209" t="str"><v>Social</v></cell><cell r="R6209" t="str"><v>Azure</v></cell><cell r="S6209" t="str"><v>Apps & Infra</v></cell><cell r="T6209" t="str"><v>Developers & ITI's</v></cell><cell r="U6209" t="str"><v>Developers-Azure Direct-Sponsored Post-Video Ad-Free Account Developer - AI</v></cell><cell r="V6209" t="str"><v>Behavioral Targeting</v></cell><cell r="W6209" t="str"><v>Social</v></cell><cell r="X6209" t="str"><v>1x1</v></cell></row><row r="6209"><cell r="AA6209"><v>43326</v></cell><cell r="AB6209" t="str"><v>FRA_gaPMG_AZR_AZR_Q1_19_AzureDirect-Trial-Social</v></cell><cell r="AC6209"><v>21356941</v></cell><cell r="AD6209"><v>720193</v></cell><cell r="AE6209" t="str"><v>Facebook</v></cell><cell r="AF6209"><v>3654128</v></cell><cell r="AG6209" t="str"><v>Facebook»Developers-Azure Direct-Sponsored Post-Video Ad-Free Account Developer - AI»1x1»30s»SOC»ALL»CPC»BT»D»UNK»SS»NA»Trials</v></cell><cell r="AH6209"><v>226360034</v></cell><cell r="AI6209" t="str"><v>AZR_FreeAcctDeveloperFB-AnimatedAI-Ch3_FRA_1200x1200_VIA_AZRDirect_French_NA_Facebook_STAN_LEA_T3_1</v></cell><cell r="AJ6209"><v>104537813</v></cell></row><row r="6210"><cell r="C6210" t="str"><v>43326Facebook»Developers-Azure Direct-Sponsored Post-Video Ad-Free Account Developer - Generic»1x1»30s»SOC»ALL»CPC»BT»D»UNK»SS»NA»Trials</v></cell><cell r="D6210" t="str"><v>43326226420298</v></cell><cell r="E6210" t="str"><v>43326104537129Trials</v></cell><cell r="F6210" t="str"><v>DCM</v></cell><cell r="G6210" t="str"><v>https://signup.azure.com/signup?offer=ms-azr-0044p&appId=102&ref=paidmedia-social-fb&redirectURL=https%3a%2f%2fazure.microsoft.com%2ffr-fr%2fget-started%2fwelcome-to-azure%2f&l=fr-fr&correlationId=ead86c34-1f10-49dd-a72b-6918462a2cbf</v></cell></row><row r="6210"><cell r="K6210" t="str"><v>August</v></cell><cell r="L6210"><v>43330</v></cell><cell r="M6210" t="str"><v>Tier 1</v></cell><cell r="N6210" t="str"><v>EMEA</v></cell><cell r="O6210" t="str"><v>France</v></cell><cell r="P6210" t="str"><v>Trial</v></cell><cell r="Q6210" t="str"><v>Social</v></cell><cell r="R6210" t="str"><v>Azure</v></cell><cell r="S6210" t="str"><v>Apps & Infra</v></cell><cell r="T6210" t="str"><v>Developers & ITI's</v></cell><cell r="U6210" t="str"><v>Developers-Azure Direct-Sponsored Post-Video Ad-Free Account Developer - Generic</v></cell><cell r="V6210" t="str"><v>Behavioral Targeting</v></cell><cell r="W6210" t="str"><v>Social</v></cell><cell r="X6210" t="str"><v>1x1</v></cell></row><row r="6210"><cell r="AA6210"><v>43326</v></cell><cell r="AB6210" t="str"><v>FRA_gaPMG_AZR_AZR_Q1_19_AzureDirect-Trial-Social</v></cell><cell r="AC6210"><v>21356941</v></cell><cell r="AD6210"><v>720193</v></cell><cell r="AE6210" t="str"><v>Facebook</v></cell><cell r="AF6210"><v>3654128</v></cell><cell r="AG6210" t="str"><v>Facebook»Developers-Azure Direct-Sponsored Post-Video Ad-Free Account Developer - Generic»1x1»30s»SOC»ALL»CPC»BT»D»UNK»SS»NA»Trials</v></cell><cell r="AH6210"><v>226420298</v></cell><cell r="AI6210" t="str"><v>AZR_FreeAcctDeveloperFB-AnimatedGeneric-Ch1_FRA_1200x1200_VIA_AZRDirect_French_NA_Facebook_STAN_LEA_T1_1</v></cell><cell r="AJ6210"><v>104537129</v></cell></row><row r="6211"><cell r="C6211" t="str"><v>43326Facebook»Developers-Azure Direct-Sponsored Post-Video Ad-Free Account Developer - Intelligent Data»1x1»30s»SOC»ALL»CPC»BT»D»UNK»SS»NA»Trials</v></cell><cell r="D6211" t="str"><v>43326226360028</v></cell><cell r="E6211" t="str"><v>43326104537816Trials</v></cell><cell r="F6211" t="str"><v>DCM</v></cell><cell r="G6211" t="str"><v>https://signup.azure.com/signup?offer=ms-azr-0044p&appId=102&ref=paidmedia-social-fb&redirectURL=https%3a%2f%2fazure.microsoft.com%2ffr-fr%2fget-started%2fwelcome-to-azure%2f&l=fr-fr&correlationId=ead86c34-1f10-49dd-a72b-6918462a2cbf</v></cell></row><row r="6211"><cell r="K6211" t="str"><v>August</v></cell><cell r="L6211"><v>43330</v></cell><cell r="M6211" t="str"><v>Tier 1</v></cell><cell r="N6211" t="str"><v>EMEA</v></cell><cell r="O6211" t="str"><v>France</v></cell><cell r="P6211" t="str"><v>Trial</v></cell><cell r="Q6211" t="str"><v>Social</v></cell><cell r="R6211" t="str"><v>Azure</v></cell><cell r="S6211" t="str"><v>Apps & Infra</v></cell><cell r="T6211" t="str"><v>Developers & ITI's</v></cell><cell r="U6211" t="str"><v>Developers-Azure Direct-Sponsored Post-Video Ad-Free Account Developer - Intelligent Data</v></cell><cell r="V6211" t="str"><v>Behavioral Targeting</v></cell><cell r="W6211" t="str"><v>Social</v></cell><cell r="X6211" t="str"><v>1x1</v></cell></row><row r="6211"><cell r="AA6211"><v>43326</v></cell><cell r="AB6211" t="str"><v>FRA_gaPMG_AZR_AZR_Q1_19_AzureDirect-Trial-Social</v></cell><cell r="AC6211"><v>21356941</v></cell><cell r="AD6211"><v>720193</v></cell><cell r="AE6211" t="str"><v>Facebook</v></cell><cell r="AF6211"><v>3654128</v></cell><cell r="AG6211" t="str"><v>Facebook»Developers-Azure Direct-Sponsored Post-Video Ad-Free Account Developer - Intelligent Data»1x1»30s»SOC»ALL»CPC»BT»D»UNK»SS»NA»Trials</v></cell><cell r="AH6211"><v>226360028</v></cell><cell r="AI6211" t="str"><v>AZR_FreeAcctDeveloperFB-AnimatedData-Ch4_FRA_1200x1200_VIA_AZRDirect_French_NA_Facebook_STAN_LEA_T4_1</v></cell><cell r="AJ6211"><v>104537816</v></cell></row><row r="6212"><cell r="C6212" t="str"><v>43326Facebook»Developers-Azure Direct-Sponsored Post-Video Ad-Free Account Developer - Open Source»1x1»30s»SOC»ALL»CPC»BT»D»UNK»SS»NA»Trials</v></cell><cell r="D6212" t="str"><v>43326226360040</v></cell><cell r="E6212" t="str"><v>43326104537132Trials</v></cell><cell r="F6212" t="str"><v>DCM</v></cell><cell r="G6212" t="str"><v>https://signup.azure.com/signup?offer=ms-azr-0044p&appId=102&ref=paidmedia-social-fb&redirectURL=https%3a%2f%2fazure.microsoft.com%2ffr-fr%2fget-started%2fwelcome-to-azure%2f&l=fr-fr&correlationId=ead86c34-1f10-49dd-a72b-6918462a2cbf</v></cell></row><row r="6212"><cell r="K6212" t="str"><v>August</v></cell><cell r="L6212"><v>43330</v></cell><cell r="M6212" t="str"><v>Tier 1</v></cell><cell r="N6212" t="str"><v>EMEA</v></cell><cell r="O6212" t="str"><v>France</v></cell><cell r="P6212" t="str"><v>Trial</v></cell><cell r="Q6212" t="str"><v>Social</v></cell><cell r="R6212" t="str"><v>Azure</v></cell><cell r="S6212" t="str"><v>Apps & Infra</v></cell><cell r="T6212" t="str"><v>Developers & ITI's</v></cell><cell r="U6212" t="str"><v>Developers-Azure Direct-Sponsored Post-Video Ad-Free Account Developer - Open Source</v></cell><cell r="V6212" t="str"><v>Behavioral Targeting</v></cell><cell r="W6212" t="str"><v>Social</v></cell><cell r="X6212" t="str"><v>1x1</v></cell></row><row r="6212"><cell r="AA6212"><v>43326</v></cell><cell r="AB6212" t="str"><v>FRA_gaPMG_AZR_AZR_Q1_19_AzureDirect-Trial-Social</v></cell><cell r="AC6212"><v>21356941</v></cell><cell r="AD6212"><v>720193</v></cell><cell r="AE6212" t="str"><v>Facebook</v></cell><cell r="AF6212"><v>3654128</v></cell><cell r="AG6212" t="str"><v>Facebook»Developers-Azure Direct-Sponsored Post-Video Ad-Free Account Developer - Open Source»1x1»30s»SOC»ALL»CPC»BT»D»UNK»SS»NA»Trials</v></cell><cell r="AH6212"><v>226360040</v></cell><cell r="AI6212" t="str"><v>AZR_FreeAcctDeveloperFB-AnimatedOpenSource-Ch2_FRA_1200x1200_VIA_AZRDirect_French_NA_Facebook_STAN_LEA_T2_1</v></cell><cell r="AJ6212"><v>104537132</v></cell></row><row r="6213"><cell r="C6213" t="str"><v>43326Facebook»Developers-Azure Direct-Sponsored Post_Trial-Video Ad-Free Account Developer - AI»1x1»30s»SOC»ALL»CPC»LAL»D»UNK»SS»NA»Trials</v></cell><cell r="D6213" t="str"><v>43326226360019</v></cell><cell r="E6213" t="str"><v>43326104537813Trials</v></cell><cell r="F6213" t="str"><v>DCM</v></cell><cell r="G6213" t="str"><v>https://signup.azure.com/signup?offer=ms-azr-0044p&appId=102&ref=paidmedia-social-fb&redirectURL=https%3a%2f%2fazure.microsoft.com%2ffr-fr%2fget-started%2fwelcome-to-azure%2f&l=fr-fr&correlationId=ead86c34-1f10-49dd-a72b-6918462a2cbf</v></cell></row><row r="6213"><cell r="K6213" t="str"><v>August</v></cell><cell r="L6213"><v>43330</v></cell><cell r="M6213" t="str"><v>Tier 1</v></cell><cell r="N6213" t="str"><v>EMEA</v></cell><cell r="O6213" t="str"><v>France</v></cell><cell r="P6213" t="str"><v>Trial</v></cell><cell r="Q6213" t="str"><v>Social</v></cell><cell r="R6213" t="str"><v>Azure</v></cell><cell r="S6213" t="str"><v>Apps & Infra</v></cell><cell r="T6213" t="str"><v>Developers & ITI's</v></cell><cell r="U6213" t="str"><v>Developers-Azure Direct-Sponsored Post_Trial-Video Ad-Free Account Developer - AI</v></cell><cell r="V6213" t="str"><v>Lookalike Targeting</v></cell><cell r="W6213" t="str"><v>Social</v></cell><cell r="X6213" t="str"><v>1x1</v></cell></row><row r="6213"><cell r="AA6213"><v>43326</v></cell><cell r="AB6213" t="str"><v>FRA_gaPMG_AZR_AZR_Q1_19_AzureDirect-Trial-Social</v></cell><cell r="AC6213"><v>21356941</v></cell><cell r="AD6213"><v>720193</v></cell><cell r="AE6213" t="str"><v>Facebook</v></cell><cell r="AF6213"><v>3654128</v></cell><cell r="AG6213" t="str"><v>Facebook»Developers-Azure Direct-Sponsored Post_Trial-Video Ad-Free Account Developer - AI»1x1»30s»SOC»ALL»CPC»LAL»D»UNK»SS»NA»Trials</v></cell><cell r="AH6213"><v>226360019</v></cell><cell r="AI6213" t="str"><v>AZR_FreeAcctDeveloperFB-AnimatedAI-Ch3_FRA_1200x1200_VIA_AZRDirect_French_NA_Facebook_STAN_LEA_T3_1</v></cell><cell r="AJ6213"><v>104537813</v></cell></row><row r="6214"><cell r="C6214" t="str"><v>43326Facebook»Developers-Azure Direct-Sponsored Post_Trial-Video Ad-Free Account Developer - Generic»1x1»30s»SOC»ALL»CPC»LAL»D»UNK»SS»NA»Trials</v></cell><cell r="D6214" t="str"><v>43326226360031</v></cell><cell r="E6214" t="str"><v>43326104537129Trials</v></cell><cell r="F6214" t="str"><v>DCM</v></cell><cell r="G6214" t="str"><v>https://signup.azure.com/signup?offer=ms-azr-0044p&appId=102&ref=paidmedia-social-fb&redirectURL=https%3a%2f%2fazure.microsoft.com%2ffr-fr%2fget-started%2fwelcome-to-azure%2f&l=fr-fr&correlationId=ead86c34-1f10-49dd-a72b-6918462a2cbf</v></cell></row><row r="6214"><cell r="K6214" t="str"><v>August</v></cell><cell r="L6214"><v>43330</v></cell><cell r="M6214" t="str"><v>Tier 1</v></cell><cell r="N6214" t="str"><v>EMEA</v></cell><cell r="O6214" t="str"><v>France</v></cell><cell r="P6214" t="str"><v>Trial</v></cell><cell r="Q6214" t="str"><v>Social</v></cell><cell r="R6214" t="str"><v>Azure</v></cell><cell r="S6214" t="str"><v>Apps & Infra</v></cell><cell r="T6214" t="str"><v>Developers & ITI's</v></cell><cell r="U6214" t="str"><v>Developers-Azure Direct-Sponsored Post_Trial-Video Ad-Free Account Developer - Generic</v></cell><cell r="V6214" t="str"><v>Lookalike Targeting</v></cell><cell r="W6214" t="str"><v>Social</v></cell><cell r="X6214" t="str"><v>1x1</v></cell></row><row r="6214"><cell r="AA6214"><v>43326</v></cell><cell r="AB6214" t="str"><v>FRA_gaPMG_AZR_AZR_Q1_19_AzureDirect-Trial-Social</v></cell><cell r="AC6214"><v>21356941</v></cell><cell r="AD6214"><v>720193</v></cell><cell r="AE6214" t="str"><v>Facebook</v></cell><cell r="AF6214"><v>3654128</v></cell><cell r="AG6214" t="str"><v>Facebook»Developers-Azure Direct-Sponsored Post_Trial-Video Ad-Free Account Developer - Generic»1x1»30s»SOC»ALL»CPC»LAL»D»UNK»SS»NA»Trials</v></cell><cell r="AH6214"><v>226360031</v></cell><cell r="AI6214" t="str"><v>AZR_FreeAcctDeveloperFB-AnimatedGeneric-Ch1_FRA_1200x1200_VIA_AZRDirect_French_NA_Facebook_STAN_LEA_T1_1</v></cell><cell r="AJ6214"><v>104537129</v></cell></row><row r="6215"><cell r="C6215" t="str"><v>43326Facebook»Developers-Azure Direct-Sponsored Post_Trial-Video Ad-Free Account Developer - Intelligent Data»1x1»30s»SOC»ALL»CPC»LAL»D»UNK»SS»NA»Trials</v></cell><cell r="D6215" t="str"><v>43326226360013</v></cell><cell r="E6215" t="str"><v>43326104537816Trials</v></cell><cell r="F6215" t="str"><v>DCM</v></cell><cell r="G6215" t="str"><v>https://signup.azure.com/signup?offer=ms-azr-0044p&appId=102&ref=paidmedia-social-fb&redirectURL=https%3a%2f%2fazure.microsoft.com%2ffr-fr%2fget-started%2fwelcome-to-azure%2f&l=fr-fr&correlationId=ead86c34-1f10-49dd-a72b-6918462a2cbf</v></cell></row><row r="6215"><cell r="K6215" t="str"><v>August</v></cell><cell r="L6215"><v>43330</v></cell><cell r="M6215" t="str"><v>Tier 1</v></cell><cell r="N6215" t="str"><v>EMEA</v></cell><cell r="O6215" t="str"><v>France</v></cell><cell r="P6215" t="str"><v>Trial</v></cell><cell r="Q6215" t="str"><v>Social</v></cell><cell r="R6215" t="str"><v>Azure</v></cell><cell r="S6215" t="str"><v>Apps & Infra</v></cell><cell r="T6215" t="str"><v>Developers & ITI's</v></cell><cell r="U6215" t="str"><v>Developers-Azure Direct-Sponsored Post_Trial-Video Ad-Free Account Developer - Intelligent Data</v></cell><cell r="V6215" t="str"><v>Lookalike Targeting</v></cell><cell r="W6215" t="str"><v>Social</v></cell><cell r="X6215" t="str"><v>1x1</v></cell></row><row r="6215"><cell r="AA6215"><v>43326</v></cell><cell r="AB6215" t="str"><v>FRA_gaPMG_AZR_AZR_Q1_19_AzureDirect-Trial-Social</v></cell><cell r="AC6215"><v>21356941</v></cell><cell r="AD6215"><v>720193</v></cell><cell r="AE6215" t="str"><v>Facebook</v></cell><cell r="AF6215"><v>3654128</v></cell><cell r="AG6215" t="str"><v>Facebook»Developers-Azure Direct-Sponsored Post_Trial-Video Ad-Free Account Developer - Intelligent Data»1x1»30s»SOC»ALL»CPC»LAL»D»UNK»SS»NA»Trials</v></cell><cell r="AH6215"><v>226360013</v></cell><cell r="AI6215" t="str"><v>AZR_FreeAcctDeveloperFB-AnimatedData-Ch4_FRA_1200x1200_VIA_AZRDirect_French_NA_Facebook_STAN_LEA_T4_1</v></cell><cell r="AJ6215"><v>104537816</v></cell></row><row r="6216"><cell r="C6216" t="str"><v>43326Facebook»Developers-Azure Direct-Sponsored Post_Trial-Video Ad-Free Account Developer - Open Source»1x1»30s»SOC»ALL»CPC»LAL»D»UNK»SS»NA»Trials</v></cell><cell r="D6216" t="str"><v>43326226360025</v></cell><cell r="E6216" t="str"><v>43326104537132Trials</v></cell><cell r="F6216" t="str"><v>DCM</v></cell><cell r="G6216" t="str"><v>https://signup.azure.com/signup?offer=ms-azr-0044p&appId=102&ref=paidmedia-social-fb&redirectURL=https%3a%2f%2fazure.microsoft.com%2ffr-fr%2fget-started%2fwelcome-to-azure%2f&l=fr-fr&correlationId=ead86c34-1f10-49dd-a72b-6918462a2cbf</v></cell></row><row r="6216"><cell r="K6216" t="str"><v>August</v></cell><cell r="L6216"><v>43330</v></cell><cell r="M6216" t="str"><v>Tier 1</v></cell><cell r="N6216" t="str"><v>EMEA</v></cell><cell r="O6216" t="str"><v>France</v></cell><cell r="P6216" t="str"><v>Trial</v></cell><cell r="Q6216" t="str"><v>Social</v></cell><cell r="R6216" t="str"><v>Azure</v></cell><cell r="S6216" t="str"><v>Apps & Infra</v></cell><cell r="T6216" t="str"><v>Developers & ITI's</v></cell><cell r="U6216" t="str"><v>Developers-Azure Direct-Sponsored Post_Trial-Video Ad-Free Account Developer - Open Source</v></cell><cell r="V6216" t="str"><v>Lookalike Targeting</v></cell><cell r="W6216" t="str"><v>Social</v></cell><cell r="X6216" t="str"><v>1x1</v></cell></row><row r="6216"><cell r="AA6216"><v>43326</v></cell><cell r="AB6216" t="str"><v>FRA_gaPMG_AZR_AZR_Q1_19_AzureDirect-Trial-Social</v></cell><cell r="AC6216"><v>21356941</v></cell><cell r="AD6216"><v>720193</v></cell><cell r="AE6216" t="str"><v>Facebook</v></cell><cell r="AF6216"><v>3654128</v></cell><cell r="AG6216" t="str"><v>Facebook»Developers-Azure Direct-Sponsored Post_Trial-Video Ad-Free Account Developer - Open Source»1x1»30s»SOC»ALL»CPC»LAL»D»UNK»SS»NA»Trials</v></cell><cell r="AH6216"><v>226360025</v></cell><cell r="AI6216" t="str"><v>AZR_FreeAcctDeveloperFB-AnimatedOpenSource-Ch2_FRA_1200x1200_VIA_AZRDirect_French_NA_Facebook_STAN_LEA_T2_1</v></cell><cell r="AJ6216"><v>104537132</v></cell></row><row r="6217"><cell r="C6217" t="str"><v>43326Facebook»Developers-Azure Direct-Sponsored Post_Trial_PayGo-Video Ad-Free Account Developer - Open Source»1x1»30s»SOC»ALL»CPC»LAL»D»UNK»SS»NA»Trials</v></cell><cell r="D6217" t="str"><v>43326226359950</v></cell><cell r="E6217" t="str"><v>43326104537132Trials</v></cell><cell r="F6217" t="str"><v>DCM</v></cell><cell r="G6217" t="str"><v>https://signup.azure.com/signup?offer=ms-azr-0044p&appId=102&ref=paidmedia-social-fb&redirectURL=https%3a%2f%2fazure.microsoft.com%2ffr-fr%2fget-started%2fwelcome-to-azure%2f&l=fr-fr&correlationId=ead86c34-1f10-49dd-a72b-6918462a2cbf</v></cell></row><row r="6217"><cell r="K6217" t="str"><v>August</v></cell><cell r="L6217"><v>43330</v></cell><cell r="M6217" t="str"><v>Tier 1</v></cell><cell r="N6217" t="str"><v>EMEA</v></cell><cell r="O6217" t="str"><v>France</v></cell><cell r="P6217" t="str"><v>Trial</v></cell><cell r="Q6217" t="str"><v>Social</v></cell><cell r="R6217" t="str"><v>Azure</v></cell><cell r="S6217" t="str"><v>Apps & Infra</v></cell><cell r="T6217" t="str"><v>Developers & ITI's</v></cell><cell r="U6217" t="str"><v>Developers-Azure Direct-Sponsored Post_Trial_PayGo-Video Ad-Free Account Developer - Open Source</v></cell><cell r="V6217" t="str"><v>Lookalike Targeting</v></cell><cell r="W6217" t="str"><v>Social</v></cell><cell r="X6217" t="str"><v>1x1</v></cell></row><row r="6217"><cell r="AA6217"><v>43326</v></cell><cell r="AB6217" t="str"><v>FRA_gaPMG_AZR_AZR_Q1_19_AzureDirect-Trial-Social</v></cell><cell r="AC6217"><v>21356941</v></cell><cell r="AD6217"><v>720193</v></cell><cell r="AE6217" t="str"><v>Facebook</v></cell><cell r="AF6217"><v>3654128</v></cell><cell r="AG6217" t="str"><v>Facebook»Developers-Azure Direct-Sponsored Post_Trial_PayGo-Video Ad-Free Account Developer - Open Source»1x1»30s»SOC»ALL»CPC»LAL»D»UNK»SS»NA»Trials</v></cell><cell r="AH6217"><v>226359950</v></cell><cell r="AI6217" t="str"><v>AZR_FreeAcctDeveloperFB-AnimatedOpenSource-Ch2_FRA_1200x1200_VIA_AZRDirect_French_NA_Facebook_STAN_LEA_T2_1</v></cell><cell r="AJ6217"><v>104537132</v></cell></row><row r="6218"><cell r="C6218" t="str"><v>43326Facebook»Developers/ITPros-Azure Direct-Sponsored Post_Trial-Link Ad-FreeAcctRetargetingFB-Animated-ChC CanvasOpener»1x1»SocialBan»SOC»ALL»CPC»LAL»D»UNK»SS»NA»Trials</v></cell><cell r="D6218" t="str"><v>43326226360037</v></cell><cell r="E6218" t="str"><v>43326103259775Trials</v></cell><cell r="F6218" t="str"><v>DCM</v></cell><cell r="G6218" t="str"><v>https://azure.microsoft.com/fr-fr/free/search/</v></cell></row><row r="6218"><cell r="K6218" t="str"><v>August</v></cell><cell r="L6218"><v>43330</v></cell><cell r="M6218" t="str"><v>Tier 1</v></cell><cell r="N6218" t="str"><v>EMEA</v></cell><cell r="O6218" t="str"><v>France</v></cell><cell r="P6218" t="str"><v>Trial</v></cell><cell r="Q6218" t="str"><v>Social</v></cell><cell r="R6218" t="str"><v>Azure</v></cell><cell r="S6218" t="str"><v>Apps & Infra</v></cell><cell r="T6218" t="str"><v>Developers & ITI's</v></cell><cell r="U6218" t="str"><v>Developers/ITPros-Azure Direct-Sponsored Post_Trial-Link Ad-FreeAcctRetargetingFB-Animated-ChC CanvasOpener</v></cell><cell r="V6218" t="str"><v>Lookalike Targeting</v></cell><cell r="W6218" t="str"><v>Social</v></cell><cell r="X6218" t="str"><v>1x1</v></cell></row><row r="6218"><cell r="AA6218"><v>43326</v></cell><cell r="AB6218" t="str"><v>FRA_gaPMG_AZR_AZR_Q1_19_AzureDirect-Trial-Social</v></cell><cell r="AC6218"><v>21356941</v></cell><cell r="AD6218"><v>720193</v></cell><cell r="AE6218" t="str"><v>Facebook</v></cell><cell r="AF6218"><v>3654128</v></cell><cell r="AG6218" t="str"><v>Facebook»Developers/ITPros-Azure Direct-Sponsored Post_Trial-Link Ad-FreeAcctRetargetingFB-Animated-ChC CanvasOpener»1x1»SocialBan»SOC»ALL»CPC»LAL»D»UNK»SS»NA»Trials</v></cell><cell r="AH6218"><v>226360037</v></cell><cell r="AI6218" t="str"><v>AZR_reeAcctRetargetingFB-Animated-ChC_FRA_1200x628_SOC_AZRDirect_French_NA_Facebook_SBAN_SINU_T3_1</v></cell><cell r="AJ6218"><v>103259775</v></cell></row><row r="6219"><cell r="C6219" t="str"><v>43326Facebook»Developers/ITPros-Azure Direct-Sponsored Post_Trial-Link Ad-FreeAcctRetargetingOSSFB-Logos-ChG CanvasOpener»1x1»SocialBan»SOC»ALL»CPC»LAL»D»UNK»SS»NA»Trials</v></cell><cell r="D6219" t="str"><v>43326226496104</v></cell><cell r="E6219" t="str"><v>43326103259769Trials</v></cell><cell r="F6219" t="str"><v>DCM</v></cell><cell r="G6219" t="str"><v>https://azure.microsoft.com/fr-fr/free/open-source/search/</v></cell></row><row r="6219"><cell r="K6219" t="str"><v>August</v></cell><cell r="L6219"><v>43330</v></cell><cell r="M6219" t="str"><v>Tier 1</v></cell><cell r="N6219" t="str"><v>EMEA</v></cell><cell r="O6219" t="str"><v>France</v></cell><cell r="P6219" t="str"><v>Trial</v></cell><cell r="Q6219" t="str"><v>Social</v></cell><cell r="R6219" t="str"><v>Azure</v></cell><cell r="S6219" t="str"><v>Apps & Infra</v></cell><cell r="T6219" t="str"><v>Developers & ITI's</v></cell><cell r="U6219" t="str"><v>Developers/ITPros-Azure Direct-Sponsored Post_Trial-Link Ad-FreeAcctRetargetingOSSFB-Logos-ChG CanvasOpener</v></cell><cell r="V6219" t="str"><v>Lookalike Targeting</v></cell><cell r="W6219" t="str"><v>Social</v></cell><cell r="X6219" t="str"><v>1x1</v></cell></row><row r="6219"><cell r="AA6219"><v>43326</v></cell><cell r="AB6219" t="str"><v>FRA_gaPMG_AZR_AZR_Q1_19_AzureDirect-Trial-Social</v></cell><cell r="AC6219"><v>21356941</v></cell><cell r="AD6219"><v>720193</v></cell><cell r="AE6219" t="str"><v>Facebook</v></cell><cell r="AF6219"><v>3654128</v></cell><cell r="AG6219" t="str"><v>Facebook»Developers/ITPros-Azure Direct-Sponsored Post_Trial-Link Ad-FreeAcctRetargetingOSSFB-Logos-ChG CanvasOpener»1x1»SocialBan»SOC»ALL»CPC»LAL»D»UNK»SS»NA»Trials</v></cell><cell r="AH6219"><v>226496104</v></cell><cell r="AI6219" t="str"><v>AZR_FreeAcctRetargetingOSSFB-Logos-ChG_FRA_1200x628_SOC_AZRDirect_French_NA_Facebook_SBAN_SINU_T2_1</v></cell><cell r="AJ6219"><v>103259769</v></cell></row><row r="6220"><cell r="C6220" t="str"><v>43326Facebook»Developers/ITPros-Azure Direct-Sponsored Post_Trial-Link Ad-FreeAcctRetargetingOSSFB-Text-ChF CanvasOpener»1x1»SocialBan»SOC»ALL»CPC»LAL»D»UNK»SS»NA»Trials</v></cell><cell r="D6220" t="str"><v>43326226496101</v></cell><cell r="E6220" t="str"><v>43326103257810Trials</v></cell><cell r="F6220" t="str"><v>DCM</v></cell><cell r="G6220" t="str"><v>https://azure.microsoft.com/fr-fr/free/open-source/search/</v></cell></row><row r="6220"><cell r="K6220" t="str"><v>August</v></cell><cell r="L6220"><v>43330</v></cell><cell r="M6220" t="str"><v>Tier 1</v></cell><cell r="N6220" t="str"><v>EMEA</v></cell><cell r="O6220" t="str"><v>France</v></cell><cell r="P6220" t="str"><v>Trial</v></cell><cell r="Q6220" t="str"><v>Social</v></cell><cell r="R6220" t="str"><v>Azure</v></cell><cell r="S6220" t="str"><v>Apps & Infra</v></cell><cell r="T6220" t="str"><v>Developers & ITI's</v></cell><cell r="U6220" t="str"><v>Developers/ITPros-Azure Direct-Sponsored Post_Trial-Link Ad-FreeAcctRetargetingOSSFB-Text-ChF CanvasOpener</v></cell><cell r="V6220" t="str"><v>Lookalike Targeting</v></cell><cell r="W6220" t="str"><v>Social</v></cell><cell r="X6220" t="str"><v>1x1</v></cell></row><row r="6220"><cell r="AA6220"><v>43326</v></cell><cell r="AB6220" t="str"><v>FRA_gaPMG_AZR_AZR_Q1_19_AzureDirect-Trial-Social</v></cell><cell r="AC6220"><v>21356941</v></cell><cell r="AD6220"><v>720193</v></cell><cell r="AE6220" t="str"><v>Facebook</v></cell><cell r="AF6220"><v>3654128</v></cell><cell r="AG6220" t="str"><v>Facebook»Developers/ITPros-Azure Direct-Sponsored Post_Trial-Link Ad-FreeAcctRetargetingOSSFB-Text-ChF CanvasOpener»1x1»SocialBan»SOC»ALL»CPC»LAL»D»UNK»SS»NA»Trials</v></cell><cell r="AH6220"><v>226496101</v></cell><cell r="AI6220" t="str"><v>AZR_FreeAcctRetargetingOSSFB-Text-ChF_FRA_1200x628_SOC_AZRDirect_French_NA_Facebook_SBAN_SINU_T1_1</v></cell><cell r="AJ6220"><v>103257810</v></cell></row><row r="6221"><cell r="C6221" t="str"><v>43326Facebook»ITPros-Azure Direct-Sponsored Post-Video Ad-Free Account IT Pro - Hybrid»1x1»30s»SOC»ALL»CPC»AUT»D»UNK»SS»NA»Trials</v></cell><cell r="D6221" t="str"><v>43326226360016</v></cell><cell r="E6221" t="str"><v>43326104456278Trials</v></cell><cell r="F6221" t="str"><v>DCM</v></cell><cell r="G6221" t="str"><v>https://signup.azure.com/signup?offer=ms-azr-0044p&appId=102&ref=paidmedia-social-fb&redirectURL=https%3a%2f%2fazure.microsoft.com%2ffr-fr%2fget-started%2fwelcome-to-azure%2f&l=fr-fr&correlationId=ead86c34-1f10-49dd-a72b-6918462a2cbf</v></cell></row><row r="6221"><cell r="K6221" t="str"><v>August</v></cell><cell r="L6221"><v>43330</v></cell><cell r="M6221" t="str"><v>Tier 1</v></cell><cell r="N6221" t="str"><v>EMEA</v></cell><cell r="O6221" t="str"><v>France</v></cell><cell r="P6221" t="str"><v>Trial</v></cell><cell r="Q6221" t="str"><v>Social</v></cell><cell r="R6221" t="str"><v>Azure</v></cell><cell r="S6221" t="str"><v>Apps & Infra</v></cell><cell r="T6221" t="str"><v>Developers & ITI's</v></cell><cell r="U6221" t="str"><v>ITPros-Azure Direct-Sponsored Post-Video Ad-Free Account IT Pro - Hybrid</v></cell><cell r="V6221" t="str"><v>Audience Targeting</v></cell><cell r="W6221" t="str"><v>Social</v></cell><cell r="X6221" t="str"><v>1x1</v></cell></row><row r="6221"><cell r="AA6221"><v>43326</v></cell><cell r="AB6221" t="str"><v>FRA_gaPMG_AZR_AZR_Q1_19_AzureDirect-Trial-Social</v></cell><cell r="AC6221"><v>21356941</v></cell><cell r="AD6221"><v>720193</v></cell><cell r="AE6221" t="str"><v>Facebook</v></cell><cell r="AF6221"><v>3654128</v></cell><cell r="AG6221" t="str"><v>Facebook»ITPros-Azure Direct-Sponsored Post-Video Ad-Free Account IT Pro - Hybrid»1x1»30s»SOC»ALL»CPC»AUT»D»UNK»SS»NA»Trials</v></cell><cell r="AH6221"><v>226360016</v></cell><cell r="AI6221" t="str"><v>AZR_FreeAcctITProFB-AnimatedHybrid-Ch2_FRA_1200x1200_VIA_AZRDirect_French_NA_Facebook_STAN_LEA_T2_1</v></cell><cell r="AJ6221"><v>104456278</v></cell></row><row r="6222"><cell r="C6222" t="str"><v>43326Facebook»ITPros-Azure Direct-Sponsored Post-Video Ad-Free Account IT Pro - Secure»1x1»30s»SOC»ALL»CPC»AUT»D»UNK»SS»NA»Trials</v></cell><cell r="D6222" t="str"><v>43326226360022</v></cell><cell r="E6222" t="str"><v>43326104455906Trials</v></cell><cell r="F6222" t="str"><v>DCM</v></cell><cell r="G6222" t="str"><v>https://signup.azure.com/signup?offer=ms-azr-0044p&appId=102&ref=paidmedia-social-fb&redirectURL=https%3a%2f%2fazure.microsoft.com%2ffr-fr%2fget-started%2fwelcome-to-azure%2f&l=fr-fr&correlationId=ead86c34-1f10-49dd-a72b-6918462a2cbf</v></cell></row><row r="6222"><cell r="K6222" t="str"><v>August</v></cell><cell r="L6222"><v>43330</v></cell><cell r="M6222" t="str"><v>Tier 1</v></cell><cell r="N6222" t="str"><v>EMEA</v></cell><cell r="O6222" t="str"><v>France</v></cell><cell r="P6222" t="str"><v>Trial</v></cell><cell r="Q6222" t="str"><v>Social</v></cell><cell r="R6222" t="str"><v>Azure</v></cell><cell r="S6222" t="str"><v>Apps & Infra</v></cell><cell r="T6222" t="str"><v>Developers & ITI's</v></cell><cell r="U6222" t="str"><v>ITPros-Azure Direct-Sponsored Post-Video Ad-Free Account IT Pro - Secure</v></cell><cell r="V6222" t="str"><v>Audience Targeting</v></cell><cell r="W6222" t="str"><v>Social</v></cell><cell r="X6222" t="str"><v>1x1</v></cell></row><row r="6222"><cell r="AA6222"><v>43326</v></cell><cell r="AB6222" t="str"><v>FRA_gaPMG_AZR_AZR_Q1_19_AzureDirect-Trial-Social</v></cell><cell r="AC6222"><v>21356941</v></cell><cell r="AD6222"><v>720193</v></cell><cell r="AE6222" t="str"><v>Facebook</v></cell><cell r="AF6222"><v>3654128</v></cell><cell r="AG6222" t="str"><v>Facebook»ITPros-Azure Direct-Sponsored Post-Video Ad-Free Account IT Pro - Secure»1x1»30s»SOC»ALL»CPC»AUT»D»UNK»SS»NA»Trials</v></cell><cell r="AH6222"><v>226360022</v></cell><cell r="AI6222" t="str"><v>AZR_FreeAcctITProFB-AnimatedSecureMngd-Ch1_FRA_1200x1200_VIA_AZRDirect_French_NA_Facebook_STAN_LEA_T1_1</v></cell><cell r="AJ6222"><v>104455906</v></cell></row><row r="6223"><cell r="C6223" t="str"><v>43326Facebook»ITPros-Azure Direct-Sponsored Post_Trial-Video Ad-Free Account IT Pro - Hybrid»1x1»30s»SOC»ALL»CPC»LAL»D»UNK»SS»NA»Trials</v></cell><cell r="D6223" t="str"><v>43326226360001</v></cell><cell r="E6223" t="str"><v>43326104456278Trials</v></cell><cell r="F6223" t="str"><v>DCM</v></cell><cell r="G6223" t="str"><v>https://signup.azure.com/signup?offer=ms-azr-0044p&appId=102&ref=paidmedia-social-fb&redirectURL=https%3a%2f%2fazure.microsoft.com%2ffr-fr%2fget-started%2fwelcome-to-azure%2f&l=fr-fr&correlationId=ead86c34-1f10-49dd-a72b-6918462a2cbf</v></cell></row><row r="6223"><cell r="K6223" t="str"><v>August</v></cell><cell r="L6223"><v>43330</v></cell><cell r="M6223" t="str"><v>Tier 1</v></cell><cell r="N6223" t="str"><v>EMEA</v></cell><cell r="O6223" t="str"><v>France</v></cell><cell r="P6223" t="str"><v>Trial</v></cell><cell r="Q6223" t="str"><v>Social</v></cell><cell r="R6223" t="str"><v>Azure</v></cell><cell r="S6223" t="str"><v>Apps & Infra</v></cell><cell r="T6223" t="str"><v>Developers & ITI's</v></cell><cell r="U6223" t="str"><v>ITPros-Azure Direct-Sponsored Post_Trial-Video Ad-Free Account IT Pro - Hybrid</v></cell><cell r="V6223" t="str"><v>Lookalike Targeting</v></cell><cell r="W6223" t="str"><v>Social</v></cell><cell r="X6223" t="str"><v>1x1</v></cell></row><row r="6223"><cell r="AA6223"><v>43326</v></cell><cell r="AB6223" t="str"><v>FRA_gaPMG_AZR_AZR_Q1_19_AzureDirect-Trial-Social</v></cell><cell r="AC6223"><v>21356941</v></cell><cell r="AD6223"><v>720193</v></cell><cell r="AE6223" t="str"><v>Facebook</v></cell><cell r="AF6223"><v>3654128</v></cell><cell r="AG6223" t="str"><v>Facebook»ITPros-Azure Direct-Sponsored Post_Trial-Video Ad-Free Account IT Pro - Hybrid»1x1»30s»SOC»ALL»CPC»LAL»D»UNK»SS»NA»Trials</v></cell><cell r="AH6223"><v>226360001</v></cell><cell r="AI6223" t="str"><v>AZR_FreeAcctITProFB-AnimatedHybrid-Ch2_FRA_1200x1200_VIA_AZRDirect_French_NA_Facebook_STAN_LEA_T2_1</v></cell><cell r="AJ6223"><v>104456278</v></cell></row><row r="6224"><cell r="C6224" t="str"><v>43326Facebook»ITPros-Azure Direct-Sponsored Post_Trial-Video Ad-Free Account IT Pro - Migration»1x1»30s»SOC»ALL»CPC»LAL»D»UNK»SS»NA»Trials</v></cell><cell r="D6224" t="str"><v>43326226359995</v></cell><cell r="E6224" t="str"><v>43326104458003Trials</v></cell><cell r="F6224" t="str"><v>DCM</v></cell><cell r="G6224" t="str"><v>https://signup.azure.com/signup?offer=ms-azr-0044p&appId=102&ref=paidmedia-social-fb&redirectURL=https%3a%2f%2fazure.microsoft.com%2ffr-fr%2fget-started%2fwelcome-to-azure%2f&l=fr-fr&correlationId=ead86c34-1f10-49dd-a72b-6918462a2cbf</v></cell></row><row r="6224"><cell r="K6224" t="str"><v>August</v></cell><cell r="L6224"><v>43330</v></cell><cell r="M6224" t="str"><v>Tier 1</v></cell><cell r="N6224" t="str"><v>EMEA</v></cell><cell r="O6224" t="str"><v>France</v></cell><cell r="P6224" t="str"><v>Trial</v></cell><cell r="Q6224" t="str"><v>Social</v></cell><cell r="R6224" t="str"><v>Azure</v></cell><cell r="S6224" t="str"><v>Apps & Infra</v></cell><cell r="T6224" t="str"><v>Developers & ITI's</v></cell><cell r="U6224" t="str"><v>ITPros-Azure Direct-Sponsored Post_Trial-Video Ad-Free Account IT Pro - Migration</v></cell><cell r="V6224" t="str"><v>Lookalike Targeting</v></cell><cell r="W6224" t="str"><v>Social</v></cell><cell r="X6224" t="str"><v>1x1</v></cell></row><row r="6224"><cell r="AA6224"><v>43326</v></cell><cell r="AB6224" t="str"><v>FRA_gaPMG_AZR_AZR_Q1_19_AzureDirect-Trial-Social</v></cell><cell r="AC6224"><v>21356941</v></cell><cell r="AD6224"><v>720193</v></cell><cell r="AE6224" t="str"><v>Facebook</v></cell><cell r="AF6224"><v>3654128</v></cell><cell r="AG6224" t="str"><v>Facebook»ITPros-Azure Direct-Sponsored Post_Trial-Video Ad-Free Account IT Pro - Migration»1x1»30s»SOC»ALL»CPC»LAL»D»UNK»SS»NA»Trials</v></cell><cell r="AH6224"><v>226359995</v></cell><cell r="AI6224" t="str"><v>AZR_FreeAcctITProFB-AnimatedMigration-Ch3_FRA_1200x1200_VIA_AZRDirect_French_NA_Facebook_STAN_LEA_T3_1</v></cell><cell r="AJ6224"><v>104458003</v></cell></row><row r="6225"><cell r="C6225" t="str"><v>43326Facebook»Audience & Interest Targeting»1x1»SocialBan»LIA»DT»CPC»AUT»W»NA»SS»NA»Basic Motion</v></cell><cell r="D6225" t="str"><v>43326224399962</v></cell><cell r="E6225" t="str"><v>43326103230847Motion</v></cell><cell r="F6225" t="str"><v>DCM</v></cell><cell r="G6225" t="str"><v>https://azure.microsoft.com/en-gb/pricing/purchase-options/</v></cell></row><row r="6225"><cell r="K6225" t="str"><v>August</v></cell><cell r="L6225"><v>43330</v></cell><cell r="M6225" t="str"><v>Tier 1</v></cell><cell r="N6225" t="str"><v>EMEA</v></cell><cell r="O6225" t="str"><v>United Kingdom</v></cell><cell r="P6225" t="str"><v>Trial</v></cell><cell r="Q6225" t="str"><v>Social</v></cell><cell r="R6225" t="str"><v>Azure</v></cell><cell r="S6225" t="str"><v>Apps & Infra</v></cell><cell r="T6225" t="str"><v>Developers & ITI's</v></cell><cell r="U6225" t="str"><v>Audience & Interest Targeting</v></cell><cell r="V6225" t="str"><v>Audience Targeting</v></cell><cell r="W6225" t="str"><v>Link Ad</v></cell><cell r="X6225" t="str"><v>1x1</v></cell></row><row r="6225"><cell r="AA6225"><v>43326</v></cell><cell r="AB6225" t="str"><v>GBR_gaPMG_CE_AZR_Q1_19_Trial-Social</v></cell><cell r="AC6225"><v>21337013</v></cell><cell r="AD6225"><v>720196</v></cell><cell r="AE6225" t="str"><v>Facebook</v></cell><cell r="AF6225"><v>3654128</v></cell><cell r="AG6225" t="str"><v>Facebook»Audience & Interest Targeting»1x1»SocialBan»LIA»DT»CPC»AUT»W»NA»SS»NA»Basic Motion</v></cell><cell r="AH6225"><v>224399962</v></cell><cell r="AI6225" t="str"><v>AzurePlatform_FBCTCcanvaspage-BuyNowCTA-Img3_GBR_1080x162_SOC_Plat_English_NA_Standard_NA_BN_T3_1</v></cell><cell r="AJ6225"><v>103230847</v></cell></row><row r="6226"><cell r="C6226" t="str"><v>43326Facebook»Audience & Interest Targeting»1x1»SocialBan»LIA»DT»CPC»AUT»W»NA»SS»NA»Basic Motion</v></cell><cell r="D6226" t="str"><v>43326224399962</v></cell><cell r="E6226" t="str"><v>43326103235146Motion</v></cell><cell r="F6226" t="str"><v>DCM</v></cell><cell r="G6226" t="str"><v>https://signup.azure.com/signup?offer=ms-azr-0044p&appId=102&ref=paidmedia-social-fb&redirectURL=https%3a%2f%2fazure.microsoft.com%2fen-gb%2fget-started%2fwelcome-to-azure%2f&l=en-gb&correlationId=ead86c34-1f10-49dd-a72b-6918462a2cbf</v></cell></row><row r="6226"><cell r="K6226" t="str"><v>August</v></cell><cell r="L6226"><v>43330</v></cell><cell r="M6226" t="str"><v>Tier 1</v></cell><cell r="N6226" t="str"><v>EMEA</v></cell><cell r="O6226" t="str"><v>United Kingdom</v></cell><cell r="P6226" t="str"><v>Trial</v></cell><cell r="Q6226" t="str"><v>Social</v></cell><cell r="R6226" t="str"><v>Azure</v></cell><cell r="S6226" t="str"><v>Apps & Infra</v></cell><cell r="T6226" t="str"><v>Developers & ITI's</v></cell><cell r="U6226" t="str"><v>Audience & Interest Targeting</v></cell><cell r="V6226" t="str"><v>Audience Targeting</v></cell><cell r="W6226" t="str"><v>Link Ad</v></cell><cell r="X6226" t="str"><v>1x1</v></cell></row><row r="6226"><cell r="AA6226"><v>43326</v></cell><cell r="AB6226" t="str"><v>GBR_gaPMG_CE_AZR_Q1_19_Trial-Social</v></cell><cell r="AC6226"><v>21337013</v></cell><cell r="AD6226"><v>720196</v></cell><cell r="AE6226" t="str"><v>Facebook</v></cell><cell r="AF6226"><v>3654128</v></cell><cell r="AG6226" t="str"><v>Facebook»Audience & Interest Targeting»1x1»SocialBan»LIA»DT»CPC»AUT»W»NA»SS»NA»Basic Motion</v></cell><cell r="AH6226"><v>224399962</v></cell><cell r="AI6226" t="str"><v>AzurePlatform_FBCTCcanvaspage-StartFreeCTA-Img2_GBR_1080x143 _SOC_Plat_English_NA_Standard_NA_NA_T2_1</v></cell><cell r="AJ6226"><v>103235146</v></cell></row><row r="6227"><cell r="C6227" t="str"><v>43326Facebook»Audience & Interest Targeting»1x1»SocialBan»LIA»DT»CPC»AUT»W»NA»SS»NA»Benefit 2 in Motion</v></cell><cell r="D6227" t="str"><v>43326224334170</v></cell><cell r="E6227" t="str"><v>43326103235146Motion</v></cell><cell r="F6227" t="str"><v>DCM</v></cell><cell r="G6227" t="str"><v>https://signup.azure.com/signup?offer=ms-azr-0044p&appId=102&ref=paidmedia-social-fb&redirectURL=https%3a%2f%2fazure.microsoft.com%2fen-gb%2fget-started%2fwelcome-to-azure%2f&l=en-gb&correlationId=ead86c34-1f10-49dd-a72b-6918462a2cbf</v></cell></row><row r="6227"><cell r="K6227" t="str"><v>August</v></cell><cell r="L6227"><v>43330</v></cell><cell r="M6227" t="str"><v>Tier 1</v></cell><cell r="N6227" t="str"><v>EMEA</v></cell><cell r="O6227" t="str"><v>United Kingdom</v></cell><cell r="P6227" t="str"><v>Trial</v></cell><cell r="Q6227" t="str"><v>Social</v></cell><cell r="R6227" t="str"><v>Azure</v></cell><cell r="S6227" t="str"><v>Apps & Infra</v></cell><cell r="T6227" t="str"><v>Developers & ITI's</v></cell><cell r="U6227" t="str"><v>Audience & Interest Targeting</v></cell><cell r="V6227" t="str"><v>Audience Targeting</v></cell><cell r="W6227" t="str"><v>Link Ad</v></cell><cell r="X6227" t="str"><v>1x1</v></cell></row><row r="6227"><cell r="AA6227"><v>43326</v></cell><cell r="AB6227" t="str"><v>GBR_gaPMG_CE_AZR_Q1_19_Trial-Social</v></cell><cell r="AC6227"><v>21337013</v></cell><cell r="AD6227"><v>720196</v></cell><cell r="AE6227" t="str"><v>Facebook</v></cell><cell r="AF6227"><v>3654128</v></cell><cell r="AG6227" t="str"><v>Facebook»Audience & Interest Targeting»1x1»SocialBan»LIA»DT»CPC»AUT»W»NA»SS»NA»Benefit 2 in Motion</v></cell><cell r="AH6227"><v>224334170</v></cell><cell r="AI6227" t="str"><v>AzurePlatform_FBCTCcanvaspage-StartFreeCTA-Img2_GBR_1080x143 _SOC_Plat_English_NA_Standard_NA_NA_T2_1</v></cell><cell r="AJ6227"><v>103235146</v></cell></row><row r="6228"><cell r="C6228" t="str"><v>43326Facebook»Audience & Interest Targeting»1x1»SocialBan»LIA»DT»CPC»AUT»W»NA»SS»NA»Brand in Motion</v></cell><cell r="D6228" t="str"><v>43326224549481</v></cell><cell r="E6228" t="str"><v>43326103235146Motion</v></cell><cell r="F6228" t="str"><v>DCM</v></cell><cell r="G6228" t="str"><v>https://signup.azure.com/signup?offer=ms-azr-0044p&appId=102&ref=paidmedia-social-fb&redirectURL=https%3a%2f%2fazure.microsoft.com%2fen-gb%2fget-started%2fwelcome-to-azure%2f&l=en-gb&correlationId=ead86c34-1f10-49dd-a72b-6918462a2cbf</v></cell></row><row r="6228"><cell r="K6228" t="str"><v>August</v></cell><cell r="L6228"><v>43330</v></cell><cell r="M6228" t="str"><v>Tier 1</v></cell><cell r="N6228" t="str"><v>EMEA</v></cell><cell r="O6228" t="str"><v>United Kingdom</v></cell><cell r="P6228" t="str"><v>Trial</v></cell><cell r="Q6228" t="str"><v>Social</v></cell><cell r="R6228" t="str"><v>Azure</v></cell><cell r="S6228" t="str"><v>Apps & Infra</v></cell><cell r="T6228" t="str"><v>Developers & ITI's</v></cell><cell r="U6228" t="str"><v>Audience & Interest Targeting</v></cell><cell r="V6228" t="str"><v>Audience Targeting</v></cell><cell r="W6228" t="str"><v>Link Ad</v></cell><cell r="X6228" t="str"><v>1x1</v></cell></row><row r="6228"><cell r="AA6228"><v>43326</v></cell><cell r="AB6228" t="str"><v>GBR_gaPMG_CE_AZR_Q1_19_Trial-Social</v></cell><cell r="AC6228"><v>21337013</v></cell><cell r="AD6228"><v>720196</v></cell><cell r="AE6228" t="str"><v>Facebook</v></cell><cell r="AF6228"><v>3654128</v></cell><cell r="AG6228" t="str"><v>Facebook»Audience & Interest Targeting»1x1»SocialBan»LIA»DT»CPC»AUT»W»NA»SS»NA»Brand in Motion</v></cell><cell r="AH6228"><v>224549481</v></cell><cell r="AI6228" t="str"><v>AzurePlatform_FBCTCcanvaspage-StartFreeCTA-Img2_GBR_1080x143 _SOC_Plat_English_NA_Standard_NA_NA_T2_1</v></cell><cell r="AJ6228"><v>103235146</v></cell></row><row r="6229"><cell r="C6229" t="str"><v>43326Facebook»Audience & Interest Targeting»1x1»SocialBan»LIA»DT»DYN»AUT»W»NA»SS»NA»Free Account Refresh- 12 months ChE</v></cell><cell r="D6229" t="str"><v>43326223567691</v></cell><cell r="E6229" t="str"><v>43326102854007hs ChE</v></cell><cell r="F6229" t="str"><v>DCM</v></cell><cell r="G6229" t="str"><v>https://azure.microsoft.com/en-gb/free/search/</v></cell></row><row r="6229"><cell r="K6229" t="str"><v>August</v></cell><cell r="L6229"><v>43330</v></cell><cell r="M6229" t="str"><v>Tier 1</v></cell><cell r="N6229" t="str"><v>EMEA</v></cell><cell r="O6229" t="str"><v>United Kingdom</v></cell><cell r="P6229" t="str"><v>Trial</v></cell><cell r="Q6229" t="str"><v>Social</v></cell><cell r="R6229" t="str"><v>Azure</v></cell><cell r="S6229" t="str"><v>Apps & Infra</v></cell><cell r="T6229" t="str"><v>Developers & ITI's</v></cell><cell r="U6229" t="str"><v>Audience & Interest Targeting</v></cell><cell r="V6229" t="str"><v>Audience Targeting</v></cell><cell r="W6229" t="str"><v>Link Ad</v></cell><cell r="X6229" t="str"><v>1x1</v></cell></row><row r="6229"><cell r="AA6229"><v>43326</v></cell><cell r="AB6229" t="str"><v>GBR_gaPMG_CE_AZR_Q1_19_Trial-Social</v></cell><cell r="AC6229"><v>21337013</v></cell><cell r="AD6229"><v>720196</v></cell><cell r="AE6229" t="str"><v>Facebook</v></cell><cell r="AF6229"><v>3654128</v></cell><cell r="AG6229" t="str"><v>Facebook»Audience & Interest Targeting»1x1»SocialBan»LIA»DT»DYN»AUT»W»NA»SS»NA»Free Account Refresh- 12 months ChE</v></cell><cell r="AH6229"><v>223567691</v></cell><cell r="AI6229" t="str"><v>AzurePlatform_FreeAcctAppsFACEBOOK12monthsChE_GBR_1200x628_SOC_PLAT_EN_Trial_Standard_NA_SU_T5_1</v></cell><cell r="AJ6229"><v>102854007</v></cell></row><row r="6230"><cell r="C6230" t="str"><v>43326Facebook»Audience & Interest Targeting»1x1»SocialBan»LIA»DT»DYN»AUT»W»NA»SS»NA»Free Account Refresh- 200 Credit ChD</v></cell><cell r="D6230" t="str"><v>43326223560359</v></cell><cell r="E6230" t="str"><v>43326103005662it ChD</v></cell><cell r="F6230" t="str"><v>DCM</v></cell><cell r="G6230" t="str"><v>https://azure.microsoft.com/en-gb/free/search/</v></cell></row><row r="6230"><cell r="K6230" t="str"><v>August</v></cell><cell r="L6230"><v>43330</v></cell><cell r="M6230" t="str"><v>Tier 1</v></cell><cell r="N6230" t="str"><v>EMEA</v></cell><cell r="O6230" t="str"><v>United Kingdom</v></cell><cell r="P6230" t="str"><v>Trial</v></cell><cell r="Q6230" t="str"><v>Social</v></cell><cell r="R6230" t="str"><v>Azure</v></cell><cell r="S6230" t="str"><v>Apps & Infra</v></cell><cell r="T6230" t="str"><v>Developers & ITI's</v></cell><cell r="U6230" t="str"><v>Audience & Interest Targeting</v></cell><cell r="V6230" t="str"><v>Audience Targeting</v></cell><cell r="W6230" t="str"><v>Link Ad</v></cell><cell r="X6230" t="str"><v>1x1</v></cell></row><row r="6230"><cell r="AA6230"><v>43326</v></cell><cell r="AB6230" t="str"><v>GBR_gaPMG_CE_AZR_Q1_19_Trial-Social</v></cell><cell r="AC6230"><v>21337013</v></cell><cell r="AD6230"><v>720196</v></cell><cell r="AE6230" t="str"><v>Facebook</v></cell><cell r="AF6230"><v>3654128</v></cell><cell r="AG6230" t="str"><v>Facebook»Audience & Interest Targeting»1x1»SocialBan»LIA»DT»DYN»AUT»W»NA»SS»NA»Free Account Refresh- 200 Credit ChD</v></cell><cell r="AH6230"><v>223560359</v></cell><cell r="AI6230" t="str"><v>AzurePlatform_FreeAcctAppsFACEBOOK200CreditChD_GBR_1200x628_SOC_PLAT_EN_Trial_Standard_NA_SU_T4_1</v></cell><cell r="AJ6230"><v>103005662</v></cell></row><row r="6231"><cell r="C6231" t="str"><v>43326Facebook»Audience & Interest Targeting»1x1»SocialBan»LIA»DT»DYN»AUT»W»NA»SS»NA»Free Account Refresh- Device ChB</v></cell><cell r="D6231" t="str"><v>43326223560353</v></cell><cell r="E6231" t="str"><v>43326102854010ce ChB</v></cell><cell r="F6231" t="str"><v>DCM</v></cell><cell r="G6231" t="str"><v>https://azure.microsoft.com/en-gb/free/search/</v></cell></row><row r="6231"><cell r="K6231" t="str"><v>August</v></cell><cell r="L6231"><v>43330</v></cell><cell r="M6231" t="str"><v>Tier 1</v></cell><cell r="N6231" t="str"><v>EMEA</v></cell><cell r="O6231" t="str"><v>United Kingdom</v></cell><cell r="P6231" t="str"><v>Trial</v></cell><cell r="Q6231" t="str"><v>Social</v></cell><cell r="R6231" t="str"><v>Azure</v></cell><cell r="S6231" t="str"><v>Apps & Infra</v></cell><cell r="T6231" t="str"><v>Developers & ITI's</v></cell><cell r="U6231" t="str"><v>Audience & Interest Targeting</v></cell><cell r="V6231" t="str"><v>Audience Targeting</v></cell><cell r="W6231" t="str"><v>Link Ad</v></cell><cell r="X6231" t="str"><v>1x1</v></cell></row><row r="6231"><cell r="AA6231"><v>43326</v></cell><cell r="AB6231" t="str"><v>GBR_gaPMG_CE_AZR_Q1_19_Trial-Social</v></cell><cell r="AC6231"><v>21337013</v></cell><cell r="AD6231"><v>720196</v></cell><cell r="AE6231" t="str"><v>Facebook</v></cell><cell r="AF6231"><v>3654128</v></cell><cell r="AG6231" t="str"><v>Facebook»Audience & Interest Targeting»1x1»SocialBan»LIA»DT»DYN»AUT»W»NA»SS»NA»Free Account Refresh- Device ChB</v></cell><cell r="AH6231"><v>223560353</v></cell><cell r="AI6231" t="str"><v>AzurePlatform_FreeAcctAppsFACEBOOKDeviceChB_GBR_1200x628_SOC_PLAT_EN_Trial_Standard_NA_SU_T2_1</v></cell><cell r="AJ6231"><v>102854010</v></cell></row><row r="6232"><cell r="C6232" t="str"><v>43326Facebook»Audience & Interest Targeting»1x1»SocialBan»LIA»DT»DYN»AUT»W»NA»SS»NA»Free Account Refresh- Illustration ChC</v></cell><cell r="D6232" t="str"><v>43326223560347</v></cell><cell r="E6232" t="str"><v>43326102857037on ChC</v></cell><cell r="F6232" t="str"><v>DCM</v></cell><cell r="G6232" t="str"><v>https://azure.microsoft.com/en-gb/free/search/</v></cell></row><row r="6232"><cell r="K6232" t="str"><v>August</v></cell><cell r="L6232"><v>43330</v></cell><cell r="M6232" t="str"><v>Tier 1</v></cell><cell r="N6232" t="str"><v>EMEA</v></cell><cell r="O6232" t="str"><v>United Kingdom</v></cell><cell r="P6232" t="str"><v>Trial</v></cell><cell r="Q6232" t="str"><v>Social</v></cell><cell r="R6232" t="str"><v>Azure</v></cell><cell r="S6232" t="str"><v>Apps & Infra</v></cell><cell r="T6232" t="str"><v>Developers & ITI's</v></cell><cell r="U6232" t="str"><v>Audience & Interest Targeting</v></cell><cell r="V6232" t="str"><v>Audience Targeting</v></cell><cell r="W6232" t="str"><v>Link Ad</v></cell><cell r="X6232" t="str"><v>1x1</v></cell></row><row r="6232"><cell r="AA6232"><v>43326</v></cell><cell r="AB6232" t="str"><v>GBR_gaPMG_CE_AZR_Q1_19_Trial-Social</v></cell><cell r="AC6232"><v>21337013</v></cell><cell r="AD6232"><v>720196</v></cell><cell r="AE6232" t="str"><v>Facebook</v></cell><cell r="AF6232"><v>3654128</v></cell><cell r="AG6232" t="str"><v>Facebook»Audience & Interest Targeting»1x1»SocialBan»LIA»DT»DYN»AUT»W»NA»SS»NA»Free Account Refresh- Illustration ChC</v></cell><cell r="AH6232"><v>223560347</v></cell><cell r="AI6232" t="str"><v>AzurePlatform_FreeAcctAppsFACEBOOKIllustrationChC_GBR_1200x628_SOC_PLAT_EN_Trial_Standard_NA_SU_T3_1</v></cell><cell r="AJ6232"><v>102857037</v></cell></row><row r="6233"><cell r="C6233" t="str"><v>43326Facebook»Audience & Interest Targeting»1x1»SocialBan»LIA»DT»DYN»AUT»W»NA»SS»NA»Free Account Refresh- Lifestyle ChA</v></cell><cell r="D6233" t="str"><v>43326223560341</v></cell><cell r="E6233" t="str"><v>43326102853597le ChA</v></cell><cell r="F6233" t="str"><v>DCM</v></cell><cell r="G6233" t="str"><v>https://azure.microsoft.com/en-gb/free/search/</v></cell></row><row r="6233"><cell r="K6233" t="str"><v>August</v></cell><cell r="L6233"><v>43330</v></cell><cell r="M6233" t="str"><v>Tier 1</v></cell><cell r="N6233" t="str"><v>EMEA</v></cell><cell r="O6233" t="str"><v>United Kingdom</v></cell><cell r="P6233" t="str"><v>Trial</v></cell><cell r="Q6233" t="str"><v>Social</v></cell><cell r="R6233" t="str"><v>Azure</v></cell><cell r="S6233" t="str"><v>Apps & Infra</v></cell><cell r="T6233" t="str"><v>Developers & ITI's</v></cell><cell r="U6233" t="str"><v>Audience & Interest Targeting</v></cell><cell r="V6233" t="str"><v>Audience Targeting</v></cell><cell r="W6233" t="str"><v>Link Ad</v></cell><cell r="X6233" t="str"><v>1x1</v></cell></row><row r="6233"><cell r="AA6233"><v>43326</v></cell><cell r="AB6233" t="str"><v>GBR_gaPMG_CE_AZR_Q1_19_Trial-Social</v></cell><cell r="AC6233"><v>21337013</v></cell><cell r="AD6233"><v>720196</v></cell><cell r="AE6233" t="str"><v>Facebook</v></cell><cell r="AF6233"><v>3654128</v></cell><cell r="AG6233" t="str"><v>Facebook»Audience & Interest Targeting»1x1»SocialBan»LIA»DT»DYN»AUT»W»NA»SS»NA»Free Account Refresh- Lifestyle ChA</v></cell><cell r="AH6233"><v>223560341</v></cell><cell r="AI6233" t="str"><v>AzurePlatform_FreeAcctAppsFACEBOOKLifestyleChA_GBR_1200x628_SOC_PLAT_EN_Trial_Standard_NA_SU_T1_1</v></cell><cell r="AJ6233"><v>102853597</v></cell></row><row r="6234"><cell r="C6234" t="str"><v>43326Facebook»Retargeting»1x1»SocialBan»LIA»DT»DYN»RT»W»NA»SS»NA»Free Account Retargeting Generic- Animated ChC</v></cell><cell r="D6234" t="str"><v>43326223560299</v></cell><cell r="E6234" t="str"><v>43326102854019ed ChC</v></cell><cell r="F6234" t="str"><v>DCM</v></cell><cell r="G6234" t="str"><v>https://azure.microsoft.com/en-gb/free/search/</v></cell></row><row r="6234"><cell r="K6234" t="str"><v>August</v></cell><cell r="L6234"><v>43330</v></cell><cell r="M6234" t="str"><v>Tier 1</v></cell><cell r="N6234" t="str"><v>EMEA</v></cell><cell r="O6234" t="str"><v>United Kingdom</v></cell><cell r="P6234" t="str"><v>Trial</v></cell><cell r="Q6234" t="str"><v>Social</v></cell><cell r="R6234" t="str"><v>Azure</v></cell><cell r="S6234" t="str"><v>Apps & Infra</v></cell><cell r="T6234" t="str"><v>Developers & ITI's</v></cell><cell r="U6234" t="str"><v>Retargeting</v></cell><cell r="V6234" t="str"><v>Retargeting</v></cell><cell r="W6234" t="str"><v>Link Ad</v></cell><cell r="X6234" t="str"><v>1x1</v></cell></row><row r="6234"><cell r="AA6234"><v>43326</v></cell><cell r="AB6234" t="str"><v>GBR_gaPMG_CE_AZR_Q1_19_Trial-Social</v></cell><cell r="AC6234"><v>21337013</v></cell><cell r="AD6234"><v>720196</v></cell><cell r="AE6234" t="str"><v>Facebook</v></cell><cell r="AF6234"><v>3654128</v></cell><cell r="AG6234" t="str"><v>Facebook»Retargeting»1x1»SocialBan»LIA»DT»DYN»RT»W»NA»SS»NA»Free Account Retargeting Generic- Animated ChC</v></cell><cell r="AH6234"><v>223560299</v></cell><cell r="AI6234" t="str"><v>AzurePlatform_FreeAcctRetargetingFB-Animated-ChC_GBR_1200x628_SOC_Plat_EN_Free Account_Standard_ANI_SU_T3_1</v></cell><cell r="AJ6234"><v>102854019</v></cell></row><row r="6235"><cell r="C6235" t="str"><v>43326Facebook»Retargeting»1x1»SocialBan»LIA»DT»DYN»RT»W»NA»SS»NA»Free Account Retargeting Generic- Global Alt ChB</v></cell><cell r="D6235" t="str"><v>43326223560356</v></cell><cell r="E6235" t="str"><v>43326102854016lt ChB</v></cell><cell r="F6235" t="str"><v>DCM</v></cell><cell r="G6235" t="str"><v>https://azure.microsoft.com/en-gb/free/search/</v></cell></row><row r="6235"><cell r="K6235" t="str"><v>August</v></cell><cell r="L6235"><v>43330</v></cell><cell r="M6235" t="str"><v>Tier 1</v></cell><cell r="N6235" t="str"><v>EMEA</v></cell><cell r="O6235" t="str"><v>United Kingdom</v></cell><cell r="P6235" t="str"><v>Trial</v></cell><cell r="Q6235" t="str"><v>Social</v></cell><cell r="R6235" t="str"><v>Azure</v></cell><cell r="S6235" t="str"><v>Apps & Infra</v></cell><cell r="T6235" t="str"><v>Developers & ITI's</v></cell><cell r="U6235" t="str"><v>Retargeting</v></cell><cell r="V6235" t="str"><v>Retargeting</v></cell><cell r="W6235" t="str"><v>Link Ad</v></cell><cell r="X6235" t="str"><v>1x1</v></cell></row><row r="6235"><cell r="AA6235"><v>43326</v></cell><cell r="AB6235" t="str"><v>GBR_gaPMG_CE_AZR_Q1_19_Trial-Social</v></cell><cell r="AC6235"><v>21337013</v></cell><cell r="AD6235"><v>720196</v></cell><cell r="AE6235" t="str"><v>Facebook</v></cell><cell r="AF6235"><v>3654128</v></cell><cell r="AG6235" t="str"><v>Facebook»Retargeting»1x1»SocialBan»LIA»DT»DYN»RT»W»NA»SS»NA»Free Account Retargeting Generic- Global Alt ChB</v></cell><cell r="AH6235"><v>223560356</v></cell><cell r="AI6235" t="str"><v>AzurePlatform_FreeAcctRetargetingFB-GlobalAlt-ChB_GBR_1200x628_SOC_Plat_EN_Free Account_Standard_NA_SU_T2_1</v></cell><cell r="AJ6235"><v>102854016</v></cell></row><row r="6236"><cell r="C6236" t="str"><v>43326Facebook»Retargeting»1x1»SocialBan»LIA»DT»DYN»RT»W»NA»SS»NA»Free Account Retargeting OSS- Logos ChG</v></cell><cell r="D6236" t="str"><v>43326223560350</v></cell><cell r="E6236" t="str"><v>43326103006547os ChG</v></cell><cell r="F6236" t="str"><v>DCM</v></cell><cell r="G6236" t="str"><v>https://azure.microsoft.com/en-gb/free/open-source/search/</v></cell></row><row r="6236"><cell r="K6236" t="str"><v>August</v></cell><cell r="L6236"><v>43330</v></cell><cell r="M6236" t="str"><v>Tier 1</v></cell><cell r="N6236" t="str"><v>EMEA</v></cell><cell r="O6236" t="str"><v>United Kingdom</v></cell><cell r="P6236" t="str"><v>Trial</v></cell><cell r="Q6236" t="str"><v>Social</v></cell><cell r="R6236" t="str"><v>Azure</v></cell><cell r="S6236" t="str"><v>Apps & Infra</v></cell><cell r="T6236" t="str"><v>Developers & ITI's</v></cell><cell r="U6236" t="str"><v>Retargeting</v></cell><cell r="V6236" t="str"><v>Retargeting</v></cell><cell r="W6236" t="str"><v>Link Ad</v></cell><cell r="X6236" t="str"><v>1x1</v></cell></row><row r="6236"><cell r="AA6236"><v>43326</v></cell><cell r="AB6236" t="str"><v>GBR_gaPMG_CE_AZR_Q1_19_Trial-Social</v></cell><cell r="AC6236"><v>21337013</v></cell><cell r="AD6236"><v>720196</v></cell><cell r="AE6236" t="str"><v>Facebook</v></cell><cell r="AF6236"><v>3654128</v></cell><cell r="AG6236" t="str"><v>Facebook»Retargeting»1x1»SocialBan»LIA»DT»DYN»RT»W»NA»SS»NA»Free Account Retargeting OSS- Logos ChG</v></cell><cell r="AH6236"><v>223560350</v></cell><cell r="AI6236" t="str"><v>AzurePlatform_FreeAcctRetargetingOSSFB-Logos-ChG_GBR_1200x628_SOC_Plat_EN_Free Account_Standard_NA_SU_T2_1</v></cell><cell r="AJ6236"><v>103006547</v></cell></row><row r="6237"><cell r="C6237" t="str"><v>43326Facebook»Retargeting»1x1»SocialBan»LIA»DT»DYN»RT»W»NA»SS»NA»Free Account Retargeting OSS- Text ChF</v></cell><cell r="D6237" t="str"><v>43326223560344</v></cell><cell r="E6237" t="str"><v>43326102861246xt ChF</v></cell><cell r="F6237" t="str"><v>DCM</v></cell><cell r="G6237" t="str"><v>https://azure.microsoft.com/en-gb/free/open-source/search/</v></cell></row><row r="6237"><cell r="K6237" t="str"><v>August</v></cell><cell r="L6237"><v>43330</v></cell><cell r="M6237" t="str"><v>Tier 1</v></cell><cell r="N6237" t="str"><v>EMEA</v></cell><cell r="O6237" t="str"><v>United Kingdom</v></cell><cell r="P6237" t="str"><v>Trial</v></cell><cell r="Q6237" t="str"><v>Social</v></cell><cell r="R6237" t="str"><v>Azure</v></cell><cell r="S6237" t="str"><v>Apps & Infra</v></cell><cell r="T6237" t="str"><v>Developers & ITI's</v></cell><cell r="U6237" t="str"><v>Retargeting</v></cell><cell r="V6237" t="str"><v>Retargeting</v></cell><cell r="W6237" t="str"><v>Link Ad</v></cell><cell r="X6237" t="str"><v>1x1</v></cell></row><row r="6237"><cell r="AA6237"><v>43326</v></cell><cell r="AB6237" t="str"><v>GBR_gaPMG_CE_AZR_Q1_19_Trial-Social</v></cell><cell r="AC6237"><v>21337013</v></cell><cell r="AD6237"><v>720196</v></cell><cell r="AE6237" t="str"><v>Facebook</v></cell><cell r="AF6237"><v>3654128</v></cell><cell r="AG6237" t="str"><v>Facebook»Retargeting»1x1»SocialBan»LIA»DT»DYN»RT»W»NA»SS»NA»Free Account Retargeting OSS- Text ChF</v></cell><cell r="AH6237"><v>223560344</v></cell><cell r="AI6237" t="str"><v>AzurePlatform_FreeAcctRetargetingOSSFB-Text-ChF_GBR_1200x628_SOC_Plat_EN_Free Account_Standard_NA_SU_T1_1</v></cell><cell r="AJ6237"><v>102861246</v></cell></row><row r="6238"><cell r="C6238" t="str"><v>43326Facebook»Retargeting»1x1»SocialBan»LIA»DT»DYN»RT»W»NA»SS»NA»Free Account Retargeting VM- 750 Hrs ChD</v></cell><cell r="D6238" t="str"><v>43326223560338</v></cell><cell r="E6238" t="str"><v>43326102853603rs ChD</v></cell><cell r="F6238" t="str"><v>DCM</v></cell><cell r="G6238" t="str"><v>https://azure.microsoft.com/en-gb/free/virtual-machines/search/</v></cell></row><row r="6238"><cell r="K6238" t="str"><v>August</v></cell><cell r="L6238"><v>43330</v></cell><cell r="M6238" t="str"><v>Tier 1</v></cell><cell r="N6238" t="str"><v>EMEA</v></cell><cell r="O6238" t="str"><v>United Kingdom</v></cell><cell r="P6238" t="str"><v>Trial</v></cell><cell r="Q6238" t="str"><v>Social</v></cell><cell r="R6238" t="str"><v>Azure</v></cell><cell r="S6238" t="str"><v>Apps & Infra</v></cell><cell r="T6238" t="str"><v>Developers & ITI's</v></cell><cell r="U6238" t="str"><v>Retargeting</v></cell><cell r="V6238" t="str"><v>Retargeting</v></cell><cell r="W6238" t="str"><v>Link Ad</v></cell><cell r="X6238" t="str"><v>1x1</v></cell></row><row r="6238"><cell r="AA6238"><v>43326</v></cell><cell r="AB6238" t="str"><v>GBR_gaPMG_CE_AZR_Q1_19_Trial-Social</v></cell><cell r="AC6238"><v>21337013</v></cell><cell r="AD6238"><v>720196</v></cell><cell r="AE6238" t="str"><v>Facebook</v></cell><cell r="AF6238"><v>3654128</v></cell><cell r="AG6238" t="str"><v>Facebook»Retargeting»1x1»SocialBan»LIA»DT»DYN»RT»W»NA»SS»NA»Free Account Retargeting VM- 750 Hrs ChD</v></cell><cell r="AH6238"><v>223560338</v></cell><cell r="AI6238" t="str"><v>AzurePlatform_FreeAcctRetargetingVMFB-750Hrs-ChD_GBR_1200x628_SOC_Plat_EN_Free Account_Standard_NA_SU_T1_1</v></cell><cell r="AJ6238"><v>102853603</v></cell></row><row r="6239"><cell r="C6239" t="str"><v>43326Facebook»Retargeting»1x1»SocialBan»LIA»DT»DYN»RT»W»NA»SS»NA»Free Account Retargeting VM- On Demand ChE</v></cell><cell r="D6239" t="str"><v>43326223560332</v></cell><cell r="E6239" t="str"><v>43326102854037nd ChE</v></cell><cell r="F6239" t="str"><v>DCM</v></cell><cell r="G6239" t="str"><v>https://azure.microsoft.com/en-gb/free/virtual-machines/search/</v></cell></row><row r="6239"><cell r="K6239" t="str"><v>August</v></cell><cell r="L6239"><v>43330</v></cell><cell r="M6239" t="str"><v>Tier 1</v></cell><cell r="N6239" t="str"><v>EMEA</v></cell><cell r="O6239" t="str"><v>United Kingdom</v></cell><cell r="P6239" t="str"><v>Trial</v></cell><cell r="Q6239" t="str"><v>Social</v></cell><cell r="R6239" t="str"><v>Azure</v></cell><cell r="S6239" t="str"><v>Apps & Infra</v></cell><cell r="T6239" t="str"><v>Developers & ITI's</v></cell><cell r="U6239" t="str"><v>Retargeting</v></cell><cell r="V6239" t="str"><v>Retargeting</v></cell><cell r="W6239" t="str"><v>Link Ad</v></cell><cell r="X6239" t="str"><v>1x1</v></cell></row><row r="6239"><cell r="AA6239"><v>43326</v></cell><cell r="AB6239" t="str"><v>GBR_gaPMG_CE_AZR_Q1_19_Trial-Social</v></cell><cell r="AC6239"><v>21337013</v></cell><cell r="AD6239"><v>720196</v></cell><cell r="AE6239" t="str"><v>Facebook</v></cell><cell r="AF6239"><v>3654128</v></cell><cell r="AG6239" t="str"><v>Facebook»Retargeting»1x1»SocialBan»LIA»DT»DYN»RT»W»NA»SS»NA»Free Account Retargeting VM- On Demand ChE</v></cell><cell r="AH6239"><v>223560332</v></cell><cell r="AI6239" t="str"><v>AzurePlatform_FreeAcctRetargetingVMFB-OnDemand-ChE_GBR_1200x628_SOC_Plat_EN_Free Account_Standard_NA_SU_T2_1</v></cell><cell r="AJ6239"><v>102854037</v></cell></row><row r="6240"><cell r="C6240" t="str"><v>43326Facebook»AZP-Canvas-Look a Like-Trial»1x1»Canvas»OTH»MO»CPM»PRO»X»UNK»TP»OT»Canvas-Trial</v></cell><cell r="D6240" t="str"><v>43326223297413</v></cell><cell r="E6240" t="str"><v>43326102630373-Trial</v></cell><cell r="F6240" t="str"><v>DCM</v></cell><cell r="G6240" t="str"><v>https://azure.microsoft.com/ja-jp/pricing/purchase-options/</v></cell></row><row r="6240"><cell r="K6240" t="str"><v>August</v></cell><cell r="L6240"><v>43330</v></cell><cell r="M6240" t="str"><v>Tier 1</v></cell><cell r="N6240" t="str"><v>APAC</v></cell><cell r="O6240" t="str"><v>Japan</v></cell><cell r="P6240" t="str"><v>Trial</v></cell><cell r="Q6240" t="str"><v>Social</v></cell><cell r="R6240" t="str"><v>Azure</v></cell><cell r="S6240" t="str"><v>Apps & Infra</v></cell><cell r="T6240" t="str"><v>Developers & ITI's</v></cell><cell r="U6240" t="str"><v>AZP-Canvas-Look a Like-Trial</v></cell><cell r="V6240" t="str"><v>Prospecting</v></cell><cell r="W6240" t="str"><v>Other</v></cell><cell r="X6240" t="str"><v>1x1</v></cell></row><row r="6240"><cell r="AA6240"><v>43326</v></cell><cell r="AB6240" t="str"><v>JPN_gaPMG_AZR_AZR_Q1_19_Trial-Social</v></cell><cell r="AC6240"><v>21276694</v></cell><cell r="AD6240"><v>720195</v></cell><cell r="AE6240" t="str"><v>Facebook</v></cell><cell r="AF6240"><v>3654128</v></cell><cell r="AG6240" t="str"><v>Facebook»AZP-Canvas-Look a Like-Trial»1x1»Canvas»OTH»MO»CPM»PRO»X»UNK»TP»OT»Canvas-Trial</v></cell><cell r="AH6240"><v>223297413</v></cell><cell r="AI6240" t="str"><v>AzurePlatform_FBCTCcanvaspage-BuyNowCTA-Img3_JPN_1080x162_SOC_Plat_Japanese_NA_Standard_NA_BN_T3_1</v></cell><cell r="AJ6240"><v>102630373</v></cell></row><row r="6241"><cell r="C6241" t="str"><v>43326Facebook»AZP-Canvas-Look a Like-Trial»1x1»Canvas»OTH»MO»CPM»PRO»X»UNK»TP»OT»Canvas-Trial</v></cell><cell r="D6241" t="str"><v>43326223297413</v></cell><cell r="E6241" t="str"><v>43326102609621-Trial</v></cell><cell r="F6241" t="str"><v>DCM</v></cell><cell r="G6241" t="str"><v>https://signup.azure.com/signup?offer=ms-azr-0044p&appId=102&ref=paidmedia-social-fb&redirectURL=https%3a%2f%2fazure.microsoft.com%2fja-jp%2fget-started%2fwelcome-to-azure%2f&l=ja-jp&correlationId=ead86c34-1f10-49dd-a72b-6918462a2cbf</v></cell></row><row r="6241"><cell r="K6241" t="str"><v>August</v></cell><cell r="L6241"><v>43330</v></cell><cell r="M6241" t="str"><v>Tier 1</v></cell><cell r="N6241" t="str"><v>APAC</v></cell><cell r="O6241" t="str"><v>Japan</v></cell><cell r="P6241" t="str"><v>Trial</v></cell><cell r="Q6241" t="str"><v>Social</v></cell><cell r="R6241" t="str"><v>Azure</v></cell><cell r="S6241" t="str"><v>Apps & Infra</v></cell><cell r="T6241" t="str"><v>Developers & ITI's</v></cell><cell r="U6241" t="str"><v>AZP-Canvas-Look a Like-Trial</v></cell><cell r="V6241" t="str"><v>Prospecting</v></cell><cell r="W6241" t="str"><v>Other</v></cell><cell r="X6241" t="str"><v>1x1</v></cell></row><row r="6241"><cell r="AA6241"><v>43326</v></cell><cell r="AB6241" t="str"><v>JPN_gaPMG_AZR_AZR_Q1_19_Trial-Social</v></cell><cell r="AC6241"><v>21276694</v></cell><cell r="AD6241"><v>720195</v></cell><cell r="AE6241" t="str"><v>Facebook</v></cell><cell r="AF6241"><v>3654128</v></cell><cell r="AG6241" t="str"><v>Facebook»AZP-Canvas-Look a Like-Trial»1x1»Canvas»OTH»MO»CPM»PRO»X»UNK»TP»OT»Canvas-Trial</v></cell><cell r="AH6241"><v>223297413</v></cell><cell r="AI6241" t="str"><v>AzurePlatform_FBCTCcanvaspage-StartFreeCTA-Img2_JPN_1080x143 _SOC_Plat_Japanese_NA_Standard_NA_NA_T2_1</v></cell><cell r="AJ6241"><v>102609621</v></cell></row><row r="6242"><cell r="C6242" t="str"><v>43326Facebook»AZP-Canvas-Retargeting-Trial»1x1»Canvas»SOC»MO»CPM»PRO»W»UNK»SS»OT»Canvas-Trial</v></cell><cell r="D6242" t="str"><v>43326226269941</v></cell><cell r="E6242" t="str"><v>43326104060547-Trial</v></cell><cell r="F6242" t="str"><v>DCM</v></cell><cell r="G6242" t="str"><v>https://azure.microsoft.com/ja-jp/pricing/purchase-options/</v></cell></row><row r="6242"><cell r="K6242" t="str"><v>August</v></cell><cell r="L6242"><v>43330</v></cell><cell r="M6242" t="str"><v>Tier 1</v></cell><cell r="N6242" t="str"><v>APAC</v></cell><cell r="O6242" t="str"><v>Japan</v></cell><cell r="P6242" t="str"><v>Trial</v></cell><cell r="Q6242" t="str"><v>Social</v></cell><cell r="R6242" t="str"><v>Azure</v></cell><cell r="S6242" t="str"><v>Apps & Infra</v></cell><cell r="T6242" t="str"><v>Developers & ITI's</v></cell><cell r="U6242" t="str"><v>AZP-Canvas-Retargeting-Trial</v></cell><cell r="V6242" t="str"><v>Prospecting</v></cell><cell r="W6242" t="str"><v>Social</v></cell><cell r="X6242" t="str"><v>1x1</v></cell></row><row r="6242"><cell r="AA6242"><v>43326</v></cell><cell r="AB6242" t="str"><v>JPN_gaPMG_AZR_AZR_Q1_19_Trial-Social</v></cell><cell r="AC6242"><v>21276694</v></cell><cell r="AD6242"><v>720195</v></cell><cell r="AE6242" t="str"><v>Facebook</v></cell><cell r="AF6242"><v>3654128</v></cell><cell r="AG6242" t="str"><v>Facebook»AZP-Canvas-Retargeting-Trial»1x1»Canvas»SOC»MO»CPM»PRO»W»UNK»SS»OT»Canvas-Trial</v></cell><cell r="AH6242"><v>226269941</v></cell><cell r="AI6242" t="str"><v>AZR_FBCTCcanvaspage-BuyNowCTA-Img3_JPN_1080x162_SOC_Plat_Japanese_NA_Standard_NA_BN_T3_1</v></cell><cell r="AJ6242"><v>104060547</v></cell></row><row r="6243"><cell r="C6243" t="str"><v>43326Facebook»AZP-Canvas-Retargeting-Trial»1x1»Canvas»SOC»MO»CPM»PRO»W»UNK»SS»OT»Canvas-Trial</v></cell><cell r="D6243" t="str"><v>43326226269941</v></cell><cell r="E6243" t="str"><v>43326104061321-Trial</v></cell><cell r="F6243" t="str"><v>DCM</v></cell><cell r="G6243" t="str"><v>https://signup.azure.com/signup?offer=ms-azr-0044p&appId=102&ref=paidmedia-social-fb&redirectURL=https%3a%2f%2fazure.microsoft.com%2fja-jp%2fget-started%2fwelcome-to-azure%2f&l=ja-jp&correlationId=ead86c34-1f10-49dd-a72b-6918462a2cbf</v></cell></row><row r="6243"><cell r="K6243" t="str"><v>August</v></cell><cell r="L6243"><v>43330</v></cell><cell r="M6243" t="str"><v>Tier 1</v></cell><cell r="N6243" t="str"><v>APAC</v></cell><cell r="O6243" t="str"><v>Japan</v></cell><cell r="P6243" t="str"><v>Trial</v></cell><cell r="Q6243" t="str"><v>Social</v></cell><cell r="R6243" t="str"><v>Azure</v></cell><cell r="S6243" t="str"><v>Apps & Infra</v></cell><cell r="T6243" t="str"><v>Developers & ITI's</v></cell><cell r="U6243" t="str"><v>AZP-Canvas-Retargeting-Trial</v></cell><cell r="V6243" t="str"><v>Prospecting</v></cell><cell r="W6243" t="str"><v>Social</v></cell><cell r="X6243" t="str"><v>1x1</v></cell></row><row r="6243"><cell r="AA6243"><v>43326</v></cell><cell r="AB6243" t="str"><v>JPN_gaPMG_AZR_AZR_Q1_19_Trial-Social</v></cell><cell r="AC6243"><v>21276694</v></cell><cell r="AD6243"><v>720195</v></cell><cell r="AE6243" t="str"><v>Facebook</v></cell><cell r="AF6243"><v>3654128</v></cell><cell r="AG6243" t="str"><v>Facebook»AZP-Canvas-Retargeting-Trial»1x1»Canvas»SOC»MO»CPM»PRO»W»UNK»SS»OT»Canvas-Trial</v></cell><cell r="AH6243"><v>226269941</v></cell><cell r="AI6243" t="str"><v>AZR_FBCTCcanvaspage-StartFreeCTA-Img2_JPN_1080x143 _SOC_Plat_Japanese_NA_Standard_NA_NA_T2_1</v></cell><cell r="AJ6243"><v>104061321</v></cell></row><row r="6244"><cell r="C6244" t="str"><v>43326FACEBOOK»USA-Trial-ITD-Interest Prospecting-AZR-AZR»1 x 1»SocialBan»CAN»ALL»CPA»PRO»X»NA»SS»NA»FBCTCBenefit2inMotion»PRC1SW</v></cell><cell r="D6244" t="str"><v>43326223933138</v></cell><cell r="E6244" t="str"><v>43326103043835PRC1SW</v></cell><cell r="F6244" t="str"><v>DCM</v></cell><cell r="G6244" t="str"><v>https://signup.azure.com/?OCID=AID%eexcid!_OLA_%ebuy!_%epid!_%ecid!</v></cell></row><row r="6244"><cell r="K6244" t="str"><v>August</v></cell><cell r="L6244"><v>43330</v></cell><cell r="M6244" t="str"><v>Tier 0</v></cell><cell r="N6244" t="str"><v>North America</v></cell><cell r="O6244" t="str"><v>United States</v></cell><cell r="P6244" t="str"><v>Trial</v></cell><cell r="Q6244" t="str"><v>Social</v></cell><cell r="R6244" t="str"><v>Azure</v></cell><cell r="S6244" t="str"><v>Apps & Infra</v></cell><cell r="T6244" t="str"><v>Developers & ITI's</v></cell><cell r="U6244" t="str"><v>USA-Trial-ITD-Interest Prospecting-AZR-AZR</v></cell><cell r="V6244" t="str"><v>Prospecting</v></cell><cell r="W6244" t="str"><v>Canvas Ad</v></cell><cell r="X6244" t="str"><v>1x1</v></cell></row><row r="6244"><cell r="AA6244"><v>43326</v></cell><cell r="AB6244" t="str"><v>USA_gaPMG_AZR_AZR_Q1_19_Direct-Social</v></cell><cell r="AC6244"><v>21358715</v></cell><cell r="AD6244"><v>720197</v></cell><cell r="AE6244" t="str"><v>Facebook</v></cell><cell r="AF6244"><v>3654128</v></cell><cell r="AG6244" t="str"><v>FACEBOOK»USA-Trial-ITD-Interest Prospecting-AZR-AZR»1 x 1»SocialBan»CAN»ALL»CPA»PRO»X»NA»SS»NA»FBCTCBenefit2inMotion»PRC1SW</v></cell><cell r="AH6244"><v>223933138</v></cell><cell r="AI6244" t="str"><v>AzurePlatform_FBCTCBenefit2inMotion_USA_10s_CAN_PLATFORM_English_Trial_Standard_STAN_TIN_T4_1</v></cell><cell r="AJ6244"><v>103043835</v></cell></row><row r="6245"><cell r="C6245" t="str"><v>43326FACEBOOK»USA-Trial-ITD-Interest Prospecting-AZR-AZR»1 x 1»SocialBan»CAN»ALL»CPA»PRO»X»NA»SS»NA»FBCTCBenefit2inMotion»PRC1SW</v></cell><cell r="D6245" t="str"><v>43326223933138</v></cell><cell r="E6245" t="str"><v>43326103178645PRC1SW</v></cell><cell r="F6245" t="str"><v>DCM</v></cell><cell r="G6245" t="str"><v>https://azure.microsoft.com/en-us/pricing/purchase-options/?v=18.19&OCID=AID%eexcid!_OLA_%ebuy!_%epid!_%ecid!</v></cell></row><row r="6245"><cell r="K6245" t="str"><v>August</v></cell><cell r="L6245"><v>43330</v></cell><cell r="M6245" t="str"><v>Tier 0</v></cell><cell r="N6245" t="str"><v>North America</v></cell><cell r="O6245" t="str"><v>United States</v></cell><cell r="P6245" t="str"><v>Trial</v></cell><cell r="Q6245" t="str"><v>Social</v></cell><cell r="R6245" t="str"><v>Azure</v></cell><cell r="S6245" t="str"><v>Apps & Infra</v></cell><cell r="T6245" t="str"><v>Developers & ITI's</v></cell><cell r="U6245" t="str"><v>USA-Trial-ITD-Interest Prospecting-AZR-AZR</v></cell><cell r="V6245" t="str"><v>Prospecting</v></cell><cell r="W6245" t="str"><v>Canvas Ad</v></cell><cell r="X6245" t="str"><v>1x1</v></cell></row><row r="6245"><cell r="AA6245"><v>43326</v></cell><cell r="AB6245" t="str"><v>USA_gaPMG_AZR_AZR_Q1_19_Direct-Social</v></cell><cell r="AC6245"><v>21358715</v></cell><cell r="AD6245"><v>720197</v></cell><cell r="AE6245" t="str"><v>Facebook</v></cell><cell r="AF6245"><v>3654128</v></cell><cell r="AG6245" t="str"><v>FACEBOOK»USA-Trial-ITD-Interest Prospecting-AZR-AZR»1 x 1»SocialBan»CAN»ALL»CPA»PRO»X»NA»SS»NA»FBCTCBenefit2inMotion»PRC1SW</v></cell><cell r="AH6245"><v>223933138</v></cell><cell r="AI6245" t="str"><v>AzurePlatform_FBCTCBenefit2inMotion_USA_10s_CAN_PLATFORM_English_Trial_Standard_STAN_TIN_T4_2</v></cell><cell r="AJ6245"><v>103178645</v></cell></row><row r="6246"><cell r="C6246" t="str"><v>43326FACEBOOK»USA-Trial-ITD-Interest Prospecting-AZR-AZR»1 x 1»SocialBan»CAN»ALL»CPA»PRO»X»NA»SS»NA»FBCTCBrandinMotion»PRC1SY</v></cell><cell r="D6246" t="str"><v>43326224104929</v></cell><cell r="E6246" t="str"><v>43326103176812PRC1SY</v></cell><cell r="F6246" t="str"><v>DCM</v></cell><cell r="G6246" t="str"><v>https://signup.azure.com/?OCID=AID%eexcid!_OLA_%ebuy!_%epid!_%ecid!</v></cell></row><row r="6246"><cell r="K6246" t="str"><v>August</v></cell><cell r="L6246"><v>43330</v></cell><cell r="M6246" t="str"><v>Tier 0</v></cell><cell r="N6246" t="str"><v>North America</v></cell><cell r="O6246" t="str"><v>United States</v></cell><cell r="P6246" t="str"><v>Trial</v></cell><cell r="Q6246" t="str"><v>Social</v></cell><cell r="R6246" t="str"><v>Azure</v></cell><cell r="S6246" t="str"><v>Apps & Infra</v></cell><cell r="T6246" t="str"><v>Developers & ITI's</v></cell><cell r="U6246" t="str"><v>USA-Trial-ITD-Interest Prospecting-AZR-AZR</v></cell><cell r="V6246" t="str"><v>Prospecting</v></cell><cell r="W6246" t="str"><v>Canvas Ad</v></cell><cell r="X6246" t="str"><v>1x1</v></cell></row><row r="6246"><cell r="AA6246"><v>43326</v></cell><cell r="AB6246" t="str"><v>USA_gaPMG_AZR_AZR_Q1_19_Direct-Social</v></cell><cell r="AC6246"><v>21358715</v></cell><cell r="AD6246"><v>720197</v></cell><cell r="AE6246" t="str"><v>Facebook</v></cell><cell r="AF6246"><v>3654128</v></cell><cell r="AG6246" t="str"><v>FACEBOOK»USA-Trial-ITD-Interest Prospecting-AZR-AZR»1 x 1»SocialBan»CAN»ALL»CPA»PRO»X»NA»SS»NA»FBCTCBrandinMotion»PRC1SY</v></cell><cell r="AH6246"><v>224104929</v></cell><cell r="AI6246" t="str"><v>AzurePlatform_FBCTCBrandinMotion_USA_10s_CAN_PLATFORM_English_Trial_Standard_STAN_TIN_T2_1</v></cell><cell r="AJ6246"><v>103176812</v></cell></row><row r="6247"><cell r="C6247" t="str"><v>43326FACEBOOK»USA-Trial-ITD-Interest Prospecting-AZR-AZR»1 x 1»SocialBan»CAN»ALL»CPA»PRO»X»NA»SS»NA»FBCTCBrandinMotion»PRC1SY</v></cell><cell r="D6247" t="str"><v>43326224104929</v></cell><cell r="E6247" t="str"><v>43326103032823PRC1SY</v></cell><cell r="F6247" t="str"><v>DCM</v></cell><cell r="G6247" t="str"><v>https://azure.microsoft.com/en-us/pricing/purchase-options/?v=18.19&OCID=AID%eexcid!_OLA_%ebuy!_%epid!_%ecid!</v></cell></row><row r="6247"><cell r="K6247" t="str"><v>August</v></cell><cell r="L6247"><v>43330</v></cell><cell r="M6247" t="str"><v>Tier 0</v></cell><cell r="N6247" t="str"><v>North America</v></cell><cell r="O6247" t="str"><v>United States</v></cell><cell r="P6247" t="str"><v>Trial</v></cell><cell r="Q6247" t="str"><v>Social</v></cell><cell r="R6247" t="str"><v>Azure</v></cell><cell r="S6247" t="str"><v>Apps & Infra</v></cell><cell r="T6247" t="str"><v>Developers & ITI's</v></cell><cell r="U6247" t="str"><v>USA-Trial-ITD-Interest Prospecting-AZR-AZR</v></cell><cell r="V6247" t="str"><v>Prospecting</v></cell><cell r="W6247" t="str"><v>Canvas Ad</v></cell><cell r="X6247" t="str"><v>1x1</v></cell></row><row r="6247"><cell r="AA6247"><v>43326</v></cell><cell r="AB6247" t="str"><v>USA_gaPMG_AZR_AZR_Q1_19_Direct-Social</v></cell><cell r="AC6247"><v>21358715</v></cell><cell r="AD6247"><v>720197</v></cell><cell r="AE6247" t="str"><v>Facebook</v></cell><cell r="AF6247"><v>3654128</v></cell><cell r="AG6247" t="str"><v>FACEBOOK»USA-Trial-ITD-Interest Prospecting-AZR-AZR»1 x 1»SocialBan»CAN»ALL»CPA»PRO»X»NA»SS»NA»FBCTCBrandinMotion»PRC1SY</v></cell><cell r="AH6247"><v>224104929</v></cell><cell r="AI6247" t="str"><v>AzurePlatform_FBCTCBrandinMotion_USA_10s_CAN_PLATFORM_English_Trial_Standard_STAN_TIN_T2_2</v></cell><cell r="AJ6247"><v>103032823</v></cell></row><row r="6248"><cell r="C6248" t="str"><v>43326FACEBOOK»USA-Trial-ITD-Interest Prospecting-AZR-AZR»1 x 1»SocialBan»LIA»ALL»CPA»PRO»X»NA»SS»NA»FreeAcctITProFB-AnimatedSecureMngd-Ch1»PRC1T4</v></cell><cell r="D6248" t="str"><v>43326224104914</v></cell><cell r="E6248" t="str"><v>43326103176830PRC1T4</v></cell><cell r="F6248" t="str"><v>DCM</v></cell></row><row r="6248"><cell r="K6248" t="str"><v>August</v></cell><cell r="L6248"><v>43330</v></cell><cell r="M6248" t="str"><v>Tier 0</v></cell><cell r="N6248" t="str"><v>North America</v></cell><cell r="O6248" t="str"><v>United States</v></cell><cell r="P6248" t="str"><v>Trial</v></cell><cell r="Q6248" t="str"><v>Social</v></cell><cell r="R6248" t="str"><v>Azure</v></cell><cell r="S6248" t="str"><v>Apps & Infra</v></cell><cell r="T6248" t="str"><v>Developers & ITI's</v></cell><cell r="U6248" t="str"><v>USA-Trial-ITD-Interest Prospecting-AZR-AZR</v></cell><cell r="V6248" t="str"><v>Prospecting</v></cell><cell r="W6248" t="str"><v>Link Ad</v></cell><cell r="X6248" t="str"><v>1x1</v></cell></row><row r="6248"><cell r="AA6248"><v>43326</v></cell><cell r="AB6248" t="str"><v>USA_gaPMG_AZR_AZR_Q1_19_Direct-Social</v></cell><cell r="AC6248"><v>21358715</v></cell><cell r="AD6248"><v>720197</v></cell><cell r="AE6248" t="str"><v>Facebook</v></cell><cell r="AF6248"><v>3654128</v></cell><cell r="AG6248" t="str"><v>FACEBOOK»USA-Trial-ITD-Interest Prospecting-AZR-AZR»1 x 1»SocialBan»LIA»ALL»CPA»PRO»X»NA»SS»NA»FreeAcctITProFB-AnimatedSecureMngd-Ch1»PRC1T4</v></cell><cell r="AH6248"><v>224104914</v></cell><cell r="AI6248" t="str"><v>AZR_FreeAcctITProFB-AnimatedSecureMngd-Ch1_USA_1200x1200_CAN_Direct_English_Trial_Standard_ANI_LEA_T1_1</v></cell><cell r="AJ6248"><v>103176830</v></cell></row><row r="6249"><cell r="C6249" t="str"><v>43326FACEBOOK»USA-Trial-ITD-Interest Prospecting-AZR-AZR»1 x 1»SocialBan»CAN»ALL»CPA»PRO»X»NA»SS»NA»FBCTCBenefitinMotion»PRC1SX</v></cell><cell r="D6249" t="str"><v>43326224104077</v></cell><cell r="E6249" t="str"><v>43326103032775PRC1SX</v></cell><cell r="F6249" t="str"><v>DCM</v></cell><cell r="G6249" t="str"><v>https://signup.azure.com/?OCID=AID%eexcid!_OLA_%ebuy!_%epid!_%ecid!</v></cell></row><row r="6249"><cell r="K6249" t="str"><v>August</v></cell><cell r="L6249"><v>43330</v></cell><cell r="M6249" t="str"><v>Tier 0</v></cell><cell r="N6249" t="str"><v>North America</v></cell><cell r="O6249" t="str"><v>United States</v></cell><cell r="P6249" t="str"><v>Trial</v></cell><cell r="Q6249" t="str"><v>Social</v></cell><cell r="R6249" t="str"><v>Azure</v></cell><cell r="S6249" t="str"><v>Apps & Infra</v></cell><cell r="T6249" t="str"><v>Developers & ITI's</v></cell><cell r="U6249" t="str"><v>USA-Trial-ITD-Interest Prospecting-AZR-AZR</v></cell><cell r="V6249" t="str"><v>Prospecting</v></cell><cell r="W6249" t="str"><v>Canvas Ad</v></cell><cell r="X6249" t="str"><v>1x1</v></cell></row><row r="6249"><cell r="AA6249"><v>43326</v></cell><cell r="AB6249" t="str"><v>USA_gaPMG_AZR_AZR_Q1_19_Direct-Social</v></cell><cell r="AC6249"><v>21358715</v></cell><cell r="AD6249"><v>720197</v></cell><cell r="AE6249" t="str"><v>Facebook</v></cell><cell r="AF6249"><v>3654128</v></cell><cell r="AG6249" t="str"><v>FACEBOOK»USA-Trial-ITD-Interest Prospecting-AZR-AZR»1 x 1»SocialBan»CAN»ALL»CPA»PRO»X»NA»SS»NA»FBCTCBenefitinMotion»PRC1SX</v></cell><cell r="AH6249"><v>224104077</v></cell><cell r="AI6249" t="str"><v>AzurePlatform_FBCTCBenefitinMotion_USA_10s_CAN_PLATFORM_English_Trial_Standard_STAN_TIN_T3_1</v></cell><cell r="AJ6249"><v>103032775</v></cell></row><row r="6250"><cell r="C6250" t="str"><v>43326FACEBOOK»USA-Trial-ITD-Interest Prospecting-AZR-AZR»1 x 1»SocialBan»CAN»ALL»CPA»PRO»X»NA»SS»NA»FBCTCBenefitinMotion»PRC1SX</v></cell><cell r="D6250" t="str"><v>43326224104077</v></cell><cell r="E6250" t="str"><v>43326103176836PRC1SX</v></cell><cell r="F6250" t="str"><v>DCM</v></cell><cell r="G6250" t="str"><v>https://azure.microsoft.com/en-us/pricing/purchase-options/?v=18.19&OCID=AID%eexcid!_OLA_%ebuy!_%epid!_%ecid!</v></cell></row><row r="6250"><cell r="K6250" t="str"><v>August</v></cell><cell r="L6250"><v>43330</v></cell><cell r="M6250" t="str"><v>Tier 0</v></cell><cell r="N6250" t="str"><v>North America</v></cell><cell r="O6250" t="str"><v>United States</v></cell><cell r="P6250" t="str"><v>Trial</v></cell><cell r="Q6250" t="str"><v>Social</v></cell><cell r="R6250" t="str"><v>Azure</v></cell><cell r="S6250" t="str"><v>Apps & Infra</v></cell><cell r="T6250" t="str"><v>Developers & ITI's</v></cell><cell r="U6250" t="str"><v>USA-Trial-ITD-Interest Prospecting-AZR-AZR</v></cell><cell r="V6250" t="str"><v>Prospecting</v></cell><cell r="W6250" t="str"><v>Canvas Ad</v></cell><cell r="X6250" t="str"><v>1x1</v></cell></row><row r="6250"><cell r="AA6250"><v>43326</v></cell><cell r="AB6250" t="str"><v>USA_gaPMG_AZR_AZR_Q1_19_Direct-Social</v></cell><cell r="AC6250"><v>21358715</v></cell><cell r="AD6250"><v>720197</v></cell><cell r="AE6250" t="str"><v>Facebook</v></cell><cell r="AF6250"><v>3654128</v></cell><cell r="AG6250" t="str"><v>FACEBOOK»USA-Trial-ITD-Interest Prospecting-AZR-AZR»1 x 1»SocialBan»CAN»ALL»CPA»PRO»X»NA»SS»NA»FBCTCBenefitinMotion»PRC1SX</v></cell><cell r="AH6250"><v>224104077</v></cell><cell r="AI6250" t="str"><v>AzurePlatform_FBCTCBenefitinMotion_USA_10s_CAN_PLATFORM_English_Trial_Standard_STAN_TIN_T3_2</v></cell><cell r="AJ6250"><v>103176836</v></cell></row><row r="6251"><cell r="C6251" t="str"><v>43326FACEBOOK»USA-Trial-ITD-Interest Prospecting-AZR-AZR»1 x 1»SocialBan»CCA»ALL»CPA»PRO»X»NA»SS»NA»Azure Developer Facebook Collections»PRSGV0</v></cell><cell r="D6251" t="str"><v>43326225283843</v></cell><cell r="E6251" t="str"><v>43326103773177PRSGV0</v></cell><cell r="F6251" t="str"><v>DCM</v></cell><cell r="G6251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251"><cell r="K6251" t="str"><v>August</v></cell><cell r="L6251"><v>43330</v></cell><cell r="M6251" t="str"><v>Tier 0</v></cell><cell r="N6251" t="str"><v>North America</v></cell><cell r="O6251" t="str"><v>United States</v></cell><cell r="P6251" t="str"><v>Trial</v></cell><cell r="Q6251" t="str"><v>Social</v></cell><cell r="R6251" t="str"><v>Azure</v></cell><cell r="S6251" t="str"><v>Apps & Infra</v></cell><cell r="T6251" t="str"><v>Developers & ITI's</v></cell><cell r="U6251" t="str"><v>USA-Trial-ITD-Interest Prospecting-AZR-AZR</v></cell><cell r="V6251" t="str"><v>Prospecting</v></cell><cell r="W6251" t="str"><v>Canvas Collection Ad</v></cell><cell r="X6251" t="str"><v>1x1</v></cell></row><row r="6251"><cell r="AA6251"><v>43326</v></cell><cell r="AB6251" t="str"><v>USA_gaPMG_AZR_AZR_Q1_19_Direct-Social</v></cell><cell r="AC6251"><v>21358715</v></cell><cell r="AD6251"><v>720197</v></cell><cell r="AE6251" t="str"><v>Facebook</v></cell><cell r="AF6251"><v>3654128</v></cell><cell r="AG6251" t="str"><v>FACEBOOK»USA-Trial-ITD-Interest Prospecting-AZR-AZR»1 x 1»SocialBan»CCA»ALL»CPA»PRO»X»NA»SS»NA»Azure Developer Facebook Collections»PRSGV0</v></cell><cell r="AH6251"><v>225283843</v></cell><cell r="AI6251" t="str"><v>AZR_FBCollections-AITryAzureFreeCTA-Img2_USA_1200x182_SOC_Plat_EN_NA_Standard_NA_TIN_T1_2</v></cell><cell r="AJ6251"><v>103773177</v></cell></row><row r="6252"><cell r="C6252" t="str"><v>43326FACEBOOK»USA-Trial-ITD-Interest Prospecting-AZR-AZR»1 x 1»SocialBan»CCA»ALL»CPA»PRO»X»NA»SS»NA»Azure Developer Facebook Collections»PRSGV0</v></cell><cell r="D6252" t="str"><v>43326225283843</v></cell><cell r="E6252" t="str"><v>43326103776921PRSGV0</v></cell><cell r="F6252" t="str"><v>DCM</v></cell><cell r="G6252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252"><cell r="K6252" t="str"><v>August</v></cell><cell r="L6252"><v>43330</v></cell><cell r="M6252" t="str"><v>Tier 0</v></cell><cell r="N6252" t="str"><v>North America</v></cell><cell r="O6252" t="str"><v>United States</v></cell><cell r="P6252" t="str"><v>Trial</v></cell><cell r="Q6252" t="str"><v>Social</v></cell><cell r="R6252" t="str"><v>Azure</v></cell><cell r="S6252" t="str"><v>Apps & Infra</v></cell><cell r="T6252" t="str"><v>Developers & ITI's</v></cell><cell r="U6252" t="str"><v>USA-Trial-ITD-Interest Prospecting-AZR-AZR</v></cell><cell r="V6252" t="str"><v>Prospecting</v></cell><cell r="W6252" t="str"><v>Canvas Collection Ad</v></cell><cell r="X6252" t="str"><v>1x1</v></cell></row><row r="6252"><cell r="AA6252"><v>43326</v></cell><cell r="AB6252" t="str"><v>USA_gaPMG_AZR_AZR_Q1_19_Direct-Social</v></cell><cell r="AC6252"><v>21358715</v></cell><cell r="AD6252"><v>720197</v></cell><cell r="AE6252" t="str"><v>Facebook</v></cell><cell r="AF6252"><v>3654128</v></cell><cell r="AG6252" t="str"><v>FACEBOOK»USA-Trial-ITD-Interest Prospecting-AZR-AZR»1 x 1»SocialBan»CCA»ALL»CPA»PRO»X»NA»SS»NA»Azure Developer Facebook Collections»PRSGV0</v></cell><cell r="AH6252"><v>225283843</v></cell><cell r="AI6252" t="str"><v>AZR_FBCollections-FreeStuffTryAzureFreeCTA-Img5_USA_1200x182_SOC_Plat_EN_NA_Standard_NA_TIN_T1_5</v></cell><cell r="AJ6252"><v>103776921</v></cell></row><row r="6253"><cell r="C6253" t="str"><v>43326FACEBOOK»USA-Trial-ITD-Retargeting-AZR-AZR»1 x 1»SocialBan»LIA»ALL»CPA»RT»X»NA»SS»NA»FreeAcctITProFB-AnimatedMigration-Ch3»PRC26P</v></cell><cell r="D6253" t="str"><v>43326223934056</v></cell><cell r="E6253" t="str"><v>43326103176827PRC26P</v></cell><cell r="F6253" t="str"><v>DCM</v></cell></row><row r="6253"><cell r="K6253" t="str"><v>August</v></cell><cell r="L6253"><v>43330</v></cell><cell r="M6253" t="str"><v>Tier 0</v></cell><cell r="N6253" t="str"><v>North America</v></cell><cell r="O6253" t="str"><v>United States</v></cell><cell r="P6253" t="str"><v>Trial</v></cell><cell r="Q6253" t="str"><v>Social</v></cell><cell r="R6253" t="str"><v>Azure</v></cell><cell r="S6253" t="str"><v>Apps & Infra</v></cell><cell r="T6253" t="str"><v>Developers & ITI's</v></cell><cell r="U6253" t="str"><v>USA-Trial-ITD-Retargeting-AZR-AZR</v></cell><cell r="V6253" t="str"><v>Retargeting</v></cell><cell r="W6253" t="str"><v>Link Ad</v></cell><cell r="X6253" t="str"><v>1x1</v></cell></row><row r="6253"><cell r="AA6253"><v>43326</v></cell><cell r="AB6253" t="str"><v>USA_gaPMG_AZR_AZR_Q1_19_Direct-Social</v></cell><cell r="AC6253"><v>21358715</v></cell><cell r="AD6253"><v>720197</v></cell><cell r="AE6253" t="str"><v>Facebook</v></cell><cell r="AF6253"><v>3654128</v></cell><cell r="AG6253" t="str"><v>FACEBOOK»USA-Trial-ITD-Retargeting-AZR-AZR»1 x 1»SocialBan»LIA»ALL»CPA»RT»X»NA»SS»NA»FreeAcctITProFB-AnimatedMigration-Ch3»PRC26P</v></cell><cell r="AH6253"><v>223934056</v></cell><cell r="AI6253" t="str"><v>AZR_FreeAcctITProFB-AnimatedMigration-Ch3_USA_1200x1200_CAN_Direct_English_Trial_Standard_ANI_LEA_T3_1</v></cell><cell r="AJ6253"><v>103176827</v></cell></row><row r="6254"><cell r="C6254" t="str"><v>43326FACEBOOK»USA-Trial-ITD-Retargeting-AZR-AZR»1 x 1»SocialBan»LIA»ALL»CPA»RT»X»NA»SS»NA»FreeAcctRetargetingFB-Credit-ChA»PRC1RV</v></cell><cell r="D6254" t="str"><v>43326224106075</v></cell><cell r="E6254" t="str"><v>43326103034917PRC1RV</v></cell><cell r="F6254" t="str"><v>DCM</v></cell><cell r="G6254" t="str"><v>https://azure.microsoft.com/en-us/free/search/?OCID=AID%eexcid!_OLA_%ebuy!_%epid!_%ecid!</v></cell></row><row r="6254"><cell r="K6254" t="str"><v>August</v></cell><cell r="L6254"><v>43330</v></cell><cell r="M6254" t="str"><v>Tier 0</v></cell><cell r="N6254" t="str"><v>North America</v></cell><cell r="O6254" t="str"><v>United States</v></cell><cell r="P6254" t="str"><v>Trial</v></cell><cell r="Q6254" t="str"><v>Social</v></cell><cell r="R6254" t="str"><v>Azure</v></cell><cell r="S6254" t="str"><v>Apps & Infra</v></cell><cell r="T6254" t="str"><v>Developers & ITI's</v></cell><cell r="U6254" t="str"><v>USA-Trial-ITD-Retargeting-AZR-AZR</v></cell><cell r="V6254" t="str"><v>Retargeting</v></cell><cell r="W6254" t="str"><v>Link Ad</v></cell><cell r="X6254" t="str"><v>1x1</v></cell></row><row r="6254"><cell r="AA6254"><v>43326</v></cell><cell r="AB6254" t="str"><v>USA_gaPMG_AZR_AZR_Q1_19_Direct-Social</v></cell><cell r="AC6254"><v>21358715</v></cell><cell r="AD6254"><v>720197</v></cell><cell r="AE6254" t="str"><v>Facebook</v></cell><cell r="AF6254"><v>3654128</v></cell><cell r="AG6254" t="str"><v>FACEBOOK»USA-Trial-ITD-Retargeting-AZR-AZR»1 x 1»SocialBan»LIA»ALL»CPA»RT»X»NA»SS»NA»FreeAcctRetargetingFB-Credit-ChA»PRC1RV</v></cell><cell r="AH6254"><v>224106075</v></cell><cell r="AI6254" t="str"><v>AzurePlatform_FreeAcctRetargetingFB-Credit-ChA_USA_1200x628_CAN_PLATFORM_English_Free Account_Standard_NA_SINU_T1_2</v></cell><cell r="AJ6254"><v>103034917</v></cell></row><row r="6255"><cell r="C6255" t="str"><v>43326FACEBOOK»USA-Trial-ITD-Retargeting-AZR-AZR»1 x 1»SocialBan»LIA»ALL»CPA»RT»X»NA»SS»NA»FreeAcctRetargetingFB-GlobalAlt-ChB»PRC1RW</v></cell><cell r="D6255" t="str"><v>43326223862756</v></cell><cell r="E6255" t="str"><v>43326103180592PRC1RW</v></cell><cell r="F6255" t="str"><v>DCM</v></cell><cell r="G6255" t="str"><v>https://azure.microsoft.com/en-us/free/search/?OCID=AID%eexcid!_OLA_%ebuy!_%epid!_%ecid!</v></cell></row><row r="6255"><cell r="K6255" t="str"><v>August</v></cell><cell r="L6255"><v>43330</v></cell><cell r="M6255" t="str"><v>Tier 0</v></cell><cell r="N6255" t="str"><v>North America</v></cell><cell r="O6255" t="str"><v>United States</v></cell><cell r="P6255" t="str"><v>Trial</v></cell><cell r="Q6255" t="str"><v>Social</v></cell><cell r="R6255" t="str"><v>Azure</v></cell><cell r="S6255" t="str"><v>Apps & Infra</v></cell><cell r="T6255" t="str"><v>Developers & ITI's</v></cell><cell r="U6255" t="str"><v>USA-Trial-ITD-Retargeting-AZR-AZR</v></cell><cell r="V6255" t="str"><v>Retargeting</v></cell><cell r="W6255" t="str"><v>Link Ad</v></cell><cell r="X6255" t="str"><v>1x1</v></cell></row><row r="6255"><cell r="AA6255"><v>43326</v></cell><cell r="AB6255" t="str"><v>USA_gaPMG_AZR_AZR_Q1_19_Direct-Social</v></cell><cell r="AC6255"><v>21358715</v></cell><cell r="AD6255"><v>720197</v></cell><cell r="AE6255" t="str"><v>Facebook</v></cell><cell r="AF6255"><v>3654128</v></cell><cell r="AG6255" t="str"><v>FACEBOOK»USA-Trial-ITD-Retargeting-AZR-AZR»1 x 1»SocialBan»LIA»ALL»CPA»RT»X»NA»SS»NA»FreeAcctRetargetingFB-GlobalAlt-ChB»PRC1RW</v></cell><cell r="AH6255"><v>223862756</v></cell><cell r="AI6255" t="str"><v>AzurePlatform_FreeAcctRetargetingFB-GlobalAlt-ChB_USA_1200x628_CAN_PLATFORM_English_Free Account_Standard_NA_SINU_T2_1</v></cell><cell r="AJ6255"><v>103180592</v></cell></row><row r="6256"><cell r="C6256" t="str"><v>43326FACEBOOK»USA-Trial-ITD-Retargeting-AZR-AZR»1 x 1»SocialBan»LIA»ALL»CPA»RT»X»NA»SS»NA»FreeAcctRetargetingVMFB-750Hrs-ChD»PRC1RY</v></cell><cell r="D6256" t="str"><v>43326223862747</v></cell><cell r="E6256" t="str"><v>43326103034911PRC1RY</v></cell><cell r="F6256" t="str"><v>DCM</v></cell><cell r="G6256" t="str"><v>https://azure.microsoft.com/en-us/free/virtual-machines/search/?OCID=AID%eexcid!_OLA_%ebuy!_%epid!_%ecid!</v></cell></row><row r="6256"><cell r="K6256" t="str"><v>August</v></cell><cell r="L6256"><v>43330</v></cell><cell r="M6256" t="str"><v>Tier 0</v></cell><cell r="N6256" t="str"><v>North America</v></cell><cell r="O6256" t="str"><v>United States</v></cell><cell r="P6256" t="str"><v>Trial</v></cell><cell r="Q6256" t="str"><v>Social</v></cell><cell r="R6256" t="str"><v>Azure</v></cell><cell r="S6256" t="str"><v>Apps & Infra</v></cell><cell r="T6256" t="str"><v>Developers & ITI's</v></cell><cell r="U6256" t="str"><v>USA-Trial-ITD-Retargeting-AZR-AZR</v></cell><cell r="V6256" t="str"><v>Retargeting</v></cell><cell r="W6256" t="str"><v>Link Ad</v></cell><cell r="X6256" t="str"><v>1x1</v></cell></row><row r="6256"><cell r="AA6256"><v>43326</v></cell><cell r="AB6256" t="str"><v>USA_gaPMG_AZR_AZR_Q1_19_Direct-Social</v></cell><cell r="AC6256"><v>21358715</v></cell><cell r="AD6256"><v>720197</v></cell><cell r="AE6256" t="str"><v>Facebook</v></cell><cell r="AF6256"><v>3654128</v></cell><cell r="AG6256" t="str"><v>FACEBOOK»USA-Trial-ITD-Retargeting-AZR-AZR»1 x 1»SocialBan»LIA»ALL»CPA»RT»X»NA»SS»NA»FreeAcctRetargetingVMFB-750Hrs-ChD»PRC1RY</v></cell><cell r="AH6256"><v>223862747</v></cell><cell r="AI6256" t="str"><v>AzurePlatform_FreeAcctRetargetingVMFB-750Hrs-ChD_USA_1200x628_CAN_PLATFORM_English_Free Account_Standard_NA_SINU_T1_1</v></cell><cell r="AJ6256"><v>103034911</v></cell></row><row r="6257"><cell r="C6257" t="str"><v>43326FACEBOOK»USA-Trial-ITD-Retargeting-AZR-AZR»1 x 1»SocialBan»LIA»ALL»CPA»RT»X»NA»SS»NA»FreeAcctRetargetingVMFB-OnDemand-ChE»PRC1S0</v></cell><cell r="D6257" t="str"><v>43326224104899</v></cell><cell r="E6257" t="str"><v>43326103180610PRC1S0</v></cell><cell r="F6257" t="str"><v>DCM</v></cell><cell r="G6257" t="str"><v>https://azure.microsoft.com/en-us/free/virtual-machines/search/?OCID=AID%eexcid!_OLA_%ebuy!_%epid!_%ecid!</v></cell></row><row r="6257"><cell r="K6257" t="str"><v>August</v></cell><cell r="L6257"><v>43330</v></cell><cell r="M6257" t="str"><v>Tier 0</v></cell><cell r="N6257" t="str"><v>North America</v></cell><cell r="O6257" t="str"><v>United States</v></cell><cell r="P6257" t="str"><v>Trial</v></cell><cell r="Q6257" t="str"><v>Social</v></cell><cell r="R6257" t="str"><v>Azure</v></cell><cell r="S6257" t="str"><v>Apps & Infra</v></cell><cell r="T6257" t="str"><v>Developers & ITI's</v></cell><cell r="U6257" t="str"><v>USA-Trial-ITD-Retargeting-AZR-AZR</v></cell><cell r="V6257" t="str"><v>Retargeting</v></cell><cell r="W6257" t="str"><v>Link Ad</v></cell><cell r="X6257" t="str"><v>1x1</v></cell></row><row r="6257"><cell r="AA6257"><v>43326</v></cell><cell r="AB6257" t="str"><v>USA_gaPMG_AZR_AZR_Q1_19_Direct-Social</v></cell><cell r="AC6257"><v>21358715</v></cell><cell r="AD6257"><v>720197</v></cell><cell r="AE6257" t="str"><v>Facebook</v></cell><cell r="AF6257"><v>3654128</v></cell><cell r="AG6257" t="str"><v>FACEBOOK»USA-Trial-ITD-Retargeting-AZR-AZR»1 x 1»SocialBan»LIA»ALL»CPA»RT»X»NA»SS»NA»FreeAcctRetargetingVMFB-OnDemand-ChE»PRC1S0</v></cell><cell r="AH6257"><v>224104899</v></cell><cell r="AI6257" t="str"><v>AzurePlatform_FreeAcctRetargetingVMFB-OnDemand-ChE_USA_1200x628_CAN_PLATFORM_English_Free Account_Standard_NA_SINU_T2_1</v></cell><cell r="AJ6257"><v>103180610</v></cell></row><row r="6258"><cell r="C6258" t="str"><v>43326FACEBOOK»USA-Trial-ITD-Retargeting-AZR-AZR»1 x 1»SocialBan»CAN»ALL»CPA»RT»X»NA»SS»NA»FBCTCBenefit2inMotion»PRC1RR</v></cell><cell r="D6258" t="str"><v>43326224104896</v></cell><cell r="E6258" t="str"><v>43326103043835PRC1RR</v></cell><cell r="F6258" t="str"><v>DCM</v></cell><cell r="G6258" t="str"><v>https://signup.azure.com/?OCID=AID%eexcid!_OLA_%ebuy!_%epid!_%ecid!</v></cell></row><row r="6258"><cell r="K6258" t="str"><v>August</v></cell><cell r="L6258"><v>43330</v></cell><cell r="M6258" t="str"><v>Tier 0</v></cell><cell r="N6258" t="str"><v>North America</v></cell><cell r="O6258" t="str"><v>United States</v></cell><cell r="P6258" t="str"><v>Trial</v></cell><cell r="Q6258" t="str"><v>Social</v></cell><cell r="R6258" t="str"><v>Azure</v></cell><cell r="S6258" t="str"><v>Apps & Infra</v></cell><cell r="T6258" t="str"><v>Developers & ITI's</v></cell><cell r="U6258" t="str"><v>USA-Trial-ITD-Retargeting-AZR-AZR</v></cell><cell r="V6258" t="str"><v>Retargeting</v></cell><cell r="W6258" t="str"><v>Canvas Ad</v></cell><cell r="X6258" t="str"><v>1x1</v></cell></row><row r="6258"><cell r="AA6258"><v>43326</v></cell><cell r="AB6258" t="str"><v>USA_gaPMG_AZR_AZR_Q1_19_Direct-Social</v></cell><cell r="AC6258"><v>21358715</v></cell><cell r="AD6258"><v>720197</v></cell><cell r="AE6258" t="str"><v>Facebook</v></cell><cell r="AF6258"><v>3654128</v></cell><cell r="AG6258" t="str"><v>FACEBOOK»USA-Trial-ITD-Retargeting-AZR-AZR»1 x 1»SocialBan»CAN»ALL»CPA»RT»X»NA»SS»NA»FBCTCBenefit2inMotion»PRC1RR</v></cell><cell r="AH6258"><v>224104896</v></cell><cell r="AI6258" t="str"><v>AzurePlatform_FBCTCBenefit2inMotion_USA_10s_CAN_PLATFORM_English_Trial_Standard_STAN_TIN_T4_1</v></cell><cell r="AJ6258"><v>103043835</v></cell></row><row r="6259"><cell r="C6259" t="str"><v>43326FACEBOOK»USA-Trial-ITD-Trial Lookalike-AZR-AZR»1 x 1»SocialBan»CAN»ALL»CPA»LAL»X»NA»SS»NA»FBCTCBenefit2inMotion»PRC1M0</v></cell><cell r="D6259" t="str"><v>43326223862927</v></cell><cell r="E6259" t="str"><v>43326103043835PRC1M0</v></cell><cell r="F6259" t="str"><v>DCM</v></cell><cell r="G6259" t="str"><v>https://signup.azure.com/?OCID=AID%eexcid!_OLA_%ebuy!_%epid!_%ecid!</v></cell></row><row r="6259"><cell r="K6259" t="str"><v>August</v></cell><cell r="L6259"><v>43330</v></cell><cell r="M6259" t="str"><v>Tier 0</v></cell><cell r="N6259" t="str"><v>North America</v></cell><cell r="O6259" t="str"><v>United States</v></cell><cell r="P6259" t="str"><v>Trial</v></cell><cell r="Q6259" t="str"><v>Social</v></cell><cell r="R6259" t="str"><v>Azure</v></cell><cell r="S6259" t="str"><v>Apps & Infra</v></cell><cell r="T6259" t="str"><v>Developers & ITI's</v></cell><cell r="U6259" t="str"><v>USA-Trial-ITD-Trial Lookalike-AZR-AZR</v></cell><cell r="V6259" t="str"><v>Lookalike Targeting</v></cell><cell r="W6259" t="str"><v>Canvas Ad</v></cell><cell r="X6259" t="str"><v>1x1</v></cell></row><row r="6259"><cell r="AA6259"><v>43326</v></cell><cell r="AB6259" t="str"><v>USA_gaPMG_AZR_AZR_Q1_19_Direct-Social</v></cell><cell r="AC6259"><v>21358715</v></cell><cell r="AD6259"><v>720197</v></cell><cell r="AE6259" t="str"><v>Facebook</v></cell><cell r="AF6259"><v>3654128</v></cell><cell r="AG6259" t="str"><v>FACEBOOK»USA-Trial-ITD-Trial Lookalike-AZR-AZR»1 x 1»SocialBan»CAN»ALL»CPA»LAL»X»NA»SS»NA»FBCTCBenefit2inMotion»PRC1M0</v></cell><cell r="AH6259"><v>223862927</v></cell><cell r="AI6259" t="str"><v>AzurePlatform_FBCTCBenefit2inMotion_USA_10s_CAN_PLATFORM_English_Trial_Standard_STAN_TIN_T4_1</v></cell><cell r="AJ6259"><v>103043835</v></cell></row><row r="6260"><cell r="C6260" t="str"><v>43326FACEBOOK»USA-Trial-ITD-Trial Lookalike-AZR-AZR»1 x 1»SocialBan»CAN»ALL»CPA»LAL»X»NA»SS»NA»FBCTCBenefit2inMotion»PRC1M0</v></cell><cell r="D6260" t="str"><v>43326223862927</v></cell><cell r="E6260" t="str"><v>43326103178645PRC1M0</v></cell><cell r="F6260" t="str"><v>DCM</v></cell><cell r="G6260" t="str"><v>https://azure.microsoft.com/en-us/pricing/purchase-options/?v=18.19&OCID=AID%eexcid!_OLA_%ebuy!_%epid!_%ecid!</v></cell></row><row r="6260"><cell r="K6260" t="str"><v>August</v></cell><cell r="L6260"><v>43330</v></cell><cell r="M6260" t="str"><v>Tier 0</v></cell><cell r="N6260" t="str"><v>North America</v></cell><cell r="O6260" t="str"><v>United States</v></cell><cell r="P6260" t="str"><v>Trial</v></cell><cell r="Q6260" t="str"><v>Social</v></cell><cell r="R6260" t="str"><v>Azure</v></cell><cell r="S6260" t="str"><v>Apps & Infra</v></cell><cell r="T6260" t="str"><v>Developers & ITI's</v></cell><cell r="U6260" t="str"><v>USA-Trial-ITD-Trial Lookalike-AZR-AZR</v></cell><cell r="V6260" t="str"><v>Lookalike Targeting</v></cell><cell r="W6260" t="str"><v>Canvas Ad</v></cell><cell r="X6260" t="str"><v>1x1</v></cell></row><row r="6260"><cell r="AA6260"><v>43326</v></cell><cell r="AB6260" t="str"><v>USA_gaPMG_AZR_AZR_Q1_19_Direct-Social</v></cell><cell r="AC6260"><v>21358715</v></cell><cell r="AD6260"><v>720197</v></cell><cell r="AE6260" t="str"><v>Facebook</v></cell><cell r="AF6260"><v>3654128</v></cell><cell r="AG6260" t="str"><v>FACEBOOK»USA-Trial-ITD-Trial Lookalike-AZR-AZR»1 x 1»SocialBan»CAN»ALL»CPA»LAL»X»NA»SS»NA»FBCTCBenefit2inMotion»PRC1M0</v></cell><cell r="AH6260"><v>223862927</v></cell><cell r="AI6260" t="str"><v>AzurePlatform_FBCTCBenefit2inMotion_USA_10s_CAN_PLATFORM_English_Trial_Standard_STAN_TIN_T4_2</v></cell><cell r="AJ6260"><v>103178645</v></cell></row><row r="6261"><cell r="C6261" t="str"><v>43326FACEBOOK»USA-Trial-ITD-Trial Lookalike-AZR-AZR»1 x 1»SocialBan»CAN»ALL»CPA»LAL»X»NA»SS»NA»FBCTCBenefitinMotion»PRC1M2</v></cell><cell r="D6261" t="str"><v>43326223862897</v></cell><cell r="E6261" t="str"><v>43326103176836PRC1M2</v></cell><cell r="F6261" t="str"><v>DCM</v></cell><cell r="G6261" t="str"><v>https://azure.microsoft.com/en-us/pricing/purchase-options/?v=18.19&OCID=AID%eexcid!_OLA_%ebuy!_%epid!_%ecid!</v></cell></row><row r="6261"><cell r="K6261" t="str"><v>August</v></cell><cell r="L6261"><v>43330</v></cell><cell r="M6261" t="str"><v>Tier 0</v></cell><cell r="N6261" t="str"><v>North America</v></cell><cell r="O6261" t="str"><v>United States</v></cell><cell r="P6261" t="str"><v>Trial</v></cell><cell r="Q6261" t="str"><v>Social</v></cell><cell r="R6261" t="str"><v>Azure</v></cell><cell r="S6261" t="str"><v>Apps & Infra</v></cell><cell r="T6261" t="str"><v>Developers & ITI's</v></cell><cell r="U6261" t="str"><v>USA-Trial-ITD-Trial Lookalike-AZR-AZR</v></cell><cell r="V6261" t="str"><v>Lookalike Targeting</v></cell><cell r="W6261" t="str"><v>Canvas Ad</v></cell><cell r="X6261" t="str"><v>1x1</v></cell></row><row r="6261"><cell r="AA6261"><v>43326</v></cell><cell r="AB6261" t="str"><v>USA_gaPMG_AZR_AZR_Q1_19_Direct-Social</v></cell><cell r="AC6261"><v>21358715</v></cell><cell r="AD6261"><v>720197</v></cell><cell r="AE6261" t="str"><v>Facebook</v></cell><cell r="AF6261"><v>3654128</v></cell><cell r="AG6261" t="str"><v>FACEBOOK»USA-Trial-ITD-Trial Lookalike-AZR-AZR»1 x 1»SocialBan»CAN»ALL»CPA»LAL»X»NA»SS»NA»FBCTCBenefitinMotion»PRC1M2</v></cell><cell r="AH6261"><v>223862897</v></cell><cell r="AI6261" t="str"><v>AzurePlatform_FBCTCBenefitinMotion_USA_10s_CAN_PLATFORM_English_Trial_Standard_STAN_TIN_T3_2</v></cell><cell r="AJ6261"><v>103176836</v></cell></row><row r="6262"><cell r="C6262" t="str"><v>43326FACEBOOK»USA-Trial-ITD-Trial Lookalike-AZR-AZR»1 x 1»SocialBan»LIA»ALL»CPA»LAL»X»NA»SS»NA»FreeAcctDeveloperFB-AnimatedData-Ch4»PRC1M8</v></cell><cell r="D6262" t="str"><v>43326223862933</v></cell><cell r="E6262" t="str"><v>43326103037935PRC1M8</v></cell><cell r="F6262" t="str"><v>DCM</v></cell></row><row r="6262"><cell r="K6262" t="str"><v>August</v></cell><cell r="L6262"><v>43330</v></cell><cell r="M6262" t="str"><v>Tier 0</v></cell><cell r="N6262" t="str"><v>North America</v></cell><cell r="O6262" t="str"><v>United States</v></cell><cell r="P6262" t="str"><v>Trial</v></cell><cell r="Q6262" t="str"><v>Social</v></cell><cell r="R6262" t="str"><v>Azure</v></cell><cell r="S6262" t="str"><v>Apps & Infra</v></cell><cell r="T6262" t="str"><v>Developers & ITI's</v></cell><cell r="U6262" t="str"><v>USA-Trial-ITD-Trial Lookalike-AZR-AZR</v></cell><cell r="V6262" t="str"><v>Lookalike Targeting</v></cell><cell r="W6262" t="str"><v>Link Ad</v></cell><cell r="X6262" t="str"><v>1x1</v></cell></row><row r="6262"><cell r="AA6262"><v>43326</v></cell><cell r="AB6262" t="str"><v>USA_gaPMG_AZR_AZR_Q1_19_Direct-Social</v></cell><cell r="AC6262"><v>21358715</v></cell><cell r="AD6262"><v>720197</v></cell><cell r="AE6262" t="str"><v>Facebook</v></cell><cell r="AF6262"><v>3654128</v></cell><cell r="AG6262" t="str"><v>FACEBOOK»USA-Trial-ITD-Trial Lookalike-AZR-AZR»1 x 1»SocialBan»LIA»ALL»CPA»LAL»X»NA»SS»NA»FreeAcctDeveloperFB-AnimatedData-Ch4»PRC1M8</v></cell><cell r="AH6262"><v>223862933</v></cell><cell r="AI6262" t="str"><v>AZR_FreeAcctDeveloperFB-AnimatedData-Ch4_USA_1200x1200_CAN_Direct_English_Trial_Standard_ANI_LEA_T4_2</v></cell><cell r="AJ6262"><v>103037935</v></cell></row><row r="6263"><cell r="C6263" t="str"><v>43326FACEBOOK»USA-Trial-ITD-Trial Lookalike-AZR-AZR»1 x 1»SocialBan»CAN»ALL»CPA»LAL»X»NA»SS»NA»FBCTCBrandinMotion»PRC1M3</v></cell><cell r="D6263" t="str"><v>43326223862900</v></cell><cell r="E6263" t="str"><v>43326103176812PRC1M3</v></cell><cell r="F6263" t="str"><v>DCM</v></cell><cell r="G6263" t="str"><v>https://signup.azure.com/?OCID=AID%eexcid!_OLA_%ebuy!_%epid!_%ecid!</v></cell></row><row r="6263"><cell r="K6263" t="str"><v>August</v></cell><cell r="L6263"><v>43330</v></cell><cell r="M6263" t="str"><v>Tier 0</v></cell><cell r="N6263" t="str"><v>North America</v></cell><cell r="O6263" t="str"><v>United States</v></cell><cell r="P6263" t="str"><v>Trial</v></cell><cell r="Q6263" t="str"><v>Social</v></cell><cell r="R6263" t="str"><v>Azure</v></cell><cell r="S6263" t="str"><v>Apps & Infra</v></cell><cell r="T6263" t="str"><v>Developers & ITI's</v></cell><cell r="U6263" t="str"><v>USA-Trial-ITD-Trial Lookalike-AZR-AZR</v></cell><cell r="V6263" t="str"><v>Lookalike Targeting</v></cell><cell r="W6263" t="str"><v>Canvas Ad</v></cell><cell r="X6263" t="str"><v>1x1</v></cell></row><row r="6263"><cell r="AA6263"><v>43326</v></cell><cell r="AB6263" t="str"><v>USA_gaPMG_AZR_AZR_Q1_19_Direct-Social</v></cell><cell r="AC6263"><v>21358715</v></cell><cell r="AD6263"><v>720197</v></cell><cell r="AE6263" t="str"><v>Facebook</v></cell><cell r="AF6263"><v>3654128</v></cell><cell r="AG6263" t="str"><v>FACEBOOK»USA-Trial-ITD-Trial Lookalike-AZR-AZR»1 x 1»SocialBan»CAN»ALL»CPA»LAL»X»NA»SS»NA»FBCTCBrandinMotion»PRC1M3</v></cell><cell r="AH6263"><v>223862900</v></cell><cell r="AI6263" t="str"><v>AzurePlatform_FBCTCBrandinMotion_USA_10s_CAN_PLATFORM_English_Trial_Standard_STAN_TIN_T2_1</v></cell><cell r="AJ6263"><v>103176812</v></cell></row><row r="6264"><cell r="C6264" t="str"><v>43326FACEBOOK»USA-Trial-ITD-Trial PayGo Lookalike-AZR-AZR»1 x 1»SocialBan»CAN»ALL»CPA»LAL»X»NA»SS»NA»FBCTCBrandinMotion»PRC1Q3</v></cell><cell r="D6264" t="str"><v>43326223935349</v></cell><cell r="E6264" t="str"><v>43326103176812PRC1Q3</v></cell><cell r="F6264" t="str"><v>DCM</v></cell><cell r="G6264" t="str"><v>https://signup.azure.com/?OCID=AID%eexcid!_OLA_%ebuy!_%epid!_%ecid!</v></cell></row><row r="6264"><cell r="K6264" t="str"><v>August</v></cell><cell r="L6264"><v>43330</v></cell><cell r="M6264" t="str"><v>Tier 0</v></cell><cell r="N6264" t="str"><v>North America</v></cell><cell r="O6264" t="str"><v>United States</v></cell><cell r="P6264" t="str"><v>Trial</v></cell><cell r="Q6264" t="str"><v>Social</v></cell><cell r="R6264" t="str"><v>Azure</v></cell><cell r="S6264" t="str"><v>Apps & Infra</v></cell><cell r="T6264" t="str"><v>Developers & ITI's</v></cell><cell r="U6264" t="str"><v>USA-Trial-ITD-Trial PayGo Lookalike-AZR-AZR</v></cell><cell r="V6264" t="str"><v>Lookalike Targeting</v></cell><cell r="W6264" t="str"><v>Canvas Ad</v></cell><cell r="X6264" t="str"><v>1x1</v></cell></row><row r="6264"><cell r="AA6264"><v>43326</v></cell><cell r="AB6264" t="str"><v>USA_gaPMG_AZR_AZR_Q1_19_Direct-Social</v></cell><cell r="AC6264"><v>21358715</v></cell><cell r="AD6264"><v>720197</v></cell><cell r="AE6264" t="str"><v>Facebook</v></cell><cell r="AF6264"><v>3654128</v></cell><cell r="AG6264" t="str"><v>FACEBOOK»USA-Trial-ITD-Trial PayGo Lookalike-AZR-AZR»1 x 1»SocialBan»CAN»ALL»CPA»LAL»X»NA»SS»NA»FBCTCBrandinMotion»PRC1Q3</v></cell><cell r="AH6264"><v>223935349</v></cell><cell r="AI6264" t="str"><v>AzurePlatform_FBCTCBrandinMotion_USA_10s_CAN_PLATFORM_English_Trial_Standard_STAN_TIN_T2_1</v></cell><cell r="AJ6264"><v>103176812</v></cell></row><row r="6265"><cell r="C6265" t="str"><v>43326FACEBOOK»USA-Trial-ITD-Trial PayGo Lookalike-AZR-AZR»1 x 1»SocialBan»CAN»ALL»CPA»LAL»X»NA»SS»NA»FBCTCBrandinMotion»PRC1Q3</v></cell><cell r="D6265" t="str"><v>43326223935349</v></cell><cell r="E6265" t="str"><v>43326103032823PRC1Q3</v></cell><cell r="F6265" t="str"><v>DCM</v></cell><cell r="G6265" t="str"><v>https://azure.microsoft.com/en-us/pricing/purchase-options/?v=18.19&OCID=AID%eexcid!_OLA_%ebuy!_%epid!_%ecid!</v></cell></row><row r="6265"><cell r="K6265" t="str"><v>August</v></cell><cell r="L6265"><v>43330</v></cell><cell r="M6265" t="str"><v>Tier 0</v></cell><cell r="N6265" t="str"><v>North America</v></cell><cell r="O6265" t="str"><v>United States</v></cell><cell r="P6265" t="str"><v>Trial</v></cell><cell r="Q6265" t="str"><v>Social</v></cell><cell r="R6265" t="str"><v>Azure</v></cell><cell r="S6265" t="str"><v>Apps & Infra</v></cell><cell r="T6265" t="str"><v>Developers & ITI's</v></cell><cell r="U6265" t="str"><v>USA-Trial-ITD-Trial PayGo Lookalike-AZR-AZR</v></cell><cell r="V6265" t="str"><v>Lookalike Targeting</v></cell><cell r="W6265" t="str"><v>Canvas Ad</v></cell><cell r="X6265" t="str"><v>1x1</v></cell></row><row r="6265"><cell r="AA6265"><v>43326</v></cell><cell r="AB6265" t="str"><v>USA_gaPMG_AZR_AZR_Q1_19_Direct-Social</v></cell><cell r="AC6265"><v>21358715</v></cell><cell r="AD6265"><v>720197</v></cell><cell r="AE6265" t="str"><v>Facebook</v></cell><cell r="AF6265"><v>3654128</v></cell><cell r="AG6265" t="str"><v>FACEBOOK»USA-Trial-ITD-Trial PayGo Lookalike-AZR-AZR»1 x 1»SocialBan»CAN»ALL»CPA»LAL»X»NA»SS»NA»FBCTCBrandinMotion»PRC1Q3</v></cell><cell r="AH6265"><v>223935349</v></cell><cell r="AI6265" t="str"><v>AzurePlatform_FBCTCBrandinMotion_USA_10s_CAN_PLATFORM_English_Trial_Standard_STAN_TIN_T2_2</v></cell><cell r="AJ6265"><v>103032823</v></cell></row><row r="6266"><cell r="C6266" t="str"><v>43326FACEBOOK»USA-Trial-ITD-Trial PayGo Lookalike-AZR-AZR»1 x 1»SocialBan»CAN»ALL»CPA»LAL»X»NA»SS»NA»FBCTCBenefitinMotion»PRC1Q2</v></cell><cell r="D6266" t="str"><v>43326223862960</v></cell><cell r="E6266" t="str"><v>43326103032775PRC1Q2</v></cell><cell r="F6266" t="str"><v>DCM</v></cell><cell r="G6266" t="str"><v>https://signup.azure.com/?OCID=AID%eexcid!_OLA_%ebuy!_%epid!_%ecid!</v></cell></row><row r="6266"><cell r="K6266" t="str"><v>August</v></cell><cell r="L6266"><v>43330</v></cell><cell r="M6266" t="str"><v>Tier 0</v></cell><cell r="N6266" t="str"><v>North America</v></cell><cell r="O6266" t="str"><v>United States</v></cell><cell r="P6266" t="str"><v>Trial</v></cell><cell r="Q6266" t="str"><v>Social</v></cell><cell r="R6266" t="str"><v>Azure</v></cell><cell r="S6266" t="str"><v>Apps & Infra</v></cell><cell r="T6266" t="str"><v>Developers & ITI's</v></cell><cell r="U6266" t="str"><v>USA-Trial-ITD-Trial PayGo Lookalike-AZR-AZR</v></cell><cell r="V6266" t="str"><v>Lookalike Targeting</v></cell><cell r="W6266" t="str"><v>Canvas Ad</v></cell><cell r="X6266" t="str"><v>1x1</v></cell></row><row r="6266"><cell r="AA6266"><v>43326</v></cell><cell r="AB6266" t="str"><v>USA_gaPMG_AZR_AZR_Q1_19_Direct-Social</v></cell><cell r="AC6266"><v>21358715</v></cell><cell r="AD6266"><v>720197</v></cell><cell r="AE6266" t="str"><v>Facebook</v></cell><cell r="AF6266"><v>3654128</v></cell><cell r="AG6266" t="str"><v>FACEBOOK»USA-Trial-ITD-Trial PayGo Lookalike-AZR-AZR»1 x 1»SocialBan»CAN»ALL»CPA»LAL»X»NA»SS»NA»FBCTCBenefitinMotion»PRC1Q2</v></cell><cell r="AH6266"><v>223862960</v></cell><cell r="AI6266" t="str"><v>AzurePlatform_FBCTCBenefitinMotion_USA_10s_CAN_PLATFORM_English_Trial_Standard_STAN_TIN_T3_1</v></cell><cell r="AJ6266"><v>103032775</v></cell></row><row r="6267"><cell r="C6267" t="str"><v>43326FACEBOOK»USA-Trial-ITD-Trial PayGo Lookalike-AZR-AZR»1 x 1»SocialBan»CAN»ALL»CPA»LAL»X»NA»SS»NA»FBCTCBenefitinMotion»PRC1Q2</v></cell><cell r="D6267" t="str"><v>43326223862960</v></cell><cell r="E6267" t="str"><v>43326103176836PRC1Q2</v></cell><cell r="F6267" t="str"><v>DCM</v></cell><cell r="G6267" t="str"><v>https://azure.microsoft.com/en-us/pricing/purchase-options/?v=18.19&OCID=AID%eexcid!_OLA_%ebuy!_%epid!_%ecid!</v></cell></row><row r="6267"><cell r="K6267" t="str"><v>August</v></cell><cell r="L6267"><v>43330</v></cell><cell r="M6267" t="str"><v>Tier 0</v></cell><cell r="N6267" t="str"><v>North America</v></cell><cell r="O6267" t="str"><v>United States</v></cell><cell r="P6267" t="str"><v>Trial</v></cell><cell r="Q6267" t="str"><v>Social</v></cell><cell r="R6267" t="str"><v>Azure</v></cell><cell r="S6267" t="str"><v>Apps & Infra</v></cell><cell r="T6267" t="str"><v>Developers & ITI's</v></cell><cell r="U6267" t="str"><v>USA-Trial-ITD-Trial PayGo Lookalike-AZR-AZR</v></cell><cell r="V6267" t="str"><v>Lookalike Targeting</v></cell><cell r="W6267" t="str"><v>Canvas Ad</v></cell><cell r="X6267" t="str"><v>1x1</v></cell></row><row r="6267"><cell r="AA6267"><v>43326</v></cell><cell r="AB6267" t="str"><v>USA_gaPMG_AZR_AZR_Q1_19_Direct-Social</v></cell><cell r="AC6267"><v>21358715</v></cell><cell r="AD6267"><v>720197</v></cell><cell r="AE6267" t="str"><v>Facebook</v></cell><cell r="AF6267"><v>3654128</v></cell><cell r="AG6267" t="str"><v>FACEBOOK»USA-Trial-ITD-Trial PayGo Lookalike-AZR-AZR»1 x 1»SocialBan»CAN»ALL»CPA»LAL»X»NA»SS»NA»FBCTCBenefitinMotion»PRC1Q2</v></cell><cell r="AH6267"><v>223862960</v></cell><cell r="AI6267" t="str"><v>AzurePlatform_FBCTCBenefitinMotion_USA_10s_CAN_PLATFORM_English_Trial_Standard_STAN_TIN_T3_2</v></cell><cell r="AJ6267"><v>103176836</v></cell></row><row r="6268"><cell r="C6268" t="str"><v>43326FACEBOOK»USA-Trial-ITD-Trial PayGo Lookalike-AZR-AZR»1 x 1»SocialBan»LIA»ALL»CPA»LAL»X»NA»SS»NA»FreeAcctDeveloperFB-AnimatedGeneric-Ch1»PRC1Q6</v></cell><cell r="D6268" t="str"><v>43326224106129</v></cell><cell r="E6268" t="str"><v>43326103176851PRC1Q6</v></cell><cell r="F6268" t="str"><v>DCM</v></cell><cell r="G6268" t="str"><v>https://azure.microsoft.com/en-us/free/search/?OCID=AID%eexcid!_OLA_%ebuy!_%epid!_%ecid!</v></cell></row><row r="6268"><cell r="K6268" t="str"><v>August</v></cell><cell r="L6268"><v>43330</v></cell><cell r="M6268" t="str"><v>Tier 0</v></cell><cell r="N6268" t="str"><v>North America</v></cell><cell r="O6268" t="str"><v>United States</v></cell><cell r="P6268" t="str"><v>Trial</v></cell><cell r="Q6268" t="str"><v>Social</v></cell><cell r="R6268" t="str"><v>Azure</v></cell><cell r="S6268" t="str"><v>Apps & Infra</v></cell><cell r="T6268" t="str"><v>Developers & ITI's</v></cell><cell r="U6268" t="str"><v>USA-Trial-ITD-Trial PayGo Lookalike-AZR-AZR</v></cell><cell r="V6268" t="str"><v>Lookalike Targeting</v></cell><cell r="W6268" t="str"><v>Link Ad</v></cell><cell r="X6268" t="str"><v>1x1</v></cell></row><row r="6268"><cell r="AA6268"><v>43326</v></cell><cell r="AB6268" t="str"><v>USA_gaPMG_AZR_AZR_Q1_19_Direct-Social</v></cell><cell r="AC6268"><v>21358715</v></cell><cell r="AD6268"><v>720197</v></cell><cell r="AE6268" t="str"><v>Facebook</v></cell><cell r="AF6268"><v>3654128</v></cell><cell r="AG6268" t="str"><v>FACEBOOK»USA-Trial-ITD-Trial PayGo Lookalike-AZR-AZR»1 x 1»SocialBan»LIA»ALL»CPA»LAL»X»NA»SS»NA»FreeAcctDeveloperFB-AnimatedGeneric-Ch1»PRC1Q6</v></cell><cell r="AH6268"><v>224106129</v></cell><cell r="AI6268" t="str"><v>AZR_FreeAcctDeveloperFB-AnimatedGeneric-Ch1_USA_1200x1200_CAN_Direct_English_Trial_Standard_ANI_LEA_T1_2</v></cell><cell r="AJ6268"><v>103176851</v></cell></row><row r="6269"><cell r="C6269" t="str"><v>43326FACEBOOK»USA-Trial-ITD-Trial PayGo Lookalike-AZR-AZR»1 x 1»SocialBan»CCA»ALL»CPA»LAL»X»NA»SS»NA»Azure Developer Facebook Collections»PRSH6K</v></cell><cell r="D6269" t="str"><v>43326225217676</v></cell><cell r="E6269" t="str"><v>43326103873631PRSH6K</v></cell><cell r="F6269" t="str"><v>DCM</v></cell><cell r="G626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269"><cell r="K6269" t="str"><v>August</v></cell><cell r="L6269"><v>43330</v></cell><cell r="M6269" t="str"><v>Tier 0</v></cell><cell r="N6269" t="str"><v>North America</v></cell><cell r="O6269" t="str"><v>United States</v></cell><cell r="P6269" t="str"><v>Trial</v></cell><cell r="Q6269" t="str"><v>Social</v></cell><cell r="R6269" t="str"><v>Azure</v></cell><cell r="S6269" t="str"><v>Apps & Infra</v></cell><cell r="T6269" t="str"><v>Developers & ITI's</v></cell><cell r="U6269" t="str"><v>USA-Trial-ITD-Trial PayGo Lookalike-AZR-AZR</v></cell><cell r="V6269" t="str"><v>Lookalike Targeting</v></cell><cell r="W6269" t="str"><v>Canvas Collection Ad</v></cell><cell r="X6269" t="str"><v>1x1</v></cell></row><row r="6269"><cell r="AA6269"><v>43326</v></cell><cell r="AB6269" t="str"><v>USA_gaPMG_AZR_AZR_Q1_19_Direct-Social</v></cell><cell r="AC6269"><v>21358715</v></cell><cell r="AD6269"><v>720197</v></cell><cell r="AE6269" t="str"><v>Facebook</v></cell><cell r="AF6269"><v>3654128</v></cell><cell r="AG6269" t="str"><v>FACEBOOK»USA-Trial-ITD-Trial PayGo Lookalike-AZR-AZR»1 x 1»SocialBan»CCA»ALL»CPA»LAL»X»NA»SS»NA»Azure Developer Facebook Collections»PRSH6K</v></cell><cell r="AH6269"><v>225217676</v></cell><cell r="AI6269" t="str"><v>AZR_FBCollections-OSSTryAzureFreeCTA-Img3_USA_1200x182_SOC_Plat_EN_NA_Standard_NA_TIN_T1_3</v></cell><cell r="AJ6269"><v>103873631</v></cell></row><row r="6270"><cell r="C6270" t="str"><v>43326FACEBOOK»USA-Trial-ITD-Trial PayGo Lookalike-AZR-AZR»1 x 1»SocialBan»CCA»ALL»CPA»LAL»X»NA»SS»NA»Azure Developer Facebook Collections»PRSH6K</v></cell><cell r="D6270" t="str"><v>43326225217676</v></cell><cell r="E6270" t="str"><v>43326103874423PRSH6K</v></cell><cell r="F6270" t="str"><v>DCM</v></cell><cell r="G6270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270"><cell r="K6270" t="str"><v>August</v></cell><cell r="L6270"><v>43330</v></cell><cell r="M6270" t="str"><v>Tier 0</v></cell><cell r="N6270" t="str"><v>North America</v></cell><cell r="O6270" t="str"><v>United States</v></cell><cell r="P6270" t="str"><v>Trial</v></cell><cell r="Q6270" t="str"><v>Social</v></cell><cell r="R6270" t="str"><v>Azure</v></cell><cell r="S6270" t="str"><v>Apps & Infra</v></cell><cell r="T6270" t="str"><v>Developers & ITI's</v></cell><cell r="U6270" t="str"><v>USA-Trial-ITD-Trial PayGo Lookalike-AZR-AZR</v></cell><cell r="V6270" t="str"><v>Lookalike Targeting</v></cell><cell r="W6270" t="str"><v>Canvas Collection Ad</v></cell><cell r="X6270" t="str"><v>1x1</v></cell></row><row r="6270"><cell r="AA6270"><v>43326</v></cell><cell r="AB6270" t="str"><v>USA_gaPMG_AZR_AZR_Q1_19_Direct-Social</v></cell><cell r="AC6270"><v>21358715</v></cell><cell r="AD6270"><v>720197</v></cell><cell r="AE6270" t="str"><v>Facebook</v></cell><cell r="AF6270"><v>3654128</v></cell><cell r="AG6270" t="str"><v>FACEBOOK»USA-Trial-ITD-Trial PayGo Lookalike-AZR-AZR»1 x 1»SocialBan»CCA»ALL»CPA»LAL»X»NA»SS»NA»Azure Developer Facebook Collections»PRSH6K</v></cell><cell r="AH6270"><v>225217676</v></cell><cell r="AI6270" t="str"><v>AZR_FBCollections-TryAzureFreeCTA-Img1_USA_1200x182_SOC_Plat_EN_NA_Standard_NA_TIN_T1_1</v></cell><cell r="AJ6270"><v>103874423</v></cell></row><row r="6271"><cell r="C6271" t="str"><v>43326FACEBOOK»USA-Trial-ITD-Retargeting-AZR-AZR»1 x 1»SocialBan»CCA»ALL»CPA»RT»X»NA»SS»NA»Azure Developer Facebook Collections»PRSGY7</v></cell><cell r="D6271" t="str"><v>43326225283585</v></cell><cell r="E6271" t="str"><v>43326103773177PRSGY7</v></cell><cell r="F6271" t="str"><v>DCM</v></cell><cell r="G6271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271"><cell r="K6271" t="str"><v>August</v></cell><cell r="L6271"><v>43330</v></cell><cell r="M6271" t="str"><v>Tier 0</v></cell><cell r="N6271" t="str"><v>North America</v></cell><cell r="O6271" t="str"><v>United States</v></cell><cell r="P6271" t="str"><v>Trial</v></cell><cell r="Q6271" t="str"><v>Social</v></cell><cell r="R6271" t="str"><v>Azure</v></cell><cell r="S6271" t="str"><v>Apps & Infra</v></cell><cell r="T6271" t="str"><v>Developers & ITI's</v></cell><cell r="U6271" t="str"><v>USA-Trial-ITD-Retargeting-AZR-AZR</v></cell><cell r="V6271" t="str"><v>Retargeting</v></cell><cell r="W6271" t="str"><v>Canvas Collection Ad</v></cell><cell r="X6271" t="str"><v>1x1</v></cell></row><row r="6271"><cell r="AA6271"><v>43326</v></cell><cell r="AB6271" t="str"><v>USA_gaPMG_AZR_AZR_Q1_19_Direct-Social</v></cell><cell r="AC6271"><v>21358715</v></cell><cell r="AD6271"><v>720197</v></cell><cell r="AE6271" t="str"><v>Facebook</v></cell><cell r="AF6271"><v>3654128</v></cell><cell r="AG6271" t="str"><v>FACEBOOK»USA-Trial-ITD-Retargeting-AZR-AZR»1 x 1»SocialBan»CCA»ALL»CPA»RT»X»NA»SS»NA»Azure Developer Facebook Collections»PRSGY7</v></cell><cell r="AH6271"><v>225283585</v></cell><cell r="AI6271" t="str"><v>AZR_FBCollections-AITryAzureFreeCTA-Img2_USA_1200x182_SOC_Plat_EN_NA_Standard_NA_TIN_T1_2</v></cell><cell r="AJ6271"><v>103773177</v></cell></row><row r="6272"><cell r="C6272" t="str"><v>43326FACEBOOK»USA-Trial-ITD-Retargeting-AZR-AZR»1 x 1»SocialBan»CCA»ALL»CPA»RT»X»NA»SS»NA»Azure Developer Facebook Collections»PRSGY7</v></cell><cell r="D6272" t="str"><v>43326225283585</v></cell><cell r="E6272" t="str"><v>43326103776921PRSGY7</v></cell><cell r="F6272" t="str"><v>DCM</v></cell><cell r="G6272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272"><cell r="K6272" t="str"><v>August</v></cell><cell r="L6272"><v>43330</v></cell><cell r="M6272" t="str"><v>Tier 0</v></cell><cell r="N6272" t="str"><v>North America</v></cell><cell r="O6272" t="str"><v>United States</v></cell><cell r="P6272" t="str"><v>Trial</v></cell><cell r="Q6272" t="str"><v>Social</v></cell><cell r="R6272" t="str"><v>Azure</v></cell><cell r="S6272" t="str"><v>Apps & Infra</v></cell><cell r="T6272" t="str"><v>Developers & ITI's</v></cell><cell r="U6272" t="str"><v>USA-Trial-ITD-Retargeting-AZR-AZR</v></cell><cell r="V6272" t="str"><v>Retargeting</v></cell><cell r="W6272" t="str"><v>Canvas Collection Ad</v></cell><cell r="X6272" t="str"><v>1x1</v></cell></row><row r="6272"><cell r="AA6272"><v>43326</v></cell><cell r="AB6272" t="str"><v>USA_gaPMG_AZR_AZR_Q1_19_Direct-Social</v></cell><cell r="AC6272"><v>21358715</v></cell><cell r="AD6272"><v>720197</v></cell><cell r="AE6272" t="str"><v>Facebook</v></cell><cell r="AF6272"><v>3654128</v></cell><cell r="AG6272" t="str"><v>FACEBOOK»USA-Trial-ITD-Retargeting-AZR-AZR»1 x 1»SocialBan»CCA»ALL»CPA»RT»X»NA»SS»NA»Azure Developer Facebook Collections»PRSGY7</v></cell><cell r="AH6272"><v>225283585</v></cell><cell r="AI6272" t="str"><v>AZR_FBCollections-FreeStuffTryAzureFreeCTA-Img5_USA_1200x182_SOC_Plat_EN_NA_Standard_NA_TIN_T1_5</v></cell><cell r="AJ6272"><v>103776921</v></cell></row><row r="6273"><cell r="C6273" t="str"><v>43326FACEBOOK»USA-Trial-ITD-Retargeting-AZR-AZR»1 x 1»SocialBan»CCA»ALL»CPA»RT»X»NA»SS»NA»Azure Developer Facebook Collections»PRSGY7</v></cell><cell r="D6273" t="str"><v>43326225283585</v></cell><cell r="E6273" t="str"><v>43326103773180PRSGY7</v></cell><cell r="F6273" t="str"><v>DCM</v></cell><cell r="G6273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273"><cell r="K6273" t="str"><v>August</v></cell><cell r="L6273"><v>43330</v></cell><cell r="M6273" t="str"><v>Tier 0</v></cell><cell r="N6273" t="str"><v>North America</v></cell><cell r="O6273" t="str"><v>United States</v></cell><cell r="P6273" t="str"><v>Trial</v></cell><cell r="Q6273" t="str"><v>Social</v></cell><cell r="R6273" t="str"><v>Azure</v></cell><cell r="S6273" t="str"><v>Apps & Infra</v></cell><cell r="T6273" t="str"><v>Developers & ITI's</v></cell><cell r="U6273" t="str"><v>USA-Trial-ITD-Retargeting-AZR-AZR</v></cell><cell r="V6273" t="str"><v>Retargeting</v></cell><cell r="W6273" t="str"><v>Canvas Collection Ad</v></cell><cell r="X6273" t="str"><v>1x1</v></cell></row><row r="6273"><cell r="AA6273"><v>43326</v></cell><cell r="AB6273" t="str"><v>USA_gaPMG_AZR_AZR_Q1_19_Direct-Social</v></cell><cell r="AC6273"><v>21358715</v></cell><cell r="AD6273"><v>720197</v></cell><cell r="AE6273" t="str"><v>Facebook</v></cell><cell r="AF6273"><v>3654128</v></cell><cell r="AG6273" t="str"><v>FACEBOOK»USA-Trial-ITD-Retargeting-AZR-AZR»1 x 1»SocialBan»CCA»ALL»CPA»RT»X»NA»SS»NA»Azure Developer Facebook Collections»PRSGY7</v></cell><cell r="AH6273"><v>225283585</v></cell><cell r="AI6273" t="str"><v>AZR_FBCollections-SmartDataTryAzureFreeCTA-Img4_USA_1200x182_SOC_Plat_EN_NA_Standard_NA_TIN_T1_4</v></cell><cell r="AJ6273"><v>103773180</v></cell></row><row r="6274"><cell r="C6274" t="str"><v>43326FACEBOOK»USA-Trial-ITD-Retargeting-AZR-AZR»1 x 1»SocialBan»CCA»ALL»CPA»RT»X»NA»SS»NA»Azure Developer Facebook Collections»PRSGY7</v></cell><cell r="D6274" t="str"><v>43326225283585</v></cell><cell r="E6274" t="str"><v>43326103874423PRSGY7</v></cell><cell r="F6274" t="str"><v>DCM</v></cell><cell r="G6274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274"><cell r="K6274" t="str"><v>August</v></cell><cell r="L6274"><v>43330</v></cell><cell r="M6274" t="str"><v>Tier 0</v></cell><cell r="N6274" t="str"><v>North America</v></cell><cell r="O6274" t="str"><v>United States</v></cell><cell r="P6274" t="str"><v>Trial</v></cell><cell r="Q6274" t="str"><v>Social</v></cell><cell r="R6274" t="str"><v>Azure</v></cell><cell r="S6274" t="str"><v>Apps & Infra</v></cell><cell r="T6274" t="str"><v>Developers & ITI's</v></cell><cell r="U6274" t="str"><v>USA-Trial-ITD-Retargeting-AZR-AZR</v></cell><cell r="V6274" t="str"><v>Retargeting</v></cell><cell r="W6274" t="str"><v>Canvas Collection Ad</v></cell><cell r="X6274" t="str"><v>1x1</v></cell></row><row r="6274"><cell r="AA6274"><v>43326</v></cell><cell r="AB6274" t="str"><v>USA_gaPMG_AZR_AZR_Q1_19_Direct-Social</v></cell><cell r="AC6274"><v>21358715</v></cell><cell r="AD6274"><v>720197</v></cell><cell r="AE6274" t="str"><v>Facebook</v></cell><cell r="AF6274"><v>3654128</v></cell><cell r="AG6274" t="str"><v>FACEBOOK»USA-Trial-ITD-Retargeting-AZR-AZR»1 x 1»SocialBan»CCA»ALL»CPA»RT»X»NA»SS»NA»Azure Developer Facebook Collections»PRSGY7</v></cell><cell r="AH6274"><v>225283585</v></cell><cell r="AI6274" t="str"><v>AZR_FBCollections-TryAzureFreeCTA-Img1_USA_1200x182_SOC_Plat_EN_NA_Standard_NA_TIN_T1_1</v></cell><cell r="AJ6274"><v>103874423</v></cell></row><row r="6275"><cell r="C6275" t="str"><v>43326INSTAGRAM»USA-Trial-ITD-Interest Prospecting-AZR-AZR»1 x 1»SocialBan»CAN»ALL»CPA»PRO»X»NA»SS»NA»IGCTCBenefit2inMotion»PRC2PD</v></cell><cell r="D6275" t="str"><v>43326223933084</v></cell><cell r="E6275" t="str"><v>43326103180628PRC2PD</v></cell><cell r="F6275" t="str"><v>DCM</v></cell><cell r="G6275" t="str"><v>https://signup.azure.com/?OCID=AID%eexcid!_OLA_%ebuy!_%epid!_%ecid!</v></cell></row><row r="6275"><cell r="K6275" t="str"><v>August</v></cell><cell r="L6275"><v>43330</v></cell><cell r="M6275" t="str"><v>Tier 0</v></cell><cell r="N6275" t="str"><v>North America</v></cell><cell r="O6275" t="str"><v>United States</v></cell><cell r="P6275" t="str"><v>Trial</v></cell><cell r="Q6275" t="str"><v>Social</v></cell><cell r="R6275" t="str"><v>Azure</v></cell><cell r="S6275" t="str"><v>Apps & Infra</v></cell><cell r="T6275" t="str"><v>Developers & ITI's</v></cell><cell r="U6275" t="str"><v>USA-Trial-ITD-Interest Prospecting-AZR-AZR</v></cell><cell r="V6275" t="str"><v>Prospecting</v></cell><cell r="W6275" t="str"><v>Canvas Ad</v></cell><cell r="X6275" t="str"><v>1x1</v></cell></row><row r="6275"><cell r="AA6275"><v>43326</v></cell><cell r="AB6275" t="str"><v>USA_gaPMG_AZR_AZR_Q1_19_Direct-Social</v></cell><cell r="AC6275"><v>21358715</v></cell><cell r="AD6275"><v>720197</v></cell><cell r="AE6275" t="str"><v>Facebook - Instagram</v></cell><cell r="AF6275"><v>3654128</v></cell><cell r="AG6275" t="str"><v>INSTAGRAM»USA-Trial-ITD-Interest Prospecting-AZR-AZR»1 x 1»SocialBan»CAN»ALL»CPA»PRO»X»NA»SS»NA»IGCTCBenefit2inMotion»PRC2PD</v></cell><cell r="AH6275"><v>223933084</v></cell><cell r="AI6275" t="str"><v>AzurePlatform_IGCTCBrandinMotion_USA_10s_CAN_PLATFORM_English_Trial_Standard_STAN_TIN_T2_1</v></cell><cell r="AJ6275"><v>103180628</v></cell></row><row r="6276"><cell r="C6276" t="str"><v>43326INSTAGRAM»USA-Trial-ITD-Interest Prospecting-AZR-AZR»1 x 1»SocialBan»CAN»ALL»CPA»PRO»X»NA»SS»NA»IGCTCBenefit2inMotion»PRC2PD</v></cell><cell r="D6276" t="str"><v>43326223933084</v></cell><cell r="E6276" t="str"><v>43326103050786PRC2PD</v></cell><cell r="F6276" t="str"><v>DCM</v></cell><cell r="G6276" t="str"><v>https://azure.microsoft.com/en-us/pricing/purchase-options/?v=18.19&OCID=AID%eexcid!_OLA_%ebuy!_%epid!_%ecid!</v></cell></row><row r="6276"><cell r="K6276" t="str"><v>August</v></cell><cell r="L6276"><v>43330</v></cell><cell r="M6276" t="str"><v>Tier 0</v></cell><cell r="N6276" t="str"><v>North America</v></cell><cell r="O6276" t="str"><v>United States</v></cell><cell r="P6276" t="str"><v>Trial</v></cell><cell r="Q6276" t="str"><v>Social</v></cell><cell r="R6276" t="str"><v>Azure</v></cell><cell r="S6276" t="str"><v>Apps & Infra</v></cell><cell r="T6276" t="str"><v>Developers & ITI's</v></cell><cell r="U6276" t="str"><v>USA-Trial-ITD-Interest Prospecting-AZR-AZR</v></cell><cell r="V6276" t="str"><v>Prospecting</v></cell><cell r="W6276" t="str"><v>Canvas Ad</v></cell><cell r="X6276" t="str"><v>1x1</v></cell></row><row r="6276"><cell r="AA6276"><v>43326</v></cell><cell r="AB6276" t="str"><v>USA_gaPMG_AZR_AZR_Q1_19_Direct-Social</v></cell><cell r="AC6276"><v>21358715</v></cell><cell r="AD6276"><v>720197</v></cell><cell r="AE6276" t="str"><v>Facebook - Instagram</v></cell><cell r="AF6276"><v>3654128</v></cell><cell r="AG6276" t="str"><v>INSTAGRAM»USA-Trial-ITD-Interest Prospecting-AZR-AZR»1 x 1»SocialBan»CAN»ALL»CPA»PRO»X»NA»SS»NA»IGCTCBenefit2inMotion»PRC2PD</v></cell><cell r="AH6276"><v>223933084</v></cell><cell r="AI6276" t="str"><v>AzurePlatform_IGCTCBrandinMotion_USA_10s_CAN_PLATFORM_English_Trial_Standard_STAN_TIN_T2_2</v></cell><cell r="AJ6276"><v>103050786</v></cell></row><row r="6277"><cell r="C6277" t="str"><v>43326INSTAGRAM»USA-Trial-ITD-Interest Prospecting-AZR-AZR»1 x 1»SocialBan»CAN»ALL»CPA»PRO»X»NA»SS»NA»IGCTCBrandinMotion»PRC2PB</v></cell><cell r="D6277" t="str"><v>43326223862690</v></cell><cell r="E6277" t="str"><v>43326103050783PRC2PB</v></cell><cell r="F6277" t="str"><v>DCM</v></cell><cell r="G6277" t="str"><v>https://signup.azure.com/?OCID=AID%eexcid!_OLA_%ebuy!_%epid!_%ecid!</v></cell></row><row r="6277"><cell r="K6277" t="str"><v>August</v></cell><cell r="L6277"><v>43330</v></cell><cell r="M6277" t="str"><v>Tier 0</v></cell><cell r="N6277" t="str"><v>North America</v></cell><cell r="O6277" t="str"><v>United States</v></cell><cell r="P6277" t="str"><v>Trial</v></cell><cell r="Q6277" t="str"><v>Social</v></cell><cell r="R6277" t="str"><v>Azure</v></cell><cell r="S6277" t="str"><v>Apps & Infra</v></cell><cell r="T6277" t="str"><v>Developers & ITI's</v></cell><cell r="U6277" t="str"><v>USA-Trial-ITD-Interest Prospecting-AZR-AZR</v></cell><cell r="V6277" t="str"><v>Prospecting</v></cell><cell r="W6277" t="str"><v>Canvas Ad</v></cell><cell r="X6277" t="str"><v>1x1</v></cell></row><row r="6277"><cell r="AA6277"><v>43326</v></cell><cell r="AB6277" t="str"><v>USA_gaPMG_AZR_AZR_Q1_19_Direct-Social</v></cell><cell r="AC6277"><v>21358715</v></cell><cell r="AD6277"><v>720197</v></cell><cell r="AE6277" t="str"><v>Facebook - Instagram</v></cell><cell r="AF6277"><v>3654128</v></cell><cell r="AG6277" t="str"><v>INSTAGRAM»USA-Trial-ITD-Interest Prospecting-AZR-AZR»1 x 1»SocialBan»CAN»ALL»CPA»PRO»X»NA»SS»NA»IGCTCBrandinMotion»PRC2PB</v></cell><cell r="AH6277"><v>223862690</v></cell><cell r="AI6277" t="str"><v>AzurePlatform_IGCTCBenefit2inMotion_USA_10s_CAN_PLATFORM_English_Trial_Standard_STAN_TIN_T4_1</v></cell><cell r="AJ6277"><v>103050783</v></cell></row><row r="6278"><cell r="C6278" t="str"><v>43326INSTAGRAM»USA-Trial-ITD-Interest Prospecting-AZR-AZR»1 x 1»SocialBan»CAN»ALL»CPA»PRO»X»NA»SS»NA»IGCTCBrandinMotion»PRC2PB</v></cell><cell r="D6278" t="str"><v>43326223862690</v></cell><cell r="E6278" t="str"><v>43326103178714PRC2PB</v></cell><cell r="F6278" t="str"><v>DCM</v></cell><cell r="G6278" t="str"><v>https://azure.microsoft.com/en-us/pricing/purchase-options/?v=18.19&OCID=AID%eexcid!_OLA_%ebuy!_%epid!_%ecid!</v></cell></row><row r="6278"><cell r="K6278" t="str"><v>August</v></cell><cell r="L6278"><v>43330</v></cell><cell r="M6278" t="str"><v>Tier 0</v></cell><cell r="N6278" t="str"><v>North America</v></cell><cell r="O6278" t="str"><v>United States</v></cell><cell r="P6278" t="str"><v>Trial</v></cell><cell r="Q6278" t="str"><v>Social</v></cell><cell r="R6278" t="str"><v>Azure</v></cell><cell r="S6278" t="str"><v>Apps & Infra</v></cell><cell r="T6278" t="str"><v>Developers & ITI's</v></cell><cell r="U6278" t="str"><v>USA-Trial-ITD-Interest Prospecting-AZR-AZR</v></cell><cell r="V6278" t="str"><v>Prospecting</v></cell><cell r="W6278" t="str"><v>Canvas Ad</v></cell><cell r="X6278" t="str"><v>1x1</v></cell></row><row r="6278"><cell r="AA6278"><v>43326</v></cell><cell r="AB6278" t="str"><v>USA_gaPMG_AZR_AZR_Q1_19_Direct-Social</v></cell><cell r="AC6278"><v>21358715</v></cell><cell r="AD6278"><v>720197</v></cell><cell r="AE6278" t="str"><v>Facebook - Instagram</v></cell><cell r="AF6278"><v>3654128</v></cell><cell r="AG6278" t="str"><v>INSTAGRAM»USA-Trial-ITD-Interest Prospecting-AZR-AZR»1 x 1»SocialBan»CAN»ALL»CPA»PRO»X»NA»SS»NA»IGCTCBrandinMotion»PRC2PB</v></cell><cell r="AH6278"><v>223862690</v></cell><cell r="AI6278" t="str"><v>AzurePlatform_IGCTCBenefit2inMotion_USA_10s_CAN_PLATFORM_English_Trial_Standard_STAN_TIN_T4_2</v></cell><cell r="AJ6278"><v>103178714</v></cell></row><row r="6279"><cell r="C6279" t="str"><v>43326INSTAGRAM»USA-Trial-ITD-Retargeting-AZR-AZR»1 x 1»SocialBan»CAN»ALL»CPA»RT»X»NA»SS»NA»IGCTCBenefit2inMotion»PRC2G6</v></cell><cell r="D6279" t="str"><v>43326224105001</v></cell><cell r="E6279" t="str"><v>43326103180628PRC2G6</v></cell><cell r="F6279" t="str"><v>DCM</v></cell><cell r="G6279" t="str"><v>https://signup.azure.com/?OCID=AID%eexcid!_OLA_%ebuy!_%epid!_%ecid!</v></cell></row><row r="6279"><cell r="K6279" t="str"><v>August</v></cell><cell r="L6279"><v>43330</v></cell><cell r="M6279" t="str"><v>Tier 0</v></cell><cell r="N6279" t="str"><v>North America</v></cell><cell r="O6279" t="str"><v>United States</v></cell><cell r="P6279" t="str"><v>Trial</v></cell><cell r="Q6279" t="str"><v>Social</v></cell><cell r="R6279" t="str"><v>Azure</v></cell><cell r="S6279" t="str"><v>Apps & Infra</v></cell><cell r="T6279" t="str"><v>Developers & ITI's</v></cell><cell r="U6279" t="str"><v>USA-Trial-ITD-Retargeting-AZR-AZR</v></cell><cell r="V6279" t="str"><v>Retargeting</v></cell><cell r="W6279" t="str"><v>Canvas Ad</v></cell><cell r="X6279" t="str"><v>1x1</v></cell></row><row r="6279"><cell r="AA6279"><v>43326</v></cell><cell r="AB6279" t="str"><v>USA_gaPMG_AZR_AZR_Q1_19_Direct-Social</v></cell><cell r="AC6279"><v>21358715</v></cell><cell r="AD6279"><v>720197</v></cell><cell r="AE6279" t="str"><v>Facebook - Instagram</v></cell><cell r="AF6279"><v>3654128</v></cell><cell r="AG6279" t="str"><v>INSTAGRAM»USA-Trial-ITD-Retargeting-AZR-AZR»1 x 1»SocialBan»CAN»ALL»CPA»RT»X»NA»SS»NA»IGCTCBenefit2inMotion»PRC2G6</v></cell><cell r="AH6279"><v>224105001</v></cell><cell r="AI6279" t="str"><v>AzurePlatform_IGCTCBrandinMotion_USA_10s_CAN_PLATFORM_English_Trial_Standard_STAN_TIN_T2_1</v></cell><cell r="AJ6279"><v>103180628</v></cell></row><row r="6280"><cell r="C6280" t="str"><v>43326INSTAGRAM»USA-Trial-ITD-Trial Lookalike-AZR-AZR»1 x 1»SocialBan»CAN»ALL»CPA»LAL»X»NA»SS»NA»IGCTCBenefit2inMotion»PRC2FL</v></cell><cell r="D6280" t="str"><v>43326223935022</v></cell><cell r="E6280" t="str"><v>43326103180628PRC2FL</v></cell><cell r="F6280" t="str"><v>DCM</v></cell><cell r="G6280" t="str"><v>https://signup.azure.com/?OCID=AID%eexcid!_OLA_%ebuy!_%epid!_%ecid!</v></cell></row><row r="6280"><cell r="K6280" t="str"><v>August</v></cell><cell r="L6280"><v>43330</v></cell><cell r="M6280" t="str"><v>Tier 0</v></cell><cell r="N6280" t="str"><v>North America</v></cell><cell r="O6280" t="str"><v>United States</v></cell><cell r="P6280" t="str"><v>Trial</v></cell><cell r="Q6280" t="str"><v>Social</v></cell><cell r="R6280" t="str"><v>Azure</v></cell><cell r="S6280" t="str"><v>Apps & Infra</v></cell><cell r="T6280" t="str"><v>Developers & ITI's</v></cell><cell r="U6280" t="str"><v>USA-Trial-ITD-Trial Lookalike-AZR-AZR</v></cell><cell r="V6280" t="str"><v>Lookalike Targeting</v></cell><cell r="W6280" t="str"><v>Canvas Ad</v></cell><cell r="X6280" t="str"><v>1x1</v></cell></row><row r="6280"><cell r="AA6280"><v>43326</v></cell><cell r="AB6280" t="str"><v>USA_gaPMG_AZR_AZR_Q1_19_Direct-Social</v></cell><cell r="AC6280"><v>21358715</v></cell><cell r="AD6280"><v>720197</v></cell><cell r="AE6280" t="str"><v>Facebook - Instagram</v></cell><cell r="AF6280"><v>3654128</v></cell><cell r="AG6280" t="str"><v>INSTAGRAM»USA-Trial-ITD-Trial Lookalike-AZR-AZR»1 x 1»SocialBan»CAN»ALL»CPA»LAL»X»NA»SS»NA»IGCTCBenefit2inMotion»PRC2FL</v></cell><cell r="AH6280"><v>223935022</v></cell><cell r="AI6280" t="str"><v>AzurePlatform_IGCTCBrandinMotion_USA_10s_CAN_PLATFORM_English_Trial_Standard_STAN_TIN_T2_1</v></cell><cell r="AJ6280"><v>103180628</v></cell></row><row r="6281"><cell r="C6281" t="str"><v>43326INSTAGRAM»USA-Trial-ITD-Trial Lookalike-AZR-AZR»1 x 1»SocialBan»CAN»ALL»CPA»LAL»X»NA»SS»NA»IGCTCBenefit2inMotion»PRC2FL</v></cell><cell r="D6281" t="str"><v>43326223935022</v></cell><cell r="E6281" t="str"><v>43326103050786PRC2FL</v></cell><cell r="F6281" t="str"><v>DCM</v></cell><cell r="G6281" t="str"><v>https://azure.microsoft.com/en-us/pricing/purchase-options/?v=18.19&OCID=AID%eexcid!_OLA_%ebuy!_%epid!_%ecid!</v></cell></row><row r="6281"><cell r="K6281" t="str"><v>August</v></cell><cell r="L6281"><v>43330</v></cell><cell r="M6281" t="str"><v>Tier 0</v></cell><cell r="N6281" t="str"><v>North America</v></cell><cell r="O6281" t="str"><v>United States</v></cell><cell r="P6281" t="str"><v>Trial</v></cell><cell r="Q6281" t="str"><v>Social</v></cell><cell r="R6281" t="str"><v>Azure</v></cell><cell r="S6281" t="str"><v>Apps & Infra</v></cell><cell r="T6281" t="str"><v>Developers & ITI's</v></cell><cell r="U6281" t="str"><v>USA-Trial-ITD-Trial Lookalike-AZR-AZR</v></cell><cell r="V6281" t="str"><v>Lookalike Targeting</v></cell><cell r="W6281" t="str"><v>Canvas Ad</v></cell><cell r="X6281" t="str"><v>1x1</v></cell></row><row r="6281"><cell r="AA6281"><v>43326</v></cell><cell r="AB6281" t="str"><v>USA_gaPMG_AZR_AZR_Q1_19_Direct-Social</v></cell><cell r="AC6281"><v>21358715</v></cell><cell r="AD6281"><v>720197</v></cell><cell r="AE6281" t="str"><v>Facebook - Instagram</v></cell><cell r="AF6281"><v>3654128</v></cell><cell r="AG6281" t="str"><v>INSTAGRAM»USA-Trial-ITD-Trial Lookalike-AZR-AZR»1 x 1»SocialBan»CAN»ALL»CPA»LAL»X»NA»SS»NA»IGCTCBenefit2inMotion»PRC2FL</v></cell><cell r="AH6281"><v>223935022</v></cell><cell r="AI6281" t="str"><v>AzurePlatform_IGCTCBrandinMotion_USA_10s_CAN_PLATFORM_English_Trial_Standard_STAN_TIN_T2_2</v></cell><cell r="AJ6281"><v>103050786</v></cell></row><row r="6282"><cell r="C6282" t="str"><v>43326INSTAGRAM»USA-Trial-ITD-Trial PayGo Lookalike-AZR-AZR»1 x 1»SocialBan»CAN»ALL»CPA»LAL»X»NA»SS»NA»IGCTCBenefit2inMotion»PRC2FZ</v></cell><cell r="D6282" t="str"><v>43326223933075</v></cell><cell r="E6282" t="str"><v>43326103180628PRC2FZ</v></cell><cell r="F6282" t="str"><v>DCM</v></cell><cell r="G6282" t="str"><v>https://signup.azure.com/?OCID=AID%eexcid!_OLA_%ebuy!_%epid!_%ecid!</v></cell></row><row r="6282"><cell r="K6282" t="str"><v>August</v></cell><cell r="L6282"><v>43330</v></cell><cell r="M6282" t="str"><v>Tier 0</v></cell><cell r="N6282" t="str"><v>North America</v></cell><cell r="O6282" t="str"><v>United States</v></cell><cell r="P6282" t="str"><v>Trial</v></cell><cell r="Q6282" t="str"><v>Social</v></cell><cell r="R6282" t="str"><v>Azure</v></cell><cell r="S6282" t="str"><v>Apps & Infra</v></cell><cell r="T6282" t="str"><v>Developers & ITI's</v></cell><cell r="U6282" t="str"><v>USA-Trial-ITD-Trial PayGo Lookalike-AZR-AZR</v></cell><cell r="V6282" t="str"><v>Lookalike Targeting</v></cell><cell r="W6282" t="str"><v>Canvas Ad</v></cell><cell r="X6282" t="str"><v>1x1</v></cell></row><row r="6282"><cell r="AA6282"><v>43326</v></cell><cell r="AB6282" t="str"><v>USA_gaPMG_AZR_AZR_Q1_19_Direct-Social</v></cell><cell r="AC6282"><v>21358715</v></cell><cell r="AD6282"><v>720197</v></cell><cell r="AE6282" t="str"><v>Facebook - Instagram</v></cell><cell r="AF6282"><v>3654128</v></cell><cell r="AG6282" t="str"><v>INSTAGRAM»USA-Trial-ITD-Trial PayGo Lookalike-AZR-AZR»1 x 1»SocialBan»CAN»ALL»CPA»LAL»X»NA»SS»NA»IGCTCBenefit2inMotion»PRC2FZ</v></cell><cell r="AH6282"><v>223933075</v></cell><cell r="AI6282" t="str"><v>AzurePlatform_IGCTCBrandinMotion_USA_10s_CAN_PLATFORM_English_Trial_Standard_STAN_TIN_T2_1</v></cell><cell r="AJ6282"><v>103180628</v></cell></row><row r="6283"><cell r="C6283" t="str"><v>43326INSTAGRAM»USA-Trial-ITD-Trial PayGo Lookalike-AZR-AZR»1 x 1»SocialBan»CAN»ALL»CPA»LAL»X»NA»SS»NA»IGCTCBenefit2inMotion»PRC2FZ</v></cell><cell r="D6283" t="str"><v>43326223933075</v></cell><cell r="E6283" t="str"><v>43326103050786PRC2FZ</v></cell><cell r="F6283" t="str"><v>DCM</v></cell><cell r="G6283" t="str"><v>https://azure.microsoft.com/en-us/pricing/purchase-options/?v=18.19&OCID=AID%eexcid!_OLA_%ebuy!_%epid!_%ecid!</v></cell></row><row r="6283"><cell r="K6283" t="str"><v>August</v></cell><cell r="L6283"><v>43330</v></cell><cell r="M6283" t="str"><v>Tier 0</v></cell><cell r="N6283" t="str"><v>North America</v></cell><cell r="O6283" t="str"><v>United States</v></cell><cell r="P6283" t="str"><v>Trial</v></cell><cell r="Q6283" t="str"><v>Social</v></cell><cell r="R6283" t="str"><v>Azure</v></cell><cell r="S6283" t="str"><v>Apps & Infra</v></cell><cell r="T6283" t="str"><v>Developers & ITI's</v></cell><cell r="U6283" t="str"><v>USA-Trial-ITD-Trial PayGo Lookalike-AZR-AZR</v></cell><cell r="V6283" t="str"><v>Lookalike Targeting</v></cell><cell r="W6283" t="str"><v>Canvas Ad</v></cell><cell r="X6283" t="str"><v>1x1</v></cell></row><row r="6283"><cell r="AA6283"><v>43326</v></cell><cell r="AB6283" t="str"><v>USA_gaPMG_AZR_AZR_Q1_19_Direct-Social</v></cell><cell r="AC6283"><v>21358715</v></cell><cell r="AD6283"><v>720197</v></cell><cell r="AE6283" t="str"><v>Facebook - Instagram</v></cell><cell r="AF6283"><v>3654128</v></cell><cell r="AG6283" t="str"><v>INSTAGRAM»USA-Trial-ITD-Trial PayGo Lookalike-AZR-AZR»1 x 1»SocialBan»CAN»ALL»CPA»LAL»X»NA»SS»NA»IGCTCBenefit2inMotion»PRC2FZ</v></cell><cell r="AH6283"><v>223933075</v></cell><cell r="AI6283" t="str"><v>AzurePlatform_IGCTCBrandinMotion_USA_10s_CAN_PLATFORM_English_Trial_Standard_STAN_TIN_T2_2</v></cell><cell r="AJ6283"><v>103050786</v></cell></row><row r="6284"><cell r="C6284" t="str"><v>43326LINKEDIN»USA-Trial-ITD-Bing Retargeting LAL-AZR-AZR»1 x 1»SocialBan»LIA»ALL»CPA»RT»D»All»SS»NA»FreeAcctRetargetingLI-GlobalAlt-ChB»PS7BT3</v></cell><cell r="D6284" t="str"><v>43326226622833</v></cell><cell r="E6284" t="str"><v>43326104593723PS7BT3</v></cell><cell r="F6284" t="str"><v>DCM</v></cell><cell r="G6284" t="str"><v>https://azure.microsoft.com/en-us/free/search/?OCID=AID%eexcid!_OLA_%ebuy!_%epid!_%ecid!</v></cell></row><row r="6284"><cell r="K6284" t="str"><v>August</v></cell><cell r="L6284"><v>43330</v></cell><cell r="M6284" t="str"><v>Tier 0</v></cell><cell r="N6284" t="str"><v>North America</v></cell><cell r="O6284" t="str"><v>United States</v></cell><cell r="P6284" t="str"><v>Trial</v></cell><cell r="Q6284" t="str"><v>Social</v></cell><cell r="R6284" t="str"><v>Azure</v></cell><cell r="S6284" t="str"><v>Apps & Infra</v></cell><cell r="T6284" t="str"><v>Developers & ITI's</v></cell><cell r="U6284" t="str"><v>USA-Trial-ITD-Bing Retargeting LAL-AZR-AZR</v></cell><cell r="V6284" t="str"><v>Retargeting</v></cell><cell r="W6284" t="str"><v>Link Ad</v></cell><cell r="X6284" t="str"><v>1x1</v></cell></row><row r="6284"><cell r="AA6284"><v>43326</v></cell><cell r="AB6284" t="str"><v>USA_gaPMG_AZR_AZR_Q1_19_Direct-Social</v></cell><cell r="AC6284"><v>21358715</v></cell><cell r="AD6284"><v>720197</v></cell><cell r="AE6284" t="str"><v>Linkedin</v></cell><cell r="AF6284"><v>3654329</v></cell><cell r="AG6284" t="str"><v>LINKEDIN»USA-Trial-ITD-Bing Retargeting LAL-AZR-AZR»1 x 1»SocialBan»LIA»ALL»CPA»RT»D»All»SS»NA»FreeAcctRetargetingLI-GlobalAlt-ChB»PS7BT3</v></cell><cell r="AH6284"><v>226622833</v></cell><cell r="AI6284" t="str"><v>AZR_FreeAcctRetargetingLI-GlobalAlt-ChB_USA_1200x627_LIA_Plat_English_Free Account_Standard_NA_SINU_T2_1</v></cell><cell r="AJ6284"><v>104593723</v></cell></row><row r="6285"><cell r="C6285" t="str"><v>43326LINKEDIN»USA-Trial-ITD-Bing Retargeting LAL-AZR-AZR»1 x 1»SocialBan»LIA»ALL»CPA»RT»D»All»SS»NA»FreeAcctRetargetingOSSLI-Logos-ChG»PS7BT0</v></cell><cell r="D6285" t="str"><v>43326226536110</v></cell><cell r="E6285" t="str"><v>43326104595727PS7BT0</v></cell><cell r="F6285" t="str"><v>DCM</v></cell><cell r="G6285" t="str"><v>https://azure.microsoft.com/en-us/free/open-source/search/?OCID=AID%eexcid!_OLA_%ebuy!_%epid!_%ecid!</v></cell></row><row r="6285"><cell r="K6285" t="str"><v>August</v></cell><cell r="L6285"><v>43330</v></cell><cell r="M6285" t="str"><v>Tier 0</v></cell><cell r="N6285" t="str"><v>North America</v></cell><cell r="O6285" t="str"><v>United States</v></cell><cell r="P6285" t="str"><v>Trial</v></cell><cell r="Q6285" t="str"><v>Social</v></cell><cell r="R6285" t="str"><v>Azure</v></cell><cell r="S6285" t="str"><v>Apps & Infra</v></cell><cell r="T6285" t="str"><v>Developers & ITI's</v></cell><cell r="U6285" t="str"><v>USA-Trial-ITD-Bing Retargeting LAL-AZR-AZR</v></cell><cell r="V6285" t="str"><v>Retargeting</v></cell><cell r="W6285" t="str"><v>Link Ad</v></cell><cell r="X6285" t="str"><v>1x1</v></cell></row><row r="6285"><cell r="AA6285"><v>43326</v></cell><cell r="AB6285" t="str"><v>USA_gaPMG_AZR_AZR_Q1_19_Direct-Social</v></cell><cell r="AC6285"><v>21358715</v></cell><cell r="AD6285"><v>720197</v></cell><cell r="AE6285" t="str"><v>Linkedin</v></cell><cell r="AF6285"><v>3654329</v></cell><cell r="AG6285" t="str"><v>LINKEDIN»USA-Trial-ITD-Bing Retargeting LAL-AZR-AZR»1 x 1»SocialBan»LIA»ALL»CPA»RT»D»All»SS»NA»FreeAcctRetargetingOSSLI-Logos-ChG»PS7BT0</v></cell><cell r="AH6285"><v>226536110</v></cell><cell r="AI6285" t="str"><v>AZR_FreeAcctRetargetingOSSLI-Logos-ChG_USA_1200x627_LIA_Plat_English_Free Account_Standard_NA_SINU_T2_1</v></cell><cell r="AJ6285"><v>104595727</v></cell></row><row r="6286"><cell r="C6286" t="str"><v>43326LINKEDIN»USA-Trial-ITD-Bing Retargeting LAL-AZR-AZR»1 x 1»SocialBan»LIA»ALL»CPA»RT»D»All»SS»NA»FreeAcctRetargetingOSSLI-Text-ChF»PS7BSY</v></cell><cell r="D6286" t="str"><v>43326226774290</v></cell><cell r="E6286" t="str"><v>43326104595754PS7BSY</v></cell><cell r="F6286" t="str"><v>DCM</v></cell><cell r="G6286" t="str"><v>https://azure.microsoft.com/en-us/free/open-source/search/?OCID=AID%eexcid!_OLA_%ebuy!_%epid!_%ecid!</v></cell></row><row r="6286"><cell r="K6286" t="str"><v>August</v></cell><cell r="L6286"><v>43330</v></cell><cell r="M6286" t="str"><v>Tier 0</v></cell><cell r="N6286" t="str"><v>North America</v></cell><cell r="O6286" t="str"><v>United States</v></cell><cell r="P6286" t="str"><v>Trial</v></cell><cell r="Q6286" t="str"><v>Social</v></cell><cell r="R6286" t="str"><v>Azure</v></cell><cell r="S6286" t="str"><v>Apps & Infra</v></cell><cell r="T6286" t="str"><v>Developers & ITI's</v></cell><cell r="U6286" t="str"><v>USA-Trial-ITD-Bing Retargeting LAL-AZR-AZR</v></cell><cell r="V6286" t="str"><v>Retargeting</v></cell><cell r="W6286" t="str"><v>Link Ad</v></cell><cell r="X6286" t="str"><v>1x1</v></cell></row><row r="6286"><cell r="AA6286"><v>43326</v></cell><cell r="AB6286" t="str"><v>USA_gaPMG_AZR_AZR_Q1_19_Direct-Social</v></cell><cell r="AC6286"><v>21358715</v></cell><cell r="AD6286"><v>720197</v></cell><cell r="AE6286" t="str"><v>Linkedin</v></cell><cell r="AF6286"><v>3654329</v></cell><cell r="AG6286" t="str"><v>LINKEDIN»USA-Trial-ITD-Bing Retargeting LAL-AZR-AZR»1 x 1»SocialBan»LIA»ALL»CPA»RT»D»All»SS»NA»FreeAcctRetargetingOSSLI-Text-ChF»PS7BSY</v></cell><cell r="AH6286"><v>226774290</v></cell><cell r="AI6286" t="str"><v>AZR_FreeAcctRetargetingOSSLI-Text-ChF_USA_1200x627_LIA_Plat_English_Free Account_Standard_NA_SINU_T1_1</v></cell><cell r="AJ6286"><v>104595754</v></cell></row><row r="6287"><cell r="C6287" t="str"><v>43326LINKEDIN»USA-Trial-ITD-Bing Retargeting LAL-AZR-AZR»1 x 1»SocialBan»LIA»ALL»CPA»RT»D»All»SS»NA»FreeAcctRetargetingVMLI-750Hrs-ChD»PS7BSW</v></cell><cell r="D6287" t="str"><v>43326226622842</v></cell><cell r="E6287" t="str"><v>43326104671415PS7BSW</v></cell><cell r="F6287" t="str"><v>DCM</v></cell><cell r="G6287" t="str"><v>https://azure.microsoft.com/en-us/free/virtual-machines/search/?OCID=AID%eexcid!_OLA_%ebuy!_%epid!_%ecid!</v></cell></row><row r="6287"><cell r="K6287" t="str"><v>August</v></cell><cell r="L6287"><v>43330</v></cell><cell r="M6287" t="str"><v>Tier 0</v></cell><cell r="N6287" t="str"><v>North America</v></cell><cell r="O6287" t="str"><v>United States</v></cell><cell r="P6287" t="str"><v>Trial</v></cell><cell r="Q6287" t="str"><v>Social</v></cell><cell r="R6287" t="str"><v>Azure</v></cell><cell r="S6287" t="str"><v>Apps & Infra</v></cell><cell r="T6287" t="str"><v>Developers & ITI's</v></cell><cell r="U6287" t="str"><v>USA-Trial-ITD-Bing Retargeting LAL-AZR-AZR</v></cell><cell r="V6287" t="str"><v>Retargeting</v></cell><cell r="W6287" t="str"><v>Link Ad</v></cell><cell r="X6287" t="str"><v>1x1</v></cell></row><row r="6287"><cell r="AA6287"><v>43326</v></cell><cell r="AB6287" t="str"><v>USA_gaPMG_AZR_AZR_Q1_19_Direct-Social</v></cell><cell r="AC6287"><v>21358715</v></cell><cell r="AD6287"><v>720197</v></cell><cell r="AE6287" t="str"><v>Linkedin</v></cell><cell r="AF6287"><v>3654329</v></cell><cell r="AG6287" t="str"><v>LINKEDIN»USA-Trial-ITD-Bing Retargeting LAL-AZR-AZR»1 x 1»SocialBan»LIA»ALL»CPA»RT»D»All»SS»NA»FreeAcctRetargetingVMLI-750Hrs-ChD»PS7BSW</v></cell><cell r="AH6287"><v>226622842</v></cell><cell r="AI6287" t="str"><v>AZR_FreeAcctRetargetingVMLI-750Hrs-ChD_USA_1200x627_LIA_Plat_English_Free Account_Standard_NA_SINU_T1_1</v></cell><cell r="AJ6287"><v>104671415</v></cell></row><row r="6288"><cell r="C6288" t="str"><v>43326LINKEDIN»USA-Trial-ITD-Bing Retargeting LAL-AZR-AZR»1 x 1»SocialBan»LIA»ALL»CPA»RT»D»All»SS»NA»FreeAcctRetargetingVMLI-OnDemand-ChE»PS7BSX</v></cell><cell r="D6288" t="str"><v>43326226617625</v></cell><cell r="E6288" t="str"><v>43326104592529PS7BSX</v></cell><cell r="F6288" t="str"><v>DCM</v></cell><cell r="G6288" t="str"><v>https://azure.microsoft.com/en-us/free/virtual-machines/search/?OCID=AID%eexcid!_OLA_%ebuy!_%epid!_%ecid!</v></cell></row><row r="6288"><cell r="K6288" t="str"><v>August</v></cell><cell r="L6288"><v>43330</v></cell><cell r="M6288" t="str"><v>Tier 0</v></cell><cell r="N6288" t="str"><v>North America</v></cell><cell r="O6288" t="str"><v>United States</v></cell><cell r="P6288" t="str"><v>Trial</v></cell><cell r="Q6288" t="str"><v>Social</v></cell><cell r="R6288" t="str"><v>Azure</v></cell><cell r="S6288" t="str"><v>Apps & Infra</v></cell><cell r="T6288" t="str"><v>Developers & ITI's</v></cell><cell r="U6288" t="str"><v>USA-Trial-ITD-Bing Retargeting LAL-AZR-AZR</v></cell><cell r="V6288" t="str"><v>Retargeting</v></cell><cell r="W6288" t="str"><v>Link Ad</v></cell><cell r="X6288" t="str"><v>1x1</v></cell></row><row r="6288"><cell r="AA6288"><v>43326</v></cell><cell r="AB6288" t="str"><v>USA_gaPMG_AZR_AZR_Q1_19_Direct-Social</v></cell><cell r="AC6288"><v>21358715</v></cell><cell r="AD6288"><v>720197</v></cell><cell r="AE6288" t="str"><v>Linkedin</v></cell><cell r="AF6288"><v>3654329</v></cell><cell r="AG6288" t="str"><v>LINKEDIN»USA-Trial-ITD-Bing Retargeting LAL-AZR-AZR»1 x 1»SocialBan»LIA»ALL»CPA»RT»D»All»SS»NA»FreeAcctRetargetingVMLI-OnDemand-ChE»PS7BSX</v></cell><cell r="AH6288"><v>226617625</v></cell><cell r="AI6288" t="str"><v>AZR_FreeAcctRetargetingVMLI-OnDemand-ChE_USA_1200x627_LIA_Plat_English_Free Account_Standard_NA_SINU_T2_1</v></cell><cell r="AJ6288"><v>104592529</v></cell></row><row r="6289"><cell r="C6289" t="str"><v>43326LINKEDIN»USA-Trial-ITD-Groups Prospecting-AZR-AZR»1 x 1»SocialBan»LIA»ALL»CPA»PRO»D»All»SS»NA»FreeAcctRetargetingOSSLI-Logos-ChG»PS7BRY</v></cell><cell r="D6289" t="str"><v>43326226539362</v></cell><cell r="E6289" t="str"><v>43326104595727PS7BRY</v></cell><cell r="F6289" t="str"><v>DCM</v></cell><cell r="G6289" t="str"><v>https://azure.microsoft.com/en-us/free/open-source/search/?OCID=AID%eexcid!_OLA_%ebuy!_%epid!_%ecid!</v></cell></row><row r="6289"><cell r="K6289" t="str"><v>August</v></cell><cell r="L6289"><v>43330</v></cell><cell r="M6289" t="str"><v>Tier 0</v></cell><cell r="N6289" t="str"><v>North America</v></cell><cell r="O6289" t="str"><v>United States</v></cell><cell r="P6289" t="str"><v>Trial</v></cell><cell r="Q6289" t="str"><v>Social</v></cell><cell r="R6289" t="str"><v>Azure</v></cell><cell r="S6289" t="str"><v>Apps & Infra</v></cell><cell r="T6289" t="str"><v>Developers & ITI's</v></cell><cell r="U6289" t="str"><v>USA-Trial-ITD-Groups Prospecting-AZR-AZR</v></cell><cell r="V6289" t="str"><v>Prospecting</v></cell><cell r="W6289" t="str"><v>Link Ad</v></cell><cell r="X6289" t="str"><v>1x1</v></cell></row><row r="6289"><cell r="AA6289"><v>43326</v></cell><cell r="AB6289" t="str"><v>USA_gaPMG_AZR_AZR_Q1_19_Direct-Social</v></cell><cell r="AC6289"><v>21358715</v></cell><cell r="AD6289"><v>720197</v></cell><cell r="AE6289" t="str"><v>Linkedin</v></cell><cell r="AF6289"><v>3654329</v></cell><cell r="AG6289" t="str"><v>LINKEDIN»USA-Trial-ITD-Groups Prospecting-AZR-AZR»1 x 1»SocialBan»LIA»ALL»CPA»PRO»D»All»SS»NA»FreeAcctRetargetingOSSLI-Logos-ChG»PS7BRY</v></cell><cell r="AH6289"><v>226539362</v></cell><cell r="AI6289" t="str"><v>AZR_FreeAcctRetargetingOSSLI-Logos-ChG_USA_1200x627_LIA_Plat_English_Free Account_Standard_NA_SINU_T2_1</v></cell><cell r="AJ6289"><v>104595727</v></cell></row><row r="6290"><cell r="C6290" t="str"><v>43326LINKEDIN»USA-Trial-ITD-Groups Prospecting-AZR-AZR»1 x 1»SocialBan»LIA»ALL»CPA»PRO»D»All»SS»NA»FreeAcctRetargetingVMLI-750Hrs-ChD»PS7BRT</v></cell><cell r="D6290" t="str"><v>43326226536125</v></cell><cell r="E6290" t="str"><v>43326104671415PS7BRT</v></cell><cell r="F6290" t="str"><v>DCM</v></cell><cell r="G6290" t="str"><v>https://azure.microsoft.com/en-us/free/virtual-machines/search/?OCID=AID%eexcid!_OLA_%ebuy!_%epid!_%ecid!</v></cell></row><row r="6290"><cell r="K6290" t="str"><v>August</v></cell><cell r="L6290"><v>43330</v></cell><cell r="M6290" t="str"><v>Tier 0</v></cell><cell r="N6290" t="str"><v>North America</v></cell><cell r="O6290" t="str"><v>United States</v></cell><cell r="P6290" t="str"><v>Trial</v></cell><cell r="Q6290" t="str"><v>Social</v></cell><cell r="R6290" t="str"><v>Azure</v></cell><cell r="S6290" t="str"><v>Apps & Infra</v></cell><cell r="T6290" t="str"><v>Developers & ITI's</v></cell><cell r="U6290" t="str"><v>USA-Trial-ITD-Groups Prospecting-AZR-AZR</v></cell><cell r="V6290" t="str"><v>Prospecting</v></cell><cell r="W6290" t="str"><v>Link Ad</v></cell><cell r="X6290" t="str"><v>1x1</v></cell></row><row r="6290"><cell r="AA6290"><v>43326</v></cell><cell r="AB6290" t="str"><v>USA_gaPMG_AZR_AZR_Q1_19_Direct-Social</v></cell><cell r="AC6290"><v>21358715</v></cell><cell r="AD6290"><v>720197</v></cell><cell r="AE6290" t="str"><v>Linkedin</v></cell><cell r="AF6290"><v>3654329</v></cell><cell r="AG6290" t="str"><v>LINKEDIN»USA-Trial-ITD-Groups Prospecting-AZR-AZR»1 x 1»SocialBan»LIA»ALL»CPA»PRO»D»All»SS»NA»FreeAcctRetargetingVMLI-750Hrs-ChD»PS7BRT</v></cell><cell r="AH6290"><v>226536125</v></cell><cell r="AI6290" t="str"><v>AZR_FreeAcctRetargetingVMLI-750Hrs-ChD_USA_1200x627_LIA_Plat_English_Free Account_Standard_NA_SINU_T1_1</v></cell><cell r="AJ6290"><v>104671415</v></cell></row><row r="6291"><cell r="C6291" t="str"><v>43326LINKEDIN»USA-Trial-ITD-Groups Prospecting-AZR-AZR»1 x 1»SocialBan»LIA»ALL»CPA»PRO»D»All»SS»NA»FreeAcctRetargetingVMLI-OnDemand-ChE»PS7BRV</v></cell><cell r="D6291" t="str"><v>43326226786230</v></cell><cell r="E6291" t="str"><v>43326104592529PS7BRV</v></cell><cell r="F6291" t="str"><v>DCM</v></cell><cell r="G6291" t="str"><v>https://azure.microsoft.com/en-us/free/virtual-machines/search/?OCID=AID%eexcid!_OLA_%ebuy!_%epid!_%ecid!</v></cell></row><row r="6291"><cell r="K6291" t="str"><v>August</v></cell><cell r="L6291"><v>43330</v></cell><cell r="M6291" t="str"><v>Tier 0</v></cell><cell r="N6291" t="str"><v>North America</v></cell><cell r="O6291" t="str"><v>United States</v></cell><cell r="P6291" t="str"><v>Trial</v></cell><cell r="Q6291" t="str"><v>Social</v></cell><cell r="R6291" t="str"><v>Azure</v></cell><cell r="S6291" t="str"><v>Apps & Infra</v></cell><cell r="T6291" t="str"><v>Developers & ITI's</v></cell><cell r="U6291" t="str"><v>USA-Trial-ITD-Groups Prospecting-AZR-AZR</v></cell><cell r="V6291" t="str"><v>Prospecting</v></cell><cell r="W6291" t="str"><v>Link Ad</v></cell><cell r="X6291" t="str"><v>1x1</v></cell></row><row r="6291"><cell r="AA6291"><v>43326</v></cell><cell r="AB6291" t="str"><v>USA_gaPMG_AZR_AZR_Q1_19_Direct-Social</v></cell><cell r="AC6291"><v>21358715</v></cell><cell r="AD6291"><v>720197</v></cell><cell r="AE6291" t="str"><v>Linkedin</v></cell><cell r="AF6291"><v>3654329</v></cell><cell r="AG6291" t="str"><v>LINKEDIN»USA-Trial-ITD-Groups Prospecting-AZR-AZR»1 x 1»SocialBan»LIA»ALL»CPA»PRO»D»All»SS»NA»FreeAcctRetargetingVMLI-OnDemand-ChE»PS7BRV</v></cell><cell r="AH6291"><v>226786230</v></cell><cell r="AI6291" t="str"><v>AZR_FreeAcctRetargetingVMLI-OnDemand-ChE_USA_1200x627_LIA_Plat_English_Free Account_Standard_NA_SINU_T2_1</v></cell><cell r="AJ6291"><v>104592529</v></cell></row><row r="6292"><cell r="C6292" t="str"><v>43326LINKEDIN»USA-Trial-ITD-Groups Prospecting-AZR-AZR»1 x 1»SocialBan»LIA»ALL»CPA»PRO»D»All»SS»NA»FreeAcctRetargetingLI-Credit-ChA»PS7BRX</v></cell><cell r="D6292" t="str"><v>43326226538573</v></cell><cell r="E6292" t="str"><v>43326104593435PS7BRX</v></cell><cell r="F6292" t="str"><v>DCM</v></cell><cell r="G6292" t="str"><v>https://azure.microsoft.com/en-us/free/search/?OCID=AID%eexcid!_OLA_%ebuy!_%epid!_%ecid!</v></cell></row><row r="6292"><cell r="K6292" t="str"><v>August</v></cell><cell r="L6292"><v>43330</v></cell><cell r="M6292" t="str"><v>Tier 0</v></cell><cell r="N6292" t="str"><v>North America</v></cell><cell r="O6292" t="str"><v>United States</v></cell><cell r="P6292" t="str"><v>Trial</v></cell><cell r="Q6292" t="str"><v>Social</v></cell><cell r="R6292" t="str"><v>Azure</v></cell><cell r="S6292" t="str"><v>Apps & Infra</v></cell><cell r="T6292" t="str"><v>Developers & ITI's</v></cell><cell r="U6292" t="str"><v>USA-Trial-ITD-Groups Prospecting-AZR-AZR</v></cell><cell r="V6292" t="str"><v>Prospecting</v></cell><cell r="W6292" t="str"><v>Link Ad</v></cell><cell r="X6292" t="str"><v>1x1</v></cell></row><row r="6292"><cell r="AA6292"><v>43326</v></cell><cell r="AB6292" t="str"><v>USA_gaPMG_AZR_AZR_Q1_19_Direct-Social</v></cell><cell r="AC6292"><v>21358715</v></cell><cell r="AD6292"><v>720197</v></cell><cell r="AE6292" t="str"><v>Linkedin</v></cell><cell r="AF6292"><v>3654329</v></cell><cell r="AG6292" t="str"><v>LINKEDIN»USA-Trial-ITD-Groups Prospecting-AZR-AZR»1 x 1»SocialBan»LIA»ALL»CPA»PRO»D»All»SS»NA»FreeAcctRetargetingLI-Credit-ChA»PS7BRX</v></cell><cell r="AH6292"><v>226538573</v></cell><cell r="AI6292" t="str"><v>AZR_FreeAcctRetargetingLI-Credit-ChA_USA_1200x627_LIA_Plat_English_Free Account_Standard_NA_SINU_T1_1</v></cell><cell r="AJ6292"><v>104593435</v></cell></row><row r="6293"><cell r="C6293" t="str"><v>43326LINKEDIN»USA-Trial-ITD-Groups Prospecting-AZR-AZR»1 x 1»SocialBan»LIA»ALL»CPA»PRO»D»All»SS»NA»FreeAcctRetargetingLI-GlobalAlt-ChB»PS7BS1</v></cell><cell r="D6293" t="str"><v>43326226539365</v></cell><cell r="E6293" t="str"><v>43326104593723PS7BS1</v></cell><cell r="F6293" t="str"><v>DCM</v></cell><cell r="G6293" t="str"><v>https://azure.microsoft.com/en-us/free/search/?OCID=AID%eexcid!_OLA_%ebuy!_%epid!_%ecid!</v></cell></row><row r="6293"><cell r="K6293" t="str"><v>August</v></cell><cell r="L6293"><v>43330</v></cell><cell r="M6293" t="str"><v>Tier 0</v></cell><cell r="N6293" t="str"><v>North America</v></cell><cell r="O6293" t="str"><v>United States</v></cell><cell r="P6293" t="str"><v>Trial</v></cell><cell r="Q6293" t="str"><v>Social</v></cell><cell r="R6293" t="str"><v>Azure</v></cell><cell r="S6293" t="str"><v>Apps & Infra</v></cell><cell r="T6293" t="str"><v>Developers & ITI's</v></cell><cell r="U6293" t="str"><v>USA-Trial-ITD-Groups Prospecting-AZR-AZR</v></cell><cell r="V6293" t="str"><v>Prospecting</v></cell><cell r="W6293" t="str"><v>Link Ad</v></cell><cell r="X6293" t="str"><v>1x1</v></cell></row><row r="6293"><cell r="AA6293"><v>43326</v></cell><cell r="AB6293" t="str"><v>USA_gaPMG_AZR_AZR_Q1_19_Direct-Social</v></cell><cell r="AC6293"><v>21358715</v></cell><cell r="AD6293"><v>720197</v></cell><cell r="AE6293" t="str"><v>Linkedin</v></cell><cell r="AF6293"><v>3654329</v></cell><cell r="AG6293" t="str"><v>LINKEDIN»USA-Trial-ITD-Groups Prospecting-AZR-AZR»1 x 1»SocialBan»LIA»ALL»CPA»PRO»D»All»SS»NA»FreeAcctRetargetingLI-GlobalAlt-ChB»PS7BS1</v></cell><cell r="AH6293"><v>226539365</v></cell><cell r="AI6293" t="str"><v>AZR_FreeAcctRetargetingLI-GlobalAlt-ChB_USA_1200x627_LIA_Plat_English_Free Account_Standard_NA_SINU_T2_1</v></cell><cell r="AJ6293"><v>104593723</v></cell></row><row r="6294"><cell r="C6294" t="str"><v>43326LINKEDIN»USA-Trial-ITD-Groups Prospecting-AZR-AZR»1 x 1»SocialBan»LIA»ALL»CPA»PRO»D»All»SS»NA»FreeAcctRetargetingOSSLI-Text-ChF»PS7BRW</v></cell><cell r="D6294" t="str"><v>43326226539083</v></cell><cell r="E6294" t="str"><v>43326104595754PS7BRW</v></cell><cell r="F6294" t="str"><v>DCM</v></cell><cell r="G6294" t="str"><v>https://azure.microsoft.com/en-us/free/open-source/search/?OCID=AID%eexcid!_OLA_%ebuy!_%epid!_%ecid!</v></cell></row><row r="6294"><cell r="K6294" t="str"><v>August</v></cell><cell r="L6294"><v>43330</v></cell><cell r="M6294" t="str"><v>Tier 0</v></cell><cell r="N6294" t="str"><v>North America</v></cell><cell r="O6294" t="str"><v>United States</v></cell><cell r="P6294" t="str"><v>Trial</v></cell><cell r="Q6294" t="str"><v>Social</v></cell><cell r="R6294" t="str"><v>Azure</v></cell><cell r="S6294" t="str"><v>Apps & Infra</v></cell><cell r="T6294" t="str"><v>Developers & ITI's</v></cell><cell r="U6294" t="str"><v>USA-Trial-ITD-Groups Prospecting-AZR-AZR</v></cell><cell r="V6294" t="str"><v>Prospecting</v></cell><cell r="W6294" t="str"><v>Link Ad</v></cell><cell r="X6294" t="str"><v>1x1</v></cell></row><row r="6294"><cell r="AA6294"><v>43326</v></cell><cell r="AB6294" t="str"><v>USA_gaPMG_AZR_AZR_Q1_19_Direct-Social</v></cell><cell r="AC6294"><v>21358715</v></cell><cell r="AD6294"><v>720197</v></cell><cell r="AE6294" t="str"><v>Linkedin</v></cell><cell r="AF6294"><v>3654329</v></cell><cell r="AG6294" t="str"><v>LINKEDIN»USA-Trial-ITD-Groups Prospecting-AZR-AZR»1 x 1»SocialBan»LIA»ALL»CPA»PRO»D»All»SS»NA»FreeAcctRetargetingOSSLI-Text-ChF»PS7BRW</v></cell><cell r="AH6294"><v>226539083</v></cell><cell r="AI6294" t="str"><v>AZR_FreeAcctRetargetingOSSLI-Text-ChF_USA_1200x627_LIA_Plat_English_Free Account_Standard_NA_SINU_T1_1</v></cell><cell r="AJ6294"><v>104595754</v></cell></row><row r="6295"><cell r="C6295" t="str"><v>43326LINKEDIN»USA-Trial-ITD-Job Functions Prospecting-AZR-AZR»1 x 1»SocialBan»LIA»ALL»CPA»PRO»D»All»SS»NA»FreeAcctRetargetingOSSLI-Logos-ChG»PS7BSH</v></cell><cell r="D6295" t="str"><v>43326226539077</v></cell><cell r="E6295" t="str"><v>43326104595727PS7BSH</v></cell><cell r="F6295" t="str"><v>DCM</v></cell><cell r="G6295" t="str"><v>https://azure.microsoft.com/en-us/free/open-source/search/?OCID=AID%eexcid!_OLA_%ebuy!_%epid!_%ecid!</v></cell></row><row r="6295"><cell r="K6295" t="str"><v>August</v></cell><cell r="L6295"><v>43330</v></cell><cell r="M6295" t="str"><v>Tier 0</v></cell><cell r="N6295" t="str"><v>North America</v></cell><cell r="O6295" t="str"><v>United States</v></cell><cell r="P6295" t="str"><v>Trial</v></cell><cell r="Q6295" t="str"><v>Social</v></cell><cell r="R6295" t="str"><v>Azure</v></cell><cell r="S6295" t="str"><v>Apps & Infra</v></cell><cell r="T6295" t="str"><v>Developers & ITI's</v></cell><cell r="U6295" t="str"><v>USA-Trial-ITD-Job Functions Prospecting-AZR-AZR</v></cell><cell r="V6295" t="str"><v>Prospecting</v></cell><cell r="W6295" t="str"><v>Link Ad</v></cell><cell r="X6295" t="str"><v>1x1</v></cell></row><row r="6295"><cell r="AA6295"><v>43326</v></cell><cell r="AB6295" t="str"><v>USA_gaPMG_AZR_AZR_Q1_19_Direct-Social</v></cell><cell r="AC6295"><v>21358715</v></cell><cell r="AD6295"><v>720197</v></cell><cell r="AE6295" t="str"><v>Linkedin</v></cell><cell r="AF6295"><v>3654329</v></cell><cell r="AG6295" t="str"><v>LINKEDIN»USA-Trial-ITD-Job Functions Prospecting-AZR-AZR»1 x 1»SocialBan»LIA»ALL»CPA»PRO»D»All»SS»NA»FreeAcctRetargetingOSSLI-Logos-ChG»PS7BSH</v></cell><cell r="AH6295"><v>226539077</v></cell><cell r="AI6295" t="str"><v>AZR_FreeAcctRetargetingOSSLI-Logos-ChG_USA_1200x627_LIA_Plat_English_Free Account_Standard_NA_SINU_T2_1</v></cell><cell r="AJ6295"><v>104595727</v></cell></row><row r="6296"><cell r="C6296" t="str"><v>43326LINKEDIN»USA-Trial-ITD-Job Functions Prospecting-AZR-AZR»1 x 1»SocialBan»LIA»ALL»CPA»PRO»D»All»SS»NA»FreeAcctRetargetingOSSLI-Text-ChF»PS7BSF</v></cell><cell r="D6296" t="str"><v>43326226539071</v></cell><cell r="E6296" t="str"><v>43326104595754PS7BSF</v></cell><cell r="F6296" t="str"><v>DCM</v></cell><cell r="G6296" t="str"><v>https://azure.microsoft.com/en-us/free/open-source/search/?OCID=AID%eexcid!_OLA_%ebuy!_%epid!_%ecid!</v></cell></row><row r="6296"><cell r="K6296" t="str"><v>August</v></cell><cell r="L6296"><v>43330</v></cell><cell r="M6296" t="str"><v>Tier 0</v></cell><cell r="N6296" t="str"><v>North America</v></cell><cell r="O6296" t="str"><v>United States</v></cell><cell r="P6296" t="str"><v>Trial</v></cell><cell r="Q6296" t="str"><v>Social</v></cell><cell r="R6296" t="str"><v>Azure</v></cell><cell r="S6296" t="str"><v>Apps & Infra</v></cell><cell r="T6296" t="str"><v>Developers & ITI's</v></cell><cell r="U6296" t="str"><v>USA-Trial-ITD-Job Functions Prospecting-AZR-AZR</v></cell><cell r="V6296" t="str"><v>Prospecting</v></cell><cell r="W6296" t="str"><v>Link Ad</v></cell><cell r="X6296" t="str"><v>1x1</v></cell></row><row r="6296"><cell r="AA6296"><v>43326</v></cell><cell r="AB6296" t="str"><v>USA_gaPMG_AZR_AZR_Q1_19_Direct-Social</v></cell><cell r="AC6296"><v>21358715</v></cell><cell r="AD6296"><v>720197</v></cell><cell r="AE6296" t="str"><v>Linkedin</v></cell><cell r="AF6296"><v>3654329</v></cell><cell r="AG6296" t="str"><v>LINKEDIN»USA-Trial-ITD-Job Functions Prospecting-AZR-AZR»1 x 1»SocialBan»LIA»ALL»CPA»PRO»D»All»SS»NA»FreeAcctRetargetingOSSLI-Text-ChF»PS7BSF</v></cell><cell r="AH6296"><v>226539071</v></cell><cell r="AI6296" t="str"><v>AZR_FreeAcctRetargetingOSSLI-Text-ChF_USA_1200x627_LIA_Plat_English_Free Account_Standard_NA_SINU_T1_1</v></cell><cell r="AJ6296"><v>104595754</v></cell></row><row r="6297"><cell r="C6297" t="str"><v>43326LINKEDIN»USA-Trial-ITD-Job Functions Prospecting-AZR-AZR»1 x 1»SocialBan»LIA»ALL»CPA»PRO»D»All»SS»NA»FreeAcctRetargetingVMLI-750Hrs-ChD»PS7BSC</v></cell><cell r="D6297" t="str"><v>43326226615891</v></cell><cell r="E6297" t="str"><v>43326104671415PS7BSC</v></cell><cell r="F6297" t="str"><v>DCM</v></cell><cell r="G6297" t="str"><v>https://azure.microsoft.com/en-us/free/virtual-machines/search/?OCID=AID%eexcid!_OLA_%ebuy!_%epid!_%ecid!</v></cell></row><row r="6297"><cell r="K6297" t="str"><v>August</v></cell><cell r="L6297"><v>43330</v></cell><cell r="M6297" t="str"><v>Tier 0</v></cell><cell r="N6297" t="str"><v>North America</v></cell><cell r="O6297" t="str"><v>United States</v></cell><cell r="P6297" t="str"><v>Trial</v></cell><cell r="Q6297" t="str"><v>Social</v></cell><cell r="R6297" t="str"><v>Azure</v></cell><cell r="S6297" t="str"><v>Apps & Infra</v></cell><cell r="T6297" t="str"><v>Developers & ITI's</v></cell><cell r="U6297" t="str"><v>USA-Trial-ITD-Job Functions Prospecting-AZR-AZR</v></cell><cell r="V6297" t="str"><v>Prospecting</v></cell><cell r="W6297" t="str"><v>Link Ad</v></cell><cell r="X6297" t="str"><v>1x1</v></cell></row><row r="6297"><cell r="AA6297"><v>43326</v></cell><cell r="AB6297" t="str"><v>USA_gaPMG_AZR_AZR_Q1_19_Direct-Social</v></cell><cell r="AC6297"><v>21358715</v></cell><cell r="AD6297"><v>720197</v></cell><cell r="AE6297" t="str"><v>Linkedin</v></cell><cell r="AF6297"><v>3654329</v></cell><cell r="AG6297" t="str"><v>LINKEDIN»USA-Trial-ITD-Job Functions Prospecting-AZR-AZR»1 x 1»SocialBan»LIA»ALL»CPA»PRO»D»All»SS»NA»FreeAcctRetargetingVMLI-750Hrs-ChD»PS7BSC</v></cell><cell r="AH6297"><v>226615891</v></cell><cell r="AI6297" t="str"><v>AZR_FreeAcctRetargetingVMLI-750Hrs-ChD_USA_1200x627_LIA_Plat_English_Free Account_Standard_NA_SINU_T1_1</v></cell><cell r="AJ6297"><v>104671415</v></cell></row><row r="6298"><cell r="C6298" t="str"><v>43326LINKEDIN»USA-Trial-ITD-Job Functions Prospecting-AZR-AZR»1 x 1»SocialBan»LIA»ALL»CPA»PRO»D»All»SS»NA»FreeAcctRetargetingVMLI-OnDemand-ChE»PS7BSD</v></cell><cell r="D6298" t="str"><v>43326226622869</v></cell><cell r="E6298" t="str"><v>43326104592529PS7BSD</v></cell><cell r="F6298" t="str"><v>DCM</v></cell><cell r="G6298" t="str"><v>https://azure.microsoft.com/en-us/free/virtual-machines/search/?OCID=AID%eexcid!_OLA_%ebuy!_%epid!_%ecid!</v></cell></row><row r="6298"><cell r="K6298" t="str"><v>August</v></cell><cell r="L6298"><v>43330</v></cell><cell r="M6298" t="str"><v>Tier 0</v></cell><cell r="N6298" t="str"><v>North America</v></cell><cell r="O6298" t="str"><v>United States</v></cell><cell r="P6298" t="str"><v>Trial</v></cell><cell r="Q6298" t="str"><v>Social</v></cell><cell r="R6298" t="str"><v>Azure</v></cell><cell r="S6298" t="str"><v>Apps & Infra</v></cell><cell r="T6298" t="str"><v>Developers & ITI's</v></cell><cell r="U6298" t="str"><v>USA-Trial-ITD-Job Functions Prospecting-AZR-AZR</v></cell><cell r="V6298" t="str"><v>Prospecting</v></cell><cell r="W6298" t="str"><v>Link Ad</v></cell><cell r="X6298" t="str"><v>1x1</v></cell></row><row r="6298"><cell r="AA6298"><v>43326</v></cell><cell r="AB6298" t="str"><v>USA_gaPMG_AZR_AZR_Q1_19_Direct-Social</v></cell><cell r="AC6298"><v>21358715</v></cell><cell r="AD6298"><v>720197</v></cell><cell r="AE6298" t="str"><v>Linkedin</v></cell><cell r="AF6298"><v>3654329</v></cell><cell r="AG6298" t="str"><v>LINKEDIN»USA-Trial-ITD-Job Functions Prospecting-AZR-AZR»1 x 1»SocialBan»LIA»ALL»CPA»PRO»D»All»SS»NA»FreeAcctRetargetingVMLI-OnDemand-ChE»PS7BSD</v></cell><cell r="AH6298"><v>226622869</v></cell><cell r="AI6298" t="str"><v>AZR_FreeAcctRetargetingVMLI-OnDemand-ChE_USA_1200x627_LIA_Plat_English_Free Account_Standard_NA_SINU_T2_1</v></cell><cell r="AJ6298"><v>104592529</v></cell></row><row r="6299"><cell r="C6299" t="str"><v>43326LINKEDIN»USA-Trial-ITD-Job Titles Prospecting-AZR-AZR»1 x 1»SocialBan»LIA»ALL»CPA»PRO»D»All»SS»NA»FreeAcctRetargetingLI-Credit-ChA»PS78T2</v></cell><cell r="D6299" t="str"><v>43326226774248</v></cell><cell r="E6299" t="str"><v>43326104593435PS78T2</v></cell><cell r="F6299" t="str"><v>DCM</v></cell><cell r="G6299" t="str"><v>https://azure.microsoft.com/en-us/free/search/?OCID=AID%eexcid!_OLA_%ebuy!_%epid!_%ecid!</v></cell></row><row r="6299"><cell r="K6299" t="str"><v>August</v></cell><cell r="L6299"><v>43330</v></cell><cell r="M6299" t="str"><v>Tier 0</v></cell><cell r="N6299" t="str"><v>North America</v></cell><cell r="O6299" t="str"><v>United States</v></cell><cell r="P6299" t="str"><v>Trial</v></cell><cell r="Q6299" t="str"><v>Social</v></cell><cell r="R6299" t="str"><v>Azure</v></cell><cell r="S6299" t="str"><v>Apps & Infra</v></cell><cell r="T6299" t="str"><v>Developers & ITI's</v></cell><cell r="U6299" t="str"><v>USA-Trial-ITD-Job Titles Prospecting-AZR-AZR</v></cell><cell r="V6299" t="str"><v>Prospecting</v></cell><cell r="W6299" t="str"><v>Link Ad</v></cell><cell r="X6299" t="str"><v>1x1</v></cell></row><row r="6299"><cell r="AA6299"><v>43326</v></cell><cell r="AB6299" t="str"><v>USA_gaPMG_AZR_AZR_Q1_19_Direct-Social</v></cell><cell r="AC6299"><v>21358715</v></cell><cell r="AD6299"><v>720197</v></cell><cell r="AE6299" t="str"><v>Linkedin</v></cell><cell r="AF6299"><v>3654329</v></cell><cell r="AG6299" t="str"><v>LINKEDIN»USA-Trial-ITD-Job Titles Prospecting-AZR-AZR»1 x 1»SocialBan»LIA»ALL»CPA»PRO»D»All»SS»NA»FreeAcctRetargetingLI-Credit-ChA»PS78T2</v></cell><cell r="AH6299"><v>226774248</v></cell><cell r="AI6299" t="str"><v>AZR_FreeAcctRetargetingLI-Credit-ChA_USA_1200x627_LIA_Plat_English_Free Account_Standard_NA_SINU_T1_1</v></cell><cell r="AJ6299"><v>104593435</v></cell></row><row r="6300"><cell r="C6300" t="str"><v>43326LINKEDIN»USA-Trial-ITD-Job Titles Prospecting-AZR-AZR»1 x 1»SocialBan»LIA»ALL»CPA»PRO»D»All»SS»NA»FreeAcctRetargetingOSSLI-Logos-ChG»PS7B6H</v></cell><cell r="D6300" t="str"><v>43326226774227</v></cell><cell r="E6300" t="str"><v>43326104595727PS7B6H</v></cell><cell r="F6300" t="str"><v>DCM</v></cell><cell r="G6300" t="str"><v>https://azure.microsoft.com/en-us/free/open-source/search/?OCID=AID%eexcid!_OLA_%ebuy!_%epid!_%ecid!</v></cell></row><row r="6300"><cell r="K6300" t="str"><v>August</v></cell><cell r="L6300"><v>43330</v></cell><cell r="M6300" t="str"><v>Tier 0</v></cell><cell r="N6300" t="str"><v>North America</v></cell><cell r="O6300" t="str"><v>United States</v></cell><cell r="P6300" t="str"><v>Trial</v></cell><cell r="Q6300" t="str"><v>Social</v></cell><cell r="R6300" t="str"><v>Azure</v></cell><cell r="S6300" t="str"><v>Apps & Infra</v></cell><cell r="T6300" t="str"><v>Developers & ITI's</v></cell><cell r="U6300" t="str"><v>USA-Trial-ITD-Job Titles Prospecting-AZR-AZR</v></cell><cell r="V6300" t="str"><v>Prospecting</v></cell><cell r="W6300" t="str"><v>Link Ad</v></cell><cell r="X6300" t="str"><v>1x1</v></cell></row><row r="6300"><cell r="AA6300"><v>43326</v></cell><cell r="AB6300" t="str"><v>USA_gaPMG_AZR_AZR_Q1_19_Direct-Social</v></cell><cell r="AC6300"><v>21358715</v></cell><cell r="AD6300"><v>720197</v></cell><cell r="AE6300" t="str"><v>Linkedin</v></cell><cell r="AF6300"><v>3654329</v></cell><cell r="AG6300" t="str"><v>LINKEDIN»USA-Trial-ITD-Job Titles Prospecting-AZR-AZR»1 x 1»SocialBan»LIA»ALL»CPA»PRO»D»All»SS»NA»FreeAcctRetargetingOSSLI-Logos-ChG»PS7B6H</v></cell><cell r="AH6300"><v>226774227</v></cell><cell r="AI6300" t="str"><v>AZR_FreeAcctRetargetingOSSLI-Logos-ChG_USA_1200x627_LIA_Plat_English_Free Account_Standard_NA_SINU_T2_1</v></cell><cell r="AJ6300"><v>104595727</v></cell></row><row r="6301"><cell r="C6301" t="str"><v>43326LINKEDIN»USA-Trial-ITD-Job Titles Prospecting-AZR-AZR»1 x 1»SocialBan»LIA»ALL»CPA»PRO»D»All»SS»NA»FreeAcctRetargetingOSSLI-Text-ChF»PS7B6G</v></cell><cell r="D6301" t="str"><v>43326226538474</v></cell><cell r="E6301" t="str"><v>43326104595754PS7B6G</v></cell><cell r="F6301" t="str"><v>DCM</v></cell><cell r="G6301" t="str"><v>https://azure.microsoft.com/en-us/free/open-source/search/?OCID=AID%eexcid!_OLA_%ebuy!_%epid!_%ecid!</v></cell></row><row r="6301"><cell r="K6301" t="str"><v>August</v></cell><cell r="L6301"><v>43330</v></cell><cell r="M6301" t="str"><v>Tier 0</v></cell><cell r="N6301" t="str"><v>North America</v></cell><cell r="O6301" t="str"><v>United States</v></cell><cell r="P6301" t="str"><v>Trial</v></cell><cell r="Q6301" t="str"><v>Social</v></cell><cell r="R6301" t="str"><v>Azure</v></cell><cell r="S6301" t="str"><v>Apps & Infra</v></cell><cell r="T6301" t="str"><v>Developers & ITI's</v></cell><cell r="U6301" t="str"><v>USA-Trial-ITD-Job Titles Prospecting-AZR-AZR</v></cell><cell r="V6301" t="str"><v>Prospecting</v></cell><cell r="W6301" t="str"><v>Link Ad</v></cell><cell r="X6301" t="str"><v>1x1</v></cell></row><row r="6301"><cell r="AA6301"><v>43326</v></cell><cell r="AB6301" t="str"><v>USA_gaPMG_AZR_AZR_Q1_19_Direct-Social</v></cell><cell r="AC6301"><v>21358715</v></cell><cell r="AD6301"><v>720197</v></cell><cell r="AE6301" t="str"><v>Linkedin</v></cell><cell r="AF6301"><v>3654329</v></cell><cell r="AG6301" t="str"><v>LINKEDIN»USA-Trial-ITD-Job Titles Prospecting-AZR-AZR»1 x 1»SocialBan»LIA»ALL»CPA»PRO»D»All»SS»NA»FreeAcctRetargetingOSSLI-Text-ChF»PS7B6G</v></cell><cell r="AH6301"><v>226538474</v></cell><cell r="AI6301" t="str"><v>AZR_FreeAcctRetargetingOSSLI-Text-ChF_USA_1200x627_LIA_Plat_English_Free Account_Standard_NA_SINU_T1_1</v></cell><cell r="AJ6301"><v>104595754</v></cell></row><row r="6302"><cell r="C6302" t="str"><v>43326LINKEDIN»USA-Trial-ITD-Skills Prospecting-AZR-AZR»1 x 1»SocialBan»LIA»ALL»CPA»PRO»D»All»SS»NA»FreeAcctRetargetingOSSLI-Text-ChF»PS7BV1</v></cell><cell r="D6302" t="str"><v>43326226617877</v></cell><cell r="E6302" t="str"><v>43326104595754PS7BV1</v></cell><cell r="F6302" t="str"><v>DCM</v></cell><cell r="G6302" t="str"><v>https://azure.microsoft.com/en-us/free/open-source/search/?OCID=AID%eexcid!_OLA_%ebuy!_%epid!_%ecid!</v></cell></row><row r="6302"><cell r="K6302" t="str"><v>August</v></cell><cell r="L6302"><v>43330</v></cell><cell r="M6302" t="str"><v>Tier 0</v></cell><cell r="N6302" t="str"><v>North America</v></cell><cell r="O6302" t="str"><v>United States</v></cell><cell r="P6302" t="str"><v>Trial</v></cell><cell r="Q6302" t="str"><v>Social</v></cell><cell r="R6302" t="str"><v>Azure</v></cell><cell r="S6302" t="str"><v>Apps & Infra</v></cell><cell r="T6302" t="str"><v>Developers & ITI's</v></cell><cell r="U6302" t="str"><v>USA-Trial-ITD-Skills Prospecting-AZR-AZR</v></cell><cell r="V6302" t="str"><v>Prospecting</v></cell><cell r="W6302" t="str"><v>Link Ad</v></cell><cell r="X6302" t="str"><v>1x1</v></cell></row><row r="6302"><cell r="AA6302"><v>43326</v></cell><cell r="AB6302" t="str"><v>USA_gaPMG_AZR_AZR_Q1_19_Direct-Social</v></cell><cell r="AC6302"><v>21358715</v></cell><cell r="AD6302"><v>720197</v></cell><cell r="AE6302" t="str"><v>Linkedin</v></cell><cell r="AF6302"><v>3654329</v></cell><cell r="AG6302" t="str"><v>LINKEDIN»USA-Trial-ITD-Skills Prospecting-AZR-AZR»1 x 1»SocialBan»LIA»ALL»CPA»PRO»D»All»SS»NA»FreeAcctRetargetingOSSLI-Text-ChF»PS7BV1</v></cell><cell r="AH6302"><v>226617877</v></cell><cell r="AI6302" t="str"><v>AZR_FreeAcctRetargetingOSSLI-Text-ChF_USA_1200x627_LIA_Plat_English_Free Account_Standard_NA_SINU_T1_1</v></cell><cell r="AJ6302"><v>104595754</v></cell></row><row r="6303"><cell r="C6303" t="str"><v>43326LINKEDIN»USA-Trial-ITD-Skills Prospecting-AZR-AZR»1 x 1»SocialBan»LIA»ALL»CPA»PRO»D»All»SS»NA»FreeAcctRetargetingVMLI-OnDemand-ChE»PS7BV0</v></cell><cell r="D6303" t="str"><v>43326226617871</v></cell><cell r="E6303" t="str"><v>43326104592529PS7BV0</v></cell><cell r="F6303" t="str"><v>DCM</v></cell><cell r="G6303" t="str"><v>https://azure.microsoft.com/en-us/free/virtual-machines/search/?OCID=AID%eexcid!_OLA_%ebuy!_%epid!_%ecid!</v></cell></row><row r="6303"><cell r="K6303" t="str"><v>August</v></cell><cell r="L6303"><v>43330</v></cell><cell r="M6303" t="str"><v>Tier 0</v></cell><cell r="N6303" t="str"><v>North America</v></cell><cell r="O6303" t="str"><v>United States</v></cell><cell r="P6303" t="str"><v>Trial</v></cell><cell r="Q6303" t="str"><v>Social</v></cell><cell r="R6303" t="str"><v>Azure</v></cell><cell r="S6303" t="str"><v>Apps & Infra</v></cell><cell r="T6303" t="str"><v>Developers & ITI's</v></cell><cell r="U6303" t="str"><v>USA-Trial-ITD-Skills Prospecting-AZR-AZR</v></cell><cell r="V6303" t="str"><v>Prospecting</v></cell><cell r="W6303" t="str"><v>Link Ad</v></cell><cell r="X6303" t="str"><v>1x1</v></cell></row><row r="6303"><cell r="AA6303"><v>43326</v></cell><cell r="AB6303" t="str"><v>USA_gaPMG_AZR_AZR_Q1_19_Direct-Social</v></cell><cell r="AC6303"><v>21358715</v></cell><cell r="AD6303"><v>720197</v></cell><cell r="AE6303" t="str"><v>Linkedin</v></cell><cell r="AF6303"><v>3654329</v></cell><cell r="AG6303" t="str"><v>LINKEDIN»USA-Trial-ITD-Skills Prospecting-AZR-AZR»1 x 1»SocialBan»LIA»ALL»CPA»PRO»D»All»SS»NA»FreeAcctRetargetingVMLI-OnDemand-ChE»PS7BV0</v></cell><cell r="AH6303"><v>226617871</v></cell><cell r="AI6303" t="str"><v>AZR_FreeAcctRetargetingVMLI-OnDemand-ChE_USA_1200x627_LIA_Plat_English_Free Account_Standard_NA_SINU_T2_1</v></cell><cell r="AJ6303"><v>104592529</v></cell></row><row r="6304"><cell r="C6304" t="str"><v>43326LINKEDIN»USA-Trial-ITD-Website Retargeting-AZR-AZR»1 x 1»SocialBan»LIA»ALL»CPA»RT»D»All»SS»NA»FreeAcctRetargetingLI-Credit-ChA»PS7BVM</v></cell><cell r="D6304" t="str"><v>43326226536077</v></cell><cell r="E6304" t="str"><v>43326104593435PS7BVM</v></cell><cell r="F6304" t="str"><v>DCM</v></cell><cell r="G6304" t="str"><v>https://azure.microsoft.com/en-us/free/search/?OCID=AID%eexcid!_OLA_%ebuy!_%epid!_%ecid!</v></cell></row><row r="6304"><cell r="K6304" t="str"><v>August</v></cell><cell r="L6304"><v>43330</v></cell><cell r="M6304" t="str"><v>Tier 0</v></cell><cell r="N6304" t="str"><v>North America</v></cell><cell r="O6304" t="str"><v>United States</v></cell><cell r="P6304" t="str"><v>Trial</v></cell><cell r="Q6304" t="str"><v>Social</v></cell><cell r="R6304" t="str"><v>Azure</v></cell><cell r="S6304" t="str"><v>Apps & Infra</v></cell><cell r="T6304" t="str"><v>Developers & ITI's</v></cell><cell r="U6304" t="str"><v>USA-Trial-ITD-Website Retargeting-AZR-AZR</v></cell><cell r="V6304" t="str"><v>Retargeting</v></cell><cell r="W6304" t="str"><v>Link Ad</v></cell><cell r="X6304" t="str"><v>1x1</v></cell></row><row r="6304"><cell r="AA6304"><v>43326</v></cell><cell r="AB6304" t="str"><v>USA_gaPMG_AZR_AZR_Q1_19_Direct-Social</v></cell><cell r="AC6304"><v>21358715</v></cell><cell r="AD6304"><v>720197</v></cell><cell r="AE6304" t="str"><v>Linkedin</v></cell><cell r="AF6304"><v>3654329</v></cell><cell r="AG6304" t="str"><v>LINKEDIN»USA-Trial-ITD-Website Retargeting-AZR-AZR»1 x 1»SocialBan»LIA»ALL»CPA»RT»D»All»SS»NA»FreeAcctRetargetingLI-Credit-ChA»PS7BVM</v></cell><cell r="AH6304"><v>226536077</v></cell><cell r="AI6304" t="str"><v>AZR_FreeAcctRetargetingLI-Credit-ChA_USA_1200x627_LIA_Plat_English_Free Account_Standard_NA_SINU_T1_1</v></cell><cell r="AJ6304"><v>104593435</v></cell></row><row r="6305"><cell r="C6305" t="str"><v>43326LINKEDIN»USA-Trial-ITD-Website Retargeting-AZR-AZR»1 x 1»SocialBan»LIA»ALL»CPA»RT»D»All»SS»NA»FreeAcctRetargetingLI-GlobalAlt-ChB»PS7BVR</v></cell><cell r="D6305" t="str"><v>43326226537496</v></cell><cell r="E6305" t="str"><v>43326104593723PS7BVR</v></cell><cell r="F6305" t="str"><v>DCM</v></cell><cell r="G6305" t="str"><v>https://azure.microsoft.com/en-us/free/search/?OCID=AID%eexcid!_OLA_%ebuy!_%epid!_%ecid!</v></cell></row><row r="6305"><cell r="K6305" t="str"><v>August</v></cell><cell r="L6305"><v>43330</v></cell><cell r="M6305" t="str"><v>Tier 0</v></cell><cell r="N6305" t="str"><v>North America</v></cell><cell r="O6305" t="str"><v>United States</v></cell><cell r="P6305" t="str"><v>Trial</v></cell><cell r="Q6305" t="str"><v>Social</v></cell><cell r="R6305" t="str"><v>Azure</v></cell><cell r="S6305" t="str"><v>Apps & Infra</v></cell><cell r="T6305" t="str"><v>Developers & ITI's</v></cell><cell r="U6305" t="str"><v>USA-Trial-ITD-Website Retargeting-AZR-AZR</v></cell><cell r="V6305" t="str"><v>Retargeting</v></cell><cell r="W6305" t="str"><v>Link Ad</v></cell><cell r="X6305" t="str"><v>1x1</v></cell></row><row r="6305"><cell r="AA6305"><v>43326</v></cell><cell r="AB6305" t="str"><v>USA_gaPMG_AZR_AZR_Q1_19_Direct-Social</v></cell><cell r="AC6305"><v>21358715</v></cell><cell r="AD6305"><v>720197</v></cell><cell r="AE6305" t="str"><v>Linkedin</v></cell><cell r="AF6305"><v>3654329</v></cell><cell r="AG6305" t="str"><v>LINKEDIN»USA-Trial-ITD-Website Retargeting-AZR-AZR»1 x 1»SocialBan»LIA»ALL»CPA»RT»D»All»SS»NA»FreeAcctRetargetingLI-GlobalAlt-ChB»PS7BVR</v></cell><cell r="AH6305"><v>226537496</v></cell><cell r="AI6305" t="str"><v>AZR_FreeAcctRetargetingLI-GlobalAlt-ChB_USA_1200x627_LIA_Plat_English_Free Account_Standard_NA_SINU_T2_1</v></cell><cell r="AJ6305"><v>104593723</v></cell></row><row r="6306"><cell r="C6306" t="str"><v>43326LINKEDIN»USA-Trial-ITD-Website Retargeting-AZR-AZR»1 x 1»SocialBan»LIA»ALL»CPA»RT»D»All»SS»NA»FreeAcctRetargetingOSSLI-Logos-ChG»PS7BVN</v></cell><cell r="D6306" t="str"><v>43326226536047</v></cell><cell r="E6306" t="str"><v>43326104595727PS7BVN</v></cell><cell r="F6306" t="str"><v>DCM</v></cell><cell r="G6306" t="str"><v>https://azure.microsoft.com/en-us/free/open-source/search/?OCID=AID%eexcid!_OLA_%ebuy!_%epid!_%ecid!</v></cell></row><row r="6306"><cell r="K6306" t="str"><v>August</v></cell><cell r="L6306"><v>43330</v></cell><cell r="M6306" t="str"><v>Tier 0</v></cell><cell r="N6306" t="str"><v>North America</v></cell><cell r="O6306" t="str"><v>United States</v></cell><cell r="P6306" t="str"><v>Trial</v></cell><cell r="Q6306" t="str"><v>Social</v></cell><cell r="R6306" t="str"><v>Azure</v></cell><cell r="S6306" t="str"><v>Apps & Infra</v></cell><cell r="T6306" t="str"><v>Developers & ITI's</v></cell><cell r="U6306" t="str"><v>USA-Trial-ITD-Website Retargeting-AZR-AZR</v></cell><cell r="V6306" t="str"><v>Retargeting</v></cell><cell r="W6306" t="str"><v>Link Ad</v></cell><cell r="X6306" t="str"><v>1x1</v></cell></row><row r="6306"><cell r="AA6306"><v>43326</v></cell><cell r="AB6306" t="str"><v>USA_gaPMG_AZR_AZR_Q1_19_Direct-Social</v></cell><cell r="AC6306"><v>21358715</v></cell><cell r="AD6306"><v>720197</v></cell><cell r="AE6306" t="str"><v>Linkedin</v></cell><cell r="AF6306"><v>3654329</v></cell><cell r="AG6306" t="str"><v>LINKEDIN»USA-Trial-ITD-Website Retargeting-AZR-AZR»1 x 1»SocialBan»LIA»ALL»CPA»RT»D»All»SS»NA»FreeAcctRetargetingOSSLI-Logos-ChG»PS7BVN</v></cell><cell r="AH6306"><v>226536047</v></cell><cell r="AI6306" t="str"><v>AZR_FreeAcctRetargetingOSSLI-Logos-ChG_USA_1200x627_LIA_Plat_English_Free Account_Standard_NA_SINU_T2_1</v></cell><cell r="AJ6306"><v>104595727</v></cell></row><row r="6307"><cell r="C6307" t="str"><v>43326LINKEDIN»USA-Trial-ITD-Website Retargeting-AZR-AZR»1 x 1»SocialBan»LIA»ALL»CPA»RT»D»All»SS»NA»FreeAcctRetargetingVMLI-750Hrs-ChD»PS7BVJ</v></cell><cell r="D6307" t="str"><v>43326226537529</v></cell><cell r="E6307" t="str"><v>43326104671415PS7BVJ</v></cell><cell r="F6307" t="str"><v>DCM</v></cell><cell r="G6307" t="str"><v>https://azure.microsoft.com/en-us/free/virtual-machines/search/?OCID=AID%eexcid!_OLA_%ebuy!_%epid!_%ecid!</v></cell></row><row r="6307"><cell r="K6307" t="str"><v>August</v></cell><cell r="L6307"><v>43330</v></cell><cell r="M6307" t="str"><v>Tier 0</v></cell><cell r="N6307" t="str"><v>North America</v></cell><cell r="O6307" t="str"><v>United States</v></cell><cell r="P6307" t="str"><v>Trial</v></cell><cell r="Q6307" t="str"><v>Social</v></cell><cell r="R6307" t="str"><v>Azure</v></cell><cell r="S6307" t="str"><v>Apps & Infra</v></cell><cell r="T6307" t="str"><v>Developers & ITI's</v></cell><cell r="U6307" t="str"><v>USA-Trial-ITD-Website Retargeting-AZR-AZR</v></cell><cell r="V6307" t="str"><v>Retargeting</v></cell><cell r="W6307" t="str"><v>Link Ad</v></cell><cell r="X6307" t="str"><v>1x1</v></cell></row><row r="6307"><cell r="AA6307"><v>43326</v></cell><cell r="AB6307" t="str"><v>USA_gaPMG_AZR_AZR_Q1_19_Direct-Social</v></cell><cell r="AC6307"><v>21358715</v></cell><cell r="AD6307"><v>720197</v></cell><cell r="AE6307" t="str"><v>Linkedin</v></cell><cell r="AF6307"><v>3654329</v></cell><cell r="AG6307" t="str"><v>LINKEDIN»USA-Trial-ITD-Website Retargeting-AZR-AZR»1 x 1»SocialBan»LIA»ALL»CPA»RT»D»All»SS»NA»FreeAcctRetargetingVMLI-750Hrs-ChD»PS7BVJ</v></cell><cell r="AH6307"><v>226537529</v></cell><cell r="AI6307" t="str"><v>AZR_FreeAcctRetargetingVMLI-750Hrs-ChD_USA_1200x627_LIA_Plat_English_Free Account_Standard_NA_SINU_T1_1</v></cell><cell r="AJ6307"><v>104671415</v></cell></row><row r="6308"><cell r="C6308" t="str"><v>43327Facebook»Audience & Interest Targeting»1x1»Canvas»OTH»DT»DYN»AUT»W»NA»SS»NA»FBCTCcanvaspage-StartFreeCTA_FBCTCcanvaspage-BuyNowCTA</v></cell><cell r="D6308" t="str"><v>43327224639151</v></cell><cell r="E6308" t="str"><v>43327103316832NowCTA</v></cell><cell r="F6308" t="str"><v>DCM</v></cell><cell r="G6308" t="str"><v>https://azure.microsoft.com/en-au/pricing/purchase-options/</v></cell></row><row r="6308"><cell r="K6308" t="str"><v>August</v></cell><cell r="L6308"><v>43330</v></cell><cell r="M6308" t="str"><v>Tier 1</v></cell><cell r="N6308" t="str"><v>APAC</v></cell><cell r="O6308" t="str"><v>Australia</v></cell><cell r="P6308" t="str"><v>Trial</v></cell><cell r="Q6308" t="str"><v>Social</v></cell><cell r="R6308" t="str"><v>Azure</v></cell><cell r="S6308" t="str"><v>Apps & Infra</v></cell><cell r="T6308" t="str"><v>Developers & ITI's</v></cell><cell r="U6308" t="str"><v>Audience & Interest Targeting</v></cell><cell r="V6308" t="str"><v>Audience Targeting</v></cell><cell r="W6308" t="str"><v>Other</v></cell><cell r="X6308" t="str"><v>1x1</v></cell></row><row r="6308"><cell r="AA6308"><v>43327</v></cell><cell r="AB6308" t="str"><v>AUS_gaPMG_AZR_AZR_Q1_19_Trial-Social</v></cell><cell r="AC6308"><v>21358568</v></cell><cell r="AD6308"><v>720191</v></cell><cell r="AE6308" t="str"><v>Facebook</v></cell><cell r="AF6308"><v>3654128</v></cell><cell r="AG6308" t="str"><v>Facebook»Audience & Interest Targeting»1x1»Canvas»OTH»DT»DYN»AUT»W»NA»SS»NA»FBCTCcanvaspage-StartFreeCTA_FBCTCcanvaspage-BuyNowCTA</v></cell><cell r="AH6308"><v>224639151</v></cell><cell r="AI6308" t="str"><v>AzurePlatform_FBCTCcanvaspage-BuyNowCTA-Img3_AUS_1080x162_SOC_Plat_English_NA_Standard_NA_BN_T3_1</v></cell><cell r="AJ6308"><v>103316832</v></cell></row><row r="6309"><cell r="C6309" t="str"><v>43327Facebook»Audience & Interest Targeting»1x1»Canvas»OTH»DT»DYN»AUT»W»NA»SS»NA»FBCTCcanvaspage-StartFreeCTA_FBCTCcanvaspage-BuyNowCTA</v></cell><cell r="D6309" t="str"><v>43327224639151</v></cell><cell r="E6309" t="str"><v>43327103316829NowCTA</v></cell><cell r="F6309" t="str"><v>DCM</v></cell><cell r="G6309" t="str"><v>https://signup.azure.com/signup?offer=ms-azr-0044p&appId=102&ref=paidmedia-social-fb&redirectURL=https%3a%2f%2fazure.microsoft.com%2fen-au%2fget-started%2fwelcome-to-azure%2f&l=en-au&correlationId=ead86c34-1f10-49dd-a72b-6918462a2cbf</v></cell></row><row r="6309"><cell r="K6309" t="str"><v>August</v></cell><cell r="L6309"><v>43330</v></cell><cell r="M6309" t="str"><v>Tier 1</v></cell><cell r="N6309" t="str"><v>APAC</v></cell><cell r="O6309" t="str"><v>Australia</v></cell><cell r="P6309" t="str"><v>Trial</v></cell><cell r="Q6309" t="str"><v>Social</v></cell><cell r="R6309" t="str"><v>Azure</v></cell><cell r="S6309" t="str"><v>Apps & Infra</v></cell><cell r="T6309" t="str"><v>Developers & ITI's</v></cell><cell r="U6309" t="str"><v>Audience & Interest Targeting</v></cell><cell r="V6309" t="str"><v>Audience Targeting</v></cell><cell r="W6309" t="str"><v>Other</v></cell><cell r="X6309" t="str"><v>1x1</v></cell></row><row r="6309"><cell r="AA6309"><v>43327</v></cell><cell r="AB6309" t="str"><v>AUS_gaPMG_AZR_AZR_Q1_19_Trial-Social</v></cell><cell r="AC6309"><v>21358568</v></cell><cell r="AD6309"><v>720191</v></cell><cell r="AE6309" t="str"><v>Facebook</v></cell><cell r="AF6309"><v>3654128</v></cell><cell r="AG6309" t="str"><v>Facebook»Audience & Interest Targeting»1x1»Canvas»OTH»DT»DYN»AUT»W»NA»SS»NA»FBCTCcanvaspage-StartFreeCTA_FBCTCcanvaspage-BuyNowCTA</v></cell><cell r="AH6309"><v>224639151</v></cell><cell r="AI6309" t="str"><v>AzurePlatform_FBCTCcanvaspage-StartFreeCTA-Img2_AUS_1080x143 _SOC_Plat_English_NA_Standard_NA_NA_T2_1</v></cell><cell r="AJ6309"><v>103316829</v></cell></row><row r="6310"><cell r="C6310" t="str"><v>43327Facebook»Audience & Interest Targeting»1x1»TextLink»OTH»DT»DYN»AUT»W»NA»SS»NA»Free Account Refresh- 12 months ChE</v></cell><cell r="D6310" t="str"><v>43327224160783</v></cell><cell r="E6310" t="str"><v>43327103051614hs ChE</v></cell><cell r="F6310" t="str"><v>DCM</v></cell></row><row r="6310"><cell r="K6310" t="str"><v>August</v></cell><cell r="L6310"><v>43330</v></cell><cell r="M6310" t="str"><v>Tier 1</v></cell><cell r="N6310" t="str"><v>APAC</v></cell><cell r="O6310" t="str"><v>Australia</v></cell><cell r="P6310" t="str"><v>Trial</v></cell><cell r="Q6310" t="str"><v>Social</v></cell><cell r="R6310" t="str"><v>Azure</v></cell><cell r="S6310" t="str"><v>Apps & Infra</v></cell><cell r="T6310" t="str"><v>Developers & ITI's</v></cell><cell r="U6310" t="str"><v>Audience & Interest Targeting</v></cell><cell r="V6310" t="str"><v>Audience Targeting</v></cell><cell r="W6310" t="str"><v>Other</v></cell><cell r="X6310" t="str"><v>1x1</v></cell></row><row r="6310"><cell r="AA6310"><v>43327</v></cell><cell r="AB6310" t="str"><v>AUS_gaPMG_AZR_AZR_Q1_19_Trial-Social</v></cell><cell r="AC6310"><v>21358568</v></cell><cell r="AD6310"><v>720191</v></cell><cell r="AE6310" t="str"><v>Facebook</v></cell><cell r="AF6310"><v>3654128</v></cell><cell r="AG6310" t="str"><v>Facebook»Audience & Interest Targeting»1x1»TextLink»OTH»DT»DYN»AUT»W»NA»SS»NA»Free Account Refresh- 12 months ChE</v></cell><cell r="AH6310"><v>224160783</v></cell><cell r="AI6310" t="str"><v>AzurePlatform_FreeAcctAppsFACEBOOK12monthsChE_AUS_1200x628_SOC_PLAT_EN_Trial_Standard_NA_SNU_T5_1</v></cell><cell r="AJ6310"><v>103051614</v></cell></row><row r="6311"><cell r="C6311" t="str"><v>43327Facebook»Audience & Interest Targeting»1x1»TextLink»OTH»DT»DYN»AUT»W»NA»SS»NA»Free Account Refresh- 200 Credit ChD</v></cell><cell r="D6311" t="str"><v>43327224160780</v></cell><cell r="E6311" t="str"><v>43327103186904it ChD</v></cell><cell r="F6311" t="str"><v>DCM</v></cell></row><row r="6311"><cell r="K6311" t="str"><v>August</v></cell><cell r="L6311"><v>43330</v></cell><cell r="M6311" t="str"><v>Tier 1</v></cell><cell r="N6311" t="str"><v>APAC</v></cell><cell r="O6311" t="str"><v>Australia</v></cell><cell r="P6311" t="str"><v>Trial</v></cell><cell r="Q6311" t="str"><v>Social</v></cell><cell r="R6311" t="str"><v>Azure</v></cell><cell r="S6311" t="str"><v>Apps & Infra</v></cell><cell r="T6311" t="str"><v>Developers & ITI's</v></cell><cell r="U6311" t="str"><v>Audience & Interest Targeting</v></cell><cell r="V6311" t="str"><v>Audience Targeting</v></cell><cell r="W6311" t="str"><v>Other</v></cell><cell r="X6311" t="str"><v>1x1</v></cell></row><row r="6311"><cell r="AA6311"><v>43327</v></cell><cell r="AB6311" t="str"><v>AUS_gaPMG_AZR_AZR_Q1_19_Trial-Social</v></cell><cell r="AC6311"><v>21358568</v></cell><cell r="AD6311"><v>720191</v></cell><cell r="AE6311" t="str"><v>Facebook</v></cell><cell r="AF6311"><v>3654128</v></cell><cell r="AG6311" t="str"><v>Facebook»Audience & Interest Targeting»1x1»TextLink»OTH»DT»DYN»AUT»W»NA»SS»NA»Free Account Refresh- 200 Credit ChD</v></cell><cell r="AH6311"><v>224160780</v></cell><cell r="AI6311" t="str"><v>AzurePlatform_FreeAcctAppsFACEBOOK200CreditChD_AUS_1200x628_SOC_PLAT_EN_Trial_Standard_NA_SNU_T4_1</v></cell><cell r="AJ6311"><v>103186904</v></cell></row><row r="6312"><cell r="C6312" t="str"><v>43327Facebook»Audience & Interest Targeting»1x1»TextLink»OTH»DT»DYN»AUT»W»NA»SS»NA»Free Account Refresh- Device ChB</v></cell><cell r="D6312" t="str"><v>43327224160777</v></cell><cell r="E6312" t="str"><v>43327103048479ce ChB</v></cell><cell r="F6312" t="str"><v>DCM</v></cell></row><row r="6312"><cell r="K6312" t="str"><v>August</v></cell><cell r="L6312"><v>43330</v></cell><cell r="M6312" t="str"><v>Tier 1</v></cell><cell r="N6312" t="str"><v>APAC</v></cell><cell r="O6312" t="str"><v>Australia</v></cell><cell r="P6312" t="str"><v>Trial</v></cell><cell r="Q6312" t="str"><v>Social</v></cell><cell r="R6312" t="str"><v>Azure</v></cell><cell r="S6312" t="str"><v>Apps & Infra</v></cell><cell r="T6312" t="str"><v>Developers & ITI's</v></cell><cell r="U6312" t="str"><v>Audience & Interest Targeting</v></cell><cell r="V6312" t="str"><v>Audience Targeting</v></cell><cell r="W6312" t="str"><v>Other</v></cell><cell r="X6312" t="str"><v>1x1</v></cell></row><row r="6312"><cell r="AA6312"><v>43327</v></cell><cell r="AB6312" t="str"><v>AUS_gaPMG_AZR_AZR_Q1_19_Trial-Social</v></cell><cell r="AC6312"><v>21358568</v></cell><cell r="AD6312"><v>720191</v></cell><cell r="AE6312" t="str"><v>Facebook</v></cell><cell r="AF6312"><v>3654128</v></cell><cell r="AG6312" t="str"><v>Facebook»Audience & Interest Targeting»1x1»TextLink»OTH»DT»DYN»AUT»W»NA»SS»NA»Free Account Refresh- Device ChB</v></cell><cell r="AH6312"><v>224160777</v></cell><cell r="AI6312" t="str"><v>AzurePlatform_FreeAcctAppsFACEBOOKDeviceChB_AUS_1200x628_SOC_PLAT_EN_Trial_Standard_NA_SNU_T2_1</v></cell><cell r="AJ6312"><v>103048479</v></cell></row><row r="6313"><cell r="C6313" t="str"><v>43327Facebook»Audience & Interest Targeting»1x1»TextLink»OTH»DT»DYN»AUT»W»NA»SS»NA»Free Account Refresh- Illustration ChC</v></cell><cell r="D6313" t="str"><v>43327224160774</v></cell><cell r="E6313" t="str"><v>43327103186910on ChC</v></cell><cell r="F6313" t="str"><v>DCM</v></cell></row><row r="6313"><cell r="K6313" t="str"><v>August</v></cell><cell r="L6313"><v>43330</v></cell><cell r="M6313" t="str"><v>Tier 1</v></cell><cell r="N6313" t="str"><v>APAC</v></cell><cell r="O6313" t="str"><v>Australia</v></cell><cell r="P6313" t="str"><v>Trial</v></cell><cell r="Q6313" t="str"><v>Social</v></cell><cell r="R6313" t="str"><v>Azure</v></cell><cell r="S6313" t="str"><v>Apps & Infra</v></cell><cell r="T6313" t="str"><v>Developers & ITI's</v></cell><cell r="U6313" t="str"><v>Audience & Interest Targeting</v></cell><cell r="V6313" t="str"><v>Audience Targeting</v></cell><cell r="W6313" t="str"><v>Other</v></cell><cell r="X6313" t="str"><v>1x1</v></cell></row><row r="6313"><cell r="AA6313"><v>43327</v></cell><cell r="AB6313" t="str"><v>AUS_gaPMG_AZR_AZR_Q1_19_Trial-Social</v></cell><cell r="AC6313"><v>21358568</v></cell><cell r="AD6313"><v>720191</v></cell><cell r="AE6313" t="str"><v>Facebook</v></cell><cell r="AF6313"><v>3654128</v></cell><cell r="AG6313" t="str"><v>Facebook»Audience & Interest Targeting»1x1»TextLink»OTH»DT»DYN»AUT»W»NA»SS»NA»Free Account Refresh- Illustration ChC</v></cell><cell r="AH6313"><v>224160774</v></cell><cell r="AI6313" t="str"><v>AzurePlatform_FreeAcctAppsFACEBOOKIllustrationChC_AUS_1200x628_SOC_PLAT_EN_Trial_Standard_NA_SNU_T3_1</v></cell><cell r="AJ6313"><v>103186910</v></cell></row><row r="6314"><cell r="C6314" t="str"><v>43327Facebook»Audience & Interest Targeting»1x1»TextLink»OTH»DT»DYN»AUT»W»NA»SS»NA»Free Account Refresh- Lifestyle ChA</v></cell><cell r="D6314" t="str"><v>43327224160771</v></cell><cell r="E6314" t="str"><v>43327103048488le ChA</v></cell><cell r="F6314" t="str"><v>DCM</v></cell></row><row r="6314"><cell r="K6314" t="str"><v>August</v></cell><cell r="L6314"><v>43330</v></cell><cell r="M6314" t="str"><v>Tier 1</v></cell><cell r="N6314" t="str"><v>APAC</v></cell><cell r="O6314" t="str"><v>Australia</v></cell><cell r="P6314" t="str"><v>Trial</v></cell><cell r="Q6314" t="str"><v>Social</v></cell><cell r="R6314" t="str"><v>Azure</v></cell><cell r="S6314" t="str"><v>Apps & Infra</v></cell><cell r="T6314" t="str"><v>Developers & ITI's</v></cell><cell r="U6314" t="str"><v>Audience & Interest Targeting</v></cell><cell r="V6314" t="str"><v>Audience Targeting</v></cell><cell r="W6314" t="str"><v>Other</v></cell><cell r="X6314" t="str"><v>1x1</v></cell></row><row r="6314"><cell r="AA6314"><v>43327</v></cell><cell r="AB6314" t="str"><v>AUS_gaPMG_AZR_AZR_Q1_19_Trial-Social</v></cell><cell r="AC6314"><v>21358568</v></cell><cell r="AD6314"><v>720191</v></cell><cell r="AE6314" t="str"><v>Facebook</v></cell><cell r="AF6314"><v>3654128</v></cell><cell r="AG6314" t="str"><v>Facebook»Audience & Interest Targeting»1x1»TextLink»OTH»DT»DYN»AUT»W»NA»SS»NA»Free Account Refresh- Lifestyle ChA</v></cell><cell r="AH6314"><v>224160771</v></cell><cell r="AI6314" t="str"><v>AzurePlatform_FreeAcctAppsFACEBOOKLifestyleChA_AUS_1200x628_SOC_PLAT_EN_Trial_Standard_NA_SNU_T1_1</v></cell><cell r="AJ6314"><v>103048488</v></cell></row><row r="6315"><cell r="C6315" t="str"><v>43327Facebook»LAL»1x1»TextLink»SOC»DT»DYN»LAL»W»NA»SS»NA»Free Account Refresh- Device ChB</v></cell><cell r="D6315" t="str"><v>43327224160717</v></cell><cell r="E6315" t="str"><v>43327103048485ce ChB</v></cell><cell r="F6315" t="str"><v>DCM</v></cell><cell r="G6315" t="str"><v>https://azure.microsoft.com/en-au/free/open-source/search/</v></cell></row><row r="6315"><cell r="K6315" t="str"><v>August</v></cell><cell r="L6315"><v>43330</v></cell><cell r="M6315" t="str"><v>Tier 1</v></cell><cell r="N6315" t="str"><v>APAC</v></cell><cell r="O6315" t="str"><v>Australia</v></cell><cell r="P6315" t="str"><v>Trial</v></cell><cell r="Q6315" t="str"><v>Social</v></cell><cell r="R6315" t="str"><v>Azure</v></cell><cell r="S6315" t="str"><v>Apps & Infra</v></cell><cell r="T6315" t="str"><v>Developers & ITI's</v></cell><cell r="U6315" t="str"><v>LAL</v></cell><cell r="V6315" t="str"><v>Lookalike Targeting</v></cell><cell r="W6315" t="str"><v>Social</v></cell><cell r="X6315" t="str"><v>1x1</v></cell></row><row r="6315"><cell r="AA6315"><v>43327</v></cell><cell r="AB6315" t="str"><v>AUS_gaPMG_AZR_AZR_Q1_19_Trial-Social</v></cell><cell r="AC6315"><v>21358568</v></cell><cell r="AD6315"><v>720191</v></cell><cell r="AE6315" t="str"><v>Facebook</v></cell><cell r="AF6315"><v>3654128</v></cell><cell r="AG6315" t="str"><v>Facebook»LAL»1x1»TextLink»SOC»DT»DYN»LAL»W»NA»SS»NA»Free Account Refresh- Device ChB</v></cell><cell r="AH6315"><v>224160717</v></cell><cell r="AI6315" t="str"><v>AzurePlatform_FreeAcctRetargetingOSSFB-Text-ChF_AUS_1200x628_SOC_Plat_EN_Free Account_Standard_NA_SNU_T1_1</v></cell><cell r="AJ6315"><v>103048485</v></cell></row><row r="6316"><cell r="C6316" t="str"><v>43327Facebook»Retargeting»1x1»TextLink»SOC»DT»DYN»RT»W»NA»SS»NA»Free Account Refresh- 200 Credit ChD</v></cell><cell r="D6316" t="str"><v>43327224160738</v></cell><cell r="E6316" t="str"><v>43327103186904it ChD</v></cell><cell r="F6316" t="str"><v>DCM</v></cell></row><row r="6316"><cell r="K6316" t="str"><v>August</v></cell><cell r="L6316"><v>43330</v></cell><cell r="M6316" t="str"><v>Tier 1</v></cell><cell r="N6316" t="str"><v>APAC</v></cell><cell r="O6316" t="str"><v>Australia</v></cell><cell r="P6316" t="str"><v>Trial</v></cell><cell r="Q6316" t="str"><v>Social</v></cell><cell r="R6316" t="str"><v>Azure</v></cell><cell r="S6316" t="str"><v>Apps & Infra</v></cell><cell r="T6316" t="str"><v>Developers & ITI's</v></cell><cell r="U6316" t="str"><v>Retargeting</v></cell><cell r="V6316" t="str"><v>Retargeting</v></cell><cell r="W6316" t="str"><v>Social</v></cell><cell r="X6316" t="str"><v>1x1</v></cell></row><row r="6316"><cell r="AA6316"><v>43327</v></cell><cell r="AB6316" t="str"><v>AUS_gaPMG_AZR_AZR_Q1_19_Trial-Social</v></cell><cell r="AC6316"><v>21358568</v></cell><cell r="AD6316"><v>720191</v></cell><cell r="AE6316" t="str"><v>Facebook</v></cell><cell r="AF6316"><v>3654128</v></cell><cell r="AG6316" t="str"><v>Facebook»Retargeting»1x1»TextLink»SOC»DT»DYN»RT»W»NA»SS»NA»Free Account Refresh- 200 Credit ChD</v></cell><cell r="AH6316"><v>224160738</v></cell><cell r="AI6316" t="str"><v>AzurePlatform_FreeAcctAppsFACEBOOK200CreditChD_AUS_1200x628_SOC_PLAT_EN_Trial_Standard_NA_SNU_T4_1</v></cell><cell r="AJ6316"><v>103186904</v></cell></row><row r="6317"><cell r="C6317" t="str"><v>43327Facebook»Retargeting»1x1»TextLink»SOC»DT»DYN»RT»W»NA»SS»NA»Free Account Refresh- Illustration ChC</v></cell><cell r="D6317" t="str"><v>43327224160732</v></cell><cell r="E6317" t="str"><v>43327103186910on ChC</v></cell><cell r="F6317" t="str"><v>DCM</v></cell></row><row r="6317"><cell r="K6317" t="str"><v>August</v></cell><cell r="L6317"><v>43330</v></cell><cell r="M6317" t="str"><v>Tier 1</v></cell><cell r="N6317" t="str"><v>APAC</v></cell><cell r="O6317" t="str"><v>Australia</v></cell><cell r="P6317" t="str"><v>Trial</v></cell><cell r="Q6317" t="str"><v>Social</v></cell><cell r="R6317" t="str"><v>Azure</v></cell><cell r="S6317" t="str"><v>Apps & Infra</v></cell><cell r="T6317" t="str"><v>Developers & ITI's</v></cell><cell r="U6317" t="str"><v>Retargeting</v></cell><cell r="V6317" t="str"><v>Retargeting</v></cell><cell r="W6317" t="str"><v>Social</v></cell><cell r="X6317" t="str"><v>1x1</v></cell></row><row r="6317"><cell r="AA6317"><v>43327</v></cell><cell r="AB6317" t="str"><v>AUS_gaPMG_AZR_AZR_Q1_19_Trial-Social</v></cell><cell r="AC6317"><v>21358568</v></cell><cell r="AD6317"><v>720191</v></cell><cell r="AE6317" t="str"><v>Facebook</v></cell><cell r="AF6317"><v>3654128</v></cell><cell r="AG6317" t="str"><v>Facebook»Retargeting»1x1»TextLink»SOC»DT»DYN»RT»W»NA»SS»NA»Free Account Refresh- Illustration ChC</v></cell><cell r="AH6317"><v>224160732</v></cell><cell r="AI6317" t="str"><v>AzurePlatform_FreeAcctAppsFACEBOOKIllustrationChC_AUS_1200x628_SOC_PLAT_EN_Trial_Standard_NA_SNU_T3_1</v></cell><cell r="AJ6317"><v>103186910</v></cell></row><row r="6318"><cell r="C6318" t="str"><v>43327Facebook»Retargeting»1x1»TextLink»SOC»DT»DYN»RT»W»NA»SS»NA»Free Account Refresh- Lifestyle ChA</v></cell><cell r="D6318" t="str"><v>43327224160729</v></cell><cell r="E6318" t="str"><v>43327103048488le ChA</v></cell><cell r="F6318" t="str"><v>DCM</v></cell></row><row r="6318"><cell r="K6318" t="str"><v>August</v></cell><cell r="L6318"><v>43330</v></cell><cell r="M6318" t="str"><v>Tier 1</v></cell><cell r="N6318" t="str"><v>APAC</v></cell><cell r="O6318" t="str"><v>Australia</v></cell><cell r="P6318" t="str"><v>Trial</v></cell><cell r="Q6318" t="str"><v>Social</v></cell><cell r="R6318" t="str"><v>Azure</v></cell><cell r="S6318" t="str"><v>Apps & Infra</v></cell><cell r="T6318" t="str"><v>Developers & ITI's</v></cell><cell r="U6318" t="str"><v>Retargeting</v></cell><cell r="V6318" t="str"><v>Retargeting</v></cell><cell r="W6318" t="str"><v>Social</v></cell><cell r="X6318" t="str"><v>1x1</v></cell></row><row r="6318"><cell r="AA6318"><v>43327</v></cell><cell r="AB6318" t="str"><v>AUS_gaPMG_AZR_AZR_Q1_19_Trial-Social</v></cell><cell r="AC6318"><v>21358568</v></cell><cell r="AD6318"><v>720191</v></cell><cell r="AE6318" t="str"><v>Facebook</v></cell><cell r="AF6318"><v>3654128</v></cell><cell r="AG6318" t="str"><v>Facebook»Retargeting»1x1»TextLink»SOC»DT»DYN»RT»W»NA»SS»NA»Free Account Refresh- Lifestyle ChA</v></cell><cell r="AH6318"><v>224160729</v></cell><cell r="AI6318" t="str"><v>AzurePlatform_FreeAcctAppsFACEBOOKLifestyleChA_AUS_1200x628_SOC_PLAT_EN_Trial_Standard_NA_SNU_T1_1</v></cell><cell r="AJ6318"><v>103048488</v></cell></row><row r="6319"><cell r="C6319" t="str"><v>43327Facebook»AZR»1x1»NA»EGV»ALL»DYN»AUT»D»All»SS»NA»Free Acc CTC - T1 - EN</v></cell><cell r="D6319" t="str"><v>43327223684451</v></cell><cell r="E6319" t="str"><v>433271029018821 - EN</v></cell><cell r="F6319" t="str"><v>DCM</v></cell><cell r="G6319" t="str"><v>https://signup.azure.com/</v></cell></row><row r="6319"><cell r="K6319" t="str"><v>August</v></cell><cell r="L6319"><v>43330</v></cell><cell r="M6319" t="str"><v>Tier 1</v></cell><cell r="N6319" t="str"><v>North America</v></cell><cell r="O6319" t="str"><v>Canada</v></cell><cell r="P6319" t="str"><v>Trial</v></cell><cell r="Q6319" t="str"><v>Social</v></cell><cell r="R6319" t="str"><v>Azure</v></cell><cell r="S6319" t="str"><v>Apps & Infra</v></cell><cell r="T6319" t="str"><v>Developers & ITI's</v></cell><cell r="U6319" t="str"><v>AZR</v></cell><cell r="V6319" t="str"><v>Audience Targeting</v></cell><cell r="W6319" t="str"><v>Engagement Video</v></cell><cell r="X6319" t="str"><v>1x1</v></cell></row><row r="6319"><cell r="AA6319"><v>43327</v></cell><cell r="AB6319" t="str"><v>CAN_gaPMG_AZR_AZR_Q1_19_Trial-Social</v></cell><cell r="AC6319"><v>21337220</v></cell><cell r="AD6319"><v>720192</v></cell><cell r="AE6319" t="str"><v>Facebook</v></cell><cell r="AF6319"><v>3654128</v></cell><cell r="AG6319" t="str"><v>Facebook»AZR»1x1»NA»EGV»ALL»DYN»AUT»D»All»SS»NA»Free Acc CTC - T1 - EN</v></cell><cell r="AH6319"><v>223684451</v></cell><cell r="AI6319" t="str"><v>AzurePlatform_FBCTCBasicMotion_CAN_10s_ISV_PLAT_English_Trial_Standard_STAN_TN_T1_1</v></cell><cell r="AJ6319"><v>102901882</v></cell></row><row r="6320"><cell r="C6320" t="str"><v>43327Facebook»AZR»1x1»NA»EGV»ALL»DYN»AUT»D»All»SS»NA»Free Acc CTC - T1 - FR</v></cell><cell r="D6320" t="str"><v>43327223691801</v></cell><cell r="E6320" t="str"><v>433271030533231 - FR</v></cell><cell r="F6320" t="str"><v>DCM</v></cell><cell r="G6320" t="str"><v>https://signup.azure.com/</v></cell></row><row r="6320"><cell r="K6320" t="str"><v>August</v></cell><cell r="L6320"><v>43330</v></cell><cell r="M6320" t="str"><v>Tier 1</v></cell><cell r="N6320" t="str"><v>North America</v></cell><cell r="O6320" t="str"><v>Canada</v></cell><cell r="P6320" t="str"><v>Trial</v></cell><cell r="Q6320" t="str"><v>Social</v></cell><cell r="R6320" t="str"><v>Azure</v></cell><cell r="S6320" t="str"><v>Apps & Infra</v></cell><cell r="T6320" t="str"><v>Developers & ITI's</v></cell><cell r="U6320" t="str"><v>AZR</v></cell><cell r="V6320" t="str"><v>Audience Targeting</v></cell><cell r="W6320" t="str"><v>Engagement Video</v></cell><cell r="X6320" t="str"><v>1x1</v></cell></row><row r="6320"><cell r="AA6320"><v>43327</v></cell><cell r="AB6320" t="str"><v>CAN_gaPMG_AZR_AZR_Q1_19_Trial-Social</v></cell><cell r="AC6320"><v>21337220</v></cell><cell r="AD6320"><v>720192</v></cell><cell r="AE6320" t="str"><v>Facebook</v></cell><cell r="AF6320"><v>3654128</v></cell><cell r="AG6320" t="str"><v>Facebook»AZR»1x1»NA»EGV»ALL»DYN»AUT»D»All»SS»NA»Free Acc CTC - T1 - FR</v></cell><cell r="AH6320"><v>223691801</v></cell><cell r="AI6320" t="str"><v>AzurePlatform_FBCTCBasicMotion_CAN_10s_ISV_PLAT_FR_Trial_Standard_STAN_TN_T1_1</v></cell><cell r="AJ6320"><v>103053323</v></cell></row><row r="6321"><cell r="C6321" t="str"><v>43327Facebook»AZR»1x1»NA»EGV»ALL»DYN»AUT»D»All»SS»NA»Free Acc CTC - T2 - EN</v></cell><cell r="D6321" t="str"><v>43327223691840</v></cell><cell r="E6321" t="str"><v>433271029029502 - EN</v></cell><cell r="F6321" t="str"><v>DCM</v></cell><cell r="G6321" t="str"><v>https://signup.azure.com/</v></cell></row><row r="6321"><cell r="K6321" t="str"><v>August</v></cell><cell r="L6321"><v>43330</v></cell><cell r="M6321" t="str"><v>Tier 1</v></cell><cell r="N6321" t="str"><v>North America</v></cell><cell r="O6321" t="str"><v>Canada</v></cell><cell r="P6321" t="str"><v>Trial</v></cell><cell r="Q6321" t="str"><v>Social</v></cell><cell r="R6321" t="str"><v>Azure</v></cell><cell r="S6321" t="str"><v>Apps & Infra</v></cell><cell r="T6321" t="str"><v>Developers & ITI's</v></cell><cell r="U6321" t="str"><v>AZR</v></cell><cell r="V6321" t="str"><v>Audience Targeting</v></cell><cell r="W6321" t="str"><v>Engagement Video</v></cell><cell r="X6321" t="str"><v>1x1</v></cell></row><row r="6321"><cell r="AA6321"><v>43327</v></cell><cell r="AB6321" t="str"><v>CAN_gaPMG_AZR_AZR_Q1_19_Trial-Social</v></cell><cell r="AC6321"><v>21337220</v></cell><cell r="AD6321"><v>720192</v></cell><cell r="AE6321" t="str"><v>Facebook</v></cell><cell r="AF6321"><v>3654128</v></cell><cell r="AG6321" t="str"><v>Facebook»AZR»1x1»NA»EGV»ALL»DYN»AUT»D»All»SS»NA»Free Acc CTC - T2 - EN</v></cell><cell r="AH6321"><v>223691840</v></cell><cell r="AI6321" t="str"><v>AzurePlatform_FBCTCBrandinMotion_CAN_12s_ISV_PLAT_English_Trial_Standard_STAN_TN_T2_1</v></cell><cell r="AJ6321"><v>102902950</v></cell></row><row r="6322"><cell r="C6322" t="str"><v>43327Facebook»AZR»1x1»NA»EGV»ALL»DYN»AUT»D»All»SS»NA»Free Acc CTC - T2 - FR</v></cell><cell r="D6322" t="str"><v>43327223691798</v></cell><cell r="E6322" t="str"><v>433271029163472 - FR</v></cell><cell r="F6322" t="str"><v>DCM</v></cell><cell r="G6322" t="str"><v>https://signup.azure.com/</v></cell></row><row r="6322"><cell r="K6322" t="str"><v>August</v></cell><cell r="L6322"><v>43330</v></cell><cell r="M6322" t="str"><v>Tier 1</v></cell><cell r="N6322" t="str"><v>North America</v></cell><cell r="O6322" t="str"><v>Canada</v></cell><cell r="P6322" t="str"><v>Trial</v></cell><cell r="Q6322" t="str"><v>Social</v></cell><cell r="R6322" t="str"><v>Azure</v></cell><cell r="S6322" t="str"><v>Apps & Infra</v></cell><cell r="T6322" t="str"><v>Developers & ITI's</v></cell><cell r="U6322" t="str"><v>AZR</v></cell><cell r="V6322" t="str"><v>Audience Targeting</v></cell><cell r="W6322" t="str"><v>Engagement Video</v></cell><cell r="X6322" t="str"><v>1x1</v></cell></row><row r="6322"><cell r="AA6322"><v>43327</v></cell><cell r="AB6322" t="str"><v>CAN_gaPMG_AZR_AZR_Q1_19_Trial-Social</v></cell><cell r="AC6322"><v>21337220</v></cell><cell r="AD6322"><v>720192</v></cell><cell r="AE6322" t="str"><v>Facebook</v></cell><cell r="AF6322"><v>3654128</v></cell><cell r="AG6322" t="str"><v>Facebook»AZR»1x1»NA»EGV»ALL»DYN»AUT»D»All»SS»NA»Free Acc CTC - T2 - FR</v></cell><cell r="AH6322"><v>223691798</v></cell><cell r="AI6322" t="str"><v>AzurePlatform_FBCTCBrandinMotion_CAN_12s_ISV_PLAT_FR_Trial_Standard_STAN_TN_T2_1</v></cell><cell r="AJ6322"><v>102916347</v></cell></row><row r="6323"><cell r="C6323" t="str"><v>43327Facebook»AZR»1x1»NA»EGV»ALL»DYN»AUT»D»All»SS»NA»Free Acc CTC - T4 - EN</v></cell><cell r="D6323" t="str"><v>43327223691837</v></cell><cell r="E6323" t="str"><v>433271030533144 - EN</v></cell><cell r="F6323" t="str"><v>DCM</v></cell><cell r="G6323" t="str"><v>https://signup.azure.com/</v></cell></row><row r="6323"><cell r="K6323" t="str"><v>August</v></cell><cell r="L6323"><v>43330</v></cell><cell r="M6323" t="str"><v>Tier 1</v></cell><cell r="N6323" t="str"><v>North America</v></cell><cell r="O6323" t="str"><v>Canada</v></cell><cell r="P6323" t="str"><v>Trial</v></cell><cell r="Q6323" t="str"><v>Social</v></cell><cell r="R6323" t="str"><v>Azure</v></cell><cell r="S6323" t="str"><v>Apps & Infra</v></cell><cell r="T6323" t="str"><v>Developers & ITI's</v></cell><cell r="U6323" t="str"><v>AZR</v></cell><cell r="V6323" t="str"><v>Audience Targeting</v></cell><cell r="W6323" t="str"><v>Engagement Video</v></cell><cell r="X6323" t="str"><v>1x1</v></cell></row><row r="6323"><cell r="AA6323"><v>43327</v></cell><cell r="AB6323" t="str"><v>CAN_gaPMG_AZR_AZR_Q1_19_Trial-Social</v></cell><cell r="AC6323"><v>21337220</v></cell><cell r="AD6323"><v>720192</v></cell><cell r="AE6323" t="str"><v>Facebook</v></cell><cell r="AF6323"><v>3654128</v></cell><cell r="AG6323" t="str"><v>Facebook»AZR»1x1»NA»EGV»ALL»DYN»AUT»D»All»SS»NA»Free Acc CTC - T4 - EN</v></cell><cell r="AH6323"><v>223691837</v></cell><cell r="AI6323" t="str"><v>AzurePlatform_FBCTCBenefit2inMotion_CAN_14s_ISV_PLAT_English_Trial_Standard_STAN_TN_T4_1</v></cell><cell r="AJ6323"><v>103053314</v></cell></row><row r="6324"><cell r="C6324" t="str"><v>43327Facebook»AZR»1x1»NA»SOC»ALL»DYN»PRO»D»All»SS»NA»Canvas - Buy Now - EN</v></cell><cell r="D6324" t="str"><v>43327225322327</v></cell><cell r="E6324" t="str"><v>43327103902287w - EN</v></cell><cell r="F6324" t="str"><v>DCM</v></cell><cell r="G6324" t="str"><v>https://azure.microsoft.com/en-ca/pricing/purchase-options/</v></cell></row><row r="6324"><cell r="K6324" t="str"><v>August</v></cell><cell r="L6324"><v>43330</v></cell><cell r="M6324" t="str"><v>Tier 1</v></cell><cell r="N6324" t="str"><v>North America</v></cell><cell r="O6324" t="str"><v>Canada</v></cell><cell r="P6324" t="str"><v>Trial</v></cell><cell r="Q6324" t="str"><v>Social</v></cell><cell r="R6324" t="str"><v>Azure</v></cell><cell r="S6324" t="str"><v>Apps & Infra</v></cell><cell r="T6324" t="str"><v>Developers & ITI's</v></cell><cell r="U6324" t="str"><v>AZR</v></cell><cell r="V6324" t="str"><v>Prospecting</v></cell><cell r="W6324" t="str"><v>Social</v></cell><cell r="X6324" t="str"><v>1x1</v></cell></row><row r="6324"><cell r="AA6324"><v>43327</v></cell><cell r="AB6324" t="str"><v>CAN_gaPMG_AZR_AZR_Q1_19_Trial-Social</v></cell><cell r="AC6324"><v>21337220</v></cell><cell r="AD6324"><v>720192</v></cell><cell r="AE6324" t="str"><v>Facebook</v></cell><cell r="AF6324"><v>3654128</v></cell><cell r="AG6324" t="str"><v>Facebook»AZR»1x1»NA»SOC»ALL»DYN»PRO»D»All»SS»NA»Canvas - Buy Now - EN</v></cell><cell r="AH6324"><v>225322327</v></cell><cell r="AI6324" t="str"><v>AzurePlatform_FBCTCcanvaspage-BuyNowCTA-Img3_CAN_1080x162_SOC_Plat_English_NA_Standard_NA_BN_T3_1</v></cell><cell r="AJ6324"><v>103902287</v></cell></row><row r="6325"><cell r="C6325" t="str"><v>43327Facebook»AZR»1x1»NA»SOC»ALL»DYN»PRO»D»All»SS»NA»Canvas - Start Free - EN</v></cell><cell r="D6325" t="str"><v>43327225252365</v></cell><cell r="E6325" t="str"><v>43327103807590e - EN</v></cell><cell r="F6325" t="str"><v>DCM</v></cell><cell r="G6325" t="str"><v>https://signup.azure.com/signup?offer=ms-azr-0044p&appId=102&ref=paidmedia-social-fb&redirectURL=https%3a%2f%2fazure.microsoft.com%2fen-ca%2fget-started%2fwelcome-to-azure%2f&l=en-ca&correlationId=ead86c34-1f10-49dd-a72b-6918462a2cbf</v></cell></row><row r="6325"><cell r="K6325" t="str"><v>August</v></cell><cell r="L6325"><v>43330</v></cell><cell r="M6325" t="str"><v>Tier 1</v></cell><cell r="N6325" t="str"><v>North America</v></cell><cell r="O6325" t="str"><v>Canada</v></cell><cell r="P6325" t="str"><v>Trial</v></cell><cell r="Q6325" t="str"><v>Social</v></cell><cell r="R6325" t="str"><v>Azure</v></cell><cell r="S6325" t="str"><v>Apps & Infra</v></cell><cell r="T6325" t="str"><v>Developers & ITI's</v></cell><cell r="U6325" t="str"><v>AZR</v></cell><cell r="V6325" t="str"><v>Prospecting</v></cell><cell r="W6325" t="str"><v>Social</v></cell><cell r="X6325" t="str"><v>1x1</v></cell></row><row r="6325"><cell r="AA6325"><v>43327</v></cell><cell r="AB6325" t="str"><v>CAN_gaPMG_AZR_AZR_Q1_19_Trial-Social</v></cell><cell r="AC6325"><v>21337220</v></cell><cell r="AD6325"><v>720192</v></cell><cell r="AE6325" t="str"><v>Facebook</v></cell><cell r="AF6325"><v>3654128</v></cell><cell r="AG6325" t="str"><v>Facebook»AZR»1x1»NA»SOC»ALL»DYN»PRO»D»All»SS»NA»Canvas - Start Free - EN</v></cell><cell r="AH6325"><v>225252365</v></cell><cell r="AI6325" t="str"><v>AzurePlatform_FBCTCcanvaspage-StartFreeCTA-Img2_CAN_1080x143 _SOC_Plat_English_NA_Standard_NA_NA_T2_1</v></cell><cell r="AJ6325"><v>103807590</v></cell></row><row r="6326"><cell r="C6326" t="str"><v>43327Facebook»AZR»1x1»SocialBan»NA»ALL»DYN»AUT»D»All»SS»NA»Free Acc Refresh - T1 - EN</v></cell><cell r="D6326" t="str"><v>43327223691804</v></cell><cell r="E6326" t="str"><v>433271030587171 - EN</v></cell><cell r="F6326" t="str"><v>DCM</v></cell><cell r="G6326" t="str"><v>https://azure.microsoft.com/en-CA/free/search/</v></cell></row><row r="6326"><cell r="K6326" t="str"><v>August</v></cell><cell r="L6326"><v>43330</v></cell><cell r="M6326" t="str"><v>Tier 1</v></cell><cell r="N6326" t="str"><v>North America</v></cell><cell r="O6326" t="str"><v>Canada</v></cell><cell r="P6326" t="str"><v>Trial</v></cell><cell r="Q6326" t="str"><v>Social</v></cell><cell r="R6326" t="str"><v>Azure</v></cell><cell r="S6326" t="str"><v>Apps & Infra</v></cell><cell r="T6326" t="str"><v>Developers & ITI's</v></cell><cell r="U6326" t="str"><v>AZR</v></cell><cell r="V6326" t="str"><v>Audience Targeting</v></cell><cell r="W6326" t="str"><v>NotApplicable</v></cell><cell r="X6326" t="str"><v>1x1</v></cell></row><row r="6326"><cell r="AA6326"><v>43327</v></cell><cell r="AB6326" t="str"><v>CAN_gaPMG_AZR_AZR_Q1_19_Trial-Social</v></cell><cell r="AC6326"><v>21337220</v></cell><cell r="AD6326"><v>720192</v></cell><cell r="AE6326" t="str"><v>Facebook</v></cell><cell r="AF6326"><v>3654128</v></cell><cell r="AG6326" t="str"><v>Facebook»AZR»1x1»SocialBan»NA»ALL»DYN»AUT»D»All»SS»NA»Free Acc Refresh - T1 - EN</v></cell><cell r="AH6326"><v>223691804</v></cell><cell r="AI6326" t="str"><v>AzurePlatform_FreeAcctAppsFACEBOOKLifestyleChA_CAN_1200x628_SOC_PLAT_EN_Trial_Standard_NA_SU_T1_1.png</v></cell><cell r="AJ6326"><v>103058717</v></cell></row><row r="6327"><cell r="C6327" t="str"><v>43327Facebook»AZR»1x1»SocialBan»NA»ALL»DYN»AUT»D»All»SS»NA»Free Acc Refresh - T2 - EN</v></cell><cell r="D6327" t="str"><v>43327223691810</v></cell><cell r="E6327" t="str"><v>433271030587112 - EN</v></cell><cell r="F6327" t="str"><v>DCM</v></cell><cell r="G6327" t="str"><v>https://azure.microsoft.com/en-CA/free/search/</v></cell></row><row r="6327"><cell r="K6327" t="str"><v>August</v></cell><cell r="L6327"><v>43330</v></cell><cell r="M6327" t="str"><v>Tier 1</v></cell><cell r="N6327" t="str"><v>North America</v></cell><cell r="O6327" t="str"><v>Canada</v></cell><cell r="P6327" t="str"><v>Trial</v></cell><cell r="Q6327" t="str"><v>Social</v></cell><cell r="R6327" t="str"><v>Azure</v></cell><cell r="S6327" t="str"><v>Apps & Infra</v></cell><cell r="T6327" t="str"><v>Developers & ITI's</v></cell><cell r="U6327" t="str"><v>AZR</v></cell><cell r="V6327" t="str"><v>Audience Targeting</v></cell><cell r="W6327" t="str"><v>NotApplicable</v></cell><cell r="X6327" t="str"><v>1x1</v></cell></row><row r="6327"><cell r="AA6327"><v>43327</v></cell><cell r="AB6327" t="str"><v>CAN_gaPMG_AZR_AZR_Q1_19_Trial-Social</v></cell><cell r="AC6327"><v>21337220</v></cell><cell r="AD6327"><v>720192</v></cell><cell r="AE6327" t="str"><v>Facebook</v></cell><cell r="AF6327"><v>3654128</v></cell><cell r="AG6327" t="str"><v>Facebook»AZR»1x1»SocialBan»NA»ALL»DYN»AUT»D»All»SS»NA»Free Acc Refresh - T2 - EN</v></cell><cell r="AH6327"><v>223691810</v></cell><cell r="AI6327" t="str"><v>AzurePlatform_FreeAcctAppsFACEBOOKDeviceChB_CAN_1200x628_SOC_PLAT_EN_Trial_Standard_NA_SU_T2_1.png</v></cell><cell r="AJ6327"><v>103058711</v></cell></row><row r="6328"><cell r="C6328" t="str"><v>43327Facebook»AZR»1x1»SocialBan»NA»ALL»DYN»AUT»D»All»SS»NA»Free Acc Refresh - T2 - FR</v></cell><cell r="D6328" t="str"><v>43327223691768</v></cell><cell r="E6328" t="str"><v>433271029029712 - FR</v></cell><cell r="F6328" t="str"><v>DCM</v></cell><cell r="G6328" t="str"><v>https://azure.microsoft.com/fr-ca/free/search/</v></cell></row><row r="6328"><cell r="K6328" t="str"><v>August</v></cell><cell r="L6328"><v>43330</v></cell><cell r="M6328" t="str"><v>Tier 1</v></cell><cell r="N6328" t="str"><v>North America</v></cell><cell r="O6328" t="str"><v>Canada</v></cell><cell r="P6328" t="str"><v>Trial</v></cell><cell r="Q6328" t="str"><v>Social</v></cell><cell r="R6328" t="str"><v>Azure</v></cell><cell r="S6328" t="str"><v>Apps & Infra</v></cell><cell r="T6328" t="str"><v>Developers & ITI's</v></cell><cell r="U6328" t="str"><v>AZR</v></cell><cell r="V6328" t="str"><v>Audience Targeting</v></cell><cell r="W6328" t="str"><v>NotApplicable</v></cell><cell r="X6328" t="str"><v>1x1</v></cell></row><row r="6328"><cell r="AA6328"><v>43327</v></cell><cell r="AB6328" t="str"><v>CAN_gaPMG_AZR_AZR_Q1_19_Trial-Social</v></cell><cell r="AC6328"><v>21337220</v></cell><cell r="AD6328"><v>720192</v></cell><cell r="AE6328" t="str"><v>Facebook</v></cell><cell r="AF6328"><v>3654128</v></cell><cell r="AG6328" t="str"><v>Facebook»AZR»1x1»SocialBan»NA»ALL»DYN»AUT»D»All»SS»NA»Free Acc Refresh - T2 - FR</v></cell><cell r="AH6328"><v>223691768</v></cell><cell r="AI6328" t="str"><v>AzurePlatform_FreeAcctAppsFACEBOOKDeviceChB_CAN_1200x628_SOC_PLAT_FR_Trial_Standard_NA_SU_T2_1.png</v></cell><cell r="AJ6328"><v>102902971</v></cell></row><row r="6329"><cell r="C6329" t="str"><v>43327Facebook»AZR»1x1»SocialBan»NA»ALL»DYN»AUT»D»All»SS»NA»Free Acc Refresh - T3 - FR</v></cell><cell r="D6329" t="str"><v>43327223691765</v></cell><cell r="E6329" t="str"><v>433271030533323 - FR</v></cell><cell r="F6329" t="str"><v>DCM</v></cell><cell r="G6329" t="str"><v>https://azure.microsoft.com/fr-ca/free/search/</v></cell></row><row r="6329"><cell r="K6329" t="str"><v>August</v></cell><cell r="L6329"><v>43330</v></cell><cell r="M6329" t="str"><v>Tier 1</v></cell><cell r="N6329" t="str"><v>North America</v></cell><cell r="O6329" t="str"><v>Canada</v></cell><cell r="P6329" t="str"><v>Trial</v></cell><cell r="Q6329" t="str"><v>Social</v></cell><cell r="R6329" t="str"><v>Azure</v></cell><cell r="S6329" t="str"><v>Apps & Infra</v></cell><cell r="T6329" t="str"><v>Developers & ITI's</v></cell><cell r="U6329" t="str"><v>AZR</v></cell><cell r="V6329" t="str"><v>Audience Targeting</v></cell><cell r="W6329" t="str"><v>NotApplicable</v></cell><cell r="X6329" t="str"><v>1x1</v></cell></row><row r="6329"><cell r="AA6329"><v>43327</v></cell><cell r="AB6329" t="str"><v>CAN_gaPMG_AZR_AZR_Q1_19_Trial-Social</v></cell><cell r="AC6329"><v>21337220</v></cell><cell r="AD6329"><v>720192</v></cell><cell r="AE6329" t="str"><v>Facebook</v></cell><cell r="AF6329"><v>3654128</v></cell><cell r="AG6329" t="str"><v>Facebook»AZR»1x1»SocialBan»NA»ALL»DYN»AUT»D»All»SS»NA»Free Acc Refresh - T3 - FR</v></cell><cell r="AH6329"><v>223691765</v></cell><cell r="AI6329" t="str"><v>AzurePlatform_FreeAcctAppsFACEBOOKIllustrationChC_CAN_1200x628_SOC_PLAT_FR_Trial_Standard_NA_SU_T3_1.png</v></cell><cell r="AJ6329"><v>103053332</v></cell></row><row r="6330"><cell r="C6330" t="str"><v>43327Facebook»AZR»1x1»SocialBan»NA»ALL»DYN»AUT»D»All»SS»NA»Free Acc Refresh - T4 - EN</v></cell><cell r="D6330" t="str"><v>43327223691813</v></cell><cell r="E6330" t="str"><v>433271030533204 - EN</v></cell><cell r="F6330" t="str"><v>DCM</v></cell><cell r="G6330" t="str"><v>https://azure.microsoft.com/en-CA/free/search/</v></cell></row><row r="6330"><cell r="K6330" t="str"><v>August</v></cell><cell r="L6330"><v>43330</v></cell><cell r="M6330" t="str"><v>Tier 1</v></cell><cell r="N6330" t="str"><v>North America</v></cell><cell r="O6330" t="str"><v>Canada</v></cell><cell r="P6330" t="str"><v>Trial</v></cell><cell r="Q6330" t="str"><v>Social</v></cell><cell r="R6330" t="str"><v>Azure</v></cell><cell r="S6330" t="str"><v>Apps & Infra</v></cell><cell r="T6330" t="str"><v>Developers & ITI's</v></cell><cell r="U6330" t="str"><v>AZR</v></cell><cell r="V6330" t="str"><v>Audience Targeting</v></cell><cell r="W6330" t="str"><v>NotApplicable</v></cell><cell r="X6330" t="str"><v>1x1</v></cell></row><row r="6330"><cell r="AA6330"><v>43327</v></cell><cell r="AB6330" t="str"><v>CAN_gaPMG_AZR_AZR_Q1_19_Trial-Social</v></cell><cell r="AC6330"><v>21337220</v></cell><cell r="AD6330"><v>720192</v></cell><cell r="AE6330" t="str"><v>Facebook</v></cell><cell r="AF6330"><v>3654128</v></cell><cell r="AG6330" t="str"><v>Facebook»AZR»1x1»SocialBan»NA»ALL»DYN»AUT»D»All»SS»NA»Free Acc Refresh - T4 - EN</v></cell><cell r="AH6330"><v>223691813</v></cell><cell r="AI6330" t="str"><v>AzurePlatform_FreeAcctAppsFACEBOOK200CreditChD_CAN_1200x628_SOC_PLAT_EN_Trial_Standard_NA_SU_T4_1.png</v></cell><cell r="AJ6330"><v>103053320</v></cell></row><row r="6331"><cell r="C6331" t="str"><v>43327Facebook»AZR»1x1»SocialBan»NA»ALL»DYN»AUT»D»All»SS»NA»Free Acc Refresh - T5 - EN</v></cell><cell r="D6331" t="str"><v>43327223691816</v></cell><cell r="E6331" t="str"><v>433271029163415 - EN</v></cell><cell r="F6331" t="str"><v>DCM</v></cell><cell r="G6331" t="str"><v>https://azure.microsoft.com/en-CA/free/search/</v></cell></row><row r="6331"><cell r="K6331" t="str"><v>August</v></cell><cell r="L6331"><v>43330</v></cell><cell r="M6331" t="str"><v>Tier 1</v></cell><cell r="N6331" t="str"><v>North America</v></cell><cell r="O6331" t="str"><v>Canada</v></cell><cell r="P6331" t="str"><v>Trial</v></cell><cell r="Q6331" t="str"><v>Social</v></cell><cell r="R6331" t="str"><v>Azure</v></cell><cell r="S6331" t="str"><v>Apps & Infra</v></cell><cell r="T6331" t="str"><v>Developers & ITI's</v></cell><cell r="U6331" t="str"><v>AZR</v></cell><cell r="V6331" t="str"><v>Audience Targeting</v></cell><cell r="W6331" t="str"><v>NotApplicable</v></cell><cell r="X6331" t="str"><v>1x1</v></cell></row><row r="6331"><cell r="AA6331"><v>43327</v></cell><cell r="AB6331" t="str"><v>CAN_gaPMG_AZR_AZR_Q1_19_Trial-Social</v></cell><cell r="AC6331"><v>21337220</v></cell><cell r="AD6331"><v>720192</v></cell><cell r="AE6331" t="str"><v>Facebook</v></cell><cell r="AF6331"><v>3654128</v></cell><cell r="AG6331" t="str"><v>Facebook»AZR»1x1»SocialBan»NA»ALL»DYN»AUT»D»All»SS»NA»Free Acc Refresh - T5 - EN</v></cell><cell r="AH6331"><v>223691816</v></cell><cell r="AI6331" t="str"><v>AzurePlatform_FreeAcctAppsFACEBOOK12monthsChE_CAN_1200x628_SOC_PLAT_EN_Trial_Standard_NA_SU_T5_1.png</v></cell><cell r="AJ6331"><v>102916341</v></cell></row><row r="6332"><cell r="C6332" t="str"><v>43327Facebook»AZR»1x1»SocialBan»NA»ALL»DYN»AUT»D»All»SS»NA»Free Acc Refresh - T5 - FR</v></cell><cell r="D6332" t="str"><v>43327223691774</v></cell><cell r="E6332" t="str"><v>433271029163565 - FR</v></cell><cell r="F6332" t="str"><v>DCM</v></cell><cell r="G6332" t="str"><v>https://azure.microsoft.com/fr-ca/free/search/</v></cell></row><row r="6332"><cell r="K6332" t="str"><v>August</v></cell><cell r="L6332"><v>43330</v></cell><cell r="M6332" t="str"><v>Tier 1</v></cell><cell r="N6332" t="str"><v>North America</v></cell><cell r="O6332" t="str"><v>Canada</v></cell><cell r="P6332" t="str"><v>Trial</v></cell><cell r="Q6332" t="str"><v>Social</v></cell><cell r="R6332" t="str"><v>Azure</v></cell><cell r="S6332" t="str"><v>Apps & Infra</v></cell><cell r="T6332" t="str"><v>Developers & ITI's</v></cell><cell r="U6332" t="str"><v>AZR</v></cell><cell r="V6332" t="str"><v>Audience Targeting</v></cell><cell r="W6332" t="str"><v>NotApplicable</v></cell><cell r="X6332" t="str"><v>1x1</v></cell></row><row r="6332"><cell r="AA6332"><v>43327</v></cell><cell r="AB6332" t="str"><v>CAN_gaPMG_AZR_AZR_Q1_19_Trial-Social</v></cell><cell r="AC6332"><v>21337220</v></cell><cell r="AD6332"><v>720192</v></cell><cell r="AE6332" t="str"><v>Facebook</v></cell><cell r="AF6332"><v>3654128</v></cell><cell r="AG6332" t="str"><v>Facebook»AZR»1x1»SocialBan»NA»ALL»DYN»AUT»D»All»SS»NA»Free Acc Refresh - T5 - FR</v></cell><cell r="AH6332"><v>223691774</v></cell><cell r="AI6332" t="str"><v>AzurePlatform_FreeAcctAppsFACEBOOK12monthsChE_CAN_1200x628_SOC_PLAT_FR_Trial_Standard_NA_SU_T5_1.png</v></cell><cell r="AJ6332"><v>102916356</v></cell></row><row r="6333"><cell r="C6333" t="str"><v>43327Facebook»AZR»1x1»SocialBan»NA»ALL»DYN»RT»D»All»SS»NA» Free Account Retargeting OSS - T2 - EN</v></cell><cell r="D6333" t="str"><v>43327223691831</v></cell><cell r="E6333" t="str"><v>433271029138002 - EN</v></cell><cell r="F6333" t="str"><v>DCM</v></cell><cell r="G6333" t="str"><v>https://azure.microsoft.com/en-ca/free/open-source/search/</v></cell></row><row r="6333"><cell r="K6333" t="str"><v>August</v></cell><cell r="L6333"><v>43330</v></cell><cell r="M6333" t="str"><v>Tier 1</v></cell><cell r="N6333" t="str"><v>North America</v></cell><cell r="O6333" t="str"><v>Canada</v></cell><cell r="P6333" t="str"><v>Trial</v></cell><cell r="Q6333" t="str"><v>Social</v></cell><cell r="R6333" t="str"><v>Azure</v></cell><cell r="S6333" t="str"><v>Apps & Infra</v></cell><cell r="T6333" t="str"><v>Developers & ITI's</v></cell><cell r="U6333" t="str"><v>AZR</v></cell><cell r="V6333" t="str"><v>Retargeting</v></cell><cell r="W6333" t="str"><v>NotApplicable</v></cell><cell r="X6333" t="str"><v>1x1</v></cell></row><row r="6333"><cell r="AA6333"><v>43327</v></cell><cell r="AB6333" t="str"><v>CAN_gaPMG_AZR_AZR_Q1_19_Trial-Social</v></cell><cell r="AC6333"><v>21337220</v></cell><cell r="AD6333"><v>720192</v></cell><cell r="AE6333" t="str"><v>Facebook</v></cell><cell r="AF6333"><v>3654128</v></cell><cell r="AG6333" t="str"><v>Facebook»AZR»1x1»SocialBan»NA»ALL»DYN»RT»D»All»SS»NA» Free Account Retargeting OSS - T2 - EN</v></cell><cell r="AH6333"><v>223691831</v></cell><cell r="AI6333" t="str"><v>AzurePlatform_FreeAcctRetargetingOSSFB-Logos-ChG_CAN_1200x628_SOC_Plat_EN_Free Account_Standard_NA_SU_T2_1</v></cell><cell r="AJ6333"><v>102913800</v></cell></row><row r="6334"><cell r="C6334" t="str"><v>43327Facebook»AZR»1x1»SocialBan»NA»ALL»DYN»RT»D»All»SS»NA»Free Account Retargeting Generic - T2 - EN</v></cell><cell r="D6334" t="str"><v>43327223691834</v></cell><cell r="E6334" t="str"><v>433271029029532 - EN</v></cell><cell r="F6334" t="str"><v>DCM</v></cell><cell r="G6334" t="str"><v>https://azure.microsoft.com/en-CA/free/search/</v></cell></row><row r="6334"><cell r="K6334" t="str"><v>August</v></cell><cell r="L6334"><v>43330</v></cell><cell r="M6334" t="str"><v>Tier 1</v></cell><cell r="N6334" t="str"><v>North America</v></cell><cell r="O6334" t="str"><v>Canada</v></cell><cell r="P6334" t="str"><v>Trial</v></cell><cell r="Q6334" t="str"><v>Social</v></cell><cell r="R6334" t="str"><v>Azure</v></cell><cell r="S6334" t="str"><v>Apps & Infra</v></cell><cell r="T6334" t="str"><v>Developers & ITI's</v></cell><cell r="U6334" t="str"><v>AZR</v></cell><cell r="V6334" t="str"><v>Retargeting</v></cell><cell r="W6334" t="str"><v>NotApplicable</v></cell><cell r="X6334" t="str"><v>1x1</v></cell></row><row r="6334"><cell r="AA6334"><v>43327</v></cell><cell r="AB6334" t="str"><v>CAN_gaPMG_AZR_AZR_Q1_19_Trial-Social</v></cell><cell r="AC6334"><v>21337220</v></cell><cell r="AD6334"><v>720192</v></cell><cell r="AE6334" t="str"><v>Facebook</v></cell><cell r="AF6334"><v>3654128</v></cell><cell r="AG6334" t="str"><v>Facebook»AZR»1x1»SocialBan»NA»ALL»DYN»RT»D»All»SS»NA»Free Account Retargeting Generic - T2 - EN</v></cell><cell r="AH6334"><v>223691834</v></cell><cell r="AI6334" t="str"><v>AzurePlatform_FreeAcctRetargetingFB-GlobalAlt-ChB_CAN_1200x628_SOC_Plat_EN_Free Account_Standard_NA_SU_T2_1</v></cell><cell r="AJ6334"><v>102902953</v></cell></row><row r="6335"><cell r="C6335" t="str"><v>43327Facebook»AZR»1x1»SocialBan»NA»ALL»DYN»RT»D»All»SS»NA»Free Account Retargeting Generic - T3 - EN</v></cell><cell r="D6335" t="str"><v>43327223691819</v></cell><cell r="E6335" t="str"><v>433271029006823 - EN</v></cell><cell r="F6335" t="str"><v>DCM</v></cell><cell r="G6335" t="str"><v>https://azure.microsoft.com/en-CA/free/search/</v></cell></row><row r="6335"><cell r="K6335" t="str"><v>August</v></cell><cell r="L6335"><v>43330</v></cell><cell r="M6335" t="str"><v>Tier 1</v></cell><cell r="N6335" t="str"><v>North America</v></cell><cell r="O6335" t="str"><v>Canada</v></cell><cell r="P6335" t="str"><v>Trial</v></cell><cell r="Q6335" t="str"><v>Social</v></cell><cell r="R6335" t="str"><v>Azure</v></cell><cell r="S6335" t="str"><v>Apps & Infra</v></cell><cell r="T6335" t="str"><v>Developers & ITI's</v></cell><cell r="U6335" t="str"><v>AZR</v></cell><cell r="V6335" t="str"><v>Retargeting</v></cell><cell r="W6335" t="str"><v>NotApplicable</v></cell><cell r="X6335" t="str"><v>1x1</v></cell></row><row r="6335"><cell r="AA6335"><v>43327</v></cell><cell r="AB6335" t="str"><v>CAN_gaPMG_AZR_AZR_Q1_19_Trial-Social</v></cell><cell r="AC6335"><v>21337220</v></cell><cell r="AD6335"><v>720192</v></cell><cell r="AE6335" t="str"><v>Facebook</v></cell><cell r="AF6335"><v>3654128</v></cell><cell r="AG6335" t="str"><v>Facebook»AZR»1x1»SocialBan»NA»ALL»DYN»RT»D»All»SS»NA»Free Account Retargeting Generic - T3 - EN</v></cell><cell r="AH6335"><v>223691819</v></cell><cell r="AI6335" t="str"><v>AzurePlatform_FreeAcctRetargetingFB-Animated-ChC_CAN_1200x628_SOC_Plat_EN_Free Account_Standard_ANI_SU_T3_1</v></cell><cell r="AJ6335"><v>102900682</v></cell></row><row r="6336"><cell r="C6336" t="str"><v>43327Facebook»AZR»1x1»SocialBan»NA»ALL»DYN»RT»D»All»SS»NA»Free Account Retargeting Generic - T3 - FR</v></cell><cell r="D6336" t="str"><v>43327223691777</v></cell><cell r="E6336" t="str"><v>433271029006973 - FR</v></cell><cell r="F6336" t="str"><v>DCM</v></cell><cell r="G6336" t="str"><v>https://azure.microsoft.com/fr-ca/free/search/</v></cell></row><row r="6336"><cell r="K6336" t="str"><v>August</v></cell><cell r="L6336"><v>43330</v></cell><cell r="M6336" t="str"><v>Tier 1</v></cell><cell r="N6336" t="str"><v>North America</v></cell><cell r="O6336" t="str"><v>Canada</v></cell><cell r="P6336" t="str"><v>Trial</v></cell><cell r="Q6336" t="str"><v>Social</v></cell><cell r="R6336" t="str"><v>Azure</v></cell><cell r="S6336" t="str"><v>Apps & Infra</v></cell><cell r="T6336" t="str"><v>Developers & ITI's</v></cell><cell r="U6336" t="str"><v>AZR</v></cell><cell r="V6336" t="str"><v>Retargeting</v></cell><cell r="W6336" t="str"><v>NotApplicable</v></cell><cell r="X6336" t="str"><v>1x1</v></cell></row><row r="6336"><cell r="AA6336"><v>43327</v></cell><cell r="AB6336" t="str"><v>CAN_gaPMG_AZR_AZR_Q1_19_Trial-Social</v></cell><cell r="AC6336"><v>21337220</v></cell><cell r="AD6336"><v>720192</v></cell><cell r="AE6336" t="str"><v>Facebook</v></cell><cell r="AF6336"><v>3654128</v></cell><cell r="AG6336" t="str"><v>Facebook»AZR»1x1»SocialBan»NA»ALL»DYN»RT»D»All»SS»NA»Free Account Retargeting Generic - T3 - FR</v></cell><cell r="AH6336"><v>223691777</v></cell><cell r="AI6336" t="str"><v>AzurePlatform_FreeAcctRetargetingFB-Animated-ChC_CAN_1200x628_SOC_Plat_FR_Free Account_Standard_ANI_SU_T3_1</v></cell><cell r="AJ6336"><v>102900697</v></cell></row><row r="6337"><cell r="C6337" t="str"><v>43327Facebook»AZR»1x1»SocialBan»NA»ALL»DYN»RT»D»All»SS»NA»Free Account Retargeting VM - T1 - EN</v></cell><cell r="D6337" t="str"><v>43327223691825</v></cell><cell r="E6337" t="str"><v>433271029163381 - EN</v></cell><cell r="F6337" t="str"><v>DCM</v></cell><cell r="G6337" t="str"><v>https://azure.microsoft.com/en-ca/free/virtual-machines/search/</v></cell></row><row r="6337"><cell r="K6337" t="str"><v>August</v></cell><cell r="L6337"><v>43330</v></cell><cell r="M6337" t="str"><v>Tier 1</v></cell><cell r="N6337" t="str"><v>North America</v></cell><cell r="O6337" t="str"><v>Canada</v></cell><cell r="P6337" t="str"><v>Trial</v></cell><cell r="Q6337" t="str"><v>Social</v></cell><cell r="R6337" t="str"><v>Azure</v></cell><cell r="S6337" t="str"><v>Apps & Infra</v></cell><cell r="T6337" t="str"><v>Developers & ITI's</v></cell><cell r="U6337" t="str"><v>AZR</v></cell><cell r="V6337" t="str"><v>Retargeting</v></cell><cell r="W6337" t="str"><v>NotApplicable</v></cell><cell r="X6337" t="str"><v>1x1</v></cell></row><row r="6337"><cell r="AA6337"><v>43327</v></cell><cell r="AB6337" t="str"><v>CAN_gaPMG_AZR_AZR_Q1_19_Trial-Social</v></cell><cell r="AC6337"><v>21337220</v></cell><cell r="AD6337"><v>720192</v></cell><cell r="AE6337" t="str"><v>Facebook</v></cell><cell r="AF6337"><v>3654128</v></cell><cell r="AG6337" t="str"><v>Facebook»AZR»1x1»SocialBan»NA»ALL»DYN»RT»D»All»SS»NA»Free Account Retargeting VM - T1 - EN</v></cell><cell r="AH6337"><v>223691825</v></cell><cell r="AI6337" t="str"><v>AzurePlatform_FreeAcctRetargetingVMFB-750Hrs-ChD_CAN_1200x628_SOC_Plat_EN_Free Account_Standard_NA_SU_T1_1</v></cell><cell r="AJ6337"><v>102916338</v></cell></row><row r="6338"><cell r="C6338" t="str"><v>43327Facebook»AZR»1x1»SocialBan»NA»ALL»DYN»RT»D»All»SS»NA»Free Account Retargeting VM - T2 - EN</v></cell><cell r="D6338" t="str"><v>43327223691822</v></cell><cell r="E6338" t="str"><v>433271030587082 - EN</v></cell><cell r="F6338" t="str"><v>DCM</v></cell><cell r="G6338" t="str"><v>https://azure.microsoft.com/en-ca/free/virtual-machines/search/</v></cell></row><row r="6338"><cell r="K6338" t="str"><v>August</v></cell><cell r="L6338"><v>43330</v></cell><cell r="M6338" t="str"><v>Tier 1</v></cell><cell r="N6338" t="str"><v>North America</v></cell><cell r="O6338" t="str"><v>Canada</v></cell><cell r="P6338" t="str"><v>Trial</v></cell><cell r="Q6338" t="str"><v>Social</v></cell><cell r="R6338" t="str"><v>Azure</v></cell><cell r="S6338" t="str"><v>Apps & Infra</v></cell><cell r="T6338" t="str"><v>Developers & ITI's</v></cell><cell r="U6338" t="str"><v>AZR</v></cell><cell r="V6338" t="str"><v>Retargeting</v></cell><cell r="W6338" t="str"><v>NotApplicable</v></cell><cell r="X6338" t="str"><v>1x1</v></cell></row><row r="6338"><cell r="AA6338"><v>43327</v></cell><cell r="AB6338" t="str"><v>CAN_gaPMG_AZR_AZR_Q1_19_Trial-Social</v></cell><cell r="AC6338"><v>21337220</v></cell><cell r="AD6338"><v>720192</v></cell><cell r="AE6338" t="str"><v>Facebook</v></cell><cell r="AF6338"><v>3654128</v></cell><cell r="AG6338" t="str"><v>Facebook»AZR»1x1»SocialBan»NA»ALL»DYN»RT»D»All»SS»NA»Free Account Retargeting VM - T2 - EN</v></cell><cell r="AH6338"><v>223691822</v></cell><cell r="AI6338" t="str"><v>AzurePlatform_FreeAcctRetargetingVMFB-OnDemand-ChE_CAN_1200x628_SOC_Plat_EN_Free Account_Standard_NA_SU_T2_1</v></cell><cell r="AJ6338"><v>103058708</v></cell></row><row r="6339"><cell r="C6339" t="str"><v>43327Facebook»AZR»1x1»SocialBan»NA»ALL»DYN»RT»D»All»SS»NA»Free Account Retargeting VM - T2 - FR</v></cell><cell r="D6339" t="str"><v>43327223691780</v></cell><cell r="E6339" t="str"><v>433271030587262 - FR</v></cell><cell r="F6339" t="str"><v>DCM</v></cell><cell r="G6339" t="str"><v>https://azure.microsoft.com/fr-ca/free/virtual-machines/search/</v></cell></row><row r="6339"><cell r="K6339" t="str"><v>August</v></cell><cell r="L6339"><v>43330</v></cell><cell r="M6339" t="str"><v>Tier 1</v></cell><cell r="N6339" t="str"><v>North America</v></cell><cell r="O6339" t="str"><v>Canada</v></cell><cell r="P6339" t="str"><v>Trial</v></cell><cell r="Q6339" t="str"><v>Social</v></cell><cell r="R6339" t="str"><v>Azure</v></cell><cell r="S6339" t="str"><v>Apps & Infra</v></cell><cell r="T6339" t="str"><v>Developers & ITI's</v></cell><cell r="U6339" t="str"><v>AZR</v></cell><cell r="V6339" t="str"><v>Retargeting</v></cell><cell r="W6339" t="str"><v>NotApplicable</v></cell><cell r="X6339" t="str"><v>1x1</v></cell></row><row r="6339"><cell r="AA6339"><v>43327</v></cell><cell r="AB6339" t="str"><v>CAN_gaPMG_AZR_AZR_Q1_19_Trial-Social</v></cell><cell r="AC6339"><v>21337220</v></cell><cell r="AD6339"><v>720192</v></cell><cell r="AE6339" t="str"><v>Facebook</v></cell><cell r="AF6339"><v>3654128</v></cell><cell r="AG6339" t="str"><v>Facebook»AZR»1x1»SocialBan»NA»ALL»DYN»RT»D»All»SS»NA»Free Account Retargeting VM - T2 - FR</v></cell><cell r="AH6339"><v>223691780</v></cell><cell r="AI6339" t="str"><v>AzurePlatform_FreeAcctRetargetingVMFB-OnDemand-ChE_CAN_1200x628_SOC_Plat_FR_Free Account_Standard_NA_SU_T2_1</v></cell><cell r="AJ6339"><v>103058726</v></cell></row><row r="6340"><cell r="C6340" t="str"><v>43327Facebook»DEV-ITP-AZR-FB|CanvasAds|Interesttargeting»1x1»TextLink»CAN»DT»CPM»AUT»W»NA»SS»NA»39684020-11000</v></cell><cell r="D6340" t="str"><v>43327224009494</v></cell><cell r="E6340" t="str"><v>43327103236186-11000</v></cell><cell r="F6340" t="str"><v>DCM</v></cell><cell r="G6340" t="str"><v>https://signup.azure.com/signup?offer=ms-azr-0044p&appId=102&ref=paidmedia-social-fb&redirectURL=https%3a%2f%2fazure.microsoft.com%2fde-de%2fget-started%2fwelcome-to-azure%2f&l=de-de&correlationId=ead86c34-1f10-49dd-a72b-6918462a2cbf</v></cell></row><row r="6340"><cell r="K6340" t="str"><v>August</v></cell><cell r="L6340"><v>43330</v></cell><cell r="M6340" t="str"><v>Tier 1</v></cell><cell r="N6340" t="str"><v>EMEA</v></cell><cell r="O6340" t="str"><v>Germany</v></cell><cell r="P6340" t="str"><v>Trial</v></cell><cell r="Q6340" t="str"><v>Social</v></cell><cell r="R6340" t="str"><v>Azure</v></cell><cell r="S6340" t="str"><v>Apps & Infra</v></cell><cell r="T6340" t="str"><v>Developers & ITI's</v></cell><cell r="U6340" t="str"><v>DEV-ITP-AZR-FB|CanvasAds|Interesttargeting</v></cell><cell r="V6340" t="str"><v>Audience Targeting</v></cell><cell r="W6340" t="str"><v>Canvas Ad</v></cell><cell r="X6340" t="str"><v>1x1</v></cell></row><row r="6340"><cell r="AA6340"><v>43327</v></cell><cell r="AB6340" t="str"><v>DEU_gaPMG_AZR_AZR_Q1_19_Trial-Social- 39684</v></cell><cell r="AC6340"><v>21359477</v></cell><cell r="AD6340"><v>720194</v></cell><cell r="AE6340" t="str"><v>Facebook</v></cell><cell r="AF6340"><v>3654128</v></cell><cell r="AG6340" t="str"><v>Facebook»DEV-ITP-AZR-FB|CanvasAds|Interesttargeting»1x1»TextLink»CAN»DT»CPM»AUT»W»NA»SS»NA»39684020-11000</v></cell><cell r="AH6340"><v>224009494</v></cell><cell r="AI6340" t="str"><v>AzurePlatform_FBCTCBasicMotion-StartFreeCT_DEU_10s_ISV_PLAT_DE_Trial_Standard_STAN_TN_T1_1</v></cell><cell r="AJ6340"><v>103236186</v></cell></row><row r="6341"><cell r="C6341" t="str"><v>43327Facebook»DEV-ITP-AZR-FB|CanvasAds|Interesttargeting»1x1»TextLink»CAN»DT»CPM»AUT»W»NA»SS»NA»39684020-11000</v></cell><cell r="D6341" t="str"><v>43327224009494</v></cell><cell r="E6341" t="str"><v>43327103237290-11000</v></cell><cell r="F6341" t="str"><v>DCM</v></cell><cell r="G6341" t="str"><v>https://signup.azure.com/signup?offer=ms-azr-0044p&appId=102&ref=paidmedia-social-fb&redirectURL=https%3a%2f%2fazure.microsoft.com%2fde-de%2fget-started%2fwelcome-to-azure%2f&l=de-de&correlationId=ead86c34-1f10-49dd-a72b-6918462a2cbf</v></cell></row><row r="6341"><cell r="K6341" t="str"><v>August</v></cell><cell r="L6341"><v>43330</v></cell><cell r="M6341" t="str"><v>Tier 1</v></cell><cell r="N6341" t="str"><v>EMEA</v></cell><cell r="O6341" t="str"><v>Germany</v></cell><cell r="P6341" t="str"><v>Trial</v></cell><cell r="Q6341" t="str"><v>Social</v></cell><cell r="R6341" t="str"><v>Azure</v></cell><cell r="S6341" t="str"><v>Apps & Infra</v></cell><cell r="T6341" t="str"><v>Developers & ITI's</v></cell><cell r="U6341" t="str"><v>DEV-ITP-AZR-FB|CanvasAds|Interesttargeting</v></cell><cell r="V6341" t="str"><v>Audience Targeting</v></cell><cell r="W6341" t="str"><v>Canvas Ad</v></cell><cell r="X6341" t="str"><v>1x1</v></cell></row><row r="6341"><cell r="AA6341"><v>43327</v></cell><cell r="AB6341" t="str"><v>DEU_gaPMG_AZR_AZR_Q1_19_Trial-Social- 39684</v></cell><cell r="AC6341"><v>21359477</v></cell><cell r="AD6341"><v>720194</v></cell><cell r="AE6341" t="str"><v>Facebook</v></cell><cell r="AF6341"><v>3654128</v></cell><cell r="AG6341" t="str"><v>Facebook»DEV-ITP-AZR-FB|CanvasAds|Interesttargeting»1x1»TextLink»CAN»DT»CPM»AUT»W»NA»SS»NA»39684020-11000</v></cell><cell r="AH6341"><v>224009494</v></cell><cell r="AI6341" t="str"><v>AzurePlatform_FBCTCBenefit2inMotion-StartFreeCT_DEU_14s_ISV_PLAT_DE_Trial_Standard_STAN_TN_T4_1</v></cell><cell r="AJ6341"><v>103237290</v></cell></row><row r="6342"><cell r="C6342" t="str"><v>43327Facebook»DEV-ITP-AZR-FB|CanvasAds|Interesttargeting»1x1»TextLink»CAN»DT»CPM»AUT»W»NA»SS»NA»39684020-11000</v></cell><cell r="D6342" t="str"><v>43327224009494</v></cell><cell r="E6342" t="str"><v>43327103237293-11000</v></cell><cell r="F6342" t="str"><v>DCM</v></cell><cell r="G6342" t="str"><v>https://signup.azure.com/signup?offer=ms-azr-0044p&appId=102&ref=paidmedia-social-fb&redirectURL=https%3a%2f%2fazure.microsoft.com%2fde-de%2fget-started%2fwelcome-to-azure%2f&l=de-de&correlationId=ead86c34-1f10-49dd-a72b-6918462a2cbf</v></cell></row><row r="6342"><cell r="K6342" t="str"><v>August</v></cell><cell r="L6342"><v>43330</v></cell><cell r="M6342" t="str"><v>Tier 1</v></cell><cell r="N6342" t="str"><v>EMEA</v></cell><cell r="O6342" t="str"><v>Germany</v></cell><cell r="P6342" t="str"><v>Trial</v></cell><cell r="Q6342" t="str"><v>Social</v></cell><cell r="R6342" t="str"><v>Azure</v></cell><cell r="S6342" t="str"><v>Apps & Infra</v></cell><cell r="T6342" t="str"><v>Developers & ITI's</v></cell><cell r="U6342" t="str"><v>DEV-ITP-AZR-FB|CanvasAds|Interesttargeting</v></cell><cell r="V6342" t="str"><v>Audience Targeting</v></cell><cell r="W6342" t="str"><v>Canvas Ad</v></cell><cell r="X6342" t="str"><v>1x1</v></cell></row><row r="6342"><cell r="AA6342"><v>43327</v></cell><cell r="AB6342" t="str"><v>DEU_gaPMG_AZR_AZR_Q1_19_Trial-Social- 39684</v></cell><cell r="AC6342"><v>21359477</v></cell><cell r="AD6342"><v>720194</v></cell><cell r="AE6342" t="str"><v>Facebook</v></cell><cell r="AF6342"><v>3654128</v></cell><cell r="AG6342" t="str"><v>Facebook»DEV-ITP-AZR-FB|CanvasAds|Interesttargeting»1x1»TextLink»CAN»DT»CPM»AUT»W»NA»SS»NA»39684020-11000</v></cell><cell r="AH6342"><v>224009494</v></cell><cell r="AI6342" t="str"><v>AzurePlatform_FBCTCBrandinMotion-StartFreeCT_DEU_12s_ISV_PLAT_DE_Trial_Standard_STAN_TN_T2_1</v></cell><cell r="AJ6342"><v>103237293</v></cell></row><row r="6343"><cell r="C6343" t="str"><v>43327Facebook»DEV-ITP-AZR-FB|LinkAd|CustomerAudienceRetargeting»1x1»TextLink»LIA»DT»CPM»RT»W»NA»SS»NA»39684019-11000</v></cell><cell r="D6343" t="str"><v>43327224010415</v></cell><cell r="E6343" t="str"><v>43327103048548-11000</v></cell><cell r="F6343" t="str"><v>DCM</v></cell><cell r="G6343" t="str"><v>https://azure.microsoft.com/de-de/free/search/</v></cell></row><row r="6343"><cell r="K6343" t="str"><v>August</v></cell><cell r="L6343"><v>43330</v></cell><cell r="M6343" t="str"><v>Tier 1</v></cell><cell r="N6343" t="str"><v>EMEA</v></cell><cell r="O6343" t="str"><v>Germany</v></cell><cell r="P6343" t="str"><v>Trial</v></cell><cell r="Q6343" t="str"><v>Social</v></cell><cell r="R6343" t="str"><v>Azure</v></cell><cell r="S6343" t="str"><v>Apps & Infra</v></cell><cell r="T6343" t="str"><v>Developers & ITI's</v></cell><cell r="U6343" t="str"><v>DEV-ITP-AZR-FB|LinkAd|CustomerAudienceRetargeting</v></cell><cell r="V6343" t="str"><v>Retargeting</v></cell><cell r="W6343" t="str"><v>Link Ad</v></cell><cell r="X6343" t="str"><v>1x1</v></cell></row><row r="6343"><cell r="AA6343"><v>43327</v></cell><cell r="AB6343" t="str"><v>DEU_gaPMG_AZR_AZR_Q1_19_Trial-Social- 39684</v></cell><cell r="AC6343"><v>21359477</v></cell><cell r="AD6343"><v>720194</v></cell><cell r="AE6343" t="str"><v>Facebook</v></cell><cell r="AF6343"><v>3654128</v></cell><cell r="AG6343" t="str"><v>Facebook»DEV-ITP-AZR-FB|LinkAd|CustomerAudienceRetargeting»1x1»TextLink»LIA»DT»CPM»RT»W»NA»SS»NA»39684019-11000</v></cell><cell r="AH6343"><v>224010415</v></cell><cell r="AI6343" t="str"><v>AzurePlatform_FreeAcctRetargetingFB-Animated-ChC_DEU_1200x628_SOC_Plat_DE_Free Account_Standard_ANI_SNU_T3_1</v></cell><cell r="AJ6343"><v>103048548</v></cell></row><row r="6344"><cell r="C6344" t="str"><v>43327Facebook»DEV-ITP-AZR-FB|LinkAd|CustomerAudienceRetargeting»1x1»TextLink»LIA»DT»CPM»RT»W»NA»SS»NA»39684019-11000</v></cell><cell r="D6344" t="str"><v>43327224010415</v></cell><cell r="E6344" t="str"><v>43327103040320-11000</v></cell><cell r="F6344" t="str"><v>DCM</v></cell><cell r="G6344" t="str"><v>https://azure.microsoft.com/de-de/free/search/</v></cell></row><row r="6344"><cell r="K6344" t="str"><v>August</v></cell><cell r="L6344"><v>43330</v></cell><cell r="M6344" t="str"><v>Tier 1</v></cell><cell r="N6344" t="str"><v>EMEA</v></cell><cell r="O6344" t="str"><v>Germany</v></cell><cell r="P6344" t="str"><v>Trial</v></cell><cell r="Q6344" t="str"><v>Social</v></cell><cell r="R6344" t="str"><v>Azure</v></cell><cell r="S6344" t="str"><v>Apps & Infra</v></cell><cell r="T6344" t="str"><v>Developers & ITI's</v></cell><cell r="U6344" t="str"><v>DEV-ITP-AZR-FB|LinkAd|CustomerAudienceRetargeting</v></cell><cell r="V6344" t="str"><v>Retargeting</v></cell><cell r="W6344" t="str"><v>Link Ad</v></cell><cell r="X6344" t="str"><v>1x1</v></cell></row><row r="6344"><cell r="AA6344"><v>43327</v></cell><cell r="AB6344" t="str"><v>DEU_gaPMG_AZR_AZR_Q1_19_Trial-Social- 39684</v></cell><cell r="AC6344"><v>21359477</v></cell><cell r="AD6344"><v>720194</v></cell><cell r="AE6344" t="str"><v>Facebook</v></cell><cell r="AF6344"><v>3654128</v></cell><cell r="AG6344" t="str"><v>Facebook»DEV-ITP-AZR-FB|LinkAd|CustomerAudienceRetargeting»1x1»TextLink»LIA»DT»CPM»RT»W»NA»SS»NA»39684019-11000</v></cell><cell r="AH6344"><v>224010415</v></cell><cell r="AI6344" t="str"><v>AzurePlatform_FreeAcctRetargetingFB-GlobalAlt-ChB_DEU_1200x628_SOC_Plat_DE_Free Account_Standard_NA_SNU_T2_1</v></cell><cell r="AJ6344"><v>103040320</v></cell></row><row r="6345"><cell r="C6345" t="str"><v>43327Facebook»DEV-ITP-AZR-FB|LinkAd|CustomerAudienceRetargeting»1x1»TextLink»LIA»DT»CPM»RT»W»NA»SS»NA»39684019-11000</v></cell><cell r="D6345" t="str"><v>43327224010415</v></cell><cell r="E6345" t="str"><v>43327103043329-11000</v></cell><cell r="F6345" t="str"><v>DCM</v></cell><cell r="G6345" t="str"><v>https://azure.microsoft.com/de-de/free/open-source/search/</v></cell></row><row r="6345"><cell r="K6345" t="str"><v>August</v></cell><cell r="L6345"><v>43330</v></cell><cell r="M6345" t="str"><v>Tier 1</v></cell><cell r="N6345" t="str"><v>EMEA</v></cell><cell r="O6345" t="str"><v>Germany</v></cell><cell r="P6345" t="str"><v>Trial</v></cell><cell r="Q6345" t="str"><v>Social</v></cell><cell r="R6345" t="str"><v>Azure</v></cell><cell r="S6345" t="str"><v>Apps & Infra</v></cell><cell r="T6345" t="str"><v>Developers & ITI's</v></cell><cell r="U6345" t="str"><v>DEV-ITP-AZR-FB|LinkAd|CustomerAudienceRetargeting</v></cell><cell r="V6345" t="str"><v>Retargeting</v></cell><cell r="W6345" t="str"><v>Link Ad</v></cell><cell r="X6345" t="str"><v>1x1</v></cell></row><row r="6345"><cell r="AA6345"><v>43327</v></cell><cell r="AB6345" t="str"><v>DEU_gaPMG_AZR_AZR_Q1_19_Trial-Social- 39684</v></cell><cell r="AC6345"><v>21359477</v></cell><cell r="AD6345"><v>720194</v></cell><cell r="AE6345" t="str"><v>Facebook</v></cell><cell r="AF6345"><v>3654128</v></cell><cell r="AG6345" t="str"><v>Facebook»DEV-ITP-AZR-FB|LinkAd|CustomerAudienceRetargeting»1x1»TextLink»LIA»DT»CPM»RT»W»NA»SS»NA»39684019-11000</v></cell><cell r="AH6345"><v>224010415</v></cell><cell r="AI6345" t="str"><v>AzurePlatform_FreeAcctRetargetingOSSFB-Logos-ChG_DEU_1200x628_SOC_Plat_DE_Free Account_Standard_NA_SNU_T2_1</v></cell><cell r="AJ6345"><v>103043329</v></cell></row><row r="6346"><cell r="C6346" t="str"><v>43327Facebook»DEV-ITP-AZR-FB|LinkAd|CustomerAudienceRetargeting»1x1»TextLink»LIA»DT»CPM»RT»W»NA»SS»NA»39684019-11000</v></cell><cell r="D6346" t="str"><v>43327224010415</v></cell><cell r="E6346" t="str"><v>43327103043338-11000</v></cell><cell r="F6346" t="str"><v>DCM</v></cell><cell r="G6346" t="str"><v>https://azure.microsoft.com/de-de/free/virtual-machines/search/</v></cell></row><row r="6346"><cell r="K6346" t="str"><v>August</v></cell><cell r="L6346"><v>43330</v></cell><cell r="M6346" t="str"><v>Tier 1</v></cell><cell r="N6346" t="str"><v>EMEA</v></cell><cell r="O6346" t="str"><v>Germany</v></cell><cell r="P6346" t="str"><v>Trial</v></cell><cell r="Q6346" t="str"><v>Social</v></cell><cell r="R6346" t="str"><v>Azure</v></cell><cell r="S6346" t="str"><v>Apps & Infra</v></cell><cell r="T6346" t="str"><v>Developers & ITI's</v></cell><cell r="U6346" t="str"><v>DEV-ITP-AZR-FB|LinkAd|CustomerAudienceRetargeting</v></cell><cell r="V6346" t="str"><v>Retargeting</v></cell><cell r="W6346" t="str"><v>Link Ad</v></cell><cell r="X6346" t="str"><v>1x1</v></cell></row><row r="6346"><cell r="AA6346"><v>43327</v></cell><cell r="AB6346" t="str"><v>DEU_gaPMG_AZR_AZR_Q1_19_Trial-Social- 39684</v></cell><cell r="AC6346"><v>21359477</v></cell><cell r="AD6346"><v>720194</v></cell><cell r="AE6346" t="str"><v>Facebook</v></cell><cell r="AF6346"><v>3654128</v></cell><cell r="AG6346" t="str"><v>Facebook»DEV-ITP-AZR-FB|LinkAd|CustomerAudienceRetargeting»1x1»TextLink»LIA»DT»CPM»RT»W»NA»SS»NA»39684019-11000</v></cell><cell r="AH6346"><v>224010415</v></cell><cell r="AI6346" t="str"><v>AzurePlatform_FreeAcctRetargetingVMFB-OnDemand-ChE_DEU_1200x628_SOC_Plat_DE_Free Account_Standard_NA_SNU_T2_1</v></cell><cell r="AJ6346"><v>103043338</v></cell></row><row r="6347"><cell r="C6347" t="str"><v>43327Facebook»Developers-Azure Direct-Sponsored Post_Trial_PayGo-Video Ad-Free Account Developer - Generic»1x1»30s»SOC»ALL»CPC»LAL»D»UNK»SS»NA»Trials</v></cell><cell r="D6347" t="str"><v>43327226359953</v></cell><cell r="E6347" t="str"><v>43327104537129Trials</v></cell><cell r="F6347" t="str"><v>DCM</v></cell><cell r="G6347" t="str"><v>https://signup.azure.com/signup?offer=ms-azr-0044p&appId=102&ref=paidmedia-social-fb&redirectURL=https%3a%2f%2fazure.microsoft.com%2ffr-fr%2fget-started%2fwelcome-to-azure%2f&l=fr-fr&correlationId=ead86c34-1f10-49dd-a72b-6918462a2cbf</v></cell></row><row r="6347"><cell r="K6347" t="str"><v>August</v></cell><cell r="L6347"><v>43330</v></cell><cell r="M6347" t="str"><v>Tier 1</v></cell><cell r="N6347" t="str"><v>EMEA</v></cell><cell r="O6347" t="str"><v>France</v></cell><cell r="P6347" t="str"><v>Trial</v></cell><cell r="Q6347" t="str"><v>Social</v></cell><cell r="R6347" t="str"><v>Azure</v></cell><cell r="S6347" t="str"><v>Apps & Infra</v></cell><cell r="T6347" t="str"><v>Developers & ITI's</v></cell><cell r="U6347" t="str"><v>Developers-Azure Direct-Sponsored Post_Trial_PayGo-Video Ad-Free Account Developer - Generic</v></cell><cell r="V6347" t="str"><v>Lookalike Targeting</v></cell><cell r="W6347" t="str"><v>Social</v></cell><cell r="X6347" t="str"><v>1x1</v></cell></row><row r="6347"><cell r="AA6347"><v>43327</v></cell><cell r="AB6347" t="str"><v>FRA_gaPMG_AZR_AZR_Q1_19_AzureDirect-Trial-Social</v></cell><cell r="AC6347"><v>21356941</v></cell><cell r="AD6347"><v>720193</v></cell><cell r="AE6347" t="str"><v>Facebook</v></cell><cell r="AF6347"><v>3654128</v></cell><cell r="AG6347" t="str"><v>Facebook»Developers-Azure Direct-Sponsored Post_Trial_PayGo-Video Ad-Free Account Developer - Generic»1x1»30s»SOC»ALL»CPC»LAL»D»UNK»SS»NA»Trials</v></cell><cell r="AH6347"><v>226359953</v></cell><cell r="AI6347" t="str"><v>AZR_FreeAcctDeveloperFB-AnimatedGeneric-Ch1_FRA_1200x1200_VIA_AZRDirect_French_NA_Facebook_STAN_LEA_T1_1</v></cell><cell r="AJ6347"><v>104537129</v></cell></row><row r="6348"><cell r="C6348" t="str"><v>43327Facebook»Developers/ITPros-Azure Direct-Sponsored Post-Canvas-FBCTCcanvaspage-BuyNowCTA-Img3_FBCTCBasicMotion_FRA_10sec»1x1»Canvas»SOC»ALL»CPC»BT»D»UNK»SS»NA»Trials</v></cell><cell r="D6348" t="str"><v>43327224369893</v></cell><cell r="E6348" t="str"><v>43327103256571Trials</v></cell><cell r="F6348" t="str"><v>DCM</v></cell><cell r="G6348" t="str"><v>https://azure.microsoft.com/fr-fr/pricing/purchase-options/</v></cell></row><row r="6348"><cell r="K6348" t="str"><v>August</v></cell><cell r="L6348"><v>43330</v></cell><cell r="M6348" t="str"><v>Tier 1</v></cell><cell r="N6348" t="str"><v>EMEA</v></cell><cell r="O6348" t="str"><v>France</v></cell><cell r="P6348" t="str"><v>Trial</v></cell><cell r="Q6348" t="str"><v>Social</v></cell><cell r="R6348" t="str"><v>Azure</v></cell><cell r="S6348" t="str"><v>Apps & Infra</v></cell><cell r="T6348" t="str"><v>Developers & ITI's</v></cell><cell r="U6348" t="str"><v>Developers/ITPros-Azure Direct-Sponsored Post-Canvas-FBCTCcanvaspage-BuyNowCTA-Img3_FBCTCBasicMotion_FRA_10sec</v></cell><cell r="V6348" t="str"><v>Behavioral Targeting</v></cell><cell r="W6348" t="str"><v>Social</v></cell><cell r="X6348" t="str"><v>1x1</v></cell></row><row r="6348"><cell r="AA6348"><v>43327</v></cell><cell r="AB6348" t="str"><v>FRA_gaPMG_AZR_AZR_Q1_19_AzureDirect-Trial-Social</v></cell><cell r="AC6348"><v>21356941</v></cell><cell r="AD6348"><v>720193</v></cell><cell r="AE6348" t="str"><v>Facebook</v></cell><cell r="AF6348"><v>3654128</v></cell><cell r="AG6348" t="str"><v>Facebook»Developers/ITPros-Azure Direct-Sponsored Post-Canvas-FBCTCcanvaspage-BuyNowCTA-Img3_FBCTCBasicMotion_FRA_10sec»1x1»Canvas»SOC»ALL»CPC»BT»D»UNK»SS»NA»Trials</v></cell><cell r="AH6348"><v>224369893</v></cell><cell r="AI6348" t="str"><v>AZR_FBCTCcanvaspage-BuyNowCTA-Img3_FRA_1080x162_SOC_AZRDirect_French_NA_Facebook_SBAN_BN_T3_1</v></cell><cell r="AJ6348"><v>103256571</v></cell></row><row r="6349"><cell r="C6349" t="str"><v>43327Facebook»Developers/ITPros-Azure Direct-Sponsored Post-Canvas-FBCTCcanvaspage-StartFreeCTA-Img2_FBCTCBasicMotion_FRA_10sec»1x1»Canvas»SOC»ALL»CPC»BT»D»UNK»SS»NA»Trials</v></cell><cell r="D6349" t="str"><v>43327224560884</v></cell><cell r="E6349" t="str"><v>43327103259958Trials</v></cell><cell r="F6349" t="str"><v>DCM</v></cell><cell r="G6349" t="str"><v>https://signup.azure.com/signup?offer=ms-azr-0044p&appId=102&ref=paidmedia-social-fb&redirectURL=https%3a%2f%2fazure.microsoft.com%2ffr-fr%2fget-started%2fwelcome-to-azure%2f&l=fr-fr&correlationId=ead86c34-1f10-49dd-a72b-6918462a2cbf</v></cell></row><row r="6349"><cell r="K6349" t="str"><v>August</v></cell><cell r="L6349"><v>43330</v></cell><cell r="M6349" t="str"><v>Tier 1</v></cell><cell r="N6349" t="str"><v>EMEA</v></cell><cell r="O6349" t="str"><v>France</v></cell><cell r="P6349" t="str"><v>Trial</v></cell><cell r="Q6349" t="str"><v>Social</v></cell><cell r="R6349" t="str"><v>Azure</v></cell><cell r="S6349" t="str"><v>Apps & Infra</v></cell><cell r="T6349" t="str"><v>Developers & ITI's</v></cell><cell r="U6349" t="str"><v>Developers/ITPros-Azure Direct-Sponsored Post-Canvas-FBCTCcanvaspage-StartFreeCTA-Img2_FBCTCBasicMotion_FRA_10sec</v></cell><cell r="V6349" t="str"><v>Behavioral Targeting</v></cell><cell r="W6349" t="str"><v>Social</v></cell><cell r="X6349" t="str"><v>1x1</v></cell></row><row r="6349"><cell r="AA6349"><v>43327</v></cell><cell r="AB6349" t="str"><v>FRA_gaPMG_AZR_AZR_Q1_19_AzureDirect-Trial-Social</v></cell><cell r="AC6349"><v>21356941</v></cell><cell r="AD6349"><v>720193</v></cell><cell r="AE6349" t="str"><v>Facebook</v></cell><cell r="AF6349"><v>3654128</v></cell><cell r="AG6349" t="str"><v>Facebook»Developers/ITPros-Azure Direct-Sponsored Post-Canvas-FBCTCcanvaspage-StartFreeCTA-Img2_FBCTCBasicMotion_FRA_10sec»1x1»Canvas»SOC»ALL»CPC»BT»D»UNK»SS»NA»Trials</v></cell><cell r="AH6349"><v>224560884</v></cell><cell r="AI6349" t="str"><v>AZR_FBCTCcanvaspage-StartFreeCTA-Img2_FRA_1080x143_SOC_AZRDirect_French_NA_Facebook_SBAN_BN_T2_1</v></cell><cell r="AJ6349"><v>103259958</v></cell></row><row r="6350"><cell r="C6350" t="str"><v>43327Facebook»Developers/ITPros-Azure Direct-Sponsored Post-Link Ad-FreeAcctRetargetingFB-GlobalAlt-ChB»1x1»SocialBan»SOC»ALL»CPC»BT»D»UNK»SS»NA»Trials</v></cell><cell r="D6350" t="str"><v>43327224560845</v></cell><cell r="E6350" t="str"><v>43327103259520Trials</v></cell><cell r="F6350" t="str"><v>DCM</v></cell><cell r="G6350" t="str"><v>https://azure.microsoft.com/fr-fr/free/search/</v></cell></row><row r="6350"><cell r="K6350" t="str"><v>August</v></cell><cell r="L6350"><v>43330</v></cell><cell r="M6350" t="str"><v>Tier 1</v></cell><cell r="N6350" t="str"><v>EMEA</v></cell><cell r="O6350" t="str"><v>France</v></cell><cell r="P6350" t="str"><v>Trial</v></cell><cell r="Q6350" t="str"><v>Social</v></cell><cell r="R6350" t="str"><v>Azure</v></cell><cell r="S6350" t="str"><v>Apps & Infra</v></cell><cell r="T6350" t="str"><v>Developers & ITI's</v></cell><cell r="U6350" t="str"><v>Developers/ITPros-Azure Direct-Sponsored Post-Link Ad-FreeAcctRetargetingFB-GlobalAlt-ChB</v></cell><cell r="V6350" t="str"><v>Behavioral Targeting</v></cell><cell r="W6350" t="str"><v>Social</v></cell><cell r="X6350" t="str"><v>1x1</v></cell></row><row r="6350"><cell r="AA6350"><v>43327</v></cell><cell r="AB6350" t="str"><v>FRA_gaPMG_AZR_AZR_Q1_19_AzureDirect-Trial-Social</v></cell><cell r="AC6350"><v>21356941</v></cell><cell r="AD6350"><v>720193</v></cell><cell r="AE6350" t="str"><v>Facebook</v></cell><cell r="AF6350"><v>3654128</v></cell><cell r="AG6350" t="str"><v>Facebook»Developers/ITPros-Azure Direct-Sponsored Post-Link Ad-FreeAcctRetargetingFB-GlobalAlt-ChB»1x1»SocialBan»SOC»ALL»CPC»BT»D»UNK»SS»NA»Trials</v></cell><cell r="AH6350"><v>224560845</v></cell><cell r="AI6350" t="str"><v>AZR_FreeAcctRetargetingFB-GlobalAlt-ChB_FRA_1200x628_SOC_AZRDirect_French_NA_Facebook_SBAN_SINU_T2_1</v></cell><cell r="AJ6350"><v>103259520</v></cell></row><row r="6351"><cell r="C6351" t="str"><v>43327Facebook»Developers/ITPros-Azure Direct-Sponsored Post-Video Ad-FBCTCBasicMotion_FRA_10s_RTG Landing Page»1x1»05s»SOC»ALL»CPC»BT»D»UNK»SS»NA»Trials</v></cell><cell r="D6351" t="str"><v>43327224416915</v></cell><cell r="E6351" t="str"><v>43327103376981Trials</v></cell><cell r="F6351" t="str"><v>DCM</v></cell></row><row r="6351"><cell r="K6351" t="str"><v>August</v></cell><cell r="L6351"><v>43330</v></cell><cell r="M6351" t="str"><v>Tier 1</v></cell><cell r="N6351" t="str"><v>EMEA</v></cell><cell r="O6351" t="str"><v>France</v></cell><cell r="P6351" t="str"><v>Trial</v></cell><cell r="Q6351" t="str"><v>Social</v></cell><cell r="R6351" t="str"><v>Azure</v></cell><cell r="S6351" t="str"><v>Apps & Infra</v></cell><cell r="T6351" t="str"><v>Developers & ITI's</v></cell><cell r="U6351" t="str"><v>Developers/ITPros-Azure Direct-Sponsored Post-Video Ad-FBCTCBasicMotion_FRA_10s_RTG Landing Page</v></cell><cell r="V6351" t="str"><v>Behavioral Targeting</v></cell><cell r="W6351" t="str"><v>Social</v></cell><cell r="X6351" t="str"><v>1x1</v></cell></row><row r="6351"><cell r="AA6351"><v>43327</v></cell><cell r="AB6351" t="str"><v>FRA_gaPMG_AZR_AZR_Q1_19_AzureDirect-Trial-Social</v></cell><cell r="AC6351"><v>21356941</v></cell><cell r="AD6351"><v>720193</v></cell><cell r="AE6351" t="str"><v>Facebook</v></cell><cell r="AF6351"><v>3654128</v></cell><cell r="AG6351" t="str"><v>Facebook»Developers/ITPros-Azure Direct-Sponsored Post-Video Ad-FBCTCBasicMotion_FRA_10s_RTG Landing Page»1x1»05s»SOC»ALL»CPC»BT»D»UNK»SS»NA»Trials</v></cell><cell r="AH6351"><v>224416915</v></cell><cell r="AI6351" t="str"><v>AZR_FBCTCBasicMotion_FRA_10s_VIA_AZRDirect_French_NA_Facebook_STAN_TIN_T1_1</v></cell><cell r="AJ6351"><v>103376981</v></cell></row><row r="6352"><cell r="C6352" t="str"><v>43327Facebook»Developers/ITPros-Azure Direct-Sponsored Post-Video Ad-FBCTCBenefit2inMotion_FRA_14s_RTG Landing Page»1x1»06s»SOC»ALL»CPC»BT»D»UNK»SS»NA»Trials</v></cell><cell r="D6352" t="str"><v>43327224560875</v></cell><cell r="E6352" t="str"><v>43327103259766Trials</v></cell><cell r="F6352" t="str"><v>DCM</v></cell><cell r="G6352" t="str"><v>https://signup.azure.com/signup?offer=ms-azr-0044p&appId=102&ref=paidmedia-social-fb&redirectURL=https:%2F%2Fazure.microsoft.com%2Ffr-fr%2Fget-started%2Fwelcome-to-azure%2F&l=fr-fr&correlationId=ead86c34-1f10-49dd-a72b-6918462a2cbf</v></cell></row><row r="6352"><cell r="K6352" t="str"><v>August</v></cell><cell r="L6352"><v>43330</v></cell><cell r="M6352" t="str"><v>Tier 1</v></cell><cell r="N6352" t="str"><v>EMEA</v></cell><cell r="O6352" t="str"><v>France</v></cell><cell r="P6352" t="str"><v>Trial</v></cell><cell r="Q6352" t="str"><v>Social</v></cell><cell r="R6352" t="str"><v>Azure</v></cell><cell r="S6352" t="str"><v>Apps & Infra</v></cell><cell r="T6352" t="str"><v>Developers & ITI's</v></cell><cell r="U6352" t="str"><v>Developers/ITPros-Azure Direct-Sponsored Post-Video Ad-FBCTCBenefit2inMotion_FRA_14s_RTG Landing Page</v></cell><cell r="V6352" t="str"><v>Behavioral Targeting</v></cell><cell r="W6352" t="str"><v>Social</v></cell><cell r="X6352" t="str"><v>1x1</v></cell></row><row r="6352"><cell r="AA6352"><v>43327</v></cell><cell r="AB6352" t="str"><v>FRA_gaPMG_AZR_AZR_Q1_19_AzureDirect-Trial-Social</v></cell><cell r="AC6352"><v>21356941</v></cell><cell r="AD6352"><v>720193</v></cell><cell r="AE6352" t="str"><v>Facebook</v></cell><cell r="AF6352"><v>3654128</v></cell><cell r="AG6352" t="str"><v>Facebook»Developers/ITPros-Azure Direct-Sponsored Post-Video Ad-FBCTCBenefit2inMotion_FRA_14s_RTG Landing Page»1x1»06s»SOC»ALL»CPC»BT»D»UNK»SS»NA»Trials</v></cell><cell r="AH6352"><v>224560875</v></cell><cell r="AI6352" t="str"><v>AZR_FBCTCBenefit2inMotion_FRA_14s_VIA_AZRDirect_French_NA_Facebook_STAN_TIN_T4_1</v></cell><cell r="AJ6352"><v>103259766</v></cell></row><row r="6353"><cell r="C6353" t="str"><v>43327Facebook»Developers/ITPros-Azure Direct-Sponsored Post-Video Ad-FBCTCBrandinMotion_FRA_12s_RTG Landing Page»1x1»05s»SOC»ALL»CPC»BT»D»UNK»SS»NA»Trials</v></cell><cell r="D6353" t="str"><v>43327224560863</v></cell><cell r="E6353" t="str"><v>43327103256577Trials</v></cell><cell r="F6353" t="str"><v>DCM</v></cell></row><row r="6353"><cell r="K6353" t="str"><v>August</v></cell><cell r="L6353"><v>43330</v></cell><cell r="M6353" t="str"><v>Tier 1</v></cell><cell r="N6353" t="str"><v>EMEA</v></cell><cell r="O6353" t="str"><v>France</v></cell><cell r="P6353" t="str"><v>Trial</v></cell><cell r="Q6353" t="str"><v>Social</v></cell><cell r="R6353" t="str"><v>Azure</v></cell><cell r="S6353" t="str"><v>Apps & Infra</v></cell><cell r="T6353" t="str"><v>Developers & ITI's</v></cell><cell r="U6353" t="str"><v>Developers/ITPros-Azure Direct-Sponsored Post-Video Ad-FBCTCBrandinMotion_FRA_12s_RTG Landing Page</v></cell><cell r="V6353" t="str"><v>Behavioral Targeting</v></cell><cell r="W6353" t="str"><v>Social</v></cell><cell r="X6353" t="str"><v>1x1</v></cell></row><row r="6353"><cell r="AA6353"><v>43327</v></cell><cell r="AB6353" t="str"><v>FRA_gaPMG_AZR_AZR_Q1_19_AzureDirect-Trial-Social</v></cell><cell r="AC6353"><v>21356941</v></cell><cell r="AD6353"><v>720193</v></cell><cell r="AE6353" t="str"><v>Facebook</v></cell><cell r="AF6353"><v>3654128</v></cell><cell r="AG6353" t="str"><v>Facebook»Developers/ITPros-Azure Direct-Sponsored Post-Video Ad-FBCTCBrandinMotion_FRA_12s_RTG Landing Page»1x1»05s»SOC»ALL»CPC»BT»D»UNK»SS»NA»Trials</v></cell><cell r="AH6353"><v>224560863</v></cell><cell r="AI6353" t="str"><v>AZR_FBCTCBrandinMotion_FRA_12s_VIA_AZRDirect_French_NA_Facebook_STAN_TIN_T2_1</v></cell><cell r="AJ6353"><v>103256577</v></cell></row><row r="6354"><cell r="C6354" t="str"><v>43327Facebook»ITPros-Azure Direct-Sponsored Post-Video Ad-Free Account IT Pro - Migration»1x1»30s»SOC»ALL»CPC»AUT»D»UNK»SS»NA»Trials</v></cell><cell r="D6354" t="str"><v>43327226360010</v></cell><cell r="E6354" t="str"><v>43327104458003Trials</v></cell><cell r="F6354" t="str"><v>DCM</v></cell><cell r="G6354" t="str"><v>https://signup.azure.com/signup?offer=ms-azr-0044p&appId=102&ref=paidmedia-social-fb&redirectURL=https%3a%2f%2fazure.microsoft.com%2ffr-fr%2fget-started%2fwelcome-to-azure%2f&l=fr-fr&correlationId=ead86c34-1f10-49dd-a72b-6918462a2cbf</v></cell></row><row r="6354"><cell r="K6354" t="str"><v>August</v></cell><cell r="L6354"><v>43330</v></cell><cell r="M6354" t="str"><v>Tier 1</v></cell><cell r="N6354" t="str"><v>EMEA</v></cell><cell r="O6354" t="str"><v>France</v></cell><cell r="P6354" t="str"><v>Trial</v></cell><cell r="Q6354" t="str"><v>Social</v></cell><cell r="R6354" t="str"><v>Azure</v></cell><cell r="S6354" t="str"><v>Apps & Infra</v></cell><cell r="T6354" t="str"><v>Developers & ITI's</v></cell><cell r="U6354" t="str"><v>ITPros-Azure Direct-Sponsored Post-Video Ad-Free Account IT Pro - Migration</v></cell><cell r="V6354" t="str"><v>Audience Targeting</v></cell><cell r="W6354" t="str"><v>Social</v></cell><cell r="X6354" t="str"><v>1x1</v></cell></row><row r="6354"><cell r="AA6354"><v>43327</v></cell><cell r="AB6354" t="str"><v>FRA_gaPMG_AZR_AZR_Q1_19_AzureDirect-Trial-Social</v></cell><cell r="AC6354"><v>21356941</v></cell><cell r="AD6354"><v>720193</v></cell><cell r="AE6354" t="str"><v>Facebook</v></cell><cell r="AF6354"><v>3654128</v></cell><cell r="AG6354" t="str"><v>Facebook»ITPros-Azure Direct-Sponsored Post-Video Ad-Free Account IT Pro - Migration»1x1»30s»SOC»ALL»CPC»AUT»D»UNK»SS»NA»Trials</v></cell><cell r="AH6354"><v>226360010</v></cell><cell r="AI6354" t="str"><v>AZR_FreeAcctITProFB-AnimatedMigration-Ch3_FRA_1200x1200_VIA_AZRDirect_French_NA_Facebook_STAN_LEA_T3_1</v></cell><cell r="AJ6354"><v>104458003</v></cell></row><row r="6355"><cell r="C6355" t="str"><v>43327Facebook»ITPros-Azure Direct-Sponsored Post_Trial_PayGo-Video Ad-Free Account IT Pro - Hybrid»1x1»30s»SOC»ALL»CPC»LAL»D»UNK»SS»NA»Trials</v></cell><cell r="D6355" t="str"><v>43327226359938</v></cell><cell r="E6355" t="str"><v>43327104456278Trials</v></cell><cell r="F6355" t="str"><v>DCM</v></cell><cell r="G6355" t="str"><v>https://signup.azure.com/signup?offer=ms-azr-0044p&appId=102&ref=paidmedia-social-fb&redirectURL=https%3a%2f%2fazure.microsoft.com%2ffr-fr%2fget-started%2fwelcome-to-azure%2f&l=fr-fr&correlationId=ead86c34-1f10-49dd-a72b-6918462a2cbf</v></cell></row><row r="6355"><cell r="K6355" t="str"><v>August</v></cell><cell r="L6355"><v>43330</v></cell><cell r="M6355" t="str"><v>Tier 1</v></cell><cell r="N6355" t="str"><v>EMEA</v></cell><cell r="O6355" t="str"><v>France</v></cell><cell r="P6355" t="str"><v>Trial</v></cell><cell r="Q6355" t="str"><v>Social</v></cell><cell r="R6355" t="str"><v>Azure</v></cell><cell r="S6355" t="str"><v>Apps & Infra</v></cell><cell r="T6355" t="str"><v>Developers & ITI's</v></cell><cell r="U6355" t="str"><v>ITPros-Azure Direct-Sponsored Post_Trial_PayGo-Video Ad-Free Account IT Pro - Hybrid</v></cell><cell r="V6355" t="str"><v>Lookalike Targeting</v></cell><cell r="W6355" t="str"><v>Social</v></cell><cell r="X6355" t="str"><v>1x1</v></cell></row><row r="6355"><cell r="AA6355"><v>43327</v></cell><cell r="AB6355" t="str"><v>FRA_gaPMG_AZR_AZR_Q1_19_AzureDirect-Trial-Social</v></cell><cell r="AC6355"><v>21356941</v></cell><cell r="AD6355"><v>720193</v></cell><cell r="AE6355" t="str"><v>Facebook</v></cell><cell r="AF6355"><v>3654128</v></cell><cell r="AG6355" t="str"><v>Facebook»ITPros-Azure Direct-Sponsored Post_Trial_PayGo-Video Ad-Free Account IT Pro - Hybrid»1x1»30s»SOC»ALL»CPC»LAL»D»UNK»SS»NA»Trials</v></cell><cell r="AH6355"><v>226359938</v></cell><cell r="AI6355" t="str"><v>AZR_FreeAcctITProFB-AnimatedHybrid-Ch2_FRA_1200x1200_VIA_AZRDirect_French_NA_Facebook_STAN_LEA_T2_1</v></cell><cell r="AJ6355"><v>104456278</v></cell></row><row r="6356"><cell r="C6356" t="str"><v>43327Facebook»Developers-Azure Direct-Sponsored Post-Video Ad-Free Account Developer - AI»1x1»30s»SOC»ALL»CPC»BT»D»UNK»SS»NA»Trials</v></cell><cell r="D6356" t="str"><v>43327226360034</v></cell><cell r="E6356" t="str"><v>43327104537813Trials</v></cell><cell r="F6356" t="str"><v>DCM</v></cell><cell r="G6356" t="str"><v>https://signup.azure.com/signup?offer=ms-azr-0044p&appId=102&ref=paidmedia-social-fb&redirectURL=https%3a%2f%2fazure.microsoft.com%2ffr-fr%2fget-started%2fwelcome-to-azure%2f&l=fr-fr&correlationId=ead86c34-1f10-49dd-a72b-6918462a2cbf</v></cell></row><row r="6356"><cell r="K6356" t="str"><v>August</v></cell><cell r="L6356"><v>43330</v></cell><cell r="M6356" t="str"><v>Tier 1</v></cell><cell r="N6356" t="str"><v>EMEA</v></cell><cell r="O6356" t="str"><v>France</v></cell><cell r="P6356" t="str"><v>Trial</v></cell><cell r="Q6356" t="str"><v>Social</v></cell><cell r="R6356" t="str"><v>Azure</v></cell><cell r="S6356" t="str"><v>Apps & Infra</v></cell><cell r="T6356" t="str"><v>Developers & ITI's</v></cell><cell r="U6356" t="str"><v>Developers-Azure Direct-Sponsored Post-Video Ad-Free Account Developer - AI</v></cell><cell r="V6356" t="str"><v>Behavioral Targeting</v></cell><cell r="W6356" t="str"><v>Social</v></cell><cell r="X6356" t="str"><v>1x1</v></cell></row><row r="6356"><cell r="AA6356"><v>43327</v></cell><cell r="AB6356" t="str"><v>FRA_gaPMG_AZR_AZR_Q1_19_AzureDirect-Trial-Social</v></cell><cell r="AC6356"><v>21356941</v></cell><cell r="AD6356"><v>720193</v></cell><cell r="AE6356" t="str"><v>Facebook</v></cell><cell r="AF6356"><v>3654128</v></cell><cell r="AG6356" t="str"><v>Facebook»Developers-Azure Direct-Sponsored Post-Video Ad-Free Account Developer - AI»1x1»30s»SOC»ALL»CPC»BT»D»UNK»SS»NA»Trials</v></cell><cell r="AH6356"><v>226360034</v></cell><cell r="AI6356" t="str"><v>AZR_FreeAcctDeveloperFB-AnimatedAI-Ch3_FRA_1200x1200_VIA_AZRDirect_French_NA_Facebook_STAN_LEA_T3_1</v></cell><cell r="AJ6356"><v>104537813</v></cell></row><row r="6357"><cell r="C6357" t="str"><v>43327Facebook»Developers-Azure Direct-Sponsored Post-Video Ad-Free Account Developer - Generic»1x1»30s»SOC»ALL»CPC»BT»D»UNK»SS»NA»Trials</v></cell><cell r="D6357" t="str"><v>43327226420298</v></cell><cell r="E6357" t="str"><v>43327104537129Trials</v></cell><cell r="F6357" t="str"><v>DCM</v></cell><cell r="G6357" t="str"><v>https://signup.azure.com/signup?offer=ms-azr-0044p&appId=102&ref=paidmedia-social-fb&redirectURL=https%3a%2f%2fazure.microsoft.com%2ffr-fr%2fget-started%2fwelcome-to-azure%2f&l=fr-fr&correlationId=ead86c34-1f10-49dd-a72b-6918462a2cbf</v></cell></row><row r="6357"><cell r="K6357" t="str"><v>August</v></cell><cell r="L6357"><v>43330</v></cell><cell r="M6357" t="str"><v>Tier 1</v></cell><cell r="N6357" t="str"><v>EMEA</v></cell><cell r="O6357" t="str"><v>France</v></cell><cell r="P6357" t="str"><v>Trial</v></cell><cell r="Q6357" t="str"><v>Social</v></cell><cell r="R6357" t="str"><v>Azure</v></cell><cell r="S6357" t="str"><v>Apps & Infra</v></cell><cell r="T6357" t="str"><v>Developers & ITI's</v></cell><cell r="U6357" t="str"><v>Developers-Azure Direct-Sponsored Post-Video Ad-Free Account Developer - Generic</v></cell><cell r="V6357" t="str"><v>Behavioral Targeting</v></cell><cell r="W6357" t="str"><v>Social</v></cell><cell r="X6357" t="str"><v>1x1</v></cell></row><row r="6357"><cell r="AA6357"><v>43327</v></cell><cell r="AB6357" t="str"><v>FRA_gaPMG_AZR_AZR_Q1_19_AzureDirect-Trial-Social</v></cell><cell r="AC6357"><v>21356941</v></cell><cell r="AD6357"><v>720193</v></cell><cell r="AE6357" t="str"><v>Facebook</v></cell><cell r="AF6357"><v>3654128</v></cell><cell r="AG6357" t="str"><v>Facebook»Developers-Azure Direct-Sponsored Post-Video Ad-Free Account Developer - Generic»1x1»30s»SOC»ALL»CPC»BT»D»UNK»SS»NA»Trials</v></cell><cell r="AH6357"><v>226420298</v></cell><cell r="AI6357" t="str"><v>AZR_FreeAcctDeveloperFB-AnimatedGeneric-Ch1_FRA_1200x1200_VIA_AZRDirect_French_NA_Facebook_STAN_LEA_T1_1</v></cell><cell r="AJ6357"><v>104537129</v></cell></row><row r="6358"><cell r="C6358" t="str"><v>43327Facebook»Developers-Azure Direct-Sponsored Post-Video Ad-Free Account Developer - Intelligent Data»1x1»30s»SOC»ALL»CPC»BT»D»UNK»SS»NA»Trials</v></cell><cell r="D6358" t="str"><v>43327226360028</v></cell><cell r="E6358" t="str"><v>43327104537816Trials</v></cell><cell r="F6358" t="str"><v>DCM</v></cell><cell r="G6358" t="str"><v>https://signup.azure.com/signup?offer=ms-azr-0044p&appId=102&ref=paidmedia-social-fb&redirectURL=https%3a%2f%2fazure.microsoft.com%2ffr-fr%2fget-started%2fwelcome-to-azure%2f&l=fr-fr&correlationId=ead86c34-1f10-49dd-a72b-6918462a2cbf</v></cell></row><row r="6358"><cell r="K6358" t="str"><v>August</v></cell><cell r="L6358"><v>43330</v></cell><cell r="M6358" t="str"><v>Tier 1</v></cell><cell r="N6358" t="str"><v>EMEA</v></cell><cell r="O6358" t="str"><v>France</v></cell><cell r="P6358" t="str"><v>Trial</v></cell><cell r="Q6358" t="str"><v>Social</v></cell><cell r="R6358" t="str"><v>Azure</v></cell><cell r="S6358" t="str"><v>Apps & Infra</v></cell><cell r="T6358" t="str"><v>Developers & ITI's</v></cell><cell r="U6358" t="str"><v>Developers-Azure Direct-Sponsored Post-Video Ad-Free Account Developer - Intelligent Data</v></cell><cell r="V6358" t="str"><v>Behavioral Targeting</v></cell><cell r="W6358" t="str"><v>Social</v></cell><cell r="X6358" t="str"><v>1x1</v></cell></row><row r="6358"><cell r="AA6358"><v>43327</v></cell><cell r="AB6358" t="str"><v>FRA_gaPMG_AZR_AZR_Q1_19_AzureDirect-Trial-Social</v></cell><cell r="AC6358"><v>21356941</v></cell><cell r="AD6358"><v>720193</v></cell><cell r="AE6358" t="str"><v>Facebook</v></cell><cell r="AF6358"><v>3654128</v></cell><cell r="AG6358" t="str"><v>Facebook»Developers-Azure Direct-Sponsored Post-Video Ad-Free Account Developer - Intelligent Data»1x1»30s»SOC»ALL»CPC»BT»D»UNK»SS»NA»Trials</v></cell><cell r="AH6358"><v>226360028</v></cell><cell r="AI6358" t="str"><v>AZR_FreeAcctDeveloperFB-AnimatedData-Ch4_FRA_1200x1200_VIA_AZRDirect_French_NA_Facebook_STAN_LEA_T4_1</v></cell><cell r="AJ6358"><v>104537816</v></cell></row><row r="6359"><cell r="C6359" t="str"><v>43327Facebook»Developers-Azure Direct-Sponsored Post-Video Ad-Free Account Developer - Open Source»1x1»30s»SOC»ALL»CPC»BT»D»UNK»SS»NA»Trials</v></cell><cell r="D6359" t="str"><v>43327226360040</v></cell><cell r="E6359" t="str"><v>43327104537132Trials</v></cell><cell r="F6359" t="str"><v>DCM</v></cell><cell r="G6359" t="str"><v>https://signup.azure.com/signup?offer=ms-azr-0044p&appId=102&ref=paidmedia-social-fb&redirectURL=https%3a%2f%2fazure.microsoft.com%2ffr-fr%2fget-started%2fwelcome-to-azure%2f&l=fr-fr&correlationId=ead86c34-1f10-49dd-a72b-6918462a2cbf</v></cell></row><row r="6359"><cell r="K6359" t="str"><v>August</v></cell><cell r="L6359"><v>43330</v></cell><cell r="M6359" t="str"><v>Tier 1</v></cell><cell r="N6359" t="str"><v>EMEA</v></cell><cell r="O6359" t="str"><v>France</v></cell><cell r="P6359" t="str"><v>Trial</v></cell><cell r="Q6359" t="str"><v>Social</v></cell><cell r="R6359" t="str"><v>Azure</v></cell><cell r="S6359" t="str"><v>Apps & Infra</v></cell><cell r="T6359" t="str"><v>Developers & ITI's</v></cell><cell r="U6359" t="str"><v>Developers-Azure Direct-Sponsored Post-Video Ad-Free Account Developer - Open Source</v></cell><cell r="V6359" t="str"><v>Behavioral Targeting</v></cell><cell r="W6359" t="str"><v>Social</v></cell><cell r="X6359" t="str"><v>1x1</v></cell></row><row r="6359"><cell r="AA6359"><v>43327</v></cell><cell r="AB6359" t="str"><v>FRA_gaPMG_AZR_AZR_Q1_19_AzureDirect-Trial-Social</v></cell><cell r="AC6359"><v>21356941</v></cell><cell r="AD6359"><v>720193</v></cell><cell r="AE6359" t="str"><v>Facebook</v></cell><cell r="AF6359"><v>3654128</v></cell><cell r="AG6359" t="str"><v>Facebook»Developers-Azure Direct-Sponsored Post-Video Ad-Free Account Developer - Open Source»1x1»30s»SOC»ALL»CPC»BT»D»UNK»SS»NA»Trials</v></cell><cell r="AH6359"><v>226360040</v></cell><cell r="AI6359" t="str"><v>AZR_FreeAcctDeveloperFB-AnimatedOpenSource-Ch2_FRA_1200x1200_VIA_AZRDirect_French_NA_Facebook_STAN_LEA_T2_1</v></cell><cell r="AJ6359"><v>104537132</v></cell></row><row r="6360"><cell r="C6360" t="str"><v>43327Facebook»Developers-Azure Direct-Sponsored Post_Trial-Video Ad-Free Account Developer - Intelligent Data»1x1»30s»SOC»ALL»CPC»LAL»D»UNK»SS»NA»Trials</v></cell><cell r="D6360" t="str"><v>43327226360013</v></cell><cell r="E6360" t="str"><v>43327104537816Trials</v></cell><cell r="F6360" t="str"><v>DCM</v></cell><cell r="G6360" t="str"><v>https://signup.azure.com/signup?offer=ms-azr-0044p&appId=102&ref=paidmedia-social-fb&redirectURL=https%3a%2f%2fazure.microsoft.com%2ffr-fr%2fget-started%2fwelcome-to-azure%2f&l=fr-fr&correlationId=ead86c34-1f10-49dd-a72b-6918462a2cbf</v></cell></row><row r="6360"><cell r="K6360" t="str"><v>August</v></cell><cell r="L6360"><v>43330</v></cell><cell r="M6360" t="str"><v>Tier 1</v></cell><cell r="N6360" t="str"><v>EMEA</v></cell><cell r="O6360" t="str"><v>France</v></cell><cell r="P6360" t="str"><v>Trial</v></cell><cell r="Q6360" t="str"><v>Social</v></cell><cell r="R6360" t="str"><v>Azure</v></cell><cell r="S6360" t="str"><v>Apps & Infra</v></cell><cell r="T6360" t="str"><v>Developers & ITI's</v></cell><cell r="U6360" t="str"><v>Developers-Azure Direct-Sponsored Post_Trial-Video Ad-Free Account Developer - Intelligent Data</v></cell><cell r="V6360" t="str"><v>Lookalike Targeting</v></cell><cell r="W6360" t="str"><v>Social</v></cell><cell r="X6360" t="str"><v>1x1</v></cell></row><row r="6360"><cell r="AA6360"><v>43327</v></cell><cell r="AB6360" t="str"><v>FRA_gaPMG_AZR_AZR_Q1_19_AzureDirect-Trial-Social</v></cell><cell r="AC6360"><v>21356941</v></cell><cell r="AD6360"><v>720193</v></cell><cell r="AE6360" t="str"><v>Facebook</v></cell><cell r="AF6360"><v>3654128</v></cell><cell r="AG6360" t="str"><v>Facebook»Developers-Azure Direct-Sponsored Post_Trial-Video Ad-Free Account Developer - Intelligent Data»1x1»30s»SOC»ALL»CPC»LAL»D»UNK»SS»NA»Trials</v></cell><cell r="AH6360"><v>226360013</v></cell><cell r="AI6360" t="str"><v>AZR_FreeAcctDeveloperFB-AnimatedData-Ch4_FRA_1200x1200_VIA_AZRDirect_French_NA_Facebook_STAN_LEA_T4_1</v></cell><cell r="AJ6360"><v>104537816</v></cell></row><row r="6361"><cell r="C6361" t="str"><v>43327Facebook»Developers-Azure Direct-Sponsored Post_Trial-Video Ad-Free Account Developer - Open Source»1x1»30s»SOC»ALL»CPC»LAL»D»UNK»SS»NA»Trials</v></cell><cell r="D6361" t="str"><v>43327226360025</v></cell><cell r="E6361" t="str"><v>43327104537132Trials</v></cell><cell r="F6361" t="str"><v>DCM</v></cell><cell r="G6361" t="str"><v>https://signup.azure.com/signup?offer=ms-azr-0044p&appId=102&ref=paidmedia-social-fb&redirectURL=https%3a%2f%2fazure.microsoft.com%2ffr-fr%2fget-started%2fwelcome-to-azure%2f&l=fr-fr&correlationId=ead86c34-1f10-49dd-a72b-6918462a2cbf</v></cell></row><row r="6361"><cell r="K6361" t="str"><v>August</v></cell><cell r="L6361"><v>43330</v></cell><cell r="M6361" t="str"><v>Tier 1</v></cell><cell r="N6361" t="str"><v>EMEA</v></cell><cell r="O6361" t="str"><v>France</v></cell><cell r="P6361" t="str"><v>Trial</v></cell><cell r="Q6361" t="str"><v>Social</v></cell><cell r="R6361" t="str"><v>Azure</v></cell><cell r="S6361" t="str"><v>Apps & Infra</v></cell><cell r="T6361" t="str"><v>Developers & ITI's</v></cell><cell r="U6361" t="str"><v>Developers-Azure Direct-Sponsored Post_Trial-Video Ad-Free Account Developer - Open Source</v></cell><cell r="V6361" t="str"><v>Lookalike Targeting</v></cell><cell r="W6361" t="str"><v>Social</v></cell><cell r="X6361" t="str"><v>1x1</v></cell></row><row r="6361"><cell r="AA6361"><v>43327</v></cell><cell r="AB6361" t="str"><v>FRA_gaPMG_AZR_AZR_Q1_19_AzureDirect-Trial-Social</v></cell><cell r="AC6361"><v>21356941</v></cell><cell r="AD6361"><v>720193</v></cell><cell r="AE6361" t="str"><v>Facebook</v></cell><cell r="AF6361"><v>3654128</v></cell><cell r="AG6361" t="str"><v>Facebook»Developers-Azure Direct-Sponsored Post_Trial-Video Ad-Free Account Developer - Open Source»1x1»30s»SOC»ALL»CPC»LAL»D»UNK»SS»NA»Trials</v></cell><cell r="AH6361"><v>226360025</v></cell><cell r="AI6361" t="str"><v>AZR_FreeAcctDeveloperFB-AnimatedOpenSource-Ch2_FRA_1200x1200_VIA_AZRDirect_French_NA_Facebook_STAN_LEA_T2_1</v></cell><cell r="AJ6361"><v>104537132</v></cell></row><row r="6362"><cell r="C6362" t="str"><v>43327Facebook»Developers-Azure Direct-Sponsored Post_Trial_PayGo-Video Ad-Free Account Developer - AI»1x1»30s»SOC»ALL»CPC»LAL»D»UNK»SS»NA»Trials</v></cell><cell r="D6362" t="str"><v>43327226359947</v></cell><cell r="E6362" t="str"><v>43327104537813Trials</v></cell><cell r="F6362" t="str"><v>DCM</v></cell><cell r="G6362" t="str"><v>https://signup.azure.com/signup?offer=ms-azr-0044p&appId=102&ref=paidmedia-social-fb&redirectURL=https%3a%2f%2fazure.microsoft.com%2ffr-fr%2fget-started%2fwelcome-to-azure%2f&l=fr-fr&correlationId=ead86c34-1f10-49dd-a72b-6918462a2cbf</v></cell></row><row r="6362"><cell r="K6362" t="str"><v>August</v></cell><cell r="L6362"><v>43330</v></cell><cell r="M6362" t="str"><v>Tier 1</v></cell><cell r="N6362" t="str"><v>EMEA</v></cell><cell r="O6362" t="str"><v>France</v></cell><cell r="P6362" t="str"><v>Trial</v></cell><cell r="Q6362" t="str"><v>Social</v></cell><cell r="R6362" t="str"><v>Azure</v></cell><cell r="S6362" t="str"><v>Apps & Infra</v></cell><cell r="T6362" t="str"><v>Developers & ITI's</v></cell><cell r="U6362" t="str"><v>Developers-Azure Direct-Sponsored Post_Trial_PayGo-Video Ad-Free Account Developer - AI</v></cell><cell r="V6362" t="str"><v>Lookalike Targeting</v></cell><cell r="W6362" t="str"><v>Social</v></cell><cell r="X6362" t="str"><v>1x1</v></cell></row><row r="6362"><cell r="AA6362"><v>43327</v></cell><cell r="AB6362" t="str"><v>FRA_gaPMG_AZR_AZR_Q1_19_AzureDirect-Trial-Social</v></cell><cell r="AC6362"><v>21356941</v></cell><cell r="AD6362"><v>720193</v></cell><cell r="AE6362" t="str"><v>Facebook</v></cell><cell r="AF6362"><v>3654128</v></cell><cell r="AG6362" t="str"><v>Facebook»Developers-Azure Direct-Sponsored Post_Trial_PayGo-Video Ad-Free Account Developer - AI»1x1»30s»SOC»ALL»CPC»LAL»D»UNK»SS»NA»Trials</v></cell><cell r="AH6362"><v>226359947</v></cell><cell r="AI6362" t="str"><v>AZR_FreeAcctDeveloperFB-AnimatedAI-Ch3_FRA_1200x1200_VIA_AZRDirect_French_NA_Facebook_STAN_LEA_T3_1</v></cell><cell r="AJ6362"><v>104537813</v></cell></row><row r="6363"><cell r="C6363" t="str"><v>43327Facebook»Developers/ITPros-Azure Direct-Sponsored Post_Trial-Link Ad-FreeAcctRetargetingOSSFB-Logos-ChG CanvasOpener»1x1»SocialBan»SOC»ALL»CPC»LAL»D»UNK»SS»NA»Trials</v></cell><cell r="D6363" t="str"><v>43327226496104</v></cell><cell r="E6363" t="str"><v>43327103259769Trials</v></cell><cell r="F6363" t="str"><v>DCM</v></cell><cell r="G6363" t="str"><v>https://azure.microsoft.com/fr-fr/free/open-source/search/</v></cell></row><row r="6363"><cell r="K6363" t="str"><v>August</v></cell><cell r="L6363"><v>43330</v></cell><cell r="M6363" t="str"><v>Tier 1</v></cell><cell r="N6363" t="str"><v>EMEA</v></cell><cell r="O6363" t="str"><v>France</v></cell><cell r="P6363" t="str"><v>Trial</v></cell><cell r="Q6363" t="str"><v>Social</v></cell><cell r="R6363" t="str"><v>Azure</v></cell><cell r="S6363" t="str"><v>Apps & Infra</v></cell><cell r="T6363" t="str"><v>Developers & ITI's</v></cell><cell r="U6363" t="str"><v>Developers/ITPros-Azure Direct-Sponsored Post_Trial-Link Ad-FreeAcctRetargetingOSSFB-Logos-ChG CanvasOpener</v></cell><cell r="V6363" t="str"><v>Lookalike Targeting</v></cell><cell r="W6363" t="str"><v>Social</v></cell><cell r="X6363" t="str"><v>1x1</v></cell></row><row r="6363"><cell r="AA6363"><v>43327</v></cell><cell r="AB6363" t="str"><v>FRA_gaPMG_AZR_AZR_Q1_19_AzureDirect-Trial-Social</v></cell><cell r="AC6363"><v>21356941</v></cell><cell r="AD6363"><v>720193</v></cell><cell r="AE6363" t="str"><v>Facebook</v></cell><cell r="AF6363"><v>3654128</v></cell><cell r="AG6363" t="str"><v>Facebook»Developers/ITPros-Azure Direct-Sponsored Post_Trial-Link Ad-FreeAcctRetargetingOSSFB-Logos-ChG CanvasOpener»1x1»SocialBan»SOC»ALL»CPC»LAL»D»UNK»SS»NA»Trials</v></cell><cell r="AH6363"><v>226496104</v></cell><cell r="AI6363" t="str"><v>AZR_FreeAcctRetargetingOSSFB-Logos-ChG_FRA_1200x628_SOC_AZRDirect_French_NA_Facebook_SBAN_SINU_T2_1</v></cell><cell r="AJ6363"><v>103259769</v></cell></row><row r="6364"><cell r="C6364" t="str"><v>43327Facebook»ITPros-Azure Direct-Sponsored Post-Video Ad-Free Account IT Pro - Hybrid»1x1»30s»SOC»ALL»CPC»AUT»D»UNK»SS»NA»Trials</v></cell><cell r="D6364" t="str"><v>43327226360016</v></cell><cell r="E6364" t="str"><v>43327104456278Trials</v></cell><cell r="F6364" t="str"><v>DCM</v></cell><cell r="G6364" t="str"><v>https://signup.azure.com/signup?offer=ms-azr-0044p&appId=102&ref=paidmedia-social-fb&redirectURL=https%3a%2f%2fazure.microsoft.com%2ffr-fr%2fget-started%2fwelcome-to-azure%2f&l=fr-fr&correlationId=ead86c34-1f10-49dd-a72b-6918462a2cbf</v></cell></row><row r="6364"><cell r="K6364" t="str"><v>August</v></cell><cell r="L6364"><v>43330</v></cell><cell r="M6364" t="str"><v>Tier 1</v></cell><cell r="N6364" t="str"><v>EMEA</v></cell><cell r="O6364" t="str"><v>France</v></cell><cell r="P6364" t="str"><v>Trial</v></cell><cell r="Q6364" t="str"><v>Social</v></cell><cell r="R6364" t="str"><v>Azure</v></cell><cell r="S6364" t="str"><v>Apps & Infra</v></cell><cell r="T6364" t="str"><v>Developers & ITI's</v></cell><cell r="U6364" t="str"><v>ITPros-Azure Direct-Sponsored Post-Video Ad-Free Account IT Pro - Hybrid</v></cell><cell r="V6364" t="str"><v>Audience Targeting</v></cell><cell r="W6364" t="str"><v>Social</v></cell><cell r="X6364" t="str"><v>1x1</v></cell></row><row r="6364"><cell r="AA6364"><v>43327</v></cell><cell r="AB6364" t="str"><v>FRA_gaPMG_AZR_AZR_Q1_19_AzureDirect-Trial-Social</v></cell><cell r="AC6364"><v>21356941</v></cell><cell r="AD6364"><v>720193</v></cell><cell r="AE6364" t="str"><v>Facebook</v></cell><cell r="AF6364"><v>3654128</v></cell><cell r="AG6364" t="str"><v>Facebook»ITPros-Azure Direct-Sponsored Post-Video Ad-Free Account IT Pro - Hybrid»1x1»30s»SOC»ALL»CPC»AUT»D»UNK»SS»NA»Trials</v></cell><cell r="AH6364"><v>226360016</v></cell><cell r="AI6364" t="str"><v>AZR_FreeAcctITProFB-AnimatedHybrid-Ch2_FRA_1200x1200_VIA_AZRDirect_French_NA_Facebook_STAN_LEA_T2_1</v></cell><cell r="AJ6364"><v>104456278</v></cell></row><row r="6365"><cell r="C6365" t="str"><v>43327Facebook»ITPros-Azure Direct-Sponsored Post-Video Ad-Free Account IT Pro - Secure»1x1»30s»SOC»ALL»CPC»AUT»D»UNK»SS»NA»Trials</v></cell><cell r="D6365" t="str"><v>43327226360022</v></cell><cell r="E6365" t="str"><v>43327104455906Trials</v></cell><cell r="F6365" t="str"><v>DCM</v></cell><cell r="G6365" t="str"><v>https://signup.azure.com/signup?offer=ms-azr-0044p&appId=102&ref=paidmedia-social-fb&redirectURL=https%3a%2f%2fazure.microsoft.com%2ffr-fr%2fget-started%2fwelcome-to-azure%2f&l=fr-fr&correlationId=ead86c34-1f10-49dd-a72b-6918462a2cbf</v></cell></row><row r="6365"><cell r="K6365" t="str"><v>August</v></cell><cell r="L6365"><v>43330</v></cell><cell r="M6365" t="str"><v>Tier 1</v></cell><cell r="N6365" t="str"><v>EMEA</v></cell><cell r="O6365" t="str"><v>France</v></cell><cell r="P6365" t="str"><v>Trial</v></cell><cell r="Q6365" t="str"><v>Social</v></cell><cell r="R6365" t="str"><v>Azure</v></cell><cell r="S6365" t="str"><v>Apps & Infra</v></cell><cell r="T6365" t="str"><v>Developers & ITI's</v></cell><cell r="U6365" t="str"><v>ITPros-Azure Direct-Sponsored Post-Video Ad-Free Account IT Pro - Secure</v></cell><cell r="V6365" t="str"><v>Audience Targeting</v></cell><cell r="W6365" t="str"><v>Social</v></cell><cell r="X6365" t="str"><v>1x1</v></cell></row><row r="6365"><cell r="AA6365"><v>43327</v></cell><cell r="AB6365" t="str"><v>FRA_gaPMG_AZR_AZR_Q1_19_AzureDirect-Trial-Social</v></cell><cell r="AC6365"><v>21356941</v></cell><cell r="AD6365"><v>720193</v></cell><cell r="AE6365" t="str"><v>Facebook</v></cell><cell r="AF6365"><v>3654128</v></cell><cell r="AG6365" t="str"><v>Facebook»ITPros-Azure Direct-Sponsored Post-Video Ad-Free Account IT Pro - Secure»1x1»30s»SOC»ALL»CPC»AUT»D»UNK»SS»NA»Trials</v></cell><cell r="AH6365"><v>226360022</v></cell><cell r="AI6365" t="str"><v>AZR_FreeAcctITProFB-AnimatedSecureMngd-Ch1_FRA_1200x1200_VIA_AZRDirect_French_NA_Facebook_STAN_LEA_T1_1</v></cell><cell r="AJ6365"><v>104455906</v></cell></row><row r="6366"><cell r="C6366" t="str"><v>43327Facebook»ITPros-Azure Direct-Sponsored Post_Trial-Video Ad-Free Account IT Pro - Secure»1x1»30s»SOC»ALL»CPC»LAL»D»UNK»SS»NA»Trials</v></cell><cell r="D6366" t="str"><v>43327226360007</v></cell><cell r="E6366" t="str"><v>43327104455906Trials</v></cell><cell r="F6366" t="str"><v>DCM</v></cell><cell r="G6366" t="str"><v>https://signup.azure.com/signup?offer=ms-azr-0044p&appId=102&ref=paidmedia-social-fb&redirectURL=https%3a%2f%2fazure.microsoft.com%2ffr-fr%2fget-started%2fwelcome-to-azure%2f&l=fr-fr&correlationId=ead86c34-1f10-49dd-a72b-6918462a2cbf</v></cell></row><row r="6366"><cell r="K6366" t="str"><v>August</v></cell><cell r="L6366"><v>43330</v></cell><cell r="M6366" t="str"><v>Tier 1</v></cell><cell r="N6366" t="str"><v>EMEA</v></cell><cell r="O6366" t="str"><v>France</v></cell><cell r="P6366" t="str"><v>Trial</v></cell><cell r="Q6366" t="str"><v>Social</v></cell><cell r="R6366" t="str"><v>Azure</v></cell><cell r="S6366" t="str"><v>Apps & Infra</v></cell><cell r="T6366" t="str"><v>Developers & ITI's</v></cell><cell r="U6366" t="str"><v>ITPros-Azure Direct-Sponsored Post_Trial-Video Ad-Free Account IT Pro - Secure</v></cell><cell r="V6366" t="str"><v>Lookalike Targeting</v></cell><cell r="W6366" t="str"><v>Social</v></cell><cell r="X6366" t="str"><v>1x1</v></cell></row><row r="6366"><cell r="AA6366"><v>43327</v></cell><cell r="AB6366" t="str"><v>FRA_gaPMG_AZR_AZR_Q1_19_AzureDirect-Trial-Social</v></cell><cell r="AC6366"><v>21356941</v></cell><cell r="AD6366"><v>720193</v></cell><cell r="AE6366" t="str"><v>Facebook</v></cell><cell r="AF6366"><v>3654128</v></cell><cell r="AG6366" t="str"><v>Facebook»ITPros-Azure Direct-Sponsored Post_Trial-Video Ad-Free Account IT Pro - Secure»1x1»30s»SOC»ALL»CPC»LAL»D»UNK»SS»NA»Trials</v></cell><cell r="AH6366"><v>226360007</v></cell><cell r="AI6366" t="str"><v>AZR_FreeAcctITProFB-AnimatedSecureMngd-Ch1_FRA_1200x1200_VIA_AZRDirect_French_NA_Facebook_STAN_LEA_T1_1</v></cell><cell r="AJ6366"><v>104455906</v></cell></row><row r="6367"><cell r="C6367" t="str"><v>43327Facebook»Audience & Interest Targeting»1x1»SocialBan»LIA»DT»CPC»AUT»W»NA»SS»NA»Basic Motion</v></cell><cell r="D6367" t="str"><v>43327224399962</v></cell><cell r="E6367" t="str"><v>43327103230847Motion</v></cell><cell r="F6367" t="str"><v>DCM</v></cell><cell r="G6367" t="str"><v>https://azure.microsoft.com/en-gb/pricing/purchase-options/</v></cell></row><row r="6367"><cell r="K6367" t="str"><v>August</v></cell><cell r="L6367"><v>43330</v></cell><cell r="M6367" t="str"><v>Tier 1</v></cell><cell r="N6367" t="str"><v>EMEA</v></cell><cell r="O6367" t="str"><v>United Kingdom</v></cell><cell r="P6367" t="str"><v>Trial</v></cell><cell r="Q6367" t="str"><v>Social</v></cell><cell r="R6367" t="str"><v>Azure</v></cell><cell r="S6367" t="str"><v>Apps & Infra</v></cell><cell r="T6367" t="str"><v>Developers & ITI's</v></cell><cell r="U6367" t="str"><v>Audience & Interest Targeting</v></cell><cell r="V6367" t="str"><v>Audience Targeting</v></cell><cell r="W6367" t="str"><v>Link Ad</v></cell><cell r="X6367" t="str"><v>1x1</v></cell></row><row r="6367"><cell r="AA6367"><v>43327</v></cell><cell r="AB6367" t="str"><v>GBR_gaPMG_CE_AZR_Q1_19_Trial-Social</v></cell><cell r="AC6367"><v>21337013</v></cell><cell r="AD6367"><v>720196</v></cell><cell r="AE6367" t="str"><v>Facebook</v></cell><cell r="AF6367"><v>3654128</v></cell><cell r="AG6367" t="str"><v>Facebook»Audience & Interest Targeting»1x1»SocialBan»LIA»DT»CPC»AUT»W»NA»SS»NA»Basic Motion</v></cell><cell r="AH6367"><v>224399962</v></cell><cell r="AI6367" t="str"><v>AzurePlatform_FBCTCcanvaspage-BuyNowCTA-Img3_GBR_1080x162_SOC_Plat_English_NA_Standard_NA_BN_T3_1</v></cell><cell r="AJ6367"><v>103230847</v></cell></row><row r="6368"><cell r="C6368" t="str"><v>43327Facebook»Audience & Interest Targeting»1x1»SocialBan»LIA»DT»CPC»AUT»W»NA»SS»NA»Basic Motion</v></cell><cell r="D6368" t="str"><v>43327224399962</v></cell><cell r="E6368" t="str"><v>43327103235146Motion</v></cell><cell r="F6368" t="str"><v>DCM</v></cell><cell r="G6368" t="str"><v>https://signup.azure.com/signup?offer=ms-azr-0044p&appId=102&ref=paidmedia-social-fb&redirectURL=https%3a%2f%2fazure.microsoft.com%2fen-gb%2fget-started%2fwelcome-to-azure%2f&l=en-gb&correlationId=ead86c34-1f10-49dd-a72b-6918462a2cbf</v></cell></row><row r="6368"><cell r="K6368" t="str"><v>August</v></cell><cell r="L6368"><v>43330</v></cell><cell r="M6368" t="str"><v>Tier 1</v></cell><cell r="N6368" t="str"><v>EMEA</v></cell><cell r="O6368" t="str"><v>United Kingdom</v></cell><cell r="P6368" t="str"><v>Trial</v></cell><cell r="Q6368" t="str"><v>Social</v></cell><cell r="R6368" t="str"><v>Azure</v></cell><cell r="S6368" t="str"><v>Apps & Infra</v></cell><cell r="T6368" t="str"><v>Developers & ITI's</v></cell><cell r="U6368" t="str"><v>Audience & Interest Targeting</v></cell><cell r="V6368" t="str"><v>Audience Targeting</v></cell><cell r="W6368" t="str"><v>Link Ad</v></cell><cell r="X6368" t="str"><v>1x1</v></cell></row><row r="6368"><cell r="AA6368"><v>43327</v></cell><cell r="AB6368" t="str"><v>GBR_gaPMG_CE_AZR_Q1_19_Trial-Social</v></cell><cell r="AC6368"><v>21337013</v></cell><cell r="AD6368"><v>720196</v></cell><cell r="AE6368" t="str"><v>Facebook</v></cell><cell r="AF6368"><v>3654128</v></cell><cell r="AG6368" t="str"><v>Facebook»Audience & Interest Targeting»1x1»SocialBan»LIA»DT»CPC»AUT»W»NA»SS»NA»Basic Motion</v></cell><cell r="AH6368"><v>224399962</v></cell><cell r="AI6368" t="str"><v>AzurePlatform_FBCTCcanvaspage-StartFreeCTA-Img2_GBR_1080x143 _SOC_Plat_English_NA_Standard_NA_NA_T2_1</v></cell><cell r="AJ6368"><v>103235146</v></cell></row><row r="6369"><cell r="C6369" t="str"><v>43327Facebook»Audience & Interest Targeting»1x1»SocialBan»LIA»DT»CPC»AUT»W»NA»SS»NA»Benefit 2 in Motion</v></cell><cell r="D6369" t="str"><v>43327224334170</v></cell><cell r="E6369" t="str"><v>43327103230847Motion</v></cell><cell r="F6369" t="str"><v>DCM</v></cell><cell r="G6369" t="str"><v>https://azure.microsoft.com/en-gb/pricing/purchase-options/</v></cell></row><row r="6369"><cell r="K6369" t="str"><v>August</v></cell><cell r="L6369"><v>43330</v></cell><cell r="M6369" t="str"><v>Tier 1</v></cell><cell r="N6369" t="str"><v>EMEA</v></cell><cell r="O6369" t="str"><v>United Kingdom</v></cell><cell r="P6369" t="str"><v>Trial</v></cell><cell r="Q6369" t="str"><v>Social</v></cell><cell r="R6369" t="str"><v>Azure</v></cell><cell r="S6369" t="str"><v>Apps & Infra</v></cell><cell r="T6369" t="str"><v>Developers & ITI's</v></cell><cell r="U6369" t="str"><v>Audience & Interest Targeting</v></cell><cell r="V6369" t="str"><v>Audience Targeting</v></cell><cell r="W6369" t="str"><v>Link Ad</v></cell><cell r="X6369" t="str"><v>1x1</v></cell></row><row r="6369"><cell r="AA6369"><v>43327</v></cell><cell r="AB6369" t="str"><v>GBR_gaPMG_CE_AZR_Q1_19_Trial-Social</v></cell><cell r="AC6369"><v>21337013</v></cell><cell r="AD6369"><v>720196</v></cell><cell r="AE6369" t="str"><v>Facebook</v></cell><cell r="AF6369"><v>3654128</v></cell><cell r="AG6369" t="str"><v>Facebook»Audience & Interest Targeting»1x1»SocialBan»LIA»DT»CPC»AUT»W»NA»SS»NA»Benefit 2 in Motion</v></cell><cell r="AH6369"><v>224334170</v></cell><cell r="AI6369" t="str"><v>AzurePlatform_FBCTCcanvaspage-BuyNowCTA-Img3_GBR_1080x162_SOC_Plat_English_NA_Standard_NA_BN_T3_1</v></cell><cell r="AJ6369"><v>103230847</v></cell></row><row r="6370"><cell r="C6370" t="str"><v>43327Facebook»Audience & Interest Targeting»1x1»SocialBan»LIA»DT»CPC»AUT»W»NA»SS»NA»Benefit 2 in Motion</v></cell><cell r="D6370" t="str"><v>43327224334170</v></cell><cell r="E6370" t="str"><v>43327103235146Motion</v></cell><cell r="F6370" t="str"><v>DCM</v></cell><cell r="G6370" t="str"><v>https://signup.azure.com/signup?offer=ms-azr-0044p&appId=102&ref=paidmedia-social-fb&redirectURL=https%3a%2f%2fazure.microsoft.com%2fen-gb%2fget-started%2fwelcome-to-azure%2f&l=en-gb&correlationId=ead86c34-1f10-49dd-a72b-6918462a2cbf</v></cell></row><row r="6370"><cell r="K6370" t="str"><v>August</v></cell><cell r="L6370"><v>43330</v></cell><cell r="M6370" t="str"><v>Tier 1</v></cell><cell r="N6370" t="str"><v>EMEA</v></cell><cell r="O6370" t="str"><v>United Kingdom</v></cell><cell r="P6370" t="str"><v>Trial</v></cell><cell r="Q6370" t="str"><v>Social</v></cell><cell r="R6370" t="str"><v>Azure</v></cell><cell r="S6370" t="str"><v>Apps & Infra</v></cell><cell r="T6370" t="str"><v>Developers & ITI's</v></cell><cell r="U6370" t="str"><v>Audience & Interest Targeting</v></cell><cell r="V6370" t="str"><v>Audience Targeting</v></cell><cell r="W6370" t="str"><v>Link Ad</v></cell><cell r="X6370" t="str"><v>1x1</v></cell></row><row r="6370"><cell r="AA6370"><v>43327</v></cell><cell r="AB6370" t="str"><v>GBR_gaPMG_CE_AZR_Q1_19_Trial-Social</v></cell><cell r="AC6370"><v>21337013</v></cell><cell r="AD6370"><v>720196</v></cell><cell r="AE6370" t="str"><v>Facebook</v></cell><cell r="AF6370"><v>3654128</v></cell><cell r="AG6370" t="str"><v>Facebook»Audience & Interest Targeting»1x1»SocialBan»LIA»DT»CPC»AUT»W»NA»SS»NA»Benefit 2 in Motion</v></cell><cell r="AH6370"><v>224334170</v></cell><cell r="AI6370" t="str"><v>AzurePlatform_FBCTCcanvaspage-StartFreeCTA-Img2_GBR_1080x143 _SOC_Plat_English_NA_Standard_NA_NA_T2_1</v></cell><cell r="AJ6370"><v>103235146</v></cell></row><row r="6371"><cell r="C6371" t="str"><v>43327Facebook»Audience & Interest Targeting»1x1»SocialBan»LIA»DT»CPC»AUT»W»NA»SS»NA»Brand in Motion</v></cell><cell r="D6371" t="str"><v>43327224549481</v></cell><cell r="E6371" t="str"><v>43327103235146Motion</v></cell><cell r="F6371" t="str"><v>DCM</v></cell><cell r="G6371" t="str"><v>https://signup.azure.com/signup?offer=ms-azr-0044p&appId=102&ref=paidmedia-social-fb&redirectURL=https%3a%2f%2fazure.microsoft.com%2fen-gb%2fget-started%2fwelcome-to-azure%2f&l=en-gb&correlationId=ead86c34-1f10-49dd-a72b-6918462a2cbf</v></cell></row><row r="6371"><cell r="K6371" t="str"><v>August</v></cell><cell r="L6371"><v>43330</v></cell><cell r="M6371" t="str"><v>Tier 1</v></cell><cell r="N6371" t="str"><v>EMEA</v></cell><cell r="O6371" t="str"><v>United Kingdom</v></cell><cell r="P6371" t="str"><v>Trial</v></cell><cell r="Q6371" t="str"><v>Social</v></cell><cell r="R6371" t="str"><v>Azure</v></cell><cell r="S6371" t="str"><v>Apps & Infra</v></cell><cell r="T6371" t="str"><v>Developers & ITI's</v></cell><cell r="U6371" t="str"><v>Audience & Interest Targeting</v></cell><cell r="V6371" t="str"><v>Audience Targeting</v></cell><cell r="W6371" t="str"><v>Link Ad</v></cell><cell r="X6371" t="str"><v>1x1</v></cell></row><row r="6371"><cell r="AA6371"><v>43327</v></cell><cell r="AB6371" t="str"><v>GBR_gaPMG_CE_AZR_Q1_19_Trial-Social</v></cell><cell r="AC6371"><v>21337013</v></cell><cell r="AD6371"><v>720196</v></cell><cell r="AE6371" t="str"><v>Facebook</v></cell><cell r="AF6371"><v>3654128</v></cell><cell r="AG6371" t="str"><v>Facebook»Audience & Interest Targeting»1x1»SocialBan»LIA»DT»CPC»AUT»W»NA»SS»NA»Brand in Motion</v></cell><cell r="AH6371"><v>224549481</v></cell><cell r="AI6371" t="str"><v>AzurePlatform_FBCTCcanvaspage-StartFreeCTA-Img2_GBR_1080x143 _SOC_Plat_English_NA_Standard_NA_NA_T2_1</v></cell><cell r="AJ6371"><v>103235146</v></cell></row><row r="6372"><cell r="C6372" t="str"><v>43327Facebook»Retargeting»1x1»SocialBan»LIA»DT»DYN»RT»W»NA»SS»NA»Free Account Retargeting Generic- Animated ChC</v></cell><cell r="D6372" t="str"><v>43327223560299</v></cell><cell r="E6372" t="str"><v>43327102854019ed ChC</v></cell><cell r="F6372" t="str"><v>DCM</v></cell><cell r="G6372" t="str"><v>https://azure.microsoft.com/en-gb/free/search/</v></cell></row><row r="6372"><cell r="K6372" t="str"><v>August</v></cell><cell r="L6372"><v>43330</v></cell><cell r="M6372" t="str"><v>Tier 1</v></cell><cell r="N6372" t="str"><v>EMEA</v></cell><cell r="O6372" t="str"><v>United Kingdom</v></cell><cell r="P6372" t="str"><v>Trial</v></cell><cell r="Q6372" t="str"><v>Social</v></cell><cell r="R6372" t="str"><v>Azure</v></cell><cell r="S6372" t="str"><v>Apps & Infra</v></cell><cell r="T6372" t="str"><v>Developers & ITI's</v></cell><cell r="U6372" t="str"><v>Retargeting</v></cell><cell r="V6372" t="str"><v>Retargeting</v></cell><cell r="W6372" t="str"><v>Link Ad</v></cell><cell r="X6372" t="str"><v>1x1</v></cell></row><row r="6372"><cell r="AA6372"><v>43327</v></cell><cell r="AB6372" t="str"><v>GBR_gaPMG_CE_AZR_Q1_19_Trial-Social</v></cell><cell r="AC6372"><v>21337013</v></cell><cell r="AD6372"><v>720196</v></cell><cell r="AE6372" t="str"><v>Facebook</v></cell><cell r="AF6372"><v>3654128</v></cell><cell r="AG6372" t="str"><v>Facebook»Retargeting»1x1»SocialBan»LIA»DT»DYN»RT»W»NA»SS»NA»Free Account Retargeting Generic- Animated ChC</v></cell><cell r="AH6372"><v>223560299</v></cell><cell r="AI6372" t="str"><v>AzurePlatform_FreeAcctRetargetingFB-Animated-ChC_GBR_1200x628_SOC_Plat_EN_Free Account_Standard_ANI_SU_T3_1</v></cell><cell r="AJ6372"><v>102854019</v></cell></row><row r="6373"><cell r="C6373" t="str"><v>43327Facebook»Retargeting»1x1»SocialBan»LIA»DT»DYN»RT»W»NA»SS»NA»Free Account Retargeting Generic- Global Alt ChB</v></cell><cell r="D6373" t="str"><v>43327223560356</v></cell><cell r="E6373" t="str"><v>43327102854016lt ChB</v></cell><cell r="F6373" t="str"><v>DCM</v></cell><cell r="G6373" t="str"><v>https://azure.microsoft.com/en-gb/free/search/</v></cell></row><row r="6373"><cell r="K6373" t="str"><v>August</v></cell><cell r="L6373"><v>43330</v></cell><cell r="M6373" t="str"><v>Tier 1</v></cell><cell r="N6373" t="str"><v>EMEA</v></cell><cell r="O6373" t="str"><v>United Kingdom</v></cell><cell r="P6373" t="str"><v>Trial</v></cell><cell r="Q6373" t="str"><v>Social</v></cell><cell r="R6373" t="str"><v>Azure</v></cell><cell r="S6373" t="str"><v>Apps & Infra</v></cell><cell r="T6373" t="str"><v>Developers & ITI's</v></cell><cell r="U6373" t="str"><v>Retargeting</v></cell><cell r="V6373" t="str"><v>Retargeting</v></cell><cell r="W6373" t="str"><v>Link Ad</v></cell><cell r="X6373" t="str"><v>1x1</v></cell></row><row r="6373"><cell r="AA6373"><v>43327</v></cell><cell r="AB6373" t="str"><v>GBR_gaPMG_CE_AZR_Q1_19_Trial-Social</v></cell><cell r="AC6373"><v>21337013</v></cell><cell r="AD6373"><v>720196</v></cell><cell r="AE6373" t="str"><v>Facebook</v></cell><cell r="AF6373"><v>3654128</v></cell><cell r="AG6373" t="str"><v>Facebook»Retargeting»1x1»SocialBan»LIA»DT»DYN»RT»W»NA»SS»NA»Free Account Retargeting Generic- Global Alt ChB</v></cell><cell r="AH6373"><v>223560356</v></cell><cell r="AI6373" t="str"><v>AzurePlatform_FreeAcctRetargetingFB-GlobalAlt-ChB_GBR_1200x628_SOC_Plat_EN_Free Account_Standard_NA_SU_T2_1</v></cell><cell r="AJ6373"><v>102854016</v></cell></row><row r="6374"><cell r="C6374" t="str"><v>43327Facebook»Retargeting»1x1»SocialBan»LIA»DT»DYN»RT»W»NA»SS»NA»Free Account Retargeting OSS- Logos ChG</v></cell><cell r="D6374" t="str"><v>43327223560350</v></cell><cell r="E6374" t="str"><v>43327103006547os ChG</v></cell><cell r="F6374" t="str"><v>DCM</v></cell><cell r="G6374" t="str"><v>https://azure.microsoft.com/en-gb/free/open-source/search/</v></cell></row><row r="6374"><cell r="K6374" t="str"><v>August</v></cell><cell r="L6374"><v>43330</v></cell><cell r="M6374" t="str"><v>Tier 1</v></cell><cell r="N6374" t="str"><v>EMEA</v></cell><cell r="O6374" t="str"><v>United Kingdom</v></cell><cell r="P6374" t="str"><v>Trial</v></cell><cell r="Q6374" t="str"><v>Social</v></cell><cell r="R6374" t="str"><v>Azure</v></cell><cell r="S6374" t="str"><v>Apps & Infra</v></cell><cell r="T6374" t="str"><v>Developers & ITI's</v></cell><cell r="U6374" t="str"><v>Retargeting</v></cell><cell r="V6374" t="str"><v>Retargeting</v></cell><cell r="W6374" t="str"><v>Link Ad</v></cell><cell r="X6374" t="str"><v>1x1</v></cell></row><row r="6374"><cell r="AA6374"><v>43327</v></cell><cell r="AB6374" t="str"><v>GBR_gaPMG_CE_AZR_Q1_19_Trial-Social</v></cell><cell r="AC6374"><v>21337013</v></cell><cell r="AD6374"><v>720196</v></cell><cell r="AE6374" t="str"><v>Facebook</v></cell><cell r="AF6374"><v>3654128</v></cell><cell r="AG6374" t="str"><v>Facebook»Retargeting»1x1»SocialBan»LIA»DT»DYN»RT»W»NA»SS»NA»Free Account Retargeting OSS- Logos ChG</v></cell><cell r="AH6374"><v>223560350</v></cell><cell r="AI6374" t="str"><v>AzurePlatform_FreeAcctRetargetingOSSFB-Logos-ChG_GBR_1200x628_SOC_Plat_EN_Free Account_Standard_NA_SU_T2_1</v></cell><cell r="AJ6374"><v>103006547</v></cell></row><row r="6375"><cell r="C6375" t="str"><v>43327Facebook»Retargeting»1x1»SocialBan»LIA»DT»DYN»RT»W»NA»SS»NA»Free Account Retargeting OSS- Text ChF</v></cell><cell r="D6375" t="str"><v>43327223560344</v></cell><cell r="E6375" t="str"><v>43327102861246xt ChF</v></cell><cell r="F6375" t="str"><v>DCM</v></cell><cell r="G6375" t="str"><v>https://azure.microsoft.com/en-gb/free/open-source/search/</v></cell></row><row r="6375"><cell r="K6375" t="str"><v>August</v></cell><cell r="L6375"><v>43330</v></cell><cell r="M6375" t="str"><v>Tier 1</v></cell><cell r="N6375" t="str"><v>EMEA</v></cell><cell r="O6375" t="str"><v>United Kingdom</v></cell><cell r="P6375" t="str"><v>Trial</v></cell><cell r="Q6375" t="str"><v>Social</v></cell><cell r="R6375" t="str"><v>Azure</v></cell><cell r="S6375" t="str"><v>Apps & Infra</v></cell><cell r="T6375" t="str"><v>Developers & ITI's</v></cell><cell r="U6375" t="str"><v>Retargeting</v></cell><cell r="V6375" t="str"><v>Retargeting</v></cell><cell r="W6375" t="str"><v>Link Ad</v></cell><cell r="X6375" t="str"><v>1x1</v></cell></row><row r="6375"><cell r="AA6375"><v>43327</v></cell><cell r="AB6375" t="str"><v>GBR_gaPMG_CE_AZR_Q1_19_Trial-Social</v></cell><cell r="AC6375"><v>21337013</v></cell><cell r="AD6375"><v>720196</v></cell><cell r="AE6375" t="str"><v>Facebook</v></cell><cell r="AF6375"><v>3654128</v></cell><cell r="AG6375" t="str"><v>Facebook»Retargeting»1x1»SocialBan»LIA»DT»DYN»RT»W»NA»SS»NA»Free Account Retargeting OSS- Text ChF</v></cell><cell r="AH6375"><v>223560344</v></cell><cell r="AI6375" t="str"><v>AzurePlatform_FreeAcctRetargetingOSSFB-Text-ChF_GBR_1200x628_SOC_Plat_EN_Free Account_Standard_NA_SU_T1_1</v></cell><cell r="AJ6375"><v>102861246</v></cell></row><row r="6376"><cell r="C6376" t="str"><v>43327Facebook»Retargeting»1x1»SocialBan»LIA»DT»DYN»RT»W»NA»SS»NA»Free Account Retargeting VM- 750 Hrs ChD</v></cell><cell r="D6376" t="str"><v>43327223560338</v></cell><cell r="E6376" t="str"><v>43327102853603rs ChD</v></cell><cell r="F6376" t="str"><v>DCM</v></cell><cell r="G6376" t="str"><v>https://azure.microsoft.com/en-gb/free/virtual-machines/search/</v></cell></row><row r="6376"><cell r="K6376" t="str"><v>August</v></cell><cell r="L6376"><v>43330</v></cell><cell r="M6376" t="str"><v>Tier 1</v></cell><cell r="N6376" t="str"><v>EMEA</v></cell><cell r="O6376" t="str"><v>United Kingdom</v></cell><cell r="P6376" t="str"><v>Trial</v></cell><cell r="Q6376" t="str"><v>Social</v></cell><cell r="R6376" t="str"><v>Azure</v></cell><cell r="S6376" t="str"><v>Apps & Infra</v></cell><cell r="T6376" t="str"><v>Developers & ITI's</v></cell><cell r="U6376" t="str"><v>Retargeting</v></cell><cell r="V6376" t="str"><v>Retargeting</v></cell><cell r="W6376" t="str"><v>Link Ad</v></cell><cell r="X6376" t="str"><v>1x1</v></cell></row><row r="6376"><cell r="AA6376"><v>43327</v></cell><cell r="AB6376" t="str"><v>GBR_gaPMG_CE_AZR_Q1_19_Trial-Social</v></cell><cell r="AC6376"><v>21337013</v></cell><cell r="AD6376"><v>720196</v></cell><cell r="AE6376" t="str"><v>Facebook</v></cell><cell r="AF6376"><v>3654128</v></cell><cell r="AG6376" t="str"><v>Facebook»Retargeting»1x1»SocialBan»LIA»DT»DYN»RT»W»NA»SS»NA»Free Account Retargeting VM- 750 Hrs ChD</v></cell><cell r="AH6376"><v>223560338</v></cell><cell r="AI6376" t="str"><v>AzurePlatform_FreeAcctRetargetingVMFB-750Hrs-ChD_GBR_1200x628_SOC_Plat_EN_Free Account_Standard_NA_SU_T1_1</v></cell><cell r="AJ6376"><v>102853603</v></cell></row><row r="6377"><cell r="C6377" t="str"><v>43327Facebook»Retargeting»1x1»SocialBan»LIA»DT»DYN»RT»W»NA»SS»NA»Free Account Retargeting VM- On Demand ChE</v></cell><cell r="D6377" t="str"><v>43327223560332</v></cell><cell r="E6377" t="str"><v>43327102854037nd ChE</v></cell><cell r="F6377" t="str"><v>DCM</v></cell><cell r="G6377" t="str"><v>https://azure.microsoft.com/en-gb/free/virtual-machines/search/</v></cell></row><row r="6377"><cell r="K6377" t="str"><v>August</v></cell><cell r="L6377"><v>43330</v></cell><cell r="M6377" t="str"><v>Tier 1</v></cell><cell r="N6377" t="str"><v>EMEA</v></cell><cell r="O6377" t="str"><v>United Kingdom</v></cell><cell r="P6377" t="str"><v>Trial</v></cell><cell r="Q6377" t="str"><v>Social</v></cell><cell r="R6377" t="str"><v>Azure</v></cell><cell r="S6377" t="str"><v>Apps & Infra</v></cell><cell r="T6377" t="str"><v>Developers & ITI's</v></cell><cell r="U6377" t="str"><v>Retargeting</v></cell><cell r="V6377" t="str"><v>Retargeting</v></cell><cell r="W6377" t="str"><v>Link Ad</v></cell><cell r="X6377" t="str"><v>1x1</v></cell></row><row r="6377"><cell r="AA6377"><v>43327</v></cell><cell r="AB6377" t="str"><v>GBR_gaPMG_CE_AZR_Q1_19_Trial-Social</v></cell><cell r="AC6377"><v>21337013</v></cell><cell r="AD6377"><v>720196</v></cell><cell r="AE6377" t="str"><v>Facebook</v></cell><cell r="AF6377"><v>3654128</v></cell><cell r="AG6377" t="str"><v>Facebook»Retargeting»1x1»SocialBan»LIA»DT»DYN»RT»W»NA»SS»NA»Free Account Retargeting VM- On Demand ChE</v></cell><cell r="AH6377"><v>223560332</v></cell><cell r="AI6377" t="str"><v>AzurePlatform_FreeAcctRetargetingVMFB-OnDemand-ChE_GBR_1200x628_SOC_Plat_EN_Free Account_Standard_NA_SU_T2_1</v></cell><cell r="AJ6377"><v>102854037</v></cell></row><row r="6378"><cell r="C6378" t="str"><v>43327Facebook»Audience & Interest Targeting- Azure Trial Lookalikes»1x1»TextLink»CAN»MO»CPM»AUT»W»NA»SS»NA»Free Account Developer- Open Source</v></cell><cell r="D6378" t="str"><v>43327227035821</v></cell><cell r="E6378" t="str"><v>43327103230847Source</v></cell><cell r="F6378" t="str"><v>DCM</v></cell><cell r="G6378" t="str"><v>https://azure.microsoft.com/en-gb/pricing/purchase-options/</v></cell></row><row r="6378"><cell r="K6378" t="str"><v>August</v></cell><cell r="L6378"><v>43330</v></cell><cell r="M6378" t="str"><v>Tier 1</v></cell><cell r="N6378" t="str"><v>EMEA</v></cell><cell r="O6378" t="str"><v>United Kingdom</v></cell><cell r="P6378" t="str"><v>Trial</v></cell><cell r="Q6378" t="str"><v>Social</v></cell><cell r="R6378" t="str"><v>Azure</v></cell><cell r="S6378" t="str"><v>Apps & Infra</v></cell><cell r="T6378" t="str"><v>Developers & ITI's</v></cell><cell r="U6378" t="str"><v>Audience & Interest Targeting- Azure Trial Lookalikes</v></cell><cell r="V6378" t="str"><v>Audience Targeting</v></cell><cell r="W6378" t="str"><v>Canvas Ad</v></cell><cell r="X6378" t="str"><v>1x1</v></cell></row><row r="6378"><cell r="AA6378"><v>43327</v></cell><cell r="AB6378" t="str"><v>GBR_gaPMG_CE_AZR_Q1_19_Trial-Social</v></cell><cell r="AC6378"><v>21337013</v></cell><cell r="AD6378"><v>720196</v></cell><cell r="AE6378" t="str"><v>Facebook</v></cell><cell r="AF6378"><v>3654128</v></cell><cell r="AG6378" t="str"><v>Facebook»Audience & Interest Targeting- Azure Trial Lookalikes»1x1»TextLink»CAN»MO»CPM»AUT»W»NA»SS»NA»Free Account Developer- Open Source</v></cell><cell r="AH6378"><v>227035821</v></cell><cell r="AI6378" t="str"><v>AzurePlatform_FBCTCcanvaspage-BuyNowCTA-Img3_GBR_1080x162_SOC_Plat_English_NA_Standard_NA_BN_T3_1</v></cell><cell r="AJ6378"><v>103230847</v></cell></row><row r="6379"><cell r="C6379" t="str"><v>43327Facebook»Audience & Interest Targeting- Azure Trial Lookalikes»1x1»TextLink»CAN»MO»CPM»AUT»W»NA»SS»NA»Free Account Developer- Open Source</v></cell><cell r="D6379" t="str"><v>43327227035821</v></cell><cell r="E6379" t="str"><v>43327103235146Source</v></cell><cell r="F6379" t="str"><v>DCM</v></cell><cell r="G6379" t="str"><v>https://signup.azure.com/signup?offer=ms-azr-0044p&appId=102&ref=paidmedia-social-fb&redirectURL=https%3a%2f%2fazure.microsoft.com%2fen-gb%2fget-started%2fwelcome-to-azure%2f&l=en-gb&correlationId=ead86c34-1f10-49dd-a72b-6918462a2cbf</v></cell></row><row r="6379"><cell r="K6379" t="str"><v>August</v></cell><cell r="L6379"><v>43330</v></cell><cell r="M6379" t="str"><v>Tier 1</v></cell><cell r="N6379" t="str"><v>EMEA</v></cell><cell r="O6379" t="str"><v>United Kingdom</v></cell><cell r="P6379" t="str"><v>Trial</v></cell><cell r="Q6379" t="str"><v>Social</v></cell><cell r="R6379" t="str"><v>Azure</v></cell><cell r="S6379" t="str"><v>Apps & Infra</v></cell><cell r="T6379" t="str"><v>Developers & ITI's</v></cell><cell r="U6379" t="str"><v>Audience & Interest Targeting- Azure Trial Lookalikes</v></cell><cell r="V6379" t="str"><v>Audience Targeting</v></cell><cell r="W6379" t="str"><v>Canvas Ad</v></cell><cell r="X6379" t="str"><v>1x1</v></cell></row><row r="6379"><cell r="AA6379"><v>43327</v></cell><cell r="AB6379" t="str"><v>GBR_gaPMG_CE_AZR_Q1_19_Trial-Social</v></cell><cell r="AC6379"><v>21337013</v></cell><cell r="AD6379"><v>720196</v></cell><cell r="AE6379" t="str"><v>Facebook</v></cell><cell r="AF6379"><v>3654128</v></cell><cell r="AG6379" t="str"><v>Facebook»Audience & Interest Targeting- Azure Trial Lookalikes»1x1»TextLink»CAN»MO»CPM»AUT»W»NA»SS»NA»Free Account Developer- Open Source</v></cell><cell r="AH6379"><v>227035821</v></cell><cell r="AI6379" t="str"><v>AzurePlatform_FBCTCcanvaspage-StartFreeCTA-Img2_GBR_1080x143 _SOC_Plat_English_NA_Standard_NA_NA_T2_1</v></cell><cell r="AJ6379"><v>103235146</v></cell></row><row r="6380"><cell r="C6380" t="str"><v>43327Facebook»Audience & Interest Targeting- Azure Trial Lookalikes»1x1»TextLink»CAN»MO»CPM»AUT»W»NA»SS»NA»Free Account IT Pro- Hybrid</v></cell><cell r="D6380" t="str"><v>43327227035833</v></cell><cell r="E6380" t="str"><v>43327103230847Hybrid</v></cell><cell r="F6380" t="str"><v>DCM</v></cell><cell r="G6380" t="str"><v>https://azure.microsoft.com/en-gb/pricing/purchase-options/</v></cell></row><row r="6380"><cell r="K6380" t="str"><v>August</v></cell><cell r="L6380"><v>43330</v></cell><cell r="M6380" t="str"><v>Tier 1</v></cell><cell r="N6380" t="str"><v>EMEA</v></cell><cell r="O6380" t="str"><v>United Kingdom</v></cell><cell r="P6380" t="str"><v>Trial</v></cell><cell r="Q6380" t="str"><v>Social</v></cell><cell r="R6380" t="str"><v>Azure</v></cell><cell r="S6380" t="str"><v>Apps & Infra</v></cell><cell r="T6380" t="str"><v>Developers & ITI's</v></cell><cell r="U6380" t="str"><v>Audience & Interest Targeting- Azure Trial Lookalikes</v></cell><cell r="V6380" t="str"><v>Audience Targeting</v></cell><cell r="W6380" t="str"><v>Canvas Ad</v></cell><cell r="X6380" t="str"><v>1x1</v></cell></row><row r="6380"><cell r="AA6380"><v>43327</v></cell><cell r="AB6380" t="str"><v>GBR_gaPMG_CE_AZR_Q1_19_Trial-Social</v></cell><cell r="AC6380"><v>21337013</v></cell><cell r="AD6380"><v>720196</v></cell><cell r="AE6380" t="str"><v>Facebook</v></cell><cell r="AF6380"><v>3654128</v></cell><cell r="AG6380" t="str"><v>Facebook»Audience & Interest Targeting- Azure Trial Lookalikes»1x1»TextLink»CAN»MO»CPM»AUT»W»NA»SS»NA»Free Account IT Pro- Hybrid</v></cell><cell r="AH6380"><v>227035833</v></cell><cell r="AI6380" t="str"><v>AzurePlatform_FBCTCcanvaspage-BuyNowCTA-Img3_GBR_1080x162_SOC_Plat_English_NA_Standard_NA_BN_T3_1</v></cell><cell r="AJ6380"><v>103230847</v></cell></row><row r="6381"><cell r="C6381" t="str"><v>43327Facebook»AZP-Canvas-Interest&Role-Trial»1x1»Canvas»OTH»MO»CPM»PRO»X»UNK»TP»OT»Canvas-Trial</v></cell><cell r="D6381" t="str"><v>43327223298805</v></cell><cell r="E6381" t="str"><v>43327102630373-Trial</v></cell><cell r="F6381" t="str"><v>DCM</v></cell><cell r="G6381" t="str"><v>https://azure.microsoft.com/ja-jp/pricing/purchase-options/</v></cell></row><row r="6381"><cell r="K6381" t="str"><v>August</v></cell><cell r="L6381"><v>43330</v></cell><cell r="M6381" t="str"><v>Tier 1</v></cell><cell r="N6381" t="str"><v>APAC</v></cell><cell r="O6381" t="str"><v>Japan</v></cell><cell r="P6381" t="str"><v>Trial</v></cell><cell r="Q6381" t="str"><v>Social</v></cell><cell r="R6381" t="str"><v>Azure</v></cell><cell r="S6381" t="str"><v>Apps & Infra</v></cell><cell r="T6381" t="str"><v>Developers & ITI's</v></cell><cell r="U6381" t="str"><v>AZP-Canvas-Interest&Role-Trial</v></cell><cell r="V6381" t="str"><v>Prospecting</v></cell><cell r="W6381" t="str"><v>Other</v></cell><cell r="X6381" t="str"><v>1x1</v></cell></row><row r="6381"><cell r="AA6381"><v>43327</v></cell><cell r="AB6381" t="str"><v>JPN_gaPMG_AZR_AZR_Q1_19_Trial-Social</v></cell><cell r="AC6381"><v>21276694</v></cell><cell r="AD6381"><v>720195</v></cell><cell r="AE6381" t="str"><v>Facebook</v></cell><cell r="AF6381"><v>3654128</v></cell><cell r="AG6381" t="str"><v>Facebook»AZP-Canvas-Interest&Role-Trial»1x1»Canvas»OTH»MO»CPM»PRO»X»UNK»TP»OT»Canvas-Trial</v></cell><cell r="AH6381"><v>223298805</v></cell><cell r="AI6381" t="str"><v>AzurePlatform_FBCTCcanvaspage-BuyNowCTA-Img3_JPN_1080x162_SOC_Plat_Japanese_NA_Standard_NA_BN_T3_1</v></cell><cell r="AJ6381"><v>102630373</v></cell></row><row r="6382"><cell r="C6382" t="str"><v>43327Facebook»AZP-Canvas-Interest&Role-Trial»1x1»Canvas»OTH»MO»CPM»PRO»X»UNK»TP»OT»Canvas-Trial</v></cell><cell r="D6382" t="str"><v>43327223298805</v></cell><cell r="E6382" t="str"><v>43327102609621-Trial</v></cell><cell r="F6382" t="str"><v>DCM</v></cell><cell r="G6382" t="str"><v>https://signup.azure.com/signup?offer=ms-azr-0044p&appId=102&ref=paidmedia-social-fb&redirectURL=https%3a%2f%2fazure.microsoft.com%2fja-jp%2fget-started%2fwelcome-to-azure%2f&l=ja-jp&correlationId=ead86c34-1f10-49dd-a72b-6918462a2cbf</v></cell></row><row r="6382"><cell r="K6382" t="str"><v>August</v></cell><cell r="L6382"><v>43330</v></cell><cell r="M6382" t="str"><v>Tier 1</v></cell><cell r="N6382" t="str"><v>APAC</v></cell><cell r="O6382" t="str"><v>Japan</v></cell><cell r="P6382" t="str"><v>Trial</v></cell><cell r="Q6382" t="str"><v>Social</v></cell><cell r="R6382" t="str"><v>Azure</v></cell><cell r="S6382" t="str"><v>Apps & Infra</v></cell><cell r="T6382" t="str"><v>Developers & ITI's</v></cell><cell r="U6382" t="str"><v>AZP-Canvas-Interest&Role-Trial</v></cell><cell r="V6382" t="str"><v>Prospecting</v></cell><cell r="W6382" t="str"><v>Other</v></cell><cell r="X6382" t="str"><v>1x1</v></cell></row><row r="6382"><cell r="AA6382"><v>43327</v></cell><cell r="AB6382" t="str"><v>JPN_gaPMG_AZR_AZR_Q1_19_Trial-Social</v></cell><cell r="AC6382"><v>21276694</v></cell><cell r="AD6382"><v>720195</v></cell><cell r="AE6382" t="str"><v>Facebook</v></cell><cell r="AF6382"><v>3654128</v></cell><cell r="AG6382" t="str"><v>Facebook»AZP-Canvas-Interest&Role-Trial»1x1»Canvas»OTH»MO»CPM»PRO»X»UNK»TP»OT»Canvas-Trial</v></cell><cell r="AH6382"><v>223298805</v></cell><cell r="AI6382" t="str"><v>AzurePlatform_FBCTCcanvaspage-StartFreeCTA-Img2_JPN_1080x143 _SOC_Plat_Japanese_NA_Standard_NA_NA_T2_1</v></cell><cell r="AJ6382"><v>102609621</v></cell></row><row r="6383"><cell r="C6383" t="str"><v>43327Facebook»AZP-Canvas-Look a Like-Trial»1x1»Canvas»OTH»MO»CPM»PRO»X»UNK»TP»OT»Canvas-Trial</v></cell><cell r="D6383" t="str"><v>43327223297413</v></cell><cell r="E6383" t="str"><v>43327102630373-Trial</v></cell><cell r="F6383" t="str"><v>DCM</v></cell><cell r="G6383" t="str"><v>https://azure.microsoft.com/ja-jp/pricing/purchase-options/</v></cell></row><row r="6383"><cell r="K6383" t="str"><v>August</v></cell><cell r="L6383"><v>43330</v></cell><cell r="M6383" t="str"><v>Tier 1</v></cell><cell r="N6383" t="str"><v>APAC</v></cell><cell r="O6383" t="str"><v>Japan</v></cell><cell r="P6383" t="str"><v>Trial</v></cell><cell r="Q6383" t="str"><v>Social</v></cell><cell r="R6383" t="str"><v>Azure</v></cell><cell r="S6383" t="str"><v>Apps & Infra</v></cell><cell r="T6383" t="str"><v>Developers & ITI's</v></cell><cell r="U6383" t="str"><v>AZP-Canvas-Look a Like-Trial</v></cell><cell r="V6383" t="str"><v>Prospecting</v></cell><cell r="W6383" t="str"><v>Other</v></cell><cell r="X6383" t="str"><v>1x1</v></cell></row><row r="6383"><cell r="AA6383"><v>43327</v></cell><cell r="AB6383" t="str"><v>JPN_gaPMG_AZR_AZR_Q1_19_Trial-Social</v></cell><cell r="AC6383"><v>21276694</v></cell><cell r="AD6383"><v>720195</v></cell><cell r="AE6383" t="str"><v>Facebook</v></cell><cell r="AF6383"><v>3654128</v></cell><cell r="AG6383" t="str"><v>Facebook»AZP-Canvas-Look a Like-Trial»1x1»Canvas»OTH»MO»CPM»PRO»X»UNK»TP»OT»Canvas-Trial</v></cell><cell r="AH6383"><v>223297413</v></cell><cell r="AI6383" t="str"><v>AzurePlatform_FBCTCcanvaspage-BuyNowCTA-Img3_JPN_1080x162_SOC_Plat_Japanese_NA_Standard_NA_BN_T3_1</v></cell><cell r="AJ6383"><v>102630373</v></cell></row><row r="6384"><cell r="C6384" t="str"><v>43327Facebook»AZP-Canvas-Retargeting-Trial»1x1»Canvas»SOC»MO»CPM»PRO»W»UNK»SS»OT»Canvas-Trial</v></cell><cell r="D6384" t="str"><v>43327226269941</v></cell><cell r="E6384" t="str"><v>43327104061321-Trial</v></cell><cell r="F6384" t="str"><v>DCM</v></cell><cell r="G6384" t="str"><v>https://signup.azure.com/signup?offer=ms-azr-0044p&appId=102&ref=paidmedia-social-fb&redirectURL=https%3a%2f%2fazure.microsoft.com%2fja-jp%2fget-started%2fwelcome-to-azure%2f&l=ja-jp&correlationId=ead86c34-1f10-49dd-a72b-6918462a2cbf</v></cell></row><row r="6384"><cell r="K6384" t="str"><v>August</v></cell><cell r="L6384"><v>43330</v></cell><cell r="M6384" t="str"><v>Tier 1</v></cell><cell r="N6384" t="str"><v>APAC</v></cell><cell r="O6384" t="str"><v>Japan</v></cell><cell r="P6384" t="str"><v>Trial</v></cell><cell r="Q6384" t="str"><v>Social</v></cell><cell r="R6384" t="str"><v>Azure</v></cell><cell r="S6384" t="str"><v>Apps & Infra</v></cell><cell r="T6384" t="str"><v>Developers & ITI's</v></cell><cell r="U6384" t="str"><v>AZP-Canvas-Retargeting-Trial</v></cell><cell r="V6384" t="str"><v>Prospecting</v></cell><cell r="W6384" t="str"><v>Social</v></cell><cell r="X6384" t="str"><v>1x1</v></cell></row><row r="6384"><cell r="AA6384"><v>43327</v></cell><cell r="AB6384" t="str"><v>JPN_gaPMG_AZR_AZR_Q1_19_Trial-Social</v></cell><cell r="AC6384"><v>21276694</v></cell><cell r="AD6384"><v>720195</v></cell><cell r="AE6384" t="str"><v>Facebook</v></cell><cell r="AF6384"><v>3654128</v></cell><cell r="AG6384" t="str"><v>Facebook»AZP-Canvas-Retargeting-Trial»1x1»Canvas»SOC»MO»CPM»PRO»W»UNK»SS»OT»Canvas-Trial</v></cell><cell r="AH6384"><v>226269941</v></cell><cell r="AI6384" t="str"><v>AZR_FBCTCcanvaspage-StartFreeCTA-Img2_JPN_1080x143 _SOC_Plat_Japanese_NA_Standard_NA_NA_T2_1</v></cell><cell r="AJ6384"><v>104061321</v></cell></row><row r="6385"><cell r="C6385" t="str"><v>43327FACEBOOK»USA-Trial-ITD-Interest Prospecting-AZR-AZR»1 x 1»SocialBan»CAN»ALL»CPA»PRO»X»NA»SS»NA»FBCTCBenefit2inMotion»PRC1SW</v></cell><cell r="D6385" t="str"><v>43327223933138</v></cell><cell r="E6385" t="str"><v>43327103043835PRC1SW</v></cell><cell r="F6385" t="str"><v>DCM</v></cell><cell r="G6385" t="str"><v>https://signup.azure.com/?OCID=AID%eexcid!_OLA_%ebuy!_%epid!_%ecid!</v></cell></row><row r="6385"><cell r="K6385" t="str"><v>August</v></cell><cell r="L6385"><v>43330</v></cell><cell r="M6385" t="str"><v>Tier 0</v></cell><cell r="N6385" t="str"><v>North America</v></cell><cell r="O6385" t="str"><v>United States</v></cell><cell r="P6385" t="str"><v>Trial</v></cell><cell r="Q6385" t="str"><v>Social</v></cell><cell r="R6385" t="str"><v>Azure</v></cell><cell r="S6385" t="str"><v>Apps & Infra</v></cell><cell r="T6385" t="str"><v>Developers & ITI's</v></cell><cell r="U6385" t="str"><v>USA-Trial-ITD-Interest Prospecting-AZR-AZR</v></cell><cell r="V6385" t="str"><v>Prospecting</v></cell><cell r="W6385" t="str"><v>Canvas Ad</v></cell><cell r="X6385" t="str"><v>1x1</v></cell></row><row r="6385"><cell r="AA6385"><v>43327</v></cell><cell r="AB6385" t="str"><v>USA_gaPMG_AZR_AZR_Q1_19_Direct-Social</v></cell><cell r="AC6385"><v>21358715</v></cell><cell r="AD6385"><v>720197</v></cell><cell r="AE6385" t="str"><v>Facebook</v></cell><cell r="AF6385"><v>3654128</v></cell><cell r="AG6385" t="str"><v>FACEBOOK»USA-Trial-ITD-Interest Prospecting-AZR-AZR»1 x 1»SocialBan»CAN»ALL»CPA»PRO»X»NA»SS»NA»FBCTCBenefit2inMotion»PRC1SW</v></cell><cell r="AH6385"><v>223933138</v></cell><cell r="AI6385" t="str"><v>AzurePlatform_FBCTCBenefit2inMotion_USA_10s_CAN_PLATFORM_English_Trial_Standard_STAN_TIN_T4_1</v></cell><cell r="AJ6385"><v>103043835</v></cell></row><row r="6386"><cell r="C6386" t="str"><v>43327FACEBOOK»USA-Trial-ITD-Interest Prospecting-AZR-AZR»1 x 1»SocialBan»CAN»ALL»CPA»PRO»X»NA»SS»NA»FBCTCBenefit2inMotion»PRC1SW</v></cell><cell r="D6386" t="str"><v>43327223933138</v></cell><cell r="E6386" t="str"><v>43327103178645PRC1SW</v></cell><cell r="F6386" t="str"><v>DCM</v></cell><cell r="G6386" t="str"><v>https://azure.microsoft.com/en-us/pricing/purchase-options/?v=18.19&OCID=AID%eexcid!_OLA_%ebuy!_%epid!_%ecid!</v></cell></row><row r="6386"><cell r="K6386" t="str"><v>August</v></cell><cell r="L6386"><v>43330</v></cell><cell r="M6386" t="str"><v>Tier 0</v></cell><cell r="N6386" t="str"><v>North America</v></cell><cell r="O6386" t="str"><v>United States</v></cell><cell r="P6386" t="str"><v>Trial</v></cell><cell r="Q6386" t="str"><v>Social</v></cell><cell r="R6386" t="str"><v>Azure</v></cell><cell r="S6386" t="str"><v>Apps & Infra</v></cell><cell r="T6386" t="str"><v>Developers & ITI's</v></cell><cell r="U6386" t="str"><v>USA-Trial-ITD-Interest Prospecting-AZR-AZR</v></cell><cell r="V6386" t="str"><v>Prospecting</v></cell><cell r="W6386" t="str"><v>Canvas Ad</v></cell><cell r="X6386" t="str"><v>1x1</v></cell></row><row r="6386"><cell r="AA6386"><v>43327</v></cell><cell r="AB6386" t="str"><v>USA_gaPMG_AZR_AZR_Q1_19_Direct-Social</v></cell><cell r="AC6386"><v>21358715</v></cell><cell r="AD6386"><v>720197</v></cell><cell r="AE6386" t="str"><v>Facebook</v></cell><cell r="AF6386"><v>3654128</v></cell><cell r="AG6386" t="str"><v>FACEBOOK»USA-Trial-ITD-Interest Prospecting-AZR-AZR»1 x 1»SocialBan»CAN»ALL»CPA»PRO»X»NA»SS»NA»FBCTCBenefit2inMotion»PRC1SW</v></cell><cell r="AH6386"><v>223933138</v></cell><cell r="AI6386" t="str"><v>AzurePlatform_FBCTCBenefit2inMotion_USA_10s_CAN_PLATFORM_English_Trial_Standard_STAN_TIN_T4_2</v></cell><cell r="AJ6386"><v>103178645</v></cell></row><row r="6387"><cell r="C6387" t="str"><v>43327FACEBOOK»USA-Trial-ITD-Interest Prospecting-AZR-AZR»1 x 1»SocialBan»CAN»ALL»CPA»PRO»X»NA»SS»NA»FBCTCBrandinMotion»PRC1SY</v></cell><cell r="D6387" t="str"><v>43327224104929</v></cell><cell r="E6387" t="str"><v>43327103176812PRC1SY</v></cell><cell r="F6387" t="str"><v>DCM</v></cell><cell r="G6387" t="str"><v>https://signup.azure.com/?OCID=AID%eexcid!_OLA_%ebuy!_%epid!_%ecid!</v></cell></row><row r="6387"><cell r="K6387" t="str"><v>August</v></cell><cell r="L6387"><v>43330</v></cell><cell r="M6387" t="str"><v>Tier 0</v></cell><cell r="N6387" t="str"><v>North America</v></cell><cell r="O6387" t="str"><v>United States</v></cell><cell r="P6387" t="str"><v>Trial</v></cell><cell r="Q6387" t="str"><v>Social</v></cell><cell r="R6387" t="str"><v>Azure</v></cell><cell r="S6387" t="str"><v>Apps & Infra</v></cell><cell r="T6387" t="str"><v>Developers & ITI's</v></cell><cell r="U6387" t="str"><v>USA-Trial-ITD-Interest Prospecting-AZR-AZR</v></cell><cell r="V6387" t="str"><v>Prospecting</v></cell><cell r="W6387" t="str"><v>Canvas Ad</v></cell><cell r="X6387" t="str"><v>1x1</v></cell></row><row r="6387"><cell r="AA6387"><v>43327</v></cell><cell r="AB6387" t="str"><v>USA_gaPMG_AZR_AZR_Q1_19_Direct-Social</v></cell><cell r="AC6387"><v>21358715</v></cell><cell r="AD6387"><v>720197</v></cell><cell r="AE6387" t="str"><v>Facebook</v></cell><cell r="AF6387"><v>3654128</v></cell><cell r="AG6387" t="str"><v>FACEBOOK»USA-Trial-ITD-Interest Prospecting-AZR-AZR»1 x 1»SocialBan»CAN»ALL»CPA»PRO»X»NA»SS»NA»FBCTCBrandinMotion»PRC1SY</v></cell><cell r="AH6387"><v>224104929</v></cell><cell r="AI6387" t="str"><v>AzurePlatform_FBCTCBrandinMotion_USA_10s_CAN_PLATFORM_English_Trial_Standard_STAN_TIN_T2_1</v></cell><cell r="AJ6387"><v>103176812</v></cell></row><row r="6388"><cell r="C6388" t="str"><v>43327FACEBOOK»USA-Trial-ITD-Interest Prospecting-AZR-AZR»1 x 1»SocialBan»CAN»ALL»CPA»PRO»X»NA»SS»NA»FBCTCBrandinMotion»PRC1SY</v></cell><cell r="D6388" t="str"><v>43327224104929</v></cell><cell r="E6388" t="str"><v>43327103032823PRC1SY</v></cell><cell r="F6388" t="str"><v>DCM</v></cell><cell r="G6388" t="str"><v>https://azure.microsoft.com/en-us/pricing/purchase-options/?v=18.19&OCID=AID%eexcid!_OLA_%ebuy!_%epid!_%ecid!</v></cell></row><row r="6388"><cell r="K6388" t="str"><v>August</v></cell><cell r="L6388"><v>43330</v></cell><cell r="M6388" t="str"><v>Tier 0</v></cell><cell r="N6388" t="str"><v>North America</v></cell><cell r="O6388" t="str"><v>United States</v></cell><cell r="P6388" t="str"><v>Trial</v></cell><cell r="Q6388" t="str"><v>Social</v></cell><cell r="R6388" t="str"><v>Azure</v></cell><cell r="S6388" t="str"><v>Apps & Infra</v></cell><cell r="T6388" t="str"><v>Developers & ITI's</v></cell><cell r="U6388" t="str"><v>USA-Trial-ITD-Interest Prospecting-AZR-AZR</v></cell><cell r="V6388" t="str"><v>Prospecting</v></cell><cell r="W6388" t="str"><v>Canvas Ad</v></cell><cell r="X6388" t="str"><v>1x1</v></cell></row><row r="6388"><cell r="AA6388"><v>43327</v></cell><cell r="AB6388" t="str"><v>USA_gaPMG_AZR_AZR_Q1_19_Direct-Social</v></cell><cell r="AC6388"><v>21358715</v></cell><cell r="AD6388"><v>720197</v></cell><cell r="AE6388" t="str"><v>Facebook</v></cell><cell r="AF6388"><v>3654128</v></cell><cell r="AG6388" t="str"><v>FACEBOOK»USA-Trial-ITD-Interest Prospecting-AZR-AZR»1 x 1»SocialBan»CAN»ALL»CPA»PRO»X»NA»SS»NA»FBCTCBrandinMotion»PRC1SY</v></cell><cell r="AH6388"><v>224104929</v></cell><cell r="AI6388" t="str"><v>AzurePlatform_FBCTCBrandinMotion_USA_10s_CAN_PLATFORM_English_Trial_Standard_STAN_TIN_T2_2</v></cell><cell r="AJ6388"><v>103032823</v></cell></row><row r="6389"><cell r="C6389" t="str"><v>43327FACEBOOK»USA-Trial-ITD-Interest Prospecting-AZR-AZR»1 x 1»SocialBan»LIA»ALL»CPA»PRO»X»NA»SS»NA»FreeAcctDeveloperFB-AnimatedGeneric-Ch1»PRC1SZ</v></cell><cell r="D6389" t="str"><v>43327224104932</v></cell><cell r="E6389" t="str"><v>43327103176851PRC1SZ</v></cell><cell r="F6389" t="str"><v>DCM</v></cell><cell r="G6389" t="str"><v>https://azure.microsoft.com/en-us/free/search/?OCID=AID%eexcid!_OLA_%ebuy!_%epid!_%ecid!</v></cell></row><row r="6389"><cell r="K6389" t="str"><v>August</v></cell><cell r="L6389"><v>43330</v></cell><cell r="M6389" t="str"><v>Tier 0</v></cell><cell r="N6389" t="str"><v>North America</v></cell><cell r="O6389" t="str"><v>United States</v></cell><cell r="P6389" t="str"><v>Trial</v></cell><cell r="Q6389" t="str"><v>Social</v></cell><cell r="R6389" t="str"><v>Azure</v></cell><cell r="S6389" t="str"><v>Apps & Infra</v></cell><cell r="T6389" t="str"><v>Developers & ITI's</v></cell><cell r="U6389" t="str"><v>USA-Trial-ITD-Interest Prospecting-AZR-AZR</v></cell><cell r="V6389" t="str"><v>Prospecting</v></cell><cell r="W6389" t="str"><v>Link Ad</v></cell><cell r="X6389" t="str"><v>1x1</v></cell></row><row r="6389"><cell r="AA6389"><v>43327</v></cell><cell r="AB6389" t="str"><v>USA_gaPMG_AZR_AZR_Q1_19_Direct-Social</v></cell><cell r="AC6389"><v>21358715</v></cell><cell r="AD6389"><v>720197</v></cell><cell r="AE6389" t="str"><v>Facebook</v></cell><cell r="AF6389"><v>3654128</v></cell><cell r="AG6389" t="str"><v>FACEBOOK»USA-Trial-ITD-Interest Prospecting-AZR-AZR»1 x 1»SocialBan»LIA»ALL»CPA»PRO»X»NA»SS»NA»FreeAcctDeveloperFB-AnimatedGeneric-Ch1»PRC1SZ</v></cell><cell r="AH6389"><v>224104932</v></cell><cell r="AI6389" t="str"><v>AZR_FreeAcctDeveloperFB-AnimatedGeneric-Ch1_USA_1200x1200_CAN_Direct_English_Trial_Standard_ANI_LEA_T1_2</v></cell><cell r="AJ6389"><v>103176851</v></cell></row><row r="6390"><cell r="C6390" t="str"><v>43327FACEBOOK»USA-Trial-ITD-Interest Prospecting-AZR-AZR»1 x 1»SocialBan»LIA»ALL»CPA»PRO»X»NA»SS»NA»FreeAcctITProFB-AnimatedSecureMngd-Ch1»PRC1T4</v></cell><cell r="D6390" t="str"><v>43327224104914</v></cell><cell r="E6390" t="str"><v>43327103176830PRC1T4</v></cell><cell r="F6390" t="str"><v>DCM</v></cell></row><row r="6390"><cell r="K6390" t="str"><v>August</v></cell><cell r="L6390"><v>43330</v></cell><cell r="M6390" t="str"><v>Tier 0</v></cell><cell r="N6390" t="str"><v>North America</v></cell><cell r="O6390" t="str"><v>United States</v></cell><cell r="P6390" t="str"><v>Trial</v></cell><cell r="Q6390" t="str"><v>Social</v></cell><cell r="R6390" t="str"><v>Azure</v></cell><cell r="S6390" t="str"><v>Apps & Infra</v></cell><cell r="T6390" t="str"><v>Developers & ITI's</v></cell><cell r="U6390" t="str"><v>USA-Trial-ITD-Interest Prospecting-AZR-AZR</v></cell><cell r="V6390" t="str"><v>Prospecting</v></cell><cell r="W6390" t="str"><v>Link Ad</v></cell><cell r="X6390" t="str"><v>1x1</v></cell></row><row r="6390"><cell r="AA6390"><v>43327</v></cell><cell r="AB6390" t="str"><v>USA_gaPMG_AZR_AZR_Q1_19_Direct-Social</v></cell><cell r="AC6390"><v>21358715</v></cell><cell r="AD6390"><v>720197</v></cell><cell r="AE6390" t="str"><v>Facebook</v></cell><cell r="AF6390"><v>3654128</v></cell><cell r="AG6390" t="str"><v>FACEBOOK»USA-Trial-ITD-Interest Prospecting-AZR-AZR»1 x 1»SocialBan»LIA»ALL»CPA»PRO»X»NA»SS»NA»FreeAcctITProFB-AnimatedSecureMngd-Ch1»PRC1T4</v></cell><cell r="AH6390"><v>224104914</v></cell><cell r="AI6390" t="str"><v>AZR_FreeAcctITProFB-AnimatedSecureMngd-Ch1_USA_1200x1200_CAN_Direct_English_Trial_Standard_ANI_LEA_T1_1</v></cell><cell r="AJ6390"><v>103176830</v></cell></row><row r="6391"><cell r="C6391" t="str"><v>43327FACEBOOK»USA-Trial-ITD-Interest Prospecting-AZR-AZR»1 x 1»SocialBan»CAN»ALL»CPA»PRO»X»NA»SS»NA»FBCTCBenefitinMotion»PRC1SX</v></cell><cell r="D6391" t="str"><v>43327224104077</v></cell><cell r="E6391" t="str"><v>43327103032775PRC1SX</v></cell><cell r="F6391" t="str"><v>DCM</v></cell><cell r="G6391" t="str"><v>https://signup.azure.com/?OCID=AID%eexcid!_OLA_%ebuy!_%epid!_%ecid!</v></cell></row><row r="6391"><cell r="K6391" t="str"><v>August</v></cell><cell r="L6391"><v>43330</v></cell><cell r="M6391" t="str"><v>Tier 0</v></cell><cell r="N6391" t="str"><v>North America</v></cell><cell r="O6391" t="str"><v>United States</v></cell><cell r="P6391" t="str"><v>Trial</v></cell><cell r="Q6391" t="str"><v>Social</v></cell><cell r="R6391" t="str"><v>Azure</v></cell><cell r="S6391" t="str"><v>Apps & Infra</v></cell><cell r="T6391" t="str"><v>Developers & ITI's</v></cell><cell r="U6391" t="str"><v>USA-Trial-ITD-Interest Prospecting-AZR-AZR</v></cell><cell r="V6391" t="str"><v>Prospecting</v></cell><cell r="W6391" t="str"><v>Canvas Ad</v></cell><cell r="X6391" t="str"><v>1x1</v></cell></row><row r="6391"><cell r="AA6391"><v>43327</v></cell><cell r="AB6391" t="str"><v>USA_gaPMG_AZR_AZR_Q1_19_Direct-Social</v></cell><cell r="AC6391"><v>21358715</v></cell><cell r="AD6391"><v>720197</v></cell><cell r="AE6391" t="str"><v>Facebook</v></cell><cell r="AF6391"><v>3654128</v></cell><cell r="AG6391" t="str"><v>FACEBOOK»USA-Trial-ITD-Interest Prospecting-AZR-AZR»1 x 1»SocialBan»CAN»ALL»CPA»PRO»X»NA»SS»NA»FBCTCBenefitinMotion»PRC1SX</v></cell><cell r="AH6391"><v>224104077</v></cell><cell r="AI6391" t="str"><v>AzurePlatform_FBCTCBenefitinMotion_USA_10s_CAN_PLATFORM_English_Trial_Standard_STAN_TIN_T3_1</v></cell><cell r="AJ6391"><v>103032775</v></cell></row><row r="6392"><cell r="C6392" t="str"><v>43327FACEBOOK»USA-Trial-ITD-Interest Prospecting-AZR-AZR»1 x 1»SocialBan»CAN»ALL»CPA»PRO»X»NA»SS»NA»FBCTCBenefitinMotion»PRC1SX</v></cell><cell r="D6392" t="str"><v>43327224104077</v></cell><cell r="E6392" t="str"><v>43327103176836PRC1SX</v></cell><cell r="F6392" t="str"><v>DCM</v></cell><cell r="G6392" t="str"><v>https://azure.microsoft.com/en-us/pricing/purchase-options/?v=18.19&OCID=AID%eexcid!_OLA_%ebuy!_%epid!_%ecid!</v></cell></row><row r="6392"><cell r="K6392" t="str"><v>August</v></cell><cell r="L6392"><v>43330</v></cell><cell r="M6392" t="str"><v>Tier 0</v></cell><cell r="N6392" t="str"><v>North America</v></cell><cell r="O6392" t="str"><v>United States</v></cell><cell r="P6392" t="str"><v>Trial</v></cell><cell r="Q6392" t="str"><v>Social</v></cell><cell r="R6392" t="str"><v>Azure</v></cell><cell r="S6392" t="str"><v>Apps & Infra</v></cell><cell r="T6392" t="str"><v>Developers & ITI's</v></cell><cell r="U6392" t="str"><v>USA-Trial-ITD-Interest Prospecting-AZR-AZR</v></cell><cell r="V6392" t="str"><v>Prospecting</v></cell><cell r="W6392" t="str"><v>Canvas Ad</v></cell><cell r="X6392" t="str"><v>1x1</v></cell></row><row r="6392"><cell r="AA6392"><v>43327</v></cell><cell r="AB6392" t="str"><v>USA_gaPMG_AZR_AZR_Q1_19_Direct-Social</v></cell><cell r="AC6392"><v>21358715</v></cell><cell r="AD6392"><v>720197</v></cell><cell r="AE6392" t="str"><v>Facebook</v></cell><cell r="AF6392"><v>3654128</v></cell><cell r="AG6392" t="str"><v>FACEBOOK»USA-Trial-ITD-Interest Prospecting-AZR-AZR»1 x 1»SocialBan»CAN»ALL»CPA»PRO»X»NA»SS»NA»FBCTCBenefitinMotion»PRC1SX</v></cell><cell r="AH6392"><v>224104077</v></cell><cell r="AI6392" t="str"><v>AzurePlatform_FBCTCBenefitinMotion_USA_10s_CAN_PLATFORM_English_Trial_Standard_STAN_TIN_T3_2</v></cell><cell r="AJ6392"><v>103176836</v></cell></row><row r="6393"><cell r="C6393" t="str"><v>43327FACEBOOK»USA-Trial-ITD-Retargeting-AZR-AZR»1 x 1»SocialBan»LIA»ALL»CPA»RT»X»NA»SS»NA»FreeAcctITProFB-AnimatedMigration-Ch3»PRC26P</v></cell><cell r="D6393" t="str"><v>43327223934056</v></cell><cell r="E6393" t="str"><v>43327103176827PRC26P</v></cell><cell r="F6393" t="str"><v>DCM</v></cell></row><row r="6393"><cell r="K6393" t="str"><v>August</v></cell><cell r="L6393"><v>43330</v></cell><cell r="M6393" t="str"><v>Tier 0</v></cell><cell r="N6393" t="str"><v>North America</v></cell><cell r="O6393" t="str"><v>United States</v></cell><cell r="P6393" t="str"><v>Trial</v></cell><cell r="Q6393" t="str"><v>Social</v></cell><cell r="R6393" t="str"><v>Azure</v></cell><cell r="S6393" t="str"><v>Apps & Infra</v></cell><cell r="T6393" t="str"><v>Developers & ITI's</v></cell><cell r="U6393" t="str"><v>USA-Trial-ITD-Retargeting-AZR-AZR</v></cell><cell r="V6393" t="str"><v>Retargeting</v></cell><cell r="W6393" t="str"><v>Link Ad</v></cell><cell r="X6393" t="str"><v>1x1</v></cell></row><row r="6393"><cell r="AA6393"><v>43327</v></cell><cell r="AB6393" t="str"><v>USA_gaPMG_AZR_AZR_Q1_19_Direct-Social</v></cell><cell r="AC6393"><v>21358715</v></cell><cell r="AD6393"><v>720197</v></cell><cell r="AE6393" t="str"><v>Facebook</v></cell><cell r="AF6393"><v>3654128</v></cell><cell r="AG6393" t="str"><v>FACEBOOK»USA-Trial-ITD-Retargeting-AZR-AZR»1 x 1»SocialBan»LIA»ALL»CPA»RT»X»NA»SS»NA»FreeAcctITProFB-AnimatedMigration-Ch3»PRC26P</v></cell><cell r="AH6393"><v>223934056</v></cell><cell r="AI6393" t="str"><v>AZR_FreeAcctITProFB-AnimatedMigration-Ch3_USA_1200x1200_CAN_Direct_English_Trial_Standard_ANI_LEA_T3_1</v></cell><cell r="AJ6393"><v>103176827</v></cell></row><row r="6394"><cell r="C6394" t="str"><v>43327FACEBOOK»USA-Trial-ITD-Retargeting-AZR-AZR»1 x 1»SocialBan»LIA»ALL»CPA»RT»X»NA»SS»NA»FreeAcctRetargetingFB-Credit-ChA»PRC1RV</v></cell><cell r="D6394" t="str"><v>43327224106075</v></cell><cell r="E6394" t="str"><v>43327103034917PRC1RV</v></cell><cell r="F6394" t="str"><v>DCM</v></cell><cell r="G6394" t="str"><v>https://azure.microsoft.com/en-us/free/search/?OCID=AID%eexcid!_OLA_%ebuy!_%epid!_%ecid!</v></cell></row><row r="6394"><cell r="K6394" t="str"><v>August</v></cell><cell r="L6394"><v>43330</v></cell><cell r="M6394" t="str"><v>Tier 0</v></cell><cell r="N6394" t="str"><v>North America</v></cell><cell r="O6394" t="str"><v>United States</v></cell><cell r="P6394" t="str"><v>Trial</v></cell><cell r="Q6394" t="str"><v>Social</v></cell><cell r="R6394" t="str"><v>Azure</v></cell><cell r="S6394" t="str"><v>Apps & Infra</v></cell><cell r="T6394" t="str"><v>Developers & ITI's</v></cell><cell r="U6394" t="str"><v>USA-Trial-ITD-Retargeting-AZR-AZR</v></cell><cell r="V6394" t="str"><v>Retargeting</v></cell><cell r="W6394" t="str"><v>Link Ad</v></cell><cell r="X6394" t="str"><v>1x1</v></cell></row><row r="6394"><cell r="AA6394"><v>43327</v></cell><cell r="AB6394" t="str"><v>USA_gaPMG_AZR_AZR_Q1_19_Direct-Social</v></cell><cell r="AC6394"><v>21358715</v></cell><cell r="AD6394"><v>720197</v></cell><cell r="AE6394" t="str"><v>Facebook</v></cell><cell r="AF6394"><v>3654128</v></cell><cell r="AG6394" t="str"><v>FACEBOOK»USA-Trial-ITD-Retargeting-AZR-AZR»1 x 1»SocialBan»LIA»ALL»CPA»RT»X»NA»SS»NA»FreeAcctRetargetingFB-Credit-ChA»PRC1RV</v></cell><cell r="AH6394"><v>224106075</v></cell><cell r="AI6394" t="str"><v>AzurePlatform_FreeAcctRetargetingFB-Credit-ChA_USA_1200x628_CAN_PLATFORM_English_Free Account_Standard_NA_SINU_T1_2</v></cell><cell r="AJ6394"><v>103034917</v></cell></row><row r="6395"><cell r="C6395" t="str"><v>43327FACEBOOK»USA-Trial-ITD-Retargeting-AZR-AZR»1 x 1»SocialBan»LIA»ALL»CPA»RT»X»NA»SS»NA»FreeAcctRetargetingFB-GlobalAlt-ChB»PRC1RW</v></cell><cell r="D6395" t="str"><v>43327223862756</v></cell><cell r="E6395" t="str"><v>43327103180592PRC1RW</v></cell><cell r="F6395" t="str"><v>DCM</v></cell><cell r="G6395" t="str"><v>https://azure.microsoft.com/en-us/free/search/?OCID=AID%eexcid!_OLA_%ebuy!_%epid!_%ecid!</v></cell></row><row r="6395"><cell r="K6395" t="str"><v>August</v></cell><cell r="L6395"><v>43330</v></cell><cell r="M6395" t="str"><v>Tier 0</v></cell><cell r="N6395" t="str"><v>North America</v></cell><cell r="O6395" t="str"><v>United States</v></cell><cell r="P6395" t="str"><v>Trial</v></cell><cell r="Q6395" t="str"><v>Social</v></cell><cell r="R6395" t="str"><v>Azure</v></cell><cell r="S6395" t="str"><v>Apps & Infra</v></cell><cell r="T6395" t="str"><v>Developers & ITI's</v></cell><cell r="U6395" t="str"><v>USA-Trial-ITD-Retargeting-AZR-AZR</v></cell><cell r="V6395" t="str"><v>Retargeting</v></cell><cell r="W6395" t="str"><v>Link Ad</v></cell><cell r="X6395" t="str"><v>1x1</v></cell></row><row r="6395"><cell r="AA6395"><v>43327</v></cell><cell r="AB6395" t="str"><v>USA_gaPMG_AZR_AZR_Q1_19_Direct-Social</v></cell><cell r="AC6395"><v>21358715</v></cell><cell r="AD6395"><v>720197</v></cell><cell r="AE6395" t="str"><v>Facebook</v></cell><cell r="AF6395"><v>3654128</v></cell><cell r="AG6395" t="str"><v>FACEBOOK»USA-Trial-ITD-Retargeting-AZR-AZR»1 x 1»SocialBan»LIA»ALL»CPA»RT»X»NA»SS»NA»FreeAcctRetargetingFB-GlobalAlt-ChB»PRC1RW</v></cell><cell r="AH6395"><v>223862756</v></cell><cell r="AI6395" t="str"><v>AzurePlatform_FreeAcctRetargetingFB-GlobalAlt-ChB_USA_1200x628_CAN_PLATFORM_English_Free Account_Standard_NA_SINU_T2_1</v></cell><cell r="AJ6395"><v>103180592</v></cell></row><row r="6396"><cell r="C6396" t="str"><v>43327FACEBOOK»USA-Trial-ITD-Retargeting-AZR-AZR»1 x 1»SocialBan»LIA»ALL»CPA»RT»X»NA»SS»NA»FreeAcctRetargetingVMFB-750Hrs-ChD»PRC1RY</v></cell><cell r="D6396" t="str"><v>43327223862747</v></cell><cell r="E6396" t="str"><v>43327103034911PRC1RY</v></cell><cell r="F6396" t="str"><v>DCM</v></cell><cell r="G6396" t="str"><v>https://azure.microsoft.com/en-us/free/virtual-machines/search/?OCID=AID%eexcid!_OLA_%ebuy!_%epid!_%ecid!</v></cell></row><row r="6396"><cell r="K6396" t="str"><v>August</v></cell><cell r="L6396"><v>43330</v></cell><cell r="M6396" t="str"><v>Tier 0</v></cell><cell r="N6396" t="str"><v>North America</v></cell><cell r="O6396" t="str"><v>United States</v></cell><cell r="P6396" t="str"><v>Trial</v></cell><cell r="Q6396" t="str"><v>Social</v></cell><cell r="R6396" t="str"><v>Azure</v></cell><cell r="S6396" t="str"><v>Apps & Infra</v></cell><cell r="T6396" t="str"><v>Developers & ITI's</v></cell><cell r="U6396" t="str"><v>USA-Trial-ITD-Retargeting-AZR-AZR</v></cell><cell r="V6396" t="str"><v>Retargeting</v></cell><cell r="W6396" t="str"><v>Link Ad</v></cell><cell r="X6396" t="str"><v>1x1</v></cell></row><row r="6396"><cell r="AA6396"><v>43327</v></cell><cell r="AB6396" t="str"><v>USA_gaPMG_AZR_AZR_Q1_19_Direct-Social</v></cell><cell r="AC6396"><v>21358715</v></cell><cell r="AD6396"><v>720197</v></cell><cell r="AE6396" t="str"><v>Facebook</v></cell><cell r="AF6396"><v>3654128</v></cell><cell r="AG6396" t="str"><v>FACEBOOK»USA-Trial-ITD-Retargeting-AZR-AZR»1 x 1»SocialBan»LIA»ALL»CPA»RT»X»NA»SS»NA»FreeAcctRetargetingVMFB-750Hrs-ChD»PRC1RY</v></cell><cell r="AH6396"><v>223862747</v></cell><cell r="AI6396" t="str"><v>AzurePlatform_FreeAcctRetargetingVMFB-750Hrs-ChD_USA_1200x628_CAN_PLATFORM_English_Free Account_Standard_NA_SINU_T1_1</v></cell><cell r="AJ6396"><v>103034911</v></cell></row><row r="6397"><cell r="C6397" t="str"><v>43327FACEBOOK»USA-Trial-ITD-Retargeting-AZR-AZR»1 x 1»SocialBan»LIA»ALL»CPA»RT»X»NA»SS»NA»FreeAcctRetargetingVMFB-OnDemand-ChE»PRC1S0</v></cell><cell r="D6397" t="str"><v>43327224104899</v></cell><cell r="E6397" t="str"><v>43327103180610PRC1S0</v></cell><cell r="F6397" t="str"><v>DCM</v></cell><cell r="G6397" t="str"><v>https://azure.microsoft.com/en-us/free/virtual-machines/search/?OCID=AID%eexcid!_OLA_%ebuy!_%epid!_%ecid!</v></cell></row><row r="6397"><cell r="K6397" t="str"><v>August</v></cell><cell r="L6397"><v>43330</v></cell><cell r="M6397" t="str"><v>Tier 0</v></cell><cell r="N6397" t="str"><v>North America</v></cell><cell r="O6397" t="str"><v>United States</v></cell><cell r="P6397" t="str"><v>Trial</v></cell><cell r="Q6397" t="str"><v>Social</v></cell><cell r="R6397" t="str"><v>Azure</v></cell><cell r="S6397" t="str"><v>Apps & Infra</v></cell><cell r="T6397" t="str"><v>Developers & ITI's</v></cell><cell r="U6397" t="str"><v>USA-Trial-ITD-Retargeting-AZR-AZR</v></cell><cell r="V6397" t="str"><v>Retargeting</v></cell><cell r="W6397" t="str"><v>Link Ad</v></cell><cell r="X6397" t="str"><v>1x1</v></cell></row><row r="6397"><cell r="AA6397"><v>43327</v></cell><cell r="AB6397" t="str"><v>USA_gaPMG_AZR_AZR_Q1_19_Direct-Social</v></cell><cell r="AC6397"><v>21358715</v></cell><cell r="AD6397"><v>720197</v></cell><cell r="AE6397" t="str"><v>Facebook</v></cell><cell r="AF6397"><v>3654128</v></cell><cell r="AG6397" t="str"><v>FACEBOOK»USA-Trial-ITD-Retargeting-AZR-AZR»1 x 1»SocialBan»LIA»ALL»CPA»RT»X»NA»SS»NA»FreeAcctRetargetingVMFB-OnDemand-ChE»PRC1S0</v></cell><cell r="AH6397"><v>224104899</v></cell><cell r="AI6397" t="str"><v>AzurePlatform_FreeAcctRetargetingVMFB-OnDemand-ChE_USA_1200x628_CAN_PLATFORM_English_Free Account_Standard_NA_SINU_T2_1</v></cell><cell r="AJ6397"><v>103180610</v></cell></row><row r="6398"><cell r="C6398" t="str"><v>43327FACEBOOK»USA-Trial-ITD-Retargeting-AZR-AZR»1 x 1»SocialBan»CAN»ALL»CPA»RT»X»NA»SS»NA»FBCTCBenefit2inMotion»PRC1RR</v></cell><cell r="D6398" t="str"><v>43327224104896</v></cell><cell r="E6398" t="str"><v>43327103043835PRC1RR</v></cell><cell r="F6398" t="str"><v>DCM</v></cell><cell r="G6398" t="str"><v>https://signup.azure.com/?OCID=AID%eexcid!_OLA_%ebuy!_%epid!_%ecid!</v></cell></row><row r="6398"><cell r="K6398" t="str"><v>August</v></cell><cell r="L6398"><v>43330</v></cell><cell r="M6398" t="str"><v>Tier 0</v></cell><cell r="N6398" t="str"><v>North America</v></cell><cell r="O6398" t="str"><v>United States</v></cell><cell r="P6398" t="str"><v>Trial</v></cell><cell r="Q6398" t="str"><v>Social</v></cell><cell r="R6398" t="str"><v>Azure</v></cell><cell r="S6398" t="str"><v>Apps & Infra</v></cell><cell r="T6398" t="str"><v>Developers & ITI's</v></cell><cell r="U6398" t="str"><v>USA-Trial-ITD-Retargeting-AZR-AZR</v></cell><cell r="V6398" t="str"><v>Retargeting</v></cell><cell r="W6398" t="str"><v>Canvas Ad</v></cell><cell r="X6398" t="str"><v>1x1</v></cell></row><row r="6398"><cell r="AA6398"><v>43327</v></cell><cell r="AB6398" t="str"><v>USA_gaPMG_AZR_AZR_Q1_19_Direct-Social</v></cell><cell r="AC6398"><v>21358715</v></cell><cell r="AD6398"><v>720197</v></cell><cell r="AE6398" t="str"><v>Facebook</v></cell><cell r="AF6398"><v>3654128</v></cell><cell r="AG6398" t="str"><v>FACEBOOK»USA-Trial-ITD-Retargeting-AZR-AZR»1 x 1»SocialBan»CAN»ALL»CPA»RT»X»NA»SS»NA»FBCTCBenefit2inMotion»PRC1RR</v></cell><cell r="AH6398"><v>224104896</v></cell><cell r="AI6398" t="str"><v>AzurePlatform_FBCTCBenefit2inMotion_USA_10s_CAN_PLATFORM_English_Trial_Standard_STAN_TIN_T4_1</v></cell><cell r="AJ6398"><v>103043835</v></cell></row><row r="6399"><cell r="C6399" t="str"><v>43327FACEBOOK»USA-Trial-ITD-Trial Lookalike-AZR-AZR»1 x 1»SocialBan»CAN»ALL»CPA»LAL»X»NA»SS»NA»FBCTCBenefit2inMotion»PRC1M0</v></cell><cell r="D6399" t="str"><v>43327223862927</v></cell><cell r="E6399" t="str"><v>43327103043835PRC1M0</v></cell><cell r="F6399" t="str"><v>DCM</v></cell><cell r="G6399" t="str"><v>https://signup.azure.com/?OCID=AID%eexcid!_OLA_%ebuy!_%epid!_%ecid!</v></cell></row><row r="6399"><cell r="K6399" t="str"><v>August</v></cell><cell r="L6399"><v>43330</v></cell><cell r="M6399" t="str"><v>Tier 0</v></cell><cell r="N6399" t="str"><v>North America</v></cell><cell r="O6399" t="str"><v>United States</v></cell><cell r="P6399" t="str"><v>Trial</v></cell><cell r="Q6399" t="str"><v>Social</v></cell><cell r="R6399" t="str"><v>Azure</v></cell><cell r="S6399" t="str"><v>Apps & Infra</v></cell><cell r="T6399" t="str"><v>Developers & ITI's</v></cell><cell r="U6399" t="str"><v>USA-Trial-ITD-Trial Lookalike-AZR-AZR</v></cell><cell r="V6399" t="str"><v>Lookalike Targeting</v></cell><cell r="W6399" t="str"><v>Canvas Ad</v></cell><cell r="X6399" t="str"><v>1x1</v></cell></row><row r="6399"><cell r="AA6399"><v>43327</v></cell><cell r="AB6399" t="str"><v>USA_gaPMG_AZR_AZR_Q1_19_Direct-Social</v></cell><cell r="AC6399"><v>21358715</v></cell><cell r="AD6399"><v>720197</v></cell><cell r="AE6399" t="str"><v>Facebook</v></cell><cell r="AF6399"><v>3654128</v></cell><cell r="AG6399" t="str"><v>FACEBOOK»USA-Trial-ITD-Trial Lookalike-AZR-AZR»1 x 1»SocialBan»CAN»ALL»CPA»LAL»X»NA»SS»NA»FBCTCBenefit2inMotion»PRC1M0</v></cell><cell r="AH6399"><v>223862927</v></cell><cell r="AI6399" t="str"><v>AzurePlatform_FBCTCBenefit2inMotion_USA_10s_CAN_PLATFORM_English_Trial_Standard_STAN_TIN_T4_1</v></cell><cell r="AJ6399"><v>103043835</v></cell></row><row r="6400"><cell r="C6400" t="str"><v>43327FACEBOOK»USA-Trial-ITD-Trial Lookalike-AZR-AZR»1 x 1»SocialBan»CAN»ALL»CPA»LAL»X»NA»SS»NA»FBCTCBenefit2inMotion»PRC1M0</v></cell><cell r="D6400" t="str"><v>43327223862927</v></cell><cell r="E6400" t="str"><v>43327103178645PRC1M0</v></cell><cell r="F6400" t="str"><v>DCM</v></cell><cell r="G6400" t="str"><v>https://azure.microsoft.com/en-us/pricing/purchase-options/?v=18.19&OCID=AID%eexcid!_OLA_%ebuy!_%epid!_%ecid!</v></cell></row><row r="6400"><cell r="K6400" t="str"><v>August</v></cell><cell r="L6400"><v>43330</v></cell><cell r="M6400" t="str"><v>Tier 0</v></cell><cell r="N6400" t="str"><v>North America</v></cell><cell r="O6400" t="str"><v>United States</v></cell><cell r="P6400" t="str"><v>Trial</v></cell><cell r="Q6400" t="str"><v>Social</v></cell><cell r="R6400" t="str"><v>Azure</v></cell><cell r="S6400" t="str"><v>Apps & Infra</v></cell><cell r="T6400" t="str"><v>Developers & ITI's</v></cell><cell r="U6400" t="str"><v>USA-Trial-ITD-Trial Lookalike-AZR-AZR</v></cell><cell r="V6400" t="str"><v>Lookalike Targeting</v></cell><cell r="W6400" t="str"><v>Canvas Ad</v></cell><cell r="X6400" t="str"><v>1x1</v></cell></row><row r="6400"><cell r="AA6400"><v>43327</v></cell><cell r="AB6400" t="str"><v>USA_gaPMG_AZR_AZR_Q1_19_Direct-Social</v></cell><cell r="AC6400"><v>21358715</v></cell><cell r="AD6400"><v>720197</v></cell><cell r="AE6400" t="str"><v>Facebook</v></cell><cell r="AF6400"><v>3654128</v></cell><cell r="AG6400" t="str"><v>FACEBOOK»USA-Trial-ITD-Trial Lookalike-AZR-AZR»1 x 1»SocialBan»CAN»ALL»CPA»LAL»X»NA»SS»NA»FBCTCBenefit2inMotion»PRC1M0</v></cell><cell r="AH6400"><v>223862927</v></cell><cell r="AI6400" t="str"><v>AzurePlatform_FBCTCBenefit2inMotion_USA_10s_CAN_PLATFORM_English_Trial_Standard_STAN_TIN_T4_2</v></cell><cell r="AJ6400"><v>103178645</v></cell></row><row r="6401"><cell r="C6401" t="str"><v>43327FACEBOOK»USA-Trial-ITD-Trial Lookalike-AZR-AZR»1 x 1»SocialBan»LIA»ALL»CPA»LAL»X»NA»SS»NA»FreeAcctDeveloperFB-AnimatedData-Ch4»PRC1M8</v></cell><cell r="D6401" t="str"><v>43327223862933</v></cell><cell r="E6401" t="str"><v>43327103037935PRC1M8</v></cell><cell r="F6401" t="str"><v>DCM</v></cell></row><row r="6401"><cell r="K6401" t="str"><v>August</v></cell><cell r="L6401"><v>43330</v></cell><cell r="M6401" t="str"><v>Tier 0</v></cell><cell r="N6401" t="str"><v>North America</v></cell><cell r="O6401" t="str"><v>United States</v></cell><cell r="P6401" t="str"><v>Trial</v></cell><cell r="Q6401" t="str"><v>Social</v></cell><cell r="R6401" t="str"><v>Azure</v></cell><cell r="S6401" t="str"><v>Apps & Infra</v></cell><cell r="T6401" t="str"><v>Developers & ITI's</v></cell><cell r="U6401" t="str"><v>USA-Trial-ITD-Trial Lookalike-AZR-AZR</v></cell><cell r="V6401" t="str"><v>Lookalike Targeting</v></cell><cell r="W6401" t="str"><v>Link Ad</v></cell><cell r="X6401" t="str"><v>1x1</v></cell></row><row r="6401"><cell r="AA6401"><v>43327</v></cell><cell r="AB6401" t="str"><v>USA_gaPMG_AZR_AZR_Q1_19_Direct-Social</v></cell><cell r="AC6401"><v>21358715</v></cell><cell r="AD6401"><v>720197</v></cell><cell r="AE6401" t="str"><v>Facebook</v></cell><cell r="AF6401"><v>3654128</v></cell><cell r="AG6401" t="str"><v>FACEBOOK»USA-Trial-ITD-Trial Lookalike-AZR-AZR»1 x 1»SocialBan»LIA»ALL»CPA»LAL»X»NA»SS»NA»FreeAcctDeveloperFB-AnimatedData-Ch4»PRC1M8</v></cell><cell r="AH6401"><v>223862933</v></cell><cell r="AI6401" t="str"><v>AZR_FreeAcctDeveloperFB-AnimatedData-Ch4_USA_1200x1200_CAN_Direct_English_Trial_Standard_ANI_LEA_T4_2</v></cell><cell r="AJ6401"><v>103037935</v></cell></row><row r="6402"><cell r="C6402" t="str"><v>43327FACEBOOK»USA-Trial-ITD-Trial Lookalike-AZR-AZR»1 x 1»SocialBan»CAN»ALL»CPA»LAL»X»NA»SS»NA»FBCTCBrandinMotion»PRC1M3</v></cell><cell r="D6402" t="str"><v>43327223862900</v></cell><cell r="E6402" t="str"><v>43327103176812PRC1M3</v></cell><cell r="F6402" t="str"><v>DCM</v></cell><cell r="G6402" t="str"><v>https://signup.azure.com/?OCID=AID%eexcid!_OLA_%ebuy!_%epid!_%ecid!</v></cell></row><row r="6402"><cell r="K6402" t="str"><v>August</v></cell><cell r="L6402"><v>43330</v></cell><cell r="M6402" t="str"><v>Tier 0</v></cell><cell r="N6402" t="str"><v>North America</v></cell><cell r="O6402" t="str"><v>United States</v></cell><cell r="P6402" t="str"><v>Trial</v></cell><cell r="Q6402" t="str"><v>Social</v></cell><cell r="R6402" t="str"><v>Azure</v></cell><cell r="S6402" t="str"><v>Apps & Infra</v></cell><cell r="T6402" t="str"><v>Developers & ITI's</v></cell><cell r="U6402" t="str"><v>USA-Trial-ITD-Trial Lookalike-AZR-AZR</v></cell><cell r="V6402" t="str"><v>Lookalike Targeting</v></cell><cell r="W6402" t="str"><v>Canvas Ad</v></cell><cell r="X6402" t="str"><v>1x1</v></cell></row><row r="6402"><cell r="AA6402"><v>43327</v></cell><cell r="AB6402" t="str"><v>USA_gaPMG_AZR_AZR_Q1_19_Direct-Social</v></cell><cell r="AC6402"><v>21358715</v></cell><cell r="AD6402"><v>720197</v></cell><cell r="AE6402" t="str"><v>Facebook</v></cell><cell r="AF6402"><v>3654128</v></cell><cell r="AG6402" t="str"><v>FACEBOOK»USA-Trial-ITD-Trial Lookalike-AZR-AZR»1 x 1»SocialBan»CAN»ALL»CPA»LAL»X»NA»SS»NA»FBCTCBrandinMotion»PRC1M3</v></cell><cell r="AH6402"><v>223862900</v></cell><cell r="AI6402" t="str"><v>AzurePlatform_FBCTCBrandinMotion_USA_10s_CAN_PLATFORM_English_Trial_Standard_STAN_TIN_T2_1</v></cell><cell r="AJ6402"><v>103176812</v></cell></row><row r="6403"><cell r="C6403" t="str"><v>43327FACEBOOK»USA-Trial-ITD-Trial PayGo Lookalike-AZR-AZR»1 x 1»SocialBan»CAN»ALL»CPA»LAL»X»NA»SS»NA»FBCTCBenefit2inMotion»PRC1Q1</v></cell><cell r="D6403" t="str"><v>43327224104986</v></cell><cell r="E6403" t="str"><v>43327103043835PRC1Q1</v></cell><cell r="F6403" t="str"><v>DCM</v></cell><cell r="G6403" t="str"><v>https://signup.azure.com/?OCID=AID%eexcid!_OLA_%ebuy!_%epid!_%ecid!</v></cell></row><row r="6403"><cell r="K6403" t="str"><v>August</v></cell><cell r="L6403"><v>43330</v></cell><cell r="M6403" t="str"><v>Tier 0</v></cell><cell r="N6403" t="str"><v>North America</v></cell><cell r="O6403" t="str"><v>United States</v></cell><cell r="P6403" t="str"><v>Trial</v></cell><cell r="Q6403" t="str"><v>Social</v></cell><cell r="R6403" t="str"><v>Azure</v></cell><cell r="S6403" t="str"><v>Apps & Infra</v></cell><cell r="T6403" t="str"><v>Developers & ITI's</v></cell><cell r="U6403" t="str"><v>USA-Trial-ITD-Trial PayGo Lookalike-AZR-AZR</v></cell><cell r="V6403" t="str"><v>Lookalike Targeting</v></cell><cell r="W6403" t="str"><v>Canvas Ad</v></cell><cell r="X6403" t="str"><v>1x1</v></cell></row><row r="6403"><cell r="AA6403"><v>43327</v></cell><cell r="AB6403" t="str"><v>USA_gaPMG_AZR_AZR_Q1_19_Direct-Social</v></cell><cell r="AC6403"><v>21358715</v></cell><cell r="AD6403"><v>720197</v></cell><cell r="AE6403" t="str"><v>Facebook</v></cell><cell r="AF6403"><v>3654128</v></cell><cell r="AG6403" t="str"><v>FACEBOOK»USA-Trial-ITD-Trial PayGo Lookalike-AZR-AZR»1 x 1»SocialBan»CAN»ALL»CPA»LAL»X»NA»SS»NA»FBCTCBenefit2inMotion»PRC1Q1</v></cell><cell r="AH6403"><v>224104986</v></cell><cell r="AI6403" t="str"><v>AzurePlatform_FBCTCBenefit2inMotion_USA_10s_CAN_PLATFORM_English_Trial_Standard_STAN_TIN_T4_1</v></cell><cell r="AJ6403"><v>103043835</v></cell></row><row r="6404"><cell r="C6404" t="str"><v>43327FACEBOOK»USA-Trial-ITD-Trial PayGo Lookalike-AZR-AZR»1 x 1»SocialBan»CAN»ALL»CPA»LAL»X»NA»SS»NA»FBCTCBrandinMotion»PRC1Q3</v></cell><cell r="D6404" t="str"><v>43327223935349</v></cell><cell r="E6404" t="str"><v>43327103176812PRC1Q3</v></cell><cell r="F6404" t="str"><v>DCM</v></cell><cell r="G6404" t="str"><v>https://signup.azure.com/?OCID=AID%eexcid!_OLA_%ebuy!_%epid!_%ecid!</v></cell></row><row r="6404"><cell r="K6404" t="str"><v>August</v></cell><cell r="L6404"><v>43330</v></cell><cell r="M6404" t="str"><v>Tier 0</v></cell><cell r="N6404" t="str"><v>North America</v></cell><cell r="O6404" t="str"><v>United States</v></cell><cell r="P6404" t="str"><v>Trial</v></cell><cell r="Q6404" t="str"><v>Social</v></cell><cell r="R6404" t="str"><v>Azure</v></cell><cell r="S6404" t="str"><v>Apps & Infra</v></cell><cell r="T6404" t="str"><v>Developers & ITI's</v></cell><cell r="U6404" t="str"><v>USA-Trial-ITD-Trial PayGo Lookalike-AZR-AZR</v></cell><cell r="V6404" t="str"><v>Lookalike Targeting</v></cell><cell r="W6404" t="str"><v>Canvas Ad</v></cell><cell r="X6404" t="str"><v>1x1</v></cell></row><row r="6404"><cell r="AA6404"><v>43327</v></cell><cell r="AB6404" t="str"><v>USA_gaPMG_AZR_AZR_Q1_19_Direct-Social</v></cell><cell r="AC6404"><v>21358715</v></cell><cell r="AD6404"><v>720197</v></cell><cell r="AE6404" t="str"><v>Facebook</v></cell><cell r="AF6404"><v>3654128</v></cell><cell r="AG6404" t="str"><v>FACEBOOK»USA-Trial-ITD-Trial PayGo Lookalike-AZR-AZR»1 x 1»SocialBan»CAN»ALL»CPA»LAL»X»NA»SS»NA»FBCTCBrandinMotion»PRC1Q3</v></cell><cell r="AH6404"><v>223935349</v></cell><cell r="AI6404" t="str"><v>AzurePlatform_FBCTCBrandinMotion_USA_10s_CAN_PLATFORM_English_Trial_Standard_STAN_TIN_T2_1</v></cell><cell r="AJ6404"><v>103176812</v></cell></row><row r="6405"><cell r="C6405" t="str"><v>43327FACEBOOK»USA-Trial-ITD-Trial PayGo Lookalike-AZR-AZR»1 x 1»SocialBan»CAN»ALL»CPA»LAL»X»NA»SS»NA»FBCTCBrandinMotion»PRC1Q3</v></cell><cell r="D6405" t="str"><v>43327223935349</v></cell><cell r="E6405" t="str"><v>43327103032823PRC1Q3</v></cell><cell r="F6405" t="str"><v>DCM</v></cell><cell r="G6405" t="str"><v>https://azure.microsoft.com/en-us/pricing/purchase-options/?v=18.19&OCID=AID%eexcid!_OLA_%ebuy!_%epid!_%ecid!</v></cell></row><row r="6405"><cell r="K6405" t="str"><v>August</v></cell><cell r="L6405"><v>43330</v></cell><cell r="M6405" t="str"><v>Tier 0</v></cell><cell r="N6405" t="str"><v>North America</v></cell><cell r="O6405" t="str"><v>United States</v></cell><cell r="P6405" t="str"><v>Trial</v></cell><cell r="Q6405" t="str"><v>Social</v></cell><cell r="R6405" t="str"><v>Azure</v></cell><cell r="S6405" t="str"><v>Apps & Infra</v></cell><cell r="T6405" t="str"><v>Developers & ITI's</v></cell><cell r="U6405" t="str"><v>USA-Trial-ITD-Trial PayGo Lookalike-AZR-AZR</v></cell><cell r="V6405" t="str"><v>Lookalike Targeting</v></cell><cell r="W6405" t="str"><v>Canvas Ad</v></cell><cell r="X6405" t="str"><v>1x1</v></cell></row><row r="6405"><cell r="AA6405"><v>43327</v></cell><cell r="AB6405" t="str"><v>USA_gaPMG_AZR_AZR_Q1_19_Direct-Social</v></cell><cell r="AC6405"><v>21358715</v></cell><cell r="AD6405"><v>720197</v></cell><cell r="AE6405" t="str"><v>Facebook</v></cell><cell r="AF6405"><v>3654128</v></cell><cell r="AG6405" t="str"><v>FACEBOOK»USA-Trial-ITD-Trial PayGo Lookalike-AZR-AZR»1 x 1»SocialBan»CAN»ALL»CPA»LAL»X»NA»SS»NA»FBCTCBrandinMotion»PRC1Q3</v></cell><cell r="AH6405"><v>223935349</v></cell><cell r="AI6405" t="str"><v>AzurePlatform_FBCTCBrandinMotion_USA_10s_CAN_PLATFORM_English_Trial_Standard_STAN_TIN_T2_2</v></cell><cell r="AJ6405"><v>103032823</v></cell></row><row r="6406"><cell r="C6406" t="str"><v>43327FACEBOOK»USA-Trial-ITD-Trial PayGo Lookalike-AZR-AZR»1 x 1»SocialBan»CAN»ALL»CPA»LAL»X»NA»SS»NA»FBCTCBenefitinMotion»PRC1Q2</v></cell><cell r="D6406" t="str"><v>43327223862960</v></cell><cell r="E6406" t="str"><v>43327103032775PRC1Q2</v></cell><cell r="F6406" t="str"><v>DCM</v></cell><cell r="G6406" t="str"><v>https://signup.azure.com/?OCID=AID%eexcid!_OLA_%ebuy!_%epid!_%ecid!</v></cell></row><row r="6406"><cell r="K6406" t="str"><v>August</v></cell><cell r="L6406"><v>43330</v></cell><cell r="M6406" t="str"><v>Tier 0</v></cell><cell r="N6406" t="str"><v>North America</v></cell><cell r="O6406" t="str"><v>United States</v></cell><cell r="P6406" t="str"><v>Trial</v></cell><cell r="Q6406" t="str"><v>Social</v></cell><cell r="R6406" t="str"><v>Azure</v></cell><cell r="S6406" t="str"><v>Apps & Infra</v></cell><cell r="T6406" t="str"><v>Developers & ITI's</v></cell><cell r="U6406" t="str"><v>USA-Trial-ITD-Trial PayGo Lookalike-AZR-AZR</v></cell><cell r="V6406" t="str"><v>Lookalike Targeting</v></cell><cell r="W6406" t="str"><v>Canvas Ad</v></cell><cell r="X6406" t="str"><v>1x1</v></cell></row><row r="6406"><cell r="AA6406"><v>43327</v></cell><cell r="AB6406" t="str"><v>USA_gaPMG_AZR_AZR_Q1_19_Direct-Social</v></cell><cell r="AC6406"><v>21358715</v></cell><cell r="AD6406"><v>720197</v></cell><cell r="AE6406" t="str"><v>Facebook</v></cell><cell r="AF6406"><v>3654128</v></cell><cell r="AG6406" t="str"><v>FACEBOOK»USA-Trial-ITD-Trial PayGo Lookalike-AZR-AZR»1 x 1»SocialBan»CAN»ALL»CPA»LAL»X»NA»SS»NA»FBCTCBenefitinMotion»PRC1Q2</v></cell><cell r="AH6406"><v>223862960</v></cell><cell r="AI6406" t="str"><v>AzurePlatform_FBCTCBenefitinMotion_USA_10s_CAN_PLATFORM_English_Trial_Standard_STAN_TIN_T3_1</v></cell><cell r="AJ6406"><v>103032775</v></cell></row><row r="6407"><cell r="C6407" t="str"><v>43327FACEBOOK»USA-Trial-ITD-Trial PayGo Lookalike-AZR-AZR»1 x 1»SocialBan»CAN»ALL»CPA»LAL»X»NA»SS»NA»FBCTCBenefitinMotion»PRC1Q2</v></cell><cell r="D6407" t="str"><v>43327223862960</v></cell><cell r="E6407" t="str"><v>43327103176836PRC1Q2</v></cell><cell r="F6407" t="str"><v>DCM</v></cell><cell r="G6407" t="str"><v>https://azure.microsoft.com/en-us/pricing/purchase-options/?v=18.19&OCID=AID%eexcid!_OLA_%ebuy!_%epid!_%ecid!</v></cell></row><row r="6407"><cell r="K6407" t="str"><v>August</v></cell><cell r="L6407"><v>43330</v></cell><cell r="M6407" t="str"><v>Tier 0</v></cell><cell r="N6407" t="str"><v>North America</v></cell><cell r="O6407" t="str"><v>United States</v></cell><cell r="P6407" t="str"><v>Trial</v></cell><cell r="Q6407" t="str"><v>Social</v></cell><cell r="R6407" t="str"><v>Azure</v></cell><cell r="S6407" t="str"><v>Apps & Infra</v></cell><cell r="T6407" t="str"><v>Developers & ITI's</v></cell><cell r="U6407" t="str"><v>USA-Trial-ITD-Trial PayGo Lookalike-AZR-AZR</v></cell><cell r="V6407" t="str"><v>Lookalike Targeting</v></cell><cell r="W6407" t="str"><v>Canvas Ad</v></cell><cell r="X6407" t="str"><v>1x1</v></cell></row><row r="6407"><cell r="AA6407"><v>43327</v></cell><cell r="AB6407" t="str"><v>USA_gaPMG_AZR_AZR_Q1_19_Direct-Social</v></cell><cell r="AC6407"><v>21358715</v></cell><cell r="AD6407"><v>720197</v></cell><cell r="AE6407" t="str"><v>Facebook</v></cell><cell r="AF6407"><v>3654128</v></cell><cell r="AG6407" t="str"><v>FACEBOOK»USA-Trial-ITD-Trial PayGo Lookalike-AZR-AZR»1 x 1»SocialBan»CAN»ALL»CPA»LAL»X»NA»SS»NA»FBCTCBenefitinMotion»PRC1Q2</v></cell><cell r="AH6407"><v>223862960</v></cell><cell r="AI6407" t="str"><v>AzurePlatform_FBCTCBenefitinMotion_USA_10s_CAN_PLATFORM_English_Trial_Standard_STAN_TIN_T3_2</v></cell><cell r="AJ6407"><v>103176836</v></cell></row><row r="6408"><cell r="C6408" t="str"><v>43327FACEBOOK»USA-Trial-ITD-Trial PayGo Lookalike-AZR-AZR»1 x 1»SocialBan»LIA»ALL»CPA»LAL»X»NA»SS»NA»FreeAcctDeveloperFB-AnimatedGeneric-Ch1»PRC1Q6</v></cell><cell r="D6408" t="str"><v>43327224106129</v></cell><cell r="E6408" t="str"><v>43327103176851PRC1Q6</v></cell><cell r="F6408" t="str"><v>DCM</v></cell><cell r="G6408" t="str"><v>https://azure.microsoft.com/en-us/free/search/?OCID=AID%eexcid!_OLA_%ebuy!_%epid!_%ecid!</v></cell></row><row r="6408"><cell r="K6408" t="str"><v>August</v></cell><cell r="L6408"><v>43330</v></cell><cell r="M6408" t="str"><v>Tier 0</v></cell><cell r="N6408" t="str"><v>North America</v></cell><cell r="O6408" t="str"><v>United States</v></cell><cell r="P6408" t="str"><v>Trial</v></cell><cell r="Q6408" t="str"><v>Social</v></cell><cell r="R6408" t="str"><v>Azure</v></cell><cell r="S6408" t="str"><v>Apps & Infra</v></cell><cell r="T6408" t="str"><v>Developers & ITI's</v></cell><cell r="U6408" t="str"><v>USA-Trial-ITD-Trial PayGo Lookalike-AZR-AZR</v></cell><cell r="V6408" t="str"><v>Lookalike Targeting</v></cell><cell r="W6408" t="str"><v>Link Ad</v></cell><cell r="X6408" t="str"><v>1x1</v></cell></row><row r="6408"><cell r="AA6408"><v>43327</v></cell><cell r="AB6408" t="str"><v>USA_gaPMG_AZR_AZR_Q1_19_Direct-Social</v></cell><cell r="AC6408"><v>21358715</v></cell><cell r="AD6408"><v>720197</v></cell><cell r="AE6408" t="str"><v>Facebook</v></cell><cell r="AF6408"><v>3654128</v></cell><cell r="AG6408" t="str"><v>FACEBOOK»USA-Trial-ITD-Trial PayGo Lookalike-AZR-AZR»1 x 1»SocialBan»LIA»ALL»CPA»LAL»X»NA»SS»NA»FreeAcctDeveloperFB-AnimatedGeneric-Ch1»PRC1Q6</v></cell><cell r="AH6408"><v>224106129</v></cell><cell r="AI6408" t="str"><v>AZR_FreeAcctDeveloperFB-AnimatedGeneric-Ch1_USA_1200x1200_CAN_Direct_English_Trial_Standard_ANI_LEA_T1_2</v></cell><cell r="AJ6408"><v>103176851</v></cell></row><row r="6409"><cell r="C6409" t="str"><v>43327FACEBOOK»USA-Trial-ITD-Trial PayGo Lookalike-AZR-AZR»1 x 1»SocialBan»CCA»ALL»CPA»LAL»X»NA»SS»NA»Azure Developer Facebook Collections»PRSH6K</v></cell><cell r="D6409" t="str"><v>43327225217676</v></cell><cell r="E6409" t="str"><v>43327103773177PRSH6K</v></cell><cell r="F6409" t="str"><v>DCM</v></cell><cell r="G640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409"><cell r="K6409" t="str"><v>August</v></cell><cell r="L6409"><v>43330</v></cell><cell r="M6409" t="str"><v>Tier 0</v></cell><cell r="N6409" t="str"><v>North America</v></cell><cell r="O6409" t="str"><v>United States</v></cell><cell r="P6409" t="str"><v>Trial</v></cell><cell r="Q6409" t="str"><v>Social</v></cell><cell r="R6409" t="str"><v>Azure</v></cell><cell r="S6409" t="str"><v>Apps & Infra</v></cell><cell r="T6409" t="str"><v>Developers & ITI's</v></cell><cell r="U6409" t="str"><v>USA-Trial-ITD-Trial PayGo Lookalike-AZR-AZR</v></cell><cell r="V6409" t="str"><v>Lookalike Targeting</v></cell><cell r="W6409" t="str"><v>Canvas Collection Ad</v></cell><cell r="X6409" t="str"><v>1x1</v></cell></row><row r="6409"><cell r="AA6409"><v>43327</v></cell><cell r="AB6409" t="str"><v>USA_gaPMG_AZR_AZR_Q1_19_Direct-Social</v></cell><cell r="AC6409"><v>21358715</v></cell><cell r="AD6409"><v>720197</v></cell><cell r="AE6409" t="str"><v>Facebook</v></cell><cell r="AF6409"><v>3654128</v></cell><cell r="AG6409" t="str"><v>FACEBOOK»USA-Trial-ITD-Trial PayGo Lookalike-AZR-AZR»1 x 1»SocialBan»CCA»ALL»CPA»LAL»X»NA»SS»NA»Azure Developer Facebook Collections»PRSH6K</v></cell><cell r="AH6409"><v>225217676</v></cell><cell r="AI6409" t="str"><v>AZR_FBCollections-AITryAzureFreeCTA-Img2_USA_1200x182_SOC_Plat_EN_NA_Standard_NA_TIN_T1_2</v></cell><cell r="AJ6409"><v>103773177</v></cell></row><row r="6410"><cell r="C6410" t="str"><v>43327FACEBOOK»USA-Trial-ITD-Trial PayGo Lookalike-AZR-AZR»1 x 1»SocialBan»CCA»ALL»CPA»LAL»X»NA»SS»NA»Azure Developer Facebook Collections»PRSH6K</v></cell><cell r="D6410" t="str"><v>43327225217676</v></cell><cell r="E6410" t="str"><v>43327103874423PRSH6K</v></cell><cell r="F6410" t="str"><v>DCM</v></cell><cell r="G6410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410"><cell r="K6410" t="str"><v>August</v></cell><cell r="L6410"><v>43330</v></cell><cell r="M6410" t="str"><v>Tier 0</v></cell><cell r="N6410" t="str"><v>North America</v></cell><cell r="O6410" t="str"><v>United States</v></cell><cell r="P6410" t="str"><v>Trial</v></cell><cell r="Q6410" t="str"><v>Social</v></cell><cell r="R6410" t="str"><v>Azure</v></cell><cell r="S6410" t="str"><v>Apps & Infra</v></cell><cell r="T6410" t="str"><v>Developers & ITI's</v></cell><cell r="U6410" t="str"><v>USA-Trial-ITD-Trial PayGo Lookalike-AZR-AZR</v></cell><cell r="V6410" t="str"><v>Lookalike Targeting</v></cell><cell r="W6410" t="str"><v>Canvas Collection Ad</v></cell><cell r="X6410" t="str"><v>1x1</v></cell></row><row r="6410"><cell r="AA6410"><v>43327</v></cell><cell r="AB6410" t="str"><v>USA_gaPMG_AZR_AZR_Q1_19_Direct-Social</v></cell><cell r="AC6410"><v>21358715</v></cell><cell r="AD6410"><v>720197</v></cell><cell r="AE6410" t="str"><v>Facebook</v></cell><cell r="AF6410"><v>3654128</v></cell><cell r="AG6410" t="str"><v>FACEBOOK»USA-Trial-ITD-Trial PayGo Lookalike-AZR-AZR»1 x 1»SocialBan»CCA»ALL»CPA»LAL»X»NA»SS»NA»Azure Developer Facebook Collections»PRSH6K</v></cell><cell r="AH6410"><v>225217676</v></cell><cell r="AI6410" t="str"><v>AZR_FBCollections-TryAzureFreeCTA-Img1_USA_1200x182_SOC_Plat_EN_NA_Standard_NA_TIN_T1_1</v></cell><cell r="AJ6410"><v>103874423</v></cell></row><row r="6411"><cell r="C6411" t="str"><v>43327FACEBOOK»USA-Trial-ITD-Interest Prospecting-AZR-AZR»1 x 1»SocialBan»LIA»ALL»CPA»PRO»X»NA»SS»NA»FreeAcctDeveloperFB-AnimatedData-Ch4»PRC1T3</v></cell><cell r="D6411" t="str"><v>43327223863380</v></cell><cell r="E6411" t="str"><v>43327103037935PRC1T3</v></cell><cell r="F6411" t="str"><v>DCM</v></cell></row><row r="6411"><cell r="K6411" t="str"><v>August</v></cell><cell r="L6411"><v>43330</v></cell><cell r="M6411" t="str"><v>Tier 0</v></cell><cell r="N6411" t="str"><v>North America</v></cell><cell r="O6411" t="str"><v>United States</v></cell><cell r="P6411" t="str"><v>Trial</v></cell><cell r="Q6411" t="str"><v>Social</v></cell><cell r="R6411" t="str"><v>Azure</v></cell><cell r="S6411" t="str"><v>Apps & Infra</v></cell><cell r="T6411" t="str"><v>Developers & ITI's</v></cell><cell r="U6411" t="str"><v>USA-Trial-ITD-Interest Prospecting-AZR-AZR</v></cell><cell r="V6411" t="str"><v>Prospecting</v></cell><cell r="W6411" t="str"><v>Link Ad</v></cell><cell r="X6411" t="str"><v>1x1</v></cell></row><row r="6411"><cell r="AA6411"><v>43327</v></cell><cell r="AB6411" t="str"><v>USA_gaPMG_AZR_AZR_Q1_19_Direct-Social</v></cell><cell r="AC6411"><v>21358715</v></cell><cell r="AD6411"><v>720197</v></cell><cell r="AE6411" t="str"><v>Facebook</v></cell><cell r="AF6411"><v>3654128</v></cell><cell r="AG6411" t="str"><v>FACEBOOK»USA-Trial-ITD-Interest Prospecting-AZR-AZR»1 x 1»SocialBan»LIA»ALL»CPA»PRO»X»NA»SS»NA»FreeAcctDeveloperFB-AnimatedData-Ch4»PRC1T3</v></cell><cell r="AH6411"><v>223863380</v></cell><cell r="AI6411" t="str"><v>AZR_FreeAcctDeveloperFB-AnimatedData-Ch4_USA_1200x1200_CAN_Direct_English_Trial_Standard_ANI_LEA_T4_2</v></cell><cell r="AJ6411"><v>103037935</v></cell></row><row r="6412"><cell r="C6412" t="str"><v>43327FACEBOOK»USA-Trial-ITD-Interest Prospecting-AZR-AZR»1 x 1»SocialBan»LIA»ALL»CPA»PRO»X»NA»SS»NA»FreeAcctDeveloperFB-AnimatedOpenSource-Ch2»PRC1T1</v></cell><cell r="D6412" t="str"><v>43327223862885</v></cell><cell r="E6412" t="str"><v>43327103048329PRC1T1</v></cell><cell r="F6412" t="str"><v>DCM</v></cell><cell r="G6412" t="str"><v>https://azure.microsoft.com/en-us/free/open-source/search/?OCID=AID%eexcid!_OLA_%ebuy!_%epid!_%ecid!</v></cell></row><row r="6412"><cell r="K6412" t="str"><v>August</v></cell><cell r="L6412"><v>43330</v></cell><cell r="M6412" t="str"><v>Tier 0</v></cell><cell r="N6412" t="str"><v>North America</v></cell><cell r="O6412" t="str"><v>United States</v></cell><cell r="P6412" t="str"><v>Trial</v></cell><cell r="Q6412" t="str"><v>Social</v></cell><cell r="R6412" t="str"><v>Azure</v></cell><cell r="S6412" t="str"><v>Apps & Infra</v></cell><cell r="T6412" t="str"><v>Developers & ITI's</v></cell><cell r="U6412" t="str"><v>USA-Trial-ITD-Interest Prospecting-AZR-AZR</v></cell><cell r="V6412" t="str"><v>Prospecting</v></cell><cell r="W6412" t="str"><v>Link Ad</v></cell><cell r="X6412" t="str"><v>1x1</v></cell></row><row r="6412"><cell r="AA6412"><v>43327</v></cell><cell r="AB6412" t="str"><v>USA_gaPMG_AZR_AZR_Q1_19_Direct-Social</v></cell><cell r="AC6412"><v>21358715</v></cell><cell r="AD6412"><v>720197</v></cell><cell r="AE6412" t="str"><v>Facebook</v></cell><cell r="AF6412"><v>3654128</v></cell><cell r="AG6412" t="str"><v>FACEBOOK»USA-Trial-ITD-Interest Prospecting-AZR-AZR»1 x 1»SocialBan»LIA»ALL»CPA»PRO»X»NA»SS»NA»FreeAcctDeveloperFB-AnimatedOpenSource-Ch2»PRC1T1</v></cell><cell r="AH6412"><v>223862885</v></cell><cell r="AI6412" t="str"><v>AZR_FreeAcctDeveloperFB-AnimatedOpenSource-Ch2_USA_1200x1200_CAN_Direct_English_Trial_Standard_ANI_LEA_T2_1</v></cell><cell r="AJ6412"><v>103048329</v></cell></row><row r="6413"><cell r="C6413" t="str"><v>43327FACEBOOK»USA-Trial-ITD-Interest Prospecting-AZR-AZR»1 x 1»SocialBan»CAN»ALL»CPA»PRO»X»NA»SS»NA»FreeAcctITProFB-AnimatedMigration-Ch3»PS78JJ</v></cell><cell r="D6413" t="str"><v>43327226622899</v></cell><cell r="E6413" t="str"><v>43327104595730PS78JJ</v></cell><cell r="F6413" t="str"><v>DCM</v></cell><cell r="G6413" t="str"><v>https://azure.microsoft.com/en-us/pricing/purchase-options/?v=18.19&OCID=AID%eexcid!_OLA_%ebuy!_%epid!_%ecid!</v></cell></row><row r="6413"><cell r="K6413" t="str"><v>August</v></cell><cell r="L6413"><v>43330</v></cell><cell r="M6413" t="str"><v>Tier 0</v></cell><cell r="N6413" t="str"><v>North America</v></cell><cell r="O6413" t="str"><v>United States</v></cell><cell r="P6413" t="str"><v>Trial</v></cell><cell r="Q6413" t="str"><v>Social</v></cell><cell r="R6413" t="str"><v>Azure</v></cell><cell r="S6413" t="str"><v>Apps & Infra</v></cell><cell r="T6413" t="str"><v>Developers & ITI's</v></cell><cell r="U6413" t="str"><v>USA-Trial-ITD-Interest Prospecting-AZR-AZR</v></cell><cell r="V6413" t="str"><v>Prospecting</v></cell><cell r="W6413" t="str"><v>Canvas Ad</v></cell><cell r="X6413" t="str"><v>1x1</v></cell></row><row r="6413"><cell r="AA6413"><v>43327</v></cell><cell r="AB6413" t="str"><v>USA_gaPMG_AZR_AZR_Q1_19_Direct-Social</v></cell><cell r="AC6413"><v>21358715</v></cell><cell r="AD6413"><v>720197</v></cell><cell r="AE6413" t="str"><v>Facebook</v></cell><cell r="AF6413"><v>3654128</v></cell><cell r="AG6413" t="str"><v>FACEBOOK»USA-Trial-ITD-Interest Prospecting-AZR-AZR»1 x 1»SocialBan»CAN»ALL»CPA»PRO»X»NA»SS»NA»FreeAcctITProFB-AnimatedMigration-Ch3»PS78JJ</v></cell><cell r="AH6413"><v>226622899</v></cell><cell r="AI6413" t="str"><v>AZR_FreeAcctITProFB-AnimatedMigration-Ch3_USA_1200x1200_CAN_Direct_EN_Trial_Standard_ANI_LEA_T3_2</v></cell><cell r="AJ6413"><v>104595730</v></cell></row><row r="6414"><cell r="C6414" t="str"><v>43327FACEBOOK»USA-Trial-ITD-Lead Completes Lookalike-AZR-AZR»1 x 1»SocialBan»CAN»ALL»CPA»LAL»X»NA»SS»NA»FBCTCBenefit2inMotion»PRX722</v></cell><cell r="D6414" t="str"><v>43327225841990</v></cell><cell r="E6414" t="str"><v>43327104593408PRX722</v></cell><cell r="F6414" t="str"><v>DCM</v></cell><cell r="G6414" t="str"><v>https://signup.azure.com/?OCID=AID%eexcid!_OLA_%ebuy!_%epid!_%ecid!</v></cell></row><row r="6414"><cell r="K6414" t="str"><v>August</v></cell><cell r="L6414"><v>43330</v></cell><cell r="M6414" t="str"><v>Tier 0</v></cell><cell r="N6414" t="str"><v>North America</v></cell><cell r="O6414" t="str"><v>United States</v></cell><cell r="P6414" t="str"><v>Trial</v></cell><cell r="Q6414" t="str"><v>Social</v></cell><cell r="R6414" t="str"><v>Azure</v></cell><cell r="S6414" t="str"><v>Apps & Infra</v></cell><cell r="T6414" t="str"><v>Developers & ITI's</v></cell><cell r="U6414" t="str"><v>USA-Trial-ITD-Lead Completes Lookalike-AZR-AZR</v></cell><cell r="V6414" t="str"><v>Lookalike Targeting</v></cell><cell r="W6414" t="str"><v>Canvas Ad</v></cell><cell r="X6414" t="str"><v>1x1</v></cell></row><row r="6414"><cell r="AA6414"><v>43327</v></cell><cell r="AB6414" t="str"><v>USA_gaPMG_AZR_AZR_Q1_19_Direct-Social</v></cell><cell r="AC6414"><v>21358715</v></cell><cell r="AD6414"><v>720197</v></cell><cell r="AE6414" t="str"><v>Facebook</v></cell><cell r="AF6414"><v>3654128</v></cell><cell r="AG6414" t="str"><v>FACEBOOK»USA-Trial-ITD-Lead Completes Lookalike-AZR-AZR»1 x 1»SocialBan»CAN»ALL»CPA»LAL»X»NA»SS»NA»FBCTCBenefit2inMotion»PRX722</v></cell><cell r="AH6414"><v>225841990</v></cell><cell r="AI6414" t="str"><v>AZR_FBCTCBenefit2inMotion_USA_10s_CAN_PLATFORM_English_Trial_Standard_STAN_TIN_T4_1</v></cell><cell r="AJ6414"><v>104593408</v></cell></row><row r="6415"><cell r="C6415" t="str"><v>43327FACEBOOK»USA-Trial-ITD-Lead Completes Lookalike-AZR-AZR»1 x 1»SocialBan»CAN»ALL»CPA»LAL»X»NA»SS»NA»FBCTCBenefit2inMotion»PRX722</v></cell><cell r="D6415" t="str"><v>43327225841990</v></cell><cell r="E6415" t="str"><v>43327104593714PRX722</v></cell><cell r="F6415" t="str"><v>DCM</v></cell><cell r="G6415" t="str"><v>https://azure.microsoft.com/en-us/pricing/purchase-options/?v=18.19&OCID=AID%eexcid!_OLA_%ebuy!_%epid!_%ecid!</v></cell></row><row r="6415"><cell r="K6415" t="str"><v>August</v></cell><cell r="L6415"><v>43330</v></cell><cell r="M6415" t="str"><v>Tier 0</v></cell><cell r="N6415" t="str"><v>North America</v></cell><cell r="O6415" t="str"><v>United States</v></cell><cell r="P6415" t="str"><v>Trial</v></cell><cell r="Q6415" t="str"><v>Social</v></cell><cell r="R6415" t="str"><v>Azure</v></cell><cell r="S6415" t="str"><v>Apps & Infra</v></cell><cell r="T6415" t="str"><v>Developers & ITI's</v></cell><cell r="U6415" t="str"><v>USA-Trial-ITD-Lead Completes Lookalike-AZR-AZR</v></cell><cell r="V6415" t="str"><v>Lookalike Targeting</v></cell><cell r="W6415" t="str"><v>Canvas Ad</v></cell><cell r="X6415" t="str"><v>1x1</v></cell></row><row r="6415"><cell r="AA6415"><v>43327</v></cell><cell r="AB6415" t="str"><v>USA_gaPMG_AZR_AZR_Q1_19_Direct-Social</v></cell><cell r="AC6415"><v>21358715</v></cell><cell r="AD6415"><v>720197</v></cell><cell r="AE6415" t="str"><v>Facebook</v></cell><cell r="AF6415"><v>3654128</v></cell><cell r="AG6415" t="str"><v>FACEBOOK»USA-Trial-ITD-Lead Completes Lookalike-AZR-AZR»1 x 1»SocialBan»CAN»ALL»CPA»LAL»X»NA»SS»NA»FBCTCBenefit2inMotion»PRX722</v></cell><cell r="AH6415"><v>225841990</v></cell><cell r="AI6415" t="str"><v>AZR_FBCTCBenefit2inMotion_USA_10s_CAN_PLATFORM_English_Trial_Standard_STAN_TIN_T4_2</v></cell><cell r="AJ6415"><v>104593714</v></cell></row><row r="6416"><cell r="C6416" t="str"><v>43327FACEBOOK»USA-Trial-ITD-Lead Completes Lookalike-AZR-AZR»1 x 1»SocialBan»CAN»ALL»CPA»LAL»X»NA»SS»NA»FBCTCBrandinMotion»PRX724</v></cell><cell r="D6416" t="str"><v>43327226028475</v></cell><cell r="E6416" t="str"><v>43327104593696PRX724</v></cell><cell r="F6416" t="str"><v>DCM</v></cell><cell r="G6416" t="str"><v>https://signup.azure.com/?OCID=AID%eexcid!_OLA_%ebuy!_%epid!_%ecid!</v></cell></row><row r="6416"><cell r="K6416" t="str"><v>August</v></cell><cell r="L6416"><v>43330</v></cell><cell r="M6416" t="str"><v>Tier 0</v></cell><cell r="N6416" t="str"><v>North America</v></cell><cell r="O6416" t="str"><v>United States</v></cell><cell r="P6416" t="str"><v>Trial</v></cell><cell r="Q6416" t="str"><v>Social</v></cell><cell r="R6416" t="str"><v>Azure</v></cell><cell r="S6416" t="str"><v>Apps & Infra</v></cell><cell r="T6416" t="str"><v>Developers & ITI's</v></cell><cell r="U6416" t="str"><v>USA-Trial-ITD-Lead Completes Lookalike-AZR-AZR</v></cell><cell r="V6416" t="str"><v>Lookalike Targeting</v></cell><cell r="W6416" t="str"><v>Canvas Ad</v></cell><cell r="X6416" t="str"><v>1x1</v></cell></row><row r="6416"><cell r="AA6416"><v>43327</v></cell><cell r="AB6416" t="str"><v>USA_gaPMG_AZR_AZR_Q1_19_Direct-Social</v></cell><cell r="AC6416"><v>21358715</v></cell><cell r="AD6416"><v>720197</v></cell><cell r="AE6416" t="str"><v>Facebook</v></cell><cell r="AF6416"><v>3654128</v></cell><cell r="AG6416" t="str"><v>FACEBOOK»USA-Trial-ITD-Lead Completes Lookalike-AZR-AZR»1 x 1»SocialBan»CAN»ALL»CPA»LAL»X»NA»SS»NA»FBCTCBrandinMotion»PRX724</v></cell><cell r="AH6416"><v>226028475</v></cell><cell r="AI6416" t="str"><v>AZR_FBCTCBrandinMotion_USA_10s_CAN_PLATFORM_English_Trial_Standard_STAN_TIN_T2_1</v></cell><cell r="AJ6416"><v>104593696</v></cell></row><row r="6417"><cell r="C6417" t="str"><v>43327FACEBOOK»USA-Trial-ITD-Lead Completes Lookalike-AZR-AZR»1 x 1»SocialBan»CAN»ALL»CPA»LAL»X»NA»SS»NA»FBCTCBrandinMotion»PRX724</v></cell><cell r="D6417" t="str"><v>43327226028475</v></cell><cell r="E6417" t="str"><v>43327104671406PRX724</v></cell><cell r="F6417" t="str"><v>DCM</v></cell><cell r="G6417" t="str"><v>https://azure.microsoft.com/en-us/pricing/purchase-options/?v=18.19&OCID=AID%eexcid!_OLA_%ebuy!_%epid!_%ecid!</v></cell></row><row r="6417"><cell r="K6417" t="str"><v>August</v></cell><cell r="L6417"><v>43330</v></cell><cell r="M6417" t="str"><v>Tier 0</v></cell><cell r="N6417" t="str"><v>North America</v></cell><cell r="O6417" t="str"><v>United States</v></cell><cell r="P6417" t="str"><v>Trial</v></cell><cell r="Q6417" t="str"><v>Social</v></cell><cell r="R6417" t="str"><v>Azure</v></cell><cell r="S6417" t="str"><v>Apps & Infra</v></cell><cell r="T6417" t="str"><v>Developers & ITI's</v></cell><cell r="U6417" t="str"><v>USA-Trial-ITD-Lead Completes Lookalike-AZR-AZR</v></cell><cell r="V6417" t="str"><v>Lookalike Targeting</v></cell><cell r="W6417" t="str"><v>Canvas Ad</v></cell><cell r="X6417" t="str"><v>1x1</v></cell></row><row r="6417"><cell r="AA6417"><v>43327</v></cell><cell r="AB6417" t="str"><v>USA_gaPMG_AZR_AZR_Q1_19_Direct-Social</v></cell><cell r="AC6417"><v>21358715</v></cell><cell r="AD6417"><v>720197</v></cell><cell r="AE6417" t="str"><v>Facebook</v></cell><cell r="AF6417"><v>3654128</v></cell><cell r="AG6417" t="str"><v>FACEBOOK»USA-Trial-ITD-Lead Completes Lookalike-AZR-AZR»1 x 1»SocialBan»CAN»ALL»CPA»LAL»X»NA»SS»NA»FBCTCBrandinMotion»PRX724</v></cell><cell r="AH6417"><v>226028475</v></cell><cell r="AI6417" t="str"><v>AZR_FBCTCBrandinMotion_USA_10s_CAN_PLATFORM_English_Trial_Standard_STAN_TIN_T2_2</v></cell><cell r="AJ6417"><v>104671406</v></cell></row><row r="6418"><cell r="C6418" t="str"><v>43327FACEBOOK»USA-Trial-ITD-Lead Completes Lookalike-AZR-AZR»1 x 1»SocialBan»CAN»ALL»CPA»LAL»X»NA»SS»NA»FreeAcctITProFB-AnimatedMigration-Ch3»PS7DLR</v></cell><cell r="D6418" t="str"><v>43327226539125</v></cell><cell r="E6418" t="str"><v>43327104593450PS7DLR</v></cell><cell r="F6418" t="str"><v>DCM</v></cell><cell r="G6418" t="str"><v>https://signup.azure.com/?OCID=AID%eexcid!_OLA_%ebuy!_%epid!_%ecid!</v></cell></row><row r="6418"><cell r="K6418" t="str"><v>August</v></cell><cell r="L6418"><v>43330</v></cell><cell r="M6418" t="str"><v>Tier 0</v></cell><cell r="N6418" t="str"><v>North America</v></cell><cell r="O6418" t="str"><v>United States</v></cell><cell r="P6418" t="str"><v>Trial</v></cell><cell r="Q6418" t="str"><v>Social</v></cell><cell r="R6418" t="str"><v>Azure</v></cell><cell r="S6418" t="str"><v>Apps & Infra</v></cell><cell r="T6418" t="str"><v>Developers & ITI's</v></cell><cell r="U6418" t="str"><v>USA-Trial-ITD-Lead Completes Lookalike-AZR-AZR</v></cell><cell r="V6418" t="str"><v>Lookalike Targeting</v></cell><cell r="W6418" t="str"><v>Canvas Ad</v></cell><cell r="X6418" t="str"><v>1x1</v></cell></row><row r="6418"><cell r="AA6418"><v>43327</v></cell><cell r="AB6418" t="str"><v>USA_gaPMG_AZR_AZR_Q1_19_Direct-Social</v></cell><cell r="AC6418"><v>21358715</v></cell><cell r="AD6418"><v>720197</v></cell><cell r="AE6418" t="str"><v>Facebook</v></cell><cell r="AF6418"><v>3654128</v></cell><cell r="AG6418" t="str"><v>FACEBOOK»USA-Trial-ITD-Lead Completes Lookalike-AZR-AZR»1 x 1»SocialBan»CAN»ALL»CPA»LAL»X»NA»SS»NA»FreeAcctITProFB-AnimatedMigration-Ch3»PS7DLR</v></cell><cell r="AH6418"><v>226539125</v></cell><cell r="AI6418" t="str"><v>AZR_FreeAcctITProFB-AnimatedMigration-Ch3_USA_1200x1200_CAN_Direct_EN_Trial_Standard_ANI_LEA_T3_1</v></cell><cell r="AJ6418"><v>104593450</v></cell></row><row r="6419"><cell r="C6419" t="str"><v>43327FACEBOOK»USA-Trial-ITD-Lead Completes-AZR-AZR»1 x 1»SocialBan»CCA»ALL»CPA»PRO»X»NA»SS»NA»Azure Developer Facebook Collections»PRSGWS</v></cell><cell r="D6419" t="str"><v>43327225283834</v></cell><cell r="E6419" t="str"><v>43327103773177PRSGWS</v></cell><cell r="F6419" t="str"><v>DCM</v></cell><cell r="G641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419"><cell r="K6419" t="str"><v>August</v></cell><cell r="L6419"><v>43330</v></cell><cell r="M6419" t="str"><v>Tier 0</v></cell><cell r="N6419" t="str"><v>North America</v></cell><cell r="O6419" t="str"><v>United States</v></cell><cell r="P6419" t="str"><v>Trial</v></cell><cell r="Q6419" t="str"><v>Social</v></cell><cell r="R6419" t="str"><v>Azure</v></cell><cell r="S6419" t="str"><v>Apps & Infra</v></cell><cell r="T6419" t="str"><v>Developers & ITI's</v></cell><cell r="U6419" t="str"><v>USA-Trial-ITD-Lead Completes-AZR-AZR</v></cell><cell r="V6419" t="str"><v>Prospecting</v></cell><cell r="W6419" t="str"><v>Canvas Collection Ad</v></cell><cell r="X6419" t="str"><v>1x1</v></cell></row><row r="6419"><cell r="AA6419"><v>43327</v></cell><cell r="AB6419" t="str"><v>USA_gaPMG_AZR_AZR_Q1_19_Direct-Social</v></cell><cell r="AC6419"><v>21358715</v></cell><cell r="AD6419"><v>720197</v></cell><cell r="AE6419" t="str"><v>Facebook</v></cell><cell r="AF6419"><v>3654128</v></cell><cell r="AG6419" t="str"><v>FACEBOOK»USA-Trial-ITD-Lead Completes-AZR-AZR»1 x 1»SocialBan»CCA»ALL»CPA»PRO»X»NA»SS»NA»Azure Developer Facebook Collections»PRSGWS</v></cell><cell r="AH6419"><v>225283834</v></cell><cell r="AI6419" t="str"><v>AZR_FBCollections-AITryAzureFreeCTA-Img2_USA_1200x182_SOC_Plat_EN_NA_Standard_NA_TIN_T1_2</v></cell><cell r="AJ6419"><v>103773177</v></cell></row><row r="6420"><cell r="C6420" t="str"><v>43327FACEBOOK»USA-Trial-ITD-Lead Completes-AZR-AZR»1 x 1»SocialBan»CCA»ALL»CPA»PRO»X»NA»SS»NA»Azure Developer Facebook Collections»PRSGWS</v></cell><cell r="D6420" t="str"><v>43327225283834</v></cell><cell r="E6420" t="str"><v>43327103873631PRSGWS</v></cell><cell r="F6420" t="str"><v>DCM</v></cell><cell r="G6420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420"><cell r="K6420" t="str"><v>August</v></cell><cell r="L6420"><v>43330</v></cell><cell r="M6420" t="str"><v>Tier 0</v></cell><cell r="N6420" t="str"><v>North America</v></cell><cell r="O6420" t="str"><v>United States</v></cell><cell r="P6420" t="str"><v>Trial</v></cell><cell r="Q6420" t="str"><v>Social</v></cell><cell r="R6420" t="str"><v>Azure</v></cell><cell r="S6420" t="str"><v>Apps & Infra</v></cell><cell r="T6420" t="str"><v>Developers & ITI's</v></cell><cell r="U6420" t="str"><v>USA-Trial-ITD-Lead Completes-AZR-AZR</v></cell><cell r="V6420" t="str"><v>Prospecting</v></cell><cell r="W6420" t="str"><v>Canvas Collection Ad</v></cell><cell r="X6420" t="str"><v>1x1</v></cell></row><row r="6420"><cell r="AA6420"><v>43327</v></cell><cell r="AB6420" t="str"><v>USA_gaPMG_AZR_AZR_Q1_19_Direct-Social</v></cell><cell r="AC6420"><v>21358715</v></cell><cell r="AD6420"><v>720197</v></cell><cell r="AE6420" t="str"><v>Facebook</v></cell><cell r="AF6420"><v>3654128</v></cell><cell r="AG6420" t="str"><v>FACEBOOK»USA-Trial-ITD-Lead Completes-AZR-AZR»1 x 1»SocialBan»CCA»ALL»CPA»PRO»X»NA»SS»NA»Azure Developer Facebook Collections»PRSGWS</v></cell><cell r="AH6420"><v>225283834</v></cell><cell r="AI6420" t="str"><v>AZR_FBCollections-OSSTryAzureFreeCTA-Img3_USA_1200x182_SOC_Plat_EN_NA_Standard_NA_TIN_T1_3</v></cell><cell r="AJ6420"><v>103873631</v></cell></row><row r="6421"><cell r="C6421" t="str"><v>43327FACEBOOK»USA-Trial-ITD-Lead Completes-AZR-AZR»1 x 1»SocialBan»CCA»ALL»CPA»PRO»X»NA»SS»NA»Azure Developer Facebook Collections»PRSGWS</v></cell><cell r="D6421" t="str"><v>43327225283834</v></cell><cell r="E6421" t="str"><v>43327103773180PRSGWS</v></cell><cell r="F6421" t="str"><v>DCM</v></cell><cell r="G6421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421"><cell r="K6421" t="str"><v>August</v></cell><cell r="L6421"><v>43330</v></cell><cell r="M6421" t="str"><v>Tier 0</v></cell><cell r="N6421" t="str"><v>North America</v></cell><cell r="O6421" t="str"><v>United States</v></cell><cell r="P6421" t="str"><v>Trial</v></cell><cell r="Q6421" t="str"><v>Social</v></cell><cell r="R6421" t="str"><v>Azure</v></cell><cell r="S6421" t="str"><v>Apps & Infra</v></cell><cell r="T6421" t="str"><v>Developers & ITI's</v></cell><cell r="U6421" t="str"><v>USA-Trial-ITD-Lead Completes-AZR-AZR</v></cell><cell r="V6421" t="str"><v>Prospecting</v></cell><cell r="W6421" t="str"><v>Canvas Collection Ad</v></cell><cell r="X6421" t="str"><v>1x1</v></cell></row><row r="6421"><cell r="AA6421"><v>43327</v></cell><cell r="AB6421" t="str"><v>USA_gaPMG_AZR_AZR_Q1_19_Direct-Social</v></cell><cell r="AC6421"><v>21358715</v></cell><cell r="AD6421"><v>720197</v></cell><cell r="AE6421" t="str"><v>Facebook</v></cell><cell r="AF6421"><v>3654128</v></cell><cell r="AG6421" t="str"><v>FACEBOOK»USA-Trial-ITD-Lead Completes-AZR-AZR»1 x 1»SocialBan»CCA»ALL»CPA»PRO»X»NA»SS»NA»Azure Developer Facebook Collections»PRSGWS</v></cell><cell r="AH6421"><v>225283834</v></cell><cell r="AI6421" t="str"><v>AZR_FBCollections-SmartDataTryAzureFreeCTA-Img4_USA_1200x182_SOC_Plat_EN_NA_Standard_NA_TIN_T1_4</v></cell><cell r="AJ6421"><v>103773180</v></cell></row><row r="6422"><cell r="C6422" t="str"><v>43327FACEBOOK»USA-Trial-ITD-Retargeting-AZR-AZR»1 x 1»SocialBan»CAN»ALL»CPA»RT»X»NA»SS»NA»FreeAcctDeveloperFB-AnimatedData-Ch4»PS79TJ</v></cell><cell r="D6422" t="str"><v>43327226617970</v></cell><cell r="E6422" t="str"><v>43327104595739PS79TJ</v></cell><cell r="F6422" t="str"><v>DCM</v></cell><cell r="G6422" t="str"><v>https://signup.azure.com/?OCID=AID%eexcid!_OLA_%ebuy!_%epid!_%ecid!</v></cell></row><row r="6422"><cell r="K6422" t="str"><v>August</v></cell><cell r="L6422"><v>43330</v></cell><cell r="M6422" t="str"><v>Tier 0</v></cell><cell r="N6422" t="str"><v>North America</v></cell><cell r="O6422" t="str"><v>United States</v></cell><cell r="P6422" t="str"><v>Trial</v></cell><cell r="Q6422" t="str"><v>Social</v></cell><cell r="R6422" t="str"><v>Azure</v></cell><cell r="S6422" t="str"><v>Apps & Infra</v></cell><cell r="T6422" t="str"><v>Developers & ITI's</v></cell><cell r="U6422" t="str"><v>USA-Trial-ITD-Retargeting-AZR-AZR</v></cell><cell r="V6422" t="str"><v>Retargeting</v></cell><cell r="W6422" t="str"><v>Canvas Ad</v></cell><cell r="X6422" t="str"><v>1x1</v></cell></row><row r="6422"><cell r="AA6422"><v>43327</v></cell><cell r="AB6422" t="str"><v>USA_gaPMG_AZR_AZR_Q1_19_Direct-Social</v></cell><cell r="AC6422"><v>21358715</v></cell><cell r="AD6422"><v>720197</v></cell><cell r="AE6422" t="str"><v>Facebook</v></cell><cell r="AF6422"><v>3654128</v></cell><cell r="AG6422" t="str"><v>FACEBOOK»USA-Trial-ITD-Retargeting-AZR-AZR»1 x 1»SocialBan»CAN»ALL»CPA»RT»X»NA»SS»NA»FreeAcctDeveloperFB-AnimatedData-Ch4»PS79TJ</v></cell><cell r="AH6422"><v>226617970</v></cell><cell r="AI6422" t="str"><v>AZR_FreeAcctDeveloperFB-AnimatedData-Ch4_USA_1200x1200_CAN_Direct_EN_Trial_Standard_ANI_LEA_T4_1</v></cell><cell r="AJ6422"><v>104595739</v></cell></row><row r="6423"><cell r="C6423" t="str"><v>43327FACEBOOK»USA-Trial-ITD-Retargeting-AZR-AZR»1 x 1»SocialBan»CAN»ALL»CPA»RT»X»NA»SS»NA»FreeAcctRetargetingOSSFB-Text-ChF»PS79T0</v></cell><cell r="D6423" t="str"><v>43327226786236</v></cell><cell r="E6423" t="str"><v>43327104593423PS79T0</v></cell><cell r="F6423" t="str"><v>DCM</v></cell><cell r="G6423" t="str"><v>https://signup.azure.com/?OCID=AID%eexcid!_OLA_%ebuy!_%epid!_%ecid!</v></cell></row><row r="6423"><cell r="K6423" t="str"><v>August</v></cell><cell r="L6423"><v>43330</v></cell><cell r="M6423" t="str"><v>Tier 0</v></cell><cell r="N6423" t="str"><v>North America</v></cell><cell r="O6423" t="str"><v>United States</v></cell><cell r="P6423" t="str"><v>Trial</v></cell><cell r="Q6423" t="str"><v>Social</v></cell><cell r="R6423" t="str"><v>Azure</v></cell><cell r="S6423" t="str"><v>Apps & Infra</v></cell><cell r="T6423" t="str"><v>Developers & ITI's</v></cell><cell r="U6423" t="str"><v>USA-Trial-ITD-Retargeting-AZR-AZR</v></cell><cell r="V6423" t="str"><v>Retargeting</v></cell><cell r="W6423" t="str"><v>Canvas Ad</v></cell><cell r="X6423" t="str"><v>1x1</v></cell></row><row r="6423"><cell r="AA6423"><v>43327</v></cell><cell r="AB6423" t="str"><v>USA_gaPMG_AZR_AZR_Q1_19_Direct-Social</v></cell><cell r="AC6423"><v>21358715</v></cell><cell r="AD6423"><v>720197</v></cell><cell r="AE6423" t="str"><v>Facebook</v></cell><cell r="AF6423"><v>3654128</v></cell><cell r="AG6423" t="str"><v>FACEBOOK»USA-Trial-ITD-Retargeting-AZR-AZR»1 x 1»SocialBan»CAN»ALL»CPA»RT»X»NA»SS»NA»FreeAcctRetargetingOSSFB-Text-ChF»PS79T0</v></cell><cell r="AH6423"><v>226786236</v></cell><cell r="AI6423" t="str"><v>AZR_FreeAcctRetargetingOSSFB-Text-ChF_USA_1200x628_CAN_Plat_English_Free Account_Standard_NA_SINU_T1_1</v></cell><cell r="AJ6423"><v>104593423</v></cell></row><row r="6424"><cell r="C6424" t="str"><v>43327FACEBOOK»USA-Trial-ITD-Retargeting-AZR-AZR»1 x 1»SocialBan»CAN»ALL»CPA»RT»X»NA»SS»NA»FreeAcctRetargetingVMFB-750Hrs-ChD»PS79SW</v></cell><cell r="D6424" t="str"><v>43327226622236</v></cell><cell r="E6424" t="str"><v>43327104595760PS79SW</v></cell><cell r="F6424" t="str"><v>DCM</v></cell><cell r="G6424" t="str"><v>https://azure.microsoft.com/en-us/pricing/purchase-options/?v=18.19&OCID=AID%eexcid!_OLA_%ebuy!_%epid!_%ecid!</v></cell></row><row r="6424"><cell r="K6424" t="str"><v>August</v></cell><cell r="L6424"><v>43330</v></cell><cell r="M6424" t="str"><v>Tier 0</v></cell><cell r="N6424" t="str"><v>North America</v></cell><cell r="O6424" t="str"><v>United States</v></cell><cell r="P6424" t="str"><v>Trial</v></cell><cell r="Q6424" t="str"><v>Social</v></cell><cell r="R6424" t="str"><v>Azure</v></cell><cell r="S6424" t="str"><v>Apps & Infra</v></cell><cell r="T6424" t="str"><v>Developers & ITI's</v></cell><cell r="U6424" t="str"><v>USA-Trial-ITD-Retargeting-AZR-AZR</v></cell><cell r="V6424" t="str"><v>Retargeting</v></cell><cell r="W6424" t="str"><v>Canvas Ad</v></cell><cell r="X6424" t="str"><v>1x1</v></cell></row><row r="6424"><cell r="AA6424"><v>43327</v></cell><cell r="AB6424" t="str"><v>USA_gaPMG_AZR_AZR_Q1_19_Direct-Social</v></cell><cell r="AC6424"><v>21358715</v></cell><cell r="AD6424"><v>720197</v></cell><cell r="AE6424" t="str"><v>Facebook</v></cell><cell r="AF6424"><v>3654128</v></cell><cell r="AG6424" t="str"><v>FACEBOOK»USA-Trial-ITD-Retargeting-AZR-AZR»1 x 1»SocialBan»CAN»ALL»CPA»RT»X»NA»SS»NA»FreeAcctRetargetingVMFB-750Hrs-ChD»PS79SW</v></cell><cell r="AH6424"><v>226622236</v></cell><cell r="AI6424" t="str"><v>AZR_FreeAcctRetargetingVMFB-750Hrs-ChD_USA_1200x628_CAN_Plat_English_Free Account_Standard_NA_SINU_T1_2</v></cell><cell r="AJ6424"><v>104595760</v></cell></row><row r="6425"><cell r="C6425" t="str"><v>43327FACEBOOK»USA-Trial-ITD-Trial Lookalike-AZR-AZR»1 x 1»SocialBan»LIA»ALL»CPA»LAL»X»NA»SS»NA»FreeAcctDeveloperFB-AnimatedOpenSource-Ch2»PRC1M6</v></cell><cell r="D6425" t="str"><v>43327223935628</v></cell><cell r="E6425" t="str"><v>43327103048329PRC1M6</v></cell><cell r="F6425" t="str"><v>DCM</v></cell><cell r="G6425" t="str"><v>https://azure.microsoft.com/en-us/free/open-source/search/?OCID=AID%eexcid!_OLA_%ebuy!_%epid!_%ecid!</v></cell></row><row r="6425"><cell r="K6425" t="str"><v>August</v></cell><cell r="L6425"><v>43330</v></cell><cell r="M6425" t="str"><v>Tier 0</v></cell><cell r="N6425" t="str"><v>North America</v></cell><cell r="O6425" t="str"><v>United States</v></cell><cell r="P6425" t="str"><v>Trial</v></cell><cell r="Q6425" t="str"><v>Social</v></cell><cell r="R6425" t="str"><v>Azure</v></cell><cell r="S6425" t="str"><v>Apps & Infra</v></cell><cell r="T6425" t="str"><v>Developers & ITI's</v></cell><cell r="U6425" t="str"><v>USA-Trial-ITD-Trial Lookalike-AZR-AZR</v></cell><cell r="V6425" t="str"><v>Lookalike Targeting</v></cell><cell r="W6425" t="str"><v>Link Ad</v></cell><cell r="X6425" t="str"><v>1x1</v></cell></row><row r="6425"><cell r="AA6425"><v>43327</v></cell><cell r="AB6425" t="str"><v>USA_gaPMG_AZR_AZR_Q1_19_Direct-Social</v></cell><cell r="AC6425"><v>21358715</v></cell><cell r="AD6425"><v>720197</v></cell><cell r="AE6425" t="str"><v>Facebook</v></cell><cell r="AF6425"><v>3654128</v></cell><cell r="AG6425" t="str"><v>FACEBOOK»USA-Trial-ITD-Trial Lookalike-AZR-AZR»1 x 1»SocialBan»LIA»ALL»CPA»LAL»X»NA»SS»NA»FreeAcctDeveloperFB-AnimatedOpenSource-Ch2»PRC1M6</v></cell><cell r="AH6425"><v>223935628</v></cell><cell r="AI6425" t="str"><v>AZR_FreeAcctDeveloperFB-AnimatedOpenSource-Ch2_USA_1200x1200_CAN_Direct_English_Trial_Standard_ANI_LEA_T2_1</v></cell><cell r="AJ6425"><v>103048329</v></cell></row><row r="6426"><cell r="C6426" t="str"><v>43327FACEBOOK»USA-Trial-ITD-Trial Lookalike-AZR-AZR»1 x 1»SocialBan»CAN»ALL»CPA»LAL»X»NA»SS»NA»FBCTCBasicMotion»PRC1LZ</v></cell><cell r="D6426" t="str"><v>43327223862915</v></cell><cell r="E6426" t="str"><v>43327103043823PRC1LZ</v></cell><cell r="F6426" t="str"><v>DCM</v></cell><cell r="G6426" t="str"><v>https://signup.azure.com/?OCID=AID%eexcid!_OLA_%ebuy!_%epid!_%ecid!</v></cell></row><row r="6426"><cell r="K6426" t="str"><v>August</v></cell><cell r="L6426"><v>43330</v></cell><cell r="M6426" t="str"><v>Tier 0</v></cell><cell r="N6426" t="str"><v>North America</v></cell><cell r="O6426" t="str"><v>United States</v></cell><cell r="P6426" t="str"><v>Trial</v></cell><cell r="Q6426" t="str"><v>Social</v></cell><cell r="R6426" t="str"><v>Azure</v></cell><cell r="S6426" t="str"><v>Apps & Infra</v></cell><cell r="T6426" t="str"><v>Developers & ITI's</v></cell><cell r="U6426" t="str"><v>USA-Trial-ITD-Trial Lookalike-AZR-AZR</v></cell><cell r="V6426" t="str"><v>Lookalike Targeting</v></cell><cell r="W6426" t="str"><v>Canvas Ad</v></cell><cell r="X6426" t="str"><v>1x1</v></cell></row><row r="6426"><cell r="AA6426"><v>43327</v></cell><cell r="AB6426" t="str"><v>USA_gaPMG_AZR_AZR_Q1_19_Direct-Social</v></cell><cell r="AC6426"><v>21358715</v></cell><cell r="AD6426"><v>720197</v></cell><cell r="AE6426" t="str"><v>Facebook</v></cell><cell r="AF6426"><v>3654128</v></cell><cell r="AG6426" t="str"><v>FACEBOOK»USA-Trial-ITD-Trial Lookalike-AZR-AZR»1 x 1»SocialBan»CAN»ALL»CPA»LAL»X»NA»SS»NA»FBCTCBasicMotion»PRC1LZ</v></cell><cell r="AH6426"><v>223862915</v></cell><cell r="AI6426" t="str"><v>AzurePlatform_FBCTCBasicMotion_USA_10s_CAN_PLATFORM_English_Trial_Standard_STAN_TIN_T1_1</v></cell><cell r="AJ6426"><v>103043823</v></cell></row><row r="6427"><cell r="C6427" t="str"><v>43327FACEBOOK»USA-Trial-ITD-Trial Lookalike-AZR-AZR»1 x 1»SocialBan»CAN»ALL»CPA»LAL»X»NA»SS»NA»FBCTCBasicMotion»PRC1LZ</v></cell><cell r="D6427" t="str"><v>43327223862915</v></cell><cell r="E6427" t="str"><v>43327103175984PRC1LZ</v></cell><cell r="F6427" t="str"><v>DCM</v></cell><cell r="G6427" t="str"><v>https://azure.microsoft.com/en-us/pricing/purchase-options/?v=18.19&OCID=AID%eexcid!_OLA_%ebuy!_%epid!_%ecid!</v></cell></row><row r="6427"><cell r="K6427" t="str"><v>August</v></cell><cell r="L6427"><v>43330</v></cell><cell r="M6427" t="str"><v>Tier 0</v></cell><cell r="N6427" t="str"><v>North America</v></cell><cell r="O6427" t="str"><v>United States</v></cell><cell r="P6427" t="str"><v>Trial</v></cell><cell r="Q6427" t="str"><v>Social</v></cell><cell r="R6427" t="str"><v>Azure</v></cell><cell r="S6427" t="str"><v>Apps & Infra</v></cell><cell r="T6427" t="str"><v>Developers & ITI's</v></cell><cell r="U6427" t="str"><v>USA-Trial-ITD-Trial Lookalike-AZR-AZR</v></cell><cell r="V6427" t="str"><v>Lookalike Targeting</v></cell><cell r="W6427" t="str"><v>Canvas Ad</v></cell><cell r="X6427" t="str"><v>1x1</v></cell></row><row r="6427"><cell r="AA6427"><v>43327</v></cell><cell r="AB6427" t="str"><v>USA_gaPMG_AZR_AZR_Q1_19_Direct-Social</v></cell><cell r="AC6427"><v>21358715</v></cell><cell r="AD6427"><v>720197</v></cell><cell r="AE6427" t="str"><v>Facebook</v></cell><cell r="AF6427"><v>3654128</v></cell><cell r="AG6427" t="str"><v>FACEBOOK»USA-Trial-ITD-Trial Lookalike-AZR-AZR»1 x 1»SocialBan»CAN»ALL»CPA»LAL»X»NA»SS»NA»FBCTCBasicMotion»PRC1LZ</v></cell><cell r="AH6427"><v>223862915</v></cell><cell r="AI6427" t="str"><v>AzurePlatform_FBCTCBasicMotion_USA_10s_CAN_PLATFORM_English_Trial_Standard_STAN_TIN_T1_2</v></cell><cell r="AJ6427"><v>103175984</v></cell></row><row r="6428"><cell r="C6428" t="str"><v>43327FACEBOOK»USA-Trial-ITD-Trial Lookalike-AZR-AZR»1 x 1»SocialBan»CAN»ALL»CPA»LAL»X»NA»SS»NA»FreeAcctDeveloperFB-AnimatedAI-Ch3»PS7B50</v></cell><cell r="D6428" t="str"><v>43327226538621</v></cell><cell r="E6428" t="str"><v>43327104593735PS7B50</v></cell><cell r="F6428" t="str"><v>DCM</v></cell><cell r="G6428" t="str"><v>https://signup.azure.com/?OCID=AID%eexcid!_OLA_%ebuy!_%epid!_%ecid!</v></cell></row><row r="6428"><cell r="K6428" t="str"><v>August</v></cell><cell r="L6428"><v>43330</v></cell><cell r="M6428" t="str"><v>Tier 0</v></cell><cell r="N6428" t="str"><v>North America</v></cell><cell r="O6428" t="str"><v>United States</v></cell><cell r="P6428" t="str"><v>Trial</v></cell><cell r="Q6428" t="str"><v>Social</v></cell><cell r="R6428" t="str"><v>Azure</v></cell><cell r="S6428" t="str"><v>Apps & Infra</v></cell><cell r="T6428" t="str"><v>Developers & ITI's</v></cell><cell r="U6428" t="str"><v>USA-Trial-ITD-Trial Lookalike-AZR-AZR</v></cell><cell r="V6428" t="str"><v>Lookalike Targeting</v></cell><cell r="W6428" t="str"><v>Canvas Ad</v></cell><cell r="X6428" t="str"><v>1x1</v></cell></row><row r="6428"><cell r="AA6428"><v>43327</v></cell><cell r="AB6428" t="str"><v>USA_gaPMG_AZR_AZR_Q1_19_Direct-Social</v></cell><cell r="AC6428"><v>21358715</v></cell><cell r="AD6428"><v>720197</v></cell><cell r="AE6428" t="str"><v>Facebook</v></cell><cell r="AF6428"><v>3654128</v></cell><cell r="AG6428" t="str"><v>FACEBOOK»USA-Trial-ITD-Trial Lookalike-AZR-AZR»1 x 1»SocialBan»CAN»ALL»CPA»LAL»X»NA»SS»NA»FreeAcctDeveloperFB-AnimatedAI-Ch3»PS7B50</v></cell><cell r="AH6428"><v>226538621</v></cell><cell r="AI6428" t="str"><v>AZR_FreeAcctDeveloperFB-AnimatedAI-Ch3_USA_1200x1200_CAN_Direct_EN_Trial_Standard_ANI_LEA_T3_1</v></cell><cell r="AJ6428"><v>104593735</v></cell></row><row r="6429"><cell r="C6429" t="str"><v>43327FACEBOOK»USA-Trial-ITD-Trial Lookalike-AZR-AZR»1 x 1»SocialBan»CAN»ALL»CPA»LAL»X»NA»SS»NA»FreeAcctDeveloperFB-AnimatedData-Ch4»PS7B52</v></cell><cell r="D6429" t="str"><v>43327226622902</v></cell><cell r="E6429" t="str"><v>43327104595739PS7B52</v></cell><cell r="F6429" t="str"><v>DCM</v></cell><cell r="G6429" t="str"><v>https://signup.azure.com/?OCID=AID%eexcid!_OLA_%ebuy!_%epid!_%ecid!</v></cell></row><row r="6429"><cell r="K6429" t="str"><v>August</v></cell><cell r="L6429"><v>43330</v></cell><cell r="M6429" t="str"><v>Tier 0</v></cell><cell r="N6429" t="str"><v>North America</v></cell><cell r="O6429" t="str"><v>United States</v></cell><cell r="P6429" t="str"><v>Trial</v></cell><cell r="Q6429" t="str"><v>Social</v></cell><cell r="R6429" t="str"><v>Azure</v></cell><cell r="S6429" t="str"><v>Apps & Infra</v></cell><cell r="T6429" t="str"><v>Developers & ITI's</v></cell><cell r="U6429" t="str"><v>USA-Trial-ITD-Trial Lookalike-AZR-AZR</v></cell><cell r="V6429" t="str"><v>Lookalike Targeting</v></cell><cell r="W6429" t="str"><v>Canvas Ad</v></cell><cell r="X6429" t="str"><v>1x1</v></cell></row><row r="6429"><cell r="AA6429"><v>43327</v></cell><cell r="AB6429" t="str"><v>USA_gaPMG_AZR_AZR_Q1_19_Direct-Social</v></cell><cell r="AC6429"><v>21358715</v></cell><cell r="AD6429"><v>720197</v></cell><cell r="AE6429" t="str"><v>Facebook</v></cell><cell r="AF6429"><v>3654128</v></cell><cell r="AG6429" t="str"><v>FACEBOOK»USA-Trial-ITD-Trial Lookalike-AZR-AZR»1 x 1»SocialBan»CAN»ALL»CPA»LAL»X»NA»SS»NA»FreeAcctDeveloperFB-AnimatedData-Ch4»PS7B52</v></cell><cell r="AH6429"><v>226622902</v></cell><cell r="AI6429" t="str"><v>AZR_FreeAcctDeveloperFB-AnimatedData-Ch4_USA_1200x1200_CAN_Direct_EN_Trial_Standard_ANI_LEA_T4_1</v></cell><cell r="AJ6429"><v>104595739</v></cell></row><row r="6430"><cell r="C6430" t="str"><v>43327FACEBOOK»USA-Trial-ITD-Trial Lookalike-AZR-AZR»1 x 1»SocialBan»CAN»ALL»CPA»LAL»X»NA»SS»NA»FreeAcctDeveloperFB-AnimatedGeneric-Ch1»PS7B4W</v></cell><cell r="D6430" t="str"><v>43327226784007</v></cell><cell r="E6430" t="str"><v>43327104592523PS7B4W</v></cell><cell r="F6430" t="str"><v>DCM</v></cell><cell r="G6430" t="str"><v>https://azure.microsoft.com/en-us/pricing/purchase-options/?v=18.19&OCID=AID%eexcid!_OLA_%ebuy!_%epid!_%ecid!</v></cell></row><row r="6430"><cell r="K6430" t="str"><v>August</v></cell><cell r="L6430"><v>43330</v></cell><cell r="M6430" t="str"><v>Tier 0</v></cell><cell r="N6430" t="str"><v>North America</v></cell><cell r="O6430" t="str"><v>United States</v></cell><cell r="P6430" t="str"><v>Trial</v></cell><cell r="Q6430" t="str"><v>Social</v></cell><cell r="R6430" t="str"><v>Azure</v></cell><cell r="S6430" t="str"><v>Apps & Infra</v></cell><cell r="T6430" t="str"><v>Developers & ITI's</v></cell><cell r="U6430" t="str"><v>USA-Trial-ITD-Trial Lookalike-AZR-AZR</v></cell><cell r="V6430" t="str"><v>Lookalike Targeting</v></cell><cell r="W6430" t="str"><v>Canvas Ad</v></cell><cell r="X6430" t="str"><v>1x1</v></cell></row><row r="6430"><cell r="AA6430"><v>43327</v></cell><cell r="AB6430" t="str"><v>USA_gaPMG_AZR_AZR_Q1_19_Direct-Social</v></cell><cell r="AC6430"><v>21358715</v></cell><cell r="AD6430"><v>720197</v></cell><cell r="AE6430" t="str"><v>Facebook</v></cell><cell r="AF6430"><v>3654128</v></cell><cell r="AG6430" t="str"><v>FACEBOOK»USA-Trial-ITD-Trial Lookalike-AZR-AZR»1 x 1»SocialBan»CAN»ALL»CPA»LAL»X»NA»SS»NA»FreeAcctDeveloperFB-AnimatedGeneric-Ch1»PS7B4W</v></cell><cell r="AH6430"><v>226784007</v></cell><cell r="AI6430" t="str"><v>AZR_FreeAcctDeveloperFB-AnimatedGeneric-Ch1_USA_1200x1200_CAN_Direct_EN_Trial_Standard_ANI_LEA_T1_2</v></cell><cell r="AJ6430"><v>104592523</v></cell></row><row r="6431"><cell r="C6431" t="str"><v>43327FACEBOOK»USA-Trial-ITD-Trial Lookalike-AZR-AZR»1 x 1»SocialBan»CAN»ALL»CPA»LAL»X»NA»SS»NA»FreeAcctDeveloperFB-AnimatedGeneric-Ch1»PS7B4Y</v></cell><cell r="D6431" t="str"><v>43327226535300</v></cell><cell r="E6431" t="str"><v>43327104592523PS7B4Y</v></cell><cell r="F6431" t="str"><v>DCM</v></cell><cell r="G6431" t="str"><v>https://azure.microsoft.com/en-us/pricing/purchase-options/?v=18.19&OCID=AID%eexcid!_OLA_%ebuy!_%epid!_%ecid!</v></cell></row><row r="6431"><cell r="K6431" t="str"><v>August</v></cell><cell r="L6431"><v>43330</v></cell><cell r="M6431" t="str"><v>Tier 0</v></cell><cell r="N6431" t="str"><v>North America</v></cell><cell r="O6431" t="str"><v>United States</v></cell><cell r="P6431" t="str"><v>Trial</v></cell><cell r="Q6431" t="str"><v>Social</v></cell><cell r="R6431" t="str"><v>Azure</v></cell><cell r="S6431" t="str"><v>Apps & Infra</v></cell><cell r="T6431" t="str"><v>Developers & ITI's</v></cell><cell r="U6431" t="str"><v>USA-Trial-ITD-Trial Lookalike-AZR-AZR</v></cell><cell r="V6431" t="str"><v>Lookalike Targeting</v></cell><cell r="W6431" t="str"><v>Canvas Ad</v></cell><cell r="X6431" t="str"><v>1x1</v></cell></row><row r="6431"><cell r="AA6431"><v>43327</v></cell><cell r="AB6431" t="str"><v>USA_gaPMG_AZR_AZR_Q1_19_Direct-Social</v></cell><cell r="AC6431"><v>21358715</v></cell><cell r="AD6431"><v>720197</v></cell><cell r="AE6431" t="str"><v>Facebook</v></cell><cell r="AF6431"><v>3654128</v></cell><cell r="AG6431" t="str"><v>FACEBOOK»USA-Trial-ITD-Trial Lookalike-AZR-AZR»1 x 1»SocialBan»CAN»ALL»CPA»LAL»X»NA»SS»NA»FreeAcctDeveloperFB-AnimatedGeneric-Ch1»PS7B4Y</v></cell><cell r="AH6431"><v>226535300</v></cell><cell r="AI6431" t="str"><v>AZR_FreeAcctDeveloperFB-AnimatedGeneric-Ch1_USA_1200x1200_CAN_Direct_EN_Trial_Standard_ANI_LEA_T1_2</v></cell><cell r="AJ6431"><v>104592523</v></cell></row><row r="6432"><cell r="C6432" t="str"><v>43327FACEBOOK»USA-Trial-ITD-Trial Lookalike-AZR-AZR»1 x 1»SocialBan»CAN»ALL»CPA»LAL»X»NA»SS»NA»FreeAcctITProFB-AnimatedHybrid-Ch2»PS7B54</v></cell><cell r="D6432" t="str"><v>43327226784004</v></cell><cell r="E6432" t="str"><v>43327104592535PS7B54</v></cell><cell r="F6432" t="str"><v>DCM</v></cell><cell r="G6432" t="str"><v>https://signup.azure.com/?OCID=AID%eexcid!_OLA_%ebuy!_%epid!_%ecid!</v></cell></row><row r="6432"><cell r="K6432" t="str"><v>August</v></cell><cell r="L6432"><v>43330</v></cell><cell r="M6432" t="str"><v>Tier 0</v></cell><cell r="N6432" t="str"><v>North America</v></cell><cell r="O6432" t="str"><v>United States</v></cell><cell r="P6432" t="str"><v>Trial</v></cell><cell r="Q6432" t="str"><v>Social</v></cell><cell r="R6432" t="str"><v>Azure</v></cell><cell r="S6432" t="str"><v>Apps & Infra</v></cell><cell r="T6432" t="str"><v>Developers & ITI's</v></cell><cell r="U6432" t="str"><v>USA-Trial-ITD-Trial Lookalike-AZR-AZR</v></cell><cell r="V6432" t="str"><v>Lookalike Targeting</v></cell><cell r="W6432" t="str"><v>Canvas Ad</v></cell><cell r="X6432" t="str"><v>1x1</v></cell></row><row r="6432"><cell r="AA6432"><v>43327</v></cell><cell r="AB6432" t="str"><v>USA_gaPMG_AZR_AZR_Q1_19_Direct-Social</v></cell><cell r="AC6432"><v>21358715</v></cell><cell r="AD6432"><v>720197</v></cell><cell r="AE6432" t="str"><v>Facebook</v></cell><cell r="AF6432"><v>3654128</v></cell><cell r="AG6432" t="str"><v>FACEBOOK»USA-Trial-ITD-Trial Lookalike-AZR-AZR»1 x 1»SocialBan»CAN»ALL»CPA»LAL»X»NA»SS»NA»FreeAcctITProFB-AnimatedHybrid-Ch2»PS7B54</v></cell><cell r="AH6432"><v>226784004</v></cell><cell r="AI6432" t="str"><v>AZR_FreeAcctITProFB-AnimatedHybrid-Ch2_USA_1200x1200_CAN_Direct_EN_Trial_Standard_ANI_LEA_T2_1</v></cell><cell r="AJ6432"><v>104592535</v></cell></row><row r="6433"><cell r="C6433" t="str"><v>43327FACEBOOK»USA-Trial-ITD-Trial PayGo Lookalike-AZR-AZR»1 x 1»SocialBan»LIA»ALL»CPA»LAL»X»NA»SS»NA»FreeAcctDeveloperFB-AnimatedGeneric-Ch1»PRC1Q5</v></cell><cell r="D6433" t="str"><v>43327224104092</v></cell><cell r="E6433" t="str"><v>43327103176851PRC1Q5</v></cell><cell r="F6433" t="str"><v>DCM</v></cell><cell r="G6433" t="str"><v>https://azure.microsoft.com/en-us/free/search/?OCID=AID%eexcid!_OLA_%ebuy!_%epid!_%ecid!</v></cell></row><row r="6433"><cell r="K6433" t="str"><v>August</v></cell><cell r="L6433"><v>43330</v></cell><cell r="M6433" t="str"><v>Tier 0</v></cell><cell r="N6433" t="str"><v>North America</v></cell><cell r="O6433" t="str"><v>United States</v></cell><cell r="P6433" t="str"><v>Trial</v></cell><cell r="Q6433" t="str"><v>Social</v></cell><cell r="R6433" t="str"><v>Azure</v></cell><cell r="S6433" t="str"><v>Apps & Infra</v></cell><cell r="T6433" t="str"><v>Developers & ITI's</v></cell><cell r="U6433" t="str"><v>USA-Trial-ITD-Trial PayGo Lookalike-AZR-AZR</v></cell><cell r="V6433" t="str"><v>Lookalike Targeting</v></cell><cell r="W6433" t="str"><v>Link Ad</v></cell><cell r="X6433" t="str"><v>1x1</v></cell></row><row r="6433"><cell r="AA6433"><v>43327</v></cell><cell r="AB6433" t="str"><v>USA_gaPMG_AZR_AZR_Q1_19_Direct-Social</v></cell><cell r="AC6433"><v>21358715</v></cell><cell r="AD6433"><v>720197</v></cell><cell r="AE6433" t="str"><v>Facebook</v></cell><cell r="AF6433"><v>3654128</v></cell><cell r="AG6433" t="str"><v>FACEBOOK»USA-Trial-ITD-Trial PayGo Lookalike-AZR-AZR»1 x 1»SocialBan»LIA»ALL»CPA»LAL»X»NA»SS»NA»FreeAcctDeveloperFB-AnimatedGeneric-Ch1»PRC1Q5</v></cell><cell r="AH6433"><v>224104092</v></cell><cell r="AI6433" t="str"><v>AZR_FreeAcctDeveloperFB-AnimatedGeneric-Ch1_USA_1200x1200_CAN_Direct_English_Trial_Standard_ANI_LEA_T1_2</v></cell><cell r="AJ6433"><v>103176851</v></cell></row><row r="6434"><cell r="C6434" t="str"><v>43327FACEBOOK»USA-Trial-ITD-Trial PayGo Lookalike-AZR-AZR»1 x 1»SocialBan»CAN»ALL»CPA»LAL»X»NA»SS»NA»FreeAcctDeveloperFB-AnimatedData-Ch4»PS7B5V</v></cell><cell r="D6434" t="str"><v>43327226536149</v></cell><cell r="E6434" t="str"><v>43327104595739PS7B5V</v></cell><cell r="F6434" t="str"><v>DCM</v></cell><cell r="G6434" t="str"><v>https://signup.azure.com/?OCID=AID%eexcid!_OLA_%ebuy!_%epid!_%ecid!</v></cell></row><row r="6434"><cell r="K6434" t="str"><v>August</v></cell><cell r="L6434"><v>43330</v></cell><cell r="M6434" t="str"><v>Tier 0</v></cell><cell r="N6434" t="str"><v>North America</v></cell><cell r="O6434" t="str"><v>United States</v></cell><cell r="P6434" t="str"><v>Trial</v></cell><cell r="Q6434" t="str"><v>Social</v></cell><cell r="R6434" t="str"><v>Azure</v></cell><cell r="S6434" t="str"><v>Apps & Infra</v></cell><cell r="T6434" t="str"><v>Developers & ITI's</v></cell><cell r="U6434" t="str"><v>USA-Trial-ITD-Trial PayGo Lookalike-AZR-AZR</v></cell><cell r="V6434" t="str"><v>Lookalike Targeting</v></cell><cell r="W6434" t="str"><v>Canvas Ad</v></cell><cell r="X6434" t="str"><v>1x1</v></cell></row><row r="6434"><cell r="AA6434"><v>43327</v></cell><cell r="AB6434" t="str"><v>USA_gaPMG_AZR_AZR_Q1_19_Direct-Social</v></cell><cell r="AC6434"><v>21358715</v></cell><cell r="AD6434"><v>720197</v></cell><cell r="AE6434" t="str"><v>Facebook</v></cell><cell r="AF6434"><v>3654128</v></cell><cell r="AG6434" t="str"><v>FACEBOOK»USA-Trial-ITD-Trial PayGo Lookalike-AZR-AZR»1 x 1»SocialBan»CAN»ALL»CPA»LAL»X»NA»SS»NA»FreeAcctDeveloperFB-AnimatedData-Ch4»PS7B5V</v></cell><cell r="AH6434"><v>226536149</v></cell><cell r="AI6434" t="str"><v>AZR_FreeAcctDeveloperFB-AnimatedData-Ch4_USA_1200x1200_CAN_Direct_EN_Trial_Standard_ANI_LEA_T4_1</v></cell><cell r="AJ6434"><v>104595739</v></cell></row><row r="6435"><cell r="C6435" t="str"><v>43327FACEBOOK»USA-Trial-ITD-Trial PayGo Lookalike-AZR-AZR»1 x 1»SocialBan»CAN»ALL»CPA»LAL»X»NA»SS»NA»FreeAcctDeveloperFB-AnimatedData-Ch4»PS7B5V</v></cell><cell r="D6435" t="str"><v>43327226536149</v></cell><cell r="E6435" t="str"><v>43327104671403PS7B5V</v></cell><cell r="F6435" t="str"><v>DCM</v></cell><cell r="G6435" t="str"><v>https://azure.microsoft.com/en-us/pricing/purchase-options/?v=18.19&OCID=AID%eexcid!_OLA_%ebuy!_%epid!_%ecid!</v></cell></row><row r="6435"><cell r="K6435" t="str"><v>August</v></cell><cell r="L6435"><v>43330</v></cell><cell r="M6435" t="str"><v>Tier 0</v></cell><cell r="N6435" t="str"><v>North America</v></cell><cell r="O6435" t="str"><v>United States</v></cell><cell r="P6435" t="str"><v>Trial</v></cell><cell r="Q6435" t="str"><v>Social</v></cell><cell r="R6435" t="str"><v>Azure</v></cell><cell r="S6435" t="str"><v>Apps & Infra</v></cell><cell r="T6435" t="str"><v>Developers & ITI's</v></cell><cell r="U6435" t="str"><v>USA-Trial-ITD-Trial PayGo Lookalike-AZR-AZR</v></cell><cell r="V6435" t="str"><v>Lookalike Targeting</v></cell><cell r="W6435" t="str"><v>Canvas Ad</v></cell><cell r="X6435" t="str"><v>1x1</v></cell></row><row r="6435"><cell r="AA6435"><v>43327</v></cell><cell r="AB6435" t="str"><v>USA_gaPMG_AZR_AZR_Q1_19_Direct-Social</v></cell><cell r="AC6435"><v>21358715</v></cell><cell r="AD6435"><v>720197</v></cell><cell r="AE6435" t="str"><v>Facebook</v></cell><cell r="AF6435"><v>3654128</v></cell><cell r="AG6435" t="str"><v>FACEBOOK»USA-Trial-ITD-Trial PayGo Lookalike-AZR-AZR»1 x 1»SocialBan»CAN»ALL»CPA»LAL»X»NA»SS»NA»FreeAcctDeveloperFB-AnimatedData-Ch4»PS7B5V</v></cell><cell r="AH6435"><v>226536149</v></cell><cell r="AI6435" t="str"><v>AZR_FreeAcctDeveloperFB-AnimatedData-Ch4_USA_1200x1200_CAN_Direct_EN_Trial_Standard_ANI_LEA_T4_2</v></cell><cell r="AJ6435"><v>104671403</v></cell></row><row r="6436"><cell r="C6436" t="str"><v>43327FACEBOOK»USA-Trial-ITD-Trial PayGo Lookalike-AZR-AZR»1 x 1»SocialBan»CAN»ALL»CPA»LAL»X»NA»SS»NA»FreeAcctDeveloperFB-AnimatedGeneric-Ch1»PS7B5P</v></cell><cell r="D6436" t="str"><v>43327226622530</v></cell><cell r="E6436" t="str"><v>43327104592523PS7B5P</v></cell><cell r="F6436" t="str"><v>DCM</v></cell><cell r="G6436" t="str"><v>https://azure.microsoft.com/en-us/pricing/purchase-options/?v=18.19&OCID=AID%eexcid!_OLA_%ebuy!_%epid!_%ecid!</v></cell></row><row r="6436"><cell r="K6436" t="str"><v>August</v></cell><cell r="L6436"><v>43330</v></cell><cell r="M6436" t="str"><v>Tier 0</v></cell><cell r="N6436" t="str"><v>North America</v></cell><cell r="O6436" t="str"><v>United States</v></cell><cell r="P6436" t="str"><v>Trial</v></cell><cell r="Q6436" t="str"><v>Social</v></cell><cell r="R6436" t="str"><v>Azure</v></cell><cell r="S6436" t="str"><v>Apps & Infra</v></cell><cell r="T6436" t="str"><v>Developers & ITI's</v></cell><cell r="U6436" t="str"><v>USA-Trial-ITD-Trial PayGo Lookalike-AZR-AZR</v></cell><cell r="V6436" t="str"><v>Lookalike Targeting</v></cell><cell r="W6436" t="str"><v>Canvas Ad</v></cell><cell r="X6436" t="str"><v>1x1</v></cell></row><row r="6436"><cell r="AA6436"><v>43327</v></cell><cell r="AB6436" t="str"><v>USA_gaPMG_AZR_AZR_Q1_19_Direct-Social</v></cell><cell r="AC6436"><v>21358715</v></cell><cell r="AD6436"><v>720197</v></cell><cell r="AE6436" t="str"><v>Facebook</v></cell><cell r="AF6436"><v>3654128</v></cell><cell r="AG6436" t="str"><v>FACEBOOK»USA-Trial-ITD-Trial PayGo Lookalike-AZR-AZR»1 x 1»SocialBan»CAN»ALL»CPA»LAL»X»NA»SS»NA»FreeAcctDeveloperFB-AnimatedGeneric-Ch1»PS7B5P</v></cell><cell r="AH6436"><v>226622530</v></cell><cell r="AI6436" t="str"><v>AZR_FreeAcctDeveloperFB-AnimatedGeneric-Ch1_USA_1200x1200_CAN_Direct_EN_Trial_Standard_ANI_LEA_T1_2</v></cell><cell r="AJ6436"><v>104592523</v></cell></row><row r="6437"><cell r="C6437" t="str"><v>43327FACEBOOK»USA-Trial-ITD-Trial PayGo Lookalike-AZR-AZR»1 x 1»SocialBan»CAN»ALL»CPA»LAL»X»NA»SS»NA»FreeAcctITProFB-AnimatedHybrid-Ch2»PS7B5Z</v></cell><cell r="D6437" t="str"><v>43327226539452</v></cell><cell r="E6437" t="str"><v>43327104592535PS7B5Z</v></cell><cell r="F6437" t="str"><v>DCM</v></cell><cell r="G6437" t="str"><v>https://signup.azure.com/?OCID=AID%eexcid!_OLA_%ebuy!_%epid!_%ecid!</v></cell></row><row r="6437"><cell r="K6437" t="str"><v>August</v></cell><cell r="L6437"><v>43330</v></cell><cell r="M6437" t="str"><v>Tier 0</v></cell><cell r="N6437" t="str"><v>North America</v></cell><cell r="O6437" t="str"><v>United States</v></cell><cell r="P6437" t="str"><v>Trial</v></cell><cell r="Q6437" t="str"><v>Social</v></cell><cell r="R6437" t="str"><v>Azure</v></cell><cell r="S6437" t="str"><v>Apps & Infra</v></cell><cell r="T6437" t="str"><v>Developers & ITI's</v></cell><cell r="U6437" t="str"><v>USA-Trial-ITD-Trial PayGo Lookalike-AZR-AZR</v></cell><cell r="V6437" t="str"><v>Lookalike Targeting</v></cell><cell r="W6437" t="str"><v>Canvas Ad</v></cell><cell r="X6437" t="str"><v>1x1</v></cell></row><row r="6437"><cell r="AA6437"><v>43327</v></cell><cell r="AB6437" t="str"><v>USA_gaPMG_AZR_AZR_Q1_19_Direct-Social</v></cell><cell r="AC6437"><v>21358715</v></cell><cell r="AD6437"><v>720197</v></cell><cell r="AE6437" t="str"><v>Facebook</v></cell><cell r="AF6437"><v>3654128</v></cell><cell r="AG6437" t="str"><v>FACEBOOK»USA-Trial-ITD-Trial PayGo Lookalike-AZR-AZR»1 x 1»SocialBan»CAN»ALL»CPA»LAL»X»NA»SS»NA»FreeAcctITProFB-AnimatedHybrid-Ch2»PS7B5Z</v></cell><cell r="AH6437"><v>226539452</v></cell><cell r="AI6437" t="str"><v>AZR_FreeAcctITProFB-AnimatedHybrid-Ch2_USA_1200x1200_CAN_Direct_EN_Trial_Standard_ANI_LEA_T2_1</v></cell><cell r="AJ6437"><v>104592535</v></cell></row><row r="6438"><cell r="C6438" t="str"><v>43327FACEBOOK»USA-Trial-ITD-Trial PayGo Lookalike-AZR-AZR»1 x 1»SocialBan»CAN»ALL»CPA»LAL»X»NA»SS»NA»FreeAcctITProFB-AnimatedMigration-Ch3»PS7B60</v></cell><cell r="D6438" t="str"><v>43327226786272</v></cell><cell r="E6438" t="str"><v>43327104595730PS7B60</v></cell><cell r="F6438" t="str"><v>DCM</v></cell><cell r="G6438" t="str"><v>https://azure.microsoft.com/en-us/pricing/purchase-options/?v=18.19&OCID=AID%eexcid!_OLA_%ebuy!_%epid!_%ecid!</v></cell></row><row r="6438"><cell r="K6438" t="str"><v>August</v></cell><cell r="L6438"><v>43330</v></cell><cell r="M6438" t="str"><v>Tier 0</v></cell><cell r="N6438" t="str"><v>North America</v></cell><cell r="O6438" t="str"><v>United States</v></cell><cell r="P6438" t="str"><v>Trial</v></cell><cell r="Q6438" t="str"><v>Social</v></cell><cell r="R6438" t="str"><v>Azure</v></cell><cell r="S6438" t="str"><v>Apps & Infra</v></cell><cell r="T6438" t="str"><v>Developers & ITI's</v></cell><cell r="U6438" t="str"><v>USA-Trial-ITD-Trial PayGo Lookalike-AZR-AZR</v></cell><cell r="V6438" t="str"><v>Lookalike Targeting</v></cell><cell r="W6438" t="str"><v>Canvas Ad</v></cell><cell r="X6438" t="str"><v>1x1</v></cell></row><row r="6438"><cell r="AA6438"><v>43327</v></cell><cell r="AB6438" t="str"><v>USA_gaPMG_AZR_AZR_Q1_19_Direct-Social</v></cell><cell r="AC6438"><v>21358715</v></cell><cell r="AD6438"><v>720197</v></cell><cell r="AE6438" t="str"><v>Facebook</v></cell><cell r="AF6438"><v>3654128</v></cell><cell r="AG6438" t="str"><v>FACEBOOK»USA-Trial-ITD-Trial PayGo Lookalike-AZR-AZR»1 x 1»SocialBan»CAN»ALL»CPA»LAL»X»NA»SS»NA»FreeAcctITProFB-AnimatedMigration-Ch3»PS7B60</v></cell><cell r="AH6438"><v>226786272</v></cell><cell r="AI6438" t="str"><v>AZR_FreeAcctITProFB-AnimatedMigration-Ch3_USA_1200x1200_CAN_Direct_EN_Trial_Standard_ANI_LEA_T3_2</v></cell><cell r="AJ6438"><v>104595730</v></cell></row><row r="6439"><cell r="C6439" t="str"><v>43327INSTAGRAM»USA-Trial-ITD-Interest Prospecting-AZR-AZR»1 x 1»SocialBan»CAN»ALL»CPA»PRO»X»NA»SS»NA»IGCTCBenefit2inMotion»PRC2PD</v></cell><cell r="D6439" t="str"><v>43327223933084</v></cell><cell r="E6439" t="str"><v>43327103180628PRC2PD</v></cell><cell r="F6439" t="str"><v>DCM</v></cell><cell r="G6439" t="str"><v>https://signup.azure.com/?OCID=AID%eexcid!_OLA_%ebuy!_%epid!_%ecid!</v></cell></row><row r="6439"><cell r="K6439" t="str"><v>August</v></cell><cell r="L6439"><v>43330</v></cell><cell r="M6439" t="str"><v>Tier 0</v></cell><cell r="N6439" t="str"><v>North America</v></cell><cell r="O6439" t="str"><v>United States</v></cell><cell r="P6439" t="str"><v>Trial</v></cell><cell r="Q6439" t="str"><v>Social</v></cell><cell r="R6439" t="str"><v>Azure</v></cell><cell r="S6439" t="str"><v>Apps & Infra</v></cell><cell r="T6439" t="str"><v>Developers & ITI's</v></cell><cell r="U6439" t="str"><v>USA-Trial-ITD-Interest Prospecting-AZR-AZR</v></cell><cell r="V6439" t="str"><v>Prospecting</v></cell><cell r="W6439" t="str"><v>Canvas Ad</v></cell><cell r="X6439" t="str"><v>1x1</v></cell></row><row r="6439"><cell r="AA6439"><v>43327</v></cell><cell r="AB6439" t="str"><v>USA_gaPMG_AZR_AZR_Q1_19_Direct-Social</v></cell><cell r="AC6439"><v>21358715</v></cell><cell r="AD6439"><v>720197</v></cell><cell r="AE6439" t="str"><v>Facebook - Instagram</v></cell><cell r="AF6439"><v>3654128</v></cell><cell r="AG6439" t="str"><v>INSTAGRAM»USA-Trial-ITD-Interest Prospecting-AZR-AZR»1 x 1»SocialBan»CAN»ALL»CPA»PRO»X»NA»SS»NA»IGCTCBenefit2inMotion»PRC2PD</v></cell><cell r="AH6439"><v>223933084</v></cell><cell r="AI6439" t="str"><v>AzurePlatform_IGCTCBrandinMotion_USA_10s_CAN_PLATFORM_English_Trial_Standard_STAN_TIN_T2_1</v></cell><cell r="AJ6439"><v>103180628</v></cell></row><row r="6440"><cell r="C6440" t="str"><v>43327INSTAGRAM»USA-Trial-ITD-Interest Prospecting-AZR-AZR»1 x 1»SocialBan»CAN»ALL»CPA»PRO»X»NA»SS»NA»IGCTCBenefit2inMotion»PRC2PD</v></cell><cell r="D6440" t="str"><v>43327223933084</v></cell><cell r="E6440" t="str"><v>43327103050786PRC2PD</v></cell><cell r="F6440" t="str"><v>DCM</v></cell><cell r="G6440" t="str"><v>https://azure.microsoft.com/en-us/pricing/purchase-options/?v=18.19&OCID=AID%eexcid!_OLA_%ebuy!_%epid!_%ecid!</v></cell></row><row r="6440"><cell r="K6440" t="str"><v>August</v></cell><cell r="L6440"><v>43330</v></cell><cell r="M6440" t="str"><v>Tier 0</v></cell><cell r="N6440" t="str"><v>North America</v></cell><cell r="O6440" t="str"><v>United States</v></cell><cell r="P6440" t="str"><v>Trial</v></cell><cell r="Q6440" t="str"><v>Social</v></cell><cell r="R6440" t="str"><v>Azure</v></cell><cell r="S6440" t="str"><v>Apps & Infra</v></cell><cell r="T6440" t="str"><v>Developers & ITI's</v></cell><cell r="U6440" t="str"><v>USA-Trial-ITD-Interest Prospecting-AZR-AZR</v></cell><cell r="V6440" t="str"><v>Prospecting</v></cell><cell r="W6440" t="str"><v>Canvas Ad</v></cell><cell r="X6440" t="str"><v>1x1</v></cell></row><row r="6440"><cell r="AA6440"><v>43327</v></cell><cell r="AB6440" t="str"><v>USA_gaPMG_AZR_AZR_Q1_19_Direct-Social</v></cell><cell r="AC6440"><v>21358715</v></cell><cell r="AD6440"><v>720197</v></cell><cell r="AE6440" t="str"><v>Facebook - Instagram</v></cell><cell r="AF6440"><v>3654128</v></cell><cell r="AG6440" t="str"><v>INSTAGRAM»USA-Trial-ITD-Interest Prospecting-AZR-AZR»1 x 1»SocialBan»CAN»ALL»CPA»PRO»X»NA»SS»NA»IGCTCBenefit2inMotion»PRC2PD</v></cell><cell r="AH6440"><v>223933084</v></cell><cell r="AI6440" t="str"><v>AzurePlatform_IGCTCBrandinMotion_USA_10s_CAN_PLATFORM_English_Trial_Standard_STAN_TIN_T2_2</v></cell><cell r="AJ6440"><v>103050786</v></cell></row><row r="6441"><cell r="C6441" t="str"><v>43327INSTAGRAM»USA-Trial-ITD-Interest Prospecting-AZR-AZR»1 x 1»SocialBan»CAN»ALL»CPA»PRO»X»NA»SS»NA»IGCTCBrandinMotion»PRC2PB</v></cell><cell r="D6441" t="str"><v>43327223862690</v></cell><cell r="E6441" t="str"><v>43327103050783PRC2PB</v></cell><cell r="F6441" t="str"><v>DCM</v></cell><cell r="G6441" t="str"><v>https://signup.azure.com/?OCID=AID%eexcid!_OLA_%ebuy!_%epid!_%ecid!</v></cell></row><row r="6441"><cell r="K6441" t="str"><v>August</v></cell><cell r="L6441"><v>43330</v></cell><cell r="M6441" t="str"><v>Tier 0</v></cell><cell r="N6441" t="str"><v>North America</v></cell><cell r="O6441" t="str"><v>United States</v></cell><cell r="P6441" t="str"><v>Trial</v></cell><cell r="Q6441" t="str"><v>Social</v></cell><cell r="R6441" t="str"><v>Azure</v></cell><cell r="S6441" t="str"><v>Apps & Infra</v></cell><cell r="T6441" t="str"><v>Developers & ITI's</v></cell><cell r="U6441" t="str"><v>USA-Trial-ITD-Interest Prospecting-AZR-AZR</v></cell><cell r="V6441" t="str"><v>Prospecting</v></cell><cell r="W6441" t="str"><v>Canvas Ad</v></cell><cell r="X6441" t="str"><v>1x1</v></cell></row><row r="6441"><cell r="AA6441"><v>43327</v></cell><cell r="AB6441" t="str"><v>USA_gaPMG_AZR_AZR_Q1_19_Direct-Social</v></cell><cell r="AC6441"><v>21358715</v></cell><cell r="AD6441"><v>720197</v></cell><cell r="AE6441" t="str"><v>Facebook - Instagram</v></cell><cell r="AF6441"><v>3654128</v></cell><cell r="AG6441" t="str"><v>INSTAGRAM»USA-Trial-ITD-Interest Prospecting-AZR-AZR»1 x 1»SocialBan»CAN»ALL»CPA»PRO»X»NA»SS»NA»IGCTCBrandinMotion»PRC2PB</v></cell><cell r="AH6441"><v>223862690</v></cell><cell r="AI6441" t="str"><v>AzurePlatform_IGCTCBenefit2inMotion_USA_10s_CAN_PLATFORM_English_Trial_Standard_STAN_TIN_T4_1</v></cell><cell r="AJ6441"><v>103050783</v></cell></row><row r="6442"><cell r="C6442" t="str"><v>43327INSTAGRAM»USA-Trial-ITD-Interest Prospecting-AZR-AZR»1 x 1»SocialBan»CAN»ALL»CPA»PRO»X»NA»SS»NA»IGCTCBrandinMotion»PRC2PB</v></cell><cell r="D6442" t="str"><v>43327223862690</v></cell><cell r="E6442" t="str"><v>43327103178714PRC2PB</v></cell><cell r="F6442" t="str"><v>DCM</v></cell><cell r="G6442" t="str"><v>https://azure.microsoft.com/en-us/pricing/purchase-options/?v=18.19&OCID=AID%eexcid!_OLA_%ebuy!_%epid!_%ecid!</v></cell></row><row r="6442"><cell r="K6442" t="str"><v>August</v></cell><cell r="L6442"><v>43330</v></cell><cell r="M6442" t="str"><v>Tier 0</v></cell><cell r="N6442" t="str"><v>North America</v></cell><cell r="O6442" t="str"><v>United States</v></cell><cell r="P6442" t="str"><v>Trial</v></cell><cell r="Q6442" t="str"><v>Social</v></cell><cell r="R6442" t="str"><v>Azure</v></cell><cell r="S6442" t="str"><v>Apps & Infra</v></cell><cell r="T6442" t="str"><v>Developers & ITI's</v></cell><cell r="U6442" t="str"><v>USA-Trial-ITD-Interest Prospecting-AZR-AZR</v></cell><cell r="V6442" t="str"><v>Prospecting</v></cell><cell r="W6442" t="str"><v>Canvas Ad</v></cell><cell r="X6442" t="str"><v>1x1</v></cell></row><row r="6442"><cell r="AA6442"><v>43327</v></cell><cell r="AB6442" t="str"><v>USA_gaPMG_AZR_AZR_Q1_19_Direct-Social</v></cell><cell r="AC6442"><v>21358715</v></cell><cell r="AD6442"><v>720197</v></cell><cell r="AE6442" t="str"><v>Facebook - Instagram</v></cell><cell r="AF6442"><v>3654128</v></cell><cell r="AG6442" t="str"><v>INSTAGRAM»USA-Trial-ITD-Interest Prospecting-AZR-AZR»1 x 1»SocialBan»CAN»ALL»CPA»PRO»X»NA»SS»NA»IGCTCBrandinMotion»PRC2PB</v></cell><cell r="AH6442"><v>223862690</v></cell><cell r="AI6442" t="str"><v>AzurePlatform_IGCTCBenefit2inMotion_USA_10s_CAN_PLATFORM_English_Trial_Standard_STAN_TIN_T4_2</v></cell><cell r="AJ6442"><v>103178714</v></cell></row><row r="6443"><cell r="C6443" t="str"><v>43327INSTAGRAM»USA-Trial-ITD-Retargeting-AZR-AZR»1 x 1»SocialBan»CAN»ALL»CPA»RT»X»NA»SS»NA»IGCTCBenefit2inMotion»PRC2G6</v></cell><cell r="D6443" t="str"><v>43327224105001</v></cell><cell r="E6443" t="str"><v>43327103180628PRC2G6</v></cell><cell r="F6443" t="str"><v>DCM</v></cell><cell r="G6443" t="str"><v>https://signup.azure.com/?OCID=AID%eexcid!_OLA_%ebuy!_%epid!_%ecid!</v></cell></row><row r="6443"><cell r="K6443" t="str"><v>August</v></cell><cell r="L6443"><v>43330</v></cell><cell r="M6443" t="str"><v>Tier 0</v></cell><cell r="N6443" t="str"><v>North America</v></cell><cell r="O6443" t="str"><v>United States</v></cell><cell r="P6443" t="str"><v>Trial</v></cell><cell r="Q6443" t="str"><v>Social</v></cell><cell r="R6443" t="str"><v>Azure</v></cell><cell r="S6443" t="str"><v>Apps & Infra</v></cell><cell r="T6443" t="str"><v>Developers & ITI's</v></cell><cell r="U6443" t="str"><v>USA-Trial-ITD-Retargeting-AZR-AZR</v></cell><cell r="V6443" t="str"><v>Retargeting</v></cell><cell r="W6443" t="str"><v>Canvas Ad</v></cell><cell r="X6443" t="str"><v>1x1</v></cell></row><row r="6443"><cell r="AA6443"><v>43327</v></cell><cell r="AB6443" t="str"><v>USA_gaPMG_AZR_AZR_Q1_19_Direct-Social</v></cell><cell r="AC6443"><v>21358715</v></cell><cell r="AD6443"><v>720197</v></cell><cell r="AE6443" t="str"><v>Facebook - Instagram</v></cell><cell r="AF6443"><v>3654128</v></cell><cell r="AG6443" t="str"><v>INSTAGRAM»USA-Trial-ITD-Retargeting-AZR-AZR»1 x 1»SocialBan»CAN»ALL»CPA»RT»X»NA»SS»NA»IGCTCBenefit2inMotion»PRC2G6</v></cell><cell r="AH6443"><v>224105001</v></cell><cell r="AI6443" t="str"><v>AzurePlatform_IGCTCBrandinMotion_USA_10s_CAN_PLATFORM_English_Trial_Standard_STAN_TIN_T2_1</v></cell><cell r="AJ6443"><v>103180628</v></cell></row><row r="6444"><cell r="C6444" t="str"><v>43327INSTAGRAM»USA-Trial-ITD-Trial Lookalike-AZR-AZR»1 x 1»SocialBan»CAN»ALL»CPA»LAL»X»NA»SS»NA»IGCTCBenefit2inMotion»PRC2FL</v></cell><cell r="D6444" t="str"><v>43327223935022</v></cell><cell r="E6444" t="str"><v>43327103180628PRC2FL</v></cell><cell r="F6444" t="str"><v>DCM</v></cell><cell r="G6444" t="str"><v>https://signup.azure.com/?OCID=AID%eexcid!_OLA_%ebuy!_%epid!_%ecid!</v></cell></row><row r="6444"><cell r="K6444" t="str"><v>August</v></cell><cell r="L6444"><v>43330</v></cell><cell r="M6444" t="str"><v>Tier 0</v></cell><cell r="N6444" t="str"><v>North America</v></cell><cell r="O6444" t="str"><v>United States</v></cell><cell r="P6444" t="str"><v>Trial</v></cell><cell r="Q6444" t="str"><v>Social</v></cell><cell r="R6444" t="str"><v>Azure</v></cell><cell r="S6444" t="str"><v>Apps & Infra</v></cell><cell r="T6444" t="str"><v>Developers & ITI's</v></cell><cell r="U6444" t="str"><v>USA-Trial-ITD-Trial Lookalike-AZR-AZR</v></cell><cell r="V6444" t="str"><v>Lookalike Targeting</v></cell><cell r="W6444" t="str"><v>Canvas Ad</v></cell><cell r="X6444" t="str"><v>1x1</v></cell></row><row r="6444"><cell r="AA6444"><v>43327</v></cell><cell r="AB6444" t="str"><v>USA_gaPMG_AZR_AZR_Q1_19_Direct-Social</v></cell><cell r="AC6444"><v>21358715</v></cell><cell r="AD6444"><v>720197</v></cell><cell r="AE6444" t="str"><v>Facebook - Instagram</v></cell><cell r="AF6444"><v>3654128</v></cell><cell r="AG6444" t="str"><v>INSTAGRAM»USA-Trial-ITD-Trial Lookalike-AZR-AZR»1 x 1»SocialBan»CAN»ALL»CPA»LAL»X»NA»SS»NA»IGCTCBenefit2inMotion»PRC2FL</v></cell><cell r="AH6444"><v>223935022</v></cell><cell r="AI6444" t="str"><v>AzurePlatform_IGCTCBrandinMotion_USA_10s_CAN_PLATFORM_English_Trial_Standard_STAN_TIN_T2_1</v></cell><cell r="AJ6444"><v>103180628</v></cell></row><row r="6445"><cell r="C6445" t="str"><v>43327INSTAGRAM»USA-Trial-ITD-Trial Lookalike-AZR-AZR»1 x 1»SocialBan»CAN»ALL»CPA»LAL»X»NA»SS»NA»IGCTCBenefit2inMotion»PRC2FL</v></cell><cell r="D6445" t="str"><v>43327223935022</v></cell><cell r="E6445" t="str"><v>43327103050786PRC2FL</v></cell><cell r="F6445" t="str"><v>DCM</v></cell><cell r="G6445" t="str"><v>https://azure.microsoft.com/en-us/pricing/purchase-options/?v=18.19&OCID=AID%eexcid!_OLA_%ebuy!_%epid!_%ecid!</v></cell></row><row r="6445"><cell r="K6445" t="str"><v>August</v></cell><cell r="L6445"><v>43330</v></cell><cell r="M6445" t="str"><v>Tier 0</v></cell><cell r="N6445" t="str"><v>North America</v></cell><cell r="O6445" t="str"><v>United States</v></cell><cell r="P6445" t="str"><v>Trial</v></cell><cell r="Q6445" t="str"><v>Social</v></cell><cell r="R6445" t="str"><v>Azure</v></cell><cell r="S6445" t="str"><v>Apps & Infra</v></cell><cell r="T6445" t="str"><v>Developers & ITI's</v></cell><cell r="U6445" t="str"><v>USA-Trial-ITD-Trial Lookalike-AZR-AZR</v></cell><cell r="V6445" t="str"><v>Lookalike Targeting</v></cell><cell r="W6445" t="str"><v>Canvas Ad</v></cell><cell r="X6445" t="str"><v>1x1</v></cell></row><row r="6445"><cell r="AA6445"><v>43327</v></cell><cell r="AB6445" t="str"><v>USA_gaPMG_AZR_AZR_Q1_19_Direct-Social</v></cell><cell r="AC6445"><v>21358715</v></cell><cell r="AD6445"><v>720197</v></cell><cell r="AE6445" t="str"><v>Facebook - Instagram</v></cell><cell r="AF6445"><v>3654128</v></cell><cell r="AG6445" t="str"><v>INSTAGRAM»USA-Trial-ITD-Trial Lookalike-AZR-AZR»1 x 1»SocialBan»CAN»ALL»CPA»LAL»X»NA»SS»NA»IGCTCBenefit2inMotion»PRC2FL</v></cell><cell r="AH6445"><v>223935022</v></cell><cell r="AI6445" t="str"><v>AzurePlatform_IGCTCBrandinMotion_USA_10s_CAN_PLATFORM_English_Trial_Standard_STAN_TIN_T2_2</v></cell><cell r="AJ6445"><v>103050786</v></cell></row><row r="6446"><cell r="C6446" t="str"><v>43327INSTAGRAM»USA-Trial-ITD-Trial Lookalike-AZR-AZR»1 x 1»SocialBan»CAN»ALL»CPA»LAL»X»NA»SS»NA»IGCTCBrandinMotion»PRC2FH</v></cell><cell r="D6446" t="str"><v>43327223935019</v></cell><cell r="E6446" t="str"><v>43327103050783PRC2FH</v></cell><cell r="F6446" t="str"><v>DCM</v></cell><cell r="G6446" t="str"><v>https://signup.azure.com/?OCID=AID%eexcid!_OLA_%ebuy!_%epid!_%ecid!</v></cell></row><row r="6446"><cell r="K6446" t="str"><v>August</v></cell><cell r="L6446"><v>43330</v></cell><cell r="M6446" t="str"><v>Tier 0</v></cell><cell r="N6446" t="str"><v>North America</v></cell><cell r="O6446" t="str"><v>United States</v></cell><cell r="P6446" t="str"><v>Trial</v></cell><cell r="Q6446" t="str"><v>Social</v></cell><cell r="R6446" t="str"><v>Azure</v></cell><cell r="S6446" t="str"><v>Apps & Infra</v></cell><cell r="T6446" t="str"><v>Developers & ITI's</v></cell><cell r="U6446" t="str"><v>USA-Trial-ITD-Trial Lookalike-AZR-AZR</v></cell><cell r="V6446" t="str"><v>Lookalike Targeting</v></cell><cell r="W6446" t="str"><v>Canvas Ad</v></cell><cell r="X6446" t="str"><v>1x1</v></cell></row><row r="6446"><cell r="AA6446"><v>43327</v></cell><cell r="AB6446" t="str"><v>USA_gaPMG_AZR_AZR_Q1_19_Direct-Social</v></cell><cell r="AC6446"><v>21358715</v></cell><cell r="AD6446"><v>720197</v></cell><cell r="AE6446" t="str"><v>Facebook - Instagram</v></cell><cell r="AF6446"><v>3654128</v></cell><cell r="AG6446" t="str"><v>INSTAGRAM»USA-Trial-ITD-Trial Lookalike-AZR-AZR»1 x 1»SocialBan»CAN»ALL»CPA»LAL»X»NA»SS»NA»IGCTCBrandinMotion»PRC2FH</v></cell><cell r="AH6446"><v>223935019</v></cell><cell r="AI6446" t="str"><v>AzurePlatform_IGCTCBenefit2inMotion_USA_10s_CAN_PLATFORM_English_Trial_Standard_STAN_TIN_T4_1</v></cell><cell r="AJ6446"><v>103050783</v></cell></row><row r="6447"><cell r="C6447" t="str"><v>43327INSTAGRAM»USA-Trial-ITD-Trial PayGo Lookalike-AZR-AZR»1 x 1»SocialBan»CAN»ALL»CPA»LAL»X»NA»SS»NA»IGCTCBenefit2inMotion»PRC2FZ</v></cell><cell r="D6447" t="str"><v>43327223933075</v></cell><cell r="E6447" t="str"><v>43327103180628PRC2FZ</v></cell><cell r="F6447" t="str"><v>DCM</v></cell><cell r="G6447" t="str"><v>https://signup.azure.com/?OCID=AID%eexcid!_OLA_%ebuy!_%epid!_%ecid!</v></cell></row><row r="6447"><cell r="K6447" t="str"><v>August</v></cell><cell r="L6447"><v>43330</v></cell><cell r="M6447" t="str"><v>Tier 0</v></cell><cell r="N6447" t="str"><v>North America</v></cell><cell r="O6447" t="str"><v>United States</v></cell><cell r="P6447" t="str"><v>Trial</v></cell><cell r="Q6447" t="str"><v>Social</v></cell><cell r="R6447" t="str"><v>Azure</v></cell><cell r="S6447" t="str"><v>Apps & Infra</v></cell><cell r="T6447" t="str"><v>Developers & ITI's</v></cell><cell r="U6447" t="str"><v>USA-Trial-ITD-Trial PayGo Lookalike-AZR-AZR</v></cell><cell r="V6447" t="str"><v>Lookalike Targeting</v></cell><cell r="W6447" t="str"><v>Canvas Ad</v></cell><cell r="X6447" t="str"><v>1x1</v></cell></row><row r="6447"><cell r="AA6447"><v>43327</v></cell><cell r="AB6447" t="str"><v>USA_gaPMG_AZR_AZR_Q1_19_Direct-Social</v></cell><cell r="AC6447"><v>21358715</v></cell><cell r="AD6447"><v>720197</v></cell><cell r="AE6447" t="str"><v>Facebook - Instagram</v></cell><cell r="AF6447"><v>3654128</v></cell><cell r="AG6447" t="str"><v>INSTAGRAM»USA-Trial-ITD-Trial PayGo Lookalike-AZR-AZR»1 x 1»SocialBan»CAN»ALL»CPA»LAL»X»NA»SS»NA»IGCTCBenefit2inMotion»PRC2FZ</v></cell><cell r="AH6447"><v>223933075</v></cell><cell r="AI6447" t="str"><v>AzurePlatform_IGCTCBrandinMotion_USA_10s_CAN_PLATFORM_English_Trial_Standard_STAN_TIN_T2_1</v></cell><cell r="AJ6447"><v>103180628</v></cell></row><row r="6448"><cell r="C6448" t="str"><v>43327LINKEDIN»USA-Trial-ITD-Bing Retargeting LAL-AZR-AZR»1 x 1»SocialBan»LIA»ALL»CPA»RT»D»All»SS»NA»FreeAcctRetargetingLI-GlobalAlt-ChB»PS7BT3</v></cell><cell r="D6448" t="str"><v>43327226622833</v></cell><cell r="E6448" t="str"><v>43327104593723PS7BT3</v></cell><cell r="F6448" t="str"><v>DCM</v></cell><cell r="G6448" t="str"><v>https://azure.microsoft.com/en-us/free/search/?OCID=AID%eexcid!_OLA_%ebuy!_%epid!_%ecid!</v></cell></row><row r="6448"><cell r="K6448" t="str"><v>August</v></cell><cell r="L6448"><v>43330</v></cell><cell r="M6448" t="str"><v>Tier 0</v></cell><cell r="N6448" t="str"><v>North America</v></cell><cell r="O6448" t="str"><v>United States</v></cell><cell r="P6448" t="str"><v>Trial</v></cell><cell r="Q6448" t="str"><v>Social</v></cell><cell r="R6448" t="str"><v>Azure</v></cell><cell r="S6448" t="str"><v>Apps & Infra</v></cell><cell r="T6448" t="str"><v>Developers & ITI's</v></cell><cell r="U6448" t="str"><v>USA-Trial-ITD-Bing Retargeting LAL-AZR-AZR</v></cell><cell r="V6448" t="str"><v>Retargeting</v></cell><cell r="W6448" t="str"><v>Link Ad</v></cell><cell r="X6448" t="str"><v>1x1</v></cell></row><row r="6448"><cell r="AA6448"><v>43327</v></cell><cell r="AB6448" t="str"><v>USA_gaPMG_AZR_AZR_Q1_19_Direct-Social</v></cell><cell r="AC6448"><v>21358715</v></cell><cell r="AD6448"><v>720197</v></cell><cell r="AE6448" t="str"><v>Linkedin</v></cell><cell r="AF6448"><v>3654329</v></cell><cell r="AG6448" t="str"><v>LINKEDIN»USA-Trial-ITD-Bing Retargeting LAL-AZR-AZR»1 x 1»SocialBan»LIA»ALL»CPA»RT»D»All»SS»NA»FreeAcctRetargetingLI-GlobalAlt-ChB»PS7BT3</v></cell><cell r="AH6448"><v>226622833</v></cell><cell r="AI6448" t="str"><v>AZR_FreeAcctRetargetingLI-GlobalAlt-ChB_USA_1200x627_LIA_Plat_English_Free Account_Standard_NA_SINU_T2_1</v></cell><cell r="AJ6448"><v>104593723</v></cell></row><row r="6449"><cell r="C6449" t="str"><v>43327LINKEDIN»USA-Trial-ITD-Bing Retargeting LAL-AZR-AZR»1 x 1»SocialBan»LIA»ALL»CPA»RT»D»All»SS»NA»FreeAcctRetargetingOSSLI-Logos-ChG»PS7BT0</v></cell><cell r="D6449" t="str"><v>43327226536110</v></cell><cell r="E6449" t="str"><v>43327104595727PS7BT0</v></cell><cell r="F6449" t="str"><v>DCM</v></cell><cell r="G6449" t="str"><v>https://azure.microsoft.com/en-us/free/open-source/search/?OCID=AID%eexcid!_OLA_%ebuy!_%epid!_%ecid!</v></cell></row><row r="6449"><cell r="K6449" t="str"><v>August</v></cell><cell r="L6449"><v>43330</v></cell><cell r="M6449" t="str"><v>Tier 0</v></cell><cell r="N6449" t="str"><v>North America</v></cell><cell r="O6449" t="str"><v>United States</v></cell><cell r="P6449" t="str"><v>Trial</v></cell><cell r="Q6449" t="str"><v>Social</v></cell><cell r="R6449" t="str"><v>Azure</v></cell><cell r="S6449" t="str"><v>Apps & Infra</v></cell><cell r="T6449" t="str"><v>Developers & ITI's</v></cell><cell r="U6449" t="str"><v>USA-Trial-ITD-Bing Retargeting LAL-AZR-AZR</v></cell><cell r="V6449" t="str"><v>Retargeting</v></cell><cell r="W6449" t="str"><v>Link Ad</v></cell><cell r="X6449" t="str"><v>1x1</v></cell></row><row r="6449"><cell r="AA6449"><v>43327</v></cell><cell r="AB6449" t="str"><v>USA_gaPMG_AZR_AZR_Q1_19_Direct-Social</v></cell><cell r="AC6449"><v>21358715</v></cell><cell r="AD6449"><v>720197</v></cell><cell r="AE6449" t="str"><v>Linkedin</v></cell><cell r="AF6449"><v>3654329</v></cell><cell r="AG6449" t="str"><v>LINKEDIN»USA-Trial-ITD-Bing Retargeting LAL-AZR-AZR»1 x 1»SocialBan»LIA»ALL»CPA»RT»D»All»SS»NA»FreeAcctRetargetingOSSLI-Logos-ChG»PS7BT0</v></cell><cell r="AH6449"><v>226536110</v></cell><cell r="AI6449" t="str"><v>AZR_FreeAcctRetargetingOSSLI-Logos-ChG_USA_1200x627_LIA_Plat_English_Free Account_Standard_NA_SINU_T2_1</v></cell><cell r="AJ6449"><v>104595727</v></cell></row><row r="6450"><cell r="C6450" t="str"><v>43327LINKEDIN»USA-Trial-ITD-Bing Retargeting LAL-AZR-AZR»1 x 1»SocialBan»LIA»ALL»CPA»RT»D»All»SS»NA»FreeAcctRetargetingOSSLI-Text-ChF»PS7BSY</v></cell><cell r="D6450" t="str"><v>43327226774290</v></cell><cell r="E6450" t="str"><v>43327104595754PS7BSY</v></cell><cell r="F6450" t="str"><v>DCM</v></cell><cell r="G6450" t="str"><v>https://azure.microsoft.com/en-us/free/open-source/search/?OCID=AID%eexcid!_OLA_%ebuy!_%epid!_%ecid!</v></cell></row><row r="6450"><cell r="K6450" t="str"><v>August</v></cell><cell r="L6450"><v>43330</v></cell><cell r="M6450" t="str"><v>Tier 0</v></cell><cell r="N6450" t="str"><v>North America</v></cell><cell r="O6450" t="str"><v>United States</v></cell><cell r="P6450" t="str"><v>Trial</v></cell><cell r="Q6450" t="str"><v>Social</v></cell><cell r="R6450" t="str"><v>Azure</v></cell><cell r="S6450" t="str"><v>Apps & Infra</v></cell><cell r="T6450" t="str"><v>Developers & ITI's</v></cell><cell r="U6450" t="str"><v>USA-Trial-ITD-Bing Retargeting LAL-AZR-AZR</v></cell><cell r="V6450" t="str"><v>Retargeting</v></cell><cell r="W6450" t="str"><v>Link Ad</v></cell><cell r="X6450" t="str"><v>1x1</v></cell></row><row r="6450"><cell r="AA6450"><v>43327</v></cell><cell r="AB6450" t="str"><v>USA_gaPMG_AZR_AZR_Q1_19_Direct-Social</v></cell><cell r="AC6450"><v>21358715</v></cell><cell r="AD6450"><v>720197</v></cell><cell r="AE6450" t="str"><v>Linkedin</v></cell><cell r="AF6450"><v>3654329</v></cell><cell r="AG6450" t="str"><v>LINKEDIN»USA-Trial-ITD-Bing Retargeting LAL-AZR-AZR»1 x 1»SocialBan»LIA»ALL»CPA»RT»D»All»SS»NA»FreeAcctRetargetingOSSLI-Text-ChF»PS7BSY</v></cell><cell r="AH6450"><v>226774290</v></cell><cell r="AI6450" t="str"><v>AZR_FreeAcctRetargetingOSSLI-Text-ChF_USA_1200x627_LIA_Plat_English_Free Account_Standard_NA_SINU_T1_1</v></cell><cell r="AJ6450"><v>104595754</v></cell></row><row r="6451"><cell r="C6451" t="str"><v>43327LINKEDIN»USA-Trial-ITD-Bing Retargeting LAL-AZR-AZR»1 x 1»SocialBan»LIA»ALL»CPA»RT»D»All»SS»NA»FreeAcctRetargetingVMLI-750Hrs-ChD»PS7BSW</v></cell><cell r="D6451" t="str"><v>43327226622842</v></cell><cell r="E6451" t="str"><v>43327104671415PS7BSW</v></cell><cell r="F6451" t="str"><v>DCM</v></cell><cell r="G6451" t="str"><v>https://azure.microsoft.com/en-us/free/virtual-machines/search/?OCID=AID%eexcid!_OLA_%ebuy!_%epid!_%ecid!</v></cell></row><row r="6451"><cell r="K6451" t="str"><v>August</v></cell><cell r="L6451"><v>43330</v></cell><cell r="M6451" t="str"><v>Tier 0</v></cell><cell r="N6451" t="str"><v>North America</v></cell><cell r="O6451" t="str"><v>United States</v></cell><cell r="P6451" t="str"><v>Trial</v></cell><cell r="Q6451" t="str"><v>Social</v></cell><cell r="R6451" t="str"><v>Azure</v></cell><cell r="S6451" t="str"><v>Apps & Infra</v></cell><cell r="T6451" t="str"><v>Developers & ITI's</v></cell><cell r="U6451" t="str"><v>USA-Trial-ITD-Bing Retargeting LAL-AZR-AZR</v></cell><cell r="V6451" t="str"><v>Retargeting</v></cell><cell r="W6451" t="str"><v>Link Ad</v></cell><cell r="X6451" t="str"><v>1x1</v></cell></row><row r="6451"><cell r="AA6451"><v>43327</v></cell><cell r="AB6451" t="str"><v>USA_gaPMG_AZR_AZR_Q1_19_Direct-Social</v></cell><cell r="AC6451"><v>21358715</v></cell><cell r="AD6451"><v>720197</v></cell><cell r="AE6451" t="str"><v>Linkedin</v></cell><cell r="AF6451"><v>3654329</v></cell><cell r="AG6451" t="str"><v>LINKEDIN»USA-Trial-ITD-Bing Retargeting LAL-AZR-AZR»1 x 1»SocialBan»LIA»ALL»CPA»RT»D»All»SS»NA»FreeAcctRetargetingVMLI-750Hrs-ChD»PS7BSW</v></cell><cell r="AH6451"><v>226622842</v></cell><cell r="AI6451" t="str"><v>AZR_FreeAcctRetargetingVMLI-750Hrs-ChD_USA_1200x627_LIA_Plat_English_Free Account_Standard_NA_SINU_T1_1</v></cell><cell r="AJ6451"><v>104671415</v></cell></row><row r="6452"><cell r="C6452" t="str"><v>43327LINKEDIN»USA-Trial-ITD-Bing Retargeting LAL-AZR-AZR»1 x 1»SocialBan»LIA»ALL»CPA»RT»D»All»SS»NA»FreeAcctRetargetingVMLI-OnDemand-ChE»PS7BSX</v></cell><cell r="D6452" t="str"><v>43327226617625</v></cell><cell r="E6452" t="str"><v>43327104592529PS7BSX</v></cell><cell r="F6452" t="str"><v>DCM</v></cell><cell r="G6452" t="str"><v>https://azure.microsoft.com/en-us/free/virtual-machines/search/?OCID=AID%eexcid!_OLA_%ebuy!_%epid!_%ecid!</v></cell></row><row r="6452"><cell r="K6452" t="str"><v>August</v></cell><cell r="L6452"><v>43330</v></cell><cell r="M6452" t="str"><v>Tier 0</v></cell><cell r="N6452" t="str"><v>North America</v></cell><cell r="O6452" t="str"><v>United States</v></cell><cell r="P6452" t="str"><v>Trial</v></cell><cell r="Q6452" t="str"><v>Social</v></cell><cell r="R6452" t="str"><v>Azure</v></cell><cell r="S6452" t="str"><v>Apps & Infra</v></cell><cell r="T6452" t="str"><v>Developers & ITI's</v></cell><cell r="U6452" t="str"><v>USA-Trial-ITD-Bing Retargeting LAL-AZR-AZR</v></cell><cell r="V6452" t="str"><v>Retargeting</v></cell><cell r="W6452" t="str"><v>Link Ad</v></cell><cell r="X6452" t="str"><v>1x1</v></cell></row><row r="6452"><cell r="AA6452"><v>43327</v></cell><cell r="AB6452" t="str"><v>USA_gaPMG_AZR_AZR_Q1_19_Direct-Social</v></cell><cell r="AC6452"><v>21358715</v></cell><cell r="AD6452"><v>720197</v></cell><cell r="AE6452" t="str"><v>Linkedin</v></cell><cell r="AF6452"><v>3654329</v></cell><cell r="AG6452" t="str"><v>LINKEDIN»USA-Trial-ITD-Bing Retargeting LAL-AZR-AZR»1 x 1»SocialBan»LIA»ALL»CPA»RT»D»All»SS»NA»FreeAcctRetargetingVMLI-OnDemand-ChE»PS7BSX</v></cell><cell r="AH6452"><v>226617625</v></cell><cell r="AI6452" t="str"><v>AZR_FreeAcctRetargetingVMLI-OnDemand-ChE_USA_1200x627_LIA_Plat_English_Free Account_Standard_NA_SINU_T2_1</v></cell><cell r="AJ6452"><v>104592529</v></cell></row><row r="6453"><cell r="C6453" t="str"><v>43327LINKEDIN»USA-Trial-ITD-Job Functions Prospecting-AZR-AZR»1 x 1»SocialBan»LIA»ALL»CPA»PRO»D»All»SS»NA»FreeAcctRetargetingLI-Credit-ChA»PS7BSG</v></cell><cell r="D6453" t="str"><v>43327226538561</v></cell><cell r="E6453" t="str"><v>43327104593435PS7BSG</v></cell><cell r="F6453" t="str"><v>DCM</v></cell><cell r="G6453" t="str"><v>https://azure.microsoft.com/en-us/free/search/?OCID=AID%eexcid!_OLA_%ebuy!_%epid!_%ecid!</v></cell></row><row r="6453"><cell r="K6453" t="str"><v>August</v></cell><cell r="L6453"><v>43330</v></cell><cell r="M6453" t="str"><v>Tier 0</v></cell><cell r="N6453" t="str"><v>North America</v></cell><cell r="O6453" t="str"><v>United States</v></cell><cell r="P6453" t="str"><v>Trial</v></cell><cell r="Q6453" t="str"><v>Social</v></cell><cell r="R6453" t="str"><v>Azure</v></cell><cell r="S6453" t="str"><v>Apps & Infra</v></cell><cell r="T6453" t="str"><v>Developers & ITI's</v></cell><cell r="U6453" t="str"><v>USA-Trial-ITD-Job Functions Prospecting-AZR-AZR</v></cell><cell r="V6453" t="str"><v>Prospecting</v></cell><cell r="W6453" t="str"><v>Link Ad</v></cell><cell r="X6453" t="str"><v>1x1</v></cell></row><row r="6453"><cell r="AA6453"><v>43327</v></cell><cell r="AB6453" t="str"><v>USA_gaPMG_AZR_AZR_Q1_19_Direct-Social</v></cell><cell r="AC6453"><v>21358715</v></cell><cell r="AD6453"><v>720197</v></cell><cell r="AE6453" t="str"><v>Linkedin</v></cell><cell r="AF6453"><v>3654329</v></cell><cell r="AG6453" t="str"><v>LINKEDIN»USA-Trial-ITD-Job Functions Prospecting-AZR-AZR»1 x 1»SocialBan»LIA»ALL»CPA»PRO»D»All»SS»NA»FreeAcctRetargetingLI-Credit-ChA»PS7BSG</v></cell><cell r="AH6453"><v>226538561</v></cell><cell r="AI6453" t="str"><v>AZR_FreeAcctRetargetingLI-Credit-ChA_USA_1200x627_LIA_Plat_English_Free Account_Standard_NA_SINU_T1_1</v></cell><cell r="AJ6453"><v>104593435</v></cell></row><row r="6454"><cell r="C6454" t="str"><v>43327LINKEDIN»USA-Trial-ITD-Job Titles Prospecting-AZR-AZR»1 x 1»SocialBan»LIA»ALL»CPA»PRO»D»All»SS»NA»FreeAcctRetargetingLI-GlobalAlt-ChB»PS7B68</v></cell><cell r="D6454" t="str"><v>43327226774233</v></cell><cell r="E6454" t="str"><v>43327104593723PS7B68</v></cell><cell r="F6454" t="str"><v>DCM</v></cell><cell r="G6454" t="str"><v>https://azure.microsoft.com/en-us/free/search/?OCID=AID%eexcid!_OLA_%ebuy!_%epid!_%ecid!</v></cell></row><row r="6454"><cell r="K6454" t="str"><v>August</v></cell><cell r="L6454"><v>43330</v></cell><cell r="M6454" t="str"><v>Tier 0</v></cell><cell r="N6454" t="str"><v>North America</v></cell><cell r="O6454" t="str"><v>United States</v></cell><cell r="P6454" t="str"><v>Trial</v></cell><cell r="Q6454" t="str"><v>Social</v></cell><cell r="R6454" t="str"><v>Azure</v></cell><cell r="S6454" t="str"><v>Apps & Infra</v></cell><cell r="T6454" t="str"><v>Developers & ITI's</v></cell><cell r="U6454" t="str"><v>USA-Trial-ITD-Job Titles Prospecting-AZR-AZR</v></cell><cell r="V6454" t="str"><v>Prospecting</v></cell><cell r="W6454" t="str"><v>Link Ad</v></cell><cell r="X6454" t="str"><v>1x1</v></cell></row><row r="6454"><cell r="AA6454"><v>43327</v></cell><cell r="AB6454" t="str"><v>USA_gaPMG_AZR_AZR_Q1_19_Direct-Social</v></cell><cell r="AC6454"><v>21358715</v></cell><cell r="AD6454"><v>720197</v></cell><cell r="AE6454" t="str"><v>Linkedin</v></cell><cell r="AF6454"><v>3654329</v></cell><cell r="AG6454" t="str"><v>LINKEDIN»USA-Trial-ITD-Job Titles Prospecting-AZR-AZR»1 x 1»SocialBan»LIA»ALL»CPA»PRO»D»All»SS»NA»FreeAcctRetargetingLI-GlobalAlt-ChB»PS7B68</v></cell><cell r="AH6454"><v>226774233</v></cell><cell r="AI6454" t="str"><v>AZR_FreeAcctRetargetingLI-GlobalAlt-ChB_USA_1200x627_LIA_Plat_English_Free Account_Standard_NA_SINU_T2_1</v></cell><cell r="AJ6454"><v>104593723</v></cell></row><row r="6455"><cell r="C6455" t="str"><v>43328Facebook»Audience & Interest Targeting»1x1»Canvas»OTH»DT»DYN»AUT»W»NA»SS»NA»FBCTCcanvaspage-StartFreeCTA_FBCTCcanvaspage-BuyNowCTA</v></cell><cell r="D6455" t="str"><v>43328224639151</v></cell><cell r="E6455" t="str"><v>43328103316832NowCTA</v></cell><cell r="F6455" t="str"><v>DCM</v></cell><cell r="G6455" t="str"><v>https://azure.microsoft.com/en-au/pricing/purchase-options/</v></cell></row><row r="6455"><cell r="K6455" t="str"><v>August</v></cell><cell r="L6455"><v>43330</v></cell><cell r="M6455" t="str"><v>Tier 1</v></cell><cell r="N6455" t="str"><v>APAC</v></cell><cell r="O6455" t="str"><v>Australia</v></cell><cell r="P6455" t="str"><v>Trial</v></cell><cell r="Q6455" t="str"><v>Social</v></cell><cell r="R6455" t="str"><v>Azure</v></cell><cell r="S6455" t="str"><v>Apps & Infra</v></cell><cell r="T6455" t="str"><v>Developers & ITI's</v></cell><cell r="U6455" t="str"><v>Audience & Interest Targeting</v></cell><cell r="V6455" t="str"><v>Audience Targeting</v></cell><cell r="W6455" t="str"><v>Other</v></cell><cell r="X6455" t="str"><v>1x1</v></cell></row><row r="6455"><cell r="AA6455"><v>43328</v></cell><cell r="AB6455" t="str"><v>AUS_gaPMG_AZR_AZR_Q1_19_Trial-Social</v></cell><cell r="AC6455"><v>21358568</v></cell><cell r="AD6455"><v>720191</v></cell><cell r="AE6455" t="str"><v>Facebook</v></cell><cell r="AF6455"><v>3654128</v></cell><cell r="AG6455" t="str"><v>Facebook»Audience & Interest Targeting»1x1»Canvas»OTH»DT»DYN»AUT»W»NA»SS»NA»FBCTCcanvaspage-StartFreeCTA_FBCTCcanvaspage-BuyNowCTA</v></cell><cell r="AH6455"><v>224639151</v></cell><cell r="AI6455" t="str"><v>AzurePlatform_FBCTCcanvaspage-BuyNowCTA-Img3_AUS_1080x162_SOC_Plat_English_NA_Standard_NA_BN_T3_1</v></cell><cell r="AJ6455"><v>103316832</v></cell></row><row r="6456"><cell r="C6456" t="str"><v>43328Facebook»Audience & Interest Targeting»1x1»Canvas»OTH»DT»DYN»AUT»W»NA»SS»NA»FBCTCcanvaspage-StartFreeCTA_FBCTCcanvaspage-BuyNowCTA</v></cell><cell r="D6456" t="str"><v>43328224639151</v></cell><cell r="E6456" t="str"><v>43328103316829NowCTA</v></cell><cell r="F6456" t="str"><v>DCM</v></cell><cell r="G6456" t="str"><v>https://signup.azure.com/signup?offer=ms-azr-0044p&appId=102&ref=paidmedia-social-fb&redirectURL=https%3a%2f%2fazure.microsoft.com%2fen-au%2fget-started%2fwelcome-to-azure%2f&l=en-au&correlationId=ead86c34-1f10-49dd-a72b-6918462a2cbf</v></cell></row><row r="6456"><cell r="K6456" t="str"><v>August</v></cell><cell r="L6456"><v>43330</v></cell><cell r="M6456" t="str"><v>Tier 1</v></cell><cell r="N6456" t="str"><v>APAC</v></cell><cell r="O6456" t="str"><v>Australia</v></cell><cell r="P6456" t="str"><v>Trial</v></cell><cell r="Q6456" t="str"><v>Social</v></cell><cell r="R6456" t="str"><v>Azure</v></cell><cell r="S6456" t="str"><v>Apps & Infra</v></cell><cell r="T6456" t="str"><v>Developers & ITI's</v></cell><cell r="U6456" t="str"><v>Audience & Interest Targeting</v></cell><cell r="V6456" t="str"><v>Audience Targeting</v></cell><cell r="W6456" t="str"><v>Other</v></cell><cell r="X6456" t="str"><v>1x1</v></cell></row><row r="6456"><cell r="AA6456"><v>43328</v></cell><cell r="AB6456" t="str"><v>AUS_gaPMG_AZR_AZR_Q1_19_Trial-Social</v></cell><cell r="AC6456"><v>21358568</v></cell><cell r="AD6456"><v>720191</v></cell><cell r="AE6456" t="str"><v>Facebook</v></cell><cell r="AF6456"><v>3654128</v></cell><cell r="AG6456" t="str"><v>Facebook»Audience & Interest Targeting»1x1»Canvas»OTH»DT»DYN»AUT»W»NA»SS»NA»FBCTCcanvaspage-StartFreeCTA_FBCTCcanvaspage-BuyNowCTA</v></cell><cell r="AH6456"><v>224639151</v></cell><cell r="AI6456" t="str"><v>AzurePlatform_FBCTCcanvaspage-StartFreeCTA-Img2_AUS_1080x143 _SOC_Plat_English_NA_Standard_NA_NA_T2_1</v></cell><cell r="AJ6456"><v>103316829</v></cell></row><row r="6457"><cell r="C6457" t="str"><v>43328Facebook»Audience & Interest Targeting»1x1»TextLink»OTH»DT»DYN»AUT»W»NA»SS»NA»Free Account Refresh- 12 months ChE</v></cell><cell r="D6457" t="str"><v>43328224160783</v></cell><cell r="E6457" t="str"><v>43328103051614hs ChE</v></cell><cell r="F6457" t="str"><v>DCM</v></cell></row><row r="6457"><cell r="K6457" t="str"><v>August</v></cell><cell r="L6457"><v>43330</v></cell><cell r="M6457" t="str"><v>Tier 1</v></cell><cell r="N6457" t="str"><v>APAC</v></cell><cell r="O6457" t="str"><v>Australia</v></cell><cell r="P6457" t="str"><v>Trial</v></cell><cell r="Q6457" t="str"><v>Social</v></cell><cell r="R6457" t="str"><v>Azure</v></cell><cell r="S6457" t="str"><v>Apps & Infra</v></cell><cell r="T6457" t="str"><v>Developers & ITI's</v></cell><cell r="U6457" t="str"><v>Audience & Interest Targeting</v></cell><cell r="V6457" t="str"><v>Audience Targeting</v></cell><cell r="W6457" t="str"><v>Other</v></cell><cell r="X6457" t="str"><v>1x1</v></cell></row><row r="6457"><cell r="AA6457"><v>43328</v></cell><cell r="AB6457" t="str"><v>AUS_gaPMG_AZR_AZR_Q1_19_Trial-Social</v></cell><cell r="AC6457"><v>21358568</v></cell><cell r="AD6457"><v>720191</v></cell><cell r="AE6457" t="str"><v>Facebook</v></cell><cell r="AF6457"><v>3654128</v></cell><cell r="AG6457" t="str"><v>Facebook»Audience & Interest Targeting»1x1»TextLink»OTH»DT»DYN»AUT»W»NA»SS»NA»Free Account Refresh- 12 months ChE</v></cell><cell r="AH6457"><v>224160783</v></cell><cell r="AI6457" t="str"><v>AzurePlatform_FreeAcctAppsFACEBOOK12monthsChE_AUS_1200x628_SOC_PLAT_EN_Trial_Standard_NA_SNU_T5_1</v></cell><cell r="AJ6457"><v>103051614</v></cell></row><row r="6458"><cell r="C6458" t="str"><v>43328Facebook»Audience & Interest Targeting»1x1»TextLink»OTH»DT»DYN»AUT»W»NA»SS»NA»Free Account Refresh- 200 Credit ChD</v></cell><cell r="D6458" t="str"><v>43328224160780</v></cell><cell r="E6458" t="str"><v>43328103186904it ChD</v></cell><cell r="F6458" t="str"><v>DCM</v></cell></row><row r="6458"><cell r="K6458" t="str"><v>August</v></cell><cell r="L6458"><v>43330</v></cell><cell r="M6458" t="str"><v>Tier 1</v></cell><cell r="N6458" t="str"><v>APAC</v></cell><cell r="O6458" t="str"><v>Australia</v></cell><cell r="P6458" t="str"><v>Trial</v></cell><cell r="Q6458" t="str"><v>Social</v></cell><cell r="R6458" t="str"><v>Azure</v></cell><cell r="S6458" t="str"><v>Apps & Infra</v></cell><cell r="T6458" t="str"><v>Developers & ITI's</v></cell><cell r="U6458" t="str"><v>Audience & Interest Targeting</v></cell><cell r="V6458" t="str"><v>Audience Targeting</v></cell><cell r="W6458" t="str"><v>Other</v></cell><cell r="X6458" t="str"><v>1x1</v></cell></row><row r="6458"><cell r="AA6458"><v>43328</v></cell><cell r="AB6458" t="str"><v>AUS_gaPMG_AZR_AZR_Q1_19_Trial-Social</v></cell><cell r="AC6458"><v>21358568</v></cell><cell r="AD6458"><v>720191</v></cell><cell r="AE6458" t="str"><v>Facebook</v></cell><cell r="AF6458"><v>3654128</v></cell><cell r="AG6458" t="str"><v>Facebook»Audience & Interest Targeting»1x1»TextLink»OTH»DT»DYN»AUT»W»NA»SS»NA»Free Account Refresh- 200 Credit ChD</v></cell><cell r="AH6458"><v>224160780</v></cell><cell r="AI6458" t="str"><v>AzurePlatform_FreeAcctAppsFACEBOOK200CreditChD_AUS_1200x628_SOC_PLAT_EN_Trial_Standard_NA_SNU_T4_1</v></cell><cell r="AJ6458"><v>103186904</v></cell></row><row r="6459"><cell r="C6459" t="str"><v>43328Facebook»Audience & Interest Targeting»1x1»TextLink»OTH»DT»DYN»AUT»W»NA»SS»NA»Free Account Refresh- Device ChB</v></cell><cell r="D6459" t="str"><v>43328224160777</v></cell><cell r="E6459" t="str"><v>43328103048479ce ChB</v></cell><cell r="F6459" t="str"><v>DCM</v></cell></row><row r="6459"><cell r="K6459" t="str"><v>August</v></cell><cell r="L6459"><v>43330</v></cell><cell r="M6459" t="str"><v>Tier 1</v></cell><cell r="N6459" t="str"><v>APAC</v></cell><cell r="O6459" t="str"><v>Australia</v></cell><cell r="P6459" t="str"><v>Trial</v></cell><cell r="Q6459" t="str"><v>Social</v></cell><cell r="R6459" t="str"><v>Azure</v></cell><cell r="S6459" t="str"><v>Apps & Infra</v></cell><cell r="T6459" t="str"><v>Developers & ITI's</v></cell><cell r="U6459" t="str"><v>Audience & Interest Targeting</v></cell><cell r="V6459" t="str"><v>Audience Targeting</v></cell><cell r="W6459" t="str"><v>Other</v></cell><cell r="X6459" t="str"><v>1x1</v></cell></row><row r="6459"><cell r="AA6459"><v>43328</v></cell><cell r="AB6459" t="str"><v>AUS_gaPMG_AZR_AZR_Q1_19_Trial-Social</v></cell><cell r="AC6459"><v>21358568</v></cell><cell r="AD6459"><v>720191</v></cell><cell r="AE6459" t="str"><v>Facebook</v></cell><cell r="AF6459"><v>3654128</v></cell><cell r="AG6459" t="str"><v>Facebook»Audience & Interest Targeting»1x1»TextLink»OTH»DT»DYN»AUT»W»NA»SS»NA»Free Account Refresh- Device ChB</v></cell><cell r="AH6459"><v>224160777</v></cell><cell r="AI6459" t="str"><v>AzurePlatform_FreeAcctAppsFACEBOOKDeviceChB_AUS_1200x628_SOC_PLAT_EN_Trial_Standard_NA_SNU_T2_1</v></cell><cell r="AJ6459"><v>103048479</v></cell></row><row r="6460"><cell r="C6460" t="str"><v>43328Facebook»Audience & Interest Targeting»1x1»TextLink»OTH»DT»DYN»AUT»W»NA»SS»NA»Free Account Refresh- Illustration ChC</v></cell><cell r="D6460" t="str"><v>43328224160774</v></cell><cell r="E6460" t="str"><v>43328103186910on ChC</v></cell><cell r="F6460" t="str"><v>DCM</v></cell></row><row r="6460"><cell r="K6460" t="str"><v>August</v></cell><cell r="L6460"><v>43330</v></cell><cell r="M6460" t="str"><v>Tier 1</v></cell><cell r="N6460" t="str"><v>APAC</v></cell><cell r="O6460" t="str"><v>Australia</v></cell><cell r="P6460" t="str"><v>Trial</v></cell><cell r="Q6460" t="str"><v>Social</v></cell><cell r="R6460" t="str"><v>Azure</v></cell><cell r="S6460" t="str"><v>Apps & Infra</v></cell><cell r="T6460" t="str"><v>Developers & ITI's</v></cell><cell r="U6460" t="str"><v>Audience & Interest Targeting</v></cell><cell r="V6460" t="str"><v>Audience Targeting</v></cell><cell r="W6460" t="str"><v>Other</v></cell><cell r="X6460" t="str"><v>1x1</v></cell></row><row r="6460"><cell r="AA6460"><v>43328</v></cell><cell r="AB6460" t="str"><v>AUS_gaPMG_AZR_AZR_Q1_19_Trial-Social</v></cell><cell r="AC6460"><v>21358568</v></cell><cell r="AD6460"><v>720191</v></cell><cell r="AE6460" t="str"><v>Facebook</v></cell><cell r="AF6460"><v>3654128</v></cell><cell r="AG6460" t="str"><v>Facebook»Audience & Interest Targeting»1x1»TextLink»OTH»DT»DYN»AUT»W»NA»SS»NA»Free Account Refresh- Illustration ChC</v></cell><cell r="AH6460"><v>224160774</v></cell><cell r="AI6460" t="str"><v>AzurePlatform_FreeAcctAppsFACEBOOKIllustrationChC_AUS_1200x628_SOC_PLAT_EN_Trial_Standard_NA_SNU_T3_1</v></cell><cell r="AJ6460"><v>103186910</v></cell></row><row r="6461"><cell r="C6461" t="str"><v>43328Facebook»Audience & Interest Targeting»1x1»TextLink»OTH»DT»DYN»AUT»W»NA»SS»NA»Free Account Refresh- Lifestyle ChA</v></cell><cell r="D6461" t="str"><v>43328224160771</v></cell><cell r="E6461" t="str"><v>43328103048488le ChA</v></cell><cell r="F6461" t="str"><v>DCM</v></cell></row><row r="6461"><cell r="K6461" t="str"><v>August</v></cell><cell r="L6461"><v>43330</v></cell><cell r="M6461" t="str"><v>Tier 1</v></cell><cell r="N6461" t="str"><v>APAC</v></cell><cell r="O6461" t="str"><v>Australia</v></cell><cell r="P6461" t="str"><v>Trial</v></cell><cell r="Q6461" t="str"><v>Social</v></cell><cell r="R6461" t="str"><v>Azure</v></cell><cell r="S6461" t="str"><v>Apps & Infra</v></cell><cell r="T6461" t="str"><v>Developers & ITI's</v></cell><cell r="U6461" t="str"><v>Audience & Interest Targeting</v></cell><cell r="V6461" t="str"><v>Audience Targeting</v></cell><cell r="W6461" t="str"><v>Other</v></cell><cell r="X6461" t="str"><v>1x1</v></cell></row><row r="6461"><cell r="AA6461"><v>43328</v></cell><cell r="AB6461" t="str"><v>AUS_gaPMG_AZR_AZR_Q1_19_Trial-Social</v></cell><cell r="AC6461"><v>21358568</v></cell><cell r="AD6461"><v>720191</v></cell><cell r="AE6461" t="str"><v>Facebook</v></cell><cell r="AF6461"><v>3654128</v></cell><cell r="AG6461" t="str"><v>Facebook»Audience & Interest Targeting»1x1»TextLink»OTH»DT»DYN»AUT»W»NA»SS»NA»Free Account Refresh- Lifestyle ChA</v></cell><cell r="AH6461"><v>224160771</v></cell><cell r="AI6461" t="str"><v>AzurePlatform_FreeAcctAppsFACEBOOKLifestyleChA_AUS_1200x628_SOC_PLAT_EN_Trial_Standard_NA_SNU_T1_1</v></cell><cell r="AJ6461"><v>103048488</v></cell></row><row r="6462"><cell r="C6462" t="str"><v>43328Facebook»LAL»1x1»TextLink»SOC»DT»DYN»LAL»W»NA»SS»NA»Free Account Refresh- 200 Credit ChD</v></cell><cell r="D6462" t="str"><v>43328224160720</v></cell><cell r="E6462" t="str"><v>43328103186907it ChD</v></cell><cell r="F6462" t="str"><v>DCM</v></cell><cell r="G6462" t="str"><v>https://azure.microsoft.com/en-au/free/open-source/search/</v></cell></row><row r="6462"><cell r="K6462" t="str"><v>August</v></cell><cell r="L6462"><v>43330</v></cell><cell r="M6462" t="str"><v>Tier 1</v></cell><cell r="N6462" t="str"><v>APAC</v></cell><cell r="O6462" t="str"><v>Australia</v></cell><cell r="P6462" t="str"><v>Trial</v></cell><cell r="Q6462" t="str"><v>Social</v></cell><cell r="R6462" t="str"><v>Azure</v></cell><cell r="S6462" t="str"><v>Apps & Infra</v></cell><cell r="T6462" t="str"><v>Developers & ITI's</v></cell><cell r="U6462" t="str"><v>LAL</v></cell><cell r="V6462" t="str"><v>Lookalike Targeting</v></cell><cell r="W6462" t="str"><v>Social</v></cell><cell r="X6462" t="str"><v>1x1</v></cell></row><row r="6462"><cell r="AA6462"><v>43328</v></cell><cell r="AB6462" t="str"><v>AUS_gaPMG_AZR_AZR_Q1_19_Trial-Social</v></cell><cell r="AC6462"><v>21358568</v></cell><cell r="AD6462"><v>720191</v></cell><cell r="AE6462" t="str"><v>Facebook</v></cell><cell r="AF6462"><v>3654128</v></cell><cell r="AG6462" t="str"><v>Facebook»LAL»1x1»TextLink»SOC»DT»DYN»LAL»W»NA»SS»NA»Free Account Refresh- 200 Credit ChD</v></cell><cell r="AH6462"><v>224160720</v></cell><cell r="AI6462" t="str"><v>AzurePlatform_FreeAcctRetargetingOSSFB-Logos-ChG_AUS_1200x628_SOC_Plat_EN_Free Account_Standard_NA_SNU_T2_1</v></cell><cell r="AJ6462"><v>103186907</v></cell></row><row r="6463"><cell r="C6463" t="str"><v>43328Facebook»LAL»1x1»TextLink»SOC»DT»DYN»LAL»W»NA»SS»NA»Free Account Refresh- Device ChB</v></cell><cell r="D6463" t="str"><v>43328224160717</v></cell><cell r="E6463" t="str"><v>43328103048485ce ChB</v></cell><cell r="F6463" t="str"><v>DCM</v></cell><cell r="G6463" t="str"><v>https://azure.microsoft.com/en-au/free/open-source/search/</v></cell></row><row r="6463"><cell r="K6463" t="str"><v>August</v></cell><cell r="L6463"><v>43330</v></cell><cell r="M6463" t="str"><v>Tier 1</v></cell><cell r="N6463" t="str"><v>APAC</v></cell><cell r="O6463" t="str"><v>Australia</v></cell><cell r="P6463" t="str"><v>Trial</v></cell><cell r="Q6463" t="str"><v>Social</v></cell><cell r="R6463" t="str"><v>Azure</v></cell><cell r="S6463" t="str"><v>Apps & Infra</v></cell><cell r="T6463" t="str"><v>Developers & ITI's</v></cell><cell r="U6463" t="str"><v>LAL</v></cell><cell r="V6463" t="str"><v>Lookalike Targeting</v></cell><cell r="W6463" t="str"><v>Social</v></cell><cell r="X6463" t="str"><v>1x1</v></cell></row><row r="6463"><cell r="AA6463"><v>43328</v></cell><cell r="AB6463" t="str"><v>AUS_gaPMG_AZR_AZR_Q1_19_Trial-Social</v></cell><cell r="AC6463"><v>21358568</v></cell><cell r="AD6463"><v>720191</v></cell><cell r="AE6463" t="str"><v>Facebook</v></cell><cell r="AF6463"><v>3654128</v></cell><cell r="AG6463" t="str"><v>Facebook»LAL»1x1»TextLink»SOC»DT»DYN»LAL»W»NA»SS»NA»Free Account Refresh- Device ChB</v></cell><cell r="AH6463"><v>224160717</v></cell><cell r="AI6463" t="str"><v>AzurePlatform_FreeAcctRetargetingOSSFB-Text-ChF_AUS_1200x628_SOC_Plat_EN_Free Account_Standard_NA_SNU_T1_1</v></cell><cell r="AJ6463"><v>103048485</v></cell></row><row r="6464"><cell r="C6464" t="str"><v>43328Facebook»LAL»1x1»TextLink»SOC»DT»DYN»LAL»W»NA»SS»NA»Free Account Refresh- Illustration ChC</v></cell><cell r="D6464" t="str"><v>43328224160714</v></cell><cell r="E6464" t="str"><v>43328103186916on ChC</v></cell><cell r="F6464" t="str"><v>DCM</v></cell><cell r="G6464" t="str"><v>https://azure.microsoft.com/en-au/free/virtual-machines/search/</v></cell></row><row r="6464"><cell r="K6464" t="str"><v>August</v></cell><cell r="L6464"><v>43330</v></cell><cell r="M6464" t="str"><v>Tier 1</v></cell><cell r="N6464" t="str"><v>APAC</v></cell><cell r="O6464" t="str"><v>Australia</v></cell><cell r="P6464" t="str"><v>Trial</v></cell><cell r="Q6464" t="str"><v>Social</v></cell><cell r="R6464" t="str"><v>Azure</v></cell><cell r="S6464" t="str"><v>Apps & Infra</v></cell><cell r="T6464" t="str"><v>Developers & ITI's</v></cell><cell r="U6464" t="str"><v>LAL</v></cell><cell r="V6464" t="str"><v>Lookalike Targeting</v></cell><cell r="W6464" t="str"><v>Social</v></cell><cell r="X6464" t="str"><v>1x1</v></cell></row><row r="6464"><cell r="AA6464"><v>43328</v></cell><cell r="AB6464" t="str"><v>AUS_gaPMG_AZR_AZR_Q1_19_Trial-Social</v></cell><cell r="AC6464"><v>21358568</v></cell><cell r="AD6464"><v>720191</v></cell><cell r="AE6464" t="str"><v>Facebook</v></cell><cell r="AF6464"><v>3654128</v></cell><cell r="AG6464" t="str"><v>Facebook»LAL»1x1»TextLink»SOC»DT»DYN»LAL»W»NA»SS»NA»Free Account Refresh- Illustration ChC</v></cell><cell r="AH6464"><v>224160714</v></cell><cell r="AI6464" t="str"><v>AzurePlatform_FreeAcctRetargetingVMFB-750Hrs-ChD_AUS_1200x628_SOC_Plat_EN_Free Account_Standard_NA_SNU_T1_1</v></cell><cell r="AJ6464"><v>103186916</v></cell></row><row r="6465"><cell r="C6465" t="str"><v>43328Facebook»LAL»1x1»TextLink»SOC»DT»DYN»LAL»W»NA»SS»NA»Free Account Refresh- Lifestyle ChA</v></cell><cell r="D6465" t="str"><v>43328224160711</v></cell><cell r="E6465" t="str"><v>43328103048491le ChA</v></cell><cell r="F6465" t="str"><v>DCM</v></cell><cell r="G6465" t="str"><v>https://azure.microsoft.com/en-au/free/virtual-machines/search/</v></cell></row><row r="6465"><cell r="K6465" t="str"><v>August</v></cell><cell r="L6465"><v>43330</v></cell><cell r="M6465" t="str"><v>Tier 1</v></cell><cell r="N6465" t="str"><v>APAC</v></cell><cell r="O6465" t="str"><v>Australia</v></cell><cell r="P6465" t="str"><v>Trial</v></cell><cell r="Q6465" t="str"><v>Social</v></cell><cell r="R6465" t="str"><v>Azure</v></cell><cell r="S6465" t="str"><v>Apps & Infra</v></cell><cell r="T6465" t="str"><v>Developers & ITI's</v></cell><cell r="U6465" t="str"><v>LAL</v></cell><cell r="V6465" t="str"><v>Lookalike Targeting</v></cell><cell r="W6465" t="str"><v>Social</v></cell><cell r="X6465" t="str"><v>1x1</v></cell></row><row r="6465"><cell r="AA6465"><v>43328</v></cell><cell r="AB6465" t="str"><v>AUS_gaPMG_AZR_AZR_Q1_19_Trial-Social</v></cell><cell r="AC6465"><v>21358568</v></cell><cell r="AD6465"><v>720191</v></cell><cell r="AE6465" t="str"><v>Facebook</v></cell><cell r="AF6465"><v>3654128</v></cell><cell r="AG6465" t="str"><v>Facebook»LAL»1x1»TextLink»SOC»DT»DYN»LAL»W»NA»SS»NA»Free Account Refresh- Lifestyle ChA</v></cell><cell r="AH6465"><v>224160711</v></cell><cell r="AI6465" t="str"><v>AzurePlatform_FreeAcctRetargetingVMFB-OnDemand-ChE_AUS_1200x628_SOC_Plat_EN_Free Account_Standard_NA_SNU_T2_1</v></cell><cell r="AJ6465"><v>103048491</v></cell></row><row r="6466"><cell r="C6466" t="str"><v>43328Facebook»Retargeting»1x1»TextLink»SOC»DT»DYN»RT»W»NA»SS»NA»Free Account Refresh- 200 Credit ChD</v></cell><cell r="D6466" t="str"><v>43328224160738</v></cell><cell r="E6466" t="str"><v>43328103186904it ChD</v></cell><cell r="F6466" t="str"><v>DCM</v></cell></row><row r="6466"><cell r="K6466" t="str"><v>August</v></cell><cell r="L6466"><v>43330</v></cell><cell r="M6466" t="str"><v>Tier 1</v></cell><cell r="N6466" t="str"><v>APAC</v></cell><cell r="O6466" t="str"><v>Australia</v></cell><cell r="P6466" t="str"><v>Trial</v></cell><cell r="Q6466" t="str"><v>Social</v></cell><cell r="R6466" t="str"><v>Azure</v></cell><cell r="S6466" t="str"><v>Apps & Infra</v></cell><cell r="T6466" t="str"><v>Developers & ITI's</v></cell><cell r="U6466" t="str"><v>Retargeting</v></cell><cell r="V6466" t="str"><v>Retargeting</v></cell><cell r="W6466" t="str"><v>Social</v></cell><cell r="X6466" t="str"><v>1x1</v></cell></row><row r="6466"><cell r="AA6466"><v>43328</v></cell><cell r="AB6466" t="str"><v>AUS_gaPMG_AZR_AZR_Q1_19_Trial-Social</v></cell><cell r="AC6466"><v>21358568</v></cell><cell r="AD6466"><v>720191</v></cell><cell r="AE6466" t="str"><v>Facebook</v></cell><cell r="AF6466"><v>3654128</v></cell><cell r="AG6466" t="str"><v>Facebook»Retargeting»1x1»TextLink»SOC»DT»DYN»RT»W»NA»SS»NA»Free Account Refresh- 200 Credit ChD</v></cell><cell r="AH6466"><v>224160738</v></cell><cell r="AI6466" t="str"><v>AzurePlatform_FreeAcctAppsFACEBOOK200CreditChD_AUS_1200x628_SOC_PLAT_EN_Trial_Standard_NA_SNU_T4_1</v></cell><cell r="AJ6466"><v>103186904</v></cell></row><row r="6467"><cell r="C6467" t="str"><v>43328Facebook»Retargeting»1x1»TextLink»SOC»DT»DYN»RT»W»NA»SS»NA»Free Account Refresh- Device ChB</v></cell><cell r="D6467" t="str"><v>43328224160735</v></cell><cell r="E6467" t="str"><v>43328103048479ce ChB</v></cell><cell r="F6467" t="str"><v>DCM</v></cell></row><row r="6467"><cell r="K6467" t="str"><v>August</v></cell><cell r="L6467"><v>43330</v></cell><cell r="M6467" t="str"><v>Tier 1</v></cell><cell r="N6467" t="str"><v>APAC</v></cell><cell r="O6467" t="str"><v>Australia</v></cell><cell r="P6467" t="str"><v>Trial</v></cell><cell r="Q6467" t="str"><v>Social</v></cell><cell r="R6467" t="str"><v>Azure</v></cell><cell r="S6467" t="str"><v>Apps & Infra</v></cell><cell r="T6467" t="str"><v>Developers & ITI's</v></cell><cell r="U6467" t="str"><v>Retargeting</v></cell><cell r="V6467" t="str"><v>Retargeting</v></cell><cell r="W6467" t="str"><v>Social</v></cell><cell r="X6467" t="str"><v>1x1</v></cell></row><row r="6467"><cell r="AA6467"><v>43328</v></cell><cell r="AB6467" t="str"><v>AUS_gaPMG_AZR_AZR_Q1_19_Trial-Social</v></cell><cell r="AC6467"><v>21358568</v></cell><cell r="AD6467"><v>720191</v></cell><cell r="AE6467" t="str"><v>Facebook</v></cell><cell r="AF6467"><v>3654128</v></cell><cell r="AG6467" t="str"><v>Facebook»Retargeting»1x1»TextLink»SOC»DT»DYN»RT»W»NA»SS»NA»Free Account Refresh- Device ChB</v></cell><cell r="AH6467"><v>224160735</v></cell><cell r="AI6467" t="str"><v>AzurePlatform_FreeAcctAppsFACEBOOKDeviceChB_AUS_1200x628_SOC_PLAT_EN_Trial_Standard_NA_SNU_T2_1</v></cell><cell r="AJ6467"><v>103048479</v></cell></row><row r="6468"><cell r="C6468" t="str"><v>43328Facebook»Retargeting»1x1»TextLink»SOC»DT»DYN»RT»W»NA»SS»NA»Free Account Refresh- Illustration ChC</v></cell><cell r="D6468" t="str"><v>43328224160732</v></cell><cell r="E6468" t="str"><v>43328103186910on ChC</v></cell><cell r="F6468" t="str"><v>DCM</v></cell></row><row r="6468"><cell r="K6468" t="str"><v>August</v></cell><cell r="L6468"><v>43330</v></cell><cell r="M6468" t="str"><v>Tier 1</v></cell><cell r="N6468" t="str"><v>APAC</v></cell><cell r="O6468" t="str"><v>Australia</v></cell><cell r="P6468" t="str"><v>Trial</v></cell><cell r="Q6468" t="str"><v>Social</v></cell><cell r="R6468" t="str"><v>Azure</v></cell><cell r="S6468" t="str"><v>Apps & Infra</v></cell><cell r="T6468" t="str"><v>Developers & ITI's</v></cell><cell r="U6468" t="str"><v>Retargeting</v></cell><cell r="V6468" t="str"><v>Retargeting</v></cell><cell r="W6468" t="str"><v>Social</v></cell><cell r="X6468" t="str"><v>1x1</v></cell></row><row r="6468"><cell r="AA6468"><v>43328</v></cell><cell r="AB6468" t="str"><v>AUS_gaPMG_AZR_AZR_Q1_19_Trial-Social</v></cell><cell r="AC6468"><v>21358568</v></cell><cell r="AD6468"><v>720191</v></cell><cell r="AE6468" t="str"><v>Facebook</v></cell><cell r="AF6468"><v>3654128</v></cell><cell r="AG6468" t="str"><v>Facebook»Retargeting»1x1»TextLink»SOC»DT»DYN»RT»W»NA»SS»NA»Free Account Refresh- Illustration ChC</v></cell><cell r="AH6468"><v>224160732</v></cell><cell r="AI6468" t="str"><v>AzurePlatform_FreeAcctAppsFACEBOOKIllustrationChC_AUS_1200x628_SOC_PLAT_EN_Trial_Standard_NA_SNU_T3_1</v></cell><cell r="AJ6468"><v>103186910</v></cell></row><row r="6469"><cell r="C6469" t="str"><v>43328Facebook»Retargeting»1x1»TextLink»SOC»DT»DYN»RT»W»NA»SS»NA»Free Account Refresh- Lifestyle ChA</v></cell><cell r="D6469" t="str"><v>43328224160729</v></cell><cell r="E6469" t="str"><v>43328103048488le ChA</v></cell><cell r="F6469" t="str"><v>DCM</v></cell></row><row r="6469"><cell r="K6469" t="str"><v>August</v></cell><cell r="L6469"><v>43330</v></cell><cell r="M6469" t="str"><v>Tier 1</v></cell><cell r="N6469" t="str"><v>APAC</v></cell><cell r="O6469" t="str"><v>Australia</v></cell><cell r="P6469" t="str"><v>Trial</v></cell><cell r="Q6469" t="str"><v>Social</v></cell><cell r="R6469" t="str"><v>Azure</v></cell><cell r="S6469" t="str"><v>Apps & Infra</v></cell><cell r="T6469" t="str"><v>Developers & ITI's</v></cell><cell r="U6469" t="str"><v>Retargeting</v></cell><cell r="V6469" t="str"><v>Retargeting</v></cell><cell r="W6469" t="str"><v>Social</v></cell><cell r="X6469" t="str"><v>1x1</v></cell></row><row r="6469"><cell r="AA6469"><v>43328</v></cell><cell r="AB6469" t="str"><v>AUS_gaPMG_AZR_AZR_Q1_19_Trial-Social</v></cell><cell r="AC6469"><v>21358568</v></cell><cell r="AD6469"><v>720191</v></cell><cell r="AE6469" t="str"><v>Facebook</v></cell><cell r="AF6469"><v>3654128</v></cell><cell r="AG6469" t="str"><v>Facebook»Retargeting»1x1»TextLink»SOC»DT»DYN»RT»W»NA»SS»NA»Free Account Refresh- Lifestyle ChA</v></cell><cell r="AH6469"><v>224160729</v></cell><cell r="AI6469" t="str"><v>AzurePlatform_FreeAcctAppsFACEBOOKLifestyleChA_AUS_1200x628_SOC_PLAT_EN_Trial_Standard_NA_SNU_T1_1</v></cell><cell r="AJ6469"><v>103048488</v></cell></row><row r="6470"><cell r="C6470" t="str"><v>43328Facebook»AZR»1x1»NA»EGV»ALL»DYN»AUT»D»All»SS»NA»Free Acc CTC - T1 - EN</v></cell><cell r="D6470" t="str"><v>43328223684451</v></cell><cell r="E6470" t="str"><v>433281029018821 - EN</v></cell><cell r="F6470" t="str"><v>DCM</v></cell><cell r="G6470" t="str"><v>https://signup.azure.com/</v></cell></row><row r="6470"><cell r="K6470" t="str"><v>August</v></cell><cell r="L6470"><v>43330</v></cell><cell r="M6470" t="str"><v>Tier 1</v></cell><cell r="N6470" t="str"><v>North America</v></cell><cell r="O6470" t="str"><v>Canada</v></cell><cell r="P6470" t="str"><v>Trial</v></cell><cell r="Q6470" t="str"><v>Social</v></cell><cell r="R6470" t="str"><v>Azure</v></cell><cell r="S6470" t="str"><v>Apps & Infra</v></cell><cell r="T6470" t="str"><v>Developers & ITI's</v></cell><cell r="U6470" t="str"><v>AZR</v></cell><cell r="V6470" t="str"><v>Audience Targeting</v></cell><cell r="W6470" t="str"><v>Engagement Video</v></cell><cell r="X6470" t="str"><v>1x1</v></cell></row><row r="6470"><cell r="AA6470"><v>43328</v></cell><cell r="AB6470" t="str"><v>CAN_gaPMG_AZR_AZR_Q1_19_Trial-Social</v></cell><cell r="AC6470"><v>21337220</v></cell><cell r="AD6470"><v>720192</v></cell><cell r="AE6470" t="str"><v>Facebook</v></cell><cell r="AF6470"><v>3654128</v></cell><cell r="AG6470" t="str"><v>Facebook»AZR»1x1»NA»EGV»ALL»DYN»AUT»D»All»SS»NA»Free Acc CTC - T1 - EN</v></cell><cell r="AH6470"><v>223684451</v></cell><cell r="AI6470" t="str"><v>AzurePlatform_FBCTCBasicMotion_CAN_10s_ISV_PLAT_English_Trial_Standard_STAN_TN_T1_1</v></cell><cell r="AJ6470"><v>102901882</v></cell></row><row r="6471"><cell r="C6471" t="str"><v>43328Facebook»AZR»1x1»NA»EGV»ALL»DYN»AUT»D»All»SS»NA»Free Acc CTC - T2 - EN</v></cell><cell r="D6471" t="str"><v>43328223691840</v></cell><cell r="E6471" t="str"><v>433281029029502 - EN</v></cell><cell r="F6471" t="str"><v>DCM</v></cell><cell r="G6471" t="str"><v>https://signup.azure.com/</v></cell></row><row r="6471"><cell r="K6471" t="str"><v>August</v></cell><cell r="L6471"><v>43330</v></cell><cell r="M6471" t="str"><v>Tier 1</v></cell><cell r="N6471" t="str"><v>North America</v></cell><cell r="O6471" t="str"><v>Canada</v></cell><cell r="P6471" t="str"><v>Trial</v></cell><cell r="Q6471" t="str"><v>Social</v></cell><cell r="R6471" t="str"><v>Azure</v></cell><cell r="S6471" t="str"><v>Apps & Infra</v></cell><cell r="T6471" t="str"><v>Developers & ITI's</v></cell><cell r="U6471" t="str"><v>AZR</v></cell><cell r="V6471" t="str"><v>Audience Targeting</v></cell><cell r="W6471" t="str"><v>Engagement Video</v></cell><cell r="X6471" t="str"><v>1x1</v></cell></row><row r="6471"><cell r="AA6471"><v>43328</v></cell><cell r="AB6471" t="str"><v>CAN_gaPMG_AZR_AZR_Q1_19_Trial-Social</v></cell><cell r="AC6471"><v>21337220</v></cell><cell r="AD6471"><v>720192</v></cell><cell r="AE6471" t="str"><v>Facebook</v></cell><cell r="AF6471"><v>3654128</v></cell><cell r="AG6471" t="str"><v>Facebook»AZR»1x1»NA»EGV»ALL»DYN»AUT»D»All»SS»NA»Free Acc CTC - T2 - EN</v></cell><cell r="AH6471"><v>223691840</v></cell><cell r="AI6471" t="str"><v>AzurePlatform_FBCTCBrandinMotion_CAN_12s_ISV_PLAT_English_Trial_Standard_STAN_TN_T2_1</v></cell><cell r="AJ6471"><v>102902950</v></cell></row><row r="6472"><cell r="C6472" t="str"><v>43328Facebook»AZR»1x1»NA»EGV»ALL»DYN»AUT»D»All»SS»NA»Free Acc CTC - T2 - FR</v></cell><cell r="D6472" t="str"><v>43328223691798</v></cell><cell r="E6472" t="str"><v>433281029163472 - FR</v></cell><cell r="F6472" t="str"><v>DCM</v></cell><cell r="G6472" t="str"><v>https://signup.azure.com/</v></cell></row><row r="6472"><cell r="K6472" t="str"><v>August</v></cell><cell r="L6472"><v>43330</v></cell><cell r="M6472" t="str"><v>Tier 1</v></cell><cell r="N6472" t="str"><v>North America</v></cell><cell r="O6472" t="str"><v>Canada</v></cell><cell r="P6472" t="str"><v>Trial</v></cell><cell r="Q6472" t="str"><v>Social</v></cell><cell r="R6472" t="str"><v>Azure</v></cell><cell r="S6472" t="str"><v>Apps & Infra</v></cell><cell r="T6472" t="str"><v>Developers & ITI's</v></cell><cell r="U6472" t="str"><v>AZR</v></cell><cell r="V6472" t="str"><v>Audience Targeting</v></cell><cell r="W6472" t="str"><v>Engagement Video</v></cell><cell r="X6472" t="str"><v>1x1</v></cell></row><row r="6472"><cell r="AA6472"><v>43328</v></cell><cell r="AB6472" t="str"><v>CAN_gaPMG_AZR_AZR_Q1_19_Trial-Social</v></cell><cell r="AC6472"><v>21337220</v></cell><cell r="AD6472"><v>720192</v></cell><cell r="AE6472" t="str"><v>Facebook</v></cell><cell r="AF6472"><v>3654128</v></cell><cell r="AG6472" t="str"><v>Facebook»AZR»1x1»NA»EGV»ALL»DYN»AUT»D»All»SS»NA»Free Acc CTC - T2 - FR</v></cell><cell r="AH6472"><v>223691798</v></cell><cell r="AI6472" t="str"><v>AzurePlatform_FBCTCBrandinMotion_CAN_12s_ISV_PLAT_FR_Trial_Standard_STAN_TN_T2_1</v></cell><cell r="AJ6472"><v>102916347</v></cell></row><row r="6473"><cell r="C6473" t="str"><v>43328Facebook»AZR»1x1»NA»EGV»ALL»DYN»AUT»D»All»SS»NA»Free Acc CTC - T4 - EN</v></cell><cell r="D6473" t="str"><v>43328223691837</v></cell><cell r="E6473" t="str"><v>433281030533144 - EN</v></cell><cell r="F6473" t="str"><v>DCM</v></cell><cell r="G6473" t="str"><v>https://signup.azure.com/</v></cell></row><row r="6473"><cell r="K6473" t="str"><v>August</v></cell><cell r="L6473"><v>43330</v></cell><cell r="M6473" t="str"><v>Tier 1</v></cell><cell r="N6473" t="str"><v>North America</v></cell><cell r="O6473" t="str"><v>Canada</v></cell><cell r="P6473" t="str"><v>Trial</v></cell><cell r="Q6473" t="str"><v>Social</v></cell><cell r="R6473" t="str"><v>Azure</v></cell><cell r="S6473" t="str"><v>Apps & Infra</v></cell><cell r="T6473" t="str"><v>Developers & ITI's</v></cell><cell r="U6473" t="str"><v>AZR</v></cell><cell r="V6473" t="str"><v>Audience Targeting</v></cell><cell r="W6473" t="str"><v>Engagement Video</v></cell><cell r="X6473" t="str"><v>1x1</v></cell></row><row r="6473"><cell r="AA6473"><v>43328</v></cell><cell r="AB6473" t="str"><v>CAN_gaPMG_AZR_AZR_Q1_19_Trial-Social</v></cell><cell r="AC6473"><v>21337220</v></cell><cell r="AD6473"><v>720192</v></cell><cell r="AE6473" t="str"><v>Facebook</v></cell><cell r="AF6473"><v>3654128</v></cell><cell r="AG6473" t="str"><v>Facebook»AZR»1x1»NA»EGV»ALL»DYN»AUT»D»All»SS»NA»Free Acc CTC - T4 - EN</v></cell><cell r="AH6473"><v>223691837</v></cell><cell r="AI6473" t="str"><v>AzurePlatform_FBCTCBenefit2inMotion_CAN_14s_ISV_PLAT_English_Trial_Standard_STAN_TN_T4_1</v></cell><cell r="AJ6473"><v>103053314</v></cell></row><row r="6474"><cell r="C6474" t="str"><v>43328Facebook»AZR»1x1»NA»SOC»ALL»DYN»PRO»D»All»SS»NA»Canvas - Buy Now - EN</v></cell><cell r="D6474" t="str"><v>43328225322327</v></cell><cell r="E6474" t="str"><v>43328103902287w - EN</v></cell><cell r="F6474" t="str"><v>DCM</v></cell><cell r="G6474" t="str"><v>https://azure.microsoft.com/en-ca/pricing/purchase-options/</v></cell></row><row r="6474"><cell r="K6474" t="str"><v>August</v></cell><cell r="L6474"><v>43330</v></cell><cell r="M6474" t="str"><v>Tier 1</v></cell><cell r="N6474" t="str"><v>North America</v></cell><cell r="O6474" t="str"><v>Canada</v></cell><cell r="P6474" t="str"><v>Trial</v></cell><cell r="Q6474" t="str"><v>Social</v></cell><cell r="R6474" t="str"><v>Azure</v></cell><cell r="S6474" t="str"><v>Apps & Infra</v></cell><cell r="T6474" t="str"><v>Developers & ITI's</v></cell><cell r="U6474" t="str"><v>AZR</v></cell><cell r="V6474" t="str"><v>Prospecting</v></cell><cell r="W6474" t="str"><v>Social</v></cell><cell r="X6474" t="str"><v>1x1</v></cell></row><row r="6474"><cell r="AA6474"><v>43328</v></cell><cell r="AB6474" t="str"><v>CAN_gaPMG_AZR_AZR_Q1_19_Trial-Social</v></cell><cell r="AC6474"><v>21337220</v></cell><cell r="AD6474"><v>720192</v></cell><cell r="AE6474" t="str"><v>Facebook</v></cell><cell r="AF6474"><v>3654128</v></cell><cell r="AG6474" t="str"><v>Facebook»AZR»1x1»NA»SOC»ALL»DYN»PRO»D»All»SS»NA»Canvas - Buy Now - EN</v></cell><cell r="AH6474"><v>225322327</v></cell><cell r="AI6474" t="str"><v>AzurePlatform_FBCTCcanvaspage-BuyNowCTA-Img3_CAN_1080x162_SOC_Plat_English_NA_Standard_NA_BN_T3_1</v></cell><cell r="AJ6474"><v>103902287</v></cell></row><row r="6475"><cell r="C6475" t="str"><v>43328Facebook»AZR»1x1»NA»SOC»ALL»DYN»PRO»D»All»SS»NA»Canvas - Buy Now - FR</v></cell><cell r="D6475" t="str"><v>43328225322324</v></cell><cell r="E6475" t="str"><v>43328103789915w - FR</v></cell><cell r="F6475" t="str"><v>DCM</v></cell><cell r="G6475" t="str"><v>https://azure.microsoft.com/fr-ca/pricing/purchase-options/</v></cell></row><row r="6475"><cell r="K6475" t="str"><v>August</v></cell><cell r="L6475"><v>43330</v></cell><cell r="M6475" t="str"><v>Tier 1</v></cell><cell r="N6475" t="str"><v>North America</v></cell><cell r="O6475" t="str"><v>Canada</v></cell><cell r="P6475" t="str"><v>Trial</v></cell><cell r="Q6475" t="str"><v>Social</v></cell><cell r="R6475" t="str"><v>Azure</v></cell><cell r="S6475" t="str"><v>Apps & Infra</v></cell><cell r="T6475" t="str"><v>Developers & ITI's</v></cell><cell r="U6475" t="str"><v>AZR</v></cell><cell r="V6475" t="str"><v>Prospecting</v></cell><cell r="W6475" t="str"><v>Social</v></cell><cell r="X6475" t="str"><v>1x1</v></cell></row><row r="6475"><cell r="AA6475"><v>43328</v></cell><cell r="AB6475" t="str"><v>CAN_gaPMG_AZR_AZR_Q1_19_Trial-Social</v></cell><cell r="AC6475"><v>21337220</v></cell><cell r="AD6475"><v>720192</v></cell><cell r="AE6475" t="str"><v>Facebook</v></cell><cell r="AF6475"><v>3654128</v></cell><cell r="AG6475" t="str"><v>Facebook»AZR»1x1»NA»SOC»ALL»DYN»PRO»D»All»SS»NA»Canvas - Buy Now - FR</v></cell><cell r="AH6475"><v>225322324</v></cell><cell r="AI6475" t="str"><v>AzurePlatform_FBCTCcanvaspage-BuyNowCTA-Img3_CAN_1080x162_SOC_Plat_French_NA_Standard_NA_BN_T3_1</v></cell><cell r="AJ6475"><v>103789915</v></cell></row><row r="6476"><cell r="C6476" t="str"><v>43328Facebook»AZR»1x1»NA»SOC»ALL»DYN»PRO»D»All»SS»NA»Canvas - Start Free - EN</v></cell><cell r="D6476" t="str"><v>43328225252365</v></cell><cell r="E6476" t="str"><v>43328103807590e - EN</v></cell><cell r="F6476" t="str"><v>DCM</v></cell><cell r="G6476" t="str"><v>https://signup.azure.com/signup?offer=ms-azr-0044p&appId=102&ref=paidmedia-social-fb&redirectURL=https%3a%2f%2fazure.microsoft.com%2fen-ca%2fget-started%2fwelcome-to-azure%2f&l=en-ca&correlationId=ead86c34-1f10-49dd-a72b-6918462a2cbf</v></cell></row><row r="6476"><cell r="K6476" t="str"><v>August</v></cell><cell r="L6476"><v>43330</v></cell><cell r="M6476" t="str"><v>Tier 1</v></cell><cell r="N6476" t="str"><v>North America</v></cell><cell r="O6476" t="str"><v>Canada</v></cell><cell r="P6476" t="str"><v>Trial</v></cell><cell r="Q6476" t="str"><v>Social</v></cell><cell r="R6476" t="str"><v>Azure</v></cell><cell r="S6476" t="str"><v>Apps & Infra</v></cell><cell r="T6476" t="str"><v>Developers & ITI's</v></cell><cell r="U6476" t="str"><v>AZR</v></cell><cell r="V6476" t="str"><v>Prospecting</v></cell><cell r="W6476" t="str"><v>Social</v></cell><cell r="X6476" t="str"><v>1x1</v></cell></row><row r="6476"><cell r="AA6476"><v>43328</v></cell><cell r="AB6476" t="str"><v>CAN_gaPMG_AZR_AZR_Q1_19_Trial-Social</v></cell><cell r="AC6476"><v>21337220</v></cell><cell r="AD6476"><v>720192</v></cell><cell r="AE6476" t="str"><v>Facebook</v></cell><cell r="AF6476"><v>3654128</v></cell><cell r="AG6476" t="str"><v>Facebook»AZR»1x1»NA»SOC»ALL»DYN»PRO»D»All»SS»NA»Canvas - Start Free - EN</v></cell><cell r="AH6476"><v>225252365</v></cell><cell r="AI6476" t="str"><v>AzurePlatform_FBCTCcanvaspage-StartFreeCTA-Img2_CAN_1080x143 _SOC_Plat_English_NA_Standard_NA_NA_T2_1</v></cell><cell r="AJ6476"><v>103807590</v></cell></row><row r="6477"><cell r="C6477" t="str"><v>43328Facebook»AZR»1x1»SocialBan»NA»ALL»DYN»AUT»D»All»SS»NA»Free Acc Refresh - T1 - EN</v></cell><cell r="D6477" t="str"><v>43328223691804</v></cell><cell r="E6477" t="str"><v>433281030587171 - EN</v></cell><cell r="F6477" t="str"><v>DCM</v></cell><cell r="G6477" t="str"><v>https://azure.microsoft.com/en-CA/free/search/</v></cell></row><row r="6477"><cell r="K6477" t="str"><v>August</v></cell><cell r="L6477"><v>43330</v></cell><cell r="M6477" t="str"><v>Tier 1</v></cell><cell r="N6477" t="str"><v>North America</v></cell><cell r="O6477" t="str"><v>Canada</v></cell><cell r="P6477" t="str"><v>Trial</v></cell><cell r="Q6477" t="str"><v>Social</v></cell><cell r="R6477" t="str"><v>Azure</v></cell><cell r="S6477" t="str"><v>Apps & Infra</v></cell><cell r="T6477" t="str"><v>Developers & ITI's</v></cell><cell r="U6477" t="str"><v>AZR</v></cell><cell r="V6477" t="str"><v>Audience Targeting</v></cell><cell r="W6477" t="str"><v>NotApplicable</v></cell><cell r="X6477" t="str"><v>1x1</v></cell></row><row r="6477"><cell r="AA6477"><v>43328</v></cell><cell r="AB6477" t="str"><v>CAN_gaPMG_AZR_AZR_Q1_19_Trial-Social</v></cell><cell r="AC6477"><v>21337220</v></cell><cell r="AD6477"><v>720192</v></cell><cell r="AE6477" t="str"><v>Facebook</v></cell><cell r="AF6477"><v>3654128</v></cell><cell r="AG6477" t="str"><v>Facebook»AZR»1x1»SocialBan»NA»ALL»DYN»AUT»D»All»SS»NA»Free Acc Refresh - T1 - EN</v></cell><cell r="AH6477"><v>223691804</v></cell><cell r="AI6477" t="str"><v>AzurePlatform_FreeAcctAppsFACEBOOKLifestyleChA_CAN_1200x628_SOC_PLAT_EN_Trial_Standard_NA_SU_T1_1.png</v></cell><cell r="AJ6477"><v>103058717</v></cell></row><row r="6478"><cell r="C6478" t="str"><v>43328Facebook»AZR»1x1»SocialBan»NA»ALL»DYN»AUT»D»All»SS»NA»Free Acc Refresh - T1 - FR</v></cell><cell r="D6478" t="str"><v>43328223691762</v></cell><cell r="E6478" t="str"><v>433281029029741 - FR</v></cell><cell r="F6478" t="str"><v>DCM</v></cell><cell r="G6478" t="str"><v>https://azure.microsoft.com/fr-ca/free/search/</v></cell></row><row r="6478"><cell r="K6478" t="str"><v>August</v></cell><cell r="L6478"><v>43330</v></cell><cell r="M6478" t="str"><v>Tier 1</v></cell><cell r="N6478" t="str"><v>North America</v></cell><cell r="O6478" t="str"><v>Canada</v></cell><cell r="P6478" t="str"><v>Trial</v></cell><cell r="Q6478" t="str"><v>Social</v></cell><cell r="R6478" t="str"><v>Azure</v></cell><cell r="S6478" t="str"><v>Apps & Infra</v></cell><cell r="T6478" t="str"><v>Developers & ITI's</v></cell><cell r="U6478" t="str"><v>AZR</v></cell><cell r="V6478" t="str"><v>Audience Targeting</v></cell><cell r="W6478" t="str"><v>NotApplicable</v></cell><cell r="X6478" t="str"><v>1x1</v></cell></row><row r="6478"><cell r="AA6478"><v>43328</v></cell><cell r="AB6478" t="str"><v>CAN_gaPMG_AZR_AZR_Q1_19_Trial-Social</v></cell><cell r="AC6478"><v>21337220</v></cell><cell r="AD6478"><v>720192</v></cell><cell r="AE6478" t="str"><v>Facebook</v></cell><cell r="AF6478"><v>3654128</v></cell><cell r="AG6478" t="str"><v>Facebook»AZR»1x1»SocialBan»NA»ALL»DYN»AUT»D»All»SS»NA»Free Acc Refresh - T1 - FR</v></cell><cell r="AH6478"><v>223691762</v></cell><cell r="AI6478" t="str"><v>AzurePlatform_FreeAcctAppsFACEBOOKLifestyleChA_CAN_1200x628_SOC_PLAT_FR_Trial_Standard_NA_SU_T1_1.png</v></cell><cell r="AJ6478"><v>102902974</v></cell></row><row r="6479"><cell r="C6479" t="str"><v>43328Facebook»AZR»1x1»SocialBan»NA»ALL»DYN»AUT»D»All»SS»NA»Free Acc Refresh - T3 - EN</v></cell><cell r="D6479" t="str"><v>43328223691807</v></cell><cell r="E6479" t="str"><v>433281029006853 - EN</v></cell><cell r="F6479" t="str"><v>DCM</v></cell><cell r="G6479" t="str"><v>https://azure.microsoft.com/en-CA/free/search/</v></cell></row><row r="6479"><cell r="K6479" t="str"><v>August</v></cell><cell r="L6479"><v>43330</v></cell><cell r="M6479" t="str"><v>Tier 1</v></cell><cell r="N6479" t="str"><v>North America</v></cell><cell r="O6479" t="str"><v>Canada</v></cell><cell r="P6479" t="str"><v>Trial</v></cell><cell r="Q6479" t="str"><v>Social</v></cell><cell r="R6479" t="str"><v>Azure</v></cell><cell r="S6479" t="str"><v>Apps & Infra</v></cell><cell r="T6479" t="str"><v>Developers & ITI's</v></cell><cell r="U6479" t="str"><v>AZR</v></cell><cell r="V6479" t="str"><v>Audience Targeting</v></cell><cell r="W6479" t="str"><v>NotApplicable</v></cell><cell r="X6479" t="str"><v>1x1</v></cell></row><row r="6479"><cell r="AA6479"><v>43328</v></cell><cell r="AB6479" t="str"><v>CAN_gaPMG_AZR_AZR_Q1_19_Trial-Social</v></cell><cell r="AC6479"><v>21337220</v></cell><cell r="AD6479"><v>720192</v></cell><cell r="AE6479" t="str"><v>Facebook</v></cell><cell r="AF6479"><v>3654128</v></cell><cell r="AG6479" t="str"><v>Facebook»AZR»1x1»SocialBan»NA»ALL»DYN»AUT»D»All»SS»NA»Free Acc Refresh - T3 - EN</v></cell><cell r="AH6479"><v>223691807</v></cell><cell r="AI6479" t="str"><v>AzurePlatform_FreeAcctAppsFACEBOOKIllustrationChC_CAN_1200x628_SOC_PLAT_EN_Trial_Standard_NA_SU_T3_1.png</v></cell><cell r="AJ6479"><v>102900685</v></cell></row><row r="6480"><cell r="C6480" t="str"><v>43328Facebook»AZR»1x1»SocialBan»NA»ALL»DYN»AUT»D»All»SS»NA»Free Acc Refresh - T3 - FR</v></cell><cell r="D6480" t="str"><v>43328223691765</v></cell><cell r="E6480" t="str"><v>433281030533323 - FR</v></cell><cell r="F6480" t="str"><v>DCM</v></cell><cell r="G6480" t="str"><v>https://azure.microsoft.com/fr-ca/free/search/</v></cell></row><row r="6480"><cell r="K6480" t="str"><v>August</v></cell><cell r="L6480"><v>43330</v></cell><cell r="M6480" t="str"><v>Tier 1</v></cell><cell r="N6480" t="str"><v>North America</v></cell><cell r="O6480" t="str"><v>Canada</v></cell><cell r="P6480" t="str"><v>Trial</v></cell><cell r="Q6480" t="str"><v>Social</v></cell><cell r="R6480" t="str"><v>Azure</v></cell><cell r="S6480" t="str"><v>Apps & Infra</v></cell><cell r="T6480" t="str"><v>Developers & ITI's</v></cell><cell r="U6480" t="str"><v>AZR</v></cell><cell r="V6480" t="str"><v>Audience Targeting</v></cell><cell r="W6480" t="str"><v>NotApplicable</v></cell><cell r="X6480" t="str"><v>1x1</v></cell></row><row r="6480"><cell r="AA6480"><v>43328</v></cell><cell r="AB6480" t="str"><v>CAN_gaPMG_AZR_AZR_Q1_19_Trial-Social</v></cell><cell r="AC6480"><v>21337220</v></cell><cell r="AD6480"><v>720192</v></cell><cell r="AE6480" t="str"><v>Facebook</v></cell><cell r="AF6480"><v>3654128</v></cell><cell r="AG6480" t="str"><v>Facebook»AZR»1x1»SocialBan»NA»ALL»DYN»AUT»D»All»SS»NA»Free Acc Refresh - T3 - FR</v></cell><cell r="AH6480"><v>223691765</v></cell><cell r="AI6480" t="str"><v>AzurePlatform_FreeAcctAppsFACEBOOKIllustrationChC_CAN_1200x628_SOC_PLAT_FR_Trial_Standard_NA_SU_T3_1.png</v></cell><cell r="AJ6480"><v>103053332</v></cell></row><row r="6481"><cell r="C6481" t="str"><v>43328Facebook»AZR»1x1»SocialBan»NA»ALL»DYN»AUT»D»All»SS»NA»Free Acc Refresh - T4 - EN</v></cell><cell r="D6481" t="str"><v>43328223691813</v></cell><cell r="E6481" t="str"><v>433281030533204 - EN</v></cell><cell r="F6481" t="str"><v>DCM</v></cell><cell r="G6481" t="str"><v>https://azure.microsoft.com/en-CA/free/search/</v></cell></row><row r="6481"><cell r="K6481" t="str"><v>August</v></cell><cell r="L6481"><v>43330</v></cell><cell r="M6481" t="str"><v>Tier 1</v></cell><cell r="N6481" t="str"><v>North America</v></cell><cell r="O6481" t="str"><v>Canada</v></cell><cell r="P6481" t="str"><v>Trial</v></cell><cell r="Q6481" t="str"><v>Social</v></cell><cell r="R6481" t="str"><v>Azure</v></cell><cell r="S6481" t="str"><v>Apps & Infra</v></cell><cell r="T6481" t="str"><v>Developers & ITI's</v></cell><cell r="U6481" t="str"><v>AZR</v></cell><cell r="V6481" t="str"><v>Audience Targeting</v></cell><cell r="W6481" t="str"><v>NotApplicable</v></cell><cell r="X6481" t="str"><v>1x1</v></cell></row><row r="6481"><cell r="AA6481"><v>43328</v></cell><cell r="AB6481" t="str"><v>CAN_gaPMG_AZR_AZR_Q1_19_Trial-Social</v></cell><cell r="AC6481"><v>21337220</v></cell><cell r="AD6481"><v>720192</v></cell><cell r="AE6481" t="str"><v>Facebook</v></cell><cell r="AF6481"><v>3654128</v></cell><cell r="AG6481" t="str"><v>Facebook»AZR»1x1»SocialBan»NA»ALL»DYN»AUT»D»All»SS»NA»Free Acc Refresh - T4 - EN</v></cell><cell r="AH6481"><v>223691813</v></cell><cell r="AI6481" t="str"><v>AzurePlatform_FreeAcctAppsFACEBOOK200CreditChD_CAN_1200x628_SOC_PLAT_EN_Trial_Standard_NA_SU_T4_1.png</v></cell><cell r="AJ6481"><v>103053320</v></cell></row><row r="6482"><cell r="C6482" t="str"><v>43328Facebook»AZR»1x1»SocialBan»NA»ALL»DYN»AUT»D»All»SS»NA»Free Acc Refresh - T5 - EN</v></cell><cell r="D6482" t="str"><v>43328223691816</v></cell><cell r="E6482" t="str"><v>433281029163415 - EN</v></cell><cell r="F6482" t="str"><v>DCM</v></cell><cell r="G6482" t="str"><v>https://azure.microsoft.com/en-CA/free/search/</v></cell></row><row r="6482"><cell r="K6482" t="str"><v>August</v></cell><cell r="L6482"><v>43330</v></cell><cell r="M6482" t="str"><v>Tier 1</v></cell><cell r="N6482" t="str"><v>North America</v></cell><cell r="O6482" t="str"><v>Canada</v></cell><cell r="P6482" t="str"><v>Trial</v></cell><cell r="Q6482" t="str"><v>Social</v></cell><cell r="R6482" t="str"><v>Azure</v></cell><cell r="S6482" t="str"><v>Apps & Infra</v></cell><cell r="T6482" t="str"><v>Developers & ITI's</v></cell><cell r="U6482" t="str"><v>AZR</v></cell><cell r="V6482" t="str"><v>Audience Targeting</v></cell><cell r="W6482" t="str"><v>NotApplicable</v></cell><cell r="X6482" t="str"><v>1x1</v></cell></row><row r="6482"><cell r="AA6482"><v>43328</v></cell><cell r="AB6482" t="str"><v>CAN_gaPMG_AZR_AZR_Q1_19_Trial-Social</v></cell><cell r="AC6482"><v>21337220</v></cell><cell r="AD6482"><v>720192</v></cell><cell r="AE6482" t="str"><v>Facebook</v></cell><cell r="AF6482"><v>3654128</v></cell><cell r="AG6482" t="str"><v>Facebook»AZR»1x1»SocialBan»NA»ALL»DYN»AUT»D»All»SS»NA»Free Acc Refresh - T5 - EN</v></cell><cell r="AH6482"><v>223691816</v></cell><cell r="AI6482" t="str"><v>AzurePlatform_FreeAcctAppsFACEBOOK12monthsChE_CAN_1200x628_SOC_PLAT_EN_Trial_Standard_NA_SU_T5_1.png</v></cell><cell r="AJ6482"><v>102916341</v></cell></row><row r="6483"><cell r="C6483" t="str"><v>43328Facebook»AZR»1x1»SocialBan»NA»ALL»DYN»RT»D»All»SS»NA» Free Account Retargeting OSS - T1 - EN</v></cell><cell r="D6483" t="str"><v>43328223691828</v></cell><cell r="E6483" t="str"><v>433281029029561 - EN</v></cell><cell r="F6483" t="str"><v>DCM</v></cell><cell r="G6483" t="str"><v>https://azure.microsoft.com/en-ca/free/open-source/search/</v></cell></row><row r="6483"><cell r="K6483" t="str"><v>August</v></cell><cell r="L6483"><v>43330</v></cell><cell r="M6483" t="str"><v>Tier 1</v></cell><cell r="N6483" t="str"><v>North America</v></cell><cell r="O6483" t="str"><v>Canada</v></cell><cell r="P6483" t="str"><v>Trial</v></cell><cell r="Q6483" t="str"><v>Social</v></cell><cell r="R6483" t="str"><v>Azure</v></cell><cell r="S6483" t="str"><v>Apps & Infra</v></cell><cell r="T6483" t="str"><v>Developers & ITI's</v></cell><cell r="U6483" t="str"><v>AZR</v></cell><cell r="V6483" t="str"><v>Retargeting</v></cell><cell r="W6483" t="str"><v>NotApplicable</v></cell><cell r="X6483" t="str"><v>1x1</v></cell></row><row r="6483"><cell r="AA6483"><v>43328</v></cell><cell r="AB6483" t="str"><v>CAN_gaPMG_AZR_AZR_Q1_19_Trial-Social</v></cell><cell r="AC6483"><v>21337220</v></cell><cell r="AD6483"><v>720192</v></cell><cell r="AE6483" t="str"><v>Facebook</v></cell><cell r="AF6483"><v>3654128</v></cell><cell r="AG6483" t="str"><v>Facebook»AZR»1x1»SocialBan»NA»ALL»DYN»RT»D»All»SS»NA» Free Account Retargeting OSS - T1 - EN</v></cell><cell r="AH6483"><v>223691828</v></cell><cell r="AI6483" t="str"><v>AzurePlatform_FreeAcctRetargetingOSSFB-Text-ChF_CAN_1200x628_SOC_Plat_EN_Free Account_Standard_NA_SU_T1_1</v></cell><cell r="AJ6483"><v>102902956</v></cell></row><row r="6484"><cell r="C6484" t="str"><v>43328Facebook»AZR»1x1»SocialBan»NA»ALL»DYN»RT»D»All»SS»NA» Free Account Retargeting OSS - T2 - FR</v></cell><cell r="D6484" t="str"><v>43328223691789</v></cell><cell r="E6484" t="str"><v>433281029006912 - FR</v></cell><cell r="F6484" t="str"><v>DCM</v></cell><cell r="G6484" t="str"><v>https://azure.microsoft.com/fr-ca/free/open-source/search/</v></cell></row><row r="6484"><cell r="K6484" t="str"><v>August</v></cell><cell r="L6484"><v>43330</v></cell><cell r="M6484" t="str"><v>Tier 1</v></cell><cell r="N6484" t="str"><v>North America</v></cell><cell r="O6484" t="str"><v>Canada</v></cell><cell r="P6484" t="str"><v>Trial</v></cell><cell r="Q6484" t="str"><v>Social</v></cell><cell r="R6484" t="str"><v>Azure</v></cell><cell r="S6484" t="str"><v>Apps & Infra</v></cell><cell r="T6484" t="str"><v>Developers & ITI's</v></cell><cell r="U6484" t="str"><v>AZR</v></cell><cell r="V6484" t="str"><v>Retargeting</v></cell><cell r="W6484" t="str"><v>NotApplicable</v></cell><cell r="X6484" t="str"><v>1x1</v></cell></row><row r="6484"><cell r="AA6484"><v>43328</v></cell><cell r="AB6484" t="str"><v>CAN_gaPMG_AZR_AZR_Q1_19_Trial-Social</v></cell><cell r="AC6484"><v>21337220</v></cell><cell r="AD6484"><v>720192</v></cell><cell r="AE6484" t="str"><v>Facebook</v></cell><cell r="AF6484"><v>3654128</v></cell><cell r="AG6484" t="str"><v>Facebook»AZR»1x1»SocialBan»NA»ALL»DYN»RT»D»All»SS»NA» Free Account Retargeting OSS - T2 - FR</v></cell><cell r="AH6484"><v>223691789</v></cell><cell r="AI6484" t="str"><v>AzurePlatform_FreeAcctRetargetingOSSFB-Logos-ChG_CAN_1200x628_SOC_Plat_FR_Free Account_Standard_NA_SU_T2_1</v></cell><cell r="AJ6484"><v>102900691</v></cell></row><row r="6485"><cell r="C6485" t="str"><v>43328Facebook»AZR»1x1»SocialBan»NA»ALL»DYN»RT»D»All»SS»NA»Free Account Retargeting VM - T1 - EN</v></cell><cell r="D6485" t="str"><v>43328223691825</v></cell><cell r="E6485" t="str"><v>433281029163381 - EN</v></cell><cell r="F6485" t="str"><v>DCM</v></cell><cell r="G6485" t="str"><v>https://azure.microsoft.com/en-ca/free/virtual-machines/search/</v></cell></row><row r="6485"><cell r="K6485" t="str"><v>August</v></cell><cell r="L6485"><v>43330</v></cell><cell r="M6485" t="str"><v>Tier 1</v></cell><cell r="N6485" t="str"><v>North America</v></cell><cell r="O6485" t="str"><v>Canada</v></cell><cell r="P6485" t="str"><v>Trial</v></cell><cell r="Q6485" t="str"><v>Social</v></cell><cell r="R6485" t="str"><v>Azure</v></cell><cell r="S6485" t="str"><v>Apps & Infra</v></cell><cell r="T6485" t="str"><v>Developers & ITI's</v></cell><cell r="U6485" t="str"><v>AZR</v></cell><cell r="V6485" t="str"><v>Retargeting</v></cell><cell r="W6485" t="str"><v>NotApplicable</v></cell><cell r="X6485" t="str"><v>1x1</v></cell></row><row r="6485"><cell r="AA6485"><v>43328</v></cell><cell r="AB6485" t="str"><v>CAN_gaPMG_AZR_AZR_Q1_19_Trial-Social</v></cell><cell r="AC6485"><v>21337220</v></cell><cell r="AD6485"><v>720192</v></cell><cell r="AE6485" t="str"><v>Facebook</v></cell><cell r="AF6485"><v>3654128</v></cell><cell r="AG6485" t="str"><v>Facebook»AZR»1x1»SocialBan»NA»ALL»DYN»RT»D»All»SS»NA»Free Account Retargeting VM - T1 - EN</v></cell><cell r="AH6485"><v>223691825</v></cell><cell r="AI6485" t="str"><v>AzurePlatform_FreeAcctRetargetingVMFB-750Hrs-ChD_CAN_1200x628_SOC_Plat_EN_Free Account_Standard_NA_SU_T1_1</v></cell><cell r="AJ6485"><v>102916338</v></cell></row><row r="6486"><cell r="C6486" t="str"><v>43328Facebook»AZR»1x1»SocialBan»NA»ALL»DYN»RT»D»All»SS»NA»Free Account Retargeting VM - T2 - EN</v></cell><cell r="D6486" t="str"><v>43328223691822</v></cell><cell r="E6486" t="str"><v>433281030587082 - EN</v></cell><cell r="F6486" t="str"><v>DCM</v></cell><cell r="G6486" t="str"><v>https://azure.microsoft.com/en-ca/free/virtual-machines/search/</v></cell></row><row r="6486"><cell r="K6486" t="str"><v>August</v></cell><cell r="L6486"><v>43330</v></cell><cell r="M6486" t="str"><v>Tier 1</v></cell><cell r="N6486" t="str"><v>North America</v></cell><cell r="O6486" t="str"><v>Canada</v></cell><cell r="P6486" t="str"><v>Trial</v></cell><cell r="Q6486" t="str"><v>Social</v></cell><cell r="R6486" t="str"><v>Azure</v></cell><cell r="S6486" t="str"><v>Apps & Infra</v></cell><cell r="T6486" t="str"><v>Developers & ITI's</v></cell><cell r="U6486" t="str"><v>AZR</v></cell><cell r="V6486" t="str"><v>Retargeting</v></cell><cell r="W6486" t="str"><v>NotApplicable</v></cell><cell r="X6486" t="str"><v>1x1</v></cell></row><row r="6486"><cell r="AA6486"><v>43328</v></cell><cell r="AB6486" t="str"><v>CAN_gaPMG_AZR_AZR_Q1_19_Trial-Social</v></cell><cell r="AC6486"><v>21337220</v></cell><cell r="AD6486"><v>720192</v></cell><cell r="AE6486" t="str"><v>Facebook</v></cell><cell r="AF6486"><v>3654128</v></cell><cell r="AG6486" t="str"><v>Facebook»AZR»1x1»SocialBan»NA»ALL»DYN»RT»D»All»SS»NA»Free Account Retargeting VM - T2 - EN</v></cell><cell r="AH6486"><v>223691822</v></cell><cell r="AI6486" t="str"><v>AzurePlatform_FreeAcctRetargetingVMFB-OnDemand-ChE_CAN_1200x628_SOC_Plat_EN_Free Account_Standard_NA_SU_T2_1</v></cell><cell r="AJ6486"><v>103058708</v></cell></row><row r="6487"><cell r="C6487" t="str"><v>43328Facebook»AZR»1x1»SocialBan»NA»ALL»DYN»RT»D»All»SS»NA»Free Account Retargeting VM - T2 - FR</v></cell><cell r="D6487" t="str"><v>43328223691780</v></cell><cell r="E6487" t="str"><v>433281030587262 - FR</v></cell><cell r="F6487" t="str"><v>DCM</v></cell><cell r="G6487" t="str"><v>https://azure.microsoft.com/fr-ca/free/virtual-machines/search/</v></cell></row><row r="6487"><cell r="K6487" t="str"><v>August</v></cell><cell r="L6487"><v>43330</v></cell><cell r="M6487" t="str"><v>Tier 1</v></cell><cell r="N6487" t="str"><v>North America</v></cell><cell r="O6487" t="str"><v>Canada</v></cell><cell r="P6487" t="str"><v>Trial</v></cell><cell r="Q6487" t="str"><v>Social</v></cell><cell r="R6487" t="str"><v>Azure</v></cell><cell r="S6487" t="str"><v>Apps & Infra</v></cell><cell r="T6487" t="str"><v>Developers & ITI's</v></cell><cell r="U6487" t="str"><v>AZR</v></cell><cell r="V6487" t="str"><v>Retargeting</v></cell><cell r="W6487" t="str"><v>NotApplicable</v></cell><cell r="X6487" t="str"><v>1x1</v></cell></row><row r="6487"><cell r="AA6487"><v>43328</v></cell><cell r="AB6487" t="str"><v>CAN_gaPMG_AZR_AZR_Q1_19_Trial-Social</v></cell><cell r="AC6487"><v>21337220</v></cell><cell r="AD6487"><v>720192</v></cell><cell r="AE6487" t="str"><v>Facebook</v></cell><cell r="AF6487"><v>3654128</v></cell><cell r="AG6487" t="str"><v>Facebook»AZR»1x1»SocialBan»NA»ALL»DYN»RT»D»All»SS»NA»Free Account Retargeting VM - T2 - FR</v></cell><cell r="AH6487"><v>223691780</v></cell><cell r="AI6487" t="str"><v>AzurePlatform_FreeAcctRetargetingVMFB-OnDemand-ChE_CAN_1200x628_SOC_Plat_FR_Free Account_Standard_NA_SU_T2_1</v></cell><cell r="AJ6487"><v>103058726</v></cell></row><row r="6488"><cell r="C6488" t="str"><v>43328Facebook»DEV-ITP-AZR-FB|CanvasAds|Interesttargeting»1x1»TextLink»CAN»DT»CPM»AUT»W»NA»SS»NA»39684020-11000</v></cell><cell r="D6488" t="str"><v>43328224009494</v></cell><cell r="E6488" t="str"><v>43328103236186-11000</v></cell><cell r="F6488" t="str"><v>DCM</v></cell><cell r="G6488" t="str"><v>https://signup.azure.com/signup?offer=ms-azr-0044p&appId=102&ref=paidmedia-social-fb&redirectURL=https%3a%2f%2fazure.microsoft.com%2fde-de%2fget-started%2fwelcome-to-azure%2f&l=de-de&correlationId=ead86c34-1f10-49dd-a72b-6918462a2cbf</v></cell></row><row r="6488"><cell r="K6488" t="str"><v>August</v></cell><cell r="L6488"><v>43330</v></cell><cell r="M6488" t="str"><v>Tier 1</v></cell><cell r="N6488" t="str"><v>EMEA</v></cell><cell r="O6488" t="str"><v>Germany</v></cell><cell r="P6488" t="str"><v>Trial</v></cell><cell r="Q6488" t="str"><v>Social</v></cell><cell r="R6488" t="str"><v>Azure</v></cell><cell r="S6488" t="str"><v>Apps & Infra</v></cell><cell r="T6488" t="str"><v>Developers & ITI's</v></cell><cell r="U6488" t="str"><v>DEV-ITP-AZR-FB|CanvasAds|Interesttargeting</v></cell><cell r="V6488" t="str"><v>Audience Targeting</v></cell><cell r="W6488" t="str"><v>Canvas Ad</v></cell><cell r="X6488" t="str"><v>1x1</v></cell></row><row r="6488"><cell r="AA6488"><v>43328</v></cell><cell r="AB6488" t="str"><v>DEU_gaPMG_AZR_AZR_Q1_19_Trial-Social- 39684</v></cell><cell r="AC6488"><v>21359477</v></cell><cell r="AD6488"><v>720194</v></cell><cell r="AE6488" t="str"><v>Facebook</v></cell><cell r="AF6488"><v>3654128</v></cell><cell r="AG6488" t="str"><v>Facebook»DEV-ITP-AZR-FB|CanvasAds|Interesttargeting»1x1»TextLink»CAN»DT»CPM»AUT»W»NA»SS»NA»39684020-11000</v></cell><cell r="AH6488"><v>224009494</v></cell><cell r="AI6488" t="str"><v>AzurePlatform_FBCTCBasicMotion-StartFreeCT_DEU_10s_ISV_PLAT_DE_Trial_Standard_STAN_TN_T1_1</v></cell><cell r="AJ6488"><v>103236186</v></cell></row><row r="6489"><cell r="C6489" t="str"><v>43328Facebook»DEV-ITP-AZR-FB|CanvasAds|Interesttargeting»1x1»TextLink»CAN»DT»CPM»AUT»W»NA»SS»NA»39684020-11000</v></cell><cell r="D6489" t="str"><v>43328224009494</v></cell><cell r="E6489" t="str"><v>43328103237290-11000</v></cell><cell r="F6489" t="str"><v>DCM</v></cell><cell r="G6489" t="str"><v>https://signup.azure.com/signup?offer=ms-azr-0044p&appId=102&ref=paidmedia-social-fb&redirectURL=https%3a%2f%2fazure.microsoft.com%2fde-de%2fget-started%2fwelcome-to-azure%2f&l=de-de&correlationId=ead86c34-1f10-49dd-a72b-6918462a2cbf</v></cell></row><row r="6489"><cell r="K6489" t="str"><v>August</v></cell><cell r="L6489"><v>43330</v></cell><cell r="M6489" t="str"><v>Tier 1</v></cell><cell r="N6489" t="str"><v>EMEA</v></cell><cell r="O6489" t="str"><v>Germany</v></cell><cell r="P6489" t="str"><v>Trial</v></cell><cell r="Q6489" t="str"><v>Social</v></cell><cell r="R6489" t="str"><v>Azure</v></cell><cell r="S6489" t="str"><v>Apps & Infra</v></cell><cell r="T6489" t="str"><v>Developers & ITI's</v></cell><cell r="U6489" t="str"><v>DEV-ITP-AZR-FB|CanvasAds|Interesttargeting</v></cell><cell r="V6489" t="str"><v>Audience Targeting</v></cell><cell r="W6489" t="str"><v>Canvas Ad</v></cell><cell r="X6489" t="str"><v>1x1</v></cell></row><row r="6489"><cell r="AA6489"><v>43328</v></cell><cell r="AB6489" t="str"><v>DEU_gaPMG_AZR_AZR_Q1_19_Trial-Social- 39684</v></cell><cell r="AC6489"><v>21359477</v></cell><cell r="AD6489"><v>720194</v></cell><cell r="AE6489" t="str"><v>Facebook</v></cell><cell r="AF6489"><v>3654128</v></cell><cell r="AG6489" t="str"><v>Facebook»DEV-ITP-AZR-FB|CanvasAds|Interesttargeting»1x1»TextLink»CAN»DT»CPM»AUT»W»NA»SS»NA»39684020-11000</v></cell><cell r="AH6489"><v>224009494</v></cell><cell r="AI6489" t="str"><v>AzurePlatform_FBCTCBenefit2inMotion-StartFreeCT_DEU_14s_ISV_PLAT_DE_Trial_Standard_STAN_TN_T4_1</v></cell><cell r="AJ6489"><v>103237290</v></cell></row><row r="6490"><cell r="C6490" t="str"><v>43328Facebook»DEV-ITP-AZR-FB|CanvasAds|Interesttargeting»1x1»TextLink»CAN»DT»CPM»AUT»W»NA»SS»NA»39684020-11000</v></cell><cell r="D6490" t="str"><v>43328224009494</v></cell><cell r="E6490" t="str"><v>43328103237293-11000</v></cell><cell r="F6490" t="str"><v>DCM</v></cell><cell r="G6490" t="str"><v>https://signup.azure.com/signup?offer=ms-azr-0044p&appId=102&ref=paidmedia-social-fb&redirectURL=https%3a%2f%2fazure.microsoft.com%2fde-de%2fget-started%2fwelcome-to-azure%2f&l=de-de&correlationId=ead86c34-1f10-49dd-a72b-6918462a2cbf</v></cell></row><row r="6490"><cell r="K6490" t="str"><v>August</v></cell><cell r="L6490"><v>43330</v></cell><cell r="M6490" t="str"><v>Tier 1</v></cell><cell r="N6490" t="str"><v>EMEA</v></cell><cell r="O6490" t="str"><v>Germany</v></cell><cell r="P6490" t="str"><v>Trial</v></cell><cell r="Q6490" t="str"><v>Social</v></cell><cell r="R6490" t="str"><v>Azure</v></cell><cell r="S6490" t="str"><v>Apps & Infra</v></cell><cell r="T6490" t="str"><v>Developers & ITI's</v></cell><cell r="U6490" t="str"><v>DEV-ITP-AZR-FB|CanvasAds|Interesttargeting</v></cell><cell r="V6490" t="str"><v>Audience Targeting</v></cell><cell r="W6490" t="str"><v>Canvas Ad</v></cell><cell r="X6490" t="str"><v>1x1</v></cell></row><row r="6490"><cell r="AA6490"><v>43328</v></cell><cell r="AB6490" t="str"><v>DEU_gaPMG_AZR_AZR_Q1_19_Trial-Social- 39684</v></cell><cell r="AC6490"><v>21359477</v></cell><cell r="AD6490"><v>720194</v></cell><cell r="AE6490" t="str"><v>Facebook</v></cell><cell r="AF6490"><v>3654128</v></cell><cell r="AG6490" t="str"><v>Facebook»DEV-ITP-AZR-FB|CanvasAds|Interesttargeting»1x1»TextLink»CAN»DT»CPM»AUT»W»NA»SS»NA»39684020-11000</v></cell><cell r="AH6490"><v>224009494</v></cell><cell r="AI6490" t="str"><v>AzurePlatform_FBCTCBrandinMotion-StartFreeCT_DEU_12s_ISV_PLAT_DE_Trial_Standard_STAN_TN_T2_1</v></cell><cell r="AJ6490"><v>103237293</v></cell></row><row r="6491"><cell r="C6491" t="str"><v>43328Facebook»DEV-ITP-AZR-FB|LinkAd|CustomerAudienceRetargeting»1x1»TextLink»LIA»DT»CPM»RT»W»NA»SS»NA»39684019-11000</v></cell><cell r="D6491" t="str"><v>43328224010415</v></cell><cell r="E6491" t="str"><v>43328103043338-11000</v></cell><cell r="F6491" t="str"><v>DCM</v></cell><cell r="G6491" t="str"><v>https://azure.microsoft.com/de-de/free/virtual-machines/search/</v></cell></row><row r="6491"><cell r="K6491" t="str"><v>August</v></cell><cell r="L6491"><v>43330</v></cell><cell r="M6491" t="str"><v>Tier 1</v></cell><cell r="N6491" t="str"><v>EMEA</v></cell><cell r="O6491" t="str"><v>Germany</v></cell><cell r="P6491" t="str"><v>Trial</v></cell><cell r="Q6491" t="str"><v>Social</v></cell><cell r="R6491" t="str"><v>Azure</v></cell><cell r="S6491" t="str"><v>Apps & Infra</v></cell><cell r="T6491" t="str"><v>Developers & ITI's</v></cell><cell r="U6491" t="str"><v>DEV-ITP-AZR-FB|LinkAd|CustomerAudienceRetargeting</v></cell><cell r="V6491" t="str"><v>Retargeting</v></cell><cell r="W6491" t="str"><v>Link Ad</v></cell><cell r="X6491" t="str"><v>1x1</v></cell></row><row r="6491"><cell r="AA6491"><v>43328</v></cell><cell r="AB6491" t="str"><v>DEU_gaPMG_AZR_AZR_Q1_19_Trial-Social- 39684</v></cell><cell r="AC6491"><v>21359477</v></cell><cell r="AD6491"><v>720194</v></cell><cell r="AE6491" t="str"><v>Facebook</v></cell><cell r="AF6491"><v>3654128</v></cell><cell r="AG6491" t="str"><v>Facebook»DEV-ITP-AZR-FB|LinkAd|CustomerAudienceRetargeting»1x1»TextLink»LIA»DT»CPM»RT»W»NA»SS»NA»39684019-11000</v></cell><cell r="AH6491"><v>224010415</v></cell><cell r="AI6491" t="str"><v>AzurePlatform_FreeAcctRetargetingVMFB-OnDemand-ChE_DEU_1200x628_SOC_Plat_DE_Free Account_Standard_NA_SNU_T2_1</v></cell><cell r="AJ6491"><v>103043338</v></cell></row><row r="6492"><cell r="C6492" t="str"><v>43328Facebook»Developers-Azure Direct-Sponsored Post_Trial_PayGo-Video Ad-Free Account Developer - Generic»1x1»30s»SOC»ALL»CPC»LAL»D»UNK»SS»NA»Trials</v></cell><cell r="D6492" t="str"><v>43328226359953</v></cell><cell r="E6492" t="str"><v>43328104537129Trials</v></cell><cell r="F6492" t="str"><v>DCM</v></cell><cell r="G6492" t="str"><v>https://signup.azure.com/signup?offer=ms-azr-0044p&appId=102&ref=paidmedia-social-fb&redirectURL=https%3a%2f%2fazure.microsoft.com%2ffr-fr%2fget-started%2fwelcome-to-azure%2f&l=fr-fr&correlationId=ead86c34-1f10-49dd-a72b-6918462a2cbf</v></cell></row><row r="6492"><cell r="K6492" t="str"><v>August</v></cell><cell r="L6492"><v>43330</v></cell><cell r="M6492" t="str"><v>Tier 1</v></cell><cell r="N6492" t="str"><v>EMEA</v></cell><cell r="O6492" t="str"><v>France</v></cell><cell r="P6492" t="str"><v>Trial</v></cell><cell r="Q6492" t="str"><v>Social</v></cell><cell r="R6492" t="str"><v>Azure</v></cell><cell r="S6492" t="str"><v>Apps & Infra</v></cell><cell r="T6492" t="str"><v>Developers & ITI's</v></cell><cell r="U6492" t="str"><v>Developers-Azure Direct-Sponsored Post_Trial_PayGo-Video Ad-Free Account Developer - Generic</v></cell><cell r="V6492" t="str"><v>Lookalike Targeting</v></cell><cell r="W6492" t="str"><v>Social</v></cell><cell r="X6492" t="str"><v>1x1</v></cell></row><row r="6492"><cell r="AA6492"><v>43328</v></cell><cell r="AB6492" t="str"><v>FRA_gaPMG_AZR_AZR_Q1_19_AzureDirect-Trial-Social</v></cell><cell r="AC6492"><v>21356941</v></cell><cell r="AD6492"><v>720193</v></cell><cell r="AE6492" t="str"><v>Facebook</v></cell><cell r="AF6492"><v>3654128</v></cell><cell r="AG6492" t="str"><v>Facebook»Developers-Azure Direct-Sponsored Post_Trial_PayGo-Video Ad-Free Account Developer - Generic»1x1»30s»SOC»ALL»CPC»LAL»D»UNK»SS»NA»Trials</v></cell><cell r="AH6492"><v>226359953</v></cell><cell r="AI6492" t="str"><v>AZR_FreeAcctDeveloperFB-AnimatedGeneric-Ch1_FRA_1200x1200_VIA_AZRDirect_French_NA_Facebook_STAN_LEA_T1_1</v></cell><cell r="AJ6492"><v>104537129</v></cell></row><row r="6493"><cell r="C6493" t="str"><v>43328Facebook»Developers/ITPros-Azure Direct-Sponsored Post-Canvas-FBCTCcanvaspage-BuyNowCTA-Img3_FBCTCBrandinMotion_FRA_14sec»1x1»Canvas»SOC»ALL»CPC»BT»D»UNK»SS»NA»Trials</v></cell><cell r="D6493" t="str"><v>43328224416918</v></cell><cell r="E6493" t="str"><v>43328103256571Trials</v></cell><cell r="F6493" t="str"><v>DCM</v></cell><cell r="G6493" t="str"><v>https://azure.microsoft.com/fr-fr/pricing/purchase-options/</v></cell></row><row r="6493"><cell r="K6493" t="str"><v>August</v></cell><cell r="L6493"><v>43330</v></cell><cell r="M6493" t="str"><v>Tier 1</v></cell><cell r="N6493" t="str"><v>EMEA</v></cell><cell r="O6493" t="str"><v>France</v></cell><cell r="P6493" t="str"><v>Trial</v></cell><cell r="Q6493" t="str"><v>Social</v></cell><cell r="R6493" t="str"><v>Azure</v></cell><cell r="S6493" t="str"><v>Apps & Infra</v></cell><cell r="T6493" t="str"><v>Developers & ITI's</v></cell><cell r="U6493" t="str"><v>Developers/ITPros-Azure Direct-Sponsored Post-Canvas-FBCTCcanvaspage-BuyNowCTA-Img3_FBCTCBrandinMotion_FRA_14sec</v></cell><cell r="V6493" t="str"><v>Behavioral Targeting</v></cell><cell r="W6493" t="str"><v>Social</v></cell><cell r="X6493" t="str"><v>1x1</v></cell></row><row r="6493"><cell r="AA6493"><v>43328</v></cell><cell r="AB6493" t="str"><v>FRA_gaPMG_AZR_AZR_Q1_19_AzureDirect-Trial-Social</v></cell><cell r="AC6493"><v>21356941</v></cell><cell r="AD6493"><v>720193</v></cell><cell r="AE6493" t="str"><v>Facebook</v></cell><cell r="AF6493"><v>3654128</v></cell><cell r="AG6493" t="str"><v>Facebook»Developers/ITPros-Azure Direct-Sponsored Post-Canvas-FBCTCcanvaspage-BuyNowCTA-Img3_FBCTCBrandinMotion_FRA_14sec»1x1»Canvas»SOC»ALL»CPC»BT»D»UNK»SS»NA»Trials</v></cell><cell r="AH6493"><v>224416918</v></cell><cell r="AI6493" t="str"><v>AZR_FBCTCcanvaspage-BuyNowCTA-Img3_FRA_1080x162_SOC_AZRDirect_French_NA_Facebook_SBAN_BN_T3_1</v></cell><cell r="AJ6493"><v>103256571</v></cell></row><row r="6494"><cell r="C6494" t="str"><v>43328Facebook»Developers/ITPros-Azure Direct-Sponsored Post-Canvas-FBCTCcanvaspage-StartFreeCTA-Img2_FBCTCBasicMotion_FRA_10sec»1x1»Canvas»SOC»ALL»CPC»BT»D»UNK»SS»NA»Trials</v></cell><cell r="D6494" t="str"><v>43328224560884</v></cell><cell r="E6494" t="str"><v>43328103259958Trials</v></cell><cell r="F6494" t="str"><v>DCM</v></cell><cell r="G6494" t="str"><v>https://signup.azure.com/signup?offer=ms-azr-0044p&appId=102&ref=paidmedia-social-fb&redirectURL=https%3a%2f%2fazure.microsoft.com%2ffr-fr%2fget-started%2fwelcome-to-azure%2f&l=fr-fr&correlationId=ead86c34-1f10-49dd-a72b-6918462a2cbf</v></cell></row><row r="6494"><cell r="K6494" t="str"><v>August</v></cell><cell r="L6494"><v>43330</v></cell><cell r="M6494" t="str"><v>Tier 1</v></cell><cell r="N6494" t="str"><v>EMEA</v></cell><cell r="O6494" t="str"><v>France</v></cell><cell r="P6494" t="str"><v>Trial</v></cell><cell r="Q6494" t="str"><v>Social</v></cell><cell r="R6494" t="str"><v>Azure</v></cell><cell r="S6494" t="str"><v>Apps & Infra</v></cell><cell r="T6494" t="str"><v>Developers & ITI's</v></cell><cell r="U6494" t="str"><v>Developers/ITPros-Azure Direct-Sponsored Post-Canvas-FBCTCcanvaspage-StartFreeCTA-Img2_FBCTCBasicMotion_FRA_10sec</v></cell><cell r="V6494" t="str"><v>Behavioral Targeting</v></cell><cell r="W6494" t="str"><v>Social</v></cell><cell r="X6494" t="str"><v>1x1</v></cell></row><row r="6494"><cell r="AA6494"><v>43328</v></cell><cell r="AB6494" t="str"><v>FRA_gaPMG_AZR_AZR_Q1_19_AzureDirect-Trial-Social</v></cell><cell r="AC6494"><v>21356941</v></cell><cell r="AD6494"><v>720193</v></cell><cell r="AE6494" t="str"><v>Facebook</v></cell><cell r="AF6494"><v>3654128</v></cell><cell r="AG6494" t="str"><v>Facebook»Developers/ITPros-Azure Direct-Sponsored Post-Canvas-FBCTCcanvaspage-StartFreeCTA-Img2_FBCTCBasicMotion_FRA_10sec»1x1»Canvas»SOC»ALL»CPC»BT»D»UNK»SS»NA»Trials</v></cell><cell r="AH6494"><v>224560884</v></cell><cell r="AI6494" t="str"><v>AZR_FBCTCcanvaspage-StartFreeCTA-Img2_FRA_1080x143_SOC_AZRDirect_French_NA_Facebook_SBAN_BN_T2_1</v></cell><cell r="AJ6494"><v>103259958</v></cell></row><row r="6495"><cell r="C6495" t="str"><v>43328Facebook»Developers/ITPros-Azure Direct-Sponsored Post-Canvas-FBCTCcanvaspage-StartFreeCTA-Img2_FBCTCBrandinMotion_FRA_14sec»1x1»Canvas»SOC»ALL»CPC»BT»D»UNK»SS»NA»Trials</v></cell><cell r="D6495" t="str"><v>43328224560872</v></cell><cell r="E6495" t="str"><v>43328103259958Trials</v></cell><cell r="F6495" t="str"><v>DCM</v></cell><cell r="G6495" t="str"><v>https://signup.azure.com/signup?offer=ms-azr-0044p&appId=102&ref=paidmedia-social-fb&redirectURL=https%3a%2f%2fazure.microsoft.com%2ffr-fr%2fget-started%2fwelcome-to-azure%2f&l=fr-fr&correlationId=ead86c34-1f10-49dd-a72b-6918462a2cbf</v></cell></row><row r="6495"><cell r="K6495" t="str"><v>August</v></cell><cell r="L6495"><v>43330</v></cell><cell r="M6495" t="str"><v>Tier 1</v></cell><cell r="N6495" t="str"><v>EMEA</v></cell><cell r="O6495" t="str"><v>France</v></cell><cell r="P6495" t="str"><v>Trial</v></cell><cell r="Q6495" t="str"><v>Social</v></cell><cell r="R6495" t="str"><v>Azure</v></cell><cell r="S6495" t="str"><v>Apps & Infra</v></cell><cell r="T6495" t="str"><v>Developers & ITI's</v></cell><cell r="U6495" t="str"><v>Developers/ITPros-Azure Direct-Sponsored Post-Canvas-FBCTCcanvaspage-StartFreeCTA-Img2_FBCTCBrandinMotion_FRA_14sec</v></cell><cell r="V6495" t="str"><v>Behavioral Targeting</v></cell><cell r="W6495" t="str"><v>Social</v></cell><cell r="X6495" t="str"><v>1x1</v></cell></row><row r="6495"><cell r="AA6495"><v>43328</v></cell><cell r="AB6495" t="str"><v>FRA_gaPMG_AZR_AZR_Q1_19_AzureDirect-Trial-Social</v></cell><cell r="AC6495"><v>21356941</v></cell><cell r="AD6495"><v>720193</v></cell><cell r="AE6495" t="str"><v>Facebook</v></cell><cell r="AF6495"><v>3654128</v></cell><cell r="AG6495" t="str"><v>Facebook»Developers/ITPros-Azure Direct-Sponsored Post-Canvas-FBCTCcanvaspage-StartFreeCTA-Img2_FBCTCBrandinMotion_FRA_14sec»1x1»Canvas»SOC»ALL»CPC»BT»D»UNK»SS»NA»Trials</v></cell><cell r="AH6495"><v>224560872</v></cell><cell r="AI6495" t="str"><v>AZR_FBCTCcanvaspage-StartFreeCTA-Img2_FRA_1080x143_SOC_AZRDirect_French_NA_Facebook_SBAN_BN_T2_1</v></cell><cell r="AJ6495"><v>103259958</v></cell></row><row r="6496"><cell r="C6496" t="str"><v>43328Facebook»Developers/ITPros-Azure Direct-Sponsored Post-Link Ad-FreeAcctRetargetingFB-GlobalAlt-ChB»1x1»SocialBan»SOC»ALL»CPC»BT»D»UNK»SS»NA»Trials</v></cell><cell r="D6496" t="str"><v>43328224560845</v></cell><cell r="E6496" t="str"><v>43328103259520Trials</v></cell><cell r="F6496" t="str"><v>DCM</v></cell><cell r="G6496" t="str"><v>https://azure.microsoft.com/fr-fr/free/search/</v></cell></row><row r="6496"><cell r="K6496" t="str"><v>August</v></cell><cell r="L6496"><v>43330</v></cell><cell r="M6496" t="str"><v>Tier 1</v></cell><cell r="N6496" t="str"><v>EMEA</v></cell><cell r="O6496" t="str"><v>France</v></cell><cell r="P6496" t="str"><v>Trial</v></cell><cell r="Q6496" t="str"><v>Social</v></cell><cell r="R6496" t="str"><v>Azure</v></cell><cell r="S6496" t="str"><v>Apps & Infra</v></cell><cell r="T6496" t="str"><v>Developers & ITI's</v></cell><cell r="U6496" t="str"><v>Developers/ITPros-Azure Direct-Sponsored Post-Link Ad-FreeAcctRetargetingFB-GlobalAlt-ChB</v></cell><cell r="V6496" t="str"><v>Behavioral Targeting</v></cell><cell r="W6496" t="str"><v>Social</v></cell><cell r="X6496" t="str"><v>1x1</v></cell></row><row r="6496"><cell r="AA6496"><v>43328</v></cell><cell r="AB6496" t="str"><v>FRA_gaPMG_AZR_AZR_Q1_19_AzureDirect-Trial-Social</v></cell><cell r="AC6496"><v>21356941</v></cell><cell r="AD6496"><v>720193</v></cell><cell r="AE6496" t="str"><v>Facebook</v></cell><cell r="AF6496"><v>3654128</v></cell><cell r="AG6496" t="str"><v>Facebook»Developers/ITPros-Azure Direct-Sponsored Post-Link Ad-FreeAcctRetargetingFB-GlobalAlt-ChB»1x1»SocialBan»SOC»ALL»CPC»BT»D»UNK»SS»NA»Trials</v></cell><cell r="AH6496"><v>224560845</v></cell><cell r="AI6496" t="str"><v>AZR_FreeAcctRetargetingFB-GlobalAlt-ChB_FRA_1200x628_SOC_AZRDirect_French_NA_Facebook_SBAN_SINU_T2_1</v></cell><cell r="AJ6496"><v>103259520</v></cell></row><row r="6497"><cell r="C6497" t="str"><v>43328Facebook»Developers/ITPros-Azure Direct-Sponsored Post-Video Ad-FBCTCBasicMotion_FRA_10s_RTG Landing Page»1x1»05s»SOC»ALL»CPC»BT»D»UNK»SS»NA»Trials</v></cell><cell r="D6497" t="str"><v>43328224416915</v></cell><cell r="E6497" t="str"><v>43328103376981Trials</v></cell><cell r="F6497" t="str"><v>DCM</v></cell></row><row r="6497"><cell r="K6497" t="str"><v>August</v></cell><cell r="L6497"><v>43330</v></cell><cell r="M6497" t="str"><v>Tier 1</v></cell><cell r="N6497" t="str"><v>EMEA</v></cell><cell r="O6497" t="str"><v>France</v></cell><cell r="P6497" t="str"><v>Trial</v></cell><cell r="Q6497" t="str"><v>Social</v></cell><cell r="R6497" t="str"><v>Azure</v></cell><cell r="S6497" t="str"><v>Apps & Infra</v></cell><cell r="T6497" t="str"><v>Developers & ITI's</v></cell><cell r="U6497" t="str"><v>Developers/ITPros-Azure Direct-Sponsored Post-Video Ad-FBCTCBasicMotion_FRA_10s_RTG Landing Page</v></cell><cell r="V6497" t="str"><v>Behavioral Targeting</v></cell><cell r="W6497" t="str"><v>Social</v></cell><cell r="X6497" t="str"><v>1x1</v></cell></row><row r="6497"><cell r="AA6497"><v>43328</v></cell><cell r="AB6497" t="str"><v>FRA_gaPMG_AZR_AZR_Q1_19_AzureDirect-Trial-Social</v></cell><cell r="AC6497"><v>21356941</v></cell><cell r="AD6497"><v>720193</v></cell><cell r="AE6497" t="str"><v>Facebook</v></cell><cell r="AF6497"><v>3654128</v></cell><cell r="AG6497" t="str"><v>Facebook»Developers/ITPros-Azure Direct-Sponsored Post-Video Ad-FBCTCBasicMotion_FRA_10s_RTG Landing Page»1x1»05s»SOC»ALL»CPC»BT»D»UNK»SS»NA»Trials</v></cell><cell r="AH6497"><v>224416915</v></cell><cell r="AI6497" t="str"><v>AZR_FBCTCBasicMotion_FRA_10s_VIA_AZRDirect_French_NA_Facebook_STAN_TIN_T1_1</v></cell><cell r="AJ6497"><v>103376981</v></cell></row><row r="6498"><cell r="C6498" t="str"><v>43328Facebook»Developers/ITPros-Azure Direct-Sponsored Post-Video Ad-FBCTCBenefit2inMotion_FRA_14s_RTG Landing Page»1x1»06s»SOC»ALL»CPC»BT»D»UNK»SS»NA»Trials</v></cell><cell r="D6498" t="str"><v>43328224560875</v></cell><cell r="E6498" t="str"><v>43328103259766Trials</v></cell><cell r="F6498" t="str"><v>DCM</v></cell><cell r="G6498" t="str"><v>https://signup.azure.com/signup?offer=ms-azr-0044p&appId=102&ref=paidmedia-social-fb&redirectURL=https:%2F%2Fazure.microsoft.com%2Ffr-fr%2Fget-started%2Fwelcome-to-azure%2F&l=fr-fr&correlationId=ead86c34-1f10-49dd-a72b-6918462a2cbf</v></cell></row><row r="6498"><cell r="K6498" t="str"><v>August</v></cell><cell r="L6498"><v>43330</v></cell><cell r="M6498" t="str"><v>Tier 1</v></cell><cell r="N6498" t="str"><v>EMEA</v></cell><cell r="O6498" t="str"><v>France</v></cell><cell r="P6498" t="str"><v>Trial</v></cell><cell r="Q6498" t="str"><v>Social</v></cell><cell r="R6498" t="str"><v>Azure</v></cell><cell r="S6498" t="str"><v>Apps & Infra</v></cell><cell r="T6498" t="str"><v>Developers & ITI's</v></cell><cell r="U6498" t="str"><v>Developers/ITPros-Azure Direct-Sponsored Post-Video Ad-FBCTCBenefit2inMotion_FRA_14s_RTG Landing Page</v></cell><cell r="V6498" t="str"><v>Behavioral Targeting</v></cell><cell r="W6498" t="str"><v>Social</v></cell><cell r="X6498" t="str"><v>1x1</v></cell></row><row r="6498"><cell r="AA6498"><v>43328</v></cell><cell r="AB6498" t="str"><v>FRA_gaPMG_AZR_AZR_Q1_19_AzureDirect-Trial-Social</v></cell><cell r="AC6498"><v>21356941</v></cell><cell r="AD6498"><v>720193</v></cell><cell r="AE6498" t="str"><v>Facebook</v></cell><cell r="AF6498"><v>3654128</v></cell><cell r="AG6498" t="str"><v>Facebook»Developers/ITPros-Azure Direct-Sponsored Post-Video Ad-FBCTCBenefit2inMotion_FRA_14s_RTG Landing Page»1x1»06s»SOC»ALL»CPC»BT»D»UNK»SS»NA»Trials</v></cell><cell r="AH6498"><v>224560875</v></cell><cell r="AI6498" t="str"><v>AZR_FBCTCBenefit2inMotion_FRA_14s_VIA_AZRDirect_French_NA_Facebook_STAN_TIN_T4_1</v></cell><cell r="AJ6498"><v>103259766</v></cell></row><row r="6499"><cell r="C6499" t="str"><v>43328Facebook»Developers/ITPros-Azure Direct-Sponsored Post-Video Ad-FBCTCBrandinMotion_FRA_12s_RTG Landing Page»1x1»05s»SOC»ALL»CPC»BT»D»UNK»SS»NA»Trials</v></cell><cell r="D6499" t="str"><v>43328224560863</v></cell><cell r="E6499" t="str"><v>43328103256577Trials</v></cell><cell r="F6499" t="str"><v>DCM</v></cell></row><row r="6499"><cell r="K6499" t="str"><v>August</v></cell><cell r="L6499"><v>43330</v></cell><cell r="M6499" t="str"><v>Tier 1</v></cell><cell r="N6499" t="str"><v>EMEA</v></cell><cell r="O6499" t="str"><v>France</v></cell><cell r="P6499" t="str"><v>Trial</v></cell><cell r="Q6499" t="str"><v>Social</v></cell><cell r="R6499" t="str"><v>Azure</v></cell><cell r="S6499" t="str"><v>Apps & Infra</v></cell><cell r="T6499" t="str"><v>Developers & ITI's</v></cell><cell r="U6499" t="str"><v>Developers/ITPros-Azure Direct-Sponsored Post-Video Ad-FBCTCBrandinMotion_FRA_12s_RTG Landing Page</v></cell><cell r="V6499" t="str"><v>Behavioral Targeting</v></cell><cell r="W6499" t="str"><v>Social</v></cell><cell r="X6499" t="str"><v>1x1</v></cell></row><row r="6499"><cell r="AA6499"><v>43328</v></cell><cell r="AB6499" t="str"><v>FRA_gaPMG_AZR_AZR_Q1_19_AzureDirect-Trial-Social</v></cell><cell r="AC6499"><v>21356941</v></cell><cell r="AD6499"><v>720193</v></cell><cell r="AE6499" t="str"><v>Facebook</v></cell><cell r="AF6499"><v>3654128</v></cell><cell r="AG6499" t="str"><v>Facebook»Developers/ITPros-Azure Direct-Sponsored Post-Video Ad-FBCTCBrandinMotion_FRA_12s_RTG Landing Page»1x1»05s»SOC»ALL»CPC»BT»D»UNK»SS»NA»Trials</v></cell><cell r="AH6499"><v>224560863</v></cell><cell r="AI6499" t="str"><v>AZR_FBCTCBrandinMotion_FRA_12s_VIA_AZRDirect_French_NA_Facebook_STAN_TIN_T2_1</v></cell><cell r="AJ6499"><v>103256577</v></cell></row><row r="6500"><cell r="C6500" t="str"><v>43328Facebook»ITPros-Azure Direct-Sponsored Post-Video Ad-Free Account IT Pro - Migration»1x1»30s»SOC»ALL»CPC»AUT»D»UNK»SS»NA»Trials</v></cell><cell r="D6500" t="str"><v>43328226360010</v></cell><cell r="E6500" t="str"><v>43328104458003Trials</v></cell><cell r="F6500" t="str"><v>DCM</v></cell><cell r="G6500" t="str"><v>https://signup.azure.com/signup?offer=ms-azr-0044p&appId=102&ref=paidmedia-social-fb&redirectURL=https%3a%2f%2fazure.microsoft.com%2ffr-fr%2fget-started%2fwelcome-to-azure%2f&l=fr-fr&correlationId=ead86c34-1f10-49dd-a72b-6918462a2cbf</v></cell></row><row r="6500"><cell r="K6500" t="str"><v>August</v></cell><cell r="L6500"><v>43330</v></cell><cell r="M6500" t="str"><v>Tier 1</v></cell><cell r="N6500" t="str"><v>EMEA</v></cell><cell r="O6500" t="str"><v>France</v></cell><cell r="P6500" t="str"><v>Trial</v></cell><cell r="Q6500" t="str"><v>Social</v></cell><cell r="R6500" t="str"><v>Azure</v></cell><cell r="S6500" t="str"><v>Apps & Infra</v></cell><cell r="T6500" t="str"><v>Developers & ITI's</v></cell><cell r="U6500" t="str"><v>ITPros-Azure Direct-Sponsored Post-Video Ad-Free Account IT Pro - Migration</v></cell><cell r="V6500" t="str"><v>Audience Targeting</v></cell><cell r="W6500" t="str"><v>Social</v></cell><cell r="X6500" t="str"><v>1x1</v></cell></row><row r="6500"><cell r="AA6500"><v>43328</v></cell><cell r="AB6500" t="str"><v>FRA_gaPMG_AZR_AZR_Q1_19_AzureDirect-Trial-Social</v></cell><cell r="AC6500"><v>21356941</v></cell><cell r="AD6500"><v>720193</v></cell><cell r="AE6500" t="str"><v>Facebook</v></cell><cell r="AF6500"><v>3654128</v></cell><cell r="AG6500" t="str"><v>Facebook»ITPros-Azure Direct-Sponsored Post-Video Ad-Free Account IT Pro - Migration»1x1»30s»SOC»ALL»CPC»AUT»D»UNK»SS»NA»Trials</v></cell><cell r="AH6500"><v>226360010</v></cell><cell r="AI6500" t="str"><v>AZR_FreeAcctITProFB-AnimatedMigration-Ch3_FRA_1200x1200_VIA_AZRDirect_French_NA_Facebook_STAN_LEA_T3_1</v></cell><cell r="AJ6500"><v>104458003</v></cell></row><row r="6501"><cell r="C6501" t="str"><v>43328Facebook»ITPros-Azure Direct-Sponsored Post_Trial_PayGo-Video Ad-Free Account IT Pro - Hybrid»1x1»30s»SOC»ALL»CPC»LAL»D»UNK»SS»NA»Trials</v></cell><cell r="D6501" t="str"><v>43328226359938</v></cell><cell r="E6501" t="str"><v>43328104456278Trials</v></cell><cell r="F6501" t="str"><v>DCM</v></cell><cell r="G6501" t="str"><v>https://signup.azure.com/signup?offer=ms-azr-0044p&appId=102&ref=paidmedia-social-fb&redirectURL=https%3a%2f%2fazure.microsoft.com%2ffr-fr%2fget-started%2fwelcome-to-azure%2f&l=fr-fr&correlationId=ead86c34-1f10-49dd-a72b-6918462a2cbf</v></cell></row><row r="6501"><cell r="K6501" t="str"><v>August</v></cell><cell r="L6501"><v>43330</v></cell><cell r="M6501" t="str"><v>Tier 1</v></cell><cell r="N6501" t="str"><v>EMEA</v></cell><cell r="O6501" t="str"><v>France</v></cell><cell r="P6501" t="str"><v>Trial</v></cell><cell r="Q6501" t="str"><v>Social</v></cell><cell r="R6501" t="str"><v>Azure</v></cell><cell r="S6501" t="str"><v>Apps & Infra</v></cell><cell r="T6501" t="str"><v>Developers & ITI's</v></cell><cell r="U6501" t="str"><v>ITPros-Azure Direct-Sponsored Post_Trial_PayGo-Video Ad-Free Account IT Pro - Hybrid</v></cell><cell r="V6501" t="str"><v>Lookalike Targeting</v></cell><cell r="W6501" t="str"><v>Social</v></cell><cell r="X6501" t="str"><v>1x1</v></cell></row><row r="6501"><cell r="AA6501"><v>43328</v></cell><cell r="AB6501" t="str"><v>FRA_gaPMG_AZR_AZR_Q1_19_AzureDirect-Trial-Social</v></cell><cell r="AC6501"><v>21356941</v></cell><cell r="AD6501"><v>720193</v></cell><cell r="AE6501" t="str"><v>Facebook</v></cell><cell r="AF6501"><v>3654128</v></cell><cell r="AG6501" t="str"><v>Facebook»ITPros-Azure Direct-Sponsored Post_Trial_PayGo-Video Ad-Free Account IT Pro - Hybrid»1x1»30s»SOC»ALL»CPC»LAL»D»UNK»SS»NA»Trials</v></cell><cell r="AH6501"><v>226359938</v></cell><cell r="AI6501" t="str"><v>AZR_FreeAcctITProFB-AnimatedHybrid-Ch2_FRA_1200x1200_VIA_AZRDirect_French_NA_Facebook_STAN_LEA_T2_1</v></cell><cell r="AJ6501"><v>104456278</v></cell></row><row r="6502"><cell r="C6502" t="str"><v>43328Facebook»Developers-Azure Direct-Sponsored Post-Video Ad-Free Account Developer - AI»1x1»30s»SOC»ALL»CPC»BT»D»UNK»SS»NA»Trials</v></cell><cell r="D6502" t="str"><v>43328226360034</v></cell><cell r="E6502" t="str"><v>43328104537813Trials</v></cell><cell r="F6502" t="str"><v>DCM</v></cell><cell r="G6502" t="str"><v>https://signup.azure.com/signup?offer=ms-azr-0044p&appId=102&ref=paidmedia-social-fb&redirectURL=https%3a%2f%2fazure.microsoft.com%2ffr-fr%2fget-started%2fwelcome-to-azure%2f&l=fr-fr&correlationId=ead86c34-1f10-49dd-a72b-6918462a2cbf</v></cell></row><row r="6502"><cell r="K6502" t="str"><v>August</v></cell><cell r="L6502"><v>43330</v></cell><cell r="M6502" t="str"><v>Tier 1</v></cell><cell r="N6502" t="str"><v>EMEA</v></cell><cell r="O6502" t="str"><v>France</v></cell><cell r="P6502" t="str"><v>Trial</v></cell><cell r="Q6502" t="str"><v>Social</v></cell><cell r="R6502" t="str"><v>Azure</v></cell><cell r="S6502" t="str"><v>Apps & Infra</v></cell><cell r="T6502" t="str"><v>Developers & ITI's</v></cell><cell r="U6502" t="str"><v>Developers-Azure Direct-Sponsored Post-Video Ad-Free Account Developer - AI</v></cell><cell r="V6502" t="str"><v>Behavioral Targeting</v></cell><cell r="W6502" t="str"><v>Social</v></cell><cell r="X6502" t="str"><v>1x1</v></cell></row><row r="6502"><cell r="AA6502"><v>43328</v></cell><cell r="AB6502" t="str"><v>FRA_gaPMG_AZR_AZR_Q1_19_AzureDirect-Trial-Social</v></cell><cell r="AC6502"><v>21356941</v></cell><cell r="AD6502"><v>720193</v></cell><cell r="AE6502" t="str"><v>Facebook</v></cell><cell r="AF6502"><v>3654128</v></cell><cell r="AG6502" t="str"><v>Facebook»Developers-Azure Direct-Sponsored Post-Video Ad-Free Account Developer - AI»1x1»30s»SOC»ALL»CPC»BT»D»UNK»SS»NA»Trials</v></cell><cell r="AH6502"><v>226360034</v></cell><cell r="AI6502" t="str"><v>AZR_FreeAcctDeveloperFB-AnimatedAI-Ch3_FRA_1200x1200_VIA_AZRDirect_French_NA_Facebook_STAN_LEA_T3_1</v></cell><cell r="AJ6502"><v>104537813</v></cell></row><row r="6503"><cell r="C6503" t="str"><v>43328Facebook»Developers-Azure Direct-Sponsored Post-Video Ad-Free Account Developer - Generic»1x1»30s»SOC»ALL»CPC»BT»D»UNK»SS»NA»Trials</v></cell><cell r="D6503" t="str"><v>43328226420298</v></cell><cell r="E6503" t="str"><v>43328104537129Trials</v></cell><cell r="F6503" t="str"><v>DCM</v></cell><cell r="G6503" t="str"><v>https://signup.azure.com/signup?offer=ms-azr-0044p&appId=102&ref=paidmedia-social-fb&redirectURL=https%3a%2f%2fazure.microsoft.com%2ffr-fr%2fget-started%2fwelcome-to-azure%2f&l=fr-fr&correlationId=ead86c34-1f10-49dd-a72b-6918462a2cbf</v></cell></row><row r="6503"><cell r="K6503" t="str"><v>August</v></cell><cell r="L6503"><v>43330</v></cell><cell r="M6503" t="str"><v>Tier 1</v></cell><cell r="N6503" t="str"><v>EMEA</v></cell><cell r="O6503" t="str"><v>France</v></cell><cell r="P6503" t="str"><v>Trial</v></cell><cell r="Q6503" t="str"><v>Social</v></cell><cell r="R6503" t="str"><v>Azure</v></cell><cell r="S6503" t="str"><v>Apps & Infra</v></cell><cell r="T6503" t="str"><v>Developers & ITI's</v></cell><cell r="U6503" t="str"><v>Developers-Azure Direct-Sponsored Post-Video Ad-Free Account Developer - Generic</v></cell><cell r="V6503" t="str"><v>Behavioral Targeting</v></cell><cell r="W6503" t="str"><v>Social</v></cell><cell r="X6503" t="str"><v>1x1</v></cell></row><row r="6503"><cell r="AA6503"><v>43328</v></cell><cell r="AB6503" t="str"><v>FRA_gaPMG_AZR_AZR_Q1_19_AzureDirect-Trial-Social</v></cell><cell r="AC6503"><v>21356941</v></cell><cell r="AD6503"><v>720193</v></cell><cell r="AE6503" t="str"><v>Facebook</v></cell><cell r="AF6503"><v>3654128</v></cell><cell r="AG6503" t="str"><v>Facebook»Developers-Azure Direct-Sponsored Post-Video Ad-Free Account Developer - Generic»1x1»30s»SOC»ALL»CPC»BT»D»UNK»SS»NA»Trials</v></cell><cell r="AH6503"><v>226420298</v></cell><cell r="AI6503" t="str"><v>AZR_FreeAcctDeveloperFB-AnimatedGeneric-Ch1_FRA_1200x1200_VIA_AZRDirect_French_NA_Facebook_STAN_LEA_T1_1</v></cell><cell r="AJ6503"><v>104537129</v></cell></row><row r="6504"><cell r="C6504" t="str"><v>43328Facebook»Developers-Azure Direct-Sponsored Post-Video Ad-Free Account Developer - Intelligent Data»1x1»30s»SOC»ALL»CPC»BT»D»UNK»SS»NA»Trials</v></cell><cell r="D6504" t="str"><v>43328226360028</v></cell><cell r="E6504" t="str"><v>43328104537816Trials</v></cell><cell r="F6504" t="str"><v>DCM</v></cell><cell r="G6504" t="str"><v>https://signup.azure.com/signup?offer=ms-azr-0044p&appId=102&ref=paidmedia-social-fb&redirectURL=https%3a%2f%2fazure.microsoft.com%2ffr-fr%2fget-started%2fwelcome-to-azure%2f&l=fr-fr&correlationId=ead86c34-1f10-49dd-a72b-6918462a2cbf</v></cell></row><row r="6504"><cell r="K6504" t="str"><v>August</v></cell><cell r="L6504"><v>43330</v></cell><cell r="M6504" t="str"><v>Tier 1</v></cell><cell r="N6504" t="str"><v>EMEA</v></cell><cell r="O6504" t="str"><v>France</v></cell><cell r="P6504" t="str"><v>Trial</v></cell><cell r="Q6504" t="str"><v>Social</v></cell><cell r="R6504" t="str"><v>Azure</v></cell><cell r="S6504" t="str"><v>Apps & Infra</v></cell><cell r="T6504" t="str"><v>Developers & ITI's</v></cell><cell r="U6504" t="str"><v>Developers-Azure Direct-Sponsored Post-Video Ad-Free Account Developer - Intelligent Data</v></cell><cell r="V6504" t="str"><v>Behavioral Targeting</v></cell><cell r="W6504" t="str"><v>Social</v></cell><cell r="X6504" t="str"><v>1x1</v></cell></row><row r="6504"><cell r="AA6504"><v>43328</v></cell><cell r="AB6504" t="str"><v>FRA_gaPMG_AZR_AZR_Q1_19_AzureDirect-Trial-Social</v></cell><cell r="AC6504"><v>21356941</v></cell><cell r="AD6504"><v>720193</v></cell><cell r="AE6504" t="str"><v>Facebook</v></cell><cell r="AF6504"><v>3654128</v></cell><cell r="AG6504" t="str"><v>Facebook»Developers-Azure Direct-Sponsored Post-Video Ad-Free Account Developer - Intelligent Data»1x1»30s»SOC»ALL»CPC»BT»D»UNK»SS»NA»Trials</v></cell><cell r="AH6504"><v>226360028</v></cell><cell r="AI6504" t="str"><v>AZR_FreeAcctDeveloperFB-AnimatedData-Ch4_FRA_1200x1200_VIA_AZRDirect_French_NA_Facebook_STAN_LEA_T4_1</v></cell><cell r="AJ6504"><v>104537816</v></cell></row><row r="6505"><cell r="C6505" t="str"><v>43328Facebook»Developers-Azure Direct-Sponsored Post-Video Ad-Free Account Developer - Open Source»1x1»30s»SOC»ALL»CPC»BT»D»UNK»SS»NA»Trials</v></cell><cell r="D6505" t="str"><v>43328226360040</v></cell><cell r="E6505" t="str"><v>43328104537132Trials</v></cell><cell r="F6505" t="str"><v>DCM</v></cell><cell r="G6505" t="str"><v>https://signup.azure.com/signup?offer=ms-azr-0044p&appId=102&ref=paidmedia-social-fb&redirectURL=https%3a%2f%2fazure.microsoft.com%2ffr-fr%2fget-started%2fwelcome-to-azure%2f&l=fr-fr&correlationId=ead86c34-1f10-49dd-a72b-6918462a2cbf</v></cell></row><row r="6505"><cell r="K6505" t="str"><v>August</v></cell><cell r="L6505"><v>43330</v></cell><cell r="M6505" t="str"><v>Tier 1</v></cell><cell r="N6505" t="str"><v>EMEA</v></cell><cell r="O6505" t="str"><v>France</v></cell><cell r="P6505" t="str"><v>Trial</v></cell><cell r="Q6505" t="str"><v>Social</v></cell><cell r="R6505" t="str"><v>Azure</v></cell><cell r="S6505" t="str"><v>Apps & Infra</v></cell><cell r="T6505" t="str"><v>Developers & ITI's</v></cell><cell r="U6505" t="str"><v>Developers-Azure Direct-Sponsored Post-Video Ad-Free Account Developer - Open Source</v></cell><cell r="V6505" t="str"><v>Behavioral Targeting</v></cell><cell r="W6505" t="str"><v>Social</v></cell><cell r="X6505" t="str"><v>1x1</v></cell></row><row r="6505"><cell r="AA6505"><v>43328</v></cell><cell r="AB6505" t="str"><v>FRA_gaPMG_AZR_AZR_Q1_19_AzureDirect-Trial-Social</v></cell><cell r="AC6505"><v>21356941</v></cell><cell r="AD6505"><v>720193</v></cell><cell r="AE6505" t="str"><v>Facebook</v></cell><cell r="AF6505"><v>3654128</v></cell><cell r="AG6505" t="str"><v>Facebook»Developers-Azure Direct-Sponsored Post-Video Ad-Free Account Developer - Open Source»1x1»30s»SOC»ALL»CPC»BT»D»UNK»SS»NA»Trials</v></cell><cell r="AH6505"><v>226360040</v></cell><cell r="AI6505" t="str"><v>AZR_FreeAcctDeveloperFB-AnimatedOpenSource-Ch2_FRA_1200x1200_VIA_AZRDirect_French_NA_Facebook_STAN_LEA_T2_1</v></cell><cell r="AJ6505"><v>104537132</v></cell></row><row r="6506"><cell r="C6506" t="str"><v>43328Facebook»Developers-Azure Direct-Sponsored Post_Trial-Video Ad-Free Account Developer - AI»1x1»30s»SOC»ALL»CPC»LAL»D»UNK»SS»NA»Trials</v></cell><cell r="D6506" t="str"><v>43328226360019</v></cell><cell r="E6506" t="str"><v>43328104537813Trials</v></cell><cell r="F6506" t="str"><v>DCM</v></cell><cell r="G6506" t="str"><v>https://signup.azure.com/signup?offer=ms-azr-0044p&appId=102&ref=paidmedia-social-fb&redirectURL=https%3a%2f%2fazure.microsoft.com%2ffr-fr%2fget-started%2fwelcome-to-azure%2f&l=fr-fr&correlationId=ead86c34-1f10-49dd-a72b-6918462a2cbf</v></cell></row><row r="6506"><cell r="K6506" t="str"><v>August</v></cell><cell r="L6506"><v>43330</v></cell><cell r="M6506" t="str"><v>Tier 1</v></cell><cell r="N6506" t="str"><v>EMEA</v></cell><cell r="O6506" t="str"><v>France</v></cell><cell r="P6506" t="str"><v>Trial</v></cell><cell r="Q6506" t="str"><v>Social</v></cell><cell r="R6506" t="str"><v>Azure</v></cell><cell r="S6506" t="str"><v>Apps & Infra</v></cell><cell r="T6506" t="str"><v>Developers & ITI's</v></cell><cell r="U6506" t="str"><v>Developers-Azure Direct-Sponsored Post_Trial-Video Ad-Free Account Developer - AI</v></cell><cell r="V6506" t="str"><v>Lookalike Targeting</v></cell><cell r="W6506" t="str"><v>Social</v></cell><cell r="X6506" t="str"><v>1x1</v></cell></row><row r="6506"><cell r="AA6506"><v>43328</v></cell><cell r="AB6506" t="str"><v>FRA_gaPMG_AZR_AZR_Q1_19_AzureDirect-Trial-Social</v></cell><cell r="AC6506"><v>21356941</v></cell><cell r="AD6506"><v>720193</v></cell><cell r="AE6506" t="str"><v>Facebook</v></cell><cell r="AF6506"><v>3654128</v></cell><cell r="AG6506" t="str"><v>Facebook»Developers-Azure Direct-Sponsored Post_Trial-Video Ad-Free Account Developer - AI»1x1»30s»SOC»ALL»CPC»LAL»D»UNK»SS»NA»Trials</v></cell><cell r="AH6506"><v>226360019</v></cell><cell r="AI6506" t="str"><v>AZR_FreeAcctDeveloperFB-AnimatedAI-Ch3_FRA_1200x1200_VIA_AZRDirect_French_NA_Facebook_STAN_LEA_T3_1</v></cell><cell r="AJ6506"><v>104537813</v></cell></row><row r="6507"><cell r="C6507" t="str"><v>43328Facebook»Developers-Azure Direct-Sponsored Post_Trial-Video Ad-Free Account Developer - Generic»1x1»30s»SOC»ALL»CPC»LAL»D»UNK»SS»NA»Trials</v></cell><cell r="D6507" t="str"><v>43328226360031</v></cell><cell r="E6507" t="str"><v>43328104537129Trials</v></cell><cell r="F6507" t="str"><v>DCM</v></cell><cell r="G6507" t="str"><v>https://signup.azure.com/signup?offer=ms-azr-0044p&appId=102&ref=paidmedia-social-fb&redirectURL=https%3a%2f%2fazure.microsoft.com%2ffr-fr%2fget-started%2fwelcome-to-azure%2f&l=fr-fr&correlationId=ead86c34-1f10-49dd-a72b-6918462a2cbf</v></cell></row><row r="6507"><cell r="K6507" t="str"><v>August</v></cell><cell r="L6507"><v>43330</v></cell><cell r="M6507" t="str"><v>Tier 1</v></cell><cell r="N6507" t="str"><v>EMEA</v></cell><cell r="O6507" t="str"><v>France</v></cell><cell r="P6507" t="str"><v>Trial</v></cell><cell r="Q6507" t="str"><v>Social</v></cell><cell r="R6507" t="str"><v>Azure</v></cell><cell r="S6507" t="str"><v>Apps & Infra</v></cell><cell r="T6507" t="str"><v>Developers & ITI's</v></cell><cell r="U6507" t="str"><v>Developers-Azure Direct-Sponsored Post_Trial-Video Ad-Free Account Developer - Generic</v></cell><cell r="V6507" t="str"><v>Lookalike Targeting</v></cell><cell r="W6507" t="str"><v>Social</v></cell><cell r="X6507" t="str"><v>1x1</v></cell></row><row r="6507"><cell r="AA6507"><v>43328</v></cell><cell r="AB6507" t="str"><v>FRA_gaPMG_AZR_AZR_Q1_19_AzureDirect-Trial-Social</v></cell><cell r="AC6507"><v>21356941</v></cell><cell r="AD6507"><v>720193</v></cell><cell r="AE6507" t="str"><v>Facebook</v></cell><cell r="AF6507"><v>3654128</v></cell><cell r="AG6507" t="str"><v>Facebook»Developers-Azure Direct-Sponsored Post_Trial-Video Ad-Free Account Developer - Generic»1x1»30s»SOC»ALL»CPC»LAL»D»UNK»SS»NA»Trials</v></cell><cell r="AH6507"><v>226360031</v></cell><cell r="AI6507" t="str"><v>AZR_FreeAcctDeveloperFB-AnimatedGeneric-Ch1_FRA_1200x1200_VIA_AZRDirect_French_NA_Facebook_STAN_LEA_T1_1</v></cell><cell r="AJ6507"><v>104537129</v></cell></row><row r="6508"><cell r="C6508" t="str"><v>43328Facebook»Developers-Azure Direct-Sponsored Post_Trial-Video Ad-Free Account Developer - Intelligent Data»1x1»30s»SOC»ALL»CPC»LAL»D»UNK»SS»NA»Trials</v></cell><cell r="D6508" t="str"><v>43328226360013</v></cell><cell r="E6508" t="str"><v>43328104537816Trials</v></cell><cell r="F6508" t="str"><v>DCM</v></cell><cell r="G6508" t="str"><v>https://signup.azure.com/signup?offer=ms-azr-0044p&appId=102&ref=paidmedia-social-fb&redirectURL=https%3a%2f%2fazure.microsoft.com%2ffr-fr%2fget-started%2fwelcome-to-azure%2f&l=fr-fr&correlationId=ead86c34-1f10-49dd-a72b-6918462a2cbf</v></cell></row><row r="6508"><cell r="K6508" t="str"><v>August</v></cell><cell r="L6508"><v>43330</v></cell><cell r="M6508" t="str"><v>Tier 1</v></cell><cell r="N6508" t="str"><v>EMEA</v></cell><cell r="O6508" t="str"><v>France</v></cell><cell r="P6508" t="str"><v>Trial</v></cell><cell r="Q6508" t="str"><v>Social</v></cell><cell r="R6508" t="str"><v>Azure</v></cell><cell r="S6508" t="str"><v>Apps & Infra</v></cell><cell r="T6508" t="str"><v>Developers & ITI's</v></cell><cell r="U6508" t="str"><v>Developers-Azure Direct-Sponsored Post_Trial-Video Ad-Free Account Developer - Intelligent Data</v></cell><cell r="V6508" t="str"><v>Lookalike Targeting</v></cell><cell r="W6508" t="str"><v>Social</v></cell><cell r="X6508" t="str"><v>1x1</v></cell></row><row r="6508"><cell r="AA6508"><v>43328</v></cell><cell r="AB6508" t="str"><v>FRA_gaPMG_AZR_AZR_Q1_19_AzureDirect-Trial-Social</v></cell><cell r="AC6508"><v>21356941</v></cell><cell r="AD6508"><v>720193</v></cell><cell r="AE6508" t="str"><v>Facebook</v></cell><cell r="AF6508"><v>3654128</v></cell><cell r="AG6508" t="str"><v>Facebook»Developers-Azure Direct-Sponsored Post_Trial-Video Ad-Free Account Developer - Intelligent Data»1x1»30s»SOC»ALL»CPC»LAL»D»UNK»SS»NA»Trials</v></cell><cell r="AH6508"><v>226360013</v></cell><cell r="AI6508" t="str"><v>AZR_FreeAcctDeveloperFB-AnimatedData-Ch4_FRA_1200x1200_VIA_AZRDirect_French_NA_Facebook_STAN_LEA_T4_1</v></cell><cell r="AJ6508"><v>104537816</v></cell></row><row r="6509"><cell r="C6509" t="str"><v>43328Facebook»Developers-Azure Direct-Sponsored Post_Trial_PayGo-Video Ad-Free Account Developer - AI»1x1»30s»SOC»ALL»CPC»LAL»D»UNK»SS»NA»Trials</v></cell><cell r="D6509" t="str"><v>43328226359947</v></cell><cell r="E6509" t="str"><v>43328104537813Trials</v></cell><cell r="F6509" t="str"><v>DCM</v></cell><cell r="G6509" t="str"><v>https://signup.azure.com/signup?offer=ms-azr-0044p&appId=102&ref=paidmedia-social-fb&redirectURL=https%3a%2f%2fazure.microsoft.com%2ffr-fr%2fget-started%2fwelcome-to-azure%2f&l=fr-fr&correlationId=ead86c34-1f10-49dd-a72b-6918462a2cbf</v></cell></row><row r="6509"><cell r="K6509" t="str"><v>August</v></cell><cell r="L6509"><v>43330</v></cell><cell r="M6509" t="str"><v>Tier 1</v></cell><cell r="N6509" t="str"><v>EMEA</v></cell><cell r="O6509" t="str"><v>France</v></cell><cell r="P6509" t="str"><v>Trial</v></cell><cell r="Q6509" t="str"><v>Social</v></cell><cell r="R6509" t="str"><v>Azure</v></cell><cell r="S6509" t="str"><v>Apps & Infra</v></cell><cell r="T6509" t="str"><v>Developers & ITI's</v></cell><cell r="U6509" t="str"><v>Developers-Azure Direct-Sponsored Post_Trial_PayGo-Video Ad-Free Account Developer - AI</v></cell><cell r="V6509" t="str"><v>Lookalike Targeting</v></cell><cell r="W6509" t="str"><v>Social</v></cell><cell r="X6509" t="str"><v>1x1</v></cell></row><row r="6509"><cell r="AA6509"><v>43328</v></cell><cell r="AB6509" t="str"><v>FRA_gaPMG_AZR_AZR_Q1_19_AzureDirect-Trial-Social</v></cell><cell r="AC6509"><v>21356941</v></cell><cell r="AD6509"><v>720193</v></cell><cell r="AE6509" t="str"><v>Facebook</v></cell><cell r="AF6509"><v>3654128</v></cell><cell r="AG6509" t="str"><v>Facebook»Developers-Azure Direct-Sponsored Post_Trial_PayGo-Video Ad-Free Account Developer - AI»1x1»30s»SOC»ALL»CPC»LAL»D»UNK»SS»NA»Trials</v></cell><cell r="AH6509"><v>226359947</v></cell><cell r="AI6509" t="str"><v>AZR_FreeAcctDeveloperFB-AnimatedAI-Ch3_FRA_1200x1200_VIA_AZRDirect_French_NA_Facebook_STAN_LEA_T3_1</v></cell><cell r="AJ6509"><v>104537813</v></cell></row><row r="6510"><cell r="C6510" t="str"><v>43328Facebook»Developers/ITPros-Azure Direct-Sponsored Post_Trial-Link Ad-FreeAcctRetargetingFB-GlobalAlt-ChB_RTG CanvasOpener»1x1»SocialBan»SOC»ALL»CPC»LAL»D»UNK»SS»NA»Trials</v></cell><cell r="D6510" t="str"><v>43328226496107</v></cell><cell r="E6510" t="str"><v>43328103259520Trials</v></cell><cell r="F6510" t="str"><v>DCM</v></cell><cell r="G6510" t="str"><v>https://azure.microsoft.com/fr-fr/free/search/</v></cell></row><row r="6510"><cell r="K6510" t="str"><v>August</v></cell><cell r="L6510"><v>43330</v></cell><cell r="M6510" t="str"><v>Tier 1</v></cell><cell r="N6510" t="str"><v>EMEA</v></cell><cell r="O6510" t="str"><v>France</v></cell><cell r="P6510" t="str"><v>Trial</v></cell><cell r="Q6510" t="str"><v>Social</v></cell><cell r="R6510" t="str"><v>Azure</v></cell><cell r="S6510" t="str"><v>Apps & Infra</v></cell><cell r="T6510" t="str"><v>Developers & ITI's</v></cell><cell r="U6510" t="str"><v>Developers/ITPros-Azure Direct-Sponsored Post_Trial-Link Ad-FreeAcctRetargetingFB-GlobalAlt-ChB_RTG CanvasOpener</v></cell><cell r="V6510" t="str"><v>Lookalike Targeting</v></cell><cell r="W6510" t="str"><v>Social</v></cell><cell r="X6510" t="str"><v>1x1</v></cell></row><row r="6510"><cell r="AA6510"><v>43328</v></cell><cell r="AB6510" t="str"><v>FRA_gaPMG_AZR_AZR_Q1_19_AzureDirect-Trial-Social</v></cell><cell r="AC6510"><v>21356941</v></cell><cell r="AD6510"><v>720193</v></cell><cell r="AE6510" t="str"><v>Facebook</v></cell><cell r="AF6510"><v>3654128</v></cell><cell r="AG6510" t="str"><v>Facebook»Developers/ITPros-Azure Direct-Sponsored Post_Trial-Link Ad-FreeAcctRetargetingFB-GlobalAlt-ChB_RTG CanvasOpener»1x1»SocialBan»SOC»ALL»CPC»LAL»D»UNK»SS»NA»Trials</v></cell><cell r="AH6510"><v>226496107</v></cell><cell r="AI6510" t="str"><v>AZR_FreeAcctRetargetingFB-GlobalAlt-ChB_FRA_1200x628_SOC_AZRDirect_French_NA_Facebook_SBAN_SINU_T2_1</v></cell><cell r="AJ6510"><v>103259520</v></cell></row><row r="6511"><cell r="C6511" t="str"><v>43328Facebook»Developers/ITPros-Azure Direct-Sponsored Post_Trial-Link Ad-FreeAcctRetargetingOSSFB-Logos-ChG CanvasOpener»1x1»SocialBan»SOC»ALL»CPC»LAL»D»UNK»SS»NA»Trials</v></cell><cell r="D6511" t="str"><v>43328226496104</v></cell><cell r="E6511" t="str"><v>43328103259769Trials</v></cell><cell r="F6511" t="str"><v>DCM</v></cell><cell r="G6511" t="str"><v>https://azure.microsoft.com/fr-fr/free/open-source/search/</v></cell></row><row r="6511"><cell r="K6511" t="str"><v>August</v></cell><cell r="L6511"><v>43330</v></cell><cell r="M6511" t="str"><v>Tier 1</v></cell><cell r="N6511" t="str"><v>EMEA</v></cell><cell r="O6511" t="str"><v>France</v></cell><cell r="P6511" t="str"><v>Trial</v></cell><cell r="Q6511" t="str"><v>Social</v></cell><cell r="R6511" t="str"><v>Azure</v></cell><cell r="S6511" t="str"><v>Apps & Infra</v></cell><cell r="T6511" t="str"><v>Developers & ITI's</v></cell><cell r="U6511" t="str"><v>Developers/ITPros-Azure Direct-Sponsored Post_Trial-Link Ad-FreeAcctRetargetingOSSFB-Logos-ChG CanvasOpener</v></cell><cell r="V6511" t="str"><v>Lookalike Targeting</v></cell><cell r="W6511" t="str"><v>Social</v></cell><cell r="X6511" t="str"><v>1x1</v></cell></row><row r="6511"><cell r="AA6511"><v>43328</v></cell><cell r="AB6511" t="str"><v>FRA_gaPMG_AZR_AZR_Q1_19_AzureDirect-Trial-Social</v></cell><cell r="AC6511"><v>21356941</v></cell><cell r="AD6511"><v>720193</v></cell><cell r="AE6511" t="str"><v>Facebook</v></cell><cell r="AF6511"><v>3654128</v></cell><cell r="AG6511" t="str"><v>Facebook»Developers/ITPros-Azure Direct-Sponsored Post_Trial-Link Ad-FreeAcctRetargetingOSSFB-Logos-ChG CanvasOpener»1x1»SocialBan»SOC»ALL»CPC»LAL»D»UNK»SS»NA»Trials</v></cell><cell r="AH6511"><v>226496104</v></cell><cell r="AI6511" t="str"><v>AZR_FreeAcctRetargetingOSSFB-Logos-ChG_FRA_1200x628_SOC_AZRDirect_French_NA_Facebook_SBAN_SINU_T2_1</v></cell><cell r="AJ6511"><v>103259769</v></cell></row><row r="6512"><cell r="C6512" t="str"><v>43328Facebook»Developers/ITPros-Azure Direct-Sponsored Post_Trial_PayGo-Link Ad-FreeAcctRetargetingFB-Animated-ChC CanvasOpener»1x1»SocialBan»SOC»ALL»CPC»LAL»D»UNK»SS»NA»Trials</v></cell><cell r="D6512" t="str"><v>43328226359956</v></cell><cell r="E6512" t="str"><v>43328103259775Trials</v></cell><cell r="F6512" t="str"><v>DCM</v></cell><cell r="G6512" t="str"><v>https://azure.microsoft.com/fr-fr/free/search/</v></cell></row><row r="6512"><cell r="K6512" t="str"><v>August</v></cell><cell r="L6512"><v>43330</v></cell><cell r="M6512" t="str"><v>Tier 1</v></cell><cell r="N6512" t="str"><v>EMEA</v></cell><cell r="O6512" t="str"><v>France</v></cell><cell r="P6512" t="str"><v>Trial</v></cell><cell r="Q6512" t="str"><v>Social</v></cell><cell r="R6512" t="str"><v>Azure</v></cell><cell r="S6512" t="str"><v>Apps & Infra</v></cell><cell r="T6512" t="str"><v>Developers & ITI's</v></cell><cell r="U6512" t="str"><v>Developers/ITPros-Azure Direct-Sponsored Post_Trial_PayGo-Link Ad-FreeAcctRetargetingFB-Animated-ChC CanvasOpener</v></cell><cell r="V6512" t="str"><v>Lookalike Targeting</v></cell><cell r="W6512" t="str"><v>Social</v></cell><cell r="X6512" t="str"><v>1x1</v></cell></row><row r="6512"><cell r="AA6512"><v>43328</v></cell><cell r="AB6512" t="str"><v>FRA_gaPMG_AZR_AZR_Q1_19_AzureDirect-Trial-Social</v></cell><cell r="AC6512"><v>21356941</v></cell><cell r="AD6512"><v>720193</v></cell><cell r="AE6512" t="str"><v>Facebook</v></cell><cell r="AF6512"><v>3654128</v></cell><cell r="AG6512" t="str"><v>Facebook»Developers/ITPros-Azure Direct-Sponsored Post_Trial_PayGo-Link Ad-FreeAcctRetargetingFB-Animated-ChC CanvasOpener»1x1»SocialBan»SOC»ALL»CPC»LAL»D»UNK»SS»NA»Trials</v></cell><cell r="AH6512"><v>226359956</v></cell><cell r="AI6512" t="str"><v>AZR_reeAcctRetargetingFB-Animated-ChC_FRA_1200x628_SOC_AZRDirect_French_NA_Facebook_SBAN_SINU_T3_1</v></cell><cell r="AJ6512"><v>103259775</v></cell></row><row r="6513"><cell r="C6513" t="str"><v>43328Facebook»Developers/ITPros-Azure Direct-Sponsored Post_Trial_PayGo-Link Ad-FreeAcctRetargetingVMFB-750Hrs-ChD CanvasOpener»1x1»SocialBan»SOC»ALL»CPC»LAL»D»UNK»SS»NA»Trials</v></cell><cell r="D6513" t="str"><v>43328226359962</v></cell><cell r="E6513" t="str"><v>43328103259010Trials</v></cell><cell r="F6513" t="str"><v>DCM</v></cell><cell r="G6513" t="str"><v>https://azure.microsoft.com/fr-fr/free/virtual-machines/search/</v></cell></row><row r="6513"><cell r="K6513" t="str"><v>August</v></cell><cell r="L6513"><v>43330</v></cell><cell r="M6513" t="str"><v>Tier 1</v></cell><cell r="N6513" t="str"><v>EMEA</v></cell><cell r="O6513" t="str"><v>France</v></cell><cell r="P6513" t="str"><v>Trial</v></cell><cell r="Q6513" t="str"><v>Social</v></cell><cell r="R6513" t="str"><v>Azure</v></cell><cell r="S6513" t="str"><v>Apps & Infra</v></cell><cell r="T6513" t="str"><v>Developers & ITI's</v></cell><cell r="U6513" t="str"><v>Developers/ITPros-Azure Direct-Sponsored Post_Trial_PayGo-Link Ad-FreeAcctRetargetingVMFB-750Hrs-ChD CanvasOpener</v></cell><cell r="V6513" t="str"><v>Lookalike Targeting</v></cell><cell r="W6513" t="str"><v>Social</v></cell><cell r="X6513" t="str"><v>1x1</v></cell></row><row r="6513"><cell r="AA6513"><v>43328</v></cell><cell r="AB6513" t="str"><v>FRA_gaPMG_AZR_AZR_Q1_19_AzureDirect-Trial-Social</v></cell><cell r="AC6513"><v>21356941</v></cell><cell r="AD6513"><v>720193</v></cell><cell r="AE6513" t="str"><v>Facebook</v></cell><cell r="AF6513"><v>3654128</v></cell><cell r="AG6513" t="str"><v>Facebook»Developers/ITPros-Azure Direct-Sponsored Post_Trial_PayGo-Link Ad-FreeAcctRetargetingVMFB-750Hrs-ChD CanvasOpener»1x1»SocialBan»SOC»ALL»CPC»LAL»D»UNK»SS»NA»Trials</v></cell><cell r="AH6513"><v>226359962</v></cell><cell r="AI6513" t="str"><v>AZR_FreeAcctRetargetingVMFB-750Hrs-ChD_FRA_1200x628_SOC_AZRDirect_French_NA_Facebook_SBAN_SINU_T1_1</v></cell><cell r="AJ6513"><v>103259010</v></cell></row><row r="6514"><cell r="C6514" t="str"><v>43328Facebook»ITPros-Azure Direct-Sponsored Post-Video Ad-Free Account IT Pro - Hybrid»1x1»30s»SOC»ALL»CPC»AUT»D»UNK»SS»NA»Trials</v></cell><cell r="D6514" t="str"><v>43328226360016</v></cell><cell r="E6514" t="str"><v>43328104456278Trials</v></cell><cell r="F6514" t="str"><v>DCM</v></cell><cell r="G6514" t="str"><v>https://signup.azure.com/signup?offer=ms-azr-0044p&appId=102&ref=paidmedia-social-fb&redirectURL=https%3a%2f%2fazure.microsoft.com%2ffr-fr%2fget-started%2fwelcome-to-azure%2f&l=fr-fr&correlationId=ead86c34-1f10-49dd-a72b-6918462a2cbf</v></cell></row><row r="6514"><cell r="K6514" t="str"><v>August</v></cell><cell r="L6514"><v>43330</v></cell><cell r="M6514" t="str"><v>Tier 1</v></cell><cell r="N6514" t="str"><v>EMEA</v></cell><cell r="O6514" t="str"><v>France</v></cell><cell r="P6514" t="str"><v>Trial</v></cell><cell r="Q6514" t="str"><v>Social</v></cell><cell r="R6514" t="str"><v>Azure</v></cell><cell r="S6514" t="str"><v>Apps & Infra</v></cell><cell r="T6514" t="str"><v>Developers & ITI's</v></cell><cell r="U6514" t="str"><v>ITPros-Azure Direct-Sponsored Post-Video Ad-Free Account IT Pro - Hybrid</v></cell><cell r="V6514" t="str"><v>Audience Targeting</v></cell><cell r="W6514" t="str"><v>Social</v></cell><cell r="X6514" t="str"><v>1x1</v></cell></row><row r="6514"><cell r="AA6514"><v>43328</v></cell><cell r="AB6514" t="str"><v>FRA_gaPMG_AZR_AZR_Q1_19_AzureDirect-Trial-Social</v></cell><cell r="AC6514"><v>21356941</v></cell><cell r="AD6514"><v>720193</v></cell><cell r="AE6514" t="str"><v>Facebook</v></cell><cell r="AF6514"><v>3654128</v></cell><cell r="AG6514" t="str"><v>Facebook»ITPros-Azure Direct-Sponsored Post-Video Ad-Free Account IT Pro - Hybrid»1x1»30s»SOC»ALL»CPC»AUT»D»UNK»SS»NA»Trials</v></cell><cell r="AH6514"><v>226360016</v></cell><cell r="AI6514" t="str"><v>AZR_FreeAcctITProFB-AnimatedHybrid-Ch2_FRA_1200x1200_VIA_AZRDirect_French_NA_Facebook_STAN_LEA_T2_1</v></cell><cell r="AJ6514"><v>104456278</v></cell></row><row r="6515"><cell r="C6515" t="str"><v>43328Facebook»ITPros-Azure Direct-Sponsored Post-Video Ad-Free Account IT Pro - Secure»1x1»30s»SOC»ALL»CPC»AUT»D»UNK»SS»NA»Trials</v></cell><cell r="D6515" t="str"><v>43328226360022</v></cell><cell r="E6515" t="str"><v>43328104455906Trials</v></cell><cell r="F6515" t="str"><v>DCM</v></cell><cell r="G6515" t="str"><v>https://signup.azure.com/signup?offer=ms-azr-0044p&appId=102&ref=paidmedia-social-fb&redirectURL=https%3a%2f%2fazure.microsoft.com%2ffr-fr%2fget-started%2fwelcome-to-azure%2f&l=fr-fr&correlationId=ead86c34-1f10-49dd-a72b-6918462a2cbf</v></cell></row><row r="6515"><cell r="K6515" t="str"><v>August</v></cell><cell r="L6515"><v>43330</v></cell><cell r="M6515" t="str"><v>Tier 1</v></cell><cell r="N6515" t="str"><v>EMEA</v></cell><cell r="O6515" t="str"><v>France</v></cell><cell r="P6515" t="str"><v>Trial</v></cell><cell r="Q6515" t="str"><v>Social</v></cell><cell r="R6515" t="str"><v>Azure</v></cell><cell r="S6515" t="str"><v>Apps & Infra</v></cell><cell r="T6515" t="str"><v>Developers & ITI's</v></cell><cell r="U6515" t="str"><v>ITPros-Azure Direct-Sponsored Post-Video Ad-Free Account IT Pro - Secure</v></cell><cell r="V6515" t="str"><v>Audience Targeting</v></cell><cell r="W6515" t="str"><v>Social</v></cell><cell r="X6515" t="str"><v>1x1</v></cell></row><row r="6515"><cell r="AA6515"><v>43328</v></cell><cell r="AB6515" t="str"><v>FRA_gaPMG_AZR_AZR_Q1_19_AzureDirect-Trial-Social</v></cell><cell r="AC6515"><v>21356941</v></cell><cell r="AD6515"><v>720193</v></cell><cell r="AE6515" t="str"><v>Facebook</v></cell><cell r="AF6515"><v>3654128</v></cell><cell r="AG6515" t="str"><v>Facebook»ITPros-Azure Direct-Sponsored Post-Video Ad-Free Account IT Pro - Secure»1x1»30s»SOC»ALL»CPC»AUT»D»UNK»SS»NA»Trials</v></cell><cell r="AH6515"><v>226360022</v></cell><cell r="AI6515" t="str"><v>AZR_FreeAcctITProFB-AnimatedSecureMngd-Ch1_FRA_1200x1200_VIA_AZRDirect_French_NA_Facebook_STAN_LEA_T1_1</v></cell><cell r="AJ6515"><v>104455906</v></cell></row><row r="6516"><cell r="C6516" t="str"><v>43328Facebook»ITPros-Azure Direct-Sponsored Post_Trial-Video Ad-Free Account IT Pro - Hybrid»1x1»30s»SOC»ALL»CPC»LAL»D»UNK»SS»NA»Trials</v></cell><cell r="D6516" t="str"><v>43328226360001</v></cell><cell r="E6516" t="str"><v>43328104456278Trials</v></cell><cell r="F6516" t="str"><v>DCM</v></cell><cell r="G6516" t="str"><v>https://signup.azure.com/signup?offer=ms-azr-0044p&appId=102&ref=paidmedia-social-fb&redirectURL=https%3a%2f%2fazure.microsoft.com%2ffr-fr%2fget-started%2fwelcome-to-azure%2f&l=fr-fr&correlationId=ead86c34-1f10-49dd-a72b-6918462a2cbf</v></cell></row><row r="6516"><cell r="K6516" t="str"><v>August</v></cell><cell r="L6516"><v>43330</v></cell><cell r="M6516" t="str"><v>Tier 1</v></cell><cell r="N6516" t="str"><v>EMEA</v></cell><cell r="O6516" t="str"><v>France</v></cell><cell r="P6516" t="str"><v>Trial</v></cell><cell r="Q6516" t="str"><v>Social</v></cell><cell r="R6516" t="str"><v>Azure</v></cell><cell r="S6516" t="str"><v>Apps & Infra</v></cell><cell r="T6516" t="str"><v>Developers & ITI's</v></cell><cell r="U6516" t="str"><v>ITPros-Azure Direct-Sponsored Post_Trial-Video Ad-Free Account IT Pro - Hybrid</v></cell><cell r="V6516" t="str"><v>Lookalike Targeting</v></cell><cell r="W6516" t="str"><v>Social</v></cell><cell r="X6516" t="str"><v>1x1</v></cell></row><row r="6516"><cell r="AA6516"><v>43328</v></cell><cell r="AB6516" t="str"><v>FRA_gaPMG_AZR_AZR_Q1_19_AzureDirect-Trial-Social</v></cell><cell r="AC6516"><v>21356941</v></cell><cell r="AD6516"><v>720193</v></cell><cell r="AE6516" t="str"><v>Facebook</v></cell><cell r="AF6516"><v>3654128</v></cell><cell r="AG6516" t="str"><v>Facebook»ITPros-Azure Direct-Sponsored Post_Trial-Video Ad-Free Account IT Pro - Hybrid»1x1»30s»SOC»ALL»CPC»LAL»D»UNK»SS»NA»Trials</v></cell><cell r="AH6516"><v>226360001</v></cell><cell r="AI6516" t="str"><v>AZR_FreeAcctITProFB-AnimatedHybrid-Ch2_FRA_1200x1200_VIA_AZRDirect_French_NA_Facebook_STAN_LEA_T2_1</v></cell><cell r="AJ6516"><v>104456278</v></cell></row><row r="6517"><cell r="C6517" t="str"><v>43328Facebook»ITPros-Azure Direct-Sponsored Post_Trial-Video Ad-Free Account IT Pro - Migration»1x1»30s»SOC»ALL»CPC»LAL»D»UNK»SS»NA»Trials</v></cell><cell r="D6517" t="str"><v>43328226359995</v></cell><cell r="E6517" t="str"><v>43328104458003Trials</v></cell><cell r="F6517" t="str"><v>DCM</v></cell><cell r="G6517" t="str"><v>https://signup.azure.com/signup?offer=ms-azr-0044p&appId=102&ref=paidmedia-social-fb&redirectURL=https%3a%2f%2fazure.microsoft.com%2ffr-fr%2fget-started%2fwelcome-to-azure%2f&l=fr-fr&correlationId=ead86c34-1f10-49dd-a72b-6918462a2cbf</v></cell></row><row r="6517"><cell r="K6517" t="str"><v>August</v></cell><cell r="L6517"><v>43330</v></cell><cell r="M6517" t="str"><v>Tier 1</v></cell><cell r="N6517" t="str"><v>EMEA</v></cell><cell r="O6517" t="str"><v>France</v></cell><cell r="P6517" t="str"><v>Trial</v></cell><cell r="Q6517" t="str"><v>Social</v></cell><cell r="R6517" t="str"><v>Azure</v></cell><cell r="S6517" t="str"><v>Apps & Infra</v></cell><cell r="T6517" t="str"><v>Developers & ITI's</v></cell><cell r="U6517" t="str"><v>ITPros-Azure Direct-Sponsored Post_Trial-Video Ad-Free Account IT Pro - Migration</v></cell><cell r="V6517" t="str"><v>Lookalike Targeting</v></cell><cell r="W6517" t="str"><v>Social</v></cell><cell r="X6517" t="str"><v>1x1</v></cell></row><row r="6517"><cell r="AA6517"><v>43328</v></cell><cell r="AB6517" t="str"><v>FRA_gaPMG_AZR_AZR_Q1_19_AzureDirect-Trial-Social</v></cell><cell r="AC6517"><v>21356941</v></cell><cell r="AD6517"><v>720193</v></cell><cell r="AE6517" t="str"><v>Facebook</v></cell><cell r="AF6517"><v>3654128</v></cell><cell r="AG6517" t="str"><v>Facebook»ITPros-Azure Direct-Sponsored Post_Trial-Video Ad-Free Account IT Pro - Migration»1x1»30s»SOC»ALL»CPC»LAL»D»UNK»SS»NA»Trials</v></cell><cell r="AH6517"><v>226359995</v></cell><cell r="AI6517" t="str"><v>AZR_FreeAcctITProFB-AnimatedMigration-Ch3_FRA_1200x1200_VIA_AZRDirect_French_NA_Facebook_STAN_LEA_T3_1</v></cell><cell r="AJ6517"><v>104458003</v></cell></row><row r="6518"><cell r="C6518" t="str"><v>43328Facebook»Audience & Interest Targeting»1x1»SocialBan»LIA»DT»CPC»AUT»W»NA»SS»NA»Basic Motion</v></cell><cell r="D6518" t="str"><v>43328224399962</v></cell><cell r="E6518" t="str"><v>43328103235146Motion</v></cell><cell r="F6518" t="str"><v>DCM</v></cell><cell r="G6518" t="str"><v>https://signup.azure.com/signup?offer=ms-azr-0044p&appId=102&ref=paidmedia-social-fb&redirectURL=https%3a%2f%2fazure.microsoft.com%2fen-gb%2fget-started%2fwelcome-to-azure%2f&l=en-gb&correlationId=ead86c34-1f10-49dd-a72b-6918462a2cbf</v></cell></row><row r="6518"><cell r="K6518" t="str"><v>August</v></cell><cell r="L6518"><v>43330</v></cell><cell r="M6518" t="str"><v>Tier 1</v></cell><cell r="N6518" t="str"><v>EMEA</v></cell><cell r="O6518" t="str"><v>United Kingdom</v></cell><cell r="P6518" t="str"><v>Trial</v></cell><cell r="Q6518" t="str"><v>Social</v></cell><cell r="R6518" t="str"><v>Azure</v></cell><cell r="S6518" t="str"><v>Apps & Infra</v></cell><cell r="T6518" t="str"><v>Developers & ITI's</v></cell><cell r="U6518" t="str"><v>Audience & Interest Targeting</v></cell><cell r="V6518" t="str"><v>Audience Targeting</v></cell><cell r="W6518" t="str"><v>Link Ad</v></cell><cell r="X6518" t="str"><v>1x1</v></cell></row><row r="6518"><cell r="AA6518"><v>43328</v></cell><cell r="AB6518" t="str"><v>GBR_gaPMG_CE_AZR_Q1_19_Trial-Social</v></cell><cell r="AC6518"><v>21337013</v></cell><cell r="AD6518"><v>720196</v></cell><cell r="AE6518" t="str"><v>Facebook</v></cell><cell r="AF6518"><v>3654128</v></cell><cell r="AG6518" t="str"><v>Facebook»Audience & Interest Targeting»1x1»SocialBan»LIA»DT»CPC»AUT»W»NA»SS»NA»Basic Motion</v></cell><cell r="AH6518"><v>224399962</v></cell><cell r="AI6518" t="str"><v>AzurePlatform_FBCTCcanvaspage-StartFreeCTA-Img2_GBR_1080x143 _SOC_Plat_English_NA_Standard_NA_NA_T2_1</v></cell><cell r="AJ6518"><v>103235146</v></cell></row><row r="6519"><cell r="C6519" t="str"><v>43328Facebook»Audience & Interest Targeting»1x1»SocialBan»LIA»DT»CPC»AUT»W»NA»SS»NA»Benefit 2 in Motion</v></cell><cell r="D6519" t="str"><v>43328224334170</v></cell><cell r="E6519" t="str"><v>43328103235146Motion</v></cell><cell r="F6519" t="str"><v>DCM</v></cell><cell r="G6519" t="str"><v>https://signup.azure.com/signup?offer=ms-azr-0044p&appId=102&ref=paidmedia-social-fb&redirectURL=https%3a%2f%2fazure.microsoft.com%2fen-gb%2fget-started%2fwelcome-to-azure%2f&l=en-gb&correlationId=ead86c34-1f10-49dd-a72b-6918462a2cbf</v></cell></row><row r="6519"><cell r="K6519" t="str"><v>August</v></cell><cell r="L6519"><v>43330</v></cell><cell r="M6519" t="str"><v>Tier 1</v></cell><cell r="N6519" t="str"><v>EMEA</v></cell><cell r="O6519" t="str"><v>United Kingdom</v></cell><cell r="P6519" t="str"><v>Trial</v></cell><cell r="Q6519" t="str"><v>Social</v></cell><cell r="R6519" t="str"><v>Azure</v></cell><cell r="S6519" t="str"><v>Apps & Infra</v></cell><cell r="T6519" t="str"><v>Developers & ITI's</v></cell><cell r="U6519" t="str"><v>Audience & Interest Targeting</v></cell><cell r="V6519" t="str"><v>Audience Targeting</v></cell><cell r="W6519" t="str"><v>Link Ad</v></cell><cell r="X6519" t="str"><v>1x1</v></cell></row><row r="6519"><cell r="AA6519"><v>43328</v></cell><cell r="AB6519" t="str"><v>GBR_gaPMG_CE_AZR_Q1_19_Trial-Social</v></cell><cell r="AC6519"><v>21337013</v></cell><cell r="AD6519"><v>720196</v></cell><cell r="AE6519" t="str"><v>Facebook</v></cell><cell r="AF6519"><v>3654128</v></cell><cell r="AG6519" t="str"><v>Facebook»Audience & Interest Targeting»1x1»SocialBan»LIA»DT»CPC»AUT»W»NA»SS»NA»Benefit 2 in Motion</v></cell><cell r="AH6519"><v>224334170</v></cell><cell r="AI6519" t="str"><v>AzurePlatform_FBCTCcanvaspage-StartFreeCTA-Img2_GBR_1080x143 _SOC_Plat_English_NA_Standard_NA_NA_T2_1</v></cell><cell r="AJ6519"><v>103235146</v></cell></row><row r="6520"><cell r="C6520" t="str"><v>43328Facebook»Audience & Interest Targeting»1x1»SocialBan»LIA»DT»CPC»AUT»W»NA»SS»NA»Brand in Motion</v></cell><cell r="D6520" t="str"><v>43328224549481</v></cell><cell r="E6520" t="str"><v>43328103235146Motion</v></cell><cell r="F6520" t="str"><v>DCM</v></cell><cell r="G6520" t="str"><v>https://signup.azure.com/signup?offer=ms-azr-0044p&appId=102&ref=paidmedia-social-fb&redirectURL=https%3a%2f%2fazure.microsoft.com%2fen-gb%2fget-started%2fwelcome-to-azure%2f&l=en-gb&correlationId=ead86c34-1f10-49dd-a72b-6918462a2cbf</v></cell></row><row r="6520"><cell r="K6520" t="str"><v>August</v></cell><cell r="L6520"><v>43330</v></cell><cell r="M6520" t="str"><v>Tier 1</v></cell><cell r="N6520" t="str"><v>EMEA</v></cell><cell r="O6520" t="str"><v>United Kingdom</v></cell><cell r="P6520" t="str"><v>Trial</v></cell><cell r="Q6520" t="str"><v>Social</v></cell><cell r="R6520" t="str"><v>Azure</v></cell><cell r="S6520" t="str"><v>Apps & Infra</v></cell><cell r="T6520" t="str"><v>Developers & ITI's</v></cell><cell r="U6520" t="str"><v>Audience & Interest Targeting</v></cell><cell r="V6520" t="str"><v>Audience Targeting</v></cell><cell r="W6520" t="str"><v>Link Ad</v></cell><cell r="X6520" t="str"><v>1x1</v></cell></row><row r="6520"><cell r="AA6520"><v>43328</v></cell><cell r="AB6520" t="str"><v>GBR_gaPMG_CE_AZR_Q1_19_Trial-Social</v></cell><cell r="AC6520"><v>21337013</v></cell><cell r="AD6520"><v>720196</v></cell><cell r="AE6520" t="str"><v>Facebook</v></cell><cell r="AF6520"><v>3654128</v></cell><cell r="AG6520" t="str"><v>Facebook»Audience & Interest Targeting»1x1»SocialBan»LIA»DT»CPC»AUT»W»NA»SS»NA»Brand in Motion</v></cell><cell r="AH6520"><v>224549481</v></cell><cell r="AI6520" t="str"><v>AzurePlatform_FBCTCcanvaspage-StartFreeCTA-Img2_GBR_1080x143 _SOC_Plat_English_NA_Standard_NA_NA_T2_1</v></cell><cell r="AJ6520"><v>103235146</v></cell></row><row r="6521"><cell r="C6521" t="str"><v>43328Facebook»Retargeting»1x1»SocialBan»LIA»DT»DYN»RT»W»NA»SS»NA»Free Account Retargeting Generic- Animated ChC</v></cell><cell r="D6521" t="str"><v>43328223560299</v></cell><cell r="E6521" t="str"><v>43328102854019ed ChC</v></cell><cell r="F6521" t="str"><v>DCM</v></cell><cell r="G6521" t="str"><v>https://azure.microsoft.com/en-gb/free/search/</v></cell></row><row r="6521"><cell r="K6521" t="str"><v>August</v></cell><cell r="L6521"><v>43330</v></cell><cell r="M6521" t="str"><v>Tier 1</v></cell><cell r="N6521" t="str"><v>EMEA</v></cell><cell r="O6521" t="str"><v>United Kingdom</v></cell><cell r="P6521" t="str"><v>Trial</v></cell><cell r="Q6521" t="str"><v>Social</v></cell><cell r="R6521" t="str"><v>Azure</v></cell><cell r="S6521" t="str"><v>Apps & Infra</v></cell><cell r="T6521" t="str"><v>Developers & ITI's</v></cell><cell r="U6521" t="str"><v>Retargeting</v></cell><cell r="V6521" t="str"><v>Retargeting</v></cell><cell r="W6521" t="str"><v>Link Ad</v></cell><cell r="X6521" t="str"><v>1x1</v></cell></row><row r="6521"><cell r="AA6521"><v>43328</v></cell><cell r="AB6521" t="str"><v>GBR_gaPMG_CE_AZR_Q1_19_Trial-Social</v></cell><cell r="AC6521"><v>21337013</v></cell><cell r="AD6521"><v>720196</v></cell><cell r="AE6521" t="str"><v>Facebook</v></cell><cell r="AF6521"><v>3654128</v></cell><cell r="AG6521" t="str"><v>Facebook»Retargeting»1x1»SocialBan»LIA»DT»DYN»RT»W»NA»SS»NA»Free Account Retargeting Generic- Animated ChC</v></cell><cell r="AH6521"><v>223560299</v></cell><cell r="AI6521" t="str"><v>AzurePlatform_FreeAcctRetargetingFB-Animated-ChC_GBR_1200x628_SOC_Plat_EN_Free Account_Standard_ANI_SU_T3_1</v></cell><cell r="AJ6521"><v>102854019</v></cell></row><row r="6522"><cell r="C6522" t="str"><v>43328Facebook»Retargeting»1x1»SocialBan»LIA»DT»DYN»RT»W»NA»SS»NA»Free Account Retargeting Generic- Global Alt ChB</v></cell><cell r="D6522" t="str"><v>43328223560356</v></cell><cell r="E6522" t="str"><v>43328102854016lt ChB</v></cell><cell r="F6522" t="str"><v>DCM</v></cell><cell r="G6522" t="str"><v>https://azure.microsoft.com/en-gb/free/search/</v></cell></row><row r="6522"><cell r="K6522" t="str"><v>August</v></cell><cell r="L6522"><v>43330</v></cell><cell r="M6522" t="str"><v>Tier 1</v></cell><cell r="N6522" t="str"><v>EMEA</v></cell><cell r="O6522" t="str"><v>United Kingdom</v></cell><cell r="P6522" t="str"><v>Trial</v></cell><cell r="Q6522" t="str"><v>Social</v></cell><cell r="R6522" t="str"><v>Azure</v></cell><cell r="S6522" t="str"><v>Apps & Infra</v></cell><cell r="T6522" t="str"><v>Developers & ITI's</v></cell><cell r="U6522" t="str"><v>Retargeting</v></cell><cell r="V6522" t="str"><v>Retargeting</v></cell><cell r="W6522" t="str"><v>Link Ad</v></cell><cell r="X6522" t="str"><v>1x1</v></cell></row><row r="6522"><cell r="AA6522"><v>43328</v></cell><cell r="AB6522" t="str"><v>GBR_gaPMG_CE_AZR_Q1_19_Trial-Social</v></cell><cell r="AC6522"><v>21337013</v></cell><cell r="AD6522"><v>720196</v></cell><cell r="AE6522" t="str"><v>Facebook</v></cell><cell r="AF6522"><v>3654128</v></cell><cell r="AG6522" t="str"><v>Facebook»Retargeting»1x1»SocialBan»LIA»DT»DYN»RT»W»NA»SS»NA»Free Account Retargeting Generic- Global Alt ChB</v></cell><cell r="AH6522"><v>223560356</v></cell><cell r="AI6522" t="str"><v>AzurePlatform_FreeAcctRetargetingFB-GlobalAlt-ChB_GBR_1200x628_SOC_Plat_EN_Free Account_Standard_NA_SU_T2_1</v></cell><cell r="AJ6522"><v>102854016</v></cell></row><row r="6523"><cell r="C6523" t="str"><v>43328Facebook»Retargeting»1x1»SocialBan»LIA»DT»DYN»RT»W»NA»SS»NA»Free Account Retargeting OSS- Logos ChG</v></cell><cell r="D6523" t="str"><v>43328223560350</v></cell><cell r="E6523" t="str"><v>43328103006547os ChG</v></cell><cell r="F6523" t="str"><v>DCM</v></cell><cell r="G6523" t="str"><v>https://azure.microsoft.com/en-gb/free/open-source/search/</v></cell></row><row r="6523"><cell r="K6523" t="str"><v>August</v></cell><cell r="L6523"><v>43330</v></cell><cell r="M6523" t="str"><v>Tier 1</v></cell><cell r="N6523" t="str"><v>EMEA</v></cell><cell r="O6523" t="str"><v>United Kingdom</v></cell><cell r="P6523" t="str"><v>Trial</v></cell><cell r="Q6523" t="str"><v>Social</v></cell><cell r="R6523" t="str"><v>Azure</v></cell><cell r="S6523" t="str"><v>Apps & Infra</v></cell><cell r="T6523" t="str"><v>Developers & ITI's</v></cell><cell r="U6523" t="str"><v>Retargeting</v></cell><cell r="V6523" t="str"><v>Retargeting</v></cell><cell r="W6523" t="str"><v>Link Ad</v></cell><cell r="X6523" t="str"><v>1x1</v></cell></row><row r="6523"><cell r="AA6523"><v>43328</v></cell><cell r="AB6523" t="str"><v>GBR_gaPMG_CE_AZR_Q1_19_Trial-Social</v></cell><cell r="AC6523"><v>21337013</v></cell><cell r="AD6523"><v>720196</v></cell><cell r="AE6523" t="str"><v>Facebook</v></cell><cell r="AF6523"><v>3654128</v></cell><cell r="AG6523" t="str"><v>Facebook»Retargeting»1x1»SocialBan»LIA»DT»DYN»RT»W»NA»SS»NA»Free Account Retargeting OSS- Logos ChG</v></cell><cell r="AH6523"><v>223560350</v></cell><cell r="AI6523" t="str"><v>AzurePlatform_FreeAcctRetargetingOSSFB-Logos-ChG_GBR_1200x628_SOC_Plat_EN_Free Account_Standard_NA_SU_T2_1</v></cell><cell r="AJ6523"><v>103006547</v></cell></row><row r="6524"><cell r="C6524" t="str"><v>43328Facebook»Retargeting»1x1»SocialBan»LIA»DT»DYN»RT»W»NA»SS»NA»Free Account Retargeting OSS- Text ChF</v></cell><cell r="D6524" t="str"><v>43328223560344</v></cell><cell r="E6524" t="str"><v>43328102861246xt ChF</v></cell><cell r="F6524" t="str"><v>DCM</v></cell><cell r="G6524" t="str"><v>https://azure.microsoft.com/en-gb/free/open-source/search/</v></cell></row><row r="6524"><cell r="K6524" t="str"><v>August</v></cell><cell r="L6524"><v>43330</v></cell><cell r="M6524" t="str"><v>Tier 1</v></cell><cell r="N6524" t="str"><v>EMEA</v></cell><cell r="O6524" t="str"><v>United Kingdom</v></cell><cell r="P6524" t="str"><v>Trial</v></cell><cell r="Q6524" t="str"><v>Social</v></cell><cell r="R6524" t="str"><v>Azure</v></cell><cell r="S6524" t="str"><v>Apps & Infra</v></cell><cell r="T6524" t="str"><v>Developers & ITI's</v></cell><cell r="U6524" t="str"><v>Retargeting</v></cell><cell r="V6524" t="str"><v>Retargeting</v></cell><cell r="W6524" t="str"><v>Link Ad</v></cell><cell r="X6524" t="str"><v>1x1</v></cell></row><row r="6524"><cell r="AA6524"><v>43328</v></cell><cell r="AB6524" t="str"><v>GBR_gaPMG_CE_AZR_Q1_19_Trial-Social</v></cell><cell r="AC6524"><v>21337013</v></cell><cell r="AD6524"><v>720196</v></cell><cell r="AE6524" t="str"><v>Facebook</v></cell><cell r="AF6524"><v>3654128</v></cell><cell r="AG6524" t="str"><v>Facebook»Retargeting»1x1»SocialBan»LIA»DT»DYN»RT»W»NA»SS»NA»Free Account Retargeting OSS- Text ChF</v></cell><cell r="AH6524"><v>223560344</v></cell><cell r="AI6524" t="str"><v>AzurePlatform_FreeAcctRetargetingOSSFB-Text-ChF_GBR_1200x628_SOC_Plat_EN_Free Account_Standard_NA_SU_T1_1</v></cell><cell r="AJ6524"><v>102861246</v></cell></row><row r="6525"><cell r="C6525" t="str"><v>43328Facebook»Retargeting»1x1»SocialBan»LIA»DT»DYN»RT»W»NA»SS»NA»Free Account Retargeting VM- 750 Hrs ChD</v></cell><cell r="D6525" t="str"><v>43328223560338</v></cell><cell r="E6525" t="str"><v>43328102853603rs ChD</v></cell><cell r="F6525" t="str"><v>DCM</v></cell><cell r="G6525" t="str"><v>https://azure.microsoft.com/en-gb/free/virtual-machines/search/</v></cell></row><row r="6525"><cell r="K6525" t="str"><v>August</v></cell><cell r="L6525"><v>43330</v></cell><cell r="M6525" t="str"><v>Tier 1</v></cell><cell r="N6525" t="str"><v>EMEA</v></cell><cell r="O6525" t="str"><v>United Kingdom</v></cell><cell r="P6525" t="str"><v>Trial</v></cell><cell r="Q6525" t="str"><v>Social</v></cell><cell r="R6525" t="str"><v>Azure</v></cell><cell r="S6525" t="str"><v>Apps & Infra</v></cell><cell r="T6525" t="str"><v>Developers & ITI's</v></cell><cell r="U6525" t="str"><v>Retargeting</v></cell><cell r="V6525" t="str"><v>Retargeting</v></cell><cell r="W6525" t="str"><v>Link Ad</v></cell><cell r="X6525" t="str"><v>1x1</v></cell></row><row r="6525"><cell r="AA6525"><v>43328</v></cell><cell r="AB6525" t="str"><v>GBR_gaPMG_CE_AZR_Q1_19_Trial-Social</v></cell><cell r="AC6525"><v>21337013</v></cell><cell r="AD6525"><v>720196</v></cell><cell r="AE6525" t="str"><v>Facebook</v></cell><cell r="AF6525"><v>3654128</v></cell><cell r="AG6525" t="str"><v>Facebook»Retargeting»1x1»SocialBan»LIA»DT»DYN»RT»W»NA»SS»NA»Free Account Retargeting VM- 750 Hrs ChD</v></cell><cell r="AH6525"><v>223560338</v></cell><cell r="AI6525" t="str"><v>AzurePlatform_FreeAcctRetargetingVMFB-750Hrs-ChD_GBR_1200x628_SOC_Plat_EN_Free Account_Standard_NA_SU_T1_1</v></cell><cell r="AJ6525"><v>102853603</v></cell></row><row r="6526"><cell r="C6526" t="str"><v>43328Facebook»Retargeting»1x1»SocialBan»LIA»DT»DYN»RT»W»NA»SS»NA»Free Account Retargeting VM- On Demand ChE</v></cell><cell r="D6526" t="str"><v>43328223560332</v></cell><cell r="E6526" t="str"><v>43328102854037nd ChE</v></cell><cell r="F6526" t="str"><v>DCM</v></cell><cell r="G6526" t="str"><v>https://azure.microsoft.com/en-gb/free/virtual-machines/search/</v></cell></row><row r="6526"><cell r="K6526" t="str"><v>August</v></cell><cell r="L6526"><v>43330</v></cell><cell r="M6526" t="str"><v>Tier 1</v></cell><cell r="N6526" t="str"><v>EMEA</v></cell><cell r="O6526" t="str"><v>United Kingdom</v></cell><cell r="P6526" t="str"><v>Trial</v></cell><cell r="Q6526" t="str"><v>Social</v></cell><cell r="R6526" t="str"><v>Azure</v></cell><cell r="S6526" t="str"><v>Apps & Infra</v></cell><cell r="T6526" t="str"><v>Developers & ITI's</v></cell><cell r="U6526" t="str"><v>Retargeting</v></cell><cell r="V6526" t="str"><v>Retargeting</v></cell><cell r="W6526" t="str"><v>Link Ad</v></cell><cell r="X6526" t="str"><v>1x1</v></cell></row><row r="6526"><cell r="AA6526"><v>43328</v></cell><cell r="AB6526" t="str"><v>GBR_gaPMG_CE_AZR_Q1_19_Trial-Social</v></cell><cell r="AC6526"><v>21337013</v></cell><cell r="AD6526"><v>720196</v></cell><cell r="AE6526" t="str"><v>Facebook</v></cell><cell r="AF6526"><v>3654128</v></cell><cell r="AG6526" t="str"><v>Facebook»Retargeting»1x1»SocialBan»LIA»DT»DYN»RT»W»NA»SS»NA»Free Account Retargeting VM- On Demand ChE</v></cell><cell r="AH6526"><v>223560332</v></cell><cell r="AI6526" t="str"><v>AzurePlatform_FreeAcctRetargetingVMFB-OnDemand-ChE_GBR_1200x628_SOC_Plat_EN_Free Account_Standard_NA_SU_T2_1</v></cell><cell r="AJ6526"><v>102854037</v></cell></row><row r="6527"><cell r="C6527" t="str"><v>43328Facebook»Audience & Interest Targeting- Azure Trial PayGo Lookalikes»1x1»TextLink»CAN»MO»CPM»AUT»W»NA»SS»NA»Free Account Developer- Generic</v></cell><cell r="D6527" t="str"><v>43328226887154</v></cell><cell r="E6527" t="str"><v>43328103235146eneric</v></cell><cell r="F6527" t="str"><v>DCM</v></cell><cell r="G6527" t="str"><v>https://signup.azure.com/signup?offer=ms-azr-0044p&appId=102&ref=paidmedia-social-fb&redirectURL=https%3a%2f%2fazure.microsoft.com%2fen-gb%2fget-started%2fwelcome-to-azure%2f&l=en-gb&correlationId=ead86c34-1f10-49dd-a72b-6918462a2cbf</v></cell></row><row r="6527"><cell r="K6527" t="str"><v>August</v></cell><cell r="L6527"><v>43330</v></cell><cell r="M6527" t="str"><v>Tier 1</v></cell><cell r="N6527" t="str"><v>EMEA</v></cell><cell r="O6527" t="str"><v>United Kingdom</v></cell><cell r="P6527" t="str"><v>Trial</v></cell><cell r="Q6527" t="str"><v>Social</v></cell><cell r="R6527" t="str"><v>Azure</v></cell><cell r="S6527" t="str"><v>Apps & Infra</v></cell><cell r="T6527" t="str"><v>Developers & ITI's</v></cell><cell r="U6527" t="str"><v>Audience & Interest Targeting- Azure Trial PayGo Lookalikes</v></cell><cell r="V6527" t="str"><v>Audience Targeting</v></cell><cell r="W6527" t="str"><v>Canvas Ad</v></cell><cell r="X6527" t="str"><v>1x1</v></cell></row><row r="6527"><cell r="AA6527"><v>43328</v></cell><cell r="AB6527" t="str"><v>GBR_gaPMG_CE_AZR_Q1_19_Trial-Social</v></cell><cell r="AC6527"><v>21337013</v></cell><cell r="AD6527"><v>720196</v></cell><cell r="AE6527" t="str"><v>Facebook</v></cell><cell r="AF6527"><v>3654128</v></cell><cell r="AG6527" t="str"><v>Facebook»Audience & Interest Targeting- Azure Trial PayGo Lookalikes»1x1»TextLink»CAN»MO»CPM»AUT»W»NA»SS»NA»Free Account Developer- Generic</v></cell><cell r="AH6527"><v>226887154</v></cell><cell r="AI6527" t="str"><v>AzurePlatform_FBCTCcanvaspage-StartFreeCTA-Img2_GBR_1080x143 _SOC_Plat_English_NA_Standard_NA_NA_T2_1</v></cell><cell r="AJ6527"><v>103235146</v></cell></row><row r="6528"><cell r="C6528" t="str"><v>43328Facebook»Audience & Interest Targeting- Azure Trial PayGo Lookalikes»1x1»TextLink»CAN»MO»CPM»AUT»W»NA»SS»NA»Free Account Developer- Open Source</v></cell><cell r="D6528" t="str"><v>43328226889134</v></cell><cell r="E6528" t="str"><v>43328103235146Source</v></cell><cell r="F6528" t="str"><v>DCM</v></cell><cell r="G6528" t="str"><v>https://signup.azure.com/signup?offer=ms-azr-0044p&appId=102&ref=paidmedia-social-fb&redirectURL=https%3a%2f%2fazure.microsoft.com%2fen-gb%2fget-started%2fwelcome-to-azure%2f&l=en-gb&correlationId=ead86c34-1f10-49dd-a72b-6918462a2cbf</v></cell></row><row r="6528"><cell r="K6528" t="str"><v>August</v></cell><cell r="L6528"><v>43330</v></cell><cell r="M6528" t="str"><v>Tier 1</v></cell><cell r="N6528" t="str"><v>EMEA</v></cell><cell r="O6528" t="str"><v>United Kingdom</v></cell><cell r="P6528" t="str"><v>Trial</v></cell><cell r="Q6528" t="str"><v>Social</v></cell><cell r="R6528" t="str"><v>Azure</v></cell><cell r="S6528" t="str"><v>Apps & Infra</v></cell><cell r="T6528" t="str"><v>Developers & ITI's</v></cell><cell r="U6528" t="str"><v>Audience & Interest Targeting- Azure Trial PayGo Lookalikes</v></cell><cell r="V6528" t="str"><v>Audience Targeting</v></cell><cell r="W6528" t="str"><v>Canvas Ad</v></cell><cell r="X6528" t="str"><v>1x1</v></cell></row><row r="6528"><cell r="AA6528"><v>43328</v></cell><cell r="AB6528" t="str"><v>GBR_gaPMG_CE_AZR_Q1_19_Trial-Social</v></cell><cell r="AC6528"><v>21337013</v></cell><cell r="AD6528"><v>720196</v></cell><cell r="AE6528" t="str"><v>Facebook</v></cell><cell r="AF6528"><v>3654128</v></cell><cell r="AG6528" t="str"><v>Facebook»Audience & Interest Targeting- Azure Trial PayGo Lookalikes»1x1»TextLink»CAN»MO»CPM»AUT»W»NA»SS»NA»Free Account Developer- Open Source</v></cell><cell r="AH6528"><v>226889134</v></cell><cell r="AI6528" t="str"><v>AzurePlatform_FBCTCcanvaspage-StartFreeCTA-Img2_GBR_1080x143 _SOC_Plat_English_NA_Standard_NA_NA_T2_1</v></cell><cell r="AJ6528"><v>103235146</v></cell></row><row r="6529"><cell r="C6529" t="str"><v>43328Facebook»Audience & Interest Targeting- Azure Trial Lookalikes»1x1»TextLink»CAN»MO»CPM»AUT»W»NA»SS»NA»Free Account Developer- AI</v></cell><cell r="D6529" t="str"><v>43328226887139</v></cell><cell r="E6529" t="str"><v>43328103230847er- AI</v></cell><cell r="F6529" t="str"><v>DCM</v></cell><cell r="G6529" t="str"><v>https://azure.microsoft.com/en-gb/pricing/purchase-options/</v></cell></row><row r="6529"><cell r="K6529" t="str"><v>August</v></cell><cell r="L6529"><v>43330</v></cell><cell r="M6529" t="str"><v>Tier 1</v></cell><cell r="N6529" t="str"><v>EMEA</v></cell><cell r="O6529" t="str"><v>United Kingdom</v></cell><cell r="P6529" t="str"><v>Trial</v></cell><cell r="Q6529" t="str"><v>Social</v></cell><cell r="R6529" t="str"><v>Azure</v></cell><cell r="S6529" t="str"><v>Apps & Infra</v></cell><cell r="T6529" t="str"><v>Developers & ITI's</v></cell><cell r="U6529" t="str"><v>Audience & Interest Targeting- Azure Trial Lookalikes</v></cell><cell r="V6529" t="str"><v>Audience Targeting</v></cell><cell r="W6529" t="str"><v>Canvas Ad</v></cell><cell r="X6529" t="str"><v>1x1</v></cell></row><row r="6529"><cell r="AA6529"><v>43328</v></cell><cell r="AB6529" t="str"><v>GBR_gaPMG_CE_AZR_Q1_19_Trial-Social</v></cell><cell r="AC6529"><v>21337013</v></cell><cell r="AD6529"><v>720196</v></cell><cell r="AE6529" t="str"><v>Facebook</v></cell><cell r="AF6529"><v>3654128</v></cell><cell r="AG6529" t="str"><v>Facebook»Audience & Interest Targeting- Azure Trial Lookalikes»1x1»TextLink»CAN»MO»CPM»AUT»W»NA»SS»NA»Free Account Developer- AI</v></cell><cell r="AH6529"><v>226887139</v></cell><cell r="AI6529" t="str"><v>AzurePlatform_FBCTCcanvaspage-BuyNowCTA-Img3_GBR_1080x162_SOC_Plat_English_NA_Standard_NA_BN_T3_1</v></cell><cell r="AJ6529"><v>103230847</v></cell></row><row r="6530"><cell r="C6530" t="str"><v>43328Facebook»Audience & Interest Targeting- Azure Trial Lookalikes»1x1»TextLink»CAN»MO»CPM»AUT»W»NA»SS»NA»Free Account Developer- AI</v></cell><cell r="D6530" t="str"><v>43328226887139</v></cell><cell r="E6530" t="str"><v>43328103235146er- AI</v></cell><cell r="F6530" t="str"><v>DCM</v></cell><cell r="G6530" t="str"><v>https://signup.azure.com/signup?offer=ms-azr-0044p&appId=102&ref=paidmedia-social-fb&redirectURL=https%3a%2f%2fazure.microsoft.com%2fen-gb%2fget-started%2fwelcome-to-azure%2f&l=en-gb&correlationId=ead86c34-1f10-49dd-a72b-6918462a2cbf</v></cell></row><row r="6530"><cell r="K6530" t="str"><v>August</v></cell><cell r="L6530"><v>43330</v></cell><cell r="M6530" t="str"><v>Tier 1</v></cell><cell r="N6530" t="str"><v>EMEA</v></cell><cell r="O6530" t="str"><v>United Kingdom</v></cell><cell r="P6530" t="str"><v>Trial</v></cell><cell r="Q6530" t="str"><v>Social</v></cell><cell r="R6530" t="str"><v>Azure</v></cell><cell r="S6530" t="str"><v>Apps & Infra</v></cell><cell r="T6530" t="str"><v>Developers & ITI's</v></cell><cell r="U6530" t="str"><v>Audience & Interest Targeting- Azure Trial Lookalikes</v></cell><cell r="V6530" t="str"><v>Audience Targeting</v></cell><cell r="W6530" t="str"><v>Canvas Ad</v></cell><cell r="X6530" t="str"><v>1x1</v></cell></row><row r="6530"><cell r="AA6530"><v>43328</v></cell><cell r="AB6530" t="str"><v>GBR_gaPMG_CE_AZR_Q1_19_Trial-Social</v></cell><cell r="AC6530"><v>21337013</v></cell><cell r="AD6530"><v>720196</v></cell><cell r="AE6530" t="str"><v>Facebook</v></cell><cell r="AF6530"><v>3654128</v></cell><cell r="AG6530" t="str"><v>Facebook»Audience & Interest Targeting- Azure Trial Lookalikes»1x1»TextLink»CAN»MO»CPM»AUT»W»NA»SS»NA»Free Account Developer- AI</v></cell><cell r="AH6530"><v>226887139</v></cell><cell r="AI6530" t="str"><v>AzurePlatform_FBCTCcanvaspage-StartFreeCTA-Img2_GBR_1080x143 _SOC_Plat_English_NA_Standard_NA_NA_T2_1</v></cell><cell r="AJ6530"><v>103235146</v></cell></row><row r="6531"><cell r="C6531" t="str"><v>43328Facebook»Audience & Interest Targeting- Azure Trial Lookalikes»1x1»TextLink»CAN»MO»CPM»AUT»W»NA»SS»NA»Free Account Developer- Open Source</v></cell><cell r="D6531" t="str"><v>43328227035821</v></cell><cell r="E6531" t="str"><v>43328103235146Source</v></cell><cell r="F6531" t="str"><v>DCM</v></cell><cell r="G6531" t="str"><v>https://signup.azure.com/signup?offer=ms-azr-0044p&appId=102&ref=paidmedia-social-fb&redirectURL=https%3a%2f%2fazure.microsoft.com%2fen-gb%2fget-started%2fwelcome-to-azure%2f&l=en-gb&correlationId=ead86c34-1f10-49dd-a72b-6918462a2cbf</v></cell></row><row r="6531"><cell r="K6531" t="str"><v>August</v></cell><cell r="L6531"><v>43330</v></cell><cell r="M6531" t="str"><v>Tier 1</v></cell><cell r="N6531" t="str"><v>EMEA</v></cell><cell r="O6531" t="str"><v>United Kingdom</v></cell><cell r="P6531" t="str"><v>Trial</v></cell><cell r="Q6531" t="str"><v>Social</v></cell><cell r="R6531" t="str"><v>Azure</v></cell><cell r="S6531" t="str"><v>Apps & Infra</v></cell><cell r="T6531" t="str"><v>Developers & ITI's</v></cell><cell r="U6531" t="str"><v>Audience & Interest Targeting- Azure Trial Lookalikes</v></cell><cell r="V6531" t="str"><v>Audience Targeting</v></cell><cell r="W6531" t="str"><v>Canvas Ad</v></cell><cell r="X6531" t="str"><v>1x1</v></cell></row><row r="6531"><cell r="AA6531"><v>43328</v></cell><cell r="AB6531" t="str"><v>GBR_gaPMG_CE_AZR_Q1_19_Trial-Social</v></cell><cell r="AC6531"><v>21337013</v></cell><cell r="AD6531"><v>720196</v></cell><cell r="AE6531" t="str"><v>Facebook</v></cell><cell r="AF6531"><v>3654128</v></cell><cell r="AG6531" t="str"><v>Facebook»Audience & Interest Targeting- Azure Trial Lookalikes»1x1»TextLink»CAN»MO»CPM»AUT»W»NA»SS»NA»Free Account Developer- Open Source</v></cell><cell r="AH6531"><v>227035821</v></cell><cell r="AI6531" t="str"><v>AzurePlatform_FBCTCcanvaspage-StartFreeCTA-Img2_GBR_1080x143 _SOC_Plat_English_NA_Standard_NA_NA_T2_1</v></cell><cell r="AJ6531"><v>103235146</v></cell></row><row r="6532"><cell r="C6532" t="str"><v>43328Facebook»Audience & Interest Targeting- Azure Trial PayGo Lookalikes»1x1»TextLink»CAN»MO»CPM»AUT»W»NA»SS»NA»Free Account Developer- AI</v></cell><cell r="D6532" t="str"><v>43328226796675</v></cell><cell r="E6532" t="str"><v>43328103230847er- AI</v></cell><cell r="F6532" t="str"><v>DCM</v></cell><cell r="G6532" t="str"><v>https://azure.microsoft.com/en-gb/pricing/purchase-options/</v></cell></row><row r="6532"><cell r="K6532" t="str"><v>August</v></cell><cell r="L6532"><v>43330</v></cell><cell r="M6532" t="str"><v>Tier 1</v></cell><cell r="N6532" t="str"><v>EMEA</v></cell><cell r="O6532" t="str"><v>United Kingdom</v></cell><cell r="P6532" t="str"><v>Trial</v></cell><cell r="Q6532" t="str"><v>Social</v></cell><cell r="R6532" t="str"><v>Azure</v></cell><cell r="S6532" t="str"><v>Apps & Infra</v></cell><cell r="T6532" t="str"><v>Developers & ITI's</v></cell><cell r="U6532" t="str"><v>Audience & Interest Targeting- Azure Trial PayGo Lookalikes</v></cell><cell r="V6532" t="str"><v>Audience Targeting</v></cell><cell r="W6532" t="str"><v>Canvas Ad</v></cell><cell r="X6532" t="str"><v>1x1</v></cell></row><row r="6532"><cell r="AA6532"><v>43328</v></cell><cell r="AB6532" t="str"><v>GBR_gaPMG_CE_AZR_Q1_19_Trial-Social</v></cell><cell r="AC6532"><v>21337013</v></cell><cell r="AD6532"><v>720196</v></cell><cell r="AE6532" t="str"><v>Facebook</v></cell><cell r="AF6532"><v>3654128</v></cell><cell r="AG6532" t="str"><v>Facebook»Audience & Interest Targeting- Azure Trial PayGo Lookalikes»1x1»TextLink»CAN»MO»CPM»AUT»W»NA»SS»NA»Free Account Developer- AI</v></cell><cell r="AH6532"><v>226796675</v></cell><cell r="AI6532" t="str"><v>AzurePlatform_FBCTCcanvaspage-BuyNowCTA-Img3_GBR_1080x162_SOC_Plat_English_NA_Standard_NA_BN_T3_1</v></cell><cell r="AJ6532"><v>103230847</v></cell></row><row r="6533"><cell r="C6533" t="str"><v>43328Facebook»Audience & Interest Targeting- Azure Trial PayGo Lookalikes»1x1»TextLink»CAN»MO»CPM»AUT»W»NA»SS»NA»Free Account Developer- AI</v></cell><cell r="D6533" t="str"><v>43328226796675</v></cell><cell r="E6533" t="str"><v>43328103235146er- AI</v></cell><cell r="F6533" t="str"><v>DCM</v></cell><cell r="G6533" t="str"><v>https://signup.azure.com/signup?offer=ms-azr-0044p&appId=102&ref=paidmedia-social-fb&redirectURL=https%3a%2f%2fazure.microsoft.com%2fen-gb%2fget-started%2fwelcome-to-azure%2f&l=en-gb&correlationId=ead86c34-1f10-49dd-a72b-6918462a2cbf</v></cell></row><row r="6533"><cell r="K6533" t="str"><v>August</v></cell><cell r="L6533"><v>43330</v></cell><cell r="M6533" t="str"><v>Tier 1</v></cell><cell r="N6533" t="str"><v>EMEA</v></cell><cell r="O6533" t="str"><v>United Kingdom</v></cell><cell r="P6533" t="str"><v>Trial</v></cell><cell r="Q6533" t="str"><v>Social</v></cell><cell r="R6533" t="str"><v>Azure</v></cell><cell r="S6533" t="str"><v>Apps & Infra</v></cell><cell r="T6533" t="str"><v>Developers & ITI's</v></cell><cell r="U6533" t="str"><v>Audience & Interest Targeting- Azure Trial PayGo Lookalikes</v></cell><cell r="V6533" t="str"><v>Audience Targeting</v></cell><cell r="W6533" t="str"><v>Canvas Ad</v></cell><cell r="X6533" t="str"><v>1x1</v></cell></row><row r="6533"><cell r="AA6533"><v>43328</v></cell><cell r="AB6533" t="str"><v>GBR_gaPMG_CE_AZR_Q1_19_Trial-Social</v></cell><cell r="AC6533"><v>21337013</v></cell><cell r="AD6533"><v>720196</v></cell><cell r="AE6533" t="str"><v>Facebook</v></cell><cell r="AF6533"><v>3654128</v></cell><cell r="AG6533" t="str"><v>Facebook»Audience & Interest Targeting- Azure Trial PayGo Lookalikes»1x1»TextLink»CAN»MO»CPM»AUT»W»NA»SS»NA»Free Account Developer- AI</v></cell><cell r="AH6533"><v>226796675</v></cell><cell r="AI6533" t="str"><v>AzurePlatform_FBCTCcanvaspage-StartFreeCTA-Img2_GBR_1080x143 _SOC_Plat_English_NA_Standard_NA_NA_T2_1</v></cell><cell r="AJ6533"><v>103235146</v></cell></row><row r="6534"><cell r="C6534" t="str"><v>43328Facebook»AZP-Canvas-Interest&Role-Trial»1x1»Canvas»OTH»MO»CPM»PRO»X»UNK»TP»OT»Canvas-Trial</v></cell><cell r="D6534" t="str"><v>43328223298805</v></cell><cell r="E6534" t="str"><v>43328102630373-Trial</v></cell><cell r="F6534" t="str"><v>DCM</v></cell><cell r="G6534" t="str"><v>https://azure.microsoft.com/ja-jp/pricing/purchase-options/</v></cell></row><row r="6534"><cell r="K6534" t="str"><v>August</v></cell><cell r="L6534"><v>43330</v></cell><cell r="M6534" t="str"><v>Tier 1</v></cell><cell r="N6534" t="str"><v>APAC</v></cell><cell r="O6534" t="str"><v>Japan</v></cell><cell r="P6534" t="str"><v>Trial</v></cell><cell r="Q6534" t="str"><v>Social</v></cell><cell r="R6534" t="str"><v>Azure</v></cell><cell r="S6534" t="str"><v>Apps & Infra</v></cell><cell r="T6534" t="str"><v>Developers & ITI's</v></cell><cell r="U6534" t="str"><v>AZP-Canvas-Interest&Role-Trial</v></cell><cell r="V6534" t="str"><v>Prospecting</v></cell><cell r="W6534" t="str"><v>Other</v></cell><cell r="X6534" t="str"><v>1x1</v></cell></row><row r="6534"><cell r="AA6534"><v>43328</v></cell><cell r="AB6534" t="str"><v>JPN_gaPMG_AZR_AZR_Q1_19_Trial-Social</v></cell><cell r="AC6534"><v>21276694</v></cell><cell r="AD6534"><v>720195</v></cell><cell r="AE6534" t="str"><v>Facebook</v></cell><cell r="AF6534"><v>3654128</v></cell><cell r="AG6534" t="str"><v>Facebook»AZP-Canvas-Interest&Role-Trial»1x1»Canvas»OTH»MO»CPM»PRO»X»UNK»TP»OT»Canvas-Trial</v></cell><cell r="AH6534"><v>223298805</v></cell><cell r="AI6534" t="str"><v>AzurePlatform_FBCTCcanvaspage-BuyNowCTA-Img3_JPN_1080x162_SOC_Plat_Japanese_NA_Standard_NA_BN_T3_1</v></cell><cell r="AJ6534"><v>102630373</v></cell></row><row r="6535"><cell r="C6535" t="str"><v>43328Facebook»AZP-Canvas-Interest&Role-Trial»1x1»Canvas»OTH»MO»CPM»PRO»X»UNK»TP»OT»Canvas-Trial</v></cell><cell r="D6535" t="str"><v>43328223298805</v></cell><cell r="E6535" t="str"><v>43328102609621-Trial</v></cell><cell r="F6535" t="str"><v>DCM</v></cell><cell r="G6535" t="str"><v>https://signup.azure.com/signup?offer=ms-azr-0044p&appId=102&ref=paidmedia-social-fb&redirectURL=https%3a%2f%2fazure.microsoft.com%2fja-jp%2fget-started%2fwelcome-to-azure%2f&l=ja-jp&correlationId=ead86c34-1f10-49dd-a72b-6918462a2cbf</v></cell></row><row r="6535"><cell r="K6535" t="str"><v>August</v></cell><cell r="L6535"><v>43330</v></cell><cell r="M6535" t="str"><v>Tier 1</v></cell><cell r="N6535" t="str"><v>APAC</v></cell><cell r="O6535" t="str"><v>Japan</v></cell><cell r="P6535" t="str"><v>Trial</v></cell><cell r="Q6535" t="str"><v>Social</v></cell><cell r="R6535" t="str"><v>Azure</v></cell><cell r="S6535" t="str"><v>Apps & Infra</v></cell><cell r="T6535" t="str"><v>Developers & ITI's</v></cell><cell r="U6535" t="str"><v>AZP-Canvas-Interest&Role-Trial</v></cell><cell r="V6535" t="str"><v>Prospecting</v></cell><cell r="W6535" t="str"><v>Other</v></cell><cell r="X6535" t="str"><v>1x1</v></cell></row><row r="6535"><cell r="AA6535"><v>43328</v></cell><cell r="AB6535" t="str"><v>JPN_gaPMG_AZR_AZR_Q1_19_Trial-Social</v></cell><cell r="AC6535"><v>21276694</v></cell><cell r="AD6535"><v>720195</v></cell><cell r="AE6535" t="str"><v>Facebook</v></cell><cell r="AF6535"><v>3654128</v></cell><cell r="AG6535" t="str"><v>Facebook»AZP-Canvas-Interest&Role-Trial»1x1»Canvas»OTH»MO»CPM»PRO»X»UNK»TP»OT»Canvas-Trial</v></cell><cell r="AH6535"><v>223298805</v></cell><cell r="AI6535" t="str"><v>AzurePlatform_FBCTCcanvaspage-StartFreeCTA-Img2_JPN_1080x143 _SOC_Plat_Japanese_NA_Standard_NA_NA_T2_1</v></cell><cell r="AJ6535"><v>102609621</v></cell></row><row r="6536"><cell r="C6536" t="str"><v>43328Facebook»AZP-Canvas-Look a Like-Trial»1x1»Canvas»OTH»MO»CPM»PRO»X»UNK»TP»OT»Canvas-Trial</v></cell><cell r="D6536" t="str"><v>43328223297413</v></cell><cell r="E6536" t="str"><v>43328102630373-Trial</v></cell><cell r="F6536" t="str"><v>DCM</v></cell><cell r="G6536" t="str"><v>https://azure.microsoft.com/ja-jp/pricing/purchase-options/</v></cell></row><row r="6536"><cell r="K6536" t="str"><v>August</v></cell><cell r="L6536"><v>43330</v></cell><cell r="M6536" t="str"><v>Tier 1</v></cell><cell r="N6536" t="str"><v>APAC</v></cell><cell r="O6536" t="str"><v>Japan</v></cell><cell r="P6536" t="str"><v>Trial</v></cell><cell r="Q6536" t="str"><v>Social</v></cell><cell r="R6536" t="str"><v>Azure</v></cell><cell r="S6536" t="str"><v>Apps & Infra</v></cell><cell r="T6536" t="str"><v>Developers & ITI's</v></cell><cell r="U6536" t="str"><v>AZP-Canvas-Look a Like-Trial</v></cell><cell r="V6536" t="str"><v>Prospecting</v></cell><cell r="W6536" t="str"><v>Other</v></cell><cell r="X6536" t="str"><v>1x1</v></cell></row><row r="6536"><cell r="AA6536"><v>43328</v></cell><cell r="AB6536" t="str"><v>JPN_gaPMG_AZR_AZR_Q1_19_Trial-Social</v></cell><cell r="AC6536"><v>21276694</v></cell><cell r="AD6536"><v>720195</v></cell><cell r="AE6536" t="str"><v>Facebook</v></cell><cell r="AF6536"><v>3654128</v></cell><cell r="AG6536" t="str"><v>Facebook»AZP-Canvas-Look a Like-Trial»1x1»Canvas»OTH»MO»CPM»PRO»X»UNK»TP»OT»Canvas-Trial</v></cell><cell r="AH6536"><v>223297413</v></cell><cell r="AI6536" t="str"><v>AzurePlatform_FBCTCcanvaspage-BuyNowCTA-Img3_JPN_1080x162_SOC_Plat_Japanese_NA_Standard_NA_BN_T3_1</v></cell><cell r="AJ6536"><v>102630373</v></cell></row><row r="6537"><cell r="C6537" t="str"><v>43328Facebook»AZP-Canvas-Look a Like-Trial»1x1»Canvas»OTH»MO»CPM»PRO»X»UNK»TP»OT»Canvas-Trial</v></cell><cell r="D6537" t="str"><v>43328223297413</v></cell><cell r="E6537" t="str"><v>43328102609621-Trial</v></cell><cell r="F6537" t="str"><v>DCM</v></cell><cell r="G6537" t="str"><v>https://signup.azure.com/signup?offer=ms-azr-0044p&appId=102&ref=paidmedia-social-fb&redirectURL=https%3a%2f%2fazure.microsoft.com%2fja-jp%2fget-started%2fwelcome-to-azure%2f&l=ja-jp&correlationId=ead86c34-1f10-49dd-a72b-6918462a2cbf</v></cell></row><row r="6537"><cell r="K6537" t="str"><v>August</v></cell><cell r="L6537"><v>43330</v></cell><cell r="M6537" t="str"><v>Tier 1</v></cell><cell r="N6537" t="str"><v>APAC</v></cell><cell r="O6537" t="str"><v>Japan</v></cell><cell r="P6537" t="str"><v>Trial</v></cell><cell r="Q6537" t="str"><v>Social</v></cell><cell r="R6537" t="str"><v>Azure</v></cell><cell r="S6537" t="str"><v>Apps & Infra</v></cell><cell r="T6537" t="str"><v>Developers & ITI's</v></cell><cell r="U6537" t="str"><v>AZP-Canvas-Look a Like-Trial</v></cell><cell r="V6537" t="str"><v>Prospecting</v></cell><cell r="W6537" t="str"><v>Other</v></cell><cell r="X6537" t="str"><v>1x1</v></cell></row><row r="6537"><cell r="AA6537"><v>43328</v></cell><cell r="AB6537" t="str"><v>JPN_gaPMG_AZR_AZR_Q1_19_Trial-Social</v></cell><cell r="AC6537"><v>21276694</v></cell><cell r="AD6537"><v>720195</v></cell><cell r="AE6537" t="str"><v>Facebook</v></cell><cell r="AF6537"><v>3654128</v></cell><cell r="AG6537" t="str"><v>Facebook»AZP-Canvas-Look a Like-Trial»1x1»Canvas»OTH»MO»CPM»PRO»X»UNK»TP»OT»Canvas-Trial</v></cell><cell r="AH6537"><v>223297413</v></cell><cell r="AI6537" t="str"><v>AzurePlatform_FBCTCcanvaspage-StartFreeCTA-Img2_JPN_1080x143 _SOC_Plat_Japanese_NA_Standard_NA_NA_T2_1</v></cell><cell r="AJ6537"><v>102609621</v></cell></row><row r="6538"><cell r="C6538" t="str"><v>43328Facebook»AZP-Canvas-Retargeting-Trial»1x1»Canvas»SOC»MO»CPM»PRO»W»UNK»SS»OT»Canvas-Trial</v></cell><cell r="D6538" t="str"><v>43328226269941</v></cell><cell r="E6538" t="str"><v>43328104061321-Trial</v></cell><cell r="F6538" t="str"><v>DCM</v></cell><cell r="G6538" t="str"><v>https://signup.azure.com/signup?offer=ms-azr-0044p&appId=102&ref=paidmedia-social-fb&redirectURL=https%3a%2f%2fazure.microsoft.com%2fja-jp%2fget-started%2fwelcome-to-azure%2f&l=ja-jp&correlationId=ead86c34-1f10-49dd-a72b-6918462a2cbf</v></cell></row><row r="6538"><cell r="K6538" t="str"><v>August</v></cell><cell r="L6538"><v>43330</v></cell><cell r="M6538" t="str"><v>Tier 1</v></cell><cell r="N6538" t="str"><v>APAC</v></cell><cell r="O6538" t="str"><v>Japan</v></cell><cell r="P6538" t="str"><v>Trial</v></cell><cell r="Q6538" t="str"><v>Social</v></cell><cell r="R6538" t="str"><v>Azure</v></cell><cell r="S6538" t="str"><v>Apps & Infra</v></cell><cell r="T6538" t="str"><v>Developers & ITI's</v></cell><cell r="U6538" t="str"><v>AZP-Canvas-Retargeting-Trial</v></cell><cell r="V6538" t="str"><v>Prospecting</v></cell><cell r="W6538" t="str"><v>Social</v></cell><cell r="X6538" t="str"><v>1x1</v></cell></row><row r="6538"><cell r="AA6538"><v>43328</v></cell><cell r="AB6538" t="str"><v>JPN_gaPMG_AZR_AZR_Q1_19_Trial-Social</v></cell><cell r="AC6538"><v>21276694</v></cell><cell r="AD6538"><v>720195</v></cell><cell r="AE6538" t="str"><v>Facebook</v></cell><cell r="AF6538"><v>3654128</v></cell><cell r="AG6538" t="str"><v>Facebook»AZP-Canvas-Retargeting-Trial»1x1»Canvas»SOC»MO»CPM»PRO»W»UNK»SS»OT»Canvas-Trial</v></cell><cell r="AH6538"><v>226269941</v></cell><cell r="AI6538" t="str"><v>AZR_FBCTCcanvaspage-StartFreeCTA-Img2_JPN_1080x143 _SOC_Plat_Japanese_NA_Standard_NA_NA_T2_1</v></cell><cell r="AJ6538"><v>104061321</v></cell></row><row r="6539"><cell r="C6539" t="str"><v>43328Facebook»AZP-Canvas-iine-Trial»1x1»Canvas»SOC»MO»CPM»AUT»W»NA»SS»NA»Canvas-Trial</v></cell><cell r="D6539" t="str"><v>43328227208508</v></cell><cell r="E6539" t="str"><v>43328102630373-Trial</v></cell><cell r="F6539" t="str"><v>DCM</v></cell><cell r="G6539" t="str"><v>https://azure.microsoft.com/ja-jp/pricing/purchase-options/</v></cell></row><row r="6539"><cell r="K6539" t="str"><v>August</v></cell><cell r="L6539"><v>43330</v></cell><cell r="M6539" t="str"><v>Tier 1</v></cell><cell r="N6539" t="str"><v>APAC</v></cell><cell r="O6539" t="str"><v>Japan</v></cell><cell r="P6539" t="str"><v>Trial</v></cell><cell r="Q6539" t="str"><v>Social</v></cell><cell r="R6539" t="str"><v>Azure</v></cell><cell r="S6539" t="str"><v>Apps & Infra</v></cell><cell r="T6539" t="str"><v>Developers & ITI's</v></cell><cell r="U6539" t="str"><v>AZP-Canvas-iine-Trial</v></cell><cell r="V6539" t="str"><v>Audience Targeting</v></cell><cell r="W6539" t="str"><v>Social</v></cell><cell r="X6539" t="str"><v>1x1</v></cell></row><row r="6539"><cell r="AA6539"><v>43328</v></cell><cell r="AB6539" t="str"><v>JPN_gaPMG_AZR_AZR_Q1_19_Trial-Social</v></cell><cell r="AC6539"><v>21276694</v></cell><cell r="AD6539"><v>720195</v></cell><cell r="AE6539" t="str"><v>Facebook</v></cell><cell r="AF6539"><v>3654128</v></cell><cell r="AG6539" t="str"><v>Facebook»AZP-Canvas-iine-Trial»1x1»Canvas»SOC»MO»CPM»AUT»W»NA»SS»NA»Canvas-Trial</v></cell><cell r="AH6539"><v>227208508</v></cell><cell r="AI6539" t="str"><v>AzurePlatform_FBCTCcanvaspage-BuyNowCTA-Img3_JPN_1080x162_SOC_Plat_Japanese_NA_Standard_NA_BN_T3_1</v></cell><cell r="AJ6539"><v>102630373</v></cell></row><row r="6540"><cell r="C6540" t="str"><v>43328Facebook»AZP-Canvas-iine-Trial»1x1»Canvas»SOC»MO»CPM»AUT»W»NA»SS»NA»Canvas-Trial</v></cell><cell r="D6540" t="str"><v>43328227208508</v></cell><cell r="E6540" t="str"><v>43328102609621-Trial</v></cell><cell r="F6540" t="str"><v>DCM</v></cell><cell r="G6540" t="str"><v>https://signup.azure.com/signup?offer=ms-azr-0044p&appId=102&ref=paidmedia-social-fb&redirectURL=https%3a%2f%2fazure.microsoft.com%2fja-jp%2fget-started%2fwelcome-to-azure%2f&l=ja-jp&correlationId=ead86c34-1f10-49dd-a72b-6918462a2cbf</v></cell></row><row r="6540"><cell r="K6540" t="str"><v>August</v></cell><cell r="L6540"><v>43330</v></cell><cell r="M6540" t="str"><v>Tier 1</v></cell><cell r="N6540" t="str"><v>APAC</v></cell><cell r="O6540" t="str"><v>Japan</v></cell><cell r="P6540" t="str"><v>Trial</v></cell><cell r="Q6540" t="str"><v>Social</v></cell><cell r="R6540" t="str"><v>Azure</v></cell><cell r="S6540" t="str"><v>Apps & Infra</v></cell><cell r="T6540" t="str"><v>Developers & ITI's</v></cell><cell r="U6540" t="str"><v>AZP-Canvas-iine-Trial</v></cell><cell r="V6540" t="str"><v>Audience Targeting</v></cell><cell r="W6540" t="str"><v>Social</v></cell><cell r="X6540" t="str"><v>1x1</v></cell></row><row r="6540"><cell r="AA6540"><v>43328</v></cell><cell r="AB6540" t="str"><v>JPN_gaPMG_AZR_AZR_Q1_19_Trial-Social</v></cell><cell r="AC6540"><v>21276694</v></cell><cell r="AD6540"><v>720195</v></cell><cell r="AE6540" t="str"><v>Facebook</v></cell><cell r="AF6540"><v>3654128</v></cell><cell r="AG6540" t="str"><v>Facebook»AZP-Canvas-iine-Trial»1x1»Canvas»SOC»MO»CPM»AUT»W»NA»SS»NA»Canvas-Trial</v></cell><cell r="AH6540"><v>227208508</v></cell><cell r="AI6540" t="str"><v>AzurePlatform_FBCTCcanvaspage-StartFreeCTA-Img2_JPN_1080x143 _SOC_Plat_Japanese_NA_Standard_NA_NA_T2_1</v></cell><cell r="AJ6540"><v>102609621</v></cell></row><row r="6541"><cell r="C6541" t="str"><v>43328FACEBOOK»USA-Trial-ITD-Interest Prospecting-AZR-AZR»1 x 1»SocialBan»CAN»ALL»CPA»PRO»X»NA»SS»NA»FBCTCBenefit2inMotion»PRC1SW</v></cell><cell r="D6541" t="str"><v>43328223933138</v></cell><cell r="E6541" t="str"><v>43328103043835PRC1SW</v></cell><cell r="F6541" t="str"><v>DCM</v></cell><cell r="G6541" t="str"><v>https://signup.azure.com/?OCID=AID%eexcid!_OLA_%ebuy!_%epid!_%ecid!</v></cell></row><row r="6541"><cell r="K6541" t="str"><v>August</v></cell><cell r="L6541"><v>43330</v></cell><cell r="M6541" t="str"><v>Tier 0</v></cell><cell r="N6541" t="str"><v>North America</v></cell><cell r="O6541" t="str"><v>United States</v></cell><cell r="P6541" t="str"><v>Trial</v></cell><cell r="Q6541" t="str"><v>Social</v></cell><cell r="R6541" t="str"><v>Azure</v></cell><cell r="S6541" t="str"><v>Apps & Infra</v></cell><cell r="T6541" t="str"><v>Developers & ITI's</v></cell><cell r="U6541" t="str"><v>USA-Trial-ITD-Interest Prospecting-AZR-AZR</v></cell><cell r="V6541" t="str"><v>Prospecting</v></cell><cell r="W6541" t="str"><v>Canvas Ad</v></cell><cell r="X6541" t="str"><v>1x1</v></cell></row><row r="6541"><cell r="AA6541"><v>43328</v></cell><cell r="AB6541" t="str"><v>USA_gaPMG_AZR_AZR_Q1_19_Direct-Social</v></cell><cell r="AC6541"><v>21358715</v></cell><cell r="AD6541"><v>720197</v></cell><cell r="AE6541" t="str"><v>Facebook</v></cell><cell r="AF6541"><v>3654128</v></cell><cell r="AG6541" t="str"><v>FACEBOOK»USA-Trial-ITD-Interest Prospecting-AZR-AZR»1 x 1»SocialBan»CAN»ALL»CPA»PRO»X»NA»SS»NA»FBCTCBenefit2inMotion»PRC1SW</v></cell><cell r="AH6541"><v>223933138</v></cell><cell r="AI6541" t="str"><v>AzurePlatform_FBCTCBenefit2inMotion_USA_10s_CAN_PLATFORM_English_Trial_Standard_STAN_TIN_T4_1</v></cell><cell r="AJ6541"><v>103043835</v></cell></row><row r="6542"><cell r="C6542" t="str"><v>43328FACEBOOK»USA-Trial-ITD-Interest Prospecting-AZR-AZR»1 x 1»SocialBan»CAN»ALL»CPA»PRO»X»NA»SS»NA»FBCTCBenefit2inMotion»PRC1SW</v></cell><cell r="D6542" t="str"><v>43328223933138</v></cell><cell r="E6542" t="str"><v>43328103178645PRC1SW</v></cell><cell r="F6542" t="str"><v>DCM</v></cell><cell r="G6542" t="str"><v>https://azure.microsoft.com/en-us/pricing/purchase-options/?v=18.19&OCID=AID%eexcid!_OLA_%ebuy!_%epid!_%ecid!</v></cell></row><row r="6542"><cell r="K6542" t="str"><v>August</v></cell><cell r="L6542"><v>43330</v></cell><cell r="M6542" t="str"><v>Tier 0</v></cell><cell r="N6542" t="str"><v>North America</v></cell><cell r="O6542" t="str"><v>United States</v></cell><cell r="P6542" t="str"><v>Trial</v></cell><cell r="Q6542" t="str"><v>Social</v></cell><cell r="R6542" t="str"><v>Azure</v></cell><cell r="S6542" t="str"><v>Apps & Infra</v></cell><cell r="T6542" t="str"><v>Developers & ITI's</v></cell><cell r="U6542" t="str"><v>USA-Trial-ITD-Interest Prospecting-AZR-AZR</v></cell><cell r="V6542" t="str"><v>Prospecting</v></cell><cell r="W6542" t="str"><v>Canvas Ad</v></cell><cell r="X6542" t="str"><v>1x1</v></cell></row><row r="6542"><cell r="AA6542"><v>43328</v></cell><cell r="AB6542" t="str"><v>USA_gaPMG_AZR_AZR_Q1_19_Direct-Social</v></cell><cell r="AC6542"><v>21358715</v></cell><cell r="AD6542"><v>720197</v></cell><cell r="AE6542" t="str"><v>Facebook</v></cell><cell r="AF6542"><v>3654128</v></cell><cell r="AG6542" t="str"><v>FACEBOOK»USA-Trial-ITD-Interest Prospecting-AZR-AZR»1 x 1»SocialBan»CAN»ALL»CPA»PRO»X»NA»SS»NA»FBCTCBenefit2inMotion»PRC1SW</v></cell><cell r="AH6542"><v>223933138</v></cell><cell r="AI6542" t="str"><v>AzurePlatform_FBCTCBenefit2inMotion_USA_10s_CAN_PLATFORM_English_Trial_Standard_STAN_TIN_T4_2</v></cell><cell r="AJ6542"><v>103178645</v></cell></row><row r="6543"><cell r="C6543" t="str"><v>43328FACEBOOK»USA-Trial-ITD-Interest Prospecting-AZR-AZR»1 x 1»SocialBan»CAN»ALL»CPA»PRO»X»NA»SS»NA»FBCTCBrandinMotion»PRC1SY</v></cell><cell r="D6543" t="str"><v>43328224104929</v></cell><cell r="E6543" t="str"><v>43328103176812PRC1SY</v></cell><cell r="F6543" t="str"><v>DCM</v></cell><cell r="G6543" t="str"><v>https://signup.azure.com/?OCID=AID%eexcid!_OLA_%ebuy!_%epid!_%ecid!</v></cell></row><row r="6543"><cell r="K6543" t="str"><v>August</v></cell><cell r="L6543"><v>43330</v></cell><cell r="M6543" t="str"><v>Tier 0</v></cell><cell r="N6543" t="str"><v>North America</v></cell><cell r="O6543" t="str"><v>United States</v></cell><cell r="P6543" t="str"><v>Trial</v></cell><cell r="Q6543" t="str"><v>Social</v></cell><cell r="R6543" t="str"><v>Azure</v></cell><cell r="S6543" t="str"><v>Apps & Infra</v></cell><cell r="T6543" t="str"><v>Developers & ITI's</v></cell><cell r="U6543" t="str"><v>USA-Trial-ITD-Interest Prospecting-AZR-AZR</v></cell><cell r="V6543" t="str"><v>Prospecting</v></cell><cell r="W6543" t="str"><v>Canvas Ad</v></cell><cell r="X6543" t="str"><v>1x1</v></cell></row><row r="6543"><cell r="AA6543"><v>43328</v></cell><cell r="AB6543" t="str"><v>USA_gaPMG_AZR_AZR_Q1_19_Direct-Social</v></cell><cell r="AC6543"><v>21358715</v></cell><cell r="AD6543"><v>720197</v></cell><cell r="AE6543" t="str"><v>Facebook</v></cell><cell r="AF6543"><v>3654128</v></cell><cell r="AG6543" t="str"><v>FACEBOOK»USA-Trial-ITD-Interest Prospecting-AZR-AZR»1 x 1»SocialBan»CAN»ALL»CPA»PRO»X»NA»SS»NA»FBCTCBrandinMotion»PRC1SY</v></cell><cell r="AH6543"><v>224104929</v></cell><cell r="AI6543" t="str"><v>AzurePlatform_FBCTCBrandinMotion_USA_10s_CAN_PLATFORM_English_Trial_Standard_STAN_TIN_T2_1</v></cell><cell r="AJ6543"><v>103176812</v></cell></row><row r="6544"><cell r="C6544" t="str"><v>43328FACEBOOK»USA-Trial-ITD-Interest Prospecting-AZR-AZR»1 x 1»SocialBan»CAN»ALL»CPA»PRO»X»NA»SS»NA»FBCTCBrandinMotion»PRC1SY</v></cell><cell r="D6544" t="str"><v>43328224104929</v></cell><cell r="E6544" t="str"><v>43328103032823PRC1SY</v></cell><cell r="F6544" t="str"><v>DCM</v></cell><cell r="G6544" t="str"><v>https://azure.microsoft.com/en-us/pricing/purchase-options/?v=18.19&OCID=AID%eexcid!_OLA_%ebuy!_%epid!_%ecid!</v></cell></row><row r="6544"><cell r="K6544" t="str"><v>August</v></cell><cell r="L6544"><v>43330</v></cell><cell r="M6544" t="str"><v>Tier 0</v></cell><cell r="N6544" t="str"><v>North America</v></cell><cell r="O6544" t="str"><v>United States</v></cell><cell r="P6544" t="str"><v>Trial</v></cell><cell r="Q6544" t="str"><v>Social</v></cell><cell r="R6544" t="str"><v>Azure</v></cell><cell r="S6544" t="str"><v>Apps & Infra</v></cell><cell r="T6544" t="str"><v>Developers & ITI's</v></cell><cell r="U6544" t="str"><v>USA-Trial-ITD-Interest Prospecting-AZR-AZR</v></cell><cell r="V6544" t="str"><v>Prospecting</v></cell><cell r="W6544" t="str"><v>Canvas Ad</v></cell><cell r="X6544" t="str"><v>1x1</v></cell></row><row r="6544"><cell r="AA6544"><v>43328</v></cell><cell r="AB6544" t="str"><v>USA_gaPMG_AZR_AZR_Q1_19_Direct-Social</v></cell><cell r="AC6544"><v>21358715</v></cell><cell r="AD6544"><v>720197</v></cell><cell r="AE6544" t="str"><v>Facebook</v></cell><cell r="AF6544"><v>3654128</v></cell><cell r="AG6544" t="str"><v>FACEBOOK»USA-Trial-ITD-Interest Prospecting-AZR-AZR»1 x 1»SocialBan»CAN»ALL»CPA»PRO»X»NA»SS»NA»FBCTCBrandinMotion»PRC1SY</v></cell><cell r="AH6544"><v>224104929</v></cell><cell r="AI6544" t="str"><v>AzurePlatform_FBCTCBrandinMotion_USA_10s_CAN_PLATFORM_English_Trial_Standard_STAN_TIN_T2_2</v></cell><cell r="AJ6544"><v>103032823</v></cell></row><row r="6545"><cell r="C6545" t="str"><v>43328FACEBOOK»USA-Trial-ITD-Interest Prospecting-AZR-AZR»1 x 1»SocialBan»LIA»ALL»CPA»PRO»X»NA»SS»NA»FreeAcctDeveloperFB-AnimatedGeneric-Ch1»PRC1SZ</v></cell><cell r="D6545" t="str"><v>43328224104932</v></cell><cell r="E6545" t="str"><v>43328103176851PRC1SZ</v></cell><cell r="F6545" t="str"><v>DCM</v></cell><cell r="G6545" t="str"><v>https://azure.microsoft.com/en-us/free/search/?OCID=AID%eexcid!_OLA_%ebuy!_%epid!_%ecid!</v></cell></row><row r="6545"><cell r="K6545" t="str"><v>August</v></cell><cell r="L6545"><v>43330</v></cell><cell r="M6545" t="str"><v>Tier 0</v></cell><cell r="N6545" t="str"><v>North America</v></cell><cell r="O6545" t="str"><v>United States</v></cell><cell r="P6545" t="str"><v>Trial</v></cell><cell r="Q6545" t="str"><v>Social</v></cell><cell r="R6545" t="str"><v>Azure</v></cell><cell r="S6545" t="str"><v>Apps & Infra</v></cell><cell r="T6545" t="str"><v>Developers & ITI's</v></cell><cell r="U6545" t="str"><v>USA-Trial-ITD-Interest Prospecting-AZR-AZR</v></cell><cell r="V6545" t="str"><v>Prospecting</v></cell><cell r="W6545" t="str"><v>Link Ad</v></cell><cell r="X6545" t="str"><v>1x1</v></cell></row><row r="6545"><cell r="AA6545"><v>43328</v></cell><cell r="AB6545" t="str"><v>USA_gaPMG_AZR_AZR_Q1_19_Direct-Social</v></cell><cell r="AC6545"><v>21358715</v></cell><cell r="AD6545"><v>720197</v></cell><cell r="AE6545" t="str"><v>Facebook</v></cell><cell r="AF6545"><v>3654128</v></cell><cell r="AG6545" t="str"><v>FACEBOOK»USA-Trial-ITD-Interest Prospecting-AZR-AZR»1 x 1»SocialBan»LIA»ALL»CPA»PRO»X»NA»SS»NA»FreeAcctDeveloperFB-AnimatedGeneric-Ch1»PRC1SZ</v></cell><cell r="AH6545"><v>224104932</v></cell><cell r="AI6545" t="str"><v>AZR_FreeAcctDeveloperFB-AnimatedGeneric-Ch1_USA_1200x1200_CAN_Direct_English_Trial_Standard_ANI_LEA_T1_2</v></cell><cell r="AJ6545"><v>103176851</v></cell></row><row r="6546"><cell r="C6546" t="str"><v>43328FACEBOOK»USA-Trial-ITD-Interest Prospecting-AZR-AZR»1 x 1»SocialBan»LIA»ALL»CPA»PRO»X»NA»SS»NA»FreeAcctITProFB-AnimatedSecureMngd-Ch1»PRC1T4</v></cell><cell r="D6546" t="str"><v>43328224104914</v></cell><cell r="E6546" t="str"><v>43328103176830PRC1T4</v></cell><cell r="F6546" t="str"><v>DCM</v></cell></row><row r="6546"><cell r="K6546" t="str"><v>August</v></cell><cell r="L6546"><v>43330</v></cell><cell r="M6546" t="str"><v>Tier 0</v></cell><cell r="N6546" t="str"><v>North America</v></cell><cell r="O6546" t="str"><v>United States</v></cell><cell r="P6546" t="str"><v>Trial</v></cell><cell r="Q6546" t="str"><v>Social</v></cell><cell r="R6546" t="str"><v>Azure</v></cell><cell r="S6546" t="str"><v>Apps & Infra</v></cell><cell r="T6546" t="str"><v>Developers & ITI's</v></cell><cell r="U6546" t="str"><v>USA-Trial-ITD-Interest Prospecting-AZR-AZR</v></cell><cell r="V6546" t="str"><v>Prospecting</v></cell><cell r="W6546" t="str"><v>Link Ad</v></cell><cell r="X6546" t="str"><v>1x1</v></cell></row><row r="6546"><cell r="AA6546"><v>43328</v></cell><cell r="AB6546" t="str"><v>USA_gaPMG_AZR_AZR_Q1_19_Direct-Social</v></cell><cell r="AC6546"><v>21358715</v></cell><cell r="AD6546"><v>720197</v></cell><cell r="AE6546" t="str"><v>Facebook</v></cell><cell r="AF6546"><v>3654128</v></cell><cell r="AG6546" t="str"><v>FACEBOOK»USA-Trial-ITD-Interest Prospecting-AZR-AZR»1 x 1»SocialBan»LIA»ALL»CPA»PRO»X»NA»SS»NA»FreeAcctITProFB-AnimatedSecureMngd-Ch1»PRC1T4</v></cell><cell r="AH6546"><v>224104914</v></cell><cell r="AI6546" t="str"><v>AZR_FreeAcctITProFB-AnimatedSecureMngd-Ch1_USA_1200x1200_CAN_Direct_English_Trial_Standard_ANI_LEA_T1_1</v></cell><cell r="AJ6546"><v>103176830</v></cell></row><row r="6547"><cell r="C6547" t="str"><v>43328FACEBOOK»USA-Trial-ITD-Interest Prospecting-AZR-AZR»1 x 1»SocialBan»CAN»ALL»CPA»PRO»X»NA»SS»NA»FBCTCBenefitinMotion»PRC1SX</v></cell><cell r="D6547" t="str"><v>43328224104077</v></cell><cell r="E6547" t="str"><v>43328103032775PRC1SX</v></cell><cell r="F6547" t="str"><v>DCM</v></cell><cell r="G6547" t="str"><v>https://signup.azure.com/?OCID=AID%eexcid!_OLA_%ebuy!_%epid!_%ecid!</v></cell></row><row r="6547"><cell r="K6547" t="str"><v>August</v></cell><cell r="L6547"><v>43330</v></cell><cell r="M6547" t="str"><v>Tier 0</v></cell><cell r="N6547" t="str"><v>North America</v></cell><cell r="O6547" t="str"><v>United States</v></cell><cell r="P6547" t="str"><v>Trial</v></cell><cell r="Q6547" t="str"><v>Social</v></cell><cell r="R6547" t="str"><v>Azure</v></cell><cell r="S6547" t="str"><v>Apps & Infra</v></cell><cell r="T6547" t="str"><v>Developers & ITI's</v></cell><cell r="U6547" t="str"><v>USA-Trial-ITD-Interest Prospecting-AZR-AZR</v></cell><cell r="V6547" t="str"><v>Prospecting</v></cell><cell r="W6547" t="str"><v>Canvas Ad</v></cell><cell r="X6547" t="str"><v>1x1</v></cell></row><row r="6547"><cell r="AA6547"><v>43328</v></cell><cell r="AB6547" t="str"><v>USA_gaPMG_AZR_AZR_Q1_19_Direct-Social</v></cell><cell r="AC6547"><v>21358715</v></cell><cell r="AD6547"><v>720197</v></cell><cell r="AE6547" t="str"><v>Facebook</v></cell><cell r="AF6547"><v>3654128</v></cell><cell r="AG6547" t="str"><v>FACEBOOK»USA-Trial-ITD-Interest Prospecting-AZR-AZR»1 x 1»SocialBan»CAN»ALL»CPA»PRO»X»NA»SS»NA»FBCTCBenefitinMotion»PRC1SX</v></cell><cell r="AH6547"><v>224104077</v></cell><cell r="AI6547" t="str"><v>AzurePlatform_FBCTCBenefitinMotion_USA_10s_CAN_PLATFORM_English_Trial_Standard_STAN_TIN_T3_1</v></cell><cell r="AJ6547"><v>103032775</v></cell></row><row r="6548"><cell r="C6548" t="str"><v>43328FACEBOOK»USA-Trial-ITD-Interest Prospecting-AZR-AZR»1 x 1»SocialBan»CAN»ALL»CPA»PRO»X»NA»SS»NA»FBCTCBenefitinMotion»PRC1SX</v></cell><cell r="D6548" t="str"><v>43328224104077</v></cell><cell r="E6548" t="str"><v>43328103176836PRC1SX</v></cell><cell r="F6548" t="str"><v>DCM</v></cell><cell r="G6548" t="str"><v>https://azure.microsoft.com/en-us/pricing/purchase-options/?v=18.19&OCID=AID%eexcid!_OLA_%ebuy!_%epid!_%ecid!</v></cell></row><row r="6548"><cell r="K6548" t="str"><v>August</v></cell><cell r="L6548"><v>43330</v></cell><cell r="M6548" t="str"><v>Tier 0</v></cell><cell r="N6548" t="str"><v>North America</v></cell><cell r="O6548" t="str"><v>United States</v></cell><cell r="P6548" t="str"><v>Trial</v></cell><cell r="Q6548" t="str"><v>Social</v></cell><cell r="R6548" t="str"><v>Azure</v></cell><cell r="S6548" t="str"><v>Apps & Infra</v></cell><cell r="T6548" t="str"><v>Developers & ITI's</v></cell><cell r="U6548" t="str"><v>USA-Trial-ITD-Interest Prospecting-AZR-AZR</v></cell><cell r="V6548" t="str"><v>Prospecting</v></cell><cell r="W6548" t="str"><v>Canvas Ad</v></cell><cell r="X6548" t="str"><v>1x1</v></cell></row><row r="6548"><cell r="AA6548"><v>43328</v></cell><cell r="AB6548" t="str"><v>USA_gaPMG_AZR_AZR_Q1_19_Direct-Social</v></cell><cell r="AC6548"><v>21358715</v></cell><cell r="AD6548"><v>720197</v></cell><cell r="AE6548" t="str"><v>Facebook</v></cell><cell r="AF6548"><v>3654128</v></cell><cell r="AG6548" t="str"><v>FACEBOOK»USA-Trial-ITD-Interest Prospecting-AZR-AZR»1 x 1»SocialBan»CAN»ALL»CPA»PRO»X»NA»SS»NA»FBCTCBenefitinMotion»PRC1SX</v></cell><cell r="AH6548"><v>224104077</v></cell><cell r="AI6548" t="str"><v>AzurePlatform_FBCTCBenefitinMotion_USA_10s_CAN_PLATFORM_English_Trial_Standard_STAN_TIN_T3_2</v></cell><cell r="AJ6548"><v>103176836</v></cell></row><row r="6549"><cell r="C6549" t="str"><v>43328FACEBOOK»USA-Trial-ITD-Interest Prospecting-AZR-AZR»1 x 1»SocialBan»CCA»ALL»CPA»PRO»X»NA»SS»NA»Azure Developer Facebook Collections»PRSGV0</v></cell><cell r="D6549" t="str"><v>43328225283843</v></cell><cell r="E6549" t="str"><v>43328103874423PRSGV0</v></cell><cell r="F6549" t="str"><v>DCM</v></cell><cell r="G654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549"><cell r="K6549" t="str"><v>August</v></cell><cell r="L6549"><v>43330</v></cell><cell r="M6549" t="str"><v>Tier 0</v></cell><cell r="N6549" t="str"><v>North America</v></cell><cell r="O6549" t="str"><v>United States</v></cell><cell r="P6549" t="str"><v>Trial</v></cell><cell r="Q6549" t="str"><v>Social</v></cell><cell r="R6549" t="str"><v>Azure</v></cell><cell r="S6549" t="str"><v>Apps & Infra</v></cell><cell r="T6549" t="str"><v>Developers & ITI's</v></cell><cell r="U6549" t="str"><v>USA-Trial-ITD-Interest Prospecting-AZR-AZR</v></cell><cell r="V6549" t="str"><v>Prospecting</v></cell><cell r="W6549" t="str"><v>Canvas Collection Ad</v></cell><cell r="X6549" t="str"><v>1x1</v></cell></row><row r="6549"><cell r="AA6549"><v>43328</v></cell><cell r="AB6549" t="str"><v>USA_gaPMG_AZR_AZR_Q1_19_Direct-Social</v></cell><cell r="AC6549"><v>21358715</v></cell><cell r="AD6549"><v>720197</v></cell><cell r="AE6549" t="str"><v>Facebook</v></cell><cell r="AF6549"><v>3654128</v></cell><cell r="AG6549" t="str"><v>FACEBOOK»USA-Trial-ITD-Interest Prospecting-AZR-AZR»1 x 1»SocialBan»CCA»ALL»CPA»PRO»X»NA»SS»NA»Azure Developer Facebook Collections»PRSGV0</v></cell><cell r="AH6549"><v>225283843</v></cell><cell r="AI6549" t="str"><v>AZR_FBCollections-TryAzureFreeCTA-Img1_USA_1200x182_SOC_Plat_EN_NA_Standard_NA_TIN_T1_1</v></cell><cell r="AJ6549"><v>103874423</v></cell></row><row r="6550"><cell r="C6550" t="str"><v>43328FACEBOOK»USA-Trial-ITD-Retargeting-AZR-AZR»1 x 1»SocialBan»LIA»ALL»CPA»RT»X»NA»SS»NA»FreeAcctITProFB-AnimatedMigration-Ch3»PRC26P</v></cell><cell r="D6550" t="str"><v>43328223934056</v></cell><cell r="E6550" t="str"><v>43328103176827PRC26P</v></cell><cell r="F6550" t="str"><v>DCM</v></cell></row><row r="6550"><cell r="K6550" t="str"><v>August</v></cell><cell r="L6550"><v>43330</v></cell><cell r="M6550" t="str"><v>Tier 0</v></cell><cell r="N6550" t="str"><v>North America</v></cell><cell r="O6550" t="str"><v>United States</v></cell><cell r="P6550" t="str"><v>Trial</v></cell><cell r="Q6550" t="str"><v>Social</v></cell><cell r="R6550" t="str"><v>Azure</v></cell><cell r="S6550" t="str"><v>Apps & Infra</v></cell><cell r="T6550" t="str"><v>Developers & ITI's</v></cell><cell r="U6550" t="str"><v>USA-Trial-ITD-Retargeting-AZR-AZR</v></cell><cell r="V6550" t="str"><v>Retargeting</v></cell><cell r="W6550" t="str"><v>Link Ad</v></cell><cell r="X6550" t="str"><v>1x1</v></cell></row><row r="6550"><cell r="AA6550"><v>43328</v></cell><cell r="AB6550" t="str"><v>USA_gaPMG_AZR_AZR_Q1_19_Direct-Social</v></cell><cell r="AC6550"><v>21358715</v></cell><cell r="AD6550"><v>720197</v></cell><cell r="AE6550" t="str"><v>Facebook</v></cell><cell r="AF6550"><v>3654128</v></cell><cell r="AG6550" t="str"><v>FACEBOOK»USA-Trial-ITD-Retargeting-AZR-AZR»1 x 1»SocialBan»LIA»ALL»CPA»RT»X»NA»SS»NA»FreeAcctITProFB-AnimatedMigration-Ch3»PRC26P</v></cell><cell r="AH6550"><v>223934056</v></cell><cell r="AI6550" t="str"><v>AZR_FreeAcctITProFB-AnimatedMigration-Ch3_USA_1200x1200_CAN_Direct_English_Trial_Standard_ANI_LEA_T3_1</v></cell><cell r="AJ6550"><v>103176827</v></cell></row><row r="6551"><cell r="C6551" t="str"><v>43328FACEBOOK»USA-Trial-ITD-Retargeting-AZR-AZR»1 x 1»SocialBan»LIA»ALL»CPA»RT»X»NA»SS»NA»FreeAcctRetargetingFB-GlobalAlt-ChB»PRC1RW</v></cell><cell r="D6551" t="str"><v>43328223862756</v></cell><cell r="E6551" t="str"><v>43328103180592PRC1RW</v></cell><cell r="F6551" t="str"><v>DCM</v></cell><cell r="G6551" t="str"><v>https://azure.microsoft.com/en-us/free/search/?OCID=AID%eexcid!_OLA_%ebuy!_%epid!_%ecid!</v></cell></row><row r="6551"><cell r="K6551" t="str"><v>August</v></cell><cell r="L6551"><v>43330</v></cell><cell r="M6551" t="str"><v>Tier 0</v></cell><cell r="N6551" t="str"><v>North America</v></cell><cell r="O6551" t="str"><v>United States</v></cell><cell r="P6551" t="str"><v>Trial</v></cell><cell r="Q6551" t="str"><v>Social</v></cell><cell r="R6551" t="str"><v>Azure</v></cell><cell r="S6551" t="str"><v>Apps & Infra</v></cell><cell r="T6551" t="str"><v>Developers & ITI's</v></cell><cell r="U6551" t="str"><v>USA-Trial-ITD-Retargeting-AZR-AZR</v></cell><cell r="V6551" t="str"><v>Retargeting</v></cell><cell r="W6551" t="str"><v>Link Ad</v></cell><cell r="X6551" t="str"><v>1x1</v></cell></row><row r="6551"><cell r="AA6551"><v>43328</v></cell><cell r="AB6551" t="str"><v>USA_gaPMG_AZR_AZR_Q1_19_Direct-Social</v></cell><cell r="AC6551"><v>21358715</v></cell><cell r="AD6551"><v>720197</v></cell><cell r="AE6551" t="str"><v>Facebook</v></cell><cell r="AF6551"><v>3654128</v></cell><cell r="AG6551" t="str"><v>FACEBOOK»USA-Trial-ITD-Retargeting-AZR-AZR»1 x 1»SocialBan»LIA»ALL»CPA»RT»X»NA»SS»NA»FreeAcctRetargetingFB-GlobalAlt-ChB»PRC1RW</v></cell><cell r="AH6551"><v>223862756</v></cell><cell r="AI6551" t="str"><v>AzurePlatform_FreeAcctRetargetingFB-GlobalAlt-ChB_USA_1200x628_CAN_PLATFORM_English_Free Account_Standard_NA_SINU_T2_1</v></cell><cell r="AJ6551"><v>103180592</v></cell></row><row r="6552"><cell r="C6552" t="str"><v>43328FACEBOOK»USA-Trial-ITD-Retargeting-AZR-AZR»1 x 1»SocialBan»LIA»ALL»CPA»RT»X»NA»SS»NA»FreeAcctRetargetingVMFB-750Hrs-ChD»PRC1RY</v></cell><cell r="D6552" t="str"><v>43328223862747</v></cell><cell r="E6552" t="str"><v>43328103034911PRC1RY</v></cell><cell r="F6552" t="str"><v>DCM</v></cell><cell r="G6552" t="str"><v>https://azure.microsoft.com/en-us/free/virtual-machines/search/?OCID=AID%eexcid!_OLA_%ebuy!_%epid!_%ecid!</v></cell></row><row r="6552"><cell r="K6552" t="str"><v>August</v></cell><cell r="L6552"><v>43330</v></cell><cell r="M6552" t="str"><v>Tier 0</v></cell><cell r="N6552" t="str"><v>North America</v></cell><cell r="O6552" t="str"><v>United States</v></cell><cell r="P6552" t="str"><v>Trial</v></cell><cell r="Q6552" t="str"><v>Social</v></cell><cell r="R6552" t="str"><v>Azure</v></cell><cell r="S6552" t="str"><v>Apps & Infra</v></cell><cell r="T6552" t="str"><v>Developers & ITI's</v></cell><cell r="U6552" t="str"><v>USA-Trial-ITD-Retargeting-AZR-AZR</v></cell><cell r="V6552" t="str"><v>Retargeting</v></cell><cell r="W6552" t="str"><v>Link Ad</v></cell><cell r="X6552" t="str"><v>1x1</v></cell></row><row r="6552"><cell r="AA6552"><v>43328</v></cell><cell r="AB6552" t="str"><v>USA_gaPMG_AZR_AZR_Q1_19_Direct-Social</v></cell><cell r="AC6552"><v>21358715</v></cell><cell r="AD6552"><v>720197</v></cell><cell r="AE6552" t="str"><v>Facebook</v></cell><cell r="AF6552"><v>3654128</v></cell><cell r="AG6552" t="str"><v>FACEBOOK»USA-Trial-ITD-Retargeting-AZR-AZR»1 x 1»SocialBan»LIA»ALL»CPA»RT»X»NA»SS»NA»FreeAcctRetargetingVMFB-750Hrs-ChD»PRC1RY</v></cell><cell r="AH6552"><v>223862747</v></cell><cell r="AI6552" t="str"><v>AzurePlatform_FreeAcctRetargetingVMFB-750Hrs-ChD_USA_1200x628_CAN_PLATFORM_English_Free Account_Standard_NA_SINU_T1_1</v></cell><cell r="AJ6552"><v>103034911</v></cell></row><row r="6553"><cell r="C6553" t="str"><v>43328FACEBOOK»USA-Trial-ITD-Retargeting-AZR-AZR»1 x 1»SocialBan»LIA»ALL»CPA»RT»X»NA»SS»NA»FreeAcctRetargetingVMFB-OnDemand-ChE»PRC1S0</v></cell><cell r="D6553" t="str"><v>43328224104899</v></cell><cell r="E6553" t="str"><v>43328103180610PRC1S0</v></cell><cell r="F6553" t="str"><v>DCM</v></cell><cell r="G6553" t="str"><v>https://azure.microsoft.com/en-us/free/virtual-machines/search/?OCID=AID%eexcid!_OLA_%ebuy!_%epid!_%ecid!</v></cell></row><row r="6553"><cell r="K6553" t="str"><v>August</v></cell><cell r="L6553"><v>43330</v></cell><cell r="M6553" t="str"><v>Tier 0</v></cell><cell r="N6553" t="str"><v>North America</v></cell><cell r="O6553" t="str"><v>United States</v></cell><cell r="P6553" t="str"><v>Trial</v></cell><cell r="Q6553" t="str"><v>Social</v></cell><cell r="R6553" t="str"><v>Azure</v></cell><cell r="S6553" t="str"><v>Apps & Infra</v></cell><cell r="T6553" t="str"><v>Developers & ITI's</v></cell><cell r="U6553" t="str"><v>USA-Trial-ITD-Retargeting-AZR-AZR</v></cell><cell r="V6553" t="str"><v>Retargeting</v></cell><cell r="W6553" t="str"><v>Link Ad</v></cell><cell r="X6553" t="str"><v>1x1</v></cell></row><row r="6553"><cell r="AA6553"><v>43328</v></cell><cell r="AB6553" t="str"><v>USA_gaPMG_AZR_AZR_Q1_19_Direct-Social</v></cell><cell r="AC6553"><v>21358715</v></cell><cell r="AD6553"><v>720197</v></cell><cell r="AE6553" t="str"><v>Facebook</v></cell><cell r="AF6553"><v>3654128</v></cell><cell r="AG6553" t="str"><v>FACEBOOK»USA-Trial-ITD-Retargeting-AZR-AZR»1 x 1»SocialBan»LIA»ALL»CPA»RT»X»NA»SS»NA»FreeAcctRetargetingVMFB-OnDemand-ChE»PRC1S0</v></cell><cell r="AH6553"><v>224104899</v></cell><cell r="AI6553" t="str"><v>AzurePlatform_FreeAcctRetargetingVMFB-OnDemand-ChE_USA_1200x628_CAN_PLATFORM_English_Free Account_Standard_NA_SINU_T2_1</v></cell><cell r="AJ6553"><v>103180610</v></cell></row><row r="6554"><cell r="C6554" t="str"><v>43328FACEBOOK»USA-Trial-ITD-Trial Lookalike-AZR-AZR»1 x 1»SocialBan»CAN»ALL»CPA»LAL»X»NA»SS»NA»FBCTCBenefit2inMotion»PRC1M0</v></cell><cell r="D6554" t="str"><v>43328223862927</v></cell><cell r="E6554" t="str"><v>43328103043835PRC1M0</v></cell><cell r="F6554" t="str"><v>DCM</v></cell><cell r="G6554" t="str"><v>https://signup.azure.com/?OCID=AID%eexcid!_OLA_%ebuy!_%epid!_%ecid!</v></cell></row><row r="6554"><cell r="K6554" t="str"><v>August</v></cell><cell r="L6554"><v>43330</v></cell><cell r="M6554" t="str"><v>Tier 0</v></cell><cell r="N6554" t="str"><v>North America</v></cell><cell r="O6554" t="str"><v>United States</v></cell><cell r="P6554" t="str"><v>Trial</v></cell><cell r="Q6554" t="str"><v>Social</v></cell><cell r="R6554" t="str"><v>Azure</v></cell><cell r="S6554" t="str"><v>Apps & Infra</v></cell><cell r="T6554" t="str"><v>Developers & ITI's</v></cell><cell r="U6554" t="str"><v>USA-Trial-ITD-Trial Lookalike-AZR-AZR</v></cell><cell r="V6554" t="str"><v>Lookalike Targeting</v></cell><cell r="W6554" t="str"><v>Canvas Ad</v></cell><cell r="X6554" t="str"><v>1x1</v></cell></row><row r="6554"><cell r="AA6554"><v>43328</v></cell><cell r="AB6554" t="str"><v>USA_gaPMG_AZR_AZR_Q1_19_Direct-Social</v></cell><cell r="AC6554"><v>21358715</v></cell><cell r="AD6554"><v>720197</v></cell><cell r="AE6554" t="str"><v>Facebook</v></cell><cell r="AF6554"><v>3654128</v></cell><cell r="AG6554" t="str"><v>FACEBOOK»USA-Trial-ITD-Trial Lookalike-AZR-AZR»1 x 1»SocialBan»CAN»ALL»CPA»LAL»X»NA»SS»NA»FBCTCBenefit2inMotion»PRC1M0</v></cell><cell r="AH6554"><v>223862927</v></cell><cell r="AI6554" t="str"><v>AzurePlatform_FBCTCBenefit2inMotion_USA_10s_CAN_PLATFORM_English_Trial_Standard_STAN_TIN_T4_1</v></cell><cell r="AJ6554"><v>103043835</v></cell></row><row r="6555"><cell r="C6555" t="str"><v>43328FACEBOOK»USA-Trial-ITD-Trial Lookalike-AZR-AZR»1 x 1»SocialBan»CAN»ALL»CPA»LAL»X»NA»SS»NA»FBCTCBenefit2inMotion»PRC1M0</v></cell><cell r="D6555" t="str"><v>43328223862927</v></cell><cell r="E6555" t="str"><v>43328103178645PRC1M0</v></cell><cell r="F6555" t="str"><v>DCM</v></cell><cell r="G6555" t="str"><v>https://azure.microsoft.com/en-us/pricing/purchase-options/?v=18.19&OCID=AID%eexcid!_OLA_%ebuy!_%epid!_%ecid!</v></cell></row><row r="6555"><cell r="K6555" t="str"><v>August</v></cell><cell r="L6555"><v>43330</v></cell><cell r="M6555" t="str"><v>Tier 0</v></cell><cell r="N6555" t="str"><v>North America</v></cell><cell r="O6555" t="str"><v>United States</v></cell><cell r="P6555" t="str"><v>Trial</v></cell><cell r="Q6555" t="str"><v>Social</v></cell><cell r="R6555" t="str"><v>Azure</v></cell><cell r="S6555" t="str"><v>Apps & Infra</v></cell><cell r="T6555" t="str"><v>Developers & ITI's</v></cell><cell r="U6555" t="str"><v>USA-Trial-ITD-Trial Lookalike-AZR-AZR</v></cell><cell r="V6555" t="str"><v>Lookalike Targeting</v></cell><cell r="W6555" t="str"><v>Canvas Ad</v></cell><cell r="X6555" t="str"><v>1x1</v></cell></row><row r="6555"><cell r="AA6555"><v>43328</v></cell><cell r="AB6555" t="str"><v>USA_gaPMG_AZR_AZR_Q1_19_Direct-Social</v></cell><cell r="AC6555"><v>21358715</v></cell><cell r="AD6555"><v>720197</v></cell><cell r="AE6555" t="str"><v>Facebook</v></cell><cell r="AF6555"><v>3654128</v></cell><cell r="AG6555" t="str"><v>FACEBOOK»USA-Trial-ITD-Trial Lookalike-AZR-AZR»1 x 1»SocialBan»CAN»ALL»CPA»LAL»X»NA»SS»NA»FBCTCBenefit2inMotion»PRC1M0</v></cell><cell r="AH6555"><v>223862927</v></cell><cell r="AI6555" t="str"><v>AzurePlatform_FBCTCBenefit2inMotion_USA_10s_CAN_PLATFORM_English_Trial_Standard_STAN_TIN_T4_2</v></cell><cell r="AJ6555"><v>103178645</v></cell></row><row r="6556"><cell r="C6556" t="str"><v>43328FACEBOOK»USA-Trial-ITD-Trial Lookalike-AZR-AZR»1 x 1»SocialBan»LIA»ALL»CPA»LAL»X»NA»SS»NA»FreeAcctDeveloperFB-AnimatedData-Ch4»PRC1M8</v></cell><cell r="D6556" t="str"><v>43328223862933</v></cell><cell r="E6556" t="str"><v>43328103037935PRC1M8</v></cell><cell r="F6556" t="str"><v>DCM</v></cell></row><row r="6556"><cell r="K6556" t="str"><v>August</v></cell><cell r="L6556"><v>43330</v></cell><cell r="M6556" t="str"><v>Tier 0</v></cell><cell r="N6556" t="str"><v>North America</v></cell><cell r="O6556" t="str"><v>United States</v></cell><cell r="P6556" t="str"><v>Trial</v></cell><cell r="Q6556" t="str"><v>Social</v></cell><cell r="R6556" t="str"><v>Azure</v></cell><cell r="S6556" t="str"><v>Apps & Infra</v></cell><cell r="T6556" t="str"><v>Developers & ITI's</v></cell><cell r="U6556" t="str"><v>USA-Trial-ITD-Trial Lookalike-AZR-AZR</v></cell><cell r="V6556" t="str"><v>Lookalike Targeting</v></cell><cell r="W6556" t="str"><v>Link Ad</v></cell><cell r="X6556" t="str"><v>1x1</v></cell></row><row r="6556"><cell r="AA6556"><v>43328</v></cell><cell r="AB6556" t="str"><v>USA_gaPMG_AZR_AZR_Q1_19_Direct-Social</v></cell><cell r="AC6556"><v>21358715</v></cell><cell r="AD6556"><v>720197</v></cell><cell r="AE6556" t="str"><v>Facebook</v></cell><cell r="AF6556"><v>3654128</v></cell><cell r="AG6556" t="str"><v>FACEBOOK»USA-Trial-ITD-Trial Lookalike-AZR-AZR»1 x 1»SocialBan»LIA»ALL»CPA»LAL»X»NA»SS»NA»FreeAcctDeveloperFB-AnimatedData-Ch4»PRC1M8</v></cell><cell r="AH6556"><v>223862933</v></cell><cell r="AI6556" t="str"><v>AZR_FreeAcctDeveloperFB-AnimatedData-Ch4_USA_1200x1200_CAN_Direct_English_Trial_Standard_ANI_LEA_T4_2</v></cell><cell r="AJ6556"><v>103037935</v></cell></row><row r="6557"><cell r="C6557" t="str"><v>43328FACEBOOK»USA-Trial-ITD-Trial Lookalike-AZR-AZR»1 x 1»SocialBan»CAN»ALL»CPA»LAL»X»NA»SS»NA»FBCTCBrandinMotion»PRC1M3</v></cell><cell r="D6557" t="str"><v>43328223862900</v></cell><cell r="E6557" t="str"><v>43328103176812PRC1M3</v></cell><cell r="F6557" t="str"><v>DCM</v></cell><cell r="G6557" t="str"><v>https://signup.azure.com/?OCID=AID%eexcid!_OLA_%ebuy!_%epid!_%ecid!</v></cell></row><row r="6557"><cell r="K6557" t="str"><v>August</v></cell><cell r="L6557"><v>43330</v></cell><cell r="M6557" t="str"><v>Tier 0</v></cell><cell r="N6557" t="str"><v>North America</v></cell><cell r="O6557" t="str"><v>United States</v></cell><cell r="P6557" t="str"><v>Trial</v></cell><cell r="Q6557" t="str"><v>Social</v></cell><cell r="R6557" t="str"><v>Azure</v></cell><cell r="S6557" t="str"><v>Apps & Infra</v></cell><cell r="T6557" t="str"><v>Developers & ITI's</v></cell><cell r="U6557" t="str"><v>USA-Trial-ITD-Trial Lookalike-AZR-AZR</v></cell><cell r="V6557" t="str"><v>Lookalike Targeting</v></cell><cell r="W6557" t="str"><v>Canvas Ad</v></cell><cell r="X6557" t="str"><v>1x1</v></cell></row><row r="6557"><cell r="AA6557"><v>43328</v></cell><cell r="AB6557" t="str"><v>USA_gaPMG_AZR_AZR_Q1_19_Direct-Social</v></cell><cell r="AC6557"><v>21358715</v></cell><cell r="AD6557"><v>720197</v></cell><cell r="AE6557" t="str"><v>Facebook</v></cell><cell r="AF6557"><v>3654128</v></cell><cell r="AG6557" t="str"><v>FACEBOOK»USA-Trial-ITD-Trial Lookalike-AZR-AZR»1 x 1»SocialBan»CAN»ALL»CPA»LAL»X»NA»SS»NA»FBCTCBrandinMotion»PRC1M3</v></cell><cell r="AH6557"><v>223862900</v></cell><cell r="AI6557" t="str"><v>AzurePlatform_FBCTCBrandinMotion_USA_10s_CAN_PLATFORM_English_Trial_Standard_STAN_TIN_T2_1</v></cell><cell r="AJ6557"><v>103176812</v></cell></row><row r="6558"><cell r="C6558" t="str"><v>43328FACEBOOK»USA-Trial-ITD-Trial PayGo Lookalike-AZR-AZR»1 x 1»SocialBan»CAN»ALL»CPA»LAL»X»NA»SS»NA»FBCTCBenefit2inMotion»PRC1Q1</v></cell><cell r="D6558" t="str"><v>43328224104986</v></cell><cell r="E6558" t="str"><v>43328103043835PRC1Q1</v></cell><cell r="F6558" t="str"><v>DCM</v></cell><cell r="G6558" t="str"><v>https://signup.azure.com/?OCID=AID%eexcid!_OLA_%ebuy!_%epid!_%ecid!</v></cell></row><row r="6558"><cell r="K6558" t="str"><v>August</v></cell><cell r="L6558"><v>43330</v></cell><cell r="M6558" t="str"><v>Tier 0</v></cell><cell r="N6558" t="str"><v>North America</v></cell><cell r="O6558" t="str"><v>United States</v></cell><cell r="P6558" t="str"><v>Trial</v></cell><cell r="Q6558" t="str"><v>Social</v></cell><cell r="R6558" t="str"><v>Azure</v></cell><cell r="S6558" t="str"><v>Apps & Infra</v></cell><cell r="T6558" t="str"><v>Developers & ITI's</v></cell><cell r="U6558" t="str"><v>USA-Trial-ITD-Trial PayGo Lookalike-AZR-AZR</v></cell><cell r="V6558" t="str"><v>Lookalike Targeting</v></cell><cell r="W6558" t="str"><v>Canvas Ad</v></cell><cell r="X6558" t="str"><v>1x1</v></cell></row><row r="6558"><cell r="AA6558"><v>43328</v></cell><cell r="AB6558" t="str"><v>USA_gaPMG_AZR_AZR_Q1_19_Direct-Social</v></cell><cell r="AC6558"><v>21358715</v></cell><cell r="AD6558"><v>720197</v></cell><cell r="AE6558" t="str"><v>Facebook</v></cell><cell r="AF6558"><v>3654128</v></cell><cell r="AG6558" t="str"><v>FACEBOOK»USA-Trial-ITD-Trial PayGo Lookalike-AZR-AZR»1 x 1»SocialBan»CAN»ALL»CPA»LAL»X»NA»SS»NA»FBCTCBenefit2inMotion»PRC1Q1</v></cell><cell r="AH6558"><v>224104986</v></cell><cell r="AI6558" t="str"><v>AzurePlatform_FBCTCBenefit2inMotion_USA_10s_CAN_PLATFORM_English_Trial_Standard_STAN_TIN_T4_1</v></cell><cell r="AJ6558"><v>103043835</v></cell></row><row r="6559"><cell r="C6559" t="str"><v>43328FACEBOOK»USA-Trial-ITD-Trial PayGo Lookalike-AZR-AZR»1 x 1»SocialBan»CAN»ALL»CPA»LAL»X»NA»SS»NA»FBCTCBrandinMotion»PRC1Q3</v></cell><cell r="D6559" t="str"><v>43328223935349</v></cell><cell r="E6559" t="str"><v>43328103032823PRC1Q3</v></cell><cell r="F6559" t="str"><v>DCM</v></cell><cell r="G6559" t="str"><v>https://azure.microsoft.com/en-us/pricing/purchase-options/?v=18.19&OCID=AID%eexcid!_OLA_%ebuy!_%epid!_%ecid!</v></cell></row><row r="6559"><cell r="K6559" t="str"><v>August</v></cell><cell r="L6559"><v>43330</v></cell><cell r="M6559" t="str"><v>Tier 0</v></cell><cell r="N6559" t="str"><v>North America</v></cell><cell r="O6559" t="str"><v>United States</v></cell><cell r="P6559" t="str"><v>Trial</v></cell><cell r="Q6559" t="str"><v>Social</v></cell><cell r="R6559" t="str"><v>Azure</v></cell><cell r="S6559" t="str"><v>Apps & Infra</v></cell><cell r="T6559" t="str"><v>Developers & ITI's</v></cell><cell r="U6559" t="str"><v>USA-Trial-ITD-Trial PayGo Lookalike-AZR-AZR</v></cell><cell r="V6559" t="str"><v>Lookalike Targeting</v></cell><cell r="W6559" t="str"><v>Canvas Ad</v></cell><cell r="X6559" t="str"><v>1x1</v></cell></row><row r="6559"><cell r="AA6559"><v>43328</v></cell><cell r="AB6559" t="str"><v>USA_gaPMG_AZR_AZR_Q1_19_Direct-Social</v></cell><cell r="AC6559"><v>21358715</v></cell><cell r="AD6559"><v>720197</v></cell><cell r="AE6559" t="str"><v>Facebook</v></cell><cell r="AF6559"><v>3654128</v></cell><cell r="AG6559" t="str"><v>FACEBOOK»USA-Trial-ITD-Trial PayGo Lookalike-AZR-AZR»1 x 1»SocialBan»CAN»ALL»CPA»LAL»X»NA»SS»NA»FBCTCBrandinMotion»PRC1Q3</v></cell><cell r="AH6559"><v>223935349</v></cell><cell r="AI6559" t="str"><v>AzurePlatform_FBCTCBrandinMotion_USA_10s_CAN_PLATFORM_English_Trial_Standard_STAN_TIN_T2_2</v></cell><cell r="AJ6559"><v>103032823</v></cell></row><row r="6560"><cell r="C6560" t="str"><v>43328FACEBOOK»USA-Trial-ITD-Trial PayGo Lookalike-AZR-AZR»1 x 1»SocialBan»CAN»ALL»CPA»LAL»X»NA»SS»NA»FBCTCBenefitinMotion»PRC1Q2</v></cell><cell r="D6560" t="str"><v>43328223862960</v></cell><cell r="E6560" t="str"><v>43328103032775PRC1Q2</v></cell><cell r="F6560" t="str"><v>DCM</v></cell><cell r="G6560" t="str"><v>https://signup.azure.com/?OCID=AID%eexcid!_OLA_%ebuy!_%epid!_%ecid!</v></cell></row><row r="6560"><cell r="K6560" t="str"><v>August</v></cell><cell r="L6560"><v>43330</v></cell><cell r="M6560" t="str"><v>Tier 0</v></cell><cell r="N6560" t="str"><v>North America</v></cell><cell r="O6560" t="str"><v>United States</v></cell><cell r="P6560" t="str"><v>Trial</v></cell><cell r="Q6560" t="str"><v>Social</v></cell><cell r="R6560" t="str"><v>Azure</v></cell><cell r="S6560" t="str"><v>Apps & Infra</v></cell><cell r="T6560" t="str"><v>Developers & ITI's</v></cell><cell r="U6560" t="str"><v>USA-Trial-ITD-Trial PayGo Lookalike-AZR-AZR</v></cell><cell r="V6560" t="str"><v>Lookalike Targeting</v></cell><cell r="W6560" t="str"><v>Canvas Ad</v></cell><cell r="X6560" t="str"><v>1x1</v></cell></row><row r="6560"><cell r="AA6560"><v>43328</v></cell><cell r="AB6560" t="str"><v>USA_gaPMG_AZR_AZR_Q1_19_Direct-Social</v></cell><cell r="AC6560"><v>21358715</v></cell><cell r="AD6560"><v>720197</v></cell><cell r="AE6560" t="str"><v>Facebook</v></cell><cell r="AF6560"><v>3654128</v></cell><cell r="AG6560" t="str"><v>FACEBOOK»USA-Trial-ITD-Trial PayGo Lookalike-AZR-AZR»1 x 1»SocialBan»CAN»ALL»CPA»LAL»X»NA»SS»NA»FBCTCBenefitinMotion»PRC1Q2</v></cell><cell r="AH6560"><v>223862960</v></cell><cell r="AI6560" t="str"><v>AzurePlatform_FBCTCBenefitinMotion_USA_10s_CAN_PLATFORM_English_Trial_Standard_STAN_TIN_T3_1</v></cell><cell r="AJ6560"><v>103032775</v></cell></row><row r="6561"><cell r="C6561" t="str"><v>43328FACEBOOK»USA-Trial-ITD-Trial PayGo Lookalike-AZR-AZR»1 x 1»SocialBan»LIA»ALL»CPA»LAL»X»NA»SS»NA»FreeAcctDeveloperFB-AnimatedGeneric-Ch1»PRC1Q6</v></cell><cell r="D6561" t="str"><v>43328224106129</v></cell><cell r="E6561" t="str"><v>43328103176851PRC1Q6</v></cell><cell r="F6561" t="str"><v>DCM</v></cell><cell r="G6561" t="str"><v>https://azure.microsoft.com/en-us/free/search/?OCID=AID%eexcid!_OLA_%ebuy!_%epid!_%ecid!</v></cell></row><row r="6561"><cell r="K6561" t="str"><v>August</v></cell><cell r="L6561"><v>43330</v></cell><cell r="M6561" t="str"><v>Tier 0</v></cell><cell r="N6561" t="str"><v>North America</v></cell><cell r="O6561" t="str"><v>United States</v></cell><cell r="P6561" t="str"><v>Trial</v></cell><cell r="Q6561" t="str"><v>Social</v></cell><cell r="R6561" t="str"><v>Azure</v></cell><cell r="S6561" t="str"><v>Apps & Infra</v></cell><cell r="T6561" t="str"><v>Developers & ITI's</v></cell><cell r="U6561" t="str"><v>USA-Trial-ITD-Trial PayGo Lookalike-AZR-AZR</v></cell><cell r="V6561" t="str"><v>Lookalike Targeting</v></cell><cell r="W6561" t="str"><v>Link Ad</v></cell><cell r="X6561" t="str"><v>1x1</v></cell></row><row r="6561"><cell r="AA6561"><v>43328</v></cell><cell r="AB6561" t="str"><v>USA_gaPMG_AZR_AZR_Q1_19_Direct-Social</v></cell><cell r="AC6561"><v>21358715</v></cell><cell r="AD6561"><v>720197</v></cell><cell r="AE6561" t="str"><v>Facebook</v></cell><cell r="AF6561"><v>3654128</v></cell><cell r="AG6561" t="str"><v>FACEBOOK»USA-Trial-ITD-Trial PayGo Lookalike-AZR-AZR»1 x 1»SocialBan»LIA»ALL»CPA»LAL»X»NA»SS»NA»FreeAcctDeveloperFB-AnimatedGeneric-Ch1»PRC1Q6</v></cell><cell r="AH6561"><v>224106129</v></cell><cell r="AI6561" t="str"><v>AZR_FreeAcctDeveloperFB-AnimatedGeneric-Ch1_USA_1200x1200_CAN_Direct_English_Trial_Standard_ANI_LEA_T1_2</v></cell><cell r="AJ6561"><v>103176851</v></cell></row><row r="6562"><cell r="C6562" t="str"><v>43328FACEBOOK»USA-Trial-ITD-Interest Prospecting-AZR-AZR»1 x 1»SocialBan»LIA»ALL»CPA»PRO»X»NA»SS»NA»FreeAcctDeveloperFB-AnimatedOpenSource-Ch2»PRC1T1</v></cell><cell r="D6562" t="str"><v>43328223862885</v></cell><cell r="E6562" t="str"><v>43328103048329PRC1T1</v></cell><cell r="F6562" t="str"><v>DCM</v></cell><cell r="G6562" t="str"><v>https://azure.microsoft.com/en-us/free/open-source/search/?OCID=AID%eexcid!_OLA_%ebuy!_%epid!_%ecid!</v></cell></row><row r="6562"><cell r="K6562" t="str"><v>August</v></cell><cell r="L6562"><v>43330</v></cell><cell r="M6562" t="str"><v>Tier 0</v></cell><cell r="N6562" t="str"><v>North America</v></cell><cell r="O6562" t="str"><v>United States</v></cell><cell r="P6562" t="str"><v>Trial</v></cell><cell r="Q6562" t="str"><v>Social</v></cell><cell r="R6562" t="str"><v>Azure</v></cell><cell r="S6562" t="str"><v>Apps & Infra</v></cell><cell r="T6562" t="str"><v>Developers & ITI's</v></cell><cell r="U6562" t="str"><v>USA-Trial-ITD-Interest Prospecting-AZR-AZR</v></cell><cell r="V6562" t="str"><v>Prospecting</v></cell><cell r="W6562" t="str"><v>Link Ad</v></cell><cell r="X6562" t="str"><v>1x1</v></cell></row><row r="6562"><cell r="AA6562"><v>43328</v></cell><cell r="AB6562" t="str"><v>USA_gaPMG_AZR_AZR_Q1_19_Direct-Social</v></cell><cell r="AC6562"><v>21358715</v></cell><cell r="AD6562"><v>720197</v></cell><cell r="AE6562" t="str"><v>Facebook</v></cell><cell r="AF6562"><v>3654128</v></cell><cell r="AG6562" t="str"><v>FACEBOOK»USA-Trial-ITD-Interest Prospecting-AZR-AZR»1 x 1»SocialBan»LIA»ALL»CPA»PRO»X»NA»SS»NA»FreeAcctDeveloperFB-AnimatedOpenSource-Ch2»PRC1T1</v></cell><cell r="AH6562"><v>223862885</v></cell><cell r="AI6562" t="str"><v>AZR_FreeAcctDeveloperFB-AnimatedOpenSource-Ch2_USA_1200x1200_CAN_Direct_English_Trial_Standard_ANI_LEA_T2_1</v></cell><cell r="AJ6562"><v>103048329</v></cell></row><row r="6563"><cell r="C6563" t="str"><v>43328FACEBOOK»USA-Trial-ITD-Interest Prospecting-AZR-AZR»1 x 1»SocialBan»CAN»ALL»CPA»PRO»X»NA»SS»NA»FreeAcctDeveloperFB-AnimatedAI-Ch3»PS78J8</v></cell><cell r="D6563" t="str"><v>43328226621006</v></cell><cell r="E6563" t="str"><v>43328104593735PS78J8</v></cell><cell r="F6563" t="str"><v>DCM</v></cell><cell r="G6563" t="str"><v>https://signup.azure.com/?OCID=AID%eexcid!_OLA_%ebuy!_%epid!_%ecid!</v></cell></row><row r="6563"><cell r="K6563" t="str"><v>August</v></cell><cell r="L6563"><v>43330</v></cell><cell r="M6563" t="str"><v>Tier 0</v></cell><cell r="N6563" t="str"><v>North America</v></cell><cell r="O6563" t="str"><v>United States</v></cell><cell r="P6563" t="str"><v>Trial</v></cell><cell r="Q6563" t="str"><v>Social</v></cell><cell r="R6563" t="str"><v>Azure</v></cell><cell r="S6563" t="str"><v>Apps & Infra</v></cell><cell r="T6563" t="str"><v>Developers & ITI's</v></cell><cell r="U6563" t="str"><v>USA-Trial-ITD-Interest Prospecting-AZR-AZR</v></cell><cell r="V6563" t="str"><v>Prospecting</v></cell><cell r="W6563" t="str"><v>Canvas Ad</v></cell><cell r="X6563" t="str"><v>1x1</v></cell></row><row r="6563"><cell r="AA6563"><v>43328</v></cell><cell r="AB6563" t="str"><v>USA_gaPMG_AZR_AZR_Q1_19_Direct-Social</v></cell><cell r="AC6563"><v>21358715</v></cell><cell r="AD6563"><v>720197</v></cell><cell r="AE6563" t="str"><v>Facebook</v></cell><cell r="AF6563"><v>3654128</v></cell><cell r="AG6563" t="str"><v>FACEBOOK»USA-Trial-ITD-Interest Prospecting-AZR-AZR»1 x 1»SocialBan»CAN»ALL»CPA»PRO»X»NA»SS»NA»FreeAcctDeveloperFB-AnimatedAI-Ch3»PS78J8</v></cell><cell r="AH6563"><v>226621006</v></cell><cell r="AI6563" t="str"><v>AZR_FreeAcctDeveloperFB-AnimatedAI-Ch3_USA_1200x1200_CAN_Direct_EN_Trial_Standard_ANI_LEA_T3_1</v></cell><cell r="AJ6563"><v>104593735</v></cell></row><row r="6564"><cell r="C6564" t="str"><v>43328FACEBOOK»USA-Trial-ITD-Interest Prospecting-AZR-AZR»1 x 1»SocialBan»CAN»ALL»CPA»PRO»X»NA»SS»NA»FreeAcctDeveloperFB-AnimatedGeneric-Ch1»PS78J5</v></cell><cell r="D6564" t="str"><v>43328226783992</v></cell><cell r="E6564" t="str"><v>43328104595766PS78J5</v></cell><cell r="F6564" t="str"><v>DCM</v></cell><cell r="G6564" t="str"><v>https://signup.azure.com/?OCID=AID%eexcid!_OLA_%ebuy!_%epid!_%ecid!</v></cell></row><row r="6564"><cell r="K6564" t="str"><v>August</v></cell><cell r="L6564"><v>43330</v></cell><cell r="M6564" t="str"><v>Tier 0</v></cell><cell r="N6564" t="str"><v>North America</v></cell><cell r="O6564" t="str"><v>United States</v></cell><cell r="P6564" t="str"><v>Trial</v></cell><cell r="Q6564" t="str"><v>Social</v></cell><cell r="R6564" t="str"><v>Azure</v></cell><cell r="S6564" t="str"><v>Apps & Infra</v></cell><cell r="T6564" t="str"><v>Developers & ITI's</v></cell><cell r="U6564" t="str"><v>USA-Trial-ITD-Interest Prospecting-AZR-AZR</v></cell><cell r="V6564" t="str"><v>Prospecting</v></cell><cell r="W6564" t="str"><v>Canvas Ad</v></cell><cell r="X6564" t="str"><v>1x1</v></cell></row><row r="6564"><cell r="AA6564"><v>43328</v></cell><cell r="AB6564" t="str"><v>USA_gaPMG_AZR_AZR_Q1_19_Direct-Social</v></cell><cell r="AC6564"><v>21358715</v></cell><cell r="AD6564"><v>720197</v></cell><cell r="AE6564" t="str"><v>Facebook</v></cell><cell r="AF6564"><v>3654128</v></cell><cell r="AG6564" t="str"><v>FACEBOOK»USA-Trial-ITD-Interest Prospecting-AZR-AZR»1 x 1»SocialBan»CAN»ALL»CPA»PRO»X»NA»SS»NA»FreeAcctDeveloperFB-AnimatedGeneric-Ch1»PS78J5</v></cell><cell r="AH6564"><v>226783992</v></cell><cell r="AI6564" t="str"><v>AZR_FreeAcctDeveloperFB-AnimatedGeneric-Ch1_USA_1200x1200_CAN_Direct_EN_Trial_Standard_ANI_LEA_T1_1</v></cell><cell r="AJ6564"><v>104595766</v></cell></row><row r="6565"><cell r="C6565" t="str"><v>43328FACEBOOK»USA-Trial-ITD-Interest Prospecting-AZR-AZR»1 x 1»SocialBan»CAN»ALL»CPA»PRO»X»NA»SS»NA»FreeAcctDeveloperFB-AnimatedGeneric-Ch1»PS78J5</v></cell><cell r="D6565" t="str"><v>43328226783992</v></cell><cell r="E6565" t="str"><v>43328104592523PS78J5</v></cell><cell r="F6565" t="str"><v>DCM</v></cell><cell r="G6565" t="str"><v>https://azure.microsoft.com/en-us/pricing/purchase-options/?v=18.19&OCID=AID%eexcid!_OLA_%ebuy!_%epid!_%ecid!</v></cell></row><row r="6565"><cell r="K6565" t="str"><v>August</v></cell><cell r="L6565"><v>43330</v></cell><cell r="M6565" t="str"><v>Tier 0</v></cell><cell r="N6565" t="str"><v>North America</v></cell><cell r="O6565" t="str"><v>United States</v></cell><cell r="P6565" t="str"><v>Trial</v></cell><cell r="Q6565" t="str"><v>Social</v></cell><cell r="R6565" t="str"><v>Azure</v></cell><cell r="S6565" t="str"><v>Apps & Infra</v></cell><cell r="T6565" t="str"><v>Developers & ITI's</v></cell><cell r="U6565" t="str"><v>USA-Trial-ITD-Interest Prospecting-AZR-AZR</v></cell><cell r="V6565" t="str"><v>Prospecting</v></cell><cell r="W6565" t="str"><v>Canvas Ad</v></cell><cell r="X6565" t="str"><v>1x1</v></cell></row><row r="6565"><cell r="AA6565"><v>43328</v></cell><cell r="AB6565" t="str"><v>USA_gaPMG_AZR_AZR_Q1_19_Direct-Social</v></cell><cell r="AC6565"><v>21358715</v></cell><cell r="AD6565"><v>720197</v></cell><cell r="AE6565" t="str"><v>Facebook</v></cell><cell r="AF6565"><v>3654128</v></cell><cell r="AG6565" t="str"><v>FACEBOOK»USA-Trial-ITD-Interest Prospecting-AZR-AZR»1 x 1»SocialBan»CAN»ALL»CPA»PRO»X»NA»SS»NA»FreeAcctDeveloperFB-AnimatedGeneric-Ch1»PS78J5</v></cell><cell r="AH6565"><v>226783992</v></cell><cell r="AI6565" t="str"><v>AZR_FreeAcctDeveloperFB-AnimatedGeneric-Ch1_USA_1200x1200_CAN_Direct_EN_Trial_Standard_ANI_LEA_T1_2</v></cell><cell r="AJ6565"><v>104592523</v></cell></row><row r="6566"><cell r="C6566" t="str"><v>43328FACEBOOK»USA-Trial-ITD-Interest Prospecting-AZR-AZR»1 x 1»SocialBan»CAN»ALL»CPA»PRO»X»NA»SS»NA»FreeAcctDeveloperFB-AnimatedGeneric-Ch1»PS78J6</v></cell><cell r="D6566" t="str"><v>43328226622239</v></cell><cell r="E6566" t="str"><v>43328104595766PS78J6</v></cell><cell r="F6566" t="str"><v>DCM</v></cell><cell r="G6566" t="str"><v>https://signup.azure.com/?OCID=AID%eexcid!_OLA_%ebuy!_%epid!_%ecid!</v></cell></row><row r="6566"><cell r="K6566" t="str"><v>August</v></cell><cell r="L6566"><v>43330</v></cell><cell r="M6566" t="str"><v>Tier 0</v></cell><cell r="N6566" t="str"><v>North America</v></cell><cell r="O6566" t="str"><v>United States</v></cell><cell r="P6566" t="str"><v>Trial</v></cell><cell r="Q6566" t="str"><v>Social</v></cell><cell r="R6566" t="str"><v>Azure</v></cell><cell r="S6566" t="str"><v>Apps & Infra</v></cell><cell r="T6566" t="str"><v>Developers & ITI's</v></cell><cell r="U6566" t="str"><v>USA-Trial-ITD-Interest Prospecting-AZR-AZR</v></cell><cell r="V6566" t="str"><v>Prospecting</v></cell><cell r="W6566" t="str"><v>Canvas Ad</v></cell><cell r="X6566" t="str"><v>1x1</v></cell></row><row r="6566"><cell r="AA6566"><v>43328</v></cell><cell r="AB6566" t="str"><v>USA_gaPMG_AZR_AZR_Q1_19_Direct-Social</v></cell><cell r="AC6566"><v>21358715</v></cell><cell r="AD6566"><v>720197</v></cell><cell r="AE6566" t="str"><v>Facebook</v></cell><cell r="AF6566"><v>3654128</v></cell><cell r="AG6566" t="str"><v>FACEBOOK»USA-Trial-ITD-Interest Prospecting-AZR-AZR»1 x 1»SocialBan»CAN»ALL»CPA»PRO»X»NA»SS»NA»FreeAcctDeveloperFB-AnimatedGeneric-Ch1»PS78J6</v></cell><cell r="AH6566"><v>226622239</v></cell><cell r="AI6566" t="str"><v>AZR_FreeAcctDeveloperFB-AnimatedGeneric-Ch1_USA_1200x1200_CAN_Direct_EN_Trial_Standard_ANI_LEA_T1_1</v></cell><cell r="AJ6566"><v>104595766</v></cell></row><row r="6567"><cell r="C6567" t="str"><v>43328FACEBOOK»USA-Trial-ITD-Interest Prospecting-AZR-AZR»1 x 1»SocialBan»CAN»ALL»CPA»PRO»X»NA»SS»NA»FreeAcctITProFB-AnimatedSecureMngd-Ch1»PS78JD</v></cell><cell r="D6567" t="str"><v>43328226535294</v></cell><cell r="E6567" t="str"><v>43328104593738PS78JD</v></cell><cell r="F6567" t="str"><v>DCM</v></cell><cell r="G6567" t="str"><v>https://signup.azure.com/?OCID=AID%eexcid!_OLA_%ebuy!_%epid!_%ecid!</v></cell></row><row r="6567"><cell r="K6567" t="str"><v>August</v></cell><cell r="L6567"><v>43330</v></cell><cell r="M6567" t="str"><v>Tier 0</v></cell><cell r="N6567" t="str"><v>North America</v></cell><cell r="O6567" t="str"><v>United States</v></cell><cell r="P6567" t="str"><v>Trial</v></cell><cell r="Q6567" t="str"><v>Social</v></cell><cell r="R6567" t="str"><v>Azure</v></cell><cell r="S6567" t="str"><v>Apps & Infra</v></cell><cell r="T6567" t="str"><v>Developers & ITI's</v></cell><cell r="U6567" t="str"><v>USA-Trial-ITD-Interest Prospecting-AZR-AZR</v></cell><cell r="V6567" t="str"><v>Prospecting</v></cell><cell r="W6567" t="str"><v>Canvas Ad</v></cell><cell r="X6567" t="str"><v>1x1</v></cell></row><row r="6567"><cell r="AA6567"><v>43328</v></cell><cell r="AB6567" t="str"><v>USA_gaPMG_AZR_AZR_Q1_19_Direct-Social</v></cell><cell r="AC6567"><v>21358715</v></cell><cell r="AD6567"><v>720197</v></cell><cell r="AE6567" t="str"><v>Facebook</v></cell><cell r="AF6567"><v>3654128</v></cell><cell r="AG6567" t="str"><v>FACEBOOK»USA-Trial-ITD-Interest Prospecting-AZR-AZR»1 x 1»SocialBan»CAN»ALL»CPA»PRO»X»NA»SS»NA»FreeAcctITProFB-AnimatedSecureMngd-Ch1»PS78JD</v></cell><cell r="AH6567"><v>226535294</v></cell><cell r="AI6567" t="str"><v>AZR_FreeAcctITProFB-AnimatedSecureMngd-Ch1_USA_1200x1200_CAN_Direct_EN_Trial_Standard_ANI_LEA_T1_1</v></cell><cell r="AJ6567"><v>104593738</v></cell></row><row r="6568"><cell r="C6568" t="str"><v>43328FACEBOOK»USA-Trial-ITD-Lead Completes Lookalike-AZR-AZR»1 x 1»SocialBan»CAN»ALL»CPA»LAL»X»NA»SS»NA»FBCTCBrandinMotion»PRX724</v></cell><cell r="D6568" t="str"><v>43328226028475</v></cell><cell r="E6568" t="str"><v>43328104593696PRX724</v></cell><cell r="F6568" t="str"><v>DCM</v></cell><cell r="G6568" t="str"><v>https://signup.azure.com/?OCID=AID%eexcid!_OLA_%ebuy!_%epid!_%ecid!</v></cell></row><row r="6568"><cell r="K6568" t="str"><v>August</v></cell><cell r="L6568"><v>43330</v></cell><cell r="M6568" t="str"><v>Tier 0</v></cell><cell r="N6568" t="str"><v>North America</v></cell><cell r="O6568" t="str"><v>United States</v></cell><cell r="P6568" t="str"><v>Trial</v></cell><cell r="Q6568" t="str"><v>Social</v></cell><cell r="R6568" t="str"><v>Azure</v></cell><cell r="S6568" t="str"><v>Apps & Infra</v></cell><cell r="T6568" t="str"><v>Developers & ITI's</v></cell><cell r="U6568" t="str"><v>USA-Trial-ITD-Lead Completes Lookalike-AZR-AZR</v></cell><cell r="V6568" t="str"><v>Lookalike Targeting</v></cell><cell r="W6568" t="str"><v>Canvas Ad</v></cell><cell r="X6568" t="str"><v>1x1</v></cell></row><row r="6568"><cell r="AA6568"><v>43328</v></cell><cell r="AB6568" t="str"><v>USA_gaPMG_AZR_AZR_Q1_19_Direct-Social</v></cell><cell r="AC6568"><v>21358715</v></cell><cell r="AD6568"><v>720197</v></cell><cell r="AE6568" t="str"><v>Facebook</v></cell><cell r="AF6568"><v>3654128</v></cell><cell r="AG6568" t="str"><v>FACEBOOK»USA-Trial-ITD-Lead Completes Lookalike-AZR-AZR»1 x 1»SocialBan»CAN»ALL»CPA»LAL»X»NA»SS»NA»FBCTCBrandinMotion»PRX724</v></cell><cell r="AH6568"><v>226028475</v></cell><cell r="AI6568" t="str"><v>AZR_FBCTCBrandinMotion_USA_10s_CAN_PLATFORM_English_Trial_Standard_STAN_TIN_T2_1</v></cell><cell r="AJ6568"><v>104593696</v></cell></row><row r="6569"><cell r="C6569" t="str"><v>43328FACEBOOK»USA-Trial-ITD-Lead Completes Lookalike-AZR-AZR»1 x 1»SocialBan»CAN»ALL»CPA»LAL»X»NA»SS»NA»FBCTCBrandinMotion»PRX724</v></cell><cell r="D6569" t="str"><v>43328226028475</v></cell><cell r="E6569" t="str"><v>43328104671406PRX724</v></cell><cell r="F6569" t="str"><v>DCM</v></cell><cell r="G6569" t="str"><v>https://azure.microsoft.com/en-us/pricing/purchase-options/?v=18.19&OCID=AID%eexcid!_OLA_%ebuy!_%epid!_%ecid!</v></cell></row><row r="6569"><cell r="K6569" t="str"><v>August</v></cell><cell r="L6569"><v>43330</v></cell><cell r="M6569" t="str"><v>Tier 0</v></cell><cell r="N6569" t="str"><v>North America</v></cell><cell r="O6569" t="str"><v>United States</v></cell><cell r="P6569" t="str"><v>Trial</v></cell><cell r="Q6569" t="str"><v>Social</v></cell><cell r="R6569" t="str"><v>Azure</v></cell><cell r="S6569" t="str"><v>Apps & Infra</v></cell><cell r="T6569" t="str"><v>Developers & ITI's</v></cell><cell r="U6569" t="str"><v>USA-Trial-ITD-Lead Completes Lookalike-AZR-AZR</v></cell><cell r="V6569" t="str"><v>Lookalike Targeting</v></cell><cell r="W6569" t="str"><v>Canvas Ad</v></cell><cell r="X6569" t="str"><v>1x1</v></cell></row><row r="6569"><cell r="AA6569"><v>43328</v></cell><cell r="AB6569" t="str"><v>USA_gaPMG_AZR_AZR_Q1_19_Direct-Social</v></cell><cell r="AC6569"><v>21358715</v></cell><cell r="AD6569"><v>720197</v></cell><cell r="AE6569" t="str"><v>Facebook</v></cell><cell r="AF6569"><v>3654128</v></cell><cell r="AG6569" t="str"><v>FACEBOOK»USA-Trial-ITD-Lead Completes Lookalike-AZR-AZR»1 x 1»SocialBan»CAN»ALL»CPA»LAL»X»NA»SS»NA»FBCTCBrandinMotion»PRX724</v></cell><cell r="AH6569"><v>226028475</v></cell><cell r="AI6569" t="str"><v>AZR_FBCTCBrandinMotion_USA_10s_CAN_PLATFORM_English_Trial_Standard_STAN_TIN_T2_2</v></cell><cell r="AJ6569"><v>104671406</v></cell></row><row r="6570"><cell r="C6570" t="str"><v>43328FACEBOOK»USA-Trial-ITD-Lead Completes Lookalike-AZR-AZR»1 x 1»SocialBan»CAN»ALL»CPA»LAL»X»NA»SS»NA»FBCTCBasicMotion»PRX721</v></cell><cell r="D6570" t="str"><v>43328226030086</v></cell><cell r="E6570" t="str"><v>43328104593426PRX721</v></cell><cell r="F6570" t="str"><v>DCM</v></cell><cell r="G6570" t="str"><v>https://azure.microsoft.com/en-us/pricing/purchase-options/?v=18.19&OCID=AID%eexcid!_OLA_%ebuy!_%epid!_%ecid!</v></cell></row><row r="6570"><cell r="K6570" t="str"><v>August</v></cell><cell r="L6570"><v>43330</v></cell><cell r="M6570" t="str"><v>Tier 0</v></cell><cell r="N6570" t="str"><v>North America</v></cell><cell r="O6570" t="str"><v>United States</v></cell><cell r="P6570" t="str"><v>Trial</v></cell><cell r="Q6570" t="str"><v>Social</v></cell><cell r="R6570" t="str"><v>Azure</v></cell><cell r="S6570" t="str"><v>Apps & Infra</v></cell><cell r="T6570" t="str"><v>Developers & ITI's</v></cell><cell r="U6570" t="str"><v>USA-Trial-ITD-Lead Completes Lookalike-AZR-AZR</v></cell><cell r="V6570" t="str"><v>Lookalike Targeting</v></cell><cell r="W6570" t="str"><v>Canvas Ad</v></cell><cell r="X6570" t="str"><v>1x1</v></cell></row><row r="6570"><cell r="AA6570"><v>43328</v></cell><cell r="AB6570" t="str"><v>USA_gaPMG_AZR_AZR_Q1_19_Direct-Social</v></cell><cell r="AC6570"><v>21358715</v></cell><cell r="AD6570"><v>720197</v></cell><cell r="AE6570" t="str"><v>Facebook</v></cell><cell r="AF6570"><v>3654128</v></cell><cell r="AG6570" t="str"><v>FACEBOOK»USA-Trial-ITD-Lead Completes Lookalike-AZR-AZR»1 x 1»SocialBan»CAN»ALL»CPA»LAL»X»NA»SS»NA»FBCTCBasicMotion»PRX721</v></cell><cell r="AH6570"><v>226030086</v></cell><cell r="AI6570" t="str"><v>AZR_FBCTCBasicMotion_USA_10s_CAN_PLATFORM_English_Trial_Standard_STAN_TIN_T1_2</v></cell><cell r="AJ6570"><v>104593426</v></cell></row><row r="6571"><cell r="C6571" t="str"><v>43328FACEBOOK»USA-Trial-ITD-Lead Completes Lookalike-AZR-AZR»1 x 1»SocialBan»CAN»ALL»CPA»LAL»X»NA»SS»NA»FBCTCBenefitinMotion»PRX723</v></cell><cell r="D6571" t="str"><v>43328225841993</v></cell><cell r="E6571" t="str"><v>43328104595718PRX723</v></cell><cell r="F6571" t="str"><v>DCM</v></cell><cell r="G6571" t="str"><v>https://azure.microsoft.com/en-us/pricing/purchase-options/?v=18.19&OCID=AID%eexcid!_OLA_%ebuy!_%epid!_%ecid!</v></cell></row><row r="6571"><cell r="K6571" t="str"><v>August</v></cell><cell r="L6571"><v>43330</v></cell><cell r="M6571" t="str"><v>Tier 0</v></cell><cell r="N6571" t="str"><v>North America</v></cell><cell r="O6571" t="str"><v>United States</v></cell><cell r="P6571" t="str"><v>Trial</v></cell><cell r="Q6571" t="str"><v>Social</v></cell><cell r="R6571" t="str"><v>Azure</v></cell><cell r="S6571" t="str"><v>Apps & Infra</v></cell><cell r="T6571" t="str"><v>Developers & ITI's</v></cell><cell r="U6571" t="str"><v>USA-Trial-ITD-Lead Completes Lookalike-AZR-AZR</v></cell><cell r="V6571" t="str"><v>Lookalike Targeting</v></cell><cell r="W6571" t="str"><v>Canvas Ad</v></cell><cell r="X6571" t="str"><v>1x1</v></cell></row><row r="6571"><cell r="AA6571"><v>43328</v></cell><cell r="AB6571" t="str"><v>USA_gaPMG_AZR_AZR_Q1_19_Direct-Social</v></cell><cell r="AC6571"><v>21358715</v></cell><cell r="AD6571"><v>720197</v></cell><cell r="AE6571" t="str"><v>Facebook</v></cell><cell r="AF6571"><v>3654128</v></cell><cell r="AG6571" t="str"><v>FACEBOOK»USA-Trial-ITD-Lead Completes Lookalike-AZR-AZR»1 x 1»SocialBan»CAN»ALL»CPA»LAL»X»NA»SS»NA»FBCTCBenefitinMotion»PRX723</v></cell><cell r="AH6571"><v>225841993</v></cell><cell r="AI6571" t="str"><v>AZR_FBCTCBenefitinMotion_USA_10s_CAN_PLATFORM_English_Trial_Standard_STAN_TIN_T3_2</v></cell><cell r="AJ6571"><v>104595718</v></cell></row><row r="6572"><cell r="C6572" t="str"><v>43328FACEBOOK»USA-Trial-ITD-Lead Completes Lookalike-AZR-AZR»1 x 1»SocialBan»CAN»ALL»CPA»LAL»X»NA»SS»NA»FreeAcctDeveloperFB-AnimatedAI-Ch3»PS79G3</v></cell><cell r="D6572" t="str"><v>43328226535318</v></cell><cell r="E6572" t="str"><v>43328104595745PS79G3</v></cell><cell r="F6572" t="str"><v>DCM</v></cell><cell r="G6572" t="str"><v>https://azure.microsoft.com/en-us/pricing/purchase-options/?v=18.19&OCID=AID%eexcid!_OLA_%ebuy!_%epid!_%ecid!</v></cell></row><row r="6572"><cell r="K6572" t="str"><v>August</v></cell><cell r="L6572"><v>43330</v></cell><cell r="M6572" t="str"><v>Tier 0</v></cell><cell r="N6572" t="str"><v>North America</v></cell><cell r="O6572" t="str"><v>United States</v></cell><cell r="P6572" t="str"><v>Trial</v></cell><cell r="Q6572" t="str"><v>Social</v></cell><cell r="R6572" t="str"><v>Azure</v></cell><cell r="S6572" t="str"><v>Apps & Infra</v></cell><cell r="T6572" t="str"><v>Developers & ITI's</v></cell><cell r="U6572" t="str"><v>USA-Trial-ITD-Lead Completes Lookalike-AZR-AZR</v></cell><cell r="V6572" t="str"><v>Lookalike Targeting</v></cell><cell r="W6572" t="str"><v>Canvas Ad</v></cell><cell r="X6572" t="str"><v>1x1</v></cell></row><row r="6572"><cell r="AA6572"><v>43328</v></cell><cell r="AB6572" t="str"><v>USA_gaPMG_AZR_AZR_Q1_19_Direct-Social</v></cell><cell r="AC6572"><v>21358715</v></cell><cell r="AD6572"><v>720197</v></cell><cell r="AE6572" t="str"><v>Facebook</v></cell><cell r="AF6572"><v>3654128</v></cell><cell r="AG6572" t="str"><v>FACEBOOK»USA-Trial-ITD-Lead Completes Lookalike-AZR-AZR»1 x 1»SocialBan»CAN»ALL»CPA»LAL»X»NA»SS»NA»FreeAcctDeveloperFB-AnimatedAI-Ch3»PS79G3</v></cell><cell r="AH6572"><v>226535318</v></cell><cell r="AI6572" t="str"><v>AZR_FreeAcctDeveloperFB-AnimatedAI-Ch3_USA_1200x1200_CAN_Direct_EN_Trial_Standard_ANI_LEA_T3_2</v></cell><cell r="AJ6572"><v>104595745</v></cell></row><row r="6573"><cell r="C6573" t="str"><v>43328FACEBOOK»USA-Trial-ITD-Lead Completes Lookalike-AZR-AZR»1 x 1»SocialBan»CAN»ALL»CPA»LAL»X»NA»SS»NA»FreeAcctDeveloperFB-AnimatedGeneric-Ch1»PS79FX</v></cell><cell r="D6573" t="str"><v>43328226622251</v></cell><cell r="E6573" t="str"><v>43328104592523PS79FX</v></cell><cell r="F6573" t="str"><v>DCM</v></cell><cell r="G6573" t="str"><v>https://azure.microsoft.com/en-us/pricing/purchase-options/?v=18.19&OCID=AID%eexcid!_OLA_%ebuy!_%epid!_%ecid!</v></cell></row><row r="6573"><cell r="K6573" t="str"><v>August</v></cell><cell r="L6573"><v>43330</v></cell><cell r="M6573" t="str"><v>Tier 0</v></cell><cell r="N6573" t="str"><v>North America</v></cell><cell r="O6573" t="str"><v>United States</v></cell><cell r="P6573" t="str"><v>Trial</v></cell><cell r="Q6573" t="str"><v>Social</v></cell><cell r="R6573" t="str"><v>Azure</v></cell><cell r="S6573" t="str"><v>Apps & Infra</v></cell><cell r="T6573" t="str"><v>Developers & ITI's</v></cell><cell r="U6573" t="str"><v>USA-Trial-ITD-Lead Completes Lookalike-AZR-AZR</v></cell><cell r="V6573" t="str"><v>Lookalike Targeting</v></cell><cell r="W6573" t="str"><v>Canvas Ad</v></cell><cell r="X6573" t="str"><v>1x1</v></cell></row><row r="6573"><cell r="AA6573"><v>43328</v></cell><cell r="AB6573" t="str"><v>USA_gaPMG_AZR_AZR_Q1_19_Direct-Social</v></cell><cell r="AC6573"><v>21358715</v></cell><cell r="AD6573"><v>720197</v></cell><cell r="AE6573" t="str"><v>Facebook</v></cell><cell r="AF6573"><v>3654128</v></cell><cell r="AG6573" t="str"><v>FACEBOOK»USA-Trial-ITD-Lead Completes Lookalike-AZR-AZR»1 x 1»SocialBan»CAN»ALL»CPA»LAL»X»NA»SS»NA»FreeAcctDeveloperFB-AnimatedGeneric-Ch1»PS79FX</v></cell><cell r="AH6573"><v>226622251</v></cell><cell r="AI6573" t="str"><v>AZR_FreeAcctDeveloperFB-AnimatedGeneric-Ch1_USA_1200x1200_CAN_Direct_EN_Trial_Standard_ANI_LEA_T1_2</v></cell><cell r="AJ6573"><v>104592523</v></cell></row><row r="6574"><cell r="C6574" t="str"><v>43328FACEBOOK»USA-Trial-ITD-Lead Completes Lookalike-AZR-AZR»1 x 1»SocialBan»CAN»ALL»CPA»LAL»X»NA»SS»NA»FreeAcctDeveloperFB-AnimatedOpenSource-Ch2»PS79G4</v></cell><cell r="D6574" t="str"><v>43328226784031</v></cell><cell r="E6574" t="str"><v>43328104671427PS79G4</v></cell><cell r="F6574" t="str"><v>DCM</v></cell><cell r="G6574" t="str"><v>https://signup.azure.com/?OCID=AID%eexcid!_OLA_%ebuy!_%epid!_%ecid!</v></cell></row><row r="6574"><cell r="K6574" t="str"><v>August</v></cell><cell r="L6574"><v>43330</v></cell><cell r="M6574" t="str"><v>Tier 0</v></cell><cell r="N6574" t="str"><v>North America</v></cell><cell r="O6574" t="str"><v>United States</v></cell><cell r="P6574" t="str"><v>Trial</v></cell><cell r="Q6574" t="str"><v>Social</v></cell><cell r="R6574" t="str"><v>Azure</v></cell><cell r="S6574" t="str"><v>Apps & Infra</v></cell><cell r="T6574" t="str"><v>Developers & ITI's</v></cell><cell r="U6574" t="str"><v>USA-Trial-ITD-Lead Completes Lookalike-AZR-AZR</v></cell><cell r="V6574" t="str"><v>Lookalike Targeting</v></cell><cell r="W6574" t="str"><v>Canvas Ad</v></cell><cell r="X6574" t="str"><v>1x1</v></cell></row><row r="6574"><cell r="AA6574"><v>43328</v></cell><cell r="AB6574" t="str"><v>USA_gaPMG_AZR_AZR_Q1_19_Direct-Social</v></cell><cell r="AC6574"><v>21358715</v></cell><cell r="AD6574"><v>720197</v></cell><cell r="AE6574" t="str"><v>Facebook</v></cell><cell r="AF6574"><v>3654128</v></cell><cell r="AG6574" t="str"><v>FACEBOOK»USA-Trial-ITD-Lead Completes Lookalike-AZR-AZR»1 x 1»SocialBan»CAN»ALL»CPA»LAL»X»NA»SS»NA»FreeAcctDeveloperFB-AnimatedOpenSource-Ch2»PS79G4</v></cell><cell r="AH6574"><v>226784031</v></cell><cell r="AI6574" t="str"><v>AZR_FreeAcctDeveloperFB-AnimatedOpenSource-Ch2_USA_1200x1200_CAN_Direct_EN_Trial_Standard_ANI_LEA_T2_1</v></cell><cell r="AJ6574"><v>104671427</v></cell></row><row r="6575"><cell r="C6575" t="str"><v>43328FACEBOOK»USA-Trial-ITD-Lead Completes Lookalike-AZR-AZR»1 x 1»SocialBan»CAN»ALL»CPA»LAL»X»NA»SS»NA»FreeAcctDeveloperFB-AnimatedOpenSource-Ch2»PS79G4</v></cell><cell r="D6575" t="str"><v>43328226784031</v></cell><cell r="E6575" t="str"><v>43328104593438PS79G4</v></cell><cell r="F6575" t="str"><v>DCM</v></cell><cell r="G6575" t="str"><v>https://azure.microsoft.com/en-us/pricing/purchase-options/?v=18.19&OCID=AID%eexcid!_OLA_%ebuy!_%epid!_%ecid!</v></cell></row><row r="6575"><cell r="K6575" t="str"><v>August</v></cell><cell r="L6575"><v>43330</v></cell><cell r="M6575" t="str"><v>Tier 0</v></cell><cell r="N6575" t="str"><v>North America</v></cell><cell r="O6575" t="str"><v>United States</v></cell><cell r="P6575" t="str"><v>Trial</v></cell><cell r="Q6575" t="str"><v>Social</v></cell><cell r="R6575" t="str"><v>Azure</v></cell><cell r="S6575" t="str"><v>Apps & Infra</v></cell><cell r="T6575" t="str"><v>Developers & ITI's</v></cell><cell r="U6575" t="str"><v>USA-Trial-ITD-Lead Completes Lookalike-AZR-AZR</v></cell><cell r="V6575" t="str"><v>Lookalike Targeting</v></cell><cell r="W6575" t="str"><v>Canvas Ad</v></cell><cell r="X6575" t="str"><v>1x1</v></cell></row><row r="6575"><cell r="AA6575"><v>43328</v></cell><cell r="AB6575" t="str"><v>USA_gaPMG_AZR_AZR_Q1_19_Direct-Social</v></cell><cell r="AC6575"><v>21358715</v></cell><cell r="AD6575"><v>720197</v></cell><cell r="AE6575" t="str"><v>Facebook</v></cell><cell r="AF6575"><v>3654128</v></cell><cell r="AG6575" t="str"><v>FACEBOOK»USA-Trial-ITD-Lead Completes Lookalike-AZR-AZR»1 x 1»SocialBan»CAN»ALL»CPA»LAL»X»NA»SS»NA»FreeAcctDeveloperFB-AnimatedOpenSource-Ch2»PS79G4</v></cell><cell r="AH6575"><v>226784031</v></cell><cell r="AI6575" t="str"><v>AZR_FreeAcctDeveloperFB-AnimatedOpenSource-Ch2_USA_1200x1200_CAN_Direct_EN_Trial_Standard_ANI_LEA_T2_2</v></cell><cell r="AJ6575"><v>104593438</v></cell></row><row r="6576"><cell r="C6576" t="str"><v>43328FACEBOOK»USA-Trial-ITD-Retargeting-AZR-AZR»1 x 1»SocialBan»CAN»ALL»CPA»RT»X»NA»SS»NA»FreeAcctRetargetingOSSFB-Text-ChF»PS79T0</v></cell><cell r="D6576" t="str"><v>43328226786236</v></cell><cell r="E6576" t="str"><v>43328104593423PS79T0</v></cell><cell r="F6576" t="str"><v>DCM</v></cell><cell r="G6576" t="str"><v>https://signup.azure.com/?OCID=AID%eexcid!_OLA_%ebuy!_%epid!_%ecid!</v></cell></row><row r="6576"><cell r="K6576" t="str"><v>August</v></cell><cell r="L6576"><v>43330</v></cell><cell r="M6576" t="str"><v>Tier 0</v></cell><cell r="N6576" t="str"><v>North America</v></cell><cell r="O6576" t="str"><v>United States</v></cell><cell r="P6576" t="str"><v>Trial</v></cell><cell r="Q6576" t="str"><v>Social</v></cell><cell r="R6576" t="str"><v>Azure</v></cell><cell r="S6576" t="str"><v>Apps & Infra</v></cell><cell r="T6576" t="str"><v>Developers & ITI's</v></cell><cell r="U6576" t="str"><v>USA-Trial-ITD-Retargeting-AZR-AZR</v></cell><cell r="V6576" t="str"><v>Retargeting</v></cell><cell r="W6576" t="str"><v>Canvas Ad</v></cell><cell r="X6576" t="str"><v>1x1</v></cell></row><row r="6576"><cell r="AA6576"><v>43328</v></cell><cell r="AB6576" t="str"><v>USA_gaPMG_AZR_AZR_Q1_19_Direct-Social</v></cell><cell r="AC6576"><v>21358715</v></cell><cell r="AD6576"><v>720197</v></cell><cell r="AE6576" t="str"><v>Facebook</v></cell><cell r="AF6576"><v>3654128</v></cell><cell r="AG6576" t="str"><v>FACEBOOK»USA-Trial-ITD-Retargeting-AZR-AZR»1 x 1»SocialBan»CAN»ALL»CPA»RT»X»NA»SS»NA»FreeAcctRetargetingOSSFB-Text-ChF»PS79T0</v></cell><cell r="AH6576"><v>226786236</v></cell><cell r="AI6576" t="str"><v>AZR_FreeAcctRetargetingOSSFB-Text-ChF_USA_1200x628_CAN_Plat_English_Free Account_Standard_NA_SINU_T1_1</v></cell><cell r="AJ6576"><v>104593423</v></cell></row><row r="6577"><cell r="C6577" t="str"><v>43328FACEBOOK»USA-Trial-ITD-Retargeting-AZR-AZR»1 x 1»SocialBan»CAN»ALL»CPA»RT»X»NA»SS»NA»FreeAcctDeveloperFB-AnimatedAI-Ch3»PS79T7</v></cell><cell r="D6577" t="str"><v>43328226622512</v></cell><cell r="E6577" t="str"><v>43328104593735PS79T7</v></cell><cell r="F6577" t="str"><v>DCM</v></cell><cell r="G6577" t="str"><v>https://signup.azure.com/?OCID=AID%eexcid!_OLA_%ebuy!_%epid!_%ecid!</v></cell></row><row r="6577"><cell r="K6577" t="str"><v>August</v></cell><cell r="L6577"><v>43330</v></cell><cell r="M6577" t="str"><v>Tier 0</v></cell><cell r="N6577" t="str"><v>North America</v></cell><cell r="O6577" t="str"><v>United States</v></cell><cell r="P6577" t="str"><v>Trial</v></cell><cell r="Q6577" t="str"><v>Social</v></cell><cell r="R6577" t="str"><v>Azure</v></cell><cell r="S6577" t="str"><v>Apps & Infra</v></cell><cell r="T6577" t="str"><v>Developers & ITI's</v></cell><cell r="U6577" t="str"><v>USA-Trial-ITD-Retargeting-AZR-AZR</v></cell><cell r="V6577" t="str"><v>Retargeting</v></cell><cell r="W6577" t="str"><v>Canvas Ad</v></cell><cell r="X6577" t="str"><v>1x1</v></cell></row><row r="6577"><cell r="AA6577"><v>43328</v></cell><cell r="AB6577" t="str"><v>USA_gaPMG_AZR_AZR_Q1_19_Direct-Social</v></cell><cell r="AC6577"><v>21358715</v></cell><cell r="AD6577"><v>720197</v></cell><cell r="AE6577" t="str"><v>Facebook</v></cell><cell r="AF6577"><v>3654128</v></cell><cell r="AG6577" t="str"><v>FACEBOOK»USA-Trial-ITD-Retargeting-AZR-AZR»1 x 1»SocialBan»CAN»ALL»CPA»RT»X»NA»SS»NA»FreeAcctDeveloperFB-AnimatedAI-Ch3»PS79T7</v></cell><cell r="AH6577"><v>226622512</v></cell><cell r="AI6577" t="str"><v>AZR_FreeAcctDeveloperFB-AnimatedAI-Ch3_USA_1200x1200_CAN_Direct_EN_Trial_Standard_ANI_LEA_T3_1</v></cell><cell r="AJ6577"><v>104593735</v></cell></row><row r="6578"><cell r="C6578" t="str"><v>43328FACEBOOK»USA-Trial-ITD-Retargeting-AZR-AZR»1 x 1»SocialBan»CAN»ALL»CPA»RT»X»NA»SS»NA»FreeAcctDeveloperFB-AnimatedGeneric-Ch1»PS79T3</v></cell><cell r="D6578" t="str"><v>43328226539389</v></cell><cell r="E6578" t="str"><v>43328104595766PS79T3</v></cell><cell r="F6578" t="str"><v>DCM</v></cell><cell r="G6578" t="str"><v>https://signup.azure.com/?OCID=AID%eexcid!_OLA_%ebuy!_%epid!_%ecid!</v></cell></row><row r="6578"><cell r="K6578" t="str"><v>August</v></cell><cell r="L6578"><v>43330</v></cell><cell r="M6578" t="str"><v>Tier 0</v></cell><cell r="N6578" t="str"><v>North America</v></cell><cell r="O6578" t="str"><v>United States</v></cell><cell r="P6578" t="str"><v>Trial</v></cell><cell r="Q6578" t="str"><v>Social</v></cell><cell r="R6578" t="str"><v>Azure</v></cell><cell r="S6578" t="str"><v>Apps & Infra</v></cell><cell r="T6578" t="str"><v>Developers & ITI's</v></cell><cell r="U6578" t="str"><v>USA-Trial-ITD-Retargeting-AZR-AZR</v></cell><cell r="V6578" t="str"><v>Retargeting</v></cell><cell r="W6578" t="str"><v>Canvas Ad</v></cell><cell r="X6578" t="str"><v>1x1</v></cell></row><row r="6578"><cell r="AA6578"><v>43328</v></cell><cell r="AB6578" t="str"><v>USA_gaPMG_AZR_AZR_Q1_19_Direct-Social</v></cell><cell r="AC6578"><v>21358715</v></cell><cell r="AD6578"><v>720197</v></cell><cell r="AE6578" t="str"><v>Facebook</v></cell><cell r="AF6578"><v>3654128</v></cell><cell r="AG6578" t="str"><v>FACEBOOK»USA-Trial-ITD-Retargeting-AZR-AZR»1 x 1»SocialBan»CAN»ALL»CPA»RT»X»NA»SS»NA»FreeAcctDeveloperFB-AnimatedGeneric-Ch1»PS79T3</v></cell><cell r="AH6578"><v>226539389</v></cell><cell r="AI6578" t="str"><v>AZR_FreeAcctDeveloperFB-AnimatedGeneric-Ch1_USA_1200x1200_CAN_Direct_EN_Trial_Standard_ANI_LEA_T1_1</v></cell><cell r="AJ6578"><v>104595766</v></cell></row><row r="6579"><cell r="C6579" t="str"><v>43328FACEBOOK»USA-Trial-ITD-Retargeting-AZR-AZR»1 x 1»SocialBan»CAN»ALL»CPA»RT»X»NA»SS»NA»FreeAcctDeveloperFB-AnimatedGeneric-Ch1»PS79T3</v></cell><cell r="D6579" t="str"><v>43328226539389</v></cell><cell r="E6579" t="str"><v>43328104592523PS79T3</v></cell><cell r="F6579" t="str"><v>DCM</v></cell><cell r="G6579" t="str"><v>https://azure.microsoft.com/en-us/pricing/purchase-options/?v=18.19&OCID=AID%eexcid!_OLA_%ebuy!_%epid!_%ecid!</v></cell></row><row r="6579"><cell r="K6579" t="str"><v>August</v></cell><cell r="L6579"><v>43330</v></cell><cell r="M6579" t="str"><v>Tier 0</v></cell><cell r="N6579" t="str"><v>North America</v></cell><cell r="O6579" t="str"><v>United States</v></cell><cell r="P6579" t="str"><v>Trial</v></cell><cell r="Q6579" t="str"><v>Social</v></cell><cell r="R6579" t="str"><v>Azure</v></cell><cell r="S6579" t="str"><v>Apps & Infra</v></cell><cell r="T6579" t="str"><v>Developers & ITI's</v></cell><cell r="U6579" t="str"><v>USA-Trial-ITD-Retargeting-AZR-AZR</v></cell><cell r="V6579" t="str"><v>Retargeting</v></cell><cell r="W6579" t="str"><v>Canvas Ad</v></cell><cell r="X6579" t="str"><v>1x1</v></cell></row><row r="6579"><cell r="AA6579"><v>43328</v></cell><cell r="AB6579" t="str"><v>USA_gaPMG_AZR_AZR_Q1_19_Direct-Social</v></cell><cell r="AC6579"><v>21358715</v></cell><cell r="AD6579"><v>720197</v></cell><cell r="AE6579" t="str"><v>Facebook</v></cell><cell r="AF6579"><v>3654128</v></cell><cell r="AG6579" t="str"><v>FACEBOOK»USA-Trial-ITD-Retargeting-AZR-AZR»1 x 1»SocialBan»CAN»ALL»CPA»RT»X»NA»SS»NA»FreeAcctDeveloperFB-AnimatedGeneric-Ch1»PS79T3</v></cell><cell r="AH6579"><v>226539389</v></cell><cell r="AI6579" t="str"><v>AZR_FreeAcctDeveloperFB-AnimatedGeneric-Ch1_USA_1200x1200_CAN_Direct_EN_Trial_Standard_ANI_LEA_T1_2</v></cell><cell r="AJ6579"><v>104592523</v></cell></row><row r="6580"><cell r="C6580" t="str"><v>43328FACEBOOK»USA-Trial-ITD-Retargeting-AZR-AZR»1 x 1»SocialBan»CAN»ALL»CPA»RT»X»NA»SS»NA»FreeAcctDeveloperFB-AnimatedGeneric-Ch1»PS79T5</v></cell><cell r="D6580" t="str"><v>43328226786242</v></cell><cell r="E6580" t="str"><v>43328104592523PS79T5</v></cell><cell r="F6580" t="str"><v>DCM</v></cell><cell r="G6580" t="str"><v>https://azure.microsoft.com/en-us/pricing/purchase-options/?v=18.19&OCID=AID%eexcid!_OLA_%ebuy!_%epid!_%ecid!</v></cell></row><row r="6580"><cell r="K6580" t="str"><v>August</v></cell><cell r="L6580"><v>43330</v></cell><cell r="M6580" t="str"><v>Tier 0</v></cell><cell r="N6580" t="str"><v>North America</v></cell><cell r="O6580" t="str"><v>United States</v></cell><cell r="P6580" t="str"><v>Trial</v></cell><cell r="Q6580" t="str"><v>Social</v></cell><cell r="R6580" t="str"><v>Azure</v></cell><cell r="S6580" t="str"><v>Apps & Infra</v></cell><cell r="T6580" t="str"><v>Developers & ITI's</v></cell><cell r="U6580" t="str"><v>USA-Trial-ITD-Retargeting-AZR-AZR</v></cell><cell r="V6580" t="str"><v>Retargeting</v></cell><cell r="W6580" t="str"><v>Canvas Ad</v></cell><cell r="X6580" t="str"><v>1x1</v></cell></row><row r="6580"><cell r="AA6580"><v>43328</v></cell><cell r="AB6580" t="str"><v>USA_gaPMG_AZR_AZR_Q1_19_Direct-Social</v></cell><cell r="AC6580"><v>21358715</v></cell><cell r="AD6580"><v>720197</v></cell><cell r="AE6580" t="str"><v>Facebook</v></cell><cell r="AF6580"><v>3654128</v></cell><cell r="AG6580" t="str"><v>FACEBOOK»USA-Trial-ITD-Retargeting-AZR-AZR»1 x 1»SocialBan»CAN»ALL»CPA»RT»X»NA»SS»NA»FreeAcctDeveloperFB-AnimatedGeneric-Ch1»PS79T5</v></cell><cell r="AH6580"><v>226786242</v></cell><cell r="AI6580" t="str"><v>AZR_FreeAcctDeveloperFB-AnimatedGeneric-Ch1_USA_1200x1200_CAN_Direct_EN_Trial_Standard_ANI_LEA_T1_2</v></cell><cell r="AJ6580"><v>104592523</v></cell></row><row r="6581"><cell r="C6581" t="str"><v>43328FACEBOOK»USA-Trial-ITD-Retargeting-AZR-AZR»1 x 1»SocialBan»CAN»ALL»CPA»RT»X»NA»SS»NA»FreeAcctRetargetingFB-Credit-ChA»PS79S1</v></cell><cell r="D6581" t="str"><v>43328226783983</v></cell><cell r="E6581" t="str"><v>43328104595769PS79S1</v></cell><cell r="F6581" t="str"><v>DCM</v></cell><cell r="G6581" t="str"><v>https://signup.azure.com/?OCID=AID%eexcid!_OLA_%ebuy!_%epid!_%ecid!</v></cell></row><row r="6581"><cell r="K6581" t="str"><v>August</v></cell><cell r="L6581"><v>43330</v></cell><cell r="M6581" t="str"><v>Tier 0</v></cell><cell r="N6581" t="str"><v>North America</v></cell><cell r="O6581" t="str"><v>United States</v></cell><cell r="P6581" t="str"><v>Trial</v></cell><cell r="Q6581" t="str"><v>Social</v></cell><cell r="R6581" t="str"><v>Azure</v></cell><cell r="S6581" t="str"><v>Apps & Infra</v></cell><cell r="T6581" t="str"><v>Developers & ITI's</v></cell><cell r="U6581" t="str"><v>USA-Trial-ITD-Retargeting-AZR-AZR</v></cell><cell r="V6581" t="str"><v>Retargeting</v></cell><cell r="W6581" t="str"><v>Canvas Ad</v></cell><cell r="X6581" t="str"><v>1x1</v></cell></row><row r="6581"><cell r="AA6581"><v>43328</v></cell><cell r="AB6581" t="str"><v>USA_gaPMG_AZR_AZR_Q1_19_Direct-Social</v></cell><cell r="AC6581"><v>21358715</v></cell><cell r="AD6581"><v>720197</v></cell><cell r="AE6581" t="str"><v>Facebook</v></cell><cell r="AF6581"><v>3654128</v></cell><cell r="AG6581" t="str"><v>FACEBOOK»USA-Trial-ITD-Retargeting-AZR-AZR»1 x 1»SocialBan»CAN»ALL»CPA»RT»X»NA»SS»NA»FreeAcctRetargetingFB-Credit-ChA»PS79S1</v></cell><cell r="AH6581"><v>226783983</v></cell><cell r="AI6581" t="str"><v>AZR_FreeAcctRetargetingFB-Credit-ChA_USA_1200x628_CAN_Plat_English_Free Account_Standard_NA_SINU_T1_1</v></cell><cell r="AJ6581"><v>104595769</v></cell></row><row r="6582"><cell r="C6582" t="str"><v>43328FACEBOOK»USA-Trial-ITD-Retargeting-AZR-AZR»1 x 1»SocialBan»CAN»ALL»CPA»RT»X»NA»SS»NA»FreeAcctRetargetingFB-GlobalAlt-ChB»PS79SS</v></cell><cell r="D6582" t="str"><v>43328226538594</v></cell><cell r="E6582" t="str"><v>43328104593441PS79SS</v></cell><cell r="F6582" t="str"><v>DCM</v></cell><cell r="G6582" t="str"><v>https://azure.microsoft.com/en-us/pricing/purchase-options/?v=18.19&OCID=AID%eexcid!_OLA_%ebuy!_%epid!_%ecid!</v></cell></row><row r="6582"><cell r="K6582" t="str"><v>August</v></cell><cell r="L6582"><v>43330</v></cell><cell r="M6582" t="str"><v>Tier 0</v></cell><cell r="N6582" t="str"><v>North America</v></cell><cell r="O6582" t="str"><v>United States</v></cell><cell r="P6582" t="str"><v>Trial</v></cell><cell r="Q6582" t="str"><v>Social</v></cell><cell r="R6582" t="str"><v>Azure</v></cell><cell r="S6582" t="str"><v>Apps & Infra</v></cell><cell r="T6582" t="str"><v>Developers & ITI's</v></cell><cell r="U6582" t="str"><v>USA-Trial-ITD-Retargeting-AZR-AZR</v></cell><cell r="V6582" t="str"><v>Retargeting</v></cell><cell r="W6582" t="str"><v>Canvas Ad</v></cell><cell r="X6582" t="str"><v>1x1</v></cell></row><row r="6582"><cell r="AA6582"><v>43328</v></cell><cell r="AB6582" t="str"><v>USA_gaPMG_AZR_AZR_Q1_19_Direct-Social</v></cell><cell r="AC6582"><v>21358715</v></cell><cell r="AD6582"><v>720197</v></cell><cell r="AE6582" t="str"><v>Facebook</v></cell><cell r="AF6582"><v>3654128</v></cell><cell r="AG6582" t="str"><v>FACEBOOK»USA-Trial-ITD-Retargeting-AZR-AZR»1 x 1»SocialBan»CAN»ALL»CPA»RT»X»NA»SS»NA»FreeAcctRetargetingFB-GlobalAlt-ChB»PS79SS</v></cell><cell r="AH6582"><v>226538594</v></cell><cell r="AI6582" t="str"><v>AZR_FreeAcctRetargetingFB-GlobalAlt-ChB_USA_1200x628_CAN_Plat_English_Free Account_Standard_NA_SINU_T2_2</v></cell><cell r="AJ6582"><v>104593441</v></cell></row><row r="6583"><cell r="C6583" t="str"><v>43328FACEBOOK»USA-Trial-ITD-Trial Lookalike-AZR-AZR»1 x 1»SocialBan»CAN»ALL»CPA»LAL»X»NA»SS»NA»FBCTCBasicMotion»PRC1LZ</v></cell><cell r="D6583" t="str"><v>43328223862915</v></cell><cell r="E6583" t="str"><v>43328103043823PRC1LZ</v></cell><cell r="F6583" t="str"><v>DCM</v></cell><cell r="G6583" t="str"><v>https://signup.azure.com/?OCID=AID%eexcid!_OLA_%ebuy!_%epid!_%ecid!</v></cell></row><row r="6583"><cell r="K6583" t="str"><v>August</v></cell><cell r="L6583"><v>43330</v></cell><cell r="M6583" t="str"><v>Tier 0</v></cell><cell r="N6583" t="str"><v>North America</v></cell><cell r="O6583" t="str"><v>United States</v></cell><cell r="P6583" t="str"><v>Trial</v></cell><cell r="Q6583" t="str"><v>Social</v></cell><cell r="R6583" t="str"><v>Azure</v></cell><cell r="S6583" t="str"><v>Apps & Infra</v></cell><cell r="T6583" t="str"><v>Developers & ITI's</v></cell><cell r="U6583" t="str"><v>USA-Trial-ITD-Trial Lookalike-AZR-AZR</v></cell><cell r="V6583" t="str"><v>Lookalike Targeting</v></cell><cell r="W6583" t="str"><v>Canvas Ad</v></cell><cell r="X6583" t="str"><v>1x1</v></cell></row><row r="6583"><cell r="AA6583"><v>43328</v></cell><cell r="AB6583" t="str"><v>USA_gaPMG_AZR_AZR_Q1_19_Direct-Social</v></cell><cell r="AC6583"><v>21358715</v></cell><cell r="AD6583"><v>720197</v></cell><cell r="AE6583" t="str"><v>Facebook</v></cell><cell r="AF6583"><v>3654128</v></cell><cell r="AG6583" t="str"><v>FACEBOOK»USA-Trial-ITD-Trial Lookalike-AZR-AZR»1 x 1»SocialBan»CAN»ALL»CPA»LAL»X»NA»SS»NA»FBCTCBasicMotion»PRC1LZ</v></cell><cell r="AH6583"><v>223862915</v></cell><cell r="AI6583" t="str"><v>AzurePlatform_FBCTCBasicMotion_USA_10s_CAN_PLATFORM_English_Trial_Standard_STAN_TIN_T1_1</v></cell><cell r="AJ6583"><v>103043823</v></cell></row><row r="6584"><cell r="C6584" t="str"><v>43328FACEBOOK»USA-Trial-ITD-Trial Lookalike-AZR-AZR»1 x 1»SocialBan»CAN»ALL»CPA»LAL»X»NA»SS»NA»FreeAcctDeveloperFB-AnimatedAI-Ch3»PS7B50</v></cell><cell r="D6584" t="str"><v>43328226538621</v></cell><cell r="E6584" t="str"><v>43328104593735PS7B50</v></cell><cell r="F6584" t="str"><v>DCM</v></cell><cell r="G6584" t="str"><v>https://signup.azure.com/?OCID=AID%eexcid!_OLA_%ebuy!_%epid!_%ecid!</v></cell></row><row r="6584"><cell r="K6584" t="str"><v>August</v></cell><cell r="L6584"><v>43330</v></cell><cell r="M6584" t="str"><v>Tier 0</v></cell><cell r="N6584" t="str"><v>North America</v></cell><cell r="O6584" t="str"><v>United States</v></cell><cell r="P6584" t="str"><v>Trial</v></cell><cell r="Q6584" t="str"><v>Social</v></cell><cell r="R6584" t="str"><v>Azure</v></cell><cell r="S6584" t="str"><v>Apps & Infra</v></cell><cell r="T6584" t="str"><v>Developers & ITI's</v></cell><cell r="U6584" t="str"><v>USA-Trial-ITD-Trial Lookalike-AZR-AZR</v></cell><cell r="V6584" t="str"><v>Lookalike Targeting</v></cell><cell r="W6584" t="str"><v>Canvas Ad</v></cell><cell r="X6584" t="str"><v>1x1</v></cell></row><row r="6584"><cell r="AA6584"><v>43328</v></cell><cell r="AB6584" t="str"><v>USA_gaPMG_AZR_AZR_Q1_19_Direct-Social</v></cell><cell r="AC6584"><v>21358715</v></cell><cell r="AD6584"><v>720197</v></cell><cell r="AE6584" t="str"><v>Facebook</v></cell><cell r="AF6584"><v>3654128</v></cell><cell r="AG6584" t="str"><v>FACEBOOK»USA-Trial-ITD-Trial Lookalike-AZR-AZR»1 x 1»SocialBan»CAN»ALL»CPA»LAL»X»NA»SS»NA»FreeAcctDeveloperFB-AnimatedAI-Ch3»PS7B50</v></cell><cell r="AH6584"><v>226538621</v></cell><cell r="AI6584" t="str"><v>AZR_FreeAcctDeveloperFB-AnimatedAI-Ch3_USA_1200x1200_CAN_Direct_EN_Trial_Standard_ANI_LEA_T3_1</v></cell><cell r="AJ6584"><v>104593735</v></cell></row><row r="6585"><cell r="C6585" t="str"><v>43328FACEBOOK»USA-Trial-ITD-Trial Lookalike-AZR-AZR»1 x 1»SocialBan»CAN»ALL»CPA»LAL»X»NA»SS»NA»FreeAcctDeveloperFB-AnimatedData-Ch4»PS7B52</v></cell><cell r="D6585" t="str"><v>43328226622902</v></cell><cell r="E6585" t="str"><v>43328104595739PS7B52</v></cell><cell r="F6585" t="str"><v>DCM</v></cell><cell r="G6585" t="str"><v>https://signup.azure.com/?OCID=AID%eexcid!_OLA_%ebuy!_%epid!_%ecid!</v></cell></row><row r="6585"><cell r="K6585" t="str"><v>August</v></cell><cell r="L6585"><v>43330</v></cell><cell r="M6585" t="str"><v>Tier 0</v></cell><cell r="N6585" t="str"><v>North America</v></cell><cell r="O6585" t="str"><v>United States</v></cell><cell r="P6585" t="str"><v>Trial</v></cell><cell r="Q6585" t="str"><v>Social</v></cell><cell r="R6585" t="str"><v>Azure</v></cell><cell r="S6585" t="str"><v>Apps & Infra</v></cell><cell r="T6585" t="str"><v>Developers & ITI's</v></cell><cell r="U6585" t="str"><v>USA-Trial-ITD-Trial Lookalike-AZR-AZR</v></cell><cell r="V6585" t="str"><v>Lookalike Targeting</v></cell><cell r="W6585" t="str"><v>Canvas Ad</v></cell><cell r="X6585" t="str"><v>1x1</v></cell></row><row r="6585"><cell r="AA6585"><v>43328</v></cell><cell r="AB6585" t="str"><v>USA_gaPMG_AZR_AZR_Q1_19_Direct-Social</v></cell><cell r="AC6585"><v>21358715</v></cell><cell r="AD6585"><v>720197</v></cell><cell r="AE6585" t="str"><v>Facebook</v></cell><cell r="AF6585"><v>3654128</v></cell><cell r="AG6585" t="str"><v>FACEBOOK»USA-Trial-ITD-Trial Lookalike-AZR-AZR»1 x 1»SocialBan»CAN»ALL»CPA»LAL»X»NA»SS»NA»FreeAcctDeveloperFB-AnimatedData-Ch4»PS7B52</v></cell><cell r="AH6585"><v>226622902</v></cell><cell r="AI6585" t="str"><v>AZR_FreeAcctDeveloperFB-AnimatedData-Ch4_USA_1200x1200_CAN_Direct_EN_Trial_Standard_ANI_LEA_T4_1</v></cell><cell r="AJ6585"><v>104595739</v></cell></row><row r="6586"><cell r="C6586" t="str"><v>43328FACEBOOK»USA-Trial-ITD-Trial Lookalike-AZR-AZR»1 x 1»SocialBan»CAN»ALL»CPA»LAL»X»NA»SS»NA»FreeAcctDeveloperFB-AnimatedData-Ch4»PS7B52</v></cell><cell r="D6586" t="str"><v>43328226622902</v></cell><cell r="E6586" t="str"><v>43328104671403PS7B52</v></cell><cell r="F6586" t="str"><v>DCM</v></cell><cell r="G6586" t="str"><v>https://azure.microsoft.com/en-us/pricing/purchase-options/?v=18.19&OCID=AID%eexcid!_OLA_%ebuy!_%epid!_%ecid!</v></cell></row><row r="6586"><cell r="K6586" t="str"><v>August</v></cell><cell r="L6586"><v>43330</v></cell><cell r="M6586" t="str"><v>Tier 0</v></cell><cell r="N6586" t="str"><v>North America</v></cell><cell r="O6586" t="str"><v>United States</v></cell><cell r="P6586" t="str"><v>Trial</v></cell><cell r="Q6586" t="str"><v>Social</v></cell><cell r="R6586" t="str"><v>Azure</v></cell><cell r="S6586" t="str"><v>Apps & Infra</v></cell><cell r="T6586" t="str"><v>Developers & ITI's</v></cell><cell r="U6586" t="str"><v>USA-Trial-ITD-Trial Lookalike-AZR-AZR</v></cell><cell r="V6586" t="str"><v>Lookalike Targeting</v></cell><cell r="W6586" t="str"><v>Canvas Ad</v></cell><cell r="X6586" t="str"><v>1x1</v></cell></row><row r="6586"><cell r="AA6586"><v>43328</v></cell><cell r="AB6586" t="str"><v>USA_gaPMG_AZR_AZR_Q1_19_Direct-Social</v></cell><cell r="AC6586"><v>21358715</v></cell><cell r="AD6586"><v>720197</v></cell><cell r="AE6586" t="str"><v>Facebook</v></cell><cell r="AF6586"><v>3654128</v></cell><cell r="AG6586" t="str"><v>FACEBOOK»USA-Trial-ITD-Trial Lookalike-AZR-AZR»1 x 1»SocialBan»CAN»ALL»CPA»LAL»X»NA»SS»NA»FreeAcctDeveloperFB-AnimatedData-Ch4»PS7B52</v></cell><cell r="AH6586"><v>226622902</v></cell><cell r="AI6586" t="str"><v>AZR_FreeAcctDeveloperFB-AnimatedData-Ch4_USA_1200x1200_CAN_Direct_EN_Trial_Standard_ANI_LEA_T4_2</v></cell><cell r="AJ6586"><v>104671403</v></cell></row><row r="6587"><cell r="C6587" t="str"><v>43328FACEBOOK»USA-Trial-ITD-Trial Lookalike-AZR-AZR»1 x 1»SocialBan»CAN»ALL»CPA»LAL»X»NA»SS»NA»FreeAcctDeveloperFB-AnimatedGeneric-Ch1»PS7B4W</v></cell><cell r="D6587" t="str"><v>43328226784007</v></cell><cell r="E6587" t="str"><v>43328104592523PS7B4W</v></cell><cell r="F6587" t="str"><v>DCM</v></cell><cell r="G6587" t="str"><v>https://azure.microsoft.com/en-us/pricing/purchase-options/?v=18.19&OCID=AID%eexcid!_OLA_%ebuy!_%epid!_%ecid!</v></cell></row><row r="6587"><cell r="K6587" t="str"><v>August</v></cell><cell r="L6587"><v>43330</v></cell><cell r="M6587" t="str"><v>Tier 0</v></cell><cell r="N6587" t="str"><v>North America</v></cell><cell r="O6587" t="str"><v>United States</v></cell><cell r="P6587" t="str"><v>Trial</v></cell><cell r="Q6587" t="str"><v>Social</v></cell><cell r="R6587" t="str"><v>Azure</v></cell><cell r="S6587" t="str"><v>Apps & Infra</v></cell><cell r="T6587" t="str"><v>Developers & ITI's</v></cell><cell r="U6587" t="str"><v>USA-Trial-ITD-Trial Lookalike-AZR-AZR</v></cell><cell r="V6587" t="str"><v>Lookalike Targeting</v></cell><cell r="W6587" t="str"><v>Canvas Ad</v></cell><cell r="X6587" t="str"><v>1x1</v></cell></row><row r="6587"><cell r="AA6587"><v>43328</v></cell><cell r="AB6587" t="str"><v>USA_gaPMG_AZR_AZR_Q1_19_Direct-Social</v></cell><cell r="AC6587"><v>21358715</v></cell><cell r="AD6587"><v>720197</v></cell><cell r="AE6587" t="str"><v>Facebook</v></cell><cell r="AF6587"><v>3654128</v></cell><cell r="AG6587" t="str"><v>FACEBOOK»USA-Trial-ITD-Trial Lookalike-AZR-AZR»1 x 1»SocialBan»CAN»ALL»CPA»LAL»X»NA»SS»NA»FreeAcctDeveloperFB-AnimatedGeneric-Ch1»PS7B4W</v></cell><cell r="AH6587"><v>226784007</v></cell><cell r="AI6587" t="str"><v>AZR_FreeAcctDeveloperFB-AnimatedGeneric-Ch1_USA_1200x1200_CAN_Direct_EN_Trial_Standard_ANI_LEA_T1_2</v></cell><cell r="AJ6587"><v>104592523</v></cell></row><row r="6588"><cell r="C6588" t="str"><v>43328FACEBOOK»USA-Trial-ITD-Trial Lookalike-AZR-AZR»1 x 1»SocialBan»CAN»ALL»CPA»LAL»X»NA»SS»NA»FreeAcctDeveloperFB-AnimatedGeneric-Ch1»PS7B4Y</v></cell><cell r="D6588" t="str"><v>43328226535300</v></cell><cell r="E6588" t="str"><v>43328104595766PS7B4Y</v></cell><cell r="F6588" t="str"><v>DCM</v></cell><cell r="G6588" t="str"><v>https://signup.azure.com/?OCID=AID%eexcid!_OLA_%ebuy!_%epid!_%ecid!</v></cell></row><row r="6588"><cell r="K6588" t="str"><v>August</v></cell><cell r="L6588"><v>43330</v></cell><cell r="M6588" t="str"><v>Tier 0</v></cell><cell r="N6588" t="str"><v>North America</v></cell><cell r="O6588" t="str"><v>United States</v></cell><cell r="P6588" t="str"><v>Trial</v></cell><cell r="Q6588" t="str"><v>Social</v></cell><cell r="R6588" t="str"><v>Azure</v></cell><cell r="S6588" t="str"><v>Apps & Infra</v></cell><cell r="T6588" t="str"><v>Developers & ITI's</v></cell><cell r="U6588" t="str"><v>USA-Trial-ITD-Trial Lookalike-AZR-AZR</v></cell><cell r="V6588" t="str"><v>Lookalike Targeting</v></cell><cell r="W6588" t="str"><v>Canvas Ad</v></cell><cell r="X6588" t="str"><v>1x1</v></cell></row><row r="6588"><cell r="AA6588"><v>43328</v></cell><cell r="AB6588" t="str"><v>USA_gaPMG_AZR_AZR_Q1_19_Direct-Social</v></cell><cell r="AC6588"><v>21358715</v></cell><cell r="AD6588"><v>720197</v></cell><cell r="AE6588" t="str"><v>Facebook</v></cell><cell r="AF6588"><v>3654128</v></cell><cell r="AG6588" t="str"><v>FACEBOOK»USA-Trial-ITD-Trial Lookalike-AZR-AZR»1 x 1»SocialBan»CAN»ALL»CPA»LAL»X»NA»SS»NA»FreeAcctDeveloperFB-AnimatedGeneric-Ch1»PS7B4Y</v></cell><cell r="AH6588"><v>226535300</v></cell><cell r="AI6588" t="str"><v>AZR_FreeAcctDeveloperFB-AnimatedGeneric-Ch1_USA_1200x1200_CAN_Direct_EN_Trial_Standard_ANI_LEA_T1_1</v></cell><cell r="AJ6588"><v>104595766</v></cell></row><row r="6589"><cell r="C6589" t="str"><v>43328FACEBOOK»USA-Trial-ITD-Trial Lookalike-AZR-AZR»1 x 1»SocialBan»CAN»ALL»CPA»LAL»X»NA»SS»NA»FreeAcctITProFB-AnimatedHybrid-Ch2»PS7B54</v></cell><cell r="D6589" t="str"><v>43328226784004</v></cell><cell r="E6589" t="str"><v>43328104593726PS7B54</v></cell><cell r="F6589" t="str"><v>DCM</v></cell><cell r="G6589" t="str"><v>https://azure.microsoft.com/en-us/pricing/purchase-options/?v=18.19&OCID=AID%eexcid!_OLA_%ebuy!_%epid!_%ecid!</v></cell></row><row r="6589"><cell r="K6589" t="str"><v>August</v></cell><cell r="L6589"><v>43330</v></cell><cell r="M6589" t="str"><v>Tier 0</v></cell><cell r="N6589" t="str"><v>North America</v></cell><cell r="O6589" t="str"><v>United States</v></cell><cell r="P6589" t="str"><v>Trial</v></cell><cell r="Q6589" t="str"><v>Social</v></cell><cell r="R6589" t="str"><v>Azure</v></cell><cell r="S6589" t="str"><v>Apps & Infra</v></cell><cell r="T6589" t="str"><v>Developers & ITI's</v></cell><cell r="U6589" t="str"><v>USA-Trial-ITD-Trial Lookalike-AZR-AZR</v></cell><cell r="V6589" t="str"><v>Lookalike Targeting</v></cell><cell r="W6589" t="str"><v>Canvas Ad</v></cell><cell r="X6589" t="str"><v>1x1</v></cell></row><row r="6589"><cell r="AA6589"><v>43328</v></cell><cell r="AB6589" t="str"><v>USA_gaPMG_AZR_AZR_Q1_19_Direct-Social</v></cell><cell r="AC6589"><v>21358715</v></cell><cell r="AD6589"><v>720197</v></cell><cell r="AE6589" t="str"><v>Facebook</v></cell><cell r="AF6589"><v>3654128</v></cell><cell r="AG6589" t="str"><v>FACEBOOK»USA-Trial-ITD-Trial Lookalike-AZR-AZR»1 x 1»SocialBan»CAN»ALL»CPA»LAL»X»NA»SS»NA»FreeAcctITProFB-AnimatedHybrid-Ch2»PS7B54</v></cell><cell r="AH6589"><v>226784004</v></cell><cell r="AI6589" t="str"><v>AZR_FreeAcctITProFB-AnimatedHybrid-Ch2_USA_1200x1200_CAN_Direct_EN_Trial_Standard_ANI_LEA_T2_2</v></cell><cell r="AJ6589"><v>104593726</v></cell></row><row r="6590"><cell r="C6590" t="str"><v>43328FACEBOOK»USA-Trial-ITD-Trial Lookalike-AZR-AZR»1 x 1»SocialBan»CAN»ALL»CPA»LAL»X»NA»SS»NA»FreeAcctITProFB-AnimatedMigration-Ch3»PS7B55</v></cell><cell r="D6590" t="str"><v>43328226621012</v></cell><cell r="E6590" t="str"><v>43328104595730PS7B55</v></cell><cell r="F6590" t="str"><v>DCM</v></cell><cell r="G6590" t="str"><v>https://azure.microsoft.com/en-us/pricing/purchase-options/?v=18.19&OCID=AID%eexcid!_OLA_%ebuy!_%epid!_%ecid!</v></cell></row><row r="6590"><cell r="K6590" t="str"><v>August</v></cell><cell r="L6590"><v>43330</v></cell><cell r="M6590" t="str"><v>Tier 0</v></cell><cell r="N6590" t="str"><v>North America</v></cell><cell r="O6590" t="str"><v>United States</v></cell><cell r="P6590" t="str"><v>Trial</v></cell><cell r="Q6590" t="str"><v>Social</v></cell><cell r="R6590" t="str"><v>Azure</v></cell><cell r="S6590" t="str"><v>Apps & Infra</v></cell><cell r="T6590" t="str"><v>Developers & ITI's</v></cell><cell r="U6590" t="str"><v>USA-Trial-ITD-Trial Lookalike-AZR-AZR</v></cell><cell r="V6590" t="str"><v>Lookalike Targeting</v></cell><cell r="W6590" t="str"><v>Canvas Ad</v></cell><cell r="X6590" t="str"><v>1x1</v></cell></row><row r="6590"><cell r="AA6590"><v>43328</v></cell><cell r="AB6590" t="str"><v>USA_gaPMG_AZR_AZR_Q1_19_Direct-Social</v></cell><cell r="AC6590"><v>21358715</v></cell><cell r="AD6590"><v>720197</v></cell><cell r="AE6590" t="str"><v>Facebook</v></cell><cell r="AF6590"><v>3654128</v></cell><cell r="AG6590" t="str"><v>FACEBOOK»USA-Trial-ITD-Trial Lookalike-AZR-AZR»1 x 1»SocialBan»CAN»ALL»CPA»LAL»X»NA»SS»NA»FreeAcctITProFB-AnimatedMigration-Ch3»PS7B55</v></cell><cell r="AH6590"><v>226621012</v></cell><cell r="AI6590" t="str"><v>AZR_FreeAcctITProFB-AnimatedMigration-Ch3_USA_1200x1200_CAN_Direct_EN_Trial_Standard_ANI_LEA_T3_2</v></cell><cell r="AJ6590"><v>104595730</v></cell></row><row r="6591"><cell r="C6591" t="str"><v>43328FACEBOOK»USA-Trial-ITD-Trial PayGo Lookalike-AZR-AZR»1 x 1»SocialBan»CAN»ALL»CPA»LAL»X»NA»SS»NA»FBCTCBasicMotion»PRC1Q0</v></cell><cell r="D6591" t="str"><v>43328223935664</v></cell><cell r="E6591" t="str"><v>43328103043823PRC1Q0</v></cell><cell r="F6591" t="str"><v>DCM</v></cell><cell r="G6591" t="str"><v>https://signup.azure.com/?OCID=AID%eexcid!_OLA_%ebuy!_%epid!_%ecid!</v></cell></row><row r="6591"><cell r="K6591" t="str"><v>August</v></cell><cell r="L6591"><v>43330</v></cell><cell r="M6591" t="str"><v>Tier 0</v></cell><cell r="N6591" t="str"><v>North America</v></cell><cell r="O6591" t="str"><v>United States</v></cell><cell r="P6591" t="str"><v>Trial</v></cell><cell r="Q6591" t="str"><v>Social</v></cell><cell r="R6591" t="str"><v>Azure</v></cell><cell r="S6591" t="str"><v>Apps & Infra</v></cell><cell r="T6591" t="str"><v>Developers & ITI's</v></cell><cell r="U6591" t="str"><v>USA-Trial-ITD-Trial PayGo Lookalike-AZR-AZR</v></cell><cell r="V6591" t="str"><v>Lookalike Targeting</v></cell><cell r="W6591" t="str"><v>Canvas Ad</v></cell><cell r="X6591" t="str"><v>1x1</v></cell></row><row r="6591"><cell r="AA6591"><v>43328</v></cell><cell r="AB6591" t="str"><v>USA_gaPMG_AZR_AZR_Q1_19_Direct-Social</v></cell><cell r="AC6591"><v>21358715</v></cell><cell r="AD6591"><v>720197</v></cell><cell r="AE6591" t="str"><v>Facebook</v></cell><cell r="AF6591"><v>3654128</v></cell><cell r="AG6591" t="str"><v>FACEBOOK»USA-Trial-ITD-Trial PayGo Lookalike-AZR-AZR»1 x 1»SocialBan»CAN»ALL»CPA»LAL»X»NA»SS»NA»FBCTCBasicMotion»PRC1Q0</v></cell><cell r="AH6591"><v>223935664</v></cell><cell r="AI6591" t="str"><v>AzurePlatform_FBCTCBasicMotion_USA_10s_CAN_PLATFORM_English_Trial_Standard_STAN_TIN_T1_1</v></cell><cell r="AJ6591"><v>103043823</v></cell></row><row r="6592"><cell r="C6592" t="str"><v>43328FACEBOOK»USA-Trial-ITD-Trial PayGo Lookalike-AZR-AZR»1 x 1»SocialBan»CAN»ALL»CPA»LAL»X»NA»SS»NA»FBCTCBasicMotion»PRC1Q0</v></cell><cell r="D6592" t="str"><v>43328223935664</v></cell><cell r="E6592" t="str"><v>43328103175984PRC1Q0</v></cell><cell r="F6592" t="str"><v>DCM</v></cell><cell r="G6592" t="str"><v>https://azure.microsoft.com/en-us/pricing/purchase-options/?v=18.19&OCID=AID%eexcid!_OLA_%ebuy!_%epid!_%ecid!</v></cell></row><row r="6592"><cell r="K6592" t="str"><v>August</v></cell><cell r="L6592"><v>43330</v></cell><cell r="M6592" t="str"><v>Tier 0</v></cell><cell r="N6592" t="str"><v>North America</v></cell><cell r="O6592" t="str"><v>United States</v></cell><cell r="P6592" t="str"><v>Trial</v></cell><cell r="Q6592" t="str"><v>Social</v></cell><cell r="R6592" t="str"><v>Azure</v></cell><cell r="S6592" t="str"><v>Apps & Infra</v></cell><cell r="T6592" t="str"><v>Developers & ITI's</v></cell><cell r="U6592" t="str"><v>USA-Trial-ITD-Trial PayGo Lookalike-AZR-AZR</v></cell><cell r="V6592" t="str"><v>Lookalike Targeting</v></cell><cell r="W6592" t="str"><v>Canvas Ad</v></cell><cell r="X6592" t="str"><v>1x1</v></cell></row><row r="6592"><cell r="AA6592"><v>43328</v></cell><cell r="AB6592" t="str"><v>USA_gaPMG_AZR_AZR_Q1_19_Direct-Social</v></cell><cell r="AC6592"><v>21358715</v></cell><cell r="AD6592"><v>720197</v></cell><cell r="AE6592" t="str"><v>Facebook</v></cell><cell r="AF6592"><v>3654128</v></cell><cell r="AG6592" t="str"><v>FACEBOOK»USA-Trial-ITD-Trial PayGo Lookalike-AZR-AZR»1 x 1»SocialBan»CAN»ALL»CPA»LAL»X»NA»SS»NA»FBCTCBasicMotion»PRC1Q0</v></cell><cell r="AH6592"><v>223935664</v></cell><cell r="AI6592" t="str"><v>AzurePlatform_FBCTCBasicMotion_USA_10s_CAN_PLATFORM_English_Trial_Standard_STAN_TIN_T1_2</v></cell><cell r="AJ6592"><v>103175984</v></cell></row><row r="6593"><cell r="C6593" t="str"><v>43328FACEBOOK»USA-Trial-ITD-Trial PayGo Lookalike-AZR-AZR»1 x 1»SocialBan»LIA»ALL»CPA»LAL»X»NA»SS»NA»FreeAcctDeveloperFB-AnimatedGeneric-Ch1»PRC1Q5</v></cell><cell r="D6593" t="str"><v>43328224104092</v></cell><cell r="E6593" t="str"><v>43328103176851PRC1Q5</v></cell><cell r="F6593" t="str"><v>DCM</v></cell><cell r="G6593" t="str"><v>https://azure.microsoft.com/en-us/free/search/?OCID=AID%eexcid!_OLA_%ebuy!_%epid!_%ecid!</v></cell></row><row r="6593"><cell r="K6593" t="str"><v>August</v></cell><cell r="L6593"><v>43330</v></cell><cell r="M6593" t="str"><v>Tier 0</v></cell><cell r="N6593" t="str"><v>North America</v></cell><cell r="O6593" t="str"><v>United States</v></cell><cell r="P6593" t="str"><v>Trial</v></cell><cell r="Q6593" t="str"><v>Social</v></cell><cell r="R6593" t="str"><v>Azure</v></cell><cell r="S6593" t="str"><v>Apps & Infra</v></cell><cell r="T6593" t="str"><v>Developers & ITI's</v></cell><cell r="U6593" t="str"><v>USA-Trial-ITD-Trial PayGo Lookalike-AZR-AZR</v></cell><cell r="V6593" t="str"><v>Lookalike Targeting</v></cell><cell r="W6593" t="str"><v>Link Ad</v></cell><cell r="X6593" t="str"><v>1x1</v></cell></row><row r="6593"><cell r="AA6593"><v>43328</v></cell><cell r="AB6593" t="str"><v>USA_gaPMG_AZR_AZR_Q1_19_Direct-Social</v></cell><cell r="AC6593"><v>21358715</v></cell><cell r="AD6593"><v>720197</v></cell><cell r="AE6593" t="str"><v>Facebook</v></cell><cell r="AF6593"><v>3654128</v></cell><cell r="AG6593" t="str"><v>FACEBOOK»USA-Trial-ITD-Trial PayGo Lookalike-AZR-AZR»1 x 1»SocialBan»LIA»ALL»CPA»LAL»X»NA»SS»NA»FreeAcctDeveloperFB-AnimatedGeneric-Ch1»PRC1Q5</v></cell><cell r="AH6593"><v>224104092</v></cell><cell r="AI6593" t="str"><v>AZR_FreeAcctDeveloperFB-AnimatedGeneric-Ch1_USA_1200x1200_CAN_Direct_English_Trial_Standard_ANI_LEA_T1_2</v></cell><cell r="AJ6593"><v>103176851</v></cell></row><row r="6594"><cell r="C6594" t="str"><v>43328FACEBOOK»USA-Trial-ITD-Trial PayGo Lookalike-AZR-AZR»1 x 1»SocialBan»CAN»ALL»CPA»LAL»X»NA»SS»NA»FreeAcctITProFB-AnimatedMigration-Ch3»PS7B60</v></cell><cell r="D6594" t="str"><v>43328226786272</v></cell><cell r="E6594" t="str"><v>43328104595730PS7B60</v></cell><cell r="F6594" t="str"><v>DCM</v></cell><cell r="G6594" t="str"><v>https://azure.microsoft.com/en-us/pricing/purchase-options/?v=18.19&OCID=AID%eexcid!_OLA_%ebuy!_%epid!_%ecid!</v></cell></row><row r="6594"><cell r="K6594" t="str"><v>August</v></cell><cell r="L6594"><v>43330</v></cell><cell r="M6594" t="str"><v>Tier 0</v></cell><cell r="N6594" t="str"><v>North America</v></cell><cell r="O6594" t="str"><v>United States</v></cell><cell r="P6594" t="str"><v>Trial</v></cell><cell r="Q6594" t="str"><v>Social</v></cell><cell r="R6594" t="str"><v>Azure</v></cell><cell r="S6594" t="str"><v>Apps & Infra</v></cell><cell r="T6594" t="str"><v>Developers & ITI's</v></cell><cell r="U6594" t="str"><v>USA-Trial-ITD-Trial PayGo Lookalike-AZR-AZR</v></cell><cell r="V6594" t="str"><v>Lookalike Targeting</v></cell><cell r="W6594" t="str"><v>Canvas Ad</v></cell><cell r="X6594" t="str"><v>1x1</v></cell></row><row r="6594"><cell r="AA6594"><v>43328</v></cell><cell r="AB6594" t="str"><v>USA_gaPMG_AZR_AZR_Q1_19_Direct-Social</v></cell><cell r="AC6594"><v>21358715</v></cell><cell r="AD6594"><v>720197</v></cell><cell r="AE6594" t="str"><v>Facebook</v></cell><cell r="AF6594"><v>3654128</v></cell><cell r="AG6594" t="str"><v>FACEBOOK»USA-Trial-ITD-Trial PayGo Lookalike-AZR-AZR»1 x 1»SocialBan»CAN»ALL»CPA»LAL»X»NA»SS»NA»FreeAcctITProFB-AnimatedMigration-Ch3»PS7B60</v></cell><cell r="AH6594"><v>226786272</v></cell><cell r="AI6594" t="str"><v>AZR_FreeAcctITProFB-AnimatedMigration-Ch3_USA_1200x1200_CAN_Direct_EN_Trial_Standard_ANI_LEA_T3_2</v></cell><cell r="AJ6594"><v>104595730</v></cell></row><row r="6595"><cell r="C6595" t="str"><v>43328FACEBOOK»USA-Trial-ITD-Trial PayGo Lookalike-AZR-AZR»1 x 1»SocialBan»CAN»ALL»CPA»LAL»X»NA»SS»NA»FreeAcctDeveloperFB-AnimatedAI-Ch3»PS7B5S</v></cell><cell r="D6595" t="str"><v>43328226538669</v></cell><cell r="E6595" t="str"><v>43328104593735PS7B5S</v></cell><cell r="F6595" t="str"><v>DCM</v></cell><cell r="G6595" t="str"><v>https://signup.azure.com/?OCID=AID%eexcid!_OLA_%ebuy!_%epid!_%ecid!</v></cell></row><row r="6595"><cell r="K6595" t="str"><v>August</v></cell><cell r="L6595"><v>43330</v></cell><cell r="M6595" t="str"><v>Tier 0</v></cell><cell r="N6595" t="str"><v>North America</v></cell><cell r="O6595" t="str"><v>United States</v></cell><cell r="P6595" t="str"><v>Trial</v></cell><cell r="Q6595" t="str"><v>Social</v></cell><cell r="R6595" t="str"><v>Azure</v></cell><cell r="S6595" t="str"><v>Apps & Infra</v></cell><cell r="T6595" t="str"><v>Developers & ITI's</v></cell><cell r="U6595" t="str"><v>USA-Trial-ITD-Trial PayGo Lookalike-AZR-AZR</v></cell><cell r="V6595" t="str"><v>Lookalike Targeting</v></cell><cell r="W6595" t="str"><v>Canvas Ad</v></cell><cell r="X6595" t="str"><v>1x1</v></cell></row><row r="6595"><cell r="AA6595"><v>43328</v></cell><cell r="AB6595" t="str"><v>USA_gaPMG_AZR_AZR_Q1_19_Direct-Social</v></cell><cell r="AC6595"><v>21358715</v></cell><cell r="AD6595"><v>720197</v></cell><cell r="AE6595" t="str"><v>Facebook</v></cell><cell r="AF6595"><v>3654128</v></cell><cell r="AG6595" t="str"><v>FACEBOOK»USA-Trial-ITD-Trial PayGo Lookalike-AZR-AZR»1 x 1»SocialBan»CAN»ALL»CPA»LAL»X»NA»SS»NA»FreeAcctDeveloperFB-AnimatedAI-Ch3»PS7B5S</v></cell><cell r="AH6595"><v>226538669</v></cell><cell r="AI6595" t="str"><v>AZR_FreeAcctDeveloperFB-AnimatedAI-Ch3_USA_1200x1200_CAN_Direct_EN_Trial_Standard_ANI_LEA_T3_1</v></cell><cell r="AJ6595"><v>104593735</v></cell></row><row r="6596"><cell r="C6596" t="str"><v>43328INSTAGRAM»USA-Trial-ITD-Interest Prospecting-AZR-AZR»1 x 1»SocialBan»CAN»ALL»CPA»PRO»X»NA»SS»NA»IGCTCBenefit2inMotion»PRC2PD</v></cell><cell r="D6596" t="str"><v>43328223933084</v></cell><cell r="E6596" t="str"><v>43328103180628PRC2PD</v></cell><cell r="F6596" t="str"><v>DCM</v></cell><cell r="G6596" t="str"><v>https://signup.azure.com/?OCID=AID%eexcid!_OLA_%ebuy!_%epid!_%ecid!</v></cell></row><row r="6596"><cell r="K6596" t="str"><v>August</v></cell><cell r="L6596"><v>43330</v></cell><cell r="M6596" t="str"><v>Tier 0</v></cell><cell r="N6596" t="str"><v>North America</v></cell><cell r="O6596" t="str"><v>United States</v></cell><cell r="P6596" t="str"><v>Trial</v></cell><cell r="Q6596" t="str"><v>Social</v></cell><cell r="R6596" t="str"><v>Azure</v></cell><cell r="S6596" t="str"><v>Apps & Infra</v></cell><cell r="T6596" t="str"><v>Developers & ITI's</v></cell><cell r="U6596" t="str"><v>USA-Trial-ITD-Interest Prospecting-AZR-AZR</v></cell><cell r="V6596" t="str"><v>Prospecting</v></cell><cell r="W6596" t="str"><v>Canvas Ad</v></cell><cell r="X6596" t="str"><v>1x1</v></cell></row><row r="6596"><cell r="AA6596"><v>43328</v></cell><cell r="AB6596" t="str"><v>USA_gaPMG_AZR_AZR_Q1_19_Direct-Social</v></cell><cell r="AC6596"><v>21358715</v></cell><cell r="AD6596"><v>720197</v></cell><cell r="AE6596" t="str"><v>Facebook - Instagram</v></cell><cell r="AF6596"><v>3654128</v></cell><cell r="AG6596" t="str"><v>INSTAGRAM»USA-Trial-ITD-Interest Prospecting-AZR-AZR»1 x 1»SocialBan»CAN»ALL»CPA»PRO»X»NA»SS»NA»IGCTCBenefit2inMotion»PRC2PD</v></cell><cell r="AH6596"><v>223933084</v></cell><cell r="AI6596" t="str"><v>AzurePlatform_IGCTCBrandinMotion_USA_10s_CAN_PLATFORM_English_Trial_Standard_STAN_TIN_T2_1</v></cell><cell r="AJ6596"><v>103180628</v></cell></row><row r="6597"><cell r="C6597" t="str"><v>43328INSTAGRAM»USA-Trial-ITD-Interest Prospecting-AZR-AZR»1 x 1»SocialBan»CAN»ALL»CPA»PRO»X»NA»SS»NA»IGCTCBrandinMotion»PRC2PB</v></cell><cell r="D6597" t="str"><v>43328223862690</v></cell><cell r="E6597" t="str"><v>43328103050783PRC2PB</v></cell><cell r="F6597" t="str"><v>DCM</v></cell><cell r="G6597" t="str"><v>https://signup.azure.com/?OCID=AID%eexcid!_OLA_%ebuy!_%epid!_%ecid!</v></cell></row><row r="6597"><cell r="K6597" t="str"><v>August</v></cell><cell r="L6597"><v>43330</v></cell><cell r="M6597" t="str"><v>Tier 0</v></cell><cell r="N6597" t="str"><v>North America</v></cell><cell r="O6597" t="str"><v>United States</v></cell><cell r="P6597" t="str"><v>Trial</v></cell><cell r="Q6597" t="str"><v>Social</v></cell><cell r="R6597" t="str"><v>Azure</v></cell><cell r="S6597" t="str"><v>Apps & Infra</v></cell><cell r="T6597" t="str"><v>Developers & ITI's</v></cell><cell r="U6597" t="str"><v>USA-Trial-ITD-Interest Prospecting-AZR-AZR</v></cell><cell r="V6597" t="str"><v>Prospecting</v></cell><cell r="W6597" t="str"><v>Canvas Ad</v></cell><cell r="X6597" t="str"><v>1x1</v></cell></row><row r="6597"><cell r="AA6597"><v>43328</v></cell><cell r="AB6597" t="str"><v>USA_gaPMG_AZR_AZR_Q1_19_Direct-Social</v></cell><cell r="AC6597"><v>21358715</v></cell><cell r="AD6597"><v>720197</v></cell><cell r="AE6597" t="str"><v>Facebook - Instagram</v></cell><cell r="AF6597"><v>3654128</v></cell><cell r="AG6597" t="str"><v>INSTAGRAM»USA-Trial-ITD-Interest Prospecting-AZR-AZR»1 x 1»SocialBan»CAN»ALL»CPA»PRO»X»NA»SS»NA»IGCTCBrandinMotion»PRC2PB</v></cell><cell r="AH6597"><v>223862690</v></cell><cell r="AI6597" t="str"><v>AzurePlatform_IGCTCBenefit2inMotion_USA_10s_CAN_PLATFORM_English_Trial_Standard_STAN_TIN_T4_1</v></cell><cell r="AJ6597"><v>103050783</v></cell></row><row r="6598"><cell r="C6598" t="str"><v>43328INSTAGRAM»USA-Trial-ITD-Interest Prospecting-AZR-AZR»1 x 1»SocialBan»CAN»ALL»CPA»PRO»X»NA»SS»NA»IGCTCBrandinMotion»PRC2PB</v></cell><cell r="D6598" t="str"><v>43328223862690</v></cell><cell r="E6598" t="str"><v>43328103178714PRC2PB</v></cell><cell r="F6598" t="str"><v>DCM</v></cell><cell r="G6598" t="str"><v>https://azure.microsoft.com/en-us/pricing/purchase-options/?v=18.19&OCID=AID%eexcid!_OLA_%ebuy!_%epid!_%ecid!</v></cell></row><row r="6598"><cell r="K6598" t="str"><v>August</v></cell><cell r="L6598"><v>43330</v></cell><cell r="M6598" t="str"><v>Tier 0</v></cell><cell r="N6598" t="str"><v>North America</v></cell><cell r="O6598" t="str"><v>United States</v></cell><cell r="P6598" t="str"><v>Trial</v></cell><cell r="Q6598" t="str"><v>Social</v></cell><cell r="R6598" t="str"><v>Azure</v></cell><cell r="S6598" t="str"><v>Apps & Infra</v></cell><cell r="T6598" t="str"><v>Developers & ITI's</v></cell><cell r="U6598" t="str"><v>USA-Trial-ITD-Interest Prospecting-AZR-AZR</v></cell><cell r="V6598" t="str"><v>Prospecting</v></cell><cell r="W6598" t="str"><v>Canvas Ad</v></cell><cell r="X6598" t="str"><v>1x1</v></cell></row><row r="6598"><cell r="AA6598"><v>43328</v></cell><cell r="AB6598" t="str"><v>USA_gaPMG_AZR_AZR_Q1_19_Direct-Social</v></cell><cell r="AC6598"><v>21358715</v></cell><cell r="AD6598"><v>720197</v></cell><cell r="AE6598" t="str"><v>Facebook - Instagram</v></cell><cell r="AF6598"><v>3654128</v></cell><cell r="AG6598" t="str"><v>INSTAGRAM»USA-Trial-ITD-Interest Prospecting-AZR-AZR»1 x 1»SocialBan»CAN»ALL»CPA»PRO»X»NA»SS»NA»IGCTCBrandinMotion»PRC2PB</v></cell><cell r="AH6598"><v>223862690</v></cell><cell r="AI6598" t="str"><v>AzurePlatform_IGCTCBenefit2inMotion_USA_10s_CAN_PLATFORM_English_Trial_Standard_STAN_TIN_T4_2</v></cell><cell r="AJ6598"><v>103178714</v></cell></row><row r="6599"><cell r="C6599" t="str"><v>43328INSTAGRAM»USA-Trial-ITD-Retargeting-AZR-AZR»1 x 1»SocialBan»CAN»ALL»CPA»RT»X»NA»SS»NA»IGCTCBenefit2inMotion»PRC2G6</v></cell><cell r="D6599" t="str"><v>43328224105001</v></cell><cell r="E6599" t="str"><v>43328103180628PRC2G6</v></cell><cell r="F6599" t="str"><v>DCM</v></cell><cell r="G6599" t="str"><v>https://signup.azure.com/?OCID=AID%eexcid!_OLA_%ebuy!_%epid!_%ecid!</v></cell></row><row r="6599"><cell r="K6599" t="str"><v>August</v></cell><cell r="L6599"><v>43330</v></cell><cell r="M6599" t="str"><v>Tier 0</v></cell><cell r="N6599" t="str"><v>North America</v></cell><cell r="O6599" t="str"><v>United States</v></cell><cell r="P6599" t="str"><v>Trial</v></cell><cell r="Q6599" t="str"><v>Social</v></cell><cell r="R6599" t="str"><v>Azure</v></cell><cell r="S6599" t="str"><v>Apps & Infra</v></cell><cell r="T6599" t="str"><v>Developers & ITI's</v></cell><cell r="U6599" t="str"><v>USA-Trial-ITD-Retargeting-AZR-AZR</v></cell><cell r="V6599" t="str"><v>Retargeting</v></cell><cell r="W6599" t="str"><v>Canvas Ad</v></cell><cell r="X6599" t="str"><v>1x1</v></cell></row><row r="6599"><cell r="AA6599"><v>43328</v></cell><cell r="AB6599" t="str"><v>USA_gaPMG_AZR_AZR_Q1_19_Direct-Social</v></cell><cell r="AC6599"><v>21358715</v></cell><cell r="AD6599"><v>720197</v></cell><cell r="AE6599" t="str"><v>Facebook - Instagram</v></cell><cell r="AF6599"><v>3654128</v></cell><cell r="AG6599" t="str"><v>INSTAGRAM»USA-Trial-ITD-Retargeting-AZR-AZR»1 x 1»SocialBan»CAN»ALL»CPA»RT»X»NA»SS»NA»IGCTCBenefit2inMotion»PRC2G6</v></cell><cell r="AH6599"><v>224105001</v></cell><cell r="AI6599" t="str"><v>AzurePlatform_IGCTCBrandinMotion_USA_10s_CAN_PLATFORM_English_Trial_Standard_STAN_TIN_T2_1</v></cell><cell r="AJ6599"><v>103180628</v></cell></row><row r="6600"><cell r="C6600" t="str"><v>43328INSTAGRAM»USA-Trial-ITD-Trial Lookalike-AZR-AZR»1 x 1»SocialBan»CAN»ALL»CPA»LAL»X»NA»SS»NA»IGCTCBenefit2inMotion»PRC2FL</v></cell><cell r="D6600" t="str"><v>43328223935022</v></cell><cell r="E6600" t="str"><v>43328103180628PRC2FL</v></cell><cell r="F6600" t="str"><v>DCM</v></cell><cell r="G6600" t="str"><v>https://signup.azure.com/?OCID=AID%eexcid!_OLA_%ebuy!_%epid!_%ecid!</v></cell></row><row r="6600"><cell r="K6600" t="str"><v>August</v></cell><cell r="L6600"><v>43330</v></cell><cell r="M6600" t="str"><v>Tier 0</v></cell><cell r="N6600" t="str"><v>North America</v></cell><cell r="O6600" t="str"><v>United States</v></cell><cell r="P6600" t="str"><v>Trial</v></cell><cell r="Q6600" t="str"><v>Social</v></cell><cell r="R6600" t="str"><v>Azure</v></cell><cell r="S6600" t="str"><v>Apps & Infra</v></cell><cell r="T6600" t="str"><v>Developers & ITI's</v></cell><cell r="U6600" t="str"><v>USA-Trial-ITD-Trial Lookalike-AZR-AZR</v></cell><cell r="V6600" t="str"><v>Lookalike Targeting</v></cell><cell r="W6600" t="str"><v>Canvas Ad</v></cell><cell r="X6600" t="str"><v>1x1</v></cell></row><row r="6600"><cell r="AA6600"><v>43328</v></cell><cell r="AB6600" t="str"><v>USA_gaPMG_AZR_AZR_Q1_19_Direct-Social</v></cell><cell r="AC6600"><v>21358715</v></cell><cell r="AD6600"><v>720197</v></cell><cell r="AE6600" t="str"><v>Facebook - Instagram</v></cell><cell r="AF6600"><v>3654128</v></cell><cell r="AG6600" t="str"><v>INSTAGRAM»USA-Trial-ITD-Trial Lookalike-AZR-AZR»1 x 1»SocialBan»CAN»ALL»CPA»LAL»X»NA»SS»NA»IGCTCBenefit2inMotion»PRC2FL</v></cell><cell r="AH6600"><v>223935022</v></cell><cell r="AI6600" t="str"><v>AzurePlatform_IGCTCBrandinMotion_USA_10s_CAN_PLATFORM_English_Trial_Standard_STAN_TIN_T2_1</v></cell><cell r="AJ6600"><v>103180628</v></cell></row><row r="6601"><cell r="C6601" t="str"><v>43328INSTAGRAM»USA-Trial-ITD-Trial Lookalike-AZR-AZR»1 x 1»SocialBan»CAN»ALL»CPA»LAL»X»NA»SS»NA»IGCTCBrandinMotion»PRC2FH</v></cell><cell r="D6601" t="str"><v>43328223935019</v></cell><cell r="E6601" t="str"><v>43328103050783PRC2FH</v></cell><cell r="F6601" t="str"><v>DCM</v></cell><cell r="G6601" t="str"><v>https://signup.azure.com/?OCID=AID%eexcid!_OLA_%ebuy!_%epid!_%ecid!</v></cell></row><row r="6601"><cell r="K6601" t="str"><v>August</v></cell><cell r="L6601"><v>43330</v></cell><cell r="M6601" t="str"><v>Tier 0</v></cell><cell r="N6601" t="str"><v>North America</v></cell><cell r="O6601" t="str"><v>United States</v></cell><cell r="P6601" t="str"><v>Trial</v></cell><cell r="Q6601" t="str"><v>Social</v></cell><cell r="R6601" t="str"><v>Azure</v></cell><cell r="S6601" t="str"><v>Apps & Infra</v></cell><cell r="T6601" t="str"><v>Developers & ITI's</v></cell><cell r="U6601" t="str"><v>USA-Trial-ITD-Trial Lookalike-AZR-AZR</v></cell><cell r="V6601" t="str"><v>Lookalike Targeting</v></cell><cell r="W6601" t="str"><v>Canvas Ad</v></cell><cell r="X6601" t="str"><v>1x1</v></cell></row><row r="6601"><cell r="AA6601"><v>43328</v></cell><cell r="AB6601" t="str"><v>USA_gaPMG_AZR_AZR_Q1_19_Direct-Social</v></cell><cell r="AC6601"><v>21358715</v></cell><cell r="AD6601"><v>720197</v></cell><cell r="AE6601" t="str"><v>Facebook - Instagram</v></cell><cell r="AF6601"><v>3654128</v></cell><cell r="AG6601" t="str"><v>INSTAGRAM»USA-Trial-ITD-Trial Lookalike-AZR-AZR»1 x 1»SocialBan»CAN»ALL»CPA»LAL»X»NA»SS»NA»IGCTCBrandinMotion»PRC2FH</v></cell><cell r="AH6601"><v>223935019</v></cell><cell r="AI6601" t="str"><v>AzurePlatform_IGCTCBenefit2inMotion_USA_10s_CAN_PLATFORM_English_Trial_Standard_STAN_TIN_T4_1</v></cell><cell r="AJ6601"><v>103050783</v></cell></row><row r="6602"><cell r="C6602" t="str"><v>43329Facebook»Audience & Interest Targeting»1x1»Canvas»OTH»DT»DYN»AUT»W»NA»SS»NA»FBCTCcanvaspage-StartFreeCTA_FBCTCcanvaspage-BuyNowCTA</v></cell><cell r="D6602" t="str"><v>43329224639151</v></cell><cell r="E6602" t="str"><v>43329103316832NowCTA</v></cell><cell r="F6602" t="str"><v>DCM</v></cell><cell r="G6602" t="str"><v>https://azure.microsoft.com/en-au/pricing/purchase-options/</v></cell></row><row r="6602"><cell r="K6602" t="str"><v>August</v></cell><cell r="L6602"><v>43330</v></cell><cell r="M6602" t="str"><v>Tier 1</v></cell><cell r="N6602" t="str"><v>APAC</v></cell><cell r="O6602" t="str"><v>Australia</v></cell><cell r="P6602" t="str"><v>Trial</v></cell><cell r="Q6602" t="str"><v>Social</v></cell><cell r="R6602" t="str"><v>Azure</v></cell><cell r="S6602" t="str"><v>Apps & Infra</v></cell><cell r="T6602" t="str"><v>Developers & ITI's</v></cell><cell r="U6602" t="str"><v>Audience & Interest Targeting</v></cell><cell r="V6602" t="str"><v>Audience Targeting</v></cell><cell r="W6602" t="str"><v>Other</v></cell><cell r="X6602" t="str"><v>1x1</v></cell></row><row r="6602"><cell r="AA6602"><v>43329</v></cell><cell r="AB6602" t="str"><v>AUS_gaPMG_AZR_AZR_Q1_19_Trial-Social</v></cell><cell r="AC6602"><v>21358568</v></cell><cell r="AD6602"><v>720191</v></cell><cell r="AE6602" t="str"><v>Facebook</v></cell><cell r="AF6602"><v>3654128</v></cell><cell r="AG6602" t="str"><v>Facebook»Audience & Interest Targeting»1x1»Canvas»OTH»DT»DYN»AUT»W»NA»SS»NA»FBCTCcanvaspage-StartFreeCTA_FBCTCcanvaspage-BuyNowCTA</v></cell><cell r="AH6602"><v>224639151</v></cell><cell r="AI6602" t="str"><v>AzurePlatform_FBCTCcanvaspage-BuyNowCTA-Img3_AUS_1080x162_SOC_Plat_English_NA_Standard_NA_BN_T3_1</v></cell><cell r="AJ6602"><v>103316832</v></cell></row><row r="6603"><cell r="C6603" t="str"><v>43329Facebook»Audience & Interest Targeting»1x1»Canvas»OTH»DT»DYN»AUT»W»NA»SS»NA»FBCTCcanvaspage-StartFreeCTA_FBCTCcanvaspage-BuyNowCTA</v></cell><cell r="D6603" t="str"><v>43329224639151</v></cell><cell r="E6603" t="str"><v>43329103316829NowCTA</v></cell><cell r="F6603" t="str"><v>DCM</v></cell><cell r="G6603" t="str"><v>https://signup.azure.com/signup?offer=ms-azr-0044p&appId=102&ref=paidmedia-social-fb&redirectURL=https%3a%2f%2fazure.microsoft.com%2fen-au%2fget-started%2fwelcome-to-azure%2f&l=en-au&correlationId=ead86c34-1f10-49dd-a72b-6918462a2cbf</v></cell></row><row r="6603"><cell r="K6603" t="str"><v>August</v></cell><cell r="L6603"><v>43330</v></cell><cell r="M6603" t="str"><v>Tier 1</v></cell><cell r="N6603" t="str"><v>APAC</v></cell><cell r="O6603" t="str"><v>Australia</v></cell><cell r="P6603" t="str"><v>Trial</v></cell><cell r="Q6603" t="str"><v>Social</v></cell><cell r="R6603" t="str"><v>Azure</v></cell><cell r="S6603" t="str"><v>Apps & Infra</v></cell><cell r="T6603" t="str"><v>Developers & ITI's</v></cell><cell r="U6603" t="str"><v>Audience & Interest Targeting</v></cell><cell r="V6603" t="str"><v>Audience Targeting</v></cell><cell r="W6603" t="str"><v>Other</v></cell><cell r="X6603" t="str"><v>1x1</v></cell></row><row r="6603"><cell r="AA6603"><v>43329</v></cell><cell r="AB6603" t="str"><v>AUS_gaPMG_AZR_AZR_Q1_19_Trial-Social</v></cell><cell r="AC6603"><v>21358568</v></cell><cell r="AD6603"><v>720191</v></cell><cell r="AE6603" t="str"><v>Facebook</v></cell><cell r="AF6603"><v>3654128</v></cell><cell r="AG6603" t="str"><v>Facebook»Audience & Interest Targeting»1x1»Canvas»OTH»DT»DYN»AUT»W»NA»SS»NA»FBCTCcanvaspage-StartFreeCTA_FBCTCcanvaspage-BuyNowCTA</v></cell><cell r="AH6603"><v>224639151</v></cell><cell r="AI6603" t="str"><v>AzurePlatform_FBCTCcanvaspage-StartFreeCTA-Img2_AUS_1080x143 _SOC_Plat_English_NA_Standard_NA_NA_T2_1</v></cell><cell r="AJ6603"><v>103316829</v></cell></row><row r="6604"><cell r="C6604" t="str"><v>43329Facebook»Audience & Interest Targeting»1x1»TextLink»OTH»DT»DYN»AUT»W»NA»SS»NA»Free Account Refresh- 12 months ChE</v></cell><cell r="D6604" t="str"><v>43329224160783</v></cell><cell r="E6604" t="str"><v>43329103051614hs ChE</v></cell><cell r="F6604" t="str"><v>DCM</v></cell></row><row r="6604"><cell r="K6604" t="str"><v>August</v></cell><cell r="L6604"><v>43330</v></cell><cell r="M6604" t="str"><v>Tier 1</v></cell><cell r="N6604" t="str"><v>APAC</v></cell><cell r="O6604" t="str"><v>Australia</v></cell><cell r="P6604" t="str"><v>Trial</v></cell><cell r="Q6604" t="str"><v>Social</v></cell><cell r="R6604" t="str"><v>Azure</v></cell><cell r="S6604" t="str"><v>Apps & Infra</v></cell><cell r="T6604" t="str"><v>Developers & ITI's</v></cell><cell r="U6604" t="str"><v>Audience & Interest Targeting</v></cell><cell r="V6604" t="str"><v>Audience Targeting</v></cell><cell r="W6604" t="str"><v>Other</v></cell><cell r="X6604" t="str"><v>1x1</v></cell></row><row r="6604"><cell r="AA6604"><v>43329</v></cell><cell r="AB6604" t="str"><v>AUS_gaPMG_AZR_AZR_Q1_19_Trial-Social</v></cell><cell r="AC6604"><v>21358568</v></cell><cell r="AD6604"><v>720191</v></cell><cell r="AE6604" t="str"><v>Facebook</v></cell><cell r="AF6604"><v>3654128</v></cell><cell r="AG6604" t="str"><v>Facebook»Audience & Interest Targeting»1x1»TextLink»OTH»DT»DYN»AUT»W»NA»SS»NA»Free Account Refresh- 12 months ChE</v></cell><cell r="AH6604"><v>224160783</v></cell><cell r="AI6604" t="str"><v>AzurePlatform_FreeAcctAppsFACEBOOK12monthsChE_AUS_1200x628_SOC_PLAT_EN_Trial_Standard_NA_SNU_T5_1</v></cell><cell r="AJ6604"><v>103051614</v></cell></row><row r="6605"><cell r="C6605" t="str"><v>43329Facebook»Audience & Interest Targeting»1x1»TextLink»OTH»DT»DYN»AUT»W»NA»SS»NA»Free Account Refresh- Device ChB</v></cell><cell r="D6605" t="str"><v>43329224160777</v></cell><cell r="E6605" t="str"><v>43329103048479ce ChB</v></cell><cell r="F6605" t="str"><v>DCM</v></cell></row><row r="6605"><cell r="K6605" t="str"><v>August</v></cell><cell r="L6605"><v>43330</v></cell><cell r="M6605" t="str"><v>Tier 1</v></cell><cell r="N6605" t="str"><v>APAC</v></cell><cell r="O6605" t="str"><v>Australia</v></cell><cell r="P6605" t="str"><v>Trial</v></cell><cell r="Q6605" t="str"><v>Social</v></cell><cell r="R6605" t="str"><v>Azure</v></cell><cell r="S6605" t="str"><v>Apps & Infra</v></cell><cell r="T6605" t="str"><v>Developers & ITI's</v></cell><cell r="U6605" t="str"><v>Audience & Interest Targeting</v></cell><cell r="V6605" t="str"><v>Audience Targeting</v></cell><cell r="W6605" t="str"><v>Other</v></cell><cell r="X6605" t="str"><v>1x1</v></cell></row><row r="6605"><cell r="AA6605"><v>43329</v></cell><cell r="AB6605" t="str"><v>AUS_gaPMG_AZR_AZR_Q1_19_Trial-Social</v></cell><cell r="AC6605"><v>21358568</v></cell><cell r="AD6605"><v>720191</v></cell><cell r="AE6605" t="str"><v>Facebook</v></cell><cell r="AF6605"><v>3654128</v></cell><cell r="AG6605" t="str"><v>Facebook»Audience & Interest Targeting»1x1»TextLink»OTH»DT»DYN»AUT»W»NA»SS»NA»Free Account Refresh- Device ChB</v></cell><cell r="AH6605"><v>224160777</v></cell><cell r="AI6605" t="str"><v>AzurePlatform_FreeAcctAppsFACEBOOKDeviceChB_AUS_1200x628_SOC_PLAT_EN_Trial_Standard_NA_SNU_T2_1</v></cell><cell r="AJ6605"><v>103048479</v></cell></row><row r="6606"><cell r="C6606" t="str"><v>43329Facebook»Audience & Interest Targeting»1x1»TextLink»OTH»DT»DYN»AUT»W»NA»SS»NA»Free Account Refresh- Illustration ChC</v></cell><cell r="D6606" t="str"><v>43329224160774</v></cell><cell r="E6606" t="str"><v>43329103186910on ChC</v></cell><cell r="F6606" t="str"><v>DCM</v></cell></row><row r="6606"><cell r="K6606" t="str"><v>August</v></cell><cell r="L6606"><v>43330</v></cell><cell r="M6606" t="str"><v>Tier 1</v></cell><cell r="N6606" t="str"><v>APAC</v></cell><cell r="O6606" t="str"><v>Australia</v></cell><cell r="P6606" t="str"><v>Trial</v></cell><cell r="Q6606" t="str"><v>Social</v></cell><cell r="R6606" t="str"><v>Azure</v></cell><cell r="S6606" t="str"><v>Apps & Infra</v></cell><cell r="T6606" t="str"><v>Developers & ITI's</v></cell><cell r="U6606" t="str"><v>Audience & Interest Targeting</v></cell><cell r="V6606" t="str"><v>Audience Targeting</v></cell><cell r="W6606" t="str"><v>Other</v></cell><cell r="X6606" t="str"><v>1x1</v></cell></row><row r="6606"><cell r="AA6606"><v>43329</v></cell><cell r="AB6606" t="str"><v>AUS_gaPMG_AZR_AZR_Q1_19_Trial-Social</v></cell><cell r="AC6606"><v>21358568</v></cell><cell r="AD6606"><v>720191</v></cell><cell r="AE6606" t="str"><v>Facebook</v></cell><cell r="AF6606"><v>3654128</v></cell><cell r="AG6606" t="str"><v>Facebook»Audience & Interest Targeting»1x1»TextLink»OTH»DT»DYN»AUT»W»NA»SS»NA»Free Account Refresh- Illustration ChC</v></cell><cell r="AH6606"><v>224160774</v></cell><cell r="AI6606" t="str"><v>AzurePlatform_FreeAcctAppsFACEBOOKIllustrationChC_AUS_1200x628_SOC_PLAT_EN_Trial_Standard_NA_SNU_T3_1</v></cell><cell r="AJ6606"><v>103186910</v></cell></row><row r="6607"><cell r="C6607" t="str"><v>43329Facebook»Audience & Interest Targeting»1x1»TextLink»OTH»DT»DYN»AUT»W»NA»SS»NA»Free Account Refresh- Lifestyle ChA</v></cell><cell r="D6607" t="str"><v>43329224160771</v></cell><cell r="E6607" t="str"><v>43329103048488le ChA</v></cell><cell r="F6607" t="str"><v>DCM</v></cell></row><row r="6607"><cell r="K6607" t="str"><v>August</v></cell><cell r="L6607"><v>43330</v></cell><cell r="M6607" t="str"><v>Tier 1</v></cell><cell r="N6607" t="str"><v>APAC</v></cell><cell r="O6607" t="str"><v>Australia</v></cell><cell r="P6607" t="str"><v>Trial</v></cell><cell r="Q6607" t="str"><v>Social</v></cell><cell r="R6607" t="str"><v>Azure</v></cell><cell r="S6607" t="str"><v>Apps & Infra</v></cell><cell r="T6607" t="str"><v>Developers & ITI's</v></cell><cell r="U6607" t="str"><v>Audience & Interest Targeting</v></cell><cell r="V6607" t="str"><v>Audience Targeting</v></cell><cell r="W6607" t="str"><v>Other</v></cell><cell r="X6607" t="str"><v>1x1</v></cell></row><row r="6607"><cell r="AA6607"><v>43329</v></cell><cell r="AB6607" t="str"><v>AUS_gaPMG_AZR_AZR_Q1_19_Trial-Social</v></cell><cell r="AC6607"><v>21358568</v></cell><cell r="AD6607"><v>720191</v></cell><cell r="AE6607" t="str"><v>Facebook</v></cell><cell r="AF6607"><v>3654128</v></cell><cell r="AG6607" t="str"><v>Facebook»Audience & Interest Targeting»1x1»TextLink»OTH»DT»DYN»AUT»W»NA»SS»NA»Free Account Refresh- Lifestyle ChA</v></cell><cell r="AH6607"><v>224160771</v></cell><cell r="AI6607" t="str"><v>AzurePlatform_FreeAcctAppsFACEBOOKLifestyleChA_AUS_1200x628_SOC_PLAT_EN_Trial_Standard_NA_SNU_T1_1</v></cell><cell r="AJ6607"><v>103048488</v></cell></row><row r="6608"><cell r="C6608" t="str"><v>43329Facebook»LAL»1x1»TextLink»SOC»DT»DYN»LAL»W»NA»SS»NA»Free Account Refresh- 200 Credit ChD</v></cell><cell r="D6608" t="str"><v>43329224160720</v></cell><cell r="E6608" t="str"><v>43329103186907it ChD</v></cell><cell r="F6608" t="str"><v>DCM</v></cell><cell r="G6608" t="str"><v>https://azure.microsoft.com/en-au/free/open-source/search/</v></cell></row><row r="6608"><cell r="K6608" t="str"><v>August</v></cell><cell r="L6608"><v>43330</v></cell><cell r="M6608" t="str"><v>Tier 1</v></cell><cell r="N6608" t="str"><v>APAC</v></cell><cell r="O6608" t="str"><v>Australia</v></cell><cell r="P6608" t="str"><v>Trial</v></cell><cell r="Q6608" t="str"><v>Social</v></cell><cell r="R6608" t="str"><v>Azure</v></cell><cell r="S6608" t="str"><v>Apps & Infra</v></cell><cell r="T6608" t="str"><v>Developers & ITI's</v></cell><cell r="U6608" t="str"><v>LAL</v></cell><cell r="V6608" t="str"><v>Lookalike Targeting</v></cell><cell r="W6608" t="str"><v>Social</v></cell><cell r="X6608" t="str"><v>1x1</v></cell></row><row r="6608"><cell r="AA6608"><v>43329</v></cell><cell r="AB6608" t="str"><v>AUS_gaPMG_AZR_AZR_Q1_19_Trial-Social</v></cell><cell r="AC6608"><v>21358568</v></cell><cell r="AD6608"><v>720191</v></cell><cell r="AE6608" t="str"><v>Facebook</v></cell><cell r="AF6608"><v>3654128</v></cell><cell r="AG6608" t="str"><v>Facebook»LAL»1x1»TextLink»SOC»DT»DYN»LAL»W»NA»SS»NA»Free Account Refresh- 200 Credit ChD</v></cell><cell r="AH6608"><v>224160720</v></cell><cell r="AI6608" t="str"><v>AzurePlatform_FreeAcctRetargetingOSSFB-Logos-ChG_AUS_1200x628_SOC_Plat_EN_Free Account_Standard_NA_SNU_T2_1</v></cell><cell r="AJ6608"><v>103186907</v></cell></row><row r="6609"><cell r="C6609" t="str"><v>43329Facebook»LAL»1x1»TextLink»SOC»DT»DYN»LAL»W»NA»SS»NA»Free Account Refresh- Device ChB</v></cell><cell r="D6609" t="str"><v>43329224160717</v></cell><cell r="E6609" t="str"><v>43329103048485ce ChB</v></cell><cell r="F6609" t="str"><v>DCM</v></cell><cell r="G6609" t="str"><v>https://azure.microsoft.com/en-au/free/open-source/search/</v></cell></row><row r="6609"><cell r="K6609" t="str"><v>August</v></cell><cell r="L6609"><v>43330</v></cell><cell r="M6609" t="str"><v>Tier 1</v></cell><cell r="N6609" t="str"><v>APAC</v></cell><cell r="O6609" t="str"><v>Australia</v></cell><cell r="P6609" t="str"><v>Trial</v></cell><cell r="Q6609" t="str"><v>Social</v></cell><cell r="R6609" t="str"><v>Azure</v></cell><cell r="S6609" t="str"><v>Apps & Infra</v></cell><cell r="T6609" t="str"><v>Developers & ITI's</v></cell><cell r="U6609" t="str"><v>LAL</v></cell><cell r="V6609" t="str"><v>Lookalike Targeting</v></cell><cell r="W6609" t="str"><v>Social</v></cell><cell r="X6609" t="str"><v>1x1</v></cell></row><row r="6609"><cell r="AA6609"><v>43329</v></cell><cell r="AB6609" t="str"><v>AUS_gaPMG_AZR_AZR_Q1_19_Trial-Social</v></cell><cell r="AC6609"><v>21358568</v></cell><cell r="AD6609"><v>720191</v></cell><cell r="AE6609" t="str"><v>Facebook</v></cell><cell r="AF6609"><v>3654128</v></cell><cell r="AG6609" t="str"><v>Facebook»LAL»1x1»TextLink»SOC»DT»DYN»LAL»W»NA»SS»NA»Free Account Refresh- Device ChB</v></cell><cell r="AH6609"><v>224160717</v></cell><cell r="AI6609" t="str"><v>AzurePlatform_FreeAcctRetargetingOSSFB-Text-ChF_AUS_1200x628_SOC_Plat_EN_Free Account_Standard_NA_SNU_T1_1</v></cell><cell r="AJ6609"><v>103048485</v></cell></row><row r="6610"><cell r="C6610" t="str"><v>43329Facebook»LAL»1x1»TextLink»SOC»DT»DYN»LAL»W»NA»SS»NA»Free Account Refresh- Illustration ChC</v></cell><cell r="D6610" t="str"><v>43329224160714</v></cell><cell r="E6610" t="str"><v>43329103186916on ChC</v></cell><cell r="F6610" t="str"><v>DCM</v></cell><cell r="G6610" t="str"><v>https://azure.microsoft.com/en-au/free/virtual-machines/search/</v></cell></row><row r="6610"><cell r="K6610" t="str"><v>August</v></cell><cell r="L6610"><v>43330</v></cell><cell r="M6610" t="str"><v>Tier 1</v></cell><cell r="N6610" t="str"><v>APAC</v></cell><cell r="O6610" t="str"><v>Australia</v></cell><cell r="P6610" t="str"><v>Trial</v></cell><cell r="Q6610" t="str"><v>Social</v></cell><cell r="R6610" t="str"><v>Azure</v></cell><cell r="S6610" t="str"><v>Apps & Infra</v></cell><cell r="T6610" t="str"><v>Developers & ITI's</v></cell><cell r="U6610" t="str"><v>LAL</v></cell><cell r="V6610" t="str"><v>Lookalike Targeting</v></cell><cell r="W6610" t="str"><v>Social</v></cell><cell r="X6610" t="str"><v>1x1</v></cell></row><row r="6610"><cell r="AA6610"><v>43329</v></cell><cell r="AB6610" t="str"><v>AUS_gaPMG_AZR_AZR_Q1_19_Trial-Social</v></cell><cell r="AC6610"><v>21358568</v></cell><cell r="AD6610"><v>720191</v></cell><cell r="AE6610" t="str"><v>Facebook</v></cell><cell r="AF6610"><v>3654128</v></cell><cell r="AG6610" t="str"><v>Facebook»LAL»1x1»TextLink»SOC»DT»DYN»LAL»W»NA»SS»NA»Free Account Refresh- Illustration ChC</v></cell><cell r="AH6610"><v>224160714</v></cell><cell r="AI6610" t="str"><v>AzurePlatform_FreeAcctRetargetingVMFB-750Hrs-ChD_AUS_1200x628_SOC_Plat_EN_Free Account_Standard_NA_SNU_T1_1</v></cell><cell r="AJ6610"><v>103186916</v></cell></row><row r="6611"><cell r="C6611" t="str"><v>43329Facebook»LAL»1x1»TextLink»SOC»DT»DYN»LAL»W»NA»SS»NA»Free Account Refresh- Lifestyle ChA</v></cell><cell r="D6611" t="str"><v>43329224160711</v></cell><cell r="E6611" t="str"><v>43329103048491le ChA</v></cell><cell r="F6611" t="str"><v>DCM</v></cell><cell r="G6611" t="str"><v>https://azure.microsoft.com/en-au/free/virtual-machines/search/</v></cell></row><row r="6611"><cell r="K6611" t="str"><v>August</v></cell><cell r="L6611"><v>43330</v></cell><cell r="M6611" t="str"><v>Tier 1</v></cell><cell r="N6611" t="str"><v>APAC</v></cell><cell r="O6611" t="str"><v>Australia</v></cell><cell r="P6611" t="str"><v>Trial</v></cell><cell r="Q6611" t="str"><v>Social</v></cell><cell r="R6611" t="str"><v>Azure</v></cell><cell r="S6611" t="str"><v>Apps & Infra</v></cell><cell r="T6611" t="str"><v>Developers & ITI's</v></cell><cell r="U6611" t="str"><v>LAL</v></cell><cell r="V6611" t="str"><v>Lookalike Targeting</v></cell><cell r="W6611" t="str"><v>Social</v></cell><cell r="X6611" t="str"><v>1x1</v></cell></row><row r="6611"><cell r="AA6611"><v>43329</v></cell><cell r="AB6611" t="str"><v>AUS_gaPMG_AZR_AZR_Q1_19_Trial-Social</v></cell><cell r="AC6611"><v>21358568</v></cell><cell r="AD6611"><v>720191</v></cell><cell r="AE6611" t="str"><v>Facebook</v></cell><cell r="AF6611"><v>3654128</v></cell><cell r="AG6611" t="str"><v>Facebook»LAL»1x1»TextLink»SOC»DT»DYN»LAL»W»NA»SS»NA»Free Account Refresh- Lifestyle ChA</v></cell><cell r="AH6611"><v>224160711</v></cell><cell r="AI6611" t="str"><v>AzurePlatform_FreeAcctRetargetingVMFB-OnDemand-ChE_AUS_1200x628_SOC_Plat_EN_Free Account_Standard_NA_SNU_T2_1</v></cell><cell r="AJ6611"><v>103048491</v></cell></row><row r="6612"><cell r="C6612" t="str"><v>43329Facebook»Retargeting»1x1»TextLink»SOC»DT»DYN»RT»W»NA»SS»NA»Free Account Refresh- 200 Credit ChD</v></cell><cell r="D6612" t="str"><v>43329224160738</v></cell><cell r="E6612" t="str"><v>43329103186904it ChD</v></cell><cell r="F6612" t="str"><v>DCM</v></cell></row><row r="6612"><cell r="K6612" t="str"><v>August</v></cell><cell r="L6612"><v>43330</v></cell><cell r="M6612" t="str"><v>Tier 1</v></cell><cell r="N6612" t="str"><v>APAC</v></cell><cell r="O6612" t="str"><v>Australia</v></cell><cell r="P6612" t="str"><v>Trial</v></cell><cell r="Q6612" t="str"><v>Social</v></cell><cell r="R6612" t="str"><v>Azure</v></cell><cell r="S6612" t="str"><v>Apps & Infra</v></cell><cell r="T6612" t="str"><v>Developers & ITI's</v></cell><cell r="U6612" t="str"><v>Retargeting</v></cell><cell r="V6612" t="str"><v>Retargeting</v></cell><cell r="W6612" t="str"><v>Social</v></cell><cell r="X6612" t="str"><v>1x1</v></cell></row><row r="6612"><cell r="AA6612"><v>43329</v></cell><cell r="AB6612" t="str"><v>AUS_gaPMG_AZR_AZR_Q1_19_Trial-Social</v></cell><cell r="AC6612"><v>21358568</v></cell><cell r="AD6612"><v>720191</v></cell><cell r="AE6612" t="str"><v>Facebook</v></cell><cell r="AF6612"><v>3654128</v></cell><cell r="AG6612" t="str"><v>Facebook»Retargeting»1x1»TextLink»SOC»DT»DYN»RT»W»NA»SS»NA»Free Account Refresh- 200 Credit ChD</v></cell><cell r="AH6612"><v>224160738</v></cell><cell r="AI6612" t="str"><v>AzurePlatform_FreeAcctAppsFACEBOOK200CreditChD_AUS_1200x628_SOC_PLAT_EN_Trial_Standard_NA_SNU_T4_1</v></cell><cell r="AJ6612"><v>103186904</v></cell></row><row r="6613"><cell r="C6613" t="str"><v>43329Facebook»Retargeting»1x1»TextLink»SOC»DT»DYN»RT»W»NA»SS»NA»Free Account Refresh- Device ChB</v></cell><cell r="D6613" t="str"><v>43329224160735</v></cell><cell r="E6613" t="str"><v>43329103048479ce ChB</v></cell><cell r="F6613" t="str"><v>DCM</v></cell></row><row r="6613"><cell r="K6613" t="str"><v>August</v></cell><cell r="L6613"><v>43330</v></cell><cell r="M6613" t="str"><v>Tier 1</v></cell><cell r="N6613" t="str"><v>APAC</v></cell><cell r="O6613" t="str"><v>Australia</v></cell><cell r="P6613" t="str"><v>Trial</v></cell><cell r="Q6613" t="str"><v>Social</v></cell><cell r="R6613" t="str"><v>Azure</v></cell><cell r="S6613" t="str"><v>Apps & Infra</v></cell><cell r="T6613" t="str"><v>Developers & ITI's</v></cell><cell r="U6613" t="str"><v>Retargeting</v></cell><cell r="V6613" t="str"><v>Retargeting</v></cell><cell r="W6613" t="str"><v>Social</v></cell><cell r="X6613" t="str"><v>1x1</v></cell></row><row r="6613"><cell r="AA6613"><v>43329</v></cell><cell r="AB6613" t="str"><v>AUS_gaPMG_AZR_AZR_Q1_19_Trial-Social</v></cell><cell r="AC6613"><v>21358568</v></cell><cell r="AD6613"><v>720191</v></cell><cell r="AE6613" t="str"><v>Facebook</v></cell><cell r="AF6613"><v>3654128</v></cell><cell r="AG6613" t="str"><v>Facebook»Retargeting»1x1»TextLink»SOC»DT»DYN»RT»W»NA»SS»NA»Free Account Refresh- Device ChB</v></cell><cell r="AH6613"><v>224160735</v></cell><cell r="AI6613" t="str"><v>AzurePlatform_FreeAcctAppsFACEBOOKDeviceChB_AUS_1200x628_SOC_PLAT_EN_Trial_Standard_NA_SNU_T2_1</v></cell><cell r="AJ6613"><v>103048479</v></cell></row><row r="6614"><cell r="C6614" t="str"><v>43329Facebook»Retargeting»1x1»TextLink»SOC»DT»DYN»RT»W»NA»SS»NA»Free Account Refresh- Illustration ChC</v></cell><cell r="D6614" t="str"><v>43329224160732</v></cell><cell r="E6614" t="str"><v>43329103186910on ChC</v></cell><cell r="F6614" t="str"><v>DCM</v></cell></row><row r="6614"><cell r="K6614" t="str"><v>August</v></cell><cell r="L6614"><v>43330</v></cell><cell r="M6614" t="str"><v>Tier 1</v></cell><cell r="N6614" t="str"><v>APAC</v></cell><cell r="O6614" t="str"><v>Australia</v></cell><cell r="P6614" t="str"><v>Trial</v></cell><cell r="Q6614" t="str"><v>Social</v></cell><cell r="R6614" t="str"><v>Azure</v></cell><cell r="S6614" t="str"><v>Apps & Infra</v></cell><cell r="T6614" t="str"><v>Developers & ITI's</v></cell><cell r="U6614" t="str"><v>Retargeting</v></cell><cell r="V6614" t="str"><v>Retargeting</v></cell><cell r="W6614" t="str"><v>Social</v></cell><cell r="X6614" t="str"><v>1x1</v></cell></row><row r="6614"><cell r="AA6614"><v>43329</v></cell><cell r="AB6614" t="str"><v>AUS_gaPMG_AZR_AZR_Q1_19_Trial-Social</v></cell><cell r="AC6614"><v>21358568</v></cell><cell r="AD6614"><v>720191</v></cell><cell r="AE6614" t="str"><v>Facebook</v></cell><cell r="AF6614"><v>3654128</v></cell><cell r="AG6614" t="str"><v>Facebook»Retargeting»1x1»TextLink»SOC»DT»DYN»RT»W»NA»SS»NA»Free Account Refresh- Illustration ChC</v></cell><cell r="AH6614"><v>224160732</v></cell><cell r="AI6614" t="str"><v>AzurePlatform_FreeAcctAppsFACEBOOKIllustrationChC_AUS_1200x628_SOC_PLAT_EN_Trial_Standard_NA_SNU_T3_1</v></cell><cell r="AJ6614"><v>103186910</v></cell></row><row r="6615"><cell r="C6615" t="str"><v>43329Facebook»Retargeting»1x1»TextLink»SOC»DT»DYN»RT»W»NA»SS»NA»Free Account Refresh- Lifestyle ChA</v></cell><cell r="D6615" t="str"><v>43329224160729</v></cell><cell r="E6615" t="str"><v>43329103048488le ChA</v></cell><cell r="F6615" t="str"><v>DCM</v></cell></row><row r="6615"><cell r="K6615" t="str"><v>August</v></cell><cell r="L6615"><v>43330</v></cell><cell r="M6615" t="str"><v>Tier 1</v></cell><cell r="N6615" t="str"><v>APAC</v></cell><cell r="O6615" t="str"><v>Australia</v></cell><cell r="P6615" t="str"><v>Trial</v></cell><cell r="Q6615" t="str"><v>Social</v></cell><cell r="R6615" t="str"><v>Azure</v></cell><cell r="S6615" t="str"><v>Apps & Infra</v></cell><cell r="T6615" t="str"><v>Developers & ITI's</v></cell><cell r="U6615" t="str"><v>Retargeting</v></cell><cell r="V6615" t="str"><v>Retargeting</v></cell><cell r="W6615" t="str"><v>Social</v></cell><cell r="X6615" t="str"><v>1x1</v></cell></row><row r="6615"><cell r="AA6615"><v>43329</v></cell><cell r="AB6615" t="str"><v>AUS_gaPMG_AZR_AZR_Q1_19_Trial-Social</v></cell><cell r="AC6615"><v>21358568</v></cell><cell r="AD6615"><v>720191</v></cell><cell r="AE6615" t="str"><v>Facebook</v></cell><cell r="AF6615"><v>3654128</v></cell><cell r="AG6615" t="str"><v>Facebook»Retargeting»1x1»TextLink»SOC»DT»DYN»RT»W»NA»SS»NA»Free Account Refresh- Lifestyle ChA</v></cell><cell r="AH6615"><v>224160729</v></cell><cell r="AI6615" t="str"><v>AzurePlatform_FreeAcctAppsFACEBOOKLifestyleChA_AUS_1200x628_SOC_PLAT_EN_Trial_Standard_NA_SNU_T1_1</v></cell><cell r="AJ6615"><v>103048488</v></cell></row><row r="6616"><cell r="C6616" t="str"><v>43329Facebook»AZR»1x1»NA»EGV»ALL»DYN»AUT»D»All»SS»NA»Free Acc CTC - T1 - EN</v></cell><cell r="D6616" t="str"><v>43329223684451</v></cell><cell r="E6616" t="str"><v>433291029018821 - EN</v></cell><cell r="F6616" t="str"><v>DCM</v></cell><cell r="G6616" t="str"><v>https://signup.azure.com/</v></cell></row><row r="6616"><cell r="K6616" t="str"><v>August</v></cell><cell r="L6616"><v>43330</v></cell><cell r="M6616" t="str"><v>Tier 1</v></cell><cell r="N6616" t="str"><v>North America</v></cell><cell r="O6616" t="str"><v>Canada</v></cell><cell r="P6616" t="str"><v>Trial</v></cell><cell r="Q6616" t="str"><v>Social</v></cell><cell r="R6616" t="str"><v>Azure</v></cell><cell r="S6616" t="str"><v>Apps & Infra</v></cell><cell r="T6616" t="str"><v>Developers & ITI's</v></cell><cell r="U6616" t="str"><v>AZR</v></cell><cell r="V6616" t="str"><v>Audience Targeting</v></cell><cell r="W6616" t="str"><v>Engagement Video</v></cell><cell r="X6616" t="str"><v>1x1</v></cell></row><row r="6616"><cell r="AA6616"><v>43329</v></cell><cell r="AB6616" t="str"><v>CAN_gaPMG_AZR_AZR_Q1_19_Trial-Social</v></cell><cell r="AC6616"><v>21337220</v></cell><cell r="AD6616"><v>720192</v></cell><cell r="AE6616" t="str"><v>Facebook</v></cell><cell r="AF6616"><v>3654128</v></cell><cell r="AG6616" t="str"><v>Facebook»AZR»1x1»NA»EGV»ALL»DYN»AUT»D»All»SS»NA»Free Acc CTC - T1 - EN</v></cell><cell r="AH6616"><v>223684451</v></cell><cell r="AI6616" t="str"><v>AzurePlatform_FBCTCBasicMotion_CAN_10s_ISV_PLAT_English_Trial_Standard_STAN_TN_T1_1</v></cell><cell r="AJ6616"><v>102901882</v></cell></row><row r="6617"><cell r="C6617" t="str"><v>43329Facebook»AZR»1x1»NA»EGV»ALL»DYN»AUT»D»All»SS»NA»Free Acc CTC - T1 - FR</v></cell><cell r="D6617" t="str"><v>43329223691801</v></cell><cell r="E6617" t="str"><v>433291030533231 - FR</v></cell><cell r="F6617" t="str"><v>DCM</v></cell><cell r="G6617" t="str"><v>https://signup.azure.com/</v></cell></row><row r="6617"><cell r="K6617" t="str"><v>August</v></cell><cell r="L6617"><v>43330</v></cell><cell r="M6617" t="str"><v>Tier 1</v></cell><cell r="N6617" t="str"><v>North America</v></cell><cell r="O6617" t="str"><v>Canada</v></cell><cell r="P6617" t="str"><v>Trial</v></cell><cell r="Q6617" t="str"><v>Social</v></cell><cell r="R6617" t="str"><v>Azure</v></cell><cell r="S6617" t="str"><v>Apps & Infra</v></cell><cell r="T6617" t="str"><v>Developers & ITI's</v></cell><cell r="U6617" t="str"><v>AZR</v></cell><cell r="V6617" t="str"><v>Audience Targeting</v></cell><cell r="W6617" t="str"><v>Engagement Video</v></cell><cell r="X6617" t="str"><v>1x1</v></cell></row><row r="6617"><cell r="AA6617"><v>43329</v></cell><cell r="AB6617" t="str"><v>CAN_gaPMG_AZR_AZR_Q1_19_Trial-Social</v></cell><cell r="AC6617"><v>21337220</v></cell><cell r="AD6617"><v>720192</v></cell><cell r="AE6617" t="str"><v>Facebook</v></cell><cell r="AF6617"><v>3654128</v></cell><cell r="AG6617" t="str"><v>Facebook»AZR»1x1»NA»EGV»ALL»DYN»AUT»D»All»SS»NA»Free Acc CTC - T1 - FR</v></cell><cell r="AH6617"><v>223691801</v></cell><cell r="AI6617" t="str"><v>AzurePlatform_FBCTCBasicMotion_CAN_10s_ISV_PLAT_FR_Trial_Standard_STAN_TN_T1_1</v></cell><cell r="AJ6617"><v>103053323</v></cell></row><row r="6618"><cell r="C6618" t="str"><v>43329Facebook»AZR»1x1»NA»EGV»ALL»DYN»AUT»D»All»SS»NA»Free Acc CTC - T2 - EN</v></cell><cell r="D6618" t="str"><v>43329223691840</v></cell><cell r="E6618" t="str"><v>433291029029502 - EN</v></cell><cell r="F6618" t="str"><v>DCM</v></cell><cell r="G6618" t="str"><v>https://signup.azure.com/</v></cell></row><row r="6618"><cell r="K6618" t="str"><v>August</v></cell><cell r="L6618"><v>43330</v></cell><cell r="M6618" t="str"><v>Tier 1</v></cell><cell r="N6618" t="str"><v>North America</v></cell><cell r="O6618" t="str"><v>Canada</v></cell><cell r="P6618" t="str"><v>Trial</v></cell><cell r="Q6618" t="str"><v>Social</v></cell><cell r="R6618" t="str"><v>Azure</v></cell><cell r="S6618" t="str"><v>Apps & Infra</v></cell><cell r="T6618" t="str"><v>Developers & ITI's</v></cell><cell r="U6618" t="str"><v>AZR</v></cell><cell r="V6618" t="str"><v>Audience Targeting</v></cell><cell r="W6618" t="str"><v>Engagement Video</v></cell><cell r="X6618" t="str"><v>1x1</v></cell></row><row r="6618"><cell r="AA6618"><v>43329</v></cell><cell r="AB6618" t="str"><v>CAN_gaPMG_AZR_AZR_Q1_19_Trial-Social</v></cell><cell r="AC6618"><v>21337220</v></cell><cell r="AD6618"><v>720192</v></cell><cell r="AE6618" t="str"><v>Facebook</v></cell><cell r="AF6618"><v>3654128</v></cell><cell r="AG6618" t="str"><v>Facebook»AZR»1x1»NA»EGV»ALL»DYN»AUT»D»All»SS»NA»Free Acc CTC - T2 - EN</v></cell><cell r="AH6618"><v>223691840</v></cell><cell r="AI6618" t="str"><v>AzurePlatform_FBCTCBrandinMotion_CAN_12s_ISV_PLAT_English_Trial_Standard_STAN_TN_T2_1</v></cell><cell r="AJ6618"><v>102902950</v></cell></row><row r="6619"><cell r="C6619" t="str"><v>43329Facebook»AZR»1x1»NA»EGV»ALL»DYN»AUT»D»All»SS»NA»Free Acc CTC - T2 - FR</v></cell><cell r="D6619" t="str"><v>43329223691798</v></cell><cell r="E6619" t="str"><v>433291029163472 - FR</v></cell><cell r="F6619" t="str"><v>DCM</v></cell><cell r="G6619" t="str"><v>https://signup.azure.com/</v></cell></row><row r="6619"><cell r="K6619" t="str"><v>August</v></cell><cell r="L6619"><v>43330</v></cell><cell r="M6619" t="str"><v>Tier 1</v></cell><cell r="N6619" t="str"><v>North America</v></cell><cell r="O6619" t="str"><v>Canada</v></cell><cell r="P6619" t="str"><v>Trial</v></cell><cell r="Q6619" t="str"><v>Social</v></cell><cell r="R6619" t="str"><v>Azure</v></cell><cell r="S6619" t="str"><v>Apps & Infra</v></cell><cell r="T6619" t="str"><v>Developers & ITI's</v></cell><cell r="U6619" t="str"><v>AZR</v></cell><cell r="V6619" t="str"><v>Audience Targeting</v></cell><cell r="W6619" t="str"><v>Engagement Video</v></cell><cell r="X6619" t="str"><v>1x1</v></cell></row><row r="6619"><cell r="AA6619"><v>43329</v></cell><cell r="AB6619" t="str"><v>CAN_gaPMG_AZR_AZR_Q1_19_Trial-Social</v></cell><cell r="AC6619"><v>21337220</v></cell><cell r="AD6619"><v>720192</v></cell><cell r="AE6619" t="str"><v>Facebook</v></cell><cell r="AF6619"><v>3654128</v></cell><cell r="AG6619" t="str"><v>Facebook»AZR»1x1»NA»EGV»ALL»DYN»AUT»D»All»SS»NA»Free Acc CTC - T2 - FR</v></cell><cell r="AH6619"><v>223691798</v></cell><cell r="AI6619" t="str"><v>AzurePlatform_FBCTCBrandinMotion_CAN_12s_ISV_PLAT_FR_Trial_Standard_STAN_TN_T2_1</v></cell><cell r="AJ6619"><v>102916347</v></cell></row><row r="6620"><cell r="C6620" t="str"><v>43329Facebook»AZR»1x1»NA»EGV»ALL»DYN»AUT»D»All»SS»NA»Free Acc CTC - T4 - EN</v></cell><cell r="D6620" t="str"><v>43329223691837</v></cell><cell r="E6620" t="str"><v>433291030533144 - EN</v></cell><cell r="F6620" t="str"><v>DCM</v></cell><cell r="G6620" t="str"><v>https://signup.azure.com/</v></cell></row><row r="6620"><cell r="K6620" t="str"><v>August</v></cell><cell r="L6620"><v>43330</v></cell><cell r="M6620" t="str"><v>Tier 1</v></cell><cell r="N6620" t="str"><v>North America</v></cell><cell r="O6620" t="str"><v>Canada</v></cell><cell r="P6620" t="str"><v>Trial</v></cell><cell r="Q6620" t="str"><v>Social</v></cell><cell r="R6620" t="str"><v>Azure</v></cell><cell r="S6620" t="str"><v>Apps & Infra</v></cell><cell r="T6620" t="str"><v>Developers & ITI's</v></cell><cell r="U6620" t="str"><v>AZR</v></cell><cell r="V6620" t="str"><v>Audience Targeting</v></cell><cell r="W6620" t="str"><v>Engagement Video</v></cell><cell r="X6620" t="str"><v>1x1</v></cell></row><row r="6620"><cell r="AA6620"><v>43329</v></cell><cell r="AB6620" t="str"><v>CAN_gaPMG_AZR_AZR_Q1_19_Trial-Social</v></cell><cell r="AC6620"><v>21337220</v></cell><cell r="AD6620"><v>720192</v></cell><cell r="AE6620" t="str"><v>Facebook</v></cell><cell r="AF6620"><v>3654128</v></cell><cell r="AG6620" t="str"><v>Facebook»AZR»1x1»NA»EGV»ALL»DYN»AUT»D»All»SS»NA»Free Acc CTC - T4 - EN</v></cell><cell r="AH6620"><v>223691837</v></cell><cell r="AI6620" t="str"><v>AzurePlatform_FBCTCBenefit2inMotion_CAN_14s_ISV_PLAT_English_Trial_Standard_STAN_TN_T4_1</v></cell><cell r="AJ6620"><v>103053314</v></cell></row><row r="6621"><cell r="C6621" t="str"><v>43329Facebook»AZR»1x1»NA»EGV»ALL»DYN»AUT»D»All»SS»NA»Free Acc CTC - T4 - FR</v></cell><cell r="D6621" t="str"><v>43329223691795</v></cell><cell r="E6621" t="str"><v>433291029006884 - FR</v></cell><cell r="F6621" t="str"><v>DCM</v></cell><cell r="G6621" t="str"><v>https://signup.azure.com/</v></cell></row><row r="6621"><cell r="K6621" t="str"><v>August</v></cell><cell r="L6621"><v>43330</v></cell><cell r="M6621" t="str"><v>Tier 1</v></cell><cell r="N6621" t="str"><v>North America</v></cell><cell r="O6621" t="str"><v>Canada</v></cell><cell r="P6621" t="str"><v>Trial</v></cell><cell r="Q6621" t="str"><v>Social</v></cell><cell r="R6621" t="str"><v>Azure</v></cell><cell r="S6621" t="str"><v>Apps & Infra</v></cell><cell r="T6621" t="str"><v>Developers & ITI's</v></cell><cell r="U6621" t="str"><v>AZR</v></cell><cell r="V6621" t="str"><v>Audience Targeting</v></cell><cell r="W6621" t="str"><v>Engagement Video</v></cell><cell r="X6621" t="str"><v>1x1</v></cell></row><row r="6621"><cell r="AA6621"><v>43329</v></cell><cell r="AB6621" t="str"><v>CAN_gaPMG_AZR_AZR_Q1_19_Trial-Social</v></cell><cell r="AC6621"><v>21337220</v></cell><cell r="AD6621"><v>720192</v></cell><cell r="AE6621" t="str"><v>Facebook</v></cell><cell r="AF6621"><v>3654128</v></cell><cell r="AG6621" t="str"><v>Facebook»AZR»1x1»NA»EGV»ALL»DYN»AUT»D»All»SS»NA»Free Acc CTC - T4 - FR</v></cell><cell r="AH6621"><v>223691795</v></cell><cell r="AI6621" t="str"><v>AzurePlatform_FBCTCBenefit2inMotion_CAN_14s_ISV_PLAT_FR_Trial_Standard_STAN_TN_T4_1</v></cell><cell r="AJ6621"><v>102900688</v></cell></row><row r="6622"><cell r="C6622" t="str"><v>43329Facebook»AZR»1x1»NA»SOC»ALL»DYN»PRO»D»All»SS»NA»Canvas - Buy Now - EN</v></cell><cell r="D6622" t="str"><v>43329225322327</v></cell><cell r="E6622" t="str"><v>43329103902287w - EN</v></cell><cell r="F6622" t="str"><v>DCM</v></cell><cell r="G6622" t="str"><v>https://azure.microsoft.com/en-ca/pricing/purchase-options/</v></cell></row><row r="6622"><cell r="K6622" t="str"><v>August</v></cell><cell r="L6622"><v>43330</v></cell><cell r="M6622" t="str"><v>Tier 1</v></cell><cell r="N6622" t="str"><v>North America</v></cell><cell r="O6622" t="str"><v>Canada</v></cell><cell r="P6622" t="str"><v>Trial</v></cell><cell r="Q6622" t="str"><v>Social</v></cell><cell r="R6622" t="str"><v>Azure</v></cell><cell r="S6622" t="str"><v>Apps & Infra</v></cell><cell r="T6622" t="str"><v>Developers & ITI's</v></cell><cell r="U6622" t="str"><v>AZR</v></cell><cell r="V6622" t="str"><v>Prospecting</v></cell><cell r="W6622" t="str"><v>Social</v></cell><cell r="X6622" t="str"><v>1x1</v></cell></row><row r="6622"><cell r="AA6622"><v>43329</v></cell><cell r="AB6622" t="str"><v>CAN_gaPMG_AZR_AZR_Q1_19_Trial-Social</v></cell><cell r="AC6622"><v>21337220</v></cell><cell r="AD6622"><v>720192</v></cell><cell r="AE6622" t="str"><v>Facebook</v></cell><cell r="AF6622"><v>3654128</v></cell><cell r="AG6622" t="str"><v>Facebook»AZR»1x1»NA»SOC»ALL»DYN»PRO»D»All»SS»NA»Canvas - Buy Now - EN</v></cell><cell r="AH6622"><v>225322327</v></cell><cell r="AI6622" t="str"><v>AzurePlatform_FBCTCcanvaspage-BuyNowCTA-Img3_CAN_1080x162_SOC_Plat_English_NA_Standard_NA_BN_T3_1</v></cell><cell r="AJ6622"><v>103902287</v></cell></row><row r="6623"><cell r="C6623" t="str"><v>43329Facebook»AZR»1x1»NA»SOC»ALL»DYN»PRO»D»All»SS»NA»Canvas - Start Free - EN</v></cell><cell r="D6623" t="str"><v>43329225252365</v></cell><cell r="E6623" t="str"><v>43329103807590e - EN</v></cell><cell r="F6623" t="str"><v>DCM</v></cell><cell r="G6623" t="str"><v>https://signup.azure.com/signup?offer=ms-azr-0044p&appId=102&ref=paidmedia-social-fb&redirectURL=https%3a%2f%2fazure.microsoft.com%2fen-ca%2fget-started%2fwelcome-to-azure%2f&l=en-ca&correlationId=ead86c34-1f10-49dd-a72b-6918462a2cbf</v></cell></row><row r="6623"><cell r="K6623" t="str"><v>August</v></cell><cell r="L6623"><v>43330</v></cell><cell r="M6623" t="str"><v>Tier 1</v></cell><cell r="N6623" t="str"><v>North America</v></cell><cell r="O6623" t="str"><v>Canada</v></cell><cell r="P6623" t="str"><v>Trial</v></cell><cell r="Q6623" t="str"><v>Social</v></cell><cell r="R6623" t="str"><v>Azure</v></cell><cell r="S6623" t="str"><v>Apps & Infra</v></cell><cell r="T6623" t="str"><v>Developers & ITI's</v></cell><cell r="U6623" t="str"><v>AZR</v></cell><cell r="V6623" t="str"><v>Prospecting</v></cell><cell r="W6623" t="str"><v>Social</v></cell><cell r="X6623" t="str"><v>1x1</v></cell></row><row r="6623"><cell r="AA6623"><v>43329</v></cell><cell r="AB6623" t="str"><v>CAN_gaPMG_AZR_AZR_Q1_19_Trial-Social</v></cell><cell r="AC6623"><v>21337220</v></cell><cell r="AD6623"><v>720192</v></cell><cell r="AE6623" t="str"><v>Facebook</v></cell><cell r="AF6623"><v>3654128</v></cell><cell r="AG6623" t="str"><v>Facebook»AZR»1x1»NA»SOC»ALL»DYN»PRO»D»All»SS»NA»Canvas - Start Free - EN</v></cell><cell r="AH6623"><v>225252365</v></cell><cell r="AI6623" t="str"><v>AzurePlatform_FBCTCcanvaspage-StartFreeCTA-Img2_CAN_1080x143 _SOC_Plat_English_NA_Standard_NA_NA_T2_1</v></cell><cell r="AJ6623"><v>103807590</v></cell></row><row r="6624"><cell r="C6624" t="str"><v>43329Facebook»AZR»1x1»SocialBan»NA»ALL»DYN»AUT»D»All»SS»NA»Free Acc Refresh - T1 - EN</v></cell><cell r="D6624" t="str"><v>43329223691804</v></cell><cell r="E6624" t="str"><v>433291030587171 - EN</v></cell><cell r="F6624" t="str"><v>DCM</v></cell><cell r="G6624" t="str"><v>https://azure.microsoft.com/en-CA/free/search/</v></cell></row><row r="6624"><cell r="K6624" t="str"><v>August</v></cell><cell r="L6624"><v>43330</v></cell><cell r="M6624" t="str"><v>Tier 1</v></cell><cell r="N6624" t="str"><v>North America</v></cell><cell r="O6624" t="str"><v>Canada</v></cell><cell r="P6624" t="str"><v>Trial</v></cell><cell r="Q6624" t="str"><v>Social</v></cell><cell r="R6624" t="str"><v>Azure</v></cell><cell r="S6624" t="str"><v>Apps & Infra</v></cell><cell r="T6624" t="str"><v>Developers & ITI's</v></cell><cell r="U6624" t="str"><v>AZR</v></cell><cell r="V6624" t="str"><v>Audience Targeting</v></cell><cell r="W6624" t="str"><v>NotApplicable</v></cell><cell r="X6624" t="str"><v>1x1</v></cell></row><row r="6624"><cell r="AA6624"><v>43329</v></cell><cell r="AB6624" t="str"><v>CAN_gaPMG_AZR_AZR_Q1_19_Trial-Social</v></cell><cell r="AC6624"><v>21337220</v></cell><cell r="AD6624"><v>720192</v></cell><cell r="AE6624" t="str"><v>Facebook</v></cell><cell r="AF6624"><v>3654128</v></cell><cell r="AG6624" t="str"><v>Facebook»AZR»1x1»SocialBan»NA»ALL»DYN»AUT»D»All»SS»NA»Free Acc Refresh - T1 - EN</v></cell><cell r="AH6624"><v>223691804</v></cell><cell r="AI6624" t="str"><v>AzurePlatform_FreeAcctAppsFACEBOOKLifestyleChA_CAN_1200x628_SOC_PLAT_EN_Trial_Standard_NA_SU_T1_1.png</v></cell><cell r="AJ6624"><v>103058717</v></cell></row><row r="6625"><cell r="C6625" t="str"><v>43329Facebook»AZR»1x1»SocialBan»NA»ALL»DYN»AUT»D»All»SS»NA»Free Acc Refresh - T1 - FR</v></cell><cell r="D6625" t="str"><v>43329223691762</v></cell><cell r="E6625" t="str"><v>433291029029741 - FR</v></cell><cell r="F6625" t="str"><v>DCM</v></cell><cell r="G6625" t="str"><v>https://azure.microsoft.com/fr-ca/free/search/</v></cell></row><row r="6625"><cell r="K6625" t="str"><v>August</v></cell><cell r="L6625"><v>43330</v></cell><cell r="M6625" t="str"><v>Tier 1</v></cell><cell r="N6625" t="str"><v>North America</v></cell><cell r="O6625" t="str"><v>Canada</v></cell><cell r="P6625" t="str"><v>Trial</v></cell><cell r="Q6625" t="str"><v>Social</v></cell><cell r="R6625" t="str"><v>Azure</v></cell><cell r="S6625" t="str"><v>Apps & Infra</v></cell><cell r="T6625" t="str"><v>Developers & ITI's</v></cell><cell r="U6625" t="str"><v>AZR</v></cell><cell r="V6625" t="str"><v>Audience Targeting</v></cell><cell r="W6625" t="str"><v>NotApplicable</v></cell><cell r="X6625" t="str"><v>1x1</v></cell></row><row r="6625"><cell r="AA6625"><v>43329</v></cell><cell r="AB6625" t="str"><v>CAN_gaPMG_AZR_AZR_Q1_19_Trial-Social</v></cell><cell r="AC6625"><v>21337220</v></cell><cell r="AD6625"><v>720192</v></cell><cell r="AE6625" t="str"><v>Facebook</v></cell><cell r="AF6625"><v>3654128</v></cell><cell r="AG6625" t="str"><v>Facebook»AZR»1x1»SocialBan»NA»ALL»DYN»AUT»D»All»SS»NA»Free Acc Refresh - T1 - FR</v></cell><cell r="AH6625"><v>223691762</v></cell><cell r="AI6625" t="str"><v>AzurePlatform_FreeAcctAppsFACEBOOKLifestyleChA_CAN_1200x628_SOC_PLAT_FR_Trial_Standard_NA_SU_T1_1.png</v></cell><cell r="AJ6625"><v>102902974</v></cell></row><row r="6626"><cell r="C6626" t="str"><v>43329Facebook»AZR»1x1»SocialBan»NA»ALL»DYN»AUT»D»All»SS»NA»Free Acc Refresh - T2 - EN</v></cell><cell r="D6626" t="str"><v>43329223691810</v></cell><cell r="E6626" t="str"><v>433291030587112 - EN</v></cell><cell r="F6626" t="str"><v>DCM</v></cell><cell r="G6626" t="str"><v>https://azure.microsoft.com/en-CA/free/search/</v></cell></row><row r="6626"><cell r="K6626" t="str"><v>August</v></cell><cell r="L6626"><v>43330</v></cell><cell r="M6626" t="str"><v>Tier 1</v></cell><cell r="N6626" t="str"><v>North America</v></cell><cell r="O6626" t="str"><v>Canada</v></cell><cell r="P6626" t="str"><v>Trial</v></cell><cell r="Q6626" t="str"><v>Social</v></cell><cell r="R6626" t="str"><v>Azure</v></cell><cell r="S6626" t="str"><v>Apps & Infra</v></cell><cell r="T6626" t="str"><v>Developers & ITI's</v></cell><cell r="U6626" t="str"><v>AZR</v></cell><cell r="V6626" t="str"><v>Audience Targeting</v></cell><cell r="W6626" t="str"><v>NotApplicable</v></cell><cell r="X6626" t="str"><v>1x1</v></cell></row><row r="6626"><cell r="AA6626"><v>43329</v></cell><cell r="AB6626" t="str"><v>CAN_gaPMG_AZR_AZR_Q1_19_Trial-Social</v></cell><cell r="AC6626"><v>21337220</v></cell><cell r="AD6626"><v>720192</v></cell><cell r="AE6626" t="str"><v>Facebook</v></cell><cell r="AF6626"><v>3654128</v></cell><cell r="AG6626" t="str"><v>Facebook»AZR»1x1»SocialBan»NA»ALL»DYN»AUT»D»All»SS»NA»Free Acc Refresh - T2 - EN</v></cell><cell r="AH6626"><v>223691810</v></cell><cell r="AI6626" t="str"><v>AzurePlatform_FreeAcctAppsFACEBOOKDeviceChB_CAN_1200x628_SOC_PLAT_EN_Trial_Standard_NA_SU_T2_1.png</v></cell><cell r="AJ6626"><v>103058711</v></cell></row><row r="6627"><cell r="C6627" t="str"><v>43329Facebook»AZR»1x1»SocialBan»NA»ALL»DYN»AUT»D»All»SS»NA»Free Acc Refresh - T2 - FR</v></cell><cell r="D6627" t="str"><v>43329223691768</v></cell><cell r="E6627" t="str"><v>433291029029712 - FR</v></cell><cell r="F6627" t="str"><v>DCM</v></cell><cell r="G6627" t="str"><v>https://azure.microsoft.com/fr-ca/free/search/</v></cell></row><row r="6627"><cell r="K6627" t="str"><v>August</v></cell><cell r="L6627"><v>43330</v></cell><cell r="M6627" t="str"><v>Tier 1</v></cell><cell r="N6627" t="str"><v>North America</v></cell><cell r="O6627" t="str"><v>Canada</v></cell><cell r="P6627" t="str"><v>Trial</v></cell><cell r="Q6627" t="str"><v>Social</v></cell><cell r="R6627" t="str"><v>Azure</v></cell><cell r="S6627" t="str"><v>Apps & Infra</v></cell><cell r="T6627" t="str"><v>Developers & ITI's</v></cell><cell r="U6627" t="str"><v>AZR</v></cell><cell r="V6627" t="str"><v>Audience Targeting</v></cell><cell r="W6627" t="str"><v>NotApplicable</v></cell><cell r="X6627" t="str"><v>1x1</v></cell></row><row r="6627"><cell r="AA6627"><v>43329</v></cell><cell r="AB6627" t="str"><v>CAN_gaPMG_AZR_AZR_Q1_19_Trial-Social</v></cell><cell r="AC6627"><v>21337220</v></cell><cell r="AD6627"><v>720192</v></cell><cell r="AE6627" t="str"><v>Facebook</v></cell><cell r="AF6627"><v>3654128</v></cell><cell r="AG6627" t="str"><v>Facebook»AZR»1x1»SocialBan»NA»ALL»DYN»AUT»D»All»SS»NA»Free Acc Refresh - T2 - FR</v></cell><cell r="AH6627"><v>223691768</v></cell><cell r="AI6627" t="str"><v>AzurePlatform_FreeAcctAppsFACEBOOKDeviceChB_CAN_1200x628_SOC_PLAT_FR_Trial_Standard_NA_SU_T2_1.png</v></cell><cell r="AJ6627"><v>102902971</v></cell></row><row r="6628"><cell r="C6628" t="str"><v>43329Facebook»AZR»1x1»SocialBan»NA»ALL»DYN»AUT»D»All»SS»NA»Free Acc Refresh - T3 - EN</v></cell><cell r="D6628" t="str"><v>43329223691807</v></cell><cell r="E6628" t="str"><v>433291029006853 - EN</v></cell><cell r="F6628" t="str"><v>DCM</v></cell><cell r="G6628" t="str"><v>https://azure.microsoft.com/en-CA/free/search/</v></cell></row><row r="6628"><cell r="K6628" t="str"><v>August</v></cell><cell r="L6628"><v>43330</v></cell><cell r="M6628" t="str"><v>Tier 1</v></cell><cell r="N6628" t="str"><v>North America</v></cell><cell r="O6628" t="str"><v>Canada</v></cell><cell r="P6628" t="str"><v>Trial</v></cell><cell r="Q6628" t="str"><v>Social</v></cell><cell r="R6628" t="str"><v>Azure</v></cell><cell r="S6628" t="str"><v>Apps & Infra</v></cell><cell r="T6628" t="str"><v>Developers & ITI's</v></cell><cell r="U6628" t="str"><v>AZR</v></cell><cell r="V6628" t="str"><v>Audience Targeting</v></cell><cell r="W6628" t="str"><v>NotApplicable</v></cell><cell r="X6628" t="str"><v>1x1</v></cell></row><row r="6628"><cell r="AA6628"><v>43329</v></cell><cell r="AB6628" t="str"><v>CAN_gaPMG_AZR_AZR_Q1_19_Trial-Social</v></cell><cell r="AC6628"><v>21337220</v></cell><cell r="AD6628"><v>720192</v></cell><cell r="AE6628" t="str"><v>Facebook</v></cell><cell r="AF6628"><v>3654128</v></cell><cell r="AG6628" t="str"><v>Facebook»AZR»1x1»SocialBan»NA»ALL»DYN»AUT»D»All»SS»NA»Free Acc Refresh - T3 - EN</v></cell><cell r="AH6628"><v>223691807</v></cell><cell r="AI6628" t="str"><v>AzurePlatform_FreeAcctAppsFACEBOOKIllustrationChC_CAN_1200x628_SOC_PLAT_EN_Trial_Standard_NA_SU_T3_1.png</v></cell><cell r="AJ6628"><v>102900685</v></cell></row><row r="6629"><cell r="C6629" t="str"><v>43329Facebook»AZR»1x1»SocialBan»NA»ALL»DYN»AUT»D»All»SS»NA»Free Acc Refresh - T3 - FR</v></cell><cell r="D6629" t="str"><v>43329223691765</v></cell><cell r="E6629" t="str"><v>433291030533323 - FR</v></cell><cell r="F6629" t="str"><v>DCM</v></cell><cell r="G6629" t="str"><v>https://azure.microsoft.com/fr-ca/free/search/</v></cell></row><row r="6629"><cell r="K6629" t="str"><v>August</v></cell><cell r="L6629"><v>43330</v></cell><cell r="M6629" t="str"><v>Tier 1</v></cell><cell r="N6629" t="str"><v>North America</v></cell><cell r="O6629" t="str"><v>Canada</v></cell><cell r="P6629" t="str"><v>Trial</v></cell><cell r="Q6629" t="str"><v>Social</v></cell><cell r="R6629" t="str"><v>Azure</v></cell><cell r="S6629" t="str"><v>Apps & Infra</v></cell><cell r="T6629" t="str"><v>Developers & ITI's</v></cell><cell r="U6629" t="str"><v>AZR</v></cell><cell r="V6629" t="str"><v>Audience Targeting</v></cell><cell r="W6629" t="str"><v>NotApplicable</v></cell><cell r="X6629" t="str"><v>1x1</v></cell></row><row r="6629"><cell r="AA6629"><v>43329</v></cell><cell r="AB6629" t="str"><v>CAN_gaPMG_AZR_AZR_Q1_19_Trial-Social</v></cell><cell r="AC6629"><v>21337220</v></cell><cell r="AD6629"><v>720192</v></cell><cell r="AE6629" t="str"><v>Facebook</v></cell><cell r="AF6629"><v>3654128</v></cell><cell r="AG6629" t="str"><v>Facebook»AZR»1x1»SocialBan»NA»ALL»DYN»AUT»D»All»SS»NA»Free Acc Refresh - T3 - FR</v></cell><cell r="AH6629"><v>223691765</v></cell><cell r="AI6629" t="str"><v>AzurePlatform_FreeAcctAppsFACEBOOKIllustrationChC_CAN_1200x628_SOC_PLAT_FR_Trial_Standard_NA_SU_T3_1.png</v></cell><cell r="AJ6629"><v>103053332</v></cell></row><row r="6630"><cell r="C6630" t="str"><v>43329Facebook»AZR»1x1»SocialBan»NA»ALL»DYN»AUT»D»All»SS»NA»Free Acc Refresh - T4 - EN</v></cell><cell r="D6630" t="str"><v>43329223691813</v></cell><cell r="E6630" t="str"><v>433291030533204 - EN</v></cell><cell r="F6630" t="str"><v>DCM</v></cell><cell r="G6630" t="str"><v>https://azure.microsoft.com/en-CA/free/search/</v></cell></row><row r="6630"><cell r="K6630" t="str"><v>August</v></cell><cell r="L6630"><v>43330</v></cell><cell r="M6630" t="str"><v>Tier 1</v></cell><cell r="N6630" t="str"><v>North America</v></cell><cell r="O6630" t="str"><v>Canada</v></cell><cell r="P6630" t="str"><v>Trial</v></cell><cell r="Q6630" t="str"><v>Social</v></cell><cell r="R6630" t="str"><v>Azure</v></cell><cell r="S6630" t="str"><v>Apps & Infra</v></cell><cell r="T6630" t="str"><v>Developers & ITI's</v></cell><cell r="U6630" t="str"><v>AZR</v></cell><cell r="V6630" t="str"><v>Audience Targeting</v></cell><cell r="W6630" t="str"><v>NotApplicable</v></cell><cell r="X6630" t="str"><v>1x1</v></cell></row><row r="6630"><cell r="AA6630"><v>43329</v></cell><cell r="AB6630" t="str"><v>CAN_gaPMG_AZR_AZR_Q1_19_Trial-Social</v></cell><cell r="AC6630"><v>21337220</v></cell><cell r="AD6630"><v>720192</v></cell><cell r="AE6630" t="str"><v>Facebook</v></cell><cell r="AF6630"><v>3654128</v></cell><cell r="AG6630" t="str"><v>Facebook»AZR»1x1»SocialBan»NA»ALL»DYN»AUT»D»All»SS»NA»Free Acc Refresh - T4 - EN</v></cell><cell r="AH6630"><v>223691813</v></cell><cell r="AI6630" t="str"><v>AzurePlatform_FreeAcctAppsFACEBOOK200CreditChD_CAN_1200x628_SOC_PLAT_EN_Trial_Standard_NA_SU_T4_1.png</v></cell><cell r="AJ6630"><v>103053320</v></cell></row><row r="6631"><cell r="C6631" t="str"><v>43329Facebook»AZR»1x1»SocialBan»NA»ALL»DYN»AUT»D»All»SS»NA»Free Acc Refresh - T4 - FR</v></cell><cell r="D6631" t="str"><v>43329223691771</v></cell><cell r="E6631" t="str"><v>433291029029684 - FR</v></cell><cell r="F6631" t="str"><v>DCM</v></cell><cell r="G6631" t="str"><v>https://azure.microsoft.com/fr-ca/free/search/</v></cell></row><row r="6631"><cell r="K6631" t="str"><v>August</v></cell><cell r="L6631"><v>43330</v></cell><cell r="M6631" t="str"><v>Tier 1</v></cell><cell r="N6631" t="str"><v>North America</v></cell><cell r="O6631" t="str"><v>Canada</v></cell><cell r="P6631" t="str"><v>Trial</v></cell><cell r="Q6631" t="str"><v>Social</v></cell><cell r="R6631" t="str"><v>Azure</v></cell><cell r="S6631" t="str"><v>Apps & Infra</v></cell><cell r="T6631" t="str"><v>Developers & ITI's</v></cell><cell r="U6631" t="str"><v>AZR</v></cell><cell r="V6631" t="str"><v>Audience Targeting</v></cell><cell r="W6631" t="str"><v>NotApplicable</v></cell><cell r="X6631" t="str"><v>1x1</v></cell></row><row r="6631"><cell r="AA6631"><v>43329</v></cell><cell r="AB6631" t="str"><v>CAN_gaPMG_AZR_AZR_Q1_19_Trial-Social</v></cell><cell r="AC6631"><v>21337220</v></cell><cell r="AD6631"><v>720192</v></cell><cell r="AE6631" t="str"><v>Facebook</v></cell><cell r="AF6631"><v>3654128</v></cell><cell r="AG6631" t="str"><v>Facebook»AZR»1x1»SocialBan»NA»ALL»DYN»AUT»D»All»SS»NA»Free Acc Refresh - T4 - FR</v></cell><cell r="AH6631"><v>223691771</v></cell><cell r="AI6631" t="str"><v>AzurePlatform_FreeAcctAppsFACEBOOK200CreditChD_CAN_1200x628_SOC_PLAT_FR_Trial_Standard_NA_SU_T4_1.png</v></cell><cell r="AJ6631"><v>102902968</v></cell></row><row r="6632"><cell r="C6632" t="str"><v>43329Facebook»AZR»1x1»SocialBan»NA»ALL»DYN»AUT»D»All»SS»NA»Free Acc Refresh - T5 - EN</v></cell><cell r="D6632" t="str"><v>43329223691816</v></cell><cell r="E6632" t="str"><v>433291029163415 - EN</v></cell><cell r="F6632" t="str"><v>DCM</v></cell><cell r="G6632" t="str"><v>https://azure.microsoft.com/en-CA/free/search/</v></cell></row><row r="6632"><cell r="K6632" t="str"><v>August</v></cell><cell r="L6632"><v>43330</v></cell><cell r="M6632" t="str"><v>Tier 1</v></cell><cell r="N6632" t="str"><v>North America</v></cell><cell r="O6632" t="str"><v>Canada</v></cell><cell r="P6632" t="str"><v>Trial</v></cell><cell r="Q6632" t="str"><v>Social</v></cell><cell r="R6632" t="str"><v>Azure</v></cell><cell r="S6632" t="str"><v>Apps & Infra</v></cell><cell r="T6632" t="str"><v>Developers & ITI's</v></cell><cell r="U6632" t="str"><v>AZR</v></cell><cell r="V6632" t="str"><v>Audience Targeting</v></cell><cell r="W6632" t="str"><v>NotApplicable</v></cell><cell r="X6632" t="str"><v>1x1</v></cell></row><row r="6632"><cell r="AA6632"><v>43329</v></cell><cell r="AB6632" t="str"><v>CAN_gaPMG_AZR_AZR_Q1_19_Trial-Social</v></cell><cell r="AC6632"><v>21337220</v></cell><cell r="AD6632"><v>720192</v></cell><cell r="AE6632" t="str"><v>Facebook</v></cell><cell r="AF6632"><v>3654128</v></cell><cell r="AG6632" t="str"><v>Facebook»AZR»1x1»SocialBan»NA»ALL»DYN»AUT»D»All»SS»NA»Free Acc Refresh - T5 - EN</v></cell><cell r="AH6632"><v>223691816</v></cell><cell r="AI6632" t="str"><v>AzurePlatform_FreeAcctAppsFACEBOOK12monthsChE_CAN_1200x628_SOC_PLAT_EN_Trial_Standard_NA_SU_T5_1.png</v></cell><cell r="AJ6632"><v>102916341</v></cell></row><row r="6633"><cell r="C6633" t="str"><v>43329Facebook»AZR»1x1»SocialBan»NA»ALL»DYN»AUT»D»All»SS»NA»Free Acc Refresh - T5 - FR</v></cell><cell r="D6633" t="str"><v>43329223691774</v></cell><cell r="E6633" t="str"><v>433291029163565 - FR</v></cell><cell r="F6633" t="str"><v>DCM</v></cell><cell r="G6633" t="str"><v>https://azure.microsoft.com/fr-ca/free/search/</v></cell></row><row r="6633"><cell r="K6633" t="str"><v>August</v></cell><cell r="L6633"><v>43330</v></cell><cell r="M6633" t="str"><v>Tier 1</v></cell><cell r="N6633" t="str"><v>North America</v></cell><cell r="O6633" t="str"><v>Canada</v></cell><cell r="P6633" t="str"><v>Trial</v></cell><cell r="Q6633" t="str"><v>Social</v></cell><cell r="R6633" t="str"><v>Azure</v></cell><cell r="S6633" t="str"><v>Apps & Infra</v></cell><cell r="T6633" t="str"><v>Developers & ITI's</v></cell><cell r="U6633" t="str"><v>AZR</v></cell><cell r="V6633" t="str"><v>Audience Targeting</v></cell><cell r="W6633" t="str"><v>NotApplicable</v></cell><cell r="X6633" t="str"><v>1x1</v></cell></row><row r="6633"><cell r="AA6633"><v>43329</v></cell><cell r="AB6633" t="str"><v>CAN_gaPMG_AZR_AZR_Q1_19_Trial-Social</v></cell><cell r="AC6633"><v>21337220</v></cell><cell r="AD6633"><v>720192</v></cell><cell r="AE6633" t="str"><v>Facebook</v></cell><cell r="AF6633"><v>3654128</v></cell><cell r="AG6633" t="str"><v>Facebook»AZR»1x1»SocialBan»NA»ALL»DYN»AUT»D»All»SS»NA»Free Acc Refresh - T5 - FR</v></cell><cell r="AH6633"><v>223691774</v></cell><cell r="AI6633" t="str"><v>AzurePlatform_FreeAcctAppsFACEBOOK12monthsChE_CAN_1200x628_SOC_PLAT_FR_Trial_Standard_NA_SU_T5_1.png</v></cell><cell r="AJ6633"><v>102916356</v></cell></row><row r="6634"><cell r="C6634" t="str"><v>43329Facebook»AZR»1x1»SocialBan»NA»ALL»DYN»RT»D»All»SS»NA» Free Account Retargeting OSS - T2 - EN</v></cell><cell r="D6634" t="str"><v>43329223691831</v></cell><cell r="E6634" t="str"><v>433291029138002 - EN</v></cell><cell r="F6634" t="str"><v>DCM</v></cell><cell r="G6634" t="str"><v>https://azure.microsoft.com/en-ca/free/open-source/search/</v></cell></row><row r="6634"><cell r="K6634" t="str"><v>August</v></cell><cell r="L6634"><v>43330</v></cell><cell r="M6634" t="str"><v>Tier 1</v></cell><cell r="N6634" t="str"><v>North America</v></cell><cell r="O6634" t="str"><v>Canada</v></cell><cell r="P6634" t="str"><v>Trial</v></cell><cell r="Q6634" t="str"><v>Social</v></cell><cell r="R6634" t="str"><v>Azure</v></cell><cell r="S6634" t="str"><v>Apps & Infra</v></cell><cell r="T6634" t="str"><v>Developers & ITI's</v></cell><cell r="U6634" t="str"><v>AZR</v></cell><cell r="V6634" t="str"><v>Retargeting</v></cell><cell r="W6634" t="str"><v>NotApplicable</v></cell><cell r="X6634" t="str"><v>1x1</v></cell></row><row r="6634"><cell r="AA6634"><v>43329</v></cell><cell r="AB6634" t="str"><v>CAN_gaPMG_AZR_AZR_Q1_19_Trial-Social</v></cell><cell r="AC6634"><v>21337220</v></cell><cell r="AD6634"><v>720192</v></cell><cell r="AE6634" t="str"><v>Facebook</v></cell><cell r="AF6634"><v>3654128</v></cell><cell r="AG6634" t="str"><v>Facebook»AZR»1x1»SocialBan»NA»ALL»DYN»RT»D»All»SS»NA» Free Account Retargeting OSS - T2 - EN</v></cell><cell r="AH6634"><v>223691831</v></cell><cell r="AI6634" t="str"><v>AzurePlatform_FreeAcctRetargetingOSSFB-Logos-ChG_CAN_1200x628_SOC_Plat_EN_Free Account_Standard_NA_SU_T2_1</v></cell><cell r="AJ6634"><v>102913800</v></cell></row><row r="6635"><cell r="C6635" t="str"><v>43329Facebook»AZR»1x1»SocialBan»NA»ALL»DYN»RT»D»All»SS»NA»Free Account Retargeting Generic - T2 - EN</v></cell><cell r="D6635" t="str"><v>43329223691834</v></cell><cell r="E6635" t="str"><v>433291029029532 - EN</v></cell><cell r="F6635" t="str"><v>DCM</v></cell><cell r="G6635" t="str"><v>https://azure.microsoft.com/en-CA/free/search/</v></cell></row><row r="6635"><cell r="K6635" t="str"><v>August</v></cell><cell r="L6635"><v>43330</v></cell><cell r="M6635" t="str"><v>Tier 1</v></cell><cell r="N6635" t="str"><v>North America</v></cell><cell r="O6635" t="str"><v>Canada</v></cell><cell r="P6635" t="str"><v>Trial</v></cell><cell r="Q6635" t="str"><v>Social</v></cell><cell r="R6635" t="str"><v>Azure</v></cell><cell r="S6635" t="str"><v>Apps & Infra</v></cell><cell r="T6635" t="str"><v>Developers & ITI's</v></cell><cell r="U6635" t="str"><v>AZR</v></cell><cell r="V6635" t="str"><v>Retargeting</v></cell><cell r="W6635" t="str"><v>NotApplicable</v></cell><cell r="X6635" t="str"><v>1x1</v></cell></row><row r="6635"><cell r="AA6635"><v>43329</v></cell><cell r="AB6635" t="str"><v>CAN_gaPMG_AZR_AZR_Q1_19_Trial-Social</v></cell><cell r="AC6635"><v>21337220</v></cell><cell r="AD6635"><v>720192</v></cell><cell r="AE6635" t="str"><v>Facebook</v></cell><cell r="AF6635"><v>3654128</v></cell><cell r="AG6635" t="str"><v>Facebook»AZR»1x1»SocialBan»NA»ALL»DYN»RT»D»All»SS»NA»Free Account Retargeting Generic - T2 - EN</v></cell><cell r="AH6635"><v>223691834</v></cell><cell r="AI6635" t="str"><v>AzurePlatform_FreeAcctRetargetingFB-GlobalAlt-ChB_CAN_1200x628_SOC_Plat_EN_Free Account_Standard_NA_SU_T2_1</v></cell><cell r="AJ6635"><v>102902953</v></cell></row><row r="6636"><cell r="C6636" t="str"><v>43329Facebook»AZR»1x1»SocialBan»NA»ALL»DYN»RT»D»All»SS»NA»Free Account Retargeting Generic - T3 - FR</v></cell><cell r="D6636" t="str"><v>43329223691777</v></cell><cell r="E6636" t="str"><v>433291029006973 - FR</v></cell><cell r="F6636" t="str"><v>DCM</v></cell><cell r="G6636" t="str"><v>https://azure.microsoft.com/fr-ca/free/search/</v></cell></row><row r="6636"><cell r="K6636" t="str"><v>August</v></cell><cell r="L6636"><v>43330</v></cell><cell r="M6636" t="str"><v>Tier 1</v></cell><cell r="N6636" t="str"><v>North America</v></cell><cell r="O6636" t="str"><v>Canada</v></cell><cell r="P6636" t="str"><v>Trial</v></cell><cell r="Q6636" t="str"><v>Social</v></cell><cell r="R6636" t="str"><v>Azure</v></cell><cell r="S6636" t="str"><v>Apps & Infra</v></cell><cell r="T6636" t="str"><v>Developers & ITI's</v></cell><cell r="U6636" t="str"><v>AZR</v></cell><cell r="V6636" t="str"><v>Retargeting</v></cell><cell r="W6636" t="str"><v>NotApplicable</v></cell><cell r="X6636" t="str"><v>1x1</v></cell></row><row r="6636"><cell r="AA6636"><v>43329</v></cell><cell r="AB6636" t="str"><v>CAN_gaPMG_AZR_AZR_Q1_19_Trial-Social</v></cell><cell r="AC6636"><v>21337220</v></cell><cell r="AD6636"><v>720192</v></cell><cell r="AE6636" t="str"><v>Facebook</v></cell><cell r="AF6636"><v>3654128</v></cell><cell r="AG6636" t="str"><v>Facebook»AZR»1x1»SocialBan»NA»ALL»DYN»RT»D»All»SS»NA»Free Account Retargeting Generic - T3 - FR</v></cell><cell r="AH6636"><v>223691777</v></cell><cell r="AI6636" t="str"><v>AzurePlatform_FreeAcctRetargetingFB-Animated-ChC_CAN_1200x628_SOC_Plat_FR_Free Account_Standard_ANI_SU_T3_1</v></cell><cell r="AJ6636"><v>102900697</v></cell></row><row r="6637"><cell r="C6637" t="str"><v>43329Facebook»AZR»1x1»SocialBan»NA»ALL»DYN»RT»D»All»SS»NA»Free Account Retargeting VM - T1 - EN</v></cell><cell r="D6637" t="str"><v>43329223691825</v></cell><cell r="E6637" t="str"><v>433291029163381 - EN</v></cell><cell r="F6637" t="str"><v>DCM</v></cell><cell r="G6637" t="str"><v>https://azure.microsoft.com/en-ca/free/virtual-machines/search/</v></cell></row><row r="6637"><cell r="K6637" t="str"><v>August</v></cell><cell r="L6637"><v>43330</v></cell><cell r="M6637" t="str"><v>Tier 1</v></cell><cell r="N6637" t="str"><v>North America</v></cell><cell r="O6637" t="str"><v>Canada</v></cell><cell r="P6637" t="str"><v>Trial</v></cell><cell r="Q6637" t="str"><v>Social</v></cell><cell r="R6637" t="str"><v>Azure</v></cell><cell r="S6637" t="str"><v>Apps & Infra</v></cell><cell r="T6637" t="str"><v>Developers & ITI's</v></cell><cell r="U6637" t="str"><v>AZR</v></cell><cell r="V6637" t="str"><v>Retargeting</v></cell><cell r="W6637" t="str"><v>NotApplicable</v></cell><cell r="X6637" t="str"><v>1x1</v></cell></row><row r="6637"><cell r="AA6637"><v>43329</v></cell><cell r="AB6637" t="str"><v>CAN_gaPMG_AZR_AZR_Q1_19_Trial-Social</v></cell><cell r="AC6637"><v>21337220</v></cell><cell r="AD6637"><v>720192</v></cell><cell r="AE6637" t="str"><v>Facebook</v></cell><cell r="AF6637"><v>3654128</v></cell><cell r="AG6637" t="str"><v>Facebook»AZR»1x1»SocialBan»NA»ALL»DYN»RT»D»All»SS»NA»Free Account Retargeting VM - T1 - EN</v></cell><cell r="AH6637"><v>223691825</v></cell><cell r="AI6637" t="str"><v>AzurePlatform_FreeAcctRetargetingVMFB-750Hrs-ChD_CAN_1200x628_SOC_Plat_EN_Free Account_Standard_NA_SU_T1_1</v></cell><cell r="AJ6637"><v>102916338</v></cell></row><row r="6638"><cell r="C6638" t="str"><v>43329Facebook»AZR»1x1»SocialBan»NA»ALL»DYN»RT»D»All»SS»NA»Free Account Retargeting VM - T2 - EN</v></cell><cell r="D6638" t="str"><v>43329223691822</v></cell><cell r="E6638" t="str"><v>433291030587082 - EN</v></cell><cell r="F6638" t="str"><v>DCM</v></cell><cell r="G6638" t="str"><v>https://azure.microsoft.com/en-ca/free/virtual-machines/search/</v></cell></row><row r="6638"><cell r="K6638" t="str"><v>August</v></cell><cell r="L6638"><v>43330</v></cell><cell r="M6638" t="str"><v>Tier 1</v></cell><cell r="N6638" t="str"><v>North America</v></cell><cell r="O6638" t="str"><v>Canada</v></cell><cell r="P6638" t="str"><v>Trial</v></cell><cell r="Q6638" t="str"><v>Social</v></cell><cell r="R6638" t="str"><v>Azure</v></cell><cell r="S6638" t="str"><v>Apps & Infra</v></cell><cell r="T6638" t="str"><v>Developers & ITI's</v></cell><cell r="U6638" t="str"><v>AZR</v></cell><cell r="V6638" t="str"><v>Retargeting</v></cell><cell r="W6638" t="str"><v>NotApplicable</v></cell><cell r="X6638" t="str"><v>1x1</v></cell></row><row r="6638"><cell r="AA6638"><v>43329</v></cell><cell r="AB6638" t="str"><v>CAN_gaPMG_AZR_AZR_Q1_19_Trial-Social</v></cell><cell r="AC6638"><v>21337220</v></cell><cell r="AD6638"><v>720192</v></cell><cell r="AE6638" t="str"><v>Facebook</v></cell><cell r="AF6638"><v>3654128</v></cell><cell r="AG6638" t="str"><v>Facebook»AZR»1x1»SocialBan»NA»ALL»DYN»RT»D»All»SS»NA»Free Account Retargeting VM - T2 - EN</v></cell><cell r="AH6638"><v>223691822</v></cell><cell r="AI6638" t="str"><v>AzurePlatform_FreeAcctRetargetingVMFB-OnDemand-ChE_CAN_1200x628_SOC_Plat_EN_Free Account_Standard_NA_SU_T2_1</v></cell><cell r="AJ6638"><v>103058708</v></cell></row><row r="6639"><cell r="C6639" t="str"><v>43329Facebook»DEV-ITP-AZR-FB|CanvasAds|Interesttargeting»1x1»TextLink»CAN»DT»CPM»AUT»W»NA»SS»NA»39684020-11000</v></cell><cell r="D6639" t="str"><v>43329224009494</v></cell><cell r="E6639" t="str"><v>43329103236186-11000</v></cell><cell r="F6639" t="str"><v>DCM</v></cell><cell r="G6639" t="str"><v>https://signup.azure.com/signup?offer=ms-azr-0044p&appId=102&ref=paidmedia-social-fb&redirectURL=https%3a%2f%2fazure.microsoft.com%2fde-de%2fget-started%2fwelcome-to-azure%2f&l=de-de&correlationId=ead86c34-1f10-49dd-a72b-6918462a2cbf</v></cell></row><row r="6639"><cell r="K6639" t="str"><v>August</v></cell><cell r="L6639"><v>43330</v></cell><cell r="M6639" t="str"><v>Tier 1</v></cell><cell r="N6639" t="str"><v>EMEA</v></cell><cell r="O6639" t="str"><v>Germany</v></cell><cell r="P6639" t="str"><v>Trial</v></cell><cell r="Q6639" t="str"><v>Social</v></cell><cell r="R6639" t="str"><v>Azure</v></cell><cell r="S6639" t="str"><v>Apps & Infra</v></cell><cell r="T6639" t="str"><v>Developers & ITI's</v></cell><cell r="U6639" t="str"><v>DEV-ITP-AZR-FB|CanvasAds|Interesttargeting</v></cell><cell r="V6639" t="str"><v>Audience Targeting</v></cell><cell r="W6639" t="str"><v>Canvas Ad</v></cell><cell r="X6639" t="str"><v>1x1</v></cell></row><row r="6639"><cell r="AA6639"><v>43329</v></cell><cell r="AB6639" t="str"><v>DEU_gaPMG_AZR_AZR_Q1_19_Trial-Social- 39684</v></cell><cell r="AC6639"><v>21359477</v></cell><cell r="AD6639"><v>720194</v></cell><cell r="AE6639" t="str"><v>Facebook</v></cell><cell r="AF6639"><v>3654128</v></cell><cell r="AG6639" t="str"><v>Facebook»DEV-ITP-AZR-FB|CanvasAds|Interesttargeting»1x1»TextLink»CAN»DT»CPM»AUT»W»NA»SS»NA»39684020-11000</v></cell><cell r="AH6639"><v>224009494</v></cell><cell r="AI6639" t="str"><v>AzurePlatform_FBCTCBasicMotion-StartFreeCT_DEU_10s_ISV_PLAT_DE_Trial_Standard_STAN_TN_T1_1</v></cell><cell r="AJ6639"><v>103236186</v></cell></row><row r="6640"><cell r="C6640" t="str"><v>43329Facebook»DEV-ITP-AZR-FB|CanvasAds|Interesttargeting»1x1»TextLink»CAN»DT»CPM»AUT»W»NA»SS»NA»39684020-11000</v></cell><cell r="D6640" t="str"><v>43329224009494</v></cell><cell r="E6640" t="str"><v>43329103237290-11000</v></cell><cell r="F6640" t="str"><v>DCM</v></cell><cell r="G6640" t="str"><v>https://signup.azure.com/signup?offer=ms-azr-0044p&appId=102&ref=paidmedia-social-fb&redirectURL=https%3a%2f%2fazure.microsoft.com%2fde-de%2fget-started%2fwelcome-to-azure%2f&l=de-de&correlationId=ead86c34-1f10-49dd-a72b-6918462a2cbf</v></cell></row><row r="6640"><cell r="K6640" t="str"><v>August</v></cell><cell r="L6640"><v>43330</v></cell><cell r="M6640" t="str"><v>Tier 1</v></cell><cell r="N6640" t="str"><v>EMEA</v></cell><cell r="O6640" t="str"><v>Germany</v></cell><cell r="P6640" t="str"><v>Trial</v></cell><cell r="Q6640" t="str"><v>Social</v></cell><cell r="R6640" t="str"><v>Azure</v></cell><cell r="S6640" t="str"><v>Apps & Infra</v></cell><cell r="T6640" t="str"><v>Developers & ITI's</v></cell><cell r="U6640" t="str"><v>DEV-ITP-AZR-FB|CanvasAds|Interesttargeting</v></cell><cell r="V6640" t="str"><v>Audience Targeting</v></cell><cell r="W6640" t="str"><v>Canvas Ad</v></cell><cell r="X6640" t="str"><v>1x1</v></cell></row><row r="6640"><cell r="AA6640"><v>43329</v></cell><cell r="AB6640" t="str"><v>DEU_gaPMG_AZR_AZR_Q1_19_Trial-Social- 39684</v></cell><cell r="AC6640"><v>21359477</v></cell><cell r="AD6640"><v>720194</v></cell><cell r="AE6640" t="str"><v>Facebook</v></cell><cell r="AF6640"><v>3654128</v></cell><cell r="AG6640" t="str"><v>Facebook»DEV-ITP-AZR-FB|CanvasAds|Interesttargeting»1x1»TextLink»CAN»DT»CPM»AUT»W»NA»SS»NA»39684020-11000</v></cell><cell r="AH6640"><v>224009494</v></cell><cell r="AI6640" t="str"><v>AzurePlatform_FBCTCBenefit2inMotion-StartFreeCT_DEU_14s_ISV_PLAT_DE_Trial_Standard_STAN_TN_T4_1</v></cell><cell r="AJ6640"><v>103237290</v></cell></row><row r="6641"><cell r="C6641" t="str"><v>43329Facebook»DEV-ITP-AZR-FB|CanvasAds|Interesttargeting»1x1»TextLink»CAN»DT»CPM»AUT»W»NA»SS»NA»39684020-11000</v></cell><cell r="D6641" t="str"><v>43329224009494</v></cell><cell r="E6641" t="str"><v>43329103237293-11000</v></cell><cell r="F6641" t="str"><v>DCM</v></cell><cell r="G6641" t="str"><v>https://signup.azure.com/signup?offer=ms-azr-0044p&appId=102&ref=paidmedia-social-fb&redirectURL=https%3a%2f%2fazure.microsoft.com%2fde-de%2fget-started%2fwelcome-to-azure%2f&l=de-de&correlationId=ead86c34-1f10-49dd-a72b-6918462a2cbf</v></cell></row><row r="6641"><cell r="K6641" t="str"><v>August</v></cell><cell r="L6641"><v>43330</v></cell><cell r="M6641" t="str"><v>Tier 1</v></cell><cell r="N6641" t="str"><v>EMEA</v></cell><cell r="O6641" t="str"><v>Germany</v></cell><cell r="P6641" t="str"><v>Trial</v></cell><cell r="Q6641" t="str"><v>Social</v></cell><cell r="R6641" t="str"><v>Azure</v></cell><cell r="S6641" t="str"><v>Apps & Infra</v></cell><cell r="T6641" t="str"><v>Developers & ITI's</v></cell><cell r="U6641" t="str"><v>DEV-ITP-AZR-FB|CanvasAds|Interesttargeting</v></cell><cell r="V6641" t="str"><v>Audience Targeting</v></cell><cell r="W6641" t="str"><v>Canvas Ad</v></cell><cell r="X6641" t="str"><v>1x1</v></cell></row><row r="6641"><cell r="AA6641"><v>43329</v></cell><cell r="AB6641" t="str"><v>DEU_gaPMG_AZR_AZR_Q1_19_Trial-Social- 39684</v></cell><cell r="AC6641"><v>21359477</v></cell><cell r="AD6641"><v>720194</v></cell><cell r="AE6641" t="str"><v>Facebook</v></cell><cell r="AF6641"><v>3654128</v></cell><cell r="AG6641" t="str"><v>Facebook»DEV-ITP-AZR-FB|CanvasAds|Interesttargeting»1x1»TextLink»CAN»DT»CPM»AUT»W»NA»SS»NA»39684020-11000</v></cell><cell r="AH6641"><v>224009494</v></cell><cell r="AI6641" t="str"><v>AzurePlatform_FBCTCBrandinMotion-StartFreeCT_DEU_12s_ISV_PLAT_DE_Trial_Standard_STAN_TN_T2_1</v></cell><cell r="AJ6641"><v>103237293</v></cell></row><row r="6642"><cell r="C6642" t="str"><v>43329Facebook»DEV-ITP-AZR-FB|LinkAd|CustomerAudienceRetargeting»1x1»TextLink»LIA»DT»CPM»RT»W»NA»SS»NA»39684019-11000</v></cell><cell r="D6642" t="str"><v>43329224010415</v></cell><cell r="E6642" t="str"><v>43329103040320-11000</v></cell><cell r="F6642" t="str"><v>DCM</v></cell><cell r="G6642" t="str"><v>https://azure.microsoft.com/de-de/free/search/</v></cell></row><row r="6642"><cell r="K6642" t="str"><v>August</v></cell><cell r="L6642"><v>43330</v></cell><cell r="M6642" t="str"><v>Tier 1</v></cell><cell r="N6642" t="str"><v>EMEA</v></cell><cell r="O6642" t="str"><v>Germany</v></cell><cell r="P6642" t="str"><v>Trial</v></cell><cell r="Q6642" t="str"><v>Social</v></cell><cell r="R6642" t="str"><v>Azure</v></cell><cell r="S6642" t="str"><v>Apps & Infra</v></cell><cell r="T6642" t="str"><v>Developers & ITI's</v></cell><cell r="U6642" t="str"><v>DEV-ITP-AZR-FB|LinkAd|CustomerAudienceRetargeting</v></cell><cell r="V6642" t="str"><v>Retargeting</v></cell><cell r="W6642" t="str"><v>Link Ad</v></cell><cell r="X6642" t="str"><v>1x1</v></cell></row><row r="6642"><cell r="AA6642"><v>43329</v></cell><cell r="AB6642" t="str"><v>DEU_gaPMG_AZR_AZR_Q1_19_Trial-Social- 39684</v></cell><cell r="AC6642"><v>21359477</v></cell><cell r="AD6642"><v>720194</v></cell><cell r="AE6642" t="str"><v>Facebook</v></cell><cell r="AF6642"><v>3654128</v></cell><cell r="AG6642" t="str"><v>Facebook»DEV-ITP-AZR-FB|LinkAd|CustomerAudienceRetargeting»1x1»TextLink»LIA»DT»CPM»RT»W»NA»SS»NA»39684019-11000</v></cell><cell r="AH6642"><v>224010415</v></cell><cell r="AI6642" t="str"><v>AzurePlatform_FreeAcctRetargetingFB-GlobalAlt-ChB_DEU_1200x628_SOC_Plat_DE_Free Account_Standard_NA_SNU_T2_1</v></cell><cell r="AJ6642"><v>103040320</v></cell></row><row r="6643"><cell r="C6643" t="str"><v>43329Facebook»Developers-Azure Direct-Sponsored Post_Trial_PayGo-Video Ad-Free Account Developer - Generic»1x1»30s»SOC»ALL»CPC»LAL»D»UNK»SS»NA»Trials</v></cell><cell r="D6643" t="str"><v>43329226359953</v></cell><cell r="E6643" t="str"><v>43329104537129Trials</v></cell><cell r="F6643" t="str"><v>DCM</v></cell><cell r="G6643" t="str"><v>https://signup.azure.com/signup?offer=ms-azr-0044p&appId=102&ref=paidmedia-social-fb&redirectURL=https%3a%2f%2fazure.microsoft.com%2ffr-fr%2fget-started%2fwelcome-to-azure%2f&l=fr-fr&correlationId=ead86c34-1f10-49dd-a72b-6918462a2cbf</v></cell></row><row r="6643"><cell r="K6643" t="str"><v>August</v></cell><cell r="L6643"><v>43330</v></cell><cell r="M6643" t="str"><v>Tier 1</v></cell><cell r="N6643" t="str"><v>EMEA</v></cell><cell r="O6643" t="str"><v>France</v></cell><cell r="P6643" t="str"><v>Trial</v></cell><cell r="Q6643" t="str"><v>Social</v></cell><cell r="R6643" t="str"><v>Azure</v></cell><cell r="S6643" t="str"><v>Apps & Infra</v></cell><cell r="T6643" t="str"><v>Developers & ITI's</v></cell><cell r="U6643" t="str"><v>Developers-Azure Direct-Sponsored Post_Trial_PayGo-Video Ad-Free Account Developer - Generic</v></cell><cell r="V6643" t="str"><v>Lookalike Targeting</v></cell><cell r="W6643" t="str"><v>Social</v></cell><cell r="X6643" t="str"><v>1x1</v></cell></row><row r="6643"><cell r="AA6643"><v>43329</v></cell><cell r="AB6643" t="str"><v>FRA_gaPMG_AZR_AZR_Q1_19_AzureDirect-Trial-Social</v></cell><cell r="AC6643"><v>21356941</v></cell><cell r="AD6643"><v>720193</v></cell><cell r="AE6643" t="str"><v>Facebook</v></cell><cell r="AF6643"><v>3654128</v></cell><cell r="AG6643" t="str"><v>Facebook»Developers-Azure Direct-Sponsored Post_Trial_PayGo-Video Ad-Free Account Developer - Generic»1x1»30s»SOC»ALL»CPC»LAL»D»UNK»SS»NA»Trials</v></cell><cell r="AH6643"><v>226359953</v></cell><cell r="AI6643" t="str"><v>AZR_FreeAcctDeveloperFB-AnimatedGeneric-Ch1_FRA_1200x1200_VIA_AZRDirect_French_NA_Facebook_STAN_LEA_T1_1</v></cell><cell r="AJ6643"><v>104537129</v></cell></row><row r="6644"><cell r="C6644" t="str"><v>43329Facebook»Developers/ITPros-Azure Direct-Sponsored Post-Canvas-FBCTCcanvaspage-StartFreeCTA-Img2_FBCTCBrandinMotion_FRA_14sec»1x1»Canvas»SOC»ALL»CPC»BT»D»UNK»SS»NA»Trials</v></cell><cell r="D6644" t="str"><v>43329224560872</v></cell><cell r="E6644" t="str"><v>43329103259958Trials</v></cell><cell r="F6644" t="str"><v>DCM</v></cell><cell r="G6644" t="str"><v>https://signup.azure.com/signup?offer=ms-azr-0044p&appId=102&ref=paidmedia-social-fb&redirectURL=https%3a%2f%2fazure.microsoft.com%2ffr-fr%2fget-started%2fwelcome-to-azure%2f&l=fr-fr&correlationId=ead86c34-1f10-49dd-a72b-6918462a2cbf</v></cell></row><row r="6644"><cell r="K6644" t="str"><v>August</v></cell><cell r="L6644"><v>43330</v></cell><cell r="M6644" t="str"><v>Tier 1</v></cell><cell r="N6644" t="str"><v>EMEA</v></cell><cell r="O6644" t="str"><v>France</v></cell><cell r="P6644" t="str"><v>Trial</v></cell><cell r="Q6644" t="str"><v>Social</v></cell><cell r="R6644" t="str"><v>Azure</v></cell><cell r="S6644" t="str"><v>Apps & Infra</v></cell><cell r="T6644" t="str"><v>Developers & ITI's</v></cell><cell r="U6644" t="str"><v>Developers/ITPros-Azure Direct-Sponsored Post-Canvas-FBCTCcanvaspage-StartFreeCTA-Img2_FBCTCBrandinMotion_FRA_14sec</v></cell><cell r="V6644" t="str"><v>Behavioral Targeting</v></cell><cell r="W6644" t="str"><v>Social</v></cell><cell r="X6644" t="str"><v>1x1</v></cell></row><row r="6644"><cell r="AA6644"><v>43329</v></cell><cell r="AB6644" t="str"><v>FRA_gaPMG_AZR_AZR_Q1_19_AzureDirect-Trial-Social</v></cell><cell r="AC6644"><v>21356941</v></cell><cell r="AD6644"><v>720193</v></cell><cell r="AE6644" t="str"><v>Facebook</v></cell><cell r="AF6644"><v>3654128</v></cell><cell r="AG6644" t="str"><v>Facebook»Developers/ITPros-Azure Direct-Sponsored Post-Canvas-FBCTCcanvaspage-StartFreeCTA-Img2_FBCTCBrandinMotion_FRA_14sec»1x1»Canvas»SOC»ALL»CPC»BT»D»UNK»SS»NA»Trials</v></cell><cell r="AH6644"><v>224560872</v></cell><cell r="AI6644" t="str"><v>AZR_FBCTCcanvaspage-StartFreeCTA-Img2_FRA_1080x143_SOC_AZRDirect_French_NA_Facebook_SBAN_BN_T2_1</v></cell><cell r="AJ6644"><v>103259958</v></cell></row><row r="6645"><cell r="C6645" t="str"><v>43329Facebook»Developers/ITPros-Azure Direct-Sponsored Post-Link Ad-FreeAcctRetargetingFB-GlobalAlt-ChB»1x1»SocialBan»SOC»ALL»CPC»BT»D»UNK»SS»NA»Trials</v></cell><cell r="D6645" t="str"><v>43329224560845</v></cell><cell r="E6645" t="str"><v>43329103259520Trials</v></cell><cell r="F6645" t="str"><v>DCM</v></cell><cell r="G6645" t="str"><v>https://azure.microsoft.com/fr-fr/free/search/</v></cell></row><row r="6645"><cell r="K6645" t="str"><v>August</v></cell><cell r="L6645"><v>43330</v></cell><cell r="M6645" t="str"><v>Tier 1</v></cell><cell r="N6645" t="str"><v>EMEA</v></cell><cell r="O6645" t="str"><v>France</v></cell><cell r="P6645" t="str"><v>Trial</v></cell><cell r="Q6645" t="str"><v>Social</v></cell><cell r="R6645" t="str"><v>Azure</v></cell><cell r="S6645" t="str"><v>Apps & Infra</v></cell><cell r="T6645" t="str"><v>Developers & ITI's</v></cell><cell r="U6645" t="str"><v>Developers/ITPros-Azure Direct-Sponsored Post-Link Ad-FreeAcctRetargetingFB-GlobalAlt-ChB</v></cell><cell r="V6645" t="str"><v>Behavioral Targeting</v></cell><cell r="W6645" t="str"><v>Social</v></cell><cell r="X6645" t="str"><v>1x1</v></cell></row><row r="6645"><cell r="AA6645"><v>43329</v></cell><cell r="AB6645" t="str"><v>FRA_gaPMG_AZR_AZR_Q1_19_AzureDirect-Trial-Social</v></cell><cell r="AC6645"><v>21356941</v></cell><cell r="AD6645"><v>720193</v></cell><cell r="AE6645" t="str"><v>Facebook</v></cell><cell r="AF6645"><v>3654128</v></cell><cell r="AG6645" t="str"><v>Facebook»Developers/ITPros-Azure Direct-Sponsored Post-Link Ad-FreeAcctRetargetingFB-GlobalAlt-ChB»1x1»SocialBan»SOC»ALL»CPC»BT»D»UNK»SS»NA»Trials</v></cell><cell r="AH6645"><v>224560845</v></cell><cell r="AI6645" t="str"><v>AZR_FreeAcctRetargetingFB-GlobalAlt-ChB_FRA_1200x628_SOC_AZRDirect_French_NA_Facebook_SBAN_SINU_T2_1</v></cell><cell r="AJ6645"><v>103259520</v></cell></row><row r="6646"><cell r="C6646" t="str"><v>43329Facebook»Developers/ITPros-Azure Direct-Sponsored Post-Video Ad-FBCTCBasicMotion_FRA_10s_RTG Landing Page»1x1»05s»SOC»ALL»CPC»BT»D»UNK»SS»NA»Trials</v></cell><cell r="D6646" t="str"><v>43329224416915</v></cell><cell r="E6646" t="str"><v>43329103376981Trials</v></cell><cell r="F6646" t="str"><v>DCM</v></cell></row><row r="6646"><cell r="K6646" t="str"><v>August</v></cell><cell r="L6646"><v>43330</v></cell><cell r="M6646" t="str"><v>Tier 1</v></cell><cell r="N6646" t="str"><v>EMEA</v></cell><cell r="O6646" t="str"><v>France</v></cell><cell r="P6646" t="str"><v>Trial</v></cell><cell r="Q6646" t="str"><v>Social</v></cell><cell r="R6646" t="str"><v>Azure</v></cell><cell r="S6646" t="str"><v>Apps & Infra</v></cell><cell r="T6646" t="str"><v>Developers & ITI's</v></cell><cell r="U6646" t="str"><v>Developers/ITPros-Azure Direct-Sponsored Post-Video Ad-FBCTCBasicMotion_FRA_10s_RTG Landing Page</v></cell><cell r="V6646" t="str"><v>Behavioral Targeting</v></cell><cell r="W6646" t="str"><v>Social</v></cell><cell r="X6646" t="str"><v>1x1</v></cell></row><row r="6646"><cell r="AA6646"><v>43329</v></cell><cell r="AB6646" t="str"><v>FRA_gaPMG_AZR_AZR_Q1_19_AzureDirect-Trial-Social</v></cell><cell r="AC6646"><v>21356941</v></cell><cell r="AD6646"><v>720193</v></cell><cell r="AE6646" t="str"><v>Facebook</v></cell><cell r="AF6646"><v>3654128</v></cell><cell r="AG6646" t="str"><v>Facebook»Developers/ITPros-Azure Direct-Sponsored Post-Video Ad-FBCTCBasicMotion_FRA_10s_RTG Landing Page»1x1»05s»SOC»ALL»CPC»BT»D»UNK»SS»NA»Trials</v></cell><cell r="AH6646"><v>224416915</v></cell><cell r="AI6646" t="str"><v>AZR_FBCTCBasicMotion_FRA_10s_VIA_AZRDirect_French_NA_Facebook_STAN_TIN_T1_1</v></cell><cell r="AJ6646"><v>103376981</v></cell></row><row r="6647"><cell r="C6647" t="str"><v>43329Facebook»Developers/ITPros-Azure Direct-Sponsored Post-Video Ad-FBCTCBenefit2inMotion_FRA_14s_RTG Landing Page»1x1»06s»SOC»ALL»CPC»BT»D»UNK»SS»NA»Trials</v></cell><cell r="D6647" t="str"><v>43329224560875</v></cell><cell r="E6647" t="str"><v>43329103259766Trials</v></cell><cell r="F6647" t="str"><v>DCM</v></cell><cell r="G6647" t="str"><v>https://signup.azure.com/signup?offer=ms-azr-0044p&appId=102&ref=paidmedia-social-fb&redirectURL=https:%2F%2Fazure.microsoft.com%2Ffr-fr%2Fget-started%2Fwelcome-to-azure%2F&l=fr-fr&correlationId=ead86c34-1f10-49dd-a72b-6918462a2cbf</v></cell></row><row r="6647"><cell r="K6647" t="str"><v>August</v></cell><cell r="L6647"><v>43330</v></cell><cell r="M6647" t="str"><v>Tier 1</v></cell><cell r="N6647" t="str"><v>EMEA</v></cell><cell r="O6647" t="str"><v>France</v></cell><cell r="P6647" t="str"><v>Trial</v></cell><cell r="Q6647" t="str"><v>Social</v></cell><cell r="R6647" t="str"><v>Azure</v></cell><cell r="S6647" t="str"><v>Apps & Infra</v></cell><cell r="T6647" t="str"><v>Developers & ITI's</v></cell><cell r="U6647" t="str"><v>Developers/ITPros-Azure Direct-Sponsored Post-Video Ad-FBCTCBenefit2inMotion_FRA_14s_RTG Landing Page</v></cell><cell r="V6647" t="str"><v>Behavioral Targeting</v></cell><cell r="W6647" t="str"><v>Social</v></cell><cell r="X6647" t="str"><v>1x1</v></cell></row><row r="6647"><cell r="AA6647"><v>43329</v></cell><cell r="AB6647" t="str"><v>FRA_gaPMG_AZR_AZR_Q1_19_AzureDirect-Trial-Social</v></cell><cell r="AC6647"><v>21356941</v></cell><cell r="AD6647"><v>720193</v></cell><cell r="AE6647" t="str"><v>Facebook</v></cell><cell r="AF6647"><v>3654128</v></cell><cell r="AG6647" t="str"><v>Facebook»Developers/ITPros-Azure Direct-Sponsored Post-Video Ad-FBCTCBenefit2inMotion_FRA_14s_RTG Landing Page»1x1»06s»SOC»ALL»CPC»BT»D»UNK»SS»NA»Trials</v></cell><cell r="AH6647"><v>224560875</v></cell><cell r="AI6647" t="str"><v>AZR_FBCTCBenefit2inMotion_FRA_14s_VIA_AZRDirect_French_NA_Facebook_STAN_TIN_T4_1</v></cell><cell r="AJ6647"><v>103259766</v></cell></row><row r="6648"><cell r="C6648" t="str"><v>43329Facebook»Developers/ITPros-Azure Direct-Sponsored Post-Video Ad-FBCTCBrandinMotion_FRA_12s_RTG Landing Page»1x1»05s»SOC»ALL»CPC»BT»D»UNK»SS»NA»Trials</v></cell><cell r="D6648" t="str"><v>43329224560863</v></cell><cell r="E6648" t="str"><v>43329103256577Trials</v></cell><cell r="F6648" t="str"><v>DCM</v></cell></row><row r="6648"><cell r="K6648" t="str"><v>August</v></cell><cell r="L6648"><v>43330</v></cell><cell r="M6648" t="str"><v>Tier 1</v></cell><cell r="N6648" t="str"><v>EMEA</v></cell><cell r="O6648" t="str"><v>France</v></cell><cell r="P6648" t="str"><v>Trial</v></cell><cell r="Q6648" t="str"><v>Social</v></cell><cell r="R6648" t="str"><v>Azure</v></cell><cell r="S6648" t="str"><v>Apps & Infra</v></cell><cell r="T6648" t="str"><v>Developers & ITI's</v></cell><cell r="U6648" t="str"><v>Developers/ITPros-Azure Direct-Sponsored Post-Video Ad-FBCTCBrandinMotion_FRA_12s_RTG Landing Page</v></cell><cell r="V6648" t="str"><v>Behavioral Targeting</v></cell><cell r="W6648" t="str"><v>Social</v></cell><cell r="X6648" t="str"><v>1x1</v></cell></row><row r="6648"><cell r="AA6648"><v>43329</v></cell><cell r="AB6648" t="str"><v>FRA_gaPMG_AZR_AZR_Q1_19_AzureDirect-Trial-Social</v></cell><cell r="AC6648"><v>21356941</v></cell><cell r="AD6648"><v>720193</v></cell><cell r="AE6648" t="str"><v>Facebook</v></cell><cell r="AF6648"><v>3654128</v></cell><cell r="AG6648" t="str"><v>Facebook»Developers/ITPros-Azure Direct-Sponsored Post-Video Ad-FBCTCBrandinMotion_FRA_12s_RTG Landing Page»1x1»05s»SOC»ALL»CPC»BT»D»UNK»SS»NA»Trials</v></cell><cell r="AH6648"><v>224560863</v></cell><cell r="AI6648" t="str"><v>AZR_FBCTCBrandinMotion_FRA_12s_VIA_AZRDirect_French_NA_Facebook_STAN_TIN_T2_1</v></cell><cell r="AJ6648"><v>103256577</v></cell></row><row r="6649"><cell r="C6649" t="str"><v>43329Facebook»ITPros-Azure Direct-Sponsored Post-Video Ad-Free Account IT Pro - Migration»1x1»30s»SOC»ALL»CPC»AUT»D»UNK»SS»NA»Trials</v></cell><cell r="D6649" t="str"><v>43329226360010</v></cell><cell r="E6649" t="str"><v>43329104458003Trials</v></cell><cell r="F6649" t="str"><v>DCM</v></cell><cell r="G6649" t="str"><v>https://signup.azure.com/signup?offer=ms-azr-0044p&appId=102&ref=paidmedia-social-fb&redirectURL=https%3a%2f%2fazure.microsoft.com%2ffr-fr%2fget-started%2fwelcome-to-azure%2f&l=fr-fr&correlationId=ead86c34-1f10-49dd-a72b-6918462a2cbf</v></cell></row><row r="6649"><cell r="K6649" t="str"><v>August</v></cell><cell r="L6649"><v>43330</v></cell><cell r="M6649" t="str"><v>Tier 1</v></cell><cell r="N6649" t="str"><v>EMEA</v></cell><cell r="O6649" t="str"><v>France</v></cell><cell r="P6649" t="str"><v>Trial</v></cell><cell r="Q6649" t="str"><v>Social</v></cell><cell r="R6649" t="str"><v>Azure</v></cell><cell r="S6649" t="str"><v>Apps & Infra</v></cell><cell r="T6649" t="str"><v>Developers & ITI's</v></cell><cell r="U6649" t="str"><v>ITPros-Azure Direct-Sponsored Post-Video Ad-Free Account IT Pro - Migration</v></cell><cell r="V6649" t="str"><v>Audience Targeting</v></cell><cell r="W6649" t="str"><v>Social</v></cell><cell r="X6649" t="str"><v>1x1</v></cell></row><row r="6649"><cell r="AA6649"><v>43329</v></cell><cell r="AB6649" t="str"><v>FRA_gaPMG_AZR_AZR_Q1_19_AzureDirect-Trial-Social</v></cell><cell r="AC6649"><v>21356941</v></cell><cell r="AD6649"><v>720193</v></cell><cell r="AE6649" t="str"><v>Facebook</v></cell><cell r="AF6649"><v>3654128</v></cell><cell r="AG6649" t="str"><v>Facebook»ITPros-Azure Direct-Sponsored Post-Video Ad-Free Account IT Pro - Migration»1x1»30s»SOC»ALL»CPC»AUT»D»UNK»SS»NA»Trials</v></cell><cell r="AH6649"><v>226360010</v></cell><cell r="AI6649" t="str"><v>AZR_FreeAcctITProFB-AnimatedMigration-Ch3_FRA_1200x1200_VIA_AZRDirect_French_NA_Facebook_STAN_LEA_T3_1</v></cell><cell r="AJ6649"><v>104458003</v></cell></row><row r="6650"><cell r="C6650" t="str"><v>43329Facebook»ITPros-Azure Direct-Sponsored Post_Trial_PayGo-Video Ad-Free Account IT Pro - Hybrid»1x1»30s»SOC»ALL»CPC»LAL»D»UNK»SS»NA»Trials</v></cell><cell r="D6650" t="str"><v>43329226359938</v></cell><cell r="E6650" t="str"><v>43329104456278Trials</v></cell><cell r="F6650" t="str"><v>DCM</v></cell><cell r="G6650" t="str"><v>https://signup.azure.com/signup?offer=ms-azr-0044p&appId=102&ref=paidmedia-social-fb&redirectURL=https%3a%2f%2fazure.microsoft.com%2ffr-fr%2fget-started%2fwelcome-to-azure%2f&l=fr-fr&correlationId=ead86c34-1f10-49dd-a72b-6918462a2cbf</v></cell></row><row r="6650"><cell r="K6650" t="str"><v>August</v></cell><cell r="L6650"><v>43330</v></cell><cell r="M6650" t="str"><v>Tier 1</v></cell><cell r="N6650" t="str"><v>EMEA</v></cell><cell r="O6650" t="str"><v>France</v></cell><cell r="P6650" t="str"><v>Trial</v></cell><cell r="Q6650" t="str"><v>Social</v></cell><cell r="R6650" t="str"><v>Azure</v></cell><cell r="S6650" t="str"><v>Apps & Infra</v></cell><cell r="T6650" t="str"><v>Developers & ITI's</v></cell><cell r="U6650" t="str"><v>ITPros-Azure Direct-Sponsored Post_Trial_PayGo-Video Ad-Free Account IT Pro - Hybrid</v></cell><cell r="V6650" t="str"><v>Lookalike Targeting</v></cell><cell r="W6650" t="str"><v>Social</v></cell><cell r="X6650" t="str"><v>1x1</v></cell></row><row r="6650"><cell r="AA6650"><v>43329</v></cell><cell r="AB6650" t="str"><v>FRA_gaPMG_AZR_AZR_Q1_19_AzureDirect-Trial-Social</v></cell><cell r="AC6650"><v>21356941</v></cell><cell r="AD6650"><v>720193</v></cell><cell r="AE6650" t="str"><v>Facebook</v></cell><cell r="AF6650"><v>3654128</v></cell><cell r="AG6650" t="str"><v>Facebook»ITPros-Azure Direct-Sponsored Post_Trial_PayGo-Video Ad-Free Account IT Pro - Hybrid»1x1»30s»SOC»ALL»CPC»LAL»D»UNK»SS»NA»Trials</v></cell><cell r="AH6650"><v>226359938</v></cell><cell r="AI6650" t="str"><v>AZR_FreeAcctITProFB-AnimatedHybrid-Ch2_FRA_1200x1200_VIA_AZRDirect_French_NA_Facebook_STAN_LEA_T2_1</v></cell><cell r="AJ6650"><v>104456278</v></cell></row><row r="6651"><cell r="C6651" t="str"><v>43329Facebook»Developers-Azure Direct-Sponsored Post-Video Ad-Free Account Developer - AI»1x1»30s»SOC»ALL»CPC»BT»D»UNK»SS»NA»Trials</v></cell><cell r="D6651" t="str"><v>43329226360034</v></cell><cell r="E6651" t="str"><v>43329104537813Trials</v></cell><cell r="F6651" t="str"><v>DCM</v></cell><cell r="G6651" t="str"><v>https://signup.azure.com/signup?offer=ms-azr-0044p&appId=102&ref=paidmedia-social-fb&redirectURL=https%3a%2f%2fazure.microsoft.com%2ffr-fr%2fget-started%2fwelcome-to-azure%2f&l=fr-fr&correlationId=ead86c34-1f10-49dd-a72b-6918462a2cbf</v></cell></row><row r="6651"><cell r="K6651" t="str"><v>August</v></cell><cell r="L6651"><v>43330</v></cell><cell r="M6651" t="str"><v>Tier 1</v></cell><cell r="N6651" t="str"><v>EMEA</v></cell><cell r="O6651" t="str"><v>France</v></cell><cell r="P6651" t="str"><v>Trial</v></cell><cell r="Q6651" t="str"><v>Social</v></cell><cell r="R6651" t="str"><v>Azure</v></cell><cell r="S6651" t="str"><v>Apps & Infra</v></cell><cell r="T6651" t="str"><v>Developers & ITI's</v></cell><cell r="U6651" t="str"><v>Developers-Azure Direct-Sponsored Post-Video Ad-Free Account Developer - AI</v></cell><cell r="V6651" t="str"><v>Behavioral Targeting</v></cell><cell r="W6651" t="str"><v>Social</v></cell><cell r="X6651" t="str"><v>1x1</v></cell></row><row r="6651"><cell r="AA6651"><v>43329</v></cell><cell r="AB6651" t="str"><v>FRA_gaPMG_AZR_AZR_Q1_19_AzureDirect-Trial-Social</v></cell><cell r="AC6651"><v>21356941</v></cell><cell r="AD6651"><v>720193</v></cell><cell r="AE6651" t="str"><v>Facebook</v></cell><cell r="AF6651"><v>3654128</v></cell><cell r="AG6651" t="str"><v>Facebook»Developers-Azure Direct-Sponsored Post-Video Ad-Free Account Developer - AI»1x1»30s»SOC»ALL»CPC»BT»D»UNK»SS»NA»Trials</v></cell><cell r="AH6651"><v>226360034</v></cell><cell r="AI6651" t="str"><v>AZR_FreeAcctDeveloperFB-AnimatedAI-Ch3_FRA_1200x1200_VIA_AZRDirect_French_NA_Facebook_STAN_LEA_T3_1</v></cell><cell r="AJ6651"><v>104537813</v></cell></row><row r="6652"><cell r="C6652" t="str"><v>43329Facebook»Developers-Azure Direct-Sponsored Post-Video Ad-Free Account Developer - Generic»1x1»30s»SOC»ALL»CPC»BT»D»UNK»SS»NA»Trials</v></cell><cell r="D6652" t="str"><v>43329226420298</v></cell><cell r="E6652" t="str"><v>43329104537129Trials</v></cell><cell r="F6652" t="str"><v>DCM</v></cell><cell r="G6652" t="str"><v>https://signup.azure.com/signup?offer=ms-azr-0044p&appId=102&ref=paidmedia-social-fb&redirectURL=https%3a%2f%2fazure.microsoft.com%2ffr-fr%2fget-started%2fwelcome-to-azure%2f&l=fr-fr&correlationId=ead86c34-1f10-49dd-a72b-6918462a2cbf</v></cell></row><row r="6652"><cell r="K6652" t="str"><v>August</v></cell><cell r="L6652"><v>43330</v></cell><cell r="M6652" t="str"><v>Tier 1</v></cell><cell r="N6652" t="str"><v>EMEA</v></cell><cell r="O6652" t="str"><v>France</v></cell><cell r="P6652" t="str"><v>Trial</v></cell><cell r="Q6652" t="str"><v>Social</v></cell><cell r="R6652" t="str"><v>Azure</v></cell><cell r="S6652" t="str"><v>Apps & Infra</v></cell><cell r="T6652" t="str"><v>Developers & ITI's</v></cell><cell r="U6652" t="str"><v>Developers-Azure Direct-Sponsored Post-Video Ad-Free Account Developer - Generic</v></cell><cell r="V6652" t="str"><v>Behavioral Targeting</v></cell><cell r="W6652" t="str"><v>Social</v></cell><cell r="X6652" t="str"><v>1x1</v></cell></row><row r="6652"><cell r="AA6652"><v>43329</v></cell><cell r="AB6652" t="str"><v>FRA_gaPMG_AZR_AZR_Q1_19_AzureDirect-Trial-Social</v></cell><cell r="AC6652"><v>21356941</v></cell><cell r="AD6652"><v>720193</v></cell><cell r="AE6652" t="str"><v>Facebook</v></cell><cell r="AF6652"><v>3654128</v></cell><cell r="AG6652" t="str"><v>Facebook»Developers-Azure Direct-Sponsored Post-Video Ad-Free Account Developer - Generic»1x1»30s»SOC»ALL»CPC»BT»D»UNK»SS»NA»Trials</v></cell><cell r="AH6652"><v>226420298</v></cell><cell r="AI6652" t="str"><v>AZR_FreeAcctDeveloperFB-AnimatedGeneric-Ch1_FRA_1200x1200_VIA_AZRDirect_French_NA_Facebook_STAN_LEA_T1_1</v></cell><cell r="AJ6652"><v>104537129</v></cell></row><row r="6653"><cell r="C6653" t="str"><v>43329Facebook»Developers-Azure Direct-Sponsored Post-Video Ad-Free Account Developer - Intelligent Data»1x1»30s»SOC»ALL»CPC»BT»D»UNK»SS»NA»Trials</v></cell><cell r="D6653" t="str"><v>43329226360028</v></cell><cell r="E6653" t="str"><v>43329104537816Trials</v></cell><cell r="F6653" t="str"><v>DCM</v></cell><cell r="G6653" t="str"><v>https://signup.azure.com/signup?offer=ms-azr-0044p&appId=102&ref=paidmedia-social-fb&redirectURL=https%3a%2f%2fazure.microsoft.com%2ffr-fr%2fget-started%2fwelcome-to-azure%2f&l=fr-fr&correlationId=ead86c34-1f10-49dd-a72b-6918462a2cbf</v></cell></row><row r="6653"><cell r="K6653" t="str"><v>August</v></cell><cell r="L6653"><v>43330</v></cell><cell r="M6653" t="str"><v>Tier 1</v></cell><cell r="N6653" t="str"><v>EMEA</v></cell><cell r="O6653" t="str"><v>France</v></cell><cell r="P6653" t="str"><v>Trial</v></cell><cell r="Q6653" t="str"><v>Social</v></cell><cell r="R6653" t="str"><v>Azure</v></cell><cell r="S6653" t="str"><v>Apps & Infra</v></cell><cell r="T6653" t="str"><v>Developers & ITI's</v></cell><cell r="U6653" t="str"><v>Developers-Azure Direct-Sponsored Post-Video Ad-Free Account Developer - Intelligent Data</v></cell><cell r="V6653" t="str"><v>Behavioral Targeting</v></cell><cell r="W6653" t="str"><v>Social</v></cell><cell r="X6653" t="str"><v>1x1</v></cell></row><row r="6653"><cell r="AA6653"><v>43329</v></cell><cell r="AB6653" t="str"><v>FRA_gaPMG_AZR_AZR_Q1_19_AzureDirect-Trial-Social</v></cell><cell r="AC6653"><v>21356941</v></cell><cell r="AD6653"><v>720193</v></cell><cell r="AE6653" t="str"><v>Facebook</v></cell><cell r="AF6653"><v>3654128</v></cell><cell r="AG6653" t="str"><v>Facebook»Developers-Azure Direct-Sponsored Post-Video Ad-Free Account Developer - Intelligent Data»1x1»30s»SOC»ALL»CPC»BT»D»UNK»SS»NA»Trials</v></cell><cell r="AH6653"><v>226360028</v></cell><cell r="AI6653" t="str"><v>AZR_FreeAcctDeveloperFB-AnimatedData-Ch4_FRA_1200x1200_VIA_AZRDirect_French_NA_Facebook_STAN_LEA_T4_1</v></cell><cell r="AJ6653"><v>104537816</v></cell></row><row r="6654"><cell r="C6654" t="str"><v>43329Facebook»Developers-Azure Direct-Sponsored Post-Video Ad-Free Account Developer - Open Source»1x1»30s»SOC»ALL»CPC»BT»D»UNK»SS»NA»Trials</v></cell><cell r="D6654" t="str"><v>43329226360040</v></cell><cell r="E6654" t="str"><v>43329104537132Trials</v></cell><cell r="F6654" t="str"><v>DCM</v></cell><cell r="G6654" t="str"><v>https://signup.azure.com/signup?offer=ms-azr-0044p&appId=102&ref=paidmedia-social-fb&redirectURL=https%3a%2f%2fazure.microsoft.com%2ffr-fr%2fget-started%2fwelcome-to-azure%2f&l=fr-fr&correlationId=ead86c34-1f10-49dd-a72b-6918462a2cbf</v></cell></row><row r="6654"><cell r="K6654" t="str"><v>August</v></cell><cell r="L6654"><v>43330</v></cell><cell r="M6654" t="str"><v>Tier 1</v></cell><cell r="N6654" t="str"><v>EMEA</v></cell><cell r="O6654" t="str"><v>France</v></cell><cell r="P6654" t="str"><v>Trial</v></cell><cell r="Q6654" t="str"><v>Social</v></cell><cell r="R6654" t="str"><v>Azure</v></cell><cell r="S6654" t="str"><v>Apps & Infra</v></cell><cell r="T6654" t="str"><v>Developers & ITI's</v></cell><cell r="U6654" t="str"><v>Developers-Azure Direct-Sponsored Post-Video Ad-Free Account Developer - Open Source</v></cell><cell r="V6654" t="str"><v>Behavioral Targeting</v></cell><cell r="W6654" t="str"><v>Social</v></cell><cell r="X6654" t="str"><v>1x1</v></cell></row><row r="6654"><cell r="AA6654"><v>43329</v></cell><cell r="AB6654" t="str"><v>FRA_gaPMG_AZR_AZR_Q1_19_AzureDirect-Trial-Social</v></cell><cell r="AC6654"><v>21356941</v></cell><cell r="AD6654"><v>720193</v></cell><cell r="AE6654" t="str"><v>Facebook</v></cell><cell r="AF6654"><v>3654128</v></cell><cell r="AG6654" t="str"><v>Facebook»Developers-Azure Direct-Sponsored Post-Video Ad-Free Account Developer - Open Source»1x1»30s»SOC»ALL»CPC»BT»D»UNK»SS»NA»Trials</v></cell><cell r="AH6654"><v>226360040</v></cell><cell r="AI6654" t="str"><v>AZR_FreeAcctDeveloperFB-AnimatedOpenSource-Ch2_FRA_1200x1200_VIA_AZRDirect_French_NA_Facebook_STAN_LEA_T2_1</v></cell><cell r="AJ6654"><v>104537132</v></cell></row><row r="6655"><cell r="C6655" t="str"><v>43329Facebook»Developers-Azure Direct-Sponsored Post_Trial-Video Ad-Free Account Developer - AI»1x1»30s»SOC»ALL»CPC»LAL»D»UNK»SS»NA»Trials</v></cell><cell r="D6655" t="str"><v>43329226360019</v></cell><cell r="E6655" t="str"><v>43329104537813Trials</v></cell><cell r="F6655" t="str"><v>DCM</v></cell><cell r="G6655" t="str"><v>https://signup.azure.com/signup?offer=ms-azr-0044p&appId=102&ref=paidmedia-social-fb&redirectURL=https%3a%2f%2fazure.microsoft.com%2ffr-fr%2fget-started%2fwelcome-to-azure%2f&l=fr-fr&correlationId=ead86c34-1f10-49dd-a72b-6918462a2cbf</v></cell></row><row r="6655"><cell r="K6655" t="str"><v>August</v></cell><cell r="L6655"><v>43330</v></cell><cell r="M6655" t="str"><v>Tier 1</v></cell><cell r="N6655" t="str"><v>EMEA</v></cell><cell r="O6655" t="str"><v>France</v></cell><cell r="P6655" t="str"><v>Trial</v></cell><cell r="Q6655" t="str"><v>Social</v></cell><cell r="R6655" t="str"><v>Azure</v></cell><cell r="S6655" t="str"><v>Apps & Infra</v></cell><cell r="T6655" t="str"><v>Developers & ITI's</v></cell><cell r="U6655" t="str"><v>Developers-Azure Direct-Sponsored Post_Trial-Video Ad-Free Account Developer - AI</v></cell><cell r="V6655" t="str"><v>Lookalike Targeting</v></cell><cell r="W6655" t="str"><v>Social</v></cell><cell r="X6655" t="str"><v>1x1</v></cell></row><row r="6655"><cell r="AA6655"><v>43329</v></cell><cell r="AB6655" t="str"><v>FRA_gaPMG_AZR_AZR_Q1_19_AzureDirect-Trial-Social</v></cell><cell r="AC6655"><v>21356941</v></cell><cell r="AD6655"><v>720193</v></cell><cell r="AE6655" t="str"><v>Facebook</v></cell><cell r="AF6655"><v>3654128</v></cell><cell r="AG6655" t="str"><v>Facebook»Developers-Azure Direct-Sponsored Post_Trial-Video Ad-Free Account Developer - AI»1x1»30s»SOC»ALL»CPC»LAL»D»UNK»SS»NA»Trials</v></cell><cell r="AH6655"><v>226360019</v></cell><cell r="AI6655" t="str"><v>AZR_FreeAcctDeveloperFB-AnimatedAI-Ch3_FRA_1200x1200_VIA_AZRDirect_French_NA_Facebook_STAN_LEA_T3_1</v></cell><cell r="AJ6655"><v>104537813</v></cell></row><row r="6656"><cell r="C6656" t="str"><v>43329Facebook»Developers-Azure Direct-Sponsored Post_Trial-Video Ad-Free Account Developer - Generic»1x1»30s»SOC»ALL»CPC»LAL»D»UNK»SS»NA»Trials</v></cell><cell r="D6656" t="str"><v>43329226360031</v></cell><cell r="E6656" t="str"><v>43329104537129Trials</v></cell><cell r="F6656" t="str"><v>DCM</v></cell><cell r="G6656" t="str"><v>https://signup.azure.com/signup?offer=ms-azr-0044p&appId=102&ref=paidmedia-social-fb&redirectURL=https%3a%2f%2fazure.microsoft.com%2ffr-fr%2fget-started%2fwelcome-to-azure%2f&l=fr-fr&correlationId=ead86c34-1f10-49dd-a72b-6918462a2cbf</v></cell></row><row r="6656"><cell r="K6656" t="str"><v>August</v></cell><cell r="L6656"><v>43330</v></cell><cell r="M6656" t="str"><v>Tier 1</v></cell><cell r="N6656" t="str"><v>EMEA</v></cell><cell r="O6656" t="str"><v>France</v></cell><cell r="P6656" t="str"><v>Trial</v></cell><cell r="Q6656" t="str"><v>Social</v></cell><cell r="R6656" t="str"><v>Azure</v></cell><cell r="S6656" t="str"><v>Apps & Infra</v></cell><cell r="T6656" t="str"><v>Developers & ITI's</v></cell><cell r="U6656" t="str"><v>Developers-Azure Direct-Sponsored Post_Trial-Video Ad-Free Account Developer - Generic</v></cell><cell r="V6656" t="str"><v>Lookalike Targeting</v></cell><cell r="W6656" t="str"><v>Social</v></cell><cell r="X6656" t="str"><v>1x1</v></cell></row><row r="6656"><cell r="AA6656"><v>43329</v></cell><cell r="AB6656" t="str"><v>FRA_gaPMG_AZR_AZR_Q1_19_AzureDirect-Trial-Social</v></cell><cell r="AC6656"><v>21356941</v></cell><cell r="AD6656"><v>720193</v></cell><cell r="AE6656" t="str"><v>Facebook</v></cell><cell r="AF6656"><v>3654128</v></cell><cell r="AG6656" t="str"><v>Facebook»Developers-Azure Direct-Sponsored Post_Trial-Video Ad-Free Account Developer - Generic»1x1»30s»SOC»ALL»CPC»LAL»D»UNK»SS»NA»Trials</v></cell><cell r="AH6656"><v>226360031</v></cell><cell r="AI6656" t="str"><v>AZR_FreeAcctDeveloperFB-AnimatedGeneric-Ch1_FRA_1200x1200_VIA_AZRDirect_French_NA_Facebook_STAN_LEA_T1_1</v></cell><cell r="AJ6656"><v>104537129</v></cell></row><row r="6657"><cell r="C6657" t="str"><v>43329Facebook»Developers-Azure Direct-Sponsored Post_Trial-Video Ad-Free Account Developer - Open Source»1x1»30s»SOC»ALL»CPC»LAL»D»UNK»SS»NA»Trials</v></cell><cell r="D6657" t="str"><v>43329226360025</v></cell><cell r="E6657" t="str"><v>43329104537132Trials</v></cell><cell r="F6657" t="str"><v>DCM</v></cell><cell r="G6657" t="str"><v>https://signup.azure.com/signup?offer=ms-azr-0044p&appId=102&ref=paidmedia-social-fb&redirectURL=https%3a%2f%2fazure.microsoft.com%2ffr-fr%2fget-started%2fwelcome-to-azure%2f&l=fr-fr&correlationId=ead86c34-1f10-49dd-a72b-6918462a2cbf</v></cell></row><row r="6657"><cell r="K6657" t="str"><v>August</v></cell><cell r="L6657"><v>43330</v></cell><cell r="M6657" t="str"><v>Tier 1</v></cell><cell r="N6657" t="str"><v>EMEA</v></cell><cell r="O6657" t="str"><v>France</v></cell><cell r="P6657" t="str"><v>Trial</v></cell><cell r="Q6657" t="str"><v>Social</v></cell><cell r="R6657" t="str"><v>Azure</v></cell><cell r="S6657" t="str"><v>Apps & Infra</v></cell><cell r="T6657" t="str"><v>Developers & ITI's</v></cell><cell r="U6657" t="str"><v>Developers-Azure Direct-Sponsored Post_Trial-Video Ad-Free Account Developer - Open Source</v></cell><cell r="V6657" t="str"><v>Lookalike Targeting</v></cell><cell r="W6657" t="str"><v>Social</v></cell><cell r="X6657" t="str"><v>1x1</v></cell></row><row r="6657"><cell r="AA6657"><v>43329</v></cell><cell r="AB6657" t="str"><v>FRA_gaPMG_AZR_AZR_Q1_19_AzureDirect-Trial-Social</v></cell><cell r="AC6657"><v>21356941</v></cell><cell r="AD6657"><v>720193</v></cell><cell r="AE6657" t="str"><v>Facebook</v></cell><cell r="AF6657"><v>3654128</v></cell><cell r="AG6657" t="str"><v>Facebook»Developers-Azure Direct-Sponsored Post_Trial-Video Ad-Free Account Developer - Open Source»1x1»30s»SOC»ALL»CPC»LAL»D»UNK»SS»NA»Trials</v></cell><cell r="AH6657"><v>226360025</v></cell><cell r="AI6657" t="str"><v>AZR_FreeAcctDeveloperFB-AnimatedOpenSource-Ch2_FRA_1200x1200_VIA_AZRDirect_French_NA_Facebook_STAN_LEA_T2_1</v></cell><cell r="AJ6657"><v>104537132</v></cell></row><row r="6658"><cell r="C6658" t="str"><v>43329Facebook»Developers-Azure Direct-Sponsored Post_Trial_PayGo-Video Ad-Free Account Developer - AI»1x1»30s»SOC»ALL»CPC»LAL»D»UNK»SS»NA»Trials</v></cell><cell r="D6658" t="str"><v>43329226359947</v></cell><cell r="E6658" t="str"><v>43329104537813Trials</v></cell><cell r="F6658" t="str"><v>DCM</v></cell><cell r="G6658" t="str"><v>https://signup.azure.com/signup?offer=ms-azr-0044p&appId=102&ref=paidmedia-social-fb&redirectURL=https%3a%2f%2fazure.microsoft.com%2ffr-fr%2fget-started%2fwelcome-to-azure%2f&l=fr-fr&correlationId=ead86c34-1f10-49dd-a72b-6918462a2cbf</v></cell></row><row r="6658"><cell r="K6658" t="str"><v>August</v></cell><cell r="L6658"><v>43330</v></cell><cell r="M6658" t="str"><v>Tier 1</v></cell><cell r="N6658" t="str"><v>EMEA</v></cell><cell r="O6658" t="str"><v>France</v></cell><cell r="P6658" t="str"><v>Trial</v></cell><cell r="Q6658" t="str"><v>Social</v></cell><cell r="R6658" t="str"><v>Azure</v></cell><cell r="S6658" t="str"><v>Apps & Infra</v></cell><cell r="T6658" t="str"><v>Developers & ITI's</v></cell><cell r="U6658" t="str"><v>Developers-Azure Direct-Sponsored Post_Trial_PayGo-Video Ad-Free Account Developer - AI</v></cell><cell r="V6658" t="str"><v>Lookalike Targeting</v></cell><cell r="W6658" t="str"><v>Social</v></cell><cell r="X6658" t="str"><v>1x1</v></cell></row><row r="6658"><cell r="AA6658"><v>43329</v></cell><cell r="AB6658" t="str"><v>FRA_gaPMG_AZR_AZR_Q1_19_AzureDirect-Trial-Social</v></cell><cell r="AC6658"><v>21356941</v></cell><cell r="AD6658"><v>720193</v></cell><cell r="AE6658" t="str"><v>Facebook</v></cell><cell r="AF6658"><v>3654128</v></cell><cell r="AG6658" t="str"><v>Facebook»Developers-Azure Direct-Sponsored Post_Trial_PayGo-Video Ad-Free Account Developer - AI»1x1»30s»SOC»ALL»CPC»LAL»D»UNK»SS»NA»Trials</v></cell><cell r="AH6658"><v>226359947</v></cell><cell r="AI6658" t="str"><v>AZR_FreeAcctDeveloperFB-AnimatedAI-Ch3_FRA_1200x1200_VIA_AZRDirect_French_NA_Facebook_STAN_LEA_T3_1</v></cell><cell r="AJ6658"><v>104537813</v></cell></row><row r="6659"><cell r="C6659" t="str"><v>43329Facebook»Developers/ITPros-Azure Direct-Sponsored Post_Trial-Link Ad-FreeAcctRetargetingFB-GlobalAlt-ChB_RTG CanvasOpener»1x1»SocialBan»SOC»ALL»CPC»LAL»D»UNK»SS»NA»Trials</v></cell><cell r="D6659" t="str"><v>43329226496107</v></cell><cell r="E6659" t="str"><v>43329103259520Trials</v></cell><cell r="F6659" t="str"><v>DCM</v></cell><cell r="G6659" t="str"><v>https://azure.microsoft.com/fr-fr/free/search/</v></cell></row><row r="6659"><cell r="K6659" t="str"><v>August</v></cell><cell r="L6659"><v>43330</v></cell><cell r="M6659" t="str"><v>Tier 1</v></cell><cell r="N6659" t="str"><v>EMEA</v></cell><cell r="O6659" t="str"><v>France</v></cell><cell r="P6659" t="str"><v>Trial</v></cell><cell r="Q6659" t="str"><v>Social</v></cell><cell r="R6659" t="str"><v>Azure</v></cell><cell r="S6659" t="str"><v>Apps & Infra</v></cell><cell r="T6659" t="str"><v>Developers & ITI's</v></cell><cell r="U6659" t="str"><v>Developers/ITPros-Azure Direct-Sponsored Post_Trial-Link Ad-FreeAcctRetargetingFB-GlobalAlt-ChB_RTG CanvasOpener</v></cell><cell r="V6659" t="str"><v>Lookalike Targeting</v></cell><cell r="W6659" t="str"><v>Social</v></cell><cell r="X6659" t="str"><v>1x1</v></cell></row><row r="6659"><cell r="AA6659"><v>43329</v></cell><cell r="AB6659" t="str"><v>FRA_gaPMG_AZR_AZR_Q1_19_AzureDirect-Trial-Social</v></cell><cell r="AC6659"><v>21356941</v></cell><cell r="AD6659"><v>720193</v></cell><cell r="AE6659" t="str"><v>Facebook</v></cell><cell r="AF6659"><v>3654128</v></cell><cell r="AG6659" t="str"><v>Facebook»Developers/ITPros-Azure Direct-Sponsored Post_Trial-Link Ad-FreeAcctRetargetingFB-GlobalAlt-ChB_RTG CanvasOpener»1x1»SocialBan»SOC»ALL»CPC»LAL»D»UNK»SS»NA»Trials</v></cell><cell r="AH6659"><v>226496107</v></cell><cell r="AI6659" t="str"><v>AZR_FreeAcctRetargetingFB-GlobalAlt-ChB_FRA_1200x628_SOC_AZRDirect_French_NA_Facebook_SBAN_SINU_T2_1</v></cell><cell r="AJ6659"><v>103259520</v></cell></row><row r="6660"><cell r="C6660" t="str"><v>43329Facebook»ITPros-Azure Direct-Sponsored Post-Video Ad-Free Account IT Pro - Hybrid»1x1»30s»SOC»ALL»CPC»AUT»D»UNK»SS»NA»Trials</v></cell><cell r="D6660" t="str"><v>43329226360016</v></cell><cell r="E6660" t="str"><v>43329104456278Trials</v></cell><cell r="F6660" t="str"><v>DCM</v></cell><cell r="G6660" t="str"><v>https://signup.azure.com/signup?offer=ms-azr-0044p&appId=102&ref=paidmedia-social-fb&redirectURL=https%3a%2f%2fazure.microsoft.com%2ffr-fr%2fget-started%2fwelcome-to-azure%2f&l=fr-fr&correlationId=ead86c34-1f10-49dd-a72b-6918462a2cbf</v></cell></row><row r="6660"><cell r="K6660" t="str"><v>August</v></cell><cell r="L6660"><v>43330</v></cell><cell r="M6660" t="str"><v>Tier 1</v></cell><cell r="N6660" t="str"><v>EMEA</v></cell><cell r="O6660" t="str"><v>France</v></cell><cell r="P6660" t="str"><v>Trial</v></cell><cell r="Q6660" t="str"><v>Social</v></cell><cell r="R6660" t="str"><v>Azure</v></cell><cell r="S6660" t="str"><v>Apps & Infra</v></cell><cell r="T6660" t="str"><v>Developers & ITI's</v></cell><cell r="U6660" t="str"><v>ITPros-Azure Direct-Sponsored Post-Video Ad-Free Account IT Pro - Hybrid</v></cell><cell r="V6660" t="str"><v>Audience Targeting</v></cell><cell r="W6660" t="str"><v>Social</v></cell><cell r="X6660" t="str"><v>1x1</v></cell></row><row r="6660"><cell r="AA6660"><v>43329</v></cell><cell r="AB6660" t="str"><v>FRA_gaPMG_AZR_AZR_Q1_19_AzureDirect-Trial-Social</v></cell><cell r="AC6660"><v>21356941</v></cell><cell r="AD6660"><v>720193</v></cell><cell r="AE6660" t="str"><v>Facebook</v></cell><cell r="AF6660"><v>3654128</v></cell><cell r="AG6660" t="str"><v>Facebook»ITPros-Azure Direct-Sponsored Post-Video Ad-Free Account IT Pro - Hybrid»1x1»30s»SOC»ALL»CPC»AUT»D»UNK»SS»NA»Trials</v></cell><cell r="AH6660"><v>226360016</v></cell><cell r="AI6660" t="str"><v>AZR_FreeAcctITProFB-AnimatedHybrid-Ch2_FRA_1200x1200_VIA_AZRDirect_French_NA_Facebook_STAN_LEA_T2_1</v></cell><cell r="AJ6660"><v>104456278</v></cell></row><row r="6661"><cell r="C6661" t="str"><v>43329Facebook»ITPros-Azure Direct-Sponsored Post-Video Ad-Free Account IT Pro - Secure»1x1»30s»SOC»ALL»CPC»AUT»D»UNK»SS»NA»Trials</v></cell><cell r="D6661" t="str"><v>43329226360022</v></cell><cell r="E6661" t="str"><v>43329104455906Trials</v></cell><cell r="F6661" t="str"><v>DCM</v></cell><cell r="G6661" t="str"><v>https://signup.azure.com/signup?offer=ms-azr-0044p&appId=102&ref=paidmedia-social-fb&redirectURL=https%3a%2f%2fazure.microsoft.com%2ffr-fr%2fget-started%2fwelcome-to-azure%2f&l=fr-fr&correlationId=ead86c34-1f10-49dd-a72b-6918462a2cbf</v></cell></row><row r="6661"><cell r="K6661" t="str"><v>August</v></cell><cell r="L6661"><v>43330</v></cell><cell r="M6661" t="str"><v>Tier 1</v></cell><cell r="N6661" t="str"><v>EMEA</v></cell><cell r="O6661" t="str"><v>France</v></cell><cell r="P6661" t="str"><v>Trial</v></cell><cell r="Q6661" t="str"><v>Social</v></cell><cell r="R6661" t="str"><v>Azure</v></cell><cell r="S6661" t="str"><v>Apps & Infra</v></cell><cell r="T6661" t="str"><v>Developers & ITI's</v></cell><cell r="U6661" t="str"><v>ITPros-Azure Direct-Sponsored Post-Video Ad-Free Account IT Pro - Secure</v></cell><cell r="V6661" t="str"><v>Audience Targeting</v></cell><cell r="W6661" t="str"><v>Social</v></cell><cell r="X6661" t="str"><v>1x1</v></cell></row><row r="6661"><cell r="AA6661"><v>43329</v></cell><cell r="AB6661" t="str"><v>FRA_gaPMG_AZR_AZR_Q1_19_AzureDirect-Trial-Social</v></cell><cell r="AC6661"><v>21356941</v></cell><cell r="AD6661"><v>720193</v></cell><cell r="AE6661" t="str"><v>Facebook</v></cell><cell r="AF6661"><v>3654128</v></cell><cell r="AG6661" t="str"><v>Facebook»ITPros-Azure Direct-Sponsored Post-Video Ad-Free Account IT Pro - Secure»1x1»30s»SOC»ALL»CPC»AUT»D»UNK»SS»NA»Trials</v></cell><cell r="AH6661"><v>226360022</v></cell><cell r="AI6661" t="str"><v>AZR_FreeAcctITProFB-AnimatedSecureMngd-Ch1_FRA_1200x1200_VIA_AZRDirect_French_NA_Facebook_STAN_LEA_T1_1</v></cell><cell r="AJ6661"><v>104455906</v></cell></row><row r="6662"><cell r="C6662" t="str"><v>43329Facebook»ITPros-Azure Direct-Sponsored Post_Trial-Video Ad-Free Account IT Pro - Hybrid»1x1»30s»SOC»ALL»CPC»LAL»D»UNK»SS»NA»Trials</v></cell><cell r="D6662" t="str"><v>43329226360001</v></cell><cell r="E6662" t="str"><v>43329104456278Trials</v></cell><cell r="F6662" t="str"><v>DCM</v></cell><cell r="G6662" t="str"><v>https://signup.azure.com/signup?offer=ms-azr-0044p&appId=102&ref=paidmedia-social-fb&redirectURL=https%3a%2f%2fazure.microsoft.com%2ffr-fr%2fget-started%2fwelcome-to-azure%2f&l=fr-fr&correlationId=ead86c34-1f10-49dd-a72b-6918462a2cbf</v></cell></row><row r="6662"><cell r="K6662" t="str"><v>August</v></cell><cell r="L6662"><v>43330</v></cell><cell r="M6662" t="str"><v>Tier 1</v></cell><cell r="N6662" t="str"><v>EMEA</v></cell><cell r="O6662" t="str"><v>France</v></cell><cell r="P6662" t="str"><v>Trial</v></cell><cell r="Q6662" t="str"><v>Social</v></cell><cell r="R6662" t="str"><v>Azure</v></cell><cell r="S6662" t="str"><v>Apps & Infra</v></cell><cell r="T6662" t="str"><v>Developers & ITI's</v></cell><cell r="U6662" t="str"><v>ITPros-Azure Direct-Sponsored Post_Trial-Video Ad-Free Account IT Pro - Hybrid</v></cell><cell r="V6662" t="str"><v>Lookalike Targeting</v></cell><cell r="W6662" t="str"><v>Social</v></cell><cell r="X6662" t="str"><v>1x1</v></cell></row><row r="6662"><cell r="AA6662"><v>43329</v></cell><cell r="AB6662" t="str"><v>FRA_gaPMG_AZR_AZR_Q1_19_AzureDirect-Trial-Social</v></cell><cell r="AC6662"><v>21356941</v></cell><cell r="AD6662"><v>720193</v></cell><cell r="AE6662" t="str"><v>Facebook</v></cell><cell r="AF6662"><v>3654128</v></cell><cell r="AG6662" t="str"><v>Facebook»ITPros-Azure Direct-Sponsored Post_Trial-Video Ad-Free Account IT Pro - Hybrid»1x1»30s»SOC»ALL»CPC»LAL»D»UNK»SS»NA»Trials</v></cell><cell r="AH6662"><v>226360001</v></cell><cell r="AI6662" t="str"><v>AZR_FreeAcctITProFB-AnimatedHybrid-Ch2_FRA_1200x1200_VIA_AZRDirect_French_NA_Facebook_STAN_LEA_T2_1</v></cell><cell r="AJ6662"><v>104456278</v></cell></row><row r="6663"><cell r="C6663" t="str"><v>43329Facebook»ITPros-Azure Direct-Sponsored Post_Trial-Video Ad-Free Account IT Pro - Migration»1x1»30s»SOC»ALL»CPC»LAL»D»UNK»SS»NA»Trials</v></cell><cell r="D6663" t="str"><v>43329226359995</v></cell><cell r="E6663" t="str"><v>43329104458003Trials</v></cell><cell r="F6663" t="str"><v>DCM</v></cell><cell r="G6663" t="str"><v>https://signup.azure.com/signup?offer=ms-azr-0044p&appId=102&ref=paidmedia-social-fb&redirectURL=https%3a%2f%2fazure.microsoft.com%2ffr-fr%2fget-started%2fwelcome-to-azure%2f&l=fr-fr&correlationId=ead86c34-1f10-49dd-a72b-6918462a2cbf</v></cell></row><row r="6663"><cell r="K6663" t="str"><v>August</v></cell><cell r="L6663"><v>43330</v></cell><cell r="M6663" t="str"><v>Tier 1</v></cell><cell r="N6663" t="str"><v>EMEA</v></cell><cell r="O6663" t="str"><v>France</v></cell><cell r="P6663" t="str"><v>Trial</v></cell><cell r="Q6663" t="str"><v>Social</v></cell><cell r="R6663" t="str"><v>Azure</v></cell><cell r="S6663" t="str"><v>Apps & Infra</v></cell><cell r="T6663" t="str"><v>Developers & ITI's</v></cell><cell r="U6663" t="str"><v>ITPros-Azure Direct-Sponsored Post_Trial-Video Ad-Free Account IT Pro - Migration</v></cell><cell r="V6663" t="str"><v>Lookalike Targeting</v></cell><cell r="W6663" t="str"><v>Social</v></cell><cell r="X6663" t="str"><v>1x1</v></cell></row><row r="6663"><cell r="AA6663"><v>43329</v></cell><cell r="AB6663" t="str"><v>FRA_gaPMG_AZR_AZR_Q1_19_AzureDirect-Trial-Social</v></cell><cell r="AC6663"><v>21356941</v></cell><cell r="AD6663"><v>720193</v></cell><cell r="AE6663" t="str"><v>Facebook</v></cell><cell r="AF6663"><v>3654128</v></cell><cell r="AG6663" t="str"><v>Facebook»ITPros-Azure Direct-Sponsored Post_Trial-Video Ad-Free Account IT Pro - Migration»1x1»30s»SOC»ALL»CPC»LAL»D»UNK»SS»NA»Trials</v></cell><cell r="AH6663"><v>226359995</v></cell><cell r="AI6663" t="str"><v>AZR_FreeAcctITProFB-AnimatedMigration-Ch3_FRA_1200x1200_VIA_AZRDirect_French_NA_Facebook_STAN_LEA_T3_1</v></cell><cell r="AJ6663"><v>104458003</v></cell></row><row r="6664"><cell r="C6664" t="str"><v>43329Facebook»Audience & Interest Targeting»1x1»SocialBan»LIA»DT»CPC»AUT»W»NA»SS»NA»Basic Motion</v></cell><cell r="D6664" t="str"><v>43329224399962</v></cell><cell r="E6664" t="str"><v>43329103230847Motion</v></cell><cell r="F6664" t="str"><v>DCM</v></cell><cell r="G6664" t="str"><v>https://azure.microsoft.com/en-gb/pricing/purchase-options/</v></cell></row><row r="6664"><cell r="K6664" t="str"><v>August</v></cell><cell r="L6664"><v>43330</v></cell><cell r="M6664" t="str"><v>Tier 1</v></cell><cell r="N6664" t="str"><v>EMEA</v></cell><cell r="O6664" t="str"><v>United Kingdom</v></cell><cell r="P6664" t="str"><v>Trial</v></cell><cell r="Q6664" t="str"><v>Social</v></cell><cell r="R6664" t="str"><v>Azure</v></cell><cell r="S6664" t="str"><v>Apps & Infra</v></cell><cell r="T6664" t="str"><v>Developers & ITI's</v></cell><cell r="U6664" t="str"><v>Audience & Interest Targeting</v></cell><cell r="V6664" t="str"><v>Audience Targeting</v></cell><cell r="W6664" t="str"><v>Link Ad</v></cell><cell r="X6664" t="str"><v>1x1</v></cell></row><row r="6664"><cell r="AA6664"><v>43329</v></cell><cell r="AB6664" t="str"><v>GBR_gaPMG_CE_AZR_Q1_19_Trial-Social</v></cell><cell r="AC6664"><v>21337013</v></cell><cell r="AD6664"><v>720196</v></cell><cell r="AE6664" t="str"><v>Facebook</v></cell><cell r="AF6664"><v>3654128</v></cell><cell r="AG6664" t="str"><v>Facebook»Audience & Interest Targeting»1x1»SocialBan»LIA»DT»CPC»AUT»W»NA»SS»NA»Basic Motion</v></cell><cell r="AH6664"><v>224399962</v></cell><cell r="AI6664" t="str"><v>AzurePlatform_FBCTCcanvaspage-BuyNowCTA-Img3_GBR_1080x162_SOC_Plat_English_NA_Standard_NA_BN_T3_1</v></cell><cell r="AJ6664"><v>103230847</v></cell></row><row r="6665"><cell r="C6665" t="str"><v>43329Facebook»Audience & Interest Targeting»1x1»SocialBan»LIA»DT»CPC»AUT»W»NA»SS»NA»Basic Motion</v></cell><cell r="D6665" t="str"><v>43329224399962</v></cell><cell r="E6665" t="str"><v>43329103235146Motion</v></cell><cell r="F6665" t="str"><v>DCM</v></cell><cell r="G6665" t="str"><v>https://signup.azure.com/signup?offer=ms-azr-0044p&appId=102&ref=paidmedia-social-fb&redirectURL=https%3a%2f%2fazure.microsoft.com%2fen-gb%2fget-started%2fwelcome-to-azure%2f&l=en-gb&correlationId=ead86c34-1f10-49dd-a72b-6918462a2cbf</v></cell></row><row r="6665"><cell r="K6665" t="str"><v>August</v></cell><cell r="L6665"><v>43330</v></cell><cell r="M6665" t="str"><v>Tier 1</v></cell><cell r="N6665" t="str"><v>EMEA</v></cell><cell r="O6665" t="str"><v>United Kingdom</v></cell><cell r="P6665" t="str"><v>Trial</v></cell><cell r="Q6665" t="str"><v>Social</v></cell><cell r="R6665" t="str"><v>Azure</v></cell><cell r="S6665" t="str"><v>Apps & Infra</v></cell><cell r="T6665" t="str"><v>Developers & ITI's</v></cell><cell r="U6665" t="str"><v>Audience & Interest Targeting</v></cell><cell r="V6665" t="str"><v>Audience Targeting</v></cell><cell r="W6665" t="str"><v>Link Ad</v></cell><cell r="X6665" t="str"><v>1x1</v></cell></row><row r="6665"><cell r="AA6665"><v>43329</v></cell><cell r="AB6665" t="str"><v>GBR_gaPMG_CE_AZR_Q1_19_Trial-Social</v></cell><cell r="AC6665"><v>21337013</v></cell><cell r="AD6665"><v>720196</v></cell><cell r="AE6665" t="str"><v>Facebook</v></cell><cell r="AF6665"><v>3654128</v></cell><cell r="AG6665" t="str"><v>Facebook»Audience & Interest Targeting»1x1»SocialBan»LIA»DT»CPC»AUT»W»NA»SS»NA»Basic Motion</v></cell><cell r="AH6665"><v>224399962</v></cell><cell r="AI6665" t="str"><v>AzurePlatform_FBCTCcanvaspage-StartFreeCTA-Img2_GBR_1080x143 _SOC_Plat_English_NA_Standard_NA_NA_T2_1</v></cell><cell r="AJ6665"><v>103235146</v></cell></row><row r="6666"><cell r="C6666" t="str"><v>43329Facebook»Audience & Interest Targeting»1x1»SocialBan»LIA»DT»CPC»AUT»W»NA»SS»NA»Benefit 2 in Motion</v></cell><cell r="D6666" t="str"><v>43329224334170</v></cell><cell r="E6666" t="str"><v>43329103235146Motion</v></cell><cell r="F6666" t="str"><v>DCM</v></cell><cell r="G6666" t="str"><v>https://signup.azure.com/signup?offer=ms-azr-0044p&appId=102&ref=paidmedia-social-fb&redirectURL=https%3a%2f%2fazure.microsoft.com%2fen-gb%2fget-started%2fwelcome-to-azure%2f&l=en-gb&correlationId=ead86c34-1f10-49dd-a72b-6918462a2cbf</v></cell></row><row r="6666"><cell r="K6666" t="str"><v>August</v></cell><cell r="L6666"><v>43330</v></cell><cell r="M6666" t="str"><v>Tier 1</v></cell><cell r="N6666" t="str"><v>EMEA</v></cell><cell r="O6666" t="str"><v>United Kingdom</v></cell><cell r="P6666" t="str"><v>Trial</v></cell><cell r="Q6666" t="str"><v>Social</v></cell><cell r="R6666" t="str"><v>Azure</v></cell><cell r="S6666" t="str"><v>Apps & Infra</v></cell><cell r="T6666" t="str"><v>Developers & ITI's</v></cell><cell r="U6666" t="str"><v>Audience & Interest Targeting</v></cell><cell r="V6666" t="str"><v>Audience Targeting</v></cell><cell r="W6666" t="str"><v>Link Ad</v></cell><cell r="X6666" t="str"><v>1x1</v></cell></row><row r="6666"><cell r="AA6666"><v>43329</v></cell><cell r="AB6666" t="str"><v>GBR_gaPMG_CE_AZR_Q1_19_Trial-Social</v></cell><cell r="AC6666"><v>21337013</v></cell><cell r="AD6666"><v>720196</v></cell><cell r="AE6666" t="str"><v>Facebook</v></cell><cell r="AF6666"><v>3654128</v></cell><cell r="AG6666" t="str"><v>Facebook»Audience & Interest Targeting»1x1»SocialBan»LIA»DT»CPC»AUT»W»NA»SS»NA»Benefit 2 in Motion</v></cell><cell r="AH6666"><v>224334170</v></cell><cell r="AI6666" t="str"><v>AzurePlatform_FBCTCcanvaspage-StartFreeCTA-Img2_GBR_1080x143 _SOC_Plat_English_NA_Standard_NA_NA_T2_1</v></cell><cell r="AJ6666"><v>103235146</v></cell></row><row r="6667"><cell r="C6667" t="str"><v>43329Facebook»Audience & Interest Targeting»1x1»SocialBan»LIA»DT»CPC»AUT»W»NA»SS»NA»Brand in Motion</v></cell><cell r="D6667" t="str"><v>43329224549481</v></cell><cell r="E6667" t="str"><v>43329103235146Motion</v></cell><cell r="F6667" t="str"><v>DCM</v></cell><cell r="G6667" t="str"><v>https://signup.azure.com/signup?offer=ms-azr-0044p&appId=102&ref=paidmedia-social-fb&redirectURL=https%3a%2f%2fazure.microsoft.com%2fen-gb%2fget-started%2fwelcome-to-azure%2f&l=en-gb&correlationId=ead86c34-1f10-49dd-a72b-6918462a2cbf</v></cell></row><row r="6667"><cell r="K6667" t="str"><v>August</v></cell><cell r="L6667"><v>43330</v></cell><cell r="M6667" t="str"><v>Tier 1</v></cell><cell r="N6667" t="str"><v>EMEA</v></cell><cell r="O6667" t="str"><v>United Kingdom</v></cell><cell r="P6667" t="str"><v>Trial</v></cell><cell r="Q6667" t="str"><v>Social</v></cell><cell r="R6667" t="str"><v>Azure</v></cell><cell r="S6667" t="str"><v>Apps & Infra</v></cell><cell r="T6667" t="str"><v>Developers & ITI's</v></cell><cell r="U6667" t="str"><v>Audience & Interest Targeting</v></cell><cell r="V6667" t="str"><v>Audience Targeting</v></cell><cell r="W6667" t="str"><v>Link Ad</v></cell><cell r="X6667" t="str"><v>1x1</v></cell></row><row r="6667"><cell r="AA6667"><v>43329</v></cell><cell r="AB6667" t="str"><v>GBR_gaPMG_CE_AZR_Q1_19_Trial-Social</v></cell><cell r="AC6667"><v>21337013</v></cell><cell r="AD6667"><v>720196</v></cell><cell r="AE6667" t="str"><v>Facebook</v></cell><cell r="AF6667"><v>3654128</v></cell><cell r="AG6667" t="str"><v>Facebook»Audience & Interest Targeting»1x1»SocialBan»LIA»DT»CPC»AUT»W»NA»SS»NA»Brand in Motion</v></cell><cell r="AH6667"><v>224549481</v></cell><cell r="AI6667" t="str"><v>AzurePlatform_FBCTCcanvaspage-StartFreeCTA-Img2_GBR_1080x143 _SOC_Plat_English_NA_Standard_NA_NA_T2_1</v></cell><cell r="AJ6667"><v>103235146</v></cell></row><row r="6668"><cell r="C6668" t="str"><v>43329Facebook»Retargeting»1x1»SocialBan»LIA»DT»DYN»RT»W»NA»SS»NA»Free Account Retargeting Generic- Animated ChC</v></cell><cell r="D6668" t="str"><v>43329223560299</v></cell><cell r="E6668" t="str"><v>43329102854019ed ChC</v></cell><cell r="F6668" t="str"><v>DCM</v></cell><cell r="G6668" t="str"><v>https://azure.microsoft.com/en-gb/free/search/</v></cell></row><row r="6668"><cell r="K6668" t="str"><v>August</v></cell><cell r="L6668"><v>43330</v></cell><cell r="M6668" t="str"><v>Tier 1</v></cell><cell r="N6668" t="str"><v>EMEA</v></cell><cell r="O6668" t="str"><v>United Kingdom</v></cell><cell r="P6668" t="str"><v>Trial</v></cell><cell r="Q6668" t="str"><v>Social</v></cell><cell r="R6668" t="str"><v>Azure</v></cell><cell r="S6668" t="str"><v>Apps & Infra</v></cell><cell r="T6668" t="str"><v>Developers & ITI's</v></cell><cell r="U6668" t="str"><v>Retargeting</v></cell><cell r="V6668" t="str"><v>Retargeting</v></cell><cell r="W6668" t="str"><v>Link Ad</v></cell><cell r="X6668" t="str"><v>1x1</v></cell></row><row r="6668"><cell r="AA6668"><v>43329</v></cell><cell r="AB6668" t="str"><v>GBR_gaPMG_CE_AZR_Q1_19_Trial-Social</v></cell><cell r="AC6668"><v>21337013</v></cell><cell r="AD6668"><v>720196</v></cell><cell r="AE6668" t="str"><v>Facebook</v></cell><cell r="AF6668"><v>3654128</v></cell><cell r="AG6668" t="str"><v>Facebook»Retargeting»1x1»SocialBan»LIA»DT»DYN»RT»W»NA»SS»NA»Free Account Retargeting Generic- Animated ChC</v></cell><cell r="AH6668"><v>223560299</v></cell><cell r="AI6668" t="str"><v>AzurePlatform_FreeAcctRetargetingFB-Animated-ChC_GBR_1200x628_SOC_Plat_EN_Free Account_Standard_ANI_SU_T3_1</v></cell><cell r="AJ6668"><v>102854019</v></cell></row><row r="6669"><cell r="C6669" t="str"><v>43329Facebook»Retargeting»1x1»SocialBan»LIA»DT»DYN»RT»W»NA»SS»NA»Free Account Retargeting Generic- Global Alt ChB</v></cell><cell r="D6669" t="str"><v>43329223560356</v></cell><cell r="E6669" t="str"><v>43329102854016lt ChB</v></cell><cell r="F6669" t="str"><v>DCM</v></cell><cell r="G6669" t="str"><v>https://azure.microsoft.com/en-gb/free/search/</v></cell></row><row r="6669"><cell r="K6669" t="str"><v>August</v></cell><cell r="L6669"><v>43330</v></cell><cell r="M6669" t="str"><v>Tier 1</v></cell><cell r="N6669" t="str"><v>EMEA</v></cell><cell r="O6669" t="str"><v>United Kingdom</v></cell><cell r="P6669" t="str"><v>Trial</v></cell><cell r="Q6669" t="str"><v>Social</v></cell><cell r="R6669" t="str"><v>Azure</v></cell><cell r="S6669" t="str"><v>Apps & Infra</v></cell><cell r="T6669" t="str"><v>Developers & ITI's</v></cell><cell r="U6669" t="str"><v>Retargeting</v></cell><cell r="V6669" t="str"><v>Retargeting</v></cell><cell r="W6669" t="str"><v>Link Ad</v></cell><cell r="X6669" t="str"><v>1x1</v></cell></row><row r="6669"><cell r="AA6669"><v>43329</v></cell><cell r="AB6669" t="str"><v>GBR_gaPMG_CE_AZR_Q1_19_Trial-Social</v></cell><cell r="AC6669"><v>21337013</v></cell><cell r="AD6669"><v>720196</v></cell><cell r="AE6669" t="str"><v>Facebook</v></cell><cell r="AF6669"><v>3654128</v></cell><cell r="AG6669" t="str"><v>Facebook»Retargeting»1x1»SocialBan»LIA»DT»DYN»RT»W»NA»SS»NA»Free Account Retargeting Generic- Global Alt ChB</v></cell><cell r="AH6669"><v>223560356</v></cell><cell r="AI6669" t="str"><v>AzurePlatform_FreeAcctRetargetingFB-GlobalAlt-ChB_GBR_1200x628_SOC_Plat_EN_Free Account_Standard_NA_SU_T2_1</v></cell><cell r="AJ6669"><v>102854016</v></cell></row><row r="6670"><cell r="C6670" t="str"><v>43329Facebook»Retargeting»1x1»SocialBan»LIA»DT»DYN»RT»W»NA»SS»NA»Free Account Retargeting OSS- Logos ChG</v></cell><cell r="D6670" t="str"><v>43329223560350</v></cell><cell r="E6670" t="str"><v>43329103006547os ChG</v></cell><cell r="F6670" t="str"><v>DCM</v></cell><cell r="G6670" t="str"><v>https://azure.microsoft.com/en-gb/free/open-source/search/</v></cell></row><row r="6670"><cell r="K6670" t="str"><v>August</v></cell><cell r="L6670"><v>43330</v></cell><cell r="M6670" t="str"><v>Tier 1</v></cell><cell r="N6670" t="str"><v>EMEA</v></cell><cell r="O6670" t="str"><v>United Kingdom</v></cell><cell r="P6670" t="str"><v>Trial</v></cell><cell r="Q6670" t="str"><v>Social</v></cell><cell r="R6670" t="str"><v>Azure</v></cell><cell r="S6670" t="str"><v>Apps & Infra</v></cell><cell r="T6670" t="str"><v>Developers & ITI's</v></cell><cell r="U6670" t="str"><v>Retargeting</v></cell><cell r="V6670" t="str"><v>Retargeting</v></cell><cell r="W6670" t="str"><v>Link Ad</v></cell><cell r="X6670" t="str"><v>1x1</v></cell></row><row r="6670"><cell r="AA6670"><v>43329</v></cell><cell r="AB6670" t="str"><v>GBR_gaPMG_CE_AZR_Q1_19_Trial-Social</v></cell><cell r="AC6670"><v>21337013</v></cell><cell r="AD6670"><v>720196</v></cell><cell r="AE6670" t="str"><v>Facebook</v></cell><cell r="AF6670"><v>3654128</v></cell><cell r="AG6670" t="str"><v>Facebook»Retargeting»1x1»SocialBan»LIA»DT»DYN»RT»W»NA»SS»NA»Free Account Retargeting OSS- Logos ChG</v></cell><cell r="AH6670"><v>223560350</v></cell><cell r="AI6670" t="str"><v>AzurePlatform_FreeAcctRetargetingOSSFB-Logos-ChG_GBR_1200x628_SOC_Plat_EN_Free Account_Standard_NA_SU_T2_1</v></cell><cell r="AJ6670"><v>103006547</v></cell></row><row r="6671"><cell r="C6671" t="str"><v>43329Facebook»Retargeting»1x1»SocialBan»LIA»DT»DYN»RT»W»NA»SS»NA»Free Account Retargeting OSS- Text ChF</v></cell><cell r="D6671" t="str"><v>43329223560344</v></cell><cell r="E6671" t="str"><v>43329102861246xt ChF</v></cell><cell r="F6671" t="str"><v>DCM</v></cell><cell r="G6671" t="str"><v>https://azure.microsoft.com/en-gb/free/open-source/search/</v></cell></row><row r="6671"><cell r="K6671" t="str"><v>August</v></cell><cell r="L6671"><v>43330</v></cell><cell r="M6671" t="str"><v>Tier 1</v></cell><cell r="N6671" t="str"><v>EMEA</v></cell><cell r="O6671" t="str"><v>United Kingdom</v></cell><cell r="P6671" t="str"><v>Trial</v></cell><cell r="Q6671" t="str"><v>Social</v></cell><cell r="R6671" t="str"><v>Azure</v></cell><cell r="S6671" t="str"><v>Apps & Infra</v></cell><cell r="T6671" t="str"><v>Developers & ITI's</v></cell><cell r="U6671" t="str"><v>Retargeting</v></cell><cell r="V6671" t="str"><v>Retargeting</v></cell><cell r="W6671" t="str"><v>Link Ad</v></cell><cell r="X6671" t="str"><v>1x1</v></cell></row><row r="6671"><cell r="AA6671"><v>43329</v></cell><cell r="AB6671" t="str"><v>GBR_gaPMG_CE_AZR_Q1_19_Trial-Social</v></cell><cell r="AC6671"><v>21337013</v></cell><cell r="AD6671"><v>720196</v></cell><cell r="AE6671" t="str"><v>Facebook</v></cell><cell r="AF6671"><v>3654128</v></cell><cell r="AG6671" t="str"><v>Facebook»Retargeting»1x1»SocialBan»LIA»DT»DYN»RT»W»NA»SS»NA»Free Account Retargeting OSS- Text ChF</v></cell><cell r="AH6671"><v>223560344</v></cell><cell r="AI6671" t="str"><v>AzurePlatform_FreeAcctRetargetingOSSFB-Text-ChF_GBR_1200x628_SOC_Plat_EN_Free Account_Standard_NA_SU_T1_1</v></cell><cell r="AJ6671"><v>102861246</v></cell></row><row r="6672"><cell r="C6672" t="str"><v>43329Facebook»Retargeting»1x1»SocialBan»LIA»DT»DYN»RT»W»NA»SS»NA»Free Account Retargeting VM- 750 Hrs ChD</v></cell><cell r="D6672" t="str"><v>43329223560338</v></cell><cell r="E6672" t="str"><v>43329102853603rs ChD</v></cell><cell r="F6672" t="str"><v>DCM</v></cell><cell r="G6672" t="str"><v>https://azure.microsoft.com/en-gb/free/virtual-machines/search/</v></cell></row><row r="6672"><cell r="K6672" t="str"><v>August</v></cell><cell r="L6672"><v>43330</v></cell><cell r="M6672" t="str"><v>Tier 1</v></cell><cell r="N6672" t="str"><v>EMEA</v></cell><cell r="O6672" t="str"><v>United Kingdom</v></cell><cell r="P6672" t="str"><v>Trial</v></cell><cell r="Q6672" t="str"><v>Social</v></cell><cell r="R6672" t="str"><v>Azure</v></cell><cell r="S6672" t="str"><v>Apps & Infra</v></cell><cell r="T6672" t="str"><v>Developers & ITI's</v></cell><cell r="U6672" t="str"><v>Retargeting</v></cell><cell r="V6672" t="str"><v>Retargeting</v></cell><cell r="W6672" t="str"><v>Link Ad</v></cell><cell r="X6672" t="str"><v>1x1</v></cell></row><row r="6672"><cell r="AA6672"><v>43329</v></cell><cell r="AB6672" t="str"><v>GBR_gaPMG_CE_AZR_Q1_19_Trial-Social</v></cell><cell r="AC6672"><v>21337013</v></cell><cell r="AD6672"><v>720196</v></cell><cell r="AE6672" t="str"><v>Facebook</v></cell><cell r="AF6672"><v>3654128</v></cell><cell r="AG6672" t="str"><v>Facebook»Retargeting»1x1»SocialBan»LIA»DT»DYN»RT»W»NA»SS»NA»Free Account Retargeting VM- 750 Hrs ChD</v></cell><cell r="AH6672"><v>223560338</v></cell><cell r="AI6672" t="str"><v>AzurePlatform_FreeAcctRetargetingVMFB-750Hrs-ChD_GBR_1200x628_SOC_Plat_EN_Free Account_Standard_NA_SU_T1_1</v></cell><cell r="AJ6672"><v>102853603</v></cell></row><row r="6673"><cell r="C6673" t="str"><v>43329Facebook»Retargeting»1x1»SocialBan»LIA»DT»DYN»RT»W»NA»SS»NA»Free Account Retargeting VM- On Demand ChE</v></cell><cell r="D6673" t="str"><v>43329223560332</v></cell><cell r="E6673" t="str"><v>43329102854037nd ChE</v></cell><cell r="F6673" t="str"><v>DCM</v></cell><cell r="G6673" t="str"><v>https://azure.microsoft.com/en-gb/free/virtual-machines/search/</v></cell></row><row r="6673"><cell r="K6673" t="str"><v>August</v></cell><cell r="L6673"><v>43330</v></cell><cell r="M6673" t="str"><v>Tier 1</v></cell><cell r="N6673" t="str"><v>EMEA</v></cell><cell r="O6673" t="str"><v>United Kingdom</v></cell><cell r="P6673" t="str"><v>Trial</v></cell><cell r="Q6673" t="str"><v>Social</v></cell><cell r="R6673" t="str"><v>Azure</v></cell><cell r="S6673" t="str"><v>Apps & Infra</v></cell><cell r="T6673" t="str"><v>Developers & ITI's</v></cell><cell r="U6673" t="str"><v>Retargeting</v></cell><cell r="V6673" t="str"><v>Retargeting</v></cell><cell r="W6673" t="str"><v>Link Ad</v></cell><cell r="X6673" t="str"><v>1x1</v></cell></row><row r="6673"><cell r="AA6673"><v>43329</v></cell><cell r="AB6673" t="str"><v>GBR_gaPMG_CE_AZR_Q1_19_Trial-Social</v></cell><cell r="AC6673"><v>21337013</v></cell><cell r="AD6673"><v>720196</v></cell><cell r="AE6673" t="str"><v>Facebook</v></cell><cell r="AF6673"><v>3654128</v></cell><cell r="AG6673" t="str"><v>Facebook»Retargeting»1x1»SocialBan»LIA»DT»DYN»RT»W»NA»SS»NA»Free Account Retargeting VM- On Demand ChE</v></cell><cell r="AH6673"><v>223560332</v></cell><cell r="AI6673" t="str"><v>AzurePlatform_FreeAcctRetargetingVMFB-OnDemand-ChE_GBR_1200x628_SOC_Plat_EN_Free Account_Standard_NA_SU_T2_1</v></cell><cell r="AJ6673"><v>102854037</v></cell></row><row r="6674"><cell r="C6674" t="str"><v>43329Facebook»Audience & Interest Targeting- Azure Trial Lookalikes»1x1»TextLink»CAN»MO»CPM»AUT»W»NA»SS»NA»Free Account Developer- Generic</v></cell><cell r="D6674" t="str"><v>43329226794002</v></cell><cell r="E6674" t="str"><v>43329103235146eneric</v></cell><cell r="F6674" t="str"><v>DCM</v></cell><cell r="G6674" t="str"><v>https://signup.azure.com/signup?offer=ms-azr-0044p&appId=102&ref=paidmedia-social-fb&redirectURL=https%3a%2f%2fazure.microsoft.com%2fen-gb%2fget-started%2fwelcome-to-azure%2f&l=en-gb&correlationId=ead86c34-1f10-49dd-a72b-6918462a2cbf</v></cell></row><row r="6674"><cell r="K6674" t="str"><v>August</v></cell><cell r="L6674"><v>43330</v></cell><cell r="M6674" t="str"><v>Tier 1</v></cell><cell r="N6674" t="str"><v>EMEA</v></cell><cell r="O6674" t="str"><v>United Kingdom</v></cell><cell r="P6674" t="str"><v>Trial</v></cell><cell r="Q6674" t="str"><v>Social</v></cell><cell r="R6674" t="str"><v>Azure</v></cell><cell r="S6674" t="str"><v>Apps & Infra</v></cell><cell r="T6674" t="str"><v>Developers & ITI's</v></cell><cell r="U6674" t="str"><v>Audience & Interest Targeting- Azure Trial Lookalikes</v></cell><cell r="V6674" t="str"><v>Audience Targeting</v></cell><cell r="W6674" t="str"><v>Canvas Ad</v></cell><cell r="X6674" t="str"><v>1x1</v></cell></row><row r="6674"><cell r="AA6674"><v>43329</v></cell><cell r="AB6674" t="str"><v>GBR_gaPMG_CE_AZR_Q1_19_Trial-Social</v></cell><cell r="AC6674"><v>21337013</v></cell><cell r="AD6674"><v>720196</v></cell><cell r="AE6674" t="str"><v>Facebook</v></cell><cell r="AF6674"><v>3654128</v></cell><cell r="AG6674" t="str"><v>Facebook»Audience & Interest Targeting- Azure Trial Lookalikes»1x1»TextLink»CAN»MO»CPM»AUT»W»NA»SS»NA»Free Account Developer- Generic</v></cell><cell r="AH6674"><v>226794002</v></cell><cell r="AI6674" t="str"><v>AzurePlatform_FBCTCcanvaspage-StartFreeCTA-Img2_GBR_1080x143 _SOC_Plat_English_NA_Standard_NA_NA_T2_1</v></cell><cell r="AJ6674"><v>103235146</v></cell></row><row r="6675"><cell r="C6675" t="str"><v>43329Facebook»Audience & Interest Targeting- Azure Trial PayGo Lookalikes»1x1»TextLink»CAN»MO»CPM»AUT»W»NA»SS»NA»Free Account Developer- Open Source</v></cell><cell r="D6675" t="str"><v>43329226889134</v></cell><cell r="E6675" t="str"><v>43329103230847Source</v></cell><cell r="F6675" t="str"><v>DCM</v></cell><cell r="G6675" t="str"><v>https://azure.microsoft.com/en-gb/pricing/purchase-options/</v></cell></row><row r="6675"><cell r="K6675" t="str"><v>August</v></cell><cell r="L6675"><v>43330</v></cell><cell r="M6675" t="str"><v>Tier 1</v></cell><cell r="N6675" t="str"><v>EMEA</v></cell><cell r="O6675" t="str"><v>United Kingdom</v></cell><cell r="P6675" t="str"><v>Trial</v></cell><cell r="Q6675" t="str"><v>Social</v></cell><cell r="R6675" t="str"><v>Azure</v></cell><cell r="S6675" t="str"><v>Apps & Infra</v></cell><cell r="T6675" t="str"><v>Developers & ITI's</v></cell><cell r="U6675" t="str"><v>Audience & Interest Targeting- Azure Trial PayGo Lookalikes</v></cell><cell r="V6675" t="str"><v>Audience Targeting</v></cell><cell r="W6675" t="str"><v>Canvas Ad</v></cell><cell r="X6675" t="str"><v>1x1</v></cell></row><row r="6675"><cell r="AA6675"><v>43329</v></cell><cell r="AB6675" t="str"><v>GBR_gaPMG_CE_AZR_Q1_19_Trial-Social</v></cell><cell r="AC6675"><v>21337013</v></cell><cell r="AD6675"><v>720196</v></cell><cell r="AE6675" t="str"><v>Facebook</v></cell><cell r="AF6675"><v>3654128</v></cell><cell r="AG6675" t="str"><v>Facebook»Audience & Interest Targeting- Azure Trial PayGo Lookalikes»1x1»TextLink»CAN»MO»CPM»AUT»W»NA»SS»NA»Free Account Developer- Open Source</v></cell><cell r="AH6675"><v>226889134</v></cell><cell r="AI6675" t="str"><v>AzurePlatform_FBCTCcanvaspage-BuyNowCTA-Img3_GBR_1080x162_SOC_Plat_English_NA_Standard_NA_BN_T3_1</v></cell><cell r="AJ6675"><v>103230847</v></cell></row><row r="6676"><cell r="C6676" t="str"><v>43329Facebook»Audience & Interest Targeting- Azure Trial PayGo Lookalikes»1x1»TextLink»CAN»MO»CPM»AUT»W»NA»SS»NA»Free Account Developer- Open Source</v></cell><cell r="D6676" t="str"><v>43329226889134</v></cell><cell r="E6676" t="str"><v>43329103235146Source</v></cell><cell r="F6676" t="str"><v>DCM</v></cell><cell r="G6676" t="str"><v>https://signup.azure.com/signup?offer=ms-azr-0044p&appId=102&ref=paidmedia-social-fb&redirectURL=https%3a%2f%2fazure.microsoft.com%2fen-gb%2fget-started%2fwelcome-to-azure%2f&l=en-gb&correlationId=ead86c34-1f10-49dd-a72b-6918462a2cbf</v></cell></row><row r="6676"><cell r="K6676" t="str"><v>August</v></cell><cell r="L6676"><v>43330</v></cell><cell r="M6676" t="str"><v>Tier 1</v></cell><cell r="N6676" t="str"><v>EMEA</v></cell><cell r="O6676" t="str"><v>United Kingdom</v></cell><cell r="P6676" t="str"><v>Trial</v></cell><cell r="Q6676" t="str"><v>Social</v></cell><cell r="R6676" t="str"><v>Azure</v></cell><cell r="S6676" t="str"><v>Apps & Infra</v></cell><cell r="T6676" t="str"><v>Developers & ITI's</v></cell><cell r="U6676" t="str"><v>Audience & Interest Targeting- Azure Trial PayGo Lookalikes</v></cell><cell r="V6676" t="str"><v>Audience Targeting</v></cell><cell r="W6676" t="str"><v>Canvas Ad</v></cell><cell r="X6676" t="str"><v>1x1</v></cell></row><row r="6676"><cell r="AA6676"><v>43329</v></cell><cell r="AB6676" t="str"><v>GBR_gaPMG_CE_AZR_Q1_19_Trial-Social</v></cell><cell r="AC6676"><v>21337013</v></cell><cell r="AD6676"><v>720196</v></cell><cell r="AE6676" t="str"><v>Facebook</v></cell><cell r="AF6676"><v>3654128</v></cell><cell r="AG6676" t="str"><v>Facebook»Audience & Interest Targeting- Azure Trial PayGo Lookalikes»1x1»TextLink»CAN»MO»CPM»AUT»W»NA»SS»NA»Free Account Developer- Open Source</v></cell><cell r="AH6676"><v>226889134</v></cell><cell r="AI6676" t="str"><v>AzurePlatform_FBCTCcanvaspage-StartFreeCTA-Img2_GBR_1080x143 _SOC_Plat_English_NA_Standard_NA_NA_T2_1</v></cell><cell r="AJ6676"><v>103235146</v></cell></row><row r="6677"><cell r="C6677" t="str"><v>43329Facebook»Audience & Interest Targeting- Azure Trial Lookalikes»1x1»TextLink»CAN»MO»CPM»AUT»W»NA»SS»NA»Free Account Developer- AI</v></cell><cell r="D6677" t="str"><v>43329226887139</v></cell><cell r="E6677" t="str"><v>43329103230847er- AI</v></cell><cell r="F6677" t="str"><v>DCM</v></cell><cell r="G6677" t="str"><v>https://azure.microsoft.com/en-gb/pricing/purchase-options/</v></cell></row><row r="6677"><cell r="K6677" t="str"><v>August</v></cell><cell r="L6677"><v>43330</v></cell><cell r="M6677" t="str"><v>Tier 1</v></cell><cell r="N6677" t="str"><v>EMEA</v></cell><cell r="O6677" t="str"><v>United Kingdom</v></cell><cell r="P6677" t="str"><v>Trial</v></cell><cell r="Q6677" t="str"><v>Social</v></cell><cell r="R6677" t="str"><v>Azure</v></cell><cell r="S6677" t="str"><v>Apps & Infra</v></cell><cell r="T6677" t="str"><v>Developers & ITI's</v></cell><cell r="U6677" t="str"><v>Audience & Interest Targeting- Azure Trial Lookalikes</v></cell><cell r="V6677" t="str"><v>Audience Targeting</v></cell><cell r="W6677" t="str"><v>Canvas Ad</v></cell><cell r="X6677" t="str"><v>1x1</v></cell></row><row r="6677"><cell r="AA6677"><v>43329</v></cell><cell r="AB6677" t="str"><v>GBR_gaPMG_CE_AZR_Q1_19_Trial-Social</v></cell><cell r="AC6677"><v>21337013</v></cell><cell r="AD6677"><v>720196</v></cell><cell r="AE6677" t="str"><v>Facebook</v></cell><cell r="AF6677"><v>3654128</v></cell><cell r="AG6677" t="str"><v>Facebook»Audience & Interest Targeting- Azure Trial Lookalikes»1x1»TextLink»CAN»MO»CPM»AUT»W»NA»SS»NA»Free Account Developer- AI</v></cell><cell r="AH6677"><v>226887139</v></cell><cell r="AI6677" t="str"><v>AzurePlatform_FBCTCcanvaspage-BuyNowCTA-Img3_GBR_1080x162_SOC_Plat_English_NA_Standard_NA_BN_T3_1</v></cell><cell r="AJ6677"><v>103230847</v></cell></row><row r="6678"><cell r="C6678" t="str"><v>43329Facebook»Audience & Interest Targeting- Azure Trial Lookalikes»1x1»TextLink»CAN»MO»CPM»AUT»W»NA»SS»NA»Free Account Developer- AI</v></cell><cell r="D6678" t="str"><v>43329226887139</v></cell><cell r="E6678" t="str"><v>43329103235146er- AI</v></cell><cell r="F6678" t="str"><v>DCM</v></cell><cell r="G6678" t="str"><v>https://signup.azure.com/signup?offer=ms-azr-0044p&appId=102&ref=paidmedia-social-fb&redirectURL=https%3a%2f%2fazure.microsoft.com%2fen-gb%2fget-started%2fwelcome-to-azure%2f&l=en-gb&correlationId=ead86c34-1f10-49dd-a72b-6918462a2cbf</v></cell></row><row r="6678"><cell r="K6678" t="str"><v>August</v></cell><cell r="L6678"><v>43330</v></cell><cell r="M6678" t="str"><v>Tier 1</v></cell><cell r="N6678" t="str"><v>EMEA</v></cell><cell r="O6678" t="str"><v>United Kingdom</v></cell><cell r="P6678" t="str"><v>Trial</v></cell><cell r="Q6678" t="str"><v>Social</v></cell><cell r="R6678" t="str"><v>Azure</v></cell><cell r="S6678" t="str"><v>Apps & Infra</v></cell><cell r="T6678" t="str"><v>Developers & ITI's</v></cell><cell r="U6678" t="str"><v>Audience & Interest Targeting- Azure Trial Lookalikes</v></cell><cell r="V6678" t="str"><v>Audience Targeting</v></cell><cell r="W6678" t="str"><v>Canvas Ad</v></cell><cell r="X6678" t="str"><v>1x1</v></cell></row><row r="6678"><cell r="AA6678"><v>43329</v></cell><cell r="AB6678" t="str"><v>GBR_gaPMG_CE_AZR_Q1_19_Trial-Social</v></cell><cell r="AC6678"><v>21337013</v></cell><cell r="AD6678"><v>720196</v></cell><cell r="AE6678" t="str"><v>Facebook</v></cell><cell r="AF6678"><v>3654128</v></cell><cell r="AG6678" t="str"><v>Facebook»Audience & Interest Targeting- Azure Trial Lookalikes»1x1»TextLink»CAN»MO»CPM»AUT»W»NA»SS»NA»Free Account Developer- AI</v></cell><cell r="AH6678"><v>226887139</v></cell><cell r="AI6678" t="str"><v>AzurePlatform_FBCTCcanvaspage-StartFreeCTA-Img2_GBR_1080x143 _SOC_Plat_English_NA_Standard_NA_NA_T2_1</v></cell><cell r="AJ6678"><v>103235146</v></cell></row><row r="6679"><cell r="C6679" t="str"><v>43329Facebook»Audience & Interest Targeting- Azure Trial Lookalikes»1x1»TextLink»CAN»MO»CPM»AUT»W»NA»SS»NA»Free Account Developer- Open Source</v></cell><cell r="D6679" t="str"><v>43329227035821</v></cell><cell r="E6679" t="str"><v>43329103235146Source</v></cell><cell r="F6679" t="str"><v>DCM</v></cell><cell r="G6679" t="str"><v>https://signup.azure.com/signup?offer=ms-azr-0044p&appId=102&ref=paidmedia-social-fb&redirectURL=https%3a%2f%2fazure.microsoft.com%2fen-gb%2fget-started%2fwelcome-to-azure%2f&l=en-gb&correlationId=ead86c34-1f10-49dd-a72b-6918462a2cbf</v></cell></row><row r="6679"><cell r="K6679" t="str"><v>August</v></cell><cell r="L6679"><v>43330</v></cell><cell r="M6679" t="str"><v>Tier 1</v></cell><cell r="N6679" t="str"><v>EMEA</v></cell><cell r="O6679" t="str"><v>United Kingdom</v></cell><cell r="P6679" t="str"><v>Trial</v></cell><cell r="Q6679" t="str"><v>Social</v></cell><cell r="R6679" t="str"><v>Azure</v></cell><cell r="S6679" t="str"><v>Apps & Infra</v></cell><cell r="T6679" t="str"><v>Developers & ITI's</v></cell><cell r="U6679" t="str"><v>Audience & Interest Targeting- Azure Trial Lookalikes</v></cell><cell r="V6679" t="str"><v>Audience Targeting</v></cell><cell r="W6679" t="str"><v>Canvas Ad</v></cell><cell r="X6679" t="str"><v>1x1</v></cell></row><row r="6679"><cell r="AA6679"><v>43329</v></cell><cell r="AB6679" t="str"><v>GBR_gaPMG_CE_AZR_Q1_19_Trial-Social</v></cell><cell r="AC6679"><v>21337013</v></cell><cell r="AD6679"><v>720196</v></cell><cell r="AE6679" t="str"><v>Facebook</v></cell><cell r="AF6679"><v>3654128</v></cell><cell r="AG6679" t="str"><v>Facebook»Audience & Interest Targeting- Azure Trial Lookalikes»1x1»TextLink»CAN»MO»CPM»AUT»W»NA»SS»NA»Free Account Developer- Open Source</v></cell><cell r="AH6679"><v>227035821</v></cell><cell r="AI6679" t="str"><v>AzurePlatform_FBCTCcanvaspage-StartFreeCTA-Img2_GBR_1080x143 _SOC_Plat_English_NA_Standard_NA_NA_T2_1</v></cell><cell r="AJ6679"><v>103235146</v></cell></row><row r="6680"><cell r="C6680" t="str"><v>43329Facebook»Audience & Interest Targeting- Azure Trial PayGo Lookalikes»1x1»TextLink»CAN»MO»CPM»AUT»W»NA»SS»NA»Free Account Developer- AI</v></cell><cell r="D6680" t="str"><v>43329226796675</v></cell><cell r="E6680" t="str"><v>43329103235146er- AI</v></cell><cell r="F6680" t="str"><v>DCM</v></cell><cell r="G6680" t="str"><v>https://signup.azure.com/signup?offer=ms-azr-0044p&appId=102&ref=paidmedia-social-fb&redirectURL=https%3a%2f%2fazure.microsoft.com%2fen-gb%2fget-started%2fwelcome-to-azure%2f&l=en-gb&correlationId=ead86c34-1f10-49dd-a72b-6918462a2cbf</v></cell></row><row r="6680"><cell r="K6680" t="str"><v>August</v></cell><cell r="L6680"><v>43330</v></cell><cell r="M6680" t="str"><v>Tier 1</v></cell><cell r="N6680" t="str"><v>EMEA</v></cell><cell r="O6680" t="str"><v>United Kingdom</v></cell><cell r="P6680" t="str"><v>Trial</v></cell><cell r="Q6680" t="str"><v>Social</v></cell><cell r="R6680" t="str"><v>Azure</v></cell><cell r="S6680" t="str"><v>Apps & Infra</v></cell><cell r="T6680" t="str"><v>Developers & ITI's</v></cell><cell r="U6680" t="str"><v>Audience & Interest Targeting- Azure Trial PayGo Lookalikes</v></cell><cell r="V6680" t="str"><v>Audience Targeting</v></cell><cell r="W6680" t="str"><v>Canvas Ad</v></cell><cell r="X6680" t="str"><v>1x1</v></cell></row><row r="6680"><cell r="AA6680"><v>43329</v></cell><cell r="AB6680" t="str"><v>GBR_gaPMG_CE_AZR_Q1_19_Trial-Social</v></cell><cell r="AC6680"><v>21337013</v></cell><cell r="AD6680"><v>720196</v></cell><cell r="AE6680" t="str"><v>Facebook</v></cell><cell r="AF6680"><v>3654128</v></cell><cell r="AG6680" t="str"><v>Facebook»Audience & Interest Targeting- Azure Trial PayGo Lookalikes»1x1»TextLink»CAN»MO»CPM»AUT»W»NA»SS»NA»Free Account Developer- AI</v></cell><cell r="AH6680"><v>226796675</v></cell><cell r="AI6680" t="str"><v>AzurePlatform_FBCTCcanvaspage-StartFreeCTA-Img2_GBR_1080x143 _SOC_Plat_English_NA_Standard_NA_NA_T2_1</v></cell><cell r="AJ6680"><v>103235146</v></cell></row><row r="6681"><cell r="C6681" t="str"><v>43329Facebook»Audience & Interest Targeting- Azure Trial PayGo Lookalikes»1x1»TextLink»CAN»MO»CPM»AUT»W»NA»SS»NA»Free Account Developer- Intelligent Data</v></cell><cell r="D6681" t="str"><v>43329227035845</v></cell><cell r="E6681" t="str"><v>43329103235146t Data</v></cell><cell r="F6681" t="str"><v>DCM</v></cell><cell r="G6681" t="str"><v>https://signup.azure.com/signup?offer=ms-azr-0044p&appId=102&ref=paidmedia-social-fb&redirectURL=https%3a%2f%2fazure.microsoft.com%2fen-gb%2fget-started%2fwelcome-to-azure%2f&l=en-gb&correlationId=ead86c34-1f10-49dd-a72b-6918462a2cbf</v></cell></row><row r="6681"><cell r="K6681" t="str"><v>August</v></cell><cell r="L6681"><v>43330</v></cell><cell r="M6681" t="str"><v>Tier 1</v></cell><cell r="N6681" t="str"><v>EMEA</v></cell><cell r="O6681" t="str"><v>United Kingdom</v></cell><cell r="P6681" t="str"><v>Trial</v></cell><cell r="Q6681" t="str"><v>Social</v></cell><cell r="R6681" t="str"><v>Azure</v></cell><cell r="S6681" t="str"><v>Apps & Infra</v></cell><cell r="T6681" t="str"><v>Developers & ITI's</v></cell><cell r="U6681" t="str"><v>Audience & Interest Targeting- Azure Trial PayGo Lookalikes</v></cell><cell r="V6681" t="str"><v>Audience Targeting</v></cell><cell r="W6681" t="str"><v>Canvas Ad</v></cell><cell r="X6681" t="str"><v>1x1</v></cell></row><row r="6681"><cell r="AA6681"><v>43329</v></cell><cell r="AB6681" t="str"><v>GBR_gaPMG_CE_AZR_Q1_19_Trial-Social</v></cell><cell r="AC6681"><v>21337013</v></cell><cell r="AD6681"><v>720196</v></cell><cell r="AE6681" t="str"><v>Facebook</v></cell><cell r="AF6681"><v>3654128</v></cell><cell r="AG6681" t="str"><v>Facebook»Audience & Interest Targeting- Azure Trial PayGo Lookalikes»1x1»TextLink»CAN»MO»CPM»AUT»W»NA»SS»NA»Free Account Developer- Intelligent Data</v></cell><cell r="AH6681"><v>227035845</v></cell><cell r="AI6681" t="str"><v>AzurePlatform_FBCTCcanvaspage-StartFreeCTA-Img2_GBR_1080x143 _SOC_Plat_English_NA_Standard_NA_NA_T2_1</v></cell><cell r="AJ6681"><v>103235146</v></cell></row><row r="6682"><cell r="C6682" t="str"><v>43329Facebook»AZP-Canvas-Interest&Role-Trial»1x1»Canvas»OTH»MO»CPM»PRO»X»UNK»TP»OT»Canvas-Trial</v></cell><cell r="D6682" t="str"><v>43329223298805</v></cell><cell r="E6682" t="str"><v>43329102609621-Trial</v></cell><cell r="F6682" t="str"><v>DCM</v></cell><cell r="G6682" t="str"><v>https://signup.azure.com/signup?offer=ms-azr-0044p&appId=102&ref=paidmedia-social-fb&redirectURL=https%3a%2f%2fazure.microsoft.com%2fja-jp%2fget-started%2fwelcome-to-azure%2f&l=ja-jp&correlationId=ead86c34-1f10-49dd-a72b-6918462a2cbf</v></cell></row><row r="6682"><cell r="K6682" t="str"><v>August</v></cell><cell r="L6682"><v>43330</v></cell><cell r="M6682" t="str"><v>Tier 1</v></cell><cell r="N6682" t="str"><v>APAC</v></cell><cell r="O6682" t="str"><v>Japan</v></cell><cell r="P6682" t="str"><v>Trial</v></cell><cell r="Q6682" t="str"><v>Social</v></cell><cell r="R6682" t="str"><v>Azure</v></cell><cell r="S6682" t="str"><v>Apps & Infra</v></cell><cell r="T6682" t="str"><v>Developers & ITI's</v></cell><cell r="U6682" t="str"><v>AZP-Canvas-Interest&Role-Trial</v></cell><cell r="V6682" t="str"><v>Prospecting</v></cell><cell r="W6682" t="str"><v>Other</v></cell><cell r="X6682" t="str"><v>1x1</v></cell></row><row r="6682"><cell r="AA6682"><v>43329</v></cell><cell r="AB6682" t="str"><v>JPN_gaPMG_AZR_AZR_Q1_19_Trial-Social</v></cell><cell r="AC6682"><v>21276694</v></cell><cell r="AD6682"><v>720195</v></cell><cell r="AE6682" t="str"><v>Facebook</v></cell><cell r="AF6682"><v>3654128</v></cell><cell r="AG6682" t="str"><v>Facebook»AZP-Canvas-Interest&Role-Trial»1x1»Canvas»OTH»MO»CPM»PRO»X»UNK»TP»OT»Canvas-Trial</v></cell><cell r="AH6682"><v>223298805</v></cell><cell r="AI6682" t="str"><v>AzurePlatform_FBCTCcanvaspage-StartFreeCTA-Img2_JPN_1080x143 _SOC_Plat_Japanese_NA_Standard_NA_NA_T2_1</v></cell><cell r="AJ6682"><v>102609621</v></cell></row><row r="6683"><cell r="C6683" t="str"><v>43329Facebook»AZP-Canvas-Look a Like-Trial»1x1»Canvas»OTH»MO»CPM»PRO»X»UNK»TP»OT»Canvas-Trial</v></cell><cell r="D6683" t="str"><v>43329223297413</v></cell><cell r="E6683" t="str"><v>43329102609621-Trial</v></cell><cell r="F6683" t="str"><v>DCM</v></cell><cell r="G6683" t="str"><v>https://signup.azure.com/signup?offer=ms-azr-0044p&appId=102&ref=paidmedia-social-fb&redirectURL=https%3a%2f%2fazure.microsoft.com%2fja-jp%2fget-started%2fwelcome-to-azure%2f&l=ja-jp&correlationId=ead86c34-1f10-49dd-a72b-6918462a2cbf</v></cell></row><row r="6683"><cell r="K6683" t="str"><v>August</v></cell><cell r="L6683"><v>43330</v></cell><cell r="M6683" t="str"><v>Tier 1</v></cell><cell r="N6683" t="str"><v>APAC</v></cell><cell r="O6683" t="str"><v>Japan</v></cell><cell r="P6683" t="str"><v>Trial</v></cell><cell r="Q6683" t="str"><v>Social</v></cell><cell r="R6683" t="str"><v>Azure</v></cell><cell r="S6683" t="str"><v>Apps & Infra</v></cell><cell r="T6683" t="str"><v>Developers & ITI's</v></cell><cell r="U6683" t="str"><v>AZP-Canvas-Look a Like-Trial</v></cell><cell r="V6683" t="str"><v>Prospecting</v></cell><cell r="W6683" t="str"><v>Other</v></cell><cell r="X6683" t="str"><v>1x1</v></cell></row><row r="6683"><cell r="AA6683"><v>43329</v></cell><cell r="AB6683" t="str"><v>JPN_gaPMG_AZR_AZR_Q1_19_Trial-Social</v></cell><cell r="AC6683"><v>21276694</v></cell><cell r="AD6683"><v>720195</v></cell><cell r="AE6683" t="str"><v>Facebook</v></cell><cell r="AF6683"><v>3654128</v></cell><cell r="AG6683" t="str"><v>Facebook»AZP-Canvas-Look a Like-Trial»1x1»Canvas»OTH»MO»CPM»PRO»X»UNK»TP»OT»Canvas-Trial</v></cell><cell r="AH6683"><v>223297413</v></cell><cell r="AI6683" t="str"><v>AzurePlatform_FBCTCcanvaspage-StartFreeCTA-Img2_JPN_1080x143 _SOC_Plat_Japanese_NA_Standard_NA_NA_T2_1</v></cell><cell r="AJ6683"><v>102609621</v></cell></row><row r="6684"><cell r="C6684" t="str"><v>43329Facebook»AZP-Canvas-Retargeting-Trial»1x1»Canvas»SOC»MO»CPM»PRO»W»UNK»SS»OT»Canvas-Trial</v></cell><cell r="D6684" t="str"><v>43329226269941</v></cell><cell r="E6684" t="str"><v>43329104061321-Trial</v></cell><cell r="F6684" t="str"><v>DCM</v></cell><cell r="G6684" t="str"><v>https://signup.azure.com/signup?offer=ms-azr-0044p&appId=102&ref=paidmedia-social-fb&redirectURL=https%3a%2f%2fazure.microsoft.com%2fja-jp%2fget-started%2fwelcome-to-azure%2f&l=ja-jp&correlationId=ead86c34-1f10-49dd-a72b-6918462a2cbf</v></cell></row><row r="6684"><cell r="K6684" t="str"><v>August</v></cell><cell r="L6684"><v>43330</v></cell><cell r="M6684" t="str"><v>Tier 1</v></cell><cell r="N6684" t="str"><v>APAC</v></cell><cell r="O6684" t="str"><v>Japan</v></cell><cell r="P6684" t="str"><v>Trial</v></cell><cell r="Q6684" t="str"><v>Social</v></cell><cell r="R6684" t="str"><v>Azure</v></cell><cell r="S6684" t="str"><v>Apps & Infra</v></cell><cell r="T6684" t="str"><v>Developers & ITI's</v></cell><cell r="U6684" t="str"><v>AZP-Canvas-Retargeting-Trial</v></cell><cell r="V6684" t="str"><v>Prospecting</v></cell><cell r="W6684" t="str"><v>Social</v></cell><cell r="X6684" t="str"><v>1x1</v></cell></row><row r="6684"><cell r="AA6684"><v>43329</v></cell><cell r="AB6684" t="str"><v>JPN_gaPMG_AZR_AZR_Q1_19_Trial-Social</v></cell><cell r="AC6684"><v>21276694</v></cell><cell r="AD6684"><v>720195</v></cell><cell r="AE6684" t="str"><v>Facebook</v></cell><cell r="AF6684"><v>3654128</v></cell><cell r="AG6684" t="str"><v>Facebook»AZP-Canvas-Retargeting-Trial»1x1»Canvas»SOC»MO»CPM»PRO»W»UNK»SS»OT»Canvas-Trial</v></cell><cell r="AH6684"><v>226269941</v></cell><cell r="AI6684" t="str"><v>AZR_FBCTCcanvaspage-StartFreeCTA-Img2_JPN_1080x143 _SOC_Plat_Japanese_NA_Standard_NA_NA_T2_1</v></cell><cell r="AJ6684"><v>104061321</v></cell></row><row r="6685"><cell r="C6685" t="str"><v>43329FACEBOOK»USA-Trial-ITD-Interest Prospecting-AZR-AZR»1 x 1»SocialBan»CAN»ALL»CPA»PRO»X»NA»SS»NA»FBCTCBenefit2inMotion»PRC1SW</v></cell><cell r="D6685" t="str"><v>43329223933138</v></cell><cell r="E6685" t="str"><v>43329103043835PRC1SW</v></cell><cell r="F6685" t="str"><v>DCM</v></cell><cell r="G6685" t="str"><v>https://signup.azure.com/?OCID=AID%eexcid!_OLA_%ebuy!_%epid!_%ecid!</v></cell></row><row r="6685"><cell r="K6685" t="str"><v>August</v></cell><cell r="L6685"><v>43330</v></cell><cell r="M6685" t="str"><v>Tier 0</v></cell><cell r="N6685" t="str"><v>North America</v></cell><cell r="O6685" t="str"><v>United States</v></cell><cell r="P6685" t="str"><v>Trial</v></cell><cell r="Q6685" t="str"><v>Social</v></cell><cell r="R6685" t="str"><v>Azure</v></cell><cell r="S6685" t="str"><v>Apps & Infra</v></cell><cell r="T6685" t="str"><v>Developers & ITI's</v></cell><cell r="U6685" t="str"><v>USA-Trial-ITD-Interest Prospecting-AZR-AZR</v></cell><cell r="V6685" t="str"><v>Prospecting</v></cell><cell r="W6685" t="str"><v>Canvas Ad</v></cell><cell r="X6685" t="str"><v>1x1</v></cell></row><row r="6685"><cell r="AA6685"><v>43329</v></cell><cell r="AB6685" t="str"><v>USA_gaPMG_AZR_AZR_Q1_19_Direct-Social</v></cell><cell r="AC6685"><v>21358715</v></cell><cell r="AD6685"><v>720197</v></cell><cell r="AE6685" t="str"><v>Facebook</v></cell><cell r="AF6685"><v>3654128</v></cell><cell r="AG6685" t="str"><v>FACEBOOK»USA-Trial-ITD-Interest Prospecting-AZR-AZR»1 x 1»SocialBan»CAN»ALL»CPA»PRO»X»NA»SS»NA»FBCTCBenefit2inMotion»PRC1SW</v></cell><cell r="AH6685"><v>223933138</v></cell><cell r="AI6685" t="str"><v>AzurePlatform_FBCTCBenefit2inMotion_USA_10s_CAN_PLATFORM_English_Trial_Standard_STAN_TIN_T4_1</v></cell><cell r="AJ6685"><v>103043835</v></cell></row><row r="6686"><cell r="C6686" t="str"><v>43329FACEBOOK»USA-Trial-ITD-Interest Prospecting-AZR-AZR»1 x 1»SocialBan»CAN»ALL»CPA»PRO»X»NA»SS»NA»FBCTCBrandinMotion»PRC1SY</v></cell><cell r="D6686" t="str"><v>43329224104929</v></cell><cell r="E6686" t="str"><v>43329103176812PRC1SY</v></cell><cell r="F6686" t="str"><v>DCM</v></cell><cell r="G6686" t="str"><v>https://signup.azure.com/?OCID=AID%eexcid!_OLA_%ebuy!_%epid!_%ecid!</v></cell></row><row r="6686"><cell r="K6686" t="str"><v>August</v></cell><cell r="L6686"><v>43330</v></cell><cell r="M6686" t="str"><v>Tier 0</v></cell><cell r="N6686" t="str"><v>North America</v></cell><cell r="O6686" t="str"><v>United States</v></cell><cell r="P6686" t="str"><v>Trial</v></cell><cell r="Q6686" t="str"><v>Social</v></cell><cell r="R6686" t="str"><v>Azure</v></cell><cell r="S6686" t="str"><v>Apps & Infra</v></cell><cell r="T6686" t="str"><v>Developers & ITI's</v></cell><cell r="U6686" t="str"><v>USA-Trial-ITD-Interest Prospecting-AZR-AZR</v></cell><cell r="V6686" t="str"><v>Prospecting</v></cell><cell r="W6686" t="str"><v>Canvas Ad</v></cell><cell r="X6686" t="str"><v>1x1</v></cell></row><row r="6686"><cell r="AA6686"><v>43329</v></cell><cell r="AB6686" t="str"><v>USA_gaPMG_AZR_AZR_Q1_19_Direct-Social</v></cell><cell r="AC6686"><v>21358715</v></cell><cell r="AD6686"><v>720197</v></cell><cell r="AE6686" t="str"><v>Facebook</v></cell><cell r="AF6686"><v>3654128</v></cell><cell r="AG6686" t="str"><v>FACEBOOK»USA-Trial-ITD-Interest Prospecting-AZR-AZR»1 x 1»SocialBan»CAN»ALL»CPA»PRO»X»NA»SS»NA»FBCTCBrandinMotion»PRC1SY</v></cell><cell r="AH6686"><v>224104929</v></cell><cell r="AI6686" t="str"><v>AzurePlatform_FBCTCBrandinMotion_USA_10s_CAN_PLATFORM_English_Trial_Standard_STAN_TIN_T2_1</v></cell><cell r="AJ6686"><v>103176812</v></cell></row><row r="6687"><cell r="C6687" t="str"><v>43329FACEBOOK»USA-Trial-ITD-Interest Prospecting-AZR-AZR»1 x 1»SocialBan»CAN»ALL»CPA»PRO»X»NA»SS»NA»FBCTCBrandinMotion»PRC1SY</v></cell><cell r="D6687" t="str"><v>43329224104929</v></cell><cell r="E6687" t="str"><v>43329103032823PRC1SY</v></cell><cell r="F6687" t="str"><v>DCM</v></cell><cell r="G6687" t="str"><v>https://azure.microsoft.com/en-us/pricing/purchase-options/?v=18.19&OCID=AID%eexcid!_OLA_%ebuy!_%epid!_%ecid!</v></cell></row><row r="6687"><cell r="K6687" t="str"><v>August</v></cell><cell r="L6687"><v>43330</v></cell><cell r="M6687" t="str"><v>Tier 0</v></cell><cell r="N6687" t="str"><v>North America</v></cell><cell r="O6687" t="str"><v>United States</v></cell><cell r="P6687" t="str"><v>Trial</v></cell><cell r="Q6687" t="str"><v>Social</v></cell><cell r="R6687" t="str"><v>Azure</v></cell><cell r="S6687" t="str"><v>Apps & Infra</v></cell><cell r="T6687" t="str"><v>Developers & ITI's</v></cell><cell r="U6687" t="str"><v>USA-Trial-ITD-Interest Prospecting-AZR-AZR</v></cell><cell r="V6687" t="str"><v>Prospecting</v></cell><cell r="W6687" t="str"><v>Canvas Ad</v></cell><cell r="X6687" t="str"><v>1x1</v></cell></row><row r="6687"><cell r="AA6687"><v>43329</v></cell><cell r="AB6687" t="str"><v>USA_gaPMG_AZR_AZR_Q1_19_Direct-Social</v></cell><cell r="AC6687"><v>21358715</v></cell><cell r="AD6687"><v>720197</v></cell><cell r="AE6687" t="str"><v>Facebook</v></cell><cell r="AF6687"><v>3654128</v></cell><cell r="AG6687" t="str"><v>FACEBOOK»USA-Trial-ITD-Interest Prospecting-AZR-AZR»1 x 1»SocialBan»CAN»ALL»CPA»PRO»X»NA»SS»NA»FBCTCBrandinMotion»PRC1SY</v></cell><cell r="AH6687"><v>224104929</v></cell><cell r="AI6687" t="str"><v>AzurePlatform_FBCTCBrandinMotion_USA_10s_CAN_PLATFORM_English_Trial_Standard_STAN_TIN_T2_2</v></cell><cell r="AJ6687"><v>103032823</v></cell></row><row r="6688"><cell r="C6688" t="str"><v>43329FACEBOOK»USA-Trial-ITD-Interest Prospecting-AZR-AZR»1 x 1»SocialBan»LIA»ALL»CPA»PRO»X»NA»SS»NA»FreeAcctDeveloperFB-AnimatedGeneric-Ch1»PRC1SZ</v></cell><cell r="D6688" t="str"><v>43329224104932</v></cell><cell r="E6688" t="str"><v>43329103176851PRC1SZ</v></cell><cell r="F6688" t="str"><v>DCM</v></cell><cell r="G6688" t="str"><v>https://azure.microsoft.com/en-us/free/search/?OCID=AID%eexcid!_OLA_%ebuy!_%epid!_%ecid!</v></cell></row><row r="6688"><cell r="K6688" t="str"><v>August</v></cell><cell r="L6688"><v>43330</v></cell><cell r="M6688" t="str"><v>Tier 0</v></cell><cell r="N6688" t="str"><v>North America</v></cell><cell r="O6688" t="str"><v>United States</v></cell><cell r="P6688" t="str"><v>Trial</v></cell><cell r="Q6688" t="str"><v>Social</v></cell><cell r="R6688" t="str"><v>Azure</v></cell><cell r="S6688" t="str"><v>Apps & Infra</v></cell><cell r="T6688" t="str"><v>Developers & ITI's</v></cell><cell r="U6688" t="str"><v>USA-Trial-ITD-Interest Prospecting-AZR-AZR</v></cell><cell r="V6688" t="str"><v>Prospecting</v></cell><cell r="W6688" t="str"><v>Link Ad</v></cell><cell r="X6688" t="str"><v>1x1</v></cell></row><row r="6688"><cell r="AA6688"><v>43329</v></cell><cell r="AB6688" t="str"><v>USA_gaPMG_AZR_AZR_Q1_19_Direct-Social</v></cell><cell r="AC6688"><v>21358715</v></cell><cell r="AD6688"><v>720197</v></cell><cell r="AE6688" t="str"><v>Facebook</v></cell><cell r="AF6688"><v>3654128</v></cell><cell r="AG6688" t="str"><v>FACEBOOK»USA-Trial-ITD-Interest Prospecting-AZR-AZR»1 x 1»SocialBan»LIA»ALL»CPA»PRO»X»NA»SS»NA»FreeAcctDeveloperFB-AnimatedGeneric-Ch1»PRC1SZ</v></cell><cell r="AH6688"><v>224104932</v></cell><cell r="AI6688" t="str"><v>AZR_FreeAcctDeveloperFB-AnimatedGeneric-Ch1_USA_1200x1200_CAN_Direct_English_Trial_Standard_ANI_LEA_T1_2</v></cell><cell r="AJ6688"><v>103176851</v></cell></row><row r="6689"><cell r="C6689" t="str"><v>43329FACEBOOK»USA-Trial-ITD-Interest Prospecting-AZR-AZR»1 x 1»SocialBan»LIA»ALL»CPA»PRO»X»NA»SS»NA»FreeAcctITProFB-AnimatedSecureMngd-Ch1»PRC1T4</v></cell><cell r="D6689" t="str"><v>43329224104914</v></cell><cell r="E6689" t="str"><v>43329103176830PRC1T4</v></cell><cell r="F6689" t="str"><v>DCM</v></cell></row><row r="6689"><cell r="K6689" t="str"><v>August</v></cell><cell r="L6689"><v>43330</v></cell><cell r="M6689" t="str"><v>Tier 0</v></cell><cell r="N6689" t="str"><v>North America</v></cell><cell r="O6689" t="str"><v>United States</v></cell><cell r="P6689" t="str"><v>Trial</v></cell><cell r="Q6689" t="str"><v>Social</v></cell><cell r="R6689" t="str"><v>Azure</v></cell><cell r="S6689" t="str"><v>Apps & Infra</v></cell><cell r="T6689" t="str"><v>Developers & ITI's</v></cell><cell r="U6689" t="str"><v>USA-Trial-ITD-Interest Prospecting-AZR-AZR</v></cell><cell r="V6689" t="str"><v>Prospecting</v></cell><cell r="W6689" t="str"><v>Link Ad</v></cell><cell r="X6689" t="str"><v>1x1</v></cell></row><row r="6689"><cell r="AA6689"><v>43329</v></cell><cell r="AB6689" t="str"><v>USA_gaPMG_AZR_AZR_Q1_19_Direct-Social</v></cell><cell r="AC6689"><v>21358715</v></cell><cell r="AD6689"><v>720197</v></cell><cell r="AE6689" t="str"><v>Facebook</v></cell><cell r="AF6689"><v>3654128</v></cell><cell r="AG6689" t="str"><v>FACEBOOK»USA-Trial-ITD-Interest Prospecting-AZR-AZR»1 x 1»SocialBan»LIA»ALL»CPA»PRO»X»NA»SS»NA»FreeAcctITProFB-AnimatedSecureMngd-Ch1»PRC1T4</v></cell><cell r="AH6689"><v>224104914</v></cell><cell r="AI6689" t="str"><v>AZR_FreeAcctITProFB-AnimatedSecureMngd-Ch1_USA_1200x1200_CAN_Direct_English_Trial_Standard_ANI_LEA_T1_1</v></cell><cell r="AJ6689"><v>103176830</v></cell></row><row r="6690"><cell r="C6690" t="str"><v>43329FACEBOOK»USA-Trial-ITD-Interest Prospecting-AZR-AZR»1 x 1»SocialBan»CAN»ALL»CPA»PRO»X»NA»SS»NA»FBCTCBenefitinMotion»PRC1SX</v></cell><cell r="D6690" t="str"><v>43329224104077</v></cell><cell r="E6690" t="str"><v>43329103032775PRC1SX</v></cell><cell r="F6690" t="str"><v>DCM</v></cell><cell r="G6690" t="str"><v>https://signup.azure.com/?OCID=AID%eexcid!_OLA_%ebuy!_%epid!_%ecid!</v></cell></row><row r="6690"><cell r="K6690" t="str"><v>August</v></cell><cell r="L6690"><v>43330</v></cell><cell r="M6690" t="str"><v>Tier 0</v></cell><cell r="N6690" t="str"><v>North America</v></cell><cell r="O6690" t="str"><v>United States</v></cell><cell r="P6690" t="str"><v>Trial</v></cell><cell r="Q6690" t="str"><v>Social</v></cell><cell r="R6690" t="str"><v>Azure</v></cell><cell r="S6690" t="str"><v>Apps & Infra</v></cell><cell r="T6690" t="str"><v>Developers & ITI's</v></cell><cell r="U6690" t="str"><v>USA-Trial-ITD-Interest Prospecting-AZR-AZR</v></cell><cell r="V6690" t="str"><v>Prospecting</v></cell><cell r="W6690" t="str"><v>Canvas Ad</v></cell><cell r="X6690" t="str"><v>1x1</v></cell></row><row r="6690"><cell r="AA6690"><v>43329</v></cell><cell r="AB6690" t="str"><v>USA_gaPMG_AZR_AZR_Q1_19_Direct-Social</v></cell><cell r="AC6690"><v>21358715</v></cell><cell r="AD6690"><v>720197</v></cell><cell r="AE6690" t="str"><v>Facebook</v></cell><cell r="AF6690"><v>3654128</v></cell><cell r="AG6690" t="str"><v>FACEBOOK»USA-Trial-ITD-Interest Prospecting-AZR-AZR»1 x 1»SocialBan»CAN»ALL»CPA»PRO»X»NA»SS»NA»FBCTCBenefitinMotion»PRC1SX</v></cell><cell r="AH6690"><v>224104077</v></cell><cell r="AI6690" t="str"><v>AzurePlatform_FBCTCBenefitinMotion_USA_10s_CAN_PLATFORM_English_Trial_Standard_STAN_TIN_T3_1</v></cell><cell r="AJ6690"><v>103032775</v></cell></row><row r="6691"><cell r="C6691" t="str"><v>43329FACEBOOK»USA-Trial-ITD-Interest Prospecting-AZR-AZR»1 x 1»SocialBan»CAN»ALL»CPA»PRO»X»NA»SS»NA»FBCTCBenefitinMotion»PRC1SX</v></cell><cell r="D6691" t="str"><v>43329224104077</v></cell><cell r="E6691" t="str"><v>43329103176836PRC1SX</v></cell><cell r="F6691" t="str"><v>DCM</v></cell><cell r="G6691" t="str"><v>https://azure.microsoft.com/en-us/pricing/purchase-options/?v=18.19&OCID=AID%eexcid!_OLA_%ebuy!_%epid!_%ecid!</v></cell></row><row r="6691"><cell r="K6691" t="str"><v>August</v></cell><cell r="L6691"><v>43330</v></cell><cell r="M6691" t="str"><v>Tier 0</v></cell><cell r="N6691" t="str"><v>North America</v></cell><cell r="O6691" t="str"><v>United States</v></cell><cell r="P6691" t="str"><v>Trial</v></cell><cell r="Q6691" t="str"><v>Social</v></cell><cell r="R6691" t="str"><v>Azure</v></cell><cell r="S6691" t="str"><v>Apps & Infra</v></cell><cell r="T6691" t="str"><v>Developers & ITI's</v></cell><cell r="U6691" t="str"><v>USA-Trial-ITD-Interest Prospecting-AZR-AZR</v></cell><cell r="V6691" t="str"><v>Prospecting</v></cell><cell r="W6691" t="str"><v>Canvas Ad</v></cell><cell r="X6691" t="str"><v>1x1</v></cell></row><row r="6691"><cell r="AA6691"><v>43329</v></cell><cell r="AB6691" t="str"><v>USA_gaPMG_AZR_AZR_Q1_19_Direct-Social</v></cell><cell r="AC6691"><v>21358715</v></cell><cell r="AD6691"><v>720197</v></cell><cell r="AE6691" t="str"><v>Facebook</v></cell><cell r="AF6691"><v>3654128</v></cell><cell r="AG6691" t="str"><v>FACEBOOK»USA-Trial-ITD-Interest Prospecting-AZR-AZR»1 x 1»SocialBan»CAN»ALL»CPA»PRO»X»NA»SS»NA»FBCTCBenefitinMotion»PRC1SX</v></cell><cell r="AH6691"><v>224104077</v></cell><cell r="AI6691" t="str"><v>AzurePlatform_FBCTCBenefitinMotion_USA_10s_CAN_PLATFORM_English_Trial_Standard_STAN_TIN_T3_2</v></cell><cell r="AJ6691"><v>103176836</v></cell></row><row r="6692"><cell r="C6692" t="str"><v>43329FACEBOOK»USA-Trial-ITD-Retargeting-AZR-AZR»1 x 1»SocialBan»LIA»ALL»CPA»RT»X»NA»SS»NA»FreeAcctRetargetingFB-GlobalAlt-ChB»PRC1RW</v></cell><cell r="D6692" t="str"><v>43329223862756</v></cell><cell r="E6692" t="str"><v>43329103180592PRC1RW</v></cell><cell r="F6692" t="str"><v>DCM</v></cell><cell r="G6692" t="str"><v>https://azure.microsoft.com/en-us/free/search/?OCID=AID%eexcid!_OLA_%ebuy!_%epid!_%ecid!</v></cell></row><row r="6692"><cell r="K6692" t="str"><v>August</v></cell><cell r="L6692"><v>43330</v></cell><cell r="M6692" t="str"><v>Tier 0</v></cell><cell r="N6692" t="str"><v>North America</v></cell><cell r="O6692" t="str"><v>United States</v></cell><cell r="P6692" t="str"><v>Trial</v></cell><cell r="Q6692" t="str"><v>Social</v></cell><cell r="R6692" t="str"><v>Azure</v></cell><cell r="S6692" t="str"><v>Apps & Infra</v></cell><cell r="T6692" t="str"><v>Developers & ITI's</v></cell><cell r="U6692" t="str"><v>USA-Trial-ITD-Retargeting-AZR-AZR</v></cell><cell r="V6692" t="str"><v>Retargeting</v></cell><cell r="W6692" t="str"><v>Link Ad</v></cell><cell r="X6692" t="str"><v>1x1</v></cell></row><row r="6692"><cell r="AA6692"><v>43329</v></cell><cell r="AB6692" t="str"><v>USA_gaPMG_AZR_AZR_Q1_19_Direct-Social</v></cell><cell r="AC6692"><v>21358715</v></cell><cell r="AD6692"><v>720197</v></cell><cell r="AE6692" t="str"><v>Facebook</v></cell><cell r="AF6692"><v>3654128</v></cell><cell r="AG6692" t="str"><v>FACEBOOK»USA-Trial-ITD-Retargeting-AZR-AZR»1 x 1»SocialBan»LIA»ALL»CPA»RT»X»NA»SS»NA»FreeAcctRetargetingFB-GlobalAlt-ChB»PRC1RW</v></cell><cell r="AH6692"><v>223862756</v></cell><cell r="AI6692" t="str"><v>AzurePlatform_FreeAcctRetargetingFB-GlobalAlt-ChB_USA_1200x628_CAN_PLATFORM_English_Free Account_Standard_NA_SINU_T2_1</v></cell><cell r="AJ6692"><v>103180592</v></cell></row><row r="6693"><cell r="C6693" t="str"><v>43329FACEBOOK»USA-Trial-ITD-Retargeting-AZR-AZR»1 x 1»SocialBan»LIA»ALL»CPA»RT»X»NA»SS»NA»FreeAcctRetargetingVMFB-750Hrs-ChD»PRC1RY</v></cell><cell r="D6693" t="str"><v>43329223862747</v></cell><cell r="E6693" t="str"><v>43329103034911PRC1RY</v></cell><cell r="F6693" t="str"><v>DCM</v></cell><cell r="G6693" t="str"><v>https://azure.microsoft.com/en-us/free/virtual-machines/search/?OCID=AID%eexcid!_OLA_%ebuy!_%epid!_%ecid!</v></cell></row><row r="6693"><cell r="K6693" t="str"><v>August</v></cell><cell r="L6693"><v>43330</v></cell><cell r="M6693" t="str"><v>Tier 0</v></cell><cell r="N6693" t="str"><v>North America</v></cell><cell r="O6693" t="str"><v>United States</v></cell><cell r="P6693" t="str"><v>Trial</v></cell><cell r="Q6693" t="str"><v>Social</v></cell><cell r="R6693" t="str"><v>Azure</v></cell><cell r="S6693" t="str"><v>Apps & Infra</v></cell><cell r="T6693" t="str"><v>Developers & ITI's</v></cell><cell r="U6693" t="str"><v>USA-Trial-ITD-Retargeting-AZR-AZR</v></cell><cell r="V6693" t="str"><v>Retargeting</v></cell><cell r="W6693" t="str"><v>Link Ad</v></cell><cell r="X6693" t="str"><v>1x1</v></cell></row><row r="6693"><cell r="AA6693"><v>43329</v></cell><cell r="AB6693" t="str"><v>USA_gaPMG_AZR_AZR_Q1_19_Direct-Social</v></cell><cell r="AC6693"><v>21358715</v></cell><cell r="AD6693"><v>720197</v></cell><cell r="AE6693" t="str"><v>Facebook</v></cell><cell r="AF6693"><v>3654128</v></cell><cell r="AG6693" t="str"><v>FACEBOOK»USA-Trial-ITD-Retargeting-AZR-AZR»1 x 1»SocialBan»LIA»ALL»CPA»RT»X»NA»SS»NA»FreeAcctRetargetingVMFB-750Hrs-ChD»PRC1RY</v></cell><cell r="AH6693"><v>223862747</v></cell><cell r="AI6693" t="str"><v>AzurePlatform_FreeAcctRetargetingVMFB-750Hrs-ChD_USA_1200x628_CAN_PLATFORM_English_Free Account_Standard_NA_SINU_T1_1</v></cell><cell r="AJ6693"><v>103034911</v></cell></row><row r="6694"><cell r="C6694" t="str"><v>43329FACEBOOK»USA-Trial-ITD-Retargeting-AZR-AZR»1 x 1»SocialBan»LIA»ALL»CPA»RT»X»NA»SS»NA»FreeAcctRetargetingVMFB-OnDemand-ChE»PRC1S0</v></cell><cell r="D6694" t="str"><v>43329224104899</v></cell><cell r="E6694" t="str"><v>43329103180610PRC1S0</v></cell><cell r="F6694" t="str"><v>DCM</v></cell><cell r="G6694" t="str"><v>https://azure.microsoft.com/en-us/free/virtual-machines/search/?OCID=AID%eexcid!_OLA_%ebuy!_%epid!_%ecid!</v></cell></row><row r="6694"><cell r="K6694" t="str"><v>August</v></cell><cell r="L6694"><v>43330</v></cell><cell r="M6694" t="str"><v>Tier 0</v></cell><cell r="N6694" t="str"><v>North America</v></cell><cell r="O6694" t="str"><v>United States</v></cell><cell r="P6694" t="str"><v>Trial</v></cell><cell r="Q6694" t="str"><v>Social</v></cell><cell r="R6694" t="str"><v>Azure</v></cell><cell r="S6694" t="str"><v>Apps & Infra</v></cell><cell r="T6694" t="str"><v>Developers & ITI's</v></cell><cell r="U6694" t="str"><v>USA-Trial-ITD-Retargeting-AZR-AZR</v></cell><cell r="V6694" t="str"><v>Retargeting</v></cell><cell r="W6694" t="str"><v>Link Ad</v></cell><cell r="X6694" t="str"><v>1x1</v></cell></row><row r="6694"><cell r="AA6694"><v>43329</v></cell><cell r="AB6694" t="str"><v>USA_gaPMG_AZR_AZR_Q1_19_Direct-Social</v></cell><cell r="AC6694"><v>21358715</v></cell><cell r="AD6694"><v>720197</v></cell><cell r="AE6694" t="str"><v>Facebook</v></cell><cell r="AF6694"><v>3654128</v></cell><cell r="AG6694" t="str"><v>FACEBOOK»USA-Trial-ITD-Retargeting-AZR-AZR»1 x 1»SocialBan»LIA»ALL»CPA»RT»X»NA»SS»NA»FreeAcctRetargetingVMFB-OnDemand-ChE»PRC1S0</v></cell><cell r="AH6694"><v>224104899</v></cell><cell r="AI6694" t="str"><v>AzurePlatform_FreeAcctRetargetingVMFB-OnDemand-ChE_USA_1200x628_CAN_PLATFORM_English_Free Account_Standard_NA_SINU_T2_1</v></cell><cell r="AJ6694"><v>103180610</v></cell></row><row r="6695"><cell r="C6695" t="str"><v>43329FACEBOOK»USA-Trial-ITD-Trial Lookalike-AZR-AZR»1 x 1»SocialBan»CAN»ALL»CPA»LAL»X»NA»SS»NA»FBCTCBenefit2inMotion»PRC1M0</v></cell><cell r="D6695" t="str"><v>43329223862927</v></cell><cell r="E6695" t="str"><v>43329103043835PRC1M0</v></cell><cell r="F6695" t="str"><v>DCM</v></cell><cell r="G6695" t="str"><v>https://signup.azure.com/?OCID=AID%eexcid!_OLA_%ebuy!_%epid!_%ecid!</v></cell></row><row r="6695"><cell r="K6695" t="str"><v>August</v></cell><cell r="L6695"><v>43330</v></cell><cell r="M6695" t="str"><v>Tier 0</v></cell><cell r="N6695" t="str"><v>North America</v></cell><cell r="O6695" t="str"><v>United States</v></cell><cell r="P6695" t="str"><v>Trial</v></cell><cell r="Q6695" t="str"><v>Social</v></cell><cell r="R6695" t="str"><v>Azure</v></cell><cell r="S6695" t="str"><v>Apps & Infra</v></cell><cell r="T6695" t="str"><v>Developers & ITI's</v></cell><cell r="U6695" t="str"><v>USA-Trial-ITD-Trial Lookalike-AZR-AZR</v></cell><cell r="V6695" t="str"><v>Lookalike Targeting</v></cell><cell r="W6695" t="str"><v>Canvas Ad</v></cell><cell r="X6695" t="str"><v>1x1</v></cell></row><row r="6695"><cell r="AA6695"><v>43329</v></cell><cell r="AB6695" t="str"><v>USA_gaPMG_AZR_AZR_Q1_19_Direct-Social</v></cell><cell r="AC6695"><v>21358715</v></cell><cell r="AD6695"><v>720197</v></cell><cell r="AE6695" t="str"><v>Facebook</v></cell><cell r="AF6695"><v>3654128</v></cell><cell r="AG6695" t="str"><v>FACEBOOK»USA-Trial-ITD-Trial Lookalike-AZR-AZR»1 x 1»SocialBan»CAN»ALL»CPA»LAL»X»NA»SS»NA»FBCTCBenefit2inMotion»PRC1M0</v></cell><cell r="AH6695"><v>223862927</v></cell><cell r="AI6695" t="str"><v>AzurePlatform_FBCTCBenefit2inMotion_USA_10s_CAN_PLATFORM_English_Trial_Standard_STAN_TIN_T4_1</v></cell><cell r="AJ6695"><v>103043835</v></cell></row><row r="6696"><cell r="C6696" t="str"><v>43329FACEBOOK»USA-Trial-ITD-Trial Lookalike-AZR-AZR»1 x 1»SocialBan»CAN»ALL»CPA»LAL»X»NA»SS»NA»FBCTCBenefit2inMotion»PRC1M0</v></cell><cell r="D6696" t="str"><v>43329223862927</v></cell><cell r="E6696" t="str"><v>43329103178645PRC1M0</v></cell><cell r="F6696" t="str"><v>DCM</v></cell><cell r="G6696" t="str"><v>https://azure.microsoft.com/en-us/pricing/purchase-options/?v=18.19&OCID=AID%eexcid!_OLA_%ebuy!_%epid!_%ecid!</v></cell></row><row r="6696"><cell r="K6696" t="str"><v>August</v></cell><cell r="L6696"><v>43330</v></cell><cell r="M6696" t="str"><v>Tier 0</v></cell><cell r="N6696" t="str"><v>North America</v></cell><cell r="O6696" t="str"><v>United States</v></cell><cell r="P6696" t="str"><v>Trial</v></cell><cell r="Q6696" t="str"><v>Social</v></cell><cell r="R6696" t="str"><v>Azure</v></cell><cell r="S6696" t="str"><v>Apps & Infra</v></cell><cell r="T6696" t="str"><v>Developers & ITI's</v></cell><cell r="U6696" t="str"><v>USA-Trial-ITD-Trial Lookalike-AZR-AZR</v></cell><cell r="V6696" t="str"><v>Lookalike Targeting</v></cell><cell r="W6696" t="str"><v>Canvas Ad</v></cell><cell r="X6696" t="str"><v>1x1</v></cell></row><row r="6696"><cell r="AA6696"><v>43329</v></cell><cell r="AB6696" t="str"><v>USA_gaPMG_AZR_AZR_Q1_19_Direct-Social</v></cell><cell r="AC6696"><v>21358715</v></cell><cell r="AD6696"><v>720197</v></cell><cell r="AE6696" t="str"><v>Facebook</v></cell><cell r="AF6696"><v>3654128</v></cell><cell r="AG6696" t="str"><v>FACEBOOK»USA-Trial-ITD-Trial Lookalike-AZR-AZR»1 x 1»SocialBan»CAN»ALL»CPA»LAL»X»NA»SS»NA»FBCTCBenefit2inMotion»PRC1M0</v></cell><cell r="AH6696"><v>223862927</v></cell><cell r="AI6696" t="str"><v>AzurePlatform_FBCTCBenefit2inMotion_USA_10s_CAN_PLATFORM_English_Trial_Standard_STAN_TIN_T4_2</v></cell><cell r="AJ6696"><v>103178645</v></cell></row><row r="6697"><cell r="C6697" t="str"><v>43329FACEBOOK»USA-Trial-ITD-Trial Lookalike-AZR-AZR»1 x 1»SocialBan»CAN»ALL»CPA»LAL»X»NA»SS»NA»FBCTCBenefitinMotion»PRC1M2</v></cell><cell r="D6697" t="str"><v>43329223862897</v></cell><cell r="E6697" t="str"><v>43329103176836PRC1M2</v></cell><cell r="F6697" t="str"><v>DCM</v></cell><cell r="G6697" t="str"><v>https://azure.microsoft.com/en-us/pricing/purchase-options/?v=18.19&OCID=AID%eexcid!_OLA_%ebuy!_%epid!_%ecid!</v></cell></row><row r="6697"><cell r="K6697" t="str"><v>August</v></cell><cell r="L6697"><v>43330</v></cell><cell r="M6697" t="str"><v>Tier 0</v></cell><cell r="N6697" t="str"><v>North America</v></cell><cell r="O6697" t="str"><v>United States</v></cell><cell r="P6697" t="str"><v>Trial</v></cell><cell r="Q6697" t="str"><v>Social</v></cell><cell r="R6697" t="str"><v>Azure</v></cell><cell r="S6697" t="str"><v>Apps & Infra</v></cell><cell r="T6697" t="str"><v>Developers & ITI's</v></cell><cell r="U6697" t="str"><v>USA-Trial-ITD-Trial Lookalike-AZR-AZR</v></cell><cell r="V6697" t="str"><v>Lookalike Targeting</v></cell><cell r="W6697" t="str"><v>Canvas Ad</v></cell><cell r="X6697" t="str"><v>1x1</v></cell></row><row r="6697"><cell r="AA6697"><v>43329</v></cell><cell r="AB6697" t="str"><v>USA_gaPMG_AZR_AZR_Q1_19_Direct-Social</v></cell><cell r="AC6697"><v>21358715</v></cell><cell r="AD6697"><v>720197</v></cell><cell r="AE6697" t="str"><v>Facebook</v></cell><cell r="AF6697"><v>3654128</v></cell><cell r="AG6697" t="str"><v>FACEBOOK»USA-Trial-ITD-Trial Lookalike-AZR-AZR»1 x 1»SocialBan»CAN»ALL»CPA»LAL»X»NA»SS»NA»FBCTCBenefitinMotion»PRC1M2</v></cell><cell r="AH6697"><v>223862897</v></cell><cell r="AI6697" t="str"><v>AzurePlatform_FBCTCBenefitinMotion_USA_10s_CAN_PLATFORM_English_Trial_Standard_STAN_TIN_T3_2</v></cell><cell r="AJ6697"><v>103176836</v></cell></row><row r="6698"><cell r="C6698" t="str"><v>43329FACEBOOK»USA-Trial-ITD-Trial Lookalike-AZR-AZR»1 x 1»SocialBan»LIA»ALL»CPA»LAL»X»NA»SS»NA»FreeAcctDeveloperFB-AnimatedData-Ch4»PRC1M8</v></cell><cell r="D6698" t="str"><v>43329223862933</v></cell><cell r="E6698" t="str"><v>43329103037935PRC1M8</v></cell><cell r="F6698" t="str"><v>DCM</v></cell></row><row r="6698"><cell r="K6698" t="str"><v>August</v></cell><cell r="L6698"><v>43330</v></cell><cell r="M6698" t="str"><v>Tier 0</v></cell><cell r="N6698" t="str"><v>North America</v></cell><cell r="O6698" t="str"><v>United States</v></cell><cell r="P6698" t="str"><v>Trial</v></cell><cell r="Q6698" t="str"><v>Social</v></cell><cell r="R6698" t="str"><v>Azure</v></cell><cell r="S6698" t="str"><v>Apps & Infra</v></cell><cell r="T6698" t="str"><v>Developers & ITI's</v></cell><cell r="U6698" t="str"><v>USA-Trial-ITD-Trial Lookalike-AZR-AZR</v></cell><cell r="V6698" t="str"><v>Lookalike Targeting</v></cell><cell r="W6698" t="str"><v>Link Ad</v></cell><cell r="X6698" t="str"><v>1x1</v></cell></row><row r="6698"><cell r="AA6698"><v>43329</v></cell><cell r="AB6698" t="str"><v>USA_gaPMG_AZR_AZR_Q1_19_Direct-Social</v></cell><cell r="AC6698"><v>21358715</v></cell><cell r="AD6698"><v>720197</v></cell><cell r="AE6698" t="str"><v>Facebook</v></cell><cell r="AF6698"><v>3654128</v></cell><cell r="AG6698" t="str"><v>FACEBOOK»USA-Trial-ITD-Trial Lookalike-AZR-AZR»1 x 1»SocialBan»LIA»ALL»CPA»LAL»X»NA»SS»NA»FreeAcctDeveloperFB-AnimatedData-Ch4»PRC1M8</v></cell><cell r="AH6698"><v>223862933</v></cell><cell r="AI6698" t="str"><v>AZR_FreeAcctDeveloperFB-AnimatedData-Ch4_USA_1200x1200_CAN_Direct_English_Trial_Standard_ANI_LEA_T4_2</v></cell><cell r="AJ6698"><v>103037935</v></cell></row><row r="6699"><cell r="C6699" t="str"><v>43329FACEBOOK»USA-Trial-ITD-Trial PayGo Lookalike-AZR-AZR»1 x 1»SocialBan»CAN»ALL»CPA»LAL»X»NA»SS»NA»FBCTCBenefit2inMotion»PRC1Q1</v></cell><cell r="D6699" t="str"><v>43329224104986</v></cell><cell r="E6699" t="str"><v>43329103043835PRC1Q1</v></cell><cell r="F6699" t="str"><v>DCM</v></cell><cell r="G6699" t="str"><v>https://signup.azure.com/?OCID=AID%eexcid!_OLA_%ebuy!_%epid!_%ecid!</v></cell></row><row r="6699"><cell r="K6699" t="str"><v>August</v></cell><cell r="L6699"><v>43330</v></cell><cell r="M6699" t="str"><v>Tier 0</v></cell><cell r="N6699" t="str"><v>North America</v></cell><cell r="O6699" t="str"><v>United States</v></cell><cell r="P6699" t="str"><v>Trial</v></cell><cell r="Q6699" t="str"><v>Social</v></cell><cell r="R6699" t="str"><v>Azure</v></cell><cell r="S6699" t="str"><v>Apps & Infra</v></cell><cell r="T6699" t="str"><v>Developers & ITI's</v></cell><cell r="U6699" t="str"><v>USA-Trial-ITD-Trial PayGo Lookalike-AZR-AZR</v></cell><cell r="V6699" t="str"><v>Lookalike Targeting</v></cell><cell r="W6699" t="str"><v>Canvas Ad</v></cell><cell r="X6699" t="str"><v>1x1</v></cell></row><row r="6699"><cell r="AA6699"><v>43329</v></cell><cell r="AB6699" t="str"><v>USA_gaPMG_AZR_AZR_Q1_19_Direct-Social</v></cell><cell r="AC6699"><v>21358715</v></cell><cell r="AD6699"><v>720197</v></cell><cell r="AE6699" t="str"><v>Facebook</v></cell><cell r="AF6699"><v>3654128</v></cell><cell r="AG6699" t="str"><v>FACEBOOK»USA-Trial-ITD-Trial PayGo Lookalike-AZR-AZR»1 x 1»SocialBan»CAN»ALL»CPA»LAL»X»NA»SS»NA»FBCTCBenefit2inMotion»PRC1Q1</v></cell><cell r="AH6699"><v>224104986</v></cell><cell r="AI6699" t="str"><v>AzurePlatform_FBCTCBenefit2inMotion_USA_10s_CAN_PLATFORM_English_Trial_Standard_STAN_TIN_T4_1</v></cell><cell r="AJ6699"><v>103043835</v></cell></row><row r="6700"><cell r="C6700" t="str"><v>43329FACEBOOK»USA-Trial-ITD-Trial PayGo Lookalike-AZR-AZR»1 x 1»SocialBan»CAN»ALL»CPA»LAL»X»NA»SS»NA»FBCTCBenefit2inMotion»PRC1Q1</v></cell><cell r="D6700" t="str"><v>43329224104986</v></cell><cell r="E6700" t="str"><v>43329103178645PRC1Q1</v></cell><cell r="F6700" t="str"><v>DCM</v></cell><cell r="G6700" t="str"><v>https://azure.microsoft.com/en-us/pricing/purchase-options/?v=18.19&OCID=AID%eexcid!_OLA_%ebuy!_%epid!_%ecid!</v></cell></row><row r="6700"><cell r="K6700" t="str"><v>August</v></cell><cell r="L6700"><v>43330</v></cell><cell r="M6700" t="str"><v>Tier 0</v></cell><cell r="N6700" t="str"><v>North America</v></cell><cell r="O6700" t="str"><v>United States</v></cell><cell r="P6700" t="str"><v>Trial</v></cell><cell r="Q6700" t="str"><v>Social</v></cell><cell r="R6700" t="str"><v>Azure</v></cell><cell r="S6700" t="str"><v>Apps & Infra</v></cell><cell r="T6700" t="str"><v>Developers & ITI's</v></cell><cell r="U6700" t="str"><v>USA-Trial-ITD-Trial PayGo Lookalike-AZR-AZR</v></cell><cell r="V6700" t="str"><v>Lookalike Targeting</v></cell><cell r="W6700" t="str"><v>Canvas Ad</v></cell><cell r="X6700" t="str"><v>1x1</v></cell></row><row r="6700"><cell r="AA6700"><v>43329</v></cell><cell r="AB6700" t="str"><v>USA_gaPMG_AZR_AZR_Q1_19_Direct-Social</v></cell><cell r="AC6700"><v>21358715</v></cell><cell r="AD6700"><v>720197</v></cell><cell r="AE6700" t="str"><v>Facebook</v></cell><cell r="AF6700"><v>3654128</v></cell><cell r="AG6700" t="str"><v>FACEBOOK»USA-Trial-ITD-Trial PayGo Lookalike-AZR-AZR»1 x 1»SocialBan»CAN»ALL»CPA»LAL»X»NA»SS»NA»FBCTCBenefit2inMotion»PRC1Q1</v></cell><cell r="AH6700"><v>224104986</v></cell><cell r="AI6700" t="str"><v>AzurePlatform_FBCTCBenefit2inMotion_USA_10s_CAN_PLATFORM_English_Trial_Standard_STAN_TIN_T4_2</v></cell><cell r="AJ6700"><v>103178645</v></cell></row><row r="6701"><cell r="C6701" t="str"><v>43329FACEBOOK»USA-Trial-ITD-Trial PayGo Lookalike-AZR-AZR»1 x 1»SocialBan»CAN»ALL»CPA»LAL»X»NA»SS»NA»FBCTCBrandinMotion»PRC1Q3</v></cell><cell r="D6701" t="str"><v>43329223935349</v></cell><cell r="E6701" t="str"><v>43329103176812PRC1Q3</v></cell><cell r="F6701" t="str"><v>DCM</v></cell><cell r="G6701" t="str"><v>https://signup.azure.com/?OCID=AID%eexcid!_OLA_%ebuy!_%epid!_%ecid!</v></cell></row><row r="6701"><cell r="K6701" t="str"><v>August</v></cell><cell r="L6701"><v>43330</v></cell><cell r="M6701" t="str"><v>Tier 0</v></cell><cell r="N6701" t="str"><v>North America</v></cell><cell r="O6701" t="str"><v>United States</v></cell><cell r="P6701" t="str"><v>Trial</v></cell><cell r="Q6701" t="str"><v>Social</v></cell><cell r="R6701" t="str"><v>Azure</v></cell><cell r="S6701" t="str"><v>Apps & Infra</v></cell><cell r="T6701" t="str"><v>Developers & ITI's</v></cell><cell r="U6701" t="str"><v>USA-Trial-ITD-Trial PayGo Lookalike-AZR-AZR</v></cell><cell r="V6701" t="str"><v>Lookalike Targeting</v></cell><cell r="W6701" t="str"><v>Canvas Ad</v></cell><cell r="X6701" t="str"><v>1x1</v></cell></row><row r="6701"><cell r="AA6701"><v>43329</v></cell><cell r="AB6701" t="str"><v>USA_gaPMG_AZR_AZR_Q1_19_Direct-Social</v></cell><cell r="AC6701"><v>21358715</v></cell><cell r="AD6701"><v>720197</v></cell><cell r="AE6701" t="str"><v>Facebook</v></cell><cell r="AF6701"><v>3654128</v></cell><cell r="AG6701" t="str"><v>FACEBOOK»USA-Trial-ITD-Trial PayGo Lookalike-AZR-AZR»1 x 1»SocialBan»CAN»ALL»CPA»LAL»X»NA»SS»NA»FBCTCBrandinMotion»PRC1Q3</v></cell><cell r="AH6701"><v>223935349</v></cell><cell r="AI6701" t="str"><v>AzurePlatform_FBCTCBrandinMotion_USA_10s_CAN_PLATFORM_English_Trial_Standard_STAN_TIN_T2_1</v></cell><cell r="AJ6701"><v>103176812</v></cell></row><row r="6702"><cell r="C6702" t="str"><v>43329FACEBOOK»USA-Trial-ITD-Trial PayGo Lookalike-AZR-AZR»1 x 1»SocialBan»CAN»ALL»CPA»LAL»X»NA»SS»NA»FBCTCBrandinMotion»PRC1Q3</v></cell><cell r="D6702" t="str"><v>43329223935349</v></cell><cell r="E6702" t="str"><v>43329103032823PRC1Q3</v></cell><cell r="F6702" t="str"><v>DCM</v></cell><cell r="G6702" t="str"><v>https://azure.microsoft.com/en-us/pricing/purchase-options/?v=18.19&OCID=AID%eexcid!_OLA_%ebuy!_%epid!_%ecid!</v></cell></row><row r="6702"><cell r="K6702" t="str"><v>August</v></cell><cell r="L6702"><v>43330</v></cell><cell r="M6702" t="str"><v>Tier 0</v></cell><cell r="N6702" t="str"><v>North America</v></cell><cell r="O6702" t="str"><v>United States</v></cell><cell r="P6702" t="str"><v>Trial</v></cell><cell r="Q6702" t="str"><v>Social</v></cell><cell r="R6702" t="str"><v>Azure</v></cell><cell r="S6702" t="str"><v>Apps & Infra</v></cell><cell r="T6702" t="str"><v>Developers & ITI's</v></cell><cell r="U6702" t="str"><v>USA-Trial-ITD-Trial PayGo Lookalike-AZR-AZR</v></cell><cell r="V6702" t="str"><v>Lookalike Targeting</v></cell><cell r="W6702" t="str"><v>Canvas Ad</v></cell><cell r="X6702" t="str"><v>1x1</v></cell></row><row r="6702"><cell r="AA6702"><v>43329</v></cell><cell r="AB6702" t="str"><v>USA_gaPMG_AZR_AZR_Q1_19_Direct-Social</v></cell><cell r="AC6702"><v>21358715</v></cell><cell r="AD6702"><v>720197</v></cell><cell r="AE6702" t="str"><v>Facebook</v></cell><cell r="AF6702"><v>3654128</v></cell><cell r="AG6702" t="str"><v>FACEBOOK»USA-Trial-ITD-Trial PayGo Lookalike-AZR-AZR»1 x 1»SocialBan»CAN»ALL»CPA»LAL»X»NA»SS»NA»FBCTCBrandinMotion»PRC1Q3</v></cell><cell r="AH6702"><v>223935349</v></cell><cell r="AI6702" t="str"><v>AzurePlatform_FBCTCBrandinMotion_USA_10s_CAN_PLATFORM_English_Trial_Standard_STAN_TIN_T2_2</v></cell><cell r="AJ6702"><v>103032823</v></cell></row><row r="6703"><cell r="C6703" t="str"><v>43329FACEBOOK»USA-Trial-ITD-Trial PayGo Lookalike-AZR-AZR»1 x 1»SocialBan»CAN»ALL»CPA»LAL»X»NA»SS»NA»FBCTCBenefitinMotion»PRC1Q2</v></cell><cell r="D6703" t="str"><v>43329223862960</v></cell><cell r="E6703" t="str"><v>43329103032775PRC1Q2</v></cell><cell r="F6703" t="str"><v>DCM</v></cell><cell r="G6703" t="str"><v>https://signup.azure.com/?OCID=AID%eexcid!_OLA_%ebuy!_%epid!_%ecid!</v></cell></row><row r="6703"><cell r="K6703" t="str"><v>August</v></cell><cell r="L6703"><v>43330</v></cell><cell r="M6703" t="str"><v>Tier 0</v></cell><cell r="N6703" t="str"><v>North America</v></cell><cell r="O6703" t="str"><v>United States</v></cell><cell r="P6703" t="str"><v>Trial</v></cell><cell r="Q6703" t="str"><v>Social</v></cell><cell r="R6703" t="str"><v>Azure</v></cell><cell r="S6703" t="str"><v>Apps & Infra</v></cell><cell r="T6703" t="str"><v>Developers & ITI's</v></cell><cell r="U6703" t="str"><v>USA-Trial-ITD-Trial PayGo Lookalike-AZR-AZR</v></cell><cell r="V6703" t="str"><v>Lookalike Targeting</v></cell><cell r="W6703" t="str"><v>Canvas Ad</v></cell><cell r="X6703" t="str"><v>1x1</v></cell></row><row r="6703"><cell r="AA6703"><v>43329</v></cell><cell r="AB6703" t="str"><v>USA_gaPMG_AZR_AZR_Q1_19_Direct-Social</v></cell><cell r="AC6703"><v>21358715</v></cell><cell r="AD6703"><v>720197</v></cell><cell r="AE6703" t="str"><v>Facebook</v></cell><cell r="AF6703"><v>3654128</v></cell><cell r="AG6703" t="str"><v>FACEBOOK»USA-Trial-ITD-Trial PayGo Lookalike-AZR-AZR»1 x 1»SocialBan»CAN»ALL»CPA»LAL»X»NA»SS»NA»FBCTCBenefitinMotion»PRC1Q2</v></cell><cell r="AH6703"><v>223862960</v></cell><cell r="AI6703" t="str"><v>AzurePlatform_FBCTCBenefitinMotion_USA_10s_CAN_PLATFORM_English_Trial_Standard_STAN_TIN_T3_1</v></cell><cell r="AJ6703"><v>103032775</v></cell></row><row r="6704"><cell r="C6704" t="str"><v>43329FACEBOOK»USA-Trial-ITD-Trial PayGo Lookalike-AZR-AZR»1 x 1»SocialBan»LIA»ALL»CPA»LAL»X»NA»SS»NA»FreeAcctDeveloperFB-AnimatedGeneric-Ch1»PRC1Q6</v></cell><cell r="D6704" t="str"><v>43329224106129</v></cell><cell r="E6704" t="str"><v>43329103176851PRC1Q6</v></cell><cell r="F6704" t="str"><v>DCM</v></cell><cell r="G6704" t="str"><v>https://azure.microsoft.com/en-us/free/search/?OCID=AID%eexcid!_OLA_%ebuy!_%epid!_%ecid!</v></cell></row><row r="6704"><cell r="K6704" t="str"><v>August</v></cell><cell r="L6704"><v>43330</v></cell><cell r="M6704" t="str"><v>Tier 0</v></cell><cell r="N6704" t="str"><v>North America</v></cell><cell r="O6704" t="str"><v>United States</v></cell><cell r="P6704" t="str"><v>Trial</v></cell><cell r="Q6704" t="str"><v>Social</v></cell><cell r="R6704" t="str"><v>Azure</v></cell><cell r="S6704" t="str"><v>Apps & Infra</v></cell><cell r="T6704" t="str"><v>Developers & ITI's</v></cell><cell r="U6704" t="str"><v>USA-Trial-ITD-Trial PayGo Lookalike-AZR-AZR</v></cell><cell r="V6704" t="str"><v>Lookalike Targeting</v></cell><cell r="W6704" t="str"><v>Link Ad</v></cell><cell r="X6704" t="str"><v>1x1</v></cell></row><row r="6704"><cell r="AA6704"><v>43329</v></cell><cell r="AB6704" t="str"><v>USA_gaPMG_AZR_AZR_Q1_19_Direct-Social</v></cell><cell r="AC6704"><v>21358715</v></cell><cell r="AD6704"><v>720197</v></cell><cell r="AE6704" t="str"><v>Facebook</v></cell><cell r="AF6704"><v>3654128</v></cell><cell r="AG6704" t="str"><v>FACEBOOK»USA-Trial-ITD-Trial PayGo Lookalike-AZR-AZR»1 x 1»SocialBan»LIA»ALL»CPA»LAL»X»NA»SS»NA»FreeAcctDeveloperFB-AnimatedGeneric-Ch1»PRC1Q6</v></cell><cell r="AH6704"><v>224106129</v></cell><cell r="AI6704" t="str"><v>AZR_FreeAcctDeveloperFB-AnimatedGeneric-Ch1_USA_1200x1200_CAN_Direct_English_Trial_Standard_ANI_LEA_T1_2</v></cell><cell r="AJ6704"><v>103176851</v></cell></row><row r="6705"><cell r="C6705" t="str"><v>43329FACEBOOK»USA-Trial-ITD-Trial PayGo Lookalike-AZR-AZR»1 x 1»SocialBan»CCA»ALL»CPA»LAL»X»NA»SS»NA»Azure Developer Facebook Collections»PRSH6K</v></cell><cell r="D6705" t="str"><v>43329225217676</v></cell><cell r="E6705" t="str"><v>43329103874423PRSH6K</v></cell><cell r="F6705" t="str"><v>DCM</v></cell><cell r="G6705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705"><cell r="K6705" t="str"><v>August</v></cell><cell r="L6705"><v>43330</v></cell><cell r="M6705" t="str"><v>Tier 0</v></cell><cell r="N6705" t="str"><v>North America</v></cell><cell r="O6705" t="str"><v>United States</v></cell><cell r="P6705" t="str"><v>Trial</v></cell><cell r="Q6705" t="str"><v>Social</v></cell><cell r="R6705" t="str"><v>Azure</v></cell><cell r="S6705" t="str"><v>Apps & Infra</v></cell><cell r="T6705" t="str"><v>Developers & ITI's</v></cell><cell r="U6705" t="str"><v>USA-Trial-ITD-Trial PayGo Lookalike-AZR-AZR</v></cell><cell r="V6705" t="str"><v>Lookalike Targeting</v></cell><cell r="W6705" t="str"><v>Canvas Collection Ad</v></cell><cell r="X6705" t="str"><v>1x1</v></cell></row><row r="6705"><cell r="AA6705"><v>43329</v></cell><cell r="AB6705" t="str"><v>USA_gaPMG_AZR_AZR_Q1_19_Direct-Social</v></cell><cell r="AC6705"><v>21358715</v></cell><cell r="AD6705"><v>720197</v></cell><cell r="AE6705" t="str"><v>Facebook</v></cell><cell r="AF6705"><v>3654128</v></cell><cell r="AG6705" t="str"><v>FACEBOOK»USA-Trial-ITD-Trial PayGo Lookalike-AZR-AZR»1 x 1»SocialBan»CCA»ALL»CPA»LAL»X»NA»SS»NA»Azure Developer Facebook Collections»PRSH6K</v></cell><cell r="AH6705"><v>225217676</v></cell><cell r="AI6705" t="str"><v>AZR_FBCollections-TryAzureFreeCTA-Img1_USA_1200x182_SOC_Plat_EN_NA_Standard_NA_TIN_T1_1</v></cell><cell r="AJ6705"><v>103874423</v></cell></row><row r="6706"><cell r="C6706" t="str"><v>43329FACEBOOK»USA-Trial-ITD-Trial Lookalike-AZR-AZR»1 x 1»SocialBan»CCA»ALL»CPA»LAL»X»NA»SS»NA»Azure Developer Facebook Collections»PRSH0N</v></cell><cell r="D6706" t="str"><v>43329225282481</v></cell><cell r="E6706" t="str"><v>43329103776921PRSH0N</v></cell><cell r="F6706" t="str"><v>DCM</v></cell><cell r="G6706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706"><cell r="K6706" t="str"><v>August</v></cell><cell r="L6706"><v>43330</v></cell><cell r="M6706" t="str"><v>Tier 0</v></cell><cell r="N6706" t="str"><v>North America</v></cell><cell r="O6706" t="str"><v>United States</v></cell><cell r="P6706" t="str"><v>Trial</v></cell><cell r="Q6706" t="str"><v>Social</v></cell><cell r="R6706" t="str"><v>Azure</v></cell><cell r="S6706" t="str"><v>Apps & Infra</v></cell><cell r="T6706" t="str"><v>Developers & ITI's</v></cell><cell r="U6706" t="str"><v>USA-Trial-ITD-Trial Lookalike-AZR-AZR</v></cell><cell r="V6706" t="str"><v>Lookalike Targeting</v></cell><cell r="W6706" t="str"><v>Canvas Collection Ad</v></cell><cell r="X6706" t="str"><v>1x1</v></cell></row><row r="6706"><cell r="AA6706"><v>43329</v></cell><cell r="AB6706" t="str"><v>USA_gaPMG_AZR_AZR_Q1_19_Direct-Social</v></cell><cell r="AC6706"><v>21358715</v></cell><cell r="AD6706"><v>720197</v></cell><cell r="AE6706" t="str"><v>Facebook</v></cell><cell r="AF6706"><v>3654128</v></cell><cell r="AG6706" t="str"><v>FACEBOOK»USA-Trial-ITD-Trial Lookalike-AZR-AZR»1 x 1»SocialBan»CCA»ALL»CPA»LAL»X»NA»SS»NA»Azure Developer Facebook Collections»PRSH0N</v></cell><cell r="AH6706"><v>225282481</v></cell><cell r="AI6706" t="str"><v>AZR_FBCollections-FreeStuffTryAzureFreeCTA-Img5_USA_1200x182_SOC_Plat_EN_NA_Standard_NA_TIN_T1_5</v></cell><cell r="AJ6706"><v>103776921</v></cell></row><row r="6707"><cell r="C6707" t="str"><v>43329FACEBOOK»USA-Trial-ITD-Interest Prospecting-AZR-AZR»1 x 1»SocialBan»LIA»ALL»CPA»PRO»X»NA»SS»NA»FreeAcctDeveloperFB-AnimatedOpenSource-Ch2»PRC1T1</v></cell><cell r="D6707" t="str"><v>43329223862885</v></cell><cell r="E6707" t="str"><v>43329103048329PRC1T1</v></cell><cell r="F6707" t="str"><v>DCM</v></cell><cell r="G6707" t="str"><v>https://azure.microsoft.com/en-us/free/open-source/search/?OCID=AID%eexcid!_OLA_%ebuy!_%epid!_%ecid!</v></cell></row><row r="6707"><cell r="K6707" t="str"><v>August</v></cell><cell r="L6707"><v>43330</v></cell><cell r="M6707" t="str"><v>Tier 0</v></cell><cell r="N6707" t="str"><v>North America</v></cell><cell r="O6707" t="str"><v>United States</v></cell><cell r="P6707" t="str"><v>Trial</v></cell><cell r="Q6707" t="str"><v>Social</v></cell><cell r="R6707" t="str"><v>Azure</v></cell><cell r="S6707" t="str"><v>Apps & Infra</v></cell><cell r="T6707" t="str"><v>Developers & ITI's</v></cell><cell r="U6707" t="str"><v>USA-Trial-ITD-Interest Prospecting-AZR-AZR</v></cell><cell r="V6707" t="str"><v>Prospecting</v></cell><cell r="W6707" t="str"><v>Link Ad</v></cell><cell r="X6707" t="str"><v>1x1</v></cell></row><row r="6707"><cell r="AA6707"><v>43329</v></cell><cell r="AB6707" t="str"><v>USA_gaPMG_AZR_AZR_Q1_19_Direct-Social</v></cell><cell r="AC6707"><v>21358715</v></cell><cell r="AD6707"><v>720197</v></cell><cell r="AE6707" t="str"><v>Facebook</v></cell><cell r="AF6707"><v>3654128</v></cell><cell r="AG6707" t="str"><v>FACEBOOK»USA-Trial-ITD-Interest Prospecting-AZR-AZR»1 x 1»SocialBan»LIA»ALL»CPA»PRO»X»NA»SS»NA»FreeAcctDeveloperFB-AnimatedOpenSource-Ch2»PRC1T1</v></cell><cell r="AH6707"><v>223862885</v></cell><cell r="AI6707" t="str"><v>AZR_FreeAcctDeveloperFB-AnimatedOpenSource-Ch2_USA_1200x1200_CAN_Direct_English_Trial_Standard_ANI_LEA_T2_1</v></cell><cell r="AJ6707"><v>103048329</v></cell></row><row r="6708"><cell r="C6708" t="str"><v>43329FACEBOOK»USA-Trial-ITD-Interest Prospecting-AZR-AZR»1 x 1»SocialBan»CAN»ALL»CPA»PRO»X»NA»SS»NA»FreeAcctITProFB-AnimatedMigration-Ch3»PS78JJ</v></cell><cell r="D6708" t="str"><v>43329226622899</v></cell><cell r="E6708" t="str"><v>43329104593450PS78JJ</v></cell><cell r="F6708" t="str"><v>DCM</v></cell><cell r="G6708" t="str"><v>https://signup.azure.com/?OCID=AID%eexcid!_OLA_%ebuy!_%epid!_%ecid!</v></cell></row><row r="6708"><cell r="K6708" t="str"><v>August</v></cell><cell r="L6708"><v>43330</v></cell><cell r="M6708" t="str"><v>Tier 0</v></cell><cell r="N6708" t="str"><v>North America</v></cell><cell r="O6708" t="str"><v>United States</v></cell><cell r="P6708" t="str"><v>Trial</v></cell><cell r="Q6708" t="str"><v>Social</v></cell><cell r="R6708" t="str"><v>Azure</v></cell><cell r="S6708" t="str"><v>Apps & Infra</v></cell><cell r="T6708" t="str"><v>Developers & ITI's</v></cell><cell r="U6708" t="str"><v>USA-Trial-ITD-Interest Prospecting-AZR-AZR</v></cell><cell r="V6708" t="str"><v>Prospecting</v></cell><cell r="W6708" t="str"><v>Canvas Ad</v></cell><cell r="X6708" t="str"><v>1x1</v></cell></row><row r="6708"><cell r="AA6708"><v>43329</v></cell><cell r="AB6708" t="str"><v>USA_gaPMG_AZR_AZR_Q1_19_Direct-Social</v></cell><cell r="AC6708"><v>21358715</v></cell><cell r="AD6708"><v>720197</v></cell><cell r="AE6708" t="str"><v>Facebook</v></cell><cell r="AF6708"><v>3654128</v></cell><cell r="AG6708" t="str"><v>FACEBOOK»USA-Trial-ITD-Interest Prospecting-AZR-AZR»1 x 1»SocialBan»CAN»ALL»CPA»PRO»X»NA»SS»NA»FreeAcctITProFB-AnimatedMigration-Ch3»PS78JJ</v></cell><cell r="AH6708"><v>226622899</v></cell><cell r="AI6708" t="str"><v>AZR_FreeAcctITProFB-AnimatedMigration-Ch3_USA_1200x1200_CAN_Direct_EN_Trial_Standard_ANI_LEA_T3_1</v></cell><cell r="AJ6708"><v>104593450</v></cell></row><row r="6709"><cell r="C6709" t="str"><v>43329FACEBOOK»USA-Trial-ITD-Interest Prospecting-AZR-AZR»1 x 1»SocialBan»CAN»ALL»CPA»PRO»X»NA»SS»NA»FreeAcctDeveloperFB-AnimatedAI-Ch3»PS78J8</v></cell><cell r="D6709" t="str"><v>43329226621006</v></cell><cell r="E6709" t="str"><v>43329104595745PS78J8</v></cell><cell r="F6709" t="str"><v>DCM</v></cell><cell r="G6709" t="str"><v>https://azure.microsoft.com/en-us/pricing/purchase-options/?v=18.19&OCID=AID%eexcid!_OLA_%ebuy!_%epid!_%ecid!</v></cell></row><row r="6709"><cell r="K6709" t="str"><v>August</v></cell><cell r="L6709"><v>43330</v></cell><cell r="M6709" t="str"><v>Tier 0</v></cell><cell r="N6709" t="str"><v>North America</v></cell><cell r="O6709" t="str"><v>United States</v></cell><cell r="P6709" t="str"><v>Trial</v></cell><cell r="Q6709" t="str"><v>Social</v></cell><cell r="R6709" t="str"><v>Azure</v></cell><cell r="S6709" t="str"><v>Apps & Infra</v></cell><cell r="T6709" t="str"><v>Developers & ITI's</v></cell><cell r="U6709" t="str"><v>USA-Trial-ITD-Interest Prospecting-AZR-AZR</v></cell><cell r="V6709" t="str"><v>Prospecting</v></cell><cell r="W6709" t="str"><v>Canvas Ad</v></cell><cell r="X6709" t="str"><v>1x1</v></cell></row><row r="6709"><cell r="AA6709"><v>43329</v></cell><cell r="AB6709" t="str"><v>USA_gaPMG_AZR_AZR_Q1_19_Direct-Social</v></cell><cell r="AC6709"><v>21358715</v></cell><cell r="AD6709"><v>720197</v></cell><cell r="AE6709" t="str"><v>Facebook</v></cell><cell r="AF6709"><v>3654128</v></cell><cell r="AG6709" t="str"><v>FACEBOOK»USA-Trial-ITD-Interest Prospecting-AZR-AZR»1 x 1»SocialBan»CAN»ALL»CPA»PRO»X»NA»SS»NA»FreeAcctDeveloperFB-AnimatedAI-Ch3»PS78J8</v></cell><cell r="AH6709"><v>226621006</v></cell><cell r="AI6709" t="str"><v>AZR_FreeAcctDeveloperFB-AnimatedAI-Ch3_USA_1200x1200_CAN_Direct_EN_Trial_Standard_ANI_LEA_T3_2</v></cell><cell r="AJ6709"><v>104595745</v></cell></row><row r="6710"><cell r="C6710" t="str"><v>43329FACEBOOK»USA-Trial-ITD-Interest Prospecting-AZR-AZR»1 x 1»SocialBan»CAN»ALL»CPA»PRO»X»NA»SS»NA»FreeAcctDeveloperFB-AnimatedGeneric-Ch1»PS78J5</v></cell><cell r="D6710" t="str"><v>43329226783992</v></cell><cell r="E6710" t="str"><v>43329104592523PS78J5</v></cell><cell r="F6710" t="str"><v>DCM</v></cell><cell r="G6710" t="str"><v>https://azure.microsoft.com/en-us/pricing/purchase-options/?v=18.19&OCID=AID%eexcid!_OLA_%ebuy!_%epid!_%ecid!</v></cell></row><row r="6710"><cell r="K6710" t="str"><v>August</v></cell><cell r="L6710"><v>43330</v></cell><cell r="M6710" t="str"><v>Tier 0</v></cell><cell r="N6710" t="str"><v>North America</v></cell><cell r="O6710" t="str"><v>United States</v></cell><cell r="P6710" t="str"><v>Trial</v></cell><cell r="Q6710" t="str"><v>Social</v></cell><cell r="R6710" t="str"><v>Azure</v></cell><cell r="S6710" t="str"><v>Apps & Infra</v></cell><cell r="T6710" t="str"><v>Developers & ITI's</v></cell><cell r="U6710" t="str"><v>USA-Trial-ITD-Interest Prospecting-AZR-AZR</v></cell><cell r="V6710" t="str"><v>Prospecting</v></cell><cell r="W6710" t="str"><v>Canvas Ad</v></cell><cell r="X6710" t="str"><v>1x1</v></cell></row><row r="6710"><cell r="AA6710"><v>43329</v></cell><cell r="AB6710" t="str"><v>USA_gaPMG_AZR_AZR_Q1_19_Direct-Social</v></cell><cell r="AC6710"><v>21358715</v></cell><cell r="AD6710"><v>720197</v></cell><cell r="AE6710" t="str"><v>Facebook</v></cell><cell r="AF6710"><v>3654128</v></cell><cell r="AG6710" t="str"><v>FACEBOOK»USA-Trial-ITD-Interest Prospecting-AZR-AZR»1 x 1»SocialBan»CAN»ALL»CPA»PRO»X»NA»SS»NA»FreeAcctDeveloperFB-AnimatedGeneric-Ch1»PS78J5</v></cell><cell r="AH6710"><v>226783992</v></cell><cell r="AI6710" t="str"><v>AZR_FreeAcctDeveloperFB-AnimatedGeneric-Ch1_USA_1200x1200_CAN_Direct_EN_Trial_Standard_ANI_LEA_T1_2</v></cell><cell r="AJ6710"><v>104592523</v></cell></row><row r="6711"><cell r="C6711" t="str"><v>43329FACEBOOK»USA-Trial-ITD-Interest Prospecting-AZR-AZR»1 x 1»SocialBan»CAN»ALL»CPA»PRO»X»NA»SS»NA»FreeAcctDeveloperFB-AnimatedGeneric-Ch1»PS78J6</v></cell><cell r="D6711" t="str"><v>43329226622239</v></cell><cell r="E6711" t="str"><v>43329104592523PS78J6</v></cell><cell r="F6711" t="str"><v>DCM</v></cell><cell r="G6711" t="str"><v>https://azure.microsoft.com/en-us/pricing/purchase-options/?v=18.19&OCID=AID%eexcid!_OLA_%ebuy!_%epid!_%ecid!</v></cell></row><row r="6711"><cell r="K6711" t="str"><v>August</v></cell><cell r="L6711"><v>43330</v></cell><cell r="M6711" t="str"><v>Tier 0</v></cell><cell r="N6711" t="str"><v>North America</v></cell><cell r="O6711" t="str"><v>United States</v></cell><cell r="P6711" t="str"><v>Trial</v></cell><cell r="Q6711" t="str"><v>Social</v></cell><cell r="R6711" t="str"><v>Azure</v></cell><cell r="S6711" t="str"><v>Apps & Infra</v></cell><cell r="T6711" t="str"><v>Developers & ITI's</v></cell><cell r="U6711" t="str"><v>USA-Trial-ITD-Interest Prospecting-AZR-AZR</v></cell><cell r="V6711" t="str"><v>Prospecting</v></cell><cell r="W6711" t="str"><v>Canvas Ad</v></cell><cell r="X6711" t="str"><v>1x1</v></cell></row><row r="6711"><cell r="AA6711"><v>43329</v></cell><cell r="AB6711" t="str"><v>USA_gaPMG_AZR_AZR_Q1_19_Direct-Social</v></cell><cell r="AC6711"><v>21358715</v></cell><cell r="AD6711"><v>720197</v></cell><cell r="AE6711" t="str"><v>Facebook</v></cell><cell r="AF6711"><v>3654128</v></cell><cell r="AG6711" t="str"><v>FACEBOOK»USA-Trial-ITD-Interest Prospecting-AZR-AZR»1 x 1»SocialBan»CAN»ALL»CPA»PRO»X»NA»SS»NA»FreeAcctDeveloperFB-AnimatedGeneric-Ch1»PS78J6</v></cell><cell r="AH6711"><v>226622239</v></cell><cell r="AI6711" t="str"><v>AZR_FreeAcctDeveloperFB-AnimatedGeneric-Ch1_USA_1200x1200_CAN_Direct_EN_Trial_Standard_ANI_LEA_T1_2</v></cell><cell r="AJ6711"><v>104592523</v></cell></row><row r="6712"><cell r="C6712" t="str"><v>43329FACEBOOK»USA-Trial-ITD-Interest Prospecting-AZR-AZR»1 x 1»SocialBan»CAN»ALL»CPA»PRO»X»NA»SS»NA»FreeAcctDeveloperFB-AnimatedData-Ch4»PS78JC</v></cell><cell r="D6712" t="str"><v>43329226617664</v></cell><cell r="E6712" t="str"><v>43329104595739PS78JC</v></cell><cell r="F6712" t="str"><v>DCM</v></cell><cell r="G6712" t="str"><v>https://signup.azure.com/?OCID=AID%eexcid!_OLA_%ebuy!_%epid!_%ecid!</v></cell></row><row r="6712"><cell r="K6712" t="str"><v>August</v></cell><cell r="L6712"><v>43330</v></cell><cell r="M6712" t="str"><v>Tier 0</v></cell><cell r="N6712" t="str"><v>North America</v></cell><cell r="O6712" t="str"><v>United States</v></cell><cell r="P6712" t="str"><v>Trial</v></cell><cell r="Q6712" t="str"><v>Social</v></cell><cell r="R6712" t="str"><v>Azure</v></cell><cell r="S6712" t="str"><v>Apps & Infra</v></cell><cell r="T6712" t="str"><v>Developers & ITI's</v></cell><cell r="U6712" t="str"><v>USA-Trial-ITD-Interest Prospecting-AZR-AZR</v></cell><cell r="V6712" t="str"><v>Prospecting</v></cell><cell r="W6712" t="str"><v>Canvas Ad</v></cell><cell r="X6712" t="str"><v>1x1</v></cell></row><row r="6712"><cell r="AA6712"><v>43329</v></cell><cell r="AB6712" t="str"><v>USA_gaPMG_AZR_AZR_Q1_19_Direct-Social</v></cell><cell r="AC6712"><v>21358715</v></cell><cell r="AD6712"><v>720197</v></cell><cell r="AE6712" t="str"><v>Facebook</v></cell><cell r="AF6712"><v>3654128</v></cell><cell r="AG6712" t="str"><v>FACEBOOK»USA-Trial-ITD-Interest Prospecting-AZR-AZR»1 x 1»SocialBan»CAN»ALL»CPA»PRO»X»NA»SS»NA»FreeAcctDeveloperFB-AnimatedData-Ch4»PS78JC</v></cell><cell r="AH6712"><v>226617664</v></cell><cell r="AI6712" t="str"><v>AZR_FreeAcctDeveloperFB-AnimatedData-Ch4_USA_1200x1200_CAN_Direct_EN_Trial_Standard_ANI_LEA_T4_1</v></cell><cell r="AJ6712"><v>104595739</v></cell></row><row r="6713"><cell r="C6713" t="str"><v>43329FACEBOOK»USA-Trial-ITD-Lead Completes Lookalike-AZR-AZR»1 x 1»SocialBan»CAN»ALL»CPA»LAL»X»NA»SS»NA»FBCTCBrandinMotion»PRX724</v></cell><cell r="D6713" t="str"><v>43329226028475</v></cell><cell r="E6713" t="str"><v>43329104593696PRX724</v></cell><cell r="F6713" t="str"><v>DCM</v></cell><cell r="G6713" t="str"><v>https://signup.azure.com/?OCID=AID%eexcid!_OLA_%ebuy!_%epid!_%ecid!</v></cell></row><row r="6713"><cell r="K6713" t="str"><v>August</v></cell><cell r="L6713"><v>43330</v></cell><cell r="M6713" t="str"><v>Tier 0</v></cell><cell r="N6713" t="str"><v>North America</v></cell><cell r="O6713" t="str"><v>United States</v></cell><cell r="P6713" t="str"><v>Trial</v></cell><cell r="Q6713" t="str"><v>Social</v></cell><cell r="R6713" t="str"><v>Azure</v></cell><cell r="S6713" t="str"><v>Apps & Infra</v></cell><cell r="T6713" t="str"><v>Developers & ITI's</v></cell><cell r="U6713" t="str"><v>USA-Trial-ITD-Lead Completes Lookalike-AZR-AZR</v></cell><cell r="V6713" t="str"><v>Lookalike Targeting</v></cell><cell r="W6713" t="str"><v>Canvas Ad</v></cell><cell r="X6713" t="str"><v>1x1</v></cell></row><row r="6713"><cell r="AA6713"><v>43329</v></cell><cell r="AB6713" t="str"><v>USA_gaPMG_AZR_AZR_Q1_19_Direct-Social</v></cell><cell r="AC6713"><v>21358715</v></cell><cell r="AD6713"><v>720197</v></cell><cell r="AE6713" t="str"><v>Facebook</v></cell><cell r="AF6713"><v>3654128</v></cell><cell r="AG6713" t="str"><v>FACEBOOK»USA-Trial-ITD-Lead Completes Lookalike-AZR-AZR»1 x 1»SocialBan»CAN»ALL»CPA»LAL»X»NA»SS»NA»FBCTCBrandinMotion»PRX724</v></cell><cell r="AH6713"><v>226028475</v></cell><cell r="AI6713" t="str"><v>AZR_FBCTCBrandinMotion_USA_10s_CAN_PLATFORM_English_Trial_Standard_STAN_TIN_T2_1</v></cell><cell r="AJ6713"><v>104593696</v></cell></row><row r="6714"><cell r="C6714" t="str"><v>43329FACEBOOK»USA-Trial-ITD-Lead Completes Lookalike-AZR-AZR»1 x 1»SocialBan»CAN»ALL»CPA»LAL»X»NA»SS»NA»FBCTCBrandinMotion»PRX724</v></cell><cell r="D6714" t="str"><v>43329226028475</v></cell><cell r="E6714" t="str"><v>43329104671406PRX724</v></cell><cell r="F6714" t="str"><v>DCM</v></cell><cell r="G6714" t="str"><v>https://azure.microsoft.com/en-us/pricing/purchase-options/?v=18.19&OCID=AID%eexcid!_OLA_%ebuy!_%epid!_%ecid!</v></cell></row><row r="6714"><cell r="K6714" t="str"><v>August</v></cell><cell r="L6714"><v>43330</v></cell><cell r="M6714" t="str"><v>Tier 0</v></cell><cell r="N6714" t="str"><v>North America</v></cell><cell r="O6714" t="str"><v>United States</v></cell><cell r="P6714" t="str"><v>Trial</v></cell><cell r="Q6714" t="str"><v>Social</v></cell><cell r="R6714" t="str"><v>Azure</v></cell><cell r="S6714" t="str"><v>Apps & Infra</v></cell><cell r="T6714" t="str"><v>Developers & ITI's</v></cell><cell r="U6714" t="str"><v>USA-Trial-ITD-Lead Completes Lookalike-AZR-AZR</v></cell><cell r="V6714" t="str"><v>Lookalike Targeting</v></cell><cell r="W6714" t="str"><v>Canvas Ad</v></cell><cell r="X6714" t="str"><v>1x1</v></cell></row><row r="6714"><cell r="AA6714"><v>43329</v></cell><cell r="AB6714" t="str"><v>USA_gaPMG_AZR_AZR_Q1_19_Direct-Social</v></cell><cell r="AC6714"><v>21358715</v></cell><cell r="AD6714"><v>720197</v></cell><cell r="AE6714" t="str"><v>Facebook</v></cell><cell r="AF6714"><v>3654128</v></cell><cell r="AG6714" t="str"><v>FACEBOOK»USA-Trial-ITD-Lead Completes Lookalike-AZR-AZR»1 x 1»SocialBan»CAN»ALL»CPA»LAL»X»NA»SS»NA»FBCTCBrandinMotion»PRX724</v></cell><cell r="AH6714"><v>226028475</v></cell><cell r="AI6714" t="str"><v>AZR_FBCTCBrandinMotion_USA_10s_CAN_PLATFORM_English_Trial_Standard_STAN_TIN_T2_2</v></cell><cell r="AJ6714"><v>104671406</v></cell></row><row r="6715"><cell r="C6715" t="str"><v>43329FACEBOOK»USA-Trial-ITD-Lead Completes Lookalike-AZR-AZR»1 x 1»SocialBan»CAN»ALL»CPA»LAL»X»NA»SS»NA»FBCTCBasicMotion»PRX721</v></cell><cell r="D6715" t="str"><v>43329226030086</v></cell><cell r="E6715" t="str"><v>43329104593207PRX721</v></cell><cell r="F6715" t="str"><v>DCM</v></cell><cell r="G6715" t="str"><v>https://signup.azure.com/?OCID=AID%eexcid!_OLA_%ebuy!_%epid!_%ecid!</v></cell></row><row r="6715"><cell r="K6715" t="str"><v>August</v></cell><cell r="L6715"><v>43330</v></cell><cell r="M6715" t="str"><v>Tier 0</v></cell><cell r="N6715" t="str"><v>North America</v></cell><cell r="O6715" t="str"><v>United States</v></cell><cell r="P6715" t="str"><v>Trial</v></cell><cell r="Q6715" t="str"><v>Social</v></cell><cell r="R6715" t="str"><v>Azure</v></cell><cell r="S6715" t="str"><v>Apps & Infra</v></cell><cell r="T6715" t="str"><v>Developers & ITI's</v></cell><cell r="U6715" t="str"><v>USA-Trial-ITD-Lead Completes Lookalike-AZR-AZR</v></cell><cell r="V6715" t="str"><v>Lookalike Targeting</v></cell><cell r="W6715" t="str"><v>Canvas Ad</v></cell><cell r="X6715" t="str"><v>1x1</v></cell></row><row r="6715"><cell r="AA6715"><v>43329</v></cell><cell r="AB6715" t="str"><v>USA_gaPMG_AZR_AZR_Q1_19_Direct-Social</v></cell><cell r="AC6715"><v>21358715</v></cell><cell r="AD6715"><v>720197</v></cell><cell r="AE6715" t="str"><v>Facebook</v></cell><cell r="AF6715"><v>3654128</v></cell><cell r="AG6715" t="str"><v>FACEBOOK»USA-Trial-ITD-Lead Completes Lookalike-AZR-AZR»1 x 1»SocialBan»CAN»ALL»CPA»LAL»X»NA»SS»NA»FBCTCBasicMotion»PRX721</v></cell><cell r="AH6715"><v>226030086</v></cell><cell r="AI6715" t="str"><v>AZR_FBCTCBasicMotion_USA_10s_CAN_PLATFORM_English_Trial_Standard_STAN_TIN_T1_1</v></cell><cell r="AJ6715"><v>104593207</v></cell></row><row r="6716"><cell r="C6716" t="str"><v>43329FACEBOOK»USA-Trial-ITD-Lead Completes Lookalike-AZR-AZR»1 x 1»SocialBan»CAN»ALL»CPA»LAL»X»NA»SS»NA»FBCTCBasicMotion»PRX721</v></cell><cell r="D6716" t="str"><v>43329226030086</v></cell><cell r="E6716" t="str"><v>43329104593426PRX721</v></cell><cell r="F6716" t="str"><v>DCM</v></cell><cell r="G6716" t="str"><v>https://azure.microsoft.com/en-us/pricing/purchase-options/?v=18.19&OCID=AID%eexcid!_OLA_%ebuy!_%epid!_%ecid!</v></cell></row><row r="6716"><cell r="K6716" t="str"><v>August</v></cell><cell r="L6716"><v>43330</v></cell><cell r="M6716" t="str"><v>Tier 0</v></cell><cell r="N6716" t="str"><v>North America</v></cell><cell r="O6716" t="str"><v>United States</v></cell><cell r="P6716" t="str"><v>Trial</v></cell><cell r="Q6716" t="str"><v>Social</v></cell><cell r="R6716" t="str"><v>Azure</v></cell><cell r="S6716" t="str"><v>Apps & Infra</v></cell><cell r="T6716" t="str"><v>Developers & ITI's</v></cell><cell r="U6716" t="str"><v>USA-Trial-ITD-Lead Completes Lookalike-AZR-AZR</v></cell><cell r="V6716" t="str"><v>Lookalike Targeting</v></cell><cell r="W6716" t="str"><v>Canvas Ad</v></cell><cell r="X6716" t="str"><v>1x1</v></cell></row><row r="6716"><cell r="AA6716"><v>43329</v></cell><cell r="AB6716" t="str"><v>USA_gaPMG_AZR_AZR_Q1_19_Direct-Social</v></cell><cell r="AC6716"><v>21358715</v></cell><cell r="AD6716"><v>720197</v></cell><cell r="AE6716" t="str"><v>Facebook</v></cell><cell r="AF6716"><v>3654128</v></cell><cell r="AG6716" t="str"><v>FACEBOOK»USA-Trial-ITD-Lead Completes Lookalike-AZR-AZR»1 x 1»SocialBan»CAN»ALL»CPA»LAL»X»NA»SS»NA»FBCTCBasicMotion»PRX721</v></cell><cell r="AH6716"><v>226030086</v></cell><cell r="AI6716" t="str"><v>AZR_FBCTCBasicMotion_USA_10s_CAN_PLATFORM_English_Trial_Standard_STAN_TIN_T1_2</v></cell><cell r="AJ6716"><v>104593426</v></cell></row><row r="6717"><cell r="C6717" t="str"><v>43329FACEBOOK»USA-Trial-ITD-Lead Completes Lookalike-AZR-AZR»1 x 1»SocialBan»CAN»ALL»CPA»LAL»X»NA»SS»NA»FBCTCBenefitinMotion»PRX723</v></cell><cell r="D6717" t="str"><v>43329225841993</v></cell><cell r="E6717" t="str"><v>43329104593411PRX723</v></cell><cell r="F6717" t="str"><v>DCM</v></cell><cell r="G6717" t="str"><v>https://signup.azure.com/?OCID=AID%eexcid!_OLA_%ebuy!_%epid!_%ecid!</v></cell></row><row r="6717"><cell r="K6717" t="str"><v>August</v></cell><cell r="L6717"><v>43330</v></cell><cell r="M6717" t="str"><v>Tier 0</v></cell><cell r="N6717" t="str"><v>North America</v></cell><cell r="O6717" t="str"><v>United States</v></cell><cell r="P6717" t="str"><v>Trial</v></cell><cell r="Q6717" t="str"><v>Social</v></cell><cell r="R6717" t="str"><v>Azure</v></cell><cell r="S6717" t="str"><v>Apps & Infra</v></cell><cell r="T6717" t="str"><v>Developers & ITI's</v></cell><cell r="U6717" t="str"><v>USA-Trial-ITD-Lead Completes Lookalike-AZR-AZR</v></cell><cell r="V6717" t="str"><v>Lookalike Targeting</v></cell><cell r="W6717" t="str"><v>Canvas Ad</v></cell><cell r="X6717" t="str"><v>1x1</v></cell></row><row r="6717"><cell r="AA6717"><v>43329</v></cell><cell r="AB6717" t="str"><v>USA_gaPMG_AZR_AZR_Q1_19_Direct-Social</v></cell><cell r="AC6717"><v>21358715</v></cell><cell r="AD6717"><v>720197</v></cell><cell r="AE6717" t="str"><v>Facebook</v></cell><cell r="AF6717"><v>3654128</v></cell><cell r="AG6717" t="str"><v>FACEBOOK»USA-Trial-ITD-Lead Completes Lookalike-AZR-AZR»1 x 1»SocialBan»CAN»ALL»CPA»LAL»X»NA»SS»NA»FBCTCBenefitinMotion»PRX723</v></cell><cell r="AH6717"><v>225841993</v></cell><cell r="AI6717" t="str"><v>AZR_FBCTCBenefitinMotion_USA_10s_CAN_PLATFORM_English_Trial_Standard_STAN_TIN_T3_1</v></cell><cell r="AJ6717"><v>104593411</v></cell></row><row r="6718"><cell r="C6718" t="str"><v>43329FACEBOOK»USA-Trial-ITD-Lead Completes Lookalike-AZR-AZR»1 x 1»SocialBan»CAN»ALL»CPA»LAL»X»NA»SS»NA»FBCTCBenefitinMotion»PRX723</v></cell><cell r="D6718" t="str"><v>43329225841993</v></cell><cell r="E6718" t="str"><v>43329104595718PRX723</v></cell><cell r="F6718" t="str"><v>DCM</v></cell><cell r="G6718" t="str"><v>https://azure.microsoft.com/en-us/pricing/purchase-options/?v=18.19&OCID=AID%eexcid!_OLA_%ebuy!_%epid!_%ecid!</v></cell></row><row r="6718"><cell r="K6718" t="str"><v>August</v></cell><cell r="L6718"><v>43330</v></cell><cell r="M6718" t="str"><v>Tier 0</v></cell><cell r="N6718" t="str"><v>North America</v></cell><cell r="O6718" t="str"><v>United States</v></cell><cell r="P6718" t="str"><v>Trial</v></cell><cell r="Q6718" t="str"><v>Social</v></cell><cell r="R6718" t="str"><v>Azure</v></cell><cell r="S6718" t="str"><v>Apps & Infra</v></cell><cell r="T6718" t="str"><v>Developers & ITI's</v></cell><cell r="U6718" t="str"><v>USA-Trial-ITD-Lead Completes Lookalike-AZR-AZR</v></cell><cell r="V6718" t="str"><v>Lookalike Targeting</v></cell><cell r="W6718" t="str"><v>Canvas Ad</v></cell><cell r="X6718" t="str"><v>1x1</v></cell></row><row r="6718"><cell r="AA6718"><v>43329</v></cell><cell r="AB6718" t="str"><v>USA_gaPMG_AZR_AZR_Q1_19_Direct-Social</v></cell><cell r="AC6718"><v>21358715</v></cell><cell r="AD6718"><v>720197</v></cell><cell r="AE6718" t="str"><v>Facebook</v></cell><cell r="AF6718"><v>3654128</v></cell><cell r="AG6718" t="str"><v>FACEBOOK»USA-Trial-ITD-Lead Completes Lookalike-AZR-AZR»1 x 1»SocialBan»CAN»ALL»CPA»LAL»X»NA»SS»NA»FBCTCBenefitinMotion»PRX723</v></cell><cell r="AH6718"><v>225841993</v></cell><cell r="AI6718" t="str"><v>AZR_FBCTCBenefitinMotion_USA_10s_CAN_PLATFORM_English_Trial_Standard_STAN_TIN_T3_2</v></cell><cell r="AJ6718"><v>104595718</v></cell></row><row r="6719"><cell r="C6719" t="str"><v>43329FACEBOOK»USA-Trial-ITD-Lead Completes Lookalike-AZR-AZR»1 x 1»SocialBan»CCA»ALL»CPA»LAL»X»NA»SS»NA»Azure Developer Facebook Collections»PRX71S</v></cell><cell r="D6719" t="str"><v>43329225761645</v></cell><cell r="E6719" t="str"><v>43329104593720PRX71S</v></cell><cell r="F6719" t="str"><v>DCM</v></cell><cell r="G6719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719"><cell r="K6719" t="str"><v>August</v></cell><cell r="L6719"><v>43330</v></cell><cell r="M6719" t="str"><v>Tier 0</v></cell><cell r="N6719" t="str"><v>North America</v></cell><cell r="O6719" t="str"><v>United States</v></cell><cell r="P6719" t="str"><v>Trial</v></cell><cell r="Q6719" t="str"><v>Social</v></cell><cell r="R6719" t="str"><v>Azure</v></cell><cell r="S6719" t="str"><v>Apps & Infra</v></cell><cell r="T6719" t="str"><v>Developers & ITI's</v></cell><cell r="U6719" t="str"><v>USA-Trial-ITD-Lead Completes Lookalike-AZR-AZR</v></cell><cell r="V6719" t="str"><v>Lookalike Targeting</v></cell><cell r="W6719" t="str"><v>Canvas Collection Ad</v></cell><cell r="X6719" t="str"><v>1x1</v></cell></row><row r="6719"><cell r="AA6719"><v>43329</v></cell><cell r="AB6719" t="str"><v>USA_gaPMG_AZR_AZR_Q1_19_Direct-Social</v></cell><cell r="AC6719"><v>21358715</v></cell><cell r="AD6719"><v>720197</v></cell><cell r="AE6719" t="str"><v>Facebook</v></cell><cell r="AF6719"><v>3654128</v></cell><cell r="AG6719" t="str"><v>FACEBOOK»USA-Trial-ITD-Lead Completes Lookalike-AZR-AZR»1 x 1»SocialBan»CCA»ALL»CPA»LAL»X»NA»SS»NA»Azure Developer Facebook Collections»PRX71S</v></cell><cell r="AH6719"><v>225761645</v></cell><cell r="AI6719" t="str"><v>AZR_FBCollections-AITryAzureFreeCTA-Img2_USA_1200x182_CCA_Plat_EN_NA_Standard_NA_TIN_T1_2</v></cell><cell r="AJ6719"><v>104593720</v></cell></row><row r="6720"><cell r="C6720" t="str"><v>43329FACEBOOK»USA-Trial-ITD-Lead Completes Lookalike-AZR-AZR»1 x 1»SocialBan»CCA»ALL»CPA»LAL»X»NA»SS»NA»Azure Developer Facebook Collections»PRX71S</v></cell><cell r="D6720" t="str"><v>43329225761645</v></cell><cell r="E6720" t="str"><v>43329104671412PRX71S</v></cell><cell r="F6720" t="str"><v>DCM</v></cell><cell r="G6720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720"><cell r="K6720" t="str"><v>August</v></cell><cell r="L6720"><v>43330</v></cell><cell r="M6720" t="str"><v>Tier 0</v></cell><cell r="N6720" t="str"><v>North America</v></cell><cell r="O6720" t="str"><v>United States</v></cell><cell r="P6720" t="str"><v>Trial</v></cell><cell r="Q6720" t="str"><v>Social</v></cell><cell r="R6720" t="str"><v>Azure</v></cell><cell r="S6720" t="str"><v>Apps & Infra</v></cell><cell r="T6720" t="str"><v>Developers & ITI's</v></cell><cell r="U6720" t="str"><v>USA-Trial-ITD-Lead Completes Lookalike-AZR-AZR</v></cell><cell r="V6720" t="str"><v>Lookalike Targeting</v></cell><cell r="W6720" t="str"><v>Canvas Collection Ad</v></cell><cell r="X6720" t="str"><v>1x1</v></cell></row><row r="6720"><cell r="AA6720"><v>43329</v></cell><cell r="AB6720" t="str"><v>USA_gaPMG_AZR_AZR_Q1_19_Direct-Social</v></cell><cell r="AC6720"><v>21358715</v></cell><cell r="AD6720"><v>720197</v></cell><cell r="AE6720" t="str"><v>Facebook</v></cell><cell r="AF6720"><v>3654128</v></cell><cell r="AG6720" t="str"><v>FACEBOOK»USA-Trial-ITD-Lead Completes Lookalike-AZR-AZR»1 x 1»SocialBan»CCA»ALL»CPA»LAL»X»NA»SS»NA»Azure Developer Facebook Collections»PRX71S</v></cell><cell r="AH6720"><v>225761645</v></cell><cell r="AI6720" t="str"><v>AZR_FBCollections-FreeStuffTryAzureFreeCTA-Img5_USA_1200x182_CCA_Plat_EN_NA_Standard_NA_TIN_T1_5</v></cell><cell r="AJ6720"><v>104671412</v></cell></row><row r="6721"><cell r="C6721" t="str"><v>43329FACEBOOK»USA-Trial-ITD-Lead Completes Lookalike-AZR-AZR»1 x 1»SocialBan»CCA»ALL»CPA»LAL»X»NA»SS»NA»Azure Developer Facebook Collections»PRX71S</v></cell><cell r="D6721" t="str"><v>43329225761645</v></cell><cell r="E6721" t="str"><v>43329104595724PRX71S</v></cell><cell r="F6721" t="str"><v>DCM</v></cell><cell r="G6721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721"><cell r="K6721" t="str"><v>August</v></cell><cell r="L6721"><v>43330</v></cell><cell r="M6721" t="str"><v>Tier 0</v></cell><cell r="N6721" t="str"><v>North America</v></cell><cell r="O6721" t="str"><v>United States</v></cell><cell r="P6721" t="str"><v>Trial</v></cell><cell r="Q6721" t="str"><v>Social</v></cell><cell r="R6721" t="str"><v>Azure</v></cell><cell r="S6721" t="str"><v>Apps & Infra</v></cell><cell r="T6721" t="str"><v>Developers & ITI's</v></cell><cell r="U6721" t="str"><v>USA-Trial-ITD-Lead Completes Lookalike-AZR-AZR</v></cell><cell r="V6721" t="str"><v>Lookalike Targeting</v></cell><cell r="W6721" t="str"><v>Canvas Collection Ad</v></cell><cell r="X6721" t="str"><v>1x1</v></cell></row><row r="6721"><cell r="AA6721"><v>43329</v></cell><cell r="AB6721" t="str"><v>USA_gaPMG_AZR_AZR_Q1_19_Direct-Social</v></cell><cell r="AC6721"><v>21358715</v></cell><cell r="AD6721"><v>720197</v></cell><cell r="AE6721" t="str"><v>Facebook</v></cell><cell r="AF6721"><v>3654128</v></cell><cell r="AG6721" t="str"><v>FACEBOOK»USA-Trial-ITD-Lead Completes Lookalike-AZR-AZR»1 x 1»SocialBan»CCA»ALL»CPA»LAL»X»NA»SS»NA»Azure Developer Facebook Collections»PRX71S</v></cell><cell r="AH6721"><v>225761645</v></cell><cell r="AI6721" t="str"><v>AZR_FBCollections-OSSTryAzureFreeCTA-Img3_USA_1200x182_CCA_Plat_EN_NA_Standard_NA_TIN_T1_3</v></cell><cell r="AJ6721"><v>104595724</v></cell></row><row r="6722"><cell r="C6722" t="str"><v>43329FACEBOOK»USA-Trial-ITD-Lead Completes Lookalike-AZR-AZR»1 x 1»SocialBan»CCA»ALL»CPA»LAL»X»NA»SS»NA»Azure Developer Facebook Collections»PRX71S</v></cell><cell r="D6722" t="str"><v>43329225761645</v></cell><cell r="E6722" t="str"><v>43329104595751PRX71S</v></cell><cell r="F6722" t="str"><v>DCM</v></cell><cell r="G6722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722"><cell r="K6722" t="str"><v>August</v></cell><cell r="L6722"><v>43330</v></cell><cell r="M6722" t="str"><v>Tier 0</v></cell><cell r="N6722" t="str"><v>North America</v></cell><cell r="O6722" t="str"><v>United States</v></cell><cell r="P6722" t="str"><v>Trial</v></cell><cell r="Q6722" t="str"><v>Social</v></cell><cell r="R6722" t="str"><v>Azure</v></cell><cell r="S6722" t="str"><v>Apps & Infra</v></cell><cell r="T6722" t="str"><v>Developers & ITI's</v></cell><cell r="U6722" t="str"><v>USA-Trial-ITD-Lead Completes Lookalike-AZR-AZR</v></cell><cell r="V6722" t="str"><v>Lookalike Targeting</v></cell><cell r="W6722" t="str"><v>Canvas Collection Ad</v></cell><cell r="X6722" t="str"><v>1x1</v></cell></row><row r="6722"><cell r="AA6722"><v>43329</v></cell><cell r="AB6722" t="str"><v>USA_gaPMG_AZR_AZR_Q1_19_Direct-Social</v></cell><cell r="AC6722"><v>21358715</v></cell><cell r="AD6722"><v>720197</v></cell><cell r="AE6722" t="str"><v>Facebook</v></cell><cell r="AF6722"><v>3654128</v></cell><cell r="AG6722" t="str"><v>FACEBOOK»USA-Trial-ITD-Lead Completes Lookalike-AZR-AZR»1 x 1»SocialBan»CCA»ALL»CPA»LAL»X»NA»SS»NA»Azure Developer Facebook Collections»PRX71S</v></cell><cell r="AH6722"><v>225761645</v></cell><cell r="AI6722" t="str"><v>AZR_FBCollections-SmartDataTryAzureFreeCTA-Img4_USA_1200x182_CCA_Plat_EN_NA_Standard_NA_TIN_T1_4</v></cell><cell r="AJ6722"><v>104595751</v></cell></row><row r="6723"><cell r="C6723" t="str"><v>43329FACEBOOK»USA-Trial-ITD-Lead Completes Lookalike-AZR-AZR»1 x 1»SocialBan»CCA»ALL»CPA»LAL»X»NA»SS»NA»Azure Developer Facebook Collections»PRX71S</v></cell><cell r="D6723" t="str"><v>43329225761645</v></cell><cell r="E6723" t="str"><v>43329104593432PRX71S</v></cell><cell r="F6723" t="str"><v>DCM</v></cell><cell r="G6723" t="str"><v>https://signup.azure.com/signup?offer=ms-azr-0044p&appId=102&ref=paidmedia-social-fb&redirectURL=https%3a%2f%2fazure.microsoft.com%2fen-us%2fget-started%2fwelcome-to-azure%2f&l=en-us&correlationId=ead86c34-1f10-49dd-a72b-6918462a2cbf&OCID=AID%eexcid!_OLA_%ebuy!_%epid!_%ecid!</v></cell></row><row r="6723"><cell r="K6723" t="str"><v>August</v></cell><cell r="L6723"><v>43330</v></cell><cell r="M6723" t="str"><v>Tier 0</v></cell><cell r="N6723" t="str"><v>North America</v></cell><cell r="O6723" t="str"><v>United States</v></cell><cell r="P6723" t="str"><v>Trial</v></cell><cell r="Q6723" t="str"><v>Social</v></cell><cell r="R6723" t="str"><v>Azure</v></cell><cell r="S6723" t="str"><v>Apps & Infra</v></cell><cell r="T6723" t="str"><v>Developers & ITI's</v></cell><cell r="U6723" t="str"><v>USA-Trial-ITD-Lead Completes Lookalike-AZR-AZR</v></cell><cell r="V6723" t="str"><v>Lookalike Targeting</v></cell><cell r="W6723" t="str"><v>Canvas Collection Ad</v></cell><cell r="X6723" t="str"><v>1x1</v></cell></row><row r="6723"><cell r="AA6723"><v>43329</v></cell><cell r="AB6723" t="str"><v>USA_gaPMG_AZR_AZR_Q1_19_Direct-Social</v></cell><cell r="AC6723"><v>21358715</v></cell><cell r="AD6723"><v>720197</v></cell><cell r="AE6723" t="str"><v>Facebook</v></cell><cell r="AF6723"><v>3654128</v></cell><cell r="AG6723" t="str"><v>FACEBOOK»USA-Trial-ITD-Lead Completes Lookalike-AZR-AZR»1 x 1»SocialBan»CCA»ALL»CPA»LAL»X»NA»SS»NA»Azure Developer Facebook Collections»PRX71S</v></cell><cell r="AH6723"><v>225761645</v></cell><cell r="AI6723" t="str"><v>AZR_FBCollections-TryAzureFreeCTA-Img1_USA_1200x182_CCA_Plat_EN_NA_Standard_NA_TIN_T1_1</v></cell><cell r="AJ6723"><v>104593432</v></cell></row><row r="6724"><cell r="C6724" t="str"><v>43329FACEBOOK»USA-Trial-ITD-Retargeting-AZR-AZR»1 x 1»SocialBan»CAN»ALL»CPA»RT»X»NA»SS»NA»FreeAcctRetargetingVMFB-750Hrs-ChD»PS79SW</v></cell><cell r="D6724" t="str"><v>43329226622236</v></cell><cell r="E6724" t="str"><v>43329104595760PS79SW</v></cell><cell r="F6724" t="str"><v>DCM</v></cell><cell r="G6724" t="str"><v>https://azure.microsoft.com/en-us/pricing/purchase-options/?v=18.19&OCID=AID%eexcid!_OLA_%ebuy!_%epid!_%ecid!</v></cell></row><row r="6724"><cell r="K6724" t="str"><v>August</v></cell><cell r="L6724"><v>43330</v></cell><cell r="M6724" t="str"><v>Tier 0</v></cell><cell r="N6724" t="str"><v>North America</v></cell><cell r="O6724" t="str"><v>United States</v></cell><cell r="P6724" t="str"><v>Trial</v></cell><cell r="Q6724" t="str"><v>Social</v></cell><cell r="R6724" t="str"><v>Azure</v></cell><cell r="S6724" t="str"><v>Apps & Infra</v></cell><cell r="T6724" t="str"><v>Developers & ITI's</v></cell><cell r="U6724" t="str"><v>USA-Trial-ITD-Retargeting-AZR-AZR</v></cell><cell r="V6724" t="str"><v>Retargeting</v></cell><cell r="W6724" t="str"><v>Canvas Ad</v></cell><cell r="X6724" t="str"><v>1x1</v></cell></row><row r="6724"><cell r="AA6724"><v>43329</v></cell><cell r="AB6724" t="str"><v>USA_gaPMG_AZR_AZR_Q1_19_Direct-Social</v></cell><cell r="AC6724"><v>21358715</v></cell><cell r="AD6724"><v>720197</v></cell><cell r="AE6724" t="str"><v>Facebook</v></cell><cell r="AF6724"><v>3654128</v></cell><cell r="AG6724" t="str"><v>FACEBOOK»USA-Trial-ITD-Retargeting-AZR-AZR»1 x 1»SocialBan»CAN»ALL»CPA»RT»X»NA»SS»NA»FreeAcctRetargetingVMFB-750Hrs-ChD»PS79SW</v></cell><cell r="AH6724"><v>226622236</v></cell><cell r="AI6724" t="str"><v>AZR_FreeAcctRetargetingVMFB-750Hrs-ChD_USA_1200x628_CAN_Plat_English_Free Account_Standard_NA_SINU_T1_2</v></cell><cell r="AJ6724"><v>104595760</v></cell></row><row r="6725"><cell r="C6725" t="str"><v>43329FACEBOOK»USA-Trial-ITD-Retargeting-AZR-AZR»1 x 1»SocialBan»CAN»ALL»CPA»RT»X»NA»SS»NA»FreeAcctDeveloperFB-AnimatedAI-Ch3»PS79T7</v></cell><cell r="D6725" t="str"><v>43329226622512</v></cell><cell r="E6725" t="str"><v>43329104593735PS79T7</v></cell><cell r="F6725" t="str"><v>DCM</v></cell><cell r="G6725" t="str"><v>https://signup.azure.com/?OCID=AID%eexcid!_OLA_%ebuy!_%epid!_%ecid!</v></cell></row><row r="6725"><cell r="K6725" t="str"><v>August</v></cell><cell r="L6725"><v>43330</v></cell><cell r="M6725" t="str"><v>Tier 0</v></cell><cell r="N6725" t="str"><v>North America</v></cell><cell r="O6725" t="str"><v>United States</v></cell><cell r="P6725" t="str"><v>Trial</v></cell><cell r="Q6725" t="str"><v>Social</v></cell><cell r="R6725" t="str"><v>Azure</v></cell><cell r="S6725" t="str"><v>Apps & Infra</v></cell><cell r="T6725" t="str"><v>Developers & ITI's</v></cell><cell r="U6725" t="str"><v>USA-Trial-ITD-Retargeting-AZR-AZR</v></cell><cell r="V6725" t="str"><v>Retargeting</v></cell><cell r="W6725" t="str"><v>Canvas Ad</v></cell><cell r="X6725" t="str"><v>1x1</v></cell></row><row r="6725"><cell r="AA6725"><v>43329</v></cell><cell r="AB6725" t="str"><v>USA_gaPMG_AZR_AZR_Q1_19_Direct-Social</v></cell><cell r="AC6725"><v>21358715</v></cell><cell r="AD6725"><v>720197</v></cell><cell r="AE6725" t="str"><v>Facebook</v></cell><cell r="AF6725"><v>3654128</v></cell><cell r="AG6725" t="str"><v>FACEBOOK»USA-Trial-ITD-Retargeting-AZR-AZR»1 x 1»SocialBan»CAN»ALL»CPA»RT»X»NA»SS»NA»FreeAcctDeveloperFB-AnimatedAI-Ch3»PS79T7</v></cell><cell r="AH6725"><v>226622512</v></cell><cell r="AI6725" t="str"><v>AZR_FreeAcctDeveloperFB-AnimatedAI-Ch3_USA_1200x1200_CAN_Direct_EN_Trial_Standard_ANI_LEA_T3_1</v></cell><cell r="AJ6725"><v>104593735</v></cell></row><row r="6726"><cell r="C6726" t="str"><v>43329FACEBOOK»USA-Trial-ITD-Retargeting-AZR-AZR»1 x 1»SocialBan»CAN»ALL»CPA»RT»X»NA»SS»NA»FreeAcctDeveloperFB-AnimatedAI-Ch3»PS79T7</v></cell><cell r="D6726" t="str"><v>43329226622512</v></cell><cell r="E6726" t="str"><v>43329104595745PS79T7</v></cell><cell r="F6726" t="str"><v>DCM</v></cell><cell r="G6726" t="str"><v>https://azure.microsoft.com/en-us/pricing/purchase-options/?v=18.19&OCID=AID%eexcid!_OLA_%ebuy!_%epid!_%ecid!</v></cell></row><row r="6726"><cell r="K6726" t="str"><v>August</v></cell><cell r="L6726"><v>43330</v></cell><cell r="M6726" t="str"><v>Tier 0</v></cell><cell r="N6726" t="str"><v>North America</v></cell><cell r="O6726" t="str"><v>United States</v></cell><cell r="P6726" t="str"><v>Trial</v></cell><cell r="Q6726" t="str"><v>Social</v></cell><cell r="R6726" t="str"><v>Azure</v></cell><cell r="S6726" t="str"><v>Apps & Infra</v></cell><cell r="T6726" t="str"><v>Developers & ITI's</v></cell><cell r="U6726" t="str"><v>USA-Trial-ITD-Retargeting-AZR-AZR</v></cell><cell r="V6726" t="str"><v>Retargeting</v></cell><cell r="W6726" t="str"><v>Canvas Ad</v></cell><cell r="X6726" t="str"><v>1x1</v></cell></row><row r="6726"><cell r="AA6726"><v>43329</v></cell><cell r="AB6726" t="str"><v>USA_gaPMG_AZR_AZR_Q1_19_Direct-Social</v></cell><cell r="AC6726"><v>21358715</v></cell><cell r="AD6726"><v>720197</v></cell><cell r="AE6726" t="str"><v>Facebook</v></cell><cell r="AF6726"><v>3654128</v></cell><cell r="AG6726" t="str"><v>FACEBOOK»USA-Trial-ITD-Retargeting-AZR-AZR»1 x 1»SocialBan»CAN»ALL»CPA»RT»X»NA»SS»NA»FreeAcctDeveloperFB-AnimatedAI-Ch3»PS79T7</v></cell><cell r="AH6726"><v>226622512</v></cell><cell r="AI6726" t="str"><v>AZR_FreeAcctDeveloperFB-AnimatedAI-Ch3_USA_1200x1200_CAN_Direct_EN_Trial_Standard_ANI_LEA_T3_2</v></cell><cell r="AJ6726"><v>104595745</v></cell></row><row r="6727"><cell r="C6727" t="str"><v>43329FACEBOOK»USA-Trial-ITD-Retargeting-AZR-AZR»1 x 1»SocialBan»CAN»ALL»CPA»RT»X»NA»SS»NA»FreeAcctDeveloperFB-AnimatedGeneric-Ch1»PS79T5</v></cell><cell r="D6727" t="str"><v>43329226786242</v></cell><cell r="E6727" t="str"><v>43329104592523PS79T5</v></cell><cell r="F6727" t="str"><v>DCM</v></cell><cell r="G6727" t="str"><v>https://azure.microsoft.com/en-us/pricing/purchase-options/?v=18.19&OCID=AID%eexcid!_OLA_%ebuy!_%epid!_%ecid!</v></cell></row><row r="6727"><cell r="K6727" t="str"><v>August</v></cell><cell r="L6727"><v>43330</v></cell><cell r="M6727" t="str"><v>Tier 0</v></cell><cell r="N6727" t="str"><v>North America</v></cell><cell r="O6727" t="str"><v>United States</v></cell><cell r="P6727" t="str"><v>Trial</v></cell><cell r="Q6727" t="str"><v>Social</v></cell><cell r="R6727" t="str"><v>Azure</v></cell><cell r="S6727" t="str"><v>Apps & Infra</v></cell><cell r="T6727" t="str"><v>Developers & ITI's</v></cell><cell r="U6727" t="str"><v>USA-Trial-ITD-Retargeting-AZR-AZR</v></cell><cell r="V6727" t="str"><v>Retargeting</v></cell><cell r="W6727" t="str"><v>Canvas Ad</v></cell><cell r="X6727" t="str"><v>1x1</v></cell></row><row r="6727"><cell r="AA6727"><v>43329</v></cell><cell r="AB6727" t="str"><v>USA_gaPMG_AZR_AZR_Q1_19_Direct-Social</v></cell><cell r="AC6727"><v>21358715</v></cell><cell r="AD6727"><v>720197</v></cell><cell r="AE6727" t="str"><v>Facebook</v></cell><cell r="AF6727"><v>3654128</v></cell><cell r="AG6727" t="str"><v>FACEBOOK»USA-Trial-ITD-Retargeting-AZR-AZR»1 x 1»SocialBan»CAN»ALL»CPA»RT»X»NA»SS»NA»FreeAcctDeveloperFB-AnimatedGeneric-Ch1»PS79T5</v></cell><cell r="AH6727"><v>226786242</v></cell><cell r="AI6727" t="str"><v>AZR_FreeAcctDeveloperFB-AnimatedGeneric-Ch1_USA_1200x1200_CAN_Direct_EN_Trial_Standard_ANI_LEA_T1_2</v></cell><cell r="AJ6727"><v>104592523</v></cell></row><row r="6728"><cell r="C6728" t="str"><v>43329FACEBOOK»USA-Trial-ITD-Retargeting-AZR-AZR»1 x 1»SocialBan»CAN»ALL»CPA»RT»X»NA»SS»NA»FreeAcctITProFB-AnimatedSecureMngd-Ch1»PS79TK</v></cell><cell r="D6728" t="str"><v>43329226620976</v></cell><cell r="E6728" t="str"><v>43329104593738PS79TK</v></cell><cell r="F6728" t="str"><v>DCM</v></cell><cell r="G6728" t="str"><v>https://signup.azure.com/?OCID=AID%eexcid!_OLA_%ebuy!_%epid!_%ecid!</v></cell></row><row r="6728"><cell r="K6728" t="str"><v>August</v></cell><cell r="L6728"><v>43330</v></cell><cell r="M6728" t="str"><v>Tier 0</v></cell><cell r="N6728" t="str"><v>North America</v></cell><cell r="O6728" t="str"><v>United States</v></cell><cell r="P6728" t="str"><v>Trial</v></cell><cell r="Q6728" t="str"><v>Social</v></cell><cell r="R6728" t="str"><v>Azure</v></cell><cell r="S6728" t="str"><v>Apps & Infra</v></cell><cell r="T6728" t="str"><v>Developers & ITI's</v></cell><cell r="U6728" t="str"><v>USA-Trial-ITD-Retargeting-AZR-AZR</v></cell><cell r="V6728" t="str"><v>Retargeting</v></cell><cell r="W6728" t="str"><v>Canvas Ad</v></cell><cell r="X6728" t="str"><v>1x1</v></cell></row><row r="6728"><cell r="AA6728"><v>43329</v></cell><cell r="AB6728" t="str"><v>USA_gaPMG_AZR_AZR_Q1_19_Direct-Social</v></cell><cell r="AC6728"><v>21358715</v></cell><cell r="AD6728"><v>720197</v></cell><cell r="AE6728" t="str"><v>Facebook</v></cell><cell r="AF6728"><v>3654128</v></cell><cell r="AG6728" t="str"><v>FACEBOOK»USA-Trial-ITD-Retargeting-AZR-AZR»1 x 1»SocialBan»CAN»ALL»CPA»RT»X»NA»SS»NA»FreeAcctITProFB-AnimatedSecureMngd-Ch1»PS79TK</v></cell><cell r="AH6728"><v>226620976</v></cell><cell r="AI6728" t="str"><v>AZR_FreeAcctITProFB-AnimatedSecureMngd-Ch1_USA_1200x1200_CAN_Direct_EN_Trial_Standard_ANI_LEA_T1_1</v></cell><cell r="AJ6728"><v>104593738</v></cell></row><row r="6729"><cell r="C6729" t="str"><v>43329FACEBOOK»USA-Trial-ITD-Retargeting-AZR-AZR»1 x 1»SocialBan»CAN»ALL»CPA»RT»X»NA»SS»NA»FreeAcctRetargetingOSSFB-Logos-ChG»PS79T1</v></cell><cell r="D6729" t="str"><v>43329226617661</v></cell><cell r="E6729" t="str"><v>43329104592508PS79T1</v></cell><cell r="F6729" t="str"><v>DCM</v></cell><cell r="G6729" t="str"><v>https://signup.azure.com/?OCID=AID%eexcid!_OLA_%ebuy!_%epid!_%ecid!</v></cell></row><row r="6729"><cell r="K6729" t="str"><v>August</v></cell><cell r="L6729"><v>43330</v></cell><cell r="M6729" t="str"><v>Tier 0</v></cell><cell r="N6729" t="str"><v>North America</v></cell><cell r="O6729" t="str"><v>United States</v></cell><cell r="P6729" t="str"><v>Trial</v></cell><cell r="Q6729" t="str"><v>Social</v></cell><cell r="R6729" t="str"><v>Azure</v></cell><cell r="S6729" t="str"><v>Apps & Infra</v></cell><cell r="T6729" t="str"><v>Developers & ITI's</v></cell><cell r="U6729" t="str"><v>USA-Trial-ITD-Retargeting-AZR-AZR</v></cell><cell r="V6729" t="str"><v>Retargeting</v></cell><cell r="W6729" t="str"><v>Canvas Ad</v></cell><cell r="X6729" t="str"><v>1x1</v></cell></row><row r="6729"><cell r="AA6729"><v>43329</v></cell><cell r="AB6729" t="str"><v>USA_gaPMG_AZR_AZR_Q1_19_Direct-Social</v></cell><cell r="AC6729"><v>21358715</v></cell><cell r="AD6729"><v>720197</v></cell><cell r="AE6729" t="str"><v>Facebook</v></cell><cell r="AF6729"><v>3654128</v></cell><cell r="AG6729" t="str"><v>FACEBOOK»USA-Trial-ITD-Retargeting-AZR-AZR»1 x 1»SocialBan»CAN»ALL»CPA»RT»X»NA»SS»NA»FreeAcctRetargetingOSSFB-Logos-ChG»PS79T1</v></cell><cell r="AH6729"><v>226617661</v></cell><cell r="AI6729" t="str"><v>AZR_FreeAcctRetargetingOSSFB-Logos-ChG_USA_1200x628_CAN_Plat_English_Free Account_Standard_NA_SINU_T2_1</v></cell><cell r="AJ6729"><v>104592508</v></cell></row><row r="6730"><cell r="C6730" t="str"><v>43329FACEBOOK»USA-Trial-ITD-Trial Lookalike-AZR-AZR»1 x 1»SocialBan»CAN»ALL»CPA»LAL»X»NA»SS»NA»FBCTCBasicMotion»PRC1LZ</v></cell><cell r="D6730" t="str"><v>43329223862915</v></cell><cell r="E6730" t="str"><v>43329103043823PRC1LZ</v></cell><cell r="F6730" t="str"><v>DCM</v></cell><cell r="G6730" t="str"><v>https://signup.azure.com/?OCID=AID%eexcid!_OLA_%ebuy!_%epid!_%ecid!</v></cell></row><row r="6730"><cell r="K6730" t="str"><v>August</v></cell><cell r="L6730"><v>43330</v></cell><cell r="M6730" t="str"><v>Tier 0</v></cell><cell r="N6730" t="str"><v>North America</v></cell><cell r="O6730" t="str"><v>United States</v></cell><cell r="P6730" t="str"><v>Trial</v></cell><cell r="Q6730" t="str"><v>Social</v></cell><cell r="R6730" t="str"><v>Azure</v></cell><cell r="S6730" t="str"><v>Apps & Infra</v></cell><cell r="T6730" t="str"><v>Developers & ITI's</v></cell><cell r="U6730" t="str"><v>USA-Trial-ITD-Trial Lookalike-AZR-AZR</v></cell><cell r="V6730" t="str"><v>Lookalike Targeting</v></cell><cell r="W6730" t="str"><v>Canvas Ad</v></cell><cell r="X6730" t="str"><v>1x1</v></cell></row><row r="6730"><cell r="AA6730"><v>43329</v></cell><cell r="AB6730" t="str"><v>USA_gaPMG_AZR_AZR_Q1_19_Direct-Social</v></cell><cell r="AC6730"><v>21358715</v></cell><cell r="AD6730"><v>720197</v></cell><cell r="AE6730" t="str"><v>Facebook</v></cell><cell r="AF6730"><v>3654128</v></cell><cell r="AG6730" t="str"><v>FACEBOOK»USA-Trial-ITD-Trial Lookalike-AZR-AZR»1 x 1»SocialBan»CAN»ALL»CPA»LAL»X»NA»SS»NA»FBCTCBasicMotion»PRC1LZ</v></cell><cell r="AH6730"><v>223862915</v></cell><cell r="AI6730" t="str"><v>AzurePlatform_FBCTCBasicMotion_USA_10s_CAN_PLATFORM_English_Trial_Standard_STAN_TIN_T1_1</v></cell><cell r="AJ6730"><v>103043823</v></cell></row><row r="6731"><cell r="C6731" t="str"><v>43329FACEBOOK»USA-Trial-ITD-Trial Lookalike-AZR-AZR»1 x 1»SocialBan»CAN»ALL»CPA»LAL»X»NA»SS»NA»FBCTCBasicMotion»PRC1LZ</v></cell><cell r="D6731" t="str"><v>43329223862915</v></cell><cell r="E6731" t="str"><v>43329103175984PRC1LZ</v></cell><cell r="F6731" t="str"><v>DCM</v></cell><cell r="G6731" t="str"><v>https://azure.microsoft.com/en-us/pricing/purchase-options/?v=18.19&OCID=AID%eexcid!_OLA_%ebuy!_%epid!_%ecid!</v></cell></row><row r="6731"><cell r="K6731" t="str"><v>August</v></cell><cell r="L6731"><v>43330</v></cell><cell r="M6731" t="str"><v>Tier 0</v></cell><cell r="N6731" t="str"><v>North America</v></cell><cell r="O6731" t="str"><v>United States</v></cell><cell r="P6731" t="str"><v>Trial</v></cell><cell r="Q6731" t="str"><v>Social</v></cell><cell r="R6731" t="str"><v>Azure</v></cell><cell r="S6731" t="str"><v>Apps & Infra</v></cell><cell r="T6731" t="str"><v>Developers & ITI's</v></cell><cell r="U6731" t="str"><v>USA-Trial-ITD-Trial Lookalike-AZR-AZR</v></cell><cell r="V6731" t="str"><v>Lookalike Targeting</v></cell><cell r="W6731" t="str"><v>Canvas Ad</v></cell><cell r="X6731" t="str"><v>1x1</v></cell></row><row r="6731"><cell r="AA6731"><v>43329</v></cell><cell r="AB6731" t="str"><v>USA_gaPMG_AZR_AZR_Q1_19_Direct-Social</v></cell><cell r="AC6731"><v>21358715</v></cell><cell r="AD6731"><v>720197</v></cell><cell r="AE6731" t="str"><v>Facebook</v></cell><cell r="AF6731"><v>3654128</v></cell><cell r="AG6731" t="str"><v>FACEBOOK»USA-Trial-ITD-Trial Lookalike-AZR-AZR»1 x 1»SocialBan»CAN»ALL»CPA»LAL»X»NA»SS»NA»FBCTCBasicMotion»PRC1LZ</v></cell><cell r="AH6731"><v>223862915</v></cell><cell r="AI6731" t="str"><v>AzurePlatform_FBCTCBasicMotion_USA_10s_CAN_PLATFORM_English_Trial_Standard_STAN_TIN_T1_2</v></cell><cell r="AJ6731"><v>103175984</v></cell></row><row r="6732"><cell r="C6732" t="str"><v>43329FACEBOOK»USA-Trial-ITD-Trial Lookalike-AZR-AZR»1 x 1»SocialBan»CAN»ALL»CPA»LAL»X»NA»SS»NA»FreeAcctDeveloperFB-AnimatedAI-Ch3»PS7B50</v></cell><cell r="D6732" t="str"><v>43329226538621</v></cell><cell r="E6732" t="str"><v>43329104593735PS7B50</v></cell><cell r="F6732" t="str"><v>DCM</v></cell><cell r="G6732" t="str"><v>https://signup.azure.com/?OCID=AID%eexcid!_OLA_%ebuy!_%epid!_%ecid!</v></cell></row><row r="6732"><cell r="K6732" t="str"><v>August</v></cell><cell r="L6732"><v>43330</v></cell><cell r="M6732" t="str"><v>Tier 0</v></cell><cell r="N6732" t="str"><v>North America</v></cell><cell r="O6732" t="str"><v>United States</v></cell><cell r="P6732" t="str"><v>Trial</v></cell><cell r="Q6732" t="str"><v>Social</v></cell><cell r="R6732" t="str"><v>Azure</v></cell><cell r="S6732" t="str"><v>Apps & Infra</v></cell><cell r="T6732" t="str"><v>Developers & ITI's</v></cell><cell r="U6732" t="str"><v>USA-Trial-ITD-Trial Lookalike-AZR-AZR</v></cell><cell r="V6732" t="str"><v>Lookalike Targeting</v></cell><cell r="W6732" t="str"><v>Canvas Ad</v></cell><cell r="X6732" t="str"><v>1x1</v></cell></row><row r="6732"><cell r="AA6732"><v>43329</v></cell><cell r="AB6732" t="str"><v>USA_gaPMG_AZR_AZR_Q1_19_Direct-Social</v></cell><cell r="AC6732"><v>21358715</v></cell><cell r="AD6732"><v>720197</v></cell><cell r="AE6732" t="str"><v>Facebook</v></cell><cell r="AF6732"><v>3654128</v></cell><cell r="AG6732" t="str"><v>FACEBOOK»USA-Trial-ITD-Trial Lookalike-AZR-AZR»1 x 1»SocialBan»CAN»ALL»CPA»LAL»X»NA»SS»NA»FreeAcctDeveloperFB-AnimatedAI-Ch3»PS7B50</v></cell><cell r="AH6732"><v>226538621</v></cell><cell r="AI6732" t="str"><v>AZR_FreeAcctDeveloperFB-AnimatedAI-Ch3_USA_1200x1200_CAN_Direct_EN_Trial_Standard_ANI_LEA_T3_1</v></cell><cell r="AJ6732"><v>104593735</v></cell></row><row r="6733"><cell r="C6733" t="str"><v>43329FACEBOOK»USA-Trial-ITD-Trial Lookalike-AZR-AZR»1 x 1»SocialBan»CAN»ALL»CPA»LAL»X»NA»SS»NA»FreeAcctDeveloperFB-AnimatedData-Ch4»PS7B52</v></cell><cell r="D6733" t="str"><v>43329226622902</v></cell><cell r="E6733" t="str"><v>43329104595739PS7B52</v></cell><cell r="F6733" t="str"><v>DCM</v></cell><cell r="G6733" t="str"><v>https://signup.azure.com/?OCID=AID%eexcid!_OLA_%ebuy!_%epid!_%ecid!</v></cell></row><row r="6733"><cell r="K6733" t="str"><v>August</v></cell><cell r="L6733"><v>43330</v></cell><cell r="M6733" t="str"><v>Tier 0</v></cell><cell r="N6733" t="str"><v>North America</v></cell><cell r="O6733" t="str"><v>United States</v></cell><cell r="P6733" t="str"><v>Trial</v></cell><cell r="Q6733" t="str"><v>Social</v></cell><cell r="R6733" t="str"><v>Azure</v></cell><cell r="S6733" t="str"><v>Apps & Infra</v></cell><cell r="T6733" t="str"><v>Developers & ITI's</v></cell><cell r="U6733" t="str"><v>USA-Trial-ITD-Trial Lookalike-AZR-AZR</v></cell><cell r="V6733" t="str"><v>Lookalike Targeting</v></cell><cell r="W6733" t="str"><v>Canvas Ad</v></cell><cell r="X6733" t="str"><v>1x1</v></cell></row><row r="6733"><cell r="AA6733"><v>43329</v></cell><cell r="AB6733" t="str"><v>USA_gaPMG_AZR_AZR_Q1_19_Direct-Social</v></cell><cell r="AC6733"><v>21358715</v></cell><cell r="AD6733"><v>720197</v></cell><cell r="AE6733" t="str"><v>Facebook</v></cell><cell r="AF6733"><v>3654128</v></cell><cell r="AG6733" t="str"><v>FACEBOOK»USA-Trial-ITD-Trial Lookalike-AZR-AZR»1 x 1»SocialBan»CAN»ALL»CPA»LAL»X»NA»SS»NA»FreeAcctDeveloperFB-AnimatedData-Ch4»PS7B52</v></cell><cell r="AH6733"><v>226622902</v></cell><cell r="AI6733" t="str"><v>AZR_FreeAcctDeveloperFB-AnimatedData-Ch4_USA_1200x1200_CAN_Direct_EN_Trial_Standard_ANI_LEA_T4_1</v></cell><cell r="AJ6733"><v>104595739</v></cell></row><row r="6734"><cell r="C6734" t="str"><v>43329FACEBOOK»USA-Trial-ITD-Trial Lookalike-AZR-AZR»1 x 1»SocialBan»CAN»ALL»CPA»LAL»X»NA»SS»NA»FreeAcctDeveloperFB-AnimatedData-Ch4»PS7B52</v></cell><cell r="D6734" t="str"><v>43329226622902</v></cell><cell r="E6734" t="str"><v>43329104671403PS7B52</v></cell><cell r="F6734" t="str"><v>DCM</v></cell><cell r="G6734" t="str"><v>https://azure.microsoft.com/en-us/pricing/purchase-options/?v=18.19&OCID=AID%eexcid!_OLA_%ebuy!_%epid!_%ecid!</v></cell></row><row r="6734"><cell r="K6734" t="str"><v>August</v></cell><cell r="L6734"><v>43330</v></cell><cell r="M6734" t="str"><v>Tier 0</v></cell><cell r="N6734" t="str"><v>North America</v></cell><cell r="O6734" t="str"><v>United States</v></cell><cell r="P6734" t="str"><v>Trial</v></cell><cell r="Q6734" t="str"><v>Social</v></cell><cell r="R6734" t="str"><v>Azure</v></cell><cell r="S6734" t="str"><v>Apps & Infra</v></cell><cell r="T6734" t="str"><v>Developers & ITI's</v></cell><cell r="U6734" t="str"><v>USA-Trial-ITD-Trial Lookalike-AZR-AZR</v></cell><cell r="V6734" t="str"><v>Lookalike Targeting</v></cell><cell r="W6734" t="str"><v>Canvas Ad</v></cell><cell r="X6734" t="str"><v>1x1</v></cell></row><row r="6734"><cell r="AA6734"><v>43329</v></cell><cell r="AB6734" t="str"><v>USA_gaPMG_AZR_AZR_Q1_19_Direct-Social</v></cell><cell r="AC6734"><v>21358715</v></cell><cell r="AD6734"><v>720197</v></cell><cell r="AE6734" t="str"><v>Facebook</v></cell><cell r="AF6734"><v>3654128</v></cell><cell r="AG6734" t="str"><v>FACEBOOK»USA-Trial-ITD-Trial Lookalike-AZR-AZR»1 x 1»SocialBan»CAN»ALL»CPA»LAL»X»NA»SS»NA»FreeAcctDeveloperFB-AnimatedData-Ch4»PS7B52</v></cell><cell r="AH6734"><v>226622902</v></cell><cell r="AI6734" t="str"><v>AZR_FreeAcctDeveloperFB-AnimatedData-Ch4_USA_1200x1200_CAN_Direct_EN_Trial_Standard_ANI_LEA_T4_2</v></cell><cell r="AJ6734"><v>104671403</v></cell></row><row r="6735"><cell r="C6735" t="str"><v>43329FACEBOOK»USA-Trial-ITD-Trial Lookalike-AZR-AZR»1 x 1»SocialBan»CAN»ALL»CPA»LAL»X»NA»SS»NA»FreeAcctDeveloperFB-AnimatedGeneric-Ch1»PS7B4W</v></cell><cell r="D6735" t="str"><v>43329226784007</v></cell><cell r="E6735" t="str"><v>43329104592523PS7B4W</v></cell><cell r="F6735" t="str"><v>DCM</v></cell><cell r="G6735" t="str"><v>https://azure.microsoft.com/en-us/pricing/purchase-options/?v=18.19&OCID=AID%eexcid!_OLA_%ebuy!_%epid!_%ecid!</v></cell></row><row r="6735"><cell r="K6735" t="str"><v>August</v></cell><cell r="L6735"><v>43330</v></cell><cell r="M6735" t="str"><v>Tier 0</v></cell><cell r="N6735" t="str"><v>North America</v></cell><cell r="O6735" t="str"><v>United States</v></cell><cell r="P6735" t="str"><v>Trial</v></cell><cell r="Q6735" t="str"><v>Social</v></cell><cell r="R6735" t="str"><v>Azure</v></cell><cell r="S6735" t="str"><v>Apps & Infra</v></cell><cell r="T6735" t="str"><v>Developers & ITI's</v></cell><cell r="U6735" t="str"><v>USA-Trial-ITD-Trial Lookalike-AZR-AZR</v></cell><cell r="V6735" t="str"><v>Lookalike Targeting</v></cell><cell r="W6735" t="str"><v>Canvas Ad</v></cell><cell r="X6735" t="str"><v>1x1</v></cell></row><row r="6735"><cell r="AA6735"><v>43329</v></cell><cell r="AB6735" t="str"><v>USA_gaPMG_AZR_AZR_Q1_19_Direct-Social</v></cell><cell r="AC6735"><v>21358715</v></cell><cell r="AD6735"><v>720197</v></cell><cell r="AE6735" t="str"><v>Facebook</v></cell><cell r="AF6735"><v>3654128</v></cell><cell r="AG6735" t="str"><v>FACEBOOK»USA-Trial-ITD-Trial Lookalike-AZR-AZR»1 x 1»SocialBan»CAN»ALL»CPA»LAL»X»NA»SS»NA»FreeAcctDeveloperFB-AnimatedGeneric-Ch1»PS7B4W</v></cell><cell r="AH6735"><v>226784007</v></cell><cell r="AI6735" t="str"><v>AZR_FreeAcctDeveloperFB-AnimatedGeneric-Ch1_USA_1200x1200_CAN_Direct_EN_Trial_Standard_ANI_LEA_T1_2</v></cell><cell r="AJ6735"><v>104592523</v></cell></row><row r="6736"><cell r="C6736" t="str"><v>43329FACEBOOK»USA-Trial-ITD-Trial Lookalike-AZR-AZR»1 x 1»SocialBan»CAN»ALL»CPA»LAL»X»NA»SS»NA»FreeAcctDeveloperFB-AnimatedGeneric-Ch1»PS7B4Y</v></cell><cell r="D6736" t="str"><v>43329226535300</v></cell><cell r="E6736" t="str"><v>43329104592523PS7B4Y</v></cell><cell r="F6736" t="str"><v>DCM</v></cell><cell r="G6736" t="str"><v>https://azure.microsoft.com/en-us/pricing/purchase-options/?v=18.19&OCID=AID%eexcid!_OLA_%ebuy!_%epid!_%ecid!</v></cell></row><row r="6736"><cell r="K6736" t="str"><v>August</v></cell><cell r="L6736"><v>43330</v></cell><cell r="M6736" t="str"><v>Tier 0</v></cell><cell r="N6736" t="str"><v>North America</v></cell><cell r="O6736" t="str"><v>United States</v></cell><cell r="P6736" t="str"><v>Trial</v></cell><cell r="Q6736" t="str"><v>Social</v></cell><cell r="R6736" t="str"><v>Azure</v></cell><cell r="S6736" t="str"><v>Apps & Infra</v></cell><cell r="T6736" t="str"><v>Developers & ITI's</v></cell><cell r="U6736" t="str"><v>USA-Trial-ITD-Trial Lookalike-AZR-AZR</v></cell><cell r="V6736" t="str"><v>Lookalike Targeting</v></cell><cell r="W6736" t="str"><v>Canvas Ad</v></cell><cell r="X6736" t="str"><v>1x1</v></cell></row><row r="6736"><cell r="AA6736"><v>43329</v></cell><cell r="AB6736" t="str"><v>USA_gaPMG_AZR_AZR_Q1_19_Direct-Social</v></cell><cell r="AC6736"><v>21358715</v></cell><cell r="AD6736"><v>720197</v></cell><cell r="AE6736" t="str"><v>Facebook</v></cell><cell r="AF6736"><v>3654128</v></cell><cell r="AG6736" t="str"><v>FACEBOOK»USA-Trial-ITD-Trial Lookalike-AZR-AZR»1 x 1»SocialBan»CAN»ALL»CPA»LAL»X»NA»SS»NA»FreeAcctDeveloperFB-AnimatedGeneric-Ch1»PS7B4Y</v></cell><cell r="AH6736"><v>226535300</v></cell><cell r="AI6736" t="str"><v>AZR_FreeAcctDeveloperFB-AnimatedGeneric-Ch1_USA_1200x1200_CAN_Direct_EN_Trial_Standard_ANI_LEA_T1_2</v></cell><cell r="AJ6736"><v>104592523</v></cell></row><row r="6737"><cell r="C6737" t="str"><v>43329FACEBOOK»USA-Trial-ITD-Trial Lookalike-AZR-AZR»1 x 1»SocialBan»CAN»ALL»CPA»LAL»X»NA»SS»NA»FreeAcctITProFB-AnimatedMigration-Ch3»PS7B55</v></cell><cell r="D6737" t="str"><v>43329226621012</v></cell><cell r="E6737" t="str"><v>43329104593450PS7B55</v></cell><cell r="F6737" t="str"><v>DCM</v></cell><cell r="G6737" t="str"><v>https://signup.azure.com/?OCID=AID%eexcid!_OLA_%ebuy!_%epid!_%ecid!</v></cell></row><row r="6737"><cell r="K6737" t="str"><v>August</v></cell><cell r="L6737"><v>43330</v></cell><cell r="M6737" t="str"><v>Tier 0</v></cell><cell r="N6737" t="str"><v>North America</v></cell><cell r="O6737" t="str"><v>United States</v></cell><cell r="P6737" t="str"><v>Trial</v></cell><cell r="Q6737" t="str"><v>Social</v></cell><cell r="R6737" t="str"><v>Azure</v></cell><cell r="S6737" t="str"><v>Apps & Infra</v></cell><cell r="T6737" t="str"><v>Developers & ITI's</v></cell><cell r="U6737" t="str"><v>USA-Trial-ITD-Trial Lookalike-AZR-AZR</v></cell><cell r="V6737" t="str"><v>Lookalike Targeting</v></cell><cell r="W6737" t="str"><v>Canvas Ad</v></cell><cell r="X6737" t="str"><v>1x1</v></cell></row><row r="6737"><cell r="AA6737"><v>43329</v></cell><cell r="AB6737" t="str"><v>USA_gaPMG_AZR_AZR_Q1_19_Direct-Social</v></cell><cell r="AC6737"><v>21358715</v></cell><cell r="AD6737"><v>720197</v></cell><cell r="AE6737" t="str"><v>Facebook</v></cell><cell r="AF6737"><v>3654128</v></cell><cell r="AG6737" t="str"><v>FACEBOOK»USA-Trial-ITD-Trial Lookalike-AZR-AZR»1 x 1»SocialBan»CAN»ALL»CPA»LAL»X»NA»SS»NA»FreeAcctITProFB-AnimatedMigration-Ch3»PS7B55</v></cell><cell r="AH6737"><v>226621012</v></cell><cell r="AI6737" t="str"><v>AZR_FreeAcctITProFB-AnimatedMigration-Ch3_USA_1200x1200_CAN_Direct_EN_Trial_Standard_ANI_LEA_T3_1</v></cell><cell r="AJ6737"><v>104593450</v></cell></row><row r="6738"><cell r="C6738" t="str"><v>43329FACEBOOK»USA-Trial-ITD-Trial Lookalike-AZR-AZR»1 x 1»SocialBan»CAN»ALL»CPA»LAL»X»NA»SS»NA»FreeAcctITProFB-AnimatedMigration-Ch3»PS7B55</v></cell><cell r="D6738" t="str"><v>43329226621012</v></cell><cell r="E6738" t="str"><v>43329104595730PS7B55</v></cell><cell r="F6738" t="str"><v>DCM</v></cell><cell r="G6738" t="str"><v>https://azure.microsoft.com/en-us/pricing/purchase-options/?v=18.19&OCID=AID%eexcid!_OLA_%ebuy!_%epid!_%ecid!</v></cell></row><row r="6738"><cell r="K6738" t="str"><v>August</v></cell><cell r="L6738"><v>43330</v></cell><cell r="M6738" t="str"><v>Tier 0</v></cell><cell r="N6738" t="str"><v>North America</v></cell><cell r="O6738" t="str"><v>United States</v></cell><cell r="P6738" t="str"><v>Trial</v></cell><cell r="Q6738" t="str"><v>Social</v></cell><cell r="R6738" t="str"><v>Azure</v></cell><cell r="S6738" t="str"><v>Apps & Infra</v></cell><cell r="T6738" t="str"><v>Developers & ITI's</v></cell><cell r="U6738" t="str"><v>USA-Trial-ITD-Trial Lookalike-AZR-AZR</v></cell><cell r="V6738" t="str"><v>Lookalike Targeting</v></cell><cell r="W6738" t="str"><v>Canvas Ad</v></cell><cell r="X6738" t="str"><v>1x1</v></cell></row><row r="6738"><cell r="AA6738"><v>43329</v></cell><cell r="AB6738" t="str"><v>USA_gaPMG_AZR_AZR_Q1_19_Direct-Social</v></cell><cell r="AC6738"><v>21358715</v></cell><cell r="AD6738"><v>720197</v></cell><cell r="AE6738" t="str"><v>Facebook</v></cell><cell r="AF6738"><v>3654128</v></cell><cell r="AG6738" t="str"><v>FACEBOOK»USA-Trial-ITD-Trial Lookalike-AZR-AZR»1 x 1»SocialBan»CAN»ALL»CPA»LAL»X»NA»SS»NA»FreeAcctITProFB-AnimatedMigration-Ch3»PS7B55</v></cell><cell r="AH6738"><v>226621012</v></cell><cell r="AI6738" t="str"><v>AZR_FreeAcctITProFB-AnimatedMigration-Ch3_USA_1200x1200_CAN_Direct_EN_Trial_Standard_ANI_LEA_T3_2</v></cell><cell r="AJ6738"><v>104595730</v></cell></row><row r="6739"><cell r="C6739" t="str"><v>43329FACEBOOK»USA-Trial-ITD-Trial PayGo Lookalike-AZR-AZR»1 x 1»SocialBan»CAN»ALL»CPA»LAL»X»NA»SS»NA»FBCTCBasicMotion»PRC1Q0</v></cell><cell r="D6739" t="str"><v>43329223935664</v></cell><cell r="E6739" t="str"><v>43329103043823PRC1Q0</v></cell><cell r="F6739" t="str"><v>DCM</v></cell><cell r="G6739" t="str"><v>https://signup.azure.com/?OCID=AID%eexcid!_OLA_%ebuy!_%epid!_%ecid!</v></cell></row><row r="6739"><cell r="K6739" t="str"><v>August</v></cell><cell r="L6739"><v>43330</v></cell><cell r="M6739" t="str"><v>Tier 0</v></cell><cell r="N6739" t="str"><v>North America</v></cell><cell r="O6739" t="str"><v>United States</v></cell><cell r="P6739" t="str"><v>Trial</v></cell><cell r="Q6739" t="str"><v>Social</v></cell><cell r="R6739" t="str"><v>Azure</v></cell><cell r="S6739" t="str"><v>Apps & Infra</v></cell><cell r="T6739" t="str"><v>Developers & ITI's</v></cell><cell r="U6739" t="str"><v>USA-Trial-ITD-Trial PayGo Lookalike-AZR-AZR</v></cell><cell r="V6739" t="str"><v>Lookalike Targeting</v></cell><cell r="W6739" t="str"><v>Canvas Ad</v></cell><cell r="X6739" t="str"><v>1x1</v></cell></row><row r="6739"><cell r="AA6739"><v>43329</v></cell><cell r="AB6739" t="str"><v>USA_gaPMG_AZR_AZR_Q1_19_Direct-Social</v></cell><cell r="AC6739"><v>21358715</v></cell><cell r="AD6739"><v>720197</v></cell><cell r="AE6739" t="str"><v>Facebook</v></cell><cell r="AF6739"><v>3654128</v></cell><cell r="AG6739" t="str"><v>FACEBOOK»USA-Trial-ITD-Trial PayGo Lookalike-AZR-AZR»1 x 1»SocialBan»CAN»ALL»CPA»LAL»X»NA»SS»NA»FBCTCBasicMotion»PRC1Q0</v></cell><cell r="AH6739"><v>223935664</v></cell><cell r="AI6739" t="str"><v>AzurePlatform_FBCTCBasicMotion_USA_10s_CAN_PLATFORM_English_Trial_Standard_STAN_TIN_T1_1</v></cell><cell r="AJ6739"><v>103043823</v></cell></row><row r="6740"><cell r="C6740" t="str"><v>43329FACEBOOK»USA-Trial-ITD-Trial PayGo Lookalike-AZR-AZR»1 x 1»SocialBan»CAN»ALL»CPA»LAL»X»NA»SS»NA»FBCTCBasicMotion»PRC1Q0</v></cell><cell r="D6740" t="str"><v>43329223935664</v></cell><cell r="E6740" t="str"><v>43329103175984PRC1Q0</v></cell><cell r="F6740" t="str"><v>DCM</v></cell><cell r="G6740" t="str"><v>https://azure.microsoft.com/en-us/pricing/purchase-options/?v=18.19&OCID=AID%eexcid!_OLA_%ebuy!_%epid!_%ecid!</v></cell></row><row r="6740"><cell r="K6740" t="str"><v>August</v></cell><cell r="L6740"><v>43330</v></cell><cell r="M6740" t="str"><v>Tier 0</v></cell><cell r="N6740" t="str"><v>North America</v></cell><cell r="O6740" t="str"><v>United States</v></cell><cell r="P6740" t="str"><v>Trial</v></cell><cell r="Q6740" t="str"><v>Social</v></cell><cell r="R6740" t="str"><v>Azure</v></cell><cell r="S6740" t="str"><v>Apps & Infra</v></cell><cell r="T6740" t="str"><v>Developers & ITI's</v></cell><cell r="U6740" t="str"><v>USA-Trial-ITD-Trial PayGo Lookalike-AZR-AZR</v></cell><cell r="V6740" t="str"><v>Lookalike Targeting</v></cell><cell r="W6740" t="str"><v>Canvas Ad</v></cell><cell r="X6740" t="str"><v>1x1</v></cell></row><row r="6740"><cell r="AA6740"><v>43329</v></cell><cell r="AB6740" t="str"><v>USA_gaPMG_AZR_AZR_Q1_19_Direct-Social</v></cell><cell r="AC6740"><v>21358715</v></cell><cell r="AD6740"><v>720197</v></cell><cell r="AE6740" t="str"><v>Facebook</v></cell><cell r="AF6740"><v>3654128</v></cell><cell r="AG6740" t="str"><v>FACEBOOK»USA-Trial-ITD-Trial PayGo Lookalike-AZR-AZR»1 x 1»SocialBan»CAN»ALL»CPA»LAL»X»NA»SS»NA»FBCTCBasicMotion»PRC1Q0</v></cell><cell r="AH6740"><v>223935664</v></cell><cell r="AI6740" t="str"><v>AzurePlatform_FBCTCBasicMotion_USA_10s_CAN_PLATFORM_English_Trial_Standard_STAN_TIN_T1_2</v></cell><cell r="AJ6740"><v>103175984</v></cell></row><row r="6741"><cell r="C6741" t="str"><v>43329FACEBOOK»USA-Trial-ITD-Trial PayGo Lookalike-AZR-AZR»1 x 1»SocialBan»LIA»ALL»CPA»LAL»X»NA»SS»NA»FreeAcctDeveloperFB-AnimatedGeneric-Ch1»PRC1Q5</v></cell><cell r="D6741" t="str"><v>43329224104092</v></cell><cell r="E6741" t="str"><v>43329103176851PRC1Q5</v></cell><cell r="F6741" t="str"><v>DCM</v></cell><cell r="G6741" t="str"><v>https://azure.microsoft.com/en-us/free/search/?OCID=AID%eexcid!_OLA_%ebuy!_%epid!_%ecid!</v></cell></row><row r="6741"><cell r="K6741" t="str"><v>August</v></cell><cell r="L6741"><v>43330</v></cell><cell r="M6741" t="str"><v>Tier 0</v></cell><cell r="N6741" t="str"><v>North America</v></cell><cell r="O6741" t="str"><v>United States</v></cell><cell r="P6741" t="str"><v>Trial</v></cell><cell r="Q6741" t="str"><v>Social</v></cell><cell r="R6741" t="str"><v>Azure</v></cell><cell r="S6741" t="str"><v>Apps & Infra</v></cell><cell r="T6741" t="str"><v>Developers & ITI's</v></cell><cell r="U6741" t="str"><v>USA-Trial-ITD-Trial PayGo Lookalike-AZR-AZR</v></cell><cell r="V6741" t="str"><v>Lookalike Targeting</v></cell><cell r="W6741" t="str"><v>Link Ad</v></cell><cell r="X6741" t="str"><v>1x1</v></cell></row><row r="6741"><cell r="AA6741"><v>43329</v></cell><cell r="AB6741" t="str"><v>USA_gaPMG_AZR_AZR_Q1_19_Direct-Social</v></cell><cell r="AC6741"><v>21358715</v></cell><cell r="AD6741"><v>720197</v></cell><cell r="AE6741" t="str"><v>Facebook</v></cell><cell r="AF6741"><v>3654128</v></cell><cell r="AG6741" t="str"><v>FACEBOOK»USA-Trial-ITD-Trial PayGo Lookalike-AZR-AZR»1 x 1»SocialBan»LIA»ALL»CPA»LAL»X»NA»SS»NA»FreeAcctDeveloperFB-AnimatedGeneric-Ch1»PRC1Q5</v></cell><cell r="AH6741"><v>224104092</v></cell><cell r="AI6741" t="str"><v>AZR_FreeAcctDeveloperFB-AnimatedGeneric-Ch1_USA_1200x1200_CAN_Direct_English_Trial_Standard_ANI_LEA_T1_2</v></cell><cell r="AJ6741"><v>103176851</v></cell></row><row r="6742"><cell r="C6742" t="str"><v>43329FACEBOOK»USA-Trial-ITD-Trial PayGo Lookalike-AZR-AZR»1 x 1»SocialBan»CAN»ALL»CPA»LAL»X»NA»SS»NA»FreeAcctITProFB-AnimatedHybrid-Ch2»PS7B5Z</v></cell><cell r="D6742" t="str"><v>43329226539452</v></cell><cell r="E6742" t="str"><v>43329104592535PS7B5Z</v></cell><cell r="F6742" t="str"><v>DCM</v></cell><cell r="G6742" t="str"><v>https://signup.azure.com/?OCID=AID%eexcid!_OLA_%ebuy!_%epid!_%ecid!</v></cell></row><row r="6742"><cell r="K6742" t="str"><v>August</v></cell><cell r="L6742"><v>43330</v></cell><cell r="M6742" t="str"><v>Tier 0</v></cell><cell r="N6742" t="str"><v>North America</v></cell><cell r="O6742" t="str"><v>United States</v></cell><cell r="P6742" t="str"><v>Trial</v></cell><cell r="Q6742" t="str"><v>Social</v></cell><cell r="R6742" t="str"><v>Azure</v></cell><cell r="S6742" t="str"><v>Apps & Infra</v></cell><cell r="T6742" t="str"><v>Developers & ITI's</v></cell><cell r="U6742" t="str"><v>USA-Trial-ITD-Trial PayGo Lookalike-AZR-AZR</v></cell><cell r="V6742" t="str"><v>Lookalike Targeting</v></cell><cell r="W6742" t="str"><v>Canvas Ad</v></cell><cell r="X6742" t="str"><v>1x1</v></cell></row><row r="6742"><cell r="AA6742"><v>43329</v></cell><cell r="AB6742" t="str"><v>USA_gaPMG_AZR_AZR_Q1_19_Direct-Social</v></cell><cell r="AC6742"><v>21358715</v></cell><cell r="AD6742"><v>720197</v></cell><cell r="AE6742" t="str"><v>Facebook</v></cell><cell r="AF6742"><v>3654128</v></cell><cell r="AG6742" t="str"><v>FACEBOOK»USA-Trial-ITD-Trial PayGo Lookalike-AZR-AZR»1 x 1»SocialBan»CAN»ALL»CPA»LAL»X»NA»SS»NA»FreeAcctITProFB-AnimatedHybrid-Ch2»PS7B5Z</v></cell><cell r="AH6742"><v>226539452</v></cell><cell r="AI6742" t="str"><v>AZR_FreeAcctITProFB-AnimatedHybrid-Ch2_USA_1200x1200_CAN_Direct_EN_Trial_Standard_ANI_LEA_T2_1</v></cell><cell r="AJ6742"><v>104592535</v></cell></row><row r="6743"><cell r="C6743" t="str"><v>43329FACEBOOK»USA-Trial-ITD-Trial PayGo Lookalike-AZR-AZR»1 x 1»SocialBan»CAN»ALL»CPA»LAL»X»NA»SS»NA»FreeAcctDeveloperFB-AnimatedAI-Ch3»PS7B5S</v></cell><cell r="D6743" t="str"><v>43329226538669</v></cell><cell r="E6743" t="str"><v>43329104593735PS7B5S</v></cell><cell r="F6743" t="str"><v>DCM</v></cell><cell r="G6743" t="str"><v>https://signup.azure.com/?OCID=AID%eexcid!_OLA_%ebuy!_%epid!_%ecid!</v></cell></row><row r="6743"><cell r="K6743" t="str"><v>August</v></cell><cell r="L6743"><v>43330</v></cell><cell r="M6743" t="str"><v>Tier 0</v></cell><cell r="N6743" t="str"><v>North America</v></cell><cell r="O6743" t="str"><v>United States</v></cell><cell r="P6743" t="str"><v>Trial</v></cell><cell r="Q6743" t="str"><v>Social</v></cell><cell r="R6743" t="str"><v>Azure</v></cell><cell r="S6743" t="str"><v>Apps & Infra</v></cell><cell r="T6743" t="str"><v>Developers & ITI's</v></cell><cell r="U6743" t="str"><v>USA-Trial-ITD-Trial PayGo Lookalike-AZR-AZR</v></cell><cell r="V6743" t="str"><v>Lookalike Targeting</v></cell><cell r="W6743" t="str"><v>Canvas Ad</v></cell><cell r="X6743" t="str"><v>1x1</v></cell></row><row r="6743"><cell r="AA6743"><v>43329</v></cell><cell r="AB6743" t="str"><v>USA_gaPMG_AZR_AZR_Q1_19_Direct-Social</v></cell><cell r="AC6743"><v>21358715</v></cell><cell r="AD6743"><v>720197</v></cell><cell r="AE6743" t="str"><v>Facebook</v></cell><cell r="AF6743"><v>3654128</v></cell><cell r="AG6743" t="str"><v>FACEBOOK»USA-Trial-ITD-Trial PayGo Lookalike-AZR-AZR»1 x 1»SocialBan»CAN»ALL»CPA»LAL»X»NA»SS»NA»FreeAcctDeveloperFB-AnimatedAI-Ch3»PS7B5S</v></cell><cell r="AH6743"><v>226538669</v></cell><cell r="AI6743" t="str"><v>AZR_FreeAcctDeveloperFB-AnimatedAI-Ch3_USA_1200x1200_CAN_Direct_EN_Trial_Standard_ANI_LEA_T3_1</v></cell><cell r="AJ6743"><v>104593735</v></cell></row><row r="6744"><cell r="C6744" t="str"><v>43329FACEBOOK»USA-Trial-ITD-Trial PayGo Lookalike-AZR-AZR»1 x 1»SocialBan»CAN»ALL»CPA»LAL»X»NA»SS»NA»FreeAcctDeveloperFB-AnimatedGeneric-Ch1»PS7B5Q</v></cell><cell r="D6744" t="str"><v>43329226784037</v></cell><cell r="E6744" t="str"><v>43329104595766PS7B5Q</v></cell><cell r="F6744" t="str"><v>DCM</v></cell><cell r="G6744" t="str"><v>https://signup.azure.com/?OCID=AID%eexcid!_OLA_%ebuy!_%epid!_%ecid!</v></cell></row><row r="6744"><cell r="K6744" t="str"><v>August</v></cell><cell r="L6744"><v>43330</v></cell><cell r="M6744" t="str"><v>Tier 0</v></cell><cell r="N6744" t="str"><v>North America</v></cell><cell r="O6744" t="str"><v>United States</v></cell><cell r="P6744" t="str"><v>Trial</v></cell><cell r="Q6744" t="str"><v>Social</v></cell><cell r="R6744" t="str"><v>Azure</v></cell><cell r="S6744" t="str"><v>Apps & Infra</v></cell><cell r="T6744" t="str"><v>Developers & ITI's</v></cell><cell r="U6744" t="str"><v>USA-Trial-ITD-Trial PayGo Lookalike-AZR-AZR</v></cell><cell r="V6744" t="str"><v>Lookalike Targeting</v></cell><cell r="W6744" t="str"><v>Canvas Ad</v></cell><cell r="X6744" t="str"><v>1x1</v></cell></row><row r="6744"><cell r="AA6744"><v>43329</v></cell><cell r="AB6744" t="str"><v>USA_gaPMG_AZR_AZR_Q1_19_Direct-Social</v></cell><cell r="AC6744"><v>21358715</v></cell><cell r="AD6744"><v>720197</v></cell><cell r="AE6744" t="str"><v>Facebook</v></cell><cell r="AF6744"><v>3654128</v></cell><cell r="AG6744" t="str"><v>FACEBOOK»USA-Trial-ITD-Trial PayGo Lookalike-AZR-AZR»1 x 1»SocialBan»CAN»ALL»CPA»LAL»X»NA»SS»NA»FreeAcctDeveloperFB-AnimatedGeneric-Ch1»PS7B5Q</v></cell><cell r="AH6744"><v>226784037</v></cell><cell r="AI6744" t="str"><v>AZR_FreeAcctDeveloperFB-AnimatedGeneric-Ch1_USA_1200x1200_CAN_Direct_EN_Trial_Standard_ANI_LEA_T1_1</v></cell><cell r="AJ6744"><v>104595766</v></cell></row><row r="6745"><cell r="C6745" t="str"><v>43329FACEBOOK»USA-Trial-ITD-Trial PayGo Lookalike-AZR-AZR»1 x 1»SocialBan»CAN»ALL»CPA»LAL»X»NA»SS»NA»FreeAcctDeveloperFB-AnimatedGeneric-Ch1»PS7B5Q</v></cell><cell r="D6745" t="str"><v>43329226784037</v></cell><cell r="E6745" t="str"><v>43329104592523PS7B5Q</v></cell><cell r="F6745" t="str"><v>DCM</v></cell><cell r="G6745" t="str"><v>https://azure.microsoft.com/en-us/pricing/purchase-options/?v=18.19&OCID=AID%eexcid!_OLA_%ebuy!_%epid!_%ecid!</v></cell></row><row r="6745"><cell r="K6745" t="str"><v>August</v></cell><cell r="L6745"><v>43330</v></cell><cell r="M6745" t="str"><v>Tier 0</v></cell><cell r="N6745" t="str"><v>North America</v></cell><cell r="O6745" t="str"><v>United States</v></cell><cell r="P6745" t="str"><v>Trial</v></cell><cell r="Q6745" t="str"><v>Social</v></cell><cell r="R6745" t="str"><v>Azure</v></cell><cell r="S6745" t="str"><v>Apps & Infra</v></cell><cell r="T6745" t="str"><v>Developers & ITI's</v></cell><cell r="U6745" t="str"><v>USA-Trial-ITD-Trial PayGo Lookalike-AZR-AZR</v></cell><cell r="V6745" t="str"><v>Lookalike Targeting</v></cell><cell r="W6745" t="str"><v>Canvas Ad</v></cell><cell r="X6745" t="str"><v>1x1</v></cell></row><row r="6745"><cell r="AA6745"><v>43329</v></cell><cell r="AB6745" t="str"><v>USA_gaPMG_AZR_AZR_Q1_19_Direct-Social</v></cell><cell r="AC6745"><v>21358715</v></cell><cell r="AD6745"><v>720197</v></cell><cell r="AE6745" t="str"><v>Facebook</v></cell><cell r="AF6745"><v>3654128</v></cell><cell r="AG6745" t="str"><v>FACEBOOK»USA-Trial-ITD-Trial PayGo Lookalike-AZR-AZR»1 x 1»SocialBan»CAN»ALL»CPA»LAL»X»NA»SS»NA»FreeAcctDeveloperFB-AnimatedGeneric-Ch1»PS7B5Q</v></cell><cell r="AH6745"><v>226784037</v></cell><cell r="AI6745" t="str"><v>AZR_FreeAcctDeveloperFB-AnimatedGeneric-Ch1_USA_1200x1200_CAN_Direct_EN_Trial_Standard_ANI_LEA_T1_2</v></cell><cell r="AJ6745"><v>104592523</v></cell></row><row r="6746"><cell r="C6746" t="str"><v>43329FACEBOOK»USA-Trial-ITD-Trial PayGo Lookalike-AZR-AZR»1 x 1»SocialBan»CAN»ALL»CPA»LAL»X»NA»SS»NA»FreeAcctITProFB-AnimatedSecureMngd-Ch1»PS7B5W</v></cell><cell r="D6746" t="str"><v>43329226621024</v></cell><cell r="E6746" t="str"><v>43329104593738PS7B5W</v></cell><cell r="F6746" t="str"><v>DCM</v></cell><cell r="G6746" t="str"><v>https://signup.azure.com/?OCID=AID%eexcid!_OLA_%ebuy!_%epid!_%ecid!</v></cell></row><row r="6746"><cell r="K6746" t="str"><v>August</v></cell><cell r="L6746"><v>43330</v></cell><cell r="M6746" t="str"><v>Tier 0</v></cell><cell r="N6746" t="str"><v>North America</v></cell><cell r="O6746" t="str"><v>United States</v></cell><cell r="P6746" t="str"><v>Trial</v></cell><cell r="Q6746" t="str"><v>Social</v></cell><cell r="R6746" t="str"><v>Azure</v></cell><cell r="S6746" t="str"><v>Apps & Infra</v></cell><cell r="T6746" t="str"><v>Developers & ITI's</v></cell><cell r="U6746" t="str"><v>USA-Trial-ITD-Trial PayGo Lookalike-AZR-AZR</v></cell><cell r="V6746" t="str"><v>Lookalike Targeting</v></cell><cell r="W6746" t="str"><v>Canvas Ad</v></cell><cell r="X6746" t="str"><v>1x1</v></cell></row><row r="6746"><cell r="AA6746"><v>43329</v></cell><cell r="AB6746" t="str"><v>USA_gaPMG_AZR_AZR_Q1_19_Direct-Social</v></cell><cell r="AC6746"><v>21358715</v></cell><cell r="AD6746"><v>720197</v></cell><cell r="AE6746" t="str"><v>Facebook</v></cell><cell r="AF6746"><v>3654128</v></cell><cell r="AG6746" t="str"><v>FACEBOOK»USA-Trial-ITD-Trial PayGo Lookalike-AZR-AZR»1 x 1»SocialBan»CAN»ALL»CPA»LAL»X»NA»SS»NA»FreeAcctITProFB-AnimatedSecureMngd-Ch1»PS7B5W</v></cell><cell r="AH6746"><v>226621024</v></cell><cell r="AI6746" t="str"><v>AZR_FreeAcctITProFB-AnimatedSecureMngd-Ch1_USA_1200x1200_CAN_Direct_EN_Trial_Standard_ANI_LEA_T1_1</v></cell><cell r="AJ6746"><v>104593738</v></cell></row><row r="6747"><cell r="C6747" t="str"><v>43329INSTAGRAM»USA-Trial-ITD-Interest Prospecting-AZR-AZR»1 x 1»SocialBan»CAN»ALL»CPA»PRO»X»NA»SS»NA»IGCTCBenefit2inMotion»PRC2PD</v></cell><cell r="D6747" t="str"><v>43329223933084</v></cell><cell r="E6747" t="str"><v>43329103180628PRC2PD</v></cell><cell r="F6747" t="str"><v>DCM</v></cell><cell r="G6747" t="str"><v>https://signup.azure.com/?OCID=AID%eexcid!_OLA_%ebuy!_%epid!_%ecid!</v></cell></row><row r="6747"><cell r="K6747" t="str"><v>August</v></cell><cell r="L6747"><v>43330</v></cell><cell r="M6747" t="str"><v>Tier 0</v></cell><cell r="N6747" t="str"><v>North America</v></cell><cell r="O6747" t="str"><v>United States</v></cell><cell r="P6747" t="str"><v>Trial</v></cell><cell r="Q6747" t="str"><v>Social</v></cell><cell r="R6747" t="str"><v>Azure</v></cell><cell r="S6747" t="str"><v>Apps & Infra</v></cell><cell r="T6747" t="str"><v>Developers & ITI's</v></cell><cell r="U6747" t="str"><v>USA-Trial-ITD-Interest Prospecting-AZR-AZR</v></cell><cell r="V6747" t="str"><v>Prospecting</v></cell><cell r="W6747" t="str"><v>Canvas Ad</v></cell><cell r="X6747" t="str"><v>1x1</v></cell></row><row r="6747"><cell r="AA6747"><v>43329</v></cell><cell r="AB6747" t="str"><v>USA_gaPMG_AZR_AZR_Q1_19_Direct-Social</v></cell><cell r="AC6747"><v>21358715</v></cell><cell r="AD6747"><v>720197</v></cell><cell r="AE6747" t="str"><v>Facebook - Instagram</v></cell><cell r="AF6747"><v>3654128</v></cell><cell r="AG6747" t="str"><v>INSTAGRAM»USA-Trial-ITD-Interest Prospecting-AZR-AZR»1 x 1»SocialBan»CAN»ALL»CPA»PRO»X»NA»SS»NA»IGCTCBenefit2inMotion»PRC2PD</v></cell><cell r="AH6747"><v>223933084</v></cell><cell r="AI6747" t="str"><v>AzurePlatform_IGCTCBrandinMotion_USA_10s_CAN_PLATFORM_English_Trial_Standard_STAN_TIN_T2_1</v></cell><cell r="AJ6747"><v>103180628</v></cell></row><row r="6748"><cell r="C6748" t="str"><v>43329INSTAGRAM»USA-Trial-ITD-Interest Prospecting-AZR-AZR»1 x 1»SocialBan»CAN»ALL»CPA»PRO»X»NA»SS»NA»IGCTCBrandinMotion»PRC2PB</v></cell><cell r="D6748" t="str"><v>43329223862690</v></cell><cell r="E6748" t="str"><v>43329103050783PRC2PB</v></cell><cell r="F6748" t="str"><v>DCM</v></cell><cell r="G6748" t="str"><v>https://signup.azure.com/?OCID=AID%eexcid!_OLA_%ebuy!_%epid!_%ecid!</v></cell></row><row r="6748"><cell r="K6748" t="str"><v>August</v></cell><cell r="L6748"><v>43330</v></cell><cell r="M6748" t="str"><v>Tier 0</v></cell><cell r="N6748" t="str"><v>North America</v></cell><cell r="O6748" t="str"><v>United States</v></cell><cell r="P6748" t="str"><v>Trial</v></cell><cell r="Q6748" t="str"><v>Social</v></cell><cell r="R6748" t="str"><v>Azure</v></cell><cell r="S6748" t="str"><v>Apps & Infra</v></cell><cell r="T6748" t="str"><v>Developers & ITI's</v></cell><cell r="U6748" t="str"><v>USA-Trial-ITD-Interest Prospecting-AZR-AZR</v></cell><cell r="V6748" t="str"><v>Prospecting</v></cell><cell r="W6748" t="str"><v>Canvas Ad</v></cell><cell r="X6748" t="str"><v>1x1</v></cell></row><row r="6748"><cell r="AA6748"><v>43329</v></cell><cell r="AB6748" t="str"><v>USA_gaPMG_AZR_AZR_Q1_19_Direct-Social</v></cell><cell r="AC6748"><v>21358715</v></cell><cell r="AD6748"><v>720197</v></cell><cell r="AE6748" t="str"><v>Facebook - Instagram</v></cell><cell r="AF6748"><v>3654128</v></cell><cell r="AG6748" t="str"><v>INSTAGRAM»USA-Trial-ITD-Interest Prospecting-AZR-AZR»1 x 1»SocialBan»CAN»ALL»CPA»PRO»X»NA»SS»NA»IGCTCBrandinMotion»PRC2PB</v></cell><cell r="AH6748"><v>223862690</v></cell><cell r="AI6748" t="str"><v>AzurePlatform_IGCTCBenefit2inMotion_USA_10s_CAN_PLATFORM_English_Trial_Standard_STAN_TIN_T4_1</v></cell><cell r="AJ6748"><v>103050783</v></cell></row><row r="6749"><cell r="C6749" t="str"><v>43329INSTAGRAM»USA-Trial-ITD-Interest Prospecting-AZR-AZR»1 x 1»SocialBan»CAN»ALL»CPA»PRO»X»NA»SS»NA»IGCTCBrandinMotion»PRC2PB</v></cell><cell r="D6749" t="str"><v>43329223862690</v></cell><cell r="E6749" t="str"><v>43329103178714PRC2PB</v></cell><cell r="F6749" t="str"><v>DCM</v></cell><cell r="G6749" t="str"><v>https://azure.microsoft.com/en-us/pricing/purchase-options/?v=18.19&OCID=AID%eexcid!_OLA_%ebuy!_%epid!_%ecid!</v></cell></row><row r="6749"><cell r="K6749" t="str"><v>August</v></cell><cell r="L6749"><v>43330</v></cell><cell r="M6749" t="str"><v>Tier 0</v></cell><cell r="N6749" t="str"><v>North America</v></cell><cell r="O6749" t="str"><v>United States</v></cell><cell r="P6749" t="str"><v>Trial</v></cell><cell r="Q6749" t="str"><v>Social</v></cell><cell r="R6749" t="str"><v>Azure</v></cell><cell r="S6749" t="str"><v>Apps & Infra</v></cell><cell r="T6749" t="str"><v>Developers & ITI's</v></cell><cell r="U6749" t="str"><v>USA-Trial-ITD-Interest Prospecting-AZR-AZR</v></cell><cell r="V6749" t="str"><v>Prospecting</v></cell><cell r="W6749" t="str"><v>Canvas Ad</v></cell><cell r="X6749" t="str"><v>1x1</v></cell></row><row r="6749"><cell r="AA6749"><v>43329</v></cell><cell r="AB6749" t="str"><v>USA_gaPMG_AZR_AZR_Q1_19_Direct-Social</v></cell><cell r="AC6749"><v>21358715</v></cell><cell r="AD6749"><v>720197</v></cell><cell r="AE6749" t="str"><v>Facebook - Instagram</v></cell><cell r="AF6749"><v>3654128</v></cell><cell r="AG6749" t="str"><v>INSTAGRAM»USA-Trial-ITD-Interest Prospecting-AZR-AZR»1 x 1»SocialBan»CAN»ALL»CPA»PRO»X»NA»SS»NA»IGCTCBrandinMotion»PRC2PB</v></cell><cell r="AH6749"><v>223862690</v></cell><cell r="AI6749" t="str"><v>AzurePlatform_IGCTCBenefit2inMotion_USA_10s_CAN_PLATFORM_English_Trial_Standard_STAN_TIN_T4_2</v></cell><cell r="AJ6749"><v>103178714</v></cell></row><row r="6750"><cell r="C6750" t="str"><v>43329INSTAGRAM»USA-Trial-ITD-Retargeting-AZR-AZR»1 x 1»SocialBan»CAN»ALL»CPA»RT»X»NA»SS»NA»IGCTCBenefit2inMotion»PRC2G6</v></cell><cell r="D6750" t="str"><v>43329224105001</v></cell><cell r="E6750" t="str"><v>43329103180628PRC2G6</v></cell><cell r="F6750" t="str"><v>DCM</v></cell><cell r="G6750" t="str"><v>https://signup.azure.com/?OCID=AID%eexcid!_OLA_%ebuy!_%epid!_%ecid!</v></cell></row><row r="6750"><cell r="K6750" t="str"><v>August</v></cell><cell r="L6750"><v>43330</v></cell><cell r="M6750" t="str"><v>Tier 0</v></cell><cell r="N6750" t="str"><v>North America</v></cell><cell r="O6750" t="str"><v>United States</v></cell><cell r="P6750" t="str"><v>Trial</v></cell><cell r="Q6750" t="str"><v>Social</v></cell><cell r="R6750" t="str"><v>Azure</v></cell><cell r="S6750" t="str"><v>Apps & Infra</v></cell><cell r="T6750" t="str"><v>Developers & ITI's</v></cell><cell r="U6750" t="str"><v>USA-Trial-ITD-Retargeting-AZR-AZR</v></cell><cell r="V6750" t="str"><v>Retargeting</v></cell><cell r="W6750" t="str"><v>Canvas Ad</v></cell><cell r="X6750" t="str"><v>1x1</v></cell></row><row r="6750"><cell r="AA6750"><v>43329</v></cell><cell r="AB6750" t="str"><v>USA_gaPMG_AZR_AZR_Q1_19_Direct-Social</v></cell><cell r="AC6750"><v>21358715</v></cell><cell r="AD6750"><v>720197</v></cell><cell r="AE6750" t="str"><v>Facebook - Instagram</v></cell><cell r="AF6750"><v>3654128</v></cell><cell r="AG6750" t="str"><v>INSTAGRAM»USA-Trial-ITD-Retargeting-AZR-AZR»1 x 1»SocialBan»CAN»ALL»CPA»RT»X»NA»SS»NA»IGCTCBenefit2inMotion»PRC2G6</v></cell><cell r="AH6750"><v>224105001</v></cell><cell r="AI6750" t="str"><v>AzurePlatform_IGCTCBrandinMotion_USA_10s_CAN_PLATFORM_English_Trial_Standard_STAN_TIN_T2_1</v></cell><cell r="AJ6750"><v>103180628</v></cell></row><row r="6751"><cell r="C6751" t="str"><v>43329INSTAGRAM»USA-Trial-ITD-Retargeting-AZR-AZR»1 x 1»SocialBan»CAN»ALL»CPA»RT»X»NA»SS»NA»IGCTCBenefit2inMotion»PRC2G6</v></cell><cell r="D6751" t="str"><v>43329224105001</v></cell><cell r="E6751" t="str"><v>43329103050786PRC2G6</v></cell><cell r="F6751" t="str"><v>DCM</v></cell><cell r="G6751" t="str"><v>https://azure.microsoft.com/en-us/pricing/purchase-options/?v=18.19&OCID=AID%eexcid!_OLA_%ebuy!_%epid!_%ecid!</v></cell></row><row r="6751"><cell r="K6751" t="str"><v>August</v></cell><cell r="L6751"><v>43330</v></cell><cell r="M6751" t="str"><v>Tier 0</v></cell><cell r="N6751" t="str"><v>North America</v></cell><cell r="O6751" t="str"><v>United States</v></cell><cell r="P6751" t="str"><v>Trial</v></cell><cell r="Q6751" t="str"><v>Social</v></cell><cell r="R6751" t="str"><v>Azure</v></cell><cell r="S6751" t="str"><v>Apps & Infra</v></cell><cell r="T6751" t="str"><v>Developers & ITI's</v></cell><cell r="U6751" t="str"><v>USA-Trial-ITD-Retargeting-AZR-AZR</v></cell><cell r="V6751" t="str"><v>Retargeting</v></cell><cell r="W6751" t="str"><v>Canvas Ad</v></cell><cell r="X6751" t="str"><v>1x1</v></cell></row><row r="6751"><cell r="AA6751"><v>43329</v></cell><cell r="AB6751" t="str"><v>USA_gaPMG_AZR_AZR_Q1_19_Direct-Social</v></cell><cell r="AC6751"><v>21358715</v></cell><cell r="AD6751"><v>720197</v></cell><cell r="AE6751" t="str"><v>Facebook - Instagram</v></cell><cell r="AF6751"><v>3654128</v></cell><cell r="AG6751" t="str"><v>INSTAGRAM»USA-Trial-ITD-Retargeting-AZR-AZR»1 x 1»SocialBan»CAN»ALL»CPA»RT»X»NA»SS»NA»IGCTCBenefit2inMotion»PRC2G6</v></cell><cell r="AH6751"><v>224105001</v></cell><cell r="AI6751" t="str"><v>AzurePlatform_IGCTCBrandinMotion_USA_10s_CAN_PLATFORM_English_Trial_Standard_STAN_TIN_T2_2</v></cell><cell r="AJ6751"><v>103050786</v></cell></row><row r="6752"><cell r="C6752" t="str"><v>43329INSTAGRAM»USA-Trial-ITD-Trial Lookalike-AZR-AZR»1 x 1»SocialBan»CAN»ALL»CPA»LAL»X»NA»SS»NA»IGCTCBenefit2inMotion»PRC2FL</v></cell><cell r="D6752" t="str"><v>43329223935022</v></cell><cell r="E6752" t="str"><v>43329103180628PRC2FL</v></cell><cell r="F6752" t="str"><v>DCM</v></cell><cell r="G6752" t="str"><v>https://signup.azure.com/?OCID=AID%eexcid!_OLA_%ebuy!_%epid!_%ecid!</v></cell></row><row r="6752"><cell r="K6752" t="str"><v>August</v></cell><cell r="L6752"><v>43330</v></cell><cell r="M6752" t="str"><v>Tier 0</v></cell><cell r="N6752" t="str"><v>North America</v></cell><cell r="O6752" t="str"><v>United States</v></cell><cell r="P6752" t="str"><v>Trial</v></cell><cell r="Q6752" t="str"><v>Social</v></cell><cell r="R6752" t="str"><v>Azure</v></cell><cell r="S6752" t="str"><v>Apps & Infra</v></cell><cell r="T6752" t="str"><v>Developers & ITI's</v></cell><cell r="U6752" t="str"><v>USA-Trial-ITD-Trial Lookalike-AZR-AZR</v></cell><cell r="V6752" t="str"><v>Lookalike Targeting</v></cell><cell r="W6752" t="str"><v>Canvas Ad</v></cell><cell r="X6752" t="str"><v>1x1</v></cell></row><row r="6752"><cell r="AA6752"><v>43329</v></cell><cell r="AB6752" t="str"><v>USA_gaPMG_AZR_AZR_Q1_19_Direct-Social</v></cell><cell r="AC6752"><v>21358715</v></cell><cell r="AD6752"><v>720197</v></cell><cell r="AE6752" t="str"><v>Facebook - Instagram</v></cell><cell r="AF6752"><v>3654128</v></cell><cell r="AG6752" t="str"><v>INSTAGRAM»USA-Trial-ITD-Trial Lookalike-AZR-AZR»1 x 1»SocialBan»CAN»ALL»CPA»LAL»X»NA»SS»NA»IGCTCBenefit2inMotion»PRC2FL</v></cell><cell r="AH6752"><v>223935022</v></cell><cell r="AI6752" t="str"><v>AzurePlatform_IGCTCBrandinMotion_USA_10s_CAN_PLATFORM_English_Trial_Standard_STAN_TIN_T2_1</v></cell><cell r="AJ6752"><v>103180628</v></cell></row><row r="6753"><cell r="C6753" t="str"><v>43329INSTAGRAM»USA-Trial-ITD-Trial PayGo Lookalike-AZR-AZR»1 x 1»SocialBan»CAN»ALL»CPA»LAL»X»NA»SS»NA»IGCTCBenefit2inMotion»PRC2FZ</v></cell><cell r="D6753" t="str"><v>43329223933075</v></cell><cell r="E6753" t="str"><v>43329103050786PRC2FZ</v></cell><cell r="F6753" t="str"><v>DCM</v></cell><cell r="G6753" t="str"><v>https://azure.microsoft.com/en-us/pricing/purchase-options/?v=18.19&OCID=AID%eexcid!_OLA_%ebuy!_%epid!_%ecid!</v></cell></row><row r="6753"><cell r="K6753" t="str"><v>August</v></cell><cell r="L6753"><v>43330</v></cell><cell r="M6753" t="str"><v>Tier 0</v></cell><cell r="N6753" t="str"><v>North America</v></cell><cell r="O6753" t="str"><v>United States</v></cell><cell r="P6753" t="str"><v>Trial</v></cell><cell r="Q6753" t="str"><v>Social</v></cell><cell r="R6753" t="str"><v>Azure</v></cell><cell r="S6753" t="str"><v>Apps & Infra</v></cell><cell r="T6753" t="str"><v>Developers & ITI's</v></cell><cell r="U6753" t="str"><v>USA-Trial-ITD-Trial PayGo Lookalike-AZR-AZR</v></cell><cell r="V6753" t="str"><v>Lookalike Targeting</v></cell><cell r="W6753" t="str"><v>Canvas Ad</v></cell><cell r="X6753" t="str"><v>1x1</v></cell></row><row r="6753"><cell r="AA6753"><v>43329</v></cell><cell r="AB6753" t="str"><v>USA_gaPMG_AZR_AZR_Q1_19_Direct-Social</v></cell><cell r="AC6753"><v>21358715</v></cell><cell r="AD6753"><v>720197</v></cell><cell r="AE6753" t="str"><v>Facebook - Instagram</v></cell><cell r="AF6753"><v>3654128</v></cell><cell r="AG6753" t="str"><v>INSTAGRAM»USA-Trial-ITD-Trial PayGo Lookalike-AZR-AZR»1 x 1»SocialBan»CAN»ALL»CPA»LAL»X»NA»SS»NA»IGCTCBenefit2inMotion»PRC2FZ</v></cell><cell r="AH6753"><v>223933075</v></cell><cell r="AI6753" t="str"><v>AzurePlatform_IGCTCBrandinMotion_USA_10s_CAN_PLATFORM_English_Trial_Standard_STAN_TIN_T2_2</v></cell><cell r="AJ6753"><v>103050786</v></cell></row><row r="6754"><cell r="C6754" t="str"><v>43330Facebook»Audience & Interest Targeting»1x1»Canvas»OTH»DT»DYN»AUT»W»NA»SS»NA»FBCTCcanvaspage-StartFreeCTA_FBCTCcanvaspage-BuyNowCTA</v></cell><cell r="D6754" t="str"><v>43330224639151</v></cell><cell r="E6754" t="str"><v>43330103316832NowCTA</v></cell><cell r="F6754" t="str"><v>DCM</v></cell><cell r="G6754" t="str"><v>https://azure.microsoft.com/en-au/pricing/purchase-options/</v></cell></row><row r="6754"><cell r="K6754" t="str"><v>August</v></cell><cell r="L6754"><v>43330</v></cell><cell r="M6754" t="str"><v>Tier 1</v></cell><cell r="N6754" t="str"><v>APAC</v></cell><cell r="O6754" t="str"><v>Australia</v></cell><cell r="P6754" t="str"><v>Trial</v></cell><cell r="Q6754" t="str"><v>Social</v></cell><cell r="R6754" t="str"><v>Azure</v></cell><cell r="S6754" t="str"><v>Apps & Infra</v></cell><cell r="T6754" t="str"><v>Developers & ITI's</v></cell><cell r="U6754" t="str"><v>Audience & Interest Targeting</v></cell><cell r="V6754" t="str"><v>Audience Targeting</v></cell><cell r="W6754" t="str"><v>Other</v></cell><cell r="X6754" t="str"><v>1x1</v></cell></row><row r="6754"><cell r="AA6754"><v>43330</v></cell><cell r="AB6754" t="str"><v>AUS_gaPMG_AZR_AZR_Q1_19_Trial-Social</v></cell><cell r="AC6754"><v>21358568</v></cell><cell r="AD6754"><v>720191</v></cell><cell r="AE6754" t="str"><v>Facebook</v></cell><cell r="AF6754"><v>3654128</v></cell><cell r="AG6754" t="str"><v>Facebook»Audience & Interest Targeting»1x1»Canvas»OTH»DT»DYN»AUT»W»NA»SS»NA»FBCTCcanvaspage-StartFreeCTA_FBCTCcanvaspage-BuyNowCTA</v></cell><cell r="AH6754"><v>224639151</v></cell><cell r="AI6754" t="str"><v>AzurePlatform_FBCTCcanvaspage-BuyNowCTA-Img3_AUS_1080x162_SOC_Plat_English_NA_Standard_NA_BN_T3_1</v></cell><cell r="AJ6754"><v>103316832</v></cell></row><row r="6755"><cell r="C6755" t="str"><v>43330Facebook»Audience & Interest Targeting»1x1»Canvas»OTH»DT»DYN»AUT»W»NA»SS»NA»FBCTCcanvaspage-StartFreeCTA_FBCTCcanvaspage-BuyNowCTA</v></cell><cell r="D6755" t="str"><v>43330224639151</v></cell><cell r="E6755" t="str"><v>43330103316829NowCTA</v></cell><cell r="F6755" t="str"><v>DCM</v></cell><cell r="G6755" t="str"><v>https://signup.azure.com/signup?offer=ms-azr-0044p&appId=102&ref=paidmedia-social-fb&redirectURL=https%3a%2f%2fazure.microsoft.com%2fen-au%2fget-started%2fwelcome-to-azure%2f&l=en-au&correlationId=ead86c34-1f10-49dd-a72b-6918462a2cbf</v></cell></row><row r="6755"><cell r="K6755" t="str"><v>August</v></cell><cell r="L6755"><v>43330</v></cell><cell r="M6755" t="str"><v>Tier 1</v></cell><cell r="N6755" t="str"><v>APAC</v></cell><cell r="O6755" t="str"><v>Australia</v></cell><cell r="P6755" t="str"><v>Trial</v></cell><cell r="Q6755" t="str"><v>Social</v></cell><cell r="R6755" t="str"><v>Azure</v></cell><cell r="S6755" t="str"><v>Apps & Infra</v></cell><cell r="T6755" t="str"><v>Developers & ITI's</v></cell><cell r="U6755" t="str"><v>Audience & Interest Targeting</v></cell><cell r="V6755" t="str"><v>Audience Targeting</v></cell><cell r="W6755" t="str"><v>Other</v></cell><cell r="X6755" t="str"><v>1x1</v></cell></row><row r="6755"><cell r="AA6755"><v>43330</v></cell><cell r="AB6755" t="str"><v>AUS_gaPMG_AZR_AZR_Q1_19_Trial-Social</v></cell><cell r="AC6755"><v>21358568</v></cell><cell r="AD6755"><v>720191</v></cell><cell r="AE6755" t="str"><v>Facebook</v></cell><cell r="AF6755"><v>3654128</v></cell><cell r="AG6755" t="str"><v>Facebook»Audience & Interest Targeting»1x1»Canvas»OTH»DT»DYN»AUT»W»NA»SS»NA»FBCTCcanvaspage-StartFreeCTA_FBCTCcanvaspage-BuyNowCTA</v></cell><cell r="AH6755"><v>224639151</v></cell><cell r="AI6755" t="str"><v>AzurePlatform_FBCTCcanvaspage-StartFreeCTA-Img2_AUS_1080x143 _SOC_Plat_English_NA_Standard_NA_NA_T2_1</v></cell><cell r="AJ6755"><v>103316829</v></cell></row><row r="6756"><cell r="C6756" t="str"><v>43330Facebook»Audience & Interest Targeting»1x1»TextLink»OTH»DT»DYN»AUT»W»NA»SS»NA»Free Account Refresh- 12 months ChE</v></cell><cell r="D6756" t="str"><v>43330224160783</v></cell><cell r="E6756" t="str"><v>43330103051614hs ChE</v></cell><cell r="F6756" t="str"><v>DCM</v></cell></row><row r="6756"><cell r="K6756" t="str"><v>August</v></cell><cell r="L6756"><v>43330</v></cell><cell r="M6756" t="str"><v>Tier 1</v></cell><cell r="N6756" t="str"><v>APAC</v></cell><cell r="O6756" t="str"><v>Australia</v></cell><cell r="P6756" t="str"><v>Trial</v></cell><cell r="Q6756" t="str"><v>Social</v></cell><cell r="R6756" t="str"><v>Azure</v></cell><cell r="S6756" t="str"><v>Apps & Infra</v></cell><cell r="T6756" t="str"><v>Developers & ITI's</v></cell><cell r="U6756" t="str"><v>Audience & Interest Targeting</v></cell><cell r="V6756" t="str"><v>Audience Targeting</v></cell><cell r="W6756" t="str"><v>Other</v></cell><cell r="X6756" t="str"><v>1x1</v></cell></row><row r="6756"><cell r="AA6756"><v>43330</v></cell><cell r="AB6756" t="str"><v>AUS_gaPMG_AZR_AZR_Q1_19_Trial-Social</v></cell><cell r="AC6756"><v>21358568</v></cell><cell r="AD6756"><v>720191</v></cell><cell r="AE6756" t="str"><v>Facebook</v></cell><cell r="AF6756"><v>3654128</v></cell><cell r="AG6756" t="str"><v>Facebook»Audience & Interest Targeting»1x1»TextLink»OTH»DT»DYN»AUT»W»NA»SS»NA»Free Account Refresh- 12 months ChE</v></cell><cell r="AH6756"><v>224160783</v></cell><cell r="AI6756" t="str"><v>AzurePlatform_FreeAcctAppsFACEBOOK12monthsChE_AUS_1200x628_SOC_PLAT_EN_Trial_Standard_NA_SNU_T5_1</v></cell><cell r="AJ6756"><v>103051614</v></cell></row><row r="6757"><cell r="C6757" t="str"><v>43330Facebook»Audience & Interest Targeting»1x1»TextLink»OTH»DT»DYN»AUT»W»NA»SS»NA»Free Account Refresh- 200 Credit ChD</v></cell><cell r="D6757" t="str"><v>43330224160780</v></cell><cell r="E6757" t="str"><v>43330103186904it ChD</v></cell><cell r="F6757" t="str"><v>DCM</v></cell></row><row r="6757"><cell r="K6757" t="str"><v>August</v></cell><cell r="L6757"><v>43330</v></cell><cell r="M6757" t="str"><v>Tier 1</v></cell><cell r="N6757" t="str"><v>APAC</v></cell><cell r="O6757" t="str"><v>Australia</v></cell><cell r="P6757" t="str"><v>Trial</v></cell><cell r="Q6757" t="str"><v>Social</v></cell><cell r="R6757" t="str"><v>Azure</v></cell><cell r="S6757" t="str"><v>Apps & Infra</v></cell><cell r="T6757" t="str"><v>Developers & ITI's</v></cell><cell r="U6757" t="str"><v>Audience & Interest Targeting</v></cell><cell r="V6757" t="str"><v>Audience Targeting</v></cell><cell r="W6757" t="str"><v>Other</v></cell><cell r="X6757" t="str"><v>1x1</v></cell></row><row r="6757"><cell r="AA6757"><v>43330</v></cell><cell r="AB6757" t="str"><v>AUS_gaPMG_AZR_AZR_Q1_19_Trial-Social</v></cell><cell r="AC6757"><v>21358568</v></cell><cell r="AD6757"><v>720191</v></cell><cell r="AE6757" t="str"><v>Facebook</v></cell><cell r="AF6757"><v>3654128</v></cell><cell r="AG6757" t="str"><v>Facebook»Audience & Interest Targeting»1x1»TextLink»OTH»DT»DYN»AUT»W»NA»SS»NA»Free Account Refresh- 200 Credit ChD</v></cell><cell r="AH6757"><v>224160780</v></cell><cell r="AI6757" t="str"><v>AzurePlatform_FreeAcctAppsFACEBOOK200CreditChD_AUS_1200x628_SOC_PLAT_EN_Trial_Standard_NA_SNU_T4_1</v></cell><cell r="AJ6757"><v>103186904</v></cell></row><row r="6758"><cell r="C6758" t="str"><v>43330Facebook»Audience & Interest Targeting»1x1»TextLink»OTH»DT»DYN»AUT»W»NA»SS»NA»Free Account Refresh- Device ChB</v></cell><cell r="D6758" t="str"><v>43330224160777</v></cell><cell r="E6758" t="str"><v>43330103048479ce ChB</v></cell><cell r="F6758" t="str"><v>DCM</v></cell></row><row r="6758"><cell r="K6758" t="str"><v>August</v></cell><cell r="L6758"><v>43330</v></cell><cell r="M6758" t="str"><v>Tier 1</v></cell><cell r="N6758" t="str"><v>APAC</v></cell><cell r="O6758" t="str"><v>Australia</v></cell><cell r="P6758" t="str"><v>Trial</v></cell><cell r="Q6758" t="str"><v>Social</v></cell><cell r="R6758" t="str"><v>Azure</v></cell><cell r="S6758" t="str"><v>Apps & Infra</v></cell><cell r="T6758" t="str"><v>Developers & ITI's</v></cell><cell r="U6758" t="str"><v>Audience & Interest Targeting</v></cell><cell r="V6758" t="str"><v>Audience Targeting</v></cell><cell r="W6758" t="str"><v>Other</v></cell><cell r="X6758" t="str"><v>1x1</v></cell></row><row r="6758"><cell r="AA6758"><v>43330</v></cell><cell r="AB6758" t="str"><v>AUS_gaPMG_AZR_AZR_Q1_19_Trial-Social</v></cell><cell r="AC6758"><v>21358568</v></cell><cell r="AD6758"><v>720191</v></cell><cell r="AE6758" t="str"><v>Facebook</v></cell><cell r="AF6758"><v>3654128</v></cell><cell r="AG6758" t="str"><v>Facebook»Audience & Interest Targeting»1x1»TextLink»OTH»DT»DYN»AUT»W»NA»SS»NA»Free Account Refresh- Device ChB</v></cell><cell r="AH6758"><v>224160777</v></cell><cell r="AI6758" t="str"><v>AzurePlatform_FreeAcctAppsFACEBOOKDeviceChB_AUS_1200x628_SOC_PLAT_EN_Trial_Standard_NA_SNU_T2_1</v></cell><cell r="AJ6758"><v>103048479</v></cell></row><row r="6759"><cell r="C6759" t="str"><v>43330Facebook»Audience & Interest Targeting»1x1»TextLink»OTH»DT»DYN»AUT»W»NA»SS»NA»Free Account Refresh- Illustration ChC</v></cell><cell r="D6759" t="str"><v>43330224160774</v></cell><cell r="E6759" t="str"><v>43330103186910on ChC</v></cell><cell r="F6759" t="str"><v>DCM</v></cell></row><row r="6759"><cell r="K6759" t="str"><v>August</v></cell><cell r="L6759"><v>43330</v></cell><cell r="M6759" t="str"><v>Tier 1</v></cell><cell r="N6759" t="str"><v>APAC</v></cell><cell r="O6759" t="str"><v>Australia</v></cell><cell r="P6759" t="str"><v>Trial</v></cell><cell r="Q6759" t="str"><v>Social</v></cell><cell r="R6759" t="str"><v>Azure</v></cell><cell r="S6759" t="str"><v>Apps & Infra</v></cell><cell r="T6759" t="str"><v>Developers & ITI's</v></cell><cell r="U6759" t="str"><v>Audience & Interest Targeting</v></cell><cell r="V6759" t="str"><v>Audience Targeting</v></cell><cell r="W6759" t="str"><v>Other</v></cell><cell r="X6759" t="str"><v>1x1</v></cell></row><row r="6759"><cell r="AA6759"><v>43330</v></cell><cell r="AB6759" t="str"><v>AUS_gaPMG_AZR_AZR_Q1_19_Trial-Social</v></cell><cell r="AC6759"><v>21358568</v></cell><cell r="AD6759"><v>720191</v></cell><cell r="AE6759" t="str"><v>Facebook</v></cell><cell r="AF6759"><v>3654128</v></cell><cell r="AG6759" t="str"><v>Facebook»Audience & Interest Targeting»1x1»TextLink»OTH»DT»DYN»AUT»W»NA»SS»NA»Free Account Refresh- Illustration ChC</v></cell><cell r="AH6759"><v>224160774</v></cell><cell r="AI6759" t="str"><v>AzurePlatform_FreeAcctAppsFACEBOOKIllustrationChC_AUS_1200x628_SOC_PLAT_EN_Trial_Standard_NA_SNU_T3_1</v></cell><cell r="AJ6759"><v>103186910</v></cell></row><row r="6760"><cell r="C6760" t="str"><v>43330Facebook»Audience & Interest Targeting»1x1»TextLink»OTH»DT»DYN»AUT»W»NA»SS»NA»Free Account Refresh- Lifestyle ChA</v></cell><cell r="D6760" t="str"><v>43330224160771</v></cell><cell r="E6760" t="str"><v>43330103048488le ChA</v></cell><cell r="F6760" t="str"><v>DCM</v></cell></row><row r="6760"><cell r="K6760" t="str"><v>August</v></cell><cell r="L6760"><v>43330</v></cell><cell r="M6760" t="str"><v>Tier 1</v></cell><cell r="N6760" t="str"><v>APAC</v></cell><cell r="O6760" t="str"><v>Australia</v></cell><cell r="P6760" t="str"><v>Trial</v></cell><cell r="Q6760" t="str"><v>Social</v></cell><cell r="R6760" t="str"><v>Azure</v></cell><cell r="S6760" t="str"><v>Apps & Infra</v></cell><cell r="T6760" t="str"><v>Developers & ITI's</v></cell><cell r="U6760" t="str"><v>Audience & Interest Targeting</v></cell><cell r="V6760" t="str"><v>Audience Targeting</v></cell><cell r="W6760" t="str"><v>Other</v></cell><cell r="X6760" t="str"><v>1x1</v></cell></row><row r="6760"><cell r="AA6760"><v>43330</v></cell><cell r="AB6760" t="str"><v>AUS_gaPMG_AZR_AZR_Q1_19_Trial-Social</v></cell><cell r="AC6760"><v>21358568</v></cell><cell r="AD6760"><v>720191</v></cell><cell r="AE6760" t="str"><v>Facebook</v></cell><cell r="AF6760"><v>3654128</v></cell><cell r="AG6760" t="str"><v>Facebook»Audience & Interest Targeting»1x1»TextLink»OTH»DT»DYN»AUT»W»NA»SS»NA»Free Account Refresh- Lifestyle ChA</v></cell><cell r="AH6760"><v>224160771</v></cell><cell r="AI6760" t="str"><v>AzurePlatform_FreeAcctAppsFACEBOOKLifestyleChA_AUS_1200x628_SOC_PLAT_EN_Trial_Standard_NA_SNU_T1_1</v></cell><cell r="AJ6760"><v>103048488</v></cell></row><row r="6761"><cell r="C6761" t="str"><v>43330Facebook»LAL»1x1»TextLink»SOC»DT»DYN»LAL»W»NA»SS»NA»Free Account Refresh- 200 Credit ChD</v></cell><cell r="D6761" t="str"><v>43330224160720</v></cell><cell r="E6761" t="str"><v>43330103186907it ChD</v></cell><cell r="F6761" t="str"><v>DCM</v></cell><cell r="G6761" t="str"><v>https://azure.microsoft.com/en-au/free/open-source/search/</v></cell></row><row r="6761"><cell r="K6761" t="str"><v>August</v></cell><cell r="L6761"><v>43330</v></cell><cell r="M6761" t="str"><v>Tier 1</v></cell><cell r="N6761" t="str"><v>APAC</v></cell><cell r="O6761" t="str"><v>Australia</v></cell><cell r="P6761" t="str"><v>Trial</v></cell><cell r="Q6761" t="str"><v>Social</v></cell><cell r="R6761" t="str"><v>Azure</v></cell><cell r="S6761" t="str"><v>Apps & Infra</v></cell><cell r="T6761" t="str"><v>Developers & ITI's</v></cell><cell r="U6761" t="str"><v>LAL</v></cell><cell r="V6761" t="str"><v>Lookalike Targeting</v></cell><cell r="W6761" t="str"><v>Social</v></cell><cell r="X6761" t="str"><v>1x1</v></cell></row><row r="6761"><cell r="AA6761"><v>43330</v></cell><cell r="AB6761" t="str"><v>AUS_gaPMG_AZR_AZR_Q1_19_Trial-Social</v></cell><cell r="AC6761"><v>21358568</v></cell><cell r="AD6761"><v>720191</v></cell><cell r="AE6761" t="str"><v>Facebook</v></cell><cell r="AF6761"><v>3654128</v></cell><cell r="AG6761" t="str"><v>Facebook»LAL»1x1»TextLink»SOC»DT»DYN»LAL»W»NA»SS»NA»Free Account Refresh- 200 Credit ChD</v></cell><cell r="AH6761"><v>224160720</v></cell><cell r="AI6761" t="str"><v>AzurePlatform_FreeAcctRetargetingOSSFB-Logos-ChG_AUS_1200x628_SOC_Plat_EN_Free Account_Standard_NA_SNU_T2_1</v></cell><cell r="AJ6761"><v>103186907</v></cell></row><row r="6762"><cell r="C6762" t="str"><v>43330Facebook»LAL»1x1»TextLink»SOC»DT»DYN»LAL»W»NA»SS»NA»Free Account Refresh- Device ChB</v></cell><cell r="D6762" t="str"><v>43330224160717</v></cell><cell r="E6762" t="str"><v>43330103048485ce ChB</v></cell><cell r="F6762" t="str"><v>DCM</v></cell><cell r="G6762" t="str"><v>https://azure.microsoft.com/en-au/free/open-source/search/</v></cell></row><row r="6762"><cell r="K6762" t="str"><v>August</v></cell><cell r="L6762"><v>43330</v></cell><cell r="M6762" t="str"><v>Tier 1</v></cell><cell r="N6762" t="str"><v>APAC</v></cell><cell r="O6762" t="str"><v>Australia</v></cell><cell r="P6762" t="str"><v>Trial</v></cell><cell r="Q6762" t="str"><v>Social</v></cell><cell r="R6762" t="str"><v>Azure</v></cell><cell r="S6762" t="str"><v>Apps & Infra</v></cell><cell r="T6762" t="str"><v>Developers & ITI's</v></cell><cell r="U6762" t="str"><v>LAL</v></cell><cell r="V6762" t="str"><v>Lookalike Targeting</v></cell><cell r="W6762" t="str"><v>Social</v></cell><cell r="X6762" t="str"><v>1x1</v></cell></row><row r="6762"><cell r="AA6762"><v>43330</v></cell><cell r="AB6762" t="str"><v>AUS_gaPMG_AZR_AZR_Q1_19_Trial-Social</v></cell><cell r="AC6762"><v>21358568</v></cell><cell r="AD6762"><v>720191</v></cell><cell r="AE6762" t="str"><v>Facebook</v></cell><cell r="AF6762"><v>3654128</v></cell><cell r="AG6762" t="str"><v>Facebook»LAL»1x1»TextLink»SOC»DT»DYN»LAL»W»NA»SS»NA»Free Account Refresh- Device ChB</v></cell><cell r="AH6762"><v>224160717</v></cell><cell r="AI6762" t="str"><v>AzurePlatform_FreeAcctRetargetingOSSFB-Text-ChF_AUS_1200x628_SOC_Plat_EN_Free Account_Standard_NA_SNU_T1_1</v></cell><cell r="AJ6762"><v>103048485</v></cell></row><row r="6763"><cell r="C6763" t="str"><v>43330Facebook»LAL»1x1»TextLink»SOC»DT»DYN»LAL»W»NA»SS»NA»Free Account Refresh- Illustration ChC</v></cell><cell r="D6763" t="str"><v>43330224160714</v></cell><cell r="E6763" t="str"><v>43330103186916on ChC</v></cell><cell r="F6763" t="str"><v>DCM</v></cell><cell r="G6763" t="str"><v>https://azure.microsoft.com/en-au/free/virtual-machines/search/</v></cell></row><row r="6763"><cell r="K6763" t="str"><v>August</v></cell><cell r="L6763"><v>43330</v></cell><cell r="M6763" t="str"><v>Tier 1</v></cell><cell r="N6763" t="str"><v>APAC</v></cell><cell r="O6763" t="str"><v>Australia</v></cell><cell r="P6763" t="str"><v>Trial</v></cell><cell r="Q6763" t="str"><v>Social</v></cell><cell r="R6763" t="str"><v>Azure</v></cell><cell r="S6763" t="str"><v>Apps & Infra</v></cell><cell r="T6763" t="str"><v>Developers & ITI's</v></cell><cell r="U6763" t="str"><v>LAL</v></cell><cell r="V6763" t="str"><v>Lookalike Targeting</v></cell><cell r="W6763" t="str"><v>Social</v></cell><cell r="X6763" t="str"><v>1x1</v></cell></row><row r="6763"><cell r="AA6763"><v>43330</v></cell><cell r="AB6763" t="str"><v>AUS_gaPMG_AZR_AZR_Q1_19_Trial-Social</v></cell><cell r="AC6763"><v>21358568</v></cell><cell r="AD6763"><v>720191</v></cell><cell r="AE6763" t="str"><v>Facebook</v></cell><cell r="AF6763"><v>3654128</v></cell><cell r="AG6763" t="str"><v>Facebook»LAL»1x1»TextLink»SOC»DT»DYN»LAL»W»NA»SS»NA»Free Account Refresh- Illustration ChC</v></cell><cell r="AH6763"><v>224160714</v></cell><cell r="AI6763" t="str"><v>AzurePlatform_FreeAcctRetargetingVMFB-750Hrs-ChD_AUS_1200x628_SOC_Plat_EN_Free Account_Standard_NA_SNU_T1_1</v></cell><cell r="AJ6763"><v>103186916</v></cell></row><row r="6764"><cell r="C6764" t="str"><v>43330Facebook»Retargeting»1x1»TextLink»SOC»DT»DYN»RT»W»NA»SS»NA»Free Account Refresh- 200 Credit ChD</v></cell><cell r="D6764" t="str"><v>43330224160738</v></cell><cell r="E6764" t="str"><v>43330103186904it ChD</v></cell><cell r="F6764" t="str"><v>DCM</v></cell></row><row r="6764"><cell r="K6764" t="str"><v>August</v></cell><cell r="L6764"><v>43330</v></cell><cell r="M6764" t="str"><v>Tier 1</v></cell><cell r="N6764" t="str"><v>APAC</v></cell><cell r="O6764" t="str"><v>Australia</v></cell><cell r="P6764" t="str"><v>Trial</v></cell><cell r="Q6764" t="str"><v>Social</v></cell><cell r="R6764" t="str"><v>Azure</v></cell><cell r="S6764" t="str"><v>Apps & Infra</v></cell><cell r="T6764" t="str"><v>Developers & ITI's</v></cell><cell r="U6764" t="str"><v>Retargeting</v></cell><cell r="V6764" t="str"><v>Retargeting</v></cell><cell r="W6764" t="str"><v>Social</v></cell><cell r="X6764" t="str"><v>1x1</v></cell></row><row r="6764"><cell r="AA6764"><v>43330</v></cell><cell r="AB6764" t="str"><v>AUS_gaPMG_AZR_AZR_Q1_19_Trial-Social</v></cell><cell r="AC6764"><v>21358568</v></cell><cell r="AD6764"><v>720191</v></cell><cell r="AE6764" t="str"><v>Facebook</v></cell><cell r="AF6764"><v>3654128</v></cell><cell r="AG6764" t="str"><v>Facebook»Retargeting»1x1»TextLink»SOC»DT»DYN»RT»W»NA»SS»NA»Free Account Refresh- 200 Credit ChD</v></cell><cell r="AH6764"><v>224160738</v></cell><cell r="AI6764" t="str"><v>AzurePlatform_FreeAcctAppsFACEBOOK200CreditChD_AUS_1200x628_SOC_PLAT_EN_Trial_Standard_NA_SNU_T4_1</v></cell><cell r="AJ6764"><v>103186904</v></cell></row><row r="6765"><cell r="C6765" t="str"><v>43330Facebook»Retargeting»1x1»TextLink»SOC»DT»DYN»RT»W»NA»SS»NA»Free Account Refresh- Device ChB</v></cell><cell r="D6765" t="str"><v>43330224160735</v></cell><cell r="E6765" t="str"><v>43330103048479ce ChB</v></cell><cell r="F6765" t="str"><v>DCM</v></cell></row><row r="6765"><cell r="K6765" t="str"><v>August</v></cell><cell r="L6765"><v>43330</v></cell><cell r="M6765" t="str"><v>Tier 1</v></cell><cell r="N6765" t="str"><v>APAC</v></cell><cell r="O6765" t="str"><v>Australia</v></cell><cell r="P6765" t="str"><v>Trial</v></cell><cell r="Q6765" t="str"><v>Social</v></cell><cell r="R6765" t="str"><v>Azure</v></cell><cell r="S6765" t="str"><v>Apps & Infra</v></cell><cell r="T6765" t="str"><v>Developers & ITI's</v></cell><cell r="U6765" t="str"><v>Retargeting</v></cell><cell r="V6765" t="str"><v>Retargeting</v></cell><cell r="W6765" t="str"><v>Social</v></cell><cell r="X6765" t="str"><v>1x1</v></cell></row><row r="6765"><cell r="AA6765"><v>43330</v></cell><cell r="AB6765" t="str"><v>AUS_gaPMG_AZR_AZR_Q1_19_Trial-Social</v></cell><cell r="AC6765"><v>21358568</v></cell><cell r="AD6765"><v>720191</v></cell><cell r="AE6765" t="str"><v>Facebook</v></cell><cell r="AF6765"><v>3654128</v></cell><cell r="AG6765" t="str"><v>Facebook»Retargeting»1x1»TextLink»SOC»DT»DYN»RT»W»NA»SS»NA»Free Account Refresh- Device ChB</v></cell><cell r="AH6765"><v>224160735</v></cell><cell r="AI6765" t="str"><v>AzurePlatform_FreeAcctAppsFACEBOOKDeviceChB_AUS_1200x628_SOC_PLAT_EN_Trial_Standard_NA_SNU_T2_1</v></cell><cell r="AJ6765"><v>103048479</v></cell></row><row r="6766"><cell r="C6766" t="str"><v>43330Facebook»Retargeting»1x1»TextLink»SOC»DT»DYN»RT»W»NA»SS»NA»Free Account Refresh- Illustration ChC</v></cell><cell r="D6766" t="str"><v>43330224160732</v></cell><cell r="E6766" t="str"><v>43330103186910on ChC</v></cell><cell r="F6766" t="str"><v>DCM</v></cell></row><row r="6766"><cell r="K6766" t="str"><v>August</v></cell><cell r="L6766"><v>43330</v></cell><cell r="M6766" t="str"><v>Tier 1</v></cell><cell r="N6766" t="str"><v>APAC</v></cell><cell r="O6766" t="str"><v>Australia</v></cell><cell r="P6766" t="str"><v>Trial</v></cell><cell r="Q6766" t="str"><v>Social</v></cell><cell r="R6766" t="str"><v>Azure</v></cell><cell r="S6766" t="str"><v>Apps & Infra</v></cell><cell r="T6766" t="str"><v>Developers & ITI's</v></cell><cell r="U6766" t="str"><v>Retargeting</v></cell><cell r="V6766" t="str"><v>Retargeting</v></cell><cell r="W6766" t="str"><v>Social</v></cell><cell r="X6766" t="str"><v>1x1</v></cell></row><row r="6766"><cell r="AA6766"><v>43330</v></cell><cell r="AB6766" t="str"><v>AUS_gaPMG_AZR_AZR_Q1_19_Trial-Social</v></cell><cell r="AC6766"><v>21358568</v></cell><cell r="AD6766"><v>720191</v></cell><cell r="AE6766" t="str"><v>Facebook</v></cell><cell r="AF6766"><v>3654128</v></cell><cell r="AG6766" t="str"><v>Facebook»Retargeting»1x1»TextLink»SOC»DT»DYN»RT»W»NA»SS»NA»Free Account Refresh- Illustration ChC</v></cell><cell r="AH6766"><v>224160732</v></cell><cell r="AI6766" t="str"><v>AzurePlatform_FreeAcctAppsFACEBOOKIllustrationChC_AUS_1200x628_SOC_PLAT_EN_Trial_Standard_NA_SNU_T3_1</v></cell><cell r="AJ6766"><v>103186910</v></cell></row><row r="6767"><cell r="C6767" t="str"><v>43330Facebook»Retargeting»1x1»TextLink»SOC»DT»DYN»RT»W»NA»SS»NA»Free Account Refresh- Lifestyle ChA</v></cell><cell r="D6767" t="str"><v>43330224160729</v></cell><cell r="E6767" t="str"><v>43330103048488le ChA</v></cell><cell r="F6767" t="str"><v>DCM</v></cell></row><row r="6767"><cell r="K6767" t="str"><v>August</v></cell><cell r="L6767"><v>43330</v></cell><cell r="M6767" t="str"><v>Tier 1</v></cell><cell r="N6767" t="str"><v>APAC</v></cell><cell r="O6767" t="str"><v>Australia</v></cell><cell r="P6767" t="str"><v>Trial</v></cell><cell r="Q6767" t="str"><v>Social</v></cell><cell r="R6767" t="str"><v>Azure</v></cell><cell r="S6767" t="str"><v>Apps & Infra</v></cell><cell r="T6767" t="str"><v>Developers & ITI's</v></cell><cell r="U6767" t="str"><v>Retargeting</v></cell><cell r="V6767" t="str"><v>Retargeting</v></cell><cell r="W6767" t="str"><v>Social</v></cell><cell r="X6767" t="str"><v>1x1</v></cell></row><row r="6767"><cell r="AA6767"><v>43330</v></cell><cell r="AB6767" t="str"><v>AUS_gaPMG_AZR_AZR_Q1_19_Trial-Social</v></cell><cell r="AC6767"><v>21358568</v></cell><cell r="AD6767"><v>720191</v></cell><cell r="AE6767" t="str"><v>Facebook</v></cell><cell r="AF6767"><v>3654128</v></cell><cell r="AG6767" t="str"><v>Facebook»Retargeting»1x1»TextLink»SOC»DT»DYN»RT»W»NA»SS»NA»Free Account Refresh- Lifestyle ChA</v></cell><cell r="AH6767"><v>224160729</v></cell><cell r="AI6767" t="str"><v>AzurePlatform_FreeAcctAppsFACEBOOKLifestyleChA_AUS_1200x628_SOC_PLAT_EN_Trial_Standard_NA_SNU_T1_1</v></cell><cell r="AJ6767"><v>103048488</v></cell></row></sheetData><sheetData sheetId="2"></sheetData><sheetData sheetId="3"></sheetData><sheetData sheetId="4"></sheetData><sheetData sheetId="5"></sheetData><sheetData sheetId="6"></sheetData><sheetData sheetId="7"></sheetData><sheetData sheetId="8"></sheetData></sheetDataSet></externalBook></externalLink>
</file>

<file path=xl/externalLinks/externalLink2.xml><?xml version="1.0" encoding="UTF-8" standalone="yes"?>
<externalLink xmlns="http://schemas.openxmlformats.org/spreadsheetml/2006/main"><externalBook xmlns:r="http://schemas.openxmlformats.org/officeDocument/2006/relationships" r:id="rId1"><sheetNames><sheetName val="Check"/><sheetName val="Cost Correction"/><sheetName val="Data for Placement Level Master"/><sheetName val="Campaign Key"/><sheetName val="Tactic + Media Format"/><sheetName val="Exchange Rates"/><sheetName val="Market-Tier-Region"/><sheetName val="Creative"/><sheetName val="Source Validation&amp;AllocadiaID"/></sheetNames><sheetDataSet><sheetData sheetId="0"></sheetData><sheetData sheetId="1"><row r="2"><cell r="D2" t="str"><v>Key 4-Date&PlacementID</v></cell><cell r="E2" t="str"><v>Key 5 (Date&CreativeID&PrismaID)</v></cell><cell r="F2" t="str"><v>SOURCE</v></cell><cell r="G2" t="str"><v>Landing Page URL- Mapped from DCM by Placement ID</v></cell><cell r="H2" t="str"><v>Landing Page Visits-Mapped from Client File</v></cell><cell r="I2" t="str"><v>GEP-Mapped from Client File</v></cell><cell r="J2" t="str"><v>Scenario-Mapped from Client File</v></cell><cell r="K2" t="str"><v>Month</v></cell><cell r="L2" t="str"><v>Week End Date</v></cell><cell r="M2" t="str"><v>Tier</v></cell><cell r="N2" t="str"><v>Region</v></cell><cell r="O2" t="str"><v>Market</v></cell><cell r="P2" t="str"><v>KPI</v></cell><cell r="Q2" t="str"><v>Channel</v></cell><cell r="R2" t="str"><v>Pillar</v></cell><cell r="S2" t="str"><v>Solution Area</v></cell><cell r="T2" t="str"><v>Targeting Audience</v></cell><cell r="U2" t="str"><v>Audience Segment</v></cell><cell r="V2" t="str"><v>Tactic</v></cell><cell r="W2" t="str"><v>Ad Type (Media Format)</v></cell><cell r="X2" t="str"><v>Creative Dimensions</v></cell><cell r="Y2" t="str"><v>CTA</v></cell><cell r="Z2" t="str"><v>Asset Type</v></cell><cell r="AA2" t="str"><v>Day</v></cell><cell r="AB2" t="str"><v>Campaign Name</v></cell><cell r="AC2" t="str"><v>Campaign ID</v></cell><cell r="AD2" t="str"><v>Campaign External ID</v></cell><cell r="AE2" t="str"><v>Publisher</v></cell><cell r="AF2" t="str"><v>Site ID</v></cell><cell r="AG2" t="str"><v>Placement Name</v></cell><cell r="AH2" t="str"><v>Placement ID</v></cell><cell r="AI2" t="str"><v>Creative Name</v></cell><cell r="AJ2" t="str"><v>Creative ID</v></cell></row><row r="3"><cell r="D3" t="str"><v>43352224639151</v></cell><cell r="E3" t="str"><v>43352103316832NowCTA</v></cell><cell r="F3" t="str"><v>DCM</v></cell></row><row r="3"><cell r="H3"><v>3</v></cell><cell r="I3" t="str"><v>Azure Direct</v></cell><cell r="J3" t="str"><v>Azure Direct</v></cell><cell r="K3" t="str"><v>September</v></cell><cell r="L3"><v>43358</v></cell><cell r="M3" t="str"><v>Tier 1</v></cell><cell r="N3" t="str"><v>APAC</v></cell><cell r="O3" t="str"><v>Australia</v></cell><cell r="P3" t="str"><v>Trial</v></cell><cell r="Q3" t="str"><v>Social</v></cell><cell r="R3" t="str"><v>Azure</v></cell><cell r="S3" t="str"><v>Apps & Infra</v></cell><cell r="T3" t="str"><v>Developers & ITI's</v></cell><cell r="U3" t="str"><v>Audience & Interest Targeting</v></cell><cell r="V3" t="str"><v>Audience Targeting</v></cell><cell r="W3" t="str"><v>Canvas Ad</v></cell><cell r="X3" t="str"><v>1080x162</v></cell><cell r="Y3" t="str"><v>Buy Now</v></cell><cell r="Z3" t="str"><v>Not Applicable</v></cell><cell r="AA3"><v>43352</v></cell><cell r="AB3" t="str"><v>AUS_gaPMG_AZR_AZR_Q1_19_Trial-Social</v></cell><cell r="AC3"><v>21358568</v></cell><cell r="AD3"><v>720191</v></cell><cell r="AE3" t="str"><v>Facebook</v></cell><cell r="AF3"><v>3654128</v></cell><cell r="AG3" t="str"><v>Facebook»Audience & Interest Targeting»1x1»Canvas»OTH»DT»DYN»AUT»W»NA»SS»NA»FBCTCcanvaspage-StartFreeCTA_FBCTCcanvaspage-BuyNowCTA</v></cell><cell r="AH3"><v>224639151</v></cell><cell r="AI3" t="str"><v>AzurePlatform_FBCTCcanvaspage-BuyNowCTA-Img3_AUS_1080x162_SOC_Plat_English_NA_Standard_NA_BN_T3_1</v></cell><cell r="AJ3"><v>103316832</v></cell></row><row r="4"><cell r="D4" t="str"><v>43352224639151</v></cell><cell r="E4" t="str"><v>43352103316829NowCTA</v></cell><cell r="F4" t="str"><v>DCM</v></cell></row><row r="4"><cell r="H4"><v>0</v></cell><cell r="I4" t="str"><v>Azure Direct</v></cell><cell r="J4" t="str"><v>Azure Direct</v></cell><cell r="K4" t="str"><v>September</v></cell><cell r="L4"><v>43358</v></cell><cell r="M4" t="str"><v>Tier 1</v></cell><cell r="N4" t="str"><v>APAC</v></cell><cell r="O4" t="str"><v>Australia</v></cell><cell r="P4" t="str"><v>Trial</v></cell><cell r="Q4" t="str"><v>Social</v></cell><cell r="R4" t="str"><v>Azure</v></cell><cell r="S4" t="str"><v>Apps & Infra</v></cell><cell r="T4" t="str"><v>Developers & ITI's</v></cell><cell r="U4" t="str"><v>Audience & Interest Targeting</v></cell><cell r="V4" t="str"><v>Audience Targeting</v></cell><cell r="W4" t="str"><v>Canvas Ad</v></cell><cell r="X4" t="str"><v>1080x143</v></cell><cell r="Y4" t="str"><v>Not Applicable </v></cell><cell r="Z4" t="str"><v>Not Applicable</v></cell><cell r="AA4"><v>43352</v></cell><cell r="AB4" t="str"><v>AUS_gaPMG_AZR_AZR_Q1_19_Trial-Social</v></cell><cell r="AC4"><v>21358568</v></cell><cell r="AD4"><v>720191</v></cell><cell r="AE4" t="str"><v>Facebook</v></cell><cell r="AF4"><v>3654128</v></cell><cell r="AG4" t="str"><v>Facebook»Audience & Interest Targeting»1x1»Canvas»OTH»DT»DYN»AUT»W»NA»SS»NA»FBCTCcanvaspage-StartFreeCTA_FBCTCcanvaspage-BuyNowCTA</v></cell><cell r="AH4"><v>224639151</v></cell><cell r="AI4" t="str"><v>AzurePlatform_FBCTCcanvaspage-StartFreeCTA-Img2_AUS_1080x143 _SOC_Plat_English_NA_Standard_NA_NA_T2_1</v></cell><cell r="AJ4"><v>103316829</v></cell></row><row r="5"><cell r="D5" t="str"><v>43352224160783</v></cell><cell r="E5" t="str"><v>43352103051614hs ChE</v></cell><cell r="F5" t="str"><v>DCM</v></cell></row><row r="5"><cell r="H5"><v>3</v></cell><cell r="I5" t="str"><v>Azure Direct</v></cell><cell r="J5" t="str"><v>Azure Direct</v></cell><cell r="K5" t="str"><v>September</v></cell><cell r="L5"><v>43358</v></cell><cell r="M5" t="str"><v>Tier 1</v></cell><cell r="N5" t="str"><v>APAC</v></cell><cell r="O5" t="str"><v>Australia</v></cell><cell r="P5" t="str"><v>Trial</v></cell><cell r="Q5" t="str"><v>Social</v></cell><cell r="R5" t="str"><v>Azure</v></cell><cell r="S5" t="str"><v>Apps & Infra</v></cell><cell r="T5" t="str"><v>Developers & ITI's</v></cell><cell r="U5" t="str"><v>Audience & Interest Targeting</v></cell><cell r="V5" t="str"><v>Audience Targeting</v></cell><cell r="W5" t="str"><v>Link Ad</v></cell><cell r="X5" t="str"><v>1200x628</v></cell></row><row r="5"><cell r="Z5" t="str"><v>Not Applicable</v></cell><cell r="AA5"><v>43352</v></cell><cell r="AB5" t="str"><v>AUS_gaPMG_AZR_AZR_Q1_19_Trial-Social</v></cell><cell r="AC5"><v>21358568</v></cell><cell r="AD5"><v>720191</v></cell><cell r="AE5" t="str"><v>Facebook</v></cell><cell r="AF5"><v>3654128</v></cell><cell r="AG5" t="str"><v>Facebook»Audience & Interest Targeting»1x1»TextLink»OTH»DT»DYN»AUT»W»NA»SS»NA»Free Account Refresh- 12 months ChE</v></cell><cell r="AH5"><v>224160783</v></cell><cell r="AI5" t="str"><v>AzurePlatform_FreeAcctAppsFACEBOOK12monthsChE_AUS_1200x628_SOC_PLAT_EN_Trial_Standard_NA_SNU_T5_1</v></cell><cell r="AJ5"><v>103051614</v></cell></row><row r="6"><cell r="D6" t="str"><v>43352224160780</v></cell><cell r="E6" t="str"><v>43352103186904it ChD</v></cell><cell r="F6" t="str"><v>DCM</v></cell></row><row r="6"><cell r="H6"><v>1</v></cell><cell r="I6" t="str"><v>Azure Direct</v></cell><cell r="J6" t="str"><v>Azure Direct</v></cell><cell r="K6" t="str"><v>September</v></cell><cell r="L6"><v>43358</v></cell><cell r="M6" t="str"><v>Tier 1</v></cell><cell r="N6" t="str"><v>APAC</v></cell><cell r="O6" t="str"><v>Australia</v></cell><cell r="P6" t="str"><v>Trial</v></cell><cell r="Q6" t="str"><v>Social</v></cell><cell r="R6" t="str"><v>Azure</v></cell><cell r="S6" t="str"><v>Apps & Infra</v></cell><cell r="T6" t="str"><v>Developers & ITI's</v></cell><cell r="U6" t="str"><v>Audience & Interest Targeting</v></cell><cell r="V6" t="str"><v>Audience Targeting</v></cell><cell r="W6" t="str"><v>Link Ad</v></cell><cell r="X6" t="str"><v>1200x628</v></cell></row><row r="6"><cell r="Z6" t="str"><v>Not Applicable</v></cell><cell r="AA6"><v>43352</v></cell><cell r="AB6" t="str"><v>AUS_gaPMG_AZR_AZR_Q1_19_Trial-Social</v></cell><cell r="AC6"><v>21358568</v></cell><cell r="AD6"><v>720191</v></cell><cell r="AE6" t="str"><v>Facebook</v></cell><cell r="AF6"><v>3654128</v></cell><cell r="AG6" t="str"><v>Facebook»Audience & Interest Targeting»1x1»TextLink»OTH»DT»DYN»AUT»W»NA»SS»NA»Free Account Refresh- 200 Credit ChD</v></cell><cell r="AH6"><v>224160780</v></cell><cell r="AI6" t="str"><v>AzurePlatform_FreeAcctAppsFACEBOOK200CreditChD_AUS_1200x628_SOC_PLAT_EN_Trial_Standard_NA_SNU_T4_1</v></cell><cell r="AJ6"><v>103186904</v></cell></row><row r="7"><cell r="D7" t="str"><v>43352224160777</v></cell><cell r="E7" t="str"><v>43352103048479ce ChB</v></cell><cell r="F7" t="str"><v>DCM</v></cell></row><row r="7"><cell r="H7"><v>4</v></cell><cell r="I7" t="str"><v>Azure Direct</v></cell><cell r="J7" t="str"><v>Azure Direct</v></cell><cell r="K7" t="str"><v>September</v></cell><cell r="L7"><v>43358</v></cell><cell r="M7" t="str"><v>Tier 1</v></cell><cell r="N7" t="str"><v>APAC</v></cell><cell r="O7" t="str"><v>Australia</v></cell><cell r="P7" t="str"><v>Trial</v></cell><cell r="Q7" t="str"><v>Social</v></cell><cell r="R7" t="str"><v>Azure</v></cell><cell r="S7" t="str"><v>Apps & Infra</v></cell><cell r="T7" t="str"><v>Developers & ITI's</v></cell><cell r="U7" t="str"><v>Audience & Interest Targeting</v></cell><cell r="V7" t="str"><v>Audience Targeting</v></cell><cell r="W7" t="str"><v>Link Ad</v></cell><cell r="X7" t="str"><v>1200x628</v></cell></row><row r="7"><cell r="Z7" t="str"><v>Not Applicable</v></cell><cell r="AA7"><v>43352</v></cell><cell r="AB7" t="str"><v>AUS_gaPMG_AZR_AZR_Q1_19_Trial-Social</v></cell><cell r="AC7"><v>21358568</v></cell><cell r="AD7"><v>720191</v></cell><cell r="AE7" t="str"><v>Facebook</v></cell><cell r="AF7"><v>3654128</v></cell><cell r="AG7" t="str"><v>Facebook»Audience & Interest Targeting»1x1»TextLink»OTH»DT»DYN»AUT»W»NA»SS»NA»Free Account Refresh- Device ChB</v></cell><cell r="AH7"><v>224160777</v></cell><cell r="AI7" t="str"><v>AzurePlatform_FreeAcctAppsFACEBOOKDeviceChB_AUS_1200x628_SOC_PLAT_EN_Trial_Standard_NA_SNU_T2_1</v></cell><cell r="AJ7"><v>103048479</v></cell></row><row r="8"><cell r="D8" t="str"><v>43352224160774</v></cell><cell r="E8" t="str"><v>43352103186910on ChC</v></cell><cell r="F8" t="str"><v>DCM</v></cell></row><row r="8"><cell r="H8"><v>1</v></cell><cell r="I8" t="str"><v>Azure Direct</v></cell><cell r="J8" t="str"><v>Azure Direct</v></cell><cell r="K8" t="str"><v>September</v></cell><cell r="L8"><v>43358</v></cell><cell r="M8" t="str"><v>Tier 1</v></cell><cell r="N8" t="str"><v>APAC</v></cell><cell r="O8" t="str"><v>Australia</v></cell><cell r="P8" t="str"><v>Trial</v></cell><cell r="Q8" t="str"><v>Social</v></cell><cell r="R8" t="str"><v>Azure</v></cell><cell r="S8" t="str"><v>Apps & Infra</v></cell><cell r="T8" t="str"><v>Developers & ITI's</v></cell><cell r="U8" t="str"><v>Audience & Interest Targeting</v></cell><cell r="V8" t="str"><v>Audience Targeting</v></cell><cell r="W8" t="str"><v>Link Ad</v></cell><cell r="X8" t="str"><v>1200x628</v></cell></row><row r="8"><cell r="Z8" t="str"><v>Not Applicable</v></cell><cell r="AA8"><v>43352</v></cell><cell r="AB8" t="str"><v>AUS_gaPMG_AZR_AZR_Q1_19_Trial-Social</v></cell><cell r="AC8"><v>21358568</v></cell><cell r="AD8"><v>720191</v></cell><cell r="AE8" t="str"><v>Facebook</v></cell><cell r="AF8"><v>3654128</v></cell><cell r="AG8" t="str"><v>Facebook»Audience & Interest Targeting»1x1»TextLink»OTH»DT»DYN»AUT»W»NA»SS»NA»Free Account Refresh- Illustration ChC</v></cell><cell r="AH8"><v>224160774</v></cell><cell r="AI8" t="str"><v>AzurePlatform_FreeAcctAppsFACEBOOKIllustrationChC_AUS_1200x628_SOC_PLAT_EN_Trial_Standard_NA_SNU_T3_1</v></cell><cell r="AJ8"><v>103186910</v></cell></row><row r="9"><cell r="D9" t="str"><v>43352224160771</v></cell><cell r="E9" t="str"><v>43352103048488le ChA</v></cell><cell r="F9" t="str"><v>DCM</v></cell></row><row r="9"><cell r="H9"><v>2</v></cell><cell r="I9" t="str"><v>Azure Direct</v></cell><cell r="J9" t="str"><v>Azure Direct</v></cell><cell r="K9" t="str"><v>September</v></cell><cell r="L9"><v>43358</v></cell><cell r="M9" t="str"><v>Tier 1</v></cell><cell r="N9" t="str"><v>APAC</v></cell><cell r="O9" t="str"><v>Australia</v></cell><cell r="P9" t="str"><v>Trial</v></cell><cell r="Q9" t="str"><v>Social</v></cell><cell r="R9" t="str"><v>Azure</v></cell><cell r="S9" t="str"><v>Apps & Infra</v></cell><cell r="T9" t="str"><v>Developers & ITI's</v></cell><cell r="U9" t="str"><v>Audience & Interest Targeting</v></cell><cell r="V9" t="str"><v>Audience Targeting</v></cell><cell r="W9" t="str"><v>Link Ad</v></cell><cell r="X9" t="str"><v>1200x628</v></cell></row><row r="9"><cell r="Z9" t="str"><v>Not Applicable</v></cell><cell r="AA9"><v>43352</v></cell><cell r="AB9" t="str"><v>AUS_gaPMG_AZR_AZR_Q1_19_Trial-Social</v></cell><cell r="AC9"><v>21358568</v></cell><cell r="AD9"><v>720191</v></cell><cell r="AE9" t="str"><v>Facebook</v></cell><cell r="AF9"><v>3654128</v></cell><cell r="AG9" t="str"><v>Facebook»Audience & Interest Targeting»1x1»TextLink»OTH»DT»DYN»AUT»W»NA»SS»NA»Free Account Refresh- Lifestyle ChA</v></cell><cell r="AH9"><v>224160771</v></cell><cell r="AI9" t="str"><v>AzurePlatform_FreeAcctAppsFACEBOOKLifestyleChA_AUS_1200x628_SOC_PLAT_EN_Trial_Standard_NA_SNU_T1_1</v></cell><cell r="AJ9"><v>103048488</v></cell></row><row r="10"><cell r="D10" t="str"><v>43352224160735</v></cell><cell r="E10" t="str"><v>43352103048479ce ChB</v></cell><cell r="F10" t="str"><v>DCM</v></cell></row><row r="10"><cell r="H10"><v>15</v></cell><cell r="I10" t="str"><v>Azure Direct</v></cell><cell r="J10" t="str"><v>Azure Direct</v></cell><cell r="K10" t="str"><v>September</v></cell><cell r="L10"><v>43358</v></cell><cell r="M10" t="str"><v>Tier 1</v></cell><cell r="N10" t="str"><v>APAC</v></cell><cell r="O10" t="str"><v>Australia</v></cell><cell r="P10" t="str"><v>Trial</v></cell><cell r="Q10" t="str"><v>Social</v></cell><cell r="R10" t="str"><v>Azure</v></cell><cell r="S10" t="str"><v>Apps & Infra</v></cell><cell r="T10" t="str"><v>Developers & ITI's</v></cell><cell r="U10" t="str"><v>Retargeting</v></cell><cell r="V10" t="str"><v>Retargeting</v></cell><cell r="W10" t="str"><v>Link Ad</v></cell><cell r="X10" t="str"><v>1200x628</v></cell></row><row r="10"><cell r="Z10" t="str"><v>Not Applicable</v></cell><cell r="AA10"><v>43352</v></cell><cell r="AB10" t="str"><v>AUS_gaPMG_AZR_AZR_Q1_19_Trial-Social</v></cell><cell r="AC10"><v>21358568</v></cell><cell r="AD10"><v>720191</v></cell><cell r="AE10" t="str"><v>Facebook</v></cell><cell r="AF10"><v>3654128</v></cell><cell r="AG10" t="str"><v>Facebook»Retargeting»1x1»TextLink»SOC»DT»DYN»RT»W»NA»SS»NA»Free Account Refresh- Device ChB</v></cell><cell r="AH10"><v>224160735</v></cell><cell r="AI10" t="str"><v>AzurePlatform_FreeAcctAppsFACEBOOKDeviceChB_AUS_1200x628_SOC_PLAT_EN_Trial_Standard_NA_SNU_T2_1</v></cell><cell r="AJ10"><v>103048479</v></cell></row><row r="11"><cell r="D11" t="str"><v>43352224160732</v></cell><cell r="E11" t="str"><v>43352103186910on ChC</v></cell><cell r="F11" t="str"><v>DCM</v></cell></row><row r="11"><cell r="H11"><v>5</v></cell><cell r="I11" t="str"><v>Azure Direct</v></cell><cell r="J11" t="str"><v>Azure Direct</v></cell><cell r="K11" t="str"><v>September</v></cell><cell r="L11"><v>43358</v></cell><cell r="M11" t="str"><v>Tier 1</v></cell><cell r="N11" t="str"><v>APAC</v></cell><cell r="O11" t="str"><v>Australia</v></cell><cell r="P11" t="str"><v>Trial</v></cell><cell r="Q11" t="str"><v>Social</v></cell><cell r="R11" t="str"><v>Azure</v></cell><cell r="S11" t="str"><v>Apps & Infra</v></cell><cell r="T11" t="str"><v>Developers & ITI's</v></cell><cell r="U11" t="str"><v>Retargeting</v></cell><cell r="V11" t="str"><v>Retargeting</v></cell><cell r="W11" t="str"><v>Link Ad</v></cell><cell r="X11" t="str"><v>1200x628</v></cell></row><row r="11"><cell r="Z11" t="str"><v>Not Applicable</v></cell><cell r="AA11"><v>43352</v></cell><cell r="AB11" t="str"><v>AUS_gaPMG_AZR_AZR_Q1_19_Trial-Social</v></cell><cell r="AC11"><v>21358568</v></cell><cell r="AD11"><v>720191</v></cell><cell r="AE11" t="str"><v>Facebook</v></cell><cell r="AF11"><v>3654128</v></cell><cell r="AG11" t="str"><v>Facebook»Retargeting»1x1»TextLink»SOC»DT»DYN»RT»W»NA»SS»NA»Free Account Refresh- Illustration ChC</v></cell><cell r="AH11"><v>224160732</v></cell><cell r="AI11" t="str"><v>AzurePlatform_FreeAcctAppsFACEBOOKIllustrationChC_AUS_1200x628_SOC_PLAT_EN_Trial_Standard_NA_SNU_T3_1</v></cell><cell r="AJ11"><v>103186910</v></cell></row><row r="12"><cell r="D12" t="str"><v>43352223684451</v></cell><cell r="E12" t="str"><v>433521029018821 - EN</v></cell><cell r="F12" t="str"><v>DCM</v></cell></row><row r="12"><cell r="H12"><v>1</v></cell><cell r="I12" t="str"><v>Azure Direct</v></cell><cell r="J12" t="str"><v>Azure Direct</v></cell><cell r="K12" t="str"><v>September</v></cell><cell r="L12"><v>43358</v></cell><cell r="M12" t="str"><v>Tier 1</v></cell><cell r="N12" t="str"><v>North America</v></cell><cell r="O12" t="str"><v>Canada</v></cell><cell r="P12" t="str"><v>Trial</v></cell><cell r="Q12" t="str"><v>Social</v></cell><cell r="R12" t="str"><v>Azure</v></cell><cell r="S12" t="str"><v>Apps & Infra</v></cell><cell r="T12" t="str"><v>Developers & ITI's</v></cell><cell r="U12" t="str"><v>AZR</v></cell><cell r="V12" t="str"><v>Audience Targeting</v></cell><cell r="W12" t="str"><v>Engagement Video</v></cell><cell r="X12" t="str"><v>10s</v></cell><cell r="Y12" t="str"><v>Try Azure Free</v></cell><cell r="Z12" t="str"><v>Standard videos</v></cell><cell r="AA12"><v>43352</v></cell><cell r="AB12" t="str"><v>CAN_gaPMG_AZR_AZR_Q1_19_Trial-Social</v></cell><cell r="AC12"><v>21337220</v></cell><cell r="AD12"><v>720192</v></cell><cell r="AE12" t="str"><v>Facebook</v></cell><cell r="AF12"><v>3654128</v></cell><cell r="AG12" t="str"><v>Facebook»AZR»1x1»NA»EGV»ALL»DYN»AUT»D»All»SS»NA»Free Acc CTC - T1 - EN</v></cell><cell r="AH12"><v>223684451</v></cell><cell r="AI12" t="str"><v>AzurePlatform_FBCTCBasicMotion_CAN_10s_ISV_PLAT_English_Trial_Standard_STAN_TN_T1_1</v></cell><cell r="AJ12"><v>102901882</v></cell></row><row r="13"><cell r="D13" t="str"><v>43352223691840</v></cell><cell r="E13" t="str"><v>433521029029502 - EN</v></cell><cell r="F13" t="str"><v>DCM</v></cell></row><row r="13"><cell r="H13"><v>0</v></cell><cell r="I13" t="str"><v>Azure Direct</v></cell><cell r="J13" t="str"><v>Azure Direct</v></cell><cell r="K13" t="str"><v>September</v></cell><cell r="L13"><v>43358</v></cell><cell r="M13" t="str"><v>Tier 1</v></cell><cell r="N13" t="str"><v>North America</v></cell><cell r="O13" t="str"><v>Canada</v></cell><cell r="P13" t="str"><v>Trial</v></cell><cell r="Q13" t="str"><v>Social</v></cell><cell r="R13" t="str"><v>Azure</v></cell><cell r="S13" t="str"><v>Apps & Infra</v></cell><cell r="T13" t="str"><v>Developers & ITI's</v></cell><cell r="U13" t="str"><v>AZR</v></cell><cell r="V13" t="str"><v>Audience Targeting</v></cell><cell r="W13" t="str"><v>Engagement Video</v></cell><cell r="X13" t="str"><v>12s</v></cell><cell r="Y13" t="str"><v>Try Azure Free</v></cell><cell r="Z13" t="str"><v>Standard videos</v></cell><cell r="AA13"><v>43352</v></cell><cell r="AB13" t="str"><v>CAN_gaPMG_AZR_AZR_Q1_19_Trial-Social</v></cell><cell r="AC13"><v>21337220</v></cell><cell r="AD13"><v>720192</v></cell><cell r="AE13" t="str"><v>Facebook</v></cell><cell r="AF13"><v>3654128</v></cell><cell r="AG13" t="str"><v>Facebook»AZR»1x1»NA»EGV»ALL»DYN»AUT»D»All»SS»NA»Free Acc CTC - T2 - EN</v></cell><cell r="AH13"><v>223691840</v></cell><cell r="AI13" t="str"><v>AzurePlatform_FBCTCBrandinMotion_CAN_12s_ISV_PLAT_English_Trial_Standard_STAN_TN_T2_1</v></cell><cell r="AJ13"><v>102902950</v></cell></row><row r="14"><cell r="D14" t="str"><v>43352223691798</v></cell><cell r="E14" t="str"><v>433521029163472 - FR</v></cell><cell r="F14" t="str"><v>DCM</v></cell></row><row r="14"><cell r="H14"><v>0</v></cell><cell r="I14" t="str"><v>Azure Direct</v></cell><cell r="J14" t="str"><v>Azure Direct</v></cell><cell r="K14" t="str"><v>September</v></cell><cell r="L14"><v>43358</v></cell><cell r="M14" t="str"><v>Tier 1</v></cell><cell r="N14" t="str"><v>North America</v></cell><cell r="O14" t="str"><v>Canada</v></cell><cell r="P14" t="str"><v>Trial</v></cell><cell r="Q14" t="str"><v>Social</v></cell><cell r="R14" t="str"><v>Azure</v></cell><cell r="S14" t="str"><v>Apps & Infra</v></cell><cell r="T14" t="str"><v>Developers & ITI's</v></cell><cell r="U14" t="str"><v>AZR</v></cell><cell r="V14" t="str"><v>Audience Targeting</v></cell><cell r="W14" t="str"><v>Engagement Video</v></cell><cell r="X14" t="str"><v>12s</v></cell><cell r="Y14" t="str"><v>Try Azure Free</v></cell><cell r="Z14" t="str"><v>Standard videos</v></cell><cell r="AA14"><v>43352</v></cell><cell r="AB14" t="str"><v>CAN_gaPMG_AZR_AZR_Q1_19_Trial-Social</v></cell><cell r="AC14"><v>21337220</v></cell><cell r="AD14"><v>720192</v></cell><cell r="AE14" t="str"><v>Facebook</v></cell><cell r="AF14"><v>3654128</v></cell><cell r="AG14" t="str"><v>Facebook»AZR»1x1»NA»EGV»ALL»DYN»AUT»D»All»SS»NA»Free Acc CTC - T2 - FR</v></cell><cell r="AH14"><v>223691798</v></cell><cell r="AI14" t="str"><v>AzurePlatform_FBCTCBrandinMotion_CAN_12s_ISV_PLAT_FR_Trial_Standard_STAN_TN_T2_1</v></cell><cell r="AJ14"><v>102916347</v></cell></row><row r="15"><cell r="D15" t="str"><v>43352223691837</v></cell><cell r="E15" t="str"><v>433521030533144 - EN</v></cell><cell r="F15" t="str"><v>DCM</v></cell></row><row r="15"><cell r="H15"><v>0</v></cell><cell r="I15" t="str"><v>Azure Direct</v></cell><cell r="J15" t="str"><v>Azure Direct</v></cell><cell r="K15" t="str"><v>September</v></cell><cell r="L15"><v>43358</v></cell><cell r="M15" t="str"><v>Tier 1</v></cell><cell r="N15" t="str"><v>North America</v></cell><cell r="O15" t="str"><v>Canada</v></cell><cell r="P15" t="str"><v>Trial</v></cell><cell r="Q15" t="str"><v>Social</v></cell><cell r="R15" t="str"><v>Azure</v></cell><cell r="S15" t="str"><v>Apps & Infra</v></cell><cell r="T15" t="str"><v>Developers & ITI's</v></cell><cell r="U15" t="str"><v>AZR</v></cell><cell r="V15" t="str"><v>Audience Targeting</v></cell><cell r="W15" t="str"><v>Engagement Video</v></cell><cell r="X15" t="str"><v>14s</v></cell><cell r="Y15" t="str"><v>Try Azure Free</v></cell><cell r="Z15" t="str"><v>Standard videos</v></cell><cell r="AA15"><v>43352</v></cell><cell r="AB15" t="str"><v>CAN_gaPMG_AZR_AZR_Q1_19_Trial-Social</v></cell><cell r="AC15"><v>21337220</v></cell><cell r="AD15"><v>720192</v></cell><cell r="AE15" t="str"><v>Facebook</v></cell><cell r="AF15"><v>3654128</v></cell><cell r="AG15" t="str"><v>Facebook»AZR»1x1»NA»EGV»ALL»DYN»AUT»D»All»SS»NA»Free Acc CTC - T4 - EN</v></cell><cell r="AH15"><v>223691837</v></cell><cell r="AI15" t="str"><v>AzurePlatform_FBCTCBenefit2inMotion_CAN_14s_ISV_PLAT_English_Trial_Standard_STAN_TN_T4_1</v></cell><cell r="AJ15"><v>103053314</v></cell></row><row r="16"><cell r="D16" t="str"><v>43352227792313</v></cell><cell r="E16" t="str"><v>43352105216995ow -FR</v></cell><cell r="F16" t="str"><v>DCM</v></cell></row><row r="16"><cell r="H16"><v>0</v></cell><cell r="I16" t="str"><v>Azure Direct</v></cell><cell r="J16" t="str"><v>Azure Direct</v></cell><cell r="K16" t="str"><v>September</v></cell><cell r="L16"><v>43358</v></cell><cell r="M16" t="str"><v>Tier 1</v></cell><cell r="N16" t="str"><v>North America</v></cell><cell r="O16" t="str"><v>Canada</v></cell><cell r="P16" t="str"><v>Trial</v></cell><cell r="Q16" t="str"><v>Social</v></cell><cell r="R16" t="str"><v>Azure</v></cell><cell r="S16" t="str"><v>Apps & Infra</v></cell><cell r="T16" t="str"><v>Developers & ITI's</v></cell><cell r="U16" t="str"><v>AZR</v></cell><cell r="V16" t="str"><v>Audience Targeting</v></cell><cell r="W16" t="str"><v>Canvas Ad</v></cell><cell r="X16" t="str"><v>1080x1080</v></cell><cell r="Y16" t="str"><v>Free Trial</v></cell><cell r="Z16" t="str"><v>Not Applicable</v></cell><cell r="AA16"><v>43352</v></cell><cell r="AB16" t="str"><v>CAN_gaPMG_AZR_AZR_Q1_19_Trial-Social</v></cell><cell r="AC16"><v>21337220</v></cell><cell r="AD16"><v>720192</v></cell><cell r="AE16" t="str"><v>Facebook</v></cell><cell r="AF16"><v>3654128</v></cell><cell r="AG16" t="str"><v>Facebook»AZR»1x1»NA»NA»ALL»DYN»AUT»D»All»SS»NA»Free Account Create to Convert FB - Canvas - Basic - Buy Now -FR</v></cell><cell r="AH16"><v>227792313</v></cell><cell r="AI16" t="str"><v>AzurePlatform_FBCTCBasicMotion_CAN_1080x1080_SOC_10s_ISV_FR_Standard_NA_FTR_T1_1</v></cell><cell r="AJ16"><v>105216995</v></cell></row><row r="17"><cell r="D17" t="str"><v>43352227522759</v></cell><cell r="E17" t="str"><v>43352105130122ee -EN</v></cell><cell r="F17" t="str"><v>DCM</v></cell></row><row r="17"><cell r="H17"><v>0</v></cell><cell r="I17" t="str"><v>Azure Direct</v></cell><cell r="J17" t="str"><v>Azure Direct</v></cell><cell r="K17" t="str"><v>September</v></cell><cell r="L17"><v>43358</v></cell><cell r="M17" t="str"><v>Tier 1</v></cell><cell r="N17" t="str"><v>North America</v></cell><cell r="O17" t="str"><v>Canada</v></cell><cell r="P17" t="str"><v>Trial</v></cell><cell r="Q17" t="str"><v>Social</v></cell><cell r="R17" t="str"><v>Azure</v></cell><cell r="S17" t="str"><v>Apps & Infra</v></cell><cell r="T17" t="str"><v>Developers & ITI's</v></cell><cell r="U17" t="str"><v>AZR</v></cell><cell r="V17" t="str"><v>Audience Targeting</v></cell><cell r="W17" t="str"><v>Canvas Ad</v></cell><cell r="X17" t="str"><v>1080x1080</v></cell><cell r="Y17" t="str"><v>Free Trial</v></cell><cell r="Z17" t="str"><v>Not Applicable</v></cell><cell r="AA17"><v>43352</v></cell><cell r="AB17" t="str"><v>CAN_gaPMG_AZR_AZR_Q1_19_Trial-Social</v></cell><cell r="AC17"><v>21337220</v></cell><cell r="AD17"><v>720192</v></cell><cell r="AE17" t="str"><v>Facebook</v></cell><cell r="AF17"><v>3654128</v></cell><cell r="AG17" t="str"><v>Facebook»AZR»1x1»NA»NA»ALL»DYN»AUT»D»All»SS»NA»Free Account Create to Convert FB - Canvas - Basic - Start Free -EN</v></cell><cell r="AH17"><v>227522759</v></cell><cell r="AI17" t="str"><v>AzurePlatform_FBCTCBasicMotion_CAN_1080x1080_SOC_10s_ISV_English_Standard_NA_FTR_T1_1</v></cell><cell r="AJ17"><v>105130122</v></cell></row><row r="18"><cell r="D18" t="str"><v>43352227619001</v></cell><cell r="E18" t="str"><v>43352105130125w - EN</v></cell><cell r="F18" t="str"><v>DCM</v></cell></row><row r="18"><cell r="H18"><v>0</v></cell><cell r="I18" t="str"><v>Azure Direct</v></cell><cell r="J18" t="str"><v>Azure Direct</v></cell><cell r="K18" t="str"><v>September</v></cell><cell r="L18"><v>43358</v></cell><cell r="M18" t="str"><v>Tier 1</v></cell><cell r="N18" t="str"><v>North America</v></cell><cell r="O18" t="str"><v>Canada</v></cell><cell r="P18" t="str"><v>Trial</v></cell><cell r="Q18" t="str"><v>Social</v></cell><cell r="R18" t="str"><v>Azure</v></cell><cell r="S18" t="str"><v>Apps & Infra</v></cell><cell r="T18" t="str"><v>Developers & ITI's</v></cell><cell r="U18" t="str"><v>AZR</v></cell><cell r="V18" t="str"><v>Audience Targeting</v></cell><cell r="W18" t="str"><v>Canvas Ad</v></cell><cell r="X18" t="str"><v>1080x1080</v></cell><cell r="Y18" t="str"><v>Free Trial</v></cell><cell r="Z18" t="str"><v>Not Applicable</v></cell><cell r="AA18"><v>43352</v></cell><cell r="AB18" t="str"><v>CAN_gaPMG_AZR_AZR_Q1_19_Trial-Social</v></cell><cell r="AC18"><v>21337220</v></cell><cell r="AD18"><v>720192</v></cell><cell r="AE18" t="str"><v>Facebook</v></cell><cell r="AF18"><v>3654128</v></cell><cell r="AG18" t="str"><v>Facebook»AZR»1x1»NA»NA»ALL»DYN»AUT»D»All»SS»NA»Free Account Create to Convert FB - Canvas - Benefit - Buy Now - EN</v></cell><cell r="AH18"><v>227619001</v></cell><cell r="AI18" t="str"><v>AzurePlatform_FBCTCBenefit2inMotion_CAN_1080x1080_SOC_14s_ISV_English_Standard_NA_FTR_T4_1</v></cell><cell r="AJ18"><v>105130125</v></cell></row><row r="19"><cell r="D19" t="str"><v>43352227522762</v></cell><cell r="E19" t="str"><v>43352105216992e - EN</v></cell><cell r="F19" t="str"><v>DCM</v></cell></row><row r="19"><cell r="H19"><v>0</v></cell><cell r="I19" t="str"><v>Azure Direct</v></cell><cell r="J19" t="str"><v>Azure Direct</v></cell><cell r="K19" t="str"><v>September</v></cell><cell r="L19"><v>43358</v></cell><cell r="M19" t="str"><v>Tier 1</v></cell><cell r="N19" t="str"><v>North America</v></cell><cell r="O19" t="str"><v>Canada</v></cell><cell r="P19" t="str"><v>Trial</v></cell><cell r="Q19" t="str"><v>Social</v></cell><cell r="R19" t="str"><v>Azure</v></cell><cell r="S19" t="str"><v>Apps & Infra</v></cell><cell r="T19" t="str"><v>Developers & ITI's</v></cell><cell r="U19" t="str"><v>AZR</v></cell><cell r="V19" t="str"><v>Audience Targeting</v></cell><cell r="W19" t="str"><v>Canvas Ad</v></cell><cell r="X19" t="str"><v>1080x1080</v></cell><cell r="Y19" t="str"><v>Free Trial</v></cell><cell r="Z19" t="str"><v>Not Applicable</v></cell><cell r="AA19"><v>43352</v></cell><cell r="AB19" t="str"><v>CAN_gaPMG_AZR_AZR_Q1_19_Trial-Social</v></cell><cell r="AC19"><v>21337220</v></cell><cell r="AD19"><v>720192</v></cell><cell r="AE19" t="str"><v>Facebook</v></cell><cell r="AF19"><v>3654128</v></cell><cell r="AG19" t="str"><v>Facebook»AZR»1x1»NA»NA»ALL»DYN»AUT»D»All»SS»NA»Free Account Create to Convert FB - Canvas - Brand - Start Free - EN</v></cell><cell r="AH19"><v>227522762</v></cell><cell r="AI19" t="str"><v>AzurePlatform_FBCTCBrandinMotion_CAN_1080x1080_SOC_12s_ISV_English_Standard_NA_FTR_T2_1</v></cell><cell r="AJ19"><v>105216992</v></cell></row><row r="20"><cell r="D20" t="str"><v>43352223691804</v></cell><cell r="E20" t="str"><v>433521030587171 - EN</v></cell><cell r="F20" t="str"><v>DCM</v></cell></row><row r="20"><cell r="H20"><v>0</v></cell><cell r="I20" t="str"><v>Azure Direct</v></cell><cell r="J20" t="str"><v>Azure Direct</v></cell><cell r="K20" t="str"><v>September</v></cell><cell r="L20"><v>43358</v></cell><cell r="M20" t="str"><v>Tier 1</v></cell><cell r="N20" t="str"><v>North America</v></cell><cell r="O20" t="str"><v>Canada</v></cell><cell r="P20" t="str"><v>Trial</v></cell><cell r="Q20" t="str"><v>Social</v></cell><cell r="R20" t="str"><v>Azure</v></cell><cell r="S20" t="str"><v>Apps & Infra</v></cell><cell r="T20" t="str"><v>Developers & ITI's</v></cell><cell r="U20" t="str"><v>AZR</v></cell><cell r="V20" t="str"><v>Audience Targeting</v></cell><cell r="W20" t="str"><v>NotApplicable</v></cell><cell r="X20" t="str"><v>1200x628</v></cell></row><row r="20"><cell r="Z20" t="str"><v>Not Applicable</v></cell><cell r="AA20"><v>43352</v></cell><cell r="AB20" t="str"><v>CAN_gaPMG_AZR_AZR_Q1_19_Trial-Social</v></cell><cell r="AC20"><v>21337220</v></cell><cell r="AD20"><v>720192</v></cell><cell r="AE20" t="str"><v>Facebook</v></cell><cell r="AF20"><v>3654128</v></cell><cell r="AG20" t="str"><v>Facebook»AZR»1x1»SocialBan»NA»ALL»DYN»AUT»D»All»SS»NA»Free Acc Refresh - T1 - EN</v></cell><cell r="AH20"><v>223691804</v></cell><cell r="AI20" t="str"><v>AzurePlatform_FreeAcctAppsFACEBOOKLifestyleChA_CAN_1200x628_SOC_PLAT_EN_Trial_Standard_NA_SU_T1_1.png</v></cell><cell r="AJ20"><v>103058717</v></cell></row><row r="21"><cell r="D21" t="str"><v>43352223691762</v></cell><cell r="E21" t="str"><v>433521029029741 - FR</v></cell><cell r="F21" t="str"><v>DCM</v></cell></row><row r="21"><cell r="H21"><v>1</v></cell><cell r="I21" t="str"><v>Azure Direct</v></cell><cell r="J21" t="str"><v>Azure Direct</v></cell><cell r="K21" t="str"><v>September</v></cell><cell r="L21"><v>43358</v></cell><cell r="M21" t="str"><v>Tier 1</v></cell><cell r="N21" t="str"><v>North America</v></cell><cell r="O21" t="str"><v>Canada</v></cell><cell r="P21" t="str"><v>Trial</v></cell><cell r="Q21" t="str"><v>Social</v></cell><cell r="R21" t="str"><v>Azure</v></cell><cell r="S21" t="str"><v>Apps & Infra</v></cell><cell r="T21" t="str"><v>Developers & ITI's</v></cell><cell r="U21" t="str"><v>AZR</v></cell><cell r="V21" t="str"><v>Audience Targeting</v></cell><cell r="W21" t="str"><v>NotApplicable</v></cell><cell r="X21" t="str"><v>1200x628</v></cell></row><row r="21"><cell r="Z21" t="str"><v>Not Applicable</v></cell><cell r="AA21"><v>43352</v></cell><cell r="AB21" t="str"><v>CAN_gaPMG_AZR_AZR_Q1_19_Trial-Social</v></cell><cell r="AC21"><v>21337220</v></cell><cell r="AD21"><v>720192</v></cell><cell r="AE21" t="str"><v>Facebook</v></cell><cell r="AF21"><v>3654128</v></cell><cell r="AG21" t="str"><v>Facebook»AZR»1x1»SocialBan»NA»ALL»DYN»AUT»D»All»SS»NA»Free Acc Refresh - T1 - FR</v></cell><cell r="AH21"><v>223691762</v></cell><cell r="AI21" t="str"><v>AzurePlatform_FreeAcctAppsFACEBOOKLifestyleChA_CAN_1200x628_SOC_PLAT_FR_Trial_Standard_NA_SU_T1_1.png</v></cell><cell r="AJ21"><v>102902974</v></cell></row><row r="22"><cell r="D22" t="str"><v>43352223691810</v></cell><cell r="E22" t="str"><v>433521030587112 - EN</v></cell><cell r="F22" t="str"><v>DCM</v></cell></row><row r="22"><cell r="H22"><v>3</v></cell><cell r="I22" t="str"><v>Azure Direct</v></cell><cell r="J22" t="str"><v>Azure Direct</v></cell><cell r="K22" t="str"><v>September</v></cell><cell r="L22"><v>43358</v></cell><cell r="M22" t="str"><v>Tier 1</v></cell><cell r="N22" t="str"><v>North America</v></cell><cell r="O22" t="str"><v>Canada</v></cell><cell r="P22" t="str"><v>Trial</v></cell><cell r="Q22" t="str"><v>Social</v></cell><cell r="R22" t="str"><v>Azure</v></cell><cell r="S22" t="str"><v>Apps & Infra</v></cell><cell r="T22" t="str"><v>Developers & ITI's</v></cell><cell r="U22" t="str"><v>AZR</v></cell><cell r="V22" t="str"><v>Audience Targeting</v></cell><cell r="W22" t="str"><v>NotApplicable</v></cell><cell r="X22" t="str"><v>1200x628</v></cell></row><row r="22"><cell r="Z22" t="str"><v>Not Applicable</v></cell><cell r="AA22"><v>43352</v></cell><cell r="AB22" t="str"><v>CAN_gaPMG_AZR_AZR_Q1_19_Trial-Social</v></cell><cell r="AC22"><v>21337220</v></cell><cell r="AD22"><v>720192</v></cell><cell r="AE22" t="str"><v>Facebook</v></cell><cell r="AF22"><v>3654128</v></cell><cell r="AG22" t="str"><v>Facebook»AZR»1x1»SocialBan»NA»ALL»DYN»AUT»D»All»SS»NA»Free Acc Refresh - T2 - EN</v></cell><cell r="AH22"><v>223691810</v></cell><cell r="AI22" t="str"><v>AzurePlatform_FreeAcctAppsFACEBOOKDeviceChB_CAN_1200x628_SOC_PLAT_EN_Trial_Standard_NA_SU_T2_1.png</v></cell><cell r="AJ22"><v>103058711</v></cell></row><row r="23"><cell r="D23" t="str"><v>43352223691768</v></cell><cell r="E23" t="str"><v>433521029029712 - FR</v></cell><cell r="F23" t="str"><v>DCM</v></cell></row><row r="23"><cell r="H23"><v>1</v></cell><cell r="I23" t="str"><v>Azure Direct</v></cell><cell r="J23" t="str"><v>Azure Direct</v></cell><cell r="K23" t="str"><v>September</v></cell><cell r="L23"><v>43358</v></cell><cell r="M23" t="str"><v>Tier 1</v></cell><cell r="N23" t="str"><v>North America</v></cell><cell r="O23" t="str"><v>Canada</v></cell><cell r="P23" t="str"><v>Trial</v></cell><cell r="Q23" t="str"><v>Social</v></cell><cell r="R23" t="str"><v>Azure</v></cell><cell r="S23" t="str"><v>Apps & Infra</v></cell><cell r="T23" t="str"><v>Developers & ITI's</v></cell><cell r="U23" t="str"><v>AZR</v></cell><cell r="V23" t="str"><v>Audience Targeting</v></cell><cell r="W23" t="str"><v>NotApplicable</v></cell><cell r="X23" t="str"><v>1200x628</v></cell></row><row r="23"><cell r="Z23" t="str"><v>Not Applicable</v></cell><cell r="AA23"><v>43352</v></cell><cell r="AB23" t="str"><v>CAN_gaPMG_AZR_AZR_Q1_19_Trial-Social</v></cell><cell r="AC23"><v>21337220</v></cell><cell r="AD23"><v>720192</v></cell><cell r="AE23" t="str"><v>Facebook</v></cell><cell r="AF23"><v>3654128</v></cell><cell r="AG23" t="str"><v>Facebook»AZR»1x1»SocialBan»NA»ALL»DYN»AUT»D»All»SS»NA»Free Acc Refresh - T2 - FR</v></cell><cell r="AH23"><v>223691768</v></cell><cell r="AI23" t="str"><v>AzurePlatform_FreeAcctAppsFACEBOOKDeviceChB_CAN_1200x628_SOC_PLAT_FR_Trial_Standard_NA_SU_T2_1.png</v></cell><cell r="AJ23"><v>102902971</v></cell></row><row r="24"><cell r="D24" t="str"><v>43352223691807</v></cell><cell r="E24" t="str"><v>433521029006853 - EN</v></cell><cell r="F24" t="str"><v>DCM</v></cell></row><row r="24"><cell r="H24"><v>1</v></cell><cell r="I24" t="str"><v>Azure Direct</v></cell><cell r="J24" t="str"><v>Azure Direct</v></cell><cell r="K24" t="str"><v>September</v></cell><cell r="L24"><v>43358</v></cell><cell r="M24" t="str"><v>Tier 1</v></cell><cell r="N24" t="str"><v>North America</v></cell><cell r="O24" t="str"><v>Canada</v></cell><cell r="P24" t="str"><v>Trial</v></cell><cell r="Q24" t="str"><v>Social</v></cell><cell r="R24" t="str"><v>Azure</v></cell><cell r="S24" t="str"><v>Apps & Infra</v></cell><cell r="T24" t="str"><v>Developers & ITI's</v></cell><cell r="U24" t="str"><v>AZR</v></cell><cell r="V24" t="str"><v>Audience Targeting</v></cell><cell r="W24" t="str"><v>NotApplicable</v></cell><cell r="X24" t="str"><v>1200x628</v></cell></row><row r="24"><cell r="Z24" t="str"><v>Not Applicable</v></cell><cell r="AA24"><v>43352</v></cell><cell r="AB24" t="str"><v>CAN_gaPMG_AZR_AZR_Q1_19_Trial-Social</v></cell><cell r="AC24"><v>21337220</v></cell><cell r="AD24"><v>720192</v></cell><cell r="AE24" t="str"><v>Facebook</v></cell><cell r="AF24"><v>3654128</v></cell><cell r="AG24" t="str"><v>Facebook»AZR»1x1»SocialBan»NA»ALL»DYN»AUT»D»All»SS»NA»Free Acc Refresh - T3 - EN</v></cell><cell r="AH24"><v>223691807</v></cell><cell r="AI24" t="str"><v>AzurePlatform_FreeAcctAppsFACEBOOKIllustrationChC_CAN_1200x628_SOC_PLAT_EN_Trial_Standard_NA_SU_T3_1.png</v></cell><cell r="AJ24"><v>102900685</v></cell></row><row r="25"><cell r="D25" t="str"><v>43352223691813</v></cell><cell r="E25" t="str"><v>433521030533204 - EN</v></cell><cell r="F25" t="str"><v>DCM</v></cell></row><row r="25"><cell r="H25"><v>4</v></cell><cell r="I25" t="str"><v>Azure Direct</v></cell><cell r="J25" t="str"><v>Azure Direct</v></cell><cell r="K25" t="str"><v>September</v></cell><cell r="L25"><v>43358</v></cell><cell r="M25" t="str"><v>Tier 1</v></cell><cell r="N25" t="str"><v>North America</v></cell><cell r="O25" t="str"><v>Canada</v></cell><cell r="P25" t="str"><v>Trial</v></cell><cell r="Q25" t="str"><v>Social</v></cell><cell r="R25" t="str"><v>Azure</v></cell><cell r="S25" t="str"><v>Apps & Infra</v></cell><cell r="T25" t="str"><v>Developers & ITI's</v></cell><cell r="U25" t="str"><v>AZR</v></cell><cell r="V25" t="str"><v>Audience Targeting</v></cell><cell r="W25" t="str"><v>NotApplicable</v></cell><cell r="X25" t="str"><v>1200x628</v></cell></row><row r="25"><cell r="Z25" t="str"><v>Not Applicable</v></cell><cell r="AA25"><v>43352</v></cell><cell r="AB25" t="str"><v>CAN_gaPMG_AZR_AZR_Q1_19_Trial-Social</v></cell><cell r="AC25"><v>21337220</v></cell><cell r="AD25"><v>720192</v></cell><cell r="AE25" t="str"><v>Facebook</v></cell><cell r="AF25"><v>3654128</v></cell><cell r="AG25" t="str"><v>Facebook»AZR»1x1»SocialBan»NA»ALL»DYN»AUT»D»All»SS»NA»Free Acc Refresh - T4 - EN</v></cell><cell r="AH25"><v>223691813</v></cell><cell r="AI25" t="str"><v>AzurePlatform_FreeAcctAppsFACEBOOK200CreditChD_CAN_1200x628_SOC_PLAT_EN_Trial_Standard_NA_SU_T4_1.png</v></cell><cell r="AJ25"><v>103053320</v></cell></row><row r="26"><cell r="D26" t="str"><v>43352223691816</v></cell><cell r="E26" t="str"><v>433521029163415 - EN</v></cell><cell r="F26" t="str"><v>DCM</v></cell></row><row r="26"><cell r="H26"><v>1</v></cell><cell r="I26" t="str"><v>Azure Direct</v></cell><cell r="J26" t="str"><v>Azure Direct</v></cell><cell r="K26" t="str"><v>September</v></cell><cell r="L26"><v>43358</v></cell><cell r="M26" t="str"><v>Tier 1</v></cell><cell r="N26" t="str"><v>North America</v></cell><cell r="O26" t="str"><v>Canada</v></cell><cell r="P26" t="str"><v>Trial</v></cell><cell r="Q26" t="str"><v>Social</v></cell><cell r="R26" t="str"><v>Azure</v></cell><cell r="S26" t="str"><v>Apps & Infra</v></cell><cell r="T26" t="str"><v>Developers & ITI's</v></cell><cell r="U26" t="str"><v>AZR</v></cell><cell r="V26" t="str"><v>Audience Targeting</v></cell><cell r="W26" t="str"><v>NotApplicable</v></cell><cell r="X26" t="str"><v>1200x628</v></cell></row><row r="26"><cell r="Z26" t="str"><v>Not Applicable</v></cell><cell r="AA26"><v>43352</v></cell><cell r="AB26" t="str"><v>CAN_gaPMG_AZR_AZR_Q1_19_Trial-Social</v></cell><cell r="AC26"><v>21337220</v></cell><cell r="AD26"><v>720192</v></cell><cell r="AE26" t="str"><v>Facebook</v></cell><cell r="AF26"><v>3654128</v></cell><cell r="AG26" t="str"><v>Facebook»AZR»1x1»SocialBan»NA»ALL»DYN»AUT»D»All»SS»NA»Free Acc Refresh - T5 - EN</v></cell><cell r="AH26"><v>223691816</v></cell><cell r="AI26" t="str"><v>AzurePlatform_FreeAcctAppsFACEBOOK12monthsChE_CAN_1200x628_SOC_PLAT_EN_Trial_Standard_NA_SU_T5_1.png</v></cell><cell r="AJ26"><v>102916341</v></cell></row><row r="27"><cell r="D27" t="str"><v>43352223691774</v></cell><cell r="E27" t="str"><v>433521029163565 - FR</v></cell><cell r="F27" t="str"><v>DCM</v></cell></row><row r="27"><cell r="H27"><v>2</v></cell><cell r="I27" t="str"><v>Azure Direct</v></cell><cell r="J27" t="str"><v>Azure Direct</v></cell><cell r="K27" t="str"><v>September</v></cell><cell r="L27"><v>43358</v></cell><cell r="M27" t="str"><v>Tier 1</v></cell><cell r="N27" t="str"><v>North America</v></cell><cell r="O27" t="str"><v>Canada</v></cell><cell r="P27" t="str"><v>Trial</v></cell><cell r="Q27" t="str"><v>Social</v></cell><cell r="R27" t="str"><v>Azure</v></cell><cell r="S27" t="str"><v>Apps & Infra</v></cell><cell r="T27" t="str"><v>Developers & ITI's</v></cell><cell r="U27" t="str"><v>AZR</v></cell><cell r="V27" t="str"><v>Audience Targeting</v></cell><cell r="W27" t="str"><v>NotApplicable</v></cell><cell r="X27" t="str"><v>1200x628</v></cell></row><row r="27"><cell r="Z27" t="str"><v>Not Applicable</v></cell><cell r="AA27"><v>43352</v></cell><cell r="AB27" t="str"><v>CAN_gaPMG_AZR_AZR_Q1_19_Trial-Social</v></cell><cell r="AC27"><v>21337220</v></cell><cell r="AD27"><v>720192</v></cell><cell r="AE27" t="str"><v>Facebook</v></cell><cell r="AF27"><v>3654128</v></cell><cell r="AG27" t="str"><v>Facebook»AZR»1x1»SocialBan»NA»ALL»DYN»AUT»D»All»SS»NA»Free Acc Refresh - T5 - FR</v></cell><cell r="AH27"><v>223691774</v></cell><cell r="AI27" t="str"><v>AzurePlatform_FreeAcctAppsFACEBOOK12monthsChE_CAN_1200x628_SOC_PLAT_FR_Trial_Standard_NA_SU_T5_1.png</v></cell><cell r="AJ27"><v>102916356</v></cell></row><row r="28"><cell r="D28" t="str"><v>43352223691828</v></cell><cell r="E28" t="str"><v>433521029029561 - EN</v></cell><cell r="F28" t="str"><v>DCM</v></cell></row><row r="28"><cell r="H28"><v>0</v></cell><cell r="I28" t="str"><v>Azure Direct</v></cell><cell r="J28" t="str"><v>Azure Direct</v></cell><cell r="K28" t="str"><v>September</v></cell><cell r="L28"><v>43358</v></cell><cell r="M28" t="str"><v>Tier 1</v></cell><cell r="N28" t="str"><v>North America</v></cell><cell r="O28" t="str"><v>Canada</v></cell><cell r="P28" t="str"><v>Trial</v></cell><cell r="Q28" t="str"><v>Social</v></cell><cell r="R28" t="str"><v>Azure</v></cell><cell r="S28" t="str"><v>Apps & Infra</v></cell><cell r="T28" t="str"><v>Developers & ITI's</v></cell><cell r="U28" t="str"><v>AZR</v></cell><cell r="V28" t="str"><v>Retargeting</v></cell><cell r="W28" t="str"><v>NotApplicable</v></cell><cell r="X28" t="str"><v>1200x628</v></cell></row><row r="28"><cell r="Z28" t="str"><v>Not Applicable</v></cell><cell r="AA28"><v>43352</v></cell><cell r="AB28" t="str"><v>CAN_gaPMG_AZR_AZR_Q1_19_Trial-Social</v></cell><cell r="AC28"><v>21337220</v></cell><cell r="AD28"><v>720192</v></cell><cell r="AE28" t="str"><v>Facebook</v></cell><cell r="AF28"><v>3654128</v></cell><cell r="AG28" t="str"><v>Facebook»AZR»1x1»SocialBan»NA»ALL»DYN»RT»D»All»SS»NA» Free Account Retargeting OSS - T1 - EN</v></cell><cell r="AH28"><v>223691828</v></cell><cell r="AI28" t="str"><v>AzurePlatform_FreeAcctRetargetingOSSFB-Text-ChF_CAN_1200x628_SOC_Plat_EN_Free Account_Standard_NA_SU_T1_1</v></cell><cell r="AJ28"><v>102902956</v></cell></row><row r="29"><cell r="D29" t="str"><v>43352223691786</v></cell><cell r="E29" t="str"><v>433521030587201 - FR</v></cell><cell r="F29" t="str"><v>DCM</v></cell></row><row r="29"><cell r="H29"><v>1</v></cell><cell r="I29" t="str"><v>Azure Direct</v></cell><cell r="J29" t="str"><v>Azure Direct</v></cell><cell r="K29" t="str"><v>September</v></cell><cell r="L29"><v>43358</v></cell><cell r="M29" t="str"><v>Tier 1</v></cell><cell r="N29" t="str"><v>North America</v></cell><cell r="O29" t="str"><v>Canada</v></cell><cell r="P29" t="str"><v>Trial</v></cell><cell r="Q29" t="str"><v>Social</v></cell><cell r="R29" t="str"><v>Azure</v></cell><cell r="S29" t="str"><v>Apps & Infra</v></cell><cell r="T29" t="str"><v>Developers & ITI's</v></cell><cell r="U29" t="str"><v>AZR</v></cell><cell r="V29" t="str"><v>Retargeting</v></cell><cell r="W29" t="str"><v>NotApplicable</v></cell><cell r="X29" t="str"><v>1200x628</v></cell></row><row r="29"><cell r="Z29" t="str"><v>Not Applicable</v></cell><cell r="AA29"><v>43352</v></cell><cell r="AB29" t="str"><v>CAN_gaPMG_AZR_AZR_Q1_19_Trial-Social</v></cell><cell r="AC29"><v>21337220</v></cell><cell r="AD29"><v>720192</v></cell><cell r="AE29" t="str"><v>Facebook</v></cell><cell r="AF29"><v>3654128</v></cell><cell r="AG29" t="str"><v>Facebook»AZR»1x1»SocialBan»NA»ALL»DYN»RT»D»All»SS»NA» Free Account Retargeting OSS - T1 - FR</v></cell><cell r="AH29"><v>223691786</v></cell><cell r="AI29" t="str"><v>AzurePlatform_FreeAcctRetargetingOSSFB-Text-ChF_CAN_1200x628_SOC_Plat_FR_Free Account_Standard_NA_SU_T1_1</v></cell><cell r="AJ29"><v>103058720</v></cell></row><row r="30"><cell r="D30" t="str"><v>43352223691831</v></cell><cell r="E30" t="str"><v>433521029138002 - EN</v></cell><cell r="F30" t="str"><v>DCM</v></cell></row><row r="30"><cell r="H30"><v>1</v></cell><cell r="I30" t="str"><v>Azure Direct</v></cell><cell r="J30" t="str"><v>Azure Direct</v></cell><cell r="K30" t="str"><v>September</v></cell><cell r="L30"><v>43358</v></cell><cell r="M30" t="str"><v>Tier 1</v></cell><cell r="N30" t="str"><v>North America</v></cell><cell r="O30" t="str"><v>Canada</v></cell><cell r="P30" t="str"><v>Trial</v></cell><cell r="Q30" t="str"><v>Social</v></cell><cell r="R30" t="str"><v>Azure</v></cell><cell r="S30" t="str"><v>Apps & Infra</v></cell><cell r="T30" t="str"><v>Developers & ITI's</v></cell><cell r="U30" t="str"><v>AZR</v></cell><cell r="V30" t="str"><v>Retargeting</v></cell><cell r="W30" t="str"><v>NotApplicable</v></cell><cell r="X30" t="str"><v>1200x628</v></cell></row><row r="30"><cell r="Z30" t="str"><v>Not Applicable</v></cell><cell r="AA30"><v>43352</v></cell><cell r="AB30" t="str"><v>CAN_gaPMG_AZR_AZR_Q1_19_Trial-Social</v></cell><cell r="AC30"><v>21337220</v></cell><cell r="AD30"><v>720192</v></cell><cell r="AE30" t="str"><v>Facebook</v></cell><cell r="AF30"><v>3654128</v></cell><cell r="AG30" t="str"><v>Facebook»AZR»1x1»SocialBan»NA»ALL»DYN»RT»D»All»SS»NA» Free Account Retargeting OSS - T2 - EN</v></cell><cell r="AH30"><v>223691831</v></cell><cell r="AI30" t="str"><v>AzurePlatform_FreeAcctRetargetingOSSFB-Logos-ChG_CAN_1200x628_SOC_Plat_EN_Free Account_Standard_NA_SU_T2_1</v></cell><cell r="AJ30"><v>102913800</v></cell></row><row r="31"><cell r="D31" t="str"><v>43352223691789</v></cell><cell r="E31" t="str"><v>433521029006912 - FR</v></cell><cell r="F31" t="str"><v>DCM</v></cell></row><row r="31"><cell r="H31"><v>1</v></cell><cell r="I31" t="str"><v>Azure Direct</v></cell><cell r="J31" t="str"><v>Azure Direct</v></cell><cell r="K31" t="str"><v>September</v></cell><cell r="L31"><v>43358</v></cell><cell r="M31" t="str"><v>Tier 1</v></cell><cell r="N31" t="str"><v>North America</v></cell><cell r="O31" t="str"><v>Canada</v></cell><cell r="P31" t="str"><v>Trial</v></cell><cell r="Q31" t="str"><v>Social</v></cell><cell r="R31" t="str"><v>Azure</v></cell><cell r="S31" t="str"><v>Apps & Infra</v></cell><cell r="T31" t="str"><v>Developers & ITI's</v></cell><cell r="U31" t="str"><v>AZR</v></cell><cell r="V31" t="str"><v>Retargeting</v></cell><cell r="W31" t="str"><v>NotApplicable</v></cell><cell r="X31" t="str"><v>1200x628</v></cell></row><row r="31"><cell r="Z31" t="str"><v>Not Applicable</v></cell><cell r="AA31"><v>43352</v></cell><cell r="AB31" t="str"><v>CAN_gaPMG_AZR_AZR_Q1_19_Trial-Social</v></cell><cell r="AC31"><v>21337220</v></cell><cell r="AD31"><v>720192</v></cell><cell r="AE31" t="str"><v>Facebook</v></cell><cell r="AF31"><v>3654128</v></cell><cell r="AG31" t="str"><v>Facebook»AZR»1x1»SocialBan»NA»ALL»DYN»RT»D»All»SS»NA» Free Account Retargeting OSS - T2 - FR</v></cell><cell r="AH31"><v>223691789</v></cell><cell r="AI31" t="str"><v>AzurePlatform_FreeAcctRetargetingOSSFB-Logos-ChG_CAN_1200x628_SOC_Plat_FR_Free Account_Standard_NA_SU_T2_1</v></cell><cell r="AJ31"><v>102900691</v></cell></row><row r="32"><cell r="D32" t="str"><v>43352223691834</v></cell><cell r="E32" t="str"><v>433521029029532 - EN</v></cell><cell r="F32" t="str"><v>DCM</v></cell></row><row r="32"><cell r="H32"><v>1</v></cell><cell r="I32" t="str"><v>Azure Direct</v></cell><cell r="J32" t="str"><v>Azure Direct</v></cell><cell r="K32" t="str"><v>September</v></cell><cell r="L32"><v>43358</v></cell><cell r="M32" t="str"><v>Tier 1</v></cell><cell r="N32" t="str"><v>North America</v></cell><cell r="O32" t="str"><v>Canada</v></cell><cell r="P32" t="str"><v>Trial</v></cell><cell r="Q32" t="str"><v>Social</v></cell><cell r="R32" t="str"><v>Azure</v></cell><cell r="S32" t="str"><v>Apps & Infra</v></cell><cell r="T32" t="str"><v>Developers & ITI's</v></cell><cell r="U32" t="str"><v>AZR</v></cell><cell r="V32" t="str"><v>Retargeting</v></cell><cell r="W32" t="str"><v>NotApplicable</v></cell><cell r="X32" t="str"><v>1200x628</v></cell></row><row r="32"><cell r="Z32" t="str"><v>Not Applicable</v></cell><cell r="AA32"><v>43352</v></cell><cell r="AB32" t="str"><v>CAN_gaPMG_AZR_AZR_Q1_19_Trial-Social</v></cell><cell r="AC32"><v>21337220</v></cell><cell r="AD32"><v>720192</v></cell><cell r="AE32" t="str"><v>Facebook</v></cell><cell r="AF32"><v>3654128</v></cell><cell r="AG32" t="str"><v>Facebook»AZR»1x1»SocialBan»NA»ALL»DYN»RT»D»All»SS»NA»Free Account Retargeting Generic - T2 - EN</v></cell><cell r="AH32"><v>223691834</v></cell><cell r="AI32" t="str"><v>AzurePlatform_FreeAcctRetargetingFB-GlobalAlt-ChB_CAN_1200x628_SOC_Plat_EN_Free Account_Standard_NA_SU_T2_1</v></cell><cell r="AJ32"><v>102902953</v></cell></row><row r="33"><cell r="D33" t="str"><v>43352223691819</v></cell><cell r="E33" t="str"><v>433521029006823 - EN</v></cell><cell r="F33" t="str"><v>DCM</v></cell></row><row r="33"><cell r="H33"><v>1</v></cell><cell r="I33" t="str"><v>Azure Direct</v></cell><cell r="J33" t="str"><v>Azure Direct</v></cell><cell r="K33" t="str"><v>September</v></cell><cell r="L33"><v>43358</v></cell><cell r="M33" t="str"><v>Tier 1</v></cell><cell r="N33" t="str"><v>North America</v></cell><cell r="O33" t="str"><v>Canada</v></cell><cell r="P33" t="str"><v>Trial</v></cell><cell r="Q33" t="str"><v>Social</v></cell><cell r="R33" t="str"><v>Azure</v></cell><cell r="S33" t="str"><v>Apps & Infra</v></cell><cell r="T33" t="str"><v>Developers & ITI's</v></cell><cell r="U33" t="str"><v>AZR</v></cell><cell r="V33" t="str"><v>Retargeting</v></cell><cell r="W33" t="str"><v>NotApplicable</v></cell><cell r="X33" t="str"><v>1200x628</v></cell></row><row r="33"><cell r="Z33" t="str"><v>Animated Banner</v></cell><cell r="AA33"><v>43352</v></cell><cell r="AB33" t="str"><v>CAN_gaPMG_AZR_AZR_Q1_19_Trial-Social</v></cell><cell r="AC33"><v>21337220</v></cell><cell r="AD33"><v>720192</v></cell><cell r="AE33" t="str"><v>Facebook</v></cell><cell r="AF33"><v>3654128</v></cell><cell r="AG33" t="str"><v>Facebook»AZR»1x1»SocialBan»NA»ALL»DYN»RT»D»All»SS»NA»Free Account Retargeting Generic - T3 - EN</v></cell><cell r="AH33"><v>223691819</v></cell><cell r="AI33" t="str"><v>AzurePlatform_FreeAcctRetargetingFB-Animated-ChC_CAN_1200x628_SOC_Plat_EN_Free Account_Standard_ANI_SU_T3_1</v></cell><cell r="AJ33"><v>102900682</v></cell></row><row r="34"><cell r="D34" t="str"><v>43352223691777</v></cell><cell r="E34" t="str"><v>433521029006973 - FR</v></cell><cell r="F34" t="str"><v>DCM</v></cell></row><row r="34"><cell r="H34"><v>1</v></cell><cell r="I34" t="str"><v>Azure Direct</v></cell><cell r="J34" t="str"><v>Azure Direct</v></cell><cell r="K34" t="str"><v>September</v></cell><cell r="L34"><v>43358</v></cell><cell r="M34" t="str"><v>Tier 1</v></cell><cell r="N34" t="str"><v>North America</v></cell><cell r="O34" t="str"><v>Canada</v></cell><cell r="P34" t="str"><v>Trial</v></cell><cell r="Q34" t="str"><v>Social</v></cell><cell r="R34" t="str"><v>Azure</v></cell><cell r="S34" t="str"><v>Apps & Infra</v></cell><cell r="T34" t="str"><v>Developers & ITI's</v></cell><cell r="U34" t="str"><v>AZR</v></cell><cell r="V34" t="str"><v>Retargeting</v></cell><cell r="W34" t="str"><v>NotApplicable</v></cell><cell r="X34" t="str"><v>1200x628</v></cell></row><row r="34"><cell r="Z34" t="str"><v>Animated Banner</v></cell><cell r="AA34"><v>43352</v></cell><cell r="AB34" t="str"><v>CAN_gaPMG_AZR_AZR_Q1_19_Trial-Social</v></cell><cell r="AC34"><v>21337220</v></cell><cell r="AD34"><v>720192</v></cell><cell r="AE34" t="str"><v>Facebook</v></cell><cell r="AF34"><v>3654128</v></cell><cell r="AG34" t="str"><v>Facebook»AZR»1x1»SocialBan»NA»ALL»DYN»RT»D»All»SS»NA»Free Account Retargeting Generic - T3 - FR</v></cell><cell r="AH34"><v>223691777</v></cell><cell r="AI34" t="str"><v>AzurePlatform_FreeAcctRetargetingFB-Animated-ChC_CAN_1200x628_SOC_Plat_FR_Free Account_Standard_ANI_SU_T3_1</v></cell><cell r="AJ34"><v>102900697</v></cell></row><row r="35"><cell r="D35" t="str"><v>43352223691825</v></cell><cell r="E35" t="str"><v>433521029163381 - EN</v></cell><cell r="F35" t="str"><v>DCM</v></cell></row><row r="35"><cell r="H35"><v>5</v></cell><cell r="I35" t="str"><v>Azure Direct</v></cell><cell r="J35" t="str"><v>Azure Direct</v></cell><cell r="K35" t="str"><v>September</v></cell><cell r="L35"><v>43358</v></cell><cell r="M35" t="str"><v>Tier 1</v></cell><cell r="N35" t="str"><v>North America</v></cell><cell r="O35" t="str"><v>Canada</v></cell><cell r="P35" t="str"><v>Trial</v></cell><cell r="Q35" t="str"><v>Social</v></cell><cell r="R35" t="str"><v>Azure</v></cell><cell r="S35" t="str"><v>Apps & Infra</v></cell><cell r="T35" t="str"><v>Developers & ITI's</v></cell><cell r="U35" t="str"><v>AZR</v></cell><cell r="V35" t="str"><v>Retargeting</v></cell><cell r="W35" t="str"><v>NotApplicable</v></cell><cell r="X35" t="str"><v>1200x628</v></cell></row><row r="35"><cell r="Z35" t="str"><v>Not Applicable</v></cell><cell r="AA35"><v>43352</v></cell><cell r="AB35" t="str"><v>CAN_gaPMG_AZR_AZR_Q1_19_Trial-Social</v></cell><cell r="AC35"><v>21337220</v></cell><cell r="AD35"><v>720192</v></cell><cell r="AE35" t="str"><v>Facebook</v></cell><cell r="AF35"><v>3654128</v></cell><cell r="AG35" t="str"><v>Facebook»AZR»1x1»SocialBan»NA»ALL»DYN»RT»D»All»SS»NA»Free Account Retargeting VM - T1 - EN</v></cell><cell r="AH35"><v>223691825</v></cell><cell r="AI35" t="str"><v>AzurePlatform_FreeAcctRetargetingVMFB-750Hrs-ChD_CAN_1200x628_SOC_Plat_EN_Free Account_Standard_NA_SU_T1_1</v></cell><cell r="AJ35"><v>102916338</v></cell></row><row r="36"><cell r="D36" t="str"><v>43352223691783</v></cell><cell r="E36" t="str"><v>433521030587231 - FR</v></cell><cell r="F36" t="str"><v>DCM</v></cell></row><row r="36"><cell r="H36"><v>0</v></cell><cell r="I36" t="str"><v>Azure Direct</v></cell><cell r="J36" t="str"><v>Azure Direct</v></cell><cell r="K36" t="str"><v>September</v></cell><cell r="L36"><v>43358</v></cell><cell r="M36" t="str"><v>Tier 1</v></cell><cell r="N36" t="str"><v>North America</v></cell><cell r="O36" t="str"><v>Canada</v></cell><cell r="P36" t="str"><v>Trial</v></cell><cell r="Q36" t="str"><v>Social</v></cell><cell r="R36" t="str"><v>Azure</v></cell><cell r="S36" t="str"><v>Apps & Infra</v></cell><cell r="T36" t="str"><v>Developers & ITI's</v></cell><cell r="U36" t="str"><v>AZR</v></cell><cell r="V36" t="str"><v>Retargeting</v></cell><cell r="W36" t="str"><v>NotApplicable</v></cell><cell r="X36" t="str"><v>1200x628</v></cell></row><row r="36"><cell r="Z36" t="str"><v>Not Applicable</v></cell><cell r="AA36"><v>43352</v></cell><cell r="AB36" t="str"><v>CAN_gaPMG_AZR_AZR_Q1_19_Trial-Social</v></cell><cell r="AC36"><v>21337220</v></cell><cell r="AD36"><v>720192</v></cell><cell r="AE36" t="str"><v>Facebook</v></cell><cell r="AF36"><v>3654128</v></cell><cell r="AG36" t="str"><v>Facebook»AZR»1x1»SocialBan»NA»ALL»DYN»RT»D»All»SS»NA»Free Account Retargeting VM - T1 - FR</v></cell><cell r="AH36"><v>223691783</v></cell><cell r="AI36" t="str"><v>AzurePlatform_FreeAcctRetargetingVMFB-750Hrs-ChD_CAN_1200x628_SOC_Plat_FR_Free Account_Standard_NA_SU_T1_1</v></cell><cell r="AJ36"><v>103058723</v></cell></row><row r="37"><cell r="D37" t="str"><v>43352223691822</v></cell><cell r="E37" t="str"><v>433521030587082 - EN</v></cell><cell r="F37" t="str"><v>DCM</v></cell></row><row r="37"><cell r="H37"><v>0</v></cell><cell r="I37" t="str"><v>Azure Direct</v></cell><cell r="J37" t="str"><v>Azure Direct</v></cell><cell r="K37" t="str"><v>September</v></cell><cell r="L37"><v>43358</v></cell><cell r="M37" t="str"><v>Tier 1</v></cell><cell r="N37" t="str"><v>North America</v></cell><cell r="O37" t="str"><v>Canada</v></cell><cell r="P37" t="str"><v>Trial</v></cell><cell r="Q37" t="str"><v>Social</v></cell><cell r="R37" t="str"><v>Azure</v></cell><cell r="S37" t="str"><v>Apps & Infra</v></cell><cell r="T37" t="str"><v>Developers & ITI's</v></cell><cell r="U37" t="str"><v>AZR</v></cell><cell r="V37" t="str"><v>Retargeting</v></cell><cell r="W37" t="str"><v>NotApplicable</v></cell><cell r="X37" t="str"><v>1200x628</v></cell></row><row r="37"><cell r="Z37" t="str"><v>Not Applicable</v></cell><cell r="AA37"><v>43352</v></cell><cell r="AB37" t="str"><v>CAN_gaPMG_AZR_AZR_Q1_19_Trial-Social</v></cell><cell r="AC37"><v>21337220</v></cell><cell r="AD37"><v>720192</v></cell><cell r="AE37" t="str"><v>Facebook</v></cell><cell r="AF37"><v>3654128</v></cell><cell r="AG37" t="str"><v>Facebook»AZR»1x1»SocialBan»NA»ALL»DYN»RT»D»All»SS»NA»Free Account Retargeting VM - T2 - EN</v></cell><cell r="AH37"><v>223691822</v></cell><cell r="AI37" t="str"><v>AzurePlatform_FreeAcctRetargetingVMFB-OnDemand-ChE_CAN_1200x628_SOC_Plat_EN_Free Account_Standard_NA_SU_T2_1</v></cell><cell r="AJ37"><v>103058708</v></cell></row><row r="38"><cell r="D38" t="str"><v>43352223691780</v></cell><cell r="E38" t="str"><v>433521030587262 - FR</v></cell><cell r="F38" t="str"><v>DCM</v></cell></row><row r="38"><cell r="H38"><v>3</v></cell><cell r="I38" t="str"><v>Azure Direct</v></cell><cell r="J38" t="str"><v>Azure Direct</v></cell><cell r="K38" t="str"><v>September</v></cell><cell r="L38"><v>43358</v></cell><cell r="M38" t="str"><v>Tier 1</v></cell><cell r="N38" t="str"><v>North America</v></cell><cell r="O38" t="str"><v>Canada</v></cell><cell r="P38" t="str"><v>Trial</v></cell><cell r="Q38" t="str"><v>Social</v></cell><cell r="R38" t="str"><v>Azure</v></cell><cell r="S38" t="str"><v>Apps & Infra</v></cell><cell r="T38" t="str"><v>Developers & ITI's</v></cell><cell r="U38" t="str"><v>AZR</v></cell><cell r="V38" t="str"><v>Retargeting</v></cell><cell r="W38" t="str"><v>NotApplicable</v></cell><cell r="X38" t="str"><v>1200x628</v></cell></row><row r="38"><cell r="Z38" t="str"><v>Not Applicable</v></cell><cell r="AA38"><v>43352</v></cell><cell r="AB38" t="str"><v>CAN_gaPMG_AZR_AZR_Q1_19_Trial-Social</v></cell><cell r="AC38"><v>21337220</v></cell><cell r="AD38"><v>720192</v></cell><cell r="AE38" t="str"><v>Facebook</v></cell><cell r="AF38"><v>3654128</v></cell><cell r="AG38" t="str"><v>Facebook»AZR»1x1»SocialBan»NA»ALL»DYN»RT»D»All»SS»NA»Free Account Retargeting VM - T2 - FR</v></cell><cell r="AH38"><v>223691780</v></cell><cell r="AI38" t="str"><v>AzurePlatform_FreeAcctRetargetingVMFB-OnDemand-ChE_CAN_1200x628_SOC_Plat_FR_Free Account_Standard_NA_SU_T2_1</v></cell><cell r="AJ38"><v>103058726</v></cell></row><row r="39"><cell r="D39" t="str"><v>43352224009494</v></cell><cell r="E39" t="str"><v>43352103236186-11000</v></cell><cell r="F39" t="str"><v>DCM</v></cell></row><row r="39"><cell r="H39"><v>0</v></cell><cell r="I39" t="str"><v>Azure Direct</v></cell><cell r="J39" t="str"><v>Azure Direct</v></cell><cell r="K39" t="str"><v>September</v></cell><cell r="L39"><v>43358</v></cell><cell r="M39" t="str"><v>Tier 1</v></cell><cell r="N39" t="str"><v>EMEA</v></cell><cell r="O39" t="str"><v>Germany</v></cell><cell r="P39" t="str"><v>Trial</v></cell><cell r="Q39" t="str"><v>Social</v></cell><cell r="R39" t="str"><v>Azure</v></cell><cell r="S39" t="str"><v>Apps & Infra</v></cell><cell r="T39" t="str"><v>Developers & ITI's</v></cell><cell r="U39" t="str"><v>DEV-ITP-AZR-FB|CanvasAds|Interesttargeting</v></cell><cell r="V39" t="str"><v>Audience Targeting</v></cell><cell r="W39" t="str"><v>Canvas Ad</v></cell><cell r="X39" t="str"><v>10s</v></cell><cell r="Y39" t="str"><v>Try Azure Free</v></cell><cell r="Z39" t="str"><v>Standard videos</v></cell><cell r="AA39"><v>43352</v></cell><cell r="AB39" t="str"><v>DEU_gaPMG_AZR_AZR_Q1_19_Trial-Social- 39684</v></cell><cell r="AC39"><v>21359477</v></cell><cell r="AD39"><v>720194</v></cell><cell r="AE39" t="str"><v>Facebook</v></cell><cell r="AF39"><v>3654128</v></cell><cell r="AG39" t="str"><v>Facebook»DEV-ITP-AZR-FB|CanvasAds|Interesttargeting»1x1»TextLink»CAN»DT»CPM»AUT»W»NA»SS»NA»39684020-11000</v></cell><cell r="AH39"><v>224009494</v></cell><cell r="AI39" t="str"><v>AzurePlatform_FBCTCBasicMotion-StartFreeCT_DEU_10s_ISV_PLAT_DE_Trial_Standard_STAN_TN_T1_1</v></cell><cell r="AJ39"><v>103236186</v></cell></row><row r="40"><cell r="D40" t="str"><v>43352224009494</v></cell><cell r="E40" t="str"><v>43352103236189-11000</v></cell><cell r="F40" t="str"><v>DCM</v></cell></row><row r="40"><cell r="H40"><v>1</v></cell><cell r="I40" t="str"><v>Azure Direct</v></cell><cell r="J40" t="str"><v>Azure Direct</v></cell><cell r="K40" t="str"><v>September</v></cell><cell r="L40"><v>43358</v></cell><cell r="M40" t="str"><v>Tier 1</v></cell><cell r="N40" t="str"><v>EMEA</v></cell><cell r="O40" t="str"><v>Germany</v></cell><cell r="P40" t="str"><v>Trial</v></cell><cell r="Q40" t="str"><v>Social</v></cell><cell r="R40" t="str"><v>Azure</v></cell><cell r="S40" t="str"><v>Apps & Infra</v></cell><cell r="T40" t="str"><v>Developers & ITI's</v></cell><cell r="U40" t="str"><v>DEV-ITP-AZR-FB|CanvasAds|Interesttargeting</v></cell><cell r="V40" t="str"><v>Audience Targeting</v></cell><cell r="W40" t="str"><v>Canvas Ad</v></cell><cell r="X40" t="str"><v>14s</v></cell><cell r="Y40" t="str"><v>Try Azure Free</v></cell><cell r="Z40" t="str"><v>Standard videos</v></cell><cell r="AA40"><v>43352</v></cell><cell r="AB40" t="str"><v>DEU_gaPMG_AZR_AZR_Q1_19_Trial-Social- 39684</v></cell><cell r="AC40"><v>21359477</v></cell><cell r="AD40"><v>720194</v></cell><cell r="AE40" t="str"><v>Facebook</v></cell><cell r="AF40"><v>3654128</v></cell><cell r="AG40" t="str"><v>Facebook»DEV-ITP-AZR-FB|CanvasAds|Interesttargeting»1x1»TextLink»CAN»DT»CPM»AUT»W»NA»SS»NA»39684020-11000</v></cell><cell r="AH40"><v>224009494</v></cell><cell r="AI40" t="str"><v>AzurePlatform_FBCTCBenefit2inMotion-BuyNow_DEU_14s_ISV_PLAT_DE_Trial_Standard_STAN_TN_T4_1</v></cell><cell r="AJ40"><v>103236189</v></cell></row><row r="41"><cell r="D41" t="str"><v>43352224009494</v></cell><cell r="E41" t="str"><v>43352103237290-11000</v></cell><cell r="F41" t="str"><v>DCM</v></cell></row><row r="41"><cell r="H41"><v>0</v></cell><cell r="I41" t="str"><v>Azure Direct</v></cell><cell r="J41" t="str"><v>Azure Direct</v></cell><cell r="K41" t="str"><v>September</v></cell><cell r="L41"><v>43358</v></cell><cell r="M41" t="str"><v>Tier 1</v></cell><cell r="N41" t="str"><v>EMEA</v></cell><cell r="O41" t="str"><v>Germany</v></cell><cell r="P41" t="str"><v>Trial</v></cell><cell r="Q41" t="str"><v>Social</v></cell><cell r="R41" t="str"><v>Azure</v></cell><cell r="S41" t="str"><v>Apps & Infra</v></cell><cell r="T41" t="str"><v>Developers & ITI's</v></cell><cell r="U41" t="str"><v>DEV-ITP-AZR-FB|CanvasAds|Interesttargeting</v></cell><cell r="V41" t="str"><v>Audience Targeting</v></cell><cell r="W41" t="str"><v>Canvas Ad</v></cell><cell r="X41" t="str"><v>14s</v></cell><cell r="Y41" t="str"><v>Try Azure Free</v></cell><cell r="Z41" t="str"><v>Standard videos</v></cell><cell r="AA41"><v>43352</v></cell><cell r="AB41" t="str"><v>DEU_gaPMG_AZR_AZR_Q1_19_Trial-Social- 39684</v></cell><cell r="AC41"><v>21359477</v></cell><cell r="AD41"><v>720194</v></cell><cell r="AE41" t="str"><v>Facebook</v></cell><cell r="AF41"><v>3654128</v></cell><cell r="AG41" t="str"><v>Facebook»DEV-ITP-AZR-FB|CanvasAds|Interesttargeting»1x1»TextLink»CAN»DT»CPM»AUT»W»NA»SS»NA»39684020-11000</v></cell><cell r="AH41"><v>224009494</v></cell><cell r="AI41" t="str"><v>AzurePlatform_FBCTCBenefit2inMotion-StartFreeCT_DEU_14s_ISV_PLAT_DE_Trial_Standard_STAN_TN_T4_1</v></cell><cell r="AJ41"><v>103237290</v></cell></row><row r="42"><cell r="D42" t="str"><v>43352224009494</v></cell><cell r="E42" t="str"><v>43352103237293-11000</v></cell><cell r="F42" t="str"><v>DCM</v></cell></row><row r="42"><cell r="H42"><v>0</v></cell><cell r="I42" t="str"><v>Azure Direct</v></cell><cell r="J42" t="str"><v>Azure Direct</v></cell><cell r="K42" t="str"><v>September</v></cell><cell r="L42"><v>43358</v></cell><cell r="M42" t="str"><v>Tier 1</v></cell><cell r="N42" t="str"><v>EMEA</v></cell><cell r="O42" t="str"><v>Germany</v></cell><cell r="P42" t="str"><v>Trial</v></cell><cell r="Q42" t="str"><v>Social</v></cell><cell r="R42" t="str"><v>Azure</v></cell><cell r="S42" t="str"><v>Apps & Infra</v></cell><cell r="T42" t="str"><v>Developers & ITI's</v></cell><cell r="U42" t="str"><v>DEV-ITP-AZR-FB|CanvasAds|Interesttargeting</v></cell><cell r="V42" t="str"><v>Audience Targeting</v></cell><cell r="W42" t="str"><v>Canvas Ad</v></cell><cell r="X42" t="str"><v>12s</v></cell><cell r="Y42" t="str"><v>Try Azure Free</v></cell><cell r="Z42" t="str"><v>Standard videos</v></cell><cell r="AA42"><v>43352</v></cell><cell r="AB42" t="str"><v>DEU_gaPMG_AZR_AZR_Q1_19_Trial-Social- 39684</v></cell><cell r="AC42"><v>21359477</v></cell><cell r="AD42"><v>720194</v></cell><cell r="AE42" t="str"><v>Facebook</v></cell><cell r="AF42"><v>3654128</v></cell><cell r="AG42" t="str"><v>Facebook»DEV-ITP-AZR-FB|CanvasAds|Interesttargeting»1x1»TextLink»CAN»DT»CPM»AUT»W»NA»SS»NA»39684020-11000</v></cell><cell r="AH42"><v>224009494</v></cell><cell r="AI42" t="str"><v>AzurePlatform_FBCTCBrandinMotion-StartFreeCT_DEU_12s_ISV_PLAT_DE_Trial_Standard_STAN_TN_T2_1</v></cell><cell r="AJ42"><v>103237293</v></cell></row><row r="43"><cell r="D43" t="str"><v>43352224010415</v></cell><cell r="E43" t="str"><v>43352103040320-11000</v></cell><cell r="F43" t="str"><v>DCM</v></cell></row><row r="43"><cell r="H43"><v>1</v></cell><cell r="I43" t="str"><v>Azure Direct</v></cell><cell r="J43" t="str"><v>Azure Direct</v></cell><cell r="K43" t="str"><v>September</v></cell><cell r="L43"><v>43358</v></cell><cell r="M43" t="str"><v>Tier 1</v></cell><cell r="N43" t="str"><v>EMEA</v></cell><cell r="O43" t="str"><v>Germany</v></cell><cell r="P43" t="str"><v>Trial</v></cell><cell r="Q43" t="str"><v>Social</v></cell><cell r="R43" t="str"><v>Azure</v></cell><cell r="S43" t="str"><v>Apps & Infra</v></cell><cell r="T43" t="str"><v>Developers & ITI's</v></cell><cell r="U43" t="str"><v>DEV-ITP-AZR-FB|LinkAd|CustomerAudienceRetargeting</v></cell><cell r="V43" t="str"><v>Retargeting</v></cell><cell r="W43" t="str"><v>Link Ad</v></cell><cell r="X43" t="str"><v>1200x628</v></cell></row><row r="43"><cell r="Z43" t="str"><v>Not Applicable</v></cell><cell r="AA43"><v>43352</v></cell><cell r="AB43" t="str"><v>DEU_gaPMG_AZR_AZR_Q1_19_Trial-Social- 39684</v></cell><cell r="AC43"><v>21359477</v></cell><cell r="AD43"><v>720194</v></cell><cell r="AE43" t="str"><v>Facebook</v></cell><cell r="AF43"><v>3654128</v></cell><cell r="AG43" t="str"><v>Facebook»DEV-ITP-AZR-FB|LinkAd|CustomerAudienceRetargeting»1x1»TextLink»LIA»DT»CPM»RT»W»NA»SS»NA»39684019-11000</v></cell><cell r="AH43"><v>224010415</v></cell><cell r="AI43" t="str"><v>AzurePlatform_FreeAcctRetargetingFB-GlobalAlt-ChB_DEU_1200x628_SOC_Plat_DE_Free Account_Standard_NA_SNU_T2_1</v></cell><cell r="AJ43"><v>103040320</v></cell></row><row r="44"><cell r="D44" t="str"><v>43352224010415</v></cell><cell r="E44" t="str"><v>43352103043329-11000</v></cell><cell r="F44" t="str"><v>DCM</v></cell></row><row r="44"><cell r="H44"><v>1</v></cell><cell r="I44" t="str"><v>Azure Direct</v></cell><cell r="J44" t="str"><v>Azure Direct</v></cell><cell r="K44" t="str"><v>September</v></cell><cell r="L44"><v>43358</v></cell><cell r="M44" t="str"><v>Tier 1</v></cell><cell r="N44" t="str"><v>EMEA</v></cell><cell r="O44" t="str"><v>Germany</v></cell><cell r="P44" t="str"><v>Trial</v></cell><cell r="Q44" t="str"><v>Social</v></cell><cell r="R44" t="str"><v>Azure</v></cell><cell r="S44" t="str"><v>Apps & Infra</v></cell><cell r="T44" t="str"><v>Developers & ITI's</v></cell><cell r="U44" t="str"><v>DEV-ITP-AZR-FB|LinkAd|CustomerAudienceRetargeting</v></cell><cell r="V44" t="str"><v>Retargeting</v></cell><cell r="W44" t="str"><v>Link Ad</v></cell><cell r="X44" t="str"><v>1200x628</v></cell></row><row r="44"><cell r="Z44" t="str"><v>Not Applicable</v></cell><cell r="AA44"><v>43352</v></cell><cell r="AB44" t="str"><v>DEU_gaPMG_AZR_AZR_Q1_19_Trial-Social- 39684</v></cell><cell r="AC44"><v>21359477</v></cell><cell r="AD44"><v>720194</v></cell><cell r="AE44" t="str"><v>Facebook</v></cell><cell r="AF44"><v>3654128</v></cell><cell r="AG44" t="str"><v>Facebook»DEV-ITP-AZR-FB|LinkAd|CustomerAudienceRetargeting»1x1»TextLink»LIA»DT»CPM»RT»W»NA»SS»NA»39684019-11000</v></cell><cell r="AH44"><v>224010415</v></cell><cell r="AI44" t="str"><v>AzurePlatform_FreeAcctRetargetingOSSFB-Logos-ChG_DEU_1200x628_SOC_Plat_DE_Free Account_Standard_NA_SNU_T2_1</v></cell><cell r="AJ44"><v>103043329</v></cell></row><row r="45"><cell r="D45" t="str"><v>43352224010415</v></cell><cell r="E45" t="str"><v>43352103055394-11000</v></cell><cell r="F45" t="str"><v>DCM</v></cell></row><row r="45"><cell r="H45"><v>2</v></cell><cell r="I45" t="str"><v>Azure Direct</v></cell><cell r="J45" t="str"><v>Azure Direct</v></cell><cell r="K45" t="str"><v>September</v></cell><cell r="L45"><v>43358</v></cell><cell r="M45" t="str"><v>Tier 1</v></cell><cell r="N45" t="str"><v>EMEA</v></cell><cell r="O45" t="str"><v>Germany</v></cell><cell r="P45" t="str"><v>Trial</v></cell><cell r="Q45" t="str"><v>Social</v></cell><cell r="R45" t="str"><v>Azure</v></cell><cell r="S45" t="str"><v>Apps & Infra</v></cell><cell r="T45" t="str"><v>Developers & ITI's</v></cell><cell r="U45" t="str"><v>DEV-ITP-AZR-FB|LinkAd|CustomerAudienceRetargeting</v></cell><cell r="V45" t="str"><v>Retargeting</v></cell><cell r="W45" t="str"><v>Link Ad</v></cell><cell r="X45" t="str"><v>1200x628</v></cell></row><row r="45"><cell r="Z45" t="str"><v>Not Applicable</v></cell><cell r="AA45"><v>43352</v></cell><cell r="AB45" t="str"><v>DEU_gaPMG_AZR_AZR_Q1_19_Trial-Social- 39684</v></cell><cell r="AC45"><v>21359477</v></cell><cell r="AD45"><v>720194</v></cell><cell r="AE45" t="str"><v>Facebook</v></cell><cell r="AF45"><v>3654128</v></cell><cell r="AG45" t="str"><v>Facebook»DEV-ITP-AZR-FB|LinkAd|CustomerAudienceRetargeting»1x1»TextLink»LIA»DT»CPM»RT»W»NA»SS»NA»39684019-11000</v></cell><cell r="AH45"><v>224010415</v></cell><cell r="AI45" t="str"><v>AzurePlatform_FreeAcctRetargetingOSSFB-Text-ChF_DEU_1200x628_SOC_Plat_DE_Free Account_Standard_NA_SNU_T1_1</v></cell><cell r="AJ45"><v>103055394</v></cell></row><row r="46"><cell r="D46" t="str"><v>43352224010415</v></cell><cell r="E46" t="str"><v>43352103043341-11000</v></cell><cell r="F46" t="str"><v>DCM</v></cell></row><row r="46"><cell r="H46"><v>0</v></cell><cell r="I46" t="str"><v>Azure Direct</v></cell><cell r="J46" t="str"><v>Azure Direct</v></cell><cell r="K46" t="str"><v>September</v></cell><cell r="L46"><v>43358</v></cell><cell r="M46" t="str"><v>Tier 1</v></cell><cell r="N46" t="str"><v>EMEA</v></cell><cell r="O46" t="str"><v>Germany</v></cell><cell r="P46" t="str"><v>Trial</v></cell><cell r="Q46" t="str"><v>Social</v></cell><cell r="R46" t="str"><v>Azure</v></cell><cell r="S46" t="str"><v>Apps & Infra</v></cell><cell r="T46" t="str"><v>Developers & ITI's</v></cell><cell r="U46" t="str"><v>DEV-ITP-AZR-FB|LinkAd|CustomerAudienceRetargeting</v></cell><cell r="V46" t="str"><v>Retargeting</v></cell><cell r="W46" t="str"><v>Link Ad</v></cell><cell r="X46" t="str"><v>1200x628</v></cell></row><row r="46"><cell r="Z46" t="str"><v>Not Applicable</v></cell><cell r="AA46"><v>43352</v></cell><cell r="AB46" t="str"><v>DEU_gaPMG_AZR_AZR_Q1_19_Trial-Social- 39684</v></cell><cell r="AC46"><v>21359477</v></cell><cell r="AD46"><v>720194</v></cell><cell r="AE46" t="str"><v>Facebook</v></cell><cell r="AF46"><v>3654128</v></cell><cell r="AG46" t="str"><v>Facebook»DEV-ITP-AZR-FB|LinkAd|CustomerAudienceRetargeting»1x1»TextLink»LIA»DT»CPM»RT»W»NA»SS»NA»39684019-11000</v></cell><cell r="AH46"><v>224010415</v></cell><cell r="AI46" t="str"><v>AzurePlatform_FreeAcctRetargetingVMFB-750Hrs-ChD_DEU_1200x628_SOC_Plat_DE_Free Account_Standard_NA_SNU_T1_1</v></cell><cell r="AJ46"><v>103043341</v></cell></row><row r="47"><cell r="D47" t="str"><v>43352224010415</v></cell><cell r="E47" t="str"><v>43352103043338-11000</v></cell><cell r="F47" t="str"><v>DCM</v></cell></row><row r="47"><cell r="H47"><v>1</v></cell><cell r="I47" t="str"><v>Azure Direct</v></cell><cell r="J47" t="str"><v>Azure Direct</v></cell><cell r="K47" t="str"><v>September</v></cell><cell r="L47"><v>43358</v></cell><cell r="M47" t="str"><v>Tier 1</v></cell><cell r="N47" t="str"><v>EMEA</v></cell><cell r="O47" t="str"><v>Germany</v></cell><cell r="P47" t="str"><v>Trial</v></cell><cell r="Q47" t="str"><v>Social</v></cell><cell r="R47" t="str"><v>Azure</v></cell><cell r="S47" t="str"><v>Apps & Infra</v></cell><cell r="T47" t="str"><v>Developers & ITI's</v></cell><cell r="U47" t="str"><v>DEV-ITP-AZR-FB|LinkAd|CustomerAudienceRetargeting</v></cell><cell r="V47" t="str"><v>Retargeting</v></cell><cell r="W47" t="str"><v>Link Ad</v></cell><cell r="X47" t="str"><v>1200x628</v></cell></row><row r="47"><cell r="Z47" t="str"><v>Not Applicable</v></cell><cell r="AA47"><v>43352</v></cell><cell r="AB47" t="str"><v>DEU_gaPMG_AZR_AZR_Q1_19_Trial-Social- 39684</v></cell><cell r="AC47"><v>21359477</v></cell><cell r="AD47"><v>720194</v></cell><cell r="AE47" t="str"><v>Facebook</v></cell><cell r="AF47"><v>3654128</v></cell><cell r="AG47" t="str"><v>Facebook»DEV-ITP-AZR-FB|LinkAd|CustomerAudienceRetargeting»1x1»TextLink»LIA»DT»CPM»RT»W»NA»SS»NA»39684019-11000</v></cell><cell r="AH47"><v>224010415</v></cell><cell r="AI47" t="str"><v>AzurePlatform_FreeAcctRetargetingVMFB-OnDemand-ChE_DEU_1200x628_SOC_Plat_DE_Free Account_Standard_NA_SNU_T2_1</v></cell><cell r="AJ47"><v>103043338</v></cell></row><row r="48"><cell r="D48" t="str"><v>43352226360031</v></cell><cell r="E48" t="str"><v>43352104537129Trials</v></cell><cell r="F48" t="str"><v>DCM</v></cell></row><row r="48"><cell r="H48"><v>0</v></cell><cell r="I48" t="str"><v>Azure Direct</v></cell><cell r="J48" t="str"><v>Azure Direct</v></cell><cell r="K48" t="str"><v>September</v></cell><cell r="L48"><v>43358</v></cell><cell r="M48" t="str"><v>Tier 1</v></cell><cell r="N48" t="str"><v>EMEA</v></cell><cell r="O48" t="str"><v>France</v></cell><cell r="P48" t="str"><v>Trial</v></cell><cell r="Q48" t="str"><v>Social</v></cell><cell r="R48" t="str"><v>Azure</v></cell><cell r="S48" t="str"><v>Apps & Infra</v></cell><cell r="T48" t="str"><v>Developers & ITI's</v></cell><cell r="U48" t="str"><v>Developers-Azure Direct-Sponsored Post_Trial-Video Ad-Free Account Developer - Generic</v></cell><cell r="V48" t="str"><v>Lookalike Targeting</v></cell><cell r="W48" t="str"><v>Video Ad</v></cell><cell r="X48" t="str"><v>1200x1200</v></cell><cell r="Y48" t="str"><v>Learn More</v></cell><cell r="Z48" t="str"><v>Standard videos</v></cell><cell r="AA48"><v>43352</v></cell><cell r="AB48" t="str"><v>FRA_gaPMG_AZR_AZR_Q1_19_AzureDirect-Trial-Social</v></cell><cell r="AC48"><v>21356941</v></cell><cell r="AD48"><v>720193</v></cell><cell r="AE48" t="str"><v>Facebook</v></cell><cell r="AF48"><v>3654128</v></cell><cell r="AG48" t="str"><v>Facebook»Developers-Azure Direct-Sponsored Post_Trial-Video Ad-Free Account Developer - Generic»1x1»30s»SOC»ALL»CPC»LAL»D»UNK»SS»NA»Trials</v></cell><cell r="AH48"><v>226360031</v></cell><cell r="AI48" t="str"><v>AZR_FreeAcctDeveloperFB-AnimatedGeneric-Ch1_FRA_1200x1200_VIA_AZRDirect_French_NA_Facebook_STAN_LEA_T1_1</v></cell><cell r="AJ48"><v>104537129</v></cell></row><row r="49"><cell r="D49" t="str"><v>43352226360025</v></cell><cell r="E49" t="str"><v>43352104537132Trials</v></cell><cell r="F49" t="str"><v>DCM</v></cell></row><row r="49"><cell r="H49"><v>0</v></cell><cell r="I49" t="str"><v>Azure Direct</v></cell><cell r="J49" t="str"><v>Azure Direct</v></cell><cell r="K49" t="str"><v>September</v></cell><cell r="L49"><v>43358</v></cell><cell r="M49" t="str"><v>Tier 1</v></cell><cell r="N49" t="str"><v>EMEA</v></cell><cell r="O49" t="str"><v>France</v></cell><cell r="P49" t="str"><v>Trial</v></cell><cell r="Q49" t="str"><v>Social</v></cell><cell r="R49" t="str"><v>Azure</v></cell><cell r="S49" t="str"><v>Apps & Infra</v></cell><cell r="T49" t="str"><v>Developers & ITI's</v></cell><cell r="U49" t="str"><v>Developers-Azure Direct-Sponsored Post_Trial-Video Ad-Free Account Developer - Open Source</v></cell><cell r="V49" t="str"><v>Lookalike Targeting</v></cell><cell r="W49" t="str"><v>Video Ad</v></cell><cell r="X49" t="str"><v>1200x1200</v></cell><cell r="Y49" t="str"><v>Learn More</v></cell><cell r="Z49" t="str"><v>Standard videos</v></cell><cell r="AA49"><v>43352</v></cell><cell r="AB49" t="str"><v>FRA_gaPMG_AZR_AZR_Q1_19_AzureDirect-Trial-Social</v></cell><cell r="AC49"><v>21356941</v></cell><cell r="AD49"><v>720193</v></cell><cell r="AE49" t="str"><v>Facebook</v></cell><cell r="AF49"><v>3654128</v></cell><cell r="AG49" t="str"><v>Facebook»Developers-Azure Direct-Sponsored Post_Trial-Video Ad-Free Account Developer - Open Source»1x1»30s»SOC»ALL»CPC»LAL»D»UNK»SS»NA»Trials</v></cell><cell r="AH49"><v>226360025</v></cell><cell r="AI49" t="str"><v>AZR_FreeAcctDeveloperFB-AnimatedOpenSource-Ch2_FRA_1200x1200_VIA_AZRDirect_French_NA_Facebook_STAN_LEA_T2_1</v></cell><cell r="AJ49"><v>104537132</v></cell></row><row r="50"><cell r="D50" t="str"><v>43352224416915</v></cell><cell r="E50" t="str"><v>43352103376981Trials</v></cell><cell r="F50" t="str"><v>DCM</v></cell></row><row r="50"><cell r="H50"><v>0</v></cell><cell r="I50" t="str"><v>Azure Direct</v></cell><cell r="J50" t="str"><v>Azure Direct</v></cell><cell r="K50" t="str"><v>September</v></cell><cell r="L50"><v>43358</v></cell><cell r="M50" t="str"><v>Tier 1</v></cell><cell r="N50" t="str"><v>EMEA</v></cell><cell r="O50" t="str"><v>France</v></cell><cell r="P50" t="str"><v>Trial</v></cell><cell r="Q50" t="str"><v>Social</v></cell><cell r="R50" t="str"><v>Azure</v></cell><cell r="S50" t="str"><v>Apps & Infra</v></cell><cell r="T50" t="str"><v>Developers & ITI's</v></cell><cell r="U50" t="str"><v>Developers/ITPros-Azure Direct-Sponsored Post-Video Ad-FBCTCBasicMotion_FRA_10s_RTG Landing Page</v></cell><cell r="V50" t="str"><v>Behavioral Targeting</v></cell><cell r="W50" t="str"><v>Video Ad</v></cell><cell r="X50" t="str"><v>10s</v></cell><cell r="Y50" t="str"><v>Try it Now</v></cell><cell r="Z50" t="str"><v>Standard videos</v></cell><cell r="AA50"><v>43352</v></cell><cell r="AB50" t="str"><v>FRA_gaPMG_AZR_AZR_Q1_19_AzureDirect-Trial-Social</v></cell><cell r="AC50"><v>21356941</v></cell><cell r="AD50"><v>720193</v></cell><cell r="AE50" t="str"><v>Facebook</v></cell><cell r="AF50"><v>3654128</v></cell><cell r="AG50" t="str"><v>Facebook»Developers/ITPros-Azure Direct-Sponsored Post-Video Ad-FBCTCBasicMotion_FRA_10s_RTG Landing Page»1x1»05s»SOC»ALL»CPC»BT»D»UNK»SS»NA»Trials</v></cell><cell r="AH50"><v>224416915</v></cell><cell r="AI50" t="str"><v>AZR_FBCTCBasicMotion_FRA_10s_VIA_AZRDirect_French_NA_Facebook_STAN_TIN_T1_1</v></cell><cell r="AJ50"><v>103376981</v></cell></row><row r="51"><cell r="D51" t="str"><v>43352224560875</v></cell><cell r="E51" t="str"><v>43352103259766Trials</v></cell><cell r="F51" t="str"><v>DCM</v></cell></row><row r="51"><cell r="H51"><v>0</v></cell><cell r="I51" t="str"><v>Azure Direct</v></cell><cell r="J51" t="str"><v>Azure Direct</v></cell><cell r="K51" t="str"><v>September</v></cell><cell r="L51"><v>43358</v></cell><cell r="M51" t="str"><v>Tier 1</v></cell><cell r="N51" t="str"><v>EMEA</v></cell><cell r="O51" t="str"><v>France</v></cell><cell r="P51" t="str"><v>Trial</v></cell><cell r="Q51" t="str"><v>Social</v></cell><cell r="R51" t="str"><v>Azure</v></cell><cell r="S51" t="str"><v>Apps & Infra</v></cell><cell r="T51" t="str"><v>Developers & ITI's</v></cell><cell r="U51" t="str"><v>Developers/ITPros-Azure Direct-Sponsored Post-Video Ad-FBCTCBenefit2inMotion_FRA_14s_RTG Landing Page</v></cell><cell r="V51" t="str"><v>Behavioral Targeting</v></cell><cell r="W51" t="str"><v>Video Ad</v></cell><cell r="X51" t="str"><v>14s</v></cell><cell r="Y51" t="str"><v>Try it Now</v></cell><cell r="Z51" t="str"><v>Standard videos</v></cell><cell r="AA51"><v>43352</v></cell><cell r="AB51" t="str"><v>FRA_gaPMG_AZR_AZR_Q1_19_AzureDirect-Trial-Social</v></cell><cell r="AC51"><v>21356941</v></cell><cell r="AD51"><v>720193</v></cell><cell r="AE51" t="str"><v>Facebook</v></cell><cell r="AF51"><v>3654128</v></cell><cell r="AG51" t="str"><v>Facebook»Developers/ITPros-Azure Direct-Sponsored Post-Video Ad-FBCTCBenefit2inMotion_FRA_14s_RTG Landing Page»1x1»06s»SOC»ALL»CPC»BT»D»UNK»SS»NA»Trials</v></cell><cell r="AH51"><v>224560875</v></cell><cell r="AI51" t="str"><v>AZR_FBCTCBenefit2inMotion_FRA_14s_VIA_AZRDirect_French_NA_Facebook_STAN_TIN_T4_1</v></cell><cell r="AJ51"><v>103259766</v></cell></row><row r="52"><cell r="D52" t="str"><v>43352224560863</v></cell><cell r="E52" t="str"><v>43352103256577Trials</v></cell><cell r="F52" t="str"><v>DCM</v></cell></row><row r="52"><cell r="H52"><v>0</v></cell><cell r="I52" t="str"><v>Azure Direct</v></cell><cell r="J52" t="str"><v>Azure Direct</v></cell><cell r="K52" t="str"><v>September</v></cell><cell r="L52"><v>43358</v></cell><cell r="M52" t="str"><v>Tier 1</v></cell><cell r="N52" t="str"><v>EMEA</v></cell><cell r="O52" t="str"><v>France</v></cell><cell r="P52" t="str"><v>Trial</v></cell><cell r="Q52" t="str"><v>Social</v></cell><cell r="R52" t="str"><v>Azure</v></cell><cell r="S52" t="str"><v>Apps & Infra</v></cell><cell r="T52" t="str"><v>Developers & ITI's</v></cell><cell r="U52" t="str"><v>Developers/ITPros-Azure Direct-Sponsored Post-Video Ad-FBCTCBrandinMotion_FRA_12s_RTG Landing Page</v></cell><cell r="V52" t="str"><v>Behavioral Targeting</v></cell><cell r="W52" t="str"><v>Video Ad</v></cell><cell r="X52" t="str"><v>12s</v></cell><cell r="Y52" t="str"><v>Try it Now</v></cell><cell r="Z52" t="str"><v>Standard videos</v></cell><cell r="AA52"><v>43352</v></cell><cell r="AB52" t="str"><v>FRA_gaPMG_AZR_AZR_Q1_19_AzureDirect-Trial-Social</v></cell><cell r="AC52"><v>21356941</v></cell><cell r="AD52"><v>720193</v></cell><cell r="AE52" t="str"><v>Facebook</v></cell><cell r="AF52"><v>3654128</v></cell><cell r="AG52" t="str"><v>Facebook»Developers/ITPros-Azure Direct-Sponsored Post-Video Ad-FBCTCBrandinMotion_FRA_12s_RTG Landing Page»1x1»05s»SOC»ALL»CPC»BT»D»UNK»SS»NA»Trials</v></cell><cell r="AH52"><v>224560863</v></cell><cell r="AI52" t="str"><v>AZR_FBCTCBrandinMotion_FRA_12s_VIA_AZRDirect_French_NA_Facebook_STAN_TIN_T2_1</v></cell><cell r="AJ52"><v>103256577</v></cell></row><row r="53"><cell r="D53" t="str"><v>43352226360016</v></cell><cell r="E53" t="str"><v>43352104456278Trials</v></cell><cell r="F53" t="str"><v>DCM</v></cell></row><row r="53"><cell r="H53"><v>0</v></cell><cell r="I53" t="str"><v>Azure Direct</v></cell><cell r="J53" t="str"><v>Azure Direct</v></cell><cell r="K53" t="str"><v>September</v></cell><cell r="L53"><v>43358</v></cell><cell r="M53" t="str"><v>Tier 1</v></cell><cell r="N53" t="str"><v>EMEA</v></cell><cell r="O53" t="str"><v>France</v></cell><cell r="P53" t="str"><v>Trial</v></cell><cell r="Q53" t="str"><v>Social</v></cell><cell r="R53" t="str"><v>Azure</v></cell><cell r="S53" t="str"><v>Apps & Infra</v></cell><cell r="T53" t="str"><v>Developers & ITI's</v></cell><cell r="U53" t="str"><v>ITPros-Azure Direct-Sponsored Post-Video Ad-Free Account IT Pro - Hybrid</v></cell><cell r="V53" t="str"><v>Audience Targeting</v></cell><cell r="W53" t="str"><v>Video Ad</v></cell><cell r="X53" t="str"><v>1200x1200</v></cell><cell r="Y53" t="str"><v>Learn More</v></cell><cell r="Z53" t="str"><v>Standard videos</v></cell><cell r="AA53"><v>43352</v></cell><cell r="AB53" t="str"><v>FRA_gaPMG_AZR_AZR_Q1_19_AzureDirect-Trial-Social</v></cell><cell r="AC53"><v>21356941</v></cell><cell r="AD53"><v>720193</v></cell><cell r="AE53" t="str"><v>Facebook</v></cell><cell r="AF53"><v>3654128</v></cell><cell r="AG53" t="str"><v>Facebook»ITPros-Azure Direct-Sponsored Post-Video Ad-Free Account IT Pro - Hybrid»1x1»30s»SOC»ALL»CPC»AUT»D»UNK»SS»NA»Trials</v></cell><cell r="AH53"><v>226360016</v></cell><cell r="AI53" t="str"><v>AZR_FreeAcctITProFB-AnimatedHybrid-Ch2_FRA_1200x1200_VIA_AZRDirect_French_NA_Facebook_STAN_LEA_T2_1</v></cell><cell r="AJ53"><v>104456278</v></cell></row><row r="54"><cell r="D54" t="str"><v>43352226360010</v></cell><cell r="E54" t="str"><v>43352104458003Trials</v></cell><cell r="F54" t="str"><v>DCM</v></cell></row><row r="54"><cell r="H54"><v>0</v></cell><cell r="I54" t="str"><v>Azure Direct</v></cell><cell r="J54" t="str"><v>Azure Direct</v></cell><cell r="K54" t="str"><v>September</v></cell><cell r="L54"><v>43358</v></cell><cell r="M54" t="str"><v>Tier 1</v></cell><cell r="N54" t="str"><v>EMEA</v></cell><cell r="O54" t="str"><v>France</v></cell><cell r="P54" t="str"><v>Trial</v></cell><cell r="Q54" t="str"><v>Social</v></cell><cell r="R54" t="str"><v>Azure</v></cell><cell r="S54" t="str"><v>Apps & Infra</v></cell><cell r="T54" t="str"><v>Developers & ITI's</v></cell><cell r="U54" t="str"><v>ITPros-Azure Direct-Sponsored Post-Video Ad-Free Account IT Pro - Migration</v></cell><cell r="V54" t="str"><v>Audience Targeting</v></cell><cell r="W54" t="str"><v>Video Ad</v></cell><cell r="X54" t="str"><v>1200x1200</v></cell><cell r="Y54" t="str"><v>Learn More</v></cell><cell r="Z54" t="str"><v>Standard videos</v></cell><cell r="AA54"><v>43352</v></cell><cell r="AB54" t="str"><v>FRA_gaPMG_AZR_AZR_Q1_19_AzureDirect-Trial-Social</v></cell><cell r="AC54"><v>21356941</v></cell><cell r="AD54"><v>720193</v></cell><cell r="AE54" t="str"><v>Facebook</v></cell><cell r="AF54"><v>3654128</v></cell><cell r="AG54" t="str"><v>Facebook»ITPros-Azure Direct-Sponsored Post-Video Ad-Free Account IT Pro - Migration»1x1»30s»SOC»ALL»CPC»AUT»D»UNK»SS»NA»Trials</v></cell><cell r="AH54"><v>226360010</v></cell><cell r="AI54" t="str"><v>AZR_FreeAcctITProFB-AnimatedMigration-Ch3_FRA_1200x1200_VIA_AZRDirect_French_NA_Facebook_STAN_LEA_T3_1</v></cell><cell r="AJ54"><v>104458003</v></cell></row><row r="55"><cell r="D55" t="str"><v>43352226360022</v></cell><cell r="E55" t="str"><v>43352104455906Trials</v></cell><cell r="F55" t="str"><v>DCM</v></cell></row><row r="55"><cell r="H55"><v>0</v></cell><cell r="I55" t="str"><v>Azure Direct</v></cell><cell r="J55" t="str"><v>Azure Direct</v></cell><cell r="K55" t="str"><v>September</v></cell><cell r="L55"><v>43358</v></cell><cell r="M55" t="str"><v>Tier 1</v></cell><cell r="N55" t="str"><v>EMEA</v></cell><cell r="O55" t="str"><v>France</v></cell><cell r="P55" t="str"><v>Trial</v></cell><cell r="Q55" t="str"><v>Social</v></cell><cell r="R55" t="str"><v>Azure</v></cell><cell r="S55" t="str"><v>Apps & Infra</v></cell><cell r="T55" t="str"><v>Developers & ITI's</v></cell><cell r="U55" t="str"><v>ITPros-Azure Direct-Sponsored Post-Video Ad-Free Account IT Pro - Secure</v></cell><cell r="V55" t="str"><v>Audience Targeting</v></cell><cell r="W55" t="str"><v>Video Ad</v></cell><cell r="X55" t="str"><v>1200x1200</v></cell><cell r="Y55" t="str"><v>Learn More</v></cell><cell r="Z55" t="str"><v>Standard videos</v></cell><cell r="AA55"><v>43352</v></cell><cell r="AB55" t="str"><v>FRA_gaPMG_AZR_AZR_Q1_19_AzureDirect-Trial-Social</v></cell><cell r="AC55"><v>21356941</v></cell><cell r="AD55"><v>720193</v></cell><cell r="AE55" t="str"><v>Facebook</v></cell><cell r="AF55"><v>3654128</v></cell><cell r="AG55" t="str"><v>Facebook»ITPros-Azure Direct-Sponsored Post-Video Ad-Free Account IT Pro - Secure»1x1»30s»SOC»ALL»CPC»AUT»D»UNK»SS»NA»Trials</v></cell><cell r="AH55"><v>226360022</v></cell><cell r="AI55" t="str"><v>AZR_FreeAcctITProFB-AnimatedSecureMngd-Ch1_FRA_1200x1200_VIA_AZRDirect_French_NA_Facebook_STAN_LEA_T1_1</v></cell><cell r="AJ55"><v>104455906</v></cell></row><row r="56"><cell r="D56" t="str"><v>43352226360001</v></cell><cell r="E56" t="str"><v>43352104456278Trials</v></cell><cell r="F56" t="str"><v>DCM</v></cell></row><row r="56"><cell r="H56"><v>0</v></cell><cell r="I56" t="str"><v>Azure Direct</v></cell><cell r="J56" t="str"><v>Azure Direct</v></cell><cell r="K56" t="str"><v>September</v></cell><cell r="L56"><v>43358</v></cell><cell r="M56" t="str"><v>Tier 1</v></cell><cell r="N56" t="str"><v>EMEA</v></cell><cell r="O56" t="str"><v>France</v></cell><cell r="P56" t="str"><v>Trial</v></cell><cell r="Q56" t="str"><v>Social</v></cell><cell r="R56" t="str"><v>Azure</v></cell><cell r="S56" t="str"><v>Apps & Infra</v></cell><cell r="T56" t="str"><v>Developers & ITI's</v></cell><cell r="U56" t="str"><v>ITPros-Azure Direct-Sponsored Post_Trial-Video Ad-Free Account IT Pro - Hybrid</v></cell><cell r="V56" t="str"><v>Lookalike Targeting</v></cell><cell r="W56" t="str"><v>Video Ad</v></cell><cell r="X56" t="str"><v>1200x1200</v></cell><cell r="Y56" t="str"><v>Learn More</v></cell><cell r="Z56" t="str"><v>Standard videos</v></cell><cell r="AA56"><v>43352</v></cell><cell r="AB56" t="str"><v>FRA_gaPMG_AZR_AZR_Q1_19_AzureDirect-Trial-Social</v></cell><cell r="AC56"><v>21356941</v></cell><cell r="AD56"><v>720193</v></cell><cell r="AE56" t="str"><v>Facebook</v></cell><cell r="AF56"><v>3654128</v></cell><cell r="AG56" t="str"><v>Facebook»ITPros-Azure Direct-Sponsored Post_Trial-Video Ad-Free Account IT Pro - Hybrid»1x1»30s»SOC»ALL»CPC»LAL»D»UNK»SS»NA»Trials</v></cell><cell r="AH56"><v>226360001</v></cell><cell r="AI56" t="str"><v>AZR_FreeAcctITProFB-AnimatedHybrid-Ch2_FRA_1200x1200_VIA_AZRDirect_French_NA_Facebook_STAN_LEA_T2_1</v></cell><cell r="AJ56"><v>104456278</v></cell></row><row r="57"><cell r="D57" t="str"><v>43352226359938</v></cell><cell r="E57" t="str"><v>43352104456278Trials</v></cell><cell r="F57" t="str"><v>DCM</v></cell></row><row r="57"><cell r="H57"><v>0</v></cell><cell r="I57" t="str"><v>Azure Direct</v></cell><cell r="J57" t="str"><v>Azure Direct</v></cell><cell r="K57" t="str"><v>September</v></cell><cell r="L57"><v>43358</v></cell><cell r="M57" t="str"><v>Tier 1</v></cell><cell r="N57" t="str"><v>EMEA</v></cell><cell r="O57" t="str"><v>France</v></cell><cell r="P57" t="str"><v>Trial</v></cell><cell r="Q57" t="str"><v>Social</v></cell><cell r="R57" t="str"><v>Azure</v></cell><cell r="S57" t="str"><v>Apps & Infra</v></cell><cell r="T57" t="str"><v>Developers & ITI's</v></cell><cell r="U57" t="str"><v>ITPros-Azure Direct-Sponsored Post_Trial_PayGo-Video Ad-Free Account IT Pro - Hybrid</v></cell><cell r="V57" t="str"><v>Lookalike Targeting</v></cell><cell r="W57" t="str"><v>Video Ad</v></cell><cell r="X57" t="str"><v>1200x1200</v></cell><cell r="Y57" t="str"><v>Learn More</v></cell><cell r="Z57" t="str"><v>Standard videos</v></cell><cell r="AA57"><v>43352</v></cell><cell r="AB57" t="str"><v>FRA_gaPMG_AZR_AZR_Q1_19_AzureDirect-Trial-Social</v></cell><cell r="AC57"><v>21356941</v></cell><cell r="AD57"><v>720193</v></cell><cell r="AE57" t="str"><v>Facebook</v></cell><cell r="AF57"><v>3654128</v></cell><cell r="AG57" t="str"><v>Facebook»ITPros-Azure Direct-Sponsored Post_Trial_PayGo-Video Ad-Free Account IT Pro - Hybrid»1x1»30s»SOC»ALL»CPC»LAL»D»UNK»SS»NA»Trials</v></cell><cell r="AH57"><v>226359938</v></cell><cell r="AI57" t="str"><v>AZR_FreeAcctITProFB-AnimatedHybrid-Ch2_FRA_1200x1200_VIA_AZRDirect_French_NA_Facebook_STAN_LEA_T2_1</v></cell><cell r="AJ57"><v>104456278</v></cell></row><row r="58"><cell r="D58" t="str"><v>43352226359941</v></cell><cell r="E58" t="str"><v>43352104455906Trials</v></cell><cell r="F58" t="str"><v>DCM</v></cell></row><row r="58"><cell r="H58"><v>0</v></cell><cell r="I58" t="str"><v>Azure Direct</v></cell><cell r="J58" t="str"><v>Azure Direct</v></cell><cell r="K58" t="str"><v>September</v></cell><cell r="L58"><v>43358</v></cell><cell r="M58" t="str"><v>Tier 1</v></cell><cell r="N58" t="str"><v>EMEA</v></cell><cell r="O58" t="str"><v>France</v></cell><cell r="P58" t="str"><v>Trial</v></cell><cell r="Q58" t="str"><v>Social</v></cell><cell r="R58" t="str"><v>Azure</v></cell><cell r="S58" t="str"><v>Apps & Infra</v></cell><cell r="T58" t="str"><v>Developers & ITI's</v></cell><cell r="U58" t="str"><v>ITPros-Azure Direct-Sponsored Post_Trial_PayGo-Video Ad-Free Account IT Pro - Secure</v></cell><cell r="V58" t="str"><v>Lookalike Targeting</v></cell><cell r="W58" t="str"><v>Video Ad</v></cell><cell r="X58" t="str"><v>1200x1200</v></cell><cell r="Y58" t="str"><v>Learn More</v></cell><cell r="Z58" t="str"><v>Standard videos</v></cell><cell r="AA58"><v>43352</v></cell><cell r="AB58" t="str"><v>FRA_gaPMG_AZR_AZR_Q1_19_AzureDirect-Trial-Social</v></cell><cell r="AC58"><v>21356941</v></cell><cell r="AD58"><v>720193</v></cell><cell r="AE58" t="str"><v>Facebook</v></cell><cell r="AF58"><v>3654128</v></cell><cell r="AG58" t="str"><v>Facebook»ITPros-Azure Direct-Sponsored Post_Trial_PayGo-Video Ad-Free Account IT Pro - Secure»1x1»30s»SOC»ALL»CPC»LAL»D»UNK»SS»NA»Trials</v></cell><cell r="AH58"><v>226359941</v></cell><cell r="AI58" t="str"><v>AZR_FreeAcctITProFB-AnimatedSecureMngd-Ch1_FRA_1200x1200_VIA_AZRDirect_French_NA_Facebook_STAN_LEA_T1_1</v></cell><cell r="AJ58"><v>104455906</v></cell></row><row r="59"><cell r="D59" t="str"><v>43352224399962</v></cell><cell r="E59" t="str"><v>43352103235146Motion</v></cell><cell r="F59" t="str"><v>DCM</v></cell></row><row r="59"><cell r="H59"><v>0</v></cell><cell r="I59" t="str"><v>Azure Direct</v></cell><cell r="J59" t="str"><v>Azure Direct</v></cell><cell r="K59" t="str"><v>September</v></cell><cell r="L59"><v>43358</v></cell><cell r="M59" t="str"><v>Tier 1</v></cell><cell r="N59" t="str"><v>EMEA</v></cell><cell r="O59" t="str"><v>United Kingdom</v></cell><cell r="P59" t="str"><v>Trial</v></cell><cell r="Q59" t="str"><v>Social</v></cell><cell r="R59" t="str"><v>Azure</v></cell><cell r="S59" t="str"><v>Apps & Infra</v></cell><cell r="T59" t="str"><v>Developers & ITI's</v></cell><cell r="U59" t="str"><v>Audience & Interest Targeting</v></cell><cell r="V59" t="str"><v>Audience Targeting</v></cell><cell r="W59" t="str"><v>Link Ad</v></cell><cell r="X59" t="str"><v>1080x143</v></cell><cell r="Y59" t="str"><v>Not Applicable </v></cell><cell r="Z59" t="str"><v>Not Applicable</v></cell><cell r="AA59"><v>43352</v></cell><cell r="AB59" t="str"><v>GBR_gaPMG_CE_AZR_Q1_19_Trial-Social</v></cell><cell r="AC59"><v>21337013</v></cell><cell r="AD59"><v>720196</v></cell><cell r="AE59" t="str"><v>Facebook</v></cell><cell r="AF59"><v>3654128</v></cell><cell r="AG59" t="str"><v>Facebook»Audience & Interest Targeting»1x1»SocialBan»LIA»DT»CPC»AUT»W»NA»SS»NA»Basic Motion</v></cell><cell r="AH59"><v>224399962</v></cell><cell r="AI59" t="str"><v>AzurePlatform_FBCTCcanvaspage-StartFreeCTA-Img2_GBR_1080x143 _SOC_Plat_English_NA_Standard_NA_NA_T2_1</v></cell><cell r="AJ59"><v>103235146</v></cell></row><row r="60"><cell r="D60" t="str"><v>43352224334170</v></cell><cell r="E60" t="str"><v>43352103235146Motion</v></cell><cell r="F60" t="str"><v>DCM</v></cell></row><row r="60"><cell r="H60"><v>0</v></cell><cell r="I60" t="str"><v>Azure Direct</v></cell><cell r="J60" t="str"><v>Azure Direct</v></cell><cell r="K60" t="str"><v>September</v></cell><cell r="L60"><v>43358</v></cell><cell r="M60" t="str"><v>Tier 1</v></cell><cell r="N60" t="str"><v>EMEA</v></cell><cell r="O60" t="str"><v>United Kingdom</v></cell><cell r="P60" t="str"><v>Trial</v></cell><cell r="Q60" t="str"><v>Social</v></cell><cell r="R60" t="str"><v>Azure</v></cell><cell r="S60" t="str"><v>Apps & Infra</v></cell><cell r="T60" t="str"><v>Developers & ITI's</v></cell><cell r="U60" t="str"><v>Audience & Interest Targeting</v></cell><cell r="V60" t="str"><v>Audience Targeting</v></cell><cell r="W60" t="str"><v>Link Ad</v></cell><cell r="X60" t="str"><v>1080x143</v></cell><cell r="Y60" t="str"><v>Not Applicable </v></cell><cell r="Z60" t="str"><v>Not Applicable</v></cell><cell r="AA60"><v>43352</v></cell><cell r="AB60" t="str"><v>GBR_gaPMG_CE_AZR_Q1_19_Trial-Social</v></cell><cell r="AC60"><v>21337013</v></cell><cell r="AD60"><v>720196</v></cell><cell r="AE60" t="str"><v>Facebook</v></cell><cell r="AF60"><v>3654128</v></cell><cell r="AG60" t="str"><v>Facebook»Audience & Interest Targeting»1x1»SocialBan»LIA»DT»CPC»AUT»W»NA»SS»NA»Benefit 2 in Motion</v></cell><cell r="AH60"><v>224334170</v></cell><cell r="AI60" t="str"><v>AzurePlatform_FBCTCcanvaspage-StartFreeCTA-Img2_GBR_1080x143 _SOC_Plat_English_NA_Standard_NA_NA_T2_1</v></cell><cell r="AJ60"><v>103235146</v></cell></row><row r="61"><cell r="D61" t="str"><v>43352224334170</v></cell><cell r="E61" t="str"><v>43352103230847Motion</v></cell><cell r="F61" t="str"><v>DCM</v></cell></row><row r="61"><cell r="H61"><v>1</v></cell><cell r="I61" t="str"><v>Azure Direct</v></cell><cell r="J61" t="str"><v>Azure Direct</v></cell><cell r="K61" t="str"><v>September</v></cell><cell r="L61"><v>43358</v></cell><cell r="M61" t="str"><v>Tier 1</v></cell><cell r="N61" t="str"><v>EMEA</v></cell><cell r="O61" t="str"><v>United Kingdom</v></cell><cell r="P61" t="str"><v>Trial</v></cell><cell r="Q61" t="str"><v>Social</v></cell><cell r="R61" t="str"><v>Azure</v></cell><cell r="S61" t="str"><v>Apps & Infra</v></cell><cell r="T61" t="str"><v>Developers & ITI's</v></cell><cell r="U61" t="str"><v>Audience & Interest Targeting</v></cell><cell r="V61" t="str"><v>Audience Targeting</v></cell><cell r="W61" t="str"><v>Link Ad</v></cell><cell r="X61" t="str"><v>1080x162</v></cell><cell r="Y61" t="str"><v>Buy Now</v></cell><cell r="Z61" t="str"><v>Not Applicable</v></cell><cell r="AA61"><v>43352</v></cell><cell r="AB61" t="str"><v>GBR_gaPMG_CE_AZR_Q1_19_Trial-Social</v></cell><cell r="AC61"><v>21337013</v></cell><cell r="AD61"><v>720196</v></cell><cell r="AE61" t="str"><v>Facebook</v></cell><cell r="AF61"><v>3654128</v></cell><cell r="AG61" t="str"><v>Facebook»Audience & Interest Targeting»1x1»SocialBan»LIA»DT»CPC»AUT»W»NA»SS»NA»Benefit 2 in Motion</v></cell><cell r="AH61"><v>224334170</v></cell><cell r="AI61" t="str"><v>AzurePlatform_FBCTCcanvaspage-BuyNowCTA-Img3_GBR_1080x162_SOC_Plat_English_NA_Standard_NA_BN_T3_1</v></cell><cell r="AJ61"><v>103230847</v></cell></row><row r="62"><cell r="D62" t="str"><v>43352223560299</v></cell><cell r="E62" t="str"><v>43352102854019ed ChC</v></cell><cell r="F62" t="str"><v>DCM</v></cell></row><row r="62"><cell r="H62"><v>2</v></cell><cell r="I62" t="str"><v>Azure Direct</v></cell><cell r="J62" t="str"><v>Azure Direct</v></cell><cell r="K62" t="str"><v>September</v></cell><cell r="L62"><v>43358</v></cell><cell r="M62" t="str"><v>Tier 1</v></cell><cell r="N62" t="str"><v>EMEA</v></cell><cell r="O62" t="str"><v>United Kingdom</v></cell><cell r="P62" t="str"><v>Trial</v></cell><cell r="Q62" t="str"><v>Social</v></cell><cell r="R62" t="str"><v>Azure</v></cell><cell r="S62" t="str"><v>Apps & Infra</v></cell><cell r="T62" t="str"><v>Developers & ITI's</v></cell><cell r="U62" t="str"><v>Retargeting</v></cell><cell r="V62" t="str"><v>Retargeting</v></cell><cell r="W62" t="str"><v>Link Ad</v></cell><cell r="X62" t="str"><v>1200x628</v></cell></row><row r="62"><cell r="Z62" t="str"><v>Animated Banner</v></cell><cell r="AA62"><v>43352</v></cell><cell r="AB62" t="str"><v>GBR_gaPMG_CE_AZR_Q1_19_Trial-Social</v></cell><cell r="AC62"><v>21337013</v></cell><cell r="AD62"><v>720196</v></cell><cell r="AE62" t="str"><v>Facebook</v></cell><cell r="AF62"><v>3654128</v></cell><cell r="AG62" t="str"><v>Facebook»Retargeting»1x1»SocialBan»LIA»DT»DYN»RT»W»NA»SS»NA»Free Account Retargeting Generic- Animated ChC</v></cell><cell r="AH62"><v>223560299</v></cell><cell r="AI62" t="str"><v>AzurePlatform_FreeAcctRetargetingFB-Animated-ChC_GBR_1200x628_SOC_Plat_EN_Free Account_Standard_ANI_SU_T3_1</v></cell><cell r="AJ62"><v>102854019</v></cell></row><row r="63"><cell r="D63" t="str"><v>43352223560356</v></cell><cell r="E63" t="str"><v>43352102854016lt ChB</v></cell><cell r="F63" t="str"><v>DCM</v></cell></row><row r="63"><cell r="H63"><v>0</v></cell><cell r="I63" t="str"><v>Azure Direct</v></cell><cell r="J63" t="str"><v>Azure Direct</v></cell><cell r="K63" t="str"><v>September</v></cell><cell r="L63"><v>43358</v></cell><cell r="M63" t="str"><v>Tier 1</v></cell><cell r="N63" t="str"><v>EMEA</v></cell><cell r="O63" t="str"><v>United Kingdom</v></cell><cell r="P63" t="str"><v>Trial</v></cell><cell r="Q63" t="str"><v>Social</v></cell><cell r="R63" t="str"><v>Azure</v></cell><cell r="S63" t="str"><v>Apps & Infra</v></cell><cell r="T63" t="str"><v>Developers & ITI's</v></cell><cell r="U63" t="str"><v>Retargeting</v></cell><cell r="V63" t="str"><v>Retargeting</v></cell><cell r="W63" t="str"><v>Link Ad</v></cell><cell r="X63" t="str"><v>1200x628</v></cell></row><row r="63"><cell r="Z63" t="str"><v>Not Applicable</v></cell><cell r="AA63"><v>43352</v></cell><cell r="AB63" t="str"><v>GBR_gaPMG_CE_AZR_Q1_19_Trial-Social</v></cell><cell r="AC63"><v>21337013</v></cell><cell r="AD63"><v>720196</v></cell><cell r="AE63" t="str"><v>Facebook</v></cell><cell r="AF63"><v>3654128</v></cell><cell r="AG63" t="str"><v>Facebook»Retargeting»1x1»SocialBan»LIA»DT»DYN»RT»W»NA»SS»NA»Free Account Retargeting Generic- Global Alt ChB</v></cell><cell r="AH63"><v>223560356</v></cell><cell r="AI63" t="str"><v>AzurePlatform_FreeAcctRetargetingFB-GlobalAlt-ChB_GBR_1200x628_SOC_Plat_EN_Free Account_Standard_NA_SU_T2_1</v></cell><cell r="AJ63"><v>102854016</v></cell></row><row r="64"><cell r="D64" t="str"><v>43352223560350</v></cell><cell r="E64" t="str"><v>43352103006547os ChG</v></cell><cell r="F64" t="str"><v>DCM</v></cell></row><row r="64"><cell r="H64"><v>0</v></cell><cell r="I64" t="str"><v>Azure Direct</v></cell><cell r="J64" t="str"><v>Azure Direct</v></cell><cell r="K64" t="str"><v>September</v></cell><cell r="L64"><v>43358</v></cell><cell r="M64" t="str"><v>Tier 1</v></cell><cell r="N64" t="str"><v>EMEA</v></cell><cell r="O64" t="str"><v>United Kingdom</v></cell><cell r="P64" t="str"><v>Trial</v></cell><cell r="Q64" t="str"><v>Social</v></cell><cell r="R64" t="str"><v>Azure</v></cell><cell r="S64" t="str"><v>Apps & Infra</v></cell><cell r="T64" t="str"><v>Developers & ITI's</v></cell><cell r="U64" t="str"><v>Retargeting</v></cell><cell r="V64" t="str"><v>Retargeting</v></cell><cell r="W64" t="str"><v>Link Ad</v></cell><cell r="X64" t="str"><v>1200x628</v></cell></row><row r="64"><cell r="Z64" t="str"><v>Not Applicable</v></cell><cell r="AA64"><v>43352</v></cell><cell r="AB64" t="str"><v>GBR_gaPMG_CE_AZR_Q1_19_Trial-Social</v></cell><cell r="AC64"><v>21337013</v></cell><cell r="AD64"><v>720196</v></cell><cell r="AE64" t="str"><v>Facebook</v></cell><cell r="AF64"><v>3654128</v></cell><cell r="AG64" t="str"><v>Facebook»Retargeting»1x1»SocialBan»LIA»DT»DYN»RT»W»NA»SS»NA»Free Account Retargeting OSS- Logos ChG</v></cell><cell r="AH64"><v>223560350</v></cell><cell r="AI64" t="str"><v>AzurePlatform_FreeAcctRetargetingOSSFB-Logos-ChG_GBR_1200x628_SOC_Plat_EN_Free Account_Standard_NA_SU_T2_1</v></cell><cell r="AJ64"><v>103006547</v></cell></row><row r="65"><cell r="D65" t="str"><v>43352223560344</v></cell><cell r="E65" t="str"><v>43352102861246xt ChF</v></cell><cell r="F65" t="str"><v>DCM</v></cell></row><row r="65"><cell r="H65"><v>1</v></cell><cell r="I65" t="str"><v>Azure Direct</v></cell><cell r="J65" t="str"><v>Azure Direct</v></cell><cell r="K65" t="str"><v>September</v></cell><cell r="L65"><v>43358</v></cell><cell r="M65" t="str"><v>Tier 1</v></cell><cell r="N65" t="str"><v>EMEA</v></cell><cell r="O65" t="str"><v>United Kingdom</v></cell><cell r="P65" t="str"><v>Trial</v></cell><cell r="Q65" t="str"><v>Social</v></cell><cell r="R65" t="str"><v>Azure</v></cell><cell r="S65" t="str"><v>Apps & Infra</v></cell><cell r="T65" t="str"><v>Developers & ITI's</v></cell><cell r="U65" t="str"><v>Retargeting</v></cell><cell r="V65" t="str"><v>Retargeting</v></cell><cell r="W65" t="str"><v>Link Ad</v></cell><cell r="X65" t="str"><v>1200x628</v></cell></row><row r="65"><cell r="Z65" t="str"><v>Not Applicable</v></cell><cell r="AA65"><v>43352</v></cell><cell r="AB65" t="str"><v>GBR_gaPMG_CE_AZR_Q1_19_Trial-Social</v></cell><cell r="AC65"><v>21337013</v></cell><cell r="AD65"><v>720196</v></cell><cell r="AE65" t="str"><v>Facebook</v></cell><cell r="AF65"><v>3654128</v></cell><cell r="AG65" t="str"><v>Facebook»Retargeting»1x1»SocialBan»LIA»DT»DYN»RT»W»NA»SS»NA»Free Account Retargeting OSS- Text ChF</v></cell><cell r="AH65"><v>223560344</v></cell><cell r="AI65" t="str"><v>AzurePlatform_FreeAcctRetargetingOSSFB-Text-ChF_GBR_1200x628_SOC_Plat_EN_Free Account_Standard_NA_SU_T1_1</v></cell><cell r="AJ65"><v>102861246</v></cell></row><row r="66"><cell r="D66" t="str"><v>43352223560338</v></cell><cell r="E66" t="str"><v>43352102853603rs ChD</v></cell><cell r="F66" t="str"><v>DCM</v></cell></row><row r="66"><cell r="H66"><v>0</v></cell><cell r="I66" t="str"><v>Azure Direct</v></cell><cell r="J66" t="str"><v>Azure Direct</v></cell><cell r="K66" t="str"><v>September</v></cell><cell r="L66"><v>43358</v></cell><cell r="M66" t="str"><v>Tier 1</v></cell><cell r="N66" t="str"><v>EMEA</v></cell><cell r="O66" t="str"><v>United Kingdom</v></cell><cell r="P66" t="str"><v>Trial</v></cell><cell r="Q66" t="str"><v>Social</v></cell><cell r="R66" t="str"><v>Azure</v></cell><cell r="S66" t="str"><v>Apps & Infra</v></cell><cell r="T66" t="str"><v>Developers & ITI's</v></cell><cell r="U66" t="str"><v>Retargeting</v></cell><cell r="V66" t="str"><v>Retargeting</v></cell><cell r="W66" t="str"><v>Link Ad</v></cell><cell r="X66" t="str"><v>1200x628</v></cell></row><row r="66"><cell r="Z66" t="str"><v>Not Applicable</v></cell><cell r="AA66"><v>43352</v></cell><cell r="AB66" t="str"><v>GBR_gaPMG_CE_AZR_Q1_19_Trial-Social</v></cell><cell r="AC66"><v>21337013</v></cell><cell r="AD66"><v>720196</v></cell><cell r="AE66" t="str"><v>Facebook</v></cell><cell r="AF66"><v>3654128</v></cell><cell r="AG66" t="str"><v>Facebook»Retargeting»1x1»SocialBan»LIA»DT»DYN»RT»W»NA»SS»NA»Free Account Retargeting VM- 750 Hrs ChD</v></cell><cell r="AH66"><v>223560338</v></cell><cell r="AI66" t="str"><v>AzurePlatform_FreeAcctRetargetingVMFB-750Hrs-ChD_GBR_1200x628_SOC_Plat_EN_Free Account_Standard_NA_SU_T1_1</v></cell><cell r="AJ66"><v>102853603</v></cell></row><row r="67"><cell r="D67" t="str"><v>43352223560332</v></cell><cell r="E67" t="str"><v>43352102854037nd ChE</v></cell><cell r="F67" t="str"><v>DCM</v></cell></row><row r="67"><cell r="H67"><v>1</v></cell><cell r="I67" t="str"><v>Azure Direct</v></cell><cell r="J67" t="str"><v>Azure Direct</v></cell><cell r="K67" t="str"><v>September</v></cell><cell r="L67"><v>43358</v></cell><cell r="M67" t="str"><v>Tier 1</v></cell><cell r="N67" t="str"><v>EMEA</v></cell><cell r="O67" t="str"><v>United Kingdom</v></cell><cell r="P67" t="str"><v>Trial</v></cell><cell r="Q67" t="str"><v>Social</v></cell><cell r="R67" t="str"><v>Azure</v></cell><cell r="S67" t="str"><v>Apps & Infra</v></cell><cell r="T67" t="str"><v>Developers & ITI's</v></cell><cell r="U67" t="str"><v>Retargeting</v></cell><cell r="V67" t="str"><v>Retargeting</v></cell><cell r="W67" t="str"><v>Link Ad</v></cell><cell r="X67" t="str"><v>1200x628</v></cell></row><row r="67"><cell r="Z67" t="str"><v>Not Applicable</v></cell><cell r="AA67"><v>43352</v></cell><cell r="AB67" t="str"><v>GBR_gaPMG_CE_AZR_Q1_19_Trial-Social</v></cell><cell r="AC67"><v>21337013</v></cell><cell r="AD67"><v>720196</v></cell><cell r="AE67" t="str"><v>Facebook</v></cell><cell r="AF67"><v>3654128</v></cell><cell r="AG67" t="str"><v>Facebook»Retargeting»1x1»SocialBan»LIA»DT»DYN»RT»W»NA»SS»NA»Free Account Retargeting VM- On Demand ChE</v></cell><cell r="AH67"><v>223560332</v></cell><cell r="AI67" t="str"><v>AzurePlatform_FreeAcctRetargetingVMFB-OnDemand-ChE_GBR_1200x628_SOC_Plat_EN_Free Account_Standard_NA_SU_T2_1</v></cell><cell r="AJ67"><v>102854037</v></cell></row><row r="68"><cell r="D68" t="str"><v>43352223298805</v></cell><cell r="E68" t="str"><v>43352102630373-Trial</v></cell><cell r="F68" t="str"><v>DCM</v></cell></row><row r="68"><cell r="H68"><v>2</v></cell><cell r="I68" t="str"><v>Azure Direct</v></cell><cell r="J68" t="str"><v>Azure Direct</v></cell><cell r="K68" t="str"><v>September</v></cell><cell r="L68"><v>43358</v></cell><cell r="M68" t="str"><v>Tier 1</v></cell><cell r="N68" t="str"><v>APAC</v></cell><cell r="O68" t="str"><v>Japan</v></cell><cell r="P68" t="str"><v>Trial</v></cell><cell r="Q68" t="str"><v>Social</v></cell><cell r="R68" t="str"><v>Azure</v></cell><cell r="S68" t="str"><v>Apps & Infra</v></cell><cell r="T68" t="str"><v>Developers & ITI's</v></cell><cell r="U68" t="str"><v>AZP-Canvas-Interest&Role-Trial</v></cell><cell r="V68" t="str"><v>Prospecting</v></cell><cell r="W68" t="str"><v>Canvas Ad</v></cell><cell r="X68" t="str"><v>1080x162</v></cell><cell r="Y68" t="str"><v>Buy Now</v></cell><cell r="Z68" t="str"><v>Not Applicable</v></cell><cell r="AA68"><v>43352</v></cell><cell r="AB68" t="str"><v>JPN_gaPMG_AZR_AZR_Q1_19_Trial-Social</v></cell><cell r="AC68"><v>21276694</v></cell><cell r="AD68"><v>720195</v></cell><cell r="AE68" t="str"><v>Facebook</v></cell><cell r="AF68"><v>3654128</v></cell><cell r="AG68" t="str"><v>Facebook»AZP-Canvas-Interest&Role-Trial»1x1»Canvas»OTH»MO»CPM»PRO»X»UNK»TP»OT»Canvas-Trial</v></cell><cell r="AH68"><v>223298805</v></cell><cell r="AI68" t="str"><v>AzurePlatform_FBCTCcanvaspage-BuyNowCTA-Img3_JPN_1080x162_SOC_Plat_Japanese_NA_Standard_NA_BN_T3_1</v></cell><cell r="AJ68"><v>102630373</v></cell></row><row r="69"><cell r="D69" t="str"><v>43352223298805</v></cell><cell r="E69" t="str"><v>43352102609621-Trial</v></cell><cell r="F69" t="str"><v>DCM</v></cell></row><row r="69"><cell r="H69"><v>0</v></cell><cell r="I69" t="str"><v>Azure Direct</v></cell><cell r="J69" t="str"><v>Azure Direct</v></cell><cell r="K69" t="str"><v>September</v></cell><cell r="L69"><v>43358</v></cell><cell r="M69" t="str"><v>Tier 1</v></cell><cell r="N69" t="str"><v>APAC</v></cell><cell r="O69" t="str"><v>Japan</v></cell><cell r="P69" t="str"><v>Trial</v></cell><cell r="Q69" t="str"><v>Social</v></cell><cell r="R69" t="str"><v>Azure</v></cell><cell r="S69" t="str"><v>Apps & Infra</v></cell><cell r="T69" t="str"><v>Developers & ITI's</v></cell><cell r="U69" t="str"><v>AZP-Canvas-Interest&Role-Trial</v></cell><cell r="V69" t="str"><v>Prospecting</v></cell><cell r="W69" t="str"><v>Canvas Ad</v></cell><cell r="X69" t="str"><v>1080x143</v></cell><cell r="Y69" t="str"><v>Not Applicable </v></cell><cell r="Z69" t="str"><v>Not Applicable</v></cell><cell r="AA69"><v>43352</v></cell><cell r="AB69" t="str"><v>JPN_gaPMG_AZR_AZR_Q1_19_Trial-Social</v></cell><cell r="AC69"><v>21276694</v></cell><cell r="AD69"><v>720195</v></cell><cell r="AE69" t="str"><v>Facebook</v></cell><cell r="AF69"><v>3654128</v></cell><cell r="AG69" t="str"><v>Facebook»AZP-Canvas-Interest&Role-Trial»1x1»Canvas»OTH»MO»CPM»PRO»X»UNK»TP»OT»Canvas-Trial</v></cell><cell r="AH69"><v>223298805</v></cell><cell r="AI69" t="str"><v>AzurePlatform_FBCTCcanvaspage-StartFreeCTA-Img2_JPN_1080x143 _SOC_Plat_Japanese_NA_Standard_NA_NA_T2_1</v></cell><cell r="AJ69"><v>102609621</v></cell></row><row r="70"><cell r="D70" t="str"><v>43352226269941</v></cell><cell r="E70" t="str"><v>43352104061321-Trial</v></cell><cell r="F70" t="str"><v>DCM</v></cell></row><row r="70"><cell r="H70"><v>0</v></cell><cell r="I70" t="str"><v>Azure Direct</v></cell><cell r="J70" t="str"><v>Azure Direct</v></cell><cell r="K70" t="str"><v>September</v></cell><cell r="L70"><v>43358</v></cell><cell r="M70" t="str"><v>Tier 1</v></cell><cell r="N70" t="str"><v>APAC</v></cell><cell r="O70" t="str"><v>Japan</v></cell><cell r="P70" t="str"><v>Trial</v></cell><cell r="Q70" t="str"><v>Social</v></cell><cell r="R70" t="str"><v>Azure</v></cell><cell r="S70" t="str"><v>Apps & Infra</v></cell><cell r="T70" t="str"><v>Developers & ITI's</v></cell><cell r="U70" t="str"><v>AZP-Canvas-Retargeting-Trial</v></cell><cell r="V70" t="str"><v>Prospecting</v></cell><cell r="W70" t="str"><v>Canvas Ad</v></cell><cell r="X70" t="str"><v>1080x143</v></cell><cell r="Y70" t="str"><v>Not Applicable </v></cell><cell r="Z70" t="str"><v>Not Applicable</v></cell><cell r="AA70"><v>43352</v></cell><cell r="AB70" t="str"><v>JPN_gaPMG_AZR_AZR_Q1_19_Trial-Social</v></cell><cell r="AC70"><v>21276694</v></cell><cell r="AD70"><v>720195</v></cell><cell r="AE70" t="str"><v>Facebook</v></cell><cell r="AF70"><v>3654128</v></cell><cell r="AG70" t="str"><v>Facebook»AZP-Canvas-Retargeting-Trial»1x1»Canvas»SOC»MO»CPM»PRO»W»UNK»SS»OT»Canvas-Trial</v></cell><cell r="AH70"><v>226269941</v></cell><cell r="AI70" t="str"><v>AZR_FBCTCcanvaspage-StartFreeCTA-Img2_JPN_1080x143 _SOC_Plat_Japanese_NA_Standard_NA_NA_T2_1</v></cell><cell r="AJ70"><v>104061321</v></cell></row><row r="71"><cell r="D71" t="str"><v>43352227208508</v></cell><cell r="E71" t="str"><v>43352102609621-Trial</v></cell><cell r="F71" t="str"><v>DCM</v></cell></row><row r="71"><cell r="H71"><v>0</v></cell><cell r="I71" t="str"><v>Azure Direct</v></cell><cell r="J71" t="str"><v>Azure Direct</v></cell><cell r="K71" t="str"><v>September</v></cell><cell r="L71"><v>43358</v></cell><cell r="M71" t="str"><v>Tier 1</v></cell><cell r="N71" t="str"><v>APAC</v></cell><cell r="O71" t="str"><v>Japan</v></cell><cell r="P71" t="str"><v>Trial</v></cell><cell r="Q71" t="str"><v>Social</v></cell><cell r="R71" t="str"><v>Azure</v></cell><cell r="S71" t="str"><v>Apps & Infra</v></cell><cell r="T71" t="str"><v>Developers & ITI's</v></cell><cell r="U71" t="str"><v>AZP-Canvas-iine-Trial</v></cell><cell r="V71" t="str"><v>Audience Targeting</v></cell><cell r="W71" t="str"><v>Canvas Ad</v></cell><cell r="X71" t="str"><v>1080x143</v></cell><cell r="Y71" t="str"><v>Not Applicable </v></cell><cell r="Z71" t="str"><v>Not Applicable</v></cell><cell r="AA71"><v>43352</v></cell><cell r="AB71" t="str"><v>JPN_gaPMG_AZR_AZR_Q1_19_Trial-Social</v></cell><cell r="AC71"><v>21276694</v></cell><cell r="AD71"><v>720195</v></cell><cell r="AE71" t="str"><v>Facebook</v></cell><cell r="AF71"><v>3654128</v></cell><cell r="AG71" t="str"><v>Facebook»AZP-Canvas-iine-Trial»1x1»Canvas»SOC»MO»CPM»AUT»W»NA»SS»NA»Canvas-Trial</v></cell><cell r="AH71"><v>227208508</v></cell><cell r="AI71" t="str"><v>AzurePlatform_FBCTCcanvaspage-StartFreeCTA-Img2_JPN_1080x143 _SOC_Plat_Japanese_NA_Standard_NA_NA_T2_1</v></cell><cell r="AJ71"><v>102609621</v></cell></row><row r="72"><cell r="D72" t="str"><v>43352223933138</v></cell><cell r="E72" t="str"><v>43352103043835PRC1SW</v></cell><cell r="F72" t="str"><v>DCM</v></cell></row><row r="72"><cell r="H72"><v>1</v></cell><cell r="I72" t="str"><v>Azure Direct</v></cell><cell r="J72" t="str"><v>Azure Direct</v></cell><cell r="K72" t="str"><v>September</v></cell><cell r="L72"><v>43358</v></cell><cell r="M72" t="str"><v>Tier 0</v></cell><cell r="N72" t="str"><v>North America</v></cell><cell r="O72" t="str"><v>United States</v></cell><cell r="P72" t="str"><v>Trial</v></cell><cell r="Q72" t="str"><v>Social</v></cell><cell r="R72" t="str"><v>Azure</v></cell><cell r="S72" t="str"><v>Apps & Infra</v></cell><cell r="T72" t="str"><v>Developers & ITI's</v></cell><cell r="U72" t="str"><v>USA-Trial-ITD-Interest Prospecting-AZR-AZR</v></cell><cell r="V72" t="str"><v>Prospecting</v></cell><cell r="W72" t="str"><v>Canvas Ad</v></cell><cell r="X72" t="str"><v>10s</v></cell><cell r="Y72" t="str"><v>Try it Now</v></cell><cell r="Z72" t="str"><v>Standard videos</v></cell><cell r="AA72"><v>43352</v></cell><cell r="AB72" t="str"><v>USA_gaPMG_AZR_AZR_Q1_19_Direct-Social</v></cell><cell r="AC72"><v>21358715</v></cell><cell r="AD72"><v>720197</v></cell><cell r="AE72" t="str"><v>Facebook</v></cell><cell r="AF72"><v>3654128</v></cell><cell r="AG72" t="str"><v>FACEBOOK»USA-Trial-ITD-Interest Prospecting-AZR-AZR»1 x 1»SocialBan»CAN»ALL»CPA»PRO»X»NA»SS»NA»FBCTCBenefit2inMotion»PRC1SW</v></cell><cell r="AH72"><v>223933138</v></cell><cell r="AI72" t="str"><v>AzurePlatform_FBCTCBenefit2inMotion_USA_10s_CAN_PLATFORM_English_Trial_Standard_STAN_TIN_T4_1</v></cell><cell r="AJ72"><v>103043835</v></cell></row><row r="73"><cell r="D73" t="str"><v>43352223933138</v></cell><cell r="E73" t="str"><v>43352103178645PRC1SW</v></cell><cell r="F73" t="str"><v>DCM</v></cell></row><row r="73"><cell r="H73"><v>2</v></cell><cell r="I73" t="str"><v>Azure Direct</v></cell><cell r="J73" t="str"><v>Azure Direct</v></cell><cell r="K73" t="str"><v>September</v></cell><cell r="L73"><v>43358</v></cell><cell r="M73" t="str"><v>Tier 0</v></cell><cell r="N73" t="str"><v>North America</v></cell><cell r="O73" t="str"><v>United States</v></cell><cell r="P73" t="str"><v>Trial</v></cell><cell r="Q73" t="str"><v>Social</v></cell><cell r="R73" t="str"><v>Azure</v></cell><cell r="S73" t="str"><v>Apps & Infra</v></cell><cell r="T73" t="str"><v>Developers & ITI's</v></cell><cell r="U73" t="str"><v>USA-Trial-ITD-Interest Prospecting-AZR-AZR</v></cell><cell r="V73" t="str"><v>Prospecting</v></cell><cell r="W73" t="str"><v>Canvas Ad</v></cell><cell r="X73" t="str"><v>10s</v></cell><cell r="Y73" t="str"><v>Try it Now</v></cell><cell r="Z73" t="str"><v>Standard videos</v></cell><cell r="AA73"><v>43352</v></cell><cell r="AB73" t="str"><v>USA_gaPMG_AZR_AZR_Q1_19_Direct-Social</v></cell><cell r="AC73"><v>21358715</v></cell><cell r="AD73"><v>720197</v></cell><cell r="AE73" t="str"><v>Facebook</v></cell><cell r="AF73"><v>3654128</v></cell><cell r="AG73" t="str"><v>FACEBOOK»USA-Trial-ITD-Interest Prospecting-AZR-AZR»1 x 1»SocialBan»CAN»ALL»CPA»PRO»X»NA»SS»NA»FBCTCBenefit2inMotion»PRC1SW</v></cell><cell r="AH73"><v>223933138</v></cell><cell r="AI73" t="str"><v>AzurePlatform_FBCTCBenefit2inMotion_USA_10s_CAN_PLATFORM_English_Trial_Standard_STAN_TIN_T4_2</v></cell><cell r="AJ73"><v>103178645</v></cell></row><row r="74"><cell r="D74" t="str"><v>43352224104077</v></cell><cell r="E74" t="str"><v>43352103032775PRC1SX</v></cell><cell r="F74" t="str"><v>DCM</v></cell></row><row r="74"><cell r="H74"><v>0</v></cell><cell r="I74" t="str"><v>Azure Direct</v></cell><cell r="J74" t="str"><v>Azure Direct</v></cell><cell r="K74" t="str"><v>September</v></cell><cell r="L74"><v>43358</v></cell><cell r="M74" t="str"><v>Tier 0</v></cell><cell r="N74" t="str"><v>North America</v></cell><cell r="O74" t="str"><v>United States</v></cell><cell r="P74" t="str"><v>Trial</v></cell><cell r="Q74" t="str"><v>Social</v></cell><cell r="R74" t="str"><v>Azure</v></cell><cell r="S74" t="str"><v>Apps & Infra</v></cell><cell r="T74" t="str"><v>Developers & ITI's</v></cell><cell r="U74" t="str"><v>USA-Trial-ITD-Interest Prospecting-AZR-AZR</v></cell><cell r="V74" t="str"><v>Prospecting</v></cell><cell r="W74" t="str"><v>Canvas Ad</v></cell><cell r="X74" t="str"><v>10s</v></cell><cell r="Y74" t="str"><v>Try it Now</v></cell><cell r="Z74" t="str"><v>Standard videos</v></cell><cell r="AA74"><v>43352</v></cell><cell r="AB74" t="str"><v>USA_gaPMG_AZR_AZR_Q1_19_Direct-Social</v></cell><cell r="AC74"><v>21358715</v></cell><cell r="AD74"><v>720197</v></cell><cell r="AE74" t="str"><v>Facebook</v></cell><cell r="AF74"><v>3654128</v></cell><cell r="AG74" t="str"><v>FACEBOOK»USA-Trial-ITD-Interest Prospecting-AZR-AZR»1 x 1»SocialBan»CAN»ALL»CPA»PRO»X»NA»SS»NA»FBCTCBenefitinMotion»PRC1SX</v></cell><cell r="AH74"><v>224104077</v></cell><cell r="AI74" t="str"><v>AzurePlatform_FBCTCBenefitinMotion_USA_10s_CAN_PLATFORM_English_Trial_Standard_STAN_TIN_T3_1</v></cell><cell r="AJ74"><v>103032775</v></cell></row><row r="75"><cell r="D75" t="str"><v>43352224104929</v></cell><cell r="E75" t="str"><v>43352103176812PRC1SY</v></cell><cell r="F75" t="str"><v>DCM</v></cell></row><row r="75"><cell r="H75"><v>0</v></cell><cell r="I75" t="str"><v>Azure Direct</v></cell><cell r="J75" t="str"><v>Azure Direct</v></cell><cell r="K75" t="str"><v>September</v></cell><cell r="L75"><v>43358</v></cell><cell r="M75" t="str"><v>Tier 0</v></cell><cell r="N75" t="str"><v>North America</v></cell><cell r="O75" t="str"><v>United States</v></cell><cell r="P75" t="str"><v>Trial</v></cell><cell r="Q75" t="str"><v>Social</v></cell><cell r="R75" t="str"><v>Azure</v></cell><cell r="S75" t="str"><v>Apps & Infra</v></cell><cell r="T75" t="str"><v>Developers & ITI's</v></cell><cell r="U75" t="str"><v>USA-Trial-ITD-Interest Prospecting-AZR-AZR</v></cell><cell r="V75" t="str"><v>Prospecting</v></cell><cell r="W75" t="str"><v>Canvas Ad</v></cell><cell r="X75" t="str"><v>10s</v></cell><cell r="Y75" t="str"><v>Try it Now</v></cell><cell r="Z75" t="str"><v>Standard videos</v></cell><cell r="AA75"><v>43352</v></cell><cell r="AB75" t="str"><v>USA_gaPMG_AZR_AZR_Q1_19_Direct-Social</v></cell><cell r="AC75"><v>21358715</v></cell><cell r="AD75"><v>720197</v></cell><cell r="AE75" t="str"><v>Facebook</v></cell><cell r="AF75"><v>3654128</v></cell><cell r="AG75" t="str"><v>FACEBOOK»USA-Trial-ITD-Interest Prospecting-AZR-AZR»1 x 1»SocialBan»CAN»ALL»CPA»PRO»X»NA»SS»NA»FBCTCBrandinMotion»PRC1SY</v></cell><cell r="AH75"><v>224104929</v></cell><cell r="AI75" t="str"><v>AzurePlatform_FBCTCBrandinMotion_USA_10s_CAN_PLATFORM_English_Trial_Standard_STAN_TIN_T2_1</v></cell><cell r="AJ75"><v>103176812</v></cell></row><row r="76"><cell r="D76" t="str"><v>43352224104929</v></cell><cell r="E76" t="str"><v>43352103032823PRC1SY</v></cell><cell r="F76" t="str"><v>DCM</v></cell></row><row r="76"><cell r="H76"><v>1</v></cell><cell r="I76" t="str"><v>Azure Direct</v></cell><cell r="J76" t="str"><v>Azure Direct</v></cell><cell r="K76" t="str"><v>September</v></cell><cell r="L76"><v>43358</v></cell><cell r="M76" t="str"><v>Tier 0</v></cell><cell r="N76" t="str"><v>North America</v></cell><cell r="O76" t="str"><v>United States</v></cell><cell r="P76" t="str"><v>Trial</v></cell><cell r="Q76" t="str"><v>Social</v></cell><cell r="R76" t="str"><v>Azure</v></cell><cell r="S76" t="str"><v>Apps & Infra</v></cell><cell r="T76" t="str"><v>Developers & ITI's</v></cell><cell r="U76" t="str"><v>USA-Trial-ITD-Interest Prospecting-AZR-AZR</v></cell><cell r="V76" t="str"><v>Prospecting</v></cell><cell r="W76" t="str"><v>Canvas Ad</v></cell><cell r="X76" t="str"><v>10s</v></cell><cell r="Y76" t="str"><v>Try it Now</v></cell><cell r="Z76" t="str"><v>Standard videos</v></cell><cell r="AA76"><v>43352</v></cell><cell r="AB76" t="str"><v>USA_gaPMG_AZR_AZR_Q1_19_Direct-Social</v></cell><cell r="AC76"><v>21358715</v></cell><cell r="AD76"><v>720197</v></cell><cell r="AE76" t="str"><v>Facebook</v></cell><cell r="AF76"><v>3654128</v></cell><cell r="AG76" t="str"><v>FACEBOOK»USA-Trial-ITD-Interest Prospecting-AZR-AZR»1 x 1»SocialBan»CAN»ALL»CPA»PRO»X»NA»SS»NA»FBCTCBrandinMotion»PRC1SY</v></cell><cell r="AH76"><v>224104929</v></cell><cell r="AI76" t="str"><v>AzurePlatform_FBCTCBrandinMotion_USA_10s_CAN_PLATFORM_English_Trial_Standard_STAN_TIN_T2_2</v></cell><cell r="AJ76"><v>103032823</v></cell></row><row r="77"><cell r="D77" t="str"><v>43352226617664</v></cell><cell r="E77" t="str"><v>43352104595739PS78JC</v></cell><cell r="F77" t="str"><v>DCM</v></cell></row><row r="77"><cell r="H77"><v>0</v></cell><cell r="I77" t="str"><v>Azure Direct</v></cell><cell r="J77" t="str"><v>Azure Direct</v></cell><cell r="K77" t="str"><v>September</v></cell><cell r="L77"><v>43358</v></cell><cell r="M77" t="str"><v>Tier 0</v></cell><cell r="N77" t="str"><v>North America</v></cell><cell r="O77" t="str"><v>United States</v></cell><cell r="P77" t="str"><v>Trial</v></cell><cell r="Q77" t="str"><v>Social</v></cell><cell r="R77" t="str"><v>Azure</v></cell><cell r="S77" t="str"><v>Apps & Infra</v></cell><cell r="T77" t="str"><v>Developers & ITI's</v></cell><cell r="U77" t="str"><v>USA-Trial-ITD-Interest Prospecting-AZR-AZR</v></cell><cell r="V77" t="str"><v>Prospecting</v></cell><cell r="W77" t="str"><v>Canvas Ad</v></cell><cell r="X77" t="str"><v>1200x1200</v></cell><cell r="Y77" t="str"><v>Learn More</v></cell><cell r="Z77" t="str"><v>Animated Banner</v></cell><cell r="AA77"><v>43352</v></cell><cell r="AB77" t="str"><v>USA_gaPMG_AZR_AZR_Q1_19_Direct-Social</v></cell><cell r="AC77"><v>21358715</v></cell><cell r="AD77"><v>720197</v></cell><cell r="AE77" t="str"><v>Facebook</v></cell><cell r="AF77"><v>3654128</v></cell><cell r="AG77" t="str"><v>FACEBOOK»USA-Trial-ITD-Interest Prospecting-AZR-AZR»1 x 1»SocialBan»CAN»ALL»CPA»PRO»X»NA»SS»NA»FreeAcctDeveloperFB-AnimatedData-Ch4»PS78JC</v></cell><cell r="AH77"><v>226617664</v></cell><cell r="AI77" t="str"><v>AZR_FreeAcctDeveloperFB-AnimatedData-Ch4_USA_1200x1200_CAN_Direct_EN_Trial_Standard_ANI_LEA_T4_1</v></cell><cell r="AJ77"><v>104595739</v></cell></row><row r="78"><cell r="D78" t="str"><v>43352226617664</v></cell><cell r="E78" t="str"><v>43352104671403PS78JC</v></cell><cell r="F78" t="str"><v>DCM</v></cell></row><row r="78"><cell r="H78"><v>3</v></cell><cell r="I78" t="str"><v>Azure Direct</v></cell><cell r="J78" t="str"><v>Azure Direct</v></cell><cell r="K78" t="str"><v>September</v></cell><cell r="L78"><v>43358</v></cell><cell r="M78" t="str"><v>Tier 0</v></cell><cell r="N78" t="str"><v>North America</v></cell><cell r="O78" t="str"><v>United States</v></cell><cell r="P78" t="str"><v>Trial</v></cell><cell r="Q78" t="str"><v>Social</v></cell><cell r="R78" t="str"><v>Azure</v></cell><cell r="S78" t="str"><v>Apps & Infra</v></cell><cell r="T78" t="str"><v>Developers & ITI's</v></cell><cell r="U78" t="str"><v>USA-Trial-ITD-Interest Prospecting-AZR-AZR</v></cell><cell r="V78" t="str"><v>Prospecting</v></cell><cell r="W78" t="str"><v>Canvas Ad</v></cell><cell r="X78" t="str"><v>1200x1200</v></cell><cell r="Y78" t="str"><v>Learn More</v></cell><cell r="Z78" t="str"><v>Animated Banner</v></cell><cell r="AA78"><v>43352</v></cell><cell r="AB78" t="str"><v>USA_gaPMG_AZR_AZR_Q1_19_Direct-Social</v></cell><cell r="AC78"><v>21358715</v></cell><cell r="AD78"><v>720197</v></cell><cell r="AE78" t="str"><v>Facebook</v></cell><cell r="AF78"><v>3654128</v></cell><cell r="AG78" t="str"><v>FACEBOOK»USA-Trial-ITD-Interest Prospecting-AZR-AZR»1 x 1»SocialBan»CAN»ALL»CPA»PRO»X»NA»SS»NA»FreeAcctDeveloperFB-AnimatedData-Ch4»PS78JC</v></cell><cell r="AH78"><v>226617664</v></cell><cell r="AI78" t="str"><v>AZR_FreeAcctDeveloperFB-AnimatedData-Ch4_USA_1200x1200_CAN_Direct_EN_Trial_Standard_ANI_LEA_T4_2</v></cell><cell r="AJ78"><v>104671403</v></cell></row><row r="79"><cell r="D79" t="str"><v>43352226783992</v></cell><cell r="E79" t="str"><v>43352104592523PS78J5</v></cell><cell r="F79" t="str"><v>DCM</v></cell></row><row r="79"><cell r="H79"><v>9</v></cell><cell r="I79" t="str"><v>Azure Direct</v></cell><cell r="J79" t="str"><v>Azure Direct</v></cell><cell r="K79" t="str"><v>September</v></cell><cell r="L79"><v>43358</v></cell><cell r="M79" t="str"><v>Tier 0</v></cell><cell r="N79" t="str"><v>North America</v></cell><cell r="O79" t="str"><v>United States</v></cell><cell r="P79" t="str"><v>Trial</v></cell><cell r="Q79" t="str"><v>Social</v></cell><cell r="R79" t="str"><v>Azure</v></cell><cell r="S79" t="str"><v>Apps & Infra</v></cell><cell r="T79" t="str"><v>Developers & ITI's</v></cell><cell r="U79" t="str"><v>USA-Trial-ITD-Interest Prospecting-AZR-AZR</v></cell><cell r="V79" t="str"><v>Prospecting</v></cell><cell r="W79" t="str"><v>Canvas Ad</v></cell><cell r="X79" t="str"><v>1200x1200</v></cell><cell r="Y79" t="str"><v>Learn More</v></cell><cell r="Z79" t="str"><v>Animated Banner</v></cell><cell r="AA79"><v>43352</v></cell><cell r="AB79" t="str"><v>USA_gaPMG_AZR_AZR_Q1_19_Direct-Social</v></cell><cell r="AC79"><v>21358715</v></cell><cell r="AD79"><v>720197</v></cell><cell r="AE79" t="str"><v>Facebook</v></cell><cell r="AF79"><v>3654128</v></cell><cell r="AG79" t="str"><v>FACEBOOK»USA-Trial-ITD-Interest Prospecting-AZR-AZR»1 x 1»SocialBan»CAN»ALL»CPA»PRO»X»NA»SS»NA»FreeAcctDeveloperFB-AnimatedGeneric-Ch1»PS78J5</v></cell><cell r="AH79"><v>226783992</v></cell><cell r="AI79" t="str"><v>AZR_FreeAcctDeveloperFB-AnimatedGeneric-Ch1_USA_1200x1200_CAN_Direct_EN_Trial_Standard_ANI_LEA_T1_2</v></cell><cell r="AJ79"><v>104592523</v></cell></row><row r="80"><cell r="D80" t="str"><v>43352225283843</v></cell><cell r="E80" t="str"><v>43352103776921PRSGV0</v></cell><cell r="F80" t="str"><v>DCM</v></cell></row><row r="80"><cell r="H80"><v>2</v></cell><cell r="I80" t="str"><v>Azure Direct</v></cell><cell r="J80" t="str"><v>Azure Direct</v></cell><cell r="K80" t="str"><v>September</v></cell><cell r="L80"><v>43358</v></cell><cell r="M80" t="str"><v>Tier 0</v></cell><cell r="N80" t="str"><v>North America</v></cell><cell r="O80" t="str"><v>United States</v></cell><cell r="P80" t="str"><v>Trial</v></cell><cell r="Q80" t="str"><v>Social</v></cell><cell r="R80" t="str"><v>Azure</v></cell><cell r="S80" t="str"><v>Apps & Infra</v></cell><cell r="T80" t="str"><v>Developers & ITI's</v></cell><cell r="U80" t="str"><v>USA-Trial-ITD-Interest Prospecting-AZR-AZR</v></cell><cell r="V80" t="str"><v>Prospecting</v></cell><cell r="W80" t="str"><v>Canvas Collection Ad</v></cell><cell r="X80" t="str"><v>1200x182</v></cell><cell r="Y80" t="str"><v>Try it Now</v></cell><cell r="Z80" t="str"><v>Not Applicable</v></cell><cell r="AA80"><v>43352</v></cell><cell r="AB80" t="str"><v>USA_gaPMG_AZR_AZR_Q1_19_Direct-Social</v></cell><cell r="AC80"><v>21358715</v></cell><cell r="AD80"><v>720197</v></cell><cell r="AE80" t="str"><v>Facebook</v></cell><cell r="AF80"><v>3654128</v></cell><cell r="AG80" t="str"><v>FACEBOOK»USA-Trial-ITD-Interest Prospecting-AZR-AZR»1 x 1»SocialBan»CCA»ALL»CPA»PRO»X»NA»SS»NA»Azure Developer Facebook Collections»PRSGV0</v></cell><cell r="AH80"><v>225283843</v></cell><cell r="AI80" t="str"><v>AZR_FBCollections-FreeStuffTryAzureFreeCTA-Img5_USA_1200x182_SOC_Plat_EN_NA_Standard_NA_TIN_T1_5</v></cell><cell r="AJ80"><v>103776921</v></cell></row><row r="81"><cell r="D81" t="str"><v>43352225283843</v></cell><cell r="E81" t="str"><v>43352103873631PRSGV0</v></cell><cell r="F81" t="str"><v>DCM</v></cell></row><row r="81"><cell r="H81"><v>1</v></cell><cell r="I81" t="str"><v>Azure Direct</v></cell><cell r="J81" t="str"><v>Azure Direct</v></cell><cell r="K81" t="str"><v>September</v></cell><cell r="L81"><v>43358</v></cell><cell r="M81" t="str"><v>Tier 0</v></cell><cell r="N81" t="str"><v>North America</v></cell><cell r="O81" t="str"><v>United States</v></cell><cell r="P81" t="str"><v>Trial</v></cell><cell r="Q81" t="str"><v>Social</v></cell><cell r="R81" t="str"><v>Azure</v></cell><cell r="S81" t="str"><v>Apps & Infra</v></cell><cell r="T81" t="str"><v>Developers & ITI's</v></cell><cell r="U81" t="str"><v>USA-Trial-ITD-Interest Prospecting-AZR-AZR</v></cell><cell r="V81" t="str"><v>Prospecting</v></cell><cell r="W81" t="str"><v>Canvas Collection Ad</v></cell><cell r="X81" t="str"><v>1200x182</v></cell><cell r="Y81" t="str"><v>Try it Now</v></cell><cell r="Z81" t="str"><v>Not Applicable</v></cell><cell r="AA81"><v>43352</v></cell><cell r="AB81" t="str"><v>USA_gaPMG_AZR_AZR_Q1_19_Direct-Social</v></cell><cell r="AC81"><v>21358715</v></cell><cell r="AD81"><v>720197</v></cell><cell r="AE81" t="str"><v>Facebook</v></cell><cell r="AF81"><v>3654128</v></cell><cell r="AG81" t="str"><v>FACEBOOK»USA-Trial-ITD-Interest Prospecting-AZR-AZR»1 x 1»SocialBan»CCA»ALL»CPA»PRO»X»NA»SS»NA»Azure Developer Facebook Collections»PRSGV0</v></cell><cell r="AH81"><v>225283843</v></cell><cell r="AI81" t="str"><v>AZR_FBCollections-OSSTryAzureFreeCTA-Img3_USA_1200x182_SOC_Plat_EN_NA_Standard_NA_TIN_T1_3</v></cell><cell r="AJ81"><v>103873631</v></cell></row><row r="82"><cell r="D82" t="str"><v>43352225283843</v></cell><cell r="E82" t="str"><v>43352103773180PRSGV0</v></cell><cell r="F82" t="str"><v>DCM</v></cell></row><row r="82"><cell r="H82"><v>7</v></cell><cell r="I82" t="str"><v>Azure Direct</v></cell><cell r="J82" t="str"><v>Azure Direct</v></cell><cell r="K82" t="str"><v>September</v></cell><cell r="L82"><v>43358</v></cell><cell r="M82" t="str"><v>Tier 0</v></cell><cell r="N82" t="str"><v>North America</v></cell><cell r="O82" t="str"><v>United States</v></cell><cell r="P82" t="str"><v>Trial</v></cell><cell r="Q82" t="str"><v>Social</v></cell><cell r="R82" t="str"><v>Azure</v></cell><cell r="S82" t="str"><v>Apps & Infra</v></cell><cell r="T82" t="str"><v>Developers & ITI's</v></cell><cell r="U82" t="str"><v>USA-Trial-ITD-Interest Prospecting-AZR-AZR</v></cell><cell r="V82" t="str"><v>Prospecting</v></cell><cell r="W82" t="str"><v>Canvas Collection Ad</v></cell><cell r="X82" t="str"><v>1200x182</v></cell><cell r="Y82" t="str"><v>Try it Now</v></cell><cell r="Z82" t="str"><v>Not Applicable</v></cell><cell r="AA82"><v>43352</v></cell><cell r="AB82" t="str"><v>USA_gaPMG_AZR_AZR_Q1_19_Direct-Social</v></cell><cell r="AC82"><v>21358715</v></cell><cell r="AD82"><v>720197</v></cell><cell r="AE82" t="str"><v>Facebook</v></cell><cell r="AF82"><v>3654128</v></cell><cell r="AG82" t="str"><v>FACEBOOK»USA-Trial-ITD-Interest Prospecting-AZR-AZR»1 x 1»SocialBan»CCA»ALL»CPA»PRO»X»NA»SS»NA»Azure Developer Facebook Collections»PRSGV0</v></cell><cell r="AH82"><v>225283843</v></cell><cell r="AI82" t="str"><v>AZR_FBCollections-SmartDataTryAzureFreeCTA-Img4_USA_1200x182_SOC_Plat_EN_NA_Standard_NA_TIN_T1_4</v></cell><cell r="AJ82"><v>103773180</v></cell></row><row r="83"><cell r="D83" t="str"><v>43352225283843</v></cell><cell r="E83" t="str"><v>43352103874423PRSGV0</v></cell><cell r="F83" t="str"><v>DCM</v></cell></row><row r="83"><cell r="H83"><v>5</v></cell><cell r="I83" t="str"><v>Azure Direct</v></cell><cell r="J83" t="str"><v>Azure Direct</v></cell><cell r="K83" t="str"><v>September</v></cell><cell r="L83"><v>43358</v></cell><cell r="M83" t="str"><v>Tier 0</v></cell><cell r="N83" t="str"><v>North America</v></cell><cell r="O83" t="str"><v>United States</v></cell><cell r="P83" t="str"><v>Trial</v></cell><cell r="Q83" t="str"><v>Social</v></cell><cell r="R83" t="str"><v>Azure</v></cell><cell r="S83" t="str"><v>Apps & Infra</v></cell><cell r="T83" t="str"><v>Developers & ITI's</v></cell><cell r="U83" t="str"><v>USA-Trial-ITD-Interest Prospecting-AZR-AZR</v></cell><cell r="V83" t="str"><v>Prospecting</v></cell><cell r="W83" t="str"><v>Canvas Collection Ad</v></cell><cell r="X83" t="str"><v>1200x182</v></cell><cell r="Y83" t="str"><v>Try it Now</v></cell><cell r="Z83" t="str"><v>Not Applicable</v></cell><cell r="AA83"><v>43352</v></cell><cell r="AB83" t="str"><v>USA_gaPMG_AZR_AZR_Q1_19_Direct-Social</v></cell><cell r="AC83"><v>21358715</v></cell><cell r="AD83"><v>720197</v></cell><cell r="AE83" t="str"><v>Facebook</v></cell><cell r="AF83"><v>3654128</v></cell><cell r="AG83" t="str"><v>FACEBOOK»USA-Trial-ITD-Interest Prospecting-AZR-AZR»1 x 1»SocialBan»CCA»ALL»CPA»PRO»X»NA»SS»NA»Azure Developer Facebook Collections»PRSGV0</v></cell><cell r="AH83"><v>225283843</v></cell><cell r="AI83" t="str"><v>AZR_FBCollections-TryAzureFreeCTA-Img1_USA_1200x182_SOC_Plat_EN_NA_Standard_NA_TIN_T1_1</v></cell><cell r="AJ83"><v>103874423</v></cell></row><row r="84"><cell r="D84" t="str"><v>43352224104932</v></cell><cell r="E84" t="str"><v>43352103176851PRC1SZ</v></cell><cell r="F84" t="str"><v>DCM</v></cell></row><row r="84"><cell r="H84"><v>0</v></cell><cell r="I84" t="str"><v>Azure Direct</v></cell><cell r="J84" t="str"><v>Azure Direct</v></cell><cell r="K84" t="str"><v>September</v></cell><cell r="L84"><v>43358</v></cell><cell r="M84" t="str"><v>Tier 0</v></cell><cell r="N84" t="str"><v>North America</v></cell><cell r="O84" t="str"><v>United States</v></cell><cell r="P84" t="str"><v>Trial</v></cell><cell r="Q84" t="str"><v>Social</v></cell><cell r="R84" t="str"><v>Azure</v></cell><cell r="S84" t="str"><v>Apps & Infra</v></cell><cell r="T84" t="str"><v>Developers & ITI's</v></cell><cell r="U84" t="str"><v>USA-Trial-ITD-Interest Prospecting-AZR-AZR</v></cell><cell r="V84" t="str"><v>Prospecting</v></cell><cell r="W84" t="str"><v>Link Ad</v></cell><cell r="X84" t="str"><v>1200x1200</v></cell><cell r="Y84" t="str"><v>Learn More</v></cell><cell r="Z84" t="str"><v>Animated Banner</v></cell><cell r="AA84"><v>43352</v></cell><cell r="AB84" t="str"><v>USA_gaPMG_AZR_AZR_Q1_19_Direct-Social</v></cell><cell r="AC84"><v>21358715</v></cell><cell r="AD84"><v>720197</v></cell><cell r="AE84" t="str"><v>Facebook</v></cell><cell r="AF84"><v>3654128</v></cell><cell r="AG84" t="str"><v>FACEBOOK»USA-Trial-ITD-Interest Prospecting-AZR-AZR»1 x 1»SocialBan»LIA»ALL»CPA»PRO»X»NA»SS»NA»FreeAcctDeveloperFB-AnimatedGeneric-Ch1»PRC1SZ</v></cell><cell r="AH84"><v>224104932</v></cell><cell r="AI84" t="str"><v>AZR_FreeAcctDeveloperFB-AnimatedGeneric-Ch1_USA_1200x1200_CAN_Direct_English_Trial_Standard_ANI_LEA_T1_2</v></cell><cell r="AJ84"><v>103176851</v></cell></row><row r="85"><cell r="D85" t="str"><v>43352223862885</v></cell><cell r="E85" t="str"><v>43352103048329PRC1T1</v></cell><cell r="F85" t="str"><v>DCM</v></cell></row><row r="85"><cell r="H85"><v>3</v></cell><cell r="I85" t="str"><v>Azure Direct</v></cell><cell r="J85" t="str"><v>Azure Direct</v></cell><cell r="K85" t="str"><v>September</v></cell><cell r="L85"><v>43358</v></cell><cell r="M85" t="str"><v>Tier 0</v></cell><cell r="N85" t="str"><v>North America</v></cell><cell r="O85" t="str"><v>United States</v></cell><cell r="P85" t="str"><v>Trial</v></cell><cell r="Q85" t="str"><v>Social</v></cell><cell r="R85" t="str"><v>Azure</v></cell><cell r="S85" t="str"><v>Apps & Infra</v></cell><cell r="T85" t="str"><v>Developers & ITI's</v></cell><cell r="U85" t="str"><v>USA-Trial-ITD-Interest Prospecting-AZR-AZR</v></cell><cell r="V85" t="str"><v>Prospecting</v></cell><cell r="W85" t="str"><v>Link Ad</v></cell><cell r="X85" t="str"><v>1200x1200</v></cell><cell r="Y85" t="str"><v>Learn More</v></cell><cell r="Z85" t="str"><v>Animated Banner</v></cell><cell r="AA85"><v>43352</v></cell><cell r="AB85" t="str"><v>USA_gaPMG_AZR_AZR_Q1_19_Direct-Social</v></cell><cell r="AC85"><v>21358715</v></cell><cell r="AD85"><v>720197</v></cell><cell r="AE85" t="str"><v>Facebook</v></cell><cell r="AF85"><v>3654128</v></cell><cell r="AG85" t="str"><v>FACEBOOK»USA-Trial-ITD-Interest Prospecting-AZR-AZR»1 x 1»SocialBan»LIA»ALL»CPA»PRO»X»NA»SS»NA»FreeAcctDeveloperFB-AnimatedOpenSource-Ch2»PRC1T1</v></cell><cell r="AH85"><v>223862885</v></cell><cell r="AI85" t="str"><v>AZR_FreeAcctDeveloperFB-AnimatedOpenSource-Ch2_USA_1200x1200_CAN_Direct_English_Trial_Standard_ANI_LEA_T2_1</v></cell><cell r="AJ85"><v>103048329</v></cell></row><row r="86"><cell r="D86" t="str"><v>43352224104914</v></cell><cell r="E86" t="str"><v>43352103176830PRC1T4</v></cell><cell r="F86" t="str"><v>DCM</v></cell></row><row r="86"><cell r="H86"><v>16</v></cell><cell r="I86" t="str"><v>Azure Direct</v></cell><cell r="J86" t="str"><v>Azure Direct</v></cell><cell r="K86" t="str"><v>September</v></cell><cell r="L86"><v>43358</v></cell><cell r="M86" t="str"><v>Tier 0</v></cell><cell r="N86" t="str"><v>North America</v></cell><cell r="O86" t="str"><v>United States</v></cell><cell r="P86" t="str"><v>Trial</v></cell><cell r="Q86" t="str"><v>Social</v></cell><cell r="R86" t="str"><v>Azure</v></cell><cell r="S86" t="str"><v>Apps & Infra</v></cell><cell r="T86" t="str"><v>Developers & ITI's</v></cell><cell r="U86" t="str"><v>USA-Trial-ITD-Interest Prospecting-AZR-AZR</v></cell><cell r="V86" t="str"><v>Prospecting</v></cell><cell r="W86" t="str"><v>Link Ad</v></cell><cell r="X86" t="str"><v>1200x1200</v></cell><cell r="Y86" t="str"><v>Learn More</v></cell><cell r="Z86" t="str"><v>Animated Banner</v></cell><cell r="AA86"><v>43352</v></cell><cell r="AB86" t="str"><v>USA_gaPMG_AZR_AZR_Q1_19_Direct-Social</v></cell><cell r="AC86"><v>21358715</v></cell><cell r="AD86"><v>720197</v></cell><cell r="AE86" t="str"><v>Facebook</v></cell><cell r="AF86"><v>3654128</v></cell><cell r="AG86" t="str"><v>FACEBOOK»USA-Trial-ITD-Interest Prospecting-AZR-AZR»1 x 1»SocialBan»LIA»ALL»CPA»PRO»X»NA»SS»NA»FreeAcctITProFB-AnimatedSecureMngd-Ch1»PRC1T4</v></cell><cell r="AH86"><v>224104914</v></cell><cell r="AI86" t="str"><v>AZR_FreeAcctITProFB-AnimatedSecureMngd-Ch1_USA_1200x1200_CAN_Direct_English_Trial_Standard_ANI_LEA_T1_1</v></cell><cell r="AJ86"><v>103176830</v></cell></row><row r="87"><cell r="D87" t="str"><v>43352226030086</v></cell><cell r="E87" t="str"><v>43352104593207PRX721</v></cell><cell r="F87" t="str"><v>DCM</v></cell></row><row r="87"><cell r="H87"><v>0</v></cell><cell r="I87" t="str"><v>Azure Direct</v></cell><cell r="J87" t="str"><v>Azure Direct</v></cell><cell r="K87" t="str"><v>September</v></cell><cell r="L87"><v>43358</v></cell><cell r="M87" t="str"><v>Tier 0</v></cell><cell r="N87" t="str"><v>North America</v></cell><cell r="O87" t="str"><v>United States</v></cell><cell r="P87" t="str"><v>Trial</v></cell><cell r="Q87" t="str"><v>Social</v></cell><cell r="R87" t="str"><v>Azure</v></cell><cell r="S87" t="str"><v>Apps & Infra</v></cell><cell r="T87" t="str"><v>Developers & ITI's</v></cell><cell r="U87" t="str"><v>USA-Trial-ITD-Lead Completes Lookalike-AZR-AZR</v></cell><cell r="V87" t="str"><v>Lookalike Targeting</v></cell><cell r="W87" t="str"><v>Canvas Ad</v></cell><cell r="X87" t="str"><v>10s</v></cell><cell r="Y87" t="str"><v>Try it Now</v></cell><cell r="Z87" t="str"><v>Standard videos</v></cell><cell r="AA87"><v>43352</v></cell><cell r="AB87" t="str"><v>USA_gaPMG_AZR_AZR_Q1_19_Direct-Social</v></cell><cell r="AC87"><v>21358715</v></cell><cell r="AD87"><v>720197</v></cell><cell r="AE87" t="str"><v>Facebook</v></cell><cell r="AF87"><v>3654128</v></cell><cell r="AG87" t="str"><v>FACEBOOK»USA-Trial-ITD-Lead Completes Lookalike-AZR-AZR»1 x 1»SocialBan»CAN»ALL»CPA»LAL»X»NA»SS»NA»FBCTCBasicMotion»PRX721</v></cell><cell r="AH87"><v>226030086</v></cell><cell r="AI87" t="str"><v>AZR_FBCTCBasicMotion_USA_10s_CAN_PLATFORM_English_Trial_Standard_STAN_TIN_T1_1</v></cell><cell r="AJ87"><v>104593207</v></cell></row><row r="88"><cell r="D88" t="str"><v>43352226030086</v></cell><cell r="E88" t="str"><v>43352104593426PRX721</v></cell><cell r="F88" t="str"><v>DCM</v></cell></row><row r="88"><cell r="H88"><v>2</v></cell><cell r="I88" t="str"><v>Azure Direct</v></cell><cell r="J88" t="str"><v>Azure Direct</v></cell><cell r="K88" t="str"><v>September</v></cell><cell r="L88"><v>43358</v></cell><cell r="M88" t="str"><v>Tier 0</v></cell><cell r="N88" t="str"><v>North America</v></cell><cell r="O88" t="str"><v>United States</v></cell><cell r="P88" t="str"><v>Trial</v></cell><cell r="Q88" t="str"><v>Social</v></cell><cell r="R88" t="str"><v>Azure</v></cell><cell r="S88" t="str"><v>Apps & Infra</v></cell><cell r="T88" t="str"><v>Developers & ITI's</v></cell><cell r="U88" t="str"><v>USA-Trial-ITD-Lead Completes Lookalike-AZR-AZR</v></cell><cell r="V88" t="str"><v>Lookalike Targeting</v></cell><cell r="W88" t="str"><v>Canvas Ad</v></cell><cell r="X88" t="str"><v>10s</v></cell><cell r="Y88" t="str"><v>Try it Now</v></cell><cell r="Z88" t="str"><v>Standard videos</v></cell><cell r="AA88"><v>43352</v></cell><cell r="AB88" t="str"><v>USA_gaPMG_AZR_AZR_Q1_19_Direct-Social</v></cell><cell r="AC88"><v>21358715</v></cell><cell r="AD88"><v>720197</v></cell><cell r="AE88" t="str"><v>Facebook</v></cell><cell r="AF88"><v>3654128</v></cell><cell r="AG88" t="str"><v>FACEBOOK»USA-Trial-ITD-Lead Completes Lookalike-AZR-AZR»1 x 1»SocialBan»CAN»ALL»CPA»LAL»X»NA»SS»NA»FBCTCBasicMotion»PRX721</v></cell><cell r="AH88"><v>226030086</v></cell><cell r="AI88" t="str"><v>AZR_FBCTCBasicMotion_USA_10s_CAN_PLATFORM_English_Trial_Standard_STAN_TIN_T1_2</v></cell><cell r="AJ88"><v>104593426</v></cell></row><row r="89"><cell r="D89" t="str"><v>43352225841990</v></cell><cell r="E89" t="str"><v>43352104593408PRX722</v></cell><cell r="F89" t="str"><v>DCM</v></cell></row><row r="89"><cell r="H89"><v>0</v></cell><cell r="I89" t="str"><v>Azure Direct</v></cell><cell r="J89" t="str"><v>Azure Direct</v></cell><cell r="K89" t="str"><v>September</v></cell><cell r="L89"><v>43358</v></cell><cell r="M89" t="str"><v>Tier 0</v></cell><cell r="N89" t="str"><v>North America</v></cell><cell r="O89" t="str"><v>United States</v></cell><cell r="P89" t="str"><v>Trial</v></cell><cell r="Q89" t="str"><v>Social</v></cell><cell r="R89" t="str"><v>Azure</v></cell><cell r="S89" t="str"><v>Apps & Infra</v></cell><cell r="T89" t="str"><v>Developers & ITI's</v></cell><cell r="U89" t="str"><v>USA-Trial-ITD-Lead Completes Lookalike-AZR-AZR</v></cell><cell r="V89" t="str"><v>Lookalike Targeting</v></cell><cell r="W89" t="str"><v>Canvas Ad</v></cell><cell r="X89" t="str"><v>10s</v></cell><cell r="Y89" t="str"><v>Try it Now</v></cell><cell r="Z89" t="str"><v>Standard videos</v></cell><cell r="AA89"><v>43352</v></cell><cell r="AB89" t="str"><v>USA_gaPMG_AZR_AZR_Q1_19_Direct-Social</v></cell><cell r="AC89"><v>21358715</v></cell><cell r="AD89"><v>720197</v></cell><cell r="AE89" t="str"><v>Facebook</v></cell><cell r="AF89"><v>3654128</v></cell><cell r="AG89" t="str"><v>FACEBOOK»USA-Trial-ITD-Lead Completes Lookalike-AZR-AZR»1 x 1»SocialBan»CAN»ALL»CPA»LAL»X»NA»SS»NA»FBCTCBenefit2inMotion»PRX722</v></cell><cell r="AH89"><v>225841990</v></cell><cell r="AI89" t="str"><v>AZR_FBCTCBenefit2inMotion_USA_10s_CAN_PLATFORM_English_Trial_Standard_STAN_TIN_T4_1</v></cell><cell r="AJ89"><v>104593408</v></cell></row><row r="90"><cell r="D90" t="str"><v>43352225841993</v></cell><cell r="E90" t="str"><v>43352104593411PRX723</v></cell><cell r="F90" t="str"><v>DCM</v></cell></row><row r="90"><cell r="H90"><v>0</v></cell><cell r="I90" t="str"><v>Azure Direct</v></cell><cell r="J90" t="str"><v>Azure Direct</v></cell><cell r="K90" t="str"><v>September</v></cell><cell r="L90"><v>43358</v></cell><cell r="M90" t="str"><v>Tier 0</v></cell><cell r="N90" t="str"><v>North America</v></cell><cell r="O90" t="str"><v>United States</v></cell><cell r="P90" t="str"><v>Trial</v></cell><cell r="Q90" t="str"><v>Social</v></cell><cell r="R90" t="str"><v>Azure</v></cell><cell r="S90" t="str"><v>Apps & Infra</v></cell><cell r="T90" t="str"><v>Developers & ITI's</v></cell><cell r="U90" t="str"><v>USA-Trial-ITD-Lead Completes Lookalike-AZR-AZR</v></cell><cell r="V90" t="str"><v>Lookalike Targeting</v></cell><cell r="W90" t="str"><v>Canvas Ad</v></cell><cell r="X90" t="str"><v>10s</v></cell><cell r="Y90" t="str"><v>Try it Now</v></cell><cell r="Z90" t="str"><v>Standard videos</v></cell><cell r="AA90"><v>43352</v></cell><cell r="AB90" t="str"><v>USA_gaPMG_AZR_AZR_Q1_19_Direct-Social</v></cell><cell r="AC90"><v>21358715</v></cell><cell r="AD90"><v>720197</v></cell><cell r="AE90" t="str"><v>Facebook</v></cell><cell r="AF90"><v>3654128</v></cell><cell r="AG90" t="str"><v>FACEBOOK»USA-Trial-ITD-Lead Completes Lookalike-AZR-AZR»1 x 1»SocialBan»CAN»ALL»CPA»LAL»X»NA»SS»NA»FBCTCBenefitinMotion»PRX723</v></cell><cell r="AH90"><v>225841993</v></cell><cell r="AI90" t="str"><v>AZR_FBCTCBenefitinMotion_USA_10s_CAN_PLATFORM_English_Trial_Standard_STAN_TIN_T3_1</v></cell><cell r="AJ90"><v>104593411</v></cell></row><row r="91"><cell r="D91" t="str"><v>43352225841993</v></cell><cell r="E91" t="str"><v>43352104595718PRX723</v></cell><cell r="F91" t="str"><v>DCM</v></cell></row><row r="91"><cell r="H91"><v>30</v></cell><cell r="I91" t="str"><v>Azure Direct</v></cell><cell r="J91" t="str"><v>Azure Direct</v></cell><cell r="K91" t="str"><v>September</v></cell><cell r="L91"><v>43358</v></cell><cell r="M91" t="str"><v>Tier 0</v></cell><cell r="N91" t="str"><v>North America</v></cell><cell r="O91" t="str"><v>United States</v></cell><cell r="P91" t="str"><v>Trial</v></cell><cell r="Q91" t="str"><v>Social</v></cell><cell r="R91" t="str"><v>Azure</v></cell><cell r="S91" t="str"><v>Apps & Infra</v></cell><cell r="T91" t="str"><v>Developers & ITI's</v></cell><cell r="U91" t="str"><v>USA-Trial-ITD-Lead Completes Lookalike-AZR-AZR</v></cell><cell r="V91" t="str"><v>Lookalike Targeting</v></cell><cell r="W91" t="str"><v>Canvas Ad</v></cell><cell r="X91" t="str"><v>10s</v></cell><cell r="Y91" t="str"><v>Try it Now</v></cell><cell r="Z91" t="str"><v>Standard videos</v></cell><cell r="AA91"><v>43352</v></cell><cell r="AB91" t="str"><v>USA_gaPMG_AZR_AZR_Q1_19_Direct-Social</v></cell><cell r="AC91"><v>21358715</v></cell><cell r="AD91"><v>720197</v></cell><cell r="AE91" t="str"><v>Facebook</v></cell><cell r="AF91"><v>3654128</v></cell><cell r="AG91" t="str"><v>FACEBOOK»USA-Trial-ITD-Lead Completes Lookalike-AZR-AZR»1 x 1»SocialBan»CAN»ALL»CPA»LAL»X»NA»SS»NA»FBCTCBenefitinMotion»PRX723</v></cell><cell r="AH91"><v>225841993</v></cell><cell r="AI91" t="str"><v>AZR_FBCTCBenefitinMotion_USA_10s_CAN_PLATFORM_English_Trial_Standard_STAN_TIN_T3_2</v></cell><cell r="AJ91"><v>104595718</v></cell></row><row r="92"><cell r="D92" t="str"><v>43352226028475</v></cell><cell r="E92" t="str"><v>43352104593696PRX724</v></cell><cell r="F92" t="str"><v>DCM</v></cell></row><row r="92"><cell r="H92"><v>0</v></cell><cell r="I92" t="str"><v>Azure Direct</v></cell><cell r="J92" t="str"><v>Azure Direct</v></cell><cell r="K92" t="str"><v>September</v></cell><cell r="L92"><v>43358</v></cell><cell r="M92" t="str"><v>Tier 0</v></cell><cell r="N92" t="str"><v>North America</v></cell><cell r="O92" t="str"><v>United States</v></cell><cell r="P92" t="str"><v>Trial</v></cell><cell r="Q92" t="str"><v>Social</v></cell><cell r="R92" t="str"><v>Azure</v></cell><cell r="S92" t="str"><v>Apps & Infra</v></cell><cell r="T92" t="str"><v>Developers & ITI's</v></cell><cell r="U92" t="str"><v>USA-Trial-ITD-Lead Completes Lookalike-AZR-AZR</v></cell><cell r="V92" t="str"><v>Lookalike Targeting</v></cell><cell r="W92" t="str"><v>Canvas Ad</v></cell><cell r="X92" t="str"><v>10s</v></cell><cell r="Y92" t="str"><v>Try it Now</v></cell><cell r="Z92" t="str"><v>Standard videos</v></cell><cell r="AA92"><v>43352</v></cell><cell r="AB92" t="str"><v>USA_gaPMG_AZR_AZR_Q1_19_Direct-Social</v></cell><cell r="AC92"><v>21358715</v></cell><cell r="AD92"><v>720197</v></cell><cell r="AE92" t="str"><v>Facebook</v></cell><cell r="AF92"><v>3654128</v></cell><cell r="AG92" t="str"><v>FACEBOOK»USA-Trial-ITD-Lead Completes Lookalike-AZR-AZR»1 x 1»SocialBan»CAN»ALL»CPA»LAL»X»NA»SS»NA»FBCTCBrandinMotion»PRX724</v></cell><cell r="AH92"><v>226028475</v></cell><cell r="AI92" t="str"><v>AZR_FBCTCBrandinMotion_USA_10s_CAN_PLATFORM_English_Trial_Standard_STAN_TIN_T2_1</v></cell><cell r="AJ92"><v>104593696</v></cell></row><row r="93"><cell r="D93" t="str"><v>43352226539968</v></cell><cell r="E93" t="str"><v>43352104595739PS79G1</v></cell><cell r="F93" t="str"><v>DCM</v></cell></row><row r="93"><cell r="H93"><v>0</v></cell><cell r="I93" t="str"><v>Azure Direct</v></cell><cell r="J93" t="str"><v>Azure Direct</v></cell><cell r="K93" t="str"><v>September</v></cell><cell r="L93"><v>43358</v></cell><cell r="M93" t="str"><v>Tier 0</v></cell><cell r="N93" t="str"><v>North America</v></cell><cell r="O93" t="str"><v>United States</v></cell><cell r="P93" t="str"><v>Trial</v></cell><cell r="Q93" t="str"><v>Social</v></cell><cell r="R93" t="str"><v>Azure</v></cell><cell r="S93" t="str"><v>Apps & Infra</v></cell><cell r="T93" t="str"><v>Developers & ITI's</v></cell><cell r="U93" t="str"><v>USA-Trial-ITD-Lead Completes Lookalike-AZR-AZR</v></cell><cell r="V93" t="str"><v>Lookalike Targeting</v></cell><cell r="W93" t="str"><v>Canvas Ad</v></cell><cell r="X93" t="str"><v>1200x1200</v></cell><cell r="Y93" t="str"><v>Learn More</v></cell><cell r="Z93" t="str"><v>Animated Banner</v></cell><cell r="AA93"><v>43352</v></cell><cell r="AB93" t="str"><v>USA_gaPMG_AZR_AZR_Q1_19_Direct-Social</v></cell><cell r="AC93"><v>21358715</v></cell><cell r="AD93"><v>720197</v></cell><cell r="AE93" t="str"><v>Facebook</v></cell><cell r="AF93"><v>3654128</v></cell><cell r="AG93" t="str"><v>FACEBOOK»USA-Trial-ITD-Lead Completes Lookalike-AZR-AZR»1 x 1»SocialBan»CAN»ALL»CPA»LAL»X»NA»SS»NA»FreeAcctDeveloperFB-AnimatedData-Ch4»PS79G1</v></cell><cell r="AH93"><v>226539968</v></cell><cell r="AI93" t="str"><v>AZR_FreeAcctDeveloperFB-AnimatedData-Ch4_USA_1200x1200_CAN_Direct_EN_Trial_Standard_ANI_LEA_T4_1</v></cell><cell r="AJ93"><v>104595739</v></cell></row><row r="94"><cell r="D94" t="str"><v>43352226539968</v></cell><cell r="E94" t="str"><v>43352104671403PS79G1</v></cell><cell r="F94" t="str"><v>DCM</v></cell></row><row r="94"><cell r="H94"><v>0</v></cell><cell r="I94" t="str"><v>Azure Direct</v></cell><cell r="J94" t="str"><v>Azure Direct</v></cell><cell r="K94" t="str"><v>September</v></cell><cell r="L94"><v>43358</v></cell><cell r="M94" t="str"><v>Tier 0</v></cell><cell r="N94" t="str"><v>North America</v></cell><cell r="O94" t="str"><v>United States</v></cell><cell r="P94" t="str"><v>Trial</v></cell><cell r="Q94" t="str"><v>Social</v></cell><cell r="R94" t="str"><v>Azure</v></cell><cell r="S94" t="str"><v>Apps & Infra</v></cell><cell r="T94" t="str"><v>Developers & ITI's</v></cell><cell r="U94" t="str"><v>USA-Trial-ITD-Lead Completes Lookalike-AZR-AZR</v></cell><cell r="V94" t="str"><v>Lookalike Targeting</v></cell><cell r="W94" t="str"><v>Canvas Ad</v></cell><cell r="X94" t="str"><v>1200x1200</v></cell><cell r="Y94" t="str"><v>Learn More</v></cell><cell r="Z94" t="str"><v>Animated Banner</v></cell><cell r="AA94"><v>43352</v></cell><cell r="AB94" t="str"><v>USA_gaPMG_AZR_AZR_Q1_19_Direct-Social</v></cell><cell r="AC94"><v>21358715</v></cell><cell r="AD94"><v>720197</v></cell><cell r="AE94" t="str"><v>Facebook</v></cell><cell r="AF94"><v>3654128</v></cell><cell r="AG94" t="str"><v>FACEBOOK»USA-Trial-ITD-Lead Completes Lookalike-AZR-AZR»1 x 1»SocialBan»CAN»ALL»CPA»LAL»X»NA»SS»NA»FreeAcctDeveloperFB-AnimatedData-Ch4»PS79G1</v></cell><cell r="AH94"><v>226539968</v></cell><cell r="AI94" t="str"><v>AZR_FreeAcctDeveloperFB-AnimatedData-Ch4_USA_1200x1200_CAN_Direct_EN_Trial_Standard_ANI_LEA_T4_2</v></cell><cell r="AJ94"><v>104671403</v></cell></row><row r="95"><cell r="D95" t="str"><v>43352226622251</v></cell><cell r="E95" t="str"><v>43352104592523PS79FX</v></cell><cell r="F95" t="str"><v>DCM</v></cell></row><row r="95"><cell r="H95"><v>1</v></cell><cell r="I95" t="str"><v>Azure Direct</v></cell><cell r="J95" t="str"><v>Azure Direct</v></cell><cell r="K95" t="str"><v>September</v></cell><cell r="L95"><v>43358</v></cell><cell r="M95" t="str"><v>Tier 0</v></cell><cell r="N95" t="str"><v>North America</v></cell><cell r="O95" t="str"><v>United States</v></cell><cell r="P95" t="str"><v>Trial</v></cell><cell r="Q95" t="str"><v>Social</v></cell><cell r="R95" t="str"><v>Azure</v></cell><cell r="S95" t="str"><v>Apps & Infra</v></cell><cell r="T95" t="str"><v>Developers & ITI's</v></cell><cell r="U95" t="str"><v>USA-Trial-ITD-Lead Completes Lookalike-AZR-AZR</v></cell><cell r="V95" t="str"><v>Lookalike Targeting</v></cell><cell r="W95" t="str"><v>Canvas Ad</v></cell><cell r="X95" t="str"><v>1200x1200</v></cell><cell r="Y95" t="str"><v>Learn More</v></cell><cell r="Z95" t="str"><v>Animated Banner</v></cell><cell r="AA95"><v>43352</v></cell><cell r="AB95" t="str"><v>USA_gaPMG_AZR_AZR_Q1_19_Direct-Social</v></cell><cell r="AC95"><v>21358715</v></cell><cell r="AD95"><v>720197</v></cell><cell r="AE95" t="str"><v>Facebook</v></cell><cell r="AF95"><v>3654128</v></cell><cell r="AG95" t="str"><v>FACEBOOK»USA-Trial-ITD-Lead Completes Lookalike-AZR-AZR»1 x 1»SocialBan»CAN»ALL»CPA»LAL»X»NA»SS»NA»FreeAcctDeveloperFB-AnimatedGeneric-Ch1»PS79FX</v></cell><cell r="AH95"><v>226622251</v></cell><cell r="AI95" t="str"><v>AZR_FreeAcctDeveloperFB-AnimatedGeneric-Ch1_USA_1200x1200_CAN_Direct_EN_Trial_Standard_ANI_LEA_T1_2</v></cell><cell r="AJ95"><v>104592523</v></cell></row><row r="96"><cell r="D96" t="str"><v>43352226622251</v></cell><cell r="E96" t="str"><v>43352104595766PS79FX</v></cell><cell r="F96" t="str"><v>DCM</v></cell></row><row r="96"><cell r="H96"><v>0</v></cell><cell r="I96" t="str"><v>Azure Direct</v></cell><cell r="J96" t="str"><v>Azure Direct</v></cell><cell r="K96" t="str"><v>September</v></cell><cell r="L96"><v>43358</v></cell><cell r="M96" t="str"><v>Tier 0</v></cell><cell r="N96" t="str"><v>North America</v></cell><cell r="O96" t="str"><v>United States</v></cell><cell r="P96" t="str"><v>Trial</v></cell><cell r="Q96" t="str"><v>Social</v></cell><cell r="R96" t="str"><v>Azure</v></cell><cell r="S96" t="str"><v>Apps & Infra</v></cell><cell r="T96" t="str"><v>Developers & ITI's</v></cell><cell r="U96" t="str"><v>USA-Trial-ITD-Lead Completes Lookalike-AZR-AZR</v></cell><cell r="V96" t="str"><v>Lookalike Targeting</v></cell><cell r="W96" t="str"><v>Canvas Ad</v></cell><cell r="X96" t="str"><v>1200x1200</v></cell><cell r="Y96" t="str"><v>Learn More</v></cell><cell r="Z96" t="str"><v>Animated Banner</v></cell><cell r="AA96"><v>43352</v></cell><cell r="AB96" t="str"><v>USA_gaPMG_AZR_AZR_Q1_19_Direct-Social</v></cell><cell r="AC96"><v>21358715</v></cell><cell r="AD96"><v>720197</v></cell><cell r="AE96" t="str"><v>Facebook</v></cell><cell r="AF96"><v>3654128</v></cell><cell r="AG96" t="str"><v>FACEBOOK»USA-Trial-ITD-Lead Completes Lookalike-AZR-AZR»1 x 1»SocialBan»CAN»ALL»CPA»LAL»X»NA»SS»NA»FreeAcctDeveloperFB-AnimatedGeneric-Ch1»PS79FX</v></cell><cell r="AH96"><v>226622251</v></cell><cell r="AI96" t="str"><v>AZR_FreeAcctDeveloperFB-AnimatedGeneric-Ch1_USA_1200x1200_CAN_Direct_EN_Trial_Standard_ANI_LEA_T1_1</v></cell><cell r="AJ96"><v>104595766</v></cell></row><row r="97"><cell r="D97" t="str"><v>43352226784031</v></cell><cell r="E97" t="str"><v>43352104671427PS79G4</v></cell><cell r="F97" t="str"><v>DCM</v></cell></row><row r="97"><cell r="H97"><v>0</v></cell><cell r="I97" t="str"><v>Azure Direct</v></cell><cell r="J97" t="str"><v>Azure Direct</v></cell><cell r="K97" t="str"><v>September</v></cell><cell r="L97"><v>43358</v></cell><cell r="M97" t="str"><v>Tier 0</v></cell><cell r="N97" t="str"><v>North America</v></cell><cell r="O97" t="str"><v>United States</v></cell><cell r="P97" t="str"><v>Trial</v></cell><cell r="Q97" t="str"><v>Social</v></cell><cell r="R97" t="str"><v>Azure</v></cell><cell r="S97" t="str"><v>Apps & Infra</v></cell><cell r="T97" t="str"><v>Developers & ITI's</v></cell><cell r="U97" t="str"><v>USA-Trial-ITD-Lead Completes Lookalike-AZR-AZR</v></cell><cell r="V97" t="str"><v>Lookalike Targeting</v></cell><cell r="W97" t="str"><v>Canvas Ad</v></cell><cell r="X97" t="str"><v>1200x1200</v></cell><cell r="Y97" t="str"><v>Learn More</v></cell><cell r="Z97" t="str"><v>Animated Banner</v></cell><cell r="AA97"><v>43352</v></cell><cell r="AB97" t="str"><v>USA_gaPMG_AZR_AZR_Q1_19_Direct-Social</v></cell><cell r="AC97"><v>21358715</v></cell><cell r="AD97"><v>720197</v></cell><cell r="AE97" t="str"><v>Facebook</v></cell><cell r="AF97"><v>3654128</v></cell><cell r="AG97" t="str"><v>FACEBOOK»USA-Trial-ITD-Lead Completes Lookalike-AZR-AZR»1 x 1»SocialBan»CAN»ALL»CPA»LAL»X»NA»SS»NA»FreeAcctDeveloperFB-AnimatedOpenSource-Ch2»PS79G4</v></cell><cell r="AH97"><v>226784031</v></cell><cell r="AI97" t="str"><v>AZR_FreeAcctDeveloperFB-AnimatedOpenSource-Ch2_USA_1200x1200_CAN_Direct_EN_Trial_Standard_ANI_LEA_T2_1</v></cell><cell r="AJ97"><v>104671427</v></cell></row><row r="98"><cell r="D98" t="str"><v>43352226784031</v></cell><cell r="E98" t="str"><v>43352104593438PS79G4</v></cell><cell r="F98" t="str"><v>DCM</v></cell></row><row r="98"><cell r="H98"><v>1</v></cell><cell r="I98" t="str"><v>Azure Direct</v></cell><cell r="J98" t="str"><v>Azure Direct</v></cell><cell r="K98" t="str"><v>September</v></cell><cell r="L98"><v>43358</v></cell><cell r="M98" t="str"><v>Tier 0</v></cell><cell r="N98" t="str"><v>North America</v></cell><cell r="O98" t="str"><v>United States</v></cell><cell r="P98" t="str"><v>Trial</v></cell><cell r="Q98" t="str"><v>Social</v></cell><cell r="R98" t="str"><v>Azure</v></cell><cell r="S98" t="str"><v>Apps & Infra</v></cell><cell r="T98" t="str"><v>Developers & ITI's</v></cell><cell r="U98" t="str"><v>USA-Trial-ITD-Lead Completes Lookalike-AZR-AZR</v></cell><cell r="V98" t="str"><v>Lookalike Targeting</v></cell><cell r="W98" t="str"><v>Canvas Ad</v></cell><cell r="X98" t="str"><v>1200x1200</v></cell><cell r="Y98" t="str"><v>Learn More</v></cell><cell r="Z98" t="str"><v>Animated Banner</v></cell><cell r="AA98"><v>43352</v></cell><cell r="AB98" t="str"><v>USA_gaPMG_AZR_AZR_Q1_19_Direct-Social</v></cell><cell r="AC98"><v>21358715</v></cell><cell r="AD98"><v>720197</v></cell><cell r="AE98" t="str"><v>Facebook</v></cell><cell r="AF98"><v>3654128</v></cell><cell r="AG98" t="str"><v>FACEBOOK»USA-Trial-ITD-Lead Completes Lookalike-AZR-AZR»1 x 1»SocialBan»CAN»ALL»CPA»LAL»X»NA»SS»NA»FreeAcctDeveloperFB-AnimatedOpenSource-Ch2»PS79G4</v></cell><cell r="AH98"><v>226784031</v></cell><cell r="AI98" t="str"><v>AZR_FreeAcctDeveloperFB-AnimatedOpenSource-Ch2_USA_1200x1200_CAN_Direct_EN_Trial_Standard_ANI_LEA_T2_2</v></cell><cell r="AJ98"><v>104593438</v></cell></row><row r="99"><cell r="D99" t="str"><v>43352226539965</v></cell><cell r="E99" t="str"><v>43352104593738PS79G2</v></cell><cell r="F99" t="str"><v>DCM</v></cell></row><row r="99"><cell r="H99"><v>0</v></cell><cell r="I99" t="str"><v>Azure Direct</v></cell><cell r="J99" t="str"><v>Azure Direct</v></cell><cell r="K99" t="str"><v>September</v></cell><cell r="L99"><v>43358</v></cell><cell r="M99" t="str"><v>Tier 0</v></cell><cell r="N99" t="str"><v>North America</v></cell><cell r="O99" t="str"><v>United States</v></cell><cell r="P99" t="str"><v>Trial</v></cell><cell r="Q99" t="str"><v>Social</v></cell><cell r="R99" t="str"><v>Azure</v></cell><cell r="S99" t="str"><v>Apps & Infra</v></cell><cell r="T99" t="str"><v>Developers & ITI's</v></cell><cell r="U99" t="str"><v>USA-Trial-ITD-Lead Completes Lookalike-AZR-AZR</v></cell><cell r="V99" t="str"><v>Lookalike Targeting</v></cell><cell r="W99" t="str"><v>Canvas Ad</v></cell><cell r="X99" t="str"><v>1200x1200</v></cell><cell r="Y99" t="str"><v>Learn More</v></cell><cell r="Z99" t="str"><v>Animated Banner</v></cell><cell r="AA99"><v>43352</v></cell><cell r="AB99" t="str"><v>USA_gaPMG_AZR_AZR_Q1_19_Direct-Social</v></cell><cell r="AC99"><v>21358715</v></cell><cell r="AD99"><v>720197</v></cell><cell r="AE99" t="str"><v>Facebook</v></cell><cell r="AF99"><v>3654128</v></cell><cell r="AG99" t="str"><v>FACEBOOK»USA-Trial-ITD-Lead Completes Lookalike-AZR-AZR»1 x 1»SocialBan»CAN»ALL»CPA»LAL»X»NA»SS»NA»FreeAcctITProFB-AnimatedSecureMngd-Ch1»PS79G2</v></cell><cell r="AH99"><v>226539965</v></cell><cell r="AI99" t="str"><v>AZR_FreeAcctITProFB-AnimatedSecureMngd-Ch1_USA_1200x1200_CAN_Direct_EN_Trial_Standard_ANI_LEA_T1_1</v></cell><cell r="AJ99"><v>104593738</v></cell></row><row r="100"><cell r="D100" t="str"><v>43352225761645</v></cell><cell r="E100" t="str"><v>43352104593720PRX71S</v></cell><cell r="F100" t="str"><v>DCM</v></cell></row><row r="100"><cell r="H100"><v>2</v></cell><cell r="I100" t="str"><v>Azure Direct</v></cell><cell r="J100" t="str"><v>Azure Direct</v></cell><cell r="K100" t="str"><v>September</v></cell><cell r="L100"><v>43358</v></cell><cell r="M100" t="str"><v>Tier 0</v></cell><cell r="N100" t="str"><v>North America</v></cell><cell r="O100" t="str"><v>United States</v></cell><cell r="P100" t="str"><v>Trial</v></cell><cell r="Q100" t="str"><v>Social</v></cell><cell r="R100" t="str"><v>Azure</v></cell><cell r="S100" t="str"><v>Apps & Infra</v></cell><cell r="T100" t="str"><v>Developers & ITI's</v></cell><cell r="U100" t="str"><v>USA-Trial-ITD-Lead Completes Lookalike-AZR-AZR</v></cell><cell r="V100" t="str"><v>Lookalike Targeting</v></cell><cell r="W100" t="str"><v>Canvas Collection Ad</v></cell><cell r="X100" t="str"><v>1200x182</v></cell><cell r="Y100" t="str"><v>Try it Now</v></cell><cell r="Z100" t="str"><v>Not Applicable</v></cell><cell r="AA100"><v>43352</v></cell><cell r="AB100" t="str"><v>USA_gaPMG_AZR_AZR_Q1_19_Direct-Social</v></cell><cell r="AC100"><v>21358715</v></cell><cell r="AD100"><v>720197</v></cell><cell r="AE100" t="str"><v>Facebook</v></cell><cell r="AF100"><v>3654128</v></cell><cell r="AG100" t="str"><v>FACEBOOK»USA-Trial-ITD-Lead Completes Lookalike-AZR-AZR»1 x 1»SocialBan»CCA»ALL»CPA»LAL»X»NA»SS»NA»Azure Developer Facebook Collections»PRX71S</v></cell><cell r="AH100"><v>225761645</v></cell><cell r="AI100" t="str"><v>AZR_FBCollections-AITryAzureFreeCTA-Img2_USA_1200x182_CCA_Plat_EN_NA_Standard_NA_TIN_T1_2</v></cell><cell r="AJ100"><v>104593720</v></cell></row><row r="101"><cell r="D101" t="str"><v>43352225761645</v></cell><cell r="E101" t="str"><v>43352104671412PRX71S</v></cell><cell r="F101" t="str"><v>DCM</v></cell></row><row r="101"><cell r="H101"><v>3</v></cell><cell r="I101" t="str"><v>Azure Direct</v></cell><cell r="J101" t="str"><v>Azure Direct</v></cell><cell r="K101" t="str"><v>September</v></cell><cell r="L101"><v>43358</v></cell><cell r="M101" t="str"><v>Tier 0</v></cell><cell r="N101" t="str"><v>North America</v></cell><cell r="O101" t="str"><v>United States</v></cell><cell r="P101" t="str"><v>Trial</v></cell><cell r="Q101" t="str"><v>Social</v></cell><cell r="R101" t="str"><v>Azure</v></cell><cell r="S101" t="str"><v>Apps & Infra</v></cell><cell r="T101" t="str"><v>Developers & ITI's</v></cell><cell r="U101" t="str"><v>USA-Trial-ITD-Lead Completes Lookalike-AZR-AZR</v></cell><cell r="V101" t="str"><v>Lookalike Targeting</v></cell><cell r="W101" t="str"><v>Canvas Collection Ad</v></cell><cell r="X101" t="str"><v>1200x182</v></cell><cell r="Y101" t="str"><v>Try it Now</v></cell><cell r="Z101" t="str"><v>Not Applicable</v></cell><cell r="AA101"><v>43352</v></cell><cell r="AB101" t="str"><v>USA_gaPMG_AZR_AZR_Q1_19_Direct-Social</v></cell><cell r="AC101"><v>21358715</v></cell><cell r="AD101"><v>720197</v></cell><cell r="AE101" t="str"><v>Facebook</v></cell><cell r="AF101"><v>3654128</v></cell><cell r="AG101" t="str"><v>FACEBOOK»USA-Trial-ITD-Lead Completes Lookalike-AZR-AZR»1 x 1»SocialBan»CCA»ALL»CPA»LAL»X»NA»SS»NA»Azure Developer Facebook Collections»PRX71S</v></cell><cell r="AH101"><v>225761645</v></cell><cell r="AI101" t="str"><v>AZR_FBCollections-FreeStuffTryAzureFreeCTA-Img5_USA_1200x182_CCA_Plat_EN_NA_Standard_NA_TIN_T1_5</v></cell><cell r="AJ101"><v>104671412</v></cell></row><row r="102"><cell r="D102" t="str"><v>43352225761645</v></cell><cell r="E102" t="str"><v>43352104595724PRX71S</v></cell><cell r="F102" t="str"><v>DCM</v></cell></row><row r="102"><cell r="H102"><v>0</v></cell><cell r="I102" t="str"><v>Azure Direct</v></cell><cell r="J102" t="str"><v>Azure Direct</v></cell><cell r="K102" t="str"><v>September</v></cell><cell r="L102"><v>43358</v></cell><cell r="M102" t="str"><v>Tier 0</v></cell><cell r="N102" t="str"><v>North America</v></cell><cell r="O102" t="str"><v>United States</v></cell><cell r="P102" t="str"><v>Trial</v></cell><cell r="Q102" t="str"><v>Social</v></cell><cell r="R102" t="str"><v>Azure</v></cell><cell r="S102" t="str"><v>Apps & Infra</v></cell><cell r="T102" t="str"><v>Developers & ITI's</v></cell><cell r="U102" t="str"><v>USA-Trial-ITD-Lead Completes Lookalike-AZR-AZR</v></cell><cell r="V102" t="str"><v>Lookalike Targeting</v></cell><cell r="W102" t="str"><v>Canvas Collection Ad</v></cell><cell r="X102" t="str"><v>1200x182</v></cell><cell r="Y102" t="str"><v>Try it Now</v></cell><cell r="Z102" t="str"><v>Not Applicable</v></cell><cell r="AA102"><v>43352</v></cell><cell r="AB102" t="str"><v>USA_gaPMG_AZR_AZR_Q1_19_Direct-Social</v></cell><cell r="AC102"><v>21358715</v></cell><cell r="AD102"><v>720197</v></cell><cell r="AE102" t="str"><v>Facebook</v></cell><cell r="AF102"><v>3654128</v></cell><cell r="AG102" t="str"><v>FACEBOOK»USA-Trial-ITD-Lead Completes Lookalike-AZR-AZR»1 x 1»SocialBan»CCA»ALL»CPA»LAL»X»NA»SS»NA»Azure Developer Facebook Collections»PRX71S</v></cell><cell r="AH102"><v>225761645</v></cell><cell r="AI102" t="str"><v>AZR_FBCollections-OSSTryAzureFreeCTA-Img3_USA_1200x182_CCA_Plat_EN_NA_Standard_NA_TIN_T1_3</v></cell><cell r="AJ102"><v>104595724</v></cell></row><row r="103"><cell r="D103" t="str"><v>43352225761645</v></cell><cell r="E103" t="str"><v>43352104595751PRX71S</v></cell><cell r="F103" t="str"><v>DCM</v></cell></row><row r="103"><cell r="H103"><v>7</v></cell><cell r="I103" t="str"><v>Azure Direct</v></cell><cell r="J103" t="str"><v>Azure Direct</v></cell><cell r="K103" t="str"><v>September</v></cell><cell r="L103"><v>43358</v></cell><cell r="M103" t="str"><v>Tier 0</v></cell><cell r="N103" t="str"><v>North America</v></cell><cell r="O103" t="str"><v>United States</v></cell><cell r="P103" t="str"><v>Trial</v></cell><cell r="Q103" t="str"><v>Social</v></cell><cell r="R103" t="str"><v>Azure</v></cell><cell r="S103" t="str"><v>Apps & Infra</v></cell><cell r="T103" t="str"><v>Developers & ITI's</v></cell><cell r="U103" t="str"><v>USA-Trial-ITD-Lead Completes Lookalike-AZR-AZR</v></cell><cell r="V103" t="str"><v>Lookalike Targeting</v></cell><cell r="W103" t="str"><v>Canvas Collection Ad</v></cell><cell r="X103" t="str"><v>1200x182</v></cell><cell r="Y103" t="str"><v>Try it Now</v></cell><cell r="Z103" t="str"><v>Not Applicable</v></cell><cell r="AA103"><v>43352</v></cell><cell r="AB103" t="str"><v>USA_gaPMG_AZR_AZR_Q1_19_Direct-Social</v></cell><cell r="AC103"><v>21358715</v></cell><cell r="AD103"><v>720197</v></cell><cell r="AE103" t="str"><v>Facebook</v></cell><cell r="AF103"><v>3654128</v></cell><cell r="AG103" t="str"><v>FACEBOOK»USA-Trial-ITD-Lead Completes Lookalike-AZR-AZR»1 x 1»SocialBan»CCA»ALL»CPA»LAL»X»NA»SS»NA»Azure Developer Facebook Collections»PRX71S</v></cell><cell r="AH103"><v>225761645</v></cell><cell r="AI103" t="str"><v>AZR_FBCollections-SmartDataTryAzureFreeCTA-Img4_USA_1200x182_CCA_Plat_EN_NA_Standard_NA_TIN_T1_4</v></cell><cell r="AJ103"><v>104595751</v></cell></row><row r="104"><cell r="D104" t="str"><v>43352225761645</v></cell><cell r="E104" t="str"><v>43352104593432PRX71S</v></cell><cell r="F104" t="str"><v>DCM</v></cell></row><row r="104"><cell r="H104"><v>11</v></cell><cell r="I104" t="str"><v>Azure Direct</v></cell><cell r="J104" t="str"><v>Azure Direct</v></cell><cell r="K104" t="str"><v>September</v></cell><cell r="L104"><v>43358</v></cell><cell r="M104" t="str"><v>Tier 0</v></cell><cell r="N104" t="str"><v>North America</v></cell><cell r="O104" t="str"><v>United States</v></cell><cell r="P104" t="str"><v>Trial</v></cell><cell r="Q104" t="str"><v>Social</v></cell><cell r="R104" t="str"><v>Azure</v></cell><cell r="S104" t="str"><v>Apps & Infra</v></cell><cell r="T104" t="str"><v>Developers & ITI's</v></cell><cell r="U104" t="str"><v>USA-Trial-ITD-Lead Completes Lookalike-AZR-AZR</v></cell><cell r="V104" t="str"><v>Lookalike Targeting</v></cell><cell r="W104" t="str"><v>Canvas Collection Ad</v></cell><cell r="X104" t="str"><v>1200x182</v></cell><cell r="Y104" t="str"><v>Try it Now</v></cell><cell r="Z104" t="str"><v>Not Applicable</v></cell><cell r="AA104"><v>43352</v></cell><cell r="AB104" t="str"><v>USA_gaPMG_AZR_AZR_Q1_19_Direct-Social</v></cell><cell r="AC104"><v>21358715</v></cell><cell r="AD104"><v>720197</v></cell><cell r="AE104" t="str"><v>Facebook</v></cell><cell r="AF104"><v>3654128</v></cell><cell r="AG104" t="str"><v>FACEBOOK»USA-Trial-ITD-Lead Completes Lookalike-AZR-AZR»1 x 1»SocialBan»CCA»ALL»CPA»LAL»X»NA»SS»NA»Azure Developer Facebook Collections»PRX71S</v></cell><cell r="AH104"><v>225761645</v></cell><cell r="AI104" t="str"><v>AZR_FBCollections-TryAzureFreeCTA-Img1_USA_1200x182_CCA_Plat_EN_NA_Standard_NA_TIN_T1_1</v></cell><cell r="AJ104"><v>104593432</v></cell></row><row r="105"><cell r="D105" t="str"><v>43352224104896</v></cell><cell r="E105" t="str"><v>43352103043835PRC1RR</v></cell><cell r="F105" t="str"><v>DCM</v></cell></row><row r="105"><cell r="H105"><v>0</v></cell><cell r="I105" t="str"><v>Azure Direct</v></cell><cell r="J105" t="str"><v>Azure Direct</v></cell><cell r="K105" t="str"><v>September</v></cell><cell r="L105"><v>43358</v></cell><cell r="M105" t="str"><v>Tier 0</v></cell><cell r="N105" t="str"><v>North America</v></cell><cell r="O105" t="str"><v>United States</v></cell><cell r="P105" t="str"><v>Trial</v></cell><cell r="Q105" t="str"><v>Social</v></cell><cell r="R105" t="str"><v>Azure</v></cell><cell r="S105" t="str"><v>Apps & Infra</v></cell><cell r="T105" t="str"><v>Developers & ITI's</v></cell><cell r="U105" t="str"><v>USA-Trial-ITD-Retargeting-AZR-AZR</v></cell><cell r="V105" t="str"><v>Retargeting</v></cell><cell r="W105" t="str"><v>Canvas Ad</v></cell><cell r="X105" t="str"><v>10s</v></cell><cell r="Y105" t="str"><v>Try it Now</v></cell><cell r="Z105" t="str"><v>Standard videos</v></cell><cell r="AA105"><v>43352</v></cell><cell r="AB105" t="str"><v>USA_gaPMG_AZR_AZR_Q1_19_Direct-Social</v></cell><cell r="AC105"><v>21358715</v></cell><cell r="AD105"><v>720197</v></cell><cell r="AE105" t="str"><v>Facebook</v></cell><cell r="AF105"><v>3654128</v></cell><cell r="AG105" t="str"><v>FACEBOOK»USA-Trial-ITD-Retargeting-AZR-AZR»1 x 1»SocialBan»CAN»ALL»CPA»RT»X»NA»SS»NA»FBCTCBenefit2inMotion»PRC1RR</v></cell><cell r="AH105"><v>224104896</v></cell><cell r="AI105" t="str"><v>AzurePlatform_FBCTCBenefit2inMotion_USA_10s_CAN_PLATFORM_English_Trial_Standard_STAN_TIN_T4_1</v></cell><cell r="AJ105"><v>103043835</v></cell></row><row r="106"><cell r="D106" t="str"><v>43352226622518</v></cell><cell r="E106" t="str"><v>43352104671427PS79T6</v></cell><cell r="F106" t="str"><v>DCM</v></cell></row><row r="106"><cell r="H106"><v>0</v></cell><cell r="I106" t="str"><v>Azure Direct</v></cell><cell r="J106" t="str"><v>Azure Direct</v></cell><cell r="K106" t="str"><v>September</v></cell><cell r="L106"><v>43358</v></cell><cell r="M106" t="str"><v>Tier 0</v></cell><cell r="N106" t="str"><v>North America</v></cell><cell r="O106" t="str"><v>United States</v></cell><cell r="P106" t="str"><v>Trial</v></cell><cell r="Q106" t="str"><v>Social</v></cell><cell r="R106" t="str"><v>Azure</v></cell><cell r="S106" t="str"><v>Apps & Infra</v></cell><cell r="T106" t="str"><v>Developers & ITI's</v></cell><cell r="U106" t="str"><v>USA-Trial-ITD-Retargeting-AZR-AZR</v></cell><cell r="V106" t="str"><v>Retargeting</v></cell><cell r="W106" t="str"><v>Canvas Ad</v></cell><cell r="X106" t="str"><v>1200x1200</v></cell><cell r="Y106" t="str"><v>Learn More</v></cell><cell r="Z106" t="str"><v>Animated Banner</v></cell><cell r="AA106"><v>43352</v></cell><cell r="AB106" t="str"><v>USA_gaPMG_AZR_AZR_Q1_19_Direct-Social</v></cell><cell r="AC106"><v>21358715</v></cell><cell r="AD106"><v>720197</v></cell><cell r="AE106" t="str"><v>Facebook</v></cell><cell r="AF106"><v>3654128</v></cell><cell r="AG106" t="str"><v>FACEBOOK»USA-Trial-ITD-Retargeting-AZR-AZR»1 x 1»SocialBan»CAN»ALL»CPA»RT»X»NA»SS»NA»FreeAcctDeveloperFB-AnimatedOpenSource-Ch2»PS79T6</v></cell><cell r="AH106"><v>226622518</v></cell><cell r="AI106" t="str"><v>AZR_FreeAcctDeveloperFB-AnimatedOpenSource-Ch2_USA_1200x1200_CAN_Direct_EN_Trial_Standard_ANI_LEA_T2_1</v></cell><cell r="AJ106"><v>104671427</v></cell></row><row r="107"><cell r="D107" t="str"><v>43352226620976</v></cell><cell r="E107" t="str"><v>43352104593738PS79TK</v></cell><cell r="F107" t="str"><v>DCM</v></cell></row><row r="107"><cell r="H107"><v>0</v></cell><cell r="I107" t="str"><v>Azure Direct</v></cell><cell r="J107" t="str"><v>Azure Direct</v></cell><cell r="K107" t="str"><v>September</v></cell><cell r="L107"><v>43358</v></cell><cell r="M107" t="str"><v>Tier 0</v></cell><cell r="N107" t="str"><v>North America</v></cell><cell r="O107" t="str"><v>United States</v></cell><cell r="P107" t="str"><v>Trial</v></cell><cell r="Q107" t="str"><v>Social</v></cell><cell r="R107" t="str"><v>Azure</v></cell><cell r="S107" t="str"><v>Apps & Infra</v></cell><cell r="T107" t="str"><v>Developers & ITI's</v></cell><cell r="U107" t="str"><v>USA-Trial-ITD-Retargeting-AZR-AZR</v></cell><cell r="V107" t="str"><v>Retargeting</v></cell><cell r="W107" t="str"><v>Canvas Ad</v></cell><cell r="X107" t="str"><v>1200x1200</v></cell><cell r="Y107" t="str"><v>Learn More</v></cell><cell r="Z107" t="str"><v>Animated Banner</v></cell><cell r="AA107"><v>43352</v></cell><cell r="AB107" t="str"><v>USA_gaPMG_AZR_AZR_Q1_19_Direct-Social</v></cell><cell r="AC107"><v>21358715</v></cell><cell r="AD107"><v>720197</v></cell><cell r="AE107" t="str"><v>Facebook</v></cell><cell r="AF107"><v>3654128</v></cell><cell r="AG107" t="str"><v>FACEBOOK»USA-Trial-ITD-Retargeting-AZR-AZR»1 x 1»SocialBan»CAN»ALL»CPA»RT»X»NA»SS»NA»FreeAcctITProFB-AnimatedSecureMngd-Ch1»PS79TK</v></cell><cell r="AH107"><v>226620976</v></cell><cell r="AI107" t="str"><v>AZR_FreeAcctITProFB-AnimatedSecureMngd-Ch1_USA_1200x1200_CAN_Direct_EN_Trial_Standard_ANI_LEA_T1_1</v></cell><cell r="AJ107"><v>104593738</v></cell></row><row r="108"><cell r="D108" t="str"><v>43352226783983</v></cell><cell r="E108" t="str"><v>43352104592526PS79S1</v></cell><cell r="F108" t="str"><v>DCM</v></cell></row><row r="108"><cell r="H108"><v>1</v></cell><cell r="I108" t="str"><v>Azure Direct</v></cell><cell r="J108" t="str"><v>Azure Direct</v></cell><cell r="K108" t="str"><v>September</v></cell><cell r="L108"><v>43358</v></cell><cell r="M108" t="str"><v>Tier 0</v></cell><cell r="N108" t="str"><v>North America</v></cell><cell r="O108" t="str"><v>United States</v></cell><cell r="P108" t="str"><v>Trial</v></cell><cell r="Q108" t="str"><v>Social</v></cell><cell r="R108" t="str"><v>Azure</v></cell><cell r="S108" t="str"><v>Apps & Infra</v></cell><cell r="T108" t="str"><v>Developers & ITI's</v></cell><cell r="U108" t="str"><v>USA-Trial-ITD-Retargeting-AZR-AZR</v></cell><cell r="V108" t="str"><v>Retargeting</v></cell><cell r="W108" t="str"><v>Canvas Ad</v></cell><cell r="X108" t="str"><v>1200x628</v></cell><cell r="Y108" t="str"><v>Sign Up</v></cell><cell r="Z108" t="str"><v>Not Applicable</v></cell><cell r="AA108"><v>43352</v></cell><cell r="AB108" t="str"><v>USA_gaPMG_AZR_AZR_Q1_19_Direct-Social</v></cell><cell r="AC108"><v>21358715</v></cell><cell r="AD108"><v>720197</v></cell><cell r="AE108" t="str"><v>Facebook</v></cell><cell r="AF108"><v>3654128</v></cell><cell r="AG108" t="str"><v>FACEBOOK»USA-Trial-ITD-Retargeting-AZR-AZR»1 x 1»SocialBan»CAN»ALL»CPA»RT»X»NA»SS»NA»FreeAcctRetargetingFB-Credit-ChA»PS79S1</v></cell><cell r="AH108"><v>226783983</v></cell><cell r="AI108" t="str"><v>AZR_FreeAcctRetargetingFB-Credit-ChA_USA_1200x628_CAN_Plat_English_Free Account_Standard_NA_SINU_T1_2</v></cell><cell r="AJ108"><v>104592526</v></cell></row><row r="109"><cell r="D109" t="str"><v>43352223862756</v></cell><cell r="E109" t="str"><v>43352103180592PRC1RW</v></cell><cell r="F109" t="str"><v>DCM</v></cell></row><row r="109"><cell r="H109"><v>15</v></cell><cell r="I109" t="str"><v>Azure Direct</v></cell><cell r="J109" t="str"><v>Azure Direct</v></cell><cell r="K109" t="str"><v>September</v></cell><cell r="L109"><v>43358</v></cell><cell r="M109" t="str"><v>Tier 0</v></cell><cell r="N109" t="str"><v>North America</v></cell><cell r="O109" t="str"><v>United States</v></cell><cell r="P109" t="str"><v>Trial</v></cell><cell r="Q109" t="str"><v>Social</v></cell><cell r="R109" t="str"><v>Azure</v></cell><cell r="S109" t="str"><v>Apps & Infra</v></cell><cell r="T109" t="str"><v>Developers & ITI's</v></cell><cell r="U109" t="str"><v>USA-Trial-ITD-Retargeting-AZR-AZR</v></cell><cell r="V109" t="str"><v>Retargeting</v></cell><cell r="W109" t="str"><v>Link Ad</v></cell><cell r="X109" t="str"><v>1200x628</v></cell><cell r="Y109" t="str"><v>Sign Up</v></cell><cell r="Z109" t="str"><v>Not Applicable</v></cell><cell r="AA109"><v>43352</v></cell><cell r="AB109" t="str"><v>USA_gaPMG_AZR_AZR_Q1_19_Direct-Social</v></cell><cell r="AC109"><v>21358715</v></cell><cell r="AD109"><v>720197</v></cell><cell r="AE109" t="str"><v>Facebook</v></cell><cell r="AF109"><v>3654128</v></cell><cell r="AG109" t="str"><v>FACEBOOK»USA-Trial-ITD-Retargeting-AZR-AZR»1 x 1»SocialBan»LIA»ALL»CPA»RT»X»NA»SS»NA»FreeAcctRetargetingFB-GlobalAlt-ChB»PRC1RW</v></cell><cell r="AH109"><v>223862756</v></cell><cell r="AI109" t="str"><v>AzurePlatform_FreeAcctRetargetingFB-GlobalAlt-ChB_USA_1200x628_CAN_PLATFORM_English_Free Account_Standard_NA_SINU_T2_1</v></cell><cell r="AJ109"><v>103180592</v></cell></row><row r="110"><cell r="D110" t="str"><v>43352223862747</v></cell><cell r="E110" t="str"><v>43352103034911PRC1RY</v></cell><cell r="F110" t="str"><v>DCM</v></cell></row><row r="110"><cell r="H110"><v>33</v></cell><cell r="I110" t="str"><v>Azure Direct</v></cell><cell r="J110" t="str"><v>Azure Direct</v></cell><cell r="K110" t="str"><v>September</v></cell><cell r="L110"><v>43358</v></cell><cell r="M110" t="str"><v>Tier 0</v></cell><cell r="N110" t="str"><v>North America</v></cell><cell r="O110" t="str"><v>United States</v></cell><cell r="P110" t="str"><v>Trial</v></cell><cell r="Q110" t="str"><v>Social</v></cell><cell r="R110" t="str"><v>Azure</v></cell><cell r="S110" t="str"><v>Apps & Infra</v></cell><cell r="T110" t="str"><v>Developers & ITI's</v></cell><cell r="U110" t="str"><v>USA-Trial-ITD-Retargeting-AZR-AZR</v></cell><cell r="V110" t="str"><v>Retargeting</v></cell><cell r="W110" t="str"><v>Link Ad</v></cell><cell r="X110" t="str"><v>1200x628</v></cell><cell r="Y110" t="str"><v>Sign Up</v></cell><cell r="Z110" t="str"><v>Not Applicable</v></cell><cell r="AA110"><v>43352</v></cell><cell r="AB110" t="str"><v>USA_gaPMG_AZR_AZR_Q1_19_Direct-Social</v></cell><cell r="AC110"><v>21358715</v></cell><cell r="AD110"><v>720197</v></cell><cell r="AE110" t="str"><v>Facebook</v></cell><cell r="AF110"><v>3654128</v></cell><cell r="AG110" t="str"><v>FACEBOOK»USA-Trial-ITD-Retargeting-AZR-AZR»1 x 1»SocialBan»LIA»ALL»CPA»RT»X»NA»SS»NA»FreeAcctRetargetingVMFB-750Hrs-ChD»PRC1RY</v></cell><cell r="AH110"><v>223862747</v></cell><cell r="AI110" t="str"><v>AzurePlatform_FreeAcctRetargetingVMFB-750Hrs-ChD_USA_1200x628_CAN_PLATFORM_English_Free Account_Standard_NA_SINU_T1_1</v></cell><cell r="AJ110"><v>103034911</v></cell></row><row r="111"><cell r="D111" t="str"><v>43352224104899</v></cell><cell r="E111" t="str"><v>43352103180610PRC1S0</v></cell><cell r="F111" t="str"><v>DCM</v></cell></row><row r="111"><cell r="H111"><v>0</v></cell><cell r="I111" t="str"><v>Azure Direct</v></cell><cell r="J111" t="str"><v>Azure Direct</v></cell><cell r="K111" t="str"><v>September</v></cell><cell r="L111"><v>43358</v></cell><cell r="M111" t="str"><v>Tier 0</v></cell><cell r="N111" t="str"><v>North America</v></cell><cell r="O111" t="str"><v>United States</v></cell><cell r="P111" t="str"><v>Trial</v></cell><cell r="Q111" t="str"><v>Social</v></cell><cell r="R111" t="str"><v>Azure</v></cell><cell r="S111" t="str"><v>Apps & Infra</v></cell><cell r="T111" t="str"><v>Developers & ITI's</v></cell><cell r="U111" t="str"><v>USA-Trial-ITD-Retargeting-AZR-AZR</v></cell><cell r="V111" t="str"><v>Retargeting</v></cell><cell r="W111" t="str"><v>Link Ad</v></cell><cell r="X111" t="str"><v>1200x628</v></cell><cell r="Y111" t="str"><v>Sign Up</v></cell><cell r="Z111" t="str"><v>Not Applicable</v></cell><cell r="AA111"><v>43352</v></cell><cell r="AB111" t="str"><v>USA_gaPMG_AZR_AZR_Q1_19_Direct-Social</v></cell><cell r="AC111"><v>21358715</v></cell><cell r="AD111"><v>720197</v></cell><cell r="AE111" t="str"><v>Facebook</v></cell><cell r="AF111"><v>3654128</v></cell><cell r="AG111" t="str"><v>FACEBOOK»USA-Trial-ITD-Retargeting-AZR-AZR»1 x 1»SocialBan»LIA»ALL»CPA»RT»X»NA»SS»NA»FreeAcctRetargetingVMFB-OnDemand-ChE»PRC1S0</v></cell><cell r="AH111"><v>224104899</v></cell><cell r="AI111" t="str"><v>AzurePlatform_FreeAcctRetargetingVMFB-OnDemand-ChE_USA_1200x628_CAN_PLATFORM_English_Free Account_Standard_NA_SINU_T2_1</v></cell><cell r="AJ111"><v>103180610</v></cell></row><row r="112"><cell r="D112" t="str"><v>43352223862900</v></cell><cell r="E112" t="str"><v>43352103176812PRC1M3</v></cell><cell r="F112" t="str"><v>DCM</v></cell></row><row r="112"><cell r="H112"><v>0</v></cell><cell r="I112" t="str"><v>Azure Direct</v></cell><cell r="J112" t="str"><v>Azure Direct</v></cell><cell r="K112" t="str"><v>September</v></cell><cell r="L112"><v>43358</v></cell><cell r="M112" t="str"><v>Tier 0</v></cell><cell r="N112" t="str"><v>North America</v></cell><cell r="O112" t="str"><v>United States</v></cell><cell r="P112" t="str"><v>Trial</v></cell><cell r="Q112" t="str"><v>Social</v></cell><cell r="R112" t="str"><v>Azure</v></cell><cell r="S112" t="str"><v>Apps & Infra</v></cell><cell r="T112" t="str"><v>Developers & ITI's</v></cell><cell r="U112" t="str"><v>USA-Trial-ITD-Trial Lookalike-AZR-AZR</v></cell><cell r="V112" t="str"><v>Lookalike Targeting</v></cell><cell r="W112" t="str"><v>Canvas Ad</v></cell><cell r="X112" t="str"><v>10s</v></cell><cell r="Y112" t="str"><v>Try it Now</v></cell><cell r="Z112" t="str"><v>Standard videos</v></cell><cell r="AA112"><v>43352</v></cell><cell r="AB112" t="str"><v>USA_gaPMG_AZR_AZR_Q1_19_Direct-Social</v></cell><cell r="AC112"><v>21358715</v></cell><cell r="AD112"><v>720197</v></cell><cell r="AE112" t="str"><v>Facebook</v></cell><cell r="AF112"><v>3654128</v></cell><cell r="AG112" t="str"><v>FACEBOOK»USA-Trial-ITD-Trial Lookalike-AZR-AZR»1 x 1»SocialBan»CAN»ALL»CPA»LAL»X»NA»SS»NA»FBCTCBrandinMotion»PRC1M3</v></cell><cell r="AH112"><v>223862900</v></cell><cell r="AI112" t="str"><v>AzurePlatform_FBCTCBrandinMotion_USA_10s_CAN_PLATFORM_English_Trial_Standard_STAN_TIN_T2_1</v></cell><cell r="AJ112"><v>103176812</v></cell></row><row r="113"><cell r="D113" t="str"><v>43352226784007</v></cell><cell r="E113" t="str"><v>43352104592523PS7B4W</v></cell><cell r="F113" t="str"><v>DCM</v></cell></row><row r="113"><cell r="H113"><v>1</v></cell><cell r="I113" t="str"><v>Azure Direct</v></cell><cell r="J113" t="str"><v>Azure Direct</v></cell><cell r="K113" t="str"><v>September</v></cell><cell r="L113"><v>43358</v></cell><cell r="M113" t="str"><v>Tier 0</v></cell><cell r="N113" t="str"><v>North America</v></cell><cell r="O113" t="str"><v>United States</v></cell><cell r="P113" t="str"><v>Trial</v></cell><cell r="Q113" t="str"><v>Social</v></cell><cell r="R113" t="str"><v>Azure</v></cell><cell r="S113" t="str"><v>Apps & Infra</v></cell><cell r="T113" t="str"><v>Developers & ITI's</v></cell><cell r="U113" t="str"><v>USA-Trial-ITD-Trial Lookalike-AZR-AZR</v></cell><cell r="V113" t="str"><v>Lookalike Targeting</v></cell><cell r="W113" t="str"><v>Canvas Ad</v></cell><cell r="X113" t="str"><v>1200x1200</v></cell><cell r="Y113" t="str"><v>Learn More</v></cell><cell r="Z113" t="str"><v>Animated Banner</v></cell><cell r="AA113"><v>43352</v></cell><cell r="AB113" t="str"><v>USA_gaPMG_AZR_AZR_Q1_19_Direct-Social</v></cell><cell r="AC113"><v>21358715</v></cell><cell r="AD113"><v>720197</v></cell><cell r="AE113" t="str"><v>Facebook</v></cell><cell r="AF113"><v>3654128</v></cell><cell r="AG113" t="str"><v>FACEBOOK»USA-Trial-ITD-Trial Lookalike-AZR-AZR»1 x 1»SocialBan»CAN»ALL»CPA»LAL»X»NA»SS»NA»FreeAcctDeveloperFB-AnimatedGeneric-Ch1»PS7B4W</v></cell><cell r="AH113"><v>226784007</v></cell><cell r="AI113" t="str"><v>AZR_FreeAcctDeveloperFB-AnimatedGeneric-Ch1_USA_1200x1200_CAN_Direct_EN_Trial_Standard_ANI_LEA_T1_2</v></cell><cell r="AJ113"><v>104592523</v></cell></row><row r="114"><cell r="D114" t="str"><v>43352225282481</v></cell><cell r="E114" t="str"><v>43352103776921PRSH0N</v></cell><cell r="F114" t="str"><v>DCM</v></cell></row><row r="114"><cell r="H114"><v>6</v></cell><cell r="I114" t="str"><v>Azure Direct</v></cell><cell r="J114" t="str"><v>Azure Direct</v></cell><cell r="K114" t="str"><v>September</v></cell><cell r="L114"><v>43358</v></cell><cell r="M114" t="str"><v>Tier 0</v></cell><cell r="N114" t="str"><v>North America</v></cell><cell r="O114" t="str"><v>United States</v></cell><cell r="P114" t="str"><v>Trial</v></cell><cell r="Q114" t="str"><v>Social</v></cell><cell r="R114" t="str"><v>Azure</v></cell><cell r="S114" t="str"><v>Apps & Infra</v></cell><cell r="T114" t="str"><v>Developers & ITI's</v></cell><cell r="U114" t="str"><v>USA-Trial-ITD-Trial Lookalike-AZR-AZR</v></cell><cell r="V114" t="str"><v>Lookalike Targeting</v></cell><cell r="W114" t="str"><v>Canvas Collection Ad</v></cell><cell r="X114" t="str"><v>1200x182</v></cell><cell r="Y114" t="str"><v>Try it Now</v></cell><cell r="Z114" t="str"><v>Not Applicable</v></cell><cell r="AA114"><v>43352</v></cell><cell r="AB114" t="str"><v>USA_gaPMG_AZR_AZR_Q1_19_Direct-Social</v></cell><cell r="AC114"><v>21358715</v></cell><cell r="AD114"><v>720197</v></cell><cell r="AE114" t="str"><v>Facebook</v></cell><cell r="AF114"><v>3654128</v></cell><cell r="AG114" t="str"><v>FACEBOOK»USA-Trial-ITD-Trial Lookalike-AZR-AZR»1 x 1»SocialBan»CCA»ALL»CPA»LAL»X»NA»SS»NA»Azure Developer Facebook Collections»PRSH0N</v></cell><cell r="AH114"><v>225282481</v></cell><cell r="AI114" t="str"><v>AZR_FBCollections-FreeStuffTryAzureFreeCTA-Img5_USA_1200x182_SOC_Plat_EN_NA_Standard_NA_TIN_T1_5</v></cell><cell r="AJ114"><v>103776921</v></cell></row><row r="115"><cell r="D115" t="str"><v>43352225282481</v></cell><cell r="E115" t="str"><v>43352103773180PRSH0N</v></cell><cell r="F115" t="str"><v>DCM</v></cell></row><row r="115"><cell r="H115"><v>15</v></cell><cell r="I115" t="str"><v>Azure Direct</v></cell><cell r="J115" t="str"><v>Azure Direct</v></cell><cell r="K115" t="str"><v>September</v></cell><cell r="L115"><v>43358</v></cell><cell r="M115" t="str"><v>Tier 0</v></cell><cell r="N115" t="str"><v>North America</v></cell><cell r="O115" t="str"><v>United States</v></cell><cell r="P115" t="str"><v>Trial</v></cell><cell r="Q115" t="str"><v>Social</v></cell><cell r="R115" t="str"><v>Azure</v></cell><cell r="S115" t="str"><v>Apps & Infra</v></cell><cell r="T115" t="str"><v>Developers & ITI's</v></cell><cell r="U115" t="str"><v>USA-Trial-ITD-Trial Lookalike-AZR-AZR</v></cell><cell r="V115" t="str"><v>Lookalike Targeting</v></cell><cell r="W115" t="str"><v>Canvas Collection Ad</v></cell><cell r="X115" t="str"><v>1200x182</v></cell><cell r="Y115" t="str"><v>Try it Now</v></cell><cell r="Z115" t="str"><v>Not Applicable</v></cell><cell r="AA115"><v>43352</v></cell><cell r="AB115" t="str"><v>USA_gaPMG_AZR_AZR_Q1_19_Direct-Social</v></cell><cell r="AC115"><v>21358715</v></cell><cell r="AD115"><v>720197</v></cell><cell r="AE115" t="str"><v>Facebook</v></cell><cell r="AF115"><v>3654128</v></cell><cell r="AG115" t="str"><v>FACEBOOK»USA-Trial-ITD-Trial Lookalike-AZR-AZR»1 x 1»SocialBan»CCA»ALL»CPA»LAL»X»NA»SS»NA»Azure Developer Facebook Collections»PRSH0N</v></cell><cell r="AH115"><v>225282481</v></cell><cell r="AI115" t="str"><v>AZR_FBCollections-SmartDataTryAzureFreeCTA-Img4_USA_1200x182_SOC_Plat_EN_NA_Standard_NA_TIN_T1_4</v></cell><cell r="AJ115"><v>103773180</v></cell></row><row r="116"><cell r="D116" t="str"><v>43352225282481</v></cell><cell r="E116" t="str"><v>43352103874423PRSH0N</v></cell><cell r="F116" t="str"><v>DCM</v></cell></row><row r="116"><cell r="H116"><v>26</v></cell><cell r="I116" t="str"><v>Azure Direct</v></cell><cell r="J116" t="str"><v>Azure Direct</v></cell><cell r="K116" t="str"><v>September</v></cell><cell r="L116"><v>43358</v></cell><cell r="M116" t="str"><v>Tier 0</v></cell><cell r="N116" t="str"><v>North America</v></cell><cell r="O116" t="str"><v>United States</v></cell><cell r="P116" t="str"><v>Trial</v></cell><cell r="Q116" t="str"><v>Social</v></cell><cell r="R116" t="str"><v>Azure</v></cell><cell r="S116" t="str"><v>Apps & Infra</v></cell><cell r="T116" t="str"><v>Developers & ITI's</v></cell><cell r="U116" t="str"><v>USA-Trial-ITD-Trial Lookalike-AZR-AZR</v></cell><cell r="V116" t="str"><v>Lookalike Targeting</v></cell><cell r="W116" t="str"><v>Canvas Collection Ad</v></cell><cell r="X116" t="str"><v>1200x182</v></cell><cell r="Y116" t="str"><v>Try it Now</v></cell><cell r="Z116" t="str"><v>Not Applicable</v></cell><cell r="AA116"><v>43352</v></cell><cell r="AB116" t="str"><v>USA_gaPMG_AZR_AZR_Q1_19_Direct-Social</v></cell><cell r="AC116"><v>21358715</v></cell><cell r="AD116"><v>720197</v></cell><cell r="AE116" t="str"><v>Facebook</v></cell><cell r="AF116"><v>3654128</v></cell><cell r="AG116" t="str"><v>FACEBOOK»USA-Trial-ITD-Trial Lookalike-AZR-AZR»1 x 1»SocialBan»CCA»ALL»CPA»LAL»X»NA»SS»NA»Azure Developer Facebook Collections»PRSH0N</v></cell><cell r="AH116"><v>225282481</v></cell><cell r="AI116" t="str"><v>AZR_FBCollections-TryAzureFreeCTA-Img1_USA_1200x182_SOC_Plat_EN_NA_Standard_NA_TIN_T1_1</v></cell><cell r="AJ116"><v>103874423</v></cell></row><row r="117"><cell r="D117" t="str"><v>43352225282481</v></cell><cell r="E117" t="str"><v>43352103773177PRSH0N</v></cell><cell r="F117" t="str"><v>DCM</v></cell></row><row r="117"><cell r="H117"><v>4</v></cell><cell r="I117" t="str"><v>Azure Direct</v></cell><cell r="J117" t="str"><v>Azure Direct</v></cell><cell r="K117" t="str"><v>September</v></cell><cell r="L117"><v>43358</v></cell><cell r="M117" t="str"><v>Tier 0</v></cell><cell r="N117" t="str"><v>North America</v></cell><cell r="O117" t="str"><v>United States</v></cell><cell r="P117" t="str"><v>Trial</v></cell><cell r="Q117" t="str"><v>Social</v></cell><cell r="R117" t="str"><v>Azure</v></cell><cell r="S117" t="str"><v>Apps & Infra</v></cell><cell r="T117" t="str"><v>Developers & ITI's</v></cell><cell r="U117" t="str"><v>USA-Trial-ITD-Trial Lookalike-AZR-AZR</v></cell><cell r="V117" t="str"><v>Lookalike Targeting</v></cell><cell r="W117" t="str"><v>Canvas Collection Ad</v></cell><cell r="X117" t="str"><v>1200x182</v></cell><cell r="Y117" t="str"><v>Try it Now</v></cell><cell r="Z117" t="str"><v>Not Applicable</v></cell><cell r="AA117"><v>43352</v></cell><cell r="AB117" t="str"><v>USA_gaPMG_AZR_AZR_Q1_19_Direct-Social</v></cell><cell r="AC117"><v>21358715</v></cell><cell r="AD117"><v>720197</v></cell><cell r="AE117" t="str"><v>Facebook</v></cell><cell r="AF117"><v>3654128</v></cell><cell r="AG117" t="str"><v>FACEBOOK»USA-Trial-ITD-Trial Lookalike-AZR-AZR»1 x 1»SocialBan»CCA»ALL»CPA»LAL»X»NA»SS»NA»Azure Developer Facebook Collections»PRSH0N</v></cell><cell r="AH117"><v>225282481</v></cell><cell r="AI117" t="str"><v>AZR_FBCollections-AITryAzureFreeCTA-Img2_USA_1200x182_SOC_Plat_EN_NA_Standard_NA_TIN_T1_2</v></cell><cell r="AJ117"><v>103773177</v></cell></row><row r="118"><cell r="D118" t="str"><v>43352223862933</v></cell><cell r="E118" t="str"><v>43352103037935PRC1M8</v></cell><cell r="F118" t="str"><v>DCM</v></cell></row><row r="118"><cell r="H118"><v>0</v></cell><cell r="I118" t="str"><v>Azure Direct</v></cell><cell r="J118" t="str"><v>Azure Direct</v></cell><cell r="K118" t="str"><v>September</v></cell><cell r="L118"><v>43358</v></cell><cell r="M118" t="str"><v>Tier 0</v></cell><cell r="N118" t="str"><v>North America</v></cell><cell r="O118" t="str"><v>United States</v></cell><cell r="P118" t="str"><v>Trial</v></cell><cell r="Q118" t="str"><v>Social</v></cell><cell r="R118" t="str"><v>Azure</v></cell><cell r="S118" t="str"><v>Apps & Infra</v></cell><cell r="T118" t="str"><v>Developers & ITI's</v></cell><cell r="U118" t="str"><v>USA-Trial-ITD-Trial Lookalike-AZR-AZR</v></cell><cell r="V118" t="str"><v>Lookalike Targeting</v></cell><cell r="W118" t="str"><v>Link Ad</v></cell><cell r="X118" t="str"><v>1200x1200</v></cell><cell r="Y118" t="str"><v>Learn More</v></cell><cell r="Z118" t="str"><v>Animated Banner</v></cell><cell r="AA118"><v>43352</v></cell><cell r="AB118" t="str"><v>USA_gaPMG_AZR_AZR_Q1_19_Direct-Social</v></cell><cell r="AC118"><v>21358715</v></cell><cell r="AD118"><v>720197</v></cell><cell r="AE118" t="str"><v>Facebook</v></cell><cell r="AF118"><v>3654128</v></cell><cell r="AG118" t="str"><v>FACEBOOK»USA-Trial-ITD-Trial Lookalike-AZR-AZR»1 x 1»SocialBan»LIA»ALL»CPA»LAL»X»NA»SS»NA»FreeAcctDeveloperFB-AnimatedData-Ch4»PRC1M8</v></cell><cell r="AH118"><v>223862933</v></cell><cell r="AI118" t="str"><v>AZR_FreeAcctDeveloperFB-AnimatedData-Ch4_USA_1200x1200_CAN_Direct_English_Trial_Standard_ANI_LEA_T4_2</v></cell><cell r="AJ118"><v>103037935</v></cell></row><row r="119"><cell r="D119" t="str"><v>43352223935664</v></cell><cell r="E119" t="str"><v>43352103043823PRC1Q0</v></cell><cell r="F119" t="str"><v>DCM</v></cell></row><row r="119"><cell r="H119"><v>0</v></cell><cell r="I119" t="str"><v>Azure Direct</v></cell><cell r="J119" t="str"><v>Azure Direct</v></cell><cell r="K119" t="str"><v>September</v></cell><cell r="L119"><v>43358</v></cell><cell r="M119" t="str"><v>Tier 0</v></cell><cell r="N119" t="str"><v>North America</v></cell><cell r="O119" t="str"><v>United States</v></cell><cell r="P119" t="str"><v>Trial</v></cell><cell r="Q119" t="str"><v>Social</v></cell><cell r="R119" t="str"><v>Azure</v></cell><cell r="S119" t="str"><v>Apps & Infra</v></cell><cell r="T119" t="str"><v>Developers & ITI's</v></cell><cell r="U119" t="str"><v>USA-Trial-ITD-Trial PayGo Lookalike-AZR-AZR</v></cell><cell r="V119" t="str"><v>Lookalike Targeting</v></cell><cell r="W119" t="str"><v>Canvas Ad</v></cell><cell r="X119" t="str"><v>10s</v></cell><cell r="Y119" t="str"><v>Try it Now</v></cell><cell r="Z119" t="str"><v>Standard videos</v></cell><cell r="AA119"><v>43352</v></cell><cell r="AB119" t="str"><v>USA_gaPMG_AZR_AZR_Q1_19_Direct-Social</v></cell><cell r="AC119"><v>21358715</v></cell><cell r="AD119"><v>720197</v></cell><cell r="AE119" t="str"><v>Facebook</v></cell><cell r="AF119"><v>3654128</v></cell><cell r="AG119" t="str"><v>FACEBOOK»USA-Trial-ITD-Trial PayGo Lookalike-AZR-AZR»1 x 1»SocialBan»CAN»ALL»CPA»LAL»X»NA»SS»NA»FBCTCBasicMotion»PRC1Q0</v></cell><cell r="AH119"><v>223935664</v></cell><cell r="AI119" t="str"><v>AzurePlatform_FBCTCBasicMotion_USA_10s_CAN_PLATFORM_English_Trial_Standard_STAN_TIN_T1_1</v></cell><cell r="AJ119"><v>103043823</v></cell></row><row r="120"><cell r="D120" t="str"><v>43352224104986</v></cell><cell r="E120" t="str"><v>43352103043835PRC1Q1</v></cell><cell r="F120" t="str"><v>DCM</v></cell></row><row r="120"><cell r="H120"><v>1</v></cell><cell r="I120" t="str"><v>Azure Direct</v></cell><cell r="J120" t="str"><v>Azure Direct</v></cell><cell r="K120" t="str"><v>September</v></cell><cell r="L120"><v>43358</v></cell><cell r="M120" t="str"><v>Tier 0</v></cell><cell r="N120" t="str"><v>North America</v></cell><cell r="O120" t="str"><v>United States</v></cell><cell r="P120" t="str"><v>Trial</v></cell><cell r="Q120" t="str"><v>Social</v></cell><cell r="R120" t="str"><v>Azure</v></cell><cell r="S120" t="str"><v>Apps & Infra</v></cell><cell r="T120" t="str"><v>Developers & ITI's</v></cell><cell r="U120" t="str"><v>USA-Trial-ITD-Trial PayGo Lookalike-AZR-AZR</v></cell><cell r="V120" t="str"><v>Lookalike Targeting</v></cell><cell r="W120" t="str"><v>Canvas Ad</v></cell><cell r="X120" t="str"><v>10s</v></cell><cell r="Y120" t="str"><v>Try it Now</v></cell><cell r="Z120" t="str"><v>Standard videos</v></cell><cell r="AA120"><v>43352</v></cell><cell r="AB120" t="str"><v>USA_gaPMG_AZR_AZR_Q1_19_Direct-Social</v></cell><cell r="AC120"><v>21358715</v></cell><cell r="AD120"><v>720197</v></cell><cell r="AE120" t="str"><v>Facebook</v></cell><cell r="AF120"><v>3654128</v></cell><cell r="AG120" t="str"><v>FACEBOOK»USA-Trial-ITD-Trial PayGo Lookalike-AZR-AZR»1 x 1»SocialBan»CAN»ALL»CPA»LAL»X»NA»SS»NA»FBCTCBenefit2inMotion»PRC1Q1</v></cell><cell r="AH120"><v>224104986</v></cell><cell r="AI120" t="str"><v>AzurePlatform_FBCTCBenefit2inMotion_USA_10s_CAN_PLATFORM_English_Trial_Standard_STAN_TIN_T4_1</v></cell><cell r="AJ120"><v>103043835</v></cell></row><row r="121"><cell r="D121" t="str"><v>43352223862960</v></cell><cell r="E121" t="str"><v>43352103032775PRC1Q2</v></cell><cell r="F121" t="str"><v>DCM</v></cell></row><row r="121"><cell r="H121"><v>0</v></cell><cell r="I121" t="str"><v>Azure Direct</v></cell><cell r="J121" t="str"><v>Azure Direct</v></cell><cell r="K121" t="str"><v>September</v></cell><cell r="L121"><v>43358</v></cell><cell r="M121" t="str"><v>Tier 0</v></cell><cell r="N121" t="str"><v>North America</v></cell><cell r="O121" t="str"><v>United States</v></cell><cell r="P121" t="str"><v>Trial</v></cell><cell r="Q121" t="str"><v>Social</v></cell><cell r="R121" t="str"><v>Azure</v></cell><cell r="S121" t="str"><v>Apps & Infra</v></cell><cell r="T121" t="str"><v>Developers & ITI's</v></cell><cell r="U121" t="str"><v>USA-Trial-ITD-Trial PayGo Lookalike-AZR-AZR</v></cell><cell r="V121" t="str"><v>Lookalike Targeting</v></cell><cell r="W121" t="str"><v>Canvas Ad</v></cell><cell r="X121" t="str"><v>10s</v></cell><cell r="Y121" t="str"><v>Try it Now</v></cell><cell r="Z121" t="str"><v>Standard videos</v></cell><cell r="AA121"><v>43352</v></cell><cell r="AB121" t="str"><v>USA_gaPMG_AZR_AZR_Q1_19_Direct-Social</v></cell><cell r="AC121"><v>21358715</v></cell><cell r="AD121"><v>720197</v></cell><cell r="AE121" t="str"><v>Facebook</v></cell><cell r="AF121"><v>3654128</v></cell><cell r="AG121" t="str"><v>FACEBOOK»USA-Trial-ITD-Trial PayGo Lookalike-AZR-AZR»1 x 1»SocialBan»CAN»ALL»CPA»LAL»X»NA»SS»NA»FBCTCBenefitinMotion»PRC1Q2</v></cell><cell r="AH121"><v>223862960</v></cell><cell r="AI121" t="str"><v>AzurePlatform_FBCTCBenefitinMotion_USA_10s_CAN_PLATFORM_English_Trial_Standard_STAN_TIN_T3_1</v></cell><cell r="AJ121"><v>103032775</v></cell></row><row r="122"><cell r="D122" t="str"><v>43352223935349</v></cell><cell r="E122" t="str"><v>43352103176812PRC1Q3</v></cell><cell r="F122" t="str"><v>DCM</v></cell></row><row r="122"><cell r="H122"><v>0</v></cell><cell r="I122" t="str"><v>Azure Direct</v></cell><cell r="J122" t="str"><v>Azure Direct</v></cell><cell r="K122" t="str"><v>September</v></cell><cell r="L122"><v>43358</v></cell><cell r="M122" t="str"><v>Tier 0</v></cell><cell r="N122" t="str"><v>North America</v></cell><cell r="O122" t="str"><v>United States</v></cell><cell r="P122" t="str"><v>Trial</v></cell><cell r="Q122" t="str"><v>Social</v></cell><cell r="R122" t="str"><v>Azure</v></cell><cell r="S122" t="str"><v>Apps & Infra</v></cell><cell r="T122" t="str"><v>Developers & ITI's</v></cell><cell r="U122" t="str"><v>USA-Trial-ITD-Trial PayGo Lookalike-AZR-AZR</v></cell><cell r="V122" t="str"><v>Lookalike Targeting</v></cell><cell r="W122" t="str"><v>Canvas Ad</v></cell><cell r="X122" t="str"><v>10s</v></cell><cell r="Y122" t="str"><v>Try it Now</v></cell><cell r="Z122" t="str"><v>Standard videos</v></cell><cell r="AA122"><v>43352</v></cell><cell r="AB122" t="str"><v>USA_gaPMG_AZR_AZR_Q1_19_Direct-Social</v></cell><cell r="AC122"><v>21358715</v></cell><cell r="AD122"><v>720197</v></cell><cell r="AE122" t="str"><v>Facebook</v></cell><cell r="AF122"><v>3654128</v></cell><cell r="AG122" t="str"><v>FACEBOOK»USA-Trial-ITD-Trial PayGo Lookalike-AZR-AZR»1 x 1»SocialBan»CAN»ALL»CPA»LAL»X»NA»SS»NA»FBCTCBrandinMotion»PRC1Q3</v></cell><cell r="AH122"><v>223935349</v></cell><cell r="AI122" t="str"><v>AzurePlatform_FBCTCBrandinMotion_USA_10s_CAN_PLATFORM_English_Trial_Standard_STAN_TIN_T2_1</v></cell><cell r="AJ122"><v>103176812</v></cell></row><row r="123"><cell r="D123" t="str"><v>43352226536149</v></cell><cell r="E123" t="str"><v>43352104595739PS7B5V</v></cell><cell r="F123" t="str"><v>DCM</v></cell></row><row r="123"><cell r="H123"><v>0</v></cell><cell r="I123" t="str"><v>Azure Direct</v></cell><cell r="J123" t="str"><v>Azure Direct</v></cell><cell r="K123" t="str"><v>September</v></cell><cell r="L123"><v>43358</v></cell><cell r="M123" t="str"><v>Tier 0</v></cell><cell r="N123" t="str"><v>North America</v></cell><cell r="O123" t="str"><v>United States</v></cell><cell r="P123" t="str"><v>Trial</v></cell><cell r="Q123" t="str"><v>Social</v></cell><cell r="R123" t="str"><v>Azure</v></cell><cell r="S123" t="str"><v>Apps & Infra</v></cell><cell r="T123" t="str"><v>Developers & ITI's</v></cell><cell r="U123" t="str"><v>USA-Trial-ITD-Trial PayGo Lookalike-AZR-AZR</v></cell><cell r="V123" t="str"><v>Lookalike Targeting</v></cell><cell r="W123" t="str"><v>Canvas Ad</v></cell><cell r="X123" t="str"><v>1200x1200</v></cell><cell r="Y123" t="str"><v>Learn More</v></cell><cell r="Z123" t="str"><v>Animated Banner</v></cell><cell r="AA123"><v>43352</v></cell><cell r="AB123" t="str"><v>USA_gaPMG_AZR_AZR_Q1_19_Direct-Social</v></cell><cell r="AC123"><v>21358715</v></cell><cell r="AD123"><v>720197</v></cell><cell r="AE123" t="str"><v>Facebook</v></cell><cell r="AF123"><v>3654128</v></cell><cell r="AG123" t="str"><v>FACEBOOK»USA-Trial-ITD-Trial PayGo Lookalike-AZR-AZR»1 x 1»SocialBan»CAN»ALL»CPA»LAL»X»NA»SS»NA»FreeAcctDeveloperFB-AnimatedData-Ch4»PS7B5V</v></cell><cell r="AH123"><v>226536149</v></cell><cell r="AI123" t="str"><v>AZR_FreeAcctDeveloperFB-AnimatedData-Ch4_USA_1200x1200_CAN_Direct_EN_Trial_Standard_ANI_LEA_T4_1</v></cell><cell r="AJ123"><v>104595739</v></cell></row><row r="124"><cell r="D124" t="str"><v>43352226617679</v></cell><cell r="E124" t="str"><v>43352104593438PS7B5R</v></cell><cell r="F124" t="str"><v>DCM</v></cell></row><row r="124"><cell r="H124"><v>0</v></cell><cell r="I124" t="str"><v>Azure Direct</v></cell><cell r="J124" t="str"><v>Azure Direct</v></cell><cell r="K124" t="str"><v>September</v></cell><cell r="L124"><v>43358</v></cell><cell r="M124" t="str"><v>Tier 0</v></cell><cell r="N124" t="str"><v>North America</v></cell><cell r="O124" t="str"><v>United States</v></cell><cell r="P124" t="str"><v>Trial</v></cell><cell r="Q124" t="str"><v>Social</v></cell><cell r="R124" t="str"><v>Azure</v></cell><cell r="S124" t="str"><v>Apps & Infra</v></cell><cell r="T124" t="str"><v>Developers & ITI's</v></cell><cell r="U124" t="str"><v>USA-Trial-ITD-Trial PayGo Lookalike-AZR-AZR</v></cell><cell r="V124" t="str"><v>Lookalike Targeting</v></cell><cell r="W124" t="str"><v>Canvas Ad</v></cell><cell r="X124" t="str"><v>1200x1200</v></cell><cell r="Y124" t="str"><v>Learn More</v></cell><cell r="Z124" t="str"><v>Animated Banner</v></cell><cell r="AA124"><v>43352</v></cell><cell r="AB124" t="str"><v>USA_gaPMG_AZR_AZR_Q1_19_Direct-Social</v></cell><cell r="AC124"><v>21358715</v></cell><cell r="AD124"><v>720197</v></cell><cell r="AE124" t="str"><v>Facebook</v></cell><cell r="AF124"><v>3654128</v></cell><cell r="AG124" t="str"><v>FACEBOOK»USA-Trial-ITD-Trial PayGo Lookalike-AZR-AZR»1 x 1»SocialBan»CAN»ALL»CPA»LAL»X»NA»SS»NA»FreeAcctDeveloperFB-AnimatedOpenSource-Ch2»PS7B5R</v></cell><cell r="AH124"><v>226617679</v></cell><cell r="AI124" t="str"><v>AZR_FreeAcctDeveloperFB-AnimatedOpenSource-Ch2_USA_1200x1200_CAN_Direct_EN_Trial_Standard_ANI_LEA_T2_2</v></cell><cell r="AJ124"><v>104593438</v></cell></row><row r="125"><cell r="D125" t="str"><v>43352224104092</v></cell><cell r="E125" t="str"><v>43352103176851PRC1Q5</v></cell><cell r="F125" t="str"><v>DCM</v></cell></row><row r="125"><cell r="H125"><v>16</v></cell><cell r="I125" t="str"><v>Azure Direct</v></cell><cell r="J125" t="str"><v>Azure Direct</v></cell><cell r="K125" t="str"><v>September</v></cell><cell r="L125"><v>43358</v></cell><cell r="M125" t="str"><v>Tier 0</v></cell><cell r="N125" t="str"><v>North America</v></cell><cell r="O125" t="str"><v>United States</v></cell><cell r="P125" t="str"><v>Trial</v></cell><cell r="Q125" t="str"><v>Social</v></cell><cell r="R125" t="str"><v>Azure</v></cell><cell r="S125" t="str"><v>Apps & Infra</v></cell><cell r="T125" t="str"><v>Developers & ITI's</v></cell><cell r="U125" t="str"><v>USA-Trial-ITD-Trial PayGo Lookalike-AZR-AZR</v></cell><cell r="V125" t="str"><v>Lookalike Targeting</v></cell><cell r="W125" t="str"><v>Link Ad</v></cell><cell r="X125" t="str"><v>1200x1200</v></cell><cell r="Y125" t="str"><v>Learn More</v></cell><cell r="Z125" t="str"><v>Animated Banner</v></cell><cell r="AA125"><v>43352</v></cell><cell r="AB125" t="str"><v>USA_gaPMG_AZR_AZR_Q1_19_Direct-Social</v></cell><cell r="AC125"><v>21358715</v></cell><cell r="AD125"><v>720197</v></cell><cell r="AE125" t="str"><v>Facebook</v></cell><cell r="AF125"><v>3654128</v></cell><cell r="AG125" t="str"><v>FACEBOOK»USA-Trial-ITD-Trial PayGo Lookalike-AZR-AZR»1 x 1»SocialBan»LIA»ALL»CPA»LAL»X»NA»SS»NA»FreeAcctDeveloperFB-AnimatedGeneric-Ch1»PRC1Q5</v></cell><cell r="AH125"><v>224104092</v></cell><cell r="AI125" t="str"><v>AZR_FreeAcctDeveloperFB-AnimatedGeneric-Ch1_USA_1200x1200_CAN_Direct_English_Trial_Standard_ANI_LEA_T1_2</v></cell><cell r="AJ125"><v>103176851</v></cell></row><row r="126"><cell r="D126" t="str"><v>43352224106129</v></cell><cell r="E126" t="str"><v>43352103176851PRC1Q6</v></cell><cell r="F126" t="str"><v>DCM</v></cell></row><row r="126"><cell r="H126"><v>3</v></cell><cell r="I126" t="str"><v>Azure Direct</v></cell><cell r="J126" t="str"><v>Azure Direct</v></cell><cell r="K126" t="str"><v>September</v></cell><cell r="L126"><v>43358</v></cell><cell r="M126" t="str"><v>Tier 0</v></cell><cell r="N126" t="str"><v>North America</v></cell><cell r="O126" t="str"><v>United States</v></cell><cell r="P126" t="str"><v>Trial</v></cell><cell r="Q126" t="str"><v>Social</v></cell><cell r="R126" t="str"><v>Azure</v></cell><cell r="S126" t="str"><v>Apps & Infra</v></cell><cell r="T126" t="str"><v>Developers & ITI's</v></cell><cell r="U126" t="str"><v>USA-Trial-ITD-Trial PayGo Lookalike-AZR-AZR</v></cell><cell r="V126" t="str"><v>Lookalike Targeting</v></cell><cell r="W126" t="str"><v>Link Ad</v></cell><cell r="X126" t="str"><v>1200x1200</v></cell><cell r="Y126" t="str"><v>Learn More</v></cell><cell r="Z126" t="str"><v>Animated Banner</v></cell><cell r="AA126"><v>43352</v></cell><cell r="AB126" t="str"><v>USA_gaPMG_AZR_AZR_Q1_19_Direct-Social</v></cell><cell r="AC126"><v>21358715</v></cell><cell r="AD126"><v>720197</v></cell><cell r="AE126" t="str"><v>Facebook</v></cell><cell r="AF126"><v>3654128</v></cell><cell r="AG126" t="str"><v>FACEBOOK»USA-Trial-ITD-Trial PayGo Lookalike-AZR-AZR»1 x 1»SocialBan»LIA»ALL»CPA»LAL»X»NA»SS»NA»FreeAcctDeveloperFB-AnimatedGeneric-Ch1»PRC1Q6</v></cell><cell r="AH126"><v>224106129</v></cell><cell r="AI126" t="str"><v>AZR_FreeAcctDeveloperFB-AnimatedGeneric-Ch1_USA_1200x1200_CAN_Direct_English_Trial_Standard_ANI_LEA_T1_2</v></cell><cell r="AJ126"><v>103176851</v></cell></row><row r="127"><cell r="D127" t="str"><v>43352226786188</v></cell><cell r="E127" t="str"><v>43352104593435PS7BTJ</v></cell><cell r="F127" t="str"><v>DCM</v></cell></row><row r="127"><cell r="H127"><v>0</v></cell><cell r="I127" t="str"><v>Azure Direct</v></cell><cell r="J127" t="str"><v>Azure Direct</v></cell><cell r="K127" t="str"><v>September</v></cell><cell r="L127"><v>43358</v></cell><cell r="M127" t="str"><v>Tier 0</v></cell><cell r="N127" t="str"><v>North America</v></cell><cell r="O127" t="str"><v>United States</v></cell><cell r="P127" t="str"><v>Trial</v></cell><cell r="Q127" t="str"><v>Social</v></cell><cell r="R127" t="str"><v>Azure</v></cell><cell r="S127" t="str"><v>Apps & Infra</v></cell><cell r="T127" t="str"><v>Developers & ITI's</v></cell><cell r="U127" t="str"><v>USA-Trial-ITD-Bing Retargeting-AZR-AZR</v></cell><cell r="V127" t="str"><v>Retargeting</v></cell><cell r="W127" t="str"><v>Link Ad</v></cell><cell r="X127" t="str"><v>1200x627</v></cell><cell r="Y127" t="str"><v>Sign Up</v></cell><cell r="Z127" t="str"><v>Not Applicable</v></cell><cell r="AA127"><v>43352</v></cell><cell r="AB127" t="str"><v>USA_gaPMG_AZR_AZR_Q1_19_Direct-Social</v></cell><cell r="AC127"><v>21358715</v></cell><cell r="AD127"><v>720197</v></cell><cell r="AE127" t="str"><v>Linkedin</v></cell><cell r="AF127"><v>3654329</v></cell><cell r="AG127" t="str"><v>LINKEDIN»USA-Trial-ITD-Bing Retargeting-AZR-AZR»1 x 1»SocialBan»LIA»ALL»CPA»RT»D»All»SS»NA»FreeAcctRetargetingLI-Credit-ChA»PS7BTJ</v></cell><cell r="AH127"><v>226786188</v></cell><cell r="AI127" t="str"><v>AZR_FreeAcctRetargetingLI-Credit-ChA_USA_1200x627_LIA_Plat_English_Free Account_Standard_NA_SINU_T1_1</v></cell><cell r="AJ127"><v>104593435</v></cell></row><row r="128"><cell r="D128" t="str"><v>43352226536104</v></cell><cell r="E128" t="str"><v>43352104593723PS7BTN</v></cell><cell r="F128" t="str"><v>DCM</v></cell></row><row r="128"><cell r="H128"><v>0</v></cell><cell r="I128" t="str"><v>Azure Direct</v></cell><cell r="J128" t="str"><v>Azure Direct</v></cell><cell r="K128" t="str"><v>September</v></cell><cell r="L128"><v>43358</v></cell><cell r="M128" t="str"><v>Tier 0</v></cell><cell r="N128" t="str"><v>North America</v></cell><cell r="O128" t="str"><v>United States</v></cell><cell r="P128" t="str"><v>Trial</v></cell><cell r="Q128" t="str"><v>Social</v></cell><cell r="R128" t="str"><v>Azure</v></cell><cell r="S128" t="str"><v>Apps & Infra</v></cell><cell r="T128" t="str"><v>Developers & ITI's</v></cell><cell r="U128" t="str"><v>USA-Trial-ITD-Bing Retargeting-AZR-AZR</v></cell><cell r="V128" t="str"><v>Retargeting</v></cell><cell r="W128" t="str"><v>Link Ad</v></cell><cell r="X128" t="str"><v>1200x627</v></cell><cell r="Y128" t="str"><v>Sign Up</v></cell><cell r="Z128" t="str"><v>Not Applicable</v></cell><cell r="AA128"><v>43352</v></cell><cell r="AB128" t="str"><v>USA_gaPMG_AZR_AZR_Q1_19_Direct-Social</v></cell><cell r="AC128"><v>21358715</v></cell><cell r="AD128"><v>720197</v></cell><cell r="AE128" t="str"><v>Linkedin</v></cell><cell r="AF128"><v>3654329</v></cell><cell r="AG128" t="str"><v>LINKEDIN»USA-Trial-ITD-Bing Retargeting-AZR-AZR»1 x 1»SocialBan»LIA»ALL»CPA»RT»D»All»SS»NA»FreeAcctRetargetingLI-GlobalAlt-ChB»PS7BTN</v></cell><cell r="AH128"><v>226536104</v></cell><cell r="AI128" t="str"><v>AZR_FreeAcctRetargetingLI-GlobalAlt-ChB_USA_1200x627_LIA_Plat_English_Free Account_Standard_NA_SINU_T2_1</v></cell><cell r="AJ128"><v>104593723</v></cell></row><row r="129"><cell r="D129" t="str"><v>43352226535249</v></cell><cell r="E129" t="str"><v>43352104671415PS7BTF</v></cell><cell r="F129" t="str"><v>DCM</v></cell></row><row r="129"><cell r="H129"><v>0</v></cell><cell r="I129" t="str"><v>Azure Direct</v></cell><cell r="J129" t="str"><v>Azure Direct</v></cell><cell r="K129" t="str"><v>September</v></cell><cell r="L129"><v>43358</v></cell><cell r="M129" t="str"><v>Tier 0</v></cell><cell r="N129" t="str"><v>North America</v></cell><cell r="O129" t="str"><v>United States</v></cell><cell r="P129" t="str"><v>Trial</v></cell><cell r="Q129" t="str"><v>Social</v></cell><cell r="R129" t="str"><v>Azure</v></cell><cell r="S129" t="str"><v>Apps & Infra</v></cell><cell r="T129" t="str"><v>Developers & ITI's</v></cell><cell r="U129" t="str"><v>USA-Trial-ITD-Bing Retargeting-AZR-AZR</v></cell><cell r="V129" t="str"><v>Retargeting</v></cell><cell r="W129" t="str"><v>Link Ad</v></cell><cell r="X129" t="str"><v>1200x627</v></cell><cell r="Y129" t="str"><v>Sign Up</v></cell><cell r="Z129" t="str"><v>Not Applicable</v></cell><cell r="AA129"><v>43352</v></cell><cell r="AB129" t="str"><v>USA_gaPMG_AZR_AZR_Q1_19_Direct-Social</v></cell><cell r="AC129"><v>21358715</v></cell><cell r="AD129"><v>720197</v></cell><cell r="AE129" t="str"><v>Linkedin</v></cell><cell r="AF129"><v>3654329</v></cell><cell r="AG129" t="str"><v>LINKEDIN»USA-Trial-ITD-Bing Retargeting-AZR-AZR»1 x 1»SocialBan»LIA»ALL»CPA»RT»D»All»SS»NA»FreeAcctRetargetingVMLI-750Hrs-ChD»PS7BTF</v></cell><cell r="AH129"><v>226535249</v></cell><cell r="AI129" t="str"><v>AZR_FreeAcctRetargetingVMLI-750Hrs-ChD_USA_1200x627_LIA_Plat_English_Free Account_Standard_NA_SINU_T1_1</v></cell><cell r="AJ129"><v>104671415</v></cell></row><row r="130"><cell r="D130" t="str"><v>43352226615867</v></cell><cell r="E130" t="str"><v>43352104592529PS7BTG</v></cell><cell r="F130" t="str"><v>DCM</v></cell></row><row r="130"><cell r="H130"><v>0</v></cell><cell r="I130" t="str"><v>Azure Direct</v></cell><cell r="J130" t="str"><v>Azure Direct</v></cell><cell r="K130" t="str"><v>September</v></cell><cell r="L130"><v>43358</v></cell><cell r="M130" t="str"><v>Tier 0</v></cell><cell r="N130" t="str"><v>North America</v></cell><cell r="O130" t="str"><v>United States</v></cell><cell r="P130" t="str"><v>Trial</v></cell><cell r="Q130" t="str"><v>Social</v></cell><cell r="R130" t="str"><v>Azure</v></cell><cell r="S130" t="str"><v>Apps & Infra</v></cell><cell r="T130" t="str"><v>Developers & ITI's</v></cell><cell r="U130" t="str"><v>USA-Trial-ITD-Bing Retargeting-AZR-AZR</v></cell><cell r="V130" t="str"><v>Retargeting</v></cell><cell r="W130" t="str"><v>Link Ad</v></cell><cell r="X130" t="str"><v>1200x627</v></cell><cell r="Y130" t="str"><v>Sign Up</v></cell><cell r="Z130" t="str"><v>Not Applicable</v></cell><cell r="AA130"><v>43352</v></cell><cell r="AB130" t="str"><v>USA_gaPMG_AZR_AZR_Q1_19_Direct-Social</v></cell><cell r="AC130"><v>21358715</v></cell><cell r="AD130"><v>720197</v></cell><cell r="AE130" t="str"><v>Linkedin</v></cell><cell r="AF130"><v>3654329</v></cell><cell r="AG130" t="str"><v>LINKEDIN»USA-Trial-ITD-Bing Retargeting-AZR-AZR»1 x 1»SocialBan»LIA»ALL»CPA»RT»D»All»SS»NA»FreeAcctRetargetingVMLI-OnDemand-ChE»PS7BTG</v></cell><cell r="AH130"><v>226615867</v></cell><cell r="AI130" t="str"><v>AZR_FreeAcctRetargetingVMLI-OnDemand-ChE_USA_1200x627_LIA_Plat_English_Free Account_Standard_NA_SINU_T2_1</v></cell><cell r="AJ130"><v>104592529</v></cell></row><row r="131"><cell r="D131" t="str"><v>43352226621543</v></cell><cell r="E131" t="str"><v>43352104593444PS7BTR</v></cell><cell r="F131" t="str"><v>DCM</v></cell></row><row r="131"><cell r="H131"><v>1</v></cell><cell r="I131" t="str"><v>Azure Direct</v></cell><cell r="J131" t="str"><v>Azure Direct</v></cell><cell r="K131" t="str"><v>September</v></cell><cell r="L131"><v>43358</v></cell><cell r="M131" t="str"><v>Tier 0</v></cell><cell r="N131" t="str"><v>North America</v></cell><cell r="O131" t="str"><v>United States</v></cell><cell r="P131" t="str"><v>Trial</v></cell><cell r="Q131" t="str"><v>Social</v></cell><cell r="R131" t="str"><v>Azure</v></cell><cell r="S131" t="str"><v>Apps & Infra</v></cell><cell r="T131" t="str"><v>Developers & ITI's</v></cell><cell r="U131" t="str"><v>USA-Trial-ITD-Bing Retargeting-AZR-AZR</v></cell><cell r="V131" t="str"><v>Retargeting</v></cell><cell r="W131" t="str"><v>Video Link ad</v></cell><cell r="X131" t="str"><v>1920x1080</v></cell><cell r="Y131" t="str"><v>Learn More</v></cell><cell r="Z131" t="str"><v>Animated Banner</v></cell><cell r="AA131"><v>43352</v></cell><cell r="AB131" t="str"><v>USA_gaPMG_AZR_AZR_Q1_19_Direct-Social</v></cell><cell r="AC131"><v>21358715</v></cell><cell r="AD131"><v>720197</v></cell><cell r="AE131" t="str"><v>Linkedin</v></cell><cell r="AF131"><v>3654329</v></cell><cell r="AG131" t="str"><v>LINKEDIN»USA-Trial-ITD-Bing Retargeting-AZR-AZR»1 x 1»SocialBan»VLA»ALL»CPA»RT»D»All»SS»NA»FreeAcctDeveloperLI-AnimatedAI-Ch3»PS7BTR</v></cell><cell r="AH131"><v>226621543</v></cell><cell r="AI131" t="str"><v>AZR_FreeAcctDeveloperLI-AnimatedAI-Ch3_USA_1920x1080_VLA_Direct_EN_Trial_Standard_ANI_LEA_T3_1</v></cell><cell r="AJ131"><v>104593444</v></cell></row><row r="132"><cell r="D132" t="str"><v>43352226622815</v></cell><cell r="E132" t="str"><v>43352104593732PS7BTS</v></cell><cell r="F132" t="str"><v>DCM</v></cell></row><row r="132"><cell r="H132"><v>1</v></cell><cell r="I132" t="str"><v>Azure Direct</v></cell><cell r="J132" t="str"><v>Azure Direct</v></cell><cell r="K132" t="str"><v>September</v></cell><cell r="L132"><v>43358</v></cell><cell r="M132" t="str"><v>Tier 0</v></cell><cell r="N132" t="str"><v>North America</v></cell><cell r="O132" t="str"><v>United States</v></cell><cell r="P132" t="str"><v>Trial</v></cell><cell r="Q132" t="str"><v>Social</v></cell><cell r="R132" t="str"><v>Azure</v></cell><cell r="S132" t="str"><v>Apps & Infra</v></cell><cell r="T132" t="str"><v>Developers & ITI's</v></cell><cell r="U132" t="str"><v>USA-Trial-ITD-Bing Retargeting-AZR-AZR</v></cell><cell r="V132" t="str"><v>Retargeting</v></cell><cell r="W132" t="str"><v>Video Link ad</v></cell><cell r="X132" t="str"><v>1920x1080</v></cell><cell r="Y132" t="str"><v>Learn More</v></cell><cell r="Z132" t="str"><v>Animated Banner</v></cell><cell r="AA132"><v>43352</v></cell><cell r="AB132" t="str"><v>USA_gaPMG_AZR_AZR_Q1_19_Direct-Social</v></cell><cell r="AC132"><v>21358715</v></cell><cell r="AD132"><v>720197</v></cell><cell r="AE132" t="str"><v>Linkedin</v></cell><cell r="AF132"><v>3654329</v></cell><cell r="AG132" t="str"><v>LINKEDIN»USA-Trial-ITD-Bing Retargeting-AZR-AZR»1 x 1»SocialBan»VLA»ALL»CPA»RT»D»All»SS»NA»FreeAcctDeveloperLI-AnimatedData-Ch4»PS7BTS</v></cell><cell r="AH132"><v>226622815</v></cell><cell r="AI132" t="str"><v>AZR_FreeAcctDeveloperLI-AnimatedData-Ch4_USA_1920x1080_VLA_Direct_EN_Trial_Standard_ANI_LEA_T4_1</v></cell><cell r="AJ132"><v>104593732</v></cell></row><row r="133"><cell r="D133" t="str"><v>43352226538510</v></cell><cell r="E133" t="str"><v>43352104595736PS7BTL</v></cell><cell r="F133" t="str"><v>DCM</v></cell></row><row r="133"><cell r="H133"><v>0</v></cell><cell r="I133" t="str"><v>Azure Direct</v></cell><cell r="J133" t="str"><v>Azure Direct</v></cell><cell r="K133" t="str"><v>September</v></cell><cell r="L133"><v>43358</v></cell><cell r="M133" t="str"><v>Tier 0</v></cell><cell r="N133" t="str"><v>North America</v></cell><cell r="O133" t="str"><v>United States</v></cell><cell r="P133" t="str"><v>Trial</v></cell><cell r="Q133" t="str"><v>Social</v></cell><cell r="R133" t="str"><v>Azure</v></cell><cell r="S133" t="str"><v>Apps & Infra</v></cell><cell r="T133" t="str"><v>Developers & ITI's</v></cell><cell r="U133" t="str"><v>USA-Trial-ITD-Bing Retargeting-AZR-AZR</v></cell><cell r="V133" t="str"><v>Retargeting</v></cell><cell r="W133" t="str"><v>Video Link ad</v></cell><cell r="X133" t="str"><v>1920x1080</v></cell><cell r="Y133" t="str"><v>Learn More</v></cell><cell r="Z133" t="str"><v>Animated Banner</v></cell><cell r="AA133"><v>43352</v></cell><cell r="AB133" t="str"><v>USA_gaPMG_AZR_AZR_Q1_19_Direct-Social</v></cell><cell r="AC133"><v>21358715</v></cell><cell r="AD133"><v>720197</v></cell><cell r="AE133" t="str"><v>Linkedin</v></cell><cell r="AF133"><v>3654329</v></cell><cell r="AG133" t="str"><v>LINKEDIN»USA-Trial-ITD-Bing Retargeting-AZR-AZR»1 x 1»SocialBan»VLA»ALL»CPA»RT»D»All»SS»NA»FreeAcctDeveloperLI-AnimatedGeneric-Ch1»PS7BTL</v></cell><cell r="AH133"><v>226538510</v></cell><cell r="AI133" t="str"><v>AZR_FreeAcctDeveloperLI-AnimatedGeneric-Ch1_USA_1920x1080_VLA_Direct_EN_Trial_Standard_ANI_LEA_T1_1</v></cell><cell r="AJ133"><v>104595736</v></cell></row><row r="134"><cell r="D134" t="str"><v>43352226538513</v></cell><cell r="E134" t="str"><v>43352104595736PS7BTM</v></cell><cell r="F134" t="str"><v>DCM</v></cell></row><row r="134"><cell r="H134"><v>0</v></cell><cell r="I134" t="str"><v>Azure Direct</v></cell><cell r="J134" t="str"><v>Azure Direct</v></cell><cell r="K134" t="str"><v>September</v></cell><cell r="L134"><v>43358</v></cell><cell r="M134" t="str"><v>Tier 0</v></cell><cell r="N134" t="str"><v>North America</v></cell><cell r="O134" t="str"><v>United States</v></cell><cell r="P134" t="str"><v>Trial</v></cell><cell r="Q134" t="str"><v>Social</v></cell><cell r="R134" t="str"><v>Azure</v></cell><cell r="S134" t="str"><v>Apps & Infra</v></cell><cell r="T134" t="str"><v>Developers & ITI's</v></cell><cell r="U134" t="str"><v>USA-Trial-ITD-Bing Retargeting-AZR-AZR</v></cell><cell r="V134" t="str"><v>Retargeting</v></cell><cell r="W134" t="str"><v>Video Link ad</v></cell><cell r="X134" t="str"><v>1920x1080</v></cell><cell r="Y134" t="str"><v>Learn More</v></cell><cell r="Z134" t="str"><v>Animated Banner</v></cell><cell r="AA134"><v>43352</v></cell><cell r="AB134" t="str"><v>USA_gaPMG_AZR_AZR_Q1_19_Direct-Social</v></cell><cell r="AC134"><v>21358715</v></cell><cell r="AD134"><v>720197</v></cell><cell r="AE134" t="str"><v>Linkedin</v></cell><cell r="AF134"><v>3654329</v></cell><cell r="AG134" t="str"><v>LINKEDIN»USA-Trial-ITD-Bing Retargeting-AZR-AZR»1 x 1»SocialBan»VLA»ALL»CPA»RT»D»All»SS»NA»FreeAcctDeveloperLI-AnimatedGeneric-Ch1»PS7BTM</v></cell><cell r="AH134"><v>226538513</v></cell><cell r="AI134" t="str"><v>AZR_FreeAcctDeveloperLI-AnimatedGeneric-Ch1_USA_1920x1080_VLA_Direct_EN_Trial_Standard_ANI_LEA_T1_1</v></cell><cell r="AJ134"><v>104595736</v></cell></row><row r="135"><cell r="D135" t="str"><v>43352226535246</v></cell><cell r="E135" t="str"><v>43352104671424PS7BTV</v></cell><cell r="F135" t="str"><v>DCM</v></cell></row><row r="135"><cell r="H135"><v>0</v></cell><cell r="I135" t="str"><v>Azure Direct</v></cell><cell r="J135" t="str"><v>Azure Direct</v></cell><cell r="K135" t="str"><v>September</v></cell><cell r="L135"><v>43358</v></cell><cell r="M135" t="str"><v>Tier 0</v></cell><cell r="N135" t="str"><v>North America</v></cell><cell r="O135" t="str"><v>United States</v></cell><cell r="P135" t="str"><v>Trial</v></cell><cell r="Q135" t="str"><v>Social</v></cell><cell r="R135" t="str"><v>Azure</v></cell><cell r="S135" t="str"><v>Apps & Infra</v></cell><cell r="T135" t="str"><v>Developers & ITI's</v></cell><cell r="U135" t="str"><v>USA-Trial-ITD-Bing Retargeting-AZR-AZR</v></cell><cell r="V135" t="str"><v>Retargeting</v></cell><cell r="W135" t="str"><v>Video Link ad</v></cell><cell r="X135" t="str"><v>1920x1080</v></cell><cell r="Y135" t="str"><v>Learn More</v></cell><cell r="Z135" t="str"><v>Animated Banner</v></cell><cell r="AA135"><v>43352</v></cell><cell r="AB135" t="str"><v>USA_gaPMG_AZR_AZR_Q1_19_Direct-Social</v></cell><cell r="AC135"><v>21358715</v></cell><cell r="AD135"><v>720197</v></cell><cell r="AE135" t="str"><v>Linkedin</v></cell><cell r="AF135"><v>3654329</v></cell><cell r="AG135" t="str"><v>LINKEDIN»USA-Trial-ITD-Bing Retargeting-AZR-AZR»1 x 1»SocialBan»VLA»ALL»CPA»RT»D»All»SS»NA»FreeAcctITProLI-AnimatedHybrid-Ch2»PS7BTV</v></cell><cell r="AH135"><v>226535246</v></cell><cell r="AI135" t="str"><v>AZR_FreeAcctITProLI-AnimatedHybrid-Ch2_USA_1920x1080_VLA_Direct_EN_Trial_Standard_ANI_LEA_T2_1</v></cell><cell r="AJ135"><v>104671424</v></cell></row><row r="136"><cell r="D136" t="str"><v>43352226620916</v></cell><cell r="E136" t="str"><v>43352104592532PS7BTP</v></cell><cell r="F136" t="str"><v>DCM</v></cell></row><row r="136"><cell r="H136"><v>0</v></cell><cell r="I136" t="str"><v>Azure Direct</v></cell><cell r="J136" t="str"><v>Azure Direct</v></cell><cell r="K136" t="str"><v>September</v></cell><cell r="L136"><v>43358</v></cell><cell r="M136" t="str"><v>Tier 0</v></cell><cell r="N136" t="str"><v>North America</v></cell><cell r="O136" t="str"><v>United States</v></cell><cell r="P136" t="str"><v>Trial</v></cell><cell r="Q136" t="str"><v>Social</v></cell><cell r="R136" t="str"><v>Azure</v></cell><cell r="S136" t="str"><v>Apps & Infra</v></cell><cell r="T136" t="str"><v>Developers & ITI's</v></cell><cell r="U136" t="str"><v>USA-Trial-ITD-Bing Retargeting-AZR-AZR</v></cell><cell r="V136" t="str"><v>Retargeting</v></cell><cell r="W136" t="str"><v>Video Link ad</v></cell><cell r="X136" t="str"><v>1920x1080</v></cell><cell r="Y136" t="str"><v>Learn More</v></cell><cell r="Z136" t="str"><v>Animated Banner</v></cell><cell r="AA136"><v>43352</v></cell><cell r="AB136" t="str"><v>USA_gaPMG_AZR_AZR_Q1_19_Direct-Social</v></cell><cell r="AC136"><v>21358715</v></cell><cell r="AD136"><v>720197</v></cell><cell r="AE136" t="str"><v>Linkedin</v></cell><cell r="AF136"><v>3654329</v></cell><cell r="AG136" t="str"><v>LINKEDIN»USA-Trial-ITD-Bing Retargeting-AZR-AZR»1 x 1»SocialBan»VLA»ALL»CPA»RT»D»All»SS»NA»FreeAcctITProLI-AnimatedMigration-Ch3»PS7BTP</v></cell><cell r="AH136"><v>226620916</v></cell><cell r="AI136" t="str"><v>AZR_FreeAcctITProLI-AnimatedMigration-Ch3_USA_1920x1080_VLA_Direct_EN_Trial_Standard_ANI_LEA_T3_1</v></cell><cell r="AJ136"><v>104592532</v></cell></row><row r="137"><cell r="D137" t="str"><v>43352226622818</v></cell><cell r="E137" t="str"><v>43352104593447PS7BTT</v></cell><cell r="F137" t="str"><v>DCM</v></cell></row><row r="137"><cell r="H137"><v>2</v></cell><cell r="I137" t="str"><v>Azure Direct</v></cell><cell r="J137" t="str"><v>Azure Direct</v></cell><cell r="K137" t="str"><v>September</v></cell><cell r="L137"><v>43358</v></cell><cell r="M137" t="str"><v>Tier 0</v></cell><cell r="N137" t="str"><v>North America</v></cell><cell r="O137" t="str"><v>United States</v></cell><cell r="P137" t="str"><v>Trial</v></cell><cell r="Q137" t="str"><v>Social</v></cell><cell r="R137" t="str"><v>Azure</v></cell><cell r="S137" t="str"><v>Apps & Infra</v></cell><cell r="T137" t="str"><v>Developers & ITI's</v></cell><cell r="U137" t="str"><v>USA-Trial-ITD-Bing Retargeting-AZR-AZR</v></cell><cell r="V137" t="str"><v>Retargeting</v></cell><cell r="W137" t="str"><v>Video Link ad</v></cell><cell r="X137" t="str"><v>1920x1080</v></cell><cell r="Y137" t="str"><v>Learn More</v></cell><cell r="Z137" t="str"><v>Animated Banner</v></cell><cell r="AA137"><v>43352</v></cell><cell r="AB137" t="str"><v>USA_gaPMG_AZR_AZR_Q1_19_Direct-Social</v></cell><cell r="AC137"><v>21358715</v></cell><cell r="AD137"><v>720197</v></cell><cell r="AE137" t="str"><v>Linkedin</v></cell><cell r="AF137"><v>3654329</v></cell><cell r="AG137" t="str"><v>LINKEDIN»USA-Trial-ITD-Bing Retargeting-AZR-AZR»1 x 1»SocialBan»VLA»ALL»CPA»RT»D»All»SS»NA»FreeAcctITProLI-AnimatedSecureWellMngd-Ch1»PS7BTT</v></cell><cell r="AH137"><v>226622818</v></cell><cell r="AI137" t="str"><v>AZR_FreeAcctITProLI-AnimatedSecureWellMngd-Ch1_USA_1920x1080_VLA_Direct_EN_Trial_Standard_ANI_LEA_T1_1</v></cell><cell r="AJ137"><v>104593447</v></cell></row><row r="138"><cell r="D138" t="str"><v>43352226536125</v></cell><cell r="E138" t="str"><v>43352104671415PS7BRT</v></cell><cell r="F138" t="str"><v>DCM</v></cell></row><row r="138"><cell r="H138"><v>3</v></cell><cell r="I138" t="str"><v>Azure Direct</v></cell><cell r="J138" t="str"><v>Azure Direct</v></cell><cell r="K138" t="str"><v>September</v></cell><cell r="L138"><v>43358</v></cell><cell r="M138" t="str"><v>Tier 0</v></cell><cell r="N138" t="str"><v>North America</v></cell><cell r="O138" t="str"><v>United States</v></cell><cell r="P138" t="str"><v>Trial</v></cell><cell r="Q138" t="str"><v>Social</v></cell><cell r="R138" t="str"><v>Azure</v></cell><cell r="S138" t="str"><v>Apps & Infra</v></cell><cell r="T138" t="str"><v>Developers & ITI's</v></cell><cell r="U138" t="str"><v>USA-Trial-ITD-Groups Prospecting-AZR-AZR</v></cell><cell r="V138" t="str"><v>Prospecting</v></cell><cell r="W138" t="str"><v>Link Ad</v></cell><cell r="X138" t="str"><v>1200x627</v></cell><cell r="Y138" t="str"><v>Sign Up</v></cell><cell r="Z138" t="str"><v>Not Applicable</v></cell><cell r="AA138"><v>43352</v></cell><cell r="AB138" t="str"><v>USA_gaPMG_AZR_AZR_Q1_19_Direct-Social</v></cell><cell r="AC138"><v>21358715</v></cell><cell r="AD138"><v>720197</v></cell><cell r="AE138" t="str"><v>Linkedin</v></cell><cell r="AF138"><v>3654329</v></cell><cell r="AG138" t="str"><v>LINKEDIN»USA-Trial-ITD-Groups Prospecting-AZR-AZR»1 x 1»SocialBan»LIA»ALL»CPA»PRO»D»All»SS»NA»FreeAcctRetargetingVMLI-750Hrs-ChD»PS7BRT</v></cell><cell r="AH138"><v>226536125</v></cell><cell r="AI138" t="str"><v>AZR_FreeAcctRetargetingVMLI-750Hrs-ChD_USA_1200x627_LIA_Plat_English_Free Account_Standard_NA_SINU_T1_1</v></cell><cell r="AJ138"><v>104671415</v></cell></row><row r="139"><cell r="D139" t="str"><v>43352226786230</v></cell><cell r="E139" t="str"><v>43352104592529PS7BRV</v></cell><cell r="F139" t="str"><v>DCM</v></cell></row><row r="139"><cell r="H139"><v>1</v></cell><cell r="I139" t="str"><v>Azure Direct</v></cell><cell r="J139" t="str"><v>Azure Direct</v></cell><cell r="K139" t="str"><v>September</v></cell><cell r="L139"><v>43358</v></cell><cell r="M139" t="str"><v>Tier 0</v></cell><cell r="N139" t="str"><v>North America</v></cell><cell r="O139" t="str"><v>United States</v></cell><cell r="P139" t="str"><v>Trial</v></cell><cell r="Q139" t="str"><v>Social</v></cell><cell r="R139" t="str"><v>Azure</v></cell><cell r="S139" t="str"><v>Apps & Infra</v></cell><cell r="T139" t="str"><v>Developers & ITI's</v></cell><cell r="U139" t="str"><v>USA-Trial-ITD-Groups Prospecting-AZR-AZR</v></cell><cell r="V139" t="str"><v>Prospecting</v></cell><cell r="W139" t="str"><v>Link Ad</v></cell><cell r="X139" t="str"><v>1200x627</v></cell><cell r="Y139" t="str"><v>Sign Up</v></cell><cell r="Z139" t="str"><v>Not Applicable</v></cell><cell r="AA139"><v>43352</v></cell><cell r="AB139" t="str"><v>USA_gaPMG_AZR_AZR_Q1_19_Direct-Social</v></cell><cell r="AC139"><v>21358715</v></cell><cell r="AD139"><v>720197</v></cell><cell r="AE139" t="str"><v>Linkedin</v></cell><cell r="AF139"><v>3654329</v></cell><cell r="AG139" t="str"><v>LINKEDIN»USA-Trial-ITD-Groups Prospecting-AZR-AZR»1 x 1»SocialBan»LIA»ALL»CPA»PRO»D»All»SS»NA»FreeAcctRetargetingVMLI-OnDemand-ChE»PS7BRV</v></cell><cell r="AH139"><v>226786230</v></cell><cell r="AI139" t="str"><v>AZR_FreeAcctRetargetingVMLI-OnDemand-ChE_USA_1200x627_LIA_Plat_English_Free Account_Standard_NA_SINU_T2_1</v></cell><cell r="AJ139"><v>104592529</v></cell></row><row r="140"><cell r="D140" t="str"><v>43352226538582</v></cell><cell r="E140" t="str"><v>43352104593444PS7BS4</v></cell><cell r="F140" t="str"><v>DCM</v></cell></row><row r="140"><cell r="H140"><v>0</v></cell><cell r="I140" t="str"><v>Azure Direct</v></cell><cell r="J140" t="str"><v>Azure Direct</v></cell><cell r="K140" t="str"><v>September</v></cell><cell r="L140"><v>43358</v></cell><cell r="M140" t="str"><v>Tier 0</v></cell><cell r="N140" t="str"><v>North America</v></cell><cell r="O140" t="str"><v>United States</v></cell><cell r="P140" t="str"><v>Trial</v></cell><cell r="Q140" t="str"><v>Social</v></cell><cell r="R140" t="str"><v>Azure</v></cell><cell r="S140" t="str"><v>Apps & Infra</v></cell><cell r="T140" t="str"><v>Developers & ITI's</v></cell><cell r="U140" t="str"><v>USA-Trial-ITD-Groups Prospecting-AZR-AZR</v></cell><cell r="V140" t="str"><v>Prospecting</v></cell><cell r="W140" t="str"><v>Video Link ad</v></cell><cell r="X140" t="str"><v>1920x1080</v></cell><cell r="Y140" t="str"><v>Learn More</v></cell><cell r="Z140" t="str"><v>Animated Banner</v></cell><cell r="AA140"><v>43352</v></cell><cell r="AB140" t="str"><v>USA_gaPMG_AZR_AZR_Q1_19_Direct-Social</v></cell><cell r="AC140"><v>21358715</v></cell><cell r="AD140"><v>720197</v></cell><cell r="AE140" t="str"><v>Linkedin</v></cell><cell r="AF140"><v>3654329</v></cell><cell r="AG140" t="str"><v>LINKEDIN»USA-Trial-ITD-Groups Prospecting-AZR-AZR»1 x 1»SocialBan»VLA»ALL»CPA»PRO»D»All»SS»NA»FreeAcctDeveloperLI-AnimatedAI-Ch3»PS7BS4</v></cell><cell r="AH140"><v>226538582</v></cell><cell r="AI140" t="str"><v>AZR_FreeAcctDeveloperLI-AnimatedAI-Ch3_USA_1920x1080_VLA_Direct_EN_Trial_Standard_ANI_LEA_T3_1</v></cell><cell r="AJ140"><v>104593444</v></cell></row><row r="141"><cell r="D141" t="str"><v>43352226617961</v></cell><cell r="E141" t="str"><v>43352104593732PS7BS5</v></cell><cell r="F141" t="str"><v>DCM</v></cell></row><row r="141"><cell r="H141"><v>0</v></cell><cell r="I141" t="str"><v>Azure Direct</v></cell><cell r="J141" t="str"><v>Azure Direct</v></cell><cell r="K141" t="str"><v>September</v></cell><cell r="L141"><v>43358</v></cell><cell r="M141" t="str"><v>Tier 0</v></cell><cell r="N141" t="str"><v>North America</v></cell><cell r="O141" t="str"><v>United States</v></cell><cell r="P141" t="str"><v>Trial</v></cell><cell r="Q141" t="str"><v>Social</v></cell><cell r="R141" t="str"><v>Azure</v></cell><cell r="S141" t="str"><v>Apps & Infra</v></cell><cell r="T141" t="str"><v>Developers & ITI's</v></cell><cell r="U141" t="str"><v>USA-Trial-ITD-Groups Prospecting-AZR-AZR</v></cell><cell r="V141" t="str"><v>Prospecting</v></cell><cell r="W141" t="str"><v>Video Link ad</v></cell><cell r="X141" t="str"><v>1920x1080</v></cell><cell r="Y141" t="str"><v>Learn More</v></cell><cell r="Z141" t="str"><v>Animated Banner</v></cell><cell r="AA141"><v>43352</v></cell><cell r="AB141" t="str"><v>USA_gaPMG_AZR_AZR_Q1_19_Direct-Social</v></cell><cell r="AC141"><v>21358715</v></cell><cell r="AD141"><v>720197</v></cell><cell r="AE141" t="str"><v>Linkedin</v></cell><cell r="AF141"><v>3654329</v></cell><cell r="AG141" t="str"><v>LINKEDIN»USA-Trial-ITD-Groups Prospecting-AZR-AZR»1 x 1»SocialBan»VLA»ALL»CPA»PRO»D»All»SS»NA»FreeAcctDeveloperLI-AnimatedData-Ch4»PS7BS5</v></cell><cell r="AH141"><v>226617961</v></cell><cell r="AI141" t="str"><v>AZR_FreeAcctDeveloperLI-AnimatedData-Ch4_USA_1920x1080_VLA_Direct_EN_Trial_Standard_ANI_LEA_T4_1</v></cell><cell r="AJ141"><v>104593732</v></cell></row><row r="142"><cell r="D142" t="str"><v>43352226622884</v></cell><cell r="E142" t="str"><v>43352104595736PS7BRZ</v></cell><cell r="F142" t="str"><v>DCM</v></cell></row><row r="142"><cell r="H142"><v>0</v></cell><cell r="I142" t="str"><v>Azure Direct</v></cell><cell r="J142" t="str"><v>Azure Direct</v></cell><cell r="K142" t="str"><v>September</v></cell><cell r="L142"><v>43358</v></cell><cell r="M142" t="str"><v>Tier 0</v></cell><cell r="N142" t="str"><v>North America</v></cell><cell r="O142" t="str"><v>United States</v></cell><cell r="P142" t="str"><v>Trial</v></cell><cell r="Q142" t="str"><v>Social</v></cell><cell r="R142" t="str"><v>Azure</v></cell><cell r="S142" t="str"><v>Apps & Infra</v></cell><cell r="T142" t="str"><v>Developers & ITI's</v></cell><cell r="U142" t="str"><v>USA-Trial-ITD-Groups Prospecting-AZR-AZR</v></cell><cell r="V142" t="str"><v>Prospecting</v></cell><cell r="W142" t="str"><v>Video Link ad</v></cell><cell r="X142" t="str"><v>1920x1080</v></cell><cell r="Y142" t="str"><v>Learn More</v></cell><cell r="Z142" t="str"><v>Animated Banner</v></cell><cell r="AA142"><v>43352</v></cell><cell r="AB142" t="str"><v>USA_gaPMG_AZR_AZR_Q1_19_Direct-Social</v></cell><cell r="AC142"><v>21358715</v></cell><cell r="AD142"><v>720197</v></cell><cell r="AE142" t="str"><v>Linkedin</v></cell><cell r="AF142"><v>3654329</v></cell><cell r="AG142" t="str"><v>LINKEDIN»USA-Trial-ITD-Groups Prospecting-AZR-AZR»1 x 1»SocialBan»VLA»ALL»CPA»PRO»D»All»SS»NA»FreeAcctDeveloperLI-AnimatedGeneric-Ch1»PS7BRZ</v></cell><cell r="AH142"><v>226622884</v></cell><cell r="AI142" t="str"><v>AZR_FreeAcctDeveloperLI-AnimatedGeneric-Ch1_USA_1920x1080_VLA_Direct_EN_Trial_Standard_ANI_LEA_T1_1</v></cell><cell r="AJ142"><v>104595736</v></cell></row><row r="143"><cell r="D143" t="str"><v>43352226620961</v></cell><cell r="E143" t="str"><v>43352104595736PS7BS0</v></cell><cell r="F143" t="str"><v>DCM</v></cell></row><row r="143"><cell r="H143"><v>0</v></cell><cell r="I143" t="str"><v>Azure Direct</v></cell><cell r="J143" t="str"><v>Azure Direct</v></cell><cell r="K143" t="str"><v>September</v></cell><cell r="L143"><v>43358</v></cell><cell r="M143" t="str"><v>Tier 0</v></cell><cell r="N143" t="str"><v>North America</v></cell><cell r="O143" t="str"><v>United States</v></cell><cell r="P143" t="str"><v>Trial</v></cell><cell r="Q143" t="str"><v>Social</v></cell><cell r="R143" t="str"><v>Azure</v></cell><cell r="S143" t="str"><v>Apps & Infra</v></cell><cell r="T143" t="str"><v>Developers & ITI's</v></cell><cell r="U143" t="str"><v>USA-Trial-ITD-Groups Prospecting-AZR-AZR</v></cell><cell r="V143" t="str"><v>Prospecting</v></cell><cell r="W143" t="str"><v>Video Link ad</v></cell><cell r="X143" t="str"><v>1920x1080</v></cell><cell r="Y143" t="str"><v>Learn More</v></cell><cell r="Z143" t="str"><v>Animated Banner</v></cell><cell r="AA143"><v>43352</v></cell><cell r="AB143" t="str"><v>USA_gaPMG_AZR_AZR_Q1_19_Direct-Social</v></cell><cell r="AC143"><v>21358715</v></cell><cell r="AD143"><v>720197</v></cell><cell r="AE143" t="str"><v>Linkedin</v></cell><cell r="AF143"><v>3654329</v></cell><cell r="AG143" t="str"><v>LINKEDIN»USA-Trial-ITD-Groups Prospecting-AZR-AZR»1 x 1»SocialBan»VLA»ALL»CPA»PRO»D»All»SS»NA»FreeAcctDeveloperLI-AnimatedGeneric-Ch1»PS7BS0</v></cell><cell r="AH143"><v>226620961</v></cell><cell r="AI143" t="str"><v>AZR_FreeAcctDeveloperLI-AnimatedGeneric-Ch1_USA_1920x1080_VLA_Direct_EN_Trial_Standard_ANI_LEA_T1_1</v></cell><cell r="AJ143"><v>104595736</v></cell></row><row r="144"><cell r="D144" t="str"><v>43352226617649</v></cell><cell r="E144" t="str"><v>43352104671424PS7BS7</v></cell><cell r="F144" t="str"><v>DCM</v></cell></row><row r="144"><cell r="H144"><v>0</v></cell><cell r="I144" t="str"><v>Azure Direct</v></cell><cell r="J144" t="str"><v>Azure Direct</v></cell><cell r="K144" t="str"><v>September</v></cell><cell r="L144"><v>43358</v></cell><cell r="M144" t="str"><v>Tier 0</v></cell><cell r="N144" t="str"><v>North America</v></cell><cell r="O144" t="str"><v>United States</v></cell><cell r="P144" t="str"><v>Trial</v></cell><cell r="Q144" t="str"><v>Social</v></cell><cell r="R144" t="str"><v>Azure</v></cell><cell r="S144" t="str"><v>Apps & Infra</v></cell><cell r="T144" t="str"><v>Developers & ITI's</v></cell><cell r="U144" t="str"><v>USA-Trial-ITD-Groups Prospecting-AZR-AZR</v></cell><cell r="V144" t="str"><v>Prospecting</v></cell><cell r="W144" t="str"><v>Video Link ad</v></cell><cell r="X144" t="str"><v>1920x1080</v></cell><cell r="Y144" t="str"><v>Learn More</v></cell><cell r="Z144" t="str"><v>Animated Banner</v></cell><cell r="AA144"><v>43352</v></cell><cell r="AB144" t="str"><v>USA_gaPMG_AZR_AZR_Q1_19_Direct-Social</v></cell><cell r="AC144"><v>21358715</v></cell><cell r="AD144"><v>720197</v></cell><cell r="AE144" t="str"><v>Linkedin</v></cell><cell r="AF144"><v>3654329</v></cell><cell r="AG144" t="str"><v>LINKEDIN»USA-Trial-ITD-Groups Prospecting-AZR-AZR»1 x 1»SocialBan»VLA»ALL»CPA»PRO»D»All»SS»NA»FreeAcctITProLI-AnimatedHybrid-Ch2»PS7BS7</v></cell><cell r="AH144"><v>226617649</v></cell><cell r="AI144" t="str"><v>AZR_FreeAcctITProLI-AnimatedHybrid-Ch2_USA_1920x1080_VLA_Direct_EN_Trial_Standard_ANI_LEA_T2_1</v></cell><cell r="AJ144"><v>104671424</v></cell></row><row r="145"><cell r="D145" t="str"><v>43352226538576</v></cell><cell r="E145" t="str"><v>43352104592532PS7BS2</v></cell><cell r="F145" t="str"><v>DCM</v></cell></row><row r="145"><cell r="H145"><v>0</v></cell><cell r="I145" t="str"><v>Azure Direct</v></cell><cell r="J145" t="str"><v>Azure Direct</v></cell><cell r="K145" t="str"><v>September</v></cell><cell r="L145"><v>43358</v></cell><cell r="M145" t="str"><v>Tier 0</v></cell><cell r="N145" t="str"><v>North America</v></cell><cell r="O145" t="str"><v>United States</v></cell><cell r="P145" t="str"><v>Trial</v></cell><cell r="Q145" t="str"><v>Social</v></cell><cell r="R145" t="str"><v>Azure</v></cell><cell r="S145" t="str"><v>Apps & Infra</v></cell><cell r="T145" t="str"><v>Developers & ITI's</v></cell><cell r="U145" t="str"><v>USA-Trial-ITD-Groups Prospecting-AZR-AZR</v></cell><cell r="V145" t="str"><v>Prospecting</v></cell><cell r="W145" t="str"><v>Video Link ad</v></cell><cell r="X145" t="str"><v>1920x1080</v></cell><cell r="Y145" t="str"><v>Learn More</v></cell><cell r="Z145" t="str"><v>Animated Banner</v></cell><cell r="AA145"><v>43352</v></cell><cell r="AB145" t="str"><v>USA_gaPMG_AZR_AZR_Q1_19_Direct-Social</v></cell><cell r="AC145"><v>21358715</v></cell><cell r="AD145"><v>720197</v></cell><cell r="AE145" t="str"><v>Linkedin</v></cell><cell r="AF145"><v>3654329</v></cell><cell r="AG145" t="str"><v>LINKEDIN»USA-Trial-ITD-Groups Prospecting-AZR-AZR»1 x 1»SocialBan»VLA»ALL»CPA»PRO»D»All»SS»NA»FreeAcctITProLI-AnimatedMigration-Ch3»PS7BS2</v></cell><cell r="AH145"><v>226538576</v></cell><cell r="AI145" t="str"><v>AZR_FreeAcctITProLI-AnimatedMigration-Ch3_USA_1920x1080_VLA_Direct_EN_Trial_Standard_ANI_LEA_T3_1</v></cell><cell r="AJ145"><v>104592532</v></cell></row><row r="146"><cell r="D146" t="str"><v>43352226539371</v></cell><cell r="E146" t="str"><v>43352104593447PS7BS6</v></cell><cell r="F146" t="str"><v>DCM</v></cell></row><row r="146"><cell r="H146"><v>0</v></cell><cell r="I146" t="str"><v>Azure Direct</v></cell><cell r="J146" t="str"><v>Azure Direct</v></cell><cell r="K146" t="str"><v>September</v></cell><cell r="L146"><v>43358</v></cell><cell r="M146" t="str"><v>Tier 0</v></cell><cell r="N146" t="str"><v>North America</v></cell><cell r="O146" t="str"><v>United States</v></cell><cell r="P146" t="str"><v>Trial</v></cell><cell r="Q146" t="str"><v>Social</v></cell><cell r="R146" t="str"><v>Azure</v></cell><cell r="S146" t="str"><v>Apps & Infra</v></cell><cell r="T146" t="str"><v>Developers & ITI's</v></cell><cell r="U146" t="str"><v>USA-Trial-ITD-Groups Prospecting-AZR-AZR</v></cell><cell r="V146" t="str"><v>Prospecting</v></cell><cell r="W146" t="str"><v>Video Link ad</v></cell><cell r="X146" t="str"><v>1920x1080</v></cell><cell r="Y146" t="str"><v>Learn More</v></cell><cell r="Z146" t="str"><v>Animated Banner</v></cell><cell r="AA146"><v>43352</v></cell><cell r="AB146" t="str"><v>USA_gaPMG_AZR_AZR_Q1_19_Direct-Social</v></cell><cell r="AC146"><v>21358715</v></cell><cell r="AD146"><v>720197</v></cell><cell r="AE146" t="str"><v>Linkedin</v></cell><cell r="AF146"><v>3654329</v></cell><cell r="AG146" t="str"><v>LINKEDIN»USA-Trial-ITD-Groups Prospecting-AZR-AZR»1 x 1»SocialBan»VLA»ALL»CPA»PRO»D»All»SS»NA»FreeAcctITProLI-AnimatedSecureWellMngd-Ch1»PS7BS6</v></cell><cell r="AH146"><v>226539371</v></cell><cell r="AI146" t="str"><v>AZR_FreeAcctITProLI-AnimatedSecureWellMngd-Ch1_USA_1920x1080_VLA_Direct_EN_Trial_Standard_ANI_LEA_T1_1</v></cell><cell r="AJ146"><v>104593447</v></cell></row><row r="147"><cell r="D147" t="str"><v>43352226617946</v></cell><cell r="E147" t="str"><v>43352104593444PS7BSP</v></cell><cell r="F147" t="str"><v>DCM</v></cell></row><row r="147"><cell r="H147"><v>0</v></cell><cell r="I147" t="str"><v>Azure Direct</v></cell><cell r="J147" t="str"><v>Azure Direct</v></cell><cell r="K147" t="str"><v>September</v></cell><cell r="L147"><v>43358</v></cell><cell r="M147" t="str"><v>Tier 0</v></cell><cell r="N147" t="str"><v>North America</v></cell><cell r="O147" t="str"><v>United States</v></cell><cell r="P147" t="str"><v>Trial</v></cell><cell r="Q147" t="str"><v>Social</v></cell><cell r="R147" t="str"><v>Azure</v></cell><cell r="S147" t="str"><v>Apps & Infra</v></cell><cell r="T147" t="str"><v>Developers & ITI's</v></cell><cell r="U147" t="str"><v>USA-Trial-ITD-Job Functions Prospecting-AZR-AZR</v></cell><cell r="V147" t="str"><v>Prospecting</v></cell><cell r="W147" t="str"><v>Video Link ad</v></cell><cell r="X147" t="str"><v>1920x1080</v></cell><cell r="Y147" t="str"><v>Learn More</v></cell><cell r="Z147" t="str"><v>Animated Banner</v></cell><cell r="AA147"><v>43352</v></cell><cell r="AB147" t="str"><v>USA_gaPMG_AZR_AZR_Q1_19_Direct-Social</v></cell><cell r="AC147"><v>21358715</v></cell><cell r="AD147"><v>720197</v></cell><cell r="AE147" t="str"><v>Linkedin</v></cell><cell r="AF147"><v>3654329</v></cell><cell r="AG147" t="str"><v>LINKEDIN»USA-Trial-ITD-Job Functions Prospecting-AZR-AZR»1 x 1»SocialBan»VLA»ALL»CPA»PRO»D»All»SS»NA»FreeAcctDeveloperLI-AnimatedAI-Ch3»PS7BSP</v></cell><cell r="AH147"><v>226617946</v></cell><cell r="AI147" t="str"><v>AZR_FreeAcctDeveloperLI-AnimatedAI-Ch3_USA_1920x1080_VLA_Direct_EN_Trial_Standard_ANI_LEA_T3_1</v></cell><cell r="AJ147"><v>104593444</v></cell></row><row r="148"><cell r="D148" t="str"><v>43352226535264</v></cell><cell r="E148" t="str"><v>43352104593732PS7BSQ</v></cell><cell r="F148" t="str"><v>DCM</v></cell></row><row r="148"><cell r="H148"><v>0</v></cell><cell r="I148" t="str"><v>Azure Direct</v></cell><cell r="J148" t="str"><v>Azure Direct</v></cell><cell r="K148" t="str"><v>September</v></cell><cell r="L148"><v>43358</v></cell><cell r="M148" t="str"><v>Tier 0</v></cell><cell r="N148" t="str"><v>North America</v></cell><cell r="O148" t="str"><v>United States</v></cell><cell r="P148" t="str"><v>Trial</v></cell><cell r="Q148" t="str"><v>Social</v></cell><cell r="R148" t="str"><v>Azure</v></cell><cell r="S148" t="str"><v>Apps & Infra</v></cell><cell r="T148" t="str"><v>Developers & ITI's</v></cell><cell r="U148" t="str"><v>USA-Trial-ITD-Job Functions Prospecting-AZR-AZR</v></cell><cell r="V148" t="str"><v>Prospecting</v></cell><cell r="W148" t="str"><v>Video Link ad</v></cell><cell r="X148" t="str"><v>1920x1080</v></cell><cell r="Y148" t="str"><v>Learn More</v></cell><cell r="Z148" t="str"><v>Animated Banner</v></cell><cell r="AA148"><v>43352</v></cell><cell r="AB148" t="str"><v>USA_gaPMG_AZR_AZR_Q1_19_Direct-Social</v></cell><cell r="AC148"><v>21358715</v></cell><cell r="AD148"><v>720197</v></cell><cell r="AE148" t="str"><v>Linkedin</v></cell><cell r="AF148"><v>3654329</v></cell><cell r="AG148" t="str"><v>LINKEDIN»USA-Trial-ITD-Job Functions Prospecting-AZR-AZR»1 x 1»SocialBan»VLA»ALL»CPA»PRO»D»All»SS»NA»FreeAcctDeveloperLI-AnimatedData-Ch4»PS7BSQ</v></cell><cell r="AH148"><v>226535264</v></cell><cell r="AI148" t="str"><v>AZR_FreeAcctDeveloperLI-AnimatedData-Ch4_USA_1920x1080_VLA_Direct_EN_Trial_Standard_ANI_LEA_T4_1</v></cell><cell r="AJ148"><v>104593732</v></cell></row><row r="149"><cell r="D149" t="str"><v>43352226622875</v></cell><cell r="E149" t="str"><v>43352104595736PS7BSJ</v></cell><cell r="F149" t="str"><v>DCM</v></cell></row><row r="149"><cell r="H149"><v>0</v></cell><cell r="I149" t="str"><v>Azure Direct</v></cell><cell r="J149" t="str"><v>Azure Direct</v></cell><cell r="K149" t="str"><v>September</v></cell><cell r="L149"><v>43358</v></cell><cell r="M149" t="str"><v>Tier 0</v></cell><cell r="N149" t="str"><v>North America</v></cell><cell r="O149" t="str"><v>United States</v></cell><cell r="P149" t="str"><v>Trial</v></cell><cell r="Q149" t="str"><v>Social</v></cell><cell r="R149" t="str"><v>Azure</v></cell><cell r="S149" t="str"><v>Apps & Infra</v></cell><cell r="T149" t="str"><v>Developers & ITI's</v></cell><cell r="U149" t="str"><v>USA-Trial-ITD-Job Functions Prospecting-AZR-AZR</v></cell><cell r="V149" t="str"><v>Prospecting</v></cell><cell r="W149" t="str"><v>Video Link ad</v></cell><cell r="X149" t="str"><v>1920x1080</v></cell><cell r="Y149" t="str"><v>Learn More</v></cell><cell r="Z149" t="str"><v>Animated Banner</v></cell><cell r="AA149"><v>43352</v></cell><cell r="AB149" t="str"><v>USA_gaPMG_AZR_AZR_Q1_19_Direct-Social</v></cell><cell r="AC149"><v>21358715</v></cell><cell r="AD149"><v>720197</v></cell><cell r="AE149" t="str"><v>Linkedin</v></cell><cell r="AF149"><v>3654329</v></cell><cell r="AG149" t="str"><v>LINKEDIN»USA-Trial-ITD-Job Functions Prospecting-AZR-AZR»1 x 1»SocialBan»VLA»ALL»CPA»PRO»D»All»SS»NA»FreeAcctDeveloperLI-AnimatedGeneric-Ch1»PS7BSJ</v></cell><cell r="AH149"><v>226622875</v></cell><cell r="AI149" t="str"><v>AZR_FreeAcctDeveloperLI-AnimatedGeneric-Ch1_USA_1920x1080_VLA_Direct_EN_Trial_Standard_ANI_LEA_T1_1</v></cell><cell r="AJ149"><v>104595736</v></cell></row><row r="150"><cell r="D150" t="str"><v>43352226535270</v></cell><cell r="E150" t="str"><v>43352104595736PS7BSK</v></cell><cell r="F150" t="str"><v>DCM</v></cell></row><row r="150"><cell r="H150"><v>0</v></cell><cell r="I150" t="str"><v>Azure Direct</v></cell><cell r="J150" t="str"><v>Azure Direct</v></cell><cell r="K150" t="str"><v>September</v></cell><cell r="L150"><v>43358</v></cell><cell r="M150" t="str"><v>Tier 0</v></cell><cell r="N150" t="str"><v>North America</v></cell><cell r="O150" t="str"><v>United States</v></cell><cell r="P150" t="str"><v>Trial</v></cell><cell r="Q150" t="str"><v>Social</v></cell><cell r="R150" t="str"><v>Azure</v></cell><cell r="S150" t="str"><v>Apps & Infra</v></cell><cell r="T150" t="str"><v>Developers & ITI's</v></cell><cell r="U150" t="str"><v>USA-Trial-ITD-Job Functions Prospecting-AZR-AZR</v></cell><cell r="V150" t="str"><v>Prospecting</v></cell><cell r="W150" t="str"><v>Video Link ad</v></cell><cell r="X150" t="str"><v>1920x1080</v></cell><cell r="Y150" t="str"><v>Learn More</v></cell><cell r="Z150" t="str"><v>Animated Banner</v></cell><cell r="AA150"><v>43352</v></cell><cell r="AB150" t="str"><v>USA_gaPMG_AZR_AZR_Q1_19_Direct-Social</v></cell><cell r="AC150"><v>21358715</v></cell><cell r="AD150"><v>720197</v></cell><cell r="AE150" t="str"><v>Linkedin</v></cell><cell r="AF150"><v>3654329</v></cell><cell r="AG150" t="str"><v>LINKEDIN»USA-Trial-ITD-Job Functions Prospecting-AZR-AZR»1 x 1»SocialBan»VLA»ALL»CPA»PRO»D»All»SS»NA»FreeAcctDeveloperLI-AnimatedGeneric-Ch1»PS7BSK</v></cell><cell r="AH150"><v>226535270</v></cell><cell r="AI150" t="str"><v>AZR_FreeAcctDeveloperLI-AnimatedGeneric-Ch1_USA_1920x1080_VLA_Direct_EN_Trial_Standard_ANI_LEA_T1_1</v></cell><cell r="AJ150"><v>104595736</v></cell></row><row r="151"><cell r="D151" t="str"><v>43352226622866</v></cell><cell r="E151" t="str"><v>43352104671424PS7BSS</v></cell><cell r="F151" t="str"><v>DCM</v></cell></row><row r="151"><cell r="H151"><v>0</v></cell><cell r="I151" t="str"><v>Azure Direct</v></cell><cell r="J151" t="str"><v>Azure Direct</v></cell><cell r="K151" t="str"><v>September</v></cell><cell r="L151"><v>43358</v></cell><cell r="M151" t="str"><v>Tier 0</v></cell><cell r="N151" t="str"><v>North America</v></cell><cell r="O151" t="str"><v>United States</v></cell><cell r="P151" t="str"><v>Trial</v></cell><cell r="Q151" t="str"><v>Social</v></cell><cell r="R151" t="str"><v>Azure</v></cell><cell r="S151" t="str"><v>Apps & Infra</v></cell><cell r="T151" t="str"><v>Developers & ITI's</v></cell><cell r="U151" t="str"><v>USA-Trial-ITD-Job Functions Prospecting-AZR-AZR</v></cell><cell r="V151" t="str"><v>Prospecting</v></cell><cell r="W151" t="str"><v>Video Link ad</v></cell><cell r="X151" t="str"><v>1920x1080</v></cell><cell r="Y151" t="str"><v>Learn More</v></cell><cell r="Z151" t="str"><v>Animated Banner</v></cell><cell r="AA151"><v>43352</v></cell><cell r="AB151" t="str"><v>USA_gaPMG_AZR_AZR_Q1_19_Direct-Social</v></cell><cell r="AC151"><v>21358715</v></cell><cell r="AD151"><v>720197</v></cell><cell r="AE151" t="str"><v>Linkedin</v></cell><cell r="AF151"><v>3654329</v></cell><cell r="AG151" t="str"><v>LINKEDIN»USA-Trial-ITD-Job Functions Prospecting-AZR-AZR»1 x 1»SocialBan»VLA»ALL»CPA»PRO»D»All»SS»NA»FreeAcctITProLI-AnimatedHybrid-Ch2»PS7BSS</v></cell><cell r="AH151"><v>226622866</v></cell><cell r="AI151" t="str"><v>AZR_FreeAcctITProLI-AnimatedHybrid-Ch2_USA_1920x1080_VLA_Direct_EN_Trial_Standard_ANI_LEA_T2_1</v></cell><cell r="AJ151"><v>104671424</v></cell></row><row r="152"><cell r="D152" t="str"><v>43352226774326</v></cell><cell r="E152" t="str"><v>43352104592532PS7BSM</v></cell><cell r="F152" t="str"><v>DCM</v></cell></row><row r="152"><cell r="H152"><v>3</v></cell><cell r="I152" t="str"><v>Azure Direct</v></cell><cell r="J152" t="str"><v>Azure Direct</v></cell><cell r="K152" t="str"><v>September</v></cell><cell r="L152"><v>43358</v></cell><cell r="M152" t="str"><v>Tier 0</v></cell><cell r="N152" t="str"><v>North America</v></cell><cell r="O152" t="str"><v>United States</v></cell><cell r="P152" t="str"><v>Trial</v></cell><cell r="Q152" t="str"><v>Social</v></cell><cell r="R152" t="str"><v>Azure</v></cell><cell r="S152" t="str"><v>Apps & Infra</v></cell><cell r="T152" t="str"><v>Developers & ITI's</v></cell><cell r="U152" t="str"><v>USA-Trial-ITD-Job Functions Prospecting-AZR-AZR</v></cell><cell r="V152" t="str"><v>Prospecting</v></cell><cell r="W152" t="str"><v>Video Link ad</v></cell><cell r="X152" t="str"><v>1920x1080</v></cell><cell r="Y152" t="str"><v>Learn More</v></cell><cell r="Z152" t="str"><v>Animated Banner</v></cell><cell r="AA152"><v>43352</v></cell><cell r="AB152" t="str"><v>USA_gaPMG_AZR_AZR_Q1_19_Direct-Social</v></cell><cell r="AC152"><v>21358715</v></cell><cell r="AD152"><v>720197</v></cell><cell r="AE152" t="str"><v>Linkedin</v></cell><cell r="AF152"><v>3654329</v></cell><cell r="AG152" t="str"><v>LINKEDIN»USA-Trial-ITD-Job Functions Prospecting-AZR-AZR»1 x 1»SocialBan»VLA»ALL»CPA»PRO»D»All»SS»NA»FreeAcctITProLI-AnimatedMigration-Ch3»PS7BSM</v></cell><cell r="AH152"><v>226774326</v></cell><cell r="AI152" t="str"><v>AZR_FreeAcctITProLI-AnimatedMigration-Ch3_USA_1920x1080_VLA_Direct_EN_Trial_Standard_ANI_LEA_T3_1</v></cell><cell r="AJ152"><v>104592532</v></cell></row><row r="153"><cell r="D153" t="str"><v>43352226538552</v></cell><cell r="E153" t="str"><v>43352104593447PS7BSR</v></cell><cell r="F153" t="str"><v>DCM</v></cell></row><row r="153"><cell r="H153"><v>0</v></cell><cell r="I153" t="str"><v>Azure Direct</v></cell><cell r="J153" t="str"><v>Azure Direct</v></cell><cell r="K153" t="str"><v>September</v></cell><cell r="L153"><v>43358</v></cell><cell r="M153" t="str"><v>Tier 0</v></cell><cell r="N153" t="str"><v>North America</v></cell><cell r="O153" t="str"><v>United States</v></cell><cell r="P153" t="str"><v>Trial</v></cell><cell r="Q153" t="str"><v>Social</v></cell><cell r="R153" t="str"><v>Azure</v></cell><cell r="S153" t="str"><v>Apps & Infra</v></cell><cell r="T153" t="str"><v>Developers & ITI's</v></cell><cell r="U153" t="str"><v>USA-Trial-ITD-Job Functions Prospecting-AZR-AZR</v></cell><cell r="V153" t="str"><v>Prospecting</v></cell><cell r="W153" t="str"><v>Video Link ad</v></cell><cell r="X153" t="str"><v>1920x1080</v></cell><cell r="Y153" t="str"><v>Learn More</v></cell><cell r="Z153" t="str"><v>Animated Banner</v></cell><cell r="AA153"><v>43352</v></cell><cell r="AB153" t="str"><v>USA_gaPMG_AZR_AZR_Q1_19_Direct-Social</v></cell><cell r="AC153"><v>21358715</v></cell><cell r="AD153"><v>720197</v></cell><cell r="AE153" t="str"><v>Linkedin</v></cell><cell r="AF153"><v>3654329</v></cell><cell r="AG153" t="str"><v>LINKEDIN»USA-Trial-ITD-Job Functions Prospecting-AZR-AZR»1 x 1»SocialBan»VLA»ALL»CPA»PRO»D»All»SS»NA»FreeAcctITProLI-AnimatedSecureWellMngd-Ch1»PS7BSR</v></cell><cell r="AH153"><v>226538552</v></cell><cell r="AI153" t="str"><v>AZR_FreeAcctITProLI-AnimatedSecureWellMngd-Ch1_USA_1920x1080_VLA_Direct_EN_Trial_Standard_ANI_LEA_T1_1</v></cell><cell r="AJ153"><v>104593447</v></cell></row><row r="154"><cell r="D154" t="str"><v>43352226774248</v></cell><cell r="E154" t="str"><v>43352104593435PS78T2</v></cell><cell r="F154" t="str"><v>DCM</v></cell></row><row r="154"><cell r="H154"><v>1</v></cell><cell r="I154" t="str"><v>Azure Direct</v></cell><cell r="J154" t="str"><v>Azure Direct</v></cell><cell r="K154" t="str"><v>September</v></cell><cell r="L154"><v>43358</v></cell><cell r="M154" t="str"><v>Tier 0</v></cell><cell r="N154" t="str"><v>North America</v></cell><cell r="O154" t="str"><v>United States</v></cell><cell r="P154" t="str"><v>Trial</v></cell><cell r="Q154" t="str"><v>Social</v></cell><cell r="R154" t="str"><v>Azure</v></cell><cell r="S154" t="str"><v>Apps & Infra</v></cell><cell r="T154" t="str"><v>Developers & ITI's</v></cell><cell r="U154" t="str"><v>USA-Trial-ITD-Job Titles Prospecting-AZR-AZR</v></cell><cell r="V154" t="str"><v>Prospecting</v></cell><cell r="W154" t="str"><v>Link Ad</v></cell><cell r="X154" t="str"><v>1200x627</v></cell><cell r="Y154" t="str"><v>Sign Up</v></cell><cell r="Z154" t="str"><v>Not Applicable</v></cell><cell r="AA154"><v>43352</v></cell><cell r="AB154" t="str"><v>USA_gaPMG_AZR_AZR_Q1_19_Direct-Social</v></cell><cell r="AC154"><v>21358715</v></cell><cell r="AD154"><v>720197</v></cell><cell r="AE154" t="str"><v>Linkedin</v></cell><cell r="AF154"><v>3654329</v></cell><cell r="AG154" t="str"><v>LINKEDIN»USA-Trial-ITD-Job Titles Prospecting-AZR-AZR»1 x 1»SocialBan»LIA»ALL»CPA»PRO»D»All»SS»NA»FreeAcctRetargetingLI-Credit-ChA»PS78T2</v></cell><cell r="AH154"><v>226774248</v></cell><cell r="AI154" t="str"><v>AZR_FreeAcctRetargetingLI-Credit-ChA_USA_1200x627_LIA_Plat_English_Free Account_Standard_NA_SINU_T1_1</v></cell><cell r="AJ154"><v>104593435</v></cell></row><row r="155"><cell r="D155" t="str"><v>43352226774233</v></cell><cell r="E155" t="str"><v>43352104593723PS7B68</v></cell><cell r="F155" t="str"><v>DCM</v></cell></row><row r="155"><cell r="H155"><v>10</v></cell><cell r="I155" t="str"><v>Azure Direct</v></cell><cell r="J155" t="str"><v>Azure Direct</v></cell><cell r="K155" t="str"><v>September</v></cell><cell r="L155"><v>43358</v></cell><cell r="M155" t="str"><v>Tier 0</v></cell><cell r="N155" t="str"><v>North America</v></cell><cell r="O155" t="str"><v>United States</v></cell><cell r="P155" t="str"><v>Trial</v></cell><cell r="Q155" t="str"><v>Social</v></cell><cell r="R155" t="str"><v>Azure</v></cell><cell r="S155" t="str"><v>Apps & Infra</v></cell><cell r="T155" t="str"><v>Developers & ITI's</v></cell><cell r="U155" t="str"><v>USA-Trial-ITD-Job Titles Prospecting-AZR-AZR</v></cell><cell r="V155" t="str"><v>Prospecting</v></cell><cell r="W155" t="str"><v>Link Ad</v></cell><cell r="X155" t="str"><v>1200x627</v></cell><cell r="Y155" t="str"><v>Sign Up</v></cell><cell r="Z155" t="str"><v>Not Applicable</v></cell><cell r="AA155"><v>43352</v></cell><cell r="AB155" t="str"><v>USA_gaPMG_AZR_AZR_Q1_19_Direct-Social</v></cell><cell r="AC155"><v>21358715</v></cell><cell r="AD155"><v>720197</v></cell><cell r="AE155" t="str"><v>Linkedin</v></cell><cell r="AF155"><v>3654329</v></cell><cell r="AG155" t="str"><v>LINKEDIN»USA-Trial-ITD-Job Titles Prospecting-AZR-AZR»1 x 1»SocialBan»LIA»ALL»CPA»PRO»D»All»SS»NA»FreeAcctRetargetingLI-GlobalAlt-ChB»PS7B68</v></cell><cell r="AH155"><v>226774233</v></cell><cell r="AI155" t="str"><v>AZR_FreeAcctRetargetingLI-GlobalAlt-ChB_USA_1200x627_LIA_Plat_English_Free Account_Standard_NA_SINU_T2_1</v></cell><cell r="AJ155"><v>104593723</v></cell></row><row r="156"><cell r="D156" t="str"><v>43352226620871</v></cell><cell r="E156" t="str"><v>43352104671415PS7B6D</v></cell><cell r="F156" t="str"><v>DCM</v></cell></row><row r="156"><cell r="H156"><v>0</v></cell><cell r="I156" t="str"><v>Azure Direct</v></cell><cell r="J156" t="str"><v>Azure Direct</v></cell><cell r="K156" t="str"><v>September</v></cell><cell r="L156"><v>43358</v></cell><cell r="M156" t="str"><v>Tier 0</v></cell><cell r="N156" t="str"><v>North America</v></cell><cell r="O156" t="str"><v>United States</v></cell><cell r="P156" t="str"><v>Trial</v></cell><cell r="Q156" t="str"><v>Social</v></cell><cell r="R156" t="str"><v>Azure</v></cell><cell r="S156" t="str"><v>Apps & Infra</v></cell><cell r="T156" t="str"><v>Developers & ITI's</v></cell><cell r="U156" t="str"><v>USA-Trial-ITD-Job Titles Prospecting-AZR-AZR</v></cell><cell r="V156" t="str"><v>Prospecting</v></cell><cell r="W156" t="str"><v>Link Ad</v></cell><cell r="X156" t="str"><v>1200x627</v></cell><cell r="Y156" t="str"><v>Sign Up</v></cell><cell r="Z156" t="str"><v>Not Applicable</v></cell><cell r="AA156"><v>43352</v></cell><cell r="AB156" t="str"><v>USA_gaPMG_AZR_AZR_Q1_19_Direct-Social</v></cell><cell r="AC156"><v>21358715</v></cell><cell r="AD156"><v>720197</v></cell><cell r="AE156" t="str"><v>Linkedin</v></cell><cell r="AF156"><v>3654329</v></cell><cell r="AG156" t="str"><v>LINKEDIN»USA-Trial-ITD-Job Titles Prospecting-AZR-AZR»1 x 1»SocialBan»LIA»ALL»CPA»PRO»D»All»SS»NA»FreeAcctRetargetingVMLI-750Hrs-ChD»PS7B6D</v></cell><cell r="AH156"><v>226620871</v></cell><cell r="AI156" t="str"><v>AZR_FreeAcctRetargetingVMLI-750Hrs-ChD_USA_1200x627_LIA_Plat_English_Free Account_Standard_NA_SINU_T1_1</v></cell><cell r="AJ156"><v>104671415</v></cell></row><row r="157"><cell r="D157" t="str"><v>43352226774236</v></cell><cell r="E157" t="str"><v>43352104592529PS7B6F</v></cell><cell r="F157" t="str"><v>DCM</v></cell></row><row r="157"><cell r="H157"><v>0</v></cell><cell r="I157" t="str"><v>Azure Direct</v></cell><cell r="J157" t="str"><v>Azure Direct</v></cell><cell r="K157" t="str"><v>September</v></cell><cell r="L157"><v>43358</v></cell><cell r="M157" t="str"><v>Tier 0</v></cell><cell r="N157" t="str"><v>North America</v></cell><cell r="O157" t="str"><v>United States</v></cell><cell r="P157" t="str"><v>Trial</v></cell><cell r="Q157" t="str"><v>Social</v></cell><cell r="R157" t="str"><v>Azure</v></cell><cell r="S157" t="str"><v>Apps & Infra</v></cell><cell r="T157" t="str"><v>Developers & ITI's</v></cell><cell r="U157" t="str"><v>USA-Trial-ITD-Job Titles Prospecting-AZR-AZR</v></cell><cell r="V157" t="str"><v>Prospecting</v></cell><cell r="W157" t="str"><v>Link Ad</v></cell><cell r="X157" t="str"><v>1200x627</v></cell><cell r="Y157" t="str"><v>Sign Up</v></cell><cell r="Z157" t="str"><v>Not Applicable</v></cell><cell r="AA157"><v>43352</v></cell><cell r="AB157" t="str"><v>USA_gaPMG_AZR_AZR_Q1_19_Direct-Social</v></cell><cell r="AC157"><v>21358715</v></cell><cell r="AD157"><v>720197</v></cell><cell r="AE157" t="str"><v>Linkedin</v></cell><cell r="AF157"><v>3654329</v></cell><cell r="AG157" t="str"><v>LINKEDIN»USA-Trial-ITD-Job Titles Prospecting-AZR-AZR»1 x 1»SocialBan»LIA»ALL»CPA»PRO»D»All»SS»NA»FreeAcctRetargetingVMLI-OnDemand-ChE»PS7B6F</v></cell><cell r="AH157"><v>226774236</v></cell><cell r="AI157" t="str"><v>AZR_FreeAcctRetargetingVMLI-OnDemand-ChE_USA_1200x627_LIA_Plat_English_Free Account_Standard_NA_SINU_T2_1</v></cell><cell r="AJ157"><v>104592529</v></cell></row><row r="158"><cell r="D158" t="str"><v>43352226785117</v></cell><cell r="E158" t="str"><v>43352104593444PS7B6N</v></cell><cell r="F158" t="str"><v>DCM</v></cell></row><row r="158"><cell r="H158"><v>0</v></cell><cell r="I158" t="str"><v>Azure Direct</v></cell><cell r="J158" t="str"><v>Azure Direct</v></cell><cell r="K158" t="str"><v>September</v></cell><cell r="L158"><v>43358</v></cell><cell r="M158" t="str"><v>Tier 0</v></cell><cell r="N158" t="str"><v>North America</v></cell><cell r="O158" t="str"><v>United States</v></cell><cell r="P158" t="str"><v>Trial</v></cell><cell r="Q158" t="str"><v>Social</v></cell><cell r="R158" t="str"><v>Azure</v></cell><cell r="S158" t="str"><v>Apps & Infra</v></cell><cell r="T158" t="str"><v>Developers & ITI's</v></cell><cell r="U158" t="str"><v>USA-Trial-ITD-Job Titles Prospecting-AZR-AZR</v></cell><cell r="V158" t="str"><v>Prospecting</v></cell><cell r="W158" t="str"><v>Video Link ad</v></cell><cell r="X158" t="str"><v>1920x1080</v></cell><cell r="Y158" t="str"><v>Learn More</v></cell><cell r="Z158" t="str"><v>Animated Banner</v></cell><cell r="AA158"><v>43352</v></cell><cell r="AB158" t="str"><v>USA_gaPMG_AZR_AZR_Q1_19_Direct-Social</v></cell><cell r="AC158"><v>21358715</v></cell><cell r="AD158"><v>720197</v></cell><cell r="AE158" t="str"><v>Linkedin</v></cell><cell r="AF158"><v>3654329</v></cell><cell r="AG158" t="str"><v>LINKEDIN»USA-Trial-ITD-Job Titles Prospecting-AZR-AZR»1 x 1»SocialBan»VLA»ALL»CPA»PRO»D»All»SS»NA»FreeAcctDeveloperLI-AnimatedAI-Ch3»PS7B6N</v></cell><cell r="AH158"><v>226785117</v></cell><cell r="AI158" t="str"><v>AZR_FreeAcctDeveloperLI-AnimatedAI-Ch3_USA_1920x1080_VLA_Direct_EN_Trial_Standard_ANI_LEA_T3_1</v></cell><cell r="AJ158"><v>104593444</v></cell></row><row r="159"><cell r="D159" t="str"><v>43352226538462</v></cell><cell r="E159" t="str"><v>43352104593732PS7B6P</v></cell><cell r="F159" t="str"><v>DCM</v></cell></row><row r="159"><cell r="H159"><v>1</v></cell><cell r="I159" t="str"><v>Azure Direct</v></cell><cell r="J159" t="str"><v>Azure Direct</v></cell><cell r="K159" t="str"><v>September</v></cell><cell r="L159"><v>43358</v></cell><cell r="M159" t="str"><v>Tier 0</v></cell><cell r="N159" t="str"><v>North America</v></cell><cell r="O159" t="str"><v>United States</v></cell><cell r="P159" t="str"><v>Trial</v></cell><cell r="Q159" t="str"><v>Social</v></cell><cell r="R159" t="str"><v>Azure</v></cell><cell r="S159" t="str"><v>Apps & Infra</v></cell><cell r="T159" t="str"><v>Developers & ITI's</v></cell><cell r="U159" t="str"><v>USA-Trial-ITD-Job Titles Prospecting-AZR-AZR</v></cell><cell r="V159" t="str"><v>Prospecting</v></cell><cell r="W159" t="str"><v>Video Link ad</v></cell><cell r="X159" t="str"><v>1920x1080</v></cell><cell r="Y159" t="str"><v>Learn More</v></cell><cell r="Z159" t="str"><v>Animated Banner</v></cell><cell r="AA159"><v>43352</v></cell><cell r="AB159" t="str"><v>USA_gaPMG_AZR_AZR_Q1_19_Direct-Social</v></cell><cell r="AC159"><v>21358715</v></cell><cell r="AD159"><v>720197</v></cell><cell r="AE159" t="str"><v>Linkedin</v></cell><cell r="AF159"><v>3654329</v></cell><cell r="AG159" t="str"><v>LINKEDIN»USA-Trial-ITD-Job Titles Prospecting-AZR-AZR»1 x 1»SocialBan»VLA»ALL»CPA»PRO»D»All»SS»NA»FreeAcctDeveloperLI-AnimatedData-Ch4»PS7B6P</v></cell><cell r="AH159"><v>226538462</v></cell><cell r="AI159" t="str"><v>AZR_FreeAcctDeveloperLI-AnimatedData-Ch4_USA_1920x1080_VLA_Direct_EN_Trial_Standard_ANI_LEA_T4_1</v></cell><cell r="AJ159"><v>104593732</v></cell></row><row r="160"><cell r="D160" t="str"><v>43352226536059</v></cell><cell r="E160" t="str"><v>43352104595736PS7B6J</v></cell><cell r="F160" t="str"><v>DCM</v></cell></row><row r="160"><cell r="H160"><v>0</v></cell><cell r="I160" t="str"><v>Azure Direct</v></cell><cell r="J160" t="str"><v>Azure Direct</v></cell><cell r="K160" t="str"><v>September</v></cell><cell r="L160"><v>43358</v></cell><cell r="M160" t="str"><v>Tier 0</v></cell><cell r="N160" t="str"><v>North America</v></cell><cell r="O160" t="str"><v>United States</v></cell><cell r="P160" t="str"><v>Trial</v></cell><cell r="Q160" t="str"><v>Social</v></cell><cell r="R160" t="str"><v>Azure</v></cell><cell r="S160" t="str"><v>Apps & Infra</v></cell><cell r="T160" t="str"><v>Developers & ITI's</v></cell><cell r="U160" t="str"><v>USA-Trial-ITD-Job Titles Prospecting-AZR-AZR</v></cell><cell r="V160" t="str"><v>Prospecting</v></cell><cell r="W160" t="str"><v>Video Link ad</v></cell><cell r="X160" t="str"><v>1920x1080</v></cell><cell r="Y160" t="str"><v>Learn More</v></cell><cell r="Z160" t="str"><v>Animated Banner</v></cell><cell r="AA160"><v>43352</v></cell><cell r="AB160" t="str"><v>USA_gaPMG_AZR_AZR_Q1_19_Direct-Social</v></cell><cell r="AC160"><v>21358715</v></cell><cell r="AD160"><v>720197</v></cell><cell r="AE160" t="str"><v>Linkedin</v></cell><cell r="AF160"><v>3654329</v></cell><cell r="AG160" t="str"><v>LINKEDIN»USA-Trial-ITD-Job Titles Prospecting-AZR-AZR»1 x 1»SocialBan»VLA»ALL»CPA»PRO»D»All»SS»NA»FreeAcctDeveloperLI-AnimatedGeneric-Ch1»PS7B6J</v></cell><cell r="AH160"><v>226536059</v></cell><cell r="AI160" t="str"><v>AZR_FreeAcctDeveloperLI-AnimatedGeneric-Ch1_USA_1920x1080_VLA_Direct_EN_Trial_Standard_ANI_LEA_T1_1</v></cell><cell r="AJ160"><v>104595736</v></cell></row><row r="161"><cell r="D161" t="str"><v>43352226774230</v></cell><cell r="E161" t="str"><v>43352104595736PS7B6K</v></cell><cell r="F161" t="str"><v>DCM</v></cell></row><row r="161"><cell r="H161"><v>0</v></cell><cell r="I161" t="str"><v>Azure Direct</v></cell><cell r="J161" t="str"><v>Azure Direct</v></cell><cell r="K161" t="str"><v>September</v></cell><cell r="L161"><v>43358</v></cell><cell r="M161" t="str"><v>Tier 0</v></cell><cell r="N161" t="str"><v>North America</v></cell><cell r="O161" t="str"><v>United States</v></cell><cell r="P161" t="str"><v>Trial</v></cell><cell r="Q161" t="str"><v>Social</v></cell><cell r="R161" t="str"><v>Azure</v></cell><cell r="S161" t="str"><v>Apps & Infra</v></cell><cell r="T161" t="str"><v>Developers & ITI's</v></cell><cell r="U161" t="str"><v>USA-Trial-ITD-Job Titles Prospecting-AZR-AZR</v></cell><cell r="V161" t="str"><v>Prospecting</v></cell><cell r="W161" t="str"><v>Video Link ad</v></cell><cell r="X161" t="str"><v>1920x1080</v></cell><cell r="Y161" t="str"><v>Learn More</v></cell><cell r="Z161" t="str"><v>Animated Banner</v></cell><cell r="AA161"><v>43352</v></cell><cell r="AB161" t="str"><v>USA_gaPMG_AZR_AZR_Q1_19_Direct-Social</v></cell><cell r="AC161"><v>21358715</v></cell><cell r="AD161"><v>720197</v></cell><cell r="AE161" t="str"><v>Linkedin</v></cell><cell r="AF161"><v>3654329</v></cell><cell r="AG161" t="str"><v>LINKEDIN»USA-Trial-ITD-Job Titles Prospecting-AZR-AZR»1 x 1»SocialBan»VLA»ALL»CPA»PRO»D»All»SS»NA»FreeAcctDeveloperLI-AnimatedGeneric-Ch1»PS7B6K</v></cell><cell r="AH161"><v>226774230</v></cell><cell r="AI161" t="str"><v>AZR_FreeAcctDeveloperLI-AnimatedGeneric-Ch1_USA_1920x1080_VLA_Direct_EN_Trial_Standard_ANI_LEA_T1_1</v></cell><cell r="AJ161"><v>104595736</v></cell></row><row r="162"><cell r="D162" t="str"><v>43352226536053</v></cell><cell r="E162" t="str"><v>43352104671424PS7B6R</v></cell><cell r="F162" t="str"><v>DCM</v></cell></row><row r="162"><cell r="H162"><v>0</v></cell><cell r="I162" t="str"><v>Azure Direct</v></cell><cell r="J162" t="str"><v>Azure Direct</v></cell><cell r="K162" t="str"><v>September</v></cell><cell r="L162"><v>43358</v></cell><cell r="M162" t="str"><v>Tier 0</v></cell><cell r="N162" t="str"><v>North America</v></cell><cell r="O162" t="str"><v>United States</v></cell><cell r="P162" t="str"><v>Trial</v></cell><cell r="Q162" t="str"><v>Social</v></cell><cell r="R162" t="str"><v>Azure</v></cell><cell r="S162" t="str"><v>Apps & Infra</v></cell><cell r="T162" t="str"><v>Developers & ITI's</v></cell><cell r="U162" t="str"><v>USA-Trial-ITD-Job Titles Prospecting-AZR-AZR</v></cell><cell r="V162" t="str"><v>Prospecting</v></cell><cell r="W162" t="str"><v>Video Link ad</v></cell><cell r="X162" t="str"><v>1920x1080</v></cell><cell r="Y162" t="str"><v>Learn More</v></cell><cell r="Z162" t="str"><v>Animated Banner</v></cell><cell r="AA162"><v>43352</v></cell><cell r="AB162" t="str"><v>USA_gaPMG_AZR_AZR_Q1_19_Direct-Social</v></cell><cell r="AC162"><v>21358715</v></cell><cell r="AD162"><v>720197</v></cell><cell r="AE162" t="str"><v>Linkedin</v></cell><cell r="AF162"><v>3654329</v></cell><cell r="AG162" t="str"><v>LINKEDIN»USA-Trial-ITD-Job Titles Prospecting-AZR-AZR»1 x 1»SocialBan»VLA»ALL»CPA»PRO»D»All»SS»NA»FreeAcctITProLI-AnimatedHybrid-Ch2»PS7B6R</v></cell><cell r="AH162"><v>226536053</v></cell><cell r="AI162" t="str"><v>AZR_FreeAcctITProLI-AnimatedHybrid-Ch2_USA_1920x1080_VLA_Direct_EN_Trial_Standard_ANI_LEA_T2_1</v></cell><cell r="AJ162"><v>104671424</v></cell></row><row r="163"><cell r="D163" t="str"><v>43352226774242</v></cell><cell r="E163" t="str"><v>43352104592532PS7B6Z</v></cell><cell r="F163" t="str"><v>DCM</v></cell></row><row r="163"><cell r="H163"><v>0</v></cell><cell r="I163" t="str"><v>Azure Direct</v></cell><cell r="J163" t="str"><v>Azure Direct</v></cell><cell r="K163" t="str"><v>September</v></cell><cell r="L163"><v>43358</v></cell><cell r="M163" t="str"><v>Tier 0</v></cell><cell r="N163" t="str"><v>North America</v></cell><cell r="O163" t="str"><v>United States</v></cell><cell r="P163" t="str"><v>Trial</v></cell><cell r="Q163" t="str"><v>Social</v></cell><cell r="R163" t="str"><v>Azure</v></cell><cell r="S163" t="str"><v>Apps & Infra</v></cell><cell r="T163" t="str"><v>Developers & ITI's</v></cell><cell r="U163" t="str"><v>USA-Trial-ITD-Job Titles Prospecting-AZR-AZR</v></cell><cell r="V163" t="str"><v>Prospecting</v></cell><cell r="W163" t="str"><v>Video Link ad</v></cell><cell r="X163" t="str"><v>1920x1080</v></cell><cell r="Y163" t="str"><v>Learn More</v></cell><cell r="Z163" t="str"><v>Animated Banner</v></cell><cell r="AA163"><v>43352</v></cell><cell r="AB163" t="str"><v>USA_gaPMG_AZR_AZR_Q1_19_Direct-Social</v></cell><cell r="AC163"><v>21358715</v></cell><cell r="AD163"><v>720197</v></cell><cell r="AE163" t="str"><v>Linkedin</v></cell><cell r="AF163"><v>3654329</v></cell><cell r="AG163" t="str"><v>LINKEDIN»USA-Trial-ITD-Job Titles Prospecting-AZR-AZR»1 x 1»SocialBan»VLA»ALL»CPA»PRO»D»All»SS»NA»FreeAcctITProLI-AnimatedMigration-Ch3»PS7B6Z</v></cell><cell r="AH163"><v>226774242</v></cell><cell r="AI163" t="str"><v>AZR_FreeAcctITProLI-AnimatedMigration-Ch3_USA_1920x1080_VLA_Direct_EN_Trial_Standard_ANI_LEA_T3_1</v></cell><cell r="AJ163"><v>104592532</v></cell></row><row r="164"><cell r="D164" t="str"><v>43352226785099</v></cell><cell r="E164" t="str"><v>43352104593447PS7B6Q</v></cell><cell r="F164" t="str"><v>DCM</v></cell></row><row r="164"><cell r="H164"><v>0</v></cell><cell r="I164" t="str"><v>Azure Direct</v></cell><cell r="J164" t="str"><v>Azure Direct</v></cell><cell r="K164" t="str"><v>September</v></cell><cell r="L164"><v>43358</v></cell><cell r="M164" t="str"><v>Tier 0</v></cell><cell r="N164" t="str"><v>North America</v></cell><cell r="O164" t="str"><v>United States</v></cell><cell r="P164" t="str"><v>Trial</v></cell><cell r="Q164" t="str"><v>Social</v></cell><cell r="R164" t="str"><v>Azure</v></cell><cell r="S164" t="str"><v>Apps & Infra</v></cell><cell r="T164" t="str"><v>Developers & ITI's</v></cell><cell r="U164" t="str"><v>USA-Trial-ITD-Job Titles Prospecting-AZR-AZR</v></cell><cell r="V164" t="str"><v>Prospecting</v></cell><cell r="W164" t="str"><v>Video Link ad</v></cell><cell r="X164" t="str"><v>1920x1080</v></cell><cell r="Y164" t="str"><v>Learn More</v></cell><cell r="Z164" t="str"><v>Animated Banner</v></cell><cell r="AA164"><v>43352</v></cell><cell r="AB164" t="str"><v>USA_gaPMG_AZR_AZR_Q1_19_Direct-Social</v></cell><cell r="AC164"><v>21358715</v></cell><cell r="AD164"><v>720197</v></cell><cell r="AE164" t="str"><v>Linkedin</v></cell><cell r="AF164"><v>3654329</v></cell><cell r="AG164" t="str"><v>LINKEDIN»USA-Trial-ITD-Job Titles Prospecting-AZR-AZR»1 x 1»SocialBan»VLA»ALL»CPA»PRO»D»All»SS»NA»FreeAcctITProLI-AnimatedSecureWellMngd-Ch1»PS7B6Q</v></cell><cell r="AH164"><v>226785099</v></cell><cell r="AI164" t="str"><v>AZR_FreeAcctITProLI-AnimatedSecureWellMngd-Ch1_USA_1920x1080_VLA_Direct_EN_Trial_Standard_ANI_LEA_T1_1</v></cell><cell r="AJ164"><v>104593447</v></cell></row><row r="165"><cell r="D165" t="str"><v>43352226537553</v></cell><cell r="E165" t="str"><v>43352104671415PS7BTZ</v></cell><cell r="F165" t="str"><v>DCM</v></cell></row><row r="165"><cell r="H165"><v>0</v></cell><cell r="I165" t="str"><v>Azure Direct</v></cell><cell r="J165" t="str"><v>Azure Direct</v></cell><cell r="K165" t="str"><v>September</v></cell><cell r="L165"><v>43358</v></cell><cell r="M165" t="str"><v>Tier 0</v></cell><cell r="N165" t="str"><v>North America</v></cell><cell r="O165" t="str"><v>United States</v></cell><cell r="P165" t="str"><v>Trial</v></cell><cell r="Q165" t="str"><v>Social</v></cell><cell r="R165" t="str"><v>Azure</v></cell><cell r="S165" t="str"><v>Apps & Infra</v></cell><cell r="T165" t="str"><v>Developers & ITI's</v></cell><cell r="U165" t="str"><v>USA-Trial-ITD-Skills Prospecting-AZR-AZR</v></cell><cell r="V165" t="str"><v>Prospecting</v></cell><cell r="W165" t="str"><v>Link Ad</v></cell><cell r="X165" t="str"><v>1200x627</v></cell><cell r="Y165" t="str"><v>Sign Up</v></cell><cell r="Z165" t="str"><v>Not Applicable</v></cell><cell r="AA165"><v>43352</v></cell><cell r="AB165" t="str"><v>USA_gaPMG_AZR_AZR_Q1_19_Direct-Social</v></cell><cell r="AC165"><v>21358715</v></cell><cell r="AD165"><v>720197</v></cell><cell r="AE165" t="str"><v>Linkedin</v></cell><cell r="AF165"><v>3654329</v></cell><cell r="AG165" t="str"><v>LINKEDIN»USA-Trial-ITD-Skills Prospecting-AZR-AZR»1 x 1»SocialBan»LIA»ALL»CPA»PRO»D»All»SS»NA»FreeAcctRetargetingVMLI-750Hrs-ChD»PS7BTZ</v></cell><cell r="AH165"><v>226537553</v></cell><cell r="AI165" t="str"><v>AZR_FreeAcctRetargetingVMLI-750Hrs-ChD_USA_1200x627_LIA_Plat_English_Free Account_Standard_NA_SINU_T1_1</v></cell><cell r="AJ165"><v>104671415</v></cell></row><row r="166"><cell r="D166" t="str"><v>43352226536077</v></cell><cell r="E166" t="str"><v>43352104593435PS7BVM</v></cell><cell r="F166" t="str"><v>DCM</v></cell></row><row r="166"><cell r="H166"><v>0</v></cell><cell r="I166" t="str"><v>Azure Direct</v></cell><cell r="J166" t="str"><v>Azure Direct</v></cell><cell r="K166" t="str"><v>September</v></cell><cell r="L166"><v>43358</v></cell><cell r="M166" t="str"><v>Tier 0</v></cell><cell r="N166" t="str"><v>North America</v></cell><cell r="O166" t="str"><v>United States</v></cell><cell r="P166" t="str"><v>Trial</v></cell><cell r="Q166" t="str"><v>Social</v></cell><cell r="R166" t="str"><v>Azure</v></cell><cell r="S166" t="str"><v>Apps & Infra</v></cell><cell r="T166" t="str"><v>Developers & ITI's</v></cell><cell r="U166" t="str"><v>USA-Trial-ITD-Website Retargeting-AZR-AZR</v></cell><cell r="V166" t="str"><v>Retargeting</v></cell><cell r="W166" t="str"><v>Link Ad</v></cell><cell r="X166" t="str"><v>1200x627</v></cell><cell r="Y166" t="str"><v>Sign Up</v></cell><cell r="Z166" t="str"><v>Not Applicable</v></cell><cell r="AA166"><v>43352</v></cell><cell r="AB166" t="str"><v>USA_gaPMG_AZR_AZR_Q1_19_Direct-Social</v></cell><cell r="AC166"><v>21358715</v></cell><cell r="AD166"><v>720197</v></cell><cell r="AE166" t="str"><v>Linkedin</v></cell><cell r="AF166"><v>3654329</v></cell><cell r="AG166" t="str"><v>LINKEDIN»USA-Trial-ITD-Website Retargeting-AZR-AZR»1 x 1»SocialBan»LIA»ALL»CPA»RT»D»All»SS»NA»FreeAcctRetargetingLI-Credit-ChA»PS7BVM</v></cell><cell r="AH166"><v>226536077</v></cell><cell r="AI166" t="str"><v>AZR_FreeAcctRetargetingLI-Credit-ChA_USA_1200x627_LIA_Plat_English_Free Account_Standard_NA_SINU_T1_1</v></cell><cell r="AJ166"><v>104593435</v></cell></row><row r="167"><cell r="D167" t="str"><v>43352226537496</v></cell><cell r="E167" t="str"><v>43352104593723PS7BVR</v></cell><cell r="F167" t="str"><v>DCM</v></cell></row><row r="167"><cell r="H167"><v>2</v></cell><cell r="I167" t="str"><v>Azure Direct</v></cell><cell r="J167" t="str"><v>Azure Direct</v></cell><cell r="K167" t="str"><v>September</v></cell><cell r="L167"><v>43358</v></cell><cell r="M167" t="str"><v>Tier 0</v></cell><cell r="N167" t="str"><v>North America</v></cell><cell r="O167" t="str"><v>United States</v></cell><cell r="P167" t="str"><v>Trial</v></cell><cell r="Q167" t="str"><v>Social</v></cell><cell r="R167" t="str"><v>Azure</v></cell><cell r="S167" t="str"><v>Apps & Infra</v></cell><cell r="T167" t="str"><v>Developers & ITI's</v></cell><cell r="U167" t="str"><v>USA-Trial-ITD-Website Retargeting-AZR-AZR</v></cell><cell r="V167" t="str"><v>Retargeting</v></cell><cell r="W167" t="str"><v>Link Ad</v></cell><cell r="X167" t="str"><v>1200x627</v></cell><cell r="Y167" t="str"><v>Sign Up</v></cell><cell r="Z167" t="str"><v>Not Applicable</v></cell><cell r="AA167"><v>43352</v></cell><cell r="AB167" t="str"><v>USA_gaPMG_AZR_AZR_Q1_19_Direct-Social</v></cell><cell r="AC167"><v>21358715</v></cell><cell r="AD167"><v>720197</v></cell><cell r="AE167" t="str"><v>Linkedin</v></cell><cell r="AF167"><v>3654329</v></cell><cell r="AG167" t="str"><v>LINKEDIN»USA-Trial-ITD-Website Retargeting-AZR-AZR»1 x 1»SocialBan»LIA»ALL»CPA»RT»D»All»SS»NA»FreeAcctRetargetingLI-GlobalAlt-ChB»PS7BVR</v></cell><cell r="AH167"><v>226537496</v></cell><cell r="AI167" t="str"><v>AZR_FreeAcctRetargetingLI-GlobalAlt-ChB_USA_1200x627_LIA_Plat_English_Free Account_Standard_NA_SINU_T2_1</v></cell><cell r="AJ167"><v>104593723</v></cell></row><row r="168"><cell r="D168" t="str"><v>43352226537529</v></cell><cell r="E168" t="str"><v>43352104671415PS7BVJ</v></cell><cell r="F168" t="str"><v>DCM</v></cell></row><row r="168"><cell r="H168"><v>8</v></cell><cell r="I168" t="str"><v>Azure Direct</v></cell><cell r="J168" t="str"><v>Azure Direct</v></cell><cell r="K168" t="str"><v>September</v></cell><cell r="L168"><v>43358</v></cell><cell r="M168" t="str"><v>Tier 0</v></cell><cell r="N168" t="str"><v>North America</v></cell><cell r="O168" t="str"><v>United States</v></cell><cell r="P168" t="str"><v>Trial</v></cell><cell r="Q168" t="str"><v>Social</v></cell><cell r="R168" t="str"><v>Azure</v></cell><cell r="S168" t="str"><v>Apps & Infra</v></cell><cell r="T168" t="str"><v>Developers & ITI's</v></cell><cell r="U168" t="str"><v>USA-Trial-ITD-Website Retargeting-AZR-AZR</v></cell><cell r="V168" t="str"><v>Retargeting</v></cell><cell r="W168" t="str"><v>Link Ad</v></cell><cell r="X168" t="str"><v>1200x627</v></cell><cell r="Y168" t="str"><v>Sign Up</v></cell><cell r="Z168" t="str"><v>Not Applicable</v></cell><cell r="AA168"><v>43352</v></cell><cell r="AB168" t="str"><v>USA_gaPMG_AZR_AZR_Q1_19_Direct-Social</v></cell><cell r="AC168"><v>21358715</v></cell><cell r="AD168"><v>720197</v></cell><cell r="AE168" t="str"><v>Linkedin</v></cell><cell r="AF168"><v>3654329</v></cell><cell r="AG168" t="str"><v>LINKEDIN»USA-Trial-ITD-Website Retargeting-AZR-AZR»1 x 1»SocialBan»LIA»ALL»CPA»RT»D»All»SS»NA»FreeAcctRetargetingVMLI-750Hrs-ChD»PS7BVJ</v></cell><cell r="AH168"><v>226537529</v></cell><cell r="AI168" t="str"><v>AZR_FreeAcctRetargetingVMLI-750Hrs-ChD_USA_1200x627_LIA_Plat_English_Free Account_Standard_NA_SINU_T1_1</v></cell><cell r="AJ168"><v>104671415</v></cell></row><row r="169"><cell r="D169" t="str"><v>43352226537532</v></cell><cell r="E169" t="str"><v>43352104592529PS7BVK</v></cell><cell r="F169" t="str"><v>DCM</v></cell></row><row r="169"><cell r="H169"><v>0</v></cell><cell r="I169" t="str"><v>Azure Direct</v></cell><cell r="J169" t="str"><v>Azure Direct</v></cell><cell r="K169" t="str"><v>September</v></cell><cell r="L169"><v>43358</v></cell><cell r="M169" t="str"><v>Tier 0</v></cell><cell r="N169" t="str"><v>North America</v></cell><cell r="O169" t="str"><v>United States</v></cell><cell r="P169" t="str"><v>Trial</v></cell><cell r="Q169" t="str"><v>Social</v></cell><cell r="R169" t="str"><v>Azure</v></cell><cell r="S169" t="str"><v>Apps & Infra</v></cell><cell r="T169" t="str"><v>Developers & ITI's</v></cell><cell r="U169" t="str"><v>USA-Trial-ITD-Website Retargeting-AZR-AZR</v></cell><cell r="V169" t="str"><v>Retargeting</v></cell><cell r="W169" t="str"><v>Link Ad</v></cell><cell r="X169" t="str"><v>1200x627</v></cell><cell r="Y169" t="str"><v>Sign Up</v></cell><cell r="Z169" t="str"><v>Not Applicable</v></cell><cell r="AA169"><v>43352</v></cell><cell r="AB169" t="str"><v>USA_gaPMG_AZR_AZR_Q1_19_Direct-Social</v></cell><cell r="AC169"><v>21358715</v></cell><cell r="AD169"><v>720197</v></cell><cell r="AE169" t="str"><v>Linkedin</v></cell><cell r="AF169"><v>3654329</v></cell><cell r="AG169" t="str"><v>LINKEDIN»USA-Trial-ITD-Website Retargeting-AZR-AZR»1 x 1»SocialBan»LIA»ALL»CPA»RT»D»All»SS»NA»FreeAcctRetargetingVMLI-OnDemand-ChE»PS7BVK</v></cell><cell r="AH169"><v>226537532</v></cell><cell r="AI169" t="str"><v>AZR_FreeAcctRetargetingVMLI-OnDemand-ChE_USA_1200x627_LIA_Plat_English_Free Account_Standard_NA_SINU_T2_1</v></cell><cell r="AJ169"><v>104592529</v></cell></row><row r="170"><cell r="D170" t="str"><v>43352226774218</v></cell><cell r="E170" t="str"><v>43352104593444PS7BVV</v></cell><cell r="F170" t="str"><v>DCM</v></cell></row><row r="170"><cell r="H170"><v>3</v></cell><cell r="I170" t="str"><v>Azure Direct</v></cell><cell r="J170" t="str"><v>Azure Direct</v></cell><cell r="K170" t="str"><v>September</v></cell><cell r="L170"><v>43358</v></cell><cell r="M170" t="str"><v>Tier 0</v></cell><cell r="N170" t="str"><v>North America</v></cell><cell r="O170" t="str"><v>United States</v></cell><cell r="P170" t="str"><v>Trial</v></cell><cell r="Q170" t="str"><v>Social</v></cell><cell r="R170" t="str"><v>Azure</v></cell><cell r="S170" t="str"><v>Apps & Infra</v></cell><cell r="T170" t="str"><v>Developers & ITI's</v></cell><cell r="U170" t="str"><v>USA-Trial-ITD-Website Retargeting-AZR-AZR</v></cell><cell r="V170" t="str"><v>Retargeting</v></cell><cell r="W170" t="str"><v>Video Link ad</v></cell><cell r="X170" t="str"><v>1920x1080</v></cell><cell r="Y170" t="str"><v>Learn More</v></cell><cell r="Z170" t="str"><v>Animated Banner</v></cell><cell r="AA170"><v>43352</v></cell><cell r="AB170" t="str"><v>USA_gaPMG_AZR_AZR_Q1_19_Direct-Social</v></cell><cell r="AC170"><v>21358715</v></cell><cell r="AD170"><v>720197</v></cell><cell r="AE170" t="str"><v>Linkedin</v></cell><cell r="AF170"><v>3654329</v></cell><cell r="AG170" t="str"><v>LINKEDIN»USA-Trial-ITD-Website Retargeting-AZR-AZR»1 x 1»SocialBan»VLA»ALL»CPA»RT»D»All»SS»NA»FreeAcctDeveloperLI-AnimatedAI-Ch3»PS7BVV</v></cell><cell r="AH170"><v>226774218</v></cell><cell r="AI170" t="str"><v>AZR_FreeAcctDeveloperLI-AnimatedAI-Ch3_USA_1920x1080_VLA_Direct_EN_Trial_Standard_ANI_LEA_T3_1</v></cell><cell r="AJ170"><v>104593444</v></cell></row><row r="171"><cell r="D171" t="str"><v>43352226620835</v></cell><cell r="E171" t="str"><v>43352104593732PS7BVW</v></cell><cell r="F171" t="str"><v>DCM</v></cell></row><row r="171"><cell r="H171"><v>0</v></cell><cell r="I171" t="str"><v>Azure Direct</v></cell><cell r="J171" t="str"><v>Azure Direct</v></cell><cell r="K171" t="str"><v>September</v></cell><cell r="L171"><v>43358</v></cell><cell r="M171" t="str"><v>Tier 0</v></cell><cell r="N171" t="str"><v>North America</v></cell><cell r="O171" t="str"><v>United States</v></cell><cell r="P171" t="str"><v>Trial</v></cell><cell r="Q171" t="str"><v>Social</v></cell><cell r="R171" t="str"><v>Azure</v></cell><cell r="S171" t="str"><v>Apps & Infra</v></cell><cell r="T171" t="str"><v>Developers & ITI's</v></cell><cell r="U171" t="str"><v>USA-Trial-ITD-Website Retargeting-AZR-AZR</v></cell><cell r="V171" t="str"><v>Retargeting</v></cell><cell r="W171" t="str"><v>Video Link ad</v></cell><cell r="X171" t="str"><v>1920x1080</v></cell><cell r="Y171" t="str"><v>Learn More</v></cell><cell r="Z171" t="str"><v>Animated Banner</v></cell><cell r="AA171"><v>43352</v></cell><cell r="AB171" t="str"><v>USA_gaPMG_AZR_AZR_Q1_19_Direct-Social</v></cell><cell r="AC171"><v>21358715</v></cell><cell r="AD171"><v>720197</v></cell><cell r="AE171" t="str"><v>Linkedin</v></cell><cell r="AF171"><v>3654329</v></cell><cell r="AG171" t="str"><v>LINKEDIN»USA-Trial-ITD-Website Retargeting-AZR-AZR»1 x 1»SocialBan»VLA»ALL»CPA»RT»D»All»SS»NA»FreeAcctDeveloperLI-AnimatedData-Ch4»PS7BVW</v></cell><cell r="AH171"><v>226620835</v></cell><cell r="AI171" t="str"><v>AZR_FreeAcctDeveloperLI-AnimatedData-Ch4_USA_1920x1080_VLA_Direct_EN_Trial_Standard_ANI_LEA_T4_1</v></cell><cell r="AJ171"><v>104593732</v></cell></row><row r="172"><cell r="D172" t="str"><v>43352226536080</v></cell><cell r="E172" t="str"><v>43352104595736PS7BVP</v></cell><cell r="F172" t="str"><v>DCM</v></cell></row><row r="172"><cell r="H172"><v>0</v></cell><cell r="I172" t="str"><v>Azure Direct</v></cell><cell r="J172" t="str"><v>Azure Direct</v></cell><cell r="K172" t="str"><v>September</v></cell><cell r="L172"><v>43358</v></cell><cell r="M172" t="str"><v>Tier 0</v></cell><cell r="N172" t="str"><v>North America</v></cell><cell r="O172" t="str"><v>United States</v></cell><cell r="P172" t="str"><v>Trial</v></cell><cell r="Q172" t="str"><v>Social</v></cell><cell r="R172" t="str"><v>Azure</v></cell><cell r="S172" t="str"><v>Apps & Infra</v></cell><cell r="T172" t="str"><v>Developers & ITI's</v></cell><cell r="U172" t="str"><v>USA-Trial-ITD-Website Retargeting-AZR-AZR</v></cell><cell r="V172" t="str"><v>Retargeting</v></cell><cell r="W172" t="str"><v>Video Link ad</v></cell><cell r="X172" t="str"><v>1920x1080</v></cell><cell r="Y172" t="str"><v>Learn More</v></cell><cell r="Z172" t="str"><v>Animated Banner</v></cell><cell r="AA172"><v>43352</v></cell><cell r="AB172" t="str"><v>USA_gaPMG_AZR_AZR_Q1_19_Direct-Social</v></cell><cell r="AC172"><v>21358715</v></cell><cell r="AD172"><v>720197</v></cell><cell r="AE172" t="str"><v>Linkedin</v></cell><cell r="AF172"><v>3654329</v></cell><cell r="AG172" t="str"><v>LINKEDIN»USA-Trial-ITD-Website Retargeting-AZR-AZR»1 x 1»SocialBan»VLA»ALL»CPA»RT»D»All»SS»NA»FreeAcctDeveloperLI-AnimatedGeneric-Ch1»PS7BVP</v></cell><cell r="AH172"><v>226536080</v></cell><cell r="AI172" t="str"><v>AZR_FreeAcctDeveloperLI-AnimatedGeneric-Ch1_USA_1920x1080_VLA_Direct_EN_Trial_Standard_ANI_LEA_T1_1</v></cell><cell r="AJ172"><v>104595736</v></cell></row><row r="173"><cell r="D173" t="str"><v>43352226537499</v></cell><cell r="E173" t="str"><v>43352104595763PS7BVT</v></cell><cell r="F173" t="str"><v>DCM</v></cell></row><row r="173"><cell r="H173"><v>0</v></cell><cell r="I173" t="str"><v>Azure Direct</v></cell><cell r="J173" t="str"><v>Azure Direct</v></cell><cell r="K173" t="str"><v>September</v></cell><cell r="L173"><v>43358</v></cell><cell r="M173" t="str"><v>Tier 0</v></cell><cell r="N173" t="str"><v>North America</v></cell><cell r="O173" t="str"><v>United States</v></cell><cell r="P173" t="str"><v>Trial</v></cell><cell r="Q173" t="str"><v>Social</v></cell><cell r="R173" t="str"><v>Azure</v></cell><cell r="S173" t="str"><v>Apps & Infra</v></cell><cell r="T173" t="str"><v>Developers & ITI's</v></cell><cell r="U173" t="str"><v>USA-Trial-ITD-Website Retargeting-AZR-AZR</v></cell><cell r="V173" t="str"><v>Retargeting</v></cell><cell r="W173" t="str"><v>Video Link ad</v></cell><cell r="X173" t="str"><v>1920x1080</v></cell><cell r="Y173" t="str"><v>Learn More</v></cell><cell r="Z173" t="str"><v>Animated Banner</v></cell><cell r="AA173"><v>43352</v></cell><cell r="AB173" t="str"><v>USA_gaPMG_AZR_AZR_Q1_19_Direct-Social</v></cell><cell r="AC173"><v>21358715</v></cell><cell r="AD173"><v>720197</v></cell><cell r="AE173" t="str"><v>Linkedin</v></cell><cell r="AF173"><v>3654329</v></cell><cell r="AG173" t="str"><v>LINKEDIN»USA-Trial-ITD-Website Retargeting-AZR-AZR»1 x 1»SocialBan»VLA»ALL»CPA»RT»D»All»SS»NA»FreeAcctDeveloperLI-AnimatedOpenSource-Ch2»PS7BVT</v></cell><cell r="AH173"><v>226537499</v></cell><cell r="AI173" t="str"><v>AZR_FreeAcctDeveloperLI-AnimatedOpenSource-Ch2_USA_1920x1080_VLA_Direct_EN_Trial_Standard_ANI_LEA_T2_1</v></cell><cell r="AJ173"><v>104595763</v></cell></row><row r="174"><cell r="D174" t="str"><v>43352226774221</v></cell><cell r="E174" t="str"><v>43352104671424PS7BVY</v></cell><cell r="F174" t="str"><v>DCM</v></cell></row><row r="174"><cell r="H174"><v>0</v></cell><cell r="I174" t="str"><v>Azure Direct</v></cell><cell r="J174" t="str"><v>Azure Direct</v></cell><cell r="K174" t="str"><v>September</v></cell><cell r="L174"><v>43358</v></cell><cell r="M174" t="str"><v>Tier 0</v></cell><cell r="N174" t="str"><v>North America</v></cell><cell r="O174" t="str"><v>United States</v></cell><cell r="P174" t="str"><v>Trial</v></cell><cell r="Q174" t="str"><v>Social</v></cell><cell r="R174" t="str"><v>Azure</v></cell><cell r="S174" t="str"><v>Apps & Infra</v></cell><cell r="T174" t="str"><v>Developers & ITI's</v></cell><cell r="U174" t="str"><v>USA-Trial-ITD-Website Retargeting-AZR-AZR</v></cell><cell r="V174" t="str"><v>Retargeting</v></cell><cell r="W174" t="str"><v>Video Link ad</v></cell><cell r="X174" t="str"><v>1920x1080</v></cell><cell r="Y174" t="str"><v>Learn More</v></cell><cell r="Z174" t="str"><v>Animated Banner</v></cell><cell r="AA174"><v>43352</v></cell><cell r="AB174" t="str"><v>USA_gaPMG_AZR_AZR_Q1_19_Direct-Social</v></cell><cell r="AC174"><v>21358715</v></cell><cell r="AD174"><v>720197</v></cell><cell r="AE174" t="str"><v>Linkedin</v></cell><cell r="AF174"><v>3654329</v></cell><cell r="AG174" t="str"><v>LINKEDIN»USA-Trial-ITD-Website Retargeting-AZR-AZR»1 x 1»SocialBan»VLA»ALL»CPA»RT»D»All»SS»NA»FreeAcctITProLI-AnimatedHybrid-Ch2»PS7BVY</v></cell><cell r="AH174"><v>226774221</v></cell><cell r="AI174" t="str"><v>AZR_FreeAcctITProLI-AnimatedHybrid-Ch2_USA_1920x1080_VLA_Direct_EN_Trial_Standard_ANI_LEA_T2_1</v></cell><cell r="AJ174"><v>104671424</v></cell></row><row r="175"><cell r="D175" t="str"><v>43352226537511</v></cell><cell r="E175" t="str"><v>43352104593447PS7BVX</v></cell><cell r="F175" t="str"><v>DCM</v></cell></row><row r="175"><cell r="H175"><v>0</v></cell><cell r="I175" t="str"><v>Azure Direct</v></cell><cell r="J175" t="str"><v>Azure Direct</v></cell><cell r="K175" t="str"><v>September</v></cell><cell r="L175"><v>43358</v></cell><cell r="M175" t="str"><v>Tier 0</v></cell><cell r="N175" t="str"><v>North America</v></cell><cell r="O175" t="str"><v>United States</v></cell><cell r="P175" t="str"><v>Trial</v></cell><cell r="Q175" t="str"><v>Social</v></cell><cell r="R175" t="str"><v>Azure</v></cell><cell r="S175" t="str"><v>Apps & Infra</v></cell><cell r="T175" t="str"><v>Developers & ITI's</v></cell><cell r="U175" t="str"><v>USA-Trial-ITD-Website Retargeting-AZR-AZR</v></cell><cell r="V175" t="str"><v>Retargeting</v></cell><cell r="W175" t="str"><v>Video Link ad</v></cell><cell r="X175" t="str"><v>1920x1080</v></cell><cell r="Y175" t="str"><v>Learn More</v></cell><cell r="Z175" t="str"><v>Animated Banner</v></cell><cell r="AA175"><v>43352</v></cell><cell r="AB175" t="str"><v>USA_gaPMG_AZR_AZR_Q1_19_Direct-Social</v></cell><cell r="AC175"><v>21358715</v></cell><cell r="AD175"><v>720197</v></cell><cell r="AE175" t="str"><v>Linkedin</v></cell><cell r="AF175"><v>3654329</v></cell><cell r="AG175" t="str"><v>LINKEDIN»USA-Trial-ITD-Website Retargeting-AZR-AZR»1 x 1»SocialBan»VLA»ALL»CPA»RT»D»All»SS»NA»FreeAcctITProLI-AnimatedSecureWellMngd-Ch1»PS7BVX</v></cell><cell r="AH175"><v>226537511</v></cell><cell r="AI175" t="str"><v>AZR_FreeAcctITProLI-AnimatedSecureWellMngd-Ch1_USA_1920x1080_VLA_Direct_EN_Trial_Standard_ANI_LEA_T1_1</v></cell><cell r="AJ175"><v>104593447</v></cell></row><row r="176"><cell r="D176" t="str"><v>43353224639151</v></cell><cell r="E176" t="str"><v>43353103316832NowCTA</v></cell><cell r="F176" t="str"><v>DCM</v></cell></row><row r="176"><cell r="H176"><v>2</v></cell><cell r="I176" t="str"><v>Azure Direct</v></cell><cell r="J176" t="str"><v>Azure Direct</v></cell><cell r="K176" t="str"><v>September</v></cell><cell r="L176"><v>43358</v></cell><cell r="M176" t="str"><v>Tier 1</v></cell><cell r="N176" t="str"><v>APAC</v></cell><cell r="O176" t="str"><v>Australia</v></cell><cell r="P176" t="str"><v>Trial</v></cell><cell r="Q176" t="str"><v>Social</v></cell><cell r="R176" t="str"><v>Azure</v></cell><cell r="S176" t="str"><v>Apps & Infra</v></cell><cell r="T176" t="str"><v>Developers & ITI's</v></cell><cell r="U176" t="str"><v>Audience & Interest Targeting</v></cell><cell r="V176" t="str"><v>Audience Targeting</v></cell><cell r="W176" t="str"><v>Canvas Ad</v></cell><cell r="X176" t="str"><v>1080x162</v></cell><cell r="Y176" t="str"><v>Buy Now</v></cell><cell r="Z176" t="str"><v>Not Applicable</v></cell><cell r="AA176"><v>43353</v></cell><cell r="AB176" t="str"><v>AUS_gaPMG_AZR_AZR_Q1_19_Trial-Social</v></cell><cell r="AC176"><v>21358568</v></cell><cell r="AD176"><v>720191</v></cell><cell r="AE176" t="str"><v>Facebook</v></cell><cell r="AF176"><v>3654128</v></cell><cell r="AG176" t="str"><v>Facebook»Audience & Interest Targeting»1x1»Canvas»OTH»DT»DYN»AUT»W»NA»SS»NA»FBCTCcanvaspage-StartFreeCTA_FBCTCcanvaspage-BuyNowCTA</v></cell><cell r="AH176"><v>224639151</v></cell><cell r="AI176" t="str"><v>AzurePlatform_FBCTCcanvaspage-BuyNowCTA-Img3_AUS_1080x162_SOC_Plat_English_NA_Standard_NA_BN_T3_1</v></cell><cell r="AJ176"><v>103316832</v></cell></row><row r="177"><cell r="D177" t="str"><v>43353224639151</v></cell><cell r="E177" t="str"><v>43353103316829NowCTA</v></cell><cell r="F177" t="str"><v>DCM</v></cell></row><row r="177"><cell r="H177"><v>0</v></cell><cell r="I177" t="str"><v>Azure Direct</v></cell><cell r="J177" t="str"><v>Azure Direct</v></cell><cell r="K177" t="str"><v>September</v></cell><cell r="L177"><v>43358</v></cell><cell r="M177" t="str"><v>Tier 1</v></cell><cell r="N177" t="str"><v>APAC</v></cell><cell r="O177" t="str"><v>Australia</v></cell><cell r="P177" t="str"><v>Trial</v></cell><cell r="Q177" t="str"><v>Social</v></cell><cell r="R177" t="str"><v>Azure</v></cell><cell r="S177" t="str"><v>Apps & Infra</v></cell><cell r="T177" t="str"><v>Developers & ITI's</v></cell><cell r="U177" t="str"><v>Audience & Interest Targeting</v></cell><cell r="V177" t="str"><v>Audience Targeting</v></cell><cell r="W177" t="str"><v>Canvas Ad</v></cell><cell r="X177" t="str"><v>1080x143</v></cell><cell r="Y177" t="str"><v>Not Applicable </v></cell><cell r="Z177" t="str"><v>Not Applicable</v></cell><cell r="AA177"><v>43353</v></cell><cell r="AB177" t="str"><v>AUS_gaPMG_AZR_AZR_Q1_19_Trial-Social</v></cell><cell r="AC177"><v>21358568</v></cell><cell r="AD177"><v>720191</v></cell><cell r="AE177" t="str"><v>Facebook</v></cell><cell r="AF177"><v>3654128</v></cell><cell r="AG177" t="str"><v>Facebook»Audience & Interest Targeting»1x1»Canvas»OTH»DT»DYN»AUT»W»NA»SS»NA»FBCTCcanvaspage-StartFreeCTA_FBCTCcanvaspage-BuyNowCTA</v></cell><cell r="AH177"><v>224639151</v></cell><cell r="AI177" t="str"><v>AzurePlatform_FBCTCcanvaspage-StartFreeCTA-Img2_AUS_1080x143 _SOC_Plat_English_NA_Standard_NA_NA_T2_1</v></cell><cell r="AJ177"><v>103316829</v></cell></row><row r="178"><cell r="D178" t="str"><v>43353224160783</v></cell><cell r="E178" t="str"><v>43353103051614hs ChE</v></cell><cell r="F178" t="str"><v>DCM</v></cell></row><row r="178"><cell r="H178"><v>3</v></cell><cell r="I178" t="str"><v>Azure Direct</v></cell><cell r="J178" t="str"><v>Azure Direct</v></cell><cell r="K178" t="str"><v>September</v></cell><cell r="L178"><v>43358</v></cell><cell r="M178" t="str"><v>Tier 1</v></cell><cell r="N178" t="str"><v>APAC</v></cell><cell r="O178" t="str"><v>Australia</v></cell><cell r="P178" t="str"><v>Trial</v></cell><cell r="Q178" t="str"><v>Social</v></cell><cell r="R178" t="str"><v>Azure</v></cell><cell r="S178" t="str"><v>Apps & Infra</v></cell><cell r="T178" t="str"><v>Developers & ITI's</v></cell><cell r="U178" t="str"><v>Audience & Interest Targeting</v></cell><cell r="V178" t="str"><v>Audience Targeting</v></cell><cell r="W178" t="str"><v>Link Ad</v></cell><cell r="X178" t="str"><v>1200x628</v></cell></row><row r="178"><cell r="Z178" t="str"><v>Not Applicable</v></cell><cell r="AA178"><v>43353</v></cell><cell r="AB178" t="str"><v>AUS_gaPMG_AZR_AZR_Q1_19_Trial-Social</v></cell><cell r="AC178"><v>21358568</v></cell><cell r="AD178"><v>720191</v></cell><cell r="AE178" t="str"><v>Facebook</v></cell><cell r="AF178"><v>3654128</v></cell><cell r="AG178" t="str"><v>Facebook»Audience & Interest Targeting»1x1»TextLink»OTH»DT»DYN»AUT»W»NA»SS»NA»Free Account Refresh- 12 months ChE</v></cell><cell r="AH178"><v>224160783</v></cell><cell r="AI178" t="str"><v>AzurePlatform_FreeAcctAppsFACEBOOK12monthsChE_AUS_1200x628_SOC_PLAT_EN_Trial_Standard_NA_SNU_T5_1</v></cell><cell r="AJ178"><v>103051614</v></cell></row><row r="179"><cell r="D179" t="str"><v>43353224160780</v></cell><cell r="E179" t="str"><v>43353103186904it ChD</v></cell><cell r="F179" t="str"><v>DCM</v></cell></row><row r="179"><cell r="H179"><v>1</v></cell><cell r="I179" t="str"><v>Azure Direct</v></cell><cell r="J179" t="str"><v>Azure Direct</v></cell><cell r="K179" t="str"><v>September</v></cell><cell r="L179"><v>43358</v></cell><cell r="M179" t="str"><v>Tier 1</v></cell><cell r="N179" t="str"><v>APAC</v></cell><cell r="O179" t="str"><v>Australia</v></cell><cell r="P179" t="str"><v>Trial</v></cell><cell r="Q179" t="str"><v>Social</v></cell><cell r="R179" t="str"><v>Azure</v></cell><cell r="S179" t="str"><v>Apps & Infra</v></cell><cell r="T179" t="str"><v>Developers & ITI's</v></cell><cell r="U179" t="str"><v>Audience & Interest Targeting</v></cell><cell r="V179" t="str"><v>Audience Targeting</v></cell><cell r="W179" t="str"><v>Link Ad</v></cell><cell r="X179" t="str"><v>1200x628</v></cell></row><row r="179"><cell r="Z179" t="str"><v>Not Applicable</v></cell><cell r="AA179"><v>43353</v></cell><cell r="AB179" t="str"><v>AUS_gaPMG_AZR_AZR_Q1_19_Trial-Social</v></cell><cell r="AC179"><v>21358568</v></cell><cell r="AD179"><v>720191</v></cell><cell r="AE179" t="str"><v>Facebook</v></cell><cell r="AF179"><v>3654128</v></cell><cell r="AG179" t="str"><v>Facebook»Audience & Interest Targeting»1x1»TextLink»OTH»DT»DYN»AUT»W»NA»SS»NA»Free Account Refresh- 200 Credit ChD</v></cell><cell r="AH179"><v>224160780</v></cell><cell r="AI179" t="str"><v>AzurePlatform_FreeAcctAppsFACEBOOK200CreditChD_AUS_1200x628_SOC_PLAT_EN_Trial_Standard_NA_SNU_T4_1</v></cell><cell r="AJ179"><v>103186904</v></cell></row><row r="180"><cell r="D180" t="str"><v>43353224160777</v></cell><cell r="E180" t="str"><v>43353103048479ce ChB</v></cell><cell r="F180" t="str"><v>DCM</v></cell></row><row r="180"><cell r="H180"><v>3</v></cell><cell r="I180" t="str"><v>Azure Direct</v></cell><cell r="J180" t="str"><v>Azure Direct</v></cell><cell r="K180" t="str"><v>September</v></cell><cell r="L180"><v>43358</v></cell><cell r="M180" t="str"><v>Tier 1</v></cell><cell r="N180" t="str"><v>APAC</v></cell><cell r="O180" t="str"><v>Australia</v></cell><cell r="P180" t="str"><v>Trial</v></cell><cell r="Q180" t="str"><v>Social</v></cell><cell r="R180" t="str"><v>Azure</v></cell><cell r="S180" t="str"><v>Apps & Infra</v></cell><cell r="T180" t="str"><v>Developers & ITI's</v></cell><cell r="U180" t="str"><v>Audience & Interest Targeting</v></cell><cell r="V180" t="str"><v>Audience Targeting</v></cell><cell r="W180" t="str"><v>Link Ad</v></cell><cell r="X180" t="str"><v>1200x628</v></cell></row><row r="180"><cell r="Z180" t="str"><v>Not Applicable</v></cell><cell r="AA180"><v>43353</v></cell><cell r="AB180" t="str"><v>AUS_gaPMG_AZR_AZR_Q1_19_Trial-Social</v></cell><cell r="AC180"><v>21358568</v></cell><cell r="AD180"><v>720191</v></cell><cell r="AE180" t="str"><v>Facebook</v></cell><cell r="AF180"><v>3654128</v></cell><cell r="AG180" t="str"><v>Facebook»Audience & Interest Targeting»1x1»TextLink»OTH»DT»DYN»AUT»W»NA»SS»NA»Free Account Refresh- Device ChB</v></cell><cell r="AH180"><v>224160777</v></cell><cell r="AI180" t="str"><v>AzurePlatform_FreeAcctAppsFACEBOOKDeviceChB_AUS_1200x628_SOC_PLAT_EN_Trial_Standard_NA_SNU_T2_1</v></cell><cell r="AJ180"><v>103048479</v></cell></row><row r="181"><cell r="D181" t="str"><v>43353224160774</v></cell><cell r="E181" t="str"><v>43353103186910on ChC</v></cell><cell r="F181" t="str"><v>DCM</v></cell></row><row r="181"><cell r="H181"><v>1</v></cell><cell r="I181" t="str"><v>Azure Direct</v></cell><cell r="J181" t="str"><v>Azure Direct</v></cell><cell r="K181" t="str"><v>September</v></cell><cell r="L181"><v>43358</v></cell><cell r="M181" t="str"><v>Tier 1</v></cell><cell r="N181" t="str"><v>APAC</v></cell><cell r="O181" t="str"><v>Australia</v></cell><cell r="P181" t="str"><v>Trial</v></cell><cell r="Q181" t="str"><v>Social</v></cell><cell r="R181" t="str"><v>Azure</v></cell><cell r="S181" t="str"><v>Apps & Infra</v></cell><cell r="T181" t="str"><v>Developers & ITI's</v></cell><cell r="U181" t="str"><v>Audience & Interest Targeting</v></cell><cell r="V181" t="str"><v>Audience Targeting</v></cell><cell r="W181" t="str"><v>Link Ad</v></cell><cell r="X181" t="str"><v>1200x628</v></cell></row><row r="181"><cell r="Z181" t="str"><v>Not Applicable</v></cell><cell r="AA181"><v>43353</v></cell><cell r="AB181" t="str"><v>AUS_gaPMG_AZR_AZR_Q1_19_Trial-Social</v></cell><cell r="AC181"><v>21358568</v></cell><cell r="AD181"><v>720191</v></cell><cell r="AE181" t="str"><v>Facebook</v></cell><cell r="AF181"><v>3654128</v></cell><cell r="AG181" t="str"><v>Facebook»Audience & Interest Targeting»1x1»TextLink»OTH»DT»DYN»AUT»W»NA»SS»NA»Free Account Refresh- Illustration ChC</v></cell><cell r="AH181"><v>224160774</v></cell><cell r="AI181" t="str"><v>AzurePlatform_FreeAcctAppsFACEBOOKIllustrationChC_AUS_1200x628_SOC_PLAT_EN_Trial_Standard_NA_SNU_T3_1</v></cell><cell r="AJ181"><v>103186910</v></cell></row><row r="182"><cell r="D182" t="str"><v>43353224160771</v></cell><cell r="E182" t="str"><v>43353103048488le ChA</v></cell><cell r="F182" t="str"><v>DCM</v></cell></row><row r="182"><cell r="H182"><v>4</v></cell><cell r="I182" t="str"><v>Azure Direct</v></cell><cell r="J182" t="str"><v>Azure Direct</v></cell><cell r="K182" t="str"><v>September</v></cell><cell r="L182"><v>43358</v></cell><cell r="M182" t="str"><v>Tier 1</v></cell><cell r="N182" t="str"><v>APAC</v></cell><cell r="O182" t="str"><v>Australia</v></cell><cell r="P182" t="str"><v>Trial</v></cell><cell r="Q182" t="str"><v>Social</v></cell><cell r="R182" t="str"><v>Azure</v></cell><cell r="S182" t="str"><v>Apps & Infra</v></cell><cell r="T182" t="str"><v>Developers & ITI's</v></cell><cell r="U182" t="str"><v>Audience & Interest Targeting</v></cell><cell r="V182" t="str"><v>Audience Targeting</v></cell><cell r="W182" t="str"><v>Link Ad</v></cell><cell r="X182" t="str"><v>1200x628</v></cell></row><row r="182"><cell r="Z182" t="str"><v>Not Applicable</v></cell><cell r="AA182"><v>43353</v></cell><cell r="AB182" t="str"><v>AUS_gaPMG_AZR_AZR_Q1_19_Trial-Social</v></cell><cell r="AC182"><v>21358568</v></cell><cell r="AD182"><v>720191</v></cell><cell r="AE182" t="str"><v>Facebook</v></cell><cell r="AF182"><v>3654128</v></cell><cell r="AG182" t="str"><v>Facebook»Audience & Interest Targeting»1x1»TextLink»OTH»DT»DYN»AUT»W»NA»SS»NA»Free Account Refresh- Lifestyle ChA</v></cell><cell r="AH182"><v>224160771</v></cell><cell r="AI182" t="str"><v>AzurePlatform_FreeAcctAppsFACEBOOKLifestyleChA_AUS_1200x628_SOC_PLAT_EN_Trial_Standard_NA_SNU_T1_1</v></cell><cell r="AJ182"><v>103048488</v></cell></row><row r="183"><cell r="D183" t="str"><v>43353224160735</v></cell><cell r="E183" t="str"><v>43353103048479ce ChB</v></cell><cell r="F183" t="str"><v>DCM</v></cell></row><row r="183"><cell r="H183"><v>11</v></cell><cell r="I183" t="str"><v>Azure Direct</v></cell><cell r="J183" t="str"><v>Azure Direct</v></cell><cell r="K183" t="str"><v>September</v></cell><cell r="L183"><v>43358</v></cell><cell r="M183" t="str"><v>Tier 1</v></cell><cell r="N183" t="str"><v>APAC</v></cell><cell r="O183" t="str"><v>Australia</v></cell><cell r="P183" t="str"><v>Trial</v></cell><cell r="Q183" t="str"><v>Social</v></cell><cell r="R183" t="str"><v>Azure</v></cell><cell r="S183" t="str"><v>Apps & Infra</v></cell><cell r="T183" t="str"><v>Developers & ITI's</v></cell><cell r="U183" t="str"><v>Retargeting</v></cell><cell r="V183" t="str"><v>Retargeting</v></cell><cell r="W183" t="str"><v>Link Ad</v></cell><cell r="X183" t="str"><v>1200x628</v></cell></row><row r="183"><cell r="Z183" t="str"><v>Not Applicable</v></cell><cell r="AA183"><v>43353</v></cell><cell r="AB183" t="str"><v>AUS_gaPMG_AZR_AZR_Q1_19_Trial-Social</v></cell><cell r="AC183"><v>21358568</v></cell><cell r="AD183"><v>720191</v></cell><cell r="AE183" t="str"><v>Facebook</v></cell><cell r="AF183"><v>3654128</v></cell><cell r="AG183" t="str"><v>Facebook»Retargeting»1x1»TextLink»SOC»DT»DYN»RT»W»NA»SS»NA»Free Account Refresh- Device ChB</v></cell><cell r="AH183"><v>224160735</v></cell><cell r="AI183" t="str"><v>AzurePlatform_FreeAcctAppsFACEBOOKDeviceChB_AUS_1200x628_SOC_PLAT_EN_Trial_Standard_NA_SNU_T2_1</v></cell><cell r="AJ183"><v>103048479</v></cell></row><row r="184"><cell r="D184" t="str"><v>43353224160732</v></cell><cell r="E184" t="str"><v>43353103186910on ChC</v></cell><cell r="F184" t="str"><v>DCM</v></cell></row><row r="184"><cell r="H184"><v>1</v></cell><cell r="I184" t="str"><v>Azure Direct</v></cell><cell r="J184" t="str"><v>Azure Direct</v></cell><cell r="K184" t="str"><v>September</v></cell><cell r="L184"><v>43358</v></cell><cell r="M184" t="str"><v>Tier 1</v></cell><cell r="N184" t="str"><v>APAC</v></cell><cell r="O184" t="str"><v>Australia</v></cell><cell r="P184" t="str"><v>Trial</v></cell><cell r="Q184" t="str"><v>Social</v></cell><cell r="R184" t="str"><v>Azure</v></cell><cell r="S184" t="str"><v>Apps & Infra</v></cell><cell r="T184" t="str"><v>Developers & ITI's</v></cell><cell r="U184" t="str"><v>Retargeting</v></cell><cell r="V184" t="str"><v>Retargeting</v></cell><cell r="W184" t="str"><v>Link Ad</v></cell><cell r="X184" t="str"><v>1200x628</v></cell></row><row r="184"><cell r="Z184" t="str"><v>Not Applicable</v></cell><cell r="AA184"><v>43353</v></cell><cell r="AB184" t="str"><v>AUS_gaPMG_AZR_AZR_Q1_19_Trial-Social</v></cell><cell r="AC184"><v>21358568</v></cell><cell r="AD184"><v>720191</v></cell><cell r="AE184" t="str"><v>Facebook</v></cell><cell r="AF184"><v>3654128</v></cell><cell r="AG184" t="str"><v>Facebook»Retargeting»1x1»TextLink»SOC»DT»DYN»RT»W»NA»SS»NA»Free Account Refresh- Illustration ChC</v></cell><cell r="AH184"><v>224160732</v></cell><cell r="AI184" t="str"><v>AzurePlatform_FreeAcctAppsFACEBOOKIllustrationChC_AUS_1200x628_SOC_PLAT_EN_Trial_Standard_NA_SNU_T3_1</v></cell><cell r="AJ184"><v>103186910</v></cell></row><row r="185"><cell r="D185" t="str"><v>43353224160738</v></cell><cell r="E185" t="str"><v>43353103186904it ChD</v></cell><cell r="F185" t="str"><v>DCM</v></cell></row><row r="185"><cell r="H185"><v>1</v></cell><cell r="I185" t="str"><v>Azure Direct</v></cell><cell r="J185" t="str"><v>Azure Direct</v></cell><cell r="K185" t="str"><v>September</v></cell><cell r="L185"><v>43358</v></cell><cell r="M185" t="str"><v>Tier 1</v></cell><cell r="N185" t="str"><v>APAC</v></cell><cell r="O185" t="str"><v>Australia</v></cell><cell r="P185" t="str"><v>Trial</v></cell><cell r="Q185" t="str"><v>Social</v></cell><cell r="R185" t="str"><v>Azure</v></cell><cell r="S185" t="str"><v>Apps & Infra</v></cell><cell r="T185" t="str"><v>Developers & ITI's</v></cell><cell r="U185" t="str"><v>Retargeting</v></cell><cell r="V185" t="str"><v>Retargeting</v></cell><cell r="W185" t="str"><v>Link Ad</v></cell><cell r="X185" t="str"><v>1200x628</v></cell></row><row r="185"><cell r="Z185" t="str"><v>Not Applicable</v></cell><cell r="AA185"><v>43353</v></cell><cell r="AB185" t="str"><v>AUS_gaPMG_AZR_AZR_Q1_19_Trial-Social</v></cell><cell r="AC185"><v>21358568</v></cell><cell r="AD185"><v>720191</v></cell><cell r="AE185" t="str"><v>Facebook</v></cell><cell r="AF185"><v>3654128</v></cell><cell r="AG185" t="str"><v>Facebook»Retargeting»1x1»TextLink»SOC»DT»DYN»RT»W»NA»SS»NA»Free Account Refresh- 200 Credit ChD</v></cell><cell r="AH185"><v>224160738</v></cell><cell r="AI185" t="str"><v>AzurePlatform_FreeAcctAppsFACEBOOK200CreditChD_AUS_1200x628_SOC_PLAT_EN_Trial_Standard_NA_SNU_T4_1</v></cell><cell r="AJ185"><v>103186904</v></cell></row><row r="186"><cell r="D186" t="str"><v>43353224160729</v></cell><cell r="E186" t="str"><v>43353103048488le ChA</v></cell><cell r="F186" t="str"><v>DCM</v></cell></row><row r="186"><cell r="H186"><v>0</v></cell><cell r="I186" t="str"><v>Azure Direct</v></cell><cell r="J186" t="str"><v>Azure Direct</v></cell><cell r="K186" t="str"><v>September</v></cell><cell r="L186"><v>43358</v></cell><cell r="M186" t="str"><v>Tier 1</v></cell><cell r="N186" t="str"><v>APAC</v></cell><cell r="O186" t="str"><v>Australia</v></cell><cell r="P186" t="str"><v>Trial</v></cell><cell r="Q186" t="str"><v>Social</v></cell><cell r="R186" t="str"><v>Azure</v></cell><cell r="S186" t="str"><v>Apps & Infra</v></cell><cell r="T186" t="str"><v>Developers & ITI's</v></cell><cell r="U186" t="str"><v>Retargeting</v></cell><cell r="V186" t="str"><v>Retargeting</v></cell><cell r="W186" t="str"><v>Link Ad</v></cell><cell r="X186" t="str"><v>1200x628</v></cell></row><row r="186"><cell r="Z186" t="str"><v>Not Applicable</v></cell><cell r="AA186"><v>43353</v></cell><cell r="AB186" t="str"><v>AUS_gaPMG_AZR_AZR_Q1_19_Trial-Social</v></cell><cell r="AC186"><v>21358568</v></cell><cell r="AD186"><v>720191</v></cell><cell r="AE186" t="str"><v>Facebook</v></cell><cell r="AF186"><v>3654128</v></cell><cell r="AG186" t="str"><v>Facebook»Retargeting»1x1»TextLink»SOC»DT»DYN»RT»W»NA»SS»NA»Free Account Refresh- Lifestyle ChA</v></cell><cell r="AH186"><v>224160729</v></cell><cell r="AI186" t="str"><v>AzurePlatform_FreeAcctAppsFACEBOOKLifestyleChA_AUS_1200x628_SOC_PLAT_EN_Trial_Standard_NA_SNU_T1_1</v></cell><cell r="AJ186"><v>103048488</v></cell></row><row r="187"><cell r="D187" t="str"><v>43353223684451</v></cell><cell r="E187" t="str"><v>433531029018821 - EN</v></cell><cell r="F187" t="str"><v>DCM</v></cell></row><row r="187"><cell r="H187"><v>0</v></cell><cell r="I187" t="str"><v>Azure Direct</v></cell><cell r="J187" t="str"><v>Azure Direct</v></cell><cell r="K187" t="str"><v>September</v></cell><cell r="L187"><v>43358</v></cell><cell r="M187" t="str"><v>Tier 1</v></cell><cell r="N187" t="str"><v>North America</v></cell><cell r="O187" t="str"><v>Canada</v></cell><cell r="P187" t="str"><v>Trial</v></cell><cell r="Q187" t="str"><v>Social</v></cell><cell r="R187" t="str"><v>Azure</v></cell><cell r="S187" t="str"><v>Apps & Infra</v></cell><cell r="T187" t="str"><v>Developers & ITI's</v></cell><cell r="U187" t="str"><v>AZR</v></cell><cell r="V187" t="str"><v>Audience Targeting</v></cell><cell r="W187" t="str"><v>Engagement Video</v></cell><cell r="X187" t="str"><v>10s</v></cell><cell r="Y187" t="str"><v>Try Azure Free</v></cell><cell r="Z187" t="str"><v>Standard videos</v></cell><cell r="AA187"><v>43353</v></cell><cell r="AB187" t="str"><v>CAN_gaPMG_AZR_AZR_Q1_19_Trial-Social</v></cell><cell r="AC187"><v>21337220</v></cell><cell r="AD187"><v>720192</v></cell><cell r="AE187" t="str"><v>Facebook</v></cell><cell r="AF187"><v>3654128</v></cell><cell r="AG187" t="str"><v>Facebook»AZR»1x1»NA»EGV»ALL»DYN»AUT»D»All»SS»NA»Free Acc CTC - T1 - EN</v></cell><cell r="AH187"><v>223684451</v></cell><cell r="AI187" t="str"><v>AzurePlatform_FBCTCBasicMotion_CAN_10s_ISV_PLAT_English_Trial_Standard_STAN_TN_T1_1</v></cell><cell r="AJ187"><v>102901882</v></cell></row><row r="188"><cell r="D188" t="str"><v>43353223691840</v></cell><cell r="E188" t="str"><v>433531029029502 - EN</v></cell><cell r="F188" t="str"><v>DCM</v></cell></row><row r="188"><cell r="H188"><v>0</v></cell><cell r="I188" t="str"><v>Azure Direct</v></cell><cell r="J188" t="str"><v>Azure Direct</v></cell><cell r="K188" t="str"><v>September</v></cell><cell r="L188"><v>43358</v></cell><cell r="M188" t="str"><v>Tier 1</v></cell><cell r="N188" t="str"><v>North America</v></cell><cell r="O188" t="str"><v>Canada</v></cell><cell r="P188" t="str"><v>Trial</v></cell><cell r="Q188" t="str"><v>Social</v></cell><cell r="R188" t="str"><v>Azure</v></cell><cell r="S188" t="str"><v>Apps & Infra</v></cell><cell r="T188" t="str"><v>Developers & ITI's</v></cell><cell r="U188" t="str"><v>AZR</v></cell><cell r="V188" t="str"><v>Audience Targeting</v></cell><cell r="W188" t="str"><v>Engagement Video</v></cell><cell r="X188" t="str"><v>12s</v></cell><cell r="Y188" t="str"><v>Try Azure Free</v></cell><cell r="Z188" t="str"><v>Standard videos</v></cell><cell r="AA188"><v>43353</v></cell><cell r="AB188" t="str"><v>CAN_gaPMG_AZR_AZR_Q1_19_Trial-Social</v></cell><cell r="AC188"><v>21337220</v></cell><cell r="AD188"><v>720192</v></cell><cell r="AE188" t="str"><v>Facebook</v></cell><cell r="AF188"><v>3654128</v></cell><cell r="AG188" t="str"><v>Facebook»AZR»1x1»NA»EGV»ALL»DYN»AUT»D»All»SS»NA»Free Acc CTC - T2 - EN</v></cell><cell r="AH188"><v>223691840</v></cell><cell r="AI188" t="str"><v>AzurePlatform_FBCTCBrandinMotion_CAN_12s_ISV_PLAT_English_Trial_Standard_STAN_TN_T2_1</v></cell><cell r="AJ188"><v>102902950</v></cell></row><row r="189"><cell r="D189" t="str"><v>43353223691798</v></cell><cell r="E189" t="str"><v>433531029163472 - FR</v></cell><cell r="F189" t="str"><v>DCM</v></cell></row><row r="189"><cell r="H189"><v>0</v></cell><cell r="I189" t="str"><v>Azure Direct</v></cell><cell r="J189" t="str"><v>Azure Direct</v></cell><cell r="K189" t="str"><v>September</v></cell><cell r="L189"><v>43358</v></cell><cell r="M189" t="str"><v>Tier 1</v></cell><cell r="N189" t="str"><v>North America</v></cell><cell r="O189" t="str"><v>Canada</v></cell><cell r="P189" t="str"><v>Trial</v></cell><cell r="Q189" t="str"><v>Social</v></cell><cell r="R189" t="str"><v>Azure</v></cell><cell r="S189" t="str"><v>Apps & Infra</v></cell><cell r="T189" t="str"><v>Developers & ITI's</v></cell><cell r="U189" t="str"><v>AZR</v></cell><cell r="V189" t="str"><v>Audience Targeting</v></cell><cell r="W189" t="str"><v>Engagement Video</v></cell><cell r="X189" t="str"><v>12s</v></cell><cell r="Y189" t="str"><v>Try Azure Free</v></cell><cell r="Z189" t="str"><v>Standard videos</v></cell><cell r="AA189"><v>43353</v></cell><cell r="AB189" t="str"><v>CAN_gaPMG_AZR_AZR_Q1_19_Trial-Social</v></cell><cell r="AC189"><v>21337220</v></cell><cell r="AD189"><v>720192</v></cell><cell r="AE189" t="str"><v>Facebook</v></cell><cell r="AF189"><v>3654128</v></cell><cell r="AG189" t="str"><v>Facebook»AZR»1x1»NA»EGV»ALL»DYN»AUT»D»All»SS»NA»Free Acc CTC - T2 - FR</v></cell><cell r="AH189"><v>223691798</v></cell><cell r="AI189" t="str"><v>AzurePlatform_FBCTCBrandinMotion_CAN_12s_ISV_PLAT_FR_Trial_Standard_STAN_TN_T2_1</v></cell><cell r="AJ189"><v>102916347</v></cell></row><row r="190"><cell r="D190" t="str"><v>43353223691837</v></cell><cell r="E190" t="str"><v>433531030533144 - EN</v></cell><cell r="F190" t="str"><v>DCM</v></cell></row><row r="190"><cell r="H190"><v>0</v></cell><cell r="I190" t="str"><v>Azure Direct</v></cell><cell r="J190" t="str"><v>Azure Direct</v></cell><cell r="K190" t="str"><v>September</v></cell><cell r="L190"><v>43358</v></cell><cell r="M190" t="str"><v>Tier 1</v></cell><cell r="N190" t="str"><v>North America</v></cell><cell r="O190" t="str"><v>Canada</v></cell><cell r="P190" t="str"><v>Trial</v></cell><cell r="Q190" t="str"><v>Social</v></cell><cell r="R190" t="str"><v>Azure</v></cell><cell r="S190" t="str"><v>Apps & Infra</v></cell><cell r="T190" t="str"><v>Developers & ITI's</v></cell><cell r="U190" t="str"><v>AZR</v></cell><cell r="V190" t="str"><v>Audience Targeting</v></cell><cell r="W190" t="str"><v>Engagement Video</v></cell><cell r="X190" t="str"><v>14s</v></cell><cell r="Y190" t="str"><v>Try Azure Free</v></cell><cell r="Z190" t="str"><v>Standard videos</v></cell><cell r="AA190"><v>43353</v></cell><cell r="AB190" t="str"><v>CAN_gaPMG_AZR_AZR_Q1_19_Trial-Social</v></cell><cell r="AC190"><v>21337220</v></cell><cell r="AD190"><v>720192</v></cell><cell r="AE190" t="str"><v>Facebook</v></cell><cell r="AF190"><v>3654128</v></cell><cell r="AG190" t="str"><v>Facebook»AZR»1x1»NA»EGV»ALL»DYN»AUT»D»All»SS»NA»Free Acc CTC - T4 - EN</v></cell><cell r="AH190"><v>223691837</v></cell><cell r="AI190" t="str"><v>AzurePlatform_FBCTCBenefit2inMotion_CAN_14s_ISV_PLAT_English_Trial_Standard_STAN_TN_T4_1</v></cell><cell r="AJ190"><v>103053314</v></cell></row><row r="191"><cell r="D191" t="str"><v>43353227792313</v></cell><cell r="E191" t="str"><v>43353105216995ow -FR</v></cell><cell r="F191" t="str"><v>DCM</v></cell></row><row r="191"><cell r="H191"><v>0</v></cell><cell r="I191" t="str"><v>Azure Direct</v></cell><cell r="J191" t="str"><v>Azure Direct</v></cell><cell r="K191" t="str"><v>September</v></cell><cell r="L191"><v>43358</v></cell><cell r="M191" t="str"><v>Tier 1</v></cell><cell r="N191" t="str"><v>North America</v></cell><cell r="O191" t="str"><v>Canada</v></cell><cell r="P191" t="str"><v>Trial</v></cell><cell r="Q191" t="str"><v>Social</v></cell><cell r="R191" t="str"><v>Azure</v></cell><cell r="S191" t="str"><v>Apps & Infra</v></cell><cell r="T191" t="str"><v>Developers & ITI's</v></cell><cell r="U191" t="str"><v>AZR</v></cell><cell r="V191" t="str"><v>Audience Targeting</v></cell><cell r="W191" t="str"><v>Canvas Ad</v></cell><cell r="X191" t="str"><v>1080x1080</v></cell><cell r="Y191" t="str"><v>Free Trial</v></cell><cell r="Z191" t="str"><v>Not Applicable</v></cell><cell r="AA191"><v>43353</v></cell><cell r="AB191" t="str"><v>CAN_gaPMG_AZR_AZR_Q1_19_Trial-Social</v></cell><cell r="AC191"><v>21337220</v></cell><cell r="AD191"><v>720192</v></cell><cell r="AE191" t="str"><v>Facebook</v></cell><cell r="AF191"><v>3654128</v></cell><cell r="AG191" t="str"><v>Facebook»AZR»1x1»NA»NA»ALL»DYN»AUT»D»All»SS»NA»Free Account Create to Convert FB - Canvas - Basic - Buy Now -FR</v></cell><cell r="AH191"><v>227792313</v></cell><cell r="AI191" t="str"><v>AzurePlatform_FBCTCBasicMotion_CAN_1080x1080_SOC_10s_ISV_FR_Standard_NA_FTR_T1_1</v></cell><cell r="AJ191"><v>105216995</v></cell></row><row r="192"><cell r="D192" t="str"><v>43353223691804</v></cell><cell r="E192" t="str"><v>433531030587171 - EN</v></cell><cell r="F192" t="str"><v>DCM</v></cell></row><row r="192"><cell r="H192"><v>1</v></cell><cell r="I192" t="str"><v>Azure Direct</v></cell><cell r="J192" t="str"><v>Azure Direct</v></cell><cell r="K192" t="str"><v>September</v></cell><cell r="L192"><v>43358</v></cell><cell r="M192" t="str"><v>Tier 1</v></cell><cell r="N192" t="str"><v>North America</v></cell><cell r="O192" t="str"><v>Canada</v></cell><cell r="P192" t="str"><v>Trial</v></cell><cell r="Q192" t="str"><v>Social</v></cell><cell r="R192" t="str"><v>Azure</v></cell><cell r="S192" t="str"><v>Apps & Infra</v></cell><cell r="T192" t="str"><v>Developers & ITI's</v></cell><cell r="U192" t="str"><v>AZR</v></cell><cell r="V192" t="str"><v>Audience Targeting</v></cell><cell r="W192" t="str"><v>NotApplicable</v></cell><cell r="X192" t="str"><v>1200x628</v></cell></row><row r="192"><cell r="Z192" t="str"><v>Not Applicable</v></cell><cell r="AA192"><v>43353</v></cell><cell r="AB192" t="str"><v>CAN_gaPMG_AZR_AZR_Q1_19_Trial-Social</v></cell><cell r="AC192"><v>21337220</v></cell><cell r="AD192"><v>720192</v></cell><cell r="AE192" t="str"><v>Facebook</v></cell><cell r="AF192"><v>3654128</v></cell><cell r="AG192" t="str"><v>Facebook»AZR»1x1»SocialBan»NA»ALL»DYN»AUT»D»All»SS»NA»Free Acc Refresh - T1 - EN</v></cell><cell r="AH192"><v>223691804</v></cell><cell r="AI192" t="str"><v>AzurePlatform_FreeAcctAppsFACEBOOKLifestyleChA_CAN_1200x628_SOC_PLAT_EN_Trial_Standard_NA_SU_T1_1.png</v></cell><cell r="AJ192"><v>103058717</v></cell></row><row r="193"><cell r="D193" t="str"><v>43353223691762</v></cell><cell r="E193" t="str"><v>433531029029741 - FR</v></cell><cell r="F193" t="str"><v>DCM</v></cell></row><row r="193"><cell r="H193"><v>0</v></cell><cell r="I193" t="str"><v>Azure Direct</v></cell><cell r="J193" t="str"><v>Azure Direct</v></cell><cell r="K193" t="str"><v>September</v></cell><cell r="L193"><v>43358</v></cell><cell r="M193" t="str"><v>Tier 1</v></cell><cell r="N193" t="str"><v>North America</v></cell><cell r="O193" t="str"><v>Canada</v></cell><cell r="P193" t="str"><v>Trial</v></cell><cell r="Q193" t="str"><v>Social</v></cell><cell r="R193" t="str"><v>Azure</v></cell><cell r="S193" t="str"><v>Apps & Infra</v></cell><cell r="T193" t="str"><v>Developers & ITI's</v></cell><cell r="U193" t="str"><v>AZR</v></cell><cell r="V193" t="str"><v>Audience Targeting</v></cell><cell r="W193" t="str"><v>NotApplicable</v></cell><cell r="X193" t="str"><v>1200x628</v></cell></row><row r="193"><cell r="Z193" t="str"><v>Not Applicable</v></cell><cell r="AA193"><v>43353</v></cell><cell r="AB193" t="str"><v>CAN_gaPMG_AZR_AZR_Q1_19_Trial-Social</v></cell><cell r="AC193"><v>21337220</v></cell><cell r="AD193"><v>720192</v></cell><cell r="AE193" t="str"><v>Facebook</v></cell><cell r="AF193"><v>3654128</v></cell><cell r="AG193" t="str"><v>Facebook»AZR»1x1»SocialBan»NA»ALL»DYN»AUT»D»All»SS»NA»Free Acc Refresh - T1 - FR</v></cell><cell r="AH193"><v>223691762</v></cell><cell r="AI193" t="str"><v>AzurePlatform_FreeAcctAppsFACEBOOKLifestyleChA_CAN_1200x628_SOC_PLAT_FR_Trial_Standard_NA_SU_T1_1.png</v></cell><cell r="AJ193"><v>102902974</v></cell></row><row r="194"><cell r="D194" t="str"><v>43353223691810</v></cell><cell r="E194" t="str"><v>433531030587112 - EN</v></cell><cell r="F194" t="str"><v>DCM</v></cell></row><row r="194"><cell r="H194"><v>0</v></cell><cell r="I194" t="str"><v>Azure Direct</v></cell><cell r="J194" t="str"><v>Azure Direct</v></cell><cell r="K194" t="str"><v>September</v></cell><cell r="L194"><v>43358</v></cell><cell r="M194" t="str"><v>Tier 1</v></cell><cell r="N194" t="str"><v>North America</v></cell><cell r="O194" t="str"><v>Canada</v></cell><cell r="P194" t="str"><v>Trial</v></cell><cell r="Q194" t="str"><v>Social</v></cell><cell r="R194" t="str"><v>Azure</v></cell><cell r="S194" t="str"><v>Apps & Infra</v></cell><cell r="T194" t="str"><v>Developers & ITI's</v></cell><cell r="U194" t="str"><v>AZR</v></cell><cell r="V194" t="str"><v>Audience Targeting</v></cell><cell r="W194" t="str"><v>NotApplicable</v></cell><cell r="X194" t="str"><v>1200x628</v></cell></row><row r="194"><cell r="Z194" t="str"><v>Not Applicable</v></cell><cell r="AA194"><v>43353</v></cell><cell r="AB194" t="str"><v>CAN_gaPMG_AZR_AZR_Q1_19_Trial-Social</v></cell><cell r="AC194"><v>21337220</v></cell><cell r="AD194"><v>720192</v></cell><cell r="AE194" t="str"><v>Facebook</v></cell><cell r="AF194"><v>3654128</v></cell><cell r="AG194" t="str"><v>Facebook»AZR»1x1»SocialBan»NA»ALL»DYN»AUT»D»All»SS»NA»Free Acc Refresh - T2 - EN</v></cell><cell r="AH194"><v>223691810</v></cell><cell r="AI194" t="str"><v>AzurePlatform_FreeAcctAppsFACEBOOKDeviceChB_CAN_1200x628_SOC_PLAT_EN_Trial_Standard_NA_SU_T2_1.png</v></cell><cell r="AJ194"><v>103058711</v></cell></row><row r="195"><cell r="D195" t="str"><v>43353223691768</v></cell><cell r="E195" t="str"><v>433531029029712 - FR</v></cell><cell r="F195" t="str"><v>DCM</v></cell></row><row r="195"><cell r="H195"><v>1</v></cell><cell r="I195" t="str"><v>Azure Direct</v></cell><cell r="J195" t="str"><v>Azure Direct</v></cell><cell r="K195" t="str"><v>September</v></cell><cell r="L195"><v>43358</v></cell><cell r="M195" t="str"><v>Tier 1</v></cell><cell r="N195" t="str"><v>North America</v></cell><cell r="O195" t="str"><v>Canada</v></cell><cell r="P195" t="str"><v>Trial</v></cell><cell r="Q195" t="str"><v>Social</v></cell><cell r="R195" t="str"><v>Azure</v></cell><cell r="S195" t="str"><v>Apps & Infra</v></cell><cell r="T195" t="str"><v>Developers & ITI's</v></cell><cell r="U195" t="str"><v>AZR</v></cell><cell r="V195" t="str"><v>Audience Targeting</v></cell><cell r="W195" t="str"><v>NotApplicable</v></cell><cell r="X195" t="str"><v>1200x628</v></cell></row><row r="195"><cell r="Z195" t="str"><v>Not Applicable</v></cell><cell r="AA195"><v>43353</v></cell><cell r="AB195" t="str"><v>CAN_gaPMG_AZR_AZR_Q1_19_Trial-Social</v></cell><cell r="AC195"><v>21337220</v></cell><cell r="AD195"><v>720192</v></cell><cell r="AE195" t="str"><v>Facebook</v></cell><cell r="AF195"><v>3654128</v></cell><cell r="AG195" t="str"><v>Facebook»AZR»1x1»SocialBan»NA»ALL»DYN»AUT»D»All»SS»NA»Free Acc Refresh - T2 - FR</v></cell><cell r="AH195"><v>223691768</v></cell><cell r="AI195" t="str"><v>AzurePlatform_FreeAcctAppsFACEBOOKDeviceChB_CAN_1200x628_SOC_PLAT_FR_Trial_Standard_NA_SU_T2_1.png</v></cell><cell r="AJ195"><v>102902971</v></cell></row><row r="196"><cell r="D196" t="str"><v>43353223691813</v></cell><cell r="E196" t="str"><v>433531030533204 - EN</v></cell><cell r="F196" t="str"><v>DCM</v></cell></row><row r="196"><cell r="H196"><v>2</v></cell><cell r="I196" t="str"><v>Azure Direct</v></cell><cell r="J196" t="str"><v>Azure Direct</v></cell><cell r="K196" t="str"><v>September</v></cell><cell r="L196"><v>43358</v></cell><cell r="M196" t="str"><v>Tier 1</v></cell><cell r="N196" t="str"><v>North America</v></cell><cell r="O196" t="str"><v>Canada</v></cell><cell r="P196" t="str"><v>Trial</v></cell><cell r="Q196" t="str"><v>Social</v></cell><cell r="R196" t="str"><v>Azure</v></cell><cell r="S196" t="str"><v>Apps & Infra</v></cell><cell r="T196" t="str"><v>Developers & ITI's</v></cell><cell r="U196" t="str"><v>AZR</v></cell><cell r="V196" t="str"><v>Audience Targeting</v></cell><cell r="W196" t="str"><v>NotApplicable</v></cell><cell r="X196" t="str"><v>1200x628</v></cell></row><row r="196"><cell r="Z196" t="str"><v>Not Applicable</v></cell><cell r="AA196"><v>43353</v></cell><cell r="AB196" t="str"><v>CAN_gaPMG_AZR_AZR_Q1_19_Trial-Social</v></cell><cell r="AC196"><v>21337220</v></cell><cell r="AD196"><v>720192</v></cell><cell r="AE196" t="str"><v>Facebook</v></cell><cell r="AF196"><v>3654128</v></cell><cell r="AG196" t="str"><v>Facebook»AZR»1x1»SocialBan»NA»ALL»DYN»AUT»D»All»SS»NA»Free Acc Refresh - T4 - EN</v></cell><cell r="AH196"><v>223691813</v></cell><cell r="AI196" t="str"><v>AzurePlatform_FreeAcctAppsFACEBOOK200CreditChD_CAN_1200x628_SOC_PLAT_EN_Trial_Standard_NA_SU_T4_1.png</v></cell><cell r="AJ196"><v>103053320</v></cell></row><row r="197"><cell r="D197" t="str"><v>43353223691816</v></cell><cell r="E197" t="str"><v>433531029163415 - EN</v></cell><cell r="F197" t="str"><v>DCM</v></cell></row><row r="197"><cell r="H197"><v>0</v></cell><cell r="I197" t="str"><v>Azure Direct</v></cell><cell r="J197" t="str"><v>Azure Direct</v></cell><cell r="K197" t="str"><v>September</v></cell><cell r="L197"><v>43358</v></cell><cell r="M197" t="str"><v>Tier 1</v></cell><cell r="N197" t="str"><v>North America</v></cell><cell r="O197" t="str"><v>Canada</v></cell><cell r="P197" t="str"><v>Trial</v></cell><cell r="Q197" t="str"><v>Social</v></cell><cell r="R197" t="str"><v>Azure</v></cell><cell r="S197" t="str"><v>Apps & Infra</v></cell><cell r="T197" t="str"><v>Developers & ITI's</v></cell><cell r="U197" t="str"><v>AZR</v></cell><cell r="V197" t="str"><v>Audience Targeting</v></cell><cell r="W197" t="str"><v>NotApplicable</v></cell><cell r="X197" t="str"><v>1200x628</v></cell></row><row r="197"><cell r="Z197" t="str"><v>Not Applicable</v></cell><cell r="AA197"><v>43353</v></cell><cell r="AB197" t="str"><v>CAN_gaPMG_AZR_AZR_Q1_19_Trial-Social</v></cell><cell r="AC197"><v>21337220</v></cell><cell r="AD197"><v>720192</v></cell><cell r="AE197" t="str"><v>Facebook</v></cell><cell r="AF197"><v>3654128</v></cell><cell r="AG197" t="str"><v>Facebook»AZR»1x1»SocialBan»NA»ALL»DYN»AUT»D»All»SS»NA»Free Acc Refresh - T5 - EN</v></cell><cell r="AH197"><v>223691816</v></cell><cell r="AI197" t="str"><v>AzurePlatform_FreeAcctAppsFACEBOOK12monthsChE_CAN_1200x628_SOC_PLAT_EN_Trial_Standard_NA_SU_T5_1.png</v></cell><cell r="AJ197"><v>102916341</v></cell></row><row r="198"><cell r="D198" t="str"><v>43353223691774</v></cell><cell r="E198" t="str"><v>433531029163565 - FR</v></cell><cell r="F198" t="str"><v>DCM</v></cell></row><row r="198"><cell r="H198"><v>2</v></cell><cell r="I198" t="str"><v>Azure Direct</v></cell><cell r="J198" t="str"><v>Azure Direct</v></cell><cell r="K198" t="str"><v>September</v></cell><cell r="L198"><v>43358</v></cell><cell r="M198" t="str"><v>Tier 1</v></cell><cell r="N198" t="str"><v>North America</v></cell><cell r="O198" t="str"><v>Canada</v></cell><cell r="P198" t="str"><v>Trial</v></cell><cell r="Q198" t="str"><v>Social</v></cell><cell r="R198" t="str"><v>Azure</v></cell><cell r="S198" t="str"><v>Apps & Infra</v></cell><cell r="T198" t="str"><v>Developers & ITI's</v></cell><cell r="U198" t="str"><v>AZR</v></cell><cell r="V198" t="str"><v>Audience Targeting</v></cell><cell r="W198" t="str"><v>NotApplicable</v></cell><cell r="X198" t="str"><v>1200x628</v></cell></row><row r="198"><cell r="Z198" t="str"><v>Not Applicable</v></cell><cell r="AA198"><v>43353</v></cell><cell r="AB198" t="str"><v>CAN_gaPMG_AZR_AZR_Q1_19_Trial-Social</v></cell><cell r="AC198"><v>21337220</v></cell><cell r="AD198"><v>720192</v></cell><cell r="AE198" t="str"><v>Facebook</v></cell><cell r="AF198"><v>3654128</v></cell><cell r="AG198" t="str"><v>Facebook»AZR»1x1»SocialBan»NA»ALL»DYN»AUT»D»All»SS»NA»Free Acc Refresh - T5 - FR</v></cell><cell r="AH198"><v>223691774</v></cell><cell r="AI198" t="str"><v>AzurePlatform_FreeAcctAppsFACEBOOK12monthsChE_CAN_1200x628_SOC_PLAT_FR_Trial_Standard_NA_SU_T5_1.png</v></cell><cell r="AJ198"><v>102916356</v></cell></row><row r="199"><cell r="D199" t="str"><v>43353223691786</v></cell><cell r="E199" t="str"><v>433531030587201 - FR</v></cell><cell r="F199" t="str"><v>DCM</v></cell></row><row r="199"><cell r="H199"><v>1</v></cell><cell r="I199" t="str"><v>Azure Direct</v></cell><cell r="J199" t="str"><v>Azure Direct</v></cell><cell r="K199" t="str"><v>September</v></cell><cell r="L199"><v>43358</v></cell><cell r="M199" t="str"><v>Tier 1</v></cell><cell r="N199" t="str"><v>North America</v></cell><cell r="O199" t="str"><v>Canada</v></cell><cell r="P199" t="str"><v>Trial</v></cell><cell r="Q199" t="str"><v>Social</v></cell><cell r="R199" t="str"><v>Azure</v></cell><cell r="S199" t="str"><v>Apps & Infra</v></cell><cell r="T199" t="str"><v>Developers & ITI's</v></cell><cell r="U199" t="str"><v>AZR</v></cell><cell r="V199" t="str"><v>Retargeting</v></cell><cell r="W199" t="str"><v>NotApplicable</v></cell><cell r="X199" t="str"><v>1200x628</v></cell></row><row r="199"><cell r="Z199" t="str"><v>Not Applicable</v></cell><cell r="AA199"><v>43353</v></cell><cell r="AB199" t="str"><v>CAN_gaPMG_AZR_AZR_Q1_19_Trial-Social</v></cell><cell r="AC199"><v>21337220</v></cell><cell r="AD199"><v>720192</v></cell><cell r="AE199" t="str"><v>Facebook</v></cell><cell r="AF199"><v>3654128</v></cell><cell r="AG199" t="str"><v>Facebook»AZR»1x1»SocialBan»NA»ALL»DYN»RT»D»All»SS»NA» Free Account Retargeting OSS - T1 - FR</v></cell><cell r="AH199"><v>223691786</v></cell><cell r="AI199" t="str"><v>AzurePlatform_FreeAcctRetargetingOSSFB-Text-ChF_CAN_1200x628_SOC_Plat_FR_Free Account_Standard_NA_SU_T1_1</v></cell><cell r="AJ199"><v>103058720</v></cell></row><row r="200"><cell r="D200" t="str"><v>43353223691831</v></cell><cell r="E200" t="str"><v>433531029138002 - EN</v></cell><cell r="F200" t="str"><v>DCM</v></cell></row><row r="200"><cell r="H200"><v>1</v></cell><cell r="I200" t="str"><v>Azure Direct</v></cell><cell r="J200" t="str"><v>Azure Direct</v></cell><cell r="K200" t="str"><v>September</v></cell><cell r="L200"><v>43358</v></cell><cell r="M200" t="str"><v>Tier 1</v></cell><cell r="N200" t="str"><v>North America</v></cell><cell r="O200" t="str"><v>Canada</v></cell><cell r="P200" t="str"><v>Trial</v></cell><cell r="Q200" t="str"><v>Social</v></cell><cell r="R200" t="str"><v>Azure</v></cell><cell r="S200" t="str"><v>Apps & Infra</v></cell><cell r="T200" t="str"><v>Developers & ITI's</v></cell><cell r="U200" t="str"><v>AZR</v></cell><cell r="V200" t="str"><v>Retargeting</v></cell><cell r="W200" t="str"><v>NotApplicable</v></cell><cell r="X200" t="str"><v>1200x628</v></cell></row><row r="200"><cell r="Z200" t="str"><v>Not Applicable</v></cell><cell r="AA200"><v>43353</v></cell><cell r="AB200" t="str"><v>CAN_gaPMG_AZR_AZR_Q1_19_Trial-Social</v></cell><cell r="AC200"><v>21337220</v></cell><cell r="AD200"><v>720192</v></cell><cell r="AE200" t="str"><v>Facebook</v></cell><cell r="AF200"><v>3654128</v></cell><cell r="AG200" t="str"><v>Facebook»AZR»1x1»SocialBan»NA»ALL»DYN»RT»D»All»SS»NA» Free Account Retargeting OSS - T2 - EN</v></cell><cell r="AH200"><v>223691831</v></cell><cell r="AI200" t="str"><v>AzurePlatform_FreeAcctRetargetingOSSFB-Logos-ChG_CAN_1200x628_SOC_Plat_EN_Free Account_Standard_NA_SU_T2_1</v></cell><cell r="AJ200"><v>102913800</v></cell></row><row r="201"><cell r="D201" t="str"><v>43353223691789</v></cell><cell r="E201" t="str"><v>433531029006912 - FR</v></cell><cell r="F201" t="str"><v>DCM</v></cell></row><row r="201"><cell r="H201"><v>2</v></cell><cell r="I201" t="str"><v>Azure Direct</v></cell><cell r="J201" t="str"><v>Azure Direct</v></cell><cell r="K201" t="str"><v>September</v></cell><cell r="L201"><v>43358</v></cell><cell r="M201" t="str"><v>Tier 1</v></cell><cell r="N201" t="str"><v>North America</v></cell><cell r="O201" t="str"><v>Canada</v></cell><cell r="P201" t="str"><v>Trial</v></cell><cell r="Q201" t="str"><v>Social</v></cell><cell r="R201" t="str"><v>Azure</v></cell><cell r="S201" t="str"><v>Apps & Infra</v></cell><cell r="T201" t="str"><v>Developers & ITI's</v></cell><cell r="U201" t="str"><v>AZR</v></cell><cell r="V201" t="str"><v>Retargeting</v></cell><cell r="W201" t="str"><v>NotApplicable</v></cell><cell r="X201" t="str"><v>1200x628</v></cell></row><row r="201"><cell r="Z201" t="str"><v>Not Applicable</v></cell><cell r="AA201"><v>43353</v></cell><cell r="AB201" t="str"><v>CAN_gaPMG_AZR_AZR_Q1_19_Trial-Social</v></cell><cell r="AC201"><v>21337220</v></cell><cell r="AD201"><v>720192</v></cell><cell r="AE201" t="str"><v>Facebook</v></cell><cell r="AF201"><v>3654128</v></cell><cell r="AG201" t="str"><v>Facebook»AZR»1x1»SocialBan»NA»ALL»DYN»RT»D»All»SS»NA» Free Account Retargeting OSS - T2 - FR</v></cell><cell r="AH201"><v>223691789</v></cell><cell r="AI201" t="str"><v>AzurePlatform_FreeAcctRetargetingOSSFB-Logos-ChG_CAN_1200x628_SOC_Plat_FR_Free Account_Standard_NA_SU_T2_1</v></cell><cell r="AJ201"><v>102900691</v></cell></row><row r="202"><cell r="D202" t="str"><v>43353223691819</v></cell><cell r="E202" t="str"><v>433531029006823 - EN</v></cell><cell r="F202" t="str"><v>DCM</v></cell></row><row r="202"><cell r="H202"><v>0</v></cell><cell r="I202" t="str"><v>Azure Direct</v></cell><cell r="J202" t="str"><v>Azure Direct</v></cell><cell r="K202" t="str"><v>September</v></cell><cell r="L202"><v>43358</v></cell><cell r="M202" t="str"><v>Tier 1</v></cell><cell r="N202" t="str"><v>North America</v></cell><cell r="O202" t="str"><v>Canada</v></cell><cell r="P202" t="str"><v>Trial</v></cell><cell r="Q202" t="str"><v>Social</v></cell><cell r="R202" t="str"><v>Azure</v></cell><cell r="S202" t="str"><v>Apps & Infra</v></cell><cell r="T202" t="str"><v>Developers & ITI's</v></cell><cell r="U202" t="str"><v>AZR</v></cell><cell r="V202" t="str"><v>Retargeting</v></cell><cell r="W202" t="str"><v>NotApplicable</v></cell><cell r="X202" t="str"><v>1200x628</v></cell></row><row r="202"><cell r="Z202" t="str"><v>Animated Banner</v></cell><cell r="AA202"><v>43353</v></cell><cell r="AB202" t="str"><v>CAN_gaPMG_AZR_AZR_Q1_19_Trial-Social</v></cell><cell r="AC202"><v>21337220</v></cell><cell r="AD202"><v>720192</v></cell><cell r="AE202" t="str"><v>Facebook</v></cell><cell r="AF202"><v>3654128</v></cell><cell r="AG202" t="str"><v>Facebook»AZR»1x1»SocialBan»NA»ALL»DYN»RT»D»All»SS»NA»Free Account Retargeting Generic - T3 - EN</v></cell><cell r="AH202"><v>223691819</v></cell><cell r="AI202" t="str"><v>AzurePlatform_FreeAcctRetargetingFB-Animated-ChC_CAN_1200x628_SOC_Plat_EN_Free Account_Standard_ANI_SU_T3_1</v></cell><cell r="AJ202"><v>102900682</v></cell></row><row r="203"><cell r="D203" t="str"><v>43353223691777</v></cell><cell r="E203" t="str"><v>433531029006973 - FR</v></cell><cell r="F203" t="str"><v>DCM</v></cell></row><row r="203"><cell r="H203"><v>2</v></cell><cell r="I203" t="str"><v>Azure Direct</v></cell><cell r="J203" t="str"><v>Azure Direct</v></cell><cell r="K203" t="str"><v>September</v></cell><cell r="L203"><v>43358</v></cell><cell r="M203" t="str"><v>Tier 1</v></cell><cell r="N203" t="str"><v>North America</v></cell><cell r="O203" t="str"><v>Canada</v></cell><cell r="P203" t="str"><v>Trial</v></cell><cell r="Q203" t="str"><v>Social</v></cell><cell r="R203" t="str"><v>Azure</v></cell><cell r="S203" t="str"><v>Apps & Infra</v></cell><cell r="T203" t="str"><v>Developers & ITI's</v></cell><cell r="U203" t="str"><v>AZR</v></cell><cell r="V203" t="str"><v>Retargeting</v></cell><cell r="W203" t="str"><v>NotApplicable</v></cell><cell r="X203" t="str"><v>1200x628</v></cell></row><row r="203"><cell r="Z203" t="str"><v>Animated Banner</v></cell><cell r="AA203"><v>43353</v></cell><cell r="AB203" t="str"><v>CAN_gaPMG_AZR_AZR_Q1_19_Trial-Social</v></cell><cell r="AC203"><v>21337220</v></cell><cell r="AD203"><v>720192</v></cell><cell r="AE203" t="str"><v>Facebook</v></cell><cell r="AF203"><v>3654128</v></cell><cell r="AG203" t="str"><v>Facebook»AZR»1x1»SocialBan»NA»ALL»DYN»RT»D»All»SS»NA»Free Account Retargeting Generic - T3 - FR</v></cell><cell r="AH203"><v>223691777</v></cell><cell r="AI203" t="str"><v>AzurePlatform_FreeAcctRetargetingFB-Animated-ChC_CAN_1200x628_SOC_Plat_FR_Free Account_Standard_ANI_SU_T3_1</v></cell><cell r="AJ203"><v>102900697</v></cell></row><row r="204"><cell r="D204" t="str"><v>43353223691825</v></cell><cell r="E204" t="str"><v>433531029163381 - EN</v></cell><cell r="F204" t="str"><v>DCM</v></cell></row><row r="204"><cell r="H204"><v>8</v></cell><cell r="I204" t="str"><v>Azure Direct</v></cell><cell r="J204" t="str"><v>Azure Direct</v></cell><cell r="K204" t="str"><v>September</v></cell><cell r="L204"><v>43358</v></cell><cell r="M204" t="str"><v>Tier 1</v></cell><cell r="N204" t="str"><v>North America</v></cell><cell r="O204" t="str"><v>Canada</v></cell><cell r="P204" t="str"><v>Trial</v></cell><cell r="Q204" t="str"><v>Social</v></cell><cell r="R204" t="str"><v>Azure</v></cell><cell r="S204" t="str"><v>Apps & Infra</v></cell><cell r="T204" t="str"><v>Developers & ITI's</v></cell><cell r="U204" t="str"><v>AZR</v></cell><cell r="V204" t="str"><v>Retargeting</v></cell><cell r="W204" t="str"><v>NotApplicable</v></cell><cell r="X204" t="str"><v>1200x628</v></cell></row><row r="204"><cell r="Z204" t="str"><v>Not Applicable</v></cell><cell r="AA204"><v>43353</v></cell><cell r="AB204" t="str"><v>CAN_gaPMG_AZR_AZR_Q1_19_Trial-Social</v></cell><cell r="AC204"><v>21337220</v></cell><cell r="AD204"><v>720192</v></cell><cell r="AE204" t="str"><v>Facebook</v></cell><cell r="AF204"><v>3654128</v></cell><cell r="AG204" t="str"><v>Facebook»AZR»1x1»SocialBan»NA»ALL»DYN»RT»D»All»SS»NA»Free Account Retargeting VM - T1 - EN</v></cell><cell r="AH204"><v>223691825</v></cell><cell r="AI204" t="str"><v>AzurePlatform_FreeAcctRetargetingVMFB-750Hrs-ChD_CAN_1200x628_SOC_Plat_EN_Free Account_Standard_NA_SU_T1_1</v></cell><cell r="AJ204"><v>102916338</v></cell></row><row r="205"><cell r="D205" t="str"><v>43353223691783</v></cell><cell r="E205" t="str"><v>433531030587231 - FR</v></cell><cell r="F205" t="str"><v>DCM</v></cell></row><row r="205"><cell r="H205"><v>0</v></cell><cell r="I205" t="str"><v>Azure Direct</v></cell><cell r="J205" t="str"><v>Azure Direct</v></cell><cell r="K205" t="str"><v>September</v></cell><cell r="L205"><v>43358</v></cell><cell r="M205" t="str"><v>Tier 1</v></cell><cell r="N205" t="str"><v>North America</v></cell><cell r="O205" t="str"><v>Canada</v></cell><cell r="P205" t="str"><v>Trial</v></cell><cell r="Q205" t="str"><v>Social</v></cell><cell r="R205" t="str"><v>Azure</v></cell><cell r="S205" t="str"><v>Apps & Infra</v></cell><cell r="T205" t="str"><v>Developers & ITI's</v></cell><cell r="U205" t="str"><v>AZR</v></cell><cell r="V205" t="str"><v>Retargeting</v></cell><cell r="W205" t="str"><v>NotApplicable</v></cell><cell r="X205" t="str"><v>1200x628</v></cell></row><row r="205"><cell r="Z205" t="str"><v>Not Applicable</v></cell><cell r="AA205"><v>43353</v></cell><cell r="AB205" t="str"><v>CAN_gaPMG_AZR_AZR_Q1_19_Trial-Social</v></cell><cell r="AC205"><v>21337220</v></cell><cell r="AD205"><v>720192</v></cell><cell r="AE205" t="str"><v>Facebook</v></cell><cell r="AF205"><v>3654128</v></cell><cell r="AG205" t="str"><v>Facebook»AZR»1x1»SocialBan»NA»ALL»DYN»RT»D»All»SS»NA»Free Account Retargeting VM - T1 - FR</v></cell><cell r="AH205"><v>223691783</v></cell><cell r="AI205" t="str"><v>AzurePlatform_FreeAcctRetargetingVMFB-750Hrs-ChD_CAN_1200x628_SOC_Plat_FR_Free Account_Standard_NA_SU_T1_1</v></cell><cell r="AJ205"><v>103058723</v></cell></row><row r="206"><cell r="D206" t="str"><v>43353223691822</v></cell><cell r="E206" t="str"><v>433531030587082 - EN</v></cell><cell r="F206" t="str"><v>DCM</v></cell></row><row r="206"><cell r="H206"><v>2</v></cell><cell r="I206" t="str"><v>Azure Direct</v></cell><cell r="J206" t="str"><v>Azure Direct</v></cell><cell r="K206" t="str"><v>September</v></cell><cell r="L206"><v>43358</v></cell><cell r="M206" t="str"><v>Tier 1</v></cell><cell r="N206" t="str"><v>North America</v></cell><cell r="O206" t="str"><v>Canada</v></cell><cell r="P206" t="str"><v>Trial</v></cell><cell r="Q206" t="str"><v>Social</v></cell><cell r="R206" t="str"><v>Azure</v></cell><cell r="S206" t="str"><v>Apps & Infra</v></cell><cell r="T206" t="str"><v>Developers & ITI's</v></cell><cell r="U206" t="str"><v>AZR</v></cell><cell r="V206" t="str"><v>Retargeting</v></cell><cell r="W206" t="str"><v>NotApplicable</v></cell><cell r="X206" t="str"><v>1200x628</v></cell></row><row r="206"><cell r="Z206" t="str"><v>Not Applicable</v></cell><cell r="AA206"><v>43353</v></cell><cell r="AB206" t="str"><v>CAN_gaPMG_AZR_AZR_Q1_19_Trial-Social</v></cell><cell r="AC206"><v>21337220</v></cell><cell r="AD206"><v>720192</v></cell><cell r="AE206" t="str"><v>Facebook</v></cell><cell r="AF206"><v>3654128</v></cell><cell r="AG206" t="str"><v>Facebook»AZR»1x1»SocialBan»NA»ALL»DYN»RT»D»All»SS»NA»Free Account Retargeting VM - T2 - EN</v></cell><cell r="AH206"><v>223691822</v></cell><cell r="AI206" t="str"><v>AzurePlatform_FreeAcctRetargetingVMFB-OnDemand-ChE_CAN_1200x628_SOC_Plat_EN_Free Account_Standard_NA_SU_T2_1</v></cell><cell r="AJ206"><v>103058708</v></cell></row><row r="207"><cell r="D207" t="str"><v>43353223691780</v></cell><cell r="E207" t="str"><v>433531030587262 - FR</v></cell><cell r="F207" t="str"><v>DCM</v></cell></row><row r="207"><cell r="H207"><v>1</v></cell><cell r="I207" t="str"><v>Azure Direct</v></cell><cell r="J207" t="str"><v>Azure Direct</v></cell><cell r="K207" t="str"><v>September</v></cell><cell r="L207"><v>43358</v></cell><cell r="M207" t="str"><v>Tier 1</v></cell><cell r="N207" t="str"><v>North America</v></cell><cell r="O207" t="str"><v>Canada</v></cell><cell r="P207" t="str"><v>Trial</v></cell><cell r="Q207" t="str"><v>Social</v></cell><cell r="R207" t="str"><v>Azure</v></cell><cell r="S207" t="str"><v>Apps & Infra</v></cell><cell r="T207" t="str"><v>Developers & ITI's</v></cell><cell r="U207" t="str"><v>AZR</v></cell><cell r="V207" t="str"><v>Retargeting</v></cell><cell r="W207" t="str"><v>NotApplicable</v></cell><cell r="X207" t="str"><v>1200x628</v></cell></row><row r="207"><cell r="Z207" t="str"><v>Not Applicable</v></cell><cell r="AA207"><v>43353</v></cell><cell r="AB207" t="str"><v>CAN_gaPMG_AZR_AZR_Q1_19_Trial-Social</v></cell><cell r="AC207"><v>21337220</v></cell><cell r="AD207"><v>720192</v></cell><cell r="AE207" t="str"><v>Facebook</v></cell><cell r="AF207"><v>3654128</v></cell><cell r="AG207" t="str"><v>Facebook»AZR»1x1»SocialBan»NA»ALL»DYN»RT»D»All»SS»NA»Free Account Retargeting VM - T2 - FR</v></cell><cell r="AH207"><v>223691780</v></cell><cell r="AI207" t="str"><v>AzurePlatform_FreeAcctRetargetingVMFB-OnDemand-ChE_CAN_1200x628_SOC_Plat_FR_Free Account_Standard_NA_SU_T2_1</v></cell><cell r="AJ207"><v>103058726</v></cell></row><row r="208"><cell r="D208" t="str"><v>43353223691801</v></cell><cell r="E208" t="str"><v>433531030533231 - FR</v></cell><cell r="F208" t="str"><v>DCM</v></cell></row><row r="208"><cell r="H208"><v>0</v></cell><cell r="I208" t="str"><v>Azure Direct</v></cell><cell r="J208" t="str"><v>Azure Direct</v></cell><cell r="K208" t="str"><v>September</v></cell><cell r="L208"><v>43358</v></cell><cell r="M208" t="str"><v>Tier 1</v></cell><cell r="N208" t="str"><v>North America</v></cell><cell r="O208" t="str"><v>Canada</v></cell><cell r="P208" t="str"><v>Trial</v></cell><cell r="Q208" t="str"><v>Social</v></cell><cell r="R208" t="str"><v>Azure</v></cell><cell r="S208" t="str"><v>Apps & Infra</v></cell><cell r="T208" t="str"><v>Developers & ITI's</v></cell><cell r="U208" t="str"><v>AZR</v></cell><cell r="V208" t="str"><v>Audience Targeting</v></cell><cell r="W208" t="str"><v>Engagement Video</v></cell><cell r="X208" t="str"><v>10s</v></cell><cell r="Y208" t="str"><v>Try Azure Free</v></cell><cell r="Z208" t="str"><v>Standard videos</v></cell><cell r="AA208"><v>43353</v></cell><cell r="AB208" t="str"><v>CAN_gaPMG_AZR_AZR_Q1_19_Trial-Social</v></cell><cell r="AC208"><v>21337220</v></cell><cell r="AD208"><v>720192</v></cell><cell r="AE208" t="str"><v>Facebook</v></cell><cell r="AF208"><v>3654128</v></cell><cell r="AG208" t="str"><v>Facebook»AZR»1x1»NA»EGV»ALL»DYN»AUT»D»All»SS»NA»Free Acc CTC - T1 - FR</v></cell><cell r="AH208"><v>223691801</v></cell><cell r="AI208" t="str"><v>AzurePlatform_FBCTCBasicMotion_CAN_10s_ISV_PLAT_FR_Trial_Standard_STAN_TN_T1_1</v></cell><cell r="AJ208"><v>103053323</v></cell></row><row r="209"><cell r="D209" t="str"><v>43353223691795</v></cell><cell r="E209" t="str"><v>433531029006884 - FR</v></cell><cell r="F209" t="str"><v>DCM</v></cell></row><row r="209"><cell r="H209"><v>0</v></cell><cell r="I209" t="str"><v>Azure Direct</v></cell><cell r="J209" t="str"><v>Azure Direct</v></cell><cell r="K209" t="str"><v>September</v></cell><cell r="L209"><v>43358</v></cell><cell r="M209" t="str"><v>Tier 1</v></cell><cell r="N209" t="str"><v>North America</v></cell><cell r="O209" t="str"><v>Canada</v></cell><cell r="P209" t="str"><v>Trial</v></cell><cell r="Q209" t="str"><v>Social</v></cell><cell r="R209" t="str"><v>Azure</v></cell><cell r="S209" t="str"><v>Apps & Infra</v></cell><cell r="T209" t="str"><v>Developers & ITI's</v></cell><cell r="U209" t="str"><v>AZR</v></cell><cell r="V209" t="str"><v>Audience Targeting</v></cell><cell r="W209" t="str"><v>Engagement Video</v></cell><cell r="X209" t="str"><v>14s</v></cell><cell r="Y209" t="str"><v>Try Azure Free</v></cell><cell r="Z209" t="str"><v>Standard videos</v></cell><cell r="AA209"><v>43353</v></cell><cell r="AB209" t="str"><v>CAN_gaPMG_AZR_AZR_Q1_19_Trial-Social</v></cell><cell r="AC209"><v>21337220</v></cell><cell r="AD209"><v>720192</v></cell><cell r="AE209" t="str"><v>Facebook</v></cell><cell r="AF209"><v>3654128</v></cell><cell r="AG209" t="str"><v>Facebook»AZR»1x1»NA»EGV»ALL»DYN»AUT»D»All»SS»NA»Free Acc CTC - T4 - FR</v></cell><cell r="AH209"><v>223691795</v></cell><cell r="AI209" t="str"><v>AzurePlatform_FBCTCBenefit2inMotion_CAN_14s_ISV_PLAT_FR_Trial_Standard_STAN_TN_T4_1</v></cell><cell r="AJ209"><v>102900688</v></cell></row><row r="210"><cell r="D210" t="str"><v>43353227525720</v></cell><cell r="E210" t="str"><v>43353105130125e - EN</v></cell><cell r="F210" t="str"><v>DCM</v></cell></row><row r="210"><cell r="H210"><v>0</v></cell><cell r="I210" t="str"><v>Azure Direct</v></cell><cell r="J210" t="str"><v>Azure Direct</v></cell><cell r="K210" t="str"><v>September</v></cell><cell r="L210"><v>43358</v></cell><cell r="M210" t="str"><v>Tier 1</v></cell><cell r="N210" t="str"><v>North America</v></cell><cell r="O210" t="str"><v>Canada</v></cell><cell r="P210" t="str"><v>Trial</v></cell><cell r="Q210" t="str"><v>Social</v></cell><cell r="R210" t="str"><v>Azure</v></cell><cell r="S210" t="str"><v>Apps & Infra</v></cell><cell r="T210" t="str"><v>Developers & ITI's</v></cell><cell r="U210" t="str"><v>AZR</v></cell><cell r="V210" t="str"><v>Audience Targeting</v></cell><cell r="W210" t="str"><v>Canvas Ad</v></cell><cell r="X210" t="str"><v>1080x1080</v></cell><cell r="Y210" t="str"><v>Free Trial</v></cell><cell r="Z210" t="str"><v>Not Applicable</v></cell><cell r="AA210"><v>43353</v></cell><cell r="AB210" t="str"><v>CAN_gaPMG_AZR_AZR_Q1_19_Trial-Social</v></cell><cell r="AC210"><v>21337220</v></cell><cell r="AD210"><v>720192</v></cell><cell r="AE210" t="str"><v>Facebook</v></cell><cell r="AF210"><v>3654128</v></cell><cell r="AG210" t="str"><v>Facebook»AZR»1x1»NA»NA»ALL»DYN»AUT»D»All»SS»NA»Free Account Create to Convert FB - Canvas - Benefit - Start Free - EN</v></cell><cell r="AH210"><v>227525720</v></cell><cell r="AI210" t="str"><v>AzurePlatform_FBCTCBenefit2inMotion_CAN_1080x1080_SOC_14s_ISV_English_Standard_NA_FTR_T4_1</v></cell><cell r="AJ210"><v>105130125</v></cell></row><row r="211"><cell r="D211" t="str"><v>43353227522771</v></cell><cell r="E211" t="str"><v>43353105130128e - FR</v></cell><cell r="F211" t="str"><v>DCM</v></cell></row><row r="211"><cell r="H211"><v>0</v></cell><cell r="I211" t="str"><v>Azure Direct</v></cell><cell r="J211" t="str"><v>Azure Direct</v></cell><cell r="K211" t="str"><v>September</v></cell><cell r="L211"><v>43358</v></cell><cell r="M211" t="str"><v>Tier 1</v></cell><cell r="N211" t="str"><v>North America</v></cell><cell r="O211" t="str"><v>Canada</v></cell><cell r="P211" t="str"><v>Trial</v></cell><cell r="Q211" t="str"><v>Social</v></cell><cell r="R211" t="str"><v>Azure</v></cell><cell r="S211" t="str"><v>Apps & Infra</v></cell><cell r="T211" t="str"><v>Developers & ITI's</v></cell><cell r="U211" t="str"><v>AZR</v></cell><cell r="V211" t="str"><v>Audience Targeting</v></cell><cell r="W211" t="str"><v>NotApplicable</v></cell><cell r="X211" t="str"><v>1080x1080</v></cell><cell r="Y211" t="str"><v>Free Trial</v></cell><cell r="Z211" t="str"><v>Not Applicable</v></cell><cell r="AA211"><v>43353</v></cell><cell r="AB211" t="str"><v>CAN_gaPMG_AZR_AZR_Q1_19_Trial-Social</v></cell><cell r="AC211"><v>21337220</v></cell><cell r="AD211"><v>720192</v></cell><cell r="AE211" t="str"><v>Facebook</v></cell><cell r="AF211"><v>3654128</v></cell><cell r="AG211" t="str"><v>Facebook»AZR»1x1»NA»NA»ALL»DYN»AUT»D»All»SS»NA»Free Account Create to Convert FB - Canvas - Brand - Start Free - FR</v></cell><cell r="AH211"><v>227522771</v></cell><cell r="AI211" t="str"><v>AzurePlatform_FBCTCBrandinMotion_CAN_1080x1080_SOC_12s_ISV_FR_Standard_NA_FTR_T2_1</v></cell><cell r="AJ211"><v>105130128</v></cell></row><row r="212"><cell r="D212" t="str"><v>43353223691765</v></cell><cell r="E212" t="str"><v>433531030533323 - FR</v></cell><cell r="F212" t="str"><v>DCM</v></cell></row><row r="212"><cell r="H212"><v>1</v></cell><cell r="I212" t="str"><v>Azure Direct</v></cell><cell r="J212" t="str"><v>Azure Direct</v></cell><cell r="K212" t="str"><v>September</v></cell><cell r="L212"><v>43358</v></cell><cell r="M212" t="str"><v>Tier 1</v></cell><cell r="N212" t="str"><v>North America</v></cell><cell r="O212" t="str"><v>Canada</v></cell><cell r="P212" t="str"><v>Trial</v></cell><cell r="Q212" t="str"><v>Social</v></cell><cell r="R212" t="str"><v>Azure</v></cell><cell r="S212" t="str"><v>Apps & Infra</v></cell><cell r="T212" t="str"><v>Developers & ITI's</v></cell><cell r="U212" t="str"><v>AZR</v></cell><cell r="V212" t="str"><v>Audience Targeting</v></cell><cell r="W212" t="str"><v>NotApplicable</v></cell><cell r="X212" t="str"><v>1200x628</v></cell></row><row r="212"><cell r="Z212" t="str"><v>Not Applicable</v></cell><cell r="AA212"><v>43353</v></cell><cell r="AB212" t="str"><v>CAN_gaPMG_AZR_AZR_Q1_19_Trial-Social</v></cell><cell r="AC212"><v>21337220</v></cell><cell r="AD212"><v>720192</v></cell><cell r="AE212" t="str"><v>Facebook</v></cell><cell r="AF212"><v>3654128</v></cell><cell r="AG212" t="str"><v>Facebook»AZR»1x1»SocialBan»NA»ALL»DYN»AUT»D»All»SS»NA»Free Acc Refresh - T3 - FR</v></cell><cell r="AH212"><v>223691765</v></cell><cell r="AI212" t="str"><v>AzurePlatform_FreeAcctAppsFACEBOOKIllustrationChC_CAN_1200x628_SOC_PLAT_FR_Trial_Standard_NA_SU_T3_1.png</v></cell><cell r="AJ212"><v>103053332</v></cell></row><row r="213"><cell r="D213" t="str"><v>43353223691771</v></cell><cell r="E213" t="str"><v>433531029029684 - FR</v></cell><cell r="F213" t="str"><v>DCM</v></cell></row><row r="213"><cell r="H213"><v>0</v></cell><cell r="I213" t="str"><v>Azure Direct</v></cell><cell r="J213" t="str"><v>Azure Direct</v></cell><cell r="K213" t="str"><v>September</v></cell><cell r="L213"><v>43358</v></cell><cell r="M213" t="str"><v>Tier 1</v></cell><cell r="N213" t="str"><v>North America</v></cell><cell r="O213" t="str"><v>Canada</v></cell><cell r="P213" t="str"><v>Trial</v></cell><cell r="Q213" t="str"><v>Social</v></cell><cell r="R213" t="str"><v>Azure</v></cell><cell r="S213" t="str"><v>Apps & Infra</v></cell><cell r="T213" t="str"><v>Developers & ITI's</v></cell><cell r="U213" t="str"><v>AZR</v></cell><cell r="V213" t="str"><v>Audience Targeting</v></cell><cell r="W213" t="str"><v>NotApplicable</v></cell><cell r="X213" t="str"><v>1200x628</v></cell></row><row r="213"><cell r="Z213" t="str"><v>Not Applicable</v></cell><cell r="AA213"><v>43353</v></cell><cell r="AB213" t="str"><v>CAN_gaPMG_AZR_AZR_Q1_19_Trial-Social</v></cell><cell r="AC213"><v>21337220</v></cell><cell r="AD213"><v>720192</v></cell><cell r="AE213" t="str"><v>Facebook</v></cell><cell r="AF213"><v>3654128</v></cell><cell r="AG213" t="str"><v>Facebook»AZR»1x1»SocialBan»NA»ALL»DYN»AUT»D»All»SS»NA»Free Acc Refresh - T4 - FR</v></cell><cell r="AH213"><v>223691771</v></cell><cell r="AI213" t="str"><v>AzurePlatform_FreeAcctAppsFACEBOOK200CreditChD_CAN_1200x628_SOC_PLAT_FR_Trial_Standard_NA_SU_T4_1.png</v></cell><cell r="AJ213"><v>102902968</v></cell></row><row r="214"><cell r="D214" t="str"><v>43353224009494</v></cell><cell r="E214" t="str"><v>43353103236186-11000</v></cell><cell r="F214" t="str"><v>DCM</v></cell></row><row r="214"><cell r="H214"><v>0</v></cell><cell r="I214" t="str"><v>Azure Direct</v></cell><cell r="J214" t="str"><v>Azure Direct</v></cell><cell r="K214" t="str"><v>September</v></cell><cell r="L214"><v>43358</v></cell><cell r="M214" t="str"><v>Tier 1</v></cell><cell r="N214" t="str"><v>EMEA</v></cell><cell r="O214" t="str"><v>Germany</v></cell><cell r="P214" t="str"><v>Trial</v></cell><cell r="Q214" t="str"><v>Social</v></cell><cell r="R214" t="str"><v>Azure</v></cell><cell r="S214" t="str"><v>Apps & Infra</v></cell><cell r="T214" t="str"><v>Developers & ITI's</v></cell><cell r="U214" t="str"><v>DEV-ITP-AZR-FB|CanvasAds|Interesttargeting</v></cell><cell r="V214" t="str"><v>Audience Targeting</v></cell><cell r="W214" t="str"><v>Canvas Ad</v></cell><cell r="X214" t="str"><v>10s</v></cell><cell r="Y214" t="str"><v>Try Azure Free</v></cell><cell r="Z214" t="str"><v>Standard videos</v></cell><cell r="AA214"><v>43353</v></cell><cell r="AB214" t="str"><v>DEU_gaPMG_AZR_AZR_Q1_19_Trial-Social- 39684</v></cell><cell r="AC214"><v>21359477</v></cell><cell r="AD214"><v>720194</v></cell><cell r="AE214" t="str"><v>Facebook</v></cell><cell r="AF214"><v>3654128</v></cell><cell r="AG214" t="str"><v>Facebook»DEV-ITP-AZR-FB|CanvasAds|Interesttargeting»1x1»TextLink»CAN»DT»CPM»AUT»W»NA»SS»NA»39684020-11000</v></cell><cell r="AH214"><v>224009494</v></cell><cell r="AI214" t="str"><v>AzurePlatform_FBCTCBasicMotion-StartFreeCT_DEU_10s_ISV_PLAT_DE_Trial_Standard_STAN_TN_T1_1</v></cell><cell r="AJ214"><v>103236186</v></cell></row><row r="215"><cell r="D215" t="str"><v>43353224009494</v></cell><cell r="E215" t="str"><v>43353103236189-11000</v></cell><cell r="F215" t="str"><v>DCM</v></cell></row><row r="215"><cell r="H215"><v>0</v></cell><cell r="I215" t="str"><v>Azure Direct</v></cell><cell r="J215" t="str"><v>Azure Direct</v></cell><cell r="K215" t="str"><v>September</v></cell><cell r="L215"><v>43358</v></cell><cell r="M215" t="str"><v>Tier 1</v></cell><cell r="N215" t="str"><v>EMEA</v></cell><cell r="O215" t="str"><v>Germany</v></cell><cell r="P215" t="str"><v>Trial</v></cell><cell r="Q215" t="str"><v>Social</v></cell><cell r="R215" t="str"><v>Azure</v></cell><cell r="S215" t="str"><v>Apps & Infra</v></cell><cell r="T215" t="str"><v>Developers & ITI's</v></cell><cell r="U215" t="str"><v>DEV-ITP-AZR-FB|CanvasAds|Interesttargeting</v></cell><cell r="V215" t="str"><v>Audience Targeting</v></cell><cell r="W215" t="str"><v>Canvas Ad</v></cell><cell r="X215" t="str"><v>14s</v></cell><cell r="Y215" t="str"><v>Try Azure Free</v></cell><cell r="Z215" t="str"><v>Standard videos</v></cell><cell r="AA215"><v>43353</v></cell><cell r="AB215" t="str"><v>DEU_gaPMG_AZR_AZR_Q1_19_Trial-Social- 39684</v></cell><cell r="AC215"><v>21359477</v></cell><cell r="AD215"><v>720194</v></cell><cell r="AE215" t="str"><v>Facebook</v></cell><cell r="AF215"><v>3654128</v></cell><cell r="AG215" t="str"><v>Facebook»DEV-ITP-AZR-FB|CanvasAds|Interesttargeting»1x1»TextLink»CAN»DT»CPM»AUT»W»NA»SS»NA»39684020-11000</v></cell><cell r="AH215"><v>224009494</v></cell><cell r="AI215" t="str"><v>AzurePlatform_FBCTCBenefit2inMotion-BuyNow_DEU_14s_ISV_PLAT_DE_Trial_Standard_STAN_TN_T4_1</v></cell><cell r="AJ215"><v>103236189</v></cell></row><row r="216"><cell r="D216" t="str"><v>43353224009494</v></cell><cell r="E216" t="str"><v>43353103237290-11000</v></cell><cell r="F216" t="str"><v>DCM</v></cell></row><row r="216"><cell r="H216"><v>0</v></cell><cell r="I216" t="str"><v>Azure Direct</v></cell><cell r="J216" t="str"><v>Azure Direct</v></cell><cell r="K216" t="str"><v>September</v></cell><cell r="L216"><v>43358</v></cell><cell r="M216" t="str"><v>Tier 1</v></cell><cell r="N216" t="str"><v>EMEA</v></cell><cell r="O216" t="str"><v>Germany</v></cell><cell r="P216" t="str"><v>Trial</v></cell><cell r="Q216" t="str"><v>Social</v></cell><cell r="R216" t="str"><v>Azure</v></cell><cell r="S216" t="str"><v>Apps & Infra</v></cell><cell r="T216" t="str"><v>Developers & ITI's</v></cell><cell r="U216" t="str"><v>DEV-ITP-AZR-FB|CanvasAds|Interesttargeting</v></cell><cell r="V216" t="str"><v>Audience Targeting</v></cell><cell r="W216" t="str"><v>Canvas Ad</v></cell><cell r="X216" t="str"><v>14s</v></cell><cell r="Y216" t="str"><v>Try Azure Free</v></cell><cell r="Z216" t="str"><v>Standard videos</v></cell><cell r="AA216"><v>43353</v></cell><cell r="AB216" t="str"><v>DEU_gaPMG_AZR_AZR_Q1_19_Trial-Social- 39684</v></cell><cell r="AC216"><v>21359477</v></cell><cell r="AD216"><v>720194</v></cell><cell r="AE216" t="str"><v>Facebook</v></cell><cell r="AF216"><v>3654128</v></cell><cell r="AG216" t="str"><v>Facebook»DEV-ITP-AZR-FB|CanvasAds|Interesttargeting»1x1»TextLink»CAN»DT»CPM»AUT»W»NA»SS»NA»39684020-11000</v></cell><cell r="AH216"><v>224009494</v></cell><cell r="AI216" t="str"><v>AzurePlatform_FBCTCBenefit2inMotion-StartFreeCT_DEU_14s_ISV_PLAT_DE_Trial_Standard_STAN_TN_T4_1</v></cell><cell r="AJ216"><v>103237290</v></cell></row><row r="217"><cell r="D217" t="str"><v>43353224009494</v></cell><cell r="E217" t="str"><v>43353103237293-11000</v></cell><cell r="F217" t="str"><v>DCM</v></cell></row><row r="217"><cell r="H217"><v>0</v></cell><cell r="I217" t="str"><v>Azure Direct</v></cell><cell r="J217" t="str"><v>Azure Direct</v></cell><cell r="K217" t="str"><v>September</v></cell><cell r="L217"><v>43358</v></cell><cell r="M217" t="str"><v>Tier 1</v></cell><cell r="N217" t="str"><v>EMEA</v></cell><cell r="O217" t="str"><v>Germany</v></cell><cell r="P217" t="str"><v>Trial</v></cell><cell r="Q217" t="str"><v>Social</v></cell><cell r="R217" t="str"><v>Azure</v></cell><cell r="S217" t="str"><v>Apps & Infra</v></cell><cell r="T217" t="str"><v>Developers & ITI's</v></cell><cell r="U217" t="str"><v>DEV-ITP-AZR-FB|CanvasAds|Interesttargeting</v></cell><cell r="V217" t="str"><v>Audience Targeting</v></cell><cell r="W217" t="str"><v>Canvas Ad</v></cell><cell r="X217" t="str"><v>12s</v></cell><cell r="Y217" t="str"><v>Try Azure Free</v></cell><cell r="Z217" t="str"><v>Standard videos</v></cell><cell r="AA217"><v>43353</v></cell><cell r="AB217" t="str"><v>DEU_gaPMG_AZR_AZR_Q1_19_Trial-Social- 39684</v></cell><cell r="AC217"><v>21359477</v></cell><cell r="AD217"><v>720194</v></cell><cell r="AE217" t="str"><v>Facebook</v></cell><cell r="AF217"><v>3654128</v></cell><cell r="AG217" t="str"><v>Facebook»DEV-ITP-AZR-FB|CanvasAds|Interesttargeting»1x1»TextLink»CAN»DT»CPM»AUT»W»NA»SS»NA»39684020-11000</v></cell><cell r="AH217"><v>224009494</v></cell><cell r="AI217" t="str"><v>AzurePlatform_FBCTCBrandinMotion-StartFreeCT_DEU_12s_ISV_PLAT_DE_Trial_Standard_STAN_TN_T2_1</v></cell><cell r="AJ217"><v>103237293</v></cell></row><row r="218"><cell r="D218" t="str"><v>43353224009494</v></cell><cell r="E218" t="str"><v>43353103235787-11000</v></cell><cell r="F218" t="str"><v>DCM</v></cell></row><row r="218"><cell r="H218"><v>2</v></cell><cell r="I218" t="str"><v>Azure Direct</v></cell><cell r="J218" t="str"><v>Azure Direct</v></cell><cell r="K218" t="str"><v>September</v></cell><cell r="L218"><v>43358</v></cell><cell r="M218" t="str"><v>Tier 1</v></cell><cell r="N218" t="str"><v>EMEA</v></cell><cell r="O218" t="str"><v>Germany</v></cell><cell r="P218" t="str"><v>Trial</v></cell><cell r="Q218" t="str"><v>Social</v></cell><cell r="R218" t="str"><v>Azure</v></cell><cell r="S218" t="str"><v>Apps & Infra</v></cell><cell r="T218" t="str"><v>Developers & ITI's</v></cell><cell r="U218" t="str"><v>DEV-ITP-AZR-FB|CanvasAds|Interesttargeting</v></cell><cell r="V218" t="str"><v>Audience Targeting</v></cell><cell r="W218" t="str"><v>Canvas Ad</v></cell><cell r="X218" t="str"><v>10s</v></cell><cell r="Y218" t="str"><v>Try Azure Free</v></cell><cell r="Z218" t="str"><v>Standard videos</v></cell><cell r="AA218"><v>43353</v></cell><cell r="AB218" t="str"><v>DEU_gaPMG_AZR_AZR_Q1_19_Trial-Social- 39684</v></cell><cell r="AC218"><v>21359477</v></cell><cell r="AD218"><v>720194</v></cell><cell r="AE218" t="str"><v>Facebook</v></cell><cell r="AF218"><v>3654128</v></cell><cell r="AG218" t="str"><v>Facebook»DEV-ITP-AZR-FB|CanvasAds|Interesttargeting»1x1»TextLink»CAN»DT»CPM»AUT»W»NA»SS»NA»39684020-11000</v></cell><cell r="AH218"><v>224009494</v></cell><cell r="AI218" t="str"><v>AzurePlatform_FBCTCBasicMotion-BuyNow_DEU_10s_ISV_PLAT_DE_Trial_Standard_STAN_TN_T1_1</v></cell><cell r="AJ218"><v>103235787</v></cell></row><row r="219"><cell r="D219" t="str"><v>43353224009494</v></cell><cell r="E219" t="str"><v>43353103350059-11000</v></cell><cell r="F219" t="str"><v>DCM</v></cell></row><row r="219"><cell r="H219"><v>2</v></cell><cell r="I219" t="str"><v>Azure Direct</v></cell><cell r="J219" t="str"><v>Azure Direct</v></cell><cell r="K219" t="str"><v>September</v></cell><cell r="L219"><v>43358</v></cell><cell r="M219" t="str"><v>Tier 1</v></cell><cell r="N219" t="str"><v>EMEA</v></cell><cell r="O219" t="str"><v>Germany</v></cell><cell r="P219" t="str"><v>Trial</v></cell><cell r="Q219" t="str"><v>Social</v></cell><cell r="R219" t="str"><v>Azure</v></cell><cell r="S219" t="str"><v>Apps & Infra</v></cell><cell r="T219" t="str"><v>Developers & ITI's</v></cell><cell r="U219" t="str"><v>DEV-ITP-AZR-FB|CanvasAds|Interesttargeting</v></cell><cell r="V219" t="str"><v>Audience Targeting</v></cell><cell r="W219" t="str"><v>Canvas Ad</v></cell><cell r="X219" t="str"><v>12s</v></cell><cell r="Y219" t="str"><v>Try Azure Free</v></cell><cell r="Z219" t="str"><v>Standard videos</v></cell><cell r="AA219"><v>43353</v></cell><cell r="AB219" t="str"><v>DEU_gaPMG_AZR_AZR_Q1_19_Trial-Social- 39684</v></cell><cell r="AC219"><v>21359477</v></cell><cell r="AD219"><v>720194</v></cell><cell r="AE219" t="str"><v>Facebook</v></cell><cell r="AF219"><v>3654128</v></cell><cell r="AG219" t="str"><v>Facebook»DEV-ITP-AZR-FB|CanvasAds|Interesttargeting»1x1»TextLink»CAN»DT»CPM»AUT»W»NA»SS»NA»39684020-11000</v></cell><cell r="AH219"><v>224009494</v></cell><cell r="AI219" t="str"><v>AzurePlatform_FBCTCBrandinMotion-BuyNow_DEU_12s_ISV_PLAT_DE_Trial_Standard_STAN_TN_T2_1</v></cell><cell r="AJ219"><v>103350059</v></cell></row><row r="220"><cell r="D220" t="str"><v>43353224010415</v></cell><cell r="E220" t="str"><v>43353103040320-11000</v></cell><cell r="F220" t="str"><v>DCM</v></cell></row><row r="220"><cell r="H220"><v>2</v></cell><cell r="I220" t="str"><v>Azure Direct</v></cell><cell r="J220" t="str"><v>Azure Direct</v></cell><cell r="K220" t="str"><v>September</v></cell><cell r="L220"><v>43358</v></cell><cell r="M220" t="str"><v>Tier 1</v></cell><cell r="N220" t="str"><v>EMEA</v></cell><cell r="O220" t="str"><v>Germany</v></cell><cell r="P220" t="str"><v>Trial</v></cell><cell r="Q220" t="str"><v>Social</v></cell><cell r="R220" t="str"><v>Azure</v></cell><cell r="S220" t="str"><v>Apps & Infra</v></cell><cell r="T220" t="str"><v>Developers & ITI's</v></cell><cell r="U220" t="str"><v>DEV-ITP-AZR-FB|LinkAd|CustomerAudienceRetargeting</v></cell><cell r="V220" t="str"><v>Retargeting</v></cell><cell r="W220" t="str"><v>Link Ad</v></cell><cell r="X220" t="str"><v>1200x628</v></cell></row><row r="220"><cell r="Z220" t="str"><v>Not Applicable</v></cell><cell r="AA220"><v>43353</v></cell><cell r="AB220" t="str"><v>DEU_gaPMG_AZR_AZR_Q1_19_Trial-Social- 39684</v></cell><cell r="AC220"><v>21359477</v></cell><cell r="AD220"><v>720194</v></cell><cell r="AE220" t="str"><v>Facebook</v></cell><cell r="AF220"><v>3654128</v></cell><cell r="AG220" t="str"><v>Facebook»DEV-ITP-AZR-FB|LinkAd|CustomerAudienceRetargeting»1x1»TextLink»LIA»DT»CPM»RT»W»NA»SS»NA»39684019-11000</v></cell><cell r="AH220"><v>224010415</v></cell><cell r="AI220" t="str"><v>AzurePlatform_FreeAcctRetargetingFB-GlobalAlt-ChB_DEU_1200x628_SOC_Plat_DE_Free Account_Standard_NA_SNU_T2_1</v></cell><cell r="AJ220"><v>103040320</v></cell></row><row r="221"><cell r="D221" t="str"><v>43353224010415</v></cell><cell r="E221" t="str"><v>43353103055394-11000</v></cell><cell r="F221" t="str"><v>DCM</v></cell></row><row r="221"><cell r="H221"><v>1</v></cell><cell r="I221" t="str"><v>Azure Direct</v></cell><cell r="J221" t="str"><v>Azure Direct</v></cell><cell r="K221" t="str"><v>September</v></cell><cell r="L221"><v>43358</v></cell><cell r="M221" t="str"><v>Tier 1</v></cell><cell r="N221" t="str"><v>EMEA</v></cell><cell r="O221" t="str"><v>Germany</v></cell><cell r="P221" t="str"><v>Trial</v></cell><cell r="Q221" t="str"><v>Social</v></cell><cell r="R221" t="str"><v>Azure</v></cell><cell r="S221" t="str"><v>Apps & Infra</v></cell><cell r="T221" t="str"><v>Developers & ITI's</v></cell><cell r="U221" t="str"><v>DEV-ITP-AZR-FB|LinkAd|CustomerAudienceRetargeting</v></cell><cell r="V221" t="str"><v>Retargeting</v></cell><cell r="W221" t="str"><v>Link Ad</v></cell><cell r="X221" t="str"><v>1200x628</v></cell></row><row r="221"><cell r="Z221" t="str"><v>Not Applicable</v></cell><cell r="AA221"><v>43353</v></cell><cell r="AB221" t="str"><v>DEU_gaPMG_AZR_AZR_Q1_19_Trial-Social- 39684</v></cell><cell r="AC221"><v>21359477</v></cell><cell r="AD221"><v>720194</v></cell><cell r="AE221" t="str"><v>Facebook</v></cell><cell r="AF221"><v>3654128</v></cell><cell r="AG221" t="str"><v>Facebook»DEV-ITP-AZR-FB|LinkAd|CustomerAudienceRetargeting»1x1»TextLink»LIA»DT»CPM»RT»W»NA»SS»NA»39684019-11000</v></cell><cell r="AH221"><v>224010415</v></cell><cell r="AI221" t="str"><v>AzurePlatform_FreeAcctRetargetingOSSFB-Text-ChF_DEU_1200x628_SOC_Plat_DE_Free Account_Standard_NA_SNU_T1_1</v></cell><cell r="AJ221"><v>103055394</v></cell></row><row r="222"><cell r="D222" t="str"><v>43353224010415</v></cell><cell r="E222" t="str"><v>43353103043341-11000</v></cell><cell r="F222" t="str"><v>DCM</v></cell></row><row r="222"><cell r="H222"><v>3</v></cell><cell r="I222" t="str"><v>Azure Direct</v></cell><cell r="J222" t="str"><v>Azure Direct</v></cell><cell r="K222" t="str"><v>September</v></cell><cell r="L222"><v>43358</v></cell><cell r="M222" t="str"><v>Tier 1</v></cell><cell r="N222" t="str"><v>EMEA</v></cell><cell r="O222" t="str"><v>Germany</v></cell><cell r="P222" t="str"><v>Trial</v></cell><cell r="Q222" t="str"><v>Social</v></cell><cell r="R222" t="str"><v>Azure</v></cell><cell r="S222" t="str"><v>Apps & Infra</v></cell><cell r="T222" t="str"><v>Developers & ITI's</v></cell><cell r="U222" t="str"><v>DEV-ITP-AZR-FB|LinkAd|CustomerAudienceRetargeting</v></cell><cell r="V222" t="str"><v>Retargeting</v></cell><cell r="W222" t="str"><v>Link Ad</v></cell><cell r="X222" t="str"><v>1200x628</v></cell></row><row r="222"><cell r="Z222" t="str"><v>Not Applicable</v></cell><cell r="AA222"><v>43353</v></cell><cell r="AB222" t="str"><v>DEU_gaPMG_AZR_AZR_Q1_19_Trial-Social- 39684</v></cell><cell r="AC222"><v>21359477</v></cell><cell r="AD222"><v>720194</v></cell><cell r="AE222" t="str"><v>Facebook</v></cell><cell r="AF222"><v>3654128</v></cell><cell r="AG222" t="str"><v>Facebook»DEV-ITP-AZR-FB|LinkAd|CustomerAudienceRetargeting»1x1»TextLink»LIA»DT»CPM»RT»W»NA»SS»NA»39684019-11000</v></cell><cell r="AH222"><v>224010415</v></cell><cell r="AI222" t="str"><v>AzurePlatform_FreeAcctRetargetingVMFB-750Hrs-ChD_DEU_1200x628_SOC_Plat_DE_Free Account_Standard_NA_SNU_T1_1</v></cell><cell r="AJ222"><v>103043341</v></cell></row><row r="223"><cell r="D223" t="str"><v>43353224010415</v></cell><cell r="E223" t="str"><v>43353103043338-11000</v></cell><cell r="F223" t="str"><v>DCM</v></cell></row><row r="223"><cell r="H223"><v>4</v></cell><cell r="I223" t="str"><v>Azure Direct</v></cell><cell r="J223" t="str"><v>Azure Direct</v></cell><cell r="K223" t="str"><v>September</v></cell><cell r="L223"><v>43358</v></cell><cell r="M223" t="str"><v>Tier 1</v></cell><cell r="N223" t="str"><v>EMEA</v></cell><cell r="O223" t="str"><v>Germany</v></cell><cell r="P223" t="str"><v>Trial</v></cell><cell r="Q223" t="str"><v>Social</v></cell><cell r="R223" t="str"><v>Azure</v></cell><cell r="S223" t="str"><v>Apps & Infra</v></cell><cell r="T223" t="str"><v>Developers & ITI's</v></cell><cell r="U223" t="str"><v>DEV-ITP-AZR-FB|LinkAd|CustomerAudienceRetargeting</v></cell><cell r="V223" t="str"><v>Retargeting</v></cell><cell r="W223" t="str"><v>Link Ad</v></cell><cell r="X223" t="str"><v>1200x628</v></cell></row><row r="223"><cell r="Z223" t="str"><v>Not Applicable</v></cell><cell r="AA223"><v>43353</v></cell><cell r="AB223" t="str"><v>DEU_gaPMG_AZR_AZR_Q1_19_Trial-Social- 39684</v></cell><cell r="AC223"><v>21359477</v></cell><cell r="AD223"><v>720194</v></cell><cell r="AE223" t="str"><v>Facebook</v></cell><cell r="AF223"><v>3654128</v></cell><cell r="AG223" t="str"><v>Facebook»DEV-ITP-AZR-FB|LinkAd|CustomerAudienceRetargeting»1x1»TextLink»LIA»DT»CPM»RT»W»NA»SS»NA»39684019-11000</v></cell><cell r="AH223"><v>224010415</v></cell><cell r="AI223" t="str"><v>AzurePlatform_FreeAcctRetargetingVMFB-OnDemand-ChE_DEU_1200x628_SOC_Plat_DE_Free Account_Standard_NA_SNU_T2_1</v></cell><cell r="AJ223"><v>103043338</v></cell></row><row r="224"><cell r="D224" t="str"><v>43353224010415</v></cell><cell r="E224" t="str"><v>43353103048548-11000</v></cell><cell r="F224" t="str"><v>DCM</v></cell></row><row r="224"><cell r="H224"><v>0</v></cell><cell r="I224" t="str"><v>Azure Direct</v></cell><cell r="J224" t="str"><v>Azure Direct</v></cell><cell r="K224" t="str"><v>September</v></cell><cell r="L224"><v>43358</v></cell><cell r="M224" t="str"><v>Tier 1</v></cell><cell r="N224" t="str"><v>EMEA</v></cell><cell r="O224" t="str"><v>Germany</v></cell><cell r="P224" t="str"><v>Trial</v></cell><cell r="Q224" t="str"><v>Social</v></cell><cell r="R224" t="str"><v>Azure</v></cell><cell r="S224" t="str"><v>Apps & Infra</v></cell><cell r="T224" t="str"><v>Developers & ITI's</v></cell><cell r="U224" t="str"><v>DEV-ITP-AZR-FB|LinkAd|CustomerAudienceRetargeting</v></cell><cell r="V224" t="str"><v>Retargeting</v></cell><cell r="W224" t="str"><v>Link Ad</v></cell><cell r="X224" t="str"><v>1200x628</v></cell></row><row r="224"><cell r="Z224" t="str"><v>Animated Banner</v></cell><cell r="AA224"><v>43353</v></cell><cell r="AB224" t="str"><v>DEU_gaPMG_AZR_AZR_Q1_19_Trial-Social- 39684</v></cell><cell r="AC224"><v>21359477</v></cell><cell r="AD224"><v>720194</v></cell><cell r="AE224" t="str"><v>Facebook</v></cell><cell r="AF224"><v>3654128</v></cell><cell r="AG224" t="str"><v>Facebook»DEV-ITP-AZR-FB|LinkAd|CustomerAudienceRetargeting»1x1»TextLink»LIA»DT»CPM»RT»W»NA»SS»NA»39684019-11000</v></cell><cell r="AH224"><v>224010415</v></cell><cell r="AI224" t="str"><v>AzurePlatform_FreeAcctRetargetingFB-Animated-ChC_DEU_1200x628_SOC_Plat_DE_Free Account_Standard_ANI_SNU_T3_1</v></cell><cell r="AJ224"><v>103048548</v></cell></row><row r="225"><cell r="D225" t="str"><v>43353226360031</v></cell><cell r="E225" t="str"><v>43353104537129Trials</v></cell><cell r="F225" t="str"><v>DCM</v></cell></row><row r="225"><cell r="H225"><v>0</v></cell><cell r="I225" t="str"><v>Azure Direct</v></cell><cell r="J225" t="str"><v>Azure Direct</v></cell><cell r="K225" t="str"><v>September</v></cell><cell r="L225"><v>43358</v></cell><cell r="M225" t="str"><v>Tier 1</v></cell><cell r="N225" t="str"><v>EMEA</v></cell><cell r="O225" t="str"><v>France</v></cell><cell r="P225" t="str"><v>Trial</v></cell><cell r="Q225" t="str"><v>Social</v></cell><cell r="R225" t="str"><v>Azure</v></cell><cell r="S225" t="str"><v>Apps & Infra</v></cell><cell r="T225" t="str"><v>Developers & ITI's</v></cell><cell r="U225" t="str"><v>Developers-Azure Direct-Sponsored Post_Trial-Video Ad-Free Account Developer - Generic</v></cell><cell r="V225" t="str"><v>Lookalike Targeting</v></cell><cell r="W225" t="str"><v>Video Ad</v></cell><cell r="X225" t="str"><v>1200x1200</v></cell><cell r="Y225" t="str"><v>Learn More</v></cell><cell r="Z225" t="str"><v>Standard videos</v></cell><cell r="AA225"><v>43353</v></cell><cell r="AB225" t="str"><v>FRA_gaPMG_AZR_AZR_Q1_19_AzureDirect-Trial-Social</v></cell><cell r="AC225"><v>21356941</v></cell><cell r="AD225"><v>720193</v></cell><cell r="AE225" t="str"><v>Facebook</v></cell><cell r="AF225"><v>3654128</v></cell><cell r="AG225" t="str"><v>Facebook»Developers-Azure Direct-Sponsored Post_Trial-Video Ad-Free Account Developer - Generic»1x1»30s»SOC»ALL»CPC»LAL»D»UNK»SS»NA»Trials</v></cell><cell r="AH225"><v>226360031</v></cell><cell r="AI225" t="str"><v>AZR_FreeAcctDeveloperFB-AnimatedGeneric-Ch1_FRA_1200x1200_VIA_AZRDirect_French_NA_Facebook_STAN_LEA_T1_1</v></cell><cell r="AJ225"><v>104537129</v></cell></row><row r="226"><cell r="D226" t="str"><v>43353226360025</v></cell><cell r="E226" t="str"><v>43353104537132Trials</v></cell><cell r="F226" t="str"><v>DCM</v></cell></row><row r="226"><cell r="H226"><v>0</v></cell><cell r="I226" t="str"><v>Azure Direct</v></cell><cell r="J226" t="str"><v>Azure Direct</v></cell><cell r="K226" t="str"><v>September</v></cell><cell r="L226"><v>43358</v></cell><cell r="M226" t="str"><v>Tier 1</v></cell><cell r="N226" t="str"><v>EMEA</v></cell><cell r="O226" t="str"><v>France</v></cell><cell r="P226" t="str"><v>Trial</v></cell><cell r="Q226" t="str"><v>Social</v></cell><cell r="R226" t="str"><v>Azure</v></cell><cell r="S226" t="str"><v>Apps & Infra</v></cell><cell r="T226" t="str"><v>Developers & ITI's</v></cell><cell r="U226" t="str"><v>Developers-Azure Direct-Sponsored Post_Trial-Video Ad-Free Account Developer - Open Source</v></cell><cell r="V226" t="str"><v>Lookalike Targeting</v></cell><cell r="W226" t="str"><v>Video Ad</v></cell><cell r="X226" t="str"><v>1200x1200</v></cell><cell r="Y226" t="str"><v>Learn More</v></cell><cell r="Z226" t="str"><v>Standard videos</v></cell><cell r="AA226"><v>43353</v></cell><cell r="AB226" t="str"><v>FRA_gaPMG_AZR_AZR_Q1_19_AzureDirect-Trial-Social</v></cell><cell r="AC226"><v>21356941</v></cell><cell r="AD226"><v>720193</v></cell><cell r="AE226" t="str"><v>Facebook</v></cell><cell r="AF226"><v>3654128</v></cell><cell r="AG226" t="str"><v>Facebook»Developers-Azure Direct-Sponsored Post_Trial-Video Ad-Free Account Developer - Open Source»1x1»30s»SOC»ALL»CPC»LAL»D»UNK»SS»NA»Trials</v></cell><cell r="AH226"><v>226360025</v></cell><cell r="AI226" t="str"><v>AZR_FreeAcctDeveloperFB-AnimatedOpenSource-Ch2_FRA_1200x1200_VIA_AZRDirect_French_NA_Facebook_STAN_LEA_T2_1</v></cell><cell r="AJ226"><v>104537132</v></cell></row><row r="227"><cell r="D227" t="str"><v>43353224416915</v></cell><cell r="E227" t="str"><v>43353103376981Trials</v></cell><cell r="F227" t="str"><v>DCM</v></cell></row><row r="227"><cell r="H227"><v>0</v></cell><cell r="I227" t="str"><v>Azure Direct</v></cell><cell r="J227" t="str"><v>Azure Direct</v></cell><cell r="K227" t="str"><v>September</v></cell><cell r="L227"><v>43358</v></cell><cell r="M227" t="str"><v>Tier 1</v></cell><cell r="N227" t="str"><v>EMEA</v></cell><cell r="O227" t="str"><v>France</v></cell><cell r="P227" t="str"><v>Trial</v></cell><cell r="Q227" t="str"><v>Social</v></cell><cell r="R227" t="str"><v>Azure</v></cell><cell r="S227" t="str"><v>Apps & Infra</v></cell><cell r="T227" t="str"><v>Developers & ITI's</v></cell><cell r="U227" t="str"><v>Developers/ITPros-Azure Direct-Sponsored Post-Video Ad-FBCTCBasicMotion_FRA_10s_RTG Landing Page</v></cell><cell r="V227" t="str"><v>Behavioral Targeting</v></cell><cell r="W227" t="str"><v>Video Ad</v></cell><cell r="X227" t="str"><v>10s</v></cell><cell r="Y227" t="str"><v>Try it Now</v></cell><cell r="Z227" t="str"><v>Standard videos</v></cell><cell r="AA227"><v>43353</v></cell><cell r="AB227" t="str"><v>FRA_gaPMG_AZR_AZR_Q1_19_AzureDirect-Trial-Social</v></cell><cell r="AC227"><v>21356941</v></cell><cell r="AD227"><v>720193</v></cell><cell r="AE227" t="str"><v>Facebook</v></cell><cell r="AF227"><v>3654128</v></cell><cell r="AG227" t="str"><v>Facebook»Developers/ITPros-Azure Direct-Sponsored Post-Video Ad-FBCTCBasicMotion_FRA_10s_RTG Landing Page»1x1»05s»SOC»ALL»CPC»BT»D»UNK»SS»NA»Trials</v></cell><cell r="AH227"><v>224416915</v></cell><cell r="AI227" t="str"><v>AZR_FBCTCBasicMotion_FRA_10s_VIA_AZRDirect_French_NA_Facebook_STAN_TIN_T1_1</v></cell><cell r="AJ227"><v>103376981</v></cell></row><row r="228"><cell r="D228" t="str"><v>43353224560875</v></cell><cell r="E228" t="str"><v>43353103259766Trials</v></cell><cell r="F228" t="str"><v>DCM</v></cell></row><row r="228"><cell r="H228"><v>0</v></cell><cell r="I228" t="str"><v>Azure Direct</v></cell><cell r="J228" t="str"><v>Azure Direct</v></cell><cell r="K228" t="str"><v>September</v></cell><cell r="L228"><v>43358</v></cell><cell r="M228" t="str"><v>Tier 1</v></cell><cell r="N228" t="str"><v>EMEA</v></cell><cell r="O228" t="str"><v>France</v></cell><cell r="P228" t="str"><v>Trial</v></cell><cell r="Q228" t="str"><v>Social</v></cell><cell r="R228" t="str"><v>Azure</v></cell><cell r="S228" t="str"><v>Apps & Infra</v></cell><cell r="T228" t="str"><v>Developers & ITI's</v></cell><cell r="U228" t="str"><v>Developers/ITPros-Azure Direct-Sponsored Post-Video Ad-FBCTCBenefit2inMotion_FRA_14s_RTG Landing Page</v></cell><cell r="V228" t="str"><v>Behavioral Targeting</v></cell><cell r="W228" t="str"><v>Video Ad</v></cell><cell r="X228" t="str"><v>14s</v></cell><cell r="Y228" t="str"><v>Try it Now</v></cell><cell r="Z228" t="str"><v>Standard videos</v></cell><cell r="AA228"><v>43353</v></cell><cell r="AB228" t="str"><v>FRA_gaPMG_AZR_AZR_Q1_19_AzureDirect-Trial-Social</v></cell><cell r="AC228"><v>21356941</v></cell><cell r="AD228"><v>720193</v></cell><cell r="AE228" t="str"><v>Facebook</v></cell><cell r="AF228"><v>3654128</v></cell><cell r="AG228" t="str"><v>Facebook»Developers/ITPros-Azure Direct-Sponsored Post-Video Ad-FBCTCBenefit2inMotion_FRA_14s_RTG Landing Page»1x1»06s»SOC»ALL»CPC»BT»D»UNK»SS»NA»Trials</v></cell><cell r="AH228"><v>224560875</v></cell><cell r="AI228" t="str"><v>AZR_FBCTCBenefit2inMotion_FRA_14s_VIA_AZRDirect_French_NA_Facebook_STAN_TIN_T4_1</v></cell><cell r="AJ228"><v>103259766</v></cell></row><row r="229"><cell r="D229" t="str"><v>43353224560863</v></cell><cell r="E229" t="str"><v>43353103256577Trials</v></cell><cell r="F229" t="str"><v>DCM</v></cell></row><row r="229"><cell r="H229"><v>0</v></cell><cell r="I229" t="str"><v>Azure Direct</v></cell><cell r="J229" t="str"><v>Azure Direct</v></cell><cell r="K229" t="str"><v>September</v></cell><cell r="L229"><v>43358</v></cell><cell r="M229" t="str"><v>Tier 1</v></cell><cell r="N229" t="str"><v>EMEA</v></cell><cell r="O229" t="str"><v>France</v></cell><cell r="P229" t="str"><v>Trial</v></cell><cell r="Q229" t="str"><v>Social</v></cell><cell r="R229" t="str"><v>Azure</v></cell><cell r="S229" t="str"><v>Apps & Infra</v></cell><cell r="T229" t="str"><v>Developers & ITI's</v></cell><cell r="U229" t="str"><v>Developers/ITPros-Azure Direct-Sponsored Post-Video Ad-FBCTCBrandinMotion_FRA_12s_RTG Landing Page</v></cell><cell r="V229" t="str"><v>Behavioral Targeting</v></cell><cell r="W229" t="str"><v>Video Ad</v></cell><cell r="X229" t="str"><v>12s</v></cell><cell r="Y229" t="str"><v>Try it Now</v></cell><cell r="Z229" t="str"><v>Standard videos</v></cell><cell r="AA229"><v>43353</v></cell><cell r="AB229" t="str"><v>FRA_gaPMG_AZR_AZR_Q1_19_AzureDirect-Trial-Social</v></cell><cell r="AC229"><v>21356941</v></cell><cell r="AD229"><v>720193</v></cell><cell r="AE229" t="str"><v>Facebook</v></cell><cell r="AF229"><v>3654128</v></cell><cell r="AG229" t="str"><v>Facebook»Developers/ITPros-Azure Direct-Sponsored Post-Video Ad-FBCTCBrandinMotion_FRA_12s_RTG Landing Page»1x1»05s»SOC»ALL»CPC»BT»D»UNK»SS»NA»Trials</v></cell><cell r="AH229"><v>224560863</v></cell><cell r="AI229" t="str"><v>AZR_FBCTCBrandinMotion_FRA_12s_VIA_AZRDirect_French_NA_Facebook_STAN_TIN_T2_1</v></cell><cell r="AJ229"><v>103256577</v></cell></row><row r="230"><cell r="D230" t="str"><v>43353226360016</v></cell><cell r="E230" t="str"><v>43353104456278Trials</v></cell><cell r="F230" t="str"><v>DCM</v></cell></row><row r="230"><cell r="H230"><v>0</v></cell><cell r="I230" t="str"><v>Azure Direct</v></cell><cell r="J230" t="str"><v>Azure Direct</v></cell><cell r="K230" t="str"><v>September</v></cell><cell r="L230"><v>43358</v></cell><cell r="M230" t="str"><v>Tier 1</v></cell><cell r="N230" t="str"><v>EMEA</v></cell><cell r="O230" t="str"><v>France</v></cell><cell r="P230" t="str"><v>Trial</v></cell><cell r="Q230" t="str"><v>Social</v></cell><cell r="R230" t="str"><v>Azure</v></cell><cell r="S230" t="str"><v>Apps & Infra</v></cell><cell r="T230" t="str"><v>Developers & ITI's</v></cell><cell r="U230" t="str"><v>ITPros-Azure Direct-Sponsored Post-Video Ad-Free Account IT Pro - Hybrid</v></cell><cell r="V230" t="str"><v>Audience Targeting</v></cell><cell r="W230" t="str"><v>Video Ad</v></cell><cell r="X230" t="str"><v>1200x1200</v></cell><cell r="Y230" t="str"><v>Learn More</v></cell><cell r="Z230" t="str"><v>Standard videos</v></cell><cell r="AA230"><v>43353</v></cell><cell r="AB230" t="str"><v>FRA_gaPMG_AZR_AZR_Q1_19_AzureDirect-Trial-Social</v></cell><cell r="AC230"><v>21356941</v></cell><cell r="AD230"><v>720193</v></cell><cell r="AE230" t="str"><v>Facebook</v></cell><cell r="AF230"><v>3654128</v></cell><cell r="AG230" t="str"><v>Facebook»ITPros-Azure Direct-Sponsored Post-Video Ad-Free Account IT Pro - Hybrid»1x1»30s»SOC»ALL»CPC»AUT»D»UNK»SS»NA»Trials</v></cell><cell r="AH230"><v>226360016</v></cell><cell r="AI230" t="str"><v>AZR_FreeAcctITProFB-AnimatedHybrid-Ch2_FRA_1200x1200_VIA_AZRDirect_French_NA_Facebook_STAN_LEA_T2_1</v></cell><cell r="AJ230"><v>104456278</v></cell></row><row r="231"><cell r="D231" t="str"><v>43353226360010</v></cell><cell r="E231" t="str"><v>43353104458003Trials</v></cell><cell r="F231" t="str"><v>DCM</v></cell></row><row r="231"><cell r="H231"><v>0</v></cell><cell r="I231" t="str"><v>Azure Direct</v></cell><cell r="J231" t="str"><v>Azure Direct</v></cell><cell r="K231" t="str"><v>September</v></cell><cell r="L231"><v>43358</v></cell><cell r="M231" t="str"><v>Tier 1</v></cell><cell r="N231" t="str"><v>EMEA</v></cell><cell r="O231" t="str"><v>France</v></cell><cell r="P231" t="str"><v>Trial</v></cell><cell r="Q231" t="str"><v>Social</v></cell><cell r="R231" t="str"><v>Azure</v></cell><cell r="S231" t="str"><v>Apps & Infra</v></cell><cell r="T231" t="str"><v>Developers & ITI's</v></cell><cell r="U231" t="str"><v>ITPros-Azure Direct-Sponsored Post-Video Ad-Free Account IT Pro - Migration</v></cell><cell r="V231" t="str"><v>Audience Targeting</v></cell><cell r="W231" t="str"><v>Video Ad</v></cell><cell r="X231" t="str"><v>1200x1200</v></cell><cell r="Y231" t="str"><v>Learn More</v></cell><cell r="Z231" t="str"><v>Standard videos</v></cell><cell r="AA231"><v>43353</v></cell><cell r="AB231" t="str"><v>FRA_gaPMG_AZR_AZR_Q1_19_AzureDirect-Trial-Social</v></cell><cell r="AC231"><v>21356941</v></cell><cell r="AD231"><v>720193</v></cell><cell r="AE231" t="str"><v>Facebook</v></cell><cell r="AF231"><v>3654128</v></cell><cell r="AG231" t="str"><v>Facebook»ITPros-Azure Direct-Sponsored Post-Video Ad-Free Account IT Pro - Migration»1x1»30s»SOC»ALL»CPC»AUT»D»UNK»SS»NA»Trials</v></cell><cell r="AH231"><v>226360010</v></cell><cell r="AI231" t="str"><v>AZR_FreeAcctITProFB-AnimatedMigration-Ch3_FRA_1200x1200_VIA_AZRDirect_French_NA_Facebook_STAN_LEA_T3_1</v></cell><cell r="AJ231"><v>104458003</v></cell></row><row r="232"><cell r="D232" t="str"><v>43353226360022</v></cell><cell r="E232" t="str"><v>43353104455906Trials</v></cell><cell r="F232" t="str"><v>DCM</v></cell></row><row r="232"><cell r="H232"><v>0</v></cell><cell r="I232" t="str"><v>Azure Direct</v></cell><cell r="J232" t="str"><v>Azure Direct</v></cell><cell r="K232" t="str"><v>September</v></cell><cell r="L232"><v>43358</v></cell><cell r="M232" t="str"><v>Tier 1</v></cell><cell r="N232" t="str"><v>EMEA</v></cell><cell r="O232" t="str"><v>France</v></cell><cell r="P232" t="str"><v>Trial</v></cell><cell r="Q232" t="str"><v>Social</v></cell><cell r="R232" t="str"><v>Azure</v></cell><cell r="S232" t="str"><v>Apps & Infra</v></cell><cell r="T232" t="str"><v>Developers & ITI's</v></cell><cell r="U232" t="str"><v>ITPros-Azure Direct-Sponsored Post-Video Ad-Free Account IT Pro - Secure</v></cell><cell r="V232" t="str"><v>Audience Targeting</v></cell><cell r="W232" t="str"><v>Video Ad</v></cell><cell r="X232" t="str"><v>1200x1200</v></cell><cell r="Y232" t="str"><v>Learn More</v></cell><cell r="Z232" t="str"><v>Standard videos</v></cell><cell r="AA232"><v>43353</v></cell><cell r="AB232" t="str"><v>FRA_gaPMG_AZR_AZR_Q1_19_AzureDirect-Trial-Social</v></cell><cell r="AC232"><v>21356941</v></cell><cell r="AD232"><v>720193</v></cell><cell r="AE232" t="str"><v>Facebook</v></cell><cell r="AF232"><v>3654128</v></cell><cell r="AG232" t="str"><v>Facebook»ITPros-Azure Direct-Sponsored Post-Video Ad-Free Account IT Pro - Secure»1x1»30s»SOC»ALL»CPC»AUT»D»UNK»SS»NA»Trials</v></cell><cell r="AH232"><v>226360022</v></cell><cell r="AI232" t="str"><v>AZR_FreeAcctITProFB-AnimatedSecureMngd-Ch1_FRA_1200x1200_VIA_AZRDirect_French_NA_Facebook_STAN_LEA_T1_1</v></cell><cell r="AJ232"><v>104455906</v></cell></row><row r="233"><cell r="D233" t="str"><v>43353226360001</v></cell><cell r="E233" t="str"><v>43353104456278Trials</v></cell><cell r="F233" t="str"><v>DCM</v></cell></row><row r="233"><cell r="H233"><v>0</v></cell><cell r="I233" t="str"><v>Azure Direct</v></cell><cell r="J233" t="str"><v>Azure Direct</v></cell><cell r="K233" t="str"><v>September</v></cell><cell r="L233"><v>43358</v></cell><cell r="M233" t="str"><v>Tier 1</v></cell><cell r="N233" t="str"><v>EMEA</v></cell><cell r="O233" t="str"><v>France</v></cell><cell r="P233" t="str"><v>Trial</v></cell><cell r="Q233" t="str"><v>Social</v></cell><cell r="R233" t="str"><v>Azure</v></cell><cell r="S233" t="str"><v>Apps & Infra</v></cell><cell r="T233" t="str"><v>Developers & ITI's</v></cell><cell r="U233" t="str"><v>ITPros-Azure Direct-Sponsored Post_Trial-Video Ad-Free Account IT Pro - Hybrid</v></cell><cell r="V233" t="str"><v>Lookalike Targeting</v></cell><cell r="W233" t="str"><v>Video Ad</v></cell><cell r="X233" t="str"><v>1200x1200</v></cell><cell r="Y233" t="str"><v>Learn More</v></cell><cell r="Z233" t="str"><v>Standard videos</v></cell><cell r="AA233"><v>43353</v></cell><cell r="AB233" t="str"><v>FRA_gaPMG_AZR_AZR_Q1_19_AzureDirect-Trial-Social</v></cell><cell r="AC233"><v>21356941</v></cell><cell r="AD233"><v>720193</v></cell><cell r="AE233" t="str"><v>Facebook</v></cell><cell r="AF233"><v>3654128</v></cell><cell r="AG233" t="str"><v>Facebook»ITPros-Azure Direct-Sponsored Post_Trial-Video Ad-Free Account IT Pro - Hybrid»1x1»30s»SOC»ALL»CPC»LAL»D»UNK»SS»NA»Trials</v></cell><cell r="AH233"><v>226360001</v></cell><cell r="AI233" t="str"><v>AZR_FreeAcctITProFB-AnimatedHybrid-Ch2_FRA_1200x1200_VIA_AZRDirect_French_NA_Facebook_STAN_LEA_T2_1</v></cell><cell r="AJ233"><v>104456278</v></cell></row><row r="234"><cell r="D234" t="str"><v>43353226359938</v></cell><cell r="E234" t="str"><v>43353104456278Trials</v></cell><cell r="F234" t="str"><v>DCM</v></cell></row><row r="234"><cell r="H234"><v>0</v></cell><cell r="I234" t="str"><v>Azure Direct</v></cell><cell r="J234" t="str"><v>Azure Direct</v></cell><cell r="K234" t="str"><v>September</v></cell><cell r="L234"><v>43358</v></cell><cell r="M234" t="str"><v>Tier 1</v></cell><cell r="N234" t="str"><v>EMEA</v></cell><cell r="O234" t="str"><v>France</v></cell><cell r="P234" t="str"><v>Trial</v></cell><cell r="Q234" t="str"><v>Social</v></cell><cell r="R234" t="str"><v>Azure</v></cell><cell r="S234" t="str"><v>Apps & Infra</v></cell><cell r="T234" t="str"><v>Developers & ITI's</v></cell><cell r="U234" t="str"><v>ITPros-Azure Direct-Sponsored Post_Trial_PayGo-Video Ad-Free Account IT Pro - Hybrid</v></cell><cell r="V234" t="str"><v>Lookalike Targeting</v></cell><cell r="W234" t="str"><v>Video Ad</v></cell><cell r="X234" t="str"><v>1200x1200</v></cell><cell r="Y234" t="str"><v>Learn More</v></cell><cell r="Z234" t="str"><v>Standard videos</v></cell><cell r="AA234"><v>43353</v></cell><cell r="AB234" t="str"><v>FRA_gaPMG_AZR_AZR_Q1_19_AzureDirect-Trial-Social</v></cell><cell r="AC234"><v>21356941</v></cell><cell r="AD234"><v>720193</v></cell><cell r="AE234" t="str"><v>Facebook</v></cell><cell r="AF234"><v>3654128</v></cell><cell r="AG234" t="str"><v>Facebook»ITPros-Azure Direct-Sponsored Post_Trial_PayGo-Video Ad-Free Account IT Pro - Hybrid»1x1»30s»SOC»ALL»CPC»LAL»D»UNK»SS»NA»Trials</v></cell><cell r="AH234"><v>226359938</v></cell><cell r="AI234" t="str"><v>AZR_FreeAcctITProFB-AnimatedHybrid-Ch2_FRA_1200x1200_VIA_AZRDirect_French_NA_Facebook_STAN_LEA_T2_1</v></cell><cell r="AJ234"><v>104456278</v></cell></row><row r="235"><cell r="D235" t="str"><v>43353224369893</v></cell><cell r="E235" t="str"><v>43353103256571Trials</v></cell><cell r="F235" t="str"><v>DCM</v></cell></row><row r="235"><cell r="H235"><v>2</v></cell><cell r="I235" t="str"><v>Azure Direct</v></cell><cell r="J235" t="str"><v>Azure Direct</v></cell><cell r="K235" t="str"><v>September</v></cell><cell r="L235"><v>43358</v></cell><cell r="M235" t="str"><v>Tier 1</v></cell><cell r="N235" t="str"><v>EMEA</v></cell><cell r="O235" t="str"><v>France</v></cell><cell r="P235" t="str"><v>Trial</v></cell><cell r="Q235" t="str"><v>Social</v></cell><cell r="R235" t="str"><v>Azure</v></cell><cell r="S235" t="str"><v>Apps & Infra</v></cell><cell r="T235" t="str"><v>Developers & ITI's</v></cell><cell r="U235" t="str"><v>Developers/ITPros-Azure Direct-Sponsored Post-Canvas-FBCTCcanvaspage-BuyNowCTA-Img3_FBCTCBasicMotion_FRA_10sec</v></cell><cell r="V235" t="str"><v>Behavioral Targeting</v></cell><cell r="W235" t="str"><v>Canvas Ad</v></cell><cell r="X235" t="str"><v>1080x162</v></cell><cell r="Y235" t="str"><v>Buy Now</v></cell><cell r="Z235" t="str"><v>Static Banner</v></cell><cell r="AA235"><v>43353</v></cell><cell r="AB235" t="str"><v>FRA_gaPMG_AZR_AZR_Q1_19_AzureDirect-Trial-Social</v></cell><cell r="AC235"><v>21356941</v></cell><cell r="AD235"><v>720193</v></cell><cell r="AE235" t="str"><v>Facebook</v></cell><cell r="AF235"><v>3654128</v></cell><cell r="AG235" t="str"><v>Facebook»Developers/ITPros-Azure Direct-Sponsored Post-Canvas-FBCTCcanvaspage-BuyNowCTA-Img3_FBCTCBasicMotion_FRA_10sec»1x1»Canvas»SOC»ALL»CPC»BT»D»UNK»SS»NA»Trials</v></cell><cell r="AH235"><v>224369893</v></cell><cell r="AI235" t="str"><v>AZR_FBCTCcanvaspage-BuyNowCTA-Img3_FRA_1080x162_SOC_AZRDirect_French_NA_Facebook_SBAN_BN_T3_1</v></cell><cell r="AJ235"><v>103256571</v></cell></row><row r="236"><cell r="D236" t="str"><v>43353224416918</v></cell><cell r="E236" t="str"><v>43353103256571Trials</v></cell><cell r="F236" t="str"><v>DCM</v></cell></row><row r="236"><cell r="H236"><v>1</v></cell><cell r="I236" t="str"><v>Azure Direct</v></cell><cell r="J236" t="str"><v>Azure Direct</v></cell><cell r="K236" t="str"><v>September</v></cell><cell r="L236"><v>43358</v></cell><cell r="M236" t="str"><v>Tier 1</v></cell><cell r="N236" t="str"><v>EMEA</v></cell><cell r="O236" t="str"><v>France</v></cell><cell r="P236" t="str"><v>Trial</v></cell><cell r="Q236" t="str"><v>Social</v></cell><cell r="R236" t="str"><v>Azure</v></cell><cell r="S236" t="str"><v>Apps & Infra</v></cell><cell r="T236" t="str"><v>Developers & ITI's</v></cell><cell r="U236" t="str"><v>Developers/ITPros-Azure Direct-Sponsored Post-Canvas-FBCTCcanvaspage-BuyNowCTA-Img3_FBCTCBrandinMotion_FRA_14sec</v></cell><cell r="V236" t="str"><v>Behavioral Targeting</v></cell><cell r="W236" t="str"><v>Canvas Ad</v></cell><cell r="X236" t="str"><v>1080x162</v></cell><cell r="Y236" t="str"><v>Buy Now</v></cell><cell r="Z236" t="str"><v>Static Banner</v></cell><cell r="AA236"><v>43353</v></cell><cell r="AB236" t="str"><v>FRA_gaPMG_AZR_AZR_Q1_19_AzureDirect-Trial-Social</v></cell><cell r="AC236"><v>21356941</v></cell><cell r="AD236"><v>720193</v></cell><cell r="AE236" t="str"><v>Facebook</v></cell><cell r="AF236"><v>3654128</v></cell><cell r="AG236" t="str"><v>Facebook»Developers/ITPros-Azure Direct-Sponsored Post-Canvas-FBCTCcanvaspage-BuyNowCTA-Img3_FBCTCBrandinMotion_FRA_14sec»1x1»Canvas»SOC»ALL»CPC»BT»D»UNK»SS»NA»Trials</v></cell><cell r="AH236"><v>224416918</v></cell><cell r="AI236" t="str"><v>AZR_FBCTCcanvaspage-BuyNowCTA-Img3_FRA_1080x162_SOC_AZRDirect_French_NA_Facebook_SBAN_BN_T3_1</v></cell><cell r="AJ236"><v>103256571</v></cell></row><row r="237"><cell r="D237" t="str"><v>43353224560884</v></cell><cell r="E237" t="str"><v>43353103259958Trials</v></cell><cell r="F237" t="str"><v>DCM</v></cell></row><row r="237"><cell r="H237"><v>0</v></cell><cell r="I237" t="str"><v>Azure Direct</v></cell><cell r="J237" t="str"><v>Azure Direct</v></cell><cell r="K237" t="str"><v>September</v></cell><cell r="L237"><v>43358</v></cell><cell r="M237" t="str"><v>Tier 1</v></cell><cell r="N237" t="str"><v>EMEA</v></cell><cell r="O237" t="str"><v>France</v></cell><cell r="P237" t="str"><v>Trial</v></cell><cell r="Q237" t="str"><v>Social</v></cell><cell r="R237" t="str"><v>Azure</v></cell><cell r="S237" t="str"><v>Apps & Infra</v></cell><cell r="T237" t="str"><v>Developers & ITI's</v></cell><cell r="U237" t="str"><v>Developers/ITPros-Azure Direct-Sponsored Post-Canvas-FBCTCcanvaspage-StartFreeCTA-Img2_FBCTCBasicMotion_FRA_10sec</v></cell><cell r="V237" t="str"><v>Behavioral Targeting</v></cell><cell r="W237" t="str"><v>Canvas Ad</v></cell><cell r="X237" t="str"><v>1080x143</v></cell><cell r="Y237" t="str"><v>Buy Now</v></cell><cell r="Z237" t="str"><v>Static Banner</v></cell><cell r="AA237"><v>43353</v></cell><cell r="AB237" t="str"><v>FRA_gaPMG_AZR_AZR_Q1_19_AzureDirect-Trial-Social</v></cell><cell r="AC237"><v>21356941</v></cell><cell r="AD237"><v>720193</v></cell><cell r="AE237" t="str"><v>Facebook</v></cell><cell r="AF237"><v>3654128</v></cell><cell r="AG237" t="str"><v>Facebook»Developers/ITPros-Azure Direct-Sponsored Post-Canvas-FBCTCcanvaspage-StartFreeCTA-Img2_FBCTCBasicMotion_FRA_10sec»1x1»Canvas»SOC»ALL»CPC»BT»D»UNK»SS»NA»Trials</v></cell><cell r="AH237"><v>224560884</v></cell><cell r="AI237" t="str"><v>AZR_FBCTCcanvaspage-StartFreeCTA-Img2_FRA_1080x143_SOC_AZRDirect_French_NA_Facebook_SBAN_BN_T2_1</v></cell><cell r="AJ237"><v>103259958</v></cell></row><row r="238"><cell r="D238" t="str"><v>43353224560872</v></cell><cell r="E238" t="str"><v>43353103259958Trials</v></cell><cell r="F238" t="str"><v>DCM</v></cell></row><row r="238"><cell r="H238"><v>0</v></cell><cell r="I238" t="str"><v>Azure Direct</v></cell><cell r="J238" t="str"><v>Azure Direct</v></cell><cell r="K238" t="str"><v>September</v></cell><cell r="L238"><v>43358</v></cell><cell r="M238" t="str"><v>Tier 1</v></cell><cell r="N238" t="str"><v>EMEA</v></cell><cell r="O238" t="str"><v>France</v></cell><cell r="P238" t="str"><v>Trial</v></cell><cell r="Q238" t="str"><v>Social</v></cell><cell r="R238" t="str"><v>Azure</v></cell><cell r="S238" t="str"><v>Apps & Infra</v></cell><cell r="T238" t="str"><v>Developers & ITI's</v></cell><cell r="U238" t="str"><v>Developers/ITPros-Azure Direct-Sponsored Post-Canvas-FBCTCcanvaspage-StartFreeCTA-Img2_FBCTCBrandinMotion_FRA_14sec</v></cell><cell r="V238" t="str"><v>Behavioral Targeting</v></cell><cell r="W238" t="str"><v>Canvas Ad</v></cell><cell r="X238" t="str"><v>1080x143</v></cell><cell r="Y238" t="str"><v>Buy Now</v></cell><cell r="Z238" t="str"><v>Static Banner</v></cell><cell r="AA238"><v>43353</v></cell><cell r="AB238" t="str"><v>FRA_gaPMG_AZR_AZR_Q1_19_AzureDirect-Trial-Social</v></cell><cell r="AC238"><v>21356941</v></cell><cell r="AD238"><v>720193</v></cell><cell r="AE238" t="str"><v>Facebook</v></cell><cell r="AF238"><v>3654128</v></cell><cell r="AG238" t="str"><v>Facebook»Developers/ITPros-Azure Direct-Sponsored Post-Canvas-FBCTCcanvaspage-StartFreeCTA-Img2_FBCTCBrandinMotion_FRA_14sec»1x1»Canvas»SOC»ALL»CPC»BT»D»UNK»SS»NA»Trials</v></cell><cell r="AH238"><v>224560872</v></cell><cell r="AI238" t="str"><v>AZR_FBCTCcanvaspage-StartFreeCTA-Img2_FRA_1080x143_SOC_AZRDirect_French_NA_Facebook_SBAN_BN_T2_1</v></cell><cell r="AJ238"><v>103259958</v></cell></row><row r="239"><cell r="D239" t="str"><v>43353224560866</v></cell><cell r="E239" t="str"><v>43353103259784Trials</v></cell><cell r="F239" t="str"><v>DCM</v></cell></row><row r="239"><cell r="H239"><v>0</v></cell><cell r="I239" t="str"><v>Azure Direct</v></cell><cell r="J239" t="str"><v>Azure Direct</v></cell><cell r="K239" t="str"><v>September</v></cell><cell r="L239"><v>43358</v></cell><cell r="M239" t="str"><v>Tier 1</v></cell><cell r="N239" t="str"><v>EMEA</v></cell><cell r="O239" t="str"><v>France</v></cell><cell r="P239" t="str"><v>Trial</v></cell><cell r="Q239" t="str"><v>Social</v></cell><cell r="R239" t="str"><v>Azure</v></cell><cell r="S239" t="str"><v>Apps & Infra</v></cell><cell r="T239" t="str"><v>Developers & ITI's</v></cell><cell r="U239" t="str"><v>Developers/ITPros-Azure Direct-Sponsored Post-Link Ad-FreeAcctAppsFACEBOOK12monthsChE</v></cell><cell r="V239" t="str"><v>Behavioral Targeting</v></cell><cell r="W239" t="str"><v>Social</v></cell><cell r="X239" t="str"><v>1200x628</v></cell><cell r="Y239" t="str"><v>Sign Up</v></cell><cell r="Z239" t="str"><v>Not Applicable</v></cell><cell r="AA239"><v>43353</v></cell><cell r="AB239" t="str"><v>FRA_gaPMG_AZR_AZR_Q1_19_AzureDirect-Trial-Social</v></cell><cell r="AC239"><v>21356941</v></cell><cell r="AD239"><v>720193</v></cell><cell r="AE239" t="str"><v>Facebook</v></cell><cell r="AF239"><v>3654128</v></cell><cell r="AG239" t="str"><v>Facebook»Developers/ITPros-Azure Direct-Sponsored Post-Link Ad-FreeAcctAppsFACEBOOK12monthsChE»1x1»SocialBan»SOC»ALL»CPC»BT»D»UNK»SS»NA»Trials</v></cell><cell r="AH239"><v>224560866</v></cell><cell r="AI239" t="str"><v>AZR_FreeAcctAppsFACEBOOK12monthsChE_FRA_1200x628_SOC_PLAT_FR_Trial_Standard_NA_SINU_T5_1</v></cell><cell r="AJ239"><v>103259784</v></cell></row><row r="240"><cell r="D240" t="str"><v>43353224560860</v></cell><cell r="E240" t="str"><v>43353103377773Trials</v></cell><cell r="F240" t="str"><v>DCM</v></cell></row><row r="240"><cell r="H240"><v>0</v></cell><cell r="I240" t="str"><v>Azure Direct</v></cell><cell r="J240" t="str"><v>Azure Direct</v></cell><cell r="K240" t="str"><v>September</v></cell><cell r="L240"><v>43358</v></cell><cell r="M240" t="str"><v>Tier 1</v></cell><cell r="N240" t="str"><v>EMEA</v></cell><cell r="O240" t="str"><v>France</v></cell><cell r="P240" t="str"><v>Trial</v></cell><cell r="Q240" t="str"><v>Social</v></cell><cell r="R240" t="str"><v>Azure</v></cell><cell r="S240" t="str"><v>Apps & Infra</v></cell><cell r="T240" t="str"><v>Developers & ITI's</v></cell><cell r="U240" t="str"><v>Developers/ITPros-Azure Direct-Sponsored Post-Link Ad-FreeAcctAppsFACEBOOK200CreditChD</v></cell><cell r="V240" t="str"><v>Behavioral Targeting</v></cell><cell r="W240" t="str"><v>Social</v></cell><cell r="X240" t="str"><v>1200x628</v></cell><cell r="Y240" t="str"><v>Sign Up</v></cell><cell r="Z240" t="str"><v>Not Applicable</v></cell><cell r="AA240"><v>43353</v></cell><cell r="AB240" t="str"><v>FRA_gaPMG_AZR_AZR_Q1_19_AzureDirect-Trial-Social</v></cell><cell r="AC240"><v>21356941</v></cell><cell r="AD240"><v>720193</v></cell><cell r="AE240" t="str"><v>Facebook</v></cell><cell r="AF240"><v>3654128</v></cell><cell r="AG240" t="str"><v>Facebook»Developers/ITPros-Azure Direct-Sponsored Post-Link Ad-FreeAcctAppsFACEBOOK200CreditChD»1x1»SocialBan»SOC»ALL»CPC»BT»D»UNK»SS»NA»Trials</v></cell><cell r="AH240"><v>224560860</v></cell><cell r="AI240" t="str"><v>AZR_FreeAcctAppsFACEBOOK200CreditChD_FRA_1200x628_SOC_PLAT_FR_Trial_Standard_NA_SINU_T4_1</v></cell><cell r="AJ240"><v>103377773</v></cell></row><row r="241"><cell r="D241" t="str"><v>43353224560857</v></cell><cell r="E241" t="str"><v>43353103377002Trials</v></cell><cell r="F241" t="str"><v>DCM</v></cell></row><row r="241"><cell r="H241"><v>0</v></cell><cell r="I241" t="str"><v>Azure Direct</v></cell><cell r="J241" t="str"><v>Azure Direct</v></cell><cell r="K241" t="str"><v>September</v></cell><cell r="L241"><v>43358</v></cell><cell r="M241" t="str"><v>Tier 1</v></cell><cell r="N241" t="str"><v>EMEA</v></cell><cell r="O241" t="str"><v>France</v></cell><cell r="P241" t="str"><v>Trial</v></cell><cell r="Q241" t="str"><v>Social</v></cell><cell r="R241" t="str"><v>Azure</v></cell><cell r="S241" t="str"><v>Apps & Infra</v></cell><cell r="T241" t="str"><v>Developers & ITI's</v></cell><cell r="U241" t="str"><v>Developers/ITPros-Azure Direct-Sponsored Post-Link Ad-FreeAcctAppsFACEBOOKDeviceChB</v></cell><cell r="V241" t="str"><v>Audience Targeting</v></cell><cell r="W241" t="str"><v>Social</v></cell><cell r="X241" t="str"><v>1200x628</v></cell><cell r="Y241" t="str"><v>Sign Up</v></cell><cell r="Z241" t="str"><v>Not Applicable</v></cell><cell r="AA241"><v>43353</v></cell><cell r="AB241" t="str"><v>FRA_gaPMG_AZR_AZR_Q1_19_AzureDirect-Trial-Social</v></cell><cell r="AC241"><v>21356941</v></cell><cell r="AD241"><v>720193</v></cell><cell r="AE241" t="str"><v>Facebook</v></cell><cell r="AF241"><v>3654128</v></cell><cell r="AG241" t="str"><v>Facebook»Developers/ITPros-Azure Direct-Sponsored Post-Link Ad-FreeAcctAppsFACEBOOKDeviceChB»1x1»SocialBan»SOC»ALL»CPC»AUT»D»UNK»SS»NA»Trials</v></cell><cell r="AH241"><v>224560857</v></cell><cell r="AI241" t="str"><v>AZR_FreeAcctAppsFACEBOOKDeviceChB_FRA_1200x628_SOC_PLAT_FR_Trial_Standard_NA_SINU_T2_1</v></cell><cell r="AJ241"><v>103377002</v></cell></row><row r="242"><cell r="D242" t="str"><v>43353224399962</v></cell><cell r="E242" t="str"><v>43353103235146Motion</v></cell><cell r="F242" t="str"><v>DCM</v></cell></row><row r="242"><cell r="H242"><v>0</v></cell><cell r="I242" t="str"><v>Azure Direct</v></cell><cell r="J242" t="str"><v>Azure Direct</v></cell><cell r="K242" t="str"><v>September</v></cell><cell r="L242"><v>43358</v></cell><cell r="M242" t="str"><v>Tier 1</v></cell><cell r="N242" t="str"><v>EMEA</v></cell><cell r="O242" t="str"><v>United Kingdom</v></cell><cell r="P242" t="str"><v>Trial</v></cell><cell r="Q242" t="str"><v>Social</v></cell><cell r="R242" t="str"><v>Azure</v></cell><cell r="S242" t="str"><v>Apps & Infra</v></cell><cell r="T242" t="str"><v>Developers & ITI's</v></cell><cell r="U242" t="str"><v>Audience & Interest Targeting</v></cell><cell r="V242" t="str"><v>Audience Targeting</v></cell><cell r="W242" t="str"><v>Link Ad</v></cell><cell r="X242" t="str"><v>1080x143</v></cell><cell r="Y242" t="str"><v>Not Applicable </v></cell><cell r="Z242" t="str"><v>Not Applicable</v></cell><cell r="AA242"><v>43353</v></cell><cell r="AB242" t="str"><v>GBR_gaPMG_CE_AZR_Q1_19_Trial-Social</v></cell><cell r="AC242"><v>21337013</v></cell><cell r="AD242"><v>720196</v></cell><cell r="AE242" t="str"><v>Facebook</v></cell><cell r="AF242"><v>3654128</v></cell><cell r="AG242" t="str"><v>Facebook»Audience & Interest Targeting»1x1»SocialBan»LIA»DT»CPC»AUT»W»NA»SS»NA»Basic Motion</v></cell><cell r="AH242"><v>224399962</v></cell><cell r="AI242" t="str"><v>AzurePlatform_FBCTCcanvaspage-StartFreeCTA-Img2_GBR_1080x143 _SOC_Plat_English_NA_Standard_NA_NA_T2_1</v></cell><cell r="AJ242"><v>103235146</v></cell></row><row r="243"><cell r="D243" t="str"><v>43353224334170</v></cell><cell r="E243" t="str"><v>43353103235146Motion</v></cell><cell r="F243" t="str"><v>DCM</v></cell></row><row r="243"><cell r="H243"><v>0</v></cell><cell r="I243" t="str"><v>Azure Direct</v></cell><cell r="J243" t="str"><v>Azure Direct</v></cell><cell r="K243" t="str"><v>September</v></cell><cell r="L243"><v>43358</v></cell><cell r="M243" t="str"><v>Tier 1</v></cell><cell r="N243" t="str"><v>EMEA</v></cell><cell r="O243" t="str"><v>United Kingdom</v></cell><cell r="P243" t="str"><v>Trial</v></cell><cell r="Q243" t="str"><v>Social</v></cell><cell r="R243" t="str"><v>Azure</v></cell><cell r="S243" t="str"><v>Apps & Infra</v></cell><cell r="T243" t="str"><v>Developers & ITI's</v></cell><cell r="U243" t="str"><v>Audience & Interest Targeting</v></cell><cell r="V243" t="str"><v>Audience Targeting</v></cell><cell r="W243" t="str"><v>Link Ad</v></cell><cell r="X243" t="str"><v>1080x143</v></cell><cell r="Y243" t="str"><v>Not Applicable </v></cell><cell r="Z243" t="str"><v>Not Applicable</v></cell><cell r="AA243"><v>43353</v></cell><cell r="AB243" t="str"><v>GBR_gaPMG_CE_AZR_Q1_19_Trial-Social</v></cell><cell r="AC243"><v>21337013</v></cell><cell r="AD243"><v>720196</v></cell><cell r="AE243" t="str"><v>Facebook</v></cell><cell r="AF243"><v>3654128</v></cell><cell r="AG243" t="str"><v>Facebook»Audience & Interest Targeting»1x1»SocialBan»LIA»DT»CPC»AUT»W»NA»SS»NA»Benefit 2 in Motion</v></cell><cell r="AH243"><v>224334170</v></cell><cell r="AI243" t="str"><v>AzurePlatform_FBCTCcanvaspage-StartFreeCTA-Img2_GBR_1080x143 _SOC_Plat_English_NA_Standard_NA_NA_T2_1</v></cell><cell r="AJ243"><v>103235146</v></cell></row><row r="244"><cell r="D244" t="str"><v>43353223560299</v></cell><cell r="E244" t="str"><v>43353102854019ed ChC</v></cell><cell r="F244" t="str"><v>DCM</v></cell></row><row r="244"><cell r="H244"><v>0</v></cell><cell r="I244" t="str"><v>Azure Direct</v></cell><cell r="J244" t="str"><v>Azure Direct</v></cell><cell r="K244" t="str"><v>September</v></cell><cell r="L244"><v>43358</v></cell><cell r="M244" t="str"><v>Tier 1</v></cell><cell r="N244" t="str"><v>EMEA</v></cell><cell r="O244" t="str"><v>United Kingdom</v></cell><cell r="P244" t="str"><v>Trial</v></cell><cell r="Q244" t="str"><v>Social</v></cell><cell r="R244" t="str"><v>Azure</v></cell><cell r="S244" t="str"><v>Apps & Infra</v></cell><cell r="T244" t="str"><v>Developers & ITI's</v></cell><cell r="U244" t="str"><v>Retargeting</v></cell><cell r="V244" t="str"><v>Retargeting</v></cell><cell r="W244" t="str"><v>Link Ad</v></cell><cell r="X244" t="str"><v>1200x628</v></cell></row><row r="244"><cell r="Z244" t="str"><v>Animated Banner</v></cell><cell r="AA244"><v>43353</v></cell><cell r="AB244" t="str"><v>GBR_gaPMG_CE_AZR_Q1_19_Trial-Social</v></cell><cell r="AC244"><v>21337013</v></cell><cell r="AD244"><v>720196</v></cell><cell r="AE244" t="str"><v>Facebook</v></cell><cell r="AF244"><v>3654128</v></cell><cell r="AG244" t="str"><v>Facebook»Retargeting»1x1»SocialBan»LIA»DT»DYN»RT»W»NA»SS»NA»Free Account Retargeting Generic- Animated ChC</v></cell><cell r="AH244"><v>223560299</v></cell><cell r="AI244" t="str"><v>AzurePlatform_FreeAcctRetargetingFB-Animated-ChC_GBR_1200x628_SOC_Plat_EN_Free Account_Standard_ANI_SU_T3_1</v></cell><cell r="AJ244"><v>102854019</v></cell></row><row r="245"><cell r="D245" t="str"><v>43353223560356</v></cell><cell r="E245" t="str"><v>43353102854016lt ChB</v></cell><cell r="F245" t="str"><v>DCM</v></cell></row><row r="245"><cell r="H245"><v>0</v></cell><cell r="I245" t="str"><v>Azure Direct</v></cell><cell r="J245" t="str"><v>Azure Direct</v></cell><cell r="K245" t="str"><v>September</v></cell><cell r="L245"><v>43358</v></cell><cell r="M245" t="str"><v>Tier 1</v></cell><cell r="N245" t="str"><v>EMEA</v></cell><cell r="O245" t="str"><v>United Kingdom</v></cell><cell r="P245" t="str"><v>Trial</v></cell><cell r="Q245" t="str"><v>Social</v></cell><cell r="R245" t="str"><v>Azure</v></cell><cell r="S245" t="str"><v>Apps & Infra</v></cell><cell r="T245" t="str"><v>Developers & ITI's</v></cell><cell r="U245" t="str"><v>Retargeting</v></cell><cell r="V245" t="str"><v>Retargeting</v></cell><cell r="W245" t="str"><v>Link Ad</v></cell><cell r="X245" t="str"><v>1200x628</v></cell></row><row r="245"><cell r="Z245" t="str"><v>Not Applicable</v></cell><cell r="AA245"><v>43353</v></cell><cell r="AB245" t="str"><v>GBR_gaPMG_CE_AZR_Q1_19_Trial-Social</v></cell><cell r="AC245"><v>21337013</v></cell><cell r="AD245"><v>720196</v></cell><cell r="AE245" t="str"><v>Facebook</v></cell><cell r="AF245"><v>3654128</v></cell><cell r="AG245" t="str"><v>Facebook»Retargeting»1x1»SocialBan»LIA»DT»DYN»RT»W»NA»SS»NA»Free Account Retargeting Generic- Global Alt ChB</v></cell><cell r="AH245"><v>223560356</v></cell><cell r="AI245" t="str"><v>AzurePlatform_FreeAcctRetargetingFB-GlobalAlt-ChB_GBR_1200x628_SOC_Plat_EN_Free Account_Standard_NA_SU_T2_1</v></cell><cell r="AJ245"><v>102854016</v></cell></row><row r="246"><cell r="D246" t="str"><v>43353223560344</v></cell><cell r="E246" t="str"><v>43353102861246xt ChF</v></cell><cell r="F246" t="str"><v>DCM</v></cell></row><row r="246"><cell r="H246"><v>1</v></cell><cell r="I246" t="str"><v>Azure Direct</v></cell><cell r="J246" t="str"><v>Azure Direct</v></cell><cell r="K246" t="str"><v>September</v></cell><cell r="L246"><v>43358</v></cell><cell r="M246" t="str"><v>Tier 1</v></cell><cell r="N246" t="str"><v>EMEA</v></cell><cell r="O246" t="str"><v>United Kingdom</v></cell><cell r="P246" t="str"><v>Trial</v></cell><cell r="Q246" t="str"><v>Social</v></cell><cell r="R246" t="str"><v>Azure</v></cell><cell r="S246" t="str"><v>Apps & Infra</v></cell><cell r="T246" t="str"><v>Developers & ITI's</v></cell><cell r="U246" t="str"><v>Retargeting</v></cell><cell r="V246" t="str"><v>Retargeting</v></cell><cell r="W246" t="str"><v>Link Ad</v></cell><cell r="X246" t="str"><v>1200x628</v></cell></row><row r="246"><cell r="Z246" t="str"><v>Not Applicable</v></cell><cell r="AA246"><v>43353</v></cell><cell r="AB246" t="str"><v>GBR_gaPMG_CE_AZR_Q1_19_Trial-Social</v></cell><cell r="AC246"><v>21337013</v></cell><cell r="AD246"><v>720196</v></cell><cell r="AE246" t="str"><v>Facebook</v></cell><cell r="AF246"><v>3654128</v></cell><cell r="AG246" t="str"><v>Facebook»Retargeting»1x1»SocialBan»LIA»DT»DYN»RT»W»NA»SS»NA»Free Account Retargeting OSS- Text ChF</v></cell><cell r="AH246"><v>223560344</v></cell><cell r="AI246" t="str"><v>AzurePlatform_FreeAcctRetargetingOSSFB-Text-ChF_GBR_1200x628_SOC_Plat_EN_Free Account_Standard_NA_SU_T1_1</v></cell><cell r="AJ246"><v>102861246</v></cell></row><row r="247"><cell r="D247" t="str"><v>43353223560338</v></cell><cell r="E247" t="str"><v>43353102853603rs ChD</v></cell><cell r="F247" t="str"><v>DCM</v></cell></row><row r="247"><cell r="H247"><v>3</v></cell><cell r="I247" t="str"><v>Azure Direct</v></cell><cell r="J247" t="str"><v>Azure Direct</v></cell><cell r="K247" t="str"><v>September</v></cell><cell r="L247"><v>43358</v></cell><cell r="M247" t="str"><v>Tier 1</v></cell><cell r="N247" t="str"><v>EMEA</v></cell><cell r="O247" t="str"><v>United Kingdom</v></cell><cell r="P247" t="str"><v>Trial</v></cell><cell r="Q247" t="str"><v>Social</v></cell><cell r="R247" t="str"><v>Azure</v></cell><cell r="S247" t="str"><v>Apps & Infra</v></cell><cell r="T247" t="str"><v>Developers & ITI's</v></cell><cell r="U247" t="str"><v>Retargeting</v></cell><cell r="V247" t="str"><v>Retargeting</v></cell><cell r="W247" t="str"><v>Link Ad</v></cell><cell r="X247" t="str"><v>1200x628</v></cell></row><row r="247"><cell r="Z247" t="str"><v>Not Applicable</v></cell><cell r="AA247"><v>43353</v></cell><cell r="AB247" t="str"><v>GBR_gaPMG_CE_AZR_Q1_19_Trial-Social</v></cell><cell r="AC247"><v>21337013</v></cell><cell r="AD247"><v>720196</v></cell><cell r="AE247" t="str"><v>Facebook</v></cell><cell r="AF247"><v>3654128</v></cell><cell r="AG247" t="str"><v>Facebook»Retargeting»1x1»SocialBan»LIA»DT»DYN»RT»W»NA»SS»NA»Free Account Retargeting VM- 750 Hrs ChD</v></cell><cell r="AH247"><v>223560338</v></cell><cell r="AI247" t="str"><v>AzurePlatform_FreeAcctRetargetingVMFB-750Hrs-ChD_GBR_1200x628_SOC_Plat_EN_Free Account_Standard_NA_SU_T1_1</v></cell><cell r="AJ247"><v>102853603</v></cell></row><row r="248"><cell r="D248" t="str"><v>43353223560332</v></cell><cell r="E248" t="str"><v>43353102854037nd ChE</v></cell><cell r="F248" t="str"><v>DCM</v></cell></row><row r="248"><cell r="H248"><v>0</v></cell><cell r="I248" t="str"><v>Azure Direct</v></cell><cell r="J248" t="str"><v>Azure Direct</v></cell><cell r="K248" t="str"><v>September</v></cell><cell r="L248"><v>43358</v></cell><cell r="M248" t="str"><v>Tier 1</v></cell><cell r="N248" t="str"><v>EMEA</v></cell><cell r="O248" t="str"><v>United Kingdom</v></cell><cell r="P248" t="str"><v>Trial</v></cell><cell r="Q248" t="str"><v>Social</v></cell><cell r="R248" t="str"><v>Azure</v></cell><cell r="S248" t="str"><v>Apps & Infra</v></cell><cell r="T248" t="str"><v>Developers & ITI's</v></cell><cell r="U248" t="str"><v>Retargeting</v></cell><cell r="V248" t="str"><v>Retargeting</v></cell><cell r="W248" t="str"><v>Link Ad</v></cell><cell r="X248" t="str"><v>1200x628</v></cell></row><row r="248"><cell r="Z248" t="str"><v>Not Applicable</v></cell><cell r="AA248"><v>43353</v></cell><cell r="AB248" t="str"><v>GBR_gaPMG_CE_AZR_Q1_19_Trial-Social</v></cell><cell r="AC248"><v>21337013</v></cell><cell r="AD248"><v>720196</v></cell><cell r="AE248" t="str"><v>Facebook</v></cell><cell r="AF248"><v>3654128</v></cell><cell r="AG248" t="str"><v>Facebook»Retargeting»1x1»SocialBan»LIA»DT»DYN»RT»W»NA»SS»NA»Free Account Retargeting VM- On Demand ChE</v></cell><cell r="AH248"><v>223560332</v></cell><cell r="AI248" t="str"><v>AzurePlatform_FreeAcctRetargetingVMFB-OnDemand-ChE_GBR_1200x628_SOC_Plat_EN_Free Account_Standard_NA_SU_T2_1</v></cell><cell r="AJ248"><v>102854037</v></cell></row><row r="249"><cell r="D249" t="str"><v>43353227035833</v></cell><cell r="E249" t="str"><v>43353103235146Hybrid</v></cell><cell r="F249" t="str"><v>DCM</v></cell></row><row r="249"><cell r="H249"><v>0</v></cell><cell r="I249" t="str"><v>Azure Direct</v></cell><cell r="J249" t="str"><v>Azure Direct</v></cell><cell r="K249" t="str"><v>September</v></cell><cell r="L249"><v>43358</v></cell><cell r="M249" t="str"><v>Tier 1</v></cell><cell r="N249" t="str"><v>EMEA</v></cell><cell r="O249" t="str"><v>United Kingdom</v></cell><cell r="P249" t="str"><v>Trial</v></cell><cell r="Q249" t="str"><v>Social</v></cell><cell r="R249" t="str"><v>Azure</v></cell><cell r="S249" t="str"><v>Apps & Infra</v></cell><cell r="T249" t="str"><v>Developers & ITI's</v></cell><cell r="U249" t="str"><v>Audience & Interest Targeting- Azure Trial Lookalikes</v></cell><cell r="V249" t="str"><v>Audience Targeting</v></cell><cell r="W249" t="str"><v>Canvas Ad</v></cell><cell r="X249" t="str"><v>1080x143</v></cell><cell r="Y249" t="str"><v>Not Applicable </v></cell><cell r="Z249" t="str"><v>Not Applicable</v></cell><cell r="AA249"><v>43353</v></cell><cell r="AB249" t="str"><v>GBR_gaPMG_CE_AZR_Q1_19_Trial-Social</v></cell><cell r="AC249"><v>21337013</v></cell><cell r="AD249"><v>720196</v></cell><cell r="AE249" t="str"><v>Facebook</v></cell><cell r="AF249"><v>3654128</v></cell><cell r="AG249" t="str"><v>Facebook»Audience & Interest Targeting- Azure Trial Lookalikes»1x1»TextLink»CAN»MO»CPM»AUT»W»NA»SS»NA»Free Account IT Pro- Hybrid</v></cell><cell r="AH249"><v>227035833</v></cell><cell r="AI249" t="str"><v>AzurePlatform_FBCTCcanvaspage-StartFreeCTA-Img2_GBR_1080x143 _SOC_Plat_English_NA_Standard_NA_NA_T2_1</v></cell><cell r="AJ249"><v>103235146</v></cell></row><row r="250"><cell r="D250" t="str"><v>43353227035833</v></cell><cell r="E250" t="str"><v>43353103230847Hybrid</v></cell><cell r="F250" t="str"><v>DCM</v></cell></row><row r="250"><cell r="H250"><v>0</v></cell><cell r="I250" t="str"><v>Azure Direct</v></cell><cell r="J250" t="str"><v>Azure Direct</v></cell><cell r="K250" t="str"><v>September</v></cell><cell r="L250"><v>43358</v></cell><cell r="M250" t="str"><v>Tier 1</v></cell><cell r="N250" t="str"><v>EMEA</v></cell><cell r="O250" t="str"><v>United Kingdom</v></cell><cell r="P250" t="str"><v>Trial</v></cell><cell r="Q250" t="str"><v>Social</v></cell><cell r="R250" t="str"><v>Azure</v></cell><cell r="S250" t="str"><v>Apps & Infra</v></cell><cell r="T250" t="str"><v>Developers & ITI's</v></cell><cell r="U250" t="str"><v>Audience & Interest Targeting- Azure Trial Lookalikes</v></cell><cell r="V250" t="str"><v>Audience Targeting</v></cell><cell r="W250" t="str"><v>Canvas Ad</v></cell><cell r="X250" t="str"><v>1080x162</v></cell><cell r="Y250" t="str"><v>Buy Now</v></cell><cell r="Z250" t="str"><v>Not Applicable</v></cell><cell r="AA250"><v>43353</v></cell><cell r="AB250" t="str"><v>GBR_gaPMG_CE_AZR_Q1_19_Trial-Social</v></cell><cell r="AC250"><v>21337013</v></cell><cell r="AD250"><v>720196</v></cell><cell r="AE250" t="str"><v>Facebook</v></cell><cell r="AF250"><v>3654128</v></cell><cell r="AG250" t="str"><v>Facebook»Audience & Interest Targeting- Azure Trial Lookalikes»1x1»TextLink»CAN»MO»CPM»AUT»W»NA»SS»NA»Free Account IT Pro- Hybrid</v></cell><cell r="AH250"><v>227035833</v></cell><cell r="AI250" t="str"><v>AzurePlatform_FBCTCcanvaspage-BuyNowCTA-Img3_GBR_1080x162_SOC_Plat_English_NA_Standard_NA_BN_T3_1</v></cell><cell r="AJ250"><v>103230847</v></cell></row><row r="251"><cell r="D251" t="str"><v>43353224549481</v></cell><cell r="E251" t="str"><v>43353103235146Motion</v></cell><cell r="F251" t="str"><v>DCM</v></cell></row><row r="251"><cell r="H251"><v>0</v></cell><cell r="I251" t="str"><v>Azure Direct</v></cell><cell r="J251" t="str"><v>Azure Direct</v></cell><cell r="K251" t="str"><v>September</v></cell><cell r="L251"><v>43358</v></cell><cell r="M251" t="str"><v>Tier 1</v></cell><cell r="N251" t="str"><v>EMEA</v></cell><cell r="O251" t="str"><v>United Kingdom</v></cell><cell r="P251" t="str"><v>Trial</v></cell><cell r="Q251" t="str"><v>Social</v></cell><cell r="R251" t="str"><v>Azure</v></cell><cell r="S251" t="str"><v>Apps & Infra</v></cell><cell r="T251" t="str"><v>Developers & ITI's</v></cell><cell r="U251" t="str"><v>Audience & Interest Targeting</v></cell><cell r="V251" t="str"><v>Audience Targeting</v></cell><cell r="W251" t="str"><v>Link Ad</v></cell><cell r="X251" t="str"><v>1080x143</v></cell><cell r="Y251" t="str"><v>Not Applicable </v></cell><cell r="Z251" t="str"><v>Not Applicable</v></cell><cell r="AA251"><v>43353</v></cell><cell r="AB251" t="str"><v>GBR_gaPMG_CE_AZR_Q1_19_Trial-Social</v></cell><cell r="AC251"><v>21337013</v></cell><cell r="AD251"><v>720196</v></cell><cell r="AE251" t="str"><v>Facebook</v></cell><cell r="AF251"><v>3654128</v></cell><cell r="AG251" t="str"><v>Facebook»Audience & Interest Targeting»1x1»SocialBan»LIA»DT»CPC»AUT»W»NA»SS»NA»Brand in Motion</v></cell><cell r="AH251"><v>224549481</v></cell><cell r="AI251" t="str"><v>AzurePlatform_FBCTCcanvaspage-StartFreeCTA-Img2_GBR_1080x143 _SOC_Plat_English_NA_Standard_NA_NA_T2_1</v></cell><cell r="AJ251"><v>103235146</v></cell></row><row r="252"><cell r="D252" t="str"><v>43353223298805</v></cell><cell r="E252" t="str"><v>43353102609621-Trial</v></cell><cell r="F252" t="str"><v>DCM</v></cell></row><row r="252"><cell r="H252"><v>0</v></cell><cell r="I252" t="str"><v>Azure Direct</v></cell><cell r="J252" t="str"><v>Azure Direct</v></cell><cell r="K252" t="str"><v>September</v></cell><cell r="L252"><v>43358</v></cell><cell r="M252" t="str"><v>Tier 1</v></cell><cell r="N252" t="str"><v>APAC</v></cell><cell r="O252" t="str"><v>Japan</v></cell><cell r="P252" t="str"><v>Trial</v></cell><cell r="Q252" t="str"><v>Social</v></cell><cell r="R252" t="str"><v>Azure</v></cell><cell r="S252" t="str"><v>Apps & Infra</v></cell><cell r="T252" t="str"><v>Developers & ITI's</v></cell><cell r="U252" t="str"><v>AZP-Canvas-Interest&Role-Trial</v></cell><cell r="V252" t="str"><v>Prospecting</v></cell><cell r="W252" t="str"><v>Canvas Ad</v></cell><cell r="X252" t="str"><v>1080x143</v></cell><cell r="Y252" t="str"><v>Not Applicable </v></cell><cell r="Z252" t="str"><v>Not Applicable</v></cell><cell r="AA252"><v>43353</v></cell><cell r="AB252" t="str"><v>JPN_gaPMG_AZR_AZR_Q1_19_Trial-Social</v></cell><cell r="AC252"><v>21276694</v></cell><cell r="AD252"><v>720195</v></cell><cell r="AE252" t="str"><v>Facebook</v></cell><cell r="AF252"><v>3654128</v></cell><cell r="AG252" t="str"><v>Facebook»AZP-Canvas-Interest&Role-Trial»1x1»Canvas»OTH»MO»CPM»PRO»X»UNK»TP»OT»Canvas-Trial</v></cell><cell r="AH252"><v>223298805</v></cell><cell r="AI252" t="str"><v>AzurePlatform_FBCTCcanvaspage-StartFreeCTA-Img2_JPN_1080x143 _SOC_Plat_Japanese_NA_Standard_NA_NA_T2_1</v></cell><cell r="AJ252"><v>102609621</v></cell></row><row r="253"><cell r="D253" t="str"><v>43353226269941</v></cell><cell r="E253" t="str"><v>43353104061321-Trial</v></cell><cell r="F253" t="str"><v>DCM</v></cell></row><row r="253"><cell r="H253"><v>0</v></cell><cell r="I253" t="str"><v>Azure Direct</v></cell><cell r="J253" t="str"><v>Azure Direct</v></cell><cell r="K253" t="str"><v>September</v></cell><cell r="L253"><v>43358</v></cell><cell r="M253" t="str"><v>Tier 1</v></cell><cell r="N253" t="str"><v>APAC</v></cell><cell r="O253" t="str"><v>Japan</v></cell><cell r="P253" t="str"><v>Trial</v></cell><cell r="Q253" t="str"><v>Social</v></cell><cell r="R253" t="str"><v>Azure</v></cell><cell r="S253" t="str"><v>Apps & Infra</v></cell><cell r="T253" t="str"><v>Developers & ITI's</v></cell><cell r="U253" t="str"><v>AZP-Canvas-Retargeting-Trial</v></cell><cell r="V253" t="str"><v>Prospecting</v></cell><cell r="W253" t="str"><v>Canvas Ad</v></cell><cell r="X253" t="str"><v>1080x143</v></cell><cell r="Y253" t="str"><v>Not Applicable </v></cell><cell r="Z253" t="str"><v>Not Applicable</v></cell><cell r="AA253"><v>43353</v></cell><cell r="AB253" t="str"><v>JPN_gaPMG_AZR_AZR_Q1_19_Trial-Social</v></cell><cell r="AC253"><v>21276694</v></cell><cell r="AD253"><v>720195</v></cell><cell r="AE253" t="str"><v>Facebook</v></cell><cell r="AF253"><v>3654128</v></cell><cell r="AG253" t="str"><v>Facebook»AZP-Canvas-Retargeting-Trial»1x1»Canvas»SOC»MO»CPM»PRO»W»UNK»SS»OT»Canvas-Trial</v></cell><cell r="AH253"><v>226269941</v></cell><cell r="AI253" t="str"><v>AZR_FBCTCcanvaspage-StartFreeCTA-Img2_JPN_1080x143 _SOC_Plat_Japanese_NA_Standard_NA_NA_T2_1</v></cell><cell r="AJ253"><v>104061321</v></cell></row><row r="254"><cell r="D254" t="str"><v>43353226269941</v></cell><cell r="E254" t="str"><v>43353104060547-Trial</v></cell><cell r="F254" t="str"><v>DCM</v></cell></row><row r="254"><cell r="H254"><v>1</v></cell><cell r="I254" t="str"><v>Azure Direct</v></cell><cell r="J254" t="str"><v>Azure Direct</v></cell><cell r="K254" t="str"><v>September</v></cell><cell r="L254"><v>43358</v></cell><cell r="M254" t="str"><v>Tier 1</v></cell><cell r="N254" t="str"><v>APAC</v></cell><cell r="O254" t="str"><v>Japan</v></cell><cell r="P254" t="str"><v>Trial</v></cell><cell r="Q254" t="str"><v>Social</v></cell><cell r="R254" t="str"><v>Azure</v></cell><cell r="S254" t="str"><v>Apps & Infra</v></cell><cell r="T254" t="str"><v>Developers & ITI's</v></cell><cell r="U254" t="str"><v>AZP-Canvas-Retargeting-Trial</v></cell><cell r="V254" t="str"><v>Prospecting</v></cell><cell r="W254" t="str"><v>Canvas Ad</v></cell><cell r="X254" t="str"><v>1080x162</v></cell><cell r="Y254" t="str"><v>Buy Now</v></cell><cell r="Z254" t="str"><v>Not Applicable</v></cell><cell r="AA254"><v>43353</v></cell><cell r="AB254" t="str"><v>JPN_gaPMG_AZR_AZR_Q1_19_Trial-Social</v></cell><cell r="AC254"><v>21276694</v></cell><cell r="AD254"><v>720195</v></cell><cell r="AE254" t="str"><v>Facebook</v></cell><cell r="AF254"><v>3654128</v></cell><cell r="AG254" t="str"><v>Facebook»AZP-Canvas-Retargeting-Trial»1x1»Canvas»SOC»MO»CPM»PRO»W»UNK»SS»OT»Canvas-Trial</v></cell><cell r="AH254"><v>226269941</v></cell><cell r="AI254" t="str"><v>AZR_FBCTCcanvaspage-BuyNowCTA-Img3_JPN_1080x162_SOC_Plat_Japanese_NA_Standard_NA_BN_T3_1</v></cell><cell r="AJ254"><v>104060547</v></cell></row><row r="255"><cell r="D255" t="str"><v>43353227208508</v></cell><cell r="E255" t="str"><v>43353102609621-Trial</v></cell><cell r="F255" t="str"><v>DCM</v></cell></row><row r="255"><cell r="H255"><v>0</v></cell><cell r="I255" t="str"><v>Azure Direct</v></cell><cell r="J255" t="str"><v>Azure Direct</v></cell><cell r="K255" t="str"><v>September</v></cell><cell r="L255"><v>43358</v></cell><cell r="M255" t="str"><v>Tier 1</v></cell><cell r="N255" t="str"><v>APAC</v></cell><cell r="O255" t="str"><v>Japan</v></cell><cell r="P255" t="str"><v>Trial</v></cell><cell r="Q255" t="str"><v>Social</v></cell><cell r="R255" t="str"><v>Azure</v></cell><cell r="S255" t="str"><v>Apps & Infra</v></cell><cell r="T255" t="str"><v>Developers & ITI's</v></cell><cell r="U255" t="str"><v>AZP-Canvas-iine-Trial</v></cell><cell r="V255" t="str"><v>Audience Targeting</v></cell><cell r="W255" t="str"><v>Canvas Ad</v></cell><cell r="X255" t="str"><v>1080x143</v></cell><cell r="Y255" t="str"><v>Not Applicable </v></cell><cell r="Z255" t="str"><v>Not Applicable</v></cell><cell r="AA255"><v>43353</v></cell><cell r="AB255" t="str"><v>JPN_gaPMG_AZR_AZR_Q1_19_Trial-Social</v></cell><cell r="AC255"><v>21276694</v></cell><cell r="AD255"><v>720195</v></cell><cell r="AE255" t="str"><v>Facebook</v></cell><cell r="AF255"><v>3654128</v></cell><cell r="AG255" t="str"><v>Facebook»AZP-Canvas-iine-Trial»1x1»Canvas»SOC»MO»CPM»AUT»W»NA»SS»NA»Canvas-Trial</v></cell><cell r="AH255"><v>227208508</v></cell><cell r="AI255" t="str"><v>AzurePlatform_FBCTCcanvaspage-StartFreeCTA-Img2_JPN_1080x143 _SOC_Plat_Japanese_NA_Standard_NA_NA_T2_1</v></cell><cell r="AJ255"><v>102609621</v></cell></row><row r="256"><cell r="D256" t="str"><v>43353223297413</v></cell><cell r="E256" t="str"><v>43353102609621-Trial</v></cell><cell r="F256" t="str"><v>DCM</v></cell></row><row r="256"><cell r="H256"><v>0</v></cell><cell r="I256" t="str"><v>Azure Direct</v></cell><cell r="J256" t="str"><v>Azure Direct</v></cell><cell r="K256" t="str"><v>September</v></cell><cell r="L256"><v>43358</v></cell><cell r="M256" t="str"><v>Tier 1</v></cell><cell r="N256" t="str"><v>APAC</v></cell><cell r="O256" t="str"><v>Japan</v></cell><cell r="P256" t="str"><v>Trial</v></cell><cell r="Q256" t="str"><v>Social</v></cell><cell r="R256" t="str"><v>Azure</v></cell><cell r="S256" t="str"><v>Apps & Infra</v></cell><cell r="T256" t="str"><v>Developers & ITI's</v></cell><cell r="U256" t="str"><v>AZP-Canvas-Look a Like-Trial</v></cell><cell r="V256" t="str"><v>Prospecting</v></cell><cell r="W256" t="str"><v>Canvas Ad</v></cell><cell r="X256" t="str"><v>1080x143</v></cell><cell r="Y256" t="str"><v>Not Applicable </v></cell><cell r="Z256" t="str"><v>Not Applicable</v></cell><cell r="AA256"><v>43353</v></cell><cell r="AB256" t="str"><v>JPN_gaPMG_AZR_AZR_Q1_19_Trial-Social</v></cell><cell r="AC256"><v>21276694</v></cell><cell r="AD256"><v>720195</v></cell><cell r="AE256" t="str"><v>Facebook</v></cell><cell r="AF256"><v>3654128</v></cell><cell r="AG256" t="str"><v>Facebook»AZP-Canvas-Look a Like-Trial»1x1»Canvas»OTH»MO»CPM»PRO»X»UNK»TP»OT»Canvas-Trial</v></cell><cell r="AH256"><v>223297413</v></cell><cell r="AI256" t="str"><v>AzurePlatform_FBCTCcanvaspage-StartFreeCTA-Img2_JPN_1080x143 _SOC_Plat_Japanese_NA_Standard_NA_NA_T2_1</v></cell><cell r="AJ256"><v>102609621</v></cell></row><row r="257"><cell r="D257" t="str"><v>43353223933138</v></cell><cell r="E257" t="str"><v>43353103043835PRC1SW</v></cell><cell r="F257" t="str"><v>DCM</v></cell></row><row r="257"><cell r="H257"><v>0</v></cell><cell r="I257" t="str"><v>Azure Direct</v></cell><cell r="J257" t="str"><v>Azure Direct</v></cell><cell r="K257" t="str"><v>September</v></cell><cell r="L257"><v>43358</v></cell><cell r="M257" t="str"><v>Tier 0</v></cell><cell r="N257" t="str"><v>North America</v></cell><cell r="O257" t="str"><v>United States</v></cell><cell r="P257" t="str"><v>Trial</v></cell><cell r="Q257" t="str"><v>Social</v></cell><cell r="R257" t="str"><v>Azure</v></cell><cell r="S257" t="str"><v>Apps & Infra</v></cell><cell r="T257" t="str"><v>Developers & ITI's</v></cell><cell r="U257" t="str"><v>USA-Trial-ITD-Interest Prospecting-AZR-AZR</v></cell><cell r="V257" t="str"><v>Prospecting</v></cell><cell r="W257" t="str"><v>Canvas Ad</v></cell><cell r="X257" t="str"><v>10s</v></cell><cell r="Y257" t="str"><v>Try it Now</v></cell><cell r="Z257" t="str"><v>Standard videos</v></cell><cell r="AA257"><v>43353</v></cell><cell r="AB257" t="str"><v>USA_gaPMG_AZR_AZR_Q1_19_Direct-Social</v></cell><cell r="AC257"><v>21358715</v></cell><cell r="AD257"><v>720197</v></cell><cell r="AE257" t="str"><v>Facebook</v></cell><cell r="AF257"><v>3654128</v></cell><cell r="AG257" t="str"><v>FACEBOOK»USA-Trial-ITD-Interest Prospecting-AZR-AZR»1 x 1»SocialBan»CAN»ALL»CPA»PRO»X»NA»SS»NA»FBCTCBenefit2inMotion»PRC1SW</v></cell><cell r="AH257"><v>223933138</v></cell><cell r="AI257" t="str"><v>AzurePlatform_FBCTCBenefit2inMotion_USA_10s_CAN_PLATFORM_English_Trial_Standard_STAN_TIN_T4_1</v></cell><cell r="AJ257"><v>103043835</v></cell></row><row r="258"><cell r="D258" t="str"><v>43353223933138</v></cell><cell r="E258" t="str"><v>43353103178645PRC1SW</v></cell><cell r="F258" t="str"><v>DCM</v></cell></row><row r="258"><cell r="H258"><v>1</v></cell><cell r="I258" t="str"><v>Azure Direct</v></cell><cell r="J258" t="str"><v>Azure Direct</v></cell><cell r="K258" t="str"><v>September</v></cell><cell r="L258"><v>43358</v></cell><cell r="M258" t="str"><v>Tier 0</v></cell><cell r="N258" t="str"><v>North America</v></cell><cell r="O258" t="str"><v>United States</v></cell><cell r="P258" t="str"><v>Trial</v></cell><cell r="Q258" t="str"><v>Social</v></cell><cell r="R258" t="str"><v>Azure</v></cell><cell r="S258" t="str"><v>Apps & Infra</v></cell><cell r="T258" t="str"><v>Developers & ITI's</v></cell><cell r="U258" t="str"><v>USA-Trial-ITD-Interest Prospecting-AZR-AZR</v></cell><cell r="V258" t="str"><v>Prospecting</v></cell><cell r="W258" t="str"><v>Canvas Ad</v></cell><cell r="X258" t="str"><v>10s</v></cell><cell r="Y258" t="str"><v>Try it Now</v></cell><cell r="Z258" t="str"><v>Standard videos</v></cell><cell r="AA258"><v>43353</v></cell><cell r="AB258" t="str"><v>USA_gaPMG_AZR_AZR_Q1_19_Direct-Social</v></cell><cell r="AC258"><v>21358715</v></cell><cell r="AD258"><v>720197</v></cell><cell r="AE258" t="str"><v>Facebook</v></cell><cell r="AF258"><v>3654128</v></cell><cell r="AG258" t="str"><v>FACEBOOK»USA-Trial-ITD-Interest Prospecting-AZR-AZR»1 x 1»SocialBan»CAN»ALL»CPA»PRO»X»NA»SS»NA»FBCTCBenefit2inMotion»PRC1SW</v></cell><cell r="AH258"><v>223933138</v></cell><cell r="AI258" t="str"><v>AzurePlatform_FBCTCBenefit2inMotion_USA_10s_CAN_PLATFORM_English_Trial_Standard_STAN_TIN_T4_2</v></cell><cell r="AJ258"><v>103178645</v></cell></row><row r="259"><cell r="D259" t="str"><v>43353224104077</v></cell><cell r="E259" t="str"><v>43353103032775PRC1SX</v></cell><cell r="F259" t="str"><v>DCM</v></cell></row><row r="259"><cell r="H259"><v>0</v></cell><cell r="I259" t="str"><v>Azure Direct</v></cell><cell r="J259" t="str"><v>Azure Direct</v></cell><cell r="K259" t="str"><v>September</v></cell><cell r="L259"><v>43358</v></cell><cell r="M259" t="str"><v>Tier 0</v></cell><cell r="N259" t="str"><v>North America</v></cell><cell r="O259" t="str"><v>United States</v></cell><cell r="P259" t="str"><v>Trial</v></cell><cell r="Q259" t="str"><v>Social</v></cell><cell r="R259" t="str"><v>Azure</v></cell><cell r="S259" t="str"><v>Apps & Infra</v></cell><cell r="T259" t="str"><v>Developers & ITI's</v></cell><cell r="U259" t="str"><v>USA-Trial-ITD-Interest Prospecting-AZR-AZR</v></cell><cell r="V259" t="str"><v>Prospecting</v></cell><cell r="W259" t="str"><v>Canvas Ad</v></cell><cell r="X259" t="str"><v>10s</v></cell><cell r="Y259" t="str"><v>Try it Now</v></cell><cell r="Z259" t="str"><v>Standard videos</v></cell><cell r="AA259"><v>43353</v></cell><cell r="AB259" t="str"><v>USA_gaPMG_AZR_AZR_Q1_19_Direct-Social</v></cell><cell r="AC259"><v>21358715</v></cell><cell r="AD259"><v>720197</v></cell><cell r="AE259" t="str"><v>Facebook</v></cell><cell r="AF259"><v>3654128</v></cell><cell r="AG259" t="str"><v>FACEBOOK»USA-Trial-ITD-Interest Prospecting-AZR-AZR»1 x 1»SocialBan»CAN»ALL»CPA»PRO»X»NA»SS»NA»FBCTCBenefitinMotion»PRC1SX</v></cell><cell r="AH259"><v>224104077</v></cell><cell r="AI259" t="str"><v>AzurePlatform_FBCTCBenefitinMotion_USA_10s_CAN_PLATFORM_English_Trial_Standard_STAN_TIN_T3_1</v></cell><cell r="AJ259"><v>103032775</v></cell></row><row r="260"><cell r="D260" t="str"><v>43353224104929</v></cell><cell r="E260" t="str"><v>43353103032823PRC1SY</v></cell><cell r="F260" t="str"><v>DCM</v></cell></row><row r="260"><cell r="H260"><v>1</v></cell><cell r="I260" t="str"><v>Azure Direct</v></cell><cell r="J260" t="str"><v>Azure Direct</v></cell><cell r="K260" t="str"><v>September</v></cell><cell r="L260"><v>43358</v></cell><cell r="M260" t="str"><v>Tier 0</v></cell><cell r="N260" t="str"><v>North America</v></cell><cell r="O260" t="str"><v>United States</v></cell><cell r="P260" t="str"><v>Trial</v></cell><cell r="Q260" t="str"><v>Social</v></cell><cell r="R260" t="str"><v>Azure</v></cell><cell r="S260" t="str"><v>Apps & Infra</v></cell><cell r="T260" t="str"><v>Developers & ITI's</v></cell><cell r="U260" t="str"><v>USA-Trial-ITD-Interest Prospecting-AZR-AZR</v></cell><cell r="V260" t="str"><v>Prospecting</v></cell><cell r="W260" t="str"><v>Canvas Ad</v></cell><cell r="X260" t="str"><v>10s</v></cell><cell r="Y260" t="str"><v>Try it Now</v></cell><cell r="Z260" t="str"><v>Standard videos</v></cell><cell r="AA260"><v>43353</v></cell><cell r="AB260" t="str"><v>USA_gaPMG_AZR_AZR_Q1_19_Direct-Social</v></cell><cell r="AC260"><v>21358715</v></cell><cell r="AD260"><v>720197</v></cell><cell r="AE260" t="str"><v>Facebook</v></cell><cell r="AF260"><v>3654128</v></cell><cell r="AG260" t="str"><v>FACEBOOK»USA-Trial-ITD-Interest Prospecting-AZR-AZR»1 x 1»SocialBan»CAN»ALL»CPA»PRO»X»NA»SS»NA»FBCTCBrandinMotion»PRC1SY</v></cell><cell r="AH260"><v>224104929</v></cell><cell r="AI260" t="str"><v>AzurePlatform_FBCTCBrandinMotion_USA_10s_CAN_PLATFORM_English_Trial_Standard_STAN_TIN_T2_2</v></cell><cell r="AJ260"><v>103032823</v></cell></row><row r="261"><cell r="D261" t="str"><v>43353226617664</v></cell><cell r="E261" t="str"><v>43353104595739PS78JC</v></cell><cell r="F261" t="str"><v>DCM</v></cell></row><row r="261"><cell r="H261"><v>0</v></cell><cell r="I261" t="str"><v>Azure Direct</v></cell><cell r="J261" t="str"><v>Azure Direct</v></cell><cell r="K261" t="str"><v>September</v></cell><cell r="L261"><v>43358</v></cell><cell r="M261" t="str"><v>Tier 0</v></cell><cell r="N261" t="str"><v>North America</v></cell><cell r="O261" t="str"><v>United States</v></cell><cell r="P261" t="str"><v>Trial</v></cell><cell r="Q261" t="str"><v>Social</v></cell><cell r="R261" t="str"><v>Azure</v></cell><cell r="S261" t="str"><v>Apps & Infra</v></cell><cell r="T261" t="str"><v>Developers & ITI's</v></cell><cell r="U261" t="str"><v>USA-Trial-ITD-Interest Prospecting-AZR-AZR</v></cell><cell r="V261" t="str"><v>Prospecting</v></cell><cell r="W261" t="str"><v>Canvas Ad</v></cell><cell r="X261" t="str"><v>1200x1200</v></cell><cell r="Y261" t="str"><v>Learn More</v></cell><cell r="Z261" t="str"><v>Animated Banner</v></cell><cell r="AA261"><v>43353</v></cell><cell r="AB261" t="str"><v>USA_gaPMG_AZR_AZR_Q1_19_Direct-Social</v></cell><cell r="AC261"><v>21358715</v></cell><cell r="AD261"><v>720197</v></cell><cell r="AE261" t="str"><v>Facebook</v></cell><cell r="AF261"><v>3654128</v></cell><cell r="AG261" t="str"><v>FACEBOOK»USA-Trial-ITD-Interest Prospecting-AZR-AZR»1 x 1»SocialBan»CAN»ALL»CPA»PRO»X»NA»SS»NA»FreeAcctDeveloperFB-AnimatedData-Ch4»PS78JC</v></cell><cell r="AH261"><v>226617664</v></cell><cell r="AI261" t="str"><v>AZR_FreeAcctDeveloperFB-AnimatedData-Ch4_USA_1200x1200_CAN_Direct_EN_Trial_Standard_ANI_LEA_T4_1</v></cell><cell r="AJ261"><v>104595739</v></cell></row><row r="262"><cell r="D262" t="str"><v>43353226617664</v></cell><cell r="E262" t="str"><v>43353104671403PS78JC</v></cell><cell r="F262" t="str"><v>DCM</v></cell></row><row r="262"><cell r="H262"><v>2</v></cell><cell r="I262" t="str"><v>Azure Direct</v></cell><cell r="J262" t="str"><v>Azure Direct</v></cell><cell r="K262" t="str"><v>September</v></cell><cell r="L262"><v>43358</v></cell><cell r="M262" t="str"><v>Tier 0</v></cell><cell r="N262" t="str"><v>North America</v></cell><cell r="O262" t="str"><v>United States</v></cell><cell r="P262" t="str"><v>Trial</v></cell><cell r="Q262" t="str"><v>Social</v></cell><cell r="R262" t="str"><v>Azure</v></cell><cell r="S262" t="str"><v>Apps & Infra</v></cell><cell r="T262" t="str"><v>Developers & ITI's</v></cell><cell r="U262" t="str"><v>USA-Trial-ITD-Interest Prospecting-AZR-AZR</v></cell><cell r="V262" t="str"><v>Prospecting</v></cell><cell r="W262" t="str"><v>Canvas Ad</v></cell><cell r="X262" t="str"><v>1200x1200</v></cell><cell r="Y262" t="str"><v>Learn More</v></cell><cell r="Z262" t="str"><v>Animated Banner</v></cell><cell r="AA262"><v>43353</v></cell><cell r="AB262" t="str"><v>USA_gaPMG_AZR_AZR_Q1_19_Direct-Social</v></cell><cell r="AC262"><v>21358715</v></cell><cell r="AD262"><v>720197</v></cell><cell r="AE262" t="str"><v>Facebook</v></cell><cell r="AF262"><v>3654128</v></cell><cell r="AG262" t="str"><v>FACEBOOK»USA-Trial-ITD-Interest Prospecting-AZR-AZR»1 x 1»SocialBan»CAN»ALL»CPA»PRO»X»NA»SS»NA»FreeAcctDeveloperFB-AnimatedData-Ch4»PS78JC</v></cell><cell r="AH262"><v>226617664</v></cell><cell r="AI262" t="str"><v>AZR_FreeAcctDeveloperFB-AnimatedData-Ch4_USA_1200x1200_CAN_Direct_EN_Trial_Standard_ANI_LEA_T4_2</v></cell><cell r="AJ262"><v>104671403</v></cell></row><row r="263"><cell r="D263" t="str"><v>43353226783992</v></cell><cell r="E263" t="str"><v>43353104592523PS78J5</v></cell><cell r="F263" t="str"><v>DCM</v></cell></row><row r="263"><cell r="H263"><v>7</v></cell><cell r="I263" t="str"><v>Azure Direct</v></cell><cell r="J263" t="str"><v>Azure Direct</v></cell><cell r="K263" t="str"><v>September</v></cell><cell r="L263"><v>43358</v></cell><cell r="M263" t="str"><v>Tier 0</v></cell><cell r="N263" t="str"><v>North America</v></cell><cell r="O263" t="str"><v>United States</v></cell><cell r="P263" t="str"><v>Trial</v></cell><cell r="Q263" t="str"><v>Social</v></cell><cell r="R263" t="str"><v>Azure</v></cell><cell r="S263" t="str"><v>Apps & Infra</v></cell><cell r="T263" t="str"><v>Developers & ITI's</v></cell><cell r="U263" t="str"><v>USA-Trial-ITD-Interest Prospecting-AZR-AZR</v></cell><cell r="V263" t="str"><v>Prospecting</v></cell><cell r="W263" t="str"><v>Canvas Ad</v></cell><cell r="X263" t="str"><v>1200x1200</v></cell><cell r="Y263" t="str"><v>Learn More</v></cell><cell r="Z263" t="str"><v>Animated Banner</v></cell><cell r="AA263"><v>43353</v></cell><cell r="AB263" t="str"><v>USA_gaPMG_AZR_AZR_Q1_19_Direct-Social</v></cell><cell r="AC263"><v>21358715</v></cell><cell r="AD263"><v>720197</v></cell><cell r="AE263" t="str"><v>Facebook</v></cell><cell r="AF263"><v>3654128</v></cell><cell r="AG263" t="str"><v>FACEBOOK»USA-Trial-ITD-Interest Prospecting-AZR-AZR»1 x 1»SocialBan»CAN»ALL»CPA»PRO»X»NA»SS»NA»FreeAcctDeveloperFB-AnimatedGeneric-Ch1»PS78J5</v></cell><cell r="AH263"><v>226783992</v></cell><cell r="AI263" t="str"><v>AZR_FreeAcctDeveloperFB-AnimatedGeneric-Ch1_USA_1200x1200_CAN_Direct_EN_Trial_Standard_ANI_LEA_T1_2</v></cell><cell r="AJ263"><v>104592523</v></cell></row><row r="264"><cell r="D264" t="str"><v>43353226783992</v></cell><cell r="E264" t="str"><v>43353104595766PS78J5</v></cell><cell r="F264" t="str"><v>DCM</v></cell></row><row r="264"><cell r="H264"><v>0</v></cell><cell r="I264" t="str"><v>Azure Direct</v></cell><cell r="J264" t="str"><v>Azure Direct</v></cell><cell r="K264" t="str"><v>September</v></cell><cell r="L264"><v>43358</v></cell><cell r="M264" t="str"><v>Tier 0</v></cell><cell r="N264" t="str"><v>North America</v></cell><cell r="O264" t="str"><v>United States</v></cell><cell r="P264" t="str"><v>Trial</v></cell><cell r="Q264" t="str"><v>Social</v></cell><cell r="R264" t="str"><v>Azure</v></cell><cell r="S264" t="str"><v>Apps & Infra</v></cell><cell r="T264" t="str"><v>Developers & ITI's</v></cell><cell r="U264" t="str"><v>USA-Trial-ITD-Interest Prospecting-AZR-AZR</v></cell><cell r="V264" t="str"><v>Prospecting</v></cell><cell r="W264" t="str"><v>Canvas Ad</v></cell><cell r="X264" t="str"><v>1200x1200</v></cell><cell r="Y264" t="str"><v>Learn More</v></cell><cell r="Z264" t="str"><v>Animated Banner</v></cell><cell r="AA264"><v>43353</v></cell><cell r="AB264" t="str"><v>USA_gaPMG_AZR_AZR_Q1_19_Direct-Social</v></cell><cell r="AC264"><v>21358715</v></cell><cell r="AD264"><v>720197</v></cell><cell r="AE264" t="str"><v>Facebook</v></cell><cell r="AF264"><v>3654128</v></cell><cell r="AG264" t="str"><v>FACEBOOK»USA-Trial-ITD-Interest Prospecting-AZR-AZR»1 x 1»SocialBan»CAN»ALL»CPA»PRO»X»NA»SS»NA»FreeAcctDeveloperFB-AnimatedGeneric-Ch1»PS78J5</v></cell><cell r="AH264"><v>226783992</v></cell><cell r="AI264" t="str"><v>AZR_FreeAcctDeveloperFB-AnimatedGeneric-Ch1_USA_1200x1200_CAN_Direct_EN_Trial_Standard_ANI_LEA_T1_1</v></cell><cell r="AJ264"><v>104595766</v></cell></row><row r="265"><cell r="D265" t="str"><v>43353225283843</v></cell><cell r="E265" t="str"><v>43353103773180PRSGV0</v></cell><cell r="F265" t="str"><v>DCM</v></cell></row><row r="265"><cell r="H265"><v>8</v></cell><cell r="I265" t="str"><v>Azure Direct</v></cell><cell r="J265" t="str"><v>Azure Direct</v></cell><cell r="K265" t="str"><v>September</v></cell><cell r="L265"><v>43358</v></cell><cell r="M265" t="str"><v>Tier 0</v></cell><cell r="N265" t="str"><v>North America</v></cell><cell r="O265" t="str"><v>United States</v></cell><cell r="P265" t="str"><v>Trial</v></cell><cell r="Q265" t="str"><v>Social</v></cell><cell r="R265" t="str"><v>Azure</v></cell><cell r="S265" t="str"><v>Apps & Infra</v></cell><cell r="T265" t="str"><v>Developers & ITI's</v></cell><cell r="U265" t="str"><v>USA-Trial-ITD-Interest Prospecting-AZR-AZR</v></cell><cell r="V265" t="str"><v>Prospecting</v></cell><cell r="W265" t="str"><v>Canvas Collection Ad</v></cell><cell r="X265" t="str"><v>1200x182</v></cell><cell r="Y265" t="str"><v>Try it Now</v></cell><cell r="Z265" t="str"><v>Not Applicable</v></cell><cell r="AA265"><v>43353</v></cell><cell r="AB265" t="str"><v>USA_gaPMG_AZR_AZR_Q1_19_Direct-Social</v></cell><cell r="AC265"><v>21358715</v></cell><cell r="AD265"><v>720197</v></cell><cell r="AE265" t="str"><v>Facebook</v></cell><cell r="AF265"><v>3654128</v></cell><cell r="AG265" t="str"><v>FACEBOOK»USA-Trial-ITD-Interest Prospecting-AZR-AZR»1 x 1»SocialBan»CCA»ALL»CPA»PRO»X»NA»SS»NA»Azure Developer Facebook Collections»PRSGV0</v></cell><cell r="AH265"><v>225283843</v></cell><cell r="AI265" t="str"><v>AZR_FBCollections-SmartDataTryAzureFreeCTA-Img4_USA_1200x182_SOC_Plat_EN_NA_Standard_NA_TIN_T1_4</v></cell><cell r="AJ265"><v>103773180</v></cell></row><row r="266"><cell r="D266" t="str"><v>43353225283843</v></cell><cell r="E266" t="str"><v>43353103874423PRSGV0</v></cell><cell r="F266" t="str"><v>DCM</v></cell></row><row r="266"><cell r="H266"><v>5</v></cell><cell r="I266" t="str"><v>Azure Direct</v></cell><cell r="J266" t="str"><v>Azure Direct</v></cell><cell r="K266" t="str"><v>September</v></cell><cell r="L266"><v>43358</v></cell><cell r="M266" t="str"><v>Tier 0</v></cell><cell r="N266" t="str"><v>North America</v></cell><cell r="O266" t="str"><v>United States</v></cell><cell r="P266" t="str"><v>Trial</v></cell><cell r="Q266" t="str"><v>Social</v></cell><cell r="R266" t="str"><v>Azure</v></cell><cell r="S266" t="str"><v>Apps & Infra</v></cell><cell r="T266" t="str"><v>Developers & ITI's</v></cell><cell r="U266" t="str"><v>USA-Trial-ITD-Interest Prospecting-AZR-AZR</v></cell><cell r="V266" t="str"><v>Prospecting</v></cell><cell r="W266" t="str"><v>Canvas Collection Ad</v></cell><cell r="X266" t="str"><v>1200x182</v></cell><cell r="Y266" t="str"><v>Try it Now</v></cell><cell r="Z266" t="str"><v>Not Applicable</v></cell><cell r="AA266"><v>43353</v></cell><cell r="AB266" t="str"><v>USA_gaPMG_AZR_AZR_Q1_19_Direct-Social</v></cell><cell r="AC266"><v>21358715</v></cell><cell r="AD266"><v>720197</v></cell><cell r="AE266" t="str"><v>Facebook</v></cell><cell r="AF266"><v>3654128</v></cell><cell r="AG266" t="str"><v>FACEBOOK»USA-Trial-ITD-Interest Prospecting-AZR-AZR»1 x 1»SocialBan»CCA»ALL»CPA»PRO»X»NA»SS»NA»Azure Developer Facebook Collections»PRSGV0</v></cell><cell r="AH266"><v>225283843</v></cell><cell r="AI266" t="str"><v>AZR_FBCollections-TryAzureFreeCTA-Img1_USA_1200x182_SOC_Plat_EN_NA_Standard_NA_TIN_T1_1</v></cell><cell r="AJ266"><v>103874423</v></cell></row><row r="267"><cell r="D267" t="str"><v>43353224104932</v></cell><cell r="E267" t="str"><v>43353103176851PRC1SZ</v></cell><cell r="F267" t="str"><v>DCM</v></cell></row><row r="267"><cell r="H267"><v>9</v></cell><cell r="I267" t="str"><v>Azure Direct</v></cell><cell r="J267" t="str"><v>Azure Direct</v></cell><cell r="K267" t="str"><v>September</v></cell><cell r="L267"><v>43358</v></cell><cell r="M267" t="str"><v>Tier 0</v></cell><cell r="N267" t="str"><v>North America</v></cell><cell r="O267" t="str"><v>United States</v></cell><cell r="P267" t="str"><v>Trial</v></cell><cell r="Q267" t="str"><v>Social</v></cell><cell r="R267" t="str"><v>Azure</v></cell><cell r="S267" t="str"><v>Apps & Infra</v></cell><cell r="T267" t="str"><v>Developers & ITI's</v></cell><cell r="U267" t="str"><v>USA-Trial-ITD-Interest Prospecting-AZR-AZR</v></cell><cell r="V267" t="str"><v>Prospecting</v></cell><cell r="W267" t="str"><v>Link Ad</v></cell><cell r="X267" t="str"><v>1200x1200</v></cell><cell r="Y267" t="str"><v>Learn More</v></cell><cell r="Z267" t="str"><v>Animated Banner</v></cell><cell r="AA267"><v>43353</v></cell><cell r="AB267" t="str"><v>USA_gaPMG_AZR_AZR_Q1_19_Direct-Social</v></cell><cell r="AC267"><v>21358715</v></cell><cell r="AD267"><v>720197</v></cell><cell r="AE267" t="str"><v>Facebook</v></cell><cell r="AF267"><v>3654128</v></cell><cell r="AG267" t="str"><v>FACEBOOK»USA-Trial-ITD-Interest Prospecting-AZR-AZR»1 x 1»SocialBan»LIA»ALL»CPA»PRO»X»NA»SS»NA»FreeAcctDeveloperFB-AnimatedGeneric-Ch1»PRC1SZ</v></cell><cell r="AH267"><v>224104932</v></cell><cell r="AI267" t="str"><v>AZR_FreeAcctDeveloperFB-AnimatedGeneric-Ch1_USA_1200x1200_CAN_Direct_English_Trial_Standard_ANI_LEA_T1_2</v></cell><cell r="AJ267"><v>103176851</v></cell></row><row r="268"><cell r="D268" t="str"><v>43353223862885</v></cell><cell r="E268" t="str"><v>43353103048329PRC1T1</v></cell><cell r="F268" t="str"><v>DCM</v></cell></row><row r="268"><cell r="H268"><v>1</v></cell><cell r="I268" t="str"><v>Azure Direct</v></cell><cell r="J268" t="str"><v>Azure Direct</v></cell><cell r="K268" t="str"><v>September</v></cell><cell r="L268"><v>43358</v></cell><cell r="M268" t="str"><v>Tier 0</v></cell><cell r="N268" t="str"><v>North America</v></cell><cell r="O268" t="str"><v>United States</v></cell><cell r="P268" t="str"><v>Trial</v></cell><cell r="Q268" t="str"><v>Social</v></cell><cell r="R268" t="str"><v>Azure</v></cell><cell r="S268" t="str"><v>Apps & Infra</v></cell><cell r="T268" t="str"><v>Developers & ITI's</v></cell><cell r="U268" t="str"><v>USA-Trial-ITD-Interest Prospecting-AZR-AZR</v></cell><cell r="V268" t="str"><v>Prospecting</v></cell><cell r="W268" t="str"><v>Link Ad</v></cell><cell r="X268" t="str"><v>1200x1200</v></cell><cell r="Y268" t="str"><v>Learn More</v></cell><cell r="Z268" t="str"><v>Animated Banner</v></cell><cell r="AA268"><v>43353</v></cell><cell r="AB268" t="str"><v>USA_gaPMG_AZR_AZR_Q1_19_Direct-Social</v></cell><cell r="AC268"><v>21358715</v></cell><cell r="AD268"><v>720197</v></cell><cell r="AE268" t="str"><v>Facebook</v></cell><cell r="AF268"><v>3654128</v></cell><cell r="AG268" t="str"><v>FACEBOOK»USA-Trial-ITD-Interest Prospecting-AZR-AZR»1 x 1»SocialBan»LIA»ALL»CPA»PRO»X»NA»SS»NA»FreeAcctDeveloperFB-AnimatedOpenSource-Ch2»PRC1T1</v></cell><cell r="AH268"><v>223862885</v></cell><cell r="AI268" t="str"><v>AZR_FreeAcctDeveloperFB-AnimatedOpenSource-Ch2_USA_1200x1200_CAN_Direct_English_Trial_Standard_ANI_LEA_T2_1</v></cell><cell r="AJ268"><v>103048329</v></cell></row><row r="269"><cell r="D269" t="str"><v>43353224104914</v></cell><cell r="E269" t="str"><v>43353103176830PRC1T4</v></cell><cell r="F269" t="str"><v>DCM</v></cell></row><row r="269"><cell r="H269"><v>6</v></cell><cell r="I269" t="str"><v>Azure Direct</v></cell><cell r="J269" t="str"><v>Azure Direct</v></cell><cell r="K269" t="str"><v>September</v></cell><cell r="L269"><v>43358</v></cell><cell r="M269" t="str"><v>Tier 0</v></cell><cell r="N269" t="str"><v>North America</v></cell><cell r="O269" t="str"><v>United States</v></cell><cell r="P269" t="str"><v>Trial</v></cell><cell r="Q269" t="str"><v>Social</v></cell><cell r="R269" t="str"><v>Azure</v></cell><cell r="S269" t="str"><v>Apps & Infra</v></cell><cell r="T269" t="str"><v>Developers & ITI's</v></cell><cell r="U269" t="str"><v>USA-Trial-ITD-Interest Prospecting-AZR-AZR</v></cell><cell r="V269" t="str"><v>Prospecting</v></cell><cell r="W269" t="str"><v>Link Ad</v></cell><cell r="X269" t="str"><v>1200x1200</v></cell><cell r="Y269" t="str"><v>Learn More</v></cell><cell r="Z269" t="str"><v>Animated Banner</v></cell><cell r="AA269"><v>43353</v></cell><cell r="AB269" t="str"><v>USA_gaPMG_AZR_AZR_Q1_19_Direct-Social</v></cell><cell r="AC269"><v>21358715</v></cell><cell r="AD269"><v>720197</v></cell><cell r="AE269" t="str"><v>Facebook</v></cell><cell r="AF269"><v>3654128</v></cell><cell r="AG269" t="str"><v>FACEBOOK»USA-Trial-ITD-Interest Prospecting-AZR-AZR»1 x 1»SocialBan»LIA»ALL»CPA»PRO»X»NA»SS»NA»FreeAcctITProFB-AnimatedSecureMngd-Ch1»PRC1T4</v></cell><cell r="AH269"><v>224104914</v></cell><cell r="AI269" t="str"><v>AZR_FreeAcctITProFB-AnimatedSecureMngd-Ch1_USA_1200x1200_CAN_Direct_English_Trial_Standard_ANI_LEA_T1_1</v></cell><cell r="AJ269"><v>103176830</v></cell></row><row r="270"><cell r="D270" t="str"><v>43353226030086</v></cell><cell r="E270" t="str"><v>43353104593426PRX721</v></cell><cell r="F270" t="str"><v>DCM</v></cell></row><row r="270"><cell r="H270"><v>3</v></cell><cell r="I270" t="str"><v>Azure Direct</v></cell><cell r="J270" t="str"><v>Azure Direct</v></cell><cell r="K270" t="str"><v>September</v></cell><cell r="L270"><v>43358</v></cell><cell r="M270" t="str"><v>Tier 0</v></cell><cell r="N270" t="str"><v>North America</v></cell><cell r="O270" t="str"><v>United States</v></cell><cell r="P270" t="str"><v>Trial</v></cell><cell r="Q270" t="str"><v>Social</v></cell><cell r="R270" t="str"><v>Azure</v></cell><cell r="S270" t="str"><v>Apps & Infra</v></cell><cell r="T270" t="str"><v>Developers & ITI's</v></cell><cell r="U270" t="str"><v>USA-Trial-ITD-Lead Completes Lookalike-AZR-AZR</v></cell><cell r="V270" t="str"><v>Lookalike Targeting</v></cell><cell r="W270" t="str"><v>Canvas Ad</v></cell><cell r="X270" t="str"><v>10s</v></cell><cell r="Y270" t="str"><v>Try it Now</v></cell><cell r="Z270" t="str"><v>Standard videos</v></cell><cell r="AA270"><v>43353</v></cell><cell r="AB270" t="str"><v>USA_gaPMG_AZR_AZR_Q1_19_Direct-Social</v></cell><cell r="AC270"><v>21358715</v></cell><cell r="AD270"><v>720197</v></cell><cell r="AE270" t="str"><v>Facebook</v></cell><cell r="AF270"><v>3654128</v></cell><cell r="AG270" t="str"><v>FACEBOOK»USA-Trial-ITD-Lead Completes Lookalike-AZR-AZR»1 x 1»SocialBan»CAN»ALL»CPA»LAL»X»NA»SS»NA»FBCTCBasicMotion»PRX721</v></cell><cell r="AH270"><v>226030086</v></cell><cell r="AI270" t="str"><v>AZR_FBCTCBasicMotion_USA_10s_CAN_PLATFORM_English_Trial_Standard_STAN_TIN_T1_2</v></cell><cell r="AJ270"><v>104593426</v></cell></row><row r="271"><cell r="D271" t="str"><v>43353225841990</v></cell><cell r="E271" t="str"><v>43353104593408PRX722</v></cell><cell r="F271" t="str"><v>DCM</v></cell></row><row r="271"><cell r="H271"><v>0</v></cell><cell r="I271" t="str"><v>Azure Direct</v></cell><cell r="J271" t="str"><v>Azure Direct</v></cell><cell r="K271" t="str"><v>September</v></cell><cell r="L271"><v>43358</v></cell><cell r="M271" t="str"><v>Tier 0</v></cell><cell r="N271" t="str"><v>North America</v></cell><cell r="O271" t="str"><v>United States</v></cell><cell r="P271" t="str"><v>Trial</v></cell><cell r="Q271" t="str"><v>Social</v></cell><cell r="R271" t="str"><v>Azure</v></cell><cell r="S271" t="str"><v>Apps & Infra</v></cell><cell r="T271" t="str"><v>Developers & ITI's</v></cell><cell r="U271" t="str"><v>USA-Trial-ITD-Lead Completes Lookalike-AZR-AZR</v></cell><cell r="V271" t="str"><v>Lookalike Targeting</v></cell><cell r="W271" t="str"><v>Canvas Ad</v></cell><cell r="X271" t="str"><v>10s</v></cell><cell r="Y271" t="str"><v>Try it Now</v></cell><cell r="Z271" t="str"><v>Standard videos</v></cell><cell r="AA271"><v>43353</v></cell><cell r="AB271" t="str"><v>USA_gaPMG_AZR_AZR_Q1_19_Direct-Social</v></cell><cell r="AC271"><v>21358715</v></cell><cell r="AD271"><v>720197</v></cell><cell r="AE271" t="str"><v>Facebook</v></cell><cell r="AF271"><v>3654128</v></cell><cell r="AG271" t="str"><v>FACEBOOK»USA-Trial-ITD-Lead Completes Lookalike-AZR-AZR»1 x 1»SocialBan»CAN»ALL»CPA»LAL»X»NA»SS»NA»FBCTCBenefit2inMotion»PRX722</v></cell><cell r="AH271"><v>225841990</v></cell><cell r="AI271" t="str"><v>AZR_FBCTCBenefit2inMotion_USA_10s_CAN_PLATFORM_English_Trial_Standard_STAN_TIN_T4_1</v></cell><cell r="AJ271"><v>104593408</v></cell></row><row r="272"><cell r="D272" t="str"><v>43353225841993</v></cell><cell r="E272" t="str"><v>43353104593411PRX723</v></cell><cell r="F272" t="str"><v>DCM</v></cell></row><row r="272"><cell r="H272"><v>0</v></cell><cell r="I272" t="str"><v>Azure Direct</v></cell><cell r="J272" t="str"><v>Azure Direct</v></cell><cell r="K272" t="str"><v>September</v></cell><cell r="L272"><v>43358</v></cell><cell r="M272" t="str"><v>Tier 0</v></cell><cell r="N272" t="str"><v>North America</v></cell><cell r="O272" t="str"><v>United States</v></cell><cell r="P272" t="str"><v>Trial</v></cell><cell r="Q272" t="str"><v>Social</v></cell><cell r="R272" t="str"><v>Azure</v></cell><cell r="S272" t="str"><v>Apps & Infra</v></cell><cell r="T272" t="str"><v>Developers & ITI's</v></cell><cell r="U272" t="str"><v>USA-Trial-ITD-Lead Completes Lookalike-AZR-AZR</v></cell><cell r="V272" t="str"><v>Lookalike Targeting</v></cell><cell r="W272" t="str"><v>Canvas Ad</v></cell><cell r="X272" t="str"><v>10s</v></cell><cell r="Y272" t="str"><v>Try it Now</v></cell><cell r="Z272" t="str"><v>Standard videos</v></cell><cell r="AA272"><v>43353</v></cell><cell r="AB272" t="str"><v>USA_gaPMG_AZR_AZR_Q1_19_Direct-Social</v></cell><cell r="AC272"><v>21358715</v></cell><cell r="AD272"><v>720197</v></cell><cell r="AE272" t="str"><v>Facebook</v></cell><cell r="AF272"><v>3654128</v></cell><cell r="AG272" t="str"><v>FACEBOOK»USA-Trial-ITD-Lead Completes Lookalike-AZR-AZR»1 x 1»SocialBan»CAN»ALL»CPA»LAL»X»NA»SS»NA»FBCTCBenefitinMotion»PRX723</v></cell><cell r="AH272"><v>225841993</v></cell><cell r="AI272" t="str"><v>AZR_FBCTCBenefitinMotion_USA_10s_CAN_PLATFORM_English_Trial_Standard_STAN_TIN_T3_1</v></cell><cell r="AJ272"><v>104593411</v></cell></row><row r="273"><cell r="D273" t="str"><v>43353225841993</v></cell><cell r="E273" t="str"><v>43353104595718PRX723</v></cell><cell r="F273" t="str"><v>DCM</v></cell></row><row r="273"><cell r="H273"><v>32</v></cell><cell r="I273" t="str"><v>Azure Direct</v></cell><cell r="J273" t="str"><v>Azure Direct</v></cell><cell r="K273" t="str"><v>September</v></cell><cell r="L273"><v>43358</v></cell><cell r="M273" t="str"><v>Tier 0</v></cell><cell r="N273" t="str"><v>North America</v></cell><cell r="O273" t="str"><v>United States</v></cell><cell r="P273" t="str"><v>Trial</v></cell><cell r="Q273" t="str"><v>Social</v></cell><cell r="R273" t="str"><v>Azure</v></cell><cell r="S273" t="str"><v>Apps & Infra</v></cell><cell r="T273" t="str"><v>Developers & ITI's</v></cell><cell r="U273" t="str"><v>USA-Trial-ITD-Lead Completes Lookalike-AZR-AZR</v></cell><cell r="V273" t="str"><v>Lookalike Targeting</v></cell><cell r="W273" t="str"><v>Canvas Ad</v></cell><cell r="X273" t="str"><v>10s</v></cell><cell r="Y273" t="str"><v>Try it Now</v></cell><cell r="Z273" t="str"><v>Standard videos</v></cell><cell r="AA273"><v>43353</v></cell><cell r="AB273" t="str"><v>USA_gaPMG_AZR_AZR_Q1_19_Direct-Social</v></cell><cell r="AC273"><v>21358715</v></cell><cell r="AD273"><v>720197</v></cell><cell r="AE273" t="str"><v>Facebook</v></cell><cell r="AF273"><v>3654128</v></cell><cell r="AG273" t="str"><v>FACEBOOK»USA-Trial-ITD-Lead Completes Lookalike-AZR-AZR»1 x 1»SocialBan»CAN»ALL»CPA»LAL»X»NA»SS»NA»FBCTCBenefitinMotion»PRX723</v></cell><cell r="AH273"><v>225841993</v></cell><cell r="AI273" t="str"><v>AZR_FBCTCBenefitinMotion_USA_10s_CAN_PLATFORM_English_Trial_Standard_STAN_TIN_T3_2</v></cell><cell r="AJ273"><v>104595718</v></cell></row><row r="274"><cell r="D274" t="str"><v>43353226028475</v></cell><cell r="E274" t="str"><v>43353104593696PRX724</v></cell><cell r="F274" t="str"><v>DCM</v></cell></row><row r="274"><cell r="H274"><v>0</v></cell><cell r="I274" t="str"><v>Azure Direct</v></cell><cell r="J274" t="str"><v>Azure Direct</v></cell><cell r="K274" t="str"><v>September</v></cell><cell r="L274"><v>43358</v></cell><cell r="M274" t="str"><v>Tier 0</v></cell><cell r="N274" t="str"><v>North America</v></cell><cell r="O274" t="str"><v>United States</v></cell><cell r="P274" t="str"><v>Trial</v></cell><cell r="Q274" t="str"><v>Social</v></cell><cell r="R274" t="str"><v>Azure</v></cell><cell r="S274" t="str"><v>Apps & Infra</v></cell><cell r="T274" t="str"><v>Developers & ITI's</v></cell><cell r="U274" t="str"><v>USA-Trial-ITD-Lead Completes Lookalike-AZR-AZR</v></cell><cell r="V274" t="str"><v>Lookalike Targeting</v></cell><cell r="W274" t="str"><v>Canvas Ad</v></cell><cell r="X274" t="str"><v>10s</v></cell><cell r="Y274" t="str"><v>Try it Now</v></cell><cell r="Z274" t="str"><v>Standard videos</v></cell><cell r="AA274"><v>43353</v></cell><cell r="AB274" t="str"><v>USA_gaPMG_AZR_AZR_Q1_19_Direct-Social</v></cell><cell r="AC274"><v>21358715</v></cell><cell r="AD274"><v>720197</v></cell><cell r="AE274" t="str"><v>Facebook</v></cell><cell r="AF274"><v>3654128</v></cell><cell r="AG274" t="str"><v>FACEBOOK»USA-Trial-ITD-Lead Completes Lookalike-AZR-AZR»1 x 1»SocialBan»CAN»ALL»CPA»LAL»X»NA»SS»NA»FBCTCBrandinMotion»PRX724</v></cell><cell r="AH274"><v>226028475</v></cell><cell r="AI274" t="str"><v>AZR_FBCTCBrandinMotion_USA_10s_CAN_PLATFORM_English_Trial_Standard_STAN_TIN_T2_1</v></cell><cell r="AJ274"><v>104593696</v></cell></row><row r="275"><cell r="D275" t="str"><v>43353226028475</v></cell><cell r="E275" t="str"><v>43353104671406PRX724</v></cell><cell r="F275" t="str"><v>DCM</v></cell></row><row r="275"><cell r="H275"><v>0</v></cell><cell r="I275" t="str"><v>Azure Direct</v></cell><cell r="J275" t="str"><v>Azure Direct</v></cell><cell r="K275" t="str"><v>September</v></cell><cell r="L275"><v>43358</v></cell><cell r="M275" t="str"><v>Tier 0</v></cell><cell r="N275" t="str"><v>North America</v></cell><cell r="O275" t="str"><v>United States</v></cell><cell r="P275" t="str"><v>Trial</v></cell><cell r="Q275" t="str"><v>Social</v></cell><cell r="R275" t="str"><v>Azure</v></cell><cell r="S275" t="str"><v>Apps & Infra</v></cell><cell r="T275" t="str"><v>Developers & ITI's</v></cell><cell r="U275" t="str"><v>USA-Trial-ITD-Lead Completes Lookalike-AZR-AZR</v></cell><cell r="V275" t="str"><v>Lookalike Targeting</v></cell><cell r="W275" t="str"><v>Canvas Ad</v></cell><cell r="X275" t="str"><v>10s</v></cell><cell r="Y275" t="str"><v>Try it Now</v></cell><cell r="Z275" t="str"><v>Standard videos</v></cell><cell r="AA275"><v>43353</v></cell><cell r="AB275" t="str"><v>USA_gaPMG_AZR_AZR_Q1_19_Direct-Social</v></cell><cell r="AC275"><v>21358715</v></cell><cell r="AD275"><v>720197</v></cell><cell r="AE275" t="str"><v>Facebook</v></cell><cell r="AF275"><v>3654128</v></cell><cell r="AG275" t="str"><v>FACEBOOK»USA-Trial-ITD-Lead Completes Lookalike-AZR-AZR»1 x 1»SocialBan»CAN»ALL»CPA»LAL»X»NA»SS»NA»FBCTCBrandinMotion»PRX724</v></cell><cell r="AH275"><v>226028475</v></cell><cell r="AI275" t="str"><v>AZR_FBCTCBrandinMotion_USA_10s_CAN_PLATFORM_English_Trial_Standard_STAN_TIN_T2_2</v></cell><cell r="AJ275"><v>104671406</v></cell></row><row r="276"><cell r="D276" t="str"><v>43353226622251</v></cell><cell r="E276" t="str"><v>43353104592523PS79FX</v></cell><cell r="F276" t="str"><v>DCM</v></cell></row><row r="276"><cell r="H276"><v>2</v></cell><cell r="I276" t="str"><v>Azure Direct</v></cell><cell r="J276" t="str"><v>Azure Direct</v></cell><cell r="K276" t="str"><v>September</v></cell><cell r="L276"><v>43358</v></cell><cell r="M276" t="str"><v>Tier 0</v></cell><cell r="N276" t="str"><v>North America</v></cell><cell r="O276" t="str"><v>United States</v></cell><cell r="P276" t="str"><v>Trial</v></cell><cell r="Q276" t="str"><v>Social</v></cell><cell r="R276" t="str"><v>Azure</v></cell><cell r="S276" t="str"><v>Apps & Infra</v></cell><cell r="T276" t="str"><v>Developers & ITI's</v></cell><cell r="U276" t="str"><v>USA-Trial-ITD-Lead Completes Lookalike-AZR-AZR</v></cell><cell r="V276" t="str"><v>Lookalike Targeting</v></cell><cell r="W276" t="str"><v>Canvas Ad</v></cell><cell r="X276" t="str"><v>1200x1200</v></cell><cell r="Y276" t="str"><v>Learn More</v></cell><cell r="Z276" t="str"><v>Animated Banner</v></cell><cell r="AA276"><v>43353</v></cell><cell r="AB276" t="str"><v>USA_gaPMG_AZR_AZR_Q1_19_Direct-Social</v></cell><cell r="AC276"><v>21358715</v></cell><cell r="AD276"><v>720197</v></cell><cell r="AE276" t="str"><v>Facebook</v></cell><cell r="AF276"><v>3654128</v></cell><cell r="AG276" t="str"><v>FACEBOOK»USA-Trial-ITD-Lead Completes Lookalike-AZR-AZR»1 x 1»SocialBan»CAN»ALL»CPA»LAL»X»NA»SS»NA»FreeAcctDeveloperFB-AnimatedGeneric-Ch1»PS79FX</v></cell><cell r="AH276"><v>226622251</v></cell><cell r="AI276" t="str"><v>AZR_FreeAcctDeveloperFB-AnimatedGeneric-Ch1_USA_1200x1200_CAN_Direct_EN_Trial_Standard_ANI_LEA_T1_2</v></cell><cell r="AJ276"><v>104592523</v></cell></row><row r="277"><cell r="D277" t="str"><v>43353226622251</v></cell><cell r="E277" t="str"><v>43353104595766PS79FX</v></cell><cell r="F277" t="str"><v>DCM</v></cell></row><row r="277"><cell r="H277"><v>0</v></cell><cell r="I277" t="str"><v>Azure Direct</v></cell><cell r="J277" t="str"><v>Azure Direct</v></cell><cell r="K277" t="str"><v>September</v></cell><cell r="L277"><v>43358</v></cell><cell r="M277" t="str"><v>Tier 0</v></cell><cell r="N277" t="str"><v>North America</v></cell><cell r="O277" t="str"><v>United States</v></cell><cell r="P277" t="str"><v>Trial</v></cell><cell r="Q277" t="str"><v>Social</v></cell><cell r="R277" t="str"><v>Azure</v></cell><cell r="S277" t="str"><v>Apps & Infra</v></cell><cell r="T277" t="str"><v>Developers & ITI's</v></cell><cell r="U277" t="str"><v>USA-Trial-ITD-Lead Completes Lookalike-AZR-AZR</v></cell><cell r="V277" t="str"><v>Lookalike Targeting</v></cell><cell r="W277" t="str"><v>Canvas Ad</v></cell><cell r="X277" t="str"><v>1200x1200</v></cell><cell r="Y277" t="str"><v>Learn More</v></cell><cell r="Z277" t="str"><v>Animated Banner</v></cell><cell r="AA277"><v>43353</v></cell><cell r="AB277" t="str"><v>USA_gaPMG_AZR_AZR_Q1_19_Direct-Social</v></cell><cell r="AC277"><v>21358715</v></cell><cell r="AD277"><v>720197</v></cell><cell r="AE277" t="str"><v>Facebook</v></cell><cell r="AF277"><v>3654128</v></cell><cell r="AG277" t="str"><v>FACEBOOK»USA-Trial-ITD-Lead Completes Lookalike-AZR-AZR»1 x 1»SocialBan»CAN»ALL»CPA»LAL»X»NA»SS»NA»FreeAcctDeveloperFB-AnimatedGeneric-Ch1»PS79FX</v></cell><cell r="AH277"><v>226622251</v></cell><cell r="AI277" t="str"><v>AZR_FreeAcctDeveloperFB-AnimatedGeneric-Ch1_USA_1200x1200_CAN_Direct_EN_Trial_Standard_ANI_LEA_T1_1</v></cell><cell r="AJ277"><v>104595766</v></cell></row><row r="278"><cell r="D278" t="str"><v>43353226539965</v></cell><cell r="E278" t="str"><v>43353104593738PS79G2</v></cell><cell r="F278" t="str"><v>DCM</v></cell></row><row r="278"><cell r="H278"><v>0</v></cell><cell r="I278" t="str"><v>Azure Direct</v></cell><cell r="J278" t="str"><v>Azure Direct</v></cell><cell r="K278" t="str"><v>September</v></cell><cell r="L278"><v>43358</v></cell><cell r="M278" t="str"><v>Tier 0</v></cell><cell r="N278" t="str"><v>North America</v></cell><cell r="O278" t="str"><v>United States</v></cell><cell r="P278" t="str"><v>Trial</v></cell><cell r="Q278" t="str"><v>Social</v></cell><cell r="R278" t="str"><v>Azure</v></cell><cell r="S278" t="str"><v>Apps & Infra</v></cell><cell r="T278" t="str"><v>Developers & ITI's</v></cell><cell r="U278" t="str"><v>USA-Trial-ITD-Lead Completes Lookalike-AZR-AZR</v></cell><cell r="V278" t="str"><v>Lookalike Targeting</v></cell><cell r="W278" t="str"><v>Canvas Ad</v></cell><cell r="X278" t="str"><v>1200x1200</v></cell><cell r="Y278" t="str"><v>Learn More</v></cell><cell r="Z278" t="str"><v>Animated Banner</v></cell><cell r="AA278"><v>43353</v></cell><cell r="AB278" t="str"><v>USA_gaPMG_AZR_AZR_Q1_19_Direct-Social</v></cell><cell r="AC278"><v>21358715</v></cell><cell r="AD278"><v>720197</v></cell><cell r="AE278" t="str"><v>Facebook</v></cell><cell r="AF278"><v>3654128</v></cell><cell r="AG278" t="str"><v>FACEBOOK»USA-Trial-ITD-Lead Completes Lookalike-AZR-AZR»1 x 1»SocialBan»CAN»ALL»CPA»LAL»X»NA»SS»NA»FreeAcctITProFB-AnimatedSecureMngd-Ch1»PS79G2</v></cell><cell r="AH278"><v>226539965</v></cell><cell r="AI278" t="str"><v>AZR_FreeAcctITProFB-AnimatedSecureMngd-Ch1_USA_1200x1200_CAN_Direct_EN_Trial_Standard_ANI_LEA_T1_1</v></cell><cell r="AJ278"><v>104593738</v></cell></row><row r="279"><cell r="D279" t="str"><v>43353225761645</v></cell><cell r="E279" t="str"><v>43353104593720PRX71S</v></cell><cell r="F279" t="str"><v>DCM</v></cell></row><row r="279"><cell r="H279"><v>2</v></cell><cell r="I279" t="str"><v>Azure Direct</v></cell><cell r="J279" t="str"><v>Azure Direct</v></cell><cell r="K279" t="str"><v>September</v></cell><cell r="L279"><v>43358</v></cell><cell r="M279" t="str"><v>Tier 0</v></cell><cell r="N279" t="str"><v>North America</v></cell><cell r="O279" t="str"><v>United States</v></cell><cell r="P279" t="str"><v>Trial</v></cell><cell r="Q279" t="str"><v>Social</v></cell><cell r="R279" t="str"><v>Azure</v></cell><cell r="S279" t="str"><v>Apps & Infra</v></cell><cell r="T279" t="str"><v>Developers & ITI's</v></cell><cell r="U279" t="str"><v>USA-Trial-ITD-Lead Completes Lookalike-AZR-AZR</v></cell><cell r="V279" t="str"><v>Lookalike Targeting</v></cell><cell r="W279" t="str"><v>Canvas Collection Ad</v></cell><cell r="X279" t="str"><v>1200x182</v></cell><cell r="Y279" t="str"><v>Try it Now</v></cell><cell r="Z279" t="str"><v>Not Applicable</v></cell><cell r="AA279"><v>43353</v></cell><cell r="AB279" t="str"><v>USA_gaPMG_AZR_AZR_Q1_19_Direct-Social</v></cell><cell r="AC279"><v>21358715</v></cell><cell r="AD279"><v>720197</v></cell><cell r="AE279" t="str"><v>Facebook</v></cell><cell r="AF279"><v>3654128</v></cell><cell r="AG279" t="str"><v>FACEBOOK»USA-Trial-ITD-Lead Completes Lookalike-AZR-AZR»1 x 1»SocialBan»CCA»ALL»CPA»LAL»X»NA»SS»NA»Azure Developer Facebook Collections»PRX71S</v></cell><cell r="AH279"><v>225761645</v></cell><cell r="AI279" t="str"><v>AZR_FBCollections-AITryAzureFreeCTA-Img2_USA_1200x182_CCA_Plat_EN_NA_Standard_NA_TIN_T1_2</v></cell><cell r="AJ279"><v>104593720</v></cell></row><row r="280"><cell r="D280" t="str"><v>43353225761645</v></cell><cell r="E280" t="str"><v>43353104595724PRX71S</v></cell><cell r="F280" t="str"><v>DCM</v></cell></row><row r="280"><cell r="H280"><v>1</v></cell><cell r="I280" t="str"><v>Azure Direct</v></cell><cell r="J280" t="str"><v>Azure Direct</v></cell><cell r="K280" t="str"><v>September</v></cell><cell r="L280"><v>43358</v></cell><cell r="M280" t="str"><v>Tier 0</v></cell><cell r="N280" t="str"><v>North America</v></cell><cell r="O280" t="str"><v>United States</v></cell><cell r="P280" t="str"><v>Trial</v></cell><cell r="Q280" t="str"><v>Social</v></cell><cell r="R280" t="str"><v>Azure</v></cell><cell r="S280" t="str"><v>Apps & Infra</v></cell><cell r="T280" t="str"><v>Developers & ITI's</v></cell><cell r="U280" t="str"><v>USA-Trial-ITD-Lead Completes Lookalike-AZR-AZR</v></cell><cell r="V280" t="str"><v>Lookalike Targeting</v></cell><cell r="W280" t="str"><v>Canvas Collection Ad</v></cell><cell r="X280" t="str"><v>1200x182</v></cell><cell r="Y280" t="str"><v>Try it Now</v></cell><cell r="Z280" t="str"><v>Not Applicable</v></cell><cell r="AA280"><v>43353</v></cell><cell r="AB280" t="str"><v>USA_gaPMG_AZR_AZR_Q1_19_Direct-Social</v></cell><cell r="AC280"><v>21358715</v></cell><cell r="AD280"><v>720197</v></cell><cell r="AE280" t="str"><v>Facebook</v></cell><cell r="AF280"><v>3654128</v></cell><cell r="AG280" t="str"><v>FACEBOOK»USA-Trial-ITD-Lead Completes Lookalike-AZR-AZR»1 x 1»SocialBan»CCA»ALL»CPA»LAL»X»NA»SS»NA»Azure Developer Facebook Collections»PRX71S</v></cell><cell r="AH280"><v>225761645</v></cell><cell r="AI280" t="str"><v>AZR_FBCollections-OSSTryAzureFreeCTA-Img3_USA_1200x182_CCA_Plat_EN_NA_Standard_NA_TIN_T1_3</v></cell><cell r="AJ280"><v>104595724</v></cell></row><row r="281"><cell r="D281" t="str"><v>43353225761645</v></cell><cell r="E281" t="str"><v>43353104595751PRX71S</v></cell><cell r="F281" t="str"><v>DCM</v></cell></row><row r="281"><cell r="H281"><v>3</v></cell><cell r="I281" t="str"><v>Azure Direct</v></cell><cell r="J281" t="str"><v>Azure Direct</v></cell><cell r="K281" t="str"><v>September</v></cell><cell r="L281"><v>43358</v></cell><cell r="M281" t="str"><v>Tier 0</v></cell><cell r="N281" t="str"><v>North America</v></cell><cell r="O281" t="str"><v>United States</v></cell><cell r="P281" t="str"><v>Trial</v></cell><cell r="Q281" t="str"><v>Social</v></cell><cell r="R281" t="str"><v>Azure</v></cell><cell r="S281" t="str"><v>Apps & Infra</v></cell><cell r="T281" t="str"><v>Developers & ITI's</v></cell><cell r="U281" t="str"><v>USA-Trial-ITD-Lead Completes Lookalike-AZR-AZR</v></cell><cell r="V281" t="str"><v>Lookalike Targeting</v></cell><cell r="W281" t="str"><v>Canvas Collection Ad</v></cell><cell r="X281" t="str"><v>1200x182</v></cell><cell r="Y281" t="str"><v>Try it Now</v></cell><cell r="Z281" t="str"><v>Not Applicable</v></cell><cell r="AA281"><v>43353</v></cell><cell r="AB281" t="str"><v>USA_gaPMG_AZR_AZR_Q1_19_Direct-Social</v></cell><cell r="AC281"><v>21358715</v></cell><cell r="AD281"><v>720197</v></cell><cell r="AE281" t="str"><v>Facebook</v></cell><cell r="AF281"><v>3654128</v></cell><cell r="AG281" t="str"><v>FACEBOOK»USA-Trial-ITD-Lead Completes Lookalike-AZR-AZR»1 x 1»SocialBan»CCA»ALL»CPA»LAL»X»NA»SS»NA»Azure Developer Facebook Collections»PRX71S</v></cell><cell r="AH281"><v>225761645</v></cell><cell r="AI281" t="str"><v>AZR_FBCollections-SmartDataTryAzureFreeCTA-Img4_USA_1200x182_CCA_Plat_EN_NA_Standard_NA_TIN_T1_4</v></cell><cell r="AJ281"><v>104595751</v></cell></row><row r="282"><cell r="D282" t="str"><v>43353225761645</v></cell><cell r="E282" t="str"><v>43353104593432PRX71S</v></cell><cell r="F282" t="str"><v>DCM</v></cell></row><row r="282"><cell r="H282"><v>1</v></cell><cell r="I282" t="str"><v>Azure Direct</v></cell><cell r="J282" t="str"><v>Azure Direct</v></cell><cell r="K282" t="str"><v>September</v></cell><cell r="L282"><v>43358</v></cell><cell r="M282" t="str"><v>Tier 0</v></cell><cell r="N282" t="str"><v>North America</v></cell><cell r="O282" t="str"><v>United States</v></cell><cell r="P282" t="str"><v>Trial</v></cell><cell r="Q282" t="str"><v>Social</v></cell><cell r="R282" t="str"><v>Azure</v></cell><cell r="S282" t="str"><v>Apps & Infra</v></cell><cell r="T282" t="str"><v>Developers & ITI's</v></cell><cell r="U282" t="str"><v>USA-Trial-ITD-Lead Completes Lookalike-AZR-AZR</v></cell><cell r="V282" t="str"><v>Lookalike Targeting</v></cell><cell r="W282" t="str"><v>Canvas Collection Ad</v></cell><cell r="X282" t="str"><v>1200x182</v></cell><cell r="Y282" t="str"><v>Try it Now</v></cell><cell r="Z282" t="str"><v>Not Applicable</v></cell><cell r="AA282"><v>43353</v></cell><cell r="AB282" t="str"><v>USA_gaPMG_AZR_AZR_Q1_19_Direct-Social</v></cell><cell r="AC282"><v>21358715</v></cell><cell r="AD282"><v>720197</v></cell><cell r="AE282" t="str"><v>Facebook</v></cell><cell r="AF282"><v>3654128</v></cell><cell r="AG282" t="str"><v>FACEBOOK»USA-Trial-ITD-Lead Completes Lookalike-AZR-AZR»1 x 1»SocialBan»CCA»ALL»CPA»LAL»X»NA»SS»NA»Azure Developer Facebook Collections»PRX71S</v></cell><cell r="AH282"><v>225761645</v></cell><cell r="AI282" t="str"><v>AZR_FBCollections-TryAzureFreeCTA-Img1_USA_1200x182_CCA_Plat_EN_NA_Standard_NA_TIN_T1_1</v></cell><cell r="AJ282"><v>104593432</v></cell></row><row r="283"><cell r="D283" t="str"><v>43353224104896</v></cell><cell r="E283" t="str"><v>43353103043835PRC1RR</v></cell><cell r="F283" t="str"><v>DCM</v></cell></row><row r="283"><cell r="H283"><v>0</v></cell><cell r="I283" t="str"><v>Azure Direct</v></cell><cell r="J283" t="str"><v>Azure Direct</v></cell><cell r="K283" t="str"><v>September</v></cell><cell r="L283"><v>43358</v></cell><cell r="M283" t="str"><v>Tier 0</v></cell><cell r="N283" t="str"><v>North America</v></cell><cell r="O283" t="str"><v>United States</v></cell><cell r="P283" t="str"><v>Trial</v></cell><cell r="Q283" t="str"><v>Social</v></cell><cell r="R283" t="str"><v>Azure</v></cell><cell r="S283" t="str"><v>Apps & Infra</v></cell><cell r="T283" t="str"><v>Developers & ITI's</v></cell><cell r="U283" t="str"><v>USA-Trial-ITD-Retargeting-AZR-AZR</v></cell><cell r="V283" t="str"><v>Retargeting</v></cell><cell r="W283" t="str"><v>Canvas Ad</v></cell><cell r="X283" t="str"><v>10s</v></cell><cell r="Y283" t="str"><v>Try it Now</v></cell><cell r="Z283" t="str"><v>Standard videos</v></cell><cell r="AA283"><v>43353</v></cell><cell r="AB283" t="str"><v>USA_gaPMG_AZR_AZR_Q1_19_Direct-Social</v></cell><cell r="AC283"><v>21358715</v></cell><cell r="AD283"><v>720197</v></cell><cell r="AE283" t="str"><v>Facebook</v></cell><cell r="AF283"><v>3654128</v></cell><cell r="AG283" t="str"><v>FACEBOOK»USA-Trial-ITD-Retargeting-AZR-AZR»1 x 1»SocialBan»CAN»ALL»CPA»RT»X»NA»SS»NA»FBCTCBenefit2inMotion»PRC1RR</v></cell><cell r="AH283"><v>224104896</v></cell><cell r="AI283" t="str"><v>AzurePlatform_FBCTCBenefit2inMotion_USA_10s_CAN_PLATFORM_English_Trial_Standard_STAN_TIN_T4_1</v></cell><cell r="AJ283"><v>103043835</v></cell></row><row r="284"><cell r="D284" t="str"><v>43353224104896</v></cell><cell r="E284" t="str"><v>43353103178645PRC1RR</v></cell><cell r="F284" t="str"><v>DCM</v></cell></row><row r="284"><cell r="H284"><v>0</v></cell><cell r="I284" t="str"><v>Azure Direct</v></cell><cell r="J284" t="str"><v>Azure Direct</v></cell><cell r="K284" t="str"><v>September</v></cell><cell r="L284"><v>43358</v></cell><cell r="M284" t="str"><v>Tier 0</v></cell><cell r="N284" t="str"><v>North America</v></cell><cell r="O284" t="str"><v>United States</v></cell><cell r="P284" t="str"><v>Trial</v></cell><cell r="Q284" t="str"><v>Social</v></cell><cell r="R284" t="str"><v>Azure</v></cell><cell r="S284" t="str"><v>Apps & Infra</v></cell><cell r="T284" t="str"><v>Developers & ITI's</v></cell><cell r="U284" t="str"><v>USA-Trial-ITD-Retargeting-AZR-AZR</v></cell><cell r="V284" t="str"><v>Retargeting</v></cell><cell r="W284" t="str"><v>Canvas Ad</v></cell><cell r="X284" t="str"><v>10s</v></cell><cell r="Y284" t="str"><v>Try it Now</v></cell><cell r="Z284" t="str"><v>Standard videos</v></cell><cell r="AA284"><v>43353</v></cell><cell r="AB284" t="str"><v>USA_gaPMG_AZR_AZR_Q1_19_Direct-Social</v></cell><cell r="AC284"><v>21358715</v></cell><cell r="AD284"><v>720197</v></cell><cell r="AE284" t="str"><v>Facebook</v></cell><cell r="AF284"><v>3654128</v></cell><cell r="AG284" t="str"><v>FACEBOOK»USA-Trial-ITD-Retargeting-AZR-AZR»1 x 1»SocialBan»CAN»ALL»CPA»RT»X»NA»SS»NA»FBCTCBenefit2inMotion»PRC1RR</v></cell><cell r="AH284"><v>224104896</v></cell><cell r="AI284" t="str"><v>AzurePlatform_FBCTCBenefit2inMotion_USA_10s_CAN_PLATFORM_English_Trial_Standard_STAN_TIN_T4_2</v></cell><cell r="AJ284"><v>103178645</v></cell></row><row r="285"><cell r="D285" t="str"><v>43353223862756</v></cell><cell r="E285" t="str"><v>43353103180592PRC1RW</v></cell><cell r="F285" t="str"><v>DCM</v></cell></row><row r="285"><cell r="H285"><v>10</v></cell><cell r="I285" t="str"><v>Azure Direct</v></cell><cell r="J285" t="str"><v>Azure Direct</v></cell><cell r="K285" t="str"><v>September</v></cell><cell r="L285"><v>43358</v></cell><cell r="M285" t="str"><v>Tier 0</v></cell><cell r="N285" t="str"><v>North America</v></cell><cell r="O285" t="str"><v>United States</v></cell><cell r="P285" t="str"><v>Trial</v></cell><cell r="Q285" t="str"><v>Social</v></cell><cell r="R285" t="str"><v>Azure</v></cell><cell r="S285" t="str"><v>Apps & Infra</v></cell><cell r="T285" t="str"><v>Developers & ITI's</v></cell><cell r="U285" t="str"><v>USA-Trial-ITD-Retargeting-AZR-AZR</v></cell><cell r="V285" t="str"><v>Retargeting</v></cell><cell r="W285" t="str"><v>Link Ad</v></cell><cell r="X285" t="str"><v>1200x628</v></cell><cell r="Y285" t="str"><v>Sign Up</v></cell><cell r="Z285" t="str"><v>Not Applicable</v></cell><cell r="AA285"><v>43353</v></cell><cell r="AB285" t="str"><v>USA_gaPMG_AZR_AZR_Q1_19_Direct-Social</v></cell><cell r="AC285"><v>21358715</v></cell><cell r="AD285"><v>720197</v></cell><cell r="AE285" t="str"><v>Facebook</v></cell><cell r="AF285"><v>3654128</v></cell><cell r="AG285" t="str"><v>FACEBOOK»USA-Trial-ITD-Retargeting-AZR-AZR»1 x 1»SocialBan»LIA»ALL»CPA»RT»X»NA»SS»NA»FreeAcctRetargetingFB-GlobalAlt-ChB»PRC1RW</v></cell><cell r="AH285"><v>223862756</v></cell><cell r="AI285" t="str"><v>AzurePlatform_FreeAcctRetargetingFB-GlobalAlt-ChB_USA_1200x628_CAN_PLATFORM_English_Free Account_Standard_NA_SINU_T2_1</v></cell><cell r="AJ285"><v>103180592</v></cell></row><row r="286"><cell r="D286" t="str"><v>43353223862747</v></cell><cell r="E286" t="str"><v>43353103034911PRC1RY</v></cell><cell r="F286" t="str"><v>DCM</v></cell></row><row r="286"><cell r="H286"><v>22</v></cell><cell r="I286" t="str"><v>Azure Direct</v></cell><cell r="J286" t="str"><v>Azure Direct</v></cell><cell r="K286" t="str"><v>September</v></cell><cell r="L286"><v>43358</v></cell><cell r="M286" t="str"><v>Tier 0</v></cell><cell r="N286" t="str"><v>North America</v></cell><cell r="O286" t="str"><v>United States</v></cell><cell r="P286" t="str"><v>Trial</v></cell><cell r="Q286" t="str"><v>Social</v></cell><cell r="R286" t="str"><v>Azure</v></cell><cell r="S286" t="str"><v>Apps & Infra</v></cell><cell r="T286" t="str"><v>Developers & ITI's</v></cell><cell r="U286" t="str"><v>USA-Trial-ITD-Retargeting-AZR-AZR</v></cell><cell r="V286" t="str"><v>Retargeting</v></cell><cell r="W286" t="str"><v>Link Ad</v></cell><cell r="X286" t="str"><v>1200x628</v></cell><cell r="Y286" t="str"><v>Sign Up</v></cell><cell r="Z286" t="str"><v>Not Applicable</v></cell><cell r="AA286"><v>43353</v></cell><cell r="AB286" t="str"><v>USA_gaPMG_AZR_AZR_Q1_19_Direct-Social</v></cell><cell r="AC286"><v>21358715</v></cell><cell r="AD286"><v>720197</v></cell><cell r="AE286" t="str"><v>Facebook</v></cell><cell r="AF286"><v>3654128</v></cell><cell r="AG286" t="str"><v>FACEBOOK»USA-Trial-ITD-Retargeting-AZR-AZR»1 x 1»SocialBan»LIA»ALL»CPA»RT»X»NA»SS»NA»FreeAcctRetargetingVMFB-750Hrs-ChD»PRC1RY</v></cell><cell r="AH286"><v>223862747</v></cell><cell r="AI286" t="str"><v>AzurePlatform_FreeAcctRetargetingVMFB-750Hrs-ChD_USA_1200x628_CAN_PLATFORM_English_Free Account_Standard_NA_SINU_T1_1</v></cell><cell r="AJ286"><v>103034911</v></cell></row><row r="287"><cell r="D287" t="str"><v>43353223862900</v></cell><cell r="E287" t="str"><v>43353103176812PRC1M3</v></cell><cell r="F287" t="str"><v>DCM</v></cell></row><row r="287"><cell r="H287"><v>0</v></cell><cell r="I287" t="str"><v>Azure Direct</v></cell><cell r="J287" t="str"><v>Azure Direct</v></cell><cell r="K287" t="str"><v>September</v></cell><cell r="L287"><v>43358</v></cell><cell r="M287" t="str"><v>Tier 0</v></cell><cell r="N287" t="str"><v>North America</v></cell><cell r="O287" t="str"><v>United States</v></cell><cell r="P287" t="str"><v>Trial</v></cell><cell r="Q287" t="str"><v>Social</v></cell><cell r="R287" t="str"><v>Azure</v></cell><cell r="S287" t="str"><v>Apps & Infra</v></cell><cell r="T287" t="str"><v>Developers & ITI's</v></cell><cell r="U287" t="str"><v>USA-Trial-ITD-Trial Lookalike-AZR-AZR</v></cell><cell r="V287" t="str"><v>Lookalike Targeting</v></cell><cell r="W287" t="str"><v>Canvas Ad</v></cell><cell r="X287" t="str"><v>10s</v></cell><cell r="Y287" t="str"><v>Try it Now</v></cell><cell r="Z287" t="str"><v>Standard videos</v></cell><cell r="AA287"><v>43353</v></cell><cell r="AB287" t="str"><v>USA_gaPMG_AZR_AZR_Q1_19_Direct-Social</v></cell><cell r="AC287"><v>21358715</v></cell><cell r="AD287"><v>720197</v></cell><cell r="AE287" t="str"><v>Facebook</v></cell><cell r="AF287"><v>3654128</v></cell><cell r="AG287" t="str"><v>FACEBOOK»USA-Trial-ITD-Trial Lookalike-AZR-AZR»1 x 1»SocialBan»CAN»ALL»CPA»LAL»X»NA»SS»NA»FBCTCBrandinMotion»PRC1M3</v></cell><cell r="AH287"><v>223862900</v></cell><cell r="AI287" t="str"><v>AzurePlatform_FBCTCBrandinMotion_USA_10s_CAN_PLATFORM_English_Trial_Standard_STAN_TIN_T2_1</v></cell><cell r="AJ287"><v>103176812</v></cell></row><row r="288"><cell r="D288" t="str"><v>43353225282481</v></cell><cell r="E288" t="str"><v>43353103776921PRSH0N</v></cell><cell r="F288" t="str"><v>DCM</v></cell></row><row r="288"><cell r="H288"><v>7</v></cell><cell r="I288" t="str"><v>Azure Direct</v></cell><cell r="J288" t="str"><v>Azure Direct</v></cell><cell r="K288" t="str"><v>September</v></cell><cell r="L288"><v>43358</v></cell><cell r="M288" t="str"><v>Tier 0</v></cell><cell r="N288" t="str"><v>North America</v></cell><cell r="O288" t="str"><v>United States</v></cell><cell r="P288" t="str"><v>Trial</v></cell><cell r="Q288" t="str"><v>Social</v></cell><cell r="R288" t="str"><v>Azure</v></cell><cell r="S288" t="str"><v>Apps & Infra</v></cell><cell r="T288" t="str"><v>Developers & ITI's</v></cell><cell r="U288" t="str"><v>USA-Trial-ITD-Trial Lookalike-AZR-AZR</v></cell><cell r="V288" t="str"><v>Lookalike Targeting</v></cell><cell r="W288" t="str"><v>Canvas Collection Ad</v></cell><cell r="X288" t="str"><v>1200x182</v></cell><cell r="Y288" t="str"><v>Try it Now</v></cell><cell r="Z288" t="str"><v>Not Applicable</v></cell><cell r="AA288"><v>43353</v></cell><cell r="AB288" t="str"><v>USA_gaPMG_AZR_AZR_Q1_19_Direct-Social</v></cell><cell r="AC288"><v>21358715</v></cell><cell r="AD288"><v>720197</v></cell><cell r="AE288" t="str"><v>Facebook</v></cell><cell r="AF288"><v>3654128</v></cell><cell r="AG288" t="str"><v>FACEBOOK»USA-Trial-ITD-Trial Lookalike-AZR-AZR»1 x 1»SocialBan»CCA»ALL»CPA»LAL»X»NA»SS»NA»Azure Developer Facebook Collections»PRSH0N</v></cell><cell r="AH288"><v>225282481</v></cell><cell r="AI288" t="str"><v>AZR_FBCollections-FreeStuffTryAzureFreeCTA-Img5_USA_1200x182_SOC_Plat_EN_NA_Standard_NA_TIN_T1_5</v></cell><cell r="AJ288"><v>103776921</v></cell></row><row r="289"><cell r="D289" t="str"><v>43353225282481</v></cell><cell r="E289" t="str"><v>43353103873631PRSH0N</v></cell><cell r="F289" t="str"><v>DCM</v></cell></row><row r="289"><cell r="H289"><v>2</v></cell><cell r="I289" t="str"><v>Azure Direct</v></cell><cell r="J289" t="str"><v>Azure Direct</v></cell><cell r="K289" t="str"><v>September</v></cell><cell r="L289"><v>43358</v></cell><cell r="M289" t="str"><v>Tier 0</v></cell><cell r="N289" t="str"><v>North America</v></cell><cell r="O289" t="str"><v>United States</v></cell><cell r="P289" t="str"><v>Trial</v></cell><cell r="Q289" t="str"><v>Social</v></cell><cell r="R289" t="str"><v>Azure</v></cell><cell r="S289" t="str"><v>Apps & Infra</v></cell><cell r="T289" t="str"><v>Developers & ITI's</v></cell><cell r="U289" t="str"><v>USA-Trial-ITD-Trial Lookalike-AZR-AZR</v></cell><cell r="V289" t="str"><v>Lookalike Targeting</v></cell><cell r="W289" t="str"><v>Canvas Collection Ad</v></cell><cell r="X289" t="str"><v>1200x182</v></cell><cell r="Y289" t="str"><v>Try it Now</v></cell><cell r="Z289" t="str"><v>Not Applicable</v></cell><cell r="AA289"><v>43353</v></cell><cell r="AB289" t="str"><v>USA_gaPMG_AZR_AZR_Q1_19_Direct-Social</v></cell><cell r="AC289"><v>21358715</v></cell><cell r="AD289"><v>720197</v></cell><cell r="AE289" t="str"><v>Facebook</v></cell><cell r="AF289"><v>3654128</v></cell><cell r="AG289" t="str"><v>FACEBOOK»USA-Trial-ITD-Trial Lookalike-AZR-AZR»1 x 1»SocialBan»CCA»ALL»CPA»LAL»X»NA»SS»NA»Azure Developer Facebook Collections»PRSH0N</v></cell><cell r="AH289"><v>225282481</v></cell><cell r="AI289" t="str"><v>AZR_FBCollections-OSSTryAzureFreeCTA-Img3_USA_1200x182_SOC_Plat_EN_NA_Standard_NA_TIN_T1_3</v></cell><cell r="AJ289"><v>103873631</v></cell></row><row r="290"><cell r="D290" t="str"><v>43353225282481</v></cell><cell r="E290" t="str"><v>43353103773180PRSH0N</v></cell><cell r="F290" t="str"><v>DCM</v></cell></row><row r="290"><cell r="H290"><v>6</v></cell><cell r="I290" t="str"><v>Azure Direct</v></cell><cell r="J290" t="str"><v>Azure Direct</v></cell><cell r="K290" t="str"><v>September</v></cell><cell r="L290"><v>43358</v></cell><cell r="M290" t="str"><v>Tier 0</v></cell><cell r="N290" t="str"><v>North America</v></cell><cell r="O290" t="str"><v>United States</v></cell><cell r="P290" t="str"><v>Trial</v></cell><cell r="Q290" t="str"><v>Social</v></cell><cell r="R290" t="str"><v>Azure</v></cell><cell r="S290" t="str"><v>Apps & Infra</v></cell><cell r="T290" t="str"><v>Developers & ITI's</v></cell><cell r="U290" t="str"><v>USA-Trial-ITD-Trial Lookalike-AZR-AZR</v></cell><cell r="V290" t="str"><v>Lookalike Targeting</v></cell><cell r="W290" t="str"><v>Canvas Collection Ad</v></cell><cell r="X290" t="str"><v>1200x182</v></cell><cell r="Y290" t="str"><v>Try it Now</v></cell><cell r="Z290" t="str"><v>Not Applicable</v></cell><cell r="AA290"><v>43353</v></cell><cell r="AB290" t="str"><v>USA_gaPMG_AZR_AZR_Q1_19_Direct-Social</v></cell><cell r="AC290"><v>21358715</v></cell><cell r="AD290"><v>720197</v></cell><cell r="AE290" t="str"><v>Facebook</v></cell><cell r="AF290"><v>3654128</v></cell><cell r="AG290" t="str"><v>FACEBOOK»USA-Trial-ITD-Trial Lookalike-AZR-AZR»1 x 1»SocialBan»CCA»ALL»CPA»LAL»X»NA»SS»NA»Azure Developer Facebook Collections»PRSH0N</v></cell><cell r="AH290"><v>225282481</v></cell><cell r="AI290" t="str"><v>AZR_FBCollections-SmartDataTryAzureFreeCTA-Img4_USA_1200x182_SOC_Plat_EN_NA_Standard_NA_TIN_T1_4</v></cell><cell r="AJ290"><v>103773180</v></cell></row><row r="291"><cell r="D291" t="str"><v>43353225282481</v></cell><cell r="E291" t="str"><v>43353103874423PRSH0N</v></cell><cell r="F291" t="str"><v>DCM</v></cell></row><row r="291"><cell r="H291"><v>20</v></cell><cell r="I291" t="str"><v>Azure Direct</v></cell><cell r="J291" t="str"><v>Azure Direct</v></cell><cell r="K291" t="str"><v>September</v></cell><cell r="L291"><v>43358</v></cell><cell r="M291" t="str"><v>Tier 0</v></cell><cell r="N291" t="str"><v>North America</v></cell><cell r="O291" t="str"><v>United States</v></cell><cell r="P291" t="str"><v>Trial</v></cell><cell r="Q291" t="str"><v>Social</v></cell><cell r="R291" t="str"><v>Azure</v></cell><cell r="S291" t="str"><v>Apps & Infra</v></cell><cell r="T291" t="str"><v>Developers & ITI's</v></cell><cell r="U291" t="str"><v>USA-Trial-ITD-Trial Lookalike-AZR-AZR</v></cell><cell r="V291" t="str"><v>Lookalike Targeting</v></cell><cell r="W291" t="str"><v>Canvas Collection Ad</v></cell><cell r="X291" t="str"><v>1200x182</v></cell><cell r="Y291" t="str"><v>Try it Now</v></cell><cell r="Z291" t="str"><v>Not Applicable</v></cell><cell r="AA291"><v>43353</v></cell><cell r="AB291" t="str"><v>USA_gaPMG_AZR_AZR_Q1_19_Direct-Social</v></cell><cell r="AC291"><v>21358715</v></cell><cell r="AD291"><v>720197</v></cell><cell r="AE291" t="str"><v>Facebook</v></cell><cell r="AF291"><v>3654128</v></cell><cell r="AG291" t="str"><v>FACEBOOK»USA-Trial-ITD-Trial Lookalike-AZR-AZR»1 x 1»SocialBan»CCA»ALL»CPA»LAL»X»NA»SS»NA»Azure Developer Facebook Collections»PRSH0N</v></cell><cell r="AH291"><v>225282481</v></cell><cell r="AI291" t="str"><v>AZR_FBCollections-TryAzureFreeCTA-Img1_USA_1200x182_SOC_Plat_EN_NA_Standard_NA_TIN_T1_1</v></cell><cell r="AJ291"><v>103874423</v></cell></row><row r="292"><cell r="D292" t="str"><v>43353225282481</v></cell><cell r="E292" t="str"><v>43353103773177PRSH0N</v></cell><cell r="F292" t="str"><v>DCM</v></cell></row><row r="292"><cell r="H292"><v>0</v></cell><cell r="I292" t="str"><v>Azure Direct</v></cell><cell r="J292" t="str"><v>Azure Direct</v></cell><cell r="K292" t="str"><v>September</v></cell><cell r="L292"><v>43358</v></cell><cell r="M292" t="str"><v>Tier 0</v></cell><cell r="N292" t="str"><v>North America</v></cell><cell r="O292" t="str"><v>United States</v></cell><cell r="P292" t="str"><v>Trial</v></cell><cell r="Q292" t="str"><v>Social</v></cell><cell r="R292" t="str"><v>Azure</v></cell><cell r="S292" t="str"><v>Apps & Infra</v></cell><cell r="T292" t="str"><v>Developers & ITI's</v></cell><cell r="U292" t="str"><v>USA-Trial-ITD-Trial Lookalike-AZR-AZR</v></cell><cell r="V292" t="str"><v>Lookalike Targeting</v></cell><cell r="W292" t="str"><v>Canvas Collection Ad</v></cell><cell r="X292" t="str"><v>1200x182</v></cell><cell r="Y292" t="str"><v>Try it Now</v></cell><cell r="Z292" t="str"><v>Not Applicable</v></cell><cell r="AA292"><v>43353</v></cell><cell r="AB292" t="str"><v>USA_gaPMG_AZR_AZR_Q1_19_Direct-Social</v></cell><cell r="AC292"><v>21358715</v></cell><cell r="AD292"><v>720197</v></cell><cell r="AE292" t="str"><v>Facebook</v></cell><cell r="AF292"><v>3654128</v></cell><cell r="AG292" t="str"><v>FACEBOOK»USA-Trial-ITD-Trial Lookalike-AZR-AZR»1 x 1»SocialBan»CCA»ALL»CPA»LAL»X»NA»SS»NA»Azure Developer Facebook Collections»PRSH0N</v></cell><cell r="AH292"><v>225282481</v></cell><cell r="AI292" t="str"><v>AZR_FBCollections-AITryAzureFreeCTA-Img2_USA_1200x182_SOC_Plat_EN_NA_Standard_NA_TIN_T1_2</v></cell><cell r="AJ292"><v>103773177</v></cell></row><row r="293"><cell r="D293" t="str"><v>43353223862933</v></cell><cell r="E293" t="str"><v>43353103037935PRC1M8</v></cell><cell r="F293" t="str"><v>DCM</v></cell></row><row r="293"><cell r="H293"><v>0</v></cell><cell r="I293" t="str"><v>Azure Direct</v></cell><cell r="J293" t="str"><v>Azure Direct</v></cell><cell r="K293" t="str"><v>September</v></cell><cell r="L293"><v>43358</v></cell><cell r="M293" t="str"><v>Tier 0</v></cell><cell r="N293" t="str"><v>North America</v></cell><cell r="O293" t="str"><v>United States</v></cell><cell r="P293" t="str"><v>Trial</v></cell><cell r="Q293" t="str"><v>Social</v></cell><cell r="R293" t="str"><v>Azure</v></cell><cell r="S293" t="str"><v>Apps & Infra</v></cell><cell r="T293" t="str"><v>Developers & ITI's</v></cell><cell r="U293" t="str"><v>USA-Trial-ITD-Trial Lookalike-AZR-AZR</v></cell><cell r="V293" t="str"><v>Lookalike Targeting</v></cell><cell r="W293" t="str"><v>Link Ad</v></cell><cell r="X293" t="str"><v>1200x1200</v></cell><cell r="Y293" t="str"><v>Learn More</v></cell><cell r="Z293" t="str"><v>Animated Banner</v></cell><cell r="AA293"><v>43353</v></cell><cell r="AB293" t="str"><v>USA_gaPMG_AZR_AZR_Q1_19_Direct-Social</v></cell><cell r="AC293"><v>21358715</v></cell><cell r="AD293"><v>720197</v></cell><cell r="AE293" t="str"><v>Facebook</v></cell><cell r="AF293"><v>3654128</v></cell><cell r="AG293" t="str"><v>FACEBOOK»USA-Trial-ITD-Trial Lookalike-AZR-AZR»1 x 1»SocialBan»LIA»ALL»CPA»LAL»X»NA»SS»NA»FreeAcctDeveloperFB-AnimatedData-Ch4»PRC1M8</v></cell><cell r="AH293"><v>223862933</v></cell><cell r="AI293" t="str"><v>AZR_FreeAcctDeveloperFB-AnimatedData-Ch4_USA_1200x1200_CAN_Direct_English_Trial_Standard_ANI_LEA_T4_2</v></cell><cell r="AJ293"><v>103037935</v></cell></row><row r="294"><cell r="D294" t="str"><v>43353223935664</v></cell><cell r="E294" t="str"><v>43353103043823PRC1Q0</v></cell><cell r="F294" t="str"><v>DCM</v></cell></row><row r="294"><cell r="H294"><v>0</v></cell><cell r="I294" t="str"><v>Azure Direct</v></cell><cell r="J294" t="str"><v>Azure Direct</v></cell><cell r="K294" t="str"><v>September</v></cell><cell r="L294"><v>43358</v></cell><cell r="M294" t="str"><v>Tier 0</v></cell><cell r="N294" t="str"><v>North America</v></cell><cell r="O294" t="str"><v>United States</v></cell><cell r="P294" t="str"><v>Trial</v></cell><cell r="Q294" t="str"><v>Social</v></cell><cell r="R294" t="str"><v>Azure</v></cell><cell r="S294" t="str"><v>Apps & Infra</v></cell><cell r="T294" t="str"><v>Developers & ITI's</v></cell><cell r="U294" t="str"><v>USA-Trial-ITD-Trial PayGo Lookalike-AZR-AZR</v></cell><cell r="V294" t="str"><v>Lookalike Targeting</v></cell><cell r="W294" t="str"><v>Canvas Ad</v></cell><cell r="X294" t="str"><v>10s</v></cell><cell r="Y294" t="str"><v>Try it Now</v></cell><cell r="Z294" t="str"><v>Standard videos</v></cell><cell r="AA294"><v>43353</v></cell><cell r="AB294" t="str"><v>USA_gaPMG_AZR_AZR_Q1_19_Direct-Social</v></cell><cell r="AC294"><v>21358715</v></cell><cell r="AD294"><v>720197</v></cell><cell r="AE294" t="str"><v>Facebook</v></cell><cell r="AF294"><v>3654128</v></cell><cell r="AG294" t="str"><v>FACEBOOK»USA-Trial-ITD-Trial PayGo Lookalike-AZR-AZR»1 x 1»SocialBan»CAN»ALL»CPA»LAL»X»NA»SS»NA»FBCTCBasicMotion»PRC1Q0</v></cell><cell r="AH294"><v>223935664</v></cell><cell r="AI294" t="str"><v>AzurePlatform_FBCTCBasicMotion_USA_10s_CAN_PLATFORM_English_Trial_Standard_STAN_TIN_T1_1</v></cell><cell r="AJ294"><v>103043823</v></cell></row><row r="295"><cell r="D295" t="str"><v>43353224104986</v></cell><cell r="E295" t="str"><v>43353103043835PRC1Q1</v></cell><cell r="F295" t="str"><v>DCM</v></cell></row><row r="295"><cell r="H295"><v>0</v></cell><cell r="I295" t="str"><v>Azure Direct</v></cell><cell r="J295" t="str"><v>Azure Direct</v></cell><cell r="K295" t="str"><v>September</v></cell><cell r="L295"><v>43358</v></cell><cell r="M295" t="str"><v>Tier 0</v></cell><cell r="N295" t="str"><v>North America</v></cell><cell r="O295" t="str"><v>United States</v></cell><cell r="P295" t="str"><v>Trial</v></cell><cell r="Q295" t="str"><v>Social</v></cell><cell r="R295" t="str"><v>Azure</v></cell><cell r="S295" t="str"><v>Apps & Infra</v></cell><cell r="T295" t="str"><v>Developers & ITI's</v></cell><cell r="U295" t="str"><v>USA-Trial-ITD-Trial PayGo Lookalike-AZR-AZR</v></cell><cell r="V295" t="str"><v>Lookalike Targeting</v></cell><cell r="W295" t="str"><v>Canvas Ad</v></cell><cell r="X295" t="str"><v>10s</v></cell><cell r="Y295" t="str"><v>Try it Now</v></cell><cell r="Z295" t="str"><v>Standard videos</v></cell><cell r="AA295"><v>43353</v></cell><cell r="AB295" t="str"><v>USA_gaPMG_AZR_AZR_Q1_19_Direct-Social</v></cell><cell r="AC295"><v>21358715</v></cell><cell r="AD295"><v>720197</v></cell><cell r="AE295" t="str"><v>Facebook</v></cell><cell r="AF295"><v>3654128</v></cell><cell r="AG295" t="str"><v>FACEBOOK»USA-Trial-ITD-Trial PayGo Lookalike-AZR-AZR»1 x 1»SocialBan»CAN»ALL»CPA»LAL»X»NA»SS»NA»FBCTCBenefit2inMotion»PRC1Q1</v></cell><cell r="AH295"><v>224104986</v></cell><cell r="AI295" t="str"><v>AzurePlatform_FBCTCBenefit2inMotion_USA_10s_CAN_PLATFORM_English_Trial_Standard_STAN_TIN_T4_1</v></cell><cell r="AJ295"><v>103043835</v></cell></row><row r="296"><cell r="D296" t="str"><v>43353224104986</v></cell><cell r="E296" t="str"><v>43353103178645PRC1Q1</v></cell><cell r="F296" t="str"><v>DCM</v></cell></row><row r="296"><cell r="H296"><v>1</v></cell><cell r="I296" t="str"><v>Azure Direct</v></cell><cell r="J296" t="str"><v>Azure Direct</v></cell><cell r="K296" t="str"><v>September</v></cell><cell r="L296"><v>43358</v></cell><cell r="M296" t="str"><v>Tier 0</v></cell><cell r="N296" t="str"><v>North America</v></cell><cell r="O296" t="str"><v>United States</v></cell><cell r="P296" t="str"><v>Trial</v></cell><cell r="Q296" t="str"><v>Social</v></cell><cell r="R296" t="str"><v>Azure</v></cell><cell r="S296" t="str"><v>Apps & Infra</v></cell><cell r="T296" t="str"><v>Developers & ITI's</v></cell><cell r="U296" t="str"><v>USA-Trial-ITD-Trial PayGo Lookalike-AZR-AZR</v></cell><cell r="V296" t="str"><v>Lookalike Targeting</v></cell><cell r="W296" t="str"><v>Canvas Ad</v></cell><cell r="X296" t="str"><v>10s</v></cell><cell r="Y296" t="str"><v>Try it Now</v></cell><cell r="Z296" t="str"><v>Standard videos</v></cell><cell r="AA296"><v>43353</v></cell><cell r="AB296" t="str"><v>USA_gaPMG_AZR_AZR_Q1_19_Direct-Social</v></cell><cell r="AC296"><v>21358715</v></cell><cell r="AD296"><v>720197</v></cell><cell r="AE296" t="str"><v>Facebook</v></cell><cell r="AF296"><v>3654128</v></cell><cell r="AG296" t="str"><v>FACEBOOK»USA-Trial-ITD-Trial PayGo Lookalike-AZR-AZR»1 x 1»SocialBan»CAN»ALL»CPA»LAL»X»NA»SS»NA»FBCTCBenefit2inMotion»PRC1Q1</v></cell><cell r="AH296"><v>224104986</v></cell><cell r="AI296" t="str"><v>AzurePlatform_FBCTCBenefit2inMotion_USA_10s_CAN_PLATFORM_English_Trial_Standard_STAN_TIN_T4_2</v></cell><cell r="AJ296"><v>103178645</v></cell></row><row r="297"><cell r="D297" t="str"><v>43353223862960</v></cell><cell r="E297" t="str"><v>43353103032775PRC1Q2</v></cell><cell r="F297" t="str"><v>DCM</v></cell></row><row r="297"><cell r="H297"><v>0</v></cell><cell r="I297" t="str"><v>Azure Direct</v></cell><cell r="J297" t="str"><v>Azure Direct</v></cell><cell r="K297" t="str"><v>September</v></cell><cell r="L297"><v>43358</v></cell><cell r="M297" t="str"><v>Tier 0</v></cell><cell r="N297" t="str"><v>North America</v></cell><cell r="O297" t="str"><v>United States</v></cell><cell r="P297" t="str"><v>Trial</v></cell><cell r="Q297" t="str"><v>Social</v></cell><cell r="R297" t="str"><v>Azure</v></cell><cell r="S297" t="str"><v>Apps & Infra</v></cell><cell r="T297" t="str"><v>Developers & ITI's</v></cell><cell r="U297" t="str"><v>USA-Trial-ITD-Trial PayGo Lookalike-AZR-AZR</v></cell><cell r="V297" t="str"><v>Lookalike Targeting</v></cell><cell r="W297" t="str"><v>Canvas Ad</v></cell><cell r="X297" t="str"><v>10s</v></cell><cell r="Y297" t="str"><v>Try it Now</v></cell><cell r="Z297" t="str"><v>Standard videos</v></cell><cell r="AA297"><v>43353</v></cell><cell r="AB297" t="str"><v>USA_gaPMG_AZR_AZR_Q1_19_Direct-Social</v></cell><cell r="AC297"><v>21358715</v></cell><cell r="AD297"><v>720197</v></cell><cell r="AE297" t="str"><v>Facebook</v></cell><cell r="AF297"><v>3654128</v></cell><cell r="AG297" t="str"><v>FACEBOOK»USA-Trial-ITD-Trial PayGo Lookalike-AZR-AZR»1 x 1»SocialBan»CAN»ALL»CPA»LAL»X»NA»SS»NA»FBCTCBenefitinMotion»PRC1Q2</v></cell><cell r="AH297"><v>223862960</v></cell><cell r="AI297" t="str"><v>AzurePlatform_FBCTCBenefitinMotion_USA_10s_CAN_PLATFORM_English_Trial_Standard_STAN_TIN_T3_1</v></cell><cell r="AJ297"><v>103032775</v></cell></row><row r="298"><cell r="D298" t="str"><v>43353223862960</v></cell><cell r="E298" t="str"><v>43353103176836PRC1Q2</v></cell><cell r="F298" t="str"><v>DCM</v></cell></row><row r="298"><cell r="H298"><v>0</v></cell><cell r="I298" t="str"><v>Azure Direct</v></cell><cell r="J298" t="str"><v>Azure Direct</v></cell><cell r="K298" t="str"><v>September</v></cell><cell r="L298"><v>43358</v></cell><cell r="M298" t="str"><v>Tier 0</v></cell><cell r="N298" t="str"><v>North America</v></cell><cell r="O298" t="str"><v>United States</v></cell><cell r="P298" t="str"><v>Trial</v></cell><cell r="Q298" t="str"><v>Social</v></cell><cell r="R298" t="str"><v>Azure</v></cell><cell r="S298" t="str"><v>Apps & Infra</v></cell><cell r="T298" t="str"><v>Developers & ITI's</v></cell><cell r="U298" t="str"><v>USA-Trial-ITD-Trial PayGo Lookalike-AZR-AZR</v></cell><cell r="V298" t="str"><v>Lookalike Targeting</v></cell><cell r="W298" t="str"><v>Canvas Ad</v></cell><cell r="X298" t="str"><v>10s</v></cell><cell r="Y298" t="str"><v>Try it Now</v></cell><cell r="Z298" t="str"><v>Standard videos</v></cell><cell r="AA298"><v>43353</v></cell><cell r="AB298" t="str"><v>USA_gaPMG_AZR_AZR_Q1_19_Direct-Social</v></cell><cell r="AC298"><v>21358715</v></cell><cell r="AD298"><v>720197</v></cell><cell r="AE298" t="str"><v>Facebook</v></cell><cell r="AF298"><v>3654128</v></cell><cell r="AG298" t="str"><v>FACEBOOK»USA-Trial-ITD-Trial PayGo Lookalike-AZR-AZR»1 x 1»SocialBan»CAN»ALL»CPA»LAL»X»NA»SS»NA»FBCTCBenefitinMotion»PRC1Q2</v></cell><cell r="AH298"><v>223862960</v></cell><cell r="AI298" t="str"><v>AzurePlatform_FBCTCBenefitinMotion_USA_10s_CAN_PLATFORM_English_Trial_Standard_STAN_TIN_T3_2</v></cell><cell r="AJ298"><v>103176836</v></cell></row><row r="299"><cell r="D299" t="str"><v>43353223935349</v></cell><cell r="E299" t="str"><v>43353103176812PRC1Q3</v></cell><cell r="F299" t="str"><v>DCM</v></cell></row><row r="299"><cell r="H299"><v>0</v></cell><cell r="I299" t="str"><v>Azure Direct</v></cell><cell r="J299" t="str"><v>Azure Direct</v></cell><cell r="K299" t="str"><v>September</v></cell><cell r="L299"><v>43358</v></cell><cell r="M299" t="str"><v>Tier 0</v></cell><cell r="N299" t="str"><v>North America</v></cell><cell r="O299" t="str"><v>United States</v></cell><cell r="P299" t="str"><v>Trial</v></cell><cell r="Q299" t="str"><v>Social</v></cell><cell r="R299" t="str"><v>Azure</v></cell><cell r="S299" t="str"><v>Apps & Infra</v></cell><cell r="T299" t="str"><v>Developers & ITI's</v></cell><cell r="U299" t="str"><v>USA-Trial-ITD-Trial PayGo Lookalike-AZR-AZR</v></cell><cell r="V299" t="str"><v>Lookalike Targeting</v></cell><cell r="W299" t="str"><v>Canvas Ad</v></cell><cell r="X299" t="str"><v>10s</v></cell><cell r="Y299" t="str"><v>Try it Now</v></cell><cell r="Z299" t="str"><v>Standard videos</v></cell><cell r="AA299"><v>43353</v></cell><cell r="AB299" t="str"><v>USA_gaPMG_AZR_AZR_Q1_19_Direct-Social</v></cell><cell r="AC299"><v>21358715</v></cell><cell r="AD299"><v>720197</v></cell><cell r="AE299" t="str"><v>Facebook</v></cell><cell r="AF299"><v>3654128</v></cell><cell r="AG299" t="str"><v>FACEBOOK»USA-Trial-ITD-Trial PayGo Lookalike-AZR-AZR»1 x 1»SocialBan»CAN»ALL»CPA»LAL»X»NA»SS»NA»FBCTCBrandinMotion»PRC1Q3</v></cell><cell r="AH299"><v>223935349</v></cell><cell r="AI299" t="str"><v>AzurePlatform_FBCTCBrandinMotion_USA_10s_CAN_PLATFORM_English_Trial_Standard_STAN_TIN_T2_1</v></cell><cell r="AJ299"><v>103176812</v></cell></row><row r="300"><cell r="D300" t="str"><v>43353223935349</v></cell><cell r="E300" t="str"><v>43353103032823PRC1Q3</v></cell><cell r="F300" t="str"><v>DCM</v></cell></row><row r="300"><cell r="H300"><v>1</v></cell><cell r="I300" t="str"><v>Azure Direct</v></cell><cell r="J300" t="str"><v>Azure Direct</v></cell><cell r="K300" t="str"><v>September</v></cell><cell r="L300"><v>43358</v></cell><cell r="M300" t="str"><v>Tier 0</v></cell><cell r="N300" t="str"><v>North America</v></cell><cell r="O300" t="str"><v>United States</v></cell><cell r="P300" t="str"><v>Trial</v></cell><cell r="Q300" t="str"><v>Social</v></cell><cell r="R300" t="str"><v>Azure</v></cell><cell r="S300" t="str"><v>Apps & Infra</v></cell><cell r="T300" t="str"><v>Developers & ITI's</v></cell><cell r="U300" t="str"><v>USA-Trial-ITD-Trial PayGo Lookalike-AZR-AZR</v></cell><cell r="V300" t="str"><v>Lookalike Targeting</v></cell><cell r="W300" t="str"><v>Canvas Ad</v></cell><cell r="X300" t="str"><v>10s</v></cell><cell r="Y300" t="str"><v>Try it Now</v></cell><cell r="Z300" t="str"><v>Standard videos</v></cell><cell r="AA300"><v>43353</v></cell><cell r="AB300" t="str"><v>USA_gaPMG_AZR_AZR_Q1_19_Direct-Social</v></cell><cell r="AC300"><v>21358715</v></cell><cell r="AD300"><v>720197</v></cell><cell r="AE300" t="str"><v>Facebook</v></cell><cell r="AF300"><v>3654128</v></cell><cell r="AG300" t="str"><v>FACEBOOK»USA-Trial-ITD-Trial PayGo Lookalike-AZR-AZR»1 x 1»SocialBan»CAN»ALL»CPA»LAL»X»NA»SS»NA»FBCTCBrandinMotion»PRC1Q3</v></cell><cell r="AH300"><v>223935349</v></cell><cell r="AI300" t="str"><v>AzurePlatform_FBCTCBrandinMotion_USA_10s_CAN_PLATFORM_English_Trial_Standard_STAN_TIN_T2_2</v></cell><cell r="AJ300"><v>103032823</v></cell></row><row r="301"><cell r="D301" t="str"><v>43353226536149</v></cell><cell r="E301" t="str"><v>43353104595739PS7B5V</v></cell><cell r="F301" t="str"><v>DCM</v></cell></row><row r="301"><cell r="H301"><v>0</v></cell><cell r="I301" t="str"><v>Azure Direct</v></cell><cell r="J301" t="str"><v>Azure Direct</v></cell><cell r="K301" t="str"><v>September</v></cell><cell r="L301"><v>43358</v></cell><cell r="M301" t="str"><v>Tier 0</v></cell><cell r="N301" t="str"><v>North America</v></cell><cell r="O301" t="str"><v>United States</v></cell><cell r="P301" t="str"><v>Trial</v></cell><cell r="Q301" t="str"><v>Social</v></cell><cell r="R301" t="str"><v>Azure</v></cell><cell r="S301" t="str"><v>Apps & Infra</v></cell><cell r="T301" t="str"><v>Developers & ITI's</v></cell><cell r="U301" t="str"><v>USA-Trial-ITD-Trial PayGo Lookalike-AZR-AZR</v></cell><cell r="V301" t="str"><v>Lookalike Targeting</v></cell><cell r="W301" t="str"><v>Canvas Ad</v></cell><cell r="X301" t="str"><v>1200x1200</v></cell><cell r="Y301" t="str"><v>Learn More</v></cell><cell r="Z301" t="str"><v>Animated Banner</v></cell><cell r="AA301"><v>43353</v></cell><cell r="AB301" t="str"><v>USA_gaPMG_AZR_AZR_Q1_19_Direct-Social</v></cell><cell r="AC301"><v>21358715</v></cell><cell r="AD301"><v>720197</v></cell><cell r="AE301" t="str"><v>Facebook</v></cell><cell r="AF301"><v>3654128</v></cell><cell r="AG301" t="str"><v>FACEBOOK»USA-Trial-ITD-Trial PayGo Lookalike-AZR-AZR»1 x 1»SocialBan»CAN»ALL»CPA»LAL»X»NA»SS»NA»FreeAcctDeveloperFB-AnimatedData-Ch4»PS7B5V</v></cell><cell r="AH301"><v>226536149</v></cell><cell r="AI301" t="str"><v>AZR_FreeAcctDeveloperFB-AnimatedData-Ch4_USA_1200x1200_CAN_Direct_EN_Trial_Standard_ANI_LEA_T4_1</v></cell><cell r="AJ301"><v>104595739</v></cell></row><row r="302"><cell r="D302" t="str"><v>43353226536149</v></cell><cell r="E302" t="str"><v>43353104671403PS7B5V</v></cell><cell r="F302" t="str"><v>DCM</v></cell></row><row r="302"><cell r="H302"><v>1</v></cell><cell r="I302" t="str"><v>Azure Direct</v></cell><cell r="J302" t="str"><v>Azure Direct</v></cell><cell r="K302" t="str"><v>September</v></cell><cell r="L302"><v>43358</v></cell><cell r="M302" t="str"><v>Tier 0</v></cell><cell r="N302" t="str"><v>North America</v></cell><cell r="O302" t="str"><v>United States</v></cell><cell r="P302" t="str"><v>Trial</v></cell><cell r="Q302" t="str"><v>Social</v></cell><cell r="R302" t="str"><v>Azure</v></cell><cell r="S302" t="str"><v>Apps & Infra</v></cell><cell r="T302" t="str"><v>Developers & ITI's</v></cell><cell r="U302" t="str"><v>USA-Trial-ITD-Trial PayGo Lookalike-AZR-AZR</v></cell><cell r="V302" t="str"><v>Lookalike Targeting</v></cell><cell r="W302" t="str"><v>Canvas Ad</v></cell><cell r="X302" t="str"><v>1200x1200</v></cell><cell r="Y302" t="str"><v>Learn More</v></cell><cell r="Z302" t="str"><v>Animated Banner</v></cell><cell r="AA302"><v>43353</v></cell><cell r="AB302" t="str"><v>USA_gaPMG_AZR_AZR_Q1_19_Direct-Social</v></cell><cell r="AC302"><v>21358715</v></cell><cell r="AD302"><v>720197</v></cell><cell r="AE302" t="str"><v>Facebook</v></cell><cell r="AF302"><v>3654128</v></cell><cell r="AG302" t="str"><v>FACEBOOK»USA-Trial-ITD-Trial PayGo Lookalike-AZR-AZR»1 x 1»SocialBan»CAN»ALL»CPA»LAL»X»NA»SS»NA»FreeAcctDeveloperFB-AnimatedData-Ch4»PS7B5V</v></cell><cell r="AH302"><v>226536149</v></cell><cell r="AI302" t="str"><v>AZR_FreeAcctDeveloperFB-AnimatedData-Ch4_USA_1200x1200_CAN_Direct_EN_Trial_Standard_ANI_LEA_T4_2</v></cell><cell r="AJ302"><v>104671403</v></cell></row><row r="303"><cell r="D303" t="str"><v>43353226617679</v></cell><cell r="E303" t="str"><v>43353104671427PS7B5R</v></cell><cell r="F303" t="str"><v>DCM</v></cell></row><row r="303"><cell r="H303"><v>0</v></cell><cell r="I303" t="str"><v>Azure Direct</v></cell><cell r="J303" t="str"><v>Azure Direct</v></cell><cell r="K303" t="str"><v>September</v></cell><cell r="L303"><v>43358</v></cell><cell r="M303" t="str"><v>Tier 0</v></cell><cell r="N303" t="str"><v>North America</v></cell><cell r="O303" t="str"><v>United States</v></cell><cell r="P303" t="str"><v>Trial</v></cell><cell r="Q303" t="str"><v>Social</v></cell><cell r="R303" t="str"><v>Azure</v></cell><cell r="S303" t="str"><v>Apps & Infra</v></cell><cell r="T303" t="str"><v>Developers & ITI's</v></cell><cell r="U303" t="str"><v>USA-Trial-ITD-Trial PayGo Lookalike-AZR-AZR</v></cell><cell r="V303" t="str"><v>Lookalike Targeting</v></cell><cell r="W303" t="str"><v>Canvas Ad</v></cell><cell r="X303" t="str"><v>1200x1200</v></cell><cell r="Y303" t="str"><v>Learn More</v></cell><cell r="Z303" t="str"><v>Animated Banner</v></cell><cell r="AA303"><v>43353</v></cell><cell r="AB303" t="str"><v>USA_gaPMG_AZR_AZR_Q1_19_Direct-Social</v></cell><cell r="AC303"><v>21358715</v></cell><cell r="AD303"><v>720197</v></cell><cell r="AE303" t="str"><v>Facebook</v></cell><cell r="AF303"><v>3654128</v></cell><cell r="AG303" t="str"><v>FACEBOOK»USA-Trial-ITD-Trial PayGo Lookalike-AZR-AZR»1 x 1»SocialBan»CAN»ALL»CPA»LAL»X»NA»SS»NA»FreeAcctDeveloperFB-AnimatedOpenSource-Ch2»PS7B5R</v></cell><cell r="AH303"><v>226617679</v></cell><cell r="AI303" t="str"><v>AZR_FreeAcctDeveloperFB-AnimatedOpenSource-Ch2_USA_1200x1200_CAN_Direct_EN_Trial_Standard_ANI_LEA_T2_1</v></cell><cell r="AJ303"><v>104671427</v></cell></row><row r="304"><cell r="D304" t="str"><v>43353224104092</v></cell><cell r="E304" t="str"><v>43353103176851PRC1Q5</v></cell><cell r="F304" t="str"><v>DCM</v></cell></row><row r="304"><cell r="H304"><v>20</v></cell><cell r="I304" t="str"><v>Azure Direct</v></cell><cell r="J304" t="str"><v>Azure Direct</v></cell><cell r="K304" t="str"><v>September</v></cell><cell r="L304"><v>43358</v></cell><cell r="M304" t="str"><v>Tier 0</v></cell><cell r="N304" t="str"><v>North America</v></cell><cell r="O304" t="str"><v>United States</v></cell><cell r="P304" t="str"><v>Trial</v></cell><cell r="Q304" t="str"><v>Social</v></cell><cell r="R304" t="str"><v>Azure</v></cell><cell r="S304" t="str"><v>Apps & Infra</v></cell><cell r="T304" t="str"><v>Developers & ITI's</v></cell><cell r="U304" t="str"><v>USA-Trial-ITD-Trial PayGo Lookalike-AZR-AZR</v></cell><cell r="V304" t="str"><v>Lookalike Targeting</v></cell><cell r="W304" t="str"><v>Link Ad</v></cell><cell r="X304" t="str"><v>1200x1200</v></cell><cell r="Y304" t="str"><v>Learn More</v></cell><cell r="Z304" t="str"><v>Animated Banner</v></cell><cell r="AA304"><v>43353</v></cell><cell r="AB304" t="str"><v>USA_gaPMG_AZR_AZR_Q1_19_Direct-Social</v></cell><cell r="AC304"><v>21358715</v></cell><cell r="AD304"><v>720197</v></cell><cell r="AE304" t="str"><v>Facebook</v></cell><cell r="AF304"><v>3654128</v></cell><cell r="AG304" t="str"><v>FACEBOOK»USA-Trial-ITD-Trial PayGo Lookalike-AZR-AZR»1 x 1»SocialBan»LIA»ALL»CPA»LAL»X»NA»SS»NA»FreeAcctDeveloperFB-AnimatedGeneric-Ch1»PRC1Q5</v></cell><cell r="AH304"><v>224104092</v></cell><cell r="AI304" t="str"><v>AZR_FreeAcctDeveloperFB-AnimatedGeneric-Ch1_USA_1200x1200_CAN_Direct_English_Trial_Standard_ANI_LEA_T1_2</v></cell><cell r="AJ304"><v>103176851</v></cell></row><row r="305"><cell r="D305" t="str"><v>43353224106129</v></cell><cell r="E305" t="str"><v>43353103176851PRC1Q6</v></cell><cell r="F305" t="str"><v>DCM</v></cell></row><row r="305"><cell r="H305"><v>20</v></cell><cell r="I305" t="str"><v>Azure Direct</v></cell><cell r="J305" t="str"><v>Azure Direct</v></cell><cell r="K305" t="str"><v>September</v></cell><cell r="L305"><v>43358</v></cell><cell r="M305" t="str"><v>Tier 0</v></cell><cell r="N305" t="str"><v>North America</v></cell><cell r="O305" t="str"><v>United States</v></cell><cell r="P305" t="str"><v>Trial</v></cell><cell r="Q305" t="str"><v>Social</v></cell><cell r="R305" t="str"><v>Azure</v></cell><cell r="S305" t="str"><v>Apps & Infra</v></cell><cell r="T305" t="str"><v>Developers & ITI's</v></cell><cell r="U305" t="str"><v>USA-Trial-ITD-Trial PayGo Lookalike-AZR-AZR</v></cell><cell r="V305" t="str"><v>Lookalike Targeting</v></cell><cell r="W305" t="str"><v>Link Ad</v></cell><cell r="X305" t="str"><v>1200x1200</v></cell><cell r="Y305" t="str"><v>Learn More</v></cell><cell r="Z305" t="str"><v>Animated Banner</v></cell><cell r="AA305"><v>43353</v></cell><cell r="AB305" t="str"><v>USA_gaPMG_AZR_AZR_Q1_19_Direct-Social</v></cell><cell r="AC305"><v>21358715</v></cell><cell r="AD305"><v>720197</v></cell><cell r="AE305" t="str"><v>Facebook</v></cell><cell r="AF305"><v>3654128</v></cell><cell r="AG305" t="str"><v>FACEBOOK»USA-Trial-ITD-Trial PayGo Lookalike-AZR-AZR»1 x 1»SocialBan»LIA»ALL»CPA»LAL»X»NA»SS»NA»FreeAcctDeveloperFB-AnimatedGeneric-Ch1»PRC1Q6</v></cell><cell r="AH305"><v>224106129</v></cell><cell r="AI305" t="str"><v>AZR_FreeAcctDeveloperFB-AnimatedGeneric-Ch1_USA_1200x1200_CAN_Direct_English_Trial_Standard_ANI_LEA_T1_2</v></cell><cell r="AJ305"><v>103176851</v></cell></row><row r="306"><cell r="D306" t="str"><v>43353226622239</v></cell><cell r="E306" t="str"><v>43353104592523PS78J6</v></cell><cell r="F306" t="str"><v>DCM</v></cell></row><row r="306"><cell r="H306"><v>1</v></cell><cell r="I306" t="str"><v>Azure Direct</v></cell><cell r="J306" t="str"><v>Azure Direct</v></cell><cell r="K306" t="str"><v>September</v></cell><cell r="L306"><v>43358</v></cell><cell r="M306" t="str"><v>Tier 0</v></cell><cell r="N306" t="str"><v>North America</v></cell><cell r="O306" t="str"><v>United States</v></cell><cell r="P306" t="str"><v>Trial</v></cell><cell r="Q306" t="str"><v>Social</v></cell><cell r="R306" t="str"><v>Azure</v></cell><cell r="S306" t="str"><v>Apps & Infra</v></cell><cell r="T306" t="str"><v>Developers & ITI's</v></cell><cell r="U306" t="str"><v>USA-Trial-ITD-Interest Prospecting-AZR-AZR</v></cell><cell r="V306" t="str"><v>Prospecting</v></cell><cell r="W306" t="str"><v>Canvas Ad</v></cell><cell r="X306" t="str"><v>1200x1200</v></cell><cell r="Y306" t="str"><v>Learn More</v></cell><cell r="Z306" t="str"><v>Animated Banner</v></cell><cell r="AA306"><v>43353</v></cell><cell r="AB306" t="str"><v>USA_gaPMG_AZR_AZR_Q1_19_Direct-Social</v></cell><cell r="AC306"><v>21358715</v></cell><cell r="AD306"><v>720197</v></cell><cell r="AE306" t="str"><v>Facebook</v></cell><cell r="AF306"><v>3654128</v></cell><cell r="AG306" t="str"><v>FACEBOOK»USA-Trial-ITD-Interest Prospecting-AZR-AZR»1 x 1»SocialBan»CAN»ALL»CPA»PRO»X»NA»SS»NA»FreeAcctDeveloperFB-AnimatedGeneric-Ch1»PS78J6</v></cell><cell r="AH306"><v>226622239</v></cell><cell r="AI306" t="str"><v>AZR_FreeAcctDeveloperFB-AnimatedGeneric-Ch1_USA_1200x1200_CAN_Direct_EN_Trial_Standard_ANI_LEA_T1_2</v></cell><cell r="AJ306"><v>104592523</v></cell></row><row r="307"><cell r="D307" t="str"><v>43353226620994</v></cell><cell r="E307" t="str"><v>43353104592535PS78JH</v></cell><cell r="F307" t="str"><v>DCM</v></cell></row><row r="307"><cell r="H307"><v>0</v></cell><cell r="I307" t="str"><v>Azure Direct</v></cell><cell r="J307" t="str"><v>Azure Direct</v></cell><cell r="K307" t="str"><v>September</v></cell><cell r="L307"><v>43358</v></cell><cell r="M307" t="str"><v>Tier 0</v></cell><cell r="N307" t="str"><v>North America</v></cell><cell r="O307" t="str"><v>United States</v></cell><cell r="P307" t="str"><v>Trial</v></cell><cell r="Q307" t="str"><v>Social</v></cell><cell r="R307" t="str"><v>Azure</v></cell><cell r="S307" t="str"><v>Apps & Infra</v></cell><cell r="T307" t="str"><v>Developers & ITI's</v></cell><cell r="U307" t="str"><v>USA-Trial-ITD-Interest Prospecting-AZR-AZR</v></cell><cell r="V307" t="str"><v>Prospecting</v></cell><cell r="W307" t="str"><v>Canvas Ad</v></cell><cell r="X307" t="str"><v>1200x1200</v></cell><cell r="Y307" t="str"><v>Learn More</v></cell><cell r="Z307" t="str"><v>Animated Banner</v></cell><cell r="AA307"><v>43353</v></cell><cell r="AB307" t="str"><v>USA_gaPMG_AZR_AZR_Q1_19_Direct-Social</v></cell><cell r="AC307"><v>21358715</v></cell><cell r="AD307"><v>720197</v></cell><cell r="AE307" t="str"><v>Facebook</v></cell><cell r="AF307"><v>3654128</v></cell><cell r="AG307" t="str"><v>FACEBOOK»USA-Trial-ITD-Interest Prospecting-AZR-AZR»1 x 1»SocialBan»CAN»ALL»CPA»PRO»X»NA»SS»NA»FreeAcctITProFB-AnimatedHybrid-Ch2»PS78JH</v></cell><cell r="AH307"><v>226620994</v></cell><cell r="AI307" t="str"><v>AZR_FreeAcctITProFB-AnimatedHybrid-Ch2_USA_1200x1200_CAN_Direct_EN_Trial_Standard_ANI_LEA_T2_1</v></cell><cell r="AJ307"><v>104592535</v></cell></row><row r="308"><cell r="D308" t="str"><v>43353226622899</v></cell><cell r="E308" t="str"><v>43353104595730PS78JJ</v></cell><cell r="F308" t="str"><v>DCM</v></cell></row><row r="308"><cell r="H308"><v>0</v></cell><cell r="I308" t="str"><v>Azure Direct</v></cell><cell r="J308" t="str"><v>Azure Direct</v></cell><cell r="K308" t="str"><v>September</v></cell><cell r="L308"><v>43358</v></cell><cell r="M308" t="str"><v>Tier 0</v></cell><cell r="N308" t="str"><v>North America</v></cell><cell r="O308" t="str"><v>United States</v></cell><cell r="P308" t="str"><v>Trial</v></cell><cell r="Q308" t="str"><v>Social</v></cell><cell r="R308" t="str"><v>Azure</v></cell><cell r="S308" t="str"><v>Apps & Infra</v></cell><cell r="T308" t="str"><v>Developers & ITI's</v></cell><cell r="U308" t="str"><v>USA-Trial-ITD-Interest Prospecting-AZR-AZR</v></cell><cell r="V308" t="str"><v>Prospecting</v></cell><cell r="W308" t="str"><v>Canvas Ad</v></cell><cell r="X308" t="str"><v>1200x1200</v></cell><cell r="Y308" t="str"><v>Learn More</v></cell><cell r="Z308" t="str"><v>Animated Banner</v></cell><cell r="AA308"><v>43353</v></cell><cell r="AB308" t="str"><v>USA_gaPMG_AZR_AZR_Q1_19_Direct-Social</v></cell><cell r="AC308"><v>21358715</v></cell><cell r="AD308"><v>720197</v></cell><cell r="AE308" t="str"><v>Facebook</v></cell><cell r="AF308"><v>3654128</v></cell><cell r="AG308" t="str"><v>FACEBOOK»USA-Trial-ITD-Interest Prospecting-AZR-AZR»1 x 1»SocialBan»CAN»ALL»CPA»PRO»X»NA»SS»NA»FreeAcctITProFB-AnimatedMigration-Ch3»PS78JJ</v></cell><cell r="AH308"><v>226622899</v></cell><cell r="AI308" t="str"><v>AZR_FreeAcctITProFB-AnimatedMigration-Ch3_USA_1200x1200_CAN_Direct_EN_Trial_Standard_ANI_LEA_T3_2</v></cell><cell r="AJ308"><v>104595730</v></cell></row><row r="309"><cell r="D309" t="str"><v>43353226535294</v></cell><cell r="E309" t="str"><v>43353104593738PS78JD</v></cell><cell r="F309" t="str"><v>DCM</v></cell></row><row r="309"><cell r="H309"><v>0</v></cell><cell r="I309" t="str"><v>Azure Direct</v></cell><cell r="J309" t="str"><v>Azure Direct</v></cell><cell r="K309" t="str"><v>September</v></cell><cell r="L309"><v>43358</v></cell><cell r="M309" t="str"><v>Tier 0</v></cell><cell r="N309" t="str"><v>North America</v></cell><cell r="O309" t="str"><v>United States</v></cell><cell r="P309" t="str"><v>Trial</v></cell><cell r="Q309" t="str"><v>Social</v></cell><cell r="R309" t="str"><v>Azure</v></cell><cell r="S309" t="str"><v>Apps & Infra</v></cell><cell r="T309" t="str"><v>Developers & ITI's</v></cell><cell r="U309" t="str"><v>USA-Trial-ITD-Interest Prospecting-AZR-AZR</v></cell><cell r="V309" t="str"><v>Prospecting</v></cell><cell r="W309" t="str"><v>Canvas Ad</v></cell><cell r="X309" t="str"><v>1200x1200</v></cell><cell r="Y309" t="str"><v>Learn More</v></cell><cell r="Z309" t="str"><v>Animated Banner</v></cell><cell r="AA309"><v>43353</v></cell><cell r="AB309" t="str"><v>USA_gaPMG_AZR_AZR_Q1_19_Direct-Social</v></cell><cell r="AC309"><v>21358715</v></cell><cell r="AD309"><v>720197</v></cell><cell r="AE309" t="str"><v>Facebook</v></cell><cell r="AF309"><v>3654128</v></cell><cell r="AG309" t="str"><v>FACEBOOK»USA-Trial-ITD-Interest Prospecting-AZR-AZR»1 x 1»SocialBan»CAN»ALL»CPA»PRO»X»NA»SS»NA»FreeAcctITProFB-AnimatedSecureMngd-Ch1»PS78JD</v></cell><cell r="AH309"><v>226535294</v></cell><cell r="AI309" t="str"><v>AZR_FreeAcctITProFB-AnimatedSecureMngd-Ch1_USA_1200x1200_CAN_Direct_EN_Trial_Standard_ANI_LEA_T1_1</v></cell><cell r="AJ309"><v>104593738</v></cell></row><row r="310"><cell r="D310" t="str"><v>43353223934056</v></cell><cell r="E310" t="str"><v>43353103176827PRC26P</v></cell><cell r="F310" t="str"><v>DCM</v></cell></row><row r="310"><cell r="H310"><v>0</v></cell><cell r="I310" t="str"><v>Azure Direct</v></cell><cell r="J310" t="str"><v>Azure Direct</v></cell><cell r="K310" t="str"><v>September</v></cell><cell r="L310"><v>43358</v></cell><cell r="M310" t="str"><v>Tier 0</v></cell><cell r="N310" t="str"><v>North America</v></cell><cell r="O310" t="str"><v>United States</v></cell><cell r="P310" t="str"><v>Trial</v></cell><cell r="Q310" t="str"><v>Social</v></cell><cell r="R310" t="str"><v>Azure</v></cell><cell r="S310" t="str"><v>Apps & Infra</v></cell><cell r="T310" t="str"><v>Developers & ITI's</v></cell><cell r="U310" t="str"><v>USA-Trial-ITD-Retargeting-AZR-AZR</v></cell><cell r="V310" t="str"><v>Retargeting</v></cell><cell r="W310" t="str"><v>Link Ad</v></cell><cell r="X310" t="str"><v>1200x1200</v></cell><cell r="Y310" t="str"><v>Learn More</v></cell><cell r="Z310" t="str"><v>Animated Banner</v></cell><cell r="AA310"><v>43353</v></cell><cell r="AB310" t="str"><v>USA_gaPMG_AZR_AZR_Q1_19_Direct-Social</v></cell><cell r="AC310"><v>21358715</v></cell><cell r="AD310"><v>720197</v></cell><cell r="AE310" t="str"><v>Facebook</v></cell><cell r="AF310"><v>3654128</v></cell><cell r="AG310" t="str"><v>FACEBOOK»USA-Trial-ITD-Retargeting-AZR-AZR»1 x 1»SocialBan»LIA»ALL»CPA»RT»X»NA»SS»NA»FreeAcctITProFB-AnimatedMigration-Ch3»PRC26P</v></cell><cell r="AH310"><v>223934056</v></cell><cell r="AI310" t="str"><v>AZR_FreeAcctITProFB-AnimatedMigration-Ch3_USA_1200x1200_CAN_Direct_English_Trial_Standard_ANI_LEA_T3_1</v></cell><cell r="AJ310"><v>103176827</v></cell></row><row r="311"><cell r="D311" t="str"><v>43353223862927</v></cell><cell r="E311" t="str"><v>43353103043835PRC1M0</v></cell><cell r="F311" t="str"><v>DCM</v></cell></row><row r="311"><cell r="H311"><v>0</v></cell><cell r="I311" t="str"><v>Azure Direct</v></cell><cell r="J311" t="str"><v>Azure Direct</v></cell><cell r="K311" t="str"><v>September</v></cell><cell r="L311"><v>43358</v></cell><cell r="M311" t="str"><v>Tier 0</v></cell><cell r="N311" t="str"><v>North America</v></cell><cell r="O311" t="str"><v>United States</v></cell><cell r="P311" t="str"><v>Trial</v></cell><cell r="Q311" t="str"><v>Social</v></cell><cell r="R311" t="str"><v>Azure</v></cell><cell r="S311" t="str"><v>Apps & Infra</v></cell><cell r="T311" t="str"><v>Developers & ITI's</v></cell><cell r="U311" t="str"><v>USA-Trial-ITD-Trial Lookalike-AZR-AZR</v></cell><cell r="V311" t="str"><v>Lookalike Targeting</v></cell><cell r="W311" t="str"><v>Canvas Ad</v></cell><cell r="X311" t="str"><v>10s</v></cell><cell r="Y311" t="str"><v>Try it Now</v></cell><cell r="Z311" t="str"><v>Standard videos</v></cell><cell r="AA311"><v>43353</v></cell><cell r="AB311" t="str"><v>USA_gaPMG_AZR_AZR_Q1_19_Direct-Social</v></cell><cell r="AC311"><v>21358715</v></cell><cell r="AD311"><v>720197</v></cell><cell r="AE311" t="str"><v>Facebook</v></cell><cell r="AF311"><v>3654128</v></cell><cell r="AG311" t="str"><v>FACEBOOK»USA-Trial-ITD-Trial Lookalike-AZR-AZR»1 x 1»SocialBan»CAN»ALL»CPA»LAL»X»NA»SS»NA»FBCTCBenefit2inMotion»PRC1M0</v></cell><cell r="AH311"><v>223862927</v></cell><cell r="AI311" t="str"><v>AzurePlatform_FBCTCBenefit2inMotion_USA_10s_CAN_PLATFORM_English_Trial_Standard_STAN_TIN_T4_1</v></cell><cell r="AJ311"><v>103043835</v></cell></row><row r="312"><cell r="D312" t="str"><v>43353223862897</v></cell><cell r="E312" t="str"><v>43353103176836PRC1M2</v></cell><cell r="F312" t="str"><v>DCM</v></cell></row><row r="312"><cell r="H312"><v>0</v></cell><cell r="I312" t="str"><v>Azure Direct</v></cell><cell r="J312" t="str"><v>Azure Direct</v></cell><cell r="K312" t="str"><v>September</v></cell><cell r="L312"><v>43358</v></cell><cell r="M312" t="str"><v>Tier 0</v></cell><cell r="N312" t="str"><v>North America</v></cell><cell r="O312" t="str"><v>United States</v></cell><cell r="P312" t="str"><v>Trial</v></cell><cell r="Q312" t="str"><v>Social</v></cell><cell r="R312" t="str"><v>Azure</v></cell><cell r="S312" t="str"><v>Apps & Infra</v></cell><cell r="T312" t="str"><v>Developers & ITI's</v></cell><cell r="U312" t="str"><v>USA-Trial-ITD-Trial Lookalike-AZR-AZR</v></cell><cell r="V312" t="str"><v>Lookalike Targeting</v></cell><cell r="W312" t="str"><v>Canvas Ad</v></cell><cell r="X312" t="str"><v>10s</v></cell><cell r="Y312" t="str"><v>Try it Now</v></cell><cell r="Z312" t="str"><v>Standard videos</v></cell><cell r="AA312"><v>43353</v></cell><cell r="AB312" t="str"><v>USA_gaPMG_AZR_AZR_Q1_19_Direct-Social</v></cell><cell r="AC312"><v>21358715</v></cell><cell r="AD312"><v>720197</v></cell><cell r="AE312" t="str"><v>Facebook</v></cell><cell r="AF312"><v>3654128</v></cell><cell r="AG312" t="str"><v>FACEBOOK»USA-Trial-ITD-Trial Lookalike-AZR-AZR»1 x 1»SocialBan»CAN»ALL»CPA»LAL»X»NA»SS»NA»FBCTCBenefitinMotion»PRC1M2</v></cell><cell r="AH312"><v>223862897</v></cell><cell r="AI312" t="str"><v>AzurePlatform_FBCTCBenefitinMotion_USA_10s_CAN_PLATFORM_English_Trial_Standard_STAN_TIN_T3_2</v></cell><cell r="AJ312"><v>103176836</v></cell></row><row r="313"><cell r="D313" t="str"><v>43353226786254</v></cell><cell r="E313" t="str"><v>43353104671427PS7B4Z</v></cell><cell r="F313" t="str"><v>DCM</v></cell></row><row r="313"><cell r="H313"><v>0</v></cell><cell r="I313" t="str"><v>Azure Direct</v></cell><cell r="J313" t="str"><v>Azure Direct</v></cell><cell r="K313" t="str"><v>September</v></cell><cell r="L313"><v>43358</v></cell><cell r="M313" t="str"><v>Tier 0</v></cell><cell r="N313" t="str"><v>North America</v></cell><cell r="O313" t="str"><v>United States</v></cell><cell r="P313" t="str"><v>Trial</v></cell><cell r="Q313" t="str"><v>Social</v></cell><cell r="R313" t="str"><v>Azure</v></cell><cell r="S313" t="str"><v>Apps & Infra</v></cell><cell r="T313" t="str"><v>Developers & ITI's</v></cell><cell r="U313" t="str"><v>USA-Trial-ITD-Trial Lookalike-AZR-AZR</v></cell><cell r="V313" t="str"><v>Lookalike Targeting</v></cell><cell r="W313" t="str"><v>Canvas Ad</v></cell><cell r="X313" t="str"><v>1200x1200</v></cell><cell r="Y313" t="str"><v>Learn More</v></cell><cell r="Z313" t="str"><v>Animated Banner</v></cell><cell r="AA313"><v>43353</v></cell><cell r="AB313" t="str"><v>USA_gaPMG_AZR_AZR_Q1_19_Direct-Social</v></cell><cell r="AC313"><v>21358715</v></cell><cell r="AD313"><v>720197</v></cell><cell r="AE313" t="str"><v>Facebook</v></cell><cell r="AF313"><v>3654128</v></cell><cell r="AG313" t="str"><v>FACEBOOK»USA-Trial-ITD-Trial Lookalike-AZR-AZR»1 x 1»SocialBan»CAN»ALL»CPA»LAL»X»NA»SS»NA»FreeAcctDeveloperFB-AnimatedOpenSource-Ch2»PS7B4Z</v></cell><cell r="AH313"><v>226786254</v></cell><cell r="AI313" t="str"><v>AZR_FreeAcctDeveloperFB-AnimatedOpenSource-Ch2_USA_1200x1200_CAN_Direct_EN_Trial_Standard_ANI_LEA_T2_1</v></cell><cell r="AJ313"><v>104671427</v></cell></row><row r="314"><cell r="D314" t="str"><v>43353226786254</v></cell><cell r="E314" t="str"><v>43353104593438PS7B4Z</v></cell><cell r="F314" t="str"><v>DCM</v></cell></row><row r="314"><cell r="H314"><v>0</v></cell><cell r="I314" t="str"><v>Azure Direct</v></cell><cell r="J314" t="str"><v>Azure Direct</v></cell><cell r="K314" t="str"><v>September</v></cell><cell r="L314"><v>43358</v></cell><cell r="M314" t="str"><v>Tier 0</v></cell><cell r="N314" t="str"><v>North America</v></cell><cell r="O314" t="str"><v>United States</v></cell><cell r="P314" t="str"><v>Trial</v></cell><cell r="Q314" t="str"><v>Social</v></cell><cell r="R314" t="str"><v>Azure</v></cell><cell r="S314" t="str"><v>Apps & Infra</v></cell><cell r="T314" t="str"><v>Developers & ITI's</v></cell><cell r="U314" t="str"><v>USA-Trial-ITD-Trial Lookalike-AZR-AZR</v></cell><cell r="V314" t="str"><v>Lookalike Targeting</v></cell><cell r="W314" t="str"><v>Canvas Ad</v></cell><cell r="X314" t="str"><v>1200x1200</v></cell><cell r="Y314" t="str"><v>Learn More</v></cell><cell r="Z314" t="str"><v>Animated Banner</v></cell><cell r="AA314"><v>43353</v></cell><cell r="AB314" t="str"><v>USA_gaPMG_AZR_AZR_Q1_19_Direct-Social</v></cell><cell r="AC314"><v>21358715</v></cell><cell r="AD314"><v>720197</v></cell><cell r="AE314" t="str"><v>Facebook</v></cell><cell r="AF314"><v>3654128</v></cell><cell r="AG314" t="str"><v>FACEBOOK»USA-Trial-ITD-Trial Lookalike-AZR-AZR»1 x 1»SocialBan»CAN»ALL»CPA»LAL»X»NA»SS»NA»FreeAcctDeveloperFB-AnimatedOpenSource-Ch2»PS7B4Z</v></cell><cell r="AH314"><v>226786254</v></cell><cell r="AI314" t="str"><v>AZR_FreeAcctDeveloperFB-AnimatedOpenSource-Ch2_USA_1200x1200_CAN_Direct_EN_Trial_Standard_ANI_LEA_T2_2</v></cell><cell r="AJ314"><v>104593438</v></cell></row><row r="315"><cell r="D315" t="str"><v>43353226621012</v></cell><cell r="E315" t="str"><v>43353104595730PS7B55</v></cell><cell r="F315" t="str"><v>DCM</v></cell></row><row r="315"><cell r="H315"><v>2</v></cell><cell r="I315" t="str"><v>Azure Direct</v></cell><cell r="J315" t="str"><v>Azure Direct</v></cell><cell r="K315" t="str"><v>September</v></cell><cell r="L315"><v>43358</v></cell><cell r="M315" t="str"><v>Tier 0</v></cell><cell r="N315" t="str"><v>North America</v></cell><cell r="O315" t="str"><v>United States</v></cell><cell r="P315" t="str"><v>Trial</v></cell><cell r="Q315" t="str"><v>Social</v></cell><cell r="R315" t="str"><v>Azure</v></cell><cell r="S315" t="str"><v>Apps & Infra</v></cell><cell r="T315" t="str"><v>Developers & ITI's</v></cell><cell r="U315" t="str"><v>USA-Trial-ITD-Trial Lookalike-AZR-AZR</v></cell><cell r="V315" t="str"><v>Lookalike Targeting</v></cell><cell r="W315" t="str"><v>Canvas Ad</v></cell><cell r="X315" t="str"><v>1200x1200</v></cell><cell r="Y315" t="str"><v>Learn More</v></cell><cell r="Z315" t="str"><v>Animated Banner</v></cell><cell r="AA315"><v>43353</v></cell><cell r="AB315" t="str"><v>USA_gaPMG_AZR_AZR_Q1_19_Direct-Social</v></cell><cell r="AC315"><v>21358715</v></cell><cell r="AD315"><v>720197</v></cell><cell r="AE315" t="str"><v>Facebook</v></cell><cell r="AF315"><v>3654128</v></cell><cell r="AG315" t="str"><v>FACEBOOK»USA-Trial-ITD-Trial Lookalike-AZR-AZR»1 x 1»SocialBan»CAN»ALL»CPA»LAL»X»NA»SS»NA»FreeAcctITProFB-AnimatedMigration-Ch3»PS7B55</v></cell><cell r="AH315"><v>226621012</v></cell><cell r="AI315" t="str"><v>AZR_FreeAcctITProFB-AnimatedMigration-Ch3_USA_1200x1200_CAN_Direct_EN_Trial_Standard_ANI_LEA_T3_2</v></cell><cell r="AJ315"><v>104595730</v></cell></row><row r="316"><cell r="D316" t="str"><v>43353226622530</v></cell><cell r="E316" t="str"><v>43353104592523PS7B5P</v></cell><cell r="F316" t="str"><v>DCM</v></cell></row><row r="316"><cell r="H316"><v>2</v></cell><cell r="I316" t="str"><v>Azure Direct</v></cell><cell r="J316" t="str"><v>Azure Direct</v></cell><cell r="K316" t="str"><v>September</v></cell><cell r="L316"><v>43358</v></cell><cell r="M316" t="str"><v>Tier 0</v></cell><cell r="N316" t="str"><v>North America</v></cell><cell r="O316" t="str"><v>United States</v></cell><cell r="P316" t="str"><v>Trial</v></cell><cell r="Q316" t="str"><v>Social</v></cell><cell r="R316" t="str"><v>Azure</v></cell><cell r="S316" t="str"><v>Apps & Infra</v></cell><cell r="T316" t="str"><v>Developers & ITI's</v></cell><cell r="U316" t="str"><v>USA-Trial-ITD-Trial PayGo Lookalike-AZR-AZR</v></cell><cell r="V316" t="str"><v>Lookalike Targeting</v></cell><cell r="W316" t="str"><v>Canvas Ad</v></cell><cell r="X316" t="str"><v>1200x1200</v></cell><cell r="Y316" t="str"><v>Learn More</v></cell><cell r="Z316" t="str"><v>Animated Banner</v></cell><cell r="AA316"><v>43353</v></cell><cell r="AB316" t="str"><v>USA_gaPMG_AZR_AZR_Q1_19_Direct-Social</v></cell><cell r="AC316"><v>21358715</v></cell><cell r="AD316"><v>720197</v></cell><cell r="AE316" t="str"><v>Facebook</v></cell><cell r="AF316"><v>3654128</v></cell><cell r="AG316" t="str"><v>FACEBOOK»USA-Trial-ITD-Trial PayGo Lookalike-AZR-AZR»1 x 1»SocialBan»CAN»ALL»CPA»LAL»X»NA»SS»NA»FreeAcctDeveloperFB-AnimatedGeneric-Ch1»PS7B5P</v></cell><cell r="AH316"><v>226622530</v></cell><cell r="AI316" t="str"><v>AZR_FreeAcctDeveloperFB-AnimatedGeneric-Ch1_USA_1200x1200_CAN_Direct_EN_Trial_Standard_ANI_LEA_T1_2</v></cell><cell r="AJ316"><v>104592523</v></cell></row><row r="317"><cell r="D317" t="str"><v>43353226784037</v></cell><cell r="E317" t="str"><v>43353104592523PS7B5Q</v></cell><cell r="F317" t="str"><v>DCM</v></cell></row><row r="317"><cell r="H317"><v>1</v></cell><cell r="I317" t="str"><v>Azure Direct</v></cell><cell r="J317" t="str"><v>Azure Direct</v></cell><cell r="K317" t="str"><v>September</v></cell><cell r="L317"><v>43358</v></cell><cell r="M317" t="str"><v>Tier 0</v></cell><cell r="N317" t="str"><v>North America</v></cell><cell r="O317" t="str"><v>United States</v></cell><cell r="P317" t="str"><v>Trial</v></cell><cell r="Q317" t="str"><v>Social</v></cell><cell r="R317" t="str"><v>Azure</v></cell><cell r="S317" t="str"><v>Apps & Infra</v></cell><cell r="T317" t="str"><v>Developers & ITI's</v></cell><cell r="U317" t="str"><v>USA-Trial-ITD-Trial PayGo Lookalike-AZR-AZR</v></cell><cell r="V317" t="str"><v>Lookalike Targeting</v></cell><cell r="W317" t="str"><v>Canvas Ad</v></cell><cell r="X317" t="str"><v>1200x1200</v></cell><cell r="Y317" t="str"><v>Learn More</v></cell><cell r="Z317" t="str"><v>Animated Banner</v></cell><cell r="AA317"><v>43353</v></cell><cell r="AB317" t="str"><v>USA_gaPMG_AZR_AZR_Q1_19_Direct-Social</v></cell><cell r="AC317"><v>21358715</v></cell><cell r="AD317"><v>720197</v></cell><cell r="AE317" t="str"><v>Facebook</v></cell><cell r="AF317"><v>3654128</v></cell><cell r="AG317" t="str"><v>FACEBOOK»USA-Trial-ITD-Trial PayGo Lookalike-AZR-AZR»1 x 1»SocialBan»CAN»ALL»CPA»LAL»X»NA»SS»NA»FreeAcctDeveloperFB-AnimatedGeneric-Ch1»PS7B5Q</v></cell><cell r="AH317"><v>226784037</v></cell><cell r="AI317" t="str"><v>AZR_FreeAcctDeveloperFB-AnimatedGeneric-Ch1_USA_1200x1200_CAN_Direct_EN_Trial_Standard_ANI_LEA_T1_2</v></cell><cell r="AJ317"><v>104592523</v></cell></row><row r="318"><cell r="D318" t="str"><v>43353226539452</v></cell><cell r="E318" t="str"><v>43353104592535PS7B5Z</v></cell><cell r="F318" t="str"><v>DCM</v></cell></row><row r="318"><cell r="H318"><v>0</v></cell><cell r="I318" t="str"><v>Azure Direct</v></cell><cell r="J318" t="str"><v>Azure Direct</v></cell><cell r="K318" t="str"><v>September</v></cell><cell r="L318"><v>43358</v></cell><cell r="M318" t="str"><v>Tier 0</v></cell><cell r="N318" t="str"><v>North America</v></cell><cell r="O318" t="str"><v>United States</v></cell><cell r="P318" t="str"><v>Trial</v></cell><cell r="Q318" t="str"><v>Social</v></cell><cell r="R318" t="str"><v>Azure</v></cell><cell r="S318" t="str"><v>Apps & Infra</v></cell><cell r="T318" t="str"><v>Developers & ITI's</v></cell><cell r="U318" t="str"><v>USA-Trial-ITD-Trial PayGo Lookalike-AZR-AZR</v></cell><cell r="V318" t="str"><v>Lookalike Targeting</v></cell><cell r="W318" t="str"><v>Canvas Ad</v></cell><cell r="X318" t="str"><v>1200x1200</v></cell><cell r="Y318" t="str"><v>Learn More</v></cell><cell r="Z318" t="str"><v>Animated Banner</v></cell><cell r="AA318"><v>43353</v></cell><cell r="AB318" t="str"><v>USA_gaPMG_AZR_AZR_Q1_19_Direct-Social</v></cell><cell r="AC318"><v>21358715</v></cell><cell r="AD318"><v>720197</v></cell><cell r="AE318" t="str"><v>Facebook</v></cell><cell r="AF318"><v>3654128</v></cell><cell r="AG318" t="str"><v>FACEBOOK»USA-Trial-ITD-Trial PayGo Lookalike-AZR-AZR»1 x 1»SocialBan»CAN»ALL»CPA»LAL»X»NA»SS»NA»FreeAcctITProFB-AnimatedHybrid-Ch2»PS7B5Z</v></cell><cell r="AH318"><v>226539452</v></cell><cell r="AI318" t="str"><v>AZR_FreeAcctITProFB-AnimatedHybrid-Ch2_USA_1200x1200_CAN_Direct_EN_Trial_Standard_ANI_LEA_T2_1</v></cell><cell r="AJ318"><v>104592535</v></cell></row><row r="319"><cell r="D319" t="str"><v>43353226786272</v></cell><cell r="E319" t="str"><v>43353104595730PS7B60</v></cell><cell r="F319" t="str"><v>DCM</v></cell></row><row r="319"><cell r="H319"><v>0</v></cell><cell r="I319" t="str"><v>Azure Direct</v></cell><cell r="J319" t="str"><v>Azure Direct</v></cell><cell r="K319" t="str"><v>September</v></cell><cell r="L319"><v>43358</v></cell><cell r="M319" t="str"><v>Tier 0</v></cell><cell r="N319" t="str"><v>North America</v></cell><cell r="O319" t="str"><v>United States</v></cell><cell r="P319" t="str"><v>Trial</v></cell><cell r="Q319" t="str"><v>Social</v></cell><cell r="R319" t="str"><v>Azure</v></cell><cell r="S319" t="str"><v>Apps & Infra</v></cell><cell r="T319" t="str"><v>Developers & ITI's</v></cell><cell r="U319" t="str"><v>USA-Trial-ITD-Trial PayGo Lookalike-AZR-AZR</v></cell><cell r="V319" t="str"><v>Lookalike Targeting</v></cell><cell r="W319" t="str"><v>Canvas Ad</v></cell><cell r="X319" t="str"><v>1200x1200</v></cell><cell r="Y319" t="str"><v>Learn More</v></cell><cell r="Z319" t="str"><v>Animated Banner</v></cell><cell r="AA319"><v>43353</v></cell><cell r="AB319" t="str"><v>USA_gaPMG_AZR_AZR_Q1_19_Direct-Social</v></cell><cell r="AC319"><v>21358715</v></cell><cell r="AD319"><v>720197</v></cell><cell r="AE319" t="str"><v>Facebook</v></cell><cell r="AF319"><v>3654128</v></cell><cell r="AG319" t="str"><v>FACEBOOK»USA-Trial-ITD-Trial PayGo Lookalike-AZR-AZR»1 x 1»SocialBan»CAN»ALL»CPA»LAL»X»NA»SS»NA»FreeAcctITProFB-AnimatedMigration-Ch3»PS7B60</v></cell><cell r="AH319"><v>226786272</v></cell><cell r="AI319" t="str"><v>AZR_FreeAcctITProFB-AnimatedMigration-Ch3_USA_1200x1200_CAN_Direct_EN_Trial_Standard_ANI_LEA_T3_2</v></cell><cell r="AJ319"><v>104595730</v></cell></row><row r="320"><cell r="D320" t="str"><v>43353225217676</v></cell><cell r="E320" t="str"><v>43353103874423PRSH6K</v></cell><cell r="F320" t="str"><v>DCM</v></cell></row><row r="320"><cell r="H320"><v>0</v></cell><cell r="I320" t="str"><v>Azure Direct</v></cell><cell r="J320" t="str"><v>Azure Direct</v></cell><cell r="K320" t="str"><v>September</v></cell><cell r="L320"><v>43358</v></cell><cell r="M320" t="str"><v>Tier 0</v></cell><cell r="N320" t="str"><v>North America</v></cell><cell r="O320" t="str"><v>United States</v></cell><cell r="P320" t="str"><v>Trial</v></cell><cell r="Q320" t="str"><v>Social</v></cell><cell r="R320" t="str"><v>Azure</v></cell><cell r="S320" t="str"><v>Apps & Infra</v></cell><cell r="T320" t="str"><v>Developers & ITI's</v></cell><cell r="U320" t="str"><v>USA-Trial-ITD-Trial PayGo Lookalike-AZR-AZR</v></cell><cell r="V320" t="str"><v>Lookalike Targeting</v></cell><cell r="W320" t="str"><v>Canvas Collection Ad</v></cell><cell r="X320" t="str"><v>1200x182</v></cell><cell r="Y320" t="str"><v>Try it Now</v></cell><cell r="Z320" t="str"><v>Not Applicable</v></cell><cell r="AA320"><v>43353</v></cell><cell r="AB320" t="str"><v>USA_gaPMG_AZR_AZR_Q1_19_Direct-Social</v></cell><cell r="AC320"><v>21358715</v></cell><cell r="AD320"><v>720197</v></cell><cell r="AE320" t="str"><v>Facebook</v></cell><cell r="AF320"><v>3654128</v></cell><cell r="AG320" t="str"><v>FACEBOOK»USA-Trial-ITD-Trial PayGo Lookalike-AZR-AZR»1 x 1»SocialBan»CCA»ALL»CPA»LAL»X»NA»SS»NA»Azure Developer Facebook Collections»PRSH6K</v></cell><cell r="AH320"><v>225217676</v></cell><cell r="AI320" t="str"><v>AZR_FBCollections-TryAzureFreeCTA-Img1_USA_1200x182_SOC_Plat_EN_NA_Standard_NA_TIN_T1_1</v></cell><cell r="AJ320"><v>103874423</v></cell></row><row r="321"><cell r="D321" t="str"><v>43353226786188</v></cell><cell r="E321" t="str"><v>43353104593435PS7BTJ</v></cell><cell r="F321" t="str"><v>DCM</v></cell></row><row r="321"><cell r="H321"><v>0</v></cell><cell r="I321" t="str"><v>Azure Direct</v></cell><cell r="J321" t="str"><v>Azure Direct</v></cell><cell r="K321" t="str"><v>September</v></cell><cell r="L321"><v>43358</v></cell><cell r="M321" t="str"><v>Tier 0</v></cell><cell r="N321" t="str"><v>North America</v></cell><cell r="O321" t="str"><v>United States</v></cell><cell r="P321" t="str"><v>Trial</v></cell><cell r="Q321" t="str"><v>Social</v></cell><cell r="R321" t="str"><v>Azure</v></cell><cell r="S321" t="str"><v>Apps & Infra</v></cell><cell r="T321" t="str"><v>Developers & ITI's</v></cell><cell r="U321" t="str"><v>USA-Trial-ITD-Bing Retargeting-AZR-AZR</v></cell><cell r="V321" t="str"><v>Retargeting</v></cell><cell r="W321" t="str"><v>Link Ad</v></cell><cell r="X321" t="str"><v>1200x627</v></cell><cell r="Y321" t="str"><v>Sign Up</v></cell><cell r="Z321" t="str"><v>Not Applicable</v></cell><cell r="AA321"><v>43353</v></cell><cell r="AB321" t="str"><v>USA_gaPMG_AZR_AZR_Q1_19_Direct-Social</v></cell><cell r="AC321"><v>21358715</v></cell><cell r="AD321"><v>720197</v></cell><cell r="AE321" t="str"><v>Linkedin</v></cell><cell r="AF321"><v>3654329</v></cell><cell r="AG321" t="str"><v>LINKEDIN»USA-Trial-ITD-Bing Retargeting-AZR-AZR»1 x 1»SocialBan»LIA»ALL»CPA»RT»D»All»SS»NA»FreeAcctRetargetingLI-Credit-ChA»PS7BTJ</v></cell><cell r="AH321"><v>226786188</v></cell><cell r="AI321" t="str"><v>AZR_FreeAcctRetargetingLI-Credit-ChA_USA_1200x627_LIA_Plat_English_Free Account_Standard_NA_SINU_T1_1</v></cell><cell r="AJ321"><v>104593435</v></cell></row><row r="322"><cell r="D322" t="str"><v>43353226536104</v></cell><cell r="E322" t="str"><v>43353104593723PS7BTN</v></cell><cell r="F322" t="str"><v>DCM</v></cell></row><row r="322"><cell r="H322"><v>0</v></cell><cell r="I322" t="str"><v>Azure Direct</v></cell><cell r="J322" t="str"><v>Azure Direct</v></cell><cell r="K322" t="str"><v>September</v></cell><cell r="L322"><v>43358</v></cell><cell r="M322" t="str"><v>Tier 0</v></cell><cell r="N322" t="str"><v>North America</v></cell><cell r="O322" t="str"><v>United States</v></cell><cell r="P322" t="str"><v>Trial</v></cell><cell r="Q322" t="str"><v>Social</v></cell><cell r="R322" t="str"><v>Azure</v></cell><cell r="S322" t="str"><v>Apps & Infra</v></cell><cell r="T322" t="str"><v>Developers & ITI's</v></cell><cell r="U322" t="str"><v>USA-Trial-ITD-Bing Retargeting-AZR-AZR</v></cell><cell r="V322" t="str"><v>Retargeting</v></cell><cell r="W322" t="str"><v>Link Ad</v></cell><cell r="X322" t="str"><v>1200x627</v></cell><cell r="Y322" t="str"><v>Sign Up</v></cell><cell r="Z322" t="str"><v>Not Applicable</v></cell><cell r="AA322"><v>43353</v></cell><cell r="AB322" t="str"><v>USA_gaPMG_AZR_AZR_Q1_19_Direct-Social</v></cell><cell r="AC322"><v>21358715</v></cell><cell r="AD322"><v>720197</v></cell><cell r="AE322" t="str"><v>Linkedin</v></cell><cell r="AF322"><v>3654329</v></cell><cell r="AG322" t="str"><v>LINKEDIN»USA-Trial-ITD-Bing Retargeting-AZR-AZR»1 x 1»SocialBan»LIA»ALL»CPA»RT»D»All»SS»NA»FreeAcctRetargetingLI-GlobalAlt-ChB»PS7BTN</v></cell><cell r="AH322"><v>226536104</v></cell><cell r="AI322" t="str"><v>AZR_FreeAcctRetargetingLI-GlobalAlt-ChB_USA_1200x627_LIA_Plat_English_Free Account_Standard_NA_SINU_T2_1</v></cell><cell r="AJ322"><v>104593723</v></cell></row><row r="323"><cell r="D323" t="str"><v>43353226535249</v></cell><cell r="E323" t="str"><v>43353104671415PS7BTF</v></cell><cell r="F323" t="str"><v>DCM</v></cell></row><row r="323"><cell r="H323"><v>0</v></cell><cell r="I323" t="str"><v>Azure Direct</v></cell><cell r="J323" t="str"><v>Azure Direct</v></cell><cell r="K323" t="str"><v>September</v></cell><cell r="L323"><v>43358</v></cell><cell r="M323" t="str"><v>Tier 0</v></cell><cell r="N323" t="str"><v>North America</v></cell><cell r="O323" t="str"><v>United States</v></cell><cell r="P323" t="str"><v>Trial</v></cell><cell r="Q323" t="str"><v>Social</v></cell><cell r="R323" t="str"><v>Azure</v></cell><cell r="S323" t="str"><v>Apps & Infra</v></cell><cell r="T323" t="str"><v>Developers & ITI's</v></cell><cell r="U323" t="str"><v>USA-Trial-ITD-Bing Retargeting-AZR-AZR</v></cell><cell r="V323" t="str"><v>Retargeting</v></cell><cell r="W323" t="str"><v>Link Ad</v></cell><cell r="X323" t="str"><v>1200x627</v></cell><cell r="Y323" t="str"><v>Sign Up</v></cell><cell r="Z323" t="str"><v>Not Applicable</v></cell><cell r="AA323"><v>43353</v></cell><cell r="AB323" t="str"><v>USA_gaPMG_AZR_AZR_Q1_19_Direct-Social</v></cell><cell r="AC323"><v>21358715</v></cell><cell r="AD323"><v>720197</v></cell><cell r="AE323" t="str"><v>Linkedin</v></cell><cell r="AF323"><v>3654329</v></cell><cell r="AG323" t="str"><v>LINKEDIN»USA-Trial-ITD-Bing Retargeting-AZR-AZR»1 x 1»SocialBan»LIA»ALL»CPA»RT»D»All»SS»NA»FreeAcctRetargetingVMLI-750Hrs-ChD»PS7BTF</v></cell><cell r="AH323"><v>226535249</v></cell><cell r="AI323" t="str"><v>AZR_FreeAcctRetargetingVMLI-750Hrs-ChD_USA_1200x627_LIA_Plat_English_Free Account_Standard_NA_SINU_T1_1</v></cell><cell r="AJ323"><v>104671415</v></cell></row><row r="324"><cell r="D324" t="str"><v>43353226615867</v></cell><cell r="E324" t="str"><v>43353104592529PS7BTG</v></cell><cell r="F324" t="str"><v>DCM</v></cell></row><row r="324"><cell r="H324"><v>0</v></cell><cell r="I324" t="str"><v>Azure Direct</v></cell><cell r="J324" t="str"><v>Azure Direct</v></cell><cell r="K324" t="str"><v>September</v></cell><cell r="L324"><v>43358</v></cell><cell r="M324" t="str"><v>Tier 0</v></cell><cell r="N324" t="str"><v>North America</v></cell><cell r="O324" t="str"><v>United States</v></cell><cell r="P324" t="str"><v>Trial</v></cell><cell r="Q324" t="str"><v>Social</v></cell><cell r="R324" t="str"><v>Azure</v></cell><cell r="S324" t="str"><v>Apps & Infra</v></cell><cell r="T324" t="str"><v>Developers & ITI's</v></cell><cell r="U324" t="str"><v>USA-Trial-ITD-Bing Retargeting-AZR-AZR</v></cell><cell r="V324" t="str"><v>Retargeting</v></cell><cell r="W324" t="str"><v>Link Ad</v></cell><cell r="X324" t="str"><v>1200x627</v></cell><cell r="Y324" t="str"><v>Sign Up</v></cell><cell r="Z324" t="str"><v>Not Applicable</v></cell><cell r="AA324"><v>43353</v></cell><cell r="AB324" t="str"><v>USA_gaPMG_AZR_AZR_Q1_19_Direct-Social</v></cell><cell r="AC324"><v>21358715</v></cell><cell r="AD324"><v>720197</v></cell><cell r="AE324" t="str"><v>Linkedin</v></cell><cell r="AF324"><v>3654329</v></cell><cell r="AG324" t="str"><v>LINKEDIN»USA-Trial-ITD-Bing Retargeting-AZR-AZR»1 x 1»SocialBan»LIA»ALL»CPA»RT»D»All»SS»NA»FreeAcctRetargetingVMLI-OnDemand-ChE»PS7BTG</v></cell><cell r="AH324"><v>226615867</v></cell><cell r="AI324" t="str"><v>AZR_FreeAcctRetargetingVMLI-OnDemand-ChE_USA_1200x627_LIA_Plat_English_Free Account_Standard_NA_SINU_T2_1</v></cell><cell r="AJ324"><v>104592529</v></cell></row><row r="325"><cell r="D325" t="str"><v>43353226621543</v></cell><cell r="E325" t="str"><v>43353104593444PS7BTR</v></cell><cell r="F325" t="str"><v>DCM</v></cell></row><row r="325"><cell r="H325"><v>2</v></cell><cell r="I325" t="str"><v>Azure Direct</v></cell><cell r="J325" t="str"><v>Azure Direct</v></cell><cell r="K325" t="str"><v>September</v></cell><cell r="L325"><v>43358</v></cell><cell r="M325" t="str"><v>Tier 0</v></cell><cell r="N325" t="str"><v>North America</v></cell><cell r="O325" t="str"><v>United States</v></cell><cell r="P325" t="str"><v>Trial</v></cell><cell r="Q325" t="str"><v>Social</v></cell><cell r="R325" t="str"><v>Azure</v></cell><cell r="S325" t="str"><v>Apps & Infra</v></cell><cell r="T325" t="str"><v>Developers & ITI's</v></cell><cell r="U325" t="str"><v>USA-Trial-ITD-Bing Retargeting-AZR-AZR</v></cell><cell r="V325" t="str"><v>Retargeting</v></cell><cell r="W325" t="str"><v>Video Link ad</v></cell><cell r="X325" t="str"><v>1920x1080</v></cell><cell r="Y325" t="str"><v>Learn More</v></cell><cell r="Z325" t="str"><v>Animated Banner</v></cell><cell r="AA325"><v>43353</v></cell><cell r="AB325" t="str"><v>USA_gaPMG_AZR_AZR_Q1_19_Direct-Social</v></cell><cell r="AC325"><v>21358715</v></cell><cell r="AD325"><v>720197</v></cell><cell r="AE325" t="str"><v>Linkedin</v></cell><cell r="AF325"><v>3654329</v></cell><cell r="AG325" t="str"><v>LINKEDIN»USA-Trial-ITD-Bing Retargeting-AZR-AZR»1 x 1»SocialBan»VLA»ALL»CPA»RT»D»All»SS»NA»FreeAcctDeveloperLI-AnimatedAI-Ch3»PS7BTR</v></cell><cell r="AH325"><v>226621543</v></cell><cell r="AI325" t="str"><v>AZR_FreeAcctDeveloperLI-AnimatedAI-Ch3_USA_1920x1080_VLA_Direct_EN_Trial_Standard_ANI_LEA_T3_1</v></cell><cell r="AJ325"><v>104593444</v></cell></row><row r="326"><cell r="D326" t="str"><v>43353226622815</v></cell><cell r="E326" t="str"><v>43353104593732PS7BTS</v></cell><cell r="F326" t="str"><v>DCM</v></cell></row><row r="326"><cell r="H326"><v>1</v></cell><cell r="I326" t="str"><v>Azure Direct</v></cell><cell r="J326" t="str"><v>Azure Direct</v></cell><cell r="K326" t="str"><v>September</v></cell><cell r="L326"><v>43358</v></cell><cell r="M326" t="str"><v>Tier 0</v></cell><cell r="N326" t="str"><v>North America</v></cell><cell r="O326" t="str"><v>United States</v></cell><cell r="P326" t="str"><v>Trial</v></cell><cell r="Q326" t="str"><v>Social</v></cell><cell r="R326" t="str"><v>Azure</v></cell><cell r="S326" t="str"><v>Apps & Infra</v></cell><cell r="T326" t="str"><v>Developers & ITI's</v></cell><cell r="U326" t="str"><v>USA-Trial-ITD-Bing Retargeting-AZR-AZR</v></cell><cell r="V326" t="str"><v>Retargeting</v></cell><cell r="W326" t="str"><v>Video Link ad</v></cell><cell r="X326" t="str"><v>1920x1080</v></cell><cell r="Y326" t="str"><v>Learn More</v></cell><cell r="Z326" t="str"><v>Animated Banner</v></cell><cell r="AA326"><v>43353</v></cell><cell r="AB326" t="str"><v>USA_gaPMG_AZR_AZR_Q1_19_Direct-Social</v></cell><cell r="AC326"><v>21358715</v></cell><cell r="AD326"><v>720197</v></cell><cell r="AE326" t="str"><v>Linkedin</v></cell><cell r="AF326"><v>3654329</v></cell><cell r="AG326" t="str"><v>LINKEDIN»USA-Trial-ITD-Bing Retargeting-AZR-AZR»1 x 1»SocialBan»VLA»ALL»CPA»RT»D»All»SS»NA»FreeAcctDeveloperLI-AnimatedData-Ch4»PS7BTS</v></cell><cell r="AH326"><v>226622815</v></cell><cell r="AI326" t="str"><v>AZR_FreeAcctDeveloperLI-AnimatedData-Ch4_USA_1920x1080_VLA_Direct_EN_Trial_Standard_ANI_LEA_T4_1</v></cell><cell r="AJ326"><v>104593732</v></cell></row><row r="327"><cell r="D327" t="str"><v>43353226538510</v></cell><cell r="E327" t="str"><v>43353104595736PS7BTL</v></cell><cell r="F327" t="str"><v>DCM</v></cell></row><row r="327"><cell r="H327"><v>0</v></cell><cell r="I327" t="str"><v>Azure Direct</v></cell><cell r="J327" t="str"><v>Azure Direct</v></cell><cell r="K327" t="str"><v>September</v></cell><cell r="L327"><v>43358</v></cell><cell r="M327" t="str"><v>Tier 0</v></cell><cell r="N327" t="str"><v>North America</v></cell><cell r="O327" t="str"><v>United States</v></cell><cell r="P327" t="str"><v>Trial</v></cell><cell r="Q327" t="str"><v>Social</v></cell><cell r="R327" t="str"><v>Azure</v></cell><cell r="S327" t="str"><v>Apps & Infra</v></cell><cell r="T327" t="str"><v>Developers & ITI's</v></cell><cell r="U327" t="str"><v>USA-Trial-ITD-Bing Retargeting-AZR-AZR</v></cell><cell r="V327" t="str"><v>Retargeting</v></cell><cell r="W327" t="str"><v>Video Link ad</v></cell><cell r="X327" t="str"><v>1920x1080</v></cell><cell r="Y327" t="str"><v>Learn More</v></cell><cell r="Z327" t="str"><v>Animated Banner</v></cell><cell r="AA327"><v>43353</v></cell><cell r="AB327" t="str"><v>USA_gaPMG_AZR_AZR_Q1_19_Direct-Social</v></cell><cell r="AC327"><v>21358715</v></cell><cell r="AD327"><v>720197</v></cell><cell r="AE327" t="str"><v>Linkedin</v></cell><cell r="AF327"><v>3654329</v></cell><cell r="AG327" t="str"><v>LINKEDIN»USA-Trial-ITD-Bing Retargeting-AZR-AZR»1 x 1»SocialBan»VLA»ALL»CPA»RT»D»All»SS»NA»FreeAcctDeveloperLI-AnimatedGeneric-Ch1»PS7BTL</v></cell><cell r="AH327"><v>226538510</v></cell><cell r="AI327" t="str"><v>AZR_FreeAcctDeveloperLI-AnimatedGeneric-Ch1_USA_1920x1080_VLA_Direct_EN_Trial_Standard_ANI_LEA_T1_1</v></cell><cell r="AJ327"><v>104595736</v></cell></row><row r="328"><cell r="D328" t="str"><v>43353226538513</v></cell><cell r="E328" t="str"><v>43353104595736PS7BTM</v></cell><cell r="F328" t="str"><v>DCM</v></cell></row><row r="328"><cell r="H328"><v>0</v></cell><cell r="I328" t="str"><v>Azure Direct</v></cell><cell r="J328" t="str"><v>Azure Direct</v></cell><cell r="K328" t="str"><v>September</v></cell><cell r="L328"><v>43358</v></cell><cell r="M328" t="str"><v>Tier 0</v></cell><cell r="N328" t="str"><v>North America</v></cell><cell r="O328" t="str"><v>United States</v></cell><cell r="P328" t="str"><v>Trial</v></cell><cell r="Q328" t="str"><v>Social</v></cell><cell r="R328" t="str"><v>Azure</v></cell><cell r="S328" t="str"><v>Apps & Infra</v></cell><cell r="T328" t="str"><v>Developers & ITI's</v></cell><cell r="U328" t="str"><v>USA-Trial-ITD-Bing Retargeting-AZR-AZR</v></cell><cell r="V328" t="str"><v>Retargeting</v></cell><cell r="W328" t="str"><v>Video Link ad</v></cell><cell r="X328" t="str"><v>1920x1080</v></cell><cell r="Y328" t="str"><v>Learn More</v></cell><cell r="Z328" t="str"><v>Animated Banner</v></cell><cell r="AA328"><v>43353</v></cell><cell r="AB328" t="str"><v>USA_gaPMG_AZR_AZR_Q1_19_Direct-Social</v></cell><cell r="AC328"><v>21358715</v></cell><cell r="AD328"><v>720197</v></cell><cell r="AE328" t="str"><v>Linkedin</v></cell><cell r="AF328"><v>3654329</v></cell><cell r="AG328" t="str"><v>LINKEDIN»USA-Trial-ITD-Bing Retargeting-AZR-AZR»1 x 1»SocialBan»VLA»ALL»CPA»RT»D»All»SS»NA»FreeAcctDeveloperLI-AnimatedGeneric-Ch1»PS7BTM</v></cell><cell r="AH328"><v>226538513</v></cell><cell r="AI328" t="str"><v>AZR_FreeAcctDeveloperLI-AnimatedGeneric-Ch1_USA_1920x1080_VLA_Direct_EN_Trial_Standard_ANI_LEA_T1_1</v></cell><cell r="AJ328"><v>104595736</v></cell></row><row r="329"><cell r="D329" t="str"><v>43353226535246</v></cell><cell r="E329" t="str"><v>43353104671424PS7BTV</v></cell><cell r="F329" t="str"><v>DCM</v></cell></row><row r="329"><cell r="H329"><v>0</v></cell><cell r="I329" t="str"><v>Azure Direct</v></cell><cell r="J329" t="str"><v>Azure Direct</v></cell><cell r="K329" t="str"><v>September</v></cell><cell r="L329"><v>43358</v></cell><cell r="M329" t="str"><v>Tier 0</v></cell><cell r="N329" t="str"><v>North America</v></cell><cell r="O329" t="str"><v>United States</v></cell><cell r="P329" t="str"><v>Trial</v></cell><cell r="Q329" t="str"><v>Social</v></cell><cell r="R329" t="str"><v>Azure</v></cell><cell r="S329" t="str"><v>Apps & Infra</v></cell><cell r="T329" t="str"><v>Developers & ITI's</v></cell><cell r="U329" t="str"><v>USA-Trial-ITD-Bing Retargeting-AZR-AZR</v></cell><cell r="V329" t="str"><v>Retargeting</v></cell><cell r="W329" t="str"><v>Video Link ad</v></cell><cell r="X329" t="str"><v>1920x1080</v></cell><cell r="Y329" t="str"><v>Learn More</v></cell><cell r="Z329" t="str"><v>Animated Banner</v></cell><cell r="AA329"><v>43353</v></cell><cell r="AB329" t="str"><v>USA_gaPMG_AZR_AZR_Q1_19_Direct-Social</v></cell><cell r="AC329"><v>21358715</v></cell><cell r="AD329"><v>720197</v></cell><cell r="AE329" t="str"><v>Linkedin</v></cell><cell r="AF329"><v>3654329</v></cell><cell r="AG329" t="str"><v>LINKEDIN»USA-Trial-ITD-Bing Retargeting-AZR-AZR»1 x 1»SocialBan»VLA»ALL»CPA»RT»D»All»SS»NA»FreeAcctITProLI-AnimatedHybrid-Ch2»PS7BTV</v></cell><cell r="AH329"><v>226535246</v></cell><cell r="AI329" t="str"><v>AZR_FreeAcctITProLI-AnimatedHybrid-Ch2_USA_1920x1080_VLA_Direct_EN_Trial_Standard_ANI_LEA_T2_1</v></cell><cell r="AJ329"><v>104671424</v></cell></row><row r="330"><cell r="D330" t="str"><v>43353226620916</v></cell><cell r="E330" t="str"><v>43353104592532PS7BTP</v></cell><cell r="F330" t="str"><v>DCM</v></cell></row><row r="330"><cell r="H330"><v>0</v></cell><cell r="I330" t="str"><v>Azure Direct</v></cell><cell r="J330" t="str"><v>Azure Direct</v></cell><cell r="K330" t="str"><v>September</v></cell><cell r="L330"><v>43358</v></cell><cell r="M330" t="str"><v>Tier 0</v></cell><cell r="N330" t="str"><v>North America</v></cell><cell r="O330" t="str"><v>United States</v></cell><cell r="P330" t="str"><v>Trial</v></cell><cell r="Q330" t="str"><v>Social</v></cell><cell r="R330" t="str"><v>Azure</v></cell><cell r="S330" t="str"><v>Apps & Infra</v></cell><cell r="T330" t="str"><v>Developers & ITI's</v></cell><cell r="U330" t="str"><v>USA-Trial-ITD-Bing Retargeting-AZR-AZR</v></cell><cell r="V330" t="str"><v>Retargeting</v></cell><cell r="W330" t="str"><v>Video Link ad</v></cell><cell r="X330" t="str"><v>1920x1080</v></cell><cell r="Y330" t="str"><v>Learn More</v></cell><cell r="Z330" t="str"><v>Animated Banner</v></cell><cell r="AA330"><v>43353</v></cell><cell r="AB330" t="str"><v>USA_gaPMG_AZR_AZR_Q1_19_Direct-Social</v></cell><cell r="AC330"><v>21358715</v></cell><cell r="AD330"><v>720197</v></cell><cell r="AE330" t="str"><v>Linkedin</v></cell><cell r="AF330"><v>3654329</v></cell><cell r="AG330" t="str"><v>LINKEDIN»USA-Trial-ITD-Bing Retargeting-AZR-AZR»1 x 1»SocialBan»VLA»ALL»CPA»RT»D»All»SS»NA»FreeAcctITProLI-AnimatedMigration-Ch3»PS7BTP</v></cell><cell r="AH330"><v>226620916</v></cell><cell r="AI330" t="str"><v>AZR_FreeAcctITProLI-AnimatedMigration-Ch3_USA_1920x1080_VLA_Direct_EN_Trial_Standard_ANI_LEA_T3_1</v></cell><cell r="AJ330"><v>104592532</v></cell></row><row r="331"><cell r="D331" t="str"><v>43353226622818</v></cell><cell r="E331" t="str"><v>43353104593447PS7BTT</v></cell><cell r="F331" t="str"><v>DCM</v></cell></row><row r="331"><cell r="H331"><v>2</v></cell><cell r="I331" t="str"><v>Azure Direct</v></cell><cell r="J331" t="str"><v>Azure Direct</v></cell><cell r="K331" t="str"><v>September</v></cell><cell r="L331"><v>43358</v></cell><cell r="M331" t="str"><v>Tier 0</v></cell><cell r="N331" t="str"><v>North America</v></cell><cell r="O331" t="str"><v>United States</v></cell><cell r="P331" t="str"><v>Trial</v></cell><cell r="Q331" t="str"><v>Social</v></cell><cell r="R331" t="str"><v>Azure</v></cell><cell r="S331" t="str"><v>Apps & Infra</v></cell><cell r="T331" t="str"><v>Developers & ITI's</v></cell><cell r="U331" t="str"><v>USA-Trial-ITD-Bing Retargeting-AZR-AZR</v></cell><cell r="V331" t="str"><v>Retargeting</v></cell><cell r="W331" t="str"><v>Video Link ad</v></cell><cell r="X331" t="str"><v>1920x1080</v></cell><cell r="Y331" t="str"><v>Learn More</v></cell><cell r="Z331" t="str"><v>Animated Banner</v></cell><cell r="AA331"><v>43353</v></cell><cell r="AB331" t="str"><v>USA_gaPMG_AZR_AZR_Q1_19_Direct-Social</v></cell><cell r="AC331"><v>21358715</v></cell><cell r="AD331"><v>720197</v></cell><cell r="AE331" t="str"><v>Linkedin</v></cell><cell r="AF331"><v>3654329</v></cell><cell r="AG331" t="str"><v>LINKEDIN»USA-Trial-ITD-Bing Retargeting-AZR-AZR»1 x 1»SocialBan»VLA»ALL»CPA»RT»D»All»SS»NA»FreeAcctITProLI-AnimatedSecureWellMngd-Ch1»PS7BTT</v></cell><cell r="AH331"><v>226622818</v></cell><cell r="AI331" t="str"><v>AZR_FreeAcctITProLI-AnimatedSecureWellMngd-Ch1_USA_1920x1080_VLA_Direct_EN_Trial_Standard_ANI_LEA_T1_1</v></cell><cell r="AJ331"><v>104593447</v></cell></row><row r="332"><cell r="D332" t="str"><v>43353226536125</v></cell><cell r="E332" t="str"><v>43353104671415PS7BRT</v></cell><cell r="F332" t="str"><v>DCM</v></cell></row><row r="332"><cell r="H332"><v>3</v></cell><cell r="I332" t="str"><v>Azure Direct</v></cell><cell r="J332" t="str"><v>Azure Direct</v></cell><cell r="K332" t="str"><v>September</v></cell><cell r="L332"><v>43358</v></cell><cell r="M332" t="str"><v>Tier 0</v></cell><cell r="N332" t="str"><v>North America</v></cell><cell r="O332" t="str"><v>United States</v></cell><cell r="P332" t="str"><v>Trial</v></cell><cell r="Q332" t="str"><v>Social</v></cell><cell r="R332" t="str"><v>Azure</v></cell><cell r="S332" t="str"><v>Apps & Infra</v></cell><cell r="T332" t="str"><v>Developers & ITI's</v></cell><cell r="U332" t="str"><v>USA-Trial-ITD-Groups Prospecting-AZR-AZR</v></cell><cell r="V332" t="str"><v>Prospecting</v></cell><cell r="W332" t="str"><v>Link Ad</v></cell><cell r="X332" t="str"><v>1200x627</v></cell><cell r="Y332" t="str"><v>Sign Up</v></cell><cell r="Z332" t="str"><v>Not Applicable</v></cell><cell r="AA332"><v>43353</v></cell><cell r="AB332" t="str"><v>USA_gaPMG_AZR_AZR_Q1_19_Direct-Social</v></cell><cell r="AC332"><v>21358715</v></cell><cell r="AD332"><v>720197</v></cell><cell r="AE332" t="str"><v>Linkedin</v></cell><cell r="AF332"><v>3654329</v></cell><cell r="AG332" t="str"><v>LINKEDIN»USA-Trial-ITD-Groups Prospecting-AZR-AZR»1 x 1»SocialBan»LIA»ALL»CPA»PRO»D»All»SS»NA»FreeAcctRetargetingVMLI-750Hrs-ChD»PS7BRT</v></cell><cell r="AH332"><v>226536125</v></cell><cell r="AI332" t="str"><v>AZR_FreeAcctRetargetingVMLI-750Hrs-ChD_USA_1200x627_LIA_Plat_English_Free Account_Standard_NA_SINU_T1_1</v></cell><cell r="AJ332"><v>104671415</v></cell></row><row r="333"><cell r="D333" t="str"><v>43353226538582</v></cell><cell r="E333" t="str"><v>43353104593444PS7BS4</v></cell><cell r="F333" t="str"><v>DCM</v></cell></row><row r="333"><cell r="H333"><v>0</v></cell><cell r="I333" t="str"><v>Azure Direct</v></cell><cell r="J333" t="str"><v>Azure Direct</v></cell><cell r="K333" t="str"><v>September</v></cell><cell r="L333"><v>43358</v></cell><cell r="M333" t="str"><v>Tier 0</v></cell><cell r="N333" t="str"><v>North America</v></cell><cell r="O333" t="str"><v>United States</v></cell><cell r="P333" t="str"><v>Trial</v></cell><cell r="Q333" t="str"><v>Social</v></cell><cell r="R333" t="str"><v>Azure</v></cell><cell r="S333" t="str"><v>Apps & Infra</v></cell><cell r="T333" t="str"><v>Developers & ITI's</v></cell><cell r="U333" t="str"><v>USA-Trial-ITD-Groups Prospecting-AZR-AZR</v></cell><cell r="V333" t="str"><v>Prospecting</v></cell><cell r="W333" t="str"><v>Video Link ad</v></cell><cell r="X333" t="str"><v>1920x1080</v></cell><cell r="Y333" t="str"><v>Learn More</v></cell><cell r="Z333" t="str"><v>Animated Banner</v></cell><cell r="AA333"><v>43353</v></cell><cell r="AB333" t="str"><v>USA_gaPMG_AZR_AZR_Q1_19_Direct-Social</v></cell><cell r="AC333"><v>21358715</v></cell><cell r="AD333"><v>720197</v></cell><cell r="AE333" t="str"><v>Linkedin</v></cell><cell r="AF333"><v>3654329</v></cell><cell r="AG333" t="str"><v>LINKEDIN»USA-Trial-ITD-Groups Prospecting-AZR-AZR»1 x 1»SocialBan»VLA»ALL»CPA»PRO»D»All»SS»NA»FreeAcctDeveloperLI-AnimatedAI-Ch3»PS7BS4</v></cell><cell r="AH333"><v>226538582</v></cell><cell r="AI333" t="str"><v>AZR_FreeAcctDeveloperLI-AnimatedAI-Ch3_USA_1920x1080_VLA_Direct_EN_Trial_Standard_ANI_LEA_T3_1</v></cell><cell r="AJ333"><v>104593444</v></cell></row><row r="334"><cell r="D334" t="str"><v>43353226617961</v></cell><cell r="E334" t="str"><v>43353104593732PS7BS5</v></cell><cell r="F334" t="str"><v>DCM</v></cell></row><row r="334"><cell r="H334"><v>0</v></cell><cell r="I334" t="str"><v>Azure Direct</v></cell><cell r="J334" t="str"><v>Azure Direct</v></cell><cell r="K334" t="str"><v>September</v></cell><cell r="L334"><v>43358</v></cell><cell r="M334" t="str"><v>Tier 0</v></cell><cell r="N334" t="str"><v>North America</v></cell><cell r="O334" t="str"><v>United States</v></cell><cell r="P334" t="str"><v>Trial</v></cell><cell r="Q334" t="str"><v>Social</v></cell><cell r="R334" t="str"><v>Azure</v></cell><cell r="S334" t="str"><v>Apps & Infra</v></cell><cell r="T334" t="str"><v>Developers & ITI's</v></cell><cell r="U334" t="str"><v>USA-Trial-ITD-Groups Prospecting-AZR-AZR</v></cell><cell r="V334" t="str"><v>Prospecting</v></cell><cell r="W334" t="str"><v>Video Link ad</v></cell><cell r="X334" t="str"><v>1920x1080</v></cell><cell r="Y334" t="str"><v>Learn More</v></cell><cell r="Z334" t="str"><v>Animated Banner</v></cell><cell r="AA334"><v>43353</v></cell><cell r="AB334" t="str"><v>USA_gaPMG_AZR_AZR_Q1_19_Direct-Social</v></cell><cell r="AC334"><v>21358715</v></cell><cell r="AD334"><v>720197</v></cell><cell r="AE334" t="str"><v>Linkedin</v></cell><cell r="AF334"><v>3654329</v></cell><cell r="AG334" t="str"><v>LINKEDIN»USA-Trial-ITD-Groups Prospecting-AZR-AZR»1 x 1»SocialBan»VLA»ALL»CPA»PRO»D»All»SS»NA»FreeAcctDeveloperLI-AnimatedData-Ch4»PS7BS5</v></cell><cell r="AH334"><v>226617961</v></cell><cell r="AI334" t="str"><v>AZR_FreeAcctDeveloperLI-AnimatedData-Ch4_USA_1920x1080_VLA_Direct_EN_Trial_Standard_ANI_LEA_T4_1</v></cell><cell r="AJ334"><v>104593732</v></cell></row><row r="335"><cell r="D335" t="str"><v>43353226622884</v></cell><cell r="E335" t="str"><v>43353104595736PS7BRZ</v></cell><cell r="F335" t="str"><v>DCM</v></cell></row><row r="335"><cell r="H335"><v>1</v></cell><cell r="I335" t="str"><v>Azure Direct</v></cell><cell r="J335" t="str"><v>Azure Direct</v></cell><cell r="K335" t="str"><v>September</v></cell><cell r="L335"><v>43358</v></cell><cell r="M335" t="str"><v>Tier 0</v></cell><cell r="N335" t="str"><v>North America</v></cell><cell r="O335" t="str"><v>United States</v></cell><cell r="P335" t="str"><v>Trial</v></cell><cell r="Q335" t="str"><v>Social</v></cell><cell r="R335" t="str"><v>Azure</v></cell><cell r="S335" t="str"><v>Apps & Infra</v></cell><cell r="T335" t="str"><v>Developers & ITI's</v></cell><cell r="U335" t="str"><v>USA-Trial-ITD-Groups Prospecting-AZR-AZR</v></cell><cell r="V335" t="str"><v>Prospecting</v></cell><cell r="W335" t="str"><v>Video Link ad</v></cell><cell r="X335" t="str"><v>1920x1080</v></cell><cell r="Y335" t="str"><v>Learn More</v></cell><cell r="Z335" t="str"><v>Animated Banner</v></cell><cell r="AA335"><v>43353</v></cell><cell r="AB335" t="str"><v>USA_gaPMG_AZR_AZR_Q1_19_Direct-Social</v></cell><cell r="AC335"><v>21358715</v></cell><cell r="AD335"><v>720197</v></cell><cell r="AE335" t="str"><v>Linkedin</v></cell><cell r="AF335"><v>3654329</v></cell><cell r="AG335" t="str"><v>LINKEDIN»USA-Trial-ITD-Groups Prospecting-AZR-AZR»1 x 1»SocialBan»VLA»ALL»CPA»PRO»D»All»SS»NA»FreeAcctDeveloperLI-AnimatedGeneric-Ch1»PS7BRZ</v></cell><cell r="AH335"><v>226622884</v></cell><cell r="AI335" t="str"><v>AZR_FreeAcctDeveloperLI-AnimatedGeneric-Ch1_USA_1920x1080_VLA_Direct_EN_Trial_Standard_ANI_LEA_T1_1</v></cell><cell r="AJ335"><v>104595736</v></cell></row><row r="336"><cell r="D336" t="str"><v>43353226620961</v></cell><cell r="E336" t="str"><v>43353104595736PS7BS0</v></cell><cell r="F336" t="str"><v>DCM</v></cell></row><row r="336"><cell r="H336"><v>0</v></cell><cell r="I336" t="str"><v>Azure Direct</v></cell><cell r="J336" t="str"><v>Azure Direct</v></cell><cell r="K336" t="str"><v>September</v></cell><cell r="L336"><v>43358</v></cell><cell r="M336" t="str"><v>Tier 0</v></cell><cell r="N336" t="str"><v>North America</v></cell><cell r="O336" t="str"><v>United States</v></cell><cell r="P336" t="str"><v>Trial</v></cell><cell r="Q336" t="str"><v>Social</v></cell><cell r="R336" t="str"><v>Azure</v></cell><cell r="S336" t="str"><v>Apps & Infra</v></cell><cell r="T336" t="str"><v>Developers & ITI's</v></cell><cell r="U336" t="str"><v>USA-Trial-ITD-Groups Prospecting-AZR-AZR</v></cell><cell r="V336" t="str"><v>Prospecting</v></cell><cell r="W336" t="str"><v>Video Link ad</v></cell><cell r="X336" t="str"><v>1920x1080</v></cell><cell r="Y336" t="str"><v>Learn More</v></cell><cell r="Z336" t="str"><v>Animated Banner</v></cell><cell r="AA336"><v>43353</v></cell><cell r="AB336" t="str"><v>USA_gaPMG_AZR_AZR_Q1_19_Direct-Social</v></cell><cell r="AC336"><v>21358715</v></cell><cell r="AD336"><v>720197</v></cell><cell r="AE336" t="str"><v>Linkedin</v></cell><cell r="AF336"><v>3654329</v></cell><cell r="AG336" t="str"><v>LINKEDIN»USA-Trial-ITD-Groups Prospecting-AZR-AZR»1 x 1»SocialBan»VLA»ALL»CPA»PRO»D»All»SS»NA»FreeAcctDeveloperLI-AnimatedGeneric-Ch1»PS7BS0</v></cell><cell r="AH336"><v>226620961</v></cell><cell r="AI336" t="str"><v>AZR_FreeAcctDeveloperLI-AnimatedGeneric-Ch1_USA_1920x1080_VLA_Direct_EN_Trial_Standard_ANI_LEA_T1_1</v></cell><cell r="AJ336"><v>104595736</v></cell></row><row r="337"><cell r="D337" t="str"><v>43353226617649</v></cell><cell r="E337" t="str"><v>43353104671424PS7BS7</v></cell><cell r="F337" t="str"><v>DCM</v></cell></row><row r="337"><cell r="H337"><v>0</v></cell><cell r="I337" t="str"><v>Azure Direct</v></cell><cell r="J337" t="str"><v>Azure Direct</v></cell><cell r="K337" t="str"><v>September</v></cell><cell r="L337"><v>43358</v></cell><cell r="M337" t="str"><v>Tier 0</v></cell><cell r="N337" t="str"><v>North America</v></cell><cell r="O337" t="str"><v>United States</v></cell><cell r="P337" t="str"><v>Trial</v></cell><cell r="Q337" t="str"><v>Social</v></cell><cell r="R337" t="str"><v>Azure</v></cell><cell r="S337" t="str"><v>Apps & Infra</v></cell><cell r="T337" t="str"><v>Developers & ITI's</v></cell><cell r="U337" t="str"><v>USA-Trial-ITD-Groups Prospecting-AZR-AZR</v></cell><cell r="V337" t="str"><v>Prospecting</v></cell><cell r="W337" t="str"><v>Video Link ad</v></cell><cell r="X337" t="str"><v>1920x1080</v></cell><cell r="Y337" t="str"><v>Learn More</v></cell><cell r="Z337" t="str"><v>Animated Banner</v></cell><cell r="AA337"><v>43353</v></cell><cell r="AB337" t="str"><v>USA_gaPMG_AZR_AZR_Q1_19_Direct-Social</v></cell><cell r="AC337"><v>21358715</v></cell><cell r="AD337"><v>720197</v></cell><cell r="AE337" t="str"><v>Linkedin</v></cell><cell r="AF337"><v>3654329</v></cell><cell r="AG337" t="str"><v>LINKEDIN»USA-Trial-ITD-Groups Prospecting-AZR-AZR»1 x 1»SocialBan»VLA»ALL»CPA»PRO»D»All»SS»NA»FreeAcctITProLI-AnimatedHybrid-Ch2»PS7BS7</v></cell><cell r="AH337"><v>226617649</v></cell><cell r="AI337" t="str"><v>AZR_FreeAcctITProLI-AnimatedHybrid-Ch2_USA_1920x1080_VLA_Direct_EN_Trial_Standard_ANI_LEA_T2_1</v></cell><cell r="AJ337"><v>104671424</v></cell></row><row r="338"><cell r="D338" t="str"><v>43353226538576</v></cell><cell r="E338" t="str"><v>43353104592532PS7BS2</v></cell><cell r="F338" t="str"><v>DCM</v></cell></row><row r="338"><cell r="H338"><v>1</v></cell><cell r="I338" t="str"><v>Azure Direct</v></cell><cell r="J338" t="str"><v>Azure Direct</v></cell><cell r="K338" t="str"><v>September</v></cell><cell r="L338"><v>43358</v></cell><cell r="M338" t="str"><v>Tier 0</v></cell><cell r="N338" t="str"><v>North America</v></cell><cell r="O338" t="str"><v>United States</v></cell><cell r="P338" t="str"><v>Trial</v></cell><cell r="Q338" t="str"><v>Social</v></cell><cell r="R338" t="str"><v>Azure</v></cell><cell r="S338" t="str"><v>Apps & Infra</v></cell><cell r="T338" t="str"><v>Developers & ITI's</v></cell><cell r="U338" t="str"><v>USA-Trial-ITD-Groups Prospecting-AZR-AZR</v></cell><cell r="V338" t="str"><v>Prospecting</v></cell><cell r="W338" t="str"><v>Video Link ad</v></cell><cell r="X338" t="str"><v>1920x1080</v></cell><cell r="Y338" t="str"><v>Learn More</v></cell><cell r="Z338" t="str"><v>Animated Banner</v></cell><cell r="AA338"><v>43353</v></cell><cell r="AB338" t="str"><v>USA_gaPMG_AZR_AZR_Q1_19_Direct-Social</v></cell><cell r="AC338"><v>21358715</v></cell><cell r="AD338"><v>720197</v></cell><cell r="AE338" t="str"><v>Linkedin</v></cell><cell r="AF338"><v>3654329</v></cell><cell r="AG338" t="str"><v>LINKEDIN»USA-Trial-ITD-Groups Prospecting-AZR-AZR»1 x 1»SocialBan»VLA»ALL»CPA»PRO»D»All»SS»NA»FreeAcctITProLI-AnimatedMigration-Ch3»PS7BS2</v></cell><cell r="AH338"><v>226538576</v></cell><cell r="AI338" t="str"><v>AZR_FreeAcctITProLI-AnimatedMigration-Ch3_USA_1920x1080_VLA_Direct_EN_Trial_Standard_ANI_LEA_T3_1</v></cell><cell r="AJ338"><v>104592532</v></cell></row><row r="339"><cell r="D339" t="str"><v>43353226539371</v></cell><cell r="E339" t="str"><v>43353104593447PS7BS6</v></cell><cell r="F339" t="str"><v>DCM</v></cell></row><row r="339"><cell r="H339"><v>0</v></cell><cell r="I339" t="str"><v>Azure Direct</v></cell><cell r="J339" t="str"><v>Azure Direct</v></cell><cell r="K339" t="str"><v>September</v></cell><cell r="L339"><v>43358</v></cell><cell r="M339" t="str"><v>Tier 0</v></cell><cell r="N339" t="str"><v>North America</v></cell><cell r="O339" t="str"><v>United States</v></cell><cell r="P339" t="str"><v>Trial</v></cell><cell r="Q339" t="str"><v>Social</v></cell><cell r="R339" t="str"><v>Azure</v></cell><cell r="S339" t="str"><v>Apps & Infra</v></cell><cell r="T339" t="str"><v>Developers & ITI's</v></cell><cell r="U339" t="str"><v>USA-Trial-ITD-Groups Prospecting-AZR-AZR</v></cell><cell r="V339" t="str"><v>Prospecting</v></cell><cell r="W339" t="str"><v>Video Link ad</v></cell><cell r="X339" t="str"><v>1920x1080</v></cell><cell r="Y339" t="str"><v>Learn More</v></cell><cell r="Z339" t="str"><v>Animated Banner</v></cell><cell r="AA339"><v>43353</v></cell><cell r="AB339" t="str"><v>USA_gaPMG_AZR_AZR_Q1_19_Direct-Social</v></cell><cell r="AC339"><v>21358715</v></cell><cell r="AD339"><v>720197</v></cell><cell r="AE339" t="str"><v>Linkedin</v></cell><cell r="AF339"><v>3654329</v></cell><cell r="AG339" t="str"><v>LINKEDIN»USA-Trial-ITD-Groups Prospecting-AZR-AZR»1 x 1»SocialBan»VLA»ALL»CPA»PRO»D»All»SS»NA»FreeAcctITProLI-AnimatedSecureWellMngd-Ch1»PS7BS6</v></cell><cell r="AH339"><v>226539371</v></cell><cell r="AI339" t="str"><v>AZR_FreeAcctITProLI-AnimatedSecureWellMngd-Ch1_USA_1920x1080_VLA_Direct_EN_Trial_Standard_ANI_LEA_T1_1</v></cell><cell r="AJ339"><v>104593447</v></cell></row><row r="340"><cell r="D340" t="str"><v>43353226617946</v></cell><cell r="E340" t="str"><v>43353104593444PS7BSP</v></cell><cell r="F340" t="str"><v>DCM</v></cell></row><row r="340"><cell r="H340"><v>2</v></cell><cell r="I340" t="str"><v>Azure Direct</v></cell><cell r="J340" t="str"><v>Azure Direct</v></cell><cell r="K340" t="str"><v>September</v></cell><cell r="L340"><v>43358</v></cell><cell r="M340" t="str"><v>Tier 0</v></cell><cell r="N340" t="str"><v>North America</v></cell><cell r="O340" t="str"><v>United States</v></cell><cell r="P340" t="str"><v>Trial</v></cell><cell r="Q340" t="str"><v>Social</v></cell><cell r="R340" t="str"><v>Azure</v></cell><cell r="S340" t="str"><v>Apps & Infra</v></cell><cell r="T340" t="str"><v>Developers & ITI's</v></cell><cell r="U340" t="str"><v>USA-Trial-ITD-Job Functions Prospecting-AZR-AZR</v></cell><cell r="V340" t="str"><v>Prospecting</v></cell><cell r="W340" t="str"><v>Video Link ad</v></cell><cell r="X340" t="str"><v>1920x1080</v></cell><cell r="Y340" t="str"><v>Learn More</v></cell><cell r="Z340" t="str"><v>Animated Banner</v></cell><cell r="AA340"><v>43353</v></cell><cell r="AB340" t="str"><v>USA_gaPMG_AZR_AZR_Q1_19_Direct-Social</v></cell><cell r="AC340"><v>21358715</v></cell><cell r="AD340"><v>720197</v></cell><cell r="AE340" t="str"><v>Linkedin</v></cell><cell r="AF340"><v>3654329</v></cell><cell r="AG340" t="str"><v>LINKEDIN»USA-Trial-ITD-Job Functions Prospecting-AZR-AZR»1 x 1»SocialBan»VLA»ALL»CPA»PRO»D»All»SS»NA»FreeAcctDeveloperLI-AnimatedAI-Ch3»PS7BSP</v></cell><cell r="AH340"><v>226617946</v></cell><cell r="AI340" t="str"><v>AZR_FreeAcctDeveloperLI-AnimatedAI-Ch3_USA_1920x1080_VLA_Direct_EN_Trial_Standard_ANI_LEA_T3_1</v></cell><cell r="AJ340"><v>104593444</v></cell></row><row r="341"><cell r="D341" t="str"><v>43353226535264</v></cell><cell r="E341" t="str"><v>43353104593732PS7BSQ</v></cell><cell r="F341" t="str"><v>DCM</v></cell></row><row r="341"><cell r="H341"><v>0</v></cell><cell r="I341" t="str"><v>Azure Direct</v></cell><cell r="J341" t="str"><v>Azure Direct</v></cell><cell r="K341" t="str"><v>September</v></cell><cell r="L341"><v>43358</v></cell><cell r="M341" t="str"><v>Tier 0</v></cell><cell r="N341" t="str"><v>North America</v></cell><cell r="O341" t="str"><v>United States</v></cell><cell r="P341" t="str"><v>Trial</v></cell><cell r="Q341" t="str"><v>Social</v></cell><cell r="R341" t="str"><v>Azure</v></cell><cell r="S341" t="str"><v>Apps & Infra</v></cell><cell r="T341" t="str"><v>Developers & ITI's</v></cell><cell r="U341" t="str"><v>USA-Trial-ITD-Job Functions Prospecting-AZR-AZR</v></cell><cell r="V341" t="str"><v>Prospecting</v></cell><cell r="W341" t="str"><v>Video Link ad</v></cell><cell r="X341" t="str"><v>1920x1080</v></cell><cell r="Y341" t="str"><v>Learn More</v></cell><cell r="Z341" t="str"><v>Animated Banner</v></cell><cell r="AA341"><v>43353</v></cell><cell r="AB341" t="str"><v>USA_gaPMG_AZR_AZR_Q1_19_Direct-Social</v></cell><cell r="AC341"><v>21358715</v></cell><cell r="AD341"><v>720197</v></cell><cell r="AE341" t="str"><v>Linkedin</v></cell><cell r="AF341"><v>3654329</v></cell><cell r="AG341" t="str"><v>LINKEDIN»USA-Trial-ITD-Job Functions Prospecting-AZR-AZR»1 x 1»SocialBan»VLA»ALL»CPA»PRO»D»All»SS»NA»FreeAcctDeveloperLI-AnimatedData-Ch4»PS7BSQ</v></cell><cell r="AH341"><v>226535264</v></cell><cell r="AI341" t="str"><v>AZR_FreeAcctDeveloperLI-AnimatedData-Ch4_USA_1920x1080_VLA_Direct_EN_Trial_Standard_ANI_LEA_T4_1</v></cell><cell r="AJ341"><v>104593732</v></cell></row><row r="342"><cell r="D342" t="str"><v>43353226622875</v></cell><cell r="E342" t="str"><v>43353104595736PS7BSJ</v></cell><cell r="F342" t="str"><v>DCM</v></cell></row><row r="342"><cell r="H342"><v>1</v></cell><cell r="I342" t="str"><v>Azure Direct</v></cell><cell r="J342" t="str"><v>Azure Direct</v></cell><cell r="K342" t="str"><v>September</v></cell><cell r="L342"><v>43358</v></cell><cell r="M342" t="str"><v>Tier 0</v></cell><cell r="N342" t="str"><v>North America</v></cell><cell r="O342" t="str"><v>United States</v></cell><cell r="P342" t="str"><v>Trial</v></cell><cell r="Q342" t="str"><v>Social</v></cell><cell r="R342" t="str"><v>Azure</v></cell><cell r="S342" t="str"><v>Apps & Infra</v></cell><cell r="T342" t="str"><v>Developers & ITI's</v></cell><cell r="U342" t="str"><v>USA-Trial-ITD-Job Functions Prospecting-AZR-AZR</v></cell><cell r="V342" t="str"><v>Prospecting</v></cell><cell r="W342" t="str"><v>Video Link ad</v></cell><cell r="X342" t="str"><v>1920x1080</v></cell><cell r="Y342" t="str"><v>Learn More</v></cell><cell r="Z342" t="str"><v>Animated Banner</v></cell><cell r="AA342"><v>43353</v></cell><cell r="AB342" t="str"><v>USA_gaPMG_AZR_AZR_Q1_19_Direct-Social</v></cell><cell r="AC342"><v>21358715</v></cell><cell r="AD342"><v>720197</v></cell><cell r="AE342" t="str"><v>Linkedin</v></cell><cell r="AF342"><v>3654329</v></cell><cell r="AG342" t="str"><v>LINKEDIN»USA-Trial-ITD-Job Functions Prospecting-AZR-AZR»1 x 1»SocialBan»VLA»ALL»CPA»PRO»D»All»SS»NA»FreeAcctDeveloperLI-AnimatedGeneric-Ch1»PS7BSJ</v></cell><cell r="AH342"><v>226622875</v></cell><cell r="AI342" t="str"><v>AZR_FreeAcctDeveloperLI-AnimatedGeneric-Ch1_USA_1920x1080_VLA_Direct_EN_Trial_Standard_ANI_LEA_T1_1</v></cell><cell r="AJ342"><v>104595736</v></cell></row><row r="343"><cell r="D343" t="str"><v>43353226535270</v></cell><cell r="E343" t="str"><v>43353104595736PS7BSK</v></cell><cell r="F343" t="str"><v>DCM</v></cell></row><row r="343"><cell r="H343"><v>0</v></cell><cell r="I343" t="str"><v>Azure Direct</v></cell><cell r="J343" t="str"><v>Azure Direct</v></cell><cell r="K343" t="str"><v>September</v></cell><cell r="L343"><v>43358</v></cell><cell r="M343" t="str"><v>Tier 0</v></cell><cell r="N343" t="str"><v>North America</v></cell><cell r="O343" t="str"><v>United States</v></cell><cell r="P343" t="str"><v>Trial</v></cell><cell r="Q343" t="str"><v>Social</v></cell><cell r="R343" t="str"><v>Azure</v></cell><cell r="S343" t="str"><v>Apps & Infra</v></cell><cell r="T343" t="str"><v>Developers & ITI's</v></cell><cell r="U343" t="str"><v>USA-Trial-ITD-Job Functions Prospecting-AZR-AZR</v></cell><cell r="V343" t="str"><v>Prospecting</v></cell><cell r="W343" t="str"><v>Video Link ad</v></cell><cell r="X343" t="str"><v>1920x1080</v></cell><cell r="Y343" t="str"><v>Learn More</v></cell><cell r="Z343" t="str"><v>Animated Banner</v></cell><cell r="AA343"><v>43353</v></cell><cell r="AB343" t="str"><v>USA_gaPMG_AZR_AZR_Q1_19_Direct-Social</v></cell><cell r="AC343"><v>21358715</v></cell><cell r="AD343"><v>720197</v></cell><cell r="AE343" t="str"><v>Linkedin</v></cell><cell r="AF343"><v>3654329</v></cell><cell r="AG343" t="str"><v>LINKEDIN»USA-Trial-ITD-Job Functions Prospecting-AZR-AZR»1 x 1»SocialBan»VLA»ALL»CPA»PRO»D»All»SS»NA»FreeAcctDeveloperLI-AnimatedGeneric-Ch1»PS7BSK</v></cell><cell r="AH343"><v>226535270</v></cell><cell r="AI343" t="str"><v>AZR_FreeAcctDeveloperLI-AnimatedGeneric-Ch1_USA_1920x1080_VLA_Direct_EN_Trial_Standard_ANI_LEA_T1_1</v></cell><cell r="AJ343"><v>104595736</v></cell></row><row r="344"><cell r="D344" t="str"><v>43353226622866</v></cell><cell r="E344" t="str"><v>43353104671424PS7BSS</v></cell><cell r="F344" t="str"><v>DCM</v></cell></row><row r="344"><cell r="H344"><v>0</v></cell><cell r="I344" t="str"><v>Azure Direct</v></cell><cell r="J344" t="str"><v>Azure Direct</v></cell><cell r="K344" t="str"><v>September</v></cell><cell r="L344"><v>43358</v></cell><cell r="M344" t="str"><v>Tier 0</v></cell><cell r="N344" t="str"><v>North America</v></cell><cell r="O344" t="str"><v>United States</v></cell><cell r="P344" t="str"><v>Trial</v></cell><cell r="Q344" t="str"><v>Social</v></cell><cell r="R344" t="str"><v>Azure</v></cell><cell r="S344" t="str"><v>Apps & Infra</v></cell><cell r="T344" t="str"><v>Developers & ITI's</v></cell><cell r="U344" t="str"><v>USA-Trial-ITD-Job Functions Prospecting-AZR-AZR</v></cell><cell r="V344" t="str"><v>Prospecting</v></cell><cell r="W344" t="str"><v>Video Link ad</v></cell><cell r="X344" t="str"><v>1920x1080</v></cell><cell r="Y344" t="str"><v>Learn More</v></cell><cell r="Z344" t="str"><v>Animated Banner</v></cell><cell r="AA344"><v>43353</v></cell><cell r="AB344" t="str"><v>USA_gaPMG_AZR_AZR_Q1_19_Direct-Social</v></cell><cell r="AC344"><v>21358715</v></cell><cell r="AD344"><v>720197</v></cell><cell r="AE344" t="str"><v>Linkedin</v></cell><cell r="AF344"><v>3654329</v></cell><cell r="AG344" t="str"><v>LINKEDIN»USA-Trial-ITD-Job Functions Prospecting-AZR-AZR»1 x 1»SocialBan»VLA»ALL»CPA»PRO»D»All»SS»NA»FreeAcctITProLI-AnimatedHybrid-Ch2»PS7BSS</v></cell><cell r="AH344"><v>226622866</v></cell><cell r="AI344" t="str"><v>AZR_FreeAcctITProLI-AnimatedHybrid-Ch2_USA_1920x1080_VLA_Direct_EN_Trial_Standard_ANI_LEA_T2_1</v></cell><cell r="AJ344"><v>104671424</v></cell></row><row r="345"><cell r="D345" t="str"><v>43353226774326</v></cell><cell r="E345" t="str"><v>43353104592532PS7BSM</v></cell><cell r="F345" t="str"><v>DCM</v></cell></row><row r="345"><cell r="H345"><v>2</v></cell><cell r="I345" t="str"><v>Azure Direct</v></cell><cell r="J345" t="str"><v>Azure Direct</v></cell><cell r="K345" t="str"><v>September</v></cell><cell r="L345"><v>43358</v></cell><cell r="M345" t="str"><v>Tier 0</v></cell><cell r="N345" t="str"><v>North America</v></cell><cell r="O345" t="str"><v>United States</v></cell><cell r="P345" t="str"><v>Trial</v></cell><cell r="Q345" t="str"><v>Social</v></cell><cell r="R345" t="str"><v>Azure</v></cell><cell r="S345" t="str"><v>Apps & Infra</v></cell><cell r="T345" t="str"><v>Developers & ITI's</v></cell><cell r="U345" t="str"><v>USA-Trial-ITD-Job Functions Prospecting-AZR-AZR</v></cell><cell r="V345" t="str"><v>Prospecting</v></cell><cell r="W345" t="str"><v>Video Link ad</v></cell><cell r="X345" t="str"><v>1920x1080</v></cell><cell r="Y345" t="str"><v>Learn More</v></cell><cell r="Z345" t="str"><v>Animated Banner</v></cell><cell r="AA345"><v>43353</v></cell><cell r="AB345" t="str"><v>USA_gaPMG_AZR_AZR_Q1_19_Direct-Social</v></cell><cell r="AC345"><v>21358715</v></cell><cell r="AD345"><v>720197</v></cell><cell r="AE345" t="str"><v>Linkedin</v></cell><cell r="AF345"><v>3654329</v></cell><cell r="AG345" t="str"><v>LINKEDIN»USA-Trial-ITD-Job Functions Prospecting-AZR-AZR»1 x 1»SocialBan»VLA»ALL»CPA»PRO»D»All»SS»NA»FreeAcctITProLI-AnimatedMigration-Ch3»PS7BSM</v></cell><cell r="AH345"><v>226774326</v></cell><cell r="AI345" t="str"><v>AZR_FreeAcctITProLI-AnimatedMigration-Ch3_USA_1920x1080_VLA_Direct_EN_Trial_Standard_ANI_LEA_T3_1</v></cell><cell r="AJ345"><v>104592532</v></cell></row><row r="346"><cell r="D346" t="str"><v>43353226538552</v></cell><cell r="E346" t="str"><v>43353104593447PS7BSR</v></cell><cell r="F346" t="str"><v>DCM</v></cell></row><row r="346"><cell r="H346"><v>0</v></cell><cell r="I346" t="str"><v>Azure Direct</v></cell><cell r="J346" t="str"><v>Azure Direct</v></cell><cell r="K346" t="str"><v>September</v></cell><cell r="L346"><v>43358</v></cell><cell r="M346" t="str"><v>Tier 0</v></cell><cell r="N346" t="str"><v>North America</v></cell><cell r="O346" t="str"><v>United States</v></cell><cell r="P346" t="str"><v>Trial</v></cell><cell r="Q346" t="str"><v>Social</v></cell><cell r="R346" t="str"><v>Azure</v></cell><cell r="S346" t="str"><v>Apps & Infra</v></cell><cell r="T346" t="str"><v>Developers & ITI's</v></cell><cell r="U346" t="str"><v>USA-Trial-ITD-Job Functions Prospecting-AZR-AZR</v></cell><cell r="V346" t="str"><v>Prospecting</v></cell><cell r="W346" t="str"><v>Video Link ad</v></cell><cell r="X346" t="str"><v>1920x1080</v></cell><cell r="Y346" t="str"><v>Learn More</v></cell><cell r="Z346" t="str"><v>Animated Banner</v></cell><cell r="AA346"><v>43353</v></cell><cell r="AB346" t="str"><v>USA_gaPMG_AZR_AZR_Q1_19_Direct-Social</v></cell><cell r="AC346"><v>21358715</v></cell><cell r="AD346"><v>720197</v></cell><cell r="AE346" t="str"><v>Linkedin</v></cell><cell r="AF346"><v>3654329</v></cell><cell r="AG346" t="str"><v>LINKEDIN»USA-Trial-ITD-Job Functions Prospecting-AZR-AZR»1 x 1»SocialBan»VLA»ALL»CPA»PRO»D»All»SS»NA»FreeAcctITProLI-AnimatedSecureWellMngd-Ch1»PS7BSR</v></cell><cell r="AH346"><v>226538552</v></cell><cell r="AI346" t="str"><v>AZR_FreeAcctITProLI-AnimatedSecureWellMngd-Ch1_USA_1920x1080_VLA_Direct_EN_Trial_Standard_ANI_LEA_T1_1</v></cell><cell r="AJ346"><v>104593447</v></cell></row><row r="347"><cell r="D347" t="str"><v>43353226774248</v></cell><cell r="E347" t="str"><v>43353104593435PS78T2</v></cell><cell r="F347" t="str"><v>DCM</v></cell></row><row r="347"><cell r="H347"><v>0</v></cell><cell r="I347" t="str"><v>Azure Direct</v></cell><cell r="J347" t="str"><v>Azure Direct</v></cell><cell r="K347" t="str"><v>September</v></cell><cell r="L347"><v>43358</v></cell><cell r="M347" t="str"><v>Tier 0</v></cell><cell r="N347" t="str"><v>North America</v></cell><cell r="O347" t="str"><v>United States</v></cell><cell r="P347" t="str"><v>Trial</v></cell><cell r="Q347" t="str"><v>Social</v></cell><cell r="R347" t="str"><v>Azure</v></cell><cell r="S347" t="str"><v>Apps & Infra</v></cell><cell r="T347" t="str"><v>Developers & ITI's</v></cell><cell r="U347" t="str"><v>USA-Trial-ITD-Job Titles Prospecting-AZR-AZR</v></cell><cell r="V347" t="str"><v>Prospecting</v></cell><cell r="W347" t="str"><v>Link Ad</v></cell><cell r="X347" t="str"><v>1200x627</v></cell><cell r="Y347" t="str"><v>Sign Up</v></cell><cell r="Z347" t="str"><v>Not Applicable</v></cell><cell r="AA347"><v>43353</v></cell><cell r="AB347" t="str"><v>USA_gaPMG_AZR_AZR_Q1_19_Direct-Social</v></cell><cell r="AC347"><v>21358715</v></cell><cell r="AD347"><v>720197</v></cell><cell r="AE347" t="str"><v>Linkedin</v></cell><cell r="AF347"><v>3654329</v></cell><cell r="AG347" t="str"><v>LINKEDIN»USA-Trial-ITD-Job Titles Prospecting-AZR-AZR»1 x 1»SocialBan»LIA»ALL»CPA»PRO»D»All»SS»NA»FreeAcctRetargetingLI-Credit-ChA»PS78T2</v></cell><cell r="AH347"><v>226774248</v></cell><cell r="AI347" t="str"><v>AZR_FreeAcctRetargetingLI-Credit-ChA_USA_1200x627_LIA_Plat_English_Free Account_Standard_NA_SINU_T1_1</v></cell><cell r="AJ347"><v>104593435</v></cell></row><row r="348"><cell r="D348" t="str"><v>43353226774233</v></cell><cell r="E348" t="str"><v>43353104593723PS7B68</v></cell><cell r="F348" t="str"><v>DCM</v></cell></row><row r="348"><cell r="H348"><v>9</v></cell><cell r="I348" t="str"><v>Azure Direct</v></cell><cell r="J348" t="str"><v>Azure Direct</v></cell><cell r="K348" t="str"><v>September</v></cell><cell r="L348"><v>43358</v></cell><cell r="M348" t="str"><v>Tier 0</v></cell><cell r="N348" t="str"><v>North America</v></cell><cell r="O348" t="str"><v>United States</v></cell><cell r="P348" t="str"><v>Trial</v></cell><cell r="Q348" t="str"><v>Social</v></cell><cell r="R348" t="str"><v>Azure</v></cell><cell r="S348" t="str"><v>Apps & Infra</v></cell><cell r="T348" t="str"><v>Developers & ITI's</v></cell><cell r="U348" t="str"><v>USA-Trial-ITD-Job Titles Prospecting-AZR-AZR</v></cell><cell r="V348" t="str"><v>Prospecting</v></cell><cell r="W348" t="str"><v>Link Ad</v></cell><cell r="X348" t="str"><v>1200x627</v></cell><cell r="Y348" t="str"><v>Sign Up</v></cell><cell r="Z348" t="str"><v>Not Applicable</v></cell><cell r="AA348"><v>43353</v></cell><cell r="AB348" t="str"><v>USA_gaPMG_AZR_AZR_Q1_19_Direct-Social</v></cell><cell r="AC348"><v>21358715</v></cell><cell r="AD348"><v>720197</v></cell><cell r="AE348" t="str"><v>Linkedin</v></cell><cell r="AF348"><v>3654329</v></cell><cell r="AG348" t="str"><v>LINKEDIN»USA-Trial-ITD-Job Titles Prospecting-AZR-AZR»1 x 1»SocialBan»LIA»ALL»CPA»PRO»D»All»SS»NA»FreeAcctRetargetingLI-GlobalAlt-ChB»PS7B68</v></cell><cell r="AH348"><v>226774233</v></cell><cell r="AI348" t="str"><v>AZR_FreeAcctRetargetingLI-GlobalAlt-ChB_USA_1200x627_LIA_Plat_English_Free Account_Standard_NA_SINU_T2_1</v></cell><cell r="AJ348"><v>104593723</v></cell></row><row r="349"><cell r="D349" t="str"><v>43353226620871</v></cell><cell r="E349" t="str"><v>43353104671415PS7B6D</v></cell><cell r="F349" t="str"><v>DCM</v></cell></row><row r="349"><cell r="H349"><v>0</v></cell><cell r="I349" t="str"><v>Azure Direct</v></cell><cell r="J349" t="str"><v>Azure Direct</v></cell><cell r="K349" t="str"><v>September</v></cell><cell r="L349"><v>43358</v></cell><cell r="M349" t="str"><v>Tier 0</v></cell><cell r="N349" t="str"><v>North America</v></cell><cell r="O349" t="str"><v>United States</v></cell><cell r="P349" t="str"><v>Trial</v></cell><cell r="Q349" t="str"><v>Social</v></cell><cell r="R349" t="str"><v>Azure</v></cell><cell r="S349" t="str"><v>Apps & Infra</v></cell><cell r="T349" t="str"><v>Developers & ITI's</v></cell><cell r="U349" t="str"><v>USA-Trial-ITD-Job Titles Prospecting-AZR-AZR</v></cell><cell r="V349" t="str"><v>Prospecting</v></cell><cell r="W349" t="str"><v>Link Ad</v></cell><cell r="X349" t="str"><v>1200x627</v></cell><cell r="Y349" t="str"><v>Sign Up</v></cell><cell r="Z349" t="str"><v>Not Applicable</v></cell><cell r="AA349"><v>43353</v></cell><cell r="AB349" t="str"><v>USA_gaPMG_AZR_AZR_Q1_19_Direct-Social</v></cell><cell r="AC349"><v>21358715</v></cell><cell r="AD349"><v>720197</v></cell><cell r="AE349" t="str"><v>Linkedin</v></cell><cell r="AF349"><v>3654329</v></cell><cell r="AG349" t="str"><v>LINKEDIN»USA-Trial-ITD-Job Titles Prospecting-AZR-AZR»1 x 1»SocialBan»LIA»ALL»CPA»PRO»D»All»SS»NA»FreeAcctRetargetingVMLI-750Hrs-ChD»PS7B6D</v></cell><cell r="AH349"><v>226620871</v></cell><cell r="AI349" t="str"><v>AZR_FreeAcctRetargetingVMLI-750Hrs-ChD_USA_1200x627_LIA_Plat_English_Free Account_Standard_NA_SINU_T1_1</v></cell><cell r="AJ349"><v>104671415</v></cell></row><row r="350"><cell r="D350" t="str"><v>43353226774236</v></cell><cell r="E350" t="str"><v>43353104592529PS7B6F</v></cell><cell r="F350" t="str"><v>DCM</v></cell></row><row r="350"><cell r="H350"><v>0</v></cell><cell r="I350" t="str"><v>Azure Direct</v></cell><cell r="J350" t="str"><v>Azure Direct</v></cell><cell r="K350" t="str"><v>September</v></cell><cell r="L350"><v>43358</v></cell><cell r="M350" t="str"><v>Tier 0</v></cell><cell r="N350" t="str"><v>North America</v></cell><cell r="O350" t="str"><v>United States</v></cell><cell r="P350" t="str"><v>Trial</v></cell><cell r="Q350" t="str"><v>Social</v></cell><cell r="R350" t="str"><v>Azure</v></cell><cell r="S350" t="str"><v>Apps & Infra</v></cell><cell r="T350" t="str"><v>Developers & ITI's</v></cell><cell r="U350" t="str"><v>USA-Trial-ITD-Job Titles Prospecting-AZR-AZR</v></cell><cell r="V350" t="str"><v>Prospecting</v></cell><cell r="W350" t="str"><v>Link Ad</v></cell><cell r="X350" t="str"><v>1200x627</v></cell><cell r="Y350" t="str"><v>Sign Up</v></cell><cell r="Z350" t="str"><v>Not Applicable</v></cell><cell r="AA350"><v>43353</v></cell><cell r="AB350" t="str"><v>USA_gaPMG_AZR_AZR_Q1_19_Direct-Social</v></cell><cell r="AC350"><v>21358715</v></cell><cell r="AD350"><v>720197</v></cell><cell r="AE350" t="str"><v>Linkedin</v></cell><cell r="AF350"><v>3654329</v></cell><cell r="AG350" t="str"><v>LINKEDIN»USA-Trial-ITD-Job Titles Prospecting-AZR-AZR»1 x 1»SocialBan»LIA»ALL»CPA»PRO»D»All»SS»NA»FreeAcctRetargetingVMLI-OnDemand-ChE»PS7B6F</v></cell><cell r="AH350"><v>226774236</v></cell><cell r="AI350" t="str"><v>AZR_FreeAcctRetargetingVMLI-OnDemand-ChE_USA_1200x627_LIA_Plat_English_Free Account_Standard_NA_SINU_T2_1</v></cell><cell r="AJ350"><v>104592529</v></cell></row><row r="351"><cell r="D351" t="str"><v>43353226785117</v></cell><cell r="E351" t="str"><v>43353104593444PS7B6N</v></cell><cell r="F351" t="str"><v>DCM</v></cell></row><row r="351"><cell r="H351"><v>0</v></cell><cell r="I351" t="str"><v>Azure Direct</v></cell><cell r="J351" t="str"><v>Azure Direct</v></cell><cell r="K351" t="str"><v>September</v></cell><cell r="L351"><v>43358</v></cell><cell r="M351" t="str"><v>Tier 0</v></cell><cell r="N351" t="str"><v>North America</v></cell><cell r="O351" t="str"><v>United States</v></cell><cell r="P351" t="str"><v>Trial</v></cell><cell r="Q351" t="str"><v>Social</v></cell><cell r="R351" t="str"><v>Azure</v></cell><cell r="S351" t="str"><v>Apps & Infra</v></cell><cell r="T351" t="str"><v>Developers & ITI's</v></cell><cell r="U351" t="str"><v>USA-Trial-ITD-Job Titles Prospecting-AZR-AZR</v></cell><cell r="V351" t="str"><v>Prospecting</v></cell><cell r="W351" t="str"><v>Video Link ad</v></cell><cell r="X351" t="str"><v>1920x1080</v></cell><cell r="Y351" t="str"><v>Learn More</v></cell><cell r="Z351" t="str"><v>Animated Banner</v></cell><cell r="AA351"><v>43353</v></cell><cell r="AB351" t="str"><v>USA_gaPMG_AZR_AZR_Q1_19_Direct-Social</v></cell><cell r="AC351"><v>21358715</v></cell><cell r="AD351"><v>720197</v></cell><cell r="AE351" t="str"><v>Linkedin</v></cell><cell r="AF351"><v>3654329</v></cell><cell r="AG351" t="str"><v>LINKEDIN»USA-Trial-ITD-Job Titles Prospecting-AZR-AZR»1 x 1»SocialBan»VLA»ALL»CPA»PRO»D»All»SS»NA»FreeAcctDeveloperLI-AnimatedAI-Ch3»PS7B6N</v></cell><cell r="AH351"><v>226785117</v></cell><cell r="AI351" t="str"><v>AZR_FreeAcctDeveloperLI-AnimatedAI-Ch3_USA_1920x1080_VLA_Direct_EN_Trial_Standard_ANI_LEA_T3_1</v></cell><cell r="AJ351"><v>104593444</v></cell></row><row r="352"><cell r="D352" t="str"><v>43353226538462</v></cell><cell r="E352" t="str"><v>43353104593732PS7B6P</v></cell><cell r="F352" t="str"><v>DCM</v></cell></row><row r="352"><cell r="H352"><v>1</v></cell><cell r="I352" t="str"><v>Azure Direct</v></cell><cell r="J352" t="str"><v>Azure Direct</v></cell><cell r="K352" t="str"><v>September</v></cell><cell r="L352"><v>43358</v></cell><cell r="M352" t="str"><v>Tier 0</v></cell><cell r="N352" t="str"><v>North America</v></cell><cell r="O352" t="str"><v>United States</v></cell><cell r="P352" t="str"><v>Trial</v></cell><cell r="Q352" t="str"><v>Social</v></cell><cell r="R352" t="str"><v>Azure</v></cell><cell r="S352" t="str"><v>Apps & Infra</v></cell><cell r="T352" t="str"><v>Developers & ITI's</v></cell><cell r="U352" t="str"><v>USA-Trial-ITD-Job Titles Prospecting-AZR-AZR</v></cell><cell r="V352" t="str"><v>Prospecting</v></cell><cell r="W352" t="str"><v>Video Link ad</v></cell><cell r="X352" t="str"><v>1920x1080</v></cell><cell r="Y352" t="str"><v>Learn More</v></cell><cell r="Z352" t="str"><v>Animated Banner</v></cell><cell r="AA352"><v>43353</v></cell><cell r="AB352" t="str"><v>USA_gaPMG_AZR_AZR_Q1_19_Direct-Social</v></cell><cell r="AC352"><v>21358715</v></cell><cell r="AD352"><v>720197</v></cell><cell r="AE352" t="str"><v>Linkedin</v></cell><cell r="AF352"><v>3654329</v></cell><cell r="AG352" t="str"><v>LINKEDIN»USA-Trial-ITD-Job Titles Prospecting-AZR-AZR»1 x 1»SocialBan»VLA»ALL»CPA»PRO»D»All»SS»NA»FreeAcctDeveloperLI-AnimatedData-Ch4»PS7B6P</v></cell><cell r="AH352"><v>226538462</v></cell><cell r="AI352" t="str"><v>AZR_FreeAcctDeveloperLI-AnimatedData-Ch4_USA_1920x1080_VLA_Direct_EN_Trial_Standard_ANI_LEA_T4_1</v></cell><cell r="AJ352"><v>104593732</v></cell></row><row r="353"><cell r="D353" t="str"><v>43353226536059</v></cell><cell r="E353" t="str"><v>43353104595736PS7B6J</v></cell><cell r="F353" t="str"><v>DCM</v></cell></row><row r="353"><cell r="H353"><v>0</v></cell><cell r="I353" t="str"><v>Azure Direct</v></cell><cell r="J353" t="str"><v>Azure Direct</v></cell><cell r="K353" t="str"><v>September</v></cell><cell r="L353"><v>43358</v></cell><cell r="M353" t="str"><v>Tier 0</v></cell><cell r="N353" t="str"><v>North America</v></cell><cell r="O353" t="str"><v>United States</v></cell><cell r="P353" t="str"><v>Trial</v></cell><cell r="Q353" t="str"><v>Social</v></cell><cell r="R353" t="str"><v>Azure</v></cell><cell r="S353" t="str"><v>Apps & Infra</v></cell><cell r="T353" t="str"><v>Developers & ITI's</v></cell><cell r="U353" t="str"><v>USA-Trial-ITD-Job Titles Prospecting-AZR-AZR</v></cell><cell r="V353" t="str"><v>Prospecting</v></cell><cell r="W353" t="str"><v>Video Link ad</v></cell><cell r="X353" t="str"><v>1920x1080</v></cell><cell r="Y353" t="str"><v>Learn More</v></cell><cell r="Z353" t="str"><v>Animated Banner</v></cell><cell r="AA353"><v>43353</v></cell><cell r="AB353" t="str"><v>USA_gaPMG_AZR_AZR_Q1_19_Direct-Social</v></cell><cell r="AC353"><v>21358715</v></cell><cell r="AD353"><v>720197</v></cell><cell r="AE353" t="str"><v>Linkedin</v></cell><cell r="AF353"><v>3654329</v></cell><cell r="AG353" t="str"><v>LINKEDIN»USA-Trial-ITD-Job Titles Prospecting-AZR-AZR»1 x 1»SocialBan»VLA»ALL»CPA»PRO»D»All»SS»NA»FreeAcctDeveloperLI-AnimatedGeneric-Ch1»PS7B6J</v></cell><cell r="AH353"><v>226536059</v></cell><cell r="AI353" t="str"><v>AZR_FreeAcctDeveloperLI-AnimatedGeneric-Ch1_USA_1920x1080_VLA_Direct_EN_Trial_Standard_ANI_LEA_T1_1</v></cell><cell r="AJ353"><v>104595736</v></cell></row><row r="354"><cell r="D354" t="str"><v>43353226774230</v></cell><cell r="E354" t="str"><v>43353104595736PS7B6K</v></cell><cell r="F354" t="str"><v>DCM</v></cell></row><row r="354"><cell r="H354"><v>0</v></cell><cell r="I354" t="str"><v>Azure Direct</v></cell><cell r="J354" t="str"><v>Azure Direct</v></cell><cell r="K354" t="str"><v>September</v></cell><cell r="L354"><v>43358</v></cell><cell r="M354" t="str"><v>Tier 0</v></cell><cell r="N354" t="str"><v>North America</v></cell><cell r="O354" t="str"><v>United States</v></cell><cell r="P354" t="str"><v>Trial</v></cell><cell r="Q354" t="str"><v>Social</v></cell><cell r="R354" t="str"><v>Azure</v></cell><cell r="S354" t="str"><v>Apps & Infra</v></cell><cell r="T354" t="str"><v>Developers & ITI's</v></cell><cell r="U354" t="str"><v>USA-Trial-ITD-Job Titles Prospecting-AZR-AZR</v></cell><cell r="V354" t="str"><v>Prospecting</v></cell><cell r="W354" t="str"><v>Video Link ad</v></cell><cell r="X354" t="str"><v>1920x1080</v></cell><cell r="Y354" t="str"><v>Learn More</v></cell><cell r="Z354" t="str"><v>Animated Banner</v></cell><cell r="AA354"><v>43353</v></cell><cell r="AB354" t="str"><v>USA_gaPMG_AZR_AZR_Q1_19_Direct-Social</v></cell><cell r="AC354"><v>21358715</v></cell><cell r="AD354"><v>720197</v></cell><cell r="AE354" t="str"><v>Linkedin</v></cell><cell r="AF354"><v>3654329</v></cell><cell r="AG354" t="str"><v>LINKEDIN»USA-Trial-ITD-Job Titles Prospecting-AZR-AZR»1 x 1»SocialBan»VLA»ALL»CPA»PRO»D»All»SS»NA»FreeAcctDeveloperLI-AnimatedGeneric-Ch1»PS7B6K</v></cell><cell r="AH354"><v>226774230</v></cell><cell r="AI354" t="str"><v>AZR_FreeAcctDeveloperLI-AnimatedGeneric-Ch1_USA_1920x1080_VLA_Direct_EN_Trial_Standard_ANI_LEA_T1_1</v></cell><cell r="AJ354"><v>104595736</v></cell></row><row r="355"><cell r="D355" t="str"><v>43353226536053</v></cell><cell r="E355" t="str"><v>43353104671424PS7B6R</v></cell><cell r="F355" t="str"><v>DCM</v></cell></row><row r="355"><cell r="H355"><v>0</v></cell><cell r="I355" t="str"><v>Azure Direct</v></cell><cell r="J355" t="str"><v>Azure Direct</v></cell><cell r="K355" t="str"><v>September</v></cell><cell r="L355"><v>43358</v></cell><cell r="M355" t="str"><v>Tier 0</v></cell><cell r="N355" t="str"><v>North America</v></cell><cell r="O355" t="str"><v>United States</v></cell><cell r="P355" t="str"><v>Trial</v></cell><cell r="Q355" t="str"><v>Social</v></cell><cell r="R355" t="str"><v>Azure</v></cell><cell r="S355" t="str"><v>Apps & Infra</v></cell><cell r="T355" t="str"><v>Developers & ITI's</v></cell><cell r="U355" t="str"><v>USA-Trial-ITD-Job Titles Prospecting-AZR-AZR</v></cell><cell r="V355" t="str"><v>Prospecting</v></cell><cell r="W355" t="str"><v>Video Link ad</v></cell><cell r="X355" t="str"><v>1920x1080</v></cell><cell r="Y355" t="str"><v>Learn More</v></cell><cell r="Z355" t="str"><v>Animated Banner</v></cell><cell r="AA355"><v>43353</v></cell><cell r="AB355" t="str"><v>USA_gaPMG_AZR_AZR_Q1_19_Direct-Social</v></cell><cell r="AC355"><v>21358715</v></cell><cell r="AD355"><v>720197</v></cell><cell r="AE355" t="str"><v>Linkedin</v></cell><cell r="AF355"><v>3654329</v></cell><cell r="AG355" t="str"><v>LINKEDIN»USA-Trial-ITD-Job Titles Prospecting-AZR-AZR»1 x 1»SocialBan»VLA»ALL»CPA»PRO»D»All»SS»NA»FreeAcctITProLI-AnimatedHybrid-Ch2»PS7B6R</v></cell><cell r="AH355"><v>226536053</v></cell><cell r="AI355" t="str"><v>AZR_FreeAcctITProLI-AnimatedHybrid-Ch2_USA_1920x1080_VLA_Direct_EN_Trial_Standard_ANI_LEA_T2_1</v></cell><cell r="AJ355"><v>104671424</v></cell></row><row r="356"><cell r="D356" t="str"><v>43353226774242</v></cell><cell r="E356" t="str"><v>43353104592532PS7B6Z</v></cell><cell r="F356" t="str"><v>DCM</v></cell></row><row r="356"><cell r="H356"><v>1</v></cell><cell r="I356" t="str"><v>Azure Direct</v></cell><cell r="J356" t="str"><v>Azure Direct</v></cell><cell r="K356" t="str"><v>September</v></cell><cell r="L356"><v>43358</v></cell><cell r="M356" t="str"><v>Tier 0</v></cell><cell r="N356" t="str"><v>North America</v></cell><cell r="O356" t="str"><v>United States</v></cell><cell r="P356" t="str"><v>Trial</v></cell><cell r="Q356" t="str"><v>Social</v></cell><cell r="R356" t="str"><v>Azure</v></cell><cell r="S356" t="str"><v>Apps & Infra</v></cell><cell r="T356" t="str"><v>Developers & ITI's</v></cell><cell r="U356" t="str"><v>USA-Trial-ITD-Job Titles Prospecting-AZR-AZR</v></cell><cell r="V356" t="str"><v>Prospecting</v></cell><cell r="W356" t="str"><v>Video Link ad</v></cell><cell r="X356" t="str"><v>1920x1080</v></cell><cell r="Y356" t="str"><v>Learn More</v></cell><cell r="Z356" t="str"><v>Animated Banner</v></cell><cell r="AA356"><v>43353</v></cell><cell r="AB356" t="str"><v>USA_gaPMG_AZR_AZR_Q1_19_Direct-Social</v></cell><cell r="AC356"><v>21358715</v></cell><cell r="AD356"><v>720197</v></cell><cell r="AE356" t="str"><v>Linkedin</v></cell><cell r="AF356"><v>3654329</v></cell><cell r="AG356" t="str"><v>LINKEDIN»USA-Trial-ITD-Job Titles Prospecting-AZR-AZR»1 x 1»SocialBan»VLA»ALL»CPA»PRO»D»All»SS»NA»FreeAcctITProLI-AnimatedMigration-Ch3»PS7B6Z</v></cell><cell r="AH356"><v>226774242</v></cell><cell r="AI356" t="str"><v>AZR_FreeAcctITProLI-AnimatedMigration-Ch3_USA_1920x1080_VLA_Direct_EN_Trial_Standard_ANI_LEA_T3_1</v></cell><cell r="AJ356"><v>104592532</v></cell></row><row r="357"><cell r="D357" t="str"><v>43353226785099</v></cell><cell r="E357" t="str"><v>43353104593447PS7B6Q</v></cell><cell r="F357" t="str"><v>DCM</v></cell></row><row r="357"><cell r="H357"><v>0</v></cell><cell r="I357" t="str"><v>Azure Direct</v></cell><cell r="J357" t="str"><v>Azure Direct</v></cell><cell r="K357" t="str"><v>September</v></cell><cell r="L357"><v>43358</v></cell><cell r="M357" t="str"><v>Tier 0</v></cell><cell r="N357" t="str"><v>North America</v></cell><cell r="O357" t="str"><v>United States</v></cell><cell r="P357" t="str"><v>Trial</v></cell><cell r="Q357" t="str"><v>Social</v></cell><cell r="R357" t="str"><v>Azure</v></cell><cell r="S357" t="str"><v>Apps & Infra</v></cell><cell r="T357" t="str"><v>Developers & ITI's</v></cell><cell r="U357" t="str"><v>USA-Trial-ITD-Job Titles Prospecting-AZR-AZR</v></cell><cell r="V357" t="str"><v>Prospecting</v></cell><cell r="W357" t="str"><v>Video Link ad</v></cell><cell r="X357" t="str"><v>1920x1080</v></cell><cell r="Y357" t="str"><v>Learn More</v></cell><cell r="Z357" t="str"><v>Animated Banner</v></cell><cell r="AA357"><v>43353</v></cell><cell r="AB357" t="str"><v>USA_gaPMG_AZR_AZR_Q1_19_Direct-Social</v></cell><cell r="AC357"><v>21358715</v></cell><cell r="AD357"><v>720197</v></cell><cell r="AE357" t="str"><v>Linkedin</v></cell><cell r="AF357"><v>3654329</v></cell><cell r="AG357" t="str"><v>LINKEDIN»USA-Trial-ITD-Job Titles Prospecting-AZR-AZR»1 x 1»SocialBan»VLA»ALL»CPA»PRO»D»All»SS»NA»FreeAcctITProLI-AnimatedSecureWellMngd-Ch1»PS7B6Q</v></cell><cell r="AH357"><v>226785099</v></cell><cell r="AI357" t="str"><v>AZR_FreeAcctITProLI-AnimatedSecureWellMngd-Ch1_USA_1920x1080_VLA_Direct_EN_Trial_Standard_ANI_LEA_T1_1</v></cell><cell r="AJ357"><v>104593447</v></cell></row><row r="358"><cell r="D358" t="str"><v>43353226537553</v></cell><cell r="E358" t="str"><v>43353104671415PS7BTZ</v></cell><cell r="F358" t="str"><v>DCM</v></cell></row><row r="358"><cell r="H358"><v>0</v></cell><cell r="I358" t="str"><v>Azure Direct</v></cell><cell r="J358" t="str"><v>Azure Direct</v></cell><cell r="K358" t="str"><v>September</v></cell><cell r="L358"><v>43358</v></cell><cell r="M358" t="str"><v>Tier 0</v></cell><cell r="N358" t="str"><v>North America</v></cell><cell r="O358" t="str"><v>United States</v></cell><cell r="P358" t="str"><v>Trial</v></cell><cell r="Q358" t="str"><v>Social</v></cell><cell r="R358" t="str"><v>Azure</v></cell><cell r="S358" t="str"><v>Apps & Infra</v></cell><cell r="T358" t="str"><v>Developers & ITI's</v></cell><cell r="U358" t="str"><v>USA-Trial-ITD-Skills Prospecting-AZR-AZR</v></cell><cell r="V358" t="str"><v>Prospecting</v></cell><cell r="W358" t="str"><v>Link Ad</v></cell><cell r="X358" t="str"><v>1200x627</v></cell><cell r="Y358" t="str"><v>Sign Up</v></cell><cell r="Z358" t="str"><v>Not Applicable</v></cell><cell r="AA358"><v>43353</v></cell><cell r="AB358" t="str"><v>USA_gaPMG_AZR_AZR_Q1_19_Direct-Social</v></cell><cell r="AC358"><v>21358715</v></cell><cell r="AD358"><v>720197</v></cell><cell r="AE358" t="str"><v>Linkedin</v></cell><cell r="AF358"><v>3654329</v></cell><cell r="AG358" t="str"><v>LINKEDIN»USA-Trial-ITD-Skills Prospecting-AZR-AZR»1 x 1»SocialBan»LIA»ALL»CPA»PRO»D»All»SS»NA»FreeAcctRetargetingVMLI-750Hrs-ChD»PS7BTZ</v></cell><cell r="AH358"><v>226537553</v></cell><cell r="AI358" t="str"><v>AZR_FreeAcctRetargetingVMLI-750Hrs-ChD_USA_1200x627_LIA_Plat_English_Free Account_Standard_NA_SINU_T1_1</v></cell><cell r="AJ358"><v>104671415</v></cell></row><row r="359"><cell r="D359" t="str"><v>43353226536077</v></cell><cell r="E359" t="str"><v>43353104593435PS7BVM</v></cell><cell r="F359" t="str"><v>DCM</v></cell></row><row r="359"><cell r="H359"><v>0</v></cell><cell r="I359" t="str"><v>Azure Direct</v></cell><cell r="J359" t="str"><v>Azure Direct</v></cell><cell r="K359" t="str"><v>September</v></cell><cell r="L359"><v>43358</v></cell><cell r="M359" t="str"><v>Tier 0</v></cell><cell r="N359" t="str"><v>North America</v></cell><cell r="O359" t="str"><v>United States</v></cell><cell r="P359" t="str"><v>Trial</v></cell><cell r="Q359" t="str"><v>Social</v></cell><cell r="R359" t="str"><v>Azure</v></cell><cell r="S359" t="str"><v>Apps & Infra</v></cell><cell r="T359" t="str"><v>Developers & ITI's</v></cell><cell r="U359" t="str"><v>USA-Trial-ITD-Website Retargeting-AZR-AZR</v></cell><cell r="V359" t="str"><v>Retargeting</v></cell><cell r="W359" t="str"><v>Link Ad</v></cell><cell r="X359" t="str"><v>1200x627</v></cell><cell r="Y359" t="str"><v>Sign Up</v></cell><cell r="Z359" t="str"><v>Not Applicable</v></cell><cell r="AA359"><v>43353</v></cell><cell r="AB359" t="str"><v>USA_gaPMG_AZR_AZR_Q1_19_Direct-Social</v></cell><cell r="AC359"><v>21358715</v></cell><cell r="AD359"><v>720197</v></cell><cell r="AE359" t="str"><v>Linkedin</v></cell><cell r="AF359"><v>3654329</v></cell><cell r="AG359" t="str"><v>LINKEDIN»USA-Trial-ITD-Website Retargeting-AZR-AZR»1 x 1»SocialBan»LIA»ALL»CPA»RT»D»All»SS»NA»FreeAcctRetargetingLI-Credit-ChA»PS7BVM</v></cell><cell r="AH359"><v>226536077</v></cell><cell r="AI359" t="str"><v>AZR_FreeAcctRetargetingLI-Credit-ChA_USA_1200x627_LIA_Plat_English_Free Account_Standard_NA_SINU_T1_1</v></cell><cell r="AJ359"><v>104593435</v></cell></row><row r="360"><cell r="D360" t="str"><v>43353226537496</v></cell><cell r="E360" t="str"><v>43353104593723PS7BVR</v></cell><cell r="F360" t="str"><v>DCM</v></cell></row><row r="360"><cell r="H360"><v>3</v></cell><cell r="I360" t="str"><v>Azure Direct</v></cell><cell r="J360" t="str"><v>Azure Direct</v></cell><cell r="K360" t="str"><v>September</v></cell><cell r="L360"><v>43358</v></cell><cell r="M360" t="str"><v>Tier 0</v></cell><cell r="N360" t="str"><v>North America</v></cell><cell r="O360" t="str"><v>United States</v></cell><cell r="P360" t="str"><v>Trial</v></cell><cell r="Q360" t="str"><v>Social</v></cell><cell r="R360" t="str"><v>Azure</v></cell><cell r="S360" t="str"><v>Apps & Infra</v></cell><cell r="T360" t="str"><v>Developers & ITI's</v></cell><cell r="U360" t="str"><v>USA-Trial-ITD-Website Retargeting-AZR-AZR</v></cell><cell r="V360" t="str"><v>Retargeting</v></cell><cell r="W360" t="str"><v>Link Ad</v></cell><cell r="X360" t="str"><v>1200x627</v></cell><cell r="Y360" t="str"><v>Sign Up</v></cell><cell r="Z360" t="str"><v>Not Applicable</v></cell><cell r="AA360"><v>43353</v></cell><cell r="AB360" t="str"><v>USA_gaPMG_AZR_AZR_Q1_19_Direct-Social</v></cell><cell r="AC360"><v>21358715</v></cell><cell r="AD360"><v>720197</v></cell><cell r="AE360" t="str"><v>Linkedin</v></cell><cell r="AF360"><v>3654329</v></cell><cell r="AG360" t="str"><v>LINKEDIN»USA-Trial-ITD-Website Retargeting-AZR-AZR»1 x 1»SocialBan»LIA»ALL»CPA»RT»D»All»SS»NA»FreeAcctRetargetingLI-GlobalAlt-ChB»PS7BVR</v></cell><cell r="AH360"><v>226537496</v></cell><cell r="AI360" t="str"><v>AZR_FreeAcctRetargetingLI-GlobalAlt-ChB_USA_1200x627_LIA_Plat_English_Free Account_Standard_NA_SINU_T2_1</v></cell><cell r="AJ360"><v>104593723</v></cell></row><row r="361"><cell r="D361" t="str"><v>43353226537529</v></cell><cell r="E361" t="str"><v>43353104671415PS7BVJ</v></cell><cell r="F361" t="str"><v>DCM</v></cell></row><row r="361"><cell r="H361"><v>19</v></cell><cell r="I361" t="str"><v>Azure Direct</v></cell><cell r="J361" t="str"><v>Azure Direct</v></cell><cell r="K361" t="str"><v>September</v></cell><cell r="L361"><v>43358</v></cell><cell r="M361" t="str"><v>Tier 0</v></cell><cell r="N361" t="str"><v>North America</v></cell><cell r="O361" t="str"><v>United States</v></cell><cell r="P361" t="str"><v>Trial</v></cell><cell r="Q361" t="str"><v>Social</v></cell><cell r="R361" t="str"><v>Azure</v></cell><cell r="S361" t="str"><v>Apps & Infra</v></cell><cell r="T361" t="str"><v>Developers & ITI's</v></cell><cell r="U361" t="str"><v>USA-Trial-ITD-Website Retargeting-AZR-AZR</v></cell><cell r="V361" t="str"><v>Retargeting</v></cell><cell r="W361" t="str"><v>Link Ad</v></cell><cell r="X361" t="str"><v>1200x627</v></cell><cell r="Y361" t="str"><v>Sign Up</v></cell><cell r="Z361" t="str"><v>Not Applicable</v></cell><cell r="AA361"><v>43353</v></cell><cell r="AB361" t="str"><v>USA_gaPMG_AZR_AZR_Q1_19_Direct-Social</v></cell><cell r="AC361"><v>21358715</v></cell><cell r="AD361"><v>720197</v></cell><cell r="AE361" t="str"><v>Linkedin</v></cell><cell r="AF361"><v>3654329</v></cell><cell r="AG361" t="str"><v>LINKEDIN»USA-Trial-ITD-Website Retargeting-AZR-AZR»1 x 1»SocialBan»LIA»ALL»CPA»RT»D»All»SS»NA»FreeAcctRetargetingVMLI-750Hrs-ChD»PS7BVJ</v></cell><cell r="AH361"><v>226537529</v></cell><cell r="AI361" t="str"><v>AZR_FreeAcctRetargetingVMLI-750Hrs-ChD_USA_1200x627_LIA_Plat_English_Free Account_Standard_NA_SINU_T1_1</v></cell><cell r="AJ361"><v>104671415</v></cell></row><row r="362"><cell r="D362" t="str"><v>43353226537532</v></cell><cell r="E362" t="str"><v>43353104592529PS7BVK</v></cell><cell r="F362" t="str"><v>DCM</v></cell></row><row r="362"><cell r="H362"><v>0</v></cell><cell r="I362" t="str"><v>Azure Direct</v></cell><cell r="J362" t="str"><v>Azure Direct</v></cell><cell r="K362" t="str"><v>September</v></cell><cell r="L362"><v>43358</v></cell><cell r="M362" t="str"><v>Tier 0</v></cell><cell r="N362" t="str"><v>North America</v></cell><cell r="O362" t="str"><v>United States</v></cell><cell r="P362" t="str"><v>Trial</v></cell><cell r="Q362" t="str"><v>Social</v></cell><cell r="R362" t="str"><v>Azure</v></cell><cell r="S362" t="str"><v>Apps & Infra</v></cell><cell r="T362" t="str"><v>Developers & ITI's</v></cell><cell r="U362" t="str"><v>USA-Trial-ITD-Website Retargeting-AZR-AZR</v></cell><cell r="V362" t="str"><v>Retargeting</v></cell><cell r="W362" t="str"><v>Link Ad</v></cell><cell r="X362" t="str"><v>1200x627</v></cell><cell r="Y362" t="str"><v>Sign Up</v></cell><cell r="Z362" t="str"><v>Not Applicable</v></cell><cell r="AA362"><v>43353</v></cell><cell r="AB362" t="str"><v>USA_gaPMG_AZR_AZR_Q1_19_Direct-Social</v></cell><cell r="AC362"><v>21358715</v></cell><cell r="AD362"><v>720197</v></cell><cell r="AE362" t="str"><v>Linkedin</v></cell><cell r="AF362"><v>3654329</v></cell><cell r="AG362" t="str"><v>LINKEDIN»USA-Trial-ITD-Website Retargeting-AZR-AZR»1 x 1»SocialBan»LIA»ALL»CPA»RT»D»All»SS»NA»FreeAcctRetargetingVMLI-OnDemand-ChE»PS7BVK</v></cell><cell r="AH362"><v>226537532</v></cell><cell r="AI362" t="str"><v>AZR_FreeAcctRetargetingVMLI-OnDemand-ChE_USA_1200x627_LIA_Plat_English_Free Account_Standard_NA_SINU_T2_1</v></cell><cell r="AJ362"><v>104592529</v></cell></row><row r="363"><cell r="D363" t="str"><v>43353226774218</v></cell><cell r="E363" t="str"><v>43353104593444PS7BVV</v></cell><cell r="F363" t="str"><v>DCM</v></cell></row><row r="363"><cell r="H363"><v>8</v></cell><cell r="I363" t="str"><v>Azure Direct</v></cell><cell r="J363" t="str"><v>Azure Direct</v></cell><cell r="K363" t="str"><v>September</v></cell><cell r="L363"><v>43358</v></cell><cell r="M363" t="str"><v>Tier 0</v></cell><cell r="N363" t="str"><v>North America</v></cell><cell r="O363" t="str"><v>United States</v></cell><cell r="P363" t="str"><v>Trial</v></cell><cell r="Q363" t="str"><v>Social</v></cell><cell r="R363" t="str"><v>Azure</v></cell><cell r="S363" t="str"><v>Apps & Infra</v></cell><cell r="T363" t="str"><v>Developers & ITI's</v></cell><cell r="U363" t="str"><v>USA-Trial-ITD-Website Retargeting-AZR-AZR</v></cell><cell r="V363" t="str"><v>Retargeting</v></cell><cell r="W363" t="str"><v>Video Link ad</v></cell><cell r="X363" t="str"><v>1920x1080</v></cell><cell r="Y363" t="str"><v>Learn More</v></cell><cell r="Z363" t="str"><v>Animated Banner</v></cell><cell r="AA363"><v>43353</v></cell><cell r="AB363" t="str"><v>USA_gaPMG_AZR_AZR_Q1_19_Direct-Social</v></cell><cell r="AC363"><v>21358715</v></cell><cell r="AD363"><v>720197</v></cell><cell r="AE363" t="str"><v>Linkedin</v></cell><cell r="AF363"><v>3654329</v></cell><cell r="AG363" t="str"><v>LINKEDIN»USA-Trial-ITD-Website Retargeting-AZR-AZR»1 x 1»SocialBan»VLA»ALL»CPA»RT»D»All»SS»NA»FreeAcctDeveloperLI-AnimatedAI-Ch3»PS7BVV</v></cell><cell r="AH363"><v>226774218</v></cell><cell r="AI363" t="str"><v>AZR_FreeAcctDeveloperLI-AnimatedAI-Ch3_USA_1920x1080_VLA_Direct_EN_Trial_Standard_ANI_LEA_T3_1</v></cell><cell r="AJ363"><v>104593444</v></cell></row><row r="364"><cell r="D364" t="str"><v>43353226620835</v></cell><cell r="E364" t="str"><v>43353104593732PS7BVW</v></cell><cell r="F364" t="str"><v>DCM</v></cell></row><row r="364"><cell r="H364"><v>0</v></cell><cell r="I364" t="str"><v>Azure Direct</v></cell><cell r="J364" t="str"><v>Azure Direct</v></cell><cell r="K364" t="str"><v>September</v></cell><cell r="L364"><v>43358</v></cell><cell r="M364" t="str"><v>Tier 0</v></cell><cell r="N364" t="str"><v>North America</v></cell><cell r="O364" t="str"><v>United States</v></cell><cell r="P364" t="str"><v>Trial</v></cell><cell r="Q364" t="str"><v>Social</v></cell><cell r="R364" t="str"><v>Azure</v></cell><cell r="S364" t="str"><v>Apps & Infra</v></cell><cell r="T364" t="str"><v>Developers & ITI's</v></cell><cell r="U364" t="str"><v>USA-Trial-ITD-Website Retargeting-AZR-AZR</v></cell><cell r="V364" t="str"><v>Retargeting</v></cell><cell r="W364" t="str"><v>Video Link ad</v></cell><cell r="X364" t="str"><v>1920x1080</v></cell><cell r="Y364" t="str"><v>Learn More</v></cell><cell r="Z364" t="str"><v>Animated Banner</v></cell><cell r="AA364"><v>43353</v></cell><cell r="AB364" t="str"><v>USA_gaPMG_AZR_AZR_Q1_19_Direct-Social</v></cell><cell r="AC364"><v>21358715</v></cell><cell r="AD364"><v>720197</v></cell><cell r="AE364" t="str"><v>Linkedin</v></cell><cell r="AF364"><v>3654329</v></cell><cell r="AG364" t="str"><v>LINKEDIN»USA-Trial-ITD-Website Retargeting-AZR-AZR»1 x 1»SocialBan»VLA»ALL»CPA»RT»D»All»SS»NA»FreeAcctDeveloperLI-AnimatedData-Ch4»PS7BVW</v></cell><cell r="AH364"><v>226620835</v></cell><cell r="AI364" t="str"><v>AZR_FreeAcctDeveloperLI-AnimatedData-Ch4_USA_1920x1080_VLA_Direct_EN_Trial_Standard_ANI_LEA_T4_1</v></cell><cell r="AJ364"><v>104593732</v></cell></row><row r="365"><cell r="D365" t="str"><v>43353226536080</v></cell><cell r="E365" t="str"><v>43353104595736PS7BVP</v></cell><cell r="F365" t="str"><v>DCM</v></cell></row><row r="365"><cell r="H365"><v>0</v></cell><cell r="I365" t="str"><v>Azure Direct</v></cell><cell r="J365" t="str"><v>Azure Direct</v></cell><cell r="K365" t="str"><v>September</v></cell><cell r="L365"><v>43358</v></cell><cell r="M365" t="str"><v>Tier 0</v></cell><cell r="N365" t="str"><v>North America</v></cell><cell r="O365" t="str"><v>United States</v></cell><cell r="P365" t="str"><v>Trial</v></cell><cell r="Q365" t="str"><v>Social</v></cell><cell r="R365" t="str"><v>Azure</v></cell><cell r="S365" t="str"><v>Apps & Infra</v></cell><cell r="T365" t="str"><v>Developers & ITI's</v></cell><cell r="U365" t="str"><v>USA-Trial-ITD-Website Retargeting-AZR-AZR</v></cell><cell r="V365" t="str"><v>Retargeting</v></cell><cell r="W365" t="str"><v>Video Link ad</v></cell><cell r="X365" t="str"><v>1920x1080</v></cell><cell r="Y365" t="str"><v>Learn More</v></cell><cell r="Z365" t="str"><v>Animated Banner</v></cell><cell r="AA365"><v>43353</v></cell><cell r="AB365" t="str"><v>USA_gaPMG_AZR_AZR_Q1_19_Direct-Social</v></cell><cell r="AC365"><v>21358715</v></cell><cell r="AD365"><v>720197</v></cell><cell r="AE365" t="str"><v>Linkedin</v></cell><cell r="AF365"><v>3654329</v></cell><cell r="AG365" t="str"><v>LINKEDIN»USA-Trial-ITD-Website Retargeting-AZR-AZR»1 x 1»SocialBan»VLA»ALL»CPA»RT»D»All»SS»NA»FreeAcctDeveloperLI-AnimatedGeneric-Ch1»PS7BVP</v></cell><cell r="AH365"><v>226536080</v></cell><cell r="AI365" t="str"><v>AZR_FreeAcctDeveloperLI-AnimatedGeneric-Ch1_USA_1920x1080_VLA_Direct_EN_Trial_Standard_ANI_LEA_T1_1</v></cell><cell r="AJ365"><v>104595736</v></cell></row><row r="366"><cell r="D366" t="str"><v>43353226537499</v></cell><cell r="E366" t="str"><v>43353104595763PS7BVT</v></cell><cell r="F366" t="str"><v>DCM</v></cell></row><row r="366"><cell r="H366"><v>0</v></cell><cell r="I366" t="str"><v>Azure Direct</v></cell><cell r="J366" t="str"><v>Azure Direct</v></cell><cell r="K366" t="str"><v>September</v></cell><cell r="L366"><v>43358</v></cell><cell r="M366" t="str"><v>Tier 0</v></cell><cell r="N366" t="str"><v>North America</v></cell><cell r="O366" t="str"><v>United States</v></cell><cell r="P366" t="str"><v>Trial</v></cell><cell r="Q366" t="str"><v>Social</v></cell><cell r="R366" t="str"><v>Azure</v></cell><cell r="S366" t="str"><v>Apps & Infra</v></cell><cell r="T366" t="str"><v>Developers & ITI's</v></cell><cell r="U366" t="str"><v>USA-Trial-ITD-Website Retargeting-AZR-AZR</v></cell><cell r="V366" t="str"><v>Retargeting</v></cell><cell r="W366" t="str"><v>Video Link ad</v></cell><cell r="X366" t="str"><v>1920x1080</v></cell><cell r="Y366" t="str"><v>Learn More</v></cell><cell r="Z366" t="str"><v>Animated Banner</v></cell><cell r="AA366"><v>43353</v></cell><cell r="AB366" t="str"><v>USA_gaPMG_AZR_AZR_Q1_19_Direct-Social</v></cell><cell r="AC366"><v>21358715</v></cell><cell r="AD366"><v>720197</v></cell><cell r="AE366" t="str"><v>Linkedin</v></cell><cell r="AF366"><v>3654329</v></cell><cell r="AG366" t="str"><v>LINKEDIN»USA-Trial-ITD-Website Retargeting-AZR-AZR»1 x 1»SocialBan»VLA»ALL»CPA»RT»D»All»SS»NA»FreeAcctDeveloperLI-AnimatedOpenSource-Ch2»PS7BVT</v></cell><cell r="AH366"><v>226537499</v></cell><cell r="AI366" t="str"><v>AZR_FreeAcctDeveloperLI-AnimatedOpenSource-Ch2_USA_1920x1080_VLA_Direct_EN_Trial_Standard_ANI_LEA_T2_1</v></cell><cell r="AJ366"><v>104595763</v></cell></row><row r="367"><cell r="D367" t="str"><v>43353226774221</v></cell><cell r="E367" t="str"><v>43353104671424PS7BVY</v></cell><cell r="F367" t="str"><v>DCM</v></cell></row><row r="367"><cell r="H367"><v>0</v></cell><cell r="I367" t="str"><v>Azure Direct</v></cell><cell r="J367" t="str"><v>Azure Direct</v></cell><cell r="K367" t="str"><v>September</v></cell><cell r="L367"><v>43358</v></cell><cell r="M367" t="str"><v>Tier 0</v></cell><cell r="N367" t="str"><v>North America</v></cell><cell r="O367" t="str"><v>United States</v></cell><cell r="P367" t="str"><v>Trial</v></cell><cell r="Q367" t="str"><v>Social</v></cell><cell r="R367" t="str"><v>Azure</v></cell><cell r="S367" t="str"><v>Apps & Infra</v></cell><cell r="T367" t="str"><v>Developers & ITI's</v></cell><cell r="U367" t="str"><v>USA-Trial-ITD-Website Retargeting-AZR-AZR</v></cell><cell r="V367" t="str"><v>Retargeting</v></cell><cell r="W367" t="str"><v>Video Link ad</v></cell><cell r="X367" t="str"><v>1920x1080</v></cell><cell r="Y367" t="str"><v>Learn More</v></cell><cell r="Z367" t="str"><v>Animated Banner</v></cell><cell r="AA367"><v>43353</v></cell><cell r="AB367" t="str"><v>USA_gaPMG_AZR_AZR_Q1_19_Direct-Social</v></cell><cell r="AC367"><v>21358715</v></cell><cell r="AD367"><v>720197</v></cell><cell r="AE367" t="str"><v>Linkedin</v></cell><cell r="AF367"><v>3654329</v></cell><cell r="AG367" t="str"><v>LINKEDIN»USA-Trial-ITD-Website Retargeting-AZR-AZR»1 x 1»SocialBan»VLA»ALL»CPA»RT»D»All»SS»NA»FreeAcctITProLI-AnimatedHybrid-Ch2»PS7BVY</v></cell><cell r="AH367"><v>226774221</v></cell><cell r="AI367" t="str"><v>AZR_FreeAcctITProLI-AnimatedHybrid-Ch2_USA_1920x1080_VLA_Direct_EN_Trial_Standard_ANI_LEA_T2_1</v></cell><cell r="AJ367"><v>104671424</v></cell></row><row r="368"><cell r="D368" t="str"><v>43353226537511</v></cell><cell r="E368" t="str"><v>43353104593447PS7BVX</v></cell><cell r="F368" t="str"><v>DCM</v></cell></row><row r="368"><cell r="H368"><v>0</v></cell><cell r="I368" t="str"><v>Azure Direct</v></cell><cell r="J368" t="str"><v>Azure Direct</v></cell><cell r="K368" t="str"><v>September</v></cell><cell r="L368"><v>43358</v></cell><cell r="M368" t="str"><v>Tier 0</v></cell><cell r="N368" t="str"><v>North America</v></cell><cell r="O368" t="str"><v>United States</v></cell><cell r="P368" t="str"><v>Trial</v></cell><cell r="Q368" t="str"><v>Social</v></cell><cell r="R368" t="str"><v>Azure</v></cell><cell r="S368" t="str"><v>Apps & Infra</v></cell><cell r="T368" t="str"><v>Developers & ITI's</v></cell><cell r="U368" t="str"><v>USA-Trial-ITD-Website Retargeting-AZR-AZR</v></cell><cell r="V368" t="str"><v>Retargeting</v></cell><cell r="W368" t="str"><v>Video Link ad</v></cell><cell r="X368" t="str"><v>1920x1080</v></cell><cell r="Y368" t="str"><v>Learn More</v></cell><cell r="Z368" t="str"><v>Animated Banner</v></cell><cell r="AA368"><v>43353</v></cell><cell r="AB368" t="str"><v>USA_gaPMG_AZR_AZR_Q1_19_Direct-Social</v></cell><cell r="AC368"><v>21358715</v></cell><cell r="AD368"><v>720197</v></cell><cell r="AE368" t="str"><v>Linkedin</v></cell><cell r="AF368"><v>3654329</v></cell><cell r="AG368" t="str"><v>LINKEDIN»USA-Trial-ITD-Website Retargeting-AZR-AZR»1 x 1»SocialBan»VLA»ALL»CPA»RT»D»All»SS»NA»FreeAcctITProLI-AnimatedSecureWellMngd-Ch1»PS7BVX</v></cell><cell r="AH368"><v>226537511</v></cell><cell r="AI368" t="str"><v>AZR_FreeAcctITProLI-AnimatedSecureWellMngd-Ch1_USA_1920x1080_VLA_Direct_EN_Trial_Standard_ANI_LEA_T1_1</v></cell><cell r="AJ368"><v>104593447</v></cell></row><row r="369"><cell r="D369" t="str"><v>43353226537493</v></cell><cell r="E369" t="str"><v>43353104595736PS7BVQ</v></cell><cell r="F369" t="str"><v>DCM</v></cell></row><row r="369"><cell r="H369"><v>0</v></cell><cell r="I369" t="str"><v>Azure Direct</v></cell><cell r="J369" t="str"><v>Azure Direct</v></cell><cell r="K369" t="str"><v>September</v></cell><cell r="L369"><v>43358</v></cell><cell r="M369" t="str"><v>Tier 0</v></cell><cell r="N369" t="str"><v>North America</v></cell><cell r="O369" t="str"><v>United States</v></cell><cell r="P369" t="str"><v>Trial</v></cell><cell r="Q369" t="str"><v>Social</v></cell><cell r="R369" t="str"><v>Azure</v></cell><cell r="S369" t="str"><v>Apps & Infra</v></cell><cell r="T369" t="str"><v>Developers & ITI's</v></cell><cell r="U369" t="str"><v>USA-Trial-ITD-Website Retargeting-AZR-AZR</v></cell><cell r="V369" t="str"><v>Retargeting</v></cell><cell r="W369" t="str"><v>Video Link ad</v></cell><cell r="X369" t="str"><v>1920x1080</v></cell><cell r="Y369" t="str"><v>Learn More</v></cell><cell r="Z369" t="str"><v>Animated Banner</v></cell><cell r="AA369"><v>43353</v></cell><cell r="AB369" t="str"><v>USA_gaPMG_AZR_AZR_Q1_19_Direct-Social</v></cell><cell r="AC369"><v>21358715</v></cell><cell r="AD369"><v>720197</v></cell><cell r="AE369" t="str"><v>Linkedin</v></cell><cell r="AF369"><v>3654329</v></cell><cell r="AG369" t="str"><v>LINKEDIN»USA-Trial-ITD-Website Retargeting-AZR-AZR»1 x 1»SocialBan»VLA»ALL»CPA»RT»D»All»SS»NA»FreeAcctDeveloperLI-AnimatedGeneric-Ch1»PS7BVQ</v></cell><cell r="AH369"><v>226537493</v></cell><cell r="AI369" t="str"><v>AZR_FreeAcctDeveloperLI-AnimatedGeneric-Ch1_USA_1920x1080_VLA_Direct_EN_Trial_Standard_ANI_LEA_T1_1</v></cell><cell r="AJ369"><v>104595736</v></cell></row><row r="370"><cell r="D370" t="str"><v>43353226786140</v></cell><cell r="E370" t="str"><v>43353104592532PS7BVS</v></cell><cell r="F370" t="str"><v>DCM</v></cell></row><row r="370"><cell r="H370"><v>0</v></cell><cell r="I370" t="str"><v>Azure Direct</v></cell><cell r="J370" t="str"><v>Azure Direct</v></cell><cell r="K370" t="str"><v>September</v></cell><cell r="L370"><v>43358</v></cell><cell r="M370" t="str"><v>Tier 0</v></cell><cell r="N370" t="str"><v>North America</v></cell><cell r="O370" t="str"><v>United States</v></cell><cell r="P370" t="str"><v>Trial</v></cell><cell r="Q370" t="str"><v>Social</v></cell><cell r="R370" t="str"><v>Azure</v></cell><cell r="S370" t="str"><v>Apps & Infra</v></cell><cell r="T370" t="str"><v>Developers & ITI's</v></cell><cell r="U370" t="str"><v>USA-Trial-ITD-Website Retargeting-AZR-AZR</v></cell><cell r="V370" t="str"><v>Retargeting</v></cell><cell r="W370" t="str"><v>Video Link ad</v></cell><cell r="X370" t="str"><v>1920x1080</v></cell><cell r="Y370" t="str"><v>Learn More</v></cell><cell r="Z370" t="str"><v>Animated Banner</v></cell><cell r="AA370"><v>43353</v></cell><cell r="AB370" t="str"><v>USA_gaPMG_AZR_AZR_Q1_19_Direct-Social</v></cell><cell r="AC370"><v>21358715</v></cell><cell r="AD370"><v>720197</v></cell><cell r="AE370" t="str"><v>Linkedin</v></cell><cell r="AF370"><v>3654329</v></cell><cell r="AG370" t="str"><v>LINKEDIN»USA-Trial-ITD-Website Retargeting-AZR-AZR»1 x 1»SocialBan»VLA»ALL»CPA»RT»D»All»SS»NA»FreeAcctITProLI-AnimatedMigration-Ch3»PS7BVS</v></cell><cell r="AH370"><v>226786140</v></cell><cell r="AI370" t="str"><v>AZR_FreeAcctITProLI-AnimatedMigration-Ch3_USA_1920x1080_VLA_Direct_EN_Trial_Standard_ANI_LEA_T3_1</v></cell><cell r="AJ370"><v>104592532</v></cell></row><row r="371"><cell r="D371" t="str"><v>43354224639151</v></cell><cell r="E371" t="str"><v>43354103316829NowCTA</v></cell><cell r="F371" t="str"><v>DCM</v></cell></row><row r="371"><cell r="H371"><v>0</v></cell><cell r="I371" t="str"><v>Azure Direct</v></cell><cell r="J371" t="str"><v>Azure Direct</v></cell><cell r="K371" t="str"><v>September</v></cell><cell r="L371"><v>43358</v></cell><cell r="M371" t="str"><v>Tier 1</v></cell><cell r="N371" t="str"><v>APAC</v></cell><cell r="O371" t="str"><v>Australia</v></cell><cell r="P371" t="str"><v>Trial</v></cell><cell r="Q371" t="str"><v>Social</v></cell><cell r="R371" t="str"><v>Azure</v></cell><cell r="S371" t="str"><v>Apps & Infra</v></cell><cell r="T371" t="str"><v>Developers & ITI's</v></cell><cell r="U371" t="str"><v>Audience & Interest Targeting</v></cell><cell r="V371" t="str"><v>Audience Targeting</v></cell><cell r="W371" t="str"><v>Canvas Ad</v></cell><cell r="X371" t="str"><v>1080x143</v></cell><cell r="Y371" t="str"><v>Not Applicable </v></cell><cell r="Z371" t="str"><v>Not Applicable</v></cell><cell r="AA371"><v>43354</v></cell><cell r="AB371" t="str"><v>AUS_gaPMG_AZR_AZR_Q1_19_Trial-Social</v></cell><cell r="AC371"><v>21358568</v></cell><cell r="AD371"><v>720191</v></cell><cell r="AE371" t="str"><v>Facebook</v></cell><cell r="AF371"><v>3654128</v></cell><cell r="AG371" t="str"><v>Facebook»Audience & Interest Targeting»1x1»Canvas»OTH»DT»DYN»AUT»W»NA»SS»NA»FBCTCcanvaspage-StartFreeCTA_FBCTCcanvaspage-BuyNowCTA</v></cell><cell r="AH371"><v>224639151</v></cell><cell r="AI371" t="str"><v>AzurePlatform_FBCTCcanvaspage-StartFreeCTA-Img2_AUS_1080x143 _SOC_Plat_English_NA_Standard_NA_NA_T2_1</v></cell><cell r="AJ371"><v>103316829</v></cell></row><row r="372"><cell r="D372" t="str"><v>43354224160780</v></cell><cell r="E372" t="str"><v>43354103186904it ChD</v></cell><cell r="F372" t="str"><v>DCM</v></cell></row><row r="372"><cell r="H372"><v>1</v></cell><cell r="I372" t="str"><v>Azure Direct</v></cell><cell r="J372" t="str"><v>Azure Direct</v></cell><cell r="K372" t="str"><v>September</v></cell><cell r="L372"><v>43358</v></cell><cell r="M372" t="str"><v>Tier 1</v></cell><cell r="N372" t="str"><v>APAC</v></cell><cell r="O372" t="str"><v>Australia</v></cell><cell r="P372" t="str"><v>Trial</v></cell><cell r="Q372" t="str"><v>Social</v></cell><cell r="R372" t="str"><v>Azure</v></cell><cell r="S372" t="str"><v>Apps & Infra</v></cell><cell r="T372" t="str"><v>Developers & ITI's</v></cell><cell r="U372" t="str"><v>Audience & Interest Targeting</v></cell><cell r="V372" t="str"><v>Audience Targeting</v></cell><cell r="W372" t="str"><v>Link Ad</v></cell><cell r="X372" t="str"><v>1200x628</v></cell></row><row r="372"><cell r="Z372" t="str"><v>Not Applicable</v></cell><cell r="AA372"><v>43354</v></cell><cell r="AB372" t="str"><v>AUS_gaPMG_AZR_AZR_Q1_19_Trial-Social</v></cell><cell r="AC372"><v>21358568</v></cell><cell r="AD372"><v>720191</v></cell><cell r="AE372" t="str"><v>Facebook</v></cell><cell r="AF372"><v>3654128</v></cell><cell r="AG372" t="str"><v>Facebook»Audience & Interest Targeting»1x1»TextLink»OTH»DT»DYN»AUT»W»NA»SS»NA»Free Account Refresh- 200 Credit ChD</v></cell><cell r="AH372"><v>224160780</v></cell><cell r="AI372" t="str"><v>AzurePlatform_FreeAcctAppsFACEBOOK200CreditChD_AUS_1200x628_SOC_PLAT_EN_Trial_Standard_NA_SNU_T4_1</v></cell><cell r="AJ372"><v>103186904</v></cell></row><row r="373"><cell r="D373" t="str"><v>43354224160777</v></cell><cell r="E373" t="str"><v>43354103048479ce ChB</v></cell><cell r="F373" t="str"><v>DCM</v></cell></row><row r="373"><cell r="H373"><v>1</v></cell><cell r="I373" t="str"><v>Azure Direct</v></cell><cell r="J373" t="str"><v>Azure Direct</v></cell><cell r="K373" t="str"><v>September</v></cell><cell r="L373"><v>43358</v></cell><cell r="M373" t="str"><v>Tier 1</v></cell><cell r="N373" t="str"><v>APAC</v></cell><cell r="O373" t="str"><v>Australia</v></cell><cell r="P373" t="str"><v>Trial</v></cell><cell r="Q373" t="str"><v>Social</v></cell><cell r="R373" t="str"><v>Azure</v></cell><cell r="S373" t="str"><v>Apps & Infra</v></cell><cell r="T373" t="str"><v>Developers & ITI's</v></cell><cell r="U373" t="str"><v>Audience & Interest Targeting</v></cell><cell r="V373" t="str"><v>Audience Targeting</v></cell><cell r="W373" t="str"><v>Link Ad</v></cell><cell r="X373" t="str"><v>1200x628</v></cell></row><row r="373"><cell r="Z373" t="str"><v>Not Applicable</v></cell><cell r="AA373"><v>43354</v></cell><cell r="AB373" t="str"><v>AUS_gaPMG_AZR_AZR_Q1_19_Trial-Social</v></cell><cell r="AC373"><v>21358568</v></cell><cell r="AD373"><v>720191</v></cell><cell r="AE373" t="str"><v>Facebook</v></cell><cell r="AF373"><v>3654128</v></cell><cell r="AG373" t="str"><v>Facebook»Audience & Interest Targeting»1x1»TextLink»OTH»DT»DYN»AUT»W»NA»SS»NA»Free Account Refresh- Device ChB</v></cell><cell r="AH373"><v>224160777</v></cell><cell r="AI373" t="str"><v>AzurePlatform_FreeAcctAppsFACEBOOKDeviceChB_AUS_1200x628_SOC_PLAT_EN_Trial_Standard_NA_SNU_T2_1</v></cell><cell r="AJ373"><v>103048479</v></cell></row><row r="374"><cell r="D374" t="str"><v>43354224160774</v></cell><cell r="E374" t="str"><v>43354103186910on ChC</v></cell><cell r="F374" t="str"><v>DCM</v></cell></row><row r="374"><cell r="H374"><v>0</v></cell><cell r="I374" t="str"><v>Azure Direct</v></cell><cell r="J374" t="str"><v>Azure Direct</v></cell><cell r="K374" t="str"><v>September</v></cell><cell r="L374"><v>43358</v></cell><cell r="M374" t="str"><v>Tier 1</v></cell><cell r="N374" t="str"><v>APAC</v></cell><cell r="O374" t="str"><v>Australia</v></cell><cell r="P374" t="str"><v>Trial</v></cell><cell r="Q374" t="str"><v>Social</v></cell><cell r="R374" t="str"><v>Azure</v></cell><cell r="S374" t="str"><v>Apps & Infra</v></cell><cell r="T374" t="str"><v>Developers & ITI's</v></cell><cell r="U374" t="str"><v>Audience & Interest Targeting</v></cell><cell r="V374" t="str"><v>Audience Targeting</v></cell><cell r="W374" t="str"><v>Link Ad</v></cell><cell r="X374" t="str"><v>1200x628</v></cell></row><row r="374"><cell r="Z374" t="str"><v>Not Applicable</v></cell><cell r="AA374"><v>43354</v></cell><cell r="AB374" t="str"><v>AUS_gaPMG_AZR_AZR_Q1_19_Trial-Social</v></cell><cell r="AC374"><v>21358568</v></cell><cell r="AD374"><v>720191</v></cell><cell r="AE374" t="str"><v>Facebook</v></cell><cell r="AF374"><v>3654128</v></cell><cell r="AG374" t="str"><v>Facebook»Audience & Interest Targeting»1x1»TextLink»OTH»DT»DYN»AUT»W»NA»SS»NA»Free Account Refresh- Illustration ChC</v></cell><cell r="AH374"><v>224160774</v></cell><cell r="AI374" t="str"><v>AzurePlatform_FreeAcctAppsFACEBOOKIllustrationChC_AUS_1200x628_SOC_PLAT_EN_Trial_Standard_NA_SNU_T3_1</v></cell><cell r="AJ374"><v>103186910</v></cell></row><row r="375"><cell r="D375" t="str"><v>43354224160771</v></cell><cell r="E375" t="str"><v>43354103048488le ChA</v></cell><cell r="F375" t="str"><v>DCM</v></cell></row><row r="375"><cell r="H375"><v>1</v></cell><cell r="I375" t="str"><v>Azure Direct</v></cell><cell r="J375" t="str"><v>Azure Direct</v></cell><cell r="K375" t="str"><v>September</v></cell><cell r="L375"><v>43358</v></cell><cell r="M375" t="str"><v>Tier 1</v></cell><cell r="N375" t="str"><v>APAC</v></cell><cell r="O375" t="str"><v>Australia</v></cell><cell r="P375" t="str"><v>Trial</v></cell><cell r="Q375" t="str"><v>Social</v></cell><cell r="R375" t="str"><v>Azure</v></cell><cell r="S375" t="str"><v>Apps & Infra</v></cell><cell r="T375" t="str"><v>Developers & ITI's</v></cell><cell r="U375" t="str"><v>Audience & Interest Targeting</v></cell><cell r="V375" t="str"><v>Audience Targeting</v></cell><cell r="W375" t="str"><v>Link Ad</v></cell><cell r="X375" t="str"><v>1200x628</v></cell></row><row r="375"><cell r="Z375" t="str"><v>Not Applicable</v></cell><cell r="AA375"><v>43354</v></cell><cell r="AB375" t="str"><v>AUS_gaPMG_AZR_AZR_Q1_19_Trial-Social</v></cell><cell r="AC375"><v>21358568</v></cell><cell r="AD375"><v>720191</v></cell><cell r="AE375" t="str"><v>Facebook</v></cell><cell r="AF375"><v>3654128</v></cell><cell r="AG375" t="str"><v>Facebook»Audience & Interest Targeting»1x1»TextLink»OTH»DT»DYN»AUT»W»NA»SS»NA»Free Account Refresh- Lifestyle ChA</v></cell><cell r="AH375"><v>224160771</v></cell><cell r="AI375" t="str"><v>AzurePlatform_FreeAcctAppsFACEBOOKLifestyleChA_AUS_1200x628_SOC_PLAT_EN_Trial_Standard_NA_SNU_T1_1</v></cell><cell r="AJ375"><v>103048488</v></cell></row><row r="376"><cell r="D376" t="str"><v>43354224160735</v></cell><cell r="E376" t="str"><v>43354103048479ce ChB</v></cell><cell r="F376" t="str"><v>DCM</v></cell></row><row r="376"><cell r="H376"><v>5</v></cell><cell r="I376" t="str"><v>Azure Direct</v></cell><cell r="J376" t="str"><v>Azure Direct</v></cell><cell r="K376" t="str"><v>September</v></cell><cell r="L376"><v>43358</v></cell><cell r="M376" t="str"><v>Tier 1</v></cell><cell r="N376" t="str"><v>APAC</v></cell><cell r="O376" t="str"><v>Australia</v></cell><cell r="P376" t="str"><v>Trial</v></cell><cell r="Q376" t="str"><v>Social</v></cell><cell r="R376" t="str"><v>Azure</v></cell><cell r="S376" t="str"><v>Apps & Infra</v></cell><cell r="T376" t="str"><v>Developers & ITI's</v></cell><cell r="U376" t="str"><v>Retargeting</v></cell><cell r="V376" t="str"><v>Retargeting</v></cell><cell r="W376" t="str"><v>Link Ad</v></cell><cell r="X376" t="str"><v>1200x628</v></cell></row><row r="376"><cell r="Z376" t="str"><v>Not Applicable</v></cell><cell r="AA376"><v>43354</v></cell><cell r="AB376" t="str"><v>AUS_gaPMG_AZR_AZR_Q1_19_Trial-Social</v></cell><cell r="AC376"><v>21358568</v></cell><cell r="AD376"><v>720191</v></cell><cell r="AE376" t="str"><v>Facebook</v></cell><cell r="AF376"><v>3654128</v></cell><cell r="AG376" t="str"><v>Facebook»Retargeting»1x1»TextLink»SOC»DT»DYN»RT»W»NA»SS»NA»Free Account Refresh- Device ChB</v></cell><cell r="AH376"><v>224160735</v></cell><cell r="AI376" t="str"><v>AzurePlatform_FreeAcctAppsFACEBOOKDeviceChB_AUS_1200x628_SOC_PLAT_EN_Trial_Standard_NA_SNU_T2_1</v></cell><cell r="AJ376"><v>103048479</v></cell></row><row r="377"><cell r="D377" t="str"><v>43354224160732</v></cell><cell r="E377" t="str"><v>43354103186910on ChC</v></cell><cell r="F377" t="str"><v>DCM</v></cell></row><row r="377"><cell r="H377"><v>1</v></cell><cell r="I377" t="str"><v>Azure Direct</v></cell><cell r="J377" t="str"><v>Azure Direct</v></cell><cell r="K377" t="str"><v>September</v></cell><cell r="L377"><v>43358</v></cell><cell r="M377" t="str"><v>Tier 1</v></cell><cell r="N377" t="str"><v>APAC</v></cell><cell r="O377" t="str"><v>Australia</v></cell><cell r="P377" t="str"><v>Trial</v></cell><cell r="Q377" t="str"><v>Social</v></cell><cell r="R377" t="str"><v>Azure</v></cell><cell r="S377" t="str"><v>Apps & Infra</v></cell><cell r="T377" t="str"><v>Developers & ITI's</v></cell><cell r="U377" t="str"><v>Retargeting</v></cell><cell r="V377" t="str"><v>Retargeting</v></cell><cell r="W377" t="str"><v>Link Ad</v></cell><cell r="X377" t="str"><v>1200x628</v></cell></row><row r="377"><cell r="Z377" t="str"><v>Not Applicable</v></cell><cell r="AA377"><v>43354</v></cell><cell r="AB377" t="str"><v>AUS_gaPMG_AZR_AZR_Q1_19_Trial-Social</v></cell><cell r="AC377"><v>21358568</v></cell><cell r="AD377"><v>720191</v></cell><cell r="AE377" t="str"><v>Facebook</v></cell><cell r="AF377"><v>3654128</v></cell><cell r="AG377" t="str"><v>Facebook»Retargeting»1x1»TextLink»SOC»DT»DYN»RT»W»NA»SS»NA»Free Account Refresh- Illustration ChC</v></cell><cell r="AH377"><v>224160732</v></cell><cell r="AI377" t="str"><v>AzurePlatform_FreeAcctAppsFACEBOOKIllustrationChC_AUS_1200x628_SOC_PLAT_EN_Trial_Standard_NA_SNU_T3_1</v></cell><cell r="AJ377"><v>103186910</v></cell></row><row r="378"><cell r="D378" t="str"><v>43354224160738</v></cell><cell r="E378" t="str"><v>43354103186904it ChD</v></cell><cell r="F378" t="str"><v>DCM</v></cell></row><row r="378"><cell r="H378"><v>0</v></cell><cell r="I378" t="str"><v>Azure Direct</v></cell><cell r="J378" t="str"><v>Azure Direct</v></cell><cell r="K378" t="str"><v>September</v></cell><cell r="L378"><v>43358</v></cell><cell r="M378" t="str"><v>Tier 1</v></cell><cell r="N378" t="str"><v>APAC</v></cell><cell r="O378" t="str"><v>Australia</v></cell><cell r="P378" t="str"><v>Trial</v></cell><cell r="Q378" t="str"><v>Social</v></cell><cell r="R378" t="str"><v>Azure</v></cell><cell r="S378" t="str"><v>Apps & Infra</v></cell><cell r="T378" t="str"><v>Developers & ITI's</v></cell><cell r="U378" t="str"><v>Retargeting</v></cell><cell r="V378" t="str"><v>Retargeting</v></cell><cell r="W378" t="str"><v>Link Ad</v></cell><cell r="X378" t="str"><v>1200x628</v></cell></row><row r="378"><cell r="Z378" t="str"><v>Not Applicable</v></cell><cell r="AA378"><v>43354</v></cell><cell r="AB378" t="str"><v>AUS_gaPMG_AZR_AZR_Q1_19_Trial-Social</v></cell><cell r="AC378"><v>21358568</v></cell><cell r="AD378"><v>720191</v></cell><cell r="AE378" t="str"><v>Facebook</v></cell><cell r="AF378"><v>3654128</v></cell><cell r="AG378" t="str"><v>Facebook»Retargeting»1x1»TextLink»SOC»DT»DYN»RT»W»NA»SS»NA»Free Account Refresh- 200 Credit ChD</v></cell><cell r="AH378"><v>224160738</v></cell><cell r="AI378" t="str"><v>AzurePlatform_FreeAcctAppsFACEBOOK200CreditChD_AUS_1200x628_SOC_PLAT_EN_Trial_Standard_NA_SNU_T4_1</v></cell><cell r="AJ378"><v>103186904</v></cell></row><row r="379"><cell r="D379" t="str"><v>43354224160729</v></cell><cell r="E379" t="str"><v>43354103048488le ChA</v></cell><cell r="F379" t="str"><v>DCM</v></cell></row><row r="379"><cell r="H379"><v>1</v></cell><cell r="I379" t="str"><v>Azure Direct</v></cell><cell r="J379" t="str"><v>Azure Direct</v></cell><cell r="K379" t="str"><v>September</v></cell><cell r="L379"><v>43358</v></cell><cell r="M379" t="str"><v>Tier 1</v></cell><cell r="N379" t="str"><v>APAC</v></cell><cell r="O379" t="str"><v>Australia</v></cell><cell r="P379" t="str"><v>Trial</v></cell><cell r="Q379" t="str"><v>Social</v></cell><cell r="R379" t="str"><v>Azure</v></cell><cell r="S379" t="str"><v>Apps & Infra</v></cell><cell r="T379" t="str"><v>Developers & ITI's</v></cell><cell r="U379" t="str"><v>Retargeting</v></cell><cell r="V379" t="str"><v>Retargeting</v></cell><cell r="W379" t="str"><v>Link Ad</v></cell><cell r="X379" t="str"><v>1200x628</v></cell></row><row r="379"><cell r="Z379" t="str"><v>Not Applicable</v></cell><cell r="AA379"><v>43354</v></cell><cell r="AB379" t="str"><v>AUS_gaPMG_AZR_AZR_Q1_19_Trial-Social</v></cell><cell r="AC379"><v>21358568</v></cell><cell r="AD379"><v>720191</v></cell><cell r="AE379" t="str"><v>Facebook</v></cell><cell r="AF379"><v>3654128</v></cell><cell r="AG379" t="str"><v>Facebook»Retargeting»1x1»TextLink»SOC»DT»DYN»RT»W»NA»SS»NA»Free Account Refresh- Lifestyle ChA</v></cell><cell r="AH379"><v>224160729</v></cell><cell r="AI379" t="str"><v>AzurePlatform_FreeAcctAppsFACEBOOKLifestyleChA_AUS_1200x628_SOC_PLAT_EN_Trial_Standard_NA_SNU_T1_1</v></cell><cell r="AJ379"><v>103048488</v></cell></row><row r="380"><cell r="D380" t="str"><v>43354223684451</v></cell><cell r="E380" t="str"><v>433541029018821 - EN</v></cell><cell r="F380" t="str"><v>DCM</v></cell></row><row r="380"><cell r="H380"><v>0</v></cell><cell r="I380" t="str"><v>Azure Direct</v></cell><cell r="J380" t="str"><v>Azure Direct</v></cell><cell r="K380" t="str"><v>September</v></cell><cell r="L380"><v>43358</v></cell><cell r="M380" t="str"><v>Tier 1</v></cell><cell r="N380" t="str"><v>North America</v></cell><cell r="O380" t="str"><v>Canada</v></cell><cell r="P380" t="str"><v>Trial</v></cell><cell r="Q380" t="str"><v>Social</v></cell><cell r="R380" t="str"><v>Azure</v></cell><cell r="S380" t="str"><v>Apps & Infra</v></cell><cell r="T380" t="str"><v>Developers & ITI's</v></cell><cell r="U380" t="str"><v>AZR</v></cell><cell r="V380" t="str"><v>Audience Targeting</v></cell><cell r="W380" t="str"><v>Engagement Video</v></cell><cell r="X380" t="str"><v>10s</v></cell><cell r="Y380" t="str"><v>Try Azure Free</v></cell><cell r="Z380" t="str"><v>Standard videos</v></cell><cell r="AA380"><v>43354</v></cell><cell r="AB380" t="str"><v>CAN_gaPMG_AZR_AZR_Q1_19_Trial-Social</v></cell><cell r="AC380"><v>21337220</v></cell><cell r="AD380"><v>720192</v></cell><cell r="AE380" t="str"><v>Facebook</v></cell><cell r="AF380"><v>3654128</v></cell><cell r="AG380" t="str"><v>Facebook»AZR»1x1»NA»EGV»ALL»DYN»AUT»D»All»SS»NA»Free Acc CTC - T1 - EN</v></cell><cell r="AH380"><v>223684451</v></cell><cell r="AI380" t="str"><v>AzurePlatform_FBCTCBasicMotion_CAN_10s_ISV_PLAT_English_Trial_Standard_STAN_TN_T1_1</v></cell><cell r="AJ380"><v>102901882</v></cell></row><row r="381"><cell r="D381" t="str"><v>43354223691840</v></cell><cell r="E381" t="str"><v>433541029029502 - EN</v></cell><cell r="F381" t="str"><v>DCM</v></cell></row><row r="381"><cell r="H381"><v>0</v></cell><cell r="I381" t="str"><v>Azure Direct</v></cell><cell r="J381" t="str"><v>Azure Direct</v></cell><cell r="K381" t="str"><v>September</v></cell><cell r="L381"><v>43358</v></cell><cell r="M381" t="str"><v>Tier 1</v></cell><cell r="N381" t="str"><v>North America</v></cell><cell r="O381" t="str"><v>Canada</v></cell><cell r="P381" t="str"><v>Trial</v></cell><cell r="Q381" t="str"><v>Social</v></cell><cell r="R381" t="str"><v>Azure</v></cell><cell r="S381" t="str"><v>Apps & Infra</v></cell><cell r="T381" t="str"><v>Developers & ITI's</v></cell><cell r="U381" t="str"><v>AZR</v></cell><cell r="V381" t="str"><v>Audience Targeting</v></cell><cell r="W381" t="str"><v>Engagement Video</v></cell><cell r="X381" t="str"><v>12s</v></cell><cell r="Y381" t="str"><v>Try Azure Free</v></cell><cell r="Z381" t="str"><v>Standard videos</v></cell><cell r="AA381"><v>43354</v></cell><cell r="AB381" t="str"><v>CAN_gaPMG_AZR_AZR_Q1_19_Trial-Social</v></cell><cell r="AC381"><v>21337220</v></cell><cell r="AD381"><v>720192</v></cell><cell r="AE381" t="str"><v>Facebook</v></cell><cell r="AF381"><v>3654128</v></cell><cell r="AG381" t="str"><v>Facebook»AZR»1x1»NA»EGV»ALL»DYN»AUT»D»All»SS»NA»Free Acc CTC - T2 - EN</v></cell><cell r="AH381"><v>223691840</v></cell><cell r="AI381" t="str"><v>AzurePlatform_FBCTCBrandinMotion_CAN_12s_ISV_PLAT_English_Trial_Standard_STAN_TN_T2_1</v></cell><cell r="AJ381"><v>102902950</v></cell></row><row r="382"><cell r="D382" t="str"><v>43354223691798</v></cell><cell r="E382" t="str"><v>433541029163472 - FR</v></cell><cell r="F382" t="str"><v>DCM</v></cell></row><row r="382"><cell r="H382"><v>0</v></cell><cell r="I382" t="str"><v>Azure Direct</v></cell><cell r="J382" t="str"><v>Azure Direct</v></cell><cell r="K382" t="str"><v>September</v></cell><cell r="L382"><v>43358</v></cell><cell r="M382" t="str"><v>Tier 1</v></cell><cell r="N382" t="str"><v>North America</v></cell><cell r="O382" t="str"><v>Canada</v></cell><cell r="P382" t="str"><v>Trial</v></cell><cell r="Q382" t="str"><v>Social</v></cell><cell r="R382" t="str"><v>Azure</v></cell><cell r="S382" t="str"><v>Apps & Infra</v></cell><cell r="T382" t="str"><v>Developers & ITI's</v></cell><cell r="U382" t="str"><v>AZR</v></cell><cell r="V382" t="str"><v>Audience Targeting</v></cell><cell r="W382" t="str"><v>Engagement Video</v></cell><cell r="X382" t="str"><v>12s</v></cell><cell r="Y382" t="str"><v>Try Azure Free</v></cell><cell r="Z382" t="str"><v>Standard videos</v></cell><cell r="AA382"><v>43354</v></cell><cell r="AB382" t="str"><v>CAN_gaPMG_AZR_AZR_Q1_19_Trial-Social</v></cell><cell r="AC382"><v>21337220</v></cell><cell r="AD382"><v>720192</v></cell><cell r="AE382" t="str"><v>Facebook</v></cell><cell r="AF382"><v>3654128</v></cell><cell r="AG382" t="str"><v>Facebook»AZR»1x1»NA»EGV»ALL»DYN»AUT»D»All»SS»NA»Free Acc CTC - T2 - FR</v></cell><cell r="AH382"><v>223691798</v></cell><cell r="AI382" t="str"><v>AzurePlatform_FBCTCBrandinMotion_CAN_12s_ISV_PLAT_FR_Trial_Standard_STAN_TN_T2_1</v></cell><cell r="AJ382"><v>102916347</v></cell></row><row r="383"><cell r="D383" t="str"><v>43354223691837</v></cell><cell r="E383" t="str"><v>433541030533144 - EN</v></cell><cell r="F383" t="str"><v>DCM</v></cell></row><row r="383"><cell r="H383"><v>0</v></cell><cell r="I383" t="str"><v>Azure Direct</v></cell><cell r="J383" t="str"><v>Azure Direct</v></cell><cell r="K383" t="str"><v>September</v></cell><cell r="L383"><v>43358</v></cell><cell r="M383" t="str"><v>Tier 1</v></cell><cell r="N383" t="str"><v>North America</v></cell><cell r="O383" t="str"><v>Canada</v></cell><cell r="P383" t="str"><v>Trial</v></cell><cell r="Q383" t="str"><v>Social</v></cell><cell r="R383" t="str"><v>Azure</v></cell><cell r="S383" t="str"><v>Apps & Infra</v></cell><cell r="T383" t="str"><v>Developers & ITI's</v></cell><cell r="U383" t="str"><v>AZR</v></cell><cell r="V383" t="str"><v>Audience Targeting</v></cell><cell r="W383" t="str"><v>Engagement Video</v></cell><cell r="X383" t="str"><v>14s</v></cell><cell r="Y383" t="str"><v>Try Azure Free</v></cell><cell r="Z383" t="str"><v>Standard videos</v></cell><cell r="AA383"><v>43354</v></cell><cell r="AB383" t="str"><v>CAN_gaPMG_AZR_AZR_Q1_19_Trial-Social</v></cell><cell r="AC383"><v>21337220</v></cell><cell r="AD383"><v>720192</v></cell><cell r="AE383" t="str"><v>Facebook</v></cell><cell r="AF383"><v>3654128</v></cell><cell r="AG383" t="str"><v>Facebook»AZR»1x1»NA»EGV»ALL»DYN»AUT»D»All»SS»NA»Free Acc CTC - T4 - EN</v></cell><cell r="AH383"><v>223691837</v></cell><cell r="AI383" t="str"><v>AzurePlatform_FBCTCBenefit2inMotion_CAN_14s_ISV_PLAT_English_Trial_Standard_STAN_TN_T4_1</v></cell><cell r="AJ383"><v>103053314</v></cell></row><row r="384"><cell r="D384" t="str"><v>43354223691810</v></cell><cell r="E384" t="str"><v>433541030587112 - EN</v></cell><cell r="F384" t="str"><v>DCM</v></cell></row><row r="384"><cell r="H384"><v>1</v></cell><cell r="I384" t="str"><v>Azure Direct</v></cell><cell r="J384" t="str"><v>Azure Direct</v></cell><cell r="K384" t="str"><v>September</v></cell><cell r="L384"><v>43358</v></cell><cell r="M384" t="str"><v>Tier 1</v></cell><cell r="N384" t="str"><v>North America</v></cell><cell r="O384" t="str"><v>Canada</v></cell><cell r="P384" t="str"><v>Trial</v></cell><cell r="Q384" t="str"><v>Social</v></cell><cell r="R384" t="str"><v>Azure</v></cell><cell r="S384" t="str"><v>Apps & Infra</v></cell><cell r="T384" t="str"><v>Developers & ITI's</v></cell><cell r="U384" t="str"><v>AZR</v></cell><cell r="V384" t="str"><v>Audience Targeting</v></cell><cell r="W384" t="str"><v>NotApplicable</v></cell><cell r="X384" t="str"><v>1200x628</v></cell></row><row r="384"><cell r="Z384" t="str"><v>Not Applicable</v></cell><cell r="AA384"><v>43354</v></cell><cell r="AB384" t="str"><v>CAN_gaPMG_AZR_AZR_Q1_19_Trial-Social</v></cell><cell r="AC384"><v>21337220</v></cell><cell r="AD384"><v>720192</v></cell><cell r="AE384" t="str"><v>Facebook</v></cell><cell r="AF384"><v>3654128</v></cell><cell r="AG384" t="str"><v>Facebook»AZR»1x1»SocialBan»NA»ALL»DYN»AUT»D»All»SS»NA»Free Acc Refresh - T2 - EN</v></cell><cell r="AH384"><v>223691810</v></cell><cell r="AI384" t="str"><v>AzurePlatform_FreeAcctAppsFACEBOOKDeviceChB_CAN_1200x628_SOC_PLAT_EN_Trial_Standard_NA_SU_T2_1.png</v></cell><cell r="AJ384"><v>103058711</v></cell></row><row r="385"><cell r="D385" t="str"><v>43354223691828</v></cell><cell r="E385" t="str"><v>433541029029561 - EN</v></cell><cell r="F385" t="str"><v>DCM</v></cell></row><row r="385"><cell r="H385"><v>3</v></cell><cell r="I385" t="str"><v>Azure Direct</v></cell><cell r="J385" t="str"><v>Azure Direct</v></cell><cell r="K385" t="str"><v>September</v></cell><cell r="L385"><v>43358</v></cell><cell r="M385" t="str"><v>Tier 1</v></cell><cell r="N385" t="str"><v>North America</v></cell><cell r="O385" t="str"><v>Canada</v></cell><cell r="P385" t="str"><v>Trial</v></cell><cell r="Q385" t="str"><v>Social</v></cell><cell r="R385" t="str"><v>Azure</v></cell><cell r="S385" t="str"><v>Apps & Infra</v></cell><cell r="T385" t="str"><v>Developers & ITI's</v></cell><cell r="U385" t="str"><v>AZR</v></cell><cell r="V385" t="str"><v>Retargeting</v></cell><cell r="W385" t="str"><v>NotApplicable</v></cell><cell r="X385" t="str"><v>1200x628</v></cell></row><row r="385"><cell r="Z385" t="str"><v>Not Applicable</v></cell><cell r="AA385"><v>43354</v></cell><cell r="AB385" t="str"><v>CAN_gaPMG_AZR_AZR_Q1_19_Trial-Social</v></cell><cell r="AC385"><v>21337220</v></cell><cell r="AD385"><v>720192</v></cell><cell r="AE385" t="str"><v>Facebook</v></cell><cell r="AF385"><v>3654128</v></cell><cell r="AG385" t="str"><v>Facebook»AZR»1x1»SocialBan»NA»ALL»DYN»RT»D»All»SS»NA» Free Account Retargeting OSS - T1 - EN</v></cell><cell r="AH385"><v>223691828</v></cell><cell r="AI385" t="str"><v>AzurePlatform_FreeAcctRetargetingOSSFB-Text-ChF_CAN_1200x628_SOC_Plat_EN_Free Account_Standard_NA_SU_T1_1</v></cell><cell r="AJ385"><v>102902956</v></cell></row><row r="386"><cell r="D386" t="str"><v>43354223691831</v></cell><cell r="E386" t="str"><v>433541029138002 - EN</v></cell><cell r="F386" t="str"><v>DCM</v></cell></row><row r="386"><cell r="H386"><v>5</v></cell><cell r="I386" t="str"><v>Azure Direct</v></cell><cell r="J386" t="str"><v>Azure Direct</v></cell><cell r="K386" t="str"><v>September</v></cell><cell r="L386"><v>43358</v></cell><cell r="M386" t="str"><v>Tier 1</v></cell><cell r="N386" t="str"><v>North America</v></cell><cell r="O386" t="str"><v>Canada</v></cell><cell r="P386" t="str"><v>Trial</v></cell><cell r="Q386" t="str"><v>Social</v></cell><cell r="R386" t="str"><v>Azure</v></cell><cell r="S386" t="str"><v>Apps & Infra</v></cell><cell r="T386" t="str"><v>Developers & ITI's</v></cell><cell r="U386" t="str"><v>AZR</v></cell><cell r="V386" t="str"><v>Retargeting</v></cell><cell r="W386" t="str"><v>NotApplicable</v></cell><cell r="X386" t="str"><v>1200x628</v></cell></row><row r="386"><cell r="Z386" t="str"><v>Not Applicable</v></cell><cell r="AA386"><v>43354</v></cell><cell r="AB386" t="str"><v>CAN_gaPMG_AZR_AZR_Q1_19_Trial-Social</v></cell><cell r="AC386"><v>21337220</v></cell><cell r="AD386"><v>720192</v></cell><cell r="AE386" t="str"><v>Facebook</v></cell><cell r="AF386"><v>3654128</v></cell><cell r="AG386" t="str"><v>Facebook»AZR»1x1»SocialBan»NA»ALL»DYN»RT»D»All»SS»NA» Free Account Retargeting OSS - T2 - EN</v></cell><cell r="AH386"><v>223691831</v></cell><cell r="AI386" t="str"><v>AzurePlatform_FreeAcctRetargetingOSSFB-Logos-ChG_CAN_1200x628_SOC_Plat_EN_Free Account_Standard_NA_SU_T2_1</v></cell><cell r="AJ386"><v>102913800</v></cell></row><row r="387"><cell r="D387" t="str"><v>43354223691789</v></cell><cell r="E387" t="str"><v>433541029006912 - FR</v></cell><cell r="F387" t="str"><v>DCM</v></cell></row><row r="387"><cell r="H387"><v>3</v></cell><cell r="I387" t="str"><v>Azure Direct</v></cell><cell r="J387" t="str"><v>Azure Direct</v></cell><cell r="K387" t="str"><v>September</v></cell><cell r="L387"><v>43358</v></cell><cell r="M387" t="str"><v>Tier 1</v></cell><cell r="N387" t="str"><v>North America</v></cell><cell r="O387" t="str"><v>Canada</v></cell><cell r="P387" t="str"><v>Trial</v></cell><cell r="Q387" t="str"><v>Social</v></cell><cell r="R387" t="str"><v>Azure</v></cell><cell r="S387" t="str"><v>Apps & Infra</v></cell><cell r="T387" t="str"><v>Developers & ITI's</v></cell><cell r="U387" t="str"><v>AZR</v></cell><cell r="V387" t="str"><v>Retargeting</v></cell><cell r="W387" t="str"><v>NotApplicable</v></cell><cell r="X387" t="str"><v>1200x628</v></cell></row><row r="387"><cell r="Z387" t="str"><v>Not Applicable</v></cell><cell r="AA387"><v>43354</v></cell><cell r="AB387" t="str"><v>CAN_gaPMG_AZR_AZR_Q1_19_Trial-Social</v></cell><cell r="AC387"><v>21337220</v></cell><cell r="AD387"><v>720192</v></cell><cell r="AE387" t="str"><v>Facebook</v></cell><cell r="AF387"><v>3654128</v></cell><cell r="AG387" t="str"><v>Facebook»AZR»1x1»SocialBan»NA»ALL»DYN»RT»D»All»SS»NA» Free Account Retargeting OSS - T2 - FR</v></cell><cell r="AH387"><v>223691789</v></cell><cell r="AI387" t="str"><v>AzurePlatform_FreeAcctRetargetingOSSFB-Logos-ChG_CAN_1200x628_SOC_Plat_FR_Free Account_Standard_NA_SU_T2_1</v></cell><cell r="AJ387"><v>102900691</v></cell></row><row r="388"><cell r="D388" t="str"><v>43354223691834</v></cell><cell r="E388" t="str"><v>433541029029532 - EN</v></cell><cell r="F388" t="str"><v>DCM</v></cell></row><row r="388"><cell r="H388"><v>0</v></cell><cell r="I388" t="str"><v>Azure Direct</v></cell><cell r="J388" t="str"><v>Azure Direct</v></cell><cell r="K388" t="str"><v>September</v></cell><cell r="L388"><v>43358</v></cell><cell r="M388" t="str"><v>Tier 1</v></cell><cell r="N388" t="str"><v>North America</v></cell><cell r="O388" t="str"><v>Canada</v></cell><cell r="P388" t="str"><v>Trial</v></cell><cell r="Q388" t="str"><v>Social</v></cell><cell r="R388" t="str"><v>Azure</v></cell><cell r="S388" t="str"><v>Apps & Infra</v></cell><cell r="T388" t="str"><v>Developers & ITI's</v></cell><cell r="U388" t="str"><v>AZR</v></cell><cell r="V388" t="str"><v>Retargeting</v></cell><cell r="W388" t="str"><v>NotApplicable</v></cell><cell r="X388" t="str"><v>1200x628</v></cell></row><row r="388"><cell r="Z388" t="str"><v>Not Applicable</v></cell><cell r="AA388"><v>43354</v></cell><cell r="AB388" t="str"><v>CAN_gaPMG_AZR_AZR_Q1_19_Trial-Social</v></cell><cell r="AC388"><v>21337220</v></cell><cell r="AD388"><v>720192</v></cell><cell r="AE388" t="str"><v>Facebook</v></cell><cell r="AF388"><v>3654128</v></cell><cell r="AG388" t="str"><v>Facebook»AZR»1x1»SocialBan»NA»ALL»DYN»RT»D»All»SS»NA»Free Account Retargeting Generic - T2 - EN</v></cell><cell r="AH388"><v>223691834</v></cell><cell r="AI388" t="str"><v>AzurePlatform_FreeAcctRetargetingFB-GlobalAlt-ChB_CAN_1200x628_SOC_Plat_EN_Free Account_Standard_NA_SU_T2_1</v></cell><cell r="AJ388"><v>102902953</v></cell></row><row r="389"><cell r="D389" t="str"><v>43354223691777</v></cell><cell r="E389" t="str"><v>433541029006973 - FR</v></cell><cell r="F389" t="str"><v>DCM</v></cell></row><row r="389"><cell r="H389"><v>1</v></cell><cell r="I389" t="str"><v>Azure Direct</v></cell><cell r="J389" t="str"><v>Azure Direct</v></cell><cell r="K389" t="str"><v>September</v></cell><cell r="L389"><v>43358</v></cell><cell r="M389" t="str"><v>Tier 1</v></cell><cell r="N389" t="str"><v>North America</v></cell><cell r="O389" t="str"><v>Canada</v></cell><cell r="P389" t="str"><v>Trial</v></cell><cell r="Q389" t="str"><v>Social</v></cell><cell r="R389" t="str"><v>Azure</v></cell><cell r="S389" t="str"><v>Apps & Infra</v></cell><cell r="T389" t="str"><v>Developers & ITI's</v></cell><cell r="U389" t="str"><v>AZR</v></cell><cell r="V389" t="str"><v>Retargeting</v></cell><cell r="W389" t="str"><v>NotApplicable</v></cell><cell r="X389" t="str"><v>1200x628</v></cell></row><row r="389"><cell r="Z389" t="str"><v>Animated Banner</v></cell><cell r="AA389"><v>43354</v></cell><cell r="AB389" t="str"><v>CAN_gaPMG_AZR_AZR_Q1_19_Trial-Social</v></cell><cell r="AC389"><v>21337220</v></cell><cell r="AD389"><v>720192</v></cell><cell r="AE389" t="str"><v>Facebook</v></cell><cell r="AF389"><v>3654128</v></cell><cell r="AG389" t="str"><v>Facebook»AZR»1x1»SocialBan»NA»ALL»DYN»RT»D»All»SS»NA»Free Account Retargeting Generic - T3 - FR</v></cell><cell r="AH389"><v>223691777</v></cell><cell r="AI389" t="str"><v>AzurePlatform_FreeAcctRetargetingFB-Animated-ChC_CAN_1200x628_SOC_Plat_FR_Free Account_Standard_ANI_SU_T3_1</v></cell><cell r="AJ389"><v>102900697</v></cell></row><row r="390"><cell r="D390" t="str"><v>43354223691825</v></cell><cell r="E390" t="str"><v>433541029163381 - EN</v></cell><cell r="F390" t="str"><v>DCM</v></cell></row><row r="390"><cell r="H390"><v>2</v></cell><cell r="I390" t="str"><v>Azure Direct</v></cell><cell r="J390" t="str"><v>Azure Direct</v></cell><cell r="K390" t="str"><v>September</v></cell><cell r="L390"><v>43358</v></cell><cell r="M390" t="str"><v>Tier 1</v></cell><cell r="N390" t="str"><v>North America</v></cell><cell r="O390" t="str"><v>Canada</v></cell><cell r="P390" t="str"><v>Trial</v></cell><cell r="Q390" t="str"><v>Social</v></cell><cell r="R390" t="str"><v>Azure</v></cell><cell r="S390" t="str"><v>Apps & Infra</v></cell><cell r="T390" t="str"><v>Developers & ITI's</v></cell><cell r="U390" t="str"><v>AZR</v></cell><cell r="V390" t="str"><v>Retargeting</v></cell><cell r="W390" t="str"><v>NotApplicable</v></cell><cell r="X390" t="str"><v>1200x628</v></cell></row><row r="390"><cell r="Z390" t="str"><v>Not Applicable</v></cell><cell r="AA390"><v>43354</v></cell><cell r="AB390" t="str"><v>CAN_gaPMG_AZR_AZR_Q1_19_Trial-Social</v></cell><cell r="AC390"><v>21337220</v></cell><cell r="AD390"><v>720192</v></cell><cell r="AE390" t="str"><v>Facebook</v></cell><cell r="AF390"><v>3654128</v></cell><cell r="AG390" t="str"><v>Facebook»AZR»1x1»SocialBan»NA»ALL»DYN»RT»D»All»SS»NA»Free Account Retargeting VM - T1 - EN</v></cell><cell r="AH390"><v>223691825</v></cell><cell r="AI390" t="str"><v>AzurePlatform_FreeAcctRetargetingVMFB-750Hrs-ChD_CAN_1200x628_SOC_Plat_EN_Free Account_Standard_NA_SU_T1_1</v></cell><cell r="AJ390"><v>102916338</v></cell></row><row r="391"><cell r="D391" t="str"><v>43354223691822</v></cell><cell r="E391" t="str"><v>433541030587082 - EN</v></cell><cell r="F391" t="str"><v>DCM</v></cell></row><row r="391"><cell r="H391"><v>3</v></cell><cell r="I391" t="str"><v>Azure Direct</v></cell><cell r="J391" t="str"><v>Azure Direct</v></cell><cell r="K391" t="str"><v>September</v></cell><cell r="L391"><v>43358</v></cell><cell r="M391" t="str"><v>Tier 1</v></cell><cell r="N391" t="str"><v>North America</v></cell><cell r="O391" t="str"><v>Canada</v></cell><cell r="P391" t="str"><v>Trial</v></cell><cell r="Q391" t="str"><v>Social</v></cell><cell r="R391" t="str"><v>Azure</v></cell><cell r="S391" t="str"><v>Apps & Infra</v></cell><cell r="T391" t="str"><v>Developers & ITI's</v></cell><cell r="U391" t="str"><v>AZR</v></cell><cell r="V391" t="str"><v>Retargeting</v></cell><cell r="W391" t="str"><v>NotApplicable</v></cell><cell r="X391" t="str"><v>1200x628</v></cell></row><row r="391"><cell r="Z391" t="str"><v>Not Applicable</v></cell><cell r="AA391"><v>43354</v></cell><cell r="AB391" t="str"><v>CAN_gaPMG_AZR_AZR_Q1_19_Trial-Social</v></cell><cell r="AC391"><v>21337220</v></cell><cell r="AD391"><v>720192</v></cell><cell r="AE391" t="str"><v>Facebook</v></cell><cell r="AF391"><v>3654128</v></cell><cell r="AG391" t="str"><v>Facebook»AZR»1x1»SocialBan»NA»ALL»DYN»RT»D»All»SS»NA»Free Account Retargeting VM - T2 - EN</v></cell><cell r="AH391"><v>223691822</v></cell><cell r="AI391" t="str"><v>AzurePlatform_FreeAcctRetargetingVMFB-OnDemand-ChE_CAN_1200x628_SOC_Plat_EN_Free Account_Standard_NA_SU_T2_1</v></cell><cell r="AJ391"><v>103058708</v></cell></row><row r="392"><cell r="D392" t="str"><v>43354227525720</v></cell><cell r="E392" t="str"><v>43354105130125e - EN</v></cell><cell r="F392" t="str"><v>DCM</v></cell></row><row r="392"><cell r="H392"><v>0</v></cell><cell r="I392" t="str"><v>Azure Direct</v></cell><cell r="J392" t="str"><v>Azure Direct</v></cell><cell r="K392" t="str"><v>September</v></cell><cell r="L392"><v>43358</v></cell><cell r="M392" t="str"><v>Tier 1</v></cell><cell r="N392" t="str"><v>North America</v></cell><cell r="O392" t="str"><v>Canada</v></cell><cell r="P392" t="str"><v>Trial</v></cell><cell r="Q392" t="str"><v>Social</v></cell><cell r="R392" t="str"><v>Azure</v></cell><cell r="S392" t="str"><v>Apps & Infra</v></cell><cell r="T392" t="str"><v>Developers & ITI's</v></cell><cell r="U392" t="str"><v>AZR</v></cell><cell r="V392" t="str"><v>Audience Targeting</v></cell><cell r="W392" t="str"><v>Canvas Ad</v></cell><cell r="X392" t="str"><v>1080x1080</v></cell><cell r="Y392" t="str"><v>Free Trial</v></cell><cell r="Z392" t="str"><v>Not Applicable</v></cell><cell r="AA392"><v>43354</v></cell><cell r="AB392" t="str"><v>CAN_gaPMG_AZR_AZR_Q1_19_Trial-Social</v></cell><cell r="AC392"><v>21337220</v></cell><cell r="AD392"><v>720192</v></cell><cell r="AE392" t="str"><v>Facebook</v></cell><cell r="AF392"><v>3654128</v></cell><cell r="AG392" t="str"><v>Facebook»AZR»1x1»NA»NA»ALL»DYN»AUT»D»All»SS»NA»Free Account Create to Convert FB - Canvas - Benefit - Start Free - EN</v></cell><cell r="AH392"><v>227525720</v></cell><cell r="AI392" t="str"><v>AzurePlatform_FBCTCBenefit2inMotion_CAN_1080x1080_SOC_14s_ISV_English_Standard_NA_FTR_T4_1</v></cell><cell r="AJ392"><v>105130125</v></cell></row><row r="393"><cell r="D393" t="str"><v>43354223691792</v></cell><cell r="E393" t="str"><v>433541029018942 - FR</v></cell><cell r="F393" t="str"><v>DCM</v></cell></row><row r="393"><cell r="H393"><v>0</v></cell><cell r="I393" t="str"><v>Azure Direct</v></cell><cell r="J393" t="str"><v>Azure Direct</v></cell><cell r="K393" t="str"><v>September</v></cell><cell r="L393"><v>43358</v></cell><cell r="M393" t="str"><v>Tier 1</v></cell><cell r="N393" t="str"><v>North America</v></cell><cell r="O393" t="str"><v>Canada</v></cell><cell r="P393" t="str"><v>Trial</v></cell><cell r="Q393" t="str"><v>Social</v></cell><cell r="R393" t="str"><v>Azure</v></cell><cell r="S393" t="str"><v>Apps & Infra</v></cell><cell r="T393" t="str"><v>Developers & ITI's</v></cell><cell r="U393" t="str"><v>AZR</v></cell><cell r="V393" t="str"><v>Retargeting</v></cell><cell r="W393" t="str"><v>NotApplicable</v></cell><cell r="X393" t="str"><v>1200x628</v></cell></row><row r="393"><cell r="Z393" t="str"><v>Not Applicable</v></cell><cell r="AA393"><v>43354</v></cell><cell r="AB393" t="str"><v>CAN_gaPMG_AZR_AZR_Q1_19_Trial-Social</v></cell><cell r="AC393"><v>21337220</v></cell><cell r="AD393"><v>720192</v></cell><cell r="AE393" t="str"><v>Facebook</v></cell><cell r="AF393"><v>3654128</v></cell><cell r="AG393" t="str"><v>Facebook»AZR»1x1»SocialBan»NA»ALL»DYN»RT»D»All»SS»NA»Free Account Retargeting Generic - T2 - FR</v></cell><cell r="AH393"><v>223691792</v></cell><cell r="AI393" t="str"><v>AzurePlatform_FreeAcctRetargetingFB-GlobalAlt-ChB_CAN_1200x628_SOC_Plat_FR_Free Account_Standard_NA_SU_T2_1</v></cell><cell r="AJ393"><v>102901894</v></cell></row><row r="394"><cell r="D394" t="str"><v>43354224009494</v></cell><cell r="E394" t="str"><v>43354103236186-11000</v></cell><cell r="F394" t="str"><v>DCM</v></cell></row><row r="394"><cell r="H394"><v>0</v></cell><cell r="I394" t="str"><v>Azure Direct</v></cell><cell r="J394" t="str"><v>Azure Direct</v></cell><cell r="K394" t="str"><v>September</v></cell><cell r="L394"><v>43358</v></cell><cell r="M394" t="str"><v>Tier 1</v></cell><cell r="N394" t="str"><v>EMEA</v></cell><cell r="O394" t="str"><v>Germany</v></cell><cell r="P394" t="str"><v>Trial</v></cell><cell r="Q394" t="str"><v>Social</v></cell><cell r="R394" t="str"><v>Azure</v></cell><cell r="S394" t="str"><v>Apps & Infra</v></cell><cell r="T394" t="str"><v>Developers & ITI's</v></cell><cell r="U394" t="str"><v>DEV-ITP-AZR-FB|CanvasAds|Interesttargeting</v></cell><cell r="V394" t="str"><v>Audience Targeting</v></cell><cell r="W394" t="str"><v>Canvas Ad</v></cell><cell r="X394" t="str"><v>10s</v></cell><cell r="Y394" t="str"><v>Try Azure Free</v></cell><cell r="Z394" t="str"><v>Standard videos</v></cell><cell r="AA394"><v>43354</v></cell><cell r="AB394" t="str"><v>DEU_gaPMG_AZR_AZR_Q1_19_Trial-Social- 39684</v></cell><cell r="AC394"><v>21359477</v></cell><cell r="AD394"><v>720194</v></cell><cell r="AE394" t="str"><v>Facebook</v></cell><cell r="AF394"><v>3654128</v></cell><cell r="AG394" t="str"><v>Facebook»DEV-ITP-AZR-FB|CanvasAds|Interesttargeting»1x1»TextLink»CAN»DT»CPM»AUT»W»NA»SS»NA»39684020-11000</v></cell><cell r="AH394"><v>224009494</v></cell><cell r="AI394" t="str"><v>AzurePlatform_FBCTCBasicMotion-StartFreeCT_DEU_10s_ISV_PLAT_DE_Trial_Standard_STAN_TN_T1_1</v></cell><cell r="AJ394"><v>103236186</v></cell></row><row r="395"><cell r="D395" t="str"><v>43354224009494</v></cell><cell r="E395" t="str"><v>43354103236189-11000</v></cell><cell r="F395" t="str"><v>DCM</v></cell></row><row r="395"><cell r="H395"><v>1</v></cell><cell r="I395" t="str"><v>Azure Direct</v></cell><cell r="J395" t="str"><v>Azure Direct</v></cell><cell r="K395" t="str"><v>September</v></cell><cell r="L395"><v>43358</v></cell><cell r="M395" t="str"><v>Tier 1</v></cell><cell r="N395" t="str"><v>EMEA</v></cell><cell r="O395" t="str"><v>Germany</v></cell><cell r="P395" t="str"><v>Trial</v></cell><cell r="Q395" t="str"><v>Social</v></cell><cell r="R395" t="str"><v>Azure</v></cell><cell r="S395" t="str"><v>Apps & Infra</v></cell><cell r="T395" t="str"><v>Developers & ITI's</v></cell><cell r="U395" t="str"><v>DEV-ITP-AZR-FB|CanvasAds|Interesttargeting</v></cell><cell r="V395" t="str"><v>Audience Targeting</v></cell><cell r="W395" t="str"><v>Canvas Ad</v></cell><cell r="X395" t="str"><v>14s</v></cell><cell r="Y395" t="str"><v>Try Azure Free</v></cell><cell r="Z395" t="str"><v>Standard videos</v></cell><cell r="AA395"><v>43354</v></cell><cell r="AB395" t="str"><v>DEU_gaPMG_AZR_AZR_Q1_19_Trial-Social- 39684</v></cell><cell r="AC395"><v>21359477</v></cell><cell r="AD395"><v>720194</v></cell><cell r="AE395" t="str"><v>Facebook</v></cell><cell r="AF395"><v>3654128</v></cell><cell r="AG395" t="str"><v>Facebook»DEV-ITP-AZR-FB|CanvasAds|Interesttargeting»1x1»TextLink»CAN»DT»CPM»AUT»W»NA»SS»NA»39684020-11000</v></cell><cell r="AH395"><v>224009494</v></cell><cell r="AI395" t="str"><v>AzurePlatform_FBCTCBenefit2inMotion-BuyNow_DEU_14s_ISV_PLAT_DE_Trial_Standard_STAN_TN_T4_1</v></cell><cell r="AJ395"><v>103236189</v></cell></row><row r="396"><cell r="D396" t="str"><v>43354224009494</v></cell><cell r="E396" t="str"><v>43354103237290-11000</v></cell><cell r="F396" t="str"><v>DCM</v></cell></row><row r="396"><cell r="H396"><v>0</v></cell><cell r="I396" t="str"><v>Azure Direct</v></cell><cell r="J396" t="str"><v>Azure Direct</v></cell><cell r="K396" t="str"><v>September</v></cell><cell r="L396"><v>43358</v></cell><cell r="M396" t="str"><v>Tier 1</v></cell><cell r="N396" t="str"><v>EMEA</v></cell><cell r="O396" t="str"><v>Germany</v></cell><cell r="P396" t="str"><v>Trial</v></cell><cell r="Q396" t="str"><v>Social</v></cell><cell r="R396" t="str"><v>Azure</v></cell><cell r="S396" t="str"><v>Apps & Infra</v></cell><cell r="T396" t="str"><v>Developers & ITI's</v></cell><cell r="U396" t="str"><v>DEV-ITP-AZR-FB|CanvasAds|Interesttargeting</v></cell><cell r="V396" t="str"><v>Audience Targeting</v></cell><cell r="W396" t="str"><v>Canvas Ad</v></cell><cell r="X396" t="str"><v>14s</v></cell><cell r="Y396" t="str"><v>Try Azure Free</v></cell><cell r="Z396" t="str"><v>Standard videos</v></cell><cell r="AA396"><v>43354</v></cell><cell r="AB396" t="str"><v>DEU_gaPMG_AZR_AZR_Q1_19_Trial-Social- 39684</v></cell><cell r="AC396"><v>21359477</v></cell><cell r="AD396"><v>720194</v></cell><cell r="AE396" t="str"><v>Facebook</v></cell><cell r="AF396"><v>3654128</v></cell><cell r="AG396" t="str"><v>Facebook»DEV-ITP-AZR-FB|CanvasAds|Interesttargeting»1x1»TextLink»CAN»DT»CPM»AUT»W»NA»SS»NA»39684020-11000</v></cell><cell r="AH396"><v>224009494</v></cell><cell r="AI396" t="str"><v>AzurePlatform_FBCTCBenefit2inMotion-StartFreeCT_DEU_14s_ISV_PLAT_DE_Trial_Standard_STAN_TN_T4_1</v></cell><cell r="AJ396"><v>103237290</v></cell></row><row r="397"><cell r="D397" t="str"><v>43354224009494</v></cell><cell r="E397" t="str"><v>43354103237293-11000</v></cell><cell r="F397" t="str"><v>DCM</v></cell></row><row r="397"><cell r="H397"><v>0</v></cell><cell r="I397" t="str"><v>Azure Direct</v></cell><cell r="J397" t="str"><v>Azure Direct</v></cell><cell r="K397" t="str"><v>September</v></cell><cell r="L397"><v>43358</v></cell><cell r="M397" t="str"><v>Tier 1</v></cell><cell r="N397" t="str"><v>EMEA</v></cell><cell r="O397" t="str"><v>Germany</v></cell><cell r="P397" t="str"><v>Trial</v></cell><cell r="Q397" t="str"><v>Social</v></cell><cell r="R397" t="str"><v>Azure</v></cell><cell r="S397" t="str"><v>Apps & Infra</v></cell><cell r="T397" t="str"><v>Developers & ITI's</v></cell><cell r="U397" t="str"><v>DEV-ITP-AZR-FB|CanvasAds|Interesttargeting</v></cell><cell r="V397" t="str"><v>Audience Targeting</v></cell><cell r="W397" t="str"><v>Canvas Ad</v></cell><cell r="X397" t="str"><v>12s</v></cell><cell r="Y397" t="str"><v>Try Azure Free</v></cell><cell r="Z397" t="str"><v>Standard videos</v></cell><cell r="AA397"><v>43354</v></cell><cell r="AB397" t="str"><v>DEU_gaPMG_AZR_AZR_Q1_19_Trial-Social- 39684</v></cell><cell r="AC397"><v>21359477</v></cell><cell r="AD397"><v>720194</v></cell><cell r="AE397" t="str"><v>Facebook</v></cell><cell r="AF397"><v>3654128</v></cell><cell r="AG397" t="str"><v>Facebook»DEV-ITP-AZR-FB|CanvasAds|Interesttargeting»1x1»TextLink»CAN»DT»CPM»AUT»W»NA»SS»NA»39684020-11000</v></cell><cell r="AH397"><v>224009494</v></cell><cell r="AI397" t="str"><v>AzurePlatform_FBCTCBrandinMotion-StartFreeCT_DEU_12s_ISV_PLAT_DE_Trial_Standard_STAN_TN_T2_1</v></cell><cell r="AJ397"><v>103237293</v></cell></row><row r="398"><cell r="D398" t="str"><v>43354224009494</v></cell><cell r="E398" t="str"><v>43354103350059-11000</v></cell><cell r="F398" t="str"><v>DCM</v></cell></row><row r="398"><cell r="H398"><v>0</v></cell><cell r="I398" t="str"><v>Azure Direct</v></cell><cell r="J398" t="str"><v>Azure Direct</v></cell><cell r="K398" t="str"><v>September</v></cell><cell r="L398"><v>43358</v></cell><cell r="M398" t="str"><v>Tier 1</v></cell><cell r="N398" t="str"><v>EMEA</v></cell><cell r="O398" t="str"><v>Germany</v></cell><cell r="P398" t="str"><v>Trial</v></cell><cell r="Q398" t="str"><v>Social</v></cell><cell r="R398" t="str"><v>Azure</v></cell><cell r="S398" t="str"><v>Apps & Infra</v></cell><cell r="T398" t="str"><v>Developers & ITI's</v></cell><cell r="U398" t="str"><v>DEV-ITP-AZR-FB|CanvasAds|Interesttargeting</v></cell><cell r="V398" t="str"><v>Audience Targeting</v></cell><cell r="W398" t="str"><v>Canvas Ad</v></cell><cell r="X398" t="str"><v>12s</v></cell><cell r="Y398" t="str"><v>Try Azure Free</v></cell><cell r="Z398" t="str"><v>Standard videos</v></cell><cell r="AA398"><v>43354</v></cell><cell r="AB398" t="str"><v>DEU_gaPMG_AZR_AZR_Q1_19_Trial-Social- 39684</v></cell><cell r="AC398"><v>21359477</v></cell><cell r="AD398"><v>720194</v></cell><cell r="AE398" t="str"><v>Facebook</v></cell><cell r="AF398"><v>3654128</v></cell><cell r="AG398" t="str"><v>Facebook»DEV-ITP-AZR-FB|CanvasAds|Interesttargeting»1x1»TextLink»CAN»DT»CPM»AUT»W»NA»SS»NA»39684020-11000</v></cell><cell r="AH398"><v>224009494</v></cell><cell r="AI398" t="str"><v>AzurePlatform_FBCTCBrandinMotion-BuyNow_DEU_12s_ISV_PLAT_DE_Trial_Standard_STAN_TN_T2_1</v></cell><cell r="AJ398"><v>103350059</v></cell></row><row r="399"><cell r="D399" t="str"><v>43354224010415</v></cell><cell r="E399" t="str"><v>43354103040320-11000</v></cell><cell r="F399" t="str"><v>DCM</v></cell></row><row r="399"><cell r="H399"><v>3</v></cell><cell r="I399" t="str"><v>Azure Direct</v></cell><cell r="J399" t="str"><v>Azure Direct</v></cell><cell r="K399" t="str"><v>September</v></cell><cell r="L399"><v>43358</v></cell><cell r="M399" t="str"><v>Tier 1</v></cell><cell r="N399" t="str"><v>EMEA</v></cell><cell r="O399" t="str"><v>Germany</v></cell><cell r="P399" t="str"><v>Trial</v></cell><cell r="Q399" t="str"><v>Social</v></cell><cell r="R399" t="str"><v>Azure</v></cell><cell r="S399" t="str"><v>Apps & Infra</v></cell><cell r="T399" t="str"><v>Developers & ITI's</v></cell><cell r="U399" t="str"><v>DEV-ITP-AZR-FB|LinkAd|CustomerAudienceRetargeting</v></cell><cell r="V399" t="str"><v>Retargeting</v></cell><cell r="W399" t="str"><v>Link Ad</v></cell><cell r="X399" t="str"><v>1200x628</v></cell></row><row r="399"><cell r="Z399" t="str"><v>Not Applicable</v></cell><cell r="AA399"><v>43354</v></cell><cell r="AB399" t="str"><v>DEU_gaPMG_AZR_AZR_Q1_19_Trial-Social- 39684</v></cell><cell r="AC399"><v>21359477</v></cell><cell r="AD399"><v>720194</v></cell><cell r="AE399" t="str"><v>Facebook</v></cell><cell r="AF399"><v>3654128</v></cell><cell r="AG399" t="str"><v>Facebook»DEV-ITP-AZR-FB|LinkAd|CustomerAudienceRetargeting»1x1»TextLink»LIA»DT»CPM»RT»W»NA»SS»NA»39684019-11000</v></cell><cell r="AH399"><v>224010415</v></cell><cell r="AI399" t="str"><v>AzurePlatform_FreeAcctRetargetingFB-GlobalAlt-ChB_DEU_1200x628_SOC_Plat_DE_Free Account_Standard_NA_SNU_T2_1</v></cell><cell r="AJ399"><v>103040320</v></cell></row><row r="400"><cell r="D400" t="str"><v>43354224010415</v></cell><cell r="E400" t="str"><v>43354103055394-11000</v></cell><cell r="F400" t="str"><v>DCM</v></cell></row><row r="400"><cell r="H400"><v>1</v></cell><cell r="I400" t="str"><v>Azure Direct</v></cell><cell r="J400" t="str"><v>Azure Direct</v></cell><cell r="K400" t="str"><v>September</v></cell><cell r="L400"><v>43358</v></cell><cell r="M400" t="str"><v>Tier 1</v></cell><cell r="N400" t="str"><v>EMEA</v></cell><cell r="O400" t="str"><v>Germany</v></cell><cell r="P400" t="str"><v>Trial</v></cell><cell r="Q400" t="str"><v>Social</v></cell><cell r="R400" t="str"><v>Azure</v></cell><cell r="S400" t="str"><v>Apps & Infra</v></cell><cell r="T400" t="str"><v>Developers & ITI's</v></cell><cell r="U400" t="str"><v>DEV-ITP-AZR-FB|LinkAd|CustomerAudienceRetargeting</v></cell><cell r="V400" t="str"><v>Retargeting</v></cell><cell r="W400" t="str"><v>Link Ad</v></cell><cell r="X400" t="str"><v>1200x628</v></cell></row><row r="400"><cell r="Z400" t="str"><v>Not Applicable</v></cell><cell r="AA400"><v>43354</v></cell><cell r="AB400" t="str"><v>DEU_gaPMG_AZR_AZR_Q1_19_Trial-Social- 39684</v></cell><cell r="AC400"><v>21359477</v></cell><cell r="AD400"><v>720194</v></cell><cell r="AE400" t="str"><v>Facebook</v></cell><cell r="AF400"><v>3654128</v></cell><cell r="AG400" t="str"><v>Facebook»DEV-ITP-AZR-FB|LinkAd|CustomerAudienceRetargeting»1x1»TextLink»LIA»DT»CPM»RT»W»NA»SS»NA»39684019-11000</v></cell><cell r="AH400"><v>224010415</v></cell><cell r="AI400" t="str"><v>AzurePlatform_FreeAcctRetargetingOSSFB-Text-ChF_DEU_1200x628_SOC_Plat_DE_Free Account_Standard_NA_SNU_T1_1</v></cell><cell r="AJ400"><v>103055394</v></cell></row><row r="401"><cell r="D401" t="str"><v>43354224010415</v></cell><cell r="E401" t="str"><v>43354103043341-11000</v></cell><cell r="F401" t="str"><v>DCM</v></cell></row><row r="401"><cell r="H401"><v>1</v></cell><cell r="I401" t="str"><v>Azure Direct</v></cell><cell r="J401" t="str"><v>Azure Direct</v></cell><cell r="K401" t="str"><v>September</v></cell><cell r="L401"><v>43358</v></cell><cell r="M401" t="str"><v>Tier 1</v></cell><cell r="N401" t="str"><v>EMEA</v></cell><cell r="O401" t="str"><v>Germany</v></cell><cell r="P401" t="str"><v>Trial</v></cell><cell r="Q401" t="str"><v>Social</v></cell><cell r="R401" t="str"><v>Azure</v></cell><cell r="S401" t="str"><v>Apps & Infra</v></cell><cell r="T401" t="str"><v>Developers & ITI's</v></cell><cell r="U401" t="str"><v>DEV-ITP-AZR-FB|LinkAd|CustomerAudienceRetargeting</v></cell><cell r="V401" t="str"><v>Retargeting</v></cell><cell r="W401" t="str"><v>Link Ad</v></cell><cell r="X401" t="str"><v>1200x628</v></cell></row><row r="401"><cell r="Z401" t="str"><v>Not Applicable</v></cell><cell r="AA401"><v>43354</v></cell><cell r="AB401" t="str"><v>DEU_gaPMG_AZR_AZR_Q1_19_Trial-Social- 39684</v></cell><cell r="AC401"><v>21359477</v></cell><cell r="AD401"><v>720194</v></cell><cell r="AE401" t="str"><v>Facebook</v></cell><cell r="AF401"><v>3654128</v></cell><cell r="AG401" t="str"><v>Facebook»DEV-ITP-AZR-FB|LinkAd|CustomerAudienceRetargeting»1x1»TextLink»LIA»DT»CPM»RT»W»NA»SS»NA»39684019-11000</v></cell><cell r="AH401"><v>224010415</v></cell><cell r="AI401" t="str"><v>AzurePlatform_FreeAcctRetargetingVMFB-750Hrs-ChD_DEU_1200x628_SOC_Plat_DE_Free Account_Standard_NA_SNU_T1_1</v></cell><cell r="AJ401"><v>103043341</v></cell></row><row r="402"><cell r="D402" t="str"><v>43354224010415</v></cell><cell r="E402" t="str"><v>43354103043338-11000</v></cell><cell r="F402" t="str"><v>DCM</v></cell></row><row r="402"><cell r="H402"><v>2</v></cell><cell r="I402" t="str"><v>Azure Direct</v></cell><cell r="J402" t="str"><v>Azure Direct</v></cell><cell r="K402" t="str"><v>September</v></cell><cell r="L402"><v>43358</v></cell><cell r="M402" t="str"><v>Tier 1</v></cell><cell r="N402" t="str"><v>EMEA</v></cell><cell r="O402" t="str"><v>Germany</v></cell><cell r="P402" t="str"><v>Trial</v></cell><cell r="Q402" t="str"><v>Social</v></cell><cell r="R402" t="str"><v>Azure</v></cell><cell r="S402" t="str"><v>Apps & Infra</v></cell><cell r="T402" t="str"><v>Developers & ITI's</v></cell><cell r="U402" t="str"><v>DEV-ITP-AZR-FB|LinkAd|CustomerAudienceRetargeting</v></cell><cell r="V402" t="str"><v>Retargeting</v></cell><cell r="W402" t="str"><v>Link Ad</v></cell><cell r="X402" t="str"><v>1200x628</v></cell></row><row r="402"><cell r="Z402" t="str"><v>Not Applicable</v></cell><cell r="AA402"><v>43354</v></cell><cell r="AB402" t="str"><v>DEU_gaPMG_AZR_AZR_Q1_19_Trial-Social- 39684</v></cell><cell r="AC402"><v>21359477</v></cell><cell r="AD402"><v>720194</v></cell><cell r="AE402" t="str"><v>Facebook</v></cell><cell r="AF402"><v>3654128</v></cell><cell r="AG402" t="str"><v>Facebook»DEV-ITP-AZR-FB|LinkAd|CustomerAudienceRetargeting»1x1»TextLink»LIA»DT»CPM»RT»W»NA»SS»NA»39684019-11000</v></cell><cell r="AH402"><v>224010415</v></cell><cell r="AI402" t="str"><v>AzurePlatform_FreeAcctRetargetingVMFB-OnDemand-ChE_DEU_1200x628_SOC_Plat_DE_Free Account_Standard_NA_SNU_T2_1</v></cell><cell r="AJ402"><v>103043338</v></cell></row><row r="403"><cell r="D403" t="str"><v>43354224010415</v></cell><cell r="E403" t="str"><v>43354103048548-11000</v></cell><cell r="F403" t="str"><v>DCM</v></cell></row><row r="403"><cell r="H403"><v>0</v></cell><cell r="I403" t="str"><v>Azure Direct</v></cell><cell r="J403" t="str"><v>Azure Direct</v></cell><cell r="K403" t="str"><v>September</v></cell><cell r="L403"><v>43358</v></cell><cell r="M403" t="str"><v>Tier 1</v></cell><cell r="N403" t="str"><v>EMEA</v></cell><cell r="O403" t="str"><v>Germany</v></cell><cell r="P403" t="str"><v>Trial</v></cell><cell r="Q403" t="str"><v>Social</v></cell><cell r="R403" t="str"><v>Azure</v></cell><cell r="S403" t="str"><v>Apps & Infra</v></cell><cell r="T403" t="str"><v>Developers & ITI's</v></cell><cell r="U403" t="str"><v>DEV-ITP-AZR-FB|LinkAd|CustomerAudienceRetargeting</v></cell><cell r="V403" t="str"><v>Retargeting</v></cell><cell r="W403" t="str"><v>Link Ad</v></cell><cell r="X403" t="str"><v>1200x628</v></cell></row><row r="403"><cell r="Z403" t="str"><v>Animated Banner</v></cell><cell r="AA403"><v>43354</v></cell><cell r="AB403" t="str"><v>DEU_gaPMG_AZR_AZR_Q1_19_Trial-Social- 39684</v></cell><cell r="AC403"><v>21359477</v></cell><cell r="AD403"><v>720194</v></cell><cell r="AE403" t="str"><v>Facebook</v></cell><cell r="AF403"><v>3654128</v></cell><cell r="AG403" t="str"><v>Facebook»DEV-ITP-AZR-FB|LinkAd|CustomerAudienceRetargeting»1x1»TextLink»LIA»DT»CPM»RT»W»NA»SS»NA»39684019-11000</v></cell><cell r="AH403"><v>224010415</v></cell><cell r="AI403" t="str"><v>AzurePlatform_FreeAcctRetargetingFB-Animated-ChC_DEU_1200x628_SOC_Plat_DE_Free Account_Standard_ANI_SNU_T3_1</v></cell><cell r="AJ403"><v>103048548</v></cell></row><row r="404"><cell r="D404" t="str"><v>43354224416915</v></cell><cell r="E404" t="str"><v>43354103376981Trials</v></cell><cell r="F404" t="str"><v>DCM</v></cell></row><row r="404"><cell r="H404"><v>0</v></cell><cell r="I404" t="str"><v>Azure Direct</v></cell><cell r="J404" t="str"><v>Azure Direct</v></cell><cell r="K404" t="str"><v>September</v></cell><cell r="L404"><v>43358</v></cell><cell r="M404" t="str"><v>Tier 1</v></cell><cell r="N404" t="str"><v>EMEA</v></cell><cell r="O404" t="str"><v>France</v></cell><cell r="P404" t="str"><v>Trial</v></cell><cell r="Q404" t="str"><v>Social</v></cell><cell r="R404" t="str"><v>Azure</v></cell><cell r="S404" t="str"><v>Apps & Infra</v></cell><cell r="T404" t="str"><v>Developers & ITI's</v></cell><cell r="U404" t="str"><v>Developers/ITPros-Azure Direct-Sponsored Post-Video Ad-FBCTCBasicMotion_FRA_10s_RTG Landing Page</v></cell><cell r="V404" t="str"><v>Behavioral Targeting</v></cell><cell r="W404" t="str"><v>Video Ad</v></cell><cell r="X404" t="str"><v>10s</v></cell><cell r="Y404" t="str"><v>Try it Now</v></cell><cell r="Z404" t="str"><v>Standard videos</v></cell><cell r="AA404"><v>43354</v></cell><cell r="AB404" t="str"><v>FRA_gaPMG_AZR_AZR_Q1_19_AzureDirect-Trial-Social</v></cell><cell r="AC404"><v>21356941</v></cell><cell r="AD404"><v>720193</v></cell><cell r="AE404" t="str"><v>Facebook</v></cell><cell r="AF404"><v>3654128</v></cell><cell r="AG404" t="str"><v>Facebook»Developers/ITPros-Azure Direct-Sponsored Post-Video Ad-FBCTCBasicMotion_FRA_10s_RTG Landing Page»1x1»05s»SOC»ALL»CPC»BT»D»UNK»SS»NA»Trials</v></cell><cell r="AH404"><v>224416915</v></cell><cell r="AI404" t="str"><v>AZR_FBCTCBasicMotion_FRA_10s_VIA_AZRDirect_French_NA_Facebook_STAN_TIN_T1_1</v></cell><cell r="AJ404"><v>103376981</v></cell></row><row r="405"><cell r="D405" t="str"><v>43354224560875</v></cell><cell r="E405" t="str"><v>43354103259766Trials</v></cell><cell r="F405" t="str"><v>DCM</v></cell></row><row r="405"><cell r="H405"><v>0</v></cell><cell r="I405" t="str"><v>Azure Direct</v></cell><cell r="J405" t="str"><v>Azure Direct</v></cell><cell r="K405" t="str"><v>September</v></cell><cell r="L405"><v>43358</v></cell><cell r="M405" t="str"><v>Tier 1</v></cell><cell r="N405" t="str"><v>EMEA</v></cell><cell r="O405" t="str"><v>France</v></cell><cell r="P405" t="str"><v>Trial</v></cell><cell r="Q405" t="str"><v>Social</v></cell><cell r="R405" t="str"><v>Azure</v></cell><cell r="S405" t="str"><v>Apps & Infra</v></cell><cell r="T405" t="str"><v>Developers & ITI's</v></cell><cell r="U405" t="str"><v>Developers/ITPros-Azure Direct-Sponsored Post-Video Ad-FBCTCBenefit2inMotion_FRA_14s_RTG Landing Page</v></cell><cell r="V405" t="str"><v>Behavioral Targeting</v></cell><cell r="W405" t="str"><v>Video Ad</v></cell><cell r="X405" t="str"><v>14s</v></cell><cell r="Y405" t="str"><v>Try it Now</v></cell><cell r="Z405" t="str"><v>Standard videos</v></cell><cell r="AA405"><v>43354</v></cell><cell r="AB405" t="str"><v>FRA_gaPMG_AZR_AZR_Q1_19_AzureDirect-Trial-Social</v></cell><cell r="AC405"><v>21356941</v></cell><cell r="AD405"><v>720193</v></cell><cell r="AE405" t="str"><v>Facebook</v></cell><cell r="AF405"><v>3654128</v></cell><cell r="AG405" t="str"><v>Facebook»Developers/ITPros-Azure Direct-Sponsored Post-Video Ad-FBCTCBenefit2inMotion_FRA_14s_RTG Landing Page»1x1»06s»SOC»ALL»CPC»BT»D»UNK»SS»NA»Trials</v></cell><cell r="AH405"><v>224560875</v></cell><cell r="AI405" t="str"><v>AZR_FBCTCBenefit2inMotion_FRA_14s_VIA_AZRDirect_French_NA_Facebook_STAN_TIN_T4_1</v></cell><cell r="AJ405"><v>103259766</v></cell></row><row r="406"><cell r="D406" t="str"><v>43354226360001</v></cell><cell r="E406" t="str"><v>43354104456278Trials</v></cell><cell r="F406" t="str"><v>DCM</v></cell></row><row r="406"><cell r="H406"><v>0</v></cell><cell r="I406" t="str"><v>Azure Direct</v></cell><cell r="J406" t="str"><v>Azure Direct</v></cell><cell r="K406" t="str"><v>September</v></cell><cell r="L406"><v>43358</v></cell><cell r="M406" t="str"><v>Tier 1</v></cell><cell r="N406" t="str"><v>EMEA</v></cell><cell r="O406" t="str"><v>France</v></cell><cell r="P406" t="str"><v>Trial</v></cell><cell r="Q406" t="str"><v>Social</v></cell><cell r="R406" t="str"><v>Azure</v></cell><cell r="S406" t="str"><v>Apps & Infra</v></cell><cell r="T406" t="str"><v>Developers & ITI's</v></cell><cell r="U406" t="str"><v>ITPros-Azure Direct-Sponsored Post_Trial-Video Ad-Free Account IT Pro - Hybrid</v></cell><cell r="V406" t="str"><v>Lookalike Targeting</v></cell><cell r="W406" t="str"><v>Video Ad</v></cell><cell r="X406" t="str"><v>1200x1200</v></cell><cell r="Y406" t="str"><v>Learn More</v></cell><cell r="Z406" t="str"><v>Standard videos</v></cell><cell r="AA406"><v>43354</v></cell><cell r="AB406" t="str"><v>FRA_gaPMG_AZR_AZR_Q1_19_AzureDirect-Trial-Social</v></cell><cell r="AC406"><v>21356941</v></cell><cell r="AD406"><v>720193</v></cell><cell r="AE406" t="str"><v>Facebook</v></cell><cell r="AF406"><v>3654128</v></cell><cell r="AG406" t="str"><v>Facebook»ITPros-Azure Direct-Sponsored Post_Trial-Video Ad-Free Account IT Pro - Hybrid»1x1»30s»SOC»ALL»CPC»LAL»D»UNK»SS»NA»Trials</v></cell><cell r="AH406"><v>226360001</v></cell><cell r="AI406" t="str"><v>AZR_FreeAcctITProFB-AnimatedHybrid-Ch2_FRA_1200x1200_VIA_AZRDirect_French_NA_Facebook_STAN_LEA_T2_1</v></cell><cell r="AJ406"><v>104456278</v></cell></row><row r="407"><cell r="D407" t="str"><v>43354226359938</v></cell><cell r="E407" t="str"><v>43354104456278Trials</v></cell><cell r="F407" t="str"><v>DCM</v></cell></row><row r="407"><cell r="H407"><v>0</v></cell><cell r="I407" t="str"><v>Azure Direct</v></cell><cell r="J407" t="str"><v>Azure Direct</v></cell><cell r="K407" t="str"><v>September</v></cell><cell r="L407"><v>43358</v></cell><cell r="M407" t="str"><v>Tier 1</v></cell><cell r="N407" t="str"><v>EMEA</v></cell><cell r="O407" t="str"><v>France</v></cell><cell r="P407" t="str"><v>Trial</v></cell><cell r="Q407" t="str"><v>Social</v></cell><cell r="R407" t="str"><v>Azure</v></cell><cell r="S407" t="str"><v>Apps & Infra</v></cell><cell r="T407" t="str"><v>Developers & ITI's</v></cell><cell r="U407" t="str"><v>ITPros-Azure Direct-Sponsored Post_Trial_PayGo-Video Ad-Free Account IT Pro - Hybrid</v></cell><cell r="V407" t="str"><v>Lookalike Targeting</v></cell><cell r="W407" t="str"><v>Video Ad</v></cell><cell r="X407" t="str"><v>1200x1200</v></cell><cell r="Y407" t="str"><v>Learn More</v></cell><cell r="Z407" t="str"><v>Standard videos</v></cell><cell r="AA407"><v>43354</v></cell><cell r="AB407" t="str"><v>FRA_gaPMG_AZR_AZR_Q1_19_AzureDirect-Trial-Social</v></cell><cell r="AC407"><v>21356941</v></cell><cell r="AD407"><v>720193</v></cell><cell r="AE407" t="str"><v>Facebook</v></cell><cell r="AF407"><v>3654128</v></cell><cell r="AG407" t="str"><v>Facebook»ITPros-Azure Direct-Sponsored Post_Trial_PayGo-Video Ad-Free Account IT Pro - Hybrid»1x1»30s»SOC»ALL»CPC»LAL»D»UNK»SS»NA»Trials</v></cell><cell r="AH407"><v>226359938</v></cell><cell r="AI407" t="str"><v>AZR_FreeAcctITProFB-AnimatedHybrid-Ch2_FRA_1200x1200_VIA_AZRDirect_French_NA_Facebook_STAN_LEA_T2_1</v></cell><cell r="AJ407"><v>104456278</v></cell></row><row r="408"><cell r="D408" t="str"><v>43354224369893</v></cell><cell r="E408" t="str"><v>43354103256571Trials</v></cell><cell r="F408" t="str"><v>DCM</v></cell></row><row r="408"><cell r="H408"><v>2</v></cell><cell r="I408" t="str"><v>Azure Direct</v></cell><cell r="J408" t="str"><v>Azure Direct</v></cell><cell r="K408" t="str"><v>September</v></cell><cell r="L408"><v>43358</v></cell><cell r="M408" t="str"><v>Tier 1</v></cell><cell r="N408" t="str"><v>EMEA</v></cell><cell r="O408" t="str"><v>France</v></cell><cell r="P408" t="str"><v>Trial</v></cell><cell r="Q408" t="str"><v>Social</v></cell><cell r="R408" t="str"><v>Azure</v></cell><cell r="S408" t="str"><v>Apps & Infra</v></cell><cell r="T408" t="str"><v>Developers & ITI's</v></cell><cell r="U408" t="str"><v>Developers/ITPros-Azure Direct-Sponsored Post-Canvas-FBCTCcanvaspage-BuyNowCTA-Img3_FBCTCBasicMotion_FRA_10sec</v></cell><cell r="V408" t="str"><v>Behavioral Targeting</v></cell><cell r="W408" t="str"><v>Canvas Ad</v></cell><cell r="X408" t="str"><v>1080x162</v></cell><cell r="Y408" t="str"><v>Buy Now</v></cell><cell r="Z408" t="str"><v>Static Banner</v></cell><cell r="AA408"><v>43354</v></cell><cell r="AB408" t="str"><v>FRA_gaPMG_AZR_AZR_Q1_19_AzureDirect-Trial-Social</v></cell><cell r="AC408"><v>21356941</v></cell><cell r="AD408"><v>720193</v></cell><cell r="AE408" t="str"><v>Facebook</v></cell><cell r="AF408"><v>3654128</v></cell><cell r="AG408" t="str"><v>Facebook»Developers/ITPros-Azure Direct-Sponsored Post-Canvas-FBCTCcanvaspage-BuyNowCTA-Img3_FBCTCBasicMotion_FRA_10sec»1x1»Canvas»SOC»ALL»CPC»BT»D»UNK»SS»NA»Trials</v></cell><cell r="AH408"><v>224369893</v></cell><cell r="AI408" t="str"><v>AZR_FBCTCcanvaspage-BuyNowCTA-Img3_FRA_1080x162_SOC_AZRDirect_French_NA_Facebook_SBAN_BN_T3_1</v></cell><cell r="AJ408"><v>103256571</v></cell></row><row r="409"><cell r="D409" t="str"><v>43354224416918</v></cell><cell r="E409" t="str"><v>43354103256571Trials</v></cell><cell r="F409" t="str"><v>DCM</v></cell></row><row r="409"><cell r="H409"><v>1</v></cell><cell r="I409" t="str"><v>Azure Direct</v></cell><cell r="J409" t="str"><v>Azure Direct</v></cell><cell r="K409" t="str"><v>September</v></cell><cell r="L409"><v>43358</v></cell><cell r="M409" t="str"><v>Tier 1</v></cell><cell r="N409" t="str"><v>EMEA</v></cell><cell r="O409" t="str"><v>France</v></cell><cell r="P409" t="str"><v>Trial</v></cell><cell r="Q409" t="str"><v>Social</v></cell><cell r="R409" t="str"><v>Azure</v></cell><cell r="S409" t="str"><v>Apps & Infra</v></cell><cell r="T409" t="str"><v>Developers & ITI's</v></cell><cell r="U409" t="str"><v>Developers/ITPros-Azure Direct-Sponsored Post-Canvas-FBCTCcanvaspage-BuyNowCTA-Img3_FBCTCBrandinMotion_FRA_14sec</v></cell><cell r="V409" t="str"><v>Behavioral Targeting</v></cell><cell r="W409" t="str"><v>Canvas Ad</v></cell><cell r="X409" t="str"><v>1080x162</v></cell><cell r="Y409" t="str"><v>Buy Now</v></cell><cell r="Z409" t="str"><v>Static Banner</v></cell><cell r="AA409"><v>43354</v></cell><cell r="AB409" t="str"><v>FRA_gaPMG_AZR_AZR_Q1_19_AzureDirect-Trial-Social</v></cell><cell r="AC409"><v>21356941</v></cell><cell r="AD409"><v>720193</v></cell><cell r="AE409" t="str"><v>Facebook</v></cell><cell r="AF409"><v>3654128</v></cell><cell r="AG409" t="str"><v>Facebook»Developers/ITPros-Azure Direct-Sponsored Post-Canvas-FBCTCcanvaspage-BuyNowCTA-Img3_FBCTCBrandinMotion_FRA_14sec»1x1»Canvas»SOC»ALL»CPC»BT»D»UNK»SS»NA»Trials</v></cell><cell r="AH409"><v>224416918</v></cell><cell r="AI409" t="str"><v>AZR_FBCTCcanvaspage-BuyNowCTA-Img3_FRA_1080x162_SOC_AZRDirect_French_NA_Facebook_SBAN_BN_T3_1</v></cell><cell r="AJ409"><v>103256571</v></cell></row><row r="410"><cell r="D410" t="str"><v>43354224560884</v></cell><cell r="E410" t="str"><v>43354103259958Trials</v></cell><cell r="F410" t="str"><v>DCM</v></cell></row><row r="410"><cell r="H410"><v>0</v></cell><cell r="I410" t="str"><v>Azure Direct</v></cell><cell r="J410" t="str"><v>Azure Direct</v></cell><cell r="K410" t="str"><v>September</v></cell><cell r="L410"><v>43358</v></cell><cell r="M410" t="str"><v>Tier 1</v></cell><cell r="N410" t="str"><v>EMEA</v></cell><cell r="O410" t="str"><v>France</v></cell><cell r="P410" t="str"><v>Trial</v></cell><cell r="Q410" t="str"><v>Social</v></cell><cell r="R410" t="str"><v>Azure</v></cell><cell r="S410" t="str"><v>Apps & Infra</v></cell><cell r="T410" t="str"><v>Developers & ITI's</v></cell><cell r="U410" t="str"><v>Developers/ITPros-Azure Direct-Sponsored Post-Canvas-FBCTCcanvaspage-StartFreeCTA-Img2_FBCTCBasicMotion_FRA_10sec</v></cell><cell r="V410" t="str"><v>Behavioral Targeting</v></cell><cell r="W410" t="str"><v>Canvas Ad</v></cell><cell r="X410" t="str"><v>1080x143</v></cell><cell r="Y410" t="str"><v>Buy Now</v></cell><cell r="Z410" t="str"><v>Static Banner</v></cell><cell r="AA410"><v>43354</v></cell><cell r="AB410" t="str"><v>FRA_gaPMG_AZR_AZR_Q1_19_AzureDirect-Trial-Social</v></cell><cell r="AC410"><v>21356941</v></cell><cell r="AD410"><v>720193</v></cell><cell r="AE410" t="str"><v>Facebook</v></cell><cell r="AF410"><v>3654128</v></cell><cell r="AG410" t="str"><v>Facebook»Developers/ITPros-Azure Direct-Sponsored Post-Canvas-FBCTCcanvaspage-StartFreeCTA-Img2_FBCTCBasicMotion_FRA_10sec»1x1»Canvas»SOC»ALL»CPC»BT»D»UNK»SS»NA»Trials</v></cell><cell r="AH410"><v>224560884</v></cell><cell r="AI410" t="str"><v>AZR_FBCTCcanvaspage-StartFreeCTA-Img2_FRA_1080x143_SOC_AZRDirect_French_NA_Facebook_SBAN_BN_T2_1</v></cell><cell r="AJ410"><v>103259958</v></cell></row><row r="411"><cell r="D411" t="str"><v>43354224560872</v></cell><cell r="E411" t="str"><v>43354103259958Trials</v></cell><cell r="F411" t="str"><v>DCM</v></cell></row><row r="411"><cell r="H411"><v>0</v></cell><cell r="I411" t="str"><v>Azure Direct</v></cell><cell r="J411" t="str"><v>Azure Direct</v></cell><cell r="K411" t="str"><v>September</v></cell><cell r="L411"><v>43358</v></cell><cell r="M411" t="str"><v>Tier 1</v></cell><cell r="N411" t="str"><v>EMEA</v></cell><cell r="O411" t="str"><v>France</v></cell><cell r="P411" t="str"><v>Trial</v></cell><cell r="Q411" t="str"><v>Social</v></cell><cell r="R411" t="str"><v>Azure</v></cell><cell r="S411" t="str"><v>Apps & Infra</v></cell><cell r="T411" t="str"><v>Developers & ITI's</v></cell><cell r="U411" t="str"><v>Developers/ITPros-Azure Direct-Sponsored Post-Canvas-FBCTCcanvaspage-StartFreeCTA-Img2_FBCTCBrandinMotion_FRA_14sec</v></cell><cell r="V411" t="str"><v>Behavioral Targeting</v></cell><cell r="W411" t="str"><v>Canvas Ad</v></cell><cell r="X411" t="str"><v>1080x143</v></cell><cell r="Y411" t="str"><v>Buy Now</v></cell><cell r="Z411" t="str"><v>Static Banner</v></cell><cell r="AA411"><v>43354</v></cell><cell r="AB411" t="str"><v>FRA_gaPMG_AZR_AZR_Q1_19_AzureDirect-Trial-Social</v></cell><cell r="AC411"><v>21356941</v></cell><cell r="AD411"><v>720193</v></cell><cell r="AE411" t="str"><v>Facebook</v></cell><cell r="AF411"><v>3654128</v></cell><cell r="AG411" t="str"><v>Facebook»Developers/ITPros-Azure Direct-Sponsored Post-Canvas-FBCTCcanvaspage-StartFreeCTA-Img2_FBCTCBrandinMotion_FRA_14sec»1x1»Canvas»SOC»ALL»CPC»BT»D»UNK»SS»NA»Trials</v></cell><cell r="AH411"><v>224560872</v></cell><cell r="AI411" t="str"><v>AZR_FBCTCcanvaspage-StartFreeCTA-Img2_FRA_1080x143_SOC_AZRDirect_French_NA_Facebook_SBAN_BN_T2_1</v></cell><cell r="AJ411"><v>103259958</v></cell></row><row r="412"><cell r="D412" t="str"><v>43354226359947</v></cell><cell r="E412" t="str"><v>43354104537813Trials</v></cell><cell r="F412" t="str"><v>DCM</v></cell></row><row r="412"><cell r="H412"><v>0</v></cell><cell r="I412" t="str"><v>Azure Direct</v></cell><cell r="J412" t="str"><v>Azure Direct</v></cell><cell r="K412" t="str"><v>September</v></cell><cell r="L412"><v>43358</v></cell><cell r="M412" t="str"><v>Tier 1</v></cell><cell r="N412" t="str"><v>EMEA</v></cell><cell r="O412" t="str"><v>France</v></cell><cell r="P412" t="str"><v>Trial</v></cell><cell r="Q412" t="str"><v>Social</v></cell><cell r="R412" t="str"><v>Azure</v></cell><cell r="S412" t="str"><v>Apps & Infra</v></cell><cell r="T412" t="str"><v>Developers & ITI's</v></cell><cell r="U412" t="str"><v>Developers-Azure Direct-Sponsored Post_Trial_PayGo-Video Ad-Free Account Developer - AI</v></cell><cell r="V412" t="str"><v>Lookalike Targeting</v></cell><cell r="W412" t="str"><v>Video Ad</v></cell><cell r="X412" t="str"><v>1200x1200</v></cell><cell r="Y412" t="str"><v>Learn More</v></cell><cell r="Z412" t="str"><v>Standard videos</v></cell><cell r="AA412"><v>43354</v></cell><cell r="AB412" t="str"><v>FRA_gaPMG_AZR_AZR_Q1_19_AzureDirect-Trial-Social</v></cell><cell r="AC412"><v>21356941</v></cell><cell r="AD412"><v>720193</v></cell><cell r="AE412" t="str"><v>Facebook</v></cell><cell r="AF412"><v>3654128</v></cell><cell r="AG412" t="str"><v>Facebook»Developers-Azure Direct-Sponsored Post_Trial_PayGo-Video Ad-Free Account Developer - AI»1x1»30s»SOC»ALL»CPC»LAL»D»UNK»SS»NA»Trials</v></cell><cell r="AH412"><v>226359947</v></cell><cell r="AI412" t="str"><v>AZR_FreeAcctDeveloperFB-AnimatedAI-Ch3_FRA_1200x1200_VIA_AZRDirect_French_NA_Facebook_STAN_LEA_T3_1</v></cell><cell r="AJ412"><v>104537813</v></cell></row><row r="413"><cell r="D413" t="str"><v>43354224399962</v></cell><cell r="E413" t="str"><v>43354103235146Motion</v></cell><cell r="F413" t="str"><v>DCM</v></cell></row><row r="413"><cell r="H413"><v>0</v></cell><cell r="I413" t="str"><v>Azure Direct</v></cell><cell r="J413" t="str"><v>Azure Direct</v></cell><cell r="K413" t="str"><v>September</v></cell><cell r="L413"><v>43358</v></cell><cell r="M413" t="str"><v>Tier 1</v></cell><cell r="N413" t="str"><v>EMEA</v></cell><cell r="O413" t="str"><v>United Kingdom</v></cell><cell r="P413" t="str"><v>Trial</v></cell><cell r="Q413" t="str"><v>Social</v></cell><cell r="R413" t="str"><v>Azure</v></cell><cell r="S413" t="str"><v>Apps & Infra</v></cell><cell r="T413" t="str"><v>Developers & ITI's</v></cell><cell r="U413" t="str"><v>Audience & Interest Targeting</v></cell><cell r="V413" t="str"><v>Audience Targeting</v></cell><cell r="W413" t="str"><v>Link Ad</v></cell><cell r="X413" t="str"><v>1080x143</v></cell><cell r="Y413" t="str"><v>Not Applicable </v></cell><cell r="Z413" t="str"><v>Not Applicable</v></cell><cell r="AA413"><v>43354</v></cell><cell r="AB413" t="str"><v>GBR_gaPMG_CE_AZR_Q1_19_Trial-Social</v></cell><cell r="AC413"><v>21337013</v></cell><cell r="AD413"><v>720196</v></cell><cell r="AE413" t="str"><v>Facebook</v></cell><cell r="AF413"><v>3654128</v></cell><cell r="AG413" t="str"><v>Facebook»Audience & Interest Targeting»1x1»SocialBan»LIA»DT»CPC»AUT»W»NA»SS»NA»Basic Motion</v></cell><cell r="AH413"><v>224399962</v></cell><cell r="AI413" t="str"><v>AzurePlatform_FBCTCcanvaspage-StartFreeCTA-Img2_GBR_1080x143 _SOC_Plat_English_NA_Standard_NA_NA_T2_1</v></cell><cell r="AJ413"><v>103235146</v></cell></row><row r="414"><cell r="D414" t="str"><v>43354224399962</v></cell><cell r="E414" t="str"><v>43354103230847Motion</v></cell><cell r="F414" t="str"><v>DCM</v></cell></row><row r="414"><cell r="H414"><v>0</v></cell><cell r="I414" t="str"><v>Azure Direct</v></cell><cell r="J414" t="str"><v>Azure Direct</v></cell><cell r="K414" t="str"><v>September</v></cell><cell r="L414"><v>43358</v></cell><cell r="M414" t="str"><v>Tier 1</v></cell><cell r="N414" t="str"><v>EMEA</v></cell><cell r="O414" t="str"><v>United Kingdom</v></cell><cell r="P414" t="str"><v>Trial</v></cell><cell r="Q414" t="str"><v>Social</v></cell><cell r="R414" t="str"><v>Azure</v></cell><cell r="S414" t="str"><v>Apps & Infra</v></cell><cell r="T414" t="str"><v>Developers & ITI's</v></cell><cell r="U414" t="str"><v>Audience & Interest Targeting</v></cell><cell r="V414" t="str"><v>Audience Targeting</v></cell><cell r="W414" t="str"><v>Link Ad</v></cell><cell r="X414" t="str"><v>1080x162</v></cell><cell r="Y414" t="str"><v>Buy Now</v></cell><cell r="Z414" t="str"><v>Not Applicable</v></cell><cell r="AA414"><v>43354</v></cell><cell r="AB414" t="str"><v>GBR_gaPMG_CE_AZR_Q1_19_Trial-Social</v></cell><cell r="AC414"><v>21337013</v></cell><cell r="AD414"><v>720196</v></cell><cell r="AE414" t="str"><v>Facebook</v></cell><cell r="AF414"><v>3654128</v></cell><cell r="AG414" t="str"><v>Facebook»Audience & Interest Targeting»1x1»SocialBan»LIA»DT»CPC»AUT»W»NA»SS»NA»Basic Motion</v></cell><cell r="AH414"><v>224399962</v></cell><cell r="AI414" t="str"><v>AzurePlatform_FBCTCcanvaspage-BuyNowCTA-Img3_GBR_1080x162_SOC_Plat_English_NA_Standard_NA_BN_T3_1</v></cell><cell r="AJ414"><v>103230847</v></cell></row><row r="415"><cell r="D415" t="str"><v>43354224334170</v></cell><cell r="E415" t="str"><v>43354103235146Motion</v></cell><cell r="F415" t="str"><v>DCM</v></cell></row><row r="415"><cell r="H415"><v>0</v></cell><cell r="I415" t="str"><v>Azure Direct</v></cell><cell r="J415" t="str"><v>Azure Direct</v></cell><cell r="K415" t="str"><v>September</v></cell><cell r="L415"><v>43358</v></cell><cell r="M415" t="str"><v>Tier 1</v></cell><cell r="N415" t="str"><v>EMEA</v></cell><cell r="O415" t="str"><v>United Kingdom</v></cell><cell r="P415" t="str"><v>Trial</v></cell><cell r="Q415" t="str"><v>Social</v></cell><cell r="R415" t="str"><v>Azure</v></cell><cell r="S415" t="str"><v>Apps & Infra</v></cell><cell r="T415" t="str"><v>Developers & ITI's</v></cell><cell r="U415" t="str"><v>Audience & Interest Targeting</v></cell><cell r="V415" t="str"><v>Audience Targeting</v></cell><cell r="W415" t="str"><v>Link Ad</v></cell><cell r="X415" t="str"><v>1080x143</v></cell><cell r="Y415" t="str"><v>Not Applicable </v></cell><cell r="Z415" t="str"><v>Not Applicable</v></cell><cell r="AA415"><v>43354</v></cell><cell r="AB415" t="str"><v>GBR_gaPMG_CE_AZR_Q1_19_Trial-Social</v></cell><cell r="AC415"><v>21337013</v></cell><cell r="AD415"><v>720196</v></cell><cell r="AE415" t="str"><v>Facebook</v></cell><cell r="AF415"><v>3654128</v></cell><cell r="AG415" t="str"><v>Facebook»Audience & Interest Targeting»1x1»SocialBan»LIA»DT»CPC»AUT»W»NA»SS»NA»Benefit 2 in Motion</v></cell><cell r="AH415"><v>224334170</v></cell><cell r="AI415" t="str"><v>AzurePlatform_FBCTCcanvaspage-StartFreeCTA-Img2_GBR_1080x143 _SOC_Plat_English_NA_Standard_NA_NA_T2_1</v></cell><cell r="AJ415"><v>103235146</v></cell></row><row r="416"><cell r="D416" t="str"><v>43354223560299</v></cell><cell r="E416" t="str"><v>43354102854019ed ChC</v></cell><cell r="F416" t="str"><v>DCM</v></cell></row><row r="416"><cell r="H416"><v>1</v></cell><cell r="I416" t="str"><v>Azure Direct</v></cell><cell r="J416" t="str"><v>Azure Direct</v></cell><cell r="K416" t="str"><v>September</v></cell><cell r="L416"><v>43358</v></cell><cell r="M416" t="str"><v>Tier 1</v></cell><cell r="N416" t="str"><v>EMEA</v></cell><cell r="O416" t="str"><v>United Kingdom</v></cell><cell r="P416" t="str"><v>Trial</v></cell><cell r="Q416" t="str"><v>Social</v></cell><cell r="R416" t="str"><v>Azure</v></cell><cell r="S416" t="str"><v>Apps & Infra</v></cell><cell r="T416" t="str"><v>Developers & ITI's</v></cell><cell r="U416" t="str"><v>Retargeting</v></cell><cell r="V416" t="str"><v>Retargeting</v></cell><cell r="W416" t="str"><v>Link Ad</v></cell><cell r="X416" t="str"><v>1200x628</v></cell></row><row r="416"><cell r="Z416" t="str"><v>Animated Banner</v></cell><cell r="AA416"><v>43354</v></cell><cell r="AB416" t="str"><v>GBR_gaPMG_CE_AZR_Q1_19_Trial-Social</v></cell><cell r="AC416"><v>21337013</v></cell><cell r="AD416"><v>720196</v></cell><cell r="AE416" t="str"><v>Facebook</v></cell><cell r="AF416"><v>3654128</v></cell><cell r="AG416" t="str"><v>Facebook»Retargeting»1x1»SocialBan»LIA»DT»DYN»RT»W»NA»SS»NA»Free Account Retargeting Generic- Animated ChC</v></cell><cell r="AH416"><v>223560299</v></cell><cell r="AI416" t="str"><v>AzurePlatform_FreeAcctRetargetingFB-Animated-ChC_GBR_1200x628_SOC_Plat_EN_Free Account_Standard_ANI_SU_T3_1</v></cell><cell r="AJ416"><v>102854019</v></cell></row><row r="417"><cell r="D417" t="str"><v>43354223560356</v></cell><cell r="E417" t="str"><v>43354102854016lt ChB</v></cell><cell r="F417" t="str"><v>DCM</v></cell></row><row r="417"><cell r="H417"><v>1</v></cell><cell r="I417" t="str"><v>Azure Direct</v></cell><cell r="J417" t="str"><v>Azure Direct</v></cell><cell r="K417" t="str"><v>September</v></cell><cell r="L417"><v>43358</v></cell><cell r="M417" t="str"><v>Tier 1</v></cell><cell r="N417" t="str"><v>EMEA</v></cell><cell r="O417" t="str"><v>United Kingdom</v></cell><cell r="P417" t="str"><v>Trial</v></cell><cell r="Q417" t="str"><v>Social</v></cell><cell r="R417" t="str"><v>Azure</v></cell><cell r="S417" t="str"><v>Apps & Infra</v></cell><cell r="T417" t="str"><v>Developers & ITI's</v></cell><cell r="U417" t="str"><v>Retargeting</v></cell><cell r="V417" t="str"><v>Retargeting</v></cell><cell r="W417" t="str"><v>Link Ad</v></cell><cell r="X417" t="str"><v>1200x628</v></cell></row><row r="417"><cell r="Z417" t="str"><v>Not Applicable</v></cell><cell r="AA417"><v>43354</v></cell><cell r="AB417" t="str"><v>GBR_gaPMG_CE_AZR_Q1_19_Trial-Social</v></cell><cell r="AC417"><v>21337013</v></cell><cell r="AD417"><v>720196</v></cell><cell r="AE417" t="str"><v>Facebook</v></cell><cell r="AF417"><v>3654128</v></cell><cell r="AG417" t="str"><v>Facebook»Retargeting»1x1»SocialBan»LIA»DT»DYN»RT»W»NA»SS»NA»Free Account Retargeting Generic- Global Alt ChB</v></cell><cell r="AH417"><v>223560356</v></cell><cell r="AI417" t="str"><v>AzurePlatform_FreeAcctRetargetingFB-GlobalAlt-ChB_GBR_1200x628_SOC_Plat_EN_Free Account_Standard_NA_SU_T2_1</v></cell><cell r="AJ417"><v>102854016</v></cell></row><row r="418"><cell r="D418" t="str"><v>43354223560350</v></cell><cell r="E418" t="str"><v>43354103006547os ChG</v></cell><cell r="F418" t="str"><v>DCM</v></cell></row><row r="418"><cell r="H418"><v>0</v></cell><cell r="I418" t="str"><v>Azure Direct</v></cell><cell r="J418" t="str"><v>Azure Direct</v></cell><cell r="K418" t="str"><v>September</v></cell><cell r="L418"><v>43358</v></cell><cell r="M418" t="str"><v>Tier 1</v></cell><cell r="N418" t="str"><v>EMEA</v></cell><cell r="O418" t="str"><v>United Kingdom</v></cell><cell r="P418" t="str"><v>Trial</v></cell><cell r="Q418" t="str"><v>Social</v></cell><cell r="R418" t="str"><v>Azure</v></cell><cell r="S418" t="str"><v>Apps & Infra</v></cell><cell r="T418" t="str"><v>Developers & ITI's</v></cell><cell r="U418" t="str"><v>Retargeting</v></cell><cell r="V418" t="str"><v>Retargeting</v></cell><cell r="W418" t="str"><v>Link Ad</v></cell><cell r="X418" t="str"><v>1200x628</v></cell></row><row r="418"><cell r="Z418" t="str"><v>Not Applicable</v></cell><cell r="AA418"><v>43354</v></cell><cell r="AB418" t="str"><v>GBR_gaPMG_CE_AZR_Q1_19_Trial-Social</v></cell><cell r="AC418"><v>21337013</v></cell><cell r="AD418"><v>720196</v></cell><cell r="AE418" t="str"><v>Facebook</v></cell><cell r="AF418"><v>3654128</v></cell><cell r="AG418" t="str"><v>Facebook»Retargeting»1x1»SocialBan»LIA»DT»DYN»RT»W»NA»SS»NA»Free Account Retargeting OSS- Logos ChG</v></cell><cell r="AH418"><v>223560350</v></cell><cell r="AI418" t="str"><v>AzurePlatform_FreeAcctRetargetingOSSFB-Logos-ChG_GBR_1200x628_SOC_Plat_EN_Free Account_Standard_NA_SU_T2_1</v></cell><cell r="AJ418"><v>103006547</v></cell></row><row r="419"><cell r="D419" t="str"><v>43354223560344</v></cell><cell r="E419" t="str"><v>43354102861246xt ChF</v></cell><cell r="F419" t="str"><v>DCM</v></cell></row><row r="419"><cell r="H419"><v>0</v></cell><cell r="I419" t="str"><v>Azure Direct</v></cell><cell r="J419" t="str"><v>Azure Direct</v></cell><cell r="K419" t="str"><v>September</v></cell><cell r="L419"><v>43358</v></cell><cell r="M419" t="str"><v>Tier 1</v></cell><cell r="N419" t="str"><v>EMEA</v></cell><cell r="O419" t="str"><v>United Kingdom</v></cell><cell r="P419" t="str"><v>Trial</v></cell><cell r="Q419" t="str"><v>Social</v></cell><cell r="R419" t="str"><v>Azure</v></cell><cell r="S419" t="str"><v>Apps & Infra</v></cell><cell r="T419" t="str"><v>Developers & ITI's</v></cell><cell r="U419" t="str"><v>Retargeting</v></cell><cell r="V419" t="str"><v>Retargeting</v></cell><cell r="W419" t="str"><v>Link Ad</v></cell><cell r="X419" t="str"><v>1200x628</v></cell></row><row r="419"><cell r="Z419" t="str"><v>Not Applicable</v></cell><cell r="AA419"><v>43354</v></cell><cell r="AB419" t="str"><v>GBR_gaPMG_CE_AZR_Q1_19_Trial-Social</v></cell><cell r="AC419"><v>21337013</v></cell><cell r="AD419"><v>720196</v></cell><cell r="AE419" t="str"><v>Facebook</v></cell><cell r="AF419"><v>3654128</v></cell><cell r="AG419" t="str"><v>Facebook»Retargeting»1x1»SocialBan»LIA»DT»DYN»RT»W»NA»SS»NA»Free Account Retargeting OSS- Text ChF</v></cell><cell r="AH419"><v>223560344</v></cell><cell r="AI419" t="str"><v>AzurePlatform_FreeAcctRetargetingOSSFB-Text-ChF_GBR_1200x628_SOC_Plat_EN_Free Account_Standard_NA_SU_T1_1</v></cell><cell r="AJ419"><v>102861246</v></cell></row><row r="420"><cell r="D420" t="str"><v>43354223560338</v></cell><cell r="E420" t="str"><v>43354102853603rs ChD</v></cell><cell r="F420" t="str"><v>DCM</v></cell></row><row r="420"><cell r="H420"><v>0</v></cell><cell r="I420" t="str"><v>Azure Direct</v></cell><cell r="J420" t="str"><v>Azure Direct</v></cell><cell r="K420" t="str"><v>September</v></cell><cell r="L420"><v>43358</v></cell><cell r="M420" t="str"><v>Tier 1</v></cell><cell r="N420" t="str"><v>EMEA</v></cell><cell r="O420" t="str"><v>United Kingdom</v></cell><cell r="P420" t="str"><v>Trial</v></cell><cell r="Q420" t="str"><v>Social</v></cell><cell r="R420" t="str"><v>Azure</v></cell><cell r="S420" t="str"><v>Apps & Infra</v></cell><cell r="T420" t="str"><v>Developers & ITI's</v></cell><cell r="U420" t="str"><v>Retargeting</v></cell><cell r="V420" t="str"><v>Retargeting</v></cell><cell r="W420" t="str"><v>Link Ad</v></cell><cell r="X420" t="str"><v>1200x628</v></cell></row><row r="420"><cell r="Z420" t="str"><v>Not Applicable</v></cell><cell r="AA420"><v>43354</v></cell><cell r="AB420" t="str"><v>GBR_gaPMG_CE_AZR_Q1_19_Trial-Social</v></cell><cell r="AC420"><v>21337013</v></cell><cell r="AD420"><v>720196</v></cell><cell r="AE420" t="str"><v>Facebook</v></cell><cell r="AF420"><v>3654128</v></cell><cell r="AG420" t="str"><v>Facebook»Retargeting»1x1»SocialBan»LIA»DT»DYN»RT»W»NA»SS»NA»Free Account Retargeting VM- 750 Hrs ChD</v></cell><cell r="AH420"><v>223560338</v></cell><cell r="AI420" t="str"><v>AzurePlatform_FreeAcctRetargetingVMFB-750Hrs-ChD_GBR_1200x628_SOC_Plat_EN_Free Account_Standard_NA_SU_T1_1</v></cell><cell r="AJ420"><v>102853603</v></cell></row><row r="421"><cell r="D421" t="str"><v>43354223560332</v></cell><cell r="E421" t="str"><v>43354102854037nd ChE</v></cell><cell r="F421" t="str"><v>DCM</v></cell></row><row r="421"><cell r="H421"><v>0</v></cell><cell r="I421" t="str"><v>Azure Direct</v></cell><cell r="J421" t="str"><v>Azure Direct</v></cell><cell r="K421" t="str"><v>September</v></cell><cell r="L421"><v>43358</v></cell><cell r="M421" t="str"><v>Tier 1</v></cell><cell r="N421" t="str"><v>EMEA</v></cell><cell r="O421" t="str"><v>United Kingdom</v></cell><cell r="P421" t="str"><v>Trial</v></cell><cell r="Q421" t="str"><v>Social</v></cell><cell r="R421" t="str"><v>Azure</v></cell><cell r="S421" t="str"><v>Apps & Infra</v></cell><cell r="T421" t="str"><v>Developers & ITI's</v></cell><cell r="U421" t="str"><v>Retargeting</v></cell><cell r="V421" t="str"><v>Retargeting</v></cell><cell r="W421" t="str"><v>Link Ad</v></cell><cell r="X421" t="str"><v>1200x628</v></cell></row><row r="421"><cell r="Z421" t="str"><v>Not Applicable</v></cell><cell r="AA421"><v>43354</v></cell><cell r="AB421" t="str"><v>GBR_gaPMG_CE_AZR_Q1_19_Trial-Social</v></cell><cell r="AC421"><v>21337013</v></cell><cell r="AD421"><v>720196</v></cell><cell r="AE421" t="str"><v>Facebook</v></cell><cell r="AF421"><v>3654128</v></cell><cell r="AG421" t="str"><v>Facebook»Retargeting»1x1»SocialBan»LIA»DT»DYN»RT»W»NA»SS»NA»Free Account Retargeting VM- On Demand ChE</v></cell><cell r="AH421"><v>223560332</v></cell><cell r="AI421" t="str"><v>AzurePlatform_FreeAcctRetargetingVMFB-OnDemand-ChE_GBR_1200x628_SOC_Plat_EN_Free Account_Standard_NA_SU_T2_1</v></cell><cell r="AJ421"><v>102854037</v></cell></row><row r="422"><cell r="D422" t="str"><v>43354226889143</v></cell><cell r="E422" t="str"><v>43354103230847Hybrid</v></cell><cell r="F422" t="str"><v>DCM</v></cell></row><row r="422"><cell r="H422"><v>1</v></cell><cell r="I422" t="str"><v>Azure Direct</v></cell><cell r="J422" t="str"><v>Azure Direct</v></cell><cell r="K422" t="str"><v>September</v></cell><cell r="L422"><v>43358</v></cell><cell r="M422" t="str"><v>Tier 1</v></cell><cell r="N422" t="str"><v>EMEA</v></cell><cell r="O422" t="str"><v>United Kingdom</v></cell><cell r="P422" t="str"><v>Trial</v></cell><cell r="Q422" t="str"><v>Social</v></cell><cell r="R422" t="str"><v>Azure</v></cell><cell r="S422" t="str"><v>Apps & Infra</v></cell><cell r="T422" t="str"><v>Developers & ITI's</v></cell><cell r="U422" t="str"><v>Audience & Interest Targeting- Azure Trial PayGo Lookalikes</v></cell><cell r="V422" t="str"><v>Audience Targeting</v></cell><cell r="W422" t="str"><v>Canvas Ad</v></cell><cell r="X422" t="str"><v>1080x162</v></cell><cell r="Y422" t="str"><v>Buy Now</v></cell><cell r="Z422" t="str"><v>Not Applicable</v></cell><cell r="AA422"><v>43354</v></cell><cell r="AB422" t="str"><v>GBR_gaPMG_CE_AZR_Q1_19_Trial-Social</v></cell><cell r="AC422"><v>21337013</v></cell><cell r="AD422"><v>720196</v></cell><cell r="AE422" t="str"><v>Facebook</v></cell><cell r="AF422"><v>3654128</v></cell><cell r="AG422" t="str"><v>Facebook»Audience & Interest Targeting- Azure Trial PayGo Lookalikes»1x1»TextLink»CAN»MO»CPM»AUT»W»NA»SS»NA»Free Account IT Pro- Hybrid</v></cell><cell r="AH422"><v>226889143</v></cell><cell r="AI422" t="str"><v>AzurePlatform_FBCTCcanvaspage-BuyNowCTA-Img3_GBR_1080x162_SOC_Plat_English_NA_Standard_NA_BN_T3_1</v></cell><cell r="AJ422"><v>103230847</v></cell></row><row r="423"><cell r="D423" t="str"><v>43354223298805</v></cell><cell r="E423" t="str"><v>43354102630373-Trial</v></cell><cell r="F423" t="str"><v>DCM</v></cell></row><row r="423"><cell r="H423"><v>0</v></cell><cell r="I423" t="str"><v>Azure Direct</v></cell><cell r="J423" t="str"><v>Azure Direct</v></cell><cell r="K423" t="str"><v>September</v></cell><cell r="L423"><v>43358</v></cell><cell r="M423" t="str"><v>Tier 1</v></cell><cell r="N423" t="str"><v>APAC</v></cell><cell r="O423" t="str"><v>Japan</v></cell><cell r="P423" t="str"><v>Trial</v></cell><cell r="Q423" t="str"><v>Social</v></cell><cell r="R423" t="str"><v>Azure</v></cell><cell r="S423" t="str"><v>Apps & Infra</v></cell><cell r="T423" t="str"><v>Developers & ITI's</v></cell><cell r="U423" t="str"><v>AZP-Canvas-Interest&Role-Trial</v></cell><cell r="V423" t="str"><v>Prospecting</v></cell><cell r="W423" t="str"><v>Canvas Ad</v></cell><cell r="X423" t="str"><v>1080x162</v></cell><cell r="Y423" t="str"><v>Buy Now</v></cell><cell r="Z423" t="str"><v>Not Applicable</v></cell><cell r="AA423"><v>43354</v></cell><cell r="AB423" t="str"><v>JPN_gaPMG_AZR_AZR_Q1_19_Trial-Social</v></cell><cell r="AC423"><v>21276694</v></cell><cell r="AD423"><v>720195</v></cell><cell r="AE423" t="str"><v>Facebook</v></cell><cell r="AF423"><v>3654128</v></cell><cell r="AG423" t="str"><v>Facebook»AZP-Canvas-Interest&Role-Trial»1x1»Canvas»OTH»MO»CPM»PRO»X»UNK»TP»OT»Canvas-Trial</v></cell><cell r="AH423"><v>223298805</v></cell><cell r="AI423" t="str"><v>AzurePlatform_FBCTCcanvaspage-BuyNowCTA-Img3_JPN_1080x162_SOC_Plat_Japanese_NA_Standard_NA_BN_T3_1</v></cell><cell r="AJ423"><v>102630373</v></cell></row><row r="424"><cell r="D424" t="str"><v>43354223298805</v></cell><cell r="E424" t="str"><v>43354102609621-Trial</v></cell><cell r="F424" t="str"><v>DCM</v></cell></row><row r="424"><cell r="H424"><v>0</v></cell><cell r="I424" t="str"><v>Azure Direct</v></cell><cell r="J424" t="str"><v>Azure Direct</v></cell><cell r="K424" t="str"><v>September</v></cell><cell r="L424"><v>43358</v></cell><cell r="M424" t="str"><v>Tier 1</v></cell><cell r="N424" t="str"><v>APAC</v></cell><cell r="O424" t="str"><v>Japan</v></cell><cell r="P424" t="str"><v>Trial</v></cell><cell r="Q424" t="str"><v>Social</v></cell><cell r="R424" t="str"><v>Azure</v></cell><cell r="S424" t="str"><v>Apps & Infra</v></cell><cell r="T424" t="str"><v>Developers & ITI's</v></cell><cell r="U424" t="str"><v>AZP-Canvas-Interest&Role-Trial</v></cell><cell r="V424" t="str"><v>Prospecting</v></cell><cell r="W424" t="str"><v>Canvas Ad</v></cell><cell r="X424" t="str"><v>1080x143</v></cell><cell r="Y424" t="str"><v>Not Applicable </v></cell><cell r="Z424" t="str"><v>Not Applicable</v></cell><cell r="AA424"><v>43354</v></cell><cell r="AB424" t="str"><v>JPN_gaPMG_AZR_AZR_Q1_19_Trial-Social</v></cell><cell r="AC424"><v>21276694</v></cell><cell r="AD424"><v>720195</v></cell><cell r="AE424" t="str"><v>Facebook</v></cell><cell r="AF424"><v>3654128</v></cell><cell r="AG424" t="str"><v>Facebook»AZP-Canvas-Interest&Role-Trial»1x1»Canvas»OTH»MO»CPM»PRO»X»UNK»TP»OT»Canvas-Trial</v></cell><cell r="AH424"><v>223298805</v></cell><cell r="AI424" t="str"><v>AzurePlatform_FBCTCcanvaspage-StartFreeCTA-Img2_JPN_1080x143 _SOC_Plat_Japanese_NA_Standard_NA_NA_T2_1</v></cell><cell r="AJ424"><v>102609621</v></cell></row><row r="425"><cell r="D425" t="str"><v>43354226269941</v></cell><cell r="E425" t="str"><v>43354104061321-Trial</v></cell><cell r="F425" t="str"><v>DCM</v></cell></row><row r="425"><cell r="H425"><v>0</v></cell><cell r="I425" t="str"><v>Azure Direct</v></cell><cell r="J425" t="str"><v>Azure Direct</v></cell><cell r="K425" t="str"><v>September</v></cell><cell r="L425"><v>43358</v></cell><cell r="M425" t="str"><v>Tier 1</v></cell><cell r="N425" t="str"><v>APAC</v></cell><cell r="O425" t="str"><v>Japan</v></cell><cell r="P425" t="str"><v>Trial</v></cell><cell r="Q425" t="str"><v>Social</v></cell><cell r="R425" t="str"><v>Azure</v></cell><cell r="S425" t="str"><v>Apps & Infra</v></cell><cell r="T425" t="str"><v>Developers & ITI's</v></cell><cell r="U425" t="str"><v>AZP-Canvas-Retargeting-Trial</v></cell><cell r="V425" t="str"><v>Prospecting</v></cell><cell r="W425" t="str"><v>Canvas Ad</v></cell><cell r="X425" t="str"><v>1080x143</v></cell><cell r="Y425" t="str"><v>Not Applicable </v></cell><cell r="Z425" t="str"><v>Not Applicable</v></cell><cell r="AA425"><v>43354</v></cell><cell r="AB425" t="str"><v>JPN_gaPMG_AZR_AZR_Q1_19_Trial-Social</v></cell><cell r="AC425"><v>21276694</v></cell><cell r="AD425"><v>720195</v></cell><cell r="AE425" t="str"><v>Facebook</v></cell><cell r="AF425"><v>3654128</v></cell><cell r="AG425" t="str"><v>Facebook»AZP-Canvas-Retargeting-Trial»1x1»Canvas»SOC»MO»CPM»PRO»W»UNK»SS»OT»Canvas-Trial</v></cell><cell r="AH425"><v>226269941</v></cell><cell r="AI425" t="str"><v>AZR_FBCTCcanvaspage-StartFreeCTA-Img2_JPN_1080x143 _SOC_Plat_Japanese_NA_Standard_NA_NA_T2_1</v></cell><cell r="AJ425"><v>104061321</v></cell></row><row r="426"><cell r="D426" t="str"><v>43354227208508</v></cell><cell r="E426" t="str"><v>43354102609621-Trial</v></cell><cell r="F426" t="str"><v>DCM</v></cell></row><row r="426"><cell r="H426"><v>0</v></cell><cell r="I426" t="str"><v>Azure Direct</v></cell><cell r="J426" t="str"><v>Azure Direct</v></cell><cell r="K426" t="str"><v>September</v></cell><cell r="L426"><v>43358</v></cell><cell r="M426" t="str"><v>Tier 1</v></cell><cell r="N426" t="str"><v>APAC</v></cell><cell r="O426" t="str"><v>Japan</v></cell><cell r="P426" t="str"><v>Trial</v></cell><cell r="Q426" t="str"><v>Social</v></cell><cell r="R426" t="str"><v>Azure</v></cell><cell r="S426" t="str"><v>Apps & Infra</v></cell><cell r="T426" t="str"><v>Developers & ITI's</v></cell><cell r="U426" t="str"><v>AZP-Canvas-iine-Trial</v></cell><cell r="V426" t="str"><v>Audience Targeting</v></cell><cell r="W426" t="str"><v>Canvas Ad</v></cell><cell r="X426" t="str"><v>1080x143</v></cell><cell r="Y426" t="str"><v>Not Applicable </v></cell><cell r="Z426" t="str"><v>Not Applicable</v></cell><cell r="AA426"><v>43354</v></cell><cell r="AB426" t="str"><v>JPN_gaPMG_AZR_AZR_Q1_19_Trial-Social</v></cell><cell r="AC426"><v>21276694</v></cell><cell r="AD426"><v>720195</v></cell><cell r="AE426" t="str"><v>Facebook</v></cell><cell r="AF426"><v>3654128</v></cell><cell r="AG426" t="str"><v>Facebook»AZP-Canvas-iine-Trial»1x1»Canvas»SOC»MO»CPM»AUT»W»NA»SS»NA»Canvas-Trial</v></cell><cell r="AH426"><v>227208508</v></cell><cell r="AI426" t="str"><v>AzurePlatform_FBCTCcanvaspage-StartFreeCTA-Img2_JPN_1080x143 _SOC_Plat_Japanese_NA_Standard_NA_NA_T2_1</v></cell><cell r="AJ426"><v>102609621</v></cell></row><row r="427"><cell r="D427" t="str"><v>43354223297413</v></cell><cell r="E427" t="str"><v>43354102609621-Trial</v></cell><cell r="F427" t="str"><v>DCM</v></cell></row><row r="427"><cell r="H427"><v>0</v></cell><cell r="I427" t="str"><v>Azure Direct</v></cell><cell r="J427" t="str"><v>Azure Direct</v></cell><cell r="K427" t="str"><v>September</v></cell><cell r="L427"><v>43358</v></cell><cell r="M427" t="str"><v>Tier 1</v></cell><cell r="N427" t="str"><v>APAC</v></cell><cell r="O427" t="str"><v>Japan</v></cell><cell r="P427" t="str"><v>Trial</v></cell><cell r="Q427" t="str"><v>Social</v></cell><cell r="R427" t="str"><v>Azure</v></cell><cell r="S427" t="str"><v>Apps & Infra</v></cell><cell r="T427" t="str"><v>Developers & ITI's</v></cell><cell r="U427" t="str"><v>AZP-Canvas-Look a Like-Trial</v></cell><cell r="V427" t="str"><v>Prospecting</v></cell><cell r="W427" t="str"><v>Canvas Ad</v></cell><cell r="X427" t="str"><v>1080x143</v></cell><cell r="Y427" t="str"><v>Not Applicable </v></cell><cell r="Z427" t="str"><v>Not Applicable</v></cell><cell r="AA427"><v>43354</v></cell><cell r="AB427" t="str"><v>JPN_gaPMG_AZR_AZR_Q1_19_Trial-Social</v></cell><cell r="AC427"><v>21276694</v></cell><cell r="AD427"><v>720195</v></cell><cell r="AE427" t="str"><v>Facebook</v></cell><cell r="AF427"><v>3654128</v></cell><cell r="AG427" t="str"><v>Facebook»AZP-Canvas-Look a Like-Trial»1x1»Canvas»OTH»MO»CPM»PRO»X»UNK»TP»OT»Canvas-Trial</v></cell><cell r="AH427"><v>223297413</v></cell><cell r="AI427" t="str"><v>AzurePlatform_FBCTCcanvaspage-StartFreeCTA-Img2_JPN_1080x143 _SOC_Plat_Japanese_NA_Standard_NA_NA_T2_1</v></cell><cell r="AJ427"><v>102609621</v></cell></row><row r="428"><cell r="D428" t="str"><v>43354223933138</v></cell><cell r="E428" t="str"><v>43354103043835PRC1SW</v></cell><cell r="F428" t="str"><v>DCM</v></cell></row><row r="428"><cell r="H428"><v>0</v></cell><cell r="I428" t="str"><v>Azure Direct</v></cell><cell r="J428" t="str"><v>Azure Direct</v></cell><cell r="K428" t="str"><v>September</v></cell><cell r="L428"><v>43358</v></cell><cell r="M428" t="str"><v>Tier 0</v></cell><cell r="N428" t="str"><v>North America</v></cell><cell r="O428" t="str"><v>United States</v></cell><cell r="P428" t="str"><v>Trial</v></cell><cell r="Q428" t="str"><v>Social</v></cell><cell r="R428" t="str"><v>Azure</v></cell><cell r="S428" t="str"><v>Apps & Infra</v></cell><cell r="T428" t="str"><v>Developers & ITI's</v></cell><cell r="U428" t="str"><v>USA-Trial-ITD-Interest Prospecting-AZR-AZR</v></cell><cell r="V428" t="str"><v>Prospecting</v></cell><cell r="W428" t="str"><v>Canvas Ad</v></cell><cell r="X428" t="str"><v>10s</v></cell><cell r="Y428" t="str"><v>Try it Now</v></cell><cell r="Z428" t="str"><v>Standard videos</v></cell><cell r="AA428"><v>43354</v></cell><cell r="AB428" t="str"><v>USA_gaPMG_AZR_AZR_Q1_19_Direct-Social</v></cell><cell r="AC428"><v>21358715</v></cell><cell r="AD428"><v>720197</v></cell><cell r="AE428" t="str"><v>Facebook</v></cell><cell r="AF428"><v>3654128</v></cell><cell r="AG428" t="str"><v>FACEBOOK»USA-Trial-ITD-Interest Prospecting-AZR-AZR»1 x 1»SocialBan»CAN»ALL»CPA»PRO»X»NA»SS»NA»FBCTCBenefit2inMotion»PRC1SW</v></cell><cell r="AH428"><v>223933138</v></cell><cell r="AI428" t="str"><v>AzurePlatform_FBCTCBenefit2inMotion_USA_10s_CAN_PLATFORM_English_Trial_Standard_STAN_TIN_T4_1</v></cell><cell r="AJ428"><v>103043835</v></cell></row><row r="429"><cell r="D429" t="str"><v>43354223933138</v></cell><cell r="E429" t="str"><v>43354103178645PRC1SW</v></cell><cell r="F429" t="str"><v>DCM</v></cell></row><row r="429"><cell r="H429"><v>2</v></cell><cell r="I429" t="str"><v>Azure Direct</v></cell><cell r="J429" t="str"><v>Azure Direct</v></cell><cell r="K429" t="str"><v>September</v></cell><cell r="L429"><v>43358</v></cell><cell r="M429" t="str"><v>Tier 0</v></cell><cell r="N429" t="str"><v>North America</v></cell><cell r="O429" t="str"><v>United States</v></cell><cell r="P429" t="str"><v>Trial</v></cell><cell r="Q429" t="str"><v>Social</v></cell><cell r="R429" t="str"><v>Azure</v></cell><cell r="S429" t="str"><v>Apps & Infra</v></cell><cell r="T429" t="str"><v>Developers & ITI's</v></cell><cell r="U429" t="str"><v>USA-Trial-ITD-Interest Prospecting-AZR-AZR</v></cell><cell r="V429" t="str"><v>Prospecting</v></cell><cell r="W429" t="str"><v>Canvas Ad</v></cell><cell r="X429" t="str"><v>10s</v></cell><cell r="Y429" t="str"><v>Try it Now</v></cell><cell r="Z429" t="str"><v>Standard videos</v></cell><cell r="AA429"><v>43354</v></cell><cell r="AB429" t="str"><v>USA_gaPMG_AZR_AZR_Q1_19_Direct-Social</v></cell><cell r="AC429"><v>21358715</v></cell><cell r="AD429"><v>720197</v></cell><cell r="AE429" t="str"><v>Facebook</v></cell><cell r="AF429"><v>3654128</v></cell><cell r="AG429" t="str"><v>FACEBOOK»USA-Trial-ITD-Interest Prospecting-AZR-AZR»1 x 1»SocialBan»CAN»ALL»CPA»PRO»X»NA»SS»NA»FBCTCBenefit2inMotion»PRC1SW</v></cell><cell r="AH429"><v>223933138</v></cell><cell r="AI429" t="str"><v>AzurePlatform_FBCTCBenefit2inMotion_USA_10s_CAN_PLATFORM_English_Trial_Standard_STAN_TIN_T4_2</v></cell><cell r="AJ429"><v>103178645</v></cell></row><row r="430"><cell r="D430" t="str"><v>43354224104077</v></cell><cell r="E430" t="str"><v>43354103032775PRC1SX</v></cell><cell r="F430" t="str"><v>DCM</v></cell></row><row r="430"><cell r="H430"><v>0</v></cell><cell r="I430" t="str"><v>Azure Direct</v></cell><cell r="J430" t="str"><v>Azure Direct</v></cell><cell r="K430" t="str"><v>September</v></cell><cell r="L430"><v>43358</v></cell><cell r="M430" t="str"><v>Tier 0</v></cell><cell r="N430" t="str"><v>North America</v></cell><cell r="O430" t="str"><v>United States</v></cell><cell r="P430" t="str"><v>Trial</v></cell><cell r="Q430" t="str"><v>Social</v></cell><cell r="R430" t="str"><v>Azure</v></cell><cell r="S430" t="str"><v>Apps & Infra</v></cell><cell r="T430" t="str"><v>Developers & ITI's</v></cell><cell r="U430" t="str"><v>USA-Trial-ITD-Interest Prospecting-AZR-AZR</v></cell><cell r="V430" t="str"><v>Prospecting</v></cell><cell r="W430" t="str"><v>Canvas Ad</v></cell><cell r="X430" t="str"><v>10s</v></cell><cell r="Y430" t="str"><v>Try it Now</v></cell><cell r="Z430" t="str"><v>Standard videos</v></cell><cell r="AA430"><v>43354</v></cell><cell r="AB430" t="str"><v>USA_gaPMG_AZR_AZR_Q1_19_Direct-Social</v></cell><cell r="AC430"><v>21358715</v></cell><cell r="AD430"><v>720197</v></cell><cell r="AE430" t="str"><v>Facebook</v></cell><cell r="AF430"><v>3654128</v></cell><cell r="AG430" t="str"><v>FACEBOOK»USA-Trial-ITD-Interest Prospecting-AZR-AZR»1 x 1»SocialBan»CAN»ALL»CPA»PRO»X»NA»SS»NA»FBCTCBenefitinMotion»PRC1SX</v></cell><cell r="AH430"><v>224104077</v></cell><cell r="AI430" t="str"><v>AzurePlatform_FBCTCBenefitinMotion_USA_10s_CAN_PLATFORM_English_Trial_Standard_STAN_TIN_T3_1</v></cell><cell r="AJ430"><v>103032775</v></cell></row><row r="431"><cell r="D431" t="str"><v>43354224104929</v></cell><cell r="E431" t="str"><v>43354103176812PRC1SY</v></cell><cell r="F431" t="str"><v>DCM</v></cell></row><row r="431"><cell r="H431"><v>0</v></cell><cell r="I431" t="str"><v>Azure Direct</v></cell><cell r="J431" t="str"><v>Azure Direct</v></cell><cell r="K431" t="str"><v>September</v></cell><cell r="L431"><v>43358</v></cell><cell r="M431" t="str"><v>Tier 0</v></cell><cell r="N431" t="str"><v>North America</v></cell><cell r="O431" t="str"><v>United States</v></cell><cell r="P431" t="str"><v>Trial</v></cell><cell r="Q431" t="str"><v>Social</v></cell><cell r="R431" t="str"><v>Azure</v></cell><cell r="S431" t="str"><v>Apps & Infra</v></cell><cell r="T431" t="str"><v>Developers & ITI's</v></cell><cell r="U431" t="str"><v>USA-Trial-ITD-Interest Prospecting-AZR-AZR</v></cell><cell r="V431" t="str"><v>Prospecting</v></cell><cell r="W431" t="str"><v>Canvas Ad</v></cell><cell r="X431" t="str"><v>10s</v></cell><cell r="Y431" t="str"><v>Try it Now</v></cell><cell r="Z431" t="str"><v>Standard videos</v></cell><cell r="AA431"><v>43354</v></cell><cell r="AB431" t="str"><v>USA_gaPMG_AZR_AZR_Q1_19_Direct-Social</v></cell><cell r="AC431"><v>21358715</v></cell><cell r="AD431"><v>720197</v></cell><cell r="AE431" t="str"><v>Facebook</v></cell><cell r="AF431"><v>3654128</v></cell><cell r="AG431" t="str"><v>FACEBOOK»USA-Trial-ITD-Interest Prospecting-AZR-AZR»1 x 1»SocialBan»CAN»ALL»CPA»PRO»X»NA»SS»NA»FBCTCBrandinMotion»PRC1SY</v></cell><cell r="AH431"><v>224104929</v></cell><cell r="AI431" t="str"><v>AzurePlatform_FBCTCBrandinMotion_USA_10s_CAN_PLATFORM_English_Trial_Standard_STAN_TIN_T2_1</v></cell><cell r="AJ431"><v>103176812</v></cell></row><row r="432"><cell r="D432" t="str"><v>43354224104929</v></cell><cell r="E432" t="str"><v>43354103032823PRC1SY</v></cell><cell r="F432" t="str"><v>DCM</v></cell></row><row r="432"><cell r="H432"><v>1</v></cell><cell r="I432" t="str"><v>Azure Direct</v></cell><cell r="J432" t="str"><v>Azure Direct</v></cell><cell r="K432" t="str"><v>September</v></cell><cell r="L432"><v>43358</v></cell><cell r="M432" t="str"><v>Tier 0</v></cell><cell r="N432" t="str"><v>North America</v></cell><cell r="O432" t="str"><v>United States</v></cell><cell r="P432" t="str"><v>Trial</v></cell><cell r="Q432" t="str"><v>Social</v></cell><cell r="R432" t="str"><v>Azure</v></cell><cell r="S432" t="str"><v>Apps & Infra</v></cell><cell r="T432" t="str"><v>Developers & ITI's</v></cell><cell r="U432" t="str"><v>USA-Trial-ITD-Interest Prospecting-AZR-AZR</v></cell><cell r="V432" t="str"><v>Prospecting</v></cell><cell r="W432" t="str"><v>Canvas Ad</v></cell><cell r="X432" t="str"><v>10s</v></cell><cell r="Y432" t="str"><v>Try it Now</v></cell><cell r="Z432" t="str"><v>Standard videos</v></cell><cell r="AA432"><v>43354</v></cell><cell r="AB432" t="str"><v>USA_gaPMG_AZR_AZR_Q1_19_Direct-Social</v></cell><cell r="AC432"><v>21358715</v></cell><cell r="AD432"><v>720197</v></cell><cell r="AE432" t="str"><v>Facebook</v></cell><cell r="AF432"><v>3654128</v></cell><cell r="AG432" t="str"><v>FACEBOOK»USA-Trial-ITD-Interest Prospecting-AZR-AZR»1 x 1»SocialBan»CAN»ALL»CPA»PRO»X»NA»SS»NA»FBCTCBrandinMotion»PRC1SY</v></cell><cell r="AH432"><v>224104929</v></cell><cell r="AI432" t="str"><v>AzurePlatform_FBCTCBrandinMotion_USA_10s_CAN_PLATFORM_English_Trial_Standard_STAN_TIN_T2_2</v></cell><cell r="AJ432"><v>103032823</v></cell></row><row r="433"><cell r="D433" t="str"><v>43354226617664</v></cell><cell r="E433" t="str"><v>43354104595739PS78JC</v></cell><cell r="F433" t="str"><v>DCM</v></cell></row><row r="433"><cell r="H433"><v>0</v></cell><cell r="I433" t="str"><v>Azure Direct</v></cell><cell r="J433" t="str"><v>Azure Direct</v></cell><cell r="K433" t="str"><v>September</v></cell><cell r="L433"><v>43358</v></cell><cell r="M433" t="str"><v>Tier 0</v></cell><cell r="N433" t="str"><v>North America</v></cell><cell r="O433" t="str"><v>United States</v></cell><cell r="P433" t="str"><v>Trial</v></cell><cell r="Q433" t="str"><v>Social</v></cell><cell r="R433" t="str"><v>Azure</v></cell><cell r="S433" t="str"><v>Apps & Infra</v></cell><cell r="T433" t="str"><v>Developers & ITI's</v></cell><cell r="U433" t="str"><v>USA-Trial-ITD-Interest Prospecting-AZR-AZR</v></cell><cell r="V433" t="str"><v>Prospecting</v></cell><cell r="W433" t="str"><v>Canvas Ad</v></cell><cell r="X433" t="str"><v>1200x1200</v></cell><cell r="Y433" t="str"><v>Learn More</v></cell><cell r="Z433" t="str"><v>Animated Banner</v></cell><cell r="AA433"><v>43354</v></cell><cell r="AB433" t="str"><v>USA_gaPMG_AZR_AZR_Q1_19_Direct-Social</v></cell><cell r="AC433"><v>21358715</v></cell><cell r="AD433"><v>720197</v></cell><cell r="AE433" t="str"><v>Facebook</v></cell><cell r="AF433"><v>3654128</v></cell><cell r="AG433" t="str"><v>FACEBOOK»USA-Trial-ITD-Interest Prospecting-AZR-AZR»1 x 1»SocialBan»CAN»ALL»CPA»PRO»X»NA»SS»NA»FreeAcctDeveloperFB-AnimatedData-Ch4»PS78JC</v></cell><cell r="AH433"><v>226617664</v></cell><cell r="AI433" t="str"><v>AZR_FreeAcctDeveloperFB-AnimatedData-Ch4_USA_1200x1200_CAN_Direct_EN_Trial_Standard_ANI_LEA_T4_1</v></cell><cell r="AJ433"><v>104595739</v></cell></row><row r="434"><cell r="D434" t="str"><v>43354226617664</v></cell><cell r="E434" t="str"><v>43354104671403PS78JC</v></cell><cell r="F434" t="str"><v>DCM</v></cell></row><row r="434"><cell r="H434"><v>0</v></cell><cell r="I434" t="str"><v>Azure Direct</v></cell><cell r="J434" t="str"><v>Azure Direct</v></cell><cell r="K434" t="str"><v>September</v></cell><cell r="L434"><v>43358</v></cell><cell r="M434" t="str"><v>Tier 0</v></cell><cell r="N434" t="str"><v>North America</v></cell><cell r="O434" t="str"><v>United States</v></cell><cell r="P434" t="str"><v>Trial</v></cell><cell r="Q434" t="str"><v>Social</v></cell><cell r="R434" t="str"><v>Azure</v></cell><cell r="S434" t="str"><v>Apps & Infra</v></cell><cell r="T434" t="str"><v>Developers & ITI's</v></cell><cell r="U434" t="str"><v>USA-Trial-ITD-Interest Prospecting-AZR-AZR</v></cell><cell r="V434" t="str"><v>Prospecting</v></cell><cell r="W434" t="str"><v>Canvas Ad</v></cell><cell r="X434" t="str"><v>1200x1200</v></cell><cell r="Y434" t="str"><v>Learn More</v></cell><cell r="Z434" t="str"><v>Animated Banner</v></cell><cell r="AA434"><v>43354</v></cell><cell r="AB434" t="str"><v>USA_gaPMG_AZR_AZR_Q1_19_Direct-Social</v></cell><cell r="AC434"><v>21358715</v></cell><cell r="AD434"><v>720197</v></cell><cell r="AE434" t="str"><v>Facebook</v></cell><cell r="AF434"><v>3654128</v></cell><cell r="AG434" t="str"><v>FACEBOOK»USA-Trial-ITD-Interest Prospecting-AZR-AZR»1 x 1»SocialBan»CAN»ALL»CPA»PRO»X»NA»SS»NA»FreeAcctDeveloperFB-AnimatedData-Ch4»PS78JC</v></cell><cell r="AH434"><v>226617664</v></cell><cell r="AI434" t="str"><v>AZR_FreeAcctDeveloperFB-AnimatedData-Ch4_USA_1200x1200_CAN_Direct_EN_Trial_Standard_ANI_LEA_T4_2</v></cell><cell r="AJ434"><v>104671403</v></cell></row><row r="435"><cell r="D435" t="str"><v>43354226783992</v></cell><cell r="E435" t="str"><v>43354104592523PS78J5</v></cell><cell r="F435" t="str"><v>DCM</v></cell></row><row r="435"><cell r="H435"><v>6</v></cell><cell r="I435" t="str"><v>Azure Direct</v></cell><cell r="J435" t="str"><v>Azure Direct</v></cell><cell r="K435" t="str"><v>September</v></cell><cell r="L435"><v>43358</v></cell><cell r="M435" t="str"><v>Tier 0</v></cell><cell r="N435" t="str"><v>North America</v></cell><cell r="O435" t="str"><v>United States</v></cell><cell r="P435" t="str"><v>Trial</v></cell><cell r="Q435" t="str"><v>Social</v></cell><cell r="R435" t="str"><v>Azure</v></cell><cell r="S435" t="str"><v>Apps & Infra</v></cell><cell r="T435" t="str"><v>Developers & ITI's</v></cell><cell r="U435" t="str"><v>USA-Trial-ITD-Interest Prospecting-AZR-AZR</v></cell><cell r="V435" t="str"><v>Prospecting</v></cell><cell r="W435" t="str"><v>Canvas Ad</v></cell><cell r="X435" t="str"><v>1200x1200</v></cell><cell r="Y435" t="str"><v>Learn More</v></cell><cell r="Z435" t="str"><v>Animated Banner</v></cell><cell r="AA435"><v>43354</v></cell><cell r="AB435" t="str"><v>USA_gaPMG_AZR_AZR_Q1_19_Direct-Social</v></cell><cell r="AC435"><v>21358715</v></cell><cell r="AD435"><v>720197</v></cell><cell r="AE435" t="str"><v>Facebook</v></cell><cell r="AF435"><v>3654128</v></cell><cell r="AG435" t="str"><v>FACEBOOK»USA-Trial-ITD-Interest Prospecting-AZR-AZR»1 x 1»SocialBan»CAN»ALL»CPA»PRO»X»NA»SS»NA»FreeAcctDeveloperFB-AnimatedGeneric-Ch1»PS78J5</v></cell><cell r="AH435"><v>226783992</v></cell><cell r="AI435" t="str"><v>AZR_FreeAcctDeveloperFB-AnimatedGeneric-Ch1_USA_1200x1200_CAN_Direct_EN_Trial_Standard_ANI_LEA_T1_2</v></cell><cell r="AJ435"><v>104592523</v></cell></row><row r="436"><cell r="D436" t="str"><v>43354226783992</v></cell><cell r="E436" t="str"><v>43354104595766PS78J5</v></cell><cell r="F436" t="str"><v>DCM</v></cell></row><row r="436"><cell r="H436"><v>0</v></cell><cell r="I436" t="str"><v>Azure Direct</v></cell><cell r="J436" t="str"><v>Azure Direct</v></cell><cell r="K436" t="str"><v>September</v></cell><cell r="L436"><v>43358</v></cell><cell r="M436" t="str"><v>Tier 0</v></cell><cell r="N436" t="str"><v>North America</v></cell><cell r="O436" t="str"><v>United States</v></cell><cell r="P436" t="str"><v>Trial</v></cell><cell r="Q436" t="str"><v>Social</v></cell><cell r="R436" t="str"><v>Azure</v></cell><cell r="S436" t="str"><v>Apps & Infra</v></cell><cell r="T436" t="str"><v>Developers & ITI's</v></cell><cell r="U436" t="str"><v>USA-Trial-ITD-Interest Prospecting-AZR-AZR</v></cell><cell r="V436" t="str"><v>Prospecting</v></cell><cell r="W436" t="str"><v>Canvas Ad</v></cell><cell r="X436" t="str"><v>1200x1200</v></cell><cell r="Y436" t="str"><v>Learn More</v></cell><cell r="Z436" t="str"><v>Animated Banner</v></cell><cell r="AA436"><v>43354</v></cell><cell r="AB436" t="str"><v>USA_gaPMG_AZR_AZR_Q1_19_Direct-Social</v></cell><cell r="AC436"><v>21358715</v></cell><cell r="AD436"><v>720197</v></cell><cell r="AE436" t="str"><v>Facebook</v></cell><cell r="AF436"><v>3654128</v></cell><cell r="AG436" t="str"><v>FACEBOOK»USA-Trial-ITD-Interest Prospecting-AZR-AZR»1 x 1»SocialBan»CAN»ALL»CPA»PRO»X»NA»SS»NA»FreeAcctDeveloperFB-AnimatedGeneric-Ch1»PS78J5</v></cell><cell r="AH436"><v>226783992</v></cell><cell r="AI436" t="str"><v>AZR_FreeAcctDeveloperFB-AnimatedGeneric-Ch1_USA_1200x1200_CAN_Direct_EN_Trial_Standard_ANI_LEA_T1_1</v></cell><cell r="AJ436"><v>104595766</v></cell></row><row r="437"><cell r="D437" t="str"><v>43354225283843</v></cell><cell r="E437" t="str"><v>43354103776921PRSGV0</v></cell><cell r="F437" t="str"><v>DCM</v></cell></row><row r="437"><cell r="H437"><v>4</v></cell><cell r="I437" t="str"><v>Azure Direct</v></cell><cell r="J437" t="str"><v>Azure Direct</v></cell><cell r="K437" t="str"><v>September</v></cell><cell r="L437"><v>43358</v></cell><cell r="M437" t="str"><v>Tier 0</v></cell><cell r="N437" t="str"><v>North America</v></cell><cell r="O437" t="str"><v>United States</v></cell><cell r="P437" t="str"><v>Trial</v></cell><cell r="Q437" t="str"><v>Social</v></cell><cell r="R437" t="str"><v>Azure</v></cell><cell r="S437" t="str"><v>Apps & Infra</v></cell><cell r="T437" t="str"><v>Developers & ITI's</v></cell><cell r="U437" t="str"><v>USA-Trial-ITD-Interest Prospecting-AZR-AZR</v></cell><cell r="V437" t="str"><v>Prospecting</v></cell><cell r="W437" t="str"><v>Canvas Collection Ad</v></cell><cell r="X437" t="str"><v>1200x182</v></cell><cell r="Y437" t="str"><v>Try it Now</v></cell><cell r="Z437" t="str"><v>Not Applicable</v></cell><cell r="AA437"><v>43354</v></cell><cell r="AB437" t="str"><v>USA_gaPMG_AZR_AZR_Q1_19_Direct-Social</v></cell><cell r="AC437"><v>21358715</v></cell><cell r="AD437"><v>720197</v></cell><cell r="AE437" t="str"><v>Facebook</v></cell><cell r="AF437"><v>3654128</v></cell><cell r="AG437" t="str"><v>FACEBOOK»USA-Trial-ITD-Interest Prospecting-AZR-AZR»1 x 1»SocialBan»CCA»ALL»CPA»PRO»X»NA»SS»NA»Azure Developer Facebook Collections»PRSGV0</v></cell><cell r="AH437"><v>225283843</v></cell><cell r="AI437" t="str"><v>AZR_FBCollections-FreeStuffTryAzureFreeCTA-Img5_USA_1200x182_SOC_Plat_EN_NA_Standard_NA_TIN_T1_5</v></cell><cell r="AJ437"><v>103776921</v></cell></row><row r="438"><cell r="D438" t="str"><v>43354225283843</v></cell><cell r="E438" t="str"><v>43354103773180PRSGV0</v></cell><cell r="F438" t="str"><v>DCM</v></cell></row><row r="438"><cell r="H438"><v>3</v></cell><cell r="I438" t="str"><v>Azure Direct</v></cell><cell r="J438" t="str"><v>Azure Direct</v></cell><cell r="K438" t="str"><v>September</v></cell><cell r="L438"><v>43358</v></cell><cell r="M438" t="str"><v>Tier 0</v></cell><cell r="N438" t="str"><v>North America</v></cell><cell r="O438" t="str"><v>United States</v></cell><cell r="P438" t="str"><v>Trial</v></cell><cell r="Q438" t="str"><v>Social</v></cell><cell r="R438" t="str"><v>Azure</v></cell><cell r="S438" t="str"><v>Apps & Infra</v></cell><cell r="T438" t="str"><v>Developers & ITI's</v></cell><cell r="U438" t="str"><v>USA-Trial-ITD-Interest Prospecting-AZR-AZR</v></cell><cell r="V438" t="str"><v>Prospecting</v></cell><cell r="W438" t="str"><v>Canvas Collection Ad</v></cell><cell r="X438" t="str"><v>1200x182</v></cell><cell r="Y438" t="str"><v>Try it Now</v></cell><cell r="Z438" t="str"><v>Not Applicable</v></cell><cell r="AA438"><v>43354</v></cell><cell r="AB438" t="str"><v>USA_gaPMG_AZR_AZR_Q1_19_Direct-Social</v></cell><cell r="AC438"><v>21358715</v></cell><cell r="AD438"><v>720197</v></cell><cell r="AE438" t="str"><v>Facebook</v></cell><cell r="AF438"><v>3654128</v></cell><cell r="AG438" t="str"><v>FACEBOOK»USA-Trial-ITD-Interest Prospecting-AZR-AZR»1 x 1»SocialBan»CCA»ALL»CPA»PRO»X»NA»SS»NA»Azure Developer Facebook Collections»PRSGV0</v></cell><cell r="AH438"><v>225283843</v></cell><cell r="AI438" t="str"><v>AZR_FBCollections-SmartDataTryAzureFreeCTA-Img4_USA_1200x182_SOC_Plat_EN_NA_Standard_NA_TIN_T1_4</v></cell><cell r="AJ438"><v>103773180</v></cell></row><row r="439"><cell r="D439" t="str"><v>43354225283843</v></cell><cell r="E439" t="str"><v>43354103874423PRSGV0</v></cell><cell r="F439" t="str"><v>DCM</v></cell></row><row r="439"><cell r="H439"><v>3</v></cell><cell r="I439" t="str"><v>Azure Direct</v></cell><cell r="J439" t="str"><v>Azure Direct</v></cell><cell r="K439" t="str"><v>September</v></cell><cell r="L439"><v>43358</v></cell><cell r="M439" t="str"><v>Tier 0</v></cell><cell r="N439" t="str"><v>North America</v></cell><cell r="O439" t="str"><v>United States</v></cell><cell r="P439" t="str"><v>Trial</v></cell><cell r="Q439" t="str"><v>Social</v></cell><cell r="R439" t="str"><v>Azure</v></cell><cell r="S439" t="str"><v>Apps & Infra</v></cell><cell r="T439" t="str"><v>Developers & ITI's</v></cell><cell r="U439" t="str"><v>USA-Trial-ITD-Interest Prospecting-AZR-AZR</v></cell><cell r="V439" t="str"><v>Prospecting</v></cell><cell r="W439" t="str"><v>Canvas Collection Ad</v></cell><cell r="X439" t="str"><v>1200x182</v></cell><cell r="Y439" t="str"><v>Try it Now</v></cell><cell r="Z439" t="str"><v>Not Applicable</v></cell><cell r="AA439"><v>43354</v></cell><cell r="AB439" t="str"><v>USA_gaPMG_AZR_AZR_Q1_19_Direct-Social</v></cell><cell r="AC439"><v>21358715</v></cell><cell r="AD439"><v>720197</v></cell><cell r="AE439" t="str"><v>Facebook</v></cell><cell r="AF439"><v>3654128</v></cell><cell r="AG439" t="str"><v>FACEBOOK»USA-Trial-ITD-Interest Prospecting-AZR-AZR»1 x 1»SocialBan»CCA»ALL»CPA»PRO»X»NA»SS»NA»Azure Developer Facebook Collections»PRSGV0</v></cell><cell r="AH439"><v>225283843</v></cell><cell r="AI439" t="str"><v>AZR_FBCollections-TryAzureFreeCTA-Img1_USA_1200x182_SOC_Plat_EN_NA_Standard_NA_TIN_T1_1</v></cell><cell r="AJ439"><v>103874423</v></cell></row><row r="440"><cell r="D440" t="str"><v>43354224104932</v></cell><cell r="E440" t="str"><v>43354103176851PRC1SZ</v></cell><cell r="F440" t="str"><v>DCM</v></cell></row><row r="440"><cell r="H440"><v>2</v></cell><cell r="I440" t="str"><v>Azure Direct</v></cell><cell r="J440" t="str"><v>Azure Direct</v></cell><cell r="K440" t="str"><v>September</v></cell><cell r="L440"><v>43358</v></cell><cell r="M440" t="str"><v>Tier 0</v></cell><cell r="N440" t="str"><v>North America</v></cell><cell r="O440" t="str"><v>United States</v></cell><cell r="P440" t="str"><v>Trial</v></cell><cell r="Q440" t="str"><v>Social</v></cell><cell r="R440" t="str"><v>Azure</v></cell><cell r="S440" t="str"><v>Apps & Infra</v></cell><cell r="T440" t="str"><v>Developers & ITI's</v></cell><cell r="U440" t="str"><v>USA-Trial-ITD-Interest Prospecting-AZR-AZR</v></cell><cell r="V440" t="str"><v>Prospecting</v></cell><cell r="W440" t="str"><v>Link Ad</v></cell><cell r="X440" t="str"><v>1200x1200</v></cell><cell r="Y440" t="str"><v>Learn More</v></cell><cell r="Z440" t="str"><v>Animated Banner</v></cell><cell r="AA440"><v>43354</v></cell><cell r="AB440" t="str"><v>USA_gaPMG_AZR_AZR_Q1_19_Direct-Social</v></cell><cell r="AC440"><v>21358715</v></cell><cell r="AD440"><v>720197</v></cell><cell r="AE440" t="str"><v>Facebook</v></cell><cell r="AF440"><v>3654128</v></cell><cell r="AG440" t="str"><v>FACEBOOK»USA-Trial-ITD-Interest Prospecting-AZR-AZR»1 x 1»SocialBan»LIA»ALL»CPA»PRO»X»NA»SS»NA»FreeAcctDeveloperFB-AnimatedGeneric-Ch1»PRC1SZ</v></cell><cell r="AH440"><v>224104932</v></cell><cell r="AI440" t="str"><v>AZR_FreeAcctDeveloperFB-AnimatedGeneric-Ch1_USA_1200x1200_CAN_Direct_English_Trial_Standard_ANI_LEA_T1_2</v></cell><cell r="AJ440"><v>103176851</v></cell></row><row r="441"><cell r="D441" t="str"><v>43354223862885</v></cell><cell r="E441" t="str"><v>43354103048329PRC1T1</v></cell><cell r="F441" t="str"><v>DCM</v></cell></row><row r="441"><cell r="H441"><v>6</v></cell><cell r="I441" t="str"><v>Azure Direct</v></cell><cell r="J441" t="str"><v>Azure Direct</v></cell><cell r="K441" t="str"><v>September</v></cell><cell r="L441"><v>43358</v></cell><cell r="M441" t="str"><v>Tier 0</v></cell><cell r="N441" t="str"><v>North America</v></cell><cell r="O441" t="str"><v>United States</v></cell><cell r="P441" t="str"><v>Trial</v></cell><cell r="Q441" t="str"><v>Social</v></cell><cell r="R441" t="str"><v>Azure</v></cell><cell r="S441" t="str"><v>Apps & Infra</v></cell><cell r="T441" t="str"><v>Developers & ITI's</v></cell><cell r="U441" t="str"><v>USA-Trial-ITD-Interest Prospecting-AZR-AZR</v></cell><cell r="V441" t="str"><v>Prospecting</v></cell><cell r="W441" t="str"><v>Link Ad</v></cell><cell r="X441" t="str"><v>1200x1200</v></cell><cell r="Y441" t="str"><v>Learn More</v></cell><cell r="Z441" t="str"><v>Animated Banner</v></cell><cell r="AA441"><v>43354</v></cell><cell r="AB441" t="str"><v>USA_gaPMG_AZR_AZR_Q1_19_Direct-Social</v></cell><cell r="AC441"><v>21358715</v></cell><cell r="AD441"><v>720197</v></cell><cell r="AE441" t="str"><v>Facebook</v></cell><cell r="AF441"><v>3654128</v></cell><cell r="AG441" t="str"><v>FACEBOOK»USA-Trial-ITD-Interest Prospecting-AZR-AZR»1 x 1»SocialBan»LIA»ALL»CPA»PRO»X»NA»SS»NA»FreeAcctDeveloperFB-AnimatedOpenSource-Ch2»PRC1T1</v></cell><cell r="AH441"><v>223862885</v></cell><cell r="AI441" t="str"><v>AZR_FreeAcctDeveloperFB-AnimatedOpenSource-Ch2_USA_1200x1200_CAN_Direct_English_Trial_Standard_ANI_LEA_T2_1</v></cell><cell r="AJ441"><v>103048329</v></cell></row><row r="442"><cell r="D442" t="str"><v>43354224104914</v></cell><cell r="E442" t="str"><v>43354103176830PRC1T4</v></cell><cell r="F442" t="str"><v>DCM</v></cell></row><row r="442"><cell r="H442"><v>18</v></cell><cell r="I442" t="str"><v>Azure Direct</v></cell><cell r="J442" t="str"><v>Azure Direct</v></cell><cell r="K442" t="str"><v>September</v></cell><cell r="L442"><v>43358</v></cell><cell r="M442" t="str"><v>Tier 0</v></cell><cell r="N442" t="str"><v>North America</v></cell><cell r="O442" t="str"><v>United States</v></cell><cell r="P442" t="str"><v>Trial</v></cell><cell r="Q442" t="str"><v>Social</v></cell><cell r="R442" t="str"><v>Azure</v></cell><cell r="S442" t="str"><v>Apps & Infra</v></cell><cell r="T442" t="str"><v>Developers & ITI's</v></cell><cell r="U442" t="str"><v>USA-Trial-ITD-Interest Prospecting-AZR-AZR</v></cell><cell r="V442" t="str"><v>Prospecting</v></cell><cell r="W442" t="str"><v>Link Ad</v></cell><cell r="X442" t="str"><v>1200x1200</v></cell><cell r="Y442" t="str"><v>Learn More</v></cell><cell r="Z442" t="str"><v>Animated Banner</v></cell><cell r="AA442"><v>43354</v></cell><cell r="AB442" t="str"><v>USA_gaPMG_AZR_AZR_Q1_19_Direct-Social</v></cell><cell r="AC442"><v>21358715</v></cell><cell r="AD442"><v>720197</v></cell><cell r="AE442" t="str"><v>Facebook</v></cell><cell r="AF442"><v>3654128</v></cell><cell r="AG442" t="str"><v>FACEBOOK»USA-Trial-ITD-Interest Prospecting-AZR-AZR»1 x 1»SocialBan»LIA»ALL»CPA»PRO»X»NA»SS»NA»FreeAcctITProFB-AnimatedSecureMngd-Ch1»PRC1T4</v></cell><cell r="AH442"><v>224104914</v></cell><cell r="AI442" t="str"><v>AZR_FreeAcctITProFB-AnimatedSecureMngd-Ch1_USA_1200x1200_CAN_Direct_English_Trial_Standard_ANI_LEA_T1_1</v></cell><cell r="AJ442"><v>103176830</v></cell></row><row r="443"><cell r="D443" t="str"><v>43354226030086</v></cell><cell r="E443" t="str"><v>43354104593426PRX721</v></cell><cell r="F443" t="str"><v>DCM</v></cell></row><row r="443"><cell r="H443"><v>2</v></cell><cell r="I443" t="str"><v>Azure Direct</v></cell><cell r="J443" t="str"><v>Azure Direct</v></cell><cell r="K443" t="str"><v>September</v></cell><cell r="L443"><v>43358</v></cell><cell r="M443" t="str"><v>Tier 0</v></cell><cell r="N443" t="str"><v>North America</v></cell><cell r="O443" t="str"><v>United States</v></cell><cell r="P443" t="str"><v>Trial</v></cell><cell r="Q443" t="str"><v>Social</v></cell><cell r="R443" t="str"><v>Azure</v></cell><cell r="S443" t="str"><v>Apps & Infra</v></cell><cell r="T443" t="str"><v>Developers & ITI's</v></cell><cell r="U443" t="str"><v>USA-Trial-ITD-Lead Completes Lookalike-AZR-AZR</v></cell><cell r="V443" t="str"><v>Lookalike Targeting</v></cell><cell r="W443" t="str"><v>Canvas Ad</v></cell><cell r="X443" t="str"><v>10s</v></cell><cell r="Y443" t="str"><v>Try it Now</v></cell><cell r="Z443" t="str"><v>Standard videos</v></cell><cell r="AA443"><v>43354</v></cell><cell r="AB443" t="str"><v>USA_gaPMG_AZR_AZR_Q1_19_Direct-Social</v></cell><cell r="AC443"><v>21358715</v></cell><cell r="AD443"><v>720197</v></cell><cell r="AE443" t="str"><v>Facebook</v></cell><cell r="AF443"><v>3654128</v></cell><cell r="AG443" t="str"><v>FACEBOOK»USA-Trial-ITD-Lead Completes Lookalike-AZR-AZR»1 x 1»SocialBan»CAN»ALL»CPA»LAL»X»NA»SS»NA»FBCTCBasicMotion»PRX721</v></cell><cell r="AH443"><v>226030086</v></cell><cell r="AI443" t="str"><v>AZR_FBCTCBasicMotion_USA_10s_CAN_PLATFORM_English_Trial_Standard_STAN_TIN_T1_2</v></cell><cell r="AJ443"><v>104593426</v></cell></row><row r="444"><cell r="D444" t="str"><v>43354225841993</v></cell><cell r="E444" t="str"><v>43354104593411PRX723</v></cell><cell r="F444" t="str"><v>DCM</v></cell></row><row r="444"><cell r="H444"><v>0</v></cell><cell r="I444" t="str"><v>Azure Direct</v></cell><cell r="J444" t="str"><v>Azure Direct</v></cell><cell r="K444" t="str"><v>September</v></cell><cell r="L444"><v>43358</v></cell><cell r="M444" t="str"><v>Tier 0</v></cell><cell r="N444" t="str"><v>North America</v></cell><cell r="O444" t="str"><v>United States</v></cell><cell r="P444" t="str"><v>Trial</v></cell><cell r="Q444" t="str"><v>Social</v></cell><cell r="R444" t="str"><v>Azure</v></cell><cell r="S444" t="str"><v>Apps & Infra</v></cell><cell r="T444" t="str"><v>Developers & ITI's</v></cell><cell r="U444" t="str"><v>USA-Trial-ITD-Lead Completes Lookalike-AZR-AZR</v></cell><cell r="V444" t="str"><v>Lookalike Targeting</v></cell><cell r="W444" t="str"><v>Canvas Ad</v></cell><cell r="X444" t="str"><v>10s</v></cell><cell r="Y444" t="str"><v>Try it Now</v></cell><cell r="Z444" t="str"><v>Standard videos</v></cell><cell r="AA444"><v>43354</v></cell><cell r="AB444" t="str"><v>USA_gaPMG_AZR_AZR_Q1_19_Direct-Social</v></cell><cell r="AC444"><v>21358715</v></cell><cell r="AD444"><v>720197</v></cell><cell r="AE444" t="str"><v>Facebook</v></cell><cell r="AF444"><v>3654128</v></cell><cell r="AG444" t="str"><v>FACEBOOK»USA-Trial-ITD-Lead Completes Lookalike-AZR-AZR»1 x 1»SocialBan»CAN»ALL»CPA»LAL»X»NA»SS»NA»FBCTCBenefitinMotion»PRX723</v></cell><cell r="AH444"><v>225841993</v></cell><cell r="AI444" t="str"><v>AZR_FBCTCBenefitinMotion_USA_10s_CAN_PLATFORM_English_Trial_Standard_STAN_TIN_T3_1</v></cell><cell r="AJ444"><v>104593411</v></cell></row><row r="445"><cell r="D445" t="str"><v>43354225841993</v></cell><cell r="E445" t="str"><v>43354104595718PRX723</v></cell><cell r="F445" t="str"><v>DCM</v></cell></row><row r="445"><cell r="H445"><v>17</v></cell><cell r="I445" t="str"><v>Azure Direct</v></cell><cell r="J445" t="str"><v>Azure Direct</v></cell><cell r="K445" t="str"><v>September</v></cell><cell r="L445"><v>43358</v></cell><cell r="M445" t="str"><v>Tier 0</v></cell><cell r="N445" t="str"><v>North America</v></cell><cell r="O445" t="str"><v>United States</v></cell><cell r="P445" t="str"><v>Trial</v></cell><cell r="Q445" t="str"><v>Social</v></cell><cell r="R445" t="str"><v>Azure</v></cell><cell r="S445" t="str"><v>Apps & Infra</v></cell><cell r="T445" t="str"><v>Developers & ITI's</v></cell><cell r="U445" t="str"><v>USA-Trial-ITD-Lead Completes Lookalike-AZR-AZR</v></cell><cell r="V445" t="str"><v>Lookalike Targeting</v></cell><cell r="W445" t="str"><v>Canvas Ad</v></cell><cell r="X445" t="str"><v>10s</v></cell><cell r="Y445" t="str"><v>Try it Now</v></cell><cell r="Z445" t="str"><v>Standard videos</v></cell><cell r="AA445"><v>43354</v></cell><cell r="AB445" t="str"><v>USA_gaPMG_AZR_AZR_Q1_19_Direct-Social</v></cell><cell r="AC445"><v>21358715</v></cell><cell r="AD445"><v>720197</v></cell><cell r="AE445" t="str"><v>Facebook</v></cell><cell r="AF445"><v>3654128</v></cell><cell r="AG445" t="str"><v>FACEBOOK»USA-Trial-ITD-Lead Completes Lookalike-AZR-AZR»1 x 1»SocialBan»CAN»ALL»CPA»LAL»X»NA»SS»NA»FBCTCBenefitinMotion»PRX723</v></cell><cell r="AH445"><v>225841993</v></cell><cell r="AI445" t="str"><v>AZR_FBCTCBenefitinMotion_USA_10s_CAN_PLATFORM_English_Trial_Standard_STAN_TIN_T3_2</v></cell><cell r="AJ445"><v>104595718</v></cell></row><row r="446"><cell r="D446" t="str"><v>43354226028475</v></cell><cell r="E446" t="str"><v>43354104593696PRX724</v></cell><cell r="F446" t="str"><v>DCM</v></cell></row><row r="446"><cell r="H446"><v>0</v></cell><cell r="I446" t="str"><v>Azure Direct</v></cell><cell r="J446" t="str"><v>Azure Direct</v></cell><cell r="K446" t="str"><v>September</v></cell><cell r="L446"><v>43358</v></cell><cell r="M446" t="str"><v>Tier 0</v></cell><cell r="N446" t="str"><v>North America</v></cell><cell r="O446" t="str"><v>United States</v></cell><cell r="P446" t="str"><v>Trial</v></cell><cell r="Q446" t="str"><v>Social</v></cell><cell r="R446" t="str"><v>Azure</v></cell><cell r="S446" t="str"><v>Apps & Infra</v></cell><cell r="T446" t="str"><v>Developers & ITI's</v></cell><cell r="U446" t="str"><v>USA-Trial-ITD-Lead Completes Lookalike-AZR-AZR</v></cell><cell r="V446" t="str"><v>Lookalike Targeting</v></cell><cell r="W446" t="str"><v>Canvas Ad</v></cell><cell r="X446" t="str"><v>10s</v></cell><cell r="Y446" t="str"><v>Try it Now</v></cell><cell r="Z446" t="str"><v>Standard videos</v></cell><cell r="AA446"><v>43354</v></cell><cell r="AB446" t="str"><v>USA_gaPMG_AZR_AZR_Q1_19_Direct-Social</v></cell><cell r="AC446"><v>21358715</v></cell><cell r="AD446"><v>720197</v></cell><cell r="AE446" t="str"><v>Facebook</v></cell><cell r="AF446"><v>3654128</v></cell><cell r="AG446" t="str"><v>FACEBOOK»USA-Trial-ITD-Lead Completes Lookalike-AZR-AZR»1 x 1»SocialBan»CAN»ALL»CPA»LAL»X»NA»SS»NA»FBCTCBrandinMotion»PRX724</v></cell><cell r="AH446"><v>226028475</v></cell><cell r="AI446" t="str"><v>AZR_FBCTCBrandinMotion_USA_10s_CAN_PLATFORM_English_Trial_Standard_STAN_TIN_T2_1</v></cell><cell r="AJ446"><v>104593696</v></cell></row><row r="447"><cell r="D447" t="str"><v>43354226028475</v></cell><cell r="E447" t="str"><v>43354104671406PRX724</v></cell><cell r="F447" t="str"><v>DCM</v></cell></row><row r="447"><cell r="H447"><v>1</v></cell><cell r="I447" t="str"><v>Azure Direct</v></cell><cell r="J447" t="str"><v>Azure Direct</v></cell><cell r="K447" t="str"><v>September</v></cell><cell r="L447"><v>43358</v></cell><cell r="M447" t="str"><v>Tier 0</v></cell><cell r="N447" t="str"><v>North America</v></cell><cell r="O447" t="str"><v>United States</v></cell><cell r="P447" t="str"><v>Trial</v></cell><cell r="Q447" t="str"><v>Social</v></cell><cell r="R447" t="str"><v>Azure</v></cell><cell r="S447" t="str"><v>Apps & Infra</v></cell><cell r="T447" t="str"><v>Developers & ITI's</v></cell><cell r="U447" t="str"><v>USA-Trial-ITD-Lead Completes Lookalike-AZR-AZR</v></cell><cell r="V447" t="str"><v>Lookalike Targeting</v></cell><cell r="W447" t="str"><v>Canvas Ad</v></cell><cell r="X447" t="str"><v>10s</v></cell><cell r="Y447" t="str"><v>Try it Now</v></cell><cell r="Z447" t="str"><v>Standard videos</v></cell><cell r="AA447"><v>43354</v></cell><cell r="AB447" t="str"><v>USA_gaPMG_AZR_AZR_Q1_19_Direct-Social</v></cell><cell r="AC447"><v>21358715</v></cell><cell r="AD447"><v>720197</v></cell><cell r="AE447" t="str"><v>Facebook</v></cell><cell r="AF447"><v>3654128</v></cell><cell r="AG447" t="str"><v>FACEBOOK»USA-Trial-ITD-Lead Completes Lookalike-AZR-AZR»1 x 1»SocialBan»CAN»ALL»CPA»LAL»X»NA»SS»NA»FBCTCBrandinMotion»PRX724</v></cell><cell r="AH447"><v>226028475</v></cell><cell r="AI447" t="str"><v>AZR_FBCTCBrandinMotion_USA_10s_CAN_PLATFORM_English_Trial_Standard_STAN_TIN_T2_2</v></cell><cell r="AJ447"><v>104671406</v></cell></row><row r="448"><cell r="D448" t="str"><v>43354226622251</v></cell><cell r="E448" t="str"><v>43354104592523PS79FX</v></cell><cell r="F448" t="str"><v>DCM</v></cell></row><row r="448"><cell r="H448"><v>4</v></cell><cell r="I448" t="str"><v>Azure Direct</v></cell><cell r="J448" t="str"><v>Azure Direct</v></cell><cell r="K448" t="str"><v>September</v></cell><cell r="L448"><v>43358</v></cell><cell r="M448" t="str"><v>Tier 0</v></cell><cell r="N448" t="str"><v>North America</v></cell><cell r="O448" t="str"><v>United States</v></cell><cell r="P448" t="str"><v>Trial</v></cell><cell r="Q448" t="str"><v>Social</v></cell><cell r="R448" t="str"><v>Azure</v></cell><cell r="S448" t="str"><v>Apps & Infra</v></cell><cell r="T448" t="str"><v>Developers & ITI's</v></cell><cell r="U448" t="str"><v>USA-Trial-ITD-Lead Completes Lookalike-AZR-AZR</v></cell><cell r="V448" t="str"><v>Lookalike Targeting</v></cell><cell r="W448" t="str"><v>Canvas Ad</v></cell><cell r="X448" t="str"><v>1200x1200</v></cell><cell r="Y448" t="str"><v>Learn More</v></cell><cell r="Z448" t="str"><v>Animated Banner</v></cell><cell r="AA448"><v>43354</v></cell><cell r="AB448" t="str"><v>USA_gaPMG_AZR_AZR_Q1_19_Direct-Social</v></cell><cell r="AC448"><v>21358715</v></cell><cell r="AD448"><v>720197</v></cell><cell r="AE448" t="str"><v>Facebook</v></cell><cell r="AF448"><v>3654128</v></cell><cell r="AG448" t="str"><v>FACEBOOK»USA-Trial-ITD-Lead Completes Lookalike-AZR-AZR»1 x 1»SocialBan»CAN»ALL»CPA»LAL»X»NA»SS»NA»FreeAcctDeveloperFB-AnimatedGeneric-Ch1»PS79FX</v></cell><cell r="AH448"><v>226622251</v></cell><cell r="AI448" t="str"><v>AZR_FreeAcctDeveloperFB-AnimatedGeneric-Ch1_USA_1200x1200_CAN_Direct_EN_Trial_Standard_ANI_LEA_T1_2</v></cell><cell r="AJ448"><v>104592523</v></cell></row><row r="449"><cell r="D449" t="str"><v>43354226622251</v></cell><cell r="E449" t="str"><v>43354104595766PS79FX</v></cell><cell r="F449" t="str"><v>DCM</v></cell></row><row r="449"><cell r="H449"><v>0</v></cell><cell r="I449" t="str"><v>Azure Direct</v></cell><cell r="J449" t="str"><v>Azure Direct</v></cell><cell r="K449" t="str"><v>September</v></cell><cell r="L449"><v>43358</v></cell><cell r="M449" t="str"><v>Tier 0</v></cell><cell r="N449" t="str"><v>North America</v></cell><cell r="O449" t="str"><v>United States</v></cell><cell r="P449" t="str"><v>Trial</v></cell><cell r="Q449" t="str"><v>Social</v></cell><cell r="R449" t="str"><v>Azure</v></cell><cell r="S449" t="str"><v>Apps & Infra</v></cell><cell r="T449" t="str"><v>Developers & ITI's</v></cell><cell r="U449" t="str"><v>USA-Trial-ITD-Lead Completes Lookalike-AZR-AZR</v></cell><cell r="V449" t="str"><v>Lookalike Targeting</v></cell><cell r="W449" t="str"><v>Canvas Ad</v></cell><cell r="X449" t="str"><v>1200x1200</v></cell><cell r="Y449" t="str"><v>Learn More</v></cell><cell r="Z449" t="str"><v>Animated Banner</v></cell><cell r="AA449"><v>43354</v></cell><cell r="AB449" t="str"><v>USA_gaPMG_AZR_AZR_Q1_19_Direct-Social</v></cell><cell r="AC449"><v>21358715</v></cell><cell r="AD449"><v>720197</v></cell><cell r="AE449" t="str"><v>Facebook</v></cell><cell r="AF449"><v>3654128</v></cell><cell r="AG449" t="str"><v>FACEBOOK»USA-Trial-ITD-Lead Completes Lookalike-AZR-AZR»1 x 1»SocialBan»CAN»ALL»CPA»LAL»X»NA»SS»NA»FreeAcctDeveloperFB-AnimatedGeneric-Ch1»PS79FX</v></cell><cell r="AH449"><v>226622251</v></cell><cell r="AI449" t="str"><v>AZR_FreeAcctDeveloperFB-AnimatedGeneric-Ch1_USA_1200x1200_CAN_Direct_EN_Trial_Standard_ANI_LEA_T1_1</v></cell><cell r="AJ449"><v>104595766</v></cell></row><row r="450"><cell r="D450" t="str"><v>43354226539965</v></cell><cell r="E450" t="str"><v>43354104593738PS79G2</v></cell><cell r="F450" t="str"><v>DCM</v></cell></row><row r="450"><cell r="H450"><v>0</v></cell><cell r="I450" t="str"><v>Azure Direct</v></cell><cell r="J450" t="str"><v>Azure Direct</v></cell><cell r="K450" t="str"><v>September</v></cell><cell r="L450"><v>43358</v></cell><cell r="M450" t="str"><v>Tier 0</v></cell><cell r="N450" t="str"><v>North America</v></cell><cell r="O450" t="str"><v>United States</v></cell><cell r="P450" t="str"><v>Trial</v></cell><cell r="Q450" t="str"><v>Social</v></cell><cell r="R450" t="str"><v>Azure</v></cell><cell r="S450" t="str"><v>Apps & Infra</v></cell><cell r="T450" t="str"><v>Developers & ITI's</v></cell><cell r="U450" t="str"><v>USA-Trial-ITD-Lead Completes Lookalike-AZR-AZR</v></cell><cell r="V450" t="str"><v>Lookalike Targeting</v></cell><cell r="W450" t="str"><v>Canvas Ad</v></cell><cell r="X450" t="str"><v>1200x1200</v></cell><cell r="Y450" t="str"><v>Learn More</v></cell><cell r="Z450" t="str"><v>Animated Banner</v></cell><cell r="AA450"><v>43354</v></cell><cell r="AB450" t="str"><v>USA_gaPMG_AZR_AZR_Q1_19_Direct-Social</v></cell><cell r="AC450"><v>21358715</v></cell><cell r="AD450"><v>720197</v></cell><cell r="AE450" t="str"><v>Facebook</v></cell><cell r="AF450"><v>3654128</v></cell><cell r="AG450" t="str"><v>FACEBOOK»USA-Trial-ITD-Lead Completes Lookalike-AZR-AZR»1 x 1»SocialBan»CAN»ALL»CPA»LAL»X»NA»SS»NA»FreeAcctITProFB-AnimatedSecureMngd-Ch1»PS79G2</v></cell><cell r="AH450"><v>226539965</v></cell><cell r="AI450" t="str"><v>AZR_FreeAcctITProFB-AnimatedSecureMngd-Ch1_USA_1200x1200_CAN_Direct_EN_Trial_Standard_ANI_LEA_T1_1</v></cell><cell r="AJ450"><v>104593738</v></cell></row><row r="451"><cell r="D451" t="str"><v>43354225761645</v></cell><cell r="E451" t="str"><v>43354104593720PRX71S</v></cell><cell r="F451" t="str"><v>DCM</v></cell></row><row r="451"><cell r="H451"><v>2</v></cell><cell r="I451" t="str"><v>Azure Direct</v></cell><cell r="J451" t="str"><v>Azure Direct</v></cell><cell r="K451" t="str"><v>September</v></cell><cell r="L451"><v>43358</v></cell><cell r="M451" t="str"><v>Tier 0</v></cell><cell r="N451" t="str"><v>North America</v></cell><cell r="O451" t="str"><v>United States</v></cell><cell r="P451" t="str"><v>Trial</v></cell><cell r="Q451" t="str"><v>Social</v></cell><cell r="R451" t="str"><v>Azure</v></cell><cell r="S451" t="str"><v>Apps & Infra</v></cell><cell r="T451" t="str"><v>Developers & ITI's</v></cell><cell r="U451" t="str"><v>USA-Trial-ITD-Lead Completes Lookalike-AZR-AZR</v></cell><cell r="V451" t="str"><v>Lookalike Targeting</v></cell><cell r="W451" t="str"><v>Canvas Collection Ad</v></cell><cell r="X451" t="str"><v>1200x182</v></cell><cell r="Y451" t="str"><v>Try it Now</v></cell><cell r="Z451" t="str"><v>Not Applicable</v></cell><cell r="AA451"><v>43354</v></cell><cell r="AB451" t="str"><v>USA_gaPMG_AZR_AZR_Q1_19_Direct-Social</v></cell><cell r="AC451"><v>21358715</v></cell><cell r="AD451"><v>720197</v></cell><cell r="AE451" t="str"><v>Facebook</v></cell><cell r="AF451"><v>3654128</v></cell><cell r="AG451" t="str"><v>FACEBOOK»USA-Trial-ITD-Lead Completes Lookalike-AZR-AZR»1 x 1»SocialBan»CCA»ALL»CPA»LAL»X»NA»SS»NA»Azure Developer Facebook Collections»PRX71S</v></cell><cell r="AH451"><v>225761645</v></cell><cell r="AI451" t="str"><v>AZR_FBCollections-AITryAzureFreeCTA-Img2_USA_1200x182_CCA_Plat_EN_NA_Standard_NA_TIN_T1_2</v></cell><cell r="AJ451"><v>104593720</v></cell></row><row r="452"><cell r="D452" t="str"><v>43354225761645</v></cell><cell r="E452" t="str"><v>43354104671412PRX71S</v></cell><cell r="F452" t="str"><v>DCM</v></cell></row><row r="452"><cell r="H452"><v>0</v></cell><cell r="I452" t="str"><v>Azure Direct</v></cell><cell r="J452" t="str"><v>Azure Direct</v></cell><cell r="K452" t="str"><v>September</v></cell><cell r="L452"><v>43358</v></cell><cell r="M452" t="str"><v>Tier 0</v></cell><cell r="N452" t="str"><v>North America</v></cell><cell r="O452" t="str"><v>United States</v></cell><cell r="P452" t="str"><v>Trial</v></cell><cell r="Q452" t="str"><v>Social</v></cell><cell r="R452" t="str"><v>Azure</v></cell><cell r="S452" t="str"><v>Apps & Infra</v></cell><cell r="T452" t="str"><v>Developers & ITI's</v></cell><cell r="U452" t="str"><v>USA-Trial-ITD-Lead Completes Lookalike-AZR-AZR</v></cell><cell r="V452" t="str"><v>Lookalike Targeting</v></cell><cell r="W452" t="str"><v>Canvas Collection Ad</v></cell><cell r="X452" t="str"><v>1200x182</v></cell><cell r="Y452" t="str"><v>Try it Now</v></cell><cell r="Z452" t="str"><v>Not Applicable</v></cell><cell r="AA452"><v>43354</v></cell><cell r="AB452" t="str"><v>USA_gaPMG_AZR_AZR_Q1_19_Direct-Social</v></cell><cell r="AC452"><v>21358715</v></cell><cell r="AD452"><v>720197</v></cell><cell r="AE452" t="str"><v>Facebook</v></cell><cell r="AF452"><v>3654128</v></cell><cell r="AG452" t="str"><v>FACEBOOK»USA-Trial-ITD-Lead Completes Lookalike-AZR-AZR»1 x 1»SocialBan»CCA»ALL»CPA»LAL»X»NA»SS»NA»Azure Developer Facebook Collections»PRX71S</v></cell><cell r="AH452"><v>225761645</v></cell><cell r="AI452" t="str"><v>AZR_FBCollections-FreeStuffTryAzureFreeCTA-Img5_USA_1200x182_CCA_Plat_EN_NA_Standard_NA_TIN_T1_5</v></cell><cell r="AJ452"><v>104671412</v></cell></row><row r="453"><cell r="D453" t="str"><v>43354225761645</v></cell><cell r="E453" t="str"><v>43354104595724PRX71S</v></cell><cell r="F453" t="str"><v>DCM</v></cell></row><row r="453"><cell r="H453"><v>2</v></cell><cell r="I453" t="str"><v>Azure Direct</v></cell><cell r="J453" t="str"><v>Azure Direct</v></cell><cell r="K453" t="str"><v>September</v></cell><cell r="L453"><v>43358</v></cell><cell r="M453" t="str"><v>Tier 0</v></cell><cell r="N453" t="str"><v>North America</v></cell><cell r="O453" t="str"><v>United States</v></cell><cell r="P453" t="str"><v>Trial</v></cell><cell r="Q453" t="str"><v>Social</v></cell><cell r="R453" t="str"><v>Azure</v></cell><cell r="S453" t="str"><v>Apps & Infra</v></cell><cell r="T453" t="str"><v>Developers & ITI's</v></cell><cell r="U453" t="str"><v>USA-Trial-ITD-Lead Completes Lookalike-AZR-AZR</v></cell><cell r="V453" t="str"><v>Lookalike Targeting</v></cell><cell r="W453" t="str"><v>Canvas Collection Ad</v></cell><cell r="X453" t="str"><v>1200x182</v></cell><cell r="Y453" t="str"><v>Try it Now</v></cell><cell r="Z453" t="str"><v>Not Applicable</v></cell><cell r="AA453"><v>43354</v></cell><cell r="AB453" t="str"><v>USA_gaPMG_AZR_AZR_Q1_19_Direct-Social</v></cell><cell r="AC453"><v>21358715</v></cell><cell r="AD453"><v>720197</v></cell><cell r="AE453" t="str"><v>Facebook</v></cell><cell r="AF453"><v>3654128</v></cell><cell r="AG453" t="str"><v>FACEBOOK»USA-Trial-ITD-Lead Completes Lookalike-AZR-AZR»1 x 1»SocialBan»CCA»ALL»CPA»LAL»X»NA»SS»NA»Azure Developer Facebook Collections»PRX71S</v></cell><cell r="AH453"><v>225761645</v></cell><cell r="AI453" t="str"><v>AZR_FBCollections-OSSTryAzureFreeCTA-Img3_USA_1200x182_CCA_Plat_EN_NA_Standard_NA_TIN_T1_3</v></cell><cell r="AJ453"><v>104595724</v></cell></row><row r="454"><cell r="D454" t="str"><v>43354225761645</v></cell><cell r="E454" t="str"><v>43354104593432PRX71S</v></cell><cell r="F454" t="str"><v>DCM</v></cell></row><row r="454"><cell r="H454"><v>0</v></cell><cell r="I454" t="str"><v>Azure Direct</v></cell><cell r="J454" t="str"><v>Azure Direct</v></cell><cell r="K454" t="str"><v>September</v></cell><cell r="L454"><v>43358</v></cell><cell r="M454" t="str"><v>Tier 0</v></cell><cell r="N454" t="str"><v>North America</v></cell><cell r="O454" t="str"><v>United States</v></cell><cell r="P454" t="str"><v>Trial</v></cell><cell r="Q454" t="str"><v>Social</v></cell><cell r="R454" t="str"><v>Azure</v></cell><cell r="S454" t="str"><v>Apps & Infra</v></cell><cell r="T454" t="str"><v>Developers & ITI's</v></cell><cell r="U454" t="str"><v>USA-Trial-ITD-Lead Completes Lookalike-AZR-AZR</v></cell><cell r="V454" t="str"><v>Lookalike Targeting</v></cell><cell r="W454" t="str"><v>Canvas Collection Ad</v></cell><cell r="X454" t="str"><v>1200x182</v></cell><cell r="Y454" t="str"><v>Try it Now</v></cell><cell r="Z454" t="str"><v>Not Applicable</v></cell><cell r="AA454"><v>43354</v></cell><cell r="AB454" t="str"><v>USA_gaPMG_AZR_AZR_Q1_19_Direct-Social</v></cell><cell r="AC454"><v>21358715</v></cell><cell r="AD454"><v>720197</v></cell><cell r="AE454" t="str"><v>Facebook</v></cell><cell r="AF454"><v>3654128</v></cell><cell r="AG454" t="str"><v>FACEBOOK»USA-Trial-ITD-Lead Completes Lookalike-AZR-AZR»1 x 1»SocialBan»CCA»ALL»CPA»LAL»X»NA»SS»NA»Azure Developer Facebook Collections»PRX71S</v></cell><cell r="AH454"><v>225761645</v></cell><cell r="AI454" t="str"><v>AZR_FBCollections-TryAzureFreeCTA-Img1_USA_1200x182_CCA_Plat_EN_NA_Standard_NA_TIN_T1_1</v></cell><cell r="AJ454"><v>104593432</v></cell></row><row r="455"><cell r="D455" t="str"><v>43354224104896</v></cell><cell r="E455" t="str"><v>43354103043835PRC1RR</v></cell><cell r="F455" t="str"><v>DCM</v></cell></row><row r="455"><cell r="H455"><v>0</v></cell><cell r="I455" t="str"><v>Azure Direct</v></cell><cell r="J455" t="str"><v>Azure Direct</v></cell><cell r="K455" t="str"><v>September</v></cell><cell r="L455"><v>43358</v></cell><cell r="M455" t="str"><v>Tier 0</v></cell><cell r="N455" t="str"><v>North America</v></cell><cell r="O455" t="str"><v>United States</v></cell><cell r="P455" t="str"><v>Trial</v></cell><cell r="Q455" t="str"><v>Social</v></cell><cell r="R455" t="str"><v>Azure</v></cell><cell r="S455" t="str"><v>Apps & Infra</v></cell><cell r="T455" t="str"><v>Developers & ITI's</v></cell><cell r="U455" t="str"><v>USA-Trial-ITD-Retargeting-AZR-AZR</v></cell><cell r="V455" t="str"><v>Retargeting</v></cell><cell r="W455" t="str"><v>Canvas Ad</v></cell><cell r="X455" t="str"><v>10s</v></cell><cell r="Y455" t="str"><v>Try it Now</v></cell><cell r="Z455" t="str"><v>Standard videos</v></cell><cell r="AA455"><v>43354</v></cell><cell r="AB455" t="str"><v>USA_gaPMG_AZR_AZR_Q1_19_Direct-Social</v></cell><cell r="AC455"><v>21358715</v></cell><cell r="AD455"><v>720197</v></cell><cell r="AE455" t="str"><v>Facebook</v></cell><cell r="AF455"><v>3654128</v></cell><cell r="AG455" t="str"><v>FACEBOOK»USA-Trial-ITD-Retargeting-AZR-AZR»1 x 1»SocialBan»CAN»ALL»CPA»RT»X»NA»SS»NA»FBCTCBenefit2inMotion»PRC1RR</v></cell><cell r="AH455"><v>224104896</v></cell><cell r="AI455" t="str"><v>AzurePlatform_FBCTCBenefit2inMotion_USA_10s_CAN_PLATFORM_English_Trial_Standard_STAN_TIN_T4_1</v></cell><cell r="AJ455"><v>103043835</v></cell></row><row r="456"><cell r="D456" t="str"><v>43354224104896</v></cell><cell r="E456" t="str"><v>43354103178645PRC1RR</v></cell><cell r="F456" t="str"><v>DCM</v></cell></row><row r="456"><cell r="H456"><v>1</v></cell><cell r="I456" t="str"><v>Azure Direct</v></cell><cell r="J456" t="str"><v>Azure Direct</v></cell><cell r="K456" t="str"><v>September</v></cell><cell r="L456"><v>43358</v></cell><cell r="M456" t="str"><v>Tier 0</v></cell><cell r="N456" t="str"><v>North America</v></cell><cell r="O456" t="str"><v>United States</v></cell><cell r="P456" t="str"><v>Trial</v></cell><cell r="Q456" t="str"><v>Social</v></cell><cell r="R456" t="str"><v>Azure</v></cell><cell r="S456" t="str"><v>Apps & Infra</v></cell><cell r="T456" t="str"><v>Developers & ITI's</v></cell><cell r="U456" t="str"><v>USA-Trial-ITD-Retargeting-AZR-AZR</v></cell><cell r="V456" t="str"><v>Retargeting</v></cell><cell r="W456" t="str"><v>Canvas Ad</v></cell><cell r="X456" t="str"><v>10s</v></cell><cell r="Y456" t="str"><v>Try it Now</v></cell><cell r="Z456" t="str"><v>Standard videos</v></cell><cell r="AA456"><v>43354</v></cell><cell r="AB456" t="str"><v>USA_gaPMG_AZR_AZR_Q1_19_Direct-Social</v></cell><cell r="AC456"><v>21358715</v></cell><cell r="AD456"><v>720197</v></cell><cell r="AE456" t="str"><v>Facebook</v></cell><cell r="AF456"><v>3654128</v></cell><cell r="AG456" t="str"><v>FACEBOOK»USA-Trial-ITD-Retargeting-AZR-AZR»1 x 1»SocialBan»CAN»ALL»CPA»RT»X»NA»SS»NA»FBCTCBenefit2inMotion»PRC1RR</v></cell><cell r="AH456"><v>224104896</v></cell><cell r="AI456" t="str"><v>AzurePlatform_FBCTCBenefit2inMotion_USA_10s_CAN_PLATFORM_English_Trial_Standard_STAN_TIN_T4_2</v></cell><cell r="AJ456"><v>103178645</v></cell></row><row r="457"><cell r="D457" t="str"><v>43354223862756</v></cell><cell r="E457" t="str"><v>43354103180592PRC1RW</v></cell><cell r="F457" t="str"><v>DCM</v></cell></row><row r="457"><cell r="H457"><v>7</v></cell><cell r="I457" t="str"><v>Azure Direct</v></cell><cell r="J457" t="str"><v>Azure Direct</v></cell><cell r="K457" t="str"><v>September</v></cell><cell r="L457"><v>43358</v></cell><cell r="M457" t="str"><v>Tier 0</v></cell><cell r="N457" t="str"><v>North America</v></cell><cell r="O457" t="str"><v>United States</v></cell><cell r="P457" t="str"><v>Trial</v></cell><cell r="Q457" t="str"><v>Social</v></cell><cell r="R457" t="str"><v>Azure</v></cell><cell r="S457" t="str"><v>Apps & Infra</v></cell><cell r="T457" t="str"><v>Developers & ITI's</v></cell><cell r="U457" t="str"><v>USA-Trial-ITD-Retargeting-AZR-AZR</v></cell><cell r="V457" t="str"><v>Retargeting</v></cell><cell r="W457" t="str"><v>Link Ad</v></cell><cell r="X457" t="str"><v>1200x628</v></cell><cell r="Y457" t="str"><v>Sign Up</v></cell><cell r="Z457" t="str"><v>Not Applicable</v></cell><cell r="AA457"><v>43354</v></cell><cell r="AB457" t="str"><v>USA_gaPMG_AZR_AZR_Q1_19_Direct-Social</v></cell><cell r="AC457"><v>21358715</v></cell><cell r="AD457"><v>720197</v></cell><cell r="AE457" t="str"><v>Facebook</v></cell><cell r="AF457"><v>3654128</v></cell><cell r="AG457" t="str"><v>FACEBOOK»USA-Trial-ITD-Retargeting-AZR-AZR»1 x 1»SocialBan»LIA»ALL»CPA»RT»X»NA»SS»NA»FreeAcctRetargetingFB-GlobalAlt-ChB»PRC1RW</v></cell><cell r="AH457"><v>223862756</v></cell><cell r="AI457" t="str"><v>AzurePlatform_FreeAcctRetargetingFB-GlobalAlt-ChB_USA_1200x628_CAN_PLATFORM_English_Free Account_Standard_NA_SINU_T2_1</v></cell><cell r="AJ457"><v>103180592</v></cell></row><row r="458"><cell r="D458" t="str"><v>43354223862747</v></cell><cell r="E458" t="str"><v>43354103034911PRC1RY</v></cell><cell r="F458" t="str"><v>DCM</v></cell></row><row r="458"><cell r="H458"><v>40</v></cell><cell r="I458" t="str"><v>Azure Direct</v></cell><cell r="J458" t="str"><v>Azure Direct</v></cell><cell r="K458" t="str"><v>September</v></cell><cell r="L458"><v>43358</v></cell><cell r="M458" t="str"><v>Tier 0</v></cell><cell r="N458" t="str"><v>North America</v></cell><cell r="O458" t="str"><v>United States</v></cell><cell r="P458" t="str"><v>Trial</v></cell><cell r="Q458" t="str"><v>Social</v></cell><cell r="R458" t="str"><v>Azure</v></cell><cell r="S458" t="str"><v>Apps & Infra</v></cell><cell r="T458" t="str"><v>Developers & ITI's</v></cell><cell r="U458" t="str"><v>USA-Trial-ITD-Retargeting-AZR-AZR</v></cell><cell r="V458" t="str"><v>Retargeting</v></cell><cell r="W458" t="str"><v>Link Ad</v></cell><cell r="X458" t="str"><v>1200x628</v></cell><cell r="Y458" t="str"><v>Sign Up</v></cell><cell r="Z458" t="str"><v>Not Applicable</v></cell><cell r="AA458"><v>43354</v></cell><cell r="AB458" t="str"><v>USA_gaPMG_AZR_AZR_Q1_19_Direct-Social</v></cell><cell r="AC458"><v>21358715</v></cell><cell r="AD458"><v>720197</v></cell><cell r="AE458" t="str"><v>Facebook</v></cell><cell r="AF458"><v>3654128</v></cell><cell r="AG458" t="str"><v>FACEBOOK»USA-Trial-ITD-Retargeting-AZR-AZR»1 x 1»SocialBan»LIA»ALL»CPA»RT»X»NA»SS»NA»FreeAcctRetargetingVMFB-750Hrs-ChD»PRC1RY</v></cell><cell r="AH458"><v>223862747</v></cell><cell r="AI458" t="str"><v>AzurePlatform_FreeAcctRetargetingVMFB-750Hrs-ChD_USA_1200x628_CAN_PLATFORM_English_Free Account_Standard_NA_SINU_T1_1</v></cell><cell r="AJ458"><v>103034911</v></cell></row><row r="459"><cell r="D459" t="str"><v>43354224104899</v></cell><cell r="E459" t="str"><v>43354103180610PRC1S0</v></cell><cell r="F459" t="str"><v>DCM</v></cell></row><row r="459"><cell r="H459"><v>3</v></cell><cell r="I459" t="str"><v>Azure Direct</v></cell><cell r="J459" t="str"><v>Azure Direct</v></cell><cell r="K459" t="str"><v>September</v></cell><cell r="L459"><v>43358</v></cell><cell r="M459" t="str"><v>Tier 0</v></cell><cell r="N459" t="str"><v>North America</v></cell><cell r="O459" t="str"><v>United States</v></cell><cell r="P459" t="str"><v>Trial</v></cell><cell r="Q459" t="str"><v>Social</v></cell><cell r="R459" t="str"><v>Azure</v></cell><cell r="S459" t="str"><v>Apps & Infra</v></cell><cell r="T459" t="str"><v>Developers & ITI's</v></cell><cell r="U459" t="str"><v>USA-Trial-ITD-Retargeting-AZR-AZR</v></cell><cell r="V459" t="str"><v>Retargeting</v></cell><cell r="W459" t="str"><v>Link Ad</v></cell><cell r="X459" t="str"><v>1200x628</v></cell><cell r="Y459" t="str"><v>Sign Up</v></cell><cell r="Z459" t="str"><v>Not Applicable</v></cell><cell r="AA459"><v>43354</v></cell><cell r="AB459" t="str"><v>USA_gaPMG_AZR_AZR_Q1_19_Direct-Social</v></cell><cell r="AC459"><v>21358715</v></cell><cell r="AD459"><v>720197</v></cell><cell r="AE459" t="str"><v>Facebook</v></cell><cell r="AF459"><v>3654128</v></cell><cell r="AG459" t="str"><v>FACEBOOK»USA-Trial-ITD-Retargeting-AZR-AZR»1 x 1»SocialBan»LIA»ALL»CPA»RT»X»NA»SS»NA»FreeAcctRetargetingVMFB-OnDemand-ChE»PRC1S0</v></cell><cell r="AH459"><v>224104899</v></cell><cell r="AI459" t="str"><v>AzurePlatform_FreeAcctRetargetingVMFB-OnDemand-ChE_USA_1200x628_CAN_PLATFORM_English_Free Account_Standard_NA_SINU_T2_1</v></cell><cell r="AJ459"><v>103180610</v></cell></row><row r="460"><cell r="D460" t="str"><v>43354226784007</v></cell><cell r="E460" t="str"><v>43354104592523PS7B4W</v></cell><cell r="F460" t="str"><v>DCM</v></cell></row><row r="460"><cell r="H460"><v>1</v></cell><cell r="I460" t="str"><v>Azure Direct</v></cell><cell r="J460" t="str"><v>Azure Direct</v></cell><cell r="K460" t="str"><v>September</v></cell><cell r="L460"><v>43358</v></cell><cell r="M460" t="str"><v>Tier 0</v></cell><cell r="N460" t="str"><v>North America</v></cell><cell r="O460" t="str"><v>United States</v></cell><cell r="P460" t="str"><v>Trial</v></cell><cell r="Q460" t="str"><v>Social</v></cell><cell r="R460" t="str"><v>Azure</v></cell><cell r="S460" t="str"><v>Apps & Infra</v></cell><cell r="T460" t="str"><v>Developers & ITI's</v></cell><cell r="U460" t="str"><v>USA-Trial-ITD-Trial Lookalike-AZR-AZR</v></cell><cell r="V460" t="str"><v>Lookalike Targeting</v></cell><cell r="W460" t="str"><v>Canvas Ad</v></cell><cell r="X460" t="str"><v>1200x1200</v></cell><cell r="Y460" t="str"><v>Learn More</v></cell><cell r="Z460" t="str"><v>Animated Banner</v></cell><cell r="AA460"><v>43354</v></cell><cell r="AB460" t="str"><v>USA_gaPMG_AZR_AZR_Q1_19_Direct-Social</v></cell><cell r="AC460"><v>21358715</v></cell><cell r="AD460"><v>720197</v></cell><cell r="AE460" t="str"><v>Facebook</v></cell><cell r="AF460"><v>3654128</v></cell><cell r="AG460" t="str"><v>FACEBOOK»USA-Trial-ITD-Trial Lookalike-AZR-AZR»1 x 1»SocialBan»CAN»ALL»CPA»LAL»X»NA»SS»NA»FreeAcctDeveloperFB-AnimatedGeneric-Ch1»PS7B4W</v></cell><cell r="AH460"><v>226784007</v></cell><cell r="AI460" t="str"><v>AZR_FreeAcctDeveloperFB-AnimatedGeneric-Ch1_USA_1200x1200_CAN_Direct_EN_Trial_Standard_ANI_LEA_T1_2</v></cell><cell r="AJ460"><v>104592523</v></cell></row><row r="461"><cell r="D461" t="str"><v>43354226784007</v></cell><cell r="E461" t="str"><v>43354104595766PS7B4W</v></cell><cell r="F461" t="str"><v>DCM</v></cell></row><row r="461"><cell r="H461"><v>0</v></cell><cell r="I461" t="str"><v>Azure Direct</v></cell><cell r="J461" t="str"><v>Azure Direct</v></cell><cell r="K461" t="str"><v>September</v></cell><cell r="L461"><v>43358</v></cell><cell r="M461" t="str"><v>Tier 0</v></cell><cell r="N461" t="str"><v>North America</v></cell><cell r="O461" t="str"><v>United States</v></cell><cell r="P461" t="str"><v>Trial</v></cell><cell r="Q461" t="str"><v>Social</v></cell><cell r="R461" t="str"><v>Azure</v></cell><cell r="S461" t="str"><v>Apps & Infra</v></cell><cell r="T461" t="str"><v>Developers & ITI's</v></cell><cell r="U461" t="str"><v>USA-Trial-ITD-Trial Lookalike-AZR-AZR</v></cell><cell r="V461" t="str"><v>Lookalike Targeting</v></cell><cell r="W461" t="str"><v>Canvas Ad</v></cell><cell r="X461" t="str"><v>1200x1200</v></cell><cell r="Y461" t="str"><v>Learn More</v></cell><cell r="Z461" t="str"><v>Animated Banner</v></cell><cell r="AA461"><v>43354</v></cell><cell r="AB461" t="str"><v>USA_gaPMG_AZR_AZR_Q1_19_Direct-Social</v></cell><cell r="AC461"><v>21358715</v></cell><cell r="AD461"><v>720197</v></cell><cell r="AE461" t="str"><v>Facebook</v></cell><cell r="AF461"><v>3654128</v></cell><cell r="AG461" t="str"><v>FACEBOOK»USA-Trial-ITD-Trial Lookalike-AZR-AZR»1 x 1»SocialBan»CAN»ALL»CPA»LAL»X»NA»SS»NA»FreeAcctDeveloperFB-AnimatedGeneric-Ch1»PS7B4W</v></cell><cell r="AH461"><v>226784007</v></cell><cell r="AI461" t="str"><v>AZR_FreeAcctDeveloperFB-AnimatedGeneric-Ch1_USA_1200x1200_CAN_Direct_EN_Trial_Standard_ANI_LEA_T1_1</v></cell><cell r="AJ461"><v>104595766</v></cell></row><row r="462"><cell r="D462" t="str"><v>43354225282481</v></cell><cell r="E462" t="str"><v>43354103776921PRSH0N</v></cell><cell r="F462" t="str"><v>DCM</v></cell></row><row r="462"><cell r="H462"><v>11</v></cell><cell r="I462" t="str"><v>Azure Direct</v></cell><cell r="J462" t="str"><v>Azure Direct</v></cell><cell r="K462" t="str"><v>September</v></cell><cell r="L462"><v>43358</v></cell><cell r="M462" t="str"><v>Tier 0</v></cell><cell r="N462" t="str"><v>North America</v></cell><cell r="O462" t="str"><v>United States</v></cell><cell r="P462" t="str"><v>Trial</v></cell><cell r="Q462" t="str"><v>Social</v></cell><cell r="R462" t="str"><v>Azure</v></cell><cell r="S462" t="str"><v>Apps & Infra</v></cell><cell r="T462" t="str"><v>Developers & ITI's</v></cell><cell r="U462" t="str"><v>USA-Trial-ITD-Trial Lookalike-AZR-AZR</v></cell><cell r="V462" t="str"><v>Lookalike Targeting</v></cell><cell r="W462" t="str"><v>Canvas Collection Ad</v></cell><cell r="X462" t="str"><v>1200x182</v></cell><cell r="Y462" t="str"><v>Try it Now</v></cell><cell r="Z462" t="str"><v>Not Applicable</v></cell><cell r="AA462"><v>43354</v></cell><cell r="AB462" t="str"><v>USA_gaPMG_AZR_AZR_Q1_19_Direct-Social</v></cell><cell r="AC462"><v>21358715</v></cell><cell r="AD462"><v>720197</v></cell><cell r="AE462" t="str"><v>Facebook</v></cell><cell r="AF462"><v>3654128</v></cell><cell r="AG462" t="str"><v>FACEBOOK»USA-Trial-ITD-Trial Lookalike-AZR-AZR»1 x 1»SocialBan»CCA»ALL»CPA»LAL»X»NA»SS»NA»Azure Developer Facebook Collections»PRSH0N</v></cell><cell r="AH462"><v>225282481</v></cell><cell r="AI462" t="str"><v>AZR_FBCollections-FreeStuffTryAzureFreeCTA-Img5_USA_1200x182_SOC_Plat_EN_NA_Standard_NA_TIN_T1_5</v></cell><cell r="AJ462"><v>103776921</v></cell></row><row r="463"><cell r="D463" t="str"><v>43354225282481</v></cell><cell r="E463" t="str"><v>43354103873631PRSH0N</v></cell><cell r="F463" t="str"><v>DCM</v></cell></row><row r="463"><cell r="H463"><v>4</v></cell><cell r="I463" t="str"><v>Azure Direct</v></cell><cell r="J463" t="str"><v>Azure Direct</v></cell><cell r="K463" t="str"><v>September</v></cell><cell r="L463"><v>43358</v></cell><cell r="M463" t="str"><v>Tier 0</v></cell><cell r="N463" t="str"><v>North America</v></cell><cell r="O463" t="str"><v>United States</v></cell><cell r="P463" t="str"><v>Trial</v></cell><cell r="Q463" t="str"><v>Social</v></cell><cell r="R463" t="str"><v>Azure</v></cell><cell r="S463" t="str"><v>Apps & Infra</v></cell><cell r="T463" t="str"><v>Developers & ITI's</v></cell><cell r="U463" t="str"><v>USA-Trial-ITD-Trial Lookalike-AZR-AZR</v></cell><cell r="V463" t="str"><v>Lookalike Targeting</v></cell><cell r="W463" t="str"><v>Canvas Collection Ad</v></cell><cell r="X463" t="str"><v>1200x182</v></cell><cell r="Y463" t="str"><v>Try it Now</v></cell><cell r="Z463" t="str"><v>Not Applicable</v></cell><cell r="AA463"><v>43354</v></cell><cell r="AB463" t="str"><v>USA_gaPMG_AZR_AZR_Q1_19_Direct-Social</v></cell><cell r="AC463"><v>21358715</v></cell><cell r="AD463"><v>720197</v></cell><cell r="AE463" t="str"><v>Facebook</v></cell><cell r="AF463"><v>3654128</v></cell><cell r="AG463" t="str"><v>FACEBOOK»USA-Trial-ITD-Trial Lookalike-AZR-AZR»1 x 1»SocialBan»CCA»ALL»CPA»LAL»X»NA»SS»NA»Azure Developer Facebook Collections»PRSH0N</v></cell><cell r="AH463"><v>225282481</v></cell><cell r="AI463" t="str"><v>AZR_FBCollections-OSSTryAzureFreeCTA-Img3_USA_1200x182_SOC_Plat_EN_NA_Standard_NA_TIN_T1_3</v></cell><cell r="AJ463"><v>103873631</v></cell></row><row r="464"><cell r="D464" t="str"><v>43354225282481</v></cell><cell r="E464" t="str"><v>43354103773180PRSH0N</v></cell><cell r="F464" t="str"><v>DCM</v></cell></row><row r="464"><cell r="H464"><v>9</v></cell><cell r="I464" t="str"><v>Azure Direct</v></cell><cell r="J464" t="str"><v>Azure Direct</v></cell><cell r="K464" t="str"><v>September</v></cell><cell r="L464"><v>43358</v></cell><cell r="M464" t="str"><v>Tier 0</v></cell><cell r="N464" t="str"><v>North America</v></cell><cell r="O464" t="str"><v>United States</v></cell><cell r="P464" t="str"><v>Trial</v></cell><cell r="Q464" t="str"><v>Social</v></cell><cell r="R464" t="str"><v>Azure</v></cell><cell r="S464" t="str"><v>Apps & Infra</v></cell><cell r="T464" t="str"><v>Developers & ITI's</v></cell><cell r="U464" t="str"><v>USA-Trial-ITD-Trial Lookalike-AZR-AZR</v></cell><cell r="V464" t="str"><v>Lookalike Targeting</v></cell><cell r="W464" t="str"><v>Canvas Collection Ad</v></cell><cell r="X464" t="str"><v>1200x182</v></cell><cell r="Y464" t="str"><v>Try it Now</v></cell><cell r="Z464" t="str"><v>Not Applicable</v></cell><cell r="AA464"><v>43354</v></cell><cell r="AB464" t="str"><v>USA_gaPMG_AZR_AZR_Q1_19_Direct-Social</v></cell><cell r="AC464"><v>21358715</v></cell><cell r="AD464"><v>720197</v></cell><cell r="AE464" t="str"><v>Facebook</v></cell><cell r="AF464"><v>3654128</v></cell><cell r="AG464" t="str"><v>FACEBOOK»USA-Trial-ITD-Trial Lookalike-AZR-AZR»1 x 1»SocialBan»CCA»ALL»CPA»LAL»X»NA»SS»NA»Azure Developer Facebook Collections»PRSH0N</v></cell><cell r="AH464"><v>225282481</v></cell><cell r="AI464" t="str"><v>AZR_FBCollections-SmartDataTryAzureFreeCTA-Img4_USA_1200x182_SOC_Plat_EN_NA_Standard_NA_TIN_T1_4</v></cell><cell r="AJ464"><v>103773180</v></cell></row><row r="465"><cell r="D465" t="str"><v>43354225282481</v></cell><cell r="E465" t="str"><v>43354103874423PRSH0N</v></cell><cell r="F465" t="str"><v>DCM</v></cell></row><row r="465"><cell r="H465"><v>23</v></cell><cell r="I465" t="str"><v>Azure Direct</v></cell><cell r="J465" t="str"><v>Azure Direct</v></cell><cell r="K465" t="str"><v>September</v></cell><cell r="L465"><v>43358</v></cell><cell r="M465" t="str"><v>Tier 0</v></cell><cell r="N465" t="str"><v>North America</v></cell><cell r="O465" t="str"><v>United States</v></cell><cell r="P465" t="str"><v>Trial</v></cell><cell r="Q465" t="str"><v>Social</v></cell><cell r="R465" t="str"><v>Azure</v></cell><cell r="S465" t="str"><v>Apps & Infra</v></cell><cell r="T465" t="str"><v>Developers & ITI's</v></cell><cell r="U465" t="str"><v>USA-Trial-ITD-Trial Lookalike-AZR-AZR</v></cell><cell r="V465" t="str"><v>Lookalike Targeting</v></cell><cell r="W465" t="str"><v>Canvas Collection Ad</v></cell><cell r="X465" t="str"><v>1200x182</v></cell><cell r="Y465" t="str"><v>Try it Now</v></cell><cell r="Z465" t="str"><v>Not Applicable</v></cell><cell r="AA465"><v>43354</v></cell><cell r="AB465" t="str"><v>USA_gaPMG_AZR_AZR_Q1_19_Direct-Social</v></cell><cell r="AC465"><v>21358715</v></cell><cell r="AD465"><v>720197</v></cell><cell r="AE465" t="str"><v>Facebook</v></cell><cell r="AF465"><v>3654128</v></cell><cell r="AG465" t="str"><v>FACEBOOK»USA-Trial-ITD-Trial Lookalike-AZR-AZR»1 x 1»SocialBan»CCA»ALL»CPA»LAL»X»NA»SS»NA»Azure Developer Facebook Collections»PRSH0N</v></cell><cell r="AH465"><v>225282481</v></cell><cell r="AI465" t="str"><v>AZR_FBCollections-TryAzureFreeCTA-Img1_USA_1200x182_SOC_Plat_EN_NA_Standard_NA_TIN_T1_1</v></cell><cell r="AJ465"><v>103874423</v></cell></row><row r="466"><cell r="D466" t="str"><v>43354225282481</v></cell><cell r="E466" t="str"><v>43354103773177PRSH0N</v></cell><cell r="F466" t="str"><v>DCM</v></cell></row><row r="466"><cell r="H466"><v>2</v></cell><cell r="I466" t="str"><v>Azure Direct</v></cell><cell r="J466" t="str"><v>Azure Direct</v></cell><cell r="K466" t="str"><v>September</v></cell><cell r="L466"><v>43358</v></cell><cell r="M466" t="str"><v>Tier 0</v></cell><cell r="N466" t="str"><v>North America</v></cell><cell r="O466" t="str"><v>United States</v></cell><cell r="P466" t="str"><v>Trial</v></cell><cell r="Q466" t="str"><v>Social</v></cell><cell r="R466" t="str"><v>Azure</v></cell><cell r="S466" t="str"><v>Apps & Infra</v></cell><cell r="T466" t="str"><v>Developers & ITI's</v></cell><cell r="U466" t="str"><v>USA-Trial-ITD-Trial Lookalike-AZR-AZR</v></cell><cell r="V466" t="str"><v>Lookalike Targeting</v></cell><cell r="W466" t="str"><v>Canvas Collection Ad</v></cell><cell r="X466" t="str"><v>1200x182</v></cell><cell r="Y466" t="str"><v>Try it Now</v></cell><cell r="Z466" t="str"><v>Not Applicable</v></cell><cell r="AA466"><v>43354</v></cell><cell r="AB466" t="str"><v>USA_gaPMG_AZR_AZR_Q1_19_Direct-Social</v></cell><cell r="AC466"><v>21358715</v></cell><cell r="AD466"><v>720197</v></cell><cell r="AE466" t="str"><v>Facebook</v></cell><cell r="AF466"><v>3654128</v></cell><cell r="AG466" t="str"><v>FACEBOOK»USA-Trial-ITD-Trial Lookalike-AZR-AZR»1 x 1»SocialBan»CCA»ALL»CPA»LAL»X»NA»SS»NA»Azure Developer Facebook Collections»PRSH0N</v></cell><cell r="AH466"><v>225282481</v></cell><cell r="AI466" t="str"><v>AZR_FBCollections-AITryAzureFreeCTA-Img2_USA_1200x182_SOC_Plat_EN_NA_Standard_NA_TIN_T1_2</v></cell><cell r="AJ466"><v>103773177</v></cell></row><row r="467"><cell r="D467" t="str"><v>43354223862933</v></cell><cell r="E467" t="str"><v>43354103037935PRC1M8</v></cell><cell r="F467" t="str"><v>DCM</v></cell></row><row r="467"><cell r="H467"><v>2</v></cell><cell r="I467" t="str"><v>Azure Direct</v></cell><cell r="J467" t="str"><v>Azure Direct</v></cell><cell r="K467" t="str"><v>September</v></cell><cell r="L467"><v>43358</v></cell><cell r="M467" t="str"><v>Tier 0</v></cell><cell r="N467" t="str"><v>North America</v></cell><cell r="O467" t="str"><v>United States</v></cell><cell r="P467" t="str"><v>Trial</v></cell><cell r="Q467" t="str"><v>Social</v></cell><cell r="R467" t="str"><v>Azure</v></cell><cell r="S467" t="str"><v>Apps & Infra</v></cell><cell r="T467" t="str"><v>Developers & ITI's</v></cell><cell r="U467" t="str"><v>USA-Trial-ITD-Trial Lookalike-AZR-AZR</v></cell><cell r="V467" t="str"><v>Lookalike Targeting</v></cell><cell r="W467" t="str"><v>Link Ad</v></cell><cell r="X467" t="str"><v>1200x1200</v></cell><cell r="Y467" t="str"><v>Learn More</v></cell><cell r="Z467" t="str"><v>Animated Banner</v></cell><cell r="AA467"><v>43354</v></cell><cell r="AB467" t="str"><v>USA_gaPMG_AZR_AZR_Q1_19_Direct-Social</v></cell><cell r="AC467"><v>21358715</v></cell><cell r="AD467"><v>720197</v></cell><cell r="AE467" t="str"><v>Facebook</v></cell><cell r="AF467"><v>3654128</v></cell><cell r="AG467" t="str"><v>FACEBOOK»USA-Trial-ITD-Trial Lookalike-AZR-AZR»1 x 1»SocialBan»LIA»ALL»CPA»LAL»X»NA»SS»NA»FreeAcctDeveloperFB-AnimatedData-Ch4»PRC1M8</v></cell><cell r="AH467"><v>223862933</v></cell><cell r="AI467" t="str"><v>AZR_FreeAcctDeveloperFB-AnimatedData-Ch4_USA_1200x1200_CAN_Direct_English_Trial_Standard_ANI_LEA_T4_2</v></cell><cell r="AJ467"><v>103037935</v></cell></row><row r="468"><cell r="D468" t="str"><v>43354224104986</v></cell><cell r="E468" t="str"><v>43354103043835PRC1Q1</v></cell><cell r="F468" t="str"><v>DCM</v></cell></row><row r="468"><cell r="H468"><v>0</v></cell><cell r="I468" t="str"><v>Azure Direct</v></cell><cell r="J468" t="str"><v>Azure Direct</v></cell><cell r="K468" t="str"><v>September</v></cell><cell r="L468"><v>43358</v></cell><cell r="M468" t="str"><v>Tier 0</v></cell><cell r="N468" t="str"><v>North America</v></cell><cell r="O468" t="str"><v>United States</v></cell><cell r="P468" t="str"><v>Trial</v></cell><cell r="Q468" t="str"><v>Social</v></cell><cell r="R468" t="str"><v>Azure</v></cell><cell r="S468" t="str"><v>Apps & Infra</v></cell><cell r="T468" t="str"><v>Developers & ITI's</v></cell><cell r="U468" t="str"><v>USA-Trial-ITD-Trial PayGo Lookalike-AZR-AZR</v></cell><cell r="V468" t="str"><v>Lookalike Targeting</v></cell><cell r="W468" t="str"><v>Canvas Ad</v></cell><cell r="X468" t="str"><v>10s</v></cell><cell r="Y468" t="str"><v>Try it Now</v></cell><cell r="Z468" t="str"><v>Standard videos</v></cell><cell r="AA468"><v>43354</v></cell><cell r="AB468" t="str"><v>USA_gaPMG_AZR_AZR_Q1_19_Direct-Social</v></cell><cell r="AC468"><v>21358715</v></cell><cell r="AD468"><v>720197</v></cell><cell r="AE468" t="str"><v>Facebook</v></cell><cell r="AF468"><v>3654128</v></cell><cell r="AG468" t="str"><v>FACEBOOK»USA-Trial-ITD-Trial PayGo Lookalike-AZR-AZR»1 x 1»SocialBan»CAN»ALL»CPA»LAL»X»NA»SS»NA»FBCTCBenefit2inMotion»PRC1Q1</v></cell><cell r="AH468"><v>224104986</v></cell><cell r="AI468" t="str"><v>AzurePlatform_FBCTCBenefit2inMotion_USA_10s_CAN_PLATFORM_English_Trial_Standard_STAN_TIN_T4_1</v></cell><cell r="AJ468"><v>103043835</v></cell></row><row r="469"><cell r="D469" t="str"><v>43354224104986</v></cell><cell r="E469" t="str"><v>43354103178645PRC1Q1</v></cell><cell r="F469" t="str"><v>DCM</v></cell></row><row r="469"><cell r="H469"><v>2</v></cell><cell r="I469" t="str"><v>Azure Direct</v></cell><cell r="J469" t="str"><v>Azure Direct</v></cell><cell r="K469" t="str"><v>September</v></cell><cell r="L469"><v>43358</v></cell><cell r="M469" t="str"><v>Tier 0</v></cell><cell r="N469" t="str"><v>North America</v></cell><cell r="O469" t="str"><v>United States</v></cell><cell r="P469" t="str"><v>Trial</v></cell><cell r="Q469" t="str"><v>Social</v></cell><cell r="R469" t="str"><v>Azure</v></cell><cell r="S469" t="str"><v>Apps & Infra</v></cell><cell r="T469" t="str"><v>Developers & ITI's</v></cell><cell r="U469" t="str"><v>USA-Trial-ITD-Trial PayGo Lookalike-AZR-AZR</v></cell><cell r="V469" t="str"><v>Lookalike Targeting</v></cell><cell r="W469" t="str"><v>Canvas Ad</v></cell><cell r="X469" t="str"><v>10s</v></cell><cell r="Y469" t="str"><v>Try it Now</v></cell><cell r="Z469" t="str"><v>Standard videos</v></cell><cell r="AA469"><v>43354</v></cell><cell r="AB469" t="str"><v>USA_gaPMG_AZR_AZR_Q1_19_Direct-Social</v></cell><cell r="AC469"><v>21358715</v></cell><cell r="AD469"><v>720197</v></cell><cell r="AE469" t="str"><v>Facebook</v></cell><cell r="AF469"><v>3654128</v></cell><cell r="AG469" t="str"><v>FACEBOOK»USA-Trial-ITD-Trial PayGo Lookalike-AZR-AZR»1 x 1»SocialBan»CAN»ALL»CPA»LAL»X»NA»SS»NA»FBCTCBenefit2inMotion»PRC1Q1</v></cell><cell r="AH469"><v>224104986</v></cell><cell r="AI469" t="str"><v>AzurePlatform_FBCTCBenefit2inMotion_USA_10s_CAN_PLATFORM_English_Trial_Standard_STAN_TIN_T4_2</v></cell><cell r="AJ469"><v>103178645</v></cell></row><row r="470"><cell r="D470" t="str"><v>43354226617679</v></cell><cell r="E470" t="str"><v>43354104671427PS7B5R</v></cell><cell r="F470" t="str"><v>DCM</v></cell></row><row r="470"><cell r="H470"><v>0</v></cell><cell r="I470" t="str"><v>Azure Direct</v></cell><cell r="J470" t="str"><v>Azure Direct</v></cell><cell r="K470" t="str"><v>September</v></cell><cell r="L470"><v>43358</v></cell><cell r="M470" t="str"><v>Tier 0</v></cell><cell r="N470" t="str"><v>North America</v></cell><cell r="O470" t="str"><v>United States</v></cell><cell r="P470" t="str"><v>Trial</v></cell><cell r="Q470" t="str"><v>Social</v></cell><cell r="R470" t="str"><v>Azure</v></cell><cell r="S470" t="str"><v>Apps & Infra</v></cell><cell r="T470" t="str"><v>Developers & ITI's</v></cell><cell r="U470" t="str"><v>USA-Trial-ITD-Trial PayGo Lookalike-AZR-AZR</v></cell><cell r="V470" t="str"><v>Lookalike Targeting</v></cell><cell r="W470" t="str"><v>Canvas Ad</v></cell><cell r="X470" t="str"><v>1200x1200</v></cell><cell r="Y470" t="str"><v>Learn More</v></cell><cell r="Z470" t="str"><v>Animated Banner</v></cell><cell r="AA470"><v>43354</v></cell><cell r="AB470" t="str"><v>USA_gaPMG_AZR_AZR_Q1_19_Direct-Social</v></cell><cell r="AC470"><v>21358715</v></cell><cell r="AD470"><v>720197</v></cell><cell r="AE470" t="str"><v>Facebook</v></cell><cell r="AF470"><v>3654128</v></cell><cell r="AG470" t="str"><v>FACEBOOK»USA-Trial-ITD-Trial PayGo Lookalike-AZR-AZR»1 x 1»SocialBan»CAN»ALL»CPA»LAL»X»NA»SS»NA»FreeAcctDeveloperFB-AnimatedOpenSource-Ch2»PS7B5R</v></cell><cell r="AH470"><v>226617679</v></cell><cell r="AI470" t="str"><v>AZR_FreeAcctDeveloperFB-AnimatedOpenSource-Ch2_USA_1200x1200_CAN_Direct_EN_Trial_Standard_ANI_LEA_T2_1</v></cell><cell r="AJ470"><v>104671427</v></cell></row><row r="471"><cell r="D471" t="str"><v>43354224104092</v></cell><cell r="E471" t="str"><v>43354103176851PRC1Q5</v></cell><cell r="F471" t="str"><v>DCM</v></cell></row><row r="471"><cell r="H471"><v>10</v></cell><cell r="I471" t="str"><v>Azure Direct</v></cell><cell r="J471" t="str"><v>Azure Direct</v></cell><cell r="K471" t="str"><v>September</v></cell><cell r="L471"><v>43358</v></cell><cell r="M471" t="str"><v>Tier 0</v></cell><cell r="N471" t="str"><v>North America</v></cell><cell r="O471" t="str"><v>United States</v></cell><cell r="P471" t="str"><v>Trial</v></cell><cell r="Q471" t="str"><v>Social</v></cell><cell r="R471" t="str"><v>Azure</v></cell><cell r="S471" t="str"><v>Apps & Infra</v></cell><cell r="T471" t="str"><v>Developers & ITI's</v></cell><cell r="U471" t="str"><v>USA-Trial-ITD-Trial PayGo Lookalike-AZR-AZR</v></cell><cell r="V471" t="str"><v>Lookalike Targeting</v></cell><cell r="W471" t="str"><v>Link Ad</v></cell><cell r="X471" t="str"><v>1200x1200</v></cell><cell r="Y471" t="str"><v>Learn More</v></cell><cell r="Z471" t="str"><v>Animated Banner</v></cell><cell r="AA471"><v>43354</v></cell><cell r="AB471" t="str"><v>USA_gaPMG_AZR_AZR_Q1_19_Direct-Social</v></cell><cell r="AC471"><v>21358715</v></cell><cell r="AD471"><v>720197</v></cell><cell r="AE471" t="str"><v>Facebook</v></cell><cell r="AF471"><v>3654128</v></cell><cell r="AG471" t="str"><v>FACEBOOK»USA-Trial-ITD-Trial PayGo Lookalike-AZR-AZR»1 x 1»SocialBan»LIA»ALL»CPA»LAL»X»NA»SS»NA»FreeAcctDeveloperFB-AnimatedGeneric-Ch1»PRC1Q5</v></cell><cell r="AH471"><v>224104092</v></cell><cell r="AI471" t="str"><v>AZR_FreeAcctDeveloperFB-AnimatedGeneric-Ch1_USA_1200x1200_CAN_Direct_English_Trial_Standard_ANI_LEA_T1_2</v></cell><cell r="AJ471"><v>103176851</v></cell></row><row r="472"><cell r="D472" t="str"><v>43354224106129</v></cell><cell r="E472" t="str"><v>43354103176851PRC1Q6</v></cell><cell r="F472" t="str"><v>DCM</v></cell></row><row r="472"><cell r="H472"><v>12</v></cell><cell r="I472" t="str"><v>Azure Direct</v></cell><cell r="J472" t="str"><v>Azure Direct</v></cell><cell r="K472" t="str"><v>September</v></cell><cell r="L472"><v>43358</v></cell><cell r="M472" t="str"><v>Tier 0</v></cell><cell r="N472" t="str"><v>North America</v></cell><cell r="O472" t="str"><v>United States</v></cell><cell r="P472" t="str"><v>Trial</v></cell><cell r="Q472" t="str"><v>Social</v></cell><cell r="R472" t="str"><v>Azure</v></cell><cell r="S472" t="str"><v>Apps & Infra</v></cell><cell r="T472" t="str"><v>Developers & ITI's</v></cell><cell r="U472" t="str"><v>USA-Trial-ITD-Trial PayGo Lookalike-AZR-AZR</v></cell><cell r="V472" t="str"><v>Lookalike Targeting</v></cell><cell r="W472" t="str"><v>Link Ad</v></cell><cell r="X472" t="str"><v>1200x1200</v></cell><cell r="Y472" t="str"><v>Learn More</v></cell><cell r="Z472" t="str"><v>Animated Banner</v></cell><cell r="AA472"><v>43354</v></cell><cell r="AB472" t="str"><v>USA_gaPMG_AZR_AZR_Q1_19_Direct-Social</v></cell><cell r="AC472"><v>21358715</v></cell><cell r="AD472"><v>720197</v></cell><cell r="AE472" t="str"><v>Facebook</v></cell><cell r="AF472"><v>3654128</v></cell><cell r="AG472" t="str"><v>FACEBOOK»USA-Trial-ITD-Trial PayGo Lookalike-AZR-AZR»1 x 1»SocialBan»LIA»ALL»CPA»LAL»X»NA»SS»NA»FreeAcctDeveloperFB-AnimatedGeneric-Ch1»PRC1Q6</v></cell><cell r="AH472"><v>224106129</v></cell><cell r="AI472" t="str"><v>AZR_FreeAcctDeveloperFB-AnimatedGeneric-Ch1_USA_1200x1200_CAN_Direct_English_Trial_Standard_ANI_LEA_T1_2</v></cell><cell r="AJ472"><v>103176851</v></cell></row><row r="473"><cell r="D473" t="str"><v>43354223934056</v></cell><cell r="E473" t="str"><v>43354103176827PRC26P</v></cell><cell r="F473" t="str"><v>DCM</v></cell></row><row r="473"><cell r="H473"><v>1</v></cell><cell r="I473" t="str"><v>Azure Direct</v></cell><cell r="J473" t="str"><v>Azure Direct</v></cell><cell r="K473" t="str"><v>September</v></cell><cell r="L473"><v>43358</v></cell><cell r="M473" t="str"><v>Tier 0</v></cell><cell r="N473" t="str"><v>North America</v></cell><cell r="O473" t="str"><v>United States</v></cell><cell r="P473" t="str"><v>Trial</v></cell><cell r="Q473" t="str"><v>Social</v></cell><cell r="R473" t="str"><v>Azure</v></cell><cell r="S473" t="str"><v>Apps & Infra</v></cell><cell r="T473" t="str"><v>Developers & ITI's</v></cell><cell r="U473" t="str"><v>USA-Trial-ITD-Retargeting-AZR-AZR</v></cell><cell r="V473" t="str"><v>Retargeting</v></cell><cell r="W473" t="str"><v>Link Ad</v></cell><cell r="X473" t="str"><v>1200x1200</v></cell><cell r="Y473" t="str"><v>Learn More</v></cell><cell r="Z473" t="str"><v>Animated Banner</v></cell><cell r="AA473"><v>43354</v></cell><cell r="AB473" t="str"><v>USA_gaPMG_AZR_AZR_Q1_19_Direct-Social</v></cell><cell r="AC473"><v>21358715</v></cell><cell r="AD473"><v>720197</v></cell><cell r="AE473" t="str"><v>Facebook</v></cell><cell r="AF473"><v>3654128</v></cell><cell r="AG473" t="str"><v>FACEBOOK»USA-Trial-ITD-Retargeting-AZR-AZR»1 x 1»SocialBan»LIA»ALL»CPA»RT»X»NA»SS»NA»FreeAcctITProFB-AnimatedMigration-Ch3»PRC26P</v></cell><cell r="AH473"><v>223934056</v></cell><cell r="AI473" t="str"><v>AZR_FreeAcctITProFB-AnimatedMigration-Ch3_USA_1200x1200_CAN_Direct_English_Trial_Standard_ANI_LEA_T3_1</v></cell><cell r="AJ473"><v>103176827</v></cell></row><row r="474"><cell r="D474" t="str"><v>43354223862927</v></cell><cell r="E474" t="str"><v>43354103043835PRC1M0</v></cell><cell r="F474" t="str"><v>DCM</v></cell></row><row r="474"><cell r="H474"><v>0</v></cell><cell r="I474" t="str"><v>Azure Direct</v></cell><cell r="J474" t="str"><v>Azure Direct</v></cell><cell r="K474" t="str"><v>September</v></cell><cell r="L474"><v>43358</v></cell><cell r="M474" t="str"><v>Tier 0</v></cell><cell r="N474" t="str"><v>North America</v></cell><cell r="O474" t="str"><v>United States</v></cell><cell r="P474" t="str"><v>Trial</v></cell><cell r="Q474" t="str"><v>Social</v></cell><cell r="R474" t="str"><v>Azure</v></cell><cell r="S474" t="str"><v>Apps & Infra</v></cell><cell r="T474" t="str"><v>Developers & ITI's</v></cell><cell r="U474" t="str"><v>USA-Trial-ITD-Trial Lookalike-AZR-AZR</v></cell><cell r="V474" t="str"><v>Lookalike Targeting</v></cell><cell r="W474" t="str"><v>Canvas Ad</v></cell><cell r="X474" t="str"><v>10s</v></cell><cell r="Y474" t="str"><v>Try it Now</v></cell><cell r="Z474" t="str"><v>Standard videos</v></cell><cell r="AA474"><v>43354</v></cell><cell r="AB474" t="str"><v>USA_gaPMG_AZR_AZR_Q1_19_Direct-Social</v></cell><cell r="AC474"><v>21358715</v></cell><cell r="AD474"><v>720197</v></cell><cell r="AE474" t="str"><v>Facebook</v></cell><cell r="AF474"><v>3654128</v></cell><cell r="AG474" t="str"><v>FACEBOOK»USA-Trial-ITD-Trial Lookalike-AZR-AZR»1 x 1»SocialBan»CAN»ALL»CPA»LAL»X»NA»SS»NA»FBCTCBenefit2inMotion»PRC1M0</v></cell><cell r="AH474"><v>223862927</v></cell><cell r="AI474" t="str"><v>AzurePlatform_FBCTCBenefit2inMotion_USA_10s_CAN_PLATFORM_English_Trial_Standard_STAN_TIN_T4_1</v></cell><cell r="AJ474"><v>103043835</v></cell></row><row r="475"><cell r="D475" t="str"><v>43354226622530</v></cell><cell r="E475" t="str"><v>43354104592523PS7B5P</v></cell><cell r="F475" t="str"><v>DCM</v></cell></row><row r="475"><cell r="H475"><v>4</v></cell><cell r="I475" t="str"><v>Azure Direct</v></cell><cell r="J475" t="str"><v>Azure Direct</v></cell><cell r="K475" t="str"><v>September</v></cell><cell r="L475"><v>43358</v></cell><cell r="M475" t="str"><v>Tier 0</v></cell><cell r="N475" t="str"><v>North America</v></cell><cell r="O475" t="str"><v>United States</v></cell><cell r="P475" t="str"><v>Trial</v></cell><cell r="Q475" t="str"><v>Social</v></cell><cell r="R475" t="str"><v>Azure</v></cell><cell r="S475" t="str"><v>Apps & Infra</v></cell><cell r="T475" t="str"><v>Developers & ITI's</v></cell><cell r="U475" t="str"><v>USA-Trial-ITD-Trial PayGo Lookalike-AZR-AZR</v></cell><cell r="V475" t="str"><v>Lookalike Targeting</v></cell><cell r="W475" t="str"><v>Canvas Ad</v></cell><cell r="X475" t="str"><v>1200x1200</v></cell><cell r="Y475" t="str"><v>Learn More</v></cell><cell r="Z475" t="str"><v>Animated Banner</v></cell><cell r="AA475"><v>43354</v></cell><cell r="AB475" t="str"><v>USA_gaPMG_AZR_AZR_Q1_19_Direct-Social</v></cell><cell r="AC475"><v>21358715</v></cell><cell r="AD475"><v>720197</v></cell><cell r="AE475" t="str"><v>Facebook</v></cell><cell r="AF475"><v>3654128</v></cell><cell r="AG475" t="str"><v>FACEBOOK»USA-Trial-ITD-Trial PayGo Lookalike-AZR-AZR»1 x 1»SocialBan»CAN»ALL»CPA»LAL»X»NA»SS»NA»FreeAcctDeveloperFB-AnimatedGeneric-Ch1»PS7B5P</v></cell><cell r="AH475"><v>226622530</v></cell><cell r="AI475" t="str"><v>AZR_FreeAcctDeveloperFB-AnimatedGeneric-Ch1_USA_1200x1200_CAN_Direct_EN_Trial_Standard_ANI_LEA_T1_2</v></cell><cell r="AJ475"><v>104592523</v></cell></row><row r="476"><cell r="D476" t="str"><v>43354226622530</v></cell><cell r="E476" t="str"><v>43354104595766PS7B5P</v></cell><cell r="F476" t="str"><v>DCM</v></cell></row><row r="476"><cell r="H476"><v>0</v></cell><cell r="I476" t="str"><v>Azure Direct</v></cell><cell r="J476" t="str"><v>Azure Direct</v></cell><cell r="K476" t="str"><v>September</v></cell><cell r="L476"><v>43358</v></cell><cell r="M476" t="str"><v>Tier 0</v></cell><cell r="N476" t="str"><v>North America</v></cell><cell r="O476" t="str"><v>United States</v></cell><cell r="P476" t="str"><v>Trial</v></cell><cell r="Q476" t="str"><v>Social</v></cell><cell r="R476" t="str"><v>Azure</v></cell><cell r="S476" t="str"><v>Apps & Infra</v></cell><cell r="T476" t="str"><v>Developers & ITI's</v></cell><cell r="U476" t="str"><v>USA-Trial-ITD-Trial PayGo Lookalike-AZR-AZR</v></cell><cell r="V476" t="str"><v>Lookalike Targeting</v></cell><cell r="W476" t="str"><v>Canvas Ad</v></cell><cell r="X476" t="str"><v>1200x1200</v></cell><cell r="Y476" t="str"><v>Learn More</v></cell><cell r="Z476" t="str"><v>Animated Banner</v></cell><cell r="AA476"><v>43354</v></cell><cell r="AB476" t="str"><v>USA_gaPMG_AZR_AZR_Q1_19_Direct-Social</v></cell><cell r="AC476"><v>21358715</v></cell><cell r="AD476"><v>720197</v></cell><cell r="AE476" t="str"><v>Facebook</v></cell><cell r="AF476"><v>3654128</v></cell><cell r="AG476" t="str"><v>FACEBOOK»USA-Trial-ITD-Trial PayGo Lookalike-AZR-AZR»1 x 1»SocialBan»CAN»ALL»CPA»LAL»X»NA»SS»NA»FreeAcctDeveloperFB-AnimatedGeneric-Ch1»PS7B5P</v></cell><cell r="AH476"><v>226622530</v></cell><cell r="AI476" t="str"><v>AZR_FreeAcctDeveloperFB-AnimatedGeneric-Ch1_USA_1200x1200_CAN_Direct_EN_Trial_Standard_ANI_LEA_T1_1</v></cell><cell r="AJ476"><v>104595766</v></cell></row><row r="477"><cell r="D477" t="str"><v>43354226622512</v></cell><cell r="E477" t="str"><v>43354104593735PS79T7</v></cell><cell r="F477" t="str"><v>DCM</v></cell></row><row r="477"><cell r="H477"><v>0</v></cell><cell r="I477" t="str"><v>Azure Direct</v></cell><cell r="J477" t="str"><v>Azure Direct</v></cell><cell r="K477" t="str"><v>September</v></cell><cell r="L477"><v>43358</v></cell><cell r="M477" t="str"><v>Tier 0</v></cell><cell r="N477" t="str"><v>North America</v></cell><cell r="O477" t="str"><v>United States</v></cell><cell r="P477" t="str"><v>Trial</v></cell><cell r="Q477" t="str"><v>Social</v></cell><cell r="R477" t="str"><v>Azure</v></cell><cell r="S477" t="str"><v>Apps & Infra</v></cell><cell r="T477" t="str"><v>Developers & ITI's</v></cell><cell r="U477" t="str"><v>USA-Trial-ITD-Retargeting-AZR-AZR</v></cell><cell r="V477" t="str"><v>Retargeting</v></cell><cell r="W477" t="str"><v>Canvas Ad</v></cell><cell r="X477" t="str"><v>1200x1200</v></cell><cell r="Y477" t="str"><v>Learn More</v></cell><cell r="Z477" t="str"><v>Animated Banner</v></cell><cell r="AA477"><v>43354</v></cell><cell r="AB477" t="str"><v>USA_gaPMG_AZR_AZR_Q1_19_Direct-Social</v></cell><cell r="AC477"><v>21358715</v></cell><cell r="AD477"><v>720197</v></cell><cell r="AE477" t="str"><v>Facebook</v></cell><cell r="AF477"><v>3654128</v></cell><cell r="AG477" t="str"><v>FACEBOOK»USA-Trial-ITD-Retargeting-AZR-AZR»1 x 1»SocialBan»CAN»ALL»CPA»RT»X»NA»SS»NA»FreeAcctDeveloperFB-AnimatedAI-Ch3»PS79T7</v></cell><cell r="AH477"><v>226622512</v></cell><cell r="AI477" t="str"><v>AZR_FreeAcctDeveloperFB-AnimatedAI-Ch3_USA_1200x1200_CAN_Direct_EN_Trial_Standard_ANI_LEA_T3_1</v></cell><cell r="AJ477"><v>104593735</v></cell></row><row r="478"><cell r="D478" t="str"><v>43354226617661</v></cell><cell r="E478" t="str"><v>43354104592508PS79T1</v></cell><cell r="F478" t="str"><v>DCM</v></cell></row><row r="478"><cell r="H478"><v>0</v></cell><cell r="I478" t="str"><v>Azure Direct</v></cell><cell r="J478" t="str"><v>Azure Direct</v></cell><cell r="K478" t="str"><v>September</v></cell><cell r="L478"><v>43358</v></cell><cell r="M478" t="str"><v>Tier 0</v></cell><cell r="N478" t="str"><v>North America</v></cell><cell r="O478" t="str"><v>United States</v></cell><cell r="P478" t="str"><v>Trial</v></cell><cell r="Q478" t="str"><v>Social</v></cell><cell r="R478" t="str"><v>Azure</v></cell><cell r="S478" t="str"><v>Apps & Infra</v></cell><cell r="T478" t="str"><v>Developers & ITI's</v></cell><cell r="U478" t="str"><v>USA-Trial-ITD-Retargeting-AZR-AZR</v></cell><cell r="V478" t="str"><v>Retargeting</v></cell><cell r="W478" t="str"><v>Canvas Ad</v></cell><cell r="X478" t="str"><v>1200x628</v></cell><cell r="Y478" t="str"><v>Sign Up</v></cell><cell r="Z478" t="str"><v>Not Applicable</v></cell><cell r="AA478"><v>43354</v></cell><cell r="AB478" t="str"><v>USA_gaPMG_AZR_AZR_Q1_19_Direct-Social</v></cell><cell r="AC478"><v>21358715</v></cell><cell r="AD478"><v>720197</v></cell><cell r="AE478" t="str"><v>Facebook</v></cell><cell r="AF478"><v>3654128</v></cell><cell r="AG478" t="str"><v>FACEBOOK»USA-Trial-ITD-Retargeting-AZR-AZR»1 x 1»SocialBan»CAN»ALL»CPA»RT»X»NA»SS»NA»FreeAcctRetargetingOSSFB-Logos-ChG»PS79T1</v></cell><cell r="AH478"><v>226617661</v></cell><cell r="AI478" t="str"><v>AZR_FreeAcctRetargetingOSSFB-Logos-ChG_USA_1200x628_CAN_Plat_English_Free Account_Standard_NA_SINU_T2_1</v></cell><cell r="AJ478"><v>104592508</v></cell></row><row r="479"><cell r="D479" t="str"><v>43354226621024</v></cell><cell r="E479" t="str"><v>43354104593738PS7B5W</v></cell><cell r="F479" t="str"><v>DCM</v></cell></row><row r="479"><cell r="H479"><v>0</v></cell><cell r="I479" t="str"><v>Azure Direct</v></cell><cell r="J479" t="str"><v>Azure Direct</v></cell><cell r="K479" t="str"><v>September</v></cell><cell r="L479"><v>43358</v></cell><cell r="M479" t="str"><v>Tier 0</v></cell><cell r="N479" t="str"><v>North America</v></cell><cell r="O479" t="str"><v>United States</v></cell><cell r="P479" t="str"><v>Trial</v></cell><cell r="Q479" t="str"><v>Social</v></cell><cell r="R479" t="str"><v>Azure</v></cell><cell r="S479" t="str"><v>Apps & Infra</v></cell><cell r="T479" t="str"><v>Developers & ITI's</v></cell><cell r="U479" t="str"><v>USA-Trial-ITD-Trial PayGo Lookalike-AZR-AZR</v></cell><cell r="V479" t="str"><v>Lookalike Targeting</v></cell><cell r="W479" t="str"><v>Canvas Ad</v></cell><cell r="X479" t="str"><v>1200x1200</v></cell><cell r="Y479" t="str"><v>Learn More</v></cell><cell r="Z479" t="str"><v>Animated Banner</v></cell><cell r="AA479"><v>43354</v></cell><cell r="AB479" t="str"><v>USA_gaPMG_AZR_AZR_Q1_19_Direct-Social</v></cell><cell r="AC479"><v>21358715</v></cell><cell r="AD479"><v>720197</v></cell><cell r="AE479" t="str"><v>Facebook</v></cell><cell r="AF479"><v>3654128</v></cell><cell r="AG479" t="str"><v>FACEBOOK»USA-Trial-ITD-Trial PayGo Lookalike-AZR-AZR»1 x 1»SocialBan»CAN»ALL»CPA»LAL»X»NA»SS»NA»FreeAcctITProFB-AnimatedSecureMngd-Ch1»PS7B5W</v></cell><cell r="AH479"><v>226621024</v></cell><cell r="AI479" t="str"><v>AZR_FreeAcctITProFB-AnimatedSecureMngd-Ch1_USA_1200x1200_CAN_Direct_EN_Trial_Standard_ANI_LEA_T1_1</v></cell><cell r="AJ479"><v>104593738</v></cell></row><row r="480"><cell r="D480" t="str"><v>43354226786188</v></cell><cell r="E480" t="str"><v>43354104593435PS7BTJ</v></cell><cell r="F480" t="str"><v>DCM</v></cell></row><row r="480"><cell r="H480"><v>0</v></cell><cell r="I480" t="str"><v>Azure Direct</v></cell><cell r="J480" t="str"><v>Azure Direct</v></cell><cell r="K480" t="str"><v>September</v></cell><cell r="L480"><v>43358</v></cell><cell r="M480" t="str"><v>Tier 0</v></cell><cell r="N480" t="str"><v>North America</v></cell><cell r="O480" t="str"><v>United States</v></cell><cell r="P480" t="str"><v>Trial</v></cell><cell r="Q480" t="str"><v>Social</v></cell><cell r="R480" t="str"><v>Azure</v></cell><cell r="S480" t="str"><v>Apps & Infra</v></cell><cell r="T480" t="str"><v>Developers & ITI's</v></cell><cell r="U480" t="str"><v>USA-Trial-ITD-Bing Retargeting-AZR-AZR</v></cell><cell r="V480" t="str"><v>Retargeting</v></cell><cell r="W480" t="str"><v>Link Ad</v></cell><cell r="X480" t="str"><v>1200x627</v></cell><cell r="Y480" t="str"><v>Sign Up</v></cell><cell r="Z480" t="str"><v>Not Applicable</v></cell><cell r="AA480"><v>43354</v></cell><cell r="AB480" t="str"><v>USA_gaPMG_AZR_AZR_Q1_19_Direct-Social</v></cell><cell r="AC480"><v>21358715</v></cell><cell r="AD480"><v>720197</v></cell><cell r="AE480" t="str"><v>Linkedin</v></cell><cell r="AF480"><v>3654329</v></cell><cell r="AG480" t="str"><v>LINKEDIN»USA-Trial-ITD-Bing Retargeting-AZR-AZR»1 x 1»SocialBan»LIA»ALL»CPA»RT»D»All»SS»NA»FreeAcctRetargetingLI-Credit-ChA»PS7BTJ</v></cell><cell r="AH480"><v>226786188</v></cell><cell r="AI480" t="str"><v>AZR_FreeAcctRetargetingLI-Credit-ChA_USA_1200x627_LIA_Plat_English_Free Account_Standard_NA_SINU_T1_1</v></cell><cell r="AJ480"><v>104593435</v></cell></row><row r="481"><cell r="D481" t="str"><v>43354226536104</v></cell><cell r="E481" t="str"><v>43354104593723PS7BTN</v></cell><cell r="F481" t="str"><v>DCM</v></cell></row><row r="481"><cell r="H481"><v>0</v></cell><cell r="I481" t="str"><v>Azure Direct</v></cell><cell r="J481" t="str"><v>Azure Direct</v></cell><cell r="K481" t="str"><v>September</v></cell><cell r="L481"><v>43358</v></cell><cell r="M481" t="str"><v>Tier 0</v></cell><cell r="N481" t="str"><v>North America</v></cell><cell r="O481" t="str"><v>United States</v></cell><cell r="P481" t="str"><v>Trial</v></cell><cell r="Q481" t="str"><v>Social</v></cell><cell r="R481" t="str"><v>Azure</v></cell><cell r="S481" t="str"><v>Apps & Infra</v></cell><cell r="T481" t="str"><v>Developers & ITI's</v></cell><cell r="U481" t="str"><v>USA-Trial-ITD-Bing Retargeting-AZR-AZR</v></cell><cell r="V481" t="str"><v>Retargeting</v></cell><cell r="W481" t="str"><v>Link Ad</v></cell><cell r="X481" t="str"><v>1200x627</v></cell><cell r="Y481" t="str"><v>Sign Up</v></cell><cell r="Z481" t="str"><v>Not Applicable</v></cell><cell r="AA481"><v>43354</v></cell><cell r="AB481" t="str"><v>USA_gaPMG_AZR_AZR_Q1_19_Direct-Social</v></cell><cell r="AC481"><v>21358715</v></cell><cell r="AD481"><v>720197</v></cell><cell r="AE481" t="str"><v>Linkedin</v></cell><cell r="AF481"><v>3654329</v></cell><cell r="AG481" t="str"><v>LINKEDIN»USA-Trial-ITD-Bing Retargeting-AZR-AZR»1 x 1»SocialBan»LIA»ALL»CPA»RT»D»All»SS»NA»FreeAcctRetargetingLI-GlobalAlt-ChB»PS7BTN</v></cell><cell r="AH481"><v>226536104</v></cell><cell r="AI481" t="str"><v>AZR_FreeAcctRetargetingLI-GlobalAlt-ChB_USA_1200x627_LIA_Plat_English_Free Account_Standard_NA_SINU_T2_1</v></cell><cell r="AJ481"><v>104593723</v></cell></row><row r="482"><cell r="D482" t="str"><v>43354226535249</v></cell><cell r="E482" t="str"><v>43354104671415PS7BTF</v></cell><cell r="F482" t="str"><v>DCM</v></cell></row><row r="482"><cell r="H482"><v>0</v></cell><cell r="I482" t="str"><v>Azure Direct</v></cell><cell r="J482" t="str"><v>Azure Direct</v></cell><cell r="K482" t="str"><v>September</v></cell><cell r="L482"><v>43358</v></cell><cell r="M482" t="str"><v>Tier 0</v></cell><cell r="N482" t="str"><v>North America</v></cell><cell r="O482" t="str"><v>United States</v></cell><cell r="P482" t="str"><v>Trial</v></cell><cell r="Q482" t="str"><v>Social</v></cell><cell r="R482" t="str"><v>Azure</v></cell><cell r="S482" t="str"><v>Apps & Infra</v></cell><cell r="T482" t="str"><v>Developers & ITI's</v></cell><cell r="U482" t="str"><v>USA-Trial-ITD-Bing Retargeting-AZR-AZR</v></cell><cell r="V482" t="str"><v>Retargeting</v></cell><cell r="W482" t="str"><v>Link Ad</v></cell><cell r="X482" t="str"><v>1200x627</v></cell><cell r="Y482" t="str"><v>Sign Up</v></cell><cell r="Z482" t="str"><v>Not Applicable</v></cell><cell r="AA482"><v>43354</v></cell><cell r="AB482" t="str"><v>USA_gaPMG_AZR_AZR_Q1_19_Direct-Social</v></cell><cell r="AC482"><v>21358715</v></cell><cell r="AD482"><v>720197</v></cell><cell r="AE482" t="str"><v>Linkedin</v></cell><cell r="AF482"><v>3654329</v></cell><cell r="AG482" t="str"><v>LINKEDIN»USA-Trial-ITD-Bing Retargeting-AZR-AZR»1 x 1»SocialBan»LIA»ALL»CPA»RT»D»All»SS»NA»FreeAcctRetargetingVMLI-750Hrs-ChD»PS7BTF</v></cell><cell r="AH482"><v>226535249</v></cell><cell r="AI482" t="str"><v>AZR_FreeAcctRetargetingVMLI-750Hrs-ChD_USA_1200x627_LIA_Plat_English_Free Account_Standard_NA_SINU_T1_1</v></cell><cell r="AJ482"><v>104671415</v></cell></row><row r="483"><cell r="D483" t="str"><v>43354226615867</v></cell><cell r="E483" t="str"><v>43354104592529PS7BTG</v></cell><cell r="F483" t="str"><v>DCM</v></cell></row><row r="483"><cell r="H483"><v>0</v></cell><cell r="I483" t="str"><v>Azure Direct</v></cell><cell r="J483" t="str"><v>Azure Direct</v></cell><cell r="K483" t="str"><v>September</v></cell><cell r="L483"><v>43358</v></cell><cell r="M483" t="str"><v>Tier 0</v></cell><cell r="N483" t="str"><v>North America</v></cell><cell r="O483" t="str"><v>United States</v></cell><cell r="P483" t="str"><v>Trial</v></cell><cell r="Q483" t="str"><v>Social</v></cell><cell r="R483" t="str"><v>Azure</v></cell><cell r="S483" t="str"><v>Apps & Infra</v></cell><cell r="T483" t="str"><v>Developers & ITI's</v></cell><cell r="U483" t="str"><v>USA-Trial-ITD-Bing Retargeting-AZR-AZR</v></cell><cell r="V483" t="str"><v>Retargeting</v></cell><cell r="W483" t="str"><v>Link Ad</v></cell><cell r="X483" t="str"><v>1200x627</v></cell><cell r="Y483" t="str"><v>Sign Up</v></cell><cell r="Z483" t="str"><v>Not Applicable</v></cell><cell r="AA483"><v>43354</v></cell><cell r="AB483" t="str"><v>USA_gaPMG_AZR_AZR_Q1_19_Direct-Social</v></cell><cell r="AC483"><v>21358715</v></cell><cell r="AD483"><v>720197</v></cell><cell r="AE483" t="str"><v>Linkedin</v></cell><cell r="AF483"><v>3654329</v></cell><cell r="AG483" t="str"><v>LINKEDIN»USA-Trial-ITD-Bing Retargeting-AZR-AZR»1 x 1»SocialBan»LIA»ALL»CPA»RT»D»All»SS»NA»FreeAcctRetargetingVMLI-OnDemand-ChE»PS7BTG</v></cell><cell r="AH483"><v>226615867</v></cell><cell r="AI483" t="str"><v>AZR_FreeAcctRetargetingVMLI-OnDemand-ChE_USA_1200x627_LIA_Plat_English_Free Account_Standard_NA_SINU_T2_1</v></cell><cell r="AJ483"><v>104592529</v></cell></row><row r="484"><cell r="D484" t="str"><v>43354226621543</v></cell><cell r="E484" t="str"><v>43354104593444PS7BTR</v></cell><cell r="F484" t="str"><v>DCM</v></cell></row><row r="484"><cell r="H484"><v>3</v></cell><cell r="I484" t="str"><v>Azure Direct</v></cell><cell r="J484" t="str"><v>Azure Direct</v></cell><cell r="K484" t="str"><v>September</v></cell><cell r="L484"><v>43358</v></cell><cell r="M484" t="str"><v>Tier 0</v></cell><cell r="N484" t="str"><v>North America</v></cell><cell r="O484" t="str"><v>United States</v></cell><cell r="P484" t="str"><v>Trial</v></cell><cell r="Q484" t="str"><v>Social</v></cell><cell r="R484" t="str"><v>Azure</v></cell><cell r="S484" t="str"><v>Apps & Infra</v></cell><cell r="T484" t="str"><v>Developers & ITI's</v></cell><cell r="U484" t="str"><v>USA-Trial-ITD-Bing Retargeting-AZR-AZR</v></cell><cell r="V484" t="str"><v>Retargeting</v></cell><cell r="W484" t="str"><v>Video Link ad</v></cell><cell r="X484" t="str"><v>1920x1080</v></cell><cell r="Y484" t="str"><v>Learn More</v></cell><cell r="Z484" t="str"><v>Animated Banner</v></cell><cell r="AA484"><v>43354</v></cell><cell r="AB484" t="str"><v>USA_gaPMG_AZR_AZR_Q1_19_Direct-Social</v></cell><cell r="AC484"><v>21358715</v></cell><cell r="AD484"><v>720197</v></cell><cell r="AE484" t="str"><v>Linkedin</v></cell><cell r="AF484"><v>3654329</v></cell><cell r="AG484" t="str"><v>LINKEDIN»USA-Trial-ITD-Bing Retargeting-AZR-AZR»1 x 1»SocialBan»VLA»ALL»CPA»RT»D»All»SS»NA»FreeAcctDeveloperLI-AnimatedAI-Ch3»PS7BTR</v></cell><cell r="AH484"><v>226621543</v></cell><cell r="AI484" t="str"><v>AZR_FreeAcctDeveloperLI-AnimatedAI-Ch3_USA_1920x1080_VLA_Direct_EN_Trial_Standard_ANI_LEA_T3_1</v></cell><cell r="AJ484"><v>104593444</v></cell></row><row r="485"><cell r="D485" t="str"><v>43354226622815</v></cell><cell r="E485" t="str"><v>43354104593732PS7BTS</v></cell><cell r="F485" t="str"><v>DCM</v></cell></row><row r="485"><cell r="H485"><v>2</v></cell><cell r="I485" t="str"><v>Azure Direct</v></cell><cell r="J485" t="str"><v>Azure Direct</v></cell><cell r="K485" t="str"><v>September</v></cell><cell r="L485"><v>43358</v></cell><cell r="M485" t="str"><v>Tier 0</v></cell><cell r="N485" t="str"><v>North America</v></cell><cell r="O485" t="str"><v>United States</v></cell><cell r="P485" t="str"><v>Trial</v></cell><cell r="Q485" t="str"><v>Social</v></cell><cell r="R485" t="str"><v>Azure</v></cell><cell r="S485" t="str"><v>Apps & Infra</v></cell><cell r="T485" t="str"><v>Developers & ITI's</v></cell><cell r="U485" t="str"><v>USA-Trial-ITD-Bing Retargeting-AZR-AZR</v></cell><cell r="V485" t="str"><v>Retargeting</v></cell><cell r="W485" t="str"><v>Video Link ad</v></cell><cell r="X485" t="str"><v>1920x1080</v></cell><cell r="Y485" t="str"><v>Learn More</v></cell><cell r="Z485" t="str"><v>Animated Banner</v></cell><cell r="AA485"><v>43354</v></cell><cell r="AB485" t="str"><v>USA_gaPMG_AZR_AZR_Q1_19_Direct-Social</v></cell><cell r="AC485"><v>21358715</v></cell><cell r="AD485"><v>720197</v></cell><cell r="AE485" t="str"><v>Linkedin</v></cell><cell r="AF485"><v>3654329</v></cell><cell r="AG485" t="str"><v>LINKEDIN»USA-Trial-ITD-Bing Retargeting-AZR-AZR»1 x 1»SocialBan»VLA»ALL»CPA»RT»D»All»SS»NA»FreeAcctDeveloperLI-AnimatedData-Ch4»PS7BTS</v></cell><cell r="AH485"><v>226622815</v></cell><cell r="AI485" t="str"><v>AZR_FreeAcctDeveloperLI-AnimatedData-Ch4_USA_1920x1080_VLA_Direct_EN_Trial_Standard_ANI_LEA_T4_1</v></cell><cell r="AJ485"><v>104593732</v></cell></row><row r="486"><cell r="D486" t="str"><v>43354226538510</v></cell><cell r="E486" t="str"><v>43354104595736PS7BTL</v></cell><cell r="F486" t="str"><v>DCM</v></cell></row><row r="486"><cell r="H486"><v>2</v></cell><cell r="I486" t="str"><v>Azure Direct</v></cell><cell r="J486" t="str"><v>Azure Direct</v></cell><cell r="K486" t="str"><v>September</v></cell><cell r="L486"><v>43358</v></cell><cell r="M486" t="str"><v>Tier 0</v></cell><cell r="N486" t="str"><v>North America</v></cell><cell r="O486" t="str"><v>United States</v></cell><cell r="P486" t="str"><v>Trial</v></cell><cell r="Q486" t="str"><v>Social</v></cell><cell r="R486" t="str"><v>Azure</v></cell><cell r="S486" t="str"><v>Apps & Infra</v></cell><cell r="T486" t="str"><v>Developers & ITI's</v></cell><cell r="U486" t="str"><v>USA-Trial-ITD-Bing Retargeting-AZR-AZR</v></cell><cell r="V486" t="str"><v>Retargeting</v></cell><cell r="W486" t="str"><v>Video Link ad</v></cell><cell r="X486" t="str"><v>1920x1080</v></cell><cell r="Y486" t="str"><v>Learn More</v></cell><cell r="Z486" t="str"><v>Animated Banner</v></cell><cell r="AA486"><v>43354</v></cell><cell r="AB486" t="str"><v>USA_gaPMG_AZR_AZR_Q1_19_Direct-Social</v></cell><cell r="AC486"><v>21358715</v></cell><cell r="AD486"><v>720197</v></cell><cell r="AE486" t="str"><v>Linkedin</v></cell><cell r="AF486"><v>3654329</v></cell><cell r="AG486" t="str"><v>LINKEDIN»USA-Trial-ITD-Bing Retargeting-AZR-AZR»1 x 1»SocialBan»VLA»ALL»CPA»RT»D»All»SS»NA»FreeAcctDeveloperLI-AnimatedGeneric-Ch1»PS7BTL</v></cell><cell r="AH486"><v>226538510</v></cell><cell r="AI486" t="str"><v>AZR_FreeAcctDeveloperLI-AnimatedGeneric-Ch1_USA_1920x1080_VLA_Direct_EN_Trial_Standard_ANI_LEA_T1_1</v></cell><cell r="AJ486"><v>104595736</v></cell></row><row r="487"><cell r="D487" t="str"><v>43354226538513</v></cell><cell r="E487" t="str"><v>43354104595736PS7BTM</v></cell><cell r="F487" t="str"><v>DCM</v></cell></row><row r="487"><cell r="H487"><v>0</v></cell><cell r="I487" t="str"><v>Azure Direct</v></cell><cell r="J487" t="str"><v>Azure Direct</v></cell><cell r="K487" t="str"><v>September</v></cell><cell r="L487"><v>43358</v></cell><cell r="M487" t="str"><v>Tier 0</v></cell><cell r="N487" t="str"><v>North America</v></cell><cell r="O487" t="str"><v>United States</v></cell><cell r="P487" t="str"><v>Trial</v></cell><cell r="Q487" t="str"><v>Social</v></cell><cell r="R487" t="str"><v>Azure</v></cell><cell r="S487" t="str"><v>Apps & Infra</v></cell><cell r="T487" t="str"><v>Developers & ITI's</v></cell><cell r="U487" t="str"><v>USA-Trial-ITD-Bing Retargeting-AZR-AZR</v></cell><cell r="V487" t="str"><v>Retargeting</v></cell><cell r="W487" t="str"><v>Video Link ad</v></cell><cell r="X487" t="str"><v>1920x1080</v></cell><cell r="Y487" t="str"><v>Learn More</v></cell><cell r="Z487" t="str"><v>Animated Banner</v></cell><cell r="AA487"><v>43354</v></cell><cell r="AB487" t="str"><v>USA_gaPMG_AZR_AZR_Q1_19_Direct-Social</v></cell><cell r="AC487"><v>21358715</v></cell><cell r="AD487"><v>720197</v></cell><cell r="AE487" t="str"><v>Linkedin</v></cell><cell r="AF487"><v>3654329</v></cell><cell r="AG487" t="str"><v>LINKEDIN»USA-Trial-ITD-Bing Retargeting-AZR-AZR»1 x 1»SocialBan»VLA»ALL»CPA»RT»D»All»SS»NA»FreeAcctDeveloperLI-AnimatedGeneric-Ch1»PS7BTM</v></cell><cell r="AH487"><v>226538513</v></cell><cell r="AI487" t="str"><v>AZR_FreeAcctDeveloperLI-AnimatedGeneric-Ch1_USA_1920x1080_VLA_Direct_EN_Trial_Standard_ANI_LEA_T1_1</v></cell><cell r="AJ487"><v>104595736</v></cell></row><row r="488"><cell r="D488" t="str"><v>43354226535246</v></cell><cell r="E488" t="str"><v>43354104671424PS7BTV</v></cell><cell r="F488" t="str"><v>DCM</v></cell></row><row r="488"><cell r="H488"><v>0</v></cell><cell r="I488" t="str"><v>Azure Direct</v></cell><cell r="J488" t="str"><v>Azure Direct</v></cell><cell r="K488" t="str"><v>September</v></cell><cell r="L488"><v>43358</v></cell><cell r="M488" t="str"><v>Tier 0</v></cell><cell r="N488" t="str"><v>North America</v></cell><cell r="O488" t="str"><v>United States</v></cell><cell r="P488" t="str"><v>Trial</v></cell><cell r="Q488" t="str"><v>Social</v></cell><cell r="R488" t="str"><v>Azure</v></cell><cell r="S488" t="str"><v>Apps & Infra</v></cell><cell r="T488" t="str"><v>Developers & ITI's</v></cell><cell r="U488" t="str"><v>USA-Trial-ITD-Bing Retargeting-AZR-AZR</v></cell><cell r="V488" t="str"><v>Retargeting</v></cell><cell r="W488" t="str"><v>Video Link ad</v></cell><cell r="X488" t="str"><v>1920x1080</v></cell><cell r="Y488" t="str"><v>Learn More</v></cell><cell r="Z488" t="str"><v>Animated Banner</v></cell><cell r="AA488"><v>43354</v></cell><cell r="AB488" t="str"><v>USA_gaPMG_AZR_AZR_Q1_19_Direct-Social</v></cell><cell r="AC488"><v>21358715</v></cell><cell r="AD488"><v>720197</v></cell><cell r="AE488" t="str"><v>Linkedin</v></cell><cell r="AF488"><v>3654329</v></cell><cell r="AG488" t="str"><v>LINKEDIN»USA-Trial-ITD-Bing Retargeting-AZR-AZR»1 x 1»SocialBan»VLA»ALL»CPA»RT»D»All»SS»NA»FreeAcctITProLI-AnimatedHybrid-Ch2»PS7BTV</v></cell><cell r="AH488"><v>226535246</v></cell><cell r="AI488" t="str"><v>AZR_FreeAcctITProLI-AnimatedHybrid-Ch2_USA_1920x1080_VLA_Direct_EN_Trial_Standard_ANI_LEA_T2_1</v></cell><cell r="AJ488"><v>104671424</v></cell></row><row r="489"><cell r="D489" t="str"><v>43354226620916</v></cell><cell r="E489" t="str"><v>43354104592532PS7BTP</v></cell><cell r="F489" t="str"><v>DCM</v></cell></row><row r="489"><cell r="H489"><v>0</v></cell><cell r="I489" t="str"><v>Azure Direct</v></cell><cell r="J489" t="str"><v>Azure Direct</v></cell><cell r="K489" t="str"><v>September</v></cell><cell r="L489"><v>43358</v></cell><cell r="M489" t="str"><v>Tier 0</v></cell><cell r="N489" t="str"><v>North America</v></cell><cell r="O489" t="str"><v>United States</v></cell><cell r="P489" t="str"><v>Trial</v></cell><cell r="Q489" t="str"><v>Social</v></cell><cell r="R489" t="str"><v>Azure</v></cell><cell r="S489" t="str"><v>Apps & Infra</v></cell><cell r="T489" t="str"><v>Developers & ITI's</v></cell><cell r="U489" t="str"><v>USA-Trial-ITD-Bing Retargeting-AZR-AZR</v></cell><cell r="V489" t="str"><v>Retargeting</v></cell><cell r="W489" t="str"><v>Video Link ad</v></cell><cell r="X489" t="str"><v>1920x1080</v></cell><cell r="Y489" t="str"><v>Learn More</v></cell><cell r="Z489" t="str"><v>Animated Banner</v></cell><cell r="AA489"><v>43354</v></cell><cell r="AB489" t="str"><v>USA_gaPMG_AZR_AZR_Q1_19_Direct-Social</v></cell><cell r="AC489"><v>21358715</v></cell><cell r="AD489"><v>720197</v></cell><cell r="AE489" t="str"><v>Linkedin</v></cell><cell r="AF489"><v>3654329</v></cell><cell r="AG489" t="str"><v>LINKEDIN»USA-Trial-ITD-Bing Retargeting-AZR-AZR»1 x 1»SocialBan»VLA»ALL»CPA»RT»D»All»SS»NA»FreeAcctITProLI-AnimatedMigration-Ch3»PS7BTP</v></cell><cell r="AH489"><v>226620916</v></cell><cell r="AI489" t="str"><v>AZR_FreeAcctITProLI-AnimatedMigration-Ch3_USA_1920x1080_VLA_Direct_EN_Trial_Standard_ANI_LEA_T3_1</v></cell><cell r="AJ489"><v>104592532</v></cell></row><row r="490"><cell r="D490" t="str"><v>43354226622818</v></cell><cell r="E490" t="str"><v>43354104593447PS7BTT</v></cell><cell r="F490" t="str"><v>DCM</v></cell></row><row r="490"><cell r="H490"><v>2</v></cell><cell r="I490" t="str"><v>Azure Direct</v></cell><cell r="J490" t="str"><v>Azure Direct</v></cell><cell r="K490" t="str"><v>September</v></cell><cell r="L490"><v>43358</v></cell><cell r="M490" t="str"><v>Tier 0</v></cell><cell r="N490" t="str"><v>North America</v></cell><cell r="O490" t="str"><v>United States</v></cell><cell r="P490" t="str"><v>Trial</v></cell><cell r="Q490" t="str"><v>Social</v></cell><cell r="R490" t="str"><v>Azure</v></cell><cell r="S490" t="str"><v>Apps & Infra</v></cell><cell r="T490" t="str"><v>Developers & ITI's</v></cell><cell r="U490" t="str"><v>USA-Trial-ITD-Bing Retargeting-AZR-AZR</v></cell><cell r="V490" t="str"><v>Retargeting</v></cell><cell r="W490" t="str"><v>Video Link ad</v></cell><cell r="X490" t="str"><v>1920x1080</v></cell><cell r="Y490" t="str"><v>Learn More</v></cell><cell r="Z490" t="str"><v>Animated Banner</v></cell><cell r="AA490"><v>43354</v></cell><cell r="AB490" t="str"><v>USA_gaPMG_AZR_AZR_Q1_19_Direct-Social</v></cell><cell r="AC490"><v>21358715</v></cell><cell r="AD490"><v>720197</v></cell><cell r="AE490" t="str"><v>Linkedin</v></cell><cell r="AF490"><v>3654329</v></cell><cell r="AG490" t="str"><v>LINKEDIN»USA-Trial-ITD-Bing Retargeting-AZR-AZR»1 x 1»SocialBan»VLA»ALL»CPA»RT»D»All»SS»NA»FreeAcctITProLI-AnimatedSecureWellMngd-Ch1»PS7BTT</v></cell><cell r="AH490"><v>226622818</v></cell><cell r="AI490" t="str"><v>AZR_FreeAcctITProLI-AnimatedSecureWellMngd-Ch1_USA_1920x1080_VLA_Direct_EN_Trial_Standard_ANI_LEA_T1_1</v></cell><cell r="AJ490"><v>104593447</v></cell></row><row r="491"><cell r="D491" t="str"><v>43354226538582</v></cell><cell r="E491" t="str"><v>43354104593444PS7BS4</v></cell><cell r="F491" t="str"><v>DCM</v></cell></row><row r="491"><cell r="H491"><v>0</v></cell><cell r="I491" t="str"><v>Azure Direct</v></cell><cell r="J491" t="str"><v>Azure Direct</v></cell><cell r="K491" t="str"><v>September</v></cell><cell r="L491"><v>43358</v></cell><cell r="M491" t="str"><v>Tier 0</v></cell><cell r="N491" t="str"><v>North America</v></cell><cell r="O491" t="str"><v>United States</v></cell><cell r="P491" t="str"><v>Trial</v></cell><cell r="Q491" t="str"><v>Social</v></cell><cell r="R491" t="str"><v>Azure</v></cell><cell r="S491" t="str"><v>Apps & Infra</v></cell><cell r="T491" t="str"><v>Developers & ITI's</v></cell><cell r="U491" t="str"><v>USA-Trial-ITD-Groups Prospecting-AZR-AZR</v></cell><cell r="V491" t="str"><v>Prospecting</v></cell><cell r="W491" t="str"><v>Video Link ad</v></cell><cell r="X491" t="str"><v>1920x1080</v></cell><cell r="Y491" t="str"><v>Learn More</v></cell><cell r="Z491" t="str"><v>Animated Banner</v></cell><cell r="AA491"><v>43354</v></cell><cell r="AB491" t="str"><v>USA_gaPMG_AZR_AZR_Q1_19_Direct-Social</v></cell><cell r="AC491"><v>21358715</v></cell><cell r="AD491"><v>720197</v></cell><cell r="AE491" t="str"><v>Linkedin</v></cell><cell r="AF491"><v>3654329</v></cell><cell r="AG491" t="str"><v>LINKEDIN»USA-Trial-ITD-Groups Prospecting-AZR-AZR»1 x 1»SocialBan»VLA»ALL»CPA»PRO»D»All»SS»NA»FreeAcctDeveloperLI-AnimatedAI-Ch3»PS7BS4</v></cell><cell r="AH491"><v>226538582</v></cell><cell r="AI491" t="str"><v>AZR_FreeAcctDeveloperLI-AnimatedAI-Ch3_USA_1920x1080_VLA_Direct_EN_Trial_Standard_ANI_LEA_T3_1</v></cell><cell r="AJ491"><v>104593444</v></cell></row><row r="492"><cell r="D492" t="str"><v>43354226617961</v></cell><cell r="E492" t="str"><v>43354104593732PS7BS5</v></cell><cell r="F492" t="str"><v>DCM</v></cell></row><row r="492"><cell r="H492"><v>0</v></cell><cell r="I492" t="str"><v>Azure Direct</v></cell><cell r="J492" t="str"><v>Azure Direct</v></cell><cell r="K492" t="str"><v>September</v></cell><cell r="L492"><v>43358</v></cell><cell r="M492" t="str"><v>Tier 0</v></cell><cell r="N492" t="str"><v>North America</v></cell><cell r="O492" t="str"><v>United States</v></cell><cell r="P492" t="str"><v>Trial</v></cell><cell r="Q492" t="str"><v>Social</v></cell><cell r="R492" t="str"><v>Azure</v></cell><cell r="S492" t="str"><v>Apps & Infra</v></cell><cell r="T492" t="str"><v>Developers & ITI's</v></cell><cell r="U492" t="str"><v>USA-Trial-ITD-Groups Prospecting-AZR-AZR</v></cell><cell r="V492" t="str"><v>Prospecting</v></cell><cell r="W492" t="str"><v>Video Link ad</v></cell><cell r="X492" t="str"><v>1920x1080</v></cell><cell r="Y492" t="str"><v>Learn More</v></cell><cell r="Z492" t="str"><v>Animated Banner</v></cell><cell r="AA492"><v>43354</v></cell><cell r="AB492" t="str"><v>USA_gaPMG_AZR_AZR_Q1_19_Direct-Social</v></cell><cell r="AC492"><v>21358715</v></cell><cell r="AD492"><v>720197</v></cell><cell r="AE492" t="str"><v>Linkedin</v></cell><cell r="AF492"><v>3654329</v></cell><cell r="AG492" t="str"><v>LINKEDIN»USA-Trial-ITD-Groups Prospecting-AZR-AZR»1 x 1»SocialBan»VLA»ALL»CPA»PRO»D»All»SS»NA»FreeAcctDeveloperLI-AnimatedData-Ch4»PS7BS5</v></cell><cell r="AH492"><v>226617961</v></cell><cell r="AI492" t="str"><v>AZR_FreeAcctDeveloperLI-AnimatedData-Ch4_USA_1920x1080_VLA_Direct_EN_Trial_Standard_ANI_LEA_T4_1</v></cell><cell r="AJ492"><v>104593732</v></cell></row><row r="493"><cell r="D493" t="str"><v>43354226622884</v></cell><cell r="E493" t="str"><v>43354104595736PS7BRZ</v></cell><cell r="F493" t="str"><v>DCM</v></cell></row><row r="493"><cell r="H493"><v>0</v></cell><cell r="I493" t="str"><v>Azure Direct</v></cell><cell r="J493" t="str"><v>Azure Direct</v></cell><cell r="K493" t="str"><v>September</v></cell><cell r="L493"><v>43358</v></cell><cell r="M493" t="str"><v>Tier 0</v></cell><cell r="N493" t="str"><v>North America</v></cell><cell r="O493" t="str"><v>United States</v></cell><cell r="P493" t="str"><v>Trial</v></cell><cell r="Q493" t="str"><v>Social</v></cell><cell r="R493" t="str"><v>Azure</v></cell><cell r="S493" t="str"><v>Apps & Infra</v></cell><cell r="T493" t="str"><v>Developers & ITI's</v></cell><cell r="U493" t="str"><v>USA-Trial-ITD-Groups Prospecting-AZR-AZR</v></cell><cell r="V493" t="str"><v>Prospecting</v></cell><cell r="W493" t="str"><v>Video Link ad</v></cell><cell r="X493" t="str"><v>1920x1080</v></cell><cell r="Y493" t="str"><v>Learn More</v></cell><cell r="Z493" t="str"><v>Animated Banner</v></cell><cell r="AA493"><v>43354</v></cell><cell r="AB493" t="str"><v>USA_gaPMG_AZR_AZR_Q1_19_Direct-Social</v></cell><cell r="AC493"><v>21358715</v></cell><cell r="AD493"><v>720197</v></cell><cell r="AE493" t="str"><v>Linkedin</v></cell><cell r="AF493"><v>3654329</v></cell><cell r="AG493" t="str"><v>LINKEDIN»USA-Trial-ITD-Groups Prospecting-AZR-AZR»1 x 1»SocialBan»VLA»ALL»CPA»PRO»D»All»SS»NA»FreeAcctDeveloperLI-AnimatedGeneric-Ch1»PS7BRZ</v></cell><cell r="AH493"><v>226622884</v></cell><cell r="AI493" t="str"><v>AZR_FreeAcctDeveloperLI-AnimatedGeneric-Ch1_USA_1920x1080_VLA_Direct_EN_Trial_Standard_ANI_LEA_T1_1</v></cell><cell r="AJ493"><v>104595736</v></cell></row><row r="494"><cell r="D494" t="str"><v>43354226620961</v></cell><cell r="E494" t="str"><v>43354104595736PS7BS0</v></cell><cell r="F494" t="str"><v>DCM</v></cell></row><row r="494"><cell r="H494"><v>0</v></cell><cell r="I494" t="str"><v>Azure Direct</v></cell><cell r="J494" t="str"><v>Azure Direct</v></cell><cell r="K494" t="str"><v>September</v></cell><cell r="L494"><v>43358</v></cell><cell r="M494" t="str"><v>Tier 0</v></cell><cell r="N494" t="str"><v>North America</v></cell><cell r="O494" t="str"><v>United States</v></cell><cell r="P494" t="str"><v>Trial</v></cell><cell r="Q494" t="str"><v>Social</v></cell><cell r="R494" t="str"><v>Azure</v></cell><cell r="S494" t="str"><v>Apps & Infra</v></cell><cell r="T494" t="str"><v>Developers & ITI's</v></cell><cell r="U494" t="str"><v>USA-Trial-ITD-Groups Prospecting-AZR-AZR</v></cell><cell r="V494" t="str"><v>Prospecting</v></cell><cell r="W494" t="str"><v>Video Link ad</v></cell><cell r="X494" t="str"><v>1920x1080</v></cell><cell r="Y494" t="str"><v>Learn More</v></cell><cell r="Z494" t="str"><v>Animated Banner</v></cell><cell r="AA494"><v>43354</v></cell><cell r="AB494" t="str"><v>USA_gaPMG_AZR_AZR_Q1_19_Direct-Social</v></cell><cell r="AC494"><v>21358715</v></cell><cell r="AD494"><v>720197</v></cell><cell r="AE494" t="str"><v>Linkedin</v></cell><cell r="AF494"><v>3654329</v></cell><cell r="AG494" t="str"><v>LINKEDIN»USA-Trial-ITD-Groups Prospecting-AZR-AZR»1 x 1»SocialBan»VLA»ALL»CPA»PRO»D»All»SS»NA»FreeAcctDeveloperLI-AnimatedGeneric-Ch1»PS7BS0</v></cell><cell r="AH494"><v>226620961</v></cell><cell r="AI494" t="str"><v>AZR_FreeAcctDeveloperLI-AnimatedGeneric-Ch1_USA_1920x1080_VLA_Direct_EN_Trial_Standard_ANI_LEA_T1_1</v></cell><cell r="AJ494"><v>104595736</v></cell></row><row r="495"><cell r="D495" t="str"><v>43354226617649</v></cell><cell r="E495" t="str"><v>43354104671424PS7BS7</v></cell><cell r="F495" t="str"><v>DCM</v></cell></row><row r="495"><cell r="H495"><v>0</v></cell><cell r="I495" t="str"><v>Azure Direct</v></cell><cell r="J495" t="str"><v>Azure Direct</v></cell><cell r="K495" t="str"><v>September</v></cell><cell r="L495"><v>43358</v></cell><cell r="M495" t="str"><v>Tier 0</v></cell><cell r="N495" t="str"><v>North America</v></cell><cell r="O495" t="str"><v>United States</v></cell><cell r="P495" t="str"><v>Trial</v></cell><cell r="Q495" t="str"><v>Social</v></cell><cell r="R495" t="str"><v>Azure</v></cell><cell r="S495" t="str"><v>Apps & Infra</v></cell><cell r="T495" t="str"><v>Developers & ITI's</v></cell><cell r="U495" t="str"><v>USA-Trial-ITD-Groups Prospecting-AZR-AZR</v></cell><cell r="V495" t="str"><v>Prospecting</v></cell><cell r="W495" t="str"><v>Video Link ad</v></cell><cell r="X495" t="str"><v>1920x1080</v></cell><cell r="Y495" t="str"><v>Learn More</v></cell><cell r="Z495" t="str"><v>Animated Banner</v></cell><cell r="AA495"><v>43354</v></cell><cell r="AB495" t="str"><v>USA_gaPMG_AZR_AZR_Q1_19_Direct-Social</v></cell><cell r="AC495"><v>21358715</v></cell><cell r="AD495"><v>720197</v></cell><cell r="AE495" t="str"><v>Linkedin</v></cell><cell r="AF495"><v>3654329</v></cell><cell r="AG495" t="str"><v>LINKEDIN»USA-Trial-ITD-Groups Prospecting-AZR-AZR»1 x 1»SocialBan»VLA»ALL»CPA»PRO»D»All»SS»NA»FreeAcctITProLI-AnimatedHybrid-Ch2»PS7BS7</v></cell><cell r="AH495"><v>226617649</v></cell><cell r="AI495" t="str"><v>AZR_FreeAcctITProLI-AnimatedHybrid-Ch2_USA_1920x1080_VLA_Direct_EN_Trial_Standard_ANI_LEA_T2_1</v></cell><cell r="AJ495"><v>104671424</v></cell></row><row r="496"><cell r="D496" t="str"><v>43354226538576</v></cell><cell r="E496" t="str"><v>43354104592532PS7BS2</v></cell><cell r="F496" t="str"><v>DCM</v></cell></row><row r="496"><cell r="H496"><v>3</v></cell><cell r="I496" t="str"><v>Azure Direct</v></cell><cell r="J496" t="str"><v>Azure Direct</v></cell><cell r="K496" t="str"><v>September</v></cell><cell r="L496"><v>43358</v></cell><cell r="M496" t="str"><v>Tier 0</v></cell><cell r="N496" t="str"><v>North America</v></cell><cell r="O496" t="str"><v>United States</v></cell><cell r="P496" t="str"><v>Trial</v></cell><cell r="Q496" t="str"><v>Social</v></cell><cell r="R496" t="str"><v>Azure</v></cell><cell r="S496" t="str"><v>Apps & Infra</v></cell><cell r="T496" t="str"><v>Developers & ITI's</v></cell><cell r="U496" t="str"><v>USA-Trial-ITD-Groups Prospecting-AZR-AZR</v></cell><cell r="V496" t="str"><v>Prospecting</v></cell><cell r="W496" t="str"><v>Video Link ad</v></cell><cell r="X496" t="str"><v>1920x1080</v></cell><cell r="Y496" t="str"><v>Learn More</v></cell><cell r="Z496" t="str"><v>Animated Banner</v></cell><cell r="AA496"><v>43354</v></cell><cell r="AB496" t="str"><v>USA_gaPMG_AZR_AZR_Q1_19_Direct-Social</v></cell><cell r="AC496"><v>21358715</v></cell><cell r="AD496"><v>720197</v></cell><cell r="AE496" t="str"><v>Linkedin</v></cell><cell r="AF496"><v>3654329</v></cell><cell r="AG496" t="str"><v>LINKEDIN»USA-Trial-ITD-Groups Prospecting-AZR-AZR»1 x 1»SocialBan»VLA»ALL»CPA»PRO»D»All»SS»NA»FreeAcctITProLI-AnimatedMigration-Ch3»PS7BS2</v></cell><cell r="AH496"><v>226538576</v></cell><cell r="AI496" t="str"><v>AZR_FreeAcctITProLI-AnimatedMigration-Ch3_USA_1920x1080_VLA_Direct_EN_Trial_Standard_ANI_LEA_T3_1</v></cell><cell r="AJ496"><v>104592532</v></cell></row><row r="497"><cell r="D497" t="str"><v>43354226539371</v></cell><cell r="E497" t="str"><v>43354104593447PS7BS6</v></cell><cell r="F497" t="str"><v>DCM</v></cell></row><row r="497"><cell r="H497"><v>0</v></cell><cell r="I497" t="str"><v>Azure Direct</v></cell><cell r="J497" t="str"><v>Azure Direct</v></cell><cell r="K497" t="str"><v>September</v></cell><cell r="L497"><v>43358</v></cell><cell r="M497" t="str"><v>Tier 0</v></cell><cell r="N497" t="str"><v>North America</v></cell><cell r="O497" t="str"><v>United States</v></cell><cell r="P497" t="str"><v>Trial</v></cell><cell r="Q497" t="str"><v>Social</v></cell><cell r="R497" t="str"><v>Azure</v></cell><cell r="S497" t="str"><v>Apps & Infra</v></cell><cell r="T497" t="str"><v>Developers & ITI's</v></cell><cell r="U497" t="str"><v>USA-Trial-ITD-Groups Prospecting-AZR-AZR</v></cell><cell r="V497" t="str"><v>Prospecting</v></cell><cell r="W497" t="str"><v>Video Link ad</v></cell><cell r="X497" t="str"><v>1920x1080</v></cell><cell r="Y497" t="str"><v>Learn More</v></cell><cell r="Z497" t="str"><v>Animated Banner</v></cell><cell r="AA497"><v>43354</v></cell><cell r="AB497" t="str"><v>USA_gaPMG_AZR_AZR_Q1_19_Direct-Social</v></cell><cell r="AC497"><v>21358715</v></cell><cell r="AD497"><v>720197</v></cell><cell r="AE497" t="str"><v>Linkedin</v></cell><cell r="AF497"><v>3654329</v></cell><cell r="AG497" t="str"><v>LINKEDIN»USA-Trial-ITD-Groups Prospecting-AZR-AZR»1 x 1»SocialBan»VLA»ALL»CPA»PRO»D»All»SS»NA»FreeAcctITProLI-AnimatedSecureWellMngd-Ch1»PS7BS6</v></cell><cell r="AH497"><v>226539371</v></cell><cell r="AI497" t="str"><v>AZR_FreeAcctITProLI-AnimatedSecureWellMngd-Ch1_USA_1920x1080_VLA_Direct_EN_Trial_Standard_ANI_LEA_T1_1</v></cell><cell r="AJ497"><v>104593447</v></cell></row><row r="498"><cell r="D498" t="str"><v>43354226617946</v></cell><cell r="E498" t="str"><v>43354104593444PS7BSP</v></cell><cell r="F498" t="str"><v>DCM</v></cell></row><row r="498"><cell r="H498"><v>0</v></cell><cell r="I498" t="str"><v>Azure Direct</v></cell><cell r="J498" t="str"><v>Azure Direct</v></cell><cell r="K498" t="str"><v>September</v></cell><cell r="L498"><v>43358</v></cell><cell r="M498" t="str"><v>Tier 0</v></cell><cell r="N498" t="str"><v>North America</v></cell><cell r="O498" t="str"><v>United States</v></cell><cell r="P498" t="str"><v>Trial</v></cell><cell r="Q498" t="str"><v>Social</v></cell><cell r="R498" t="str"><v>Azure</v></cell><cell r="S498" t="str"><v>Apps & Infra</v></cell><cell r="T498" t="str"><v>Developers & ITI's</v></cell><cell r="U498" t="str"><v>USA-Trial-ITD-Job Functions Prospecting-AZR-AZR</v></cell><cell r="V498" t="str"><v>Prospecting</v></cell><cell r="W498" t="str"><v>Video Link ad</v></cell><cell r="X498" t="str"><v>1920x1080</v></cell><cell r="Y498" t="str"><v>Learn More</v></cell><cell r="Z498" t="str"><v>Animated Banner</v></cell><cell r="AA498"><v>43354</v></cell><cell r="AB498" t="str"><v>USA_gaPMG_AZR_AZR_Q1_19_Direct-Social</v></cell><cell r="AC498"><v>21358715</v></cell><cell r="AD498"><v>720197</v></cell><cell r="AE498" t="str"><v>Linkedin</v></cell><cell r="AF498"><v>3654329</v></cell><cell r="AG498" t="str"><v>LINKEDIN»USA-Trial-ITD-Job Functions Prospecting-AZR-AZR»1 x 1»SocialBan»VLA»ALL»CPA»PRO»D»All»SS»NA»FreeAcctDeveloperLI-AnimatedAI-Ch3»PS7BSP</v></cell><cell r="AH498"><v>226617946</v></cell><cell r="AI498" t="str"><v>AZR_FreeAcctDeveloperLI-AnimatedAI-Ch3_USA_1920x1080_VLA_Direct_EN_Trial_Standard_ANI_LEA_T3_1</v></cell><cell r="AJ498"><v>104593444</v></cell></row><row r="499"><cell r="D499" t="str"><v>43354226535264</v></cell><cell r="E499" t="str"><v>43354104593732PS7BSQ</v></cell><cell r="F499" t="str"><v>DCM</v></cell></row><row r="499"><cell r="H499"><v>0</v></cell><cell r="I499" t="str"><v>Azure Direct</v></cell><cell r="J499" t="str"><v>Azure Direct</v></cell><cell r="K499" t="str"><v>September</v></cell><cell r="L499"><v>43358</v></cell><cell r="M499" t="str"><v>Tier 0</v></cell><cell r="N499" t="str"><v>North America</v></cell><cell r="O499" t="str"><v>United States</v></cell><cell r="P499" t="str"><v>Trial</v></cell><cell r="Q499" t="str"><v>Social</v></cell><cell r="R499" t="str"><v>Azure</v></cell><cell r="S499" t="str"><v>Apps & Infra</v></cell><cell r="T499" t="str"><v>Developers & ITI's</v></cell><cell r="U499" t="str"><v>USA-Trial-ITD-Job Functions Prospecting-AZR-AZR</v></cell><cell r="V499" t="str"><v>Prospecting</v></cell><cell r="W499" t="str"><v>Video Link ad</v></cell><cell r="X499" t="str"><v>1920x1080</v></cell><cell r="Y499" t="str"><v>Learn More</v></cell><cell r="Z499" t="str"><v>Animated Banner</v></cell><cell r="AA499"><v>43354</v></cell><cell r="AB499" t="str"><v>USA_gaPMG_AZR_AZR_Q1_19_Direct-Social</v></cell><cell r="AC499"><v>21358715</v></cell><cell r="AD499"><v>720197</v></cell><cell r="AE499" t="str"><v>Linkedin</v></cell><cell r="AF499"><v>3654329</v></cell><cell r="AG499" t="str"><v>LINKEDIN»USA-Trial-ITD-Job Functions Prospecting-AZR-AZR»1 x 1»SocialBan»VLA»ALL»CPA»PRO»D»All»SS»NA»FreeAcctDeveloperLI-AnimatedData-Ch4»PS7BSQ</v></cell><cell r="AH499"><v>226535264</v></cell><cell r="AI499" t="str"><v>AZR_FreeAcctDeveloperLI-AnimatedData-Ch4_USA_1920x1080_VLA_Direct_EN_Trial_Standard_ANI_LEA_T4_1</v></cell><cell r="AJ499"><v>104593732</v></cell></row><row r="500"><cell r="D500" t="str"><v>43354226622875</v></cell><cell r="E500" t="str"><v>43354104595736PS7BSJ</v></cell><cell r="F500" t="str"><v>DCM</v></cell></row><row r="500"><cell r="H500"><v>0</v></cell><cell r="I500" t="str"><v>Azure Direct</v></cell><cell r="J500" t="str"><v>Azure Direct</v></cell><cell r="K500" t="str"><v>September</v></cell><cell r="L500"><v>43358</v></cell><cell r="M500" t="str"><v>Tier 0</v></cell><cell r="N500" t="str"><v>North America</v></cell><cell r="O500" t="str"><v>United States</v></cell><cell r="P500" t="str"><v>Trial</v></cell><cell r="Q500" t="str"><v>Social</v></cell><cell r="R500" t="str"><v>Azure</v></cell><cell r="S500" t="str"><v>Apps & Infra</v></cell><cell r="T500" t="str"><v>Developers & ITI's</v></cell><cell r="U500" t="str"><v>USA-Trial-ITD-Job Functions Prospecting-AZR-AZR</v></cell><cell r="V500" t="str"><v>Prospecting</v></cell><cell r="W500" t="str"><v>Video Link ad</v></cell><cell r="X500" t="str"><v>1920x1080</v></cell><cell r="Y500" t="str"><v>Learn More</v></cell><cell r="Z500" t="str"><v>Animated Banner</v></cell><cell r="AA500"><v>43354</v></cell><cell r="AB500" t="str"><v>USA_gaPMG_AZR_AZR_Q1_19_Direct-Social</v></cell><cell r="AC500"><v>21358715</v></cell><cell r="AD500"><v>720197</v></cell><cell r="AE500" t="str"><v>Linkedin</v></cell><cell r="AF500"><v>3654329</v></cell><cell r="AG500" t="str"><v>LINKEDIN»USA-Trial-ITD-Job Functions Prospecting-AZR-AZR»1 x 1»SocialBan»VLA»ALL»CPA»PRO»D»All»SS»NA»FreeAcctDeveloperLI-AnimatedGeneric-Ch1»PS7BSJ</v></cell><cell r="AH500"><v>226622875</v></cell><cell r="AI500" t="str"><v>AZR_FreeAcctDeveloperLI-AnimatedGeneric-Ch1_USA_1920x1080_VLA_Direct_EN_Trial_Standard_ANI_LEA_T1_1</v></cell><cell r="AJ500"><v>104595736</v></cell></row><row r="501"><cell r="D501" t="str"><v>43354226535270</v></cell><cell r="E501" t="str"><v>43354104595736PS7BSK</v></cell><cell r="F501" t="str"><v>DCM</v></cell></row><row r="501"><cell r="H501"><v>1</v></cell><cell r="I501" t="str"><v>Azure Direct</v></cell><cell r="J501" t="str"><v>Azure Direct</v></cell><cell r="K501" t="str"><v>September</v></cell><cell r="L501"><v>43358</v></cell><cell r="M501" t="str"><v>Tier 0</v></cell><cell r="N501" t="str"><v>North America</v></cell><cell r="O501" t="str"><v>United States</v></cell><cell r="P501" t="str"><v>Trial</v></cell><cell r="Q501" t="str"><v>Social</v></cell><cell r="R501" t="str"><v>Azure</v></cell><cell r="S501" t="str"><v>Apps & Infra</v></cell><cell r="T501" t="str"><v>Developers & ITI's</v></cell><cell r="U501" t="str"><v>USA-Trial-ITD-Job Functions Prospecting-AZR-AZR</v></cell><cell r="V501" t="str"><v>Prospecting</v></cell><cell r="W501" t="str"><v>Video Link ad</v></cell><cell r="X501" t="str"><v>1920x1080</v></cell><cell r="Y501" t="str"><v>Learn More</v></cell><cell r="Z501" t="str"><v>Animated Banner</v></cell><cell r="AA501"><v>43354</v></cell><cell r="AB501" t="str"><v>USA_gaPMG_AZR_AZR_Q1_19_Direct-Social</v></cell><cell r="AC501"><v>21358715</v></cell><cell r="AD501"><v>720197</v></cell><cell r="AE501" t="str"><v>Linkedin</v></cell><cell r="AF501"><v>3654329</v></cell><cell r="AG501" t="str"><v>LINKEDIN»USA-Trial-ITD-Job Functions Prospecting-AZR-AZR»1 x 1»SocialBan»VLA»ALL»CPA»PRO»D»All»SS»NA»FreeAcctDeveloperLI-AnimatedGeneric-Ch1»PS7BSK</v></cell><cell r="AH501"><v>226535270</v></cell><cell r="AI501" t="str"><v>AZR_FreeAcctDeveloperLI-AnimatedGeneric-Ch1_USA_1920x1080_VLA_Direct_EN_Trial_Standard_ANI_LEA_T1_1</v></cell><cell r="AJ501"><v>104595736</v></cell></row><row r="502"><cell r="D502" t="str"><v>43354226622866</v></cell><cell r="E502" t="str"><v>43354104671424PS7BSS</v></cell><cell r="F502" t="str"><v>DCM</v></cell></row><row r="502"><cell r="H502"><v>0</v></cell><cell r="I502" t="str"><v>Azure Direct</v></cell><cell r="J502" t="str"><v>Azure Direct</v></cell><cell r="K502" t="str"><v>September</v></cell><cell r="L502"><v>43358</v></cell><cell r="M502" t="str"><v>Tier 0</v></cell><cell r="N502" t="str"><v>North America</v></cell><cell r="O502" t="str"><v>United States</v></cell><cell r="P502" t="str"><v>Trial</v></cell><cell r="Q502" t="str"><v>Social</v></cell><cell r="R502" t="str"><v>Azure</v></cell><cell r="S502" t="str"><v>Apps & Infra</v></cell><cell r="T502" t="str"><v>Developers & ITI's</v></cell><cell r="U502" t="str"><v>USA-Trial-ITD-Job Functions Prospecting-AZR-AZR</v></cell><cell r="V502" t="str"><v>Prospecting</v></cell><cell r="W502" t="str"><v>Video Link ad</v></cell><cell r="X502" t="str"><v>1920x1080</v></cell><cell r="Y502" t="str"><v>Learn More</v></cell><cell r="Z502" t="str"><v>Animated Banner</v></cell><cell r="AA502"><v>43354</v></cell><cell r="AB502" t="str"><v>USA_gaPMG_AZR_AZR_Q1_19_Direct-Social</v></cell><cell r="AC502"><v>21358715</v></cell><cell r="AD502"><v>720197</v></cell><cell r="AE502" t="str"><v>Linkedin</v></cell><cell r="AF502"><v>3654329</v></cell><cell r="AG502" t="str"><v>LINKEDIN»USA-Trial-ITD-Job Functions Prospecting-AZR-AZR»1 x 1»SocialBan»VLA»ALL»CPA»PRO»D»All»SS»NA»FreeAcctITProLI-AnimatedHybrid-Ch2»PS7BSS</v></cell><cell r="AH502"><v>226622866</v></cell><cell r="AI502" t="str"><v>AZR_FreeAcctITProLI-AnimatedHybrid-Ch2_USA_1920x1080_VLA_Direct_EN_Trial_Standard_ANI_LEA_T2_1</v></cell><cell r="AJ502"><v>104671424</v></cell></row><row r="503"><cell r="D503" t="str"><v>43354226774326</v></cell><cell r="E503" t="str"><v>43354104592532PS7BSM</v></cell><cell r="F503" t="str"><v>DCM</v></cell></row><row r="503"><cell r="H503"><v>2</v></cell><cell r="I503" t="str"><v>Azure Direct</v></cell><cell r="J503" t="str"><v>Azure Direct</v></cell><cell r="K503" t="str"><v>September</v></cell><cell r="L503"><v>43358</v></cell><cell r="M503" t="str"><v>Tier 0</v></cell><cell r="N503" t="str"><v>North America</v></cell><cell r="O503" t="str"><v>United States</v></cell><cell r="P503" t="str"><v>Trial</v></cell><cell r="Q503" t="str"><v>Social</v></cell><cell r="R503" t="str"><v>Azure</v></cell><cell r="S503" t="str"><v>Apps & Infra</v></cell><cell r="T503" t="str"><v>Developers & ITI's</v></cell><cell r="U503" t="str"><v>USA-Trial-ITD-Job Functions Prospecting-AZR-AZR</v></cell><cell r="V503" t="str"><v>Prospecting</v></cell><cell r="W503" t="str"><v>Video Link ad</v></cell><cell r="X503" t="str"><v>1920x1080</v></cell><cell r="Y503" t="str"><v>Learn More</v></cell><cell r="Z503" t="str"><v>Animated Banner</v></cell><cell r="AA503"><v>43354</v></cell><cell r="AB503" t="str"><v>USA_gaPMG_AZR_AZR_Q1_19_Direct-Social</v></cell><cell r="AC503"><v>21358715</v></cell><cell r="AD503"><v>720197</v></cell><cell r="AE503" t="str"><v>Linkedin</v></cell><cell r="AF503"><v>3654329</v></cell><cell r="AG503" t="str"><v>LINKEDIN»USA-Trial-ITD-Job Functions Prospecting-AZR-AZR»1 x 1»SocialBan»VLA»ALL»CPA»PRO»D»All»SS»NA»FreeAcctITProLI-AnimatedMigration-Ch3»PS7BSM</v></cell><cell r="AH503"><v>226774326</v></cell><cell r="AI503" t="str"><v>AZR_FreeAcctITProLI-AnimatedMigration-Ch3_USA_1920x1080_VLA_Direct_EN_Trial_Standard_ANI_LEA_T3_1</v></cell><cell r="AJ503"><v>104592532</v></cell></row><row r="504"><cell r="D504" t="str"><v>43354226538552</v></cell><cell r="E504" t="str"><v>43354104593447PS7BSR</v></cell><cell r="F504" t="str"><v>DCM</v></cell></row><row r="504"><cell r="H504"><v>0</v></cell><cell r="I504" t="str"><v>Azure Direct</v></cell><cell r="J504" t="str"><v>Azure Direct</v></cell><cell r="K504" t="str"><v>September</v></cell><cell r="L504"><v>43358</v></cell><cell r="M504" t="str"><v>Tier 0</v></cell><cell r="N504" t="str"><v>North America</v></cell><cell r="O504" t="str"><v>United States</v></cell><cell r="P504" t="str"><v>Trial</v></cell><cell r="Q504" t="str"><v>Social</v></cell><cell r="R504" t="str"><v>Azure</v></cell><cell r="S504" t="str"><v>Apps & Infra</v></cell><cell r="T504" t="str"><v>Developers & ITI's</v></cell><cell r="U504" t="str"><v>USA-Trial-ITD-Job Functions Prospecting-AZR-AZR</v></cell><cell r="V504" t="str"><v>Prospecting</v></cell><cell r="W504" t="str"><v>Video Link ad</v></cell><cell r="X504" t="str"><v>1920x1080</v></cell><cell r="Y504" t="str"><v>Learn More</v></cell><cell r="Z504" t="str"><v>Animated Banner</v></cell><cell r="AA504"><v>43354</v></cell><cell r="AB504" t="str"><v>USA_gaPMG_AZR_AZR_Q1_19_Direct-Social</v></cell><cell r="AC504"><v>21358715</v></cell><cell r="AD504"><v>720197</v></cell><cell r="AE504" t="str"><v>Linkedin</v></cell><cell r="AF504"><v>3654329</v></cell><cell r="AG504" t="str"><v>LINKEDIN»USA-Trial-ITD-Job Functions Prospecting-AZR-AZR»1 x 1»SocialBan»VLA»ALL»CPA»PRO»D»All»SS»NA»FreeAcctITProLI-AnimatedSecureWellMngd-Ch1»PS7BSR</v></cell><cell r="AH504"><v>226538552</v></cell><cell r="AI504" t="str"><v>AZR_FreeAcctITProLI-AnimatedSecureWellMngd-Ch1_USA_1920x1080_VLA_Direct_EN_Trial_Standard_ANI_LEA_T1_1</v></cell><cell r="AJ504"><v>104593447</v></cell></row><row r="505"><cell r="D505" t="str"><v>43354226774233</v></cell><cell r="E505" t="str"><v>43354104593723PS7B68</v></cell><cell r="F505" t="str"><v>DCM</v></cell></row><row r="505"><cell r="H505"><v>0</v></cell><cell r="I505" t="str"><v>Azure Direct</v></cell><cell r="J505" t="str"><v>Azure Direct</v></cell><cell r="K505" t="str"><v>September</v></cell><cell r="L505"><v>43358</v></cell><cell r="M505" t="str"><v>Tier 0</v></cell><cell r="N505" t="str"><v>North America</v></cell><cell r="O505" t="str"><v>United States</v></cell><cell r="P505" t="str"><v>Trial</v></cell><cell r="Q505" t="str"><v>Social</v></cell><cell r="R505" t="str"><v>Azure</v></cell><cell r="S505" t="str"><v>Apps & Infra</v></cell><cell r="T505" t="str"><v>Developers & ITI's</v></cell><cell r="U505" t="str"><v>USA-Trial-ITD-Job Titles Prospecting-AZR-AZR</v></cell><cell r="V505" t="str"><v>Prospecting</v></cell><cell r="W505" t="str"><v>Link Ad</v></cell><cell r="X505" t="str"><v>1200x627</v></cell><cell r="Y505" t="str"><v>Sign Up</v></cell><cell r="Z505" t="str"><v>Not Applicable</v></cell><cell r="AA505"><v>43354</v></cell><cell r="AB505" t="str"><v>USA_gaPMG_AZR_AZR_Q1_19_Direct-Social</v></cell><cell r="AC505"><v>21358715</v></cell><cell r="AD505"><v>720197</v></cell><cell r="AE505" t="str"><v>Linkedin</v></cell><cell r="AF505"><v>3654329</v></cell><cell r="AG505" t="str"><v>LINKEDIN»USA-Trial-ITD-Job Titles Prospecting-AZR-AZR»1 x 1»SocialBan»LIA»ALL»CPA»PRO»D»All»SS»NA»FreeAcctRetargetingLI-GlobalAlt-ChB»PS7B68</v></cell><cell r="AH505"><v>226774233</v></cell><cell r="AI505" t="str"><v>AZR_FreeAcctRetargetingLI-GlobalAlt-ChB_USA_1200x627_LIA_Plat_English_Free Account_Standard_NA_SINU_T2_1</v></cell><cell r="AJ505"><v>104593723</v></cell></row><row r="506"><cell r="D506" t="str"><v>43354226536077</v></cell><cell r="E506" t="str"><v>43354104593435PS7BVM</v></cell><cell r="F506" t="str"><v>DCM</v></cell></row><row r="506"><cell r="H506"><v>0</v></cell><cell r="I506" t="str"><v>Azure Direct</v></cell><cell r="J506" t="str"><v>Azure Direct</v></cell><cell r="K506" t="str"><v>September</v></cell><cell r="L506"><v>43358</v></cell><cell r="M506" t="str"><v>Tier 0</v></cell><cell r="N506" t="str"><v>North America</v></cell><cell r="O506" t="str"><v>United States</v></cell><cell r="P506" t="str"><v>Trial</v></cell><cell r="Q506" t="str"><v>Social</v></cell><cell r="R506" t="str"><v>Azure</v></cell><cell r="S506" t="str"><v>Apps & Infra</v></cell><cell r="T506" t="str"><v>Developers & ITI's</v></cell><cell r="U506" t="str"><v>USA-Trial-ITD-Website Retargeting-AZR-AZR</v></cell><cell r="V506" t="str"><v>Retargeting</v></cell><cell r="W506" t="str"><v>Link Ad</v></cell><cell r="X506" t="str"><v>1200x627</v></cell><cell r="Y506" t="str"><v>Sign Up</v></cell><cell r="Z506" t="str"><v>Not Applicable</v></cell><cell r="AA506"><v>43354</v></cell><cell r="AB506" t="str"><v>USA_gaPMG_AZR_AZR_Q1_19_Direct-Social</v></cell><cell r="AC506"><v>21358715</v></cell><cell r="AD506"><v>720197</v></cell><cell r="AE506" t="str"><v>Linkedin</v></cell><cell r="AF506"><v>3654329</v></cell><cell r="AG506" t="str"><v>LINKEDIN»USA-Trial-ITD-Website Retargeting-AZR-AZR»1 x 1»SocialBan»LIA»ALL»CPA»RT»D»All»SS»NA»FreeAcctRetargetingLI-Credit-ChA»PS7BVM</v></cell><cell r="AH506"><v>226536077</v></cell><cell r="AI506" t="str"><v>AZR_FreeAcctRetargetingLI-Credit-ChA_USA_1200x627_LIA_Plat_English_Free Account_Standard_NA_SINU_T1_1</v></cell><cell r="AJ506"><v>104593435</v></cell></row><row r="507"><cell r="D507" t="str"><v>43354226537496</v></cell><cell r="E507" t="str"><v>43354104593723PS7BVR</v></cell><cell r="F507" t="str"><v>DCM</v></cell></row><row r="507"><cell r="H507"><v>6</v></cell><cell r="I507" t="str"><v>Azure Direct</v></cell><cell r="J507" t="str"><v>Azure Direct</v></cell><cell r="K507" t="str"><v>September</v></cell><cell r="L507"><v>43358</v></cell><cell r="M507" t="str"><v>Tier 0</v></cell><cell r="N507" t="str"><v>North America</v></cell><cell r="O507" t="str"><v>United States</v></cell><cell r="P507" t="str"><v>Trial</v></cell><cell r="Q507" t="str"><v>Social</v></cell><cell r="R507" t="str"><v>Azure</v></cell><cell r="S507" t="str"><v>Apps & Infra</v></cell><cell r="T507" t="str"><v>Developers & ITI's</v></cell><cell r="U507" t="str"><v>USA-Trial-ITD-Website Retargeting-AZR-AZR</v></cell><cell r="V507" t="str"><v>Retargeting</v></cell><cell r="W507" t="str"><v>Link Ad</v></cell><cell r="X507" t="str"><v>1200x627</v></cell><cell r="Y507" t="str"><v>Sign Up</v></cell><cell r="Z507" t="str"><v>Not Applicable</v></cell><cell r="AA507"><v>43354</v></cell><cell r="AB507" t="str"><v>USA_gaPMG_AZR_AZR_Q1_19_Direct-Social</v></cell><cell r="AC507"><v>21358715</v></cell><cell r="AD507"><v>720197</v></cell><cell r="AE507" t="str"><v>Linkedin</v></cell><cell r="AF507"><v>3654329</v></cell><cell r="AG507" t="str"><v>LINKEDIN»USA-Trial-ITD-Website Retargeting-AZR-AZR»1 x 1»SocialBan»LIA»ALL»CPA»RT»D»All»SS»NA»FreeAcctRetargetingLI-GlobalAlt-ChB»PS7BVR</v></cell><cell r="AH507"><v>226537496</v></cell><cell r="AI507" t="str"><v>AZR_FreeAcctRetargetingLI-GlobalAlt-ChB_USA_1200x627_LIA_Plat_English_Free Account_Standard_NA_SINU_T2_1</v></cell><cell r="AJ507"><v>104593723</v></cell></row><row r="508"><cell r="D508" t="str"><v>43354226537529</v></cell><cell r="E508" t="str"><v>43354104671415PS7BVJ</v></cell><cell r="F508" t="str"><v>DCM</v></cell></row><row r="508"><cell r="H508"><v>13</v></cell><cell r="I508" t="str"><v>Azure Direct</v></cell><cell r="J508" t="str"><v>Azure Direct</v></cell><cell r="K508" t="str"><v>September</v></cell><cell r="L508"><v>43358</v></cell><cell r="M508" t="str"><v>Tier 0</v></cell><cell r="N508" t="str"><v>North America</v></cell><cell r="O508" t="str"><v>United States</v></cell><cell r="P508" t="str"><v>Trial</v></cell><cell r="Q508" t="str"><v>Social</v></cell><cell r="R508" t="str"><v>Azure</v></cell><cell r="S508" t="str"><v>Apps & Infra</v></cell><cell r="T508" t="str"><v>Developers & ITI's</v></cell><cell r="U508" t="str"><v>USA-Trial-ITD-Website Retargeting-AZR-AZR</v></cell><cell r="V508" t="str"><v>Retargeting</v></cell><cell r="W508" t="str"><v>Link Ad</v></cell><cell r="X508" t="str"><v>1200x627</v></cell><cell r="Y508" t="str"><v>Sign Up</v></cell><cell r="Z508" t="str"><v>Not Applicable</v></cell><cell r="AA508"><v>43354</v></cell><cell r="AB508" t="str"><v>USA_gaPMG_AZR_AZR_Q1_19_Direct-Social</v></cell><cell r="AC508"><v>21358715</v></cell><cell r="AD508"><v>720197</v></cell><cell r="AE508" t="str"><v>Linkedin</v></cell><cell r="AF508"><v>3654329</v></cell><cell r="AG508" t="str"><v>LINKEDIN»USA-Trial-ITD-Website Retargeting-AZR-AZR»1 x 1»SocialBan»LIA»ALL»CPA»RT»D»All»SS»NA»FreeAcctRetargetingVMLI-750Hrs-ChD»PS7BVJ</v></cell><cell r="AH508"><v>226537529</v></cell><cell r="AI508" t="str"><v>AZR_FreeAcctRetargetingVMLI-750Hrs-ChD_USA_1200x627_LIA_Plat_English_Free Account_Standard_NA_SINU_T1_1</v></cell><cell r="AJ508"><v>104671415</v></cell></row><row r="509"><cell r="D509" t="str"><v>43354226537532</v></cell><cell r="E509" t="str"><v>43354104592529PS7BVK</v></cell><cell r="F509" t="str"><v>DCM</v></cell></row><row r="509"><cell r="H509"><v>0</v></cell><cell r="I509" t="str"><v>Azure Direct</v></cell><cell r="J509" t="str"><v>Azure Direct</v></cell><cell r="K509" t="str"><v>September</v></cell><cell r="L509"><v>43358</v></cell><cell r="M509" t="str"><v>Tier 0</v></cell><cell r="N509" t="str"><v>North America</v></cell><cell r="O509" t="str"><v>United States</v></cell><cell r="P509" t="str"><v>Trial</v></cell><cell r="Q509" t="str"><v>Social</v></cell><cell r="R509" t="str"><v>Azure</v></cell><cell r="S509" t="str"><v>Apps & Infra</v></cell><cell r="T509" t="str"><v>Developers & ITI's</v></cell><cell r="U509" t="str"><v>USA-Trial-ITD-Website Retargeting-AZR-AZR</v></cell><cell r="V509" t="str"><v>Retargeting</v></cell><cell r="W509" t="str"><v>Link Ad</v></cell><cell r="X509" t="str"><v>1200x627</v></cell><cell r="Y509" t="str"><v>Sign Up</v></cell><cell r="Z509" t="str"><v>Not Applicable</v></cell><cell r="AA509"><v>43354</v></cell><cell r="AB509" t="str"><v>USA_gaPMG_AZR_AZR_Q1_19_Direct-Social</v></cell><cell r="AC509"><v>21358715</v></cell><cell r="AD509"><v>720197</v></cell><cell r="AE509" t="str"><v>Linkedin</v></cell><cell r="AF509"><v>3654329</v></cell><cell r="AG509" t="str"><v>LINKEDIN»USA-Trial-ITD-Website Retargeting-AZR-AZR»1 x 1»SocialBan»LIA»ALL»CPA»RT»D»All»SS»NA»FreeAcctRetargetingVMLI-OnDemand-ChE»PS7BVK</v></cell><cell r="AH509"><v>226537532</v></cell><cell r="AI509" t="str"><v>AZR_FreeAcctRetargetingVMLI-OnDemand-ChE_USA_1200x627_LIA_Plat_English_Free Account_Standard_NA_SINU_T2_1</v></cell><cell r="AJ509"><v>104592529</v></cell></row><row r="510"><cell r="D510" t="str"><v>43354226774218</v></cell><cell r="E510" t="str"><v>43354104593444PS7BVV</v></cell><cell r="F510" t="str"><v>DCM</v></cell></row><row r="510"><cell r="H510"><v>12</v></cell><cell r="I510" t="str"><v>Azure Direct</v></cell><cell r="J510" t="str"><v>Azure Direct</v></cell><cell r="K510" t="str"><v>September</v></cell><cell r="L510"><v>43358</v></cell><cell r="M510" t="str"><v>Tier 0</v></cell><cell r="N510" t="str"><v>North America</v></cell><cell r="O510" t="str"><v>United States</v></cell><cell r="P510" t="str"><v>Trial</v></cell><cell r="Q510" t="str"><v>Social</v></cell><cell r="R510" t="str"><v>Azure</v></cell><cell r="S510" t="str"><v>Apps & Infra</v></cell><cell r="T510" t="str"><v>Developers & ITI's</v></cell><cell r="U510" t="str"><v>USA-Trial-ITD-Website Retargeting-AZR-AZR</v></cell><cell r="V510" t="str"><v>Retargeting</v></cell><cell r="W510" t="str"><v>Video Link ad</v></cell><cell r="X510" t="str"><v>1920x1080</v></cell><cell r="Y510" t="str"><v>Learn More</v></cell><cell r="Z510" t="str"><v>Animated Banner</v></cell><cell r="AA510"><v>43354</v></cell><cell r="AB510" t="str"><v>USA_gaPMG_AZR_AZR_Q1_19_Direct-Social</v></cell><cell r="AC510"><v>21358715</v></cell><cell r="AD510"><v>720197</v></cell><cell r="AE510" t="str"><v>Linkedin</v></cell><cell r="AF510"><v>3654329</v></cell><cell r="AG510" t="str"><v>LINKEDIN»USA-Trial-ITD-Website Retargeting-AZR-AZR»1 x 1»SocialBan»VLA»ALL»CPA»RT»D»All»SS»NA»FreeAcctDeveloperLI-AnimatedAI-Ch3»PS7BVV</v></cell><cell r="AH510"><v>226774218</v></cell><cell r="AI510" t="str"><v>AZR_FreeAcctDeveloperLI-AnimatedAI-Ch3_USA_1920x1080_VLA_Direct_EN_Trial_Standard_ANI_LEA_T3_1</v></cell><cell r="AJ510"><v>104593444</v></cell></row><row r="511"><cell r="D511" t="str"><v>43354226620835</v></cell><cell r="E511" t="str"><v>43354104593732PS7BVW</v></cell><cell r="F511" t="str"><v>DCM</v></cell></row><row r="511"><cell r="H511"><v>1</v></cell><cell r="I511" t="str"><v>Azure Direct</v></cell><cell r="J511" t="str"><v>Azure Direct</v></cell><cell r="K511" t="str"><v>September</v></cell><cell r="L511"><v>43358</v></cell><cell r="M511" t="str"><v>Tier 0</v></cell><cell r="N511" t="str"><v>North America</v></cell><cell r="O511" t="str"><v>United States</v></cell><cell r="P511" t="str"><v>Trial</v></cell><cell r="Q511" t="str"><v>Social</v></cell><cell r="R511" t="str"><v>Azure</v></cell><cell r="S511" t="str"><v>Apps & Infra</v></cell><cell r="T511" t="str"><v>Developers & ITI's</v></cell><cell r="U511" t="str"><v>USA-Trial-ITD-Website Retargeting-AZR-AZR</v></cell><cell r="V511" t="str"><v>Retargeting</v></cell><cell r="W511" t="str"><v>Video Link ad</v></cell><cell r="X511" t="str"><v>1920x1080</v></cell><cell r="Y511" t="str"><v>Learn More</v></cell><cell r="Z511" t="str"><v>Animated Banner</v></cell><cell r="AA511"><v>43354</v></cell><cell r="AB511" t="str"><v>USA_gaPMG_AZR_AZR_Q1_19_Direct-Social</v></cell><cell r="AC511"><v>21358715</v></cell><cell r="AD511"><v>720197</v></cell><cell r="AE511" t="str"><v>Linkedin</v></cell><cell r="AF511"><v>3654329</v></cell><cell r="AG511" t="str"><v>LINKEDIN»USA-Trial-ITD-Website Retargeting-AZR-AZR»1 x 1»SocialBan»VLA»ALL»CPA»RT»D»All»SS»NA»FreeAcctDeveloperLI-AnimatedData-Ch4»PS7BVW</v></cell><cell r="AH511"><v>226620835</v></cell><cell r="AI511" t="str"><v>AZR_FreeAcctDeveloperLI-AnimatedData-Ch4_USA_1920x1080_VLA_Direct_EN_Trial_Standard_ANI_LEA_T4_1</v></cell><cell r="AJ511"><v>104593732</v></cell></row><row r="512"><cell r="D512" t="str"><v>43354226536080</v></cell><cell r="E512" t="str"><v>43354104595736PS7BVP</v></cell><cell r="F512" t="str"><v>DCM</v></cell></row><row r="512"><cell r="H512"><v>0</v></cell><cell r="I512" t="str"><v>Azure Direct</v></cell><cell r="J512" t="str"><v>Azure Direct</v></cell><cell r="K512" t="str"><v>September</v></cell><cell r="L512"><v>43358</v></cell><cell r="M512" t="str"><v>Tier 0</v></cell><cell r="N512" t="str"><v>North America</v></cell><cell r="O512" t="str"><v>United States</v></cell><cell r="P512" t="str"><v>Trial</v></cell><cell r="Q512" t="str"><v>Social</v></cell><cell r="R512" t="str"><v>Azure</v></cell><cell r="S512" t="str"><v>Apps & Infra</v></cell><cell r="T512" t="str"><v>Developers & ITI's</v></cell><cell r="U512" t="str"><v>USA-Trial-ITD-Website Retargeting-AZR-AZR</v></cell><cell r="V512" t="str"><v>Retargeting</v></cell><cell r="W512" t="str"><v>Video Link ad</v></cell><cell r="X512" t="str"><v>1920x1080</v></cell><cell r="Y512" t="str"><v>Learn More</v></cell><cell r="Z512" t="str"><v>Animated Banner</v></cell><cell r="AA512"><v>43354</v></cell><cell r="AB512" t="str"><v>USA_gaPMG_AZR_AZR_Q1_19_Direct-Social</v></cell><cell r="AC512"><v>21358715</v></cell><cell r="AD512"><v>720197</v></cell><cell r="AE512" t="str"><v>Linkedin</v></cell><cell r="AF512"><v>3654329</v></cell><cell r="AG512" t="str"><v>LINKEDIN»USA-Trial-ITD-Website Retargeting-AZR-AZR»1 x 1»SocialBan»VLA»ALL»CPA»RT»D»All»SS»NA»FreeAcctDeveloperLI-AnimatedGeneric-Ch1»PS7BVP</v></cell><cell r="AH512"><v>226536080</v></cell><cell r="AI512" t="str"><v>AZR_FreeAcctDeveloperLI-AnimatedGeneric-Ch1_USA_1920x1080_VLA_Direct_EN_Trial_Standard_ANI_LEA_T1_1</v></cell><cell r="AJ512"><v>104595736</v></cell></row><row r="513"><cell r="D513" t="str"><v>43354226774221</v></cell><cell r="E513" t="str"><v>43354104671424PS7BVY</v></cell><cell r="F513" t="str"><v>DCM</v></cell></row><row r="513"><cell r="H513"><v>0</v></cell><cell r="I513" t="str"><v>Azure Direct</v></cell><cell r="J513" t="str"><v>Azure Direct</v></cell><cell r="K513" t="str"><v>September</v></cell><cell r="L513"><v>43358</v></cell><cell r="M513" t="str"><v>Tier 0</v></cell><cell r="N513" t="str"><v>North America</v></cell><cell r="O513" t="str"><v>United States</v></cell><cell r="P513" t="str"><v>Trial</v></cell><cell r="Q513" t="str"><v>Social</v></cell><cell r="R513" t="str"><v>Azure</v></cell><cell r="S513" t="str"><v>Apps & Infra</v></cell><cell r="T513" t="str"><v>Developers & ITI's</v></cell><cell r="U513" t="str"><v>USA-Trial-ITD-Website Retargeting-AZR-AZR</v></cell><cell r="V513" t="str"><v>Retargeting</v></cell><cell r="W513" t="str"><v>Video Link ad</v></cell><cell r="X513" t="str"><v>1920x1080</v></cell><cell r="Y513" t="str"><v>Learn More</v></cell><cell r="Z513" t="str"><v>Animated Banner</v></cell><cell r="AA513"><v>43354</v></cell><cell r="AB513" t="str"><v>USA_gaPMG_AZR_AZR_Q1_19_Direct-Social</v></cell><cell r="AC513"><v>21358715</v></cell><cell r="AD513"><v>720197</v></cell><cell r="AE513" t="str"><v>Linkedin</v></cell><cell r="AF513"><v>3654329</v></cell><cell r="AG513" t="str"><v>LINKEDIN»USA-Trial-ITD-Website Retargeting-AZR-AZR»1 x 1»SocialBan»VLA»ALL»CPA»RT»D»All»SS»NA»FreeAcctITProLI-AnimatedHybrid-Ch2»PS7BVY</v></cell><cell r="AH513"><v>226774221</v></cell><cell r="AI513" t="str"><v>AZR_FreeAcctITProLI-AnimatedHybrid-Ch2_USA_1920x1080_VLA_Direct_EN_Trial_Standard_ANI_LEA_T2_1</v></cell><cell r="AJ513"><v>104671424</v></cell></row><row r="514"><cell r="D514" t="str"><v>43354226537511</v></cell><cell r="E514" t="str"><v>43354104593447PS7BVX</v></cell><cell r="F514" t="str"><v>DCM</v></cell></row><row r="514"><cell r="H514"><v>0</v></cell><cell r="I514" t="str"><v>Azure Direct</v></cell><cell r="J514" t="str"><v>Azure Direct</v></cell><cell r="K514" t="str"><v>September</v></cell><cell r="L514"><v>43358</v></cell><cell r="M514" t="str"><v>Tier 0</v></cell><cell r="N514" t="str"><v>North America</v></cell><cell r="O514" t="str"><v>United States</v></cell><cell r="P514" t="str"><v>Trial</v></cell><cell r="Q514" t="str"><v>Social</v></cell><cell r="R514" t="str"><v>Azure</v></cell><cell r="S514" t="str"><v>Apps & Infra</v></cell><cell r="T514" t="str"><v>Developers & ITI's</v></cell><cell r="U514" t="str"><v>USA-Trial-ITD-Website Retargeting-AZR-AZR</v></cell><cell r="V514" t="str"><v>Retargeting</v></cell><cell r="W514" t="str"><v>Video Link ad</v></cell><cell r="X514" t="str"><v>1920x1080</v></cell><cell r="Y514" t="str"><v>Learn More</v></cell><cell r="Z514" t="str"><v>Animated Banner</v></cell><cell r="AA514"><v>43354</v></cell><cell r="AB514" t="str"><v>USA_gaPMG_AZR_AZR_Q1_19_Direct-Social</v></cell><cell r="AC514"><v>21358715</v></cell><cell r="AD514"><v>720197</v></cell><cell r="AE514" t="str"><v>Linkedin</v></cell><cell r="AF514"><v>3654329</v></cell><cell r="AG514" t="str"><v>LINKEDIN»USA-Trial-ITD-Website Retargeting-AZR-AZR»1 x 1»SocialBan»VLA»ALL»CPA»RT»D»All»SS»NA»FreeAcctITProLI-AnimatedSecureWellMngd-Ch1»PS7BVX</v></cell><cell r="AH514"><v>226537511</v></cell><cell r="AI514" t="str"><v>AZR_FreeAcctITProLI-AnimatedSecureWellMngd-Ch1_USA_1920x1080_VLA_Direct_EN_Trial_Standard_ANI_LEA_T1_1</v></cell><cell r="AJ514"><v>104593447</v></cell></row><row r="515"><cell r="D515" t="str"><v>43354226537493</v></cell><cell r="E515" t="str"><v>43354104595736PS7BVQ</v></cell><cell r="F515" t="str"><v>DCM</v></cell></row><row r="515"><cell r="H515"><v>0</v></cell><cell r="I515" t="str"><v>Azure Direct</v></cell><cell r="J515" t="str"><v>Azure Direct</v></cell><cell r="K515" t="str"><v>September</v></cell><cell r="L515"><v>43358</v></cell><cell r="M515" t="str"><v>Tier 0</v></cell><cell r="N515" t="str"><v>North America</v></cell><cell r="O515" t="str"><v>United States</v></cell><cell r="P515" t="str"><v>Trial</v></cell><cell r="Q515" t="str"><v>Social</v></cell><cell r="R515" t="str"><v>Azure</v></cell><cell r="S515" t="str"><v>Apps & Infra</v></cell><cell r="T515" t="str"><v>Developers & ITI's</v></cell><cell r="U515" t="str"><v>USA-Trial-ITD-Website Retargeting-AZR-AZR</v></cell><cell r="V515" t="str"><v>Retargeting</v></cell><cell r="W515" t="str"><v>Video Link ad</v></cell><cell r="X515" t="str"><v>1920x1080</v></cell><cell r="Y515" t="str"><v>Learn More</v></cell><cell r="Z515" t="str"><v>Animated Banner</v></cell><cell r="AA515"><v>43354</v></cell><cell r="AB515" t="str"><v>USA_gaPMG_AZR_AZR_Q1_19_Direct-Social</v></cell><cell r="AC515"><v>21358715</v></cell><cell r="AD515"><v>720197</v></cell><cell r="AE515" t="str"><v>Linkedin</v></cell><cell r="AF515"><v>3654329</v></cell><cell r="AG515" t="str"><v>LINKEDIN»USA-Trial-ITD-Website Retargeting-AZR-AZR»1 x 1»SocialBan»VLA»ALL»CPA»RT»D»All»SS»NA»FreeAcctDeveloperLI-AnimatedGeneric-Ch1»PS7BVQ</v></cell><cell r="AH515"><v>226537493</v></cell><cell r="AI515" t="str"><v>AZR_FreeAcctDeveloperLI-AnimatedGeneric-Ch1_USA_1920x1080_VLA_Direct_EN_Trial_Standard_ANI_LEA_T1_1</v></cell><cell r="AJ515"><v>104595736</v></cell></row><row r="516"><cell r="D516" t="str"><v>43354226786140</v></cell><cell r="E516" t="str"><v>43354104592532PS7BVS</v></cell><cell r="F516" t="str"><v>DCM</v></cell></row><row r="516"><cell r="H516"><v>0</v></cell><cell r="I516" t="str"><v>Azure Direct</v></cell><cell r="J516" t="str"><v>Azure Direct</v></cell><cell r="K516" t="str"><v>September</v></cell><cell r="L516"><v>43358</v></cell><cell r="M516" t="str"><v>Tier 0</v></cell><cell r="N516" t="str"><v>North America</v></cell><cell r="O516" t="str"><v>United States</v></cell><cell r="P516" t="str"><v>Trial</v></cell><cell r="Q516" t="str"><v>Social</v></cell><cell r="R516" t="str"><v>Azure</v></cell><cell r="S516" t="str"><v>Apps & Infra</v></cell><cell r="T516" t="str"><v>Developers & ITI's</v></cell><cell r="U516" t="str"><v>USA-Trial-ITD-Website Retargeting-AZR-AZR</v></cell><cell r="V516" t="str"><v>Retargeting</v></cell><cell r="W516" t="str"><v>Video Link ad</v></cell><cell r="X516" t="str"><v>1920x1080</v></cell><cell r="Y516" t="str"><v>Learn More</v></cell><cell r="Z516" t="str"><v>Animated Banner</v></cell><cell r="AA516"><v>43354</v></cell><cell r="AB516" t="str"><v>USA_gaPMG_AZR_AZR_Q1_19_Direct-Social</v></cell><cell r="AC516"><v>21358715</v></cell><cell r="AD516"><v>720197</v></cell><cell r="AE516" t="str"><v>Linkedin</v></cell><cell r="AF516"><v>3654329</v></cell><cell r="AG516" t="str"><v>LINKEDIN»USA-Trial-ITD-Website Retargeting-AZR-AZR»1 x 1»SocialBan»VLA»ALL»CPA»RT»D»All»SS»NA»FreeAcctITProLI-AnimatedMigration-Ch3»PS7BVS</v></cell><cell r="AH516"><v>226786140</v></cell><cell r="AI516" t="str"><v>AZR_FreeAcctITProLI-AnimatedMigration-Ch3_USA_1920x1080_VLA_Direct_EN_Trial_Standard_ANI_LEA_T3_1</v></cell><cell r="AJ516"><v>104592532</v></cell></row><row r="517"><cell r="D517" t="str"><v>43354226786167</v></cell><cell r="E517" t="str"><v>43354104592532PS7BV7</v></cell><cell r="F517" t="str"><v>DCM</v></cell></row><row r="517"><cell r="H517"><v>1</v></cell><cell r="I517" t="str"><v>Azure Direct</v></cell><cell r="J517" t="str"><v>Azure Direct</v></cell><cell r="K517" t="str"><v>September</v></cell><cell r="L517"><v>43358</v></cell><cell r="M517" t="str"><v>Tier 0</v></cell><cell r="N517" t="str"><v>North America</v></cell><cell r="O517" t="str"><v>United States</v></cell><cell r="P517" t="str"><v>Trial</v></cell><cell r="Q517" t="str"><v>Social</v></cell><cell r="R517" t="str"><v>Azure</v></cell><cell r="S517" t="str"><v>Apps & Infra</v></cell><cell r="T517" t="str"><v>Developers & ITI's</v></cell><cell r="U517" t="str"><v>USA-Trial-ITD-Skills Prospecting-AZR-AZR</v></cell><cell r="V517" t="str"><v>Prospecting</v></cell><cell r="W517" t="str"><v>Video Link ad</v></cell><cell r="X517" t="str"><v>1920x1080</v></cell><cell r="Y517" t="str"><v>Learn More</v></cell><cell r="Z517" t="str"><v>Animated Banner</v></cell><cell r="AA517"><v>43354</v></cell><cell r="AB517" t="str"><v>USA_gaPMG_AZR_AZR_Q1_19_Direct-Social</v></cell><cell r="AC517"><v>21358715</v></cell><cell r="AD517"><v>720197</v></cell><cell r="AE517" t="str"><v>Linkedin</v></cell><cell r="AF517"><v>3654329</v></cell><cell r="AG517" t="str"><v>LINKEDIN»USA-Trial-ITD-Skills Prospecting-AZR-AZR»1 x 1»SocialBan»VLA»ALL»CPA»PRO»D»All»SS»NA»FreeAcctITProLI-AnimatedMigration-Ch3»PS7BV7</v></cell><cell r="AH517"><v>226786167</v></cell><cell r="AI517" t="str"><v>AZR_FreeAcctITProLI-AnimatedMigration-Ch3_USA_1920x1080_VLA_Direct_EN_Trial_Standard_ANI_LEA_T3_1</v></cell><cell r="AJ517"><v>104592532</v></cell></row><row r="518"><cell r="D518" t="str"><v>43355224639151</v></cell><cell r="E518" t="str"><v>43355103316832NowCTA</v></cell><cell r="F518" t="str"><v>DCM</v></cell></row><row r="518"><cell r="H518"><v>3</v></cell><cell r="I518" t="str"><v>Azure Direct</v></cell><cell r="J518" t="str"><v>Azure Direct</v></cell><cell r="K518" t="str"><v>September</v></cell><cell r="L518"><v>43358</v></cell><cell r="M518" t="str"><v>Tier 1</v></cell><cell r="N518" t="str"><v>APAC</v></cell><cell r="O518" t="str"><v>Australia</v></cell><cell r="P518" t="str"><v>Trial</v></cell><cell r="Q518" t="str"><v>Social</v></cell><cell r="R518" t="str"><v>Azure</v></cell><cell r="S518" t="str"><v>Apps & Infra</v></cell><cell r="T518" t="str"><v>Developers & ITI's</v></cell><cell r="U518" t="str"><v>Audience & Interest Targeting</v></cell><cell r="V518" t="str"><v>Audience Targeting</v></cell><cell r="W518" t="str"><v>Canvas Ad</v></cell><cell r="X518" t="str"><v>1080x162</v></cell><cell r="Y518" t="str"><v>Buy Now</v></cell><cell r="Z518" t="str"><v>Not Applicable</v></cell><cell r="AA518"><v>43355</v></cell><cell r="AB518" t="str"><v>AUS_gaPMG_AZR_AZR_Q1_19_Trial-Social</v></cell><cell r="AC518"><v>21358568</v></cell><cell r="AD518"><v>720191</v></cell><cell r="AE518" t="str"><v>Facebook</v></cell><cell r="AF518"><v>3654128</v></cell><cell r="AG518" t="str"><v>Facebook»Audience & Interest Targeting»1x1»Canvas»OTH»DT»DYN»AUT»W»NA»SS»NA»FBCTCcanvaspage-StartFreeCTA_FBCTCcanvaspage-BuyNowCTA</v></cell><cell r="AH518"><v>224639151</v></cell><cell r="AI518" t="str"><v>AzurePlatform_FBCTCcanvaspage-BuyNowCTA-Img3_AUS_1080x162_SOC_Plat_English_NA_Standard_NA_BN_T3_1</v></cell><cell r="AJ518"><v>103316832</v></cell></row><row r="519"><cell r="D519" t="str"><v>43355224639151</v></cell><cell r="E519" t="str"><v>43355103316829NowCTA</v></cell><cell r="F519" t="str"><v>DCM</v></cell></row><row r="519"><cell r="H519"><v>0</v></cell><cell r="I519" t="str"><v>Azure Direct</v></cell><cell r="J519" t="str"><v>Azure Direct</v></cell><cell r="K519" t="str"><v>September</v></cell><cell r="L519"><v>43358</v></cell><cell r="M519" t="str"><v>Tier 1</v></cell><cell r="N519" t="str"><v>APAC</v></cell><cell r="O519" t="str"><v>Australia</v></cell><cell r="P519" t="str"><v>Trial</v></cell><cell r="Q519" t="str"><v>Social</v></cell><cell r="R519" t="str"><v>Azure</v></cell><cell r="S519" t="str"><v>Apps & Infra</v></cell><cell r="T519" t="str"><v>Developers & ITI's</v></cell><cell r="U519" t="str"><v>Audience & Interest Targeting</v></cell><cell r="V519" t="str"><v>Audience Targeting</v></cell><cell r="W519" t="str"><v>Canvas Ad</v></cell><cell r="X519" t="str"><v>1080x143</v></cell><cell r="Y519" t="str"><v>Not Applicable </v></cell><cell r="Z519" t="str"><v>Not Applicable</v></cell><cell r="AA519"><v>43355</v></cell><cell r="AB519" t="str"><v>AUS_gaPMG_AZR_AZR_Q1_19_Trial-Social</v></cell><cell r="AC519"><v>21358568</v></cell><cell r="AD519"><v>720191</v></cell><cell r="AE519" t="str"><v>Facebook</v></cell><cell r="AF519"><v>3654128</v></cell><cell r="AG519" t="str"><v>Facebook»Audience & Interest Targeting»1x1»Canvas»OTH»DT»DYN»AUT»W»NA»SS»NA»FBCTCcanvaspage-StartFreeCTA_FBCTCcanvaspage-BuyNowCTA</v></cell><cell r="AH519"><v>224639151</v></cell><cell r="AI519" t="str"><v>AzurePlatform_FBCTCcanvaspage-StartFreeCTA-Img2_AUS_1080x143 _SOC_Plat_English_NA_Standard_NA_NA_T2_1</v></cell><cell r="AJ519"><v>103316829</v></cell></row><row r="520"><cell r="D520" t="str"><v>43355224160783</v></cell><cell r="E520" t="str"><v>43355103051614hs ChE</v></cell><cell r="F520" t="str"><v>DCM</v></cell></row><row r="520"><cell r="H520"><v>1</v></cell><cell r="I520" t="str"><v>Azure Direct</v></cell><cell r="J520" t="str"><v>Azure Direct</v></cell><cell r="K520" t="str"><v>September</v></cell><cell r="L520"><v>43358</v></cell><cell r="M520" t="str"><v>Tier 1</v></cell><cell r="N520" t="str"><v>APAC</v></cell><cell r="O520" t="str"><v>Australia</v></cell><cell r="P520" t="str"><v>Trial</v></cell><cell r="Q520" t="str"><v>Social</v></cell><cell r="R520" t="str"><v>Azure</v></cell><cell r="S520" t="str"><v>Apps & Infra</v></cell><cell r="T520" t="str"><v>Developers & ITI's</v></cell><cell r="U520" t="str"><v>Audience & Interest Targeting</v></cell><cell r="V520" t="str"><v>Audience Targeting</v></cell><cell r="W520" t="str"><v>Link Ad</v></cell><cell r="X520" t="str"><v>1200x628</v></cell></row><row r="520"><cell r="Z520" t="str"><v>Not Applicable</v></cell><cell r="AA520"><v>43355</v></cell><cell r="AB520" t="str"><v>AUS_gaPMG_AZR_AZR_Q1_19_Trial-Social</v></cell><cell r="AC520"><v>21358568</v></cell><cell r="AD520"><v>720191</v></cell><cell r="AE520" t="str"><v>Facebook</v></cell><cell r="AF520"><v>3654128</v></cell><cell r="AG520" t="str"><v>Facebook»Audience & Interest Targeting»1x1»TextLink»OTH»DT»DYN»AUT»W»NA»SS»NA»Free Account Refresh- 12 months ChE</v></cell><cell r="AH520"><v>224160783</v></cell><cell r="AI520" t="str"><v>AzurePlatform_FreeAcctAppsFACEBOOK12monthsChE_AUS_1200x628_SOC_PLAT_EN_Trial_Standard_NA_SNU_T5_1</v></cell><cell r="AJ520"><v>103051614</v></cell></row><row r="521"><cell r="D521" t="str"><v>43355224160780</v></cell><cell r="E521" t="str"><v>43355103186904it ChD</v></cell><cell r="F521" t="str"><v>DCM</v></cell></row><row r="521"><cell r="H521"><v>1</v></cell><cell r="I521" t="str"><v>Azure Direct</v></cell><cell r="J521" t="str"><v>Azure Direct</v></cell><cell r="K521" t="str"><v>September</v></cell><cell r="L521"><v>43358</v></cell><cell r="M521" t="str"><v>Tier 1</v></cell><cell r="N521" t="str"><v>APAC</v></cell><cell r="O521" t="str"><v>Australia</v></cell><cell r="P521" t="str"><v>Trial</v></cell><cell r="Q521" t="str"><v>Social</v></cell><cell r="R521" t="str"><v>Azure</v></cell><cell r="S521" t="str"><v>Apps & Infra</v></cell><cell r="T521" t="str"><v>Developers & ITI's</v></cell><cell r="U521" t="str"><v>Audience & Interest Targeting</v></cell><cell r="V521" t="str"><v>Audience Targeting</v></cell><cell r="W521" t="str"><v>Link Ad</v></cell><cell r="X521" t="str"><v>1200x628</v></cell></row><row r="521"><cell r="Z521" t="str"><v>Not Applicable</v></cell><cell r="AA521"><v>43355</v></cell><cell r="AB521" t="str"><v>AUS_gaPMG_AZR_AZR_Q1_19_Trial-Social</v></cell><cell r="AC521"><v>21358568</v></cell><cell r="AD521"><v>720191</v></cell><cell r="AE521" t="str"><v>Facebook</v></cell><cell r="AF521"><v>3654128</v></cell><cell r="AG521" t="str"><v>Facebook»Audience & Interest Targeting»1x1»TextLink»OTH»DT»DYN»AUT»W»NA»SS»NA»Free Account Refresh- 200 Credit ChD</v></cell><cell r="AH521"><v>224160780</v></cell><cell r="AI521" t="str"><v>AzurePlatform_FreeAcctAppsFACEBOOK200CreditChD_AUS_1200x628_SOC_PLAT_EN_Trial_Standard_NA_SNU_T4_1</v></cell><cell r="AJ521"><v>103186904</v></cell></row><row r="522"><cell r="D522" t="str"><v>43355224160777</v></cell><cell r="E522" t="str"><v>43355103048479ce ChB</v></cell><cell r="F522" t="str"><v>DCM</v></cell></row><row r="522"><cell r="H522"><v>0</v></cell><cell r="I522" t="str"><v>Azure Direct</v></cell><cell r="J522" t="str"><v>Azure Direct</v></cell><cell r="K522" t="str"><v>September</v></cell><cell r="L522"><v>43358</v></cell><cell r="M522" t="str"><v>Tier 1</v></cell><cell r="N522" t="str"><v>APAC</v></cell><cell r="O522" t="str"><v>Australia</v></cell><cell r="P522" t="str"><v>Trial</v></cell><cell r="Q522" t="str"><v>Social</v></cell><cell r="R522" t="str"><v>Azure</v></cell><cell r="S522" t="str"><v>Apps & Infra</v></cell><cell r="T522" t="str"><v>Developers & ITI's</v></cell><cell r="U522" t="str"><v>Audience & Interest Targeting</v></cell><cell r="V522" t="str"><v>Audience Targeting</v></cell><cell r="W522" t="str"><v>Link Ad</v></cell><cell r="X522" t="str"><v>1200x628</v></cell></row><row r="522"><cell r="Z522" t="str"><v>Not Applicable</v></cell><cell r="AA522"><v>43355</v></cell><cell r="AB522" t="str"><v>AUS_gaPMG_AZR_AZR_Q1_19_Trial-Social</v></cell><cell r="AC522"><v>21358568</v></cell><cell r="AD522"><v>720191</v></cell><cell r="AE522" t="str"><v>Facebook</v></cell><cell r="AF522"><v>3654128</v></cell><cell r="AG522" t="str"><v>Facebook»Audience & Interest Targeting»1x1»TextLink»OTH»DT»DYN»AUT»W»NA»SS»NA»Free Account Refresh- Device ChB</v></cell><cell r="AH522"><v>224160777</v></cell><cell r="AI522" t="str"><v>AzurePlatform_FreeAcctAppsFACEBOOKDeviceChB_AUS_1200x628_SOC_PLAT_EN_Trial_Standard_NA_SNU_T2_1</v></cell><cell r="AJ522"><v>103048479</v></cell></row><row r="523"><cell r="D523" t="str"><v>43355224160774</v></cell><cell r="E523" t="str"><v>43355103186910on ChC</v></cell><cell r="F523" t="str"><v>DCM</v></cell></row><row r="523"><cell r="H523"><v>1</v></cell><cell r="I523" t="str"><v>Azure Direct</v></cell><cell r="J523" t="str"><v>Azure Direct</v></cell><cell r="K523" t="str"><v>September</v></cell><cell r="L523"><v>43358</v></cell><cell r="M523" t="str"><v>Tier 1</v></cell><cell r="N523" t="str"><v>APAC</v></cell><cell r="O523" t="str"><v>Australia</v></cell><cell r="P523" t="str"><v>Trial</v></cell><cell r="Q523" t="str"><v>Social</v></cell><cell r="R523" t="str"><v>Azure</v></cell><cell r="S523" t="str"><v>Apps & Infra</v></cell><cell r="T523" t="str"><v>Developers & ITI's</v></cell><cell r="U523" t="str"><v>Audience & Interest Targeting</v></cell><cell r="V523" t="str"><v>Audience Targeting</v></cell><cell r="W523" t="str"><v>Link Ad</v></cell><cell r="X523" t="str"><v>1200x628</v></cell></row><row r="523"><cell r="Z523" t="str"><v>Not Applicable</v></cell><cell r="AA523"><v>43355</v></cell><cell r="AB523" t="str"><v>AUS_gaPMG_AZR_AZR_Q1_19_Trial-Social</v></cell><cell r="AC523"><v>21358568</v></cell><cell r="AD523"><v>720191</v></cell><cell r="AE523" t="str"><v>Facebook</v></cell><cell r="AF523"><v>3654128</v></cell><cell r="AG523" t="str"><v>Facebook»Audience & Interest Targeting»1x1»TextLink»OTH»DT»DYN»AUT»W»NA»SS»NA»Free Account Refresh- Illustration ChC</v></cell><cell r="AH523"><v>224160774</v></cell><cell r="AI523" t="str"><v>AzurePlatform_FreeAcctAppsFACEBOOKIllustrationChC_AUS_1200x628_SOC_PLAT_EN_Trial_Standard_NA_SNU_T3_1</v></cell><cell r="AJ523"><v>103186910</v></cell></row><row r="524"><cell r="D524" t="str"><v>43355224160771</v></cell><cell r="E524" t="str"><v>43355103048488le ChA</v></cell><cell r="F524" t="str"><v>DCM</v></cell></row><row r="524"><cell r="H524"><v>1</v></cell><cell r="I524" t="str"><v>Azure Direct</v></cell><cell r="J524" t="str"><v>Azure Direct</v></cell><cell r="K524" t="str"><v>September</v></cell><cell r="L524"><v>43358</v></cell><cell r="M524" t="str"><v>Tier 1</v></cell><cell r="N524" t="str"><v>APAC</v></cell><cell r="O524" t="str"><v>Australia</v></cell><cell r="P524" t="str"><v>Trial</v></cell><cell r="Q524" t="str"><v>Social</v></cell><cell r="R524" t="str"><v>Azure</v></cell><cell r="S524" t="str"><v>Apps & Infra</v></cell><cell r="T524" t="str"><v>Developers & ITI's</v></cell><cell r="U524" t="str"><v>Audience & Interest Targeting</v></cell><cell r="V524" t="str"><v>Audience Targeting</v></cell><cell r="W524" t="str"><v>Link Ad</v></cell><cell r="X524" t="str"><v>1200x628</v></cell></row><row r="524"><cell r="Z524" t="str"><v>Not Applicable</v></cell><cell r="AA524"><v>43355</v></cell><cell r="AB524" t="str"><v>AUS_gaPMG_AZR_AZR_Q1_19_Trial-Social</v></cell><cell r="AC524"><v>21358568</v></cell><cell r="AD524"><v>720191</v></cell><cell r="AE524" t="str"><v>Facebook</v></cell><cell r="AF524"><v>3654128</v></cell><cell r="AG524" t="str"><v>Facebook»Audience & Interest Targeting»1x1»TextLink»OTH»DT»DYN»AUT»W»NA»SS»NA»Free Account Refresh- Lifestyle ChA</v></cell><cell r="AH524"><v>224160771</v></cell><cell r="AI524" t="str"><v>AzurePlatform_FreeAcctAppsFACEBOOKLifestyleChA_AUS_1200x628_SOC_PLAT_EN_Trial_Standard_NA_SNU_T1_1</v></cell><cell r="AJ524"><v>103048488</v></cell></row><row r="525"><cell r="D525" t="str"><v>43355224160735</v></cell><cell r="E525" t="str"><v>43355103048479ce ChB</v></cell><cell r="F525" t="str"><v>DCM</v></cell></row><row r="525"><cell r="H525"><v>12</v></cell><cell r="I525" t="str"><v>Azure Direct</v></cell><cell r="J525" t="str"><v>Azure Direct</v></cell><cell r="K525" t="str"><v>September</v></cell><cell r="L525"><v>43358</v></cell><cell r="M525" t="str"><v>Tier 1</v></cell><cell r="N525" t="str"><v>APAC</v></cell><cell r="O525" t="str"><v>Australia</v></cell><cell r="P525" t="str"><v>Trial</v></cell><cell r="Q525" t="str"><v>Social</v></cell><cell r="R525" t="str"><v>Azure</v></cell><cell r="S525" t="str"><v>Apps & Infra</v></cell><cell r="T525" t="str"><v>Developers & ITI's</v></cell><cell r="U525" t="str"><v>Retargeting</v></cell><cell r="V525" t="str"><v>Retargeting</v></cell><cell r="W525" t="str"><v>Link Ad</v></cell><cell r="X525" t="str"><v>1200x628</v></cell></row><row r="525"><cell r="Z525" t="str"><v>Not Applicable</v></cell><cell r="AA525"><v>43355</v></cell><cell r="AB525" t="str"><v>AUS_gaPMG_AZR_AZR_Q1_19_Trial-Social</v></cell><cell r="AC525"><v>21358568</v></cell><cell r="AD525"><v>720191</v></cell><cell r="AE525" t="str"><v>Facebook</v></cell><cell r="AF525"><v>3654128</v></cell><cell r="AG525" t="str"><v>Facebook»Retargeting»1x1»TextLink»SOC»DT»DYN»RT»W»NA»SS»NA»Free Account Refresh- Device ChB</v></cell><cell r="AH525"><v>224160735</v></cell><cell r="AI525" t="str"><v>AzurePlatform_FreeAcctAppsFACEBOOKDeviceChB_AUS_1200x628_SOC_PLAT_EN_Trial_Standard_NA_SNU_T2_1</v></cell><cell r="AJ525"><v>103048479</v></cell></row><row r="526"><cell r="D526" t="str"><v>43355224160732</v></cell><cell r="E526" t="str"><v>43355103186910on ChC</v></cell><cell r="F526" t="str"><v>DCM</v></cell></row><row r="526"><cell r="H526"><v>2</v></cell><cell r="I526" t="str"><v>Azure Direct</v></cell><cell r="J526" t="str"><v>Azure Direct</v></cell><cell r="K526" t="str"><v>September</v></cell><cell r="L526"><v>43358</v></cell><cell r="M526" t="str"><v>Tier 1</v></cell><cell r="N526" t="str"><v>APAC</v></cell><cell r="O526" t="str"><v>Australia</v></cell><cell r="P526" t="str"><v>Trial</v></cell><cell r="Q526" t="str"><v>Social</v></cell><cell r="R526" t="str"><v>Azure</v></cell><cell r="S526" t="str"><v>Apps & Infra</v></cell><cell r="T526" t="str"><v>Developers & ITI's</v></cell><cell r="U526" t="str"><v>Retargeting</v></cell><cell r="V526" t="str"><v>Retargeting</v></cell><cell r="W526" t="str"><v>Link Ad</v></cell><cell r="X526" t="str"><v>1200x628</v></cell></row><row r="526"><cell r="Z526" t="str"><v>Not Applicable</v></cell><cell r="AA526"><v>43355</v></cell><cell r="AB526" t="str"><v>AUS_gaPMG_AZR_AZR_Q1_19_Trial-Social</v></cell><cell r="AC526"><v>21358568</v></cell><cell r="AD526"><v>720191</v></cell><cell r="AE526" t="str"><v>Facebook</v></cell><cell r="AF526"><v>3654128</v></cell><cell r="AG526" t="str"><v>Facebook»Retargeting»1x1»TextLink»SOC»DT»DYN»RT»W»NA»SS»NA»Free Account Refresh- Illustration ChC</v></cell><cell r="AH526"><v>224160732</v></cell><cell r="AI526" t="str"><v>AzurePlatform_FreeAcctAppsFACEBOOKIllustrationChC_AUS_1200x628_SOC_PLAT_EN_Trial_Standard_NA_SNU_T3_1</v></cell><cell r="AJ526"><v>103186910</v></cell></row><row r="527"><cell r="D527" t="str"><v>43355224160738</v></cell><cell r="E527" t="str"><v>43355103186904it ChD</v></cell><cell r="F527" t="str"><v>DCM</v></cell></row><row r="527"><cell r="H527"><v>0</v></cell><cell r="I527" t="str"><v>Azure Direct</v></cell><cell r="J527" t="str"><v>Azure Direct</v></cell><cell r="K527" t="str"><v>September</v></cell><cell r="L527"><v>43358</v></cell><cell r="M527" t="str"><v>Tier 1</v></cell><cell r="N527" t="str"><v>APAC</v></cell><cell r="O527" t="str"><v>Australia</v></cell><cell r="P527" t="str"><v>Trial</v></cell><cell r="Q527" t="str"><v>Social</v></cell><cell r="R527" t="str"><v>Azure</v></cell><cell r="S527" t="str"><v>Apps & Infra</v></cell><cell r="T527" t="str"><v>Developers & ITI's</v></cell><cell r="U527" t="str"><v>Retargeting</v></cell><cell r="V527" t="str"><v>Retargeting</v></cell><cell r="W527" t="str"><v>Link Ad</v></cell><cell r="X527" t="str"><v>1200x628</v></cell></row><row r="527"><cell r="Z527" t="str"><v>Not Applicable</v></cell><cell r="AA527"><v>43355</v></cell><cell r="AB527" t="str"><v>AUS_gaPMG_AZR_AZR_Q1_19_Trial-Social</v></cell><cell r="AC527"><v>21358568</v></cell><cell r="AD527"><v>720191</v></cell><cell r="AE527" t="str"><v>Facebook</v></cell><cell r="AF527"><v>3654128</v></cell><cell r="AG527" t="str"><v>Facebook»Retargeting»1x1»TextLink»SOC»DT»DYN»RT»W»NA»SS»NA»Free Account Refresh- 200 Credit ChD</v></cell><cell r="AH527"><v>224160738</v></cell><cell r="AI527" t="str"><v>AzurePlatform_FreeAcctAppsFACEBOOK200CreditChD_AUS_1200x628_SOC_PLAT_EN_Trial_Standard_NA_SNU_T4_1</v></cell><cell r="AJ527"><v>103186904</v></cell></row><row r="528"><cell r="D528" t="str"><v>43355223684451</v></cell><cell r="E528" t="str"><v>433551029018821 - EN</v></cell><cell r="F528" t="str"><v>DCM</v></cell></row><row r="528"><cell r="H528"><v>0</v></cell><cell r="I528" t="str"><v>Azure Direct</v></cell><cell r="J528" t="str"><v>Azure Direct</v></cell><cell r="K528" t="str"><v>September</v></cell><cell r="L528"><v>43358</v></cell><cell r="M528" t="str"><v>Tier 1</v></cell><cell r="N528" t="str"><v>North America</v></cell><cell r="O528" t="str"><v>Canada</v></cell><cell r="P528" t="str"><v>Trial</v></cell><cell r="Q528" t="str"><v>Social</v></cell><cell r="R528" t="str"><v>Azure</v></cell><cell r="S528" t="str"><v>Apps & Infra</v></cell><cell r="T528" t="str"><v>Developers & ITI's</v></cell><cell r="U528" t="str"><v>AZR</v></cell><cell r="V528" t="str"><v>Audience Targeting</v></cell><cell r="W528" t="str"><v>Engagement Video</v></cell><cell r="X528" t="str"><v>10s</v></cell><cell r="Y528" t="str"><v>Try Azure Free</v></cell><cell r="Z528" t="str"><v>Standard videos</v></cell><cell r="AA528"><v>43355</v></cell><cell r="AB528" t="str"><v>CAN_gaPMG_AZR_AZR_Q1_19_Trial-Social</v></cell><cell r="AC528"><v>21337220</v></cell><cell r="AD528"><v>720192</v></cell><cell r="AE528" t="str"><v>Facebook</v></cell><cell r="AF528"><v>3654128</v></cell><cell r="AG528" t="str"><v>Facebook»AZR»1x1»NA»EGV»ALL»DYN»AUT»D»All»SS»NA»Free Acc CTC - T1 - EN</v></cell><cell r="AH528"><v>223684451</v></cell><cell r="AI528" t="str"><v>AzurePlatform_FBCTCBasicMotion_CAN_10s_ISV_PLAT_English_Trial_Standard_STAN_TN_T1_1</v></cell><cell r="AJ528"><v>102901882</v></cell></row><row r="529"><cell r="D529" t="str"><v>43355223691840</v></cell><cell r="E529" t="str"><v>433551029029502 - EN</v></cell><cell r="F529" t="str"><v>DCM</v></cell></row><row r="529"><cell r="H529"><v>0</v></cell><cell r="I529" t="str"><v>Azure Direct</v></cell><cell r="J529" t="str"><v>Azure Direct</v></cell><cell r="K529" t="str"><v>September</v></cell><cell r="L529"><v>43358</v></cell><cell r="M529" t="str"><v>Tier 1</v></cell><cell r="N529" t="str"><v>North America</v></cell><cell r="O529" t="str"><v>Canada</v></cell><cell r="P529" t="str"><v>Trial</v></cell><cell r="Q529" t="str"><v>Social</v></cell><cell r="R529" t="str"><v>Azure</v></cell><cell r="S529" t="str"><v>Apps & Infra</v></cell><cell r="T529" t="str"><v>Developers & ITI's</v></cell><cell r="U529" t="str"><v>AZR</v></cell><cell r="V529" t="str"><v>Audience Targeting</v></cell><cell r="W529" t="str"><v>Engagement Video</v></cell><cell r="X529" t="str"><v>12s</v></cell><cell r="Y529" t="str"><v>Try Azure Free</v></cell><cell r="Z529" t="str"><v>Standard videos</v></cell><cell r="AA529"><v>43355</v></cell><cell r="AB529" t="str"><v>CAN_gaPMG_AZR_AZR_Q1_19_Trial-Social</v></cell><cell r="AC529"><v>21337220</v></cell><cell r="AD529"><v>720192</v></cell><cell r="AE529" t="str"><v>Facebook</v></cell><cell r="AF529"><v>3654128</v></cell><cell r="AG529" t="str"><v>Facebook»AZR»1x1»NA»EGV»ALL»DYN»AUT»D»All»SS»NA»Free Acc CTC - T2 - EN</v></cell><cell r="AH529"><v>223691840</v></cell><cell r="AI529" t="str"><v>AzurePlatform_FBCTCBrandinMotion_CAN_12s_ISV_PLAT_English_Trial_Standard_STAN_TN_T2_1</v></cell><cell r="AJ529"><v>102902950</v></cell></row><row r="530"><cell r="D530" t="str"><v>43355223691798</v></cell><cell r="E530" t="str"><v>433551029163472 - FR</v></cell><cell r="F530" t="str"><v>DCM</v></cell></row><row r="530"><cell r="H530"><v>0</v></cell><cell r="I530" t="str"><v>Azure Direct</v></cell><cell r="J530" t="str"><v>Azure Direct</v></cell><cell r="K530" t="str"><v>September</v></cell><cell r="L530"><v>43358</v></cell><cell r="M530" t="str"><v>Tier 1</v></cell><cell r="N530" t="str"><v>North America</v></cell><cell r="O530" t="str"><v>Canada</v></cell><cell r="P530" t="str"><v>Trial</v></cell><cell r="Q530" t="str"><v>Social</v></cell><cell r="R530" t="str"><v>Azure</v></cell><cell r="S530" t="str"><v>Apps & Infra</v></cell><cell r="T530" t="str"><v>Developers & ITI's</v></cell><cell r="U530" t="str"><v>AZR</v></cell><cell r="V530" t="str"><v>Audience Targeting</v></cell><cell r="W530" t="str"><v>Engagement Video</v></cell><cell r="X530" t="str"><v>12s</v></cell><cell r="Y530" t="str"><v>Try Azure Free</v></cell><cell r="Z530" t="str"><v>Standard videos</v></cell><cell r="AA530"><v>43355</v></cell><cell r="AB530" t="str"><v>CAN_gaPMG_AZR_AZR_Q1_19_Trial-Social</v></cell><cell r="AC530"><v>21337220</v></cell><cell r="AD530"><v>720192</v></cell><cell r="AE530" t="str"><v>Facebook</v></cell><cell r="AF530"><v>3654128</v></cell><cell r="AG530" t="str"><v>Facebook»AZR»1x1»NA»EGV»ALL»DYN»AUT»D»All»SS»NA»Free Acc CTC - T2 - FR</v></cell><cell r="AH530"><v>223691798</v></cell><cell r="AI530" t="str"><v>AzurePlatform_FBCTCBrandinMotion_CAN_12s_ISV_PLAT_FR_Trial_Standard_STAN_TN_T2_1</v></cell><cell r="AJ530"><v>102916347</v></cell></row><row r="531"><cell r="D531" t="str"><v>43355223691837</v></cell><cell r="E531" t="str"><v>433551030533144 - EN</v></cell><cell r="F531" t="str"><v>DCM</v></cell></row><row r="531"><cell r="H531"><v>0</v></cell><cell r="I531" t="str"><v>Azure Direct</v></cell><cell r="J531" t="str"><v>Azure Direct</v></cell><cell r="K531" t="str"><v>September</v></cell><cell r="L531"><v>43358</v></cell><cell r="M531" t="str"><v>Tier 1</v></cell><cell r="N531" t="str"><v>North America</v></cell><cell r="O531" t="str"><v>Canada</v></cell><cell r="P531" t="str"><v>Trial</v></cell><cell r="Q531" t="str"><v>Social</v></cell><cell r="R531" t="str"><v>Azure</v></cell><cell r="S531" t="str"><v>Apps & Infra</v></cell><cell r="T531" t="str"><v>Developers & ITI's</v></cell><cell r="U531" t="str"><v>AZR</v></cell><cell r="V531" t="str"><v>Audience Targeting</v></cell><cell r="W531" t="str"><v>Engagement Video</v></cell><cell r="X531" t="str"><v>14s</v></cell><cell r="Y531" t="str"><v>Try Azure Free</v></cell><cell r="Z531" t="str"><v>Standard videos</v></cell><cell r="AA531"><v>43355</v></cell><cell r="AB531" t="str"><v>CAN_gaPMG_AZR_AZR_Q1_19_Trial-Social</v></cell><cell r="AC531"><v>21337220</v></cell><cell r="AD531"><v>720192</v></cell><cell r="AE531" t="str"><v>Facebook</v></cell><cell r="AF531"><v>3654128</v></cell><cell r="AG531" t="str"><v>Facebook»AZR»1x1»NA»EGV»ALL»DYN»AUT»D»All»SS»NA»Free Acc CTC - T4 - EN</v></cell><cell r="AH531"><v>223691837</v></cell><cell r="AI531" t="str"><v>AzurePlatform_FBCTCBenefit2inMotion_CAN_14s_ISV_PLAT_English_Trial_Standard_STAN_TN_T4_1</v></cell><cell r="AJ531"><v>103053314</v></cell></row><row r="532"><cell r="D532" t="str"><v>43355227792313</v></cell><cell r="E532" t="str"><v>43355105216995ow -FR</v></cell><cell r="F532" t="str"><v>DCM</v></cell></row><row r="532"><cell r="H532"><v>2</v></cell><cell r="I532" t="str"><v>Azure Direct</v></cell><cell r="J532" t="str"><v>Azure Direct</v></cell><cell r="K532" t="str"><v>September</v></cell><cell r="L532"><v>43358</v></cell><cell r="M532" t="str"><v>Tier 1</v></cell><cell r="N532" t="str"><v>North America</v></cell><cell r="O532" t="str"><v>Canada</v></cell><cell r="P532" t="str"><v>Trial</v></cell><cell r="Q532" t="str"><v>Social</v></cell><cell r="R532" t="str"><v>Azure</v></cell><cell r="S532" t="str"><v>Apps & Infra</v></cell><cell r="T532" t="str"><v>Developers & ITI's</v></cell><cell r="U532" t="str"><v>AZR</v></cell><cell r="V532" t="str"><v>Audience Targeting</v></cell><cell r="W532" t="str"><v>Canvas Ad</v></cell><cell r="X532" t="str"><v>1080x1080</v></cell><cell r="Y532" t="str"><v>Free Trial</v></cell><cell r="Z532" t="str"><v>Not Applicable</v></cell><cell r="AA532"><v>43355</v></cell><cell r="AB532" t="str"><v>CAN_gaPMG_AZR_AZR_Q1_19_Trial-Social</v></cell><cell r="AC532"><v>21337220</v></cell><cell r="AD532"><v>720192</v></cell><cell r="AE532" t="str"><v>Facebook</v></cell><cell r="AF532"><v>3654128</v></cell><cell r="AG532" t="str"><v>Facebook»AZR»1x1»NA»NA»ALL»DYN»AUT»D»All»SS»NA»Free Account Create to Convert FB - Canvas - Basic - Buy Now -FR</v></cell><cell r="AH532"><v>227792313</v></cell><cell r="AI532" t="str"><v>AzurePlatform_FBCTCBasicMotion_CAN_1080x1080_SOC_10s_ISV_FR_Standard_NA_FTR_T1_1</v></cell><cell r="AJ532"><v>105216995</v></cell></row><row r="533"><cell r="D533" t="str"><v>43355227522759</v></cell><cell r="E533" t="str"><v>43355105130122ee -EN</v></cell><cell r="F533" t="str"><v>DCM</v></cell></row><row r="533"><cell r="H533"><v>0</v></cell><cell r="I533" t="str"><v>Azure Direct</v></cell><cell r="J533" t="str"><v>Azure Direct</v></cell><cell r="K533" t="str"><v>September</v></cell><cell r="L533"><v>43358</v></cell><cell r="M533" t="str"><v>Tier 1</v></cell><cell r="N533" t="str"><v>North America</v></cell><cell r="O533" t="str"><v>Canada</v></cell><cell r="P533" t="str"><v>Trial</v></cell><cell r="Q533" t="str"><v>Social</v></cell><cell r="R533" t="str"><v>Azure</v></cell><cell r="S533" t="str"><v>Apps & Infra</v></cell><cell r="T533" t="str"><v>Developers & ITI's</v></cell><cell r="U533" t="str"><v>AZR</v></cell><cell r="V533" t="str"><v>Audience Targeting</v></cell><cell r="W533" t="str"><v>Canvas Ad</v></cell><cell r="X533" t="str"><v>1080x1080</v></cell><cell r="Y533" t="str"><v>Free Trial</v></cell><cell r="Z533" t="str"><v>Not Applicable</v></cell><cell r="AA533"><v>43355</v></cell><cell r="AB533" t="str"><v>CAN_gaPMG_AZR_AZR_Q1_19_Trial-Social</v></cell><cell r="AC533"><v>21337220</v></cell><cell r="AD533"><v>720192</v></cell><cell r="AE533" t="str"><v>Facebook</v></cell><cell r="AF533"><v>3654128</v></cell><cell r="AG533" t="str"><v>Facebook»AZR»1x1»NA»NA»ALL»DYN»AUT»D»All»SS»NA»Free Account Create to Convert FB - Canvas - Basic - Start Free -EN</v></cell><cell r="AH533"><v>227522759</v></cell><cell r="AI533" t="str"><v>AzurePlatform_FBCTCBasicMotion_CAN_1080x1080_SOC_10s_ISV_English_Standard_NA_FTR_T1_1</v></cell><cell r="AJ533"><v>105130122</v></cell></row><row r="534"><cell r="D534" t="str"><v>43355227619001</v></cell><cell r="E534" t="str"><v>43355105130125w - EN</v></cell><cell r="F534" t="str"><v>DCM</v></cell></row><row r="534"><cell r="H534"><v>0</v></cell><cell r="I534" t="str"><v>Azure Direct</v></cell><cell r="J534" t="str"><v>Azure Direct</v></cell><cell r="K534" t="str"><v>September</v></cell><cell r="L534"><v>43358</v></cell><cell r="M534" t="str"><v>Tier 1</v></cell><cell r="N534" t="str"><v>North America</v></cell><cell r="O534" t="str"><v>Canada</v></cell><cell r="P534" t="str"><v>Trial</v></cell><cell r="Q534" t="str"><v>Social</v></cell><cell r="R534" t="str"><v>Azure</v></cell><cell r="S534" t="str"><v>Apps & Infra</v></cell><cell r="T534" t="str"><v>Developers & ITI's</v></cell><cell r="U534" t="str"><v>AZR</v></cell><cell r="V534" t="str"><v>Audience Targeting</v></cell><cell r="W534" t="str"><v>Canvas Ad</v></cell><cell r="X534" t="str"><v>1080x1080</v></cell><cell r="Y534" t="str"><v>Free Trial</v></cell><cell r="Z534" t="str"><v>Not Applicable</v></cell><cell r="AA534"><v>43355</v></cell><cell r="AB534" t="str"><v>CAN_gaPMG_AZR_AZR_Q1_19_Trial-Social</v></cell><cell r="AC534"><v>21337220</v></cell><cell r="AD534"><v>720192</v></cell><cell r="AE534" t="str"><v>Facebook</v></cell><cell r="AF534"><v>3654128</v></cell><cell r="AG534" t="str"><v>Facebook»AZR»1x1»NA»NA»ALL»DYN»AUT»D»All»SS»NA»Free Account Create to Convert FB - Canvas - Benefit - Buy Now - EN</v></cell><cell r="AH534"><v>227619001</v></cell><cell r="AI534" t="str"><v>AzurePlatform_FBCTCBenefit2inMotion_CAN_1080x1080_SOC_14s_ISV_English_Standard_NA_FTR_T4_1</v></cell><cell r="AJ534"><v>105130125</v></cell></row><row r="535"><cell r="D535" t="str"><v>43355223691828</v></cell><cell r="E535" t="str"><v>433551029029561 - EN</v></cell><cell r="F535" t="str"><v>DCM</v></cell></row><row r="535"><cell r="H535"><v>0</v></cell><cell r="I535" t="str"><v>Azure Direct</v></cell><cell r="J535" t="str"><v>Azure Direct</v></cell><cell r="K535" t="str"><v>September</v></cell><cell r="L535"><v>43358</v></cell><cell r="M535" t="str"><v>Tier 1</v></cell><cell r="N535" t="str"><v>North America</v></cell><cell r="O535" t="str"><v>Canada</v></cell><cell r="P535" t="str"><v>Trial</v></cell><cell r="Q535" t="str"><v>Social</v></cell><cell r="R535" t="str"><v>Azure</v></cell><cell r="S535" t="str"><v>Apps & Infra</v></cell><cell r="T535" t="str"><v>Developers & ITI's</v></cell><cell r="U535" t="str"><v>AZR</v></cell><cell r="V535" t="str"><v>Retargeting</v></cell><cell r="W535" t="str"><v>NotApplicable</v></cell><cell r="X535" t="str"><v>1200x628</v></cell></row><row r="535"><cell r="Z535" t="str"><v>Not Applicable</v></cell><cell r="AA535"><v>43355</v></cell><cell r="AB535" t="str"><v>CAN_gaPMG_AZR_AZR_Q1_19_Trial-Social</v></cell><cell r="AC535"><v>21337220</v></cell><cell r="AD535"><v>720192</v></cell><cell r="AE535" t="str"><v>Facebook</v></cell><cell r="AF535"><v>3654128</v></cell><cell r="AG535" t="str"><v>Facebook»AZR»1x1»SocialBan»NA»ALL»DYN»RT»D»All»SS»NA» Free Account Retargeting OSS - T1 - EN</v></cell><cell r="AH535"><v>223691828</v></cell><cell r="AI535" t="str"><v>AzurePlatform_FreeAcctRetargetingOSSFB-Text-ChF_CAN_1200x628_SOC_Plat_EN_Free Account_Standard_NA_SU_T1_1</v></cell><cell r="AJ535"><v>102902956</v></cell></row><row r="536"><cell r="D536" t="str"><v>43355223691831</v></cell><cell r="E536" t="str"><v>433551029138002 - EN</v></cell><cell r="F536" t="str"><v>DCM</v></cell></row><row r="536"><cell r="H536"><v>1</v></cell><cell r="I536" t="str"><v>Azure Direct</v></cell><cell r="J536" t="str"><v>Azure Direct</v></cell><cell r="K536" t="str"><v>September</v></cell><cell r="L536"><v>43358</v></cell><cell r="M536" t="str"><v>Tier 1</v></cell><cell r="N536" t="str"><v>North America</v></cell><cell r="O536" t="str"><v>Canada</v></cell><cell r="P536" t="str"><v>Trial</v></cell><cell r="Q536" t="str"><v>Social</v></cell><cell r="R536" t="str"><v>Azure</v></cell><cell r="S536" t="str"><v>Apps & Infra</v></cell><cell r="T536" t="str"><v>Developers & ITI's</v></cell><cell r="U536" t="str"><v>AZR</v></cell><cell r="V536" t="str"><v>Retargeting</v></cell><cell r="W536" t="str"><v>NotApplicable</v></cell><cell r="X536" t="str"><v>1200x628</v></cell></row><row r="536"><cell r="Z536" t="str"><v>Not Applicable</v></cell><cell r="AA536"><v>43355</v></cell><cell r="AB536" t="str"><v>CAN_gaPMG_AZR_AZR_Q1_19_Trial-Social</v></cell><cell r="AC536"><v>21337220</v></cell><cell r="AD536"><v>720192</v></cell><cell r="AE536" t="str"><v>Facebook</v></cell><cell r="AF536"><v>3654128</v></cell><cell r="AG536" t="str"><v>Facebook»AZR»1x1»SocialBan»NA»ALL»DYN»RT»D»All»SS»NA» Free Account Retargeting OSS - T2 - EN</v></cell><cell r="AH536"><v>223691831</v></cell><cell r="AI536" t="str"><v>AzurePlatform_FreeAcctRetargetingOSSFB-Logos-ChG_CAN_1200x628_SOC_Plat_EN_Free Account_Standard_NA_SU_T2_1</v></cell><cell r="AJ536"><v>102913800</v></cell></row><row r="537"><cell r="D537" t="str"><v>43355223691789</v></cell><cell r="E537" t="str"><v>433551029006912 - FR</v></cell><cell r="F537" t="str"><v>DCM</v></cell></row><row r="537"><cell r="H537"><v>0</v></cell><cell r="I537" t="str"><v>Azure Direct</v></cell><cell r="J537" t="str"><v>Azure Direct</v></cell><cell r="K537" t="str"><v>September</v></cell><cell r="L537"><v>43358</v></cell><cell r="M537" t="str"><v>Tier 1</v></cell><cell r="N537" t="str"><v>North America</v></cell><cell r="O537" t="str"><v>Canada</v></cell><cell r="P537" t="str"><v>Trial</v></cell><cell r="Q537" t="str"><v>Social</v></cell><cell r="R537" t="str"><v>Azure</v></cell><cell r="S537" t="str"><v>Apps & Infra</v></cell><cell r="T537" t="str"><v>Developers & ITI's</v></cell><cell r="U537" t="str"><v>AZR</v></cell><cell r="V537" t="str"><v>Retargeting</v></cell><cell r="W537" t="str"><v>NotApplicable</v></cell><cell r="X537" t="str"><v>1200x628</v></cell></row><row r="537"><cell r="Z537" t="str"><v>Not Applicable</v></cell><cell r="AA537"><v>43355</v></cell><cell r="AB537" t="str"><v>CAN_gaPMG_AZR_AZR_Q1_19_Trial-Social</v></cell><cell r="AC537"><v>21337220</v></cell><cell r="AD537"><v>720192</v></cell><cell r="AE537" t="str"><v>Facebook</v></cell><cell r="AF537"><v>3654128</v></cell><cell r="AG537" t="str"><v>Facebook»AZR»1x1»SocialBan»NA»ALL»DYN»RT»D»All»SS»NA» Free Account Retargeting OSS - T2 - FR</v></cell><cell r="AH537"><v>223691789</v></cell><cell r="AI537" t="str"><v>AzurePlatform_FreeAcctRetargetingOSSFB-Logos-ChG_CAN_1200x628_SOC_Plat_FR_Free Account_Standard_NA_SU_T2_1</v></cell><cell r="AJ537"><v>102900691</v></cell></row><row r="538"><cell r="D538" t="str"><v>43355223691834</v></cell><cell r="E538" t="str"><v>433551029029532 - EN</v></cell><cell r="F538" t="str"><v>DCM</v></cell></row><row r="538"><cell r="H538"><v>2</v></cell><cell r="I538" t="str"><v>Azure Direct</v></cell><cell r="J538" t="str"><v>Azure Direct</v></cell><cell r="K538" t="str"><v>September</v></cell><cell r="L538"><v>43358</v></cell><cell r="M538" t="str"><v>Tier 1</v></cell><cell r="N538" t="str"><v>North America</v></cell><cell r="O538" t="str"><v>Canada</v></cell><cell r="P538" t="str"><v>Trial</v></cell><cell r="Q538" t="str"><v>Social</v></cell><cell r="R538" t="str"><v>Azure</v></cell><cell r="S538" t="str"><v>Apps & Infra</v></cell><cell r="T538" t="str"><v>Developers & ITI's</v></cell><cell r="U538" t="str"><v>AZR</v></cell><cell r="V538" t="str"><v>Retargeting</v></cell><cell r="W538" t="str"><v>NotApplicable</v></cell><cell r="X538" t="str"><v>1200x628</v></cell></row><row r="538"><cell r="Z538" t="str"><v>Not Applicable</v></cell><cell r="AA538"><v>43355</v></cell><cell r="AB538" t="str"><v>CAN_gaPMG_AZR_AZR_Q1_19_Trial-Social</v></cell><cell r="AC538"><v>21337220</v></cell><cell r="AD538"><v>720192</v></cell><cell r="AE538" t="str"><v>Facebook</v></cell><cell r="AF538"><v>3654128</v></cell><cell r="AG538" t="str"><v>Facebook»AZR»1x1»SocialBan»NA»ALL»DYN»RT»D»All»SS»NA»Free Account Retargeting Generic - T2 - EN</v></cell><cell r="AH538"><v>223691834</v></cell><cell r="AI538" t="str"><v>AzurePlatform_FreeAcctRetargetingFB-GlobalAlt-ChB_CAN_1200x628_SOC_Plat_EN_Free Account_Standard_NA_SU_T2_1</v></cell><cell r="AJ538"><v>102902953</v></cell></row><row r="539"><cell r="D539" t="str"><v>43355223691819</v></cell><cell r="E539" t="str"><v>433551029006823 - EN</v></cell><cell r="F539" t="str"><v>DCM</v></cell></row><row r="539"><cell r="H539"><v>2</v></cell><cell r="I539" t="str"><v>Azure Direct</v></cell><cell r="J539" t="str"><v>Azure Direct</v></cell><cell r="K539" t="str"><v>September</v></cell><cell r="L539"><v>43358</v></cell><cell r="M539" t="str"><v>Tier 1</v></cell><cell r="N539" t="str"><v>North America</v></cell><cell r="O539" t="str"><v>Canada</v></cell><cell r="P539" t="str"><v>Trial</v></cell><cell r="Q539" t="str"><v>Social</v></cell><cell r="R539" t="str"><v>Azure</v></cell><cell r="S539" t="str"><v>Apps & Infra</v></cell><cell r="T539" t="str"><v>Developers & ITI's</v></cell><cell r="U539" t="str"><v>AZR</v></cell><cell r="V539" t="str"><v>Retargeting</v></cell><cell r="W539" t="str"><v>NotApplicable</v></cell><cell r="X539" t="str"><v>1200x628</v></cell></row><row r="539"><cell r="Z539" t="str"><v>Animated Banner</v></cell><cell r="AA539"><v>43355</v></cell><cell r="AB539" t="str"><v>CAN_gaPMG_AZR_AZR_Q1_19_Trial-Social</v></cell><cell r="AC539"><v>21337220</v></cell><cell r="AD539"><v>720192</v></cell><cell r="AE539" t="str"><v>Facebook</v></cell><cell r="AF539"><v>3654128</v></cell><cell r="AG539" t="str"><v>Facebook»AZR»1x1»SocialBan»NA»ALL»DYN»RT»D»All»SS»NA»Free Account Retargeting Generic - T3 - EN</v></cell><cell r="AH539"><v>223691819</v></cell><cell r="AI539" t="str"><v>AzurePlatform_FreeAcctRetargetingFB-Animated-ChC_CAN_1200x628_SOC_Plat_EN_Free Account_Standard_ANI_SU_T3_1</v></cell><cell r="AJ539"><v>102900682</v></cell></row><row r="540"><cell r="D540" t="str"><v>43355223691777</v></cell><cell r="E540" t="str"><v>433551029006973 - FR</v></cell><cell r="F540" t="str"><v>DCM</v></cell></row><row r="540"><cell r="H540"><v>5</v></cell><cell r="I540" t="str"><v>Azure Direct</v></cell><cell r="J540" t="str"><v>Azure Direct</v></cell><cell r="K540" t="str"><v>September</v></cell><cell r="L540"><v>43358</v></cell><cell r="M540" t="str"><v>Tier 1</v></cell><cell r="N540" t="str"><v>North America</v></cell><cell r="O540" t="str"><v>Canada</v></cell><cell r="P540" t="str"><v>Trial</v></cell><cell r="Q540" t="str"><v>Social</v></cell><cell r="R540" t="str"><v>Azure</v></cell><cell r="S540" t="str"><v>Apps & Infra</v></cell><cell r="T540" t="str"><v>Developers & ITI's</v></cell><cell r="U540" t="str"><v>AZR</v></cell><cell r="V540" t="str"><v>Retargeting</v></cell><cell r="W540" t="str"><v>NotApplicable</v></cell><cell r="X540" t="str"><v>1200x628</v></cell></row><row r="540"><cell r="Z540" t="str"><v>Animated Banner</v></cell><cell r="AA540"><v>43355</v></cell><cell r="AB540" t="str"><v>CAN_gaPMG_AZR_AZR_Q1_19_Trial-Social</v></cell><cell r="AC540"><v>21337220</v></cell><cell r="AD540"><v>720192</v></cell><cell r="AE540" t="str"><v>Facebook</v></cell><cell r="AF540"><v>3654128</v></cell><cell r="AG540" t="str"><v>Facebook»AZR»1x1»SocialBan»NA»ALL»DYN»RT»D»All»SS»NA»Free Account Retargeting Generic - T3 - FR</v></cell><cell r="AH540"><v>223691777</v></cell><cell r="AI540" t="str"><v>AzurePlatform_FreeAcctRetargetingFB-Animated-ChC_CAN_1200x628_SOC_Plat_FR_Free Account_Standard_ANI_SU_T3_1</v></cell><cell r="AJ540"><v>102900697</v></cell></row><row r="541"><cell r="D541" t="str"><v>43355223691825</v></cell><cell r="E541" t="str"><v>433551029163381 - EN</v></cell><cell r="F541" t="str"><v>DCM</v></cell></row><row r="541"><cell r="H541"><v>6</v></cell><cell r="I541" t="str"><v>Azure Direct</v></cell><cell r="J541" t="str"><v>Azure Direct</v></cell><cell r="K541" t="str"><v>September</v></cell><cell r="L541"><v>43358</v></cell><cell r="M541" t="str"><v>Tier 1</v></cell><cell r="N541" t="str"><v>North America</v></cell><cell r="O541" t="str"><v>Canada</v></cell><cell r="P541" t="str"><v>Trial</v></cell><cell r="Q541" t="str"><v>Social</v></cell><cell r="R541" t="str"><v>Azure</v></cell><cell r="S541" t="str"><v>Apps & Infra</v></cell><cell r="T541" t="str"><v>Developers & ITI's</v></cell><cell r="U541" t="str"><v>AZR</v></cell><cell r="V541" t="str"><v>Retargeting</v></cell><cell r="W541" t="str"><v>NotApplicable</v></cell><cell r="X541" t="str"><v>1200x628</v></cell></row><row r="541"><cell r="Z541" t="str"><v>Not Applicable</v></cell><cell r="AA541"><v>43355</v></cell><cell r="AB541" t="str"><v>CAN_gaPMG_AZR_AZR_Q1_19_Trial-Social</v></cell><cell r="AC541"><v>21337220</v></cell><cell r="AD541"><v>720192</v></cell><cell r="AE541" t="str"><v>Facebook</v></cell><cell r="AF541"><v>3654128</v></cell><cell r="AG541" t="str"><v>Facebook»AZR»1x1»SocialBan»NA»ALL»DYN»RT»D»All»SS»NA»Free Account Retargeting VM - T1 - EN</v></cell><cell r="AH541"><v>223691825</v></cell><cell r="AI541" t="str"><v>AzurePlatform_FreeAcctRetargetingVMFB-750Hrs-ChD_CAN_1200x628_SOC_Plat_EN_Free Account_Standard_NA_SU_T1_1</v></cell><cell r="AJ541"><v>102916338</v></cell></row><row r="542"><cell r="D542" t="str"><v>43355223691822</v></cell><cell r="E542" t="str"><v>433551030587082 - EN</v></cell><cell r="F542" t="str"><v>DCM</v></cell></row><row r="542"><cell r="H542"><v>3</v></cell><cell r="I542" t="str"><v>Azure Direct</v></cell><cell r="J542" t="str"><v>Azure Direct</v></cell><cell r="K542" t="str"><v>September</v></cell><cell r="L542"><v>43358</v></cell><cell r="M542" t="str"><v>Tier 1</v></cell><cell r="N542" t="str"><v>North America</v></cell><cell r="O542" t="str"><v>Canada</v></cell><cell r="P542" t="str"><v>Trial</v></cell><cell r="Q542" t="str"><v>Social</v></cell><cell r="R542" t="str"><v>Azure</v></cell><cell r="S542" t="str"><v>Apps & Infra</v></cell><cell r="T542" t="str"><v>Developers & ITI's</v></cell><cell r="U542" t="str"><v>AZR</v></cell><cell r="V542" t="str"><v>Retargeting</v></cell><cell r="W542" t="str"><v>NotApplicable</v></cell><cell r="X542" t="str"><v>1200x628</v></cell></row><row r="542"><cell r="Z542" t="str"><v>Not Applicable</v></cell><cell r="AA542"><v>43355</v></cell><cell r="AB542" t="str"><v>CAN_gaPMG_AZR_AZR_Q1_19_Trial-Social</v></cell><cell r="AC542"><v>21337220</v></cell><cell r="AD542"><v>720192</v></cell><cell r="AE542" t="str"><v>Facebook</v></cell><cell r="AF542"><v>3654128</v></cell><cell r="AG542" t="str"><v>Facebook»AZR»1x1»SocialBan»NA»ALL»DYN»RT»D»All»SS»NA»Free Account Retargeting VM - T2 - EN</v></cell><cell r="AH542"><v>223691822</v></cell><cell r="AI542" t="str"><v>AzurePlatform_FreeAcctRetargetingVMFB-OnDemand-ChE_CAN_1200x628_SOC_Plat_EN_Free Account_Standard_NA_SU_T2_1</v></cell><cell r="AJ542"><v>103058708</v></cell></row><row r="543"><cell r="D543" t="str"><v>43355223691780</v></cell><cell r="E543" t="str"><v>433551030587262 - FR</v></cell><cell r="F543" t="str"><v>DCM</v></cell></row><row r="543"><cell r="H543"><v>0</v></cell><cell r="I543" t="str"><v>Azure Direct</v></cell><cell r="J543" t="str"><v>Azure Direct</v></cell><cell r="K543" t="str"><v>September</v></cell><cell r="L543"><v>43358</v></cell><cell r="M543" t="str"><v>Tier 1</v></cell><cell r="N543" t="str"><v>North America</v></cell><cell r="O543" t="str"><v>Canada</v></cell><cell r="P543" t="str"><v>Trial</v></cell><cell r="Q543" t="str"><v>Social</v></cell><cell r="R543" t="str"><v>Azure</v></cell><cell r="S543" t="str"><v>Apps & Infra</v></cell><cell r="T543" t="str"><v>Developers & ITI's</v></cell><cell r="U543" t="str"><v>AZR</v></cell><cell r="V543" t="str"><v>Retargeting</v></cell><cell r="W543" t="str"><v>NotApplicable</v></cell><cell r="X543" t="str"><v>1200x628</v></cell></row><row r="543"><cell r="Z543" t="str"><v>Not Applicable</v></cell><cell r="AA543"><v>43355</v></cell><cell r="AB543" t="str"><v>CAN_gaPMG_AZR_AZR_Q1_19_Trial-Social</v></cell><cell r="AC543"><v>21337220</v></cell><cell r="AD543"><v>720192</v></cell><cell r="AE543" t="str"><v>Facebook</v></cell><cell r="AF543"><v>3654128</v></cell><cell r="AG543" t="str"><v>Facebook»AZR»1x1»SocialBan»NA»ALL»DYN»RT»D»All»SS»NA»Free Account Retargeting VM - T2 - FR</v></cell><cell r="AH543"><v>223691780</v></cell><cell r="AI543" t="str"><v>AzurePlatform_FreeAcctRetargetingVMFB-OnDemand-ChE_CAN_1200x628_SOC_Plat_FR_Free Account_Standard_NA_SU_T2_1</v></cell><cell r="AJ543"><v>103058726</v></cell></row><row r="544"><cell r="D544" t="str"><v>43355223691801</v></cell><cell r="E544" t="str"><v>433551030533231 - FR</v></cell><cell r="F544" t="str"><v>DCM</v></cell></row><row r="544"><cell r="H544"><v>0</v></cell><cell r="I544" t="str"><v>Azure Direct</v></cell><cell r="J544" t="str"><v>Azure Direct</v></cell><cell r="K544" t="str"><v>September</v></cell><cell r="L544"><v>43358</v></cell><cell r="M544" t="str"><v>Tier 1</v></cell><cell r="N544" t="str"><v>North America</v></cell><cell r="O544" t="str"><v>Canada</v></cell><cell r="P544" t="str"><v>Trial</v></cell><cell r="Q544" t="str"><v>Social</v></cell><cell r="R544" t="str"><v>Azure</v></cell><cell r="S544" t="str"><v>Apps & Infra</v></cell><cell r="T544" t="str"><v>Developers & ITI's</v></cell><cell r="U544" t="str"><v>AZR</v></cell><cell r="V544" t="str"><v>Audience Targeting</v></cell><cell r="W544" t="str"><v>Engagement Video</v></cell><cell r="X544" t="str"><v>10s</v></cell><cell r="Y544" t="str"><v>Try Azure Free</v></cell><cell r="Z544" t="str"><v>Standard videos</v></cell><cell r="AA544"><v>43355</v></cell><cell r="AB544" t="str"><v>CAN_gaPMG_AZR_AZR_Q1_19_Trial-Social</v></cell><cell r="AC544"><v>21337220</v></cell><cell r="AD544"><v>720192</v></cell><cell r="AE544" t="str"><v>Facebook</v></cell><cell r="AF544"><v>3654128</v></cell><cell r="AG544" t="str"><v>Facebook»AZR»1x1»NA»EGV»ALL»DYN»AUT»D»All»SS»NA»Free Acc CTC - T1 - FR</v></cell><cell r="AH544"><v>223691801</v></cell><cell r="AI544" t="str"><v>AzurePlatform_FBCTCBasicMotion_CAN_10s_ISV_PLAT_FR_Trial_Standard_STAN_TN_T1_1</v></cell><cell r="AJ544"><v>103053323</v></cell></row><row r="545"><cell r="D545" t="str"><v>43355223691795</v></cell><cell r="E545" t="str"><v>433551029006884 - FR</v></cell><cell r="F545" t="str"><v>DCM</v></cell></row><row r="545"><cell r="H545"><v>0</v></cell><cell r="I545" t="str"><v>Azure Direct</v></cell><cell r="J545" t="str"><v>Azure Direct</v></cell><cell r="K545" t="str"><v>September</v></cell><cell r="L545"><v>43358</v></cell><cell r="M545" t="str"><v>Tier 1</v></cell><cell r="N545" t="str"><v>North America</v></cell><cell r="O545" t="str"><v>Canada</v></cell><cell r="P545" t="str"><v>Trial</v></cell><cell r="Q545" t="str"><v>Social</v></cell><cell r="R545" t="str"><v>Azure</v></cell><cell r="S545" t="str"><v>Apps & Infra</v></cell><cell r="T545" t="str"><v>Developers & ITI's</v></cell><cell r="U545" t="str"><v>AZR</v></cell><cell r="V545" t="str"><v>Audience Targeting</v></cell><cell r="W545" t="str"><v>Engagement Video</v></cell><cell r="X545" t="str"><v>14s</v></cell><cell r="Y545" t="str"><v>Try Azure Free</v></cell><cell r="Z545" t="str"><v>Standard videos</v></cell><cell r="AA545"><v>43355</v></cell><cell r="AB545" t="str"><v>CAN_gaPMG_AZR_AZR_Q1_19_Trial-Social</v></cell><cell r="AC545"><v>21337220</v></cell><cell r="AD545"><v>720192</v></cell><cell r="AE545" t="str"><v>Facebook</v></cell><cell r="AF545"><v>3654128</v></cell><cell r="AG545" t="str"><v>Facebook»AZR»1x1»NA»EGV»ALL»DYN»AUT»D»All»SS»NA»Free Acc CTC - T4 - FR</v></cell><cell r="AH545"><v>223691795</v></cell><cell r="AI545" t="str"><v>AzurePlatform_FBCTCBenefit2inMotion_CAN_14s_ISV_PLAT_FR_Trial_Standard_STAN_TN_T4_1</v></cell><cell r="AJ545"><v>102900688</v></cell></row><row r="546"><cell r="D546" t="str"><v>43355227525720</v></cell><cell r="E546" t="str"><v>43355105130125e - EN</v></cell><cell r="F546" t="str"><v>DCM</v></cell></row><row r="546"><cell r="H546"><v>0</v></cell><cell r="I546" t="str"><v>Azure Direct</v></cell><cell r="J546" t="str"><v>Azure Direct</v></cell><cell r="K546" t="str"><v>September</v></cell><cell r="L546"><v>43358</v></cell><cell r="M546" t="str"><v>Tier 1</v></cell><cell r="N546" t="str"><v>North America</v></cell><cell r="O546" t="str"><v>Canada</v></cell><cell r="P546" t="str"><v>Trial</v></cell><cell r="Q546" t="str"><v>Social</v></cell><cell r="R546" t="str"><v>Azure</v></cell><cell r="S546" t="str"><v>Apps & Infra</v></cell><cell r="T546" t="str"><v>Developers & ITI's</v></cell><cell r="U546" t="str"><v>AZR</v></cell><cell r="V546" t="str"><v>Audience Targeting</v></cell><cell r="W546" t="str"><v>Canvas Ad</v></cell><cell r="X546" t="str"><v>1080x1080</v></cell><cell r="Y546" t="str"><v>Free Trial</v></cell><cell r="Z546" t="str"><v>Not Applicable</v></cell><cell r="AA546"><v>43355</v></cell><cell r="AB546" t="str"><v>CAN_gaPMG_AZR_AZR_Q1_19_Trial-Social</v></cell><cell r="AC546"><v>21337220</v></cell><cell r="AD546"><v>720192</v></cell><cell r="AE546" t="str"><v>Facebook</v></cell><cell r="AF546"><v>3654128</v></cell><cell r="AG546" t="str"><v>Facebook»AZR»1x1»NA»NA»ALL»DYN»AUT»D»All»SS»NA»Free Account Create to Convert FB - Canvas - Benefit - Start Free - EN</v></cell><cell r="AH546"><v>227525720</v></cell><cell r="AI546" t="str"><v>AzurePlatform_FBCTCBenefit2inMotion_CAN_1080x1080_SOC_14s_ISV_English_Standard_NA_FTR_T4_1</v></cell><cell r="AJ546"><v>105130125</v></cell></row><row r="547"><cell r="D547" t="str"><v>43355227522768</v></cell><cell r="E547" t="str"><v>43355105216995ee -FR</v></cell><cell r="F547" t="str"><v>DCM</v></cell></row><row r="547"><cell r="H547"><v>0</v></cell><cell r="I547" t="str"><v>Azure Direct</v></cell><cell r="J547" t="str"><v>Azure Direct</v></cell><cell r="K547" t="str"><v>September</v></cell><cell r="L547"><v>43358</v></cell><cell r="M547" t="str"><v>Tier 1</v></cell><cell r="N547" t="str"><v>North America</v></cell><cell r="O547" t="str"><v>Canada</v></cell><cell r="P547" t="str"><v>Trial</v></cell><cell r="Q547" t="str"><v>Social</v></cell><cell r="R547" t="str"><v>Azure</v></cell><cell r="S547" t="str"><v>Apps & Infra</v></cell><cell r="T547" t="str"><v>Developers & ITI's</v></cell><cell r="U547" t="str"><v>AZR</v></cell><cell r="V547" t="str"><v>Audience Targeting</v></cell><cell r="W547" t="str"><v>Canvas Ad</v></cell><cell r="X547" t="str"><v>1080x1080</v></cell><cell r="Y547" t="str"><v>Free Trial</v></cell><cell r="Z547" t="str"><v>Not Applicable</v></cell><cell r="AA547"><v>43355</v></cell><cell r="AB547" t="str"><v>CAN_gaPMG_AZR_AZR_Q1_19_Trial-Social</v></cell><cell r="AC547"><v>21337220</v></cell><cell r="AD547"><v>720192</v></cell><cell r="AE547" t="str"><v>Facebook</v></cell><cell r="AF547"><v>3654128</v></cell><cell r="AG547" t="str"><v>Facebook»AZR»1x1»NA»NA»ALL»DYN»AUT»D»All»SS»NA»Free Account Create to Convert FB - Canvas - Basic - Start Free -FR</v></cell><cell r="AH547"><v>227522768</v></cell><cell r="AI547" t="str"><v>AzurePlatform_FBCTCBasicMotion_CAN_1080x1080_SOC_10s_ISV_FR_Standard_NA_FTR_T1_1</v></cell><cell r="AJ547"><v>105216995</v></cell></row><row r="548"><cell r="D548" t="str"><v>43355224009494</v></cell><cell r="E548" t="str"><v>43355103236186-11000</v></cell><cell r="F548" t="str"><v>DCM</v></cell></row><row r="548"><cell r="H548"><v>0</v></cell><cell r="I548" t="str"><v>Azure Direct</v></cell><cell r="J548" t="str"><v>Azure Direct</v></cell><cell r="K548" t="str"><v>September</v></cell><cell r="L548"><v>43358</v></cell><cell r="M548" t="str"><v>Tier 1</v></cell><cell r="N548" t="str"><v>EMEA</v></cell><cell r="O548" t="str"><v>Germany</v></cell><cell r="P548" t="str"><v>Trial</v></cell><cell r="Q548" t="str"><v>Social</v></cell><cell r="R548" t="str"><v>Azure</v></cell><cell r="S548" t="str"><v>Apps & Infra</v></cell><cell r="T548" t="str"><v>Developers & ITI's</v></cell><cell r="U548" t="str"><v>DEV-ITP-AZR-FB|CanvasAds|Interesttargeting</v></cell><cell r="V548" t="str"><v>Audience Targeting</v></cell><cell r="W548" t="str"><v>Canvas Ad</v></cell><cell r="X548" t="str"><v>10s</v></cell><cell r="Y548" t="str"><v>Try Azure Free</v></cell><cell r="Z548" t="str"><v>Standard videos</v></cell><cell r="AA548"><v>43355</v></cell><cell r="AB548" t="str"><v>DEU_gaPMG_AZR_AZR_Q1_19_Trial-Social- 39684</v></cell><cell r="AC548"><v>21359477</v></cell><cell r="AD548"><v>720194</v></cell><cell r="AE548" t="str"><v>Facebook</v></cell><cell r="AF548"><v>3654128</v></cell><cell r="AG548" t="str"><v>Facebook»DEV-ITP-AZR-FB|CanvasAds|Interesttargeting»1x1»TextLink»CAN»DT»CPM»AUT»W»NA»SS»NA»39684020-11000</v></cell><cell r="AH548"><v>224009494</v></cell><cell r="AI548" t="str"><v>AzurePlatform_FBCTCBasicMotion-StartFreeCT_DEU_10s_ISV_PLAT_DE_Trial_Standard_STAN_TN_T1_1</v></cell><cell r="AJ548"><v>103236186</v></cell></row><row r="549"><cell r="D549" t="str"><v>43355224009494</v></cell><cell r="E549" t="str"><v>43355103237290-11000</v></cell><cell r="F549" t="str"><v>DCM</v></cell></row><row r="549"><cell r="H549"><v>0</v></cell><cell r="I549" t="str"><v>Azure Direct</v></cell><cell r="J549" t="str"><v>Azure Direct</v></cell><cell r="K549" t="str"><v>September</v></cell><cell r="L549"><v>43358</v></cell><cell r="M549" t="str"><v>Tier 1</v></cell><cell r="N549" t="str"><v>EMEA</v></cell><cell r="O549" t="str"><v>Germany</v></cell><cell r="P549" t="str"><v>Trial</v></cell><cell r="Q549" t="str"><v>Social</v></cell><cell r="R549" t="str"><v>Azure</v></cell><cell r="S549" t="str"><v>Apps & Infra</v></cell><cell r="T549" t="str"><v>Developers & ITI's</v></cell><cell r="U549" t="str"><v>DEV-ITP-AZR-FB|CanvasAds|Interesttargeting</v></cell><cell r="V549" t="str"><v>Audience Targeting</v></cell><cell r="W549" t="str"><v>Canvas Ad</v></cell><cell r="X549" t="str"><v>14s</v></cell><cell r="Y549" t="str"><v>Try Azure Free</v></cell><cell r="Z549" t="str"><v>Standard videos</v></cell><cell r="AA549"><v>43355</v></cell><cell r="AB549" t="str"><v>DEU_gaPMG_AZR_AZR_Q1_19_Trial-Social- 39684</v></cell><cell r="AC549"><v>21359477</v></cell><cell r="AD549"><v>720194</v></cell><cell r="AE549" t="str"><v>Facebook</v></cell><cell r="AF549"><v>3654128</v></cell><cell r="AG549" t="str"><v>Facebook»DEV-ITP-AZR-FB|CanvasAds|Interesttargeting»1x1»TextLink»CAN»DT»CPM»AUT»W»NA»SS»NA»39684020-11000</v></cell><cell r="AH549"><v>224009494</v></cell><cell r="AI549" t="str"><v>AzurePlatform_FBCTCBenefit2inMotion-StartFreeCT_DEU_14s_ISV_PLAT_DE_Trial_Standard_STAN_TN_T4_1</v></cell><cell r="AJ549"><v>103237290</v></cell></row><row r="550"><cell r="D550" t="str"><v>43355224009494</v></cell><cell r="E550" t="str"><v>43355103237293-11000</v></cell><cell r="F550" t="str"><v>DCM</v></cell></row><row r="550"><cell r="H550"><v>0</v></cell><cell r="I550" t="str"><v>Azure Direct</v></cell><cell r="J550" t="str"><v>Azure Direct</v></cell><cell r="K550" t="str"><v>September</v></cell><cell r="L550"><v>43358</v></cell><cell r="M550" t="str"><v>Tier 1</v></cell><cell r="N550" t="str"><v>EMEA</v></cell><cell r="O550" t="str"><v>Germany</v></cell><cell r="P550" t="str"><v>Trial</v></cell><cell r="Q550" t="str"><v>Social</v></cell><cell r="R550" t="str"><v>Azure</v></cell><cell r="S550" t="str"><v>Apps & Infra</v></cell><cell r="T550" t="str"><v>Developers & ITI's</v></cell><cell r="U550" t="str"><v>DEV-ITP-AZR-FB|CanvasAds|Interesttargeting</v></cell><cell r="V550" t="str"><v>Audience Targeting</v></cell><cell r="W550" t="str"><v>Canvas Ad</v></cell><cell r="X550" t="str"><v>12s</v></cell><cell r="Y550" t="str"><v>Try Azure Free</v></cell><cell r="Z550" t="str"><v>Standard videos</v></cell><cell r="AA550"><v>43355</v></cell><cell r="AB550" t="str"><v>DEU_gaPMG_AZR_AZR_Q1_19_Trial-Social- 39684</v></cell><cell r="AC550"><v>21359477</v></cell><cell r="AD550"><v>720194</v></cell><cell r="AE550" t="str"><v>Facebook</v></cell><cell r="AF550"><v>3654128</v></cell><cell r="AG550" t="str"><v>Facebook»DEV-ITP-AZR-FB|CanvasAds|Interesttargeting»1x1»TextLink»CAN»DT»CPM»AUT»W»NA»SS»NA»39684020-11000</v></cell><cell r="AH550"><v>224009494</v></cell><cell r="AI550" t="str"><v>AzurePlatform_FBCTCBrandinMotion-StartFreeCT_DEU_12s_ISV_PLAT_DE_Trial_Standard_STAN_TN_T2_1</v></cell><cell r="AJ550"><v>103237293</v></cell></row><row r="551"><cell r="D551" t="str"><v>43355224010415</v></cell><cell r="E551" t="str"><v>43355103040320-11000</v></cell><cell r="F551" t="str"><v>DCM</v></cell></row><row r="551"><cell r="H551"><v>1</v></cell><cell r="I551" t="str"><v>Azure Direct</v></cell><cell r="J551" t="str"><v>Azure Direct</v></cell><cell r="K551" t="str"><v>September</v></cell><cell r="L551"><v>43358</v></cell><cell r="M551" t="str"><v>Tier 1</v></cell><cell r="N551" t="str"><v>EMEA</v></cell><cell r="O551" t="str"><v>Germany</v></cell><cell r="P551" t="str"><v>Trial</v></cell><cell r="Q551" t="str"><v>Social</v></cell><cell r="R551" t="str"><v>Azure</v></cell><cell r="S551" t="str"><v>Apps & Infra</v></cell><cell r="T551" t="str"><v>Developers & ITI's</v></cell><cell r="U551" t="str"><v>DEV-ITP-AZR-FB|LinkAd|CustomerAudienceRetargeting</v></cell><cell r="V551" t="str"><v>Retargeting</v></cell><cell r="W551" t="str"><v>Link Ad</v></cell><cell r="X551" t="str"><v>1200x628</v></cell></row><row r="551"><cell r="Z551" t="str"><v>Not Applicable</v></cell><cell r="AA551"><v>43355</v></cell><cell r="AB551" t="str"><v>DEU_gaPMG_AZR_AZR_Q1_19_Trial-Social- 39684</v></cell><cell r="AC551"><v>21359477</v></cell><cell r="AD551"><v>720194</v></cell><cell r="AE551" t="str"><v>Facebook</v></cell><cell r="AF551"><v>3654128</v></cell><cell r="AG551" t="str"><v>Facebook»DEV-ITP-AZR-FB|LinkAd|CustomerAudienceRetargeting»1x1»TextLink»LIA»DT»CPM»RT»W»NA»SS»NA»39684019-11000</v></cell><cell r="AH551"><v>224010415</v></cell><cell r="AI551" t="str"><v>AzurePlatform_FreeAcctRetargetingFB-GlobalAlt-ChB_DEU_1200x628_SOC_Plat_DE_Free Account_Standard_NA_SNU_T2_1</v></cell><cell r="AJ551"><v>103040320</v></cell></row><row r="552"><cell r="D552" t="str"><v>43355224010415</v></cell><cell r="E552" t="str"><v>43355103055394-11000</v></cell><cell r="F552" t="str"><v>DCM</v></cell></row><row r="552"><cell r="H552"><v>3</v></cell><cell r="I552" t="str"><v>Azure Direct</v></cell><cell r="J552" t="str"><v>Azure Direct</v></cell><cell r="K552" t="str"><v>September</v></cell><cell r="L552"><v>43358</v></cell><cell r="M552" t="str"><v>Tier 1</v></cell><cell r="N552" t="str"><v>EMEA</v></cell><cell r="O552" t="str"><v>Germany</v></cell><cell r="P552" t="str"><v>Trial</v></cell><cell r="Q552" t="str"><v>Social</v></cell><cell r="R552" t="str"><v>Azure</v></cell><cell r="S552" t="str"><v>Apps & Infra</v></cell><cell r="T552" t="str"><v>Developers & ITI's</v></cell><cell r="U552" t="str"><v>DEV-ITP-AZR-FB|LinkAd|CustomerAudienceRetargeting</v></cell><cell r="V552" t="str"><v>Retargeting</v></cell><cell r="W552" t="str"><v>Link Ad</v></cell><cell r="X552" t="str"><v>1200x628</v></cell></row><row r="552"><cell r="Z552" t="str"><v>Not Applicable</v></cell><cell r="AA552"><v>43355</v></cell><cell r="AB552" t="str"><v>DEU_gaPMG_AZR_AZR_Q1_19_Trial-Social- 39684</v></cell><cell r="AC552"><v>21359477</v></cell><cell r="AD552"><v>720194</v></cell><cell r="AE552" t="str"><v>Facebook</v></cell><cell r="AF552"><v>3654128</v></cell><cell r="AG552" t="str"><v>Facebook»DEV-ITP-AZR-FB|LinkAd|CustomerAudienceRetargeting»1x1»TextLink»LIA»DT»CPM»RT»W»NA»SS»NA»39684019-11000</v></cell><cell r="AH552"><v>224010415</v></cell><cell r="AI552" t="str"><v>AzurePlatform_FreeAcctRetargetingOSSFB-Text-ChF_DEU_1200x628_SOC_Plat_DE_Free Account_Standard_NA_SNU_T1_1</v></cell><cell r="AJ552"><v>103055394</v></cell></row><row r="553"><cell r="D553" t="str"><v>43355224010415</v></cell><cell r="E553" t="str"><v>43355103043341-11000</v></cell><cell r="F553" t="str"><v>DCM</v></cell></row><row r="553"><cell r="H553"><v>9</v></cell><cell r="I553" t="str"><v>Azure Direct</v></cell><cell r="J553" t="str"><v>Azure Direct</v></cell><cell r="K553" t="str"><v>September</v></cell><cell r="L553"><v>43358</v></cell><cell r="M553" t="str"><v>Tier 1</v></cell><cell r="N553" t="str"><v>EMEA</v></cell><cell r="O553" t="str"><v>Germany</v></cell><cell r="P553" t="str"><v>Trial</v></cell><cell r="Q553" t="str"><v>Social</v></cell><cell r="R553" t="str"><v>Azure</v></cell><cell r="S553" t="str"><v>Apps & Infra</v></cell><cell r="T553" t="str"><v>Developers & ITI's</v></cell><cell r="U553" t="str"><v>DEV-ITP-AZR-FB|LinkAd|CustomerAudienceRetargeting</v></cell><cell r="V553" t="str"><v>Retargeting</v></cell><cell r="W553" t="str"><v>Link Ad</v></cell><cell r="X553" t="str"><v>1200x628</v></cell></row><row r="553"><cell r="Z553" t="str"><v>Not Applicable</v></cell><cell r="AA553"><v>43355</v></cell><cell r="AB553" t="str"><v>DEU_gaPMG_AZR_AZR_Q1_19_Trial-Social- 39684</v></cell><cell r="AC553"><v>21359477</v></cell><cell r="AD553"><v>720194</v></cell><cell r="AE553" t="str"><v>Facebook</v></cell><cell r="AF553"><v>3654128</v></cell><cell r="AG553" t="str"><v>Facebook»DEV-ITP-AZR-FB|LinkAd|CustomerAudienceRetargeting»1x1»TextLink»LIA»DT»CPM»RT»W»NA»SS»NA»39684019-11000</v></cell><cell r="AH553"><v>224010415</v></cell><cell r="AI553" t="str"><v>AzurePlatform_FreeAcctRetargetingVMFB-750Hrs-ChD_DEU_1200x628_SOC_Plat_DE_Free Account_Standard_NA_SNU_T1_1</v></cell><cell r="AJ553"><v>103043341</v></cell></row><row r="554"><cell r="D554" t="str"><v>43355224010415</v></cell><cell r="E554" t="str"><v>43355103043338-11000</v></cell><cell r="F554" t="str"><v>DCM</v></cell></row><row r="554"><cell r="H554"><v>1</v></cell><cell r="I554" t="str"><v>Azure Direct</v></cell><cell r="J554" t="str"><v>Azure Direct</v></cell><cell r="K554" t="str"><v>September</v></cell><cell r="L554"><v>43358</v></cell><cell r="M554" t="str"><v>Tier 1</v></cell><cell r="N554" t="str"><v>EMEA</v></cell><cell r="O554" t="str"><v>Germany</v></cell><cell r="P554" t="str"><v>Trial</v></cell><cell r="Q554" t="str"><v>Social</v></cell><cell r="R554" t="str"><v>Azure</v></cell><cell r="S554" t="str"><v>Apps & Infra</v></cell><cell r="T554" t="str"><v>Developers & ITI's</v></cell><cell r="U554" t="str"><v>DEV-ITP-AZR-FB|LinkAd|CustomerAudienceRetargeting</v></cell><cell r="V554" t="str"><v>Retargeting</v></cell><cell r="W554" t="str"><v>Link Ad</v></cell><cell r="X554" t="str"><v>1200x628</v></cell></row><row r="554"><cell r="Z554" t="str"><v>Not Applicable</v></cell><cell r="AA554"><v>43355</v></cell><cell r="AB554" t="str"><v>DEU_gaPMG_AZR_AZR_Q1_19_Trial-Social- 39684</v></cell><cell r="AC554"><v>21359477</v></cell><cell r="AD554"><v>720194</v></cell><cell r="AE554" t="str"><v>Facebook</v></cell><cell r="AF554"><v>3654128</v></cell><cell r="AG554" t="str"><v>Facebook»DEV-ITP-AZR-FB|LinkAd|CustomerAudienceRetargeting»1x1»TextLink»LIA»DT»CPM»RT»W»NA»SS»NA»39684019-11000</v></cell><cell r="AH554"><v>224010415</v></cell><cell r="AI554" t="str"><v>AzurePlatform_FreeAcctRetargetingVMFB-OnDemand-ChE_DEU_1200x628_SOC_Plat_DE_Free Account_Standard_NA_SNU_T2_1</v></cell><cell r="AJ554"><v>103043338</v></cell></row><row r="555"><cell r="D555" t="str"><v>43355224010415</v></cell><cell r="E555" t="str"><v>43355103048548-11000</v></cell><cell r="F555" t="str"><v>DCM</v></cell></row><row r="555"><cell r="H555"><v>1</v></cell><cell r="I555" t="str"><v>Azure Direct</v></cell><cell r="J555" t="str"><v>Azure Direct</v></cell><cell r="K555" t="str"><v>September</v></cell><cell r="L555"><v>43358</v></cell><cell r="M555" t="str"><v>Tier 1</v></cell><cell r="N555" t="str"><v>EMEA</v></cell><cell r="O555" t="str"><v>Germany</v></cell><cell r="P555" t="str"><v>Trial</v></cell><cell r="Q555" t="str"><v>Social</v></cell><cell r="R555" t="str"><v>Azure</v></cell><cell r="S555" t="str"><v>Apps & Infra</v></cell><cell r="T555" t="str"><v>Developers & ITI's</v></cell><cell r="U555" t="str"><v>DEV-ITP-AZR-FB|LinkAd|CustomerAudienceRetargeting</v></cell><cell r="V555" t="str"><v>Retargeting</v></cell><cell r="W555" t="str"><v>Link Ad</v></cell><cell r="X555" t="str"><v>1200x628</v></cell></row><row r="555"><cell r="Z555" t="str"><v>Animated Banner</v></cell><cell r="AA555"><v>43355</v></cell><cell r="AB555" t="str"><v>DEU_gaPMG_AZR_AZR_Q1_19_Trial-Social- 39684</v></cell><cell r="AC555"><v>21359477</v></cell><cell r="AD555"><v>720194</v></cell><cell r="AE555" t="str"><v>Facebook</v></cell><cell r="AF555"><v>3654128</v></cell><cell r="AG555" t="str"><v>Facebook»DEV-ITP-AZR-FB|LinkAd|CustomerAudienceRetargeting»1x1»TextLink»LIA»DT»CPM»RT»W»NA»SS»NA»39684019-11000</v></cell><cell r="AH555"><v>224010415</v></cell><cell r="AI555" t="str"><v>AzurePlatform_FreeAcctRetargetingFB-Animated-ChC_DEU_1200x628_SOC_Plat_DE_Free Account_Standard_ANI_SNU_T3_1</v></cell><cell r="AJ555"><v>103048548</v></cell></row><row r="556"><cell r="D556" t="str"><v>43355224416915</v></cell><cell r="E556" t="str"><v>43355103376981Trials</v></cell><cell r="F556" t="str"><v>DCM</v></cell></row><row r="556"><cell r="H556"><v>0</v></cell><cell r="I556" t="str"><v>Azure Direct</v></cell><cell r="J556" t="str"><v>Azure Direct</v></cell><cell r="K556" t="str"><v>September</v></cell><cell r="L556"><v>43358</v></cell><cell r="M556" t="str"><v>Tier 1</v></cell><cell r="N556" t="str"><v>EMEA</v></cell><cell r="O556" t="str"><v>France</v></cell><cell r="P556" t="str"><v>Trial</v></cell><cell r="Q556" t="str"><v>Social</v></cell><cell r="R556" t="str"><v>Azure</v></cell><cell r="S556" t="str"><v>Apps & Infra</v></cell><cell r="T556" t="str"><v>Developers & ITI's</v></cell><cell r="U556" t="str"><v>Developers/ITPros-Azure Direct-Sponsored Post-Video Ad-FBCTCBasicMotion_FRA_10s_RTG Landing Page</v></cell><cell r="V556" t="str"><v>Behavioral Targeting</v></cell><cell r="W556" t="str"><v>Video Ad</v></cell><cell r="X556" t="str"><v>10s</v></cell><cell r="Y556" t="str"><v>Try it Now</v></cell><cell r="Z556" t="str"><v>Standard videos</v></cell><cell r="AA556"><v>43355</v></cell><cell r="AB556" t="str"><v>FRA_gaPMG_AZR_AZR_Q1_19_AzureDirect-Trial-Social</v></cell><cell r="AC556"><v>21356941</v></cell><cell r="AD556"><v>720193</v></cell><cell r="AE556" t="str"><v>Facebook</v></cell><cell r="AF556"><v>3654128</v></cell><cell r="AG556" t="str"><v>Facebook»Developers/ITPros-Azure Direct-Sponsored Post-Video Ad-FBCTCBasicMotion_FRA_10s_RTG Landing Page»1x1»05s»SOC»ALL»CPC»BT»D»UNK»SS»NA»Trials</v></cell><cell r="AH556"><v>224416915</v></cell><cell r="AI556" t="str"><v>AZR_FBCTCBasicMotion_FRA_10s_VIA_AZRDirect_French_NA_Facebook_STAN_TIN_T1_1</v></cell><cell r="AJ556"><v>103376981</v></cell></row><row r="557"><cell r="D557" t="str"><v>43355224560875</v></cell><cell r="E557" t="str"><v>43355103259766Trials</v></cell><cell r="F557" t="str"><v>DCM</v></cell></row><row r="557"><cell r="H557"><v>0</v></cell><cell r="I557" t="str"><v>Azure Direct</v></cell><cell r="J557" t="str"><v>Azure Direct</v></cell><cell r="K557" t="str"><v>September</v></cell><cell r="L557"><v>43358</v></cell><cell r="M557" t="str"><v>Tier 1</v></cell><cell r="N557" t="str"><v>EMEA</v></cell><cell r="O557" t="str"><v>France</v></cell><cell r="P557" t="str"><v>Trial</v></cell><cell r="Q557" t="str"><v>Social</v></cell><cell r="R557" t="str"><v>Azure</v></cell><cell r="S557" t="str"><v>Apps & Infra</v></cell><cell r="T557" t="str"><v>Developers & ITI's</v></cell><cell r="U557" t="str"><v>Developers/ITPros-Azure Direct-Sponsored Post-Video Ad-FBCTCBenefit2inMotion_FRA_14s_RTG Landing Page</v></cell><cell r="V557" t="str"><v>Behavioral Targeting</v></cell><cell r="W557" t="str"><v>Video Ad</v></cell><cell r="X557" t="str"><v>14s</v></cell><cell r="Y557" t="str"><v>Try it Now</v></cell><cell r="Z557" t="str"><v>Standard videos</v></cell><cell r="AA557"><v>43355</v></cell><cell r="AB557" t="str"><v>FRA_gaPMG_AZR_AZR_Q1_19_AzureDirect-Trial-Social</v></cell><cell r="AC557"><v>21356941</v></cell><cell r="AD557"><v>720193</v></cell><cell r="AE557" t="str"><v>Facebook</v></cell><cell r="AF557"><v>3654128</v></cell><cell r="AG557" t="str"><v>Facebook»Developers/ITPros-Azure Direct-Sponsored Post-Video Ad-FBCTCBenefit2inMotion_FRA_14s_RTG Landing Page»1x1»06s»SOC»ALL»CPC»BT»D»UNK»SS»NA»Trials</v></cell><cell r="AH557"><v>224560875</v></cell><cell r="AI557" t="str"><v>AZR_FBCTCBenefit2inMotion_FRA_14s_VIA_AZRDirect_French_NA_Facebook_STAN_TIN_T4_1</v></cell><cell r="AJ557"><v>103259766</v></cell></row><row r="558"><cell r="D558" t="str"><v>43355226360001</v></cell><cell r="E558" t="str"><v>43355104456278Trials</v></cell><cell r="F558" t="str"><v>DCM</v></cell></row><row r="558"><cell r="H558"><v>0</v></cell><cell r="I558" t="str"><v>Azure Direct</v></cell><cell r="J558" t="str"><v>Azure Direct</v></cell><cell r="K558" t="str"><v>September</v></cell><cell r="L558"><v>43358</v></cell><cell r="M558" t="str"><v>Tier 1</v></cell><cell r="N558" t="str"><v>EMEA</v></cell><cell r="O558" t="str"><v>France</v></cell><cell r="P558" t="str"><v>Trial</v></cell><cell r="Q558" t="str"><v>Social</v></cell><cell r="R558" t="str"><v>Azure</v></cell><cell r="S558" t="str"><v>Apps & Infra</v></cell><cell r="T558" t="str"><v>Developers & ITI's</v></cell><cell r="U558" t="str"><v>ITPros-Azure Direct-Sponsored Post_Trial-Video Ad-Free Account IT Pro - Hybrid</v></cell><cell r="V558" t="str"><v>Lookalike Targeting</v></cell><cell r="W558" t="str"><v>Video Ad</v></cell><cell r="X558" t="str"><v>1200x1200</v></cell><cell r="Y558" t="str"><v>Learn More</v></cell><cell r="Z558" t="str"><v>Standard videos</v></cell><cell r="AA558"><v>43355</v></cell><cell r="AB558" t="str"><v>FRA_gaPMG_AZR_AZR_Q1_19_AzureDirect-Trial-Social</v></cell><cell r="AC558"><v>21356941</v></cell><cell r="AD558"><v>720193</v></cell><cell r="AE558" t="str"><v>Facebook</v></cell><cell r="AF558"><v>3654128</v></cell><cell r="AG558" t="str"><v>Facebook»ITPros-Azure Direct-Sponsored Post_Trial-Video Ad-Free Account IT Pro - Hybrid»1x1»30s»SOC»ALL»CPC»LAL»D»UNK»SS»NA»Trials</v></cell><cell r="AH558"><v>226360001</v></cell><cell r="AI558" t="str"><v>AZR_FreeAcctITProFB-AnimatedHybrid-Ch2_FRA_1200x1200_VIA_AZRDirect_French_NA_Facebook_STAN_LEA_T2_1</v></cell><cell r="AJ558"><v>104456278</v></cell></row><row r="559"><cell r="D559" t="str"><v>43355226359938</v></cell><cell r="E559" t="str"><v>43355104456278Trials</v></cell><cell r="F559" t="str"><v>DCM</v></cell></row><row r="559"><cell r="H559"><v>0</v></cell><cell r="I559" t="str"><v>Azure Direct</v></cell><cell r="J559" t="str"><v>Azure Direct</v></cell><cell r="K559" t="str"><v>September</v></cell><cell r="L559"><v>43358</v></cell><cell r="M559" t="str"><v>Tier 1</v></cell><cell r="N559" t="str"><v>EMEA</v></cell><cell r="O559" t="str"><v>France</v></cell><cell r="P559" t="str"><v>Trial</v></cell><cell r="Q559" t="str"><v>Social</v></cell><cell r="R559" t="str"><v>Azure</v></cell><cell r="S559" t="str"><v>Apps & Infra</v></cell><cell r="T559" t="str"><v>Developers & ITI's</v></cell><cell r="U559" t="str"><v>ITPros-Azure Direct-Sponsored Post_Trial_PayGo-Video Ad-Free Account IT Pro - Hybrid</v></cell><cell r="V559" t="str"><v>Lookalike Targeting</v></cell><cell r="W559" t="str"><v>Video Ad</v></cell><cell r="X559" t="str"><v>1200x1200</v></cell><cell r="Y559" t="str"><v>Learn More</v></cell><cell r="Z559" t="str"><v>Standard videos</v></cell><cell r="AA559"><v>43355</v></cell><cell r="AB559" t="str"><v>FRA_gaPMG_AZR_AZR_Q1_19_AzureDirect-Trial-Social</v></cell><cell r="AC559"><v>21356941</v></cell><cell r="AD559"><v>720193</v></cell><cell r="AE559" t="str"><v>Facebook</v></cell><cell r="AF559"><v>3654128</v></cell><cell r="AG559" t="str"><v>Facebook»ITPros-Azure Direct-Sponsored Post_Trial_PayGo-Video Ad-Free Account IT Pro - Hybrid»1x1»30s»SOC»ALL»CPC»LAL»D»UNK»SS»NA»Trials</v></cell><cell r="AH559"><v>226359938</v></cell><cell r="AI559" t="str"><v>AZR_FreeAcctITProFB-AnimatedHybrid-Ch2_FRA_1200x1200_VIA_AZRDirect_French_NA_Facebook_STAN_LEA_T2_1</v></cell><cell r="AJ559"><v>104456278</v></cell></row><row r="560"><cell r="D560" t="str"><v>43355224369893</v></cell><cell r="E560" t="str"><v>43355103256571Trials</v></cell><cell r="F560" t="str"><v>DCM</v></cell></row><row r="560"><cell r="H560"><v>1</v></cell><cell r="I560" t="str"><v>Azure Direct</v></cell><cell r="J560" t="str"><v>Azure Direct</v></cell><cell r="K560" t="str"><v>September</v></cell><cell r="L560"><v>43358</v></cell><cell r="M560" t="str"><v>Tier 1</v></cell><cell r="N560" t="str"><v>EMEA</v></cell><cell r="O560" t="str"><v>France</v></cell><cell r="P560" t="str"><v>Trial</v></cell><cell r="Q560" t="str"><v>Social</v></cell><cell r="R560" t="str"><v>Azure</v></cell><cell r="S560" t="str"><v>Apps & Infra</v></cell><cell r="T560" t="str"><v>Developers & ITI's</v></cell><cell r="U560" t="str"><v>Developers/ITPros-Azure Direct-Sponsored Post-Canvas-FBCTCcanvaspage-BuyNowCTA-Img3_FBCTCBasicMotion_FRA_10sec</v></cell><cell r="V560" t="str"><v>Behavioral Targeting</v></cell><cell r="W560" t="str"><v>Canvas Ad</v></cell><cell r="X560" t="str"><v>1080x162</v></cell><cell r="Y560" t="str"><v>Buy Now</v></cell><cell r="Z560" t="str"><v>Static Banner</v></cell><cell r="AA560"><v>43355</v></cell><cell r="AB560" t="str"><v>FRA_gaPMG_AZR_AZR_Q1_19_AzureDirect-Trial-Social</v></cell><cell r="AC560"><v>21356941</v></cell><cell r="AD560"><v>720193</v></cell><cell r="AE560" t="str"><v>Facebook</v></cell><cell r="AF560"><v>3654128</v></cell><cell r="AG560" t="str"><v>Facebook»Developers/ITPros-Azure Direct-Sponsored Post-Canvas-FBCTCcanvaspage-BuyNowCTA-Img3_FBCTCBasicMotion_FRA_10sec»1x1»Canvas»SOC»ALL»CPC»BT»D»UNK»SS»NA»Trials</v></cell><cell r="AH560"><v>224369893</v></cell><cell r="AI560" t="str"><v>AZR_FBCTCcanvaspage-BuyNowCTA-Img3_FRA_1080x162_SOC_AZRDirect_French_NA_Facebook_SBAN_BN_T3_1</v></cell><cell r="AJ560"><v>103256571</v></cell></row><row r="561"><cell r="D561" t="str"><v>43355224416918</v></cell><cell r="E561" t="str"><v>43355103256571Trials</v></cell><cell r="F561" t="str"><v>DCM</v></cell></row><row r="561"><cell r="H561"><v>1</v></cell><cell r="I561" t="str"><v>Azure Direct</v></cell><cell r="J561" t="str"><v>Azure Direct</v></cell><cell r="K561" t="str"><v>September</v></cell><cell r="L561"><v>43358</v></cell><cell r="M561" t="str"><v>Tier 1</v></cell><cell r="N561" t="str"><v>EMEA</v></cell><cell r="O561" t="str"><v>France</v></cell><cell r="P561" t="str"><v>Trial</v></cell><cell r="Q561" t="str"><v>Social</v></cell><cell r="R561" t="str"><v>Azure</v></cell><cell r="S561" t="str"><v>Apps & Infra</v></cell><cell r="T561" t="str"><v>Developers & ITI's</v></cell><cell r="U561" t="str"><v>Developers/ITPros-Azure Direct-Sponsored Post-Canvas-FBCTCcanvaspage-BuyNowCTA-Img3_FBCTCBrandinMotion_FRA_14sec</v></cell><cell r="V561" t="str"><v>Behavioral Targeting</v></cell><cell r="W561" t="str"><v>Canvas Ad</v></cell><cell r="X561" t="str"><v>1080x162</v></cell><cell r="Y561" t="str"><v>Buy Now</v></cell><cell r="Z561" t="str"><v>Static Banner</v></cell><cell r="AA561"><v>43355</v></cell><cell r="AB561" t="str"><v>FRA_gaPMG_AZR_AZR_Q1_19_AzureDirect-Trial-Social</v></cell><cell r="AC561"><v>21356941</v></cell><cell r="AD561"><v>720193</v></cell><cell r="AE561" t="str"><v>Facebook</v></cell><cell r="AF561"><v>3654128</v></cell><cell r="AG561" t="str"><v>Facebook»Developers/ITPros-Azure Direct-Sponsored Post-Canvas-FBCTCcanvaspage-BuyNowCTA-Img3_FBCTCBrandinMotion_FRA_14sec»1x1»Canvas»SOC»ALL»CPC»BT»D»UNK»SS»NA»Trials</v></cell><cell r="AH561"><v>224416918</v></cell><cell r="AI561" t="str"><v>AZR_FBCTCcanvaspage-BuyNowCTA-Img3_FRA_1080x162_SOC_AZRDirect_French_NA_Facebook_SBAN_BN_T3_1</v></cell><cell r="AJ561"><v>103256571</v></cell></row><row r="562"><cell r="D562" t="str"><v>43355224560884</v></cell><cell r="E562" t="str"><v>43355103259958Trials</v></cell><cell r="F562" t="str"><v>DCM</v></cell></row><row r="562"><cell r="H562"><v>0</v></cell><cell r="I562" t="str"><v>Azure Direct</v></cell><cell r="J562" t="str"><v>Azure Direct</v></cell><cell r="K562" t="str"><v>September</v></cell><cell r="L562"><v>43358</v></cell><cell r="M562" t="str"><v>Tier 1</v></cell><cell r="N562" t="str"><v>EMEA</v></cell><cell r="O562" t="str"><v>France</v></cell><cell r="P562" t="str"><v>Trial</v></cell><cell r="Q562" t="str"><v>Social</v></cell><cell r="R562" t="str"><v>Azure</v></cell><cell r="S562" t="str"><v>Apps & Infra</v></cell><cell r="T562" t="str"><v>Developers & ITI's</v></cell><cell r="U562" t="str"><v>Developers/ITPros-Azure Direct-Sponsored Post-Canvas-FBCTCcanvaspage-StartFreeCTA-Img2_FBCTCBasicMotion_FRA_10sec</v></cell><cell r="V562" t="str"><v>Behavioral Targeting</v></cell><cell r="W562" t="str"><v>Canvas Ad</v></cell><cell r="X562" t="str"><v>1080x143</v></cell><cell r="Y562" t="str"><v>Buy Now</v></cell><cell r="Z562" t="str"><v>Static Banner</v></cell><cell r="AA562"><v>43355</v></cell><cell r="AB562" t="str"><v>FRA_gaPMG_AZR_AZR_Q1_19_AzureDirect-Trial-Social</v></cell><cell r="AC562"><v>21356941</v></cell><cell r="AD562"><v>720193</v></cell><cell r="AE562" t="str"><v>Facebook</v></cell><cell r="AF562"><v>3654128</v></cell><cell r="AG562" t="str"><v>Facebook»Developers/ITPros-Azure Direct-Sponsored Post-Canvas-FBCTCcanvaspage-StartFreeCTA-Img2_FBCTCBasicMotion_FRA_10sec»1x1»Canvas»SOC»ALL»CPC»BT»D»UNK»SS»NA»Trials</v></cell><cell r="AH562"><v>224560884</v></cell><cell r="AI562" t="str"><v>AZR_FBCTCcanvaspage-StartFreeCTA-Img2_FRA_1080x143_SOC_AZRDirect_French_NA_Facebook_SBAN_BN_T2_1</v></cell><cell r="AJ562"><v>103259958</v></cell></row><row r="563"><cell r="D563" t="str"><v>43355224560872</v></cell><cell r="E563" t="str"><v>43355103259958Trials</v></cell><cell r="F563" t="str"><v>DCM</v></cell></row><row r="563"><cell r="H563"><v>0</v></cell><cell r="I563" t="str"><v>Azure Direct</v></cell><cell r="J563" t="str"><v>Azure Direct</v></cell><cell r="K563" t="str"><v>September</v></cell><cell r="L563"><v>43358</v></cell><cell r="M563" t="str"><v>Tier 1</v></cell><cell r="N563" t="str"><v>EMEA</v></cell><cell r="O563" t="str"><v>France</v></cell><cell r="P563" t="str"><v>Trial</v></cell><cell r="Q563" t="str"><v>Social</v></cell><cell r="R563" t="str"><v>Azure</v></cell><cell r="S563" t="str"><v>Apps & Infra</v></cell><cell r="T563" t="str"><v>Developers & ITI's</v></cell><cell r="U563" t="str"><v>Developers/ITPros-Azure Direct-Sponsored Post-Canvas-FBCTCcanvaspage-StartFreeCTA-Img2_FBCTCBrandinMotion_FRA_14sec</v></cell><cell r="V563" t="str"><v>Behavioral Targeting</v></cell><cell r="W563" t="str"><v>Canvas Ad</v></cell><cell r="X563" t="str"><v>1080x143</v></cell><cell r="Y563" t="str"><v>Buy Now</v></cell><cell r="Z563" t="str"><v>Static Banner</v></cell><cell r="AA563"><v>43355</v></cell><cell r="AB563" t="str"><v>FRA_gaPMG_AZR_AZR_Q1_19_AzureDirect-Trial-Social</v></cell><cell r="AC563"><v>21356941</v></cell><cell r="AD563"><v>720193</v></cell><cell r="AE563" t="str"><v>Facebook</v></cell><cell r="AF563"><v>3654128</v></cell><cell r="AG563" t="str"><v>Facebook»Developers/ITPros-Azure Direct-Sponsored Post-Canvas-FBCTCcanvaspage-StartFreeCTA-Img2_FBCTCBrandinMotion_FRA_14sec»1x1»Canvas»SOC»ALL»CPC»BT»D»UNK»SS»NA»Trials</v></cell><cell r="AH563"><v>224560872</v></cell><cell r="AI563" t="str"><v>AZR_FBCTCcanvaspage-StartFreeCTA-Img2_FRA_1080x143_SOC_AZRDirect_French_NA_Facebook_SBAN_BN_T2_1</v></cell><cell r="AJ563"><v>103259958</v></cell></row><row r="564"><cell r="D564" t="str"><v>43355226359947</v></cell><cell r="E564" t="str"><v>43355104537813Trials</v></cell><cell r="F564" t="str"><v>DCM</v></cell></row><row r="564"><cell r="H564"><v>0</v></cell><cell r="I564" t="str"><v>Azure Direct</v></cell><cell r="J564" t="str"><v>Azure Direct</v></cell><cell r="K564" t="str"><v>September</v></cell><cell r="L564"><v>43358</v></cell><cell r="M564" t="str"><v>Tier 1</v></cell><cell r="N564" t="str"><v>EMEA</v></cell><cell r="O564" t="str"><v>France</v></cell><cell r="P564" t="str"><v>Trial</v></cell><cell r="Q564" t="str"><v>Social</v></cell><cell r="R564" t="str"><v>Azure</v></cell><cell r="S564" t="str"><v>Apps & Infra</v></cell><cell r="T564" t="str"><v>Developers & ITI's</v></cell><cell r="U564" t="str"><v>Developers-Azure Direct-Sponsored Post_Trial_PayGo-Video Ad-Free Account Developer - AI</v></cell><cell r="V564" t="str"><v>Lookalike Targeting</v></cell><cell r="W564" t="str"><v>Video Ad</v></cell><cell r="X564" t="str"><v>1200x1200</v></cell><cell r="Y564" t="str"><v>Learn More</v></cell><cell r="Z564" t="str"><v>Standard videos</v></cell><cell r="AA564"><v>43355</v></cell><cell r="AB564" t="str"><v>FRA_gaPMG_AZR_AZR_Q1_19_AzureDirect-Trial-Social</v></cell><cell r="AC564"><v>21356941</v></cell><cell r="AD564"><v>720193</v></cell><cell r="AE564" t="str"><v>Facebook</v></cell><cell r="AF564"><v>3654128</v></cell><cell r="AG564" t="str"><v>Facebook»Developers-Azure Direct-Sponsored Post_Trial_PayGo-Video Ad-Free Account Developer - AI»1x1»30s»SOC»ALL»CPC»LAL»D»UNK»SS»NA»Trials</v></cell><cell r="AH564"><v>226359947</v></cell><cell r="AI564" t="str"><v>AZR_FreeAcctDeveloperFB-AnimatedAI-Ch3_FRA_1200x1200_VIA_AZRDirect_French_NA_Facebook_STAN_LEA_T3_1</v></cell><cell r="AJ564"><v>104537813</v></cell></row><row r="565"><cell r="D565" t="str"><v>43355224334170</v></cell><cell r="E565" t="str"><v>43355103235146Motion</v></cell><cell r="F565" t="str"><v>DCM</v></cell></row><row r="565"><cell r="H565"><v>0</v></cell><cell r="I565" t="str"><v>Azure Direct</v></cell><cell r="J565" t="str"><v>Azure Direct</v></cell><cell r="K565" t="str"><v>September</v></cell><cell r="L565"><v>43358</v></cell><cell r="M565" t="str"><v>Tier 1</v></cell><cell r="N565" t="str"><v>EMEA</v></cell><cell r="O565" t="str"><v>United Kingdom</v></cell><cell r="P565" t="str"><v>Trial</v></cell><cell r="Q565" t="str"><v>Social</v></cell><cell r="R565" t="str"><v>Azure</v></cell><cell r="S565" t="str"><v>Apps & Infra</v></cell><cell r="T565" t="str"><v>Developers & ITI's</v></cell><cell r="U565" t="str"><v>Audience & Interest Targeting</v></cell><cell r="V565" t="str"><v>Audience Targeting</v></cell><cell r="W565" t="str"><v>Link Ad</v></cell><cell r="X565" t="str"><v>1080x143</v></cell><cell r="Y565" t="str"><v>Not Applicable </v></cell><cell r="Z565" t="str"><v>Not Applicable</v></cell><cell r="AA565"><v>43355</v></cell><cell r="AB565" t="str"><v>GBR_gaPMG_CE_AZR_Q1_19_Trial-Social</v></cell><cell r="AC565"><v>21337013</v></cell><cell r="AD565"><v>720196</v></cell><cell r="AE565" t="str"><v>Facebook</v></cell><cell r="AF565"><v>3654128</v></cell><cell r="AG565" t="str"><v>Facebook»Audience & Interest Targeting»1x1»SocialBan»LIA»DT»CPC»AUT»W»NA»SS»NA»Benefit 2 in Motion</v></cell><cell r="AH565"><v>224334170</v></cell><cell r="AI565" t="str"><v>AzurePlatform_FBCTCcanvaspage-StartFreeCTA-Img2_GBR_1080x143 _SOC_Plat_English_NA_Standard_NA_NA_T2_1</v></cell><cell r="AJ565"><v>103235146</v></cell></row><row r="566"><cell r="D566" t="str"><v>43355223560299</v></cell><cell r="E566" t="str"><v>43355102854019ed ChC</v></cell><cell r="F566" t="str"><v>DCM</v></cell></row><row r="566"><cell r="H566"><v>1</v></cell><cell r="I566" t="str"><v>Azure Direct</v></cell><cell r="J566" t="str"><v>Azure Direct</v></cell><cell r="K566" t="str"><v>September</v></cell><cell r="L566"><v>43358</v></cell><cell r="M566" t="str"><v>Tier 1</v></cell><cell r="N566" t="str"><v>EMEA</v></cell><cell r="O566" t="str"><v>United Kingdom</v></cell><cell r="P566" t="str"><v>Trial</v></cell><cell r="Q566" t="str"><v>Social</v></cell><cell r="R566" t="str"><v>Azure</v></cell><cell r="S566" t="str"><v>Apps & Infra</v></cell><cell r="T566" t="str"><v>Developers & ITI's</v></cell><cell r="U566" t="str"><v>Retargeting</v></cell><cell r="V566" t="str"><v>Retargeting</v></cell><cell r="W566" t="str"><v>Link Ad</v></cell><cell r="X566" t="str"><v>1200x628</v></cell></row><row r="566"><cell r="Z566" t="str"><v>Animated Banner</v></cell><cell r="AA566"><v>43355</v></cell><cell r="AB566" t="str"><v>GBR_gaPMG_CE_AZR_Q1_19_Trial-Social</v></cell><cell r="AC566"><v>21337013</v></cell><cell r="AD566"><v>720196</v></cell><cell r="AE566" t="str"><v>Facebook</v></cell><cell r="AF566"><v>3654128</v></cell><cell r="AG566" t="str"><v>Facebook»Retargeting»1x1»SocialBan»LIA»DT»DYN»RT»W»NA»SS»NA»Free Account Retargeting Generic- Animated ChC</v></cell><cell r="AH566"><v>223560299</v></cell><cell r="AI566" t="str"><v>AzurePlatform_FreeAcctRetargetingFB-Animated-ChC_GBR_1200x628_SOC_Plat_EN_Free Account_Standard_ANI_SU_T3_1</v></cell><cell r="AJ566"><v>102854019</v></cell></row><row r="567"><cell r="D567" t="str"><v>43355223560350</v></cell><cell r="E567" t="str"><v>43355103006547os ChG</v></cell><cell r="F567" t="str"><v>DCM</v></cell></row><row r="567"><cell r="H567"><v>1</v></cell><cell r="I567" t="str"><v>Azure Direct</v></cell><cell r="J567" t="str"><v>Azure Direct</v></cell><cell r="K567" t="str"><v>September</v></cell><cell r="L567"><v>43358</v></cell><cell r="M567" t="str"><v>Tier 1</v></cell><cell r="N567" t="str"><v>EMEA</v></cell><cell r="O567" t="str"><v>United Kingdom</v></cell><cell r="P567" t="str"><v>Trial</v></cell><cell r="Q567" t="str"><v>Social</v></cell><cell r="R567" t="str"><v>Azure</v></cell><cell r="S567" t="str"><v>Apps & Infra</v></cell><cell r="T567" t="str"><v>Developers & ITI's</v></cell><cell r="U567" t="str"><v>Retargeting</v></cell><cell r="V567" t="str"><v>Retargeting</v></cell><cell r="W567" t="str"><v>Link Ad</v></cell><cell r="X567" t="str"><v>1200x628</v></cell></row><row r="567"><cell r="Z567" t="str"><v>Not Applicable</v></cell><cell r="AA567"><v>43355</v></cell><cell r="AB567" t="str"><v>GBR_gaPMG_CE_AZR_Q1_19_Trial-Social</v></cell><cell r="AC567"><v>21337013</v></cell><cell r="AD567"><v>720196</v></cell><cell r="AE567" t="str"><v>Facebook</v></cell><cell r="AF567"><v>3654128</v></cell><cell r="AG567" t="str"><v>Facebook»Retargeting»1x1»SocialBan»LIA»DT»DYN»RT»W»NA»SS»NA»Free Account Retargeting OSS- Logos ChG</v></cell><cell r="AH567"><v>223560350</v></cell><cell r="AI567" t="str"><v>AzurePlatform_FreeAcctRetargetingOSSFB-Logos-ChG_GBR_1200x628_SOC_Plat_EN_Free Account_Standard_NA_SU_T2_1</v></cell><cell r="AJ567"><v>103006547</v></cell></row><row r="568"><cell r="D568" t="str"><v>43355223560344</v></cell><cell r="E568" t="str"><v>43355102861246xt ChF</v></cell><cell r="F568" t="str"><v>DCM</v></cell></row><row r="568"><cell r="H568"><v>1</v></cell><cell r="I568" t="str"><v>Azure Direct</v></cell><cell r="J568" t="str"><v>Azure Direct</v></cell><cell r="K568" t="str"><v>September</v></cell><cell r="L568"><v>43358</v></cell><cell r="M568" t="str"><v>Tier 1</v></cell><cell r="N568" t="str"><v>EMEA</v></cell><cell r="O568" t="str"><v>United Kingdom</v></cell><cell r="P568" t="str"><v>Trial</v></cell><cell r="Q568" t="str"><v>Social</v></cell><cell r="R568" t="str"><v>Azure</v></cell><cell r="S568" t="str"><v>Apps & Infra</v></cell><cell r="T568" t="str"><v>Developers & ITI's</v></cell><cell r="U568" t="str"><v>Retargeting</v></cell><cell r="V568" t="str"><v>Retargeting</v></cell><cell r="W568" t="str"><v>Link Ad</v></cell><cell r="X568" t="str"><v>1200x628</v></cell></row><row r="568"><cell r="Z568" t="str"><v>Not Applicable</v></cell><cell r="AA568"><v>43355</v></cell><cell r="AB568" t="str"><v>GBR_gaPMG_CE_AZR_Q1_19_Trial-Social</v></cell><cell r="AC568"><v>21337013</v></cell><cell r="AD568"><v>720196</v></cell><cell r="AE568" t="str"><v>Facebook</v></cell><cell r="AF568"><v>3654128</v></cell><cell r="AG568" t="str"><v>Facebook»Retargeting»1x1»SocialBan»LIA»DT»DYN»RT»W»NA»SS»NA»Free Account Retargeting OSS- Text ChF</v></cell><cell r="AH568"><v>223560344</v></cell><cell r="AI568" t="str"><v>AzurePlatform_FreeAcctRetargetingOSSFB-Text-ChF_GBR_1200x628_SOC_Plat_EN_Free Account_Standard_NA_SU_T1_1</v></cell><cell r="AJ568"><v>102861246</v></cell></row><row r="569"><cell r="D569" t="str"><v>43355223560338</v></cell><cell r="E569" t="str"><v>43355102853603rs ChD</v></cell><cell r="F569" t="str"><v>DCM</v></cell></row><row r="569"><cell r="H569"><v>4</v></cell><cell r="I569" t="str"><v>Azure Direct</v></cell><cell r="J569" t="str"><v>Azure Direct</v></cell><cell r="K569" t="str"><v>September</v></cell><cell r="L569"><v>43358</v></cell><cell r="M569" t="str"><v>Tier 1</v></cell><cell r="N569" t="str"><v>EMEA</v></cell><cell r="O569" t="str"><v>United Kingdom</v></cell><cell r="P569" t="str"><v>Trial</v></cell><cell r="Q569" t="str"><v>Social</v></cell><cell r="R569" t="str"><v>Azure</v></cell><cell r="S569" t="str"><v>Apps & Infra</v></cell><cell r="T569" t="str"><v>Developers & ITI's</v></cell><cell r="U569" t="str"><v>Retargeting</v></cell><cell r="V569" t="str"><v>Retargeting</v></cell><cell r="W569" t="str"><v>Link Ad</v></cell><cell r="X569" t="str"><v>1200x628</v></cell></row><row r="569"><cell r="Z569" t="str"><v>Not Applicable</v></cell><cell r="AA569"><v>43355</v></cell><cell r="AB569" t="str"><v>GBR_gaPMG_CE_AZR_Q1_19_Trial-Social</v></cell><cell r="AC569"><v>21337013</v></cell><cell r="AD569"><v>720196</v></cell><cell r="AE569" t="str"><v>Facebook</v></cell><cell r="AF569"><v>3654128</v></cell><cell r="AG569" t="str"><v>Facebook»Retargeting»1x1»SocialBan»LIA»DT»DYN»RT»W»NA»SS»NA»Free Account Retargeting VM- 750 Hrs ChD</v></cell><cell r="AH569"><v>223560338</v></cell><cell r="AI569" t="str"><v>AzurePlatform_FreeAcctRetargetingVMFB-750Hrs-ChD_GBR_1200x628_SOC_Plat_EN_Free Account_Standard_NA_SU_T1_1</v></cell><cell r="AJ569"><v>102853603</v></cell></row><row r="570"><cell r="D570" t="str"><v>43355223560332</v></cell><cell r="E570" t="str"><v>43355102854037nd ChE</v></cell><cell r="F570" t="str"><v>DCM</v></cell></row><row r="570"><cell r="H570"><v>3</v></cell><cell r="I570" t="str"><v>Azure Direct</v></cell><cell r="J570" t="str"><v>Azure Direct</v></cell><cell r="K570" t="str"><v>September</v></cell><cell r="L570"><v>43358</v></cell><cell r="M570" t="str"><v>Tier 1</v></cell><cell r="N570" t="str"><v>EMEA</v></cell><cell r="O570" t="str"><v>United Kingdom</v></cell><cell r="P570" t="str"><v>Trial</v></cell><cell r="Q570" t="str"><v>Social</v></cell><cell r="R570" t="str"><v>Azure</v></cell><cell r="S570" t="str"><v>Apps & Infra</v></cell><cell r="T570" t="str"><v>Developers & ITI's</v></cell><cell r="U570" t="str"><v>Retargeting</v></cell><cell r="V570" t="str"><v>Retargeting</v></cell><cell r="W570" t="str"><v>Link Ad</v></cell><cell r="X570" t="str"><v>1200x628</v></cell></row><row r="570"><cell r="Z570" t="str"><v>Not Applicable</v></cell><cell r="AA570"><v>43355</v></cell><cell r="AB570" t="str"><v>GBR_gaPMG_CE_AZR_Q1_19_Trial-Social</v></cell><cell r="AC570"><v>21337013</v></cell><cell r="AD570"><v>720196</v></cell><cell r="AE570" t="str"><v>Facebook</v></cell><cell r="AF570"><v>3654128</v></cell><cell r="AG570" t="str"><v>Facebook»Retargeting»1x1»SocialBan»LIA»DT»DYN»RT»W»NA»SS»NA»Free Account Retargeting VM- On Demand ChE</v></cell><cell r="AH570"><v>223560332</v></cell><cell r="AI570" t="str"><v>AzurePlatform_FreeAcctRetargetingVMFB-OnDemand-ChE_GBR_1200x628_SOC_Plat_EN_Free Account_Standard_NA_SU_T2_1</v></cell><cell r="AJ570"><v>102854037</v></cell></row><row r="571"><cell r="D571" t="str"><v>43355224549481</v></cell><cell r="E571" t="str"><v>43355103235146Motion</v></cell><cell r="F571" t="str"><v>DCM</v></cell></row><row r="571"><cell r="H571"><v>0</v></cell><cell r="I571" t="str"><v>Azure Direct</v></cell><cell r="J571" t="str"><v>Azure Direct</v></cell><cell r="K571" t="str"><v>September</v></cell><cell r="L571"><v>43358</v></cell><cell r="M571" t="str"><v>Tier 1</v></cell><cell r="N571" t="str"><v>EMEA</v></cell><cell r="O571" t="str"><v>United Kingdom</v></cell><cell r="P571" t="str"><v>Trial</v></cell><cell r="Q571" t="str"><v>Social</v></cell><cell r="R571" t="str"><v>Azure</v></cell><cell r="S571" t="str"><v>Apps & Infra</v></cell><cell r="T571" t="str"><v>Developers & ITI's</v></cell><cell r="U571" t="str"><v>Audience & Interest Targeting</v></cell><cell r="V571" t="str"><v>Audience Targeting</v></cell><cell r="W571" t="str"><v>Link Ad</v></cell><cell r="X571" t="str"><v>1080x143</v></cell><cell r="Y571" t="str"><v>Not Applicable </v></cell><cell r="Z571" t="str"><v>Not Applicable</v></cell><cell r="AA571"><v>43355</v></cell><cell r="AB571" t="str"><v>GBR_gaPMG_CE_AZR_Q1_19_Trial-Social</v></cell><cell r="AC571"><v>21337013</v></cell><cell r="AD571"><v>720196</v></cell><cell r="AE571" t="str"><v>Facebook</v></cell><cell r="AF571"><v>3654128</v></cell><cell r="AG571" t="str"><v>Facebook»Audience & Interest Targeting»1x1»SocialBan»LIA»DT»CPC»AUT»W»NA»SS»NA»Brand in Motion</v></cell><cell r="AH571"><v>224549481</v></cell><cell r="AI571" t="str"><v>AzurePlatform_FBCTCcanvaspage-StartFreeCTA-Img2_GBR_1080x143 _SOC_Plat_English_NA_Standard_NA_NA_T2_1</v></cell><cell r="AJ571"><v>103235146</v></cell></row><row r="572"><cell r="D572" t="str"><v>43355227036847</v></cell><cell r="E572" t="str"><v>43355103230847ration</v></cell><cell r="F572" t="str"><v>DCM</v></cell></row><row r="572"><cell r="H572"><v>1</v></cell><cell r="I572" t="str"><v>Azure Direct</v></cell><cell r="J572" t="str"><v>Azure Direct</v></cell><cell r="K572" t="str"><v>September</v></cell><cell r="L572"><v>43358</v></cell><cell r="M572" t="str"><v>Tier 1</v></cell><cell r="N572" t="str"><v>EMEA</v></cell><cell r="O572" t="str"><v>United Kingdom</v></cell><cell r="P572" t="str"><v>Trial</v></cell><cell r="Q572" t="str"><v>Social</v></cell><cell r="R572" t="str"><v>Azure</v></cell><cell r="S572" t="str"><v>Apps & Infra</v></cell><cell r="T572" t="str"><v>Developers & ITI's</v></cell><cell r="U572" t="str"><v>Audience & Interest Targeting- Azure Trial Lookalikes</v></cell><cell r="V572" t="str"><v>Audience Targeting</v></cell><cell r="W572" t="str"><v>Canvas Ad</v></cell><cell r="X572" t="str"><v>1080x162</v></cell><cell r="Y572" t="str"><v>Buy Now</v></cell><cell r="Z572" t="str"><v>Not Applicable</v></cell><cell r="AA572"><v>43355</v></cell><cell r="AB572" t="str"><v>GBR_gaPMG_CE_AZR_Q1_19_Trial-Social</v></cell><cell r="AC572"><v>21337013</v></cell><cell r="AD572"><v>720196</v></cell><cell r="AE572" t="str"><v>Facebook</v></cell><cell r="AF572"><v>3654128</v></cell><cell r="AG572" t="str"><v>Facebook»Audience & Interest Targeting- Azure Trial Lookalikes»1x1»TextLink»CAN»MO»CPM»AUT»W»NA»SS»NA»Free Account IT Pro- Migration</v></cell><cell r="AH572"><v>227036847</v></cell><cell r="AI572" t="str"><v>AzurePlatform_FBCTCcanvaspage-BuyNowCTA-Img3_GBR_1080x162_SOC_Plat_English_NA_Standard_NA_BN_T3_1</v></cell><cell r="AJ572"><v>103230847</v></cell></row><row r="573"><cell r="D573" t="str"><v>43355223298805</v></cell><cell r="E573" t="str"><v>43355102630373-Trial</v></cell><cell r="F573" t="str"><v>DCM</v></cell></row><row r="573"><cell r="H573"><v>1</v></cell><cell r="I573" t="str"><v>Azure Direct</v></cell><cell r="J573" t="str"><v>Azure Direct</v></cell><cell r="K573" t="str"><v>September</v></cell><cell r="L573"><v>43358</v></cell><cell r="M573" t="str"><v>Tier 1</v></cell><cell r="N573" t="str"><v>APAC</v></cell><cell r="O573" t="str"><v>Japan</v></cell><cell r="P573" t="str"><v>Trial</v></cell><cell r="Q573" t="str"><v>Social</v></cell><cell r="R573" t="str"><v>Azure</v></cell><cell r="S573" t="str"><v>Apps & Infra</v></cell><cell r="T573" t="str"><v>Developers & ITI's</v></cell><cell r="U573" t="str"><v>AZP-Canvas-Interest&Role-Trial</v></cell><cell r="V573" t="str"><v>Prospecting</v></cell><cell r="W573" t="str"><v>Canvas Ad</v></cell><cell r="X573" t="str"><v>1080x162</v></cell><cell r="Y573" t="str"><v>Buy Now</v></cell><cell r="Z573" t="str"><v>Not Applicable</v></cell><cell r="AA573"><v>43355</v></cell><cell r="AB573" t="str"><v>JPN_gaPMG_AZR_AZR_Q1_19_Trial-Social</v></cell><cell r="AC573"><v>21276694</v></cell><cell r="AD573"><v>720195</v></cell><cell r="AE573" t="str"><v>Facebook</v></cell><cell r="AF573"><v>3654128</v></cell><cell r="AG573" t="str"><v>Facebook»AZP-Canvas-Interest&Role-Trial»1x1»Canvas»OTH»MO»CPM»PRO»X»UNK»TP»OT»Canvas-Trial</v></cell><cell r="AH573"><v>223298805</v></cell><cell r="AI573" t="str"><v>AzurePlatform_FBCTCcanvaspage-BuyNowCTA-Img3_JPN_1080x162_SOC_Plat_Japanese_NA_Standard_NA_BN_T3_1</v></cell><cell r="AJ573"><v>102630373</v></cell></row><row r="574"><cell r="D574" t="str"><v>43355223298805</v></cell><cell r="E574" t="str"><v>43355102609621-Trial</v></cell><cell r="F574" t="str"><v>DCM</v></cell></row><row r="574"><cell r="H574"><v>0</v></cell><cell r="I574" t="str"><v>Azure Direct</v></cell><cell r="J574" t="str"><v>Azure Direct</v></cell><cell r="K574" t="str"><v>September</v></cell><cell r="L574"><v>43358</v></cell><cell r="M574" t="str"><v>Tier 1</v></cell><cell r="N574" t="str"><v>APAC</v></cell><cell r="O574" t="str"><v>Japan</v></cell><cell r="P574" t="str"><v>Trial</v></cell><cell r="Q574" t="str"><v>Social</v></cell><cell r="R574" t="str"><v>Azure</v></cell><cell r="S574" t="str"><v>Apps & Infra</v></cell><cell r="T574" t="str"><v>Developers & ITI's</v></cell><cell r="U574" t="str"><v>AZP-Canvas-Interest&Role-Trial</v></cell><cell r="V574" t="str"><v>Prospecting</v></cell><cell r="W574" t="str"><v>Canvas Ad</v></cell><cell r="X574" t="str"><v>1080x143</v></cell><cell r="Y574" t="str"><v>Not Applicable </v></cell><cell r="Z574" t="str"><v>Not Applicable</v></cell><cell r="AA574"><v>43355</v></cell><cell r="AB574" t="str"><v>JPN_gaPMG_AZR_AZR_Q1_19_Trial-Social</v></cell><cell r="AC574"><v>21276694</v></cell><cell r="AD574"><v>720195</v></cell><cell r="AE574" t="str"><v>Facebook</v></cell><cell r="AF574"><v>3654128</v></cell><cell r="AG574" t="str"><v>Facebook»AZP-Canvas-Interest&Role-Trial»1x1»Canvas»OTH»MO»CPM»PRO»X»UNK»TP»OT»Canvas-Trial</v></cell><cell r="AH574"><v>223298805</v></cell><cell r="AI574" t="str"><v>AzurePlatform_FBCTCcanvaspage-StartFreeCTA-Img2_JPN_1080x143 _SOC_Plat_Japanese_NA_Standard_NA_NA_T2_1</v></cell><cell r="AJ574"><v>102609621</v></cell></row><row r="575"><cell r="D575" t="str"><v>43355226269941</v></cell><cell r="E575" t="str"><v>43355104061321-Trial</v></cell><cell r="F575" t="str"><v>DCM</v></cell></row><row r="575"><cell r="H575"><v>0</v></cell><cell r="I575" t="str"><v>Azure Direct</v></cell><cell r="J575" t="str"><v>Azure Direct</v></cell><cell r="K575" t="str"><v>September</v></cell><cell r="L575"><v>43358</v></cell><cell r="M575" t="str"><v>Tier 1</v></cell><cell r="N575" t="str"><v>APAC</v></cell><cell r="O575" t="str"><v>Japan</v></cell><cell r="P575" t="str"><v>Trial</v></cell><cell r="Q575" t="str"><v>Social</v></cell><cell r="R575" t="str"><v>Azure</v></cell><cell r="S575" t="str"><v>Apps & Infra</v></cell><cell r="T575" t="str"><v>Developers & ITI's</v></cell><cell r="U575" t="str"><v>AZP-Canvas-Retargeting-Trial</v></cell><cell r="V575" t="str"><v>Prospecting</v></cell><cell r="W575" t="str"><v>Canvas Ad</v></cell><cell r="X575" t="str"><v>1080x143</v></cell><cell r="Y575" t="str"><v>Not Applicable </v></cell><cell r="Z575" t="str"><v>Not Applicable</v></cell><cell r="AA575"><v>43355</v></cell><cell r="AB575" t="str"><v>JPN_gaPMG_AZR_AZR_Q1_19_Trial-Social</v></cell><cell r="AC575"><v>21276694</v></cell><cell r="AD575"><v>720195</v></cell><cell r="AE575" t="str"><v>Facebook</v></cell><cell r="AF575"><v>3654128</v></cell><cell r="AG575" t="str"><v>Facebook»AZP-Canvas-Retargeting-Trial»1x1»Canvas»SOC»MO»CPM»PRO»W»UNK»SS»OT»Canvas-Trial</v></cell><cell r="AH575"><v>226269941</v></cell><cell r="AI575" t="str"><v>AZR_FBCTCcanvaspage-StartFreeCTA-Img2_JPN_1080x143 _SOC_Plat_Japanese_NA_Standard_NA_NA_T2_1</v></cell><cell r="AJ575"><v>104061321</v></cell></row><row r="576"><cell r="D576" t="str"><v>43355223297413</v></cell><cell r="E576" t="str"><v>43355102630373-Trial</v></cell><cell r="F576" t="str"><v>DCM</v></cell></row><row r="576"><cell r="H576"><v>0</v></cell><cell r="I576" t="str"><v>Azure Direct</v></cell><cell r="J576" t="str"><v>Azure Direct</v></cell><cell r="K576" t="str"><v>September</v></cell><cell r="L576"><v>43358</v></cell><cell r="M576" t="str"><v>Tier 1</v></cell><cell r="N576" t="str"><v>APAC</v></cell><cell r="O576" t="str"><v>Japan</v></cell><cell r="P576" t="str"><v>Trial</v></cell><cell r="Q576" t="str"><v>Social</v></cell><cell r="R576" t="str"><v>Azure</v></cell><cell r="S576" t="str"><v>Apps & Infra</v></cell><cell r="T576" t="str"><v>Developers & ITI's</v></cell><cell r="U576" t="str"><v>AZP-Canvas-Look a Like-Trial</v></cell><cell r="V576" t="str"><v>Prospecting</v></cell><cell r="W576" t="str"><v>Canvas Ad</v></cell><cell r="X576" t="str"><v>1080x162</v></cell><cell r="Y576" t="str"><v>Buy Now</v></cell><cell r="Z576" t="str"><v>Not Applicable</v></cell><cell r="AA576"><v>43355</v></cell><cell r="AB576" t="str"><v>JPN_gaPMG_AZR_AZR_Q1_19_Trial-Social</v></cell><cell r="AC576"><v>21276694</v></cell><cell r="AD576"><v>720195</v></cell><cell r="AE576" t="str"><v>Facebook</v></cell><cell r="AF576"><v>3654128</v></cell><cell r="AG576" t="str"><v>Facebook»AZP-Canvas-Look a Like-Trial»1x1»Canvas»OTH»MO»CPM»PRO»X»UNK»TP»OT»Canvas-Trial</v></cell><cell r="AH576"><v>223297413</v></cell><cell r="AI576" t="str"><v>AzurePlatform_FBCTCcanvaspage-BuyNowCTA-Img3_JPN_1080x162_SOC_Plat_Japanese_NA_Standard_NA_BN_T3_1</v></cell><cell r="AJ576"><v>102630373</v></cell></row><row r="577"><cell r="D577" t="str"><v>43355223297413</v></cell><cell r="E577" t="str"><v>43355102609621-Trial</v></cell><cell r="F577" t="str"><v>DCM</v></cell></row><row r="577"><cell r="H577"><v>0</v></cell><cell r="I577" t="str"><v>Azure Direct</v></cell><cell r="J577" t="str"><v>Azure Direct</v></cell><cell r="K577" t="str"><v>September</v></cell><cell r="L577"><v>43358</v></cell><cell r="M577" t="str"><v>Tier 1</v></cell><cell r="N577" t="str"><v>APAC</v></cell><cell r="O577" t="str"><v>Japan</v></cell><cell r="P577" t="str"><v>Trial</v></cell><cell r="Q577" t="str"><v>Social</v></cell><cell r="R577" t="str"><v>Azure</v></cell><cell r="S577" t="str"><v>Apps & Infra</v></cell><cell r="T577" t="str"><v>Developers & ITI's</v></cell><cell r="U577" t="str"><v>AZP-Canvas-Look a Like-Trial</v></cell><cell r="V577" t="str"><v>Prospecting</v></cell><cell r="W577" t="str"><v>Canvas Ad</v></cell><cell r="X577" t="str"><v>1080x143</v></cell><cell r="Y577" t="str"><v>Not Applicable </v></cell><cell r="Z577" t="str"><v>Not Applicable</v></cell><cell r="AA577"><v>43355</v></cell><cell r="AB577" t="str"><v>JPN_gaPMG_AZR_AZR_Q1_19_Trial-Social</v></cell><cell r="AC577"><v>21276694</v></cell><cell r="AD577"><v>720195</v></cell><cell r="AE577" t="str"><v>Facebook</v></cell><cell r="AF577"><v>3654128</v></cell><cell r="AG577" t="str"><v>Facebook»AZP-Canvas-Look a Like-Trial»1x1»Canvas»OTH»MO»CPM»PRO»X»UNK»TP»OT»Canvas-Trial</v></cell><cell r="AH577"><v>223297413</v></cell><cell r="AI577" t="str"><v>AzurePlatform_FBCTCcanvaspage-StartFreeCTA-Img2_JPN_1080x143 _SOC_Plat_Japanese_NA_Standard_NA_NA_T2_1</v></cell><cell r="AJ577"><v>102609621</v></cell></row><row r="578"><cell r="D578" t="str"><v>43355223933138</v></cell><cell r="E578" t="str"><v>43355103043835PRC1SW</v></cell><cell r="F578" t="str"><v>DCM</v></cell></row><row r="578"><cell r="H578"><v>0</v></cell><cell r="I578" t="str"><v>Azure Direct</v></cell><cell r="J578" t="str"><v>Azure Direct</v></cell><cell r="K578" t="str"><v>September</v></cell><cell r="L578"><v>43358</v></cell><cell r="M578" t="str"><v>Tier 0</v></cell><cell r="N578" t="str"><v>North America</v></cell><cell r="O578" t="str"><v>United States</v></cell><cell r="P578" t="str"><v>Trial</v></cell><cell r="Q578" t="str"><v>Social</v></cell><cell r="R578" t="str"><v>Azure</v></cell><cell r="S578" t="str"><v>Apps & Infra</v></cell><cell r="T578" t="str"><v>Developers & ITI's</v></cell><cell r="U578" t="str"><v>USA-Trial-ITD-Interest Prospecting-AZR-AZR</v></cell><cell r="V578" t="str"><v>Prospecting</v></cell><cell r="W578" t="str"><v>Canvas Ad</v></cell><cell r="X578" t="str"><v>10s</v></cell><cell r="Y578" t="str"><v>Try it Now</v></cell><cell r="Z578" t="str"><v>Standard videos</v></cell><cell r="AA578"><v>43355</v></cell><cell r="AB578" t="str"><v>USA_gaPMG_AZR_AZR_Q1_19_Direct-Social</v></cell><cell r="AC578"><v>21358715</v></cell><cell r="AD578"><v>720197</v></cell><cell r="AE578" t="str"><v>Facebook</v></cell><cell r="AF578"><v>3654128</v></cell><cell r="AG578" t="str"><v>FACEBOOK»USA-Trial-ITD-Interest Prospecting-AZR-AZR»1 x 1»SocialBan»CAN»ALL»CPA»PRO»X»NA»SS»NA»FBCTCBenefit2inMotion»PRC1SW</v></cell><cell r="AH578"><v>223933138</v></cell><cell r="AI578" t="str"><v>AzurePlatform_FBCTCBenefit2inMotion_USA_10s_CAN_PLATFORM_English_Trial_Standard_STAN_TIN_T4_1</v></cell><cell r="AJ578"><v>103043835</v></cell></row><row r="579"><cell r="D579" t="str"><v>43355223933138</v></cell><cell r="E579" t="str"><v>43355103178645PRC1SW</v></cell><cell r="F579" t="str"><v>DCM</v></cell></row><row r="579"><cell r="H579"><v>3</v></cell><cell r="I579" t="str"><v>Azure Direct</v></cell><cell r="J579" t="str"><v>Azure Direct</v></cell><cell r="K579" t="str"><v>September</v></cell><cell r="L579"><v>43358</v></cell><cell r="M579" t="str"><v>Tier 0</v></cell><cell r="N579" t="str"><v>North America</v></cell><cell r="O579" t="str"><v>United States</v></cell><cell r="P579" t="str"><v>Trial</v></cell><cell r="Q579" t="str"><v>Social</v></cell><cell r="R579" t="str"><v>Azure</v></cell><cell r="S579" t="str"><v>Apps & Infra</v></cell><cell r="T579" t="str"><v>Developers & ITI's</v></cell><cell r="U579" t="str"><v>USA-Trial-ITD-Interest Prospecting-AZR-AZR</v></cell><cell r="V579" t="str"><v>Prospecting</v></cell><cell r="W579" t="str"><v>Canvas Ad</v></cell><cell r="X579" t="str"><v>10s</v></cell><cell r="Y579" t="str"><v>Try it Now</v></cell><cell r="Z579" t="str"><v>Standard videos</v></cell><cell r="AA579"><v>43355</v></cell><cell r="AB579" t="str"><v>USA_gaPMG_AZR_AZR_Q1_19_Direct-Social</v></cell><cell r="AC579"><v>21358715</v></cell><cell r="AD579"><v>720197</v></cell><cell r="AE579" t="str"><v>Facebook</v></cell><cell r="AF579"><v>3654128</v></cell><cell r="AG579" t="str"><v>FACEBOOK»USA-Trial-ITD-Interest Prospecting-AZR-AZR»1 x 1»SocialBan»CAN»ALL»CPA»PRO»X»NA»SS»NA»FBCTCBenefit2inMotion»PRC1SW</v></cell><cell r="AH579"><v>223933138</v></cell><cell r="AI579" t="str"><v>AzurePlatform_FBCTCBenefit2inMotion_USA_10s_CAN_PLATFORM_English_Trial_Standard_STAN_TIN_T4_2</v></cell><cell r="AJ579"><v>103178645</v></cell></row><row r="580"><cell r="D580" t="str"><v>43355224104077</v></cell><cell r="E580" t="str"><v>43355103032775PRC1SX</v></cell><cell r="F580" t="str"><v>DCM</v></cell></row><row r="580"><cell r="H580"><v>0</v></cell><cell r="I580" t="str"><v>Azure Direct</v></cell><cell r="J580" t="str"><v>Azure Direct</v></cell><cell r="K580" t="str"><v>September</v></cell><cell r="L580"><v>43358</v></cell><cell r="M580" t="str"><v>Tier 0</v></cell><cell r="N580" t="str"><v>North America</v></cell><cell r="O580" t="str"><v>United States</v></cell><cell r="P580" t="str"><v>Trial</v></cell><cell r="Q580" t="str"><v>Social</v></cell><cell r="R580" t="str"><v>Azure</v></cell><cell r="S580" t="str"><v>Apps & Infra</v></cell><cell r="T580" t="str"><v>Developers & ITI's</v></cell><cell r="U580" t="str"><v>USA-Trial-ITD-Interest Prospecting-AZR-AZR</v></cell><cell r="V580" t="str"><v>Prospecting</v></cell><cell r="W580" t="str"><v>Canvas Ad</v></cell><cell r="X580" t="str"><v>10s</v></cell><cell r="Y580" t="str"><v>Try it Now</v></cell><cell r="Z580" t="str"><v>Standard videos</v></cell><cell r="AA580"><v>43355</v></cell><cell r="AB580" t="str"><v>USA_gaPMG_AZR_AZR_Q1_19_Direct-Social</v></cell><cell r="AC580"><v>21358715</v></cell><cell r="AD580"><v>720197</v></cell><cell r="AE580" t="str"><v>Facebook</v></cell><cell r="AF580"><v>3654128</v></cell><cell r="AG580" t="str"><v>FACEBOOK»USA-Trial-ITD-Interest Prospecting-AZR-AZR»1 x 1»SocialBan»CAN»ALL»CPA»PRO»X»NA»SS»NA»FBCTCBenefitinMotion»PRC1SX</v></cell><cell r="AH580"><v>224104077</v></cell><cell r="AI580" t="str"><v>AzurePlatform_FBCTCBenefitinMotion_USA_10s_CAN_PLATFORM_English_Trial_Standard_STAN_TIN_T3_1</v></cell><cell r="AJ580"><v>103032775</v></cell></row><row r="581"><cell r="D581" t="str"><v>43355224104077</v></cell><cell r="E581" t="str"><v>43355103176836PRC1SX</v></cell><cell r="F581" t="str"><v>DCM</v></cell></row><row r="581"><cell r="H581"><v>2</v></cell><cell r="I581" t="str"><v>Azure Direct</v></cell><cell r="J581" t="str"><v>Azure Direct</v></cell><cell r="K581" t="str"><v>September</v></cell><cell r="L581"><v>43358</v></cell><cell r="M581" t="str"><v>Tier 0</v></cell><cell r="N581" t="str"><v>North America</v></cell><cell r="O581" t="str"><v>United States</v></cell><cell r="P581" t="str"><v>Trial</v></cell><cell r="Q581" t="str"><v>Social</v></cell><cell r="R581" t="str"><v>Azure</v></cell><cell r="S581" t="str"><v>Apps & Infra</v></cell><cell r="T581" t="str"><v>Developers & ITI's</v></cell><cell r="U581" t="str"><v>USA-Trial-ITD-Interest Prospecting-AZR-AZR</v></cell><cell r="V581" t="str"><v>Prospecting</v></cell><cell r="W581" t="str"><v>Canvas Ad</v></cell><cell r="X581" t="str"><v>10s</v></cell><cell r="Y581" t="str"><v>Try it Now</v></cell><cell r="Z581" t="str"><v>Standard videos</v></cell><cell r="AA581"><v>43355</v></cell><cell r="AB581" t="str"><v>USA_gaPMG_AZR_AZR_Q1_19_Direct-Social</v></cell><cell r="AC581"><v>21358715</v></cell><cell r="AD581"><v>720197</v></cell><cell r="AE581" t="str"><v>Facebook</v></cell><cell r="AF581"><v>3654128</v></cell><cell r="AG581" t="str"><v>FACEBOOK»USA-Trial-ITD-Interest Prospecting-AZR-AZR»1 x 1»SocialBan»CAN»ALL»CPA»PRO»X»NA»SS»NA»FBCTCBenefitinMotion»PRC1SX</v></cell><cell r="AH581"><v>224104077</v></cell><cell r="AI581" t="str"><v>AzurePlatform_FBCTCBenefitinMotion_USA_10s_CAN_PLATFORM_English_Trial_Standard_STAN_TIN_T3_2</v></cell><cell r="AJ581"><v>103176836</v></cell></row><row r="582"><cell r="D582" t="str"><v>43355224104929</v></cell><cell r="E582" t="str"><v>43355103176812PRC1SY</v></cell><cell r="F582" t="str"><v>DCM</v></cell></row><row r="582"><cell r="H582"><v>0</v></cell><cell r="I582" t="str"><v>Azure Direct</v></cell><cell r="J582" t="str"><v>Azure Direct</v></cell><cell r="K582" t="str"><v>September</v></cell><cell r="L582"><v>43358</v></cell><cell r="M582" t="str"><v>Tier 0</v></cell><cell r="N582" t="str"><v>North America</v></cell><cell r="O582" t="str"><v>United States</v></cell><cell r="P582" t="str"><v>Trial</v></cell><cell r="Q582" t="str"><v>Social</v></cell><cell r="R582" t="str"><v>Azure</v></cell><cell r="S582" t="str"><v>Apps & Infra</v></cell><cell r="T582" t="str"><v>Developers & ITI's</v></cell><cell r="U582" t="str"><v>USA-Trial-ITD-Interest Prospecting-AZR-AZR</v></cell><cell r="V582" t="str"><v>Prospecting</v></cell><cell r="W582" t="str"><v>Canvas Ad</v></cell><cell r="X582" t="str"><v>10s</v></cell><cell r="Y582" t="str"><v>Try it Now</v></cell><cell r="Z582" t="str"><v>Standard videos</v></cell><cell r="AA582"><v>43355</v></cell><cell r="AB582" t="str"><v>USA_gaPMG_AZR_AZR_Q1_19_Direct-Social</v></cell><cell r="AC582"><v>21358715</v></cell><cell r="AD582"><v>720197</v></cell><cell r="AE582" t="str"><v>Facebook</v></cell><cell r="AF582"><v>3654128</v></cell><cell r="AG582" t="str"><v>FACEBOOK»USA-Trial-ITD-Interest Prospecting-AZR-AZR»1 x 1»SocialBan»CAN»ALL»CPA»PRO»X»NA»SS»NA»FBCTCBrandinMotion»PRC1SY</v></cell><cell r="AH582"><v>224104929</v></cell><cell r="AI582" t="str"><v>AzurePlatform_FBCTCBrandinMotion_USA_10s_CAN_PLATFORM_English_Trial_Standard_STAN_TIN_T2_1</v></cell><cell r="AJ582"><v>103176812</v></cell></row><row r="583"><cell r="D583" t="str"><v>43355224104929</v></cell><cell r="E583" t="str"><v>43355103032823PRC1SY</v></cell><cell r="F583" t="str"><v>DCM</v></cell></row><row r="583"><cell r="H583"><v>0</v></cell><cell r="I583" t="str"><v>Azure Direct</v></cell><cell r="J583" t="str"><v>Azure Direct</v></cell><cell r="K583" t="str"><v>September</v></cell><cell r="L583"><v>43358</v></cell><cell r="M583" t="str"><v>Tier 0</v></cell><cell r="N583" t="str"><v>North America</v></cell><cell r="O583" t="str"><v>United States</v></cell><cell r="P583" t="str"><v>Trial</v></cell><cell r="Q583" t="str"><v>Social</v></cell><cell r="R583" t="str"><v>Azure</v></cell><cell r="S583" t="str"><v>Apps & Infra</v></cell><cell r="T583" t="str"><v>Developers & ITI's</v></cell><cell r="U583" t="str"><v>USA-Trial-ITD-Interest Prospecting-AZR-AZR</v></cell><cell r="V583" t="str"><v>Prospecting</v></cell><cell r="W583" t="str"><v>Canvas Ad</v></cell><cell r="X583" t="str"><v>10s</v></cell><cell r="Y583" t="str"><v>Try it Now</v></cell><cell r="Z583" t="str"><v>Standard videos</v></cell><cell r="AA583"><v>43355</v></cell><cell r="AB583" t="str"><v>USA_gaPMG_AZR_AZR_Q1_19_Direct-Social</v></cell><cell r="AC583"><v>21358715</v></cell><cell r="AD583"><v>720197</v></cell><cell r="AE583" t="str"><v>Facebook</v></cell><cell r="AF583"><v>3654128</v></cell><cell r="AG583" t="str"><v>FACEBOOK»USA-Trial-ITD-Interest Prospecting-AZR-AZR»1 x 1»SocialBan»CAN»ALL»CPA»PRO»X»NA»SS»NA»FBCTCBrandinMotion»PRC1SY</v></cell><cell r="AH583"><v>224104929</v></cell><cell r="AI583" t="str"><v>AzurePlatform_FBCTCBrandinMotion_USA_10s_CAN_PLATFORM_English_Trial_Standard_STAN_TIN_T2_2</v></cell><cell r="AJ583"><v>103032823</v></cell></row><row r="584"><cell r="D584" t="str"><v>43355226617664</v></cell><cell r="E584" t="str"><v>43355104595739PS78JC</v></cell><cell r="F584" t="str"><v>DCM</v></cell></row><row r="584"><cell r="H584"><v>0</v></cell><cell r="I584" t="str"><v>Azure Direct</v></cell><cell r="J584" t="str"><v>Azure Direct</v></cell><cell r="K584" t="str"><v>September</v></cell><cell r="L584"><v>43358</v></cell><cell r="M584" t="str"><v>Tier 0</v></cell><cell r="N584" t="str"><v>North America</v></cell><cell r="O584" t="str"><v>United States</v></cell><cell r="P584" t="str"><v>Trial</v></cell><cell r="Q584" t="str"><v>Social</v></cell><cell r="R584" t="str"><v>Azure</v></cell><cell r="S584" t="str"><v>Apps & Infra</v></cell><cell r="T584" t="str"><v>Developers & ITI's</v></cell><cell r="U584" t="str"><v>USA-Trial-ITD-Interest Prospecting-AZR-AZR</v></cell><cell r="V584" t="str"><v>Prospecting</v></cell><cell r="W584" t="str"><v>Canvas Ad</v></cell><cell r="X584" t="str"><v>1200x1200</v></cell><cell r="Y584" t="str"><v>Learn More</v></cell><cell r="Z584" t="str"><v>Animated Banner</v></cell><cell r="AA584"><v>43355</v></cell><cell r="AB584" t="str"><v>USA_gaPMG_AZR_AZR_Q1_19_Direct-Social</v></cell><cell r="AC584"><v>21358715</v></cell><cell r="AD584"><v>720197</v></cell><cell r="AE584" t="str"><v>Facebook</v></cell><cell r="AF584"><v>3654128</v></cell><cell r="AG584" t="str"><v>FACEBOOK»USA-Trial-ITD-Interest Prospecting-AZR-AZR»1 x 1»SocialBan»CAN»ALL»CPA»PRO»X»NA»SS»NA»FreeAcctDeveloperFB-AnimatedData-Ch4»PS78JC</v></cell><cell r="AH584"><v>226617664</v></cell><cell r="AI584" t="str"><v>AZR_FreeAcctDeveloperFB-AnimatedData-Ch4_USA_1200x1200_CAN_Direct_EN_Trial_Standard_ANI_LEA_T4_1</v></cell><cell r="AJ584"><v>104595739</v></cell></row><row r="585"><cell r="D585" t="str"><v>43355226783992</v></cell><cell r="E585" t="str"><v>43355104592523PS78J5</v></cell><cell r="F585" t="str"><v>DCM</v></cell></row><row r="585"><cell r="H585"><v>6</v></cell><cell r="I585" t="str"><v>Azure Direct</v></cell><cell r="J585" t="str"><v>Azure Direct</v></cell><cell r="K585" t="str"><v>September</v></cell><cell r="L585"><v>43358</v></cell><cell r="M585" t="str"><v>Tier 0</v></cell><cell r="N585" t="str"><v>North America</v></cell><cell r="O585" t="str"><v>United States</v></cell><cell r="P585" t="str"><v>Trial</v></cell><cell r="Q585" t="str"><v>Social</v></cell><cell r="R585" t="str"><v>Azure</v></cell><cell r="S585" t="str"><v>Apps & Infra</v></cell><cell r="T585" t="str"><v>Developers & ITI's</v></cell><cell r="U585" t="str"><v>USA-Trial-ITD-Interest Prospecting-AZR-AZR</v></cell><cell r="V585" t="str"><v>Prospecting</v></cell><cell r="W585" t="str"><v>Canvas Ad</v></cell><cell r="X585" t="str"><v>1200x1200</v></cell><cell r="Y585" t="str"><v>Learn More</v></cell><cell r="Z585" t="str"><v>Animated Banner</v></cell><cell r="AA585"><v>43355</v></cell><cell r="AB585" t="str"><v>USA_gaPMG_AZR_AZR_Q1_19_Direct-Social</v></cell><cell r="AC585"><v>21358715</v></cell><cell r="AD585"><v>720197</v></cell><cell r="AE585" t="str"><v>Facebook</v></cell><cell r="AF585"><v>3654128</v></cell><cell r="AG585" t="str"><v>FACEBOOK»USA-Trial-ITD-Interest Prospecting-AZR-AZR»1 x 1»SocialBan»CAN»ALL»CPA»PRO»X»NA»SS»NA»FreeAcctDeveloperFB-AnimatedGeneric-Ch1»PS78J5</v></cell><cell r="AH585"><v>226783992</v></cell><cell r="AI585" t="str"><v>AZR_FreeAcctDeveloperFB-AnimatedGeneric-Ch1_USA_1200x1200_CAN_Direct_EN_Trial_Standard_ANI_LEA_T1_2</v></cell><cell r="AJ585"><v>104592523</v></cell></row><row r="586"><cell r="D586" t="str"><v>43355226783992</v></cell><cell r="E586" t="str"><v>43355104595766PS78J5</v></cell><cell r="F586" t="str"><v>DCM</v></cell></row><row r="586"><cell r="H586"><v>0</v></cell><cell r="I586" t="str"><v>Azure Direct</v></cell><cell r="J586" t="str"><v>Azure Direct</v></cell><cell r="K586" t="str"><v>September</v></cell><cell r="L586"><v>43358</v></cell><cell r="M586" t="str"><v>Tier 0</v></cell><cell r="N586" t="str"><v>North America</v></cell><cell r="O586" t="str"><v>United States</v></cell><cell r="P586" t="str"><v>Trial</v></cell><cell r="Q586" t="str"><v>Social</v></cell><cell r="R586" t="str"><v>Azure</v></cell><cell r="S586" t="str"><v>Apps & Infra</v></cell><cell r="T586" t="str"><v>Developers & ITI's</v></cell><cell r="U586" t="str"><v>USA-Trial-ITD-Interest Prospecting-AZR-AZR</v></cell><cell r="V586" t="str"><v>Prospecting</v></cell><cell r="W586" t="str"><v>Canvas Ad</v></cell><cell r="X586" t="str"><v>1200x1200</v></cell><cell r="Y586" t="str"><v>Learn More</v></cell><cell r="Z586" t="str"><v>Animated Banner</v></cell><cell r="AA586"><v>43355</v></cell><cell r="AB586" t="str"><v>USA_gaPMG_AZR_AZR_Q1_19_Direct-Social</v></cell><cell r="AC586"><v>21358715</v></cell><cell r="AD586"><v>720197</v></cell><cell r="AE586" t="str"><v>Facebook</v></cell><cell r="AF586"><v>3654128</v></cell><cell r="AG586" t="str"><v>FACEBOOK»USA-Trial-ITD-Interest Prospecting-AZR-AZR»1 x 1»SocialBan»CAN»ALL»CPA»PRO»X»NA»SS»NA»FreeAcctDeveloperFB-AnimatedGeneric-Ch1»PS78J5</v></cell><cell r="AH586"><v>226783992</v></cell><cell r="AI586" t="str"><v>AZR_FreeAcctDeveloperFB-AnimatedGeneric-Ch1_USA_1200x1200_CAN_Direct_EN_Trial_Standard_ANI_LEA_T1_1</v></cell><cell r="AJ586"><v>104595766</v></cell></row><row r="587"><cell r="D587" t="str"><v>43355225283843</v></cell><cell r="E587" t="str"><v>43355103776921PRSGV0</v></cell><cell r="F587" t="str"><v>DCM</v></cell></row><row r="587"><cell r="H587"><v>4</v></cell><cell r="I587" t="str"><v>Azure Direct</v></cell><cell r="J587" t="str"><v>Azure Direct</v></cell><cell r="K587" t="str"><v>September</v></cell><cell r="L587"><v>43358</v></cell><cell r="M587" t="str"><v>Tier 0</v></cell><cell r="N587" t="str"><v>North America</v></cell><cell r="O587" t="str"><v>United States</v></cell><cell r="P587" t="str"><v>Trial</v></cell><cell r="Q587" t="str"><v>Social</v></cell><cell r="R587" t="str"><v>Azure</v></cell><cell r="S587" t="str"><v>Apps & Infra</v></cell><cell r="T587" t="str"><v>Developers & ITI's</v></cell><cell r="U587" t="str"><v>USA-Trial-ITD-Interest Prospecting-AZR-AZR</v></cell><cell r="V587" t="str"><v>Prospecting</v></cell><cell r="W587" t="str"><v>Canvas Collection Ad</v></cell><cell r="X587" t="str"><v>1200x182</v></cell><cell r="Y587" t="str"><v>Try it Now</v></cell><cell r="Z587" t="str"><v>Not Applicable</v></cell><cell r="AA587"><v>43355</v></cell><cell r="AB587" t="str"><v>USA_gaPMG_AZR_AZR_Q1_19_Direct-Social</v></cell><cell r="AC587"><v>21358715</v></cell><cell r="AD587"><v>720197</v></cell><cell r="AE587" t="str"><v>Facebook</v></cell><cell r="AF587"><v>3654128</v></cell><cell r="AG587" t="str"><v>FACEBOOK»USA-Trial-ITD-Interest Prospecting-AZR-AZR»1 x 1»SocialBan»CCA»ALL»CPA»PRO»X»NA»SS»NA»Azure Developer Facebook Collections»PRSGV0</v></cell><cell r="AH587"><v>225283843</v></cell><cell r="AI587" t="str"><v>AZR_FBCollections-FreeStuffTryAzureFreeCTA-Img5_USA_1200x182_SOC_Plat_EN_NA_Standard_NA_TIN_T1_5</v></cell><cell r="AJ587"><v>103776921</v></cell></row><row r="588"><cell r="D588" t="str"><v>43355225283843</v></cell><cell r="E588" t="str"><v>43355103773180PRSGV0</v></cell><cell r="F588" t="str"><v>DCM</v></cell></row><row r="588"><cell r="H588"><v>0</v></cell><cell r="I588" t="str"><v>Azure Direct</v></cell><cell r="J588" t="str"><v>Azure Direct</v></cell><cell r="K588" t="str"><v>September</v></cell><cell r="L588"><v>43358</v></cell><cell r="M588" t="str"><v>Tier 0</v></cell><cell r="N588" t="str"><v>North America</v></cell><cell r="O588" t="str"><v>United States</v></cell><cell r="P588" t="str"><v>Trial</v></cell><cell r="Q588" t="str"><v>Social</v></cell><cell r="R588" t="str"><v>Azure</v></cell><cell r="S588" t="str"><v>Apps & Infra</v></cell><cell r="T588" t="str"><v>Developers & ITI's</v></cell><cell r="U588" t="str"><v>USA-Trial-ITD-Interest Prospecting-AZR-AZR</v></cell><cell r="V588" t="str"><v>Prospecting</v></cell><cell r="W588" t="str"><v>Canvas Collection Ad</v></cell><cell r="X588" t="str"><v>1200x182</v></cell><cell r="Y588" t="str"><v>Try it Now</v></cell><cell r="Z588" t="str"><v>Not Applicable</v></cell><cell r="AA588"><v>43355</v></cell><cell r="AB588" t="str"><v>USA_gaPMG_AZR_AZR_Q1_19_Direct-Social</v></cell><cell r="AC588"><v>21358715</v></cell><cell r="AD588"><v>720197</v></cell><cell r="AE588" t="str"><v>Facebook</v></cell><cell r="AF588"><v>3654128</v></cell><cell r="AG588" t="str"><v>FACEBOOK»USA-Trial-ITD-Interest Prospecting-AZR-AZR»1 x 1»SocialBan»CCA»ALL»CPA»PRO»X»NA»SS»NA»Azure Developer Facebook Collections»PRSGV0</v></cell><cell r="AH588"><v>225283843</v></cell><cell r="AI588" t="str"><v>AZR_FBCollections-SmartDataTryAzureFreeCTA-Img4_USA_1200x182_SOC_Plat_EN_NA_Standard_NA_TIN_T1_4</v></cell><cell r="AJ588"><v>103773180</v></cell></row><row r="589"><cell r="D589" t="str"><v>43355225283843</v></cell><cell r="E589" t="str"><v>43355103874423PRSGV0</v></cell><cell r="F589" t="str"><v>DCM</v></cell></row><row r="589"><cell r="H589"><v>3</v></cell><cell r="I589" t="str"><v>Azure Direct</v></cell><cell r="J589" t="str"><v>Azure Direct</v></cell><cell r="K589" t="str"><v>September</v></cell><cell r="L589"><v>43358</v></cell><cell r="M589" t="str"><v>Tier 0</v></cell><cell r="N589" t="str"><v>North America</v></cell><cell r="O589" t="str"><v>United States</v></cell><cell r="P589" t="str"><v>Trial</v></cell><cell r="Q589" t="str"><v>Social</v></cell><cell r="R589" t="str"><v>Azure</v></cell><cell r="S589" t="str"><v>Apps & Infra</v></cell><cell r="T589" t="str"><v>Developers & ITI's</v></cell><cell r="U589" t="str"><v>USA-Trial-ITD-Interest Prospecting-AZR-AZR</v></cell><cell r="V589" t="str"><v>Prospecting</v></cell><cell r="W589" t="str"><v>Canvas Collection Ad</v></cell><cell r="X589" t="str"><v>1200x182</v></cell><cell r="Y589" t="str"><v>Try it Now</v></cell><cell r="Z589" t="str"><v>Not Applicable</v></cell><cell r="AA589"><v>43355</v></cell><cell r="AB589" t="str"><v>USA_gaPMG_AZR_AZR_Q1_19_Direct-Social</v></cell><cell r="AC589"><v>21358715</v></cell><cell r="AD589"><v>720197</v></cell><cell r="AE589" t="str"><v>Facebook</v></cell><cell r="AF589"><v>3654128</v></cell><cell r="AG589" t="str"><v>FACEBOOK»USA-Trial-ITD-Interest Prospecting-AZR-AZR»1 x 1»SocialBan»CCA»ALL»CPA»PRO»X»NA»SS»NA»Azure Developer Facebook Collections»PRSGV0</v></cell><cell r="AH589"><v>225283843</v></cell><cell r="AI589" t="str"><v>AZR_FBCollections-TryAzureFreeCTA-Img1_USA_1200x182_SOC_Plat_EN_NA_Standard_NA_TIN_T1_1</v></cell><cell r="AJ589"><v>103874423</v></cell></row><row r="590"><cell r="D590" t="str"><v>43355224104932</v></cell><cell r="E590" t="str"><v>43355103176851PRC1SZ</v></cell><cell r="F590" t="str"><v>DCM</v></cell></row><row r="590"><cell r="H590"><v>11</v></cell><cell r="I590" t="str"><v>Azure Direct</v></cell><cell r="J590" t="str"><v>Azure Direct</v></cell><cell r="K590" t="str"><v>September</v></cell><cell r="L590"><v>43358</v></cell><cell r="M590" t="str"><v>Tier 0</v></cell><cell r="N590" t="str"><v>North America</v></cell><cell r="O590" t="str"><v>United States</v></cell><cell r="P590" t="str"><v>Trial</v></cell><cell r="Q590" t="str"><v>Social</v></cell><cell r="R590" t="str"><v>Azure</v></cell><cell r="S590" t="str"><v>Apps & Infra</v></cell><cell r="T590" t="str"><v>Developers & ITI's</v></cell><cell r="U590" t="str"><v>USA-Trial-ITD-Interest Prospecting-AZR-AZR</v></cell><cell r="V590" t="str"><v>Prospecting</v></cell><cell r="W590" t="str"><v>Link Ad</v></cell><cell r="X590" t="str"><v>1200x1200</v></cell><cell r="Y590" t="str"><v>Learn More</v></cell><cell r="Z590" t="str"><v>Animated Banner</v></cell><cell r="AA590"><v>43355</v></cell><cell r="AB590" t="str"><v>USA_gaPMG_AZR_AZR_Q1_19_Direct-Social</v></cell><cell r="AC590"><v>21358715</v></cell><cell r="AD590"><v>720197</v></cell><cell r="AE590" t="str"><v>Facebook</v></cell><cell r="AF590"><v>3654128</v></cell><cell r="AG590" t="str"><v>FACEBOOK»USA-Trial-ITD-Interest Prospecting-AZR-AZR»1 x 1»SocialBan»LIA»ALL»CPA»PRO»X»NA»SS»NA»FreeAcctDeveloperFB-AnimatedGeneric-Ch1»PRC1SZ</v></cell><cell r="AH590"><v>224104932</v></cell><cell r="AI590" t="str"><v>AZR_FreeAcctDeveloperFB-AnimatedGeneric-Ch1_USA_1200x1200_CAN_Direct_English_Trial_Standard_ANI_LEA_T1_2</v></cell><cell r="AJ590"><v>103176851</v></cell></row><row r="591"><cell r="D591" t="str"><v>43355223862885</v></cell><cell r="E591" t="str"><v>43355103048329PRC1T1</v></cell><cell r="F591" t="str"><v>DCM</v></cell></row><row r="591"><cell r="H591"><v>6</v></cell><cell r="I591" t="str"><v>Azure Direct</v></cell><cell r="J591" t="str"><v>Azure Direct</v></cell><cell r="K591" t="str"><v>September</v></cell><cell r="L591"><v>43358</v></cell><cell r="M591" t="str"><v>Tier 0</v></cell><cell r="N591" t="str"><v>North America</v></cell><cell r="O591" t="str"><v>United States</v></cell><cell r="P591" t="str"><v>Trial</v></cell><cell r="Q591" t="str"><v>Social</v></cell><cell r="R591" t="str"><v>Azure</v></cell><cell r="S591" t="str"><v>Apps & Infra</v></cell><cell r="T591" t="str"><v>Developers & ITI's</v></cell><cell r="U591" t="str"><v>USA-Trial-ITD-Interest Prospecting-AZR-AZR</v></cell><cell r="V591" t="str"><v>Prospecting</v></cell><cell r="W591" t="str"><v>Link Ad</v></cell><cell r="X591" t="str"><v>1200x1200</v></cell><cell r="Y591" t="str"><v>Learn More</v></cell><cell r="Z591" t="str"><v>Animated Banner</v></cell><cell r="AA591"><v>43355</v></cell><cell r="AB591" t="str"><v>USA_gaPMG_AZR_AZR_Q1_19_Direct-Social</v></cell><cell r="AC591"><v>21358715</v></cell><cell r="AD591"><v>720197</v></cell><cell r="AE591" t="str"><v>Facebook</v></cell><cell r="AF591"><v>3654128</v></cell><cell r="AG591" t="str"><v>FACEBOOK»USA-Trial-ITD-Interest Prospecting-AZR-AZR»1 x 1»SocialBan»LIA»ALL»CPA»PRO»X»NA»SS»NA»FreeAcctDeveloperFB-AnimatedOpenSource-Ch2»PRC1T1</v></cell><cell r="AH591"><v>223862885</v></cell><cell r="AI591" t="str"><v>AZR_FreeAcctDeveloperFB-AnimatedOpenSource-Ch2_USA_1200x1200_CAN_Direct_English_Trial_Standard_ANI_LEA_T2_1</v></cell><cell r="AJ591"><v>103048329</v></cell></row><row r="592"><cell r="D592" t="str"><v>43355224104914</v></cell><cell r="E592" t="str"><v>43355103176830PRC1T4</v></cell><cell r="F592" t="str"><v>DCM</v></cell></row><row r="592"><cell r="H592"><v>6</v></cell><cell r="I592" t="str"><v>Azure Direct</v></cell><cell r="J592" t="str"><v>Azure Direct</v></cell><cell r="K592" t="str"><v>September</v></cell><cell r="L592"><v>43358</v></cell><cell r="M592" t="str"><v>Tier 0</v></cell><cell r="N592" t="str"><v>North America</v></cell><cell r="O592" t="str"><v>United States</v></cell><cell r="P592" t="str"><v>Trial</v></cell><cell r="Q592" t="str"><v>Social</v></cell><cell r="R592" t="str"><v>Azure</v></cell><cell r="S592" t="str"><v>Apps & Infra</v></cell><cell r="T592" t="str"><v>Developers & ITI's</v></cell><cell r="U592" t="str"><v>USA-Trial-ITD-Interest Prospecting-AZR-AZR</v></cell><cell r="V592" t="str"><v>Prospecting</v></cell><cell r="W592" t="str"><v>Link Ad</v></cell><cell r="X592" t="str"><v>1200x1200</v></cell><cell r="Y592" t="str"><v>Learn More</v></cell><cell r="Z592" t="str"><v>Animated Banner</v></cell><cell r="AA592"><v>43355</v></cell><cell r="AB592" t="str"><v>USA_gaPMG_AZR_AZR_Q1_19_Direct-Social</v></cell><cell r="AC592"><v>21358715</v></cell><cell r="AD592"><v>720197</v></cell><cell r="AE592" t="str"><v>Facebook</v></cell><cell r="AF592"><v>3654128</v></cell><cell r="AG592" t="str"><v>FACEBOOK»USA-Trial-ITD-Interest Prospecting-AZR-AZR»1 x 1»SocialBan»LIA»ALL»CPA»PRO»X»NA»SS»NA»FreeAcctITProFB-AnimatedSecureMngd-Ch1»PRC1T4</v></cell><cell r="AH592"><v>224104914</v></cell><cell r="AI592" t="str"><v>AZR_FreeAcctITProFB-AnimatedSecureMngd-Ch1_USA_1200x1200_CAN_Direct_English_Trial_Standard_ANI_LEA_T1_1</v></cell><cell r="AJ592"><v>103176830</v></cell></row><row r="593"><cell r="D593" t="str"><v>43355226030086</v></cell><cell r="E593" t="str"><v>43355104593207PRX721</v></cell><cell r="F593" t="str"><v>DCM</v></cell></row><row r="593"><cell r="H593"><v>0</v></cell><cell r="I593" t="str"><v>Azure Direct</v></cell><cell r="J593" t="str"><v>Azure Direct</v></cell><cell r="K593" t="str"><v>September</v></cell><cell r="L593"><v>43358</v></cell><cell r="M593" t="str"><v>Tier 0</v></cell><cell r="N593" t="str"><v>North America</v></cell><cell r="O593" t="str"><v>United States</v></cell><cell r="P593" t="str"><v>Trial</v></cell><cell r="Q593" t="str"><v>Social</v></cell><cell r="R593" t="str"><v>Azure</v></cell><cell r="S593" t="str"><v>Apps & Infra</v></cell><cell r="T593" t="str"><v>Developers & ITI's</v></cell><cell r="U593" t="str"><v>USA-Trial-ITD-Lead Completes Lookalike-AZR-AZR</v></cell><cell r="V593" t="str"><v>Lookalike Targeting</v></cell><cell r="W593" t="str"><v>Canvas Ad</v></cell><cell r="X593" t="str"><v>10s</v></cell><cell r="Y593" t="str"><v>Try it Now</v></cell><cell r="Z593" t="str"><v>Standard videos</v></cell><cell r="AA593"><v>43355</v></cell><cell r="AB593" t="str"><v>USA_gaPMG_AZR_AZR_Q1_19_Direct-Social</v></cell><cell r="AC593"><v>21358715</v></cell><cell r="AD593"><v>720197</v></cell><cell r="AE593" t="str"><v>Facebook</v></cell><cell r="AF593"><v>3654128</v></cell><cell r="AG593" t="str"><v>FACEBOOK»USA-Trial-ITD-Lead Completes Lookalike-AZR-AZR»1 x 1»SocialBan»CAN»ALL»CPA»LAL»X»NA»SS»NA»FBCTCBasicMotion»PRX721</v></cell><cell r="AH593"><v>226030086</v></cell><cell r="AI593" t="str"><v>AZR_FBCTCBasicMotion_USA_10s_CAN_PLATFORM_English_Trial_Standard_STAN_TIN_T1_1</v></cell><cell r="AJ593"><v>104593207</v></cell></row><row r="594"><cell r="D594" t="str"><v>43355226030086</v></cell><cell r="E594" t="str"><v>43355104593426PRX721</v></cell><cell r="F594" t="str"><v>DCM</v></cell></row><row r="594"><cell r="H594"><v>3</v></cell><cell r="I594" t="str"><v>Azure Direct</v></cell><cell r="J594" t="str"><v>Azure Direct</v></cell><cell r="K594" t="str"><v>September</v></cell><cell r="L594"><v>43358</v></cell><cell r="M594" t="str"><v>Tier 0</v></cell><cell r="N594" t="str"><v>North America</v></cell><cell r="O594" t="str"><v>United States</v></cell><cell r="P594" t="str"><v>Trial</v></cell><cell r="Q594" t="str"><v>Social</v></cell><cell r="R594" t="str"><v>Azure</v></cell><cell r="S594" t="str"><v>Apps & Infra</v></cell><cell r="T594" t="str"><v>Developers & ITI's</v></cell><cell r="U594" t="str"><v>USA-Trial-ITD-Lead Completes Lookalike-AZR-AZR</v></cell><cell r="V594" t="str"><v>Lookalike Targeting</v></cell><cell r="W594" t="str"><v>Canvas Ad</v></cell><cell r="X594" t="str"><v>10s</v></cell><cell r="Y594" t="str"><v>Try it Now</v></cell><cell r="Z594" t="str"><v>Standard videos</v></cell><cell r="AA594"><v>43355</v></cell><cell r="AB594" t="str"><v>USA_gaPMG_AZR_AZR_Q1_19_Direct-Social</v></cell><cell r="AC594"><v>21358715</v></cell><cell r="AD594"><v>720197</v></cell><cell r="AE594" t="str"><v>Facebook</v></cell><cell r="AF594"><v>3654128</v></cell><cell r="AG594" t="str"><v>FACEBOOK»USA-Trial-ITD-Lead Completes Lookalike-AZR-AZR»1 x 1»SocialBan»CAN»ALL»CPA»LAL»X»NA»SS»NA»FBCTCBasicMotion»PRX721</v></cell><cell r="AH594"><v>226030086</v></cell><cell r="AI594" t="str"><v>AZR_FBCTCBasicMotion_USA_10s_CAN_PLATFORM_English_Trial_Standard_STAN_TIN_T1_2</v></cell><cell r="AJ594"><v>104593426</v></cell></row><row r="595"><cell r="D595" t="str"><v>43355225841990</v></cell><cell r="E595" t="str"><v>43355104593408PRX722</v></cell><cell r="F595" t="str"><v>DCM</v></cell></row><row r="595"><cell r="H595"><v>0</v></cell><cell r="I595" t="str"><v>Azure Direct</v></cell><cell r="J595" t="str"><v>Azure Direct</v></cell><cell r="K595" t="str"><v>September</v></cell><cell r="L595"><v>43358</v></cell><cell r="M595" t="str"><v>Tier 0</v></cell><cell r="N595" t="str"><v>North America</v></cell><cell r="O595" t="str"><v>United States</v></cell><cell r="P595" t="str"><v>Trial</v></cell><cell r="Q595" t="str"><v>Social</v></cell><cell r="R595" t="str"><v>Azure</v></cell><cell r="S595" t="str"><v>Apps & Infra</v></cell><cell r="T595" t="str"><v>Developers & ITI's</v></cell><cell r="U595" t="str"><v>USA-Trial-ITD-Lead Completes Lookalike-AZR-AZR</v></cell><cell r="V595" t="str"><v>Lookalike Targeting</v></cell><cell r="W595" t="str"><v>Canvas Ad</v></cell><cell r="X595" t="str"><v>10s</v></cell><cell r="Y595" t="str"><v>Try it Now</v></cell><cell r="Z595" t="str"><v>Standard videos</v></cell><cell r="AA595"><v>43355</v></cell><cell r="AB595" t="str"><v>USA_gaPMG_AZR_AZR_Q1_19_Direct-Social</v></cell><cell r="AC595"><v>21358715</v></cell><cell r="AD595"><v>720197</v></cell><cell r="AE595" t="str"><v>Facebook</v></cell><cell r="AF595"><v>3654128</v></cell><cell r="AG595" t="str"><v>FACEBOOK»USA-Trial-ITD-Lead Completes Lookalike-AZR-AZR»1 x 1»SocialBan»CAN»ALL»CPA»LAL»X»NA»SS»NA»FBCTCBenefit2inMotion»PRX722</v></cell><cell r="AH595"><v>225841990</v></cell><cell r="AI595" t="str"><v>AZR_FBCTCBenefit2inMotion_USA_10s_CAN_PLATFORM_English_Trial_Standard_STAN_TIN_T4_1</v></cell><cell r="AJ595"><v>104593408</v></cell></row><row r="596"><cell r="D596" t="str"><v>43355225841993</v></cell><cell r="E596" t="str"><v>43355104593411PRX723</v></cell><cell r="F596" t="str"><v>DCM</v></cell></row><row r="596"><cell r="H596"><v>0</v></cell><cell r="I596" t="str"><v>Azure Direct</v></cell><cell r="J596" t="str"><v>Azure Direct</v></cell><cell r="K596" t="str"><v>September</v></cell><cell r="L596"><v>43358</v></cell><cell r="M596" t="str"><v>Tier 0</v></cell><cell r="N596" t="str"><v>North America</v></cell><cell r="O596" t="str"><v>United States</v></cell><cell r="P596" t="str"><v>Trial</v></cell><cell r="Q596" t="str"><v>Social</v></cell><cell r="R596" t="str"><v>Azure</v></cell><cell r="S596" t="str"><v>Apps & Infra</v></cell><cell r="T596" t="str"><v>Developers & ITI's</v></cell><cell r="U596" t="str"><v>USA-Trial-ITD-Lead Completes Lookalike-AZR-AZR</v></cell><cell r="V596" t="str"><v>Lookalike Targeting</v></cell><cell r="W596" t="str"><v>Canvas Ad</v></cell><cell r="X596" t="str"><v>10s</v></cell><cell r="Y596" t="str"><v>Try it Now</v></cell><cell r="Z596" t="str"><v>Standard videos</v></cell><cell r="AA596"><v>43355</v></cell><cell r="AB596" t="str"><v>USA_gaPMG_AZR_AZR_Q1_19_Direct-Social</v></cell><cell r="AC596"><v>21358715</v></cell><cell r="AD596"><v>720197</v></cell><cell r="AE596" t="str"><v>Facebook</v></cell><cell r="AF596"><v>3654128</v></cell><cell r="AG596" t="str"><v>FACEBOOK»USA-Trial-ITD-Lead Completes Lookalike-AZR-AZR»1 x 1»SocialBan»CAN»ALL»CPA»LAL»X»NA»SS»NA»FBCTCBenefitinMotion»PRX723</v></cell><cell r="AH596"><v>225841993</v></cell><cell r="AI596" t="str"><v>AZR_FBCTCBenefitinMotion_USA_10s_CAN_PLATFORM_English_Trial_Standard_STAN_TIN_T3_1</v></cell><cell r="AJ596"><v>104593411</v></cell></row><row r="597"><cell r="D597" t="str"><v>43355225841993</v></cell><cell r="E597" t="str"><v>43355104595718PRX723</v></cell><cell r="F597" t="str"><v>DCM</v></cell></row><row r="597"><cell r="H597"><v>16</v></cell><cell r="I597" t="str"><v>Azure Direct</v></cell><cell r="J597" t="str"><v>Azure Direct</v></cell><cell r="K597" t="str"><v>September</v></cell><cell r="L597"><v>43358</v></cell><cell r="M597" t="str"><v>Tier 0</v></cell><cell r="N597" t="str"><v>North America</v></cell><cell r="O597" t="str"><v>United States</v></cell><cell r="P597" t="str"><v>Trial</v></cell><cell r="Q597" t="str"><v>Social</v></cell><cell r="R597" t="str"><v>Azure</v></cell><cell r="S597" t="str"><v>Apps & Infra</v></cell><cell r="T597" t="str"><v>Developers & ITI's</v></cell><cell r="U597" t="str"><v>USA-Trial-ITD-Lead Completes Lookalike-AZR-AZR</v></cell><cell r="V597" t="str"><v>Lookalike Targeting</v></cell><cell r="W597" t="str"><v>Canvas Ad</v></cell><cell r="X597" t="str"><v>10s</v></cell><cell r="Y597" t="str"><v>Try it Now</v></cell><cell r="Z597" t="str"><v>Standard videos</v></cell><cell r="AA597"><v>43355</v></cell><cell r="AB597" t="str"><v>USA_gaPMG_AZR_AZR_Q1_19_Direct-Social</v></cell><cell r="AC597"><v>21358715</v></cell><cell r="AD597"><v>720197</v></cell><cell r="AE597" t="str"><v>Facebook</v></cell><cell r="AF597"><v>3654128</v></cell><cell r="AG597" t="str"><v>FACEBOOK»USA-Trial-ITD-Lead Completes Lookalike-AZR-AZR»1 x 1»SocialBan»CAN»ALL»CPA»LAL»X»NA»SS»NA»FBCTCBenefitinMotion»PRX723</v></cell><cell r="AH597"><v>225841993</v></cell><cell r="AI597" t="str"><v>AZR_FBCTCBenefitinMotion_USA_10s_CAN_PLATFORM_English_Trial_Standard_STAN_TIN_T3_2</v></cell><cell r="AJ597"><v>104595718</v></cell></row><row r="598"><cell r="D598" t="str"><v>43355226028475</v></cell><cell r="E598" t="str"><v>43355104593696PRX724</v></cell><cell r="F598" t="str"><v>DCM</v></cell></row><row r="598"><cell r="H598"><v>0</v></cell><cell r="I598" t="str"><v>Azure Direct</v></cell><cell r="J598" t="str"><v>Azure Direct</v></cell><cell r="K598" t="str"><v>September</v></cell><cell r="L598"><v>43358</v></cell><cell r="M598" t="str"><v>Tier 0</v></cell><cell r="N598" t="str"><v>North America</v></cell><cell r="O598" t="str"><v>United States</v></cell><cell r="P598" t="str"><v>Trial</v></cell><cell r="Q598" t="str"><v>Social</v></cell><cell r="R598" t="str"><v>Azure</v></cell><cell r="S598" t="str"><v>Apps & Infra</v></cell><cell r="T598" t="str"><v>Developers & ITI's</v></cell><cell r="U598" t="str"><v>USA-Trial-ITD-Lead Completes Lookalike-AZR-AZR</v></cell><cell r="V598" t="str"><v>Lookalike Targeting</v></cell><cell r="W598" t="str"><v>Canvas Ad</v></cell><cell r="X598" t="str"><v>10s</v></cell><cell r="Y598" t="str"><v>Try it Now</v></cell><cell r="Z598" t="str"><v>Standard videos</v></cell><cell r="AA598"><v>43355</v></cell><cell r="AB598" t="str"><v>USA_gaPMG_AZR_AZR_Q1_19_Direct-Social</v></cell><cell r="AC598"><v>21358715</v></cell><cell r="AD598"><v>720197</v></cell><cell r="AE598" t="str"><v>Facebook</v></cell><cell r="AF598"><v>3654128</v></cell><cell r="AG598" t="str"><v>FACEBOOK»USA-Trial-ITD-Lead Completes Lookalike-AZR-AZR»1 x 1»SocialBan»CAN»ALL»CPA»LAL»X»NA»SS»NA»FBCTCBrandinMotion»PRX724</v></cell><cell r="AH598"><v>226028475</v></cell><cell r="AI598" t="str"><v>AZR_FBCTCBrandinMotion_USA_10s_CAN_PLATFORM_English_Trial_Standard_STAN_TIN_T2_1</v></cell><cell r="AJ598"><v>104593696</v></cell></row><row r="599"><cell r="D599" t="str"><v>43355226028475</v></cell><cell r="E599" t="str"><v>43355104671406PRX724</v></cell><cell r="F599" t="str"><v>DCM</v></cell></row><row r="599"><cell r="H599"><v>1</v></cell><cell r="I599" t="str"><v>Azure Direct</v></cell><cell r="J599" t="str"><v>Azure Direct</v></cell><cell r="K599" t="str"><v>September</v></cell><cell r="L599"><v>43358</v></cell><cell r="M599" t="str"><v>Tier 0</v></cell><cell r="N599" t="str"><v>North America</v></cell><cell r="O599" t="str"><v>United States</v></cell><cell r="P599" t="str"><v>Trial</v></cell><cell r="Q599" t="str"><v>Social</v></cell><cell r="R599" t="str"><v>Azure</v></cell><cell r="S599" t="str"><v>Apps & Infra</v></cell><cell r="T599" t="str"><v>Developers & ITI's</v></cell><cell r="U599" t="str"><v>USA-Trial-ITD-Lead Completes Lookalike-AZR-AZR</v></cell><cell r="V599" t="str"><v>Lookalike Targeting</v></cell><cell r="W599" t="str"><v>Canvas Ad</v></cell><cell r="X599" t="str"><v>10s</v></cell><cell r="Y599" t="str"><v>Try it Now</v></cell><cell r="Z599" t="str"><v>Standard videos</v></cell><cell r="AA599"><v>43355</v></cell><cell r="AB599" t="str"><v>USA_gaPMG_AZR_AZR_Q1_19_Direct-Social</v></cell><cell r="AC599"><v>21358715</v></cell><cell r="AD599"><v>720197</v></cell><cell r="AE599" t="str"><v>Facebook</v></cell><cell r="AF599"><v>3654128</v></cell><cell r="AG599" t="str"><v>FACEBOOK»USA-Trial-ITD-Lead Completes Lookalike-AZR-AZR»1 x 1»SocialBan»CAN»ALL»CPA»LAL»X»NA»SS»NA»FBCTCBrandinMotion»PRX724</v></cell><cell r="AH599"><v>226028475</v></cell><cell r="AI599" t="str"><v>AZR_FBCTCBrandinMotion_USA_10s_CAN_PLATFORM_English_Trial_Standard_STAN_TIN_T2_2</v></cell><cell r="AJ599"><v>104671406</v></cell></row><row r="600"><cell r="D600" t="str"><v>43355226539968</v></cell><cell r="E600" t="str"><v>43355104595739PS79G1</v></cell><cell r="F600" t="str"><v>DCM</v></cell></row><row r="600"><cell r="H600"><v>0</v></cell><cell r="I600" t="str"><v>Azure Direct</v></cell><cell r="J600" t="str"><v>Azure Direct</v></cell><cell r="K600" t="str"><v>September</v></cell><cell r="L600"><v>43358</v></cell><cell r="M600" t="str"><v>Tier 0</v></cell><cell r="N600" t="str"><v>North America</v></cell><cell r="O600" t="str"><v>United States</v></cell><cell r="P600" t="str"><v>Trial</v></cell><cell r="Q600" t="str"><v>Social</v></cell><cell r="R600" t="str"><v>Azure</v></cell><cell r="S600" t="str"><v>Apps & Infra</v></cell><cell r="T600" t="str"><v>Developers & ITI's</v></cell><cell r="U600" t="str"><v>USA-Trial-ITD-Lead Completes Lookalike-AZR-AZR</v></cell><cell r="V600" t="str"><v>Lookalike Targeting</v></cell><cell r="W600" t="str"><v>Canvas Ad</v></cell><cell r="X600" t="str"><v>1200x1200</v></cell><cell r="Y600" t="str"><v>Learn More</v></cell><cell r="Z600" t="str"><v>Animated Banner</v></cell><cell r="AA600"><v>43355</v></cell><cell r="AB600" t="str"><v>USA_gaPMG_AZR_AZR_Q1_19_Direct-Social</v></cell><cell r="AC600"><v>21358715</v></cell><cell r="AD600"><v>720197</v></cell><cell r="AE600" t="str"><v>Facebook</v></cell><cell r="AF600"><v>3654128</v></cell><cell r="AG600" t="str"><v>FACEBOOK»USA-Trial-ITD-Lead Completes Lookalike-AZR-AZR»1 x 1»SocialBan»CAN»ALL»CPA»LAL»X»NA»SS»NA»FreeAcctDeveloperFB-AnimatedData-Ch4»PS79G1</v></cell><cell r="AH600"><v>226539968</v></cell><cell r="AI600" t="str"><v>AZR_FreeAcctDeveloperFB-AnimatedData-Ch4_USA_1200x1200_CAN_Direct_EN_Trial_Standard_ANI_LEA_T4_1</v></cell><cell r="AJ600"><v>104595739</v></cell></row><row r="601"><cell r="D601" t="str"><v>43355226539968</v></cell><cell r="E601" t="str"><v>43355104671403PS79G1</v></cell><cell r="F601" t="str"><v>DCM</v></cell></row><row r="601"><cell r="H601"><v>1</v></cell><cell r="I601" t="str"><v>Azure Direct</v></cell><cell r="J601" t="str"><v>Azure Direct</v></cell><cell r="K601" t="str"><v>September</v></cell><cell r="L601"><v>43358</v></cell><cell r="M601" t="str"><v>Tier 0</v></cell><cell r="N601" t="str"><v>North America</v></cell><cell r="O601" t="str"><v>United States</v></cell><cell r="P601" t="str"><v>Trial</v></cell><cell r="Q601" t="str"><v>Social</v></cell><cell r="R601" t="str"><v>Azure</v></cell><cell r="S601" t="str"><v>Apps & Infra</v></cell><cell r="T601" t="str"><v>Developers & ITI's</v></cell><cell r="U601" t="str"><v>USA-Trial-ITD-Lead Completes Lookalike-AZR-AZR</v></cell><cell r="V601" t="str"><v>Lookalike Targeting</v></cell><cell r="W601" t="str"><v>Canvas Ad</v></cell><cell r="X601" t="str"><v>1200x1200</v></cell><cell r="Y601" t="str"><v>Learn More</v></cell><cell r="Z601" t="str"><v>Animated Banner</v></cell><cell r="AA601"><v>43355</v></cell><cell r="AB601" t="str"><v>USA_gaPMG_AZR_AZR_Q1_19_Direct-Social</v></cell><cell r="AC601"><v>21358715</v></cell><cell r="AD601"><v>720197</v></cell><cell r="AE601" t="str"><v>Facebook</v></cell><cell r="AF601"><v>3654128</v></cell><cell r="AG601" t="str"><v>FACEBOOK»USA-Trial-ITD-Lead Completes Lookalike-AZR-AZR»1 x 1»SocialBan»CAN»ALL»CPA»LAL»X»NA»SS»NA»FreeAcctDeveloperFB-AnimatedData-Ch4»PS79G1</v></cell><cell r="AH601"><v>226539968</v></cell><cell r="AI601" t="str"><v>AZR_FreeAcctDeveloperFB-AnimatedData-Ch4_USA_1200x1200_CAN_Direct_EN_Trial_Standard_ANI_LEA_T4_2</v></cell><cell r="AJ601"><v>104671403</v></cell></row><row r="602"><cell r="D602" t="str"><v>43355226622251</v></cell><cell r="E602" t="str"><v>43355104592523PS79FX</v></cell><cell r="F602" t="str"><v>DCM</v></cell></row><row r="602"><cell r="H602"><v>3</v></cell><cell r="I602" t="str"><v>Azure Direct</v></cell><cell r="J602" t="str"><v>Azure Direct</v></cell><cell r="K602" t="str"><v>September</v></cell><cell r="L602"><v>43358</v></cell><cell r="M602" t="str"><v>Tier 0</v></cell><cell r="N602" t="str"><v>North America</v></cell><cell r="O602" t="str"><v>United States</v></cell><cell r="P602" t="str"><v>Trial</v></cell><cell r="Q602" t="str"><v>Social</v></cell><cell r="R602" t="str"><v>Azure</v></cell><cell r="S602" t="str"><v>Apps & Infra</v></cell><cell r="T602" t="str"><v>Developers & ITI's</v></cell><cell r="U602" t="str"><v>USA-Trial-ITD-Lead Completes Lookalike-AZR-AZR</v></cell><cell r="V602" t="str"><v>Lookalike Targeting</v></cell><cell r="W602" t="str"><v>Canvas Ad</v></cell><cell r="X602" t="str"><v>1200x1200</v></cell><cell r="Y602" t="str"><v>Learn More</v></cell><cell r="Z602" t="str"><v>Animated Banner</v></cell><cell r="AA602"><v>43355</v></cell><cell r="AB602" t="str"><v>USA_gaPMG_AZR_AZR_Q1_19_Direct-Social</v></cell><cell r="AC602"><v>21358715</v></cell><cell r="AD602"><v>720197</v></cell><cell r="AE602" t="str"><v>Facebook</v></cell><cell r="AF602"><v>3654128</v></cell><cell r="AG602" t="str"><v>FACEBOOK»USA-Trial-ITD-Lead Completes Lookalike-AZR-AZR»1 x 1»SocialBan»CAN»ALL»CPA»LAL»X»NA»SS»NA»FreeAcctDeveloperFB-AnimatedGeneric-Ch1»PS79FX</v></cell><cell r="AH602"><v>226622251</v></cell><cell r="AI602" t="str"><v>AZR_FreeAcctDeveloperFB-AnimatedGeneric-Ch1_USA_1200x1200_CAN_Direct_EN_Trial_Standard_ANI_LEA_T1_2</v></cell><cell r="AJ602"><v>104592523</v></cell></row><row r="603"><cell r="D603" t="str"><v>43355226539965</v></cell><cell r="E603" t="str"><v>43355104593738PS79G2</v></cell><cell r="F603" t="str"><v>DCM</v></cell></row><row r="603"><cell r="H603"><v>0</v></cell><cell r="I603" t="str"><v>Azure Direct</v></cell><cell r="J603" t="str"><v>Azure Direct</v></cell><cell r="K603" t="str"><v>September</v></cell><cell r="L603"><v>43358</v></cell><cell r="M603" t="str"><v>Tier 0</v></cell><cell r="N603" t="str"><v>North America</v></cell><cell r="O603" t="str"><v>United States</v></cell><cell r="P603" t="str"><v>Trial</v></cell><cell r="Q603" t="str"><v>Social</v></cell><cell r="R603" t="str"><v>Azure</v></cell><cell r="S603" t="str"><v>Apps & Infra</v></cell><cell r="T603" t="str"><v>Developers & ITI's</v></cell><cell r="U603" t="str"><v>USA-Trial-ITD-Lead Completes Lookalike-AZR-AZR</v></cell><cell r="V603" t="str"><v>Lookalike Targeting</v></cell><cell r="W603" t="str"><v>Canvas Ad</v></cell><cell r="X603" t="str"><v>1200x1200</v></cell><cell r="Y603" t="str"><v>Learn More</v></cell><cell r="Z603" t="str"><v>Animated Banner</v></cell><cell r="AA603"><v>43355</v></cell><cell r="AB603" t="str"><v>USA_gaPMG_AZR_AZR_Q1_19_Direct-Social</v></cell><cell r="AC603"><v>21358715</v></cell><cell r="AD603"><v>720197</v></cell><cell r="AE603" t="str"><v>Facebook</v></cell><cell r="AF603"><v>3654128</v></cell><cell r="AG603" t="str"><v>FACEBOOK»USA-Trial-ITD-Lead Completes Lookalike-AZR-AZR»1 x 1»SocialBan»CAN»ALL»CPA»LAL»X»NA»SS»NA»FreeAcctITProFB-AnimatedSecureMngd-Ch1»PS79G2</v></cell><cell r="AH603"><v>226539965</v></cell><cell r="AI603" t="str"><v>AZR_FreeAcctITProFB-AnimatedSecureMngd-Ch1_USA_1200x1200_CAN_Direct_EN_Trial_Standard_ANI_LEA_T1_1</v></cell><cell r="AJ603"><v>104593738</v></cell></row><row r="604"><cell r="D604" t="str"><v>43355225761645</v></cell><cell r="E604" t="str"><v>43355104593720PRX71S</v></cell><cell r="F604" t="str"><v>DCM</v></cell></row><row r="604"><cell r="H604"><v>2</v></cell><cell r="I604" t="str"><v>Azure Direct</v></cell><cell r="J604" t="str"><v>Azure Direct</v></cell><cell r="K604" t="str"><v>September</v></cell><cell r="L604"><v>43358</v></cell><cell r="M604" t="str"><v>Tier 0</v></cell><cell r="N604" t="str"><v>North America</v></cell><cell r="O604" t="str"><v>United States</v></cell><cell r="P604" t="str"><v>Trial</v></cell><cell r="Q604" t="str"><v>Social</v></cell><cell r="R604" t="str"><v>Azure</v></cell><cell r="S604" t="str"><v>Apps & Infra</v></cell><cell r="T604" t="str"><v>Developers & ITI's</v></cell><cell r="U604" t="str"><v>USA-Trial-ITD-Lead Completes Lookalike-AZR-AZR</v></cell><cell r="V604" t="str"><v>Lookalike Targeting</v></cell><cell r="W604" t="str"><v>Canvas Collection Ad</v></cell><cell r="X604" t="str"><v>1200x182</v></cell><cell r="Y604" t="str"><v>Try it Now</v></cell><cell r="Z604" t="str"><v>Not Applicable</v></cell><cell r="AA604"><v>43355</v></cell><cell r="AB604" t="str"><v>USA_gaPMG_AZR_AZR_Q1_19_Direct-Social</v></cell><cell r="AC604"><v>21358715</v></cell><cell r="AD604"><v>720197</v></cell><cell r="AE604" t="str"><v>Facebook</v></cell><cell r="AF604"><v>3654128</v></cell><cell r="AG604" t="str"><v>FACEBOOK»USA-Trial-ITD-Lead Completes Lookalike-AZR-AZR»1 x 1»SocialBan»CCA»ALL»CPA»LAL»X»NA»SS»NA»Azure Developer Facebook Collections»PRX71S</v></cell><cell r="AH604"><v>225761645</v></cell><cell r="AI604" t="str"><v>AZR_FBCollections-AITryAzureFreeCTA-Img2_USA_1200x182_CCA_Plat_EN_NA_Standard_NA_TIN_T1_2</v></cell><cell r="AJ604"><v>104593720</v></cell></row><row r="605"><cell r="D605" t="str"><v>43355225761645</v></cell><cell r="E605" t="str"><v>43355104595751PRX71S</v></cell><cell r="F605" t="str"><v>DCM</v></cell></row><row r="605"><cell r="H605"><v>0</v></cell><cell r="I605" t="str"><v>Azure Direct</v></cell><cell r="J605" t="str"><v>Azure Direct</v></cell><cell r="K605" t="str"><v>September</v></cell><cell r="L605"><v>43358</v></cell><cell r="M605" t="str"><v>Tier 0</v></cell><cell r="N605" t="str"><v>North America</v></cell><cell r="O605" t="str"><v>United States</v></cell><cell r="P605" t="str"><v>Trial</v></cell><cell r="Q605" t="str"><v>Social</v></cell><cell r="R605" t="str"><v>Azure</v></cell><cell r="S605" t="str"><v>Apps & Infra</v></cell><cell r="T605" t="str"><v>Developers & ITI's</v></cell><cell r="U605" t="str"><v>USA-Trial-ITD-Lead Completes Lookalike-AZR-AZR</v></cell><cell r="V605" t="str"><v>Lookalike Targeting</v></cell><cell r="W605" t="str"><v>Canvas Collection Ad</v></cell><cell r="X605" t="str"><v>1200x182</v></cell><cell r="Y605" t="str"><v>Try it Now</v></cell><cell r="Z605" t="str"><v>Not Applicable</v></cell><cell r="AA605"><v>43355</v></cell><cell r="AB605" t="str"><v>USA_gaPMG_AZR_AZR_Q1_19_Direct-Social</v></cell><cell r="AC605"><v>21358715</v></cell><cell r="AD605"><v>720197</v></cell><cell r="AE605" t="str"><v>Facebook</v></cell><cell r="AF605"><v>3654128</v></cell><cell r="AG605" t="str"><v>FACEBOOK»USA-Trial-ITD-Lead Completes Lookalike-AZR-AZR»1 x 1»SocialBan»CCA»ALL»CPA»LAL»X»NA»SS»NA»Azure Developer Facebook Collections»PRX71S</v></cell><cell r="AH605"><v>225761645</v></cell><cell r="AI605" t="str"><v>AZR_FBCollections-SmartDataTryAzureFreeCTA-Img4_USA_1200x182_CCA_Plat_EN_NA_Standard_NA_TIN_T1_4</v></cell><cell r="AJ605"><v>104595751</v></cell></row><row r="606"><cell r="D606" t="str"><v>43355224104896</v></cell><cell r="E606" t="str"><v>43355103043835PRC1RR</v></cell><cell r="F606" t="str"><v>DCM</v></cell></row><row r="606"><cell r="H606"><v>0</v></cell><cell r="I606" t="str"><v>Azure Direct</v></cell><cell r="J606" t="str"><v>Azure Direct</v></cell><cell r="K606" t="str"><v>September</v></cell><cell r="L606"><v>43358</v></cell><cell r="M606" t="str"><v>Tier 0</v></cell><cell r="N606" t="str"><v>North America</v></cell><cell r="O606" t="str"><v>United States</v></cell><cell r="P606" t="str"><v>Trial</v></cell><cell r="Q606" t="str"><v>Social</v></cell><cell r="R606" t="str"><v>Azure</v></cell><cell r="S606" t="str"><v>Apps & Infra</v></cell><cell r="T606" t="str"><v>Developers & ITI's</v></cell><cell r="U606" t="str"><v>USA-Trial-ITD-Retargeting-AZR-AZR</v></cell><cell r="V606" t="str"><v>Retargeting</v></cell><cell r="W606" t="str"><v>Canvas Ad</v></cell><cell r="X606" t="str"><v>10s</v></cell><cell r="Y606" t="str"><v>Try it Now</v></cell><cell r="Z606" t="str"><v>Standard videos</v></cell><cell r="AA606"><v>43355</v></cell><cell r="AB606" t="str"><v>USA_gaPMG_AZR_AZR_Q1_19_Direct-Social</v></cell><cell r="AC606"><v>21358715</v></cell><cell r="AD606"><v>720197</v></cell><cell r="AE606" t="str"><v>Facebook</v></cell><cell r="AF606"><v>3654128</v></cell><cell r="AG606" t="str"><v>FACEBOOK»USA-Trial-ITD-Retargeting-AZR-AZR»1 x 1»SocialBan»CAN»ALL»CPA»RT»X»NA»SS»NA»FBCTCBenefit2inMotion»PRC1RR</v></cell><cell r="AH606"><v>224104896</v></cell><cell r="AI606" t="str"><v>AzurePlatform_FBCTCBenefit2inMotion_USA_10s_CAN_PLATFORM_English_Trial_Standard_STAN_TIN_T4_1</v></cell><cell r="AJ606"><v>103043835</v></cell></row><row r="607"><cell r="D607" t="str"><v>43355223862756</v></cell><cell r="E607" t="str"><v>43355103180592PRC1RW</v></cell><cell r="F607" t="str"><v>DCM</v></cell></row><row r="607"><cell r="H607"><v>8</v></cell><cell r="I607" t="str"><v>Azure Direct</v></cell><cell r="J607" t="str"><v>Azure Direct</v></cell><cell r="K607" t="str"><v>September</v></cell><cell r="L607"><v>43358</v></cell><cell r="M607" t="str"><v>Tier 0</v></cell><cell r="N607" t="str"><v>North America</v></cell><cell r="O607" t="str"><v>United States</v></cell><cell r="P607" t="str"><v>Trial</v></cell><cell r="Q607" t="str"><v>Social</v></cell><cell r="R607" t="str"><v>Azure</v></cell><cell r="S607" t="str"><v>Apps & Infra</v></cell><cell r="T607" t="str"><v>Developers & ITI's</v></cell><cell r="U607" t="str"><v>USA-Trial-ITD-Retargeting-AZR-AZR</v></cell><cell r="V607" t="str"><v>Retargeting</v></cell><cell r="W607" t="str"><v>Link Ad</v></cell><cell r="X607" t="str"><v>1200x628</v></cell><cell r="Y607" t="str"><v>Sign Up</v></cell><cell r="Z607" t="str"><v>Not Applicable</v></cell><cell r="AA607"><v>43355</v></cell><cell r="AB607" t="str"><v>USA_gaPMG_AZR_AZR_Q1_19_Direct-Social</v></cell><cell r="AC607"><v>21358715</v></cell><cell r="AD607"><v>720197</v></cell><cell r="AE607" t="str"><v>Facebook</v></cell><cell r="AF607"><v>3654128</v></cell><cell r="AG607" t="str"><v>FACEBOOK»USA-Trial-ITD-Retargeting-AZR-AZR»1 x 1»SocialBan»LIA»ALL»CPA»RT»X»NA»SS»NA»FreeAcctRetargetingFB-GlobalAlt-ChB»PRC1RW</v></cell><cell r="AH607"><v>223862756</v></cell><cell r="AI607" t="str"><v>AzurePlatform_FreeAcctRetargetingFB-GlobalAlt-ChB_USA_1200x628_CAN_PLATFORM_English_Free Account_Standard_NA_SINU_T2_1</v></cell><cell r="AJ607"><v>103180592</v></cell></row><row r="608"><cell r="D608" t="str"><v>43355223862747</v></cell><cell r="E608" t="str"><v>43355103034911PRC1RY</v></cell><cell r="F608" t="str"><v>DCM</v></cell></row><row r="608"><cell r="H608"><v>62</v></cell><cell r="I608" t="str"><v>Azure Direct</v></cell><cell r="J608" t="str"><v>Azure Direct</v></cell><cell r="K608" t="str"><v>September</v></cell><cell r="L608"><v>43358</v></cell><cell r="M608" t="str"><v>Tier 0</v></cell><cell r="N608" t="str"><v>North America</v></cell><cell r="O608" t="str"><v>United States</v></cell><cell r="P608" t="str"><v>Trial</v></cell><cell r="Q608" t="str"><v>Social</v></cell><cell r="R608" t="str"><v>Azure</v></cell><cell r="S608" t="str"><v>Apps & Infra</v></cell><cell r="T608" t="str"><v>Developers & ITI's</v></cell><cell r="U608" t="str"><v>USA-Trial-ITD-Retargeting-AZR-AZR</v></cell><cell r="V608" t="str"><v>Retargeting</v></cell><cell r="W608" t="str"><v>Link Ad</v></cell><cell r="X608" t="str"><v>1200x628</v></cell><cell r="Y608" t="str"><v>Sign Up</v></cell><cell r="Z608" t="str"><v>Not Applicable</v></cell><cell r="AA608"><v>43355</v></cell><cell r="AB608" t="str"><v>USA_gaPMG_AZR_AZR_Q1_19_Direct-Social</v></cell><cell r="AC608"><v>21358715</v></cell><cell r="AD608"><v>720197</v></cell><cell r="AE608" t="str"><v>Facebook</v></cell><cell r="AF608"><v>3654128</v></cell><cell r="AG608" t="str"><v>FACEBOOK»USA-Trial-ITD-Retargeting-AZR-AZR»1 x 1»SocialBan»LIA»ALL»CPA»RT»X»NA»SS»NA»FreeAcctRetargetingVMFB-750Hrs-ChD»PRC1RY</v></cell><cell r="AH608"><v>223862747</v></cell><cell r="AI608" t="str"><v>AzurePlatform_FreeAcctRetargetingVMFB-750Hrs-ChD_USA_1200x628_CAN_PLATFORM_English_Free Account_Standard_NA_SINU_T1_1</v></cell><cell r="AJ608"><v>103034911</v></cell></row><row r="609"><cell r="D609" t="str"><v>43355224104899</v></cell><cell r="E609" t="str"><v>43355103180610PRC1S0</v></cell><cell r="F609" t="str"><v>DCM</v></cell></row><row r="609"><cell r="H609"><v>6</v></cell><cell r="I609" t="str"><v>Azure Direct</v></cell><cell r="J609" t="str"><v>Azure Direct</v></cell><cell r="K609" t="str"><v>September</v></cell><cell r="L609"><v>43358</v></cell><cell r="M609" t="str"><v>Tier 0</v></cell><cell r="N609" t="str"><v>North America</v></cell><cell r="O609" t="str"><v>United States</v></cell><cell r="P609" t="str"><v>Trial</v></cell><cell r="Q609" t="str"><v>Social</v></cell><cell r="R609" t="str"><v>Azure</v></cell><cell r="S609" t="str"><v>Apps & Infra</v></cell><cell r="T609" t="str"><v>Developers & ITI's</v></cell><cell r="U609" t="str"><v>USA-Trial-ITD-Retargeting-AZR-AZR</v></cell><cell r="V609" t="str"><v>Retargeting</v></cell><cell r="W609" t="str"><v>Link Ad</v></cell><cell r="X609" t="str"><v>1200x628</v></cell><cell r="Y609" t="str"><v>Sign Up</v></cell><cell r="Z609" t="str"><v>Not Applicable</v></cell><cell r="AA609"><v>43355</v></cell><cell r="AB609" t="str"><v>USA_gaPMG_AZR_AZR_Q1_19_Direct-Social</v></cell><cell r="AC609"><v>21358715</v></cell><cell r="AD609"><v>720197</v></cell><cell r="AE609" t="str"><v>Facebook</v></cell><cell r="AF609"><v>3654128</v></cell><cell r="AG609" t="str"><v>FACEBOOK»USA-Trial-ITD-Retargeting-AZR-AZR»1 x 1»SocialBan»LIA»ALL»CPA»RT»X»NA»SS»NA»FreeAcctRetargetingVMFB-OnDemand-ChE»PRC1S0</v></cell><cell r="AH609"><v>224104899</v></cell><cell r="AI609" t="str"><v>AzurePlatform_FreeAcctRetargetingVMFB-OnDemand-ChE_USA_1200x628_CAN_PLATFORM_English_Free Account_Standard_NA_SINU_T2_1</v></cell><cell r="AJ609"><v>103180610</v></cell></row><row r="610"><cell r="D610" t="str"><v>43355223862900</v></cell><cell r="E610" t="str"><v>43355103176812PRC1M3</v></cell><cell r="F610" t="str"><v>DCM</v></cell></row><row r="610"><cell r="H610"><v>0</v></cell><cell r="I610" t="str"><v>Azure Direct</v></cell><cell r="J610" t="str"><v>Azure Direct</v></cell><cell r="K610" t="str"><v>September</v></cell><cell r="L610"><v>43358</v></cell><cell r="M610" t="str"><v>Tier 0</v></cell><cell r="N610" t="str"><v>North America</v></cell><cell r="O610" t="str"><v>United States</v></cell><cell r="P610" t="str"><v>Trial</v></cell><cell r="Q610" t="str"><v>Social</v></cell><cell r="R610" t="str"><v>Azure</v></cell><cell r="S610" t="str"><v>Apps & Infra</v></cell><cell r="T610" t="str"><v>Developers & ITI's</v></cell><cell r="U610" t="str"><v>USA-Trial-ITD-Trial Lookalike-AZR-AZR</v></cell><cell r="V610" t="str"><v>Lookalike Targeting</v></cell><cell r="W610" t="str"><v>Canvas Ad</v></cell><cell r="X610" t="str"><v>10s</v></cell><cell r="Y610" t="str"><v>Try it Now</v></cell><cell r="Z610" t="str"><v>Standard videos</v></cell><cell r="AA610"><v>43355</v></cell><cell r="AB610" t="str"><v>USA_gaPMG_AZR_AZR_Q1_19_Direct-Social</v></cell><cell r="AC610"><v>21358715</v></cell><cell r="AD610"><v>720197</v></cell><cell r="AE610" t="str"><v>Facebook</v></cell><cell r="AF610"><v>3654128</v></cell><cell r="AG610" t="str"><v>FACEBOOK»USA-Trial-ITD-Trial Lookalike-AZR-AZR»1 x 1»SocialBan»CAN»ALL»CPA»LAL»X»NA»SS»NA»FBCTCBrandinMotion»PRC1M3</v></cell><cell r="AH610"><v>223862900</v></cell><cell r="AI610" t="str"><v>AzurePlatform_FBCTCBrandinMotion_USA_10s_CAN_PLATFORM_English_Trial_Standard_STAN_TIN_T2_1</v></cell><cell r="AJ610"><v>103176812</v></cell></row><row r="611"><cell r="D611" t="str"><v>43355226784007</v></cell><cell r="E611" t="str"><v>43355104592523PS7B4W</v></cell><cell r="F611" t="str"><v>DCM</v></cell></row><row r="611"><cell r="H611"><v>2</v></cell><cell r="I611" t="str"><v>Azure Direct</v></cell><cell r="J611" t="str"><v>Azure Direct</v></cell><cell r="K611" t="str"><v>September</v></cell><cell r="L611"><v>43358</v></cell><cell r="M611" t="str"><v>Tier 0</v></cell><cell r="N611" t="str"><v>North America</v></cell><cell r="O611" t="str"><v>United States</v></cell><cell r="P611" t="str"><v>Trial</v></cell><cell r="Q611" t="str"><v>Social</v></cell><cell r="R611" t="str"><v>Azure</v></cell><cell r="S611" t="str"><v>Apps & Infra</v></cell><cell r="T611" t="str"><v>Developers & ITI's</v></cell><cell r="U611" t="str"><v>USA-Trial-ITD-Trial Lookalike-AZR-AZR</v></cell><cell r="V611" t="str"><v>Lookalike Targeting</v></cell><cell r="W611" t="str"><v>Canvas Ad</v></cell><cell r="X611" t="str"><v>1200x1200</v></cell><cell r="Y611" t="str"><v>Learn More</v></cell><cell r="Z611" t="str"><v>Animated Banner</v></cell><cell r="AA611"><v>43355</v></cell><cell r="AB611" t="str"><v>USA_gaPMG_AZR_AZR_Q1_19_Direct-Social</v></cell><cell r="AC611"><v>21358715</v></cell><cell r="AD611"><v>720197</v></cell><cell r="AE611" t="str"><v>Facebook</v></cell><cell r="AF611"><v>3654128</v></cell><cell r="AG611" t="str"><v>FACEBOOK»USA-Trial-ITD-Trial Lookalike-AZR-AZR»1 x 1»SocialBan»CAN»ALL»CPA»LAL»X»NA»SS»NA»FreeAcctDeveloperFB-AnimatedGeneric-Ch1»PS7B4W</v></cell><cell r="AH611"><v>226784007</v></cell><cell r="AI611" t="str"><v>AZR_FreeAcctDeveloperFB-AnimatedGeneric-Ch1_USA_1200x1200_CAN_Direct_EN_Trial_Standard_ANI_LEA_T1_2</v></cell><cell r="AJ611"><v>104592523</v></cell></row><row r="612"><cell r="D612" t="str"><v>43355225282481</v></cell><cell r="E612" t="str"><v>43355103776921PRSH0N</v></cell><cell r="F612" t="str"><v>DCM</v></cell></row><row r="612"><cell r="H612"><v>9</v></cell><cell r="I612" t="str"><v>Azure Direct</v></cell><cell r="J612" t="str"><v>Azure Direct</v></cell><cell r="K612" t="str"><v>September</v></cell><cell r="L612"><v>43358</v></cell><cell r="M612" t="str"><v>Tier 0</v></cell><cell r="N612" t="str"><v>North America</v></cell><cell r="O612" t="str"><v>United States</v></cell><cell r="P612" t="str"><v>Trial</v></cell><cell r="Q612" t="str"><v>Social</v></cell><cell r="R612" t="str"><v>Azure</v></cell><cell r="S612" t="str"><v>Apps & Infra</v></cell><cell r="T612" t="str"><v>Developers & ITI's</v></cell><cell r="U612" t="str"><v>USA-Trial-ITD-Trial Lookalike-AZR-AZR</v></cell><cell r="V612" t="str"><v>Lookalike Targeting</v></cell><cell r="W612" t="str"><v>Canvas Collection Ad</v></cell><cell r="X612" t="str"><v>1200x182</v></cell><cell r="Y612" t="str"><v>Try it Now</v></cell><cell r="Z612" t="str"><v>Not Applicable</v></cell><cell r="AA612"><v>43355</v></cell><cell r="AB612" t="str"><v>USA_gaPMG_AZR_AZR_Q1_19_Direct-Social</v></cell><cell r="AC612"><v>21358715</v></cell><cell r="AD612"><v>720197</v></cell><cell r="AE612" t="str"><v>Facebook</v></cell><cell r="AF612"><v>3654128</v></cell><cell r="AG612" t="str"><v>FACEBOOK»USA-Trial-ITD-Trial Lookalike-AZR-AZR»1 x 1»SocialBan»CCA»ALL»CPA»LAL»X»NA»SS»NA»Azure Developer Facebook Collections»PRSH0N</v></cell><cell r="AH612"><v>225282481</v></cell><cell r="AI612" t="str"><v>AZR_FBCollections-FreeStuffTryAzureFreeCTA-Img5_USA_1200x182_SOC_Plat_EN_NA_Standard_NA_TIN_T1_5</v></cell><cell r="AJ612"><v>103776921</v></cell></row><row r="613"><cell r="D613" t="str"><v>43355225282481</v></cell><cell r="E613" t="str"><v>43355103773180PRSH0N</v></cell><cell r="F613" t="str"><v>DCM</v></cell></row><row r="613"><cell r="H613"><v>8</v></cell><cell r="I613" t="str"><v>Azure Direct</v></cell><cell r="J613" t="str"><v>Azure Direct</v></cell><cell r="K613" t="str"><v>September</v></cell><cell r="L613"><v>43358</v></cell><cell r="M613" t="str"><v>Tier 0</v></cell><cell r="N613" t="str"><v>North America</v></cell><cell r="O613" t="str"><v>United States</v></cell><cell r="P613" t="str"><v>Trial</v></cell><cell r="Q613" t="str"><v>Social</v></cell><cell r="R613" t="str"><v>Azure</v></cell><cell r="S613" t="str"><v>Apps & Infra</v></cell><cell r="T613" t="str"><v>Developers & ITI's</v></cell><cell r="U613" t="str"><v>USA-Trial-ITD-Trial Lookalike-AZR-AZR</v></cell><cell r="V613" t="str"><v>Lookalike Targeting</v></cell><cell r="W613" t="str"><v>Canvas Collection Ad</v></cell><cell r="X613" t="str"><v>1200x182</v></cell><cell r="Y613" t="str"><v>Try it Now</v></cell><cell r="Z613" t="str"><v>Not Applicable</v></cell><cell r="AA613"><v>43355</v></cell><cell r="AB613" t="str"><v>USA_gaPMG_AZR_AZR_Q1_19_Direct-Social</v></cell><cell r="AC613"><v>21358715</v></cell><cell r="AD613"><v>720197</v></cell><cell r="AE613" t="str"><v>Facebook</v></cell><cell r="AF613"><v>3654128</v></cell><cell r="AG613" t="str"><v>FACEBOOK»USA-Trial-ITD-Trial Lookalike-AZR-AZR»1 x 1»SocialBan»CCA»ALL»CPA»LAL»X»NA»SS»NA»Azure Developer Facebook Collections»PRSH0N</v></cell><cell r="AH613"><v>225282481</v></cell><cell r="AI613" t="str"><v>AZR_FBCollections-SmartDataTryAzureFreeCTA-Img4_USA_1200x182_SOC_Plat_EN_NA_Standard_NA_TIN_T1_4</v></cell><cell r="AJ613"><v>103773180</v></cell></row><row r="614"><cell r="D614" t="str"><v>43355225282481</v></cell><cell r="E614" t="str"><v>43355103874423PRSH0N</v></cell><cell r="F614" t="str"><v>DCM</v></cell></row><row r="614"><cell r="H614"><v>24</v></cell><cell r="I614" t="str"><v>Azure Direct</v></cell><cell r="J614" t="str"><v>Azure Direct</v></cell><cell r="K614" t="str"><v>September</v></cell><cell r="L614"><v>43358</v></cell><cell r="M614" t="str"><v>Tier 0</v></cell><cell r="N614" t="str"><v>North America</v></cell><cell r="O614" t="str"><v>United States</v></cell><cell r="P614" t="str"><v>Trial</v></cell><cell r="Q614" t="str"><v>Social</v></cell><cell r="R614" t="str"><v>Azure</v></cell><cell r="S614" t="str"><v>Apps & Infra</v></cell><cell r="T614" t="str"><v>Developers & ITI's</v></cell><cell r="U614" t="str"><v>USA-Trial-ITD-Trial Lookalike-AZR-AZR</v></cell><cell r="V614" t="str"><v>Lookalike Targeting</v></cell><cell r="W614" t="str"><v>Canvas Collection Ad</v></cell><cell r="X614" t="str"><v>1200x182</v></cell><cell r="Y614" t="str"><v>Try it Now</v></cell><cell r="Z614" t="str"><v>Not Applicable</v></cell><cell r="AA614"><v>43355</v></cell><cell r="AB614" t="str"><v>USA_gaPMG_AZR_AZR_Q1_19_Direct-Social</v></cell><cell r="AC614"><v>21358715</v></cell><cell r="AD614"><v>720197</v></cell><cell r="AE614" t="str"><v>Facebook</v></cell><cell r="AF614"><v>3654128</v></cell><cell r="AG614" t="str"><v>FACEBOOK»USA-Trial-ITD-Trial Lookalike-AZR-AZR»1 x 1»SocialBan»CCA»ALL»CPA»LAL»X»NA»SS»NA»Azure Developer Facebook Collections»PRSH0N</v></cell><cell r="AH614"><v>225282481</v></cell><cell r="AI614" t="str"><v>AZR_FBCollections-TryAzureFreeCTA-Img1_USA_1200x182_SOC_Plat_EN_NA_Standard_NA_TIN_T1_1</v></cell><cell r="AJ614"><v>103874423</v></cell></row><row r="615"><cell r="D615" t="str"><v>43355225282481</v></cell><cell r="E615" t="str"><v>43355103773177PRSH0N</v></cell><cell r="F615" t="str"><v>DCM</v></cell></row><row r="615"><cell r="H615"><v>4</v></cell><cell r="I615" t="str"><v>Azure Direct</v></cell><cell r="J615" t="str"><v>Azure Direct</v></cell><cell r="K615" t="str"><v>September</v></cell><cell r="L615"><v>43358</v></cell><cell r="M615" t="str"><v>Tier 0</v></cell><cell r="N615" t="str"><v>North America</v></cell><cell r="O615" t="str"><v>United States</v></cell><cell r="P615" t="str"><v>Trial</v></cell><cell r="Q615" t="str"><v>Social</v></cell><cell r="R615" t="str"><v>Azure</v></cell><cell r="S615" t="str"><v>Apps & Infra</v></cell><cell r="T615" t="str"><v>Developers & ITI's</v></cell><cell r="U615" t="str"><v>USA-Trial-ITD-Trial Lookalike-AZR-AZR</v></cell><cell r="V615" t="str"><v>Lookalike Targeting</v></cell><cell r="W615" t="str"><v>Canvas Collection Ad</v></cell><cell r="X615" t="str"><v>1200x182</v></cell><cell r="Y615" t="str"><v>Try it Now</v></cell><cell r="Z615" t="str"><v>Not Applicable</v></cell><cell r="AA615"><v>43355</v></cell><cell r="AB615" t="str"><v>USA_gaPMG_AZR_AZR_Q1_19_Direct-Social</v></cell><cell r="AC615"><v>21358715</v></cell><cell r="AD615"><v>720197</v></cell><cell r="AE615" t="str"><v>Facebook</v></cell><cell r="AF615"><v>3654128</v></cell><cell r="AG615" t="str"><v>FACEBOOK»USA-Trial-ITD-Trial Lookalike-AZR-AZR»1 x 1»SocialBan»CCA»ALL»CPA»LAL»X»NA»SS»NA»Azure Developer Facebook Collections»PRSH0N</v></cell><cell r="AH615"><v>225282481</v></cell><cell r="AI615" t="str"><v>AZR_FBCollections-AITryAzureFreeCTA-Img2_USA_1200x182_SOC_Plat_EN_NA_Standard_NA_TIN_T1_2</v></cell><cell r="AJ615"><v>103773177</v></cell></row><row r="616"><cell r="D616" t="str"><v>43355223862933</v></cell><cell r="E616" t="str"><v>43355103037935PRC1M8</v></cell><cell r="F616" t="str"><v>DCM</v></cell></row><row r="616"><cell r="H616"><v>2</v></cell><cell r="I616" t="str"><v>Azure Direct</v></cell><cell r="J616" t="str"><v>Azure Direct</v></cell><cell r="K616" t="str"><v>September</v></cell><cell r="L616"><v>43358</v></cell><cell r="M616" t="str"><v>Tier 0</v></cell><cell r="N616" t="str"><v>North America</v></cell><cell r="O616" t="str"><v>United States</v></cell><cell r="P616" t="str"><v>Trial</v></cell><cell r="Q616" t="str"><v>Social</v></cell><cell r="R616" t="str"><v>Azure</v></cell><cell r="S616" t="str"><v>Apps & Infra</v></cell><cell r="T616" t="str"><v>Developers & ITI's</v></cell><cell r="U616" t="str"><v>USA-Trial-ITD-Trial Lookalike-AZR-AZR</v></cell><cell r="V616" t="str"><v>Lookalike Targeting</v></cell><cell r="W616" t="str"><v>Link Ad</v></cell><cell r="X616" t="str"><v>1200x1200</v></cell><cell r="Y616" t="str"><v>Learn More</v></cell><cell r="Z616" t="str"><v>Animated Banner</v></cell><cell r="AA616"><v>43355</v></cell><cell r="AB616" t="str"><v>USA_gaPMG_AZR_AZR_Q1_19_Direct-Social</v></cell><cell r="AC616"><v>21358715</v></cell><cell r="AD616"><v>720197</v></cell><cell r="AE616" t="str"><v>Facebook</v></cell><cell r="AF616"><v>3654128</v></cell><cell r="AG616" t="str"><v>FACEBOOK»USA-Trial-ITD-Trial Lookalike-AZR-AZR»1 x 1»SocialBan»LIA»ALL»CPA»LAL»X»NA»SS»NA»FreeAcctDeveloperFB-AnimatedData-Ch4»PRC1M8</v></cell><cell r="AH616"><v>223862933</v></cell><cell r="AI616" t="str"><v>AZR_FreeAcctDeveloperFB-AnimatedData-Ch4_USA_1200x1200_CAN_Direct_English_Trial_Standard_ANI_LEA_T4_2</v></cell><cell r="AJ616"><v>103037935</v></cell></row><row r="617"><cell r="D617" t="str"><v>43355224104986</v></cell><cell r="E617" t="str"><v>43355103043835PRC1Q1</v></cell><cell r="F617" t="str"><v>DCM</v></cell></row><row r="617"><cell r="H617"><v>0</v></cell><cell r="I617" t="str"><v>Azure Direct</v></cell><cell r="J617" t="str"><v>Azure Direct</v></cell><cell r="K617" t="str"><v>September</v></cell><cell r="L617"><v>43358</v></cell><cell r="M617" t="str"><v>Tier 0</v></cell><cell r="N617" t="str"><v>North America</v></cell><cell r="O617" t="str"><v>United States</v></cell><cell r="P617" t="str"><v>Trial</v></cell><cell r="Q617" t="str"><v>Social</v></cell><cell r="R617" t="str"><v>Azure</v></cell><cell r="S617" t="str"><v>Apps & Infra</v></cell><cell r="T617" t="str"><v>Developers & ITI's</v></cell><cell r="U617" t="str"><v>USA-Trial-ITD-Trial PayGo Lookalike-AZR-AZR</v></cell><cell r="V617" t="str"><v>Lookalike Targeting</v></cell><cell r="W617" t="str"><v>Canvas Ad</v></cell><cell r="X617" t="str"><v>10s</v></cell><cell r="Y617" t="str"><v>Try it Now</v></cell><cell r="Z617" t="str"><v>Standard videos</v></cell><cell r="AA617"><v>43355</v></cell><cell r="AB617" t="str"><v>USA_gaPMG_AZR_AZR_Q1_19_Direct-Social</v></cell><cell r="AC617"><v>21358715</v></cell><cell r="AD617"><v>720197</v></cell><cell r="AE617" t="str"><v>Facebook</v></cell><cell r="AF617"><v>3654128</v></cell><cell r="AG617" t="str"><v>FACEBOOK»USA-Trial-ITD-Trial PayGo Lookalike-AZR-AZR»1 x 1»SocialBan»CAN»ALL»CPA»LAL»X»NA»SS»NA»FBCTCBenefit2inMotion»PRC1Q1</v></cell><cell r="AH617"><v>224104986</v></cell><cell r="AI617" t="str"><v>AzurePlatform_FBCTCBenefit2inMotion_USA_10s_CAN_PLATFORM_English_Trial_Standard_STAN_TIN_T4_1</v></cell><cell r="AJ617"><v>103043835</v></cell></row><row r="618"><cell r="D618" t="str"><v>43355224104986</v></cell><cell r="E618" t="str"><v>43355103178645PRC1Q1</v></cell><cell r="F618" t="str"><v>DCM</v></cell></row><row r="618"><cell r="H618"><v>2</v></cell><cell r="I618" t="str"><v>Azure Direct</v></cell><cell r="J618" t="str"><v>Azure Direct</v></cell><cell r="K618" t="str"><v>September</v></cell><cell r="L618"><v>43358</v></cell><cell r="M618" t="str"><v>Tier 0</v></cell><cell r="N618" t="str"><v>North America</v></cell><cell r="O618" t="str"><v>United States</v></cell><cell r="P618" t="str"><v>Trial</v></cell><cell r="Q618" t="str"><v>Social</v></cell><cell r="R618" t="str"><v>Azure</v></cell><cell r="S618" t="str"><v>Apps & Infra</v></cell><cell r="T618" t="str"><v>Developers & ITI's</v></cell><cell r="U618" t="str"><v>USA-Trial-ITD-Trial PayGo Lookalike-AZR-AZR</v></cell><cell r="V618" t="str"><v>Lookalike Targeting</v></cell><cell r="W618" t="str"><v>Canvas Ad</v></cell><cell r="X618" t="str"><v>10s</v></cell><cell r="Y618" t="str"><v>Try it Now</v></cell><cell r="Z618" t="str"><v>Standard videos</v></cell><cell r="AA618"><v>43355</v></cell><cell r="AB618" t="str"><v>USA_gaPMG_AZR_AZR_Q1_19_Direct-Social</v></cell><cell r="AC618"><v>21358715</v></cell><cell r="AD618"><v>720197</v></cell><cell r="AE618" t="str"><v>Facebook</v></cell><cell r="AF618"><v>3654128</v></cell><cell r="AG618" t="str"><v>FACEBOOK»USA-Trial-ITD-Trial PayGo Lookalike-AZR-AZR»1 x 1»SocialBan»CAN»ALL»CPA»LAL»X»NA»SS»NA»FBCTCBenefit2inMotion»PRC1Q1</v></cell><cell r="AH618"><v>224104986</v></cell><cell r="AI618" t="str"><v>AzurePlatform_FBCTCBenefit2inMotion_USA_10s_CAN_PLATFORM_English_Trial_Standard_STAN_TIN_T4_2</v></cell><cell r="AJ618"><v>103178645</v></cell></row><row r="619"><cell r="D619" t="str"><v>43355223862960</v></cell><cell r="E619" t="str"><v>43355103032775PRC1Q2</v></cell><cell r="F619" t="str"><v>DCM</v></cell></row><row r="619"><cell r="H619"><v>0</v></cell><cell r="I619" t="str"><v>Azure Direct</v></cell><cell r="J619" t="str"><v>Azure Direct</v></cell><cell r="K619" t="str"><v>September</v></cell><cell r="L619"><v>43358</v></cell><cell r="M619" t="str"><v>Tier 0</v></cell><cell r="N619" t="str"><v>North America</v></cell><cell r="O619" t="str"><v>United States</v></cell><cell r="P619" t="str"><v>Trial</v></cell><cell r="Q619" t="str"><v>Social</v></cell><cell r="R619" t="str"><v>Azure</v></cell><cell r="S619" t="str"><v>Apps & Infra</v></cell><cell r="T619" t="str"><v>Developers & ITI's</v></cell><cell r="U619" t="str"><v>USA-Trial-ITD-Trial PayGo Lookalike-AZR-AZR</v></cell><cell r="V619" t="str"><v>Lookalike Targeting</v></cell><cell r="W619" t="str"><v>Canvas Ad</v></cell><cell r="X619" t="str"><v>10s</v></cell><cell r="Y619" t="str"><v>Try it Now</v></cell><cell r="Z619" t="str"><v>Standard videos</v></cell><cell r="AA619"><v>43355</v></cell><cell r="AB619" t="str"><v>USA_gaPMG_AZR_AZR_Q1_19_Direct-Social</v></cell><cell r="AC619"><v>21358715</v></cell><cell r="AD619"><v>720197</v></cell><cell r="AE619" t="str"><v>Facebook</v></cell><cell r="AF619"><v>3654128</v></cell><cell r="AG619" t="str"><v>FACEBOOK»USA-Trial-ITD-Trial PayGo Lookalike-AZR-AZR»1 x 1»SocialBan»CAN»ALL»CPA»LAL»X»NA»SS»NA»FBCTCBenefitinMotion»PRC1Q2</v></cell><cell r="AH619"><v>223862960</v></cell><cell r="AI619" t="str"><v>AzurePlatform_FBCTCBenefitinMotion_USA_10s_CAN_PLATFORM_English_Trial_Standard_STAN_TIN_T3_1</v></cell><cell r="AJ619"><v>103032775</v></cell></row><row r="620"><cell r="D620" t="str"><v>43355223935349</v></cell><cell r="E620" t="str"><v>43355103176812PRC1Q3</v></cell><cell r="F620" t="str"><v>DCM</v></cell></row><row r="620"><cell r="H620"><v>0</v></cell><cell r="I620" t="str"><v>Azure Direct</v></cell><cell r="J620" t="str"><v>Azure Direct</v></cell><cell r="K620" t="str"><v>September</v></cell><cell r="L620"><v>43358</v></cell><cell r="M620" t="str"><v>Tier 0</v></cell><cell r="N620" t="str"><v>North America</v></cell><cell r="O620" t="str"><v>United States</v></cell><cell r="P620" t="str"><v>Trial</v></cell><cell r="Q620" t="str"><v>Social</v></cell><cell r="R620" t="str"><v>Azure</v></cell><cell r="S620" t="str"><v>Apps & Infra</v></cell><cell r="T620" t="str"><v>Developers & ITI's</v></cell><cell r="U620" t="str"><v>USA-Trial-ITD-Trial PayGo Lookalike-AZR-AZR</v></cell><cell r="V620" t="str"><v>Lookalike Targeting</v></cell><cell r="W620" t="str"><v>Canvas Ad</v></cell><cell r="X620" t="str"><v>10s</v></cell><cell r="Y620" t="str"><v>Try it Now</v></cell><cell r="Z620" t="str"><v>Standard videos</v></cell><cell r="AA620"><v>43355</v></cell><cell r="AB620" t="str"><v>USA_gaPMG_AZR_AZR_Q1_19_Direct-Social</v></cell><cell r="AC620"><v>21358715</v></cell><cell r="AD620"><v>720197</v></cell><cell r="AE620" t="str"><v>Facebook</v></cell><cell r="AF620"><v>3654128</v></cell><cell r="AG620" t="str"><v>FACEBOOK»USA-Trial-ITD-Trial PayGo Lookalike-AZR-AZR»1 x 1»SocialBan»CAN»ALL»CPA»LAL»X»NA»SS»NA»FBCTCBrandinMotion»PRC1Q3</v></cell><cell r="AH620"><v>223935349</v></cell><cell r="AI620" t="str"><v>AzurePlatform_FBCTCBrandinMotion_USA_10s_CAN_PLATFORM_English_Trial_Standard_STAN_TIN_T2_1</v></cell><cell r="AJ620"><v>103176812</v></cell></row><row r="621"><cell r="D621" t="str"><v>43355223935349</v></cell><cell r="E621" t="str"><v>43355103032823PRC1Q3</v></cell><cell r="F621" t="str"><v>DCM</v></cell></row><row r="621"><cell r="H621"><v>1</v></cell><cell r="I621" t="str"><v>Azure Direct</v></cell><cell r="J621" t="str"><v>Azure Direct</v></cell><cell r="K621" t="str"><v>September</v></cell><cell r="L621"><v>43358</v></cell><cell r="M621" t="str"><v>Tier 0</v></cell><cell r="N621" t="str"><v>North America</v></cell><cell r="O621" t="str"><v>United States</v></cell><cell r="P621" t="str"><v>Trial</v></cell><cell r="Q621" t="str"><v>Social</v></cell><cell r="R621" t="str"><v>Azure</v></cell><cell r="S621" t="str"><v>Apps & Infra</v></cell><cell r="T621" t="str"><v>Developers & ITI's</v></cell><cell r="U621" t="str"><v>USA-Trial-ITD-Trial PayGo Lookalike-AZR-AZR</v></cell><cell r="V621" t="str"><v>Lookalike Targeting</v></cell><cell r="W621" t="str"><v>Canvas Ad</v></cell><cell r="X621" t="str"><v>10s</v></cell><cell r="Y621" t="str"><v>Try it Now</v></cell><cell r="Z621" t="str"><v>Standard videos</v></cell><cell r="AA621"><v>43355</v></cell><cell r="AB621" t="str"><v>USA_gaPMG_AZR_AZR_Q1_19_Direct-Social</v></cell><cell r="AC621"><v>21358715</v></cell><cell r="AD621"><v>720197</v></cell><cell r="AE621" t="str"><v>Facebook</v></cell><cell r="AF621"><v>3654128</v></cell><cell r="AG621" t="str"><v>FACEBOOK»USA-Trial-ITD-Trial PayGo Lookalike-AZR-AZR»1 x 1»SocialBan»CAN»ALL»CPA»LAL»X»NA»SS»NA»FBCTCBrandinMotion»PRC1Q3</v></cell><cell r="AH621"><v>223935349</v></cell><cell r="AI621" t="str"><v>AzurePlatform_FBCTCBrandinMotion_USA_10s_CAN_PLATFORM_English_Trial_Standard_STAN_TIN_T2_2</v></cell><cell r="AJ621"><v>103032823</v></cell></row><row r="622"><cell r="D622" t="str"><v>43355224104092</v></cell><cell r="E622" t="str"><v>43355103176851PRC1Q5</v></cell><cell r="F622" t="str"><v>DCM</v></cell></row><row r="622"><cell r="H622"><v>12</v></cell><cell r="I622" t="str"><v>Azure Direct</v></cell><cell r="J622" t="str"><v>Azure Direct</v></cell><cell r="K622" t="str"><v>September</v></cell><cell r="L622"><v>43358</v></cell><cell r="M622" t="str"><v>Tier 0</v></cell><cell r="N622" t="str"><v>North America</v></cell><cell r="O622" t="str"><v>United States</v></cell><cell r="P622" t="str"><v>Trial</v></cell><cell r="Q622" t="str"><v>Social</v></cell><cell r="R622" t="str"><v>Azure</v></cell><cell r="S622" t="str"><v>Apps & Infra</v></cell><cell r="T622" t="str"><v>Developers & ITI's</v></cell><cell r="U622" t="str"><v>USA-Trial-ITD-Trial PayGo Lookalike-AZR-AZR</v></cell><cell r="V622" t="str"><v>Lookalike Targeting</v></cell><cell r="W622" t="str"><v>Link Ad</v></cell><cell r="X622" t="str"><v>1200x1200</v></cell><cell r="Y622" t="str"><v>Learn More</v></cell><cell r="Z622" t="str"><v>Animated Banner</v></cell><cell r="AA622"><v>43355</v></cell><cell r="AB622" t="str"><v>USA_gaPMG_AZR_AZR_Q1_19_Direct-Social</v></cell><cell r="AC622"><v>21358715</v></cell><cell r="AD622"><v>720197</v></cell><cell r="AE622" t="str"><v>Facebook</v></cell><cell r="AF622"><v>3654128</v></cell><cell r="AG622" t="str"><v>FACEBOOK»USA-Trial-ITD-Trial PayGo Lookalike-AZR-AZR»1 x 1»SocialBan»LIA»ALL»CPA»LAL»X»NA»SS»NA»FreeAcctDeveloperFB-AnimatedGeneric-Ch1»PRC1Q5</v></cell><cell r="AH622"><v>224104092</v></cell><cell r="AI622" t="str"><v>AZR_FreeAcctDeveloperFB-AnimatedGeneric-Ch1_USA_1200x1200_CAN_Direct_English_Trial_Standard_ANI_LEA_T1_2</v></cell><cell r="AJ622"><v>103176851</v></cell></row><row r="623"><cell r="D623" t="str"><v>43355224106129</v></cell><cell r="E623" t="str"><v>43355103176851PRC1Q6</v></cell><cell r="F623" t="str"><v>DCM</v></cell></row><row r="623"><cell r="H623"><v>12</v></cell><cell r="I623" t="str"><v>Azure Direct</v></cell><cell r="J623" t="str"><v>Azure Direct</v></cell><cell r="K623" t="str"><v>September</v></cell><cell r="L623"><v>43358</v></cell><cell r="M623" t="str"><v>Tier 0</v></cell><cell r="N623" t="str"><v>North America</v></cell><cell r="O623" t="str"><v>United States</v></cell><cell r="P623" t="str"><v>Trial</v></cell><cell r="Q623" t="str"><v>Social</v></cell><cell r="R623" t="str"><v>Azure</v></cell><cell r="S623" t="str"><v>Apps & Infra</v></cell><cell r="T623" t="str"><v>Developers & ITI's</v></cell><cell r="U623" t="str"><v>USA-Trial-ITD-Trial PayGo Lookalike-AZR-AZR</v></cell><cell r="V623" t="str"><v>Lookalike Targeting</v></cell><cell r="W623" t="str"><v>Link Ad</v></cell><cell r="X623" t="str"><v>1200x1200</v></cell><cell r="Y623" t="str"><v>Learn More</v></cell><cell r="Z623" t="str"><v>Animated Banner</v></cell><cell r="AA623"><v>43355</v></cell><cell r="AB623" t="str"><v>USA_gaPMG_AZR_AZR_Q1_19_Direct-Social</v></cell><cell r="AC623"><v>21358715</v></cell><cell r="AD623"><v>720197</v></cell><cell r="AE623" t="str"><v>Facebook</v></cell><cell r="AF623"><v>3654128</v></cell><cell r="AG623" t="str"><v>FACEBOOK»USA-Trial-ITD-Trial PayGo Lookalike-AZR-AZR»1 x 1»SocialBan»LIA»ALL»CPA»LAL»X»NA»SS»NA»FreeAcctDeveloperFB-AnimatedGeneric-Ch1»PRC1Q6</v></cell><cell r="AH623"><v>224106129</v></cell><cell r="AI623" t="str"><v>AZR_FreeAcctDeveloperFB-AnimatedGeneric-Ch1_USA_1200x1200_CAN_Direct_English_Trial_Standard_ANI_LEA_T1_2</v></cell><cell r="AJ623"><v>103176851</v></cell></row><row r="624"><cell r="D624" t="str"><v>43355226622239</v></cell><cell r="E624" t="str"><v>43355104595766PS78J6</v></cell><cell r="F624" t="str"><v>DCM</v></cell></row><row r="624"><cell r="H624"><v>0</v></cell><cell r="I624" t="str"><v>Azure Direct</v></cell><cell r="J624" t="str"><v>Azure Direct</v></cell><cell r="K624" t="str"><v>September</v></cell><cell r="L624"><v>43358</v></cell><cell r="M624" t="str"><v>Tier 0</v></cell><cell r="N624" t="str"><v>North America</v></cell><cell r="O624" t="str"><v>United States</v></cell><cell r="P624" t="str"><v>Trial</v></cell><cell r="Q624" t="str"><v>Social</v></cell><cell r="R624" t="str"><v>Azure</v></cell><cell r="S624" t="str"><v>Apps & Infra</v></cell><cell r="T624" t="str"><v>Developers & ITI's</v></cell><cell r="U624" t="str"><v>USA-Trial-ITD-Interest Prospecting-AZR-AZR</v></cell><cell r="V624" t="str"><v>Prospecting</v></cell><cell r="W624" t="str"><v>Canvas Ad</v></cell><cell r="X624" t="str"><v>1200x1200</v></cell><cell r="Y624" t="str"><v>Learn More</v></cell><cell r="Z624" t="str"><v>Animated Banner</v></cell><cell r="AA624"><v>43355</v></cell><cell r="AB624" t="str"><v>USA_gaPMG_AZR_AZR_Q1_19_Direct-Social</v></cell><cell r="AC624"><v>21358715</v></cell><cell r="AD624"><v>720197</v></cell><cell r="AE624" t="str"><v>Facebook</v></cell><cell r="AF624"><v>3654128</v></cell><cell r="AG624" t="str"><v>FACEBOOK»USA-Trial-ITD-Interest Prospecting-AZR-AZR»1 x 1»SocialBan»CAN»ALL»CPA»PRO»X»NA»SS»NA»FreeAcctDeveloperFB-AnimatedGeneric-Ch1»PS78J6</v></cell><cell r="AH624"><v>226622239</v></cell><cell r="AI624" t="str"><v>AZR_FreeAcctDeveloperFB-AnimatedGeneric-Ch1_USA_1200x1200_CAN_Direct_EN_Trial_Standard_ANI_LEA_T1_1</v></cell><cell r="AJ624"><v>104595766</v></cell></row><row r="625"><cell r="D625" t="str"><v>43355226535294</v></cell><cell r="E625" t="str"><v>43355104595757PS78JD</v></cell><cell r="F625" t="str"><v>DCM</v></cell></row><row r="625"><cell r="H625"><v>0</v></cell><cell r="I625" t="str"><v>Azure Direct</v></cell><cell r="J625" t="str"><v>Azure Direct</v></cell><cell r="K625" t="str"><v>September</v></cell><cell r="L625"><v>43358</v></cell><cell r="M625" t="str"><v>Tier 0</v></cell><cell r="N625" t="str"><v>North America</v></cell><cell r="O625" t="str"><v>United States</v></cell><cell r="P625" t="str"><v>Trial</v></cell><cell r="Q625" t="str"><v>Social</v></cell><cell r="R625" t="str"><v>Azure</v></cell><cell r="S625" t="str"><v>Apps & Infra</v></cell><cell r="T625" t="str"><v>Developers & ITI's</v></cell><cell r="U625" t="str"><v>USA-Trial-ITD-Interest Prospecting-AZR-AZR</v></cell><cell r="V625" t="str"><v>Prospecting</v></cell><cell r="W625" t="str"><v>Canvas Ad</v></cell><cell r="X625" t="str"><v>1200x1200</v></cell><cell r="Y625" t="str"><v>Learn More</v></cell><cell r="Z625" t="str"><v>Animated Banner</v></cell><cell r="AA625"><v>43355</v></cell><cell r="AB625" t="str"><v>USA_gaPMG_AZR_AZR_Q1_19_Direct-Social</v></cell><cell r="AC625"><v>21358715</v></cell><cell r="AD625"><v>720197</v></cell><cell r="AE625" t="str"><v>Facebook</v></cell><cell r="AF625"><v>3654128</v></cell><cell r="AG625" t="str"><v>FACEBOOK»USA-Trial-ITD-Interest Prospecting-AZR-AZR»1 x 1»SocialBan»CAN»ALL»CPA»PRO»X»NA»SS»NA»FreeAcctITProFB-AnimatedSecureMngd-Ch1»PS78JD</v></cell><cell r="AH625"><v>226535294</v></cell><cell r="AI625" t="str"><v>AZR_FreeAcctITProFB-AnimatedSecureMngd-Ch1_USA_1200x1200_CAN_Direct_EN_Trial_Standard_ANI_LEA_T1_2</v></cell><cell r="AJ625"><v>104595757</v></cell></row><row r="626"><cell r="D626" t="str"><v>43355223934056</v></cell><cell r="E626" t="str"><v>43355103176827PRC26P</v></cell><cell r="F626" t="str"><v>DCM</v></cell></row><row r="626"><cell r="H626"><v>0</v></cell><cell r="I626" t="str"><v>Azure Direct</v></cell><cell r="J626" t="str"><v>Azure Direct</v></cell><cell r="K626" t="str"><v>September</v></cell><cell r="L626"><v>43358</v></cell><cell r="M626" t="str"><v>Tier 0</v></cell><cell r="N626" t="str"><v>North America</v></cell><cell r="O626" t="str"><v>United States</v></cell><cell r="P626" t="str"><v>Trial</v></cell><cell r="Q626" t="str"><v>Social</v></cell><cell r="R626" t="str"><v>Azure</v></cell><cell r="S626" t="str"><v>Apps & Infra</v></cell><cell r="T626" t="str"><v>Developers & ITI's</v></cell><cell r="U626" t="str"><v>USA-Trial-ITD-Retargeting-AZR-AZR</v></cell><cell r="V626" t="str"><v>Retargeting</v></cell><cell r="W626" t="str"><v>Link Ad</v></cell><cell r="X626" t="str"><v>1200x1200</v></cell><cell r="Y626" t="str"><v>Learn More</v></cell><cell r="Z626" t="str"><v>Animated Banner</v></cell><cell r="AA626"><v>43355</v></cell><cell r="AB626" t="str"><v>USA_gaPMG_AZR_AZR_Q1_19_Direct-Social</v></cell><cell r="AC626"><v>21358715</v></cell><cell r="AD626"><v>720197</v></cell><cell r="AE626" t="str"><v>Facebook</v></cell><cell r="AF626"><v>3654128</v></cell><cell r="AG626" t="str"><v>FACEBOOK»USA-Trial-ITD-Retargeting-AZR-AZR»1 x 1»SocialBan»LIA»ALL»CPA»RT»X»NA»SS»NA»FreeAcctITProFB-AnimatedMigration-Ch3»PRC26P</v></cell><cell r="AH626"><v>223934056</v></cell><cell r="AI626" t="str"><v>AZR_FreeAcctITProFB-AnimatedMigration-Ch3_USA_1200x1200_CAN_Direct_English_Trial_Standard_ANI_LEA_T3_1</v></cell><cell r="AJ626"><v>103176827</v></cell></row><row r="627"><cell r="D627" t="str"><v>43355226622530</v></cell><cell r="E627" t="str"><v>43355104592523PS7B5P</v></cell><cell r="F627" t="str"><v>DCM</v></cell></row><row r="627"><cell r="H627"><v>4</v></cell><cell r="I627" t="str"><v>Azure Direct</v></cell><cell r="J627" t="str"><v>Azure Direct</v></cell><cell r="K627" t="str"><v>September</v></cell><cell r="L627"><v>43358</v></cell><cell r="M627" t="str"><v>Tier 0</v></cell><cell r="N627" t="str"><v>North America</v></cell><cell r="O627" t="str"><v>United States</v></cell><cell r="P627" t="str"><v>Trial</v></cell><cell r="Q627" t="str"><v>Social</v></cell><cell r="R627" t="str"><v>Azure</v></cell><cell r="S627" t="str"><v>Apps & Infra</v></cell><cell r="T627" t="str"><v>Developers & ITI's</v></cell><cell r="U627" t="str"><v>USA-Trial-ITD-Trial PayGo Lookalike-AZR-AZR</v></cell><cell r="V627" t="str"><v>Lookalike Targeting</v></cell><cell r="W627" t="str"><v>Canvas Ad</v></cell><cell r="X627" t="str"><v>1200x1200</v></cell><cell r="Y627" t="str"><v>Learn More</v></cell><cell r="Z627" t="str"><v>Animated Banner</v></cell><cell r="AA627"><v>43355</v></cell><cell r="AB627" t="str"><v>USA_gaPMG_AZR_AZR_Q1_19_Direct-Social</v></cell><cell r="AC627"><v>21358715</v></cell><cell r="AD627"><v>720197</v></cell><cell r="AE627" t="str"><v>Facebook</v></cell><cell r="AF627"><v>3654128</v></cell><cell r="AG627" t="str"><v>FACEBOOK»USA-Trial-ITD-Trial PayGo Lookalike-AZR-AZR»1 x 1»SocialBan»CAN»ALL»CPA»LAL»X»NA»SS»NA»FreeAcctDeveloperFB-AnimatedGeneric-Ch1»PS7B5P</v></cell><cell r="AH627"><v>226622530</v></cell><cell r="AI627" t="str"><v>AZR_FreeAcctDeveloperFB-AnimatedGeneric-Ch1_USA_1200x1200_CAN_Direct_EN_Trial_Standard_ANI_LEA_T1_2</v></cell><cell r="AJ627"><v>104592523</v></cell></row><row r="628"><cell r="D628" t="str"><v>43355226622530</v></cell><cell r="E628" t="str"><v>43355104595766PS7B5P</v></cell><cell r="F628" t="str"><v>DCM</v></cell></row><row r="628"><cell r="H628"><v>0</v></cell><cell r="I628" t="str"><v>Azure Direct</v></cell><cell r="J628" t="str"><v>Azure Direct</v></cell><cell r="K628" t="str"><v>September</v></cell><cell r="L628"><v>43358</v></cell><cell r="M628" t="str"><v>Tier 0</v></cell><cell r="N628" t="str"><v>North America</v></cell><cell r="O628" t="str"><v>United States</v></cell><cell r="P628" t="str"><v>Trial</v></cell><cell r="Q628" t="str"><v>Social</v></cell><cell r="R628" t="str"><v>Azure</v></cell><cell r="S628" t="str"><v>Apps & Infra</v></cell><cell r="T628" t="str"><v>Developers & ITI's</v></cell><cell r="U628" t="str"><v>USA-Trial-ITD-Trial PayGo Lookalike-AZR-AZR</v></cell><cell r="V628" t="str"><v>Lookalike Targeting</v></cell><cell r="W628" t="str"><v>Canvas Ad</v></cell><cell r="X628" t="str"><v>1200x1200</v></cell><cell r="Y628" t="str"><v>Learn More</v></cell><cell r="Z628" t="str"><v>Animated Banner</v></cell><cell r="AA628"><v>43355</v></cell><cell r="AB628" t="str"><v>USA_gaPMG_AZR_AZR_Q1_19_Direct-Social</v></cell><cell r="AC628"><v>21358715</v></cell><cell r="AD628"><v>720197</v></cell><cell r="AE628" t="str"><v>Facebook</v></cell><cell r="AF628"><v>3654128</v></cell><cell r="AG628" t="str"><v>FACEBOOK»USA-Trial-ITD-Trial PayGo Lookalike-AZR-AZR»1 x 1»SocialBan»CAN»ALL»CPA»LAL»X»NA»SS»NA»FreeAcctDeveloperFB-AnimatedGeneric-Ch1»PS7B5P</v></cell><cell r="AH628"><v>226622530</v></cell><cell r="AI628" t="str"><v>AZR_FreeAcctDeveloperFB-AnimatedGeneric-Ch1_USA_1200x1200_CAN_Direct_EN_Trial_Standard_ANI_LEA_T1_1</v></cell><cell r="AJ628"><v>104595766</v></cell></row><row r="629"><cell r="D629" t="str"><v>43355226784037</v></cell><cell r="E629" t="str"><v>43355104595766PS7B5Q</v></cell><cell r="F629" t="str"><v>DCM</v></cell></row><row r="629"><cell r="H629"><v>0</v></cell><cell r="I629" t="str"><v>Azure Direct</v></cell><cell r="J629" t="str"><v>Azure Direct</v></cell><cell r="K629" t="str"><v>September</v></cell><cell r="L629"><v>43358</v></cell><cell r="M629" t="str"><v>Tier 0</v></cell><cell r="N629" t="str"><v>North America</v></cell><cell r="O629" t="str"><v>United States</v></cell><cell r="P629" t="str"><v>Trial</v></cell><cell r="Q629" t="str"><v>Social</v></cell><cell r="R629" t="str"><v>Azure</v></cell><cell r="S629" t="str"><v>Apps & Infra</v></cell><cell r="T629" t="str"><v>Developers & ITI's</v></cell><cell r="U629" t="str"><v>USA-Trial-ITD-Trial PayGo Lookalike-AZR-AZR</v></cell><cell r="V629" t="str"><v>Lookalike Targeting</v></cell><cell r="W629" t="str"><v>Canvas Ad</v></cell><cell r="X629" t="str"><v>1200x1200</v></cell><cell r="Y629" t="str"><v>Learn More</v></cell><cell r="Z629" t="str"><v>Animated Banner</v></cell><cell r="AA629"><v>43355</v></cell><cell r="AB629" t="str"><v>USA_gaPMG_AZR_AZR_Q1_19_Direct-Social</v></cell><cell r="AC629"><v>21358715</v></cell><cell r="AD629"><v>720197</v></cell><cell r="AE629" t="str"><v>Facebook</v></cell><cell r="AF629"><v>3654128</v></cell><cell r="AG629" t="str"><v>FACEBOOK»USA-Trial-ITD-Trial PayGo Lookalike-AZR-AZR»1 x 1»SocialBan»CAN»ALL»CPA»LAL»X»NA»SS»NA»FreeAcctDeveloperFB-AnimatedGeneric-Ch1»PS7B5Q</v></cell><cell r="AH629"><v>226784037</v></cell><cell r="AI629" t="str"><v>AZR_FreeAcctDeveloperFB-AnimatedGeneric-Ch1_USA_1200x1200_CAN_Direct_EN_Trial_Standard_ANI_LEA_T1_1</v></cell><cell r="AJ629"><v>104595766</v></cell></row><row r="630"><cell r="D630" t="str"><v>43355226617661</v></cell><cell r="E630" t="str"><v>43355104592508PS79T1</v></cell><cell r="F630" t="str"><v>DCM</v></cell></row><row r="630"><cell r="H630"><v>0</v></cell><cell r="I630" t="str"><v>Azure Direct</v></cell><cell r="J630" t="str"><v>Azure Direct</v></cell><cell r="K630" t="str"><v>September</v></cell><cell r="L630"><v>43358</v></cell><cell r="M630" t="str"><v>Tier 0</v></cell><cell r="N630" t="str"><v>North America</v></cell><cell r="O630" t="str"><v>United States</v></cell><cell r="P630" t="str"><v>Trial</v></cell><cell r="Q630" t="str"><v>Social</v></cell><cell r="R630" t="str"><v>Azure</v></cell><cell r="S630" t="str"><v>Apps & Infra</v></cell><cell r="T630" t="str"><v>Developers & ITI's</v></cell><cell r="U630" t="str"><v>USA-Trial-ITD-Retargeting-AZR-AZR</v></cell><cell r="V630" t="str"><v>Retargeting</v></cell><cell r="W630" t="str"><v>Canvas Ad</v></cell><cell r="X630" t="str"><v>1200x628</v></cell><cell r="Y630" t="str"><v>Sign Up</v></cell><cell r="Z630" t="str"><v>Not Applicable</v></cell><cell r="AA630"><v>43355</v></cell><cell r="AB630" t="str"><v>USA_gaPMG_AZR_AZR_Q1_19_Direct-Social</v></cell><cell r="AC630"><v>21358715</v></cell><cell r="AD630"><v>720197</v></cell><cell r="AE630" t="str"><v>Facebook</v></cell><cell r="AF630"><v>3654128</v></cell><cell r="AG630" t="str"><v>FACEBOOK»USA-Trial-ITD-Retargeting-AZR-AZR»1 x 1»SocialBan»CAN»ALL»CPA»RT»X»NA»SS»NA»FreeAcctRetargetingOSSFB-Logos-ChG»PS79T1</v></cell><cell r="AH630"><v>226617661</v></cell><cell r="AI630" t="str"><v>AZR_FreeAcctRetargetingOSSFB-Logos-ChG_USA_1200x628_CAN_Plat_English_Free Account_Standard_NA_SINU_T2_1</v></cell><cell r="AJ630"><v>104592508</v></cell></row><row r="631"><cell r="D631" t="str"><v>43355226538606</v></cell><cell r="E631" t="str"><v>43355104593438PS78J7</v></cell><cell r="F631" t="str"><v>DCM</v></cell></row><row r="631"><cell r="H631"><v>0</v></cell><cell r="I631" t="str"><v>Azure Direct</v></cell><cell r="J631" t="str"><v>Azure Direct</v></cell><cell r="K631" t="str"><v>September</v></cell><cell r="L631"><v>43358</v></cell><cell r="M631" t="str"><v>Tier 0</v></cell><cell r="N631" t="str"><v>North America</v></cell><cell r="O631" t="str"><v>United States</v></cell><cell r="P631" t="str"><v>Trial</v></cell><cell r="Q631" t="str"><v>Social</v></cell><cell r="R631" t="str"><v>Azure</v></cell><cell r="S631" t="str"><v>Apps & Infra</v></cell><cell r="T631" t="str"><v>Developers & ITI's</v></cell><cell r="U631" t="str"><v>USA-Trial-ITD-Interest Prospecting-AZR-AZR</v></cell><cell r="V631" t="str"><v>Prospecting</v></cell><cell r="W631" t="str"><v>Canvas Ad</v></cell><cell r="X631" t="str"><v>1200x1200</v></cell><cell r="Y631" t="str"><v>Learn More</v></cell><cell r="Z631" t="str"><v>Animated Banner</v></cell><cell r="AA631"><v>43355</v></cell><cell r="AB631" t="str"><v>USA_gaPMG_AZR_AZR_Q1_19_Direct-Social</v></cell><cell r="AC631"><v>21358715</v></cell><cell r="AD631"><v>720197</v></cell><cell r="AE631" t="str"><v>Facebook</v></cell><cell r="AF631"><v>3654128</v></cell><cell r="AG631" t="str"><v>FACEBOOK»USA-Trial-ITD-Interest Prospecting-AZR-AZR»1 x 1»SocialBan»CAN»ALL»CPA»PRO»X»NA»SS»NA»FreeAcctDeveloperFB-AnimatedOpenSource-Ch2»PS78J7</v></cell><cell r="AH631"><v>226538606</v></cell><cell r="AI631" t="str"><v>AZR_FreeAcctDeveloperFB-AnimatedOpenSource-Ch2_USA_1200x1200_CAN_Direct_EN_Trial_Standard_ANI_LEA_T2_2</v></cell><cell r="AJ631"><v>104593438</v></cell></row><row r="632"><cell r="D632" t="str"><v>43355226539389</v></cell><cell r="E632" t="str"><v>43355104595766PS79T3</v></cell><cell r="F632" t="str"><v>DCM</v></cell></row><row r="632"><cell r="H632"><v>0</v></cell><cell r="I632" t="str"><v>Azure Direct</v></cell><cell r="J632" t="str"><v>Azure Direct</v></cell><cell r="K632" t="str"><v>September</v></cell><cell r="L632"><v>43358</v></cell><cell r="M632" t="str"><v>Tier 0</v></cell><cell r="N632" t="str"><v>North America</v></cell><cell r="O632" t="str"><v>United States</v></cell><cell r="P632" t="str"><v>Trial</v></cell><cell r="Q632" t="str"><v>Social</v></cell><cell r="R632" t="str"><v>Azure</v></cell><cell r="S632" t="str"><v>Apps & Infra</v></cell><cell r="T632" t="str"><v>Developers & ITI's</v></cell><cell r="U632" t="str"><v>USA-Trial-ITD-Retargeting-AZR-AZR</v></cell><cell r="V632" t="str"><v>Retargeting</v></cell><cell r="W632" t="str"><v>Canvas Ad</v></cell><cell r="X632" t="str"><v>1200x1200</v></cell><cell r="Y632" t="str"><v>Learn More</v></cell><cell r="Z632" t="str"><v>Animated Banner</v></cell><cell r="AA632"><v>43355</v></cell><cell r="AB632" t="str"><v>USA_gaPMG_AZR_AZR_Q1_19_Direct-Social</v></cell><cell r="AC632"><v>21358715</v></cell><cell r="AD632"><v>720197</v></cell><cell r="AE632" t="str"><v>Facebook</v></cell><cell r="AF632"><v>3654128</v></cell><cell r="AG632" t="str"><v>FACEBOOK»USA-Trial-ITD-Retargeting-AZR-AZR»1 x 1»SocialBan»CAN»ALL»CPA»RT»X»NA»SS»NA»FreeAcctDeveloperFB-AnimatedGeneric-Ch1»PS79T3</v></cell><cell r="AH632"><v>226539389</v></cell><cell r="AI632" t="str"><v>AZR_FreeAcctDeveloperFB-AnimatedGeneric-Ch1_USA_1200x1200_CAN_Direct_EN_Trial_Standard_ANI_LEA_T1_1</v></cell><cell r="AJ632"><v>104595766</v></cell></row><row r="633"><cell r="D633" t="str"><v>43355226538594</v></cell><cell r="E633" t="str"><v>43355104671430PS79SS</v></cell><cell r="F633" t="str"><v>DCM</v></cell></row><row r="633"><cell r="H633"><v>1</v></cell><cell r="I633" t="str"><v>Azure Direct</v></cell><cell r="J633" t="str"><v>Azure Direct</v></cell><cell r="K633" t="str"><v>September</v></cell><cell r="L633"><v>43358</v></cell><cell r="M633" t="str"><v>Tier 0</v></cell><cell r="N633" t="str"><v>North America</v></cell><cell r="O633" t="str"><v>United States</v></cell><cell r="P633" t="str"><v>Trial</v></cell><cell r="Q633" t="str"><v>Social</v></cell><cell r="R633" t="str"><v>Azure</v></cell><cell r="S633" t="str"><v>Apps & Infra</v></cell><cell r="T633" t="str"><v>Developers & ITI's</v></cell><cell r="U633" t="str"><v>USA-Trial-ITD-Retargeting-AZR-AZR</v></cell><cell r="V633" t="str"><v>Retargeting</v></cell><cell r="W633" t="str"><v>Canvas Ad</v></cell><cell r="X633" t="str"><v>1200x628</v></cell><cell r="Y633" t="str"><v>Sign Up</v></cell><cell r="Z633" t="str"><v>Not Applicable</v></cell><cell r="AA633"><v>43355</v></cell><cell r="AB633" t="str"><v>USA_gaPMG_AZR_AZR_Q1_19_Direct-Social</v></cell><cell r="AC633"><v>21358715</v></cell><cell r="AD633"><v>720197</v></cell><cell r="AE633" t="str"><v>Facebook</v></cell><cell r="AF633"><v>3654128</v></cell><cell r="AG633" t="str"><v>FACEBOOK»USA-Trial-ITD-Retargeting-AZR-AZR»1 x 1»SocialBan»CAN»ALL»CPA»RT»X»NA»SS»NA»FreeAcctRetargetingFB-GlobalAlt-ChB»PS79SS</v></cell><cell r="AH633"><v>226538594</v></cell><cell r="AI633" t="str"><v>AZR_FreeAcctRetargetingFB-GlobalAlt-ChB_USA_1200x628_CAN_Plat_English_Free Account_Standard_NA_SINU_T2_1</v></cell><cell r="AJ633"><v>104671430</v></cell></row><row r="634"><cell r="D634" t="str"><v>43355226786188</v></cell><cell r="E634" t="str"><v>43355104593435PS7BTJ</v></cell><cell r="F634" t="str"><v>DCM</v></cell></row><row r="634"><cell r="H634"><v>0</v></cell><cell r="I634" t="str"><v>Azure Direct</v></cell><cell r="J634" t="str"><v>Azure Direct</v></cell><cell r="K634" t="str"><v>September</v></cell><cell r="L634"><v>43358</v></cell><cell r="M634" t="str"><v>Tier 0</v></cell><cell r="N634" t="str"><v>North America</v></cell><cell r="O634" t="str"><v>United States</v></cell><cell r="P634" t="str"><v>Trial</v></cell><cell r="Q634" t="str"><v>Social</v></cell><cell r="R634" t="str"><v>Azure</v></cell><cell r="S634" t="str"><v>Apps & Infra</v></cell><cell r="T634" t="str"><v>Developers & ITI's</v></cell><cell r="U634" t="str"><v>USA-Trial-ITD-Bing Retargeting-AZR-AZR</v></cell><cell r="V634" t="str"><v>Retargeting</v></cell><cell r="W634" t="str"><v>Link Ad</v></cell><cell r="X634" t="str"><v>1200x627</v></cell><cell r="Y634" t="str"><v>Sign Up</v></cell><cell r="Z634" t="str"><v>Not Applicable</v></cell><cell r="AA634"><v>43355</v></cell><cell r="AB634" t="str"><v>USA_gaPMG_AZR_AZR_Q1_19_Direct-Social</v></cell><cell r="AC634"><v>21358715</v></cell><cell r="AD634"><v>720197</v></cell><cell r="AE634" t="str"><v>Linkedin</v></cell><cell r="AF634"><v>3654329</v></cell><cell r="AG634" t="str"><v>LINKEDIN»USA-Trial-ITD-Bing Retargeting-AZR-AZR»1 x 1»SocialBan»LIA»ALL»CPA»RT»D»All»SS»NA»FreeAcctRetargetingLI-Credit-ChA»PS7BTJ</v></cell><cell r="AH634"><v>226786188</v></cell><cell r="AI634" t="str"><v>AZR_FreeAcctRetargetingLI-Credit-ChA_USA_1200x627_LIA_Plat_English_Free Account_Standard_NA_SINU_T1_1</v></cell><cell r="AJ634"><v>104593435</v></cell></row><row r="635"><cell r="D635" t="str"><v>43355226536104</v></cell><cell r="E635" t="str"><v>43355104593723PS7BTN</v></cell><cell r="F635" t="str"><v>DCM</v></cell></row><row r="635"><cell r="H635"><v>0</v></cell><cell r="I635" t="str"><v>Azure Direct</v></cell><cell r="J635" t="str"><v>Azure Direct</v></cell><cell r="K635" t="str"><v>September</v></cell><cell r="L635"><v>43358</v></cell><cell r="M635" t="str"><v>Tier 0</v></cell><cell r="N635" t="str"><v>North America</v></cell><cell r="O635" t="str"><v>United States</v></cell><cell r="P635" t="str"><v>Trial</v></cell><cell r="Q635" t="str"><v>Social</v></cell><cell r="R635" t="str"><v>Azure</v></cell><cell r="S635" t="str"><v>Apps & Infra</v></cell><cell r="T635" t="str"><v>Developers & ITI's</v></cell><cell r="U635" t="str"><v>USA-Trial-ITD-Bing Retargeting-AZR-AZR</v></cell><cell r="V635" t="str"><v>Retargeting</v></cell><cell r="W635" t="str"><v>Link Ad</v></cell><cell r="X635" t="str"><v>1200x627</v></cell><cell r="Y635" t="str"><v>Sign Up</v></cell><cell r="Z635" t="str"><v>Not Applicable</v></cell><cell r="AA635"><v>43355</v></cell><cell r="AB635" t="str"><v>USA_gaPMG_AZR_AZR_Q1_19_Direct-Social</v></cell><cell r="AC635"><v>21358715</v></cell><cell r="AD635"><v>720197</v></cell><cell r="AE635" t="str"><v>Linkedin</v></cell><cell r="AF635"><v>3654329</v></cell><cell r="AG635" t="str"><v>LINKEDIN»USA-Trial-ITD-Bing Retargeting-AZR-AZR»1 x 1»SocialBan»LIA»ALL»CPA»RT»D»All»SS»NA»FreeAcctRetargetingLI-GlobalAlt-ChB»PS7BTN</v></cell><cell r="AH635"><v>226536104</v></cell><cell r="AI635" t="str"><v>AZR_FreeAcctRetargetingLI-GlobalAlt-ChB_USA_1200x627_LIA_Plat_English_Free Account_Standard_NA_SINU_T2_1</v></cell><cell r="AJ635"><v>104593723</v></cell></row><row r="636"><cell r="D636" t="str"><v>43355226535249</v></cell><cell r="E636" t="str"><v>43355104671415PS7BTF</v></cell><cell r="F636" t="str"><v>DCM</v></cell></row><row r="636"><cell r="H636"><v>0</v></cell><cell r="I636" t="str"><v>Azure Direct</v></cell><cell r="J636" t="str"><v>Azure Direct</v></cell><cell r="K636" t="str"><v>September</v></cell><cell r="L636"><v>43358</v></cell><cell r="M636" t="str"><v>Tier 0</v></cell><cell r="N636" t="str"><v>North America</v></cell><cell r="O636" t="str"><v>United States</v></cell><cell r="P636" t="str"><v>Trial</v></cell><cell r="Q636" t="str"><v>Social</v></cell><cell r="R636" t="str"><v>Azure</v></cell><cell r="S636" t="str"><v>Apps & Infra</v></cell><cell r="T636" t="str"><v>Developers & ITI's</v></cell><cell r="U636" t="str"><v>USA-Trial-ITD-Bing Retargeting-AZR-AZR</v></cell><cell r="V636" t="str"><v>Retargeting</v></cell><cell r="W636" t="str"><v>Link Ad</v></cell><cell r="X636" t="str"><v>1200x627</v></cell><cell r="Y636" t="str"><v>Sign Up</v></cell><cell r="Z636" t="str"><v>Not Applicable</v></cell><cell r="AA636"><v>43355</v></cell><cell r="AB636" t="str"><v>USA_gaPMG_AZR_AZR_Q1_19_Direct-Social</v></cell><cell r="AC636"><v>21358715</v></cell><cell r="AD636"><v>720197</v></cell><cell r="AE636" t="str"><v>Linkedin</v></cell><cell r="AF636"><v>3654329</v></cell><cell r="AG636" t="str"><v>LINKEDIN»USA-Trial-ITD-Bing Retargeting-AZR-AZR»1 x 1»SocialBan»LIA»ALL»CPA»RT»D»All»SS»NA»FreeAcctRetargetingVMLI-750Hrs-ChD»PS7BTF</v></cell><cell r="AH636"><v>226535249</v></cell><cell r="AI636" t="str"><v>AZR_FreeAcctRetargetingVMLI-750Hrs-ChD_USA_1200x627_LIA_Plat_English_Free Account_Standard_NA_SINU_T1_1</v></cell><cell r="AJ636"><v>104671415</v></cell></row><row r="637"><cell r="D637" t="str"><v>43355226615867</v></cell><cell r="E637" t="str"><v>43355104592529PS7BTG</v></cell><cell r="F637" t="str"><v>DCM</v></cell></row><row r="637"><cell r="H637"><v>0</v></cell><cell r="I637" t="str"><v>Azure Direct</v></cell><cell r="J637" t="str"><v>Azure Direct</v></cell><cell r="K637" t="str"><v>September</v></cell><cell r="L637"><v>43358</v></cell><cell r="M637" t="str"><v>Tier 0</v></cell><cell r="N637" t="str"><v>North America</v></cell><cell r="O637" t="str"><v>United States</v></cell><cell r="P637" t="str"><v>Trial</v></cell><cell r="Q637" t="str"><v>Social</v></cell><cell r="R637" t="str"><v>Azure</v></cell><cell r="S637" t="str"><v>Apps & Infra</v></cell><cell r="T637" t="str"><v>Developers & ITI's</v></cell><cell r="U637" t="str"><v>USA-Trial-ITD-Bing Retargeting-AZR-AZR</v></cell><cell r="V637" t="str"><v>Retargeting</v></cell><cell r="W637" t="str"><v>Link Ad</v></cell><cell r="X637" t="str"><v>1200x627</v></cell><cell r="Y637" t="str"><v>Sign Up</v></cell><cell r="Z637" t="str"><v>Not Applicable</v></cell><cell r="AA637"><v>43355</v></cell><cell r="AB637" t="str"><v>USA_gaPMG_AZR_AZR_Q1_19_Direct-Social</v></cell><cell r="AC637"><v>21358715</v></cell><cell r="AD637"><v>720197</v></cell><cell r="AE637" t="str"><v>Linkedin</v></cell><cell r="AF637"><v>3654329</v></cell><cell r="AG637" t="str"><v>LINKEDIN»USA-Trial-ITD-Bing Retargeting-AZR-AZR»1 x 1»SocialBan»LIA»ALL»CPA»RT»D»All»SS»NA»FreeAcctRetargetingVMLI-OnDemand-ChE»PS7BTG</v></cell><cell r="AH637"><v>226615867</v></cell><cell r="AI637" t="str"><v>AZR_FreeAcctRetargetingVMLI-OnDemand-ChE_USA_1200x627_LIA_Plat_English_Free Account_Standard_NA_SINU_T2_1</v></cell><cell r="AJ637"><v>104592529</v></cell></row><row r="638"><cell r="D638" t="str"><v>43355226621543</v></cell><cell r="E638" t="str"><v>43355104593444PS7BTR</v></cell><cell r="F638" t="str"><v>DCM</v></cell></row><row r="638"><cell r="H638"><v>1</v></cell><cell r="I638" t="str"><v>Azure Direct</v></cell><cell r="J638" t="str"><v>Azure Direct</v></cell><cell r="K638" t="str"><v>September</v></cell><cell r="L638"><v>43358</v></cell><cell r="M638" t="str"><v>Tier 0</v></cell><cell r="N638" t="str"><v>North America</v></cell><cell r="O638" t="str"><v>United States</v></cell><cell r="P638" t="str"><v>Trial</v></cell><cell r="Q638" t="str"><v>Social</v></cell><cell r="R638" t="str"><v>Azure</v></cell><cell r="S638" t="str"><v>Apps & Infra</v></cell><cell r="T638" t="str"><v>Developers & ITI's</v></cell><cell r="U638" t="str"><v>USA-Trial-ITD-Bing Retargeting-AZR-AZR</v></cell><cell r="V638" t="str"><v>Retargeting</v></cell><cell r="W638" t="str"><v>Video Link ad</v></cell><cell r="X638" t="str"><v>1920x1080</v></cell><cell r="Y638" t="str"><v>Learn More</v></cell><cell r="Z638" t="str"><v>Animated Banner</v></cell><cell r="AA638"><v>43355</v></cell><cell r="AB638" t="str"><v>USA_gaPMG_AZR_AZR_Q1_19_Direct-Social</v></cell><cell r="AC638"><v>21358715</v></cell><cell r="AD638"><v>720197</v></cell><cell r="AE638" t="str"><v>Linkedin</v></cell><cell r="AF638"><v>3654329</v></cell><cell r="AG638" t="str"><v>LINKEDIN»USA-Trial-ITD-Bing Retargeting-AZR-AZR»1 x 1»SocialBan»VLA»ALL»CPA»RT»D»All»SS»NA»FreeAcctDeveloperLI-AnimatedAI-Ch3»PS7BTR</v></cell><cell r="AH638"><v>226621543</v></cell><cell r="AI638" t="str"><v>AZR_FreeAcctDeveloperLI-AnimatedAI-Ch3_USA_1920x1080_VLA_Direct_EN_Trial_Standard_ANI_LEA_T3_1</v></cell><cell r="AJ638"><v>104593444</v></cell></row><row r="639"><cell r="D639" t="str"><v>43355226622815</v></cell><cell r="E639" t="str"><v>43355104593732PS7BTS</v></cell><cell r="F639" t="str"><v>DCM</v></cell></row><row r="639"><cell r="H639"><v>0</v></cell><cell r="I639" t="str"><v>Azure Direct</v></cell><cell r="J639" t="str"><v>Azure Direct</v></cell><cell r="K639" t="str"><v>September</v></cell><cell r="L639"><v>43358</v></cell><cell r="M639" t="str"><v>Tier 0</v></cell><cell r="N639" t="str"><v>North America</v></cell><cell r="O639" t="str"><v>United States</v></cell><cell r="P639" t="str"><v>Trial</v></cell><cell r="Q639" t="str"><v>Social</v></cell><cell r="R639" t="str"><v>Azure</v></cell><cell r="S639" t="str"><v>Apps & Infra</v></cell><cell r="T639" t="str"><v>Developers & ITI's</v></cell><cell r="U639" t="str"><v>USA-Trial-ITD-Bing Retargeting-AZR-AZR</v></cell><cell r="V639" t="str"><v>Retargeting</v></cell><cell r="W639" t="str"><v>Video Link ad</v></cell><cell r="X639" t="str"><v>1920x1080</v></cell><cell r="Y639" t="str"><v>Learn More</v></cell><cell r="Z639" t="str"><v>Animated Banner</v></cell><cell r="AA639"><v>43355</v></cell><cell r="AB639" t="str"><v>USA_gaPMG_AZR_AZR_Q1_19_Direct-Social</v></cell><cell r="AC639"><v>21358715</v></cell><cell r="AD639"><v>720197</v></cell><cell r="AE639" t="str"><v>Linkedin</v></cell><cell r="AF639"><v>3654329</v></cell><cell r="AG639" t="str"><v>LINKEDIN»USA-Trial-ITD-Bing Retargeting-AZR-AZR»1 x 1»SocialBan»VLA»ALL»CPA»RT»D»All»SS»NA»FreeAcctDeveloperLI-AnimatedData-Ch4»PS7BTS</v></cell><cell r="AH639"><v>226622815</v></cell><cell r="AI639" t="str"><v>AZR_FreeAcctDeveloperLI-AnimatedData-Ch4_USA_1920x1080_VLA_Direct_EN_Trial_Standard_ANI_LEA_T4_1</v></cell><cell r="AJ639"><v>104593732</v></cell></row><row r="640"><cell r="D640" t="str"><v>43355226538510</v></cell><cell r="E640" t="str"><v>43355104595736PS7BTL</v></cell><cell r="F640" t="str"><v>DCM</v></cell></row><row r="640"><cell r="H640"><v>0</v></cell><cell r="I640" t="str"><v>Azure Direct</v></cell><cell r="J640" t="str"><v>Azure Direct</v></cell><cell r="K640" t="str"><v>September</v></cell><cell r="L640"><v>43358</v></cell><cell r="M640" t="str"><v>Tier 0</v></cell><cell r="N640" t="str"><v>North America</v></cell><cell r="O640" t="str"><v>United States</v></cell><cell r="P640" t="str"><v>Trial</v></cell><cell r="Q640" t="str"><v>Social</v></cell><cell r="R640" t="str"><v>Azure</v></cell><cell r="S640" t="str"><v>Apps & Infra</v></cell><cell r="T640" t="str"><v>Developers & ITI's</v></cell><cell r="U640" t="str"><v>USA-Trial-ITD-Bing Retargeting-AZR-AZR</v></cell><cell r="V640" t="str"><v>Retargeting</v></cell><cell r="W640" t="str"><v>Video Link ad</v></cell><cell r="X640" t="str"><v>1920x1080</v></cell><cell r="Y640" t="str"><v>Learn More</v></cell><cell r="Z640" t="str"><v>Animated Banner</v></cell><cell r="AA640"><v>43355</v></cell><cell r="AB640" t="str"><v>USA_gaPMG_AZR_AZR_Q1_19_Direct-Social</v></cell><cell r="AC640"><v>21358715</v></cell><cell r="AD640"><v>720197</v></cell><cell r="AE640" t="str"><v>Linkedin</v></cell><cell r="AF640"><v>3654329</v></cell><cell r="AG640" t="str"><v>LINKEDIN»USA-Trial-ITD-Bing Retargeting-AZR-AZR»1 x 1»SocialBan»VLA»ALL»CPA»RT»D»All»SS»NA»FreeAcctDeveloperLI-AnimatedGeneric-Ch1»PS7BTL</v></cell><cell r="AH640"><v>226538510</v></cell><cell r="AI640" t="str"><v>AZR_FreeAcctDeveloperLI-AnimatedGeneric-Ch1_USA_1920x1080_VLA_Direct_EN_Trial_Standard_ANI_LEA_T1_1</v></cell><cell r="AJ640"><v>104595736</v></cell></row><row r="641"><cell r="D641" t="str"><v>43355226538513</v></cell><cell r="E641" t="str"><v>43355104595736PS7BTM</v></cell><cell r="F641" t="str"><v>DCM</v></cell></row><row r="641"><cell r="H641"><v>0</v></cell><cell r="I641" t="str"><v>Azure Direct</v></cell><cell r="J641" t="str"><v>Azure Direct</v></cell><cell r="K641" t="str"><v>September</v></cell><cell r="L641"><v>43358</v></cell><cell r="M641" t="str"><v>Tier 0</v></cell><cell r="N641" t="str"><v>North America</v></cell><cell r="O641" t="str"><v>United States</v></cell><cell r="P641" t="str"><v>Trial</v></cell><cell r="Q641" t="str"><v>Social</v></cell><cell r="R641" t="str"><v>Azure</v></cell><cell r="S641" t="str"><v>Apps & Infra</v></cell><cell r="T641" t="str"><v>Developers & ITI's</v></cell><cell r="U641" t="str"><v>USA-Trial-ITD-Bing Retargeting-AZR-AZR</v></cell><cell r="V641" t="str"><v>Retargeting</v></cell><cell r="W641" t="str"><v>Video Link ad</v></cell><cell r="X641" t="str"><v>1920x1080</v></cell><cell r="Y641" t="str"><v>Learn More</v></cell><cell r="Z641" t="str"><v>Animated Banner</v></cell><cell r="AA641"><v>43355</v></cell><cell r="AB641" t="str"><v>USA_gaPMG_AZR_AZR_Q1_19_Direct-Social</v></cell><cell r="AC641"><v>21358715</v></cell><cell r="AD641"><v>720197</v></cell><cell r="AE641" t="str"><v>Linkedin</v></cell><cell r="AF641"><v>3654329</v></cell><cell r="AG641" t="str"><v>LINKEDIN»USA-Trial-ITD-Bing Retargeting-AZR-AZR»1 x 1»SocialBan»VLA»ALL»CPA»RT»D»All»SS»NA»FreeAcctDeveloperLI-AnimatedGeneric-Ch1»PS7BTM</v></cell><cell r="AH641"><v>226538513</v></cell><cell r="AI641" t="str"><v>AZR_FreeAcctDeveloperLI-AnimatedGeneric-Ch1_USA_1920x1080_VLA_Direct_EN_Trial_Standard_ANI_LEA_T1_1</v></cell><cell r="AJ641"><v>104595736</v></cell></row><row r="642"><cell r="D642" t="str"><v>43355226535246</v></cell><cell r="E642" t="str"><v>43355104671424PS7BTV</v></cell><cell r="F642" t="str"><v>DCM</v></cell></row><row r="642"><cell r="H642"><v>0</v></cell><cell r="I642" t="str"><v>Azure Direct</v></cell><cell r="J642" t="str"><v>Azure Direct</v></cell><cell r="K642" t="str"><v>September</v></cell><cell r="L642"><v>43358</v></cell><cell r="M642" t="str"><v>Tier 0</v></cell><cell r="N642" t="str"><v>North America</v></cell><cell r="O642" t="str"><v>United States</v></cell><cell r="P642" t="str"><v>Trial</v></cell><cell r="Q642" t="str"><v>Social</v></cell><cell r="R642" t="str"><v>Azure</v></cell><cell r="S642" t="str"><v>Apps & Infra</v></cell><cell r="T642" t="str"><v>Developers & ITI's</v></cell><cell r="U642" t="str"><v>USA-Trial-ITD-Bing Retargeting-AZR-AZR</v></cell><cell r="V642" t="str"><v>Retargeting</v></cell><cell r="W642" t="str"><v>Video Link ad</v></cell><cell r="X642" t="str"><v>1920x1080</v></cell><cell r="Y642" t="str"><v>Learn More</v></cell><cell r="Z642" t="str"><v>Animated Banner</v></cell><cell r="AA642"><v>43355</v></cell><cell r="AB642" t="str"><v>USA_gaPMG_AZR_AZR_Q1_19_Direct-Social</v></cell><cell r="AC642"><v>21358715</v></cell><cell r="AD642"><v>720197</v></cell><cell r="AE642" t="str"><v>Linkedin</v></cell><cell r="AF642"><v>3654329</v></cell><cell r="AG642" t="str"><v>LINKEDIN»USA-Trial-ITD-Bing Retargeting-AZR-AZR»1 x 1»SocialBan»VLA»ALL»CPA»RT»D»All»SS»NA»FreeAcctITProLI-AnimatedHybrid-Ch2»PS7BTV</v></cell><cell r="AH642"><v>226535246</v></cell><cell r="AI642" t="str"><v>AZR_FreeAcctITProLI-AnimatedHybrid-Ch2_USA_1920x1080_VLA_Direct_EN_Trial_Standard_ANI_LEA_T2_1</v></cell><cell r="AJ642"><v>104671424</v></cell></row><row r="643"><cell r="D643" t="str"><v>43355226620916</v></cell><cell r="E643" t="str"><v>43355104592532PS7BTP</v></cell><cell r="F643" t="str"><v>DCM</v></cell></row><row r="643"><cell r="H643"><v>0</v></cell><cell r="I643" t="str"><v>Azure Direct</v></cell><cell r="J643" t="str"><v>Azure Direct</v></cell><cell r="K643" t="str"><v>September</v></cell><cell r="L643"><v>43358</v></cell><cell r="M643" t="str"><v>Tier 0</v></cell><cell r="N643" t="str"><v>North America</v></cell><cell r="O643" t="str"><v>United States</v></cell><cell r="P643" t="str"><v>Trial</v></cell><cell r="Q643" t="str"><v>Social</v></cell><cell r="R643" t="str"><v>Azure</v></cell><cell r="S643" t="str"><v>Apps & Infra</v></cell><cell r="T643" t="str"><v>Developers & ITI's</v></cell><cell r="U643" t="str"><v>USA-Trial-ITD-Bing Retargeting-AZR-AZR</v></cell><cell r="V643" t="str"><v>Retargeting</v></cell><cell r="W643" t="str"><v>Video Link ad</v></cell><cell r="X643" t="str"><v>1920x1080</v></cell><cell r="Y643" t="str"><v>Learn More</v></cell><cell r="Z643" t="str"><v>Animated Banner</v></cell><cell r="AA643"><v>43355</v></cell><cell r="AB643" t="str"><v>USA_gaPMG_AZR_AZR_Q1_19_Direct-Social</v></cell><cell r="AC643"><v>21358715</v></cell><cell r="AD643"><v>720197</v></cell><cell r="AE643" t="str"><v>Linkedin</v></cell><cell r="AF643"><v>3654329</v></cell><cell r="AG643" t="str"><v>LINKEDIN»USA-Trial-ITD-Bing Retargeting-AZR-AZR»1 x 1»SocialBan»VLA»ALL»CPA»RT»D»All»SS»NA»FreeAcctITProLI-AnimatedMigration-Ch3»PS7BTP</v></cell><cell r="AH643"><v>226620916</v></cell><cell r="AI643" t="str"><v>AZR_FreeAcctITProLI-AnimatedMigration-Ch3_USA_1920x1080_VLA_Direct_EN_Trial_Standard_ANI_LEA_T3_1</v></cell><cell r="AJ643"><v>104592532</v></cell></row><row r="644"><cell r="D644" t="str"><v>43355226622818</v></cell><cell r="E644" t="str"><v>43355104593447PS7BTT</v></cell><cell r="F644" t="str"><v>DCM</v></cell></row><row r="644"><cell r="H644"><v>4</v></cell><cell r="I644" t="str"><v>Azure Direct</v></cell><cell r="J644" t="str"><v>Azure Direct</v></cell><cell r="K644" t="str"><v>September</v></cell><cell r="L644"><v>43358</v></cell><cell r="M644" t="str"><v>Tier 0</v></cell><cell r="N644" t="str"><v>North America</v></cell><cell r="O644" t="str"><v>United States</v></cell><cell r="P644" t="str"><v>Trial</v></cell><cell r="Q644" t="str"><v>Social</v></cell><cell r="R644" t="str"><v>Azure</v></cell><cell r="S644" t="str"><v>Apps & Infra</v></cell><cell r="T644" t="str"><v>Developers & ITI's</v></cell><cell r="U644" t="str"><v>USA-Trial-ITD-Bing Retargeting-AZR-AZR</v></cell><cell r="V644" t="str"><v>Retargeting</v></cell><cell r="W644" t="str"><v>Video Link ad</v></cell><cell r="X644" t="str"><v>1920x1080</v></cell><cell r="Y644" t="str"><v>Learn More</v></cell><cell r="Z644" t="str"><v>Animated Banner</v></cell><cell r="AA644"><v>43355</v></cell><cell r="AB644" t="str"><v>USA_gaPMG_AZR_AZR_Q1_19_Direct-Social</v></cell><cell r="AC644"><v>21358715</v></cell><cell r="AD644"><v>720197</v></cell><cell r="AE644" t="str"><v>Linkedin</v></cell><cell r="AF644"><v>3654329</v></cell><cell r="AG644" t="str"><v>LINKEDIN»USA-Trial-ITD-Bing Retargeting-AZR-AZR»1 x 1»SocialBan»VLA»ALL»CPA»RT»D»All»SS»NA»FreeAcctITProLI-AnimatedSecureWellMngd-Ch1»PS7BTT</v></cell><cell r="AH644"><v>226622818</v></cell><cell r="AI644" t="str"><v>AZR_FreeAcctITProLI-AnimatedSecureWellMngd-Ch1_USA_1920x1080_VLA_Direct_EN_Trial_Standard_ANI_LEA_T1_1</v></cell><cell r="AJ644"><v>104593447</v></cell></row><row r="645"><cell r="D645" t="str"><v>43355226538582</v></cell><cell r="E645" t="str"><v>43355104593444PS7BS4</v></cell><cell r="F645" t="str"><v>DCM</v></cell></row><row r="645"><cell r="H645"><v>0</v></cell><cell r="I645" t="str"><v>Azure Direct</v></cell><cell r="J645" t="str"><v>Azure Direct</v></cell><cell r="K645" t="str"><v>September</v></cell><cell r="L645"><v>43358</v></cell><cell r="M645" t="str"><v>Tier 0</v></cell><cell r="N645" t="str"><v>North America</v></cell><cell r="O645" t="str"><v>United States</v></cell><cell r="P645" t="str"><v>Trial</v></cell><cell r="Q645" t="str"><v>Social</v></cell><cell r="R645" t="str"><v>Azure</v></cell><cell r="S645" t="str"><v>Apps & Infra</v></cell><cell r="T645" t="str"><v>Developers & ITI's</v></cell><cell r="U645" t="str"><v>USA-Trial-ITD-Groups Prospecting-AZR-AZR</v></cell><cell r="V645" t="str"><v>Prospecting</v></cell><cell r="W645" t="str"><v>Video Link ad</v></cell><cell r="X645" t="str"><v>1920x1080</v></cell><cell r="Y645" t="str"><v>Learn More</v></cell><cell r="Z645" t="str"><v>Animated Banner</v></cell><cell r="AA645"><v>43355</v></cell><cell r="AB645" t="str"><v>USA_gaPMG_AZR_AZR_Q1_19_Direct-Social</v></cell><cell r="AC645"><v>21358715</v></cell><cell r="AD645"><v>720197</v></cell><cell r="AE645" t="str"><v>Linkedin</v></cell><cell r="AF645"><v>3654329</v></cell><cell r="AG645" t="str"><v>LINKEDIN»USA-Trial-ITD-Groups Prospecting-AZR-AZR»1 x 1»SocialBan»VLA»ALL»CPA»PRO»D»All»SS»NA»FreeAcctDeveloperLI-AnimatedAI-Ch3»PS7BS4</v></cell><cell r="AH645"><v>226538582</v></cell><cell r="AI645" t="str"><v>AZR_FreeAcctDeveloperLI-AnimatedAI-Ch3_USA_1920x1080_VLA_Direct_EN_Trial_Standard_ANI_LEA_T3_1</v></cell><cell r="AJ645"><v>104593444</v></cell></row><row r="646"><cell r="D646" t="str"><v>43355226617961</v></cell><cell r="E646" t="str"><v>43355104593732PS7BS5</v></cell><cell r="F646" t="str"><v>DCM</v></cell></row><row r="646"><cell r="H646"><v>0</v></cell><cell r="I646" t="str"><v>Azure Direct</v></cell><cell r="J646" t="str"><v>Azure Direct</v></cell><cell r="K646" t="str"><v>September</v></cell><cell r="L646"><v>43358</v></cell><cell r="M646" t="str"><v>Tier 0</v></cell><cell r="N646" t="str"><v>North America</v></cell><cell r="O646" t="str"><v>United States</v></cell><cell r="P646" t="str"><v>Trial</v></cell><cell r="Q646" t="str"><v>Social</v></cell><cell r="R646" t="str"><v>Azure</v></cell><cell r="S646" t="str"><v>Apps & Infra</v></cell><cell r="T646" t="str"><v>Developers & ITI's</v></cell><cell r="U646" t="str"><v>USA-Trial-ITD-Groups Prospecting-AZR-AZR</v></cell><cell r="V646" t="str"><v>Prospecting</v></cell><cell r="W646" t="str"><v>Video Link ad</v></cell><cell r="X646" t="str"><v>1920x1080</v></cell><cell r="Y646" t="str"><v>Learn More</v></cell><cell r="Z646" t="str"><v>Animated Banner</v></cell><cell r="AA646"><v>43355</v></cell><cell r="AB646" t="str"><v>USA_gaPMG_AZR_AZR_Q1_19_Direct-Social</v></cell><cell r="AC646"><v>21358715</v></cell><cell r="AD646"><v>720197</v></cell><cell r="AE646" t="str"><v>Linkedin</v></cell><cell r="AF646"><v>3654329</v></cell><cell r="AG646" t="str"><v>LINKEDIN»USA-Trial-ITD-Groups Prospecting-AZR-AZR»1 x 1»SocialBan»VLA»ALL»CPA»PRO»D»All»SS»NA»FreeAcctDeveloperLI-AnimatedData-Ch4»PS7BS5</v></cell><cell r="AH646"><v>226617961</v></cell><cell r="AI646" t="str"><v>AZR_FreeAcctDeveloperLI-AnimatedData-Ch4_USA_1920x1080_VLA_Direct_EN_Trial_Standard_ANI_LEA_T4_1</v></cell><cell r="AJ646"><v>104593732</v></cell></row><row r="647"><cell r="D647" t="str"><v>43355226622884</v></cell><cell r="E647" t="str"><v>43355104595736PS7BRZ</v></cell><cell r="F647" t="str"><v>DCM</v></cell></row><row r="647"><cell r="H647"><v>0</v></cell><cell r="I647" t="str"><v>Azure Direct</v></cell><cell r="J647" t="str"><v>Azure Direct</v></cell><cell r="K647" t="str"><v>September</v></cell><cell r="L647"><v>43358</v></cell><cell r="M647" t="str"><v>Tier 0</v></cell><cell r="N647" t="str"><v>North America</v></cell><cell r="O647" t="str"><v>United States</v></cell><cell r="P647" t="str"><v>Trial</v></cell><cell r="Q647" t="str"><v>Social</v></cell><cell r="R647" t="str"><v>Azure</v></cell><cell r="S647" t="str"><v>Apps & Infra</v></cell><cell r="T647" t="str"><v>Developers & ITI's</v></cell><cell r="U647" t="str"><v>USA-Trial-ITD-Groups Prospecting-AZR-AZR</v></cell><cell r="V647" t="str"><v>Prospecting</v></cell><cell r="W647" t="str"><v>Video Link ad</v></cell><cell r="X647" t="str"><v>1920x1080</v></cell><cell r="Y647" t="str"><v>Learn More</v></cell><cell r="Z647" t="str"><v>Animated Banner</v></cell><cell r="AA647"><v>43355</v></cell><cell r="AB647" t="str"><v>USA_gaPMG_AZR_AZR_Q1_19_Direct-Social</v></cell><cell r="AC647"><v>21358715</v></cell><cell r="AD647"><v>720197</v></cell><cell r="AE647" t="str"><v>Linkedin</v></cell><cell r="AF647"><v>3654329</v></cell><cell r="AG647" t="str"><v>LINKEDIN»USA-Trial-ITD-Groups Prospecting-AZR-AZR»1 x 1»SocialBan»VLA»ALL»CPA»PRO»D»All»SS»NA»FreeAcctDeveloperLI-AnimatedGeneric-Ch1»PS7BRZ</v></cell><cell r="AH647"><v>226622884</v></cell><cell r="AI647" t="str"><v>AZR_FreeAcctDeveloperLI-AnimatedGeneric-Ch1_USA_1920x1080_VLA_Direct_EN_Trial_Standard_ANI_LEA_T1_1</v></cell><cell r="AJ647"><v>104595736</v></cell></row><row r="648"><cell r="D648" t="str"><v>43355226620961</v></cell><cell r="E648" t="str"><v>43355104595736PS7BS0</v></cell><cell r="F648" t="str"><v>DCM</v></cell></row><row r="648"><cell r="H648"><v>0</v></cell><cell r="I648" t="str"><v>Azure Direct</v></cell><cell r="J648" t="str"><v>Azure Direct</v></cell><cell r="K648" t="str"><v>September</v></cell><cell r="L648"><v>43358</v></cell><cell r="M648" t="str"><v>Tier 0</v></cell><cell r="N648" t="str"><v>North America</v></cell><cell r="O648" t="str"><v>United States</v></cell><cell r="P648" t="str"><v>Trial</v></cell><cell r="Q648" t="str"><v>Social</v></cell><cell r="R648" t="str"><v>Azure</v></cell><cell r="S648" t="str"><v>Apps & Infra</v></cell><cell r="T648" t="str"><v>Developers & ITI's</v></cell><cell r="U648" t="str"><v>USA-Trial-ITD-Groups Prospecting-AZR-AZR</v></cell><cell r="V648" t="str"><v>Prospecting</v></cell><cell r="W648" t="str"><v>Video Link ad</v></cell><cell r="X648" t="str"><v>1920x1080</v></cell><cell r="Y648" t="str"><v>Learn More</v></cell><cell r="Z648" t="str"><v>Animated Banner</v></cell><cell r="AA648"><v>43355</v></cell><cell r="AB648" t="str"><v>USA_gaPMG_AZR_AZR_Q1_19_Direct-Social</v></cell><cell r="AC648"><v>21358715</v></cell><cell r="AD648"><v>720197</v></cell><cell r="AE648" t="str"><v>Linkedin</v></cell><cell r="AF648"><v>3654329</v></cell><cell r="AG648" t="str"><v>LINKEDIN»USA-Trial-ITD-Groups Prospecting-AZR-AZR»1 x 1»SocialBan»VLA»ALL»CPA»PRO»D»All»SS»NA»FreeAcctDeveloperLI-AnimatedGeneric-Ch1»PS7BS0</v></cell><cell r="AH648"><v>226620961</v></cell><cell r="AI648" t="str"><v>AZR_FreeAcctDeveloperLI-AnimatedGeneric-Ch1_USA_1920x1080_VLA_Direct_EN_Trial_Standard_ANI_LEA_T1_1</v></cell><cell r="AJ648"><v>104595736</v></cell></row><row r="649"><cell r="D649" t="str"><v>43355226617649</v></cell><cell r="E649" t="str"><v>43355104671424PS7BS7</v></cell><cell r="F649" t="str"><v>DCM</v></cell></row><row r="649"><cell r="H649"><v>0</v></cell><cell r="I649" t="str"><v>Azure Direct</v></cell><cell r="J649" t="str"><v>Azure Direct</v></cell><cell r="K649" t="str"><v>September</v></cell><cell r="L649"><v>43358</v></cell><cell r="M649" t="str"><v>Tier 0</v></cell><cell r="N649" t="str"><v>North America</v></cell><cell r="O649" t="str"><v>United States</v></cell><cell r="P649" t="str"><v>Trial</v></cell><cell r="Q649" t="str"><v>Social</v></cell><cell r="R649" t="str"><v>Azure</v></cell><cell r="S649" t="str"><v>Apps & Infra</v></cell><cell r="T649" t="str"><v>Developers & ITI's</v></cell><cell r="U649" t="str"><v>USA-Trial-ITD-Groups Prospecting-AZR-AZR</v></cell><cell r="V649" t="str"><v>Prospecting</v></cell><cell r="W649" t="str"><v>Video Link ad</v></cell><cell r="X649" t="str"><v>1920x1080</v></cell><cell r="Y649" t="str"><v>Learn More</v></cell><cell r="Z649" t="str"><v>Animated Banner</v></cell><cell r="AA649"><v>43355</v></cell><cell r="AB649" t="str"><v>USA_gaPMG_AZR_AZR_Q1_19_Direct-Social</v></cell><cell r="AC649"><v>21358715</v></cell><cell r="AD649"><v>720197</v></cell><cell r="AE649" t="str"><v>Linkedin</v></cell><cell r="AF649"><v>3654329</v></cell><cell r="AG649" t="str"><v>LINKEDIN»USA-Trial-ITD-Groups Prospecting-AZR-AZR»1 x 1»SocialBan»VLA»ALL»CPA»PRO»D»All»SS»NA»FreeAcctITProLI-AnimatedHybrid-Ch2»PS7BS7</v></cell><cell r="AH649"><v>226617649</v></cell><cell r="AI649" t="str"><v>AZR_FreeAcctITProLI-AnimatedHybrid-Ch2_USA_1920x1080_VLA_Direct_EN_Trial_Standard_ANI_LEA_T2_1</v></cell><cell r="AJ649"><v>104671424</v></cell></row><row r="650"><cell r="D650" t="str"><v>43355226538576</v></cell><cell r="E650" t="str"><v>43355104592532PS7BS2</v></cell><cell r="F650" t="str"><v>DCM</v></cell></row><row r="650"><cell r="H650"><v>0</v></cell><cell r="I650" t="str"><v>Azure Direct</v></cell><cell r="J650" t="str"><v>Azure Direct</v></cell><cell r="K650" t="str"><v>September</v></cell><cell r="L650"><v>43358</v></cell><cell r="M650" t="str"><v>Tier 0</v></cell><cell r="N650" t="str"><v>North America</v></cell><cell r="O650" t="str"><v>United States</v></cell><cell r="P650" t="str"><v>Trial</v></cell><cell r="Q650" t="str"><v>Social</v></cell><cell r="R650" t="str"><v>Azure</v></cell><cell r="S650" t="str"><v>Apps & Infra</v></cell><cell r="T650" t="str"><v>Developers & ITI's</v></cell><cell r="U650" t="str"><v>USA-Trial-ITD-Groups Prospecting-AZR-AZR</v></cell><cell r="V650" t="str"><v>Prospecting</v></cell><cell r="W650" t="str"><v>Video Link ad</v></cell><cell r="X650" t="str"><v>1920x1080</v></cell><cell r="Y650" t="str"><v>Learn More</v></cell><cell r="Z650" t="str"><v>Animated Banner</v></cell><cell r="AA650"><v>43355</v></cell><cell r="AB650" t="str"><v>USA_gaPMG_AZR_AZR_Q1_19_Direct-Social</v></cell><cell r="AC650"><v>21358715</v></cell><cell r="AD650"><v>720197</v></cell><cell r="AE650" t="str"><v>Linkedin</v></cell><cell r="AF650"><v>3654329</v></cell><cell r="AG650" t="str"><v>LINKEDIN»USA-Trial-ITD-Groups Prospecting-AZR-AZR»1 x 1»SocialBan»VLA»ALL»CPA»PRO»D»All»SS»NA»FreeAcctITProLI-AnimatedMigration-Ch3»PS7BS2</v></cell><cell r="AH650"><v>226538576</v></cell><cell r="AI650" t="str"><v>AZR_FreeAcctITProLI-AnimatedMigration-Ch3_USA_1920x1080_VLA_Direct_EN_Trial_Standard_ANI_LEA_T3_1</v></cell><cell r="AJ650"><v>104592532</v></cell></row><row r="651"><cell r="D651" t="str"><v>43355226539371</v></cell><cell r="E651" t="str"><v>43355104593447PS7BS6</v></cell><cell r="F651" t="str"><v>DCM</v></cell></row><row r="651"><cell r="H651"><v>0</v></cell><cell r="I651" t="str"><v>Azure Direct</v></cell><cell r="J651" t="str"><v>Azure Direct</v></cell><cell r="K651" t="str"><v>September</v></cell><cell r="L651"><v>43358</v></cell><cell r="M651" t="str"><v>Tier 0</v></cell><cell r="N651" t="str"><v>North America</v></cell><cell r="O651" t="str"><v>United States</v></cell><cell r="P651" t="str"><v>Trial</v></cell><cell r="Q651" t="str"><v>Social</v></cell><cell r="R651" t="str"><v>Azure</v></cell><cell r="S651" t="str"><v>Apps & Infra</v></cell><cell r="T651" t="str"><v>Developers & ITI's</v></cell><cell r="U651" t="str"><v>USA-Trial-ITD-Groups Prospecting-AZR-AZR</v></cell><cell r="V651" t="str"><v>Prospecting</v></cell><cell r="W651" t="str"><v>Video Link ad</v></cell><cell r="X651" t="str"><v>1920x1080</v></cell><cell r="Y651" t="str"><v>Learn More</v></cell><cell r="Z651" t="str"><v>Animated Banner</v></cell><cell r="AA651"><v>43355</v></cell><cell r="AB651" t="str"><v>USA_gaPMG_AZR_AZR_Q1_19_Direct-Social</v></cell><cell r="AC651"><v>21358715</v></cell><cell r="AD651"><v>720197</v></cell><cell r="AE651" t="str"><v>Linkedin</v></cell><cell r="AF651"><v>3654329</v></cell><cell r="AG651" t="str"><v>LINKEDIN»USA-Trial-ITD-Groups Prospecting-AZR-AZR»1 x 1»SocialBan»VLA»ALL»CPA»PRO»D»All»SS»NA»FreeAcctITProLI-AnimatedSecureWellMngd-Ch1»PS7BS6</v></cell><cell r="AH651"><v>226539371</v></cell><cell r="AI651" t="str"><v>AZR_FreeAcctITProLI-AnimatedSecureWellMngd-Ch1_USA_1920x1080_VLA_Direct_EN_Trial_Standard_ANI_LEA_T1_1</v></cell><cell r="AJ651"><v>104593447</v></cell></row><row r="652"><cell r="D652" t="str"><v>43355226617946</v></cell><cell r="E652" t="str"><v>43355104593444PS7BSP</v></cell><cell r="F652" t="str"><v>DCM</v></cell></row><row r="652"><cell r="H652"><v>3</v></cell><cell r="I652" t="str"><v>Azure Direct</v></cell><cell r="J652" t="str"><v>Azure Direct</v></cell><cell r="K652" t="str"><v>September</v></cell><cell r="L652"><v>43358</v></cell><cell r="M652" t="str"><v>Tier 0</v></cell><cell r="N652" t="str"><v>North America</v></cell><cell r="O652" t="str"><v>United States</v></cell><cell r="P652" t="str"><v>Trial</v></cell><cell r="Q652" t="str"><v>Social</v></cell><cell r="R652" t="str"><v>Azure</v></cell><cell r="S652" t="str"><v>Apps & Infra</v></cell><cell r="T652" t="str"><v>Developers & ITI's</v></cell><cell r="U652" t="str"><v>USA-Trial-ITD-Job Functions Prospecting-AZR-AZR</v></cell><cell r="V652" t="str"><v>Prospecting</v></cell><cell r="W652" t="str"><v>Video Link ad</v></cell><cell r="X652" t="str"><v>1920x1080</v></cell><cell r="Y652" t="str"><v>Learn More</v></cell><cell r="Z652" t="str"><v>Animated Banner</v></cell><cell r="AA652"><v>43355</v></cell><cell r="AB652" t="str"><v>USA_gaPMG_AZR_AZR_Q1_19_Direct-Social</v></cell><cell r="AC652"><v>21358715</v></cell><cell r="AD652"><v>720197</v></cell><cell r="AE652" t="str"><v>Linkedin</v></cell><cell r="AF652"><v>3654329</v></cell><cell r="AG652" t="str"><v>LINKEDIN»USA-Trial-ITD-Job Functions Prospecting-AZR-AZR»1 x 1»SocialBan»VLA»ALL»CPA»PRO»D»All»SS»NA»FreeAcctDeveloperLI-AnimatedAI-Ch3»PS7BSP</v></cell><cell r="AH652"><v>226617946</v></cell><cell r="AI652" t="str"><v>AZR_FreeAcctDeveloperLI-AnimatedAI-Ch3_USA_1920x1080_VLA_Direct_EN_Trial_Standard_ANI_LEA_T3_1</v></cell><cell r="AJ652"><v>104593444</v></cell></row><row r="653"><cell r="D653" t="str"><v>43355226535264</v></cell><cell r="E653" t="str"><v>43355104593732PS7BSQ</v></cell><cell r="F653" t="str"><v>DCM</v></cell></row><row r="653"><cell r="H653"><v>1</v></cell><cell r="I653" t="str"><v>Azure Direct</v></cell><cell r="J653" t="str"><v>Azure Direct</v></cell><cell r="K653" t="str"><v>September</v></cell><cell r="L653"><v>43358</v></cell><cell r="M653" t="str"><v>Tier 0</v></cell><cell r="N653" t="str"><v>North America</v></cell><cell r="O653" t="str"><v>United States</v></cell><cell r="P653" t="str"><v>Trial</v></cell><cell r="Q653" t="str"><v>Social</v></cell><cell r="R653" t="str"><v>Azure</v></cell><cell r="S653" t="str"><v>Apps & Infra</v></cell><cell r="T653" t="str"><v>Developers & ITI's</v></cell><cell r="U653" t="str"><v>USA-Trial-ITD-Job Functions Prospecting-AZR-AZR</v></cell><cell r="V653" t="str"><v>Prospecting</v></cell><cell r="W653" t="str"><v>Video Link ad</v></cell><cell r="X653" t="str"><v>1920x1080</v></cell><cell r="Y653" t="str"><v>Learn More</v></cell><cell r="Z653" t="str"><v>Animated Banner</v></cell><cell r="AA653"><v>43355</v></cell><cell r="AB653" t="str"><v>USA_gaPMG_AZR_AZR_Q1_19_Direct-Social</v></cell><cell r="AC653"><v>21358715</v></cell><cell r="AD653"><v>720197</v></cell><cell r="AE653" t="str"><v>Linkedin</v></cell><cell r="AF653"><v>3654329</v></cell><cell r="AG653" t="str"><v>LINKEDIN»USA-Trial-ITD-Job Functions Prospecting-AZR-AZR»1 x 1»SocialBan»VLA»ALL»CPA»PRO»D»All»SS»NA»FreeAcctDeveloperLI-AnimatedData-Ch4»PS7BSQ</v></cell><cell r="AH653"><v>226535264</v></cell><cell r="AI653" t="str"><v>AZR_FreeAcctDeveloperLI-AnimatedData-Ch4_USA_1920x1080_VLA_Direct_EN_Trial_Standard_ANI_LEA_T4_1</v></cell><cell r="AJ653"><v>104593732</v></cell></row><row r="654"><cell r="D654" t="str"><v>43355226622875</v></cell><cell r="E654" t="str"><v>43355104595736PS7BSJ</v></cell><cell r="F654" t="str"><v>DCM</v></cell></row><row r="654"><cell r="H654"><v>1</v></cell><cell r="I654" t="str"><v>Azure Direct</v></cell><cell r="J654" t="str"><v>Azure Direct</v></cell><cell r="K654" t="str"><v>September</v></cell><cell r="L654"><v>43358</v></cell><cell r="M654" t="str"><v>Tier 0</v></cell><cell r="N654" t="str"><v>North America</v></cell><cell r="O654" t="str"><v>United States</v></cell><cell r="P654" t="str"><v>Trial</v></cell><cell r="Q654" t="str"><v>Social</v></cell><cell r="R654" t="str"><v>Azure</v></cell><cell r="S654" t="str"><v>Apps & Infra</v></cell><cell r="T654" t="str"><v>Developers & ITI's</v></cell><cell r="U654" t="str"><v>USA-Trial-ITD-Job Functions Prospecting-AZR-AZR</v></cell><cell r="V654" t="str"><v>Prospecting</v></cell><cell r="W654" t="str"><v>Video Link ad</v></cell><cell r="X654" t="str"><v>1920x1080</v></cell><cell r="Y654" t="str"><v>Learn More</v></cell><cell r="Z654" t="str"><v>Animated Banner</v></cell><cell r="AA654"><v>43355</v></cell><cell r="AB654" t="str"><v>USA_gaPMG_AZR_AZR_Q1_19_Direct-Social</v></cell><cell r="AC654"><v>21358715</v></cell><cell r="AD654"><v>720197</v></cell><cell r="AE654" t="str"><v>Linkedin</v></cell><cell r="AF654"><v>3654329</v></cell><cell r="AG654" t="str"><v>LINKEDIN»USA-Trial-ITD-Job Functions Prospecting-AZR-AZR»1 x 1»SocialBan»VLA»ALL»CPA»PRO»D»All»SS»NA»FreeAcctDeveloperLI-AnimatedGeneric-Ch1»PS7BSJ</v></cell><cell r="AH654"><v>226622875</v></cell><cell r="AI654" t="str"><v>AZR_FreeAcctDeveloperLI-AnimatedGeneric-Ch1_USA_1920x1080_VLA_Direct_EN_Trial_Standard_ANI_LEA_T1_1</v></cell><cell r="AJ654"><v>104595736</v></cell></row><row r="655"><cell r="D655" t="str"><v>43355226535270</v></cell><cell r="E655" t="str"><v>43355104595736PS7BSK</v></cell><cell r="F655" t="str"><v>DCM</v></cell></row><row r="655"><cell r="H655"><v>1</v></cell><cell r="I655" t="str"><v>Azure Direct</v></cell><cell r="J655" t="str"><v>Azure Direct</v></cell><cell r="K655" t="str"><v>September</v></cell><cell r="L655"><v>43358</v></cell><cell r="M655" t="str"><v>Tier 0</v></cell><cell r="N655" t="str"><v>North America</v></cell><cell r="O655" t="str"><v>United States</v></cell><cell r="P655" t="str"><v>Trial</v></cell><cell r="Q655" t="str"><v>Social</v></cell><cell r="R655" t="str"><v>Azure</v></cell><cell r="S655" t="str"><v>Apps & Infra</v></cell><cell r="T655" t="str"><v>Developers & ITI's</v></cell><cell r="U655" t="str"><v>USA-Trial-ITD-Job Functions Prospecting-AZR-AZR</v></cell><cell r="V655" t="str"><v>Prospecting</v></cell><cell r="W655" t="str"><v>Video Link ad</v></cell><cell r="X655" t="str"><v>1920x1080</v></cell><cell r="Y655" t="str"><v>Learn More</v></cell><cell r="Z655" t="str"><v>Animated Banner</v></cell><cell r="AA655"><v>43355</v></cell><cell r="AB655" t="str"><v>USA_gaPMG_AZR_AZR_Q1_19_Direct-Social</v></cell><cell r="AC655"><v>21358715</v></cell><cell r="AD655"><v>720197</v></cell><cell r="AE655" t="str"><v>Linkedin</v></cell><cell r="AF655"><v>3654329</v></cell><cell r="AG655" t="str"><v>LINKEDIN»USA-Trial-ITD-Job Functions Prospecting-AZR-AZR»1 x 1»SocialBan»VLA»ALL»CPA»PRO»D»All»SS»NA»FreeAcctDeveloperLI-AnimatedGeneric-Ch1»PS7BSK</v></cell><cell r="AH655"><v>226535270</v></cell><cell r="AI655" t="str"><v>AZR_FreeAcctDeveloperLI-AnimatedGeneric-Ch1_USA_1920x1080_VLA_Direct_EN_Trial_Standard_ANI_LEA_T1_1</v></cell><cell r="AJ655"><v>104595736</v></cell></row><row r="656"><cell r="D656" t="str"><v>43355226622866</v></cell><cell r="E656" t="str"><v>43355104671424PS7BSS</v></cell><cell r="F656" t="str"><v>DCM</v></cell></row><row r="656"><cell r="H656"><v>0</v></cell><cell r="I656" t="str"><v>Azure Direct</v></cell><cell r="J656" t="str"><v>Azure Direct</v></cell><cell r="K656" t="str"><v>September</v></cell><cell r="L656"><v>43358</v></cell><cell r="M656" t="str"><v>Tier 0</v></cell><cell r="N656" t="str"><v>North America</v></cell><cell r="O656" t="str"><v>United States</v></cell><cell r="P656" t="str"><v>Trial</v></cell><cell r="Q656" t="str"><v>Social</v></cell><cell r="R656" t="str"><v>Azure</v></cell><cell r="S656" t="str"><v>Apps & Infra</v></cell><cell r="T656" t="str"><v>Developers & ITI's</v></cell><cell r="U656" t="str"><v>USA-Trial-ITD-Job Functions Prospecting-AZR-AZR</v></cell><cell r="V656" t="str"><v>Prospecting</v></cell><cell r="W656" t="str"><v>Video Link ad</v></cell><cell r="X656" t="str"><v>1920x1080</v></cell><cell r="Y656" t="str"><v>Learn More</v></cell><cell r="Z656" t="str"><v>Animated Banner</v></cell><cell r="AA656"><v>43355</v></cell><cell r="AB656" t="str"><v>USA_gaPMG_AZR_AZR_Q1_19_Direct-Social</v></cell><cell r="AC656"><v>21358715</v></cell><cell r="AD656"><v>720197</v></cell><cell r="AE656" t="str"><v>Linkedin</v></cell><cell r="AF656"><v>3654329</v></cell><cell r="AG656" t="str"><v>LINKEDIN»USA-Trial-ITD-Job Functions Prospecting-AZR-AZR»1 x 1»SocialBan»VLA»ALL»CPA»PRO»D»All»SS»NA»FreeAcctITProLI-AnimatedHybrid-Ch2»PS7BSS</v></cell><cell r="AH656"><v>226622866</v></cell><cell r="AI656" t="str"><v>AZR_FreeAcctITProLI-AnimatedHybrid-Ch2_USA_1920x1080_VLA_Direct_EN_Trial_Standard_ANI_LEA_T2_1</v></cell><cell r="AJ656"><v>104671424</v></cell></row><row r="657"><cell r="D657" t="str"><v>43355226774326</v></cell><cell r="E657" t="str"><v>43355104592532PS7BSM</v></cell><cell r="F657" t="str"><v>DCM</v></cell></row><row r="657"><cell r="H657"><v>1</v></cell><cell r="I657" t="str"><v>Azure Direct</v></cell><cell r="J657" t="str"><v>Azure Direct</v></cell><cell r="K657" t="str"><v>September</v></cell><cell r="L657"><v>43358</v></cell><cell r="M657" t="str"><v>Tier 0</v></cell><cell r="N657" t="str"><v>North America</v></cell><cell r="O657" t="str"><v>United States</v></cell><cell r="P657" t="str"><v>Trial</v></cell><cell r="Q657" t="str"><v>Social</v></cell><cell r="R657" t="str"><v>Azure</v></cell><cell r="S657" t="str"><v>Apps & Infra</v></cell><cell r="T657" t="str"><v>Developers & ITI's</v></cell><cell r="U657" t="str"><v>USA-Trial-ITD-Job Functions Prospecting-AZR-AZR</v></cell><cell r="V657" t="str"><v>Prospecting</v></cell><cell r="W657" t="str"><v>Video Link ad</v></cell><cell r="X657" t="str"><v>1920x1080</v></cell><cell r="Y657" t="str"><v>Learn More</v></cell><cell r="Z657" t="str"><v>Animated Banner</v></cell><cell r="AA657"><v>43355</v></cell><cell r="AB657" t="str"><v>USA_gaPMG_AZR_AZR_Q1_19_Direct-Social</v></cell><cell r="AC657"><v>21358715</v></cell><cell r="AD657"><v>720197</v></cell><cell r="AE657" t="str"><v>Linkedin</v></cell><cell r="AF657"><v>3654329</v></cell><cell r="AG657" t="str"><v>LINKEDIN»USA-Trial-ITD-Job Functions Prospecting-AZR-AZR»1 x 1»SocialBan»VLA»ALL»CPA»PRO»D»All»SS»NA»FreeAcctITProLI-AnimatedMigration-Ch3»PS7BSM</v></cell><cell r="AH657"><v>226774326</v></cell><cell r="AI657" t="str"><v>AZR_FreeAcctITProLI-AnimatedMigration-Ch3_USA_1920x1080_VLA_Direct_EN_Trial_Standard_ANI_LEA_T3_1</v></cell><cell r="AJ657"><v>104592532</v></cell></row><row r="658"><cell r="D658" t="str"><v>43355226538552</v></cell><cell r="E658" t="str"><v>43355104593447PS7BSR</v></cell><cell r="F658" t="str"><v>DCM</v></cell></row><row r="658"><cell r="H658"><v>0</v></cell><cell r="I658" t="str"><v>Azure Direct</v></cell><cell r="J658" t="str"><v>Azure Direct</v></cell><cell r="K658" t="str"><v>September</v></cell><cell r="L658"><v>43358</v></cell><cell r="M658" t="str"><v>Tier 0</v></cell><cell r="N658" t="str"><v>North America</v></cell><cell r="O658" t="str"><v>United States</v></cell><cell r="P658" t="str"><v>Trial</v></cell><cell r="Q658" t="str"><v>Social</v></cell><cell r="R658" t="str"><v>Azure</v></cell><cell r="S658" t="str"><v>Apps & Infra</v></cell><cell r="T658" t="str"><v>Developers & ITI's</v></cell><cell r="U658" t="str"><v>USA-Trial-ITD-Job Functions Prospecting-AZR-AZR</v></cell><cell r="V658" t="str"><v>Prospecting</v></cell><cell r="W658" t="str"><v>Video Link ad</v></cell><cell r="X658" t="str"><v>1920x1080</v></cell><cell r="Y658" t="str"><v>Learn More</v></cell><cell r="Z658" t="str"><v>Animated Banner</v></cell><cell r="AA658"><v>43355</v></cell><cell r="AB658" t="str"><v>USA_gaPMG_AZR_AZR_Q1_19_Direct-Social</v></cell><cell r="AC658"><v>21358715</v></cell><cell r="AD658"><v>720197</v></cell><cell r="AE658" t="str"><v>Linkedin</v></cell><cell r="AF658"><v>3654329</v></cell><cell r="AG658" t="str"><v>LINKEDIN»USA-Trial-ITD-Job Functions Prospecting-AZR-AZR»1 x 1»SocialBan»VLA»ALL»CPA»PRO»D»All»SS»NA»FreeAcctITProLI-AnimatedSecureWellMngd-Ch1»PS7BSR</v></cell><cell r="AH658"><v>226538552</v></cell><cell r="AI658" t="str"><v>AZR_FreeAcctITProLI-AnimatedSecureWellMngd-Ch1_USA_1920x1080_VLA_Direct_EN_Trial_Standard_ANI_LEA_T1_1</v></cell><cell r="AJ658"><v>104593447</v></cell></row><row r="659"><cell r="D659" t="str"><v>43355226538462</v></cell><cell r="E659" t="str"><v>43355104593732PS7B6P</v></cell><cell r="F659" t="str"><v>DCM</v></cell></row><row r="659"><cell r="H659"><v>1</v></cell><cell r="I659" t="str"><v>Azure Direct</v></cell><cell r="J659" t="str"><v>Azure Direct</v></cell><cell r="K659" t="str"><v>September</v></cell><cell r="L659"><v>43358</v></cell><cell r="M659" t="str"><v>Tier 0</v></cell><cell r="N659" t="str"><v>North America</v></cell><cell r="O659" t="str"><v>United States</v></cell><cell r="P659" t="str"><v>Trial</v></cell><cell r="Q659" t="str"><v>Social</v></cell><cell r="R659" t="str"><v>Azure</v></cell><cell r="S659" t="str"><v>Apps & Infra</v></cell><cell r="T659" t="str"><v>Developers & ITI's</v></cell><cell r="U659" t="str"><v>USA-Trial-ITD-Job Titles Prospecting-AZR-AZR</v></cell><cell r="V659" t="str"><v>Prospecting</v></cell><cell r="W659" t="str"><v>Video Link ad</v></cell><cell r="X659" t="str"><v>1920x1080</v></cell><cell r="Y659" t="str"><v>Learn More</v></cell><cell r="Z659" t="str"><v>Animated Banner</v></cell><cell r="AA659"><v>43355</v></cell><cell r="AB659" t="str"><v>USA_gaPMG_AZR_AZR_Q1_19_Direct-Social</v></cell><cell r="AC659"><v>21358715</v></cell><cell r="AD659"><v>720197</v></cell><cell r="AE659" t="str"><v>Linkedin</v></cell><cell r="AF659"><v>3654329</v></cell><cell r="AG659" t="str"><v>LINKEDIN»USA-Trial-ITD-Job Titles Prospecting-AZR-AZR»1 x 1»SocialBan»VLA»ALL»CPA»PRO»D»All»SS»NA»FreeAcctDeveloperLI-AnimatedData-Ch4»PS7B6P</v></cell><cell r="AH659"><v>226538462</v></cell><cell r="AI659" t="str"><v>AZR_FreeAcctDeveloperLI-AnimatedData-Ch4_USA_1920x1080_VLA_Direct_EN_Trial_Standard_ANI_LEA_T4_1</v></cell><cell r="AJ659"><v>104593732</v></cell></row><row r="660"><cell r="D660" t="str"><v>43355226536077</v></cell><cell r="E660" t="str"><v>43355104593435PS7BVM</v></cell><cell r="F660" t="str"><v>DCM</v></cell></row><row r="660"><cell r="H660"><v>0</v></cell><cell r="I660" t="str"><v>Azure Direct</v></cell><cell r="J660" t="str"><v>Azure Direct</v></cell><cell r="K660" t="str"><v>September</v></cell><cell r="L660"><v>43358</v></cell><cell r="M660" t="str"><v>Tier 0</v></cell><cell r="N660" t="str"><v>North America</v></cell><cell r="O660" t="str"><v>United States</v></cell><cell r="P660" t="str"><v>Trial</v></cell><cell r="Q660" t="str"><v>Social</v></cell><cell r="R660" t="str"><v>Azure</v></cell><cell r="S660" t="str"><v>Apps & Infra</v></cell><cell r="T660" t="str"><v>Developers & ITI's</v></cell><cell r="U660" t="str"><v>USA-Trial-ITD-Website Retargeting-AZR-AZR</v></cell><cell r="V660" t="str"><v>Retargeting</v></cell><cell r="W660" t="str"><v>Link Ad</v></cell><cell r="X660" t="str"><v>1200x627</v></cell><cell r="Y660" t="str"><v>Sign Up</v></cell><cell r="Z660" t="str"><v>Not Applicable</v></cell><cell r="AA660"><v>43355</v></cell><cell r="AB660" t="str"><v>USA_gaPMG_AZR_AZR_Q1_19_Direct-Social</v></cell><cell r="AC660"><v>21358715</v></cell><cell r="AD660"><v>720197</v></cell><cell r="AE660" t="str"><v>Linkedin</v></cell><cell r="AF660"><v>3654329</v></cell><cell r="AG660" t="str"><v>LINKEDIN»USA-Trial-ITD-Website Retargeting-AZR-AZR»1 x 1»SocialBan»LIA»ALL»CPA»RT»D»All»SS»NA»FreeAcctRetargetingLI-Credit-ChA»PS7BVM</v></cell><cell r="AH660"><v>226536077</v></cell><cell r="AI660" t="str"><v>AZR_FreeAcctRetargetingLI-Credit-ChA_USA_1200x627_LIA_Plat_English_Free Account_Standard_NA_SINU_T1_1</v></cell><cell r="AJ660"><v>104593435</v></cell></row><row r="661"><cell r="D661" t="str"><v>43355226537496</v></cell><cell r="E661" t="str"><v>43355104593723PS7BVR</v></cell><cell r="F661" t="str"><v>DCM</v></cell></row><row r="661"><cell r="H661"><v>2</v></cell><cell r="I661" t="str"><v>Azure Direct</v></cell><cell r="J661" t="str"><v>Azure Direct</v></cell><cell r="K661" t="str"><v>September</v></cell><cell r="L661"><v>43358</v></cell><cell r="M661" t="str"><v>Tier 0</v></cell><cell r="N661" t="str"><v>North America</v></cell><cell r="O661" t="str"><v>United States</v></cell><cell r="P661" t="str"><v>Trial</v></cell><cell r="Q661" t="str"><v>Social</v></cell><cell r="R661" t="str"><v>Azure</v></cell><cell r="S661" t="str"><v>Apps & Infra</v></cell><cell r="T661" t="str"><v>Developers & ITI's</v></cell><cell r="U661" t="str"><v>USA-Trial-ITD-Website Retargeting-AZR-AZR</v></cell><cell r="V661" t="str"><v>Retargeting</v></cell><cell r="W661" t="str"><v>Link Ad</v></cell><cell r="X661" t="str"><v>1200x627</v></cell><cell r="Y661" t="str"><v>Sign Up</v></cell><cell r="Z661" t="str"><v>Not Applicable</v></cell><cell r="AA661"><v>43355</v></cell><cell r="AB661" t="str"><v>USA_gaPMG_AZR_AZR_Q1_19_Direct-Social</v></cell><cell r="AC661"><v>21358715</v></cell><cell r="AD661"><v>720197</v></cell><cell r="AE661" t="str"><v>Linkedin</v></cell><cell r="AF661"><v>3654329</v></cell><cell r="AG661" t="str"><v>LINKEDIN»USA-Trial-ITD-Website Retargeting-AZR-AZR»1 x 1»SocialBan»LIA»ALL»CPA»RT»D»All»SS»NA»FreeAcctRetargetingLI-GlobalAlt-ChB»PS7BVR</v></cell><cell r="AH661"><v>226537496</v></cell><cell r="AI661" t="str"><v>AZR_FreeAcctRetargetingLI-GlobalAlt-ChB_USA_1200x627_LIA_Plat_English_Free Account_Standard_NA_SINU_T2_1</v></cell><cell r="AJ661"><v>104593723</v></cell></row><row r="662"><cell r="D662" t="str"><v>43355226537529</v></cell><cell r="E662" t="str"><v>43355104671415PS7BVJ</v></cell><cell r="F662" t="str"><v>DCM</v></cell></row><row r="662"><cell r="H662"><v>22</v></cell><cell r="I662" t="str"><v>Azure Direct</v></cell><cell r="J662" t="str"><v>Azure Direct</v></cell><cell r="K662" t="str"><v>September</v></cell><cell r="L662"><v>43358</v></cell><cell r="M662" t="str"><v>Tier 0</v></cell><cell r="N662" t="str"><v>North America</v></cell><cell r="O662" t="str"><v>United States</v></cell><cell r="P662" t="str"><v>Trial</v></cell><cell r="Q662" t="str"><v>Social</v></cell><cell r="R662" t="str"><v>Azure</v></cell><cell r="S662" t="str"><v>Apps & Infra</v></cell><cell r="T662" t="str"><v>Developers & ITI's</v></cell><cell r="U662" t="str"><v>USA-Trial-ITD-Website Retargeting-AZR-AZR</v></cell><cell r="V662" t="str"><v>Retargeting</v></cell><cell r="W662" t="str"><v>Link Ad</v></cell><cell r="X662" t="str"><v>1200x627</v></cell><cell r="Y662" t="str"><v>Sign Up</v></cell><cell r="Z662" t="str"><v>Not Applicable</v></cell><cell r="AA662"><v>43355</v></cell><cell r="AB662" t="str"><v>USA_gaPMG_AZR_AZR_Q1_19_Direct-Social</v></cell><cell r="AC662"><v>21358715</v></cell><cell r="AD662"><v>720197</v></cell><cell r="AE662" t="str"><v>Linkedin</v></cell><cell r="AF662"><v>3654329</v></cell><cell r="AG662" t="str"><v>LINKEDIN»USA-Trial-ITD-Website Retargeting-AZR-AZR»1 x 1»SocialBan»LIA»ALL»CPA»RT»D»All»SS»NA»FreeAcctRetargetingVMLI-750Hrs-ChD»PS7BVJ</v></cell><cell r="AH662"><v>226537529</v></cell><cell r="AI662" t="str"><v>AZR_FreeAcctRetargetingVMLI-750Hrs-ChD_USA_1200x627_LIA_Plat_English_Free Account_Standard_NA_SINU_T1_1</v></cell><cell r="AJ662"><v>104671415</v></cell></row><row r="663"><cell r="D663" t="str"><v>43355226537532</v></cell><cell r="E663" t="str"><v>43355104592529PS7BVK</v></cell><cell r="F663" t="str"><v>DCM</v></cell></row><row r="663"><cell r="H663"><v>0</v></cell><cell r="I663" t="str"><v>Azure Direct</v></cell><cell r="J663" t="str"><v>Azure Direct</v></cell><cell r="K663" t="str"><v>September</v></cell><cell r="L663"><v>43358</v></cell><cell r="M663" t="str"><v>Tier 0</v></cell><cell r="N663" t="str"><v>North America</v></cell><cell r="O663" t="str"><v>United States</v></cell><cell r="P663" t="str"><v>Trial</v></cell><cell r="Q663" t="str"><v>Social</v></cell><cell r="R663" t="str"><v>Azure</v></cell><cell r="S663" t="str"><v>Apps & Infra</v></cell><cell r="T663" t="str"><v>Developers & ITI's</v></cell><cell r="U663" t="str"><v>USA-Trial-ITD-Website Retargeting-AZR-AZR</v></cell><cell r="V663" t="str"><v>Retargeting</v></cell><cell r="W663" t="str"><v>Link Ad</v></cell><cell r="X663" t="str"><v>1200x627</v></cell><cell r="Y663" t="str"><v>Sign Up</v></cell><cell r="Z663" t="str"><v>Not Applicable</v></cell><cell r="AA663"><v>43355</v></cell><cell r="AB663" t="str"><v>USA_gaPMG_AZR_AZR_Q1_19_Direct-Social</v></cell><cell r="AC663"><v>21358715</v></cell><cell r="AD663"><v>720197</v></cell><cell r="AE663" t="str"><v>Linkedin</v></cell><cell r="AF663"><v>3654329</v></cell><cell r="AG663" t="str"><v>LINKEDIN»USA-Trial-ITD-Website Retargeting-AZR-AZR»1 x 1»SocialBan»LIA»ALL»CPA»RT»D»All»SS»NA»FreeAcctRetargetingVMLI-OnDemand-ChE»PS7BVK</v></cell><cell r="AH663"><v>226537532</v></cell><cell r="AI663" t="str"><v>AZR_FreeAcctRetargetingVMLI-OnDemand-ChE_USA_1200x627_LIA_Plat_English_Free Account_Standard_NA_SINU_T2_1</v></cell><cell r="AJ663"><v>104592529</v></cell></row><row r="664"><cell r="D664" t="str"><v>43355226774218</v></cell><cell r="E664" t="str"><v>43355104593444PS7BVV</v></cell><cell r="F664" t="str"><v>DCM</v></cell></row><row r="664"><cell r="H664"><v>9</v></cell><cell r="I664" t="str"><v>Azure Direct</v></cell><cell r="J664" t="str"><v>Azure Direct</v></cell><cell r="K664" t="str"><v>September</v></cell><cell r="L664"><v>43358</v></cell><cell r="M664" t="str"><v>Tier 0</v></cell><cell r="N664" t="str"><v>North America</v></cell><cell r="O664" t="str"><v>United States</v></cell><cell r="P664" t="str"><v>Trial</v></cell><cell r="Q664" t="str"><v>Social</v></cell><cell r="R664" t="str"><v>Azure</v></cell><cell r="S664" t="str"><v>Apps & Infra</v></cell><cell r="T664" t="str"><v>Developers & ITI's</v></cell><cell r="U664" t="str"><v>USA-Trial-ITD-Website Retargeting-AZR-AZR</v></cell><cell r="V664" t="str"><v>Retargeting</v></cell><cell r="W664" t="str"><v>Video Link ad</v></cell><cell r="X664" t="str"><v>1920x1080</v></cell><cell r="Y664" t="str"><v>Learn More</v></cell><cell r="Z664" t="str"><v>Animated Banner</v></cell><cell r="AA664"><v>43355</v></cell><cell r="AB664" t="str"><v>USA_gaPMG_AZR_AZR_Q1_19_Direct-Social</v></cell><cell r="AC664"><v>21358715</v></cell><cell r="AD664"><v>720197</v></cell><cell r="AE664" t="str"><v>Linkedin</v></cell><cell r="AF664"><v>3654329</v></cell><cell r="AG664" t="str"><v>LINKEDIN»USA-Trial-ITD-Website Retargeting-AZR-AZR»1 x 1»SocialBan»VLA»ALL»CPA»RT»D»All»SS»NA»FreeAcctDeveloperLI-AnimatedAI-Ch3»PS7BVV</v></cell><cell r="AH664"><v>226774218</v></cell><cell r="AI664" t="str"><v>AZR_FreeAcctDeveloperLI-AnimatedAI-Ch3_USA_1920x1080_VLA_Direct_EN_Trial_Standard_ANI_LEA_T3_1</v></cell><cell r="AJ664"><v>104593444</v></cell></row><row r="665"><cell r="D665" t="str"><v>43355226620835</v></cell><cell r="E665" t="str"><v>43355104593732PS7BVW</v></cell><cell r="F665" t="str"><v>DCM</v></cell></row><row r="665"><cell r="H665"><v>2</v></cell><cell r="I665" t="str"><v>Azure Direct</v></cell><cell r="J665" t="str"><v>Azure Direct</v></cell><cell r="K665" t="str"><v>September</v></cell><cell r="L665"><v>43358</v></cell><cell r="M665" t="str"><v>Tier 0</v></cell><cell r="N665" t="str"><v>North America</v></cell><cell r="O665" t="str"><v>United States</v></cell><cell r="P665" t="str"><v>Trial</v></cell><cell r="Q665" t="str"><v>Social</v></cell><cell r="R665" t="str"><v>Azure</v></cell><cell r="S665" t="str"><v>Apps & Infra</v></cell><cell r="T665" t="str"><v>Developers & ITI's</v></cell><cell r="U665" t="str"><v>USA-Trial-ITD-Website Retargeting-AZR-AZR</v></cell><cell r="V665" t="str"><v>Retargeting</v></cell><cell r="W665" t="str"><v>Video Link ad</v></cell><cell r="X665" t="str"><v>1920x1080</v></cell><cell r="Y665" t="str"><v>Learn More</v></cell><cell r="Z665" t="str"><v>Animated Banner</v></cell><cell r="AA665"><v>43355</v></cell><cell r="AB665" t="str"><v>USA_gaPMG_AZR_AZR_Q1_19_Direct-Social</v></cell><cell r="AC665"><v>21358715</v></cell><cell r="AD665"><v>720197</v></cell><cell r="AE665" t="str"><v>Linkedin</v></cell><cell r="AF665"><v>3654329</v></cell><cell r="AG665" t="str"><v>LINKEDIN»USA-Trial-ITD-Website Retargeting-AZR-AZR»1 x 1»SocialBan»VLA»ALL»CPA»RT»D»All»SS»NA»FreeAcctDeveloperLI-AnimatedData-Ch4»PS7BVW</v></cell><cell r="AH665"><v>226620835</v></cell><cell r="AI665" t="str"><v>AZR_FreeAcctDeveloperLI-AnimatedData-Ch4_USA_1920x1080_VLA_Direct_EN_Trial_Standard_ANI_LEA_T4_1</v></cell><cell r="AJ665"><v>104593732</v></cell></row><row r="666"><cell r="D666" t="str"><v>43355226536080</v></cell><cell r="E666" t="str"><v>43355104595736PS7BVP</v></cell><cell r="F666" t="str"><v>DCM</v></cell></row><row r="666"><cell r="H666"><v>0</v></cell><cell r="I666" t="str"><v>Azure Direct</v></cell><cell r="J666" t="str"><v>Azure Direct</v></cell><cell r="K666" t="str"><v>September</v></cell><cell r="L666"><v>43358</v></cell><cell r="M666" t="str"><v>Tier 0</v></cell><cell r="N666" t="str"><v>North America</v></cell><cell r="O666" t="str"><v>United States</v></cell><cell r="P666" t="str"><v>Trial</v></cell><cell r="Q666" t="str"><v>Social</v></cell><cell r="R666" t="str"><v>Azure</v></cell><cell r="S666" t="str"><v>Apps & Infra</v></cell><cell r="T666" t="str"><v>Developers & ITI's</v></cell><cell r="U666" t="str"><v>USA-Trial-ITD-Website Retargeting-AZR-AZR</v></cell><cell r="V666" t="str"><v>Retargeting</v></cell><cell r="W666" t="str"><v>Video Link ad</v></cell><cell r="X666" t="str"><v>1920x1080</v></cell><cell r="Y666" t="str"><v>Learn More</v></cell><cell r="Z666" t="str"><v>Animated Banner</v></cell><cell r="AA666"><v>43355</v></cell><cell r="AB666" t="str"><v>USA_gaPMG_AZR_AZR_Q1_19_Direct-Social</v></cell><cell r="AC666"><v>21358715</v></cell><cell r="AD666"><v>720197</v></cell><cell r="AE666" t="str"><v>Linkedin</v></cell><cell r="AF666"><v>3654329</v></cell><cell r="AG666" t="str"><v>LINKEDIN»USA-Trial-ITD-Website Retargeting-AZR-AZR»1 x 1»SocialBan»VLA»ALL»CPA»RT»D»All»SS»NA»FreeAcctDeveloperLI-AnimatedGeneric-Ch1»PS7BVP</v></cell><cell r="AH666"><v>226536080</v></cell><cell r="AI666" t="str"><v>AZR_FreeAcctDeveloperLI-AnimatedGeneric-Ch1_USA_1920x1080_VLA_Direct_EN_Trial_Standard_ANI_LEA_T1_1</v></cell><cell r="AJ666"><v>104595736</v></cell></row><row r="667"><cell r="D667" t="str"><v>43355226774221</v></cell><cell r="E667" t="str"><v>43355104671424PS7BVY</v></cell><cell r="F667" t="str"><v>DCM</v></cell></row><row r="667"><cell r="H667"><v>1</v></cell><cell r="I667" t="str"><v>Azure Direct</v></cell><cell r="J667" t="str"><v>Azure Direct</v></cell><cell r="K667" t="str"><v>September</v></cell><cell r="L667"><v>43358</v></cell><cell r="M667" t="str"><v>Tier 0</v></cell><cell r="N667" t="str"><v>North America</v></cell><cell r="O667" t="str"><v>United States</v></cell><cell r="P667" t="str"><v>Trial</v></cell><cell r="Q667" t="str"><v>Social</v></cell><cell r="R667" t="str"><v>Azure</v></cell><cell r="S667" t="str"><v>Apps & Infra</v></cell><cell r="T667" t="str"><v>Developers & ITI's</v></cell><cell r="U667" t="str"><v>USA-Trial-ITD-Website Retargeting-AZR-AZR</v></cell><cell r="V667" t="str"><v>Retargeting</v></cell><cell r="W667" t="str"><v>Video Link ad</v></cell><cell r="X667" t="str"><v>1920x1080</v></cell><cell r="Y667" t="str"><v>Learn More</v></cell><cell r="Z667" t="str"><v>Animated Banner</v></cell><cell r="AA667"><v>43355</v></cell><cell r="AB667" t="str"><v>USA_gaPMG_AZR_AZR_Q1_19_Direct-Social</v></cell><cell r="AC667"><v>21358715</v></cell><cell r="AD667"><v>720197</v></cell><cell r="AE667" t="str"><v>Linkedin</v></cell><cell r="AF667"><v>3654329</v></cell><cell r="AG667" t="str"><v>LINKEDIN»USA-Trial-ITD-Website Retargeting-AZR-AZR»1 x 1»SocialBan»VLA»ALL»CPA»RT»D»All»SS»NA»FreeAcctITProLI-AnimatedHybrid-Ch2»PS7BVY</v></cell><cell r="AH667"><v>226774221</v></cell><cell r="AI667" t="str"><v>AZR_FreeAcctITProLI-AnimatedHybrid-Ch2_USA_1920x1080_VLA_Direct_EN_Trial_Standard_ANI_LEA_T2_1</v></cell><cell r="AJ667"><v>104671424</v></cell></row><row r="668"><cell r="D668" t="str"><v>43355226537511</v></cell><cell r="E668" t="str"><v>43355104593447PS7BVX</v></cell><cell r="F668" t="str"><v>DCM</v></cell></row><row r="668"><cell r="H668"><v>2</v></cell><cell r="I668" t="str"><v>Azure Direct</v></cell><cell r="J668" t="str"><v>Azure Direct</v></cell><cell r="K668" t="str"><v>September</v></cell><cell r="L668"><v>43358</v></cell><cell r="M668" t="str"><v>Tier 0</v></cell><cell r="N668" t="str"><v>North America</v></cell><cell r="O668" t="str"><v>United States</v></cell><cell r="P668" t="str"><v>Trial</v></cell><cell r="Q668" t="str"><v>Social</v></cell><cell r="R668" t="str"><v>Azure</v></cell><cell r="S668" t="str"><v>Apps & Infra</v></cell><cell r="T668" t="str"><v>Developers & ITI's</v></cell><cell r="U668" t="str"><v>USA-Trial-ITD-Website Retargeting-AZR-AZR</v></cell><cell r="V668" t="str"><v>Retargeting</v></cell><cell r="W668" t="str"><v>Video Link ad</v></cell><cell r="X668" t="str"><v>1920x1080</v></cell><cell r="Y668" t="str"><v>Learn More</v></cell><cell r="Z668" t="str"><v>Animated Banner</v></cell><cell r="AA668"><v>43355</v></cell><cell r="AB668" t="str"><v>USA_gaPMG_AZR_AZR_Q1_19_Direct-Social</v></cell><cell r="AC668"><v>21358715</v></cell><cell r="AD668"><v>720197</v></cell><cell r="AE668" t="str"><v>Linkedin</v></cell><cell r="AF668"><v>3654329</v></cell><cell r="AG668" t="str"><v>LINKEDIN»USA-Trial-ITD-Website Retargeting-AZR-AZR»1 x 1»SocialBan»VLA»ALL»CPA»RT»D»All»SS»NA»FreeAcctITProLI-AnimatedSecureWellMngd-Ch1»PS7BVX</v></cell><cell r="AH668"><v>226537511</v></cell><cell r="AI668" t="str"><v>AZR_FreeAcctITProLI-AnimatedSecureWellMngd-Ch1_USA_1920x1080_VLA_Direct_EN_Trial_Standard_ANI_LEA_T1_1</v></cell><cell r="AJ668"><v>104593447</v></cell></row><row r="669"><cell r="D669" t="str"><v>43355226537493</v></cell><cell r="E669" t="str"><v>43355104595736PS7BVQ</v></cell><cell r="F669" t="str"><v>DCM</v></cell></row><row r="669"><cell r="H669"><v>1</v></cell><cell r="I669" t="str"><v>Azure Direct</v></cell><cell r="J669" t="str"><v>Azure Direct</v></cell><cell r="K669" t="str"><v>September</v></cell><cell r="L669"><v>43358</v></cell><cell r="M669" t="str"><v>Tier 0</v></cell><cell r="N669" t="str"><v>North America</v></cell><cell r="O669" t="str"><v>United States</v></cell><cell r="P669" t="str"><v>Trial</v></cell><cell r="Q669" t="str"><v>Social</v></cell><cell r="R669" t="str"><v>Azure</v></cell><cell r="S669" t="str"><v>Apps & Infra</v></cell><cell r="T669" t="str"><v>Developers & ITI's</v></cell><cell r="U669" t="str"><v>USA-Trial-ITD-Website Retargeting-AZR-AZR</v></cell><cell r="V669" t="str"><v>Retargeting</v></cell><cell r="W669" t="str"><v>Video Link ad</v></cell><cell r="X669" t="str"><v>1920x1080</v></cell><cell r="Y669" t="str"><v>Learn More</v></cell><cell r="Z669" t="str"><v>Animated Banner</v></cell><cell r="AA669"><v>43355</v></cell><cell r="AB669" t="str"><v>USA_gaPMG_AZR_AZR_Q1_19_Direct-Social</v></cell><cell r="AC669"><v>21358715</v></cell><cell r="AD669"><v>720197</v></cell><cell r="AE669" t="str"><v>Linkedin</v></cell><cell r="AF669"><v>3654329</v></cell><cell r="AG669" t="str"><v>LINKEDIN»USA-Trial-ITD-Website Retargeting-AZR-AZR»1 x 1»SocialBan»VLA»ALL»CPA»RT»D»All»SS»NA»FreeAcctDeveloperLI-AnimatedGeneric-Ch1»PS7BVQ</v></cell><cell r="AH669"><v>226537493</v></cell><cell r="AI669" t="str"><v>AZR_FreeAcctDeveloperLI-AnimatedGeneric-Ch1_USA_1920x1080_VLA_Direct_EN_Trial_Standard_ANI_LEA_T1_1</v></cell><cell r="AJ669"><v>104595736</v></cell></row><row r="670"><cell r="D670" t="str"><v>43355226786140</v></cell><cell r="E670" t="str"><v>43355104592532PS7BVS</v></cell><cell r="F670" t="str"><v>DCM</v></cell></row><row r="670"><cell r="H670"><v>1</v></cell><cell r="I670" t="str"><v>Azure Direct</v></cell><cell r="J670" t="str"><v>Azure Direct</v></cell><cell r="K670" t="str"><v>September</v></cell><cell r="L670"><v>43358</v></cell><cell r="M670" t="str"><v>Tier 0</v></cell><cell r="N670" t="str"><v>North America</v></cell><cell r="O670" t="str"><v>United States</v></cell><cell r="P670" t="str"><v>Trial</v></cell><cell r="Q670" t="str"><v>Social</v></cell><cell r="R670" t="str"><v>Azure</v></cell><cell r="S670" t="str"><v>Apps & Infra</v></cell><cell r="T670" t="str"><v>Developers & ITI's</v></cell><cell r="U670" t="str"><v>USA-Trial-ITD-Website Retargeting-AZR-AZR</v></cell><cell r="V670" t="str"><v>Retargeting</v></cell><cell r="W670" t="str"><v>Video Link ad</v></cell><cell r="X670" t="str"><v>1920x1080</v></cell><cell r="Y670" t="str"><v>Learn More</v></cell><cell r="Z670" t="str"><v>Animated Banner</v></cell><cell r="AA670"><v>43355</v></cell><cell r="AB670" t="str"><v>USA_gaPMG_AZR_AZR_Q1_19_Direct-Social</v></cell><cell r="AC670"><v>21358715</v></cell><cell r="AD670"><v>720197</v></cell><cell r="AE670" t="str"><v>Linkedin</v></cell><cell r="AF670"><v>3654329</v></cell><cell r="AG670" t="str"><v>LINKEDIN»USA-Trial-ITD-Website Retargeting-AZR-AZR»1 x 1»SocialBan»VLA»ALL»CPA»RT»D»All»SS»NA»FreeAcctITProLI-AnimatedMigration-Ch3»PS7BVS</v></cell><cell r="AH670"><v>226786140</v></cell><cell r="AI670" t="str"><v>AZR_FreeAcctITProLI-AnimatedMigration-Ch3_USA_1920x1080_VLA_Direct_EN_Trial_Standard_ANI_LEA_T3_1</v></cell><cell r="AJ670"><v>104592532</v></cell></row><row r="671"><cell r="D671" t="str"><v>43355226536110</v></cell><cell r="E671" t="str"><v>43355104595727PS7BT0</v></cell><cell r="F671" t="str"><v>DCM</v></cell></row><row r="671"><cell r="H671"><v>1</v></cell><cell r="I671" t="str"><v>Azure Direct</v></cell><cell r="J671" t="str"><v>Azure Direct</v></cell><cell r="K671" t="str"><v>September</v></cell><cell r="L671"><v>43358</v></cell><cell r="M671" t="str"><v>Tier 0</v></cell><cell r="N671" t="str"><v>North America</v></cell><cell r="O671" t="str"><v>United States</v></cell><cell r="P671" t="str"><v>Trial</v></cell><cell r="Q671" t="str"><v>Social</v></cell><cell r="R671" t="str"><v>Azure</v></cell><cell r="S671" t="str"><v>Apps & Infra</v></cell><cell r="T671" t="str"><v>Developers & ITI's</v></cell><cell r="U671" t="str"><v>USA-Trial-ITD-Bing Retargeting LAL-AZR-AZR</v></cell><cell r="V671" t="str"><v>Retargeting</v></cell><cell r="W671" t="str"><v>Link Ad</v></cell><cell r="X671" t="str"><v>1200x627</v></cell><cell r="Y671" t="str"><v>Sign Up</v></cell><cell r="Z671" t="str"><v>Not Applicable</v></cell><cell r="AA671"><v>43355</v></cell><cell r="AB671" t="str"><v>USA_gaPMG_AZR_AZR_Q1_19_Direct-Social</v></cell><cell r="AC671"><v>21358715</v></cell><cell r="AD671"><v>720197</v></cell><cell r="AE671" t="str"><v>Linkedin</v></cell><cell r="AF671"><v>3654329</v></cell><cell r="AG671" t="str"><v>LINKEDIN»USA-Trial-ITD-Bing Retargeting LAL-AZR-AZR»1 x 1»SocialBan»LIA»ALL»CPA»RT»D»All»SS»NA»FreeAcctRetargetingOSSLI-Logos-ChG»PS7BT0</v></cell><cell r="AH671"><v>226536110</v></cell><cell r="AI671" t="str"><v>AZR_FreeAcctRetargetingOSSLI-Logos-ChG_USA_1200x627_LIA_Plat_English_Free Account_Standard_NA_SINU_T2_1</v></cell><cell r="AJ671"><v>104595727</v></cell></row><row r="672"><cell r="D672" t="str"><v>43356224639151</v></cell><cell r="E672" t="str"><v>43356103316832NowCTA</v></cell><cell r="F672" t="str"><v>DCM</v></cell></row><row r="672"><cell r="H672"><v>2</v></cell><cell r="I672" t="str"><v>Azure Direct</v></cell><cell r="J672" t="str"><v>Azure Direct</v></cell><cell r="K672" t="str"><v>September</v></cell><cell r="L672"><v>43358</v></cell><cell r="M672" t="str"><v>Tier 1</v></cell><cell r="N672" t="str"><v>APAC</v></cell><cell r="O672" t="str"><v>Australia</v></cell><cell r="P672" t="str"><v>Trial</v></cell><cell r="Q672" t="str"><v>Social</v></cell><cell r="R672" t="str"><v>Azure</v></cell><cell r="S672" t="str"><v>Apps & Infra</v></cell><cell r="T672" t="str"><v>Developers & ITI's</v></cell><cell r="U672" t="str"><v>Audience & Interest Targeting</v></cell><cell r="V672" t="str"><v>Audience Targeting</v></cell><cell r="W672" t="str"><v>Canvas Ad</v></cell><cell r="X672" t="str"><v>1080x162</v></cell><cell r="Y672" t="str"><v>Buy Now</v></cell><cell r="Z672" t="str"><v>Not Applicable</v></cell><cell r="AA672"><v>43356</v></cell><cell r="AB672" t="str"><v>AUS_gaPMG_AZR_AZR_Q1_19_Trial-Social</v></cell><cell r="AC672"><v>21358568</v></cell><cell r="AD672"><v>720191</v></cell><cell r="AE672" t="str"><v>Facebook</v></cell><cell r="AF672"><v>3654128</v></cell><cell r="AG672" t="str"><v>Facebook»Audience & Interest Targeting»1x1»Canvas»OTH»DT»DYN»AUT»W»NA»SS»NA»FBCTCcanvaspage-StartFreeCTA_FBCTCcanvaspage-BuyNowCTA</v></cell><cell r="AH672"><v>224639151</v></cell><cell r="AI672" t="str"><v>AzurePlatform_FBCTCcanvaspage-BuyNowCTA-Img3_AUS_1080x162_SOC_Plat_English_NA_Standard_NA_BN_T3_1</v></cell><cell r="AJ672"><v>103316832</v></cell></row><row r="673"><cell r="D673" t="str"><v>43356224639151</v></cell><cell r="E673" t="str"><v>43356103316829NowCTA</v></cell><cell r="F673" t="str"><v>DCM</v></cell></row><row r="673"><cell r="H673"><v>0</v></cell><cell r="I673" t="str"><v>Azure Direct</v></cell><cell r="J673" t="str"><v>Azure Direct</v></cell><cell r="K673" t="str"><v>September</v></cell><cell r="L673"><v>43358</v></cell><cell r="M673" t="str"><v>Tier 1</v></cell><cell r="N673" t="str"><v>APAC</v></cell><cell r="O673" t="str"><v>Australia</v></cell><cell r="P673" t="str"><v>Trial</v></cell><cell r="Q673" t="str"><v>Social</v></cell><cell r="R673" t="str"><v>Azure</v></cell><cell r="S673" t="str"><v>Apps & Infra</v></cell><cell r="T673" t="str"><v>Developers & ITI's</v></cell><cell r="U673" t="str"><v>Audience & Interest Targeting</v></cell><cell r="V673" t="str"><v>Audience Targeting</v></cell><cell r="W673" t="str"><v>Canvas Ad</v></cell><cell r="X673" t="str"><v>1080x143</v></cell><cell r="Y673" t="str"><v>Not Applicable </v></cell><cell r="Z673" t="str"><v>Not Applicable</v></cell><cell r="AA673"><v>43356</v></cell><cell r="AB673" t="str"><v>AUS_gaPMG_AZR_AZR_Q1_19_Trial-Social</v></cell><cell r="AC673"><v>21358568</v></cell><cell r="AD673"><v>720191</v></cell><cell r="AE673" t="str"><v>Facebook</v></cell><cell r="AF673"><v>3654128</v></cell><cell r="AG673" t="str"><v>Facebook»Audience & Interest Targeting»1x1»Canvas»OTH»DT»DYN»AUT»W»NA»SS»NA»FBCTCcanvaspage-StartFreeCTA_FBCTCcanvaspage-BuyNowCTA</v></cell><cell r="AH673"><v>224639151</v></cell><cell r="AI673" t="str"><v>AzurePlatform_FBCTCcanvaspage-StartFreeCTA-Img2_AUS_1080x143 _SOC_Plat_English_NA_Standard_NA_NA_T2_1</v></cell><cell r="AJ673"><v>103316829</v></cell></row><row r="674"><cell r="D674" t="str"><v>43356224160783</v></cell><cell r="E674" t="str"><v>43356103051614hs ChE</v></cell><cell r="F674" t="str"><v>DCM</v></cell></row><row r="674"><cell r="H674"><v>4</v></cell><cell r="I674" t="str"><v>Azure Direct</v></cell><cell r="J674" t="str"><v>Azure Direct</v></cell><cell r="K674" t="str"><v>September</v></cell><cell r="L674"><v>43358</v></cell><cell r="M674" t="str"><v>Tier 1</v></cell><cell r="N674" t="str"><v>APAC</v></cell><cell r="O674" t="str"><v>Australia</v></cell><cell r="P674" t="str"><v>Trial</v></cell><cell r="Q674" t="str"><v>Social</v></cell><cell r="R674" t="str"><v>Azure</v></cell><cell r="S674" t="str"><v>Apps & Infra</v></cell><cell r="T674" t="str"><v>Developers & ITI's</v></cell><cell r="U674" t="str"><v>Audience & Interest Targeting</v></cell><cell r="V674" t="str"><v>Audience Targeting</v></cell><cell r="W674" t="str"><v>Link Ad</v></cell><cell r="X674" t="str"><v>1200x628</v></cell></row><row r="674"><cell r="Z674" t="str"><v>Not Applicable</v></cell><cell r="AA674"><v>43356</v></cell><cell r="AB674" t="str"><v>AUS_gaPMG_AZR_AZR_Q1_19_Trial-Social</v></cell><cell r="AC674"><v>21358568</v></cell><cell r="AD674"><v>720191</v></cell><cell r="AE674" t="str"><v>Facebook</v></cell><cell r="AF674"><v>3654128</v></cell><cell r="AG674" t="str"><v>Facebook»Audience & Interest Targeting»1x1»TextLink»OTH»DT»DYN»AUT»W»NA»SS»NA»Free Account Refresh- 12 months ChE</v></cell><cell r="AH674"><v>224160783</v></cell><cell r="AI674" t="str"><v>AzurePlatform_FreeAcctAppsFACEBOOK12monthsChE_AUS_1200x628_SOC_PLAT_EN_Trial_Standard_NA_SNU_T5_1</v></cell><cell r="AJ674"><v>103051614</v></cell></row><row r="675"><cell r="D675" t="str"><v>43356224160780</v></cell><cell r="E675" t="str"><v>43356103186904it ChD</v></cell><cell r="F675" t="str"><v>DCM</v></cell></row><row r="675"><cell r="H675"><v>1</v></cell><cell r="I675" t="str"><v>Azure Direct</v></cell><cell r="J675" t="str"><v>Azure Direct</v></cell><cell r="K675" t="str"><v>September</v></cell><cell r="L675"><v>43358</v></cell><cell r="M675" t="str"><v>Tier 1</v></cell><cell r="N675" t="str"><v>APAC</v></cell><cell r="O675" t="str"><v>Australia</v></cell><cell r="P675" t="str"><v>Trial</v></cell><cell r="Q675" t="str"><v>Social</v></cell><cell r="R675" t="str"><v>Azure</v></cell><cell r="S675" t="str"><v>Apps & Infra</v></cell><cell r="T675" t="str"><v>Developers & ITI's</v></cell><cell r="U675" t="str"><v>Audience & Interest Targeting</v></cell><cell r="V675" t="str"><v>Audience Targeting</v></cell><cell r="W675" t="str"><v>Link Ad</v></cell><cell r="X675" t="str"><v>1200x628</v></cell></row><row r="675"><cell r="Z675" t="str"><v>Not Applicable</v></cell><cell r="AA675"><v>43356</v></cell><cell r="AB675" t="str"><v>AUS_gaPMG_AZR_AZR_Q1_19_Trial-Social</v></cell><cell r="AC675"><v>21358568</v></cell><cell r="AD675"><v>720191</v></cell><cell r="AE675" t="str"><v>Facebook</v></cell><cell r="AF675"><v>3654128</v></cell><cell r="AG675" t="str"><v>Facebook»Audience & Interest Targeting»1x1»TextLink»OTH»DT»DYN»AUT»W»NA»SS»NA»Free Account Refresh- 200 Credit ChD</v></cell><cell r="AH675"><v>224160780</v></cell><cell r="AI675" t="str"><v>AzurePlatform_FreeAcctAppsFACEBOOK200CreditChD_AUS_1200x628_SOC_PLAT_EN_Trial_Standard_NA_SNU_T4_1</v></cell><cell r="AJ675"><v>103186904</v></cell></row><row r="676"><cell r="D676" t="str"><v>43356224160777</v></cell><cell r="E676" t="str"><v>43356103048479ce ChB</v></cell><cell r="F676" t="str"><v>DCM</v></cell></row><row r="676"><cell r="H676"><v>3</v></cell><cell r="I676" t="str"><v>Azure Direct</v></cell><cell r="J676" t="str"><v>Azure Direct</v></cell><cell r="K676" t="str"><v>September</v></cell><cell r="L676"><v>43358</v></cell><cell r="M676" t="str"><v>Tier 1</v></cell><cell r="N676" t="str"><v>APAC</v></cell><cell r="O676" t="str"><v>Australia</v></cell><cell r="P676" t="str"><v>Trial</v></cell><cell r="Q676" t="str"><v>Social</v></cell><cell r="R676" t="str"><v>Azure</v></cell><cell r="S676" t="str"><v>Apps & Infra</v></cell><cell r="T676" t="str"><v>Developers & ITI's</v></cell><cell r="U676" t="str"><v>Audience & Interest Targeting</v></cell><cell r="V676" t="str"><v>Audience Targeting</v></cell><cell r="W676" t="str"><v>Link Ad</v></cell><cell r="X676" t="str"><v>1200x628</v></cell></row><row r="676"><cell r="Z676" t="str"><v>Not Applicable</v></cell><cell r="AA676"><v>43356</v></cell><cell r="AB676" t="str"><v>AUS_gaPMG_AZR_AZR_Q1_19_Trial-Social</v></cell><cell r="AC676"><v>21358568</v></cell><cell r="AD676"><v>720191</v></cell><cell r="AE676" t="str"><v>Facebook</v></cell><cell r="AF676"><v>3654128</v></cell><cell r="AG676" t="str"><v>Facebook»Audience & Interest Targeting»1x1»TextLink»OTH»DT»DYN»AUT»W»NA»SS»NA»Free Account Refresh- Device ChB</v></cell><cell r="AH676"><v>224160777</v></cell><cell r="AI676" t="str"><v>AzurePlatform_FreeAcctAppsFACEBOOKDeviceChB_AUS_1200x628_SOC_PLAT_EN_Trial_Standard_NA_SNU_T2_1</v></cell><cell r="AJ676"><v>103048479</v></cell></row><row r="677"><cell r="D677" t="str"><v>43356224160774</v></cell><cell r="E677" t="str"><v>43356103186910on ChC</v></cell><cell r="F677" t="str"><v>DCM</v></cell></row><row r="677"><cell r="H677"><v>6</v></cell><cell r="I677" t="str"><v>Azure Direct</v></cell><cell r="J677" t="str"><v>Azure Direct</v></cell><cell r="K677" t="str"><v>September</v></cell><cell r="L677"><v>43358</v></cell><cell r="M677" t="str"><v>Tier 1</v></cell><cell r="N677" t="str"><v>APAC</v></cell><cell r="O677" t="str"><v>Australia</v></cell><cell r="P677" t="str"><v>Trial</v></cell><cell r="Q677" t="str"><v>Social</v></cell><cell r="R677" t="str"><v>Azure</v></cell><cell r="S677" t="str"><v>Apps & Infra</v></cell><cell r="T677" t="str"><v>Developers & ITI's</v></cell><cell r="U677" t="str"><v>Audience & Interest Targeting</v></cell><cell r="V677" t="str"><v>Audience Targeting</v></cell><cell r="W677" t="str"><v>Link Ad</v></cell><cell r="X677" t="str"><v>1200x628</v></cell></row><row r="677"><cell r="Z677" t="str"><v>Not Applicable</v></cell><cell r="AA677"><v>43356</v></cell><cell r="AB677" t="str"><v>AUS_gaPMG_AZR_AZR_Q1_19_Trial-Social</v></cell><cell r="AC677"><v>21358568</v></cell><cell r="AD677"><v>720191</v></cell><cell r="AE677" t="str"><v>Facebook</v></cell><cell r="AF677"><v>3654128</v></cell><cell r="AG677" t="str"><v>Facebook»Audience & Interest Targeting»1x1»TextLink»OTH»DT»DYN»AUT»W»NA»SS»NA»Free Account Refresh- Illustration ChC</v></cell><cell r="AH677"><v>224160774</v></cell><cell r="AI677" t="str"><v>AzurePlatform_FreeAcctAppsFACEBOOKIllustrationChC_AUS_1200x628_SOC_PLAT_EN_Trial_Standard_NA_SNU_T3_1</v></cell><cell r="AJ677"><v>103186910</v></cell></row><row r="678"><cell r="D678" t="str"><v>43356224160771</v></cell><cell r="E678" t="str"><v>43356103048488le ChA</v></cell><cell r="F678" t="str"><v>DCM</v></cell></row><row r="678"><cell r="H678"><v>1</v></cell><cell r="I678" t="str"><v>Azure Direct</v></cell><cell r="J678" t="str"><v>Azure Direct</v></cell><cell r="K678" t="str"><v>September</v></cell><cell r="L678"><v>43358</v></cell><cell r="M678" t="str"><v>Tier 1</v></cell><cell r="N678" t="str"><v>APAC</v></cell><cell r="O678" t="str"><v>Australia</v></cell><cell r="P678" t="str"><v>Trial</v></cell><cell r="Q678" t="str"><v>Social</v></cell><cell r="R678" t="str"><v>Azure</v></cell><cell r="S678" t="str"><v>Apps & Infra</v></cell><cell r="T678" t="str"><v>Developers & ITI's</v></cell><cell r="U678" t="str"><v>Audience & Interest Targeting</v></cell><cell r="V678" t="str"><v>Audience Targeting</v></cell><cell r="W678" t="str"><v>Link Ad</v></cell><cell r="X678" t="str"><v>1200x628</v></cell></row><row r="678"><cell r="Z678" t="str"><v>Not Applicable</v></cell><cell r="AA678"><v>43356</v></cell><cell r="AB678" t="str"><v>AUS_gaPMG_AZR_AZR_Q1_19_Trial-Social</v></cell><cell r="AC678"><v>21358568</v></cell><cell r="AD678"><v>720191</v></cell><cell r="AE678" t="str"><v>Facebook</v></cell><cell r="AF678"><v>3654128</v></cell><cell r="AG678" t="str"><v>Facebook»Audience & Interest Targeting»1x1»TextLink»OTH»DT»DYN»AUT»W»NA»SS»NA»Free Account Refresh- Lifestyle ChA</v></cell><cell r="AH678"><v>224160771</v></cell><cell r="AI678" t="str"><v>AzurePlatform_FreeAcctAppsFACEBOOKLifestyleChA_AUS_1200x628_SOC_PLAT_EN_Trial_Standard_NA_SNU_T1_1</v></cell><cell r="AJ678"><v>103048488</v></cell></row><row r="679"><cell r="D679" t="str"><v>43356224160735</v></cell><cell r="E679" t="str"><v>43356103048479ce ChB</v></cell><cell r="F679" t="str"><v>DCM</v></cell></row><row r="679"><cell r="H679"><v>12</v></cell><cell r="I679" t="str"><v>Azure Direct</v></cell><cell r="J679" t="str"><v>Azure Direct</v></cell><cell r="K679" t="str"><v>September</v></cell><cell r="L679"><v>43358</v></cell><cell r="M679" t="str"><v>Tier 1</v></cell><cell r="N679" t="str"><v>APAC</v></cell><cell r="O679" t="str"><v>Australia</v></cell><cell r="P679" t="str"><v>Trial</v></cell><cell r="Q679" t="str"><v>Social</v></cell><cell r="R679" t="str"><v>Azure</v></cell><cell r="S679" t="str"><v>Apps & Infra</v></cell><cell r="T679" t="str"><v>Developers & ITI's</v></cell><cell r="U679" t="str"><v>Retargeting</v></cell><cell r="V679" t="str"><v>Retargeting</v></cell><cell r="W679" t="str"><v>Link Ad</v></cell><cell r="X679" t="str"><v>1200x628</v></cell></row><row r="679"><cell r="Z679" t="str"><v>Not Applicable</v></cell><cell r="AA679"><v>43356</v></cell><cell r="AB679" t="str"><v>AUS_gaPMG_AZR_AZR_Q1_19_Trial-Social</v></cell><cell r="AC679"><v>21358568</v></cell><cell r="AD679"><v>720191</v></cell><cell r="AE679" t="str"><v>Facebook</v></cell><cell r="AF679"><v>3654128</v></cell><cell r="AG679" t="str"><v>Facebook»Retargeting»1x1»TextLink»SOC»DT»DYN»RT»W»NA»SS»NA»Free Account Refresh- Device ChB</v></cell><cell r="AH679"><v>224160735</v></cell><cell r="AI679" t="str"><v>AzurePlatform_FreeAcctAppsFACEBOOKDeviceChB_AUS_1200x628_SOC_PLAT_EN_Trial_Standard_NA_SNU_T2_1</v></cell><cell r="AJ679"><v>103048479</v></cell></row><row r="680"><cell r="D680" t="str"><v>43356224160732</v></cell><cell r="E680" t="str"><v>43356103186910on ChC</v></cell><cell r="F680" t="str"><v>DCM</v></cell></row><row r="680"><cell r="H680"><v>1</v></cell><cell r="I680" t="str"><v>Azure Direct</v></cell><cell r="J680" t="str"><v>Azure Direct</v></cell><cell r="K680" t="str"><v>September</v></cell><cell r="L680"><v>43358</v></cell><cell r="M680" t="str"><v>Tier 1</v></cell><cell r="N680" t="str"><v>APAC</v></cell><cell r="O680" t="str"><v>Australia</v></cell><cell r="P680" t="str"><v>Trial</v></cell><cell r="Q680" t="str"><v>Social</v></cell><cell r="R680" t="str"><v>Azure</v></cell><cell r="S680" t="str"><v>Apps & Infra</v></cell><cell r="T680" t="str"><v>Developers & ITI's</v></cell><cell r="U680" t="str"><v>Retargeting</v></cell><cell r="V680" t="str"><v>Retargeting</v></cell><cell r="W680" t="str"><v>Link Ad</v></cell><cell r="X680" t="str"><v>1200x628</v></cell></row><row r="680"><cell r="Z680" t="str"><v>Not Applicable</v></cell><cell r="AA680"><v>43356</v></cell><cell r="AB680" t="str"><v>AUS_gaPMG_AZR_AZR_Q1_19_Trial-Social</v></cell><cell r="AC680"><v>21358568</v></cell><cell r="AD680"><v>720191</v></cell><cell r="AE680" t="str"><v>Facebook</v></cell><cell r="AF680"><v>3654128</v></cell><cell r="AG680" t="str"><v>Facebook»Retargeting»1x1»TextLink»SOC»DT»DYN»RT»W»NA»SS»NA»Free Account Refresh- Illustration ChC</v></cell><cell r="AH680"><v>224160732</v></cell><cell r="AI680" t="str"><v>AzurePlatform_FreeAcctAppsFACEBOOKIllustrationChC_AUS_1200x628_SOC_PLAT_EN_Trial_Standard_NA_SNU_T3_1</v></cell><cell r="AJ680"><v>103186910</v></cell></row><row r="681"><cell r="D681" t="str"><v>43356224160729</v></cell><cell r="E681" t="str"><v>43356103048488le ChA</v></cell><cell r="F681" t="str"><v>DCM</v></cell></row><row r="681"><cell r="H681"><v>2</v></cell><cell r="I681" t="str"><v>Azure Direct</v></cell><cell r="J681" t="str"><v>Azure Direct</v></cell><cell r="K681" t="str"><v>September</v></cell><cell r="L681"><v>43358</v></cell><cell r="M681" t="str"><v>Tier 1</v></cell><cell r="N681" t="str"><v>APAC</v></cell><cell r="O681" t="str"><v>Australia</v></cell><cell r="P681" t="str"><v>Trial</v></cell><cell r="Q681" t="str"><v>Social</v></cell><cell r="R681" t="str"><v>Azure</v></cell><cell r="S681" t="str"><v>Apps & Infra</v></cell><cell r="T681" t="str"><v>Developers & ITI's</v></cell><cell r="U681" t="str"><v>Retargeting</v></cell><cell r="V681" t="str"><v>Retargeting</v></cell><cell r="W681" t="str"><v>Link Ad</v></cell><cell r="X681" t="str"><v>1200x628</v></cell></row><row r="681"><cell r="Z681" t="str"><v>Not Applicable</v></cell><cell r="AA681"><v>43356</v></cell><cell r="AB681" t="str"><v>AUS_gaPMG_AZR_AZR_Q1_19_Trial-Social</v></cell><cell r="AC681"><v>21358568</v></cell><cell r="AD681"><v>720191</v></cell><cell r="AE681" t="str"><v>Facebook</v></cell><cell r="AF681"><v>3654128</v></cell><cell r="AG681" t="str"><v>Facebook»Retargeting»1x1»TextLink»SOC»DT»DYN»RT»W»NA»SS»NA»Free Account Refresh- Lifestyle ChA</v></cell><cell r="AH681"><v>224160729</v></cell><cell r="AI681" t="str"><v>AzurePlatform_FreeAcctAppsFACEBOOKLifestyleChA_AUS_1200x628_SOC_PLAT_EN_Trial_Standard_NA_SNU_T1_1</v></cell><cell r="AJ681"><v>103048488</v></cell></row><row r="682"><cell r="D682" t="str"><v>43356223684451</v></cell><cell r="E682" t="str"><v>433561029018821 - EN</v></cell><cell r="F682" t="str"><v>DCM</v></cell></row><row r="682"><cell r="H682"><v>0</v></cell><cell r="I682" t="str"><v>Azure Direct</v></cell><cell r="J682" t="str"><v>Azure Direct</v></cell><cell r="K682" t="str"><v>September</v></cell><cell r="L682"><v>43358</v></cell><cell r="M682" t="str"><v>Tier 1</v></cell><cell r="N682" t="str"><v>North America</v></cell><cell r="O682" t="str"><v>Canada</v></cell><cell r="P682" t="str"><v>Trial</v></cell><cell r="Q682" t="str"><v>Social</v></cell><cell r="R682" t="str"><v>Azure</v></cell><cell r="S682" t="str"><v>Apps & Infra</v></cell><cell r="T682" t="str"><v>Developers & ITI's</v></cell><cell r="U682" t="str"><v>AZR</v></cell><cell r="V682" t="str"><v>Audience Targeting</v></cell><cell r="W682" t="str"><v>Engagement Video</v></cell><cell r="X682" t="str"><v>10s</v></cell><cell r="Y682" t="str"><v>Try Azure Free</v></cell><cell r="Z682" t="str"><v>Standard videos</v></cell><cell r="AA682"><v>43356</v></cell><cell r="AB682" t="str"><v>CAN_gaPMG_AZR_AZR_Q1_19_Trial-Social</v></cell><cell r="AC682"><v>21337220</v></cell><cell r="AD682"><v>720192</v></cell><cell r="AE682" t="str"><v>Facebook</v></cell><cell r="AF682"><v>3654128</v></cell><cell r="AG682" t="str"><v>Facebook»AZR»1x1»NA»EGV»ALL»DYN»AUT»D»All»SS»NA»Free Acc CTC - T1 - EN</v></cell><cell r="AH682"><v>223684451</v></cell><cell r="AI682" t="str"><v>AzurePlatform_FBCTCBasicMotion_CAN_10s_ISV_PLAT_English_Trial_Standard_STAN_TN_T1_1</v></cell><cell r="AJ682"><v>102901882</v></cell></row><row r="683"><cell r="D683" t="str"><v>43356223691840</v></cell><cell r="E683" t="str"><v>433561029029502 - EN</v></cell><cell r="F683" t="str"><v>DCM</v></cell></row><row r="683"><cell r="H683"><v>0</v></cell><cell r="I683" t="str"><v>Azure Direct</v></cell><cell r="J683" t="str"><v>Azure Direct</v></cell><cell r="K683" t="str"><v>September</v></cell><cell r="L683"><v>43358</v></cell><cell r="M683" t="str"><v>Tier 1</v></cell><cell r="N683" t="str"><v>North America</v></cell><cell r="O683" t="str"><v>Canada</v></cell><cell r="P683" t="str"><v>Trial</v></cell><cell r="Q683" t="str"><v>Social</v></cell><cell r="R683" t="str"><v>Azure</v></cell><cell r="S683" t="str"><v>Apps & Infra</v></cell><cell r="T683" t="str"><v>Developers & ITI's</v></cell><cell r="U683" t="str"><v>AZR</v></cell><cell r="V683" t="str"><v>Audience Targeting</v></cell><cell r="W683" t="str"><v>Engagement Video</v></cell><cell r="X683" t="str"><v>12s</v></cell><cell r="Y683" t="str"><v>Try Azure Free</v></cell><cell r="Z683" t="str"><v>Standard videos</v></cell><cell r="AA683"><v>43356</v></cell><cell r="AB683" t="str"><v>CAN_gaPMG_AZR_AZR_Q1_19_Trial-Social</v></cell><cell r="AC683"><v>21337220</v></cell><cell r="AD683"><v>720192</v></cell><cell r="AE683" t="str"><v>Facebook</v></cell><cell r="AF683"><v>3654128</v></cell><cell r="AG683" t="str"><v>Facebook»AZR»1x1»NA»EGV»ALL»DYN»AUT»D»All»SS»NA»Free Acc CTC - T2 - EN</v></cell><cell r="AH683"><v>223691840</v></cell><cell r="AI683" t="str"><v>AzurePlatform_FBCTCBrandinMotion_CAN_12s_ISV_PLAT_English_Trial_Standard_STAN_TN_T2_1</v></cell><cell r="AJ683"><v>102902950</v></cell></row><row r="684"><cell r="D684" t="str"><v>43356223691798</v></cell><cell r="E684" t="str"><v>433561029163472 - FR</v></cell><cell r="F684" t="str"><v>DCM</v></cell></row><row r="684"><cell r="H684"><v>0</v></cell><cell r="I684" t="str"><v>Azure Direct</v></cell><cell r="J684" t="str"><v>Azure Direct</v></cell><cell r="K684" t="str"><v>September</v></cell><cell r="L684"><v>43358</v></cell><cell r="M684" t="str"><v>Tier 1</v></cell><cell r="N684" t="str"><v>North America</v></cell><cell r="O684" t="str"><v>Canada</v></cell><cell r="P684" t="str"><v>Trial</v></cell><cell r="Q684" t="str"><v>Social</v></cell><cell r="R684" t="str"><v>Azure</v></cell><cell r="S684" t="str"><v>Apps & Infra</v></cell><cell r="T684" t="str"><v>Developers & ITI's</v></cell><cell r="U684" t="str"><v>AZR</v></cell><cell r="V684" t="str"><v>Audience Targeting</v></cell><cell r="W684" t="str"><v>Engagement Video</v></cell><cell r="X684" t="str"><v>12s</v></cell><cell r="Y684" t="str"><v>Try Azure Free</v></cell><cell r="Z684" t="str"><v>Standard videos</v></cell><cell r="AA684"><v>43356</v></cell><cell r="AB684" t="str"><v>CAN_gaPMG_AZR_AZR_Q1_19_Trial-Social</v></cell><cell r="AC684"><v>21337220</v></cell><cell r="AD684"><v>720192</v></cell><cell r="AE684" t="str"><v>Facebook</v></cell><cell r="AF684"><v>3654128</v></cell><cell r="AG684" t="str"><v>Facebook»AZR»1x1»NA»EGV»ALL»DYN»AUT»D»All»SS»NA»Free Acc CTC - T2 - FR</v></cell><cell r="AH684"><v>223691798</v></cell><cell r="AI684" t="str"><v>AzurePlatform_FBCTCBrandinMotion_CAN_12s_ISV_PLAT_FR_Trial_Standard_STAN_TN_T2_1</v></cell><cell r="AJ684"><v>102916347</v></cell></row><row r="685"><cell r="D685" t="str"><v>43356223691837</v></cell><cell r="E685" t="str"><v>433561030533144 - EN</v></cell><cell r="F685" t="str"><v>DCM</v></cell></row><row r="685"><cell r="H685"><v>0</v></cell><cell r="I685" t="str"><v>Azure Direct</v></cell><cell r="J685" t="str"><v>Azure Direct</v></cell><cell r="K685" t="str"><v>September</v></cell><cell r="L685"><v>43358</v></cell><cell r="M685" t="str"><v>Tier 1</v></cell><cell r="N685" t="str"><v>North America</v></cell><cell r="O685" t="str"><v>Canada</v></cell><cell r="P685" t="str"><v>Trial</v></cell><cell r="Q685" t="str"><v>Social</v></cell><cell r="R685" t="str"><v>Azure</v></cell><cell r="S685" t="str"><v>Apps & Infra</v></cell><cell r="T685" t="str"><v>Developers & ITI's</v></cell><cell r="U685" t="str"><v>AZR</v></cell><cell r="V685" t="str"><v>Audience Targeting</v></cell><cell r="W685" t="str"><v>Engagement Video</v></cell><cell r="X685" t="str"><v>14s</v></cell><cell r="Y685" t="str"><v>Try Azure Free</v></cell><cell r="Z685" t="str"><v>Standard videos</v></cell><cell r="AA685"><v>43356</v></cell><cell r="AB685" t="str"><v>CAN_gaPMG_AZR_AZR_Q1_19_Trial-Social</v></cell><cell r="AC685"><v>21337220</v></cell><cell r="AD685"><v>720192</v></cell><cell r="AE685" t="str"><v>Facebook</v></cell><cell r="AF685"><v>3654128</v></cell><cell r="AG685" t="str"><v>Facebook»AZR»1x1»NA»EGV»ALL»DYN»AUT»D»All»SS»NA»Free Acc CTC - T4 - EN</v></cell><cell r="AH685"><v>223691837</v></cell><cell r="AI685" t="str"><v>AzurePlatform_FBCTCBenefit2inMotion_CAN_14s_ISV_PLAT_English_Trial_Standard_STAN_TN_T4_1</v></cell><cell r="AJ685"><v>103053314</v></cell></row><row r="686"><cell r="D686" t="str"><v>43356227619001</v></cell><cell r="E686" t="str"><v>43356105130125w - EN</v></cell><cell r="F686" t="str"><v>DCM</v></cell></row><row r="686"><cell r="H686"><v>0</v></cell><cell r="I686" t="str"><v>Azure Direct</v></cell><cell r="J686" t="str"><v>Azure Direct</v></cell><cell r="K686" t="str"><v>September</v></cell><cell r="L686"><v>43358</v></cell><cell r="M686" t="str"><v>Tier 1</v></cell><cell r="N686" t="str"><v>North America</v></cell><cell r="O686" t="str"><v>Canada</v></cell><cell r="P686" t="str"><v>Trial</v></cell><cell r="Q686" t="str"><v>Social</v></cell><cell r="R686" t="str"><v>Azure</v></cell><cell r="S686" t="str"><v>Apps & Infra</v></cell><cell r="T686" t="str"><v>Developers & ITI's</v></cell><cell r="U686" t="str"><v>AZR</v></cell><cell r="V686" t="str"><v>Audience Targeting</v></cell><cell r="W686" t="str"><v>Canvas Ad</v></cell><cell r="X686" t="str"><v>1080x1080</v></cell><cell r="Y686" t="str"><v>Free Trial</v></cell><cell r="Z686" t="str"><v>Not Applicable</v></cell><cell r="AA686"><v>43356</v></cell><cell r="AB686" t="str"><v>CAN_gaPMG_AZR_AZR_Q1_19_Trial-Social</v></cell><cell r="AC686"><v>21337220</v></cell><cell r="AD686"><v>720192</v></cell><cell r="AE686" t="str"><v>Facebook</v></cell><cell r="AF686"><v>3654128</v></cell><cell r="AG686" t="str"><v>Facebook»AZR»1x1»NA»NA»ALL»DYN»AUT»D»All»SS»NA»Free Account Create to Convert FB - Canvas - Benefit - Buy Now - EN</v></cell><cell r="AH686"><v>227619001</v></cell><cell r="AI686" t="str"><v>AzurePlatform_FBCTCBenefit2inMotion_CAN_1080x1080_SOC_14s_ISV_English_Standard_NA_FTR_T4_1</v></cell><cell r="AJ686"><v>105130125</v></cell></row><row r="687"><cell r="D687" t="str"><v>43356223691786</v></cell><cell r="E687" t="str"><v>433561030587201 - FR</v></cell><cell r="F687" t="str"><v>DCM</v></cell></row><row r="687"><cell r="H687"><v>1</v></cell><cell r="I687" t="str"><v>Azure Direct</v></cell><cell r="J687" t="str"><v>Azure Direct</v></cell><cell r="K687" t="str"><v>September</v></cell><cell r="L687"><v>43358</v></cell><cell r="M687" t="str"><v>Tier 1</v></cell><cell r="N687" t="str"><v>North America</v></cell><cell r="O687" t="str"><v>Canada</v></cell><cell r="P687" t="str"><v>Trial</v></cell><cell r="Q687" t="str"><v>Social</v></cell><cell r="R687" t="str"><v>Azure</v></cell><cell r="S687" t="str"><v>Apps & Infra</v></cell><cell r="T687" t="str"><v>Developers & ITI's</v></cell><cell r="U687" t="str"><v>AZR</v></cell><cell r="V687" t="str"><v>Retargeting</v></cell><cell r="W687" t="str"><v>NotApplicable</v></cell><cell r="X687" t="str"><v>1200x628</v></cell></row><row r="687"><cell r="Z687" t="str"><v>Not Applicable</v></cell><cell r="AA687"><v>43356</v></cell><cell r="AB687" t="str"><v>CAN_gaPMG_AZR_AZR_Q1_19_Trial-Social</v></cell><cell r="AC687"><v>21337220</v></cell><cell r="AD687"><v>720192</v></cell><cell r="AE687" t="str"><v>Facebook</v></cell><cell r="AF687"><v>3654128</v></cell><cell r="AG687" t="str"><v>Facebook»AZR»1x1»SocialBan»NA»ALL»DYN»RT»D»All»SS»NA» Free Account Retargeting OSS - T1 - FR</v></cell><cell r="AH687"><v>223691786</v></cell><cell r="AI687" t="str"><v>AzurePlatform_FreeAcctRetargetingOSSFB-Text-ChF_CAN_1200x628_SOC_Plat_FR_Free Account_Standard_NA_SU_T1_1</v></cell><cell r="AJ687"><v>103058720</v></cell></row><row r="688"><cell r="D688" t="str"><v>43356223691831</v></cell><cell r="E688" t="str"><v>433561029138002 - EN</v></cell><cell r="F688" t="str"><v>DCM</v></cell></row><row r="688"><cell r="H688"><v>2</v></cell><cell r="I688" t="str"><v>Azure Direct</v></cell><cell r="J688" t="str"><v>Azure Direct</v></cell><cell r="K688" t="str"><v>September</v></cell><cell r="L688"><v>43358</v></cell><cell r="M688" t="str"><v>Tier 1</v></cell><cell r="N688" t="str"><v>North America</v></cell><cell r="O688" t="str"><v>Canada</v></cell><cell r="P688" t="str"><v>Trial</v></cell><cell r="Q688" t="str"><v>Social</v></cell><cell r="R688" t="str"><v>Azure</v></cell><cell r="S688" t="str"><v>Apps & Infra</v></cell><cell r="T688" t="str"><v>Developers & ITI's</v></cell><cell r="U688" t="str"><v>AZR</v></cell><cell r="V688" t="str"><v>Retargeting</v></cell><cell r="W688" t="str"><v>NotApplicable</v></cell><cell r="X688" t="str"><v>1200x628</v></cell></row><row r="688"><cell r="Z688" t="str"><v>Not Applicable</v></cell><cell r="AA688"><v>43356</v></cell><cell r="AB688" t="str"><v>CAN_gaPMG_AZR_AZR_Q1_19_Trial-Social</v></cell><cell r="AC688"><v>21337220</v></cell><cell r="AD688"><v>720192</v></cell><cell r="AE688" t="str"><v>Facebook</v></cell><cell r="AF688"><v>3654128</v></cell><cell r="AG688" t="str"><v>Facebook»AZR»1x1»SocialBan»NA»ALL»DYN»RT»D»All»SS»NA» Free Account Retargeting OSS - T2 - EN</v></cell><cell r="AH688"><v>223691831</v></cell><cell r="AI688" t="str"><v>AzurePlatform_FreeAcctRetargetingOSSFB-Logos-ChG_CAN_1200x628_SOC_Plat_EN_Free Account_Standard_NA_SU_T2_1</v></cell><cell r="AJ688"><v>102913800</v></cell></row><row r="689"><cell r="D689" t="str"><v>43356223691789</v></cell><cell r="E689" t="str"><v>433561029006912 - FR</v></cell><cell r="F689" t="str"><v>DCM</v></cell></row><row r="689"><cell r="H689"><v>3</v></cell><cell r="I689" t="str"><v>Azure Direct</v></cell><cell r="J689" t="str"><v>Azure Direct</v></cell><cell r="K689" t="str"><v>September</v></cell><cell r="L689"><v>43358</v></cell><cell r="M689" t="str"><v>Tier 1</v></cell><cell r="N689" t="str"><v>North America</v></cell><cell r="O689" t="str"><v>Canada</v></cell><cell r="P689" t="str"><v>Trial</v></cell><cell r="Q689" t="str"><v>Social</v></cell><cell r="R689" t="str"><v>Azure</v></cell><cell r="S689" t="str"><v>Apps & Infra</v></cell><cell r="T689" t="str"><v>Developers & ITI's</v></cell><cell r="U689" t="str"><v>AZR</v></cell><cell r="V689" t="str"><v>Retargeting</v></cell><cell r="W689" t="str"><v>NotApplicable</v></cell><cell r="X689" t="str"><v>1200x628</v></cell></row><row r="689"><cell r="Z689" t="str"><v>Not Applicable</v></cell><cell r="AA689"><v>43356</v></cell><cell r="AB689" t="str"><v>CAN_gaPMG_AZR_AZR_Q1_19_Trial-Social</v></cell><cell r="AC689"><v>21337220</v></cell><cell r="AD689"><v>720192</v></cell><cell r="AE689" t="str"><v>Facebook</v></cell><cell r="AF689"><v>3654128</v></cell><cell r="AG689" t="str"><v>Facebook»AZR»1x1»SocialBan»NA»ALL»DYN»RT»D»All»SS»NA» Free Account Retargeting OSS - T2 - FR</v></cell><cell r="AH689"><v>223691789</v></cell><cell r="AI689" t="str"><v>AzurePlatform_FreeAcctRetargetingOSSFB-Logos-ChG_CAN_1200x628_SOC_Plat_FR_Free Account_Standard_NA_SU_T2_1</v></cell><cell r="AJ689"><v>102900691</v></cell></row><row r="690"><cell r="D690" t="str"><v>43356223691819</v></cell><cell r="E690" t="str"><v>433561029006823 - EN</v></cell><cell r="F690" t="str"><v>DCM</v></cell></row><row r="690"><cell r="H690"><v>2</v></cell><cell r="I690" t="str"><v>Azure Direct</v></cell><cell r="J690" t="str"><v>Azure Direct</v></cell><cell r="K690" t="str"><v>September</v></cell><cell r="L690"><v>43358</v></cell><cell r="M690" t="str"><v>Tier 1</v></cell><cell r="N690" t="str"><v>North America</v></cell><cell r="O690" t="str"><v>Canada</v></cell><cell r="P690" t="str"><v>Trial</v></cell><cell r="Q690" t="str"><v>Social</v></cell><cell r="R690" t="str"><v>Azure</v></cell><cell r="S690" t="str"><v>Apps & Infra</v></cell><cell r="T690" t="str"><v>Developers & ITI's</v></cell><cell r="U690" t="str"><v>AZR</v></cell><cell r="V690" t="str"><v>Retargeting</v></cell><cell r="W690" t="str"><v>NotApplicable</v></cell><cell r="X690" t="str"><v>1200x628</v></cell></row><row r="690"><cell r="Z690" t="str"><v>Animated Banner</v></cell><cell r="AA690"><v>43356</v></cell><cell r="AB690" t="str"><v>CAN_gaPMG_AZR_AZR_Q1_19_Trial-Social</v></cell><cell r="AC690"><v>21337220</v></cell><cell r="AD690"><v>720192</v></cell><cell r="AE690" t="str"><v>Facebook</v></cell><cell r="AF690"><v>3654128</v></cell><cell r="AG690" t="str"><v>Facebook»AZR»1x1»SocialBan»NA»ALL»DYN»RT»D»All»SS»NA»Free Account Retargeting Generic - T3 - EN</v></cell><cell r="AH690"><v>223691819</v></cell><cell r="AI690" t="str"><v>AzurePlatform_FreeAcctRetargetingFB-Animated-ChC_CAN_1200x628_SOC_Plat_EN_Free Account_Standard_ANI_SU_T3_1</v></cell><cell r="AJ690"><v>102900682</v></cell></row><row r="691"><cell r="D691" t="str"><v>43356223691777</v></cell><cell r="E691" t="str"><v>433561029006973 - FR</v></cell><cell r="F691" t="str"><v>DCM</v></cell></row><row r="691"><cell r="H691"><v>3</v></cell><cell r="I691" t="str"><v>Azure Direct</v></cell><cell r="J691" t="str"><v>Azure Direct</v></cell><cell r="K691" t="str"><v>September</v></cell><cell r="L691"><v>43358</v></cell><cell r="M691" t="str"><v>Tier 1</v></cell><cell r="N691" t="str"><v>North America</v></cell><cell r="O691" t="str"><v>Canada</v></cell><cell r="P691" t="str"><v>Trial</v></cell><cell r="Q691" t="str"><v>Social</v></cell><cell r="R691" t="str"><v>Azure</v></cell><cell r="S691" t="str"><v>Apps & Infra</v></cell><cell r="T691" t="str"><v>Developers & ITI's</v></cell><cell r="U691" t="str"><v>AZR</v></cell><cell r="V691" t="str"><v>Retargeting</v></cell><cell r="W691" t="str"><v>NotApplicable</v></cell><cell r="X691" t="str"><v>1200x628</v></cell></row><row r="691"><cell r="Z691" t="str"><v>Animated Banner</v></cell><cell r="AA691"><v>43356</v></cell><cell r="AB691" t="str"><v>CAN_gaPMG_AZR_AZR_Q1_19_Trial-Social</v></cell><cell r="AC691"><v>21337220</v></cell><cell r="AD691"><v>720192</v></cell><cell r="AE691" t="str"><v>Facebook</v></cell><cell r="AF691"><v>3654128</v></cell><cell r="AG691" t="str"><v>Facebook»AZR»1x1»SocialBan»NA»ALL»DYN»RT»D»All»SS»NA»Free Account Retargeting Generic - T3 - FR</v></cell><cell r="AH691"><v>223691777</v></cell><cell r="AI691" t="str"><v>AzurePlatform_FreeAcctRetargetingFB-Animated-ChC_CAN_1200x628_SOC_Plat_FR_Free Account_Standard_ANI_SU_T3_1</v></cell><cell r="AJ691"><v>102900697</v></cell></row><row r="692"><cell r="D692" t="str"><v>43356223691825</v></cell><cell r="E692" t="str"><v>433561029163381 - EN</v></cell><cell r="F692" t="str"><v>DCM</v></cell></row><row r="692"><cell r="H692"><v>8</v></cell><cell r="I692" t="str"><v>Azure Direct</v></cell><cell r="J692" t="str"><v>Azure Direct</v></cell><cell r="K692" t="str"><v>September</v></cell><cell r="L692"><v>43358</v></cell><cell r="M692" t="str"><v>Tier 1</v></cell><cell r="N692" t="str"><v>North America</v></cell><cell r="O692" t="str"><v>Canada</v></cell><cell r="P692" t="str"><v>Trial</v></cell><cell r="Q692" t="str"><v>Social</v></cell><cell r="R692" t="str"><v>Azure</v></cell><cell r="S692" t="str"><v>Apps & Infra</v></cell><cell r="T692" t="str"><v>Developers & ITI's</v></cell><cell r="U692" t="str"><v>AZR</v></cell><cell r="V692" t="str"><v>Retargeting</v></cell><cell r="W692" t="str"><v>NotApplicable</v></cell><cell r="X692" t="str"><v>1200x628</v></cell></row><row r="692"><cell r="Z692" t="str"><v>Not Applicable</v></cell><cell r="AA692"><v>43356</v></cell><cell r="AB692" t="str"><v>CAN_gaPMG_AZR_AZR_Q1_19_Trial-Social</v></cell><cell r="AC692"><v>21337220</v></cell><cell r="AD692"><v>720192</v></cell><cell r="AE692" t="str"><v>Facebook</v></cell><cell r="AF692"><v>3654128</v></cell><cell r="AG692" t="str"><v>Facebook»AZR»1x1»SocialBan»NA»ALL»DYN»RT»D»All»SS»NA»Free Account Retargeting VM - T1 - EN</v></cell><cell r="AH692"><v>223691825</v></cell><cell r="AI692" t="str"><v>AzurePlatform_FreeAcctRetargetingVMFB-750Hrs-ChD_CAN_1200x628_SOC_Plat_EN_Free Account_Standard_NA_SU_T1_1</v></cell><cell r="AJ692"><v>102916338</v></cell></row><row r="693"><cell r="D693" t="str"><v>43356223691822</v></cell><cell r="E693" t="str"><v>433561030587082 - EN</v></cell><cell r="F693" t="str"><v>DCM</v></cell></row><row r="693"><cell r="H693"><v>1</v></cell><cell r="I693" t="str"><v>Azure Direct</v></cell><cell r="J693" t="str"><v>Azure Direct</v></cell><cell r="K693" t="str"><v>September</v></cell><cell r="L693"><v>43358</v></cell><cell r="M693" t="str"><v>Tier 1</v></cell><cell r="N693" t="str"><v>North America</v></cell><cell r="O693" t="str"><v>Canada</v></cell><cell r="P693" t="str"><v>Trial</v></cell><cell r="Q693" t="str"><v>Social</v></cell><cell r="R693" t="str"><v>Azure</v></cell><cell r="S693" t="str"><v>Apps & Infra</v></cell><cell r="T693" t="str"><v>Developers & ITI's</v></cell><cell r="U693" t="str"><v>AZR</v></cell><cell r="V693" t="str"><v>Retargeting</v></cell><cell r="W693" t="str"><v>NotApplicable</v></cell><cell r="X693" t="str"><v>1200x628</v></cell></row><row r="693"><cell r="Z693" t="str"><v>Not Applicable</v></cell><cell r="AA693"><v>43356</v></cell><cell r="AB693" t="str"><v>CAN_gaPMG_AZR_AZR_Q1_19_Trial-Social</v></cell><cell r="AC693"><v>21337220</v></cell><cell r="AD693"><v>720192</v></cell><cell r="AE693" t="str"><v>Facebook</v></cell><cell r="AF693"><v>3654128</v></cell><cell r="AG693" t="str"><v>Facebook»AZR»1x1»SocialBan»NA»ALL»DYN»RT»D»All»SS»NA»Free Account Retargeting VM - T2 - EN</v></cell><cell r="AH693"><v>223691822</v></cell><cell r="AI693" t="str"><v>AzurePlatform_FreeAcctRetargetingVMFB-OnDemand-ChE_CAN_1200x628_SOC_Plat_EN_Free Account_Standard_NA_SU_T2_1</v></cell><cell r="AJ693"><v>103058708</v></cell></row><row r="694"><cell r="D694" t="str"><v>43356223691795</v></cell><cell r="E694" t="str"><v>433561029006884 - FR</v></cell><cell r="F694" t="str"><v>DCM</v></cell></row><row r="694"><cell r="H694"><v>0</v></cell><cell r="I694" t="str"><v>Azure Direct</v></cell><cell r="J694" t="str"><v>Azure Direct</v></cell><cell r="K694" t="str"><v>September</v></cell><cell r="L694"><v>43358</v></cell><cell r="M694" t="str"><v>Tier 1</v></cell><cell r="N694" t="str"><v>North America</v></cell><cell r="O694" t="str"><v>Canada</v></cell><cell r="P694" t="str"><v>Trial</v></cell><cell r="Q694" t="str"><v>Social</v></cell><cell r="R694" t="str"><v>Azure</v></cell><cell r="S694" t="str"><v>Apps & Infra</v></cell><cell r="T694" t="str"><v>Developers & ITI's</v></cell><cell r="U694" t="str"><v>AZR</v></cell><cell r="V694" t="str"><v>Audience Targeting</v></cell><cell r="W694" t="str"><v>Engagement Video</v></cell><cell r="X694" t="str"><v>14s</v></cell><cell r="Y694" t="str"><v>Try Azure Free</v></cell><cell r="Z694" t="str"><v>Standard videos</v></cell><cell r="AA694"><v>43356</v></cell><cell r="AB694" t="str"><v>CAN_gaPMG_AZR_AZR_Q1_19_Trial-Social</v></cell><cell r="AC694"><v>21337220</v></cell><cell r="AD694"><v>720192</v></cell><cell r="AE694" t="str"><v>Facebook</v></cell><cell r="AF694"><v>3654128</v></cell><cell r="AG694" t="str"><v>Facebook»AZR»1x1»NA»EGV»ALL»DYN»AUT»D»All»SS»NA»Free Acc CTC - T4 - FR</v></cell><cell r="AH694"><v>223691795</v></cell><cell r="AI694" t="str"><v>AzurePlatform_FBCTCBenefit2inMotion_CAN_14s_ISV_PLAT_FR_Trial_Standard_STAN_TN_T4_1</v></cell><cell r="AJ694"><v>102900688</v></cell></row><row r="695"><cell r="D695" t="str"><v>43356227525720</v></cell><cell r="E695" t="str"><v>43356105130125e - EN</v></cell><cell r="F695" t="str"><v>DCM</v></cell></row><row r="695"><cell r="H695"><v>0</v></cell><cell r="I695" t="str"><v>Azure Direct</v></cell><cell r="J695" t="str"><v>Azure Direct</v></cell><cell r="K695" t="str"><v>September</v></cell><cell r="L695"><v>43358</v></cell><cell r="M695" t="str"><v>Tier 1</v></cell><cell r="N695" t="str"><v>North America</v></cell><cell r="O695" t="str"><v>Canada</v></cell><cell r="P695" t="str"><v>Trial</v></cell><cell r="Q695" t="str"><v>Social</v></cell><cell r="R695" t="str"><v>Azure</v></cell><cell r="S695" t="str"><v>Apps & Infra</v></cell><cell r="T695" t="str"><v>Developers & ITI's</v></cell><cell r="U695" t="str"><v>AZR</v></cell><cell r="V695" t="str"><v>Audience Targeting</v></cell><cell r="W695" t="str"><v>Canvas Ad</v></cell><cell r="X695" t="str"><v>1080x1080</v></cell><cell r="Y695" t="str"><v>Free Trial</v></cell><cell r="Z695" t="str"><v>Not Applicable</v></cell><cell r="AA695"><v>43356</v></cell><cell r="AB695" t="str"><v>CAN_gaPMG_AZR_AZR_Q1_19_Trial-Social</v></cell><cell r="AC695"><v>21337220</v></cell><cell r="AD695"><v>720192</v></cell><cell r="AE695" t="str"><v>Facebook</v></cell><cell r="AF695"><v>3654128</v></cell><cell r="AG695" t="str"><v>Facebook»AZR»1x1»NA»NA»ALL»DYN»AUT»D»All»SS»NA»Free Account Create to Convert FB - Canvas - Benefit - Start Free - EN</v></cell><cell r="AH695"><v>227525720</v></cell><cell r="AI695" t="str"><v>AzurePlatform_FBCTCBenefit2inMotion_CAN_1080x1080_SOC_14s_ISV_English_Standard_NA_FTR_T4_1</v></cell><cell r="AJ695"><v>105130125</v></cell></row><row r="696"><cell r="D696" t="str"><v>43356223691792</v></cell><cell r="E696" t="str"><v>433561029018942 - FR</v></cell><cell r="F696" t="str"><v>DCM</v></cell></row><row r="696"><cell r="H696"><v>1</v></cell><cell r="I696" t="str"><v>Azure Direct</v></cell><cell r="J696" t="str"><v>Azure Direct</v></cell><cell r="K696" t="str"><v>September</v></cell><cell r="L696"><v>43358</v></cell><cell r="M696" t="str"><v>Tier 1</v></cell><cell r="N696" t="str"><v>North America</v></cell><cell r="O696" t="str"><v>Canada</v></cell><cell r="P696" t="str"><v>Trial</v></cell><cell r="Q696" t="str"><v>Social</v></cell><cell r="R696" t="str"><v>Azure</v></cell><cell r="S696" t="str"><v>Apps & Infra</v></cell><cell r="T696" t="str"><v>Developers & ITI's</v></cell><cell r="U696" t="str"><v>AZR</v></cell><cell r="V696" t="str"><v>Retargeting</v></cell><cell r="W696" t="str"><v>NotApplicable</v></cell><cell r="X696" t="str"><v>1200x628</v></cell></row><row r="696"><cell r="Z696" t="str"><v>Not Applicable</v></cell><cell r="AA696"><v>43356</v></cell><cell r="AB696" t="str"><v>CAN_gaPMG_AZR_AZR_Q1_19_Trial-Social</v></cell><cell r="AC696"><v>21337220</v></cell><cell r="AD696"><v>720192</v></cell><cell r="AE696" t="str"><v>Facebook</v></cell><cell r="AF696"><v>3654128</v></cell><cell r="AG696" t="str"><v>Facebook»AZR»1x1»SocialBan»NA»ALL»DYN»RT»D»All»SS»NA»Free Account Retargeting Generic - T2 - FR</v></cell><cell r="AH696"><v>223691792</v></cell><cell r="AI696" t="str"><v>AzurePlatform_FreeAcctRetargetingFB-GlobalAlt-ChB_CAN_1200x628_SOC_Plat_FR_Free Account_Standard_NA_SU_T2_1</v></cell><cell r="AJ696"><v>102901894</v></cell></row><row r="697"><cell r="D697" t="str"><v>43356224009494</v></cell><cell r="E697" t="str"><v>43356103236186-11000</v></cell><cell r="F697" t="str"><v>DCM</v></cell></row><row r="697"><cell r="H697"><v>0</v></cell><cell r="I697" t="str"><v>Azure Direct</v></cell><cell r="J697" t="str"><v>Azure Direct</v></cell><cell r="K697" t="str"><v>September</v></cell><cell r="L697"><v>43358</v></cell><cell r="M697" t="str"><v>Tier 1</v></cell><cell r="N697" t="str"><v>EMEA</v></cell><cell r="O697" t="str"><v>Germany</v></cell><cell r="P697" t="str"><v>Trial</v></cell><cell r="Q697" t="str"><v>Social</v></cell><cell r="R697" t="str"><v>Azure</v></cell><cell r="S697" t="str"><v>Apps & Infra</v></cell><cell r="T697" t="str"><v>Developers & ITI's</v></cell><cell r="U697" t="str"><v>DEV-ITP-AZR-FB|CanvasAds|Interesttargeting</v></cell><cell r="V697" t="str"><v>Audience Targeting</v></cell><cell r="W697" t="str"><v>Canvas Ad</v></cell><cell r="X697" t="str"><v>10s</v></cell><cell r="Y697" t="str"><v>Try Azure Free</v></cell><cell r="Z697" t="str"><v>Standard videos</v></cell><cell r="AA697"><v>43356</v></cell><cell r="AB697" t="str"><v>DEU_gaPMG_AZR_AZR_Q1_19_Trial-Social- 39684</v></cell><cell r="AC697"><v>21359477</v></cell><cell r="AD697"><v>720194</v></cell><cell r="AE697" t="str"><v>Facebook</v></cell><cell r="AF697"><v>3654128</v></cell><cell r="AG697" t="str"><v>Facebook»DEV-ITP-AZR-FB|CanvasAds|Interesttargeting»1x1»TextLink»CAN»DT»CPM»AUT»W»NA»SS»NA»39684020-11000</v></cell><cell r="AH697"><v>224009494</v></cell><cell r="AI697" t="str"><v>AzurePlatform_FBCTCBasicMotion-StartFreeCT_DEU_10s_ISV_PLAT_DE_Trial_Standard_STAN_TN_T1_1</v></cell><cell r="AJ697"><v>103236186</v></cell></row><row r="698"><cell r="D698" t="str"><v>43356224009494</v></cell><cell r="E698" t="str"><v>43356103237290-11000</v></cell><cell r="F698" t="str"><v>DCM</v></cell></row><row r="698"><cell r="H698"><v>0</v></cell><cell r="I698" t="str"><v>Azure Direct</v></cell><cell r="J698" t="str"><v>Azure Direct</v></cell><cell r="K698" t="str"><v>September</v></cell><cell r="L698"><v>43358</v></cell><cell r="M698" t="str"><v>Tier 1</v></cell><cell r="N698" t="str"><v>EMEA</v></cell><cell r="O698" t="str"><v>Germany</v></cell><cell r="P698" t="str"><v>Trial</v></cell><cell r="Q698" t="str"><v>Social</v></cell><cell r="R698" t="str"><v>Azure</v></cell><cell r="S698" t="str"><v>Apps & Infra</v></cell><cell r="T698" t="str"><v>Developers & ITI's</v></cell><cell r="U698" t="str"><v>DEV-ITP-AZR-FB|CanvasAds|Interesttargeting</v></cell><cell r="V698" t="str"><v>Audience Targeting</v></cell><cell r="W698" t="str"><v>Canvas Ad</v></cell><cell r="X698" t="str"><v>14s</v></cell><cell r="Y698" t="str"><v>Try Azure Free</v></cell><cell r="Z698" t="str"><v>Standard videos</v></cell><cell r="AA698"><v>43356</v></cell><cell r="AB698" t="str"><v>DEU_gaPMG_AZR_AZR_Q1_19_Trial-Social- 39684</v></cell><cell r="AC698"><v>21359477</v></cell><cell r="AD698"><v>720194</v></cell><cell r="AE698" t="str"><v>Facebook</v></cell><cell r="AF698"><v>3654128</v></cell><cell r="AG698" t="str"><v>Facebook»DEV-ITP-AZR-FB|CanvasAds|Interesttargeting»1x1»TextLink»CAN»DT»CPM»AUT»W»NA»SS»NA»39684020-11000</v></cell><cell r="AH698"><v>224009494</v></cell><cell r="AI698" t="str"><v>AzurePlatform_FBCTCBenefit2inMotion-StartFreeCT_DEU_14s_ISV_PLAT_DE_Trial_Standard_STAN_TN_T4_1</v></cell><cell r="AJ698"><v>103237290</v></cell></row><row r="699"><cell r="D699" t="str"><v>43356224009494</v></cell><cell r="E699" t="str"><v>43356103237293-11000</v></cell><cell r="F699" t="str"><v>DCM</v></cell></row><row r="699"><cell r="H699"><v>0</v></cell><cell r="I699" t="str"><v>Azure Direct</v></cell><cell r="J699" t="str"><v>Azure Direct</v></cell><cell r="K699" t="str"><v>September</v></cell><cell r="L699"><v>43358</v></cell><cell r="M699" t="str"><v>Tier 1</v></cell><cell r="N699" t="str"><v>EMEA</v></cell><cell r="O699" t="str"><v>Germany</v></cell><cell r="P699" t="str"><v>Trial</v></cell><cell r="Q699" t="str"><v>Social</v></cell><cell r="R699" t="str"><v>Azure</v></cell><cell r="S699" t="str"><v>Apps & Infra</v></cell><cell r="T699" t="str"><v>Developers & ITI's</v></cell><cell r="U699" t="str"><v>DEV-ITP-AZR-FB|CanvasAds|Interesttargeting</v></cell><cell r="V699" t="str"><v>Audience Targeting</v></cell><cell r="W699" t="str"><v>Canvas Ad</v></cell><cell r="X699" t="str"><v>12s</v></cell><cell r="Y699" t="str"><v>Try Azure Free</v></cell><cell r="Z699" t="str"><v>Standard videos</v></cell><cell r="AA699"><v>43356</v></cell><cell r="AB699" t="str"><v>DEU_gaPMG_AZR_AZR_Q1_19_Trial-Social- 39684</v></cell><cell r="AC699"><v>21359477</v></cell><cell r="AD699"><v>720194</v></cell><cell r="AE699" t="str"><v>Facebook</v></cell><cell r="AF699"><v>3654128</v></cell><cell r="AG699" t="str"><v>Facebook»DEV-ITP-AZR-FB|CanvasAds|Interesttargeting»1x1»TextLink»CAN»DT»CPM»AUT»W»NA»SS»NA»39684020-11000</v></cell><cell r="AH699"><v>224009494</v></cell><cell r="AI699" t="str"><v>AzurePlatform_FBCTCBrandinMotion-StartFreeCT_DEU_12s_ISV_PLAT_DE_Trial_Standard_STAN_TN_T2_1</v></cell><cell r="AJ699"><v>103237293</v></cell></row><row r="700"><cell r="D700" t="str"><v>43356224009494</v></cell><cell r="E700" t="str"><v>43356103235787-11000</v></cell><cell r="F700" t="str"><v>DCM</v></cell></row><row r="700"><cell r="H700"><v>1</v></cell><cell r="I700" t="str"><v>Azure Direct</v></cell><cell r="J700" t="str"><v>Azure Direct</v></cell><cell r="K700" t="str"><v>September</v></cell><cell r="L700"><v>43358</v></cell><cell r="M700" t="str"><v>Tier 1</v></cell><cell r="N700" t="str"><v>EMEA</v></cell><cell r="O700" t="str"><v>Germany</v></cell><cell r="P700" t="str"><v>Trial</v></cell><cell r="Q700" t="str"><v>Social</v></cell><cell r="R700" t="str"><v>Azure</v></cell><cell r="S700" t="str"><v>Apps & Infra</v></cell><cell r="T700" t="str"><v>Developers & ITI's</v></cell><cell r="U700" t="str"><v>DEV-ITP-AZR-FB|CanvasAds|Interesttargeting</v></cell><cell r="V700" t="str"><v>Audience Targeting</v></cell><cell r="W700" t="str"><v>Canvas Ad</v></cell><cell r="X700" t="str"><v>10s</v></cell><cell r="Y700" t="str"><v>Try Azure Free</v></cell><cell r="Z700" t="str"><v>Standard videos</v></cell><cell r="AA700"><v>43356</v></cell><cell r="AB700" t="str"><v>DEU_gaPMG_AZR_AZR_Q1_19_Trial-Social- 39684</v></cell><cell r="AC700"><v>21359477</v></cell><cell r="AD700"><v>720194</v></cell><cell r="AE700" t="str"><v>Facebook</v></cell><cell r="AF700"><v>3654128</v></cell><cell r="AG700" t="str"><v>Facebook»DEV-ITP-AZR-FB|CanvasAds|Interesttargeting»1x1»TextLink»CAN»DT»CPM»AUT»W»NA»SS»NA»39684020-11000</v></cell><cell r="AH700"><v>224009494</v></cell><cell r="AI700" t="str"><v>AzurePlatform_FBCTCBasicMotion-BuyNow_DEU_10s_ISV_PLAT_DE_Trial_Standard_STAN_TN_T1_1</v></cell><cell r="AJ700"><v>103235787</v></cell></row><row r="701"><cell r="D701" t="str"><v>43356224009494</v></cell><cell r="E701" t="str"><v>43356103350059-11000</v></cell><cell r="F701" t="str"><v>DCM</v></cell></row><row r="701"><cell r="H701"><v>1</v></cell><cell r="I701" t="str"><v>Azure Direct</v></cell><cell r="J701" t="str"><v>Azure Direct</v></cell><cell r="K701" t="str"><v>September</v></cell><cell r="L701"><v>43358</v></cell><cell r="M701" t="str"><v>Tier 1</v></cell><cell r="N701" t="str"><v>EMEA</v></cell><cell r="O701" t="str"><v>Germany</v></cell><cell r="P701" t="str"><v>Trial</v></cell><cell r="Q701" t="str"><v>Social</v></cell><cell r="R701" t="str"><v>Azure</v></cell><cell r="S701" t="str"><v>Apps & Infra</v></cell><cell r="T701" t="str"><v>Developers & ITI's</v></cell><cell r="U701" t="str"><v>DEV-ITP-AZR-FB|CanvasAds|Interesttargeting</v></cell><cell r="V701" t="str"><v>Audience Targeting</v></cell><cell r="W701" t="str"><v>Canvas Ad</v></cell><cell r="X701" t="str"><v>12s</v></cell><cell r="Y701" t="str"><v>Try Azure Free</v></cell><cell r="Z701" t="str"><v>Standard videos</v></cell><cell r="AA701"><v>43356</v></cell><cell r="AB701" t="str"><v>DEU_gaPMG_AZR_AZR_Q1_19_Trial-Social- 39684</v></cell><cell r="AC701"><v>21359477</v></cell><cell r="AD701"><v>720194</v></cell><cell r="AE701" t="str"><v>Facebook</v></cell><cell r="AF701"><v>3654128</v></cell><cell r="AG701" t="str"><v>Facebook»DEV-ITP-AZR-FB|CanvasAds|Interesttargeting»1x1»TextLink»CAN»DT»CPM»AUT»W»NA»SS»NA»39684020-11000</v></cell><cell r="AH701"><v>224009494</v></cell><cell r="AI701" t="str"><v>AzurePlatform_FBCTCBrandinMotion-BuyNow_DEU_12s_ISV_PLAT_DE_Trial_Standard_STAN_TN_T2_1</v></cell><cell r="AJ701"><v>103350059</v></cell></row><row r="702"><cell r="D702" t="str"><v>43356224009494</v></cell><cell r="E702" t="str"><v>43356105965903-11000</v></cell><cell r="F702" t="str"><v>DCM</v></cell></row><row r="702"><cell r="H702"><v>0</v></cell><cell r="I702" t="str"><v>Azure Direct</v></cell><cell r="J702" t="str"><v>Azure Direct</v></cell><cell r="K702" t="str"><v>September</v></cell><cell r="L702"><v>43358</v></cell><cell r="M702" t="str"><v>Tier 1</v></cell><cell r="N702" t="str"><v>EMEA</v></cell><cell r="O702" t="str"><v>Germany</v></cell><cell r="P702" t="str"><v>Trial</v></cell><cell r="Q702" t="str"><v>Social</v></cell><cell r="R702" t="str"><v>Azure</v></cell><cell r="S702" t="str"><v>Apps & Infra</v></cell><cell r="T702" t="str"><v>Developers & ITI's</v></cell><cell r="U702" t="str"><v>DEV-ITP-AZR-FB|CanvasAds|Interesttargeting</v></cell><cell r="V702" t="str"><v>Audience Targeting</v></cell><cell r="W702" t="str"><v>Canvas Ad</v></cell><cell r="X702" t="str"><v>1200x1200</v></cell><cell r="Y702" t="str"><v>Learn More</v></cell><cell r="Z702" t="str"><v>Animated Banner</v></cell><cell r="AA702"><v>43356</v></cell><cell r="AB702" t="str"><v>DEU_gaPMG_AZR_AZR_Q1_19_Trial-Social- 39684</v></cell><cell r="AC702"><v>21359477</v></cell><cell r="AD702"><v>720194</v></cell><cell r="AE702" t="str"><v>Facebook</v></cell><cell r="AF702"><v>3654128</v></cell><cell r="AG702" t="str"><v>Facebook»DEV-ITP-AZR-FB|CanvasAds|Interesttargeting»1x1»TextLink»CAN»DT»CPM»AUT»W»NA»SS»NA»39684020-11000</v></cell><cell r="AH702"><v>224009494</v></cell><cell r="AI702" t="str"><v>AZR_FreeAcctDeveloperFB-AnimatedAI-Ch3_DEU_1200x1200_SOC_Direct_DE_Trial_Standard_ANI_LEA_T3_1</v></cell><cell r="AJ702"><v>105965903</v></cell></row><row r="703"><cell r="D703" t="str"><v>43356224009494</v></cell><cell r="E703" t="str"><v>43356105920898-11000</v></cell><cell r="F703" t="str"><v>DCM</v></cell></row><row r="703"><cell r="H703"><v>0</v></cell><cell r="I703" t="str"><v>Azure Direct</v></cell><cell r="J703" t="str"><v>Azure Direct</v></cell><cell r="K703" t="str"><v>September</v></cell><cell r="L703"><v>43358</v></cell><cell r="M703" t="str"><v>Tier 1</v></cell><cell r="N703" t="str"><v>EMEA</v></cell><cell r="O703" t="str"><v>Germany</v></cell><cell r="P703" t="str"><v>Trial</v></cell><cell r="Q703" t="str"><v>Social</v></cell><cell r="R703" t="str"><v>Azure</v></cell><cell r="S703" t="str"><v>Apps & Infra</v></cell><cell r="T703" t="str"><v>Developers & ITI's</v></cell><cell r="U703" t="str"><v>DEV-ITP-AZR-FB|CanvasAds|Interesttargeting</v></cell><cell r="V703" t="str"><v>Audience Targeting</v></cell><cell r="W703" t="str"><v>Canvas Ad</v></cell><cell r="X703" t="str"><v>1200x1200</v></cell><cell r="Y703" t="str"><v>Learn More</v></cell><cell r="Z703" t="str"><v>Animated Banner</v></cell><cell r="AA703"><v>43356</v></cell><cell r="AB703" t="str"><v>DEU_gaPMG_AZR_AZR_Q1_19_Trial-Social- 39684</v></cell><cell r="AC703"><v>21359477</v></cell><cell r="AD703"><v>720194</v></cell><cell r="AE703" t="str"><v>Facebook</v></cell><cell r="AF703"><v>3654128</v></cell><cell r="AG703" t="str"><v>Facebook»DEV-ITP-AZR-FB|CanvasAds|Interesttargeting»1x1»TextLink»CAN»DT»CPM»AUT»W»NA»SS»NA»39684020-11000</v></cell><cell r="AH703"><v>224009494</v></cell><cell r="AI703" t="str"><v>AZR_FreeAcctDeveloperFB-AnimatedData-Ch4_DEU_1200x1200_SOC_Direct_DE_Trial_Standard_ANI_LEA_T4_1</v></cell><cell r="AJ703"><v>105920898</v></cell></row><row r="704"><cell r="D704" t="str"><v>43356224010415</v></cell><cell r="E704" t="str"><v>43356103040320-11000</v></cell><cell r="F704" t="str"><v>DCM</v></cell></row><row r="704"><cell r="H704"><v>0</v></cell><cell r="I704" t="str"><v>Azure Direct</v></cell><cell r="J704" t="str"><v>Azure Direct</v></cell><cell r="K704" t="str"><v>September</v></cell><cell r="L704"><v>43358</v></cell><cell r="M704" t="str"><v>Tier 1</v></cell><cell r="N704" t="str"><v>EMEA</v></cell><cell r="O704" t="str"><v>Germany</v></cell><cell r="P704" t="str"><v>Trial</v></cell><cell r="Q704" t="str"><v>Social</v></cell><cell r="R704" t="str"><v>Azure</v></cell><cell r="S704" t="str"><v>Apps & Infra</v></cell><cell r="T704" t="str"><v>Developers & ITI's</v></cell><cell r="U704" t="str"><v>DEV-ITP-AZR-FB|LinkAd|CustomerAudienceRetargeting</v></cell><cell r="V704" t="str"><v>Retargeting</v></cell><cell r="W704" t="str"><v>Link Ad</v></cell><cell r="X704" t="str"><v>1200x628</v></cell></row><row r="704"><cell r="Z704" t="str"><v>Not Applicable</v></cell><cell r="AA704"><v>43356</v></cell><cell r="AB704" t="str"><v>DEU_gaPMG_AZR_AZR_Q1_19_Trial-Social- 39684</v></cell><cell r="AC704"><v>21359477</v></cell><cell r="AD704"><v>720194</v></cell><cell r="AE704" t="str"><v>Facebook</v></cell><cell r="AF704"><v>3654128</v></cell><cell r="AG704" t="str"><v>Facebook»DEV-ITP-AZR-FB|LinkAd|CustomerAudienceRetargeting»1x1»TextLink»LIA»DT»CPM»RT»W»NA»SS»NA»39684019-11000</v></cell><cell r="AH704"><v>224010415</v></cell><cell r="AI704" t="str"><v>AzurePlatform_FreeAcctRetargetingFB-GlobalAlt-ChB_DEU_1200x628_SOC_Plat_DE_Free Account_Standard_NA_SNU_T2_1</v></cell><cell r="AJ704"><v>103040320</v></cell></row><row r="705"><cell r="D705" t="str"><v>43356224010415</v></cell><cell r="E705" t="str"><v>43356103055394-11000</v></cell><cell r="F705" t="str"><v>DCM</v></cell></row><row r="705"><cell r="H705"><v>1</v></cell><cell r="I705" t="str"><v>Azure Direct</v></cell><cell r="J705" t="str"><v>Azure Direct</v></cell><cell r="K705" t="str"><v>September</v></cell><cell r="L705"><v>43358</v></cell><cell r="M705" t="str"><v>Tier 1</v></cell><cell r="N705" t="str"><v>EMEA</v></cell><cell r="O705" t="str"><v>Germany</v></cell><cell r="P705" t="str"><v>Trial</v></cell><cell r="Q705" t="str"><v>Social</v></cell><cell r="R705" t="str"><v>Azure</v></cell><cell r="S705" t="str"><v>Apps & Infra</v></cell><cell r="T705" t="str"><v>Developers & ITI's</v></cell><cell r="U705" t="str"><v>DEV-ITP-AZR-FB|LinkAd|CustomerAudienceRetargeting</v></cell><cell r="V705" t="str"><v>Retargeting</v></cell><cell r="W705" t="str"><v>Link Ad</v></cell><cell r="X705" t="str"><v>1200x628</v></cell></row><row r="705"><cell r="Z705" t="str"><v>Not Applicable</v></cell><cell r="AA705"><v>43356</v></cell><cell r="AB705" t="str"><v>DEU_gaPMG_AZR_AZR_Q1_19_Trial-Social- 39684</v></cell><cell r="AC705"><v>21359477</v></cell><cell r="AD705"><v>720194</v></cell><cell r="AE705" t="str"><v>Facebook</v></cell><cell r="AF705"><v>3654128</v></cell><cell r="AG705" t="str"><v>Facebook»DEV-ITP-AZR-FB|LinkAd|CustomerAudienceRetargeting»1x1»TextLink»LIA»DT»CPM»RT»W»NA»SS»NA»39684019-11000</v></cell><cell r="AH705"><v>224010415</v></cell><cell r="AI705" t="str"><v>AzurePlatform_FreeAcctRetargetingOSSFB-Text-ChF_DEU_1200x628_SOC_Plat_DE_Free Account_Standard_NA_SNU_T1_1</v></cell><cell r="AJ705"><v>103055394</v></cell></row><row r="706"><cell r="D706" t="str"><v>43356224010415</v></cell><cell r="E706" t="str"><v>43356103043341-11000</v></cell><cell r="F706" t="str"><v>DCM</v></cell></row><row r="706"><cell r="H706"><v>5</v></cell><cell r="I706" t="str"><v>Azure Direct</v></cell><cell r="J706" t="str"><v>Azure Direct</v></cell><cell r="K706" t="str"><v>September</v></cell><cell r="L706"><v>43358</v></cell><cell r="M706" t="str"><v>Tier 1</v></cell><cell r="N706" t="str"><v>EMEA</v></cell><cell r="O706" t="str"><v>Germany</v></cell><cell r="P706" t="str"><v>Trial</v></cell><cell r="Q706" t="str"><v>Social</v></cell><cell r="R706" t="str"><v>Azure</v></cell><cell r="S706" t="str"><v>Apps & Infra</v></cell><cell r="T706" t="str"><v>Developers & ITI's</v></cell><cell r="U706" t="str"><v>DEV-ITP-AZR-FB|LinkAd|CustomerAudienceRetargeting</v></cell><cell r="V706" t="str"><v>Retargeting</v></cell><cell r="W706" t="str"><v>Link Ad</v></cell><cell r="X706" t="str"><v>1200x628</v></cell></row><row r="706"><cell r="Z706" t="str"><v>Not Applicable</v></cell><cell r="AA706"><v>43356</v></cell><cell r="AB706" t="str"><v>DEU_gaPMG_AZR_AZR_Q1_19_Trial-Social- 39684</v></cell><cell r="AC706"><v>21359477</v></cell><cell r="AD706"><v>720194</v></cell><cell r="AE706" t="str"><v>Facebook</v></cell><cell r="AF706"><v>3654128</v></cell><cell r="AG706" t="str"><v>Facebook»DEV-ITP-AZR-FB|LinkAd|CustomerAudienceRetargeting»1x1»TextLink»LIA»DT»CPM»RT»W»NA»SS»NA»39684019-11000</v></cell><cell r="AH706"><v>224010415</v></cell><cell r="AI706" t="str"><v>AzurePlatform_FreeAcctRetargetingVMFB-750Hrs-ChD_DEU_1200x628_SOC_Plat_DE_Free Account_Standard_NA_SNU_T1_1</v></cell><cell r="AJ706"><v>103043341</v></cell></row><row r="707"><cell r="D707" t="str"><v>43356224010415</v></cell><cell r="E707" t="str"><v>43356103043338-11000</v></cell><cell r="F707" t="str"><v>DCM</v></cell></row><row r="707"><cell r="H707"><v>0</v></cell><cell r="I707" t="str"><v>Azure Direct</v></cell><cell r="J707" t="str"><v>Azure Direct</v></cell><cell r="K707" t="str"><v>September</v></cell><cell r="L707"><v>43358</v></cell><cell r="M707" t="str"><v>Tier 1</v></cell><cell r="N707" t="str"><v>EMEA</v></cell><cell r="O707" t="str"><v>Germany</v></cell><cell r="P707" t="str"><v>Trial</v></cell><cell r="Q707" t="str"><v>Social</v></cell><cell r="R707" t="str"><v>Azure</v></cell><cell r="S707" t="str"><v>Apps & Infra</v></cell><cell r="T707" t="str"><v>Developers & ITI's</v></cell><cell r="U707" t="str"><v>DEV-ITP-AZR-FB|LinkAd|CustomerAudienceRetargeting</v></cell><cell r="V707" t="str"><v>Retargeting</v></cell><cell r="W707" t="str"><v>Link Ad</v></cell><cell r="X707" t="str"><v>1200x628</v></cell></row><row r="707"><cell r="Z707" t="str"><v>Not Applicable</v></cell><cell r="AA707"><v>43356</v></cell><cell r="AB707" t="str"><v>DEU_gaPMG_AZR_AZR_Q1_19_Trial-Social- 39684</v></cell><cell r="AC707"><v>21359477</v></cell><cell r="AD707"><v>720194</v></cell><cell r="AE707" t="str"><v>Facebook</v></cell><cell r="AF707"><v>3654128</v></cell><cell r="AG707" t="str"><v>Facebook»DEV-ITP-AZR-FB|LinkAd|CustomerAudienceRetargeting»1x1»TextLink»LIA»DT»CPM»RT»W»NA»SS»NA»39684019-11000</v></cell><cell r="AH707"><v>224010415</v></cell><cell r="AI707" t="str"><v>AzurePlatform_FreeAcctRetargetingVMFB-OnDemand-ChE_DEU_1200x628_SOC_Plat_DE_Free Account_Standard_NA_SNU_T2_1</v></cell><cell r="AJ707"><v>103043338</v></cell></row><row r="708"><cell r="D708" t="str"><v>43356224010415</v></cell><cell r="E708" t="str"><v>43356103048548-11000</v></cell><cell r="F708" t="str"><v>DCM</v></cell></row><row r="708"><cell r="H708"><v>2</v></cell><cell r="I708" t="str"><v>Azure Direct</v></cell><cell r="J708" t="str"><v>Azure Direct</v></cell><cell r="K708" t="str"><v>September</v></cell><cell r="L708"><v>43358</v></cell><cell r="M708" t="str"><v>Tier 1</v></cell><cell r="N708" t="str"><v>EMEA</v></cell><cell r="O708" t="str"><v>Germany</v></cell><cell r="P708" t="str"><v>Trial</v></cell><cell r="Q708" t="str"><v>Social</v></cell><cell r="R708" t="str"><v>Azure</v></cell><cell r="S708" t="str"><v>Apps & Infra</v></cell><cell r="T708" t="str"><v>Developers & ITI's</v></cell><cell r="U708" t="str"><v>DEV-ITP-AZR-FB|LinkAd|CustomerAudienceRetargeting</v></cell><cell r="V708" t="str"><v>Retargeting</v></cell><cell r="W708" t="str"><v>Link Ad</v></cell><cell r="X708" t="str"><v>1200x628</v></cell></row><row r="708"><cell r="Z708" t="str"><v>Animated Banner</v></cell><cell r="AA708"><v>43356</v></cell><cell r="AB708" t="str"><v>DEU_gaPMG_AZR_AZR_Q1_19_Trial-Social- 39684</v></cell><cell r="AC708"><v>21359477</v></cell><cell r="AD708"><v>720194</v></cell><cell r="AE708" t="str"><v>Facebook</v></cell><cell r="AF708"><v>3654128</v></cell><cell r="AG708" t="str"><v>Facebook»DEV-ITP-AZR-FB|LinkAd|CustomerAudienceRetargeting»1x1»TextLink»LIA»DT»CPM»RT»W»NA»SS»NA»39684019-11000</v></cell><cell r="AH708"><v>224010415</v></cell><cell r="AI708" t="str"><v>AzurePlatform_FreeAcctRetargetingFB-Animated-ChC_DEU_1200x628_SOC_Plat_DE_Free Account_Standard_ANI_SNU_T3_1</v></cell><cell r="AJ708"><v>103048548</v></cell></row><row r="709"><cell r="D709" t="str"><v>43356224010415</v></cell><cell r="E709" t="str"><v>43356105961454-11000</v></cell><cell r="F709" t="str"><v>DCM</v></cell></row><row r="709"><cell r="H709"><v>1</v></cell><cell r="I709" t="str"><v>Azure Direct</v></cell><cell r="J709" t="str"><v>Azure Direct</v></cell><cell r="K709" t="str"><v>September</v></cell><cell r="L709"><v>43358</v></cell><cell r="M709" t="str"><v>Tier 1</v></cell><cell r="N709" t="str"><v>EMEA</v></cell><cell r="O709" t="str"><v>Germany</v></cell><cell r="P709" t="str"><v>Trial</v></cell><cell r="Q709" t="str"><v>Social</v></cell><cell r="R709" t="str"><v>Azure</v></cell><cell r="S709" t="str"><v>Apps & Infra</v></cell><cell r="T709" t="str"><v>Developers & ITI's</v></cell><cell r="U709" t="str"><v>DEV-ITP-AZR-FB|LinkAd|CustomerAudienceRetargeting</v></cell><cell r="V709" t="str"><v>Retargeting</v></cell><cell r="W709" t="str"><v>Link Ad</v></cell><cell r="X709" t="str"><v>1200x1200</v></cell><cell r="Y709" t="str"><v>Learn More</v></cell><cell r="Z709" t="str"><v>Animated Banner</v></cell><cell r="AA709"><v>43356</v></cell><cell r="AB709" t="str"><v>DEU_gaPMG_AZR_AZR_Q1_19_Trial-Social- 39684</v></cell><cell r="AC709"><v>21359477</v></cell><cell r="AD709"><v>720194</v></cell><cell r="AE709" t="str"><v>Facebook</v></cell><cell r="AF709"><v>3654128</v></cell><cell r="AG709" t="str"><v>Facebook»DEV-ITP-AZR-FB|LinkAd|CustomerAudienceRetargeting»1x1»TextLink»LIA»DT»CPM»RT»W»NA»SS»NA»39684019-11000</v></cell><cell r="AH709"><v>224010415</v></cell><cell r="AI709" t="str"><v>AZR_FreeAcctDeveloperFB-AnimatedOpenSource-Ch2_DEU_1200x1200_SOC_Direct_DE_Trial_Standard_ANI_LEA_T2_1</v></cell><cell r="AJ709"><v>105961454</v></cell></row><row r="710"><cell r="D710" t="str"><v>43356224010415</v></cell><cell r="E710" t="str"><v>43356105965912-11000</v></cell><cell r="F710" t="str"><v>DCM</v></cell></row><row r="710"><cell r="H710"><v>2</v></cell><cell r="I710" t="str"><v>Azure Direct</v></cell><cell r="J710" t="str"><v>Azure Direct</v></cell><cell r="K710" t="str"><v>September</v></cell><cell r="L710"><v>43358</v></cell><cell r="M710" t="str"><v>Tier 1</v></cell><cell r="N710" t="str"><v>EMEA</v></cell><cell r="O710" t="str"><v>Germany</v></cell><cell r="P710" t="str"><v>Trial</v></cell><cell r="Q710" t="str"><v>Social</v></cell><cell r="R710" t="str"><v>Azure</v></cell><cell r="S710" t="str"><v>Apps & Infra</v></cell><cell r="T710" t="str"><v>Developers & ITI's</v></cell><cell r="U710" t="str"><v>DEV-ITP-AZR-FB|LinkAd|CustomerAudienceRetargeting</v></cell><cell r="V710" t="str"><v>Retargeting</v></cell><cell r="W710" t="str"><v>Link Ad</v></cell><cell r="X710" t="str"><v>1200x1200</v></cell><cell r="Y710" t="str"><v>Learn More</v></cell><cell r="Z710" t="str"><v>Animated Banner</v></cell><cell r="AA710"><v>43356</v></cell><cell r="AB710" t="str"><v>DEU_gaPMG_AZR_AZR_Q1_19_Trial-Social- 39684</v></cell><cell r="AC710"><v>21359477</v></cell><cell r="AD710"><v>720194</v></cell><cell r="AE710" t="str"><v>Facebook</v></cell><cell r="AF710"><v>3654128</v></cell><cell r="AG710" t="str"><v>Facebook»DEV-ITP-AZR-FB|LinkAd|CustomerAudienceRetargeting»1x1»TextLink»LIA»DT»CPM»RT»W»NA»SS»NA»39684019-11000</v></cell><cell r="AH710"><v>224010415</v></cell><cell r="AI710" t="str"><v>AZR_FreeAcctITProFB-AnimatedHybrid-Ch2_DEU_1200x1200_SOC_Direct_DE_Trial_Standard_ANI_LEA_T2_1</v></cell><cell r="AJ710"><v>105965912</v></cell></row><row r="711"><cell r="D711" t="str"><v>43356224010415</v></cell><cell r="E711" t="str"><v>43356105965909-11000</v></cell><cell r="F711" t="str"><v>DCM</v></cell></row><row r="711"><cell r="H711"><v>1</v></cell><cell r="I711" t="str"><v>Azure Direct</v></cell><cell r="J711" t="str"><v>Azure Direct</v></cell><cell r="K711" t="str"><v>September</v></cell><cell r="L711"><v>43358</v></cell><cell r="M711" t="str"><v>Tier 1</v></cell><cell r="N711" t="str"><v>EMEA</v></cell><cell r="O711" t="str"><v>Germany</v></cell><cell r="P711" t="str"><v>Trial</v></cell><cell r="Q711" t="str"><v>Social</v></cell><cell r="R711" t="str"><v>Azure</v></cell><cell r="S711" t="str"><v>Apps & Infra</v></cell><cell r="T711" t="str"><v>Developers & ITI's</v></cell><cell r="U711" t="str"><v>DEV-ITP-AZR-FB|LinkAd|CustomerAudienceRetargeting</v></cell><cell r="V711" t="str"><v>Retargeting</v></cell><cell r="W711" t="str"><v>Link Ad</v></cell><cell r="X711" t="str"><v>1200x1200</v></cell><cell r="Y711" t="str"><v>Learn More</v></cell><cell r="Z711" t="str"><v>Animated Banner</v></cell><cell r="AA711"><v>43356</v></cell><cell r="AB711" t="str"><v>DEU_gaPMG_AZR_AZR_Q1_19_Trial-Social- 39684</v></cell><cell r="AC711"><v>21359477</v></cell><cell r="AD711"><v>720194</v></cell><cell r="AE711" t="str"><v>Facebook</v></cell><cell r="AF711"><v>3654128</v></cell><cell r="AG711" t="str"><v>Facebook»DEV-ITP-AZR-FB|LinkAd|CustomerAudienceRetargeting»1x1»TextLink»LIA»DT»CPM»RT»W»NA»SS»NA»39684019-11000</v></cell><cell r="AH711"><v>224010415</v></cell><cell r="AI711" t="str"><v>AZR_FreeAcctITProFB-AnimatedSecureMngd-Ch1_DEU_1200x1200_SOC_Direct_DE_Trial_Standard_ANI_LEA_T1_1</v></cell><cell r="AJ711"><v>105965909</v></cell></row><row r="712"><cell r="D712" t="str"><v>43356226360025</v></cell><cell r="E712" t="str"><v>43356104537132Trials</v></cell><cell r="F712" t="str"><v>DCM</v></cell></row><row r="712"><cell r="H712"><v>0</v></cell><cell r="I712" t="str"><v>Azure Direct</v></cell><cell r="J712" t="str"><v>Azure Direct</v></cell><cell r="K712" t="str"><v>September</v></cell><cell r="L712"><v>43358</v></cell><cell r="M712" t="str"><v>Tier 1</v></cell><cell r="N712" t="str"><v>EMEA</v></cell><cell r="O712" t="str"><v>France</v></cell><cell r="P712" t="str"><v>Trial</v></cell><cell r="Q712" t="str"><v>Social</v></cell><cell r="R712" t="str"><v>Azure</v></cell><cell r="S712" t="str"><v>Apps & Infra</v></cell><cell r="T712" t="str"><v>Developers & ITI's</v></cell><cell r="U712" t="str"><v>Developers-Azure Direct-Sponsored Post_Trial-Video Ad-Free Account Developer - Open Source</v></cell><cell r="V712" t="str"><v>Lookalike Targeting</v></cell><cell r="W712" t="str"><v>Video Ad</v></cell><cell r="X712" t="str"><v>1200x1200</v></cell><cell r="Y712" t="str"><v>Learn More</v></cell><cell r="Z712" t="str"><v>Standard videos</v></cell><cell r="AA712"><v>43356</v></cell><cell r="AB712" t="str"><v>FRA_gaPMG_AZR_AZR_Q1_19_AzureDirect-Trial-Social</v></cell><cell r="AC712"><v>21356941</v></cell><cell r="AD712"><v>720193</v></cell><cell r="AE712" t="str"><v>Facebook</v></cell><cell r="AF712"><v>3654128</v></cell><cell r="AG712" t="str"><v>Facebook»Developers-Azure Direct-Sponsored Post_Trial-Video Ad-Free Account Developer - Open Source»1x1»30s»SOC»ALL»CPC»LAL»D»UNK»SS»NA»Trials</v></cell><cell r="AH712"><v>226360025</v></cell><cell r="AI712" t="str"><v>AZR_FreeAcctDeveloperFB-AnimatedOpenSource-Ch2_FRA_1200x1200_VIA_AZRDirect_French_NA_Facebook_STAN_LEA_T2_1</v></cell><cell r="AJ712"><v>104537132</v></cell></row><row r="713"><cell r="D713" t="str"><v>43356224416915</v></cell><cell r="E713" t="str"><v>43356103376981Trials</v></cell><cell r="F713" t="str"><v>DCM</v></cell></row><row r="713"><cell r="H713"><v>0</v></cell><cell r="I713" t="str"><v>Azure Direct</v></cell><cell r="J713" t="str"><v>Azure Direct</v></cell><cell r="K713" t="str"><v>September</v></cell><cell r="L713"><v>43358</v></cell><cell r="M713" t="str"><v>Tier 1</v></cell><cell r="N713" t="str"><v>EMEA</v></cell><cell r="O713" t="str"><v>France</v></cell><cell r="P713" t="str"><v>Trial</v></cell><cell r="Q713" t="str"><v>Social</v></cell><cell r="R713" t="str"><v>Azure</v></cell><cell r="S713" t="str"><v>Apps & Infra</v></cell><cell r="T713" t="str"><v>Developers & ITI's</v></cell><cell r="U713" t="str"><v>Developers/ITPros-Azure Direct-Sponsored Post-Video Ad-FBCTCBasicMotion_FRA_10s_RTG Landing Page</v></cell><cell r="V713" t="str"><v>Behavioral Targeting</v></cell><cell r="W713" t="str"><v>Video Ad</v></cell><cell r="X713" t="str"><v>10s</v></cell><cell r="Y713" t="str"><v>Try it Now</v></cell><cell r="Z713" t="str"><v>Standard videos</v></cell><cell r="AA713"><v>43356</v></cell><cell r="AB713" t="str"><v>FRA_gaPMG_AZR_AZR_Q1_19_AzureDirect-Trial-Social</v></cell><cell r="AC713"><v>21356941</v></cell><cell r="AD713"><v>720193</v></cell><cell r="AE713" t="str"><v>Facebook</v></cell><cell r="AF713"><v>3654128</v></cell><cell r="AG713" t="str"><v>Facebook»Developers/ITPros-Azure Direct-Sponsored Post-Video Ad-FBCTCBasicMotion_FRA_10s_RTG Landing Page»1x1»05s»SOC»ALL»CPC»BT»D»UNK»SS»NA»Trials</v></cell><cell r="AH713"><v>224416915</v></cell><cell r="AI713" t="str"><v>AZR_FBCTCBasicMotion_FRA_10s_VIA_AZRDirect_French_NA_Facebook_STAN_TIN_T1_1</v></cell><cell r="AJ713"><v>103376981</v></cell></row><row r="714"><cell r="D714" t="str"><v>43356224560875</v></cell><cell r="E714" t="str"><v>43356103259766Trials</v></cell><cell r="F714" t="str"><v>DCM</v></cell></row><row r="714"><cell r="H714"><v>0</v></cell><cell r="I714" t="str"><v>Azure Direct</v></cell><cell r="J714" t="str"><v>Azure Direct</v></cell><cell r="K714" t="str"><v>September</v></cell><cell r="L714"><v>43358</v></cell><cell r="M714" t="str"><v>Tier 1</v></cell><cell r="N714" t="str"><v>EMEA</v></cell><cell r="O714" t="str"><v>France</v></cell><cell r="P714" t="str"><v>Trial</v></cell><cell r="Q714" t="str"><v>Social</v></cell><cell r="R714" t="str"><v>Azure</v></cell><cell r="S714" t="str"><v>Apps & Infra</v></cell><cell r="T714" t="str"><v>Developers & ITI's</v></cell><cell r="U714" t="str"><v>Developers/ITPros-Azure Direct-Sponsored Post-Video Ad-FBCTCBenefit2inMotion_FRA_14s_RTG Landing Page</v></cell><cell r="V714" t="str"><v>Behavioral Targeting</v></cell><cell r="W714" t="str"><v>Video Ad</v></cell><cell r="X714" t="str"><v>14s</v></cell><cell r="Y714" t="str"><v>Try it Now</v></cell><cell r="Z714" t="str"><v>Standard videos</v></cell><cell r="AA714"><v>43356</v></cell><cell r="AB714" t="str"><v>FRA_gaPMG_AZR_AZR_Q1_19_AzureDirect-Trial-Social</v></cell><cell r="AC714"><v>21356941</v></cell><cell r="AD714"><v>720193</v></cell><cell r="AE714" t="str"><v>Facebook</v></cell><cell r="AF714"><v>3654128</v></cell><cell r="AG714" t="str"><v>Facebook»Developers/ITPros-Azure Direct-Sponsored Post-Video Ad-FBCTCBenefit2inMotion_FRA_14s_RTG Landing Page»1x1»06s»SOC»ALL»CPC»BT»D»UNK»SS»NA»Trials</v></cell><cell r="AH714"><v>224560875</v></cell><cell r="AI714" t="str"><v>AZR_FBCTCBenefit2inMotion_FRA_14s_VIA_AZRDirect_French_NA_Facebook_STAN_TIN_T4_1</v></cell><cell r="AJ714"><v>103259766</v></cell></row><row r="715"><cell r="D715" t="str"><v>43356226360001</v></cell><cell r="E715" t="str"><v>43356104456278Trials</v></cell><cell r="F715" t="str"><v>DCM</v></cell></row><row r="715"><cell r="H715"><v>0</v></cell><cell r="I715" t="str"><v>Azure Direct</v></cell><cell r="J715" t="str"><v>Azure Direct</v></cell><cell r="K715" t="str"><v>September</v></cell><cell r="L715"><v>43358</v></cell><cell r="M715" t="str"><v>Tier 1</v></cell><cell r="N715" t="str"><v>EMEA</v></cell><cell r="O715" t="str"><v>France</v></cell><cell r="P715" t="str"><v>Trial</v></cell><cell r="Q715" t="str"><v>Social</v></cell><cell r="R715" t="str"><v>Azure</v></cell><cell r="S715" t="str"><v>Apps & Infra</v></cell><cell r="T715" t="str"><v>Developers & ITI's</v></cell><cell r="U715" t="str"><v>ITPros-Azure Direct-Sponsored Post_Trial-Video Ad-Free Account IT Pro - Hybrid</v></cell><cell r="V715" t="str"><v>Lookalike Targeting</v></cell><cell r="W715" t="str"><v>Video Ad</v></cell><cell r="X715" t="str"><v>1200x1200</v></cell><cell r="Y715" t="str"><v>Learn More</v></cell><cell r="Z715" t="str"><v>Standard videos</v></cell><cell r="AA715"><v>43356</v></cell><cell r="AB715" t="str"><v>FRA_gaPMG_AZR_AZR_Q1_19_AzureDirect-Trial-Social</v></cell><cell r="AC715"><v>21356941</v></cell><cell r="AD715"><v>720193</v></cell><cell r="AE715" t="str"><v>Facebook</v></cell><cell r="AF715"><v>3654128</v></cell><cell r="AG715" t="str"><v>Facebook»ITPros-Azure Direct-Sponsored Post_Trial-Video Ad-Free Account IT Pro - Hybrid»1x1»30s»SOC»ALL»CPC»LAL»D»UNK»SS»NA»Trials</v></cell><cell r="AH715"><v>226360001</v></cell><cell r="AI715" t="str"><v>AZR_FreeAcctITProFB-AnimatedHybrid-Ch2_FRA_1200x1200_VIA_AZRDirect_French_NA_Facebook_STAN_LEA_T2_1</v></cell><cell r="AJ715"><v>104456278</v></cell></row><row r="716"><cell r="D716" t="str"><v>43356226359938</v></cell><cell r="E716" t="str"><v>43356104456278Trials</v></cell><cell r="F716" t="str"><v>DCM</v></cell></row><row r="716"><cell r="H716"><v>0</v></cell><cell r="I716" t="str"><v>Azure Direct</v></cell><cell r="J716" t="str"><v>Azure Direct</v></cell><cell r="K716" t="str"><v>September</v></cell><cell r="L716"><v>43358</v></cell><cell r="M716" t="str"><v>Tier 1</v></cell><cell r="N716" t="str"><v>EMEA</v></cell><cell r="O716" t="str"><v>France</v></cell><cell r="P716" t="str"><v>Trial</v></cell><cell r="Q716" t="str"><v>Social</v></cell><cell r="R716" t="str"><v>Azure</v></cell><cell r="S716" t="str"><v>Apps & Infra</v></cell><cell r="T716" t="str"><v>Developers & ITI's</v></cell><cell r="U716" t="str"><v>ITPros-Azure Direct-Sponsored Post_Trial_PayGo-Video Ad-Free Account IT Pro - Hybrid</v></cell><cell r="V716" t="str"><v>Lookalike Targeting</v></cell><cell r="W716" t="str"><v>Video Ad</v></cell><cell r="X716" t="str"><v>1200x1200</v></cell><cell r="Y716" t="str"><v>Learn More</v></cell><cell r="Z716" t="str"><v>Standard videos</v></cell><cell r="AA716"><v>43356</v></cell><cell r="AB716" t="str"><v>FRA_gaPMG_AZR_AZR_Q1_19_AzureDirect-Trial-Social</v></cell><cell r="AC716"><v>21356941</v></cell><cell r="AD716"><v>720193</v></cell><cell r="AE716" t="str"><v>Facebook</v></cell><cell r="AF716"><v>3654128</v></cell><cell r="AG716" t="str"><v>Facebook»ITPros-Azure Direct-Sponsored Post_Trial_PayGo-Video Ad-Free Account IT Pro - Hybrid»1x1»30s»SOC»ALL»CPC»LAL»D»UNK»SS»NA»Trials</v></cell><cell r="AH716"><v>226359938</v></cell><cell r="AI716" t="str"><v>AZR_FreeAcctITProFB-AnimatedHybrid-Ch2_FRA_1200x1200_VIA_AZRDirect_French_NA_Facebook_STAN_LEA_T2_1</v></cell><cell r="AJ716"><v>104456278</v></cell></row><row r="717"><cell r="D717" t="str"><v>43356224369893</v></cell><cell r="E717" t="str"><v>43356103256571Trials</v></cell><cell r="F717" t="str"><v>DCM</v></cell></row><row r="717"><cell r="H717"><v>2</v></cell><cell r="I717" t="str"><v>Azure Direct</v></cell><cell r="J717" t="str"><v>Azure Direct</v></cell><cell r="K717" t="str"><v>September</v></cell><cell r="L717"><v>43358</v></cell><cell r="M717" t="str"><v>Tier 1</v></cell><cell r="N717" t="str"><v>EMEA</v></cell><cell r="O717" t="str"><v>France</v></cell><cell r="P717" t="str"><v>Trial</v></cell><cell r="Q717" t="str"><v>Social</v></cell><cell r="R717" t="str"><v>Azure</v></cell><cell r="S717" t="str"><v>Apps & Infra</v></cell><cell r="T717" t="str"><v>Developers & ITI's</v></cell><cell r="U717" t="str"><v>Developers/ITPros-Azure Direct-Sponsored Post-Canvas-FBCTCcanvaspage-BuyNowCTA-Img3_FBCTCBasicMotion_FRA_10sec</v></cell><cell r="V717" t="str"><v>Behavioral Targeting</v></cell><cell r="W717" t="str"><v>Canvas Ad</v></cell><cell r="X717" t="str"><v>1080x162</v></cell><cell r="Y717" t="str"><v>Buy Now</v></cell><cell r="Z717" t="str"><v>Static Banner</v></cell><cell r="AA717"><v>43356</v></cell><cell r="AB717" t="str"><v>FRA_gaPMG_AZR_AZR_Q1_19_AzureDirect-Trial-Social</v></cell><cell r="AC717"><v>21356941</v></cell><cell r="AD717"><v>720193</v></cell><cell r="AE717" t="str"><v>Facebook</v></cell><cell r="AF717"><v>3654128</v></cell><cell r="AG717" t="str"><v>Facebook»Developers/ITPros-Azure Direct-Sponsored Post-Canvas-FBCTCcanvaspage-BuyNowCTA-Img3_FBCTCBasicMotion_FRA_10sec»1x1»Canvas»SOC»ALL»CPC»BT»D»UNK»SS»NA»Trials</v></cell><cell r="AH717"><v>224369893</v></cell><cell r="AI717" t="str"><v>AZR_FBCTCcanvaspage-BuyNowCTA-Img3_FRA_1080x162_SOC_AZRDirect_French_NA_Facebook_SBAN_BN_T3_1</v></cell><cell r="AJ717"><v>103256571</v></cell></row><row r="718"><cell r="D718" t="str"><v>43356224560884</v></cell><cell r="E718" t="str"><v>43356103259958Trials</v></cell><cell r="F718" t="str"><v>DCM</v></cell></row><row r="718"><cell r="H718"><v>0</v></cell><cell r="I718" t="str"><v>Azure Direct</v></cell><cell r="J718" t="str"><v>Azure Direct</v></cell><cell r="K718" t="str"><v>September</v></cell><cell r="L718"><v>43358</v></cell><cell r="M718" t="str"><v>Tier 1</v></cell><cell r="N718" t="str"><v>EMEA</v></cell><cell r="O718" t="str"><v>France</v></cell><cell r="P718" t="str"><v>Trial</v></cell><cell r="Q718" t="str"><v>Social</v></cell><cell r="R718" t="str"><v>Azure</v></cell><cell r="S718" t="str"><v>Apps & Infra</v></cell><cell r="T718" t="str"><v>Developers & ITI's</v></cell><cell r="U718" t="str"><v>Developers/ITPros-Azure Direct-Sponsored Post-Canvas-FBCTCcanvaspage-StartFreeCTA-Img2_FBCTCBasicMotion_FRA_10sec</v></cell><cell r="V718" t="str"><v>Behavioral Targeting</v></cell><cell r="W718" t="str"><v>Canvas Ad</v></cell><cell r="X718" t="str"><v>1080x143</v></cell><cell r="Y718" t="str"><v>Buy Now</v></cell><cell r="Z718" t="str"><v>Static Banner</v></cell><cell r="AA718"><v>43356</v></cell><cell r="AB718" t="str"><v>FRA_gaPMG_AZR_AZR_Q1_19_AzureDirect-Trial-Social</v></cell><cell r="AC718"><v>21356941</v></cell><cell r="AD718"><v>720193</v></cell><cell r="AE718" t="str"><v>Facebook</v></cell><cell r="AF718"><v>3654128</v></cell><cell r="AG718" t="str"><v>Facebook»Developers/ITPros-Azure Direct-Sponsored Post-Canvas-FBCTCcanvaspage-StartFreeCTA-Img2_FBCTCBasicMotion_FRA_10sec»1x1»Canvas»SOC»ALL»CPC»BT»D»UNK»SS»NA»Trials</v></cell><cell r="AH718"><v>224560884</v></cell><cell r="AI718" t="str"><v>AZR_FBCTCcanvaspage-StartFreeCTA-Img2_FRA_1080x143_SOC_AZRDirect_French_NA_Facebook_SBAN_BN_T2_1</v></cell><cell r="AJ718"><v>103259958</v></cell></row><row r="719"><cell r="D719" t="str"><v>43356224560872</v></cell><cell r="E719" t="str"><v>43356103259958Trials</v></cell><cell r="F719" t="str"><v>DCM</v></cell></row><row r="719"><cell r="H719"><v>0</v></cell><cell r="I719" t="str"><v>Azure Direct</v></cell><cell r="J719" t="str"><v>Azure Direct</v></cell><cell r="K719" t="str"><v>September</v></cell><cell r="L719"><v>43358</v></cell><cell r="M719" t="str"><v>Tier 1</v></cell><cell r="N719" t="str"><v>EMEA</v></cell><cell r="O719" t="str"><v>France</v></cell><cell r="P719" t="str"><v>Trial</v></cell><cell r="Q719" t="str"><v>Social</v></cell><cell r="R719" t="str"><v>Azure</v></cell><cell r="S719" t="str"><v>Apps & Infra</v></cell><cell r="T719" t="str"><v>Developers & ITI's</v></cell><cell r="U719" t="str"><v>Developers/ITPros-Azure Direct-Sponsored Post-Canvas-FBCTCcanvaspage-StartFreeCTA-Img2_FBCTCBrandinMotion_FRA_14sec</v></cell><cell r="V719" t="str"><v>Behavioral Targeting</v></cell><cell r="W719" t="str"><v>Canvas Ad</v></cell><cell r="X719" t="str"><v>1080x143</v></cell><cell r="Y719" t="str"><v>Buy Now</v></cell><cell r="Z719" t="str"><v>Static Banner</v></cell><cell r="AA719"><v>43356</v></cell><cell r="AB719" t="str"><v>FRA_gaPMG_AZR_AZR_Q1_19_AzureDirect-Trial-Social</v></cell><cell r="AC719"><v>21356941</v></cell><cell r="AD719"><v>720193</v></cell><cell r="AE719" t="str"><v>Facebook</v></cell><cell r="AF719"><v>3654128</v></cell><cell r="AG719" t="str"><v>Facebook»Developers/ITPros-Azure Direct-Sponsored Post-Canvas-FBCTCcanvaspage-StartFreeCTA-Img2_FBCTCBrandinMotion_FRA_14sec»1x1»Canvas»SOC»ALL»CPC»BT»D»UNK»SS»NA»Trials</v></cell><cell r="AH719"><v>224560872</v></cell><cell r="AI719" t="str"><v>AZR_FBCTCcanvaspage-StartFreeCTA-Img2_FRA_1080x143_SOC_AZRDirect_French_NA_Facebook_SBAN_BN_T2_1</v></cell><cell r="AJ719"><v>103259958</v></cell></row><row r="720"><cell r="D720" t="str"><v>43356226359947</v></cell><cell r="E720" t="str"><v>43356104537813Trials</v></cell><cell r="F720" t="str"><v>DCM</v></cell></row><row r="720"><cell r="H720"><v>0</v></cell><cell r="I720" t="str"><v>Azure Direct</v></cell><cell r="J720" t="str"><v>Azure Direct</v></cell><cell r="K720" t="str"><v>September</v></cell><cell r="L720"><v>43358</v></cell><cell r="M720" t="str"><v>Tier 1</v></cell><cell r="N720" t="str"><v>EMEA</v></cell><cell r="O720" t="str"><v>France</v></cell><cell r="P720" t="str"><v>Trial</v></cell><cell r="Q720" t="str"><v>Social</v></cell><cell r="R720" t="str"><v>Azure</v></cell><cell r="S720" t="str"><v>Apps & Infra</v></cell><cell r="T720" t="str"><v>Developers & ITI's</v></cell><cell r="U720" t="str"><v>Developers-Azure Direct-Sponsored Post_Trial_PayGo-Video Ad-Free Account Developer - AI</v></cell><cell r="V720" t="str"><v>Lookalike Targeting</v></cell><cell r="W720" t="str"><v>Video Ad</v></cell><cell r="X720" t="str"><v>1200x1200</v></cell><cell r="Y720" t="str"><v>Learn More</v></cell><cell r="Z720" t="str"><v>Standard videos</v></cell><cell r="AA720"><v>43356</v></cell><cell r="AB720" t="str"><v>FRA_gaPMG_AZR_AZR_Q1_19_AzureDirect-Trial-Social</v></cell><cell r="AC720"><v>21356941</v></cell><cell r="AD720"><v>720193</v></cell><cell r="AE720" t="str"><v>Facebook</v></cell><cell r="AF720"><v>3654128</v></cell><cell r="AG720" t="str"><v>Facebook»Developers-Azure Direct-Sponsored Post_Trial_PayGo-Video Ad-Free Account Developer - AI»1x1»30s»SOC»ALL»CPC»LAL»D»UNK»SS»NA»Trials</v></cell><cell r="AH720"><v>226359947</v></cell><cell r="AI720" t="str"><v>AZR_FreeAcctDeveloperFB-AnimatedAI-Ch3_FRA_1200x1200_VIA_AZRDirect_French_NA_Facebook_STAN_LEA_T3_1</v></cell><cell r="AJ720"><v>104537813</v></cell></row><row r="721"><cell r="D721" t="str"><v>43356224399962</v></cell><cell r="E721" t="str"><v>43356103235146Motion</v></cell><cell r="F721" t="str"><v>DCM</v></cell></row><row r="721"><cell r="H721"><v>0</v></cell><cell r="I721" t="str"><v>Azure Direct</v></cell><cell r="J721" t="str"><v>Azure Direct</v></cell><cell r="K721" t="str"><v>September</v></cell><cell r="L721"><v>43358</v></cell><cell r="M721" t="str"><v>Tier 1</v></cell><cell r="N721" t="str"><v>EMEA</v></cell><cell r="O721" t="str"><v>United Kingdom</v></cell><cell r="P721" t="str"><v>Trial</v></cell><cell r="Q721" t="str"><v>Social</v></cell><cell r="R721" t="str"><v>Azure</v></cell><cell r="S721" t="str"><v>Apps & Infra</v></cell><cell r="T721" t="str"><v>Developers & ITI's</v></cell><cell r="U721" t="str"><v>Audience & Interest Targeting</v></cell><cell r="V721" t="str"><v>Audience Targeting</v></cell><cell r="W721" t="str"><v>Link Ad</v></cell><cell r="X721" t="str"><v>1080x143</v></cell><cell r="Y721" t="str"><v>Not Applicable </v></cell><cell r="Z721" t="str"><v>Not Applicable</v></cell><cell r="AA721"><v>43356</v></cell><cell r="AB721" t="str"><v>GBR_gaPMG_CE_AZR_Q1_19_Trial-Social</v></cell><cell r="AC721"><v>21337013</v></cell><cell r="AD721"><v>720196</v></cell><cell r="AE721" t="str"><v>Facebook</v></cell><cell r="AF721"><v>3654128</v></cell><cell r="AG721" t="str"><v>Facebook»Audience & Interest Targeting»1x1»SocialBan»LIA»DT»CPC»AUT»W»NA»SS»NA»Basic Motion</v></cell><cell r="AH721"><v>224399962</v></cell><cell r="AI721" t="str"><v>AzurePlatform_FBCTCcanvaspage-StartFreeCTA-Img2_GBR_1080x143 _SOC_Plat_English_NA_Standard_NA_NA_T2_1</v></cell><cell r="AJ721"><v>103235146</v></cell></row><row r="722"><cell r="D722" t="str"><v>43356224334170</v></cell><cell r="E722" t="str"><v>43356103235146Motion</v></cell><cell r="F722" t="str"><v>DCM</v></cell></row><row r="722"><cell r="H722"><v>0</v></cell><cell r="I722" t="str"><v>Azure Direct</v></cell><cell r="J722" t="str"><v>Azure Direct</v></cell><cell r="K722" t="str"><v>September</v></cell><cell r="L722"><v>43358</v></cell><cell r="M722" t="str"><v>Tier 1</v></cell><cell r="N722" t="str"><v>EMEA</v></cell><cell r="O722" t="str"><v>United Kingdom</v></cell><cell r="P722" t="str"><v>Trial</v></cell><cell r="Q722" t="str"><v>Social</v></cell><cell r="R722" t="str"><v>Azure</v></cell><cell r="S722" t="str"><v>Apps & Infra</v></cell><cell r="T722" t="str"><v>Developers & ITI's</v></cell><cell r="U722" t="str"><v>Audience & Interest Targeting</v></cell><cell r="V722" t="str"><v>Audience Targeting</v></cell><cell r="W722" t="str"><v>Link Ad</v></cell><cell r="X722" t="str"><v>1080x143</v></cell><cell r="Y722" t="str"><v>Not Applicable </v></cell><cell r="Z722" t="str"><v>Not Applicable</v></cell><cell r="AA722"><v>43356</v></cell><cell r="AB722" t="str"><v>GBR_gaPMG_CE_AZR_Q1_19_Trial-Social</v></cell><cell r="AC722"><v>21337013</v></cell><cell r="AD722"><v>720196</v></cell><cell r="AE722" t="str"><v>Facebook</v></cell><cell r="AF722"><v>3654128</v></cell><cell r="AG722" t="str"><v>Facebook»Audience & Interest Targeting»1x1»SocialBan»LIA»DT»CPC»AUT»W»NA»SS»NA»Benefit 2 in Motion</v></cell><cell r="AH722"><v>224334170</v></cell><cell r="AI722" t="str"><v>AzurePlatform_FBCTCcanvaspage-StartFreeCTA-Img2_GBR_1080x143 _SOC_Plat_English_NA_Standard_NA_NA_T2_1</v></cell><cell r="AJ722"><v>103235146</v></cell></row><row r="723"><cell r="D723" t="str"><v>43356223560299</v></cell><cell r="E723" t="str"><v>43356102854019ed ChC</v></cell><cell r="F723" t="str"><v>DCM</v></cell></row><row r="723"><cell r="H723"><v>0</v></cell><cell r="I723" t="str"><v>Azure Direct</v></cell><cell r="J723" t="str"><v>Azure Direct</v></cell><cell r="K723" t="str"><v>September</v></cell><cell r="L723"><v>43358</v></cell><cell r="M723" t="str"><v>Tier 1</v></cell><cell r="N723" t="str"><v>EMEA</v></cell><cell r="O723" t="str"><v>United Kingdom</v></cell><cell r="P723" t="str"><v>Trial</v></cell><cell r="Q723" t="str"><v>Social</v></cell><cell r="R723" t="str"><v>Azure</v></cell><cell r="S723" t="str"><v>Apps & Infra</v></cell><cell r="T723" t="str"><v>Developers & ITI's</v></cell><cell r="U723" t="str"><v>Retargeting</v></cell><cell r="V723" t="str"><v>Retargeting</v></cell><cell r="W723" t="str"><v>Link Ad</v></cell><cell r="X723" t="str"><v>1200x628</v></cell></row><row r="723"><cell r="Z723" t="str"><v>Animated Banner</v></cell><cell r="AA723"><v>43356</v></cell><cell r="AB723" t="str"><v>GBR_gaPMG_CE_AZR_Q1_19_Trial-Social</v></cell><cell r="AC723"><v>21337013</v></cell><cell r="AD723"><v>720196</v></cell><cell r="AE723" t="str"><v>Facebook</v></cell><cell r="AF723"><v>3654128</v></cell><cell r="AG723" t="str"><v>Facebook»Retargeting»1x1»SocialBan»LIA»DT»DYN»RT»W»NA»SS»NA»Free Account Retargeting Generic- Animated ChC</v></cell><cell r="AH723"><v>223560299</v></cell><cell r="AI723" t="str"><v>AzurePlatform_FreeAcctRetargetingFB-Animated-ChC_GBR_1200x628_SOC_Plat_EN_Free Account_Standard_ANI_SU_T3_1</v></cell><cell r="AJ723"><v>102854019</v></cell></row><row r="724"><cell r="D724" t="str"><v>43356223560356</v></cell><cell r="E724" t="str"><v>43356102854016lt ChB</v></cell><cell r="F724" t="str"><v>DCM</v></cell></row><row r="724"><cell r="H724"><v>1</v></cell><cell r="I724" t="str"><v>Azure Direct</v></cell><cell r="J724" t="str"><v>Azure Direct</v></cell><cell r="K724" t="str"><v>September</v></cell><cell r="L724"><v>43358</v></cell><cell r="M724" t="str"><v>Tier 1</v></cell><cell r="N724" t="str"><v>EMEA</v></cell><cell r="O724" t="str"><v>United Kingdom</v></cell><cell r="P724" t="str"><v>Trial</v></cell><cell r="Q724" t="str"><v>Social</v></cell><cell r="R724" t="str"><v>Azure</v></cell><cell r="S724" t="str"><v>Apps & Infra</v></cell><cell r="T724" t="str"><v>Developers & ITI's</v></cell><cell r="U724" t="str"><v>Retargeting</v></cell><cell r="V724" t="str"><v>Retargeting</v></cell><cell r="W724" t="str"><v>Link Ad</v></cell><cell r="X724" t="str"><v>1200x628</v></cell></row><row r="724"><cell r="Z724" t="str"><v>Not Applicable</v></cell><cell r="AA724"><v>43356</v></cell><cell r="AB724" t="str"><v>GBR_gaPMG_CE_AZR_Q1_19_Trial-Social</v></cell><cell r="AC724"><v>21337013</v></cell><cell r="AD724"><v>720196</v></cell><cell r="AE724" t="str"><v>Facebook</v></cell><cell r="AF724"><v>3654128</v></cell><cell r="AG724" t="str"><v>Facebook»Retargeting»1x1»SocialBan»LIA»DT»DYN»RT»W»NA»SS»NA»Free Account Retargeting Generic- Global Alt ChB</v></cell><cell r="AH724"><v>223560356</v></cell><cell r="AI724" t="str"><v>AzurePlatform_FreeAcctRetargetingFB-GlobalAlt-ChB_GBR_1200x628_SOC_Plat_EN_Free Account_Standard_NA_SU_T2_1</v></cell><cell r="AJ724"><v>102854016</v></cell></row><row r="725"><cell r="D725" t="str"><v>43356223560350</v></cell><cell r="E725" t="str"><v>43356103006547os ChG</v></cell><cell r="F725" t="str"><v>DCM</v></cell></row><row r="725"><cell r="H725"><v>0</v></cell><cell r="I725" t="str"><v>Azure Direct</v></cell><cell r="J725" t="str"><v>Azure Direct</v></cell><cell r="K725" t="str"><v>September</v></cell><cell r="L725"><v>43358</v></cell><cell r="M725" t="str"><v>Tier 1</v></cell><cell r="N725" t="str"><v>EMEA</v></cell><cell r="O725" t="str"><v>United Kingdom</v></cell><cell r="P725" t="str"><v>Trial</v></cell><cell r="Q725" t="str"><v>Social</v></cell><cell r="R725" t="str"><v>Azure</v></cell><cell r="S725" t="str"><v>Apps & Infra</v></cell><cell r="T725" t="str"><v>Developers & ITI's</v></cell><cell r="U725" t="str"><v>Retargeting</v></cell><cell r="V725" t="str"><v>Retargeting</v></cell><cell r="W725" t="str"><v>Link Ad</v></cell><cell r="X725" t="str"><v>1200x628</v></cell></row><row r="725"><cell r="Z725" t="str"><v>Not Applicable</v></cell><cell r="AA725"><v>43356</v></cell><cell r="AB725" t="str"><v>GBR_gaPMG_CE_AZR_Q1_19_Trial-Social</v></cell><cell r="AC725"><v>21337013</v></cell><cell r="AD725"><v>720196</v></cell><cell r="AE725" t="str"><v>Facebook</v></cell><cell r="AF725"><v>3654128</v></cell><cell r="AG725" t="str"><v>Facebook»Retargeting»1x1»SocialBan»LIA»DT»DYN»RT»W»NA»SS»NA»Free Account Retargeting OSS- Logos ChG</v></cell><cell r="AH725"><v>223560350</v></cell><cell r="AI725" t="str"><v>AzurePlatform_FreeAcctRetargetingOSSFB-Logos-ChG_GBR_1200x628_SOC_Plat_EN_Free Account_Standard_NA_SU_T2_1</v></cell><cell r="AJ725"><v>103006547</v></cell></row><row r="726"><cell r="D726" t="str"><v>43356223560344</v></cell><cell r="E726" t="str"><v>43356102861246xt ChF</v></cell><cell r="F726" t="str"><v>DCM</v></cell></row><row r="726"><cell r="H726"><v>1</v></cell><cell r="I726" t="str"><v>Azure Direct</v></cell><cell r="J726" t="str"><v>Azure Direct</v></cell><cell r="K726" t="str"><v>September</v></cell><cell r="L726"><v>43358</v></cell><cell r="M726" t="str"><v>Tier 1</v></cell><cell r="N726" t="str"><v>EMEA</v></cell><cell r="O726" t="str"><v>United Kingdom</v></cell><cell r="P726" t="str"><v>Trial</v></cell><cell r="Q726" t="str"><v>Social</v></cell><cell r="R726" t="str"><v>Azure</v></cell><cell r="S726" t="str"><v>Apps & Infra</v></cell><cell r="T726" t="str"><v>Developers & ITI's</v></cell><cell r="U726" t="str"><v>Retargeting</v></cell><cell r="V726" t="str"><v>Retargeting</v></cell><cell r="W726" t="str"><v>Link Ad</v></cell><cell r="X726" t="str"><v>1200x628</v></cell></row><row r="726"><cell r="Z726" t="str"><v>Not Applicable</v></cell><cell r="AA726"><v>43356</v></cell><cell r="AB726" t="str"><v>GBR_gaPMG_CE_AZR_Q1_19_Trial-Social</v></cell><cell r="AC726"><v>21337013</v></cell><cell r="AD726"><v>720196</v></cell><cell r="AE726" t="str"><v>Facebook</v></cell><cell r="AF726"><v>3654128</v></cell><cell r="AG726" t="str"><v>Facebook»Retargeting»1x1»SocialBan»LIA»DT»DYN»RT»W»NA»SS»NA»Free Account Retargeting OSS- Text ChF</v></cell><cell r="AH726"><v>223560344</v></cell><cell r="AI726" t="str"><v>AzurePlatform_FreeAcctRetargetingOSSFB-Text-ChF_GBR_1200x628_SOC_Plat_EN_Free Account_Standard_NA_SU_T1_1</v></cell><cell r="AJ726"><v>102861246</v></cell></row><row r="727"><cell r="D727" t="str"><v>43356226887148</v></cell><cell r="E727" t="str"><v>43356103235146Secure</v></cell><cell r="F727" t="str"><v>DCM</v></cell></row><row r="727"><cell r="H727"><v>0</v></cell><cell r="I727" t="str"><v>Azure Direct</v></cell><cell r="J727" t="str"><v>Azure Direct</v></cell><cell r="K727" t="str"><v>September</v></cell><cell r="L727"><v>43358</v></cell><cell r="M727" t="str"><v>Tier 1</v></cell><cell r="N727" t="str"><v>EMEA</v></cell><cell r="O727" t="str"><v>United Kingdom</v></cell><cell r="P727" t="str"><v>Trial</v></cell><cell r="Q727" t="str"><v>Social</v></cell><cell r="R727" t="str"><v>Azure</v></cell><cell r="S727" t="str"><v>Apps & Infra</v></cell><cell r="T727" t="str"><v>Developers & ITI's</v></cell><cell r="U727" t="str"><v>Audience & Interest Targeting- Azure Trial Lookalikes</v></cell><cell r="V727" t="str"><v>Audience Targeting</v></cell><cell r="W727" t="str"><v>Canvas Ad</v></cell><cell r="X727" t="str"><v>1080x143</v></cell><cell r="Y727" t="str"><v>Not Applicable </v></cell><cell r="Z727" t="str"><v>Not Applicable</v></cell><cell r="AA727"><v>43356</v></cell><cell r="AB727" t="str"><v>GBR_gaPMG_CE_AZR_Q1_19_Trial-Social</v></cell><cell r="AC727"><v>21337013</v></cell><cell r="AD727"><v>720196</v></cell><cell r="AE727" t="str"><v>Facebook</v></cell><cell r="AF727"><v>3654128</v></cell><cell r="AG727" t="str"><v>Facebook»Audience & Interest Targeting- Azure Trial Lookalikes»1x1»TextLink»CAN»MO»CPM»AUT»W»NA»SS»NA»Free Account IT Pro- Secure</v></cell><cell r="AH727"><v>226887148</v></cell><cell r="AI727" t="str"><v>AzurePlatform_FBCTCcanvaspage-StartFreeCTA-Img2_GBR_1080x143 _SOC_Plat_English_NA_Standard_NA_NA_T2_1</v></cell><cell r="AJ727"><v>103235146</v></cell></row><row r="728"><cell r="D728" t="str"><v>43356223298805</v></cell><cell r="E728" t="str"><v>43356102630373-Trial</v></cell><cell r="F728" t="str"><v>DCM</v></cell></row><row r="728"><cell r="H728"><v>2</v></cell><cell r="I728" t="str"><v>Azure Direct</v></cell><cell r="J728" t="str"><v>Azure Direct</v></cell><cell r="K728" t="str"><v>September</v></cell><cell r="L728"><v>43358</v></cell><cell r="M728" t="str"><v>Tier 1</v></cell><cell r="N728" t="str"><v>APAC</v></cell><cell r="O728" t="str"><v>Japan</v></cell><cell r="P728" t="str"><v>Trial</v></cell><cell r="Q728" t="str"><v>Social</v></cell><cell r="R728" t="str"><v>Azure</v></cell><cell r="S728" t="str"><v>Apps & Infra</v></cell><cell r="T728" t="str"><v>Developers & ITI's</v></cell><cell r="U728" t="str"><v>AZP-Canvas-Interest&Role-Trial</v></cell><cell r="V728" t="str"><v>Prospecting</v></cell><cell r="W728" t="str"><v>Canvas Ad</v></cell><cell r="X728" t="str"><v>1080x162</v></cell><cell r="Y728" t="str"><v>Buy Now</v></cell><cell r="Z728" t="str"><v>Not Applicable</v></cell><cell r="AA728"><v>43356</v></cell><cell r="AB728" t="str"><v>JPN_gaPMG_AZR_AZR_Q1_19_Trial-Social</v></cell><cell r="AC728"><v>21276694</v></cell><cell r="AD728"><v>720195</v></cell><cell r="AE728" t="str"><v>Facebook</v></cell><cell r="AF728"><v>3654128</v></cell><cell r="AG728" t="str"><v>Facebook»AZP-Canvas-Interest&Role-Trial»1x1»Canvas»OTH»MO»CPM»PRO»X»UNK»TP»OT»Canvas-Trial</v></cell><cell r="AH728"><v>223298805</v></cell><cell r="AI728" t="str"><v>AzurePlatform_FBCTCcanvaspage-BuyNowCTA-Img3_JPN_1080x162_SOC_Plat_Japanese_NA_Standard_NA_BN_T3_1</v></cell><cell r="AJ728"><v>102630373</v></cell></row><row r="729"><cell r="D729" t="str"><v>43356223298805</v></cell><cell r="E729" t="str"><v>43356102609621-Trial</v></cell><cell r="F729" t="str"><v>DCM</v></cell></row><row r="729"><cell r="H729"><v>0</v></cell><cell r="I729" t="str"><v>Azure Direct</v></cell><cell r="J729" t="str"><v>Azure Direct</v></cell><cell r="K729" t="str"><v>September</v></cell><cell r="L729"><v>43358</v></cell><cell r="M729" t="str"><v>Tier 1</v></cell><cell r="N729" t="str"><v>APAC</v></cell><cell r="O729" t="str"><v>Japan</v></cell><cell r="P729" t="str"><v>Trial</v></cell><cell r="Q729" t="str"><v>Social</v></cell><cell r="R729" t="str"><v>Azure</v></cell><cell r="S729" t="str"><v>Apps & Infra</v></cell><cell r="T729" t="str"><v>Developers & ITI's</v></cell><cell r="U729" t="str"><v>AZP-Canvas-Interest&Role-Trial</v></cell><cell r="V729" t="str"><v>Prospecting</v></cell><cell r="W729" t="str"><v>Canvas Ad</v></cell><cell r="X729" t="str"><v>1080x143</v></cell><cell r="Y729" t="str"><v>Not Applicable </v></cell><cell r="Z729" t="str"><v>Not Applicable</v></cell><cell r="AA729"><v>43356</v></cell><cell r="AB729" t="str"><v>JPN_gaPMG_AZR_AZR_Q1_19_Trial-Social</v></cell><cell r="AC729"><v>21276694</v></cell><cell r="AD729"><v>720195</v></cell><cell r="AE729" t="str"><v>Facebook</v></cell><cell r="AF729"><v>3654128</v></cell><cell r="AG729" t="str"><v>Facebook»AZP-Canvas-Interest&Role-Trial»1x1»Canvas»OTH»MO»CPM»PRO»X»UNK»TP»OT»Canvas-Trial</v></cell><cell r="AH729"><v>223298805</v></cell><cell r="AI729" t="str"><v>AzurePlatform_FBCTCcanvaspage-StartFreeCTA-Img2_JPN_1080x143 _SOC_Plat_Japanese_NA_Standard_NA_NA_T2_1</v></cell><cell r="AJ729"><v>102609621</v></cell></row><row r="730"><cell r="D730" t="str"><v>43356226269941</v></cell><cell r="E730" t="str"><v>43356104061321-Trial</v></cell><cell r="F730" t="str"><v>DCM</v></cell></row><row r="730"><cell r="H730"><v>0</v></cell><cell r="I730" t="str"><v>Azure Direct</v></cell><cell r="J730" t="str"><v>Azure Direct</v></cell><cell r="K730" t="str"><v>September</v></cell><cell r="L730"><v>43358</v></cell><cell r="M730" t="str"><v>Tier 1</v></cell><cell r="N730" t="str"><v>APAC</v></cell><cell r="O730" t="str"><v>Japan</v></cell><cell r="P730" t="str"><v>Trial</v></cell><cell r="Q730" t="str"><v>Social</v></cell><cell r="R730" t="str"><v>Azure</v></cell><cell r="S730" t="str"><v>Apps & Infra</v></cell><cell r="T730" t="str"><v>Developers & ITI's</v></cell><cell r="U730" t="str"><v>AZP-Canvas-Retargeting-Trial</v></cell><cell r="V730" t="str"><v>Prospecting</v></cell><cell r="W730" t="str"><v>Canvas Ad</v></cell><cell r="X730" t="str"><v>1080x143</v></cell><cell r="Y730" t="str"><v>Not Applicable </v></cell><cell r="Z730" t="str"><v>Not Applicable</v></cell><cell r="AA730"><v>43356</v></cell><cell r="AB730" t="str"><v>JPN_gaPMG_AZR_AZR_Q1_19_Trial-Social</v></cell><cell r="AC730"><v>21276694</v></cell><cell r="AD730"><v>720195</v></cell><cell r="AE730" t="str"><v>Facebook</v></cell><cell r="AF730"><v>3654128</v></cell><cell r="AG730" t="str"><v>Facebook»AZP-Canvas-Retargeting-Trial»1x1»Canvas»SOC»MO»CPM»PRO»W»UNK»SS»OT»Canvas-Trial</v></cell><cell r="AH730"><v>226269941</v></cell><cell r="AI730" t="str"><v>AZR_FBCTCcanvaspage-StartFreeCTA-Img2_JPN_1080x143 _SOC_Plat_Japanese_NA_Standard_NA_NA_T2_1</v></cell><cell r="AJ730"><v>104061321</v></cell></row><row r="731"><cell r="D731" t="str"><v>43356226269941</v></cell><cell r="E731" t="str"><v>43356104060547-Trial</v></cell><cell r="F731" t="str"><v>DCM</v></cell></row><row r="731"><cell r="H731"><v>2</v></cell><cell r="I731" t="str"><v>Azure Direct</v></cell><cell r="J731" t="str"><v>Azure Direct</v></cell><cell r="K731" t="str"><v>September</v></cell><cell r="L731"><v>43358</v></cell><cell r="M731" t="str"><v>Tier 1</v></cell><cell r="N731" t="str"><v>APAC</v></cell><cell r="O731" t="str"><v>Japan</v></cell><cell r="P731" t="str"><v>Trial</v></cell><cell r="Q731" t="str"><v>Social</v></cell><cell r="R731" t="str"><v>Azure</v></cell><cell r="S731" t="str"><v>Apps & Infra</v></cell><cell r="T731" t="str"><v>Developers & ITI's</v></cell><cell r="U731" t="str"><v>AZP-Canvas-Retargeting-Trial</v></cell><cell r="V731" t="str"><v>Prospecting</v></cell><cell r="W731" t="str"><v>Canvas Ad</v></cell><cell r="X731" t="str"><v>1080x162</v></cell><cell r="Y731" t="str"><v>Buy Now</v></cell><cell r="Z731" t="str"><v>Not Applicable</v></cell><cell r="AA731"><v>43356</v></cell><cell r="AB731" t="str"><v>JPN_gaPMG_AZR_AZR_Q1_19_Trial-Social</v></cell><cell r="AC731"><v>21276694</v></cell><cell r="AD731"><v>720195</v></cell><cell r="AE731" t="str"><v>Facebook</v></cell><cell r="AF731"><v>3654128</v></cell><cell r="AG731" t="str"><v>Facebook»AZP-Canvas-Retargeting-Trial»1x1»Canvas»SOC»MO»CPM»PRO»W»UNK»SS»OT»Canvas-Trial</v></cell><cell r="AH731"><v>226269941</v></cell><cell r="AI731" t="str"><v>AZR_FBCTCcanvaspage-BuyNowCTA-Img3_JPN_1080x162_SOC_Plat_Japanese_NA_Standard_NA_BN_T3_1</v></cell><cell r="AJ731"><v>104060547</v></cell></row><row r="732"><cell r="D732" t="str"><v>43356227208508</v></cell><cell r="E732" t="str"><v>43356102630373-Trial</v></cell><cell r="F732" t="str"><v>DCM</v></cell></row><row r="732"><cell r="H732"><v>1</v></cell><cell r="I732" t="str"><v>Azure Direct</v></cell><cell r="J732" t="str"><v>Azure Direct</v></cell><cell r="K732" t="str"><v>September</v></cell><cell r="L732"><v>43358</v></cell><cell r="M732" t="str"><v>Tier 1</v></cell><cell r="N732" t="str"><v>APAC</v></cell><cell r="O732" t="str"><v>Japan</v></cell><cell r="P732" t="str"><v>Trial</v></cell><cell r="Q732" t="str"><v>Social</v></cell><cell r="R732" t="str"><v>Azure</v></cell><cell r="S732" t="str"><v>Apps & Infra</v></cell><cell r="T732" t="str"><v>Developers & ITI's</v></cell><cell r="U732" t="str"><v>AZP-Canvas-iine-Trial</v></cell><cell r="V732" t="str"><v>Audience Targeting</v></cell><cell r="W732" t="str"><v>Canvas Ad</v></cell><cell r="X732" t="str"><v>1080x162</v></cell><cell r="Y732" t="str"><v>Buy Now</v></cell><cell r="Z732" t="str"><v>Not Applicable</v></cell><cell r="AA732"><v>43356</v></cell><cell r="AB732" t="str"><v>JPN_gaPMG_AZR_AZR_Q1_19_Trial-Social</v></cell><cell r="AC732"><v>21276694</v></cell><cell r="AD732"><v>720195</v></cell><cell r="AE732" t="str"><v>Facebook</v></cell><cell r="AF732"><v>3654128</v></cell><cell r="AG732" t="str"><v>Facebook»AZP-Canvas-iine-Trial»1x1»Canvas»SOC»MO»CPM»AUT»W»NA»SS»NA»Canvas-Trial</v></cell><cell r="AH732"><v>227208508</v></cell><cell r="AI732" t="str"><v>AzurePlatform_FBCTCcanvaspage-BuyNowCTA-Img3_JPN_1080x162_SOC_Plat_Japanese_NA_Standard_NA_BN_T3_1</v></cell><cell r="AJ732"><v>102630373</v></cell></row><row r="733"><cell r="D733" t="str"><v>43356227208508</v></cell><cell r="E733" t="str"><v>43356102609621-Trial</v></cell><cell r="F733" t="str"><v>DCM</v></cell></row><row r="733"><cell r="H733"><v>0</v></cell><cell r="I733" t="str"><v>Azure Direct</v></cell><cell r="J733" t="str"><v>Azure Direct</v></cell><cell r="K733" t="str"><v>September</v></cell><cell r="L733"><v>43358</v></cell><cell r="M733" t="str"><v>Tier 1</v></cell><cell r="N733" t="str"><v>APAC</v></cell><cell r="O733" t="str"><v>Japan</v></cell><cell r="P733" t="str"><v>Trial</v></cell><cell r="Q733" t="str"><v>Social</v></cell><cell r="R733" t="str"><v>Azure</v></cell><cell r="S733" t="str"><v>Apps & Infra</v></cell><cell r="T733" t="str"><v>Developers & ITI's</v></cell><cell r="U733" t="str"><v>AZP-Canvas-iine-Trial</v></cell><cell r="V733" t="str"><v>Audience Targeting</v></cell><cell r="W733" t="str"><v>Canvas Ad</v></cell><cell r="X733" t="str"><v>1080x143</v></cell><cell r="Y733" t="str"><v>Not Applicable </v></cell><cell r="Z733" t="str"><v>Not Applicable</v></cell><cell r="AA733"><v>43356</v></cell><cell r="AB733" t="str"><v>JPN_gaPMG_AZR_AZR_Q1_19_Trial-Social</v></cell><cell r="AC733"><v>21276694</v></cell><cell r="AD733"><v>720195</v></cell><cell r="AE733" t="str"><v>Facebook</v></cell><cell r="AF733"><v>3654128</v></cell><cell r="AG733" t="str"><v>Facebook»AZP-Canvas-iine-Trial»1x1»Canvas»SOC»MO»CPM»AUT»W»NA»SS»NA»Canvas-Trial</v></cell><cell r="AH733"><v>227208508</v></cell><cell r="AI733" t="str"><v>AzurePlatform_FBCTCcanvaspage-StartFreeCTA-Img2_JPN_1080x143 _SOC_Plat_Japanese_NA_Standard_NA_NA_T2_1</v></cell><cell r="AJ733"><v>102609621</v></cell></row><row r="734"><cell r="D734" t="str"><v>43356223297413</v></cell><cell r="E734" t="str"><v>43356102609621-Trial</v></cell><cell r="F734" t="str"><v>DCM</v></cell></row><row r="734"><cell r="H734"><v>0</v></cell><cell r="I734" t="str"><v>Azure Direct</v></cell><cell r="J734" t="str"><v>Azure Direct</v></cell><cell r="K734" t="str"><v>September</v></cell><cell r="L734"><v>43358</v></cell><cell r="M734" t="str"><v>Tier 1</v></cell><cell r="N734" t="str"><v>APAC</v></cell><cell r="O734" t="str"><v>Japan</v></cell><cell r="P734" t="str"><v>Trial</v></cell><cell r="Q734" t="str"><v>Social</v></cell><cell r="R734" t="str"><v>Azure</v></cell><cell r="S734" t="str"><v>Apps & Infra</v></cell><cell r="T734" t="str"><v>Developers & ITI's</v></cell><cell r="U734" t="str"><v>AZP-Canvas-Look a Like-Trial</v></cell><cell r="V734" t="str"><v>Prospecting</v></cell><cell r="W734" t="str"><v>Canvas Ad</v></cell><cell r="X734" t="str"><v>1080x143</v></cell><cell r="Y734" t="str"><v>Not Applicable </v></cell><cell r="Z734" t="str"><v>Not Applicable</v></cell><cell r="AA734"><v>43356</v></cell><cell r="AB734" t="str"><v>JPN_gaPMG_AZR_AZR_Q1_19_Trial-Social</v></cell><cell r="AC734"><v>21276694</v></cell><cell r="AD734"><v>720195</v></cell><cell r="AE734" t="str"><v>Facebook</v></cell><cell r="AF734"><v>3654128</v></cell><cell r="AG734" t="str"><v>Facebook»AZP-Canvas-Look a Like-Trial»1x1»Canvas»OTH»MO»CPM»PRO»X»UNK»TP»OT»Canvas-Trial</v></cell><cell r="AH734"><v>223297413</v></cell><cell r="AI734" t="str"><v>AzurePlatform_FBCTCcanvaspage-StartFreeCTA-Img2_JPN_1080x143 _SOC_Plat_Japanese_NA_Standard_NA_NA_T2_1</v></cell><cell r="AJ734"><v>102609621</v></cell></row><row r="735"><cell r="D735" t="str"><v>43356223933138</v></cell><cell r="E735" t="str"><v>43356103043835PRC1SW</v></cell><cell r="F735" t="str"><v>DCM</v></cell></row><row r="735"><cell r="H735"><v>2</v></cell><cell r="I735" t="str"><v>Azure Direct</v></cell><cell r="J735" t="str"><v>Azure Direct</v></cell><cell r="K735" t="str"><v>September</v></cell><cell r="L735"><v>43358</v></cell><cell r="M735" t="str"><v>Tier 0</v></cell><cell r="N735" t="str"><v>North America</v></cell><cell r="O735" t="str"><v>United States</v></cell><cell r="P735" t="str"><v>Trial</v></cell><cell r="Q735" t="str"><v>Social</v></cell><cell r="R735" t="str"><v>Azure</v></cell><cell r="S735" t="str"><v>Apps & Infra</v></cell><cell r="T735" t="str"><v>Developers & ITI's</v></cell><cell r="U735" t="str"><v>USA-Trial-ITD-Interest Prospecting-AZR-AZR</v></cell><cell r="V735" t="str"><v>Prospecting</v></cell><cell r="W735" t="str"><v>Canvas Ad</v></cell><cell r="X735" t="str"><v>10s</v></cell><cell r="Y735" t="str"><v>Try it Now</v></cell><cell r="Z735" t="str"><v>Standard videos</v></cell><cell r="AA735"><v>43356</v></cell><cell r="AB735" t="str"><v>USA_gaPMG_AZR_AZR_Q1_19_Direct-Social</v></cell><cell r="AC735"><v>21358715</v></cell><cell r="AD735"><v>720197</v></cell><cell r="AE735" t="str"><v>Facebook</v></cell><cell r="AF735"><v>3654128</v></cell><cell r="AG735" t="str"><v>FACEBOOK»USA-Trial-ITD-Interest Prospecting-AZR-AZR»1 x 1»SocialBan»CAN»ALL»CPA»PRO»X»NA»SS»NA»FBCTCBenefit2inMotion»PRC1SW</v></cell><cell r="AH735"><v>223933138</v></cell><cell r="AI735" t="str"><v>AzurePlatform_FBCTCBenefit2inMotion_USA_10s_CAN_PLATFORM_English_Trial_Standard_STAN_TIN_T4_1</v></cell><cell r="AJ735"><v>103043835</v></cell></row><row r="736"><cell r="D736" t="str"><v>43356223933138</v></cell><cell r="E736" t="str"><v>43356103178645PRC1SW</v></cell><cell r="F736" t="str"><v>DCM</v></cell></row><row r="736"><cell r="H736"><v>3</v></cell><cell r="I736" t="str"><v>Azure Direct</v></cell><cell r="J736" t="str"><v>Azure Direct</v></cell><cell r="K736" t="str"><v>September</v></cell><cell r="L736"><v>43358</v></cell><cell r="M736" t="str"><v>Tier 0</v></cell><cell r="N736" t="str"><v>North America</v></cell><cell r="O736" t="str"><v>United States</v></cell><cell r="P736" t="str"><v>Trial</v></cell><cell r="Q736" t="str"><v>Social</v></cell><cell r="R736" t="str"><v>Azure</v></cell><cell r="S736" t="str"><v>Apps & Infra</v></cell><cell r="T736" t="str"><v>Developers & ITI's</v></cell><cell r="U736" t="str"><v>USA-Trial-ITD-Interest Prospecting-AZR-AZR</v></cell><cell r="V736" t="str"><v>Prospecting</v></cell><cell r="W736" t="str"><v>Canvas Ad</v></cell><cell r="X736" t="str"><v>10s</v></cell><cell r="Y736" t="str"><v>Try it Now</v></cell><cell r="Z736" t="str"><v>Standard videos</v></cell><cell r="AA736"><v>43356</v></cell><cell r="AB736" t="str"><v>USA_gaPMG_AZR_AZR_Q1_19_Direct-Social</v></cell><cell r="AC736"><v>21358715</v></cell><cell r="AD736"><v>720197</v></cell><cell r="AE736" t="str"><v>Facebook</v></cell><cell r="AF736"><v>3654128</v></cell><cell r="AG736" t="str"><v>FACEBOOK»USA-Trial-ITD-Interest Prospecting-AZR-AZR»1 x 1»SocialBan»CAN»ALL»CPA»PRO»X»NA»SS»NA»FBCTCBenefit2inMotion»PRC1SW</v></cell><cell r="AH736"><v>223933138</v></cell><cell r="AI736" t="str"><v>AzurePlatform_FBCTCBenefit2inMotion_USA_10s_CAN_PLATFORM_English_Trial_Standard_STAN_TIN_T4_2</v></cell><cell r="AJ736"><v>103178645</v></cell></row><row r="737"><cell r="D737" t="str"><v>43356224104077</v></cell><cell r="E737" t="str"><v>43356103032775PRC1SX</v></cell><cell r="F737" t="str"><v>DCM</v></cell></row><row r="737"><cell r="H737"><v>0</v></cell><cell r="I737" t="str"><v>Azure Direct</v></cell><cell r="J737" t="str"><v>Azure Direct</v></cell><cell r="K737" t="str"><v>September</v></cell><cell r="L737"><v>43358</v></cell><cell r="M737" t="str"><v>Tier 0</v></cell><cell r="N737" t="str"><v>North America</v></cell><cell r="O737" t="str"><v>United States</v></cell><cell r="P737" t="str"><v>Trial</v></cell><cell r="Q737" t="str"><v>Social</v></cell><cell r="R737" t="str"><v>Azure</v></cell><cell r="S737" t="str"><v>Apps & Infra</v></cell><cell r="T737" t="str"><v>Developers & ITI's</v></cell><cell r="U737" t="str"><v>USA-Trial-ITD-Interest Prospecting-AZR-AZR</v></cell><cell r="V737" t="str"><v>Prospecting</v></cell><cell r="W737" t="str"><v>Canvas Ad</v></cell><cell r="X737" t="str"><v>10s</v></cell><cell r="Y737" t="str"><v>Try it Now</v></cell><cell r="Z737" t="str"><v>Standard videos</v></cell><cell r="AA737"><v>43356</v></cell><cell r="AB737" t="str"><v>USA_gaPMG_AZR_AZR_Q1_19_Direct-Social</v></cell><cell r="AC737"><v>21358715</v></cell><cell r="AD737"><v>720197</v></cell><cell r="AE737" t="str"><v>Facebook</v></cell><cell r="AF737"><v>3654128</v></cell><cell r="AG737" t="str"><v>FACEBOOK»USA-Trial-ITD-Interest Prospecting-AZR-AZR»1 x 1»SocialBan»CAN»ALL»CPA»PRO»X»NA»SS»NA»FBCTCBenefitinMotion»PRC1SX</v></cell><cell r="AH737"><v>224104077</v></cell><cell r="AI737" t="str"><v>AzurePlatform_FBCTCBenefitinMotion_USA_10s_CAN_PLATFORM_English_Trial_Standard_STAN_TIN_T3_1</v></cell><cell r="AJ737"><v>103032775</v></cell></row><row r="738"><cell r="D738" t="str"><v>43356224104077</v></cell><cell r="E738" t="str"><v>43356103176836PRC1SX</v></cell><cell r="F738" t="str"><v>DCM</v></cell></row><row r="738"><cell r="H738"><v>0</v></cell><cell r="I738" t="str"><v>Azure Direct</v></cell><cell r="J738" t="str"><v>Azure Direct</v></cell><cell r="K738" t="str"><v>September</v></cell><cell r="L738"><v>43358</v></cell><cell r="M738" t="str"><v>Tier 0</v></cell><cell r="N738" t="str"><v>North America</v></cell><cell r="O738" t="str"><v>United States</v></cell><cell r="P738" t="str"><v>Trial</v></cell><cell r="Q738" t="str"><v>Social</v></cell><cell r="R738" t="str"><v>Azure</v></cell><cell r="S738" t="str"><v>Apps & Infra</v></cell><cell r="T738" t="str"><v>Developers & ITI's</v></cell><cell r="U738" t="str"><v>USA-Trial-ITD-Interest Prospecting-AZR-AZR</v></cell><cell r="V738" t="str"><v>Prospecting</v></cell><cell r="W738" t="str"><v>Canvas Ad</v></cell><cell r="X738" t="str"><v>10s</v></cell><cell r="Y738" t="str"><v>Try it Now</v></cell><cell r="Z738" t="str"><v>Standard videos</v></cell><cell r="AA738"><v>43356</v></cell><cell r="AB738" t="str"><v>USA_gaPMG_AZR_AZR_Q1_19_Direct-Social</v></cell><cell r="AC738"><v>21358715</v></cell><cell r="AD738"><v>720197</v></cell><cell r="AE738" t="str"><v>Facebook</v></cell><cell r="AF738"><v>3654128</v></cell><cell r="AG738" t="str"><v>FACEBOOK»USA-Trial-ITD-Interest Prospecting-AZR-AZR»1 x 1»SocialBan»CAN»ALL»CPA»PRO»X»NA»SS»NA»FBCTCBenefitinMotion»PRC1SX</v></cell><cell r="AH738"><v>224104077</v></cell><cell r="AI738" t="str"><v>AzurePlatform_FBCTCBenefitinMotion_USA_10s_CAN_PLATFORM_English_Trial_Standard_STAN_TIN_T3_2</v></cell><cell r="AJ738"><v>103176836</v></cell></row><row r="739"><cell r="D739" t="str"><v>43356224104929</v></cell><cell r="E739" t="str"><v>43356103176812PRC1SY</v></cell><cell r="F739" t="str"><v>DCM</v></cell></row><row r="739"><cell r="H739"><v>0</v></cell><cell r="I739" t="str"><v>Azure Direct</v></cell><cell r="J739" t="str"><v>Azure Direct</v></cell><cell r="K739" t="str"><v>September</v></cell><cell r="L739"><v>43358</v></cell><cell r="M739" t="str"><v>Tier 0</v></cell><cell r="N739" t="str"><v>North America</v></cell><cell r="O739" t="str"><v>United States</v></cell><cell r="P739" t="str"><v>Trial</v></cell><cell r="Q739" t="str"><v>Social</v></cell><cell r="R739" t="str"><v>Azure</v></cell><cell r="S739" t="str"><v>Apps & Infra</v></cell><cell r="T739" t="str"><v>Developers & ITI's</v></cell><cell r="U739" t="str"><v>USA-Trial-ITD-Interest Prospecting-AZR-AZR</v></cell><cell r="V739" t="str"><v>Prospecting</v></cell><cell r="W739" t="str"><v>Canvas Ad</v></cell><cell r="X739" t="str"><v>10s</v></cell><cell r="Y739" t="str"><v>Try it Now</v></cell><cell r="Z739" t="str"><v>Standard videos</v></cell><cell r="AA739"><v>43356</v></cell><cell r="AB739" t="str"><v>USA_gaPMG_AZR_AZR_Q1_19_Direct-Social</v></cell><cell r="AC739"><v>21358715</v></cell><cell r="AD739"><v>720197</v></cell><cell r="AE739" t="str"><v>Facebook</v></cell><cell r="AF739"><v>3654128</v></cell><cell r="AG739" t="str"><v>FACEBOOK»USA-Trial-ITD-Interest Prospecting-AZR-AZR»1 x 1»SocialBan»CAN»ALL»CPA»PRO»X»NA»SS»NA»FBCTCBrandinMotion»PRC1SY</v></cell><cell r="AH739"><v>224104929</v></cell><cell r="AI739" t="str"><v>AzurePlatform_FBCTCBrandinMotion_USA_10s_CAN_PLATFORM_English_Trial_Standard_STAN_TIN_T2_1</v></cell><cell r="AJ739"><v>103176812</v></cell></row><row r="740"><cell r="D740" t="str"><v>43356224104929</v></cell><cell r="E740" t="str"><v>43356103032823PRC1SY</v></cell><cell r="F740" t="str"><v>DCM</v></cell></row><row r="740"><cell r="H740"><v>3</v></cell><cell r="I740" t="str"><v>Azure Direct</v></cell><cell r="J740" t="str"><v>Azure Direct</v></cell><cell r="K740" t="str"><v>September</v></cell><cell r="L740"><v>43358</v></cell><cell r="M740" t="str"><v>Tier 0</v></cell><cell r="N740" t="str"><v>North America</v></cell><cell r="O740" t="str"><v>United States</v></cell><cell r="P740" t="str"><v>Trial</v></cell><cell r="Q740" t="str"><v>Social</v></cell><cell r="R740" t="str"><v>Azure</v></cell><cell r="S740" t="str"><v>Apps & Infra</v></cell><cell r="T740" t="str"><v>Developers & ITI's</v></cell><cell r="U740" t="str"><v>USA-Trial-ITD-Interest Prospecting-AZR-AZR</v></cell><cell r="V740" t="str"><v>Prospecting</v></cell><cell r="W740" t="str"><v>Canvas Ad</v></cell><cell r="X740" t="str"><v>10s</v></cell><cell r="Y740" t="str"><v>Try it Now</v></cell><cell r="Z740" t="str"><v>Standard videos</v></cell><cell r="AA740"><v>43356</v></cell><cell r="AB740" t="str"><v>USA_gaPMG_AZR_AZR_Q1_19_Direct-Social</v></cell><cell r="AC740"><v>21358715</v></cell><cell r="AD740"><v>720197</v></cell><cell r="AE740" t="str"><v>Facebook</v></cell><cell r="AF740"><v>3654128</v></cell><cell r="AG740" t="str"><v>FACEBOOK»USA-Trial-ITD-Interest Prospecting-AZR-AZR»1 x 1»SocialBan»CAN»ALL»CPA»PRO»X»NA»SS»NA»FBCTCBrandinMotion»PRC1SY</v></cell><cell r="AH740"><v>224104929</v></cell><cell r="AI740" t="str"><v>AzurePlatform_FBCTCBrandinMotion_USA_10s_CAN_PLATFORM_English_Trial_Standard_STAN_TIN_T2_2</v></cell><cell r="AJ740"><v>103032823</v></cell></row><row r="741"><cell r="D741" t="str"><v>43356226617664</v></cell><cell r="E741" t="str"><v>43356104595739PS78JC</v></cell><cell r="F741" t="str"><v>DCM</v></cell></row><row r="741"><cell r="H741"><v>0</v></cell><cell r="I741" t="str"><v>Azure Direct</v></cell><cell r="J741" t="str"><v>Azure Direct</v></cell><cell r="K741" t="str"><v>September</v></cell><cell r="L741"><v>43358</v></cell><cell r="M741" t="str"><v>Tier 0</v></cell><cell r="N741" t="str"><v>North America</v></cell><cell r="O741" t="str"><v>United States</v></cell><cell r="P741" t="str"><v>Trial</v></cell><cell r="Q741" t="str"><v>Social</v></cell><cell r="R741" t="str"><v>Azure</v></cell><cell r="S741" t="str"><v>Apps & Infra</v></cell><cell r="T741" t="str"><v>Developers & ITI's</v></cell><cell r="U741" t="str"><v>USA-Trial-ITD-Interest Prospecting-AZR-AZR</v></cell><cell r="V741" t="str"><v>Prospecting</v></cell><cell r="W741" t="str"><v>Canvas Ad</v></cell><cell r="X741" t="str"><v>1200x1200</v></cell><cell r="Y741" t="str"><v>Learn More</v></cell><cell r="Z741" t="str"><v>Animated Banner</v></cell><cell r="AA741"><v>43356</v></cell><cell r="AB741" t="str"><v>USA_gaPMG_AZR_AZR_Q1_19_Direct-Social</v></cell><cell r="AC741"><v>21358715</v></cell><cell r="AD741"><v>720197</v></cell><cell r="AE741" t="str"><v>Facebook</v></cell><cell r="AF741"><v>3654128</v></cell><cell r="AG741" t="str"><v>FACEBOOK»USA-Trial-ITD-Interest Prospecting-AZR-AZR»1 x 1»SocialBan»CAN»ALL»CPA»PRO»X»NA»SS»NA»FreeAcctDeveloperFB-AnimatedData-Ch4»PS78JC</v></cell><cell r="AH741"><v>226617664</v></cell><cell r="AI741" t="str"><v>AZR_FreeAcctDeveloperFB-AnimatedData-Ch4_USA_1200x1200_CAN_Direct_EN_Trial_Standard_ANI_LEA_T4_1</v></cell><cell r="AJ741"><v>104595739</v></cell></row><row r="742"><cell r="D742" t="str"><v>43356226617664</v></cell><cell r="E742" t="str"><v>43356104671403PS78JC</v></cell><cell r="F742" t="str"><v>DCM</v></cell></row><row r="742"><cell r="H742"><v>1</v></cell><cell r="I742" t="str"><v>Azure Direct</v></cell><cell r="J742" t="str"><v>Azure Direct</v></cell><cell r="K742" t="str"><v>September</v></cell><cell r="L742"><v>43358</v></cell><cell r="M742" t="str"><v>Tier 0</v></cell><cell r="N742" t="str"><v>North America</v></cell><cell r="O742" t="str"><v>United States</v></cell><cell r="P742" t="str"><v>Trial</v></cell><cell r="Q742" t="str"><v>Social</v></cell><cell r="R742" t="str"><v>Azure</v></cell><cell r="S742" t="str"><v>Apps & Infra</v></cell><cell r="T742" t="str"><v>Developers & ITI's</v></cell><cell r="U742" t="str"><v>USA-Trial-ITD-Interest Prospecting-AZR-AZR</v></cell><cell r="V742" t="str"><v>Prospecting</v></cell><cell r="W742" t="str"><v>Canvas Ad</v></cell><cell r="X742" t="str"><v>1200x1200</v></cell><cell r="Y742" t="str"><v>Learn More</v></cell><cell r="Z742" t="str"><v>Animated Banner</v></cell><cell r="AA742"><v>43356</v></cell><cell r="AB742" t="str"><v>USA_gaPMG_AZR_AZR_Q1_19_Direct-Social</v></cell><cell r="AC742"><v>21358715</v></cell><cell r="AD742"><v>720197</v></cell><cell r="AE742" t="str"><v>Facebook</v></cell><cell r="AF742"><v>3654128</v></cell><cell r="AG742" t="str"><v>FACEBOOK»USA-Trial-ITD-Interest Prospecting-AZR-AZR»1 x 1»SocialBan»CAN»ALL»CPA»PRO»X»NA»SS»NA»FreeAcctDeveloperFB-AnimatedData-Ch4»PS78JC</v></cell><cell r="AH742"><v>226617664</v></cell><cell r="AI742" t="str"><v>AZR_FreeAcctDeveloperFB-AnimatedData-Ch4_USA_1200x1200_CAN_Direct_EN_Trial_Standard_ANI_LEA_T4_2</v></cell><cell r="AJ742"><v>104671403</v></cell></row><row r="743"><cell r="D743" t="str"><v>43356226783992</v></cell><cell r="E743" t="str"><v>43356104592523PS78J5</v></cell><cell r="F743" t="str"><v>DCM</v></cell></row><row r="743"><cell r="H743"><v>2</v></cell><cell r="I743" t="str"><v>Azure Direct</v></cell><cell r="J743" t="str"><v>Azure Direct</v></cell><cell r="K743" t="str"><v>September</v></cell><cell r="L743"><v>43358</v></cell><cell r="M743" t="str"><v>Tier 0</v></cell><cell r="N743" t="str"><v>North America</v></cell><cell r="O743" t="str"><v>United States</v></cell><cell r="P743" t="str"><v>Trial</v></cell><cell r="Q743" t="str"><v>Social</v></cell><cell r="R743" t="str"><v>Azure</v></cell><cell r="S743" t="str"><v>Apps & Infra</v></cell><cell r="T743" t="str"><v>Developers & ITI's</v></cell><cell r="U743" t="str"><v>USA-Trial-ITD-Interest Prospecting-AZR-AZR</v></cell><cell r="V743" t="str"><v>Prospecting</v></cell><cell r="W743" t="str"><v>Canvas Ad</v></cell><cell r="X743" t="str"><v>1200x1200</v></cell><cell r="Y743" t="str"><v>Learn More</v></cell><cell r="Z743" t="str"><v>Animated Banner</v></cell><cell r="AA743"><v>43356</v></cell><cell r="AB743" t="str"><v>USA_gaPMG_AZR_AZR_Q1_19_Direct-Social</v></cell><cell r="AC743"><v>21358715</v></cell><cell r="AD743"><v>720197</v></cell><cell r="AE743" t="str"><v>Facebook</v></cell><cell r="AF743"><v>3654128</v></cell><cell r="AG743" t="str"><v>FACEBOOK»USA-Trial-ITD-Interest Prospecting-AZR-AZR»1 x 1»SocialBan»CAN»ALL»CPA»PRO»X»NA»SS»NA»FreeAcctDeveloperFB-AnimatedGeneric-Ch1»PS78J5</v></cell><cell r="AH743"><v>226783992</v></cell><cell r="AI743" t="str"><v>AZR_FreeAcctDeveloperFB-AnimatedGeneric-Ch1_USA_1200x1200_CAN_Direct_EN_Trial_Standard_ANI_LEA_T1_2</v></cell><cell r="AJ743"><v>104592523</v></cell></row><row r="744"><cell r="D744" t="str"><v>43356226783992</v></cell><cell r="E744" t="str"><v>43356104595766PS78J5</v></cell><cell r="F744" t="str"><v>DCM</v></cell></row><row r="744"><cell r="H744"><v>0</v></cell><cell r="I744" t="str"><v>Azure Direct</v></cell><cell r="J744" t="str"><v>Azure Direct</v></cell><cell r="K744" t="str"><v>September</v></cell><cell r="L744"><v>43358</v></cell><cell r="M744" t="str"><v>Tier 0</v></cell><cell r="N744" t="str"><v>North America</v></cell><cell r="O744" t="str"><v>United States</v></cell><cell r="P744" t="str"><v>Trial</v></cell><cell r="Q744" t="str"><v>Social</v></cell><cell r="R744" t="str"><v>Azure</v></cell><cell r="S744" t="str"><v>Apps & Infra</v></cell><cell r="T744" t="str"><v>Developers & ITI's</v></cell><cell r="U744" t="str"><v>USA-Trial-ITD-Interest Prospecting-AZR-AZR</v></cell><cell r="V744" t="str"><v>Prospecting</v></cell><cell r="W744" t="str"><v>Canvas Ad</v></cell><cell r="X744" t="str"><v>1200x1200</v></cell><cell r="Y744" t="str"><v>Learn More</v></cell><cell r="Z744" t="str"><v>Animated Banner</v></cell><cell r="AA744"><v>43356</v></cell><cell r="AB744" t="str"><v>USA_gaPMG_AZR_AZR_Q1_19_Direct-Social</v></cell><cell r="AC744"><v>21358715</v></cell><cell r="AD744"><v>720197</v></cell><cell r="AE744" t="str"><v>Facebook</v></cell><cell r="AF744"><v>3654128</v></cell><cell r="AG744" t="str"><v>FACEBOOK»USA-Trial-ITD-Interest Prospecting-AZR-AZR»1 x 1»SocialBan»CAN»ALL»CPA»PRO»X»NA»SS»NA»FreeAcctDeveloperFB-AnimatedGeneric-Ch1»PS78J5</v></cell><cell r="AH744"><v>226783992</v></cell><cell r="AI744" t="str"><v>AZR_FreeAcctDeveloperFB-AnimatedGeneric-Ch1_USA_1200x1200_CAN_Direct_EN_Trial_Standard_ANI_LEA_T1_1</v></cell><cell r="AJ744"><v>104595766</v></cell></row><row r="745"><cell r="D745" t="str"><v>43356225283843</v></cell><cell r="E745" t="str"><v>43356103776921PRSGV0</v></cell><cell r="F745" t="str"><v>DCM</v></cell></row><row r="745"><cell r="H745"><v>0</v></cell><cell r="I745" t="str"><v>Azure Direct</v></cell><cell r="J745" t="str"><v>Azure Direct</v></cell><cell r="K745" t="str"><v>September</v></cell><cell r="L745"><v>43358</v></cell><cell r="M745" t="str"><v>Tier 0</v></cell><cell r="N745" t="str"><v>North America</v></cell><cell r="O745" t="str"><v>United States</v></cell><cell r="P745" t="str"><v>Trial</v></cell><cell r="Q745" t="str"><v>Social</v></cell><cell r="R745" t="str"><v>Azure</v></cell><cell r="S745" t="str"><v>Apps & Infra</v></cell><cell r="T745" t="str"><v>Developers & ITI's</v></cell><cell r="U745" t="str"><v>USA-Trial-ITD-Interest Prospecting-AZR-AZR</v></cell><cell r="V745" t="str"><v>Prospecting</v></cell><cell r="W745" t="str"><v>Canvas Collection Ad</v></cell><cell r="X745" t="str"><v>1200x182</v></cell><cell r="Y745" t="str"><v>Try it Now</v></cell><cell r="Z745" t="str"><v>Not Applicable</v></cell><cell r="AA745"><v>43356</v></cell><cell r="AB745" t="str"><v>USA_gaPMG_AZR_AZR_Q1_19_Direct-Social</v></cell><cell r="AC745"><v>21358715</v></cell><cell r="AD745"><v>720197</v></cell><cell r="AE745" t="str"><v>Facebook</v></cell><cell r="AF745"><v>3654128</v></cell><cell r="AG745" t="str"><v>FACEBOOK»USA-Trial-ITD-Interest Prospecting-AZR-AZR»1 x 1»SocialBan»CCA»ALL»CPA»PRO»X»NA»SS»NA»Azure Developer Facebook Collections»PRSGV0</v></cell><cell r="AH745"><v>225283843</v></cell><cell r="AI745" t="str"><v>AZR_FBCollections-FreeStuffTryAzureFreeCTA-Img5_USA_1200x182_SOC_Plat_EN_NA_Standard_NA_TIN_T1_5</v></cell><cell r="AJ745"><v>103776921</v></cell></row><row r="746"><cell r="D746" t="str"><v>43356225283843</v></cell><cell r="E746" t="str"><v>43356103874423PRSGV0</v></cell><cell r="F746" t="str"><v>DCM</v></cell></row><row r="746"><cell r="H746"><v>1</v></cell><cell r="I746" t="str"><v>Azure Direct</v></cell><cell r="J746" t="str"><v>Azure Direct</v></cell><cell r="K746" t="str"><v>September</v></cell><cell r="L746"><v>43358</v></cell><cell r="M746" t="str"><v>Tier 0</v></cell><cell r="N746" t="str"><v>North America</v></cell><cell r="O746" t="str"><v>United States</v></cell><cell r="P746" t="str"><v>Trial</v></cell><cell r="Q746" t="str"><v>Social</v></cell><cell r="R746" t="str"><v>Azure</v></cell><cell r="S746" t="str"><v>Apps & Infra</v></cell><cell r="T746" t="str"><v>Developers & ITI's</v></cell><cell r="U746" t="str"><v>USA-Trial-ITD-Interest Prospecting-AZR-AZR</v></cell><cell r="V746" t="str"><v>Prospecting</v></cell><cell r="W746" t="str"><v>Canvas Collection Ad</v></cell><cell r="X746" t="str"><v>1200x182</v></cell><cell r="Y746" t="str"><v>Try it Now</v></cell><cell r="Z746" t="str"><v>Not Applicable</v></cell><cell r="AA746"><v>43356</v></cell><cell r="AB746" t="str"><v>USA_gaPMG_AZR_AZR_Q1_19_Direct-Social</v></cell><cell r="AC746"><v>21358715</v></cell><cell r="AD746"><v>720197</v></cell><cell r="AE746" t="str"><v>Facebook</v></cell><cell r="AF746"><v>3654128</v></cell><cell r="AG746" t="str"><v>FACEBOOK»USA-Trial-ITD-Interest Prospecting-AZR-AZR»1 x 1»SocialBan»CCA»ALL»CPA»PRO»X»NA»SS»NA»Azure Developer Facebook Collections»PRSGV0</v></cell><cell r="AH746"><v>225283843</v></cell><cell r="AI746" t="str"><v>AZR_FBCollections-TryAzureFreeCTA-Img1_USA_1200x182_SOC_Plat_EN_NA_Standard_NA_TIN_T1_1</v></cell><cell r="AJ746"><v>103874423</v></cell></row><row r="747"><cell r="D747" t="str"><v>43356225283843</v></cell><cell r="E747" t="str"><v>43356103773177PRSGV0</v></cell><cell r="F747" t="str"><v>DCM</v></cell></row><row r="747"><cell r="H747"><v>2</v></cell><cell r="I747" t="str"><v>Azure Direct</v></cell><cell r="J747" t="str"><v>Azure Direct</v></cell><cell r="K747" t="str"><v>September</v></cell><cell r="L747"><v>43358</v></cell><cell r="M747" t="str"><v>Tier 0</v></cell><cell r="N747" t="str"><v>North America</v></cell><cell r="O747" t="str"><v>United States</v></cell><cell r="P747" t="str"><v>Trial</v></cell><cell r="Q747" t="str"><v>Social</v></cell><cell r="R747" t="str"><v>Azure</v></cell><cell r="S747" t="str"><v>Apps & Infra</v></cell><cell r="T747" t="str"><v>Developers & ITI's</v></cell><cell r="U747" t="str"><v>USA-Trial-ITD-Interest Prospecting-AZR-AZR</v></cell><cell r="V747" t="str"><v>Prospecting</v></cell><cell r="W747" t="str"><v>Canvas Collection Ad</v></cell><cell r="X747" t="str"><v>1200x182</v></cell><cell r="Y747" t="str"><v>Try it Now</v></cell><cell r="Z747" t="str"><v>Not Applicable</v></cell><cell r="AA747"><v>43356</v></cell><cell r="AB747" t="str"><v>USA_gaPMG_AZR_AZR_Q1_19_Direct-Social</v></cell><cell r="AC747"><v>21358715</v></cell><cell r="AD747"><v>720197</v></cell><cell r="AE747" t="str"><v>Facebook</v></cell><cell r="AF747"><v>3654128</v></cell><cell r="AG747" t="str"><v>FACEBOOK»USA-Trial-ITD-Interest Prospecting-AZR-AZR»1 x 1»SocialBan»CCA»ALL»CPA»PRO»X»NA»SS»NA»Azure Developer Facebook Collections»PRSGV0</v></cell><cell r="AH747"><v>225283843</v></cell><cell r="AI747" t="str"><v>AZR_FBCollections-AITryAzureFreeCTA-Img2_USA_1200x182_SOC_Plat_EN_NA_Standard_NA_TIN_T1_2</v></cell><cell r="AJ747"><v>103773177</v></cell></row><row r="748"><cell r="D748" t="str"><v>43356224104932</v></cell><cell r="E748" t="str"><v>43356103176851PRC1SZ</v></cell><cell r="F748" t="str"><v>DCM</v></cell></row><row r="748"><cell r="H748"><v>10</v></cell><cell r="I748" t="str"><v>Azure Direct</v></cell><cell r="J748" t="str"><v>Azure Direct</v></cell><cell r="K748" t="str"><v>September</v></cell><cell r="L748"><v>43358</v></cell><cell r="M748" t="str"><v>Tier 0</v></cell><cell r="N748" t="str"><v>North America</v></cell><cell r="O748" t="str"><v>United States</v></cell><cell r="P748" t="str"><v>Trial</v></cell><cell r="Q748" t="str"><v>Social</v></cell><cell r="R748" t="str"><v>Azure</v></cell><cell r="S748" t="str"><v>Apps & Infra</v></cell><cell r="T748" t="str"><v>Developers & ITI's</v></cell><cell r="U748" t="str"><v>USA-Trial-ITD-Interest Prospecting-AZR-AZR</v></cell><cell r="V748" t="str"><v>Prospecting</v></cell><cell r="W748" t="str"><v>Link Ad</v></cell><cell r="X748" t="str"><v>1200x1200</v></cell><cell r="Y748" t="str"><v>Learn More</v></cell><cell r="Z748" t="str"><v>Animated Banner</v></cell><cell r="AA748"><v>43356</v></cell><cell r="AB748" t="str"><v>USA_gaPMG_AZR_AZR_Q1_19_Direct-Social</v></cell><cell r="AC748"><v>21358715</v></cell><cell r="AD748"><v>720197</v></cell><cell r="AE748" t="str"><v>Facebook</v></cell><cell r="AF748"><v>3654128</v></cell><cell r="AG748" t="str"><v>FACEBOOK»USA-Trial-ITD-Interest Prospecting-AZR-AZR»1 x 1»SocialBan»LIA»ALL»CPA»PRO»X»NA»SS»NA»FreeAcctDeveloperFB-AnimatedGeneric-Ch1»PRC1SZ</v></cell><cell r="AH748"><v>224104932</v></cell><cell r="AI748" t="str"><v>AZR_FreeAcctDeveloperFB-AnimatedGeneric-Ch1_USA_1200x1200_CAN_Direct_English_Trial_Standard_ANI_LEA_T1_2</v></cell><cell r="AJ748"><v>103176851</v></cell></row><row r="749"><cell r="D749" t="str"><v>43356223862885</v></cell><cell r="E749" t="str"><v>43356103048329PRC1T1</v></cell><cell r="F749" t="str"><v>DCM</v></cell></row><row r="749"><cell r="H749"><v>16</v></cell><cell r="I749" t="str"><v>Azure Direct</v></cell><cell r="J749" t="str"><v>Azure Direct</v></cell><cell r="K749" t="str"><v>September</v></cell><cell r="L749"><v>43358</v></cell><cell r="M749" t="str"><v>Tier 0</v></cell><cell r="N749" t="str"><v>North America</v></cell><cell r="O749" t="str"><v>United States</v></cell><cell r="P749" t="str"><v>Trial</v></cell><cell r="Q749" t="str"><v>Social</v></cell><cell r="R749" t="str"><v>Azure</v></cell><cell r="S749" t="str"><v>Apps & Infra</v></cell><cell r="T749" t="str"><v>Developers & ITI's</v></cell><cell r="U749" t="str"><v>USA-Trial-ITD-Interest Prospecting-AZR-AZR</v></cell><cell r="V749" t="str"><v>Prospecting</v></cell><cell r="W749" t="str"><v>Link Ad</v></cell><cell r="X749" t="str"><v>1200x1200</v></cell><cell r="Y749" t="str"><v>Learn More</v></cell><cell r="Z749" t="str"><v>Animated Banner</v></cell><cell r="AA749"><v>43356</v></cell><cell r="AB749" t="str"><v>USA_gaPMG_AZR_AZR_Q1_19_Direct-Social</v></cell><cell r="AC749"><v>21358715</v></cell><cell r="AD749"><v>720197</v></cell><cell r="AE749" t="str"><v>Facebook</v></cell><cell r="AF749"><v>3654128</v></cell><cell r="AG749" t="str"><v>FACEBOOK»USA-Trial-ITD-Interest Prospecting-AZR-AZR»1 x 1»SocialBan»LIA»ALL»CPA»PRO»X»NA»SS»NA»FreeAcctDeveloperFB-AnimatedOpenSource-Ch2»PRC1T1</v></cell><cell r="AH749"><v>223862885</v></cell><cell r="AI749" t="str"><v>AZR_FreeAcctDeveloperFB-AnimatedOpenSource-Ch2_USA_1200x1200_CAN_Direct_English_Trial_Standard_ANI_LEA_T2_1</v></cell><cell r="AJ749"><v>103048329</v></cell></row><row r="750"><cell r="D750" t="str"><v>43356224104914</v></cell><cell r="E750" t="str"><v>43356103176830PRC1T4</v></cell><cell r="F750" t="str"><v>DCM</v></cell></row><row r="750"><cell r="H750"><v>12</v></cell><cell r="I750" t="str"><v>Azure Direct</v></cell><cell r="J750" t="str"><v>Azure Direct</v></cell><cell r="K750" t="str"><v>September</v></cell><cell r="L750"><v>43358</v></cell><cell r="M750" t="str"><v>Tier 0</v></cell><cell r="N750" t="str"><v>North America</v></cell><cell r="O750" t="str"><v>United States</v></cell><cell r="P750" t="str"><v>Trial</v></cell><cell r="Q750" t="str"><v>Social</v></cell><cell r="R750" t="str"><v>Azure</v></cell><cell r="S750" t="str"><v>Apps & Infra</v></cell><cell r="T750" t="str"><v>Developers & ITI's</v></cell><cell r="U750" t="str"><v>USA-Trial-ITD-Interest Prospecting-AZR-AZR</v></cell><cell r="V750" t="str"><v>Prospecting</v></cell><cell r="W750" t="str"><v>Link Ad</v></cell><cell r="X750" t="str"><v>1200x1200</v></cell><cell r="Y750" t="str"><v>Learn More</v></cell><cell r="Z750" t="str"><v>Animated Banner</v></cell><cell r="AA750"><v>43356</v></cell><cell r="AB750" t="str"><v>USA_gaPMG_AZR_AZR_Q1_19_Direct-Social</v></cell><cell r="AC750"><v>21358715</v></cell><cell r="AD750"><v>720197</v></cell><cell r="AE750" t="str"><v>Facebook</v></cell><cell r="AF750"><v>3654128</v></cell><cell r="AG750" t="str"><v>FACEBOOK»USA-Trial-ITD-Interest Prospecting-AZR-AZR»1 x 1»SocialBan»LIA»ALL»CPA»PRO»X»NA»SS»NA»FreeAcctITProFB-AnimatedSecureMngd-Ch1»PRC1T4</v></cell><cell r="AH750"><v>224104914</v></cell><cell r="AI750" t="str"><v>AZR_FreeAcctITProFB-AnimatedSecureMngd-Ch1_USA_1200x1200_CAN_Direct_English_Trial_Standard_ANI_LEA_T1_1</v></cell><cell r="AJ750"><v>103176830</v></cell></row><row r="751"><cell r="D751" t="str"><v>43356226030086</v></cell><cell r="E751" t="str"><v>43356104593207PRX721</v></cell><cell r="F751" t="str"><v>DCM</v></cell></row><row r="751"><cell r="H751"><v>0</v></cell><cell r="I751" t="str"><v>Azure Direct</v></cell><cell r="J751" t="str"><v>Azure Direct</v></cell><cell r="K751" t="str"><v>September</v></cell><cell r="L751"><v>43358</v></cell><cell r="M751" t="str"><v>Tier 0</v></cell><cell r="N751" t="str"><v>North America</v></cell><cell r="O751" t="str"><v>United States</v></cell><cell r="P751" t="str"><v>Trial</v></cell><cell r="Q751" t="str"><v>Social</v></cell><cell r="R751" t="str"><v>Azure</v></cell><cell r="S751" t="str"><v>Apps & Infra</v></cell><cell r="T751" t="str"><v>Developers & ITI's</v></cell><cell r="U751" t="str"><v>USA-Trial-ITD-Lead Completes Lookalike-AZR-AZR</v></cell><cell r="V751" t="str"><v>Lookalike Targeting</v></cell><cell r="W751" t="str"><v>Canvas Ad</v></cell><cell r="X751" t="str"><v>10s</v></cell><cell r="Y751" t="str"><v>Try it Now</v></cell><cell r="Z751" t="str"><v>Standard videos</v></cell><cell r="AA751"><v>43356</v></cell><cell r="AB751" t="str"><v>USA_gaPMG_AZR_AZR_Q1_19_Direct-Social</v></cell><cell r="AC751"><v>21358715</v></cell><cell r="AD751"><v>720197</v></cell><cell r="AE751" t="str"><v>Facebook</v></cell><cell r="AF751"><v>3654128</v></cell><cell r="AG751" t="str"><v>FACEBOOK»USA-Trial-ITD-Lead Completes Lookalike-AZR-AZR»1 x 1»SocialBan»CAN»ALL»CPA»LAL»X»NA»SS»NA»FBCTCBasicMotion»PRX721</v></cell><cell r="AH751"><v>226030086</v></cell><cell r="AI751" t="str"><v>AZR_FBCTCBasicMotion_USA_10s_CAN_PLATFORM_English_Trial_Standard_STAN_TIN_T1_1</v></cell><cell r="AJ751"><v>104593207</v></cell></row><row r="752"><cell r="D752" t="str"><v>43356226030086</v></cell><cell r="E752" t="str"><v>43356104593426PRX721</v></cell><cell r="F752" t="str"><v>DCM</v></cell></row><row r="752"><cell r="H752"><v>6</v></cell><cell r="I752" t="str"><v>Azure Direct</v></cell><cell r="J752" t="str"><v>Azure Direct</v></cell><cell r="K752" t="str"><v>September</v></cell><cell r="L752"><v>43358</v></cell><cell r="M752" t="str"><v>Tier 0</v></cell><cell r="N752" t="str"><v>North America</v></cell><cell r="O752" t="str"><v>United States</v></cell><cell r="P752" t="str"><v>Trial</v></cell><cell r="Q752" t="str"><v>Social</v></cell><cell r="R752" t="str"><v>Azure</v></cell><cell r="S752" t="str"><v>Apps & Infra</v></cell><cell r="T752" t="str"><v>Developers & ITI's</v></cell><cell r="U752" t="str"><v>USA-Trial-ITD-Lead Completes Lookalike-AZR-AZR</v></cell><cell r="V752" t="str"><v>Lookalike Targeting</v></cell><cell r="W752" t="str"><v>Canvas Ad</v></cell><cell r="X752" t="str"><v>10s</v></cell><cell r="Y752" t="str"><v>Try it Now</v></cell><cell r="Z752" t="str"><v>Standard videos</v></cell><cell r="AA752"><v>43356</v></cell><cell r="AB752" t="str"><v>USA_gaPMG_AZR_AZR_Q1_19_Direct-Social</v></cell><cell r="AC752"><v>21358715</v></cell><cell r="AD752"><v>720197</v></cell><cell r="AE752" t="str"><v>Facebook</v></cell><cell r="AF752"><v>3654128</v></cell><cell r="AG752" t="str"><v>FACEBOOK»USA-Trial-ITD-Lead Completes Lookalike-AZR-AZR»1 x 1»SocialBan»CAN»ALL»CPA»LAL»X»NA»SS»NA»FBCTCBasicMotion»PRX721</v></cell><cell r="AH752"><v>226030086</v></cell><cell r="AI752" t="str"><v>AZR_FBCTCBasicMotion_USA_10s_CAN_PLATFORM_English_Trial_Standard_STAN_TIN_T1_2</v></cell><cell r="AJ752"><v>104593426</v></cell></row><row r="753"><cell r="D753" t="str"><v>43356225841990</v></cell><cell r="E753" t="str"><v>43356104593408PRX722</v></cell><cell r="F753" t="str"><v>DCM</v></cell></row><row r="753"><cell r="H753"><v>0</v></cell><cell r="I753" t="str"><v>Azure Direct</v></cell><cell r="J753" t="str"><v>Azure Direct</v></cell><cell r="K753" t="str"><v>September</v></cell><cell r="L753"><v>43358</v></cell><cell r="M753" t="str"><v>Tier 0</v></cell><cell r="N753" t="str"><v>North America</v></cell><cell r="O753" t="str"><v>United States</v></cell><cell r="P753" t="str"><v>Trial</v></cell><cell r="Q753" t="str"><v>Social</v></cell><cell r="R753" t="str"><v>Azure</v></cell><cell r="S753" t="str"><v>Apps & Infra</v></cell><cell r="T753" t="str"><v>Developers & ITI's</v></cell><cell r="U753" t="str"><v>USA-Trial-ITD-Lead Completes Lookalike-AZR-AZR</v></cell><cell r="V753" t="str"><v>Lookalike Targeting</v></cell><cell r="W753" t="str"><v>Canvas Ad</v></cell><cell r="X753" t="str"><v>10s</v></cell><cell r="Y753" t="str"><v>Try it Now</v></cell><cell r="Z753" t="str"><v>Standard videos</v></cell><cell r="AA753"><v>43356</v></cell><cell r="AB753" t="str"><v>USA_gaPMG_AZR_AZR_Q1_19_Direct-Social</v></cell><cell r="AC753"><v>21358715</v></cell><cell r="AD753"><v>720197</v></cell><cell r="AE753" t="str"><v>Facebook</v></cell><cell r="AF753"><v>3654128</v></cell><cell r="AG753" t="str"><v>FACEBOOK»USA-Trial-ITD-Lead Completes Lookalike-AZR-AZR»1 x 1»SocialBan»CAN»ALL»CPA»LAL»X»NA»SS»NA»FBCTCBenefit2inMotion»PRX722</v></cell><cell r="AH753"><v>225841990</v></cell><cell r="AI753" t="str"><v>AZR_FBCTCBenefit2inMotion_USA_10s_CAN_PLATFORM_English_Trial_Standard_STAN_TIN_T4_1</v></cell><cell r="AJ753"><v>104593408</v></cell></row><row r="754"><cell r="D754" t="str"><v>43356225841990</v></cell><cell r="E754" t="str"><v>43356104593714PRX722</v></cell><cell r="F754" t="str"><v>DCM</v></cell></row><row r="754"><cell r="H754"><v>0</v></cell><cell r="I754" t="str"><v>Azure Direct</v></cell><cell r="J754" t="str"><v>Azure Direct</v></cell><cell r="K754" t="str"><v>September</v></cell><cell r="L754"><v>43358</v></cell><cell r="M754" t="str"><v>Tier 0</v></cell><cell r="N754" t="str"><v>North America</v></cell><cell r="O754" t="str"><v>United States</v></cell><cell r="P754" t="str"><v>Trial</v></cell><cell r="Q754" t="str"><v>Social</v></cell><cell r="R754" t="str"><v>Azure</v></cell><cell r="S754" t="str"><v>Apps & Infra</v></cell><cell r="T754" t="str"><v>Developers & ITI's</v></cell><cell r="U754" t="str"><v>USA-Trial-ITD-Lead Completes Lookalike-AZR-AZR</v></cell><cell r="V754" t="str"><v>Lookalike Targeting</v></cell><cell r="W754" t="str"><v>Canvas Ad</v></cell><cell r="X754" t="str"><v>10s</v></cell><cell r="Y754" t="str"><v>Try it Now</v></cell><cell r="Z754" t="str"><v>Standard videos</v></cell><cell r="AA754"><v>43356</v></cell><cell r="AB754" t="str"><v>USA_gaPMG_AZR_AZR_Q1_19_Direct-Social</v></cell><cell r="AC754"><v>21358715</v></cell><cell r="AD754"><v>720197</v></cell><cell r="AE754" t="str"><v>Facebook</v></cell><cell r="AF754"><v>3654128</v></cell><cell r="AG754" t="str"><v>FACEBOOK»USA-Trial-ITD-Lead Completes Lookalike-AZR-AZR»1 x 1»SocialBan»CAN»ALL»CPA»LAL»X»NA»SS»NA»FBCTCBenefit2inMotion»PRX722</v></cell><cell r="AH754"><v>225841990</v></cell><cell r="AI754" t="str"><v>AZR_FBCTCBenefit2inMotion_USA_10s_CAN_PLATFORM_English_Trial_Standard_STAN_TIN_T4_2</v></cell><cell r="AJ754"><v>104593714</v></cell></row><row r="755"><cell r="D755" t="str"><v>43356225841993</v></cell><cell r="E755" t="str"><v>43356104595718PRX723</v></cell><cell r="F755" t="str"><v>DCM</v></cell></row><row r="755"><cell r="H755"><v>5</v></cell><cell r="I755" t="str"><v>Azure Direct</v></cell><cell r="J755" t="str"><v>Azure Direct</v></cell><cell r="K755" t="str"><v>September</v></cell><cell r="L755"><v>43358</v></cell><cell r="M755" t="str"><v>Tier 0</v></cell><cell r="N755" t="str"><v>North America</v></cell><cell r="O755" t="str"><v>United States</v></cell><cell r="P755" t="str"><v>Trial</v></cell><cell r="Q755" t="str"><v>Social</v></cell><cell r="R755" t="str"><v>Azure</v></cell><cell r="S755" t="str"><v>Apps & Infra</v></cell><cell r="T755" t="str"><v>Developers & ITI's</v></cell><cell r="U755" t="str"><v>USA-Trial-ITD-Lead Completes Lookalike-AZR-AZR</v></cell><cell r="V755" t="str"><v>Lookalike Targeting</v></cell><cell r="W755" t="str"><v>Canvas Ad</v></cell><cell r="X755" t="str"><v>10s</v></cell><cell r="Y755" t="str"><v>Try it Now</v></cell><cell r="Z755" t="str"><v>Standard videos</v></cell><cell r="AA755"><v>43356</v></cell><cell r="AB755" t="str"><v>USA_gaPMG_AZR_AZR_Q1_19_Direct-Social</v></cell><cell r="AC755"><v>21358715</v></cell><cell r="AD755"><v>720197</v></cell><cell r="AE755" t="str"><v>Facebook</v></cell><cell r="AF755"><v>3654128</v></cell><cell r="AG755" t="str"><v>FACEBOOK»USA-Trial-ITD-Lead Completes Lookalike-AZR-AZR»1 x 1»SocialBan»CAN»ALL»CPA»LAL»X»NA»SS»NA»FBCTCBenefitinMotion»PRX723</v></cell><cell r="AH755"><v>225841993</v></cell><cell r="AI755" t="str"><v>AZR_FBCTCBenefitinMotion_USA_10s_CAN_PLATFORM_English_Trial_Standard_STAN_TIN_T3_2</v></cell><cell r="AJ755"><v>104595718</v></cell></row><row r="756"><cell r="D756" t="str"><v>43356226028475</v></cell><cell r="E756" t="str"><v>43356104593696PRX724</v></cell><cell r="F756" t="str"><v>DCM</v></cell></row><row r="756"><cell r="H756"><v>0</v></cell><cell r="I756" t="str"><v>Azure Direct</v></cell><cell r="J756" t="str"><v>Azure Direct</v></cell><cell r="K756" t="str"><v>September</v></cell><cell r="L756"><v>43358</v></cell><cell r="M756" t="str"><v>Tier 0</v></cell><cell r="N756" t="str"><v>North America</v></cell><cell r="O756" t="str"><v>United States</v></cell><cell r="P756" t="str"><v>Trial</v></cell><cell r="Q756" t="str"><v>Social</v></cell><cell r="R756" t="str"><v>Azure</v></cell><cell r="S756" t="str"><v>Apps & Infra</v></cell><cell r="T756" t="str"><v>Developers & ITI's</v></cell><cell r="U756" t="str"><v>USA-Trial-ITD-Lead Completes Lookalike-AZR-AZR</v></cell><cell r="V756" t="str"><v>Lookalike Targeting</v></cell><cell r="W756" t="str"><v>Canvas Ad</v></cell><cell r="X756" t="str"><v>10s</v></cell><cell r="Y756" t="str"><v>Try it Now</v></cell><cell r="Z756" t="str"><v>Standard videos</v></cell><cell r="AA756"><v>43356</v></cell><cell r="AB756" t="str"><v>USA_gaPMG_AZR_AZR_Q1_19_Direct-Social</v></cell><cell r="AC756"><v>21358715</v></cell><cell r="AD756"><v>720197</v></cell><cell r="AE756" t="str"><v>Facebook</v></cell><cell r="AF756"><v>3654128</v></cell><cell r="AG756" t="str"><v>FACEBOOK»USA-Trial-ITD-Lead Completes Lookalike-AZR-AZR»1 x 1»SocialBan»CAN»ALL»CPA»LAL»X»NA»SS»NA»FBCTCBrandinMotion»PRX724</v></cell><cell r="AH756"><v>226028475</v></cell><cell r="AI756" t="str"><v>AZR_FBCTCBrandinMotion_USA_10s_CAN_PLATFORM_English_Trial_Standard_STAN_TIN_T2_1</v></cell><cell r="AJ756"><v>104593696</v></cell></row><row r="757"><cell r="D757" t="str"><v>43356226539968</v></cell><cell r="E757" t="str"><v>43356104595739PS79G1</v></cell><cell r="F757" t="str"><v>DCM</v></cell></row><row r="757"><cell r="H757"><v>0</v></cell><cell r="I757" t="str"><v>Azure Direct</v></cell><cell r="J757" t="str"><v>Azure Direct</v></cell><cell r="K757" t="str"><v>September</v></cell><cell r="L757"><v>43358</v></cell><cell r="M757" t="str"><v>Tier 0</v></cell><cell r="N757" t="str"><v>North America</v></cell><cell r="O757" t="str"><v>United States</v></cell><cell r="P757" t="str"><v>Trial</v></cell><cell r="Q757" t="str"><v>Social</v></cell><cell r="R757" t="str"><v>Azure</v></cell><cell r="S757" t="str"><v>Apps & Infra</v></cell><cell r="T757" t="str"><v>Developers & ITI's</v></cell><cell r="U757" t="str"><v>USA-Trial-ITD-Lead Completes Lookalike-AZR-AZR</v></cell><cell r="V757" t="str"><v>Lookalike Targeting</v></cell><cell r="W757" t="str"><v>Canvas Ad</v></cell><cell r="X757" t="str"><v>1200x1200</v></cell><cell r="Y757" t="str"><v>Learn More</v></cell><cell r="Z757" t="str"><v>Animated Banner</v></cell><cell r="AA757"><v>43356</v></cell><cell r="AB757" t="str"><v>USA_gaPMG_AZR_AZR_Q1_19_Direct-Social</v></cell><cell r="AC757"><v>21358715</v></cell><cell r="AD757"><v>720197</v></cell><cell r="AE757" t="str"><v>Facebook</v></cell><cell r="AF757"><v>3654128</v></cell><cell r="AG757" t="str"><v>FACEBOOK»USA-Trial-ITD-Lead Completes Lookalike-AZR-AZR»1 x 1»SocialBan»CAN»ALL»CPA»LAL»X»NA»SS»NA»FreeAcctDeveloperFB-AnimatedData-Ch4»PS79G1</v></cell><cell r="AH757"><v>226539968</v></cell><cell r="AI757" t="str"><v>AZR_FreeAcctDeveloperFB-AnimatedData-Ch4_USA_1200x1200_CAN_Direct_EN_Trial_Standard_ANI_LEA_T4_1</v></cell><cell r="AJ757"><v>104595739</v></cell></row><row r="758"><cell r="D758" t="str"><v>43356226622251</v></cell><cell r="E758" t="str"><v>43356104592523PS79FX</v></cell><cell r="F758" t="str"><v>DCM</v></cell></row><row r="758"><cell r="H758"><v>4</v></cell><cell r="I758" t="str"><v>Azure Direct</v></cell><cell r="J758" t="str"><v>Azure Direct</v></cell><cell r="K758" t="str"><v>September</v></cell><cell r="L758"><v>43358</v></cell><cell r="M758" t="str"><v>Tier 0</v></cell><cell r="N758" t="str"><v>North America</v></cell><cell r="O758" t="str"><v>United States</v></cell><cell r="P758" t="str"><v>Trial</v></cell><cell r="Q758" t="str"><v>Social</v></cell><cell r="R758" t="str"><v>Azure</v></cell><cell r="S758" t="str"><v>Apps & Infra</v></cell><cell r="T758" t="str"><v>Developers & ITI's</v></cell><cell r="U758" t="str"><v>USA-Trial-ITD-Lead Completes Lookalike-AZR-AZR</v></cell><cell r="V758" t="str"><v>Lookalike Targeting</v></cell><cell r="W758" t="str"><v>Canvas Ad</v></cell><cell r="X758" t="str"><v>1200x1200</v></cell><cell r="Y758" t="str"><v>Learn More</v></cell><cell r="Z758" t="str"><v>Animated Banner</v></cell><cell r="AA758"><v>43356</v></cell><cell r="AB758" t="str"><v>USA_gaPMG_AZR_AZR_Q1_19_Direct-Social</v></cell><cell r="AC758"><v>21358715</v></cell><cell r="AD758"><v>720197</v></cell><cell r="AE758" t="str"><v>Facebook</v></cell><cell r="AF758"><v>3654128</v></cell><cell r="AG758" t="str"><v>FACEBOOK»USA-Trial-ITD-Lead Completes Lookalike-AZR-AZR»1 x 1»SocialBan»CAN»ALL»CPA»LAL»X»NA»SS»NA»FreeAcctDeveloperFB-AnimatedGeneric-Ch1»PS79FX</v></cell><cell r="AH758"><v>226622251</v></cell><cell r="AI758" t="str"><v>AZR_FreeAcctDeveloperFB-AnimatedGeneric-Ch1_USA_1200x1200_CAN_Direct_EN_Trial_Standard_ANI_LEA_T1_2</v></cell><cell r="AJ758"><v>104592523</v></cell></row><row r="759"><cell r="D759" t="str"><v>43356226784031</v></cell><cell r="E759" t="str"><v>43356104671427PS79G4</v></cell><cell r="F759" t="str"><v>DCM</v></cell></row><row r="759"><cell r="H759"><v>0</v></cell><cell r="I759" t="str"><v>Azure Direct</v></cell><cell r="J759" t="str"><v>Azure Direct</v></cell><cell r="K759" t="str"><v>September</v></cell><cell r="L759"><v>43358</v></cell><cell r="M759" t="str"><v>Tier 0</v></cell><cell r="N759" t="str"><v>North America</v></cell><cell r="O759" t="str"><v>United States</v></cell><cell r="P759" t="str"><v>Trial</v></cell><cell r="Q759" t="str"><v>Social</v></cell><cell r="R759" t="str"><v>Azure</v></cell><cell r="S759" t="str"><v>Apps & Infra</v></cell><cell r="T759" t="str"><v>Developers & ITI's</v></cell><cell r="U759" t="str"><v>USA-Trial-ITD-Lead Completes Lookalike-AZR-AZR</v></cell><cell r="V759" t="str"><v>Lookalike Targeting</v></cell><cell r="W759" t="str"><v>Canvas Ad</v></cell><cell r="X759" t="str"><v>1200x1200</v></cell><cell r="Y759" t="str"><v>Learn More</v></cell><cell r="Z759" t="str"><v>Animated Banner</v></cell><cell r="AA759"><v>43356</v></cell><cell r="AB759" t="str"><v>USA_gaPMG_AZR_AZR_Q1_19_Direct-Social</v></cell><cell r="AC759"><v>21358715</v></cell><cell r="AD759"><v>720197</v></cell><cell r="AE759" t="str"><v>Facebook</v></cell><cell r="AF759"><v>3654128</v></cell><cell r="AG759" t="str"><v>FACEBOOK»USA-Trial-ITD-Lead Completes Lookalike-AZR-AZR»1 x 1»SocialBan»CAN»ALL»CPA»LAL»X»NA»SS»NA»FreeAcctDeveloperFB-AnimatedOpenSource-Ch2»PS79G4</v></cell><cell r="AH759"><v>226784031</v></cell><cell r="AI759" t="str"><v>AZR_FreeAcctDeveloperFB-AnimatedOpenSource-Ch2_USA_1200x1200_CAN_Direct_EN_Trial_Standard_ANI_LEA_T2_1</v></cell><cell r="AJ759"><v>104671427</v></cell></row><row r="760"><cell r="D760" t="str"><v>43356226539965</v></cell><cell r="E760" t="str"><v>43356104593738PS79G2</v></cell><cell r="F760" t="str"><v>DCM</v></cell></row><row r="760"><cell r="H760"><v>0</v></cell><cell r="I760" t="str"><v>Azure Direct</v></cell><cell r="J760" t="str"><v>Azure Direct</v></cell><cell r="K760" t="str"><v>September</v></cell><cell r="L760"><v>43358</v></cell><cell r="M760" t="str"><v>Tier 0</v></cell><cell r="N760" t="str"><v>North America</v></cell><cell r="O760" t="str"><v>United States</v></cell><cell r="P760" t="str"><v>Trial</v></cell><cell r="Q760" t="str"><v>Social</v></cell><cell r="R760" t="str"><v>Azure</v></cell><cell r="S760" t="str"><v>Apps & Infra</v></cell><cell r="T760" t="str"><v>Developers & ITI's</v></cell><cell r="U760" t="str"><v>USA-Trial-ITD-Lead Completes Lookalike-AZR-AZR</v></cell><cell r="V760" t="str"><v>Lookalike Targeting</v></cell><cell r="W760" t="str"><v>Canvas Ad</v></cell><cell r="X760" t="str"><v>1200x1200</v></cell><cell r="Y760" t="str"><v>Learn More</v></cell><cell r="Z760" t="str"><v>Animated Banner</v></cell><cell r="AA760"><v>43356</v></cell><cell r="AB760" t="str"><v>USA_gaPMG_AZR_AZR_Q1_19_Direct-Social</v></cell><cell r="AC760"><v>21358715</v></cell><cell r="AD760"><v>720197</v></cell><cell r="AE760" t="str"><v>Facebook</v></cell><cell r="AF760"><v>3654128</v></cell><cell r="AG760" t="str"><v>FACEBOOK»USA-Trial-ITD-Lead Completes Lookalike-AZR-AZR»1 x 1»SocialBan»CAN»ALL»CPA»LAL»X»NA»SS»NA»FreeAcctITProFB-AnimatedSecureMngd-Ch1»PS79G2</v></cell><cell r="AH760"><v>226539965</v></cell><cell r="AI760" t="str"><v>AZR_FreeAcctITProFB-AnimatedSecureMngd-Ch1_USA_1200x1200_CAN_Direct_EN_Trial_Standard_ANI_LEA_T1_1</v></cell><cell r="AJ760"><v>104593738</v></cell></row><row r="761"><cell r="D761" t="str"><v>43356226539965</v></cell><cell r="E761" t="str"><v>43356104595757PS79G2</v></cell><cell r="F761" t="str"><v>DCM</v></cell></row><row r="761"><cell r="H761"><v>1</v></cell><cell r="I761" t="str"><v>Azure Direct</v></cell><cell r="J761" t="str"><v>Azure Direct</v></cell><cell r="K761" t="str"><v>September</v></cell><cell r="L761"><v>43358</v></cell><cell r="M761" t="str"><v>Tier 0</v></cell><cell r="N761" t="str"><v>North America</v></cell><cell r="O761" t="str"><v>United States</v></cell><cell r="P761" t="str"><v>Trial</v></cell><cell r="Q761" t="str"><v>Social</v></cell><cell r="R761" t="str"><v>Azure</v></cell><cell r="S761" t="str"><v>Apps & Infra</v></cell><cell r="T761" t="str"><v>Developers & ITI's</v></cell><cell r="U761" t="str"><v>USA-Trial-ITD-Lead Completes Lookalike-AZR-AZR</v></cell><cell r="V761" t="str"><v>Lookalike Targeting</v></cell><cell r="W761" t="str"><v>Canvas Ad</v></cell><cell r="X761" t="str"><v>1200x1200</v></cell><cell r="Y761" t="str"><v>Learn More</v></cell><cell r="Z761" t="str"><v>Animated Banner</v></cell><cell r="AA761"><v>43356</v></cell><cell r="AB761" t="str"><v>USA_gaPMG_AZR_AZR_Q1_19_Direct-Social</v></cell><cell r="AC761"><v>21358715</v></cell><cell r="AD761"><v>720197</v></cell><cell r="AE761" t="str"><v>Facebook</v></cell><cell r="AF761"><v>3654128</v></cell><cell r="AG761" t="str"><v>FACEBOOK»USA-Trial-ITD-Lead Completes Lookalike-AZR-AZR»1 x 1»SocialBan»CAN»ALL»CPA»LAL»X»NA»SS»NA»FreeAcctITProFB-AnimatedSecureMngd-Ch1»PS79G2</v></cell><cell r="AH761"><v>226539965</v></cell><cell r="AI761" t="str"><v>AZR_FreeAcctITProFB-AnimatedSecureMngd-Ch1_USA_1200x1200_CAN_Direct_EN_Trial_Standard_ANI_LEA_T1_2</v></cell><cell r="AJ761"><v>104595757</v></cell></row><row r="762"><cell r="D762" t="str"><v>43356225761645</v></cell><cell r="E762" t="str"><v>43356104671412PRX71S</v></cell><cell r="F762" t="str"><v>DCM</v></cell></row><row r="762"><cell r="H762"><v>2</v></cell><cell r="I762" t="str"><v>Azure Direct</v></cell><cell r="J762" t="str"><v>Azure Direct</v></cell><cell r="K762" t="str"><v>September</v></cell><cell r="L762"><v>43358</v></cell><cell r="M762" t="str"><v>Tier 0</v></cell><cell r="N762" t="str"><v>North America</v></cell><cell r="O762" t="str"><v>United States</v></cell><cell r="P762" t="str"><v>Trial</v></cell><cell r="Q762" t="str"><v>Social</v></cell><cell r="R762" t="str"><v>Azure</v></cell><cell r="S762" t="str"><v>Apps & Infra</v></cell><cell r="T762" t="str"><v>Developers & ITI's</v></cell><cell r="U762" t="str"><v>USA-Trial-ITD-Lead Completes Lookalike-AZR-AZR</v></cell><cell r="V762" t="str"><v>Lookalike Targeting</v></cell><cell r="W762" t="str"><v>Canvas Collection Ad</v></cell><cell r="X762" t="str"><v>1200x182</v></cell><cell r="Y762" t="str"><v>Try it Now</v></cell><cell r="Z762" t="str"><v>Not Applicable</v></cell><cell r="AA762"><v>43356</v></cell><cell r="AB762" t="str"><v>USA_gaPMG_AZR_AZR_Q1_19_Direct-Social</v></cell><cell r="AC762"><v>21358715</v></cell><cell r="AD762"><v>720197</v></cell><cell r="AE762" t="str"><v>Facebook</v></cell><cell r="AF762"><v>3654128</v></cell><cell r="AG762" t="str"><v>FACEBOOK»USA-Trial-ITD-Lead Completes Lookalike-AZR-AZR»1 x 1»SocialBan»CCA»ALL»CPA»LAL»X»NA»SS»NA»Azure Developer Facebook Collections»PRX71S</v></cell><cell r="AH762"><v>225761645</v></cell><cell r="AI762" t="str"><v>AZR_FBCollections-FreeStuffTryAzureFreeCTA-Img5_USA_1200x182_CCA_Plat_EN_NA_Standard_NA_TIN_T1_5</v></cell><cell r="AJ762"><v>104671412</v></cell></row><row r="763"><cell r="D763" t="str"><v>43356225761645</v></cell><cell r="E763" t="str"><v>43356104595724PRX71S</v></cell><cell r="F763" t="str"><v>DCM</v></cell></row><row r="763"><cell r="H763"><v>1</v></cell><cell r="I763" t="str"><v>Azure Direct</v></cell><cell r="J763" t="str"><v>Azure Direct</v></cell><cell r="K763" t="str"><v>September</v></cell><cell r="L763"><v>43358</v></cell><cell r="M763" t="str"><v>Tier 0</v></cell><cell r="N763" t="str"><v>North America</v></cell><cell r="O763" t="str"><v>United States</v></cell><cell r="P763" t="str"><v>Trial</v></cell><cell r="Q763" t="str"><v>Social</v></cell><cell r="R763" t="str"><v>Azure</v></cell><cell r="S763" t="str"><v>Apps & Infra</v></cell><cell r="T763" t="str"><v>Developers & ITI's</v></cell><cell r="U763" t="str"><v>USA-Trial-ITD-Lead Completes Lookalike-AZR-AZR</v></cell><cell r="V763" t="str"><v>Lookalike Targeting</v></cell><cell r="W763" t="str"><v>Canvas Collection Ad</v></cell><cell r="X763" t="str"><v>1200x182</v></cell><cell r="Y763" t="str"><v>Try it Now</v></cell><cell r="Z763" t="str"><v>Not Applicable</v></cell><cell r="AA763"><v>43356</v></cell><cell r="AB763" t="str"><v>USA_gaPMG_AZR_AZR_Q1_19_Direct-Social</v></cell><cell r="AC763"><v>21358715</v></cell><cell r="AD763"><v>720197</v></cell><cell r="AE763" t="str"><v>Facebook</v></cell><cell r="AF763"><v>3654128</v></cell><cell r="AG763" t="str"><v>FACEBOOK»USA-Trial-ITD-Lead Completes Lookalike-AZR-AZR»1 x 1»SocialBan»CCA»ALL»CPA»LAL»X»NA»SS»NA»Azure Developer Facebook Collections»PRX71S</v></cell><cell r="AH763"><v>225761645</v></cell><cell r="AI763" t="str"><v>AZR_FBCollections-OSSTryAzureFreeCTA-Img3_USA_1200x182_CCA_Plat_EN_NA_Standard_NA_TIN_T1_3</v></cell><cell r="AJ763"><v>104595724</v></cell></row><row r="764"><cell r="D764" t="str"><v>43356225761645</v></cell><cell r="E764" t="str"><v>43356104595751PRX71S</v></cell><cell r="F764" t="str"><v>DCM</v></cell></row><row r="764"><cell r="H764"><v>2</v></cell><cell r="I764" t="str"><v>Azure Direct</v></cell><cell r="J764" t="str"><v>Azure Direct</v></cell><cell r="K764" t="str"><v>September</v></cell><cell r="L764"><v>43358</v></cell><cell r="M764" t="str"><v>Tier 0</v></cell><cell r="N764" t="str"><v>North America</v></cell><cell r="O764" t="str"><v>United States</v></cell><cell r="P764" t="str"><v>Trial</v></cell><cell r="Q764" t="str"><v>Social</v></cell><cell r="R764" t="str"><v>Azure</v></cell><cell r="S764" t="str"><v>Apps & Infra</v></cell><cell r="T764" t="str"><v>Developers & ITI's</v></cell><cell r="U764" t="str"><v>USA-Trial-ITD-Lead Completes Lookalike-AZR-AZR</v></cell><cell r="V764" t="str"><v>Lookalike Targeting</v></cell><cell r="W764" t="str"><v>Canvas Collection Ad</v></cell><cell r="X764" t="str"><v>1200x182</v></cell><cell r="Y764" t="str"><v>Try it Now</v></cell><cell r="Z764" t="str"><v>Not Applicable</v></cell><cell r="AA764"><v>43356</v></cell><cell r="AB764" t="str"><v>USA_gaPMG_AZR_AZR_Q1_19_Direct-Social</v></cell><cell r="AC764"><v>21358715</v></cell><cell r="AD764"><v>720197</v></cell><cell r="AE764" t="str"><v>Facebook</v></cell><cell r="AF764"><v>3654128</v></cell><cell r="AG764" t="str"><v>FACEBOOK»USA-Trial-ITD-Lead Completes Lookalike-AZR-AZR»1 x 1»SocialBan»CCA»ALL»CPA»LAL»X»NA»SS»NA»Azure Developer Facebook Collections»PRX71S</v></cell><cell r="AH764"><v>225761645</v></cell><cell r="AI764" t="str"><v>AZR_FBCollections-SmartDataTryAzureFreeCTA-Img4_USA_1200x182_CCA_Plat_EN_NA_Standard_NA_TIN_T1_4</v></cell><cell r="AJ764"><v>104595751</v></cell></row><row r="765"><cell r="D765" t="str"><v>43356225761645</v></cell><cell r="E765" t="str"><v>43356104593432PRX71S</v></cell><cell r="F765" t="str"><v>DCM</v></cell></row><row r="765"><cell r="H765"><v>8</v></cell><cell r="I765" t="str"><v>Azure Direct</v></cell><cell r="J765" t="str"><v>Azure Direct</v></cell><cell r="K765" t="str"><v>September</v></cell><cell r="L765"><v>43358</v></cell><cell r="M765" t="str"><v>Tier 0</v></cell><cell r="N765" t="str"><v>North America</v></cell><cell r="O765" t="str"><v>United States</v></cell><cell r="P765" t="str"><v>Trial</v></cell><cell r="Q765" t="str"><v>Social</v></cell><cell r="R765" t="str"><v>Azure</v></cell><cell r="S765" t="str"><v>Apps & Infra</v></cell><cell r="T765" t="str"><v>Developers & ITI's</v></cell><cell r="U765" t="str"><v>USA-Trial-ITD-Lead Completes Lookalike-AZR-AZR</v></cell><cell r="V765" t="str"><v>Lookalike Targeting</v></cell><cell r="W765" t="str"><v>Canvas Collection Ad</v></cell><cell r="X765" t="str"><v>1200x182</v></cell><cell r="Y765" t="str"><v>Try it Now</v></cell><cell r="Z765" t="str"><v>Not Applicable</v></cell><cell r="AA765"><v>43356</v></cell><cell r="AB765" t="str"><v>USA_gaPMG_AZR_AZR_Q1_19_Direct-Social</v></cell><cell r="AC765"><v>21358715</v></cell><cell r="AD765"><v>720197</v></cell><cell r="AE765" t="str"><v>Facebook</v></cell><cell r="AF765"><v>3654128</v></cell><cell r="AG765" t="str"><v>FACEBOOK»USA-Trial-ITD-Lead Completes Lookalike-AZR-AZR»1 x 1»SocialBan»CCA»ALL»CPA»LAL»X»NA»SS»NA»Azure Developer Facebook Collections»PRX71S</v></cell><cell r="AH765"><v>225761645</v></cell><cell r="AI765" t="str"><v>AZR_FBCollections-TryAzureFreeCTA-Img1_USA_1200x182_CCA_Plat_EN_NA_Standard_NA_TIN_T1_1</v></cell><cell r="AJ765"><v>104593432</v></cell></row><row r="766"><cell r="D766" t="str"><v>43356224104896</v></cell><cell r="E766" t="str"><v>43356103043835PRC1RR</v></cell><cell r="F766" t="str"><v>DCM</v></cell></row><row r="766"><cell r="H766"><v>0</v></cell><cell r="I766" t="str"><v>Azure Direct</v></cell><cell r="J766" t="str"><v>Azure Direct</v></cell><cell r="K766" t="str"><v>September</v></cell><cell r="L766"><v>43358</v></cell><cell r="M766" t="str"><v>Tier 0</v></cell><cell r="N766" t="str"><v>North America</v></cell><cell r="O766" t="str"><v>United States</v></cell><cell r="P766" t="str"><v>Trial</v></cell><cell r="Q766" t="str"><v>Social</v></cell><cell r="R766" t="str"><v>Azure</v></cell><cell r="S766" t="str"><v>Apps & Infra</v></cell><cell r="T766" t="str"><v>Developers & ITI's</v></cell><cell r="U766" t="str"><v>USA-Trial-ITD-Retargeting-AZR-AZR</v></cell><cell r="V766" t="str"><v>Retargeting</v></cell><cell r="W766" t="str"><v>Canvas Ad</v></cell><cell r="X766" t="str"><v>10s</v></cell><cell r="Y766" t="str"><v>Try it Now</v></cell><cell r="Z766" t="str"><v>Standard videos</v></cell><cell r="AA766"><v>43356</v></cell><cell r="AB766" t="str"><v>USA_gaPMG_AZR_AZR_Q1_19_Direct-Social</v></cell><cell r="AC766"><v>21358715</v></cell><cell r="AD766"><v>720197</v></cell><cell r="AE766" t="str"><v>Facebook</v></cell><cell r="AF766"><v>3654128</v></cell><cell r="AG766" t="str"><v>FACEBOOK»USA-Trial-ITD-Retargeting-AZR-AZR»1 x 1»SocialBan»CAN»ALL»CPA»RT»X»NA»SS»NA»FBCTCBenefit2inMotion»PRC1RR</v></cell><cell r="AH766"><v>224104896</v></cell><cell r="AI766" t="str"><v>AzurePlatform_FBCTCBenefit2inMotion_USA_10s_CAN_PLATFORM_English_Trial_Standard_STAN_TIN_T4_1</v></cell><cell r="AJ766"><v>103043835</v></cell></row><row r="767"><cell r="D767" t="str"><v>43356226620976</v></cell><cell r="E767" t="str"><v>43356104593738PS79TK</v></cell><cell r="F767" t="str"><v>DCM</v></cell></row><row r="767"><cell r="H767"><v>0</v></cell><cell r="I767" t="str"><v>Azure Direct</v></cell><cell r="J767" t="str"><v>Azure Direct</v></cell><cell r="K767" t="str"><v>September</v></cell><cell r="L767"><v>43358</v></cell><cell r="M767" t="str"><v>Tier 0</v></cell><cell r="N767" t="str"><v>North America</v></cell><cell r="O767" t="str"><v>United States</v></cell><cell r="P767" t="str"><v>Trial</v></cell><cell r="Q767" t="str"><v>Social</v></cell><cell r="R767" t="str"><v>Azure</v></cell><cell r="S767" t="str"><v>Apps & Infra</v></cell><cell r="T767" t="str"><v>Developers & ITI's</v></cell><cell r="U767" t="str"><v>USA-Trial-ITD-Retargeting-AZR-AZR</v></cell><cell r="V767" t="str"><v>Retargeting</v></cell><cell r="W767" t="str"><v>Canvas Ad</v></cell><cell r="X767" t="str"><v>1200x1200</v></cell><cell r="Y767" t="str"><v>Learn More</v></cell><cell r="Z767" t="str"><v>Animated Banner</v></cell><cell r="AA767"><v>43356</v></cell><cell r="AB767" t="str"><v>USA_gaPMG_AZR_AZR_Q1_19_Direct-Social</v></cell><cell r="AC767"><v>21358715</v></cell><cell r="AD767"><v>720197</v></cell><cell r="AE767" t="str"><v>Facebook</v></cell><cell r="AF767"><v>3654128</v></cell><cell r="AG767" t="str"><v>FACEBOOK»USA-Trial-ITD-Retargeting-AZR-AZR»1 x 1»SocialBan»CAN»ALL»CPA»RT»X»NA»SS»NA»FreeAcctITProFB-AnimatedSecureMngd-Ch1»PS79TK</v></cell><cell r="AH767"><v>226620976</v></cell><cell r="AI767" t="str"><v>AZR_FreeAcctITProFB-AnimatedSecureMngd-Ch1_USA_1200x1200_CAN_Direct_EN_Trial_Standard_ANI_LEA_T1_1</v></cell><cell r="AJ767"><v>104593738</v></cell></row><row r="768"><cell r="D768" t="str"><v>43356223862756</v></cell><cell r="E768" t="str"><v>43356103180592PRC1RW</v></cell><cell r="F768" t="str"><v>DCM</v></cell></row><row r="768"><cell r="H768"><v>9</v></cell><cell r="I768" t="str"><v>Azure Direct</v></cell><cell r="J768" t="str"><v>Azure Direct</v></cell><cell r="K768" t="str"><v>September</v></cell><cell r="L768"><v>43358</v></cell><cell r="M768" t="str"><v>Tier 0</v></cell><cell r="N768" t="str"><v>North America</v></cell><cell r="O768" t="str"><v>United States</v></cell><cell r="P768" t="str"><v>Trial</v></cell><cell r="Q768" t="str"><v>Social</v></cell><cell r="R768" t="str"><v>Azure</v></cell><cell r="S768" t="str"><v>Apps & Infra</v></cell><cell r="T768" t="str"><v>Developers & ITI's</v></cell><cell r="U768" t="str"><v>USA-Trial-ITD-Retargeting-AZR-AZR</v></cell><cell r="V768" t="str"><v>Retargeting</v></cell><cell r="W768" t="str"><v>Link Ad</v></cell><cell r="X768" t="str"><v>1200x628</v></cell><cell r="Y768" t="str"><v>Sign Up</v></cell><cell r="Z768" t="str"><v>Not Applicable</v></cell><cell r="AA768"><v>43356</v></cell><cell r="AB768" t="str"><v>USA_gaPMG_AZR_AZR_Q1_19_Direct-Social</v></cell><cell r="AC768"><v>21358715</v></cell><cell r="AD768"><v>720197</v></cell><cell r="AE768" t="str"><v>Facebook</v></cell><cell r="AF768"><v>3654128</v></cell><cell r="AG768" t="str"><v>FACEBOOK»USA-Trial-ITD-Retargeting-AZR-AZR»1 x 1»SocialBan»LIA»ALL»CPA»RT»X»NA»SS»NA»FreeAcctRetargetingFB-GlobalAlt-ChB»PRC1RW</v></cell><cell r="AH768"><v>223862756</v></cell><cell r="AI768" t="str"><v>AzurePlatform_FreeAcctRetargetingFB-GlobalAlt-ChB_USA_1200x628_CAN_PLATFORM_English_Free Account_Standard_NA_SINU_T2_1</v></cell><cell r="AJ768"><v>103180592</v></cell></row><row r="769"><cell r="D769" t="str"><v>43356223862747</v></cell><cell r="E769" t="str"><v>43356103034911PRC1RY</v></cell><cell r="F769" t="str"><v>DCM</v></cell></row><row r="769"><cell r="H769"><v>61</v></cell><cell r="I769" t="str"><v>Azure Direct</v></cell><cell r="J769" t="str"><v>Azure Direct</v></cell><cell r="K769" t="str"><v>September</v></cell><cell r="L769"><v>43358</v></cell><cell r="M769" t="str"><v>Tier 0</v></cell><cell r="N769" t="str"><v>North America</v></cell><cell r="O769" t="str"><v>United States</v></cell><cell r="P769" t="str"><v>Trial</v></cell><cell r="Q769" t="str"><v>Social</v></cell><cell r="R769" t="str"><v>Azure</v></cell><cell r="S769" t="str"><v>Apps & Infra</v></cell><cell r="T769" t="str"><v>Developers & ITI's</v></cell><cell r="U769" t="str"><v>USA-Trial-ITD-Retargeting-AZR-AZR</v></cell><cell r="V769" t="str"><v>Retargeting</v></cell><cell r="W769" t="str"><v>Link Ad</v></cell><cell r="X769" t="str"><v>1200x628</v></cell><cell r="Y769" t="str"><v>Sign Up</v></cell><cell r="Z769" t="str"><v>Not Applicable</v></cell><cell r="AA769"><v>43356</v></cell><cell r="AB769" t="str"><v>USA_gaPMG_AZR_AZR_Q1_19_Direct-Social</v></cell><cell r="AC769"><v>21358715</v></cell><cell r="AD769"><v>720197</v></cell><cell r="AE769" t="str"><v>Facebook</v></cell><cell r="AF769"><v>3654128</v></cell><cell r="AG769" t="str"><v>FACEBOOK»USA-Trial-ITD-Retargeting-AZR-AZR»1 x 1»SocialBan»LIA»ALL»CPA»RT»X»NA»SS»NA»FreeAcctRetargetingVMFB-750Hrs-ChD»PRC1RY</v></cell><cell r="AH769"><v>223862747</v></cell><cell r="AI769" t="str"><v>AzurePlatform_FreeAcctRetargetingVMFB-750Hrs-ChD_USA_1200x628_CAN_PLATFORM_English_Free Account_Standard_NA_SINU_T1_1</v></cell><cell r="AJ769"><v>103034911</v></cell></row><row r="770"><cell r="D770" t="str"><v>43356224104899</v></cell><cell r="E770" t="str"><v>43356103180610PRC1S0</v></cell><cell r="F770" t="str"><v>DCM</v></cell></row><row r="770"><cell r="H770"><v>3</v></cell><cell r="I770" t="str"><v>Azure Direct</v></cell><cell r="J770" t="str"><v>Azure Direct</v></cell><cell r="K770" t="str"><v>September</v></cell><cell r="L770"><v>43358</v></cell><cell r="M770" t="str"><v>Tier 0</v></cell><cell r="N770" t="str"><v>North America</v></cell><cell r="O770" t="str"><v>United States</v></cell><cell r="P770" t="str"><v>Trial</v></cell><cell r="Q770" t="str"><v>Social</v></cell><cell r="R770" t="str"><v>Azure</v></cell><cell r="S770" t="str"><v>Apps & Infra</v></cell><cell r="T770" t="str"><v>Developers & ITI's</v></cell><cell r="U770" t="str"><v>USA-Trial-ITD-Retargeting-AZR-AZR</v></cell><cell r="V770" t="str"><v>Retargeting</v></cell><cell r="W770" t="str"><v>Link Ad</v></cell><cell r="X770" t="str"><v>1200x628</v></cell><cell r="Y770" t="str"><v>Sign Up</v></cell><cell r="Z770" t="str"><v>Not Applicable</v></cell><cell r="AA770"><v>43356</v></cell><cell r="AB770" t="str"><v>USA_gaPMG_AZR_AZR_Q1_19_Direct-Social</v></cell><cell r="AC770"><v>21358715</v></cell><cell r="AD770"><v>720197</v></cell><cell r="AE770" t="str"><v>Facebook</v></cell><cell r="AF770"><v>3654128</v></cell><cell r="AG770" t="str"><v>FACEBOOK»USA-Trial-ITD-Retargeting-AZR-AZR»1 x 1»SocialBan»LIA»ALL»CPA»RT»X»NA»SS»NA»FreeAcctRetargetingVMFB-OnDemand-ChE»PRC1S0</v></cell><cell r="AH770"><v>224104899</v></cell><cell r="AI770" t="str"><v>AzurePlatform_FreeAcctRetargetingVMFB-OnDemand-ChE_USA_1200x628_CAN_PLATFORM_English_Free Account_Standard_NA_SINU_T2_1</v></cell><cell r="AJ770"><v>103180610</v></cell></row><row r="771"><cell r="D771" t="str"><v>43356225282481</v></cell><cell r="E771" t="str"><v>43356103776921PRSH0N</v></cell><cell r="F771" t="str"><v>DCM</v></cell></row><row r="771"><cell r="H771"><v>9</v></cell><cell r="I771" t="str"><v>Azure Direct</v></cell><cell r="J771" t="str"><v>Azure Direct</v></cell><cell r="K771" t="str"><v>September</v></cell><cell r="L771"><v>43358</v></cell><cell r="M771" t="str"><v>Tier 0</v></cell><cell r="N771" t="str"><v>North America</v></cell><cell r="O771" t="str"><v>United States</v></cell><cell r="P771" t="str"><v>Trial</v></cell><cell r="Q771" t="str"><v>Social</v></cell><cell r="R771" t="str"><v>Azure</v></cell><cell r="S771" t="str"><v>Apps & Infra</v></cell><cell r="T771" t="str"><v>Developers & ITI's</v></cell><cell r="U771" t="str"><v>USA-Trial-ITD-Trial Lookalike-AZR-AZR</v></cell><cell r="V771" t="str"><v>Lookalike Targeting</v></cell><cell r="W771" t="str"><v>Canvas Collection Ad</v></cell><cell r="X771" t="str"><v>1200x182</v></cell><cell r="Y771" t="str"><v>Try it Now</v></cell><cell r="Z771" t="str"><v>Not Applicable</v></cell><cell r="AA771"><v>43356</v></cell><cell r="AB771" t="str"><v>USA_gaPMG_AZR_AZR_Q1_19_Direct-Social</v></cell><cell r="AC771"><v>21358715</v></cell><cell r="AD771"><v>720197</v></cell><cell r="AE771" t="str"><v>Facebook</v></cell><cell r="AF771"><v>3654128</v></cell><cell r="AG771" t="str"><v>FACEBOOK»USA-Trial-ITD-Trial Lookalike-AZR-AZR»1 x 1»SocialBan»CCA»ALL»CPA»LAL»X»NA»SS»NA»Azure Developer Facebook Collections»PRSH0N</v></cell><cell r="AH771"><v>225282481</v></cell><cell r="AI771" t="str"><v>AZR_FBCollections-FreeStuffTryAzureFreeCTA-Img5_USA_1200x182_SOC_Plat_EN_NA_Standard_NA_TIN_T1_5</v></cell><cell r="AJ771"><v>103776921</v></cell></row><row r="772"><cell r="D772" t="str"><v>43356225282481</v></cell><cell r="E772" t="str"><v>43356103873631PRSH0N</v></cell><cell r="F772" t="str"><v>DCM</v></cell></row><row r="772"><cell r="H772"><v>2</v></cell><cell r="I772" t="str"><v>Azure Direct</v></cell><cell r="J772" t="str"><v>Azure Direct</v></cell><cell r="K772" t="str"><v>September</v></cell><cell r="L772"><v>43358</v></cell><cell r="M772" t="str"><v>Tier 0</v></cell><cell r="N772" t="str"><v>North America</v></cell><cell r="O772" t="str"><v>United States</v></cell><cell r="P772" t="str"><v>Trial</v></cell><cell r="Q772" t="str"><v>Social</v></cell><cell r="R772" t="str"><v>Azure</v></cell><cell r="S772" t="str"><v>Apps & Infra</v></cell><cell r="T772" t="str"><v>Developers & ITI's</v></cell><cell r="U772" t="str"><v>USA-Trial-ITD-Trial Lookalike-AZR-AZR</v></cell><cell r="V772" t="str"><v>Lookalike Targeting</v></cell><cell r="W772" t="str"><v>Canvas Collection Ad</v></cell><cell r="X772" t="str"><v>1200x182</v></cell><cell r="Y772" t="str"><v>Try it Now</v></cell><cell r="Z772" t="str"><v>Not Applicable</v></cell><cell r="AA772"><v>43356</v></cell><cell r="AB772" t="str"><v>USA_gaPMG_AZR_AZR_Q1_19_Direct-Social</v></cell><cell r="AC772"><v>21358715</v></cell><cell r="AD772"><v>720197</v></cell><cell r="AE772" t="str"><v>Facebook</v></cell><cell r="AF772"><v>3654128</v></cell><cell r="AG772" t="str"><v>FACEBOOK»USA-Trial-ITD-Trial Lookalike-AZR-AZR»1 x 1»SocialBan»CCA»ALL»CPA»LAL»X»NA»SS»NA»Azure Developer Facebook Collections»PRSH0N</v></cell><cell r="AH772"><v>225282481</v></cell><cell r="AI772" t="str"><v>AZR_FBCollections-OSSTryAzureFreeCTA-Img3_USA_1200x182_SOC_Plat_EN_NA_Standard_NA_TIN_T1_3</v></cell><cell r="AJ772"><v>103873631</v></cell></row><row r="773"><cell r="D773" t="str"><v>43356225282481</v></cell><cell r="E773" t="str"><v>43356103773180PRSH0N</v></cell><cell r="F773" t="str"><v>DCM</v></cell></row><row r="773"><cell r="H773"><v>8</v></cell><cell r="I773" t="str"><v>Azure Direct</v></cell><cell r="J773" t="str"><v>Azure Direct</v></cell><cell r="K773" t="str"><v>September</v></cell><cell r="L773"><v>43358</v></cell><cell r="M773" t="str"><v>Tier 0</v></cell><cell r="N773" t="str"><v>North America</v></cell><cell r="O773" t="str"><v>United States</v></cell><cell r="P773" t="str"><v>Trial</v></cell><cell r="Q773" t="str"><v>Social</v></cell><cell r="R773" t="str"><v>Azure</v></cell><cell r="S773" t="str"><v>Apps & Infra</v></cell><cell r="T773" t="str"><v>Developers & ITI's</v></cell><cell r="U773" t="str"><v>USA-Trial-ITD-Trial Lookalike-AZR-AZR</v></cell><cell r="V773" t="str"><v>Lookalike Targeting</v></cell><cell r="W773" t="str"><v>Canvas Collection Ad</v></cell><cell r="X773" t="str"><v>1200x182</v></cell><cell r="Y773" t="str"><v>Try it Now</v></cell><cell r="Z773" t="str"><v>Not Applicable</v></cell><cell r="AA773"><v>43356</v></cell><cell r="AB773" t="str"><v>USA_gaPMG_AZR_AZR_Q1_19_Direct-Social</v></cell><cell r="AC773"><v>21358715</v></cell><cell r="AD773"><v>720197</v></cell><cell r="AE773" t="str"><v>Facebook</v></cell><cell r="AF773"><v>3654128</v></cell><cell r="AG773" t="str"><v>FACEBOOK»USA-Trial-ITD-Trial Lookalike-AZR-AZR»1 x 1»SocialBan»CCA»ALL»CPA»LAL»X»NA»SS»NA»Azure Developer Facebook Collections»PRSH0N</v></cell><cell r="AH773"><v>225282481</v></cell><cell r="AI773" t="str"><v>AZR_FBCollections-SmartDataTryAzureFreeCTA-Img4_USA_1200x182_SOC_Plat_EN_NA_Standard_NA_TIN_T1_4</v></cell><cell r="AJ773"><v>103773180</v></cell></row><row r="774"><cell r="D774" t="str"><v>43356225282481</v></cell><cell r="E774" t="str"><v>43356103874423PRSH0N</v></cell><cell r="F774" t="str"><v>DCM</v></cell></row><row r="774"><cell r="H774"><v>22</v></cell><cell r="I774" t="str"><v>Azure Direct</v></cell><cell r="J774" t="str"><v>Azure Direct</v></cell><cell r="K774" t="str"><v>September</v></cell><cell r="L774"><v>43358</v></cell><cell r="M774" t="str"><v>Tier 0</v></cell><cell r="N774" t="str"><v>North America</v></cell><cell r="O774" t="str"><v>United States</v></cell><cell r="P774" t="str"><v>Trial</v></cell><cell r="Q774" t="str"><v>Social</v></cell><cell r="R774" t="str"><v>Azure</v></cell><cell r="S774" t="str"><v>Apps & Infra</v></cell><cell r="T774" t="str"><v>Developers & ITI's</v></cell><cell r="U774" t="str"><v>USA-Trial-ITD-Trial Lookalike-AZR-AZR</v></cell><cell r="V774" t="str"><v>Lookalike Targeting</v></cell><cell r="W774" t="str"><v>Canvas Collection Ad</v></cell><cell r="X774" t="str"><v>1200x182</v></cell><cell r="Y774" t="str"><v>Try it Now</v></cell><cell r="Z774" t="str"><v>Not Applicable</v></cell><cell r="AA774"><v>43356</v></cell><cell r="AB774" t="str"><v>USA_gaPMG_AZR_AZR_Q1_19_Direct-Social</v></cell><cell r="AC774"><v>21358715</v></cell><cell r="AD774"><v>720197</v></cell><cell r="AE774" t="str"><v>Facebook</v></cell><cell r="AF774"><v>3654128</v></cell><cell r="AG774" t="str"><v>FACEBOOK»USA-Trial-ITD-Trial Lookalike-AZR-AZR»1 x 1»SocialBan»CCA»ALL»CPA»LAL»X»NA»SS»NA»Azure Developer Facebook Collections»PRSH0N</v></cell><cell r="AH774"><v>225282481</v></cell><cell r="AI774" t="str"><v>AZR_FBCollections-TryAzureFreeCTA-Img1_USA_1200x182_SOC_Plat_EN_NA_Standard_NA_TIN_T1_1</v></cell><cell r="AJ774"><v>103874423</v></cell></row><row r="775"><cell r="D775" t="str"><v>43356225282481</v></cell><cell r="E775" t="str"><v>43356103773177PRSH0N</v></cell><cell r="F775" t="str"><v>DCM</v></cell></row><row r="775"><cell r="H775"><v>8</v></cell><cell r="I775" t="str"><v>Azure Direct</v></cell><cell r="J775" t="str"><v>Azure Direct</v></cell><cell r="K775" t="str"><v>September</v></cell><cell r="L775"><v>43358</v></cell><cell r="M775" t="str"><v>Tier 0</v></cell><cell r="N775" t="str"><v>North America</v></cell><cell r="O775" t="str"><v>United States</v></cell><cell r="P775" t="str"><v>Trial</v></cell><cell r="Q775" t="str"><v>Social</v></cell><cell r="R775" t="str"><v>Azure</v></cell><cell r="S775" t="str"><v>Apps & Infra</v></cell><cell r="T775" t="str"><v>Developers & ITI's</v></cell><cell r="U775" t="str"><v>USA-Trial-ITD-Trial Lookalike-AZR-AZR</v></cell><cell r="V775" t="str"><v>Lookalike Targeting</v></cell><cell r="W775" t="str"><v>Canvas Collection Ad</v></cell><cell r="X775" t="str"><v>1200x182</v></cell><cell r="Y775" t="str"><v>Try it Now</v></cell><cell r="Z775" t="str"><v>Not Applicable</v></cell><cell r="AA775"><v>43356</v></cell><cell r="AB775" t="str"><v>USA_gaPMG_AZR_AZR_Q1_19_Direct-Social</v></cell><cell r="AC775"><v>21358715</v></cell><cell r="AD775"><v>720197</v></cell><cell r="AE775" t="str"><v>Facebook</v></cell><cell r="AF775"><v>3654128</v></cell><cell r="AG775" t="str"><v>FACEBOOK»USA-Trial-ITD-Trial Lookalike-AZR-AZR»1 x 1»SocialBan»CCA»ALL»CPA»LAL»X»NA»SS»NA»Azure Developer Facebook Collections»PRSH0N</v></cell><cell r="AH775"><v>225282481</v></cell><cell r="AI775" t="str"><v>AZR_FBCollections-AITryAzureFreeCTA-Img2_USA_1200x182_SOC_Plat_EN_NA_Standard_NA_TIN_T1_2</v></cell><cell r="AJ775"><v>103773177</v></cell></row><row r="776"><cell r="D776" t="str"><v>43356223862933</v></cell><cell r="E776" t="str"><v>43356103037935PRC1M8</v></cell><cell r="F776" t="str"><v>DCM</v></cell></row><row r="776"><cell r="H776"><v>1</v></cell><cell r="I776" t="str"><v>Azure Direct</v></cell><cell r="J776" t="str"><v>Azure Direct</v></cell><cell r="K776" t="str"><v>September</v></cell><cell r="L776"><v>43358</v></cell><cell r="M776" t="str"><v>Tier 0</v></cell><cell r="N776" t="str"><v>North America</v></cell><cell r="O776" t="str"><v>United States</v></cell><cell r="P776" t="str"><v>Trial</v></cell><cell r="Q776" t="str"><v>Social</v></cell><cell r="R776" t="str"><v>Azure</v></cell><cell r="S776" t="str"><v>Apps & Infra</v></cell><cell r="T776" t="str"><v>Developers & ITI's</v></cell><cell r="U776" t="str"><v>USA-Trial-ITD-Trial Lookalike-AZR-AZR</v></cell><cell r="V776" t="str"><v>Lookalike Targeting</v></cell><cell r="W776" t="str"><v>Link Ad</v></cell><cell r="X776" t="str"><v>1200x1200</v></cell><cell r="Y776" t="str"><v>Learn More</v></cell><cell r="Z776" t="str"><v>Animated Banner</v></cell><cell r="AA776"><v>43356</v></cell><cell r="AB776" t="str"><v>USA_gaPMG_AZR_AZR_Q1_19_Direct-Social</v></cell><cell r="AC776"><v>21358715</v></cell><cell r="AD776"><v>720197</v></cell><cell r="AE776" t="str"><v>Facebook</v></cell><cell r="AF776"><v>3654128</v></cell><cell r="AG776" t="str"><v>FACEBOOK»USA-Trial-ITD-Trial Lookalike-AZR-AZR»1 x 1»SocialBan»LIA»ALL»CPA»LAL»X»NA»SS»NA»FreeAcctDeveloperFB-AnimatedData-Ch4»PRC1M8</v></cell><cell r="AH776"><v>223862933</v></cell><cell r="AI776" t="str"><v>AZR_FreeAcctDeveloperFB-AnimatedData-Ch4_USA_1200x1200_CAN_Direct_English_Trial_Standard_ANI_LEA_T4_2</v></cell><cell r="AJ776"><v>103037935</v></cell></row><row r="777"><cell r="D777" t="str"><v>43356224104986</v></cell><cell r="E777" t="str"><v>43356103043835PRC1Q1</v></cell><cell r="F777" t="str"><v>DCM</v></cell></row><row r="777"><cell r="H777"><v>0</v></cell><cell r="I777" t="str"><v>Azure Direct</v></cell><cell r="J777" t="str"><v>Azure Direct</v></cell><cell r="K777" t="str"><v>September</v></cell><cell r="L777"><v>43358</v></cell><cell r="M777" t="str"><v>Tier 0</v></cell><cell r="N777" t="str"><v>North America</v></cell><cell r="O777" t="str"><v>United States</v></cell><cell r="P777" t="str"><v>Trial</v></cell><cell r="Q777" t="str"><v>Social</v></cell><cell r="R777" t="str"><v>Azure</v></cell><cell r="S777" t="str"><v>Apps & Infra</v></cell><cell r="T777" t="str"><v>Developers & ITI's</v></cell><cell r="U777" t="str"><v>USA-Trial-ITD-Trial PayGo Lookalike-AZR-AZR</v></cell><cell r="V777" t="str"><v>Lookalike Targeting</v></cell><cell r="W777" t="str"><v>Canvas Ad</v></cell><cell r="X777" t="str"><v>10s</v></cell><cell r="Y777" t="str"><v>Try it Now</v></cell><cell r="Z777" t="str"><v>Standard videos</v></cell><cell r="AA777"><v>43356</v></cell><cell r="AB777" t="str"><v>USA_gaPMG_AZR_AZR_Q1_19_Direct-Social</v></cell><cell r="AC777"><v>21358715</v></cell><cell r="AD777"><v>720197</v></cell><cell r="AE777" t="str"><v>Facebook</v></cell><cell r="AF777"><v>3654128</v></cell><cell r="AG777" t="str"><v>FACEBOOK»USA-Trial-ITD-Trial PayGo Lookalike-AZR-AZR»1 x 1»SocialBan»CAN»ALL»CPA»LAL»X»NA»SS»NA»FBCTCBenefit2inMotion»PRC1Q1</v></cell><cell r="AH777"><v>224104986</v></cell><cell r="AI777" t="str"><v>AzurePlatform_FBCTCBenefit2inMotion_USA_10s_CAN_PLATFORM_English_Trial_Standard_STAN_TIN_T4_1</v></cell><cell r="AJ777"><v>103043835</v></cell></row><row r="778"><cell r="D778" t="str"><v>43356224104986</v></cell><cell r="E778" t="str"><v>43356103178645PRC1Q1</v></cell><cell r="F778" t="str"><v>DCM</v></cell></row><row r="778"><cell r="H778"><v>1</v></cell><cell r="I778" t="str"><v>Azure Direct</v></cell><cell r="J778" t="str"><v>Azure Direct</v></cell><cell r="K778" t="str"><v>September</v></cell><cell r="L778"><v>43358</v></cell><cell r="M778" t="str"><v>Tier 0</v></cell><cell r="N778" t="str"><v>North America</v></cell><cell r="O778" t="str"><v>United States</v></cell><cell r="P778" t="str"><v>Trial</v></cell><cell r="Q778" t="str"><v>Social</v></cell><cell r="R778" t="str"><v>Azure</v></cell><cell r="S778" t="str"><v>Apps & Infra</v></cell><cell r="T778" t="str"><v>Developers & ITI's</v></cell><cell r="U778" t="str"><v>USA-Trial-ITD-Trial PayGo Lookalike-AZR-AZR</v></cell><cell r="V778" t="str"><v>Lookalike Targeting</v></cell><cell r="W778" t="str"><v>Canvas Ad</v></cell><cell r="X778" t="str"><v>10s</v></cell><cell r="Y778" t="str"><v>Try it Now</v></cell><cell r="Z778" t="str"><v>Standard videos</v></cell><cell r="AA778"><v>43356</v></cell><cell r="AB778" t="str"><v>USA_gaPMG_AZR_AZR_Q1_19_Direct-Social</v></cell><cell r="AC778"><v>21358715</v></cell><cell r="AD778"><v>720197</v></cell><cell r="AE778" t="str"><v>Facebook</v></cell><cell r="AF778"><v>3654128</v></cell><cell r="AG778" t="str"><v>FACEBOOK»USA-Trial-ITD-Trial PayGo Lookalike-AZR-AZR»1 x 1»SocialBan»CAN»ALL»CPA»LAL»X»NA»SS»NA»FBCTCBenefit2inMotion»PRC1Q1</v></cell><cell r="AH778"><v>224104986</v></cell><cell r="AI778" t="str"><v>AzurePlatform_FBCTCBenefit2inMotion_USA_10s_CAN_PLATFORM_English_Trial_Standard_STAN_TIN_T4_2</v></cell><cell r="AJ778"><v>103178645</v></cell></row><row r="779"><cell r="D779" t="str"><v>43356224104092</v></cell><cell r="E779" t="str"><v>43356103176851PRC1Q5</v></cell><cell r="F779" t="str"><v>DCM</v></cell></row><row r="779"><cell r="H779"><v>19</v></cell><cell r="I779" t="str"><v>Azure Direct</v></cell><cell r="J779" t="str"><v>Azure Direct</v></cell><cell r="K779" t="str"><v>September</v></cell><cell r="L779"><v>43358</v></cell><cell r="M779" t="str"><v>Tier 0</v></cell><cell r="N779" t="str"><v>North America</v></cell><cell r="O779" t="str"><v>United States</v></cell><cell r="P779" t="str"><v>Trial</v></cell><cell r="Q779" t="str"><v>Social</v></cell><cell r="R779" t="str"><v>Azure</v></cell><cell r="S779" t="str"><v>Apps & Infra</v></cell><cell r="T779" t="str"><v>Developers & ITI's</v></cell><cell r="U779" t="str"><v>USA-Trial-ITD-Trial PayGo Lookalike-AZR-AZR</v></cell><cell r="V779" t="str"><v>Lookalike Targeting</v></cell><cell r="W779" t="str"><v>Link Ad</v></cell><cell r="X779" t="str"><v>1200x1200</v></cell><cell r="Y779" t="str"><v>Learn More</v></cell><cell r="Z779" t="str"><v>Animated Banner</v></cell><cell r="AA779"><v>43356</v></cell><cell r="AB779" t="str"><v>USA_gaPMG_AZR_AZR_Q1_19_Direct-Social</v></cell><cell r="AC779"><v>21358715</v></cell><cell r="AD779"><v>720197</v></cell><cell r="AE779" t="str"><v>Facebook</v></cell><cell r="AF779"><v>3654128</v></cell><cell r="AG779" t="str"><v>FACEBOOK»USA-Trial-ITD-Trial PayGo Lookalike-AZR-AZR»1 x 1»SocialBan»LIA»ALL»CPA»LAL»X»NA»SS»NA»FreeAcctDeveloperFB-AnimatedGeneric-Ch1»PRC1Q5</v></cell><cell r="AH779"><v>224104092</v></cell><cell r="AI779" t="str"><v>AZR_FreeAcctDeveloperFB-AnimatedGeneric-Ch1_USA_1200x1200_CAN_Direct_English_Trial_Standard_ANI_LEA_T1_2</v></cell><cell r="AJ779"><v>103176851</v></cell></row><row r="780"><cell r="D780" t="str"><v>43356224106129</v></cell><cell r="E780" t="str"><v>43356103176851PRC1Q6</v></cell><cell r="F780" t="str"><v>DCM</v></cell></row><row r="780"><cell r="H780"><v>9</v></cell><cell r="I780" t="str"><v>Azure Direct</v></cell><cell r="J780" t="str"><v>Azure Direct</v></cell><cell r="K780" t="str"><v>September</v></cell><cell r="L780"><v>43358</v></cell><cell r="M780" t="str"><v>Tier 0</v></cell><cell r="N780" t="str"><v>North America</v></cell><cell r="O780" t="str"><v>United States</v></cell><cell r="P780" t="str"><v>Trial</v></cell><cell r="Q780" t="str"><v>Social</v></cell><cell r="R780" t="str"><v>Azure</v></cell><cell r="S780" t="str"><v>Apps & Infra</v></cell><cell r="T780" t="str"><v>Developers & ITI's</v></cell><cell r="U780" t="str"><v>USA-Trial-ITD-Trial PayGo Lookalike-AZR-AZR</v></cell><cell r="V780" t="str"><v>Lookalike Targeting</v></cell><cell r="W780" t="str"><v>Link Ad</v></cell><cell r="X780" t="str"><v>1200x1200</v></cell><cell r="Y780" t="str"><v>Learn More</v></cell><cell r="Z780" t="str"><v>Animated Banner</v></cell><cell r="AA780"><v>43356</v></cell><cell r="AB780" t="str"><v>USA_gaPMG_AZR_AZR_Q1_19_Direct-Social</v></cell><cell r="AC780"><v>21358715</v></cell><cell r="AD780"><v>720197</v></cell><cell r="AE780" t="str"><v>Facebook</v></cell><cell r="AF780"><v>3654128</v></cell><cell r="AG780" t="str"><v>FACEBOOK»USA-Trial-ITD-Trial PayGo Lookalike-AZR-AZR»1 x 1»SocialBan»LIA»ALL»CPA»LAL»X»NA»SS»NA»FreeAcctDeveloperFB-AnimatedGeneric-Ch1»PRC1Q6</v></cell><cell r="AH780"><v>224106129</v></cell><cell r="AI780" t="str"><v>AZR_FreeAcctDeveloperFB-AnimatedGeneric-Ch1_USA_1200x1200_CAN_Direct_English_Trial_Standard_ANI_LEA_T1_2</v></cell><cell r="AJ780"><v>103176851</v></cell></row><row r="781"><cell r="D781" t="str"><v>43356226535294</v></cell><cell r="E781" t="str"><v>43356104593738PS78JD</v></cell><cell r="F781" t="str"><v>DCM</v></cell></row><row r="781"><cell r="H781"><v>0</v></cell><cell r="I781" t="str"><v>Azure Direct</v></cell><cell r="J781" t="str"><v>Azure Direct</v></cell><cell r="K781" t="str"><v>September</v></cell><cell r="L781"><v>43358</v></cell><cell r="M781" t="str"><v>Tier 0</v></cell><cell r="N781" t="str"><v>North America</v></cell><cell r="O781" t="str"><v>United States</v></cell><cell r="P781" t="str"><v>Trial</v></cell><cell r="Q781" t="str"><v>Social</v></cell><cell r="R781" t="str"><v>Azure</v></cell><cell r="S781" t="str"><v>Apps & Infra</v></cell><cell r="T781" t="str"><v>Developers & ITI's</v></cell><cell r="U781" t="str"><v>USA-Trial-ITD-Interest Prospecting-AZR-AZR</v></cell><cell r="V781" t="str"><v>Prospecting</v></cell><cell r="W781" t="str"><v>Canvas Ad</v></cell><cell r="X781" t="str"><v>1200x1200</v></cell><cell r="Y781" t="str"><v>Learn More</v></cell><cell r="Z781" t="str"><v>Animated Banner</v></cell><cell r="AA781"><v>43356</v></cell><cell r="AB781" t="str"><v>USA_gaPMG_AZR_AZR_Q1_19_Direct-Social</v></cell><cell r="AC781"><v>21358715</v></cell><cell r="AD781"><v>720197</v></cell><cell r="AE781" t="str"><v>Facebook</v></cell><cell r="AF781"><v>3654128</v></cell><cell r="AG781" t="str"><v>FACEBOOK»USA-Trial-ITD-Interest Prospecting-AZR-AZR»1 x 1»SocialBan»CAN»ALL»CPA»PRO»X»NA»SS»NA»FreeAcctITProFB-AnimatedSecureMngd-Ch1»PS78JD</v></cell><cell r="AH781"><v>226535294</v></cell><cell r="AI781" t="str"><v>AZR_FreeAcctITProFB-AnimatedSecureMngd-Ch1_USA_1200x1200_CAN_Direct_EN_Trial_Standard_ANI_LEA_T1_1</v></cell><cell r="AJ781"><v>104593738</v></cell></row><row r="782"><cell r="D782" t="str"><v>43356223934056</v></cell><cell r="E782" t="str"><v>43356103176827PRC26P</v></cell><cell r="F782" t="str"><v>DCM</v></cell></row><row r="782"><cell r="H782"><v>1</v></cell><cell r="I782" t="str"><v>Azure Direct</v></cell><cell r="J782" t="str"><v>Azure Direct</v></cell><cell r="K782" t="str"><v>September</v></cell><cell r="L782"><v>43358</v></cell><cell r="M782" t="str"><v>Tier 0</v></cell><cell r="N782" t="str"><v>North America</v></cell><cell r="O782" t="str"><v>United States</v></cell><cell r="P782" t="str"><v>Trial</v></cell><cell r="Q782" t="str"><v>Social</v></cell><cell r="R782" t="str"><v>Azure</v></cell><cell r="S782" t="str"><v>Apps & Infra</v></cell><cell r="T782" t="str"><v>Developers & ITI's</v></cell><cell r="U782" t="str"><v>USA-Trial-ITD-Retargeting-AZR-AZR</v></cell><cell r="V782" t="str"><v>Retargeting</v></cell><cell r="W782" t="str"><v>Link Ad</v></cell><cell r="X782" t="str"><v>1200x1200</v></cell><cell r="Y782" t="str"><v>Learn More</v></cell><cell r="Z782" t="str"><v>Animated Banner</v></cell><cell r="AA782"><v>43356</v></cell><cell r="AB782" t="str"><v>USA_gaPMG_AZR_AZR_Q1_19_Direct-Social</v></cell><cell r="AC782"><v>21358715</v></cell><cell r="AD782"><v>720197</v></cell><cell r="AE782" t="str"><v>Facebook</v></cell><cell r="AF782"><v>3654128</v></cell><cell r="AG782" t="str"><v>FACEBOOK»USA-Trial-ITD-Retargeting-AZR-AZR»1 x 1»SocialBan»LIA»ALL»CPA»RT»X»NA»SS»NA»FreeAcctITProFB-AnimatedMigration-Ch3»PRC26P</v></cell><cell r="AH782"><v>223934056</v></cell><cell r="AI782" t="str"><v>AZR_FreeAcctITProFB-AnimatedMigration-Ch3_USA_1200x1200_CAN_Direct_English_Trial_Standard_ANI_LEA_T3_1</v></cell><cell r="AJ782"><v>103176827</v></cell></row><row r="783"><cell r="D783" t="str"><v>43356223862927</v></cell><cell r="E783" t="str"><v>43356103043835PRC1M0</v></cell><cell r="F783" t="str"><v>DCM</v></cell></row><row r="783"><cell r="H783"><v>0</v></cell><cell r="I783" t="str"><v>Azure Direct</v></cell><cell r="J783" t="str"><v>Azure Direct</v></cell><cell r="K783" t="str"><v>September</v></cell><cell r="L783"><v>43358</v></cell><cell r="M783" t="str"><v>Tier 0</v></cell><cell r="N783" t="str"><v>North America</v></cell><cell r="O783" t="str"><v>United States</v></cell><cell r="P783" t="str"><v>Trial</v></cell><cell r="Q783" t="str"><v>Social</v></cell><cell r="R783" t="str"><v>Azure</v></cell><cell r="S783" t="str"><v>Apps & Infra</v></cell><cell r="T783" t="str"><v>Developers & ITI's</v></cell><cell r="U783" t="str"><v>USA-Trial-ITD-Trial Lookalike-AZR-AZR</v></cell><cell r="V783" t="str"><v>Lookalike Targeting</v></cell><cell r="W783" t="str"><v>Canvas Ad</v></cell><cell r="X783" t="str"><v>10s</v></cell><cell r="Y783" t="str"><v>Try it Now</v></cell><cell r="Z783" t="str"><v>Standard videos</v></cell><cell r="AA783"><v>43356</v></cell><cell r="AB783" t="str"><v>USA_gaPMG_AZR_AZR_Q1_19_Direct-Social</v></cell><cell r="AC783"><v>21358715</v></cell><cell r="AD783"><v>720197</v></cell><cell r="AE783" t="str"><v>Facebook</v></cell><cell r="AF783"><v>3654128</v></cell><cell r="AG783" t="str"><v>FACEBOOK»USA-Trial-ITD-Trial Lookalike-AZR-AZR»1 x 1»SocialBan»CAN»ALL»CPA»LAL»X»NA»SS»NA»FBCTCBenefit2inMotion»PRC1M0</v></cell><cell r="AH783"><v>223862927</v></cell><cell r="AI783" t="str"><v>AzurePlatform_FBCTCBenefit2inMotion_USA_10s_CAN_PLATFORM_English_Trial_Standard_STAN_TIN_T4_1</v></cell><cell r="AJ783"><v>103043835</v></cell></row><row r="784"><cell r="D784" t="str"><v>43356226621012</v></cell><cell r="E784" t="str"><v>43356104595730PS7B55</v></cell><cell r="F784" t="str"><v>DCM</v></cell></row><row r="784"><cell r="H784"><v>1</v></cell><cell r="I784" t="str"><v>Azure Direct</v></cell><cell r="J784" t="str"><v>Azure Direct</v></cell><cell r="K784" t="str"><v>September</v></cell><cell r="L784"><v>43358</v></cell><cell r="M784" t="str"><v>Tier 0</v></cell><cell r="N784" t="str"><v>North America</v></cell><cell r="O784" t="str"><v>United States</v></cell><cell r="P784" t="str"><v>Trial</v></cell><cell r="Q784" t="str"><v>Social</v></cell><cell r="R784" t="str"><v>Azure</v></cell><cell r="S784" t="str"><v>Apps & Infra</v></cell><cell r="T784" t="str"><v>Developers & ITI's</v></cell><cell r="U784" t="str"><v>USA-Trial-ITD-Trial Lookalike-AZR-AZR</v></cell><cell r="V784" t="str"><v>Lookalike Targeting</v></cell><cell r="W784" t="str"><v>Canvas Ad</v></cell><cell r="X784" t="str"><v>1200x1200</v></cell><cell r="Y784" t="str"><v>Learn More</v></cell><cell r="Z784" t="str"><v>Animated Banner</v></cell><cell r="AA784"><v>43356</v></cell><cell r="AB784" t="str"><v>USA_gaPMG_AZR_AZR_Q1_19_Direct-Social</v></cell><cell r="AC784"><v>21358715</v></cell><cell r="AD784"><v>720197</v></cell><cell r="AE784" t="str"><v>Facebook</v></cell><cell r="AF784"><v>3654128</v></cell><cell r="AG784" t="str"><v>FACEBOOK»USA-Trial-ITD-Trial Lookalike-AZR-AZR»1 x 1»SocialBan»CAN»ALL»CPA»LAL»X»NA»SS»NA»FreeAcctITProFB-AnimatedMigration-Ch3»PS7B55</v></cell><cell r="AH784"><v>226621012</v></cell><cell r="AI784" t="str"><v>AZR_FreeAcctITProFB-AnimatedMigration-Ch3_USA_1200x1200_CAN_Direct_EN_Trial_Standard_ANI_LEA_T3_2</v></cell><cell r="AJ784"><v>104595730</v></cell></row><row r="785"><cell r="D785" t="str"><v>43356226622530</v></cell><cell r="E785" t="str"><v>43356104592523PS7B5P</v></cell><cell r="F785" t="str"><v>DCM</v></cell></row><row r="785"><cell r="H785"><v>2</v></cell><cell r="I785" t="str"><v>Azure Direct</v></cell><cell r="J785" t="str"><v>Azure Direct</v></cell><cell r="K785" t="str"><v>September</v></cell><cell r="L785"><v>43358</v></cell><cell r="M785" t="str"><v>Tier 0</v></cell><cell r="N785" t="str"><v>North America</v></cell><cell r="O785" t="str"><v>United States</v></cell><cell r="P785" t="str"><v>Trial</v></cell><cell r="Q785" t="str"><v>Social</v></cell><cell r="R785" t="str"><v>Azure</v></cell><cell r="S785" t="str"><v>Apps & Infra</v></cell><cell r="T785" t="str"><v>Developers & ITI's</v></cell><cell r="U785" t="str"><v>USA-Trial-ITD-Trial PayGo Lookalike-AZR-AZR</v></cell><cell r="V785" t="str"><v>Lookalike Targeting</v></cell><cell r="W785" t="str"><v>Canvas Ad</v></cell><cell r="X785" t="str"><v>1200x1200</v></cell><cell r="Y785" t="str"><v>Learn More</v></cell><cell r="Z785" t="str"><v>Animated Banner</v></cell><cell r="AA785"><v>43356</v></cell><cell r="AB785" t="str"><v>USA_gaPMG_AZR_AZR_Q1_19_Direct-Social</v></cell><cell r="AC785"><v>21358715</v></cell><cell r="AD785"><v>720197</v></cell><cell r="AE785" t="str"><v>Facebook</v></cell><cell r="AF785"><v>3654128</v></cell><cell r="AG785" t="str"><v>FACEBOOK»USA-Trial-ITD-Trial PayGo Lookalike-AZR-AZR»1 x 1»SocialBan»CAN»ALL»CPA»LAL»X»NA»SS»NA»FreeAcctDeveloperFB-AnimatedGeneric-Ch1»PS7B5P</v></cell><cell r="AH785"><v>226622530</v></cell><cell r="AI785" t="str"><v>AZR_FreeAcctDeveloperFB-AnimatedGeneric-Ch1_USA_1200x1200_CAN_Direct_EN_Trial_Standard_ANI_LEA_T1_2</v></cell><cell r="AJ785"><v>104592523</v></cell></row><row r="786"><cell r="D786" t="str"><v>43356226539389</v></cell><cell r="E786" t="str"><v>43356104592523PS79T3</v></cell><cell r="F786" t="str"><v>DCM</v></cell></row><row r="786"><cell r="H786"><v>2</v></cell><cell r="I786" t="str"><v>Azure Direct</v></cell><cell r="J786" t="str"><v>Azure Direct</v></cell><cell r="K786" t="str"><v>September</v></cell><cell r="L786"><v>43358</v></cell><cell r="M786" t="str"><v>Tier 0</v></cell><cell r="N786" t="str"><v>North America</v></cell><cell r="O786" t="str"><v>United States</v></cell><cell r="P786" t="str"><v>Trial</v></cell><cell r="Q786" t="str"><v>Social</v></cell><cell r="R786" t="str"><v>Azure</v></cell><cell r="S786" t="str"><v>Apps & Infra</v></cell><cell r="T786" t="str"><v>Developers & ITI's</v></cell><cell r="U786" t="str"><v>USA-Trial-ITD-Retargeting-AZR-AZR</v></cell><cell r="V786" t="str"><v>Retargeting</v></cell><cell r="W786" t="str"><v>Canvas Ad</v></cell><cell r="X786" t="str"><v>1200x1200</v></cell><cell r="Y786" t="str"><v>Learn More</v></cell><cell r="Z786" t="str"><v>Animated Banner</v></cell><cell r="AA786"><v>43356</v></cell><cell r="AB786" t="str"><v>USA_gaPMG_AZR_AZR_Q1_19_Direct-Social</v></cell><cell r="AC786"><v>21358715</v></cell><cell r="AD786"><v>720197</v></cell><cell r="AE786" t="str"><v>Facebook</v></cell><cell r="AF786"><v>3654128</v></cell><cell r="AG786" t="str"><v>FACEBOOK»USA-Trial-ITD-Retargeting-AZR-AZR»1 x 1»SocialBan»CAN»ALL»CPA»RT»X»NA»SS»NA»FreeAcctDeveloperFB-AnimatedGeneric-Ch1»PS79T3</v></cell><cell r="AH786"><v>226539389</v></cell><cell r="AI786" t="str"><v>AZR_FreeAcctDeveloperFB-AnimatedGeneric-Ch1_USA_1200x1200_CAN_Direct_EN_Trial_Standard_ANI_LEA_T1_2</v></cell><cell r="AJ786"><v>104592523</v></cell></row><row r="787"><cell r="D787" t="str"><v>43356226539389</v></cell><cell r="E787" t="str"><v>43356104595766PS79T3</v></cell><cell r="F787" t="str"><v>DCM</v></cell></row><row r="787"><cell r="H787"><v>0</v></cell><cell r="I787" t="str"><v>Azure Direct</v></cell><cell r="J787" t="str"><v>Azure Direct</v></cell><cell r="K787" t="str"><v>September</v></cell><cell r="L787"><v>43358</v></cell><cell r="M787" t="str"><v>Tier 0</v></cell><cell r="N787" t="str"><v>North America</v></cell><cell r="O787" t="str"><v>United States</v></cell><cell r="P787" t="str"><v>Trial</v></cell><cell r="Q787" t="str"><v>Social</v></cell><cell r="R787" t="str"><v>Azure</v></cell><cell r="S787" t="str"><v>Apps & Infra</v></cell><cell r="T787" t="str"><v>Developers & ITI's</v></cell><cell r="U787" t="str"><v>USA-Trial-ITD-Retargeting-AZR-AZR</v></cell><cell r="V787" t="str"><v>Retargeting</v></cell><cell r="W787" t="str"><v>Canvas Ad</v></cell><cell r="X787" t="str"><v>1200x1200</v></cell><cell r="Y787" t="str"><v>Learn More</v></cell><cell r="Z787" t="str"><v>Animated Banner</v></cell><cell r="AA787"><v>43356</v></cell><cell r="AB787" t="str"><v>USA_gaPMG_AZR_AZR_Q1_19_Direct-Social</v></cell><cell r="AC787"><v>21358715</v></cell><cell r="AD787"><v>720197</v></cell><cell r="AE787" t="str"><v>Facebook</v></cell><cell r="AF787"><v>3654128</v></cell><cell r="AG787" t="str"><v>FACEBOOK»USA-Trial-ITD-Retargeting-AZR-AZR»1 x 1»SocialBan»CAN»ALL»CPA»RT»X»NA»SS»NA»FreeAcctDeveloperFB-AnimatedGeneric-Ch1»PS79T3</v></cell><cell r="AH787"><v>226539389</v></cell><cell r="AI787" t="str"><v>AZR_FreeAcctDeveloperFB-AnimatedGeneric-Ch1_USA_1200x1200_CAN_Direct_EN_Trial_Standard_ANI_LEA_T1_1</v></cell><cell r="AJ787"><v>104595766</v></cell></row><row r="788"><cell r="D788" t="str"><v>43356226535315</v></cell><cell r="E788" t="str"><v>43356104593726PS7DLN</v></cell><cell r="F788" t="str"><v>DCM</v></cell></row><row r="788"><cell r="H788"><v>1</v></cell><cell r="I788" t="str"><v>Azure Direct</v></cell><cell r="J788" t="str"><v>Azure Direct</v></cell><cell r="K788" t="str"><v>September</v></cell><cell r="L788"><v>43358</v></cell><cell r="M788" t="str"><v>Tier 0</v></cell><cell r="N788" t="str"><v>North America</v></cell><cell r="O788" t="str"><v>United States</v></cell><cell r="P788" t="str"><v>Trial</v></cell><cell r="Q788" t="str"><v>Social</v></cell><cell r="R788" t="str"><v>Azure</v></cell><cell r="S788" t="str"><v>Apps & Infra</v></cell><cell r="T788" t="str"><v>Developers & ITI's</v></cell><cell r="U788" t="str"><v>USA-Trial-ITD-Lead Completes Lookalike-AZR-AZR</v></cell><cell r="V788" t="str"><v>Lookalike Targeting</v></cell><cell r="W788" t="str"><v>Canvas Ad</v></cell><cell r="X788" t="str"><v>1200x1200</v></cell><cell r="Y788" t="str"><v>Learn More</v></cell><cell r="Z788" t="str"><v>Animated Banner</v></cell><cell r="AA788"><v>43356</v></cell><cell r="AB788" t="str"><v>USA_gaPMG_AZR_AZR_Q1_19_Direct-Social</v></cell><cell r="AC788"><v>21358715</v></cell><cell r="AD788"><v>720197</v></cell><cell r="AE788" t="str"><v>Facebook</v></cell><cell r="AF788"><v>3654128</v></cell><cell r="AG788" t="str"><v>FACEBOOK»USA-Trial-ITD-Lead Completes Lookalike-AZR-AZR»1 x 1»SocialBan»CAN»ALL»CPA»LAL»X»NA»SS»NA»FreeAcctITProFB-AnimatedHybrid-Ch2»PS7DLN</v></cell><cell r="AH788"><v>226535315</v></cell><cell r="AI788" t="str"><v>AZR_FreeAcctITProFB-AnimatedHybrid-Ch2_USA_1200x1200_CAN_Direct_EN_Trial_Standard_ANI_LEA_T2_2</v></cell><cell r="AJ788"><v>104593726</v></cell></row><row r="789"><cell r="D789" t="str"><v>43356226783986</v></cell><cell r="E789" t="str"><v>43356104595715PS79SY</v></cell><cell r="F789" t="str"><v>DCM</v></cell></row><row r="789"><cell r="H789"><v>0</v></cell><cell r="I789" t="str"><v>Azure Direct</v></cell><cell r="J789" t="str"><v>Azure Direct</v></cell><cell r="K789" t="str"><v>September</v></cell><cell r="L789"><v>43358</v></cell><cell r="M789" t="str"><v>Tier 0</v></cell><cell r="N789" t="str"><v>North America</v></cell><cell r="O789" t="str"><v>United States</v></cell><cell r="P789" t="str"><v>Trial</v></cell><cell r="Q789" t="str"><v>Social</v></cell><cell r="R789" t="str"><v>Azure</v></cell><cell r="S789" t="str"><v>Apps & Infra</v></cell><cell r="T789" t="str"><v>Developers & ITI's</v></cell><cell r="U789" t="str"><v>USA-Trial-ITD-Retargeting-AZR-AZR</v></cell><cell r="V789" t="str"><v>Retargeting</v></cell><cell r="W789" t="str"><v>Canvas Ad</v></cell><cell r="X789" t="str"><v>1200x628</v></cell><cell r="Y789" t="str"><v>Sign Up</v></cell><cell r="Z789" t="str"><v>Not Applicable</v></cell><cell r="AA789"><v>43356</v></cell><cell r="AB789" t="str"><v>USA_gaPMG_AZR_AZR_Q1_19_Direct-Social</v></cell><cell r="AC789"><v>21358715</v></cell><cell r="AD789"><v>720197</v></cell><cell r="AE789" t="str"><v>Facebook</v></cell><cell r="AF789"><v>3654128</v></cell><cell r="AG789" t="str"><v>FACEBOOK»USA-Trial-ITD-Retargeting-AZR-AZR»1 x 1»SocialBan»CAN»ALL»CPA»RT»X»NA»SS»NA»FreeAcctRetargetingVMFB-OnDemand-ChE»PS79SY</v></cell><cell r="AH789"><v>226783986</v></cell><cell r="AI789" t="str"><v>AZR_FreeAcctRetargetingVMFB-OnDemand-ChE_USA_1200x628_CAN_Plat_English_Free Account_Standard_NA_SINU_T2_1</v></cell><cell r="AJ789"><v>104595715</v></cell></row><row r="790"><cell r="D790" t="str"><v>43356226786188</v></cell><cell r="E790" t="str"><v>43356104593435PS7BTJ</v></cell><cell r="F790" t="str"><v>DCM</v></cell></row><row r="790"><cell r="H790"><v>0</v></cell><cell r="I790" t="str"><v>Azure Direct</v></cell><cell r="J790" t="str"><v>Azure Direct</v></cell><cell r="K790" t="str"><v>September</v></cell><cell r="L790"><v>43358</v></cell><cell r="M790" t="str"><v>Tier 0</v></cell><cell r="N790" t="str"><v>North America</v></cell><cell r="O790" t="str"><v>United States</v></cell><cell r="P790" t="str"><v>Trial</v></cell><cell r="Q790" t="str"><v>Social</v></cell><cell r="R790" t="str"><v>Azure</v></cell><cell r="S790" t="str"><v>Apps & Infra</v></cell><cell r="T790" t="str"><v>Developers & ITI's</v></cell><cell r="U790" t="str"><v>USA-Trial-ITD-Bing Retargeting-AZR-AZR</v></cell><cell r="V790" t="str"><v>Retargeting</v></cell><cell r="W790" t="str"><v>Link Ad</v></cell><cell r="X790" t="str"><v>1200x627</v></cell><cell r="Y790" t="str"><v>Sign Up</v></cell><cell r="Z790" t="str"><v>Not Applicable</v></cell><cell r="AA790"><v>43356</v></cell><cell r="AB790" t="str"><v>USA_gaPMG_AZR_AZR_Q1_19_Direct-Social</v></cell><cell r="AC790"><v>21358715</v></cell><cell r="AD790"><v>720197</v></cell><cell r="AE790" t="str"><v>Linkedin</v></cell><cell r="AF790"><v>3654329</v></cell><cell r="AG790" t="str"><v>LINKEDIN»USA-Trial-ITD-Bing Retargeting-AZR-AZR»1 x 1»SocialBan»LIA»ALL»CPA»RT»D»All»SS»NA»FreeAcctRetargetingLI-Credit-ChA»PS7BTJ</v></cell><cell r="AH790"><v>226786188</v></cell><cell r="AI790" t="str"><v>AZR_FreeAcctRetargetingLI-Credit-ChA_USA_1200x627_LIA_Plat_English_Free Account_Standard_NA_SINU_T1_1</v></cell><cell r="AJ790"><v>104593435</v></cell></row><row r="791"><cell r="D791" t="str"><v>43356226536104</v></cell><cell r="E791" t="str"><v>43356104593723PS7BTN</v></cell><cell r="F791" t="str"><v>DCM</v></cell></row><row r="791"><cell r="H791"><v>0</v></cell><cell r="I791" t="str"><v>Azure Direct</v></cell><cell r="J791" t="str"><v>Azure Direct</v></cell><cell r="K791" t="str"><v>September</v></cell><cell r="L791"><v>43358</v></cell><cell r="M791" t="str"><v>Tier 0</v></cell><cell r="N791" t="str"><v>North America</v></cell><cell r="O791" t="str"><v>United States</v></cell><cell r="P791" t="str"><v>Trial</v></cell><cell r="Q791" t="str"><v>Social</v></cell><cell r="R791" t="str"><v>Azure</v></cell><cell r="S791" t="str"><v>Apps & Infra</v></cell><cell r="T791" t="str"><v>Developers & ITI's</v></cell><cell r="U791" t="str"><v>USA-Trial-ITD-Bing Retargeting-AZR-AZR</v></cell><cell r="V791" t="str"><v>Retargeting</v></cell><cell r="W791" t="str"><v>Link Ad</v></cell><cell r="X791" t="str"><v>1200x627</v></cell><cell r="Y791" t="str"><v>Sign Up</v></cell><cell r="Z791" t="str"><v>Not Applicable</v></cell><cell r="AA791"><v>43356</v></cell><cell r="AB791" t="str"><v>USA_gaPMG_AZR_AZR_Q1_19_Direct-Social</v></cell><cell r="AC791"><v>21358715</v></cell><cell r="AD791"><v>720197</v></cell><cell r="AE791" t="str"><v>Linkedin</v></cell><cell r="AF791"><v>3654329</v></cell><cell r="AG791" t="str"><v>LINKEDIN»USA-Trial-ITD-Bing Retargeting-AZR-AZR»1 x 1»SocialBan»LIA»ALL»CPA»RT»D»All»SS»NA»FreeAcctRetargetingLI-GlobalAlt-ChB»PS7BTN</v></cell><cell r="AH791"><v>226536104</v></cell><cell r="AI791" t="str"><v>AZR_FreeAcctRetargetingLI-GlobalAlt-ChB_USA_1200x627_LIA_Plat_English_Free Account_Standard_NA_SINU_T2_1</v></cell><cell r="AJ791"><v>104593723</v></cell></row><row r="792"><cell r="D792" t="str"><v>43356226535249</v></cell><cell r="E792" t="str"><v>43356104671415PS7BTF</v></cell><cell r="F792" t="str"><v>DCM</v></cell></row><row r="792"><cell r="H792"><v>0</v></cell><cell r="I792" t="str"><v>Azure Direct</v></cell><cell r="J792" t="str"><v>Azure Direct</v></cell><cell r="K792" t="str"><v>September</v></cell><cell r="L792"><v>43358</v></cell><cell r="M792" t="str"><v>Tier 0</v></cell><cell r="N792" t="str"><v>North America</v></cell><cell r="O792" t="str"><v>United States</v></cell><cell r="P792" t="str"><v>Trial</v></cell><cell r="Q792" t="str"><v>Social</v></cell><cell r="R792" t="str"><v>Azure</v></cell><cell r="S792" t="str"><v>Apps & Infra</v></cell><cell r="T792" t="str"><v>Developers & ITI's</v></cell><cell r="U792" t="str"><v>USA-Trial-ITD-Bing Retargeting-AZR-AZR</v></cell><cell r="V792" t="str"><v>Retargeting</v></cell><cell r="W792" t="str"><v>Link Ad</v></cell><cell r="X792" t="str"><v>1200x627</v></cell><cell r="Y792" t="str"><v>Sign Up</v></cell><cell r="Z792" t="str"><v>Not Applicable</v></cell><cell r="AA792"><v>43356</v></cell><cell r="AB792" t="str"><v>USA_gaPMG_AZR_AZR_Q1_19_Direct-Social</v></cell><cell r="AC792"><v>21358715</v></cell><cell r="AD792"><v>720197</v></cell><cell r="AE792" t="str"><v>Linkedin</v></cell><cell r="AF792"><v>3654329</v></cell><cell r="AG792" t="str"><v>LINKEDIN»USA-Trial-ITD-Bing Retargeting-AZR-AZR»1 x 1»SocialBan»LIA»ALL»CPA»RT»D»All»SS»NA»FreeAcctRetargetingVMLI-750Hrs-ChD»PS7BTF</v></cell><cell r="AH792"><v>226535249</v></cell><cell r="AI792" t="str"><v>AZR_FreeAcctRetargetingVMLI-750Hrs-ChD_USA_1200x627_LIA_Plat_English_Free Account_Standard_NA_SINU_T1_1</v></cell><cell r="AJ792"><v>104671415</v></cell></row><row r="793"><cell r="D793" t="str"><v>43356226615867</v></cell><cell r="E793" t="str"><v>43356104592529PS7BTG</v></cell><cell r="F793" t="str"><v>DCM</v></cell></row><row r="793"><cell r="H793"><v>0</v></cell><cell r="I793" t="str"><v>Azure Direct</v></cell><cell r="J793" t="str"><v>Azure Direct</v></cell><cell r="K793" t="str"><v>September</v></cell><cell r="L793"><v>43358</v></cell><cell r="M793" t="str"><v>Tier 0</v></cell><cell r="N793" t="str"><v>North America</v></cell><cell r="O793" t="str"><v>United States</v></cell><cell r="P793" t="str"><v>Trial</v></cell><cell r="Q793" t="str"><v>Social</v></cell><cell r="R793" t="str"><v>Azure</v></cell><cell r="S793" t="str"><v>Apps & Infra</v></cell><cell r="T793" t="str"><v>Developers & ITI's</v></cell><cell r="U793" t="str"><v>USA-Trial-ITD-Bing Retargeting-AZR-AZR</v></cell><cell r="V793" t="str"><v>Retargeting</v></cell><cell r="W793" t="str"><v>Link Ad</v></cell><cell r="X793" t="str"><v>1200x627</v></cell><cell r="Y793" t="str"><v>Sign Up</v></cell><cell r="Z793" t="str"><v>Not Applicable</v></cell><cell r="AA793"><v>43356</v></cell><cell r="AB793" t="str"><v>USA_gaPMG_AZR_AZR_Q1_19_Direct-Social</v></cell><cell r="AC793"><v>21358715</v></cell><cell r="AD793"><v>720197</v></cell><cell r="AE793" t="str"><v>Linkedin</v></cell><cell r="AF793"><v>3654329</v></cell><cell r="AG793" t="str"><v>LINKEDIN»USA-Trial-ITD-Bing Retargeting-AZR-AZR»1 x 1»SocialBan»LIA»ALL»CPA»RT»D»All»SS»NA»FreeAcctRetargetingVMLI-OnDemand-ChE»PS7BTG</v></cell><cell r="AH793"><v>226615867</v></cell><cell r="AI793" t="str"><v>AZR_FreeAcctRetargetingVMLI-OnDemand-ChE_USA_1200x627_LIA_Plat_English_Free Account_Standard_NA_SINU_T2_1</v></cell><cell r="AJ793"><v>104592529</v></cell></row><row r="794"><cell r="D794" t="str"><v>43356226621543</v></cell><cell r="E794" t="str"><v>43356104593444PS7BTR</v></cell><cell r="F794" t="str"><v>DCM</v></cell></row><row r="794"><cell r="H794"><v>3</v></cell><cell r="I794" t="str"><v>Azure Direct</v></cell><cell r="J794" t="str"><v>Azure Direct</v></cell><cell r="K794" t="str"><v>September</v></cell><cell r="L794"><v>43358</v></cell><cell r="M794" t="str"><v>Tier 0</v></cell><cell r="N794" t="str"><v>North America</v></cell><cell r="O794" t="str"><v>United States</v></cell><cell r="P794" t="str"><v>Trial</v></cell><cell r="Q794" t="str"><v>Social</v></cell><cell r="R794" t="str"><v>Azure</v></cell><cell r="S794" t="str"><v>Apps & Infra</v></cell><cell r="T794" t="str"><v>Developers & ITI's</v></cell><cell r="U794" t="str"><v>USA-Trial-ITD-Bing Retargeting-AZR-AZR</v></cell><cell r="V794" t="str"><v>Retargeting</v></cell><cell r="W794" t="str"><v>Video Link ad</v></cell><cell r="X794" t="str"><v>1920x1080</v></cell><cell r="Y794" t="str"><v>Learn More</v></cell><cell r="Z794" t="str"><v>Animated Banner</v></cell><cell r="AA794"><v>43356</v></cell><cell r="AB794" t="str"><v>USA_gaPMG_AZR_AZR_Q1_19_Direct-Social</v></cell><cell r="AC794"><v>21358715</v></cell><cell r="AD794"><v>720197</v></cell><cell r="AE794" t="str"><v>Linkedin</v></cell><cell r="AF794"><v>3654329</v></cell><cell r="AG794" t="str"><v>LINKEDIN»USA-Trial-ITD-Bing Retargeting-AZR-AZR»1 x 1»SocialBan»VLA»ALL»CPA»RT»D»All»SS»NA»FreeAcctDeveloperLI-AnimatedAI-Ch3»PS7BTR</v></cell><cell r="AH794"><v>226621543</v></cell><cell r="AI794" t="str"><v>AZR_FreeAcctDeveloperLI-AnimatedAI-Ch3_USA_1920x1080_VLA_Direct_EN_Trial_Standard_ANI_LEA_T3_1</v></cell><cell r="AJ794"><v>104593444</v></cell></row><row r="795"><cell r="D795" t="str"><v>43356226622815</v></cell><cell r="E795" t="str"><v>43356104593732PS7BTS</v></cell><cell r="F795" t="str"><v>DCM</v></cell></row><row r="795"><cell r="H795"><v>0</v></cell><cell r="I795" t="str"><v>Azure Direct</v></cell><cell r="J795" t="str"><v>Azure Direct</v></cell><cell r="K795" t="str"><v>September</v></cell><cell r="L795"><v>43358</v></cell><cell r="M795" t="str"><v>Tier 0</v></cell><cell r="N795" t="str"><v>North America</v></cell><cell r="O795" t="str"><v>United States</v></cell><cell r="P795" t="str"><v>Trial</v></cell><cell r="Q795" t="str"><v>Social</v></cell><cell r="R795" t="str"><v>Azure</v></cell><cell r="S795" t="str"><v>Apps & Infra</v></cell><cell r="T795" t="str"><v>Developers & ITI's</v></cell><cell r="U795" t="str"><v>USA-Trial-ITD-Bing Retargeting-AZR-AZR</v></cell><cell r="V795" t="str"><v>Retargeting</v></cell><cell r="W795" t="str"><v>Video Link ad</v></cell><cell r="X795" t="str"><v>1920x1080</v></cell><cell r="Y795" t="str"><v>Learn More</v></cell><cell r="Z795" t="str"><v>Animated Banner</v></cell><cell r="AA795"><v>43356</v></cell><cell r="AB795" t="str"><v>USA_gaPMG_AZR_AZR_Q1_19_Direct-Social</v></cell><cell r="AC795"><v>21358715</v></cell><cell r="AD795"><v>720197</v></cell><cell r="AE795" t="str"><v>Linkedin</v></cell><cell r="AF795"><v>3654329</v></cell><cell r="AG795" t="str"><v>LINKEDIN»USA-Trial-ITD-Bing Retargeting-AZR-AZR»1 x 1»SocialBan»VLA»ALL»CPA»RT»D»All»SS»NA»FreeAcctDeveloperLI-AnimatedData-Ch4»PS7BTS</v></cell><cell r="AH795"><v>226622815</v></cell><cell r="AI795" t="str"><v>AZR_FreeAcctDeveloperLI-AnimatedData-Ch4_USA_1920x1080_VLA_Direct_EN_Trial_Standard_ANI_LEA_T4_1</v></cell><cell r="AJ795"><v>104593732</v></cell></row><row r="796"><cell r="D796" t="str"><v>43356226538510</v></cell><cell r="E796" t="str"><v>43356104595736PS7BTL</v></cell><cell r="F796" t="str"><v>DCM</v></cell></row><row r="796"><cell r="H796"><v>0</v></cell><cell r="I796" t="str"><v>Azure Direct</v></cell><cell r="J796" t="str"><v>Azure Direct</v></cell><cell r="K796" t="str"><v>September</v></cell><cell r="L796"><v>43358</v></cell><cell r="M796" t="str"><v>Tier 0</v></cell><cell r="N796" t="str"><v>North America</v></cell><cell r="O796" t="str"><v>United States</v></cell><cell r="P796" t="str"><v>Trial</v></cell><cell r="Q796" t="str"><v>Social</v></cell><cell r="R796" t="str"><v>Azure</v></cell><cell r="S796" t="str"><v>Apps & Infra</v></cell><cell r="T796" t="str"><v>Developers & ITI's</v></cell><cell r="U796" t="str"><v>USA-Trial-ITD-Bing Retargeting-AZR-AZR</v></cell><cell r="V796" t="str"><v>Retargeting</v></cell><cell r="W796" t="str"><v>Video Link ad</v></cell><cell r="X796" t="str"><v>1920x1080</v></cell><cell r="Y796" t="str"><v>Learn More</v></cell><cell r="Z796" t="str"><v>Animated Banner</v></cell><cell r="AA796"><v>43356</v></cell><cell r="AB796" t="str"><v>USA_gaPMG_AZR_AZR_Q1_19_Direct-Social</v></cell><cell r="AC796"><v>21358715</v></cell><cell r="AD796"><v>720197</v></cell><cell r="AE796" t="str"><v>Linkedin</v></cell><cell r="AF796"><v>3654329</v></cell><cell r="AG796" t="str"><v>LINKEDIN»USA-Trial-ITD-Bing Retargeting-AZR-AZR»1 x 1»SocialBan»VLA»ALL»CPA»RT»D»All»SS»NA»FreeAcctDeveloperLI-AnimatedGeneric-Ch1»PS7BTL</v></cell><cell r="AH796"><v>226538510</v></cell><cell r="AI796" t="str"><v>AZR_FreeAcctDeveloperLI-AnimatedGeneric-Ch1_USA_1920x1080_VLA_Direct_EN_Trial_Standard_ANI_LEA_T1_1</v></cell><cell r="AJ796"><v>104595736</v></cell></row><row r="797"><cell r="D797" t="str"><v>43356226538513</v></cell><cell r="E797" t="str"><v>43356104595736PS7BTM</v></cell><cell r="F797" t="str"><v>DCM</v></cell></row><row r="797"><cell r="H797"><v>0</v></cell><cell r="I797" t="str"><v>Azure Direct</v></cell><cell r="J797" t="str"><v>Azure Direct</v></cell><cell r="K797" t="str"><v>September</v></cell><cell r="L797"><v>43358</v></cell><cell r="M797" t="str"><v>Tier 0</v></cell><cell r="N797" t="str"><v>North America</v></cell><cell r="O797" t="str"><v>United States</v></cell><cell r="P797" t="str"><v>Trial</v></cell><cell r="Q797" t="str"><v>Social</v></cell><cell r="R797" t="str"><v>Azure</v></cell><cell r="S797" t="str"><v>Apps & Infra</v></cell><cell r="T797" t="str"><v>Developers & ITI's</v></cell><cell r="U797" t="str"><v>USA-Trial-ITD-Bing Retargeting-AZR-AZR</v></cell><cell r="V797" t="str"><v>Retargeting</v></cell><cell r="W797" t="str"><v>Video Link ad</v></cell><cell r="X797" t="str"><v>1920x1080</v></cell><cell r="Y797" t="str"><v>Learn More</v></cell><cell r="Z797" t="str"><v>Animated Banner</v></cell><cell r="AA797"><v>43356</v></cell><cell r="AB797" t="str"><v>USA_gaPMG_AZR_AZR_Q1_19_Direct-Social</v></cell><cell r="AC797"><v>21358715</v></cell><cell r="AD797"><v>720197</v></cell><cell r="AE797" t="str"><v>Linkedin</v></cell><cell r="AF797"><v>3654329</v></cell><cell r="AG797" t="str"><v>LINKEDIN»USA-Trial-ITD-Bing Retargeting-AZR-AZR»1 x 1»SocialBan»VLA»ALL»CPA»RT»D»All»SS»NA»FreeAcctDeveloperLI-AnimatedGeneric-Ch1»PS7BTM</v></cell><cell r="AH797"><v>226538513</v></cell><cell r="AI797" t="str"><v>AZR_FreeAcctDeveloperLI-AnimatedGeneric-Ch1_USA_1920x1080_VLA_Direct_EN_Trial_Standard_ANI_LEA_T1_1</v></cell><cell r="AJ797"><v>104595736</v></cell></row><row r="798"><cell r="D798" t="str"><v>43356226535246</v></cell><cell r="E798" t="str"><v>43356104671424PS7BTV</v></cell><cell r="F798" t="str"><v>DCM</v></cell></row><row r="798"><cell r="H798"><v>0</v></cell><cell r="I798" t="str"><v>Azure Direct</v></cell><cell r="J798" t="str"><v>Azure Direct</v></cell><cell r="K798" t="str"><v>September</v></cell><cell r="L798"><v>43358</v></cell><cell r="M798" t="str"><v>Tier 0</v></cell><cell r="N798" t="str"><v>North America</v></cell><cell r="O798" t="str"><v>United States</v></cell><cell r="P798" t="str"><v>Trial</v></cell><cell r="Q798" t="str"><v>Social</v></cell><cell r="R798" t="str"><v>Azure</v></cell><cell r="S798" t="str"><v>Apps & Infra</v></cell><cell r="T798" t="str"><v>Developers & ITI's</v></cell><cell r="U798" t="str"><v>USA-Trial-ITD-Bing Retargeting-AZR-AZR</v></cell><cell r="V798" t="str"><v>Retargeting</v></cell><cell r="W798" t="str"><v>Video Link ad</v></cell><cell r="X798" t="str"><v>1920x1080</v></cell><cell r="Y798" t="str"><v>Learn More</v></cell><cell r="Z798" t="str"><v>Animated Banner</v></cell><cell r="AA798"><v>43356</v></cell><cell r="AB798" t="str"><v>USA_gaPMG_AZR_AZR_Q1_19_Direct-Social</v></cell><cell r="AC798"><v>21358715</v></cell><cell r="AD798"><v>720197</v></cell><cell r="AE798" t="str"><v>Linkedin</v></cell><cell r="AF798"><v>3654329</v></cell><cell r="AG798" t="str"><v>LINKEDIN»USA-Trial-ITD-Bing Retargeting-AZR-AZR»1 x 1»SocialBan»VLA»ALL»CPA»RT»D»All»SS»NA»FreeAcctITProLI-AnimatedHybrid-Ch2»PS7BTV</v></cell><cell r="AH798"><v>226535246</v></cell><cell r="AI798" t="str"><v>AZR_FreeAcctITProLI-AnimatedHybrid-Ch2_USA_1920x1080_VLA_Direct_EN_Trial_Standard_ANI_LEA_T2_1</v></cell><cell r="AJ798"><v>104671424</v></cell></row><row r="799"><cell r="D799" t="str"><v>43356226620916</v></cell><cell r="E799" t="str"><v>43356104592532PS7BTP</v></cell><cell r="F799" t="str"><v>DCM</v></cell></row><row r="799"><cell r="H799"><v>0</v></cell><cell r="I799" t="str"><v>Azure Direct</v></cell><cell r="J799" t="str"><v>Azure Direct</v></cell><cell r="K799" t="str"><v>September</v></cell><cell r="L799"><v>43358</v></cell><cell r="M799" t="str"><v>Tier 0</v></cell><cell r="N799" t="str"><v>North America</v></cell><cell r="O799" t="str"><v>United States</v></cell><cell r="P799" t="str"><v>Trial</v></cell><cell r="Q799" t="str"><v>Social</v></cell><cell r="R799" t="str"><v>Azure</v></cell><cell r="S799" t="str"><v>Apps & Infra</v></cell><cell r="T799" t="str"><v>Developers & ITI's</v></cell><cell r="U799" t="str"><v>USA-Trial-ITD-Bing Retargeting-AZR-AZR</v></cell><cell r="V799" t="str"><v>Retargeting</v></cell><cell r="W799" t="str"><v>Video Link ad</v></cell><cell r="X799" t="str"><v>1920x1080</v></cell><cell r="Y799" t="str"><v>Learn More</v></cell><cell r="Z799" t="str"><v>Animated Banner</v></cell><cell r="AA799"><v>43356</v></cell><cell r="AB799" t="str"><v>USA_gaPMG_AZR_AZR_Q1_19_Direct-Social</v></cell><cell r="AC799"><v>21358715</v></cell><cell r="AD799"><v>720197</v></cell><cell r="AE799" t="str"><v>Linkedin</v></cell><cell r="AF799"><v>3654329</v></cell><cell r="AG799" t="str"><v>LINKEDIN»USA-Trial-ITD-Bing Retargeting-AZR-AZR»1 x 1»SocialBan»VLA»ALL»CPA»RT»D»All»SS»NA»FreeAcctITProLI-AnimatedMigration-Ch3»PS7BTP</v></cell><cell r="AH799"><v>226620916</v></cell><cell r="AI799" t="str"><v>AZR_FreeAcctITProLI-AnimatedMigration-Ch3_USA_1920x1080_VLA_Direct_EN_Trial_Standard_ANI_LEA_T3_1</v></cell><cell r="AJ799"><v>104592532</v></cell></row><row r="800"><cell r="D800" t="str"><v>43356226622818</v></cell><cell r="E800" t="str"><v>43356104593447PS7BTT</v></cell><cell r="F800" t="str"><v>DCM</v></cell></row><row r="800"><cell r="H800"><v>1</v></cell><cell r="I800" t="str"><v>Azure Direct</v></cell><cell r="J800" t="str"><v>Azure Direct</v></cell><cell r="K800" t="str"><v>September</v></cell><cell r="L800"><v>43358</v></cell><cell r="M800" t="str"><v>Tier 0</v></cell><cell r="N800" t="str"><v>North America</v></cell><cell r="O800" t="str"><v>United States</v></cell><cell r="P800" t="str"><v>Trial</v></cell><cell r="Q800" t="str"><v>Social</v></cell><cell r="R800" t="str"><v>Azure</v></cell><cell r="S800" t="str"><v>Apps & Infra</v></cell><cell r="T800" t="str"><v>Developers & ITI's</v></cell><cell r="U800" t="str"><v>USA-Trial-ITD-Bing Retargeting-AZR-AZR</v></cell><cell r="V800" t="str"><v>Retargeting</v></cell><cell r="W800" t="str"><v>Video Link ad</v></cell><cell r="X800" t="str"><v>1920x1080</v></cell><cell r="Y800" t="str"><v>Learn More</v></cell><cell r="Z800" t="str"><v>Animated Banner</v></cell><cell r="AA800"><v>43356</v></cell><cell r="AB800" t="str"><v>USA_gaPMG_AZR_AZR_Q1_19_Direct-Social</v></cell><cell r="AC800"><v>21358715</v></cell><cell r="AD800"><v>720197</v></cell><cell r="AE800" t="str"><v>Linkedin</v></cell><cell r="AF800"><v>3654329</v></cell><cell r="AG800" t="str"><v>LINKEDIN»USA-Trial-ITD-Bing Retargeting-AZR-AZR»1 x 1»SocialBan»VLA»ALL»CPA»RT»D»All»SS»NA»FreeAcctITProLI-AnimatedSecureWellMngd-Ch1»PS7BTT</v></cell><cell r="AH800"><v>226622818</v></cell><cell r="AI800" t="str"><v>AZR_FreeAcctITProLI-AnimatedSecureWellMngd-Ch1_USA_1920x1080_VLA_Direct_EN_Trial_Standard_ANI_LEA_T1_1</v></cell><cell r="AJ800"><v>104593447</v></cell></row><row r="801"><cell r="D801" t="str"><v>43356226538582</v></cell><cell r="E801" t="str"><v>43356104593444PS7BS4</v></cell><cell r="F801" t="str"><v>DCM</v></cell></row><row r="801"><cell r="H801"><v>1</v></cell><cell r="I801" t="str"><v>Azure Direct</v></cell><cell r="J801" t="str"><v>Azure Direct</v></cell><cell r="K801" t="str"><v>September</v></cell><cell r="L801"><v>43358</v></cell><cell r="M801" t="str"><v>Tier 0</v></cell><cell r="N801" t="str"><v>North America</v></cell><cell r="O801" t="str"><v>United States</v></cell><cell r="P801" t="str"><v>Trial</v></cell><cell r="Q801" t="str"><v>Social</v></cell><cell r="R801" t="str"><v>Azure</v></cell><cell r="S801" t="str"><v>Apps & Infra</v></cell><cell r="T801" t="str"><v>Developers & ITI's</v></cell><cell r="U801" t="str"><v>USA-Trial-ITD-Groups Prospecting-AZR-AZR</v></cell><cell r="V801" t="str"><v>Prospecting</v></cell><cell r="W801" t="str"><v>Video Link ad</v></cell><cell r="X801" t="str"><v>1920x1080</v></cell><cell r="Y801" t="str"><v>Learn More</v></cell><cell r="Z801" t="str"><v>Animated Banner</v></cell><cell r="AA801"><v>43356</v></cell><cell r="AB801" t="str"><v>USA_gaPMG_AZR_AZR_Q1_19_Direct-Social</v></cell><cell r="AC801"><v>21358715</v></cell><cell r="AD801"><v>720197</v></cell><cell r="AE801" t="str"><v>Linkedin</v></cell><cell r="AF801"><v>3654329</v></cell><cell r="AG801" t="str"><v>LINKEDIN»USA-Trial-ITD-Groups Prospecting-AZR-AZR»1 x 1»SocialBan»VLA»ALL»CPA»PRO»D»All»SS»NA»FreeAcctDeveloperLI-AnimatedAI-Ch3»PS7BS4</v></cell><cell r="AH801"><v>226538582</v></cell><cell r="AI801" t="str"><v>AZR_FreeAcctDeveloperLI-AnimatedAI-Ch3_USA_1920x1080_VLA_Direct_EN_Trial_Standard_ANI_LEA_T3_1</v></cell><cell r="AJ801"><v>104593444</v></cell></row><row r="802"><cell r="D802" t="str"><v>43356226617961</v></cell><cell r="E802" t="str"><v>43356104593732PS7BS5</v></cell><cell r="F802" t="str"><v>DCM</v></cell></row><row r="802"><cell r="H802"><v>0</v></cell><cell r="I802" t="str"><v>Azure Direct</v></cell><cell r="J802" t="str"><v>Azure Direct</v></cell><cell r="K802" t="str"><v>September</v></cell><cell r="L802"><v>43358</v></cell><cell r="M802" t="str"><v>Tier 0</v></cell><cell r="N802" t="str"><v>North America</v></cell><cell r="O802" t="str"><v>United States</v></cell><cell r="P802" t="str"><v>Trial</v></cell><cell r="Q802" t="str"><v>Social</v></cell><cell r="R802" t="str"><v>Azure</v></cell><cell r="S802" t="str"><v>Apps & Infra</v></cell><cell r="T802" t="str"><v>Developers & ITI's</v></cell><cell r="U802" t="str"><v>USA-Trial-ITD-Groups Prospecting-AZR-AZR</v></cell><cell r="V802" t="str"><v>Prospecting</v></cell><cell r="W802" t="str"><v>Video Link ad</v></cell><cell r="X802" t="str"><v>1920x1080</v></cell><cell r="Y802" t="str"><v>Learn More</v></cell><cell r="Z802" t="str"><v>Animated Banner</v></cell><cell r="AA802"><v>43356</v></cell><cell r="AB802" t="str"><v>USA_gaPMG_AZR_AZR_Q1_19_Direct-Social</v></cell><cell r="AC802"><v>21358715</v></cell><cell r="AD802"><v>720197</v></cell><cell r="AE802" t="str"><v>Linkedin</v></cell><cell r="AF802"><v>3654329</v></cell><cell r="AG802" t="str"><v>LINKEDIN»USA-Trial-ITD-Groups Prospecting-AZR-AZR»1 x 1»SocialBan»VLA»ALL»CPA»PRO»D»All»SS»NA»FreeAcctDeveloperLI-AnimatedData-Ch4»PS7BS5</v></cell><cell r="AH802"><v>226617961</v></cell><cell r="AI802" t="str"><v>AZR_FreeAcctDeveloperLI-AnimatedData-Ch4_USA_1920x1080_VLA_Direct_EN_Trial_Standard_ANI_LEA_T4_1</v></cell><cell r="AJ802"><v>104593732</v></cell></row><row r="803"><cell r="D803" t="str"><v>43356226622884</v></cell><cell r="E803" t="str"><v>43356104595736PS7BRZ</v></cell><cell r="F803" t="str"><v>DCM</v></cell></row><row r="803"><cell r="H803"><v>0</v></cell><cell r="I803" t="str"><v>Azure Direct</v></cell><cell r="J803" t="str"><v>Azure Direct</v></cell><cell r="K803" t="str"><v>September</v></cell><cell r="L803"><v>43358</v></cell><cell r="M803" t="str"><v>Tier 0</v></cell><cell r="N803" t="str"><v>North America</v></cell><cell r="O803" t="str"><v>United States</v></cell><cell r="P803" t="str"><v>Trial</v></cell><cell r="Q803" t="str"><v>Social</v></cell><cell r="R803" t="str"><v>Azure</v></cell><cell r="S803" t="str"><v>Apps & Infra</v></cell><cell r="T803" t="str"><v>Developers & ITI's</v></cell><cell r="U803" t="str"><v>USA-Trial-ITD-Groups Prospecting-AZR-AZR</v></cell><cell r="V803" t="str"><v>Prospecting</v></cell><cell r="W803" t="str"><v>Video Link ad</v></cell><cell r="X803" t="str"><v>1920x1080</v></cell><cell r="Y803" t="str"><v>Learn More</v></cell><cell r="Z803" t="str"><v>Animated Banner</v></cell><cell r="AA803"><v>43356</v></cell><cell r="AB803" t="str"><v>USA_gaPMG_AZR_AZR_Q1_19_Direct-Social</v></cell><cell r="AC803"><v>21358715</v></cell><cell r="AD803"><v>720197</v></cell><cell r="AE803" t="str"><v>Linkedin</v></cell><cell r="AF803"><v>3654329</v></cell><cell r="AG803" t="str"><v>LINKEDIN»USA-Trial-ITD-Groups Prospecting-AZR-AZR»1 x 1»SocialBan»VLA»ALL»CPA»PRO»D»All»SS»NA»FreeAcctDeveloperLI-AnimatedGeneric-Ch1»PS7BRZ</v></cell><cell r="AH803"><v>226622884</v></cell><cell r="AI803" t="str"><v>AZR_FreeAcctDeveloperLI-AnimatedGeneric-Ch1_USA_1920x1080_VLA_Direct_EN_Trial_Standard_ANI_LEA_T1_1</v></cell><cell r="AJ803"><v>104595736</v></cell></row><row r="804"><cell r="D804" t="str"><v>43356226620961</v></cell><cell r="E804" t="str"><v>43356104595736PS7BS0</v></cell><cell r="F804" t="str"><v>DCM</v></cell></row><row r="804"><cell r="H804"><v>1</v></cell><cell r="I804" t="str"><v>Azure Direct</v></cell><cell r="J804" t="str"><v>Azure Direct</v></cell><cell r="K804" t="str"><v>September</v></cell><cell r="L804"><v>43358</v></cell><cell r="M804" t="str"><v>Tier 0</v></cell><cell r="N804" t="str"><v>North America</v></cell><cell r="O804" t="str"><v>United States</v></cell><cell r="P804" t="str"><v>Trial</v></cell><cell r="Q804" t="str"><v>Social</v></cell><cell r="R804" t="str"><v>Azure</v></cell><cell r="S804" t="str"><v>Apps & Infra</v></cell><cell r="T804" t="str"><v>Developers & ITI's</v></cell><cell r="U804" t="str"><v>USA-Trial-ITD-Groups Prospecting-AZR-AZR</v></cell><cell r="V804" t="str"><v>Prospecting</v></cell><cell r="W804" t="str"><v>Video Link ad</v></cell><cell r="X804" t="str"><v>1920x1080</v></cell><cell r="Y804" t="str"><v>Learn More</v></cell><cell r="Z804" t="str"><v>Animated Banner</v></cell><cell r="AA804"><v>43356</v></cell><cell r="AB804" t="str"><v>USA_gaPMG_AZR_AZR_Q1_19_Direct-Social</v></cell><cell r="AC804"><v>21358715</v></cell><cell r="AD804"><v>720197</v></cell><cell r="AE804" t="str"><v>Linkedin</v></cell><cell r="AF804"><v>3654329</v></cell><cell r="AG804" t="str"><v>LINKEDIN»USA-Trial-ITD-Groups Prospecting-AZR-AZR»1 x 1»SocialBan»VLA»ALL»CPA»PRO»D»All»SS»NA»FreeAcctDeveloperLI-AnimatedGeneric-Ch1»PS7BS0</v></cell><cell r="AH804"><v>226620961</v></cell><cell r="AI804" t="str"><v>AZR_FreeAcctDeveloperLI-AnimatedGeneric-Ch1_USA_1920x1080_VLA_Direct_EN_Trial_Standard_ANI_LEA_T1_1</v></cell><cell r="AJ804"><v>104595736</v></cell></row><row r="805"><cell r="D805" t="str"><v>43356226617649</v></cell><cell r="E805" t="str"><v>43356104671424PS7BS7</v></cell><cell r="F805" t="str"><v>DCM</v></cell></row><row r="805"><cell r="H805"><v>0</v></cell><cell r="I805" t="str"><v>Azure Direct</v></cell><cell r="J805" t="str"><v>Azure Direct</v></cell><cell r="K805" t="str"><v>September</v></cell><cell r="L805"><v>43358</v></cell><cell r="M805" t="str"><v>Tier 0</v></cell><cell r="N805" t="str"><v>North America</v></cell><cell r="O805" t="str"><v>United States</v></cell><cell r="P805" t="str"><v>Trial</v></cell><cell r="Q805" t="str"><v>Social</v></cell><cell r="R805" t="str"><v>Azure</v></cell><cell r="S805" t="str"><v>Apps & Infra</v></cell><cell r="T805" t="str"><v>Developers & ITI's</v></cell><cell r="U805" t="str"><v>USA-Trial-ITD-Groups Prospecting-AZR-AZR</v></cell><cell r="V805" t="str"><v>Prospecting</v></cell><cell r="W805" t="str"><v>Video Link ad</v></cell><cell r="X805" t="str"><v>1920x1080</v></cell><cell r="Y805" t="str"><v>Learn More</v></cell><cell r="Z805" t="str"><v>Animated Banner</v></cell><cell r="AA805"><v>43356</v></cell><cell r="AB805" t="str"><v>USA_gaPMG_AZR_AZR_Q1_19_Direct-Social</v></cell><cell r="AC805"><v>21358715</v></cell><cell r="AD805"><v>720197</v></cell><cell r="AE805" t="str"><v>Linkedin</v></cell><cell r="AF805"><v>3654329</v></cell><cell r="AG805" t="str"><v>LINKEDIN»USA-Trial-ITD-Groups Prospecting-AZR-AZR»1 x 1»SocialBan»VLA»ALL»CPA»PRO»D»All»SS»NA»FreeAcctITProLI-AnimatedHybrid-Ch2»PS7BS7</v></cell><cell r="AH805"><v>226617649</v></cell><cell r="AI805" t="str"><v>AZR_FreeAcctITProLI-AnimatedHybrid-Ch2_USA_1920x1080_VLA_Direct_EN_Trial_Standard_ANI_LEA_T2_1</v></cell><cell r="AJ805"><v>104671424</v></cell></row><row r="806"><cell r="D806" t="str"><v>43356226538576</v></cell><cell r="E806" t="str"><v>43356104592532PS7BS2</v></cell><cell r="F806" t="str"><v>DCM</v></cell></row><row r="806"><cell r="H806"><v>1</v></cell><cell r="I806" t="str"><v>Azure Direct</v></cell><cell r="J806" t="str"><v>Azure Direct</v></cell><cell r="K806" t="str"><v>September</v></cell><cell r="L806"><v>43358</v></cell><cell r="M806" t="str"><v>Tier 0</v></cell><cell r="N806" t="str"><v>North America</v></cell><cell r="O806" t="str"><v>United States</v></cell><cell r="P806" t="str"><v>Trial</v></cell><cell r="Q806" t="str"><v>Social</v></cell><cell r="R806" t="str"><v>Azure</v></cell><cell r="S806" t="str"><v>Apps & Infra</v></cell><cell r="T806" t="str"><v>Developers & ITI's</v></cell><cell r="U806" t="str"><v>USA-Trial-ITD-Groups Prospecting-AZR-AZR</v></cell><cell r="V806" t="str"><v>Prospecting</v></cell><cell r="W806" t="str"><v>Video Link ad</v></cell><cell r="X806" t="str"><v>1920x1080</v></cell><cell r="Y806" t="str"><v>Learn More</v></cell><cell r="Z806" t="str"><v>Animated Banner</v></cell><cell r="AA806"><v>43356</v></cell><cell r="AB806" t="str"><v>USA_gaPMG_AZR_AZR_Q1_19_Direct-Social</v></cell><cell r="AC806"><v>21358715</v></cell><cell r="AD806"><v>720197</v></cell><cell r="AE806" t="str"><v>Linkedin</v></cell><cell r="AF806"><v>3654329</v></cell><cell r="AG806" t="str"><v>LINKEDIN»USA-Trial-ITD-Groups Prospecting-AZR-AZR»1 x 1»SocialBan»VLA»ALL»CPA»PRO»D»All»SS»NA»FreeAcctITProLI-AnimatedMigration-Ch3»PS7BS2</v></cell><cell r="AH806"><v>226538576</v></cell><cell r="AI806" t="str"><v>AZR_FreeAcctITProLI-AnimatedMigration-Ch3_USA_1920x1080_VLA_Direct_EN_Trial_Standard_ANI_LEA_T3_1</v></cell><cell r="AJ806"><v>104592532</v></cell></row><row r="807"><cell r="D807" t="str"><v>43356226539371</v></cell><cell r="E807" t="str"><v>43356104593447PS7BS6</v></cell><cell r="F807" t="str"><v>DCM</v></cell></row><row r="807"><cell r="H807"><v>1</v></cell><cell r="I807" t="str"><v>Azure Direct</v></cell><cell r="J807" t="str"><v>Azure Direct</v></cell><cell r="K807" t="str"><v>September</v></cell><cell r="L807"><v>43358</v></cell><cell r="M807" t="str"><v>Tier 0</v></cell><cell r="N807" t="str"><v>North America</v></cell><cell r="O807" t="str"><v>United States</v></cell><cell r="P807" t="str"><v>Trial</v></cell><cell r="Q807" t="str"><v>Social</v></cell><cell r="R807" t="str"><v>Azure</v></cell><cell r="S807" t="str"><v>Apps & Infra</v></cell><cell r="T807" t="str"><v>Developers & ITI's</v></cell><cell r="U807" t="str"><v>USA-Trial-ITD-Groups Prospecting-AZR-AZR</v></cell><cell r="V807" t="str"><v>Prospecting</v></cell><cell r="W807" t="str"><v>Video Link ad</v></cell><cell r="X807" t="str"><v>1920x1080</v></cell><cell r="Y807" t="str"><v>Learn More</v></cell><cell r="Z807" t="str"><v>Animated Banner</v></cell><cell r="AA807"><v>43356</v></cell><cell r="AB807" t="str"><v>USA_gaPMG_AZR_AZR_Q1_19_Direct-Social</v></cell><cell r="AC807"><v>21358715</v></cell><cell r="AD807"><v>720197</v></cell><cell r="AE807" t="str"><v>Linkedin</v></cell><cell r="AF807"><v>3654329</v></cell><cell r="AG807" t="str"><v>LINKEDIN»USA-Trial-ITD-Groups Prospecting-AZR-AZR»1 x 1»SocialBan»VLA»ALL»CPA»PRO»D»All»SS»NA»FreeAcctITProLI-AnimatedSecureWellMngd-Ch1»PS7BS6</v></cell><cell r="AH807"><v>226539371</v></cell><cell r="AI807" t="str"><v>AZR_FreeAcctITProLI-AnimatedSecureWellMngd-Ch1_USA_1920x1080_VLA_Direct_EN_Trial_Standard_ANI_LEA_T1_1</v></cell><cell r="AJ807"><v>104593447</v></cell></row><row r="808"><cell r="D808" t="str"><v>43356226617946</v></cell><cell r="E808" t="str"><v>43356104593444PS7BSP</v></cell><cell r="F808" t="str"><v>DCM</v></cell></row><row r="808"><cell r="H808"><v>0</v></cell><cell r="I808" t="str"><v>Azure Direct</v></cell><cell r="J808" t="str"><v>Azure Direct</v></cell><cell r="K808" t="str"><v>September</v></cell><cell r="L808"><v>43358</v></cell><cell r="M808" t="str"><v>Tier 0</v></cell><cell r="N808" t="str"><v>North America</v></cell><cell r="O808" t="str"><v>United States</v></cell><cell r="P808" t="str"><v>Trial</v></cell><cell r="Q808" t="str"><v>Social</v></cell><cell r="R808" t="str"><v>Azure</v></cell><cell r="S808" t="str"><v>Apps & Infra</v></cell><cell r="T808" t="str"><v>Developers & ITI's</v></cell><cell r="U808" t="str"><v>USA-Trial-ITD-Job Functions Prospecting-AZR-AZR</v></cell><cell r="V808" t="str"><v>Prospecting</v></cell><cell r="W808" t="str"><v>Video Link ad</v></cell><cell r="X808" t="str"><v>1920x1080</v></cell><cell r="Y808" t="str"><v>Learn More</v></cell><cell r="Z808" t="str"><v>Animated Banner</v></cell><cell r="AA808"><v>43356</v></cell><cell r="AB808" t="str"><v>USA_gaPMG_AZR_AZR_Q1_19_Direct-Social</v></cell><cell r="AC808"><v>21358715</v></cell><cell r="AD808"><v>720197</v></cell><cell r="AE808" t="str"><v>Linkedin</v></cell><cell r="AF808"><v>3654329</v></cell><cell r="AG808" t="str"><v>LINKEDIN»USA-Trial-ITD-Job Functions Prospecting-AZR-AZR»1 x 1»SocialBan»VLA»ALL»CPA»PRO»D»All»SS»NA»FreeAcctDeveloperLI-AnimatedAI-Ch3»PS7BSP</v></cell><cell r="AH808"><v>226617946</v></cell><cell r="AI808" t="str"><v>AZR_FreeAcctDeveloperLI-AnimatedAI-Ch3_USA_1920x1080_VLA_Direct_EN_Trial_Standard_ANI_LEA_T3_1</v></cell><cell r="AJ808"><v>104593444</v></cell></row><row r="809"><cell r="D809" t="str"><v>43356226535264</v></cell><cell r="E809" t="str"><v>43356104593732PS7BSQ</v></cell><cell r="F809" t="str"><v>DCM</v></cell></row><row r="809"><cell r="H809"><v>0</v></cell><cell r="I809" t="str"><v>Azure Direct</v></cell><cell r="J809" t="str"><v>Azure Direct</v></cell><cell r="K809" t="str"><v>September</v></cell><cell r="L809"><v>43358</v></cell><cell r="M809" t="str"><v>Tier 0</v></cell><cell r="N809" t="str"><v>North America</v></cell><cell r="O809" t="str"><v>United States</v></cell><cell r="P809" t="str"><v>Trial</v></cell><cell r="Q809" t="str"><v>Social</v></cell><cell r="R809" t="str"><v>Azure</v></cell><cell r="S809" t="str"><v>Apps & Infra</v></cell><cell r="T809" t="str"><v>Developers & ITI's</v></cell><cell r="U809" t="str"><v>USA-Trial-ITD-Job Functions Prospecting-AZR-AZR</v></cell><cell r="V809" t="str"><v>Prospecting</v></cell><cell r="W809" t="str"><v>Video Link ad</v></cell><cell r="X809" t="str"><v>1920x1080</v></cell><cell r="Y809" t="str"><v>Learn More</v></cell><cell r="Z809" t="str"><v>Animated Banner</v></cell><cell r="AA809"><v>43356</v></cell><cell r="AB809" t="str"><v>USA_gaPMG_AZR_AZR_Q1_19_Direct-Social</v></cell><cell r="AC809"><v>21358715</v></cell><cell r="AD809"><v>720197</v></cell><cell r="AE809" t="str"><v>Linkedin</v></cell><cell r="AF809"><v>3654329</v></cell><cell r="AG809" t="str"><v>LINKEDIN»USA-Trial-ITD-Job Functions Prospecting-AZR-AZR»1 x 1»SocialBan»VLA»ALL»CPA»PRO»D»All»SS»NA»FreeAcctDeveloperLI-AnimatedData-Ch4»PS7BSQ</v></cell><cell r="AH809"><v>226535264</v></cell><cell r="AI809" t="str"><v>AZR_FreeAcctDeveloperLI-AnimatedData-Ch4_USA_1920x1080_VLA_Direct_EN_Trial_Standard_ANI_LEA_T4_1</v></cell><cell r="AJ809"><v>104593732</v></cell></row><row r="810"><cell r="D810" t="str"><v>43356226622875</v></cell><cell r="E810" t="str"><v>43356104595736PS7BSJ</v></cell><cell r="F810" t="str"><v>DCM</v></cell></row><row r="810"><cell r="H810"><v>1</v></cell><cell r="I810" t="str"><v>Azure Direct</v></cell><cell r="J810" t="str"><v>Azure Direct</v></cell><cell r="K810" t="str"><v>September</v></cell><cell r="L810"><v>43358</v></cell><cell r="M810" t="str"><v>Tier 0</v></cell><cell r="N810" t="str"><v>North America</v></cell><cell r="O810" t="str"><v>United States</v></cell><cell r="P810" t="str"><v>Trial</v></cell><cell r="Q810" t="str"><v>Social</v></cell><cell r="R810" t="str"><v>Azure</v></cell><cell r="S810" t="str"><v>Apps & Infra</v></cell><cell r="T810" t="str"><v>Developers & ITI's</v></cell><cell r="U810" t="str"><v>USA-Trial-ITD-Job Functions Prospecting-AZR-AZR</v></cell><cell r="V810" t="str"><v>Prospecting</v></cell><cell r="W810" t="str"><v>Video Link ad</v></cell><cell r="X810" t="str"><v>1920x1080</v></cell><cell r="Y810" t="str"><v>Learn More</v></cell><cell r="Z810" t="str"><v>Animated Banner</v></cell><cell r="AA810"><v>43356</v></cell><cell r="AB810" t="str"><v>USA_gaPMG_AZR_AZR_Q1_19_Direct-Social</v></cell><cell r="AC810"><v>21358715</v></cell><cell r="AD810"><v>720197</v></cell><cell r="AE810" t="str"><v>Linkedin</v></cell><cell r="AF810"><v>3654329</v></cell><cell r="AG810" t="str"><v>LINKEDIN»USA-Trial-ITD-Job Functions Prospecting-AZR-AZR»1 x 1»SocialBan»VLA»ALL»CPA»PRO»D»All»SS»NA»FreeAcctDeveloperLI-AnimatedGeneric-Ch1»PS7BSJ</v></cell><cell r="AH810"><v>226622875</v></cell><cell r="AI810" t="str"><v>AZR_FreeAcctDeveloperLI-AnimatedGeneric-Ch1_USA_1920x1080_VLA_Direct_EN_Trial_Standard_ANI_LEA_T1_1</v></cell><cell r="AJ810"><v>104595736</v></cell></row><row r="811"><cell r="D811" t="str"><v>43356226535270</v></cell><cell r="E811" t="str"><v>43356104595736PS7BSK</v></cell><cell r="F811" t="str"><v>DCM</v></cell></row><row r="811"><cell r="H811"><v>0</v></cell><cell r="I811" t="str"><v>Azure Direct</v></cell><cell r="J811" t="str"><v>Azure Direct</v></cell><cell r="K811" t="str"><v>September</v></cell><cell r="L811"><v>43358</v></cell><cell r="M811" t="str"><v>Tier 0</v></cell><cell r="N811" t="str"><v>North America</v></cell><cell r="O811" t="str"><v>United States</v></cell><cell r="P811" t="str"><v>Trial</v></cell><cell r="Q811" t="str"><v>Social</v></cell><cell r="R811" t="str"><v>Azure</v></cell><cell r="S811" t="str"><v>Apps & Infra</v></cell><cell r="T811" t="str"><v>Developers & ITI's</v></cell><cell r="U811" t="str"><v>USA-Trial-ITD-Job Functions Prospecting-AZR-AZR</v></cell><cell r="V811" t="str"><v>Prospecting</v></cell><cell r="W811" t="str"><v>Video Link ad</v></cell><cell r="X811" t="str"><v>1920x1080</v></cell><cell r="Y811" t="str"><v>Learn More</v></cell><cell r="Z811" t="str"><v>Animated Banner</v></cell><cell r="AA811"><v>43356</v></cell><cell r="AB811" t="str"><v>USA_gaPMG_AZR_AZR_Q1_19_Direct-Social</v></cell><cell r="AC811"><v>21358715</v></cell><cell r="AD811"><v>720197</v></cell><cell r="AE811" t="str"><v>Linkedin</v></cell><cell r="AF811"><v>3654329</v></cell><cell r="AG811" t="str"><v>LINKEDIN»USA-Trial-ITD-Job Functions Prospecting-AZR-AZR»1 x 1»SocialBan»VLA»ALL»CPA»PRO»D»All»SS»NA»FreeAcctDeveloperLI-AnimatedGeneric-Ch1»PS7BSK</v></cell><cell r="AH811"><v>226535270</v></cell><cell r="AI811" t="str"><v>AZR_FreeAcctDeveloperLI-AnimatedGeneric-Ch1_USA_1920x1080_VLA_Direct_EN_Trial_Standard_ANI_LEA_T1_1</v></cell><cell r="AJ811"><v>104595736</v></cell></row><row r="812"><cell r="D812" t="str"><v>43356226622866</v></cell><cell r="E812" t="str"><v>43356104671424PS7BSS</v></cell><cell r="F812" t="str"><v>DCM</v></cell></row><row r="812"><cell r="H812"><v>0</v></cell><cell r="I812" t="str"><v>Azure Direct</v></cell><cell r="J812" t="str"><v>Azure Direct</v></cell><cell r="K812" t="str"><v>September</v></cell><cell r="L812"><v>43358</v></cell><cell r="M812" t="str"><v>Tier 0</v></cell><cell r="N812" t="str"><v>North America</v></cell><cell r="O812" t="str"><v>United States</v></cell><cell r="P812" t="str"><v>Trial</v></cell><cell r="Q812" t="str"><v>Social</v></cell><cell r="R812" t="str"><v>Azure</v></cell><cell r="S812" t="str"><v>Apps & Infra</v></cell><cell r="T812" t="str"><v>Developers & ITI's</v></cell><cell r="U812" t="str"><v>USA-Trial-ITD-Job Functions Prospecting-AZR-AZR</v></cell><cell r="V812" t="str"><v>Prospecting</v></cell><cell r="W812" t="str"><v>Video Link ad</v></cell><cell r="X812" t="str"><v>1920x1080</v></cell><cell r="Y812" t="str"><v>Learn More</v></cell><cell r="Z812" t="str"><v>Animated Banner</v></cell><cell r="AA812"><v>43356</v></cell><cell r="AB812" t="str"><v>USA_gaPMG_AZR_AZR_Q1_19_Direct-Social</v></cell><cell r="AC812"><v>21358715</v></cell><cell r="AD812"><v>720197</v></cell><cell r="AE812" t="str"><v>Linkedin</v></cell><cell r="AF812"><v>3654329</v></cell><cell r="AG812" t="str"><v>LINKEDIN»USA-Trial-ITD-Job Functions Prospecting-AZR-AZR»1 x 1»SocialBan»VLA»ALL»CPA»PRO»D»All»SS»NA»FreeAcctITProLI-AnimatedHybrid-Ch2»PS7BSS</v></cell><cell r="AH812"><v>226622866</v></cell><cell r="AI812" t="str"><v>AZR_FreeAcctITProLI-AnimatedHybrid-Ch2_USA_1920x1080_VLA_Direct_EN_Trial_Standard_ANI_LEA_T2_1</v></cell><cell r="AJ812"><v>104671424</v></cell></row><row r="813"><cell r="D813" t="str"><v>43356226774326</v></cell><cell r="E813" t="str"><v>43356104592532PS7BSM</v></cell><cell r="F813" t="str"><v>DCM</v></cell></row><row r="813"><cell r="H813"><v>0</v></cell><cell r="I813" t="str"><v>Azure Direct</v></cell><cell r="J813" t="str"><v>Azure Direct</v></cell><cell r="K813" t="str"><v>September</v></cell><cell r="L813"><v>43358</v></cell><cell r="M813" t="str"><v>Tier 0</v></cell><cell r="N813" t="str"><v>North America</v></cell><cell r="O813" t="str"><v>United States</v></cell><cell r="P813" t="str"><v>Trial</v></cell><cell r="Q813" t="str"><v>Social</v></cell><cell r="R813" t="str"><v>Azure</v></cell><cell r="S813" t="str"><v>Apps & Infra</v></cell><cell r="T813" t="str"><v>Developers & ITI's</v></cell><cell r="U813" t="str"><v>USA-Trial-ITD-Job Functions Prospecting-AZR-AZR</v></cell><cell r="V813" t="str"><v>Prospecting</v></cell><cell r="W813" t="str"><v>Video Link ad</v></cell><cell r="X813" t="str"><v>1920x1080</v></cell><cell r="Y813" t="str"><v>Learn More</v></cell><cell r="Z813" t="str"><v>Animated Banner</v></cell><cell r="AA813"><v>43356</v></cell><cell r="AB813" t="str"><v>USA_gaPMG_AZR_AZR_Q1_19_Direct-Social</v></cell><cell r="AC813"><v>21358715</v></cell><cell r="AD813"><v>720197</v></cell><cell r="AE813" t="str"><v>Linkedin</v></cell><cell r="AF813"><v>3654329</v></cell><cell r="AG813" t="str"><v>LINKEDIN»USA-Trial-ITD-Job Functions Prospecting-AZR-AZR»1 x 1»SocialBan»VLA»ALL»CPA»PRO»D»All»SS»NA»FreeAcctITProLI-AnimatedMigration-Ch3»PS7BSM</v></cell><cell r="AH813"><v>226774326</v></cell><cell r="AI813" t="str"><v>AZR_FreeAcctITProLI-AnimatedMigration-Ch3_USA_1920x1080_VLA_Direct_EN_Trial_Standard_ANI_LEA_T3_1</v></cell><cell r="AJ813"><v>104592532</v></cell></row><row r="814"><cell r="D814" t="str"><v>43356226538552</v></cell><cell r="E814" t="str"><v>43356104593447PS7BSR</v></cell><cell r="F814" t="str"><v>DCM</v></cell></row><row r="814"><cell r="H814"><v>0</v></cell><cell r="I814" t="str"><v>Azure Direct</v></cell><cell r="J814" t="str"><v>Azure Direct</v></cell><cell r="K814" t="str"><v>September</v></cell><cell r="L814"><v>43358</v></cell><cell r="M814" t="str"><v>Tier 0</v></cell><cell r="N814" t="str"><v>North America</v></cell><cell r="O814" t="str"><v>United States</v></cell><cell r="P814" t="str"><v>Trial</v></cell><cell r="Q814" t="str"><v>Social</v></cell><cell r="R814" t="str"><v>Azure</v></cell><cell r="S814" t="str"><v>Apps & Infra</v></cell><cell r="T814" t="str"><v>Developers & ITI's</v></cell><cell r="U814" t="str"><v>USA-Trial-ITD-Job Functions Prospecting-AZR-AZR</v></cell><cell r="V814" t="str"><v>Prospecting</v></cell><cell r="W814" t="str"><v>Video Link ad</v></cell><cell r="X814" t="str"><v>1920x1080</v></cell><cell r="Y814" t="str"><v>Learn More</v></cell><cell r="Z814" t="str"><v>Animated Banner</v></cell><cell r="AA814"><v>43356</v></cell><cell r="AB814" t="str"><v>USA_gaPMG_AZR_AZR_Q1_19_Direct-Social</v></cell><cell r="AC814"><v>21358715</v></cell><cell r="AD814"><v>720197</v></cell><cell r="AE814" t="str"><v>Linkedin</v></cell><cell r="AF814"><v>3654329</v></cell><cell r="AG814" t="str"><v>LINKEDIN»USA-Trial-ITD-Job Functions Prospecting-AZR-AZR»1 x 1»SocialBan»VLA»ALL»CPA»PRO»D»All»SS»NA»FreeAcctITProLI-AnimatedSecureWellMngd-Ch1»PS7BSR</v></cell><cell r="AH814"><v>226538552</v></cell><cell r="AI814" t="str"><v>AZR_FreeAcctITProLI-AnimatedSecureWellMngd-Ch1_USA_1920x1080_VLA_Direct_EN_Trial_Standard_ANI_LEA_T1_1</v></cell><cell r="AJ814"><v>104593447</v></cell></row><row r="815"><cell r="D815" t="str"><v>43356226536077</v></cell><cell r="E815" t="str"><v>43356104593435PS7BVM</v></cell><cell r="F815" t="str"><v>DCM</v></cell></row><row r="815"><cell r="H815"><v>0</v></cell><cell r="I815" t="str"><v>Azure Direct</v></cell><cell r="J815" t="str"><v>Azure Direct</v></cell><cell r="K815" t="str"><v>September</v></cell><cell r="L815"><v>43358</v></cell><cell r="M815" t="str"><v>Tier 0</v></cell><cell r="N815" t="str"><v>North America</v></cell><cell r="O815" t="str"><v>United States</v></cell><cell r="P815" t="str"><v>Trial</v></cell><cell r="Q815" t="str"><v>Social</v></cell><cell r="R815" t="str"><v>Azure</v></cell><cell r="S815" t="str"><v>Apps & Infra</v></cell><cell r="T815" t="str"><v>Developers & ITI's</v></cell><cell r="U815" t="str"><v>USA-Trial-ITD-Website Retargeting-AZR-AZR</v></cell><cell r="V815" t="str"><v>Retargeting</v></cell><cell r="W815" t="str"><v>Link Ad</v></cell><cell r="X815" t="str"><v>1200x627</v></cell><cell r="Y815" t="str"><v>Sign Up</v></cell><cell r="Z815" t="str"><v>Not Applicable</v></cell><cell r="AA815"><v>43356</v></cell><cell r="AB815" t="str"><v>USA_gaPMG_AZR_AZR_Q1_19_Direct-Social</v></cell><cell r="AC815"><v>21358715</v></cell><cell r="AD815"><v>720197</v></cell><cell r="AE815" t="str"><v>Linkedin</v></cell><cell r="AF815"><v>3654329</v></cell><cell r="AG815" t="str"><v>LINKEDIN»USA-Trial-ITD-Website Retargeting-AZR-AZR»1 x 1»SocialBan»LIA»ALL»CPA»RT»D»All»SS»NA»FreeAcctRetargetingLI-Credit-ChA»PS7BVM</v></cell><cell r="AH815"><v>226536077</v></cell><cell r="AI815" t="str"><v>AZR_FreeAcctRetargetingLI-Credit-ChA_USA_1200x627_LIA_Plat_English_Free Account_Standard_NA_SINU_T1_1</v></cell><cell r="AJ815"><v>104593435</v></cell></row><row r="816"><cell r="D816" t="str"><v>43356226537496</v></cell><cell r="E816" t="str"><v>43356104593723PS7BVR</v></cell><cell r="F816" t="str"><v>DCM</v></cell></row><row r="816"><cell r="H816"><v>4</v></cell><cell r="I816" t="str"><v>Azure Direct</v></cell><cell r="J816" t="str"><v>Azure Direct</v></cell><cell r="K816" t="str"><v>September</v></cell><cell r="L816"><v>43358</v></cell><cell r="M816" t="str"><v>Tier 0</v></cell><cell r="N816" t="str"><v>North America</v></cell><cell r="O816" t="str"><v>United States</v></cell><cell r="P816" t="str"><v>Trial</v></cell><cell r="Q816" t="str"><v>Social</v></cell><cell r="R816" t="str"><v>Azure</v></cell><cell r="S816" t="str"><v>Apps & Infra</v></cell><cell r="T816" t="str"><v>Developers & ITI's</v></cell><cell r="U816" t="str"><v>USA-Trial-ITD-Website Retargeting-AZR-AZR</v></cell><cell r="V816" t="str"><v>Retargeting</v></cell><cell r="W816" t="str"><v>Link Ad</v></cell><cell r="X816" t="str"><v>1200x627</v></cell><cell r="Y816" t="str"><v>Sign Up</v></cell><cell r="Z816" t="str"><v>Not Applicable</v></cell><cell r="AA816"><v>43356</v></cell><cell r="AB816" t="str"><v>USA_gaPMG_AZR_AZR_Q1_19_Direct-Social</v></cell><cell r="AC816"><v>21358715</v></cell><cell r="AD816"><v>720197</v></cell><cell r="AE816" t="str"><v>Linkedin</v></cell><cell r="AF816"><v>3654329</v></cell><cell r="AG816" t="str"><v>LINKEDIN»USA-Trial-ITD-Website Retargeting-AZR-AZR»1 x 1»SocialBan»LIA»ALL»CPA»RT»D»All»SS»NA»FreeAcctRetargetingLI-GlobalAlt-ChB»PS7BVR</v></cell><cell r="AH816"><v>226537496</v></cell><cell r="AI816" t="str"><v>AZR_FreeAcctRetargetingLI-GlobalAlt-ChB_USA_1200x627_LIA_Plat_English_Free Account_Standard_NA_SINU_T2_1</v></cell><cell r="AJ816"><v>104593723</v></cell></row><row r="817"><cell r="D817" t="str"><v>43356226537529</v></cell><cell r="E817" t="str"><v>43356104671415PS7BVJ</v></cell><cell r="F817" t="str"><v>DCM</v></cell></row><row r="817"><cell r="H817"><v>19</v></cell><cell r="I817" t="str"><v>Azure Direct</v></cell><cell r="J817" t="str"><v>Azure Direct</v></cell><cell r="K817" t="str"><v>September</v></cell><cell r="L817"><v>43358</v></cell><cell r="M817" t="str"><v>Tier 0</v></cell><cell r="N817" t="str"><v>North America</v></cell><cell r="O817" t="str"><v>United States</v></cell><cell r="P817" t="str"><v>Trial</v></cell><cell r="Q817" t="str"><v>Social</v></cell><cell r="R817" t="str"><v>Azure</v></cell><cell r="S817" t="str"><v>Apps & Infra</v></cell><cell r="T817" t="str"><v>Developers & ITI's</v></cell><cell r="U817" t="str"><v>USA-Trial-ITD-Website Retargeting-AZR-AZR</v></cell><cell r="V817" t="str"><v>Retargeting</v></cell><cell r="W817" t="str"><v>Link Ad</v></cell><cell r="X817" t="str"><v>1200x627</v></cell><cell r="Y817" t="str"><v>Sign Up</v></cell><cell r="Z817" t="str"><v>Not Applicable</v></cell><cell r="AA817"><v>43356</v></cell><cell r="AB817" t="str"><v>USA_gaPMG_AZR_AZR_Q1_19_Direct-Social</v></cell><cell r="AC817"><v>21358715</v></cell><cell r="AD817"><v>720197</v></cell><cell r="AE817" t="str"><v>Linkedin</v></cell><cell r="AF817"><v>3654329</v></cell><cell r="AG817" t="str"><v>LINKEDIN»USA-Trial-ITD-Website Retargeting-AZR-AZR»1 x 1»SocialBan»LIA»ALL»CPA»RT»D»All»SS»NA»FreeAcctRetargetingVMLI-750Hrs-ChD»PS7BVJ</v></cell><cell r="AH817"><v>226537529</v></cell><cell r="AI817" t="str"><v>AZR_FreeAcctRetargetingVMLI-750Hrs-ChD_USA_1200x627_LIA_Plat_English_Free Account_Standard_NA_SINU_T1_1</v></cell><cell r="AJ817"><v>104671415</v></cell></row><row r="818"><cell r="D818" t="str"><v>43356226537532</v></cell><cell r="E818" t="str"><v>43356104592529PS7BVK</v></cell><cell r="F818" t="str"><v>DCM</v></cell></row><row r="818"><cell r="H818"><v>0</v></cell><cell r="I818" t="str"><v>Azure Direct</v></cell><cell r="J818" t="str"><v>Azure Direct</v></cell><cell r="K818" t="str"><v>September</v></cell><cell r="L818"><v>43358</v></cell><cell r="M818" t="str"><v>Tier 0</v></cell><cell r="N818" t="str"><v>North America</v></cell><cell r="O818" t="str"><v>United States</v></cell><cell r="P818" t="str"><v>Trial</v></cell><cell r="Q818" t="str"><v>Social</v></cell><cell r="R818" t="str"><v>Azure</v></cell><cell r="S818" t="str"><v>Apps & Infra</v></cell><cell r="T818" t="str"><v>Developers & ITI's</v></cell><cell r="U818" t="str"><v>USA-Trial-ITD-Website Retargeting-AZR-AZR</v></cell><cell r="V818" t="str"><v>Retargeting</v></cell><cell r="W818" t="str"><v>Link Ad</v></cell><cell r="X818" t="str"><v>1200x627</v></cell><cell r="Y818" t="str"><v>Sign Up</v></cell><cell r="Z818" t="str"><v>Not Applicable</v></cell><cell r="AA818"><v>43356</v></cell><cell r="AB818" t="str"><v>USA_gaPMG_AZR_AZR_Q1_19_Direct-Social</v></cell><cell r="AC818"><v>21358715</v></cell><cell r="AD818"><v>720197</v></cell><cell r="AE818" t="str"><v>Linkedin</v></cell><cell r="AF818"><v>3654329</v></cell><cell r="AG818" t="str"><v>LINKEDIN»USA-Trial-ITD-Website Retargeting-AZR-AZR»1 x 1»SocialBan»LIA»ALL»CPA»RT»D»All»SS»NA»FreeAcctRetargetingVMLI-OnDemand-ChE»PS7BVK</v></cell><cell r="AH818"><v>226537532</v></cell><cell r="AI818" t="str"><v>AZR_FreeAcctRetargetingVMLI-OnDemand-ChE_USA_1200x627_LIA_Plat_English_Free Account_Standard_NA_SINU_T2_1</v></cell><cell r="AJ818"><v>104592529</v></cell></row><row r="819"><cell r="D819" t="str"><v>43356226774218</v></cell><cell r="E819" t="str"><v>43356104593444PS7BVV</v></cell><cell r="F819" t="str"><v>DCM</v></cell></row><row r="819"><cell r="H819"><v>4</v></cell><cell r="I819" t="str"><v>Azure Direct</v></cell><cell r="J819" t="str"><v>Azure Direct</v></cell><cell r="K819" t="str"><v>September</v></cell><cell r="L819"><v>43358</v></cell><cell r="M819" t="str"><v>Tier 0</v></cell><cell r="N819" t="str"><v>North America</v></cell><cell r="O819" t="str"><v>United States</v></cell><cell r="P819" t="str"><v>Trial</v></cell><cell r="Q819" t="str"><v>Social</v></cell><cell r="R819" t="str"><v>Azure</v></cell><cell r="S819" t="str"><v>Apps & Infra</v></cell><cell r="T819" t="str"><v>Developers & ITI's</v></cell><cell r="U819" t="str"><v>USA-Trial-ITD-Website Retargeting-AZR-AZR</v></cell><cell r="V819" t="str"><v>Retargeting</v></cell><cell r="W819" t="str"><v>Video Link ad</v></cell><cell r="X819" t="str"><v>1920x1080</v></cell><cell r="Y819" t="str"><v>Learn More</v></cell><cell r="Z819" t="str"><v>Animated Banner</v></cell><cell r="AA819"><v>43356</v></cell><cell r="AB819" t="str"><v>USA_gaPMG_AZR_AZR_Q1_19_Direct-Social</v></cell><cell r="AC819"><v>21358715</v></cell><cell r="AD819"><v>720197</v></cell><cell r="AE819" t="str"><v>Linkedin</v></cell><cell r="AF819"><v>3654329</v></cell><cell r="AG819" t="str"><v>LINKEDIN»USA-Trial-ITD-Website Retargeting-AZR-AZR»1 x 1»SocialBan»VLA»ALL»CPA»RT»D»All»SS»NA»FreeAcctDeveloperLI-AnimatedAI-Ch3»PS7BVV</v></cell><cell r="AH819"><v>226774218</v></cell><cell r="AI819" t="str"><v>AZR_FreeAcctDeveloperLI-AnimatedAI-Ch3_USA_1920x1080_VLA_Direct_EN_Trial_Standard_ANI_LEA_T3_1</v></cell><cell r="AJ819"><v>104593444</v></cell></row><row r="820"><cell r="D820" t="str"><v>43356226620835</v></cell><cell r="E820" t="str"><v>43356104593732PS7BVW</v></cell><cell r="F820" t="str"><v>DCM</v></cell></row><row r="820"><cell r="H820"><v>1</v></cell><cell r="I820" t="str"><v>Azure Direct</v></cell><cell r="J820" t="str"><v>Azure Direct</v></cell><cell r="K820" t="str"><v>September</v></cell><cell r="L820"><v>43358</v></cell><cell r="M820" t="str"><v>Tier 0</v></cell><cell r="N820" t="str"><v>North America</v></cell><cell r="O820" t="str"><v>United States</v></cell><cell r="P820" t="str"><v>Trial</v></cell><cell r="Q820" t="str"><v>Social</v></cell><cell r="R820" t="str"><v>Azure</v></cell><cell r="S820" t="str"><v>Apps & Infra</v></cell><cell r="T820" t="str"><v>Developers & ITI's</v></cell><cell r="U820" t="str"><v>USA-Trial-ITD-Website Retargeting-AZR-AZR</v></cell><cell r="V820" t="str"><v>Retargeting</v></cell><cell r="W820" t="str"><v>Video Link ad</v></cell><cell r="X820" t="str"><v>1920x1080</v></cell><cell r="Y820" t="str"><v>Learn More</v></cell><cell r="Z820" t="str"><v>Animated Banner</v></cell><cell r="AA820"><v>43356</v></cell><cell r="AB820" t="str"><v>USA_gaPMG_AZR_AZR_Q1_19_Direct-Social</v></cell><cell r="AC820"><v>21358715</v></cell><cell r="AD820"><v>720197</v></cell><cell r="AE820" t="str"><v>Linkedin</v></cell><cell r="AF820"><v>3654329</v></cell><cell r="AG820" t="str"><v>LINKEDIN»USA-Trial-ITD-Website Retargeting-AZR-AZR»1 x 1»SocialBan»VLA»ALL»CPA»RT»D»All»SS»NA»FreeAcctDeveloperLI-AnimatedData-Ch4»PS7BVW</v></cell><cell r="AH820"><v>226620835</v></cell><cell r="AI820" t="str"><v>AZR_FreeAcctDeveloperLI-AnimatedData-Ch4_USA_1920x1080_VLA_Direct_EN_Trial_Standard_ANI_LEA_T4_1</v></cell><cell r="AJ820"><v>104593732</v></cell></row><row r="821"><cell r="D821" t="str"><v>43356226536080</v></cell><cell r="E821" t="str"><v>43356104595736PS7BVP</v></cell><cell r="F821" t="str"><v>DCM</v></cell></row><row r="821"><cell r="H821"><v>0</v></cell><cell r="I821" t="str"><v>Azure Direct</v></cell><cell r="J821" t="str"><v>Azure Direct</v></cell><cell r="K821" t="str"><v>September</v></cell><cell r="L821"><v>43358</v></cell><cell r="M821" t="str"><v>Tier 0</v></cell><cell r="N821" t="str"><v>North America</v></cell><cell r="O821" t="str"><v>United States</v></cell><cell r="P821" t="str"><v>Trial</v></cell><cell r="Q821" t="str"><v>Social</v></cell><cell r="R821" t="str"><v>Azure</v></cell><cell r="S821" t="str"><v>Apps & Infra</v></cell><cell r="T821" t="str"><v>Developers & ITI's</v></cell><cell r="U821" t="str"><v>USA-Trial-ITD-Website Retargeting-AZR-AZR</v></cell><cell r="V821" t="str"><v>Retargeting</v></cell><cell r="W821" t="str"><v>Video Link ad</v></cell><cell r="X821" t="str"><v>1920x1080</v></cell><cell r="Y821" t="str"><v>Learn More</v></cell><cell r="Z821" t="str"><v>Animated Banner</v></cell><cell r="AA821"><v>43356</v></cell><cell r="AB821" t="str"><v>USA_gaPMG_AZR_AZR_Q1_19_Direct-Social</v></cell><cell r="AC821"><v>21358715</v></cell><cell r="AD821"><v>720197</v></cell><cell r="AE821" t="str"><v>Linkedin</v></cell><cell r="AF821"><v>3654329</v></cell><cell r="AG821" t="str"><v>LINKEDIN»USA-Trial-ITD-Website Retargeting-AZR-AZR»1 x 1»SocialBan»VLA»ALL»CPA»RT»D»All»SS»NA»FreeAcctDeveloperLI-AnimatedGeneric-Ch1»PS7BVP</v></cell><cell r="AH821"><v>226536080</v></cell><cell r="AI821" t="str"><v>AZR_FreeAcctDeveloperLI-AnimatedGeneric-Ch1_USA_1920x1080_VLA_Direct_EN_Trial_Standard_ANI_LEA_T1_1</v></cell><cell r="AJ821"><v>104595736</v></cell></row><row r="822"><cell r="D822" t="str"><v>43356226774221</v></cell><cell r="E822" t="str"><v>43356104671424PS7BVY</v></cell><cell r="F822" t="str"><v>DCM</v></cell></row><row r="822"><cell r="H822"><v>0</v></cell><cell r="I822" t="str"><v>Azure Direct</v></cell><cell r="J822" t="str"><v>Azure Direct</v></cell><cell r="K822" t="str"><v>September</v></cell><cell r="L822"><v>43358</v></cell><cell r="M822" t="str"><v>Tier 0</v></cell><cell r="N822" t="str"><v>North America</v></cell><cell r="O822" t="str"><v>United States</v></cell><cell r="P822" t="str"><v>Trial</v></cell><cell r="Q822" t="str"><v>Social</v></cell><cell r="R822" t="str"><v>Azure</v></cell><cell r="S822" t="str"><v>Apps & Infra</v></cell><cell r="T822" t="str"><v>Developers & ITI's</v></cell><cell r="U822" t="str"><v>USA-Trial-ITD-Website Retargeting-AZR-AZR</v></cell><cell r="V822" t="str"><v>Retargeting</v></cell><cell r="W822" t="str"><v>Video Link ad</v></cell><cell r="X822" t="str"><v>1920x1080</v></cell><cell r="Y822" t="str"><v>Learn More</v></cell><cell r="Z822" t="str"><v>Animated Banner</v></cell><cell r="AA822"><v>43356</v></cell><cell r="AB822" t="str"><v>USA_gaPMG_AZR_AZR_Q1_19_Direct-Social</v></cell><cell r="AC822"><v>21358715</v></cell><cell r="AD822"><v>720197</v></cell><cell r="AE822" t="str"><v>Linkedin</v></cell><cell r="AF822"><v>3654329</v></cell><cell r="AG822" t="str"><v>LINKEDIN»USA-Trial-ITD-Website Retargeting-AZR-AZR»1 x 1»SocialBan»VLA»ALL»CPA»RT»D»All»SS»NA»FreeAcctITProLI-AnimatedHybrid-Ch2»PS7BVY</v></cell><cell r="AH822"><v>226774221</v></cell><cell r="AI822" t="str"><v>AZR_FreeAcctITProLI-AnimatedHybrid-Ch2_USA_1920x1080_VLA_Direct_EN_Trial_Standard_ANI_LEA_T2_1</v></cell><cell r="AJ822"><v>104671424</v></cell></row><row r="823"><cell r="D823" t="str"><v>43356226537511</v></cell><cell r="E823" t="str"><v>43356104593447PS7BVX</v></cell><cell r="F823" t="str"><v>DCM</v></cell></row><row r="823"><cell r="H823"><v>0</v></cell><cell r="I823" t="str"><v>Azure Direct</v></cell><cell r="J823" t="str"><v>Azure Direct</v></cell><cell r="K823" t="str"><v>September</v></cell><cell r="L823"><v>43358</v></cell><cell r="M823" t="str"><v>Tier 0</v></cell><cell r="N823" t="str"><v>North America</v></cell><cell r="O823" t="str"><v>United States</v></cell><cell r="P823" t="str"><v>Trial</v></cell><cell r="Q823" t="str"><v>Social</v></cell><cell r="R823" t="str"><v>Azure</v></cell><cell r="S823" t="str"><v>Apps & Infra</v></cell><cell r="T823" t="str"><v>Developers & ITI's</v></cell><cell r="U823" t="str"><v>USA-Trial-ITD-Website Retargeting-AZR-AZR</v></cell><cell r="V823" t="str"><v>Retargeting</v></cell><cell r="W823" t="str"><v>Video Link ad</v></cell><cell r="X823" t="str"><v>1920x1080</v></cell><cell r="Y823" t="str"><v>Learn More</v></cell><cell r="Z823" t="str"><v>Animated Banner</v></cell><cell r="AA823"><v>43356</v></cell><cell r="AB823" t="str"><v>USA_gaPMG_AZR_AZR_Q1_19_Direct-Social</v></cell><cell r="AC823"><v>21358715</v></cell><cell r="AD823"><v>720197</v></cell><cell r="AE823" t="str"><v>Linkedin</v></cell><cell r="AF823"><v>3654329</v></cell><cell r="AG823" t="str"><v>LINKEDIN»USA-Trial-ITD-Website Retargeting-AZR-AZR»1 x 1»SocialBan»VLA»ALL»CPA»RT»D»All»SS»NA»FreeAcctITProLI-AnimatedSecureWellMngd-Ch1»PS7BVX</v></cell><cell r="AH823"><v>226537511</v></cell><cell r="AI823" t="str"><v>AZR_FreeAcctITProLI-AnimatedSecureWellMngd-Ch1_USA_1920x1080_VLA_Direct_EN_Trial_Standard_ANI_LEA_T1_1</v></cell><cell r="AJ823"><v>104593447</v></cell></row><row r="824"><cell r="D824" t="str"><v>43356226537493</v></cell><cell r="E824" t="str"><v>43356104595736PS7BVQ</v></cell><cell r="F824" t="str"><v>DCM</v></cell></row><row r="824"><cell r="H824"><v>3</v></cell><cell r="I824" t="str"><v>Azure Direct</v></cell><cell r="J824" t="str"><v>Azure Direct</v></cell><cell r="K824" t="str"><v>September</v></cell><cell r="L824"><v>43358</v></cell><cell r="M824" t="str"><v>Tier 0</v></cell><cell r="N824" t="str"><v>North America</v></cell><cell r="O824" t="str"><v>United States</v></cell><cell r="P824" t="str"><v>Trial</v></cell><cell r="Q824" t="str"><v>Social</v></cell><cell r="R824" t="str"><v>Azure</v></cell><cell r="S824" t="str"><v>Apps & Infra</v></cell><cell r="T824" t="str"><v>Developers & ITI's</v></cell><cell r="U824" t="str"><v>USA-Trial-ITD-Website Retargeting-AZR-AZR</v></cell><cell r="V824" t="str"><v>Retargeting</v></cell><cell r="W824" t="str"><v>Video Link ad</v></cell><cell r="X824" t="str"><v>1920x1080</v></cell><cell r="Y824" t="str"><v>Learn More</v></cell><cell r="Z824" t="str"><v>Animated Banner</v></cell><cell r="AA824"><v>43356</v></cell><cell r="AB824" t="str"><v>USA_gaPMG_AZR_AZR_Q1_19_Direct-Social</v></cell><cell r="AC824"><v>21358715</v></cell><cell r="AD824"><v>720197</v></cell><cell r="AE824" t="str"><v>Linkedin</v></cell><cell r="AF824"><v>3654329</v></cell><cell r="AG824" t="str"><v>LINKEDIN»USA-Trial-ITD-Website Retargeting-AZR-AZR»1 x 1»SocialBan»VLA»ALL»CPA»RT»D»All»SS»NA»FreeAcctDeveloperLI-AnimatedGeneric-Ch1»PS7BVQ</v></cell><cell r="AH824"><v>226537493</v></cell><cell r="AI824" t="str"><v>AZR_FreeAcctDeveloperLI-AnimatedGeneric-Ch1_USA_1920x1080_VLA_Direct_EN_Trial_Standard_ANI_LEA_T1_1</v></cell><cell r="AJ824"><v>104595736</v></cell></row><row r="825"><cell r="D825" t="str"><v>43356226786140</v></cell><cell r="E825" t="str"><v>43356104592532PS7BVS</v></cell><cell r="F825" t="str"><v>DCM</v></cell></row><row r="825"><cell r="H825"><v>12</v></cell><cell r="I825" t="str"><v>Azure Direct</v></cell><cell r="J825" t="str"><v>Azure Direct</v></cell><cell r="K825" t="str"><v>September</v></cell><cell r="L825"><v>43358</v></cell><cell r="M825" t="str"><v>Tier 0</v></cell><cell r="N825" t="str"><v>North America</v></cell><cell r="O825" t="str"><v>United States</v></cell><cell r="P825" t="str"><v>Trial</v></cell><cell r="Q825" t="str"><v>Social</v></cell><cell r="R825" t="str"><v>Azure</v></cell><cell r="S825" t="str"><v>Apps & Infra</v></cell><cell r="T825" t="str"><v>Developers & ITI's</v></cell><cell r="U825" t="str"><v>USA-Trial-ITD-Website Retargeting-AZR-AZR</v></cell><cell r="V825" t="str"><v>Retargeting</v></cell><cell r="W825" t="str"><v>Video Link ad</v></cell><cell r="X825" t="str"><v>1920x1080</v></cell><cell r="Y825" t="str"><v>Learn More</v></cell><cell r="Z825" t="str"><v>Animated Banner</v></cell><cell r="AA825"><v>43356</v></cell><cell r="AB825" t="str"><v>USA_gaPMG_AZR_AZR_Q1_19_Direct-Social</v></cell><cell r="AC825"><v>21358715</v></cell><cell r="AD825"><v>720197</v></cell><cell r="AE825" t="str"><v>Linkedin</v></cell><cell r="AF825"><v>3654329</v></cell><cell r="AG825" t="str"><v>LINKEDIN»USA-Trial-ITD-Website Retargeting-AZR-AZR»1 x 1»SocialBan»VLA»ALL»CPA»RT»D»All»SS»NA»FreeAcctITProLI-AnimatedMigration-Ch3»PS7BVS</v></cell><cell r="AH825"><v>226786140</v></cell><cell r="AI825" t="str"><v>AZR_FreeAcctITProLI-AnimatedMigration-Ch3_USA_1920x1080_VLA_Direct_EN_Trial_Standard_ANI_LEA_T3_1</v></cell><cell r="AJ825"><v>104592532</v></cell></row><row r="826"><cell r="D826" t="str"><v>43356226786167</v></cell><cell r="E826" t="str"><v>43356104592532PS7BV7</v></cell><cell r="F826" t="str"><v>DCM</v></cell></row><row r="826"><cell r="H826"><v>0</v></cell><cell r="I826" t="str"><v>Azure Direct</v></cell><cell r="J826" t="str"><v>Azure Direct</v></cell><cell r="K826" t="str"><v>September</v></cell><cell r="L826"><v>43358</v></cell><cell r="M826" t="str"><v>Tier 0</v></cell><cell r="N826" t="str"><v>North America</v></cell><cell r="O826" t="str"><v>United States</v></cell><cell r="P826" t="str"><v>Trial</v></cell><cell r="Q826" t="str"><v>Social</v></cell><cell r="R826" t="str"><v>Azure</v></cell><cell r="S826" t="str"><v>Apps & Infra</v></cell><cell r="T826" t="str"><v>Developers & ITI's</v></cell><cell r="U826" t="str"><v>USA-Trial-ITD-Skills Prospecting-AZR-AZR</v></cell><cell r="V826" t="str"><v>Prospecting</v></cell><cell r="W826" t="str"><v>Video Link ad</v></cell><cell r="X826" t="str"><v>1920x1080</v></cell><cell r="Y826" t="str"><v>Learn More</v></cell><cell r="Z826" t="str"><v>Animated Banner</v></cell><cell r="AA826"><v>43356</v></cell><cell r="AB826" t="str"><v>USA_gaPMG_AZR_AZR_Q1_19_Direct-Social</v></cell><cell r="AC826"><v>21358715</v></cell><cell r="AD826"><v>720197</v></cell><cell r="AE826" t="str"><v>Linkedin</v></cell><cell r="AF826"><v>3654329</v></cell><cell r="AG826" t="str"><v>LINKEDIN»USA-Trial-ITD-Skills Prospecting-AZR-AZR»1 x 1»SocialBan»VLA»ALL»CPA»PRO»D»All»SS»NA»FreeAcctITProLI-AnimatedMigration-Ch3»PS7BV7</v></cell><cell r="AH826"><v>226786167</v></cell><cell r="AI826" t="str"><v>AZR_FreeAcctITProLI-AnimatedMigration-Ch3_USA_1920x1080_VLA_Direct_EN_Trial_Standard_ANI_LEA_T3_1</v></cell><cell r="AJ826"><v>104592532</v></cell></row><row r="827"><cell r="D827" t="str"><v>43356226538528</v></cell><cell r="E827" t="str"><v>43356104595736PS7BT1</v></cell><cell r="F827" t="str"><v>DCM</v></cell></row><row r="827"><cell r="H827"><v>0</v></cell><cell r="I827" t="str"><v>Azure Direct</v></cell><cell r="J827" t="str"><v>Azure Direct</v></cell><cell r="K827" t="str"><v>September</v></cell><cell r="L827"><v>43358</v></cell><cell r="M827" t="str"><v>Tier 0</v></cell><cell r="N827" t="str"><v>North America</v></cell><cell r="O827" t="str"><v>United States</v></cell><cell r="P827" t="str"><v>Trial</v></cell><cell r="Q827" t="str"><v>Social</v></cell><cell r="R827" t="str"><v>Azure</v></cell><cell r="S827" t="str"><v>Apps & Infra</v></cell><cell r="T827" t="str"><v>Developers & ITI's</v></cell><cell r="U827" t="str"><v>USA-Trial-ITD-Bing Retargeting LAL-AZR-AZR</v></cell><cell r="V827" t="str"><v>Retargeting</v></cell><cell r="W827" t="str"><v>Video Link ad</v></cell><cell r="X827" t="str"><v>1920x1080</v></cell><cell r="Y827" t="str"><v>Learn More</v></cell><cell r="Z827" t="str"><v>Animated Banner</v></cell><cell r="AA827"><v>43356</v></cell><cell r="AB827" t="str"><v>USA_gaPMG_AZR_AZR_Q1_19_Direct-Social</v></cell><cell r="AC827"><v>21358715</v></cell><cell r="AD827"><v>720197</v></cell><cell r="AE827" t="str"><v>Linkedin</v></cell><cell r="AF827"><v>3654329</v></cell><cell r="AG827" t="str"><v>LINKEDIN»USA-Trial-ITD-Bing Retargeting LAL-AZR-AZR»1 x 1»SocialBan»VLA»ALL»CPA»RT»D»All»SS»NA»FreeAcctDeveloperLI-AnimatedGeneric-Ch1»PS7BT1</v></cell><cell r="AH827"><v>226538528</v></cell><cell r="AI827" t="str"><v>AZR_FreeAcctDeveloperLI-AnimatedGeneric-Ch1_USA_1920x1080_VLA_Direct_EN_Trial_Standard_ANI_LEA_T1_1</v></cell><cell r="AJ827"><v>104595736</v></cell></row><row r="828"><cell r="D828" t="str"><v>43356226538543</v></cell><cell r="E828" t="str"><v>43356104671424PS7BT9</v></cell><cell r="F828" t="str"><v>DCM</v></cell></row><row r="828"><cell r="H828"><v>0</v></cell><cell r="I828" t="str"><v>Azure Direct</v></cell><cell r="J828" t="str"><v>Azure Direct</v></cell><cell r="K828" t="str"><v>September</v></cell><cell r="L828"><v>43358</v></cell><cell r="M828" t="str"><v>Tier 0</v></cell><cell r="N828" t="str"><v>North America</v></cell><cell r="O828" t="str"><v>United States</v></cell><cell r="P828" t="str"><v>Trial</v></cell><cell r="Q828" t="str"><v>Social</v></cell><cell r="R828" t="str"><v>Azure</v></cell><cell r="S828" t="str"><v>Apps & Infra</v></cell><cell r="T828" t="str"><v>Developers & ITI's</v></cell><cell r="U828" t="str"><v>USA-Trial-ITD-Bing Retargeting LAL-AZR-AZR</v></cell><cell r="V828" t="str"><v>Retargeting</v></cell><cell r="W828" t="str"><v>Video Link ad</v></cell><cell r="X828" t="str"><v>1920x1080</v></cell><cell r="Y828" t="str"><v>Learn More</v></cell><cell r="Z828" t="str"><v>Animated Banner</v></cell><cell r="AA828"><v>43356</v></cell><cell r="AB828" t="str"><v>USA_gaPMG_AZR_AZR_Q1_19_Direct-Social</v></cell><cell r="AC828"><v>21358715</v></cell><cell r="AD828"><v>720197</v></cell><cell r="AE828" t="str"><v>Linkedin</v></cell><cell r="AF828"><v>3654329</v></cell><cell r="AG828" t="str"><v>LINKEDIN»USA-Trial-ITD-Bing Retargeting LAL-AZR-AZR»1 x 1»SocialBan»VLA»ALL»CPA»RT»D»All»SS»NA»FreeAcctITProLI-AnimatedHybrid-Ch2»PS7BT9</v></cell><cell r="AH828"><v>226538543</v></cell><cell r="AI828" t="str"><v>AZR_FreeAcctITProLI-AnimatedHybrid-Ch2_USA_1920x1080_VLA_Direct_EN_Trial_Standard_ANI_LEA_T2_1</v></cell><cell r="AJ828"><v>104671424</v></cell></row><row r="829"><cell r="D829" t="str"><v>43357224639151</v></cell><cell r="E829" t="str"><v>43357103316832NowCTA</v></cell><cell r="F829" t="str"><v>DCM</v></cell></row><row r="829"><cell r="H829"><v>1</v></cell><cell r="I829" t="str"><v>Azure Direct</v></cell><cell r="J829" t="str"><v>Azure Direct</v></cell><cell r="K829" t="str"><v>September</v></cell><cell r="L829"><v>43358</v></cell><cell r="M829" t="str"><v>Tier 1</v></cell><cell r="N829" t="str"><v>APAC</v></cell><cell r="O829" t="str"><v>Australia</v></cell><cell r="P829" t="str"><v>Trial</v></cell><cell r="Q829" t="str"><v>Social</v></cell><cell r="R829" t="str"><v>Azure</v></cell><cell r="S829" t="str"><v>Apps & Infra</v></cell><cell r="T829" t="str"><v>Developers & ITI's</v></cell><cell r="U829" t="str"><v>Audience & Interest Targeting</v></cell><cell r="V829" t="str"><v>Audience Targeting</v></cell><cell r="W829" t="str"><v>Canvas Ad</v></cell><cell r="X829" t="str"><v>1080x162</v></cell><cell r="Y829" t="str"><v>Buy Now</v></cell><cell r="Z829" t="str"><v>Not Applicable</v></cell><cell r="AA829"><v>43357</v></cell><cell r="AB829" t="str"><v>AUS_gaPMG_AZR_AZR_Q1_19_Trial-Social</v></cell><cell r="AC829"><v>21358568</v></cell><cell r="AD829"><v>720191</v></cell><cell r="AE829" t="str"><v>Facebook</v></cell><cell r="AF829"><v>3654128</v></cell><cell r="AG829" t="str"><v>Facebook»Audience & Interest Targeting»1x1»Canvas»OTH»DT»DYN»AUT»W»NA»SS»NA»FBCTCcanvaspage-StartFreeCTA_FBCTCcanvaspage-BuyNowCTA</v></cell><cell r="AH829"><v>224639151</v></cell><cell r="AI829" t="str"><v>AzurePlatform_FBCTCcanvaspage-BuyNowCTA-Img3_AUS_1080x162_SOC_Plat_English_NA_Standard_NA_BN_T3_1</v></cell><cell r="AJ829"><v>103316832</v></cell></row><row r="830"><cell r="D830" t="str"><v>43357224639151</v></cell><cell r="E830" t="str"><v>43357103316829NowCTA</v></cell><cell r="F830" t="str"><v>DCM</v></cell></row><row r="830"><cell r="H830"><v>0</v></cell><cell r="I830" t="str"><v>Azure Direct</v></cell><cell r="J830" t="str"><v>Azure Direct</v></cell><cell r="K830" t="str"><v>September</v></cell><cell r="L830"><v>43358</v></cell><cell r="M830" t="str"><v>Tier 1</v></cell><cell r="N830" t="str"><v>APAC</v></cell><cell r="O830" t="str"><v>Australia</v></cell><cell r="P830" t="str"><v>Trial</v></cell><cell r="Q830" t="str"><v>Social</v></cell><cell r="R830" t="str"><v>Azure</v></cell><cell r="S830" t="str"><v>Apps & Infra</v></cell><cell r="T830" t="str"><v>Developers & ITI's</v></cell><cell r="U830" t="str"><v>Audience & Interest Targeting</v></cell><cell r="V830" t="str"><v>Audience Targeting</v></cell><cell r="W830" t="str"><v>Canvas Ad</v></cell><cell r="X830" t="str"><v>1080x143</v></cell><cell r="Y830" t="str"><v>Not Applicable </v></cell><cell r="Z830" t="str"><v>Not Applicable</v></cell><cell r="AA830"><v>43357</v></cell><cell r="AB830" t="str"><v>AUS_gaPMG_AZR_AZR_Q1_19_Trial-Social</v></cell><cell r="AC830"><v>21358568</v></cell><cell r="AD830"><v>720191</v></cell><cell r="AE830" t="str"><v>Facebook</v></cell><cell r="AF830"><v>3654128</v></cell><cell r="AG830" t="str"><v>Facebook»Audience & Interest Targeting»1x1»Canvas»OTH»DT»DYN»AUT»W»NA»SS»NA»FBCTCcanvaspage-StartFreeCTA_FBCTCcanvaspage-BuyNowCTA</v></cell><cell r="AH830"><v>224639151</v></cell><cell r="AI830" t="str"><v>AzurePlatform_FBCTCcanvaspage-StartFreeCTA-Img2_AUS_1080x143 _SOC_Plat_English_NA_Standard_NA_NA_T2_1</v></cell><cell r="AJ830"><v>103316829</v></cell></row><row r="831"><cell r="D831" t="str"><v>43357224160783</v></cell><cell r="E831" t="str"><v>43357103051614hs ChE</v></cell><cell r="F831" t="str"><v>DCM</v></cell></row><row r="831"><cell r="H831"><v>1</v></cell><cell r="I831" t="str"><v>Azure Direct</v></cell><cell r="J831" t="str"><v>Azure Direct</v></cell><cell r="K831" t="str"><v>September</v></cell><cell r="L831"><v>43358</v></cell><cell r="M831" t="str"><v>Tier 1</v></cell><cell r="N831" t="str"><v>APAC</v></cell><cell r="O831" t="str"><v>Australia</v></cell><cell r="P831" t="str"><v>Trial</v></cell><cell r="Q831" t="str"><v>Social</v></cell><cell r="R831" t="str"><v>Azure</v></cell><cell r="S831" t="str"><v>Apps & Infra</v></cell><cell r="T831" t="str"><v>Developers & ITI's</v></cell><cell r="U831" t="str"><v>Audience & Interest Targeting</v></cell><cell r="V831" t="str"><v>Audience Targeting</v></cell><cell r="W831" t="str"><v>Link Ad</v></cell><cell r="X831" t="str"><v>1200x628</v></cell></row><row r="831"><cell r="Z831" t="str"><v>Not Applicable</v></cell><cell r="AA831"><v>43357</v></cell><cell r="AB831" t="str"><v>AUS_gaPMG_AZR_AZR_Q1_19_Trial-Social</v></cell><cell r="AC831"><v>21358568</v></cell><cell r="AD831"><v>720191</v></cell><cell r="AE831" t="str"><v>Facebook</v></cell><cell r="AF831"><v>3654128</v></cell><cell r="AG831" t="str"><v>Facebook»Audience & Interest Targeting»1x1»TextLink»OTH»DT»DYN»AUT»W»NA»SS»NA»Free Account Refresh- 12 months ChE</v></cell><cell r="AH831"><v>224160783</v></cell><cell r="AI831" t="str"><v>AzurePlatform_FreeAcctAppsFACEBOOK12monthsChE_AUS_1200x628_SOC_PLAT_EN_Trial_Standard_NA_SNU_T5_1</v></cell><cell r="AJ831"><v>103051614</v></cell></row><row r="832"><cell r="D832" t="str"><v>43357224160780</v></cell><cell r="E832" t="str"><v>43357103186904it ChD</v></cell><cell r="F832" t="str"><v>DCM</v></cell></row><row r="832"><cell r="H832"><v>1</v></cell><cell r="I832" t="str"><v>Azure Direct</v></cell><cell r="J832" t="str"><v>Azure Direct</v></cell><cell r="K832" t="str"><v>September</v></cell><cell r="L832"><v>43358</v></cell><cell r="M832" t="str"><v>Tier 1</v></cell><cell r="N832" t="str"><v>APAC</v></cell><cell r="O832" t="str"><v>Australia</v></cell><cell r="P832" t="str"><v>Trial</v></cell><cell r="Q832" t="str"><v>Social</v></cell><cell r="R832" t="str"><v>Azure</v></cell><cell r="S832" t="str"><v>Apps & Infra</v></cell><cell r="T832" t="str"><v>Developers & ITI's</v></cell><cell r="U832" t="str"><v>Audience & Interest Targeting</v></cell><cell r="V832" t="str"><v>Audience Targeting</v></cell><cell r="W832" t="str"><v>Link Ad</v></cell><cell r="X832" t="str"><v>1200x628</v></cell></row><row r="832"><cell r="Z832" t="str"><v>Not Applicable</v></cell><cell r="AA832"><v>43357</v></cell><cell r="AB832" t="str"><v>AUS_gaPMG_AZR_AZR_Q1_19_Trial-Social</v></cell><cell r="AC832"><v>21358568</v></cell><cell r="AD832"><v>720191</v></cell><cell r="AE832" t="str"><v>Facebook</v></cell><cell r="AF832"><v>3654128</v></cell><cell r="AG832" t="str"><v>Facebook»Audience & Interest Targeting»1x1»TextLink»OTH»DT»DYN»AUT»W»NA»SS»NA»Free Account Refresh- 200 Credit ChD</v></cell><cell r="AH832"><v>224160780</v></cell><cell r="AI832" t="str"><v>AzurePlatform_FreeAcctAppsFACEBOOK200CreditChD_AUS_1200x628_SOC_PLAT_EN_Trial_Standard_NA_SNU_T4_1</v></cell><cell r="AJ832"><v>103186904</v></cell></row><row r="833"><cell r="D833" t="str"><v>43357224160777</v></cell><cell r="E833" t="str"><v>43357103048479ce ChB</v></cell><cell r="F833" t="str"><v>DCM</v></cell></row><row r="833"><cell r="H833"><v>3</v></cell><cell r="I833" t="str"><v>Azure Direct</v></cell><cell r="J833" t="str"><v>Azure Direct</v></cell><cell r="K833" t="str"><v>September</v></cell><cell r="L833"><v>43358</v></cell><cell r="M833" t="str"><v>Tier 1</v></cell><cell r="N833" t="str"><v>APAC</v></cell><cell r="O833" t="str"><v>Australia</v></cell><cell r="P833" t="str"><v>Trial</v></cell><cell r="Q833" t="str"><v>Social</v></cell><cell r="R833" t="str"><v>Azure</v></cell><cell r="S833" t="str"><v>Apps & Infra</v></cell><cell r="T833" t="str"><v>Developers & ITI's</v></cell><cell r="U833" t="str"><v>Audience & Interest Targeting</v></cell><cell r="V833" t="str"><v>Audience Targeting</v></cell><cell r="W833" t="str"><v>Link Ad</v></cell><cell r="X833" t="str"><v>1200x628</v></cell></row><row r="833"><cell r="Z833" t="str"><v>Not Applicable</v></cell><cell r="AA833"><v>43357</v></cell><cell r="AB833" t="str"><v>AUS_gaPMG_AZR_AZR_Q1_19_Trial-Social</v></cell><cell r="AC833"><v>21358568</v></cell><cell r="AD833"><v>720191</v></cell><cell r="AE833" t="str"><v>Facebook</v></cell><cell r="AF833"><v>3654128</v></cell><cell r="AG833" t="str"><v>Facebook»Audience & Interest Targeting»1x1»TextLink»OTH»DT»DYN»AUT»W»NA»SS»NA»Free Account Refresh- Device ChB</v></cell><cell r="AH833"><v>224160777</v></cell><cell r="AI833" t="str"><v>AzurePlatform_FreeAcctAppsFACEBOOKDeviceChB_AUS_1200x628_SOC_PLAT_EN_Trial_Standard_NA_SNU_T2_1</v></cell><cell r="AJ833"><v>103048479</v></cell></row><row r="834"><cell r="D834" t="str"><v>43357224160774</v></cell><cell r="E834" t="str"><v>43357103186910on ChC</v></cell><cell r="F834" t="str"><v>DCM</v></cell></row><row r="834"><cell r="H834"><v>3</v></cell><cell r="I834" t="str"><v>Azure Direct</v></cell><cell r="J834" t="str"><v>Azure Direct</v></cell><cell r="K834" t="str"><v>September</v></cell><cell r="L834"><v>43358</v></cell><cell r="M834" t="str"><v>Tier 1</v></cell><cell r="N834" t="str"><v>APAC</v></cell><cell r="O834" t="str"><v>Australia</v></cell><cell r="P834" t="str"><v>Trial</v></cell><cell r="Q834" t="str"><v>Social</v></cell><cell r="R834" t="str"><v>Azure</v></cell><cell r="S834" t="str"><v>Apps & Infra</v></cell><cell r="T834" t="str"><v>Developers & ITI's</v></cell><cell r="U834" t="str"><v>Audience & Interest Targeting</v></cell><cell r="V834" t="str"><v>Audience Targeting</v></cell><cell r="W834" t="str"><v>Link Ad</v></cell><cell r="X834" t="str"><v>1200x628</v></cell></row><row r="834"><cell r="Z834" t="str"><v>Not Applicable</v></cell><cell r="AA834"><v>43357</v></cell><cell r="AB834" t="str"><v>AUS_gaPMG_AZR_AZR_Q1_19_Trial-Social</v></cell><cell r="AC834"><v>21358568</v></cell><cell r="AD834"><v>720191</v></cell><cell r="AE834" t="str"><v>Facebook</v></cell><cell r="AF834"><v>3654128</v></cell><cell r="AG834" t="str"><v>Facebook»Audience & Interest Targeting»1x1»TextLink»OTH»DT»DYN»AUT»W»NA»SS»NA»Free Account Refresh- Illustration ChC</v></cell><cell r="AH834"><v>224160774</v></cell><cell r="AI834" t="str"><v>AzurePlatform_FreeAcctAppsFACEBOOKIllustrationChC_AUS_1200x628_SOC_PLAT_EN_Trial_Standard_NA_SNU_T3_1</v></cell><cell r="AJ834"><v>103186910</v></cell></row><row r="835"><cell r="D835" t="str"><v>43357224160771</v></cell><cell r="E835" t="str"><v>43357103048488le ChA</v></cell><cell r="F835" t="str"><v>DCM</v></cell></row><row r="835"><cell r="H835"><v>4</v></cell><cell r="I835" t="str"><v>Azure Direct</v></cell><cell r="J835" t="str"><v>Azure Direct</v></cell><cell r="K835" t="str"><v>September</v></cell><cell r="L835"><v>43358</v></cell><cell r="M835" t="str"><v>Tier 1</v></cell><cell r="N835" t="str"><v>APAC</v></cell><cell r="O835" t="str"><v>Australia</v></cell><cell r="P835" t="str"><v>Trial</v></cell><cell r="Q835" t="str"><v>Social</v></cell><cell r="R835" t="str"><v>Azure</v></cell><cell r="S835" t="str"><v>Apps & Infra</v></cell><cell r="T835" t="str"><v>Developers & ITI's</v></cell><cell r="U835" t="str"><v>Audience & Interest Targeting</v></cell><cell r="V835" t="str"><v>Audience Targeting</v></cell><cell r="W835" t="str"><v>Link Ad</v></cell><cell r="X835" t="str"><v>1200x628</v></cell></row><row r="835"><cell r="Z835" t="str"><v>Not Applicable</v></cell><cell r="AA835"><v>43357</v></cell><cell r="AB835" t="str"><v>AUS_gaPMG_AZR_AZR_Q1_19_Trial-Social</v></cell><cell r="AC835"><v>21358568</v></cell><cell r="AD835"><v>720191</v></cell><cell r="AE835" t="str"><v>Facebook</v></cell><cell r="AF835"><v>3654128</v></cell><cell r="AG835" t="str"><v>Facebook»Audience & Interest Targeting»1x1»TextLink»OTH»DT»DYN»AUT»W»NA»SS»NA»Free Account Refresh- Lifestyle ChA</v></cell><cell r="AH835"><v>224160771</v></cell><cell r="AI835" t="str"><v>AzurePlatform_FreeAcctAppsFACEBOOKLifestyleChA_AUS_1200x628_SOC_PLAT_EN_Trial_Standard_NA_SNU_T1_1</v></cell><cell r="AJ835"><v>103048488</v></cell></row><row r="836"><cell r="D836" t="str"><v>43357224160735</v></cell><cell r="E836" t="str"><v>43357103048479ce ChB</v></cell><cell r="F836" t="str"><v>DCM</v></cell></row><row r="836"><cell r="H836"><v>4</v></cell><cell r="I836" t="str"><v>Azure Direct</v></cell><cell r="J836" t="str"><v>Azure Direct</v></cell><cell r="K836" t="str"><v>September</v></cell><cell r="L836"><v>43358</v></cell><cell r="M836" t="str"><v>Tier 1</v></cell><cell r="N836" t="str"><v>APAC</v></cell><cell r="O836" t="str"><v>Australia</v></cell><cell r="P836" t="str"><v>Trial</v></cell><cell r="Q836" t="str"><v>Social</v></cell><cell r="R836" t="str"><v>Azure</v></cell><cell r="S836" t="str"><v>Apps & Infra</v></cell><cell r="T836" t="str"><v>Developers & ITI's</v></cell><cell r="U836" t="str"><v>Retargeting</v></cell><cell r="V836" t="str"><v>Retargeting</v></cell><cell r="W836" t="str"><v>Link Ad</v></cell><cell r="X836" t="str"><v>1200x628</v></cell></row><row r="836"><cell r="Z836" t="str"><v>Not Applicable</v></cell><cell r="AA836"><v>43357</v></cell><cell r="AB836" t="str"><v>AUS_gaPMG_AZR_AZR_Q1_19_Trial-Social</v></cell><cell r="AC836"><v>21358568</v></cell><cell r="AD836"><v>720191</v></cell><cell r="AE836" t="str"><v>Facebook</v></cell><cell r="AF836"><v>3654128</v></cell><cell r="AG836" t="str"><v>Facebook»Retargeting»1x1»TextLink»SOC»DT»DYN»RT»W»NA»SS»NA»Free Account Refresh- Device ChB</v></cell><cell r="AH836"><v>224160735</v></cell><cell r="AI836" t="str"><v>AzurePlatform_FreeAcctAppsFACEBOOKDeviceChB_AUS_1200x628_SOC_PLAT_EN_Trial_Standard_NA_SNU_T2_1</v></cell><cell r="AJ836"><v>103048479</v></cell></row><row r="837"><cell r="D837" t="str"><v>43357224160732</v></cell><cell r="E837" t="str"><v>43357103186910on ChC</v></cell><cell r="F837" t="str"><v>DCM</v></cell></row><row r="837"><cell r="H837"><v>4</v></cell><cell r="I837" t="str"><v>Azure Direct</v></cell><cell r="J837" t="str"><v>Azure Direct</v></cell><cell r="K837" t="str"><v>September</v></cell><cell r="L837"><v>43358</v></cell><cell r="M837" t="str"><v>Tier 1</v></cell><cell r="N837" t="str"><v>APAC</v></cell><cell r="O837" t="str"><v>Australia</v></cell><cell r="P837" t="str"><v>Trial</v></cell><cell r="Q837" t="str"><v>Social</v></cell><cell r="R837" t="str"><v>Azure</v></cell><cell r="S837" t="str"><v>Apps & Infra</v></cell><cell r="T837" t="str"><v>Developers & ITI's</v></cell><cell r="U837" t="str"><v>Retargeting</v></cell><cell r="V837" t="str"><v>Retargeting</v></cell><cell r="W837" t="str"><v>Link Ad</v></cell><cell r="X837" t="str"><v>1200x628</v></cell></row><row r="837"><cell r="Z837" t="str"><v>Not Applicable</v></cell><cell r="AA837"><v>43357</v></cell><cell r="AB837" t="str"><v>AUS_gaPMG_AZR_AZR_Q1_19_Trial-Social</v></cell><cell r="AC837"><v>21358568</v></cell><cell r="AD837"><v>720191</v></cell><cell r="AE837" t="str"><v>Facebook</v></cell><cell r="AF837"><v>3654128</v></cell><cell r="AG837" t="str"><v>Facebook»Retargeting»1x1»TextLink»SOC»DT»DYN»RT»W»NA»SS»NA»Free Account Refresh- Illustration ChC</v></cell><cell r="AH837"><v>224160732</v></cell><cell r="AI837" t="str"><v>AzurePlatform_FreeAcctAppsFACEBOOKIllustrationChC_AUS_1200x628_SOC_PLAT_EN_Trial_Standard_NA_SNU_T3_1</v></cell><cell r="AJ837"><v>103186910</v></cell></row><row r="838"><cell r="D838" t="str"><v>43357224160738</v></cell><cell r="E838" t="str"><v>43357103186904it ChD</v></cell><cell r="F838" t="str"><v>DCM</v></cell></row><row r="838"><cell r="H838"><v>0</v></cell><cell r="I838" t="str"><v>Azure Direct</v></cell><cell r="J838" t="str"><v>Azure Direct</v></cell><cell r="K838" t="str"><v>September</v></cell><cell r="L838"><v>43358</v></cell><cell r="M838" t="str"><v>Tier 1</v></cell><cell r="N838" t="str"><v>APAC</v></cell><cell r="O838" t="str"><v>Australia</v></cell><cell r="P838" t="str"><v>Trial</v></cell><cell r="Q838" t="str"><v>Social</v></cell><cell r="R838" t="str"><v>Azure</v></cell><cell r="S838" t="str"><v>Apps & Infra</v></cell><cell r="T838" t="str"><v>Developers & ITI's</v></cell><cell r="U838" t="str"><v>Retargeting</v></cell><cell r="V838" t="str"><v>Retargeting</v></cell><cell r="W838" t="str"><v>Link Ad</v></cell><cell r="X838" t="str"><v>1200x628</v></cell></row><row r="838"><cell r="Z838" t="str"><v>Not Applicable</v></cell><cell r="AA838"><v>43357</v></cell><cell r="AB838" t="str"><v>AUS_gaPMG_AZR_AZR_Q1_19_Trial-Social</v></cell><cell r="AC838"><v>21358568</v></cell><cell r="AD838"><v>720191</v></cell><cell r="AE838" t="str"><v>Facebook</v></cell><cell r="AF838"><v>3654128</v></cell><cell r="AG838" t="str"><v>Facebook»Retargeting»1x1»TextLink»SOC»DT»DYN»RT»W»NA»SS»NA»Free Account Refresh- 200 Credit ChD</v></cell><cell r="AH838"><v>224160738</v></cell><cell r="AI838" t="str"><v>AzurePlatform_FreeAcctAppsFACEBOOK200CreditChD_AUS_1200x628_SOC_PLAT_EN_Trial_Standard_NA_SNU_T4_1</v></cell><cell r="AJ838"><v>103186904</v></cell></row><row r="839"><cell r="D839" t="str"><v>43357223684451</v></cell><cell r="E839" t="str"><v>433571029018821 - EN</v></cell><cell r="F839" t="str"><v>DCM</v></cell></row><row r="839"><cell r="H839"><v>0</v></cell><cell r="I839" t="str"><v>Azure Direct</v></cell><cell r="J839" t="str"><v>Azure Direct</v></cell><cell r="K839" t="str"><v>September</v></cell><cell r="L839"><v>43358</v></cell><cell r="M839" t="str"><v>Tier 1</v></cell><cell r="N839" t="str"><v>North America</v></cell><cell r="O839" t="str"><v>Canada</v></cell><cell r="P839" t="str"><v>Trial</v></cell><cell r="Q839" t="str"><v>Social</v></cell><cell r="R839" t="str"><v>Azure</v></cell><cell r="S839" t="str"><v>Apps & Infra</v></cell><cell r="T839" t="str"><v>Developers & ITI's</v></cell><cell r="U839" t="str"><v>AZR</v></cell><cell r="V839" t="str"><v>Audience Targeting</v></cell><cell r="W839" t="str"><v>Engagement Video</v></cell><cell r="X839" t="str"><v>10s</v></cell><cell r="Y839" t="str"><v>Try Azure Free</v></cell><cell r="Z839" t="str"><v>Standard videos</v></cell><cell r="AA839"><v>43357</v></cell><cell r="AB839" t="str"><v>CAN_gaPMG_AZR_AZR_Q1_19_Trial-Social</v></cell><cell r="AC839"><v>21337220</v></cell><cell r="AD839"><v>720192</v></cell><cell r="AE839" t="str"><v>Facebook</v></cell><cell r="AF839"><v>3654128</v></cell><cell r="AG839" t="str"><v>Facebook»AZR»1x1»NA»EGV»ALL»DYN»AUT»D»All»SS»NA»Free Acc CTC - T1 - EN</v></cell><cell r="AH839"><v>223684451</v></cell><cell r="AI839" t="str"><v>AzurePlatform_FBCTCBasicMotion_CAN_10s_ISV_PLAT_English_Trial_Standard_STAN_TN_T1_1</v></cell><cell r="AJ839"><v>102901882</v></cell></row><row r="840"><cell r="D840" t="str"><v>43357223691840</v></cell><cell r="E840" t="str"><v>433571029029502 - EN</v></cell><cell r="F840" t="str"><v>DCM</v></cell></row><row r="840"><cell r="H840"><v>0</v></cell><cell r="I840" t="str"><v>Azure Direct</v></cell><cell r="J840" t="str"><v>Azure Direct</v></cell><cell r="K840" t="str"><v>September</v></cell><cell r="L840"><v>43358</v></cell><cell r="M840" t="str"><v>Tier 1</v></cell><cell r="N840" t="str"><v>North America</v></cell><cell r="O840" t="str"><v>Canada</v></cell><cell r="P840" t="str"><v>Trial</v></cell><cell r="Q840" t="str"><v>Social</v></cell><cell r="R840" t="str"><v>Azure</v></cell><cell r="S840" t="str"><v>Apps & Infra</v></cell><cell r="T840" t="str"><v>Developers & ITI's</v></cell><cell r="U840" t="str"><v>AZR</v></cell><cell r="V840" t="str"><v>Audience Targeting</v></cell><cell r="W840" t="str"><v>Engagement Video</v></cell><cell r="X840" t="str"><v>12s</v></cell><cell r="Y840" t="str"><v>Try Azure Free</v></cell><cell r="Z840" t="str"><v>Standard videos</v></cell><cell r="AA840"><v>43357</v></cell><cell r="AB840" t="str"><v>CAN_gaPMG_AZR_AZR_Q1_19_Trial-Social</v></cell><cell r="AC840"><v>21337220</v></cell><cell r="AD840"><v>720192</v></cell><cell r="AE840" t="str"><v>Facebook</v></cell><cell r="AF840"><v>3654128</v></cell><cell r="AG840" t="str"><v>Facebook»AZR»1x1»NA»EGV»ALL»DYN»AUT»D»All»SS»NA»Free Acc CTC - T2 - EN</v></cell><cell r="AH840"><v>223691840</v></cell><cell r="AI840" t="str"><v>AzurePlatform_FBCTCBrandinMotion_CAN_12s_ISV_PLAT_English_Trial_Standard_STAN_TN_T2_1</v></cell><cell r="AJ840"><v>102902950</v></cell></row><row r="841"><cell r="D841" t="str"><v>43357223691798</v></cell><cell r="E841" t="str"><v>433571029163472 - FR</v></cell><cell r="F841" t="str"><v>DCM</v></cell></row><row r="841"><cell r="H841"><v>0</v></cell><cell r="I841" t="str"><v>Azure Direct</v></cell><cell r="J841" t="str"><v>Azure Direct</v></cell><cell r="K841" t="str"><v>September</v></cell><cell r="L841"><v>43358</v></cell><cell r="M841" t="str"><v>Tier 1</v></cell><cell r="N841" t="str"><v>North America</v></cell><cell r="O841" t="str"><v>Canada</v></cell><cell r="P841" t="str"><v>Trial</v></cell><cell r="Q841" t="str"><v>Social</v></cell><cell r="R841" t="str"><v>Azure</v></cell><cell r="S841" t="str"><v>Apps & Infra</v></cell><cell r="T841" t="str"><v>Developers & ITI's</v></cell><cell r="U841" t="str"><v>AZR</v></cell><cell r="V841" t="str"><v>Audience Targeting</v></cell><cell r="W841" t="str"><v>Engagement Video</v></cell><cell r="X841" t="str"><v>12s</v></cell><cell r="Y841" t="str"><v>Try Azure Free</v></cell><cell r="Z841" t="str"><v>Standard videos</v></cell><cell r="AA841"><v>43357</v></cell><cell r="AB841" t="str"><v>CAN_gaPMG_AZR_AZR_Q1_19_Trial-Social</v></cell><cell r="AC841"><v>21337220</v></cell><cell r="AD841"><v>720192</v></cell><cell r="AE841" t="str"><v>Facebook</v></cell><cell r="AF841"><v>3654128</v></cell><cell r="AG841" t="str"><v>Facebook»AZR»1x1»NA»EGV»ALL»DYN»AUT»D»All»SS»NA»Free Acc CTC - T2 - FR</v></cell><cell r="AH841"><v>223691798</v></cell><cell r="AI841" t="str"><v>AzurePlatform_FBCTCBrandinMotion_CAN_12s_ISV_PLAT_FR_Trial_Standard_STAN_TN_T2_1</v></cell><cell r="AJ841"><v>102916347</v></cell></row><row r="842"><cell r="D842" t="str"><v>43357223691837</v></cell><cell r="E842" t="str"><v>433571030533144 - EN</v></cell><cell r="F842" t="str"><v>DCM</v></cell></row><row r="842"><cell r="H842"><v>0</v></cell><cell r="I842" t="str"><v>Azure Direct</v></cell><cell r="J842" t="str"><v>Azure Direct</v></cell><cell r="K842" t="str"><v>September</v></cell><cell r="L842"><v>43358</v></cell><cell r="M842" t="str"><v>Tier 1</v></cell><cell r="N842" t="str"><v>North America</v></cell><cell r="O842" t="str"><v>Canada</v></cell><cell r="P842" t="str"><v>Trial</v></cell><cell r="Q842" t="str"><v>Social</v></cell><cell r="R842" t="str"><v>Azure</v></cell><cell r="S842" t="str"><v>Apps & Infra</v></cell><cell r="T842" t="str"><v>Developers & ITI's</v></cell><cell r="U842" t="str"><v>AZR</v></cell><cell r="V842" t="str"><v>Audience Targeting</v></cell><cell r="W842" t="str"><v>Engagement Video</v></cell><cell r="X842" t="str"><v>14s</v></cell><cell r="Y842" t="str"><v>Try Azure Free</v></cell><cell r="Z842" t="str"><v>Standard videos</v></cell><cell r="AA842"><v>43357</v></cell><cell r="AB842" t="str"><v>CAN_gaPMG_AZR_AZR_Q1_19_Trial-Social</v></cell><cell r="AC842"><v>21337220</v></cell><cell r="AD842"><v>720192</v></cell><cell r="AE842" t="str"><v>Facebook</v></cell><cell r="AF842"><v>3654128</v></cell><cell r="AG842" t="str"><v>Facebook»AZR»1x1»NA»EGV»ALL»DYN»AUT»D»All»SS»NA»Free Acc CTC - T4 - EN</v></cell><cell r="AH842"><v>223691837</v></cell><cell r="AI842" t="str"><v>AzurePlatform_FBCTCBenefit2inMotion_CAN_14s_ISV_PLAT_English_Trial_Standard_STAN_TN_T4_1</v></cell><cell r="AJ842"><v>103053314</v></cell></row><row r="843"><cell r="D843" t="str"><v>43357227522762</v></cell><cell r="E843" t="str"><v>43357105216992e - EN</v></cell><cell r="F843" t="str"><v>DCM</v></cell></row><row r="843"><cell r="H843"><v>0</v></cell><cell r="I843" t="str"><v>Azure Direct</v></cell><cell r="J843" t="str"><v>Azure Direct</v></cell><cell r="K843" t="str"><v>September</v></cell><cell r="L843"><v>43358</v></cell><cell r="M843" t="str"><v>Tier 1</v></cell><cell r="N843" t="str"><v>North America</v></cell><cell r="O843" t="str"><v>Canada</v></cell><cell r="P843" t="str"><v>Trial</v></cell><cell r="Q843" t="str"><v>Social</v></cell><cell r="R843" t="str"><v>Azure</v></cell><cell r="S843" t="str"><v>Apps & Infra</v></cell><cell r="T843" t="str"><v>Developers & ITI's</v></cell><cell r="U843" t="str"><v>AZR</v></cell><cell r="V843" t="str"><v>Audience Targeting</v></cell><cell r="W843" t="str"><v>Canvas Ad</v></cell><cell r="X843" t="str"><v>1080x1080</v></cell><cell r="Y843" t="str"><v>Free Trial</v></cell><cell r="Z843" t="str"><v>Not Applicable</v></cell><cell r="AA843"><v>43357</v></cell><cell r="AB843" t="str"><v>CAN_gaPMG_AZR_AZR_Q1_19_Trial-Social</v></cell><cell r="AC843"><v>21337220</v></cell><cell r="AD843"><v>720192</v></cell><cell r="AE843" t="str"><v>Facebook</v></cell><cell r="AF843"><v>3654128</v></cell><cell r="AG843" t="str"><v>Facebook»AZR»1x1»NA»NA»ALL»DYN»AUT»D»All»SS»NA»Free Account Create to Convert FB - Canvas - Brand - Start Free - EN</v></cell><cell r="AH843"><v>227522762</v></cell><cell r="AI843" t="str"><v>AzurePlatform_FBCTCBrandinMotion_CAN_1080x1080_SOC_12s_ISV_English_Standard_NA_FTR_T2_1</v></cell><cell r="AJ843"><v>105216992</v></cell></row><row r="844"><cell r="D844" t="str"><v>43357223691831</v></cell><cell r="E844" t="str"><v>433571029138002 - EN</v></cell><cell r="F844" t="str"><v>DCM</v></cell></row><row r="844"><cell r="H844"><v>6</v></cell><cell r="I844" t="str"><v>Azure Direct</v></cell><cell r="J844" t="str"><v>Azure Direct</v></cell><cell r="K844" t="str"><v>September</v></cell><cell r="L844"><v>43358</v></cell><cell r="M844" t="str"><v>Tier 1</v></cell><cell r="N844" t="str"><v>North America</v></cell><cell r="O844" t="str"><v>Canada</v></cell><cell r="P844" t="str"><v>Trial</v></cell><cell r="Q844" t="str"><v>Social</v></cell><cell r="R844" t="str"><v>Azure</v></cell><cell r="S844" t="str"><v>Apps & Infra</v></cell><cell r="T844" t="str"><v>Developers & ITI's</v></cell><cell r="U844" t="str"><v>AZR</v></cell><cell r="V844" t="str"><v>Retargeting</v></cell><cell r="W844" t="str"><v>NotApplicable</v></cell><cell r="X844" t="str"><v>1200x628</v></cell></row><row r="844"><cell r="Z844" t="str"><v>Not Applicable</v></cell><cell r="AA844"><v>43357</v></cell><cell r="AB844" t="str"><v>CAN_gaPMG_AZR_AZR_Q1_19_Trial-Social</v></cell><cell r="AC844"><v>21337220</v></cell><cell r="AD844"><v>720192</v></cell><cell r="AE844" t="str"><v>Facebook</v></cell><cell r="AF844"><v>3654128</v></cell><cell r="AG844" t="str"><v>Facebook»AZR»1x1»SocialBan»NA»ALL»DYN»RT»D»All»SS»NA» Free Account Retargeting OSS - T2 - EN</v></cell><cell r="AH844"><v>223691831</v></cell><cell r="AI844" t="str"><v>AzurePlatform_FreeAcctRetargetingOSSFB-Logos-ChG_CAN_1200x628_SOC_Plat_EN_Free Account_Standard_NA_SU_T2_1</v></cell><cell r="AJ844"><v>102913800</v></cell></row><row r="845"><cell r="D845" t="str"><v>43357223691789</v></cell><cell r="E845" t="str"><v>433571029006912 - FR</v></cell><cell r="F845" t="str"><v>DCM</v></cell></row><row r="845"><cell r="H845"><v>3</v></cell><cell r="I845" t="str"><v>Azure Direct</v></cell><cell r="J845" t="str"><v>Azure Direct</v></cell><cell r="K845" t="str"><v>September</v></cell><cell r="L845"><v>43358</v></cell><cell r="M845" t="str"><v>Tier 1</v></cell><cell r="N845" t="str"><v>North America</v></cell><cell r="O845" t="str"><v>Canada</v></cell><cell r="P845" t="str"><v>Trial</v></cell><cell r="Q845" t="str"><v>Social</v></cell><cell r="R845" t="str"><v>Azure</v></cell><cell r="S845" t="str"><v>Apps & Infra</v></cell><cell r="T845" t="str"><v>Developers & ITI's</v></cell><cell r="U845" t="str"><v>AZR</v></cell><cell r="V845" t="str"><v>Retargeting</v></cell><cell r="W845" t="str"><v>NotApplicable</v></cell><cell r="X845" t="str"><v>1200x628</v></cell></row><row r="845"><cell r="Z845" t="str"><v>Not Applicable</v></cell><cell r="AA845"><v>43357</v></cell><cell r="AB845" t="str"><v>CAN_gaPMG_AZR_AZR_Q1_19_Trial-Social</v></cell><cell r="AC845"><v>21337220</v></cell><cell r="AD845"><v>720192</v></cell><cell r="AE845" t="str"><v>Facebook</v></cell><cell r="AF845"><v>3654128</v></cell><cell r="AG845" t="str"><v>Facebook»AZR»1x1»SocialBan»NA»ALL»DYN»RT»D»All»SS»NA» Free Account Retargeting OSS - T2 - FR</v></cell><cell r="AH845"><v>223691789</v></cell><cell r="AI845" t="str"><v>AzurePlatform_FreeAcctRetargetingOSSFB-Logos-ChG_CAN_1200x628_SOC_Plat_FR_Free Account_Standard_NA_SU_T2_1</v></cell><cell r="AJ845"><v>102900691</v></cell></row><row r="846"><cell r="D846" t="str"><v>43357223691834</v></cell><cell r="E846" t="str"><v>433571029029532 - EN</v></cell><cell r="F846" t="str"><v>DCM</v></cell></row><row r="846"><cell r="H846"><v>0</v></cell><cell r="I846" t="str"><v>Azure Direct</v></cell><cell r="J846" t="str"><v>Azure Direct</v></cell><cell r="K846" t="str"><v>September</v></cell><cell r="L846"><v>43358</v></cell><cell r="M846" t="str"><v>Tier 1</v></cell><cell r="N846" t="str"><v>North America</v></cell><cell r="O846" t="str"><v>Canada</v></cell><cell r="P846" t="str"><v>Trial</v></cell><cell r="Q846" t="str"><v>Social</v></cell><cell r="R846" t="str"><v>Azure</v></cell><cell r="S846" t="str"><v>Apps & Infra</v></cell><cell r="T846" t="str"><v>Developers & ITI's</v></cell><cell r="U846" t="str"><v>AZR</v></cell><cell r="V846" t="str"><v>Retargeting</v></cell><cell r="W846" t="str"><v>NotApplicable</v></cell><cell r="X846" t="str"><v>1200x628</v></cell></row><row r="846"><cell r="Z846" t="str"><v>Not Applicable</v></cell><cell r="AA846"><v>43357</v></cell><cell r="AB846" t="str"><v>CAN_gaPMG_AZR_AZR_Q1_19_Trial-Social</v></cell><cell r="AC846"><v>21337220</v></cell><cell r="AD846"><v>720192</v></cell><cell r="AE846" t="str"><v>Facebook</v></cell><cell r="AF846"><v>3654128</v></cell><cell r="AG846" t="str"><v>Facebook»AZR»1x1»SocialBan»NA»ALL»DYN»RT»D»All»SS»NA»Free Account Retargeting Generic - T2 - EN</v></cell><cell r="AH846"><v>223691834</v></cell><cell r="AI846" t="str"><v>AzurePlatform_FreeAcctRetargetingFB-GlobalAlt-ChB_CAN_1200x628_SOC_Plat_EN_Free Account_Standard_NA_SU_T2_1</v></cell><cell r="AJ846"><v>102902953</v></cell></row><row r="847"><cell r="D847" t="str"><v>43357223691819</v></cell><cell r="E847" t="str"><v>433571029006823 - EN</v></cell><cell r="F847" t="str"><v>DCM</v></cell></row><row r="847"><cell r="H847"><v>1</v></cell><cell r="I847" t="str"><v>Azure Direct</v></cell><cell r="J847" t="str"><v>Azure Direct</v></cell><cell r="K847" t="str"><v>September</v></cell><cell r="L847"><v>43358</v></cell><cell r="M847" t="str"><v>Tier 1</v></cell><cell r="N847" t="str"><v>North America</v></cell><cell r="O847" t="str"><v>Canada</v></cell><cell r="P847" t="str"><v>Trial</v></cell><cell r="Q847" t="str"><v>Social</v></cell><cell r="R847" t="str"><v>Azure</v></cell><cell r="S847" t="str"><v>Apps & Infra</v></cell><cell r="T847" t="str"><v>Developers & ITI's</v></cell><cell r="U847" t="str"><v>AZR</v></cell><cell r="V847" t="str"><v>Retargeting</v></cell><cell r="W847" t="str"><v>NotApplicable</v></cell><cell r="X847" t="str"><v>1200x628</v></cell></row><row r="847"><cell r="Z847" t="str"><v>Animated Banner</v></cell><cell r="AA847"><v>43357</v></cell><cell r="AB847" t="str"><v>CAN_gaPMG_AZR_AZR_Q1_19_Trial-Social</v></cell><cell r="AC847"><v>21337220</v></cell><cell r="AD847"><v>720192</v></cell><cell r="AE847" t="str"><v>Facebook</v></cell><cell r="AF847"><v>3654128</v></cell><cell r="AG847" t="str"><v>Facebook»AZR»1x1»SocialBan»NA»ALL»DYN»RT»D»All»SS»NA»Free Account Retargeting Generic - T3 - EN</v></cell><cell r="AH847"><v>223691819</v></cell><cell r="AI847" t="str"><v>AzurePlatform_FreeAcctRetargetingFB-Animated-ChC_CAN_1200x628_SOC_Plat_EN_Free Account_Standard_ANI_SU_T3_1</v></cell><cell r="AJ847"><v>102900682</v></cell></row><row r="848"><cell r="D848" t="str"><v>43357223691825</v></cell><cell r="E848" t="str"><v>433571029163381 - EN</v></cell><cell r="F848" t="str"><v>DCM</v></cell></row><row r="848"><cell r="H848"><v>7</v></cell><cell r="I848" t="str"><v>Azure Direct</v></cell><cell r="J848" t="str"><v>Azure Direct</v></cell><cell r="K848" t="str"><v>September</v></cell><cell r="L848"><v>43358</v></cell><cell r="M848" t="str"><v>Tier 1</v></cell><cell r="N848" t="str"><v>North America</v></cell><cell r="O848" t="str"><v>Canada</v></cell><cell r="P848" t="str"><v>Trial</v></cell><cell r="Q848" t="str"><v>Social</v></cell><cell r="R848" t="str"><v>Azure</v></cell><cell r="S848" t="str"><v>Apps & Infra</v></cell><cell r="T848" t="str"><v>Developers & ITI's</v></cell><cell r="U848" t="str"><v>AZR</v></cell><cell r="V848" t="str"><v>Retargeting</v></cell><cell r="W848" t="str"><v>NotApplicable</v></cell><cell r="X848" t="str"><v>1200x628</v></cell></row><row r="848"><cell r="Z848" t="str"><v>Not Applicable</v></cell><cell r="AA848"><v>43357</v></cell><cell r="AB848" t="str"><v>CAN_gaPMG_AZR_AZR_Q1_19_Trial-Social</v></cell><cell r="AC848"><v>21337220</v></cell><cell r="AD848"><v>720192</v></cell><cell r="AE848" t="str"><v>Facebook</v></cell><cell r="AF848"><v>3654128</v></cell><cell r="AG848" t="str"><v>Facebook»AZR»1x1»SocialBan»NA»ALL»DYN»RT»D»All»SS»NA»Free Account Retargeting VM - T1 - EN</v></cell><cell r="AH848"><v>223691825</v></cell><cell r="AI848" t="str"><v>AzurePlatform_FreeAcctRetargetingVMFB-750Hrs-ChD_CAN_1200x628_SOC_Plat_EN_Free Account_Standard_NA_SU_T1_1</v></cell><cell r="AJ848"><v>102916338</v></cell></row><row r="849"><cell r="D849" t="str"><v>43357223691822</v></cell><cell r="E849" t="str"><v>433571030587082 - EN</v></cell><cell r="F849" t="str"><v>DCM</v></cell></row><row r="849"><cell r="H849"><v>0</v></cell><cell r="I849" t="str"><v>Azure Direct</v></cell><cell r="J849" t="str"><v>Azure Direct</v></cell><cell r="K849" t="str"><v>September</v></cell><cell r="L849"><v>43358</v></cell><cell r="M849" t="str"><v>Tier 1</v></cell><cell r="N849" t="str"><v>North America</v></cell><cell r="O849" t="str"><v>Canada</v></cell><cell r="P849" t="str"><v>Trial</v></cell><cell r="Q849" t="str"><v>Social</v></cell><cell r="R849" t="str"><v>Azure</v></cell><cell r="S849" t="str"><v>Apps & Infra</v></cell><cell r="T849" t="str"><v>Developers & ITI's</v></cell><cell r="U849" t="str"><v>AZR</v></cell><cell r="V849" t="str"><v>Retargeting</v></cell><cell r="W849" t="str"><v>NotApplicable</v></cell><cell r="X849" t="str"><v>1200x628</v></cell></row><row r="849"><cell r="Z849" t="str"><v>Not Applicable</v></cell><cell r="AA849"><v>43357</v></cell><cell r="AB849" t="str"><v>CAN_gaPMG_AZR_AZR_Q1_19_Trial-Social</v></cell><cell r="AC849"><v>21337220</v></cell><cell r="AD849"><v>720192</v></cell><cell r="AE849" t="str"><v>Facebook</v></cell><cell r="AF849"><v>3654128</v></cell><cell r="AG849" t="str"><v>Facebook»AZR»1x1»SocialBan»NA»ALL»DYN»RT»D»All»SS»NA»Free Account Retargeting VM - T2 - EN</v></cell><cell r="AH849"><v>223691822</v></cell><cell r="AI849" t="str"><v>AzurePlatform_FreeAcctRetargetingVMFB-OnDemand-ChE_CAN_1200x628_SOC_Plat_EN_Free Account_Standard_NA_SU_T2_1</v></cell><cell r="AJ849"><v>103058708</v></cell></row><row r="850"><cell r="D850" t="str"><v>43357223691780</v></cell><cell r="E850" t="str"><v>433571030587262 - FR</v></cell><cell r="F850" t="str"><v>DCM</v></cell></row><row r="850"><cell r="H850"><v>0</v></cell><cell r="I850" t="str"><v>Azure Direct</v></cell><cell r="J850" t="str"><v>Azure Direct</v></cell><cell r="K850" t="str"><v>September</v></cell><cell r="L850"><v>43358</v></cell><cell r="M850" t="str"><v>Tier 1</v></cell><cell r="N850" t="str"><v>North America</v></cell><cell r="O850" t="str"><v>Canada</v></cell><cell r="P850" t="str"><v>Trial</v></cell><cell r="Q850" t="str"><v>Social</v></cell><cell r="R850" t="str"><v>Azure</v></cell><cell r="S850" t="str"><v>Apps & Infra</v></cell><cell r="T850" t="str"><v>Developers & ITI's</v></cell><cell r="U850" t="str"><v>AZR</v></cell><cell r="V850" t="str"><v>Retargeting</v></cell><cell r="W850" t="str"><v>NotApplicable</v></cell><cell r="X850" t="str"><v>1200x628</v></cell></row><row r="850"><cell r="Z850" t="str"><v>Not Applicable</v></cell><cell r="AA850"><v>43357</v></cell><cell r="AB850" t="str"><v>CAN_gaPMG_AZR_AZR_Q1_19_Trial-Social</v></cell><cell r="AC850"><v>21337220</v></cell><cell r="AD850"><v>720192</v></cell><cell r="AE850" t="str"><v>Facebook</v></cell><cell r="AF850"><v>3654128</v></cell><cell r="AG850" t="str"><v>Facebook»AZR»1x1»SocialBan»NA»ALL»DYN»RT»D»All»SS»NA»Free Account Retargeting VM - T2 - FR</v></cell><cell r="AH850"><v>223691780</v></cell><cell r="AI850" t="str"><v>AzurePlatform_FreeAcctRetargetingVMFB-OnDemand-ChE_CAN_1200x628_SOC_Plat_FR_Free Account_Standard_NA_SU_T2_1</v></cell><cell r="AJ850"><v>103058726</v></cell></row><row r="851"><cell r="D851" t="str"><v>43357223691795</v></cell><cell r="E851" t="str"><v>433571029006884 - FR</v></cell><cell r="F851" t="str"><v>DCM</v></cell></row><row r="851"><cell r="H851"><v>0</v></cell><cell r="I851" t="str"><v>Azure Direct</v></cell><cell r="J851" t="str"><v>Azure Direct</v></cell><cell r="K851" t="str"><v>September</v></cell><cell r="L851"><v>43358</v></cell><cell r="M851" t="str"><v>Tier 1</v></cell><cell r="N851" t="str"><v>North America</v></cell><cell r="O851" t="str"><v>Canada</v></cell><cell r="P851" t="str"><v>Trial</v></cell><cell r="Q851" t="str"><v>Social</v></cell><cell r="R851" t="str"><v>Azure</v></cell><cell r="S851" t="str"><v>Apps & Infra</v></cell><cell r="T851" t="str"><v>Developers & ITI's</v></cell><cell r="U851" t="str"><v>AZR</v></cell><cell r="V851" t="str"><v>Audience Targeting</v></cell><cell r="W851" t="str"><v>Engagement Video</v></cell><cell r="X851" t="str"><v>14s</v></cell><cell r="Y851" t="str"><v>Try Azure Free</v></cell><cell r="Z851" t="str"><v>Standard videos</v></cell><cell r="AA851"><v>43357</v></cell><cell r="AB851" t="str"><v>CAN_gaPMG_AZR_AZR_Q1_19_Trial-Social</v></cell><cell r="AC851"><v>21337220</v></cell><cell r="AD851"><v>720192</v></cell><cell r="AE851" t="str"><v>Facebook</v></cell><cell r="AF851"><v>3654128</v></cell><cell r="AG851" t="str"><v>Facebook»AZR»1x1»NA»EGV»ALL»DYN»AUT»D»All»SS»NA»Free Acc CTC - T4 - FR</v></cell><cell r="AH851"><v>223691795</v></cell><cell r="AI851" t="str"><v>AzurePlatform_FBCTCBenefit2inMotion_CAN_14s_ISV_PLAT_FR_Trial_Standard_STAN_TN_T4_1</v></cell><cell r="AJ851"><v>102900688</v></cell></row><row r="852"><cell r="D852" t="str"><v>43357223691792</v></cell><cell r="E852" t="str"><v>433571029018942 - FR</v></cell><cell r="F852" t="str"><v>DCM</v></cell></row><row r="852"><cell r="H852"><v>1</v></cell><cell r="I852" t="str"><v>Azure Direct</v></cell><cell r="J852" t="str"><v>Azure Direct</v></cell><cell r="K852" t="str"><v>September</v></cell><cell r="L852"><v>43358</v></cell><cell r="M852" t="str"><v>Tier 1</v></cell><cell r="N852" t="str"><v>North America</v></cell><cell r="O852" t="str"><v>Canada</v></cell><cell r="P852" t="str"><v>Trial</v></cell><cell r="Q852" t="str"><v>Social</v></cell><cell r="R852" t="str"><v>Azure</v></cell><cell r="S852" t="str"><v>Apps & Infra</v></cell><cell r="T852" t="str"><v>Developers & ITI's</v></cell><cell r="U852" t="str"><v>AZR</v></cell><cell r="V852" t="str"><v>Retargeting</v></cell><cell r="W852" t="str"><v>NotApplicable</v></cell><cell r="X852" t="str"><v>1200x628</v></cell></row><row r="852"><cell r="Z852" t="str"><v>Not Applicable</v></cell><cell r="AA852"><v>43357</v></cell><cell r="AB852" t="str"><v>CAN_gaPMG_AZR_AZR_Q1_19_Trial-Social</v></cell><cell r="AC852"><v>21337220</v></cell><cell r="AD852"><v>720192</v></cell><cell r="AE852" t="str"><v>Facebook</v></cell><cell r="AF852"><v>3654128</v></cell><cell r="AG852" t="str"><v>Facebook»AZR»1x1»SocialBan»NA»ALL»DYN»RT»D»All»SS»NA»Free Account Retargeting Generic - T2 - FR</v></cell><cell r="AH852"><v>223691792</v></cell><cell r="AI852" t="str"><v>AzurePlatform_FreeAcctRetargetingFB-GlobalAlt-ChB_CAN_1200x628_SOC_Plat_FR_Free Account_Standard_NA_SU_T2_1</v></cell><cell r="AJ852"><v>102901894</v></cell></row><row r="853"><cell r="D853" t="str"><v>43357227524946</v></cell><cell r="E853" t="str"><v>43357105216992w - EN</v></cell><cell r="F853" t="str"><v>DCM</v></cell></row><row r="853"><cell r="H853"><v>0</v></cell><cell r="I853" t="str"><v>Azure Direct</v></cell><cell r="J853" t="str"><v>Azure Direct</v></cell><cell r="K853" t="str"><v>September</v></cell><cell r="L853"><v>43358</v></cell><cell r="M853" t="str"><v>Tier 1</v></cell><cell r="N853" t="str"><v>North America</v></cell><cell r="O853" t="str"><v>Canada</v></cell><cell r="P853" t="str"><v>Trial</v></cell><cell r="Q853" t="str"><v>Social</v></cell><cell r="R853" t="str"><v>Azure</v></cell><cell r="S853" t="str"><v>Apps & Infra</v></cell><cell r="T853" t="str"><v>Developers & ITI's</v></cell><cell r="U853" t="str"><v>AZR</v></cell><cell r="V853" t="str"><v>Audience Targeting</v></cell><cell r="W853" t="str"><v>Canvas Ad</v></cell><cell r="X853" t="str"><v>1080x1080</v></cell><cell r="Y853" t="str"><v>Free Trial</v></cell><cell r="Z853" t="str"><v>Not Applicable</v></cell><cell r="AA853"><v>43357</v></cell><cell r="AB853" t="str"><v>CAN_gaPMG_AZR_AZR_Q1_19_Trial-Social</v></cell><cell r="AC853"><v>21337220</v></cell><cell r="AD853"><v>720192</v></cell><cell r="AE853" t="str"><v>Facebook</v></cell><cell r="AF853"><v>3654128</v></cell><cell r="AG853" t="str"><v>Facebook»AZR»1x1»NA»NA»ALL»DYN»AUT»D»All»SS»NA»Free Account Create to Convert FB - Canvas - Brand - Buy Now - EN</v></cell><cell r="AH853"><v>227524946</v></cell><cell r="AI853" t="str"><v>AzurePlatform_FBCTCBrandinMotion_CAN_1080x1080_SOC_12s_ISV_English_Standard_NA_FTR_T2_1</v></cell><cell r="AJ853"><v>105216992</v></cell></row><row r="854"><cell r="D854" t="str"><v>43357224009494</v></cell><cell r="E854" t="str"><v>43357103236186-11000</v></cell><cell r="F854" t="str"><v>DCM</v></cell></row><row r="854"><cell r="H854"><v>0</v></cell><cell r="I854" t="str"><v>Azure Direct</v></cell><cell r="J854" t="str"><v>Azure Direct</v></cell><cell r="K854" t="str"><v>September</v></cell><cell r="L854"><v>43358</v></cell><cell r="M854" t="str"><v>Tier 1</v></cell><cell r="N854" t="str"><v>EMEA</v></cell><cell r="O854" t="str"><v>Germany</v></cell><cell r="P854" t="str"><v>Trial</v></cell><cell r="Q854" t="str"><v>Social</v></cell><cell r="R854" t="str"><v>Azure</v></cell><cell r="S854" t="str"><v>Apps & Infra</v></cell><cell r="T854" t="str"><v>Developers & ITI's</v></cell><cell r="U854" t="str"><v>DEV-ITP-AZR-FB|CanvasAds|Interesttargeting</v></cell><cell r="V854" t="str"><v>Audience Targeting</v></cell><cell r="W854" t="str"><v>Canvas Ad</v></cell><cell r="X854" t="str"><v>10s</v></cell><cell r="Y854" t="str"><v>Try Azure Free</v></cell><cell r="Z854" t="str"><v>Standard videos</v></cell><cell r="AA854"><v>43357</v></cell><cell r="AB854" t="str"><v>DEU_gaPMG_AZR_AZR_Q1_19_Trial-Social- 39684</v></cell><cell r="AC854"><v>21359477</v></cell><cell r="AD854"><v>720194</v></cell><cell r="AE854" t="str"><v>Facebook</v></cell><cell r="AF854"><v>3654128</v></cell><cell r="AG854" t="str"><v>Facebook»DEV-ITP-AZR-FB|CanvasAds|Interesttargeting»1x1»TextLink»CAN»DT»CPM»AUT»W»NA»SS»NA»39684020-11000</v></cell><cell r="AH854"><v>224009494</v></cell><cell r="AI854" t="str"><v>AzurePlatform_FBCTCBasicMotion-StartFreeCT_DEU_10s_ISV_PLAT_DE_Trial_Standard_STAN_TN_T1_1</v></cell><cell r="AJ854"><v>103236186</v></cell></row><row r="855"><cell r="D855" t="str"><v>43357224009494</v></cell><cell r="E855" t="str"><v>43357103237290-11000</v></cell><cell r="F855" t="str"><v>DCM</v></cell></row><row r="855"><cell r="H855"><v>0</v></cell><cell r="I855" t="str"><v>Azure Direct</v></cell><cell r="J855" t="str"><v>Azure Direct</v></cell><cell r="K855" t="str"><v>September</v></cell><cell r="L855"><v>43358</v></cell><cell r="M855" t="str"><v>Tier 1</v></cell><cell r="N855" t="str"><v>EMEA</v></cell><cell r="O855" t="str"><v>Germany</v></cell><cell r="P855" t="str"><v>Trial</v></cell><cell r="Q855" t="str"><v>Social</v></cell><cell r="R855" t="str"><v>Azure</v></cell><cell r="S855" t="str"><v>Apps & Infra</v></cell><cell r="T855" t="str"><v>Developers & ITI's</v></cell><cell r="U855" t="str"><v>DEV-ITP-AZR-FB|CanvasAds|Interesttargeting</v></cell><cell r="V855" t="str"><v>Audience Targeting</v></cell><cell r="W855" t="str"><v>Canvas Ad</v></cell><cell r="X855" t="str"><v>14s</v></cell><cell r="Y855" t="str"><v>Try Azure Free</v></cell><cell r="Z855" t="str"><v>Standard videos</v></cell><cell r="AA855"><v>43357</v></cell><cell r="AB855" t="str"><v>DEU_gaPMG_AZR_AZR_Q1_19_Trial-Social- 39684</v></cell><cell r="AC855"><v>21359477</v></cell><cell r="AD855"><v>720194</v></cell><cell r="AE855" t="str"><v>Facebook</v></cell><cell r="AF855"><v>3654128</v></cell><cell r="AG855" t="str"><v>Facebook»DEV-ITP-AZR-FB|CanvasAds|Interesttargeting»1x1»TextLink»CAN»DT»CPM»AUT»W»NA»SS»NA»39684020-11000</v></cell><cell r="AH855"><v>224009494</v></cell><cell r="AI855" t="str"><v>AzurePlatform_FBCTCBenefit2inMotion-StartFreeCT_DEU_14s_ISV_PLAT_DE_Trial_Standard_STAN_TN_T4_1</v></cell><cell r="AJ855"><v>103237290</v></cell></row><row r="856"><cell r="D856" t="str"><v>43357224009494</v></cell><cell r="E856" t="str"><v>43357103237293-11000</v></cell><cell r="F856" t="str"><v>DCM</v></cell></row><row r="856"><cell r="H856"><v>0</v></cell><cell r="I856" t="str"><v>Azure Direct</v></cell><cell r="J856" t="str"><v>Azure Direct</v></cell><cell r="K856" t="str"><v>September</v></cell><cell r="L856"><v>43358</v></cell><cell r="M856" t="str"><v>Tier 1</v></cell><cell r="N856" t="str"><v>EMEA</v></cell><cell r="O856" t="str"><v>Germany</v></cell><cell r="P856" t="str"><v>Trial</v></cell><cell r="Q856" t="str"><v>Social</v></cell><cell r="R856" t="str"><v>Azure</v></cell><cell r="S856" t="str"><v>Apps & Infra</v></cell><cell r="T856" t="str"><v>Developers & ITI's</v></cell><cell r="U856" t="str"><v>DEV-ITP-AZR-FB|CanvasAds|Interesttargeting</v></cell><cell r="V856" t="str"><v>Audience Targeting</v></cell><cell r="W856" t="str"><v>Canvas Ad</v></cell><cell r="X856" t="str"><v>12s</v></cell><cell r="Y856" t="str"><v>Try Azure Free</v></cell><cell r="Z856" t="str"><v>Standard videos</v></cell><cell r="AA856"><v>43357</v></cell><cell r="AB856" t="str"><v>DEU_gaPMG_AZR_AZR_Q1_19_Trial-Social- 39684</v></cell><cell r="AC856"><v>21359477</v></cell><cell r="AD856"><v>720194</v></cell><cell r="AE856" t="str"><v>Facebook</v></cell><cell r="AF856"><v>3654128</v></cell><cell r="AG856" t="str"><v>Facebook»DEV-ITP-AZR-FB|CanvasAds|Interesttargeting»1x1»TextLink»CAN»DT»CPM»AUT»W»NA»SS»NA»39684020-11000</v></cell><cell r="AH856"><v>224009494</v></cell><cell r="AI856" t="str"><v>AzurePlatform_FBCTCBrandinMotion-StartFreeCT_DEU_12s_ISV_PLAT_DE_Trial_Standard_STAN_TN_T2_1</v></cell><cell r="AJ856"><v>103237293</v></cell></row><row r="857"><cell r="D857" t="str"><v>43357224009494</v></cell><cell r="E857" t="str"><v>43357103350059-11000</v></cell><cell r="F857" t="str"><v>DCM</v></cell></row><row r="857"><cell r="H857"><v>0</v></cell><cell r="I857" t="str"><v>Azure Direct</v></cell><cell r="J857" t="str"><v>Azure Direct</v></cell><cell r="K857" t="str"><v>September</v></cell><cell r="L857"><v>43358</v></cell><cell r="M857" t="str"><v>Tier 1</v></cell><cell r="N857" t="str"><v>EMEA</v></cell><cell r="O857" t="str"><v>Germany</v></cell><cell r="P857" t="str"><v>Trial</v></cell><cell r="Q857" t="str"><v>Social</v></cell><cell r="R857" t="str"><v>Azure</v></cell><cell r="S857" t="str"><v>Apps & Infra</v></cell><cell r="T857" t="str"><v>Developers & ITI's</v></cell><cell r="U857" t="str"><v>DEV-ITP-AZR-FB|CanvasAds|Interesttargeting</v></cell><cell r="V857" t="str"><v>Audience Targeting</v></cell><cell r="W857" t="str"><v>Canvas Ad</v></cell><cell r="X857" t="str"><v>12s</v></cell><cell r="Y857" t="str"><v>Try Azure Free</v></cell><cell r="Z857" t="str"><v>Standard videos</v></cell><cell r="AA857"><v>43357</v></cell><cell r="AB857" t="str"><v>DEU_gaPMG_AZR_AZR_Q1_19_Trial-Social- 39684</v></cell><cell r="AC857"><v>21359477</v></cell><cell r="AD857"><v>720194</v></cell><cell r="AE857" t="str"><v>Facebook</v></cell><cell r="AF857"><v>3654128</v></cell><cell r="AG857" t="str"><v>Facebook»DEV-ITP-AZR-FB|CanvasAds|Interesttargeting»1x1»TextLink»CAN»DT»CPM»AUT»W»NA»SS»NA»39684020-11000</v></cell><cell r="AH857"><v>224009494</v></cell><cell r="AI857" t="str"><v>AzurePlatform_FBCTCBrandinMotion-BuyNow_DEU_12s_ISV_PLAT_DE_Trial_Standard_STAN_TN_T2_1</v></cell><cell r="AJ857"><v>103350059</v></cell></row><row r="858"><cell r="D858" t="str"><v>43357224010415</v></cell><cell r="E858" t="str"><v>43357103040320-11000</v></cell><cell r="F858" t="str"><v>DCM</v></cell></row><row r="858"><cell r="H858"><v>1</v></cell><cell r="I858" t="str"><v>Azure Direct</v></cell><cell r="J858" t="str"><v>Azure Direct</v></cell><cell r="K858" t="str"><v>September</v></cell><cell r="L858"><v>43358</v></cell><cell r="M858" t="str"><v>Tier 1</v></cell><cell r="N858" t="str"><v>EMEA</v></cell><cell r="O858" t="str"><v>Germany</v></cell><cell r="P858" t="str"><v>Trial</v></cell><cell r="Q858" t="str"><v>Social</v></cell><cell r="R858" t="str"><v>Azure</v></cell><cell r="S858" t="str"><v>Apps & Infra</v></cell><cell r="T858" t="str"><v>Developers & ITI's</v></cell><cell r="U858" t="str"><v>DEV-ITP-AZR-FB|LinkAd|CustomerAudienceRetargeting</v></cell><cell r="V858" t="str"><v>Retargeting</v></cell><cell r="W858" t="str"><v>Link Ad</v></cell><cell r="X858" t="str"><v>1200x628</v></cell></row><row r="858"><cell r="Z858" t="str"><v>Not Applicable</v></cell><cell r="AA858"><v>43357</v></cell><cell r="AB858" t="str"><v>DEU_gaPMG_AZR_AZR_Q1_19_Trial-Social- 39684</v></cell><cell r="AC858"><v>21359477</v></cell><cell r="AD858"><v>720194</v></cell><cell r="AE858" t="str"><v>Facebook</v></cell><cell r="AF858"><v>3654128</v></cell><cell r="AG858" t="str"><v>Facebook»DEV-ITP-AZR-FB|LinkAd|CustomerAudienceRetargeting»1x1»TextLink»LIA»DT»CPM»RT»W»NA»SS»NA»39684019-11000</v></cell><cell r="AH858"><v>224010415</v></cell><cell r="AI858" t="str"><v>AzurePlatform_FreeAcctRetargetingFB-GlobalAlt-ChB_DEU_1200x628_SOC_Plat_DE_Free Account_Standard_NA_SNU_T2_1</v></cell><cell r="AJ858"><v>103040320</v></cell></row><row r="859"><cell r="D859" t="str"><v>43357224010415</v></cell><cell r="E859" t="str"><v>43357103043329-11000</v></cell><cell r="F859" t="str"><v>DCM</v></cell></row><row r="859"><cell r="H859"><v>0</v></cell><cell r="I859" t="str"><v>Azure Direct</v></cell><cell r="J859" t="str"><v>Azure Direct</v></cell><cell r="K859" t="str"><v>September</v></cell><cell r="L859"><v>43358</v></cell><cell r="M859" t="str"><v>Tier 1</v></cell><cell r="N859" t="str"><v>EMEA</v></cell><cell r="O859" t="str"><v>Germany</v></cell><cell r="P859" t="str"><v>Trial</v></cell><cell r="Q859" t="str"><v>Social</v></cell><cell r="R859" t="str"><v>Azure</v></cell><cell r="S859" t="str"><v>Apps & Infra</v></cell><cell r="T859" t="str"><v>Developers & ITI's</v></cell><cell r="U859" t="str"><v>DEV-ITP-AZR-FB|LinkAd|CustomerAudienceRetargeting</v></cell><cell r="V859" t="str"><v>Retargeting</v></cell><cell r="W859" t="str"><v>Link Ad</v></cell><cell r="X859" t="str"><v>1200x628</v></cell></row><row r="859"><cell r="Z859" t="str"><v>Not Applicable</v></cell><cell r="AA859"><v>43357</v></cell><cell r="AB859" t="str"><v>DEU_gaPMG_AZR_AZR_Q1_19_Trial-Social- 39684</v></cell><cell r="AC859"><v>21359477</v></cell><cell r="AD859"><v>720194</v></cell><cell r="AE859" t="str"><v>Facebook</v></cell><cell r="AF859"><v>3654128</v></cell><cell r="AG859" t="str"><v>Facebook»DEV-ITP-AZR-FB|LinkAd|CustomerAudienceRetargeting»1x1»TextLink»LIA»DT»CPM»RT»W»NA»SS»NA»39684019-11000</v></cell><cell r="AH859"><v>224010415</v></cell><cell r="AI859" t="str"><v>AzurePlatform_FreeAcctRetargetingOSSFB-Logos-ChG_DEU_1200x628_SOC_Plat_DE_Free Account_Standard_NA_SNU_T2_1</v></cell><cell r="AJ859"><v>103043329</v></cell></row><row r="860"><cell r="D860" t="str"><v>43357224010415</v></cell><cell r="E860" t="str"><v>43357103055394-11000</v></cell><cell r="F860" t="str"><v>DCM</v></cell></row><row r="860"><cell r="H860"><v>2</v></cell><cell r="I860" t="str"><v>Azure Direct</v></cell><cell r="J860" t="str"><v>Azure Direct</v></cell><cell r="K860" t="str"><v>September</v></cell><cell r="L860"><v>43358</v></cell><cell r="M860" t="str"><v>Tier 1</v></cell><cell r="N860" t="str"><v>EMEA</v></cell><cell r="O860" t="str"><v>Germany</v></cell><cell r="P860" t="str"><v>Trial</v></cell><cell r="Q860" t="str"><v>Social</v></cell><cell r="R860" t="str"><v>Azure</v></cell><cell r="S860" t="str"><v>Apps & Infra</v></cell><cell r="T860" t="str"><v>Developers & ITI's</v></cell><cell r="U860" t="str"><v>DEV-ITP-AZR-FB|LinkAd|CustomerAudienceRetargeting</v></cell><cell r="V860" t="str"><v>Retargeting</v></cell><cell r="W860" t="str"><v>Link Ad</v></cell><cell r="X860" t="str"><v>1200x628</v></cell></row><row r="860"><cell r="Z860" t="str"><v>Not Applicable</v></cell><cell r="AA860"><v>43357</v></cell><cell r="AB860" t="str"><v>DEU_gaPMG_AZR_AZR_Q1_19_Trial-Social- 39684</v></cell><cell r="AC860"><v>21359477</v></cell><cell r="AD860"><v>720194</v></cell><cell r="AE860" t="str"><v>Facebook</v></cell><cell r="AF860"><v>3654128</v></cell><cell r="AG860" t="str"><v>Facebook»DEV-ITP-AZR-FB|LinkAd|CustomerAudienceRetargeting»1x1»TextLink»LIA»DT»CPM»RT»W»NA»SS»NA»39684019-11000</v></cell><cell r="AH860"><v>224010415</v></cell><cell r="AI860" t="str"><v>AzurePlatform_FreeAcctRetargetingOSSFB-Text-ChF_DEU_1200x628_SOC_Plat_DE_Free Account_Standard_NA_SNU_T1_1</v></cell><cell r="AJ860"><v>103055394</v></cell></row><row r="861"><cell r="D861" t="str"><v>43357224010415</v></cell><cell r="E861" t="str"><v>43357103043341-11000</v></cell><cell r="F861" t="str"><v>DCM</v></cell></row><row r="861"><cell r="H861"><v>7</v></cell><cell r="I861" t="str"><v>Azure Direct</v></cell><cell r="J861" t="str"><v>Azure Direct</v></cell><cell r="K861" t="str"><v>September</v></cell><cell r="L861"><v>43358</v></cell><cell r="M861" t="str"><v>Tier 1</v></cell><cell r="N861" t="str"><v>EMEA</v></cell><cell r="O861" t="str"><v>Germany</v></cell><cell r="P861" t="str"><v>Trial</v></cell><cell r="Q861" t="str"><v>Social</v></cell><cell r="R861" t="str"><v>Azure</v></cell><cell r="S861" t="str"><v>Apps & Infra</v></cell><cell r="T861" t="str"><v>Developers & ITI's</v></cell><cell r="U861" t="str"><v>DEV-ITP-AZR-FB|LinkAd|CustomerAudienceRetargeting</v></cell><cell r="V861" t="str"><v>Retargeting</v></cell><cell r="W861" t="str"><v>Link Ad</v></cell><cell r="X861" t="str"><v>1200x628</v></cell></row><row r="861"><cell r="Z861" t="str"><v>Not Applicable</v></cell><cell r="AA861"><v>43357</v></cell><cell r="AB861" t="str"><v>DEU_gaPMG_AZR_AZR_Q1_19_Trial-Social- 39684</v></cell><cell r="AC861"><v>21359477</v></cell><cell r="AD861"><v>720194</v></cell><cell r="AE861" t="str"><v>Facebook</v></cell><cell r="AF861"><v>3654128</v></cell><cell r="AG861" t="str"><v>Facebook»DEV-ITP-AZR-FB|LinkAd|CustomerAudienceRetargeting»1x1»TextLink»LIA»DT»CPM»RT»W»NA»SS»NA»39684019-11000</v></cell><cell r="AH861"><v>224010415</v></cell><cell r="AI861" t="str"><v>AzurePlatform_FreeAcctRetargetingVMFB-750Hrs-ChD_DEU_1200x628_SOC_Plat_DE_Free Account_Standard_NA_SNU_T1_1</v></cell><cell r="AJ861"><v>103043341</v></cell></row><row r="862"><cell r="D862" t="str"><v>43357224010415</v></cell><cell r="E862" t="str"><v>43357103043338-11000</v></cell><cell r="F862" t="str"><v>DCM</v></cell></row><row r="862"><cell r="H862"><v>1</v></cell><cell r="I862" t="str"><v>Azure Direct</v></cell><cell r="J862" t="str"><v>Azure Direct</v></cell><cell r="K862" t="str"><v>September</v></cell><cell r="L862"><v>43358</v></cell><cell r="M862" t="str"><v>Tier 1</v></cell><cell r="N862" t="str"><v>EMEA</v></cell><cell r="O862" t="str"><v>Germany</v></cell><cell r="P862" t="str"><v>Trial</v></cell><cell r="Q862" t="str"><v>Social</v></cell><cell r="R862" t="str"><v>Azure</v></cell><cell r="S862" t="str"><v>Apps & Infra</v></cell><cell r="T862" t="str"><v>Developers & ITI's</v></cell><cell r="U862" t="str"><v>DEV-ITP-AZR-FB|LinkAd|CustomerAudienceRetargeting</v></cell><cell r="V862" t="str"><v>Retargeting</v></cell><cell r="W862" t="str"><v>Link Ad</v></cell><cell r="X862" t="str"><v>1200x628</v></cell></row><row r="862"><cell r="Z862" t="str"><v>Not Applicable</v></cell><cell r="AA862"><v>43357</v></cell><cell r="AB862" t="str"><v>DEU_gaPMG_AZR_AZR_Q1_19_Trial-Social- 39684</v></cell><cell r="AC862"><v>21359477</v></cell><cell r="AD862"><v>720194</v></cell><cell r="AE862" t="str"><v>Facebook</v></cell><cell r="AF862"><v>3654128</v></cell><cell r="AG862" t="str"><v>Facebook»DEV-ITP-AZR-FB|LinkAd|CustomerAudienceRetargeting»1x1»TextLink»LIA»DT»CPM»RT»W»NA»SS»NA»39684019-11000</v></cell><cell r="AH862"><v>224010415</v></cell><cell r="AI862" t="str"><v>AzurePlatform_FreeAcctRetargetingVMFB-OnDemand-ChE_DEU_1200x628_SOC_Plat_DE_Free Account_Standard_NA_SNU_T2_1</v></cell><cell r="AJ862"><v>103043338</v></cell></row><row r="863"><cell r="D863" t="str"><v>43357224010415</v></cell><cell r="E863" t="str"><v>43357103048548-11000</v></cell><cell r="F863" t="str"><v>DCM</v></cell></row><row r="863"><cell r="H863"><v>1</v></cell><cell r="I863" t="str"><v>Azure Direct</v></cell><cell r="J863" t="str"><v>Azure Direct</v></cell><cell r="K863" t="str"><v>September</v></cell><cell r="L863"><v>43358</v></cell><cell r="M863" t="str"><v>Tier 1</v></cell><cell r="N863" t="str"><v>EMEA</v></cell><cell r="O863" t="str"><v>Germany</v></cell><cell r="P863" t="str"><v>Trial</v></cell><cell r="Q863" t="str"><v>Social</v></cell><cell r="R863" t="str"><v>Azure</v></cell><cell r="S863" t="str"><v>Apps & Infra</v></cell><cell r="T863" t="str"><v>Developers & ITI's</v></cell><cell r="U863" t="str"><v>DEV-ITP-AZR-FB|LinkAd|CustomerAudienceRetargeting</v></cell><cell r="V863" t="str"><v>Retargeting</v></cell><cell r="W863" t="str"><v>Link Ad</v></cell><cell r="X863" t="str"><v>1200x628</v></cell></row><row r="863"><cell r="Z863" t="str"><v>Animated Banner</v></cell><cell r="AA863"><v>43357</v></cell><cell r="AB863" t="str"><v>DEU_gaPMG_AZR_AZR_Q1_19_Trial-Social- 39684</v></cell><cell r="AC863"><v>21359477</v></cell><cell r="AD863"><v>720194</v></cell><cell r="AE863" t="str"><v>Facebook</v></cell><cell r="AF863"><v>3654128</v></cell><cell r="AG863" t="str"><v>Facebook»DEV-ITP-AZR-FB|LinkAd|CustomerAudienceRetargeting»1x1»TextLink»LIA»DT»CPM»RT»W»NA»SS»NA»39684019-11000</v></cell><cell r="AH863"><v>224010415</v></cell><cell r="AI863" t="str"><v>AzurePlatform_FreeAcctRetargetingFB-Animated-ChC_DEU_1200x628_SOC_Plat_DE_Free Account_Standard_ANI_SNU_T3_1</v></cell><cell r="AJ863"><v>103048548</v></cell></row><row r="864"><cell r="D864" t="str"><v>43357224010415</v></cell><cell r="E864" t="str"><v>43357105961622-11000</v></cell><cell r="F864" t="str"><v>DCM</v></cell></row><row r="864"><cell r="H864"><v>0</v></cell><cell r="I864" t="str"><v>Azure Direct</v></cell><cell r="J864" t="str"><v>Azure Direct</v></cell><cell r="K864" t="str"><v>September</v></cell><cell r="L864"><v>43358</v></cell><cell r="M864" t="str"><v>Tier 1</v></cell><cell r="N864" t="str"><v>EMEA</v></cell><cell r="O864" t="str"><v>Germany</v></cell><cell r="P864" t="str"><v>Trial</v></cell><cell r="Q864" t="str"><v>Social</v></cell><cell r="R864" t="str"><v>Azure</v></cell><cell r="S864" t="str"><v>Apps & Infra</v></cell><cell r="T864" t="str"><v>Developers & ITI's</v></cell><cell r="U864" t="str"><v>DEV-ITP-AZR-FB|LinkAd|CustomerAudienceRetargeting</v></cell><cell r="V864" t="str"><v>Retargeting</v></cell><cell r="W864" t="str"><v>Link Ad</v></cell><cell r="X864" t="str"><v>1200x1200</v></cell><cell r="Y864" t="str"><v>Learn More</v></cell><cell r="Z864" t="str"><v>Animated Banner</v></cell><cell r="AA864"><v>43357</v></cell><cell r="AB864" t="str"><v>DEU_gaPMG_AZR_AZR_Q1_19_Trial-Social- 39684</v></cell><cell r="AC864"><v>21359477</v></cell><cell r="AD864"><v>720194</v></cell><cell r="AE864" t="str"><v>Facebook</v></cell><cell r="AF864"><v>3654128</v></cell><cell r="AG864" t="str"><v>Facebook»DEV-ITP-AZR-FB|LinkAd|CustomerAudienceRetargeting»1x1»TextLink»LIA»DT»CPM»RT»W»NA»SS»NA»39684019-11000</v></cell><cell r="AH864"><v>224010415</v></cell><cell r="AI864" t="str"><v>AZR_FreeAcctITProFB-AnimatedMigration-Ch3_DEU_1200x1200_SOC_Direct_DE_Trial_Standard_ANI_LEA_T3_1</v></cell><cell r="AJ864"><v>105961622</v></cell></row><row r="865"><cell r="D865" t="str"><v>43357226360025</v></cell><cell r="E865" t="str"><v>43357104537132Trials</v></cell><cell r="F865" t="str"><v>DCM</v></cell></row><row r="865"><cell r="H865"><v>0</v></cell><cell r="I865" t="str"><v>Azure Direct</v></cell><cell r="J865" t="str"><v>Azure Direct</v></cell><cell r="K865" t="str"><v>September</v></cell><cell r="L865"><v>43358</v></cell><cell r="M865" t="str"><v>Tier 1</v></cell><cell r="N865" t="str"><v>EMEA</v></cell><cell r="O865" t="str"><v>France</v></cell><cell r="P865" t="str"><v>Trial</v></cell><cell r="Q865" t="str"><v>Social</v></cell><cell r="R865" t="str"><v>Azure</v></cell><cell r="S865" t="str"><v>Apps & Infra</v></cell><cell r="T865" t="str"><v>Developers & ITI's</v></cell><cell r="U865" t="str"><v>Developers-Azure Direct-Sponsored Post_Trial-Video Ad-Free Account Developer - Open Source</v></cell><cell r="V865" t="str"><v>Lookalike Targeting</v></cell><cell r="W865" t="str"><v>Video Ad</v></cell><cell r="X865" t="str"><v>1200x1200</v></cell><cell r="Y865" t="str"><v>Learn More</v></cell><cell r="Z865" t="str"><v>Standard videos</v></cell><cell r="AA865"><v>43357</v></cell><cell r="AB865" t="str"><v>FRA_gaPMG_AZR_AZR_Q1_19_AzureDirect-Trial-Social</v></cell><cell r="AC865"><v>21356941</v></cell><cell r="AD865"><v>720193</v></cell><cell r="AE865" t="str"><v>Facebook</v></cell><cell r="AF865"><v>3654128</v></cell><cell r="AG865" t="str"><v>Facebook»Developers-Azure Direct-Sponsored Post_Trial-Video Ad-Free Account Developer - Open Source»1x1»30s»SOC»ALL»CPC»LAL»D»UNK»SS»NA»Trials</v></cell><cell r="AH865"><v>226360025</v></cell><cell r="AI865" t="str"><v>AZR_FreeAcctDeveloperFB-AnimatedOpenSource-Ch2_FRA_1200x1200_VIA_AZRDirect_French_NA_Facebook_STAN_LEA_T2_1</v></cell><cell r="AJ865"><v>104537132</v></cell></row><row r="866"><cell r="D866" t="str"><v>43357224416915</v></cell><cell r="E866" t="str"><v>43357103376981Trials</v></cell><cell r="F866" t="str"><v>DCM</v></cell></row><row r="866"><cell r="H866"><v>0</v></cell><cell r="I866" t="str"><v>Azure Direct</v></cell><cell r="J866" t="str"><v>Azure Direct</v></cell><cell r="K866" t="str"><v>September</v></cell><cell r="L866"><v>43358</v></cell><cell r="M866" t="str"><v>Tier 1</v></cell><cell r="N866" t="str"><v>EMEA</v></cell><cell r="O866" t="str"><v>France</v></cell><cell r="P866" t="str"><v>Trial</v></cell><cell r="Q866" t="str"><v>Social</v></cell><cell r="R866" t="str"><v>Azure</v></cell><cell r="S866" t="str"><v>Apps & Infra</v></cell><cell r="T866" t="str"><v>Developers & ITI's</v></cell><cell r="U866" t="str"><v>Developers/ITPros-Azure Direct-Sponsored Post-Video Ad-FBCTCBasicMotion_FRA_10s_RTG Landing Page</v></cell><cell r="V866" t="str"><v>Behavioral Targeting</v></cell><cell r="W866" t="str"><v>Video Ad</v></cell><cell r="X866" t="str"><v>10s</v></cell><cell r="Y866" t="str"><v>Try it Now</v></cell><cell r="Z866" t="str"><v>Standard videos</v></cell><cell r="AA866"><v>43357</v></cell><cell r="AB866" t="str"><v>FRA_gaPMG_AZR_AZR_Q1_19_AzureDirect-Trial-Social</v></cell><cell r="AC866"><v>21356941</v></cell><cell r="AD866"><v>720193</v></cell><cell r="AE866" t="str"><v>Facebook</v></cell><cell r="AF866"><v>3654128</v></cell><cell r="AG866" t="str"><v>Facebook»Developers/ITPros-Azure Direct-Sponsored Post-Video Ad-FBCTCBasicMotion_FRA_10s_RTG Landing Page»1x1»05s»SOC»ALL»CPC»BT»D»UNK»SS»NA»Trials</v></cell><cell r="AH866"><v>224416915</v></cell><cell r="AI866" t="str"><v>AZR_FBCTCBasicMotion_FRA_10s_VIA_AZRDirect_French_NA_Facebook_STAN_TIN_T1_1</v></cell><cell r="AJ866"><v>103376981</v></cell></row><row r="867"><cell r="D867" t="str"><v>43357224560875</v></cell><cell r="E867" t="str"><v>43357103259766Trials</v></cell><cell r="F867" t="str"><v>DCM</v></cell></row><row r="867"><cell r="H867"><v>0</v></cell><cell r="I867" t="str"><v>Azure Direct</v></cell><cell r="J867" t="str"><v>Azure Direct</v></cell><cell r="K867" t="str"><v>September</v></cell><cell r="L867"><v>43358</v></cell><cell r="M867" t="str"><v>Tier 1</v></cell><cell r="N867" t="str"><v>EMEA</v></cell><cell r="O867" t="str"><v>France</v></cell><cell r="P867" t="str"><v>Trial</v></cell><cell r="Q867" t="str"><v>Social</v></cell><cell r="R867" t="str"><v>Azure</v></cell><cell r="S867" t="str"><v>Apps & Infra</v></cell><cell r="T867" t="str"><v>Developers & ITI's</v></cell><cell r="U867" t="str"><v>Developers/ITPros-Azure Direct-Sponsored Post-Video Ad-FBCTCBenefit2inMotion_FRA_14s_RTG Landing Page</v></cell><cell r="V867" t="str"><v>Behavioral Targeting</v></cell><cell r="W867" t="str"><v>Video Ad</v></cell><cell r="X867" t="str"><v>14s</v></cell><cell r="Y867" t="str"><v>Try it Now</v></cell><cell r="Z867" t="str"><v>Standard videos</v></cell><cell r="AA867"><v>43357</v></cell><cell r="AB867" t="str"><v>FRA_gaPMG_AZR_AZR_Q1_19_AzureDirect-Trial-Social</v></cell><cell r="AC867"><v>21356941</v></cell><cell r="AD867"><v>720193</v></cell><cell r="AE867" t="str"><v>Facebook</v></cell><cell r="AF867"><v>3654128</v></cell><cell r="AG867" t="str"><v>Facebook»Developers/ITPros-Azure Direct-Sponsored Post-Video Ad-FBCTCBenefit2inMotion_FRA_14s_RTG Landing Page»1x1»06s»SOC»ALL»CPC»BT»D»UNK»SS»NA»Trials</v></cell><cell r="AH867"><v>224560875</v></cell><cell r="AI867" t="str"><v>AZR_FBCTCBenefit2inMotion_FRA_14s_VIA_AZRDirect_French_NA_Facebook_STAN_TIN_T4_1</v></cell><cell r="AJ867"><v>103259766</v></cell></row><row r="868"><cell r="D868" t="str"><v>43357226360001</v></cell><cell r="E868" t="str"><v>43357104456278Trials</v></cell><cell r="F868" t="str"><v>DCM</v></cell></row><row r="868"><cell r="H868"><v>0</v></cell><cell r="I868" t="str"><v>Azure Direct</v></cell><cell r="J868" t="str"><v>Azure Direct</v></cell><cell r="K868" t="str"><v>September</v></cell><cell r="L868"><v>43358</v></cell><cell r="M868" t="str"><v>Tier 1</v></cell><cell r="N868" t="str"><v>EMEA</v></cell><cell r="O868" t="str"><v>France</v></cell><cell r="P868" t="str"><v>Trial</v></cell><cell r="Q868" t="str"><v>Social</v></cell><cell r="R868" t="str"><v>Azure</v></cell><cell r="S868" t="str"><v>Apps & Infra</v></cell><cell r="T868" t="str"><v>Developers & ITI's</v></cell><cell r="U868" t="str"><v>ITPros-Azure Direct-Sponsored Post_Trial-Video Ad-Free Account IT Pro - Hybrid</v></cell><cell r="V868" t="str"><v>Lookalike Targeting</v></cell><cell r="W868" t="str"><v>Video Ad</v></cell><cell r="X868" t="str"><v>1200x1200</v></cell><cell r="Y868" t="str"><v>Learn More</v></cell><cell r="Z868" t="str"><v>Standard videos</v></cell><cell r="AA868"><v>43357</v></cell><cell r="AB868" t="str"><v>FRA_gaPMG_AZR_AZR_Q1_19_AzureDirect-Trial-Social</v></cell><cell r="AC868"><v>21356941</v></cell><cell r="AD868"><v>720193</v></cell><cell r="AE868" t="str"><v>Facebook</v></cell><cell r="AF868"><v>3654128</v></cell><cell r="AG868" t="str"><v>Facebook»ITPros-Azure Direct-Sponsored Post_Trial-Video Ad-Free Account IT Pro - Hybrid»1x1»30s»SOC»ALL»CPC»LAL»D»UNK»SS»NA»Trials</v></cell><cell r="AH868"><v>226360001</v></cell><cell r="AI868" t="str"><v>AZR_FreeAcctITProFB-AnimatedHybrid-Ch2_FRA_1200x1200_VIA_AZRDirect_French_NA_Facebook_STAN_LEA_T2_1</v></cell><cell r="AJ868"><v>104456278</v></cell></row><row r="869"><cell r="D869" t="str"><v>43357226359938</v></cell><cell r="E869" t="str"><v>43357104456278Trials</v></cell><cell r="F869" t="str"><v>DCM</v></cell></row><row r="869"><cell r="H869"><v>0</v></cell><cell r="I869" t="str"><v>Azure Direct</v></cell><cell r="J869" t="str"><v>Azure Direct</v></cell><cell r="K869" t="str"><v>September</v></cell><cell r="L869"><v>43358</v></cell><cell r="M869" t="str"><v>Tier 1</v></cell><cell r="N869" t="str"><v>EMEA</v></cell><cell r="O869" t="str"><v>France</v></cell><cell r="P869" t="str"><v>Trial</v></cell><cell r="Q869" t="str"><v>Social</v></cell><cell r="R869" t="str"><v>Azure</v></cell><cell r="S869" t="str"><v>Apps & Infra</v></cell><cell r="T869" t="str"><v>Developers & ITI's</v></cell><cell r="U869" t="str"><v>ITPros-Azure Direct-Sponsored Post_Trial_PayGo-Video Ad-Free Account IT Pro - Hybrid</v></cell><cell r="V869" t="str"><v>Lookalike Targeting</v></cell><cell r="W869" t="str"><v>Video Ad</v></cell><cell r="X869" t="str"><v>1200x1200</v></cell><cell r="Y869" t="str"><v>Learn More</v></cell><cell r="Z869" t="str"><v>Standard videos</v></cell><cell r="AA869"><v>43357</v></cell><cell r="AB869" t="str"><v>FRA_gaPMG_AZR_AZR_Q1_19_AzureDirect-Trial-Social</v></cell><cell r="AC869"><v>21356941</v></cell><cell r="AD869"><v>720193</v></cell><cell r="AE869" t="str"><v>Facebook</v></cell><cell r="AF869"><v>3654128</v></cell><cell r="AG869" t="str"><v>Facebook»ITPros-Azure Direct-Sponsored Post_Trial_PayGo-Video Ad-Free Account IT Pro - Hybrid»1x1»30s»SOC»ALL»CPC»LAL»D»UNK»SS»NA»Trials</v></cell><cell r="AH869"><v>226359938</v></cell><cell r="AI869" t="str"><v>AZR_FreeAcctITProFB-AnimatedHybrid-Ch2_FRA_1200x1200_VIA_AZRDirect_French_NA_Facebook_STAN_LEA_T2_1</v></cell><cell r="AJ869"><v>104456278</v></cell></row><row r="870"><cell r="D870" t="str"><v>43357224369893</v></cell><cell r="E870" t="str"><v>43357103256571Trials</v></cell><cell r="F870" t="str"><v>DCM</v></cell></row><row r="870"><cell r="H870"><v>1</v></cell><cell r="I870" t="str"><v>Azure Direct</v></cell><cell r="J870" t="str"><v>Azure Direct</v></cell><cell r="K870" t="str"><v>September</v></cell><cell r="L870"><v>43358</v></cell><cell r="M870" t="str"><v>Tier 1</v></cell><cell r="N870" t="str"><v>EMEA</v></cell><cell r="O870" t="str"><v>France</v></cell><cell r="P870" t="str"><v>Trial</v></cell><cell r="Q870" t="str"><v>Social</v></cell><cell r="R870" t="str"><v>Azure</v></cell><cell r="S870" t="str"><v>Apps & Infra</v></cell><cell r="T870" t="str"><v>Developers & ITI's</v></cell><cell r="U870" t="str"><v>Developers/ITPros-Azure Direct-Sponsored Post-Canvas-FBCTCcanvaspage-BuyNowCTA-Img3_FBCTCBasicMotion_FRA_10sec</v></cell><cell r="V870" t="str"><v>Behavioral Targeting</v></cell><cell r="W870" t="str"><v>Canvas Ad</v></cell><cell r="X870" t="str"><v>1080x162</v></cell><cell r="Y870" t="str"><v>Buy Now</v></cell><cell r="Z870" t="str"><v>Static Banner</v></cell><cell r="AA870"><v>43357</v></cell><cell r="AB870" t="str"><v>FRA_gaPMG_AZR_AZR_Q1_19_AzureDirect-Trial-Social</v></cell><cell r="AC870"><v>21356941</v></cell><cell r="AD870"><v>720193</v></cell><cell r="AE870" t="str"><v>Facebook</v></cell><cell r="AF870"><v>3654128</v></cell><cell r="AG870" t="str"><v>Facebook»Developers/ITPros-Azure Direct-Sponsored Post-Canvas-FBCTCcanvaspage-BuyNowCTA-Img3_FBCTCBasicMotion_FRA_10sec»1x1»Canvas»SOC»ALL»CPC»BT»D»UNK»SS»NA»Trials</v></cell><cell r="AH870"><v>224369893</v></cell><cell r="AI870" t="str"><v>AZR_FBCTCcanvaspage-BuyNowCTA-Img3_FRA_1080x162_SOC_AZRDirect_French_NA_Facebook_SBAN_BN_T3_1</v></cell><cell r="AJ870"><v>103256571</v></cell></row><row r="871"><cell r="D871" t="str"><v>43357224560884</v></cell><cell r="E871" t="str"><v>43357103259958Trials</v></cell><cell r="F871" t="str"><v>DCM</v></cell></row><row r="871"><cell r="H871"><v>0</v></cell><cell r="I871" t="str"><v>Azure Direct</v></cell><cell r="J871" t="str"><v>Azure Direct</v></cell><cell r="K871" t="str"><v>September</v></cell><cell r="L871"><v>43358</v></cell><cell r="M871" t="str"><v>Tier 1</v></cell><cell r="N871" t="str"><v>EMEA</v></cell><cell r="O871" t="str"><v>France</v></cell><cell r="P871" t="str"><v>Trial</v></cell><cell r="Q871" t="str"><v>Social</v></cell><cell r="R871" t="str"><v>Azure</v></cell><cell r="S871" t="str"><v>Apps & Infra</v></cell><cell r="T871" t="str"><v>Developers & ITI's</v></cell><cell r="U871" t="str"><v>Developers/ITPros-Azure Direct-Sponsored Post-Canvas-FBCTCcanvaspage-StartFreeCTA-Img2_FBCTCBasicMotion_FRA_10sec</v></cell><cell r="V871" t="str"><v>Behavioral Targeting</v></cell><cell r="W871" t="str"><v>Canvas Ad</v></cell><cell r="X871" t="str"><v>1080x143</v></cell><cell r="Y871" t="str"><v>Buy Now</v></cell><cell r="Z871" t="str"><v>Static Banner</v></cell><cell r="AA871"><v>43357</v></cell><cell r="AB871" t="str"><v>FRA_gaPMG_AZR_AZR_Q1_19_AzureDirect-Trial-Social</v></cell><cell r="AC871"><v>21356941</v></cell><cell r="AD871"><v>720193</v></cell><cell r="AE871" t="str"><v>Facebook</v></cell><cell r="AF871"><v>3654128</v></cell><cell r="AG871" t="str"><v>Facebook»Developers/ITPros-Azure Direct-Sponsored Post-Canvas-FBCTCcanvaspage-StartFreeCTA-Img2_FBCTCBasicMotion_FRA_10sec»1x1»Canvas»SOC»ALL»CPC»BT»D»UNK»SS»NA»Trials</v></cell><cell r="AH871"><v>224560884</v></cell><cell r="AI871" t="str"><v>AZR_FBCTCcanvaspage-StartFreeCTA-Img2_FRA_1080x143_SOC_AZRDirect_French_NA_Facebook_SBAN_BN_T2_1</v></cell><cell r="AJ871"><v>103259958</v></cell></row><row r="872"><cell r="D872" t="str"><v>43357224560872</v></cell><cell r="E872" t="str"><v>43357103259958Trials</v></cell><cell r="F872" t="str"><v>DCM</v></cell></row><row r="872"><cell r="H872"><v>0</v></cell><cell r="I872" t="str"><v>Azure Direct</v></cell><cell r="J872" t="str"><v>Azure Direct</v></cell><cell r="K872" t="str"><v>September</v></cell><cell r="L872"><v>43358</v></cell><cell r="M872" t="str"><v>Tier 1</v></cell><cell r="N872" t="str"><v>EMEA</v></cell><cell r="O872" t="str"><v>France</v></cell><cell r="P872" t="str"><v>Trial</v></cell><cell r="Q872" t="str"><v>Social</v></cell><cell r="R872" t="str"><v>Azure</v></cell><cell r="S872" t="str"><v>Apps & Infra</v></cell><cell r="T872" t="str"><v>Developers & ITI's</v></cell><cell r="U872" t="str"><v>Developers/ITPros-Azure Direct-Sponsored Post-Canvas-FBCTCcanvaspage-StartFreeCTA-Img2_FBCTCBrandinMotion_FRA_14sec</v></cell><cell r="V872" t="str"><v>Behavioral Targeting</v></cell><cell r="W872" t="str"><v>Canvas Ad</v></cell><cell r="X872" t="str"><v>1080x143</v></cell><cell r="Y872" t="str"><v>Buy Now</v></cell><cell r="Z872" t="str"><v>Static Banner</v></cell><cell r="AA872"><v>43357</v></cell><cell r="AB872" t="str"><v>FRA_gaPMG_AZR_AZR_Q1_19_AzureDirect-Trial-Social</v></cell><cell r="AC872"><v>21356941</v></cell><cell r="AD872"><v>720193</v></cell><cell r="AE872" t="str"><v>Facebook</v></cell><cell r="AF872"><v>3654128</v></cell><cell r="AG872" t="str"><v>Facebook»Developers/ITPros-Azure Direct-Sponsored Post-Canvas-FBCTCcanvaspage-StartFreeCTA-Img2_FBCTCBrandinMotion_FRA_14sec»1x1»Canvas»SOC»ALL»CPC»BT»D»UNK»SS»NA»Trials</v></cell><cell r="AH872"><v>224560872</v></cell><cell r="AI872" t="str"><v>AZR_FBCTCcanvaspage-StartFreeCTA-Img2_FRA_1080x143_SOC_AZRDirect_French_NA_Facebook_SBAN_BN_T2_1</v></cell><cell r="AJ872"><v>103259958</v></cell></row><row r="873"><cell r="D873" t="str"><v>43357226359947</v></cell><cell r="E873" t="str"><v>43357104537813Trials</v></cell><cell r="F873" t="str"><v>DCM</v></cell></row><row r="873"><cell r="H873"><v>0</v></cell><cell r="I873" t="str"><v>Azure Direct</v></cell><cell r="J873" t="str"><v>Azure Direct</v></cell><cell r="K873" t="str"><v>September</v></cell><cell r="L873"><v>43358</v></cell><cell r="M873" t="str"><v>Tier 1</v></cell><cell r="N873" t="str"><v>EMEA</v></cell><cell r="O873" t="str"><v>France</v></cell><cell r="P873" t="str"><v>Trial</v></cell><cell r="Q873" t="str"><v>Social</v></cell><cell r="R873" t="str"><v>Azure</v></cell><cell r="S873" t="str"><v>Apps & Infra</v></cell><cell r="T873" t="str"><v>Developers & ITI's</v></cell><cell r="U873" t="str"><v>Developers-Azure Direct-Sponsored Post_Trial_PayGo-Video Ad-Free Account Developer - AI</v></cell><cell r="V873" t="str"><v>Lookalike Targeting</v></cell><cell r="W873" t="str"><v>Video Ad</v></cell><cell r="X873" t="str"><v>1200x1200</v></cell><cell r="Y873" t="str"><v>Learn More</v></cell><cell r="Z873" t="str"><v>Standard videos</v></cell><cell r="AA873"><v>43357</v></cell><cell r="AB873" t="str"><v>FRA_gaPMG_AZR_AZR_Q1_19_AzureDirect-Trial-Social</v></cell><cell r="AC873"><v>21356941</v></cell><cell r="AD873"><v>720193</v></cell><cell r="AE873" t="str"><v>Facebook</v></cell><cell r="AF873"><v>3654128</v></cell><cell r="AG873" t="str"><v>Facebook»Developers-Azure Direct-Sponsored Post_Trial_PayGo-Video Ad-Free Account Developer - AI»1x1»30s»SOC»ALL»CPC»LAL»D»UNK»SS»NA»Trials</v></cell><cell r="AH873"><v>226359947</v></cell><cell r="AI873" t="str"><v>AZR_FreeAcctDeveloperFB-AnimatedAI-Ch3_FRA_1200x1200_VIA_AZRDirect_French_NA_Facebook_STAN_LEA_T3_1</v></cell><cell r="AJ873"><v>104537813</v></cell></row><row r="874"><cell r="D874" t="str"><v>43357224399962</v></cell><cell r="E874" t="str"><v>43357103235146Motion</v></cell><cell r="F874" t="str"><v>DCM</v></cell></row><row r="874"><cell r="H874"><v>0</v></cell><cell r="I874" t="str"><v>Azure Direct</v></cell><cell r="J874" t="str"><v>Azure Direct</v></cell><cell r="K874" t="str"><v>September</v></cell><cell r="L874"><v>43358</v></cell><cell r="M874" t="str"><v>Tier 1</v></cell><cell r="N874" t="str"><v>EMEA</v></cell><cell r="O874" t="str"><v>United Kingdom</v></cell><cell r="P874" t="str"><v>Trial</v></cell><cell r="Q874" t="str"><v>Social</v></cell><cell r="R874" t="str"><v>Azure</v></cell><cell r="S874" t="str"><v>Apps & Infra</v></cell><cell r="T874" t="str"><v>Developers & ITI's</v></cell><cell r="U874" t="str"><v>Audience & Interest Targeting</v></cell><cell r="V874" t="str"><v>Audience Targeting</v></cell><cell r="W874" t="str"><v>Link Ad</v></cell><cell r="X874" t="str"><v>1080x143</v></cell><cell r="Y874" t="str"><v>Not Applicable </v></cell><cell r="Z874" t="str"><v>Not Applicable</v></cell><cell r="AA874"><v>43357</v></cell><cell r="AB874" t="str"><v>GBR_gaPMG_CE_AZR_Q1_19_Trial-Social</v></cell><cell r="AC874"><v>21337013</v></cell><cell r="AD874"><v>720196</v></cell><cell r="AE874" t="str"><v>Facebook</v></cell><cell r="AF874"><v>3654128</v></cell><cell r="AG874" t="str"><v>Facebook»Audience & Interest Targeting»1x1»SocialBan»LIA»DT»CPC»AUT»W»NA»SS»NA»Basic Motion</v></cell><cell r="AH874"><v>224399962</v></cell><cell r="AI874" t="str"><v>AzurePlatform_FBCTCcanvaspage-StartFreeCTA-Img2_GBR_1080x143 _SOC_Plat_English_NA_Standard_NA_NA_T2_1</v></cell><cell r="AJ874"><v>103235146</v></cell></row><row r="875"><cell r="D875" t="str"><v>43357224399962</v></cell><cell r="E875" t="str"><v>43357103230847Motion</v></cell><cell r="F875" t="str"><v>DCM</v></cell></row><row r="875"><cell r="H875"><v>0</v></cell><cell r="I875" t="str"><v>Azure Direct</v></cell><cell r="J875" t="str"><v>Azure Direct</v></cell><cell r="K875" t="str"><v>September</v></cell><cell r="L875"><v>43358</v></cell><cell r="M875" t="str"><v>Tier 1</v></cell><cell r="N875" t="str"><v>EMEA</v></cell><cell r="O875" t="str"><v>United Kingdom</v></cell><cell r="P875" t="str"><v>Trial</v></cell><cell r="Q875" t="str"><v>Social</v></cell><cell r="R875" t="str"><v>Azure</v></cell><cell r="S875" t="str"><v>Apps & Infra</v></cell><cell r="T875" t="str"><v>Developers & ITI's</v></cell><cell r="U875" t="str"><v>Audience & Interest Targeting</v></cell><cell r="V875" t="str"><v>Audience Targeting</v></cell><cell r="W875" t="str"><v>Link Ad</v></cell><cell r="X875" t="str"><v>1080x162</v></cell><cell r="Y875" t="str"><v>Buy Now</v></cell><cell r="Z875" t="str"><v>Not Applicable</v></cell><cell r="AA875"><v>43357</v></cell><cell r="AB875" t="str"><v>GBR_gaPMG_CE_AZR_Q1_19_Trial-Social</v></cell><cell r="AC875"><v>21337013</v></cell><cell r="AD875"><v>720196</v></cell><cell r="AE875" t="str"><v>Facebook</v></cell><cell r="AF875"><v>3654128</v></cell><cell r="AG875" t="str"><v>Facebook»Audience & Interest Targeting»1x1»SocialBan»LIA»DT»CPC»AUT»W»NA»SS»NA»Basic Motion</v></cell><cell r="AH875"><v>224399962</v></cell><cell r="AI875" t="str"><v>AzurePlatform_FBCTCcanvaspage-BuyNowCTA-Img3_GBR_1080x162_SOC_Plat_English_NA_Standard_NA_BN_T3_1</v></cell><cell r="AJ875"><v>103230847</v></cell></row><row r="876"><cell r="D876" t="str"><v>43357224334170</v></cell><cell r="E876" t="str"><v>43357103235146Motion</v></cell><cell r="F876" t="str"><v>DCM</v></cell></row><row r="876"><cell r="H876"><v>0</v></cell><cell r="I876" t="str"><v>Azure Direct</v></cell><cell r="J876" t="str"><v>Azure Direct</v></cell><cell r="K876" t="str"><v>September</v></cell><cell r="L876"><v>43358</v></cell><cell r="M876" t="str"><v>Tier 1</v></cell><cell r="N876" t="str"><v>EMEA</v></cell><cell r="O876" t="str"><v>United Kingdom</v></cell><cell r="P876" t="str"><v>Trial</v></cell><cell r="Q876" t="str"><v>Social</v></cell><cell r="R876" t="str"><v>Azure</v></cell><cell r="S876" t="str"><v>Apps & Infra</v></cell><cell r="T876" t="str"><v>Developers & ITI's</v></cell><cell r="U876" t="str"><v>Audience & Interest Targeting</v></cell><cell r="V876" t="str"><v>Audience Targeting</v></cell><cell r="W876" t="str"><v>Link Ad</v></cell><cell r="X876" t="str"><v>1080x143</v></cell><cell r="Y876" t="str"><v>Not Applicable </v></cell><cell r="Z876" t="str"><v>Not Applicable</v></cell><cell r="AA876"><v>43357</v></cell><cell r="AB876" t="str"><v>GBR_gaPMG_CE_AZR_Q1_19_Trial-Social</v></cell><cell r="AC876"><v>21337013</v></cell><cell r="AD876"><v>720196</v></cell><cell r="AE876" t="str"><v>Facebook</v></cell><cell r="AF876"><v>3654128</v></cell><cell r="AG876" t="str"><v>Facebook»Audience & Interest Targeting»1x1»SocialBan»LIA»DT»CPC»AUT»W»NA»SS»NA»Benefit 2 in Motion</v></cell><cell r="AH876"><v>224334170</v></cell><cell r="AI876" t="str"><v>AzurePlatform_FBCTCcanvaspage-StartFreeCTA-Img2_GBR_1080x143 _SOC_Plat_English_NA_Standard_NA_NA_T2_1</v></cell><cell r="AJ876"><v>103235146</v></cell></row><row r="877"><cell r="D877" t="str"><v>43357223560299</v></cell><cell r="E877" t="str"><v>43357102854019ed ChC</v></cell><cell r="F877" t="str"><v>DCM</v></cell></row><row r="877"><cell r="H877"><v>1</v></cell><cell r="I877" t="str"><v>Azure Direct</v></cell><cell r="J877" t="str"><v>Azure Direct</v></cell><cell r="K877" t="str"><v>September</v></cell><cell r="L877"><v>43358</v></cell><cell r="M877" t="str"><v>Tier 1</v></cell><cell r="N877" t="str"><v>EMEA</v></cell><cell r="O877" t="str"><v>United Kingdom</v></cell><cell r="P877" t="str"><v>Trial</v></cell><cell r="Q877" t="str"><v>Social</v></cell><cell r="R877" t="str"><v>Azure</v></cell><cell r="S877" t="str"><v>Apps & Infra</v></cell><cell r="T877" t="str"><v>Developers & ITI's</v></cell><cell r="U877" t="str"><v>Retargeting</v></cell><cell r="V877" t="str"><v>Retargeting</v></cell><cell r="W877" t="str"><v>Link Ad</v></cell><cell r="X877" t="str"><v>1200x628</v></cell></row><row r="877"><cell r="Z877" t="str"><v>Animated Banner</v></cell><cell r="AA877"><v>43357</v></cell><cell r="AB877" t="str"><v>GBR_gaPMG_CE_AZR_Q1_19_Trial-Social</v></cell><cell r="AC877"><v>21337013</v></cell><cell r="AD877"><v>720196</v></cell><cell r="AE877" t="str"><v>Facebook</v></cell><cell r="AF877"><v>3654128</v></cell><cell r="AG877" t="str"><v>Facebook»Retargeting»1x1»SocialBan»LIA»DT»DYN»RT»W»NA»SS»NA»Free Account Retargeting Generic- Animated ChC</v></cell><cell r="AH877"><v>223560299</v></cell><cell r="AI877" t="str"><v>AzurePlatform_FreeAcctRetargetingFB-Animated-ChC_GBR_1200x628_SOC_Plat_EN_Free Account_Standard_ANI_SU_T3_1</v></cell><cell r="AJ877"><v>102854019</v></cell></row><row r="878"><cell r="D878" t="str"><v>43357223560356</v></cell><cell r="E878" t="str"><v>43357102854016lt ChB</v></cell><cell r="F878" t="str"><v>DCM</v></cell></row><row r="878"><cell r="H878"><v>0</v></cell><cell r="I878" t="str"><v>Azure Direct</v></cell><cell r="J878" t="str"><v>Azure Direct</v></cell><cell r="K878" t="str"><v>September</v></cell><cell r="L878"><v>43358</v></cell><cell r="M878" t="str"><v>Tier 1</v></cell><cell r="N878" t="str"><v>EMEA</v></cell><cell r="O878" t="str"><v>United Kingdom</v></cell><cell r="P878" t="str"><v>Trial</v></cell><cell r="Q878" t="str"><v>Social</v></cell><cell r="R878" t="str"><v>Azure</v></cell><cell r="S878" t="str"><v>Apps & Infra</v></cell><cell r="T878" t="str"><v>Developers & ITI's</v></cell><cell r="U878" t="str"><v>Retargeting</v></cell><cell r="V878" t="str"><v>Retargeting</v></cell><cell r="W878" t="str"><v>Link Ad</v></cell><cell r="X878" t="str"><v>1200x628</v></cell></row><row r="878"><cell r="Z878" t="str"><v>Not Applicable</v></cell><cell r="AA878"><v>43357</v></cell><cell r="AB878" t="str"><v>GBR_gaPMG_CE_AZR_Q1_19_Trial-Social</v></cell><cell r="AC878"><v>21337013</v></cell><cell r="AD878"><v>720196</v></cell><cell r="AE878" t="str"><v>Facebook</v></cell><cell r="AF878"><v>3654128</v></cell><cell r="AG878" t="str"><v>Facebook»Retargeting»1x1»SocialBan»LIA»DT»DYN»RT»W»NA»SS»NA»Free Account Retargeting Generic- Global Alt ChB</v></cell><cell r="AH878"><v>223560356</v></cell><cell r="AI878" t="str"><v>AzurePlatform_FreeAcctRetargetingFB-GlobalAlt-ChB_GBR_1200x628_SOC_Plat_EN_Free Account_Standard_NA_SU_T2_1</v></cell><cell r="AJ878"><v>102854016</v></cell></row><row r="879"><cell r="D879" t="str"><v>43357223560344</v></cell><cell r="E879" t="str"><v>43357102861246xt ChF</v></cell><cell r="F879" t="str"><v>DCM</v></cell></row><row r="879"><cell r="H879"><v>1</v></cell><cell r="I879" t="str"><v>Azure Direct</v></cell><cell r="J879" t="str"><v>Azure Direct</v></cell><cell r="K879" t="str"><v>September</v></cell><cell r="L879"><v>43358</v></cell><cell r="M879" t="str"><v>Tier 1</v></cell><cell r="N879" t="str"><v>EMEA</v></cell><cell r="O879" t="str"><v>United Kingdom</v></cell><cell r="P879" t="str"><v>Trial</v></cell><cell r="Q879" t="str"><v>Social</v></cell><cell r="R879" t="str"><v>Azure</v></cell><cell r="S879" t="str"><v>Apps & Infra</v></cell><cell r="T879" t="str"><v>Developers & ITI's</v></cell><cell r="U879" t="str"><v>Retargeting</v></cell><cell r="V879" t="str"><v>Retargeting</v></cell><cell r="W879" t="str"><v>Link Ad</v></cell><cell r="X879" t="str"><v>1200x628</v></cell></row><row r="879"><cell r="Z879" t="str"><v>Not Applicable</v></cell><cell r="AA879"><v>43357</v></cell><cell r="AB879" t="str"><v>GBR_gaPMG_CE_AZR_Q1_19_Trial-Social</v></cell><cell r="AC879"><v>21337013</v></cell><cell r="AD879"><v>720196</v></cell><cell r="AE879" t="str"><v>Facebook</v></cell><cell r="AF879"><v>3654128</v></cell><cell r="AG879" t="str"><v>Facebook»Retargeting»1x1»SocialBan»LIA»DT»DYN»RT»W»NA»SS»NA»Free Account Retargeting OSS- Text ChF</v></cell><cell r="AH879"><v>223560344</v></cell><cell r="AI879" t="str"><v>AzurePlatform_FreeAcctRetargetingOSSFB-Text-ChF_GBR_1200x628_SOC_Plat_EN_Free Account_Standard_NA_SU_T1_1</v></cell><cell r="AJ879"><v>102861246</v></cell></row><row r="880"><cell r="D880" t="str"><v>43357223560338</v></cell><cell r="E880" t="str"><v>43357102853603rs ChD</v></cell><cell r="F880" t="str"><v>DCM</v></cell></row><row r="880"><cell r="H880"><v>0</v></cell><cell r="I880" t="str"><v>Azure Direct</v></cell><cell r="J880" t="str"><v>Azure Direct</v></cell><cell r="K880" t="str"><v>September</v></cell><cell r="L880"><v>43358</v></cell><cell r="M880" t="str"><v>Tier 1</v></cell><cell r="N880" t="str"><v>EMEA</v></cell><cell r="O880" t="str"><v>United Kingdom</v></cell><cell r="P880" t="str"><v>Trial</v></cell><cell r="Q880" t="str"><v>Social</v></cell><cell r="R880" t="str"><v>Azure</v></cell><cell r="S880" t="str"><v>Apps & Infra</v></cell><cell r="T880" t="str"><v>Developers & ITI's</v></cell><cell r="U880" t="str"><v>Retargeting</v></cell><cell r="V880" t="str"><v>Retargeting</v></cell><cell r="W880" t="str"><v>Link Ad</v></cell><cell r="X880" t="str"><v>1200x628</v></cell></row><row r="880"><cell r="Z880" t="str"><v>Not Applicable</v></cell><cell r="AA880"><v>43357</v></cell><cell r="AB880" t="str"><v>GBR_gaPMG_CE_AZR_Q1_19_Trial-Social</v></cell><cell r="AC880"><v>21337013</v></cell><cell r="AD880"><v>720196</v></cell><cell r="AE880" t="str"><v>Facebook</v></cell><cell r="AF880"><v>3654128</v></cell><cell r="AG880" t="str"><v>Facebook»Retargeting»1x1»SocialBan»LIA»DT»DYN»RT»W»NA»SS»NA»Free Account Retargeting VM- 750 Hrs ChD</v></cell><cell r="AH880"><v>223560338</v></cell><cell r="AI880" t="str"><v>AzurePlatform_FreeAcctRetargetingVMFB-750Hrs-ChD_GBR_1200x628_SOC_Plat_EN_Free Account_Standard_NA_SU_T1_1</v></cell><cell r="AJ880"><v>102853603</v></cell></row><row r="881"><cell r="D881" t="str"><v>43357223560332</v></cell><cell r="E881" t="str"><v>43357102854037nd ChE</v></cell><cell r="F881" t="str"><v>DCM</v></cell></row><row r="881"><cell r="H881"><v>1</v></cell><cell r="I881" t="str"><v>Azure Direct</v></cell><cell r="J881" t="str"><v>Azure Direct</v></cell><cell r="K881" t="str"><v>September</v></cell><cell r="L881"><v>43358</v></cell><cell r="M881" t="str"><v>Tier 1</v></cell><cell r="N881" t="str"><v>EMEA</v></cell><cell r="O881" t="str"><v>United Kingdom</v></cell><cell r="P881" t="str"><v>Trial</v></cell><cell r="Q881" t="str"><v>Social</v></cell><cell r="R881" t="str"><v>Azure</v></cell><cell r="S881" t="str"><v>Apps & Infra</v></cell><cell r="T881" t="str"><v>Developers & ITI's</v></cell><cell r="U881" t="str"><v>Retargeting</v></cell><cell r="V881" t="str"><v>Retargeting</v></cell><cell r="W881" t="str"><v>Link Ad</v></cell><cell r="X881" t="str"><v>1200x628</v></cell></row><row r="881"><cell r="Z881" t="str"><v>Not Applicable</v></cell><cell r="AA881"><v>43357</v></cell><cell r="AB881" t="str"><v>GBR_gaPMG_CE_AZR_Q1_19_Trial-Social</v></cell><cell r="AC881"><v>21337013</v></cell><cell r="AD881"><v>720196</v></cell><cell r="AE881" t="str"><v>Facebook</v></cell><cell r="AF881"><v>3654128</v></cell><cell r="AG881" t="str"><v>Facebook»Retargeting»1x1»SocialBan»LIA»DT»DYN»RT»W»NA»SS»NA»Free Account Retargeting VM- On Demand ChE</v></cell><cell r="AH881"><v>223560332</v></cell><cell r="AI881" t="str"><v>AzurePlatform_FreeAcctRetargetingVMFB-OnDemand-ChE_GBR_1200x628_SOC_Plat_EN_Free Account_Standard_NA_SU_T2_1</v></cell><cell r="AJ881"><v>102854037</v></cell></row><row r="882"><cell r="D882" t="str"><v>43357223298805</v></cell><cell r="E882" t="str"><v>43357102630373-Trial</v></cell><cell r="F882" t="str"><v>DCM</v></cell></row><row r="882"><cell r="H882"><v>1</v></cell><cell r="I882" t="str"><v>Azure Direct</v></cell><cell r="J882" t="str"><v>Azure Direct</v></cell><cell r="K882" t="str"><v>September</v></cell><cell r="L882"><v>43358</v></cell><cell r="M882" t="str"><v>Tier 1</v></cell><cell r="N882" t="str"><v>APAC</v></cell><cell r="O882" t="str"><v>Japan</v></cell><cell r="P882" t="str"><v>Trial</v></cell><cell r="Q882" t="str"><v>Social</v></cell><cell r="R882" t="str"><v>Azure</v></cell><cell r="S882" t="str"><v>Apps & Infra</v></cell><cell r="T882" t="str"><v>Developers & ITI's</v></cell><cell r="U882" t="str"><v>AZP-Canvas-Interest&Role-Trial</v></cell><cell r="V882" t="str"><v>Prospecting</v></cell><cell r="W882" t="str"><v>Canvas Ad</v></cell><cell r="X882" t="str"><v>1080x162</v></cell><cell r="Y882" t="str"><v>Buy Now</v></cell><cell r="Z882" t="str"><v>Not Applicable</v></cell><cell r="AA882"><v>43357</v></cell><cell r="AB882" t="str"><v>JPN_gaPMG_AZR_AZR_Q1_19_Trial-Social</v></cell><cell r="AC882"><v>21276694</v></cell><cell r="AD882"><v>720195</v></cell><cell r="AE882" t="str"><v>Facebook</v></cell><cell r="AF882"><v>3654128</v></cell><cell r="AG882" t="str"><v>Facebook»AZP-Canvas-Interest&Role-Trial»1x1»Canvas»OTH»MO»CPM»PRO»X»UNK»TP»OT»Canvas-Trial</v></cell><cell r="AH882"><v>223298805</v></cell><cell r="AI882" t="str"><v>AzurePlatform_FBCTCcanvaspage-BuyNowCTA-Img3_JPN_1080x162_SOC_Plat_Japanese_NA_Standard_NA_BN_T3_1</v></cell><cell r="AJ882"><v>102630373</v></cell></row><row r="883"><cell r="D883" t="str"><v>43357223298805</v></cell><cell r="E883" t="str"><v>43357102609621-Trial</v></cell><cell r="F883" t="str"><v>DCM</v></cell></row><row r="883"><cell r="H883"><v>0</v></cell><cell r="I883" t="str"><v>Azure Direct</v></cell><cell r="J883" t="str"><v>Azure Direct</v></cell><cell r="K883" t="str"><v>September</v></cell><cell r="L883"><v>43358</v></cell><cell r="M883" t="str"><v>Tier 1</v></cell><cell r="N883" t="str"><v>APAC</v></cell><cell r="O883" t="str"><v>Japan</v></cell><cell r="P883" t="str"><v>Trial</v></cell><cell r="Q883" t="str"><v>Social</v></cell><cell r="R883" t="str"><v>Azure</v></cell><cell r="S883" t="str"><v>Apps & Infra</v></cell><cell r="T883" t="str"><v>Developers & ITI's</v></cell><cell r="U883" t="str"><v>AZP-Canvas-Interest&Role-Trial</v></cell><cell r="V883" t="str"><v>Prospecting</v></cell><cell r="W883" t="str"><v>Canvas Ad</v></cell><cell r="X883" t="str"><v>1080x143</v></cell><cell r="Y883" t="str"><v>Not Applicable </v></cell><cell r="Z883" t="str"><v>Not Applicable</v></cell><cell r="AA883"><v>43357</v></cell><cell r="AB883" t="str"><v>JPN_gaPMG_AZR_AZR_Q1_19_Trial-Social</v></cell><cell r="AC883"><v>21276694</v></cell><cell r="AD883"><v>720195</v></cell><cell r="AE883" t="str"><v>Facebook</v></cell><cell r="AF883"><v>3654128</v></cell><cell r="AG883" t="str"><v>Facebook»AZP-Canvas-Interest&Role-Trial»1x1»Canvas»OTH»MO»CPM»PRO»X»UNK»TP»OT»Canvas-Trial</v></cell><cell r="AH883"><v>223298805</v></cell><cell r="AI883" t="str"><v>AzurePlatform_FBCTCcanvaspage-StartFreeCTA-Img2_JPN_1080x143 _SOC_Plat_Japanese_NA_Standard_NA_NA_T2_1</v></cell><cell r="AJ883"><v>102609621</v></cell></row><row r="884"><cell r="D884" t="str"><v>43357226269941</v></cell><cell r="E884" t="str"><v>43357104061321-Trial</v></cell><cell r="F884" t="str"><v>DCM</v></cell></row><row r="884"><cell r="H884"><v>0</v></cell><cell r="I884" t="str"><v>Azure Direct</v></cell><cell r="J884" t="str"><v>Azure Direct</v></cell><cell r="K884" t="str"><v>September</v></cell><cell r="L884"><v>43358</v></cell><cell r="M884" t="str"><v>Tier 1</v></cell><cell r="N884" t="str"><v>APAC</v></cell><cell r="O884" t="str"><v>Japan</v></cell><cell r="P884" t="str"><v>Trial</v></cell><cell r="Q884" t="str"><v>Social</v></cell><cell r="R884" t="str"><v>Azure</v></cell><cell r="S884" t="str"><v>Apps & Infra</v></cell><cell r="T884" t="str"><v>Developers & ITI's</v></cell><cell r="U884" t="str"><v>AZP-Canvas-Retargeting-Trial</v></cell><cell r="V884" t="str"><v>Prospecting</v></cell><cell r="W884" t="str"><v>Canvas Ad</v></cell><cell r="X884" t="str"><v>1080x143</v></cell><cell r="Y884" t="str"><v>Not Applicable </v></cell><cell r="Z884" t="str"><v>Not Applicable</v></cell><cell r="AA884"><v>43357</v></cell><cell r="AB884" t="str"><v>JPN_gaPMG_AZR_AZR_Q1_19_Trial-Social</v></cell><cell r="AC884"><v>21276694</v></cell><cell r="AD884"><v>720195</v></cell><cell r="AE884" t="str"><v>Facebook</v></cell><cell r="AF884"><v>3654128</v></cell><cell r="AG884" t="str"><v>Facebook»AZP-Canvas-Retargeting-Trial»1x1»Canvas»SOC»MO»CPM»PRO»W»UNK»SS»OT»Canvas-Trial</v></cell><cell r="AH884"><v>226269941</v></cell><cell r="AI884" t="str"><v>AZR_FBCTCcanvaspage-StartFreeCTA-Img2_JPN_1080x143 _SOC_Plat_Japanese_NA_Standard_NA_NA_T2_1</v></cell><cell r="AJ884"><v>104061321</v></cell></row><row r="885"><cell r="D885" t="str"><v>43357227208508</v></cell><cell r="E885" t="str"><v>43357102609621-Trial</v></cell><cell r="F885" t="str"><v>DCM</v></cell></row><row r="885"><cell r="H885"><v>0</v></cell><cell r="I885" t="str"><v>Azure Direct</v></cell><cell r="J885" t="str"><v>Azure Direct</v></cell><cell r="K885" t="str"><v>September</v></cell><cell r="L885"><v>43358</v></cell><cell r="M885" t="str"><v>Tier 1</v></cell><cell r="N885" t="str"><v>APAC</v></cell><cell r="O885" t="str"><v>Japan</v></cell><cell r="P885" t="str"><v>Trial</v></cell><cell r="Q885" t="str"><v>Social</v></cell><cell r="R885" t="str"><v>Azure</v></cell><cell r="S885" t="str"><v>Apps & Infra</v></cell><cell r="T885" t="str"><v>Developers & ITI's</v></cell><cell r="U885" t="str"><v>AZP-Canvas-iine-Trial</v></cell><cell r="V885" t="str"><v>Audience Targeting</v></cell><cell r="W885" t="str"><v>Canvas Ad</v></cell><cell r="X885" t="str"><v>1080x143</v></cell><cell r="Y885" t="str"><v>Not Applicable </v></cell><cell r="Z885" t="str"><v>Not Applicable</v></cell><cell r="AA885"><v>43357</v></cell><cell r="AB885" t="str"><v>JPN_gaPMG_AZR_AZR_Q1_19_Trial-Social</v></cell><cell r="AC885"><v>21276694</v></cell><cell r="AD885"><v>720195</v></cell><cell r="AE885" t="str"><v>Facebook</v></cell><cell r="AF885"><v>3654128</v></cell><cell r="AG885" t="str"><v>Facebook»AZP-Canvas-iine-Trial»1x1»Canvas»SOC»MO»CPM»AUT»W»NA»SS»NA»Canvas-Trial</v></cell><cell r="AH885"><v>227208508</v></cell><cell r="AI885" t="str"><v>AzurePlatform_FBCTCcanvaspage-StartFreeCTA-Img2_JPN_1080x143 _SOC_Plat_Japanese_NA_Standard_NA_NA_T2_1</v></cell><cell r="AJ885"><v>102609621</v></cell></row><row r="886"><cell r="D886" t="str"><v>43357223933138</v></cell><cell r="E886" t="str"><v>43357103043835PRC1SW</v></cell><cell r="F886" t="str"><v>DCM</v></cell></row><row r="886"><cell r="H886"><v>0</v></cell><cell r="I886" t="str"><v>Azure Direct</v></cell><cell r="J886" t="str"><v>Azure Direct</v></cell><cell r="K886" t="str"><v>September</v></cell><cell r="L886"><v>43358</v></cell><cell r="M886" t="str"><v>Tier 0</v></cell><cell r="N886" t="str"><v>North America</v></cell><cell r="O886" t="str"><v>United States</v></cell><cell r="P886" t="str"><v>Trial</v></cell><cell r="Q886" t="str"><v>Social</v></cell><cell r="R886" t="str"><v>Azure</v></cell><cell r="S886" t="str"><v>Apps & Infra</v></cell><cell r="T886" t="str"><v>Developers & ITI's</v></cell><cell r="U886" t="str"><v>USA-Trial-ITD-Interest Prospecting-AZR-AZR</v></cell><cell r="V886" t="str"><v>Prospecting</v></cell><cell r="W886" t="str"><v>Canvas Ad</v></cell><cell r="X886" t="str"><v>10s</v></cell><cell r="Y886" t="str"><v>Try it Now</v></cell><cell r="Z886" t="str"><v>Standard videos</v></cell><cell r="AA886"><v>43357</v></cell><cell r="AB886" t="str"><v>USA_gaPMG_AZR_AZR_Q1_19_Direct-Social</v></cell><cell r="AC886"><v>21358715</v></cell><cell r="AD886"><v>720197</v></cell><cell r="AE886" t="str"><v>Facebook</v></cell><cell r="AF886"><v>3654128</v></cell><cell r="AG886" t="str"><v>FACEBOOK»USA-Trial-ITD-Interest Prospecting-AZR-AZR»1 x 1»SocialBan»CAN»ALL»CPA»PRO»X»NA»SS»NA»FBCTCBenefit2inMotion»PRC1SW</v></cell><cell r="AH886"><v>223933138</v></cell><cell r="AI886" t="str"><v>AzurePlatform_FBCTCBenefit2inMotion_USA_10s_CAN_PLATFORM_English_Trial_Standard_STAN_TIN_T4_1</v></cell><cell r="AJ886"><v>103043835</v></cell></row><row r="887"><cell r="D887" t="str"><v>43357223933138</v></cell><cell r="E887" t="str"><v>43357103178645PRC1SW</v></cell><cell r="F887" t="str"><v>DCM</v></cell></row><row r="887"><cell r="H887"><v>0</v></cell><cell r="I887" t="str"><v>Azure Direct</v></cell><cell r="J887" t="str"><v>Azure Direct</v></cell><cell r="K887" t="str"><v>September</v></cell><cell r="L887"><v>43358</v></cell><cell r="M887" t="str"><v>Tier 0</v></cell><cell r="N887" t="str"><v>North America</v></cell><cell r="O887" t="str"><v>United States</v></cell><cell r="P887" t="str"><v>Trial</v></cell><cell r="Q887" t="str"><v>Social</v></cell><cell r="R887" t="str"><v>Azure</v></cell><cell r="S887" t="str"><v>Apps & Infra</v></cell><cell r="T887" t="str"><v>Developers & ITI's</v></cell><cell r="U887" t="str"><v>USA-Trial-ITD-Interest Prospecting-AZR-AZR</v></cell><cell r="V887" t="str"><v>Prospecting</v></cell><cell r="W887" t="str"><v>Canvas Ad</v></cell><cell r="X887" t="str"><v>10s</v></cell><cell r="Y887" t="str"><v>Try it Now</v></cell><cell r="Z887" t="str"><v>Standard videos</v></cell><cell r="AA887"><v>43357</v></cell><cell r="AB887" t="str"><v>USA_gaPMG_AZR_AZR_Q1_19_Direct-Social</v></cell><cell r="AC887"><v>21358715</v></cell><cell r="AD887"><v>720197</v></cell><cell r="AE887" t="str"><v>Facebook</v></cell><cell r="AF887"><v>3654128</v></cell><cell r="AG887" t="str"><v>FACEBOOK»USA-Trial-ITD-Interest Prospecting-AZR-AZR»1 x 1»SocialBan»CAN»ALL»CPA»PRO»X»NA»SS»NA»FBCTCBenefit2inMotion»PRC1SW</v></cell><cell r="AH887"><v>223933138</v></cell><cell r="AI887" t="str"><v>AzurePlatform_FBCTCBenefit2inMotion_USA_10s_CAN_PLATFORM_English_Trial_Standard_STAN_TIN_T4_2</v></cell><cell r="AJ887"><v>103178645</v></cell></row><row r="888"><cell r="D888" t="str"><v>43357224104077</v></cell><cell r="E888" t="str"><v>43357103032775PRC1SX</v></cell><cell r="F888" t="str"><v>DCM</v></cell></row><row r="888"><cell r="H888"><v>0</v></cell><cell r="I888" t="str"><v>Azure Direct</v></cell><cell r="J888" t="str"><v>Azure Direct</v></cell><cell r="K888" t="str"><v>September</v></cell><cell r="L888"><v>43358</v></cell><cell r="M888" t="str"><v>Tier 0</v></cell><cell r="N888" t="str"><v>North America</v></cell><cell r="O888" t="str"><v>United States</v></cell><cell r="P888" t="str"><v>Trial</v></cell><cell r="Q888" t="str"><v>Social</v></cell><cell r="R888" t="str"><v>Azure</v></cell><cell r="S888" t="str"><v>Apps & Infra</v></cell><cell r="T888" t="str"><v>Developers & ITI's</v></cell><cell r="U888" t="str"><v>USA-Trial-ITD-Interest Prospecting-AZR-AZR</v></cell><cell r="V888" t="str"><v>Prospecting</v></cell><cell r="W888" t="str"><v>Canvas Ad</v></cell><cell r="X888" t="str"><v>10s</v></cell><cell r="Y888" t="str"><v>Try it Now</v></cell><cell r="Z888" t="str"><v>Standard videos</v></cell><cell r="AA888"><v>43357</v></cell><cell r="AB888" t="str"><v>USA_gaPMG_AZR_AZR_Q1_19_Direct-Social</v></cell><cell r="AC888"><v>21358715</v></cell><cell r="AD888"><v>720197</v></cell><cell r="AE888" t="str"><v>Facebook</v></cell><cell r="AF888"><v>3654128</v></cell><cell r="AG888" t="str"><v>FACEBOOK»USA-Trial-ITD-Interest Prospecting-AZR-AZR»1 x 1»SocialBan»CAN»ALL»CPA»PRO»X»NA»SS»NA»FBCTCBenefitinMotion»PRC1SX</v></cell><cell r="AH888"><v>224104077</v></cell><cell r="AI888" t="str"><v>AzurePlatform_FBCTCBenefitinMotion_USA_10s_CAN_PLATFORM_English_Trial_Standard_STAN_TIN_T3_1</v></cell><cell r="AJ888"><v>103032775</v></cell></row><row r="889"><cell r="D889" t="str"><v>43357224104929</v></cell><cell r="E889" t="str"><v>43357103176812PRC1SY</v></cell><cell r="F889" t="str"><v>DCM</v></cell></row><row r="889"><cell r="H889"><v>0</v></cell><cell r="I889" t="str"><v>Azure Direct</v></cell><cell r="J889" t="str"><v>Azure Direct</v></cell><cell r="K889" t="str"><v>September</v></cell><cell r="L889"><v>43358</v></cell><cell r="M889" t="str"><v>Tier 0</v></cell><cell r="N889" t="str"><v>North America</v></cell><cell r="O889" t="str"><v>United States</v></cell><cell r="P889" t="str"><v>Trial</v></cell><cell r="Q889" t="str"><v>Social</v></cell><cell r="R889" t="str"><v>Azure</v></cell><cell r="S889" t="str"><v>Apps & Infra</v></cell><cell r="T889" t="str"><v>Developers & ITI's</v></cell><cell r="U889" t="str"><v>USA-Trial-ITD-Interest Prospecting-AZR-AZR</v></cell><cell r="V889" t="str"><v>Prospecting</v></cell><cell r="W889" t="str"><v>Canvas Ad</v></cell><cell r="X889" t="str"><v>10s</v></cell><cell r="Y889" t="str"><v>Try it Now</v></cell><cell r="Z889" t="str"><v>Standard videos</v></cell><cell r="AA889"><v>43357</v></cell><cell r="AB889" t="str"><v>USA_gaPMG_AZR_AZR_Q1_19_Direct-Social</v></cell><cell r="AC889"><v>21358715</v></cell><cell r="AD889"><v>720197</v></cell><cell r="AE889" t="str"><v>Facebook</v></cell><cell r="AF889"><v>3654128</v></cell><cell r="AG889" t="str"><v>FACEBOOK»USA-Trial-ITD-Interest Prospecting-AZR-AZR»1 x 1»SocialBan»CAN»ALL»CPA»PRO»X»NA»SS»NA»FBCTCBrandinMotion»PRC1SY</v></cell><cell r="AH889"><v>224104929</v></cell><cell r="AI889" t="str"><v>AzurePlatform_FBCTCBrandinMotion_USA_10s_CAN_PLATFORM_English_Trial_Standard_STAN_TIN_T2_1</v></cell><cell r="AJ889"><v>103176812</v></cell></row><row r="890"><cell r="D890" t="str"><v>43357226617664</v></cell><cell r="E890" t="str"><v>43357104595739PS78JC</v></cell><cell r="F890" t="str"><v>DCM</v></cell></row><row r="890"><cell r="H890"><v>0</v></cell><cell r="I890" t="str"><v>Azure Direct</v></cell><cell r="J890" t="str"><v>Azure Direct</v></cell><cell r="K890" t="str"><v>September</v></cell><cell r="L890"><v>43358</v></cell><cell r="M890" t="str"><v>Tier 0</v></cell><cell r="N890" t="str"><v>North America</v></cell><cell r="O890" t="str"><v>United States</v></cell><cell r="P890" t="str"><v>Trial</v></cell><cell r="Q890" t="str"><v>Social</v></cell><cell r="R890" t="str"><v>Azure</v></cell><cell r="S890" t="str"><v>Apps & Infra</v></cell><cell r="T890" t="str"><v>Developers & ITI's</v></cell><cell r="U890" t="str"><v>USA-Trial-ITD-Interest Prospecting-AZR-AZR</v></cell><cell r="V890" t="str"><v>Prospecting</v></cell><cell r="W890" t="str"><v>Canvas Ad</v></cell><cell r="X890" t="str"><v>1200x1200</v></cell><cell r="Y890" t="str"><v>Learn More</v></cell><cell r="Z890" t="str"><v>Animated Banner</v></cell><cell r="AA890"><v>43357</v></cell><cell r="AB890" t="str"><v>USA_gaPMG_AZR_AZR_Q1_19_Direct-Social</v></cell><cell r="AC890"><v>21358715</v></cell><cell r="AD890"><v>720197</v></cell><cell r="AE890" t="str"><v>Facebook</v></cell><cell r="AF890"><v>3654128</v></cell><cell r="AG890" t="str"><v>FACEBOOK»USA-Trial-ITD-Interest Prospecting-AZR-AZR»1 x 1»SocialBan»CAN»ALL»CPA»PRO»X»NA»SS»NA»FreeAcctDeveloperFB-AnimatedData-Ch4»PS78JC</v></cell><cell r="AH890"><v>226617664</v></cell><cell r="AI890" t="str"><v>AZR_FreeAcctDeveloperFB-AnimatedData-Ch4_USA_1200x1200_CAN_Direct_EN_Trial_Standard_ANI_LEA_T4_1</v></cell><cell r="AJ890"><v>104595739</v></cell></row><row r="891"><cell r="D891" t="str"><v>43357226617664</v></cell><cell r="E891" t="str"><v>43357104671403PS78JC</v></cell><cell r="F891" t="str"><v>DCM</v></cell></row><row r="891"><cell r="H891"><v>0</v></cell><cell r="I891" t="str"><v>Azure Direct</v></cell><cell r="J891" t="str"><v>Azure Direct</v></cell><cell r="K891" t="str"><v>September</v></cell><cell r="L891"><v>43358</v></cell><cell r="M891" t="str"><v>Tier 0</v></cell><cell r="N891" t="str"><v>North America</v></cell><cell r="O891" t="str"><v>United States</v></cell><cell r="P891" t="str"><v>Trial</v></cell><cell r="Q891" t="str"><v>Social</v></cell><cell r="R891" t="str"><v>Azure</v></cell><cell r="S891" t="str"><v>Apps & Infra</v></cell><cell r="T891" t="str"><v>Developers & ITI's</v></cell><cell r="U891" t="str"><v>USA-Trial-ITD-Interest Prospecting-AZR-AZR</v></cell><cell r="V891" t="str"><v>Prospecting</v></cell><cell r="W891" t="str"><v>Canvas Ad</v></cell><cell r="X891" t="str"><v>1200x1200</v></cell><cell r="Y891" t="str"><v>Learn More</v></cell><cell r="Z891" t="str"><v>Animated Banner</v></cell><cell r="AA891"><v>43357</v></cell><cell r="AB891" t="str"><v>USA_gaPMG_AZR_AZR_Q1_19_Direct-Social</v></cell><cell r="AC891"><v>21358715</v></cell><cell r="AD891"><v>720197</v></cell><cell r="AE891" t="str"><v>Facebook</v></cell><cell r="AF891"><v>3654128</v></cell><cell r="AG891" t="str"><v>FACEBOOK»USA-Trial-ITD-Interest Prospecting-AZR-AZR»1 x 1»SocialBan»CAN»ALL»CPA»PRO»X»NA»SS»NA»FreeAcctDeveloperFB-AnimatedData-Ch4»PS78JC</v></cell><cell r="AH891"><v>226617664</v></cell><cell r="AI891" t="str"><v>AZR_FreeAcctDeveloperFB-AnimatedData-Ch4_USA_1200x1200_CAN_Direct_EN_Trial_Standard_ANI_LEA_T4_2</v></cell><cell r="AJ891"><v>104671403</v></cell></row><row r="892"><cell r="D892" t="str"><v>43357226783992</v></cell><cell r="E892" t="str"><v>43357104592523PS78J5</v></cell><cell r="F892" t="str"><v>DCM</v></cell></row><row r="892"><cell r="H892"><v>4</v></cell><cell r="I892" t="str"><v>Azure Direct</v></cell><cell r="J892" t="str"><v>Azure Direct</v></cell><cell r="K892" t="str"><v>September</v></cell><cell r="L892"><v>43358</v></cell><cell r="M892" t="str"><v>Tier 0</v></cell><cell r="N892" t="str"><v>North America</v></cell><cell r="O892" t="str"><v>United States</v></cell><cell r="P892" t="str"><v>Trial</v></cell><cell r="Q892" t="str"><v>Social</v></cell><cell r="R892" t="str"><v>Azure</v></cell><cell r="S892" t="str"><v>Apps & Infra</v></cell><cell r="T892" t="str"><v>Developers & ITI's</v></cell><cell r="U892" t="str"><v>USA-Trial-ITD-Interest Prospecting-AZR-AZR</v></cell><cell r="V892" t="str"><v>Prospecting</v></cell><cell r="W892" t="str"><v>Canvas Ad</v></cell><cell r="X892" t="str"><v>1200x1200</v></cell><cell r="Y892" t="str"><v>Learn More</v></cell><cell r="Z892" t="str"><v>Animated Banner</v></cell><cell r="AA892"><v>43357</v></cell><cell r="AB892" t="str"><v>USA_gaPMG_AZR_AZR_Q1_19_Direct-Social</v></cell><cell r="AC892"><v>21358715</v></cell><cell r="AD892"><v>720197</v></cell><cell r="AE892" t="str"><v>Facebook</v></cell><cell r="AF892"><v>3654128</v></cell><cell r="AG892" t="str"><v>FACEBOOK»USA-Trial-ITD-Interest Prospecting-AZR-AZR»1 x 1»SocialBan»CAN»ALL»CPA»PRO»X»NA»SS»NA»FreeAcctDeveloperFB-AnimatedGeneric-Ch1»PS78J5</v></cell><cell r="AH892"><v>226783992</v></cell><cell r="AI892" t="str"><v>AZR_FreeAcctDeveloperFB-AnimatedGeneric-Ch1_USA_1200x1200_CAN_Direct_EN_Trial_Standard_ANI_LEA_T1_2</v></cell><cell r="AJ892"><v>104592523</v></cell></row><row r="893"><cell r="D893" t="str"><v>43357225283843</v></cell><cell r="E893" t="str"><v>43357103873631PRSGV0</v></cell><cell r="F893" t="str"><v>DCM</v></cell></row><row r="893"><cell r="H893"><v>0</v></cell><cell r="I893" t="str"><v>Azure Direct</v></cell><cell r="J893" t="str"><v>Azure Direct</v></cell><cell r="K893" t="str"><v>September</v></cell><cell r="L893"><v>43358</v></cell><cell r="M893" t="str"><v>Tier 0</v></cell><cell r="N893" t="str"><v>North America</v></cell><cell r="O893" t="str"><v>United States</v></cell><cell r="P893" t="str"><v>Trial</v></cell><cell r="Q893" t="str"><v>Social</v></cell><cell r="R893" t="str"><v>Azure</v></cell><cell r="S893" t="str"><v>Apps & Infra</v></cell><cell r="T893" t="str"><v>Developers & ITI's</v></cell><cell r="U893" t="str"><v>USA-Trial-ITD-Interest Prospecting-AZR-AZR</v></cell><cell r="V893" t="str"><v>Prospecting</v></cell><cell r="W893" t="str"><v>Canvas Collection Ad</v></cell><cell r="X893" t="str"><v>1200x182</v></cell><cell r="Y893" t="str"><v>Try it Now</v></cell><cell r="Z893" t="str"><v>Not Applicable</v></cell><cell r="AA893"><v>43357</v></cell><cell r="AB893" t="str"><v>USA_gaPMG_AZR_AZR_Q1_19_Direct-Social</v></cell><cell r="AC893"><v>21358715</v></cell><cell r="AD893"><v>720197</v></cell><cell r="AE893" t="str"><v>Facebook</v></cell><cell r="AF893"><v>3654128</v></cell><cell r="AG893" t="str"><v>FACEBOOK»USA-Trial-ITD-Interest Prospecting-AZR-AZR»1 x 1»SocialBan»CCA»ALL»CPA»PRO»X»NA»SS»NA»Azure Developer Facebook Collections»PRSGV0</v></cell><cell r="AH893"><v>225283843</v></cell><cell r="AI893" t="str"><v>AZR_FBCollections-OSSTryAzureFreeCTA-Img3_USA_1200x182_SOC_Plat_EN_NA_Standard_NA_TIN_T1_3</v></cell><cell r="AJ893"><v>103873631</v></cell></row><row r="894"><cell r="D894" t="str"><v>43357225283843</v></cell><cell r="E894" t="str"><v>43357103773180PRSGV0</v></cell><cell r="F894" t="str"><v>DCM</v></cell></row><row r="894"><cell r="H894"><v>2</v></cell><cell r="I894" t="str"><v>Azure Direct</v></cell><cell r="J894" t="str"><v>Azure Direct</v></cell><cell r="K894" t="str"><v>September</v></cell><cell r="L894"><v>43358</v></cell><cell r="M894" t="str"><v>Tier 0</v></cell><cell r="N894" t="str"><v>North America</v></cell><cell r="O894" t="str"><v>United States</v></cell><cell r="P894" t="str"><v>Trial</v></cell><cell r="Q894" t="str"><v>Social</v></cell><cell r="R894" t="str"><v>Azure</v></cell><cell r="S894" t="str"><v>Apps & Infra</v></cell><cell r="T894" t="str"><v>Developers & ITI's</v></cell><cell r="U894" t="str"><v>USA-Trial-ITD-Interest Prospecting-AZR-AZR</v></cell><cell r="V894" t="str"><v>Prospecting</v></cell><cell r="W894" t="str"><v>Canvas Collection Ad</v></cell><cell r="X894" t="str"><v>1200x182</v></cell><cell r="Y894" t="str"><v>Try it Now</v></cell><cell r="Z894" t="str"><v>Not Applicable</v></cell><cell r="AA894"><v>43357</v></cell><cell r="AB894" t="str"><v>USA_gaPMG_AZR_AZR_Q1_19_Direct-Social</v></cell><cell r="AC894"><v>21358715</v></cell><cell r="AD894"><v>720197</v></cell><cell r="AE894" t="str"><v>Facebook</v></cell><cell r="AF894"><v>3654128</v></cell><cell r="AG894" t="str"><v>FACEBOOK»USA-Trial-ITD-Interest Prospecting-AZR-AZR»1 x 1»SocialBan»CCA»ALL»CPA»PRO»X»NA»SS»NA»Azure Developer Facebook Collections»PRSGV0</v></cell><cell r="AH894"><v>225283843</v></cell><cell r="AI894" t="str"><v>AZR_FBCollections-SmartDataTryAzureFreeCTA-Img4_USA_1200x182_SOC_Plat_EN_NA_Standard_NA_TIN_T1_4</v></cell><cell r="AJ894"><v>103773180</v></cell></row><row r="895"><cell r="D895" t="str"><v>43357225283843</v></cell><cell r="E895" t="str"><v>43357103874423PRSGV0</v></cell><cell r="F895" t="str"><v>DCM</v></cell></row><row r="895"><cell r="H895"><v>2</v></cell><cell r="I895" t="str"><v>Azure Direct</v></cell><cell r="J895" t="str"><v>Azure Direct</v></cell><cell r="K895" t="str"><v>September</v></cell><cell r="L895"><v>43358</v></cell><cell r="M895" t="str"><v>Tier 0</v></cell><cell r="N895" t="str"><v>North America</v></cell><cell r="O895" t="str"><v>United States</v></cell><cell r="P895" t="str"><v>Trial</v></cell><cell r="Q895" t="str"><v>Social</v></cell><cell r="R895" t="str"><v>Azure</v></cell><cell r="S895" t="str"><v>Apps & Infra</v></cell><cell r="T895" t="str"><v>Developers & ITI's</v></cell><cell r="U895" t="str"><v>USA-Trial-ITD-Interest Prospecting-AZR-AZR</v></cell><cell r="V895" t="str"><v>Prospecting</v></cell><cell r="W895" t="str"><v>Canvas Collection Ad</v></cell><cell r="X895" t="str"><v>1200x182</v></cell><cell r="Y895" t="str"><v>Try it Now</v></cell><cell r="Z895" t="str"><v>Not Applicable</v></cell><cell r="AA895"><v>43357</v></cell><cell r="AB895" t="str"><v>USA_gaPMG_AZR_AZR_Q1_19_Direct-Social</v></cell><cell r="AC895"><v>21358715</v></cell><cell r="AD895"><v>720197</v></cell><cell r="AE895" t="str"><v>Facebook</v></cell><cell r="AF895"><v>3654128</v></cell><cell r="AG895" t="str"><v>FACEBOOK»USA-Trial-ITD-Interest Prospecting-AZR-AZR»1 x 1»SocialBan»CCA»ALL»CPA»PRO»X»NA»SS»NA»Azure Developer Facebook Collections»PRSGV0</v></cell><cell r="AH895"><v>225283843</v></cell><cell r="AI895" t="str"><v>AZR_FBCollections-TryAzureFreeCTA-Img1_USA_1200x182_SOC_Plat_EN_NA_Standard_NA_TIN_T1_1</v></cell><cell r="AJ895"><v>103874423</v></cell></row><row r="896"><cell r="D896" t="str"><v>43357224104932</v></cell><cell r="E896" t="str"><v>43357103176851PRC1SZ</v></cell><cell r="F896" t="str"><v>DCM</v></cell></row><row r="896"><cell r="H896"><v>8</v></cell><cell r="I896" t="str"><v>Azure Direct</v></cell><cell r="J896" t="str"><v>Azure Direct</v></cell><cell r="K896" t="str"><v>September</v></cell><cell r="L896"><v>43358</v></cell><cell r="M896" t="str"><v>Tier 0</v></cell><cell r="N896" t="str"><v>North America</v></cell><cell r="O896" t="str"><v>United States</v></cell><cell r="P896" t="str"><v>Trial</v></cell><cell r="Q896" t="str"><v>Social</v></cell><cell r="R896" t="str"><v>Azure</v></cell><cell r="S896" t="str"><v>Apps & Infra</v></cell><cell r="T896" t="str"><v>Developers & ITI's</v></cell><cell r="U896" t="str"><v>USA-Trial-ITD-Interest Prospecting-AZR-AZR</v></cell><cell r="V896" t="str"><v>Prospecting</v></cell><cell r="W896" t="str"><v>Link Ad</v></cell><cell r="X896" t="str"><v>1200x1200</v></cell><cell r="Y896" t="str"><v>Learn More</v></cell><cell r="Z896" t="str"><v>Animated Banner</v></cell><cell r="AA896"><v>43357</v></cell><cell r="AB896" t="str"><v>USA_gaPMG_AZR_AZR_Q1_19_Direct-Social</v></cell><cell r="AC896"><v>21358715</v></cell><cell r="AD896"><v>720197</v></cell><cell r="AE896" t="str"><v>Facebook</v></cell><cell r="AF896"><v>3654128</v></cell><cell r="AG896" t="str"><v>FACEBOOK»USA-Trial-ITD-Interest Prospecting-AZR-AZR»1 x 1»SocialBan»LIA»ALL»CPA»PRO»X»NA»SS»NA»FreeAcctDeveloperFB-AnimatedGeneric-Ch1»PRC1SZ</v></cell><cell r="AH896"><v>224104932</v></cell><cell r="AI896" t="str"><v>AZR_FreeAcctDeveloperFB-AnimatedGeneric-Ch1_USA_1200x1200_CAN_Direct_English_Trial_Standard_ANI_LEA_T1_2</v></cell><cell r="AJ896"><v>103176851</v></cell></row><row r="897"><cell r="D897" t="str"><v>43357223862885</v></cell><cell r="E897" t="str"><v>43357103048329PRC1T1</v></cell><cell r="F897" t="str"><v>DCM</v></cell></row><row r="897"><cell r="H897"><v>7</v></cell><cell r="I897" t="str"><v>Azure Direct</v></cell><cell r="J897" t="str"><v>Azure Direct</v></cell><cell r="K897" t="str"><v>September</v></cell><cell r="L897"><v>43358</v></cell><cell r="M897" t="str"><v>Tier 0</v></cell><cell r="N897" t="str"><v>North America</v></cell><cell r="O897" t="str"><v>United States</v></cell><cell r="P897" t="str"><v>Trial</v></cell><cell r="Q897" t="str"><v>Social</v></cell><cell r="R897" t="str"><v>Azure</v></cell><cell r="S897" t="str"><v>Apps & Infra</v></cell><cell r="T897" t="str"><v>Developers & ITI's</v></cell><cell r="U897" t="str"><v>USA-Trial-ITD-Interest Prospecting-AZR-AZR</v></cell><cell r="V897" t="str"><v>Prospecting</v></cell><cell r="W897" t="str"><v>Link Ad</v></cell><cell r="X897" t="str"><v>1200x1200</v></cell><cell r="Y897" t="str"><v>Learn More</v></cell><cell r="Z897" t="str"><v>Animated Banner</v></cell><cell r="AA897"><v>43357</v></cell><cell r="AB897" t="str"><v>USA_gaPMG_AZR_AZR_Q1_19_Direct-Social</v></cell><cell r="AC897"><v>21358715</v></cell><cell r="AD897"><v>720197</v></cell><cell r="AE897" t="str"><v>Facebook</v></cell><cell r="AF897"><v>3654128</v></cell><cell r="AG897" t="str"><v>FACEBOOK»USA-Trial-ITD-Interest Prospecting-AZR-AZR»1 x 1»SocialBan»LIA»ALL»CPA»PRO»X»NA»SS»NA»FreeAcctDeveloperFB-AnimatedOpenSource-Ch2»PRC1T1</v></cell><cell r="AH897"><v>223862885</v></cell><cell r="AI897" t="str"><v>AZR_FreeAcctDeveloperFB-AnimatedOpenSource-Ch2_USA_1200x1200_CAN_Direct_English_Trial_Standard_ANI_LEA_T2_1</v></cell><cell r="AJ897"><v>103048329</v></cell></row><row r="898"><cell r="D898" t="str"><v>43357224104914</v></cell><cell r="E898" t="str"><v>43357103176830PRC1T4</v></cell><cell r="F898" t="str"><v>DCM</v></cell></row><row r="898"><cell r="H898"><v>28</v></cell><cell r="I898" t="str"><v>Azure Direct</v></cell><cell r="J898" t="str"><v>Azure Direct</v></cell><cell r="K898" t="str"><v>September</v></cell><cell r="L898"><v>43358</v></cell><cell r="M898" t="str"><v>Tier 0</v></cell><cell r="N898" t="str"><v>North America</v></cell><cell r="O898" t="str"><v>United States</v></cell><cell r="P898" t="str"><v>Trial</v></cell><cell r="Q898" t="str"><v>Social</v></cell><cell r="R898" t="str"><v>Azure</v></cell><cell r="S898" t="str"><v>Apps & Infra</v></cell><cell r="T898" t="str"><v>Developers & ITI's</v></cell><cell r="U898" t="str"><v>USA-Trial-ITD-Interest Prospecting-AZR-AZR</v></cell><cell r="V898" t="str"><v>Prospecting</v></cell><cell r="W898" t="str"><v>Link Ad</v></cell><cell r="X898" t="str"><v>1200x1200</v></cell><cell r="Y898" t="str"><v>Learn More</v></cell><cell r="Z898" t="str"><v>Animated Banner</v></cell><cell r="AA898"><v>43357</v></cell><cell r="AB898" t="str"><v>USA_gaPMG_AZR_AZR_Q1_19_Direct-Social</v></cell><cell r="AC898"><v>21358715</v></cell><cell r="AD898"><v>720197</v></cell><cell r="AE898" t="str"><v>Facebook</v></cell><cell r="AF898"><v>3654128</v></cell><cell r="AG898" t="str"><v>FACEBOOK»USA-Trial-ITD-Interest Prospecting-AZR-AZR»1 x 1»SocialBan»LIA»ALL»CPA»PRO»X»NA»SS»NA»FreeAcctITProFB-AnimatedSecureMngd-Ch1»PRC1T4</v></cell><cell r="AH898"><v>224104914</v></cell><cell r="AI898" t="str"><v>AZR_FreeAcctITProFB-AnimatedSecureMngd-Ch1_USA_1200x1200_CAN_Direct_English_Trial_Standard_ANI_LEA_T1_1</v></cell><cell r="AJ898"><v>103176830</v></cell></row><row r="899"><cell r="D899" t="str"><v>43357226030086</v></cell><cell r="E899" t="str"><v>43357104593207PRX721</v></cell><cell r="F899" t="str"><v>DCM</v></cell></row><row r="899"><cell r="H899"><v>0</v></cell><cell r="I899" t="str"><v>Azure Direct</v></cell><cell r="J899" t="str"><v>Azure Direct</v></cell><cell r="K899" t="str"><v>September</v></cell><cell r="L899"><v>43358</v></cell><cell r="M899" t="str"><v>Tier 0</v></cell><cell r="N899" t="str"><v>North America</v></cell><cell r="O899" t="str"><v>United States</v></cell><cell r="P899" t="str"><v>Trial</v></cell><cell r="Q899" t="str"><v>Social</v></cell><cell r="R899" t="str"><v>Azure</v></cell><cell r="S899" t="str"><v>Apps & Infra</v></cell><cell r="T899" t="str"><v>Developers & ITI's</v></cell><cell r="U899" t="str"><v>USA-Trial-ITD-Lead Completes Lookalike-AZR-AZR</v></cell><cell r="V899" t="str"><v>Lookalike Targeting</v></cell><cell r="W899" t="str"><v>Canvas Ad</v></cell><cell r="X899" t="str"><v>10s</v></cell><cell r="Y899" t="str"><v>Try it Now</v></cell><cell r="Z899" t="str"><v>Standard videos</v></cell><cell r="AA899"><v>43357</v></cell><cell r="AB899" t="str"><v>USA_gaPMG_AZR_AZR_Q1_19_Direct-Social</v></cell><cell r="AC899"><v>21358715</v></cell><cell r="AD899"><v>720197</v></cell><cell r="AE899" t="str"><v>Facebook</v></cell><cell r="AF899"><v>3654128</v></cell><cell r="AG899" t="str"><v>FACEBOOK»USA-Trial-ITD-Lead Completes Lookalike-AZR-AZR»1 x 1»SocialBan»CAN»ALL»CPA»LAL»X»NA»SS»NA»FBCTCBasicMotion»PRX721</v></cell><cell r="AH899"><v>226030086</v></cell><cell r="AI899" t="str"><v>AZR_FBCTCBasicMotion_USA_10s_CAN_PLATFORM_English_Trial_Standard_STAN_TIN_T1_1</v></cell><cell r="AJ899"><v>104593207</v></cell></row><row r="900"><cell r="D900" t="str"><v>43357225841990</v></cell><cell r="E900" t="str"><v>43357104593408PRX722</v></cell><cell r="F900" t="str"><v>DCM</v></cell></row><row r="900"><cell r="H900"><v>0</v></cell><cell r="I900" t="str"><v>Azure Direct</v></cell><cell r="J900" t="str"><v>Azure Direct</v></cell><cell r="K900" t="str"><v>September</v></cell><cell r="L900"><v>43358</v></cell><cell r="M900" t="str"><v>Tier 0</v></cell><cell r="N900" t="str"><v>North America</v></cell><cell r="O900" t="str"><v>United States</v></cell><cell r="P900" t="str"><v>Trial</v></cell><cell r="Q900" t="str"><v>Social</v></cell><cell r="R900" t="str"><v>Azure</v></cell><cell r="S900" t="str"><v>Apps & Infra</v></cell><cell r="T900" t="str"><v>Developers & ITI's</v></cell><cell r="U900" t="str"><v>USA-Trial-ITD-Lead Completes Lookalike-AZR-AZR</v></cell><cell r="V900" t="str"><v>Lookalike Targeting</v></cell><cell r="W900" t="str"><v>Canvas Ad</v></cell><cell r="X900" t="str"><v>10s</v></cell><cell r="Y900" t="str"><v>Try it Now</v></cell><cell r="Z900" t="str"><v>Standard videos</v></cell><cell r="AA900"><v>43357</v></cell><cell r="AB900" t="str"><v>USA_gaPMG_AZR_AZR_Q1_19_Direct-Social</v></cell><cell r="AC900"><v>21358715</v></cell><cell r="AD900"><v>720197</v></cell><cell r="AE900" t="str"><v>Facebook</v></cell><cell r="AF900"><v>3654128</v></cell><cell r="AG900" t="str"><v>FACEBOOK»USA-Trial-ITD-Lead Completes Lookalike-AZR-AZR»1 x 1»SocialBan»CAN»ALL»CPA»LAL»X»NA»SS»NA»FBCTCBenefit2inMotion»PRX722</v></cell><cell r="AH900"><v>225841990</v></cell><cell r="AI900" t="str"><v>AZR_FBCTCBenefit2inMotion_USA_10s_CAN_PLATFORM_English_Trial_Standard_STAN_TIN_T4_1</v></cell><cell r="AJ900"><v>104593408</v></cell></row><row r="901"><cell r="D901" t="str"><v>43357225841990</v></cell><cell r="E901" t="str"><v>43357104593714PRX722</v></cell><cell r="F901" t="str"><v>DCM</v></cell></row><row r="901"><cell r="H901"><v>1</v></cell><cell r="I901" t="str"><v>Azure Direct</v></cell><cell r="J901" t="str"><v>Azure Direct</v></cell><cell r="K901" t="str"><v>September</v></cell><cell r="L901"><v>43358</v></cell><cell r="M901" t="str"><v>Tier 0</v></cell><cell r="N901" t="str"><v>North America</v></cell><cell r="O901" t="str"><v>United States</v></cell><cell r="P901" t="str"><v>Trial</v></cell><cell r="Q901" t="str"><v>Social</v></cell><cell r="R901" t="str"><v>Azure</v></cell><cell r="S901" t="str"><v>Apps & Infra</v></cell><cell r="T901" t="str"><v>Developers & ITI's</v></cell><cell r="U901" t="str"><v>USA-Trial-ITD-Lead Completes Lookalike-AZR-AZR</v></cell><cell r="V901" t="str"><v>Lookalike Targeting</v></cell><cell r="W901" t="str"><v>Canvas Ad</v></cell><cell r="X901" t="str"><v>10s</v></cell><cell r="Y901" t="str"><v>Try it Now</v></cell><cell r="Z901" t="str"><v>Standard videos</v></cell><cell r="AA901"><v>43357</v></cell><cell r="AB901" t="str"><v>USA_gaPMG_AZR_AZR_Q1_19_Direct-Social</v></cell><cell r="AC901"><v>21358715</v></cell><cell r="AD901"><v>720197</v></cell><cell r="AE901" t="str"><v>Facebook</v></cell><cell r="AF901"><v>3654128</v></cell><cell r="AG901" t="str"><v>FACEBOOK»USA-Trial-ITD-Lead Completes Lookalike-AZR-AZR»1 x 1»SocialBan»CAN»ALL»CPA»LAL»X»NA»SS»NA»FBCTCBenefit2inMotion»PRX722</v></cell><cell r="AH901"><v>225841990</v></cell><cell r="AI901" t="str"><v>AZR_FBCTCBenefit2inMotion_USA_10s_CAN_PLATFORM_English_Trial_Standard_STAN_TIN_T4_2</v></cell><cell r="AJ901"><v>104593714</v></cell></row><row r="902"><cell r="D902" t="str"><v>43357225841993</v></cell><cell r="E902" t="str"><v>43357104595718PRX723</v></cell><cell r="F902" t="str"><v>DCM</v></cell></row><row r="902"><cell r="H902"><v>10</v></cell><cell r="I902" t="str"><v>Azure Direct</v></cell><cell r="J902" t="str"><v>Azure Direct</v></cell><cell r="K902" t="str"><v>September</v></cell><cell r="L902"><v>43358</v></cell><cell r="M902" t="str"><v>Tier 0</v></cell><cell r="N902" t="str"><v>North America</v></cell><cell r="O902" t="str"><v>United States</v></cell><cell r="P902" t="str"><v>Trial</v></cell><cell r="Q902" t="str"><v>Social</v></cell><cell r="R902" t="str"><v>Azure</v></cell><cell r="S902" t="str"><v>Apps & Infra</v></cell><cell r="T902" t="str"><v>Developers & ITI's</v></cell><cell r="U902" t="str"><v>USA-Trial-ITD-Lead Completes Lookalike-AZR-AZR</v></cell><cell r="V902" t="str"><v>Lookalike Targeting</v></cell><cell r="W902" t="str"><v>Canvas Ad</v></cell><cell r="X902" t="str"><v>10s</v></cell><cell r="Y902" t="str"><v>Try it Now</v></cell><cell r="Z902" t="str"><v>Standard videos</v></cell><cell r="AA902"><v>43357</v></cell><cell r="AB902" t="str"><v>USA_gaPMG_AZR_AZR_Q1_19_Direct-Social</v></cell><cell r="AC902"><v>21358715</v></cell><cell r="AD902"><v>720197</v></cell><cell r="AE902" t="str"><v>Facebook</v></cell><cell r="AF902"><v>3654128</v></cell><cell r="AG902" t="str"><v>FACEBOOK»USA-Trial-ITD-Lead Completes Lookalike-AZR-AZR»1 x 1»SocialBan»CAN»ALL»CPA»LAL»X»NA»SS»NA»FBCTCBenefitinMotion»PRX723</v></cell><cell r="AH902"><v>225841993</v></cell><cell r="AI902" t="str"><v>AZR_FBCTCBenefitinMotion_USA_10s_CAN_PLATFORM_English_Trial_Standard_STAN_TIN_T3_2</v></cell><cell r="AJ902"><v>104595718</v></cell></row><row r="903"><cell r="D903" t="str"><v>43357226028475</v></cell><cell r="E903" t="str"><v>43357104593696PRX724</v></cell><cell r="F903" t="str"><v>DCM</v></cell></row><row r="903"><cell r="H903"><v>0</v></cell><cell r="I903" t="str"><v>Azure Direct</v></cell><cell r="J903" t="str"><v>Azure Direct</v></cell><cell r="K903" t="str"><v>September</v></cell><cell r="L903"><v>43358</v></cell><cell r="M903" t="str"><v>Tier 0</v></cell><cell r="N903" t="str"><v>North America</v></cell><cell r="O903" t="str"><v>United States</v></cell><cell r="P903" t="str"><v>Trial</v></cell><cell r="Q903" t="str"><v>Social</v></cell><cell r="R903" t="str"><v>Azure</v></cell><cell r="S903" t="str"><v>Apps & Infra</v></cell><cell r="T903" t="str"><v>Developers & ITI's</v></cell><cell r="U903" t="str"><v>USA-Trial-ITD-Lead Completes Lookalike-AZR-AZR</v></cell><cell r="V903" t="str"><v>Lookalike Targeting</v></cell><cell r="W903" t="str"><v>Canvas Ad</v></cell><cell r="X903" t="str"><v>10s</v></cell><cell r="Y903" t="str"><v>Try it Now</v></cell><cell r="Z903" t="str"><v>Standard videos</v></cell><cell r="AA903"><v>43357</v></cell><cell r="AB903" t="str"><v>USA_gaPMG_AZR_AZR_Q1_19_Direct-Social</v></cell><cell r="AC903"><v>21358715</v></cell><cell r="AD903"><v>720197</v></cell><cell r="AE903" t="str"><v>Facebook</v></cell><cell r="AF903"><v>3654128</v></cell><cell r="AG903" t="str"><v>FACEBOOK»USA-Trial-ITD-Lead Completes Lookalike-AZR-AZR»1 x 1»SocialBan»CAN»ALL»CPA»LAL»X»NA»SS»NA»FBCTCBrandinMotion»PRX724</v></cell><cell r="AH903"><v>226028475</v></cell><cell r="AI903" t="str"><v>AZR_FBCTCBrandinMotion_USA_10s_CAN_PLATFORM_English_Trial_Standard_STAN_TIN_T2_1</v></cell><cell r="AJ903"><v>104593696</v></cell></row><row r="904"><cell r="D904" t="str"><v>43357226622251</v></cell><cell r="E904" t="str"><v>43357104592523PS79FX</v></cell><cell r="F904" t="str"><v>DCM</v></cell></row><row r="904"><cell r="H904"><v>3</v></cell><cell r="I904" t="str"><v>Azure Direct</v></cell><cell r="J904" t="str"><v>Azure Direct</v></cell><cell r="K904" t="str"><v>September</v></cell><cell r="L904"><v>43358</v></cell><cell r="M904" t="str"><v>Tier 0</v></cell><cell r="N904" t="str"><v>North America</v></cell><cell r="O904" t="str"><v>United States</v></cell><cell r="P904" t="str"><v>Trial</v></cell><cell r="Q904" t="str"><v>Social</v></cell><cell r="R904" t="str"><v>Azure</v></cell><cell r="S904" t="str"><v>Apps & Infra</v></cell><cell r="T904" t="str"><v>Developers & ITI's</v></cell><cell r="U904" t="str"><v>USA-Trial-ITD-Lead Completes Lookalike-AZR-AZR</v></cell><cell r="V904" t="str"><v>Lookalike Targeting</v></cell><cell r="W904" t="str"><v>Canvas Ad</v></cell><cell r="X904" t="str"><v>1200x1200</v></cell><cell r="Y904" t="str"><v>Learn More</v></cell><cell r="Z904" t="str"><v>Animated Banner</v></cell><cell r="AA904"><v>43357</v></cell><cell r="AB904" t="str"><v>USA_gaPMG_AZR_AZR_Q1_19_Direct-Social</v></cell><cell r="AC904"><v>21358715</v></cell><cell r="AD904"><v>720197</v></cell><cell r="AE904" t="str"><v>Facebook</v></cell><cell r="AF904"><v>3654128</v></cell><cell r="AG904" t="str"><v>FACEBOOK»USA-Trial-ITD-Lead Completes Lookalike-AZR-AZR»1 x 1»SocialBan»CAN»ALL»CPA»LAL»X»NA»SS»NA»FreeAcctDeveloperFB-AnimatedGeneric-Ch1»PS79FX</v></cell><cell r="AH904"><v>226622251</v></cell><cell r="AI904" t="str"><v>AZR_FreeAcctDeveloperFB-AnimatedGeneric-Ch1_USA_1200x1200_CAN_Direct_EN_Trial_Standard_ANI_LEA_T1_2</v></cell><cell r="AJ904"><v>104592523</v></cell></row><row r="905"><cell r="D905" t="str"><v>43357226622251</v></cell><cell r="E905" t="str"><v>43357104595766PS79FX</v></cell><cell r="F905" t="str"><v>DCM</v></cell></row><row r="905"><cell r="H905"><v>0</v></cell><cell r="I905" t="str"><v>Azure Direct</v></cell><cell r="J905" t="str"><v>Azure Direct</v></cell><cell r="K905" t="str"><v>September</v></cell><cell r="L905"><v>43358</v></cell><cell r="M905" t="str"><v>Tier 0</v></cell><cell r="N905" t="str"><v>North America</v></cell><cell r="O905" t="str"><v>United States</v></cell><cell r="P905" t="str"><v>Trial</v></cell><cell r="Q905" t="str"><v>Social</v></cell><cell r="R905" t="str"><v>Azure</v></cell><cell r="S905" t="str"><v>Apps & Infra</v></cell><cell r="T905" t="str"><v>Developers & ITI's</v></cell><cell r="U905" t="str"><v>USA-Trial-ITD-Lead Completes Lookalike-AZR-AZR</v></cell><cell r="V905" t="str"><v>Lookalike Targeting</v></cell><cell r="W905" t="str"><v>Canvas Ad</v></cell><cell r="X905" t="str"><v>1200x1200</v></cell><cell r="Y905" t="str"><v>Learn More</v></cell><cell r="Z905" t="str"><v>Animated Banner</v></cell><cell r="AA905"><v>43357</v></cell><cell r="AB905" t="str"><v>USA_gaPMG_AZR_AZR_Q1_19_Direct-Social</v></cell><cell r="AC905"><v>21358715</v></cell><cell r="AD905"><v>720197</v></cell><cell r="AE905" t="str"><v>Facebook</v></cell><cell r="AF905"><v>3654128</v></cell><cell r="AG905" t="str"><v>FACEBOOK»USA-Trial-ITD-Lead Completes Lookalike-AZR-AZR»1 x 1»SocialBan»CAN»ALL»CPA»LAL»X»NA»SS»NA»FreeAcctDeveloperFB-AnimatedGeneric-Ch1»PS79FX</v></cell><cell r="AH905"><v>226622251</v></cell><cell r="AI905" t="str"><v>AZR_FreeAcctDeveloperFB-AnimatedGeneric-Ch1_USA_1200x1200_CAN_Direct_EN_Trial_Standard_ANI_LEA_T1_1</v></cell><cell r="AJ905"><v>104595766</v></cell></row><row r="906"><cell r="D906" t="str"><v>43357226539965</v></cell><cell r="E906" t="str"><v>43357104595757PS79G2</v></cell><cell r="F906" t="str"><v>DCM</v></cell></row><row r="906"><cell r="H906"><v>1</v></cell><cell r="I906" t="str"><v>Azure Direct</v></cell><cell r="J906" t="str"><v>Azure Direct</v></cell><cell r="K906" t="str"><v>September</v></cell><cell r="L906"><v>43358</v></cell><cell r="M906" t="str"><v>Tier 0</v></cell><cell r="N906" t="str"><v>North America</v></cell><cell r="O906" t="str"><v>United States</v></cell><cell r="P906" t="str"><v>Trial</v></cell><cell r="Q906" t="str"><v>Social</v></cell><cell r="R906" t="str"><v>Azure</v></cell><cell r="S906" t="str"><v>Apps & Infra</v></cell><cell r="T906" t="str"><v>Developers & ITI's</v></cell><cell r="U906" t="str"><v>USA-Trial-ITD-Lead Completes Lookalike-AZR-AZR</v></cell><cell r="V906" t="str"><v>Lookalike Targeting</v></cell><cell r="W906" t="str"><v>Canvas Ad</v></cell><cell r="X906" t="str"><v>1200x1200</v></cell><cell r="Y906" t="str"><v>Learn More</v></cell><cell r="Z906" t="str"><v>Animated Banner</v></cell><cell r="AA906"><v>43357</v></cell><cell r="AB906" t="str"><v>USA_gaPMG_AZR_AZR_Q1_19_Direct-Social</v></cell><cell r="AC906"><v>21358715</v></cell><cell r="AD906"><v>720197</v></cell><cell r="AE906" t="str"><v>Facebook</v></cell><cell r="AF906"><v>3654128</v></cell><cell r="AG906" t="str"><v>FACEBOOK»USA-Trial-ITD-Lead Completes Lookalike-AZR-AZR»1 x 1»SocialBan»CAN»ALL»CPA»LAL»X»NA»SS»NA»FreeAcctITProFB-AnimatedSecureMngd-Ch1»PS79G2</v></cell><cell r="AH906"><v>226539965</v></cell><cell r="AI906" t="str"><v>AZR_FreeAcctITProFB-AnimatedSecureMngd-Ch1_USA_1200x1200_CAN_Direct_EN_Trial_Standard_ANI_LEA_T1_2</v></cell><cell r="AJ906"><v>104595757</v></cell></row><row r="907"><cell r="D907" t="str"><v>43357225761645</v></cell><cell r="E907" t="str"><v>43357104595751PRX71S</v></cell><cell r="F907" t="str"><v>DCM</v></cell></row><row r="907"><cell r="H907"><v>4</v></cell><cell r="I907" t="str"><v>Azure Direct</v></cell><cell r="J907" t="str"><v>Azure Direct</v></cell><cell r="K907" t="str"><v>September</v></cell><cell r="L907"><v>43358</v></cell><cell r="M907" t="str"><v>Tier 0</v></cell><cell r="N907" t="str"><v>North America</v></cell><cell r="O907" t="str"><v>United States</v></cell><cell r="P907" t="str"><v>Trial</v></cell><cell r="Q907" t="str"><v>Social</v></cell><cell r="R907" t="str"><v>Azure</v></cell><cell r="S907" t="str"><v>Apps & Infra</v></cell><cell r="T907" t="str"><v>Developers & ITI's</v></cell><cell r="U907" t="str"><v>USA-Trial-ITD-Lead Completes Lookalike-AZR-AZR</v></cell><cell r="V907" t="str"><v>Lookalike Targeting</v></cell><cell r="W907" t="str"><v>Canvas Collection Ad</v></cell><cell r="X907" t="str"><v>1200x182</v></cell><cell r="Y907" t="str"><v>Try it Now</v></cell><cell r="Z907" t="str"><v>Not Applicable</v></cell><cell r="AA907"><v>43357</v></cell><cell r="AB907" t="str"><v>USA_gaPMG_AZR_AZR_Q1_19_Direct-Social</v></cell><cell r="AC907"><v>21358715</v></cell><cell r="AD907"><v>720197</v></cell><cell r="AE907" t="str"><v>Facebook</v></cell><cell r="AF907"><v>3654128</v></cell><cell r="AG907" t="str"><v>FACEBOOK»USA-Trial-ITD-Lead Completes Lookalike-AZR-AZR»1 x 1»SocialBan»CCA»ALL»CPA»LAL»X»NA»SS»NA»Azure Developer Facebook Collections»PRX71S</v></cell><cell r="AH907"><v>225761645</v></cell><cell r="AI907" t="str"><v>AZR_FBCollections-SmartDataTryAzureFreeCTA-Img4_USA_1200x182_CCA_Plat_EN_NA_Standard_NA_TIN_T1_4</v></cell><cell r="AJ907"><v>104595751</v></cell></row><row r="908"><cell r="D908" t="str"><v>43357225761645</v></cell><cell r="E908" t="str"><v>43357104593432PRX71S</v></cell><cell r="F908" t="str"><v>DCM</v></cell></row><row r="908"><cell r="H908"><v>5</v></cell><cell r="I908" t="str"><v>Azure Direct</v></cell><cell r="J908" t="str"><v>Azure Direct</v></cell><cell r="K908" t="str"><v>September</v></cell><cell r="L908"><v>43358</v></cell><cell r="M908" t="str"><v>Tier 0</v></cell><cell r="N908" t="str"><v>North America</v></cell><cell r="O908" t="str"><v>United States</v></cell><cell r="P908" t="str"><v>Trial</v></cell><cell r="Q908" t="str"><v>Social</v></cell><cell r="R908" t="str"><v>Azure</v></cell><cell r="S908" t="str"><v>Apps & Infra</v></cell><cell r="T908" t="str"><v>Developers & ITI's</v></cell><cell r="U908" t="str"><v>USA-Trial-ITD-Lead Completes Lookalike-AZR-AZR</v></cell><cell r="V908" t="str"><v>Lookalike Targeting</v></cell><cell r="W908" t="str"><v>Canvas Collection Ad</v></cell><cell r="X908" t="str"><v>1200x182</v></cell><cell r="Y908" t="str"><v>Try it Now</v></cell><cell r="Z908" t="str"><v>Not Applicable</v></cell><cell r="AA908"><v>43357</v></cell><cell r="AB908" t="str"><v>USA_gaPMG_AZR_AZR_Q1_19_Direct-Social</v></cell><cell r="AC908"><v>21358715</v></cell><cell r="AD908"><v>720197</v></cell><cell r="AE908" t="str"><v>Facebook</v></cell><cell r="AF908"><v>3654128</v></cell><cell r="AG908" t="str"><v>FACEBOOK»USA-Trial-ITD-Lead Completes Lookalike-AZR-AZR»1 x 1»SocialBan»CCA»ALL»CPA»LAL»X»NA»SS»NA»Azure Developer Facebook Collections»PRX71S</v></cell><cell r="AH908"><v>225761645</v></cell><cell r="AI908" t="str"><v>AZR_FBCollections-TryAzureFreeCTA-Img1_USA_1200x182_CCA_Plat_EN_NA_Standard_NA_TIN_T1_1</v></cell><cell r="AJ908"><v>104593432</v></cell></row><row r="909"><cell r="D909" t="str"><v>43357226783983</v></cell><cell r="E909" t="str"><v>43357104592526PS79S1</v></cell><cell r="F909" t="str"><v>DCM</v></cell></row><row r="909"><cell r="H909"><v>1</v></cell><cell r="I909" t="str"><v>Azure Direct</v></cell><cell r="J909" t="str"><v>Azure Direct</v></cell><cell r="K909" t="str"><v>September</v></cell><cell r="L909"><v>43358</v></cell><cell r="M909" t="str"><v>Tier 0</v></cell><cell r="N909" t="str"><v>North America</v></cell><cell r="O909" t="str"><v>United States</v></cell><cell r="P909" t="str"><v>Trial</v></cell><cell r="Q909" t="str"><v>Social</v></cell><cell r="R909" t="str"><v>Azure</v></cell><cell r="S909" t="str"><v>Apps & Infra</v></cell><cell r="T909" t="str"><v>Developers & ITI's</v></cell><cell r="U909" t="str"><v>USA-Trial-ITD-Retargeting-AZR-AZR</v></cell><cell r="V909" t="str"><v>Retargeting</v></cell><cell r="W909" t="str"><v>Canvas Ad</v></cell><cell r="X909" t="str"><v>1200x628</v></cell><cell r="Y909" t="str"><v>Sign Up</v></cell><cell r="Z909" t="str"><v>Not Applicable</v></cell><cell r="AA909"><v>43357</v></cell><cell r="AB909" t="str"><v>USA_gaPMG_AZR_AZR_Q1_19_Direct-Social</v></cell><cell r="AC909"><v>21358715</v></cell><cell r="AD909"><v>720197</v></cell><cell r="AE909" t="str"><v>Facebook</v></cell><cell r="AF909"><v>3654128</v></cell><cell r="AG909" t="str"><v>FACEBOOK»USA-Trial-ITD-Retargeting-AZR-AZR»1 x 1»SocialBan»CAN»ALL»CPA»RT»X»NA»SS»NA»FreeAcctRetargetingFB-Credit-ChA»PS79S1</v></cell><cell r="AH909"><v>226783983</v></cell><cell r="AI909" t="str"><v>AZR_FreeAcctRetargetingFB-Credit-ChA_USA_1200x628_CAN_Plat_English_Free Account_Standard_NA_SINU_T1_2</v></cell><cell r="AJ909"><v>104592526</v></cell></row><row r="910"><cell r="D910" t="str"><v>43357223862756</v></cell><cell r="E910" t="str"><v>43357103180592PRC1RW</v></cell><cell r="F910" t="str"><v>DCM</v></cell></row><row r="910"><cell r="H910"><v>1</v></cell><cell r="I910" t="str"><v>Azure Direct</v></cell><cell r="J910" t="str"><v>Azure Direct</v></cell><cell r="K910" t="str"><v>September</v></cell><cell r="L910"><v>43358</v></cell><cell r="M910" t="str"><v>Tier 0</v></cell><cell r="N910" t="str"><v>North America</v></cell><cell r="O910" t="str"><v>United States</v></cell><cell r="P910" t="str"><v>Trial</v></cell><cell r="Q910" t="str"><v>Social</v></cell><cell r="R910" t="str"><v>Azure</v></cell><cell r="S910" t="str"><v>Apps & Infra</v></cell><cell r="T910" t="str"><v>Developers & ITI's</v></cell><cell r="U910" t="str"><v>USA-Trial-ITD-Retargeting-AZR-AZR</v></cell><cell r="V910" t="str"><v>Retargeting</v></cell><cell r="W910" t="str"><v>Link Ad</v></cell><cell r="X910" t="str"><v>1200x628</v></cell><cell r="Y910" t="str"><v>Sign Up</v></cell><cell r="Z910" t="str"><v>Not Applicable</v></cell><cell r="AA910"><v>43357</v></cell><cell r="AB910" t="str"><v>USA_gaPMG_AZR_AZR_Q1_19_Direct-Social</v></cell><cell r="AC910"><v>21358715</v></cell><cell r="AD910"><v>720197</v></cell><cell r="AE910" t="str"><v>Facebook</v></cell><cell r="AF910"><v>3654128</v></cell><cell r="AG910" t="str"><v>FACEBOOK»USA-Trial-ITD-Retargeting-AZR-AZR»1 x 1»SocialBan»LIA»ALL»CPA»RT»X»NA»SS»NA»FreeAcctRetargetingFB-GlobalAlt-ChB»PRC1RW</v></cell><cell r="AH910"><v>223862756</v></cell><cell r="AI910" t="str"><v>AzurePlatform_FreeAcctRetargetingFB-GlobalAlt-ChB_USA_1200x628_CAN_PLATFORM_English_Free Account_Standard_NA_SINU_T2_1</v></cell><cell r="AJ910"><v>103180592</v></cell></row><row r="911"><cell r="D911" t="str"><v>43357223862747</v></cell><cell r="E911" t="str"><v>43357103034911PRC1RY</v></cell><cell r="F911" t="str"><v>DCM</v></cell></row><row r="911"><cell r="H911"><v>57</v></cell><cell r="I911" t="str"><v>Azure Direct</v></cell><cell r="J911" t="str"><v>Azure Direct</v></cell><cell r="K911" t="str"><v>September</v></cell><cell r="L911"><v>43358</v></cell><cell r="M911" t="str"><v>Tier 0</v></cell><cell r="N911" t="str"><v>North America</v></cell><cell r="O911" t="str"><v>United States</v></cell><cell r="P911" t="str"><v>Trial</v></cell><cell r="Q911" t="str"><v>Social</v></cell><cell r="R911" t="str"><v>Azure</v></cell><cell r="S911" t="str"><v>Apps & Infra</v></cell><cell r="T911" t="str"><v>Developers & ITI's</v></cell><cell r="U911" t="str"><v>USA-Trial-ITD-Retargeting-AZR-AZR</v></cell><cell r="V911" t="str"><v>Retargeting</v></cell><cell r="W911" t="str"><v>Link Ad</v></cell><cell r="X911" t="str"><v>1200x628</v></cell><cell r="Y911" t="str"><v>Sign Up</v></cell><cell r="Z911" t="str"><v>Not Applicable</v></cell><cell r="AA911"><v>43357</v></cell><cell r="AB911" t="str"><v>USA_gaPMG_AZR_AZR_Q1_19_Direct-Social</v></cell><cell r="AC911"><v>21358715</v></cell><cell r="AD911"><v>720197</v></cell><cell r="AE911" t="str"><v>Facebook</v></cell><cell r="AF911"><v>3654128</v></cell><cell r="AG911" t="str"><v>FACEBOOK»USA-Trial-ITD-Retargeting-AZR-AZR»1 x 1»SocialBan»LIA»ALL»CPA»RT»X»NA»SS»NA»FreeAcctRetargetingVMFB-750Hrs-ChD»PRC1RY</v></cell><cell r="AH911"><v>223862747</v></cell><cell r="AI911" t="str"><v>AzurePlatform_FreeAcctRetargetingVMFB-750Hrs-ChD_USA_1200x628_CAN_PLATFORM_English_Free Account_Standard_NA_SINU_T1_1</v></cell><cell r="AJ911"><v>103034911</v></cell></row><row r="912"><cell r="D912" t="str"><v>43357223862900</v></cell><cell r="E912" t="str"><v>43357103176812PRC1M3</v></cell><cell r="F912" t="str"><v>DCM</v></cell></row><row r="912"><cell r="H912"><v>0</v></cell><cell r="I912" t="str"><v>Azure Direct</v></cell><cell r="J912" t="str"><v>Azure Direct</v></cell><cell r="K912" t="str"><v>September</v></cell><cell r="L912"><v>43358</v></cell><cell r="M912" t="str"><v>Tier 0</v></cell><cell r="N912" t="str"><v>North America</v></cell><cell r="O912" t="str"><v>United States</v></cell><cell r="P912" t="str"><v>Trial</v></cell><cell r="Q912" t="str"><v>Social</v></cell><cell r="R912" t="str"><v>Azure</v></cell><cell r="S912" t="str"><v>Apps & Infra</v></cell><cell r="T912" t="str"><v>Developers & ITI's</v></cell><cell r="U912" t="str"><v>USA-Trial-ITD-Trial Lookalike-AZR-AZR</v></cell><cell r="V912" t="str"><v>Lookalike Targeting</v></cell><cell r="W912" t="str"><v>Canvas Ad</v></cell><cell r="X912" t="str"><v>10s</v></cell><cell r="Y912" t="str"><v>Try it Now</v></cell><cell r="Z912" t="str"><v>Standard videos</v></cell><cell r="AA912"><v>43357</v></cell><cell r="AB912" t="str"><v>USA_gaPMG_AZR_AZR_Q1_19_Direct-Social</v></cell><cell r="AC912"><v>21358715</v></cell><cell r="AD912"><v>720197</v></cell><cell r="AE912" t="str"><v>Facebook</v></cell><cell r="AF912"><v>3654128</v></cell><cell r="AG912" t="str"><v>FACEBOOK»USA-Trial-ITD-Trial Lookalike-AZR-AZR»1 x 1»SocialBan»CAN»ALL»CPA»LAL»X»NA»SS»NA»FBCTCBrandinMotion»PRC1M3</v></cell><cell r="AH912"><v>223862900</v></cell><cell r="AI912" t="str"><v>AzurePlatform_FBCTCBrandinMotion_USA_10s_CAN_PLATFORM_English_Trial_Standard_STAN_TIN_T2_1</v></cell><cell r="AJ912"><v>103176812</v></cell></row><row r="913"><cell r="D913" t="str"><v>43357225282481</v></cell><cell r="E913" t="str"><v>43357103776921PRSH0N</v></cell><cell r="F913" t="str"><v>DCM</v></cell></row><row r="913"><cell r="H913"><v>6</v></cell><cell r="I913" t="str"><v>Azure Direct</v></cell><cell r="J913" t="str"><v>Azure Direct</v></cell><cell r="K913" t="str"><v>September</v></cell><cell r="L913"><v>43358</v></cell><cell r="M913" t="str"><v>Tier 0</v></cell><cell r="N913" t="str"><v>North America</v></cell><cell r="O913" t="str"><v>United States</v></cell><cell r="P913" t="str"><v>Trial</v></cell><cell r="Q913" t="str"><v>Social</v></cell><cell r="R913" t="str"><v>Azure</v></cell><cell r="S913" t="str"><v>Apps & Infra</v></cell><cell r="T913" t="str"><v>Developers & ITI's</v></cell><cell r="U913" t="str"><v>USA-Trial-ITD-Trial Lookalike-AZR-AZR</v></cell><cell r="V913" t="str"><v>Lookalike Targeting</v></cell><cell r="W913" t="str"><v>Canvas Collection Ad</v></cell><cell r="X913" t="str"><v>1200x182</v></cell><cell r="Y913" t="str"><v>Try it Now</v></cell><cell r="Z913" t="str"><v>Not Applicable</v></cell><cell r="AA913"><v>43357</v></cell><cell r="AB913" t="str"><v>USA_gaPMG_AZR_AZR_Q1_19_Direct-Social</v></cell><cell r="AC913"><v>21358715</v></cell><cell r="AD913"><v>720197</v></cell><cell r="AE913" t="str"><v>Facebook</v></cell><cell r="AF913"><v>3654128</v></cell><cell r="AG913" t="str"><v>FACEBOOK»USA-Trial-ITD-Trial Lookalike-AZR-AZR»1 x 1»SocialBan»CCA»ALL»CPA»LAL»X»NA»SS»NA»Azure Developer Facebook Collections»PRSH0N</v></cell><cell r="AH913"><v>225282481</v></cell><cell r="AI913" t="str"><v>AZR_FBCollections-FreeStuffTryAzureFreeCTA-Img5_USA_1200x182_SOC_Plat_EN_NA_Standard_NA_TIN_T1_5</v></cell><cell r="AJ913"><v>103776921</v></cell></row><row r="914"><cell r="D914" t="str"><v>43357225282481</v></cell><cell r="E914" t="str"><v>43357103773180PRSH0N</v></cell><cell r="F914" t="str"><v>DCM</v></cell></row><row r="914"><cell r="H914"><v>5</v></cell><cell r="I914" t="str"><v>Azure Direct</v></cell><cell r="J914" t="str"><v>Azure Direct</v></cell><cell r="K914" t="str"><v>September</v></cell><cell r="L914"><v>43358</v></cell><cell r="M914" t="str"><v>Tier 0</v></cell><cell r="N914" t="str"><v>North America</v></cell><cell r="O914" t="str"><v>United States</v></cell><cell r="P914" t="str"><v>Trial</v></cell><cell r="Q914" t="str"><v>Social</v></cell><cell r="R914" t="str"><v>Azure</v></cell><cell r="S914" t="str"><v>Apps & Infra</v></cell><cell r="T914" t="str"><v>Developers & ITI's</v></cell><cell r="U914" t="str"><v>USA-Trial-ITD-Trial Lookalike-AZR-AZR</v></cell><cell r="V914" t="str"><v>Lookalike Targeting</v></cell><cell r="W914" t="str"><v>Canvas Collection Ad</v></cell><cell r="X914" t="str"><v>1200x182</v></cell><cell r="Y914" t="str"><v>Try it Now</v></cell><cell r="Z914" t="str"><v>Not Applicable</v></cell><cell r="AA914"><v>43357</v></cell><cell r="AB914" t="str"><v>USA_gaPMG_AZR_AZR_Q1_19_Direct-Social</v></cell><cell r="AC914"><v>21358715</v></cell><cell r="AD914"><v>720197</v></cell><cell r="AE914" t="str"><v>Facebook</v></cell><cell r="AF914"><v>3654128</v></cell><cell r="AG914" t="str"><v>FACEBOOK»USA-Trial-ITD-Trial Lookalike-AZR-AZR»1 x 1»SocialBan»CCA»ALL»CPA»LAL»X»NA»SS»NA»Azure Developer Facebook Collections»PRSH0N</v></cell><cell r="AH914"><v>225282481</v></cell><cell r="AI914" t="str"><v>AZR_FBCollections-SmartDataTryAzureFreeCTA-Img4_USA_1200x182_SOC_Plat_EN_NA_Standard_NA_TIN_T1_4</v></cell><cell r="AJ914"><v>103773180</v></cell></row><row r="915"><cell r="D915" t="str"><v>43357225282481</v></cell><cell r="E915" t="str"><v>43357103874423PRSH0N</v></cell><cell r="F915" t="str"><v>DCM</v></cell></row><row r="915"><cell r="H915"><v>14</v></cell><cell r="I915" t="str"><v>Azure Direct</v></cell><cell r="J915" t="str"><v>Azure Direct</v></cell><cell r="K915" t="str"><v>September</v></cell><cell r="L915"><v>43358</v></cell><cell r="M915" t="str"><v>Tier 0</v></cell><cell r="N915" t="str"><v>North America</v></cell><cell r="O915" t="str"><v>United States</v></cell><cell r="P915" t="str"><v>Trial</v></cell><cell r="Q915" t="str"><v>Social</v></cell><cell r="R915" t="str"><v>Azure</v></cell><cell r="S915" t="str"><v>Apps & Infra</v></cell><cell r="T915" t="str"><v>Developers & ITI's</v></cell><cell r="U915" t="str"><v>USA-Trial-ITD-Trial Lookalike-AZR-AZR</v></cell><cell r="V915" t="str"><v>Lookalike Targeting</v></cell><cell r="W915" t="str"><v>Canvas Collection Ad</v></cell><cell r="X915" t="str"><v>1200x182</v></cell><cell r="Y915" t="str"><v>Try it Now</v></cell><cell r="Z915" t="str"><v>Not Applicable</v></cell><cell r="AA915"><v>43357</v></cell><cell r="AB915" t="str"><v>USA_gaPMG_AZR_AZR_Q1_19_Direct-Social</v></cell><cell r="AC915"><v>21358715</v></cell><cell r="AD915"><v>720197</v></cell><cell r="AE915" t="str"><v>Facebook</v></cell><cell r="AF915"><v>3654128</v></cell><cell r="AG915" t="str"><v>FACEBOOK»USA-Trial-ITD-Trial Lookalike-AZR-AZR»1 x 1»SocialBan»CCA»ALL»CPA»LAL»X»NA»SS»NA»Azure Developer Facebook Collections»PRSH0N</v></cell><cell r="AH915"><v>225282481</v></cell><cell r="AI915" t="str"><v>AZR_FBCollections-TryAzureFreeCTA-Img1_USA_1200x182_SOC_Plat_EN_NA_Standard_NA_TIN_T1_1</v></cell><cell r="AJ915"><v>103874423</v></cell></row><row r="916"><cell r="D916" t="str"><v>43357225282481</v></cell><cell r="E916" t="str"><v>43357103773177PRSH0N</v></cell><cell r="F916" t="str"><v>DCM</v></cell></row><row r="916"><cell r="H916"><v>4</v></cell><cell r="I916" t="str"><v>Azure Direct</v></cell><cell r="J916" t="str"><v>Azure Direct</v></cell><cell r="K916" t="str"><v>September</v></cell><cell r="L916"><v>43358</v></cell><cell r="M916" t="str"><v>Tier 0</v></cell><cell r="N916" t="str"><v>North America</v></cell><cell r="O916" t="str"><v>United States</v></cell><cell r="P916" t="str"><v>Trial</v></cell><cell r="Q916" t="str"><v>Social</v></cell><cell r="R916" t="str"><v>Azure</v></cell><cell r="S916" t="str"><v>Apps & Infra</v></cell><cell r="T916" t="str"><v>Developers & ITI's</v></cell><cell r="U916" t="str"><v>USA-Trial-ITD-Trial Lookalike-AZR-AZR</v></cell><cell r="V916" t="str"><v>Lookalike Targeting</v></cell><cell r="W916" t="str"><v>Canvas Collection Ad</v></cell><cell r="X916" t="str"><v>1200x182</v></cell><cell r="Y916" t="str"><v>Try it Now</v></cell><cell r="Z916" t="str"><v>Not Applicable</v></cell><cell r="AA916"><v>43357</v></cell><cell r="AB916" t="str"><v>USA_gaPMG_AZR_AZR_Q1_19_Direct-Social</v></cell><cell r="AC916"><v>21358715</v></cell><cell r="AD916"><v>720197</v></cell><cell r="AE916" t="str"><v>Facebook</v></cell><cell r="AF916"><v>3654128</v></cell><cell r="AG916" t="str"><v>FACEBOOK»USA-Trial-ITD-Trial Lookalike-AZR-AZR»1 x 1»SocialBan»CCA»ALL»CPA»LAL»X»NA»SS»NA»Azure Developer Facebook Collections»PRSH0N</v></cell><cell r="AH916"><v>225282481</v></cell><cell r="AI916" t="str"><v>AZR_FBCollections-AITryAzureFreeCTA-Img2_USA_1200x182_SOC_Plat_EN_NA_Standard_NA_TIN_T1_2</v></cell><cell r="AJ916"><v>103773177</v></cell></row><row r="917"><cell r="D917" t="str"><v>43357223862933</v></cell><cell r="E917" t="str"><v>43357103037935PRC1M8</v></cell><cell r="F917" t="str"><v>DCM</v></cell></row><row r="917"><cell r="H917"><v>2</v></cell><cell r="I917" t="str"><v>Azure Direct</v></cell><cell r="J917" t="str"><v>Azure Direct</v></cell><cell r="K917" t="str"><v>September</v></cell><cell r="L917"><v>43358</v></cell><cell r="M917" t="str"><v>Tier 0</v></cell><cell r="N917" t="str"><v>North America</v></cell><cell r="O917" t="str"><v>United States</v></cell><cell r="P917" t="str"><v>Trial</v></cell><cell r="Q917" t="str"><v>Social</v></cell><cell r="R917" t="str"><v>Azure</v></cell><cell r="S917" t="str"><v>Apps & Infra</v></cell><cell r="T917" t="str"><v>Developers & ITI's</v></cell><cell r="U917" t="str"><v>USA-Trial-ITD-Trial Lookalike-AZR-AZR</v></cell><cell r="V917" t="str"><v>Lookalike Targeting</v></cell><cell r="W917" t="str"><v>Link Ad</v></cell><cell r="X917" t="str"><v>1200x1200</v></cell><cell r="Y917" t="str"><v>Learn More</v></cell><cell r="Z917" t="str"><v>Animated Banner</v></cell><cell r="AA917"><v>43357</v></cell><cell r="AB917" t="str"><v>USA_gaPMG_AZR_AZR_Q1_19_Direct-Social</v></cell><cell r="AC917"><v>21358715</v></cell><cell r="AD917"><v>720197</v></cell><cell r="AE917" t="str"><v>Facebook</v></cell><cell r="AF917"><v>3654128</v></cell><cell r="AG917" t="str"><v>FACEBOOK»USA-Trial-ITD-Trial Lookalike-AZR-AZR»1 x 1»SocialBan»LIA»ALL»CPA»LAL»X»NA»SS»NA»FreeAcctDeveloperFB-AnimatedData-Ch4»PRC1M8</v></cell><cell r="AH917"><v>223862933</v></cell><cell r="AI917" t="str"><v>AZR_FreeAcctDeveloperFB-AnimatedData-Ch4_USA_1200x1200_CAN_Direct_English_Trial_Standard_ANI_LEA_T4_2</v></cell><cell r="AJ917"><v>103037935</v></cell></row><row r="918"><cell r="D918" t="str"><v>43357224104986</v></cell><cell r="E918" t="str"><v>43357103043835PRC1Q1</v></cell><cell r="F918" t="str"><v>DCM</v></cell></row><row r="918"><cell r="H918"><v>0</v></cell><cell r="I918" t="str"><v>Azure Direct</v></cell><cell r="J918" t="str"><v>Azure Direct</v></cell><cell r="K918" t="str"><v>September</v></cell><cell r="L918"><v>43358</v></cell><cell r="M918" t="str"><v>Tier 0</v></cell><cell r="N918" t="str"><v>North America</v></cell><cell r="O918" t="str"><v>United States</v></cell><cell r="P918" t="str"><v>Trial</v></cell><cell r="Q918" t="str"><v>Social</v></cell><cell r="R918" t="str"><v>Azure</v></cell><cell r="S918" t="str"><v>Apps & Infra</v></cell><cell r="T918" t="str"><v>Developers & ITI's</v></cell><cell r="U918" t="str"><v>USA-Trial-ITD-Trial PayGo Lookalike-AZR-AZR</v></cell><cell r="V918" t="str"><v>Lookalike Targeting</v></cell><cell r="W918" t="str"><v>Canvas Ad</v></cell><cell r="X918" t="str"><v>10s</v></cell><cell r="Y918" t="str"><v>Try it Now</v></cell><cell r="Z918" t="str"><v>Standard videos</v></cell><cell r="AA918"><v>43357</v></cell><cell r="AB918" t="str"><v>USA_gaPMG_AZR_AZR_Q1_19_Direct-Social</v></cell><cell r="AC918"><v>21358715</v></cell><cell r="AD918"><v>720197</v></cell><cell r="AE918" t="str"><v>Facebook</v></cell><cell r="AF918"><v>3654128</v></cell><cell r="AG918" t="str"><v>FACEBOOK»USA-Trial-ITD-Trial PayGo Lookalike-AZR-AZR»1 x 1»SocialBan»CAN»ALL»CPA»LAL»X»NA»SS»NA»FBCTCBenefit2inMotion»PRC1Q1</v></cell><cell r="AH918"><v>224104986</v></cell><cell r="AI918" t="str"><v>AzurePlatform_FBCTCBenefit2inMotion_USA_10s_CAN_PLATFORM_English_Trial_Standard_STAN_TIN_T4_1</v></cell><cell r="AJ918"><v>103043835</v></cell></row><row r="919"><cell r="D919" t="str"><v>43357224104986</v></cell><cell r="E919" t="str"><v>43357103178645PRC1Q1</v></cell><cell r="F919" t="str"><v>DCM</v></cell></row><row r="919"><cell r="H919"><v>1</v></cell><cell r="I919" t="str"><v>Azure Direct</v></cell><cell r="J919" t="str"><v>Azure Direct</v></cell><cell r="K919" t="str"><v>September</v></cell><cell r="L919"><v>43358</v></cell><cell r="M919" t="str"><v>Tier 0</v></cell><cell r="N919" t="str"><v>North America</v></cell><cell r="O919" t="str"><v>United States</v></cell><cell r="P919" t="str"><v>Trial</v></cell><cell r="Q919" t="str"><v>Social</v></cell><cell r="R919" t="str"><v>Azure</v></cell><cell r="S919" t="str"><v>Apps & Infra</v></cell><cell r="T919" t="str"><v>Developers & ITI's</v></cell><cell r="U919" t="str"><v>USA-Trial-ITD-Trial PayGo Lookalike-AZR-AZR</v></cell><cell r="V919" t="str"><v>Lookalike Targeting</v></cell><cell r="W919" t="str"><v>Canvas Ad</v></cell><cell r="X919" t="str"><v>10s</v></cell><cell r="Y919" t="str"><v>Try it Now</v></cell><cell r="Z919" t="str"><v>Standard videos</v></cell><cell r="AA919"><v>43357</v></cell><cell r="AB919" t="str"><v>USA_gaPMG_AZR_AZR_Q1_19_Direct-Social</v></cell><cell r="AC919"><v>21358715</v></cell><cell r="AD919"><v>720197</v></cell><cell r="AE919" t="str"><v>Facebook</v></cell><cell r="AF919"><v>3654128</v></cell><cell r="AG919" t="str"><v>FACEBOOK»USA-Trial-ITD-Trial PayGo Lookalike-AZR-AZR»1 x 1»SocialBan»CAN»ALL»CPA»LAL»X»NA»SS»NA»FBCTCBenefit2inMotion»PRC1Q1</v></cell><cell r="AH919"><v>224104986</v></cell><cell r="AI919" t="str"><v>AzurePlatform_FBCTCBenefit2inMotion_USA_10s_CAN_PLATFORM_English_Trial_Standard_STAN_TIN_T4_2</v></cell><cell r="AJ919"><v>103178645</v></cell></row><row r="920"><cell r="D920" t="str"><v>43357223935349</v></cell><cell r="E920" t="str"><v>43357103032823PRC1Q3</v></cell><cell r="F920" t="str"><v>DCM</v></cell></row><row r="920"><cell r="H920"><v>0</v></cell><cell r="I920" t="str"><v>Azure Direct</v></cell><cell r="J920" t="str"><v>Azure Direct</v></cell><cell r="K920" t="str"><v>September</v></cell><cell r="L920"><v>43358</v></cell><cell r="M920" t="str"><v>Tier 0</v></cell><cell r="N920" t="str"><v>North America</v></cell><cell r="O920" t="str"><v>United States</v></cell><cell r="P920" t="str"><v>Trial</v></cell><cell r="Q920" t="str"><v>Social</v></cell><cell r="R920" t="str"><v>Azure</v></cell><cell r="S920" t="str"><v>Apps & Infra</v></cell><cell r="T920" t="str"><v>Developers & ITI's</v></cell><cell r="U920" t="str"><v>USA-Trial-ITD-Trial PayGo Lookalike-AZR-AZR</v></cell><cell r="V920" t="str"><v>Lookalike Targeting</v></cell><cell r="W920" t="str"><v>Canvas Ad</v></cell><cell r="X920" t="str"><v>10s</v></cell><cell r="Y920" t="str"><v>Try it Now</v></cell><cell r="Z920" t="str"><v>Standard videos</v></cell><cell r="AA920"><v>43357</v></cell><cell r="AB920" t="str"><v>USA_gaPMG_AZR_AZR_Q1_19_Direct-Social</v></cell><cell r="AC920"><v>21358715</v></cell><cell r="AD920"><v>720197</v></cell><cell r="AE920" t="str"><v>Facebook</v></cell><cell r="AF920"><v>3654128</v></cell><cell r="AG920" t="str"><v>FACEBOOK»USA-Trial-ITD-Trial PayGo Lookalike-AZR-AZR»1 x 1»SocialBan»CAN»ALL»CPA»LAL»X»NA»SS»NA»FBCTCBrandinMotion»PRC1Q3</v></cell><cell r="AH920"><v>223935349</v></cell><cell r="AI920" t="str"><v>AzurePlatform_FBCTCBrandinMotion_USA_10s_CAN_PLATFORM_English_Trial_Standard_STAN_TIN_T2_2</v></cell><cell r="AJ920"><v>103032823</v></cell></row><row r="921"><cell r="D921" t="str"><v>43357226617679</v></cell><cell r="E921" t="str"><v>43357104671427PS7B5R</v></cell><cell r="F921" t="str"><v>DCM</v></cell></row><row r="921"><cell r="H921"><v>0</v></cell><cell r="I921" t="str"><v>Azure Direct</v></cell><cell r="J921" t="str"><v>Azure Direct</v></cell><cell r="K921" t="str"><v>September</v></cell><cell r="L921"><v>43358</v></cell><cell r="M921" t="str"><v>Tier 0</v></cell><cell r="N921" t="str"><v>North America</v></cell><cell r="O921" t="str"><v>United States</v></cell><cell r="P921" t="str"><v>Trial</v></cell><cell r="Q921" t="str"><v>Social</v></cell><cell r="R921" t="str"><v>Azure</v></cell><cell r="S921" t="str"><v>Apps & Infra</v></cell><cell r="T921" t="str"><v>Developers & ITI's</v></cell><cell r="U921" t="str"><v>USA-Trial-ITD-Trial PayGo Lookalike-AZR-AZR</v></cell><cell r="V921" t="str"><v>Lookalike Targeting</v></cell><cell r="W921" t="str"><v>Canvas Ad</v></cell><cell r="X921" t="str"><v>1200x1200</v></cell><cell r="Y921" t="str"><v>Learn More</v></cell><cell r="Z921" t="str"><v>Animated Banner</v></cell><cell r="AA921"><v>43357</v></cell><cell r="AB921" t="str"><v>USA_gaPMG_AZR_AZR_Q1_19_Direct-Social</v></cell><cell r="AC921"><v>21358715</v></cell><cell r="AD921"><v>720197</v></cell><cell r="AE921" t="str"><v>Facebook</v></cell><cell r="AF921"><v>3654128</v></cell><cell r="AG921" t="str"><v>FACEBOOK»USA-Trial-ITD-Trial PayGo Lookalike-AZR-AZR»1 x 1»SocialBan»CAN»ALL»CPA»LAL»X»NA»SS»NA»FreeAcctDeveloperFB-AnimatedOpenSource-Ch2»PS7B5R</v></cell><cell r="AH921"><v>226617679</v></cell><cell r="AI921" t="str"><v>AZR_FreeAcctDeveloperFB-AnimatedOpenSource-Ch2_USA_1200x1200_CAN_Direct_EN_Trial_Standard_ANI_LEA_T2_1</v></cell><cell r="AJ921"><v>104671427</v></cell></row><row r="922"><cell r="D922" t="str"><v>43357226617679</v></cell><cell r="E922" t="str"><v>43357104593438PS7B5R</v></cell><cell r="F922" t="str"><v>DCM</v></cell></row><row r="922"><cell r="H922"><v>0</v></cell><cell r="I922" t="str"><v>Azure Direct</v></cell><cell r="J922" t="str"><v>Azure Direct</v></cell><cell r="K922" t="str"><v>September</v></cell><cell r="L922"><v>43358</v></cell><cell r="M922" t="str"><v>Tier 0</v></cell><cell r="N922" t="str"><v>North America</v></cell><cell r="O922" t="str"><v>United States</v></cell><cell r="P922" t="str"><v>Trial</v></cell><cell r="Q922" t="str"><v>Social</v></cell><cell r="R922" t="str"><v>Azure</v></cell><cell r="S922" t="str"><v>Apps & Infra</v></cell><cell r="T922" t="str"><v>Developers & ITI's</v></cell><cell r="U922" t="str"><v>USA-Trial-ITD-Trial PayGo Lookalike-AZR-AZR</v></cell><cell r="V922" t="str"><v>Lookalike Targeting</v></cell><cell r="W922" t="str"><v>Canvas Ad</v></cell><cell r="X922" t="str"><v>1200x1200</v></cell><cell r="Y922" t="str"><v>Learn More</v></cell><cell r="Z922" t="str"><v>Animated Banner</v></cell><cell r="AA922"><v>43357</v></cell><cell r="AB922" t="str"><v>USA_gaPMG_AZR_AZR_Q1_19_Direct-Social</v></cell><cell r="AC922"><v>21358715</v></cell><cell r="AD922"><v>720197</v></cell><cell r="AE922" t="str"><v>Facebook</v></cell><cell r="AF922"><v>3654128</v></cell><cell r="AG922" t="str"><v>FACEBOOK»USA-Trial-ITD-Trial PayGo Lookalike-AZR-AZR»1 x 1»SocialBan»CAN»ALL»CPA»LAL»X»NA»SS»NA»FreeAcctDeveloperFB-AnimatedOpenSource-Ch2»PS7B5R</v></cell><cell r="AH922"><v>226617679</v></cell><cell r="AI922" t="str"><v>AZR_FreeAcctDeveloperFB-AnimatedOpenSource-Ch2_USA_1200x1200_CAN_Direct_EN_Trial_Standard_ANI_LEA_T2_2</v></cell><cell r="AJ922"><v>104593438</v></cell></row><row r="923"><cell r="D923" t="str"><v>43357224104092</v></cell><cell r="E923" t="str"><v>43357103176851PRC1Q5</v></cell><cell r="F923" t="str"><v>DCM</v></cell></row><row r="923"><cell r="H923"><v>5</v></cell><cell r="I923" t="str"><v>Azure Direct</v></cell><cell r="J923" t="str"><v>Azure Direct</v></cell><cell r="K923" t="str"><v>September</v></cell><cell r="L923"><v>43358</v></cell><cell r="M923" t="str"><v>Tier 0</v></cell><cell r="N923" t="str"><v>North America</v></cell><cell r="O923" t="str"><v>United States</v></cell><cell r="P923" t="str"><v>Trial</v></cell><cell r="Q923" t="str"><v>Social</v></cell><cell r="R923" t="str"><v>Azure</v></cell><cell r="S923" t="str"><v>Apps & Infra</v></cell><cell r="T923" t="str"><v>Developers & ITI's</v></cell><cell r="U923" t="str"><v>USA-Trial-ITD-Trial PayGo Lookalike-AZR-AZR</v></cell><cell r="V923" t="str"><v>Lookalike Targeting</v></cell><cell r="W923" t="str"><v>Link Ad</v></cell><cell r="X923" t="str"><v>1200x1200</v></cell><cell r="Y923" t="str"><v>Learn More</v></cell><cell r="Z923" t="str"><v>Animated Banner</v></cell><cell r="AA923"><v>43357</v></cell><cell r="AB923" t="str"><v>USA_gaPMG_AZR_AZR_Q1_19_Direct-Social</v></cell><cell r="AC923"><v>21358715</v></cell><cell r="AD923"><v>720197</v></cell><cell r="AE923" t="str"><v>Facebook</v></cell><cell r="AF923"><v>3654128</v></cell><cell r="AG923" t="str"><v>FACEBOOK»USA-Trial-ITD-Trial PayGo Lookalike-AZR-AZR»1 x 1»SocialBan»LIA»ALL»CPA»LAL»X»NA»SS»NA»FreeAcctDeveloperFB-AnimatedGeneric-Ch1»PRC1Q5</v></cell><cell r="AH923"><v>224104092</v></cell><cell r="AI923" t="str"><v>AZR_FreeAcctDeveloperFB-AnimatedGeneric-Ch1_USA_1200x1200_CAN_Direct_English_Trial_Standard_ANI_LEA_T1_2</v></cell><cell r="AJ923"><v>103176851</v></cell></row><row r="924"><cell r="D924" t="str"><v>43357224106129</v></cell><cell r="E924" t="str"><v>43357103176851PRC1Q6</v></cell><cell r="F924" t="str"><v>DCM</v></cell></row><row r="924"><cell r="H924"><v>2</v></cell><cell r="I924" t="str"><v>Azure Direct</v></cell><cell r="J924" t="str"><v>Azure Direct</v></cell><cell r="K924" t="str"><v>September</v></cell><cell r="L924"><v>43358</v></cell><cell r="M924" t="str"><v>Tier 0</v></cell><cell r="N924" t="str"><v>North America</v></cell><cell r="O924" t="str"><v>United States</v></cell><cell r="P924" t="str"><v>Trial</v></cell><cell r="Q924" t="str"><v>Social</v></cell><cell r="R924" t="str"><v>Azure</v></cell><cell r="S924" t="str"><v>Apps & Infra</v></cell><cell r="T924" t="str"><v>Developers & ITI's</v></cell><cell r="U924" t="str"><v>USA-Trial-ITD-Trial PayGo Lookalike-AZR-AZR</v></cell><cell r="V924" t="str"><v>Lookalike Targeting</v></cell><cell r="W924" t="str"><v>Link Ad</v></cell><cell r="X924" t="str"><v>1200x1200</v></cell><cell r="Y924" t="str"><v>Learn More</v></cell><cell r="Z924" t="str"><v>Animated Banner</v></cell><cell r="AA924"><v>43357</v></cell><cell r="AB924" t="str"><v>USA_gaPMG_AZR_AZR_Q1_19_Direct-Social</v></cell><cell r="AC924"><v>21358715</v></cell><cell r="AD924"><v>720197</v></cell><cell r="AE924" t="str"><v>Facebook</v></cell><cell r="AF924"><v>3654128</v></cell><cell r="AG924" t="str"><v>FACEBOOK»USA-Trial-ITD-Trial PayGo Lookalike-AZR-AZR»1 x 1»SocialBan»LIA»ALL»CPA»LAL»X»NA»SS»NA»FreeAcctDeveloperFB-AnimatedGeneric-Ch1»PRC1Q6</v></cell><cell r="AH924"><v>224106129</v></cell><cell r="AI924" t="str"><v>AZR_FreeAcctDeveloperFB-AnimatedGeneric-Ch1_USA_1200x1200_CAN_Direct_English_Trial_Standard_ANI_LEA_T1_2</v></cell><cell r="AJ924"><v>103176851</v></cell></row><row r="925"><cell r="D925" t="str"><v>43357226622239</v></cell><cell r="E925" t="str"><v>43357104592523PS78J6</v></cell><cell r="F925" t="str"><v>DCM</v></cell></row><row r="925"><cell r="H925"><v>2</v></cell><cell r="I925" t="str"><v>Azure Direct</v></cell><cell r="J925" t="str"><v>Azure Direct</v></cell><cell r="K925" t="str"><v>September</v></cell><cell r="L925"><v>43358</v></cell><cell r="M925" t="str"><v>Tier 0</v></cell><cell r="N925" t="str"><v>North America</v></cell><cell r="O925" t="str"><v>United States</v></cell><cell r="P925" t="str"><v>Trial</v></cell><cell r="Q925" t="str"><v>Social</v></cell><cell r="R925" t="str"><v>Azure</v></cell><cell r="S925" t="str"><v>Apps & Infra</v></cell><cell r="T925" t="str"><v>Developers & ITI's</v></cell><cell r="U925" t="str"><v>USA-Trial-ITD-Interest Prospecting-AZR-AZR</v></cell><cell r="V925" t="str"><v>Prospecting</v></cell><cell r="W925" t="str"><v>Canvas Ad</v></cell><cell r="X925" t="str"><v>1200x1200</v></cell><cell r="Y925" t="str"><v>Learn More</v></cell><cell r="Z925" t="str"><v>Animated Banner</v></cell><cell r="AA925"><v>43357</v></cell><cell r="AB925" t="str"><v>USA_gaPMG_AZR_AZR_Q1_19_Direct-Social</v></cell><cell r="AC925"><v>21358715</v></cell><cell r="AD925"><v>720197</v></cell><cell r="AE925" t="str"><v>Facebook</v></cell><cell r="AF925"><v>3654128</v></cell><cell r="AG925" t="str"><v>FACEBOOK»USA-Trial-ITD-Interest Prospecting-AZR-AZR»1 x 1»SocialBan»CAN»ALL»CPA»PRO»X»NA»SS»NA»FreeAcctDeveloperFB-AnimatedGeneric-Ch1»PS78J6</v></cell><cell r="AH925"><v>226622239</v></cell><cell r="AI925" t="str"><v>AZR_FreeAcctDeveloperFB-AnimatedGeneric-Ch1_USA_1200x1200_CAN_Direct_EN_Trial_Standard_ANI_LEA_T1_2</v></cell><cell r="AJ925"><v>104592523</v></cell></row><row r="926"><cell r="D926" t="str"><v>43357226622899</v></cell><cell r="E926" t="str"><v>43357104593450PS78JJ</v></cell><cell r="F926" t="str"><v>DCM</v></cell></row><row r="926"><cell r="H926"><v>0</v></cell><cell r="I926" t="str"><v>Azure Direct</v></cell><cell r="J926" t="str"><v>Azure Direct</v></cell><cell r="K926" t="str"><v>September</v></cell><cell r="L926"><v>43358</v></cell><cell r="M926" t="str"><v>Tier 0</v></cell><cell r="N926" t="str"><v>North America</v></cell><cell r="O926" t="str"><v>United States</v></cell><cell r="P926" t="str"><v>Trial</v></cell><cell r="Q926" t="str"><v>Social</v></cell><cell r="R926" t="str"><v>Azure</v></cell><cell r="S926" t="str"><v>Apps & Infra</v></cell><cell r="T926" t="str"><v>Developers & ITI's</v></cell><cell r="U926" t="str"><v>USA-Trial-ITD-Interest Prospecting-AZR-AZR</v></cell><cell r="V926" t="str"><v>Prospecting</v></cell><cell r="W926" t="str"><v>Canvas Ad</v></cell><cell r="X926" t="str"><v>1200x1200</v></cell><cell r="Y926" t="str"><v>Learn More</v></cell><cell r="Z926" t="str"><v>Animated Banner</v></cell><cell r="AA926"><v>43357</v></cell><cell r="AB926" t="str"><v>USA_gaPMG_AZR_AZR_Q1_19_Direct-Social</v></cell><cell r="AC926"><v>21358715</v></cell><cell r="AD926"><v>720197</v></cell><cell r="AE926" t="str"><v>Facebook</v></cell><cell r="AF926"><v>3654128</v></cell><cell r="AG926" t="str"><v>FACEBOOK»USA-Trial-ITD-Interest Prospecting-AZR-AZR»1 x 1»SocialBan»CAN»ALL»CPA»PRO»X»NA»SS»NA»FreeAcctITProFB-AnimatedMigration-Ch3»PS78JJ</v></cell><cell r="AH926"><v>226622899</v></cell><cell r="AI926" t="str"><v>AZR_FreeAcctITProFB-AnimatedMigration-Ch3_USA_1200x1200_CAN_Direct_EN_Trial_Standard_ANI_LEA_T3_1</v></cell><cell r="AJ926"><v>104593450</v></cell></row><row r="927"><cell r="D927" t="str"><v>43357226535294</v></cell><cell r="E927" t="str"><v>43357104593738PS78JD</v></cell><cell r="F927" t="str"><v>DCM</v></cell></row><row r="927"><cell r="H927"><v>0</v></cell><cell r="I927" t="str"><v>Azure Direct</v></cell><cell r="J927" t="str"><v>Azure Direct</v></cell><cell r="K927" t="str"><v>September</v></cell><cell r="L927"><v>43358</v></cell><cell r="M927" t="str"><v>Tier 0</v></cell><cell r="N927" t="str"><v>North America</v></cell><cell r="O927" t="str"><v>United States</v></cell><cell r="P927" t="str"><v>Trial</v></cell><cell r="Q927" t="str"><v>Social</v></cell><cell r="R927" t="str"><v>Azure</v></cell><cell r="S927" t="str"><v>Apps & Infra</v></cell><cell r="T927" t="str"><v>Developers & ITI's</v></cell><cell r="U927" t="str"><v>USA-Trial-ITD-Interest Prospecting-AZR-AZR</v></cell><cell r="V927" t="str"><v>Prospecting</v></cell><cell r="W927" t="str"><v>Canvas Ad</v></cell><cell r="X927" t="str"><v>1200x1200</v></cell><cell r="Y927" t="str"><v>Learn More</v></cell><cell r="Z927" t="str"><v>Animated Banner</v></cell><cell r="AA927"><v>43357</v></cell><cell r="AB927" t="str"><v>USA_gaPMG_AZR_AZR_Q1_19_Direct-Social</v></cell><cell r="AC927"><v>21358715</v></cell><cell r="AD927"><v>720197</v></cell><cell r="AE927" t="str"><v>Facebook</v></cell><cell r="AF927"><v>3654128</v></cell><cell r="AG927" t="str"><v>FACEBOOK»USA-Trial-ITD-Interest Prospecting-AZR-AZR»1 x 1»SocialBan»CAN»ALL»CPA»PRO»X»NA»SS»NA»FreeAcctITProFB-AnimatedSecureMngd-Ch1»PS78JD</v></cell><cell r="AH927"><v>226535294</v></cell><cell r="AI927" t="str"><v>AZR_FreeAcctITProFB-AnimatedSecureMngd-Ch1_USA_1200x1200_CAN_Direct_EN_Trial_Standard_ANI_LEA_T1_1</v></cell><cell r="AJ927"><v>104593738</v></cell></row><row r="928"><cell r="D928" t="str"><v>43357223934056</v></cell><cell r="E928" t="str"><v>43357103176827PRC26P</v></cell><cell r="F928" t="str"><v>DCM</v></cell></row><row r="928"><cell r="H928"><v>1</v></cell><cell r="I928" t="str"><v>Azure Direct</v></cell><cell r="J928" t="str"><v>Azure Direct</v></cell><cell r="K928" t="str"><v>September</v></cell><cell r="L928"><v>43358</v></cell><cell r="M928" t="str"><v>Tier 0</v></cell><cell r="N928" t="str"><v>North America</v></cell><cell r="O928" t="str"><v>United States</v></cell><cell r="P928" t="str"><v>Trial</v></cell><cell r="Q928" t="str"><v>Social</v></cell><cell r="R928" t="str"><v>Azure</v></cell><cell r="S928" t="str"><v>Apps & Infra</v></cell><cell r="T928" t="str"><v>Developers & ITI's</v></cell><cell r="U928" t="str"><v>USA-Trial-ITD-Retargeting-AZR-AZR</v></cell><cell r="V928" t="str"><v>Retargeting</v></cell><cell r="W928" t="str"><v>Link Ad</v></cell><cell r="X928" t="str"><v>1200x1200</v></cell><cell r="Y928" t="str"><v>Learn More</v></cell><cell r="Z928" t="str"><v>Animated Banner</v></cell><cell r="AA928"><v>43357</v></cell><cell r="AB928" t="str"><v>USA_gaPMG_AZR_AZR_Q1_19_Direct-Social</v></cell><cell r="AC928"><v>21358715</v></cell><cell r="AD928"><v>720197</v></cell><cell r="AE928" t="str"><v>Facebook</v></cell><cell r="AF928"><v>3654128</v></cell><cell r="AG928" t="str"><v>FACEBOOK»USA-Trial-ITD-Retargeting-AZR-AZR»1 x 1»SocialBan»LIA»ALL»CPA»RT»X»NA»SS»NA»FreeAcctITProFB-AnimatedMigration-Ch3»PRC26P</v></cell><cell r="AH928"><v>223934056</v></cell><cell r="AI928" t="str"><v>AZR_FreeAcctITProFB-AnimatedMigration-Ch3_USA_1200x1200_CAN_Direct_English_Trial_Standard_ANI_LEA_T3_1</v></cell><cell r="AJ928"><v>103176827</v></cell></row><row r="929"><cell r="D929" t="str"><v>43357223862897</v></cell><cell r="E929" t="str"><v>43357103032775PRC1M2</v></cell><cell r="F929" t="str"><v>DCM</v></cell></row><row r="929"><cell r="H929"><v>0</v></cell><cell r="I929" t="str"><v>Azure Direct</v></cell><cell r="J929" t="str"><v>Azure Direct</v></cell><cell r="K929" t="str"><v>September</v></cell><cell r="L929"><v>43358</v></cell><cell r="M929" t="str"><v>Tier 0</v></cell><cell r="N929" t="str"><v>North America</v></cell><cell r="O929" t="str"><v>United States</v></cell><cell r="P929" t="str"><v>Trial</v></cell><cell r="Q929" t="str"><v>Social</v></cell><cell r="R929" t="str"><v>Azure</v></cell><cell r="S929" t="str"><v>Apps & Infra</v></cell><cell r="T929" t="str"><v>Developers & ITI's</v></cell><cell r="U929" t="str"><v>USA-Trial-ITD-Trial Lookalike-AZR-AZR</v></cell><cell r="V929" t="str"><v>Lookalike Targeting</v></cell><cell r="W929" t="str"><v>Canvas Ad</v></cell><cell r="X929" t="str"><v>10s</v></cell><cell r="Y929" t="str"><v>Try it Now</v></cell><cell r="Z929" t="str"><v>Standard videos</v></cell><cell r="AA929"><v>43357</v></cell><cell r="AB929" t="str"><v>USA_gaPMG_AZR_AZR_Q1_19_Direct-Social</v></cell><cell r="AC929"><v>21358715</v></cell><cell r="AD929"><v>720197</v></cell><cell r="AE929" t="str"><v>Facebook</v></cell><cell r="AF929"><v>3654128</v></cell><cell r="AG929" t="str"><v>FACEBOOK»USA-Trial-ITD-Trial Lookalike-AZR-AZR»1 x 1»SocialBan»CAN»ALL»CPA»LAL»X»NA»SS»NA»FBCTCBenefitinMotion»PRC1M2</v></cell><cell r="AH929"><v>223862897</v></cell><cell r="AI929" t="str"><v>AzurePlatform_FBCTCBenefitinMotion_USA_10s_CAN_PLATFORM_English_Trial_Standard_STAN_TIN_T3_1</v></cell><cell r="AJ929"><v>103032775</v></cell></row><row r="930"><cell r="D930" t="str"><v>43357226622530</v></cell><cell r="E930" t="str"><v>43357104592523PS7B5P</v></cell><cell r="F930" t="str"><v>DCM</v></cell></row><row r="930"><cell r="H930"><v>1</v></cell><cell r="I930" t="str"><v>Azure Direct</v></cell><cell r="J930" t="str"><v>Azure Direct</v></cell><cell r="K930" t="str"><v>September</v></cell><cell r="L930"><v>43358</v></cell><cell r="M930" t="str"><v>Tier 0</v></cell><cell r="N930" t="str"><v>North America</v></cell><cell r="O930" t="str"><v>United States</v></cell><cell r="P930" t="str"><v>Trial</v></cell><cell r="Q930" t="str"><v>Social</v></cell><cell r="R930" t="str"><v>Azure</v></cell><cell r="S930" t="str"><v>Apps & Infra</v></cell><cell r="T930" t="str"><v>Developers & ITI's</v></cell><cell r="U930" t="str"><v>USA-Trial-ITD-Trial PayGo Lookalike-AZR-AZR</v></cell><cell r="V930" t="str"><v>Lookalike Targeting</v></cell><cell r="W930" t="str"><v>Canvas Ad</v></cell><cell r="X930" t="str"><v>1200x1200</v></cell><cell r="Y930" t="str"><v>Learn More</v></cell><cell r="Z930" t="str"><v>Animated Banner</v></cell><cell r="AA930"><v>43357</v></cell><cell r="AB930" t="str"><v>USA_gaPMG_AZR_AZR_Q1_19_Direct-Social</v></cell><cell r="AC930"><v>21358715</v></cell><cell r="AD930"><v>720197</v></cell><cell r="AE930" t="str"><v>Facebook</v></cell><cell r="AF930"><v>3654128</v></cell><cell r="AG930" t="str"><v>FACEBOOK»USA-Trial-ITD-Trial PayGo Lookalike-AZR-AZR»1 x 1»SocialBan»CAN»ALL»CPA»LAL»X»NA»SS»NA»FreeAcctDeveloperFB-AnimatedGeneric-Ch1»PS7B5P</v></cell><cell r="AH930"><v>226622530</v></cell><cell r="AI930" t="str"><v>AZR_FreeAcctDeveloperFB-AnimatedGeneric-Ch1_USA_1200x1200_CAN_Direct_EN_Trial_Standard_ANI_LEA_T1_2</v></cell><cell r="AJ930"><v>104592523</v></cell></row><row r="931"><cell r="D931" t="str"><v>43357226622530</v></cell><cell r="E931" t="str"><v>43357104595766PS7B5P</v></cell><cell r="F931" t="str"><v>DCM</v></cell></row><row r="931"><cell r="H931"><v>0</v></cell><cell r="I931" t="str"><v>Azure Direct</v></cell><cell r="J931" t="str"><v>Azure Direct</v></cell><cell r="K931" t="str"><v>September</v></cell><cell r="L931"><v>43358</v></cell><cell r="M931" t="str"><v>Tier 0</v></cell><cell r="N931" t="str"><v>North America</v></cell><cell r="O931" t="str"><v>United States</v></cell><cell r="P931" t="str"><v>Trial</v></cell><cell r="Q931" t="str"><v>Social</v></cell><cell r="R931" t="str"><v>Azure</v></cell><cell r="S931" t="str"><v>Apps & Infra</v></cell><cell r="T931" t="str"><v>Developers & ITI's</v></cell><cell r="U931" t="str"><v>USA-Trial-ITD-Trial PayGo Lookalike-AZR-AZR</v></cell><cell r="V931" t="str"><v>Lookalike Targeting</v></cell><cell r="W931" t="str"><v>Canvas Ad</v></cell><cell r="X931" t="str"><v>1200x1200</v></cell><cell r="Y931" t="str"><v>Learn More</v></cell><cell r="Z931" t="str"><v>Animated Banner</v></cell><cell r="AA931"><v>43357</v></cell><cell r="AB931" t="str"><v>USA_gaPMG_AZR_AZR_Q1_19_Direct-Social</v></cell><cell r="AC931"><v>21358715</v></cell><cell r="AD931"><v>720197</v></cell><cell r="AE931" t="str"><v>Facebook</v></cell><cell r="AF931"><v>3654128</v></cell><cell r="AG931" t="str"><v>FACEBOOK»USA-Trial-ITD-Trial PayGo Lookalike-AZR-AZR»1 x 1»SocialBan»CAN»ALL»CPA»LAL»X»NA»SS»NA»FreeAcctDeveloperFB-AnimatedGeneric-Ch1»PS7B5P</v></cell><cell r="AH931"><v>226622530</v></cell><cell r="AI931" t="str"><v>AZR_FreeAcctDeveloperFB-AnimatedGeneric-Ch1_USA_1200x1200_CAN_Direct_EN_Trial_Standard_ANI_LEA_T1_1</v></cell><cell r="AJ931"><v>104595766</v></cell></row><row r="932"><cell r="D932" t="str"><v>43357226784037</v></cell><cell r="E932" t="str"><v>43357104592523PS7B5Q</v></cell><cell r="F932" t="str"><v>DCM</v></cell></row><row r="932"><cell r="H932"><v>1</v></cell><cell r="I932" t="str"><v>Azure Direct</v></cell><cell r="J932" t="str"><v>Azure Direct</v></cell><cell r="K932" t="str"><v>September</v></cell><cell r="L932"><v>43358</v></cell><cell r="M932" t="str"><v>Tier 0</v></cell><cell r="N932" t="str"><v>North America</v></cell><cell r="O932" t="str"><v>United States</v></cell><cell r="P932" t="str"><v>Trial</v></cell><cell r="Q932" t="str"><v>Social</v></cell><cell r="R932" t="str"><v>Azure</v></cell><cell r="S932" t="str"><v>Apps & Infra</v></cell><cell r="T932" t="str"><v>Developers & ITI's</v></cell><cell r="U932" t="str"><v>USA-Trial-ITD-Trial PayGo Lookalike-AZR-AZR</v></cell><cell r="V932" t="str"><v>Lookalike Targeting</v></cell><cell r="W932" t="str"><v>Canvas Ad</v></cell><cell r="X932" t="str"><v>1200x1200</v></cell><cell r="Y932" t="str"><v>Learn More</v></cell><cell r="Z932" t="str"><v>Animated Banner</v></cell><cell r="AA932"><v>43357</v></cell><cell r="AB932" t="str"><v>USA_gaPMG_AZR_AZR_Q1_19_Direct-Social</v></cell><cell r="AC932"><v>21358715</v></cell><cell r="AD932"><v>720197</v></cell><cell r="AE932" t="str"><v>Facebook</v></cell><cell r="AF932"><v>3654128</v></cell><cell r="AG932" t="str"><v>FACEBOOK»USA-Trial-ITD-Trial PayGo Lookalike-AZR-AZR»1 x 1»SocialBan»CAN»ALL»CPA»LAL»X»NA»SS»NA»FreeAcctDeveloperFB-AnimatedGeneric-Ch1»PS7B5Q</v></cell><cell r="AH932"><v>226784037</v></cell><cell r="AI932" t="str"><v>AZR_FreeAcctDeveloperFB-AnimatedGeneric-Ch1_USA_1200x1200_CAN_Direct_EN_Trial_Standard_ANI_LEA_T1_2</v></cell><cell r="AJ932"><v>104592523</v></cell></row><row r="933"><cell r="D933" t="str"><v>43357226617661</v></cell><cell r="E933" t="str"><v>43357104592508PS79T1</v></cell><cell r="F933" t="str"><v>DCM</v></cell></row><row r="933"><cell r="H933"><v>0</v></cell><cell r="I933" t="str"><v>Azure Direct</v></cell><cell r="J933" t="str"><v>Azure Direct</v></cell><cell r="K933" t="str"><v>September</v></cell><cell r="L933"><v>43358</v></cell><cell r="M933" t="str"><v>Tier 0</v></cell><cell r="N933" t="str"><v>North America</v></cell><cell r="O933" t="str"><v>United States</v></cell><cell r="P933" t="str"><v>Trial</v></cell><cell r="Q933" t="str"><v>Social</v></cell><cell r="R933" t="str"><v>Azure</v></cell><cell r="S933" t="str"><v>Apps & Infra</v></cell><cell r="T933" t="str"><v>Developers & ITI's</v></cell><cell r="U933" t="str"><v>USA-Trial-ITD-Retargeting-AZR-AZR</v></cell><cell r="V933" t="str"><v>Retargeting</v></cell><cell r="W933" t="str"><v>Canvas Ad</v></cell><cell r="X933" t="str"><v>1200x628</v></cell><cell r="Y933" t="str"><v>Sign Up</v></cell><cell r="Z933" t="str"><v>Not Applicable</v></cell><cell r="AA933"><v>43357</v></cell><cell r="AB933" t="str"><v>USA_gaPMG_AZR_AZR_Q1_19_Direct-Social</v></cell><cell r="AC933"><v>21358715</v></cell><cell r="AD933"><v>720197</v></cell><cell r="AE933" t="str"><v>Facebook</v></cell><cell r="AF933"><v>3654128</v></cell><cell r="AG933" t="str"><v>FACEBOOK»USA-Trial-ITD-Retargeting-AZR-AZR»1 x 1»SocialBan»CAN»ALL»CPA»RT»X»NA»SS»NA»FreeAcctRetargetingOSSFB-Logos-ChG»PS79T1</v></cell><cell r="AH933"><v>226617661</v></cell><cell r="AI933" t="str"><v>AZR_FreeAcctRetargetingOSSFB-Logos-ChG_USA_1200x628_CAN_Plat_English_Free Account_Standard_NA_SINU_T2_1</v></cell><cell r="AJ933"><v>104592508</v></cell></row><row r="934"><cell r="D934" t="str"><v>43357226538606</v></cell><cell r="E934" t="str"><v>43357104671427PS78J7</v></cell><cell r="F934" t="str"><v>DCM</v></cell></row><row r="934"><cell r="H934"><v>0</v></cell><cell r="I934" t="str"><v>Azure Direct</v></cell><cell r="J934" t="str"><v>Azure Direct</v></cell><cell r="K934" t="str"><v>September</v></cell><cell r="L934"><v>43358</v></cell><cell r="M934" t="str"><v>Tier 0</v></cell><cell r="N934" t="str"><v>North America</v></cell><cell r="O934" t="str"><v>United States</v></cell><cell r="P934" t="str"><v>Trial</v></cell><cell r="Q934" t="str"><v>Social</v></cell><cell r="R934" t="str"><v>Azure</v></cell><cell r="S934" t="str"><v>Apps & Infra</v></cell><cell r="T934" t="str"><v>Developers & ITI's</v></cell><cell r="U934" t="str"><v>USA-Trial-ITD-Interest Prospecting-AZR-AZR</v></cell><cell r="V934" t="str"><v>Prospecting</v></cell><cell r="W934" t="str"><v>Canvas Ad</v></cell><cell r="X934" t="str"><v>1200x1200</v></cell><cell r="Y934" t="str"><v>Learn More</v></cell><cell r="Z934" t="str"><v>Animated Banner</v></cell><cell r="AA934"><v>43357</v></cell><cell r="AB934" t="str"><v>USA_gaPMG_AZR_AZR_Q1_19_Direct-Social</v></cell><cell r="AC934"><v>21358715</v></cell><cell r="AD934"><v>720197</v></cell><cell r="AE934" t="str"><v>Facebook</v></cell><cell r="AF934"><v>3654128</v></cell><cell r="AG934" t="str"><v>FACEBOOK»USA-Trial-ITD-Interest Prospecting-AZR-AZR»1 x 1»SocialBan»CAN»ALL»CPA»PRO»X»NA»SS»NA»FreeAcctDeveloperFB-AnimatedOpenSource-Ch2»PS78J7</v></cell><cell r="AH934"><v>226538606</v></cell><cell r="AI934" t="str"><v>AZR_FreeAcctDeveloperFB-AnimatedOpenSource-Ch2_USA_1200x1200_CAN_Direct_EN_Trial_Standard_ANI_LEA_T2_1</v></cell><cell r="AJ934"><v>104671427</v></cell></row><row r="935"><cell r="D935" t="str"><v>43357226539389</v></cell><cell r="E935" t="str"><v>43357104592523PS79T3</v></cell><cell r="F935" t="str"><v>DCM</v></cell></row><row r="935"><cell r="H935"><v>0</v></cell><cell r="I935" t="str"><v>Azure Direct</v></cell><cell r="J935" t="str"><v>Azure Direct</v></cell><cell r="K935" t="str"><v>September</v></cell><cell r="L935"><v>43358</v></cell><cell r="M935" t="str"><v>Tier 0</v></cell><cell r="N935" t="str"><v>North America</v></cell><cell r="O935" t="str"><v>United States</v></cell><cell r="P935" t="str"><v>Trial</v></cell><cell r="Q935" t="str"><v>Social</v></cell><cell r="R935" t="str"><v>Azure</v></cell><cell r="S935" t="str"><v>Apps & Infra</v></cell><cell r="T935" t="str"><v>Developers & ITI's</v></cell><cell r="U935" t="str"><v>USA-Trial-ITD-Retargeting-AZR-AZR</v></cell><cell r="V935" t="str"><v>Retargeting</v></cell><cell r="W935" t="str"><v>Canvas Ad</v></cell><cell r="X935" t="str"><v>1200x1200</v></cell><cell r="Y935" t="str"><v>Learn More</v></cell><cell r="Z935" t="str"><v>Animated Banner</v></cell><cell r="AA935"><v>43357</v></cell><cell r="AB935" t="str"><v>USA_gaPMG_AZR_AZR_Q1_19_Direct-Social</v></cell><cell r="AC935"><v>21358715</v></cell><cell r="AD935"><v>720197</v></cell><cell r="AE935" t="str"><v>Facebook</v></cell><cell r="AF935"><v>3654128</v></cell><cell r="AG935" t="str"><v>FACEBOOK»USA-Trial-ITD-Retargeting-AZR-AZR»1 x 1»SocialBan»CAN»ALL»CPA»RT»X»NA»SS»NA»FreeAcctDeveloperFB-AnimatedGeneric-Ch1»PS79T3</v></cell><cell r="AH935"><v>226539389</v></cell><cell r="AI935" t="str"><v>AZR_FreeAcctDeveloperFB-AnimatedGeneric-Ch1_USA_1200x1200_CAN_Direct_EN_Trial_Standard_ANI_LEA_T1_2</v></cell><cell r="AJ935"><v>104592523</v></cell></row><row r="936"><cell r="D936" t="str"><v>43357226538594</v></cell><cell r="E936" t="str"><v>43357104671430PS79SS</v></cell><cell r="F936" t="str"><v>DCM</v></cell></row><row r="936"><cell r="H936"><v>0</v></cell><cell r="I936" t="str"><v>Azure Direct</v></cell><cell r="J936" t="str"><v>Azure Direct</v></cell><cell r="K936" t="str"><v>September</v></cell><cell r="L936"><v>43358</v></cell><cell r="M936" t="str"><v>Tier 0</v></cell><cell r="N936" t="str"><v>North America</v></cell><cell r="O936" t="str"><v>United States</v></cell><cell r="P936" t="str"><v>Trial</v></cell><cell r="Q936" t="str"><v>Social</v></cell><cell r="R936" t="str"><v>Azure</v></cell><cell r="S936" t="str"><v>Apps & Infra</v></cell><cell r="T936" t="str"><v>Developers & ITI's</v></cell><cell r="U936" t="str"><v>USA-Trial-ITD-Retargeting-AZR-AZR</v></cell><cell r="V936" t="str"><v>Retargeting</v></cell><cell r="W936" t="str"><v>Canvas Ad</v></cell><cell r="X936" t="str"><v>1200x628</v></cell><cell r="Y936" t="str"><v>Sign Up</v></cell><cell r="Z936" t="str"><v>Not Applicable</v></cell><cell r="AA936"><v>43357</v></cell><cell r="AB936" t="str"><v>USA_gaPMG_AZR_AZR_Q1_19_Direct-Social</v></cell><cell r="AC936"><v>21358715</v></cell><cell r="AD936"><v>720197</v></cell><cell r="AE936" t="str"><v>Facebook</v></cell><cell r="AF936"><v>3654128</v></cell><cell r="AG936" t="str"><v>FACEBOOK»USA-Trial-ITD-Retargeting-AZR-AZR»1 x 1»SocialBan»CAN»ALL»CPA»RT»X»NA»SS»NA»FreeAcctRetargetingFB-GlobalAlt-ChB»PS79SS</v></cell><cell r="AH936"><v>226538594</v></cell><cell r="AI936" t="str"><v>AZR_FreeAcctRetargetingFB-GlobalAlt-ChB_USA_1200x628_CAN_Plat_English_Free Account_Standard_NA_SINU_T2_1</v></cell><cell r="AJ936"><v>104671430</v></cell></row><row r="937"><cell r="D937" t="str"><v>43357226783986</v></cell><cell r="E937" t="str"><v>43357104595715PS79SY</v></cell><cell r="F937" t="str"><v>DCM</v></cell></row><row r="937"><cell r="H937"><v>0</v></cell><cell r="I937" t="str"><v>Azure Direct</v></cell><cell r="J937" t="str"><v>Azure Direct</v></cell><cell r="K937" t="str"><v>September</v></cell><cell r="L937"><v>43358</v></cell><cell r="M937" t="str"><v>Tier 0</v></cell><cell r="N937" t="str"><v>North America</v></cell><cell r="O937" t="str"><v>United States</v></cell><cell r="P937" t="str"><v>Trial</v></cell><cell r="Q937" t="str"><v>Social</v></cell><cell r="R937" t="str"><v>Azure</v></cell><cell r="S937" t="str"><v>Apps & Infra</v></cell><cell r="T937" t="str"><v>Developers & ITI's</v></cell><cell r="U937" t="str"><v>USA-Trial-ITD-Retargeting-AZR-AZR</v></cell><cell r="V937" t="str"><v>Retargeting</v></cell><cell r="W937" t="str"><v>Canvas Ad</v></cell><cell r="X937" t="str"><v>1200x628</v></cell><cell r="Y937" t="str"><v>Sign Up</v></cell><cell r="Z937" t="str"><v>Not Applicable</v></cell><cell r="AA937"><v>43357</v></cell><cell r="AB937" t="str"><v>USA_gaPMG_AZR_AZR_Q1_19_Direct-Social</v></cell><cell r="AC937"><v>21358715</v></cell><cell r="AD937"><v>720197</v></cell><cell r="AE937" t="str"><v>Facebook</v></cell><cell r="AF937"><v>3654128</v></cell><cell r="AG937" t="str"><v>FACEBOOK»USA-Trial-ITD-Retargeting-AZR-AZR»1 x 1»SocialBan»CAN»ALL»CPA»RT»X»NA»SS»NA»FreeAcctRetargetingVMFB-OnDemand-ChE»PS79SY</v></cell><cell r="AH937"><v>226783986</v></cell><cell r="AI937" t="str"><v>AZR_FreeAcctRetargetingVMFB-OnDemand-ChE_USA_1200x628_CAN_Plat_English_Free Account_Standard_NA_SINU_T2_1</v></cell><cell r="AJ937"><v>104595715</v></cell></row><row r="938"><cell r="D938" t="str"><v>43357226535300</v></cell><cell r="E938" t="str"><v>43357104595766PS7B4Y</v></cell><cell r="F938" t="str"><v>DCM</v></cell></row><row r="938"><cell r="H938"><v>0</v></cell><cell r="I938" t="str"><v>Azure Direct</v></cell><cell r="J938" t="str"><v>Azure Direct</v></cell><cell r="K938" t="str"><v>September</v></cell><cell r="L938"><v>43358</v></cell><cell r="M938" t="str"><v>Tier 0</v></cell><cell r="N938" t="str"><v>North America</v></cell><cell r="O938" t="str"><v>United States</v></cell><cell r="P938" t="str"><v>Trial</v></cell><cell r="Q938" t="str"><v>Social</v></cell><cell r="R938" t="str"><v>Azure</v></cell><cell r="S938" t="str"><v>Apps & Infra</v></cell><cell r="T938" t="str"><v>Developers & ITI's</v></cell><cell r="U938" t="str"><v>USA-Trial-ITD-Trial Lookalike-AZR-AZR</v></cell><cell r="V938" t="str"><v>Lookalike Targeting</v></cell><cell r="W938" t="str"><v>Canvas Ad</v></cell><cell r="X938" t="str"><v>1200x1200</v></cell><cell r="Y938" t="str"><v>Learn More</v></cell><cell r="Z938" t="str"><v>Animated Banner</v></cell><cell r="AA938"><v>43357</v></cell><cell r="AB938" t="str"><v>USA_gaPMG_AZR_AZR_Q1_19_Direct-Social</v></cell><cell r="AC938"><v>21358715</v></cell><cell r="AD938"><v>720197</v></cell><cell r="AE938" t="str"><v>Facebook</v></cell><cell r="AF938"><v>3654128</v></cell><cell r="AG938" t="str"><v>FACEBOOK»USA-Trial-ITD-Trial Lookalike-AZR-AZR»1 x 1»SocialBan»CAN»ALL»CPA»LAL»X»NA»SS»NA»FreeAcctDeveloperFB-AnimatedGeneric-Ch1»PS7B4Y</v></cell><cell r="AH938"><v>226535300</v></cell><cell r="AI938" t="str"><v>AZR_FreeAcctDeveloperFB-AnimatedGeneric-Ch1_USA_1200x1200_CAN_Direct_EN_Trial_Standard_ANI_LEA_T1_1</v></cell><cell r="AJ938"><v>104595766</v></cell></row><row r="939"><cell r="D939" t="str"><v>43357226786188</v></cell><cell r="E939" t="str"><v>43357104593435PS7BTJ</v></cell><cell r="F939" t="str"><v>DCM</v></cell></row><row r="939"><cell r="H939"><v>0</v></cell><cell r="I939" t="str"><v>Azure Direct</v></cell><cell r="J939" t="str"><v>Azure Direct</v></cell><cell r="K939" t="str"><v>September</v></cell><cell r="L939"><v>43358</v></cell><cell r="M939" t="str"><v>Tier 0</v></cell><cell r="N939" t="str"><v>North America</v></cell><cell r="O939" t="str"><v>United States</v></cell><cell r="P939" t="str"><v>Trial</v></cell><cell r="Q939" t="str"><v>Social</v></cell><cell r="R939" t="str"><v>Azure</v></cell><cell r="S939" t="str"><v>Apps & Infra</v></cell><cell r="T939" t="str"><v>Developers & ITI's</v></cell><cell r="U939" t="str"><v>USA-Trial-ITD-Bing Retargeting-AZR-AZR</v></cell><cell r="V939" t="str"><v>Retargeting</v></cell><cell r="W939" t="str"><v>Link Ad</v></cell><cell r="X939" t="str"><v>1200x627</v></cell><cell r="Y939" t="str"><v>Sign Up</v></cell><cell r="Z939" t="str"><v>Not Applicable</v></cell><cell r="AA939"><v>43357</v></cell><cell r="AB939" t="str"><v>USA_gaPMG_AZR_AZR_Q1_19_Direct-Social</v></cell><cell r="AC939"><v>21358715</v></cell><cell r="AD939"><v>720197</v></cell><cell r="AE939" t="str"><v>Linkedin</v></cell><cell r="AF939"><v>3654329</v></cell><cell r="AG939" t="str"><v>LINKEDIN»USA-Trial-ITD-Bing Retargeting-AZR-AZR»1 x 1»SocialBan»LIA»ALL»CPA»RT»D»All»SS»NA»FreeAcctRetargetingLI-Credit-ChA»PS7BTJ</v></cell><cell r="AH939"><v>226786188</v></cell><cell r="AI939" t="str"><v>AZR_FreeAcctRetargetingLI-Credit-ChA_USA_1200x627_LIA_Plat_English_Free Account_Standard_NA_SINU_T1_1</v></cell><cell r="AJ939"><v>104593435</v></cell></row><row r="940"><cell r="D940" t="str"><v>43357226536104</v></cell><cell r="E940" t="str"><v>43357104593723PS7BTN</v></cell><cell r="F940" t="str"><v>DCM</v></cell></row><row r="940"><cell r="H940"><v>0</v></cell><cell r="I940" t="str"><v>Azure Direct</v></cell><cell r="J940" t="str"><v>Azure Direct</v></cell><cell r="K940" t="str"><v>September</v></cell><cell r="L940"><v>43358</v></cell><cell r="M940" t="str"><v>Tier 0</v></cell><cell r="N940" t="str"><v>North America</v></cell><cell r="O940" t="str"><v>United States</v></cell><cell r="P940" t="str"><v>Trial</v></cell><cell r="Q940" t="str"><v>Social</v></cell><cell r="R940" t="str"><v>Azure</v></cell><cell r="S940" t="str"><v>Apps & Infra</v></cell><cell r="T940" t="str"><v>Developers & ITI's</v></cell><cell r="U940" t="str"><v>USA-Trial-ITD-Bing Retargeting-AZR-AZR</v></cell><cell r="V940" t="str"><v>Retargeting</v></cell><cell r="W940" t="str"><v>Link Ad</v></cell><cell r="X940" t="str"><v>1200x627</v></cell><cell r="Y940" t="str"><v>Sign Up</v></cell><cell r="Z940" t="str"><v>Not Applicable</v></cell><cell r="AA940"><v>43357</v></cell><cell r="AB940" t="str"><v>USA_gaPMG_AZR_AZR_Q1_19_Direct-Social</v></cell><cell r="AC940"><v>21358715</v></cell><cell r="AD940"><v>720197</v></cell><cell r="AE940" t="str"><v>Linkedin</v></cell><cell r="AF940"><v>3654329</v></cell><cell r="AG940" t="str"><v>LINKEDIN»USA-Trial-ITD-Bing Retargeting-AZR-AZR»1 x 1»SocialBan»LIA»ALL»CPA»RT»D»All»SS»NA»FreeAcctRetargetingLI-GlobalAlt-ChB»PS7BTN</v></cell><cell r="AH940"><v>226536104</v></cell><cell r="AI940" t="str"><v>AZR_FreeAcctRetargetingLI-GlobalAlt-ChB_USA_1200x627_LIA_Plat_English_Free Account_Standard_NA_SINU_T2_1</v></cell><cell r="AJ940"><v>104593723</v></cell></row><row r="941"><cell r="D941" t="str"><v>43357226535249</v></cell><cell r="E941" t="str"><v>43357104671415PS7BTF</v></cell><cell r="F941" t="str"><v>DCM</v></cell></row><row r="941"><cell r="H941"><v>0</v></cell><cell r="I941" t="str"><v>Azure Direct</v></cell><cell r="J941" t="str"><v>Azure Direct</v></cell><cell r="K941" t="str"><v>September</v></cell><cell r="L941"><v>43358</v></cell><cell r="M941" t="str"><v>Tier 0</v></cell><cell r="N941" t="str"><v>North America</v></cell><cell r="O941" t="str"><v>United States</v></cell><cell r="P941" t="str"><v>Trial</v></cell><cell r="Q941" t="str"><v>Social</v></cell><cell r="R941" t="str"><v>Azure</v></cell><cell r="S941" t="str"><v>Apps & Infra</v></cell><cell r="T941" t="str"><v>Developers & ITI's</v></cell><cell r="U941" t="str"><v>USA-Trial-ITD-Bing Retargeting-AZR-AZR</v></cell><cell r="V941" t="str"><v>Retargeting</v></cell><cell r="W941" t="str"><v>Link Ad</v></cell><cell r="X941" t="str"><v>1200x627</v></cell><cell r="Y941" t="str"><v>Sign Up</v></cell><cell r="Z941" t="str"><v>Not Applicable</v></cell><cell r="AA941"><v>43357</v></cell><cell r="AB941" t="str"><v>USA_gaPMG_AZR_AZR_Q1_19_Direct-Social</v></cell><cell r="AC941"><v>21358715</v></cell><cell r="AD941"><v>720197</v></cell><cell r="AE941" t="str"><v>Linkedin</v></cell><cell r="AF941"><v>3654329</v></cell><cell r="AG941" t="str"><v>LINKEDIN»USA-Trial-ITD-Bing Retargeting-AZR-AZR»1 x 1»SocialBan»LIA»ALL»CPA»RT»D»All»SS»NA»FreeAcctRetargetingVMLI-750Hrs-ChD»PS7BTF</v></cell><cell r="AH941"><v>226535249</v></cell><cell r="AI941" t="str"><v>AZR_FreeAcctRetargetingVMLI-750Hrs-ChD_USA_1200x627_LIA_Plat_English_Free Account_Standard_NA_SINU_T1_1</v></cell><cell r="AJ941"><v>104671415</v></cell></row><row r="942"><cell r="D942" t="str"><v>43357226615867</v></cell><cell r="E942" t="str"><v>43357104592529PS7BTG</v></cell><cell r="F942" t="str"><v>DCM</v></cell></row><row r="942"><cell r="H942"><v>0</v></cell><cell r="I942" t="str"><v>Azure Direct</v></cell><cell r="J942" t="str"><v>Azure Direct</v></cell><cell r="K942" t="str"><v>September</v></cell><cell r="L942"><v>43358</v></cell><cell r="M942" t="str"><v>Tier 0</v></cell><cell r="N942" t="str"><v>North America</v></cell><cell r="O942" t="str"><v>United States</v></cell><cell r="P942" t="str"><v>Trial</v></cell><cell r="Q942" t="str"><v>Social</v></cell><cell r="R942" t="str"><v>Azure</v></cell><cell r="S942" t="str"><v>Apps & Infra</v></cell><cell r="T942" t="str"><v>Developers & ITI's</v></cell><cell r="U942" t="str"><v>USA-Trial-ITD-Bing Retargeting-AZR-AZR</v></cell><cell r="V942" t="str"><v>Retargeting</v></cell><cell r="W942" t="str"><v>Link Ad</v></cell><cell r="X942" t="str"><v>1200x627</v></cell><cell r="Y942" t="str"><v>Sign Up</v></cell><cell r="Z942" t="str"><v>Not Applicable</v></cell><cell r="AA942"><v>43357</v></cell><cell r="AB942" t="str"><v>USA_gaPMG_AZR_AZR_Q1_19_Direct-Social</v></cell><cell r="AC942"><v>21358715</v></cell><cell r="AD942"><v>720197</v></cell><cell r="AE942" t="str"><v>Linkedin</v></cell><cell r="AF942"><v>3654329</v></cell><cell r="AG942" t="str"><v>LINKEDIN»USA-Trial-ITD-Bing Retargeting-AZR-AZR»1 x 1»SocialBan»LIA»ALL»CPA»RT»D»All»SS»NA»FreeAcctRetargetingVMLI-OnDemand-ChE»PS7BTG</v></cell><cell r="AH942"><v>226615867</v></cell><cell r="AI942" t="str"><v>AZR_FreeAcctRetargetingVMLI-OnDemand-ChE_USA_1200x627_LIA_Plat_English_Free Account_Standard_NA_SINU_T2_1</v></cell><cell r="AJ942"><v>104592529</v></cell></row><row r="943"><cell r="D943" t="str"><v>43357226621543</v></cell><cell r="E943" t="str"><v>43357104593444PS7BTR</v></cell><cell r="F943" t="str"><v>DCM</v></cell></row><row r="943"><cell r="H943"><v>1</v></cell><cell r="I943" t="str"><v>Azure Direct</v></cell><cell r="J943" t="str"><v>Azure Direct</v></cell><cell r="K943" t="str"><v>September</v></cell><cell r="L943"><v>43358</v></cell><cell r="M943" t="str"><v>Tier 0</v></cell><cell r="N943" t="str"><v>North America</v></cell><cell r="O943" t="str"><v>United States</v></cell><cell r="P943" t="str"><v>Trial</v></cell><cell r="Q943" t="str"><v>Social</v></cell><cell r="R943" t="str"><v>Azure</v></cell><cell r="S943" t="str"><v>Apps & Infra</v></cell><cell r="T943" t="str"><v>Developers & ITI's</v></cell><cell r="U943" t="str"><v>USA-Trial-ITD-Bing Retargeting-AZR-AZR</v></cell><cell r="V943" t="str"><v>Retargeting</v></cell><cell r="W943" t="str"><v>Video Link ad</v></cell><cell r="X943" t="str"><v>1920x1080</v></cell><cell r="Y943" t="str"><v>Learn More</v></cell><cell r="Z943" t="str"><v>Animated Banner</v></cell><cell r="AA943"><v>43357</v></cell><cell r="AB943" t="str"><v>USA_gaPMG_AZR_AZR_Q1_19_Direct-Social</v></cell><cell r="AC943"><v>21358715</v></cell><cell r="AD943"><v>720197</v></cell><cell r="AE943" t="str"><v>Linkedin</v></cell><cell r="AF943"><v>3654329</v></cell><cell r="AG943" t="str"><v>LINKEDIN»USA-Trial-ITD-Bing Retargeting-AZR-AZR»1 x 1»SocialBan»VLA»ALL»CPA»RT»D»All»SS»NA»FreeAcctDeveloperLI-AnimatedAI-Ch3»PS7BTR</v></cell><cell r="AH943"><v>226621543</v></cell><cell r="AI943" t="str"><v>AZR_FreeAcctDeveloperLI-AnimatedAI-Ch3_USA_1920x1080_VLA_Direct_EN_Trial_Standard_ANI_LEA_T3_1</v></cell><cell r="AJ943"><v>104593444</v></cell></row><row r="944"><cell r="D944" t="str"><v>43357226622815</v></cell><cell r="E944" t="str"><v>43357104593732PS7BTS</v></cell><cell r="F944" t="str"><v>DCM</v></cell></row><row r="944"><cell r="H944"><v>0</v></cell><cell r="I944" t="str"><v>Azure Direct</v></cell><cell r="J944" t="str"><v>Azure Direct</v></cell><cell r="K944" t="str"><v>September</v></cell><cell r="L944"><v>43358</v></cell><cell r="M944" t="str"><v>Tier 0</v></cell><cell r="N944" t="str"><v>North America</v></cell><cell r="O944" t="str"><v>United States</v></cell><cell r="P944" t="str"><v>Trial</v></cell><cell r="Q944" t="str"><v>Social</v></cell><cell r="R944" t="str"><v>Azure</v></cell><cell r="S944" t="str"><v>Apps & Infra</v></cell><cell r="T944" t="str"><v>Developers & ITI's</v></cell><cell r="U944" t="str"><v>USA-Trial-ITD-Bing Retargeting-AZR-AZR</v></cell><cell r="V944" t="str"><v>Retargeting</v></cell><cell r="W944" t="str"><v>Video Link ad</v></cell><cell r="X944" t="str"><v>1920x1080</v></cell><cell r="Y944" t="str"><v>Learn More</v></cell><cell r="Z944" t="str"><v>Animated Banner</v></cell><cell r="AA944"><v>43357</v></cell><cell r="AB944" t="str"><v>USA_gaPMG_AZR_AZR_Q1_19_Direct-Social</v></cell><cell r="AC944"><v>21358715</v></cell><cell r="AD944"><v>720197</v></cell><cell r="AE944" t="str"><v>Linkedin</v></cell><cell r="AF944"><v>3654329</v></cell><cell r="AG944" t="str"><v>LINKEDIN»USA-Trial-ITD-Bing Retargeting-AZR-AZR»1 x 1»SocialBan»VLA»ALL»CPA»RT»D»All»SS»NA»FreeAcctDeveloperLI-AnimatedData-Ch4»PS7BTS</v></cell><cell r="AH944"><v>226622815</v></cell><cell r="AI944" t="str"><v>AZR_FreeAcctDeveloperLI-AnimatedData-Ch4_USA_1920x1080_VLA_Direct_EN_Trial_Standard_ANI_LEA_T4_1</v></cell><cell r="AJ944"><v>104593732</v></cell></row><row r="945"><cell r="D945" t="str"><v>43357226538510</v></cell><cell r="E945" t="str"><v>43357104595736PS7BTL</v></cell><cell r="F945" t="str"><v>DCM</v></cell></row><row r="945"><cell r="H945"><v>0</v></cell><cell r="I945" t="str"><v>Azure Direct</v></cell><cell r="J945" t="str"><v>Azure Direct</v></cell><cell r="K945" t="str"><v>September</v></cell><cell r="L945"><v>43358</v></cell><cell r="M945" t="str"><v>Tier 0</v></cell><cell r="N945" t="str"><v>North America</v></cell><cell r="O945" t="str"><v>United States</v></cell><cell r="P945" t="str"><v>Trial</v></cell><cell r="Q945" t="str"><v>Social</v></cell><cell r="R945" t="str"><v>Azure</v></cell><cell r="S945" t="str"><v>Apps & Infra</v></cell><cell r="T945" t="str"><v>Developers & ITI's</v></cell><cell r="U945" t="str"><v>USA-Trial-ITD-Bing Retargeting-AZR-AZR</v></cell><cell r="V945" t="str"><v>Retargeting</v></cell><cell r="W945" t="str"><v>Video Link ad</v></cell><cell r="X945" t="str"><v>1920x1080</v></cell><cell r="Y945" t="str"><v>Learn More</v></cell><cell r="Z945" t="str"><v>Animated Banner</v></cell><cell r="AA945"><v>43357</v></cell><cell r="AB945" t="str"><v>USA_gaPMG_AZR_AZR_Q1_19_Direct-Social</v></cell><cell r="AC945"><v>21358715</v></cell><cell r="AD945"><v>720197</v></cell><cell r="AE945" t="str"><v>Linkedin</v></cell><cell r="AF945"><v>3654329</v></cell><cell r="AG945" t="str"><v>LINKEDIN»USA-Trial-ITD-Bing Retargeting-AZR-AZR»1 x 1»SocialBan»VLA»ALL»CPA»RT»D»All»SS»NA»FreeAcctDeveloperLI-AnimatedGeneric-Ch1»PS7BTL</v></cell><cell r="AH945"><v>226538510</v></cell><cell r="AI945" t="str"><v>AZR_FreeAcctDeveloperLI-AnimatedGeneric-Ch1_USA_1920x1080_VLA_Direct_EN_Trial_Standard_ANI_LEA_T1_1</v></cell><cell r="AJ945"><v>104595736</v></cell></row><row r="946"><cell r="D946" t="str"><v>43357226538513</v></cell><cell r="E946" t="str"><v>43357104595736PS7BTM</v></cell><cell r="F946" t="str"><v>DCM</v></cell></row><row r="946"><cell r="H946"><v>0</v></cell><cell r="I946" t="str"><v>Azure Direct</v></cell><cell r="J946" t="str"><v>Azure Direct</v></cell><cell r="K946" t="str"><v>September</v></cell><cell r="L946"><v>43358</v></cell><cell r="M946" t="str"><v>Tier 0</v></cell><cell r="N946" t="str"><v>North America</v></cell><cell r="O946" t="str"><v>United States</v></cell><cell r="P946" t="str"><v>Trial</v></cell><cell r="Q946" t="str"><v>Social</v></cell><cell r="R946" t="str"><v>Azure</v></cell><cell r="S946" t="str"><v>Apps & Infra</v></cell><cell r="T946" t="str"><v>Developers & ITI's</v></cell><cell r="U946" t="str"><v>USA-Trial-ITD-Bing Retargeting-AZR-AZR</v></cell><cell r="V946" t="str"><v>Retargeting</v></cell><cell r="W946" t="str"><v>Video Link ad</v></cell><cell r="X946" t="str"><v>1920x1080</v></cell><cell r="Y946" t="str"><v>Learn More</v></cell><cell r="Z946" t="str"><v>Animated Banner</v></cell><cell r="AA946"><v>43357</v></cell><cell r="AB946" t="str"><v>USA_gaPMG_AZR_AZR_Q1_19_Direct-Social</v></cell><cell r="AC946"><v>21358715</v></cell><cell r="AD946"><v>720197</v></cell><cell r="AE946" t="str"><v>Linkedin</v></cell><cell r="AF946"><v>3654329</v></cell><cell r="AG946" t="str"><v>LINKEDIN»USA-Trial-ITD-Bing Retargeting-AZR-AZR»1 x 1»SocialBan»VLA»ALL»CPA»RT»D»All»SS»NA»FreeAcctDeveloperLI-AnimatedGeneric-Ch1»PS7BTM</v></cell><cell r="AH946"><v>226538513</v></cell><cell r="AI946" t="str"><v>AZR_FreeAcctDeveloperLI-AnimatedGeneric-Ch1_USA_1920x1080_VLA_Direct_EN_Trial_Standard_ANI_LEA_T1_1</v></cell><cell r="AJ946"><v>104595736</v></cell></row><row r="947"><cell r="D947" t="str"><v>43357226535246</v></cell><cell r="E947" t="str"><v>43357104671424PS7BTV</v></cell><cell r="F947" t="str"><v>DCM</v></cell></row><row r="947"><cell r="H947"><v>0</v></cell><cell r="I947" t="str"><v>Azure Direct</v></cell><cell r="J947" t="str"><v>Azure Direct</v></cell><cell r="K947" t="str"><v>September</v></cell><cell r="L947"><v>43358</v></cell><cell r="M947" t="str"><v>Tier 0</v></cell><cell r="N947" t="str"><v>North America</v></cell><cell r="O947" t="str"><v>United States</v></cell><cell r="P947" t="str"><v>Trial</v></cell><cell r="Q947" t="str"><v>Social</v></cell><cell r="R947" t="str"><v>Azure</v></cell><cell r="S947" t="str"><v>Apps & Infra</v></cell><cell r="T947" t="str"><v>Developers & ITI's</v></cell><cell r="U947" t="str"><v>USA-Trial-ITD-Bing Retargeting-AZR-AZR</v></cell><cell r="V947" t="str"><v>Retargeting</v></cell><cell r="W947" t="str"><v>Video Link ad</v></cell><cell r="X947" t="str"><v>1920x1080</v></cell><cell r="Y947" t="str"><v>Learn More</v></cell><cell r="Z947" t="str"><v>Animated Banner</v></cell><cell r="AA947"><v>43357</v></cell><cell r="AB947" t="str"><v>USA_gaPMG_AZR_AZR_Q1_19_Direct-Social</v></cell><cell r="AC947"><v>21358715</v></cell><cell r="AD947"><v>720197</v></cell><cell r="AE947" t="str"><v>Linkedin</v></cell><cell r="AF947"><v>3654329</v></cell><cell r="AG947" t="str"><v>LINKEDIN»USA-Trial-ITD-Bing Retargeting-AZR-AZR»1 x 1»SocialBan»VLA»ALL»CPA»RT»D»All»SS»NA»FreeAcctITProLI-AnimatedHybrid-Ch2»PS7BTV</v></cell><cell r="AH947"><v>226535246</v></cell><cell r="AI947" t="str"><v>AZR_FreeAcctITProLI-AnimatedHybrid-Ch2_USA_1920x1080_VLA_Direct_EN_Trial_Standard_ANI_LEA_T2_1</v></cell><cell r="AJ947"><v>104671424</v></cell></row><row r="948"><cell r="D948" t="str"><v>43357226620916</v></cell><cell r="E948" t="str"><v>43357104592532PS7BTP</v></cell><cell r="F948" t="str"><v>DCM</v></cell></row><row r="948"><cell r="H948"><v>0</v></cell><cell r="I948" t="str"><v>Azure Direct</v></cell><cell r="J948" t="str"><v>Azure Direct</v></cell><cell r="K948" t="str"><v>September</v></cell><cell r="L948"><v>43358</v></cell><cell r="M948" t="str"><v>Tier 0</v></cell><cell r="N948" t="str"><v>North America</v></cell><cell r="O948" t="str"><v>United States</v></cell><cell r="P948" t="str"><v>Trial</v></cell><cell r="Q948" t="str"><v>Social</v></cell><cell r="R948" t="str"><v>Azure</v></cell><cell r="S948" t="str"><v>Apps & Infra</v></cell><cell r="T948" t="str"><v>Developers & ITI's</v></cell><cell r="U948" t="str"><v>USA-Trial-ITD-Bing Retargeting-AZR-AZR</v></cell><cell r="V948" t="str"><v>Retargeting</v></cell><cell r="W948" t="str"><v>Video Link ad</v></cell><cell r="X948" t="str"><v>1920x1080</v></cell><cell r="Y948" t="str"><v>Learn More</v></cell><cell r="Z948" t="str"><v>Animated Banner</v></cell><cell r="AA948"><v>43357</v></cell><cell r="AB948" t="str"><v>USA_gaPMG_AZR_AZR_Q1_19_Direct-Social</v></cell><cell r="AC948"><v>21358715</v></cell><cell r="AD948"><v>720197</v></cell><cell r="AE948" t="str"><v>Linkedin</v></cell><cell r="AF948"><v>3654329</v></cell><cell r="AG948" t="str"><v>LINKEDIN»USA-Trial-ITD-Bing Retargeting-AZR-AZR»1 x 1»SocialBan»VLA»ALL»CPA»RT»D»All»SS»NA»FreeAcctITProLI-AnimatedMigration-Ch3»PS7BTP</v></cell><cell r="AH948"><v>226620916</v></cell><cell r="AI948" t="str"><v>AZR_FreeAcctITProLI-AnimatedMigration-Ch3_USA_1920x1080_VLA_Direct_EN_Trial_Standard_ANI_LEA_T3_1</v></cell><cell r="AJ948"><v>104592532</v></cell></row><row r="949"><cell r="D949" t="str"><v>43357226622818</v></cell><cell r="E949" t="str"><v>43357104593447PS7BTT</v></cell><cell r="F949" t="str"><v>DCM</v></cell></row><row r="949"><cell r="H949"><v>0</v></cell><cell r="I949" t="str"><v>Azure Direct</v></cell><cell r="J949" t="str"><v>Azure Direct</v></cell><cell r="K949" t="str"><v>September</v></cell><cell r="L949"><v>43358</v></cell><cell r="M949" t="str"><v>Tier 0</v></cell><cell r="N949" t="str"><v>North America</v></cell><cell r="O949" t="str"><v>United States</v></cell><cell r="P949" t="str"><v>Trial</v></cell><cell r="Q949" t="str"><v>Social</v></cell><cell r="R949" t="str"><v>Azure</v></cell><cell r="S949" t="str"><v>Apps & Infra</v></cell><cell r="T949" t="str"><v>Developers & ITI's</v></cell><cell r="U949" t="str"><v>USA-Trial-ITD-Bing Retargeting-AZR-AZR</v></cell><cell r="V949" t="str"><v>Retargeting</v></cell><cell r="W949" t="str"><v>Video Link ad</v></cell><cell r="X949" t="str"><v>1920x1080</v></cell><cell r="Y949" t="str"><v>Learn More</v></cell><cell r="Z949" t="str"><v>Animated Banner</v></cell><cell r="AA949"><v>43357</v></cell><cell r="AB949" t="str"><v>USA_gaPMG_AZR_AZR_Q1_19_Direct-Social</v></cell><cell r="AC949"><v>21358715</v></cell><cell r="AD949"><v>720197</v></cell><cell r="AE949" t="str"><v>Linkedin</v></cell><cell r="AF949"><v>3654329</v></cell><cell r="AG949" t="str"><v>LINKEDIN»USA-Trial-ITD-Bing Retargeting-AZR-AZR»1 x 1»SocialBan»VLA»ALL»CPA»RT»D»All»SS»NA»FreeAcctITProLI-AnimatedSecureWellMngd-Ch1»PS7BTT</v></cell><cell r="AH949"><v>226622818</v></cell><cell r="AI949" t="str"><v>AZR_FreeAcctITProLI-AnimatedSecureWellMngd-Ch1_USA_1920x1080_VLA_Direct_EN_Trial_Standard_ANI_LEA_T1_1</v></cell><cell r="AJ949"><v>104593447</v></cell></row><row r="950"><cell r="D950" t="str"><v>43357226538582</v></cell><cell r="E950" t="str"><v>43357104593444PS7BS4</v></cell><cell r="F950" t="str"><v>DCM</v></cell></row><row r="950"><cell r="H950"><v>2</v></cell><cell r="I950" t="str"><v>Azure Direct</v></cell><cell r="J950" t="str"><v>Azure Direct</v></cell><cell r="K950" t="str"><v>September</v></cell><cell r="L950"><v>43358</v></cell><cell r="M950" t="str"><v>Tier 0</v></cell><cell r="N950" t="str"><v>North America</v></cell><cell r="O950" t="str"><v>United States</v></cell><cell r="P950" t="str"><v>Trial</v></cell><cell r="Q950" t="str"><v>Social</v></cell><cell r="R950" t="str"><v>Azure</v></cell><cell r="S950" t="str"><v>Apps & Infra</v></cell><cell r="T950" t="str"><v>Developers & ITI's</v></cell><cell r="U950" t="str"><v>USA-Trial-ITD-Groups Prospecting-AZR-AZR</v></cell><cell r="V950" t="str"><v>Prospecting</v></cell><cell r="W950" t="str"><v>Video Link ad</v></cell><cell r="X950" t="str"><v>1920x1080</v></cell><cell r="Y950" t="str"><v>Learn More</v></cell><cell r="Z950" t="str"><v>Animated Banner</v></cell><cell r="AA950"><v>43357</v></cell><cell r="AB950" t="str"><v>USA_gaPMG_AZR_AZR_Q1_19_Direct-Social</v></cell><cell r="AC950"><v>21358715</v></cell><cell r="AD950"><v>720197</v></cell><cell r="AE950" t="str"><v>Linkedin</v></cell><cell r="AF950"><v>3654329</v></cell><cell r="AG950" t="str"><v>LINKEDIN»USA-Trial-ITD-Groups Prospecting-AZR-AZR»1 x 1»SocialBan»VLA»ALL»CPA»PRO»D»All»SS»NA»FreeAcctDeveloperLI-AnimatedAI-Ch3»PS7BS4</v></cell><cell r="AH950"><v>226538582</v></cell><cell r="AI950" t="str"><v>AZR_FreeAcctDeveloperLI-AnimatedAI-Ch3_USA_1920x1080_VLA_Direct_EN_Trial_Standard_ANI_LEA_T3_1</v></cell><cell r="AJ950"><v>104593444</v></cell></row><row r="951"><cell r="D951" t="str"><v>43357226617961</v></cell><cell r="E951" t="str"><v>43357104593732PS7BS5</v></cell><cell r="F951" t="str"><v>DCM</v></cell></row><row r="951"><cell r="H951"><v>0</v></cell><cell r="I951" t="str"><v>Azure Direct</v></cell><cell r="J951" t="str"><v>Azure Direct</v></cell><cell r="K951" t="str"><v>September</v></cell><cell r="L951"><v>43358</v></cell><cell r="M951" t="str"><v>Tier 0</v></cell><cell r="N951" t="str"><v>North America</v></cell><cell r="O951" t="str"><v>United States</v></cell><cell r="P951" t="str"><v>Trial</v></cell><cell r="Q951" t="str"><v>Social</v></cell><cell r="R951" t="str"><v>Azure</v></cell><cell r="S951" t="str"><v>Apps & Infra</v></cell><cell r="T951" t="str"><v>Developers & ITI's</v></cell><cell r="U951" t="str"><v>USA-Trial-ITD-Groups Prospecting-AZR-AZR</v></cell><cell r="V951" t="str"><v>Prospecting</v></cell><cell r="W951" t="str"><v>Video Link ad</v></cell><cell r="X951" t="str"><v>1920x1080</v></cell><cell r="Y951" t="str"><v>Learn More</v></cell><cell r="Z951" t="str"><v>Animated Banner</v></cell><cell r="AA951"><v>43357</v></cell><cell r="AB951" t="str"><v>USA_gaPMG_AZR_AZR_Q1_19_Direct-Social</v></cell><cell r="AC951"><v>21358715</v></cell><cell r="AD951"><v>720197</v></cell><cell r="AE951" t="str"><v>Linkedin</v></cell><cell r="AF951"><v>3654329</v></cell><cell r="AG951" t="str"><v>LINKEDIN»USA-Trial-ITD-Groups Prospecting-AZR-AZR»1 x 1»SocialBan»VLA»ALL»CPA»PRO»D»All»SS»NA»FreeAcctDeveloperLI-AnimatedData-Ch4»PS7BS5</v></cell><cell r="AH951"><v>226617961</v></cell><cell r="AI951" t="str"><v>AZR_FreeAcctDeveloperLI-AnimatedData-Ch4_USA_1920x1080_VLA_Direct_EN_Trial_Standard_ANI_LEA_T4_1</v></cell><cell r="AJ951"><v>104593732</v></cell></row><row r="952"><cell r="D952" t="str"><v>43357226622884</v></cell><cell r="E952" t="str"><v>43357104595736PS7BRZ</v></cell><cell r="F952" t="str"><v>DCM</v></cell></row><row r="952"><cell r="H952"><v>1</v></cell><cell r="I952" t="str"><v>Azure Direct</v></cell><cell r="J952" t="str"><v>Azure Direct</v></cell><cell r="K952" t="str"><v>September</v></cell><cell r="L952"><v>43358</v></cell><cell r="M952" t="str"><v>Tier 0</v></cell><cell r="N952" t="str"><v>North America</v></cell><cell r="O952" t="str"><v>United States</v></cell><cell r="P952" t="str"><v>Trial</v></cell><cell r="Q952" t="str"><v>Social</v></cell><cell r="R952" t="str"><v>Azure</v></cell><cell r="S952" t="str"><v>Apps & Infra</v></cell><cell r="T952" t="str"><v>Developers & ITI's</v></cell><cell r="U952" t="str"><v>USA-Trial-ITD-Groups Prospecting-AZR-AZR</v></cell><cell r="V952" t="str"><v>Prospecting</v></cell><cell r="W952" t="str"><v>Video Link ad</v></cell><cell r="X952" t="str"><v>1920x1080</v></cell><cell r="Y952" t="str"><v>Learn More</v></cell><cell r="Z952" t="str"><v>Animated Banner</v></cell><cell r="AA952"><v>43357</v></cell><cell r="AB952" t="str"><v>USA_gaPMG_AZR_AZR_Q1_19_Direct-Social</v></cell><cell r="AC952"><v>21358715</v></cell><cell r="AD952"><v>720197</v></cell><cell r="AE952" t="str"><v>Linkedin</v></cell><cell r="AF952"><v>3654329</v></cell><cell r="AG952" t="str"><v>LINKEDIN»USA-Trial-ITD-Groups Prospecting-AZR-AZR»1 x 1»SocialBan»VLA»ALL»CPA»PRO»D»All»SS»NA»FreeAcctDeveloperLI-AnimatedGeneric-Ch1»PS7BRZ</v></cell><cell r="AH952"><v>226622884</v></cell><cell r="AI952" t="str"><v>AZR_FreeAcctDeveloperLI-AnimatedGeneric-Ch1_USA_1920x1080_VLA_Direct_EN_Trial_Standard_ANI_LEA_T1_1</v></cell><cell r="AJ952"><v>104595736</v></cell></row><row r="953"><cell r="D953" t="str"><v>43357226620961</v></cell><cell r="E953" t="str"><v>43357104595736PS7BS0</v></cell><cell r="F953" t="str"><v>DCM</v></cell></row><row r="953"><cell r="H953"><v>2</v></cell><cell r="I953" t="str"><v>Azure Direct</v></cell><cell r="J953" t="str"><v>Azure Direct</v></cell><cell r="K953" t="str"><v>September</v></cell><cell r="L953"><v>43358</v></cell><cell r="M953" t="str"><v>Tier 0</v></cell><cell r="N953" t="str"><v>North America</v></cell><cell r="O953" t="str"><v>United States</v></cell><cell r="P953" t="str"><v>Trial</v></cell><cell r="Q953" t="str"><v>Social</v></cell><cell r="R953" t="str"><v>Azure</v></cell><cell r="S953" t="str"><v>Apps & Infra</v></cell><cell r="T953" t="str"><v>Developers & ITI's</v></cell><cell r="U953" t="str"><v>USA-Trial-ITD-Groups Prospecting-AZR-AZR</v></cell><cell r="V953" t="str"><v>Prospecting</v></cell><cell r="W953" t="str"><v>Video Link ad</v></cell><cell r="X953" t="str"><v>1920x1080</v></cell><cell r="Y953" t="str"><v>Learn More</v></cell><cell r="Z953" t="str"><v>Animated Banner</v></cell><cell r="AA953"><v>43357</v></cell><cell r="AB953" t="str"><v>USA_gaPMG_AZR_AZR_Q1_19_Direct-Social</v></cell><cell r="AC953"><v>21358715</v></cell><cell r="AD953"><v>720197</v></cell><cell r="AE953" t="str"><v>Linkedin</v></cell><cell r="AF953"><v>3654329</v></cell><cell r="AG953" t="str"><v>LINKEDIN»USA-Trial-ITD-Groups Prospecting-AZR-AZR»1 x 1»SocialBan»VLA»ALL»CPA»PRO»D»All»SS»NA»FreeAcctDeveloperLI-AnimatedGeneric-Ch1»PS7BS0</v></cell><cell r="AH953"><v>226620961</v></cell><cell r="AI953" t="str"><v>AZR_FreeAcctDeveloperLI-AnimatedGeneric-Ch1_USA_1920x1080_VLA_Direct_EN_Trial_Standard_ANI_LEA_T1_1</v></cell><cell r="AJ953"><v>104595736</v></cell></row><row r="954"><cell r="D954" t="str"><v>43357226617649</v></cell><cell r="E954" t="str"><v>43357104671424PS7BS7</v></cell><cell r="F954" t="str"><v>DCM</v></cell></row><row r="954"><cell r="H954"><v>0</v></cell><cell r="I954" t="str"><v>Azure Direct</v></cell><cell r="J954" t="str"><v>Azure Direct</v></cell><cell r="K954" t="str"><v>September</v></cell><cell r="L954"><v>43358</v></cell><cell r="M954" t="str"><v>Tier 0</v></cell><cell r="N954" t="str"><v>North America</v></cell><cell r="O954" t="str"><v>United States</v></cell><cell r="P954" t="str"><v>Trial</v></cell><cell r="Q954" t="str"><v>Social</v></cell><cell r="R954" t="str"><v>Azure</v></cell><cell r="S954" t="str"><v>Apps & Infra</v></cell><cell r="T954" t="str"><v>Developers & ITI's</v></cell><cell r="U954" t="str"><v>USA-Trial-ITD-Groups Prospecting-AZR-AZR</v></cell><cell r="V954" t="str"><v>Prospecting</v></cell><cell r="W954" t="str"><v>Video Link ad</v></cell><cell r="X954" t="str"><v>1920x1080</v></cell><cell r="Y954" t="str"><v>Learn More</v></cell><cell r="Z954" t="str"><v>Animated Banner</v></cell><cell r="AA954"><v>43357</v></cell><cell r="AB954" t="str"><v>USA_gaPMG_AZR_AZR_Q1_19_Direct-Social</v></cell><cell r="AC954"><v>21358715</v></cell><cell r="AD954"><v>720197</v></cell><cell r="AE954" t="str"><v>Linkedin</v></cell><cell r="AF954"><v>3654329</v></cell><cell r="AG954" t="str"><v>LINKEDIN»USA-Trial-ITD-Groups Prospecting-AZR-AZR»1 x 1»SocialBan»VLA»ALL»CPA»PRO»D»All»SS»NA»FreeAcctITProLI-AnimatedHybrid-Ch2»PS7BS7</v></cell><cell r="AH954"><v>226617649</v></cell><cell r="AI954" t="str"><v>AZR_FreeAcctITProLI-AnimatedHybrid-Ch2_USA_1920x1080_VLA_Direct_EN_Trial_Standard_ANI_LEA_T2_1</v></cell><cell r="AJ954"><v>104671424</v></cell></row><row r="955"><cell r="D955" t="str"><v>43357226538576</v></cell><cell r="E955" t="str"><v>43357104592532PS7BS2</v></cell><cell r="F955" t="str"><v>DCM</v></cell></row><row r="955"><cell r="H955"><v>2</v></cell><cell r="I955" t="str"><v>Azure Direct</v></cell><cell r="J955" t="str"><v>Azure Direct</v></cell><cell r="K955" t="str"><v>September</v></cell><cell r="L955"><v>43358</v></cell><cell r="M955" t="str"><v>Tier 0</v></cell><cell r="N955" t="str"><v>North America</v></cell><cell r="O955" t="str"><v>United States</v></cell><cell r="P955" t="str"><v>Trial</v></cell><cell r="Q955" t="str"><v>Social</v></cell><cell r="R955" t="str"><v>Azure</v></cell><cell r="S955" t="str"><v>Apps & Infra</v></cell><cell r="T955" t="str"><v>Developers & ITI's</v></cell><cell r="U955" t="str"><v>USA-Trial-ITD-Groups Prospecting-AZR-AZR</v></cell><cell r="V955" t="str"><v>Prospecting</v></cell><cell r="W955" t="str"><v>Video Link ad</v></cell><cell r="X955" t="str"><v>1920x1080</v></cell><cell r="Y955" t="str"><v>Learn More</v></cell><cell r="Z955" t="str"><v>Animated Banner</v></cell><cell r="AA955"><v>43357</v></cell><cell r="AB955" t="str"><v>USA_gaPMG_AZR_AZR_Q1_19_Direct-Social</v></cell><cell r="AC955"><v>21358715</v></cell><cell r="AD955"><v>720197</v></cell><cell r="AE955" t="str"><v>Linkedin</v></cell><cell r="AF955"><v>3654329</v></cell><cell r="AG955" t="str"><v>LINKEDIN»USA-Trial-ITD-Groups Prospecting-AZR-AZR»1 x 1»SocialBan»VLA»ALL»CPA»PRO»D»All»SS»NA»FreeAcctITProLI-AnimatedMigration-Ch3»PS7BS2</v></cell><cell r="AH955"><v>226538576</v></cell><cell r="AI955" t="str"><v>AZR_FreeAcctITProLI-AnimatedMigration-Ch3_USA_1920x1080_VLA_Direct_EN_Trial_Standard_ANI_LEA_T3_1</v></cell><cell r="AJ955"><v>104592532</v></cell></row><row r="956"><cell r="D956" t="str"><v>43357226539371</v></cell><cell r="E956" t="str"><v>43357104593447PS7BS6</v></cell><cell r="F956" t="str"><v>DCM</v></cell></row><row r="956"><cell r="H956"><v>0</v></cell><cell r="I956" t="str"><v>Azure Direct</v></cell><cell r="J956" t="str"><v>Azure Direct</v></cell><cell r="K956" t="str"><v>September</v></cell><cell r="L956"><v>43358</v></cell><cell r="M956" t="str"><v>Tier 0</v></cell><cell r="N956" t="str"><v>North America</v></cell><cell r="O956" t="str"><v>United States</v></cell><cell r="P956" t="str"><v>Trial</v></cell><cell r="Q956" t="str"><v>Social</v></cell><cell r="R956" t="str"><v>Azure</v></cell><cell r="S956" t="str"><v>Apps & Infra</v></cell><cell r="T956" t="str"><v>Developers & ITI's</v></cell><cell r="U956" t="str"><v>USA-Trial-ITD-Groups Prospecting-AZR-AZR</v></cell><cell r="V956" t="str"><v>Prospecting</v></cell><cell r="W956" t="str"><v>Video Link ad</v></cell><cell r="X956" t="str"><v>1920x1080</v></cell><cell r="Y956" t="str"><v>Learn More</v></cell><cell r="Z956" t="str"><v>Animated Banner</v></cell><cell r="AA956"><v>43357</v></cell><cell r="AB956" t="str"><v>USA_gaPMG_AZR_AZR_Q1_19_Direct-Social</v></cell><cell r="AC956"><v>21358715</v></cell><cell r="AD956"><v>720197</v></cell><cell r="AE956" t="str"><v>Linkedin</v></cell><cell r="AF956"><v>3654329</v></cell><cell r="AG956" t="str"><v>LINKEDIN»USA-Trial-ITD-Groups Prospecting-AZR-AZR»1 x 1»SocialBan»VLA»ALL»CPA»PRO»D»All»SS»NA»FreeAcctITProLI-AnimatedSecureWellMngd-Ch1»PS7BS6</v></cell><cell r="AH956"><v>226539371</v></cell><cell r="AI956" t="str"><v>AZR_FreeAcctITProLI-AnimatedSecureWellMngd-Ch1_USA_1920x1080_VLA_Direct_EN_Trial_Standard_ANI_LEA_T1_1</v></cell><cell r="AJ956"><v>104593447</v></cell></row><row r="957"><cell r="D957" t="str"><v>43357226617946</v></cell><cell r="E957" t="str"><v>43357104593444PS7BSP</v></cell><cell r="F957" t="str"><v>DCM</v></cell></row><row r="957"><cell r="H957"><v>1</v></cell><cell r="I957" t="str"><v>Azure Direct</v></cell><cell r="J957" t="str"><v>Azure Direct</v></cell><cell r="K957" t="str"><v>September</v></cell><cell r="L957"><v>43358</v></cell><cell r="M957" t="str"><v>Tier 0</v></cell><cell r="N957" t="str"><v>North America</v></cell><cell r="O957" t="str"><v>United States</v></cell><cell r="P957" t="str"><v>Trial</v></cell><cell r="Q957" t="str"><v>Social</v></cell><cell r="R957" t="str"><v>Azure</v></cell><cell r="S957" t="str"><v>Apps & Infra</v></cell><cell r="T957" t="str"><v>Developers & ITI's</v></cell><cell r="U957" t="str"><v>USA-Trial-ITD-Job Functions Prospecting-AZR-AZR</v></cell><cell r="V957" t="str"><v>Prospecting</v></cell><cell r="W957" t="str"><v>Video Link ad</v></cell><cell r="X957" t="str"><v>1920x1080</v></cell><cell r="Y957" t="str"><v>Learn More</v></cell><cell r="Z957" t="str"><v>Animated Banner</v></cell><cell r="AA957"><v>43357</v></cell><cell r="AB957" t="str"><v>USA_gaPMG_AZR_AZR_Q1_19_Direct-Social</v></cell><cell r="AC957"><v>21358715</v></cell><cell r="AD957"><v>720197</v></cell><cell r="AE957" t="str"><v>Linkedin</v></cell><cell r="AF957"><v>3654329</v></cell><cell r="AG957" t="str"><v>LINKEDIN»USA-Trial-ITD-Job Functions Prospecting-AZR-AZR»1 x 1»SocialBan»VLA»ALL»CPA»PRO»D»All»SS»NA»FreeAcctDeveloperLI-AnimatedAI-Ch3»PS7BSP</v></cell><cell r="AH957"><v>226617946</v></cell><cell r="AI957" t="str"><v>AZR_FreeAcctDeveloperLI-AnimatedAI-Ch3_USA_1920x1080_VLA_Direct_EN_Trial_Standard_ANI_LEA_T3_1</v></cell><cell r="AJ957"><v>104593444</v></cell></row><row r="958"><cell r="D958" t="str"><v>43357226535264</v></cell><cell r="E958" t="str"><v>43357104593732PS7BSQ</v></cell><cell r="F958" t="str"><v>DCM</v></cell></row><row r="958"><cell r="H958"><v>1</v></cell><cell r="I958" t="str"><v>Azure Direct</v></cell><cell r="J958" t="str"><v>Azure Direct</v></cell><cell r="K958" t="str"><v>September</v></cell><cell r="L958"><v>43358</v></cell><cell r="M958" t="str"><v>Tier 0</v></cell><cell r="N958" t="str"><v>North America</v></cell><cell r="O958" t="str"><v>United States</v></cell><cell r="P958" t="str"><v>Trial</v></cell><cell r="Q958" t="str"><v>Social</v></cell><cell r="R958" t="str"><v>Azure</v></cell><cell r="S958" t="str"><v>Apps & Infra</v></cell><cell r="T958" t="str"><v>Developers & ITI's</v></cell><cell r="U958" t="str"><v>USA-Trial-ITD-Job Functions Prospecting-AZR-AZR</v></cell><cell r="V958" t="str"><v>Prospecting</v></cell><cell r="W958" t="str"><v>Video Link ad</v></cell><cell r="X958" t="str"><v>1920x1080</v></cell><cell r="Y958" t="str"><v>Learn More</v></cell><cell r="Z958" t="str"><v>Animated Banner</v></cell><cell r="AA958"><v>43357</v></cell><cell r="AB958" t="str"><v>USA_gaPMG_AZR_AZR_Q1_19_Direct-Social</v></cell><cell r="AC958"><v>21358715</v></cell><cell r="AD958"><v>720197</v></cell><cell r="AE958" t="str"><v>Linkedin</v></cell><cell r="AF958"><v>3654329</v></cell><cell r="AG958" t="str"><v>LINKEDIN»USA-Trial-ITD-Job Functions Prospecting-AZR-AZR»1 x 1»SocialBan»VLA»ALL»CPA»PRO»D»All»SS»NA»FreeAcctDeveloperLI-AnimatedData-Ch4»PS7BSQ</v></cell><cell r="AH958"><v>226535264</v></cell><cell r="AI958" t="str"><v>AZR_FreeAcctDeveloperLI-AnimatedData-Ch4_USA_1920x1080_VLA_Direct_EN_Trial_Standard_ANI_LEA_T4_1</v></cell><cell r="AJ958"><v>104593732</v></cell></row><row r="959"><cell r="D959" t="str"><v>43357226622875</v></cell><cell r="E959" t="str"><v>43357104595736PS7BSJ</v></cell><cell r="F959" t="str"><v>DCM</v></cell></row><row r="959"><cell r="H959"><v>1</v></cell><cell r="I959" t="str"><v>Azure Direct</v></cell><cell r="J959" t="str"><v>Azure Direct</v></cell><cell r="K959" t="str"><v>September</v></cell><cell r="L959"><v>43358</v></cell><cell r="M959" t="str"><v>Tier 0</v></cell><cell r="N959" t="str"><v>North America</v></cell><cell r="O959" t="str"><v>United States</v></cell><cell r="P959" t="str"><v>Trial</v></cell><cell r="Q959" t="str"><v>Social</v></cell><cell r="R959" t="str"><v>Azure</v></cell><cell r="S959" t="str"><v>Apps & Infra</v></cell><cell r="T959" t="str"><v>Developers & ITI's</v></cell><cell r="U959" t="str"><v>USA-Trial-ITD-Job Functions Prospecting-AZR-AZR</v></cell><cell r="V959" t="str"><v>Prospecting</v></cell><cell r="W959" t="str"><v>Video Link ad</v></cell><cell r="X959" t="str"><v>1920x1080</v></cell><cell r="Y959" t="str"><v>Learn More</v></cell><cell r="Z959" t="str"><v>Animated Banner</v></cell><cell r="AA959"><v>43357</v></cell><cell r="AB959" t="str"><v>USA_gaPMG_AZR_AZR_Q1_19_Direct-Social</v></cell><cell r="AC959"><v>21358715</v></cell><cell r="AD959"><v>720197</v></cell><cell r="AE959" t="str"><v>Linkedin</v></cell><cell r="AF959"><v>3654329</v></cell><cell r="AG959" t="str"><v>LINKEDIN»USA-Trial-ITD-Job Functions Prospecting-AZR-AZR»1 x 1»SocialBan»VLA»ALL»CPA»PRO»D»All»SS»NA»FreeAcctDeveloperLI-AnimatedGeneric-Ch1»PS7BSJ</v></cell><cell r="AH959"><v>226622875</v></cell><cell r="AI959" t="str"><v>AZR_FreeAcctDeveloperLI-AnimatedGeneric-Ch1_USA_1920x1080_VLA_Direct_EN_Trial_Standard_ANI_LEA_T1_1</v></cell><cell r="AJ959"><v>104595736</v></cell></row><row r="960"><cell r="D960" t="str"><v>43357226535270</v></cell><cell r="E960" t="str"><v>43357104595736PS7BSK</v></cell><cell r="F960" t="str"><v>DCM</v></cell></row><row r="960"><cell r="H960"><v>0</v></cell><cell r="I960" t="str"><v>Azure Direct</v></cell><cell r="J960" t="str"><v>Azure Direct</v></cell><cell r="K960" t="str"><v>September</v></cell><cell r="L960"><v>43358</v></cell><cell r="M960" t="str"><v>Tier 0</v></cell><cell r="N960" t="str"><v>North America</v></cell><cell r="O960" t="str"><v>United States</v></cell><cell r="P960" t="str"><v>Trial</v></cell><cell r="Q960" t="str"><v>Social</v></cell><cell r="R960" t="str"><v>Azure</v></cell><cell r="S960" t="str"><v>Apps & Infra</v></cell><cell r="T960" t="str"><v>Developers & ITI's</v></cell><cell r="U960" t="str"><v>USA-Trial-ITD-Job Functions Prospecting-AZR-AZR</v></cell><cell r="V960" t="str"><v>Prospecting</v></cell><cell r="W960" t="str"><v>Video Link ad</v></cell><cell r="X960" t="str"><v>1920x1080</v></cell><cell r="Y960" t="str"><v>Learn More</v></cell><cell r="Z960" t="str"><v>Animated Banner</v></cell><cell r="AA960"><v>43357</v></cell><cell r="AB960" t="str"><v>USA_gaPMG_AZR_AZR_Q1_19_Direct-Social</v></cell><cell r="AC960"><v>21358715</v></cell><cell r="AD960"><v>720197</v></cell><cell r="AE960" t="str"><v>Linkedin</v></cell><cell r="AF960"><v>3654329</v></cell><cell r="AG960" t="str"><v>LINKEDIN»USA-Trial-ITD-Job Functions Prospecting-AZR-AZR»1 x 1»SocialBan»VLA»ALL»CPA»PRO»D»All»SS»NA»FreeAcctDeveloperLI-AnimatedGeneric-Ch1»PS7BSK</v></cell><cell r="AH960"><v>226535270</v></cell><cell r="AI960" t="str"><v>AZR_FreeAcctDeveloperLI-AnimatedGeneric-Ch1_USA_1920x1080_VLA_Direct_EN_Trial_Standard_ANI_LEA_T1_1</v></cell><cell r="AJ960"><v>104595736</v></cell></row><row r="961"><cell r="D961" t="str"><v>43357226622866</v></cell><cell r="E961" t="str"><v>43357104671424PS7BSS</v></cell><cell r="F961" t="str"><v>DCM</v></cell></row><row r="961"><cell r="H961"><v>0</v></cell><cell r="I961" t="str"><v>Azure Direct</v></cell><cell r="J961" t="str"><v>Azure Direct</v></cell><cell r="K961" t="str"><v>September</v></cell><cell r="L961"><v>43358</v></cell><cell r="M961" t="str"><v>Tier 0</v></cell><cell r="N961" t="str"><v>North America</v></cell><cell r="O961" t="str"><v>United States</v></cell><cell r="P961" t="str"><v>Trial</v></cell><cell r="Q961" t="str"><v>Social</v></cell><cell r="R961" t="str"><v>Azure</v></cell><cell r="S961" t="str"><v>Apps & Infra</v></cell><cell r="T961" t="str"><v>Developers & ITI's</v></cell><cell r="U961" t="str"><v>USA-Trial-ITD-Job Functions Prospecting-AZR-AZR</v></cell><cell r="V961" t="str"><v>Prospecting</v></cell><cell r="W961" t="str"><v>Video Link ad</v></cell><cell r="X961" t="str"><v>1920x1080</v></cell><cell r="Y961" t="str"><v>Learn More</v></cell><cell r="Z961" t="str"><v>Animated Banner</v></cell><cell r="AA961"><v>43357</v></cell><cell r="AB961" t="str"><v>USA_gaPMG_AZR_AZR_Q1_19_Direct-Social</v></cell><cell r="AC961"><v>21358715</v></cell><cell r="AD961"><v>720197</v></cell><cell r="AE961" t="str"><v>Linkedin</v></cell><cell r="AF961"><v>3654329</v></cell><cell r="AG961" t="str"><v>LINKEDIN»USA-Trial-ITD-Job Functions Prospecting-AZR-AZR»1 x 1»SocialBan»VLA»ALL»CPA»PRO»D»All»SS»NA»FreeAcctITProLI-AnimatedHybrid-Ch2»PS7BSS</v></cell><cell r="AH961"><v>226622866</v></cell><cell r="AI961" t="str"><v>AZR_FreeAcctITProLI-AnimatedHybrid-Ch2_USA_1920x1080_VLA_Direct_EN_Trial_Standard_ANI_LEA_T2_1</v></cell><cell r="AJ961"><v>104671424</v></cell></row><row r="962"><cell r="D962" t="str"><v>43357226774326</v></cell><cell r="E962" t="str"><v>43357104592532PS7BSM</v></cell><cell r="F962" t="str"><v>DCM</v></cell></row><row r="962"><cell r="H962"><v>0</v></cell><cell r="I962" t="str"><v>Azure Direct</v></cell><cell r="J962" t="str"><v>Azure Direct</v></cell><cell r="K962" t="str"><v>September</v></cell><cell r="L962"><v>43358</v></cell><cell r="M962" t="str"><v>Tier 0</v></cell><cell r="N962" t="str"><v>North America</v></cell><cell r="O962" t="str"><v>United States</v></cell><cell r="P962" t="str"><v>Trial</v></cell><cell r="Q962" t="str"><v>Social</v></cell><cell r="R962" t="str"><v>Azure</v></cell><cell r="S962" t="str"><v>Apps & Infra</v></cell><cell r="T962" t="str"><v>Developers & ITI's</v></cell><cell r="U962" t="str"><v>USA-Trial-ITD-Job Functions Prospecting-AZR-AZR</v></cell><cell r="V962" t="str"><v>Prospecting</v></cell><cell r="W962" t="str"><v>Video Link ad</v></cell><cell r="X962" t="str"><v>1920x1080</v></cell><cell r="Y962" t="str"><v>Learn More</v></cell><cell r="Z962" t="str"><v>Animated Banner</v></cell><cell r="AA962"><v>43357</v></cell><cell r="AB962" t="str"><v>USA_gaPMG_AZR_AZR_Q1_19_Direct-Social</v></cell><cell r="AC962"><v>21358715</v></cell><cell r="AD962"><v>720197</v></cell><cell r="AE962" t="str"><v>Linkedin</v></cell><cell r="AF962"><v>3654329</v></cell><cell r="AG962" t="str"><v>LINKEDIN»USA-Trial-ITD-Job Functions Prospecting-AZR-AZR»1 x 1»SocialBan»VLA»ALL»CPA»PRO»D»All»SS»NA»FreeAcctITProLI-AnimatedMigration-Ch3»PS7BSM</v></cell><cell r="AH962"><v>226774326</v></cell><cell r="AI962" t="str"><v>AZR_FreeAcctITProLI-AnimatedMigration-Ch3_USA_1920x1080_VLA_Direct_EN_Trial_Standard_ANI_LEA_T3_1</v></cell><cell r="AJ962"><v>104592532</v></cell></row><row r="963"><cell r="D963" t="str"><v>43357226538552</v></cell><cell r="E963" t="str"><v>43357104593447PS7BSR</v></cell><cell r="F963" t="str"><v>DCM</v></cell></row><row r="963"><cell r="H963"><v>0</v></cell><cell r="I963" t="str"><v>Azure Direct</v></cell><cell r="J963" t="str"><v>Azure Direct</v></cell><cell r="K963" t="str"><v>September</v></cell><cell r="L963"><v>43358</v></cell><cell r="M963" t="str"><v>Tier 0</v></cell><cell r="N963" t="str"><v>North America</v></cell><cell r="O963" t="str"><v>United States</v></cell><cell r="P963" t="str"><v>Trial</v></cell><cell r="Q963" t="str"><v>Social</v></cell><cell r="R963" t="str"><v>Azure</v></cell><cell r="S963" t="str"><v>Apps & Infra</v></cell><cell r="T963" t="str"><v>Developers & ITI's</v></cell><cell r="U963" t="str"><v>USA-Trial-ITD-Job Functions Prospecting-AZR-AZR</v></cell><cell r="V963" t="str"><v>Prospecting</v></cell><cell r="W963" t="str"><v>Video Link ad</v></cell><cell r="X963" t="str"><v>1920x1080</v></cell><cell r="Y963" t="str"><v>Learn More</v></cell><cell r="Z963" t="str"><v>Animated Banner</v></cell><cell r="AA963"><v>43357</v></cell><cell r="AB963" t="str"><v>USA_gaPMG_AZR_AZR_Q1_19_Direct-Social</v></cell><cell r="AC963"><v>21358715</v></cell><cell r="AD963"><v>720197</v></cell><cell r="AE963" t="str"><v>Linkedin</v></cell><cell r="AF963"><v>3654329</v></cell><cell r="AG963" t="str"><v>LINKEDIN»USA-Trial-ITD-Job Functions Prospecting-AZR-AZR»1 x 1»SocialBan»VLA»ALL»CPA»PRO»D»All»SS»NA»FreeAcctITProLI-AnimatedSecureWellMngd-Ch1»PS7BSR</v></cell><cell r="AH963"><v>226538552</v></cell><cell r="AI963" t="str"><v>AZR_FreeAcctITProLI-AnimatedSecureWellMngd-Ch1_USA_1920x1080_VLA_Direct_EN_Trial_Standard_ANI_LEA_T1_1</v></cell><cell r="AJ963"><v>104593447</v></cell></row><row r="964"><cell r="D964" t="str"><v>43357226536077</v></cell><cell r="E964" t="str"><v>43357104593435PS7BVM</v></cell><cell r="F964" t="str"><v>DCM</v></cell></row><row r="964"><cell r="H964"><v>0</v></cell><cell r="I964" t="str"><v>Azure Direct</v></cell><cell r="J964" t="str"><v>Azure Direct</v></cell><cell r="K964" t="str"><v>September</v></cell><cell r="L964"><v>43358</v></cell><cell r="M964" t="str"><v>Tier 0</v></cell><cell r="N964" t="str"><v>North America</v></cell><cell r="O964" t="str"><v>United States</v></cell><cell r="P964" t="str"><v>Trial</v></cell><cell r="Q964" t="str"><v>Social</v></cell><cell r="R964" t="str"><v>Azure</v></cell><cell r="S964" t="str"><v>Apps & Infra</v></cell><cell r="T964" t="str"><v>Developers & ITI's</v></cell><cell r="U964" t="str"><v>USA-Trial-ITD-Website Retargeting-AZR-AZR</v></cell><cell r="V964" t="str"><v>Retargeting</v></cell><cell r="W964" t="str"><v>Link Ad</v></cell><cell r="X964" t="str"><v>1200x627</v></cell><cell r="Y964" t="str"><v>Sign Up</v></cell><cell r="Z964" t="str"><v>Not Applicable</v></cell><cell r="AA964"><v>43357</v></cell><cell r="AB964" t="str"><v>USA_gaPMG_AZR_AZR_Q1_19_Direct-Social</v></cell><cell r="AC964"><v>21358715</v></cell><cell r="AD964"><v>720197</v></cell><cell r="AE964" t="str"><v>Linkedin</v></cell><cell r="AF964"><v>3654329</v></cell><cell r="AG964" t="str"><v>LINKEDIN»USA-Trial-ITD-Website Retargeting-AZR-AZR»1 x 1»SocialBan»LIA»ALL»CPA»RT»D»All»SS»NA»FreeAcctRetargetingLI-Credit-ChA»PS7BVM</v></cell><cell r="AH964"><v>226536077</v></cell><cell r="AI964" t="str"><v>AZR_FreeAcctRetargetingLI-Credit-ChA_USA_1200x627_LIA_Plat_English_Free Account_Standard_NA_SINU_T1_1</v></cell><cell r="AJ964"><v>104593435</v></cell></row><row r="965"><cell r="D965" t="str"><v>43357226537496</v></cell><cell r="E965" t="str"><v>43357104593723PS7BVR</v></cell><cell r="F965" t="str"><v>DCM</v></cell></row><row r="965"><cell r="H965"><v>1</v></cell><cell r="I965" t="str"><v>Azure Direct</v></cell><cell r="J965" t="str"><v>Azure Direct</v></cell><cell r="K965" t="str"><v>September</v></cell><cell r="L965"><v>43358</v></cell><cell r="M965" t="str"><v>Tier 0</v></cell><cell r="N965" t="str"><v>North America</v></cell><cell r="O965" t="str"><v>United States</v></cell><cell r="P965" t="str"><v>Trial</v></cell><cell r="Q965" t="str"><v>Social</v></cell><cell r="R965" t="str"><v>Azure</v></cell><cell r="S965" t="str"><v>Apps & Infra</v></cell><cell r="T965" t="str"><v>Developers & ITI's</v></cell><cell r="U965" t="str"><v>USA-Trial-ITD-Website Retargeting-AZR-AZR</v></cell><cell r="V965" t="str"><v>Retargeting</v></cell><cell r="W965" t="str"><v>Link Ad</v></cell><cell r="X965" t="str"><v>1200x627</v></cell><cell r="Y965" t="str"><v>Sign Up</v></cell><cell r="Z965" t="str"><v>Not Applicable</v></cell><cell r="AA965"><v>43357</v></cell><cell r="AB965" t="str"><v>USA_gaPMG_AZR_AZR_Q1_19_Direct-Social</v></cell><cell r="AC965"><v>21358715</v></cell><cell r="AD965"><v>720197</v></cell><cell r="AE965" t="str"><v>Linkedin</v></cell><cell r="AF965"><v>3654329</v></cell><cell r="AG965" t="str"><v>LINKEDIN»USA-Trial-ITD-Website Retargeting-AZR-AZR»1 x 1»SocialBan»LIA»ALL»CPA»RT»D»All»SS»NA»FreeAcctRetargetingLI-GlobalAlt-ChB»PS7BVR</v></cell><cell r="AH965"><v>226537496</v></cell><cell r="AI965" t="str"><v>AZR_FreeAcctRetargetingLI-GlobalAlt-ChB_USA_1200x627_LIA_Plat_English_Free Account_Standard_NA_SINU_T2_1</v></cell><cell r="AJ965"><v>104593723</v></cell></row><row r="966"><cell r="D966" t="str"><v>43357226537529</v></cell><cell r="E966" t="str"><v>43357104671415PS7BVJ</v></cell><cell r="F966" t="str"><v>DCM</v></cell></row><row r="966"><cell r="H966"><v>24</v></cell><cell r="I966" t="str"><v>Azure Direct</v></cell><cell r="J966" t="str"><v>Azure Direct</v></cell><cell r="K966" t="str"><v>September</v></cell><cell r="L966"><v>43358</v></cell><cell r="M966" t="str"><v>Tier 0</v></cell><cell r="N966" t="str"><v>North America</v></cell><cell r="O966" t="str"><v>United States</v></cell><cell r="P966" t="str"><v>Trial</v></cell><cell r="Q966" t="str"><v>Social</v></cell><cell r="R966" t="str"><v>Azure</v></cell><cell r="S966" t="str"><v>Apps & Infra</v></cell><cell r="T966" t="str"><v>Developers & ITI's</v></cell><cell r="U966" t="str"><v>USA-Trial-ITD-Website Retargeting-AZR-AZR</v></cell><cell r="V966" t="str"><v>Retargeting</v></cell><cell r="W966" t="str"><v>Link Ad</v></cell><cell r="X966" t="str"><v>1200x627</v></cell><cell r="Y966" t="str"><v>Sign Up</v></cell><cell r="Z966" t="str"><v>Not Applicable</v></cell><cell r="AA966"><v>43357</v></cell><cell r="AB966" t="str"><v>USA_gaPMG_AZR_AZR_Q1_19_Direct-Social</v></cell><cell r="AC966"><v>21358715</v></cell><cell r="AD966"><v>720197</v></cell><cell r="AE966" t="str"><v>Linkedin</v></cell><cell r="AF966"><v>3654329</v></cell><cell r="AG966" t="str"><v>LINKEDIN»USA-Trial-ITD-Website Retargeting-AZR-AZR»1 x 1»SocialBan»LIA»ALL»CPA»RT»D»All»SS»NA»FreeAcctRetargetingVMLI-750Hrs-ChD»PS7BVJ</v></cell><cell r="AH966"><v>226537529</v></cell><cell r="AI966" t="str"><v>AZR_FreeAcctRetargetingVMLI-750Hrs-ChD_USA_1200x627_LIA_Plat_English_Free Account_Standard_NA_SINU_T1_1</v></cell><cell r="AJ966"><v>104671415</v></cell></row><row r="967"><cell r="D967" t="str"><v>43357226537532</v></cell><cell r="E967" t="str"><v>43357104592529PS7BVK</v></cell><cell r="F967" t="str"><v>DCM</v></cell></row><row r="967"><cell r="H967"><v>0</v></cell><cell r="I967" t="str"><v>Azure Direct</v></cell><cell r="J967" t="str"><v>Azure Direct</v></cell><cell r="K967" t="str"><v>September</v></cell><cell r="L967"><v>43358</v></cell><cell r="M967" t="str"><v>Tier 0</v></cell><cell r="N967" t="str"><v>North America</v></cell><cell r="O967" t="str"><v>United States</v></cell><cell r="P967" t="str"><v>Trial</v></cell><cell r="Q967" t="str"><v>Social</v></cell><cell r="R967" t="str"><v>Azure</v></cell><cell r="S967" t="str"><v>Apps & Infra</v></cell><cell r="T967" t="str"><v>Developers & ITI's</v></cell><cell r="U967" t="str"><v>USA-Trial-ITD-Website Retargeting-AZR-AZR</v></cell><cell r="V967" t="str"><v>Retargeting</v></cell><cell r="W967" t="str"><v>Link Ad</v></cell><cell r="X967" t="str"><v>1200x627</v></cell><cell r="Y967" t="str"><v>Sign Up</v></cell><cell r="Z967" t="str"><v>Not Applicable</v></cell><cell r="AA967"><v>43357</v></cell><cell r="AB967" t="str"><v>USA_gaPMG_AZR_AZR_Q1_19_Direct-Social</v></cell><cell r="AC967"><v>21358715</v></cell><cell r="AD967"><v>720197</v></cell><cell r="AE967" t="str"><v>Linkedin</v></cell><cell r="AF967"><v>3654329</v></cell><cell r="AG967" t="str"><v>LINKEDIN»USA-Trial-ITD-Website Retargeting-AZR-AZR»1 x 1»SocialBan»LIA»ALL»CPA»RT»D»All»SS»NA»FreeAcctRetargetingVMLI-OnDemand-ChE»PS7BVK</v></cell><cell r="AH967"><v>226537532</v></cell><cell r="AI967" t="str"><v>AZR_FreeAcctRetargetingVMLI-OnDemand-ChE_USA_1200x627_LIA_Plat_English_Free Account_Standard_NA_SINU_T2_1</v></cell><cell r="AJ967"><v>104592529</v></cell></row><row r="968"><cell r="D968" t="str"><v>43357226774218</v></cell><cell r="E968" t="str"><v>43357104593444PS7BVV</v></cell><cell r="F968" t="str"><v>DCM</v></cell></row><row r="968"><cell r="H968"><v>1</v></cell><cell r="I968" t="str"><v>Azure Direct</v></cell><cell r="J968" t="str"><v>Azure Direct</v></cell><cell r="K968" t="str"><v>September</v></cell><cell r="L968"><v>43358</v></cell><cell r="M968" t="str"><v>Tier 0</v></cell><cell r="N968" t="str"><v>North America</v></cell><cell r="O968" t="str"><v>United States</v></cell><cell r="P968" t="str"><v>Trial</v></cell><cell r="Q968" t="str"><v>Social</v></cell><cell r="R968" t="str"><v>Azure</v></cell><cell r="S968" t="str"><v>Apps & Infra</v></cell><cell r="T968" t="str"><v>Developers & ITI's</v></cell><cell r="U968" t="str"><v>USA-Trial-ITD-Website Retargeting-AZR-AZR</v></cell><cell r="V968" t="str"><v>Retargeting</v></cell><cell r="W968" t="str"><v>Video Link ad</v></cell><cell r="X968" t="str"><v>1920x1080</v></cell><cell r="Y968" t="str"><v>Learn More</v></cell><cell r="Z968" t="str"><v>Animated Banner</v></cell><cell r="AA968"><v>43357</v></cell><cell r="AB968" t="str"><v>USA_gaPMG_AZR_AZR_Q1_19_Direct-Social</v></cell><cell r="AC968"><v>21358715</v></cell><cell r="AD968"><v>720197</v></cell><cell r="AE968" t="str"><v>Linkedin</v></cell><cell r="AF968"><v>3654329</v></cell><cell r="AG968" t="str"><v>LINKEDIN»USA-Trial-ITD-Website Retargeting-AZR-AZR»1 x 1»SocialBan»VLA»ALL»CPA»RT»D»All»SS»NA»FreeAcctDeveloperLI-AnimatedAI-Ch3»PS7BVV</v></cell><cell r="AH968"><v>226774218</v></cell><cell r="AI968" t="str"><v>AZR_FreeAcctDeveloperLI-AnimatedAI-Ch3_USA_1920x1080_VLA_Direct_EN_Trial_Standard_ANI_LEA_T3_1</v></cell><cell r="AJ968"><v>104593444</v></cell></row><row r="969"><cell r="D969" t="str"><v>43357226620835</v></cell><cell r="E969" t="str"><v>43357104593732PS7BVW</v></cell><cell r="F969" t="str"><v>DCM</v></cell></row><row r="969"><cell r="H969"><v>5</v></cell><cell r="I969" t="str"><v>Azure Direct</v></cell><cell r="J969" t="str"><v>Azure Direct</v></cell><cell r="K969" t="str"><v>September</v></cell><cell r="L969"><v>43358</v></cell><cell r="M969" t="str"><v>Tier 0</v></cell><cell r="N969" t="str"><v>North America</v></cell><cell r="O969" t="str"><v>United States</v></cell><cell r="P969" t="str"><v>Trial</v></cell><cell r="Q969" t="str"><v>Social</v></cell><cell r="R969" t="str"><v>Azure</v></cell><cell r="S969" t="str"><v>Apps & Infra</v></cell><cell r="T969" t="str"><v>Developers & ITI's</v></cell><cell r="U969" t="str"><v>USA-Trial-ITD-Website Retargeting-AZR-AZR</v></cell><cell r="V969" t="str"><v>Retargeting</v></cell><cell r="W969" t="str"><v>Video Link ad</v></cell><cell r="X969" t="str"><v>1920x1080</v></cell><cell r="Y969" t="str"><v>Learn More</v></cell><cell r="Z969" t="str"><v>Animated Banner</v></cell><cell r="AA969"><v>43357</v></cell><cell r="AB969" t="str"><v>USA_gaPMG_AZR_AZR_Q1_19_Direct-Social</v></cell><cell r="AC969"><v>21358715</v></cell><cell r="AD969"><v>720197</v></cell><cell r="AE969" t="str"><v>Linkedin</v></cell><cell r="AF969"><v>3654329</v></cell><cell r="AG969" t="str"><v>LINKEDIN»USA-Trial-ITD-Website Retargeting-AZR-AZR»1 x 1»SocialBan»VLA»ALL»CPA»RT»D»All»SS»NA»FreeAcctDeveloperLI-AnimatedData-Ch4»PS7BVW</v></cell><cell r="AH969"><v>226620835</v></cell><cell r="AI969" t="str"><v>AZR_FreeAcctDeveloperLI-AnimatedData-Ch4_USA_1920x1080_VLA_Direct_EN_Trial_Standard_ANI_LEA_T4_1</v></cell><cell r="AJ969"><v>104593732</v></cell></row><row r="970"><cell r="D970" t="str"><v>43357226536080</v></cell><cell r="E970" t="str"><v>43357104595736PS7BVP</v></cell><cell r="F970" t="str"><v>DCM</v></cell></row><row r="970"><cell r="H970"><v>0</v></cell><cell r="I970" t="str"><v>Azure Direct</v></cell><cell r="J970" t="str"><v>Azure Direct</v></cell><cell r="K970" t="str"><v>September</v></cell><cell r="L970"><v>43358</v></cell><cell r="M970" t="str"><v>Tier 0</v></cell><cell r="N970" t="str"><v>North America</v></cell><cell r="O970" t="str"><v>United States</v></cell><cell r="P970" t="str"><v>Trial</v></cell><cell r="Q970" t="str"><v>Social</v></cell><cell r="R970" t="str"><v>Azure</v></cell><cell r="S970" t="str"><v>Apps & Infra</v></cell><cell r="T970" t="str"><v>Developers & ITI's</v></cell><cell r="U970" t="str"><v>USA-Trial-ITD-Website Retargeting-AZR-AZR</v></cell><cell r="V970" t="str"><v>Retargeting</v></cell><cell r="W970" t="str"><v>Video Link ad</v></cell><cell r="X970" t="str"><v>1920x1080</v></cell><cell r="Y970" t="str"><v>Learn More</v></cell><cell r="Z970" t="str"><v>Animated Banner</v></cell><cell r="AA970"><v>43357</v></cell><cell r="AB970" t="str"><v>USA_gaPMG_AZR_AZR_Q1_19_Direct-Social</v></cell><cell r="AC970"><v>21358715</v></cell><cell r="AD970"><v>720197</v></cell><cell r="AE970" t="str"><v>Linkedin</v></cell><cell r="AF970"><v>3654329</v></cell><cell r="AG970" t="str"><v>LINKEDIN»USA-Trial-ITD-Website Retargeting-AZR-AZR»1 x 1»SocialBan»VLA»ALL»CPA»RT»D»All»SS»NA»FreeAcctDeveloperLI-AnimatedGeneric-Ch1»PS7BVP</v></cell><cell r="AH970"><v>226536080</v></cell><cell r="AI970" t="str"><v>AZR_FreeAcctDeveloperLI-AnimatedGeneric-Ch1_USA_1920x1080_VLA_Direct_EN_Trial_Standard_ANI_LEA_T1_1</v></cell><cell r="AJ970"><v>104595736</v></cell></row><row r="971"><cell r="D971" t="str"><v>43357226774221</v></cell><cell r="E971" t="str"><v>43357104671424PS7BVY</v></cell><cell r="F971" t="str"><v>DCM</v></cell></row><row r="971"><cell r="H971"><v>0</v></cell><cell r="I971" t="str"><v>Azure Direct</v></cell><cell r="J971" t="str"><v>Azure Direct</v></cell><cell r="K971" t="str"><v>September</v></cell><cell r="L971"><v>43358</v></cell><cell r="M971" t="str"><v>Tier 0</v></cell><cell r="N971" t="str"><v>North America</v></cell><cell r="O971" t="str"><v>United States</v></cell><cell r="P971" t="str"><v>Trial</v></cell><cell r="Q971" t="str"><v>Social</v></cell><cell r="R971" t="str"><v>Azure</v></cell><cell r="S971" t="str"><v>Apps & Infra</v></cell><cell r="T971" t="str"><v>Developers & ITI's</v></cell><cell r="U971" t="str"><v>USA-Trial-ITD-Website Retargeting-AZR-AZR</v></cell><cell r="V971" t="str"><v>Retargeting</v></cell><cell r="W971" t="str"><v>Video Link ad</v></cell><cell r="X971" t="str"><v>1920x1080</v></cell><cell r="Y971" t="str"><v>Learn More</v></cell><cell r="Z971" t="str"><v>Animated Banner</v></cell><cell r="AA971"><v>43357</v></cell><cell r="AB971" t="str"><v>USA_gaPMG_AZR_AZR_Q1_19_Direct-Social</v></cell><cell r="AC971"><v>21358715</v></cell><cell r="AD971"><v>720197</v></cell><cell r="AE971" t="str"><v>Linkedin</v></cell><cell r="AF971"><v>3654329</v></cell><cell r="AG971" t="str"><v>LINKEDIN»USA-Trial-ITD-Website Retargeting-AZR-AZR»1 x 1»SocialBan»VLA»ALL»CPA»RT»D»All»SS»NA»FreeAcctITProLI-AnimatedHybrid-Ch2»PS7BVY</v></cell><cell r="AH971"><v>226774221</v></cell><cell r="AI971" t="str"><v>AZR_FreeAcctITProLI-AnimatedHybrid-Ch2_USA_1920x1080_VLA_Direct_EN_Trial_Standard_ANI_LEA_T2_1</v></cell><cell r="AJ971"><v>104671424</v></cell></row><row r="972"><cell r="D972" t="str"><v>43357226537511</v></cell><cell r="E972" t="str"><v>43357104593447PS7BVX</v></cell><cell r="F972" t="str"><v>DCM</v></cell></row><row r="972"><cell r="H972"><v>0</v></cell><cell r="I972" t="str"><v>Azure Direct</v></cell><cell r="J972" t="str"><v>Azure Direct</v></cell><cell r="K972" t="str"><v>September</v></cell><cell r="L972"><v>43358</v></cell><cell r="M972" t="str"><v>Tier 0</v></cell><cell r="N972" t="str"><v>North America</v></cell><cell r="O972" t="str"><v>United States</v></cell><cell r="P972" t="str"><v>Trial</v></cell><cell r="Q972" t="str"><v>Social</v></cell><cell r="R972" t="str"><v>Azure</v></cell><cell r="S972" t="str"><v>Apps & Infra</v></cell><cell r="T972" t="str"><v>Developers & ITI's</v></cell><cell r="U972" t="str"><v>USA-Trial-ITD-Website Retargeting-AZR-AZR</v></cell><cell r="V972" t="str"><v>Retargeting</v></cell><cell r="W972" t="str"><v>Video Link ad</v></cell><cell r="X972" t="str"><v>1920x1080</v></cell><cell r="Y972" t="str"><v>Learn More</v></cell><cell r="Z972" t="str"><v>Animated Banner</v></cell><cell r="AA972"><v>43357</v></cell><cell r="AB972" t="str"><v>USA_gaPMG_AZR_AZR_Q1_19_Direct-Social</v></cell><cell r="AC972"><v>21358715</v></cell><cell r="AD972"><v>720197</v></cell><cell r="AE972" t="str"><v>Linkedin</v></cell><cell r="AF972"><v>3654329</v></cell><cell r="AG972" t="str"><v>LINKEDIN»USA-Trial-ITD-Website Retargeting-AZR-AZR»1 x 1»SocialBan»VLA»ALL»CPA»RT»D»All»SS»NA»FreeAcctITProLI-AnimatedSecureWellMngd-Ch1»PS7BVX</v></cell><cell r="AH972"><v>226537511</v></cell><cell r="AI972" t="str"><v>AZR_FreeAcctITProLI-AnimatedSecureWellMngd-Ch1_USA_1920x1080_VLA_Direct_EN_Trial_Standard_ANI_LEA_T1_1</v></cell><cell r="AJ972"><v>104593447</v></cell></row><row r="973"><cell r="D973" t="str"><v>43357226537493</v></cell><cell r="E973" t="str"><v>43357104595736PS7BVQ</v></cell><cell r="F973" t="str"><v>DCM</v></cell></row><row r="973"><cell r="H973"><v>2</v></cell><cell r="I973" t="str"><v>Azure Direct</v></cell><cell r="J973" t="str"><v>Azure Direct</v></cell><cell r="K973" t="str"><v>September</v></cell><cell r="L973"><v>43358</v></cell><cell r="M973" t="str"><v>Tier 0</v></cell><cell r="N973" t="str"><v>North America</v></cell><cell r="O973" t="str"><v>United States</v></cell><cell r="P973" t="str"><v>Trial</v></cell><cell r="Q973" t="str"><v>Social</v></cell><cell r="R973" t="str"><v>Azure</v></cell><cell r="S973" t="str"><v>Apps & Infra</v></cell><cell r="T973" t="str"><v>Developers & ITI's</v></cell><cell r="U973" t="str"><v>USA-Trial-ITD-Website Retargeting-AZR-AZR</v></cell><cell r="V973" t="str"><v>Retargeting</v></cell><cell r="W973" t="str"><v>Video Link ad</v></cell><cell r="X973" t="str"><v>1920x1080</v></cell><cell r="Y973" t="str"><v>Learn More</v></cell><cell r="Z973" t="str"><v>Animated Banner</v></cell><cell r="AA973"><v>43357</v></cell><cell r="AB973" t="str"><v>USA_gaPMG_AZR_AZR_Q1_19_Direct-Social</v></cell><cell r="AC973"><v>21358715</v></cell><cell r="AD973"><v>720197</v></cell><cell r="AE973" t="str"><v>Linkedin</v></cell><cell r="AF973"><v>3654329</v></cell><cell r="AG973" t="str"><v>LINKEDIN»USA-Trial-ITD-Website Retargeting-AZR-AZR»1 x 1»SocialBan»VLA»ALL»CPA»RT»D»All»SS»NA»FreeAcctDeveloperLI-AnimatedGeneric-Ch1»PS7BVQ</v></cell><cell r="AH973"><v>226537493</v></cell><cell r="AI973" t="str"><v>AZR_FreeAcctDeveloperLI-AnimatedGeneric-Ch1_USA_1920x1080_VLA_Direct_EN_Trial_Standard_ANI_LEA_T1_1</v></cell><cell r="AJ973"><v>104595736</v></cell></row><row r="974"><cell r="D974" t="str"><v>43357226786140</v></cell><cell r="E974" t="str"><v>43357104592532PS7BVS</v></cell><cell r="F974" t="str"><v>DCM</v></cell></row><row r="974"><cell r="H974"><v>7</v></cell><cell r="I974" t="str"><v>Azure Direct</v></cell><cell r="J974" t="str"><v>Azure Direct</v></cell><cell r="K974" t="str"><v>September</v></cell><cell r="L974"><v>43358</v></cell><cell r="M974" t="str"><v>Tier 0</v></cell><cell r="N974" t="str"><v>North America</v></cell><cell r="O974" t="str"><v>United States</v></cell><cell r="P974" t="str"><v>Trial</v></cell><cell r="Q974" t="str"><v>Social</v></cell><cell r="R974" t="str"><v>Azure</v></cell><cell r="S974" t="str"><v>Apps & Infra</v></cell><cell r="T974" t="str"><v>Developers & ITI's</v></cell><cell r="U974" t="str"><v>USA-Trial-ITD-Website Retargeting-AZR-AZR</v></cell><cell r="V974" t="str"><v>Retargeting</v></cell><cell r="W974" t="str"><v>Video Link ad</v></cell><cell r="X974" t="str"><v>1920x1080</v></cell><cell r="Y974" t="str"><v>Learn More</v></cell><cell r="Z974" t="str"><v>Animated Banner</v></cell><cell r="AA974"><v>43357</v></cell><cell r="AB974" t="str"><v>USA_gaPMG_AZR_AZR_Q1_19_Direct-Social</v></cell><cell r="AC974"><v>21358715</v></cell><cell r="AD974"><v>720197</v></cell><cell r="AE974" t="str"><v>Linkedin</v></cell><cell r="AF974"><v>3654329</v></cell><cell r="AG974" t="str"><v>LINKEDIN»USA-Trial-ITD-Website Retargeting-AZR-AZR»1 x 1»SocialBan»VLA»ALL»CPA»RT»D»All»SS»NA»FreeAcctITProLI-AnimatedMigration-Ch3»PS7BVS</v></cell><cell r="AH974"><v>226786140</v></cell><cell r="AI974" t="str"><v>AZR_FreeAcctITProLI-AnimatedMigration-Ch3_USA_1920x1080_VLA_Direct_EN_Trial_Standard_ANI_LEA_T3_1</v></cell><cell r="AJ974"><v>104592532</v></cell></row><row r="975"><cell r="D975" t="str"><v>43358224639151</v></cell><cell r="E975" t="str"><v>43358103316832NowCTA</v></cell><cell r="F975" t="str"><v>DCM</v></cell></row><row r="975"><cell r="H975"><v>2</v></cell><cell r="I975" t="str"><v>Azure Direct</v></cell><cell r="J975" t="str"><v>Azure Direct</v></cell><cell r="K975" t="str"><v>September</v></cell><cell r="L975"><v>43358</v></cell><cell r="M975" t="str"><v>Tier 1</v></cell><cell r="N975" t="str"><v>APAC</v></cell><cell r="O975" t="str"><v>Australia</v></cell><cell r="P975" t="str"><v>Trial</v></cell><cell r="Q975" t="str"><v>Social</v></cell><cell r="R975" t="str"><v>Azure</v></cell><cell r="S975" t="str"><v>Apps & Infra</v></cell><cell r="T975" t="str"><v>Developers & ITI's</v></cell><cell r="U975" t="str"><v>Audience & Interest Targeting</v></cell><cell r="V975" t="str"><v>Audience Targeting</v></cell><cell r="W975" t="str"><v>Canvas Ad</v></cell><cell r="X975" t="str"><v>1080x162</v></cell><cell r="Y975" t="str"><v>Buy Now</v></cell><cell r="Z975" t="str"><v>Not Applicable</v></cell><cell r="AA975"><v>43358</v></cell><cell r="AB975" t="str"><v>AUS_gaPMG_AZR_AZR_Q1_19_Trial-Social</v></cell><cell r="AC975"><v>21358568</v></cell><cell r="AD975"><v>720191</v></cell><cell r="AE975" t="str"><v>Facebook</v></cell><cell r="AF975"><v>3654128</v></cell><cell r="AG975" t="str"><v>Facebook»Audience & Interest Targeting»1x1»Canvas»OTH»DT»DYN»AUT»W»NA»SS»NA»FBCTCcanvaspage-StartFreeCTA_FBCTCcanvaspage-BuyNowCTA</v></cell><cell r="AH975"><v>224639151</v></cell><cell r="AI975" t="str"><v>AzurePlatform_FBCTCcanvaspage-BuyNowCTA-Img3_AUS_1080x162_SOC_Plat_English_NA_Standard_NA_BN_T3_1</v></cell><cell r="AJ975"><v>103316832</v></cell></row><row r="976"><cell r="D976" t="str"><v>43358224639151</v></cell><cell r="E976" t="str"><v>43358103316829NowCTA</v></cell><cell r="F976" t="str"><v>DCM</v></cell></row><row r="976"><cell r="H976"><v>0</v></cell><cell r="I976" t="str"><v>Azure Direct</v></cell><cell r="J976" t="str"><v>Azure Direct</v></cell><cell r="K976" t="str"><v>September</v></cell><cell r="L976"><v>43358</v></cell><cell r="M976" t="str"><v>Tier 1</v></cell><cell r="N976" t="str"><v>APAC</v></cell><cell r="O976" t="str"><v>Australia</v></cell><cell r="P976" t="str"><v>Trial</v></cell><cell r="Q976" t="str"><v>Social</v></cell><cell r="R976" t="str"><v>Azure</v></cell><cell r="S976" t="str"><v>Apps & Infra</v></cell><cell r="T976" t="str"><v>Developers & ITI's</v></cell><cell r="U976" t="str"><v>Audience & Interest Targeting</v></cell><cell r="V976" t="str"><v>Audience Targeting</v></cell><cell r="W976" t="str"><v>Canvas Ad</v></cell><cell r="X976" t="str"><v>1080x143</v></cell><cell r="Y976" t="str"><v>Not Applicable </v></cell><cell r="Z976" t="str"><v>Not Applicable</v></cell><cell r="AA976"><v>43358</v></cell><cell r="AB976" t="str"><v>AUS_gaPMG_AZR_AZR_Q1_19_Trial-Social</v></cell><cell r="AC976"><v>21358568</v></cell><cell r="AD976"><v>720191</v></cell><cell r="AE976" t="str"><v>Facebook</v></cell><cell r="AF976"><v>3654128</v></cell><cell r="AG976" t="str"><v>Facebook»Audience & Interest Targeting»1x1»Canvas»OTH»DT»DYN»AUT»W»NA»SS»NA»FBCTCcanvaspage-StartFreeCTA_FBCTCcanvaspage-BuyNowCTA</v></cell><cell r="AH976"><v>224639151</v></cell><cell r="AI976" t="str"><v>AzurePlatform_FBCTCcanvaspage-StartFreeCTA-Img2_AUS_1080x143 _SOC_Plat_English_NA_Standard_NA_NA_T2_1</v></cell><cell r="AJ976"><v>103316829</v></cell></row><row r="977"><cell r="D977" t="str"><v>43358224160783</v></cell><cell r="E977" t="str"><v>43358103051614hs ChE</v></cell><cell r="F977" t="str"><v>DCM</v></cell></row><row r="977"><cell r="H977"><v>5</v></cell><cell r="I977" t="str"><v>Azure Direct</v></cell><cell r="J977" t="str"><v>Azure Direct</v></cell><cell r="K977" t="str"><v>September</v></cell><cell r="L977"><v>43358</v></cell><cell r="M977" t="str"><v>Tier 1</v></cell><cell r="N977" t="str"><v>APAC</v></cell><cell r="O977" t="str"><v>Australia</v></cell><cell r="P977" t="str"><v>Trial</v></cell><cell r="Q977" t="str"><v>Social</v></cell><cell r="R977" t="str"><v>Azure</v></cell><cell r="S977" t="str"><v>Apps & Infra</v></cell><cell r="T977" t="str"><v>Developers & ITI's</v></cell><cell r="U977" t="str"><v>Audience & Interest Targeting</v></cell><cell r="V977" t="str"><v>Audience Targeting</v></cell><cell r="W977" t="str"><v>Link Ad</v></cell><cell r="X977" t="str"><v>1200x628</v></cell></row><row r="977"><cell r="Z977" t="str"><v>Not Applicable</v></cell><cell r="AA977"><v>43358</v></cell><cell r="AB977" t="str"><v>AUS_gaPMG_AZR_AZR_Q1_19_Trial-Social</v></cell><cell r="AC977"><v>21358568</v></cell><cell r="AD977"><v>720191</v></cell><cell r="AE977" t="str"><v>Facebook</v></cell><cell r="AF977"><v>3654128</v></cell><cell r="AG977" t="str"><v>Facebook»Audience & Interest Targeting»1x1»TextLink»OTH»DT»DYN»AUT»W»NA»SS»NA»Free Account Refresh- 12 months ChE</v></cell><cell r="AH977"><v>224160783</v></cell><cell r="AI977" t="str"><v>AzurePlatform_FreeAcctAppsFACEBOOK12monthsChE_AUS_1200x628_SOC_PLAT_EN_Trial_Standard_NA_SNU_T5_1</v></cell><cell r="AJ977"><v>103051614</v></cell></row><row r="978"><cell r="D978" t="str"><v>43358224160780</v></cell><cell r="E978" t="str"><v>43358103186904it ChD</v></cell><cell r="F978" t="str"><v>DCM</v></cell></row><row r="978"><cell r="H978"><v>0</v></cell><cell r="I978" t="str"><v>Azure Direct</v></cell><cell r="J978" t="str"><v>Azure Direct</v></cell><cell r="K978" t="str"><v>September</v></cell><cell r="L978"><v>43358</v></cell><cell r="M978" t="str"><v>Tier 1</v></cell><cell r="N978" t="str"><v>APAC</v></cell><cell r="O978" t="str"><v>Australia</v></cell><cell r="P978" t="str"><v>Trial</v></cell><cell r="Q978" t="str"><v>Social</v></cell><cell r="R978" t="str"><v>Azure</v></cell><cell r="S978" t="str"><v>Apps & Infra</v></cell><cell r="T978" t="str"><v>Developers & ITI's</v></cell><cell r="U978" t="str"><v>Audience & Interest Targeting</v></cell><cell r="V978" t="str"><v>Audience Targeting</v></cell><cell r="W978" t="str"><v>Link Ad</v></cell><cell r="X978" t="str"><v>1200x628</v></cell></row><row r="978"><cell r="Z978" t="str"><v>Not Applicable</v></cell><cell r="AA978"><v>43358</v></cell><cell r="AB978" t="str"><v>AUS_gaPMG_AZR_AZR_Q1_19_Trial-Social</v></cell><cell r="AC978"><v>21358568</v></cell><cell r="AD978"><v>720191</v></cell><cell r="AE978" t="str"><v>Facebook</v></cell><cell r="AF978"><v>3654128</v></cell><cell r="AG978" t="str"><v>Facebook»Audience & Interest Targeting»1x1»TextLink»OTH»DT»DYN»AUT»W»NA»SS»NA»Free Account Refresh- 200 Credit ChD</v></cell><cell r="AH978"><v>224160780</v></cell><cell r="AI978" t="str"><v>AzurePlatform_FreeAcctAppsFACEBOOK200CreditChD_AUS_1200x628_SOC_PLAT_EN_Trial_Standard_NA_SNU_T4_1</v></cell><cell r="AJ978"><v>103186904</v></cell></row><row r="979"><cell r="D979" t="str"><v>43358224160777</v></cell><cell r="E979" t="str"><v>43358103048479ce ChB</v></cell><cell r="F979" t="str"><v>DCM</v></cell></row><row r="979"><cell r="H979"><v>7</v></cell><cell r="I979" t="str"><v>Azure Direct</v></cell><cell r="J979" t="str"><v>Azure Direct</v></cell><cell r="K979" t="str"><v>September</v></cell><cell r="L979"><v>43358</v></cell><cell r="M979" t="str"><v>Tier 1</v></cell><cell r="N979" t="str"><v>APAC</v></cell><cell r="O979" t="str"><v>Australia</v></cell><cell r="P979" t="str"><v>Trial</v></cell><cell r="Q979" t="str"><v>Social</v></cell><cell r="R979" t="str"><v>Azure</v></cell><cell r="S979" t="str"><v>Apps & Infra</v></cell><cell r="T979" t="str"><v>Developers & ITI's</v></cell><cell r="U979" t="str"><v>Audience & Interest Targeting</v></cell><cell r="V979" t="str"><v>Audience Targeting</v></cell><cell r="W979" t="str"><v>Link Ad</v></cell><cell r="X979" t="str"><v>1200x628</v></cell></row><row r="979"><cell r="Z979" t="str"><v>Not Applicable</v></cell><cell r="AA979"><v>43358</v></cell><cell r="AB979" t="str"><v>AUS_gaPMG_AZR_AZR_Q1_19_Trial-Social</v></cell><cell r="AC979"><v>21358568</v></cell><cell r="AD979"><v>720191</v></cell><cell r="AE979" t="str"><v>Facebook</v></cell><cell r="AF979"><v>3654128</v></cell><cell r="AG979" t="str"><v>Facebook»Audience & Interest Targeting»1x1»TextLink»OTH»DT»DYN»AUT»W»NA»SS»NA»Free Account Refresh- Device ChB</v></cell><cell r="AH979"><v>224160777</v></cell><cell r="AI979" t="str"><v>AzurePlatform_FreeAcctAppsFACEBOOKDeviceChB_AUS_1200x628_SOC_PLAT_EN_Trial_Standard_NA_SNU_T2_1</v></cell><cell r="AJ979"><v>103048479</v></cell></row><row r="980"><cell r="D980" t="str"><v>43358224160774</v></cell><cell r="E980" t="str"><v>43358103186910on ChC</v></cell><cell r="F980" t="str"><v>DCM</v></cell></row><row r="980"><cell r="H980"><v>3</v></cell><cell r="I980" t="str"><v>Azure Direct</v></cell><cell r="J980" t="str"><v>Azure Direct</v></cell><cell r="K980" t="str"><v>September</v></cell><cell r="L980"><v>43358</v></cell><cell r="M980" t="str"><v>Tier 1</v></cell><cell r="N980" t="str"><v>APAC</v></cell><cell r="O980" t="str"><v>Australia</v></cell><cell r="P980" t="str"><v>Trial</v></cell><cell r="Q980" t="str"><v>Social</v></cell><cell r="R980" t="str"><v>Azure</v></cell><cell r="S980" t="str"><v>Apps & Infra</v></cell><cell r="T980" t="str"><v>Developers & ITI's</v></cell><cell r="U980" t="str"><v>Audience & Interest Targeting</v></cell><cell r="V980" t="str"><v>Audience Targeting</v></cell><cell r="W980" t="str"><v>Link Ad</v></cell><cell r="X980" t="str"><v>1200x628</v></cell></row><row r="980"><cell r="Z980" t="str"><v>Not Applicable</v></cell><cell r="AA980"><v>43358</v></cell><cell r="AB980" t="str"><v>AUS_gaPMG_AZR_AZR_Q1_19_Trial-Social</v></cell><cell r="AC980"><v>21358568</v></cell><cell r="AD980"><v>720191</v></cell><cell r="AE980" t="str"><v>Facebook</v></cell><cell r="AF980"><v>3654128</v></cell><cell r="AG980" t="str"><v>Facebook»Audience & Interest Targeting»1x1»TextLink»OTH»DT»DYN»AUT»W»NA»SS»NA»Free Account Refresh- Illustration ChC</v></cell><cell r="AH980"><v>224160774</v></cell><cell r="AI980" t="str"><v>AzurePlatform_FreeAcctAppsFACEBOOKIllustrationChC_AUS_1200x628_SOC_PLAT_EN_Trial_Standard_NA_SNU_T3_1</v></cell><cell r="AJ980"><v>103186910</v></cell></row><row r="981"><cell r="D981" t="str"><v>43358224160771</v></cell><cell r="E981" t="str"><v>43358103048488le ChA</v></cell><cell r="F981" t="str"><v>DCM</v></cell></row><row r="981"><cell r="H981"><v>1</v></cell><cell r="I981" t="str"><v>Azure Direct</v></cell><cell r="J981" t="str"><v>Azure Direct</v></cell><cell r="K981" t="str"><v>September</v></cell><cell r="L981"><v>43358</v></cell><cell r="M981" t="str"><v>Tier 1</v></cell><cell r="N981" t="str"><v>APAC</v></cell><cell r="O981" t="str"><v>Australia</v></cell><cell r="P981" t="str"><v>Trial</v></cell><cell r="Q981" t="str"><v>Social</v></cell><cell r="R981" t="str"><v>Azure</v></cell><cell r="S981" t="str"><v>Apps & Infra</v></cell><cell r="T981" t="str"><v>Developers & ITI's</v></cell><cell r="U981" t="str"><v>Audience & Interest Targeting</v></cell><cell r="V981" t="str"><v>Audience Targeting</v></cell><cell r="W981" t="str"><v>Link Ad</v></cell><cell r="X981" t="str"><v>1200x628</v></cell></row><row r="981"><cell r="Z981" t="str"><v>Not Applicable</v></cell><cell r="AA981"><v>43358</v></cell><cell r="AB981" t="str"><v>AUS_gaPMG_AZR_AZR_Q1_19_Trial-Social</v></cell><cell r="AC981"><v>21358568</v></cell><cell r="AD981"><v>720191</v></cell><cell r="AE981" t="str"><v>Facebook</v></cell><cell r="AF981"><v>3654128</v></cell><cell r="AG981" t="str"><v>Facebook»Audience & Interest Targeting»1x1»TextLink»OTH»DT»DYN»AUT»W»NA»SS»NA»Free Account Refresh- Lifestyle ChA</v></cell><cell r="AH981"><v>224160771</v></cell><cell r="AI981" t="str"><v>AzurePlatform_FreeAcctAppsFACEBOOKLifestyleChA_AUS_1200x628_SOC_PLAT_EN_Trial_Standard_NA_SNU_T1_1</v></cell><cell r="AJ981"><v>103048488</v></cell></row><row r="982"><cell r="D982" t="str"><v>43358224160735</v></cell><cell r="E982" t="str"><v>43358103048479ce ChB</v></cell><cell r="F982" t="str"><v>DCM</v></cell></row><row r="982"><cell r="H982"><v>15</v></cell><cell r="I982" t="str"><v>Azure Direct</v></cell><cell r="J982" t="str"><v>Azure Direct</v></cell><cell r="K982" t="str"><v>September</v></cell><cell r="L982"><v>43358</v></cell><cell r="M982" t="str"><v>Tier 1</v></cell><cell r="N982" t="str"><v>APAC</v></cell><cell r="O982" t="str"><v>Australia</v></cell><cell r="P982" t="str"><v>Trial</v></cell><cell r="Q982" t="str"><v>Social</v></cell><cell r="R982" t="str"><v>Azure</v></cell><cell r="S982" t="str"><v>Apps & Infra</v></cell><cell r="T982" t="str"><v>Developers & ITI's</v></cell><cell r="U982" t="str"><v>Retargeting</v></cell><cell r="V982" t="str"><v>Retargeting</v></cell><cell r="W982" t="str"><v>Link Ad</v></cell><cell r="X982" t="str"><v>1200x628</v></cell></row><row r="982"><cell r="Z982" t="str"><v>Not Applicable</v></cell><cell r="AA982"><v>43358</v></cell><cell r="AB982" t="str"><v>AUS_gaPMG_AZR_AZR_Q1_19_Trial-Social</v></cell><cell r="AC982"><v>21358568</v></cell><cell r="AD982"><v>720191</v></cell><cell r="AE982" t="str"><v>Facebook</v></cell><cell r="AF982"><v>3654128</v></cell><cell r="AG982" t="str"><v>Facebook»Retargeting»1x1»TextLink»SOC»DT»DYN»RT»W»NA»SS»NA»Free Account Refresh- Device ChB</v></cell><cell r="AH982"><v>224160735</v></cell><cell r="AI982" t="str"><v>AzurePlatform_FreeAcctAppsFACEBOOKDeviceChB_AUS_1200x628_SOC_PLAT_EN_Trial_Standard_NA_SNU_T2_1</v></cell><cell r="AJ982"><v>103048479</v></cell></row><row r="983"><cell r="D983" t="str"><v>43358224160732</v></cell><cell r="E983" t="str"><v>43358103186910on ChC</v></cell><cell r="F983" t="str"><v>DCM</v></cell></row><row r="983"><cell r="H983"><v>2</v></cell><cell r="I983" t="str"><v>Azure Direct</v></cell><cell r="J983" t="str"><v>Azure Direct</v></cell><cell r="K983" t="str"><v>September</v></cell><cell r="L983"><v>43358</v></cell><cell r="M983" t="str"><v>Tier 1</v></cell><cell r="N983" t="str"><v>APAC</v></cell><cell r="O983" t="str"><v>Australia</v></cell><cell r="P983" t="str"><v>Trial</v></cell><cell r="Q983" t="str"><v>Social</v></cell><cell r="R983" t="str"><v>Azure</v></cell><cell r="S983" t="str"><v>Apps & Infra</v></cell><cell r="T983" t="str"><v>Developers & ITI's</v></cell><cell r="U983" t="str"><v>Retargeting</v></cell><cell r="V983" t="str"><v>Retargeting</v></cell><cell r="W983" t="str"><v>Link Ad</v></cell><cell r="X983" t="str"><v>1200x628</v></cell></row><row r="983"><cell r="Z983" t="str"><v>Not Applicable</v></cell><cell r="AA983"><v>43358</v></cell><cell r="AB983" t="str"><v>AUS_gaPMG_AZR_AZR_Q1_19_Trial-Social</v></cell><cell r="AC983"><v>21358568</v></cell><cell r="AD983"><v>720191</v></cell><cell r="AE983" t="str"><v>Facebook</v></cell><cell r="AF983"><v>3654128</v></cell><cell r="AG983" t="str"><v>Facebook»Retargeting»1x1»TextLink»SOC»DT»DYN»RT»W»NA»SS»NA»Free Account Refresh- Illustration ChC</v></cell><cell r="AH983"><v>224160732</v></cell><cell r="AI983" t="str"><v>AzurePlatform_FreeAcctAppsFACEBOOKIllustrationChC_AUS_1200x628_SOC_PLAT_EN_Trial_Standard_NA_SNU_T3_1</v></cell><cell r="AJ983"><v>103186910</v></cell></row><row r="984"><cell r="D984" t="str"><v>43358224160738</v></cell><cell r="E984" t="str"><v>43358103186904it ChD</v></cell><cell r="F984" t="str"><v>DCM</v></cell></row><row r="984"><cell r="H984"><v>0</v></cell><cell r="I984" t="str"><v>Azure Direct</v></cell><cell r="J984" t="str"><v>Azure Direct</v></cell><cell r="K984" t="str"><v>September</v></cell><cell r="L984"><v>43358</v></cell><cell r="M984" t="str"><v>Tier 1</v></cell><cell r="N984" t="str"><v>APAC</v></cell><cell r="O984" t="str"><v>Australia</v></cell><cell r="P984" t="str"><v>Trial</v></cell><cell r="Q984" t="str"><v>Social</v></cell><cell r="R984" t="str"><v>Azure</v></cell><cell r="S984" t="str"><v>Apps & Infra</v></cell><cell r="T984" t="str"><v>Developers & ITI's</v></cell><cell r="U984" t="str"><v>Retargeting</v></cell><cell r="V984" t="str"><v>Retargeting</v></cell><cell r="W984" t="str"><v>Link Ad</v></cell><cell r="X984" t="str"><v>1200x628</v></cell></row><row r="984"><cell r="Z984" t="str"><v>Not Applicable</v></cell><cell r="AA984"><v>43358</v></cell><cell r="AB984" t="str"><v>AUS_gaPMG_AZR_AZR_Q1_19_Trial-Social</v></cell><cell r="AC984"><v>21358568</v></cell><cell r="AD984"><v>720191</v></cell><cell r="AE984" t="str"><v>Facebook</v></cell><cell r="AF984"><v>3654128</v></cell><cell r="AG984" t="str"><v>Facebook»Retargeting»1x1»TextLink»SOC»DT»DYN»RT»W»NA»SS»NA»Free Account Refresh- 200 Credit ChD</v></cell><cell r="AH984"><v>224160738</v></cell><cell r="AI984" t="str"><v>AzurePlatform_FreeAcctAppsFACEBOOK200CreditChD_AUS_1200x628_SOC_PLAT_EN_Trial_Standard_NA_SNU_T4_1</v></cell><cell r="AJ984"><v>103186904</v></cell></row><row r="985"><cell r="D985" t="str"><v>43358224160729</v></cell><cell r="E985" t="str"><v>43358103048488le ChA</v></cell><cell r="F985" t="str"><v>DCM</v></cell></row><row r="985"><cell r="H985"><v>1</v></cell><cell r="I985" t="str"><v>Azure Direct</v></cell><cell r="J985" t="str"><v>Azure Direct</v></cell><cell r="K985" t="str"><v>September</v></cell><cell r="L985"><v>43358</v></cell><cell r="M985" t="str"><v>Tier 1</v></cell><cell r="N985" t="str"><v>APAC</v></cell><cell r="O985" t="str"><v>Australia</v></cell><cell r="P985" t="str"><v>Trial</v></cell><cell r="Q985" t="str"><v>Social</v></cell><cell r="R985" t="str"><v>Azure</v></cell><cell r="S985" t="str"><v>Apps & Infra</v></cell><cell r="T985" t="str"><v>Developers & ITI's</v></cell><cell r="U985" t="str"><v>Retargeting</v></cell><cell r="V985" t="str"><v>Retargeting</v></cell><cell r="W985" t="str"><v>Link Ad</v></cell><cell r="X985" t="str"><v>1200x628</v></cell></row><row r="985"><cell r="Z985" t="str"><v>Not Applicable</v></cell><cell r="AA985"><v>43358</v></cell><cell r="AB985" t="str"><v>AUS_gaPMG_AZR_AZR_Q1_19_Trial-Social</v></cell><cell r="AC985"><v>21358568</v></cell><cell r="AD985"><v>720191</v></cell><cell r="AE985" t="str"><v>Facebook</v></cell><cell r="AF985"><v>3654128</v></cell><cell r="AG985" t="str"><v>Facebook»Retargeting»1x1»TextLink»SOC»DT»DYN»RT»W»NA»SS»NA»Free Account Refresh- Lifestyle ChA</v></cell><cell r="AH985"><v>224160729</v></cell><cell r="AI985" t="str"><v>AzurePlatform_FreeAcctAppsFACEBOOKLifestyleChA_AUS_1200x628_SOC_PLAT_EN_Trial_Standard_NA_SNU_T1_1</v></cell><cell r="AJ985"><v>103048488</v></cell></row><row r="986"><cell r="D986" t="str"><v>43358223684451</v></cell><cell r="E986" t="str"><v>433581029018821 - EN</v></cell><cell r="F986" t="str"><v>DCM</v></cell></row><row r="986"><cell r="H986"><v>0</v></cell><cell r="I986" t="str"><v>Azure Direct</v></cell><cell r="J986" t="str"><v>Azure Direct</v></cell><cell r="K986" t="str"><v>September</v></cell><cell r="L986"><v>43358</v></cell><cell r="M986" t="str"><v>Tier 1</v></cell><cell r="N986" t="str"><v>North America</v></cell><cell r="O986" t="str"><v>Canada</v></cell><cell r="P986" t="str"><v>Trial</v></cell><cell r="Q986" t="str"><v>Social</v></cell><cell r="R986" t="str"><v>Azure</v></cell><cell r="S986" t="str"><v>Apps & Infra</v></cell><cell r="T986" t="str"><v>Developers & ITI's</v></cell><cell r="U986" t="str"><v>AZR</v></cell><cell r="V986" t="str"><v>Audience Targeting</v></cell><cell r="W986" t="str"><v>Engagement Video</v></cell><cell r="X986" t="str"><v>10s</v></cell><cell r="Y986" t="str"><v>Try Azure Free</v></cell><cell r="Z986" t="str"><v>Standard videos</v></cell><cell r="AA986"><v>43358</v></cell><cell r="AB986" t="str"><v>CAN_gaPMG_AZR_AZR_Q1_19_Trial-Social</v></cell><cell r="AC986"><v>21337220</v></cell><cell r="AD986"><v>720192</v></cell><cell r="AE986" t="str"><v>Facebook</v></cell><cell r="AF986"><v>3654128</v></cell><cell r="AG986" t="str"><v>Facebook»AZR»1x1»NA»EGV»ALL»DYN»AUT»D»All»SS»NA»Free Acc CTC - T1 - EN</v></cell><cell r="AH986"><v>223684451</v></cell><cell r="AI986" t="str"><v>AzurePlatform_FBCTCBasicMotion_CAN_10s_ISV_PLAT_English_Trial_Standard_STAN_TN_T1_1</v></cell><cell r="AJ986"><v>102901882</v></cell></row><row r="987"><cell r="D987" t="str"><v>43358223691840</v></cell><cell r="E987" t="str"><v>433581029029502 - EN</v></cell><cell r="F987" t="str"><v>DCM</v></cell></row><row r="987"><cell r="H987"><v>0</v></cell><cell r="I987" t="str"><v>Azure Direct</v></cell><cell r="J987" t="str"><v>Azure Direct</v></cell><cell r="K987" t="str"><v>September</v></cell><cell r="L987"><v>43358</v></cell><cell r="M987" t="str"><v>Tier 1</v></cell><cell r="N987" t="str"><v>North America</v></cell><cell r="O987" t="str"><v>Canada</v></cell><cell r="P987" t="str"><v>Trial</v></cell><cell r="Q987" t="str"><v>Social</v></cell><cell r="R987" t="str"><v>Azure</v></cell><cell r="S987" t="str"><v>Apps & Infra</v></cell><cell r="T987" t="str"><v>Developers & ITI's</v></cell><cell r="U987" t="str"><v>AZR</v></cell><cell r="V987" t="str"><v>Audience Targeting</v></cell><cell r="W987" t="str"><v>Engagement Video</v></cell><cell r="X987" t="str"><v>12s</v></cell><cell r="Y987" t="str"><v>Try Azure Free</v></cell><cell r="Z987" t="str"><v>Standard videos</v></cell><cell r="AA987"><v>43358</v></cell><cell r="AB987" t="str"><v>CAN_gaPMG_AZR_AZR_Q1_19_Trial-Social</v></cell><cell r="AC987"><v>21337220</v></cell><cell r="AD987"><v>720192</v></cell><cell r="AE987" t="str"><v>Facebook</v></cell><cell r="AF987"><v>3654128</v></cell><cell r="AG987" t="str"><v>Facebook»AZR»1x1»NA»EGV»ALL»DYN»AUT»D»All»SS»NA»Free Acc CTC - T2 - EN</v></cell><cell r="AH987"><v>223691840</v></cell><cell r="AI987" t="str"><v>AzurePlatform_FBCTCBrandinMotion_CAN_12s_ISV_PLAT_English_Trial_Standard_STAN_TN_T2_1</v></cell><cell r="AJ987"><v>102902950</v></cell></row><row r="988"><cell r="D988" t="str"><v>43358223691798</v></cell><cell r="E988" t="str"><v>433581029163472 - FR</v></cell><cell r="F988" t="str"><v>DCM</v></cell></row><row r="988"><cell r="H988"><v>0</v></cell><cell r="I988" t="str"><v>Azure Direct</v></cell><cell r="J988" t="str"><v>Azure Direct</v></cell><cell r="K988" t="str"><v>September</v></cell><cell r="L988"><v>43358</v></cell><cell r="M988" t="str"><v>Tier 1</v></cell><cell r="N988" t="str"><v>North America</v></cell><cell r="O988" t="str"><v>Canada</v></cell><cell r="P988" t="str"><v>Trial</v></cell><cell r="Q988" t="str"><v>Social</v></cell><cell r="R988" t="str"><v>Azure</v></cell><cell r="S988" t="str"><v>Apps & Infra</v></cell><cell r="T988" t="str"><v>Developers & ITI's</v></cell><cell r="U988" t="str"><v>AZR</v></cell><cell r="V988" t="str"><v>Audience Targeting</v></cell><cell r="W988" t="str"><v>Engagement Video</v></cell><cell r="X988" t="str"><v>12s</v></cell><cell r="Y988" t="str"><v>Try Azure Free</v></cell><cell r="Z988" t="str"><v>Standard videos</v></cell><cell r="AA988"><v>43358</v></cell><cell r="AB988" t="str"><v>CAN_gaPMG_AZR_AZR_Q1_19_Trial-Social</v></cell><cell r="AC988"><v>21337220</v></cell><cell r="AD988"><v>720192</v></cell><cell r="AE988" t="str"><v>Facebook</v></cell><cell r="AF988"><v>3654128</v></cell><cell r="AG988" t="str"><v>Facebook»AZR»1x1»NA»EGV»ALL»DYN»AUT»D»All»SS»NA»Free Acc CTC - T2 - FR</v></cell><cell r="AH988"><v>223691798</v></cell><cell r="AI988" t="str"><v>AzurePlatform_FBCTCBrandinMotion_CAN_12s_ISV_PLAT_FR_Trial_Standard_STAN_TN_T2_1</v></cell><cell r="AJ988"><v>102916347</v></cell></row><row r="989"><cell r="D989" t="str"><v>43358223691837</v></cell><cell r="E989" t="str"><v>433581030533144 - EN</v></cell><cell r="F989" t="str"><v>DCM</v></cell></row><row r="989"><cell r="H989"><v>0</v></cell><cell r="I989" t="str"><v>Azure Direct</v></cell><cell r="J989" t="str"><v>Azure Direct</v></cell><cell r="K989" t="str"><v>September</v></cell><cell r="L989"><v>43358</v></cell><cell r="M989" t="str"><v>Tier 1</v></cell><cell r="N989" t="str"><v>North America</v></cell><cell r="O989" t="str"><v>Canada</v></cell><cell r="P989" t="str"><v>Trial</v></cell><cell r="Q989" t="str"><v>Social</v></cell><cell r="R989" t="str"><v>Azure</v></cell><cell r="S989" t="str"><v>Apps & Infra</v></cell><cell r="T989" t="str"><v>Developers & ITI's</v></cell><cell r="U989" t="str"><v>AZR</v></cell><cell r="V989" t="str"><v>Audience Targeting</v></cell><cell r="W989" t="str"><v>Engagement Video</v></cell><cell r="X989" t="str"><v>14s</v></cell><cell r="Y989" t="str"><v>Try Azure Free</v></cell><cell r="Z989" t="str"><v>Standard videos</v></cell><cell r="AA989"><v>43358</v></cell><cell r="AB989" t="str"><v>CAN_gaPMG_AZR_AZR_Q1_19_Trial-Social</v></cell><cell r="AC989"><v>21337220</v></cell><cell r="AD989"><v>720192</v></cell><cell r="AE989" t="str"><v>Facebook</v></cell><cell r="AF989"><v>3654128</v></cell><cell r="AG989" t="str"><v>Facebook»AZR»1x1»NA»EGV»ALL»DYN»AUT»D»All»SS»NA»Free Acc CTC - T4 - EN</v></cell><cell r="AH989"><v>223691837</v></cell><cell r="AI989" t="str"><v>AzurePlatform_FBCTCBenefit2inMotion_CAN_14s_ISV_PLAT_English_Trial_Standard_STAN_TN_T4_1</v></cell><cell r="AJ989"><v>103053314</v></cell></row><row r="990"><cell r="D990" t="str"><v>43358227522759</v></cell><cell r="E990" t="str"><v>43358105130122ee -EN</v></cell><cell r="F990" t="str"><v>DCM</v></cell></row><row r="990"><cell r="H990"><v>0</v></cell><cell r="I990" t="str"><v>Azure Direct</v></cell><cell r="J990" t="str"><v>Azure Direct</v></cell><cell r="K990" t="str"><v>September</v></cell><cell r="L990"><v>43358</v></cell><cell r="M990" t="str"><v>Tier 1</v></cell><cell r="N990" t="str"><v>North America</v></cell><cell r="O990" t="str"><v>Canada</v></cell><cell r="P990" t="str"><v>Trial</v></cell><cell r="Q990" t="str"><v>Social</v></cell><cell r="R990" t="str"><v>Azure</v></cell><cell r="S990" t="str"><v>Apps & Infra</v></cell><cell r="T990" t="str"><v>Developers & ITI's</v></cell><cell r="U990" t="str"><v>AZR</v></cell><cell r="V990" t="str"><v>Audience Targeting</v></cell><cell r="W990" t="str"><v>Canvas Ad</v></cell><cell r="X990" t="str"><v>1080x1080</v></cell><cell r="Y990" t="str"><v>Free Trial</v></cell><cell r="Z990" t="str"><v>Not Applicable</v></cell><cell r="AA990"><v>43358</v></cell><cell r="AB990" t="str"><v>CAN_gaPMG_AZR_AZR_Q1_19_Trial-Social</v></cell><cell r="AC990"><v>21337220</v></cell><cell r="AD990"><v>720192</v></cell><cell r="AE990" t="str"><v>Facebook</v></cell><cell r="AF990"><v>3654128</v></cell><cell r="AG990" t="str"><v>Facebook»AZR»1x1»NA»NA»ALL»DYN»AUT»D»All»SS»NA»Free Account Create to Convert FB - Canvas - Basic - Start Free -EN</v></cell><cell r="AH990"><v>227522759</v></cell><cell r="AI990" t="str"><v>AzurePlatform_FBCTCBasicMotion_CAN_1080x1080_SOC_10s_ISV_English_Standard_NA_FTR_T1_1</v></cell><cell r="AJ990"><v>105130122</v></cell></row><row r="991"><cell r="D991" t="str"><v>43358227522762</v></cell><cell r="E991" t="str"><v>43358105216992e - EN</v></cell><cell r="F991" t="str"><v>DCM</v></cell></row><row r="991"><cell r="H991"><v>0</v></cell><cell r="I991" t="str"><v>Azure Direct</v></cell><cell r="J991" t="str"><v>Azure Direct</v></cell><cell r="K991" t="str"><v>September</v></cell><cell r="L991"><v>43358</v></cell><cell r="M991" t="str"><v>Tier 1</v></cell><cell r="N991" t="str"><v>North America</v></cell><cell r="O991" t="str"><v>Canada</v></cell><cell r="P991" t="str"><v>Trial</v></cell><cell r="Q991" t="str"><v>Social</v></cell><cell r="R991" t="str"><v>Azure</v></cell><cell r="S991" t="str"><v>Apps & Infra</v></cell><cell r="T991" t="str"><v>Developers & ITI's</v></cell><cell r="U991" t="str"><v>AZR</v></cell><cell r="V991" t="str"><v>Audience Targeting</v></cell><cell r="W991" t="str"><v>Canvas Ad</v></cell><cell r="X991" t="str"><v>1080x1080</v></cell><cell r="Y991" t="str"><v>Free Trial</v></cell><cell r="Z991" t="str"><v>Not Applicable</v></cell><cell r="AA991"><v>43358</v></cell><cell r="AB991" t="str"><v>CAN_gaPMG_AZR_AZR_Q1_19_Trial-Social</v></cell><cell r="AC991"><v>21337220</v></cell><cell r="AD991"><v>720192</v></cell><cell r="AE991" t="str"><v>Facebook</v></cell><cell r="AF991"><v>3654128</v></cell><cell r="AG991" t="str"><v>Facebook»AZR»1x1»NA»NA»ALL»DYN»AUT»D»All»SS»NA»Free Account Create to Convert FB - Canvas - Brand - Start Free - EN</v></cell><cell r="AH991"><v>227522762</v></cell><cell r="AI991" t="str"><v>AzurePlatform_FBCTCBrandinMotion_CAN_1080x1080_SOC_12s_ISV_English_Standard_NA_FTR_T2_1</v></cell><cell r="AJ991"><v>105216992</v></cell></row><row r="992"><cell r="D992" t="str"><v>43358223691831</v></cell><cell r="E992" t="str"><v>433581029138002 - EN</v></cell><cell r="F992" t="str"><v>DCM</v></cell></row><row r="992"><cell r="H992"><v>4</v></cell><cell r="I992" t="str"><v>Azure Direct</v></cell><cell r="J992" t="str"><v>Azure Direct</v></cell><cell r="K992" t="str"><v>September</v></cell><cell r="L992"><v>43358</v></cell><cell r="M992" t="str"><v>Tier 1</v></cell><cell r="N992" t="str"><v>North America</v></cell><cell r="O992" t="str"><v>Canada</v></cell><cell r="P992" t="str"><v>Trial</v></cell><cell r="Q992" t="str"><v>Social</v></cell><cell r="R992" t="str"><v>Azure</v></cell><cell r="S992" t="str"><v>Apps & Infra</v></cell><cell r="T992" t="str"><v>Developers & ITI's</v></cell><cell r="U992" t="str"><v>AZR</v></cell><cell r="V992" t="str"><v>Retargeting</v></cell><cell r="W992" t="str"><v>NotApplicable</v></cell><cell r="X992" t="str"><v>1200x628</v></cell></row><row r="992"><cell r="Z992" t="str"><v>Not Applicable</v></cell><cell r="AA992"><v>43358</v></cell><cell r="AB992" t="str"><v>CAN_gaPMG_AZR_AZR_Q1_19_Trial-Social</v></cell><cell r="AC992"><v>21337220</v></cell><cell r="AD992"><v>720192</v></cell><cell r="AE992" t="str"><v>Facebook</v></cell><cell r="AF992"><v>3654128</v></cell><cell r="AG992" t="str"><v>Facebook»AZR»1x1»SocialBan»NA»ALL»DYN»RT»D»All»SS»NA» Free Account Retargeting OSS - T2 - EN</v></cell><cell r="AH992"><v>223691831</v></cell><cell r="AI992" t="str"><v>AzurePlatform_FreeAcctRetargetingOSSFB-Logos-ChG_CAN_1200x628_SOC_Plat_EN_Free Account_Standard_NA_SU_T2_1</v></cell><cell r="AJ992"><v>102913800</v></cell></row><row r="993"><cell r="D993" t="str"><v>43358223691789</v></cell><cell r="E993" t="str"><v>433581029006912 - FR</v></cell><cell r="F993" t="str"><v>DCM</v></cell></row><row r="993"><cell r="H993"><v>1</v></cell><cell r="I993" t="str"><v>Azure Direct</v></cell><cell r="J993" t="str"><v>Azure Direct</v></cell><cell r="K993" t="str"><v>September</v></cell><cell r="L993"><v>43358</v></cell><cell r="M993" t="str"><v>Tier 1</v></cell><cell r="N993" t="str"><v>North America</v></cell><cell r="O993" t="str"><v>Canada</v></cell><cell r="P993" t="str"><v>Trial</v></cell><cell r="Q993" t="str"><v>Social</v></cell><cell r="R993" t="str"><v>Azure</v></cell><cell r="S993" t="str"><v>Apps & Infra</v></cell><cell r="T993" t="str"><v>Developers & ITI's</v></cell><cell r="U993" t="str"><v>AZR</v></cell><cell r="V993" t="str"><v>Retargeting</v></cell><cell r="W993" t="str"><v>NotApplicable</v></cell><cell r="X993" t="str"><v>1200x628</v></cell></row><row r="993"><cell r="Z993" t="str"><v>Not Applicable</v></cell><cell r="AA993"><v>43358</v></cell><cell r="AB993" t="str"><v>CAN_gaPMG_AZR_AZR_Q1_19_Trial-Social</v></cell><cell r="AC993"><v>21337220</v></cell><cell r="AD993"><v>720192</v></cell><cell r="AE993" t="str"><v>Facebook</v></cell><cell r="AF993"><v>3654128</v></cell><cell r="AG993" t="str"><v>Facebook»AZR»1x1»SocialBan»NA»ALL»DYN»RT»D»All»SS»NA» Free Account Retargeting OSS - T2 - FR</v></cell><cell r="AH993"><v>223691789</v></cell><cell r="AI993" t="str"><v>AzurePlatform_FreeAcctRetargetingOSSFB-Logos-ChG_CAN_1200x628_SOC_Plat_FR_Free Account_Standard_NA_SU_T2_1</v></cell><cell r="AJ993"><v>102900691</v></cell></row><row r="994"><cell r="D994" t="str"><v>43358223691834</v></cell><cell r="E994" t="str"><v>433581029029532 - EN</v></cell><cell r="F994" t="str"><v>DCM</v></cell></row><row r="994"><cell r="H994"><v>2</v></cell><cell r="I994" t="str"><v>Azure Direct</v></cell><cell r="J994" t="str"><v>Azure Direct</v></cell><cell r="K994" t="str"><v>September</v></cell><cell r="L994"><v>43358</v></cell><cell r="M994" t="str"><v>Tier 1</v></cell><cell r="N994" t="str"><v>North America</v></cell><cell r="O994" t="str"><v>Canada</v></cell><cell r="P994" t="str"><v>Trial</v></cell><cell r="Q994" t="str"><v>Social</v></cell><cell r="R994" t="str"><v>Azure</v></cell><cell r="S994" t="str"><v>Apps & Infra</v></cell><cell r="T994" t="str"><v>Developers & ITI's</v></cell><cell r="U994" t="str"><v>AZR</v></cell><cell r="V994" t="str"><v>Retargeting</v></cell><cell r="W994" t="str"><v>NotApplicable</v></cell><cell r="X994" t="str"><v>1200x628</v></cell></row><row r="994"><cell r="Z994" t="str"><v>Not Applicable</v></cell><cell r="AA994"><v>43358</v></cell><cell r="AB994" t="str"><v>CAN_gaPMG_AZR_AZR_Q1_19_Trial-Social</v></cell><cell r="AC994"><v>21337220</v></cell><cell r="AD994"><v>720192</v></cell><cell r="AE994" t="str"><v>Facebook</v></cell><cell r="AF994"><v>3654128</v></cell><cell r="AG994" t="str"><v>Facebook»AZR»1x1»SocialBan»NA»ALL»DYN»RT»D»All»SS»NA»Free Account Retargeting Generic - T2 - EN</v></cell><cell r="AH994"><v>223691834</v></cell><cell r="AI994" t="str"><v>AzurePlatform_FreeAcctRetargetingFB-GlobalAlt-ChB_CAN_1200x628_SOC_Plat_EN_Free Account_Standard_NA_SU_T2_1</v></cell><cell r="AJ994"><v>102902953</v></cell></row><row r="995"><cell r="D995" t="str"><v>43358223691819</v></cell><cell r="E995" t="str"><v>433581029006823 - EN</v></cell><cell r="F995" t="str"><v>DCM</v></cell></row><row r="995"><cell r="H995"><v>1</v></cell><cell r="I995" t="str"><v>Azure Direct</v></cell><cell r="J995" t="str"><v>Azure Direct</v></cell><cell r="K995" t="str"><v>September</v></cell><cell r="L995"><v>43358</v></cell><cell r="M995" t="str"><v>Tier 1</v></cell><cell r="N995" t="str"><v>North America</v></cell><cell r="O995" t="str"><v>Canada</v></cell><cell r="P995" t="str"><v>Trial</v></cell><cell r="Q995" t="str"><v>Social</v></cell><cell r="R995" t="str"><v>Azure</v></cell><cell r="S995" t="str"><v>Apps & Infra</v></cell><cell r="T995" t="str"><v>Developers & ITI's</v></cell><cell r="U995" t="str"><v>AZR</v></cell><cell r="V995" t="str"><v>Retargeting</v></cell><cell r="W995" t="str"><v>NotApplicable</v></cell><cell r="X995" t="str"><v>1200x628</v></cell></row><row r="995"><cell r="Z995" t="str"><v>Animated Banner</v></cell><cell r="AA995"><v>43358</v></cell><cell r="AB995" t="str"><v>CAN_gaPMG_AZR_AZR_Q1_19_Trial-Social</v></cell><cell r="AC995"><v>21337220</v></cell><cell r="AD995"><v>720192</v></cell><cell r="AE995" t="str"><v>Facebook</v></cell><cell r="AF995"><v>3654128</v></cell><cell r="AG995" t="str"><v>Facebook»AZR»1x1»SocialBan»NA»ALL»DYN»RT»D»All»SS»NA»Free Account Retargeting Generic - T3 - EN</v></cell><cell r="AH995"><v>223691819</v></cell><cell r="AI995" t="str"><v>AzurePlatform_FreeAcctRetargetingFB-Animated-ChC_CAN_1200x628_SOC_Plat_EN_Free Account_Standard_ANI_SU_T3_1</v></cell><cell r="AJ995"><v>102900682</v></cell></row><row r="996"><cell r="D996" t="str"><v>43358223691825</v></cell><cell r="E996" t="str"><v>433581029163381 - EN</v></cell><cell r="F996" t="str"><v>DCM</v></cell></row><row r="996"><cell r="H996"><v>11</v></cell><cell r="I996" t="str"><v>Azure Direct</v></cell><cell r="J996" t="str"><v>Azure Direct</v></cell><cell r="K996" t="str"><v>September</v></cell><cell r="L996"><v>43358</v></cell><cell r="M996" t="str"><v>Tier 1</v></cell><cell r="N996" t="str"><v>North America</v></cell><cell r="O996" t="str"><v>Canada</v></cell><cell r="P996" t="str"><v>Trial</v></cell><cell r="Q996" t="str"><v>Social</v></cell><cell r="R996" t="str"><v>Azure</v></cell><cell r="S996" t="str"><v>Apps & Infra</v></cell><cell r="T996" t="str"><v>Developers & ITI's</v></cell><cell r="U996" t="str"><v>AZR</v></cell><cell r="V996" t="str"><v>Retargeting</v></cell><cell r="W996" t="str"><v>NotApplicable</v></cell><cell r="X996" t="str"><v>1200x628</v></cell></row><row r="996"><cell r="Z996" t="str"><v>Not Applicable</v></cell><cell r="AA996"><v>43358</v></cell><cell r="AB996" t="str"><v>CAN_gaPMG_AZR_AZR_Q1_19_Trial-Social</v></cell><cell r="AC996"><v>21337220</v></cell><cell r="AD996"><v>720192</v></cell><cell r="AE996" t="str"><v>Facebook</v></cell><cell r="AF996"><v>3654128</v></cell><cell r="AG996" t="str"><v>Facebook»AZR»1x1»SocialBan»NA»ALL»DYN»RT»D»All»SS»NA»Free Account Retargeting VM - T1 - EN</v></cell><cell r="AH996"><v>223691825</v></cell><cell r="AI996" t="str"><v>AzurePlatform_FreeAcctRetargetingVMFB-750Hrs-ChD_CAN_1200x628_SOC_Plat_EN_Free Account_Standard_NA_SU_T1_1</v></cell><cell r="AJ996"><v>102916338</v></cell></row><row r="997"><cell r="D997" t="str"><v>43358223691780</v></cell><cell r="E997" t="str"><v>433581030587262 - FR</v></cell><cell r="F997" t="str"><v>DCM</v></cell></row><row r="997"><cell r="H997"><v>3</v></cell><cell r="I997" t="str"><v>Azure Direct</v></cell><cell r="J997" t="str"><v>Azure Direct</v></cell><cell r="K997" t="str"><v>September</v></cell><cell r="L997"><v>43358</v></cell><cell r="M997" t="str"><v>Tier 1</v></cell><cell r="N997" t="str"><v>North America</v></cell><cell r="O997" t="str"><v>Canada</v></cell><cell r="P997" t="str"><v>Trial</v></cell><cell r="Q997" t="str"><v>Social</v></cell><cell r="R997" t="str"><v>Azure</v></cell><cell r="S997" t="str"><v>Apps & Infra</v></cell><cell r="T997" t="str"><v>Developers & ITI's</v></cell><cell r="U997" t="str"><v>AZR</v></cell><cell r="V997" t="str"><v>Retargeting</v></cell><cell r="W997" t="str"><v>NotApplicable</v></cell><cell r="X997" t="str"><v>1200x628</v></cell></row><row r="997"><cell r="Z997" t="str"><v>Not Applicable</v></cell><cell r="AA997"><v>43358</v></cell><cell r="AB997" t="str"><v>CAN_gaPMG_AZR_AZR_Q1_19_Trial-Social</v></cell><cell r="AC997"><v>21337220</v></cell><cell r="AD997"><v>720192</v></cell><cell r="AE997" t="str"><v>Facebook</v></cell><cell r="AF997"><v>3654128</v></cell><cell r="AG997" t="str"><v>Facebook»AZR»1x1»SocialBan»NA»ALL»DYN»RT»D»All»SS»NA»Free Account Retargeting VM - T2 - FR</v></cell><cell r="AH997"><v>223691780</v></cell><cell r="AI997" t="str"><v>AzurePlatform_FreeAcctRetargetingVMFB-OnDemand-ChE_CAN_1200x628_SOC_Plat_FR_Free Account_Standard_NA_SU_T2_1</v></cell><cell r="AJ997"><v>103058726</v></cell></row><row r="998"><cell r="D998" t="str"><v>43358223691801</v></cell><cell r="E998" t="str"><v>433581030533231 - FR</v></cell><cell r="F998" t="str"><v>DCM</v></cell></row><row r="998"><cell r="H998"><v>0</v></cell><cell r="I998" t="str"><v>Azure Direct</v></cell><cell r="J998" t="str"><v>Azure Direct</v></cell><cell r="K998" t="str"><v>September</v></cell><cell r="L998"><v>43358</v></cell><cell r="M998" t="str"><v>Tier 1</v></cell><cell r="N998" t="str"><v>North America</v></cell><cell r="O998" t="str"><v>Canada</v></cell><cell r="P998" t="str"><v>Trial</v></cell><cell r="Q998" t="str"><v>Social</v></cell><cell r="R998" t="str"><v>Azure</v></cell><cell r="S998" t="str"><v>Apps & Infra</v></cell><cell r="T998" t="str"><v>Developers & ITI's</v></cell><cell r="U998" t="str"><v>AZR</v></cell><cell r="V998" t="str"><v>Audience Targeting</v></cell><cell r="W998" t="str"><v>Engagement Video</v></cell><cell r="X998" t="str"><v>10s</v></cell><cell r="Y998" t="str"><v>Try Azure Free</v></cell><cell r="Z998" t="str"><v>Standard videos</v></cell><cell r="AA998"><v>43358</v></cell><cell r="AB998" t="str"><v>CAN_gaPMG_AZR_AZR_Q1_19_Trial-Social</v></cell><cell r="AC998"><v>21337220</v></cell><cell r="AD998"><v>720192</v></cell><cell r="AE998" t="str"><v>Facebook</v></cell><cell r="AF998"><v>3654128</v></cell><cell r="AG998" t="str"><v>Facebook»AZR»1x1»NA»EGV»ALL»DYN»AUT»D»All»SS»NA»Free Acc CTC - T1 - FR</v></cell><cell r="AH998"><v>223691801</v></cell><cell r="AI998" t="str"><v>AzurePlatform_FBCTCBasicMotion_CAN_10s_ISV_PLAT_FR_Trial_Standard_STAN_TN_T1_1</v></cell><cell r="AJ998"><v>103053323</v></cell></row><row r="999"><cell r="D999" t="str"><v>43358223691795</v></cell><cell r="E999" t="str"><v>433581029006884 - FR</v></cell><cell r="F999" t="str"><v>DCM</v></cell></row><row r="999"><cell r="H999"><v>0</v></cell><cell r="I999" t="str"><v>Azure Direct</v></cell><cell r="J999" t="str"><v>Azure Direct</v></cell><cell r="K999" t="str"><v>September</v></cell><cell r="L999"><v>43358</v></cell><cell r="M999" t="str"><v>Tier 1</v></cell><cell r="N999" t="str"><v>North America</v></cell><cell r="O999" t="str"><v>Canada</v></cell><cell r="P999" t="str"><v>Trial</v></cell><cell r="Q999" t="str"><v>Social</v></cell><cell r="R999" t="str"><v>Azure</v></cell><cell r="S999" t="str"><v>Apps & Infra</v></cell><cell r="T999" t="str"><v>Developers & ITI's</v></cell><cell r="U999" t="str"><v>AZR</v></cell><cell r="V999" t="str"><v>Audience Targeting</v></cell><cell r="W999" t="str"><v>Engagement Video</v></cell><cell r="X999" t="str"><v>14s</v></cell><cell r="Y999" t="str"><v>Try Azure Free</v></cell><cell r="Z999" t="str"><v>Standard videos</v></cell><cell r="AA999"><v>43358</v></cell><cell r="AB999" t="str"><v>CAN_gaPMG_AZR_AZR_Q1_19_Trial-Social</v></cell><cell r="AC999"><v>21337220</v></cell><cell r="AD999"><v>720192</v></cell><cell r="AE999" t="str"><v>Facebook</v></cell><cell r="AF999"><v>3654128</v></cell><cell r="AG999" t="str"><v>Facebook»AZR»1x1»NA»EGV»ALL»DYN»AUT»D»All»SS»NA»Free Acc CTC - T4 - FR</v></cell><cell r="AH999"><v>223691795</v></cell><cell r="AI999" t="str"><v>AzurePlatform_FBCTCBenefit2inMotion_CAN_14s_ISV_PLAT_FR_Trial_Standard_STAN_TN_T4_1</v></cell><cell r="AJ999"><v>102900688</v></cell></row><row r="1000"><cell r="D1000" t="str"><v>43358223691792</v></cell><cell r="E1000" t="str"><v>433581029018942 - FR</v></cell><cell r="F1000" t="str"><v>DCM</v></cell></row><row r="1000"><cell r="H1000"><v>2</v></cell><cell r="I1000" t="str"><v>Azure Direct</v></cell><cell r="J1000" t="str"><v>Azure Direct</v></cell><cell r="K1000" t="str"><v>September</v></cell><cell r="L1000"><v>43358</v></cell><cell r="M1000" t="str"><v>Tier 1</v></cell><cell r="N1000" t="str"><v>North America</v></cell><cell r="O1000" t="str"><v>Canada</v></cell><cell r="P1000" t="str"><v>Trial</v></cell><cell r="Q1000" t="str"><v>Social</v></cell><cell r="R1000" t="str"><v>Azure</v></cell><cell r="S1000" t="str"><v>Apps & Infra</v></cell><cell r="T1000" t="str"><v>Developers & ITI's</v></cell><cell r="U1000" t="str"><v>AZR</v></cell><cell r="V1000" t="str"><v>Retargeting</v></cell><cell r="W1000" t="str"><v>NotApplicable</v></cell><cell r="X1000" t="str"><v>1200x628</v></cell></row><row r="1000"><cell r="Z1000" t="str"><v>Not Applicable</v></cell><cell r="AA1000"><v>43358</v></cell><cell r="AB1000" t="str"><v>CAN_gaPMG_AZR_AZR_Q1_19_Trial-Social</v></cell><cell r="AC1000"><v>21337220</v></cell><cell r="AD1000"><v>720192</v></cell><cell r="AE1000" t="str"><v>Facebook</v></cell><cell r="AF1000"><v>3654128</v></cell><cell r="AG1000" t="str"><v>Facebook»AZR»1x1»SocialBan»NA»ALL»DYN»RT»D»All»SS»NA»Free Account Retargeting Generic - T2 - FR</v></cell><cell r="AH1000"><v>223691792</v></cell><cell r="AI1000" t="str"><v>AzurePlatform_FreeAcctRetargetingFB-GlobalAlt-ChB_CAN_1200x628_SOC_Plat_FR_Free Account_Standard_NA_SU_T2_1</v></cell><cell r="AJ1000"><v>102901894</v></cell></row><row r="1001"><cell r="D1001" t="str"><v>43358227524946</v></cell><cell r="E1001" t="str"><v>43358105216992w - EN</v></cell><cell r="F1001" t="str"><v>DCM</v></cell></row><row r="1001"><cell r="H1001"><v>0</v></cell><cell r="I1001" t="str"><v>Azure Direct</v></cell><cell r="J1001" t="str"><v>Azure Direct</v></cell><cell r="K1001" t="str"><v>September</v></cell><cell r="L1001"><v>43358</v></cell><cell r="M1001" t="str"><v>Tier 1</v></cell><cell r="N1001" t="str"><v>North America</v></cell><cell r="O1001" t="str"><v>Canada</v></cell><cell r="P1001" t="str"><v>Trial</v></cell><cell r="Q1001" t="str"><v>Social</v></cell><cell r="R1001" t="str"><v>Azure</v></cell><cell r="S1001" t="str"><v>Apps & Infra</v></cell><cell r="T1001" t="str"><v>Developers & ITI's</v></cell><cell r="U1001" t="str"><v>AZR</v></cell><cell r="V1001" t="str"><v>Audience Targeting</v></cell><cell r="W1001" t="str"><v>Canvas Ad</v></cell><cell r="X1001" t="str"><v>1080x1080</v></cell><cell r="Y1001" t="str"><v>Free Trial</v></cell><cell r="Z1001" t="str"><v>Not Applicable</v></cell><cell r="AA1001"><v>43358</v></cell><cell r="AB1001" t="str"><v>CAN_gaPMG_AZR_AZR_Q1_19_Trial-Social</v></cell><cell r="AC1001"><v>21337220</v></cell><cell r="AD1001"><v>720192</v></cell><cell r="AE1001" t="str"><v>Facebook</v></cell><cell r="AF1001"><v>3654128</v></cell><cell r="AG1001" t="str"><v>Facebook»AZR»1x1»NA»NA»ALL»DYN»AUT»D»All»SS»NA»Free Account Create to Convert FB - Canvas - Brand - Buy Now - EN</v></cell><cell r="AH1001"><v>227524946</v></cell><cell r="AI1001" t="str"><v>AzurePlatform_FBCTCBrandinMotion_CAN_1080x1080_SOC_12s_ISV_English_Standard_NA_FTR_T2_1</v></cell><cell r="AJ1001"><v>105216992</v></cell></row><row r="1002"><cell r="D1002" t="str"><v>43358227792310</v></cell><cell r="E1002" t="str"><v>43358105130122ow -EN</v></cell><cell r="F1002" t="str"><v>DCM</v></cell></row><row r="1002"><cell r="H1002"><v>0</v></cell><cell r="I1002" t="str"><v>Azure Direct</v></cell><cell r="J1002" t="str"><v>Azure Direct</v></cell><cell r="K1002" t="str"><v>September</v></cell><cell r="L1002"><v>43358</v></cell><cell r="M1002" t="str"><v>Tier 1</v></cell><cell r="N1002" t="str"><v>North America</v></cell><cell r="O1002" t="str"><v>Canada</v></cell><cell r="P1002" t="str"><v>Trial</v></cell><cell r="Q1002" t="str"><v>Social</v></cell><cell r="R1002" t="str"><v>Azure</v></cell><cell r="S1002" t="str"><v>Apps & Infra</v></cell><cell r="T1002" t="str"><v>Developers & ITI's</v></cell><cell r="U1002" t="str"><v>AZR</v></cell><cell r="V1002" t="str"><v>Audience Targeting</v></cell><cell r="W1002" t="str"><v>Canvas Ad</v></cell><cell r="X1002" t="str"><v>1080x1080</v></cell><cell r="Y1002" t="str"><v>Free Trial</v></cell><cell r="Z1002" t="str"><v>Not Applicable</v></cell><cell r="AA1002"><v>43358</v></cell><cell r="AB1002" t="str"><v>CAN_gaPMG_AZR_AZR_Q1_19_Trial-Social</v></cell><cell r="AC1002"><v>21337220</v></cell><cell r="AD1002"><v>720192</v></cell><cell r="AE1002" t="str"><v>Facebook</v></cell><cell r="AF1002"><v>3654128</v></cell><cell r="AG1002" t="str"><v>Facebook»AZR»1x1»NA»NA»ALL»DYN»AUT»D»All»SS»NA»Free Account Create to Convert FB - Canvas - Basic - Buy Now -EN</v></cell><cell r="AH1002"><v>227792310</v></cell><cell r="AI1002" t="str"><v>AzurePlatform_FBCTCBasicMotion_CAN_1080x1080_SOC_10s_ISV_English_Standard_NA_FTR_T1_1</v></cell><cell r="AJ1002"><v>105130122</v></cell></row><row r="1003"><cell r="D1003" t="str"><v>43358224009494</v></cell><cell r="E1003" t="str"><v>43358103236186-11000</v></cell><cell r="F1003" t="str"><v>DCM</v></cell></row><row r="1003"><cell r="H1003"><v>0</v></cell><cell r="I1003" t="str"><v>Azure Direct</v></cell><cell r="J1003" t="str"><v>Azure Direct</v></cell><cell r="K1003" t="str"><v>September</v></cell><cell r="L1003"><v>43358</v></cell><cell r="M1003" t="str"><v>Tier 1</v></cell><cell r="N1003" t="str"><v>EMEA</v></cell><cell r="O1003" t="str"><v>Germany</v></cell><cell r="P1003" t="str"><v>Trial</v></cell><cell r="Q1003" t="str"><v>Social</v></cell><cell r="R1003" t="str"><v>Azure</v></cell><cell r="S1003" t="str"><v>Apps & Infra</v></cell><cell r="T1003" t="str"><v>Developers & ITI's</v></cell><cell r="U1003" t="str"><v>DEV-ITP-AZR-FB|CanvasAds|Interesttargeting</v></cell><cell r="V1003" t="str"><v>Audience Targeting</v></cell><cell r="W1003" t="str"><v>Canvas Ad</v></cell><cell r="X1003" t="str"><v>10s</v></cell><cell r="Y1003" t="str"><v>Try Azure Free</v></cell><cell r="Z1003" t="str"><v>Standard videos</v></cell><cell r="AA1003"><v>43358</v></cell><cell r="AB1003" t="str"><v>DEU_gaPMG_AZR_AZR_Q1_19_Trial-Social- 39684</v></cell><cell r="AC1003"><v>21359477</v></cell><cell r="AD1003"><v>720194</v></cell><cell r="AE1003" t="str"><v>Facebook</v></cell><cell r="AF1003"><v>3654128</v></cell><cell r="AG1003" t="str"><v>Facebook»DEV-ITP-AZR-FB|CanvasAds|Interesttargeting»1x1»TextLink»CAN»DT»CPM»AUT»W»NA»SS»NA»39684020-11000</v></cell><cell r="AH1003"><v>224009494</v></cell><cell r="AI1003" t="str"><v>AzurePlatform_FBCTCBasicMotion-StartFreeCT_DEU_10s_ISV_PLAT_DE_Trial_Standard_STAN_TN_T1_1</v></cell><cell r="AJ1003"><v>103236186</v></cell></row><row r="1004"><cell r="D1004" t="str"><v>43358224009494</v></cell><cell r="E1004" t="str"><v>43358103236189-11000</v></cell><cell r="F1004" t="str"><v>DCM</v></cell></row><row r="1004"><cell r="H1004"><v>2</v></cell><cell r="I1004" t="str"><v>Azure Direct</v></cell><cell r="J1004" t="str"><v>Azure Direct</v></cell><cell r="K1004" t="str"><v>September</v></cell><cell r="L1004"><v>43358</v></cell><cell r="M1004" t="str"><v>Tier 1</v></cell><cell r="N1004" t="str"><v>EMEA</v></cell><cell r="O1004" t="str"><v>Germany</v></cell><cell r="P1004" t="str"><v>Trial</v></cell><cell r="Q1004" t="str"><v>Social</v></cell><cell r="R1004" t="str"><v>Azure</v></cell><cell r="S1004" t="str"><v>Apps & Infra</v></cell><cell r="T1004" t="str"><v>Developers & ITI's</v></cell><cell r="U1004" t="str"><v>DEV-ITP-AZR-FB|CanvasAds|Interesttargeting</v></cell><cell r="V1004" t="str"><v>Audience Targeting</v></cell><cell r="W1004" t="str"><v>Canvas Ad</v></cell><cell r="X1004" t="str"><v>14s</v></cell><cell r="Y1004" t="str"><v>Try Azure Free</v></cell><cell r="Z1004" t="str"><v>Standard videos</v></cell><cell r="AA1004"><v>43358</v></cell><cell r="AB1004" t="str"><v>DEU_gaPMG_AZR_AZR_Q1_19_Trial-Social- 39684</v></cell><cell r="AC1004"><v>21359477</v></cell><cell r="AD1004"><v>720194</v></cell><cell r="AE1004" t="str"><v>Facebook</v></cell><cell r="AF1004"><v>3654128</v></cell><cell r="AG1004" t="str"><v>Facebook»DEV-ITP-AZR-FB|CanvasAds|Interesttargeting»1x1»TextLink»CAN»DT»CPM»AUT»W»NA»SS»NA»39684020-11000</v></cell><cell r="AH1004"><v>224009494</v></cell><cell r="AI1004" t="str"><v>AzurePlatform_FBCTCBenefit2inMotion-BuyNow_DEU_14s_ISV_PLAT_DE_Trial_Standard_STAN_TN_T4_1</v></cell><cell r="AJ1004"><v>103236189</v></cell></row><row r="1005"><cell r="D1005" t="str"><v>43358224009494</v></cell><cell r="E1005" t="str"><v>43358103237290-11000</v></cell><cell r="F1005" t="str"><v>DCM</v></cell></row><row r="1005"><cell r="H1005"><v>0</v></cell><cell r="I1005" t="str"><v>Azure Direct</v></cell><cell r="J1005" t="str"><v>Azure Direct</v></cell><cell r="K1005" t="str"><v>September</v></cell><cell r="L1005"><v>43358</v></cell><cell r="M1005" t="str"><v>Tier 1</v></cell><cell r="N1005" t="str"><v>EMEA</v></cell><cell r="O1005" t="str"><v>Germany</v></cell><cell r="P1005" t="str"><v>Trial</v></cell><cell r="Q1005" t="str"><v>Social</v></cell><cell r="R1005" t="str"><v>Azure</v></cell><cell r="S1005" t="str"><v>Apps & Infra</v></cell><cell r="T1005" t="str"><v>Developers & ITI's</v></cell><cell r="U1005" t="str"><v>DEV-ITP-AZR-FB|CanvasAds|Interesttargeting</v></cell><cell r="V1005" t="str"><v>Audience Targeting</v></cell><cell r="W1005" t="str"><v>Canvas Ad</v></cell><cell r="X1005" t="str"><v>14s</v></cell><cell r="Y1005" t="str"><v>Try Azure Free</v></cell><cell r="Z1005" t="str"><v>Standard videos</v></cell><cell r="AA1005"><v>43358</v></cell><cell r="AB1005" t="str"><v>DEU_gaPMG_AZR_AZR_Q1_19_Trial-Social- 39684</v></cell><cell r="AC1005"><v>21359477</v></cell><cell r="AD1005"><v>720194</v></cell><cell r="AE1005" t="str"><v>Facebook</v></cell><cell r="AF1005"><v>3654128</v></cell><cell r="AG1005" t="str"><v>Facebook»DEV-ITP-AZR-FB|CanvasAds|Interesttargeting»1x1»TextLink»CAN»DT»CPM»AUT»W»NA»SS»NA»39684020-11000</v></cell><cell r="AH1005"><v>224009494</v></cell><cell r="AI1005" t="str"><v>AzurePlatform_FBCTCBenefit2inMotion-StartFreeCT_DEU_14s_ISV_PLAT_DE_Trial_Standard_STAN_TN_T4_1</v></cell><cell r="AJ1005"><v>103237290</v></cell></row><row r="1006"><cell r="D1006" t="str"><v>43358224009494</v></cell><cell r="E1006" t="str"><v>43358103237293-11000</v></cell><cell r="F1006" t="str"><v>DCM</v></cell></row><row r="1006"><cell r="H1006"><v>0</v></cell><cell r="I1006" t="str"><v>Azure Direct</v></cell><cell r="J1006" t="str"><v>Azure Direct</v></cell><cell r="K1006" t="str"><v>September</v></cell><cell r="L1006"><v>43358</v></cell><cell r="M1006" t="str"><v>Tier 1</v></cell><cell r="N1006" t="str"><v>EMEA</v></cell><cell r="O1006" t="str"><v>Germany</v></cell><cell r="P1006" t="str"><v>Trial</v></cell><cell r="Q1006" t="str"><v>Social</v></cell><cell r="R1006" t="str"><v>Azure</v></cell><cell r="S1006" t="str"><v>Apps & Infra</v></cell><cell r="T1006" t="str"><v>Developers & ITI's</v></cell><cell r="U1006" t="str"><v>DEV-ITP-AZR-FB|CanvasAds|Interesttargeting</v></cell><cell r="V1006" t="str"><v>Audience Targeting</v></cell><cell r="W1006" t="str"><v>Canvas Ad</v></cell><cell r="X1006" t="str"><v>12s</v></cell><cell r="Y1006" t="str"><v>Try Azure Free</v></cell><cell r="Z1006" t="str"><v>Standard videos</v></cell><cell r="AA1006"><v>43358</v></cell><cell r="AB1006" t="str"><v>DEU_gaPMG_AZR_AZR_Q1_19_Trial-Social- 39684</v></cell><cell r="AC1006"><v>21359477</v></cell><cell r="AD1006"><v>720194</v></cell><cell r="AE1006" t="str"><v>Facebook</v></cell><cell r="AF1006"><v>3654128</v></cell><cell r="AG1006" t="str"><v>Facebook»DEV-ITP-AZR-FB|CanvasAds|Interesttargeting»1x1»TextLink»CAN»DT»CPM»AUT»W»NA»SS»NA»39684020-11000</v></cell><cell r="AH1006"><v>224009494</v></cell><cell r="AI1006" t="str"><v>AzurePlatform_FBCTCBrandinMotion-StartFreeCT_DEU_12s_ISV_PLAT_DE_Trial_Standard_STAN_TN_T2_1</v></cell><cell r="AJ1006"><v>103237293</v></cell></row><row r="1007"><cell r="D1007" t="str"><v>43358224010415</v></cell><cell r="E1007" t="str"><v>43358103040320-11000</v></cell><cell r="F1007" t="str"><v>DCM</v></cell></row><row r="1007"><cell r="H1007"><v>0</v></cell><cell r="I1007" t="str"><v>Azure Direct</v></cell><cell r="J1007" t="str"><v>Azure Direct</v></cell><cell r="K1007" t="str"><v>September</v></cell><cell r="L1007"><v>43358</v></cell><cell r="M1007" t="str"><v>Tier 1</v></cell><cell r="N1007" t="str"><v>EMEA</v></cell><cell r="O1007" t="str"><v>Germany</v></cell><cell r="P1007" t="str"><v>Trial</v></cell><cell r="Q1007" t="str"><v>Social</v></cell><cell r="R1007" t="str"><v>Azure</v></cell><cell r="S1007" t="str"><v>Apps & Infra</v></cell><cell r="T1007" t="str"><v>Developers & ITI's</v></cell><cell r="U1007" t="str"><v>DEV-ITP-AZR-FB|LinkAd|CustomerAudienceRetargeting</v></cell><cell r="V1007" t="str"><v>Retargeting</v></cell><cell r="W1007" t="str"><v>Link Ad</v></cell><cell r="X1007" t="str"><v>1200x628</v></cell></row><row r="1007"><cell r="Z1007" t="str"><v>Not Applicable</v></cell><cell r="AA1007"><v>43358</v></cell><cell r="AB1007" t="str"><v>DEU_gaPMG_AZR_AZR_Q1_19_Trial-Social- 39684</v></cell><cell r="AC1007"><v>21359477</v></cell><cell r="AD1007"><v>720194</v></cell><cell r="AE1007" t="str"><v>Facebook</v></cell><cell r="AF1007"><v>3654128</v></cell><cell r="AG1007" t="str"><v>Facebook»DEV-ITP-AZR-FB|LinkAd|CustomerAudienceRetargeting»1x1»TextLink»LIA»DT»CPM»RT»W»NA»SS»NA»39684019-11000</v></cell><cell r="AH1007"><v>224010415</v></cell><cell r="AI1007" t="str"><v>AzurePlatform_FreeAcctRetargetingFB-GlobalAlt-ChB_DEU_1200x628_SOC_Plat_DE_Free Account_Standard_NA_SNU_T2_1</v></cell><cell r="AJ1007"><v>103040320</v></cell></row><row r="1008"><cell r="D1008" t="str"><v>43358224010415</v></cell><cell r="E1008" t="str"><v>43358103055394-11000</v></cell><cell r="F1008" t="str"><v>DCM</v></cell></row><row r="1008"><cell r="H1008"><v>0</v></cell><cell r="I1008" t="str"><v>Azure Direct</v></cell><cell r="J1008" t="str"><v>Azure Direct</v></cell><cell r="K1008" t="str"><v>September</v></cell><cell r="L1008"><v>43358</v></cell><cell r="M1008" t="str"><v>Tier 1</v></cell><cell r="N1008" t="str"><v>EMEA</v></cell><cell r="O1008" t="str"><v>Germany</v></cell><cell r="P1008" t="str"><v>Trial</v></cell><cell r="Q1008" t="str"><v>Social</v></cell><cell r="R1008" t="str"><v>Azure</v></cell><cell r="S1008" t="str"><v>Apps & Infra</v></cell><cell r="T1008" t="str"><v>Developers & ITI's</v></cell><cell r="U1008" t="str"><v>DEV-ITP-AZR-FB|LinkAd|CustomerAudienceRetargeting</v></cell><cell r="V1008" t="str"><v>Retargeting</v></cell><cell r="W1008" t="str"><v>Link Ad</v></cell><cell r="X1008" t="str"><v>1200x628</v></cell></row><row r="1008"><cell r="Z1008" t="str"><v>Not Applicable</v></cell><cell r="AA1008"><v>43358</v></cell><cell r="AB1008" t="str"><v>DEU_gaPMG_AZR_AZR_Q1_19_Trial-Social- 39684</v></cell><cell r="AC1008"><v>21359477</v></cell><cell r="AD1008"><v>720194</v></cell><cell r="AE1008" t="str"><v>Facebook</v></cell><cell r="AF1008"><v>3654128</v></cell><cell r="AG1008" t="str"><v>Facebook»DEV-ITP-AZR-FB|LinkAd|CustomerAudienceRetargeting»1x1»TextLink»LIA»DT»CPM»RT»W»NA»SS»NA»39684019-11000</v></cell><cell r="AH1008"><v>224010415</v></cell><cell r="AI1008" t="str"><v>AzurePlatform_FreeAcctRetargetingOSSFB-Text-ChF_DEU_1200x628_SOC_Plat_DE_Free Account_Standard_NA_SNU_T1_1</v></cell><cell r="AJ1008"><v>103055394</v></cell></row><row r="1009"><cell r="D1009" t="str"><v>43358224010415</v></cell><cell r="E1009" t="str"><v>43358103043341-11000</v></cell><cell r="F1009" t="str"><v>DCM</v></cell></row><row r="1009"><cell r="H1009"><v>8</v></cell><cell r="I1009" t="str"><v>Azure Direct</v></cell><cell r="J1009" t="str"><v>Azure Direct</v></cell><cell r="K1009" t="str"><v>September</v></cell><cell r="L1009"><v>43358</v></cell><cell r="M1009" t="str"><v>Tier 1</v></cell><cell r="N1009" t="str"><v>EMEA</v></cell><cell r="O1009" t="str"><v>Germany</v></cell><cell r="P1009" t="str"><v>Trial</v></cell><cell r="Q1009" t="str"><v>Social</v></cell><cell r="R1009" t="str"><v>Azure</v></cell><cell r="S1009" t="str"><v>Apps & Infra</v></cell><cell r="T1009" t="str"><v>Developers & ITI's</v></cell><cell r="U1009" t="str"><v>DEV-ITP-AZR-FB|LinkAd|CustomerAudienceRetargeting</v></cell><cell r="V1009" t="str"><v>Retargeting</v></cell><cell r="W1009" t="str"><v>Link Ad</v></cell><cell r="X1009" t="str"><v>1200x628</v></cell></row><row r="1009"><cell r="Z1009" t="str"><v>Not Applicable</v></cell><cell r="AA1009"><v>43358</v></cell><cell r="AB1009" t="str"><v>DEU_gaPMG_AZR_AZR_Q1_19_Trial-Social- 39684</v></cell><cell r="AC1009"><v>21359477</v></cell><cell r="AD1009"><v>720194</v></cell><cell r="AE1009" t="str"><v>Facebook</v></cell><cell r="AF1009"><v>3654128</v></cell><cell r="AG1009" t="str"><v>Facebook»DEV-ITP-AZR-FB|LinkAd|CustomerAudienceRetargeting»1x1»TextLink»LIA»DT»CPM»RT»W»NA»SS»NA»39684019-11000</v></cell><cell r="AH1009"><v>224010415</v></cell><cell r="AI1009" t="str"><v>AzurePlatform_FreeAcctRetargetingVMFB-750Hrs-ChD_DEU_1200x628_SOC_Plat_DE_Free Account_Standard_NA_SNU_T1_1</v></cell><cell r="AJ1009"><v>103043341</v></cell></row><row r="1010"><cell r="D1010" t="str"><v>43358224010415</v></cell><cell r="E1010" t="str"><v>43358103043338-11000</v></cell><cell r="F1010" t="str"><v>DCM</v></cell></row><row r="1010"><cell r="H1010"><v>1</v></cell><cell r="I1010" t="str"><v>Azure Direct</v></cell><cell r="J1010" t="str"><v>Azure Direct</v></cell><cell r="K1010" t="str"><v>September</v></cell><cell r="L1010"><v>43358</v></cell><cell r="M1010" t="str"><v>Tier 1</v></cell><cell r="N1010" t="str"><v>EMEA</v></cell><cell r="O1010" t="str"><v>Germany</v></cell><cell r="P1010" t="str"><v>Trial</v></cell><cell r="Q1010" t="str"><v>Social</v></cell><cell r="R1010" t="str"><v>Azure</v></cell><cell r="S1010" t="str"><v>Apps & Infra</v></cell><cell r="T1010" t="str"><v>Developers & ITI's</v></cell><cell r="U1010" t="str"><v>DEV-ITP-AZR-FB|LinkAd|CustomerAudienceRetargeting</v></cell><cell r="V1010" t="str"><v>Retargeting</v></cell><cell r="W1010" t="str"><v>Link Ad</v></cell><cell r="X1010" t="str"><v>1200x628</v></cell></row><row r="1010"><cell r="Z1010" t="str"><v>Not Applicable</v></cell><cell r="AA1010"><v>43358</v></cell><cell r="AB1010" t="str"><v>DEU_gaPMG_AZR_AZR_Q1_19_Trial-Social- 39684</v></cell><cell r="AC1010"><v>21359477</v></cell><cell r="AD1010"><v>720194</v></cell><cell r="AE1010" t="str"><v>Facebook</v></cell><cell r="AF1010"><v>3654128</v></cell><cell r="AG1010" t="str"><v>Facebook»DEV-ITP-AZR-FB|LinkAd|CustomerAudienceRetargeting»1x1»TextLink»LIA»DT»CPM»RT»W»NA»SS»NA»39684019-11000</v></cell><cell r="AH1010"><v>224010415</v></cell><cell r="AI1010" t="str"><v>AzurePlatform_FreeAcctRetargetingVMFB-OnDemand-ChE_DEU_1200x628_SOC_Plat_DE_Free Account_Standard_NA_SNU_T2_1</v></cell><cell r="AJ1010"><v>103043338</v></cell></row><row r="1011"><cell r="D1011" t="str"><v>43358224416915</v></cell><cell r="E1011" t="str"><v>43358103376981Trials</v></cell><cell r="F1011" t="str"><v>DCM</v></cell></row><row r="1011"><cell r="H1011"><v>0</v></cell><cell r="I1011" t="str"><v>Azure Direct</v></cell><cell r="J1011" t="str"><v>Azure Direct</v></cell><cell r="K1011" t="str"><v>September</v></cell><cell r="L1011"><v>43358</v></cell><cell r="M1011" t="str"><v>Tier 1</v></cell><cell r="N1011" t="str"><v>EMEA</v></cell><cell r="O1011" t="str"><v>France</v></cell><cell r="P1011" t="str"><v>Trial</v></cell><cell r="Q1011" t="str"><v>Social</v></cell><cell r="R1011" t="str"><v>Azure</v></cell><cell r="S1011" t="str"><v>Apps & Infra</v></cell><cell r="T1011" t="str"><v>Developers & ITI's</v></cell><cell r="U1011" t="str"><v>Developers/ITPros-Azure Direct-Sponsored Post-Video Ad-FBCTCBasicMotion_FRA_10s_RTG Landing Page</v></cell><cell r="V1011" t="str"><v>Behavioral Targeting</v></cell><cell r="W1011" t="str"><v>Video Ad</v></cell><cell r="X1011" t="str"><v>10s</v></cell><cell r="Y1011" t="str"><v>Try it Now</v></cell><cell r="Z1011" t="str"><v>Standard videos</v></cell><cell r="AA1011"><v>43358</v></cell><cell r="AB1011" t="str"><v>FRA_gaPMG_AZR_AZR_Q1_19_AzureDirect-Trial-Social</v></cell><cell r="AC1011"><v>21356941</v></cell><cell r="AD1011"><v>720193</v></cell><cell r="AE1011" t="str"><v>Facebook</v></cell><cell r="AF1011"><v>3654128</v></cell><cell r="AG1011" t="str"><v>Facebook»Developers/ITPros-Azure Direct-Sponsored Post-Video Ad-FBCTCBasicMotion_FRA_10s_RTG Landing Page»1x1»05s»SOC»ALL»CPC»BT»D»UNK»SS»NA»Trials</v></cell><cell r="AH1011"><v>224416915</v></cell><cell r="AI1011" t="str"><v>AZR_FBCTCBasicMotion_FRA_10s_VIA_AZRDirect_French_NA_Facebook_STAN_TIN_T1_1</v></cell><cell r="AJ1011"><v>103376981</v></cell></row><row r="1012"><cell r="D1012" t="str"><v>43358224560875</v></cell><cell r="E1012" t="str"><v>43358103259766Trials</v></cell><cell r="F1012" t="str"><v>DCM</v></cell></row><row r="1012"><cell r="H1012"><v>0</v></cell><cell r="I1012" t="str"><v>Azure Direct</v></cell><cell r="J1012" t="str"><v>Azure Direct</v></cell><cell r="K1012" t="str"><v>September</v></cell><cell r="L1012"><v>43358</v></cell><cell r="M1012" t="str"><v>Tier 1</v></cell><cell r="N1012" t="str"><v>EMEA</v></cell><cell r="O1012" t="str"><v>France</v></cell><cell r="P1012" t="str"><v>Trial</v></cell><cell r="Q1012" t="str"><v>Social</v></cell><cell r="R1012" t="str"><v>Azure</v></cell><cell r="S1012" t="str"><v>Apps & Infra</v></cell><cell r="T1012" t="str"><v>Developers & ITI's</v></cell><cell r="U1012" t="str"><v>Developers/ITPros-Azure Direct-Sponsored Post-Video Ad-FBCTCBenefit2inMotion_FRA_14s_RTG Landing Page</v></cell><cell r="V1012" t="str"><v>Behavioral Targeting</v></cell><cell r="W1012" t="str"><v>Video Ad</v></cell><cell r="X1012" t="str"><v>14s</v></cell><cell r="Y1012" t="str"><v>Try it Now</v></cell><cell r="Z1012" t="str"><v>Standard videos</v></cell><cell r="AA1012"><v>43358</v></cell><cell r="AB1012" t="str"><v>FRA_gaPMG_AZR_AZR_Q1_19_AzureDirect-Trial-Social</v></cell><cell r="AC1012"><v>21356941</v></cell><cell r="AD1012"><v>720193</v></cell><cell r="AE1012" t="str"><v>Facebook</v></cell><cell r="AF1012"><v>3654128</v></cell><cell r="AG1012" t="str"><v>Facebook»Developers/ITPros-Azure Direct-Sponsored Post-Video Ad-FBCTCBenefit2inMotion_FRA_14s_RTG Landing Page»1x1»06s»SOC»ALL»CPC»BT»D»UNK»SS»NA»Trials</v></cell><cell r="AH1012"><v>224560875</v></cell><cell r="AI1012" t="str"><v>AZR_FBCTCBenefit2inMotion_FRA_14s_VIA_AZRDirect_French_NA_Facebook_STAN_TIN_T4_1</v></cell><cell r="AJ1012"><v>103259766</v></cell></row><row r="1013"><cell r="D1013" t="str"><v>43358226360001</v></cell><cell r="E1013" t="str"><v>43358104456278Trials</v></cell><cell r="F1013" t="str"><v>DCM</v></cell></row><row r="1013"><cell r="H1013"><v>0</v></cell><cell r="I1013" t="str"><v>Azure Direct</v></cell><cell r="J1013" t="str"><v>Azure Direct</v></cell><cell r="K1013" t="str"><v>September</v></cell><cell r="L1013"><v>43358</v></cell><cell r="M1013" t="str"><v>Tier 1</v></cell><cell r="N1013" t="str"><v>EMEA</v></cell><cell r="O1013" t="str"><v>France</v></cell><cell r="P1013" t="str"><v>Trial</v></cell><cell r="Q1013" t="str"><v>Social</v></cell><cell r="R1013" t="str"><v>Azure</v></cell><cell r="S1013" t="str"><v>Apps & Infra</v></cell><cell r="T1013" t="str"><v>Developers & ITI's</v></cell><cell r="U1013" t="str"><v>ITPros-Azure Direct-Sponsored Post_Trial-Video Ad-Free Account IT Pro - Hybrid</v></cell><cell r="V1013" t="str"><v>Lookalike Targeting</v></cell><cell r="W1013" t="str"><v>Video Ad</v></cell><cell r="X1013" t="str"><v>1200x1200</v></cell><cell r="Y1013" t="str"><v>Learn More</v></cell><cell r="Z1013" t="str"><v>Standard videos</v></cell><cell r="AA1013"><v>43358</v></cell><cell r="AB1013" t="str"><v>FRA_gaPMG_AZR_AZR_Q1_19_AzureDirect-Trial-Social</v></cell><cell r="AC1013"><v>21356941</v></cell><cell r="AD1013"><v>720193</v></cell><cell r="AE1013" t="str"><v>Facebook</v></cell><cell r="AF1013"><v>3654128</v></cell><cell r="AG1013" t="str"><v>Facebook»ITPros-Azure Direct-Sponsored Post_Trial-Video Ad-Free Account IT Pro - Hybrid»1x1»30s»SOC»ALL»CPC»LAL»D»UNK»SS»NA»Trials</v></cell><cell r="AH1013"><v>226360001</v></cell><cell r="AI1013" t="str"><v>AZR_FreeAcctITProFB-AnimatedHybrid-Ch2_FRA_1200x1200_VIA_AZRDirect_French_NA_Facebook_STAN_LEA_T2_1</v></cell><cell r="AJ1013"><v>104456278</v></cell></row><row r="1014"><cell r="D1014" t="str"><v>43358226359938</v></cell><cell r="E1014" t="str"><v>43358104456278Trials</v></cell><cell r="F1014" t="str"><v>DCM</v></cell></row><row r="1014"><cell r="H1014"><v>0</v></cell><cell r="I1014" t="str"><v>Azure Direct</v></cell><cell r="J1014" t="str"><v>Azure Direct</v></cell><cell r="K1014" t="str"><v>September</v></cell><cell r="L1014"><v>43358</v></cell><cell r="M1014" t="str"><v>Tier 1</v></cell><cell r="N1014" t="str"><v>EMEA</v></cell><cell r="O1014" t="str"><v>France</v></cell><cell r="P1014" t="str"><v>Trial</v></cell><cell r="Q1014" t="str"><v>Social</v></cell><cell r="R1014" t="str"><v>Azure</v></cell><cell r="S1014" t="str"><v>Apps & Infra</v></cell><cell r="T1014" t="str"><v>Developers & ITI's</v></cell><cell r="U1014" t="str"><v>ITPros-Azure Direct-Sponsored Post_Trial_PayGo-Video Ad-Free Account IT Pro - Hybrid</v></cell><cell r="V1014" t="str"><v>Lookalike Targeting</v></cell><cell r="W1014" t="str"><v>Video Ad</v></cell><cell r="X1014" t="str"><v>1200x1200</v></cell><cell r="Y1014" t="str"><v>Learn More</v></cell><cell r="Z1014" t="str"><v>Standard videos</v></cell><cell r="AA1014"><v>43358</v></cell><cell r="AB1014" t="str"><v>FRA_gaPMG_AZR_AZR_Q1_19_AzureDirect-Trial-Social</v></cell><cell r="AC1014"><v>21356941</v></cell><cell r="AD1014"><v>720193</v></cell><cell r="AE1014" t="str"><v>Facebook</v></cell><cell r="AF1014"><v>3654128</v></cell><cell r="AG1014" t="str"><v>Facebook»ITPros-Azure Direct-Sponsored Post_Trial_PayGo-Video Ad-Free Account IT Pro - Hybrid»1x1»30s»SOC»ALL»CPC»LAL»D»UNK»SS»NA»Trials</v></cell><cell r="AH1014"><v>226359938</v></cell><cell r="AI1014" t="str"><v>AZR_FreeAcctITProFB-AnimatedHybrid-Ch2_FRA_1200x1200_VIA_AZRDirect_French_NA_Facebook_STAN_LEA_T2_1</v></cell><cell r="AJ1014"><v>104456278</v></cell></row><row r="1015"><cell r="D1015" t="str"><v>43358224369893</v></cell><cell r="E1015" t="str"><v>43358103256571Trials</v></cell><cell r="F1015" t="str"><v>DCM</v></cell></row><row r="1015"><cell r="H1015"><v>6</v></cell><cell r="I1015" t="str"><v>Azure Direct</v></cell><cell r="J1015" t="str"><v>Azure Direct</v></cell><cell r="K1015" t="str"><v>September</v></cell><cell r="L1015"><v>43358</v></cell><cell r="M1015" t="str"><v>Tier 1</v></cell><cell r="N1015" t="str"><v>EMEA</v></cell><cell r="O1015" t="str"><v>France</v></cell><cell r="P1015" t="str"><v>Trial</v></cell><cell r="Q1015" t="str"><v>Social</v></cell><cell r="R1015" t="str"><v>Azure</v></cell><cell r="S1015" t="str"><v>Apps & Infra</v></cell><cell r="T1015" t="str"><v>Developers & ITI's</v></cell><cell r="U1015" t="str"><v>Developers/ITPros-Azure Direct-Sponsored Post-Canvas-FBCTCcanvaspage-BuyNowCTA-Img3_FBCTCBasicMotion_FRA_10sec</v></cell><cell r="V1015" t="str"><v>Behavioral Targeting</v></cell><cell r="W1015" t="str"><v>Canvas Ad</v></cell><cell r="X1015" t="str"><v>1080x162</v></cell><cell r="Y1015" t="str"><v>Buy Now</v></cell><cell r="Z1015" t="str"><v>Static Banner</v></cell><cell r="AA1015"><v>43358</v></cell><cell r="AB1015" t="str"><v>FRA_gaPMG_AZR_AZR_Q1_19_AzureDirect-Trial-Social</v></cell><cell r="AC1015"><v>21356941</v></cell><cell r="AD1015"><v>720193</v></cell><cell r="AE1015" t="str"><v>Facebook</v></cell><cell r="AF1015"><v>3654128</v></cell><cell r="AG1015" t="str"><v>Facebook»Developers/ITPros-Azure Direct-Sponsored Post-Canvas-FBCTCcanvaspage-BuyNowCTA-Img3_FBCTCBasicMotion_FRA_10sec»1x1»Canvas»SOC»ALL»CPC»BT»D»UNK»SS»NA»Trials</v></cell><cell r="AH1015"><v>224369893</v></cell><cell r="AI1015" t="str"><v>AZR_FBCTCcanvaspage-BuyNowCTA-Img3_FRA_1080x162_SOC_AZRDirect_French_NA_Facebook_SBAN_BN_T3_1</v></cell><cell r="AJ1015"><v>103256571</v></cell></row><row r="1016"><cell r="D1016" t="str"><v>43358224560884</v></cell><cell r="E1016" t="str"><v>43358103259958Trials</v></cell><cell r="F1016" t="str"><v>DCM</v></cell></row><row r="1016"><cell r="H1016"><v>0</v></cell><cell r="I1016" t="str"><v>Azure Direct</v></cell><cell r="J1016" t="str"><v>Azure Direct</v></cell><cell r="K1016" t="str"><v>September</v></cell><cell r="L1016"><v>43358</v></cell><cell r="M1016" t="str"><v>Tier 1</v></cell><cell r="N1016" t="str"><v>EMEA</v></cell><cell r="O1016" t="str"><v>France</v></cell><cell r="P1016" t="str"><v>Trial</v></cell><cell r="Q1016" t="str"><v>Social</v></cell><cell r="R1016" t="str"><v>Azure</v></cell><cell r="S1016" t="str"><v>Apps & Infra</v></cell><cell r="T1016" t="str"><v>Developers & ITI's</v></cell><cell r="U1016" t="str"><v>Developers/ITPros-Azure Direct-Sponsored Post-Canvas-FBCTCcanvaspage-StartFreeCTA-Img2_FBCTCBasicMotion_FRA_10sec</v></cell><cell r="V1016" t="str"><v>Behavioral Targeting</v></cell><cell r="W1016" t="str"><v>Canvas Ad</v></cell><cell r="X1016" t="str"><v>1080x143</v></cell><cell r="Y1016" t="str"><v>Buy Now</v></cell><cell r="Z1016" t="str"><v>Static Banner</v></cell><cell r="AA1016"><v>43358</v></cell><cell r="AB1016" t="str"><v>FRA_gaPMG_AZR_AZR_Q1_19_AzureDirect-Trial-Social</v></cell><cell r="AC1016"><v>21356941</v></cell><cell r="AD1016"><v>720193</v></cell><cell r="AE1016" t="str"><v>Facebook</v></cell><cell r="AF1016"><v>3654128</v></cell><cell r="AG1016" t="str"><v>Facebook»Developers/ITPros-Azure Direct-Sponsored Post-Canvas-FBCTCcanvaspage-StartFreeCTA-Img2_FBCTCBasicMotion_FRA_10sec»1x1»Canvas»SOC»ALL»CPC»BT»D»UNK»SS»NA»Trials</v></cell><cell r="AH1016"><v>224560884</v></cell><cell r="AI1016" t="str"><v>AZR_FBCTCcanvaspage-StartFreeCTA-Img2_FRA_1080x143_SOC_AZRDirect_French_NA_Facebook_SBAN_BN_T2_1</v></cell><cell r="AJ1016"><v>103259958</v></cell></row><row r="1017"><cell r="D1017" t="str"><v>43358226359947</v></cell><cell r="E1017" t="str"><v>43358104537813Trials</v></cell><cell r="F1017" t="str"><v>DCM</v></cell></row><row r="1017"><cell r="H1017"><v>0</v></cell><cell r="I1017" t="str"><v>Azure Direct</v></cell><cell r="J1017" t="str"><v>Azure Direct</v></cell><cell r="K1017" t="str"><v>September</v></cell><cell r="L1017"><v>43358</v></cell><cell r="M1017" t="str"><v>Tier 1</v></cell><cell r="N1017" t="str"><v>EMEA</v></cell><cell r="O1017" t="str"><v>France</v></cell><cell r="P1017" t="str"><v>Trial</v></cell><cell r="Q1017" t="str"><v>Social</v></cell><cell r="R1017" t="str"><v>Azure</v></cell><cell r="S1017" t="str"><v>Apps & Infra</v></cell><cell r="T1017" t="str"><v>Developers & ITI's</v></cell><cell r="U1017" t="str"><v>Developers-Azure Direct-Sponsored Post_Trial_PayGo-Video Ad-Free Account Developer - AI</v></cell><cell r="V1017" t="str"><v>Lookalike Targeting</v></cell><cell r="W1017" t="str"><v>Video Ad</v></cell><cell r="X1017" t="str"><v>1200x1200</v></cell><cell r="Y1017" t="str"><v>Learn More</v></cell><cell r="Z1017" t="str"><v>Standard videos</v></cell><cell r="AA1017"><v>43358</v></cell><cell r="AB1017" t="str"><v>FRA_gaPMG_AZR_AZR_Q1_19_AzureDirect-Trial-Social</v></cell><cell r="AC1017"><v>21356941</v></cell><cell r="AD1017"><v>720193</v></cell><cell r="AE1017" t="str"><v>Facebook</v></cell><cell r="AF1017"><v>3654128</v></cell><cell r="AG1017" t="str"><v>Facebook»Developers-Azure Direct-Sponsored Post_Trial_PayGo-Video Ad-Free Account Developer - AI»1x1»30s»SOC»ALL»CPC»LAL»D»UNK»SS»NA»Trials</v></cell><cell r="AH1017"><v>226359947</v></cell><cell r="AI1017" t="str"><v>AZR_FreeAcctDeveloperFB-AnimatedAI-Ch3_FRA_1200x1200_VIA_AZRDirect_French_NA_Facebook_STAN_LEA_T3_1</v></cell><cell r="AJ1017"><v>104537813</v></cell></row><row r="1018"><cell r="D1018" t="str"><v>43358226359953</v></cell><cell r="E1018" t="str"><v>43358104537129Trials</v></cell><cell r="F1018" t="str"><v>DCM</v></cell></row><row r="1018"><cell r="H1018"><v>0</v></cell><cell r="I1018" t="str"><v>Azure Direct</v></cell><cell r="J1018" t="str"><v>Azure Direct</v></cell><cell r="K1018" t="str"><v>September</v></cell><cell r="L1018"><v>43358</v></cell><cell r="M1018" t="str"><v>Tier 1</v></cell><cell r="N1018" t="str"><v>EMEA</v></cell><cell r="O1018" t="str"><v>France</v></cell><cell r="P1018" t="str"><v>Trial</v></cell><cell r="Q1018" t="str"><v>Social</v></cell><cell r="R1018" t="str"><v>Azure</v></cell><cell r="S1018" t="str"><v>Apps & Infra</v></cell><cell r="T1018" t="str"><v>Developers & ITI's</v></cell><cell r="U1018" t="str"><v>Developers-Azure Direct-Sponsored Post_Trial_PayGo-Video Ad-Free Account Developer - Generic</v></cell><cell r="V1018" t="str"><v>Lookalike Targeting</v></cell><cell r="W1018" t="str"><v>Video Ad</v></cell><cell r="X1018" t="str"><v>1200x1200</v></cell><cell r="Y1018" t="str"><v>Learn More</v></cell><cell r="Z1018" t="str"><v>Standard videos</v></cell><cell r="AA1018"><v>43358</v></cell><cell r="AB1018" t="str"><v>FRA_gaPMG_AZR_AZR_Q1_19_AzureDirect-Trial-Social</v></cell><cell r="AC1018"><v>21356941</v></cell><cell r="AD1018"><v>720193</v></cell><cell r="AE1018" t="str"><v>Facebook</v></cell><cell r="AF1018"><v>3654128</v></cell><cell r="AG1018" t="str"><v>Facebook»Developers-Azure Direct-Sponsored Post_Trial_PayGo-Video Ad-Free Account Developer - Generic»1x1»30s»SOC»ALL»CPC»LAL»D»UNK»SS»NA»Trials</v></cell><cell r="AH1018"><v>226359953</v></cell><cell r="AI1018" t="str"><v>AZR_FreeAcctDeveloperFB-AnimatedGeneric-Ch1_FRA_1200x1200_VIA_AZRDirect_French_NA_Facebook_STAN_LEA_T1_1</v></cell><cell r="AJ1018"><v>104537129</v></cell></row><row r="1019"><cell r="D1019" t="str"><v>43358224399962</v></cell><cell r="E1019" t="str"><v>43358103235146Motion</v></cell><cell r="F1019" t="str"><v>DCM</v></cell></row><row r="1019"><cell r="H1019"><v>0</v></cell><cell r="I1019" t="str"><v>Azure Direct</v></cell><cell r="J1019" t="str"><v>Azure Direct</v></cell><cell r="K1019" t="str"><v>September</v></cell><cell r="L1019"><v>43358</v></cell><cell r="M1019" t="str"><v>Tier 1</v></cell><cell r="N1019" t="str"><v>EMEA</v></cell><cell r="O1019" t="str"><v>United Kingdom</v></cell><cell r="P1019" t="str"><v>Trial</v></cell><cell r="Q1019" t="str"><v>Social</v></cell><cell r="R1019" t="str"><v>Azure</v></cell><cell r="S1019" t="str"><v>Apps & Infra</v></cell><cell r="T1019" t="str"><v>Developers & ITI's</v></cell><cell r="U1019" t="str"><v>Audience & Interest Targeting</v></cell><cell r="V1019" t="str"><v>Audience Targeting</v></cell><cell r="W1019" t="str"><v>Link Ad</v></cell><cell r="X1019" t="str"><v>1080x143</v></cell><cell r="Y1019" t="str"><v>Not Applicable </v></cell><cell r="Z1019" t="str"><v>Not Applicable</v></cell><cell r="AA1019"><v>43358</v></cell><cell r="AB1019" t="str"><v>GBR_gaPMG_CE_AZR_Q1_19_Trial-Social</v></cell><cell r="AC1019"><v>21337013</v></cell><cell r="AD1019"><v>720196</v></cell><cell r="AE1019" t="str"><v>Facebook</v></cell><cell r="AF1019"><v>3654128</v></cell><cell r="AG1019" t="str"><v>Facebook»Audience & Interest Targeting»1x1»SocialBan»LIA»DT»CPC»AUT»W»NA»SS»NA»Basic Motion</v></cell><cell r="AH1019"><v>224399962</v></cell><cell r="AI1019" t="str"><v>AzurePlatform_FBCTCcanvaspage-StartFreeCTA-Img2_GBR_1080x143 _SOC_Plat_English_NA_Standard_NA_NA_T2_1</v></cell><cell r="AJ1019"><v>103235146</v></cell></row><row r="1020"><cell r="D1020" t="str"><v>43358224334170</v></cell><cell r="E1020" t="str"><v>43358103235146Motion</v></cell><cell r="F1020" t="str"><v>DCM</v></cell></row><row r="1020"><cell r="H1020"><v>0</v></cell><cell r="I1020" t="str"><v>Azure Direct</v></cell><cell r="J1020" t="str"><v>Azure Direct</v></cell><cell r="K1020" t="str"><v>September</v></cell><cell r="L1020"><v>43358</v></cell><cell r="M1020" t="str"><v>Tier 1</v></cell><cell r="N1020" t="str"><v>EMEA</v></cell><cell r="O1020" t="str"><v>United Kingdom</v></cell><cell r="P1020" t="str"><v>Trial</v></cell><cell r="Q1020" t="str"><v>Social</v></cell><cell r="R1020" t="str"><v>Azure</v></cell><cell r="S1020" t="str"><v>Apps & Infra</v></cell><cell r="T1020" t="str"><v>Developers & ITI's</v></cell><cell r="U1020" t="str"><v>Audience & Interest Targeting</v></cell><cell r="V1020" t="str"><v>Audience Targeting</v></cell><cell r="W1020" t="str"><v>Link Ad</v></cell><cell r="X1020" t="str"><v>1080x143</v></cell><cell r="Y1020" t="str"><v>Not Applicable </v></cell><cell r="Z1020" t="str"><v>Not Applicable</v></cell><cell r="AA1020"><v>43358</v></cell><cell r="AB1020" t="str"><v>GBR_gaPMG_CE_AZR_Q1_19_Trial-Social</v></cell><cell r="AC1020"><v>21337013</v></cell><cell r="AD1020"><v>720196</v></cell><cell r="AE1020" t="str"><v>Facebook</v></cell><cell r="AF1020"><v>3654128</v></cell><cell r="AG1020" t="str"><v>Facebook»Audience & Interest Targeting»1x1»SocialBan»LIA»DT»CPC»AUT»W»NA»SS»NA»Benefit 2 in Motion</v></cell><cell r="AH1020"><v>224334170</v></cell><cell r="AI1020" t="str"><v>AzurePlatform_FBCTCcanvaspage-StartFreeCTA-Img2_GBR_1080x143 _SOC_Plat_English_NA_Standard_NA_NA_T2_1</v></cell><cell r="AJ1020"><v>103235146</v></cell></row><row r="1021"><cell r="D1021" t="str"><v>43358224334170</v></cell><cell r="E1021" t="str"><v>43358103230847Motion</v></cell><cell r="F1021" t="str"><v>DCM</v></cell></row><row r="1021"><cell r="H1021"><v>0</v></cell><cell r="I1021" t="str"><v>Azure Direct</v></cell><cell r="J1021" t="str"><v>Azure Direct</v></cell><cell r="K1021" t="str"><v>September</v></cell><cell r="L1021"><v>43358</v></cell><cell r="M1021" t="str"><v>Tier 1</v></cell><cell r="N1021" t="str"><v>EMEA</v></cell><cell r="O1021" t="str"><v>United Kingdom</v></cell><cell r="P1021" t="str"><v>Trial</v></cell><cell r="Q1021" t="str"><v>Social</v></cell><cell r="R1021" t="str"><v>Azure</v></cell><cell r="S1021" t="str"><v>Apps & Infra</v></cell><cell r="T1021" t="str"><v>Developers & ITI's</v></cell><cell r="U1021" t="str"><v>Audience & Interest Targeting</v></cell><cell r="V1021" t="str"><v>Audience Targeting</v></cell><cell r="W1021" t="str"><v>Link Ad</v></cell><cell r="X1021" t="str"><v>1080x162</v></cell><cell r="Y1021" t="str"><v>Buy Now</v></cell><cell r="Z1021" t="str"><v>Not Applicable</v></cell><cell r="AA1021"><v>43358</v></cell><cell r="AB1021" t="str"><v>GBR_gaPMG_CE_AZR_Q1_19_Trial-Social</v></cell><cell r="AC1021"><v>21337013</v></cell><cell r="AD1021"><v>720196</v></cell><cell r="AE1021" t="str"><v>Facebook</v></cell><cell r="AF1021"><v>3654128</v></cell><cell r="AG1021" t="str"><v>Facebook»Audience & Interest Targeting»1x1»SocialBan»LIA»DT»CPC»AUT»W»NA»SS»NA»Benefit 2 in Motion</v></cell><cell r="AH1021"><v>224334170</v></cell><cell r="AI1021" t="str"><v>AzurePlatform_FBCTCcanvaspage-BuyNowCTA-Img3_GBR_1080x162_SOC_Plat_English_NA_Standard_NA_BN_T3_1</v></cell><cell r="AJ1021"><v>103230847</v></cell></row><row r="1022"><cell r="D1022" t="str"><v>43358223560299</v></cell><cell r="E1022" t="str"><v>43358102854019ed ChC</v></cell><cell r="F1022" t="str"><v>DCM</v></cell></row><row r="1022"><cell r="H1022"><v>1</v></cell><cell r="I1022" t="str"><v>Azure Direct</v></cell><cell r="J1022" t="str"><v>Azure Direct</v></cell><cell r="K1022" t="str"><v>September</v></cell><cell r="L1022"><v>43358</v></cell><cell r="M1022" t="str"><v>Tier 1</v></cell><cell r="N1022" t="str"><v>EMEA</v></cell><cell r="O1022" t="str"><v>United Kingdom</v></cell><cell r="P1022" t="str"><v>Trial</v></cell><cell r="Q1022" t="str"><v>Social</v></cell><cell r="R1022" t="str"><v>Azure</v></cell><cell r="S1022" t="str"><v>Apps & Infra</v></cell><cell r="T1022" t="str"><v>Developers & ITI's</v></cell><cell r="U1022" t="str"><v>Retargeting</v></cell><cell r="V1022" t="str"><v>Retargeting</v></cell><cell r="W1022" t="str"><v>Link Ad</v></cell><cell r="X1022" t="str"><v>1200x628</v></cell></row><row r="1022"><cell r="Z1022" t="str"><v>Animated Banner</v></cell><cell r="AA1022"><v>43358</v></cell><cell r="AB1022" t="str"><v>GBR_gaPMG_CE_AZR_Q1_19_Trial-Social</v></cell><cell r="AC1022"><v>21337013</v></cell><cell r="AD1022"><v>720196</v></cell><cell r="AE1022" t="str"><v>Facebook</v></cell><cell r="AF1022"><v>3654128</v></cell><cell r="AG1022" t="str"><v>Facebook»Retargeting»1x1»SocialBan»LIA»DT»DYN»RT»W»NA»SS»NA»Free Account Retargeting Generic- Animated ChC</v></cell><cell r="AH1022"><v>223560299</v></cell><cell r="AI1022" t="str"><v>AzurePlatform_FreeAcctRetargetingFB-Animated-ChC_GBR_1200x628_SOC_Plat_EN_Free Account_Standard_ANI_SU_T3_1</v></cell><cell r="AJ1022"><v>102854019</v></cell></row><row r="1023"><cell r="D1023" t="str"><v>43358223560356</v></cell><cell r="E1023" t="str"><v>43358102854016lt ChB</v></cell><cell r="F1023" t="str"><v>DCM</v></cell></row><row r="1023"><cell r="H1023"><v>1</v></cell><cell r="I1023" t="str"><v>Azure Direct</v></cell><cell r="J1023" t="str"><v>Azure Direct</v></cell><cell r="K1023" t="str"><v>September</v></cell><cell r="L1023"><v>43358</v></cell><cell r="M1023" t="str"><v>Tier 1</v></cell><cell r="N1023" t="str"><v>EMEA</v></cell><cell r="O1023" t="str"><v>United Kingdom</v></cell><cell r="P1023" t="str"><v>Trial</v></cell><cell r="Q1023" t="str"><v>Social</v></cell><cell r="R1023" t="str"><v>Azure</v></cell><cell r="S1023" t="str"><v>Apps & Infra</v></cell><cell r="T1023" t="str"><v>Developers & ITI's</v></cell><cell r="U1023" t="str"><v>Retargeting</v></cell><cell r="V1023" t="str"><v>Retargeting</v></cell><cell r="W1023" t="str"><v>Link Ad</v></cell><cell r="X1023" t="str"><v>1200x628</v></cell></row><row r="1023"><cell r="Z1023" t="str"><v>Not Applicable</v></cell><cell r="AA1023"><v>43358</v></cell><cell r="AB1023" t="str"><v>GBR_gaPMG_CE_AZR_Q1_19_Trial-Social</v></cell><cell r="AC1023"><v>21337013</v></cell><cell r="AD1023"><v>720196</v></cell><cell r="AE1023" t="str"><v>Facebook</v></cell><cell r="AF1023"><v>3654128</v></cell><cell r="AG1023" t="str"><v>Facebook»Retargeting»1x1»SocialBan»LIA»DT»DYN»RT»W»NA»SS»NA»Free Account Retargeting Generic- Global Alt ChB</v></cell><cell r="AH1023"><v>223560356</v></cell><cell r="AI1023" t="str"><v>AzurePlatform_FreeAcctRetargetingFB-GlobalAlt-ChB_GBR_1200x628_SOC_Plat_EN_Free Account_Standard_NA_SU_T2_1</v></cell><cell r="AJ1023"><v>102854016</v></cell></row><row r="1024"><cell r="D1024" t="str"><v>43358223560350</v></cell><cell r="E1024" t="str"><v>43358103006547os ChG</v></cell><cell r="F1024" t="str"><v>DCM</v></cell></row><row r="1024"><cell r="H1024"><v>3</v></cell><cell r="I1024" t="str"><v>Azure Direct</v></cell><cell r="J1024" t="str"><v>Azure Direct</v></cell><cell r="K1024" t="str"><v>September</v></cell><cell r="L1024"><v>43358</v></cell><cell r="M1024" t="str"><v>Tier 1</v></cell><cell r="N1024" t="str"><v>EMEA</v></cell><cell r="O1024" t="str"><v>United Kingdom</v></cell><cell r="P1024" t="str"><v>Trial</v></cell><cell r="Q1024" t="str"><v>Social</v></cell><cell r="R1024" t="str"><v>Azure</v></cell><cell r="S1024" t="str"><v>Apps & Infra</v></cell><cell r="T1024" t="str"><v>Developers & ITI's</v></cell><cell r="U1024" t="str"><v>Retargeting</v></cell><cell r="V1024" t="str"><v>Retargeting</v></cell><cell r="W1024" t="str"><v>Link Ad</v></cell><cell r="X1024" t="str"><v>1200x628</v></cell></row><row r="1024"><cell r="Z1024" t="str"><v>Not Applicable</v></cell><cell r="AA1024"><v>43358</v></cell><cell r="AB1024" t="str"><v>GBR_gaPMG_CE_AZR_Q1_19_Trial-Social</v></cell><cell r="AC1024"><v>21337013</v></cell><cell r="AD1024"><v>720196</v></cell><cell r="AE1024" t="str"><v>Facebook</v></cell><cell r="AF1024"><v>3654128</v></cell><cell r="AG1024" t="str"><v>Facebook»Retargeting»1x1»SocialBan»LIA»DT»DYN»RT»W»NA»SS»NA»Free Account Retargeting OSS- Logos ChG</v></cell><cell r="AH1024"><v>223560350</v></cell><cell r="AI1024" t="str"><v>AzurePlatform_FreeAcctRetargetingOSSFB-Logos-ChG_GBR_1200x628_SOC_Plat_EN_Free Account_Standard_NA_SU_T2_1</v></cell><cell r="AJ1024"><v>103006547</v></cell></row><row r="1025"><cell r="D1025" t="str"><v>43358223560344</v></cell><cell r="E1025" t="str"><v>43358102861246xt ChF</v></cell><cell r="F1025" t="str"><v>DCM</v></cell></row><row r="1025"><cell r="H1025"><v>0</v></cell><cell r="I1025" t="str"><v>Azure Direct</v></cell><cell r="J1025" t="str"><v>Azure Direct</v></cell><cell r="K1025" t="str"><v>September</v></cell><cell r="L1025"><v>43358</v></cell><cell r="M1025" t="str"><v>Tier 1</v></cell><cell r="N1025" t="str"><v>EMEA</v></cell><cell r="O1025" t="str"><v>United Kingdom</v></cell><cell r="P1025" t="str"><v>Trial</v></cell><cell r="Q1025" t="str"><v>Social</v></cell><cell r="R1025" t="str"><v>Azure</v></cell><cell r="S1025" t="str"><v>Apps & Infra</v></cell><cell r="T1025" t="str"><v>Developers & ITI's</v></cell><cell r="U1025" t="str"><v>Retargeting</v></cell><cell r="V1025" t="str"><v>Retargeting</v></cell><cell r="W1025" t="str"><v>Link Ad</v></cell><cell r="X1025" t="str"><v>1200x628</v></cell></row><row r="1025"><cell r="Z1025" t="str"><v>Not Applicable</v></cell><cell r="AA1025"><v>43358</v></cell><cell r="AB1025" t="str"><v>GBR_gaPMG_CE_AZR_Q1_19_Trial-Social</v></cell><cell r="AC1025"><v>21337013</v></cell><cell r="AD1025"><v>720196</v></cell><cell r="AE1025" t="str"><v>Facebook</v></cell><cell r="AF1025"><v>3654128</v></cell><cell r="AG1025" t="str"><v>Facebook»Retargeting»1x1»SocialBan»LIA»DT»DYN»RT»W»NA»SS»NA»Free Account Retargeting OSS- Text ChF</v></cell><cell r="AH1025"><v>223560344</v></cell><cell r="AI1025" t="str"><v>AzurePlatform_FreeAcctRetargetingOSSFB-Text-ChF_GBR_1200x628_SOC_Plat_EN_Free Account_Standard_NA_SU_T1_1</v></cell><cell r="AJ1025"><v>102861246</v></cell></row><row r="1026"><cell r="D1026" t="str"><v>43358223560338</v></cell><cell r="E1026" t="str"><v>43358102853603rs ChD</v></cell><cell r="F1026" t="str"><v>DCM</v></cell></row><row r="1026"><cell r="H1026"><v>1</v></cell><cell r="I1026" t="str"><v>Azure Direct</v></cell><cell r="J1026" t="str"><v>Azure Direct</v></cell><cell r="K1026" t="str"><v>September</v></cell><cell r="L1026"><v>43358</v></cell><cell r="M1026" t="str"><v>Tier 1</v></cell><cell r="N1026" t="str"><v>EMEA</v></cell><cell r="O1026" t="str"><v>United Kingdom</v></cell><cell r="P1026" t="str"><v>Trial</v></cell><cell r="Q1026" t="str"><v>Social</v></cell><cell r="R1026" t="str"><v>Azure</v></cell><cell r="S1026" t="str"><v>Apps & Infra</v></cell><cell r="T1026" t="str"><v>Developers & ITI's</v></cell><cell r="U1026" t="str"><v>Retargeting</v></cell><cell r="V1026" t="str"><v>Retargeting</v></cell><cell r="W1026" t="str"><v>Link Ad</v></cell><cell r="X1026" t="str"><v>1200x628</v></cell></row><row r="1026"><cell r="Z1026" t="str"><v>Not Applicable</v></cell><cell r="AA1026"><v>43358</v></cell><cell r="AB1026" t="str"><v>GBR_gaPMG_CE_AZR_Q1_19_Trial-Social</v></cell><cell r="AC1026"><v>21337013</v></cell><cell r="AD1026"><v>720196</v></cell><cell r="AE1026" t="str"><v>Facebook</v></cell><cell r="AF1026"><v>3654128</v></cell><cell r="AG1026" t="str"><v>Facebook»Retargeting»1x1»SocialBan»LIA»DT»DYN»RT»W»NA»SS»NA»Free Account Retargeting VM- 750 Hrs ChD</v></cell><cell r="AH1026"><v>223560338</v></cell><cell r="AI1026" t="str"><v>AzurePlatform_FreeAcctRetargetingVMFB-750Hrs-ChD_GBR_1200x628_SOC_Plat_EN_Free Account_Standard_NA_SU_T1_1</v></cell><cell r="AJ1026"><v>102853603</v></cell></row><row r="1027"><cell r="D1027" t="str"><v>43358223560332</v></cell><cell r="E1027" t="str"><v>43358102854037nd ChE</v></cell><cell r="F1027" t="str"><v>DCM</v></cell></row><row r="1027"><cell r="H1027"><v>1</v></cell><cell r="I1027" t="str"><v>Azure Direct</v></cell><cell r="J1027" t="str"><v>Azure Direct</v></cell><cell r="K1027" t="str"><v>September</v></cell><cell r="L1027"><v>43358</v></cell><cell r="M1027" t="str"><v>Tier 1</v></cell><cell r="N1027" t="str"><v>EMEA</v></cell><cell r="O1027" t="str"><v>United Kingdom</v></cell><cell r="P1027" t="str"><v>Trial</v></cell><cell r="Q1027" t="str"><v>Social</v></cell><cell r="R1027" t="str"><v>Azure</v></cell><cell r="S1027" t="str"><v>Apps & Infra</v></cell><cell r="T1027" t="str"><v>Developers & ITI's</v></cell><cell r="U1027" t="str"><v>Retargeting</v></cell><cell r="V1027" t="str"><v>Retargeting</v></cell><cell r="W1027" t="str"><v>Link Ad</v></cell><cell r="X1027" t="str"><v>1200x628</v></cell></row><row r="1027"><cell r="Z1027" t="str"><v>Not Applicable</v></cell><cell r="AA1027"><v>43358</v></cell><cell r="AB1027" t="str"><v>GBR_gaPMG_CE_AZR_Q1_19_Trial-Social</v></cell><cell r="AC1027"><v>21337013</v></cell><cell r="AD1027"><v>720196</v></cell><cell r="AE1027" t="str"><v>Facebook</v></cell><cell r="AF1027"><v>3654128</v></cell><cell r="AG1027" t="str"><v>Facebook»Retargeting»1x1»SocialBan»LIA»DT»DYN»RT»W»NA»SS»NA»Free Account Retargeting VM- On Demand ChE</v></cell><cell r="AH1027"><v>223560332</v></cell><cell r="AI1027" t="str"><v>AzurePlatform_FreeAcctRetargetingVMFB-OnDemand-ChE_GBR_1200x628_SOC_Plat_EN_Free Account_Standard_NA_SU_T2_1</v></cell><cell r="AJ1027"><v>102854037</v></cell></row><row r="1028"><cell r="D1028" t="str"><v>43358224549481</v></cell><cell r="E1028" t="str"><v>43358103235146Motion</v></cell><cell r="F1028" t="str"><v>DCM</v></cell></row><row r="1028"><cell r="H1028"><v>0</v></cell><cell r="I1028" t="str"><v>Azure Direct</v></cell><cell r="J1028" t="str"><v>Azure Direct</v></cell><cell r="K1028" t="str"><v>September</v></cell><cell r="L1028"><v>43358</v></cell><cell r="M1028" t="str"><v>Tier 1</v></cell><cell r="N1028" t="str"><v>EMEA</v></cell><cell r="O1028" t="str"><v>United Kingdom</v></cell><cell r="P1028" t="str"><v>Trial</v></cell><cell r="Q1028" t="str"><v>Social</v></cell><cell r="R1028" t="str"><v>Azure</v></cell><cell r="S1028" t="str"><v>Apps & Infra</v></cell><cell r="T1028" t="str"><v>Developers & ITI's</v></cell><cell r="U1028" t="str"><v>Audience & Interest Targeting</v></cell><cell r="V1028" t="str"><v>Audience Targeting</v></cell><cell r="W1028" t="str"><v>Link Ad</v></cell><cell r="X1028" t="str"><v>1080x143</v></cell><cell r="Y1028" t="str"><v>Not Applicable </v></cell><cell r="Z1028" t="str"><v>Not Applicable</v></cell><cell r="AA1028"><v>43358</v></cell><cell r="AB1028" t="str"><v>GBR_gaPMG_CE_AZR_Q1_19_Trial-Social</v></cell><cell r="AC1028"><v>21337013</v></cell><cell r="AD1028"><v>720196</v></cell><cell r="AE1028" t="str"><v>Facebook</v></cell><cell r="AF1028"><v>3654128</v></cell><cell r="AG1028" t="str"><v>Facebook»Audience & Interest Targeting»1x1»SocialBan»LIA»DT»CPC»AUT»W»NA»SS»NA»Brand in Motion</v></cell><cell r="AH1028"><v>224549481</v></cell><cell r="AI1028" t="str"><v>AzurePlatform_FBCTCcanvaspage-StartFreeCTA-Img2_GBR_1080x143 _SOC_Plat_English_NA_Standard_NA_NA_T2_1</v></cell><cell r="AJ1028"><v>103235146</v></cell></row><row r="1029"><cell r="D1029" t="str"><v>43358223560347</v></cell><cell r="E1029" t="str"><v>43358102857037on ChC</v></cell><cell r="F1029" t="str"><v>DCM</v></cell></row><row r="1029"><cell r="H1029"><v>0</v></cell><cell r="I1029" t="str"><v>Azure Direct</v></cell><cell r="J1029" t="str"><v>Azure Direct</v></cell><cell r="K1029" t="str"><v>September</v></cell><cell r="L1029"><v>43358</v></cell><cell r="M1029" t="str"><v>Tier 1</v></cell><cell r="N1029" t="str"><v>EMEA</v></cell><cell r="O1029" t="str"><v>United Kingdom</v></cell><cell r="P1029" t="str"><v>Trial</v></cell><cell r="Q1029" t="str"><v>Social</v></cell><cell r="R1029" t="str"><v>Azure</v></cell><cell r="S1029" t="str"><v>Apps & Infra</v></cell><cell r="T1029" t="str"><v>Developers & ITI's</v></cell><cell r="U1029" t="str"><v>Audience & Interest Targeting</v></cell><cell r="V1029" t="str"><v>Audience Targeting</v></cell><cell r="W1029" t="str"><v>Link Ad</v></cell><cell r="X1029" t="str"><v>1200x628</v></cell></row><row r="1029"><cell r="Z1029" t="str"><v>Not Applicable</v></cell><cell r="AA1029"><v>43358</v></cell><cell r="AB1029" t="str"><v>GBR_gaPMG_CE_AZR_Q1_19_Trial-Social</v></cell><cell r="AC1029"><v>21337013</v></cell><cell r="AD1029"><v>720196</v></cell><cell r="AE1029" t="str"><v>Facebook</v></cell><cell r="AF1029"><v>3654128</v></cell><cell r="AG1029" t="str"><v>Facebook»Audience & Interest Targeting»1x1»SocialBan»LIA»DT»DYN»AUT»W»NA»SS»NA»Free Account Refresh- Illustration ChC</v></cell><cell r="AH1029"><v>223560347</v></cell><cell r="AI1029" t="str"><v>AzurePlatform_FreeAcctAppsFACEBOOKIllustrationChC_GBR_1200x628_SOC_PLAT_EN_Trial_Standard_NA_SU_T3_1</v></cell><cell r="AJ1029"><v>102857037</v></cell></row><row r="1030"><cell r="D1030" t="str"><v>43358223298805</v></cell><cell r="E1030" t="str"><v>43358102609621-Trial</v></cell><cell r="F1030" t="str"><v>DCM</v></cell></row><row r="1030"><cell r="H1030"><v>0</v></cell><cell r="I1030" t="str"><v>Azure Direct</v></cell><cell r="J1030" t="str"><v>Azure Direct</v></cell><cell r="K1030" t="str"><v>September</v></cell><cell r="L1030"><v>43358</v></cell><cell r="M1030" t="str"><v>Tier 1</v></cell><cell r="N1030" t="str"><v>APAC</v></cell><cell r="O1030" t="str"><v>Japan</v></cell><cell r="P1030" t="str"><v>Trial</v></cell><cell r="Q1030" t="str"><v>Social</v></cell><cell r="R1030" t="str"><v>Azure</v></cell><cell r="S1030" t="str"><v>Apps & Infra</v></cell><cell r="T1030" t="str"><v>Developers & ITI's</v></cell><cell r="U1030" t="str"><v>AZP-Canvas-Interest&Role-Trial</v></cell><cell r="V1030" t="str"><v>Prospecting</v></cell><cell r="W1030" t="str"><v>Canvas Ad</v></cell><cell r="X1030" t="str"><v>1080x143</v></cell><cell r="Y1030" t="str"><v>Not Applicable </v></cell><cell r="Z1030" t="str"><v>Not Applicable</v></cell><cell r="AA1030"><v>43358</v></cell><cell r="AB1030" t="str"><v>JPN_gaPMG_AZR_AZR_Q1_19_Trial-Social</v></cell><cell r="AC1030"><v>21276694</v></cell><cell r="AD1030"><v>720195</v></cell><cell r="AE1030" t="str"><v>Facebook</v></cell><cell r="AF1030"><v>3654128</v></cell><cell r="AG1030" t="str"><v>Facebook»AZP-Canvas-Interest&Role-Trial»1x1»Canvas»OTH»MO»CPM»PRO»X»UNK»TP»OT»Canvas-Trial</v></cell><cell r="AH1030"><v>223298805</v></cell><cell r="AI1030" t="str"><v>AzurePlatform_FBCTCcanvaspage-StartFreeCTA-Img2_JPN_1080x143 _SOC_Plat_Japanese_NA_Standard_NA_NA_T2_1</v></cell><cell r="AJ1030"><v>102609621</v></cell></row><row r="1031"><cell r="D1031" t="str"><v>43358226269941</v></cell><cell r="E1031" t="str"><v>43358104061321-Trial</v></cell><cell r="F1031" t="str"><v>DCM</v></cell></row><row r="1031"><cell r="H1031"><v>0</v></cell><cell r="I1031" t="str"><v>Azure Direct</v></cell><cell r="J1031" t="str"><v>Azure Direct</v></cell><cell r="K1031" t="str"><v>September</v></cell><cell r="L1031"><v>43358</v></cell><cell r="M1031" t="str"><v>Tier 1</v></cell><cell r="N1031" t="str"><v>APAC</v></cell><cell r="O1031" t="str"><v>Japan</v></cell><cell r="P1031" t="str"><v>Trial</v></cell><cell r="Q1031" t="str"><v>Social</v></cell><cell r="R1031" t="str"><v>Azure</v></cell><cell r="S1031" t="str"><v>Apps & Infra</v></cell><cell r="T1031" t="str"><v>Developers & ITI's</v></cell><cell r="U1031" t="str"><v>AZP-Canvas-Retargeting-Trial</v></cell><cell r="V1031" t="str"><v>Prospecting</v></cell><cell r="W1031" t="str"><v>Canvas Ad</v></cell><cell r="X1031" t="str"><v>1080x143</v></cell><cell r="Y1031" t="str"><v>Not Applicable </v></cell><cell r="Z1031" t="str"><v>Not Applicable</v></cell><cell r="AA1031"><v>43358</v></cell><cell r="AB1031" t="str"><v>JPN_gaPMG_AZR_AZR_Q1_19_Trial-Social</v></cell><cell r="AC1031"><v>21276694</v></cell><cell r="AD1031"><v>720195</v></cell><cell r="AE1031" t="str"><v>Facebook</v></cell><cell r="AF1031"><v>3654128</v></cell><cell r="AG1031" t="str"><v>Facebook»AZP-Canvas-Retargeting-Trial»1x1»Canvas»SOC»MO»CPM»PRO»W»UNK»SS»OT»Canvas-Trial</v></cell><cell r="AH1031"><v>226269941</v></cell><cell r="AI1031" t="str"><v>AZR_FBCTCcanvaspage-StartFreeCTA-Img2_JPN_1080x143 _SOC_Plat_Japanese_NA_Standard_NA_NA_T2_1</v></cell><cell r="AJ1031"><v>104061321</v></cell></row><row r="1032"><cell r="D1032" t="str"><v>43358227208508</v></cell><cell r="E1032" t="str"><v>43358102609621-Trial</v></cell><cell r="F1032" t="str"><v>DCM</v></cell></row><row r="1032"><cell r="H1032"><v>0</v></cell><cell r="I1032" t="str"><v>Azure Direct</v></cell><cell r="J1032" t="str"><v>Azure Direct</v></cell><cell r="K1032" t="str"><v>September</v></cell><cell r="L1032"><v>43358</v></cell><cell r="M1032" t="str"><v>Tier 1</v></cell><cell r="N1032" t="str"><v>APAC</v></cell><cell r="O1032" t="str"><v>Japan</v></cell><cell r="P1032" t="str"><v>Trial</v></cell><cell r="Q1032" t="str"><v>Social</v></cell><cell r="R1032" t="str"><v>Azure</v></cell><cell r="S1032" t="str"><v>Apps & Infra</v></cell><cell r="T1032" t="str"><v>Developers & ITI's</v></cell><cell r="U1032" t="str"><v>AZP-Canvas-iine-Trial</v></cell><cell r="V1032" t="str"><v>Audience Targeting</v></cell><cell r="W1032" t="str"><v>Canvas Ad</v></cell><cell r="X1032" t="str"><v>1080x143</v></cell><cell r="Y1032" t="str"><v>Not Applicable </v></cell><cell r="Z1032" t="str"><v>Not Applicable</v></cell><cell r="AA1032"><v>43358</v></cell><cell r="AB1032" t="str"><v>JPN_gaPMG_AZR_AZR_Q1_19_Trial-Social</v></cell><cell r="AC1032"><v>21276694</v></cell><cell r="AD1032"><v>720195</v></cell><cell r="AE1032" t="str"><v>Facebook</v></cell><cell r="AF1032"><v>3654128</v></cell><cell r="AG1032" t="str"><v>Facebook»AZP-Canvas-iine-Trial»1x1»Canvas»SOC»MO»CPM»AUT»W»NA»SS»NA»Canvas-Trial</v></cell><cell r="AH1032"><v>227208508</v></cell><cell r="AI1032" t="str"><v>AzurePlatform_FBCTCcanvaspage-StartFreeCTA-Img2_JPN_1080x143 _SOC_Plat_Japanese_NA_Standard_NA_NA_T2_1</v></cell><cell r="AJ1032"><v>102609621</v></cell></row><row r="1033"><cell r="D1033" t="str"><v>43358223297413</v></cell><cell r="E1033" t="str"><v>43358102609621-Trial</v></cell><cell r="F1033" t="str"><v>DCM</v></cell></row><row r="1033"><cell r="H1033"><v>0</v></cell><cell r="I1033" t="str"><v>Azure Direct</v></cell><cell r="J1033" t="str"><v>Azure Direct</v></cell><cell r="K1033" t="str"><v>September</v></cell><cell r="L1033"><v>43358</v></cell><cell r="M1033" t="str"><v>Tier 1</v></cell><cell r="N1033" t="str"><v>APAC</v></cell><cell r="O1033" t="str"><v>Japan</v></cell><cell r="P1033" t="str"><v>Trial</v></cell><cell r="Q1033" t="str"><v>Social</v></cell><cell r="R1033" t="str"><v>Azure</v></cell><cell r="S1033" t="str"><v>Apps & Infra</v></cell><cell r="T1033" t="str"><v>Developers & ITI's</v></cell><cell r="U1033" t="str"><v>AZP-Canvas-Look a Like-Trial</v></cell><cell r="V1033" t="str"><v>Prospecting</v></cell><cell r="W1033" t="str"><v>Canvas Ad</v></cell><cell r="X1033" t="str"><v>1080x143</v></cell><cell r="Y1033" t="str"><v>Not Applicable </v></cell><cell r="Z1033" t="str"><v>Not Applicable</v></cell><cell r="AA1033"><v>43358</v></cell><cell r="AB1033" t="str"><v>JPN_gaPMG_AZR_AZR_Q1_19_Trial-Social</v></cell><cell r="AC1033"><v>21276694</v></cell><cell r="AD1033"><v>720195</v></cell><cell r="AE1033" t="str"><v>Facebook</v></cell><cell r="AF1033"><v>3654128</v></cell><cell r="AG1033" t="str"><v>Facebook»AZP-Canvas-Look a Like-Trial»1x1»Canvas»OTH»MO»CPM»PRO»X»UNK»TP»OT»Canvas-Trial</v></cell><cell r="AH1033"><v>223297413</v></cell><cell r="AI1033" t="str"><v>AzurePlatform_FBCTCcanvaspage-StartFreeCTA-Img2_JPN_1080x143 _SOC_Plat_Japanese_NA_Standard_NA_NA_T2_1</v></cell><cell r="AJ1033"><v>102609621</v></cell></row><row r="1034"><cell r="D1034" t="str"><v>43358223933138</v></cell><cell r="E1034" t="str"><v>43358103043835PRC1SW</v></cell><cell r="F1034" t="str"><v>DCM</v></cell></row><row r="1034"><cell r="H1034"><v>0</v></cell><cell r="I1034" t="str"><v>Azure Direct</v></cell><cell r="J1034" t="str"><v>Azure Direct</v></cell><cell r="K1034" t="str"><v>September</v></cell><cell r="L1034"><v>43358</v></cell><cell r="M1034" t="str"><v>Tier 0</v></cell><cell r="N1034" t="str"><v>North America</v></cell><cell r="O1034" t="str"><v>United States</v></cell><cell r="P1034" t="str"><v>Trial</v></cell><cell r="Q1034" t="str"><v>Social</v></cell><cell r="R1034" t="str"><v>Azure</v></cell><cell r="S1034" t="str"><v>Apps & Infra</v></cell><cell r="T1034" t="str"><v>Developers & ITI's</v></cell><cell r="U1034" t="str"><v>USA-Trial-ITD-Interest Prospecting-AZR-AZR</v></cell><cell r="V1034" t="str"><v>Prospecting</v></cell><cell r="W1034" t="str"><v>Canvas Ad</v></cell><cell r="X1034" t="str"><v>10s</v></cell><cell r="Y1034" t="str"><v>Try it Now</v></cell><cell r="Z1034" t="str"><v>Standard videos</v></cell><cell r="AA1034"><v>43358</v></cell><cell r="AB1034" t="str"><v>USA_gaPMG_AZR_AZR_Q1_19_Direct-Social</v></cell><cell r="AC1034"><v>21358715</v></cell><cell r="AD1034"><v>720197</v></cell><cell r="AE1034" t="str"><v>Facebook</v></cell><cell r="AF1034"><v>3654128</v></cell><cell r="AG1034" t="str"><v>FACEBOOK»USA-Trial-ITD-Interest Prospecting-AZR-AZR»1 x 1»SocialBan»CAN»ALL»CPA»PRO»X»NA»SS»NA»FBCTCBenefit2inMotion»PRC1SW</v></cell><cell r="AH1034"><v>223933138</v></cell><cell r="AI1034" t="str"><v>AzurePlatform_FBCTCBenefit2inMotion_USA_10s_CAN_PLATFORM_English_Trial_Standard_STAN_TIN_T4_1</v></cell><cell r="AJ1034"><v>103043835</v></cell></row><row r="1035"><cell r="D1035" t="str"><v>43358224104077</v></cell><cell r="E1035" t="str"><v>43358103032775PRC1SX</v></cell><cell r="F1035" t="str"><v>DCM</v></cell></row><row r="1035"><cell r="H1035"><v>0</v></cell><cell r="I1035" t="str"><v>Azure Direct</v></cell><cell r="J1035" t="str"><v>Azure Direct</v></cell><cell r="K1035" t="str"><v>September</v></cell><cell r="L1035"><v>43358</v></cell><cell r="M1035" t="str"><v>Tier 0</v></cell><cell r="N1035" t="str"><v>North America</v></cell><cell r="O1035" t="str"><v>United States</v></cell><cell r="P1035" t="str"><v>Trial</v></cell><cell r="Q1035" t="str"><v>Social</v></cell><cell r="R1035" t="str"><v>Azure</v></cell><cell r="S1035" t="str"><v>Apps & Infra</v></cell><cell r="T1035" t="str"><v>Developers & ITI's</v></cell><cell r="U1035" t="str"><v>USA-Trial-ITD-Interest Prospecting-AZR-AZR</v></cell><cell r="V1035" t="str"><v>Prospecting</v></cell><cell r="W1035" t="str"><v>Canvas Ad</v></cell><cell r="X1035" t="str"><v>10s</v></cell><cell r="Y1035" t="str"><v>Try it Now</v></cell><cell r="Z1035" t="str"><v>Standard videos</v></cell><cell r="AA1035"><v>43358</v></cell><cell r="AB1035" t="str"><v>USA_gaPMG_AZR_AZR_Q1_19_Direct-Social</v></cell><cell r="AC1035"><v>21358715</v></cell><cell r="AD1035"><v>720197</v></cell><cell r="AE1035" t="str"><v>Facebook</v></cell><cell r="AF1035"><v>3654128</v></cell><cell r="AG1035" t="str"><v>FACEBOOK»USA-Trial-ITD-Interest Prospecting-AZR-AZR»1 x 1»SocialBan»CAN»ALL»CPA»PRO»X»NA»SS»NA»FBCTCBenefitinMotion»PRC1SX</v></cell><cell r="AH1035"><v>224104077</v></cell><cell r="AI1035" t="str"><v>AzurePlatform_FBCTCBenefitinMotion_USA_10s_CAN_PLATFORM_English_Trial_Standard_STAN_TIN_T3_1</v></cell><cell r="AJ1035"><v>103032775</v></cell></row><row r="1036"><cell r="D1036" t="str"><v>43358224104929</v></cell><cell r="E1036" t="str"><v>43358103176812PRC1SY</v></cell><cell r="F1036" t="str"><v>DCM</v></cell></row><row r="1036"><cell r="H1036"><v>0</v></cell><cell r="I1036" t="str"><v>Azure Direct</v></cell><cell r="J1036" t="str"><v>Azure Direct</v></cell><cell r="K1036" t="str"><v>September</v></cell><cell r="L1036"><v>43358</v></cell><cell r="M1036" t="str"><v>Tier 0</v></cell><cell r="N1036" t="str"><v>North America</v></cell><cell r="O1036" t="str"><v>United States</v></cell><cell r="P1036" t="str"><v>Trial</v></cell><cell r="Q1036" t="str"><v>Social</v></cell><cell r="R1036" t="str"><v>Azure</v></cell><cell r="S1036" t="str"><v>Apps & Infra</v></cell><cell r="T1036" t="str"><v>Developers & ITI's</v></cell><cell r="U1036" t="str"><v>USA-Trial-ITD-Interest Prospecting-AZR-AZR</v></cell><cell r="V1036" t="str"><v>Prospecting</v></cell><cell r="W1036" t="str"><v>Canvas Ad</v></cell><cell r="X1036" t="str"><v>10s</v></cell><cell r="Y1036" t="str"><v>Try it Now</v></cell><cell r="Z1036" t="str"><v>Standard videos</v></cell><cell r="AA1036"><v>43358</v></cell><cell r="AB1036" t="str"><v>USA_gaPMG_AZR_AZR_Q1_19_Direct-Social</v></cell><cell r="AC1036"><v>21358715</v></cell><cell r="AD1036"><v>720197</v></cell><cell r="AE1036" t="str"><v>Facebook</v></cell><cell r="AF1036"><v>3654128</v></cell><cell r="AG1036" t="str"><v>FACEBOOK»USA-Trial-ITD-Interest Prospecting-AZR-AZR»1 x 1»SocialBan»CAN»ALL»CPA»PRO»X»NA»SS»NA»FBCTCBrandinMotion»PRC1SY</v></cell><cell r="AH1036"><v>224104929</v></cell><cell r="AI1036" t="str"><v>AzurePlatform_FBCTCBrandinMotion_USA_10s_CAN_PLATFORM_English_Trial_Standard_STAN_TIN_T2_1</v></cell><cell r="AJ1036"><v>103176812</v></cell></row><row r="1037"><cell r="D1037" t="str"><v>43358224104929</v></cell><cell r="E1037" t="str"><v>43358103032823PRC1SY</v></cell><cell r="F1037" t="str"><v>DCM</v></cell></row><row r="1037"><cell r="H1037"><v>0</v></cell><cell r="I1037" t="str"><v>Azure Direct</v></cell><cell r="J1037" t="str"><v>Azure Direct</v></cell><cell r="K1037" t="str"><v>September</v></cell><cell r="L1037"><v>43358</v></cell><cell r="M1037" t="str"><v>Tier 0</v></cell><cell r="N1037" t="str"><v>North America</v></cell><cell r="O1037" t="str"><v>United States</v></cell><cell r="P1037" t="str"><v>Trial</v></cell><cell r="Q1037" t="str"><v>Social</v></cell><cell r="R1037" t="str"><v>Azure</v></cell><cell r="S1037" t="str"><v>Apps & Infra</v></cell><cell r="T1037" t="str"><v>Developers & ITI's</v></cell><cell r="U1037" t="str"><v>USA-Trial-ITD-Interest Prospecting-AZR-AZR</v></cell><cell r="V1037" t="str"><v>Prospecting</v></cell><cell r="W1037" t="str"><v>Canvas Ad</v></cell><cell r="X1037" t="str"><v>10s</v></cell><cell r="Y1037" t="str"><v>Try it Now</v></cell><cell r="Z1037" t="str"><v>Standard videos</v></cell><cell r="AA1037"><v>43358</v></cell><cell r="AB1037" t="str"><v>USA_gaPMG_AZR_AZR_Q1_19_Direct-Social</v></cell><cell r="AC1037"><v>21358715</v></cell><cell r="AD1037"><v>720197</v></cell><cell r="AE1037" t="str"><v>Facebook</v></cell><cell r="AF1037"><v>3654128</v></cell><cell r="AG1037" t="str"><v>FACEBOOK»USA-Trial-ITD-Interest Prospecting-AZR-AZR»1 x 1»SocialBan»CAN»ALL»CPA»PRO»X»NA»SS»NA»FBCTCBrandinMotion»PRC1SY</v></cell><cell r="AH1037"><v>224104929</v></cell><cell r="AI1037" t="str"><v>AzurePlatform_FBCTCBrandinMotion_USA_10s_CAN_PLATFORM_English_Trial_Standard_STAN_TIN_T2_2</v></cell><cell r="AJ1037"><v>103032823</v></cell></row><row r="1038"><cell r="D1038" t="str"><v>43358226617664</v></cell><cell r="E1038" t="str"><v>43358104595739PS78JC</v></cell><cell r="F1038" t="str"><v>DCM</v></cell></row><row r="1038"><cell r="H1038"><v>0</v></cell><cell r="I1038" t="str"><v>Azure Direct</v></cell><cell r="J1038" t="str"><v>Azure Direct</v></cell><cell r="K1038" t="str"><v>September</v></cell><cell r="L1038"><v>43358</v></cell><cell r="M1038" t="str"><v>Tier 0</v></cell><cell r="N1038" t="str"><v>North America</v></cell><cell r="O1038" t="str"><v>United States</v></cell><cell r="P1038" t="str"><v>Trial</v></cell><cell r="Q1038" t="str"><v>Social</v></cell><cell r="R1038" t="str"><v>Azure</v></cell><cell r="S1038" t="str"><v>Apps & Infra</v></cell><cell r="T1038" t="str"><v>Developers & ITI's</v></cell><cell r="U1038" t="str"><v>USA-Trial-ITD-Interest Prospecting-AZR-AZR</v></cell><cell r="V1038" t="str"><v>Prospecting</v></cell><cell r="W1038" t="str"><v>Canvas Ad</v></cell><cell r="X1038" t="str"><v>1200x1200</v></cell><cell r="Y1038" t="str"><v>Learn More</v></cell><cell r="Z1038" t="str"><v>Animated Banner</v></cell><cell r="AA1038"><v>43358</v></cell><cell r="AB1038" t="str"><v>USA_gaPMG_AZR_AZR_Q1_19_Direct-Social</v></cell><cell r="AC1038"><v>21358715</v></cell><cell r="AD1038"><v>720197</v></cell><cell r="AE1038" t="str"><v>Facebook</v></cell><cell r="AF1038"><v>3654128</v></cell><cell r="AG1038" t="str"><v>FACEBOOK»USA-Trial-ITD-Interest Prospecting-AZR-AZR»1 x 1»SocialBan»CAN»ALL»CPA»PRO»X»NA»SS»NA»FreeAcctDeveloperFB-AnimatedData-Ch4»PS78JC</v></cell><cell r="AH1038"><v>226617664</v></cell><cell r="AI1038" t="str"><v>AZR_FreeAcctDeveloperFB-AnimatedData-Ch4_USA_1200x1200_CAN_Direct_EN_Trial_Standard_ANI_LEA_T4_1</v></cell><cell r="AJ1038"><v>104595739</v></cell></row><row r="1039"><cell r="D1039" t="str"><v>43358226783992</v></cell><cell r="E1039" t="str"><v>43358104592523PS78J5</v></cell><cell r="F1039" t="str"><v>DCM</v></cell></row><row r="1039"><cell r="H1039"><v>6</v></cell><cell r="I1039" t="str"><v>Azure Direct</v></cell><cell r="J1039" t="str"><v>Azure Direct</v></cell><cell r="K1039" t="str"><v>September</v></cell><cell r="L1039"><v>43358</v></cell><cell r="M1039" t="str"><v>Tier 0</v></cell><cell r="N1039" t="str"><v>North America</v></cell><cell r="O1039" t="str"><v>United States</v></cell><cell r="P1039" t="str"><v>Trial</v></cell><cell r="Q1039" t="str"><v>Social</v></cell><cell r="R1039" t="str"><v>Azure</v></cell><cell r="S1039" t="str"><v>Apps & Infra</v></cell><cell r="T1039" t="str"><v>Developers & ITI's</v></cell><cell r="U1039" t="str"><v>USA-Trial-ITD-Interest Prospecting-AZR-AZR</v></cell><cell r="V1039" t="str"><v>Prospecting</v></cell><cell r="W1039" t="str"><v>Canvas Ad</v></cell><cell r="X1039" t="str"><v>1200x1200</v></cell><cell r="Y1039" t="str"><v>Learn More</v></cell><cell r="Z1039" t="str"><v>Animated Banner</v></cell><cell r="AA1039"><v>43358</v></cell><cell r="AB1039" t="str"><v>USA_gaPMG_AZR_AZR_Q1_19_Direct-Social</v></cell><cell r="AC1039"><v>21358715</v></cell><cell r="AD1039"><v>720197</v></cell><cell r="AE1039" t="str"><v>Facebook</v></cell><cell r="AF1039"><v>3654128</v></cell><cell r="AG1039" t="str"><v>FACEBOOK»USA-Trial-ITD-Interest Prospecting-AZR-AZR»1 x 1»SocialBan»CAN»ALL»CPA»PRO»X»NA»SS»NA»FreeAcctDeveloperFB-AnimatedGeneric-Ch1»PS78J5</v></cell><cell r="AH1039"><v>226783992</v></cell><cell r="AI1039" t="str"><v>AZR_FreeAcctDeveloperFB-AnimatedGeneric-Ch1_USA_1200x1200_CAN_Direct_EN_Trial_Standard_ANI_LEA_T1_2</v></cell><cell r="AJ1039"><v>104592523</v></cell></row><row r="1040"><cell r="D1040" t="str"><v>43358226783992</v></cell><cell r="E1040" t="str"><v>43358104595766PS78J5</v></cell><cell r="F1040" t="str"><v>DCM</v></cell></row><row r="1040"><cell r="H1040"><v>0</v></cell><cell r="I1040" t="str"><v>Azure Direct</v></cell><cell r="J1040" t="str"><v>Azure Direct</v></cell><cell r="K1040" t="str"><v>September</v></cell><cell r="L1040"><v>43358</v></cell><cell r="M1040" t="str"><v>Tier 0</v></cell><cell r="N1040" t="str"><v>North America</v></cell><cell r="O1040" t="str"><v>United States</v></cell><cell r="P1040" t="str"><v>Trial</v></cell><cell r="Q1040" t="str"><v>Social</v></cell><cell r="R1040" t="str"><v>Azure</v></cell><cell r="S1040" t="str"><v>Apps & Infra</v></cell><cell r="T1040" t="str"><v>Developers & ITI's</v></cell><cell r="U1040" t="str"><v>USA-Trial-ITD-Interest Prospecting-AZR-AZR</v></cell><cell r="V1040" t="str"><v>Prospecting</v></cell><cell r="W1040" t="str"><v>Canvas Ad</v></cell><cell r="X1040" t="str"><v>1200x1200</v></cell><cell r="Y1040" t="str"><v>Learn More</v></cell><cell r="Z1040" t="str"><v>Animated Banner</v></cell><cell r="AA1040"><v>43358</v></cell><cell r="AB1040" t="str"><v>USA_gaPMG_AZR_AZR_Q1_19_Direct-Social</v></cell><cell r="AC1040"><v>21358715</v></cell><cell r="AD1040"><v>720197</v></cell><cell r="AE1040" t="str"><v>Facebook</v></cell><cell r="AF1040"><v>3654128</v></cell><cell r="AG1040" t="str"><v>FACEBOOK»USA-Trial-ITD-Interest Prospecting-AZR-AZR»1 x 1»SocialBan»CAN»ALL»CPA»PRO»X»NA»SS»NA»FreeAcctDeveloperFB-AnimatedGeneric-Ch1»PS78J5</v></cell><cell r="AH1040"><v>226783992</v></cell><cell r="AI1040" t="str"><v>AZR_FreeAcctDeveloperFB-AnimatedGeneric-Ch1_USA_1200x1200_CAN_Direct_EN_Trial_Standard_ANI_LEA_T1_1</v></cell><cell r="AJ1040"><v>104595766</v></cell></row><row r="1041"><cell r="D1041" t="str"><v>43358225283843</v></cell><cell r="E1041" t="str"><v>43358103776921PRSGV0</v></cell><cell r="F1041" t="str"><v>DCM</v></cell></row><row r="1041"><cell r="H1041"><v>0</v></cell><cell r="I1041" t="str"><v>Azure Direct</v></cell><cell r="J1041" t="str"><v>Azure Direct</v></cell><cell r="K1041" t="str"><v>September</v></cell><cell r="L1041"><v>43358</v></cell><cell r="M1041" t="str"><v>Tier 0</v></cell><cell r="N1041" t="str"><v>North America</v></cell><cell r="O1041" t="str"><v>United States</v></cell><cell r="P1041" t="str"><v>Trial</v></cell><cell r="Q1041" t="str"><v>Social</v></cell><cell r="R1041" t="str"><v>Azure</v></cell><cell r="S1041" t="str"><v>Apps & Infra</v></cell><cell r="T1041" t="str"><v>Developers & ITI's</v></cell><cell r="U1041" t="str"><v>USA-Trial-ITD-Interest Prospecting-AZR-AZR</v></cell><cell r="V1041" t="str"><v>Prospecting</v></cell><cell r="W1041" t="str"><v>Canvas Collection Ad</v></cell><cell r="X1041" t="str"><v>1200x182</v></cell><cell r="Y1041" t="str"><v>Try it Now</v></cell><cell r="Z1041" t="str"><v>Not Applicable</v></cell><cell r="AA1041"><v>43358</v></cell><cell r="AB1041" t="str"><v>USA_gaPMG_AZR_AZR_Q1_19_Direct-Social</v></cell><cell r="AC1041"><v>21358715</v></cell><cell r="AD1041"><v>720197</v></cell><cell r="AE1041" t="str"><v>Facebook</v></cell><cell r="AF1041"><v>3654128</v></cell><cell r="AG1041" t="str"><v>FACEBOOK»USA-Trial-ITD-Interest Prospecting-AZR-AZR»1 x 1»SocialBan»CCA»ALL»CPA»PRO»X»NA»SS»NA»Azure Developer Facebook Collections»PRSGV0</v></cell><cell r="AH1041"><v>225283843</v></cell><cell r="AI1041" t="str"><v>AZR_FBCollections-FreeStuffTryAzureFreeCTA-Img5_USA_1200x182_SOC_Plat_EN_NA_Standard_NA_TIN_T1_5</v></cell><cell r="AJ1041"><v>103776921</v></cell></row><row r="1042"><cell r="D1042" t="str"><v>43358225283843</v></cell><cell r="E1042" t="str"><v>43358103873631PRSGV0</v></cell><cell r="F1042" t="str"><v>DCM</v></cell></row><row r="1042"><cell r="H1042"><v>0</v></cell><cell r="I1042" t="str"><v>Azure Direct</v></cell><cell r="J1042" t="str"><v>Azure Direct</v></cell><cell r="K1042" t="str"><v>September</v></cell><cell r="L1042"><v>43358</v></cell><cell r="M1042" t="str"><v>Tier 0</v></cell><cell r="N1042" t="str"><v>North America</v></cell><cell r="O1042" t="str"><v>United States</v></cell><cell r="P1042" t="str"><v>Trial</v></cell><cell r="Q1042" t="str"><v>Social</v></cell><cell r="R1042" t="str"><v>Azure</v></cell><cell r="S1042" t="str"><v>Apps & Infra</v></cell><cell r="T1042" t="str"><v>Developers & ITI's</v></cell><cell r="U1042" t="str"><v>USA-Trial-ITD-Interest Prospecting-AZR-AZR</v></cell><cell r="V1042" t="str"><v>Prospecting</v></cell><cell r="W1042" t="str"><v>Canvas Collection Ad</v></cell><cell r="X1042" t="str"><v>1200x182</v></cell><cell r="Y1042" t="str"><v>Try it Now</v></cell><cell r="Z1042" t="str"><v>Not Applicable</v></cell><cell r="AA1042"><v>43358</v></cell><cell r="AB1042" t="str"><v>USA_gaPMG_AZR_AZR_Q1_19_Direct-Social</v></cell><cell r="AC1042"><v>21358715</v></cell><cell r="AD1042"><v>720197</v></cell><cell r="AE1042" t="str"><v>Facebook</v></cell><cell r="AF1042"><v>3654128</v></cell><cell r="AG1042" t="str"><v>FACEBOOK»USA-Trial-ITD-Interest Prospecting-AZR-AZR»1 x 1»SocialBan»CCA»ALL»CPA»PRO»X»NA»SS»NA»Azure Developer Facebook Collections»PRSGV0</v></cell><cell r="AH1042"><v>225283843</v></cell><cell r="AI1042" t="str"><v>AZR_FBCollections-OSSTryAzureFreeCTA-Img3_USA_1200x182_SOC_Plat_EN_NA_Standard_NA_TIN_T1_3</v></cell><cell r="AJ1042"><v>103873631</v></cell></row><row r="1043"><cell r="D1043" t="str"><v>43358225283843</v></cell><cell r="E1043" t="str"><v>43358103773180PRSGV0</v></cell><cell r="F1043" t="str"><v>DCM</v></cell></row><row r="1043"><cell r="H1043"><v>2</v></cell><cell r="I1043" t="str"><v>Azure Direct</v></cell><cell r="J1043" t="str"><v>Azure Direct</v></cell><cell r="K1043" t="str"><v>September</v></cell><cell r="L1043"><v>43358</v></cell><cell r="M1043" t="str"><v>Tier 0</v></cell><cell r="N1043" t="str"><v>North America</v></cell><cell r="O1043" t="str"><v>United States</v></cell><cell r="P1043" t="str"><v>Trial</v></cell><cell r="Q1043" t="str"><v>Social</v></cell><cell r="R1043" t="str"><v>Azure</v></cell><cell r="S1043" t="str"><v>Apps & Infra</v></cell><cell r="T1043" t="str"><v>Developers & ITI's</v></cell><cell r="U1043" t="str"><v>USA-Trial-ITD-Interest Prospecting-AZR-AZR</v></cell><cell r="V1043" t="str"><v>Prospecting</v></cell><cell r="W1043" t="str"><v>Canvas Collection Ad</v></cell><cell r="X1043" t="str"><v>1200x182</v></cell><cell r="Y1043" t="str"><v>Try it Now</v></cell><cell r="Z1043" t="str"><v>Not Applicable</v></cell><cell r="AA1043"><v>43358</v></cell><cell r="AB1043" t="str"><v>USA_gaPMG_AZR_AZR_Q1_19_Direct-Social</v></cell><cell r="AC1043"><v>21358715</v></cell><cell r="AD1043"><v>720197</v></cell><cell r="AE1043" t="str"><v>Facebook</v></cell><cell r="AF1043"><v>3654128</v></cell><cell r="AG1043" t="str"><v>FACEBOOK»USA-Trial-ITD-Interest Prospecting-AZR-AZR»1 x 1»SocialBan»CCA»ALL»CPA»PRO»X»NA»SS»NA»Azure Developer Facebook Collections»PRSGV0</v></cell><cell r="AH1043"><v>225283843</v></cell><cell r="AI1043" t="str"><v>AZR_FBCollections-SmartDataTryAzureFreeCTA-Img4_USA_1200x182_SOC_Plat_EN_NA_Standard_NA_TIN_T1_4</v></cell><cell r="AJ1043"><v>103773180</v></cell></row><row r="1044"><cell r="D1044" t="str"><v>43358224104932</v></cell><cell r="E1044" t="str"><v>43358103176851PRC1SZ</v></cell><cell r="F1044" t="str"><v>DCM</v></cell></row><row r="1044"><cell r="H1044"><v>11</v></cell><cell r="I1044" t="str"><v>Azure Direct</v></cell><cell r="J1044" t="str"><v>Azure Direct</v></cell><cell r="K1044" t="str"><v>September</v></cell><cell r="L1044"><v>43358</v></cell><cell r="M1044" t="str"><v>Tier 0</v></cell><cell r="N1044" t="str"><v>North America</v></cell><cell r="O1044" t="str"><v>United States</v></cell><cell r="P1044" t="str"><v>Trial</v></cell><cell r="Q1044" t="str"><v>Social</v></cell><cell r="R1044" t="str"><v>Azure</v></cell><cell r="S1044" t="str"><v>Apps & Infra</v></cell><cell r="T1044" t="str"><v>Developers & ITI's</v></cell><cell r="U1044" t="str"><v>USA-Trial-ITD-Interest Prospecting-AZR-AZR</v></cell><cell r="V1044" t="str"><v>Prospecting</v></cell><cell r="W1044" t="str"><v>Link Ad</v></cell><cell r="X1044" t="str"><v>1200x1200</v></cell><cell r="Y1044" t="str"><v>Learn More</v></cell><cell r="Z1044" t="str"><v>Animated Banner</v></cell><cell r="AA1044"><v>43358</v></cell><cell r="AB1044" t="str"><v>USA_gaPMG_AZR_AZR_Q1_19_Direct-Social</v></cell><cell r="AC1044"><v>21358715</v></cell><cell r="AD1044"><v>720197</v></cell><cell r="AE1044" t="str"><v>Facebook</v></cell><cell r="AF1044"><v>3654128</v></cell><cell r="AG1044" t="str"><v>FACEBOOK»USA-Trial-ITD-Interest Prospecting-AZR-AZR»1 x 1»SocialBan»LIA»ALL»CPA»PRO»X»NA»SS»NA»FreeAcctDeveloperFB-AnimatedGeneric-Ch1»PRC1SZ</v></cell><cell r="AH1044"><v>224104932</v></cell><cell r="AI1044" t="str"><v>AZR_FreeAcctDeveloperFB-AnimatedGeneric-Ch1_USA_1200x1200_CAN_Direct_English_Trial_Standard_ANI_LEA_T1_2</v></cell><cell r="AJ1044"><v>103176851</v></cell></row><row r="1045"><cell r="D1045" t="str"><v>43358223862885</v></cell><cell r="E1045" t="str"><v>43358103048329PRC1T1</v></cell><cell r="F1045" t="str"><v>DCM</v></cell></row><row r="1045"><cell r="H1045"><v>8</v></cell><cell r="I1045" t="str"><v>Azure Direct</v></cell><cell r="J1045" t="str"><v>Azure Direct</v></cell><cell r="K1045" t="str"><v>September</v></cell><cell r="L1045"><v>43358</v></cell><cell r="M1045" t="str"><v>Tier 0</v></cell><cell r="N1045" t="str"><v>North America</v></cell><cell r="O1045" t="str"><v>United States</v></cell><cell r="P1045" t="str"><v>Trial</v></cell><cell r="Q1045" t="str"><v>Social</v></cell><cell r="R1045" t="str"><v>Azure</v></cell><cell r="S1045" t="str"><v>Apps & Infra</v></cell><cell r="T1045" t="str"><v>Developers & ITI's</v></cell><cell r="U1045" t="str"><v>USA-Trial-ITD-Interest Prospecting-AZR-AZR</v></cell><cell r="V1045" t="str"><v>Prospecting</v></cell><cell r="W1045" t="str"><v>Link Ad</v></cell><cell r="X1045" t="str"><v>1200x1200</v></cell><cell r="Y1045" t="str"><v>Learn More</v></cell><cell r="Z1045" t="str"><v>Animated Banner</v></cell><cell r="AA1045"><v>43358</v></cell><cell r="AB1045" t="str"><v>USA_gaPMG_AZR_AZR_Q1_19_Direct-Social</v></cell><cell r="AC1045"><v>21358715</v></cell><cell r="AD1045"><v>720197</v></cell><cell r="AE1045" t="str"><v>Facebook</v></cell><cell r="AF1045"><v>3654128</v></cell><cell r="AG1045" t="str"><v>FACEBOOK»USA-Trial-ITD-Interest Prospecting-AZR-AZR»1 x 1»SocialBan»LIA»ALL»CPA»PRO»X»NA»SS»NA»FreeAcctDeveloperFB-AnimatedOpenSource-Ch2»PRC1T1</v></cell><cell r="AH1045"><v>223862885</v></cell><cell r="AI1045" t="str"><v>AZR_FreeAcctDeveloperFB-AnimatedOpenSource-Ch2_USA_1200x1200_CAN_Direct_English_Trial_Standard_ANI_LEA_T2_1</v></cell><cell r="AJ1045"><v>103048329</v></cell></row><row r="1046"><cell r="D1046" t="str"><v>43358224104914</v></cell><cell r="E1046" t="str"><v>43358103176830PRC1T4</v></cell><cell r="F1046" t="str"><v>DCM</v></cell></row><row r="1046"><cell r="H1046"><v>29</v></cell><cell r="I1046" t="str"><v>Azure Direct</v></cell><cell r="J1046" t="str"><v>Azure Direct</v></cell><cell r="K1046" t="str"><v>September</v></cell><cell r="L1046"><v>43358</v></cell><cell r="M1046" t="str"><v>Tier 0</v></cell><cell r="N1046" t="str"><v>North America</v></cell><cell r="O1046" t="str"><v>United States</v></cell><cell r="P1046" t="str"><v>Trial</v></cell><cell r="Q1046" t="str"><v>Social</v></cell><cell r="R1046" t="str"><v>Azure</v></cell><cell r="S1046" t="str"><v>Apps & Infra</v></cell><cell r="T1046" t="str"><v>Developers & ITI's</v></cell><cell r="U1046" t="str"><v>USA-Trial-ITD-Interest Prospecting-AZR-AZR</v></cell><cell r="V1046" t="str"><v>Prospecting</v></cell><cell r="W1046" t="str"><v>Link Ad</v></cell><cell r="X1046" t="str"><v>1200x1200</v></cell><cell r="Y1046" t="str"><v>Learn More</v></cell><cell r="Z1046" t="str"><v>Animated Banner</v></cell><cell r="AA1046"><v>43358</v></cell><cell r="AB1046" t="str"><v>USA_gaPMG_AZR_AZR_Q1_19_Direct-Social</v></cell><cell r="AC1046"><v>21358715</v></cell><cell r="AD1046"><v>720197</v></cell><cell r="AE1046" t="str"><v>Facebook</v></cell><cell r="AF1046"><v>3654128</v></cell><cell r="AG1046" t="str"><v>FACEBOOK»USA-Trial-ITD-Interest Prospecting-AZR-AZR»1 x 1»SocialBan»LIA»ALL»CPA»PRO»X»NA»SS»NA»FreeAcctITProFB-AnimatedSecureMngd-Ch1»PRC1T4</v></cell><cell r="AH1046"><v>224104914</v></cell><cell r="AI1046" t="str"><v>AZR_FreeAcctITProFB-AnimatedSecureMngd-Ch1_USA_1200x1200_CAN_Direct_English_Trial_Standard_ANI_LEA_T1_1</v></cell><cell r="AJ1046"><v>103176830</v></cell></row><row r="1047"><cell r="D1047" t="str"><v>43358225841990</v></cell><cell r="E1047" t="str"><v>43358104593408PRX722</v></cell><cell r="F1047" t="str"><v>DCM</v></cell></row><row r="1047"><cell r="H1047"><v>0</v></cell><cell r="I1047" t="str"><v>Azure Direct</v></cell><cell r="J1047" t="str"><v>Azure Direct</v></cell><cell r="K1047" t="str"><v>September</v></cell><cell r="L1047"><v>43358</v></cell><cell r="M1047" t="str"><v>Tier 0</v></cell><cell r="N1047" t="str"><v>North America</v></cell><cell r="O1047" t="str"><v>United States</v></cell><cell r="P1047" t="str"><v>Trial</v></cell><cell r="Q1047" t="str"><v>Social</v></cell><cell r="R1047" t="str"><v>Azure</v></cell><cell r="S1047" t="str"><v>Apps & Infra</v></cell><cell r="T1047" t="str"><v>Developers & ITI's</v></cell><cell r="U1047" t="str"><v>USA-Trial-ITD-Lead Completes Lookalike-AZR-AZR</v></cell><cell r="V1047" t="str"><v>Lookalike Targeting</v></cell><cell r="W1047" t="str"><v>Canvas Ad</v></cell><cell r="X1047" t="str"><v>10s</v></cell><cell r="Y1047" t="str"><v>Try it Now</v></cell><cell r="Z1047" t="str"><v>Standard videos</v></cell><cell r="AA1047"><v>43358</v></cell><cell r="AB1047" t="str"><v>USA_gaPMG_AZR_AZR_Q1_19_Direct-Social</v></cell><cell r="AC1047"><v>21358715</v></cell><cell r="AD1047"><v>720197</v></cell><cell r="AE1047" t="str"><v>Facebook</v></cell><cell r="AF1047"><v>3654128</v></cell><cell r="AG1047" t="str"><v>FACEBOOK»USA-Trial-ITD-Lead Completes Lookalike-AZR-AZR»1 x 1»SocialBan»CAN»ALL»CPA»LAL»X»NA»SS»NA»FBCTCBenefit2inMotion»PRX722</v></cell><cell r="AH1047"><v>225841990</v></cell><cell r="AI1047" t="str"><v>AZR_FBCTCBenefit2inMotion_USA_10s_CAN_PLATFORM_English_Trial_Standard_STAN_TIN_T4_1</v></cell><cell r="AJ1047"><v>104593408</v></cell></row><row r="1048"><cell r="D1048" t="str"><v>43358225841993</v></cell><cell r="E1048" t="str"><v>43358104593411PRX723</v></cell><cell r="F1048" t="str"><v>DCM</v></cell></row><row r="1048"><cell r="H1048"><v>0</v></cell><cell r="I1048" t="str"><v>Azure Direct</v></cell><cell r="J1048" t="str"><v>Azure Direct</v></cell><cell r="K1048" t="str"><v>September</v></cell><cell r="L1048"><v>43358</v></cell><cell r="M1048" t="str"><v>Tier 0</v></cell><cell r="N1048" t="str"><v>North America</v></cell><cell r="O1048" t="str"><v>United States</v></cell><cell r="P1048" t="str"><v>Trial</v></cell><cell r="Q1048" t="str"><v>Social</v></cell><cell r="R1048" t="str"><v>Azure</v></cell><cell r="S1048" t="str"><v>Apps & Infra</v></cell><cell r="T1048" t="str"><v>Developers & ITI's</v></cell><cell r="U1048" t="str"><v>USA-Trial-ITD-Lead Completes Lookalike-AZR-AZR</v></cell><cell r="V1048" t="str"><v>Lookalike Targeting</v></cell><cell r="W1048" t="str"><v>Canvas Ad</v></cell><cell r="X1048" t="str"><v>10s</v></cell><cell r="Y1048" t="str"><v>Try it Now</v></cell><cell r="Z1048" t="str"><v>Standard videos</v></cell><cell r="AA1048"><v>43358</v></cell><cell r="AB1048" t="str"><v>USA_gaPMG_AZR_AZR_Q1_19_Direct-Social</v></cell><cell r="AC1048"><v>21358715</v></cell><cell r="AD1048"><v>720197</v></cell><cell r="AE1048" t="str"><v>Facebook</v></cell><cell r="AF1048"><v>3654128</v></cell><cell r="AG1048" t="str"><v>FACEBOOK»USA-Trial-ITD-Lead Completes Lookalike-AZR-AZR»1 x 1»SocialBan»CAN»ALL»CPA»LAL»X»NA»SS»NA»FBCTCBenefitinMotion»PRX723</v></cell><cell r="AH1048"><v>225841993</v></cell><cell r="AI1048" t="str"><v>AZR_FBCTCBenefitinMotion_USA_10s_CAN_PLATFORM_English_Trial_Standard_STAN_TIN_T3_1</v></cell><cell r="AJ1048"><v>104593411</v></cell></row><row r="1049"><cell r="D1049" t="str"><v>43358225841993</v></cell><cell r="E1049" t="str"><v>43358104595718PRX723</v></cell><cell r="F1049" t="str"><v>DCM</v></cell></row><row r="1049"><cell r="H1049"><v>6</v></cell><cell r="I1049" t="str"><v>Azure Direct</v></cell><cell r="J1049" t="str"><v>Azure Direct</v></cell><cell r="K1049" t="str"><v>September</v></cell><cell r="L1049"><v>43358</v></cell><cell r="M1049" t="str"><v>Tier 0</v></cell><cell r="N1049" t="str"><v>North America</v></cell><cell r="O1049" t="str"><v>United States</v></cell><cell r="P1049" t="str"><v>Trial</v></cell><cell r="Q1049" t="str"><v>Social</v></cell><cell r="R1049" t="str"><v>Azure</v></cell><cell r="S1049" t="str"><v>Apps & Infra</v></cell><cell r="T1049" t="str"><v>Developers & ITI's</v></cell><cell r="U1049" t="str"><v>USA-Trial-ITD-Lead Completes Lookalike-AZR-AZR</v></cell><cell r="V1049" t="str"><v>Lookalike Targeting</v></cell><cell r="W1049" t="str"><v>Canvas Ad</v></cell><cell r="X1049" t="str"><v>10s</v></cell><cell r="Y1049" t="str"><v>Try it Now</v></cell><cell r="Z1049" t="str"><v>Standard videos</v></cell><cell r="AA1049"><v>43358</v></cell><cell r="AB1049" t="str"><v>USA_gaPMG_AZR_AZR_Q1_19_Direct-Social</v></cell><cell r="AC1049"><v>21358715</v></cell><cell r="AD1049"><v>720197</v></cell><cell r="AE1049" t="str"><v>Facebook</v></cell><cell r="AF1049"><v>3654128</v></cell><cell r="AG1049" t="str"><v>FACEBOOK»USA-Trial-ITD-Lead Completes Lookalike-AZR-AZR»1 x 1»SocialBan»CAN»ALL»CPA»LAL»X»NA»SS»NA»FBCTCBenefitinMotion»PRX723</v></cell><cell r="AH1049"><v>225841993</v></cell><cell r="AI1049" t="str"><v>AZR_FBCTCBenefitinMotion_USA_10s_CAN_PLATFORM_English_Trial_Standard_STAN_TIN_T3_2</v></cell><cell r="AJ1049"><v>104595718</v></cell></row><row r="1050"><cell r="D1050" t="str"><v>43358226028475</v></cell><cell r="E1050" t="str"><v>43358104671406PRX724</v></cell><cell r="F1050" t="str"><v>DCM</v></cell></row><row r="1050"><cell r="H1050"><v>1</v></cell><cell r="I1050" t="str"><v>Azure Direct</v></cell><cell r="J1050" t="str"><v>Azure Direct</v></cell><cell r="K1050" t="str"><v>September</v></cell><cell r="L1050"><v>43358</v></cell><cell r="M1050" t="str"><v>Tier 0</v></cell><cell r="N1050" t="str"><v>North America</v></cell><cell r="O1050" t="str"><v>United States</v></cell><cell r="P1050" t="str"><v>Trial</v></cell><cell r="Q1050" t="str"><v>Social</v></cell><cell r="R1050" t="str"><v>Azure</v></cell><cell r="S1050" t="str"><v>Apps & Infra</v></cell><cell r="T1050" t="str"><v>Developers & ITI's</v></cell><cell r="U1050" t="str"><v>USA-Trial-ITD-Lead Completes Lookalike-AZR-AZR</v></cell><cell r="V1050" t="str"><v>Lookalike Targeting</v></cell><cell r="W1050" t="str"><v>Canvas Ad</v></cell><cell r="X1050" t="str"><v>10s</v></cell><cell r="Y1050" t="str"><v>Try it Now</v></cell><cell r="Z1050" t="str"><v>Standard videos</v></cell><cell r="AA1050"><v>43358</v></cell><cell r="AB1050" t="str"><v>USA_gaPMG_AZR_AZR_Q1_19_Direct-Social</v></cell><cell r="AC1050"><v>21358715</v></cell><cell r="AD1050"><v>720197</v></cell><cell r="AE1050" t="str"><v>Facebook</v></cell><cell r="AF1050"><v>3654128</v></cell><cell r="AG1050" t="str"><v>FACEBOOK»USA-Trial-ITD-Lead Completes Lookalike-AZR-AZR»1 x 1»SocialBan»CAN»ALL»CPA»LAL»X»NA»SS»NA»FBCTCBrandinMotion»PRX724</v></cell><cell r="AH1050"><v>226028475</v></cell><cell r="AI1050" t="str"><v>AZR_FBCTCBrandinMotion_USA_10s_CAN_PLATFORM_English_Trial_Standard_STAN_TIN_T2_2</v></cell><cell r="AJ1050"><v>104671406</v></cell></row><row r="1051"><cell r="D1051" t="str"><v>43358226622251</v></cell><cell r="E1051" t="str"><v>43358104592523PS79FX</v></cell><cell r="F1051" t="str"><v>DCM</v></cell></row><row r="1051"><cell r="H1051"><v>5</v></cell><cell r="I1051" t="str"><v>Azure Direct</v></cell><cell r="J1051" t="str"><v>Azure Direct</v></cell><cell r="K1051" t="str"><v>September</v></cell><cell r="L1051"><v>43358</v></cell><cell r="M1051" t="str"><v>Tier 0</v></cell><cell r="N1051" t="str"><v>North America</v></cell><cell r="O1051" t="str"><v>United States</v></cell><cell r="P1051" t="str"><v>Trial</v></cell><cell r="Q1051" t="str"><v>Social</v></cell><cell r="R1051" t="str"><v>Azure</v></cell><cell r="S1051" t="str"><v>Apps & Infra</v></cell><cell r="T1051" t="str"><v>Developers & ITI's</v></cell><cell r="U1051" t="str"><v>USA-Trial-ITD-Lead Completes Lookalike-AZR-AZR</v></cell><cell r="V1051" t="str"><v>Lookalike Targeting</v></cell><cell r="W1051" t="str"><v>Canvas Ad</v></cell><cell r="X1051" t="str"><v>1200x1200</v></cell><cell r="Y1051" t="str"><v>Learn More</v></cell><cell r="Z1051" t="str"><v>Animated Banner</v></cell><cell r="AA1051"><v>43358</v></cell><cell r="AB1051" t="str"><v>USA_gaPMG_AZR_AZR_Q1_19_Direct-Social</v></cell><cell r="AC1051"><v>21358715</v></cell><cell r="AD1051"><v>720197</v></cell><cell r="AE1051" t="str"><v>Facebook</v></cell><cell r="AF1051"><v>3654128</v></cell><cell r="AG1051" t="str"><v>FACEBOOK»USA-Trial-ITD-Lead Completes Lookalike-AZR-AZR»1 x 1»SocialBan»CAN»ALL»CPA»LAL»X»NA»SS»NA»FreeAcctDeveloperFB-AnimatedGeneric-Ch1»PS79FX</v></cell><cell r="AH1051"><v>226622251</v></cell><cell r="AI1051" t="str"><v>AZR_FreeAcctDeveloperFB-AnimatedGeneric-Ch1_USA_1200x1200_CAN_Direct_EN_Trial_Standard_ANI_LEA_T1_2</v></cell><cell r="AJ1051"><v>104592523</v></cell></row><row r="1052"><cell r="D1052" t="str"><v>43358225761645</v></cell><cell r="E1052" t="str"><v>43358104593720PRX71S</v></cell><cell r="F1052" t="str"><v>DCM</v></cell></row><row r="1052"><cell r="H1052"><v>0</v></cell><cell r="I1052" t="str"><v>Azure Direct</v></cell><cell r="J1052" t="str"><v>Azure Direct</v></cell><cell r="K1052" t="str"><v>September</v></cell><cell r="L1052"><v>43358</v></cell><cell r="M1052" t="str"><v>Tier 0</v></cell><cell r="N1052" t="str"><v>North America</v></cell><cell r="O1052" t="str"><v>United States</v></cell><cell r="P1052" t="str"><v>Trial</v></cell><cell r="Q1052" t="str"><v>Social</v></cell><cell r="R1052" t="str"><v>Azure</v></cell><cell r="S1052" t="str"><v>Apps & Infra</v></cell><cell r="T1052" t="str"><v>Developers & ITI's</v></cell><cell r="U1052" t="str"><v>USA-Trial-ITD-Lead Completes Lookalike-AZR-AZR</v></cell><cell r="V1052" t="str"><v>Lookalike Targeting</v></cell><cell r="W1052" t="str"><v>Canvas Collection Ad</v></cell><cell r="X1052" t="str"><v>1200x182</v></cell><cell r="Y1052" t="str"><v>Try it Now</v></cell><cell r="Z1052" t="str"><v>Not Applicable</v></cell><cell r="AA1052"><v>43358</v></cell><cell r="AB1052" t="str"><v>USA_gaPMG_AZR_AZR_Q1_19_Direct-Social</v></cell><cell r="AC1052"><v>21358715</v></cell><cell r="AD1052"><v>720197</v></cell><cell r="AE1052" t="str"><v>Facebook</v></cell><cell r="AF1052"><v>3654128</v></cell><cell r="AG1052" t="str"><v>FACEBOOK»USA-Trial-ITD-Lead Completes Lookalike-AZR-AZR»1 x 1»SocialBan»CCA»ALL»CPA»LAL»X»NA»SS»NA»Azure Developer Facebook Collections»PRX71S</v></cell><cell r="AH1052"><v>225761645</v></cell><cell r="AI1052" t="str"><v>AZR_FBCollections-AITryAzureFreeCTA-Img2_USA_1200x182_CCA_Plat_EN_NA_Standard_NA_TIN_T1_2</v></cell><cell r="AJ1052"><v>104593720</v></cell></row><row r="1053"><cell r="D1053" t="str"><v>43358225761645</v></cell><cell r="E1053" t="str"><v>43358104671412PRX71S</v></cell><cell r="F1053" t="str"><v>DCM</v></cell></row><row r="1053"><cell r="H1053"><v>5</v></cell><cell r="I1053" t="str"><v>Azure Direct</v></cell><cell r="J1053" t="str"><v>Azure Direct</v></cell><cell r="K1053" t="str"><v>September</v></cell><cell r="L1053"><v>43358</v></cell><cell r="M1053" t="str"><v>Tier 0</v></cell><cell r="N1053" t="str"><v>North America</v></cell><cell r="O1053" t="str"><v>United States</v></cell><cell r="P1053" t="str"><v>Trial</v></cell><cell r="Q1053" t="str"><v>Social</v></cell><cell r="R1053" t="str"><v>Azure</v></cell><cell r="S1053" t="str"><v>Apps & Infra</v></cell><cell r="T1053" t="str"><v>Developers & ITI's</v></cell><cell r="U1053" t="str"><v>USA-Trial-ITD-Lead Completes Lookalike-AZR-AZR</v></cell><cell r="V1053" t="str"><v>Lookalike Targeting</v></cell><cell r="W1053" t="str"><v>Canvas Collection Ad</v></cell><cell r="X1053" t="str"><v>1200x182</v></cell><cell r="Y1053" t="str"><v>Try it Now</v></cell><cell r="Z1053" t="str"><v>Not Applicable</v></cell><cell r="AA1053"><v>43358</v></cell><cell r="AB1053" t="str"><v>USA_gaPMG_AZR_AZR_Q1_19_Direct-Social</v></cell><cell r="AC1053"><v>21358715</v></cell><cell r="AD1053"><v>720197</v></cell><cell r="AE1053" t="str"><v>Facebook</v></cell><cell r="AF1053"><v>3654128</v></cell><cell r="AG1053" t="str"><v>FACEBOOK»USA-Trial-ITD-Lead Completes Lookalike-AZR-AZR»1 x 1»SocialBan»CCA»ALL»CPA»LAL»X»NA»SS»NA»Azure Developer Facebook Collections»PRX71S</v></cell><cell r="AH1053"><v>225761645</v></cell><cell r="AI1053" t="str"><v>AZR_FBCollections-FreeStuffTryAzureFreeCTA-Img5_USA_1200x182_CCA_Plat_EN_NA_Standard_NA_TIN_T1_5</v></cell><cell r="AJ1053"><v>104671412</v></cell></row><row r="1054"><cell r="D1054" t="str"><v>43358225761645</v></cell><cell r="E1054" t="str"><v>43358104595724PRX71S</v></cell><cell r="F1054" t="str"><v>DCM</v></cell></row><row r="1054"><cell r="H1054"><v>2</v></cell><cell r="I1054" t="str"><v>Azure Direct</v></cell><cell r="J1054" t="str"><v>Azure Direct</v></cell><cell r="K1054" t="str"><v>September</v></cell><cell r="L1054"><v>43358</v></cell><cell r="M1054" t="str"><v>Tier 0</v></cell><cell r="N1054" t="str"><v>North America</v></cell><cell r="O1054" t="str"><v>United States</v></cell><cell r="P1054" t="str"><v>Trial</v></cell><cell r="Q1054" t="str"><v>Social</v></cell><cell r="R1054" t="str"><v>Azure</v></cell><cell r="S1054" t="str"><v>Apps & Infra</v></cell><cell r="T1054" t="str"><v>Developers & ITI's</v></cell><cell r="U1054" t="str"><v>USA-Trial-ITD-Lead Completes Lookalike-AZR-AZR</v></cell><cell r="V1054" t="str"><v>Lookalike Targeting</v></cell><cell r="W1054" t="str"><v>Canvas Collection Ad</v></cell><cell r="X1054" t="str"><v>1200x182</v></cell><cell r="Y1054" t="str"><v>Try it Now</v></cell><cell r="Z1054" t="str"><v>Not Applicable</v></cell><cell r="AA1054"><v>43358</v></cell><cell r="AB1054" t="str"><v>USA_gaPMG_AZR_AZR_Q1_19_Direct-Social</v></cell><cell r="AC1054"><v>21358715</v></cell><cell r="AD1054"><v>720197</v></cell><cell r="AE1054" t="str"><v>Facebook</v></cell><cell r="AF1054"><v>3654128</v></cell><cell r="AG1054" t="str"><v>FACEBOOK»USA-Trial-ITD-Lead Completes Lookalike-AZR-AZR»1 x 1»SocialBan»CCA»ALL»CPA»LAL»X»NA»SS»NA»Azure Developer Facebook Collections»PRX71S</v></cell><cell r="AH1054"><v>225761645</v></cell><cell r="AI1054" t="str"><v>AZR_FBCollections-OSSTryAzureFreeCTA-Img3_USA_1200x182_CCA_Plat_EN_NA_Standard_NA_TIN_T1_3</v></cell><cell r="AJ1054"><v>104595724</v></cell></row><row r="1055"><cell r="D1055" t="str"><v>43358225761645</v></cell><cell r="E1055" t="str"><v>43358104595751PRX71S</v></cell><cell r="F1055" t="str"><v>DCM</v></cell></row><row r="1055"><cell r="H1055"><v>4</v></cell><cell r="I1055" t="str"><v>Azure Direct</v></cell><cell r="J1055" t="str"><v>Azure Direct</v></cell><cell r="K1055" t="str"><v>September</v></cell><cell r="L1055"><v>43358</v></cell><cell r="M1055" t="str"><v>Tier 0</v></cell><cell r="N1055" t="str"><v>North America</v></cell><cell r="O1055" t="str"><v>United States</v></cell><cell r="P1055" t="str"><v>Trial</v></cell><cell r="Q1055" t="str"><v>Social</v></cell><cell r="R1055" t="str"><v>Azure</v></cell><cell r="S1055" t="str"><v>Apps & Infra</v></cell><cell r="T1055" t="str"><v>Developers & ITI's</v></cell><cell r="U1055" t="str"><v>USA-Trial-ITD-Lead Completes Lookalike-AZR-AZR</v></cell><cell r="V1055" t="str"><v>Lookalike Targeting</v></cell><cell r="W1055" t="str"><v>Canvas Collection Ad</v></cell><cell r="X1055" t="str"><v>1200x182</v></cell><cell r="Y1055" t="str"><v>Try it Now</v></cell><cell r="Z1055" t="str"><v>Not Applicable</v></cell><cell r="AA1055"><v>43358</v></cell><cell r="AB1055" t="str"><v>USA_gaPMG_AZR_AZR_Q1_19_Direct-Social</v></cell><cell r="AC1055"><v>21358715</v></cell><cell r="AD1055"><v>720197</v></cell><cell r="AE1055" t="str"><v>Facebook</v></cell><cell r="AF1055"><v>3654128</v></cell><cell r="AG1055" t="str"><v>FACEBOOK»USA-Trial-ITD-Lead Completes Lookalike-AZR-AZR»1 x 1»SocialBan»CCA»ALL»CPA»LAL»X»NA»SS»NA»Azure Developer Facebook Collections»PRX71S</v></cell><cell r="AH1055"><v>225761645</v></cell><cell r="AI1055" t="str"><v>AZR_FBCollections-SmartDataTryAzureFreeCTA-Img4_USA_1200x182_CCA_Plat_EN_NA_Standard_NA_TIN_T1_4</v></cell><cell r="AJ1055"><v>104595751</v></cell></row><row r="1056"><cell r="D1056" t="str"><v>43358225761645</v></cell><cell r="E1056" t="str"><v>43358104593432PRX71S</v></cell><cell r="F1056" t="str"><v>DCM</v></cell></row><row r="1056"><cell r="H1056"><v>11</v></cell><cell r="I1056" t="str"><v>Azure Direct</v></cell><cell r="J1056" t="str"><v>Azure Direct</v></cell><cell r="K1056" t="str"><v>September</v></cell><cell r="L1056"><v>43358</v></cell><cell r="M1056" t="str"><v>Tier 0</v></cell><cell r="N1056" t="str"><v>North America</v></cell><cell r="O1056" t="str"><v>United States</v></cell><cell r="P1056" t="str"><v>Trial</v></cell><cell r="Q1056" t="str"><v>Social</v></cell><cell r="R1056" t="str"><v>Azure</v></cell><cell r="S1056" t="str"><v>Apps & Infra</v></cell><cell r="T1056" t="str"><v>Developers & ITI's</v></cell><cell r="U1056" t="str"><v>USA-Trial-ITD-Lead Completes Lookalike-AZR-AZR</v></cell><cell r="V1056" t="str"><v>Lookalike Targeting</v></cell><cell r="W1056" t="str"><v>Canvas Collection Ad</v></cell><cell r="X1056" t="str"><v>1200x182</v></cell><cell r="Y1056" t="str"><v>Try it Now</v></cell><cell r="Z1056" t="str"><v>Not Applicable</v></cell><cell r="AA1056"><v>43358</v></cell><cell r="AB1056" t="str"><v>USA_gaPMG_AZR_AZR_Q1_19_Direct-Social</v></cell><cell r="AC1056"><v>21358715</v></cell><cell r="AD1056"><v>720197</v></cell><cell r="AE1056" t="str"><v>Facebook</v></cell><cell r="AF1056"><v>3654128</v></cell><cell r="AG1056" t="str"><v>FACEBOOK»USA-Trial-ITD-Lead Completes Lookalike-AZR-AZR»1 x 1»SocialBan»CCA»ALL»CPA»LAL»X»NA»SS»NA»Azure Developer Facebook Collections»PRX71S</v></cell><cell r="AH1056"><v>225761645</v></cell><cell r="AI1056" t="str"><v>AZR_FBCollections-TryAzureFreeCTA-Img1_USA_1200x182_CCA_Plat_EN_NA_Standard_NA_TIN_T1_1</v></cell><cell r="AJ1056"><v>104593432</v></cell></row><row r="1057"><cell r="D1057" t="str"><v>43358226783983</v></cell><cell r="E1057" t="str"><v>43358104592526PS79S1</v></cell><cell r="F1057" t="str"><v>DCM</v></cell></row><row r="1057"><cell r="H1057"><v>4</v></cell><cell r="I1057" t="str"><v>Azure Direct</v></cell><cell r="J1057" t="str"><v>Azure Direct</v></cell><cell r="K1057" t="str"><v>September</v></cell><cell r="L1057"><v>43358</v></cell><cell r="M1057" t="str"><v>Tier 0</v></cell><cell r="N1057" t="str"><v>North America</v></cell><cell r="O1057" t="str"><v>United States</v></cell><cell r="P1057" t="str"><v>Trial</v></cell><cell r="Q1057" t="str"><v>Social</v></cell><cell r="R1057" t="str"><v>Azure</v></cell><cell r="S1057" t="str"><v>Apps & Infra</v></cell><cell r="T1057" t="str"><v>Developers & ITI's</v></cell><cell r="U1057" t="str"><v>USA-Trial-ITD-Retargeting-AZR-AZR</v></cell><cell r="V1057" t="str"><v>Retargeting</v></cell><cell r="W1057" t="str"><v>Canvas Ad</v></cell><cell r="X1057" t="str"><v>1200x628</v></cell><cell r="Y1057" t="str"><v>Sign Up</v></cell><cell r="Z1057" t="str"><v>Not Applicable</v></cell><cell r="AA1057"><v>43358</v></cell><cell r="AB1057" t="str"><v>USA_gaPMG_AZR_AZR_Q1_19_Direct-Social</v></cell><cell r="AC1057"><v>21358715</v></cell><cell r="AD1057"><v>720197</v></cell><cell r="AE1057" t="str"><v>Facebook</v></cell><cell r="AF1057"><v>3654128</v></cell><cell r="AG1057" t="str"><v>FACEBOOK»USA-Trial-ITD-Retargeting-AZR-AZR»1 x 1»SocialBan»CAN»ALL»CPA»RT»X»NA»SS»NA»FreeAcctRetargetingFB-Credit-ChA»PS79S1</v></cell><cell r="AH1057"><v>226783983</v></cell><cell r="AI1057" t="str"><v>AZR_FreeAcctRetargetingFB-Credit-ChA_USA_1200x628_CAN_Plat_English_Free Account_Standard_NA_SINU_T1_2</v></cell><cell r="AJ1057"><v>104592526</v></cell></row><row r="1058"><cell r="D1058" t="str"><v>43358223862756</v></cell><cell r="E1058" t="str"><v>43358103180592PRC1RW</v></cell><cell r="F1058" t="str"><v>DCM</v></cell></row><row r="1058"><cell r="H1058"><v>2</v></cell><cell r="I1058" t="str"><v>Azure Direct</v></cell><cell r="J1058" t="str"><v>Azure Direct</v></cell><cell r="K1058" t="str"><v>September</v></cell><cell r="L1058"><v>43358</v></cell><cell r="M1058" t="str"><v>Tier 0</v></cell><cell r="N1058" t="str"><v>North America</v></cell><cell r="O1058" t="str"><v>United States</v></cell><cell r="P1058" t="str"><v>Trial</v></cell><cell r="Q1058" t="str"><v>Social</v></cell><cell r="R1058" t="str"><v>Azure</v></cell><cell r="S1058" t="str"><v>Apps & Infra</v></cell><cell r="T1058" t="str"><v>Developers & ITI's</v></cell><cell r="U1058" t="str"><v>USA-Trial-ITD-Retargeting-AZR-AZR</v></cell><cell r="V1058" t="str"><v>Retargeting</v></cell><cell r="W1058" t="str"><v>Link Ad</v></cell><cell r="X1058" t="str"><v>1200x628</v></cell><cell r="Y1058" t="str"><v>Sign Up</v></cell><cell r="Z1058" t="str"><v>Not Applicable</v></cell><cell r="AA1058"><v>43358</v></cell><cell r="AB1058" t="str"><v>USA_gaPMG_AZR_AZR_Q1_19_Direct-Social</v></cell><cell r="AC1058"><v>21358715</v></cell><cell r="AD1058"><v>720197</v></cell><cell r="AE1058" t="str"><v>Facebook</v></cell><cell r="AF1058"><v>3654128</v></cell><cell r="AG1058" t="str"><v>FACEBOOK»USA-Trial-ITD-Retargeting-AZR-AZR»1 x 1»SocialBan»LIA»ALL»CPA»RT»X»NA»SS»NA»FreeAcctRetargetingFB-GlobalAlt-ChB»PRC1RW</v></cell><cell r="AH1058"><v>223862756</v></cell><cell r="AI1058" t="str"><v>AzurePlatform_FreeAcctRetargetingFB-GlobalAlt-ChB_USA_1200x628_CAN_PLATFORM_English_Free Account_Standard_NA_SINU_T2_1</v></cell><cell r="AJ1058"><v>103180592</v></cell></row><row r="1059"><cell r="D1059" t="str"><v>43358223862747</v></cell><cell r="E1059" t="str"><v>43358103034911PRC1RY</v></cell><cell r="F1059" t="str"><v>DCM</v></cell></row><row r="1059"><cell r="H1059"><v>58</v></cell><cell r="I1059" t="str"><v>Azure Direct</v></cell><cell r="J1059" t="str"><v>Azure Direct</v></cell><cell r="K1059" t="str"><v>September</v></cell><cell r="L1059"><v>43358</v></cell><cell r="M1059" t="str"><v>Tier 0</v></cell><cell r="N1059" t="str"><v>North America</v></cell><cell r="O1059" t="str"><v>United States</v></cell><cell r="P1059" t="str"><v>Trial</v></cell><cell r="Q1059" t="str"><v>Social</v></cell><cell r="R1059" t="str"><v>Azure</v></cell><cell r="S1059" t="str"><v>Apps & Infra</v></cell><cell r="T1059" t="str"><v>Developers & ITI's</v></cell><cell r="U1059" t="str"><v>USA-Trial-ITD-Retargeting-AZR-AZR</v></cell><cell r="V1059" t="str"><v>Retargeting</v></cell><cell r="W1059" t="str"><v>Link Ad</v></cell><cell r="X1059" t="str"><v>1200x628</v></cell><cell r="Y1059" t="str"><v>Sign Up</v></cell><cell r="Z1059" t="str"><v>Not Applicable</v></cell><cell r="AA1059"><v>43358</v></cell><cell r="AB1059" t="str"><v>USA_gaPMG_AZR_AZR_Q1_19_Direct-Social</v></cell><cell r="AC1059"><v>21358715</v></cell><cell r="AD1059"><v>720197</v></cell><cell r="AE1059" t="str"><v>Facebook</v></cell><cell r="AF1059"><v>3654128</v></cell><cell r="AG1059" t="str"><v>FACEBOOK»USA-Trial-ITD-Retargeting-AZR-AZR»1 x 1»SocialBan»LIA»ALL»CPA»RT»X»NA»SS»NA»FreeAcctRetargetingVMFB-750Hrs-ChD»PRC1RY</v></cell><cell r="AH1059"><v>223862747</v></cell><cell r="AI1059" t="str"><v>AzurePlatform_FreeAcctRetargetingVMFB-750Hrs-ChD_USA_1200x628_CAN_PLATFORM_English_Free Account_Standard_NA_SINU_T1_1</v></cell><cell r="AJ1059"><v>103034911</v></cell></row><row r="1060"><cell r="D1060" t="str"><v>43358224104899</v></cell><cell r="E1060" t="str"><v>43358103180610PRC1S0</v></cell><cell r="F1060" t="str"><v>DCM</v></cell></row><row r="1060"><cell r="H1060"><v>6</v></cell><cell r="I1060" t="str"><v>Azure Direct</v></cell><cell r="J1060" t="str"><v>Azure Direct</v></cell><cell r="K1060" t="str"><v>September</v></cell><cell r="L1060"><v>43358</v></cell><cell r="M1060" t="str"><v>Tier 0</v></cell><cell r="N1060" t="str"><v>North America</v></cell><cell r="O1060" t="str"><v>United States</v></cell><cell r="P1060" t="str"><v>Trial</v></cell><cell r="Q1060" t="str"><v>Social</v></cell><cell r="R1060" t="str"><v>Azure</v></cell><cell r="S1060" t="str"><v>Apps & Infra</v></cell><cell r="T1060" t="str"><v>Developers & ITI's</v></cell><cell r="U1060" t="str"><v>USA-Trial-ITD-Retargeting-AZR-AZR</v></cell><cell r="V1060" t="str"><v>Retargeting</v></cell><cell r="W1060" t="str"><v>Link Ad</v></cell><cell r="X1060" t="str"><v>1200x628</v></cell><cell r="Y1060" t="str"><v>Sign Up</v></cell><cell r="Z1060" t="str"><v>Not Applicable</v></cell><cell r="AA1060"><v>43358</v></cell><cell r="AB1060" t="str"><v>USA_gaPMG_AZR_AZR_Q1_19_Direct-Social</v></cell><cell r="AC1060"><v>21358715</v></cell><cell r="AD1060"><v>720197</v></cell><cell r="AE1060" t="str"><v>Facebook</v></cell><cell r="AF1060"><v>3654128</v></cell><cell r="AG1060" t="str"><v>FACEBOOK»USA-Trial-ITD-Retargeting-AZR-AZR»1 x 1»SocialBan»LIA»ALL»CPA»RT»X»NA»SS»NA»FreeAcctRetargetingVMFB-OnDemand-ChE»PRC1S0</v></cell><cell r="AH1060"><v>224104899</v></cell><cell r="AI1060" t="str"><v>AzurePlatform_FreeAcctRetargetingVMFB-OnDemand-ChE_USA_1200x628_CAN_PLATFORM_English_Free Account_Standard_NA_SINU_T2_1</v></cell><cell r="AJ1060"><v>103180610</v></cell></row><row r="1061"><cell r="D1061" t="str"><v>43358225282481</v></cell><cell r="E1061" t="str"><v>43358103776921PRSH0N</v></cell><cell r="F1061" t="str"><v>DCM</v></cell></row><row r="1061"><cell r="H1061"><v>4</v></cell><cell r="I1061" t="str"><v>Azure Direct</v></cell><cell r="J1061" t="str"><v>Azure Direct</v></cell><cell r="K1061" t="str"><v>September</v></cell><cell r="L1061"><v>43358</v></cell><cell r="M1061" t="str"><v>Tier 0</v></cell><cell r="N1061" t="str"><v>North America</v></cell><cell r="O1061" t="str"><v>United States</v></cell><cell r="P1061" t="str"><v>Trial</v></cell><cell r="Q1061" t="str"><v>Social</v></cell><cell r="R1061" t="str"><v>Azure</v></cell><cell r="S1061" t="str"><v>Apps & Infra</v></cell><cell r="T1061" t="str"><v>Developers & ITI's</v></cell><cell r="U1061" t="str"><v>USA-Trial-ITD-Trial Lookalike-AZR-AZR</v></cell><cell r="V1061" t="str"><v>Lookalike Targeting</v></cell><cell r="W1061" t="str"><v>Canvas Collection Ad</v></cell><cell r="X1061" t="str"><v>1200x182</v></cell><cell r="Y1061" t="str"><v>Try it Now</v></cell><cell r="Z1061" t="str"><v>Not Applicable</v></cell><cell r="AA1061"><v>43358</v></cell><cell r="AB1061" t="str"><v>USA_gaPMG_AZR_AZR_Q1_19_Direct-Social</v></cell><cell r="AC1061"><v>21358715</v></cell><cell r="AD1061"><v>720197</v></cell><cell r="AE1061" t="str"><v>Facebook</v></cell><cell r="AF1061"><v>3654128</v></cell><cell r="AG1061" t="str"><v>FACEBOOK»USA-Trial-ITD-Trial Lookalike-AZR-AZR»1 x 1»SocialBan»CCA»ALL»CPA»LAL»X»NA»SS»NA»Azure Developer Facebook Collections»PRSH0N</v></cell><cell r="AH1061"><v>225282481</v></cell><cell r="AI1061" t="str"><v>AZR_FBCollections-FreeStuffTryAzureFreeCTA-Img5_USA_1200x182_SOC_Plat_EN_NA_Standard_NA_TIN_T1_5</v></cell><cell r="AJ1061"><v>103776921</v></cell></row><row r="1062"><cell r="D1062" t="str"><v>43358225282481</v></cell><cell r="E1062" t="str"><v>43358103773180PRSH0N</v></cell><cell r="F1062" t="str"><v>DCM</v></cell></row><row r="1062"><cell r="H1062"><v>9</v></cell><cell r="I1062" t="str"><v>Azure Direct</v></cell><cell r="J1062" t="str"><v>Azure Direct</v></cell><cell r="K1062" t="str"><v>September</v></cell><cell r="L1062"><v>43358</v></cell><cell r="M1062" t="str"><v>Tier 0</v></cell><cell r="N1062" t="str"><v>North America</v></cell><cell r="O1062" t="str"><v>United States</v></cell><cell r="P1062" t="str"><v>Trial</v></cell><cell r="Q1062" t="str"><v>Social</v></cell><cell r="R1062" t="str"><v>Azure</v></cell><cell r="S1062" t="str"><v>Apps & Infra</v></cell><cell r="T1062" t="str"><v>Developers & ITI's</v></cell><cell r="U1062" t="str"><v>USA-Trial-ITD-Trial Lookalike-AZR-AZR</v></cell><cell r="V1062" t="str"><v>Lookalike Targeting</v></cell><cell r="W1062" t="str"><v>Canvas Collection Ad</v></cell><cell r="X1062" t="str"><v>1200x182</v></cell><cell r="Y1062" t="str"><v>Try it Now</v></cell><cell r="Z1062" t="str"><v>Not Applicable</v></cell><cell r="AA1062"><v>43358</v></cell><cell r="AB1062" t="str"><v>USA_gaPMG_AZR_AZR_Q1_19_Direct-Social</v></cell><cell r="AC1062"><v>21358715</v></cell><cell r="AD1062"><v>720197</v></cell><cell r="AE1062" t="str"><v>Facebook</v></cell><cell r="AF1062"><v>3654128</v></cell><cell r="AG1062" t="str"><v>FACEBOOK»USA-Trial-ITD-Trial Lookalike-AZR-AZR»1 x 1»SocialBan»CCA»ALL»CPA»LAL»X»NA»SS»NA»Azure Developer Facebook Collections»PRSH0N</v></cell><cell r="AH1062"><v>225282481</v></cell><cell r="AI1062" t="str"><v>AZR_FBCollections-SmartDataTryAzureFreeCTA-Img4_USA_1200x182_SOC_Plat_EN_NA_Standard_NA_TIN_T1_4</v></cell><cell r="AJ1062"><v>103773180</v></cell></row><row r="1063"><cell r="D1063" t="str"><v>43358225282481</v></cell><cell r="E1063" t="str"><v>43358103874423PRSH0N</v></cell><cell r="F1063" t="str"><v>DCM</v></cell></row><row r="1063"><cell r="H1063"><v>23</v></cell><cell r="I1063" t="str"><v>Azure Direct</v></cell><cell r="J1063" t="str"><v>Azure Direct</v></cell><cell r="K1063" t="str"><v>September</v></cell><cell r="L1063"><v>43358</v></cell><cell r="M1063" t="str"><v>Tier 0</v></cell><cell r="N1063" t="str"><v>North America</v></cell><cell r="O1063" t="str"><v>United States</v></cell><cell r="P1063" t="str"><v>Trial</v></cell><cell r="Q1063" t="str"><v>Social</v></cell><cell r="R1063" t="str"><v>Azure</v></cell><cell r="S1063" t="str"><v>Apps & Infra</v></cell><cell r="T1063" t="str"><v>Developers & ITI's</v></cell><cell r="U1063" t="str"><v>USA-Trial-ITD-Trial Lookalike-AZR-AZR</v></cell><cell r="V1063" t="str"><v>Lookalike Targeting</v></cell><cell r="W1063" t="str"><v>Canvas Collection Ad</v></cell><cell r="X1063" t="str"><v>1200x182</v></cell><cell r="Y1063" t="str"><v>Try it Now</v></cell><cell r="Z1063" t="str"><v>Not Applicable</v></cell><cell r="AA1063"><v>43358</v></cell><cell r="AB1063" t="str"><v>USA_gaPMG_AZR_AZR_Q1_19_Direct-Social</v></cell><cell r="AC1063"><v>21358715</v></cell><cell r="AD1063"><v>720197</v></cell><cell r="AE1063" t="str"><v>Facebook</v></cell><cell r="AF1063"><v>3654128</v></cell><cell r="AG1063" t="str"><v>FACEBOOK»USA-Trial-ITD-Trial Lookalike-AZR-AZR»1 x 1»SocialBan»CCA»ALL»CPA»LAL»X»NA»SS»NA»Azure Developer Facebook Collections»PRSH0N</v></cell><cell r="AH1063"><v>225282481</v></cell><cell r="AI1063" t="str"><v>AZR_FBCollections-TryAzureFreeCTA-Img1_USA_1200x182_SOC_Plat_EN_NA_Standard_NA_TIN_T1_1</v></cell><cell r="AJ1063"><v>103874423</v></cell></row><row r="1064"><cell r="D1064" t="str"><v>43358225282481</v></cell><cell r="E1064" t="str"><v>43358103773177PRSH0N</v></cell><cell r="F1064" t="str"><v>DCM</v></cell></row><row r="1064"><cell r="H1064"><v>2</v></cell><cell r="I1064" t="str"><v>Azure Direct</v></cell><cell r="J1064" t="str"><v>Azure Direct</v></cell><cell r="K1064" t="str"><v>September</v></cell><cell r="L1064"><v>43358</v></cell><cell r="M1064" t="str"><v>Tier 0</v></cell><cell r="N1064" t="str"><v>North America</v></cell><cell r="O1064" t="str"><v>United States</v></cell><cell r="P1064" t="str"><v>Trial</v></cell><cell r="Q1064" t="str"><v>Social</v></cell><cell r="R1064" t="str"><v>Azure</v></cell><cell r="S1064" t="str"><v>Apps & Infra</v></cell><cell r="T1064" t="str"><v>Developers & ITI's</v></cell><cell r="U1064" t="str"><v>USA-Trial-ITD-Trial Lookalike-AZR-AZR</v></cell><cell r="V1064" t="str"><v>Lookalike Targeting</v></cell><cell r="W1064" t="str"><v>Canvas Collection Ad</v></cell><cell r="X1064" t="str"><v>1200x182</v></cell><cell r="Y1064" t="str"><v>Try it Now</v></cell><cell r="Z1064" t="str"><v>Not Applicable</v></cell><cell r="AA1064"><v>43358</v></cell><cell r="AB1064" t="str"><v>USA_gaPMG_AZR_AZR_Q1_19_Direct-Social</v></cell><cell r="AC1064"><v>21358715</v></cell><cell r="AD1064"><v>720197</v></cell><cell r="AE1064" t="str"><v>Facebook</v></cell><cell r="AF1064"><v>3654128</v></cell><cell r="AG1064" t="str"><v>FACEBOOK»USA-Trial-ITD-Trial Lookalike-AZR-AZR»1 x 1»SocialBan»CCA»ALL»CPA»LAL»X»NA»SS»NA»Azure Developer Facebook Collections»PRSH0N</v></cell><cell r="AH1064"><v>225282481</v></cell><cell r="AI1064" t="str"><v>AZR_FBCollections-AITryAzureFreeCTA-Img2_USA_1200x182_SOC_Plat_EN_NA_Standard_NA_TIN_T1_2</v></cell><cell r="AJ1064"><v>103773177</v></cell></row><row r="1065"><cell r="D1065" t="str"><v>43358223862933</v></cell><cell r="E1065" t="str"><v>43358103037935PRC1M8</v></cell><cell r="F1065" t="str"><v>DCM</v></cell></row><row r="1065"><cell r="H1065"><v>3</v></cell><cell r="I1065" t="str"><v>Azure Direct</v></cell><cell r="J1065" t="str"><v>Azure Direct</v></cell><cell r="K1065" t="str"><v>September</v></cell><cell r="L1065"><v>43358</v></cell><cell r="M1065" t="str"><v>Tier 0</v></cell><cell r="N1065" t="str"><v>North America</v></cell><cell r="O1065" t="str"><v>United States</v></cell><cell r="P1065" t="str"><v>Trial</v></cell><cell r="Q1065" t="str"><v>Social</v></cell><cell r="R1065" t="str"><v>Azure</v></cell><cell r="S1065" t="str"><v>Apps & Infra</v></cell><cell r="T1065" t="str"><v>Developers & ITI's</v></cell><cell r="U1065" t="str"><v>USA-Trial-ITD-Trial Lookalike-AZR-AZR</v></cell><cell r="V1065" t="str"><v>Lookalike Targeting</v></cell><cell r="W1065" t="str"><v>Link Ad</v></cell><cell r="X1065" t="str"><v>1200x1200</v></cell><cell r="Y1065" t="str"><v>Learn More</v></cell><cell r="Z1065" t="str"><v>Animated Banner</v></cell><cell r="AA1065"><v>43358</v></cell><cell r="AB1065" t="str"><v>USA_gaPMG_AZR_AZR_Q1_19_Direct-Social</v></cell><cell r="AC1065"><v>21358715</v></cell><cell r="AD1065"><v>720197</v></cell><cell r="AE1065" t="str"><v>Facebook</v></cell><cell r="AF1065"><v>3654128</v></cell><cell r="AG1065" t="str"><v>FACEBOOK»USA-Trial-ITD-Trial Lookalike-AZR-AZR»1 x 1»SocialBan»LIA»ALL»CPA»LAL»X»NA»SS»NA»FreeAcctDeveloperFB-AnimatedData-Ch4»PRC1M8</v></cell><cell r="AH1065"><v>223862933</v></cell><cell r="AI1065" t="str"><v>AZR_FreeAcctDeveloperFB-AnimatedData-Ch4_USA_1200x1200_CAN_Direct_English_Trial_Standard_ANI_LEA_T4_2</v></cell><cell r="AJ1065"><v>103037935</v></cell></row><row r="1066"><cell r="D1066" t="str"><v>43358224104986</v></cell><cell r="E1066" t="str"><v>43358103043835PRC1Q1</v></cell><cell r="F1066" t="str"><v>DCM</v></cell></row><row r="1066"><cell r="H1066"><v>0</v></cell><cell r="I1066" t="str"><v>Azure Direct</v></cell><cell r="J1066" t="str"><v>Azure Direct</v></cell><cell r="K1066" t="str"><v>September</v></cell><cell r="L1066"><v>43358</v></cell><cell r="M1066" t="str"><v>Tier 0</v></cell><cell r="N1066" t="str"><v>North America</v></cell><cell r="O1066" t="str"><v>United States</v></cell><cell r="P1066" t="str"><v>Trial</v></cell><cell r="Q1066" t="str"><v>Social</v></cell><cell r="R1066" t="str"><v>Azure</v></cell><cell r="S1066" t="str"><v>Apps & Infra</v></cell><cell r="T1066" t="str"><v>Developers & ITI's</v></cell><cell r="U1066" t="str"><v>USA-Trial-ITD-Trial PayGo Lookalike-AZR-AZR</v></cell><cell r="V1066" t="str"><v>Lookalike Targeting</v></cell><cell r="W1066" t="str"><v>Canvas Ad</v></cell><cell r="X1066" t="str"><v>10s</v></cell><cell r="Y1066" t="str"><v>Try it Now</v></cell><cell r="Z1066" t="str"><v>Standard videos</v></cell><cell r="AA1066"><v>43358</v></cell><cell r="AB1066" t="str"><v>USA_gaPMG_AZR_AZR_Q1_19_Direct-Social</v></cell><cell r="AC1066"><v>21358715</v></cell><cell r="AD1066"><v>720197</v></cell><cell r="AE1066" t="str"><v>Facebook</v></cell><cell r="AF1066"><v>3654128</v></cell><cell r="AG1066" t="str"><v>FACEBOOK»USA-Trial-ITD-Trial PayGo Lookalike-AZR-AZR»1 x 1»SocialBan»CAN»ALL»CPA»LAL»X»NA»SS»NA»FBCTCBenefit2inMotion»PRC1Q1</v></cell><cell r="AH1066"><v>224104986</v></cell><cell r="AI1066" t="str"><v>AzurePlatform_FBCTCBenefit2inMotion_USA_10s_CAN_PLATFORM_English_Trial_Standard_STAN_TIN_T4_1</v></cell><cell r="AJ1066"><v>103043835</v></cell></row><row r="1067"><cell r="D1067" t="str"><v>43358226617679</v></cell><cell r="E1067" t="str"><v>43358104671427PS7B5R</v></cell><cell r="F1067" t="str"><v>DCM</v></cell></row><row r="1067"><cell r="H1067"><v>0</v></cell><cell r="I1067" t="str"><v>Azure Direct</v></cell><cell r="J1067" t="str"><v>Azure Direct</v></cell><cell r="K1067" t="str"><v>September</v></cell><cell r="L1067"><v>43358</v></cell><cell r="M1067" t="str"><v>Tier 0</v></cell><cell r="N1067" t="str"><v>North America</v></cell><cell r="O1067" t="str"><v>United States</v></cell><cell r="P1067" t="str"><v>Trial</v></cell><cell r="Q1067" t="str"><v>Social</v></cell><cell r="R1067" t="str"><v>Azure</v></cell><cell r="S1067" t="str"><v>Apps & Infra</v></cell><cell r="T1067" t="str"><v>Developers & ITI's</v></cell><cell r="U1067" t="str"><v>USA-Trial-ITD-Trial PayGo Lookalike-AZR-AZR</v></cell><cell r="V1067" t="str"><v>Lookalike Targeting</v></cell><cell r="W1067" t="str"><v>Canvas Ad</v></cell><cell r="X1067" t="str"><v>1200x1200</v></cell><cell r="Y1067" t="str"><v>Learn More</v></cell><cell r="Z1067" t="str"><v>Animated Banner</v></cell><cell r="AA1067"><v>43358</v></cell><cell r="AB1067" t="str"><v>USA_gaPMG_AZR_AZR_Q1_19_Direct-Social</v></cell><cell r="AC1067"><v>21358715</v></cell><cell r="AD1067"><v>720197</v></cell><cell r="AE1067" t="str"><v>Facebook</v></cell><cell r="AF1067"><v>3654128</v></cell><cell r="AG1067" t="str"><v>FACEBOOK»USA-Trial-ITD-Trial PayGo Lookalike-AZR-AZR»1 x 1»SocialBan»CAN»ALL»CPA»LAL»X»NA»SS»NA»FreeAcctDeveloperFB-AnimatedOpenSource-Ch2»PS7B5R</v></cell><cell r="AH1067"><v>226617679</v></cell><cell r="AI1067" t="str"><v>AZR_FreeAcctDeveloperFB-AnimatedOpenSource-Ch2_USA_1200x1200_CAN_Direct_EN_Trial_Standard_ANI_LEA_T2_1</v></cell><cell r="AJ1067"><v>104671427</v></cell></row><row r="1068"><cell r="D1068" t="str"><v>43358224104092</v></cell><cell r="E1068" t="str"><v>43358103176851PRC1Q5</v></cell><cell r="F1068" t="str"><v>DCM</v></cell></row><row r="1068"><cell r="H1068"><v>5</v></cell><cell r="I1068" t="str"><v>Azure Direct</v></cell><cell r="J1068" t="str"><v>Azure Direct</v></cell><cell r="K1068" t="str"><v>September</v></cell><cell r="L1068"><v>43358</v></cell><cell r="M1068" t="str"><v>Tier 0</v></cell><cell r="N1068" t="str"><v>North America</v></cell><cell r="O1068" t="str"><v>United States</v></cell><cell r="P1068" t="str"><v>Trial</v></cell><cell r="Q1068" t="str"><v>Social</v></cell><cell r="R1068" t="str"><v>Azure</v></cell><cell r="S1068" t="str"><v>Apps & Infra</v></cell><cell r="T1068" t="str"><v>Developers & ITI's</v></cell><cell r="U1068" t="str"><v>USA-Trial-ITD-Trial PayGo Lookalike-AZR-AZR</v></cell><cell r="V1068" t="str"><v>Lookalike Targeting</v></cell><cell r="W1068" t="str"><v>Link Ad</v></cell><cell r="X1068" t="str"><v>1200x1200</v></cell><cell r="Y1068" t="str"><v>Learn More</v></cell><cell r="Z1068" t="str"><v>Animated Banner</v></cell><cell r="AA1068"><v>43358</v></cell><cell r="AB1068" t="str"><v>USA_gaPMG_AZR_AZR_Q1_19_Direct-Social</v></cell><cell r="AC1068"><v>21358715</v></cell><cell r="AD1068"><v>720197</v></cell><cell r="AE1068" t="str"><v>Facebook</v></cell><cell r="AF1068"><v>3654128</v></cell><cell r="AG1068" t="str"><v>FACEBOOK»USA-Trial-ITD-Trial PayGo Lookalike-AZR-AZR»1 x 1»SocialBan»LIA»ALL»CPA»LAL»X»NA»SS»NA»FreeAcctDeveloperFB-AnimatedGeneric-Ch1»PRC1Q5</v></cell><cell r="AH1068"><v>224104092</v></cell><cell r="AI1068" t="str"><v>AZR_FreeAcctDeveloperFB-AnimatedGeneric-Ch1_USA_1200x1200_CAN_Direct_English_Trial_Standard_ANI_LEA_T1_2</v></cell><cell r="AJ1068"><v>103176851</v></cell></row><row r="1069"><cell r="D1069" t="str"><v>43358224106129</v></cell><cell r="E1069" t="str"><v>43358103176851PRC1Q6</v></cell><cell r="F1069" t="str"><v>DCM</v></cell></row><row r="1069"><cell r="H1069"><v>2</v></cell><cell r="I1069" t="str"><v>Azure Direct</v></cell><cell r="J1069" t="str"><v>Azure Direct</v></cell><cell r="K1069" t="str"><v>September</v></cell><cell r="L1069"><v>43358</v></cell><cell r="M1069" t="str"><v>Tier 0</v></cell><cell r="N1069" t="str"><v>North America</v></cell><cell r="O1069" t="str"><v>United States</v></cell><cell r="P1069" t="str"><v>Trial</v></cell><cell r="Q1069" t="str"><v>Social</v></cell><cell r="R1069" t="str"><v>Azure</v></cell><cell r="S1069" t="str"><v>Apps & Infra</v></cell><cell r="T1069" t="str"><v>Developers & ITI's</v></cell><cell r="U1069" t="str"><v>USA-Trial-ITD-Trial PayGo Lookalike-AZR-AZR</v></cell><cell r="V1069" t="str"><v>Lookalike Targeting</v></cell><cell r="W1069" t="str"><v>Link Ad</v></cell><cell r="X1069" t="str"><v>1200x1200</v></cell><cell r="Y1069" t="str"><v>Learn More</v></cell><cell r="Z1069" t="str"><v>Animated Banner</v></cell><cell r="AA1069"><v>43358</v></cell><cell r="AB1069" t="str"><v>USA_gaPMG_AZR_AZR_Q1_19_Direct-Social</v></cell><cell r="AC1069"><v>21358715</v></cell><cell r="AD1069"><v>720197</v></cell><cell r="AE1069" t="str"><v>Facebook</v></cell><cell r="AF1069"><v>3654128</v></cell><cell r="AG1069" t="str"><v>FACEBOOK»USA-Trial-ITD-Trial PayGo Lookalike-AZR-AZR»1 x 1»SocialBan»LIA»ALL»CPA»LAL»X»NA»SS»NA»FreeAcctDeveloperFB-AnimatedGeneric-Ch1»PRC1Q6</v></cell><cell r="AH1069"><v>224106129</v></cell><cell r="AI1069" t="str"><v>AZR_FreeAcctDeveloperFB-AnimatedGeneric-Ch1_USA_1200x1200_CAN_Direct_English_Trial_Standard_ANI_LEA_T1_2</v></cell><cell r="AJ1069"><v>103176851</v></cell></row><row r="1070"><cell r="D1070" t="str"><v>43358226622239</v></cell><cell r="E1070" t="str"><v>43358104592523PS78J6</v></cell><cell r="F1070" t="str"><v>DCM</v></cell></row><row r="1070"><cell r="H1070"><v>2</v></cell><cell r="I1070" t="str"><v>Azure Direct</v></cell><cell r="J1070" t="str"><v>Azure Direct</v></cell><cell r="K1070" t="str"><v>September</v></cell><cell r="L1070"><v>43358</v></cell><cell r="M1070" t="str"><v>Tier 0</v></cell><cell r="N1070" t="str"><v>North America</v></cell><cell r="O1070" t="str"><v>United States</v></cell><cell r="P1070" t="str"><v>Trial</v></cell><cell r="Q1070" t="str"><v>Social</v></cell><cell r="R1070" t="str"><v>Azure</v></cell><cell r="S1070" t="str"><v>Apps & Infra</v></cell><cell r="T1070" t="str"><v>Developers & ITI's</v></cell><cell r="U1070" t="str"><v>USA-Trial-ITD-Interest Prospecting-AZR-AZR</v></cell><cell r="V1070" t="str"><v>Prospecting</v></cell><cell r="W1070" t="str"><v>Canvas Ad</v></cell><cell r="X1070" t="str"><v>1200x1200</v></cell><cell r="Y1070" t="str"><v>Learn More</v></cell><cell r="Z1070" t="str"><v>Animated Banner</v></cell><cell r="AA1070"><v>43358</v></cell><cell r="AB1070" t="str"><v>USA_gaPMG_AZR_AZR_Q1_19_Direct-Social</v></cell><cell r="AC1070"><v>21358715</v></cell><cell r="AD1070"><v>720197</v></cell><cell r="AE1070" t="str"><v>Facebook</v></cell><cell r="AF1070"><v>3654128</v></cell><cell r="AG1070" t="str"><v>FACEBOOK»USA-Trial-ITD-Interest Prospecting-AZR-AZR»1 x 1»SocialBan»CAN»ALL»CPA»PRO»X»NA»SS»NA»FreeAcctDeveloperFB-AnimatedGeneric-Ch1»PS78J6</v></cell><cell r="AH1070"><v>226622239</v></cell><cell r="AI1070" t="str"><v>AZR_FreeAcctDeveloperFB-AnimatedGeneric-Ch1_USA_1200x1200_CAN_Direct_EN_Trial_Standard_ANI_LEA_T1_2</v></cell><cell r="AJ1070"><v>104592523</v></cell></row><row r="1071"><cell r="D1071" t="str"><v>43358226620994</v></cell><cell r="E1071" t="str"><v>43358104593726PS78JH</v></cell><cell r="F1071" t="str"><v>DCM</v></cell></row><row r="1071"><cell r="H1071"><v>1</v></cell><cell r="I1071" t="str"><v>Azure Direct</v></cell><cell r="J1071" t="str"><v>Azure Direct</v></cell><cell r="K1071" t="str"><v>September</v></cell><cell r="L1071"><v>43358</v></cell><cell r="M1071" t="str"><v>Tier 0</v></cell><cell r="N1071" t="str"><v>North America</v></cell><cell r="O1071" t="str"><v>United States</v></cell><cell r="P1071" t="str"><v>Trial</v></cell><cell r="Q1071" t="str"><v>Social</v></cell><cell r="R1071" t="str"><v>Azure</v></cell><cell r="S1071" t="str"><v>Apps & Infra</v></cell><cell r="T1071" t="str"><v>Developers & ITI's</v></cell><cell r="U1071" t="str"><v>USA-Trial-ITD-Interest Prospecting-AZR-AZR</v></cell><cell r="V1071" t="str"><v>Prospecting</v></cell><cell r="W1071" t="str"><v>Canvas Ad</v></cell><cell r="X1071" t="str"><v>1200x1200</v></cell><cell r="Y1071" t="str"><v>Learn More</v></cell><cell r="Z1071" t="str"><v>Animated Banner</v></cell><cell r="AA1071"><v>43358</v></cell><cell r="AB1071" t="str"><v>USA_gaPMG_AZR_AZR_Q1_19_Direct-Social</v></cell><cell r="AC1071"><v>21358715</v></cell><cell r="AD1071"><v>720197</v></cell><cell r="AE1071" t="str"><v>Facebook</v></cell><cell r="AF1071"><v>3654128</v></cell><cell r="AG1071" t="str"><v>FACEBOOK»USA-Trial-ITD-Interest Prospecting-AZR-AZR»1 x 1»SocialBan»CAN»ALL»CPA»PRO»X»NA»SS»NA»FreeAcctITProFB-AnimatedHybrid-Ch2»PS78JH</v></cell><cell r="AH1071"><v>226620994</v></cell><cell r="AI1071" t="str"><v>AZR_FreeAcctITProFB-AnimatedHybrid-Ch2_USA_1200x1200_CAN_Direct_EN_Trial_Standard_ANI_LEA_T2_2</v></cell><cell r="AJ1071"><v>104593726</v></cell></row><row r="1072"><cell r="D1072" t="str"><v>43358223934056</v></cell><cell r="E1072" t="str"><v>43358103176827PRC26P</v></cell><cell r="F1072" t="str"><v>DCM</v></cell></row><row r="1072"><cell r="H1072"><v>2</v></cell><cell r="I1072" t="str"><v>Azure Direct</v></cell><cell r="J1072" t="str"><v>Azure Direct</v></cell><cell r="K1072" t="str"><v>September</v></cell><cell r="L1072"><v>43358</v></cell><cell r="M1072" t="str"><v>Tier 0</v></cell><cell r="N1072" t="str"><v>North America</v></cell><cell r="O1072" t="str"><v>United States</v></cell><cell r="P1072" t="str"><v>Trial</v></cell><cell r="Q1072" t="str"><v>Social</v></cell><cell r="R1072" t="str"><v>Azure</v></cell><cell r="S1072" t="str"><v>Apps & Infra</v></cell><cell r="T1072" t="str"><v>Developers & ITI's</v></cell><cell r="U1072" t="str"><v>USA-Trial-ITD-Retargeting-AZR-AZR</v></cell><cell r="V1072" t="str"><v>Retargeting</v></cell><cell r="W1072" t="str"><v>Link Ad</v></cell><cell r="X1072" t="str"><v>1200x1200</v></cell><cell r="Y1072" t="str"><v>Learn More</v></cell><cell r="Z1072" t="str"><v>Animated Banner</v></cell><cell r="AA1072"><v>43358</v></cell><cell r="AB1072" t="str"><v>USA_gaPMG_AZR_AZR_Q1_19_Direct-Social</v></cell><cell r="AC1072"><v>21358715</v></cell><cell r="AD1072"><v>720197</v></cell><cell r="AE1072" t="str"><v>Facebook</v></cell><cell r="AF1072"><v>3654128</v></cell><cell r="AG1072" t="str"><v>FACEBOOK»USA-Trial-ITD-Retargeting-AZR-AZR»1 x 1»SocialBan»LIA»ALL»CPA»RT»X»NA»SS»NA»FreeAcctITProFB-AnimatedMigration-Ch3»PRC26P</v></cell><cell r="AH1072"><v>223934056</v></cell><cell r="AI1072" t="str"><v>AZR_FreeAcctITProFB-AnimatedMigration-Ch3_USA_1200x1200_CAN_Direct_English_Trial_Standard_ANI_LEA_T3_1</v></cell><cell r="AJ1072"><v>103176827</v></cell></row><row r="1073"><cell r="D1073" t="str"><v>43358223862897</v></cell><cell r="E1073" t="str"><v>43358103032775PRC1M2</v></cell><cell r="F1073" t="str"><v>DCM</v></cell></row><row r="1073"><cell r="H1073"><v>0</v></cell><cell r="I1073" t="str"><v>Azure Direct</v></cell><cell r="J1073" t="str"><v>Azure Direct</v></cell><cell r="K1073" t="str"><v>September</v></cell><cell r="L1073"><v>43358</v></cell><cell r="M1073" t="str"><v>Tier 0</v></cell><cell r="N1073" t="str"><v>North America</v></cell><cell r="O1073" t="str"><v>United States</v></cell><cell r="P1073" t="str"><v>Trial</v></cell><cell r="Q1073" t="str"><v>Social</v></cell><cell r="R1073" t="str"><v>Azure</v></cell><cell r="S1073" t="str"><v>Apps & Infra</v></cell><cell r="T1073" t="str"><v>Developers & ITI's</v></cell><cell r="U1073" t="str"><v>USA-Trial-ITD-Trial Lookalike-AZR-AZR</v></cell><cell r="V1073" t="str"><v>Lookalike Targeting</v></cell><cell r="W1073" t="str"><v>Canvas Ad</v></cell><cell r="X1073" t="str"><v>10s</v></cell><cell r="Y1073" t="str"><v>Try it Now</v></cell><cell r="Z1073" t="str"><v>Standard videos</v></cell><cell r="AA1073"><v>43358</v></cell><cell r="AB1073" t="str"><v>USA_gaPMG_AZR_AZR_Q1_19_Direct-Social</v></cell><cell r="AC1073"><v>21358715</v></cell><cell r="AD1073"><v>720197</v></cell><cell r="AE1073" t="str"><v>Facebook</v></cell><cell r="AF1073"><v>3654128</v></cell><cell r="AG1073" t="str"><v>FACEBOOK»USA-Trial-ITD-Trial Lookalike-AZR-AZR»1 x 1»SocialBan»CAN»ALL»CPA»LAL»X»NA»SS»NA»FBCTCBenefitinMotion»PRC1M2</v></cell><cell r="AH1073"><v>223862897</v></cell><cell r="AI1073" t="str"><v>AzurePlatform_FBCTCBenefitinMotion_USA_10s_CAN_PLATFORM_English_Trial_Standard_STAN_TIN_T3_1</v></cell><cell r="AJ1073"><v>103032775</v></cell></row><row r="1074"><cell r="D1074" t="str"><v>43358226621012</v></cell><cell r="E1074" t="str"><v>43358104595730PS7B55</v></cell><cell r="F1074" t="str"><v>DCM</v></cell></row><row r="1074"><cell r="H1074"><v>1</v></cell><cell r="I1074" t="str"><v>Azure Direct</v></cell><cell r="J1074" t="str"><v>Azure Direct</v></cell><cell r="K1074" t="str"><v>September</v></cell><cell r="L1074"><v>43358</v></cell><cell r="M1074" t="str"><v>Tier 0</v></cell><cell r="N1074" t="str"><v>North America</v></cell><cell r="O1074" t="str"><v>United States</v></cell><cell r="P1074" t="str"><v>Trial</v></cell><cell r="Q1074" t="str"><v>Social</v></cell><cell r="R1074" t="str"><v>Azure</v></cell><cell r="S1074" t="str"><v>Apps & Infra</v></cell><cell r="T1074" t="str"><v>Developers & ITI's</v></cell><cell r="U1074" t="str"><v>USA-Trial-ITD-Trial Lookalike-AZR-AZR</v></cell><cell r="V1074" t="str"><v>Lookalike Targeting</v></cell><cell r="W1074" t="str"><v>Canvas Ad</v></cell><cell r="X1074" t="str"><v>1200x1200</v></cell><cell r="Y1074" t="str"><v>Learn More</v></cell><cell r="Z1074" t="str"><v>Animated Banner</v></cell><cell r="AA1074"><v>43358</v></cell><cell r="AB1074" t="str"><v>USA_gaPMG_AZR_AZR_Q1_19_Direct-Social</v></cell><cell r="AC1074"><v>21358715</v></cell><cell r="AD1074"><v>720197</v></cell><cell r="AE1074" t="str"><v>Facebook</v></cell><cell r="AF1074"><v>3654128</v></cell><cell r="AG1074" t="str"><v>FACEBOOK»USA-Trial-ITD-Trial Lookalike-AZR-AZR»1 x 1»SocialBan»CAN»ALL»CPA»LAL»X»NA»SS»NA»FreeAcctITProFB-AnimatedMigration-Ch3»PS7B55</v></cell><cell r="AH1074"><v>226621012</v></cell><cell r="AI1074" t="str"><v>AZR_FreeAcctITProFB-AnimatedMigration-Ch3_USA_1200x1200_CAN_Direct_EN_Trial_Standard_ANI_LEA_T3_2</v></cell><cell r="AJ1074"><v>104595730</v></cell></row><row r="1075"><cell r="D1075" t="str"><v>43358226621012</v></cell><cell r="E1075" t="str"><v>43358104593450PS7B55</v></cell><cell r="F1075" t="str"><v>DCM</v></cell></row><row r="1075"><cell r="H1075"><v>0</v></cell><cell r="I1075" t="str"><v>Azure Direct</v></cell><cell r="J1075" t="str"><v>Azure Direct</v></cell><cell r="K1075" t="str"><v>September</v></cell><cell r="L1075"><v>43358</v></cell><cell r="M1075" t="str"><v>Tier 0</v></cell><cell r="N1075" t="str"><v>North America</v></cell><cell r="O1075" t="str"><v>United States</v></cell><cell r="P1075" t="str"><v>Trial</v></cell><cell r="Q1075" t="str"><v>Social</v></cell><cell r="R1075" t="str"><v>Azure</v></cell><cell r="S1075" t="str"><v>Apps & Infra</v></cell><cell r="T1075" t="str"><v>Developers & ITI's</v></cell><cell r="U1075" t="str"><v>USA-Trial-ITD-Trial Lookalike-AZR-AZR</v></cell><cell r="V1075" t="str"><v>Lookalike Targeting</v></cell><cell r="W1075" t="str"><v>Canvas Ad</v></cell><cell r="X1075" t="str"><v>1200x1200</v></cell><cell r="Y1075" t="str"><v>Learn More</v></cell><cell r="Z1075" t="str"><v>Animated Banner</v></cell><cell r="AA1075"><v>43358</v></cell><cell r="AB1075" t="str"><v>USA_gaPMG_AZR_AZR_Q1_19_Direct-Social</v></cell><cell r="AC1075"><v>21358715</v></cell><cell r="AD1075"><v>720197</v></cell><cell r="AE1075" t="str"><v>Facebook</v></cell><cell r="AF1075"><v>3654128</v></cell><cell r="AG1075" t="str"><v>FACEBOOK»USA-Trial-ITD-Trial Lookalike-AZR-AZR»1 x 1»SocialBan»CAN»ALL»CPA»LAL»X»NA»SS»NA»FreeAcctITProFB-AnimatedMigration-Ch3»PS7B55</v></cell><cell r="AH1075"><v>226621012</v></cell><cell r="AI1075" t="str"><v>AZR_FreeAcctITProFB-AnimatedMigration-Ch3_USA_1200x1200_CAN_Direct_EN_Trial_Standard_ANI_LEA_T3_1</v></cell><cell r="AJ1075"><v>104593450</v></cell></row><row r="1076"><cell r="D1076" t="str"><v>43358226784037</v></cell><cell r="E1076" t="str"><v>43358104595766PS7B5Q</v></cell><cell r="F1076" t="str"><v>DCM</v></cell></row><row r="1076"><cell r="H1076"><v>0</v></cell><cell r="I1076" t="str"><v>Azure Direct</v></cell><cell r="J1076" t="str"><v>Azure Direct</v></cell><cell r="K1076" t="str"><v>September</v></cell><cell r="L1076"><v>43358</v></cell><cell r="M1076" t="str"><v>Tier 0</v></cell><cell r="N1076" t="str"><v>North America</v></cell><cell r="O1076" t="str"><v>United States</v></cell><cell r="P1076" t="str"><v>Trial</v></cell><cell r="Q1076" t="str"><v>Social</v></cell><cell r="R1076" t="str"><v>Azure</v></cell><cell r="S1076" t="str"><v>Apps & Infra</v></cell><cell r="T1076" t="str"><v>Developers & ITI's</v></cell><cell r="U1076" t="str"><v>USA-Trial-ITD-Trial PayGo Lookalike-AZR-AZR</v></cell><cell r="V1076" t="str"><v>Lookalike Targeting</v></cell><cell r="W1076" t="str"><v>Canvas Ad</v></cell><cell r="X1076" t="str"><v>1200x1200</v></cell><cell r="Y1076" t="str"><v>Learn More</v></cell><cell r="Z1076" t="str"><v>Animated Banner</v></cell><cell r="AA1076"><v>43358</v></cell><cell r="AB1076" t="str"><v>USA_gaPMG_AZR_AZR_Q1_19_Direct-Social</v></cell><cell r="AC1076"><v>21358715</v></cell><cell r="AD1076"><v>720197</v></cell><cell r="AE1076" t="str"><v>Facebook</v></cell><cell r="AF1076"><v>3654128</v></cell><cell r="AG1076" t="str"><v>FACEBOOK»USA-Trial-ITD-Trial PayGo Lookalike-AZR-AZR»1 x 1»SocialBan»CAN»ALL»CPA»LAL»X»NA»SS»NA»FreeAcctDeveloperFB-AnimatedGeneric-Ch1»PS7B5Q</v></cell><cell r="AH1076"><v>226784037</v></cell><cell r="AI1076" t="str"><v>AZR_FreeAcctDeveloperFB-AnimatedGeneric-Ch1_USA_1200x1200_CAN_Direct_EN_Trial_Standard_ANI_LEA_T1_1</v></cell><cell r="AJ1076"><v>104595766</v></cell></row><row r="1077"><cell r="D1077" t="str"><v>43358226786236</v></cell><cell r="E1077" t="str"><v>43358104593423PS79T0</v></cell><cell r="F1077" t="str"><v>DCM</v></cell></row><row r="1077"><cell r="H1077"><v>0</v></cell><cell r="I1077" t="str"><v>Azure Direct</v></cell><cell r="J1077" t="str"><v>Azure Direct</v></cell><cell r="K1077" t="str"><v>September</v></cell><cell r="L1077"><v>43358</v></cell><cell r="M1077" t="str"><v>Tier 0</v></cell><cell r="N1077" t="str"><v>North America</v></cell><cell r="O1077" t="str"><v>United States</v></cell><cell r="P1077" t="str"><v>Trial</v></cell><cell r="Q1077" t="str"><v>Social</v></cell><cell r="R1077" t="str"><v>Azure</v></cell><cell r="S1077" t="str"><v>Apps & Infra</v></cell><cell r="T1077" t="str"><v>Developers & ITI's</v></cell><cell r="U1077" t="str"><v>USA-Trial-ITD-Retargeting-AZR-AZR</v></cell><cell r="V1077" t="str"><v>Retargeting</v></cell><cell r="W1077" t="str"><v>Canvas Ad</v></cell><cell r="X1077" t="str"><v>1200x628</v></cell><cell r="Y1077" t="str"><v>Sign Up</v></cell><cell r="Z1077" t="str"><v>Not Applicable</v></cell><cell r="AA1077"><v>43358</v></cell><cell r="AB1077" t="str"><v>USA_gaPMG_AZR_AZR_Q1_19_Direct-Social</v></cell><cell r="AC1077"><v>21358715</v></cell><cell r="AD1077"><v>720197</v></cell><cell r="AE1077" t="str"><v>Facebook</v></cell><cell r="AF1077"><v>3654128</v></cell><cell r="AG1077" t="str"><v>FACEBOOK»USA-Trial-ITD-Retargeting-AZR-AZR»1 x 1»SocialBan»CAN»ALL»CPA»RT»X»NA»SS»NA»FreeAcctRetargetingOSSFB-Text-ChF»PS79T0</v></cell><cell r="AH1077"><v>226786236</v></cell><cell r="AI1077" t="str"><v>AZR_FreeAcctRetargetingOSSFB-Text-ChF_USA_1200x628_CAN_Plat_English_Free Account_Standard_NA_SINU_T1_1</v></cell><cell r="AJ1077"><v>104593423</v></cell></row><row r="1078"><cell r="D1078" t="str"><v>43358223862915</v></cell><cell r="E1078" t="str"><v>43358103175984PRC1LZ</v></cell><cell r="F1078" t="str"><v>DCM</v></cell></row><row r="1078"><cell r="H1078"><v>0</v></cell><cell r="I1078" t="str"><v>Azure Direct</v></cell><cell r="J1078" t="str"><v>Azure Direct</v></cell><cell r="K1078" t="str"><v>September</v></cell><cell r="L1078"><v>43358</v></cell><cell r="M1078" t="str"><v>Tier 0</v></cell><cell r="N1078" t="str"><v>North America</v></cell><cell r="O1078" t="str"><v>United States</v></cell><cell r="P1078" t="str"><v>Trial</v></cell><cell r="Q1078" t="str"><v>Social</v></cell><cell r="R1078" t="str"><v>Azure</v></cell><cell r="S1078" t="str"><v>Apps & Infra</v></cell><cell r="T1078" t="str"><v>Developers & ITI's</v></cell><cell r="U1078" t="str"><v>USA-Trial-ITD-Trial Lookalike-AZR-AZR</v></cell><cell r="V1078" t="str"><v>Lookalike Targeting</v></cell><cell r="W1078" t="str"><v>Canvas Ad</v></cell><cell r="X1078" t="str"><v>10s</v></cell><cell r="Y1078" t="str"><v>Try it Now</v></cell><cell r="Z1078" t="str"><v>Standard videos</v></cell><cell r="AA1078"><v>43358</v></cell><cell r="AB1078" t="str"><v>USA_gaPMG_AZR_AZR_Q1_19_Direct-Social</v></cell><cell r="AC1078"><v>21358715</v></cell><cell r="AD1078"><v>720197</v></cell><cell r="AE1078" t="str"><v>Facebook</v></cell><cell r="AF1078"><v>3654128</v></cell><cell r="AG1078" t="str"><v>FACEBOOK»USA-Trial-ITD-Trial Lookalike-AZR-AZR»1 x 1»SocialBan»CAN»ALL»CPA»LAL»X»NA»SS»NA»FBCTCBasicMotion»PRC1LZ</v></cell><cell r="AH1078"><v>223862915</v></cell><cell r="AI1078" t="str"><v>AzurePlatform_FBCTCBasicMotion_USA_10s_CAN_PLATFORM_English_Trial_Standard_STAN_TIN_T1_2</v></cell><cell r="AJ1078"><v>103175984</v></cell></row><row r="1079"><cell r="D1079" t="str"><v>43358226786188</v></cell><cell r="E1079" t="str"><v>43358104593435PS7BTJ</v></cell><cell r="F1079" t="str"><v>DCM</v></cell></row><row r="1079"><cell r="H1079"><v>0</v></cell><cell r="I1079" t="str"><v>Azure Direct</v></cell><cell r="J1079" t="str"><v>Azure Direct</v></cell><cell r="K1079" t="str"><v>September</v></cell><cell r="L1079"><v>43358</v></cell><cell r="M1079" t="str"><v>Tier 0</v></cell><cell r="N1079" t="str"><v>North America</v></cell><cell r="O1079" t="str"><v>United States</v></cell><cell r="P1079" t="str"><v>Trial</v></cell><cell r="Q1079" t="str"><v>Social</v></cell><cell r="R1079" t="str"><v>Azure</v></cell><cell r="S1079" t="str"><v>Apps & Infra</v></cell><cell r="T1079" t="str"><v>Developers & ITI's</v></cell><cell r="U1079" t="str"><v>USA-Trial-ITD-Bing Retargeting-AZR-AZR</v></cell><cell r="V1079" t="str"><v>Retargeting</v></cell><cell r="W1079" t="str"><v>Link Ad</v></cell><cell r="X1079" t="str"><v>1200x627</v></cell><cell r="Y1079" t="str"><v>Sign Up</v></cell><cell r="Z1079" t="str"><v>Not Applicable</v></cell><cell r="AA1079"><v>43358</v></cell><cell r="AB1079" t="str"><v>USA_gaPMG_AZR_AZR_Q1_19_Direct-Social</v></cell><cell r="AC1079"><v>21358715</v></cell><cell r="AD1079"><v>720197</v></cell><cell r="AE1079" t="str"><v>Linkedin</v></cell><cell r="AF1079"><v>3654329</v></cell><cell r="AG1079" t="str"><v>LINKEDIN»USA-Trial-ITD-Bing Retargeting-AZR-AZR»1 x 1»SocialBan»LIA»ALL»CPA»RT»D»All»SS»NA»FreeAcctRetargetingLI-Credit-ChA»PS7BTJ</v></cell><cell r="AH1079"><v>226786188</v></cell><cell r="AI1079" t="str"><v>AZR_FreeAcctRetargetingLI-Credit-ChA_USA_1200x627_LIA_Plat_English_Free Account_Standard_NA_SINU_T1_1</v></cell><cell r="AJ1079"><v>104593435</v></cell></row><row r="1080"><cell r="D1080" t="str"><v>43358226536104</v></cell><cell r="E1080" t="str"><v>43358104593723PS7BTN</v></cell><cell r="F1080" t="str"><v>DCM</v></cell></row><row r="1080"><cell r="H1080"><v>0</v></cell><cell r="I1080" t="str"><v>Azure Direct</v></cell><cell r="J1080" t="str"><v>Azure Direct</v></cell><cell r="K1080" t="str"><v>September</v></cell><cell r="L1080"><v>43358</v></cell><cell r="M1080" t="str"><v>Tier 0</v></cell><cell r="N1080" t="str"><v>North America</v></cell><cell r="O1080" t="str"><v>United States</v></cell><cell r="P1080" t="str"><v>Trial</v></cell><cell r="Q1080" t="str"><v>Social</v></cell><cell r="R1080" t="str"><v>Azure</v></cell><cell r="S1080" t="str"><v>Apps & Infra</v></cell><cell r="T1080" t="str"><v>Developers & ITI's</v></cell><cell r="U1080" t="str"><v>USA-Trial-ITD-Bing Retargeting-AZR-AZR</v></cell><cell r="V1080" t="str"><v>Retargeting</v></cell><cell r="W1080" t="str"><v>Link Ad</v></cell><cell r="X1080" t="str"><v>1200x627</v></cell><cell r="Y1080" t="str"><v>Sign Up</v></cell><cell r="Z1080" t="str"><v>Not Applicable</v></cell><cell r="AA1080"><v>43358</v></cell><cell r="AB1080" t="str"><v>USA_gaPMG_AZR_AZR_Q1_19_Direct-Social</v></cell><cell r="AC1080"><v>21358715</v></cell><cell r="AD1080"><v>720197</v></cell><cell r="AE1080" t="str"><v>Linkedin</v></cell><cell r="AF1080"><v>3654329</v></cell><cell r="AG1080" t="str"><v>LINKEDIN»USA-Trial-ITD-Bing Retargeting-AZR-AZR»1 x 1»SocialBan»LIA»ALL»CPA»RT»D»All»SS»NA»FreeAcctRetargetingLI-GlobalAlt-ChB»PS7BTN</v></cell><cell r="AH1080"><v>226536104</v></cell><cell r="AI1080" t="str"><v>AZR_FreeAcctRetargetingLI-GlobalAlt-ChB_USA_1200x627_LIA_Plat_English_Free Account_Standard_NA_SINU_T2_1</v></cell><cell r="AJ1080"><v>104593723</v></cell></row><row r="1081"><cell r="D1081" t="str"><v>43358226535249</v></cell><cell r="E1081" t="str"><v>43358104671415PS7BTF</v></cell><cell r="F1081" t="str"><v>DCM</v></cell></row><row r="1081"><cell r="H1081"><v>0</v></cell><cell r="I1081" t="str"><v>Azure Direct</v></cell><cell r="J1081" t="str"><v>Azure Direct</v></cell><cell r="K1081" t="str"><v>September</v></cell><cell r="L1081"><v>43358</v></cell><cell r="M1081" t="str"><v>Tier 0</v></cell><cell r="N1081" t="str"><v>North America</v></cell><cell r="O1081" t="str"><v>United States</v></cell><cell r="P1081" t="str"><v>Trial</v></cell><cell r="Q1081" t="str"><v>Social</v></cell><cell r="R1081" t="str"><v>Azure</v></cell><cell r="S1081" t="str"><v>Apps & Infra</v></cell><cell r="T1081" t="str"><v>Developers & ITI's</v></cell><cell r="U1081" t="str"><v>USA-Trial-ITD-Bing Retargeting-AZR-AZR</v></cell><cell r="V1081" t="str"><v>Retargeting</v></cell><cell r="W1081" t="str"><v>Link Ad</v></cell><cell r="X1081" t="str"><v>1200x627</v></cell><cell r="Y1081" t="str"><v>Sign Up</v></cell><cell r="Z1081" t="str"><v>Not Applicable</v></cell><cell r="AA1081"><v>43358</v></cell><cell r="AB1081" t="str"><v>USA_gaPMG_AZR_AZR_Q1_19_Direct-Social</v></cell><cell r="AC1081"><v>21358715</v></cell><cell r="AD1081"><v>720197</v></cell><cell r="AE1081" t="str"><v>Linkedin</v></cell><cell r="AF1081"><v>3654329</v></cell><cell r="AG1081" t="str"><v>LINKEDIN»USA-Trial-ITD-Bing Retargeting-AZR-AZR»1 x 1»SocialBan»LIA»ALL»CPA»RT»D»All»SS»NA»FreeAcctRetargetingVMLI-750Hrs-ChD»PS7BTF</v></cell><cell r="AH1081"><v>226535249</v></cell><cell r="AI1081" t="str"><v>AZR_FreeAcctRetargetingVMLI-750Hrs-ChD_USA_1200x627_LIA_Plat_English_Free Account_Standard_NA_SINU_T1_1</v></cell><cell r="AJ1081"><v>104671415</v></cell></row><row r="1082"><cell r="D1082" t="str"><v>43358226615867</v></cell><cell r="E1082" t="str"><v>43358104592529PS7BTG</v></cell><cell r="F1082" t="str"><v>DCM</v></cell></row><row r="1082"><cell r="H1082"><v>0</v></cell><cell r="I1082" t="str"><v>Azure Direct</v></cell><cell r="J1082" t="str"><v>Azure Direct</v></cell><cell r="K1082" t="str"><v>September</v></cell><cell r="L1082"><v>43358</v></cell><cell r="M1082" t="str"><v>Tier 0</v></cell><cell r="N1082" t="str"><v>North America</v></cell><cell r="O1082" t="str"><v>United States</v></cell><cell r="P1082" t="str"><v>Trial</v></cell><cell r="Q1082" t="str"><v>Social</v></cell><cell r="R1082" t="str"><v>Azure</v></cell><cell r="S1082" t="str"><v>Apps & Infra</v></cell><cell r="T1082" t="str"><v>Developers & ITI's</v></cell><cell r="U1082" t="str"><v>USA-Trial-ITD-Bing Retargeting-AZR-AZR</v></cell><cell r="V1082" t="str"><v>Retargeting</v></cell><cell r="W1082" t="str"><v>Link Ad</v></cell><cell r="X1082" t="str"><v>1200x627</v></cell><cell r="Y1082" t="str"><v>Sign Up</v></cell><cell r="Z1082" t="str"><v>Not Applicable</v></cell><cell r="AA1082"><v>43358</v></cell><cell r="AB1082" t="str"><v>USA_gaPMG_AZR_AZR_Q1_19_Direct-Social</v></cell><cell r="AC1082"><v>21358715</v></cell><cell r="AD1082"><v>720197</v></cell><cell r="AE1082" t="str"><v>Linkedin</v></cell><cell r="AF1082"><v>3654329</v></cell><cell r="AG1082" t="str"><v>LINKEDIN»USA-Trial-ITD-Bing Retargeting-AZR-AZR»1 x 1»SocialBan»LIA»ALL»CPA»RT»D»All»SS»NA»FreeAcctRetargetingVMLI-OnDemand-ChE»PS7BTG</v></cell><cell r="AH1082"><v>226615867</v></cell><cell r="AI1082" t="str"><v>AZR_FreeAcctRetargetingVMLI-OnDemand-ChE_USA_1200x627_LIA_Plat_English_Free Account_Standard_NA_SINU_T2_1</v></cell><cell r="AJ1082"><v>104592529</v></cell></row><row r="1083"><cell r="D1083" t="str"><v>43358226621543</v></cell><cell r="E1083" t="str"><v>43358104593444PS7BTR</v></cell><cell r="F1083" t="str"><v>DCM</v></cell></row><row r="1083"><cell r="H1083"><v>2</v></cell><cell r="I1083" t="str"><v>Azure Direct</v></cell><cell r="J1083" t="str"><v>Azure Direct</v></cell><cell r="K1083" t="str"><v>September</v></cell><cell r="L1083"><v>43358</v></cell><cell r="M1083" t="str"><v>Tier 0</v></cell><cell r="N1083" t="str"><v>North America</v></cell><cell r="O1083" t="str"><v>United States</v></cell><cell r="P1083" t="str"><v>Trial</v></cell><cell r="Q1083" t="str"><v>Social</v></cell><cell r="R1083" t="str"><v>Azure</v></cell><cell r="S1083" t="str"><v>Apps & Infra</v></cell><cell r="T1083" t="str"><v>Developers & ITI's</v></cell><cell r="U1083" t="str"><v>USA-Trial-ITD-Bing Retargeting-AZR-AZR</v></cell><cell r="V1083" t="str"><v>Retargeting</v></cell><cell r="W1083" t="str"><v>Video Link ad</v></cell><cell r="X1083" t="str"><v>1920x1080</v></cell><cell r="Y1083" t="str"><v>Learn More</v></cell><cell r="Z1083" t="str"><v>Animated Banner</v></cell><cell r="AA1083"><v>43358</v></cell><cell r="AB1083" t="str"><v>USA_gaPMG_AZR_AZR_Q1_19_Direct-Social</v></cell><cell r="AC1083"><v>21358715</v></cell><cell r="AD1083"><v>720197</v></cell><cell r="AE1083" t="str"><v>Linkedin</v></cell><cell r="AF1083"><v>3654329</v></cell><cell r="AG1083" t="str"><v>LINKEDIN»USA-Trial-ITD-Bing Retargeting-AZR-AZR»1 x 1»SocialBan»VLA»ALL»CPA»RT»D»All»SS»NA»FreeAcctDeveloperLI-AnimatedAI-Ch3»PS7BTR</v></cell><cell r="AH1083"><v>226621543</v></cell><cell r="AI1083" t="str"><v>AZR_FreeAcctDeveloperLI-AnimatedAI-Ch3_USA_1920x1080_VLA_Direct_EN_Trial_Standard_ANI_LEA_T3_1</v></cell><cell r="AJ1083"><v>104593444</v></cell></row><row r="1084"><cell r="D1084" t="str"><v>43358226622815</v></cell><cell r="E1084" t="str"><v>43358104593732PS7BTS</v></cell><cell r="F1084" t="str"><v>DCM</v></cell></row><row r="1084"><cell r="H1084"><v>0</v></cell><cell r="I1084" t="str"><v>Azure Direct</v></cell><cell r="J1084" t="str"><v>Azure Direct</v></cell><cell r="K1084" t="str"><v>September</v></cell><cell r="L1084"><v>43358</v></cell><cell r="M1084" t="str"><v>Tier 0</v></cell><cell r="N1084" t="str"><v>North America</v></cell><cell r="O1084" t="str"><v>United States</v></cell><cell r="P1084" t="str"><v>Trial</v></cell><cell r="Q1084" t="str"><v>Social</v></cell><cell r="R1084" t="str"><v>Azure</v></cell><cell r="S1084" t="str"><v>Apps & Infra</v></cell><cell r="T1084" t="str"><v>Developers & ITI's</v></cell><cell r="U1084" t="str"><v>USA-Trial-ITD-Bing Retargeting-AZR-AZR</v></cell><cell r="V1084" t="str"><v>Retargeting</v></cell><cell r="W1084" t="str"><v>Video Link ad</v></cell><cell r="X1084" t="str"><v>1920x1080</v></cell><cell r="Y1084" t="str"><v>Learn More</v></cell><cell r="Z1084" t="str"><v>Animated Banner</v></cell><cell r="AA1084"><v>43358</v></cell><cell r="AB1084" t="str"><v>USA_gaPMG_AZR_AZR_Q1_19_Direct-Social</v></cell><cell r="AC1084"><v>21358715</v></cell><cell r="AD1084"><v>720197</v></cell><cell r="AE1084" t="str"><v>Linkedin</v></cell><cell r="AF1084"><v>3654329</v></cell><cell r="AG1084" t="str"><v>LINKEDIN»USA-Trial-ITD-Bing Retargeting-AZR-AZR»1 x 1»SocialBan»VLA»ALL»CPA»RT»D»All»SS»NA»FreeAcctDeveloperLI-AnimatedData-Ch4»PS7BTS</v></cell><cell r="AH1084"><v>226622815</v></cell><cell r="AI1084" t="str"><v>AZR_FreeAcctDeveloperLI-AnimatedData-Ch4_USA_1920x1080_VLA_Direct_EN_Trial_Standard_ANI_LEA_T4_1</v></cell><cell r="AJ1084"><v>104593732</v></cell></row><row r="1085"><cell r="D1085" t="str"><v>43358226538510</v></cell><cell r="E1085" t="str"><v>43358104595736PS7BTL</v></cell><cell r="F1085" t="str"><v>DCM</v></cell></row><row r="1085"><cell r="H1085"><v>1</v></cell><cell r="I1085" t="str"><v>Azure Direct</v></cell><cell r="J1085" t="str"><v>Azure Direct</v></cell><cell r="K1085" t="str"><v>September</v></cell><cell r="L1085"><v>43358</v></cell><cell r="M1085" t="str"><v>Tier 0</v></cell><cell r="N1085" t="str"><v>North America</v></cell><cell r="O1085" t="str"><v>United States</v></cell><cell r="P1085" t="str"><v>Trial</v></cell><cell r="Q1085" t="str"><v>Social</v></cell><cell r="R1085" t="str"><v>Azure</v></cell><cell r="S1085" t="str"><v>Apps & Infra</v></cell><cell r="T1085" t="str"><v>Developers & ITI's</v></cell><cell r="U1085" t="str"><v>USA-Trial-ITD-Bing Retargeting-AZR-AZR</v></cell><cell r="V1085" t="str"><v>Retargeting</v></cell><cell r="W1085" t="str"><v>Video Link ad</v></cell><cell r="X1085" t="str"><v>1920x1080</v></cell><cell r="Y1085" t="str"><v>Learn More</v></cell><cell r="Z1085" t="str"><v>Animated Banner</v></cell><cell r="AA1085"><v>43358</v></cell><cell r="AB1085" t="str"><v>USA_gaPMG_AZR_AZR_Q1_19_Direct-Social</v></cell><cell r="AC1085"><v>21358715</v></cell><cell r="AD1085"><v>720197</v></cell><cell r="AE1085" t="str"><v>Linkedin</v></cell><cell r="AF1085"><v>3654329</v></cell><cell r="AG1085" t="str"><v>LINKEDIN»USA-Trial-ITD-Bing Retargeting-AZR-AZR»1 x 1»SocialBan»VLA»ALL»CPA»RT»D»All»SS»NA»FreeAcctDeveloperLI-AnimatedGeneric-Ch1»PS7BTL</v></cell><cell r="AH1085"><v>226538510</v></cell><cell r="AI1085" t="str"><v>AZR_FreeAcctDeveloperLI-AnimatedGeneric-Ch1_USA_1920x1080_VLA_Direct_EN_Trial_Standard_ANI_LEA_T1_1</v></cell><cell r="AJ1085"><v>104595736</v></cell></row><row r="1086"><cell r="D1086" t="str"><v>43358226538513</v></cell><cell r="E1086" t="str"><v>43358104595736PS7BTM</v></cell><cell r="F1086" t="str"><v>DCM</v></cell></row><row r="1086"><cell r="H1086"><v>0</v></cell><cell r="I1086" t="str"><v>Azure Direct</v></cell><cell r="J1086" t="str"><v>Azure Direct</v></cell><cell r="K1086" t="str"><v>September</v></cell><cell r="L1086"><v>43358</v></cell><cell r="M1086" t="str"><v>Tier 0</v></cell><cell r="N1086" t="str"><v>North America</v></cell><cell r="O1086" t="str"><v>United States</v></cell><cell r="P1086" t="str"><v>Trial</v></cell><cell r="Q1086" t="str"><v>Social</v></cell><cell r="R1086" t="str"><v>Azure</v></cell><cell r="S1086" t="str"><v>Apps & Infra</v></cell><cell r="T1086" t="str"><v>Developers & ITI's</v></cell><cell r="U1086" t="str"><v>USA-Trial-ITD-Bing Retargeting-AZR-AZR</v></cell><cell r="V1086" t="str"><v>Retargeting</v></cell><cell r="W1086" t="str"><v>Video Link ad</v></cell><cell r="X1086" t="str"><v>1920x1080</v></cell><cell r="Y1086" t="str"><v>Learn More</v></cell><cell r="Z1086" t="str"><v>Animated Banner</v></cell><cell r="AA1086"><v>43358</v></cell><cell r="AB1086" t="str"><v>USA_gaPMG_AZR_AZR_Q1_19_Direct-Social</v></cell><cell r="AC1086"><v>21358715</v></cell><cell r="AD1086"><v>720197</v></cell><cell r="AE1086" t="str"><v>Linkedin</v></cell><cell r="AF1086"><v>3654329</v></cell><cell r="AG1086" t="str"><v>LINKEDIN»USA-Trial-ITD-Bing Retargeting-AZR-AZR»1 x 1»SocialBan»VLA»ALL»CPA»RT»D»All»SS»NA»FreeAcctDeveloperLI-AnimatedGeneric-Ch1»PS7BTM</v></cell><cell r="AH1086"><v>226538513</v></cell><cell r="AI1086" t="str"><v>AZR_FreeAcctDeveloperLI-AnimatedGeneric-Ch1_USA_1920x1080_VLA_Direct_EN_Trial_Standard_ANI_LEA_T1_1</v></cell><cell r="AJ1086"><v>104595736</v></cell></row><row r="1087"><cell r="D1087" t="str"><v>43358226535246</v></cell><cell r="E1087" t="str"><v>43358104671424PS7BTV</v></cell><cell r="F1087" t="str"><v>DCM</v></cell></row><row r="1087"><cell r="H1087"><v>0</v></cell><cell r="I1087" t="str"><v>Azure Direct</v></cell><cell r="J1087" t="str"><v>Azure Direct</v></cell><cell r="K1087" t="str"><v>September</v></cell><cell r="L1087"><v>43358</v></cell><cell r="M1087" t="str"><v>Tier 0</v></cell><cell r="N1087" t="str"><v>North America</v></cell><cell r="O1087" t="str"><v>United States</v></cell><cell r="P1087" t="str"><v>Trial</v></cell><cell r="Q1087" t="str"><v>Social</v></cell><cell r="R1087" t="str"><v>Azure</v></cell><cell r="S1087" t="str"><v>Apps & Infra</v></cell><cell r="T1087" t="str"><v>Developers & ITI's</v></cell><cell r="U1087" t="str"><v>USA-Trial-ITD-Bing Retargeting-AZR-AZR</v></cell><cell r="V1087" t="str"><v>Retargeting</v></cell><cell r="W1087" t="str"><v>Video Link ad</v></cell><cell r="X1087" t="str"><v>1920x1080</v></cell><cell r="Y1087" t="str"><v>Learn More</v></cell><cell r="Z1087" t="str"><v>Animated Banner</v></cell><cell r="AA1087"><v>43358</v></cell><cell r="AB1087" t="str"><v>USA_gaPMG_AZR_AZR_Q1_19_Direct-Social</v></cell><cell r="AC1087"><v>21358715</v></cell><cell r="AD1087"><v>720197</v></cell><cell r="AE1087" t="str"><v>Linkedin</v></cell><cell r="AF1087"><v>3654329</v></cell><cell r="AG1087" t="str"><v>LINKEDIN»USA-Trial-ITD-Bing Retargeting-AZR-AZR»1 x 1»SocialBan»VLA»ALL»CPA»RT»D»All»SS»NA»FreeAcctITProLI-AnimatedHybrid-Ch2»PS7BTV</v></cell><cell r="AH1087"><v>226535246</v></cell><cell r="AI1087" t="str"><v>AZR_FreeAcctITProLI-AnimatedHybrid-Ch2_USA_1920x1080_VLA_Direct_EN_Trial_Standard_ANI_LEA_T2_1</v></cell><cell r="AJ1087"><v>104671424</v></cell></row><row r="1088"><cell r="D1088" t="str"><v>43358226620916</v></cell><cell r="E1088" t="str"><v>43358104592532PS7BTP</v></cell><cell r="F1088" t="str"><v>DCM</v></cell></row><row r="1088"><cell r="H1088"><v>0</v></cell><cell r="I1088" t="str"><v>Azure Direct</v></cell><cell r="J1088" t="str"><v>Azure Direct</v></cell><cell r="K1088" t="str"><v>September</v></cell><cell r="L1088"><v>43358</v></cell><cell r="M1088" t="str"><v>Tier 0</v></cell><cell r="N1088" t="str"><v>North America</v></cell><cell r="O1088" t="str"><v>United States</v></cell><cell r="P1088" t="str"><v>Trial</v></cell><cell r="Q1088" t="str"><v>Social</v></cell><cell r="R1088" t="str"><v>Azure</v></cell><cell r="S1088" t="str"><v>Apps & Infra</v></cell><cell r="T1088" t="str"><v>Developers & ITI's</v></cell><cell r="U1088" t="str"><v>USA-Trial-ITD-Bing Retargeting-AZR-AZR</v></cell><cell r="V1088" t="str"><v>Retargeting</v></cell><cell r="W1088" t="str"><v>Video Link ad</v></cell><cell r="X1088" t="str"><v>1920x1080</v></cell><cell r="Y1088" t="str"><v>Learn More</v></cell><cell r="Z1088" t="str"><v>Animated Banner</v></cell><cell r="AA1088"><v>43358</v></cell><cell r="AB1088" t="str"><v>USA_gaPMG_AZR_AZR_Q1_19_Direct-Social</v></cell><cell r="AC1088"><v>21358715</v></cell><cell r="AD1088"><v>720197</v></cell><cell r="AE1088" t="str"><v>Linkedin</v></cell><cell r="AF1088"><v>3654329</v></cell><cell r="AG1088" t="str"><v>LINKEDIN»USA-Trial-ITD-Bing Retargeting-AZR-AZR»1 x 1»SocialBan»VLA»ALL»CPA»RT»D»All»SS»NA»FreeAcctITProLI-AnimatedMigration-Ch3»PS7BTP</v></cell><cell r="AH1088"><v>226620916</v></cell><cell r="AI1088" t="str"><v>AZR_FreeAcctITProLI-AnimatedMigration-Ch3_USA_1920x1080_VLA_Direct_EN_Trial_Standard_ANI_LEA_T3_1</v></cell><cell r="AJ1088"><v>104592532</v></cell></row><row r="1089"><cell r="D1089" t="str"><v>43358226622818</v></cell><cell r="E1089" t="str"><v>43358104593447PS7BTT</v></cell><cell r="F1089" t="str"><v>DCM</v></cell></row><row r="1089"><cell r="H1089"><v>0</v></cell><cell r="I1089" t="str"><v>Azure Direct</v></cell><cell r="J1089" t="str"><v>Azure Direct</v></cell><cell r="K1089" t="str"><v>September</v></cell><cell r="L1089"><v>43358</v></cell><cell r="M1089" t="str"><v>Tier 0</v></cell><cell r="N1089" t="str"><v>North America</v></cell><cell r="O1089" t="str"><v>United States</v></cell><cell r="P1089" t="str"><v>Trial</v></cell><cell r="Q1089" t="str"><v>Social</v></cell><cell r="R1089" t="str"><v>Azure</v></cell><cell r="S1089" t="str"><v>Apps & Infra</v></cell><cell r="T1089" t="str"><v>Developers & ITI's</v></cell><cell r="U1089" t="str"><v>USA-Trial-ITD-Bing Retargeting-AZR-AZR</v></cell><cell r="V1089" t="str"><v>Retargeting</v></cell><cell r="W1089" t="str"><v>Video Link ad</v></cell><cell r="X1089" t="str"><v>1920x1080</v></cell><cell r="Y1089" t="str"><v>Learn More</v></cell><cell r="Z1089" t="str"><v>Animated Banner</v></cell><cell r="AA1089"><v>43358</v></cell><cell r="AB1089" t="str"><v>USA_gaPMG_AZR_AZR_Q1_19_Direct-Social</v></cell><cell r="AC1089"><v>21358715</v></cell><cell r="AD1089"><v>720197</v></cell><cell r="AE1089" t="str"><v>Linkedin</v></cell><cell r="AF1089"><v>3654329</v></cell><cell r="AG1089" t="str"><v>LINKEDIN»USA-Trial-ITD-Bing Retargeting-AZR-AZR»1 x 1»SocialBan»VLA»ALL»CPA»RT»D»All»SS»NA»FreeAcctITProLI-AnimatedSecureWellMngd-Ch1»PS7BTT</v></cell><cell r="AH1089"><v>226622818</v></cell><cell r="AI1089" t="str"><v>AZR_FreeAcctITProLI-AnimatedSecureWellMngd-Ch1_USA_1920x1080_VLA_Direct_EN_Trial_Standard_ANI_LEA_T1_1</v></cell><cell r="AJ1089"><v>104593447</v></cell></row><row r="1090"><cell r="D1090" t="str"><v>43358226538582</v></cell><cell r="E1090" t="str"><v>43358104593444PS7BS4</v></cell><cell r="F1090" t="str"><v>DCM</v></cell></row><row r="1090"><cell r="H1090"><v>0</v></cell><cell r="I1090" t="str"><v>Azure Direct</v></cell><cell r="J1090" t="str"><v>Azure Direct</v></cell><cell r="K1090" t="str"><v>September</v></cell><cell r="L1090"><v>43358</v></cell><cell r="M1090" t="str"><v>Tier 0</v></cell><cell r="N1090" t="str"><v>North America</v></cell><cell r="O1090" t="str"><v>United States</v></cell><cell r="P1090" t="str"><v>Trial</v></cell><cell r="Q1090" t="str"><v>Social</v></cell><cell r="R1090" t="str"><v>Azure</v></cell><cell r="S1090" t="str"><v>Apps & Infra</v></cell><cell r="T1090" t="str"><v>Developers & ITI's</v></cell><cell r="U1090" t="str"><v>USA-Trial-ITD-Groups Prospecting-AZR-AZR</v></cell><cell r="V1090" t="str"><v>Prospecting</v></cell><cell r="W1090" t="str"><v>Video Link ad</v></cell><cell r="X1090" t="str"><v>1920x1080</v></cell><cell r="Y1090" t="str"><v>Learn More</v></cell><cell r="Z1090" t="str"><v>Animated Banner</v></cell><cell r="AA1090"><v>43358</v></cell><cell r="AB1090" t="str"><v>USA_gaPMG_AZR_AZR_Q1_19_Direct-Social</v></cell><cell r="AC1090"><v>21358715</v></cell><cell r="AD1090"><v>720197</v></cell><cell r="AE1090" t="str"><v>Linkedin</v></cell><cell r="AF1090"><v>3654329</v></cell><cell r="AG1090" t="str"><v>LINKEDIN»USA-Trial-ITD-Groups Prospecting-AZR-AZR»1 x 1»SocialBan»VLA»ALL»CPA»PRO»D»All»SS»NA»FreeAcctDeveloperLI-AnimatedAI-Ch3»PS7BS4</v></cell><cell r="AH1090"><v>226538582</v></cell><cell r="AI1090" t="str"><v>AZR_FreeAcctDeveloperLI-AnimatedAI-Ch3_USA_1920x1080_VLA_Direct_EN_Trial_Standard_ANI_LEA_T3_1</v></cell><cell r="AJ1090"><v>104593444</v></cell></row><row r="1091"><cell r="D1091" t="str"><v>43358226617961</v></cell><cell r="E1091" t="str"><v>43358104593732PS7BS5</v></cell><cell r="F1091" t="str"><v>DCM</v></cell></row><row r="1091"><cell r="H1091"><v>0</v></cell><cell r="I1091" t="str"><v>Azure Direct</v></cell><cell r="J1091" t="str"><v>Azure Direct</v></cell><cell r="K1091" t="str"><v>September</v></cell><cell r="L1091"><v>43358</v></cell><cell r="M1091" t="str"><v>Tier 0</v></cell><cell r="N1091" t="str"><v>North America</v></cell><cell r="O1091" t="str"><v>United States</v></cell><cell r="P1091" t="str"><v>Trial</v></cell><cell r="Q1091" t="str"><v>Social</v></cell><cell r="R1091" t="str"><v>Azure</v></cell><cell r="S1091" t="str"><v>Apps & Infra</v></cell><cell r="T1091" t="str"><v>Developers & ITI's</v></cell><cell r="U1091" t="str"><v>USA-Trial-ITD-Groups Prospecting-AZR-AZR</v></cell><cell r="V1091" t="str"><v>Prospecting</v></cell><cell r="W1091" t="str"><v>Video Link ad</v></cell><cell r="X1091" t="str"><v>1920x1080</v></cell><cell r="Y1091" t="str"><v>Learn More</v></cell><cell r="Z1091" t="str"><v>Animated Banner</v></cell><cell r="AA1091"><v>43358</v></cell><cell r="AB1091" t="str"><v>USA_gaPMG_AZR_AZR_Q1_19_Direct-Social</v></cell><cell r="AC1091"><v>21358715</v></cell><cell r="AD1091"><v>720197</v></cell><cell r="AE1091" t="str"><v>Linkedin</v></cell><cell r="AF1091"><v>3654329</v></cell><cell r="AG1091" t="str"><v>LINKEDIN»USA-Trial-ITD-Groups Prospecting-AZR-AZR»1 x 1»SocialBan»VLA»ALL»CPA»PRO»D»All»SS»NA»FreeAcctDeveloperLI-AnimatedData-Ch4»PS7BS5</v></cell><cell r="AH1091"><v>226617961</v></cell><cell r="AI1091" t="str"><v>AZR_FreeAcctDeveloperLI-AnimatedData-Ch4_USA_1920x1080_VLA_Direct_EN_Trial_Standard_ANI_LEA_T4_1</v></cell><cell r="AJ1091"><v>104593732</v></cell></row><row r="1092"><cell r="D1092" t="str"><v>43358226622884</v></cell><cell r="E1092" t="str"><v>43358104595736PS7BRZ</v></cell><cell r="F1092" t="str"><v>DCM</v></cell></row><row r="1092"><cell r="H1092"><v>0</v></cell><cell r="I1092" t="str"><v>Azure Direct</v></cell><cell r="J1092" t="str"><v>Azure Direct</v></cell><cell r="K1092" t="str"><v>September</v></cell><cell r="L1092"><v>43358</v></cell><cell r="M1092" t="str"><v>Tier 0</v></cell><cell r="N1092" t="str"><v>North America</v></cell><cell r="O1092" t="str"><v>United States</v></cell><cell r="P1092" t="str"><v>Trial</v></cell><cell r="Q1092" t="str"><v>Social</v></cell><cell r="R1092" t="str"><v>Azure</v></cell><cell r="S1092" t="str"><v>Apps & Infra</v></cell><cell r="T1092" t="str"><v>Developers & ITI's</v></cell><cell r="U1092" t="str"><v>USA-Trial-ITD-Groups Prospecting-AZR-AZR</v></cell><cell r="V1092" t="str"><v>Prospecting</v></cell><cell r="W1092" t="str"><v>Video Link ad</v></cell><cell r="X1092" t="str"><v>1920x1080</v></cell><cell r="Y1092" t="str"><v>Learn More</v></cell><cell r="Z1092" t="str"><v>Animated Banner</v></cell><cell r="AA1092"><v>43358</v></cell><cell r="AB1092" t="str"><v>USA_gaPMG_AZR_AZR_Q1_19_Direct-Social</v></cell><cell r="AC1092"><v>21358715</v></cell><cell r="AD1092"><v>720197</v></cell><cell r="AE1092" t="str"><v>Linkedin</v></cell><cell r="AF1092"><v>3654329</v></cell><cell r="AG1092" t="str"><v>LINKEDIN»USA-Trial-ITD-Groups Prospecting-AZR-AZR»1 x 1»SocialBan»VLA»ALL»CPA»PRO»D»All»SS»NA»FreeAcctDeveloperLI-AnimatedGeneric-Ch1»PS7BRZ</v></cell><cell r="AH1092"><v>226622884</v></cell><cell r="AI1092" t="str"><v>AZR_FreeAcctDeveloperLI-AnimatedGeneric-Ch1_USA_1920x1080_VLA_Direct_EN_Trial_Standard_ANI_LEA_T1_1</v></cell><cell r="AJ1092"><v>104595736</v></cell></row><row r="1093"><cell r="D1093" t="str"><v>43358226620961</v></cell><cell r="E1093" t="str"><v>43358104595736PS7BS0</v></cell><cell r="F1093" t="str"><v>DCM</v></cell></row><row r="1093"><cell r="H1093"><v>1</v></cell><cell r="I1093" t="str"><v>Azure Direct</v></cell><cell r="J1093" t="str"><v>Azure Direct</v></cell><cell r="K1093" t="str"><v>September</v></cell><cell r="L1093"><v>43358</v></cell><cell r="M1093" t="str"><v>Tier 0</v></cell><cell r="N1093" t="str"><v>North America</v></cell><cell r="O1093" t="str"><v>United States</v></cell><cell r="P1093" t="str"><v>Trial</v></cell><cell r="Q1093" t="str"><v>Social</v></cell><cell r="R1093" t="str"><v>Azure</v></cell><cell r="S1093" t="str"><v>Apps & Infra</v></cell><cell r="T1093" t="str"><v>Developers & ITI's</v></cell><cell r="U1093" t="str"><v>USA-Trial-ITD-Groups Prospecting-AZR-AZR</v></cell><cell r="V1093" t="str"><v>Prospecting</v></cell><cell r="W1093" t="str"><v>Video Link ad</v></cell><cell r="X1093" t="str"><v>1920x1080</v></cell><cell r="Y1093" t="str"><v>Learn More</v></cell><cell r="Z1093" t="str"><v>Animated Banner</v></cell><cell r="AA1093"><v>43358</v></cell><cell r="AB1093" t="str"><v>USA_gaPMG_AZR_AZR_Q1_19_Direct-Social</v></cell><cell r="AC1093"><v>21358715</v></cell><cell r="AD1093"><v>720197</v></cell><cell r="AE1093" t="str"><v>Linkedin</v></cell><cell r="AF1093"><v>3654329</v></cell><cell r="AG1093" t="str"><v>LINKEDIN»USA-Trial-ITD-Groups Prospecting-AZR-AZR»1 x 1»SocialBan»VLA»ALL»CPA»PRO»D»All»SS»NA»FreeAcctDeveloperLI-AnimatedGeneric-Ch1»PS7BS0</v></cell><cell r="AH1093"><v>226620961</v></cell><cell r="AI1093" t="str"><v>AZR_FreeAcctDeveloperLI-AnimatedGeneric-Ch1_USA_1920x1080_VLA_Direct_EN_Trial_Standard_ANI_LEA_T1_1</v></cell><cell r="AJ1093"><v>104595736</v></cell></row><row r="1094"><cell r="D1094" t="str"><v>43358226617649</v></cell><cell r="E1094" t="str"><v>43358104671424PS7BS7</v></cell><cell r="F1094" t="str"><v>DCM</v></cell></row><row r="1094"><cell r="H1094"><v>0</v></cell><cell r="I1094" t="str"><v>Azure Direct</v></cell><cell r="J1094" t="str"><v>Azure Direct</v></cell><cell r="K1094" t="str"><v>September</v></cell><cell r="L1094"><v>43358</v></cell><cell r="M1094" t="str"><v>Tier 0</v></cell><cell r="N1094" t="str"><v>North America</v></cell><cell r="O1094" t="str"><v>United States</v></cell><cell r="P1094" t="str"><v>Trial</v></cell><cell r="Q1094" t="str"><v>Social</v></cell><cell r="R1094" t="str"><v>Azure</v></cell><cell r="S1094" t="str"><v>Apps & Infra</v></cell><cell r="T1094" t="str"><v>Developers & ITI's</v></cell><cell r="U1094" t="str"><v>USA-Trial-ITD-Groups Prospecting-AZR-AZR</v></cell><cell r="V1094" t="str"><v>Prospecting</v></cell><cell r="W1094" t="str"><v>Video Link ad</v></cell><cell r="X1094" t="str"><v>1920x1080</v></cell><cell r="Y1094" t="str"><v>Learn More</v></cell><cell r="Z1094" t="str"><v>Animated Banner</v></cell><cell r="AA1094"><v>43358</v></cell><cell r="AB1094" t="str"><v>USA_gaPMG_AZR_AZR_Q1_19_Direct-Social</v></cell><cell r="AC1094"><v>21358715</v></cell><cell r="AD1094"><v>720197</v></cell><cell r="AE1094" t="str"><v>Linkedin</v></cell><cell r="AF1094"><v>3654329</v></cell><cell r="AG1094" t="str"><v>LINKEDIN»USA-Trial-ITD-Groups Prospecting-AZR-AZR»1 x 1»SocialBan»VLA»ALL»CPA»PRO»D»All»SS»NA»FreeAcctITProLI-AnimatedHybrid-Ch2»PS7BS7</v></cell><cell r="AH1094"><v>226617649</v></cell><cell r="AI1094" t="str"><v>AZR_FreeAcctITProLI-AnimatedHybrid-Ch2_USA_1920x1080_VLA_Direct_EN_Trial_Standard_ANI_LEA_T2_1</v></cell><cell r="AJ1094"><v>104671424</v></cell></row><row r="1095"><cell r="D1095" t="str"><v>43358226538576</v></cell><cell r="E1095" t="str"><v>43358104592532PS7BS2</v></cell><cell r="F1095" t="str"><v>DCM</v></cell></row><row r="1095"><cell r="H1095"><v>0</v></cell><cell r="I1095" t="str"><v>Azure Direct</v></cell><cell r="J1095" t="str"><v>Azure Direct</v></cell><cell r="K1095" t="str"><v>September</v></cell><cell r="L1095"><v>43358</v></cell><cell r="M1095" t="str"><v>Tier 0</v></cell><cell r="N1095" t="str"><v>North America</v></cell><cell r="O1095" t="str"><v>United States</v></cell><cell r="P1095" t="str"><v>Trial</v></cell><cell r="Q1095" t="str"><v>Social</v></cell><cell r="R1095" t="str"><v>Azure</v></cell><cell r="S1095" t="str"><v>Apps & Infra</v></cell><cell r="T1095" t="str"><v>Developers & ITI's</v></cell><cell r="U1095" t="str"><v>USA-Trial-ITD-Groups Prospecting-AZR-AZR</v></cell><cell r="V1095" t="str"><v>Prospecting</v></cell><cell r="W1095" t="str"><v>Video Link ad</v></cell><cell r="X1095" t="str"><v>1920x1080</v></cell><cell r="Y1095" t="str"><v>Learn More</v></cell><cell r="Z1095" t="str"><v>Animated Banner</v></cell><cell r="AA1095"><v>43358</v></cell><cell r="AB1095" t="str"><v>USA_gaPMG_AZR_AZR_Q1_19_Direct-Social</v></cell><cell r="AC1095"><v>21358715</v></cell><cell r="AD1095"><v>720197</v></cell><cell r="AE1095" t="str"><v>Linkedin</v></cell><cell r="AF1095"><v>3654329</v></cell><cell r="AG1095" t="str"><v>LINKEDIN»USA-Trial-ITD-Groups Prospecting-AZR-AZR»1 x 1»SocialBan»VLA»ALL»CPA»PRO»D»All»SS»NA»FreeAcctITProLI-AnimatedMigration-Ch3»PS7BS2</v></cell><cell r="AH1095"><v>226538576</v></cell><cell r="AI1095" t="str"><v>AZR_FreeAcctITProLI-AnimatedMigration-Ch3_USA_1920x1080_VLA_Direct_EN_Trial_Standard_ANI_LEA_T3_1</v></cell><cell r="AJ1095"><v>104592532</v></cell></row><row r="1096"><cell r="D1096" t="str"><v>43358226539371</v></cell><cell r="E1096" t="str"><v>43358104593447PS7BS6</v></cell><cell r="F1096" t="str"><v>DCM</v></cell></row><row r="1096"><cell r="H1096"><v>0</v></cell><cell r="I1096" t="str"><v>Azure Direct</v></cell><cell r="J1096" t="str"><v>Azure Direct</v></cell><cell r="K1096" t="str"><v>September</v></cell><cell r="L1096"><v>43358</v></cell><cell r="M1096" t="str"><v>Tier 0</v></cell><cell r="N1096" t="str"><v>North America</v></cell><cell r="O1096" t="str"><v>United States</v></cell><cell r="P1096" t="str"><v>Trial</v></cell><cell r="Q1096" t="str"><v>Social</v></cell><cell r="R1096" t="str"><v>Azure</v></cell><cell r="S1096" t="str"><v>Apps & Infra</v></cell><cell r="T1096" t="str"><v>Developers & ITI's</v></cell><cell r="U1096" t="str"><v>USA-Trial-ITD-Groups Prospecting-AZR-AZR</v></cell><cell r="V1096" t="str"><v>Prospecting</v></cell><cell r="W1096" t="str"><v>Video Link ad</v></cell><cell r="X1096" t="str"><v>1920x1080</v></cell><cell r="Y1096" t="str"><v>Learn More</v></cell><cell r="Z1096" t="str"><v>Animated Banner</v></cell><cell r="AA1096"><v>43358</v></cell><cell r="AB1096" t="str"><v>USA_gaPMG_AZR_AZR_Q1_19_Direct-Social</v></cell><cell r="AC1096"><v>21358715</v></cell><cell r="AD1096"><v>720197</v></cell><cell r="AE1096" t="str"><v>Linkedin</v></cell><cell r="AF1096"><v>3654329</v></cell><cell r="AG1096" t="str"><v>LINKEDIN»USA-Trial-ITD-Groups Prospecting-AZR-AZR»1 x 1»SocialBan»VLA»ALL»CPA»PRO»D»All»SS»NA»FreeAcctITProLI-AnimatedSecureWellMngd-Ch1»PS7BS6</v></cell><cell r="AH1096"><v>226539371</v></cell><cell r="AI1096" t="str"><v>AZR_FreeAcctITProLI-AnimatedSecureWellMngd-Ch1_USA_1920x1080_VLA_Direct_EN_Trial_Standard_ANI_LEA_T1_1</v></cell><cell r="AJ1096"><v>104593447</v></cell></row><row r="1097"><cell r="D1097" t="str"><v>43358226617946</v></cell><cell r="E1097" t="str"><v>43358104593444PS7BSP</v></cell><cell r="F1097" t="str"><v>DCM</v></cell></row><row r="1097"><cell r="H1097"><v>2</v></cell><cell r="I1097" t="str"><v>Azure Direct</v></cell><cell r="J1097" t="str"><v>Azure Direct</v></cell><cell r="K1097" t="str"><v>September</v></cell><cell r="L1097"><v>43358</v></cell><cell r="M1097" t="str"><v>Tier 0</v></cell><cell r="N1097" t="str"><v>North America</v></cell><cell r="O1097" t="str"><v>United States</v></cell><cell r="P1097" t="str"><v>Trial</v></cell><cell r="Q1097" t="str"><v>Social</v></cell><cell r="R1097" t="str"><v>Azure</v></cell><cell r="S1097" t="str"><v>Apps & Infra</v></cell><cell r="T1097" t="str"><v>Developers & ITI's</v></cell><cell r="U1097" t="str"><v>USA-Trial-ITD-Job Functions Prospecting-AZR-AZR</v></cell><cell r="V1097" t="str"><v>Prospecting</v></cell><cell r="W1097" t="str"><v>Video Link ad</v></cell><cell r="X1097" t="str"><v>1920x1080</v></cell><cell r="Y1097" t="str"><v>Learn More</v></cell><cell r="Z1097" t="str"><v>Animated Banner</v></cell><cell r="AA1097"><v>43358</v></cell><cell r="AB1097" t="str"><v>USA_gaPMG_AZR_AZR_Q1_19_Direct-Social</v></cell><cell r="AC1097"><v>21358715</v></cell><cell r="AD1097"><v>720197</v></cell><cell r="AE1097" t="str"><v>Linkedin</v></cell><cell r="AF1097"><v>3654329</v></cell><cell r="AG1097" t="str"><v>LINKEDIN»USA-Trial-ITD-Job Functions Prospecting-AZR-AZR»1 x 1»SocialBan»VLA»ALL»CPA»PRO»D»All»SS»NA»FreeAcctDeveloperLI-AnimatedAI-Ch3»PS7BSP</v></cell><cell r="AH1097"><v>226617946</v></cell><cell r="AI1097" t="str"><v>AZR_FreeAcctDeveloperLI-AnimatedAI-Ch3_USA_1920x1080_VLA_Direct_EN_Trial_Standard_ANI_LEA_T3_1</v></cell><cell r="AJ1097"><v>104593444</v></cell></row><row r="1098"><cell r="D1098" t="str"><v>43358226535264</v></cell><cell r="E1098" t="str"><v>43358104593732PS7BSQ</v></cell><cell r="F1098" t="str"><v>DCM</v></cell></row><row r="1098"><cell r="H1098"><v>0</v></cell><cell r="I1098" t="str"><v>Azure Direct</v></cell><cell r="J1098" t="str"><v>Azure Direct</v></cell><cell r="K1098" t="str"><v>September</v></cell><cell r="L1098"><v>43358</v></cell><cell r="M1098" t="str"><v>Tier 0</v></cell><cell r="N1098" t="str"><v>North America</v></cell><cell r="O1098" t="str"><v>United States</v></cell><cell r="P1098" t="str"><v>Trial</v></cell><cell r="Q1098" t="str"><v>Social</v></cell><cell r="R1098" t="str"><v>Azure</v></cell><cell r="S1098" t="str"><v>Apps & Infra</v></cell><cell r="T1098" t="str"><v>Developers & ITI's</v></cell><cell r="U1098" t="str"><v>USA-Trial-ITD-Job Functions Prospecting-AZR-AZR</v></cell><cell r="V1098" t="str"><v>Prospecting</v></cell><cell r="W1098" t="str"><v>Video Link ad</v></cell><cell r="X1098" t="str"><v>1920x1080</v></cell><cell r="Y1098" t="str"><v>Learn More</v></cell><cell r="Z1098" t="str"><v>Animated Banner</v></cell><cell r="AA1098"><v>43358</v></cell><cell r="AB1098" t="str"><v>USA_gaPMG_AZR_AZR_Q1_19_Direct-Social</v></cell><cell r="AC1098"><v>21358715</v></cell><cell r="AD1098"><v>720197</v></cell><cell r="AE1098" t="str"><v>Linkedin</v></cell><cell r="AF1098"><v>3654329</v></cell><cell r="AG1098" t="str"><v>LINKEDIN»USA-Trial-ITD-Job Functions Prospecting-AZR-AZR»1 x 1»SocialBan»VLA»ALL»CPA»PRO»D»All»SS»NA»FreeAcctDeveloperLI-AnimatedData-Ch4»PS7BSQ</v></cell><cell r="AH1098"><v>226535264</v></cell><cell r="AI1098" t="str"><v>AZR_FreeAcctDeveloperLI-AnimatedData-Ch4_USA_1920x1080_VLA_Direct_EN_Trial_Standard_ANI_LEA_T4_1</v></cell><cell r="AJ1098"><v>104593732</v></cell></row><row r="1099"><cell r="D1099" t="str"><v>43358226622875</v></cell><cell r="E1099" t="str"><v>43358104595736PS7BSJ</v></cell><cell r="F1099" t="str"><v>DCM</v></cell></row><row r="1099"><cell r="H1099"><v>1</v></cell><cell r="I1099" t="str"><v>Azure Direct</v></cell><cell r="J1099" t="str"><v>Azure Direct</v></cell><cell r="K1099" t="str"><v>September</v></cell><cell r="L1099"><v>43358</v></cell><cell r="M1099" t="str"><v>Tier 0</v></cell><cell r="N1099" t="str"><v>North America</v></cell><cell r="O1099" t="str"><v>United States</v></cell><cell r="P1099" t="str"><v>Trial</v></cell><cell r="Q1099" t="str"><v>Social</v></cell><cell r="R1099" t="str"><v>Azure</v></cell><cell r="S1099" t="str"><v>Apps & Infra</v></cell><cell r="T1099" t="str"><v>Developers & ITI's</v></cell><cell r="U1099" t="str"><v>USA-Trial-ITD-Job Functions Prospecting-AZR-AZR</v></cell><cell r="V1099" t="str"><v>Prospecting</v></cell><cell r="W1099" t="str"><v>Video Link ad</v></cell><cell r="X1099" t="str"><v>1920x1080</v></cell><cell r="Y1099" t="str"><v>Learn More</v></cell><cell r="Z1099" t="str"><v>Animated Banner</v></cell><cell r="AA1099"><v>43358</v></cell><cell r="AB1099" t="str"><v>USA_gaPMG_AZR_AZR_Q1_19_Direct-Social</v></cell><cell r="AC1099"><v>21358715</v></cell><cell r="AD1099"><v>720197</v></cell><cell r="AE1099" t="str"><v>Linkedin</v></cell><cell r="AF1099"><v>3654329</v></cell><cell r="AG1099" t="str"><v>LINKEDIN»USA-Trial-ITD-Job Functions Prospecting-AZR-AZR»1 x 1»SocialBan»VLA»ALL»CPA»PRO»D»All»SS»NA»FreeAcctDeveloperLI-AnimatedGeneric-Ch1»PS7BSJ</v></cell><cell r="AH1099"><v>226622875</v></cell><cell r="AI1099" t="str"><v>AZR_FreeAcctDeveloperLI-AnimatedGeneric-Ch1_USA_1920x1080_VLA_Direct_EN_Trial_Standard_ANI_LEA_T1_1</v></cell><cell r="AJ1099"><v>104595736</v></cell></row><row r="1100"><cell r="D1100" t="str"><v>43358226535270</v></cell><cell r="E1100" t="str"><v>43358104595736PS7BSK</v></cell><cell r="F1100" t="str"><v>DCM</v></cell></row><row r="1100"><cell r="H1100"><v>0</v></cell><cell r="I1100" t="str"><v>Azure Direct</v></cell><cell r="J1100" t="str"><v>Azure Direct</v></cell><cell r="K1100" t="str"><v>September</v></cell><cell r="L1100"><v>43358</v></cell><cell r="M1100" t="str"><v>Tier 0</v></cell><cell r="N1100" t="str"><v>North America</v></cell><cell r="O1100" t="str"><v>United States</v></cell><cell r="P1100" t="str"><v>Trial</v></cell><cell r="Q1100" t="str"><v>Social</v></cell><cell r="R1100" t="str"><v>Azure</v></cell><cell r="S1100" t="str"><v>Apps & Infra</v></cell><cell r="T1100" t="str"><v>Developers & ITI's</v></cell><cell r="U1100" t="str"><v>USA-Trial-ITD-Job Functions Prospecting-AZR-AZR</v></cell><cell r="V1100" t="str"><v>Prospecting</v></cell><cell r="W1100" t="str"><v>Video Link ad</v></cell><cell r="X1100" t="str"><v>1920x1080</v></cell><cell r="Y1100" t="str"><v>Learn More</v></cell><cell r="Z1100" t="str"><v>Animated Banner</v></cell><cell r="AA1100"><v>43358</v></cell><cell r="AB1100" t="str"><v>USA_gaPMG_AZR_AZR_Q1_19_Direct-Social</v></cell><cell r="AC1100"><v>21358715</v></cell><cell r="AD1100"><v>720197</v></cell><cell r="AE1100" t="str"><v>Linkedin</v></cell><cell r="AF1100"><v>3654329</v></cell><cell r="AG1100" t="str"><v>LINKEDIN»USA-Trial-ITD-Job Functions Prospecting-AZR-AZR»1 x 1»SocialBan»VLA»ALL»CPA»PRO»D»All»SS»NA»FreeAcctDeveloperLI-AnimatedGeneric-Ch1»PS7BSK</v></cell><cell r="AH1100"><v>226535270</v></cell><cell r="AI1100" t="str"><v>AZR_FreeAcctDeveloperLI-AnimatedGeneric-Ch1_USA_1920x1080_VLA_Direct_EN_Trial_Standard_ANI_LEA_T1_1</v></cell><cell r="AJ1100"><v>104595736</v></cell></row><row r="1101"><cell r="D1101" t="str"><v>43358226622866</v></cell><cell r="E1101" t="str"><v>43358104671424PS7BSS</v></cell><cell r="F1101" t="str"><v>DCM</v></cell></row><row r="1101"><cell r="H1101"><v>0</v></cell><cell r="I1101" t="str"><v>Azure Direct</v></cell><cell r="J1101" t="str"><v>Azure Direct</v></cell><cell r="K1101" t="str"><v>September</v></cell><cell r="L1101"><v>43358</v></cell><cell r="M1101" t="str"><v>Tier 0</v></cell><cell r="N1101" t="str"><v>North America</v></cell><cell r="O1101" t="str"><v>United States</v></cell><cell r="P1101" t="str"><v>Trial</v></cell><cell r="Q1101" t="str"><v>Social</v></cell><cell r="R1101" t="str"><v>Azure</v></cell><cell r="S1101" t="str"><v>Apps & Infra</v></cell><cell r="T1101" t="str"><v>Developers & ITI's</v></cell><cell r="U1101" t="str"><v>USA-Trial-ITD-Job Functions Prospecting-AZR-AZR</v></cell><cell r="V1101" t="str"><v>Prospecting</v></cell><cell r="W1101" t="str"><v>Video Link ad</v></cell><cell r="X1101" t="str"><v>1920x1080</v></cell><cell r="Y1101" t="str"><v>Learn More</v></cell><cell r="Z1101" t="str"><v>Animated Banner</v></cell><cell r="AA1101"><v>43358</v></cell><cell r="AB1101" t="str"><v>USA_gaPMG_AZR_AZR_Q1_19_Direct-Social</v></cell><cell r="AC1101"><v>21358715</v></cell><cell r="AD1101"><v>720197</v></cell><cell r="AE1101" t="str"><v>Linkedin</v></cell><cell r="AF1101"><v>3654329</v></cell><cell r="AG1101" t="str"><v>LINKEDIN»USA-Trial-ITD-Job Functions Prospecting-AZR-AZR»1 x 1»SocialBan»VLA»ALL»CPA»PRO»D»All»SS»NA»FreeAcctITProLI-AnimatedHybrid-Ch2»PS7BSS</v></cell><cell r="AH1101"><v>226622866</v></cell><cell r="AI1101" t="str"><v>AZR_FreeAcctITProLI-AnimatedHybrid-Ch2_USA_1920x1080_VLA_Direct_EN_Trial_Standard_ANI_LEA_T2_1</v></cell><cell r="AJ1101"><v>104671424</v></cell></row><row r="1102"><cell r="D1102" t="str"><v>43358226774326</v></cell><cell r="E1102" t="str"><v>43358104592532PS7BSM</v></cell><cell r="F1102" t="str"><v>DCM</v></cell></row><row r="1102"><cell r="H1102"><v>1</v></cell><cell r="I1102" t="str"><v>Azure Direct</v></cell><cell r="J1102" t="str"><v>Azure Direct</v></cell><cell r="K1102" t="str"><v>September</v></cell><cell r="L1102"><v>43358</v></cell><cell r="M1102" t="str"><v>Tier 0</v></cell><cell r="N1102" t="str"><v>North America</v></cell><cell r="O1102" t="str"><v>United States</v></cell><cell r="P1102" t="str"><v>Trial</v></cell><cell r="Q1102" t="str"><v>Social</v></cell><cell r="R1102" t="str"><v>Azure</v></cell><cell r="S1102" t="str"><v>Apps & Infra</v></cell><cell r="T1102" t="str"><v>Developers & ITI's</v></cell><cell r="U1102" t="str"><v>USA-Trial-ITD-Job Functions Prospecting-AZR-AZR</v></cell><cell r="V1102" t="str"><v>Prospecting</v></cell><cell r="W1102" t="str"><v>Video Link ad</v></cell><cell r="X1102" t="str"><v>1920x1080</v></cell><cell r="Y1102" t="str"><v>Learn More</v></cell><cell r="Z1102" t="str"><v>Animated Banner</v></cell><cell r="AA1102"><v>43358</v></cell><cell r="AB1102" t="str"><v>USA_gaPMG_AZR_AZR_Q1_19_Direct-Social</v></cell><cell r="AC1102"><v>21358715</v></cell><cell r="AD1102"><v>720197</v></cell><cell r="AE1102" t="str"><v>Linkedin</v></cell><cell r="AF1102"><v>3654329</v></cell><cell r="AG1102" t="str"><v>LINKEDIN»USA-Trial-ITD-Job Functions Prospecting-AZR-AZR»1 x 1»SocialBan»VLA»ALL»CPA»PRO»D»All»SS»NA»FreeAcctITProLI-AnimatedMigration-Ch3»PS7BSM</v></cell><cell r="AH1102"><v>226774326</v></cell><cell r="AI1102" t="str"><v>AZR_FreeAcctITProLI-AnimatedMigration-Ch3_USA_1920x1080_VLA_Direct_EN_Trial_Standard_ANI_LEA_T3_1</v></cell><cell r="AJ1102"><v>104592532</v></cell></row><row r="1103"><cell r="D1103" t="str"><v>43358226538552</v></cell><cell r="E1103" t="str"><v>43358104593447PS7BSR</v></cell><cell r="F1103" t="str"><v>DCM</v></cell></row><row r="1103"><cell r="H1103"><v>0</v></cell><cell r="I1103" t="str"><v>Azure Direct</v></cell><cell r="J1103" t="str"><v>Azure Direct</v></cell><cell r="K1103" t="str"><v>September</v></cell><cell r="L1103"><v>43358</v></cell><cell r="M1103" t="str"><v>Tier 0</v></cell><cell r="N1103" t="str"><v>North America</v></cell><cell r="O1103" t="str"><v>United States</v></cell><cell r="P1103" t="str"><v>Trial</v></cell><cell r="Q1103" t="str"><v>Social</v></cell><cell r="R1103" t="str"><v>Azure</v></cell><cell r="S1103" t="str"><v>Apps & Infra</v></cell><cell r="T1103" t="str"><v>Developers & ITI's</v></cell><cell r="U1103" t="str"><v>USA-Trial-ITD-Job Functions Prospecting-AZR-AZR</v></cell><cell r="V1103" t="str"><v>Prospecting</v></cell><cell r="W1103" t="str"><v>Video Link ad</v></cell><cell r="X1103" t="str"><v>1920x1080</v></cell><cell r="Y1103" t="str"><v>Learn More</v></cell><cell r="Z1103" t="str"><v>Animated Banner</v></cell><cell r="AA1103"><v>43358</v></cell><cell r="AB1103" t="str"><v>USA_gaPMG_AZR_AZR_Q1_19_Direct-Social</v></cell><cell r="AC1103"><v>21358715</v></cell><cell r="AD1103"><v>720197</v></cell><cell r="AE1103" t="str"><v>Linkedin</v></cell><cell r="AF1103"><v>3654329</v></cell><cell r="AG1103" t="str"><v>LINKEDIN»USA-Trial-ITD-Job Functions Prospecting-AZR-AZR»1 x 1»SocialBan»VLA»ALL»CPA»PRO»D»All»SS»NA»FreeAcctITProLI-AnimatedSecureWellMngd-Ch1»PS7BSR</v></cell><cell r="AH1103"><v>226538552</v></cell><cell r="AI1103" t="str"><v>AZR_FreeAcctITProLI-AnimatedSecureWellMngd-Ch1_USA_1920x1080_VLA_Direct_EN_Trial_Standard_ANI_LEA_T1_1</v></cell><cell r="AJ1103"><v>104593447</v></cell></row><row r="1104"><cell r="D1104" t="str"><v>43358226538462</v></cell><cell r="E1104" t="str"><v>43358104593732PS7B6P</v></cell><cell r="F1104" t="str"><v>DCM</v></cell></row><row r="1104"><cell r="H1104"><v>0</v></cell><cell r="I1104" t="str"><v>Azure Direct</v></cell><cell r="J1104" t="str"><v>Azure Direct</v></cell><cell r="K1104" t="str"><v>September</v></cell><cell r="L1104"><v>43358</v></cell><cell r="M1104" t="str"><v>Tier 0</v></cell><cell r="N1104" t="str"><v>North America</v></cell><cell r="O1104" t="str"><v>United States</v></cell><cell r="P1104" t="str"><v>Trial</v></cell><cell r="Q1104" t="str"><v>Social</v></cell><cell r="R1104" t="str"><v>Azure</v></cell><cell r="S1104" t="str"><v>Apps & Infra</v></cell><cell r="T1104" t="str"><v>Developers & ITI's</v></cell><cell r="U1104" t="str"><v>USA-Trial-ITD-Job Titles Prospecting-AZR-AZR</v></cell><cell r="V1104" t="str"><v>Prospecting</v></cell><cell r="W1104" t="str"><v>Video Link ad</v></cell><cell r="X1104" t="str"><v>1920x1080</v></cell><cell r="Y1104" t="str"><v>Learn More</v></cell><cell r="Z1104" t="str"><v>Animated Banner</v></cell><cell r="AA1104"><v>43358</v></cell><cell r="AB1104" t="str"><v>USA_gaPMG_AZR_AZR_Q1_19_Direct-Social</v></cell><cell r="AC1104"><v>21358715</v></cell><cell r="AD1104"><v>720197</v></cell><cell r="AE1104" t="str"><v>Linkedin</v></cell><cell r="AF1104"><v>3654329</v></cell><cell r="AG1104" t="str"><v>LINKEDIN»USA-Trial-ITD-Job Titles Prospecting-AZR-AZR»1 x 1»SocialBan»VLA»ALL»CPA»PRO»D»All»SS»NA»FreeAcctDeveloperLI-AnimatedData-Ch4»PS7B6P</v></cell><cell r="AH1104"><v>226538462</v></cell><cell r="AI1104" t="str"><v>AZR_FreeAcctDeveloperLI-AnimatedData-Ch4_USA_1920x1080_VLA_Direct_EN_Trial_Standard_ANI_LEA_T4_1</v></cell><cell r="AJ1104"><v>104593732</v></cell></row><row r="1105"><cell r="D1105" t="str"><v>43358226536077</v></cell><cell r="E1105" t="str"><v>43358104593435PS7BVM</v></cell><cell r="F1105" t="str"><v>DCM</v></cell></row><row r="1105"><cell r="H1105"><v>0</v></cell><cell r="I1105" t="str"><v>Azure Direct</v></cell><cell r="J1105" t="str"><v>Azure Direct</v></cell><cell r="K1105" t="str"><v>September</v></cell><cell r="L1105"><v>43358</v></cell><cell r="M1105" t="str"><v>Tier 0</v></cell><cell r="N1105" t="str"><v>North America</v></cell><cell r="O1105" t="str"><v>United States</v></cell><cell r="P1105" t="str"><v>Trial</v></cell><cell r="Q1105" t="str"><v>Social</v></cell><cell r="R1105" t="str"><v>Azure</v></cell><cell r="S1105" t="str"><v>Apps & Infra</v></cell><cell r="T1105" t="str"><v>Developers & ITI's</v></cell><cell r="U1105" t="str"><v>USA-Trial-ITD-Website Retargeting-AZR-AZR</v></cell><cell r="V1105" t="str"><v>Retargeting</v></cell><cell r="W1105" t="str"><v>Link Ad</v></cell><cell r="X1105" t="str"><v>1200x627</v></cell><cell r="Y1105" t="str"><v>Sign Up</v></cell><cell r="Z1105" t="str"><v>Not Applicable</v></cell><cell r="AA1105"><v>43358</v></cell><cell r="AB1105" t="str"><v>USA_gaPMG_AZR_AZR_Q1_19_Direct-Social</v></cell><cell r="AC1105"><v>21358715</v></cell><cell r="AD1105"><v>720197</v></cell><cell r="AE1105" t="str"><v>Linkedin</v></cell><cell r="AF1105"><v>3654329</v></cell><cell r="AG1105" t="str"><v>LINKEDIN»USA-Trial-ITD-Website Retargeting-AZR-AZR»1 x 1»SocialBan»LIA»ALL»CPA»RT»D»All»SS»NA»FreeAcctRetargetingLI-Credit-ChA»PS7BVM</v></cell><cell r="AH1105"><v>226536077</v></cell><cell r="AI1105" t="str"><v>AZR_FreeAcctRetargetingLI-Credit-ChA_USA_1200x627_LIA_Plat_English_Free Account_Standard_NA_SINU_T1_1</v></cell><cell r="AJ1105"><v>104593435</v></cell></row><row r="1106"><cell r="D1106" t="str"><v>43358226537496</v></cell><cell r="E1106" t="str"><v>43358104593723PS7BVR</v></cell><cell r="F1106" t="str"><v>DCM</v></cell></row><row r="1106"><cell r="H1106"><v>0</v></cell><cell r="I1106" t="str"><v>Azure Direct</v></cell><cell r="J1106" t="str"><v>Azure Direct</v></cell><cell r="K1106" t="str"><v>September</v></cell><cell r="L1106"><v>43358</v></cell><cell r="M1106" t="str"><v>Tier 0</v></cell><cell r="N1106" t="str"><v>North America</v></cell><cell r="O1106" t="str"><v>United States</v></cell><cell r="P1106" t="str"><v>Trial</v></cell><cell r="Q1106" t="str"><v>Social</v></cell><cell r="R1106" t="str"><v>Azure</v></cell><cell r="S1106" t="str"><v>Apps & Infra</v></cell><cell r="T1106" t="str"><v>Developers & ITI's</v></cell><cell r="U1106" t="str"><v>USA-Trial-ITD-Website Retargeting-AZR-AZR</v></cell><cell r="V1106" t="str"><v>Retargeting</v></cell><cell r="W1106" t="str"><v>Link Ad</v></cell><cell r="X1106" t="str"><v>1200x627</v></cell><cell r="Y1106" t="str"><v>Sign Up</v></cell><cell r="Z1106" t="str"><v>Not Applicable</v></cell><cell r="AA1106"><v>43358</v></cell><cell r="AB1106" t="str"><v>USA_gaPMG_AZR_AZR_Q1_19_Direct-Social</v></cell><cell r="AC1106"><v>21358715</v></cell><cell r="AD1106"><v>720197</v></cell><cell r="AE1106" t="str"><v>Linkedin</v></cell><cell r="AF1106"><v>3654329</v></cell><cell r="AG1106" t="str"><v>LINKEDIN»USA-Trial-ITD-Website Retargeting-AZR-AZR»1 x 1»SocialBan»LIA»ALL»CPA»RT»D»All»SS»NA»FreeAcctRetargetingLI-GlobalAlt-ChB»PS7BVR</v></cell><cell r="AH1106"><v>226537496</v></cell><cell r="AI1106" t="str"><v>AZR_FreeAcctRetargetingLI-GlobalAlt-ChB_USA_1200x627_LIA_Plat_English_Free Account_Standard_NA_SINU_T2_1</v></cell><cell r="AJ1106"><v>104593723</v></cell></row><row r="1107"><cell r="D1107" t="str"><v>43358226537529</v></cell><cell r="E1107" t="str"><v>43358104671415PS7BVJ</v></cell><cell r="F1107" t="str"><v>DCM</v></cell></row><row r="1107"><cell r="H1107"><v>15</v></cell><cell r="I1107" t="str"><v>Azure Direct</v></cell><cell r="J1107" t="str"><v>Azure Direct</v></cell><cell r="K1107" t="str"><v>September</v></cell><cell r="L1107"><v>43358</v></cell><cell r="M1107" t="str"><v>Tier 0</v></cell><cell r="N1107" t="str"><v>North America</v></cell><cell r="O1107" t="str"><v>United States</v></cell><cell r="P1107" t="str"><v>Trial</v></cell><cell r="Q1107" t="str"><v>Social</v></cell><cell r="R1107" t="str"><v>Azure</v></cell><cell r="S1107" t="str"><v>Apps & Infra</v></cell><cell r="T1107" t="str"><v>Developers & ITI's</v></cell><cell r="U1107" t="str"><v>USA-Trial-ITD-Website Retargeting-AZR-AZR</v></cell><cell r="V1107" t="str"><v>Retargeting</v></cell><cell r="W1107" t="str"><v>Link Ad</v></cell><cell r="X1107" t="str"><v>1200x627</v></cell><cell r="Y1107" t="str"><v>Sign Up</v></cell><cell r="Z1107" t="str"><v>Not Applicable</v></cell><cell r="AA1107"><v>43358</v></cell><cell r="AB1107" t="str"><v>USA_gaPMG_AZR_AZR_Q1_19_Direct-Social</v></cell><cell r="AC1107"><v>21358715</v></cell><cell r="AD1107"><v>720197</v></cell><cell r="AE1107" t="str"><v>Linkedin</v></cell><cell r="AF1107"><v>3654329</v></cell><cell r="AG1107" t="str"><v>LINKEDIN»USA-Trial-ITD-Website Retargeting-AZR-AZR»1 x 1»SocialBan»LIA»ALL»CPA»RT»D»All»SS»NA»FreeAcctRetargetingVMLI-750Hrs-ChD»PS7BVJ</v></cell><cell r="AH1107"><v>226537529</v></cell><cell r="AI1107" t="str"><v>AZR_FreeAcctRetargetingVMLI-750Hrs-ChD_USA_1200x627_LIA_Plat_English_Free Account_Standard_NA_SINU_T1_1</v></cell><cell r="AJ1107"><v>104671415</v></cell></row><row r="1108"><cell r="D1108" t="str"><v>43358226537532</v></cell><cell r="E1108" t="str"><v>43358104592529PS7BVK</v></cell><cell r="F1108" t="str"><v>DCM</v></cell></row><row r="1108"><cell r="H1108"><v>0</v></cell><cell r="I1108" t="str"><v>Azure Direct</v></cell><cell r="J1108" t="str"><v>Azure Direct</v></cell><cell r="K1108" t="str"><v>September</v></cell><cell r="L1108"><v>43358</v></cell><cell r="M1108" t="str"><v>Tier 0</v></cell><cell r="N1108" t="str"><v>North America</v></cell><cell r="O1108" t="str"><v>United States</v></cell><cell r="P1108" t="str"><v>Trial</v></cell><cell r="Q1108" t="str"><v>Social</v></cell><cell r="R1108" t="str"><v>Azure</v></cell><cell r="S1108" t="str"><v>Apps & Infra</v></cell><cell r="T1108" t="str"><v>Developers & ITI's</v></cell><cell r="U1108" t="str"><v>USA-Trial-ITD-Website Retargeting-AZR-AZR</v></cell><cell r="V1108" t="str"><v>Retargeting</v></cell><cell r="W1108" t="str"><v>Link Ad</v></cell><cell r="X1108" t="str"><v>1200x627</v></cell><cell r="Y1108" t="str"><v>Sign Up</v></cell><cell r="Z1108" t="str"><v>Not Applicable</v></cell><cell r="AA1108"><v>43358</v></cell><cell r="AB1108" t="str"><v>USA_gaPMG_AZR_AZR_Q1_19_Direct-Social</v></cell><cell r="AC1108"><v>21358715</v></cell><cell r="AD1108"><v>720197</v></cell><cell r="AE1108" t="str"><v>Linkedin</v></cell><cell r="AF1108"><v>3654329</v></cell><cell r="AG1108" t="str"><v>LINKEDIN»USA-Trial-ITD-Website Retargeting-AZR-AZR»1 x 1»SocialBan»LIA»ALL»CPA»RT»D»All»SS»NA»FreeAcctRetargetingVMLI-OnDemand-ChE»PS7BVK</v></cell><cell r="AH1108"><v>226537532</v></cell><cell r="AI1108" t="str"><v>AZR_FreeAcctRetargetingVMLI-OnDemand-ChE_USA_1200x627_LIA_Plat_English_Free Account_Standard_NA_SINU_T2_1</v></cell><cell r="AJ1108"><v>104592529</v></cell></row><row r="1109"><cell r="D1109" t="str"><v>43358226774218</v></cell><cell r="E1109" t="str"><v>43358104593444PS7BVV</v></cell><cell r="F1109" t="str"><v>DCM</v></cell></row><row r="1109"><cell r="H1109"><v>1</v></cell><cell r="I1109" t="str"><v>Azure Direct</v></cell><cell r="J1109" t="str"><v>Azure Direct</v></cell><cell r="K1109" t="str"><v>September</v></cell><cell r="L1109"><v>43358</v></cell><cell r="M1109" t="str"><v>Tier 0</v></cell><cell r="N1109" t="str"><v>North America</v></cell><cell r="O1109" t="str"><v>United States</v></cell><cell r="P1109" t="str"><v>Trial</v></cell><cell r="Q1109" t="str"><v>Social</v></cell><cell r="R1109" t="str"><v>Azure</v></cell><cell r="S1109" t="str"><v>Apps & Infra</v></cell><cell r="T1109" t="str"><v>Developers & ITI's</v></cell><cell r="U1109" t="str"><v>USA-Trial-ITD-Website Retargeting-AZR-AZR</v></cell><cell r="V1109" t="str"><v>Retargeting</v></cell><cell r="W1109" t="str"><v>Video Link ad</v></cell><cell r="X1109" t="str"><v>1920x1080</v></cell><cell r="Y1109" t="str"><v>Learn More</v></cell><cell r="Z1109" t="str"><v>Animated Banner</v></cell><cell r="AA1109"><v>43358</v></cell><cell r="AB1109" t="str"><v>USA_gaPMG_AZR_AZR_Q1_19_Direct-Social</v></cell><cell r="AC1109"><v>21358715</v></cell><cell r="AD1109"><v>720197</v></cell><cell r="AE1109" t="str"><v>Linkedin</v></cell><cell r="AF1109"><v>3654329</v></cell><cell r="AG1109" t="str"><v>LINKEDIN»USA-Trial-ITD-Website Retargeting-AZR-AZR»1 x 1»SocialBan»VLA»ALL»CPA»RT»D»All»SS»NA»FreeAcctDeveloperLI-AnimatedAI-Ch3»PS7BVV</v></cell><cell r="AH1109"><v>226774218</v></cell><cell r="AI1109" t="str"><v>AZR_FreeAcctDeveloperLI-AnimatedAI-Ch3_USA_1920x1080_VLA_Direct_EN_Trial_Standard_ANI_LEA_T3_1</v></cell><cell r="AJ1109"><v>104593444</v></cell></row><row r="1110"><cell r="D1110" t="str"><v>43358226620835</v></cell><cell r="E1110" t="str"><v>43358104593732PS7BVW</v></cell><cell r="F1110" t="str"><v>DCM</v></cell></row><row r="1110"><cell r="H1110"><v>8</v></cell><cell r="I1110" t="str"><v>Azure Direct</v></cell><cell r="J1110" t="str"><v>Azure Direct</v></cell><cell r="K1110" t="str"><v>September</v></cell><cell r="L1110"><v>43358</v></cell><cell r="M1110" t="str"><v>Tier 0</v></cell><cell r="N1110" t="str"><v>North America</v></cell><cell r="O1110" t="str"><v>United States</v></cell><cell r="P1110" t="str"><v>Trial</v></cell><cell r="Q1110" t="str"><v>Social</v></cell><cell r="R1110" t="str"><v>Azure</v></cell><cell r="S1110" t="str"><v>Apps & Infra</v></cell><cell r="T1110" t="str"><v>Developers & ITI's</v></cell><cell r="U1110" t="str"><v>USA-Trial-ITD-Website Retargeting-AZR-AZR</v></cell><cell r="V1110" t="str"><v>Retargeting</v></cell><cell r="W1110" t="str"><v>Video Link ad</v></cell><cell r="X1110" t="str"><v>1920x1080</v></cell><cell r="Y1110" t="str"><v>Learn More</v></cell><cell r="Z1110" t="str"><v>Animated Banner</v></cell><cell r="AA1110"><v>43358</v></cell><cell r="AB1110" t="str"><v>USA_gaPMG_AZR_AZR_Q1_19_Direct-Social</v></cell><cell r="AC1110"><v>21358715</v></cell><cell r="AD1110"><v>720197</v></cell><cell r="AE1110" t="str"><v>Linkedin</v></cell><cell r="AF1110"><v>3654329</v></cell><cell r="AG1110" t="str"><v>LINKEDIN»USA-Trial-ITD-Website Retargeting-AZR-AZR»1 x 1»SocialBan»VLA»ALL»CPA»RT»D»All»SS»NA»FreeAcctDeveloperLI-AnimatedData-Ch4»PS7BVW</v></cell><cell r="AH1110"><v>226620835</v></cell><cell r="AI1110" t="str"><v>AZR_FreeAcctDeveloperLI-AnimatedData-Ch4_USA_1920x1080_VLA_Direct_EN_Trial_Standard_ANI_LEA_T4_1</v></cell><cell r="AJ1110"><v>104593732</v></cell></row><row r="1111"><cell r="D1111" t="str"><v>43358226536080</v></cell><cell r="E1111" t="str"><v>43358104595736PS7BVP</v></cell><cell r="F1111" t="str"><v>DCM</v></cell></row><row r="1111"><cell r="H1111"><v>0</v></cell><cell r="I1111" t="str"><v>Azure Direct</v></cell><cell r="J1111" t="str"><v>Azure Direct</v></cell><cell r="K1111" t="str"><v>September</v></cell><cell r="L1111"><v>43358</v></cell><cell r="M1111" t="str"><v>Tier 0</v></cell><cell r="N1111" t="str"><v>North America</v></cell><cell r="O1111" t="str"><v>United States</v></cell><cell r="P1111" t="str"><v>Trial</v></cell><cell r="Q1111" t="str"><v>Social</v></cell><cell r="R1111" t="str"><v>Azure</v></cell><cell r="S1111" t="str"><v>Apps & Infra</v></cell><cell r="T1111" t="str"><v>Developers & ITI's</v></cell><cell r="U1111" t="str"><v>USA-Trial-ITD-Website Retargeting-AZR-AZR</v></cell><cell r="V1111" t="str"><v>Retargeting</v></cell><cell r="W1111" t="str"><v>Video Link ad</v></cell><cell r="X1111" t="str"><v>1920x1080</v></cell><cell r="Y1111" t="str"><v>Learn More</v></cell><cell r="Z1111" t="str"><v>Animated Banner</v></cell><cell r="AA1111"><v>43358</v></cell><cell r="AB1111" t="str"><v>USA_gaPMG_AZR_AZR_Q1_19_Direct-Social</v></cell><cell r="AC1111"><v>21358715</v></cell><cell r="AD1111"><v>720197</v></cell><cell r="AE1111" t="str"><v>Linkedin</v></cell><cell r="AF1111"><v>3654329</v></cell><cell r="AG1111" t="str"><v>LINKEDIN»USA-Trial-ITD-Website Retargeting-AZR-AZR»1 x 1»SocialBan»VLA»ALL»CPA»RT»D»All»SS»NA»FreeAcctDeveloperLI-AnimatedGeneric-Ch1»PS7BVP</v></cell><cell r="AH1111"><v>226536080</v></cell><cell r="AI1111" t="str"><v>AZR_FreeAcctDeveloperLI-AnimatedGeneric-Ch1_USA_1920x1080_VLA_Direct_EN_Trial_Standard_ANI_LEA_T1_1</v></cell><cell r="AJ1111"><v>104595736</v></cell></row><row r="1112"><cell r="D1112" t="str"><v>43358226774221</v></cell><cell r="E1112" t="str"><v>43358104671424PS7BVY</v></cell><cell r="F1112" t="str"><v>DCM</v></cell></row><row r="1112"><cell r="H1112"><v>0</v></cell><cell r="I1112" t="str"><v>Azure Direct</v></cell><cell r="J1112" t="str"><v>Azure Direct</v></cell><cell r="K1112" t="str"><v>September</v></cell><cell r="L1112"><v>43358</v></cell><cell r="M1112" t="str"><v>Tier 0</v></cell><cell r="N1112" t="str"><v>North America</v></cell><cell r="O1112" t="str"><v>United States</v></cell><cell r="P1112" t="str"><v>Trial</v></cell><cell r="Q1112" t="str"><v>Social</v></cell><cell r="R1112" t="str"><v>Azure</v></cell><cell r="S1112" t="str"><v>Apps & Infra</v></cell><cell r="T1112" t="str"><v>Developers & ITI's</v></cell><cell r="U1112" t="str"><v>USA-Trial-ITD-Website Retargeting-AZR-AZR</v></cell><cell r="V1112" t="str"><v>Retargeting</v></cell><cell r="W1112" t="str"><v>Video Link ad</v></cell><cell r="X1112" t="str"><v>1920x1080</v></cell><cell r="Y1112" t="str"><v>Learn More</v></cell><cell r="Z1112" t="str"><v>Animated Banner</v></cell><cell r="AA1112"><v>43358</v></cell><cell r="AB1112" t="str"><v>USA_gaPMG_AZR_AZR_Q1_19_Direct-Social</v></cell><cell r="AC1112"><v>21358715</v></cell><cell r="AD1112"><v>720197</v></cell><cell r="AE1112" t="str"><v>Linkedin</v></cell><cell r="AF1112"><v>3654329</v></cell><cell r="AG1112" t="str"><v>LINKEDIN»USA-Trial-ITD-Website Retargeting-AZR-AZR»1 x 1»SocialBan»VLA»ALL»CPA»RT»D»All»SS»NA»FreeAcctITProLI-AnimatedHybrid-Ch2»PS7BVY</v></cell><cell r="AH1112"><v>226774221</v></cell><cell r="AI1112" t="str"><v>AZR_FreeAcctITProLI-AnimatedHybrid-Ch2_USA_1920x1080_VLA_Direct_EN_Trial_Standard_ANI_LEA_T2_1</v></cell><cell r="AJ1112"><v>104671424</v></cell></row><row r="1113"><cell r="D1113" t="str"><v>43358226537511</v></cell><cell r="E1113" t="str"><v>43358104593447PS7BVX</v></cell><cell r="F1113" t="str"><v>DCM</v></cell></row><row r="1113"><cell r="H1113"><v>0</v></cell><cell r="I1113" t="str"><v>Azure Direct</v></cell><cell r="J1113" t="str"><v>Azure Direct</v></cell><cell r="K1113" t="str"><v>September</v></cell><cell r="L1113"><v>43358</v></cell><cell r="M1113" t="str"><v>Tier 0</v></cell><cell r="N1113" t="str"><v>North America</v></cell><cell r="O1113" t="str"><v>United States</v></cell><cell r="P1113" t="str"><v>Trial</v></cell><cell r="Q1113" t="str"><v>Social</v></cell><cell r="R1113" t="str"><v>Azure</v></cell><cell r="S1113" t="str"><v>Apps & Infra</v></cell><cell r="T1113" t="str"><v>Developers & ITI's</v></cell><cell r="U1113" t="str"><v>USA-Trial-ITD-Website Retargeting-AZR-AZR</v></cell><cell r="V1113" t="str"><v>Retargeting</v></cell><cell r="W1113" t="str"><v>Video Link ad</v></cell><cell r="X1113" t="str"><v>1920x1080</v></cell><cell r="Y1113" t="str"><v>Learn More</v></cell><cell r="Z1113" t="str"><v>Animated Banner</v></cell><cell r="AA1113"><v>43358</v></cell><cell r="AB1113" t="str"><v>USA_gaPMG_AZR_AZR_Q1_19_Direct-Social</v></cell><cell r="AC1113"><v>21358715</v></cell><cell r="AD1113"><v>720197</v></cell><cell r="AE1113" t="str"><v>Linkedin</v></cell><cell r="AF1113"><v>3654329</v></cell><cell r="AG1113" t="str"><v>LINKEDIN»USA-Trial-ITD-Website Retargeting-AZR-AZR»1 x 1»SocialBan»VLA»ALL»CPA»RT»D»All»SS»NA»FreeAcctITProLI-AnimatedSecureWellMngd-Ch1»PS7BVX</v></cell><cell r="AH1113"><v>226537511</v></cell><cell r="AI1113" t="str"><v>AZR_FreeAcctITProLI-AnimatedSecureWellMngd-Ch1_USA_1920x1080_VLA_Direct_EN_Trial_Standard_ANI_LEA_T1_1</v></cell><cell r="AJ1113"><v>104593447</v></cell></row><row r="1114"><cell r="D1114" t="str"><v>43358226537493</v></cell><cell r="E1114" t="str"><v>43358104595736PS7BVQ</v></cell><cell r="F1114" t="str"><v>DCM</v></cell></row><row r="1114"><cell r="H1114"><v>0</v></cell><cell r="I1114" t="str"><v>Azure Direct</v></cell><cell r="J1114" t="str"><v>Azure Direct</v></cell><cell r="K1114" t="str"><v>September</v></cell><cell r="L1114"><v>43358</v></cell><cell r="M1114" t="str"><v>Tier 0</v></cell><cell r="N1114" t="str"><v>North America</v></cell><cell r="O1114" t="str"><v>United States</v></cell><cell r="P1114" t="str"><v>Trial</v></cell><cell r="Q1114" t="str"><v>Social</v></cell><cell r="R1114" t="str"><v>Azure</v></cell><cell r="S1114" t="str"><v>Apps & Infra</v></cell><cell r="T1114" t="str"><v>Developers & ITI's</v></cell><cell r="U1114" t="str"><v>USA-Trial-ITD-Website Retargeting-AZR-AZR</v></cell><cell r="V1114" t="str"><v>Retargeting</v></cell><cell r="W1114" t="str"><v>Video Link ad</v></cell><cell r="X1114" t="str"><v>1920x1080</v></cell><cell r="Y1114" t="str"><v>Learn More</v></cell><cell r="Z1114" t="str"><v>Animated Banner</v></cell><cell r="AA1114"><v>43358</v></cell><cell r="AB1114" t="str"><v>USA_gaPMG_AZR_AZR_Q1_19_Direct-Social</v></cell><cell r="AC1114"><v>21358715</v></cell><cell r="AD1114"><v>720197</v></cell><cell r="AE1114" t="str"><v>Linkedin</v></cell><cell r="AF1114"><v>3654329</v></cell><cell r="AG1114" t="str"><v>LINKEDIN»USA-Trial-ITD-Website Retargeting-AZR-AZR»1 x 1»SocialBan»VLA»ALL»CPA»RT»D»All»SS»NA»FreeAcctDeveloperLI-AnimatedGeneric-Ch1»PS7BVQ</v></cell><cell r="AH1114"><v>226537493</v></cell><cell r="AI1114" t="str"><v>AZR_FreeAcctDeveloperLI-AnimatedGeneric-Ch1_USA_1920x1080_VLA_Direct_EN_Trial_Standard_ANI_LEA_T1_1</v></cell><cell r="AJ1114"><v>104595736</v></cell></row><row r="1115"><cell r="D1115" t="str"><v>43358226786140</v></cell><cell r="E1115" t="str"><v>43358104592532PS7BVS</v></cell><cell r="F1115" t="str"><v>DCM</v></cell></row><row r="1115"><cell r="H1115"><v>4</v></cell><cell r="I1115" t="str"><v>Azure Direct</v></cell><cell r="J1115" t="str"><v>Azure Direct</v></cell><cell r="K1115" t="str"><v>September</v></cell><cell r="L1115"><v>43358</v></cell><cell r="M1115" t="str"><v>Tier 0</v></cell><cell r="N1115" t="str"><v>North America</v></cell><cell r="O1115" t="str"><v>United States</v></cell><cell r="P1115" t="str"><v>Trial</v></cell><cell r="Q1115" t="str"><v>Social</v></cell><cell r="R1115" t="str"><v>Azure</v></cell><cell r="S1115" t="str"><v>Apps & Infra</v></cell><cell r="T1115" t="str"><v>Developers & ITI's</v></cell><cell r="U1115" t="str"><v>USA-Trial-ITD-Website Retargeting-AZR-AZR</v></cell><cell r="V1115" t="str"><v>Retargeting</v></cell><cell r="W1115" t="str"><v>Video Link ad</v></cell><cell r="X1115" t="str"><v>1920x1080</v></cell><cell r="Y1115" t="str"><v>Learn More</v></cell><cell r="Z1115" t="str"><v>Animated Banner</v></cell><cell r="AA1115"><v>43358</v></cell><cell r="AB1115" t="str"><v>USA_gaPMG_AZR_AZR_Q1_19_Direct-Social</v></cell><cell r="AC1115"><v>21358715</v></cell><cell r="AD1115"><v>720197</v></cell><cell r="AE1115" t="str"><v>Linkedin</v></cell><cell r="AF1115"><v>3654329</v></cell><cell r="AG1115" t="str"><v>LINKEDIN»USA-Trial-ITD-Website Retargeting-AZR-AZR»1 x 1»SocialBan»VLA»ALL»CPA»RT»D»All»SS»NA»FreeAcctITProLI-AnimatedMigration-Ch3»PS7BVS</v></cell><cell r="AH1115"><v>226786140</v></cell><cell r="AI1115" t="str"><v>AZR_FreeAcctITProLI-AnimatedMigration-Ch3_USA_1920x1080_VLA_Direct_EN_Trial_Standard_ANI_LEA_T3_1</v></cell><cell r="AJ1115"><v>104592532</v></cell></row><row r="1116"><cell r="D1116" t="str"><v>43352PRSGY7</v></cell><cell r="E1116" t="str"><v>43352103773177PRSGY7</v></cell><cell r="F1116" t="str"><v>Appended from Pub - Not in DCM</v></cell></row><row r="1116"><cell r="I1116" t="str"><v>Azure Direct</v></cell><cell r="J1116" t="str"><v>Azure Direct</v></cell><cell r="K1116" t="str"><v>September</v></cell><cell r="L1116"><v>43358</v></cell><cell r="M1116" t="str"><v>Tier 0</v></cell><cell r="N1116" t="str"><v>North America</v></cell><cell r="O1116" t="str"><v>United States</v></cell><cell r="P1116" t="str"><v>Trial</v></cell><cell r="Q1116" t="str"><v>Social</v></cell><cell r="R1116" t="str"><v>Azure</v></cell><cell r="S1116" t="str"><v>Apps & Infra</v></cell><cell r="T1116" t="str"><v>Developers & ITI's</v></cell><cell r="U1116" t="str"><v>USA-Trial-ITD-Retargeting-AZR-AZR</v></cell><cell r="V1116" t="str"><v>Retargeting</v></cell><cell r="W1116" t="str"><v>Canvas Collection Ad</v></cell><cell r="X1116" t="str"><v>1200x182</v></cell><cell r="Y1116" t="str"><v>Try it Now</v></cell><cell r="Z1116" t="str"><v>Not Applicable</v></cell><cell r="AA1116"><v>43352</v></cell><cell r="AB1116" t="str"><v>USA_gaPMG_AZR_AZR_Q1_19_Direct-Social</v></cell><cell r="AC1116"><v>21358715</v></cell><cell r="AD1116"><v>720197</v></cell><cell r="AE1116" t="str"><v>Linkedin</v></cell><cell r="AF1116"><v>3654329</v></cell><cell r="AG1116" t="str"><v>FACEBOOK»USA-Trial-ITD-Retargeting-AZR-AZR»1 x 1»SocialBan»CCA»ALL»CPA»RT»X»NA»SS»NA»Azure Developer Facebook Collections»PRSGY7</v></cell><cell r="AH1116" t="str"><v>PRSGY7</v></cell><cell r="AI1116" t="str"><v>AZR_FBCollections-AITryAzureFreeCTA-Img2_USA_1200x182_SOC_Plat_EN_NA_Standard_NA_TIN_T1_2</v></cell><cell r="AJ1116"><v>103773177</v></cell></row><row r="1117"><cell r="D1117" t="str"><v>43352PRSH6K</v></cell><cell r="E1117" t="str"><v>43352103773177PRSH6K</v></cell><cell r="F1117" t="str"><v>Appended from Pub - Not in DCM</v></cell></row><row r="1117"><cell r="I1117" t="str"><v>Azure Direct</v></cell><cell r="J1117" t="str"><v>Azure Direct</v></cell><cell r="K1117" t="str"><v>September</v></cell><cell r="L1117"><v>43358</v></cell><cell r="M1117" t="str"><v>Tier 0</v></cell><cell r="N1117" t="str"><v>North America</v></cell><cell r="O1117" t="str"><v>United States</v></cell><cell r="P1117" t="str"><v>Trial</v></cell><cell r="Q1117" t="str"><v>Social</v></cell><cell r="R1117" t="str"><v>Azure</v></cell><cell r="S1117" t="str"><v>Apps & Infra</v></cell><cell r="T1117" t="str"><v>Developers & ITI's</v></cell><cell r="U1117" t="str"><v>USA-Trial-ITD-Trial PayGo Lookalike-AZR-AZR</v></cell><cell r="V1117" t="str"><v>Lookalike Targeting</v></cell><cell r="W1117" t="str"><v>Canvas Collection Ad</v></cell><cell r="X1117" t="str"><v>1200x182</v></cell><cell r="Y1117" t="str"><v>Try it Now</v></cell><cell r="Z1117" t="str"><v>Not Applicable</v></cell><cell r="AA1117"><v>43352</v></cell><cell r="AB1117" t="str"><v>USA_gaPMG_AZR_AZR_Q1_19_Direct-Social</v></cell><cell r="AC1117"><v>21358715</v></cell><cell r="AD1117"><v>720197</v></cell><cell r="AE1117" t="str"><v>Linkedin</v></cell><cell r="AF1117"><v>3654329</v></cell><cell r="AG1117" t="str"><v>FACEBOOK»USA-Trial-ITD-Trial PayGo Lookalike-AZR-AZR»1 x 1»SocialBan»CCA»ALL»CPA»LAL»X»NA»SS»NA»Azure Developer Facebook Collections»PRSH6K</v></cell><cell r="AH1117" t="str"><v>PRSH6K</v></cell><cell r="AI1117" t="str"><v>AZR_FBCollections-AITryAzureFreeCTA-Img2_USA_1200x182_SOC_Plat_EN_NA_Standard_NA_TIN_T1_2</v></cell><cell r="AJ1117"><v>103773177</v></cell></row><row r="1118"><cell r="D1118" t="str"><v>43352PS79JT</v></cell><cell r="E1118" t="str"><v>43352PS79JT</v></cell><cell r="F1118" t="str"><v>Appended from Pub - Not in DCM</v></cell></row><row r="1118"><cell r="I1118" t="str"><v>Azure Direct</v></cell><cell r="J1118" t="str"><v>Azure Direct</v></cell><cell r="K1118" t="str"><v>September</v></cell><cell r="L1118"><v>43358</v></cell><cell r="M1118" t="str"><v>Tier 0</v></cell><cell r="N1118" t="str"><v>North America</v></cell><cell r="O1118" t="str"><v>United States</v></cell><cell r="P1118" t="str"><v>Trial</v></cell><cell r="Q1118" t="str"><v>Social</v></cell><cell r="R1118" t="str"><v>Azure</v></cell><cell r="S1118" t="str"><v>Apps & Infra</v></cell><cell r="T1118" t="str"><v>Developers & ITI's</v></cell><cell r="U1118" t="str"><v>USA-Trial-ITD-Lead Completes-AZR-AZR</v></cell><cell r="V1118" t="str"><v>Prospecting</v></cell><cell r="W1118" t="str"><v>Canvas Ad</v></cell></row><row r="1118"><cell r="AA1118"><v>43352</v></cell><cell r="AB1118" t="str"><v>USA_gaPMG_AZR_AZR_Q1_19_Direct-Social</v></cell><cell r="AC1118"><v>21358715</v></cell><cell r="AD1118"><v>720197</v></cell><cell r="AE1118" t="str"><v>Linkedin</v></cell><cell r="AF1118"><v>3654329</v></cell><cell r="AG1118" t="str"><v>FACEBOOK»USA-Trial-ITD-Lead Completes-AZR-AZR»1 x 1»SocialBan»CAN»ALL»CPA»PRO»X»NA»SS»NA»FreeAcctDeveloperFB-AnimatedGeneric-Ch1»PS79JT</v></cell><cell r="AH1118" t="str"><v>PS79JT</v></cell></row><row r="1119"><cell r="D1119" t="str"><v>43352PRC1W1</v></cell><cell r="E1119" t="str"><v>43352103032778PRC1W1</v></cell><cell r="F1119" t="str"><v>Appended from Pub - Not in DCM</v></cell></row><row r="1119"><cell r="I1119" t="str"><v>Azure Direct</v></cell><cell r="J1119" t="str"><v>Azure Direct</v></cell><cell r="K1119" t="str"><v>September</v></cell><cell r="L1119"><v>43358</v></cell><cell r="M1119" t="str"><v>Tier 0</v></cell><cell r="N1119" t="str"><v>North America</v></cell><cell r="O1119" t="str"><v>United States</v></cell><cell r="P1119" t="str"><v>Trial</v></cell><cell r="Q1119" t="str"><v>Social</v></cell><cell r="R1119" t="str"><v>Azure</v></cell><cell r="S1119" t="str"><v>Apps & Infra</v></cell><cell r="T1119" t="str"><v>Developers & ITI's</v></cell><cell r="U1119" t="str"><v>USA-Trial-ITD-Lead Completes-AZR-AZR</v></cell><cell r="V1119" t="str"><v>Prospecting</v></cell><cell r="W1119" t="str"><v>Link Ad</v></cell><cell r="X1119" t="str"><v>1200x1200</v></cell><cell r="Y1119" t="str"><v>Learn More</v></cell><cell r="Z1119" t="str"><v>Animated Banner</v></cell><cell r="AA1119"><v>43352</v></cell><cell r="AB1119" t="str"><v>USA_gaPMG_AZR_AZR_Q1_19_Direct-Social</v></cell><cell r="AC1119"><v>21358715</v></cell><cell r="AD1119"><v>720197</v></cell><cell r="AE1119" t="str"><v>Linkedin</v></cell><cell r="AF1119"><v>3654329</v></cell><cell r="AG1119" t="str"><v>FACEBOOK»USA-Trial-ITD-Lead Completes-AZR-AZR»1 x 1»SocialBan»LIA»ALL»CPA»PRO»X»NA»SS»NA»FreeAcctDeveloperFB-AnimatedAI-Ch3»PRC1W1</v></cell><cell r="AH1119" t="str"><v>PRC1W1</v></cell><cell r="AI1119" t="str"><v>AZR_FreeAcctDeveloperFB-AnimatedAI-Ch3_USA_1200x1200_CAN_Direct_English_Trial_Standard_ANI_LEA_T3_1</v></cell><cell r="AJ1119"><v>103032778</v></cell></row><row r="1120"><cell r="D1120" t="str"><v>43352PRC2FH</v></cell><cell r="E1120" t="str"><v>43352103050783PRC2FH</v></cell><cell r="F1120" t="str"><v>Appended from Pub - Not in DCM</v></cell></row><row r="1120"><cell r="I1120" t="str"><v>Azure Direct</v></cell><cell r="J1120" t="str"><v>Azure Direct</v></cell><cell r="K1120" t="str"><v>September</v></cell><cell r="L1120"><v>43358</v></cell><cell r="M1120" t="str"><v>Tier 0</v></cell><cell r="N1120" t="str"><v>North America</v></cell><cell r="O1120" t="str"><v>United States</v></cell><cell r="P1120" t="str"><v>Trial</v></cell><cell r="Q1120" t="str"><v>Social</v></cell><cell r="R1120" t="str"><v>Azure</v></cell><cell r="S1120" t="str"><v>Apps & Infra</v></cell><cell r="T1120" t="str"><v>Developers & ITI's</v></cell><cell r="U1120" t="str"><v>USA-Trial-ITD-Trial Lookalike-AZR-AZR</v></cell><cell r="V1120" t="str"><v>Lookalike Targeting</v></cell><cell r="W1120" t="str"><v>Canvas Ad</v></cell><cell r="X1120" t="str"><v>10s</v></cell><cell r="Y1120" t="str"><v>Try it Now</v></cell><cell r="Z1120" t="str"><v>Standard videos</v></cell><cell r="AA1120"><v>43352</v></cell><cell r="AB1120" t="str"><v>USA_gaPMG_AZR_AZR_Q1_19_Direct-Social</v></cell><cell r="AC1120"><v>21358715</v></cell><cell r="AD1120"><v>720197</v></cell><cell r="AE1120" t="str"><v>Linkedin</v></cell><cell r="AF1120"><v>3654329</v></cell><cell r="AG1120" t="str"><v>INSTAGRAM»USA-Trial-ITD-Trial Lookalike-AZR-AZR»1 x 1»SocialBan»CAN»ALL»CPA»LAL»X»NA»SS»NA»IGCTCBrandinMotion»PRC2FH</v></cell><cell r="AH1120" t="str"><v>PRC2FH</v></cell><cell r="AI1120" t="str"><v>AzurePlatform_IGCTCBenefit2inMotion_USA_10s_CAN_PLATFORM_English_Trial_Standard_STAN_TIN_T4_1</v></cell><cell r="AJ1120"><v>103050783</v></cell></row><row r="1121"><cell r="D1121" t="str"><v>43352PS79SY</v></cell><cell r="E1121" t="str"><v>43352104595715PS79SY</v></cell><cell r="F1121" t="str"><v>Appended from Pub - Not in DCM</v></cell></row><row r="1121"><cell r="I1121" t="str"><v>Azure Direct</v></cell><cell r="J1121" t="str"><v>Azure Direct</v></cell><cell r="K1121" t="str"><v>September</v></cell><cell r="L1121"><v>43358</v></cell><cell r="M1121" t="str"><v>Tier 0</v></cell><cell r="N1121" t="str"><v>North America</v></cell><cell r="O1121" t="str"><v>United States</v></cell><cell r="P1121" t="str"><v>Trial</v></cell><cell r="Q1121" t="str"><v>Social</v></cell><cell r="R1121" t="str"><v>Azure</v></cell><cell r="S1121" t="str"><v>Apps & Infra</v></cell><cell r="T1121" t="str"><v>Developers & ITI's</v></cell><cell r="U1121" t="str"><v>USA-Trial-ITD-Retargeting-AZR-AZR</v></cell><cell r="V1121" t="str"><v>Retargeting</v></cell><cell r="W1121" t="str"><v>Canvas Ad</v></cell><cell r="X1121" t="str"><v>1200x628</v></cell><cell r="Y1121" t="str"><v>Sign Up</v></cell><cell r="Z1121" t="str"><v>Not Applicable</v></cell><cell r="AA1121"><v>43352</v></cell><cell r="AB1121" t="str"><v>USA_gaPMG_AZR_AZR_Q1_19_Direct-Social</v></cell><cell r="AC1121"><v>21358715</v></cell><cell r="AD1121"><v>720197</v></cell><cell r="AE1121" t="str"><v>Linkedin</v></cell><cell r="AF1121"><v>3654329</v></cell><cell r="AG1121" t="str"><v>FACEBOOK»USA-Trial-ITD-Retargeting-AZR-AZR»1 x 1»SocialBan»CAN»ALL»CPA»RT»X»NA»SS»NA»FreeAcctRetargetingVMFB-OnDemand-ChE»PS79SY</v></cell><cell r="AH1121" t="str"><v>PS79SY</v></cell><cell r="AI1121" t="str"><v>AZR_FreeAcctRetargetingVMFB-OnDemand-ChE_USA_1200x628_CAN_Plat_English_Free Account_Standard_NA_SINU_T2_1</v></cell><cell r="AJ1121"><v>104595715</v></cell></row><row r="1122"><cell r="D1122" t="str"><v>43352PS79SW</v></cell><cell r="E1122" t="str"><v>43352104595760PS79SW</v></cell><cell r="F1122" t="str"><v>Appended from Pub - Not in DCM</v></cell></row><row r="1122"><cell r="I1122" t="str"><v>Azure Direct</v></cell><cell r="J1122" t="str"><v>Azure Direct</v></cell><cell r="K1122" t="str"><v>September</v></cell><cell r="L1122"><v>43358</v></cell><cell r="M1122" t="str"><v>Tier 0</v></cell><cell r="N1122" t="str"><v>North America</v></cell><cell r="O1122" t="str"><v>United States</v></cell><cell r="P1122" t="str"><v>Trial</v></cell><cell r="Q1122" t="str"><v>Social</v></cell><cell r="R1122" t="str"><v>Azure</v></cell><cell r="S1122" t="str"><v>Apps & Infra</v></cell><cell r="T1122" t="str"><v>Developers & ITI's</v></cell><cell r="U1122" t="str"><v>USA-Trial-ITD-Retargeting-AZR-AZR</v></cell><cell r="V1122" t="str"><v>Retargeting</v></cell><cell r="W1122" t="str"><v>Canvas Ad</v></cell><cell r="X1122" t="str"><v>1200x628</v></cell><cell r="Y1122" t="str"><v>Sign Up</v></cell><cell r="Z1122" t="str"><v>Not Applicable</v></cell><cell r="AA1122"><v>43352</v></cell><cell r="AB1122" t="str"><v>USA_gaPMG_AZR_AZR_Q1_19_Direct-Social</v></cell><cell r="AC1122"><v>21358715</v></cell><cell r="AD1122"><v>720197</v></cell><cell r="AE1122" t="str"><v>Linkedin</v></cell><cell r="AF1122"><v>3654329</v></cell><cell r="AG1122" t="str"><v>FACEBOOK»USA-Trial-ITD-Retargeting-AZR-AZR»1 x 1»SocialBan»CAN»ALL»CPA»RT»X»NA»SS»NA»FreeAcctRetargetingVMFB-750Hrs-ChD»PS79SW</v></cell><cell r="AH1122" t="str"><v>PS79SW</v></cell><cell r="AI1122" t="str"><v>AZR_FreeAcctRetargetingVMFB-750Hrs-ChD_USA_1200x628_CAN_Plat_English_Free Account_Standard_NA_SINU_T1_2</v></cell><cell r="AJ1122"><v>104595760</v></cell></row><row r="1123"><cell r="D1123" t="str"><v>43352PRC2FW</v></cell><cell r="E1123" t="str"><v>43352103178714PRC2FW</v></cell><cell r="F1123" t="str"><v>Appended from Pub - Not in DCM</v></cell></row><row r="1123"><cell r="I1123" t="str"><v>Azure Direct</v></cell><cell r="J1123" t="str"><v>Azure Direct</v></cell><cell r="K1123" t="str"><v>September</v></cell><cell r="L1123"><v>43358</v></cell><cell r="M1123" t="str"><v>Tier 0</v></cell><cell r="N1123" t="str"><v>North America</v></cell><cell r="O1123" t="str"><v>United States</v></cell><cell r="P1123" t="str"><v>Trial</v></cell><cell r="Q1123" t="str"><v>Social</v></cell><cell r="R1123" t="str"><v>Azure</v></cell><cell r="S1123" t="str"><v>Apps & Infra</v></cell><cell r="T1123" t="str"><v>Developers & ITI's</v></cell><cell r="U1123" t="str"><v>USA-Trial-ITD-Trial PayGo Lookalike-AZR-AZR</v></cell><cell r="V1123" t="str"><v>Lookalike Targeting</v></cell><cell r="W1123" t="str"><v>Canvas Ad</v></cell><cell r="X1123" t="str"><v>10s</v></cell><cell r="Y1123" t="str"><v>Try it Now</v></cell><cell r="Z1123" t="str"><v>Standard videos</v></cell><cell r="AA1123"><v>43352</v></cell><cell r="AB1123" t="str"><v>USA_gaPMG_AZR_AZR_Q1_19_Direct-Social</v></cell><cell r="AC1123"><v>21358715</v></cell><cell r="AD1123"><v>720197</v></cell><cell r="AE1123" t="str"><v>Linkedin</v></cell><cell r="AF1123"><v>3654329</v></cell><cell r="AG1123" t="str"><v>INSTAGRAM»USA-Trial-ITD-Trial PayGo Lookalike-AZR-AZR»1 x 1»SocialBan»CAN»ALL»CPA»LAL»X»NA»SS»NA»IGCTCBrandinMotion»PRC2FW</v></cell><cell r="AH1123" t="str"><v>PRC2FW</v></cell><cell r="AI1123" t="str"><v>AzurePlatform_IGCTCBenefit2inMotion_USA_10s_CAN_PLATFORM_English_Trial_Standard_STAN_TIN_T4_2</v></cell><cell r="AJ1123"><v>103178714</v></cell></row><row r="1124"><cell r="D1124" t="str"><v>43352PS7B5W</v></cell><cell r="E1124" t="str"><v>43352104593738PS7B5W</v></cell><cell r="F1124" t="str"><v>Appended from Pub - Not in DCM</v></cell></row><row r="1124"><cell r="I1124" t="str"><v>Azure Direct</v></cell><cell r="J1124" t="str"><v>Azure Direct</v></cell><cell r="K1124" t="str"><v>September</v></cell><cell r="L1124"><v>43358</v></cell><cell r="M1124" t="str"><v>Tier 0</v></cell><cell r="N1124" t="str"><v>North America</v></cell><cell r="O1124" t="str"><v>United States</v></cell><cell r="P1124" t="str"><v>Trial</v></cell><cell r="Q1124" t="str"><v>Social</v></cell><cell r="R1124" t="str"><v>Azure</v></cell><cell r="S1124" t="str"><v>Apps & Infra</v></cell><cell r="T1124" t="str"><v>Developers & ITI's</v></cell><cell r="U1124" t="str"><v>USA-Trial-ITD-Trial PayGo Lookalike-AZR-AZR</v></cell><cell r="V1124" t="str"><v>Lookalike Targeting</v></cell><cell r="W1124" t="str"><v>Canvas Ad</v></cell><cell r="X1124" t="str"><v>1200x1200</v></cell><cell r="Y1124" t="str"><v>Learn More</v></cell><cell r="Z1124" t="str"><v>Animated Banner</v></cell><cell r="AA1124"><v>43352</v></cell><cell r="AB1124" t="str"><v>USA_gaPMG_AZR_AZR_Q1_19_Direct-Social</v></cell><cell r="AC1124"><v>21358715</v></cell><cell r="AD1124"><v>720197</v></cell><cell r="AE1124" t="str"><v>Linkedin</v></cell><cell r="AF1124"><v>3654329</v></cell><cell r="AG1124" t="str"><v>FACEBOOK»USA-Trial-ITD-Trial PayGo Lookalike-AZR-AZR»1 x 1»SocialBan»CAN»ALL»CPA»LAL»X»NA»SS»NA»FreeAcctITProFB-AnimatedSecureMngd-Ch1»PS7B5W</v></cell><cell r="AH1124" t="str"><v>PS7B5W</v></cell><cell r="AI1124" t="str"><v>AZR_FreeAcctITProFB-AnimatedSecureMngd-Ch1_USA_1200x1200_CAN_Direct_EN_Trial_Standard_ANI_LEA_T1_1</v></cell><cell r="AJ1124"><v>104593738</v></cell></row><row r="1125"><cell r="D1125" t="str"><v>43352PRC2FL</v></cell><cell r="E1125" t="str"><v>43352103050786PRC2FL</v></cell><cell r="F1125" t="str"><v>Appended from Pub - Not in DCM</v></cell></row><row r="1125"><cell r="I1125" t="str"><v>Azure Direct</v></cell><cell r="J1125" t="str"><v>Azure Direct</v></cell><cell r="K1125" t="str"><v>September</v></cell><cell r="L1125"><v>43358</v></cell><cell r="M1125" t="str"><v>Tier 0</v></cell><cell r="N1125" t="str"><v>North America</v></cell><cell r="O1125" t="str"><v>United States</v></cell><cell r="P1125" t="str"><v>Trial</v></cell><cell r="Q1125" t="str"><v>Social</v></cell><cell r="R1125" t="str"><v>Azure</v></cell><cell r="S1125" t="str"><v>Apps & Infra</v></cell><cell r="T1125" t="str"><v>Developers & ITI's</v></cell><cell r="U1125" t="str"><v>USA-Trial-ITD-Trial Lookalike-AZR-AZR</v></cell><cell r="V1125" t="str"><v>Lookalike Targeting</v></cell><cell r="W1125" t="str"><v>Canvas Ad</v></cell><cell r="X1125" t="str"><v>10s</v></cell><cell r="Y1125" t="str"><v>Try it Now</v></cell><cell r="Z1125" t="str"><v>Standard videos</v></cell><cell r="AA1125"><v>43352</v></cell><cell r="AB1125" t="str"><v>USA_gaPMG_AZR_AZR_Q1_19_Direct-Social</v></cell><cell r="AC1125"><v>21358715</v></cell><cell r="AD1125"><v>720197</v></cell><cell r="AE1125" t="str"><v>Linkedin</v></cell><cell r="AF1125"><v>3654329</v></cell><cell r="AG1125" t="str"><v>INSTAGRAM»USA-Trial-ITD-Trial Lookalike-AZR-AZR»1 x 1»SocialBan»CAN»ALL»CPA»LAL»X»NA»SS»NA»IGCTCBenefit2inMotion»PRC2FL</v></cell><cell r="AH1125" t="str"><v>PRC2FL</v></cell><cell r="AI1125" t="str"><v>AzurePlatform_IGCTCBrandinMotion_USA_10s_CAN_PLATFORM_English_Trial_Standard_STAN_TIN_T2_2</v></cell><cell r="AJ1125"><v>103050786</v></cell></row><row r="1126"><cell r="D1126" t="str"><v>43352PS7B5Q</v></cell><cell r="E1126" t="str"><v>43352104595766PS7B5Q</v></cell><cell r="F1126" t="str"><v>Appended from Pub - Not in DCM</v></cell></row><row r="1126"><cell r="I1126" t="str"><v>Azure Direct</v></cell><cell r="J1126" t="str"><v>Azure Direct</v></cell><cell r="K1126" t="str"><v>September</v></cell><cell r="L1126"><v>43358</v></cell><cell r="M1126" t="str"><v>Tier 0</v></cell><cell r="N1126" t="str"><v>North America</v></cell><cell r="O1126" t="str"><v>United States</v></cell><cell r="P1126" t="str"><v>Trial</v></cell><cell r="Q1126" t="str"><v>Social</v></cell><cell r="R1126" t="str"><v>Azure</v></cell><cell r="S1126" t="str"><v>Apps & Infra</v></cell><cell r="T1126" t="str"><v>Developers & ITI's</v></cell><cell r="U1126" t="str"><v>USA-Trial-ITD-Trial PayGo Lookalike-AZR-AZR</v></cell><cell r="V1126" t="str"><v>Lookalike Targeting</v></cell><cell r="W1126" t="str"><v>Canvas Ad</v></cell><cell r="X1126" t="str"><v>1200x1200</v></cell><cell r="Y1126" t="str"><v>Learn More</v></cell><cell r="Z1126" t="str"><v>Animated Banner</v></cell><cell r="AA1126"><v>43352</v></cell><cell r="AB1126" t="str"><v>USA_gaPMG_AZR_AZR_Q1_19_Direct-Social</v></cell><cell r="AC1126"><v>21358715</v></cell><cell r="AD1126"><v>720197</v></cell><cell r="AE1126" t="str"><v>Linkedin</v></cell><cell r="AF1126"><v>3654329</v></cell><cell r="AG1126" t="str"><v>FACEBOOK»USA-Trial-ITD-Trial PayGo Lookalike-AZR-AZR»1 x 1»SocialBan»CAN»ALL»CPA»LAL»X»NA»SS»NA»FreeAcctDeveloperFB-AnimatedGeneric-Ch1»PS7B5Q</v></cell><cell r="AH1126" t="str"><v>PS7B5Q</v></cell><cell r="AI1126" t="str"><v>AZR_FreeAcctDeveloperFB-AnimatedGeneric-Ch1_USA_1200x1200_CAN_Direct_EN_Trial_Standard_ANI_LEA_T1_1</v></cell><cell r="AJ1126"><v>104595766</v></cell></row><row r="1127"><cell r="D1127" t="str"><v>43352PRC1RV</v></cell><cell r="E1127" t="str"><v>43352103034917PRC1RV</v></cell><cell r="F1127" t="str"><v>Appended from Pub - Not in DCM</v></cell></row><row r="1127"><cell r="I1127" t="str"><v>Azure Direct</v></cell><cell r="J1127" t="str"><v>Azure Direct</v></cell><cell r="K1127" t="str"><v>September</v></cell><cell r="L1127"><v>43358</v></cell><cell r="M1127" t="str"><v>Tier 0</v></cell><cell r="N1127" t="str"><v>North America</v></cell><cell r="O1127" t="str"><v>United States</v></cell><cell r="P1127" t="str"><v>Trial</v></cell><cell r="Q1127" t="str"><v>Social</v></cell><cell r="R1127" t="str"><v>Azure</v></cell><cell r="S1127" t="str"><v>Apps & Infra</v></cell><cell r="T1127" t="str"><v>Developers & ITI's</v></cell><cell r="U1127" t="str"><v>USA-Trial-ITD-Retargeting-AZR-AZR</v></cell><cell r="V1127" t="str"><v>Retargeting</v></cell><cell r="W1127" t="str"><v>Link Ad</v></cell><cell r="X1127" t="str"><v>1200x628</v></cell><cell r="Y1127" t="str"><v>Sign Up</v></cell><cell r="Z1127" t="str"><v>Not Applicable</v></cell><cell r="AA1127"><v>43352</v></cell><cell r="AB1127" t="str"><v>USA_gaPMG_AZR_AZR_Q1_19_Direct-Social</v></cell><cell r="AC1127"><v>21358715</v></cell><cell r="AD1127"><v>720197</v></cell><cell r="AE1127" t="str"><v>Linkedin</v></cell><cell r="AF1127"><v>3654329</v></cell><cell r="AG1127" t="str"><v>FACEBOOK»USA-Trial-ITD-Retargeting-AZR-AZR»1 x 1»SocialBan»LIA»ALL»CPA»RT»X»NA»SS»NA»FreeAcctRetargetingFB-Credit-ChA»PRC1RV</v></cell><cell r="AH1127" t="str"><v>PRC1RV</v></cell><cell r="AI1127" t="str"><v>AzurePlatform_FreeAcctRetargetingFB-Credit-ChA_USA_1200x628_CAN_PLATFORM_English_Free Account_Standard_NA_SINU_T1_2</v></cell><cell r="AJ1127"><v>103034917</v></cell></row><row r="1128"><cell r="D1128" t="str"><v>43352PS7DLN</v></cell><cell r="E1128" t="str"><v>43352104592535PS7DLN</v></cell><cell r="F1128" t="str"><v>Appended from Pub - Not in DCM</v></cell></row><row r="1128"><cell r="I1128" t="str"><v>Azure Direct</v></cell><cell r="J1128" t="str"><v>Azure Direct</v></cell><cell r="K1128" t="str"><v>September</v></cell><cell r="L1128"><v>43358</v></cell><cell r="M1128" t="str"><v>Tier 0</v></cell><cell r="N1128" t="str"><v>North America</v></cell><cell r="O1128" t="str"><v>United States</v></cell><cell r="P1128" t="str"><v>Trial</v></cell><cell r="Q1128" t="str"><v>Social</v></cell><cell r="R1128" t="str"><v>Azure</v></cell><cell r="S1128" t="str"><v>Apps & Infra</v></cell><cell r="T1128" t="str"><v>Developers & ITI's</v></cell><cell r="U1128" t="str"><v>USA-Trial-ITD-Lead Completes Lookalike-AZR-AZR</v></cell><cell r="V1128" t="str"><v>Lookalike Targeting</v></cell><cell r="W1128" t="str"><v>Canvas Ad</v></cell><cell r="X1128" t="str"><v>1200x1200</v></cell><cell r="Y1128" t="str"><v>Learn More</v></cell><cell r="Z1128" t="str"><v>Animated Banner</v></cell><cell r="AA1128"><v>43352</v></cell><cell r="AB1128" t="str"><v>USA_gaPMG_AZR_AZR_Q1_19_Direct-Social</v></cell><cell r="AC1128"><v>21358715</v></cell><cell r="AD1128"><v>720197</v></cell><cell r="AE1128" t="str"><v>Linkedin</v></cell><cell r="AF1128"><v>3654329</v></cell><cell r="AG1128" t="str"><v>FACEBOOK»USA-Trial-ITD-Lead Completes Lookalike-AZR-AZR»1 x 1»SocialBan»CAN»ALL»CPA»LAL»X»NA»SS»NA»FreeAcctITProFB-AnimatedHybrid-Ch2»PS7DLN</v></cell><cell r="AH1128" t="str"><v>PS7DLN</v></cell><cell r="AI1128" t="str"><v>AZR_FreeAcctITProFB-AnimatedHybrid-Ch2_USA_1200x1200_CAN_Direct_EN_Trial_Standard_ANI_LEA_T2_1</v></cell><cell r="AJ1128"><v>104592535</v></cell></row><row r="1129"><cell r="D1129" t="str"><v>43352PS7DLR</v></cell><cell r="E1129" t="str"><v>43352104593450PS7DLR</v></cell><cell r="F1129" t="str"><v>Appended from Pub - Not in DCM</v></cell></row><row r="1129"><cell r="I1129" t="str"><v>Azure Direct</v></cell><cell r="J1129" t="str"><v>Azure Direct</v></cell><cell r="K1129" t="str"><v>September</v></cell><cell r="L1129"><v>43358</v></cell><cell r="M1129" t="str"><v>Tier 0</v></cell><cell r="N1129" t="str"><v>North America</v></cell><cell r="O1129" t="str"><v>United States</v></cell><cell r="P1129" t="str"><v>Trial</v></cell><cell r="Q1129" t="str"><v>Social</v></cell><cell r="R1129" t="str"><v>Azure</v></cell><cell r="S1129" t="str"><v>Apps & Infra</v></cell><cell r="T1129" t="str"><v>Developers & ITI's</v></cell><cell r="U1129" t="str"><v>USA-Trial-ITD-Lead Completes Lookalike-AZR-AZR</v></cell><cell r="V1129" t="str"><v>Lookalike Targeting</v></cell><cell r="W1129" t="str"><v>Canvas Ad</v></cell><cell r="X1129" t="str"><v>1200x1200</v></cell><cell r="Y1129" t="str"><v>Learn More</v></cell><cell r="Z1129" t="str"><v>Animated Banner</v></cell><cell r="AA1129"><v>43352</v></cell><cell r="AB1129" t="str"><v>USA_gaPMG_AZR_AZR_Q1_19_Direct-Social</v></cell><cell r="AC1129"><v>21358715</v></cell><cell r="AD1129"><v>720197</v></cell><cell r="AE1129" t="str"><v>Linkedin</v></cell><cell r="AF1129"><v>3654329</v></cell><cell r="AG1129" t="str"><v>FACEBOOK»USA-Trial-ITD-Lead Completes Lookalike-AZR-AZR»1 x 1»SocialBan»CAN»ALL»CPA»LAL»X»NA»SS»NA»FreeAcctITProFB-AnimatedMigration-Ch3»PS7DLR</v></cell><cell r="AH1129" t="str"><v>PS7DLR</v></cell><cell r="AI1129" t="str"><v>AZR_FreeAcctITProFB-AnimatedMigration-Ch3_USA_1200x1200_CAN_Direct_EN_Trial_Standard_ANI_LEA_T3_1</v></cell><cell r="AJ1129"><v>104593450</v></cell></row><row r="1130"><cell r="D1130" t="str"><v>43352PS79FT</v></cell><cell r="E1130" t="str"><v>43352PS79FT</v></cell><cell r="F1130" t="str"><v>Appended from Pub - Not in DCM</v></cell></row><row r="1130"><cell r="I1130" t="str"><v>Azure Direct</v></cell><cell r="J1130" t="str"><v>Azure Direct</v></cell><cell r="K1130" t="str"><v>September</v></cell><cell r="L1130"><v>43358</v></cell><cell r="M1130" t="str"><v>Tier 0</v></cell><cell r="N1130" t="str"><v>North America</v></cell><cell r="O1130" t="str"><v>United States</v></cell><cell r="P1130" t="str"><v>Trial</v></cell><cell r="Q1130" t="str"><v>Social</v></cell><cell r="R1130" t="str"><v>Azure</v></cell><cell r="S1130" t="str"><v>Apps & Infra</v></cell><cell r="T1130" t="str"><v>Developers & ITI's</v></cell><cell r="U1130" t="str"><v>USA-Trial-ITD-Lead Completes Lookalike-AZR-AZR</v></cell><cell r="V1130" t="str"><v>Lookalike Targeting</v></cell><cell r="W1130" t="str"><v>Canvas Ad</v></cell></row><row r="1130"><cell r="AA1130"><v>43352</v></cell><cell r="AB1130" t="str"><v>USA_gaPMG_AZR_AZR_Q1_19_Direct-Social</v></cell><cell r="AC1130"><v>21358715</v></cell><cell r="AD1130"><v>720197</v></cell><cell r="AE1130" t="str"><v>Linkedin</v></cell><cell r="AF1130"><v>3654329</v></cell><cell r="AG1130" t="str"><v>FACEBOOK»USA-Trial-ITD-Lead Completes Lookalike-AZR-AZR»1 x 1»SocialBan»CAN»ALL»CPA»LAL»X»NA»SS»NA»FreeAcctDeveloperFB-AnimatedGeneric-Ch1»PS79FT</v></cell><cell r="AH1130" t="str"><v>PS79FT</v></cell></row><row r="1131"><cell r="D1131" t="str"><v>43352PS79JV</v></cell><cell r="E1131" t="str"><v>43352PS79JV</v></cell><cell r="F1131" t="str"><v>Appended from Pub - Not in DCM</v></cell></row><row r="1131"><cell r="I1131" t="str"><v>Azure Direct</v></cell><cell r="J1131" t="str"><v>Azure Direct</v></cell><cell r="K1131" t="str"><v>September</v></cell><cell r="L1131"><v>43358</v></cell><cell r="M1131" t="str"><v>Tier 0</v></cell><cell r="N1131" t="str"><v>North America</v></cell><cell r="O1131" t="str"><v>United States</v></cell><cell r="P1131" t="str"><v>Trial</v></cell><cell r="Q1131" t="str"><v>Social</v></cell><cell r="R1131" t="str"><v>Azure</v></cell><cell r="S1131" t="str"><v>Apps & Infra</v></cell><cell r="T1131" t="str"><v>Developers & ITI's</v></cell><cell r="U1131" t="str"><v>USA-Trial-ITD-Lead Completes-AZR-AZR</v></cell><cell r="V1131" t="str"><v>Prospecting</v></cell><cell r="W1131" t="str"><v>Canvas Ad</v></cell></row><row r="1131"><cell r="AA1131"><v>43352</v></cell><cell r="AB1131" t="str"><v>USA_gaPMG_AZR_AZR_Q1_19_Direct-Social</v></cell><cell r="AC1131"><v>21358715</v></cell><cell r="AD1131"><v>720197</v></cell><cell r="AE1131" t="str"><v>Linkedin</v></cell><cell r="AF1131"><v>3654329</v></cell><cell r="AG1131" t="str"><v>FACEBOOK»USA-Trial-ITD-Lead Completes-AZR-AZR»1 x 1»SocialBan»CAN»ALL»CPA»PRO»X»NA»SS»NA»FreeAcctDeveloperFB-AnimatedOpenSource-Ch2»PS79JV</v></cell><cell r="AH1131" t="str"><v>PS79JV</v></cell></row><row r="1132"><cell r="D1132" t="str"><v>43352PS79K5</v></cell><cell r="E1132" t="str"><v>43352PS79K5</v></cell><cell r="F1132" t="str"><v>Appended from Pub - Not in DCM</v></cell></row><row r="1132"><cell r="I1132" t="str"><v>Azure Direct</v></cell><cell r="J1132" t="str"><v>Azure Direct</v></cell><cell r="K1132" t="str"><v>September</v></cell><cell r="L1132"><v>43358</v></cell><cell r="M1132" t="str"><v>Tier 0</v></cell><cell r="N1132" t="str"><v>North America</v></cell><cell r="O1132" t="str"><v>United States</v></cell><cell r="P1132" t="str"><v>Trial</v></cell><cell r="Q1132" t="str"><v>Social</v></cell><cell r="R1132" t="str"><v>Azure</v></cell><cell r="S1132" t="str"><v>Apps & Infra</v></cell><cell r="T1132" t="str"><v>Developers & ITI's</v></cell><cell r="U1132" t="str"><v>USA-Trial-ITD-Lead Completes-AZR-AZR</v></cell><cell r="V1132" t="str"><v>Prospecting</v></cell><cell r="W1132" t="str"><v>Canvas Ad</v></cell></row><row r="1132"><cell r="AA1132"><v>43352</v></cell><cell r="AB1132" t="str"><v>USA_gaPMG_AZR_AZR_Q1_19_Direct-Social</v></cell><cell r="AC1132"><v>21358715</v></cell><cell r="AD1132"><v>720197</v></cell><cell r="AE1132" t="str"><v>Linkedin</v></cell><cell r="AF1132"><v>3654329</v></cell><cell r="AG1132" t="str"><v>FACEBOOK»USA-Trial-ITD-Lead Completes-AZR-AZR»1 x 1»SocialBan»CAN»ALL»CPA»PRO»X»NA»SS»NA»FreeAcctITProFB-AnimatedMigration-Ch3»PS79K5</v></cell><cell r="AH1132" t="str"><v>PS79K5</v></cell></row><row r="1133"><cell r="D1133" t="str"><v>43352PS79G3</v></cell><cell r="E1133" t="str"><v>43352104595745PS79G3</v></cell><cell r="F1133" t="str"><v>Appended from Pub - Not in DCM</v></cell></row><row r="1133"><cell r="I1133" t="str"><v>Azure Direct</v></cell><cell r="J1133" t="str"><v>Azure Direct</v></cell><cell r="K1133" t="str"><v>September</v></cell><cell r="L1133"><v>43358</v></cell><cell r="M1133" t="str"><v>Tier 0</v></cell><cell r="N1133" t="str"><v>North America</v></cell><cell r="O1133" t="str"><v>United States</v></cell><cell r="P1133" t="str"><v>Trial</v></cell><cell r="Q1133" t="str"><v>Social</v></cell><cell r="R1133" t="str"><v>Azure</v></cell><cell r="S1133" t="str"><v>Apps & Infra</v></cell><cell r="T1133" t="str"><v>Developers & ITI's</v></cell><cell r="U1133" t="str"><v>USA-Trial-ITD-Lead Completes Lookalike-AZR-AZR</v></cell><cell r="V1133" t="str"><v>Lookalike Targeting</v></cell><cell r="W1133" t="str"><v>Canvas Ad</v></cell><cell r="X1133" t="str"><v>1200x1200</v></cell><cell r="Y1133" t="str"><v>Learn More</v></cell><cell r="Z1133" t="str"><v>Animated Banner</v></cell><cell r="AA1133"><v>43352</v></cell><cell r="AB1133" t="str"><v>USA_gaPMG_AZR_AZR_Q1_19_Direct-Social</v></cell><cell r="AC1133"><v>21358715</v></cell><cell r="AD1133"><v>720197</v></cell><cell r="AE1133" t="str"><v>Linkedin</v></cell><cell r="AF1133"><v>3654329</v></cell><cell r="AG1133" t="str"><v>FACEBOOK»USA-Trial-ITD-Lead Completes Lookalike-AZR-AZR»1 x 1»SocialBan»CAN»ALL»CPA»LAL»X»NA»SS»NA»FreeAcctDeveloperFB-AnimatedAI-Ch3»PS79G3</v></cell><cell r="AH1133" t="str"><v>PS79G3</v></cell><cell r="AI1133" t="str"><v>AZR_FreeAcctDeveloperFB-AnimatedAI-Ch3_USA_1200x1200_CAN_Direct_EN_Trial_Standard_ANI_LEA_T3_2</v></cell><cell r="AJ1133"><v>104595745</v></cell></row><row r="1134"><cell r="D1134" t="str"><v>43352PS79JW</v></cell><cell r="E1134" t="str"><v>43352PS79JW</v></cell><cell r="F1134" t="str"><v>Appended from Pub - Not in DCM</v></cell></row><row r="1134"><cell r="I1134" t="str"><v>Azure Direct</v></cell><cell r="J1134" t="str"><v>Azure Direct</v></cell><cell r="K1134" t="str"><v>September</v></cell><cell r="L1134"><v>43358</v></cell><cell r="M1134" t="str"><v>Tier 0</v></cell><cell r="N1134" t="str"><v>North America</v></cell><cell r="O1134" t="str"><v>United States</v></cell><cell r="P1134" t="str"><v>Trial</v></cell><cell r="Q1134" t="str"><v>Social</v></cell><cell r="R1134" t="str"><v>Azure</v></cell><cell r="S1134" t="str"><v>Apps & Infra</v></cell><cell r="T1134" t="str"><v>Developers & ITI's</v></cell><cell r="U1134" t="str"><v>USA-Trial-ITD-Lead Completes-AZR-AZR</v></cell><cell r="V1134" t="str"><v>Prospecting</v></cell><cell r="W1134" t="str"><v>Canvas Ad</v></cell></row><row r="1134"><cell r="AA1134"><v>43352</v></cell><cell r="AB1134" t="str"><v>USA_gaPMG_AZR_AZR_Q1_19_Direct-Social</v></cell><cell r="AC1134"><v>21358715</v></cell><cell r="AD1134"><v>720197</v></cell><cell r="AE1134" t="str"><v>Linkedin</v></cell><cell r="AF1134"><v>3654329</v></cell><cell r="AG1134" t="str"><v>FACEBOOK»USA-Trial-ITD-Lead Completes-AZR-AZR»1 x 1»SocialBan»CAN»ALL»CPA»PRO»X»NA»SS»NA»FreeAcctDeveloperFB-AnimatedAI-Ch3»PS79JW</v></cell><cell r="AH1134" t="str"><v>PS79JW</v></cell></row><row r="1135"><cell r="D1135" t="str"><v>43352PS79JX</v></cell><cell r="E1135" t="str"><v>43352PS79JX</v></cell><cell r="F1135" t="str"><v>Appended from Pub - Not in DCM</v></cell></row><row r="1135"><cell r="I1135" t="str"><v>Azure Direct</v></cell><cell r="J1135" t="str"><v>Azure Direct</v></cell><cell r="K1135" t="str"><v>September</v></cell><cell r="L1135"><v>43358</v></cell><cell r="M1135" t="str"><v>Tier 0</v></cell><cell r="N1135" t="str"><v>North America</v></cell><cell r="O1135" t="str"><v>United States</v></cell><cell r="P1135" t="str"><v>Trial</v></cell><cell r="Q1135" t="str"><v>Social</v></cell><cell r="R1135" t="str"><v>Azure</v></cell><cell r="S1135" t="str"><v>Apps & Infra</v></cell><cell r="T1135" t="str"><v>Developers & ITI's</v></cell><cell r="U1135" t="str"><v>USA-Trial-ITD-Lead Completes-AZR-AZR</v></cell><cell r="V1135" t="str"><v>Prospecting</v></cell><cell r="W1135" t="str"><v>Canvas Ad</v></cell></row><row r="1135"><cell r="AA1135"><v>43352</v></cell><cell r="AB1135" t="str"><v>USA_gaPMG_AZR_AZR_Q1_19_Direct-Social</v></cell><cell r="AC1135"><v>21358715</v></cell><cell r="AD1135"><v>720197</v></cell><cell r="AE1135" t="str"><v>Linkedin</v></cell><cell r="AF1135"><v>3654329</v></cell><cell r="AG1135" t="str"><v>FACEBOOK»USA-Trial-ITD-Lead Completes-AZR-AZR»1 x 1»SocialBan»CAN»ALL»CPA»PRO»X»NA»SS»NA»FreeAcctDeveloperFB-AnimatedData-Ch4»PS79JX</v></cell><cell r="AH1135" t="str"><v>PS79JX</v></cell></row><row r="1136"><cell r="D1136" t="str"><v>43352PRC1LZ</v></cell><cell r="E1136" t="str"><v>43352103043823PRC1LZ</v></cell><cell r="F1136" t="str"><v>Appended from Pub - Not in DCM</v></cell></row><row r="1136"><cell r="I1136" t="str"><v>Azure Direct</v></cell><cell r="J1136" t="str"><v>Azure Direct</v></cell><cell r="K1136" t="str"><v>September</v></cell><cell r="L1136"><v>43358</v></cell><cell r="M1136" t="str"><v>Tier 0</v></cell><cell r="N1136" t="str"><v>North America</v></cell><cell r="O1136" t="str"><v>United States</v></cell><cell r="P1136" t="str"><v>Trial</v></cell><cell r="Q1136" t="str"><v>Social</v></cell><cell r="R1136" t="str"><v>Azure</v></cell><cell r="S1136" t="str"><v>Apps & Infra</v></cell><cell r="T1136" t="str"><v>Developers & ITI's</v></cell><cell r="U1136" t="str"><v>USA-Trial-ITD-Trial Lookalike-AZR-AZR</v></cell><cell r="V1136" t="str"><v>Lookalike Targeting</v></cell><cell r="W1136" t="str"><v>Canvas Ad</v></cell><cell r="X1136" t="str"><v>10s</v></cell><cell r="Y1136" t="str"><v>Try it Now</v></cell><cell r="Z1136" t="str"><v>Standard videos</v></cell><cell r="AA1136"><v>43352</v></cell><cell r="AB1136" t="str"><v>USA_gaPMG_AZR_AZR_Q1_19_Direct-Social</v></cell><cell r="AC1136"><v>21358715</v></cell><cell r="AD1136"><v>720197</v></cell><cell r="AE1136" t="str"><v>Linkedin</v></cell><cell r="AF1136"><v>3654329</v></cell><cell r="AG1136" t="str"><v>FACEBOOK»USA-Trial-ITD-Trial Lookalike-AZR-AZR»1 x 1»SocialBan»CAN»ALL»CPA»LAL»X»NA»SS»NA»FBCTCBasicMotion»PRC1LZ</v></cell><cell r="AH1136" t="str"><v>PRC1LZ</v></cell><cell r="AI1136" t="str"><v>AzurePlatform_FBCTCBasicMotion_USA_10s_CAN_PLATFORM_English_Trial_Standard_STAN_TIN_T1_1</v></cell><cell r="AJ1136"><v>103043823</v></cell></row><row r="1137"><cell r="D1137" t="str"><v>43352PS79S1</v></cell><cell r="E1137" t="str"><v>43352104595769PS79S1</v></cell><cell r="F1137" t="str"><v>Appended from Pub - Not in DCM</v></cell></row><row r="1137"><cell r="I1137" t="str"><v>Azure Direct</v></cell><cell r="J1137" t="str"><v>Azure Direct</v></cell><cell r="K1137" t="str"><v>September</v></cell><cell r="L1137"><v>43358</v></cell><cell r="M1137" t="str"><v>Tier 0</v></cell><cell r="N1137" t="str"><v>North America</v></cell><cell r="O1137" t="str"><v>United States</v></cell><cell r="P1137" t="str"><v>Trial</v></cell><cell r="Q1137" t="str"><v>Social</v></cell><cell r="R1137" t="str"><v>Azure</v></cell><cell r="S1137" t="str"><v>Apps & Infra</v></cell><cell r="T1137" t="str"><v>Developers & ITI's</v></cell><cell r="U1137" t="str"><v>USA-Trial-ITD-Retargeting-AZR-AZR</v></cell><cell r="V1137" t="str"><v>Retargeting</v></cell><cell r="W1137" t="str"><v>Canvas Ad</v></cell><cell r="X1137" t="str"><v>1200x628</v></cell><cell r="Y1137" t="str"><v>Sign Up</v></cell><cell r="Z1137" t="str"><v>Not Applicable</v></cell><cell r="AA1137"><v>43352</v></cell><cell r="AB1137" t="str"><v>USA_gaPMG_AZR_AZR_Q1_19_Direct-Social</v></cell><cell r="AC1137"><v>21358715</v></cell><cell r="AD1137"><v>720197</v></cell><cell r="AE1137" t="str"><v>Linkedin</v></cell><cell r="AF1137"><v>3654329</v></cell><cell r="AG1137" t="str"><v>FACEBOOK»USA-Trial-ITD-Retargeting-AZR-AZR»1 x 1»SocialBan»CAN»ALL»CPA»RT»X»NA»SS»NA»FreeAcctRetargetingFB-Credit-ChA»PS79S1</v></cell><cell r="AH1137" t="str"><v>PS79S1</v></cell><cell r="AI1137" t="str"><v>AZR_FreeAcctRetargetingFB-Credit-ChA_USA_1200x628_CAN_Plat_English_Free Account_Standard_NA_SINU_T1_1</v></cell><cell r="AJ1137"><v>104595769</v></cell></row><row r="1138"><cell r="D1138" t="str"><v>43352PS79SS</v></cell><cell r="E1138" t="str"><v>43352104593441PS79SS</v></cell><cell r="F1138" t="str"><v>Appended from Pub - Not in DCM</v></cell></row><row r="1138"><cell r="I1138" t="str"><v>Azure Direct</v></cell><cell r="J1138" t="str"><v>Azure Direct</v></cell><cell r="K1138" t="str"><v>September</v></cell><cell r="L1138"><v>43358</v></cell><cell r="M1138" t="str"><v>Tier 0</v></cell><cell r="N1138" t="str"><v>North America</v></cell><cell r="O1138" t="str"><v>United States</v></cell><cell r="P1138" t="str"><v>Trial</v></cell><cell r="Q1138" t="str"><v>Social</v></cell><cell r="R1138" t="str"><v>Azure</v></cell><cell r="S1138" t="str"><v>Apps & Infra</v></cell><cell r="T1138" t="str"><v>Developers & ITI's</v></cell><cell r="U1138" t="str"><v>USA-Trial-ITD-Retargeting-AZR-AZR</v></cell><cell r="V1138" t="str"><v>Retargeting</v></cell><cell r="W1138" t="str"><v>Canvas Ad</v></cell><cell r="X1138" t="str"><v>1200x628</v></cell><cell r="Y1138" t="str"><v>Sign Up</v></cell><cell r="Z1138" t="str"><v>Not Applicable</v></cell><cell r="AA1138"><v>43352</v></cell><cell r="AB1138" t="str"><v>USA_gaPMG_AZR_AZR_Q1_19_Direct-Social</v></cell><cell r="AC1138"><v>21358715</v></cell><cell r="AD1138"><v>720197</v></cell><cell r="AE1138" t="str"><v>Linkedin</v></cell><cell r="AF1138"><v>3654329</v></cell><cell r="AG1138" t="str"><v>FACEBOOK»USA-Trial-ITD-Retargeting-AZR-AZR»1 x 1»SocialBan»CAN»ALL»CPA»RT»X»NA»SS»NA»FreeAcctRetargetingFB-GlobalAlt-ChB»PS79SS</v></cell><cell r="AH1138" t="str"><v>PS79SS</v></cell><cell r="AI1138" t="str"><v>AZR_FreeAcctRetargetingFB-GlobalAlt-ChB_USA_1200x628_CAN_Plat_English_Free Account_Standard_NA_SINU_T2_2</v></cell><cell r="AJ1138"><v>104593441</v></cell></row><row r="1139"><cell r="D1139" t="str"><v>43352PRC2G3</v></cell><cell r="E1139" t="str"><v>43352103178714PRC2G3</v></cell><cell r="F1139" t="str"><v>Appended from Pub - Not in DCM</v></cell></row><row r="1139"><cell r="I1139" t="str"><v>Azure Direct</v></cell><cell r="J1139" t="str"><v>Azure Direct</v></cell><cell r="K1139" t="str"><v>September</v></cell><cell r="L1139"><v>43358</v></cell><cell r="M1139" t="str"><v>Tier 0</v></cell><cell r="N1139" t="str"><v>North America</v></cell><cell r="O1139" t="str"><v>United States</v></cell><cell r="P1139" t="str"><v>Trial</v></cell><cell r="Q1139" t="str"><v>Social</v></cell><cell r="R1139" t="str"><v>Azure</v></cell><cell r="S1139" t="str"><v>Apps & Infra</v></cell><cell r="T1139" t="str"><v>Developers & ITI's</v></cell><cell r="U1139" t="str"><v>USA-Trial-ITD-Retargeting-AZR-AZR</v></cell><cell r="V1139" t="str"><v>Retargeting</v></cell><cell r="W1139" t="str"><v>Canvas Ad</v></cell><cell r="X1139" t="str"><v>10s</v></cell><cell r="Y1139" t="str"><v>Try it Now</v></cell><cell r="Z1139" t="str"><v>Standard videos</v></cell><cell r="AA1139"><v>43352</v></cell><cell r="AB1139" t="str"><v>USA_gaPMG_AZR_AZR_Q1_19_Direct-Social</v></cell><cell r="AC1139"><v>21358715</v></cell><cell r="AD1139"><v>720197</v></cell><cell r="AE1139" t="str"><v>Linkedin</v></cell><cell r="AF1139"><v>3654329</v></cell><cell r="AG1139" t="str"><v>INSTAGRAM»USA-Trial-ITD-Retargeting-AZR-AZR»1 x 1»SocialBan»CAN»ALL»CPA»RT»X»NA»SS»NA»IGCTCBrandinMotion»PRC2G3</v></cell><cell r="AH1139" t="str"><v>PRC2G3</v></cell><cell r="AI1139" t="str"><v>AzurePlatform_IGCTCBenefit2inMotion_USA_10s_CAN_PLATFORM_English_Trial_Standard_STAN_TIN_T4_2</v></cell><cell r="AJ1139"><v>103178714</v></cell></row><row r="1140"><cell r="D1140" t="str"><v>43352PS79T1</v></cell><cell r="E1140" t="str"><v>43352104592508PS79T1</v></cell><cell r="F1140" t="str"><v>Appended from Pub - Not in DCM</v></cell></row><row r="1140"><cell r="I1140" t="str"><v>Azure Direct</v></cell><cell r="J1140" t="str"><v>Azure Direct</v></cell><cell r="K1140" t="str"><v>September</v></cell><cell r="L1140"><v>43358</v></cell><cell r="M1140" t="str"><v>Tier 0</v></cell><cell r="N1140" t="str"><v>North America</v></cell><cell r="O1140" t="str"><v>United States</v></cell><cell r="P1140" t="str"><v>Trial</v></cell><cell r="Q1140" t="str"><v>Social</v></cell><cell r="R1140" t="str"><v>Azure</v></cell><cell r="S1140" t="str"><v>Apps & Infra</v></cell><cell r="T1140" t="str"><v>Developers & ITI's</v></cell><cell r="U1140" t="str"><v>USA-Trial-ITD-Retargeting-AZR-AZR</v></cell><cell r="V1140" t="str"><v>Retargeting</v></cell><cell r="W1140" t="str"><v>Canvas Ad</v></cell><cell r="X1140" t="str"><v>1200x628</v></cell><cell r="Y1140" t="str"><v>Sign Up</v></cell><cell r="Z1140" t="str"><v>Not Applicable</v></cell><cell r="AA1140"><v>43352</v></cell><cell r="AB1140" t="str"><v>USA_gaPMG_AZR_AZR_Q1_19_Direct-Social</v></cell><cell r="AC1140"><v>21358715</v></cell><cell r="AD1140"><v>720197</v></cell><cell r="AE1140" t="str"><v>Linkedin</v></cell><cell r="AF1140"><v>3654329</v></cell><cell r="AG1140" t="str"><v>FACEBOOK»USA-Trial-ITD-Retargeting-AZR-AZR»1 x 1»SocialBan»CAN»ALL»CPA»RT»X»NA»SS»NA»FreeAcctRetargetingOSSFB-Logos-ChG»PS79T1</v></cell><cell r="AH1140" t="str"><v>PS79T1</v></cell><cell r="AI1140" t="str"><v>AZR_FreeAcctRetargetingOSSFB-Logos-ChG_USA_1200x628_CAN_Plat_English_Free Account_Standard_NA_SINU_T2_1</v></cell><cell r="AJ1140"><v>104592508</v></cell></row><row r="1141"><cell r="D1141" t="str"><v>43352PS79T0</v></cell><cell r="E1141" t="str"><v>43352104593423PS79T0</v></cell><cell r="F1141" t="str"><v>Appended from Pub - Not in DCM</v></cell></row><row r="1141"><cell r="I1141" t="str"><v>Azure Direct</v></cell><cell r="J1141" t="str"><v>Azure Direct</v></cell><cell r="K1141" t="str"><v>September</v></cell><cell r="L1141"><v>43358</v></cell><cell r="M1141" t="str"><v>Tier 0</v></cell><cell r="N1141" t="str"><v>North America</v></cell><cell r="O1141" t="str"><v>United States</v></cell><cell r="P1141" t="str"><v>Trial</v></cell><cell r="Q1141" t="str"><v>Social</v></cell><cell r="R1141" t="str"><v>Azure</v></cell><cell r="S1141" t="str"><v>Apps & Infra</v></cell><cell r="T1141" t="str"><v>Developers & ITI's</v></cell><cell r="U1141" t="str"><v>USA-Trial-ITD-Retargeting-AZR-AZR</v></cell><cell r="V1141" t="str"><v>Retargeting</v></cell><cell r="W1141" t="str"><v>Canvas Ad</v></cell><cell r="X1141" t="str"><v>1200x628</v></cell><cell r="Y1141" t="str"><v>Sign Up</v></cell><cell r="Z1141" t="str"><v>Not Applicable</v></cell><cell r="AA1141"><v>43352</v></cell><cell r="AB1141" t="str"><v>USA_gaPMG_AZR_AZR_Q1_19_Direct-Social</v></cell><cell r="AC1141"><v>21358715</v></cell><cell r="AD1141"><v>720197</v></cell><cell r="AE1141" t="str"><v>Linkedin</v></cell><cell r="AF1141"><v>3654329</v></cell><cell r="AG1141" t="str"><v>FACEBOOK»USA-Trial-ITD-Retargeting-AZR-AZR»1 x 1»SocialBan»CAN»ALL»CPA»RT»X»NA»SS»NA»FreeAcctRetargetingOSSFB-Text-ChF»PS79T0</v></cell><cell r="AH1141" t="str"><v>PS79T0</v></cell><cell r="AI1141" t="str"><v>AZR_FreeAcctRetargetingOSSFB-Text-ChF_USA_1200x628_CAN_Plat_English_Free Account_Standard_NA_SINU_T1_1</v></cell><cell r="AJ1141"><v>104593423</v></cell></row><row r="1142"><cell r="D1142" t="str"><v>43352PRC2PD</v></cell><cell r="E1142" t="str"><v>43352103180628PRC2PD</v></cell><cell r="F1142" t="str"><v>Appended from Pub - Not in DCM</v></cell></row><row r="1142"><cell r="I1142" t="str"><v>Azure Direct</v></cell><cell r="J1142" t="str"><v>Azure Direct</v></cell><cell r="K1142" t="str"><v>September</v></cell><cell r="L1142"><v>43358</v></cell><cell r="M1142" t="str"><v>Tier 0</v></cell><cell r="N1142" t="str"><v>North America</v></cell><cell r="O1142" t="str"><v>United States</v></cell><cell r="P1142" t="str"><v>Trial</v></cell><cell r="Q1142" t="str"><v>Social</v></cell><cell r="R1142" t="str"><v>Azure</v></cell><cell r="S1142" t="str"><v>Apps & Infra</v></cell><cell r="T1142" t="str"><v>Developers & ITI's</v></cell><cell r="U1142" t="str"><v>USA-Trial-ITD-Interest Prospecting-AZR-AZR</v></cell><cell r="V1142" t="str"><v>Prospecting</v></cell><cell r="W1142" t="str"><v>Canvas Ad</v></cell><cell r="X1142" t="str"><v>10s</v></cell><cell r="Y1142" t="str"><v>Try it Now</v></cell><cell r="Z1142" t="str"><v>Standard videos</v></cell><cell r="AA1142"><v>43352</v></cell><cell r="AB1142" t="str"><v>USA_gaPMG_AZR_AZR_Q1_19_Direct-Social</v></cell><cell r="AC1142"><v>21358715</v></cell><cell r="AD1142"><v>720197</v></cell><cell r="AE1142" t="str"><v>Linkedin</v></cell><cell r="AF1142"><v>3654329</v></cell><cell r="AG1142" t="str"><v>INSTAGRAM»USA-Trial-ITD-Interest Prospecting-AZR-AZR»1 x 1»SocialBan»CAN»ALL»CPA»PRO»X»NA»SS»NA»IGCTCBenefit2inMotion»PRC2PD</v></cell><cell r="AH1142" t="str"><v>PRC2PD</v></cell><cell r="AI1142" t="str"><v>AzurePlatform_IGCTCBrandinMotion_USA_10s_CAN_PLATFORM_English_Trial_Standard_STAN_TIN_T2_1</v></cell><cell r="AJ1142"><v>103180628</v></cell></row><row r="1143"><cell r="D1143" t="str"><v>43352PRC1VX</v></cell><cell r="E1143" t="str"><v>43352103176812PRC1VX</v></cell><cell r="F1143" t="str"><v>Appended from Pub - Not in DCM</v></cell></row><row r="1143"><cell r="I1143" t="str"><v>Azure Direct</v></cell><cell r="J1143" t="str"><v>Azure Direct</v></cell><cell r="K1143" t="str"><v>September</v></cell><cell r="L1143"><v>43358</v></cell><cell r="M1143" t="str"><v>Tier 0</v></cell><cell r="N1143" t="str"><v>North America</v></cell><cell r="O1143" t="str"><v>United States</v></cell><cell r="P1143" t="str"><v>Trial</v></cell><cell r="Q1143" t="str"><v>Social</v></cell><cell r="R1143" t="str"><v>Azure</v></cell><cell r="S1143" t="str"><v>Apps & Infra</v></cell><cell r="T1143" t="str"><v>Developers & ITI's</v></cell><cell r="U1143" t="str"><v>USA-Trial-ITD-Lead Completes-AZR-AZR</v></cell><cell r="V1143" t="str"><v>Prospecting</v></cell><cell r="W1143" t="str"><v>Canvas Ad</v></cell><cell r="X1143" t="str"><v>10s</v></cell><cell r="Y1143" t="str"><v>Try it Now</v></cell><cell r="Z1143" t="str"><v>Standard videos</v></cell><cell r="AA1143"><v>43352</v></cell><cell r="AB1143" t="str"><v>USA_gaPMG_AZR_AZR_Q1_19_Direct-Social</v></cell><cell r="AC1143"><v>21358715</v></cell><cell r="AD1143"><v>720197</v></cell><cell r="AE1143" t="str"><v>Linkedin</v></cell><cell r="AF1143"><v>3654329</v></cell><cell r="AG1143" t="str"><v>FACEBOOK»USA-Trial-ITD-Lead Completes-AZR-AZR»1 x 1»SocialBan»CAN»ALL»CPA»PRO»X»NA»SS»NA»FBCTCBrandinMotion»PRC1VX</v></cell><cell r="AH1143" t="str"><v>PRC1VX</v></cell><cell r="AI1143" t="str"><v>AzurePlatform_FBCTCBrandinMotion_USA_10s_CAN_PLATFORM_English_Trial_Standard_STAN_TIN_T2_1</v></cell><cell r="AJ1143"><v>103176812</v></cell></row><row r="1144"><cell r="D1144" t="str"><v>43352PS7B5P</v></cell><cell r="E1144" t="str"><v>43352104592523PS7B5P</v></cell><cell r="F1144" t="str"><v>Appended from Pub - Not in DCM</v></cell></row><row r="1144"><cell r="I1144" t="str"><v>Azure Direct</v></cell><cell r="J1144" t="str"><v>Azure Direct</v></cell><cell r="K1144" t="str"><v>September</v></cell><cell r="L1144"><v>43358</v></cell><cell r="M1144" t="str"><v>Tier 0</v></cell><cell r="N1144" t="str"><v>North America</v></cell><cell r="O1144" t="str"><v>United States</v></cell><cell r="P1144" t="str"><v>Trial</v></cell><cell r="Q1144" t="str"><v>Social</v></cell><cell r="R1144" t="str"><v>Azure</v></cell><cell r="S1144" t="str"><v>Apps & Infra</v></cell><cell r="T1144" t="str"><v>Developers & ITI's</v></cell><cell r="U1144" t="str"><v>USA-Trial-ITD-Trial PayGo Lookalike-AZR-AZR</v></cell><cell r="V1144" t="str"><v>Lookalike Targeting</v></cell><cell r="W1144" t="str"><v>Canvas Ad</v></cell><cell r="X1144" t="str"><v>1200x1200</v></cell><cell r="Y1144" t="str"><v>Learn More</v></cell><cell r="Z1144" t="str"><v>Animated Banner</v></cell><cell r="AA1144"><v>43352</v></cell><cell r="AB1144" t="str"><v>USA_gaPMG_AZR_AZR_Q1_19_Direct-Social</v></cell><cell r="AC1144"><v>21358715</v></cell><cell r="AD1144"><v>720197</v></cell><cell r="AE1144" t="str"><v>Linkedin</v></cell><cell r="AF1144"><v>3654329</v></cell><cell r="AG1144" t="str"><v>FACEBOOK»USA-Trial-ITD-Trial PayGo Lookalike-AZR-AZR»1 x 1»SocialBan»CAN»ALL»CPA»LAL»X»NA»SS»NA»FreeAcctDeveloperFB-AnimatedGeneric-Ch1»PS7B5P</v></cell><cell r="AH1144" t="str"><v>PS7B5P</v></cell><cell r="AI1144" t="str"><v>AZR_FreeAcctDeveloperFB-AnimatedGeneric-Ch1_USA_1200x1200_CAN_Direct_EN_Trial_Standard_ANI_LEA_T1_2</v></cell><cell r="AJ1144"><v>104592523</v></cell></row><row r="1145"><cell r="D1145" t="str"><v>43352PRSGWS</v></cell><cell r="E1145" t="str"><v>43352103773177PRSGWS</v></cell><cell r="F1145" t="str"><v>Appended from Pub - Not in DCM</v></cell></row><row r="1145"><cell r="I1145" t="str"><v>Azure Direct</v></cell><cell r="J1145" t="str"><v>Azure Direct</v></cell><cell r="K1145" t="str"><v>September</v></cell><cell r="L1145"><v>43358</v></cell><cell r="M1145" t="str"><v>Tier 0</v></cell><cell r="N1145" t="str"><v>North America</v></cell><cell r="O1145" t="str"><v>United States</v></cell><cell r="P1145" t="str"><v>Trial</v></cell><cell r="Q1145" t="str"><v>Social</v></cell><cell r="R1145" t="str"><v>Azure</v></cell><cell r="S1145" t="str"><v>Apps & Infra</v></cell><cell r="T1145" t="str"><v>Developers & ITI's</v></cell><cell r="U1145" t="str"><v>USA-Trial-ITD-Lead Completes-AZR-AZR</v></cell><cell r="V1145" t="str"><v>Prospecting</v></cell><cell r="W1145" t="str"><v>Canvas Collection Ad</v></cell><cell r="X1145" t="str"><v>1200x182</v></cell><cell r="Y1145" t="str"><v>Try it Now</v></cell><cell r="Z1145" t="str"><v>Not Applicable</v></cell><cell r="AA1145"><v>43352</v></cell><cell r="AB1145" t="str"><v>USA_gaPMG_AZR_AZR_Q1_19_Direct-Social</v></cell><cell r="AC1145"><v>21358715</v></cell><cell r="AD1145"><v>720197</v></cell><cell r="AE1145" t="str"><v>Linkedin</v></cell><cell r="AF1145"><v>3654329</v></cell><cell r="AG1145" t="str"><v>FACEBOOK»USA-Trial-ITD-Lead Completes-AZR-AZR»1 x 1»SocialBan»CCA»ALL»CPA»PRO»X»NA»SS»NA»Azure Developer Facebook Collections»PRSGWS</v></cell><cell r="AH1145" t="str"><v>PRSGWS</v></cell><cell r="AI1145" t="str"><v>AZR_FBCollections-AITryAzureFreeCTA-Img2_USA_1200x182_SOC_Plat_EN_NA_Standard_NA_TIN_T1_2</v></cell><cell r="AJ1145"><v>103773177</v></cell></row><row r="1146"><cell r="D1146" t="str"><v>43352PRC2FZ</v></cell><cell r="E1146" t="str"><v>43352103180628PRC2FZ</v></cell><cell r="F1146" t="str"><v>Appended from Pub - Not in DCM</v></cell></row><row r="1146"><cell r="I1146" t="str"><v>Azure Direct</v></cell><cell r="J1146" t="str"><v>Azure Direct</v></cell><cell r="K1146" t="str"><v>September</v></cell><cell r="L1146"><v>43358</v></cell><cell r="M1146" t="str"><v>Tier 0</v></cell><cell r="N1146" t="str"><v>North America</v></cell><cell r="O1146" t="str"><v>United States</v></cell><cell r="P1146" t="str"><v>Trial</v></cell><cell r="Q1146" t="str"><v>Social</v></cell><cell r="R1146" t="str"><v>Azure</v></cell><cell r="S1146" t="str"><v>Apps & Infra</v></cell><cell r="T1146" t="str"><v>Developers & ITI's</v></cell><cell r="U1146" t="str"><v>USA-Trial-ITD-Trial PayGo Lookalike-AZR-AZR</v></cell><cell r="V1146" t="str"><v>Lookalike Targeting</v></cell><cell r="W1146" t="str"><v>Canvas Ad</v></cell><cell r="X1146" t="str"><v>10s</v></cell><cell r="Y1146" t="str"><v>Try it Now</v></cell><cell r="Z1146" t="str"><v>Standard videos</v></cell><cell r="AA1146"><v>43352</v></cell><cell r="AB1146" t="str"><v>USA_gaPMG_AZR_AZR_Q1_19_Direct-Social</v></cell><cell r="AC1146"><v>21358715</v></cell><cell r="AD1146"><v>720197</v></cell><cell r="AE1146" t="str"><v>Linkedin</v></cell><cell r="AF1146"><v>3654329</v></cell><cell r="AG1146" t="str"><v>INSTAGRAM»USA-Trial-ITD-Trial PayGo Lookalike-AZR-AZR»1 x 1»SocialBan»CAN»ALL»CPA»LAL»X»NA»SS»NA»IGCTCBenefit2inMotion»PRC2FZ</v></cell><cell r="AH1146" t="str"><v>PRC2FZ</v></cell><cell r="AI1146" t="str"><v>AzurePlatform_IGCTCBrandinMotion_USA_10s_CAN_PLATFORM_English_Trial_Standard_STAN_TIN_T2_1</v></cell><cell r="AJ1146"><v>103180628</v></cell></row><row r="1147"><cell r="D1147" t="str"><v>43352PRC1VT</v></cell><cell r="E1147" t="str"><v>43352103043823PRC1VT</v></cell><cell r="F1147" t="str"><v>Appended from Pub - Not in DCM</v></cell></row><row r="1147"><cell r="I1147" t="str"><v>Azure Direct</v></cell><cell r="J1147" t="str"><v>Azure Direct</v></cell><cell r="K1147" t="str"><v>September</v></cell><cell r="L1147"><v>43358</v></cell><cell r="M1147" t="str"><v>Tier 0</v></cell><cell r="N1147" t="str"><v>North America</v></cell><cell r="O1147" t="str"><v>United States</v></cell><cell r="P1147" t="str"><v>Trial</v></cell><cell r="Q1147" t="str"><v>Social</v></cell><cell r="R1147" t="str"><v>Azure</v></cell><cell r="S1147" t="str"><v>Apps & Infra</v></cell><cell r="T1147" t="str"><v>Developers & ITI's</v></cell><cell r="U1147" t="str"><v>USA-Trial-ITD-Lead Completes-AZR-AZR</v></cell><cell r="V1147" t="str"><v>Prospecting</v></cell><cell r="W1147" t="str"><v>Canvas Ad</v></cell><cell r="X1147" t="str"><v>10s</v></cell><cell r="Y1147" t="str"><v>Try it Now</v></cell><cell r="Z1147" t="str"><v>Standard videos</v></cell><cell r="AA1147"><v>43352</v></cell><cell r="AB1147" t="str"><v>USA_gaPMG_AZR_AZR_Q1_19_Direct-Social</v></cell><cell r="AC1147"><v>21358715</v></cell><cell r="AD1147"><v>720197</v></cell><cell r="AE1147" t="str"><v>Linkedin</v></cell><cell r="AF1147"><v>3654329</v></cell><cell r="AG1147" t="str"><v>FACEBOOK»USA-Trial-ITD-Lead Completes-AZR-AZR»1 x 1»SocialBan»CAN»ALL»CPA»PRO»X»NA»SS»NA»FBCTCBasicMotion»PRC1VT</v></cell><cell r="AH1147" t="str"><v>PRC1VT</v></cell><cell r="AI1147" t="str"><v>AzurePlatform_FBCTCBasicMotion_USA_10s_CAN_PLATFORM_English_Trial_Standard_STAN_TIN_T1_1</v></cell><cell r="AJ1147"><v>103043823</v></cell></row><row r="1148"><cell r="D1148" t="str"><v>43352PRC2G6</v></cell><cell r="E1148" t="str"><v>43352103180628PRC2G6</v></cell><cell r="F1148" t="str"><v>Appended from Pub - Not in DCM</v></cell></row><row r="1148"><cell r="I1148" t="str"><v>Azure Direct</v></cell><cell r="J1148" t="str"><v>Azure Direct</v></cell><cell r="K1148" t="str"><v>September</v></cell><cell r="L1148"><v>43358</v></cell><cell r="M1148" t="str"><v>Tier 0</v></cell><cell r="N1148" t="str"><v>North America</v></cell><cell r="O1148" t="str"><v>United States</v></cell><cell r="P1148" t="str"><v>Trial</v></cell><cell r="Q1148" t="str"><v>Social</v></cell><cell r="R1148" t="str"><v>Azure</v></cell><cell r="S1148" t="str"><v>Apps & Infra</v></cell><cell r="T1148" t="str"><v>Developers & ITI's</v></cell><cell r="U1148" t="str"><v>USA-Trial-ITD-Retargeting-AZR-AZR</v></cell><cell r="V1148" t="str"><v>Retargeting</v></cell><cell r="W1148" t="str"><v>Canvas Ad</v></cell><cell r="X1148" t="str"><v>10s</v></cell><cell r="Y1148" t="str"><v>Try it Now</v></cell><cell r="Z1148" t="str"><v>Standard videos</v></cell><cell r="AA1148"><v>43352</v></cell><cell r="AB1148" t="str"><v>USA_gaPMG_AZR_AZR_Q1_19_Direct-Social</v></cell><cell r="AC1148"><v>21358715</v></cell><cell r="AD1148"><v>720197</v></cell><cell r="AE1148" t="str"><v>Linkedin</v></cell><cell r="AF1148"><v>3654329</v></cell><cell r="AG1148" t="str"><v>INSTAGRAM»USA-Trial-ITD-Retargeting-AZR-AZR»1 x 1»SocialBan»CAN»ALL»CPA»RT»X»NA»SS»NA»IGCTCBenefit2inMotion»PRC2G6</v></cell><cell r="AH1148" t="str"><v>PRC2G6</v></cell><cell r="AI1148" t="str"><v>AzurePlatform_IGCTCBrandinMotion_USA_10s_CAN_PLATFORM_English_Trial_Standard_STAN_TIN_T2_1</v></cell><cell r="AJ1148"><v>103180628</v></cell></row><row r="1149"><cell r="D1149" t="str"><v>43352PRC26P</v></cell><cell r="E1149" t="str"><v>43352103176827PRC26P</v></cell><cell r="F1149" t="str"><v>Appended from Pub - Not in DCM</v></cell></row><row r="1149"><cell r="I1149" t="str"><v>Azure Direct</v></cell><cell r="J1149" t="str"><v>Azure Direct</v></cell><cell r="K1149" t="str"><v>September</v></cell><cell r="L1149"><v>43358</v></cell><cell r="M1149" t="str"><v>Tier 0</v></cell><cell r="N1149" t="str"><v>North America</v></cell><cell r="O1149" t="str"><v>United States</v></cell><cell r="P1149" t="str"><v>Trial</v></cell><cell r="Q1149" t="str"><v>Social</v></cell><cell r="R1149" t="str"><v>Azure</v></cell><cell r="S1149" t="str"><v>Apps & Infra</v></cell><cell r="T1149" t="str"><v>Developers & ITI's</v></cell><cell r="U1149" t="str"><v>USA-Trial-ITD-Retargeting-AZR-AZR</v></cell><cell r="V1149" t="str"><v>Retargeting</v></cell><cell r="W1149" t="str"><v>Link Ad</v></cell><cell r="X1149" t="str"><v>1200x1200</v></cell><cell r="Y1149" t="str"><v>Learn More</v></cell><cell r="Z1149" t="str"><v>Animated Banner</v></cell><cell r="AA1149"><v>43352</v></cell><cell r="AB1149" t="str"><v>USA_gaPMG_AZR_AZR_Q1_19_Direct-Social</v></cell><cell r="AC1149"><v>21358715</v></cell><cell r="AD1149"><v>720197</v></cell><cell r="AE1149" t="str"><v>Linkedin</v></cell><cell r="AF1149"><v>3654329</v></cell><cell r="AG1149" t="str"><v>FACEBOOK»USA-Trial-ITD-Retargeting-AZR-AZR»1 x 1»SocialBan»LIA»ALL»CPA»RT»X»NA»SS»NA»FreeAcctITProFB-AnimatedMigration-Ch3»PRC26P</v></cell><cell r="AH1149" t="str"><v>PRC26P</v></cell><cell r="AI1149" t="str"><v>AZR_FreeAcctITProFB-AnimatedMigration-Ch3_USA_1200x1200_CAN_Direct_English_Trial_Standard_ANI_LEA_T3_1</v></cell><cell r="AJ1149"><v>103176827</v></cell></row><row r="1150"><cell r="D1150" t="str"><v>43352PS7B52</v></cell><cell r="E1150" t="str"><v>43352104595739PS7B52</v></cell><cell r="F1150" t="str"><v>Appended from Pub - Not in DCM</v></cell></row><row r="1150"><cell r="I1150" t="str"><v>Azure Direct</v></cell><cell r="J1150" t="str"><v>Azure Direct</v></cell><cell r="K1150" t="str"><v>September</v></cell><cell r="L1150"><v>43358</v></cell><cell r="M1150" t="str"><v>Tier 0</v></cell><cell r="N1150" t="str"><v>North America</v></cell><cell r="O1150" t="str"><v>United States</v></cell><cell r="P1150" t="str"><v>Trial</v></cell><cell r="Q1150" t="str"><v>Social</v></cell><cell r="R1150" t="str"><v>Azure</v></cell><cell r="S1150" t="str"><v>Apps & Infra</v></cell><cell r="T1150" t="str"><v>Developers & ITI's</v></cell><cell r="U1150" t="str"><v>USA-Trial-ITD-Trial Lookalike-AZR-AZR</v></cell><cell r="V1150" t="str"><v>Lookalike Targeting</v></cell><cell r="W1150" t="str"><v>Canvas Ad</v></cell><cell r="X1150" t="str"><v>1200x1200</v></cell><cell r="Y1150" t="str"><v>Learn More</v></cell><cell r="Z1150" t="str"><v>Animated Banner</v></cell><cell r="AA1150"><v>43352</v></cell><cell r="AB1150" t="str"><v>USA_gaPMG_AZR_AZR_Q1_19_Direct-Social</v></cell><cell r="AC1150"><v>21358715</v></cell><cell r="AD1150"><v>720197</v></cell><cell r="AE1150" t="str"><v>Linkedin</v></cell><cell r="AF1150"><v>3654329</v></cell><cell r="AG1150" t="str"><v>FACEBOOK»USA-Trial-ITD-Trial Lookalike-AZR-AZR»1 x 1»SocialBan»CAN»ALL»CPA»LAL»X»NA»SS»NA»FreeAcctDeveloperFB-AnimatedData-Ch4»PS7B52</v></cell><cell r="AH1150" t="str"><v>PS7B52</v></cell><cell r="AI1150" t="str"><v>AZR_FreeAcctDeveloperFB-AnimatedData-Ch4_USA_1200x1200_CAN_Direct_EN_Trial_Standard_ANI_LEA_T4_1</v></cell><cell r="AJ1150"><v>104595739</v></cell></row><row r="1151"><cell r="D1151" t="str"><v>43352PS7B50</v></cell><cell r="E1151" t="str"><v>43352104593735PS7B50</v></cell><cell r="F1151" t="str"><v>Appended from Pub - Not in DCM</v></cell></row><row r="1151"><cell r="I1151" t="str"><v>Azure Direct</v></cell><cell r="J1151" t="str"><v>Azure Direct</v></cell><cell r="K1151" t="str"><v>September</v></cell><cell r="L1151"><v>43358</v></cell><cell r="M1151" t="str"><v>Tier 0</v></cell><cell r="N1151" t="str"><v>North America</v></cell><cell r="O1151" t="str"><v>United States</v></cell><cell r="P1151" t="str"><v>Trial</v></cell><cell r="Q1151" t="str"><v>Social</v></cell><cell r="R1151" t="str"><v>Azure</v></cell><cell r="S1151" t="str"><v>Apps & Infra</v></cell><cell r="T1151" t="str"><v>Developers & ITI's</v></cell><cell r="U1151" t="str"><v>USA-Trial-ITD-Trial Lookalike-AZR-AZR</v></cell><cell r="V1151" t="str"><v>Lookalike Targeting</v></cell><cell r="W1151" t="str"><v>Canvas Ad</v></cell><cell r="X1151" t="str"><v>1200x1200</v></cell><cell r="Y1151" t="str"><v>Learn More</v></cell><cell r="Z1151" t="str"><v>Animated Banner</v></cell><cell r="AA1151"><v>43352</v></cell><cell r="AB1151" t="str"><v>USA_gaPMG_AZR_AZR_Q1_19_Direct-Social</v></cell><cell r="AC1151"><v>21358715</v></cell><cell r="AD1151"><v>720197</v></cell><cell r="AE1151" t="str"><v>Linkedin</v></cell><cell r="AF1151"><v>3654329</v></cell><cell r="AG1151" t="str"><v>FACEBOOK»USA-Trial-ITD-Trial Lookalike-AZR-AZR»1 x 1»SocialBan»CAN»ALL»CPA»LAL»X»NA»SS»NA»FreeAcctDeveloperFB-AnimatedAI-Ch3»PS7B50</v></cell><cell r="AH1151" t="str"><v>PS7B50</v></cell><cell r="AI1151" t="str"><v>AZR_FreeAcctDeveloperFB-AnimatedAI-Ch3_USA_1200x1200_CAN_Direct_EN_Trial_Standard_ANI_LEA_T3_1</v></cell><cell r="AJ1151"><v>104593735</v></cell></row><row r="1152"><cell r="D1152" t="str"><v>43352PS7B4Y</v></cell><cell r="E1152" t="str"><v>43352104592523PS7B4Y</v></cell><cell r="F1152" t="str"><v>Appended from Pub - Not in DCM</v></cell></row><row r="1152"><cell r="I1152" t="str"><v>Azure Direct</v></cell><cell r="J1152" t="str"><v>Azure Direct</v></cell><cell r="K1152" t="str"><v>September</v></cell><cell r="L1152"><v>43358</v></cell><cell r="M1152" t="str"><v>Tier 0</v></cell><cell r="N1152" t="str"><v>North America</v></cell><cell r="O1152" t="str"><v>United States</v></cell><cell r="P1152" t="str"><v>Trial</v></cell><cell r="Q1152" t="str"><v>Social</v></cell><cell r="R1152" t="str"><v>Azure</v></cell><cell r="S1152" t="str"><v>Apps & Infra</v></cell><cell r="T1152" t="str"><v>Developers & ITI's</v></cell><cell r="U1152" t="str"><v>USA-Trial-ITD-Trial Lookalike-AZR-AZR</v></cell><cell r="V1152" t="str"><v>Lookalike Targeting</v></cell><cell r="W1152" t="str"><v>Canvas Ad</v></cell><cell r="X1152" t="str"><v>1200x1200</v></cell><cell r="Y1152" t="str"><v>Learn More</v></cell><cell r="Z1152" t="str"><v>Animated Banner</v></cell><cell r="AA1152"><v>43352</v></cell><cell r="AB1152" t="str"><v>USA_gaPMG_AZR_AZR_Q1_19_Direct-Social</v></cell><cell r="AC1152"><v>21358715</v></cell><cell r="AD1152"><v>720197</v></cell><cell r="AE1152" t="str"><v>Linkedin</v></cell><cell r="AF1152"><v>3654329</v></cell><cell r="AG1152" t="str"><v>FACEBOOK»USA-Trial-ITD-Trial Lookalike-AZR-AZR»1 x 1»SocialBan»CAN»ALL»CPA»LAL»X»NA»SS»NA»FreeAcctDeveloperFB-AnimatedGeneric-Ch1»PS7B4Y</v></cell><cell r="AH1152" t="str"><v>PS7B4Y</v></cell><cell r="AI1152" t="str"><v>AZR_FreeAcctDeveloperFB-AnimatedGeneric-Ch1_USA_1200x1200_CAN_Direct_EN_Trial_Standard_ANI_LEA_T1_2</v></cell><cell r="AJ1152"><v>104592523</v></cell></row><row r="1153"><cell r="D1153" t="str"><v>43352PS79T3</v></cell><cell r="E1153" t="str"><v>43352104595766PS79T3</v></cell><cell r="F1153" t="str"><v>Appended from Pub - Not in DCM</v></cell></row><row r="1153"><cell r="I1153" t="str"><v>Azure Direct</v></cell><cell r="J1153" t="str"><v>Azure Direct</v></cell><cell r="K1153" t="str"><v>September</v></cell><cell r="L1153"><v>43358</v></cell><cell r="M1153" t="str"><v>Tier 0</v></cell><cell r="N1153" t="str"><v>North America</v></cell><cell r="O1153" t="str"><v>United States</v></cell><cell r="P1153" t="str"><v>Trial</v></cell><cell r="Q1153" t="str"><v>Social</v></cell><cell r="R1153" t="str"><v>Azure</v></cell><cell r="S1153" t="str"><v>Apps & Infra</v></cell><cell r="T1153" t="str"><v>Developers & ITI's</v></cell><cell r="U1153" t="str"><v>USA-Trial-ITD-Retargeting-AZR-AZR</v></cell><cell r="V1153" t="str"><v>Retargeting</v></cell><cell r="W1153" t="str"><v>Canvas Ad</v></cell><cell r="X1153" t="str"><v>1200x1200</v></cell><cell r="Y1153" t="str"><v>Learn More</v></cell><cell r="Z1153" t="str"><v>Animated Banner</v></cell><cell r="AA1153"><v>43352</v></cell><cell r="AB1153" t="str"><v>USA_gaPMG_AZR_AZR_Q1_19_Direct-Social</v></cell><cell r="AC1153"><v>21358715</v></cell><cell r="AD1153"><v>720197</v></cell><cell r="AE1153" t="str"><v>Linkedin</v></cell><cell r="AF1153"><v>3654329</v></cell><cell r="AG1153" t="str"><v>FACEBOOK»USA-Trial-ITD-Retargeting-AZR-AZR»1 x 1»SocialBan»CAN»ALL»CPA»RT»X»NA»SS»NA»FreeAcctDeveloperFB-AnimatedGeneric-Ch1»PS79T3</v></cell><cell r="AH1153" t="str"><v>PS79T3</v></cell><cell r="AI1153" t="str"><v>AZR_FreeAcctDeveloperFB-AnimatedGeneric-Ch1_USA_1200x1200_CAN_Direct_EN_Trial_Standard_ANI_LEA_T1_1</v></cell><cell r="AJ1153"><v>104595766</v></cell></row><row r="1154"><cell r="D1154" t="str"><v>43352PS79T5</v></cell><cell r="E1154" t="str"><v>43352104592523PS79T5</v></cell><cell r="F1154" t="str"><v>Appended from Pub - Not in DCM</v></cell></row><row r="1154"><cell r="I1154" t="str"><v>Azure Direct</v></cell><cell r="J1154" t="str"><v>Azure Direct</v></cell><cell r="K1154" t="str"><v>September</v></cell><cell r="L1154"><v>43358</v></cell><cell r="M1154" t="str"><v>Tier 0</v></cell><cell r="N1154" t="str"><v>North America</v></cell><cell r="O1154" t="str"><v>United States</v></cell><cell r="P1154" t="str"><v>Trial</v></cell><cell r="Q1154" t="str"><v>Social</v></cell><cell r="R1154" t="str"><v>Azure</v></cell><cell r="S1154" t="str"><v>Apps & Infra</v></cell><cell r="T1154" t="str"><v>Developers & ITI's</v></cell><cell r="U1154" t="str"><v>USA-Trial-ITD-Retargeting-AZR-AZR</v></cell><cell r="V1154" t="str"><v>Retargeting</v></cell><cell r="W1154" t="str"><v>Canvas Ad</v></cell><cell r="X1154" t="str"><v>1200x1200</v></cell><cell r="Y1154" t="str"><v>Learn More</v></cell><cell r="Z1154" t="str"><v>Animated Banner</v></cell><cell r="AA1154"><v>43352</v></cell><cell r="AB1154" t="str"><v>USA_gaPMG_AZR_AZR_Q1_19_Direct-Social</v></cell><cell r="AC1154"><v>21358715</v></cell><cell r="AD1154"><v>720197</v></cell><cell r="AE1154" t="str"><v>Linkedin</v></cell><cell r="AF1154"><v>3654329</v></cell><cell r="AG1154" t="str"><v>FACEBOOK»USA-Trial-ITD-Retargeting-AZR-AZR»1 x 1»SocialBan»CAN»ALL»CPA»RT»X»NA»SS»NA»FreeAcctDeveloperFB-AnimatedGeneric-Ch1»PS79T5</v></cell><cell r="AH1154" t="str"><v>PS79T5</v></cell><cell r="AI1154" t="str"><v>AZR_FreeAcctDeveloperFB-AnimatedGeneric-Ch1_USA_1200x1200_CAN_Direct_EN_Trial_Standard_ANI_LEA_T1_2</v></cell><cell r="AJ1154"><v>104592523</v></cell></row><row r="1155"><cell r="D1155" t="str"><v>43352PRC2PB</v></cell><cell r="E1155" t="str"><v>43352103050783PRC2PB</v></cell><cell r="F1155" t="str"><v>Appended from Pub - Not in DCM</v></cell></row><row r="1155"><cell r="I1155" t="str"><v>Azure Direct</v></cell><cell r="J1155" t="str"><v>Azure Direct</v></cell><cell r="K1155" t="str"><v>September</v></cell><cell r="L1155"><v>43358</v></cell><cell r="M1155" t="str"><v>Tier 0</v></cell><cell r="N1155" t="str"><v>North America</v></cell><cell r="O1155" t="str"><v>United States</v></cell><cell r="P1155" t="str"><v>Trial</v></cell><cell r="Q1155" t="str"><v>Social</v></cell><cell r="R1155" t="str"><v>Azure</v></cell><cell r="S1155" t="str"><v>Apps & Infra</v></cell><cell r="T1155" t="str"><v>Developers & ITI's</v></cell><cell r="U1155" t="str"><v>USA-Trial-ITD-Interest Prospecting-AZR-AZR</v></cell><cell r="V1155" t="str"><v>Prospecting</v></cell><cell r="W1155" t="str"><v>Canvas Ad</v></cell><cell r="X1155" t="str"><v>10s</v></cell><cell r="Y1155" t="str"><v>Try it Now</v></cell><cell r="Z1155" t="str"><v>Standard videos</v></cell><cell r="AA1155"><v>43352</v></cell><cell r="AB1155" t="str"><v>USA_gaPMG_AZR_AZR_Q1_19_Direct-Social</v></cell><cell r="AC1155"><v>21358715</v></cell><cell r="AD1155"><v>720197</v></cell><cell r="AE1155" t="str"><v>Linkedin</v></cell><cell r="AF1155"><v>3654329</v></cell><cell r="AG1155" t="str"><v>INSTAGRAM»USA-Trial-ITD-Interest Prospecting-AZR-AZR»1 x 1»SocialBan»CAN»ALL»CPA»PRO»X»NA»SS»NA»IGCTCBrandinMotion»PRC2PB</v></cell><cell r="AH1155" t="str"><v>PRC2PB</v></cell><cell r="AI1155" t="str"><v>AzurePlatform_IGCTCBenefit2inMotion_USA_10s_CAN_PLATFORM_English_Trial_Standard_STAN_TIN_T4_1</v></cell><cell r="AJ1155"><v>103050783</v></cell></row><row r="1156"><cell r="D1156" t="str"><v>43352PRC1M2</v></cell><cell r="E1156" t="str"><v>43352103032775PRC1M2</v></cell><cell r="F1156" t="str"><v>Appended from Pub - Not in DCM</v></cell></row><row r="1156"><cell r="I1156" t="str"><v>Azure Direct</v></cell><cell r="J1156" t="str"><v>Azure Direct</v></cell><cell r="K1156" t="str"><v>September</v></cell><cell r="L1156"><v>43358</v></cell><cell r="M1156" t="str"><v>Tier 0</v></cell><cell r="N1156" t="str"><v>North America</v></cell><cell r="O1156" t="str"><v>United States</v></cell><cell r="P1156" t="str"><v>Trial</v></cell><cell r="Q1156" t="str"><v>Social</v></cell><cell r="R1156" t="str"><v>Azure</v></cell><cell r="S1156" t="str"><v>Apps & Infra</v></cell><cell r="T1156" t="str"><v>Developers & ITI's</v></cell><cell r="U1156" t="str"><v>USA-Trial-ITD-Trial Lookalike-AZR-AZR</v></cell><cell r="V1156" t="str"><v>Lookalike Targeting</v></cell><cell r="W1156" t="str"><v>Canvas Ad</v></cell><cell r="X1156" t="str"><v>10s</v></cell><cell r="Y1156" t="str"><v>Try it Now</v></cell><cell r="Z1156" t="str"><v>Standard videos</v></cell><cell r="AA1156"><v>43352</v></cell><cell r="AB1156" t="str"><v>USA_gaPMG_AZR_AZR_Q1_19_Direct-Social</v></cell><cell r="AC1156"><v>21358715</v></cell><cell r="AD1156"><v>720197</v></cell><cell r="AE1156" t="str"><v>Linkedin</v></cell><cell r="AF1156"><v>3654329</v></cell><cell r="AG1156" t="str"><v>FACEBOOK»USA-Trial-ITD-Trial Lookalike-AZR-AZR»1 x 1»SocialBan»CAN»ALL»CPA»LAL»X»NA»SS»NA»FBCTCBenefitinMotion»PRC1M2</v></cell><cell r="AH1156" t="str"><v>PRC1M2</v></cell><cell r="AI1156" t="str"><v>AzurePlatform_FBCTCBenefitinMotion_USA_10s_CAN_PLATFORM_English_Trial_Standard_STAN_TIN_T3_1</v></cell><cell r="AJ1156"><v>103032775</v></cell></row><row r="1157"><cell r="D1157" t="str"><v>43352PS79TJ</v></cell><cell r="E1157" t="str"><v>43352104595739PS79TJ</v></cell><cell r="F1157" t="str"><v>Appended from Pub - Not in DCM</v></cell></row><row r="1157"><cell r="I1157" t="str"><v>Azure Direct</v></cell><cell r="J1157" t="str"><v>Azure Direct</v></cell><cell r="K1157" t="str"><v>September</v></cell><cell r="L1157"><v>43358</v></cell><cell r="M1157" t="str"><v>Tier 0</v></cell><cell r="N1157" t="str"><v>North America</v></cell><cell r="O1157" t="str"><v>United States</v></cell><cell r="P1157" t="str"><v>Trial</v></cell><cell r="Q1157" t="str"><v>Social</v></cell><cell r="R1157" t="str"><v>Azure</v></cell><cell r="S1157" t="str"><v>Apps & Infra</v></cell><cell r="T1157" t="str"><v>Developers & ITI's</v></cell><cell r="U1157" t="str"><v>USA-Trial-ITD-Retargeting-AZR-AZR</v></cell><cell r="V1157" t="str"><v>Retargeting</v></cell><cell r="W1157" t="str"><v>Canvas Ad</v></cell><cell r="X1157" t="str"><v>1200x1200</v></cell><cell r="Y1157" t="str"><v>Learn More</v></cell><cell r="Z1157" t="str"><v>Animated Banner</v></cell><cell r="AA1157"><v>43352</v></cell><cell r="AB1157" t="str"><v>USA_gaPMG_AZR_AZR_Q1_19_Direct-Social</v></cell><cell r="AC1157"><v>21358715</v></cell><cell r="AD1157"><v>720197</v></cell><cell r="AE1157" t="str"><v>Linkedin</v></cell><cell r="AF1157"><v>3654329</v></cell><cell r="AG1157" t="str"><v>FACEBOOK»USA-Trial-ITD-Retargeting-AZR-AZR»1 x 1»SocialBan»CAN»ALL»CPA»RT»X»NA»SS»NA»FreeAcctDeveloperFB-AnimatedData-Ch4»PS79TJ</v></cell><cell r="AH1157" t="str"><v>PS79TJ</v></cell><cell r="AI1157" t="str"><v>AZR_FreeAcctDeveloperFB-AnimatedData-Ch4_USA_1200x1200_CAN_Direct_EN_Trial_Standard_ANI_LEA_T4_1</v></cell><cell r="AJ1157"><v>104595739</v></cell></row><row r="1158"><cell r="D1158" t="str"><v>43352PS79T7</v></cell><cell r="E1158" t="str"><v>43352104593735PS79T7</v></cell><cell r="F1158" t="str"><v>Appended from Pub - Not in DCM</v></cell></row><row r="1158"><cell r="I1158" t="str"><v>Azure Direct</v></cell><cell r="J1158" t="str"><v>Azure Direct</v></cell><cell r="K1158" t="str"><v>September</v></cell><cell r="L1158"><v>43358</v></cell><cell r="M1158" t="str"><v>Tier 0</v></cell><cell r="N1158" t="str"><v>North America</v></cell><cell r="O1158" t="str"><v>United States</v></cell><cell r="P1158" t="str"><v>Trial</v></cell><cell r="Q1158" t="str"><v>Social</v></cell><cell r="R1158" t="str"><v>Azure</v></cell><cell r="S1158" t="str"><v>Apps & Infra</v></cell><cell r="T1158" t="str"><v>Developers & ITI's</v></cell><cell r="U1158" t="str"><v>USA-Trial-ITD-Retargeting-AZR-AZR</v></cell><cell r="V1158" t="str"><v>Retargeting</v></cell><cell r="W1158" t="str"><v>Canvas Ad</v></cell><cell r="X1158" t="str"><v>1200x1200</v></cell><cell r="Y1158" t="str"><v>Learn More</v></cell><cell r="Z1158" t="str"><v>Animated Banner</v></cell><cell r="AA1158"><v>43352</v></cell><cell r="AB1158" t="str"><v>USA_gaPMG_AZR_AZR_Q1_19_Direct-Social</v></cell><cell r="AC1158"><v>21358715</v></cell><cell r="AD1158"><v>720197</v></cell><cell r="AE1158" t="str"><v>Linkedin</v></cell><cell r="AF1158"><v>3654329</v></cell><cell r="AG1158" t="str"><v>FACEBOOK»USA-Trial-ITD-Retargeting-AZR-AZR»1 x 1»SocialBan»CAN»ALL»CPA»RT»X»NA»SS»NA»FreeAcctDeveloperFB-AnimatedAI-Ch3»PS79T7</v></cell><cell r="AH1158" t="str"><v>PS79T7</v></cell><cell r="AI1158" t="str"><v>AZR_FreeAcctDeveloperFB-AnimatedAI-Ch3_USA_1200x1200_CAN_Direct_EN_Trial_Standard_ANI_LEA_T3_1</v></cell><cell r="AJ1158"><v>104593735</v></cell></row><row r="1159"><cell r="D1159" t="str"><v>43352PS7B53</v></cell><cell r="E1159" t="str"><v>43352PS7B53</v></cell><cell r="F1159" t="str"><v>Appended from Pub - Not in DCM</v></cell></row><row r="1159"><cell r="I1159" t="str"><v>Azure Direct</v></cell><cell r="J1159" t="str"><v>Azure Direct</v></cell><cell r="K1159" t="str"><v>September</v></cell><cell r="L1159"><v>43358</v></cell><cell r="M1159" t="str"><v>Tier 0</v></cell><cell r="N1159" t="str"><v>North America</v></cell><cell r="O1159" t="str"><v>United States</v></cell><cell r="P1159" t="str"><v>Trial</v></cell><cell r="Q1159" t="str"><v>Social</v></cell><cell r="R1159" t="str"><v>Azure</v></cell><cell r="S1159" t="str"><v>Apps & Infra</v></cell><cell r="T1159" t="str"><v>Developers & ITI's</v></cell><cell r="U1159" t="str"><v>USA-Trial-ITD-Trial Lookalike-AZR-AZR</v></cell><cell r="V1159" t="str"><v>Lookalike Targeting</v></cell><cell r="W1159" t="str"><v>Canvas Ad</v></cell></row><row r="1159"><cell r="AA1159"><v>43352</v></cell><cell r="AB1159" t="str"><v>USA_gaPMG_AZR_AZR_Q1_19_Direct-Social</v></cell><cell r="AC1159"><v>21358715</v></cell><cell r="AD1159"><v>720197</v></cell><cell r="AE1159" t="str"><v>Linkedin</v></cell><cell r="AF1159"><v>3654329</v></cell><cell r="AG1159" t="str"><v>FACEBOOK»USA-Trial-ITD-Trial Lookalike-AZR-AZR»1 x 1»SocialBan»CAN»ALL»CPA»LAL»X»NA»SS»NA»FreeAcctITProFB-AnimatedSecureMngd-Ch1»PS7B53</v></cell><cell r="AH1159" t="str"><v>PS7B53</v></cell></row><row r="1160"><cell r="D1160" t="str"><v>43352PS7B54</v></cell><cell r="E1160" t="str"><v>43352104592535PS7B54</v></cell><cell r="F1160" t="str"><v>Appended from Pub - Not in DCM</v></cell></row><row r="1160"><cell r="I1160" t="str"><v>Azure Direct</v></cell><cell r="J1160" t="str"><v>Azure Direct</v></cell><cell r="K1160" t="str"><v>September</v></cell><cell r="L1160"><v>43358</v></cell><cell r="M1160" t="str"><v>Tier 0</v></cell><cell r="N1160" t="str"><v>North America</v></cell><cell r="O1160" t="str"><v>United States</v></cell><cell r="P1160" t="str"><v>Trial</v></cell><cell r="Q1160" t="str"><v>Social</v></cell><cell r="R1160" t="str"><v>Azure</v></cell><cell r="S1160" t="str"><v>Apps & Infra</v></cell><cell r="T1160" t="str"><v>Developers & ITI's</v></cell><cell r="U1160" t="str"><v>USA-Trial-ITD-Trial Lookalike-AZR-AZR</v></cell><cell r="V1160" t="str"><v>Lookalike Targeting</v></cell><cell r="W1160" t="str"><v>Canvas Ad</v></cell><cell r="X1160" t="str"><v>1200x1200</v></cell><cell r="Y1160" t="str"><v>Learn More</v></cell><cell r="Z1160" t="str"><v>Animated Banner</v></cell><cell r="AA1160"><v>43352</v></cell><cell r="AB1160" t="str"><v>USA_gaPMG_AZR_AZR_Q1_19_Direct-Social</v></cell><cell r="AC1160"><v>21358715</v></cell><cell r="AD1160"><v>720197</v></cell><cell r="AE1160" t="str"><v>Linkedin</v></cell><cell r="AF1160"><v>3654329</v></cell><cell r="AG1160" t="str"><v>FACEBOOK»USA-Trial-ITD-Trial Lookalike-AZR-AZR»1 x 1»SocialBan»CAN»ALL»CPA»LAL»X»NA»SS»NA»FreeAcctITProFB-AnimatedHybrid-Ch2»PS7B54</v></cell><cell r="AH1160" t="str"><v>PS7B54</v></cell><cell r="AI1160" t="str"><v>AZR_FreeAcctITProFB-AnimatedHybrid-Ch2_USA_1200x1200_CAN_Direct_EN_Trial_Standard_ANI_LEA_T2_1</v></cell><cell r="AJ1160"><v>104592535</v></cell></row><row r="1161"><cell r="D1161" t="str"><v>43352PS7B4Z</v></cell><cell r="E1161" t="str"><v>43352104593438PS7B4Z</v></cell><cell r="F1161" t="str"><v>Appended from Pub - Not in DCM</v></cell></row><row r="1161"><cell r="I1161" t="str"><v>Azure Direct</v></cell><cell r="J1161" t="str"><v>Azure Direct</v></cell><cell r="K1161" t="str"><v>September</v></cell><cell r="L1161"><v>43358</v></cell><cell r="M1161" t="str"><v>Tier 0</v></cell><cell r="N1161" t="str"><v>North America</v></cell><cell r="O1161" t="str"><v>United States</v></cell><cell r="P1161" t="str"><v>Trial</v></cell><cell r="Q1161" t="str"><v>Social</v></cell><cell r="R1161" t="str"><v>Azure</v></cell><cell r="S1161" t="str"><v>Apps & Infra</v></cell><cell r="T1161" t="str"><v>Developers & ITI's</v></cell><cell r="U1161" t="str"><v>USA-Trial-ITD-Trial Lookalike-AZR-AZR</v></cell><cell r="V1161" t="str"><v>Lookalike Targeting</v></cell><cell r="W1161" t="str"><v>Canvas Ad</v></cell><cell r="X1161" t="str"><v>1200x1200</v></cell><cell r="Y1161" t="str"><v>Learn More</v></cell><cell r="Z1161" t="str"><v>Animated Banner</v></cell><cell r="AA1161"><v>43352</v></cell><cell r="AB1161" t="str"><v>USA_gaPMG_AZR_AZR_Q1_19_Direct-Social</v></cell><cell r="AC1161"><v>21358715</v></cell><cell r="AD1161"><v>720197</v></cell><cell r="AE1161" t="str"><v>Linkedin</v></cell><cell r="AF1161"><v>3654329</v></cell><cell r="AG1161" t="str"><v>FACEBOOK»USA-Trial-ITD-Trial Lookalike-AZR-AZR»1 x 1»SocialBan»CAN»ALL»CPA»LAL»X»NA»SS»NA»FreeAcctDeveloperFB-AnimatedOpenSource-Ch2»PS7B4Z</v></cell><cell r="AH1161" t="str"><v>PS7B4Z</v></cell><cell r="AI1161" t="str"><v>AZR_FreeAcctDeveloperFB-AnimatedOpenSource-Ch2_USA_1200x1200_CAN_Direct_EN_Trial_Standard_ANI_LEA_T2_2</v></cell><cell r="AJ1161"><v>104593438</v></cell></row><row r="1162"><cell r="D1162" t="str"><v>43352PS79TM</v></cell><cell r="E1162" t="str"><v>43352104593450PS79TM</v></cell><cell r="F1162" t="str"><v>Appended from Pub - Not in DCM</v></cell></row><row r="1162"><cell r="I1162" t="str"><v>Azure Direct</v></cell><cell r="J1162" t="str"><v>Azure Direct</v></cell><cell r="K1162" t="str"><v>September</v></cell><cell r="L1162"><v>43358</v></cell><cell r="M1162" t="str"><v>Tier 0</v></cell><cell r="N1162" t="str"><v>North America</v></cell><cell r="O1162" t="str"><v>United States</v></cell><cell r="P1162" t="str"><v>Trial</v></cell><cell r="Q1162" t="str"><v>Social</v></cell><cell r="R1162" t="str"><v>Azure</v></cell><cell r="S1162" t="str"><v>Apps & Infra</v></cell><cell r="T1162" t="str"><v>Developers & ITI's</v></cell><cell r="U1162" t="str"><v>USA-Trial-ITD-Retargeting-AZR-AZR</v></cell><cell r="V1162" t="str"><v>Retargeting</v></cell><cell r="W1162" t="str"><v>Canvas Ad</v></cell><cell r="X1162" t="str"><v>1200x1200</v></cell><cell r="Y1162" t="str"><v>Learn More</v></cell><cell r="Z1162" t="str"><v>Animated Banner</v></cell><cell r="AA1162"><v>43352</v></cell><cell r="AB1162" t="str"><v>USA_gaPMG_AZR_AZR_Q1_19_Direct-Social</v></cell><cell r="AC1162"><v>21358715</v></cell><cell r="AD1162"><v>720197</v></cell><cell r="AE1162" t="str"><v>Linkedin</v></cell><cell r="AF1162"><v>3654329</v></cell><cell r="AG1162" t="str"><v>FACEBOOK»USA-Trial-ITD-Retargeting-AZR-AZR»1 x 1»SocialBan»CAN»ALL»CPA»RT»X»NA»SS»NA»FreeAcctITProFB-AnimatedMigration-Ch3»PS79TM</v></cell><cell r="AH1162" t="str"><v>PS79TM</v></cell><cell r="AI1162" t="str"><v>AZR_FreeAcctITProFB-AnimatedMigration-Ch3_USA_1200x1200_CAN_Direct_EN_Trial_Standard_ANI_LEA_T3_1</v></cell><cell r="AJ1162"><v>104593450</v></cell></row><row r="1163"><cell r="D1163" t="str"><v>43352PRC1VW</v></cell><cell r="E1163" t="str"><v>43352103032775PRC1VW</v></cell><cell r="F1163" t="str"><v>Appended from Pub - Not in DCM</v></cell></row><row r="1163"><cell r="I1163" t="str"><v>Azure Direct</v></cell><cell r="J1163" t="str"><v>Azure Direct</v></cell><cell r="K1163" t="str"><v>September</v></cell><cell r="L1163"><v>43358</v></cell><cell r="M1163" t="str"><v>Tier 0</v></cell><cell r="N1163" t="str"><v>North America</v></cell><cell r="O1163" t="str"><v>United States</v></cell><cell r="P1163" t="str"><v>Trial</v></cell><cell r="Q1163" t="str"><v>Social</v></cell><cell r="R1163" t="str"><v>Azure</v></cell><cell r="S1163" t="str"><v>Apps & Infra</v></cell><cell r="T1163" t="str"><v>Developers & ITI's</v></cell><cell r="U1163" t="str"><v>USA-Trial-ITD-Lead Completes-AZR-AZR</v></cell><cell r="V1163" t="str"><v>Prospecting</v></cell><cell r="W1163" t="str"><v>Canvas Ad</v></cell><cell r="X1163" t="str"><v>10s</v></cell><cell r="Y1163" t="str"><v>Try it Now</v></cell><cell r="Z1163" t="str"><v>Standard videos</v></cell><cell r="AA1163"><v>43352</v></cell><cell r="AB1163" t="str"><v>USA_gaPMG_AZR_AZR_Q1_19_Direct-Social</v></cell><cell r="AC1163"><v>21358715</v></cell><cell r="AD1163"><v>720197</v></cell><cell r="AE1163" t="str"><v>Linkedin</v></cell><cell r="AF1163"><v>3654329</v></cell><cell r="AG1163" t="str"><v>FACEBOOK»USA-Trial-ITD-Lead Completes-AZR-AZR»1 x 1»SocialBan»CAN»ALL»CPA»PRO»X»NA»SS»NA»FBCTCBenefitinMotion»PRC1VW</v></cell><cell r="AH1163" t="str"><v>PRC1VW</v></cell><cell r="AI1163" t="str"><v>AzurePlatform_FBCTCBenefitinMotion_USA_10s_CAN_PLATFORM_English_Trial_Standard_STAN_TIN_T3_1</v></cell><cell r="AJ1163"><v>103032775</v></cell></row><row r="1164"><cell r="D1164" t="str"><v>43352PS7B5S</v></cell><cell r="E1164" t="str"><v>43352104593735PS7B5S</v></cell><cell r="F1164" t="str"><v>Appended from Pub - Not in DCM</v></cell></row><row r="1164"><cell r="I1164" t="str"><v>Azure Direct</v></cell><cell r="J1164" t="str"><v>Azure Direct</v></cell><cell r="K1164" t="str"><v>September</v></cell><cell r="L1164"><v>43358</v></cell><cell r="M1164" t="str"><v>Tier 0</v></cell><cell r="N1164" t="str"><v>North America</v></cell><cell r="O1164" t="str"><v>United States</v></cell><cell r="P1164" t="str"><v>Trial</v></cell><cell r="Q1164" t="str"><v>Social</v></cell><cell r="R1164" t="str"><v>Azure</v></cell><cell r="S1164" t="str"><v>Apps & Infra</v></cell><cell r="T1164" t="str"><v>Developers & ITI's</v></cell><cell r="U1164" t="str"><v>USA-Trial-ITD-Trial PayGo Lookalike-AZR-AZR</v></cell><cell r="V1164" t="str"><v>Lookalike Targeting</v></cell><cell r="W1164" t="str"><v>Canvas Ad</v></cell><cell r="X1164" t="str"><v>1200x1200</v></cell><cell r="Y1164" t="str"><v>Learn More</v></cell><cell r="Z1164" t="str"><v>Animated Banner</v></cell><cell r="AA1164"><v>43352</v></cell><cell r="AB1164" t="str"><v>USA_gaPMG_AZR_AZR_Q1_19_Direct-Social</v></cell><cell r="AC1164"><v>21358715</v></cell><cell r="AD1164"><v>720197</v></cell><cell r="AE1164" t="str"><v>Linkedin</v></cell><cell r="AF1164"><v>3654329</v></cell><cell r="AG1164" t="str"><v>FACEBOOK»USA-Trial-ITD-Trial PayGo Lookalike-AZR-AZR»1 x 1»SocialBan»CAN»ALL»CPA»LAL»X»NA»SS»NA»FreeAcctDeveloperFB-AnimatedAI-Ch3»PS7B5S</v></cell><cell r="AH1164" t="str"><v>PS7B5S</v></cell><cell r="AI1164" t="str"><v>AZR_FreeAcctDeveloperFB-AnimatedAI-Ch3_USA_1200x1200_CAN_Direct_EN_Trial_Standard_ANI_LEA_T3_1</v></cell><cell r="AJ1164"><v>104593735</v></cell></row><row r="1165"><cell r="D1165" t="str"><v>43352PS7B5Z</v></cell><cell r="E1165" t="str"><v>43352104592535PS7B5Z</v></cell><cell r="F1165" t="str"><v>Appended from Pub - Not in DCM</v></cell></row><row r="1165"><cell r="I1165" t="str"><v>Azure Direct</v></cell><cell r="J1165" t="str"><v>Azure Direct</v></cell><cell r="K1165" t="str"><v>September</v></cell><cell r="L1165"><v>43358</v></cell><cell r="M1165" t="str"><v>Tier 0</v></cell><cell r="N1165" t="str"><v>North America</v></cell><cell r="O1165" t="str"><v>United States</v></cell><cell r="P1165" t="str"><v>Trial</v></cell><cell r="Q1165" t="str"><v>Social</v></cell><cell r="R1165" t="str"><v>Azure</v></cell><cell r="S1165" t="str"><v>Apps & Infra</v></cell><cell r="T1165" t="str"><v>Developers & ITI's</v></cell><cell r="U1165" t="str"><v>USA-Trial-ITD-Trial PayGo Lookalike-AZR-AZR</v></cell><cell r="V1165" t="str"><v>Lookalike Targeting</v></cell><cell r="W1165" t="str"><v>Canvas Ad</v></cell><cell r="X1165" t="str"><v>1200x1200</v></cell><cell r="Y1165" t="str"><v>Learn More</v></cell><cell r="Z1165" t="str"><v>Animated Banner</v></cell><cell r="AA1165"><v>43352</v></cell><cell r="AB1165" t="str"><v>USA_gaPMG_AZR_AZR_Q1_19_Direct-Social</v></cell><cell r="AC1165"><v>21358715</v></cell><cell r="AD1165"><v>720197</v></cell><cell r="AE1165" t="str"><v>Linkedin</v></cell><cell r="AF1165"><v>3654329</v></cell><cell r="AG1165" t="str"><v>FACEBOOK»USA-Trial-ITD-Trial PayGo Lookalike-AZR-AZR»1 x 1»SocialBan»CAN»ALL»CPA»LAL»X»NA»SS»NA»FreeAcctITProFB-AnimatedHybrid-Ch2»PS7B5Z</v></cell><cell r="AH1165" t="str"><v>PS7B5Z</v></cell><cell r="AI1165" t="str"><v>AZR_FreeAcctITProFB-AnimatedHybrid-Ch2_USA_1200x1200_CAN_Direct_EN_Trial_Standard_ANI_LEA_T2_1</v></cell><cell r="AJ1165"><v>104592535</v></cell></row><row r="1166"><cell r="D1166" t="str"><v>43352PS7B60</v></cell><cell r="E1166" t="str"><v>43352104595730PS7B60</v></cell><cell r="F1166" t="str"><v>Appended from Pub - Not in DCM</v></cell></row><row r="1166"><cell r="I1166" t="str"><v>Azure Direct</v></cell><cell r="J1166" t="str"><v>Azure Direct</v></cell><cell r="K1166" t="str"><v>September</v></cell><cell r="L1166"><v>43358</v></cell><cell r="M1166" t="str"><v>Tier 0</v></cell><cell r="N1166" t="str"><v>North America</v></cell><cell r="O1166" t="str"><v>United States</v></cell><cell r="P1166" t="str"><v>Trial</v></cell><cell r="Q1166" t="str"><v>Social</v></cell><cell r="R1166" t="str"><v>Azure</v></cell><cell r="S1166" t="str"><v>Apps & Infra</v></cell><cell r="T1166" t="str"><v>Developers & ITI's</v></cell><cell r="U1166" t="str"><v>USA-Trial-ITD-Trial PayGo Lookalike-AZR-AZR</v></cell><cell r="V1166" t="str"><v>Lookalike Targeting</v></cell><cell r="W1166" t="str"><v>Canvas Ad</v></cell><cell r="X1166" t="str"><v>1200x1200</v></cell><cell r="Y1166" t="str"><v>Learn More</v></cell><cell r="Z1166" t="str"><v>Animated Banner</v></cell><cell r="AA1166"><v>43352</v></cell><cell r="AB1166" t="str"><v>USA_gaPMG_AZR_AZR_Q1_19_Direct-Social</v></cell><cell r="AC1166"><v>21358715</v></cell><cell r="AD1166"><v>720197</v></cell><cell r="AE1166" t="str"><v>Linkedin</v></cell><cell r="AF1166"><v>3654329</v></cell><cell r="AG1166" t="str"><v>FACEBOOK»USA-Trial-ITD-Trial PayGo Lookalike-AZR-AZR»1 x 1»SocialBan»CAN»ALL»CPA»LAL»X»NA»SS»NA»FreeAcctITProFB-AnimatedMigration-Ch3»PS7B60</v></cell><cell r="AH1166" t="str"><v>PS7B60</v></cell><cell r="AI1166" t="str"><v>AZR_FreeAcctITProFB-AnimatedMigration-Ch3_USA_1200x1200_CAN_Direct_EN_Trial_Standard_ANI_LEA_T3_2</v></cell><cell r="AJ1166"><v>104595730</v></cell></row><row r="1167"><cell r="D1167" t="str"><v>43352PRC1SV</v></cell><cell r="E1167" t="str"><v>43352103043823PRC1SV</v></cell><cell r="F1167" t="str"><v>Appended from Pub - Not in DCM</v></cell></row><row r="1167"><cell r="I1167" t="str"><v>Azure Direct</v></cell><cell r="J1167" t="str"><v>Azure Direct</v></cell><cell r="K1167" t="str"><v>September</v></cell><cell r="L1167"><v>43358</v></cell><cell r="M1167" t="str"><v>Tier 0</v></cell><cell r="N1167" t="str"><v>North America</v></cell><cell r="O1167" t="str"><v>United States</v></cell><cell r="P1167" t="str"><v>Trial</v></cell><cell r="Q1167" t="str"><v>Social</v></cell><cell r="R1167" t="str"><v>Azure</v></cell><cell r="S1167" t="str"><v>Apps & Infra</v></cell><cell r="T1167" t="str"><v>Developers & ITI's</v></cell><cell r="U1167" t="str"><v>USA-Trial-ITD-Interest Prospecting-AZR-AZR</v></cell><cell r="V1167" t="str"><v>Prospecting</v></cell><cell r="W1167" t="str"><v>Canvas Ad</v></cell><cell r="X1167" t="str"><v>10s</v></cell><cell r="Y1167" t="str"><v>Try it Now</v></cell><cell r="Z1167" t="str"><v>Standard videos</v></cell><cell r="AA1167"><v>43352</v></cell><cell r="AB1167" t="str"><v>USA_gaPMG_AZR_AZR_Q1_19_Direct-Social</v></cell><cell r="AC1167"><v>21358715</v></cell><cell r="AD1167"><v>720197</v></cell><cell r="AE1167" t="str"><v>Linkedin</v></cell><cell r="AF1167"><v>3654329</v></cell><cell r="AG1167" t="str"><v>FACEBOOK»USA-Trial-ITD-Interest Prospecting-AZR-AZR»1 x 1»SocialBan»CAN»ALL»CPA»PRO»X»NA»SS»NA»FBCTCBasicMotion»PRC1SV</v></cell><cell r="AH1167" t="str"><v>PRC1SV</v></cell><cell r="AI1167" t="str"><v>AzurePlatform_FBCTCBasicMotion_USA_10s_CAN_PLATFORM_English_Trial_Standard_STAN_TIN_T1_1</v></cell><cell r="AJ1167"><v>103043823</v></cell></row><row r="1168"><cell r="D1168" t="str"><v>43352PRSH0N</v></cell><cell r="E1168" t="str"><v>43352103873631PRSH0N</v></cell><cell r="F1168" t="str"><v>Appended from Pub - Not in DCM</v></cell></row><row r="1168"><cell r="I1168" t="str"><v>Azure Direct</v></cell><cell r="J1168" t="str"><v>Azure Direct</v></cell><cell r="K1168" t="str"><v>September</v></cell><cell r="L1168"><v>43358</v></cell><cell r="M1168" t="str"><v>Tier 0</v></cell><cell r="N1168" t="str"><v>North America</v></cell><cell r="O1168" t="str"><v>United States</v></cell><cell r="P1168" t="str"><v>Trial</v></cell><cell r="Q1168" t="str"><v>Social</v></cell><cell r="R1168" t="str"><v>Azure</v></cell><cell r="S1168" t="str"><v>Apps & Infra</v></cell><cell r="T1168" t="str"><v>Developers & ITI's</v></cell><cell r="U1168" t="str"><v>USA-Trial-ITD-Trial Lookalike-AZR-AZR</v></cell><cell r="V1168" t="str"><v>Lookalike Targeting</v></cell><cell r="W1168" t="str"><v>Canvas Collection Ad</v></cell><cell r="X1168" t="str"><v>1200x182</v></cell><cell r="Y1168" t="str"><v>Try it Now</v></cell><cell r="Z1168" t="str"><v>Not Applicable</v></cell><cell r="AA1168"><v>43352</v></cell><cell r="AB1168" t="str"><v>USA_gaPMG_AZR_AZR_Q1_19_Direct-Social</v></cell><cell r="AC1168"><v>21358715</v></cell><cell r="AD1168"><v>720197</v></cell><cell r="AE1168" t="str"><v>Linkedin</v></cell><cell r="AF1168"><v>3654329</v></cell><cell r="AG1168" t="str"><v>FACEBOOK»USA-Trial-ITD-Trial Lookalike-AZR-AZR»1 x 1»SocialBan»CCA»ALL»CPA»LAL»X»NA»SS»NA»Azure Developer Facebook Collections»PRSH0N</v></cell><cell r="AH1168" t="str"><v>PRSH0N</v></cell><cell r="AI1168" t="str"><v>AZR_FBCollections-OSSTryAzureFreeCTA-Img3_USA_1200x182_SOC_Plat_EN_NA_Standard_NA_TIN_T1_3</v></cell><cell r="AJ1168"><v>103873631</v></cell></row><row r="1169"><cell r="D1169" t="str"><v>43352PRC1VV</v></cell><cell r="E1169" t="str"><v>43352103043835PRC1VV</v></cell><cell r="F1169" t="str"><v>Appended from Pub - Not in DCM</v></cell></row><row r="1169"><cell r="I1169" t="str"><v>Azure Direct</v></cell><cell r="J1169" t="str"><v>Azure Direct</v></cell><cell r="K1169" t="str"><v>September</v></cell><cell r="L1169"><v>43358</v></cell><cell r="M1169" t="str"><v>Tier 0</v></cell><cell r="N1169" t="str"><v>North America</v></cell><cell r="O1169" t="str"><v>United States</v></cell><cell r="P1169" t="str"><v>Trial</v></cell><cell r="Q1169" t="str"><v>Social</v></cell><cell r="R1169" t="str"><v>Azure</v></cell><cell r="S1169" t="str"><v>Apps & Infra</v></cell><cell r="T1169" t="str"><v>Developers & ITI's</v></cell><cell r="U1169" t="str"><v>USA-Trial-ITD-Lead Completes-AZR-AZR</v></cell><cell r="V1169" t="str"><v>Prospecting</v></cell><cell r="W1169" t="str"><v>Canvas Ad</v></cell><cell r="X1169" t="str"><v>10s</v></cell><cell r="Y1169" t="str"><v>Try it Now</v></cell><cell r="Z1169" t="str"><v>Standard videos</v></cell><cell r="AA1169"><v>43352</v></cell><cell r="AB1169" t="str"><v>USA_gaPMG_AZR_AZR_Q1_19_Direct-Social</v></cell><cell r="AC1169"><v>21358715</v></cell><cell r="AD1169"><v>720197</v></cell><cell r="AE1169" t="str"><v>Linkedin</v></cell><cell r="AF1169"><v>3654329</v></cell><cell r="AG1169" t="str"><v>FACEBOOK»USA-Trial-ITD-Lead Completes-AZR-AZR»1 x 1»SocialBan»CAN»ALL»CPA»PRO»X»NA»SS»NA»FBCTCBenefit2inMotion»PRC1VV</v></cell><cell r="AH1169" t="str"><v>PRC1VV</v></cell><cell r="AI1169" t="str"><v>AzurePlatform_FBCTCBenefit2inMotion_USA_10s_CAN_PLATFORM_English_Trial_Standard_STAN_TIN_T4_1</v></cell><cell r="AJ1169"><v>103043835</v></cell></row><row r="1170"><cell r="D1170" t="str"><v>43352PRC1M0</v></cell><cell r="E1170" t="str"><v>43352103043835PRC1M0</v></cell><cell r="F1170" t="str"><v>Appended from Pub - Not in DCM</v></cell></row><row r="1170"><cell r="I1170" t="str"><v>Azure Direct</v></cell><cell r="J1170" t="str"><v>Azure Direct</v></cell><cell r="K1170" t="str"><v>September</v></cell><cell r="L1170"><v>43358</v></cell><cell r="M1170" t="str"><v>Tier 0</v></cell><cell r="N1170" t="str"><v>North America</v></cell><cell r="O1170" t="str"><v>United States</v></cell><cell r="P1170" t="str"><v>Trial</v></cell><cell r="Q1170" t="str"><v>Social</v></cell><cell r="R1170" t="str"><v>Azure</v></cell><cell r="S1170" t="str"><v>Apps & Infra</v></cell><cell r="T1170" t="str"><v>Developers & ITI's</v></cell><cell r="U1170" t="str"><v>USA-Trial-ITD-Trial Lookalike-AZR-AZR</v></cell><cell r="V1170" t="str"><v>Lookalike Targeting</v></cell><cell r="W1170" t="str"><v>Canvas Ad</v></cell><cell r="X1170" t="str"><v>10s</v></cell><cell r="Y1170" t="str"><v>Try it Now</v></cell><cell r="Z1170" t="str"><v>Standard videos</v></cell><cell r="AA1170"><v>43352</v></cell><cell r="AB1170" t="str"><v>USA_gaPMG_AZR_AZR_Q1_19_Direct-Social</v></cell><cell r="AC1170"><v>21358715</v></cell><cell r="AD1170"><v>720197</v></cell><cell r="AE1170" t="str"><v>Linkedin</v></cell><cell r="AF1170"><v>3654329</v></cell><cell r="AG1170" t="str"><v>FACEBOOK»USA-Trial-ITD-Trial Lookalike-AZR-AZR»1 x 1»SocialBan»CAN»ALL»CPA»LAL»X»NA»SS»NA»FBCTCBenefit2inMotion»PRC1M0</v></cell><cell r="AH1170" t="str"><v>PRC1M0</v></cell><cell r="AI1170" t="str"><v>AzurePlatform_FBCTCBenefit2inMotion_USA_10s_CAN_PLATFORM_English_Trial_Standard_STAN_TIN_T4_1</v></cell><cell r="AJ1170"><v>103043835</v></cell></row><row r="1171"><cell r="D1171" t="str"><v>43352PS78JH</v></cell><cell r="E1171" t="str"><v>43352104592535PS78JH</v></cell><cell r="F1171" t="str"><v>Appended from Pub - Not in DCM</v></cell></row><row r="1171"><cell r="I1171" t="str"><v>Azure Direct</v></cell><cell r="J1171" t="str"><v>Azure Direct</v></cell><cell r="K1171" t="str"><v>September</v></cell><cell r="L1171"><v>43358</v></cell><cell r="M1171" t="str"><v>Tier 0</v></cell><cell r="N1171" t="str"><v>North America</v></cell><cell r="O1171" t="str"><v>United States</v></cell><cell r="P1171" t="str"><v>Trial</v></cell><cell r="Q1171" t="str"><v>Social</v></cell><cell r="R1171" t="str"><v>Azure</v></cell><cell r="S1171" t="str"><v>Apps & Infra</v></cell><cell r="T1171" t="str"><v>Developers & ITI's</v></cell><cell r="U1171" t="str"><v>USA-Trial-ITD-Interest Prospecting-AZR-AZR</v></cell><cell r="V1171" t="str"><v>Prospecting</v></cell><cell r="W1171" t="str"><v>Canvas Ad</v></cell><cell r="X1171" t="str"><v>1200x1200</v></cell><cell r="Y1171" t="str"><v>Learn More</v></cell><cell r="Z1171" t="str"><v>Animated Banner</v></cell><cell r="AA1171"><v>43352</v></cell><cell r="AB1171" t="str"><v>USA_gaPMG_AZR_AZR_Q1_19_Direct-Social</v></cell><cell r="AC1171"><v>21358715</v></cell><cell r="AD1171"><v>720197</v></cell><cell r="AE1171" t="str"><v>Linkedin</v></cell><cell r="AF1171"><v>3654329</v></cell><cell r="AG1171" t="str"><v>FACEBOOK»USA-Trial-ITD-Interest Prospecting-AZR-AZR»1 x 1»SocialBan»CAN»ALL»CPA»PRO»X»NA»SS»NA»FreeAcctITProFB-AnimatedHybrid-Ch2»PS78JH</v></cell><cell r="AH1171" t="str"><v>PS78JH</v></cell><cell r="AI1171" t="str"><v>AZR_FreeAcctITProFB-AnimatedHybrid-Ch2_USA_1200x1200_CAN_Direct_EN_Trial_Standard_ANI_LEA_T2_1</v></cell><cell r="AJ1171"><v>104592535</v></cell></row><row r="1172"><cell r="D1172" t="str"><v>43352PS78J7</v></cell><cell r="E1172" t="str"><v>43352104593438PS78J7</v></cell><cell r="F1172" t="str"><v>Appended from Pub - Not in DCM</v></cell></row><row r="1172"><cell r="I1172" t="str"><v>Azure Direct</v></cell><cell r="J1172" t="str"><v>Azure Direct</v></cell><cell r="K1172" t="str"><v>September</v></cell><cell r="L1172"><v>43358</v></cell><cell r="M1172" t="str"><v>Tier 0</v></cell><cell r="N1172" t="str"><v>North America</v></cell><cell r="O1172" t="str"><v>United States</v></cell><cell r="P1172" t="str"><v>Trial</v></cell><cell r="Q1172" t="str"><v>Social</v></cell><cell r="R1172" t="str"><v>Azure</v></cell><cell r="S1172" t="str"><v>Apps & Infra</v></cell><cell r="T1172" t="str"><v>Developers & ITI's</v></cell><cell r="U1172" t="str"><v>USA-Trial-ITD-Interest Prospecting-AZR-AZR</v></cell><cell r="V1172" t="str"><v>Prospecting</v></cell><cell r="W1172" t="str"><v>Canvas Ad</v></cell><cell r="X1172" t="str"><v>1200x1200</v></cell><cell r="Y1172" t="str"><v>Learn More</v></cell><cell r="Z1172" t="str"><v>Animated Banner</v></cell><cell r="AA1172"><v>43352</v></cell><cell r="AB1172" t="str"><v>USA_gaPMG_AZR_AZR_Q1_19_Direct-Social</v></cell><cell r="AC1172"><v>21358715</v></cell><cell r="AD1172"><v>720197</v></cell><cell r="AE1172" t="str"><v>Linkedin</v></cell><cell r="AF1172"><v>3654329</v></cell><cell r="AG1172" t="str"><v>FACEBOOK»USA-Trial-ITD-Interest Prospecting-AZR-AZR»1 x 1»SocialBan»CAN»ALL»CPA»PRO»X»NA»SS»NA»FreeAcctDeveloperFB-AnimatedOpenSource-Ch2»PS78J7</v></cell><cell r="AH1172" t="str"><v>PS78J7</v></cell><cell r="AI1172" t="str"><v>AZR_FreeAcctDeveloperFB-AnimatedOpenSource-Ch2_USA_1200x1200_CAN_Direct_EN_Trial_Standard_ANI_LEA_T2_2</v></cell><cell r="AJ1172"><v>104593438</v></cell></row><row r="1173"><cell r="D1173" t="str"><v>43352PS78JD</v></cell><cell r="E1173" t="str"><v>43352104593738PS78JD</v></cell><cell r="F1173" t="str"><v>Appended from Pub - Not in DCM</v></cell></row><row r="1173"><cell r="I1173" t="str"><v>Azure Direct</v></cell><cell r="J1173" t="str"><v>Azure Direct</v></cell><cell r="K1173" t="str"><v>September</v></cell><cell r="L1173"><v>43358</v></cell><cell r="M1173" t="str"><v>Tier 0</v></cell><cell r="N1173" t="str"><v>North America</v></cell><cell r="O1173" t="str"><v>United States</v></cell><cell r="P1173" t="str"><v>Trial</v></cell><cell r="Q1173" t="str"><v>Social</v></cell><cell r="R1173" t="str"><v>Azure</v></cell><cell r="S1173" t="str"><v>Apps & Infra</v></cell><cell r="T1173" t="str"><v>Developers & ITI's</v></cell><cell r="U1173" t="str"><v>USA-Trial-ITD-Interest Prospecting-AZR-AZR</v></cell><cell r="V1173" t="str"><v>Prospecting</v></cell><cell r="W1173" t="str"><v>Canvas Ad</v></cell><cell r="X1173" t="str"><v>1200x1200</v></cell><cell r="Y1173" t="str"><v>Learn More</v></cell><cell r="Z1173" t="str"><v>Animated Banner</v></cell><cell r="AA1173"><v>43352</v></cell><cell r="AB1173" t="str"><v>USA_gaPMG_AZR_AZR_Q1_19_Direct-Social</v></cell><cell r="AC1173"><v>21358715</v></cell><cell r="AD1173"><v>720197</v></cell><cell r="AE1173" t="str"><v>Linkedin</v></cell><cell r="AF1173"><v>3654329</v></cell><cell r="AG1173" t="str"><v>FACEBOOK»USA-Trial-ITD-Interest Prospecting-AZR-AZR»1 x 1»SocialBan»CAN»ALL»CPA»PRO»X»NA»SS»NA»FreeAcctITProFB-AnimatedSecureMngd-Ch1»PS78JD</v></cell><cell r="AH1173" t="str"><v>PS78JD</v></cell><cell r="AI1173" t="str"><v>AZR_FreeAcctITProFB-AnimatedSecureMngd-Ch1_USA_1200x1200_CAN_Direct_EN_Trial_Standard_ANI_LEA_T1_1</v></cell><cell r="AJ1173"><v>104593738</v></cell></row><row r="1174"><cell r="D1174" t="str"><v>43352PS78JJ</v></cell><cell r="E1174" t="str"><v>43352104595730PS78JJ</v></cell><cell r="F1174" t="str"><v>Appended from Pub - Not in DCM</v></cell></row><row r="1174"><cell r="I1174" t="str"><v>Azure Direct</v></cell><cell r="J1174" t="str"><v>Azure Direct</v></cell><cell r="K1174" t="str"><v>September</v></cell><cell r="L1174"><v>43358</v></cell><cell r="M1174" t="str"><v>Tier 0</v></cell><cell r="N1174" t="str"><v>North America</v></cell><cell r="O1174" t="str"><v>United States</v></cell><cell r="P1174" t="str"><v>Trial</v></cell><cell r="Q1174" t="str"><v>Social</v></cell><cell r="R1174" t="str"><v>Azure</v></cell><cell r="S1174" t="str"><v>Apps & Infra</v></cell><cell r="T1174" t="str"><v>Developers & ITI's</v></cell><cell r="U1174" t="str"><v>USA-Trial-ITD-Interest Prospecting-AZR-AZR</v></cell><cell r="V1174" t="str"><v>Prospecting</v></cell><cell r="W1174" t="str"><v>Canvas Ad</v></cell><cell r="X1174" t="str"><v>1200x1200</v></cell><cell r="Y1174" t="str"><v>Learn More</v></cell><cell r="Z1174" t="str"><v>Animated Banner</v></cell><cell r="AA1174"><v>43352</v></cell><cell r="AB1174" t="str"><v>USA_gaPMG_AZR_AZR_Q1_19_Direct-Social</v></cell><cell r="AC1174"><v>21358715</v></cell><cell r="AD1174"><v>720197</v></cell><cell r="AE1174" t="str"><v>Linkedin</v></cell><cell r="AF1174"><v>3654329</v></cell><cell r="AG1174" t="str"><v>FACEBOOK»USA-Trial-ITD-Interest Prospecting-AZR-AZR»1 x 1»SocialBan»CAN»ALL»CPA»PRO»X»NA»SS»NA»FreeAcctITProFB-AnimatedMigration-Ch3»PS78JJ</v></cell><cell r="AH1174" t="str"><v>PS78JJ</v></cell><cell r="AI1174" t="str"><v>AZR_FreeAcctITProFB-AnimatedMigration-Ch3_USA_1200x1200_CAN_Direct_EN_Trial_Standard_ANI_LEA_T3_2</v></cell><cell r="AJ1174"><v>104595730</v></cell></row><row r="1175"><cell r="D1175" t="str"><v>43352PS78J8</v></cell><cell r="E1175" t="str"><v>43352104593735PS78J8</v></cell><cell r="F1175" t="str"><v>Appended from Pub - Not in DCM</v></cell></row><row r="1175"><cell r="I1175" t="str"><v>Azure Direct</v></cell><cell r="J1175" t="str"><v>Azure Direct</v></cell><cell r="K1175" t="str"><v>September</v></cell><cell r="L1175"><v>43358</v></cell><cell r="M1175" t="str"><v>Tier 0</v></cell><cell r="N1175" t="str"><v>North America</v></cell><cell r="O1175" t="str"><v>United States</v></cell><cell r="P1175" t="str"><v>Trial</v></cell><cell r="Q1175" t="str"><v>Social</v></cell><cell r="R1175" t="str"><v>Azure</v></cell><cell r="S1175" t="str"><v>Apps & Infra</v></cell><cell r="T1175" t="str"><v>Developers & ITI's</v></cell><cell r="U1175" t="str"><v>USA-Trial-ITD-Interest Prospecting-AZR-AZR</v></cell><cell r="V1175" t="str"><v>Prospecting</v></cell><cell r="W1175" t="str"><v>Canvas Ad</v></cell><cell r="X1175" t="str"><v>1200x1200</v></cell><cell r="Y1175" t="str"><v>Learn More</v></cell><cell r="Z1175" t="str"><v>Animated Banner</v></cell><cell r="AA1175"><v>43352</v></cell><cell r="AB1175" t="str"><v>USA_gaPMG_AZR_AZR_Q1_19_Direct-Social</v></cell><cell r="AC1175"><v>21358715</v></cell><cell r="AD1175"><v>720197</v></cell><cell r="AE1175" t="str"><v>Linkedin</v></cell><cell r="AF1175"><v>3654329</v></cell><cell r="AG1175" t="str"><v>FACEBOOK»USA-Trial-ITD-Interest Prospecting-AZR-AZR»1 x 1»SocialBan»CAN»ALL»CPA»PRO»X»NA»SS»NA»FreeAcctDeveloperFB-AnimatedAI-Ch3»PS78J8</v></cell><cell r="AH1175" t="str"><v>PS78J8</v></cell><cell r="AI1175" t="str"><v>AZR_FreeAcctDeveloperFB-AnimatedAI-Ch3_USA_1200x1200_CAN_Direct_EN_Trial_Standard_ANI_LEA_T3_1</v></cell><cell r="AJ1175"><v>104593735</v></cell></row><row r="1176"><cell r="D1176" t="str"><v>43352PS78J5</v></cell><cell r="E1176" t="str"><v>43352104595766PS78J5</v></cell><cell r="F1176" t="str"><v>Appended from Pub - Not in DCM</v></cell></row><row r="1176"><cell r="I1176" t="str"><v>Azure Direct</v></cell><cell r="J1176" t="str"><v>Azure Direct</v></cell><cell r="K1176" t="str"><v>September</v></cell><cell r="L1176"><v>43358</v></cell><cell r="M1176" t="str"><v>Tier 0</v></cell><cell r="N1176" t="str"><v>North America</v></cell><cell r="O1176" t="str"><v>United States</v></cell><cell r="P1176" t="str"><v>Trial</v></cell><cell r="Q1176" t="str"><v>Social</v></cell><cell r="R1176" t="str"><v>Azure</v></cell><cell r="S1176" t="str"><v>Apps & Infra</v></cell><cell r="T1176" t="str"><v>Developers & ITI's</v></cell><cell r="U1176" t="str"><v>USA-Trial-ITD-Interest Prospecting-AZR-AZR</v></cell><cell r="V1176" t="str"><v>Prospecting</v></cell><cell r="W1176" t="str"><v>Canvas Ad</v></cell><cell r="X1176" t="str"><v>1200x1200</v></cell><cell r="Y1176" t="str"><v>Learn More</v></cell><cell r="Z1176" t="str"><v>Animated Banner</v></cell><cell r="AA1176"><v>43352</v></cell><cell r="AB1176" t="str"><v>USA_gaPMG_AZR_AZR_Q1_19_Direct-Social</v></cell><cell r="AC1176"><v>21358715</v></cell><cell r="AD1176"><v>720197</v></cell><cell r="AE1176" t="str"><v>Linkedin</v></cell><cell r="AF1176"><v>3654329</v></cell><cell r="AG1176" t="str"><v>FACEBOOK»USA-Trial-ITD-Interest Prospecting-AZR-AZR»1 x 1»SocialBan»CAN»ALL»CPA»PRO»X»NA»SS»NA»FreeAcctDeveloperFB-AnimatedGeneric-Ch1»PS78J5</v></cell><cell r="AH1176" t="str"><v>PS78J5</v></cell><cell r="AI1176" t="str"><v>AZR_FreeAcctDeveloperFB-AnimatedGeneric-Ch1_USA_1200x1200_CAN_Direct_EN_Trial_Standard_ANI_LEA_T1_1</v></cell><cell r="AJ1176"><v>104595766</v></cell></row><row r="1177"><cell r="D1177" t="str"><v>43352PS78J6</v></cell><cell r="E1177" t="str"><v>43352104595766PS78J6</v></cell><cell r="F1177" t="str"><v>Appended from Pub - Not in DCM</v></cell></row><row r="1177"><cell r="I1177" t="str"><v>Azure Direct</v></cell><cell r="J1177" t="str"><v>Azure Direct</v></cell><cell r="K1177" t="str"><v>September</v></cell><cell r="L1177"><v>43358</v></cell><cell r="M1177" t="str"><v>Tier 0</v></cell><cell r="N1177" t="str"><v>North America</v></cell><cell r="O1177" t="str"><v>United States</v></cell><cell r="P1177" t="str"><v>Trial</v></cell><cell r="Q1177" t="str"><v>Social</v></cell><cell r="R1177" t="str"><v>Azure</v></cell><cell r="S1177" t="str"><v>Apps & Infra</v></cell><cell r="T1177" t="str"><v>Developers & ITI's</v></cell><cell r="U1177" t="str"><v>USA-Trial-ITD-Interest Prospecting-AZR-AZR</v></cell><cell r="V1177" t="str"><v>Prospecting</v></cell><cell r="W1177" t="str"><v>Canvas Ad</v></cell><cell r="X1177" t="str"><v>1200x1200</v></cell><cell r="Y1177" t="str"><v>Learn More</v></cell><cell r="Z1177" t="str"><v>Animated Banner</v></cell><cell r="AA1177"><v>43352</v></cell><cell r="AB1177" t="str"><v>USA_gaPMG_AZR_AZR_Q1_19_Direct-Social</v></cell><cell r="AC1177"><v>21358715</v></cell><cell r="AD1177"><v>720197</v></cell><cell r="AE1177" t="str"><v>Linkedin</v></cell><cell r="AF1177"><v>3654329</v></cell><cell r="AG1177" t="str"><v>FACEBOOK»USA-Trial-ITD-Interest Prospecting-AZR-AZR»1 x 1»SocialBan»CAN»ALL»CPA»PRO»X»NA»SS»NA»FreeAcctDeveloperFB-AnimatedGeneric-Ch1»PS78J6</v></cell><cell r="AH1177" t="str"><v>PS78J6</v></cell><cell r="AI1177" t="str"><v>AZR_FreeAcctDeveloperFB-AnimatedGeneric-Ch1_USA_1200x1200_CAN_Direct_EN_Trial_Standard_ANI_LEA_T1_1</v></cell><cell r="AJ1177"><v>104595766</v></cell></row><row r="1178"><cell r="D1178" t="str"><v>43352PS7BVD</v></cell><cell r="E1178" t="str"><v>43352104671424PS7BVD</v></cell><cell r="F1178" t="str"><v>Appended from Pub - Not in DCM</v></cell></row><row r="1178"><cell r="I1178" t="str"><v>Azure Direct</v></cell><cell r="J1178" t="str"><v>Azure Direct</v></cell><cell r="K1178" t="str"><v>September</v></cell><cell r="L1178"><v>43358</v></cell><cell r="M1178" t="str"><v>Tier 0</v></cell><cell r="N1178" t="str"><v>North America</v></cell><cell r="O1178" t="str"><v>United States</v></cell><cell r="P1178" t="str"><v>Trial</v></cell><cell r="Q1178" t="str"><v>Social</v></cell><cell r="R1178" t="str"><v>Azure</v></cell><cell r="S1178" t="str"><v>Apps & Infra</v></cell><cell r="T1178" t="str"><v>Developers & ITI's</v></cell><cell r="U1178" t="str"><v>USA-Trial-ITD-Skills Prospecting-AZR-AZR</v></cell><cell r="V1178" t="str"><v>Prospecting</v></cell><cell r="W1178" t="str"><v>Video Link ad</v></cell><cell r="X1178" t="str"><v>1920x1080</v></cell><cell r="Y1178" t="str"><v>Learn More</v></cell><cell r="Z1178" t="str"><v>Animated Banner</v></cell><cell r="AA1178"><v>43352</v></cell><cell r="AB1178" t="str"><v>USA_gaPMG_AZR_AZR_Q1_19_Direct-Social</v></cell><cell r="AC1178"><v>21358715</v></cell><cell r="AD1178"><v>720197</v></cell><cell r="AE1178" t="str"><v>Linkedin</v></cell><cell r="AF1178"><v>3654329</v></cell><cell r="AG1178" t="str"><v>LINKEDIN»USA-Trial-ITD-Skills Prospecting-AZR-AZR»1 x 1»SocialBan»VLA»ALL»CPA»PRO»D»All»SS»NA»FreeAcctITProLI-AnimatedHybrid-Ch2»PS7BVD</v></cell><cell r="AH1178" t="str"><v>PS7BVD</v></cell><cell r="AI1178" t="str"><v>AZR_FreeAcctITProLI-AnimatedHybrid-Ch2_USA_1920x1080_VLA_Direct_EN_Trial_Standard_ANI_LEA_T2_1</v></cell><cell r="AJ1178"><v>104671424</v></cell></row><row r="1179"><cell r="D1179" t="str"><v>43352PS7BV7</v></cell><cell r="E1179" t="str"><v>43352104592532PS7BV7</v></cell><cell r="F1179" t="str"><v>Appended from Pub - Not in DCM</v></cell></row><row r="1179"><cell r="I1179" t="str"><v>Azure Direct</v></cell><cell r="J1179" t="str"><v>Azure Direct</v></cell><cell r="K1179" t="str"><v>September</v></cell><cell r="L1179"><v>43358</v></cell><cell r="M1179" t="str"><v>Tier 0</v></cell><cell r="N1179" t="str"><v>North America</v></cell><cell r="O1179" t="str"><v>United States</v></cell><cell r="P1179" t="str"><v>Trial</v></cell><cell r="Q1179" t="str"><v>Social</v></cell><cell r="R1179" t="str"><v>Azure</v></cell><cell r="S1179" t="str"><v>Apps & Infra</v></cell><cell r="T1179" t="str"><v>Developers & ITI's</v></cell><cell r="U1179" t="str"><v>USA-Trial-ITD-Skills Prospecting-AZR-AZR</v></cell><cell r="V1179" t="str"><v>Prospecting</v></cell><cell r="W1179" t="str"><v>Video Link ad</v></cell><cell r="X1179" t="str"><v>1920x1080</v></cell><cell r="Y1179" t="str"><v>Learn More</v></cell><cell r="Z1179" t="str"><v>Animated Banner</v></cell><cell r="AA1179"><v>43352</v></cell><cell r="AB1179" t="str"><v>USA_gaPMG_AZR_AZR_Q1_19_Direct-Social</v></cell><cell r="AC1179"><v>21358715</v></cell><cell r="AD1179"><v>720197</v></cell><cell r="AE1179" t="str"><v>Linkedin</v></cell><cell r="AF1179"><v>3654329</v></cell><cell r="AG1179" t="str"><v>LINKEDIN»USA-Trial-ITD-Skills Prospecting-AZR-AZR»1 x 1»SocialBan»VLA»ALL»CPA»PRO»D»All»SS»NA»FreeAcctITProLI-AnimatedMigration-Ch3»PS7BV7</v></cell><cell r="AH1179" t="str"><v>PS7BV7</v></cell><cell r="AI1179" t="str"><v>AZR_FreeAcctITProLI-AnimatedMigration-Ch3_USA_1920x1080_VLA_Direct_EN_Trial_Standard_ANI_LEA_T3_1</v></cell><cell r="AJ1179"><v>104592532</v></cell></row><row r="1180"><cell r="D1180" t="str"><v>43352PS7BS1</v></cell><cell r="E1180" t="str"><v>43352104593723PS7BS1</v></cell><cell r="F1180" t="str"><v>Appended from Pub - Not in DCM</v></cell></row><row r="1180"><cell r="I1180" t="str"><v>Azure Direct</v></cell><cell r="J1180" t="str"><v>Azure Direct</v></cell><cell r="K1180" t="str"><v>September</v></cell><cell r="L1180"><v>43358</v></cell><cell r="M1180" t="str"><v>Tier 0</v></cell><cell r="N1180" t="str"><v>North America</v></cell><cell r="O1180" t="str"><v>United States</v></cell><cell r="P1180" t="str"><v>Trial</v></cell><cell r="Q1180" t="str"><v>Social</v></cell><cell r="R1180" t="str"><v>Azure</v></cell><cell r="S1180" t="str"><v>Apps & Infra</v></cell><cell r="T1180" t="str"><v>Developers & ITI's</v></cell><cell r="U1180" t="str"><v>USA-Trial-ITD-Groups Prospecting-AZR-AZR</v></cell><cell r="V1180" t="str"><v>Prospecting</v></cell><cell r="W1180" t="str"><v>Link Ad</v></cell><cell r="X1180" t="str"><v>1200x627</v></cell><cell r="Y1180" t="str"><v>Sign Up</v></cell><cell r="Z1180" t="str"><v>Not Applicable</v></cell><cell r="AA1180"><v>43352</v></cell><cell r="AB1180" t="str"><v>USA_gaPMG_AZR_AZR_Q1_19_Direct-Social</v></cell><cell r="AC1180"><v>21358715</v></cell><cell r="AD1180"><v>720197</v></cell><cell r="AE1180" t="str"><v>Linkedin</v></cell><cell r="AF1180"><v>3654329</v></cell><cell r="AG1180" t="str"><v>LINKEDIN»USA-Trial-ITD-Groups Prospecting-AZR-AZR»1 x 1»SocialBan»LIA»ALL»CPA»PRO»D»All»SS»NA»FreeAcctRetargetingLI-GlobalAlt-ChB»PS7BS1</v></cell><cell r="AH1180" t="str"><v>PS7BS1</v></cell><cell r="AI1180" t="str"><v>AZR_FreeAcctRetargetingLI-GlobalAlt-ChB_USA_1200x627_LIA_Plat_English_Free Account_Standard_NA_SINU_T2_1</v></cell><cell r="AJ1180"><v>104593723</v></cell></row><row r="1181"><cell r="D1181" t="str"><v>43352PS7BRX</v></cell><cell r="E1181" t="str"><v>43352104593435PS7BRX</v></cell><cell r="F1181" t="str"><v>Appended from Pub - Not in DCM</v></cell></row><row r="1181"><cell r="I1181" t="str"><v>Azure Direct</v></cell><cell r="J1181" t="str"><v>Azure Direct</v></cell><cell r="K1181" t="str"><v>September</v></cell><cell r="L1181"><v>43358</v></cell><cell r="M1181" t="str"><v>Tier 0</v></cell><cell r="N1181" t="str"><v>North America</v></cell><cell r="O1181" t="str"><v>United States</v></cell><cell r="P1181" t="str"><v>Trial</v></cell><cell r="Q1181" t="str"><v>Social</v></cell><cell r="R1181" t="str"><v>Azure</v></cell><cell r="S1181" t="str"><v>Apps & Infra</v></cell><cell r="T1181" t="str"><v>Developers & ITI's</v></cell><cell r="U1181" t="str"><v>USA-Trial-ITD-Groups Prospecting-AZR-AZR</v></cell><cell r="V1181" t="str"><v>Prospecting</v></cell><cell r="W1181" t="str"><v>Link Ad</v></cell><cell r="X1181" t="str"><v>1200x627</v></cell><cell r="Y1181" t="str"><v>Sign Up</v></cell><cell r="Z1181" t="str"><v>Not Applicable</v></cell><cell r="AA1181"><v>43352</v></cell><cell r="AB1181" t="str"><v>USA_gaPMG_AZR_AZR_Q1_19_Direct-Social</v></cell><cell r="AC1181"><v>21358715</v></cell><cell r="AD1181"><v>720197</v></cell><cell r="AE1181" t="str"><v>Linkedin</v></cell><cell r="AF1181"><v>3654329</v></cell><cell r="AG1181" t="str"><v>LINKEDIN»USA-Trial-ITD-Groups Prospecting-AZR-AZR»1 x 1»SocialBan»LIA»ALL»CPA»PRO»D»All»SS»NA»FreeAcctRetargetingLI-Credit-ChA»PS7BRX</v></cell><cell r="AH1181" t="str"><v>PS7BRX</v></cell><cell r="AI1181" t="str"><v>AZR_FreeAcctRetargetingLI-Credit-ChA_USA_1200x627_LIA_Plat_English_Free Account_Standard_NA_SINU_T1_1</v></cell><cell r="AJ1181"><v>104593435</v></cell></row><row r="1182"><cell r="D1182" t="str"><v>43352PS7BVS</v></cell><cell r="E1182" t="str"><v>43352104592532PS7BVS</v></cell><cell r="F1182" t="str"><v>Appended from Pub - Not in DCM</v></cell></row><row r="1182"><cell r="I1182" t="str"><v>Azure Direct</v></cell><cell r="J1182" t="str"><v>Azure Direct</v></cell><cell r="K1182" t="str"><v>September</v></cell><cell r="L1182"><v>43358</v></cell><cell r="M1182" t="str"><v>Tier 0</v></cell><cell r="N1182" t="str"><v>North America</v></cell><cell r="O1182" t="str"><v>United States</v></cell><cell r="P1182" t="str"><v>Trial</v></cell><cell r="Q1182" t="str"><v>Social</v></cell><cell r="R1182" t="str"><v>Azure</v></cell><cell r="S1182" t="str"><v>Apps & Infra</v></cell><cell r="T1182" t="str"><v>Developers & ITI's</v></cell><cell r="U1182" t="str"><v>USA-Trial-ITD-Website Retargeting-AZR-AZR</v></cell><cell r="V1182" t="str"><v>Retargeting</v></cell><cell r="W1182" t="str"><v>Video Link ad</v></cell><cell r="X1182" t="str"><v>1920x1080</v></cell><cell r="Y1182" t="str"><v>Learn More</v></cell><cell r="Z1182" t="str"><v>Animated Banner</v></cell><cell r="AA1182"><v>43352</v></cell><cell r="AB1182" t="str"><v>USA_gaPMG_AZR_AZR_Q1_19_Direct-Social</v></cell><cell r="AC1182"><v>21358715</v></cell><cell r="AD1182"><v>720197</v></cell><cell r="AE1182" t="str"><v>Linkedin</v></cell><cell r="AF1182"><v>3654329</v></cell><cell r="AG1182" t="str"><v>LINKEDIN»USA-Trial-ITD-Website Retargeting-AZR-AZR»1 x 1»SocialBan»VLA»ALL»CPA»RT»D»All»SS»NA»FreeAcctITProLI-AnimatedMigration-Ch3»PS7BVS</v></cell><cell r="AH1182" t="str"><v>PS7BVS</v></cell><cell r="AI1182" t="str"><v>AZR_FreeAcctITProLI-AnimatedMigration-Ch3_USA_1920x1080_VLA_Direct_EN_Trial_Standard_ANI_LEA_T3_1</v></cell><cell r="AJ1182"><v>104592532</v></cell></row><row r="1183"><cell r="D1183" t="str"><v>43353PRC1SY</v></cell><cell r="E1183" t="str"><v>43353103176812PRC1SY</v></cell><cell r="F1183" t="str"><v>Appended from Pub - Not in DCM</v></cell></row><row r="1183"><cell r="I1183" t="str"><v>Azure Direct</v></cell><cell r="J1183" t="str"><v>Azure Direct</v></cell><cell r="K1183" t="str"><v>September</v></cell><cell r="L1183"><v>43358</v></cell><cell r="M1183" t="str"><v>Tier 0</v></cell><cell r="N1183" t="str"><v>North America</v></cell><cell r="O1183" t="str"><v>United States</v></cell><cell r="P1183" t="str"><v>Trial</v></cell><cell r="Q1183" t="str"><v>Social</v></cell><cell r="R1183" t="str"><v>Azure</v></cell><cell r="S1183" t="str"><v>Apps & Infra</v></cell><cell r="T1183" t="str"><v>Developers & ITI's</v></cell><cell r="U1183" t="str"><v>USA-Trial-ITD-Interest Prospecting-AZR-AZR</v></cell><cell r="V1183" t="str"><v>Prospecting</v></cell><cell r="W1183" t="str"><v>Canvas Ad</v></cell><cell r="X1183" t="str"><v>10s</v></cell><cell r="Y1183" t="str"><v>Try it Now</v></cell><cell r="Z1183" t="str"><v>Standard videos</v></cell><cell r="AA1183"><v>43353</v></cell><cell r="AB1183" t="str"><v>USA_gaPMG_AZR_AZR_Q1_19_Direct-Social</v></cell><cell r="AC1183"><v>21358715</v></cell><cell r="AD1183"><v>720197</v></cell><cell r="AE1183" t="str"><v>Linkedin</v></cell><cell r="AF1183"><v>3654329</v></cell><cell r="AG1183" t="str"><v>FACEBOOK»USA-Trial-ITD-Interest Prospecting-AZR-AZR»1 x 1»SocialBan»CAN»ALL»CPA»PRO»X»NA»SS»NA»FBCTCBrandinMotion»PRC1SY</v></cell><cell r="AH1183" t="str"><v>PRC1SY</v></cell><cell r="AI1183" t="str"><v>AzurePlatform_FBCTCBrandinMotion_USA_10s_CAN_PLATFORM_English_Trial_Standard_STAN_TIN_T2_1</v></cell><cell r="AJ1183"><v>103176812</v></cell></row><row r="1184"><cell r="D1184" t="str"><v>43353PRSH6K</v></cell><cell r="E1184" t="str"><v>43353103773177PRSH6K</v></cell><cell r="F1184" t="str"><v>Appended from Pub - Not in DCM</v></cell></row><row r="1184"><cell r="I1184" t="str"><v>Azure Direct</v></cell><cell r="J1184" t="str"><v>Azure Direct</v></cell><cell r="K1184" t="str"><v>September</v></cell><cell r="L1184"><v>43358</v></cell><cell r="M1184" t="str"><v>Tier 0</v></cell><cell r="N1184" t="str"><v>North America</v></cell><cell r="O1184" t="str"><v>United States</v></cell><cell r="P1184" t="str"><v>Trial</v></cell><cell r="Q1184" t="str"><v>Social</v></cell><cell r="R1184" t="str"><v>Azure</v></cell><cell r="S1184" t="str"><v>Apps & Infra</v></cell><cell r="T1184" t="str"><v>Developers & ITI's</v></cell><cell r="U1184" t="str"><v>USA-Trial-ITD-Trial PayGo Lookalike-AZR-AZR</v></cell><cell r="V1184" t="str"><v>Lookalike Targeting</v></cell><cell r="W1184" t="str"><v>Canvas Collection Ad</v></cell><cell r="X1184" t="str"><v>1200x182</v></cell><cell r="Y1184" t="str"><v>Try it Now</v></cell><cell r="Z1184" t="str"><v>Not Applicable</v></cell><cell r="AA1184"><v>43353</v></cell><cell r="AB1184" t="str"><v>USA_gaPMG_AZR_AZR_Q1_19_Direct-Social</v></cell><cell r="AC1184"><v>21358715</v></cell><cell r="AD1184"><v>720197</v></cell><cell r="AE1184" t="str"><v>Linkedin</v></cell><cell r="AF1184"><v>3654329</v></cell><cell r="AG1184" t="str"><v>FACEBOOK»USA-Trial-ITD-Trial PayGo Lookalike-AZR-AZR»1 x 1»SocialBan»CCA»ALL»CPA»LAL»X»NA»SS»NA»Azure Developer Facebook Collections»PRSH6K</v></cell><cell r="AH1184" t="str"><v>PRSH6K</v></cell><cell r="AI1184" t="str"><v>AZR_FBCollections-AITryAzureFreeCTA-Img2_USA_1200x182_SOC_Plat_EN_NA_Standard_NA_TIN_T1_2</v></cell><cell r="AJ1184"><v>103773177</v></cell></row><row r="1185"><cell r="D1185" t="str"><v>43353PRC1S0</v></cell><cell r="E1185" t="str"><v>43353103180610PRC1S0</v></cell><cell r="F1185" t="str"><v>Appended from Pub - Not in DCM</v></cell></row><row r="1185"><cell r="I1185" t="str"><v>Azure Direct</v></cell><cell r="J1185" t="str"><v>Azure Direct</v></cell><cell r="K1185" t="str"><v>September</v></cell><cell r="L1185"><v>43358</v></cell><cell r="M1185" t="str"><v>Tier 0</v></cell><cell r="N1185" t="str"><v>North America</v></cell><cell r="O1185" t="str"><v>United States</v></cell><cell r="P1185" t="str"><v>Trial</v></cell><cell r="Q1185" t="str"><v>Social</v></cell><cell r="R1185" t="str"><v>Azure</v></cell><cell r="S1185" t="str"><v>Apps & Infra</v></cell><cell r="T1185" t="str"><v>Developers & ITI's</v></cell><cell r="U1185" t="str"><v>USA-Trial-ITD-Retargeting-AZR-AZR</v></cell><cell r="V1185" t="str"><v>Retargeting</v></cell><cell r="W1185" t="str"><v>Link Ad</v></cell><cell r="X1185" t="str"><v>1200x628</v></cell><cell r="Y1185" t="str"><v>Sign Up</v></cell><cell r="Z1185" t="str"><v>Not Applicable</v></cell><cell r="AA1185"><v>43353</v></cell><cell r="AB1185" t="str"><v>USA_gaPMG_AZR_AZR_Q1_19_Direct-Social</v></cell><cell r="AC1185"><v>21358715</v></cell><cell r="AD1185"><v>720197</v></cell><cell r="AE1185" t="str"><v>Linkedin</v></cell><cell r="AF1185"><v>3654329</v></cell><cell r="AG1185" t="str"><v>FACEBOOK»USA-Trial-ITD-Retargeting-AZR-AZR»1 x 1»SocialBan»LIA»ALL»CPA»RT»X»NA»SS»NA»FreeAcctRetargetingVMFB-OnDemand-ChE»PRC1S0</v></cell><cell r="AH1185" t="str"><v>PRC1S0</v></cell><cell r="AI1185" t="str"><v>AzurePlatform_FreeAcctRetargetingVMFB-OnDemand-ChE_USA_1200x628_CAN_PLATFORM_English_Free Account_Standard_NA_SINU_T2_1</v></cell><cell r="AJ1185"><v>103180610</v></cell></row><row r="1186"><cell r="D1186" t="str"><v>43353PRC1VW</v></cell><cell r="E1186" t="str"><v>43353103032775PRC1VW</v></cell><cell r="F1186" t="str"><v>Appended from Pub - Not in DCM</v></cell></row><row r="1186"><cell r="I1186" t="str"><v>Azure Direct</v></cell><cell r="J1186" t="str"><v>Azure Direct</v></cell><cell r="K1186" t="str"><v>September</v></cell><cell r="L1186"><v>43358</v></cell><cell r="M1186" t="str"><v>Tier 0</v></cell><cell r="N1186" t="str"><v>North America</v></cell><cell r="O1186" t="str"><v>United States</v></cell><cell r="P1186" t="str"><v>Trial</v></cell><cell r="Q1186" t="str"><v>Social</v></cell><cell r="R1186" t="str"><v>Azure</v></cell><cell r="S1186" t="str"><v>Apps & Infra</v></cell><cell r="T1186" t="str"><v>Developers & ITI's</v></cell><cell r="U1186" t="str"><v>USA-Trial-ITD-Lead Completes-AZR-AZR</v></cell><cell r="V1186" t="str"><v>Prospecting</v></cell><cell r="W1186" t="str"><v>Canvas Ad</v></cell><cell r="X1186" t="str"><v>10s</v></cell><cell r="Y1186" t="str"><v>Try it Now</v></cell><cell r="Z1186" t="str"><v>Standard videos</v></cell><cell r="AA1186"><v>43353</v></cell><cell r="AB1186" t="str"><v>USA_gaPMG_AZR_AZR_Q1_19_Direct-Social</v></cell><cell r="AC1186"><v>21358715</v></cell><cell r="AD1186"><v>720197</v></cell><cell r="AE1186" t="str"><v>Linkedin</v></cell><cell r="AF1186"><v>3654329</v></cell><cell r="AG1186" t="str"><v>FACEBOOK»USA-Trial-ITD-Lead Completes-AZR-AZR»1 x 1»SocialBan»CAN»ALL»CPA»PRO»X»NA»SS»NA»FBCTCBenefitinMotion»PRC1VW</v></cell><cell r="AH1186" t="str"><v>PRC1VW</v></cell><cell r="AI1186" t="str"><v>AzurePlatform_FBCTCBenefitinMotion_USA_10s_CAN_PLATFORM_English_Trial_Standard_STAN_TIN_T3_1</v></cell><cell r="AJ1186"><v>103032775</v></cell></row><row r="1187"><cell r="D1187" t="str"><v>43353PS79JP</v></cell><cell r="E1187" t="str"><v>43353PS79JP</v></cell><cell r="F1187" t="str"><v>Appended from Pub - Not in DCM</v></cell></row><row r="1187"><cell r="I1187" t="str"><v>Azure Direct</v></cell><cell r="J1187" t="str"><v>Azure Direct</v></cell><cell r="K1187" t="str"><v>September</v></cell><cell r="L1187"><v>43358</v></cell><cell r="M1187" t="str"><v>Tier 0</v></cell><cell r="N1187" t="str"><v>North America</v></cell><cell r="O1187" t="str"><v>United States</v></cell><cell r="P1187" t="str"><v>Trial</v></cell><cell r="Q1187" t="str"><v>Social</v></cell><cell r="R1187" t="str"><v>Azure</v></cell><cell r="S1187" t="str"><v>Apps & Infra</v></cell><cell r="T1187" t="str"><v>Developers & ITI's</v></cell><cell r="U1187" t="str"><v>USA-Trial-ITD-Lead Completes-AZR-AZR</v></cell><cell r="V1187" t="str"><v>Prospecting</v></cell><cell r="W1187" t="str"><v>Canvas Ad</v></cell></row><row r="1187"><cell r="AA1187"><v>43353</v></cell><cell r="AB1187" t="str"><v>USA_gaPMG_AZR_AZR_Q1_19_Direct-Social</v></cell><cell r="AC1187"><v>21358715</v></cell><cell r="AD1187"><v>720197</v></cell><cell r="AE1187" t="str"><v>Linkedin</v></cell><cell r="AF1187"><v>3654329</v></cell><cell r="AG1187" t="str"><v>FACEBOOK»USA-Trial-ITD-Lead Completes-AZR-AZR»1 x 1»SocialBan»CAN»ALL»CPA»PRO»X»NA»SS»NA»FreeAcctDeveloperFB-AnimatedGeneric-Ch1»PS79JP</v></cell><cell r="AH1187" t="str"><v>PS79JP</v></cell></row><row r="1188"><cell r="D1188" t="str"><v>43353PS79JX</v></cell><cell r="E1188" t="str"><v>43353PS79JX</v></cell><cell r="F1188" t="str"><v>Appended from Pub - Not in DCM</v></cell></row><row r="1188"><cell r="I1188" t="str"><v>Azure Direct</v></cell><cell r="J1188" t="str"><v>Azure Direct</v></cell><cell r="K1188" t="str"><v>September</v></cell><cell r="L1188"><v>43358</v></cell><cell r="M1188" t="str"><v>Tier 0</v></cell><cell r="N1188" t="str"><v>North America</v></cell><cell r="O1188" t="str"><v>United States</v></cell><cell r="P1188" t="str"><v>Trial</v></cell><cell r="Q1188" t="str"><v>Social</v></cell><cell r="R1188" t="str"><v>Azure</v></cell><cell r="S1188" t="str"><v>Apps & Infra</v></cell><cell r="T1188" t="str"><v>Developers & ITI's</v></cell><cell r="U1188" t="str"><v>USA-Trial-ITD-Lead Completes-AZR-AZR</v></cell><cell r="V1188" t="str"><v>Prospecting</v></cell><cell r="W1188" t="str"><v>Canvas Ad</v></cell></row><row r="1188"><cell r="AA1188"><v>43353</v></cell><cell r="AB1188" t="str"><v>USA_gaPMG_AZR_AZR_Q1_19_Direct-Social</v></cell><cell r="AC1188"><v>21358715</v></cell><cell r="AD1188"><v>720197</v></cell><cell r="AE1188" t="str"><v>Linkedin</v></cell><cell r="AF1188"><v>3654329</v></cell><cell r="AG1188" t="str"><v>FACEBOOK»USA-Trial-ITD-Lead Completes-AZR-AZR»1 x 1»SocialBan»CAN»ALL»CPA»PRO»X»NA»SS»NA»FreeAcctDeveloperFB-AnimatedData-Ch4»PS79JX</v></cell><cell r="AH1188" t="str"><v>PS79JX</v></cell></row><row r="1189"><cell r="D1189" t="str"><v>43353PS79JW</v></cell><cell r="E1189" t="str"><v>43353PS79JW</v></cell><cell r="F1189" t="str"><v>Appended from Pub - Not in DCM</v></cell></row><row r="1189"><cell r="I1189" t="str"><v>Azure Direct</v></cell><cell r="J1189" t="str"><v>Azure Direct</v></cell><cell r="K1189" t="str"><v>September</v></cell><cell r="L1189"><v>43358</v></cell><cell r="M1189" t="str"><v>Tier 0</v></cell><cell r="N1189" t="str"><v>North America</v></cell><cell r="O1189" t="str"><v>United States</v></cell><cell r="P1189" t="str"><v>Trial</v></cell><cell r="Q1189" t="str"><v>Social</v></cell><cell r="R1189" t="str"><v>Azure</v></cell><cell r="S1189" t="str"><v>Apps & Infra</v></cell><cell r="T1189" t="str"><v>Developers & ITI's</v></cell><cell r="U1189" t="str"><v>USA-Trial-ITD-Lead Completes-AZR-AZR</v></cell><cell r="V1189" t="str"><v>Prospecting</v></cell><cell r="W1189" t="str"><v>Canvas Ad</v></cell></row><row r="1189"><cell r="AA1189"><v>43353</v></cell><cell r="AB1189" t="str"><v>USA_gaPMG_AZR_AZR_Q1_19_Direct-Social</v></cell><cell r="AC1189"><v>21358715</v></cell><cell r="AD1189"><v>720197</v></cell><cell r="AE1189" t="str"><v>Linkedin</v></cell><cell r="AF1189"><v>3654329</v></cell><cell r="AG1189" t="str"><v>FACEBOOK»USA-Trial-ITD-Lead Completes-AZR-AZR»1 x 1»SocialBan»CAN»ALL»CPA»PRO»X»NA»SS»NA»FreeAcctDeveloperFB-AnimatedAI-Ch3»PS79JW</v></cell><cell r="AH1189" t="str"><v>PS79JW</v></cell></row><row r="1190"><cell r="D1190" t="str"><v>43353PS79G4</v></cell><cell r="E1190" t="str"><v>43353104671427PS79G4</v></cell><cell r="F1190" t="str"><v>Appended from Pub - Not in DCM</v></cell></row><row r="1190"><cell r="I1190" t="str"><v>Azure Direct</v></cell><cell r="J1190" t="str"><v>Azure Direct</v></cell><cell r="K1190" t="str"><v>September</v></cell><cell r="L1190"><v>43358</v></cell><cell r="M1190" t="str"><v>Tier 0</v></cell><cell r="N1190" t="str"><v>North America</v></cell><cell r="O1190" t="str"><v>United States</v></cell><cell r="P1190" t="str"><v>Trial</v></cell><cell r="Q1190" t="str"><v>Social</v></cell><cell r="R1190" t="str"><v>Azure</v></cell><cell r="S1190" t="str"><v>Apps & Infra</v></cell><cell r="T1190" t="str"><v>Developers & ITI's</v></cell><cell r="U1190" t="str"><v>USA-Trial-ITD-Lead Completes Lookalike-AZR-AZR</v></cell><cell r="V1190" t="str"><v>Lookalike Targeting</v></cell><cell r="W1190" t="str"><v>Canvas Ad</v></cell><cell r="X1190" t="str"><v>1200x1200</v></cell><cell r="Y1190" t="str"><v>Learn More</v></cell><cell r="Z1190" t="str"><v>Animated Banner</v></cell><cell r="AA1190"><v>43353</v></cell><cell r="AB1190" t="str"><v>USA_gaPMG_AZR_AZR_Q1_19_Direct-Social</v></cell><cell r="AC1190"><v>21358715</v></cell><cell r="AD1190"><v>720197</v></cell><cell r="AE1190" t="str"><v>Linkedin</v></cell><cell r="AF1190"><v>3654329</v></cell><cell r="AG1190" t="str"><v>FACEBOOK»USA-Trial-ITD-Lead Completes Lookalike-AZR-AZR»1 x 1»SocialBan»CAN»ALL»CPA»LAL»X»NA»SS»NA»FreeAcctDeveloperFB-AnimatedOpenSource-Ch2»PS79G4</v></cell><cell r="AH1190" t="str"><v>PS79G4</v></cell><cell r="AI1190" t="str"><v>AZR_FreeAcctDeveloperFB-AnimatedOpenSource-Ch2_USA_1200x1200_CAN_Direct_EN_Trial_Standard_ANI_LEA_T2_1</v></cell><cell r="AJ1190"><v>104671427</v></cell></row><row r="1191"><cell r="D1191" t="str"><v>43353PS79FT</v></cell><cell r="E1191" t="str"><v>43353PS79FT</v></cell><cell r="F1191" t="str"><v>Appended from Pub - Not in DCM</v></cell></row><row r="1191"><cell r="I1191" t="str"><v>Azure Direct</v></cell><cell r="J1191" t="str"><v>Azure Direct</v></cell><cell r="K1191" t="str"><v>September</v></cell><cell r="L1191"><v>43358</v></cell><cell r="M1191" t="str"><v>Tier 0</v></cell><cell r="N1191" t="str"><v>North America</v></cell><cell r="O1191" t="str"><v>United States</v></cell><cell r="P1191" t="str"><v>Trial</v></cell><cell r="Q1191" t="str"><v>Social</v></cell><cell r="R1191" t="str"><v>Azure</v></cell><cell r="S1191" t="str"><v>Apps & Infra</v></cell><cell r="T1191" t="str"><v>Developers & ITI's</v></cell><cell r="U1191" t="str"><v>USA-Trial-ITD-Lead Completes Lookalike-AZR-AZR</v></cell><cell r="V1191" t="str"><v>Lookalike Targeting</v></cell><cell r="W1191" t="str"><v>Canvas Ad</v></cell></row><row r="1191"><cell r="AA1191"><v>43353</v></cell><cell r="AB1191" t="str"><v>USA_gaPMG_AZR_AZR_Q1_19_Direct-Social</v></cell><cell r="AC1191"><v>21358715</v></cell><cell r="AD1191"><v>720197</v></cell><cell r="AE1191" t="str"><v>Linkedin</v></cell><cell r="AF1191"><v>3654329</v></cell><cell r="AG1191" t="str"><v>FACEBOOK»USA-Trial-ITD-Lead Completes Lookalike-AZR-AZR»1 x 1»SocialBan»CAN»ALL»CPA»LAL»X»NA»SS»NA»FreeAcctDeveloperFB-AnimatedGeneric-Ch1»PS79FT</v></cell><cell r="AH1191" t="str"><v>PS79FT</v></cell></row><row r="1192"><cell r="D1192" t="str"><v>43353PS79G3</v></cell><cell r="E1192" t="str"><v>43353104595745PS79G3</v></cell><cell r="F1192" t="str"><v>Appended from Pub - Not in DCM</v></cell></row><row r="1192"><cell r="I1192" t="str"><v>Azure Direct</v></cell><cell r="J1192" t="str"><v>Azure Direct</v></cell><cell r="K1192" t="str"><v>September</v></cell><cell r="L1192"><v>43358</v></cell><cell r="M1192" t="str"><v>Tier 0</v></cell><cell r="N1192" t="str"><v>North America</v></cell><cell r="O1192" t="str"><v>United States</v></cell><cell r="P1192" t="str"><v>Trial</v></cell><cell r="Q1192" t="str"><v>Social</v></cell><cell r="R1192" t="str"><v>Azure</v></cell><cell r="S1192" t="str"><v>Apps & Infra</v></cell><cell r="T1192" t="str"><v>Developers & ITI's</v></cell><cell r="U1192" t="str"><v>USA-Trial-ITD-Lead Completes Lookalike-AZR-AZR</v></cell><cell r="V1192" t="str"><v>Lookalike Targeting</v></cell><cell r="W1192" t="str"><v>Canvas Ad</v></cell><cell r="X1192" t="str"><v>1200x1200</v></cell><cell r="Y1192" t="str"><v>Learn More</v></cell><cell r="Z1192" t="str"><v>Animated Banner</v></cell><cell r="AA1192"><v>43353</v></cell><cell r="AB1192" t="str"><v>USA_gaPMG_AZR_AZR_Q1_19_Direct-Social</v></cell><cell r="AC1192"><v>21358715</v></cell><cell r="AD1192"><v>720197</v></cell><cell r="AE1192" t="str"><v>Linkedin</v></cell><cell r="AF1192"><v>3654329</v></cell><cell r="AG1192" t="str"><v>FACEBOOK»USA-Trial-ITD-Lead Completes Lookalike-AZR-AZR»1 x 1»SocialBan»CAN»ALL»CPA»LAL»X»NA»SS»NA»FreeAcctDeveloperFB-AnimatedAI-Ch3»PS79G3</v></cell><cell r="AH1192" t="str"><v>PS79G3</v></cell><cell r="AI1192" t="str"><v>AZR_FreeAcctDeveloperFB-AnimatedAI-Ch3_USA_1200x1200_CAN_Direct_EN_Trial_Standard_ANI_LEA_T3_2</v></cell><cell r="AJ1192"><v>104595745</v></cell></row><row r="1193"><cell r="D1193" t="str"><v>43353PS79G1</v></cell><cell r="E1193" t="str"><v>43353104595739PS79G1</v></cell><cell r="F1193" t="str"><v>Appended from Pub - Not in DCM</v></cell></row><row r="1193"><cell r="I1193" t="str"><v>Azure Direct</v></cell><cell r="J1193" t="str"><v>Azure Direct</v></cell><cell r="K1193" t="str"><v>September</v></cell><cell r="L1193"><v>43358</v></cell><cell r="M1193" t="str"><v>Tier 0</v></cell><cell r="N1193" t="str"><v>North America</v></cell><cell r="O1193" t="str"><v>United States</v></cell><cell r="P1193" t="str"><v>Trial</v></cell><cell r="Q1193" t="str"><v>Social</v></cell><cell r="R1193" t="str"><v>Azure</v></cell><cell r="S1193" t="str"><v>Apps & Infra</v></cell><cell r="T1193" t="str"><v>Developers & ITI's</v></cell><cell r="U1193" t="str"><v>USA-Trial-ITD-Lead Completes Lookalike-AZR-AZR</v></cell><cell r="V1193" t="str"><v>Lookalike Targeting</v></cell><cell r="W1193" t="str"><v>Canvas Ad</v></cell><cell r="X1193" t="str"><v>1200x1200</v></cell><cell r="Y1193" t="str"><v>Learn More</v></cell><cell r="Z1193" t="str"><v>Animated Banner</v></cell><cell r="AA1193"><v>43353</v></cell><cell r="AB1193" t="str"><v>USA_gaPMG_AZR_AZR_Q1_19_Direct-Social</v></cell><cell r="AC1193"><v>21358715</v></cell><cell r="AD1193"><v>720197</v></cell><cell r="AE1193" t="str"><v>Linkedin</v></cell><cell r="AF1193"><v>3654329</v></cell><cell r="AG1193" t="str"><v>FACEBOOK»USA-Trial-ITD-Lead Completes Lookalike-AZR-AZR»1 x 1»SocialBan»CAN»ALL»CPA»LAL»X»NA»SS»NA»FreeAcctDeveloperFB-AnimatedData-Ch4»PS79G1</v></cell><cell r="AH1193" t="str"><v>PS79G1</v></cell><cell r="AI1193" t="str"><v>AZR_FreeAcctDeveloperFB-AnimatedData-Ch4_USA_1200x1200_CAN_Direct_EN_Trial_Standard_ANI_LEA_T4_1</v></cell><cell r="AJ1193"><v>104595739</v></cell></row><row r="1194"><cell r="D1194" t="str"><v>43353PS7DLN</v></cell><cell r="E1194" t="str"><v>43353104592535PS7DLN</v></cell><cell r="F1194" t="str"><v>Appended from Pub - Not in DCM</v></cell></row><row r="1194"><cell r="I1194" t="str"><v>Azure Direct</v></cell><cell r="J1194" t="str"><v>Azure Direct</v></cell><cell r="K1194" t="str"><v>September</v></cell><cell r="L1194"><v>43358</v></cell><cell r="M1194" t="str"><v>Tier 0</v></cell><cell r="N1194" t="str"><v>North America</v></cell><cell r="O1194" t="str"><v>United States</v></cell><cell r="P1194" t="str"><v>Trial</v></cell><cell r="Q1194" t="str"><v>Social</v></cell><cell r="R1194" t="str"><v>Azure</v></cell><cell r="S1194" t="str"><v>Apps & Infra</v></cell><cell r="T1194" t="str"><v>Developers & ITI's</v></cell><cell r="U1194" t="str"><v>USA-Trial-ITD-Lead Completes Lookalike-AZR-AZR</v></cell><cell r="V1194" t="str"><v>Lookalike Targeting</v></cell><cell r="W1194" t="str"><v>Canvas Ad</v></cell><cell r="X1194" t="str"><v>1200x1200</v></cell><cell r="Y1194" t="str"><v>Learn More</v></cell><cell r="Z1194" t="str"><v>Animated Banner</v></cell><cell r="AA1194"><v>43353</v></cell><cell r="AB1194" t="str"><v>USA_gaPMG_AZR_AZR_Q1_19_Direct-Social</v></cell><cell r="AC1194"><v>21358715</v></cell><cell r="AD1194"><v>720197</v></cell><cell r="AE1194" t="str"><v>Linkedin</v></cell><cell r="AF1194"><v>3654329</v></cell><cell r="AG1194" t="str"><v>FACEBOOK»USA-Trial-ITD-Lead Completes Lookalike-AZR-AZR»1 x 1»SocialBan»CAN»ALL»CPA»LAL»X»NA»SS»NA»FreeAcctITProFB-AnimatedHybrid-Ch2»PS7DLN</v></cell><cell r="AH1194" t="str"><v>PS7DLN</v></cell><cell r="AI1194" t="str"><v>AZR_FreeAcctITProFB-AnimatedHybrid-Ch2_USA_1200x1200_CAN_Direct_EN_Trial_Standard_ANI_LEA_T2_1</v></cell><cell r="AJ1194"><v>104592535</v></cell></row><row r="1195"><cell r="D1195" t="str"><v>43353PS7DLR</v></cell><cell r="E1195" t="str"><v>43353104593450PS7DLR</v></cell><cell r="F1195" t="str"><v>Appended from Pub - Not in DCM</v></cell></row><row r="1195"><cell r="I1195" t="str"><v>Azure Direct</v></cell><cell r="J1195" t="str"><v>Azure Direct</v></cell><cell r="K1195" t="str"><v>September</v></cell><cell r="L1195"><v>43358</v></cell><cell r="M1195" t="str"><v>Tier 0</v></cell><cell r="N1195" t="str"><v>North America</v></cell><cell r="O1195" t="str"><v>United States</v></cell><cell r="P1195" t="str"><v>Trial</v></cell><cell r="Q1195" t="str"><v>Social</v></cell><cell r="R1195" t="str"><v>Azure</v></cell><cell r="S1195" t="str"><v>Apps & Infra</v></cell><cell r="T1195" t="str"><v>Developers & ITI's</v></cell><cell r="U1195" t="str"><v>USA-Trial-ITD-Lead Completes Lookalike-AZR-AZR</v></cell><cell r="V1195" t="str"><v>Lookalike Targeting</v></cell><cell r="W1195" t="str"><v>Canvas Ad</v></cell><cell r="X1195" t="str"><v>1200x1200</v></cell><cell r="Y1195" t="str"><v>Learn More</v></cell><cell r="Z1195" t="str"><v>Animated Banner</v></cell><cell r="AA1195"><v>43353</v></cell><cell r="AB1195" t="str"><v>USA_gaPMG_AZR_AZR_Q1_19_Direct-Social</v></cell><cell r="AC1195"><v>21358715</v></cell><cell r="AD1195"><v>720197</v></cell><cell r="AE1195" t="str"><v>Linkedin</v></cell><cell r="AF1195"><v>3654329</v></cell><cell r="AG1195" t="str"><v>FACEBOOK»USA-Trial-ITD-Lead Completes Lookalike-AZR-AZR»1 x 1»SocialBan»CAN»ALL»CPA»LAL»X»NA»SS»NA»FreeAcctITProFB-AnimatedMigration-Ch3»PS7DLR</v></cell><cell r="AH1195" t="str"><v>PS7DLR</v></cell><cell r="AI1195" t="str"><v>AZR_FreeAcctITProFB-AnimatedMigration-Ch3_USA_1200x1200_CAN_Direct_EN_Trial_Standard_ANI_LEA_T3_1</v></cell><cell r="AJ1195"><v>104593450</v></cell></row><row r="1196"><cell r="D1196" t="str"><v>43353PS79JT</v></cell><cell r="E1196" t="str"><v>43353PS79JT</v></cell><cell r="F1196" t="str"><v>Appended from Pub - Not in DCM</v></cell></row><row r="1196"><cell r="I1196" t="str"><v>Azure Direct</v></cell><cell r="J1196" t="str"><v>Azure Direct</v></cell><cell r="K1196" t="str"><v>September</v></cell><cell r="L1196"><v>43358</v></cell><cell r="M1196" t="str"><v>Tier 0</v></cell><cell r="N1196" t="str"><v>North America</v></cell><cell r="O1196" t="str"><v>United States</v></cell><cell r="P1196" t="str"><v>Trial</v></cell><cell r="Q1196" t="str"><v>Social</v></cell><cell r="R1196" t="str"><v>Azure</v></cell><cell r="S1196" t="str"><v>Apps & Infra</v></cell><cell r="T1196" t="str"><v>Developers & ITI's</v></cell><cell r="U1196" t="str"><v>USA-Trial-ITD-Lead Completes-AZR-AZR</v></cell><cell r="V1196" t="str"><v>Prospecting</v></cell><cell r="W1196" t="str"><v>Canvas Ad</v></cell></row><row r="1196"><cell r="AA1196"><v>43353</v></cell><cell r="AB1196" t="str"><v>USA_gaPMG_AZR_AZR_Q1_19_Direct-Social</v></cell><cell r="AC1196"><v>21358715</v></cell><cell r="AD1196"><v>720197</v></cell><cell r="AE1196" t="str"><v>Linkedin</v></cell><cell r="AF1196"><v>3654329</v></cell><cell r="AG1196" t="str"><v>FACEBOOK»USA-Trial-ITD-Lead Completes-AZR-AZR»1 x 1»SocialBan»CAN»ALL»CPA»PRO»X»NA»SS»NA»FreeAcctDeveloperFB-AnimatedGeneric-Ch1»PS79JT</v></cell><cell r="AH1196" t="str"><v>PS79JT</v></cell></row><row r="1197"><cell r="D1197" t="str"><v>43353PS79K4</v></cell><cell r="E1197" t="str"><v>43353PS79K4</v></cell><cell r="F1197" t="str"><v>Appended from Pub - Not in DCM</v></cell></row><row r="1197"><cell r="I1197" t="str"><v>Azure Direct</v></cell><cell r="J1197" t="str"><v>Azure Direct</v></cell><cell r="K1197" t="str"><v>September</v></cell><cell r="L1197"><v>43358</v></cell><cell r="M1197" t="str"><v>Tier 0</v></cell><cell r="N1197" t="str"><v>North America</v></cell><cell r="O1197" t="str"><v>United States</v></cell><cell r="P1197" t="str"><v>Trial</v></cell><cell r="Q1197" t="str"><v>Social</v></cell><cell r="R1197" t="str"><v>Azure</v></cell><cell r="S1197" t="str"><v>Apps & Infra</v></cell><cell r="T1197" t="str"><v>Developers & ITI's</v></cell><cell r="U1197" t="str"><v>USA-Trial-ITD-Lead Completes-AZR-AZR</v></cell><cell r="V1197" t="e"><v>#VALUE!</v></cell><cell r="W1197" t="e"><v>#VALUE!</v></cell></row><row r="1197"><cell r="AA1197"><v>43353</v></cell><cell r="AB1197" t="str"><v>USA_gaPMG_AZR_AZR_Q1_19_Direct-Social</v></cell><cell r="AC1197"><v>21358715</v></cell><cell r="AD1197"><v>720197</v></cell><cell r="AE1197" t="str"><v>Linkedin</v></cell><cell r="AF1197"><v>3654329</v></cell><cell r="AG1197" t="str"><v>FACEBOOK»USA-Trial-ITD-Lead Completes-AZR-AZR»1 x 1»SocialBan»CAN»ALL»CPA»PRO»X»NA»SS»NA»FreeAcctITProFB-AnimatedHybrid-Ch2»PS79K4</v></cell><cell r="AH1197" t="str"><v>PS79K4</v></cell></row><row r="1198"><cell r="D1198" t="str"><v>43353PS79JV</v></cell><cell r="E1198" t="str"><v>43353PS79JV</v></cell><cell r="F1198" t="str"><v>Appended from Pub - Not in DCM</v></cell></row><row r="1198"><cell r="I1198" t="str"><v>Azure Direct</v></cell><cell r="J1198" t="str"><v>Azure Direct</v></cell><cell r="K1198" t="str"><v>September</v></cell><cell r="L1198"><v>43358</v></cell><cell r="M1198" t="str"><v>Tier 0</v></cell><cell r="N1198" t="str"><v>North America</v></cell><cell r="O1198" t="str"><v>United States</v></cell><cell r="P1198" t="str"><v>Trial</v></cell><cell r="Q1198" t="str"><v>Social</v></cell><cell r="R1198" t="str"><v>Azure</v></cell><cell r="S1198" t="str"><v>Apps & Infra</v></cell><cell r="T1198" t="str"><v>Developers & ITI's</v></cell><cell r="U1198" t="str"><v>USA-Trial-ITD-Lead Completes-AZR-AZR</v></cell><cell r="V1198" t="str"><v>Prospecting</v></cell><cell r="W1198" t="str"><v>Canvas Ad</v></cell></row><row r="1198"><cell r="AA1198"><v>43353</v></cell><cell r="AB1198" t="str"><v>USA_gaPMG_AZR_AZR_Q1_19_Direct-Social</v></cell><cell r="AC1198"><v>21358715</v></cell><cell r="AD1198"><v>720197</v></cell><cell r="AE1198" t="str"><v>Linkedin</v></cell><cell r="AF1198"><v>3654329</v></cell><cell r="AG1198" t="str"><v>FACEBOOK»USA-Trial-ITD-Lead Completes-AZR-AZR»1 x 1»SocialBan»CAN»ALL»CPA»PRO»X»NA»SS»NA»FreeAcctDeveloperFB-AnimatedOpenSource-Ch2»PS79JV</v></cell><cell r="AH1198" t="str"><v>PS79JV</v></cell></row><row r="1199"><cell r="D1199" t="str"><v>43353PS79K5</v></cell><cell r="E1199" t="str"><v>43353PS79K5</v></cell><cell r="F1199" t="str"><v>Appended from Pub - Not in DCM</v></cell></row><row r="1199"><cell r="I1199" t="str"><v>Azure Direct</v></cell><cell r="J1199" t="str"><v>Azure Direct</v></cell><cell r="K1199" t="str"><v>September</v></cell><cell r="L1199"><v>43358</v></cell><cell r="M1199" t="str"><v>Tier 0</v></cell><cell r="N1199" t="str"><v>North America</v></cell><cell r="O1199" t="str"><v>United States</v></cell><cell r="P1199" t="str"><v>Trial</v></cell><cell r="Q1199" t="str"><v>Social</v></cell><cell r="R1199" t="str"><v>Azure</v></cell><cell r="S1199" t="str"><v>Apps & Infra</v></cell><cell r="T1199" t="str"><v>Developers & ITI's</v></cell><cell r="U1199" t="str"><v>USA-Trial-ITD-Lead Completes-AZR-AZR</v></cell><cell r="V1199" t="str"><v>Prospecting</v></cell><cell r="W1199" t="str"><v>Canvas Ad</v></cell></row><row r="1199"><cell r="AA1199"><v>43353</v></cell><cell r="AB1199" t="str"><v>USA_gaPMG_AZR_AZR_Q1_19_Direct-Social</v></cell><cell r="AC1199"><v>21358715</v></cell><cell r="AD1199"><v>720197</v></cell><cell r="AE1199" t="str"><v>Linkedin</v></cell><cell r="AF1199"><v>3654329</v></cell><cell r="AG1199" t="str"><v>FACEBOOK»USA-Trial-ITD-Lead Completes-AZR-AZR»1 x 1»SocialBan»CAN»ALL»CPA»PRO»X»NA»SS»NA»FreeAcctITProFB-AnimatedMigration-Ch3»PS79K5</v></cell><cell r="AH1199" t="str"><v>PS79K5</v></cell></row><row r="1200"><cell r="D1200" t="str"><v>43353PS7B5R</v></cell><cell r="E1200" t="str"><v>43353104593438PS7B5R</v></cell><cell r="F1200" t="str"><v>Appended from Pub - Not in DCM</v></cell></row><row r="1200"><cell r="I1200" t="str"><v>Azure Direct</v></cell><cell r="J1200" t="str"><v>Azure Direct</v></cell><cell r="K1200" t="str"><v>September</v></cell><cell r="L1200"><v>43358</v></cell><cell r="M1200" t="str"><v>Tier 0</v></cell><cell r="N1200" t="str"><v>North America</v></cell><cell r="O1200" t="str"><v>United States</v></cell><cell r="P1200" t="str"><v>Trial</v></cell><cell r="Q1200" t="str"><v>Social</v></cell><cell r="R1200" t="str"><v>Azure</v></cell><cell r="S1200" t="str"><v>Apps & Infra</v></cell><cell r="T1200" t="str"><v>Developers & ITI's</v></cell><cell r="U1200" t="str"><v>USA-Trial-ITD-Trial PayGo Lookalike-AZR-AZR</v></cell><cell r="V1200" t="str"><v>Lookalike Targeting</v></cell><cell r="W1200" t="str"><v>Canvas Ad</v></cell><cell r="X1200" t="str"><v>1200x1200</v></cell><cell r="Y1200" t="str"><v>Learn More</v></cell><cell r="Z1200" t="str"><v>Animated Banner</v></cell><cell r="AA1200"><v>43353</v></cell><cell r="AB1200" t="str"><v>USA_gaPMG_AZR_AZR_Q1_19_Direct-Social</v></cell><cell r="AC1200"><v>21358715</v></cell><cell r="AD1200"><v>720197</v></cell><cell r="AE1200" t="str"><v>Linkedin</v></cell><cell r="AF1200"><v>3654329</v></cell><cell r="AG1200" t="str"><v>FACEBOOK»USA-Trial-ITD-Trial PayGo Lookalike-AZR-AZR»1 x 1»SocialBan»CAN»ALL»CPA»LAL»X»NA»SS»NA»FreeAcctDeveloperFB-AnimatedOpenSource-Ch2»PS7B5R</v></cell><cell r="AH1200" t="str"><v>PS7B5R</v></cell><cell r="AI1200" t="str"><v>AZR_FreeAcctDeveloperFB-AnimatedOpenSource-Ch2_USA_1200x1200_CAN_Direct_EN_Trial_Standard_ANI_LEA_T2_2</v></cell><cell r="AJ1200"><v>104593438</v></cell></row><row r="1201"><cell r="D1201" t="str"><v>43353PS7B5Q</v></cell><cell r="E1201" t="str"><v>43353104595766PS7B5Q</v></cell><cell r="F1201" t="str"><v>Appended from Pub - Not in DCM</v></cell></row><row r="1201"><cell r="I1201" t="str"><v>Azure Direct</v></cell><cell r="J1201" t="str"><v>Azure Direct</v></cell><cell r="K1201" t="str"><v>September</v></cell><cell r="L1201"><v>43358</v></cell><cell r="M1201" t="str"><v>Tier 0</v></cell><cell r="N1201" t="str"><v>North America</v></cell><cell r="O1201" t="str"><v>United States</v></cell><cell r="P1201" t="str"><v>Trial</v></cell><cell r="Q1201" t="str"><v>Social</v></cell><cell r="R1201" t="str"><v>Azure</v></cell><cell r="S1201" t="str"><v>Apps & Infra</v></cell><cell r="T1201" t="str"><v>Developers & ITI's</v></cell><cell r="U1201" t="str"><v>USA-Trial-ITD-Trial PayGo Lookalike-AZR-AZR</v></cell><cell r="V1201" t="str"><v>Lookalike Targeting</v></cell><cell r="W1201" t="str"><v>Canvas Ad</v></cell><cell r="X1201" t="str"><v>1200x1200</v></cell><cell r="Y1201" t="str"><v>Learn More</v></cell><cell r="Z1201" t="str"><v>Animated Banner</v></cell><cell r="AA1201"><v>43353</v></cell><cell r="AB1201" t="str"><v>USA_gaPMG_AZR_AZR_Q1_19_Direct-Social</v></cell><cell r="AC1201"><v>21358715</v></cell><cell r="AD1201"><v>720197</v></cell><cell r="AE1201" t="str"><v>Linkedin</v></cell><cell r="AF1201"><v>3654329</v></cell><cell r="AG1201" t="str"><v>FACEBOOK»USA-Trial-ITD-Trial PayGo Lookalike-AZR-AZR»1 x 1»SocialBan»CAN»ALL»CPA»LAL»X»NA»SS»NA»FreeAcctDeveloperFB-AnimatedGeneric-Ch1»PS7B5Q</v></cell><cell r="AH1201" t="str"><v>PS7B5Q</v></cell><cell r="AI1201" t="str"><v>AZR_FreeAcctDeveloperFB-AnimatedGeneric-Ch1_USA_1200x1200_CAN_Direct_EN_Trial_Standard_ANI_LEA_T1_1</v></cell><cell r="AJ1201"><v>104595766</v></cell></row><row r="1202"><cell r="D1202" t="str"><v>43353PS78J6</v></cell><cell r="E1202" t="str"><v>43353104595766PS78J6</v></cell><cell r="F1202" t="str"><v>Appended from Pub - Not in DCM</v></cell></row><row r="1202"><cell r="I1202" t="str"><v>Azure Direct</v></cell><cell r="J1202" t="str"><v>Azure Direct</v></cell><cell r="K1202" t="str"><v>September</v></cell><cell r="L1202"><v>43358</v></cell><cell r="M1202" t="str"><v>Tier 0</v></cell><cell r="N1202" t="str"><v>North America</v></cell><cell r="O1202" t="str"><v>United States</v></cell><cell r="P1202" t="str"><v>Trial</v></cell><cell r="Q1202" t="str"><v>Social</v></cell><cell r="R1202" t="str"><v>Azure</v></cell><cell r="S1202" t="str"><v>Apps & Infra</v></cell><cell r="T1202" t="str"><v>Developers & ITI's</v></cell><cell r="U1202" t="str"><v>USA-Trial-ITD-Interest Prospecting-AZR-AZR</v></cell><cell r="V1202" t="str"><v>Prospecting</v></cell><cell r="W1202" t="str"><v>Canvas Ad</v></cell><cell r="X1202" t="str"><v>1200x1200</v></cell><cell r="Y1202" t="str"><v>Learn More</v></cell><cell r="Z1202" t="str"><v>Animated Banner</v></cell><cell r="AA1202"><v>43353</v></cell><cell r="AB1202" t="str"><v>USA_gaPMG_AZR_AZR_Q1_19_Direct-Social</v></cell><cell r="AC1202"><v>21358715</v></cell><cell r="AD1202"><v>720197</v></cell><cell r="AE1202" t="str"><v>Linkedin</v></cell><cell r="AF1202"><v>3654329</v></cell><cell r="AG1202" t="str"><v>FACEBOOK»USA-Trial-ITD-Interest Prospecting-AZR-AZR»1 x 1»SocialBan»CAN»ALL»CPA»PRO»X»NA»SS»NA»FreeAcctDeveloperFB-AnimatedGeneric-Ch1»PS78J6</v></cell><cell r="AH1202" t="str"><v>PS78J6</v></cell><cell r="AI1202" t="str"><v>AZR_FreeAcctDeveloperFB-AnimatedGeneric-Ch1_USA_1200x1200_CAN_Direct_EN_Trial_Standard_ANI_LEA_T1_1</v></cell><cell r="AJ1202"><v>104595766</v></cell></row><row r="1203"><cell r="D1203" t="str"><v>43353PS78J7</v></cell><cell r="E1203" t="str"><v>43353104593438PS78J7</v></cell><cell r="F1203" t="str"><v>Appended from Pub - Not in DCM</v></cell></row><row r="1203"><cell r="I1203" t="str"><v>Azure Direct</v></cell><cell r="J1203" t="str"><v>Azure Direct</v></cell><cell r="K1203" t="str"><v>September</v></cell><cell r="L1203"><v>43358</v></cell><cell r="M1203" t="str"><v>Tier 0</v></cell><cell r="N1203" t="str"><v>North America</v></cell><cell r="O1203" t="str"><v>United States</v></cell><cell r="P1203" t="str"><v>Trial</v></cell><cell r="Q1203" t="str"><v>Social</v></cell><cell r="R1203" t="str"><v>Azure</v></cell><cell r="S1203" t="str"><v>Apps & Infra</v></cell><cell r="T1203" t="str"><v>Developers & ITI's</v></cell><cell r="U1203" t="str"><v>USA-Trial-ITD-Interest Prospecting-AZR-AZR</v></cell><cell r="V1203" t="str"><v>Prospecting</v></cell><cell r="W1203" t="str"><v>Canvas Ad</v></cell><cell r="X1203" t="str"><v>1200x1200</v></cell><cell r="Y1203" t="str"><v>Learn More</v></cell><cell r="Z1203" t="str"><v>Animated Banner</v></cell><cell r="AA1203"><v>43353</v></cell><cell r="AB1203" t="str"><v>USA_gaPMG_AZR_AZR_Q1_19_Direct-Social</v></cell><cell r="AC1203"><v>21358715</v></cell><cell r="AD1203"><v>720197</v></cell><cell r="AE1203" t="str"><v>Linkedin</v></cell><cell r="AF1203"><v>3654329</v></cell><cell r="AG1203" t="str"><v>FACEBOOK»USA-Trial-ITD-Interest Prospecting-AZR-AZR»1 x 1»SocialBan»CAN»ALL»CPA»PRO»X»NA»SS»NA»FreeAcctDeveloperFB-AnimatedOpenSource-Ch2»PS78J7</v></cell><cell r="AH1203" t="str"><v>PS78J7</v></cell><cell r="AI1203" t="str"><v>AZR_FreeAcctDeveloperFB-AnimatedOpenSource-Ch2_USA_1200x1200_CAN_Direct_EN_Trial_Standard_ANI_LEA_T2_2</v></cell><cell r="AJ1203"><v>104593438</v></cell></row><row r="1204"><cell r="D1204" t="str"><v>43353PS78J8</v></cell><cell r="E1204" t="str"><v>43353104593735PS78J8</v></cell><cell r="F1204" t="str"><v>Appended from Pub - Not in DCM</v></cell></row><row r="1204"><cell r="I1204" t="str"><v>Azure Direct</v></cell><cell r="J1204" t="str"><v>Azure Direct</v></cell><cell r="K1204" t="str"><v>September</v></cell><cell r="L1204"><v>43358</v></cell><cell r="M1204" t="str"><v>Tier 0</v></cell><cell r="N1204" t="str"><v>North America</v></cell><cell r="O1204" t="str"><v>United States</v></cell><cell r="P1204" t="str"><v>Trial</v></cell><cell r="Q1204" t="str"><v>Social</v></cell><cell r="R1204" t="str"><v>Azure</v></cell><cell r="S1204" t="str"><v>Apps & Infra</v></cell><cell r="T1204" t="str"><v>Developers & ITI's</v></cell><cell r="U1204" t="str"><v>USA-Trial-ITD-Interest Prospecting-AZR-AZR</v></cell><cell r="V1204" t="str"><v>Prospecting</v></cell><cell r="W1204" t="str"><v>Canvas Ad</v></cell><cell r="X1204" t="str"><v>1200x1200</v></cell><cell r="Y1204" t="str"><v>Learn More</v></cell><cell r="Z1204" t="str"><v>Animated Banner</v></cell><cell r="AA1204"><v>43353</v></cell><cell r="AB1204" t="str"><v>USA_gaPMG_AZR_AZR_Q1_19_Direct-Social</v></cell><cell r="AC1204"><v>21358715</v></cell><cell r="AD1204"><v>720197</v></cell><cell r="AE1204" t="str"><v>Linkedin</v></cell><cell r="AF1204"><v>3654329</v></cell><cell r="AG1204" t="str"><v>FACEBOOK»USA-Trial-ITD-Interest Prospecting-AZR-AZR»1 x 1»SocialBan»CAN»ALL»CPA»PRO»X»NA»SS»NA»FreeAcctDeveloperFB-AnimatedAI-Ch3»PS78J8</v></cell><cell r="AH1204" t="str"><v>PS78J8</v></cell><cell r="AI1204" t="str"><v>AZR_FreeAcctDeveloperFB-AnimatedAI-Ch3_USA_1200x1200_CAN_Direct_EN_Trial_Standard_ANI_LEA_T3_1</v></cell><cell r="AJ1204"><v>104593735</v></cell></row><row r="1205"><cell r="D1205" t="str"><v>43353PRC2FZ</v></cell><cell r="E1205" t="str"><v>43353103180628PRC2FZ</v></cell><cell r="F1205" t="str"><v>Appended from Pub - Not in DCM</v></cell></row><row r="1205"><cell r="I1205" t="str"><v>Azure Direct</v></cell><cell r="J1205" t="str"><v>Azure Direct</v></cell><cell r="K1205" t="str"><v>September</v></cell><cell r="L1205"><v>43358</v></cell><cell r="M1205" t="str"><v>Tier 0</v></cell><cell r="N1205" t="str"><v>North America</v></cell><cell r="O1205" t="str"><v>United States</v></cell><cell r="P1205" t="str"><v>Trial</v></cell><cell r="Q1205" t="str"><v>Social</v></cell><cell r="R1205" t="str"><v>Azure</v></cell><cell r="S1205" t="str"><v>Apps & Infra</v></cell><cell r="T1205" t="str"><v>Developers & ITI's</v></cell><cell r="U1205" t="str"><v>USA-Trial-ITD-Trial PayGo Lookalike-AZR-AZR</v></cell><cell r="V1205" t="str"><v>Lookalike Targeting</v></cell><cell r="W1205" t="str"><v>Canvas Ad</v></cell><cell r="X1205" t="str"><v>10s</v></cell><cell r="Y1205" t="str"><v>Try it Now</v></cell><cell r="Z1205" t="str"><v>Standard videos</v></cell><cell r="AA1205"><v>43353</v></cell><cell r="AB1205" t="str"><v>USA_gaPMG_AZR_AZR_Q1_19_Direct-Social</v></cell><cell r="AC1205"><v>21358715</v></cell><cell r="AD1205"><v>720197</v></cell><cell r="AE1205" t="str"><v>Linkedin</v></cell><cell r="AF1205"><v>3654329</v></cell><cell r="AG1205" t="str"><v>INSTAGRAM»USA-Trial-ITD-Trial PayGo Lookalike-AZR-AZR»1 x 1»SocialBan»CAN»ALL»CPA»LAL»X»NA»SS»NA»IGCTCBenefit2inMotion»PRC2FZ</v></cell><cell r="AH1205" t="str"><v>PRC2FZ</v></cell><cell r="AI1205" t="str"><v>AzurePlatform_IGCTCBrandinMotion_USA_10s_CAN_PLATFORM_English_Trial_Standard_STAN_TIN_T2_1</v></cell><cell r="AJ1205"><v>103180628</v></cell></row><row r="1206"><cell r="D1206" t="str"><v>43353PRC1VV</v></cell><cell r="E1206" t="str"><v>43353103043835PRC1VV</v></cell><cell r="F1206" t="str"><v>Appended from Pub - Not in DCM</v></cell></row><row r="1206"><cell r="I1206" t="str"><v>Azure Direct</v></cell><cell r="J1206" t="str"><v>Azure Direct</v></cell><cell r="K1206" t="str"><v>September</v></cell><cell r="L1206"><v>43358</v></cell><cell r="M1206" t="str"><v>Tier 0</v></cell><cell r="N1206" t="str"><v>North America</v></cell><cell r="O1206" t="str"><v>United States</v></cell><cell r="P1206" t="str"><v>Trial</v></cell><cell r="Q1206" t="str"><v>Social</v></cell><cell r="R1206" t="str"><v>Azure</v></cell><cell r="S1206" t="str"><v>Apps & Infra</v></cell><cell r="T1206" t="str"><v>Developers & ITI's</v></cell><cell r="U1206" t="str"><v>USA-Trial-ITD-Lead Completes-AZR-AZR</v></cell><cell r="V1206" t="str"><v>Prospecting</v></cell><cell r="W1206" t="str"><v>Canvas Ad</v></cell><cell r="X1206" t="str"><v>10s</v></cell><cell r="Y1206" t="str"><v>Try it Now</v></cell><cell r="Z1206" t="str"><v>Standard videos</v></cell><cell r="AA1206"><v>43353</v></cell><cell r="AB1206" t="str"><v>USA_gaPMG_AZR_AZR_Q1_19_Direct-Social</v></cell><cell r="AC1206"><v>21358715</v></cell><cell r="AD1206"><v>720197</v></cell><cell r="AE1206" t="str"><v>Linkedin</v></cell><cell r="AF1206"><v>3654329</v></cell><cell r="AG1206" t="str"><v>FACEBOOK»USA-Trial-ITD-Lead Completes-AZR-AZR»1 x 1»SocialBan»CAN»ALL»CPA»PRO»X»NA»SS»NA»FBCTCBenefit2inMotion»PRC1VV</v></cell><cell r="AH1206" t="str"><v>PRC1VV</v></cell><cell r="AI1206" t="str"><v>AzurePlatform_FBCTCBenefit2inMotion_USA_10s_CAN_PLATFORM_English_Trial_Standard_STAN_TIN_T4_1</v></cell><cell r="AJ1206"><v>103043835</v></cell></row><row r="1207"><cell r="D1207" t="str"><v>43353PRC2PD</v></cell><cell r="E1207" t="str"><v>43353103180628PRC2PD</v></cell><cell r="F1207" t="str"><v>Appended from Pub - Not in DCM</v></cell></row><row r="1207"><cell r="I1207" t="str"><v>Azure Direct</v></cell><cell r="J1207" t="str"><v>Azure Direct</v></cell><cell r="K1207" t="str"><v>September</v></cell><cell r="L1207"><v>43358</v></cell><cell r="M1207" t="str"><v>Tier 0</v></cell><cell r="N1207" t="str"><v>North America</v></cell><cell r="O1207" t="str"><v>United States</v></cell><cell r="P1207" t="str"><v>Trial</v></cell><cell r="Q1207" t="str"><v>Social</v></cell><cell r="R1207" t="str"><v>Azure</v></cell><cell r="S1207" t="str"><v>Apps & Infra</v></cell><cell r="T1207" t="str"><v>Developers & ITI's</v></cell><cell r="U1207" t="str"><v>USA-Trial-ITD-Interest Prospecting-AZR-AZR</v></cell><cell r="V1207" t="str"><v>Prospecting</v></cell><cell r="W1207" t="str"><v>Canvas Ad</v></cell><cell r="X1207" t="str"><v>10s</v></cell><cell r="Y1207" t="str"><v>Try it Now</v></cell><cell r="Z1207" t="str"><v>Standard videos</v></cell><cell r="AA1207"><v>43353</v></cell><cell r="AB1207" t="str"><v>USA_gaPMG_AZR_AZR_Q1_19_Direct-Social</v></cell><cell r="AC1207"><v>21358715</v></cell><cell r="AD1207"><v>720197</v></cell><cell r="AE1207" t="str"><v>Linkedin</v></cell><cell r="AF1207"><v>3654329</v></cell><cell r="AG1207" t="str"><v>INSTAGRAM»USA-Trial-ITD-Interest Prospecting-AZR-AZR»1 x 1»SocialBan»CAN»ALL»CPA»PRO»X»NA»SS»NA»IGCTCBenefit2inMotion»PRC2PD</v></cell><cell r="AH1207" t="str"><v>PRC2PD</v></cell><cell r="AI1207" t="str"><v>AzurePlatform_IGCTCBrandinMotion_USA_10s_CAN_PLATFORM_English_Trial_Standard_STAN_TIN_T2_1</v></cell><cell r="AJ1207"><v>103180628</v></cell></row><row r="1208"><cell r="D1208" t="str"><v>43353PS79SS</v></cell><cell r="E1208" t="str"><v>43353104593441PS79SS</v></cell><cell r="F1208" t="str"><v>Appended from Pub - Not in DCM</v></cell></row><row r="1208"><cell r="I1208" t="str"><v>Azure Direct</v></cell><cell r="J1208" t="str"><v>Azure Direct</v></cell><cell r="K1208" t="str"><v>September</v></cell><cell r="L1208"><v>43358</v></cell><cell r="M1208" t="str"><v>Tier 0</v></cell><cell r="N1208" t="str"><v>North America</v></cell><cell r="O1208" t="str"><v>United States</v></cell><cell r="P1208" t="str"><v>Trial</v></cell><cell r="Q1208" t="str"><v>Social</v></cell><cell r="R1208" t="str"><v>Azure</v></cell><cell r="S1208" t="str"><v>Apps & Infra</v></cell><cell r="T1208" t="str"><v>Developers & ITI's</v></cell><cell r="U1208" t="str"><v>USA-Trial-ITD-Retargeting-AZR-AZR</v></cell><cell r="V1208" t="str"><v>Retargeting</v></cell><cell r="W1208" t="str"><v>Canvas Ad</v></cell><cell r="X1208" t="str"><v>1200x628</v></cell><cell r="Y1208" t="str"><v>Sign Up</v></cell><cell r="Z1208" t="str"><v>Not Applicable</v></cell><cell r="AA1208"><v>43353</v></cell><cell r="AB1208" t="str"><v>USA_gaPMG_AZR_AZR_Q1_19_Direct-Social</v></cell><cell r="AC1208"><v>21358715</v></cell><cell r="AD1208"><v>720197</v></cell><cell r="AE1208" t="str"><v>Linkedin</v></cell><cell r="AF1208"><v>3654329</v></cell><cell r="AG1208" t="str"><v>FACEBOOK»USA-Trial-ITD-Retargeting-AZR-AZR»1 x 1»SocialBan»CAN»ALL»CPA»RT»X»NA»SS»NA»FreeAcctRetargetingFB-GlobalAlt-ChB»PS79SS</v></cell><cell r="AH1208" t="str"><v>PS79SS</v></cell><cell r="AI1208" t="str"><v>AZR_FreeAcctRetargetingFB-GlobalAlt-ChB_USA_1200x628_CAN_Plat_English_Free Account_Standard_NA_SINU_T2_2</v></cell><cell r="AJ1208"><v>104593441</v></cell></row><row r="1209"><cell r="D1209" t="str"><v>43353PS79S1</v></cell><cell r="E1209" t="str"><v>43353104595769PS79S1</v></cell><cell r="F1209" t="str"><v>Appended from Pub - Not in DCM</v></cell></row><row r="1209"><cell r="I1209" t="str"><v>Azure Direct</v></cell><cell r="J1209" t="str"><v>Azure Direct</v></cell><cell r="K1209" t="str"><v>September</v></cell><cell r="L1209"><v>43358</v></cell><cell r="M1209" t="str"><v>Tier 0</v></cell><cell r="N1209" t="str"><v>North America</v></cell><cell r="O1209" t="str"><v>United States</v></cell><cell r="P1209" t="str"><v>Trial</v></cell><cell r="Q1209" t="str"><v>Social</v></cell><cell r="R1209" t="str"><v>Azure</v></cell><cell r="S1209" t="str"><v>Apps & Infra</v></cell><cell r="T1209" t="str"><v>Developers & ITI's</v></cell><cell r="U1209" t="str"><v>USA-Trial-ITD-Retargeting-AZR-AZR</v></cell><cell r="V1209" t="str"><v>Retargeting</v></cell><cell r="W1209" t="str"><v>Canvas Ad</v></cell><cell r="X1209" t="str"><v>1200x628</v></cell><cell r="Y1209" t="str"><v>Sign Up</v></cell><cell r="Z1209" t="str"><v>Not Applicable</v></cell><cell r="AA1209"><v>43353</v></cell><cell r="AB1209" t="str"><v>USA_gaPMG_AZR_AZR_Q1_19_Direct-Social</v></cell><cell r="AC1209"><v>21358715</v></cell><cell r="AD1209"><v>720197</v></cell><cell r="AE1209" t="str"><v>Linkedin</v></cell><cell r="AF1209"><v>3654329</v></cell><cell r="AG1209" t="str"><v>FACEBOOK»USA-Trial-ITD-Retargeting-AZR-AZR»1 x 1»SocialBan»CAN»ALL»CPA»RT»X»NA»SS»NA»FreeAcctRetargetingFB-Credit-ChA»PS79S1</v></cell><cell r="AH1209" t="str"><v>PS79S1</v></cell><cell r="AI1209" t="str"><v>AZR_FreeAcctRetargetingFB-Credit-ChA_USA_1200x628_CAN_Plat_English_Free Account_Standard_NA_SINU_T1_1</v></cell><cell r="AJ1209"><v>104595769</v></cell></row><row r="1210"><cell r="D1210" t="str"><v>43353PS79T3</v></cell><cell r="E1210" t="str"><v>43353104595766PS79T3</v></cell><cell r="F1210" t="str"><v>Appended from Pub - Not in DCM</v></cell></row><row r="1210"><cell r="I1210" t="str"><v>Azure Direct</v></cell><cell r="J1210" t="str"><v>Azure Direct</v></cell><cell r="K1210" t="str"><v>September</v></cell><cell r="L1210"><v>43358</v></cell><cell r="M1210" t="str"><v>Tier 0</v></cell><cell r="N1210" t="str"><v>North America</v></cell><cell r="O1210" t="str"><v>United States</v></cell><cell r="P1210" t="str"><v>Trial</v></cell><cell r="Q1210" t="str"><v>Social</v></cell><cell r="R1210" t="str"><v>Azure</v></cell><cell r="S1210" t="str"><v>Apps & Infra</v></cell><cell r="T1210" t="str"><v>Developers & ITI's</v></cell><cell r="U1210" t="str"><v>USA-Trial-ITD-Retargeting-AZR-AZR</v></cell><cell r="V1210" t="str"><v>Retargeting</v></cell><cell r="W1210" t="str"><v>Canvas Ad</v></cell><cell r="X1210" t="str"><v>1200x1200</v></cell><cell r="Y1210" t="str"><v>Learn More</v></cell><cell r="Z1210" t="str"><v>Animated Banner</v></cell><cell r="AA1210"><v>43353</v></cell><cell r="AB1210" t="str"><v>USA_gaPMG_AZR_AZR_Q1_19_Direct-Social</v></cell><cell r="AC1210"><v>21358715</v></cell><cell r="AD1210"><v>720197</v></cell><cell r="AE1210" t="str"><v>Linkedin</v></cell><cell r="AF1210"><v>3654329</v></cell><cell r="AG1210" t="str"><v>FACEBOOK»USA-Trial-ITD-Retargeting-AZR-AZR»1 x 1»SocialBan»CAN»ALL»CPA»RT»X»NA»SS»NA»FreeAcctDeveloperFB-AnimatedGeneric-Ch1»PS79T3</v></cell><cell r="AH1210" t="str"><v>PS79T3</v></cell><cell r="AI1210" t="str"><v>AZR_FreeAcctDeveloperFB-AnimatedGeneric-Ch1_USA_1200x1200_CAN_Direct_EN_Trial_Standard_ANI_LEA_T1_1</v></cell><cell r="AJ1210"><v>104595766</v></cell></row><row r="1211"><cell r="D1211" t="str"><v>43353PS79T5</v></cell><cell r="E1211" t="str"><v>43353104592523PS79T5</v></cell><cell r="F1211" t="str"><v>Appended from Pub - Not in DCM</v></cell></row><row r="1211"><cell r="I1211" t="str"><v>Azure Direct</v></cell><cell r="J1211" t="str"><v>Azure Direct</v></cell><cell r="K1211" t="str"><v>September</v></cell><cell r="L1211"><v>43358</v></cell><cell r="M1211" t="str"><v>Tier 0</v></cell><cell r="N1211" t="str"><v>North America</v></cell><cell r="O1211" t="str"><v>United States</v></cell><cell r="P1211" t="str"><v>Trial</v></cell><cell r="Q1211" t="str"><v>Social</v></cell><cell r="R1211" t="str"><v>Azure</v></cell><cell r="S1211" t="str"><v>Apps & Infra</v></cell><cell r="T1211" t="str"><v>Developers & ITI's</v></cell><cell r="U1211" t="str"><v>USA-Trial-ITD-Retargeting-AZR-AZR</v></cell><cell r="V1211" t="str"><v>Retargeting</v></cell><cell r="W1211" t="str"><v>Canvas Ad</v></cell><cell r="X1211" t="str"><v>1200x1200</v></cell><cell r="Y1211" t="str"><v>Learn More</v></cell><cell r="Z1211" t="str"><v>Animated Banner</v></cell><cell r="AA1211"><v>43353</v></cell><cell r="AB1211" t="str"><v>USA_gaPMG_AZR_AZR_Q1_19_Direct-Social</v></cell><cell r="AC1211"><v>21358715</v></cell><cell r="AD1211"><v>720197</v></cell><cell r="AE1211" t="str"><v>Linkedin</v></cell><cell r="AF1211"><v>3654329</v></cell><cell r="AG1211" t="str"><v>FACEBOOK»USA-Trial-ITD-Retargeting-AZR-AZR»1 x 1»SocialBan»CAN»ALL»CPA»RT»X»NA»SS»NA»FreeAcctDeveloperFB-AnimatedGeneric-Ch1»PS79T5</v></cell><cell r="AH1211" t="str"><v>PS79T5</v></cell><cell r="AI1211" t="str"><v>AZR_FreeAcctDeveloperFB-AnimatedGeneric-Ch1_USA_1200x1200_CAN_Direct_EN_Trial_Standard_ANI_LEA_T1_2</v></cell><cell r="AJ1211"><v>104592523</v></cell></row><row r="1212"><cell r="D1212" t="str"><v>43353PS79T6</v></cell><cell r="E1212" t="str"><v>43353104671427PS79T6</v></cell><cell r="F1212" t="str"><v>Appended from Pub - Not in DCM</v></cell></row><row r="1212"><cell r="I1212" t="str"><v>Azure Direct</v></cell><cell r="J1212" t="str"><v>Azure Direct</v></cell><cell r="K1212" t="str"><v>September</v></cell><cell r="L1212"><v>43358</v></cell><cell r="M1212" t="str"><v>Tier 0</v></cell><cell r="N1212" t="str"><v>North America</v></cell><cell r="O1212" t="str"><v>United States</v></cell><cell r="P1212" t="str"><v>Trial</v></cell><cell r="Q1212" t="str"><v>Social</v></cell><cell r="R1212" t="str"><v>Azure</v></cell><cell r="S1212" t="str"><v>Apps & Infra</v></cell><cell r="T1212" t="str"><v>Developers & ITI's</v></cell><cell r="U1212" t="str"><v>USA-Trial-ITD-Retargeting-AZR-AZR</v></cell><cell r="V1212" t="str"><v>Retargeting</v></cell><cell r="W1212" t="str"><v>Canvas Ad</v></cell><cell r="X1212" t="str"><v>1200x1200</v></cell><cell r="Y1212" t="str"><v>Learn More</v></cell><cell r="Z1212" t="str"><v>Animated Banner</v></cell><cell r="AA1212"><v>43353</v></cell><cell r="AB1212" t="str"><v>USA_gaPMG_AZR_AZR_Q1_19_Direct-Social</v></cell><cell r="AC1212"><v>21358715</v></cell><cell r="AD1212"><v>720197</v></cell><cell r="AE1212" t="str"><v>Linkedin</v></cell><cell r="AF1212"><v>3654329</v></cell><cell r="AG1212" t="str"><v>FACEBOOK»USA-Trial-ITD-Retargeting-AZR-AZR»1 x 1»SocialBan»CAN»ALL»CPA»RT»X»NA»SS»NA»FreeAcctDeveloperFB-AnimatedOpenSource-Ch2»PS79T6</v></cell><cell r="AH1212" t="str"><v>PS79T6</v></cell><cell r="AI1212" t="str"><v>AZR_FreeAcctDeveloperFB-AnimatedOpenSource-Ch2_USA_1200x1200_CAN_Direct_EN_Trial_Standard_ANI_LEA_T2_1</v></cell><cell r="AJ1212"><v>104671427</v></cell></row><row r="1213"><cell r="D1213" t="str"><v>43353PS79TM</v></cell><cell r="E1213" t="str"><v>43353104593450PS79TM</v></cell><cell r="F1213" t="str"><v>Appended from Pub - Not in DCM</v></cell></row><row r="1213"><cell r="I1213" t="str"><v>Azure Direct</v></cell><cell r="J1213" t="str"><v>Azure Direct</v></cell><cell r="K1213" t="str"><v>September</v></cell><cell r="L1213"><v>43358</v></cell><cell r="M1213" t="str"><v>Tier 0</v></cell><cell r="N1213" t="str"><v>North America</v></cell><cell r="O1213" t="str"><v>United States</v></cell><cell r="P1213" t="str"><v>Trial</v></cell><cell r="Q1213" t="str"><v>Social</v></cell><cell r="R1213" t="str"><v>Azure</v></cell><cell r="S1213" t="str"><v>Apps & Infra</v></cell><cell r="T1213" t="str"><v>Developers & ITI's</v></cell><cell r="U1213" t="str"><v>USA-Trial-ITD-Retargeting-AZR-AZR</v></cell><cell r="V1213" t="str"><v>Retargeting</v></cell><cell r="W1213" t="str"><v>Canvas Ad</v></cell><cell r="X1213" t="str"><v>1200x1200</v></cell><cell r="Y1213" t="str"><v>Learn More</v></cell><cell r="Z1213" t="str"><v>Animated Banner</v></cell><cell r="AA1213"><v>43353</v></cell><cell r="AB1213" t="str"><v>USA_gaPMG_AZR_AZR_Q1_19_Direct-Social</v></cell><cell r="AC1213"><v>21358715</v></cell><cell r="AD1213"><v>720197</v></cell><cell r="AE1213" t="str"><v>Linkedin</v></cell><cell r="AF1213"><v>3654329</v></cell><cell r="AG1213" t="str"><v>FACEBOOK»USA-Trial-ITD-Retargeting-AZR-AZR»1 x 1»SocialBan»CAN»ALL»CPA»RT»X»NA»SS»NA»FreeAcctITProFB-AnimatedMigration-Ch3»PS79TM</v></cell><cell r="AH1213" t="str"><v>PS79TM</v></cell><cell r="AI1213" t="str"><v>AZR_FreeAcctITProFB-AnimatedMigration-Ch3_USA_1200x1200_CAN_Direct_EN_Trial_Standard_ANI_LEA_T3_1</v></cell><cell r="AJ1213"><v>104593450</v></cell></row><row r="1214"><cell r="D1214" t="str"><v>43353PS79TK</v></cell><cell r="E1214" t="str"><v>43353104593738PS79TK</v></cell><cell r="F1214" t="str"><v>Appended from Pub - Not in DCM</v></cell></row><row r="1214"><cell r="I1214" t="str"><v>Azure Direct</v></cell><cell r="J1214" t="str"><v>Azure Direct</v></cell><cell r="K1214" t="str"><v>September</v></cell><cell r="L1214"><v>43358</v></cell><cell r="M1214" t="str"><v>Tier 0</v></cell><cell r="N1214" t="str"><v>North America</v></cell><cell r="O1214" t="str"><v>United States</v></cell><cell r="P1214" t="str"><v>Trial</v></cell><cell r="Q1214" t="str"><v>Social</v></cell><cell r="R1214" t="str"><v>Azure</v></cell><cell r="S1214" t="str"><v>Apps & Infra</v></cell><cell r="T1214" t="str"><v>Developers & ITI's</v></cell><cell r="U1214" t="str"><v>USA-Trial-ITD-Retargeting-AZR-AZR</v></cell><cell r="V1214" t="str"><v>Retargeting</v></cell><cell r="W1214" t="str"><v>Canvas Ad</v></cell><cell r="X1214" t="str"><v>1200x1200</v></cell><cell r="Y1214" t="str"><v>Learn More</v></cell><cell r="Z1214" t="str"><v>Animated Banner</v></cell><cell r="AA1214"><v>43353</v></cell><cell r="AB1214" t="str"><v>USA_gaPMG_AZR_AZR_Q1_19_Direct-Social</v></cell><cell r="AC1214"><v>21358715</v></cell><cell r="AD1214"><v>720197</v></cell><cell r="AE1214" t="str"><v>Linkedin</v></cell><cell r="AF1214"><v>3654329</v></cell><cell r="AG1214" t="str"><v>FACEBOOK»USA-Trial-ITD-Retargeting-AZR-AZR»1 x 1»SocialBan»CAN»ALL»CPA»RT»X»NA»SS»NA»FreeAcctITProFB-AnimatedSecureMngd-Ch1»PS79TK</v></cell><cell r="AH1214" t="str"><v>PS79TK</v></cell><cell r="AI1214" t="str"><v>AZR_FreeAcctITProFB-AnimatedSecureMngd-Ch1_USA_1200x1200_CAN_Direct_EN_Trial_Standard_ANI_LEA_T1_1</v></cell><cell r="AJ1214"><v>104593738</v></cell></row><row r="1215"><cell r="D1215" t="str"><v>43353PS7B4W</v></cell><cell r="E1215" t="str"><v>43353104592523PS7B4W</v></cell><cell r="F1215" t="str"><v>Appended from Pub - Not in DCM</v></cell></row><row r="1215"><cell r="I1215" t="str"><v>Azure Direct</v></cell><cell r="J1215" t="str"><v>Azure Direct</v></cell><cell r="K1215" t="str"><v>September</v></cell><cell r="L1215"><v>43358</v></cell><cell r="M1215" t="str"><v>Tier 0</v></cell><cell r="N1215" t="str"><v>North America</v></cell><cell r="O1215" t="str"><v>United States</v></cell><cell r="P1215" t="str"><v>Trial</v></cell><cell r="Q1215" t="str"><v>Social</v></cell><cell r="R1215" t="str"><v>Azure</v></cell><cell r="S1215" t="str"><v>Apps & Infra</v></cell><cell r="T1215" t="str"><v>Developers & ITI's</v></cell><cell r="U1215" t="str"><v>USA-Trial-ITD-Trial Lookalike-AZR-AZR</v></cell><cell r="V1215" t="str"><v>Lookalike Targeting</v></cell><cell r="W1215" t="str"><v>Canvas Ad</v></cell><cell r="X1215" t="str"><v>1200x1200</v></cell><cell r="Y1215" t="str"><v>Learn More</v></cell><cell r="Z1215" t="str"><v>Animated Banner</v></cell><cell r="AA1215"><v>43353</v></cell><cell r="AB1215" t="str"><v>USA_gaPMG_AZR_AZR_Q1_19_Direct-Social</v></cell><cell r="AC1215"><v>21358715</v></cell><cell r="AD1215"><v>720197</v></cell><cell r="AE1215" t="str"><v>Linkedin</v></cell><cell r="AF1215"><v>3654329</v></cell><cell r="AG1215" t="str"><v>FACEBOOK»USA-Trial-ITD-Trial Lookalike-AZR-AZR»1 x 1»SocialBan»CAN»ALL»CPA»LAL»X»NA»SS»NA»FreeAcctDeveloperFB-AnimatedGeneric-Ch1»PS7B4W</v></cell><cell r="AH1215" t="str"><v>PS7B4W</v></cell><cell r="AI1215" t="str"><v>AZR_FreeAcctDeveloperFB-AnimatedGeneric-Ch1_USA_1200x1200_CAN_Direct_EN_Trial_Standard_ANI_LEA_T1_2</v></cell><cell r="AJ1215"><v>104592523</v></cell></row><row r="1216"><cell r="D1216" t="str"><v>43353PS7B52</v></cell><cell r="E1216" t="str"><v>43353104595739PS7B52</v></cell><cell r="F1216" t="str"><v>Appended from Pub - Not in DCM</v></cell></row><row r="1216"><cell r="I1216" t="str"><v>Azure Direct</v></cell><cell r="J1216" t="str"><v>Azure Direct</v></cell><cell r="K1216" t="str"><v>September</v></cell><cell r="L1216"><v>43358</v></cell><cell r="M1216" t="str"><v>Tier 0</v></cell><cell r="N1216" t="str"><v>North America</v></cell><cell r="O1216" t="str"><v>United States</v></cell><cell r="P1216" t="str"><v>Trial</v></cell><cell r="Q1216" t="str"><v>Social</v></cell><cell r="R1216" t="str"><v>Azure</v></cell><cell r="S1216" t="str"><v>Apps & Infra</v></cell><cell r="T1216" t="str"><v>Developers & ITI's</v></cell><cell r="U1216" t="str"><v>USA-Trial-ITD-Trial Lookalike-AZR-AZR</v></cell><cell r="V1216" t="str"><v>Lookalike Targeting</v></cell><cell r="W1216" t="str"><v>Canvas Ad</v></cell><cell r="X1216" t="str"><v>1200x1200</v></cell><cell r="Y1216" t="str"><v>Learn More</v></cell><cell r="Z1216" t="str"><v>Animated Banner</v></cell><cell r="AA1216"><v>43353</v></cell><cell r="AB1216" t="str"><v>USA_gaPMG_AZR_AZR_Q1_19_Direct-Social</v></cell><cell r="AC1216"><v>21358715</v></cell><cell r="AD1216"><v>720197</v></cell><cell r="AE1216" t="str"><v>Linkedin</v></cell><cell r="AF1216"><v>3654329</v></cell><cell r="AG1216" t="str"><v>FACEBOOK»USA-Trial-ITD-Trial Lookalike-AZR-AZR»1 x 1»SocialBan»CAN»ALL»CPA»LAL»X»NA»SS»NA»FreeAcctDeveloperFB-AnimatedData-Ch4»PS7B52</v></cell><cell r="AH1216" t="str"><v>PS7B52</v></cell><cell r="AI1216" t="str"><v>AZR_FreeAcctDeveloperFB-AnimatedData-Ch4_USA_1200x1200_CAN_Direct_EN_Trial_Standard_ANI_LEA_T4_1</v></cell><cell r="AJ1216"><v>104595739</v></cell></row><row r="1217"><cell r="D1217" t="str"><v>43353PS7B4Y</v></cell><cell r="E1217" t="str"><v>43353104592523PS7B4Y</v></cell><cell r="F1217" t="str"><v>Appended from Pub - Not in DCM</v></cell></row><row r="1217"><cell r="I1217" t="str"><v>Azure Direct</v></cell><cell r="J1217" t="str"><v>Azure Direct</v></cell><cell r="K1217" t="str"><v>September</v></cell><cell r="L1217"><v>43358</v></cell><cell r="M1217" t="str"><v>Tier 0</v></cell><cell r="N1217" t="str"><v>North America</v></cell><cell r="O1217" t="str"><v>United States</v></cell><cell r="P1217" t="str"><v>Trial</v></cell><cell r="Q1217" t="str"><v>Social</v></cell><cell r="R1217" t="str"><v>Azure</v></cell><cell r="S1217" t="str"><v>Apps & Infra</v></cell><cell r="T1217" t="str"><v>Developers & ITI's</v></cell><cell r="U1217" t="str"><v>USA-Trial-ITD-Trial Lookalike-AZR-AZR</v></cell><cell r="V1217" t="str"><v>Lookalike Targeting</v></cell><cell r="W1217" t="str"><v>Canvas Ad</v></cell><cell r="X1217" t="str"><v>1200x1200</v></cell><cell r="Y1217" t="str"><v>Learn More</v></cell><cell r="Z1217" t="str"><v>Animated Banner</v></cell><cell r="AA1217"><v>43353</v></cell><cell r="AB1217" t="str"><v>USA_gaPMG_AZR_AZR_Q1_19_Direct-Social</v></cell><cell r="AC1217"><v>21358715</v></cell><cell r="AD1217"><v>720197</v></cell><cell r="AE1217" t="str"><v>Linkedin</v></cell><cell r="AF1217"><v>3654329</v></cell><cell r="AG1217" t="str"><v>FACEBOOK»USA-Trial-ITD-Trial Lookalike-AZR-AZR»1 x 1»SocialBan»CAN»ALL»CPA»LAL»X»NA»SS»NA»FreeAcctDeveloperFB-AnimatedGeneric-Ch1»PS7B4Y</v></cell><cell r="AH1217" t="str"><v>PS7B4Y</v></cell><cell r="AI1217" t="str"><v>AZR_FreeAcctDeveloperFB-AnimatedGeneric-Ch1_USA_1200x1200_CAN_Direct_EN_Trial_Standard_ANI_LEA_T1_2</v></cell><cell r="AJ1217"><v>104592523</v></cell></row><row r="1218"><cell r="D1218" t="str"><v>43353PS7B54</v></cell><cell r="E1218" t="str"><v>43353104592535PS7B54</v></cell><cell r="F1218" t="str"><v>Appended from Pub - Not in DCM</v></cell></row><row r="1218"><cell r="I1218" t="str"><v>Azure Direct</v></cell><cell r="J1218" t="str"><v>Azure Direct</v></cell><cell r="K1218" t="str"><v>September</v></cell><cell r="L1218"><v>43358</v></cell><cell r="M1218" t="str"><v>Tier 0</v></cell><cell r="N1218" t="str"><v>North America</v></cell><cell r="O1218" t="str"><v>United States</v></cell><cell r="P1218" t="str"><v>Trial</v></cell><cell r="Q1218" t="str"><v>Social</v></cell><cell r="R1218" t="str"><v>Azure</v></cell><cell r="S1218" t="str"><v>Apps & Infra</v></cell><cell r="T1218" t="str"><v>Developers & ITI's</v></cell><cell r="U1218" t="str"><v>USA-Trial-ITD-Trial Lookalike-AZR-AZR</v></cell><cell r="V1218" t="str"><v>Lookalike Targeting</v></cell><cell r="W1218" t="str"><v>Canvas Ad</v></cell><cell r="X1218" t="str"><v>1200x1200</v></cell><cell r="Y1218" t="str"><v>Learn More</v></cell><cell r="Z1218" t="str"><v>Animated Banner</v></cell><cell r="AA1218"><v>43353</v></cell><cell r="AB1218" t="str"><v>USA_gaPMG_AZR_AZR_Q1_19_Direct-Social</v></cell><cell r="AC1218"><v>21358715</v></cell><cell r="AD1218"><v>720197</v></cell><cell r="AE1218" t="str"><v>Linkedin</v></cell><cell r="AF1218"><v>3654329</v></cell><cell r="AG1218" t="str"><v>FACEBOOK»USA-Trial-ITD-Trial Lookalike-AZR-AZR»1 x 1»SocialBan»CAN»ALL»CPA»LAL»X»NA»SS»NA»FreeAcctITProFB-AnimatedHybrid-Ch2»PS7B54</v></cell><cell r="AH1218" t="str"><v>PS7B54</v></cell><cell r="AI1218" t="str"><v>AZR_FreeAcctITProFB-AnimatedHybrid-Ch2_USA_1200x1200_CAN_Direct_EN_Trial_Standard_ANI_LEA_T2_1</v></cell><cell r="AJ1218"><v>104592535</v></cell></row><row r="1219"><cell r="D1219" t="str"><v>43353PS79TJ</v></cell><cell r="E1219" t="str"><v>43353104595739PS79TJ</v></cell><cell r="F1219" t="str"><v>Appended from Pub - Not in DCM</v></cell></row><row r="1219"><cell r="I1219" t="str"><v>Azure Direct</v></cell><cell r="J1219" t="str"><v>Azure Direct</v></cell><cell r="K1219" t="str"><v>September</v></cell><cell r="L1219"><v>43358</v></cell><cell r="M1219" t="str"><v>Tier 0</v></cell><cell r="N1219" t="str"><v>North America</v></cell><cell r="O1219" t="str"><v>United States</v></cell><cell r="P1219" t="str"><v>Trial</v></cell><cell r="Q1219" t="str"><v>Social</v></cell><cell r="R1219" t="str"><v>Azure</v></cell><cell r="S1219" t="str"><v>Apps & Infra</v></cell><cell r="T1219" t="str"><v>Developers & ITI's</v></cell><cell r="U1219" t="str"><v>USA-Trial-ITD-Retargeting-AZR-AZR</v></cell><cell r="V1219" t="str"><v>Retargeting</v></cell><cell r="W1219" t="str"><v>Canvas Ad</v></cell><cell r="X1219" t="str"><v>1200x1200</v></cell><cell r="Y1219" t="str"><v>Learn More</v></cell><cell r="Z1219" t="str"><v>Animated Banner</v></cell><cell r="AA1219"><v>43353</v></cell><cell r="AB1219" t="str"><v>USA_gaPMG_AZR_AZR_Q1_19_Direct-Social</v></cell><cell r="AC1219"><v>21358715</v></cell><cell r="AD1219"><v>720197</v></cell><cell r="AE1219" t="str"><v>Linkedin</v></cell><cell r="AF1219"><v>3654329</v></cell><cell r="AG1219" t="str"><v>FACEBOOK»USA-Trial-ITD-Retargeting-AZR-AZR»1 x 1»SocialBan»CAN»ALL»CPA»RT»X»NA»SS»NA»FreeAcctDeveloperFB-AnimatedData-Ch4»PS79TJ</v></cell><cell r="AH1219" t="str"><v>PS79TJ</v></cell><cell r="AI1219" t="str"><v>AZR_FreeAcctDeveloperFB-AnimatedData-Ch4_USA_1200x1200_CAN_Direct_EN_Trial_Standard_ANI_LEA_T4_1</v></cell><cell r="AJ1219"><v>104595739</v></cell></row><row r="1220"><cell r="D1220" t="str"><v>43353PS79T7</v></cell><cell r="E1220" t="str"><v>43353104593735PS79T7</v></cell><cell r="F1220" t="str"><v>Appended from Pub - Not in DCM</v></cell></row><row r="1220"><cell r="I1220" t="str"><v>Azure Direct</v></cell><cell r="J1220" t="str"><v>Azure Direct</v></cell><cell r="K1220" t="str"><v>September</v></cell><cell r="L1220"><v>43358</v></cell><cell r="M1220" t="str"><v>Tier 0</v></cell><cell r="N1220" t="str"><v>North America</v></cell><cell r="O1220" t="str"><v>United States</v></cell><cell r="P1220" t="str"><v>Trial</v></cell><cell r="Q1220" t="str"><v>Social</v></cell><cell r="R1220" t="str"><v>Azure</v></cell><cell r="S1220" t="str"><v>Apps & Infra</v></cell><cell r="T1220" t="str"><v>Developers & ITI's</v></cell><cell r="U1220" t="str"><v>USA-Trial-ITD-Retargeting-AZR-AZR</v></cell><cell r="V1220" t="str"><v>Retargeting</v></cell><cell r="W1220" t="str"><v>Canvas Ad</v></cell><cell r="X1220" t="str"><v>1200x1200</v></cell><cell r="Y1220" t="str"><v>Learn More</v></cell><cell r="Z1220" t="str"><v>Animated Banner</v></cell><cell r="AA1220"><v>43353</v></cell><cell r="AB1220" t="str"><v>USA_gaPMG_AZR_AZR_Q1_19_Direct-Social</v></cell><cell r="AC1220"><v>21358715</v></cell><cell r="AD1220"><v>720197</v></cell><cell r="AE1220" t="str"><v>Linkedin</v></cell><cell r="AF1220"><v>3654329</v></cell><cell r="AG1220" t="str"><v>FACEBOOK»USA-Trial-ITD-Retargeting-AZR-AZR»1 x 1»SocialBan»CAN»ALL»CPA»RT»X»NA»SS»NA»FreeAcctDeveloperFB-AnimatedAI-Ch3»PS79T7</v></cell><cell r="AH1220" t="str"><v>PS79T7</v></cell><cell r="AI1220" t="str"><v>AZR_FreeAcctDeveloperFB-AnimatedAI-Ch3_USA_1200x1200_CAN_Direct_EN_Trial_Standard_ANI_LEA_T3_1</v></cell><cell r="AJ1220"><v>104593735</v></cell></row><row r="1221"><cell r="D1221" t="str"><v>43353PS7B53</v></cell><cell r="E1221" t="str"><v>43353PS7B53</v></cell><cell r="F1221" t="str"><v>Appended from Pub - Not in DCM</v></cell></row><row r="1221"><cell r="I1221" t="str"><v>Azure Direct</v></cell><cell r="J1221" t="str"><v>Azure Direct</v></cell><cell r="K1221" t="str"><v>September</v></cell><cell r="L1221"><v>43358</v></cell><cell r="M1221" t="str"><v>Tier 0</v></cell><cell r="N1221" t="str"><v>North America</v></cell><cell r="O1221" t="str"><v>United States</v></cell><cell r="P1221" t="str"><v>Trial</v></cell><cell r="Q1221" t="str"><v>Social</v></cell><cell r="R1221" t="str"><v>Azure</v></cell><cell r="S1221" t="str"><v>Apps & Infra</v></cell><cell r="T1221" t="str"><v>Developers & ITI's</v></cell><cell r="U1221" t="str"><v>USA-Trial-ITD-Trial Lookalike-AZR-AZR</v></cell><cell r="V1221" t="str"><v>Lookalike Targeting</v></cell><cell r="W1221" t="str"><v>Canvas Ad</v></cell></row><row r="1221"><cell r="AA1221"><v>43353</v></cell><cell r="AB1221" t="str"><v>USA_gaPMG_AZR_AZR_Q1_19_Direct-Social</v></cell><cell r="AC1221"><v>21358715</v></cell><cell r="AD1221"><v>720197</v></cell><cell r="AE1221" t="str"><v>Linkedin</v></cell><cell r="AF1221"><v>3654329</v></cell><cell r="AG1221" t="str"><v>FACEBOOK»USA-Trial-ITD-Trial Lookalike-AZR-AZR»1 x 1»SocialBan»CAN»ALL»CPA»LAL»X»NA»SS»NA»FreeAcctITProFB-AnimatedSecureMngd-Ch1»PS7B53</v></cell><cell r="AH1221" t="str"><v>PS7B53</v></cell></row><row r="1222"><cell r="D1222" t="str"><v>43353PS7B50</v></cell><cell r="E1222" t="str"><v>43353104593735PS7B50</v></cell><cell r="F1222" t="str"><v>Appended from Pub - Not in DCM</v></cell></row><row r="1222"><cell r="I1222" t="str"><v>Azure Direct</v></cell><cell r="J1222" t="str"><v>Azure Direct</v></cell><cell r="K1222" t="str"><v>September</v></cell><cell r="L1222"><v>43358</v></cell><cell r="M1222" t="str"><v>Tier 0</v></cell><cell r="N1222" t="str"><v>North America</v></cell><cell r="O1222" t="str"><v>United States</v></cell><cell r="P1222" t="str"><v>Trial</v></cell><cell r="Q1222" t="str"><v>Social</v></cell><cell r="R1222" t="str"><v>Azure</v></cell><cell r="S1222" t="str"><v>Apps & Infra</v></cell><cell r="T1222" t="str"><v>Developers & ITI's</v></cell><cell r="U1222" t="str"><v>USA-Trial-ITD-Trial Lookalike-AZR-AZR</v></cell><cell r="V1222" t="str"><v>Lookalike Targeting</v></cell><cell r="W1222" t="str"><v>Canvas Ad</v></cell><cell r="X1222" t="str"><v>1200x1200</v></cell><cell r="Y1222" t="str"><v>Learn More</v></cell><cell r="Z1222" t="str"><v>Animated Banner</v></cell><cell r="AA1222"><v>43353</v></cell><cell r="AB1222" t="str"><v>USA_gaPMG_AZR_AZR_Q1_19_Direct-Social</v></cell><cell r="AC1222"><v>21358715</v></cell><cell r="AD1222"><v>720197</v></cell><cell r="AE1222" t="str"><v>Linkedin</v></cell><cell r="AF1222"><v>3654329</v></cell><cell r="AG1222" t="str"><v>FACEBOOK»USA-Trial-ITD-Trial Lookalike-AZR-AZR»1 x 1»SocialBan»CAN»ALL»CPA»LAL»X»NA»SS»NA»FreeAcctDeveloperFB-AnimatedAI-Ch3»PS7B50</v></cell><cell r="AH1222" t="str"><v>PS7B50</v></cell><cell r="AI1222" t="str"><v>AZR_FreeAcctDeveloperFB-AnimatedAI-Ch3_USA_1200x1200_CAN_Direct_EN_Trial_Standard_ANI_LEA_T3_1</v></cell><cell r="AJ1222"><v>104593735</v></cell></row><row r="1223"><cell r="D1223" t="str"><v>43353PS7B5W</v></cell><cell r="E1223" t="str"><v>43353104593738PS7B5W</v></cell><cell r="F1223" t="str"><v>Appended from Pub - Not in DCM</v></cell></row><row r="1223"><cell r="I1223" t="str"><v>Azure Direct</v></cell><cell r="J1223" t="str"><v>Azure Direct</v></cell><cell r="K1223" t="str"><v>September</v></cell><cell r="L1223"><v>43358</v></cell><cell r="M1223" t="str"><v>Tier 0</v></cell><cell r="N1223" t="str"><v>North America</v></cell><cell r="O1223" t="str"><v>United States</v></cell><cell r="P1223" t="str"><v>Trial</v></cell><cell r="Q1223" t="str"><v>Social</v></cell><cell r="R1223" t="str"><v>Azure</v></cell><cell r="S1223" t="str"><v>Apps & Infra</v></cell><cell r="T1223" t="str"><v>Developers & ITI's</v></cell><cell r="U1223" t="str"><v>USA-Trial-ITD-Trial PayGo Lookalike-AZR-AZR</v></cell><cell r="V1223" t="str"><v>Lookalike Targeting</v></cell><cell r="W1223" t="str"><v>Canvas Ad</v></cell><cell r="X1223" t="str"><v>1200x1200</v></cell><cell r="Y1223" t="str"><v>Learn More</v></cell><cell r="Z1223" t="str"><v>Animated Banner</v></cell><cell r="AA1223"><v>43353</v></cell><cell r="AB1223" t="str"><v>USA_gaPMG_AZR_AZR_Q1_19_Direct-Social</v></cell><cell r="AC1223"><v>21358715</v></cell><cell r="AD1223"><v>720197</v></cell><cell r="AE1223" t="str"><v>Linkedin</v></cell><cell r="AF1223"><v>3654329</v></cell><cell r="AG1223" t="str"><v>FACEBOOK»USA-Trial-ITD-Trial PayGo Lookalike-AZR-AZR»1 x 1»SocialBan»CAN»ALL»CPA»LAL»X»NA»SS»NA»FreeAcctITProFB-AnimatedSecureMngd-Ch1»PS7B5W</v></cell><cell r="AH1223" t="str"><v>PS7B5W</v></cell><cell r="AI1223" t="str"><v>AZR_FreeAcctITProFB-AnimatedSecureMngd-Ch1_USA_1200x1200_CAN_Direct_EN_Trial_Standard_ANI_LEA_T1_1</v></cell><cell r="AJ1223"><v>104593738</v></cell></row><row r="1224"><cell r="D1224" t="str"><v>43353PRC2FL</v></cell><cell r="E1224" t="str"><v>43353103050786PRC2FL</v></cell><cell r="F1224" t="str"><v>Appended from Pub - Not in DCM</v></cell></row><row r="1224"><cell r="I1224" t="str"><v>Azure Direct</v></cell><cell r="J1224" t="str"><v>Azure Direct</v></cell><cell r="K1224" t="str"><v>September</v></cell><cell r="L1224"><v>43358</v></cell><cell r="M1224" t="str"><v>Tier 0</v></cell><cell r="N1224" t="str"><v>North America</v></cell><cell r="O1224" t="str"><v>United States</v></cell><cell r="P1224" t="str"><v>Trial</v></cell><cell r="Q1224" t="str"><v>Social</v></cell><cell r="R1224" t="str"><v>Azure</v></cell><cell r="S1224" t="str"><v>Apps & Infra</v></cell><cell r="T1224" t="str"><v>Developers & ITI's</v></cell><cell r="U1224" t="str"><v>USA-Trial-ITD-Trial Lookalike-AZR-AZR</v></cell><cell r="V1224" t="str"><v>Lookalike Targeting</v></cell><cell r="W1224" t="str"><v>Canvas Ad</v></cell><cell r="X1224" t="str"><v>10s</v></cell><cell r="Y1224" t="str"><v>Try it Now</v></cell><cell r="Z1224" t="str"><v>Standard videos</v></cell><cell r="AA1224"><v>43353</v></cell><cell r="AB1224" t="str"><v>USA_gaPMG_AZR_AZR_Q1_19_Direct-Social</v></cell><cell r="AC1224"><v>21358715</v></cell><cell r="AD1224"><v>720197</v></cell><cell r="AE1224" t="str"><v>Linkedin</v></cell><cell r="AF1224"><v>3654329</v></cell><cell r="AG1224" t="str"><v>INSTAGRAM»USA-Trial-ITD-Trial Lookalike-AZR-AZR»1 x 1»SocialBan»CAN»ALL»CPA»LAL»X»NA»SS»NA»IGCTCBenefit2inMotion»PRC2FL</v></cell><cell r="AH1224" t="str"><v>PRC2FL</v></cell><cell r="AI1224" t="str"><v>AzurePlatform_IGCTCBrandinMotion_USA_10s_CAN_PLATFORM_English_Trial_Standard_STAN_TIN_T2_2</v></cell><cell r="AJ1224"><v>103050786</v></cell></row><row r="1225"><cell r="D1225" t="str"><v>43353PRC2G6</v></cell><cell r="E1225" t="str"><v>43353103180628PRC2G6</v></cell><cell r="F1225" t="str"><v>Appended from Pub - Not in DCM</v></cell></row><row r="1225"><cell r="I1225" t="str"><v>Azure Direct</v></cell><cell r="J1225" t="str"><v>Azure Direct</v></cell><cell r="K1225" t="str"><v>September</v></cell><cell r="L1225"><v>43358</v></cell><cell r="M1225" t="str"><v>Tier 0</v></cell><cell r="N1225" t="str"><v>North America</v></cell><cell r="O1225" t="str"><v>United States</v></cell><cell r="P1225" t="str"><v>Trial</v></cell><cell r="Q1225" t="str"><v>Social</v></cell><cell r="R1225" t="str"><v>Azure</v></cell><cell r="S1225" t="str"><v>Apps & Infra</v></cell><cell r="T1225" t="str"><v>Developers & ITI's</v></cell><cell r="U1225" t="str"><v>USA-Trial-ITD-Retargeting-AZR-AZR</v></cell><cell r="V1225" t="str"><v>Retargeting</v></cell><cell r="W1225" t="str"><v>Canvas Ad</v></cell><cell r="X1225" t="str"><v>10s</v></cell><cell r="Y1225" t="str"><v>Try it Now</v></cell><cell r="Z1225" t="str"><v>Standard videos</v></cell><cell r="AA1225"><v>43353</v></cell><cell r="AB1225" t="str"><v>USA_gaPMG_AZR_AZR_Q1_19_Direct-Social</v></cell><cell r="AC1225"><v>21358715</v></cell><cell r="AD1225"><v>720197</v></cell><cell r="AE1225" t="str"><v>Linkedin</v></cell><cell r="AF1225"><v>3654329</v></cell><cell r="AG1225" t="str"><v>INSTAGRAM»USA-Trial-ITD-Retargeting-AZR-AZR»1 x 1»SocialBan»CAN»ALL»CPA»RT»X»NA»SS»NA»IGCTCBenefit2inMotion»PRC2G6</v></cell><cell r="AH1225" t="str"><v>PRC2G6</v></cell><cell r="AI1225" t="str"><v>AzurePlatform_IGCTCBrandinMotion_USA_10s_CAN_PLATFORM_English_Trial_Standard_STAN_TIN_T2_1</v></cell><cell r="AJ1225"><v>103180628</v></cell></row><row r="1226"><cell r="D1226" t="str"><v>43353PRC2FH</v></cell><cell r="E1226" t="str"><v>43353103050783PRC2FH</v></cell><cell r="F1226" t="str"><v>Appended from Pub - Not in DCM</v></cell></row><row r="1226"><cell r="I1226" t="str"><v>Azure Direct</v></cell><cell r="J1226" t="str"><v>Azure Direct</v></cell><cell r="K1226" t="str"><v>September</v></cell><cell r="L1226"><v>43358</v></cell><cell r="M1226" t="str"><v>Tier 0</v></cell><cell r="N1226" t="str"><v>North America</v></cell><cell r="O1226" t="str"><v>United States</v></cell><cell r="P1226" t="str"><v>Trial</v></cell><cell r="Q1226" t="str"><v>Social</v></cell><cell r="R1226" t="str"><v>Azure</v></cell><cell r="S1226" t="str"><v>Apps & Infra</v></cell><cell r="T1226" t="str"><v>Developers & ITI's</v></cell><cell r="U1226" t="str"><v>USA-Trial-ITD-Trial Lookalike-AZR-AZR</v></cell><cell r="V1226" t="str"><v>Lookalike Targeting</v></cell><cell r="W1226" t="str"><v>Canvas Ad</v></cell><cell r="X1226" t="str"><v>10s</v></cell><cell r="Y1226" t="str"><v>Try it Now</v></cell><cell r="Z1226" t="str"><v>Standard videos</v></cell><cell r="AA1226"><v>43353</v></cell><cell r="AB1226" t="str"><v>USA_gaPMG_AZR_AZR_Q1_19_Direct-Social</v></cell><cell r="AC1226"><v>21358715</v></cell><cell r="AD1226"><v>720197</v></cell><cell r="AE1226" t="str"><v>Linkedin</v></cell><cell r="AF1226"><v>3654329</v></cell><cell r="AG1226" t="str"><v>INSTAGRAM»USA-Trial-ITD-Trial Lookalike-AZR-AZR»1 x 1»SocialBan»CAN»ALL»CPA»LAL»X»NA»SS»NA»IGCTCBrandinMotion»PRC2FH</v></cell><cell r="AH1226" t="str"><v>PRC2FH</v></cell><cell r="AI1226" t="str"><v>AzurePlatform_IGCTCBenefit2inMotion_USA_10s_CAN_PLATFORM_English_Trial_Standard_STAN_TIN_T4_1</v></cell><cell r="AJ1226"><v>103050783</v></cell></row><row r="1227"><cell r="D1227" t="str"><v>43353PRSGWS</v></cell><cell r="E1227" t="str"><v>43353103773177PRSGWS</v></cell><cell r="F1227" t="str"><v>Appended from Pub - Not in DCM</v></cell></row><row r="1227"><cell r="I1227" t="str"><v>Azure Direct</v></cell><cell r="J1227" t="str"><v>Azure Direct</v></cell><cell r="K1227" t="str"><v>September</v></cell><cell r="L1227"><v>43358</v></cell><cell r="M1227" t="str"><v>Tier 0</v></cell><cell r="N1227" t="str"><v>North America</v></cell><cell r="O1227" t="str"><v>United States</v></cell><cell r="P1227" t="str"><v>Trial</v></cell><cell r="Q1227" t="str"><v>Social</v></cell><cell r="R1227" t="str"><v>Azure</v></cell><cell r="S1227" t="str"><v>Apps & Infra</v></cell><cell r="T1227" t="str"><v>Developers & ITI's</v></cell><cell r="U1227" t="str"><v>USA-Trial-ITD-Lead Completes-AZR-AZR</v></cell><cell r="V1227" t="str"><v>Prospecting</v></cell><cell r="W1227" t="str"><v>Canvas Collection Ad</v></cell><cell r="X1227" t="str"><v>1200x182</v></cell><cell r="Y1227" t="str"><v>Try it Now</v></cell><cell r="Z1227" t="str"><v>Not Applicable</v></cell><cell r="AA1227"><v>43353</v></cell><cell r="AB1227" t="str"><v>USA_gaPMG_AZR_AZR_Q1_19_Direct-Social</v></cell><cell r="AC1227"><v>21358715</v></cell><cell r="AD1227"><v>720197</v></cell><cell r="AE1227" t="str"><v>Linkedin</v></cell><cell r="AF1227"><v>3654329</v></cell><cell r="AG1227" t="str"><v>FACEBOOK»USA-Trial-ITD-Lead Completes-AZR-AZR»1 x 1»SocialBan»CCA»ALL»CPA»PRO»X»NA»SS»NA»Azure Developer Facebook Collections»PRSGWS</v></cell><cell r="AH1227" t="str"><v>PRSGWS</v></cell><cell r="AI1227" t="str"><v>AZR_FBCollections-AITryAzureFreeCTA-Img2_USA_1200x182_SOC_Plat_EN_NA_Standard_NA_TIN_T1_2</v></cell><cell r="AJ1227"><v>103773177</v></cell></row><row r="1228"><cell r="D1228" t="str"><v>43353PRC2PB</v></cell><cell r="E1228" t="str"><v>43353103050783PRC2PB</v></cell><cell r="F1228" t="str"><v>Appended from Pub - Not in DCM</v></cell></row><row r="1228"><cell r="I1228" t="str"><v>Azure Direct</v></cell><cell r="J1228" t="str"><v>Azure Direct</v></cell><cell r="K1228" t="str"><v>September</v></cell><cell r="L1228"><v>43358</v></cell><cell r="M1228" t="str"><v>Tier 0</v></cell><cell r="N1228" t="str"><v>North America</v></cell><cell r="O1228" t="str"><v>United States</v></cell><cell r="P1228" t="str"><v>Trial</v></cell><cell r="Q1228" t="str"><v>Social</v></cell><cell r="R1228" t="str"><v>Azure</v></cell><cell r="S1228" t="str"><v>Apps & Infra</v></cell><cell r="T1228" t="str"><v>Developers & ITI's</v></cell><cell r="U1228" t="str"><v>USA-Trial-ITD-Interest Prospecting-AZR-AZR</v></cell><cell r="V1228" t="str"><v>Prospecting</v></cell><cell r="W1228" t="str"><v>Canvas Ad</v></cell><cell r="X1228" t="str"><v>10s</v></cell><cell r="Y1228" t="str"><v>Try it Now</v></cell><cell r="Z1228" t="str"><v>Standard videos</v></cell><cell r="AA1228"><v>43353</v></cell><cell r="AB1228" t="str"><v>USA_gaPMG_AZR_AZR_Q1_19_Direct-Social</v></cell><cell r="AC1228"><v>21358715</v></cell><cell r="AD1228"><v>720197</v></cell><cell r="AE1228" t="str"><v>Linkedin</v></cell><cell r="AF1228"><v>3654329</v></cell><cell r="AG1228" t="str"><v>INSTAGRAM»USA-Trial-ITD-Interest Prospecting-AZR-AZR»1 x 1»SocialBan»CAN»ALL»CPA»PRO»X»NA»SS»NA»IGCTCBrandinMotion»PRC2PB</v></cell><cell r="AH1228" t="str"><v>PRC2PB</v></cell><cell r="AI1228" t="str"><v>AzurePlatform_IGCTCBenefit2inMotion_USA_10s_CAN_PLATFORM_English_Trial_Standard_STAN_TIN_T4_1</v></cell><cell r="AJ1228"><v>103050783</v></cell></row><row r="1229"><cell r="D1229" t="str"><v>43353PRC1M2</v></cell><cell r="E1229" t="str"><v>43353103032775PRC1M2</v></cell><cell r="F1229" t="str"><v>Appended from Pub - Not in DCM</v></cell></row><row r="1229"><cell r="I1229" t="str"><v>Azure Direct</v></cell><cell r="J1229" t="str"><v>Azure Direct</v></cell><cell r="K1229" t="str"><v>September</v></cell><cell r="L1229"><v>43358</v></cell><cell r="M1229" t="str"><v>Tier 0</v></cell><cell r="N1229" t="str"><v>North America</v></cell><cell r="O1229" t="str"><v>United States</v></cell><cell r="P1229" t="str"><v>Trial</v></cell><cell r="Q1229" t="str"><v>Social</v></cell><cell r="R1229" t="str"><v>Azure</v></cell><cell r="S1229" t="str"><v>Apps & Infra</v></cell><cell r="T1229" t="str"><v>Developers & ITI's</v></cell><cell r="U1229" t="str"><v>USA-Trial-ITD-Trial Lookalike-AZR-AZR</v></cell><cell r="V1229" t="str"><v>Lookalike Targeting</v></cell><cell r="W1229" t="str"><v>Canvas Ad</v></cell><cell r="X1229" t="str"><v>10s</v></cell><cell r="Y1229" t="str"><v>Try it Now</v></cell><cell r="Z1229" t="str"><v>Standard videos</v></cell><cell r="AA1229"><v>43353</v></cell><cell r="AB1229" t="str"><v>USA_gaPMG_AZR_AZR_Q1_19_Direct-Social</v></cell><cell r="AC1229"><v>21358715</v></cell><cell r="AD1229"><v>720197</v></cell><cell r="AE1229" t="str"><v>Linkedin</v></cell><cell r="AF1229"><v>3654329</v></cell><cell r="AG1229" t="str"><v>FACEBOOK»USA-Trial-ITD-Trial Lookalike-AZR-AZR»1 x 1»SocialBan»CAN»ALL»CPA»LAL»X»NA»SS»NA»FBCTCBenefitinMotion»PRC1M2</v></cell><cell r="AH1229" t="str"><v>PRC1M2</v></cell><cell r="AI1229" t="str"><v>AzurePlatform_FBCTCBenefitinMotion_USA_10s_CAN_PLATFORM_English_Trial_Standard_STAN_TIN_T3_1</v></cell><cell r="AJ1229"><v>103032775</v></cell></row><row r="1230"><cell r="D1230" t="str"><v>43353PRC1SV</v></cell><cell r="E1230" t="str"><v>43353103043823PRC1SV</v></cell><cell r="F1230" t="str"><v>Appended from Pub - Not in DCM</v></cell></row><row r="1230"><cell r="I1230" t="str"><v>Azure Direct</v></cell><cell r="J1230" t="str"><v>Azure Direct</v></cell><cell r="K1230" t="str"><v>September</v></cell><cell r="L1230"><v>43358</v></cell><cell r="M1230" t="str"><v>Tier 0</v></cell><cell r="N1230" t="str"><v>North America</v></cell><cell r="O1230" t="str"><v>United States</v></cell><cell r="P1230" t="str"><v>Trial</v></cell><cell r="Q1230" t="str"><v>Social</v></cell><cell r="R1230" t="str"><v>Azure</v></cell><cell r="S1230" t="str"><v>Apps & Infra</v></cell><cell r="T1230" t="str"><v>Developers & ITI's</v></cell><cell r="U1230" t="str"><v>USA-Trial-ITD-Interest Prospecting-AZR-AZR</v></cell><cell r="V1230" t="str"><v>Prospecting</v></cell><cell r="W1230" t="str"><v>Canvas Ad</v></cell><cell r="X1230" t="str"><v>10s</v></cell><cell r="Y1230" t="str"><v>Try it Now</v></cell><cell r="Z1230" t="str"><v>Standard videos</v></cell><cell r="AA1230"><v>43353</v></cell><cell r="AB1230" t="str"><v>USA_gaPMG_AZR_AZR_Q1_19_Direct-Social</v></cell><cell r="AC1230"><v>21358715</v></cell><cell r="AD1230"><v>720197</v></cell><cell r="AE1230" t="str"><v>Linkedin</v></cell><cell r="AF1230"><v>3654329</v></cell><cell r="AG1230" t="str"><v>FACEBOOK»USA-Trial-ITD-Interest Prospecting-AZR-AZR»1 x 1»SocialBan»CAN»ALL»CPA»PRO»X»NA»SS»NA»FBCTCBasicMotion»PRC1SV</v></cell><cell r="AH1230" t="str"><v>PRC1SV</v></cell><cell r="AI1230" t="str"><v>AzurePlatform_FBCTCBasicMotion_USA_10s_CAN_PLATFORM_English_Trial_Standard_STAN_TIN_T1_1</v></cell><cell r="AJ1230"><v>103043823</v></cell></row><row r="1231"><cell r="D1231" t="str"><v>43353PRC1VX</v></cell><cell r="E1231" t="str"><v>43353103176812PRC1VX</v></cell><cell r="F1231" t="str"><v>Appended from Pub - Not in DCM</v></cell></row><row r="1231"><cell r="I1231" t="str"><v>Azure Direct</v></cell><cell r="J1231" t="str"><v>Azure Direct</v></cell><cell r="K1231" t="str"><v>September</v></cell><cell r="L1231"><v>43358</v></cell><cell r="M1231" t="str"><v>Tier 0</v></cell><cell r="N1231" t="str"><v>North America</v></cell><cell r="O1231" t="str"><v>United States</v></cell><cell r="P1231" t="str"><v>Trial</v></cell><cell r="Q1231" t="str"><v>Social</v></cell><cell r="R1231" t="str"><v>Azure</v></cell><cell r="S1231" t="str"><v>Apps & Infra</v></cell><cell r="T1231" t="str"><v>Developers & ITI's</v></cell><cell r="U1231" t="str"><v>USA-Trial-ITD-Lead Completes-AZR-AZR</v></cell><cell r="V1231" t="str"><v>Prospecting</v></cell><cell r="W1231" t="str"><v>Canvas Ad</v></cell><cell r="X1231" t="str"><v>10s</v></cell><cell r="Y1231" t="str"><v>Try it Now</v></cell><cell r="Z1231" t="str"><v>Standard videos</v></cell><cell r="AA1231"><v>43353</v></cell><cell r="AB1231" t="str"><v>USA_gaPMG_AZR_AZR_Q1_19_Direct-Social</v></cell><cell r="AC1231"><v>21358715</v></cell><cell r="AD1231"><v>720197</v></cell><cell r="AE1231" t="str"><v>Linkedin</v></cell><cell r="AF1231"><v>3654329</v></cell><cell r="AG1231" t="str"><v>FACEBOOK»USA-Trial-ITD-Lead Completes-AZR-AZR»1 x 1»SocialBan»CAN»ALL»CPA»PRO»X»NA»SS»NA»FBCTCBrandinMotion»PRC1VX</v></cell><cell r="AH1231" t="str"><v>PRC1VX</v></cell><cell r="AI1231" t="str"><v>AzurePlatform_FBCTCBrandinMotion_USA_10s_CAN_PLATFORM_English_Trial_Standard_STAN_TIN_T2_1</v></cell><cell r="AJ1231"><v>103176812</v></cell></row><row r="1232"><cell r="D1232" t="str"><v>43353PS7B5S</v></cell><cell r="E1232" t="str"><v>43353104593735PS7B5S</v></cell><cell r="F1232" t="str"><v>Appended from Pub - Not in DCM</v></cell></row><row r="1232"><cell r="I1232" t="str"><v>Azure Direct</v></cell><cell r="J1232" t="str"><v>Azure Direct</v></cell><cell r="K1232" t="str"><v>September</v></cell><cell r="L1232"><v>43358</v></cell><cell r="M1232" t="str"><v>Tier 0</v></cell><cell r="N1232" t="str"><v>North America</v></cell><cell r="O1232" t="str"><v>United States</v></cell><cell r="P1232" t="str"><v>Trial</v></cell><cell r="Q1232" t="str"><v>Social</v></cell><cell r="R1232" t="str"><v>Azure</v></cell><cell r="S1232" t="str"><v>Apps & Infra</v></cell><cell r="T1232" t="str"><v>Developers & ITI's</v></cell><cell r="U1232" t="str"><v>USA-Trial-ITD-Trial PayGo Lookalike-AZR-AZR</v></cell><cell r="V1232" t="str"><v>Lookalike Targeting</v></cell><cell r="W1232" t="str"><v>Canvas Ad</v></cell><cell r="X1232" t="str"><v>1200x1200</v></cell><cell r="Y1232" t="str"><v>Learn More</v></cell><cell r="Z1232" t="str"><v>Animated Banner</v></cell><cell r="AA1232"><v>43353</v></cell><cell r="AB1232" t="str"><v>USA_gaPMG_AZR_AZR_Q1_19_Direct-Social</v></cell><cell r="AC1232"><v>21358715</v></cell><cell r="AD1232"><v>720197</v></cell><cell r="AE1232" t="str"><v>Linkedin</v></cell><cell r="AF1232"><v>3654329</v></cell><cell r="AG1232" t="str"><v>FACEBOOK»USA-Trial-ITD-Trial PayGo Lookalike-AZR-AZR»1 x 1»SocialBan»CAN»ALL»CPA»LAL»X»NA»SS»NA»FreeAcctDeveloperFB-AnimatedAI-Ch3»PS7B5S</v></cell><cell r="AH1232" t="str"><v>PS7B5S</v></cell><cell r="AI1232" t="str"><v>AZR_FreeAcctDeveloperFB-AnimatedAI-Ch3_USA_1200x1200_CAN_Direct_EN_Trial_Standard_ANI_LEA_T3_1</v></cell><cell r="AJ1232"><v>104593735</v></cell></row><row r="1233"><cell r="D1233" t="str"><v>43353PRC2G3</v></cell><cell r="E1233" t="str"><v>43353103178714PRC2G3</v></cell><cell r="F1233" t="str"><v>Appended from Pub - Not in DCM</v></cell></row><row r="1233"><cell r="I1233" t="str"><v>Azure Direct</v></cell><cell r="J1233" t="str"><v>Azure Direct</v></cell><cell r="K1233" t="str"><v>September</v></cell><cell r="L1233"><v>43358</v></cell><cell r="M1233" t="str"><v>Tier 0</v></cell><cell r="N1233" t="str"><v>North America</v></cell><cell r="O1233" t="str"><v>United States</v></cell><cell r="P1233" t="str"><v>Trial</v></cell><cell r="Q1233" t="str"><v>Social</v></cell><cell r="R1233" t="str"><v>Azure</v></cell><cell r="S1233" t="str"><v>Apps & Infra</v></cell><cell r="T1233" t="str"><v>Developers & ITI's</v></cell><cell r="U1233" t="str"><v>USA-Trial-ITD-Retargeting-AZR-AZR</v></cell><cell r="V1233" t="str"><v>Retargeting</v></cell><cell r="W1233" t="str"><v>Canvas Ad</v></cell><cell r="X1233" t="str"><v>10s</v></cell><cell r="Y1233" t="str"><v>Try it Now</v></cell><cell r="Z1233" t="str"><v>Standard videos</v></cell><cell r="AA1233"><v>43353</v></cell><cell r="AB1233" t="str"><v>USA_gaPMG_AZR_AZR_Q1_19_Direct-Social</v></cell><cell r="AC1233"><v>21358715</v></cell><cell r="AD1233"><v>720197</v></cell><cell r="AE1233" t="str"><v>Linkedin</v></cell><cell r="AF1233"><v>3654329</v></cell><cell r="AG1233" t="str"><v>INSTAGRAM»USA-Trial-ITD-Retargeting-AZR-AZR»1 x 1»SocialBan»CAN»ALL»CPA»RT»X»NA»SS»NA»IGCTCBrandinMotion»PRC2G3</v></cell><cell r="AH1233" t="str"><v>PRC2G3</v></cell><cell r="AI1233" t="str"><v>AzurePlatform_IGCTCBenefit2inMotion_USA_10s_CAN_PLATFORM_English_Trial_Standard_STAN_TIN_T4_2</v></cell><cell r="AJ1233"><v>103178714</v></cell></row><row r="1234"><cell r="D1234" t="str"><v>43353PRC1LZ</v></cell><cell r="E1234" t="str"><v>43353103043823PRC1LZ</v></cell><cell r="F1234" t="str"><v>Appended from Pub - Not in DCM</v></cell></row><row r="1234"><cell r="I1234" t="str"><v>Azure Direct</v></cell><cell r="J1234" t="str"><v>Azure Direct</v></cell><cell r="K1234" t="str"><v>September</v></cell><cell r="L1234"><v>43358</v></cell><cell r="M1234" t="str"><v>Tier 0</v></cell><cell r="N1234" t="str"><v>North America</v></cell><cell r="O1234" t="str"><v>United States</v></cell><cell r="P1234" t="str"><v>Trial</v></cell><cell r="Q1234" t="str"><v>Social</v></cell><cell r="R1234" t="str"><v>Azure</v></cell><cell r="S1234" t="str"><v>Apps & Infra</v></cell><cell r="T1234" t="str"><v>Developers & ITI's</v></cell><cell r="U1234" t="str"><v>USA-Trial-ITD-Trial Lookalike-AZR-AZR</v></cell><cell r="V1234" t="str"><v>Lookalike Targeting</v></cell><cell r="W1234" t="str"><v>Canvas Ad</v></cell><cell r="X1234" t="str"><v>10s</v></cell><cell r="Y1234" t="str"><v>Try it Now</v></cell><cell r="Z1234" t="str"><v>Standard videos</v></cell><cell r="AA1234"><v>43353</v></cell><cell r="AB1234" t="str"><v>USA_gaPMG_AZR_AZR_Q1_19_Direct-Social</v></cell><cell r="AC1234"><v>21358715</v></cell><cell r="AD1234"><v>720197</v></cell><cell r="AE1234" t="str"><v>Linkedin</v></cell><cell r="AF1234"><v>3654329</v></cell><cell r="AG1234" t="str"><v>FACEBOOK»USA-Trial-ITD-Trial Lookalike-AZR-AZR»1 x 1»SocialBan»CAN»ALL»CPA»LAL»X»NA»SS»NA»FBCTCBasicMotion»PRC1LZ</v></cell><cell r="AH1234" t="str"><v>PRC1LZ</v></cell><cell r="AI1234" t="str"><v>AzurePlatform_FBCTCBasicMotion_USA_10s_CAN_PLATFORM_English_Trial_Standard_STAN_TIN_T1_1</v></cell><cell r="AJ1234"><v>103043823</v></cell></row><row r="1235"><cell r="D1235" t="str"><v>43353PRC1W1</v></cell><cell r="E1235" t="str"><v>43353103032778PRC1W1</v></cell><cell r="F1235" t="str"><v>Appended from Pub - Not in DCM</v></cell></row><row r="1235"><cell r="I1235" t="str"><v>Azure Direct</v></cell><cell r="J1235" t="str"><v>Azure Direct</v></cell><cell r="K1235" t="str"><v>September</v></cell><cell r="L1235"><v>43358</v></cell><cell r="M1235" t="str"><v>Tier 0</v></cell><cell r="N1235" t="str"><v>North America</v></cell><cell r="O1235" t="str"><v>United States</v></cell><cell r="P1235" t="str"><v>Trial</v></cell><cell r="Q1235" t="str"><v>Social</v></cell><cell r="R1235" t="str"><v>Azure</v></cell><cell r="S1235" t="str"><v>Apps & Infra</v></cell><cell r="T1235" t="str"><v>Developers & ITI's</v></cell><cell r="U1235" t="str"><v>USA-Trial-ITD-Lead Completes-AZR-AZR</v></cell><cell r="V1235" t="str"><v>Prospecting</v></cell><cell r="W1235" t="str"><v>Link Ad</v></cell><cell r="X1235" t="str"><v>1200x1200</v></cell><cell r="Y1235" t="str"><v>Learn More</v></cell><cell r="Z1235" t="str"><v>Animated Banner</v></cell><cell r="AA1235"><v>43353</v></cell><cell r="AB1235" t="str"><v>USA_gaPMG_AZR_AZR_Q1_19_Direct-Social</v></cell><cell r="AC1235"><v>21358715</v></cell><cell r="AD1235"><v>720197</v></cell><cell r="AE1235" t="str"><v>Linkedin</v></cell><cell r="AF1235"><v>3654329</v></cell><cell r="AG1235" t="str"><v>FACEBOOK»USA-Trial-ITD-Lead Completes-AZR-AZR»1 x 1»SocialBan»LIA»ALL»CPA»PRO»X»NA»SS»NA»FreeAcctDeveloperFB-AnimatedAI-Ch3»PRC1W1</v></cell><cell r="AH1235" t="str"><v>PRC1W1</v></cell><cell r="AI1235" t="str"><v>AZR_FreeAcctDeveloperFB-AnimatedAI-Ch3_USA_1200x1200_CAN_Direct_English_Trial_Standard_ANI_LEA_T3_1</v></cell><cell r="AJ1235"><v>103032778</v></cell></row><row r="1236"><cell r="D1236" t="str"><v>43353PRSGY7</v></cell><cell r="E1236" t="str"><v>43353103773177PRSGY7</v></cell><cell r="F1236" t="str"><v>Appended from Pub - Not in DCM</v></cell></row><row r="1236"><cell r="I1236" t="str"><v>Azure Direct</v></cell><cell r="J1236" t="str"><v>Azure Direct</v></cell><cell r="K1236" t="str"><v>September</v></cell><cell r="L1236"><v>43358</v></cell><cell r="M1236" t="str"><v>Tier 0</v></cell><cell r="N1236" t="str"><v>North America</v></cell><cell r="O1236" t="str"><v>United States</v></cell><cell r="P1236" t="str"><v>Trial</v></cell><cell r="Q1236" t="str"><v>Social</v></cell><cell r="R1236" t="str"><v>Azure</v></cell><cell r="S1236" t="str"><v>Apps & Infra</v></cell><cell r="T1236" t="str"><v>Developers & ITI's</v></cell><cell r="U1236" t="str"><v>USA-Trial-ITD-Retargeting-AZR-AZR</v></cell><cell r="V1236" t="str"><v>Retargeting</v></cell><cell r="W1236" t="str"><v>Canvas Collection Ad</v></cell><cell r="X1236" t="str"><v>1200x182</v></cell><cell r="Y1236" t="str"><v>Try it Now</v></cell><cell r="Z1236" t="str"><v>Not Applicable</v></cell><cell r="AA1236"><v>43353</v></cell><cell r="AB1236" t="str"><v>USA_gaPMG_AZR_AZR_Q1_19_Direct-Social</v></cell><cell r="AC1236"><v>21358715</v></cell><cell r="AD1236"><v>720197</v></cell><cell r="AE1236" t="str"><v>Linkedin</v></cell><cell r="AF1236"><v>3654329</v></cell><cell r="AG1236" t="str"><v>FACEBOOK»USA-Trial-ITD-Retargeting-AZR-AZR»1 x 1»SocialBan»CCA»ALL»CPA»RT»X»NA»SS»NA»Azure Developer Facebook Collections»PRSGY7</v></cell><cell r="AH1236" t="str"><v>PRSGY7</v></cell><cell r="AI1236" t="str"><v>AZR_FBCollections-AITryAzureFreeCTA-Img2_USA_1200x182_SOC_Plat_EN_NA_Standard_NA_TIN_T1_2</v></cell><cell r="AJ1236"><v>103773177</v></cell></row><row r="1237"><cell r="D1237" t="str"><v>43353PS79T1</v></cell><cell r="E1237" t="str"><v>43353104592508PS79T1</v></cell><cell r="F1237" t="str"><v>Appended from Pub - Not in DCM</v></cell></row><row r="1237"><cell r="I1237" t="str"><v>Azure Direct</v></cell><cell r="J1237" t="str"><v>Azure Direct</v></cell><cell r="K1237" t="str"><v>September</v></cell><cell r="L1237"><v>43358</v></cell><cell r="M1237" t="str"><v>Tier 0</v></cell><cell r="N1237" t="str"><v>North America</v></cell><cell r="O1237" t="str"><v>United States</v></cell><cell r="P1237" t="str"><v>Trial</v></cell><cell r="Q1237" t="str"><v>Social</v></cell><cell r="R1237" t="str"><v>Azure</v></cell><cell r="S1237" t="str"><v>Apps & Infra</v></cell><cell r="T1237" t="str"><v>Developers & ITI's</v></cell><cell r="U1237" t="str"><v>USA-Trial-ITD-Retargeting-AZR-AZR</v></cell><cell r="V1237" t="str"><v>Retargeting</v></cell><cell r="W1237" t="str"><v>Canvas Ad</v></cell><cell r="X1237" t="str"><v>1200x628</v></cell><cell r="Y1237" t="str"><v>Sign Up</v></cell><cell r="Z1237" t="str"><v>Not Applicable</v></cell><cell r="AA1237"><v>43353</v></cell><cell r="AB1237" t="str"><v>USA_gaPMG_AZR_AZR_Q1_19_Direct-Social</v></cell><cell r="AC1237"><v>21358715</v></cell><cell r="AD1237"><v>720197</v></cell><cell r="AE1237" t="str"><v>Linkedin</v></cell><cell r="AF1237"><v>3654329</v></cell><cell r="AG1237" t="str"><v>FACEBOOK»USA-Trial-ITD-Retargeting-AZR-AZR»1 x 1»SocialBan»CAN»ALL»CPA»RT»X»NA»SS»NA»FreeAcctRetargetingOSSFB-Logos-ChG»PS79T1</v></cell><cell r="AH1237" t="str"><v>PS79T1</v></cell><cell r="AI1237" t="str"><v>AZR_FreeAcctRetargetingOSSFB-Logos-ChG_USA_1200x628_CAN_Plat_English_Free Account_Standard_NA_SINU_T2_1</v></cell><cell r="AJ1237"><v>104592508</v></cell></row><row r="1238"><cell r="D1238" t="str"><v>43353PS79T0</v></cell><cell r="E1238" t="str"><v>43353104593423PS79T0</v></cell><cell r="F1238" t="str"><v>Appended from Pub - Not in DCM</v></cell></row><row r="1238"><cell r="I1238" t="str"><v>Azure Direct</v></cell><cell r="J1238" t="str"><v>Azure Direct</v></cell><cell r="K1238" t="str"><v>September</v></cell><cell r="L1238"><v>43358</v></cell><cell r="M1238" t="str"><v>Tier 0</v></cell><cell r="N1238" t="str"><v>North America</v></cell><cell r="O1238" t="str"><v>United States</v></cell><cell r="P1238" t="str"><v>Trial</v></cell><cell r="Q1238" t="str"><v>Social</v></cell><cell r="R1238" t="str"><v>Azure</v></cell><cell r="S1238" t="str"><v>Apps & Infra</v></cell><cell r="T1238" t="str"><v>Developers & ITI's</v></cell><cell r="U1238" t="str"><v>USA-Trial-ITD-Retargeting-AZR-AZR</v></cell><cell r="V1238" t="str"><v>Retargeting</v></cell><cell r="W1238" t="str"><v>Canvas Ad</v></cell><cell r="X1238" t="str"><v>1200x628</v></cell><cell r="Y1238" t="str"><v>Sign Up</v></cell><cell r="Z1238" t="str"><v>Not Applicable</v></cell><cell r="AA1238"><v>43353</v></cell><cell r="AB1238" t="str"><v>USA_gaPMG_AZR_AZR_Q1_19_Direct-Social</v></cell><cell r="AC1238"><v>21358715</v></cell><cell r="AD1238"><v>720197</v></cell><cell r="AE1238" t="str"><v>Linkedin</v></cell><cell r="AF1238"><v>3654329</v></cell><cell r="AG1238" t="str"><v>FACEBOOK»USA-Trial-ITD-Retargeting-AZR-AZR»1 x 1»SocialBan»CAN»ALL»CPA»RT»X»NA»SS»NA»FreeAcctRetargetingOSSFB-Text-ChF»PS79T0</v></cell><cell r="AH1238" t="str"><v>PS79T0</v></cell><cell r="AI1238" t="str"><v>AZR_FreeAcctRetargetingOSSFB-Text-ChF_USA_1200x628_CAN_Plat_English_Free Account_Standard_NA_SINU_T1_1</v></cell><cell r="AJ1238"><v>104593423</v></cell></row><row r="1239"><cell r="D1239" t="str"><v>43353PRC2FW</v></cell><cell r="E1239" t="str"><v>43353103178714PRC2FW</v></cell><cell r="F1239" t="str"><v>Appended from Pub - Not in DCM</v></cell></row><row r="1239"><cell r="I1239" t="str"><v>Azure Direct</v></cell><cell r="J1239" t="str"><v>Azure Direct</v></cell><cell r="K1239" t="str"><v>September</v></cell><cell r="L1239"><v>43358</v></cell><cell r="M1239" t="str"><v>Tier 0</v></cell><cell r="N1239" t="str"><v>North America</v></cell><cell r="O1239" t="str"><v>United States</v></cell><cell r="P1239" t="str"><v>Trial</v></cell><cell r="Q1239" t="str"><v>Social</v></cell><cell r="R1239" t="str"><v>Azure</v></cell><cell r="S1239" t="str"><v>Apps & Infra</v></cell><cell r="T1239" t="str"><v>Developers & ITI's</v></cell><cell r="U1239" t="str"><v>USA-Trial-ITD-Trial PayGo Lookalike-AZR-AZR</v></cell><cell r="V1239" t="str"><v>Lookalike Targeting</v></cell><cell r="W1239" t="str"><v>Canvas Ad</v></cell><cell r="X1239" t="str"><v>10s</v></cell><cell r="Y1239" t="str"><v>Try it Now</v></cell><cell r="Z1239" t="str"><v>Standard videos</v></cell><cell r="AA1239"><v>43353</v></cell><cell r="AB1239" t="str"><v>USA_gaPMG_AZR_AZR_Q1_19_Direct-Social</v></cell><cell r="AC1239"><v>21358715</v></cell><cell r="AD1239"><v>720197</v></cell><cell r="AE1239" t="str"><v>Linkedin</v></cell><cell r="AF1239"><v>3654329</v></cell><cell r="AG1239" t="str"><v>INSTAGRAM»USA-Trial-ITD-Trial PayGo Lookalike-AZR-AZR»1 x 1»SocialBan»CAN»ALL»CPA»LAL»X»NA»SS»NA»IGCTCBrandinMotion»PRC2FW</v></cell><cell r="AH1239" t="str"><v>PRC2FW</v></cell><cell r="AI1239" t="str"><v>AzurePlatform_IGCTCBenefit2inMotion_USA_10s_CAN_PLATFORM_English_Trial_Standard_STAN_TIN_T4_2</v></cell><cell r="AJ1239"><v>103178714</v></cell></row><row r="1240"><cell r="D1240" t="str"><v>43353PRC1VT</v></cell><cell r="E1240" t="str"><v>43353103043823PRC1VT</v></cell><cell r="F1240" t="str"><v>Appended from Pub - Not in DCM</v></cell></row><row r="1240"><cell r="I1240" t="str"><v>Azure Direct</v></cell><cell r="J1240" t="str"><v>Azure Direct</v></cell><cell r="K1240" t="str"><v>September</v></cell><cell r="L1240"><v>43358</v></cell><cell r="M1240" t="str"><v>Tier 0</v></cell><cell r="N1240" t="str"><v>North America</v></cell><cell r="O1240" t="str"><v>United States</v></cell><cell r="P1240" t="str"><v>Trial</v></cell><cell r="Q1240" t="str"><v>Social</v></cell><cell r="R1240" t="str"><v>Azure</v></cell><cell r="S1240" t="str"><v>Apps & Infra</v></cell><cell r="T1240" t="str"><v>Developers & ITI's</v></cell><cell r="U1240" t="str"><v>USA-Trial-ITD-Lead Completes-AZR-AZR</v></cell><cell r="V1240" t="str"><v>Prospecting</v></cell><cell r="W1240" t="str"><v>Canvas Ad</v></cell><cell r="X1240" t="str"><v>10s</v></cell><cell r="Y1240" t="str"><v>Try it Now</v></cell><cell r="Z1240" t="str"><v>Standard videos</v></cell><cell r="AA1240"><v>43353</v></cell><cell r="AB1240" t="str"><v>USA_gaPMG_AZR_AZR_Q1_19_Direct-Social</v></cell><cell r="AC1240"><v>21358715</v></cell><cell r="AD1240"><v>720197</v></cell><cell r="AE1240" t="str"><v>Linkedin</v></cell><cell r="AF1240"><v>3654329</v></cell><cell r="AG1240" t="str"><v>FACEBOOK»USA-Trial-ITD-Lead Completes-AZR-AZR»1 x 1»SocialBan»CAN»ALL»CPA»PRO»X»NA»SS»NA»FBCTCBasicMotion»PRC1VT</v></cell><cell r="AH1240" t="str"><v>PRC1VT</v></cell><cell r="AI1240" t="str"><v>AzurePlatform_FBCTCBasicMotion_USA_10s_CAN_PLATFORM_English_Trial_Standard_STAN_TIN_T1_1</v></cell><cell r="AJ1240"><v>103043823</v></cell></row><row r="1241"><cell r="D1241" t="str"><v>43353PS79SY</v></cell><cell r="E1241" t="str"><v>43353104595715PS79SY</v></cell><cell r="F1241" t="str"><v>Appended from Pub - Not in DCM</v></cell></row><row r="1241"><cell r="I1241" t="str"><v>Azure Direct</v></cell><cell r="J1241" t="str"><v>Azure Direct</v></cell><cell r="K1241" t="str"><v>September</v></cell><cell r="L1241"><v>43358</v></cell><cell r="M1241" t="str"><v>Tier 0</v></cell><cell r="N1241" t="str"><v>North America</v></cell><cell r="O1241" t="str"><v>United States</v></cell><cell r="P1241" t="str"><v>Trial</v></cell><cell r="Q1241" t="str"><v>Social</v></cell><cell r="R1241" t="str"><v>Azure</v></cell><cell r="S1241" t="str"><v>Apps & Infra</v></cell><cell r="T1241" t="str"><v>Developers & ITI's</v></cell><cell r="U1241" t="str"><v>USA-Trial-ITD-Retargeting-AZR-AZR</v></cell><cell r="V1241" t="str"><v>Retargeting</v></cell><cell r="W1241" t="str"><v>Canvas Ad</v></cell><cell r="X1241" t="str"><v>1200x628</v></cell><cell r="Y1241" t="str"><v>Sign Up</v></cell><cell r="Z1241" t="str"><v>Not Applicable</v></cell><cell r="AA1241"><v>43353</v></cell><cell r="AB1241" t="str"><v>USA_gaPMG_AZR_AZR_Q1_19_Direct-Social</v></cell><cell r="AC1241"><v>21358715</v></cell><cell r="AD1241"><v>720197</v></cell><cell r="AE1241" t="str"><v>Linkedin</v></cell><cell r="AF1241"><v>3654329</v></cell><cell r="AG1241" t="str"><v>FACEBOOK»USA-Trial-ITD-Retargeting-AZR-AZR»1 x 1»SocialBan»CAN»ALL»CPA»RT»X»NA»SS»NA»FreeAcctRetargetingVMFB-OnDemand-ChE»PS79SY</v></cell><cell r="AH1241" t="str"><v>PS79SY</v></cell><cell r="AI1241" t="str"><v>AZR_FreeAcctRetargetingVMFB-OnDemand-ChE_USA_1200x628_CAN_Plat_English_Free Account_Standard_NA_SINU_T2_1</v></cell><cell r="AJ1241"><v>104595715</v></cell></row><row r="1242"><cell r="D1242" t="str"><v>43353PS79SW</v></cell><cell r="E1242" t="str"><v>43353104595760PS79SW</v></cell><cell r="F1242" t="str"><v>Appended from Pub - Not in DCM</v></cell></row><row r="1242"><cell r="I1242" t="str"><v>Azure Direct</v></cell><cell r="J1242" t="str"><v>Azure Direct</v></cell><cell r="K1242" t="str"><v>September</v></cell><cell r="L1242"><v>43358</v></cell><cell r="M1242" t="str"><v>Tier 0</v></cell><cell r="N1242" t="str"><v>North America</v></cell><cell r="O1242" t="str"><v>United States</v></cell><cell r="P1242" t="str"><v>Trial</v></cell><cell r="Q1242" t="str"><v>Social</v></cell><cell r="R1242" t="str"><v>Azure</v></cell><cell r="S1242" t="str"><v>Apps & Infra</v></cell><cell r="T1242" t="str"><v>Developers & ITI's</v></cell><cell r="U1242" t="str"><v>USA-Trial-ITD-Retargeting-AZR-AZR</v></cell><cell r="V1242" t="str"><v>Retargeting</v></cell><cell r="W1242" t="str"><v>Canvas Ad</v></cell><cell r="X1242" t="str"><v>1200x628</v></cell><cell r="Y1242" t="str"><v>Sign Up</v></cell><cell r="Z1242" t="str"><v>Not Applicable</v></cell><cell r="AA1242"><v>43353</v></cell><cell r="AB1242" t="str"><v>USA_gaPMG_AZR_AZR_Q1_19_Direct-Social</v></cell><cell r="AC1242"><v>21358715</v></cell><cell r="AD1242"><v>720197</v></cell><cell r="AE1242" t="str"><v>Linkedin</v></cell><cell r="AF1242"><v>3654329</v></cell><cell r="AG1242" t="str"><v>FACEBOOK»USA-Trial-ITD-Retargeting-AZR-AZR»1 x 1»SocialBan»CAN»ALL»CPA»RT»X»NA»SS»NA»FreeAcctRetargetingVMFB-750Hrs-ChD»PS79SW</v></cell><cell r="AH1242" t="str"><v>PS79SW</v></cell><cell r="AI1242" t="str"><v>AZR_FreeAcctRetargetingVMFB-750Hrs-ChD_USA_1200x628_CAN_Plat_English_Free Account_Standard_NA_SINU_T1_2</v></cell><cell r="AJ1242"><v>104595760</v></cell></row><row r="1243"><cell r="D1243" t="str"><v>43353PS7BV7</v></cell><cell r="E1243" t="str"><v>43353104592532PS7BV7</v></cell><cell r="F1243" t="str"><v>Appended from Pub - Not in DCM</v></cell></row><row r="1243"><cell r="I1243" t="str"><v>Azure Direct</v></cell><cell r="J1243" t="str"><v>Azure Direct</v></cell><cell r="K1243" t="str"><v>September</v></cell><cell r="L1243"><v>43358</v></cell><cell r="M1243" t="str"><v>Tier 0</v></cell><cell r="N1243" t="str"><v>North America</v></cell><cell r="O1243" t="str"><v>United States</v></cell><cell r="P1243" t="str"><v>Trial</v></cell><cell r="Q1243" t="str"><v>Social</v></cell><cell r="R1243" t="str"><v>Azure</v></cell><cell r="S1243" t="str"><v>Apps & Infra</v></cell><cell r="T1243" t="str"><v>Developers & ITI's</v></cell><cell r="U1243" t="str"><v>USA-Trial-ITD-Skills Prospecting-AZR-AZR</v></cell><cell r="V1243" t="str"><v>Prospecting</v></cell><cell r="W1243" t="str"><v>Video Link ad</v></cell><cell r="X1243" t="str"><v>1920x1080</v></cell><cell r="Y1243" t="str"><v>Learn More</v></cell><cell r="Z1243" t="str"><v>Animated Banner</v></cell><cell r="AA1243"><v>43353</v></cell><cell r="AB1243" t="str"><v>USA_gaPMG_AZR_AZR_Q1_19_Direct-Social</v></cell><cell r="AC1243"><v>21358715</v></cell><cell r="AD1243"><v>720197</v></cell><cell r="AE1243" t="str"><v>Linkedin</v></cell><cell r="AF1243"><v>3654329</v></cell><cell r="AG1243" t="str"><v>LINKEDIN»USA-Trial-ITD-Skills Prospecting-AZR-AZR»1 x 1»SocialBan»VLA»ALL»CPA»PRO»D»All»SS»NA»FreeAcctITProLI-AnimatedMigration-Ch3»PS7BV7</v></cell><cell r="AH1243" t="str"><v>PS7BV7</v></cell><cell r="AI1243" t="str"><v>AZR_FreeAcctITProLI-AnimatedMigration-Ch3_USA_1920x1080_VLA_Direct_EN_Trial_Standard_ANI_LEA_T3_1</v></cell><cell r="AJ1243"><v>104592532</v></cell></row><row r="1244"><cell r="D1244" t="str"><v>43353PS7BRV</v></cell><cell r="E1244" t="str"><v>43353104592529PS7BRV</v></cell><cell r="F1244" t="str"><v>Appended from Pub - Not in DCM</v></cell></row><row r="1244"><cell r="I1244" t="str"><v>Azure Direct</v></cell><cell r="J1244" t="str"><v>Azure Direct</v></cell><cell r="K1244" t="str"><v>September</v></cell><cell r="L1244"><v>43358</v></cell><cell r="M1244" t="str"><v>Tier 0</v></cell><cell r="N1244" t="str"><v>North America</v></cell><cell r="O1244" t="str"><v>United States</v></cell><cell r="P1244" t="str"><v>Trial</v></cell><cell r="Q1244" t="str"><v>Social</v></cell><cell r="R1244" t="str"><v>Azure</v></cell><cell r="S1244" t="str"><v>Apps & Infra</v></cell><cell r="T1244" t="str"><v>Developers & ITI's</v></cell><cell r="U1244" t="str"><v>USA-Trial-ITD-Groups Prospecting-AZR-AZR</v></cell><cell r="V1244" t="str"><v>Prospecting</v></cell><cell r="W1244" t="str"><v>Link Ad</v></cell><cell r="X1244" t="str"><v>1200x627</v></cell><cell r="Y1244" t="str"><v>Sign Up</v></cell><cell r="Z1244" t="str"><v>Not Applicable</v></cell><cell r="AA1244"><v>43353</v></cell><cell r="AB1244" t="str"><v>USA_gaPMG_AZR_AZR_Q1_19_Direct-Social</v></cell><cell r="AC1244"><v>21358715</v></cell><cell r="AD1244"><v>720197</v></cell><cell r="AE1244" t="str"><v>Linkedin</v></cell><cell r="AF1244"><v>3654329</v></cell><cell r="AG1244" t="str"><v>LINKEDIN»USA-Trial-ITD-Groups Prospecting-AZR-AZR»1 x 1»SocialBan»LIA»ALL»CPA»PRO»D»All»SS»NA»FreeAcctRetargetingVMLI-OnDemand-ChE»PS7BRV</v></cell><cell r="AH1244" t="str"><v>PS7BRV</v></cell><cell r="AI1244" t="str"><v>AZR_FreeAcctRetargetingVMLI-OnDemand-ChE_USA_1200x627_LIA_Plat_English_Free Account_Standard_NA_SINU_T2_1</v></cell><cell r="AJ1244"><v>104592529</v></cell></row><row r="1245"><cell r="D1245" t="str"><v>43353PS7BVC</v></cell><cell r="E1245" t="str"><v>43353104593447PS7BVC</v></cell><cell r="F1245" t="str"><v>Appended from Pub - Not in DCM</v></cell></row><row r="1245"><cell r="I1245" t="str"><v>Azure Direct</v></cell><cell r="J1245" t="str"><v>Azure Direct</v></cell><cell r="K1245" t="str"><v>September</v></cell><cell r="L1245"><v>43358</v></cell><cell r="M1245" t="str"><v>Tier 0</v></cell><cell r="N1245" t="str"><v>North America</v></cell><cell r="O1245" t="str"><v>United States</v></cell><cell r="P1245" t="str"><v>Trial</v></cell><cell r="Q1245" t="str"><v>Social</v></cell><cell r="R1245" t="str"><v>Azure</v></cell><cell r="S1245" t="str"><v>Apps & Infra</v></cell><cell r="T1245" t="str"><v>Developers & ITI's</v></cell><cell r="U1245" t="str"><v>USA-Trial-ITD-Skills Prospecting-AZR-AZR</v></cell><cell r="V1245" t="str"><v>Prospecting</v></cell><cell r="W1245" t="str"><v>Video Link ad</v></cell><cell r="X1245" t="str"><v>1920x1080</v></cell><cell r="Y1245" t="str"><v>Learn More</v></cell><cell r="Z1245" t="str"><v>Animated Banner</v></cell><cell r="AA1245"><v>43353</v></cell><cell r="AB1245" t="str"><v>USA_gaPMG_AZR_AZR_Q1_19_Direct-Social</v></cell><cell r="AC1245"><v>21358715</v></cell><cell r="AD1245"><v>720197</v></cell><cell r="AE1245" t="str"><v>Linkedin</v></cell><cell r="AF1245"><v>3654329</v></cell><cell r="AG1245" t="str"><v>LINKEDIN»USA-Trial-ITD-Skills Prospecting-AZR-AZR»1 x 1»SocialBan»VLA»ALL»CPA»PRO»D»All»SS»NA»FreeAcctITProLI-AnimatedSecureWellMngd-Ch1»PS7BVC</v></cell><cell r="AH1245" t="str"><v>PS7BVC</v></cell><cell r="AI1245" t="str"><v>AZR_FreeAcctITProLI-AnimatedSecureWellMngd-Ch1_USA_1920x1080_VLA_Direct_EN_Trial_Standard_ANI_LEA_T1_1</v></cell><cell r="AJ1245"><v>104593447</v></cell></row><row r="1246"><cell r="D1246" t="str"><v>43353PS7BV9</v></cell><cell r="E1246" t="str"><v>43353104593444PS7BV9</v></cell><cell r="F1246" t="str"><v>Appended from Pub - Not in DCM</v></cell></row><row r="1246"><cell r="I1246" t="str"><v>Azure Direct</v></cell><cell r="J1246" t="str"><v>Azure Direct</v></cell><cell r="K1246" t="str"><v>September</v></cell><cell r="L1246"><v>43358</v></cell><cell r="M1246" t="str"><v>Tier 0</v></cell><cell r="N1246" t="str"><v>North America</v></cell><cell r="O1246" t="str"><v>United States</v></cell><cell r="P1246" t="str"><v>Trial</v></cell><cell r="Q1246" t="str"><v>Social</v></cell><cell r="R1246" t="str"><v>Azure</v></cell><cell r="S1246" t="str"><v>Apps & Infra</v></cell><cell r="T1246" t="str"><v>Developers & ITI's</v></cell><cell r="U1246" t="str"><v>USA-Trial-ITD-Skills Prospecting-AZR-AZR</v></cell><cell r="V1246" t="str"><v>Prospecting</v></cell><cell r="W1246" t="str"><v>Video Link ad</v></cell><cell r="X1246" t="str"><v>1920x1080</v></cell><cell r="Y1246" t="str"><v>Learn More</v></cell><cell r="Z1246" t="str"><v>Animated Banner</v></cell><cell r="AA1246"><v>43353</v></cell><cell r="AB1246" t="str"><v>USA_gaPMG_AZR_AZR_Q1_19_Direct-Social</v></cell><cell r="AC1246"><v>21358715</v></cell><cell r="AD1246"><v>720197</v></cell><cell r="AE1246" t="str"><v>Linkedin</v></cell><cell r="AF1246"><v>3654329</v></cell><cell r="AG1246" t="str"><v>LINKEDIN»USA-Trial-ITD-Skills Prospecting-AZR-AZR»1 x 1»SocialBan»VLA»ALL»CPA»PRO»D»All»SS»NA»FreeAcctDeveloperLI-AnimatedAI-Ch3»PS7BV9</v></cell><cell r="AH1246" t="str"><v>PS7BV9</v></cell><cell r="AI1246" t="str"><v>AZR_FreeAcctDeveloperLI-AnimatedAI-Ch3_USA_1920x1080_VLA_Direct_EN_Trial_Standard_ANI_LEA_T3_1</v></cell><cell r="AJ1246"><v>104593444</v></cell></row><row r="1247"><cell r="D1247" t="str"><v>43353PS7BVD</v></cell><cell r="E1247" t="str"><v>43353104671424PS7BVD</v></cell><cell r="F1247" t="str"><v>Appended from Pub - Not in DCM</v></cell></row><row r="1247"><cell r="I1247" t="str"><v>Azure Direct</v></cell><cell r="J1247" t="str"><v>Azure Direct</v></cell><cell r="K1247" t="str"><v>September</v></cell><cell r="L1247"><v>43358</v></cell><cell r="M1247" t="str"><v>Tier 0</v></cell><cell r="N1247" t="str"><v>North America</v></cell><cell r="O1247" t="str"><v>United States</v></cell><cell r="P1247" t="str"><v>Trial</v></cell><cell r="Q1247" t="str"><v>Social</v></cell><cell r="R1247" t="str"><v>Azure</v></cell><cell r="S1247" t="str"><v>Apps & Infra</v></cell><cell r="T1247" t="str"><v>Developers & ITI's</v></cell><cell r="U1247" t="str"><v>USA-Trial-ITD-Skills Prospecting-AZR-AZR</v></cell><cell r="V1247" t="str"><v>Prospecting</v></cell><cell r="W1247" t="str"><v>Video Link ad</v></cell><cell r="X1247" t="str"><v>1920x1080</v></cell><cell r="Y1247" t="str"><v>Learn More</v></cell><cell r="Z1247" t="str"><v>Animated Banner</v></cell><cell r="AA1247"><v>43353</v></cell><cell r="AB1247" t="str"><v>USA_gaPMG_AZR_AZR_Q1_19_Direct-Social</v></cell><cell r="AC1247"><v>21358715</v></cell><cell r="AD1247"><v>720197</v></cell><cell r="AE1247" t="str"><v>Linkedin</v></cell><cell r="AF1247"><v>3654329</v></cell><cell r="AG1247" t="str"><v>LINKEDIN»USA-Trial-ITD-Skills Prospecting-AZR-AZR»1 x 1»SocialBan»VLA»ALL»CPA»PRO»D»All»SS»NA»FreeAcctITProLI-AnimatedHybrid-Ch2»PS7BVD</v></cell><cell r="AH1247" t="str"><v>PS7BVD</v></cell><cell r="AI1247" t="str"><v>AZR_FreeAcctITProLI-AnimatedHybrid-Ch2_USA_1920x1080_VLA_Direct_EN_Trial_Standard_ANI_LEA_T2_1</v></cell><cell r="AJ1247"><v>104671424</v></cell></row><row r="1248"><cell r="D1248" t="str"><v>43353PS7BRX</v></cell><cell r="E1248" t="str"><v>43353104593435PS7BRX</v></cell><cell r="F1248" t="str"><v>Appended from Pub - Not in DCM</v></cell></row><row r="1248"><cell r="I1248" t="str"><v>Azure Direct</v></cell><cell r="J1248" t="str"><v>Azure Direct</v></cell><cell r="K1248" t="str"><v>September</v></cell><cell r="L1248"><v>43358</v></cell><cell r="M1248" t="str"><v>Tier 0</v></cell><cell r="N1248" t="str"><v>North America</v></cell><cell r="O1248" t="str"><v>United States</v></cell><cell r="P1248" t="str"><v>Trial</v></cell><cell r="Q1248" t="str"><v>Social</v></cell><cell r="R1248" t="str"><v>Azure</v></cell><cell r="S1248" t="str"><v>Apps & Infra</v></cell><cell r="T1248" t="str"><v>Developers & ITI's</v></cell><cell r="U1248" t="str"><v>USA-Trial-ITD-Groups Prospecting-AZR-AZR</v></cell><cell r="V1248" t="str"><v>Prospecting</v></cell><cell r="W1248" t="str"><v>Link Ad</v></cell><cell r="X1248" t="str"><v>1200x627</v></cell><cell r="Y1248" t="str"><v>Sign Up</v></cell><cell r="Z1248" t="str"><v>Not Applicable</v></cell><cell r="AA1248"><v>43353</v></cell><cell r="AB1248" t="str"><v>USA_gaPMG_AZR_AZR_Q1_19_Direct-Social</v></cell><cell r="AC1248"><v>21358715</v></cell><cell r="AD1248"><v>720197</v></cell><cell r="AE1248" t="str"><v>Linkedin</v></cell><cell r="AF1248"><v>3654329</v></cell><cell r="AG1248" t="str"><v>LINKEDIN»USA-Trial-ITD-Groups Prospecting-AZR-AZR»1 x 1»SocialBan»LIA»ALL»CPA»PRO»D»All»SS»NA»FreeAcctRetargetingLI-Credit-ChA»PS7BRX</v></cell><cell r="AH1248" t="str"><v>PS7BRX</v></cell><cell r="AI1248" t="str"><v>AZR_FreeAcctRetargetingLI-Credit-ChA_USA_1200x627_LIA_Plat_English_Free Account_Standard_NA_SINU_T1_1</v></cell><cell r="AJ1248"><v>104593435</v></cell></row><row r="1249"><cell r="D1249" t="str"><v>43353PS7BS1</v></cell><cell r="E1249" t="str"><v>43353104593723PS7BS1</v></cell><cell r="F1249" t="str"><v>Appended from Pub - Not in DCM</v></cell></row><row r="1249"><cell r="I1249" t="str"><v>Azure Direct</v></cell><cell r="J1249" t="str"><v>Azure Direct</v></cell><cell r="K1249" t="str"><v>September</v></cell><cell r="L1249"><v>43358</v></cell><cell r="M1249" t="str"><v>Tier 0</v></cell><cell r="N1249" t="str"><v>North America</v></cell><cell r="O1249" t="str"><v>United States</v></cell><cell r="P1249" t="str"><v>Trial</v></cell><cell r="Q1249" t="str"><v>Social</v></cell><cell r="R1249" t="str"><v>Azure</v></cell><cell r="S1249" t="str"><v>Apps & Infra</v></cell><cell r="T1249" t="str"><v>Developers & ITI's</v></cell><cell r="U1249" t="str"><v>USA-Trial-ITD-Groups Prospecting-AZR-AZR</v></cell><cell r="V1249" t="str"><v>Prospecting</v></cell><cell r="W1249" t="str"><v>Link Ad</v></cell><cell r="X1249" t="str"><v>1200x627</v></cell><cell r="Y1249" t="str"><v>Sign Up</v></cell><cell r="Z1249" t="str"><v>Not Applicable</v></cell><cell r="AA1249"><v>43353</v></cell><cell r="AB1249" t="str"><v>USA_gaPMG_AZR_AZR_Q1_19_Direct-Social</v></cell><cell r="AC1249"><v>21358715</v></cell><cell r="AD1249"><v>720197</v></cell><cell r="AE1249" t="str"><v>Linkedin</v></cell><cell r="AF1249"><v>3654329</v></cell><cell r="AG1249" t="str"><v>LINKEDIN»USA-Trial-ITD-Groups Prospecting-AZR-AZR»1 x 1»SocialBan»LIA»ALL»CPA»PRO»D»All»SS»NA»FreeAcctRetargetingLI-GlobalAlt-ChB»PS7BS1</v></cell><cell r="AH1249" t="str"><v>PS7BS1</v></cell><cell r="AI1249" t="str"><v>AZR_FreeAcctRetargetingLI-GlobalAlt-ChB_USA_1200x627_LIA_Plat_English_Free Account_Standard_NA_SINU_T2_1</v></cell><cell r="AJ1249"><v>104593723</v></cell></row><row r="1250"><cell r="D1250" t="str"><v>43354PRC2G6</v></cell><cell r="E1250" t="str"><v>43354103180628PRC2G6</v></cell><cell r="F1250" t="str"><v>Appended from Pub - Not in DCM</v></cell></row><row r="1250"><cell r="I1250" t="str"><v>Azure Direct</v></cell><cell r="J1250" t="str"><v>Azure Direct</v></cell><cell r="K1250" t="str"><v>September</v></cell><cell r="L1250"><v>43358</v></cell><cell r="M1250" t="str"><v>Tier 0</v></cell><cell r="N1250" t="str"><v>North America</v></cell><cell r="O1250" t="str"><v>United States</v></cell><cell r="P1250" t="str"><v>Trial</v></cell><cell r="Q1250" t="str"><v>Social</v></cell><cell r="R1250" t="str"><v>Azure</v></cell><cell r="S1250" t="str"><v>Apps & Infra</v></cell><cell r="T1250" t="str"><v>Developers & ITI's</v></cell><cell r="U1250" t="str"><v>USA-Trial-ITD-Retargeting-AZR-AZR</v></cell><cell r="V1250" t="str"><v>Retargeting</v></cell><cell r="W1250" t="str"><v>Canvas Ad</v></cell><cell r="X1250" t="str"><v>10s</v></cell><cell r="Y1250" t="str"><v>Try it Now</v></cell><cell r="Z1250" t="str"><v>Standard videos</v></cell><cell r="AA1250"><v>43354</v></cell><cell r="AB1250" t="str"><v>USA_gaPMG_AZR_AZR_Q1_19_Direct-Social</v></cell><cell r="AC1250"><v>21358715</v></cell><cell r="AD1250"><v>720197</v></cell><cell r="AE1250" t="str"><v>Linkedin</v></cell><cell r="AF1250"><v>3654329</v></cell><cell r="AG1250" t="str"><v>INSTAGRAM»USA-Trial-ITD-Retargeting-AZR-AZR»1 x 1»SocialBan»CAN»ALL»CPA»RT»X»NA»SS»NA»IGCTCBenefit2inMotion»PRC2G6</v></cell><cell r="AH1250" t="str"><v>PRC2G6</v></cell><cell r="AI1250" t="str"><v>AzurePlatform_IGCTCBrandinMotion_USA_10s_CAN_PLATFORM_English_Trial_Standard_STAN_TIN_T2_1</v></cell><cell r="AJ1250"><v>103180628</v></cell></row><row r="1251"><cell r="D1251" t="str"><v>43354PRC1Q3</v></cell><cell r="E1251" t="str"><v>43354103176812PRC1Q3</v></cell><cell r="F1251" t="str"><v>Appended from Pub - Not in DCM</v></cell></row><row r="1251"><cell r="I1251" t="str"><v>Azure Direct</v></cell><cell r="J1251" t="str"><v>Azure Direct</v></cell><cell r="K1251" t="str"><v>September</v></cell><cell r="L1251"><v>43358</v></cell><cell r="M1251" t="str"><v>Tier 0</v></cell><cell r="N1251" t="str"><v>North America</v></cell><cell r="O1251" t="str"><v>United States</v></cell><cell r="P1251" t="str"><v>Trial</v></cell><cell r="Q1251" t="str"><v>Social</v></cell><cell r="R1251" t="str"><v>Azure</v></cell><cell r="S1251" t="str"><v>Apps & Infra</v></cell><cell r="T1251" t="str"><v>Developers & ITI's</v></cell><cell r="U1251" t="str"><v>USA-Trial-ITD-Trial PayGo Lookalike-AZR-AZR</v></cell><cell r="V1251" t="str"><v>Lookalike Targeting</v></cell><cell r="W1251" t="str"><v>Canvas Ad</v></cell><cell r="X1251" t="str"><v>10s</v></cell><cell r="Y1251" t="str"><v>Try it Now</v></cell><cell r="Z1251" t="str"><v>Standard videos</v></cell><cell r="AA1251"><v>43354</v></cell><cell r="AB1251" t="str"><v>USA_gaPMG_AZR_AZR_Q1_19_Direct-Social</v></cell><cell r="AC1251"><v>21358715</v></cell><cell r="AD1251"><v>720197</v></cell><cell r="AE1251" t="str"><v>Linkedin</v></cell><cell r="AF1251"><v>3654329</v></cell><cell r="AG1251" t="str"><v>FACEBOOK»USA-Trial-ITD-Trial PayGo Lookalike-AZR-AZR»1 x 1»SocialBan»CAN»ALL»CPA»LAL»X»NA»SS»NA»FBCTCBrandinMotion»PRC1Q3</v></cell><cell r="AH1251" t="str"><v>PRC1Q3</v></cell><cell r="AI1251" t="str"><v>AzurePlatform_FBCTCBrandinMotion_USA_10s_CAN_PLATFORM_English_Trial_Standard_STAN_TIN_T2_1</v></cell><cell r="AJ1251"><v>103176812</v></cell></row><row r="1252"><cell r="D1252" t="str"><v>43354PS78JJ</v></cell><cell r="E1252" t="str"><v>43354104595730PS78JJ</v></cell><cell r="F1252" t="str"><v>Appended from Pub - Not in DCM</v></cell></row><row r="1252"><cell r="I1252" t="str"><v>Azure Direct</v></cell><cell r="J1252" t="str"><v>Azure Direct</v></cell><cell r="K1252" t="str"><v>September</v></cell><cell r="L1252"><v>43358</v></cell><cell r="M1252" t="str"><v>Tier 0</v></cell><cell r="N1252" t="str"><v>North America</v></cell><cell r="O1252" t="str"><v>United States</v></cell><cell r="P1252" t="str"><v>Trial</v></cell><cell r="Q1252" t="str"><v>Social</v></cell><cell r="R1252" t="str"><v>Azure</v></cell><cell r="S1252" t="str"><v>Apps & Infra</v></cell><cell r="T1252" t="str"><v>Developers & ITI's</v></cell><cell r="U1252" t="str"><v>USA-Trial-ITD-Interest Prospecting-AZR-AZR</v></cell><cell r="V1252" t="str"><v>Prospecting</v></cell><cell r="W1252" t="str"><v>Canvas Ad</v></cell><cell r="X1252" t="str"><v>1200x1200</v></cell><cell r="Y1252" t="str"><v>Learn More</v></cell><cell r="Z1252" t="str"><v>Animated Banner</v></cell><cell r="AA1252"><v>43354</v></cell><cell r="AB1252" t="str"><v>USA_gaPMG_AZR_AZR_Q1_19_Direct-Social</v></cell><cell r="AC1252"><v>21358715</v></cell><cell r="AD1252"><v>720197</v></cell><cell r="AE1252" t="str"><v>Linkedin</v></cell><cell r="AF1252"><v>3654329</v></cell><cell r="AG1252" t="str"><v>FACEBOOK»USA-Trial-ITD-Interest Prospecting-AZR-AZR»1 x 1»SocialBan»CAN»ALL»CPA»PRO»X»NA»SS»NA»FreeAcctITProFB-AnimatedMigration-Ch3»PS78JJ</v></cell><cell r="AH1252" t="str"><v>PS78JJ</v></cell><cell r="AI1252" t="str"><v>AZR_FreeAcctITProFB-AnimatedMigration-Ch3_USA_1200x1200_CAN_Direct_EN_Trial_Standard_ANI_LEA_T3_2</v></cell><cell r="AJ1252"><v>104595730</v></cell></row><row r="1253"><cell r="D1253" t="str"><v>43354PRC1M2</v></cell><cell r="E1253" t="str"><v>43354103032775PRC1M2</v></cell><cell r="F1253" t="str"><v>Appended from Pub - Not in DCM</v></cell></row><row r="1253"><cell r="I1253" t="str"><v>Azure Direct</v></cell><cell r="J1253" t="str"><v>Azure Direct</v></cell><cell r="K1253" t="str"><v>September</v></cell><cell r="L1253"><v>43358</v></cell><cell r="M1253" t="str"><v>Tier 0</v></cell><cell r="N1253" t="str"><v>North America</v></cell><cell r="O1253" t="str"><v>United States</v></cell><cell r="P1253" t="str"><v>Trial</v></cell><cell r="Q1253" t="str"><v>Social</v></cell><cell r="R1253" t="str"><v>Azure</v></cell><cell r="S1253" t="str"><v>Apps & Infra</v></cell><cell r="T1253" t="str"><v>Developers & ITI's</v></cell><cell r="U1253" t="str"><v>USA-Trial-ITD-Trial Lookalike-AZR-AZR</v></cell><cell r="V1253" t="str"><v>Lookalike Targeting</v></cell><cell r="W1253" t="str"><v>Canvas Ad</v></cell><cell r="X1253" t="str"><v>10s</v></cell><cell r="Y1253" t="str"><v>Try it Now</v></cell><cell r="Z1253" t="str"><v>Standard videos</v></cell><cell r="AA1253"><v>43354</v></cell><cell r="AB1253" t="str"><v>USA_gaPMG_AZR_AZR_Q1_19_Direct-Social</v></cell><cell r="AC1253"><v>21358715</v></cell><cell r="AD1253"><v>720197</v></cell><cell r="AE1253" t="str"><v>Linkedin</v></cell><cell r="AF1253"><v>3654329</v></cell><cell r="AG1253" t="str"><v>FACEBOOK»USA-Trial-ITD-Trial Lookalike-AZR-AZR»1 x 1»SocialBan»CAN»ALL»CPA»LAL»X»NA»SS»NA»FBCTCBenefitinMotion»PRC1M2</v></cell><cell r="AH1253" t="str"><v>PRC1M2</v></cell><cell r="AI1253" t="str"><v>AzurePlatform_FBCTCBenefitinMotion_USA_10s_CAN_PLATFORM_English_Trial_Standard_STAN_TIN_T3_1</v></cell><cell r="AJ1253"><v>103032775</v></cell></row><row r="1254"><cell r="D1254" t="str"><v>43354PRC1Q0</v></cell><cell r="E1254" t="str"><v>43354103043823PRC1Q0</v></cell><cell r="F1254" t="str"><v>Appended from Pub - Not in DCM</v></cell></row><row r="1254"><cell r="I1254" t="str"><v>Azure Direct</v></cell><cell r="J1254" t="str"><v>Azure Direct</v></cell><cell r="K1254" t="str"><v>September</v></cell><cell r="L1254"><v>43358</v></cell><cell r="M1254" t="str"><v>Tier 0</v></cell><cell r="N1254" t="str"><v>North America</v></cell><cell r="O1254" t="str"><v>United States</v></cell><cell r="P1254" t="str"><v>Trial</v></cell><cell r="Q1254" t="str"><v>Social</v></cell><cell r="R1254" t="str"><v>Azure</v></cell><cell r="S1254" t="str"><v>Apps & Infra</v></cell><cell r="T1254" t="str"><v>Developers & ITI's</v></cell><cell r="U1254" t="str"><v>USA-Trial-ITD-Trial PayGo Lookalike-AZR-AZR</v></cell><cell r="V1254" t="str"><v>Lookalike Targeting</v></cell><cell r="W1254" t="str"><v>Canvas Ad</v></cell><cell r="X1254" t="str"><v>10s</v></cell><cell r="Y1254" t="str"><v>Try it Now</v></cell><cell r="Z1254" t="str"><v>Standard videos</v></cell><cell r="AA1254"><v>43354</v></cell><cell r="AB1254" t="str"><v>USA_gaPMG_AZR_AZR_Q1_19_Direct-Social</v></cell><cell r="AC1254"><v>21358715</v></cell><cell r="AD1254"><v>720197</v></cell><cell r="AE1254" t="str"><v>Linkedin</v></cell><cell r="AF1254"><v>3654329</v></cell><cell r="AG1254" t="str"><v>FACEBOOK»USA-Trial-ITD-Trial PayGo Lookalike-AZR-AZR»1 x 1»SocialBan»CAN»ALL»CPA»LAL»X»NA»SS»NA»FBCTCBasicMotion»PRC1Q0</v></cell><cell r="AH1254" t="str"><v>PRC1Q0</v></cell><cell r="AI1254" t="str"><v>AzurePlatform_FBCTCBasicMotion_USA_10s_CAN_PLATFORM_English_Trial_Standard_STAN_TIN_T1_1</v></cell><cell r="AJ1254"><v>103043823</v></cell></row><row r="1255"><cell r="D1255" t="str"><v>43354PRX722</v></cell><cell r="E1255" t="str"><v>43354104593408PRX722</v></cell><cell r="F1255" t="str"><v>Appended from Pub - Not in DCM</v></cell></row><row r="1255"><cell r="I1255" t="str"><v>Azure Direct</v></cell><cell r="J1255" t="str"><v>Azure Direct</v></cell><cell r="K1255" t="str"><v>September</v></cell><cell r="L1255"><v>43358</v></cell><cell r="M1255" t="str"><v>Tier 0</v></cell><cell r="N1255" t="str"><v>North America</v></cell><cell r="O1255" t="str"><v>United States</v></cell><cell r="P1255" t="str"><v>Trial</v></cell><cell r="Q1255" t="str"><v>Social</v></cell><cell r="R1255" t="str"><v>Azure</v></cell><cell r="S1255" t="str"><v>Apps & Infra</v></cell><cell r="T1255" t="str"><v>Developers & ITI's</v></cell><cell r="U1255" t="str"><v>USA-Trial-ITD-Lead Completes Lookalike-AZR-AZR</v></cell><cell r="V1255" t="str"><v>Lookalike Targeting</v></cell><cell r="W1255" t="str"><v>Canvas Ad</v></cell><cell r="X1255" t="str"><v>10s</v></cell><cell r="Y1255" t="str"><v>Try it Now</v></cell><cell r="Z1255" t="str"><v>Standard videos</v></cell><cell r="AA1255"><v>43354</v></cell><cell r="AB1255" t="str"><v>USA_gaPMG_AZR_AZR_Q1_19_Direct-Social</v></cell><cell r="AC1255"><v>21358715</v></cell><cell r="AD1255"><v>720197</v></cell><cell r="AE1255" t="str"><v>Linkedin</v></cell><cell r="AF1255"><v>3654329</v></cell><cell r="AG1255" t="str"><v>FACEBOOK»USA-Trial-ITD-Lead Completes Lookalike-AZR-AZR»1 x 1»SocialBan»CAN»ALL»CPA»LAL»X»NA»SS»NA»FBCTCBenefit2inMotion»PRX722</v></cell><cell r="AH1255" t="str"><v>PRX722</v></cell><cell r="AI1255" t="str"><v>AZR_FBCTCBenefit2inMotion_USA_10s_CAN_PLATFORM_English_Trial_Standard_STAN_TIN_T4_1</v></cell><cell r="AJ1255"><v>104593408</v></cell></row><row r="1256"><cell r="D1256" t="str"><v>43354PS79T0</v></cell><cell r="E1256" t="str"><v>43354104593423PS79T0</v></cell><cell r="F1256" t="str"><v>Appended from Pub - Not in DCM</v></cell></row><row r="1256"><cell r="I1256" t="str"><v>Azure Direct</v></cell><cell r="J1256" t="str"><v>Azure Direct</v></cell><cell r="K1256" t="str"><v>September</v></cell><cell r="L1256"><v>43358</v></cell><cell r="M1256" t="str"><v>Tier 0</v></cell><cell r="N1256" t="str"><v>North America</v></cell><cell r="O1256" t="str"><v>United States</v></cell><cell r="P1256" t="str"><v>Trial</v></cell><cell r="Q1256" t="str"><v>Social</v></cell><cell r="R1256" t="str"><v>Azure</v></cell><cell r="S1256" t="str"><v>Apps & Infra</v></cell><cell r="T1256" t="str"><v>Developers & ITI's</v></cell><cell r="U1256" t="str"><v>USA-Trial-ITD-Retargeting-AZR-AZR</v></cell><cell r="V1256" t="str"><v>Retargeting</v></cell><cell r="W1256" t="str"><v>Canvas Ad</v></cell><cell r="X1256" t="str"><v>1200x628</v></cell><cell r="Y1256" t="str"><v>Sign Up</v></cell><cell r="Z1256" t="str"><v>Not Applicable</v></cell><cell r="AA1256"><v>43354</v></cell><cell r="AB1256" t="str"><v>USA_gaPMG_AZR_AZR_Q1_19_Direct-Social</v></cell><cell r="AC1256"><v>21358715</v></cell><cell r="AD1256"><v>720197</v></cell><cell r="AE1256" t="str"><v>Linkedin</v></cell><cell r="AF1256"><v>3654329</v></cell><cell r="AG1256" t="str"><v>FACEBOOK»USA-Trial-ITD-Retargeting-AZR-AZR»1 x 1»SocialBan»CAN»ALL»CPA»RT»X»NA»SS»NA»FreeAcctRetargetingOSSFB-Text-ChF»PS79T0</v></cell><cell r="AH1256" t="str"><v>PS79T0</v></cell><cell r="AI1256" t="str"><v>AZR_FreeAcctRetargetingOSSFB-Text-ChF_USA_1200x628_CAN_Plat_English_Free Account_Standard_NA_SINU_T1_1</v></cell><cell r="AJ1256"><v>104593423</v></cell></row><row r="1257"><cell r="D1257" t="str"><v>43354PS78J8</v></cell><cell r="E1257" t="str"><v>43354104593735PS78J8</v></cell><cell r="F1257" t="str"><v>Appended from Pub - Not in DCM</v></cell></row><row r="1257"><cell r="I1257" t="str"><v>Azure Direct</v></cell><cell r="J1257" t="str"><v>Azure Direct</v></cell><cell r="K1257" t="str"><v>September</v></cell><cell r="L1257"><v>43358</v></cell><cell r="M1257" t="str"><v>Tier 0</v></cell><cell r="N1257" t="str"><v>North America</v></cell><cell r="O1257" t="str"><v>United States</v></cell><cell r="P1257" t="str"><v>Trial</v></cell><cell r="Q1257" t="str"><v>Social</v></cell><cell r="R1257" t="str"><v>Azure</v></cell><cell r="S1257" t="str"><v>Apps & Infra</v></cell><cell r="T1257" t="str"><v>Developers & ITI's</v></cell><cell r="U1257" t="str"><v>USA-Trial-ITD-Interest Prospecting-AZR-AZR</v></cell><cell r="V1257" t="str"><v>Prospecting</v></cell><cell r="W1257" t="str"><v>Canvas Ad</v></cell><cell r="X1257" t="str"><v>1200x1200</v></cell><cell r="Y1257" t="str"><v>Learn More</v></cell><cell r="Z1257" t="str"><v>Animated Banner</v></cell><cell r="AA1257"><v>43354</v></cell><cell r="AB1257" t="str"><v>USA_gaPMG_AZR_AZR_Q1_19_Direct-Social</v></cell><cell r="AC1257"><v>21358715</v></cell><cell r="AD1257"><v>720197</v></cell><cell r="AE1257" t="str"><v>Linkedin</v></cell><cell r="AF1257"><v>3654329</v></cell><cell r="AG1257" t="str"><v>FACEBOOK»USA-Trial-ITD-Interest Prospecting-AZR-AZR»1 x 1»SocialBan»CAN»ALL»CPA»PRO»X»NA»SS»NA»FreeAcctDeveloperFB-AnimatedAI-Ch3»PS78J8</v></cell><cell r="AH1257" t="str"><v>PS78J8</v></cell><cell r="AI1257" t="str"><v>AZR_FreeAcctDeveloperFB-AnimatedAI-Ch3_USA_1200x1200_CAN_Direct_EN_Trial_Standard_ANI_LEA_T3_1</v></cell><cell r="AJ1257"><v>104593735</v></cell></row><row r="1258"><cell r="D1258" t="str"><v>43354PS78JD</v></cell><cell r="E1258" t="str"><v>43354104593738PS78JD</v></cell><cell r="F1258" t="str"><v>Appended from Pub - Not in DCM</v></cell></row><row r="1258"><cell r="I1258" t="str"><v>Azure Direct</v></cell><cell r="J1258" t="str"><v>Azure Direct</v></cell><cell r="K1258" t="str"><v>September</v></cell><cell r="L1258"><v>43358</v></cell><cell r="M1258" t="str"><v>Tier 0</v></cell><cell r="N1258" t="str"><v>North America</v></cell><cell r="O1258" t="str"><v>United States</v></cell><cell r="P1258" t="str"><v>Trial</v></cell><cell r="Q1258" t="str"><v>Social</v></cell><cell r="R1258" t="str"><v>Azure</v></cell><cell r="S1258" t="str"><v>Apps & Infra</v></cell><cell r="T1258" t="str"><v>Developers & ITI's</v></cell><cell r="U1258" t="str"><v>USA-Trial-ITD-Interest Prospecting-AZR-AZR</v></cell><cell r="V1258" t="str"><v>Prospecting</v></cell><cell r="W1258" t="str"><v>Canvas Ad</v></cell><cell r="X1258" t="str"><v>1200x1200</v></cell><cell r="Y1258" t="str"><v>Learn More</v></cell><cell r="Z1258" t="str"><v>Animated Banner</v></cell><cell r="AA1258"><v>43354</v></cell><cell r="AB1258" t="str"><v>USA_gaPMG_AZR_AZR_Q1_19_Direct-Social</v></cell><cell r="AC1258"><v>21358715</v></cell><cell r="AD1258"><v>720197</v></cell><cell r="AE1258" t="str"><v>Linkedin</v></cell><cell r="AF1258"><v>3654329</v></cell><cell r="AG1258" t="str"><v>FACEBOOK»USA-Trial-ITD-Interest Prospecting-AZR-AZR»1 x 1»SocialBan»CAN»ALL»CPA»PRO»X»NA»SS»NA»FreeAcctITProFB-AnimatedSecureMngd-Ch1»PS78JD</v></cell><cell r="AH1258" t="str"><v>PS78JD</v></cell><cell r="AI1258" t="str"><v>AZR_FreeAcctITProFB-AnimatedSecureMngd-Ch1_USA_1200x1200_CAN_Direct_EN_Trial_Standard_ANI_LEA_T1_1</v></cell><cell r="AJ1258"><v>104593738</v></cell></row><row r="1259"><cell r="D1259" t="str"><v>43354PS78JH</v></cell><cell r="E1259" t="str"><v>43354104592535PS78JH</v></cell><cell r="F1259" t="str"><v>Appended from Pub - Not in DCM</v></cell></row><row r="1259"><cell r="I1259" t="str"><v>Azure Direct</v></cell><cell r="J1259" t="str"><v>Azure Direct</v></cell><cell r="K1259" t="str"><v>September</v></cell><cell r="L1259"><v>43358</v></cell><cell r="M1259" t="str"><v>Tier 0</v></cell><cell r="N1259" t="str"><v>North America</v></cell><cell r="O1259" t="str"><v>United States</v></cell><cell r="P1259" t="str"><v>Trial</v></cell><cell r="Q1259" t="str"><v>Social</v></cell><cell r="R1259" t="str"><v>Azure</v></cell><cell r="S1259" t="str"><v>Apps & Infra</v></cell><cell r="T1259" t="str"><v>Developers & ITI's</v></cell><cell r="U1259" t="str"><v>USA-Trial-ITD-Interest Prospecting-AZR-AZR</v></cell><cell r="V1259" t="str"><v>Prospecting</v></cell><cell r="W1259" t="str"><v>Canvas Ad</v></cell><cell r="X1259" t="str"><v>1200x1200</v></cell><cell r="Y1259" t="str"><v>Learn More</v></cell><cell r="Z1259" t="str"><v>Animated Banner</v></cell><cell r="AA1259"><v>43354</v></cell><cell r="AB1259" t="str"><v>USA_gaPMG_AZR_AZR_Q1_19_Direct-Social</v></cell><cell r="AC1259"><v>21358715</v></cell><cell r="AD1259"><v>720197</v></cell><cell r="AE1259" t="str"><v>Linkedin</v></cell><cell r="AF1259"><v>3654329</v></cell><cell r="AG1259" t="str"><v>FACEBOOK»USA-Trial-ITD-Interest Prospecting-AZR-AZR»1 x 1»SocialBan»CAN»ALL»CPA»PRO»X»NA»SS»NA»FreeAcctITProFB-AnimatedHybrid-Ch2»PS78JH</v></cell><cell r="AH1259" t="str"><v>PS78JH</v></cell><cell r="AI1259" t="str"><v>AZR_FreeAcctITProFB-AnimatedHybrid-Ch2_USA_1200x1200_CAN_Direct_EN_Trial_Standard_ANI_LEA_T2_1</v></cell><cell r="AJ1259"><v>104592535</v></cell></row><row r="1260"><cell r="D1260" t="str"><v>43354PS78J7</v></cell><cell r="E1260" t="str"><v>43354104593438PS78J7</v></cell><cell r="F1260" t="str"><v>Appended from Pub - Not in DCM</v></cell></row><row r="1260"><cell r="I1260" t="str"><v>Azure Direct</v></cell><cell r="J1260" t="str"><v>Azure Direct</v></cell><cell r="K1260" t="str"><v>September</v></cell><cell r="L1260"><v>43358</v></cell><cell r="M1260" t="str"><v>Tier 0</v></cell><cell r="N1260" t="str"><v>North America</v></cell><cell r="O1260" t="str"><v>United States</v></cell><cell r="P1260" t="str"><v>Trial</v></cell><cell r="Q1260" t="str"><v>Social</v></cell><cell r="R1260" t="str"><v>Azure</v></cell><cell r="S1260" t="str"><v>Apps & Infra</v></cell><cell r="T1260" t="str"><v>Developers & ITI's</v></cell><cell r="U1260" t="str"><v>USA-Trial-ITD-Interest Prospecting-AZR-AZR</v></cell><cell r="V1260" t="str"><v>Prospecting</v></cell><cell r="W1260" t="str"><v>Canvas Ad</v></cell><cell r="X1260" t="str"><v>1200x1200</v></cell><cell r="Y1260" t="str"><v>Learn More</v></cell><cell r="Z1260" t="str"><v>Animated Banner</v></cell><cell r="AA1260"><v>43354</v></cell><cell r="AB1260" t="str"><v>USA_gaPMG_AZR_AZR_Q1_19_Direct-Social</v></cell><cell r="AC1260"><v>21358715</v></cell><cell r="AD1260"><v>720197</v></cell><cell r="AE1260" t="str"><v>Linkedin</v></cell><cell r="AF1260"><v>3654329</v></cell><cell r="AG1260" t="str"><v>FACEBOOK»USA-Trial-ITD-Interest Prospecting-AZR-AZR»1 x 1»SocialBan»CAN»ALL»CPA»PRO»X»NA»SS»NA»FreeAcctDeveloperFB-AnimatedOpenSource-Ch2»PS78J7</v></cell><cell r="AH1260" t="str"><v>PS78J7</v></cell><cell r="AI1260" t="str"><v>AZR_FreeAcctDeveloperFB-AnimatedOpenSource-Ch2_USA_1200x1200_CAN_Direct_EN_Trial_Standard_ANI_LEA_T2_2</v></cell><cell r="AJ1260"><v>104593438</v></cell></row><row r="1261"><cell r="D1261" t="str"><v>43354PS78J6</v></cell><cell r="E1261" t="str"><v>43354104595766PS78J6</v></cell><cell r="F1261" t="str"><v>Appended from Pub - Not in DCM</v></cell></row><row r="1261"><cell r="I1261" t="str"><v>Azure Direct</v></cell><cell r="J1261" t="str"><v>Azure Direct</v></cell><cell r="K1261" t="str"><v>September</v></cell><cell r="L1261"><v>43358</v></cell><cell r="M1261" t="str"><v>Tier 0</v></cell><cell r="N1261" t="str"><v>North America</v></cell><cell r="O1261" t="str"><v>United States</v></cell><cell r="P1261" t="str"><v>Trial</v></cell><cell r="Q1261" t="str"><v>Social</v></cell><cell r="R1261" t="str"><v>Azure</v></cell><cell r="S1261" t="str"><v>Apps & Infra</v></cell><cell r="T1261" t="str"><v>Developers & ITI's</v></cell><cell r="U1261" t="str"><v>USA-Trial-ITD-Interest Prospecting-AZR-AZR</v></cell><cell r="V1261" t="str"><v>Prospecting</v></cell><cell r="W1261" t="str"><v>Canvas Ad</v></cell><cell r="X1261" t="str"><v>1200x1200</v></cell><cell r="Y1261" t="str"><v>Learn More</v></cell><cell r="Z1261" t="str"><v>Animated Banner</v></cell><cell r="AA1261"><v>43354</v></cell><cell r="AB1261" t="str"><v>USA_gaPMG_AZR_AZR_Q1_19_Direct-Social</v></cell><cell r="AC1261"><v>21358715</v></cell><cell r="AD1261"><v>720197</v></cell><cell r="AE1261" t="str"><v>Linkedin</v></cell><cell r="AF1261"><v>3654329</v></cell><cell r="AG1261" t="str"><v>FACEBOOK»USA-Trial-ITD-Interest Prospecting-AZR-AZR»1 x 1»SocialBan»CAN»ALL»CPA»PRO»X»NA»SS»NA»FreeAcctDeveloperFB-AnimatedGeneric-Ch1»PS78J6</v></cell><cell r="AH1261" t="str"><v>PS78J6</v></cell><cell r="AI1261" t="str"><v>AZR_FreeAcctDeveloperFB-AnimatedGeneric-Ch1_USA_1200x1200_CAN_Direct_EN_Trial_Standard_ANI_LEA_T1_1</v></cell><cell r="AJ1261"><v>104595766</v></cell></row><row r="1262"><cell r="D1262" t="str"><v>43354PS7B5V</v></cell><cell r="E1262" t="str"><v>43354104595739PS7B5V</v></cell><cell r="F1262" t="str"><v>Appended from Pub - Not in DCM</v></cell></row><row r="1262"><cell r="I1262" t="str"><v>Azure Direct</v></cell><cell r="J1262" t="str"><v>Azure Direct</v></cell><cell r="K1262" t="str"><v>September</v></cell><cell r="L1262"><v>43358</v></cell><cell r="M1262" t="str"><v>Tier 0</v></cell><cell r="N1262" t="str"><v>North America</v></cell><cell r="O1262" t="str"><v>United States</v></cell><cell r="P1262" t="str"><v>Trial</v></cell><cell r="Q1262" t="str"><v>Social</v></cell><cell r="R1262" t="str"><v>Azure</v></cell><cell r="S1262" t="str"><v>Apps & Infra</v></cell><cell r="T1262" t="str"><v>Developers & ITI's</v></cell><cell r="U1262" t="str"><v>USA-Trial-ITD-Trial PayGo Lookalike-AZR-AZR</v></cell><cell r="V1262" t="str"><v>Lookalike Targeting</v></cell><cell r="W1262" t="str"><v>Canvas Ad</v></cell><cell r="X1262" t="str"><v>1200x1200</v></cell><cell r="Y1262" t="str"><v>Learn More</v></cell><cell r="Z1262" t="str"><v>Animated Banner</v></cell><cell r="AA1262"><v>43354</v></cell><cell r="AB1262" t="str"><v>USA_gaPMG_AZR_AZR_Q1_19_Direct-Social</v></cell><cell r="AC1262"><v>21358715</v></cell><cell r="AD1262"><v>720197</v></cell><cell r="AE1262" t="str"><v>Linkedin</v></cell><cell r="AF1262"><v>3654329</v></cell><cell r="AG1262" t="str"><v>FACEBOOK»USA-Trial-ITD-Trial PayGo Lookalike-AZR-AZR»1 x 1»SocialBan»CAN»ALL»CPA»LAL»X»NA»SS»NA»FreeAcctDeveloperFB-AnimatedData-Ch4»PS7B5V</v></cell><cell r="AH1262" t="str"><v>PS7B5V</v></cell><cell r="AI1262" t="str"><v>AZR_FreeAcctDeveloperFB-AnimatedData-Ch4_USA_1200x1200_CAN_Direct_EN_Trial_Standard_ANI_LEA_T4_1</v></cell><cell r="AJ1262"><v>104595739</v></cell></row><row r="1263"><cell r="D1263" t="str"><v>43354PRC1VX</v></cell><cell r="E1263" t="str"><v>43354103176812PRC1VX</v></cell><cell r="F1263" t="str"><v>Appended from Pub - Not in DCM</v></cell></row><row r="1263"><cell r="I1263" t="str"><v>Azure Direct</v></cell><cell r="J1263" t="str"><v>Azure Direct</v></cell><cell r="K1263" t="str"><v>September</v></cell><cell r="L1263"><v>43358</v></cell><cell r="M1263" t="str"><v>Tier 0</v></cell><cell r="N1263" t="str"><v>North America</v></cell><cell r="O1263" t="str"><v>United States</v></cell><cell r="P1263" t="str"><v>Trial</v></cell><cell r="Q1263" t="str"><v>Social</v></cell><cell r="R1263" t="str"><v>Azure</v></cell><cell r="S1263" t="str"><v>Apps & Infra</v></cell><cell r="T1263" t="str"><v>Developers & ITI's</v></cell><cell r="U1263" t="str"><v>USA-Trial-ITD-Lead Completes-AZR-AZR</v></cell><cell r="V1263" t="str"><v>Prospecting</v></cell><cell r="W1263" t="str"><v>Canvas Ad</v></cell><cell r="X1263" t="str"><v>10s</v></cell><cell r="Y1263" t="str"><v>Try it Now</v></cell><cell r="Z1263" t="str"><v>Standard videos</v></cell><cell r="AA1263"><v>43354</v></cell><cell r="AB1263" t="str"><v>USA_gaPMG_AZR_AZR_Q1_19_Direct-Social</v></cell><cell r="AC1263"><v>21358715</v></cell><cell r="AD1263"><v>720197</v></cell><cell r="AE1263" t="str"><v>Linkedin</v></cell><cell r="AF1263"><v>3654329</v></cell><cell r="AG1263" t="str"><v>FACEBOOK»USA-Trial-ITD-Lead Completes-AZR-AZR»1 x 1»SocialBan»CAN»ALL»CPA»PRO»X»NA»SS»NA»FBCTCBrandinMotion»PRC1VX</v></cell><cell r="AH1263" t="str"><v>PRC1VX</v></cell><cell r="AI1263" t="str"><v>AzurePlatform_FBCTCBrandinMotion_USA_10s_CAN_PLATFORM_English_Trial_Standard_STAN_TIN_T2_1</v></cell><cell r="AJ1263"><v>103176812</v></cell></row><row r="1264"><cell r="D1264" t="str"><v>43354PS7B5Z</v></cell><cell r="E1264" t="str"><v>43354104592535PS7B5Z</v></cell><cell r="F1264" t="str"><v>Appended from Pub - Not in DCM</v></cell></row><row r="1264"><cell r="I1264" t="str"><v>Azure Direct</v></cell><cell r="J1264" t="str"><v>Azure Direct</v></cell><cell r="K1264" t="str"><v>September</v></cell><cell r="L1264"><v>43358</v></cell><cell r="M1264" t="str"><v>Tier 0</v></cell><cell r="N1264" t="str"><v>North America</v></cell><cell r="O1264" t="str"><v>United States</v></cell><cell r="P1264" t="str"><v>Trial</v></cell><cell r="Q1264" t="str"><v>Social</v></cell><cell r="R1264" t="str"><v>Azure</v></cell><cell r="S1264" t="str"><v>Apps & Infra</v></cell><cell r="T1264" t="str"><v>Developers & ITI's</v></cell><cell r="U1264" t="str"><v>USA-Trial-ITD-Trial PayGo Lookalike-AZR-AZR</v></cell><cell r="V1264" t="str"><v>Lookalike Targeting</v></cell><cell r="W1264" t="str"><v>Canvas Ad</v></cell><cell r="X1264" t="str"><v>1200x1200</v></cell><cell r="Y1264" t="str"><v>Learn More</v></cell><cell r="Z1264" t="str"><v>Animated Banner</v></cell><cell r="AA1264"><v>43354</v></cell><cell r="AB1264" t="str"><v>USA_gaPMG_AZR_AZR_Q1_19_Direct-Social</v></cell><cell r="AC1264"><v>21358715</v></cell><cell r="AD1264"><v>720197</v></cell><cell r="AE1264" t="str"><v>Linkedin</v></cell><cell r="AF1264"><v>3654329</v></cell><cell r="AG1264" t="str"><v>FACEBOOK»USA-Trial-ITD-Trial PayGo Lookalike-AZR-AZR»1 x 1»SocialBan»CAN»ALL»CPA»LAL»X»NA»SS»NA»FreeAcctITProFB-AnimatedHybrid-Ch2»PS7B5Z</v></cell><cell r="AH1264" t="str"><v>PS7B5Z</v></cell><cell r="AI1264" t="str"><v>AZR_FreeAcctITProFB-AnimatedHybrid-Ch2_USA_1200x1200_CAN_Direct_EN_Trial_Standard_ANI_LEA_T2_1</v></cell><cell r="AJ1264"><v>104592535</v></cell></row><row r="1265"><cell r="D1265" t="str"><v>43354PS79JT</v></cell><cell r="E1265" t="str"><v>43354PS79JT</v></cell><cell r="F1265" t="str"><v>Appended from Pub - Not in DCM</v></cell></row><row r="1265"><cell r="I1265" t="str"><v>Azure Direct</v></cell><cell r="J1265" t="str"><v>Azure Direct</v></cell><cell r="K1265" t="str"><v>September</v></cell><cell r="L1265"><v>43358</v></cell><cell r="M1265" t="str"><v>Tier 0</v></cell><cell r="N1265" t="str"><v>North America</v></cell><cell r="O1265" t="str"><v>United States</v></cell><cell r="P1265" t="str"><v>Trial</v></cell><cell r="Q1265" t="str"><v>Social</v></cell><cell r="R1265" t="str"><v>Azure</v></cell><cell r="S1265" t="str"><v>Apps & Infra</v></cell><cell r="T1265" t="str"><v>Developers & ITI's</v></cell><cell r="U1265" t="str"><v>USA-Trial-ITD-Lead Completes-AZR-AZR</v></cell><cell r="V1265" t="str"><v>Prospecting</v></cell><cell r="W1265" t="str"><v>Canvas Ad</v></cell></row><row r="1265"><cell r="AA1265"><v>43354</v></cell><cell r="AB1265" t="str"><v>USA_gaPMG_AZR_AZR_Q1_19_Direct-Social</v></cell><cell r="AC1265"><v>21358715</v></cell><cell r="AD1265"><v>720197</v></cell><cell r="AE1265" t="str"><v>Linkedin</v></cell><cell r="AF1265"><v>3654329</v></cell><cell r="AG1265" t="str"><v>FACEBOOK»USA-Trial-ITD-Lead Completes-AZR-AZR»1 x 1»SocialBan»CAN»ALL»CPA»PRO»X»NA»SS»NA»FreeAcctDeveloperFB-AnimatedGeneric-Ch1»PS79JT</v></cell><cell r="AH1265" t="str"><v>PS79JT</v></cell></row><row r="1266"><cell r="D1266" t="str"><v>43354PRSH6K</v></cell><cell r="E1266" t="str"><v>43354103773177PRSH6K</v></cell><cell r="F1266" t="str"><v>Appended from Pub - Not in DCM</v></cell></row><row r="1266"><cell r="I1266" t="str"><v>Azure Direct</v></cell><cell r="J1266" t="str"><v>Azure Direct</v></cell><cell r="K1266" t="str"><v>September</v></cell><cell r="L1266"><v>43358</v></cell><cell r="M1266" t="str"><v>Tier 0</v></cell><cell r="N1266" t="str"><v>North America</v></cell><cell r="O1266" t="str"><v>United States</v></cell><cell r="P1266" t="str"><v>Trial</v></cell><cell r="Q1266" t="str"><v>Social</v></cell><cell r="R1266" t="str"><v>Azure</v></cell><cell r="S1266" t="str"><v>Apps & Infra</v></cell><cell r="T1266" t="str"><v>Developers & ITI's</v></cell><cell r="U1266" t="str"><v>USA-Trial-ITD-Trial PayGo Lookalike-AZR-AZR</v></cell><cell r="V1266" t="str"><v>Lookalike Targeting</v></cell><cell r="W1266" t="str"><v>Canvas Collection Ad</v></cell><cell r="X1266" t="str"><v>1200x182</v></cell><cell r="Y1266" t="str"><v>Try it Now</v></cell><cell r="Z1266" t="str"><v>Not Applicable</v></cell><cell r="AA1266"><v>43354</v></cell><cell r="AB1266" t="str"><v>USA_gaPMG_AZR_AZR_Q1_19_Direct-Social</v></cell><cell r="AC1266"><v>21358715</v></cell><cell r="AD1266"><v>720197</v></cell><cell r="AE1266" t="str"><v>Linkedin</v></cell><cell r="AF1266"><v>3654329</v></cell><cell r="AG1266" t="str"><v>FACEBOOK»USA-Trial-ITD-Trial PayGo Lookalike-AZR-AZR»1 x 1»SocialBan»CCA»ALL»CPA»LAL»X»NA»SS»NA»Azure Developer Facebook Collections»PRSH6K</v></cell><cell r="AH1266" t="str"><v>PRSH6K</v></cell><cell r="AI1266" t="str"><v>AZR_FBCollections-AITryAzureFreeCTA-Img2_USA_1200x182_SOC_Plat_EN_NA_Standard_NA_TIN_T1_2</v></cell><cell r="AJ1266"><v>103773177</v></cell></row><row r="1267"><cell r="D1267" t="str"><v>43354PRC1SV</v></cell><cell r="E1267" t="str"><v>43354103043823PRC1SV</v></cell><cell r="F1267" t="str"><v>Appended from Pub - Not in DCM</v></cell></row><row r="1267"><cell r="I1267" t="str"><v>Azure Direct</v></cell><cell r="J1267" t="str"><v>Azure Direct</v></cell><cell r="K1267" t="str"><v>September</v></cell><cell r="L1267"><v>43358</v></cell><cell r="M1267" t="str"><v>Tier 0</v></cell><cell r="N1267" t="str"><v>North America</v></cell><cell r="O1267" t="str"><v>United States</v></cell><cell r="P1267" t="str"><v>Trial</v></cell><cell r="Q1267" t="str"><v>Social</v></cell><cell r="R1267" t="str"><v>Azure</v></cell><cell r="S1267" t="str"><v>Apps & Infra</v></cell><cell r="T1267" t="str"><v>Developers & ITI's</v></cell><cell r="U1267" t="str"><v>USA-Trial-ITD-Interest Prospecting-AZR-AZR</v></cell><cell r="V1267" t="str"><v>Prospecting</v></cell><cell r="W1267" t="str"><v>Canvas Ad</v></cell><cell r="X1267" t="str"><v>10s</v></cell><cell r="Y1267" t="str"><v>Try it Now</v></cell><cell r="Z1267" t="str"><v>Standard videos</v></cell><cell r="AA1267"><v>43354</v></cell><cell r="AB1267" t="str"><v>USA_gaPMG_AZR_AZR_Q1_19_Direct-Social</v></cell><cell r="AC1267"><v>21358715</v></cell><cell r="AD1267"><v>720197</v></cell><cell r="AE1267" t="str"><v>Linkedin</v></cell><cell r="AF1267"><v>3654329</v></cell><cell r="AG1267" t="str"><v>FACEBOOK»USA-Trial-ITD-Interest Prospecting-AZR-AZR»1 x 1»SocialBan»CAN»ALL»CPA»PRO»X»NA»SS»NA»FBCTCBasicMotion»PRC1SV</v></cell><cell r="AH1267" t="str"><v>PRC1SV</v></cell><cell r="AI1267" t="str"><v>AzurePlatform_FBCTCBasicMotion_USA_10s_CAN_PLATFORM_English_Trial_Standard_STAN_TIN_T1_1</v></cell><cell r="AJ1267"><v>103043823</v></cell></row><row r="1268"><cell r="D1268" t="str"><v>43354PRC2PB</v></cell><cell r="E1268" t="str"><v>43354103050783PRC2PB</v></cell><cell r="F1268" t="str"><v>Appended from Pub - Not in DCM</v></cell></row><row r="1268"><cell r="I1268" t="str"><v>Azure Direct</v></cell><cell r="J1268" t="str"><v>Azure Direct</v></cell><cell r="K1268" t="str"><v>September</v></cell><cell r="L1268"><v>43358</v></cell><cell r="M1268" t="str"><v>Tier 0</v></cell><cell r="N1268" t="str"><v>North America</v></cell><cell r="O1268" t="str"><v>United States</v></cell><cell r="P1268" t="str"><v>Trial</v></cell><cell r="Q1268" t="str"><v>Social</v></cell><cell r="R1268" t="str"><v>Azure</v></cell><cell r="S1268" t="str"><v>Apps & Infra</v></cell><cell r="T1268" t="str"><v>Developers & ITI's</v></cell><cell r="U1268" t="str"><v>USA-Trial-ITD-Interest Prospecting-AZR-AZR</v></cell><cell r="V1268" t="str"><v>Prospecting</v></cell><cell r="W1268" t="str"><v>Canvas Ad</v></cell><cell r="X1268" t="str"><v>10s</v></cell><cell r="Y1268" t="str"><v>Try it Now</v></cell><cell r="Z1268" t="str"><v>Standard videos</v></cell><cell r="AA1268"><v>43354</v></cell><cell r="AB1268" t="str"><v>USA_gaPMG_AZR_AZR_Q1_19_Direct-Social</v></cell><cell r="AC1268"><v>21358715</v></cell><cell r="AD1268"><v>720197</v></cell><cell r="AE1268" t="str"><v>Linkedin</v></cell><cell r="AF1268"><v>3654329</v></cell><cell r="AG1268" t="str"><v>INSTAGRAM»USA-Trial-ITD-Interest Prospecting-AZR-AZR»1 x 1»SocialBan»CAN»ALL»CPA»PRO»X»NA»SS»NA»IGCTCBrandinMotion»PRC2PB</v></cell><cell r="AH1268" t="str"><v>PRC2PB</v></cell><cell r="AI1268" t="str"><v>AzurePlatform_IGCTCBenefit2inMotion_USA_10s_CAN_PLATFORM_English_Trial_Standard_STAN_TIN_T4_1</v></cell><cell r="AJ1268"><v>103050783</v></cell></row><row r="1269"><cell r="D1269" t="str"><v>43354PRC2G3</v></cell><cell r="E1269" t="str"><v>43354103178714PRC2G3</v></cell><cell r="F1269" t="str"><v>Appended from Pub - Not in DCM</v></cell></row><row r="1269"><cell r="I1269" t="str"><v>Azure Direct</v></cell><cell r="J1269" t="str"><v>Azure Direct</v></cell><cell r="K1269" t="str"><v>September</v></cell><cell r="L1269"><v>43358</v></cell><cell r="M1269" t="str"><v>Tier 0</v></cell><cell r="N1269" t="str"><v>North America</v></cell><cell r="O1269" t="str"><v>United States</v></cell><cell r="P1269" t="str"><v>Trial</v></cell><cell r="Q1269" t="str"><v>Social</v></cell><cell r="R1269" t="str"><v>Azure</v></cell><cell r="S1269" t="str"><v>Apps & Infra</v></cell><cell r="T1269" t="str"><v>Developers & ITI's</v></cell><cell r="U1269" t="str"><v>USA-Trial-ITD-Retargeting-AZR-AZR</v></cell><cell r="V1269" t="str"><v>Retargeting</v></cell><cell r="W1269" t="str"><v>Canvas Ad</v></cell><cell r="X1269" t="str"><v>10s</v></cell><cell r="Y1269" t="str"><v>Try it Now</v></cell><cell r="Z1269" t="str"><v>Standard videos</v></cell><cell r="AA1269"><v>43354</v></cell><cell r="AB1269" t="str"><v>USA_gaPMG_AZR_AZR_Q1_19_Direct-Social</v></cell><cell r="AC1269"><v>21358715</v></cell><cell r="AD1269"><v>720197</v></cell><cell r="AE1269" t="str"><v>Linkedin</v></cell><cell r="AF1269"><v>3654329</v></cell><cell r="AG1269" t="str"><v>INSTAGRAM»USA-Trial-ITD-Retargeting-AZR-AZR»1 x 1»SocialBan»CAN»ALL»CPA»RT»X»NA»SS»NA»IGCTCBrandinMotion»PRC2G3</v></cell><cell r="AH1269" t="str"><v>PRC2G3</v></cell><cell r="AI1269" t="str"><v>AzurePlatform_IGCTCBenefit2inMotion_USA_10s_CAN_PLATFORM_English_Trial_Standard_STAN_TIN_T4_2</v></cell><cell r="AJ1269"><v>103178714</v></cell></row><row r="1270"><cell r="D1270" t="str"><v>43354PRSGWS</v></cell><cell r="E1270" t="str"><v>43354103773177PRSGWS</v></cell><cell r="F1270" t="str"><v>Appended from Pub - Not in DCM</v></cell></row><row r="1270"><cell r="I1270" t="str"><v>Azure Direct</v></cell><cell r="J1270" t="str"><v>Azure Direct</v></cell><cell r="K1270" t="str"><v>September</v></cell><cell r="L1270"><v>43358</v></cell><cell r="M1270" t="str"><v>Tier 0</v></cell><cell r="N1270" t="str"><v>North America</v></cell><cell r="O1270" t="str"><v>United States</v></cell><cell r="P1270" t="str"><v>Trial</v></cell><cell r="Q1270" t="str"><v>Social</v></cell><cell r="R1270" t="str"><v>Azure</v></cell><cell r="S1270" t="str"><v>Apps & Infra</v></cell><cell r="T1270" t="str"><v>Developers & ITI's</v></cell><cell r="U1270" t="str"><v>USA-Trial-ITD-Lead Completes-AZR-AZR</v></cell><cell r="V1270" t="str"><v>Prospecting</v></cell><cell r="W1270" t="str"><v>Canvas Collection Ad</v></cell><cell r="X1270" t="str"><v>1200x182</v></cell><cell r="Y1270" t="str"><v>Try it Now</v></cell><cell r="Z1270" t="str"><v>Not Applicable</v></cell><cell r="AA1270"><v>43354</v></cell><cell r="AB1270" t="str"><v>USA_gaPMG_AZR_AZR_Q1_19_Direct-Social</v></cell><cell r="AC1270"><v>21358715</v></cell><cell r="AD1270"><v>720197</v></cell><cell r="AE1270" t="str"><v>Linkedin</v></cell><cell r="AF1270"><v>3654329</v></cell><cell r="AG1270" t="str"><v>FACEBOOK»USA-Trial-ITD-Lead Completes-AZR-AZR»1 x 1»SocialBan»CCA»ALL»CPA»PRO»X»NA»SS»NA»Azure Developer Facebook Collections»PRSGWS</v></cell><cell r="AH1270" t="str"><v>PRSGWS</v></cell><cell r="AI1270" t="str"><v>AZR_FBCollections-AITryAzureFreeCTA-Img2_USA_1200x182_SOC_Plat_EN_NA_Standard_NA_TIN_T1_2</v></cell><cell r="AJ1270"><v>103773177</v></cell></row><row r="1271"><cell r="D1271" t="str"><v>43354PRSGY7</v></cell><cell r="E1271" t="str"><v>43354103773177PRSGY7</v></cell><cell r="F1271" t="str"><v>Appended from Pub - Not in DCM</v></cell></row><row r="1271"><cell r="I1271" t="str"><v>Azure Direct</v></cell><cell r="J1271" t="str"><v>Azure Direct</v></cell><cell r="K1271" t="str"><v>September</v></cell><cell r="L1271"><v>43358</v></cell><cell r="M1271" t="str"><v>Tier 0</v></cell><cell r="N1271" t="str"><v>North America</v></cell><cell r="O1271" t="str"><v>United States</v></cell><cell r="P1271" t="str"><v>Trial</v></cell><cell r="Q1271" t="str"><v>Social</v></cell><cell r="R1271" t="str"><v>Azure</v></cell><cell r="S1271" t="str"><v>Apps & Infra</v></cell><cell r="T1271" t="str"><v>Developers & ITI's</v></cell><cell r="U1271" t="str"><v>USA-Trial-ITD-Retargeting-AZR-AZR</v></cell><cell r="V1271" t="str"><v>Retargeting</v></cell><cell r="W1271" t="str"><v>Canvas Collection Ad</v></cell><cell r="X1271" t="str"><v>1200x182</v></cell><cell r="Y1271" t="str"><v>Try it Now</v></cell><cell r="Z1271" t="str"><v>Not Applicable</v></cell><cell r="AA1271"><v>43354</v></cell><cell r="AB1271" t="str"><v>USA_gaPMG_AZR_AZR_Q1_19_Direct-Social</v></cell><cell r="AC1271"><v>21358715</v></cell><cell r="AD1271"><v>720197</v></cell><cell r="AE1271" t="str"><v>Linkedin</v></cell><cell r="AF1271"><v>3654329</v></cell><cell r="AG1271" t="str"><v>FACEBOOK»USA-Trial-ITD-Retargeting-AZR-AZR»1 x 1»SocialBan»CCA»ALL»CPA»RT»X»NA»SS»NA»Azure Developer Facebook Collections»PRSGY7</v></cell><cell r="AH1271" t="str"><v>PRSGY7</v></cell><cell r="AI1271" t="str"><v>AZR_FBCollections-AITryAzureFreeCTA-Img2_USA_1200x182_SOC_Plat_EN_NA_Standard_NA_TIN_T1_2</v></cell><cell r="AJ1271"><v>103773177</v></cell></row><row r="1272"><cell r="D1272" t="str"><v>43354PS7B5S</v></cell><cell r="E1272" t="str"><v>43354104593735PS7B5S</v></cell><cell r="F1272" t="str"><v>Appended from Pub - Not in DCM</v></cell></row><row r="1272"><cell r="I1272" t="str"><v>Azure Direct</v></cell><cell r="J1272" t="str"><v>Azure Direct</v></cell><cell r="K1272" t="str"><v>September</v></cell><cell r="L1272"><v>43358</v></cell><cell r="M1272" t="str"><v>Tier 0</v></cell><cell r="N1272" t="str"><v>North America</v></cell><cell r="O1272" t="str"><v>United States</v></cell><cell r="P1272" t="str"><v>Trial</v></cell><cell r="Q1272" t="str"><v>Social</v></cell><cell r="R1272" t="str"><v>Azure</v></cell><cell r="S1272" t="str"><v>Apps & Infra</v></cell><cell r="T1272" t="str"><v>Developers & ITI's</v></cell><cell r="U1272" t="str"><v>USA-Trial-ITD-Trial PayGo Lookalike-AZR-AZR</v></cell><cell r="V1272" t="str"><v>Lookalike Targeting</v></cell><cell r="W1272" t="str"><v>Canvas Ad</v></cell><cell r="X1272" t="str"><v>1200x1200</v></cell><cell r="Y1272" t="str"><v>Learn More</v></cell><cell r="Z1272" t="str"><v>Animated Banner</v></cell><cell r="AA1272"><v>43354</v></cell><cell r="AB1272" t="str"><v>USA_gaPMG_AZR_AZR_Q1_19_Direct-Social</v></cell><cell r="AC1272"><v>21358715</v></cell><cell r="AD1272"><v>720197</v></cell><cell r="AE1272" t="str"><v>Linkedin</v></cell><cell r="AF1272"><v>3654329</v></cell><cell r="AG1272" t="str"><v>FACEBOOK»USA-Trial-ITD-Trial PayGo Lookalike-AZR-AZR»1 x 1»SocialBan»CAN»ALL»CPA»LAL»X»NA»SS»NA»FreeAcctDeveloperFB-AnimatedAI-Ch3»PS7B5S</v></cell><cell r="AH1272" t="str"><v>PS7B5S</v></cell><cell r="AI1272" t="str"><v>AZR_FreeAcctDeveloperFB-AnimatedAI-Ch3_USA_1200x1200_CAN_Direct_EN_Trial_Standard_ANI_LEA_T3_1</v></cell><cell r="AJ1272"><v>104593735</v></cell></row><row r="1273"><cell r="D1273" t="str"><v>43354PRC1Q2</v></cell><cell r="E1273" t="str"><v>43354103032775PRC1Q2</v></cell><cell r="F1273" t="str"><v>Appended from Pub - Not in DCM</v></cell></row><row r="1273"><cell r="I1273" t="str"><v>Azure Direct</v></cell><cell r="J1273" t="str"><v>Azure Direct</v></cell><cell r="K1273" t="str"><v>September</v></cell><cell r="L1273"><v>43358</v></cell><cell r="M1273" t="str"><v>Tier 0</v></cell><cell r="N1273" t="str"><v>North America</v></cell><cell r="O1273" t="str"><v>United States</v></cell><cell r="P1273" t="str"><v>Trial</v></cell><cell r="Q1273" t="str"><v>Social</v></cell><cell r="R1273" t="str"><v>Azure</v></cell><cell r="S1273" t="str"><v>Apps & Infra</v></cell><cell r="T1273" t="str"><v>Developers & ITI's</v></cell><cell r="U1273" t="str"><v>USA-Trial-ITD-Trial PayGo Lookalike-AZR-AZR</v></cell><cell r="V1273" t="str"><v>Lookalike Targeting</v></cell><cell r="W1273" t="str"><v>Canvas Ad</v></cell><cell r="X1273" t="str"><v>10s</v></cell><cell r="Y1273" t="str"><v>Try it Now</v></cell><cell r="Z1273" t="str"><v>Standard videos</v></cell><cell r="AA1273"><v>43354</v></cell><cell r="AB1273" t="str"><v>USA_gaPMG_AZR_AZR_Q1_19_Direct-Social</v></cell><cell r="AC1273"><v>21358715</v></cell><cell r="AD1273"><v>720197</v></cell><cell r="AE1273" t="str"><v>Linkedin</v></cell><cell r="AF1273"><v>3654329</v></cell><cell r="AG1273" t="str"><v>FACEBOOK»USA-Trial-ITD-Trial PayGo Lookalike-AZR-AZR»1 x 1»SocialBan»CAN»ALL»CPA»LAL»X»NA»SS»NA»FBCTCBenefitinMotion»PRC1Q2</v></cell><cell r="AH1273" t="str"><v>PRC1Q2</v></cell><cell r="AI1273" t="str"><v>AzurePlatform_FBCTCBenefitinMotion_USA_10s_CAN_PLATFORM_English_Trial_Standard_STAN_TIN_T3_1</v></cell><cell r="AJ1273"><v>103032775</v></cell></row><row r="1274"><cell r="D1274" t="str"><v>43354PRC1VT</v></cell><cell r="E1274" t="str"><v>43354103043823PRC1VT</v></cell><cell r="F1274" t="str"><v>Appended from Pub - Not in DCM</v></cell></row><row r="1274"><cell r="I1274" t="str"><v>Azure Direct</v></cell><cell r="J1274" t="str"><v>Azure Direct</v></cell><cell r="K1274" t="str"><v>September</v></cell><cell r="L1274"><v>43358</v></cell><cell r="M1274" t="str"><v>Tier 0</v></cell><cell r="N1274" t="str"><v>North America</v></cell><cell r="O1274" t="str"><v>United States</v></cell><cell r="P1274" t="str"><v>Trial</v></cell><cell r="Q1274" t="str"><v>Social</v></cell><cell r="R1274" t="str"><v>Azure</v></cell><cell r="S1274" t="str"><v>Apps & Infra</v></cell><cell r="T1274" t="str"><v>Developers & ITI's</v></cell><cell r="U1274" t="str"><v>USA-Trial-ITD-Lead Completes-AZR-AZR</v></cell><cell r="V1274" t="str"><v>Prospecting</v></cell><cell r="W1274" t="str"><v>Canvas Ad</v></cell><cell r="X1274" t="str"><v>10s</v></cell><cell r="Y1274" t="str"><v>Try it Now</v></cell><cell r="Z1274" t="str"><v>Standard videos</v></cell><cell r="AA1274"><v>43354</v></cell><cell r="AB1274" t="str"><v>USA_gaPMG_AZR_AZR_Q1_19_Direct-Social</v></cell><cell r="AC1274"><v>21358715</v></cell><cell r="AD1274"><v>720197</v></cell><cell r="AE1274" t="str"><v>Linkedin</v></cell><cell r="AF1274"><v>3654329</v></cell><cell r="AG1274" t="str"><v>FACEBOOK»USA-Trial-ITD-Lead Completes-AZR-AZR»1 x 1»SocialBan»CAN»ALL»CPA»PRO»X»NA»SS»NA»FBCTCBasicMotion»PRC1VT</v></cell><cell r="AH1274" t="str"><v>PRC1VT</v></cell><cell r="AI1274" t="str"><v>AzurePlatform_FBCTCBasicMotion_USA_10s_CAN_PLATFORM_English_Trial_Standard_STAN_TIN_T1_1</v></cell><cell r="AJ1274"><v>103043823</v></cell></row><row r="1275"><cell r="D1275" t="str"><v>43354PS7B60</v></cell><cell r="E1275" t="str"><v>43354104595730PS7B60</v></cell><cell r="F1275" t="str"><v>Appended from Pub - Not in DCM</v></cell></row><row r="1275"><cell r="I1275" t="str"><v>Azure Direct</v></cell><cell r="J1275" t="str"><v>Azure Direct</v></cell><cell r="K1275" t="str"><v>September</v></cell><cell r="L1275"><v>43358</v></cell><cell r="M1275" t="str"><v>Tier 0</v></cell><cell r="N1275" t="str"><v>North America</v></cell><cell r="O1275" t="str"><v>United States</v></cell><cell r="P1275" t="str"><v>Trial</v></cell><cell r="Q1275" t="str"><v>Social</v></cell><cell r="R1275" t="str"><v>Azure</v></cell><cell r="S1275" t="str"><v>Apps & Infra</v></cell><cell r="T1275" t="str"><v>Developers & ITI's</v></cell><cell r="U1275" t="str"><v>USA-Trial-ITD-Trial PayGo Lookalike-AZR-AZR</v></cell><cell r="V1275" t="str"><v>Lookalike Targeting</v></cell><cell r="W1275" t="str"><v>Canvas Ad</v></cell><cell r="X1275" t="str"><v>1200x1200</v></cell><cell r="Y1275" t="str"><v>Learn More</v></cell><cell r="Z1275" t="str"><v>Animated Banner</v></cell><cell r="AA1275"><v>43354</v></cell><cell r="AB1275" t="str"><v>USA_gaPMG_AZR_AZR_Q1_19_Direct-Social</v></cell><cell r="AC1275"><v>21358715</v></cell><cell r="AD1275"><v>720197</v></cell><cell r="AE1275" t="str"><v>Linkedin</v></cell><cell r="AF1275"><v>3654329</v></cell><cell r="AG1275" t="str"><v>FACEBOOK»USA-Trial-ITD-Trial PayGo Lookalike-AZR-AZR»1 x 1»SocialBan»CAN»ALL»CPA»LAL»X»NA»SS»NA»FreeAcctITProFB-AnimatedMigration-Ch3»PS7B60</v></cell><cell r="AH1275" t="str"><v>PS7B60</v></cell><cell r="AI1275" t="str"><v>AZR_FreeAcctITProFB-AnimatedMigration-Ch3_USA_1200x1200_CAN_Direct_EN_Trial_Standard_ANI_LEA_T3_2</v></cell><cell r="AJ1275"><v>104595730</v></cell></row><row r="1276"><cell r="D1276" t="str"><v>43354PS7DLR</v></cell><cell r="E1276" t="str"><v>43354104593450PS7DLR</v></cell><cell r="F1276" t="str"><v>Appended from Pub - Not in DCM</v></cell></row><row r="1276"><cell r="I1276" t="str"><v>Azure Direct</v></cell><cell r="J1276" t="str"><v>Azure Direct</v></cell><cell r="K1276" t="str"><v>September</v></cell><cell r="L1276"><v>43358</v></cell><cell r="M1276" t="str"><v>Tier 0</v></cell><cell r="N1276" t="str"><v>North America</v></cell><cell r="O1276" t="str"><v>United States</v></cell><cell r="P1276" t="str"><v>Trial</v></cell><cell r="Q1276" t="str"><v>Social</v></cell><cell r="R1276" t="str"><v>Azure</v></cell><cell r="S1276" t="str"><v>Apps & Infra</v></cell><cell r="T1276" t="str"><v>Developers & ITI's</v></cell><cell r="U1276" t="str"><v>USA-Trial-ITD-Lead Completes Lookalike-AZR-AZR</v></cell><cell r="V1276" t="str"><v>Lookalike Targeting</v></cell><cell r="W1276" t="str"><v>Canvas Ad</v></cell><cell r="X1276" t="str"><v>1200x1200</v></cell><cell r="Y1276" t="str"><v>Learn More</v></cell><cell r="Z1276" t="str"><v>Animated Banner</v></cell><cell r="AA1276"><v>43354</v></cell><cell r="AB1276" t="str"><v>USA_gaPMG_AZR_AZR_Q1_19_Direct-Social</v></cell><cell r="AC1276"><v>21358715</v></cell><cell r="AD1276"><v>720197</v></cell><cell r="AE1276" t="str"><v>Linkedin</v></cell><cell r="AF1276"><v>3654329</v></cell><cell r="AG1276" t="str"><v>FACEBOOK»USA-Trial-ITD-Lead Completes Lookalike-AZR-AZR»1 x 1»SocialBan»CAN»ALL»CPA»LAL»X»NA»SS»NA»FreeAcctITProFB-AnimatedMigration-Ch3»PS7DLR</v></cell><cell r="AH1276" t="str"><v>PS7DLR</v></cell><cell r="AI1276" t="str"><v>AZR_FreeAcctITProFB-AnimatedMigration-Ch3_USA_1200x1200_CAN_Direct_EN_Trial_Standard_ANI_LEA_T3_1</v></cell><cell r="AJ1276"><v>104593450</v></cell></row><row r="1277"><cell r="D1277" t="str"><v>43354PS7DLN</v></cell><cell r="E1277" t="str"><v>43354104592535PS7DLN</v></cell><cell r="F1277" t="str"><v>Appended from Pub - Not in DCM</v></cell></row><row r="1277"><cell r="I1277" t="str"><v>Azure Direct</v></cell><cell r="J1277" t="str"><v>Azure Direct</v></cell><cell r="K1277" t="str"><v>September</v></cell><cell r="L1277"><v>43358</v></cell><cell r="M1277" t="str"><v>Tier 0</v></cell><cell r="N1277" t="str"><v>North America</v></cell><cell r="O1277" t="str"><v>United States</v></cell><cell r="P1277" t="str"><v>Trial</v></cell><cell r="Q1277" t="str"><v>Social</v></cell><cell r="R1277" t="str"><v>Azure</v></cell><cell r="S1277" t="str"><v>Apps & Infra</v></cell><cell r="T1277" t="str"><v>Developers & ITI's</v></cell><cell r="U1277" t="str"><v>USA-Trial-ITD-Lead Completes Lookalike-AZR-AZR</v></cell><cell r="V1277" t="str"><v>Lookalike Targeting</v></cell><cell r="W1277" t="str"><v>Canvas Ad</v></cell><cell r="X1277" t="str"><v>1200x1200</v></cell><cell r="Y1277" t="str"><v>Learn More</v></cell><cell r="Z1277" t="str"><v>Animated Banner</v></cell><cell r="AA1277"><v>43354</v></cell><cell r="AB1277" t="str"><v>USA_gaPMG_AZR_AZR_Q1_19_Direct-Social</v></cell><cell r="AC1277"><v>21358715</v></cell><cell r="AD1277"><v>720197</v></cell><cell r="AE1277" t="str"><v>Linkedin</v></cell><cell r="AF1277"><v>3654329</v></cell><cell r="AG1277" t="str"><v>FACEBOOK»USA-Trial-ITD-Lead Completes Lookalike-AZR-AZR»1 x 1»SocialBan»CAN»ALL»CPA»LAL»X»NA»SS»NA»FreeAcctITProFB-AnimatedHybrid-Ch2»PS7DLN</v></cell><cell r="AH1277" t="str"><v>PS7DLN</v></cell><cell r="AI1277" t="str"><v>AZR_FreeAcctITProFB-AnimatedHybrid-Ch2_USA_1200x1200_CAN_Direct_EN_Trial_Standard_ANI_LEA_T2_1</v></cell><cell r="AJ1277"><v>104592535</v></cell></row><row r="1278"><cell r="D1278" t="str"><v>43354PS79JP</v></cell><cell r="E1278" t="str"><v>43354PS79JP</v></cell><cell r="F1278" t="str"><v>Appended from Pub - Not in DCM</v></cell></row><row r="1278"><cell r="I1278" t="str"><v>Azure Direct</v></cell><cell r="J1278" t="str"><v>Azure Direct</v></cell><cell r="K1278" t="str"><v>September</v></cell><cell r="L1278"><v>43358</v></cell><cell r="M1278" t="str"><v>Tier 0</v></cell><cell r="N1278" t="str"><v>North America</v></cell><cell r="O1278" t="str"><v>United States</v></cell><cell r="P1278" t="str"><v>Trial</v></cell><cell r="Q1278" t="str"><v>Social</v></cell><cell r="R1278" t="str"><v>Azure</v></cell><cell r="S1278" t="str"><v>Apps & Infra</v></cell><cell r="T1278" t="str"><v>Developers & ITI's</v></cell><cell r="U1278" t="str"><v>USA-Trial-ITD-Lead Completes-AZR-AZR</v></cell><cell r="V1278" t="str"><v>Prospecting</v></cell><cell r="W1278" t="str"><v>Canvas Ad</v></cell></row><row r="1278"><cell r="AA1278"><v>43354</v></cell><cell r="AB1278" t="str"><v>USA_gaPMG_AZR_AZR_Q1_19_Direct-Social</v></cell><cell r="AC1278"><v>21358715</v></cell><cell r="AD1278"><v>720197</v></cell><cell r="AE1278" t="str"><v>Linkedin</v></cell><cell r="AF1278"><v>3654329</v></cell><cell r="AG1278" t="str"><v>FACEBOOK»USA-Trial-ITD-Lead Completes-AZR-AZR»1 x 1»SocialBan»CAN»ALL»CPA»PRO»X»NA»SS»NA»FreeAcctDeveloperFB-AnimatedGeneric-Ch1»PS79JP</v></cell><cell r="AH1278" t="str"><v>PS79JP</v></cell></row><row r="1279"><cell r="D1279" t="str"><v>43354PS79JW</v></cell><cell r="E1279" t="str"><v>43354PS79JW</v></cell><cell r="F1279" t="str"><v>Appended from Pub - Not in DCM</v></cell></row><row r="1279"><cell r="I1279" t="str"><v>Azure Direct</v></cell><cell r="J1279" t="str"><v>Azure Direct</v></cell><cell r="K1279" t="str"><v>September</v></cell><cell r="L1279"><v>43358</v></cell><cell r="M1279" t="str"><v>Tier 0</v></cell><cell r="N1279" t="str"><v>North America</v></cell><cell r="O1279" t="str"><v>United States</v></cell><cell r="P1279" t="str"><v>Trial</v></cell><cell r="Q1279" t="str"><v>Social</v></cell><cell r="R1279" t="str"><v>Azure</v></cell><cell r="S1279" t="str"><v>Apps & Infra</v></cell><cell r="T1279" t="str"><v>Developers & ITI's</v></cell><cell r="U1279" t="str"><v>USA-Trial-ITD-Lead Completes-AZR-AZR</v></cell><cell r="V1279" t="str"><v>Prospecting</v></cell><cell r="W1279" t="str"><v>Canvas Ad</v></cell></row><row r="1279"><cell r="AA1279"><v>43354</v></cell><cell r="AB1279" t="str"><v>USA_gaPMG_AZR_AZR_Q1_19_Direct-Social</v></cell><cell r="AC1279"><v>21358715</v></cell><cell r="AD1279"><v>720197</v></cell><cell r="AE1279" t="str"><v>Linkedin</v></cell><cell r="AF1279"><v>3654329</v></cell><cell r="AG1279" t="str"><v>FACEBOOK»USA-Trial-ITD-Lead Completes-AZR-AZR»1 x 1»SocialBan»CAN»ALL»CPA»PRO»X»NA»SS»NA»FreeAcctDeveloperFB-AnimatedAI-Ch3»PS79JW</v></cell><cell r="AH1279" t="str"><v>PS79JW</v></cell></row><row r="1280"><cell r="D1280" t="str"><v>43354PS79JX</v></cell><cell r="E1280" t="str"><v>43354PS79JX</v></cell><cell r="F1280" t="str"><v>Appended from Pub - Not in DCM</v></cell></row><row r="1280"><cell r="I1280" t="str"><v>Azure Direct</v></cell><cell r="J1280" t="str"><v>Azure Direct</v></cell><cell r="K1280" t="str"><v>September</v></cell><cell r="L1280"><v>43358</v></cell><cell r="M1280" t="str"><v>Tier 0</v></cell><cell r="N1280" t="str"><v>North America</v></cell><cell r="O1280" t="str"><v>United States</v></cell><cell r="P1280" t="str"><v>Trial</v></cell><cell r="Q1280" t="str"><v>Social</v></cell><cell r="R1280" t="str"><v>Azure</v></cell><cell r="S1280" t="str"><v>Apps & Infra</v></cell><cell r="T1280" t="str"><v>Developers & ITI's</v></cell><cell r="U1280" t="str"><v>USA-Trial-ITD-Lead Completes-AZR-AZR</v></cell><cell r="V1280" t="str"><v>Prospecting</v></cell><cell r="W1280" t="str"><v>Canvas Ad</v></cell></row><row r="1280"><cell r="AA1280"><v>43354</v></cell><cell r="AB1280" t="str"><v>USA_gaPMG_AZR_AZR_Q1_19_Direct-Social</v></cell><cell r="AC1280"><v>21358715</v></cell><cell r="AD1280"><v>720197</v></cell><cell r="AE1280" t="str"><v>Linkedin</v></cell><cell r="AF1280"><v>3654329</v></cell><cell r="AG1280" t="str"><v>FACEBOOK»USA-Trial-ITD-Lead Completes-AZR-AZR»1 x 1»SocialBan»CAN»ALL»CPA»PRO»X»NA»SS»NA»FreeAcctDeveloperFB-AnimatedData-Ch4»PS79JX</v></cell><cell r="AH1280" t="str"><v>PS79JX</v></cell></row><row r="1281"><cell r="D1281" t="str"><v>43354PS79G1</v></cell><cell r="E1281" t="str"><v>43354104595739PS79G1</v></cell><cell r="F1281" t="str"><v>Appended from Pub - Not in DCM</v></cell></row><row r="1281"><cell r="I1281" t="str"><v>Azure Direct</v></cell><cell r="J1281" t="str"><v>Azure Direct</v></cell><cell r="K1281" t="str"><v>September</v></cell><cell r="L1281"><v>43358</v></cell><cell r="M1281" t="str"><v>Tier 0</v></cell><cell r="N1281" t="str"><v>North America</v></cell><cell r="O1281" t="str"><v>United States</v></cell><cell r="P1281" t="str"><v>Trial</v></cell><cell r="Q1281" t="str"><v>Social</v></cell><cell r="R1281" t="str"><v>Azure</v></cell><cell r="S1281" t="str"><v>Apps & Infra</v></cell><cell r="T1281" t="str"><v>Developers & ITI's</v></cell><cell r="U1281" t="str"><v>USA-Trial-ITD-Lead Completes Lookalike-AZR-AZR</v></cell><cell r="V1281" t="str"><v>Lookalike Targeting</v></cell><cell r="W1281" t="str"><v>Canvas Ad</v></cell><cell r="X1281" t="str"><v>1200x1200</v></cell><cell r="Y1281" t="str"><v>Learn More</v></cell><cell r="Z1281" t="str"><v>Animated Banner</v></cell><cell r="AA1281"><v>43354</v></cell><cell r="AB1281" t="str"><v>USA_gaPMG_AZR_AZR_Q1_19_Direct-Social</v></cell><cell r="AC1281"><v>21358715</v></cell><cell r="AD1281"><v>720197</v></cell><cell r="AE1281" t="str"><v>Linkedin</v></cell><cell r="AF1281"><v>3654329</v></cell><cell r="AG1281" t="str"><v>FACEBOOK»USA-Trial-ITD-Lead Completes Lookalike-AZR-AZR»1 x 1»SocialBan»CAN»ALL»CPA»LAL»X»NA»SS»NA»FreeAcctDeveloperFB-AnimatedData-Ch4»PS79G1</v></cell><cell r="AH1281" t="str"><v>PS79G1</v></cell><cell r="AI1281" t="str"><v>AZR_FreeAcctDeveloperFB-AnimatedData-Ch4_USA_1200x1200_CAN_Direct_EN_Trial_Standard_ANI_LEA_T4_1</v></cell><cell r="AJ1281"><v>104595739</v></cell></row><row r="1282"><cell r="D1282" t="str"><v>43354PS79G3</v></cell><cell r="E1282" t="str"><v>43354104595745PS79G3</v></cell><cell r="F1282" t="str"><v>Appended from Pub - Not in DCM</v></cell></row><row r="1282"><cell r="I1282" t="str"><v>Azure Direct</v></cell><cell r="J1282" t="str"><v>Azure Direct</v></cell><cell r="K1282" t="str"><v>September</v></cell><cell r="L1282"><v>43358</v></cell><cell r="M1282" t="str"><v>Tier 0</v></cell><cell r="N1282" t="str"><v>North America</v></cell><cell r="O1282" t="str"><v>United States</v></cell><cell r="P1282" t="str"><v>Trial</v></cell><cell r="Q1282" t="str"><v>Social</v></cell><cell r="R1282" t="str"><v>Azure</v></cell><cell r="S1282" t="str"><v>Apps & Infra</v></cell><cell r="T1282" t="str"><v>Developers & ITI's</v></cell><cell r="U1282" t="str"><v>USA-Trial-ITD-Lead Completes Lookalike-AZR-AZR</v></cell><cell r="V1282" t="str"><v>Lookalike Targeting</v></cell><cell r="W1282" t="str"><v>Canvas Ad</v></cell><cell r="X1282" t="str"><v>1200x1200</v></cell><cell r="Y1282" t="str"><v>Learn More</v></cell><cell r="Z1282" t="str"><v>Animated Banner</v></cell><cell r="AA1282"><v>43354</v></cell><cell r="AB1282" t="str"><v>USA_gaPMG_AZR_AZR_Q1_19_Direct-Social</v></cell><cell r="AC1282"><v>21358715</v></cell><cell r="AD1282"><v>720197</v></cell><cell r="AE1282" t="str"><v>Linkedin</v></cell><cell r="AF1282"><v>3654329</v></cell><cell r="AG1282" t="str"><v>FACEBOOK»USA-Trial-ITD-Lead Completes Lookalike-AZR-AZR»1 x 1»SocialBan»CAN»ALL»CPA»LAL»X»NA»SS»NA»FreeAcctDeveloperFB-AnimatedAI-Ch3»PS79G3</v></cell><cell r="AH1282" t="str"><v>PS79G3</v></cell><cell r="AI1282" t="str"><v>AZR_FreeAcctDeveloperFB-AnimatedAI-Ch3_USA_1200x1200_CAN_Direct_EN_Trial_Standard_ANI_LEA_T3_2</v></cell><cell r="AJ1282"><v>104595745</v></cell></row><row r="1283"><cell r="D1283" t="str"><v>43354PS79FT</v></cell><cell r="E1283" t="str"><v>43354PS79FT</v></cell><cell r="F1283" t="str"><v>Appended from Pub - Not in DCM</v></cell></row><row r="1283"><cell r="I1283" t="str"><v>Azure Direct</v></cell><cell r="J1283" t="str"><v>Azure Direct</v></cell><cell r="K1283" t="str"><v>September</v></cell><cell r="L1283"><v>43358</v></cell><cell r="M1283" t="str"><v>Tier 0</v></cell><cell r="N1283" t="str"><v>North America</v></cell><cell r="O1283" t="str"><v>United States</v></cell><cell r="P1283" t="str"><v>Trial</v></cell><cell r="Q1283" t="str"><v>Social</v></cell><cell r="R1283" t="str"><v>Azure</v></cell><cell r="S1283" t="str"><v>Apps & Infra</v></cell><cell r="T1283" t="str"><v>Developers & ITI's</v></cell><cell r="U1283" t="str"><v>USA-Trial-ITD-Lead Completes Lookalike-AZR-AZR</v></cell><cell r="V1283" t="str"><v>Lookalike Targeting</v></cell><cell r="W1283" t="str"><v>Canvas Ad</v></cell></row><row r="1283"><cell r="AA1283"><v>43354</v></cell><cell r="AB1283" t="str"><v>USA_gaPMG_AZR_AZR_Q1_19_Direct-Social</v></cell><cell r="AC1283"><v>21358715</v></cell><cell r="AD1283"><v>720197</v></cell><cell r="AE1283" t="str"><v>Linkedin</v></cell><cell r="AF1283"><v>3654329</v></cell><cell r="AG1283" t="str"><v>FACEBOOK»USA-Trial-ITD-Lead Completes Lookalike-AZR-AZR»1 x 1»SocialBan»CAN»ALL»CPA»LAL»X»NA»SS»NA»FreeAcctDeveloperFB-AnimatedGeneric-Ch1»PS79FT</v></cell><cell r="AH1283" t="str"><v>PS79FT</v></cell></row><row r="1284"><cell r="D1284" t="str"><v>43354PS79G4</v></cell><cell r="E1284" t="str"><v>43354104671427PS79G4</v></cell><cell r="F1284" t="str"><v>Appended from Pub - Not in DCM</v></cell></row><row r="1284"><cell r="I1284" t="str"><v>Azure Direct</v></cell><cell r="J1284" t="str"><v>Azure Direct</v></cell><cell r="K1284" t="str"><v>September</v></cell><cell r="L1284"><v>43358</v></cell><cell r="M1284" t="str"><v>Tier 0</v></cell><cell r="N1284" t="str"><v>North America</v></cell><cell r="O1284" t="str"><v>United States</v></cell><cell r="P1284" t="str"><v>Trial</v></cell><cell r="Q1284" t="str"><v>Social</v></cell><cell r="R1284" t="str"><v>Azure</v></cell><cell r="S1284" t="str"><v>Apps & Infra</v></cell><cell r="T1284" t="str"><v>Developers & ITI's</v></cell><cell r="U1284" t="str"><v>USA-Trial-ITD-Lead Completes Lookalike-AZR-AZR</v></cell><cell r="V1284" t="str"><v>Lookalike Targeting</v></cell><cell r="W1284" t="str"><v>Canvas Ad</v></cell><cell r="X1284" t="str"><v>1200x1200</v></cell><cell r="Y1284" t="str"><v>Learn More</v></cell><cell r="Z1284" t="str"><v>Animated Banner</v></cell><cell r="AA1284"><v>43354</v></cell><cell r="AB1284" t="str"><v>USA_gaPMG_AZR_AZR_Q1_19_Direct-Social</v></cell><cell r="AC1284"><v>21358715</v></cell><cell r="AD1284"><v>720197</v></cell><cell r="AE1284" t="str"><v>Linkedin</v></cell><cell r="AF1284"><v>3654329</v></cell><cell r="AG1284" t="str"><v>FACEBOOK»USA-Trial-ITD-Lead Completes Lookalike-AZR-AZR»1 x 1»SocialBan»CAN»ALL»CPA»LAL»X»NA»SS»NA»FreeAcctDeveloperFB-AnimatedOpenSource-Ch2»PS79G4</v></cell><cell r="AH1284" t="str"><v>PS79G4</v></cell><cell r="AI1284" t="str"><v>AZR_FreeAcctDeveloperFB-AnimatedOpenSource-Ch2_USA_1200x1200_CAN_Direct_EN_Trial_Standard_ANI_LEA_T2_1</v></cell><cell r="AJ1284"><v>104671427</v></cell></row><row r="1285"><cell r="D1285" t="str"><v>43354PS79JV</v></cell><cell r="E1285" t="str"><v>43354PS79JV</v></cell><cell r="F1285" t="str"><v>Appended from Pub - Not in DCM</v></cell></row><row r="1285"><cell r="I1285" t="str"><v>Azure Direct</v></cell><cell r="J1285" t="str"><v>Azure Direct</v></cell><cell r="K1285" t="str"><v>September</v></cell><cell r="L1285"><v>43358</v></cell><cell r="M1285" t="str"><v>Tier 0</v></cell><cell r="N1285" t="str"><v>North America</v></cell><cell r="O1285" t="str"><v>United States</v></cell><cell r="P1285" t="str"><v>Trial</v></cell><cell r="Q1285" t="str"><v>Social</v></cell><cell r="R1285" t="str"><v>Azure</v></cell><cell r="S1285" t="str"><v>Apps & Infra</v></cell><cell r="T1285" t="str"><v>Developers & ITI's</v></cell><cell r="U1285" t="str"><v>USA-Trial-ITD-Lead Completes-AZR-AZR</v></cell><cell r="V1285" t="str"><v>Prospecting</v></cell><cell r="W1285" t="str"><v>Canvas Ad</v></cell></row><row r="1285"><cell r="AA1285"><v>43354</v></cell><cell r="AB1285" t="str"><v>USA_gaPMG_AZR_AZR_Q1_19_Direct-Social</v></cell><cell r="AC1285"><v>21358715</v></cell><cell r="AD1285"><v>720197</v></cell><cell r="AE1285" t="str"><v>Linkedin</v></cell><cell r="AF1285"><v>3654329</v></cell><cell r="AG1285" t="str"><v>FACEBOOK»USA-Trial-ITD-Lead Completes-AZR-AZR»1 x 1»SocialBan»CAN»ALL»CPA»PRO»X»NA»SS»NA»FreeAcctDeveloperFB-AnimatedOpenSource-Ch2»PS79JV</v></cell><cell r="AH1285" t="str"><v>PS79JV</v></cell></row><row r="1286"><cell r="D1286" t="str"><v>43354PS79K5</v></cell><cell r="E1286" t="str"><v>43354PS79K5</v></cell><cell r="F1286" t="str"><v>Appended from Pub - Not in DCM</v></cell></row><row r="1286"><cell r="I1286" t="str"><v>Azure Direct</v></cell><cell r="J1286" t="str"><v>Azure Direct</v></cell><cell r="K1286" t="str"><v>September</v></cell><cell r="L1286"><v>43358</v></cell><cell r="M1286" t="str"><v>Tier 0</v></cell><cell r="N1286" t="str"><v>North America</v></cell><cell r="O1286" t="str"><v>United States</v></cell><cell r="P1286" t="str"><v>Trial</v></cell><cell r="Q1286" t="str"><v>Social</v></cell><cell r="R1286" t="str"><v>Azure</v></cell><cell r="S1286" t="str"><v>Apps & Infra</v></cell><cell r="T1286" t="str"><v>Developers & ITI's</v></cell><cell r="U1286" t="str"><v>USA-Trial-ITD-Lead Completes-AZR-AZR</v></cell><cell r="V1286" t="str"><v>Prospecting</v></cell><cell r="W1286" t="str"><v>Canvas Ad</v></cell></row><row r="1286"><cell r="AA1286"><v>43354</v></cell><cell r="AB1286" t="str"><v>USA_gaPMG_AZR_AZR_Q1_19_Direct-Social</v></cell><cell r="AC1286"><v>21358715</v></cell><cell r="AD1286"><v>720197</v></cell><cell r="AE1286" t="str"><v>Linkedin</v></cell><cell r="AF1286"><v>3654329</v></cell><cell r="AG1286" t="str"><v>FACEBOOK»USA-Trial-ITD-Lead Completes-AZR-AZR»1 x 1»SocialBan»CAN»ALL»CPA»PRO»X»NA»SS»NA»FreeAcctITProFB-AnimatedMigration-Ch3»PS79K5</v></cell><cell r="AH1286" t="str"><v>PS79K5</v></cell></row><row r="1287"><cell r="D1287" t="str"><v>43354PRC2PD</v></cell><cell r="E1287" t="str"><v>43354103180628PRC2PD</v></cell><cell r="F1287" t="str"><v>Appended from Pub - Not in DCM</v></cell></row><row r="1287"><cell r="I1287" t="str"><v>Azure Direct</v></cell><cell r="J1287" t="str"><v>Azure Direct</v></cell><cell r="K1287" t="str"><v>September</v></cell><cell r="L1287"><v>43358</v></cell><cell r="M1287" t="str"><v>Tier 0</v></cell><cell r="N1287" t="str"><v>North America</v></cell><cell r="O1287" t="str"><v>United States</v></cell><cell r="P1287" t="str"><v>Trial</v></cell><cell r="Q1287" t="str"><v>Social</v></cell><cell r="R1287" t="str"><v>Azure</v></cell><cell r="S1287" t="str"><v>Apps & Infra</v></cell><cell r="T1287" t="str"><v>Developers & ITI's</v></cell><cell r="U1287" t="str"><v>USA-Trial-ITD-Interest Prospecting-AZR-AZR</v></cell><cell r="V1287" t="str"><v>Prospecting</v></cell><cell r="W1287" t="str"><v>Canvas Ad</v></cell><cell r="X1287" t="str"><v>10s</v></cell><cell r="Y1287" t="str"><v>Try it Now</v></cell><cell r="Z1287" t="str"><v>Standard videos</v></cell><cell r="AA1287"><v>43354</v></cell><cell r="AB1287" t="str"><v>USA_gaPMG_AZR_AZR_Q1_19_Direct-Social</v></cell><cell r="AC1287"><v>21358715</v></cell><cell r="AD1287"><v>720197</v></cell><cell r="AE1287" t="str"><v>Linkedin</v></cell><cell r="AF1287"><v>3654329</v></cell><cell r="AG1287" t="str"><v>INSTAGRAM»USA-Trial-ITD-Interest Prospecting-AZR-AZR»1 x 1»SocialBan»CAN»ALL»CPA»PRO»X»NA»SS»NA»IGCTCBenefit2inMotion»PRC2PD</v></cell><cell r="AH1287" t="str"><v>PRC2PD</v></cell><cell r="AI1287" t="str"><v>AzurePlatform_IGCTCBrandinMotion_USA_10s_CAN_PLATFORM_English_Trial_Standard_STAN_TIN_T2_1</v></cell><cell r="AJ1287"><v>103180628</v></cell></row><row r="1288"><cell r="D1288" t="str"><v>43354PS79TJ</v></cell><cell r="E1288" t="str"><v>43354104595739PS79TJ</v></cell><cell r="F1288" t="str"><v>Appended from Pub - Not in DCM</v></cell></row><row r="1288"><cell r="I1288" t="str"><v>Azure Direct</v></cell><cell r="J1288" t="str"><v>Azure Direct</v></cell><cell r="K1288" t="str"><v>September</v></cell><cell r="L1288"><v>43358</v></cell><cell r="M1288" t="str"><v>Tier 0</v></cell><cell r="N1288" t="str"><v>North America</v></cell><cell r="O1288" t="str"><v>United States</v></cell><cell r="P1288" t="str"><v>Trial</v></cell><cell r="Q1288" t="str"><v>Social</v></cell><cell r="R1288" t="str"><v>Azure</v></cell><cell r="S1288" t="str"><v>Apps & Infra</v></cell><cell r="T1288" t="str"><v>Developers & ITI's</v></cell><cell r="U1288" t="str"><v>USA-Trial-ITD-Retargeting-AZR-AZR</v></cell><cell r="V1288" t="str"><v>Retargeting</v></cell><cell r="W1288" t="str"><v>Canvas Ad</v></cell><cell r="X1288" t="str"><v>1200x1200</v></cell><cell r="Y1288" t="str"><v>Learn More</v></cell><cell r="Z1288" t="str"><v>Animated Banner</v></cell><cell r="AA1288"><v>43354</v></cell><cell r="AB1288" t="str"><v>USA_gaPMG_AZR_AZR_Q1_19_Direct-Social</v></cell><cell r="AC1288"><v>21358715</v></cell><cell r="AD1288"><v>720197</v></cell><cell r="AE1288" t="str"><v>Linkedin</v></cell><cell r="AF1288"><v>3654329</v></cell><cell r="AG1288" t="str"><v>FACEBOOK»USA-Trial-ITD-Retargeting-AZR-AZR»1 x 1»SocialBan»CAN»ALL»CPA»RT»X»NA»SS»NA»FreeAcctDeveloperFB-AnimatedData-Ch4»PS79TJ</v></cell><cell r="AH1288" t="str"><v>PS79TJ</v></cell><cell r="AI1288" t="str"><v>AZR_FreeAcctDeveloperFB-AnimatedData-Ch4_USA_1200x1200_CAN_Direct_EN_Trial_Standard_ANI_LEA_T4_1</v></cell><cell r="AJ1288"><v>104595739</v></cell></row><row r="1289"><cell r="D1289" t="str"><v>43354PS7B53</v></cell><cell r="E1289" t="str"><v>43354PS7B53</v></cell><cell r="F1289" t="str"><v>Appended from Pub - Not in DCM</v></cell></row><row r="1289"><cell r="I1289" t="str"><v>Azure Direct</v></cell><cell r="J1289" t="str"><v>Azure Direct</v></cell><cell r="K1289" t="str"><v>September</v></cell><cell r="L1289"><v>43358</v></cell><cell r="M1289" t="str"><v>Tier 0</v></cell><cell r="N1289" t="str"><v>North America</v></cell><cell r="O1289" t="str"><v>United States</v></cell><cell r="P1289" t="str"><v>Trial</v></cell><cell r="Q1289" t="str"><v>Social</v></cell><cell r="R1289" t="str"><v>Azure</v></cell><cell r="S1289" t="str"><v>Apps & Infra</v></cell><cell r="T1289" t="str"><v>Developers & ITI's</v></cell><cell r="U1289" t="str"><v>USA-Trial-ITD-Trial Lookalike-AZR-AZR</v></cell><cell r="V1289" t="str"><v>Lookalike Targeting</v></cell><cell r="W1289" t="str"><v>Canvas Ad</v></cell></row><row r="1289"><cell r="AA1289"><v>43354</v></cell><cell r="AB1289" t="str"><v>USA_gaPMG_AZR_AZR_Q1_19_Direct-Social</v></cell><cell r="AC1289"><v>21358715</v></cell><cell r="AD1289"><v>720197</v></cell><cell r="AE1289" t="str"><v>Linkedin</v></cell><cell r="AF1289"><v>3654329</v></cell><cell r="AG1289" t="str"><v>FACEBOOK»USA-Trial-ITD-Trial Lookalike-AZR-AZR»1 x 1»SocialBan»CAN»ALL»CPA»LAL»X»NA»SS»NA»FreeAcctITProFB-AnimatedSecureMngd-Ch1»PS7B53</v></cell><cell r="AH1289" t="str"><v>PS7B53</v></cell></row><row r="1290"><cell r="D1290" t="str"><v>43354PS7B54</v></cell><cell r="E1290" t="str"><v>43354104592535PS7B54</v></cell><cell r="F1290" t="str"><v>Appended from Pub - Not in DCM</v></cell></row><row r="1290"><cell r="I1290" t="str"><v>Azure Direct</v></cell><cell r="J1290" t="str"><v>Azure Direct</v></cell><cell r="K1290" t="str"><v>September</v></cell><cell r="L1290"><v>43358</v></cell><cell r="M1290" t="str"><v>Tier 0</v></cell><cell r="N1290" t="str"><v>North America</v></cell><cell r="O1290" t="str"><v>United States</v></cell><cell r="P1290" t="str"><v>Trial</v></cell><cell r="Q1290" t="str"><v>Social</v></cell><cell r="R1290" t="str"><v>Azure</v></cell><cell r="S1290" t="str"><v>Apps & Infra</v></cell><cell r="T1290" t="str"><v>Developers & ITI's</v></cell><cell r="U1290" t="str"><v>USA-Trial-ITD-Trial Lookalike-AZR-AZR</v></cell><cell r="V1290" t="str"><v>Lookalike Targeting</v></cell><cell r="W1290" t="str"><v>Canvas Ad</v></cell><cell r="X1290" t="str"><v>1200x1200</v></cell><cell r="Y1290" t="str"><v>Learn More</v></cell><cell r="Z1290" t="str"><v>Animated Banner</v></cell><cell r="AA1290"><v>43354</v></cell><cell r="AB1290" t="str"><v>USA_gaPMG_AZR_AZR_Q1_19_Direct-Social</v></cell><cell r="AC1290"><v>21358715</v></cell><cell r="AD1290"><v>720197</v></cell><cell r="AE1290" t="str"><v>Linkedin</v></cell><cell r="AF1290"><v>3654329</v></cell><cell r="AG1290" t="str"><v>FACEBOOK»USA-Trial-ITD-Trial Lookalike-AZR-AZR»1 x 1»SocialBan»CAN»ALL»CPA»LAL»X»NA»SS»NA»FreeAcctITProFB-AnimatedHybrid-Ch2»PS7B54</v></cell><cell r="AH1290" t="str"><v>PS7B54</v></cell><cell r="AI1290" t="str"><v>AZR_FreeAcctITProFB-AnimatedHybrid-Ch2_USA_1200x1200_CAN_Direct_EN_Trial_Standard_ANI_LEA_T2_1</v></cell><cell r="AJ1290"><v>104592535</v></cell></row><row r="1291"><cell r="D1291" t="str"><v>43354PS79SW</v></cell><cell r="E1291" t="str"><v>43354104595760PS79SW</v></cell><cell r="F1291" t="str"><v>Appended from Pub - Not in DCM</v></cell></row><row r="1291"><cell r="I1291" t="str"><v>Azure Direct</v></cell><cell r="J1291" t="str"><v>Azure Direct</v></cell><cell r="K1291" t="str"><v>September</v></cell><cell r="L1291"><v>43358</v></cell><cell r="M1291" t="str"><v>Tier 0</v></cell><cell r="N1291" t="str"><v>North America</v></cell><cell r="O1291" t="str"><v>United States</v></cell><cell r="P1291" t="str"><v>Trial</v></cell><cell r="Q1291" t="str"><v>Social</v></cell><cell r="R1291" t="str"><v>Azure</v></cell><cell r="S1291" t="str"><v>Apps & Infra</v></cell><cell r="T1291" t="str"><v>Developers & ITI's</v></cell><cell r="U1291" t="str"><v>USA-Trial-ITD-Retargeting-AZR-AZR</v></cell><cell r="V1291" t="str"><v>Retargeting</v></cell><cell r="W1291" t="str"><v>Canvas Ad</v></cell><cell r="X1291" t="str"><v>1200x628</v></cell><cell r="Y1291" t="str"><v>Sign Up</v></cell><cell r="Z1291" t="str"><v>Not Applicable</v></cell><cell r="AA1291"><v>43354</v></cell><cell r="AB1291" t="str"><v>USA_gaPMG_AZR_AZR_Q1_19_Direct-Social</v></cell><cell r="AC1291"><v>21358715</v></cell><cell r="AD1291"><v>720197</v></cell><cell r="AE1291" t="str"><v>Linkedin</v></cell><cell r="AF1291"><v>3654329</v></cell><cell r="AG1291" t="str"><v>FACEBOOK»USA-Trial-ITD-Retargeting-AZR-AZR»1 x 1»SocialBan»CAN»ALL»CPA»RT»X»NA»SS»NA»FreeAcctRetargetingVMFB-750Hrs-ChD»PS79SW</v></cell><cell r="AH1291" t="str"><v>PS79SW</v></cell><cell r="AI1291" t="str"><v>AZR_FreeAcctRetargetingVMFB-750Hrs-ChD_USA_1200x628_CAN_Plat_English_Free Account_Standard_NA_SINU_T1_2</v></cell><cell r="AJ1291"><v>104595760</v></cell></row><row r="1292"><cell r="D1292" t="str"><v>43354PS79SY</v></cell><cell r="E1292" t="str"><v>43354104595715PS79SY</v></cell><cell r="F1292" t="str"><v>Appended from Pub - Not in DCM</v></cell></row><row r="1292"><cell r="I1292" t="str"><v>Azure Direct</v></cell><cell r="J1292" t="str"><v>Azure Direct</v></cell><cell r="K1292" t="str"><v>September</v></cell><cell r="L1292"><v>43358</v></cell><cell r="M1292" t="str"><v>Tier 0</v></cell><cell r="N1292" t="str"><v>North America</v></cell><cell r="O1292" t="str"><v>United States</v></cell><cell r="P1292" t="str"><v>Trial</v></cell><cell r="Q1292" t="str"><v>Social</v></cell><cell r="R1292" t="str"><v>Azure</v></cell><cell r="S1292" t="str"><v>Apps & Infra</v></cell><cell r="T1292" t="str"><v>Developers & ITI's</v></cell><cell r="U1292" t="str"><v>USA-Trial-ITD-Retargeting-AZR-AZR</v></cell><cell r="V1292" t="str"><v>Retargeting</v></cell><cell r="W1292" t="str"><v>Canvas Ad</v></cell><cell r="X1292" t="str"><v>1200x628</v></cell><cell r="Y1292" t="str"><v>Sign Up</v></cell><cell r="Z1292" t="str"><v>Not Applicable</v></cell><cell r="AA1292"><v>43354</v></cell><cell r="AB1292" t="str"><v>USA_gaPMG_AZR_AZR_Q1_19_Direct-Social</v></cell><cell r="AC1292"><v>21358715</v></cell><cell r="AD1292"><v>720197</v></cell><cell r="AE1292" t="str"><v>Linkedin</v></cell><cell r="AF1292"><v>3654329</v></cell><cell r="AG1292" t="str"><v>FACEBOOK»USA-Trial-ITD-Retargeting-AZR-AZR»1 x 1»SocialBan»CAN»ALL»CPA»RT»X»NA»SS»NA»FreeAcctRetargetingVMFB-OnDemand-ChE»PS79SY</v></cell><cell r="AH1292" t="str"><v>PS79SY</v></cell><cell r="AI1292" t="str"><v>AZR_FreeAcctRetargetingVMFB-OnDemand-ChE_USA_1200x628_CAN_Plat_English_Free Account_Standard_NA_SINU_T2_1</v></cell><cell r="AJ1292"><v>104595715</v></cell></row><row r="1293"><cell r="D1293" t="str"><v>43354PS7B4Z</v></cell><cell r="E1293" t="str"><v>43354104593438PS7B4Z</v></cell><cell r="F1293" t="str"><v>Appended from Pub - Not in DCM</v></cell></row><row r="1293"><cell r="I1293" t="str"><v>Azure Direct</v></cell><cell r="J1293" t="str"><v>Azure Direct</v></cell><cell r="K1293" t="str"><v>September</v></cell><cell r="L1293"><v>43358</v></cell><cell r="M1293" t="str"><v>Tier 0</v></cell><cell r="N1293" t="str"><v>North America</v></cell><cell r="O1293" t="str"><v>United States</v></cell><cell r="P1293" t="str"><v>Trial</v></cell><cell r="Q1293" t="str"><v>Social</v></cell><cell r="R1293" t="str"><v>Azure</v></cell><cell r="S1293" t="str"><v>Apps & Infra</v></cell><cell r="T1293" t="str"><v>Developers & ITI's</v></cell><cell r="U1293" t="str"><v>USA-Trial-ITD-Trial Lookalike-AZR-AZR</v></cell><cell r="V1293" t="str"><v>Lookalike Targeting</v></cell><cell r="W1293" t="str"><v>Canvas Ad</v></cell><cell r="X1293" t="str"><v>1200x1200</v></cell><cell r="Y1293" t="str"><v>Learn More</v></cell><cell r="Z1293" t="str"><v>Animated Banner</v></cell><cell r="AA1293"><v>43354</v></cell><cell r="AB1293" t="str"><v>USA_gaPMG_AZR_AZR_Q1_19_Direct-Social</v></cell><cell r="AC1293"><v>21358715</v></cell><cell r="AD1293"><v>720197</v></cell><cell r="AE1293" t="str"><v>Linkedin</v></cell><cell r="AF1293"><v>3654329</v></cell><cell r="AG1293" t="str"><v>FACEBOOK»USA-Trial-ITD-Trial Lookalike-AZR-AZR»1 x 1»SocialBan»CAN»ALL»CPA»LAL»X»NA»SS»NA»FreeAcctDeveloperFB-AnimatedOpenSource-Ch2»PS7B4Z</v></cell><cell r="AH1293" t="str"><v>PS7B4Z</v></cell><cell r="AI1293" t="str"><v>AZR_FreeAcctDeveloperFB-AnimatedOpenSource-Ch2_USA_1200x1200_CAN_Direct_EN_Trial_Standard_ANI_LEA_T2_2</v></cell><cell r="AJ1293"><v>104593438</v></cell></row><row r="1294"><cell r="D1294" t="str"><v>43354PRC2FH</v></cell><cell r="E1294" t="str"><v>43354103050783PRC2FH</v></cell><cell r="F1294" t="str"><v>Appended from Pub - Not in DCM</v></cell></row><row r="1294"><cell r="I1294" t="str"><v>Azure Direct</v></cell><cell r="J1294" t="str"><v>Azure Direct</v></cell><cell r="K1294" t="str"><v>September</v></cell><cell r="L1294"><v>43358</v></cell><cell r="M1294" t="str"><v>Tier 0</v></cell><cell r="N1294" t="str"><v>North America</v></cell><cell r="O1294" t="str"><v>United States</v></cell><cell r="P1294" t="str"><v>Trial</v></cell><cell r="Q1294" t="str"><v>Social</v></cell><cell r="R1294" t="str"><v>Azure</v></cell><cell r="S1294" t="str"><v>Apps & Infra</v></cell><cell r="T1294" t="str"><v>Developers & ITI's</v></cell><cell r="U1294" t="str"><v>USA-Trial-ITD-Trial Lookalike-AZR-AZR</v></cell><cell r="V1294" t="str"><v>Lookalike Targeting</v></cell><cell r="W1294" t="str"><v>Canvas Ad</v></cell><cell r="X1294" t="str"><v>10s</v></cell><cell r="Y1294" t="str"><v>Try it Now</v></cell><cell r="Z1294" t="str"><v>Standard videos</v></cell><cell r="AA1294"><v>43354</v></cell><cell r="AB1294" t="str"><v>USA_gaPMG_AZR_AZR_Q1_19_Direct-Social</v></cell><cell r="AC1294"><v>21358715</v></cell><cell r="AD1294"><v>720197</v></cell><cell r="AE1294" t="str"><v>Linkedin</v></cell><cell r="AF1294"><v>3654329</v></cell><cell r="AG1294" t="str"><v>INSTAGRAM»USA-Trial-ITD-Trial Lookalike-AZR-AZR»1 x 1»SocialBan»CAN»ALL»CPA»LAL»X»NA»SS»NA»IGCTCBrandinMotion»PRC2FH</v></cell><cell r="AH1294" t="str"><v>PRC2FH</v></cell><cell r="AI1294" t="str"><v>AzurePlatform_IGCTCBenefit2inMotion_USA_10s_CAN_PLATFORM_English_Trial_Standard_STAN_TIN_T4_1</v></cell><cell r="AJ1294"><v>103050783</v></cell></row><row r="1295"><cell r="D1295" t="str"><v>43354PRC1LZ</v></cell><cell r="E1295" t="str"><v>43354103043823PRC1LZ</v></cell><cell r="F1295" t="str"><v>Appended from Pub - Not in DCM</v></cell></row><row r="1295"><cell r="I1295" t="str"><v>Azure Direct</v></cell><cell r="J1295" t="str"><v>Azure Direct</v></cell><cell r="K1295" t="str"><v>September</v></cell><cell r="L1295"><v>43358</v></cell><cell r="M1295" t="str"><v>Tier 0</v></cell><cell r="N1295" t="str"><v>North America</v></cell><cell r="O1295" t="str"><v>United States</v></cell><cell r="P1295" t="str"><v>Trial</v></cell><cell r="Q1295" t="str"><v>Social</v></cell><cell r="R1295" t="str"><v>Azure</v></cell><cell r="S1295" t="str"><v>Apps & Infra</v></cell><cell r="T1295" t="str"><v>Developers & ITI's</v></cell><cell r="U1295" t="str"><v>USA-Trial-ITD-Trial Lookalike-AZR-AZR</v></cell><cell r="V1295" t="str"><v>Lookalike Targeting</v></cell><cell r="W1295" t="str"><v>Canvas Ad</v></cell><cell r="X1295" t="str"><v>10s</v></cell><cell r="Y1295" t="str"><v>Try it Now</v></cell><cell r="Z1295" t="str"><v>Standard videos</v></cell><cell r="AA1295"><v>43354</v></cell><cell r="AB1295" t="str"><v>USA_gaPMG_AZR_AZR_Q1_19_Direct-Social</v></cell><cell r="AC1295"><v>21358715</v></cell><cell r="AD1295"><v>720197</v></cell><cell r="AE1295" t="str"><v>Linkedin</v></cell><cell r="AF1295"><v>3654329</v></cell><cell r="AG1295" t="str"><v>FACEBOOK»USA-Trial-ITD-Trial Lookalike-AZR-AZR»1 x 1»SocialBan»CAN»ALL»CPA»LAL»X»NA»SS»NA»FBCTCBasicMotion»PRC1LZ</v></cell><cell r="AH1295" t="str"><v>PRC1LZ</v></cell><cell r="AI1295" t="str"><v>AzurePlatform_FBCTCBasicMotion_USA_10s_CAN_PLATFORM_English_Trial_Standard_STAN_TIN_T1_1</v></cell><cell r="AJ1295"><v>103043823</v></cell></row><row r="1296"><cell r="D1296" t="str"><v>43354PRC1VW</v></cell><cell r="E1296" t="str"><v>43354103032775PRC1VW</v></cell><cell r="F1296" t="str"><v>Appended from Pub - Not in DCM</v></cell></row><row r="1296"><cell r="I1296" t="str"><v>Azure Direct</v></cell><cell r="J1296" t="str"><v>Azure Direct</v></cell><cell r="K1296" t="str"><v>September</v></cell><cell r="L1296"><v>43358</v></cell><cell r="M1296" t="str"><v>Tier 0</v></cell><cell r="N1296" t="str"><v>North America</v></cell><cell r="O1296" t="str"><v>United States</v></cell><cell r="P1296" t="str"><v>Trial</v></cell><cell r="Q1296" t="str"><v>Social</v></cell><cell r="R1296" t="str"><v>Azure</v></cell><cell r="S1296" t="str"><v>Apps & Infra</v></cell><cell r="T1296" t="str"><v>Developers & ITI's</v></cell><cell r="U1296" t="str"><v>USA-Trial-ITD-Lead Completes-AZR-AZR</v></cell><cell r="V1296" t="str"><v>Prospecting</v></cell><cell r="W1296" t="str"><v>Canvas Ad</v></cell><cell r="X1296" t="str"><v>10s</v></cell><cell r="Y1296" t="str"><v>Try it Now</v></cell><cell r="Z1296" t="str"><v>Standard videos</v></cell><cell r="AA1296"><v>43354</v></cell><cell r="AB1296" t="str"><v>USA_gaPMG_AZR_AZR_Q1_19_Direct-Social</v></cell><cell r="AC1296"><v>21358715</v></cell><cell r="AD1296"><v>720197</v></cell><cell r="AE1296" t="str"><v>Linkedin</v></cell><cell r="AF1296"><v>3654329</v></cell><cell r="AG1296" t="str"><v>FACEBOOK»USA-Trial-ITD-Lead Completes-AZR-AZR»1 x 1»SocialBan»CAN»ALL»CPA»PRO»X»NA»SS»NA»FBCTCBenefitinMotion»PRC1VW</v></cell><cell r="AH1296" t="str"><v>PRC1VW</v></cell><cell r="AI1296" t="str"><v>AzurePlatform_FBCTCBenefitinMotion_USA_10s_CAN_PLATFORM_English_Trial_Standard_STAN_TIN_T3_1</v></cell><cell r="AJ1296"><v>103032775</v></cell></row><row r="1297"><cell r="D1297" t="str"><v>43354PRC1VV</v></cell><cell r="E1297" t="str"><v>43354103043835PRC1VV</v></cell><cell r="F1297" t="str"><v>Appended from Pub - Not in DCM</v></cell></row><row r="1297"><cell r="I1297" t="str"><v>Azure Direct</v></cell><cell r="J1297" t="str"><v>Azure Direct</v></cell><cell r="K1297" t="str"><v>September</v></cell><cell r="L1297"><v>43358</v></cell><cell r="M1297" t="str"><v>Tier 0</v></cell><cell r="N1297" t="str"><v>North America</v></cell><cell r="O1297" t="str"><v>United States</v></cell><cell r="P1297" t="str"><v>Trial</v></cell><cell r="Q1297" t="str"><v>Social</v></cell><cell r="R1297" t="str"><v>Azure</v></cell><cell r="S1297" t="str"><v>Apps & Infra</v></cell><cell r="T1297" t="str"><v>Developers & ITI's</v></cell><cell r="U1297" t="str"><v>USA-Trial-ITD-Lead Completes-AZR-AZR</v></cell><cell r="V1297" t="str"><v>Prospecting</v></cell><cell r="W1297" t="str"><v>Canvas Ad</v></cell><cell r="X1297" t="str"><v>10s</v></cell><cell r="Y1297" t="str"><v>Try it Now</v></cell><cell r="Z1297" t="str"><v>Standard videos</v></cell><cell r="AA1297"><v>43354</v></cell><cell r="AB1297" t="str"><v>USA_gaPMG_AZR_AZR_Q1_19_Direct-Social</v></cell><cell r="AC1297"><v>21358715</v></cell><cell r="AD1297"><v>720197</v></cell><cell r="AE1297" t="str"><v>Linkedin</v></cell><cell r="AF1297"><v>3654329</v></cell><cell r="AG1297" t="str"><v>FACEBOOK»USA-Trial-ITD-Lead Completes-AZR-AZR»1 x 1»SocialBan»CAN»ALL»CPA»PRO»X»NA»SS»NA»FBCTCBenefit2inMotion»PRC1VV</v></cell><cell r="AH1297" t="str"><v>PRC1VV</v></cell><cell r="AI1297" t="str"><v>AzurePlatform_FBCTCBenefit2inMotion_USA_10s_CAN_PLATFORM_English_Trial_Standard_STAN_TIN_T4_1</v></cell><cell r="AJ1297"><v>103043835</v></cell></row><row r="1298"><cell r="D1298" t="str"><v>43354PRC1W1</v></cell><cell r="E1298" t="str"><v>43354103032778PRC1W1</v></cell><cell r="F1298" t="str"><v>Appended from Pub - Not in DCM</v></cell></row><row r="1298"><cell r="I1298" t="str"><v>Azure Direct</v></cell><cell r="J1298" t="str"><v>Azure Direct</v></cell><cell r="K1298" t="str"><v>September</v></cell><cell r="L1298"><v>43358</v></cell><cell r="M1298" t="str"><v>Tier 0</v></cell><cell r="N1298" t="str"><v>North America</v></cell><cell r="O1298" t="str"><v>United States</v></cell><cell r="P1298" t="str"><v>Trial</v></cell><cell r="Q1298" t="str"><v>Social</v></cell><cell r="R1298" t="str"><v>Azure</v></cell><cell r="S1298" t="str"><v>Apps & Infra</v></cell><cell r="T1298" t="str"><v>Developers & ITI's</v></cell><cell r="U1298" t="str"><v>USA-Trial-ITD-Lead Completes-AZR-AZR</v></cell><cell r="V1298" t="str"><v>Prospecting</v></cell><cell r="W1298" t="str"><v>Link Ad</v></cell><cell r="X1298" t="str"><v>1200x1200</v></cell><cell r="Y1298" t="str"><v>Learn More</v></cell><cell r="Z1298" t="str"><v>Animated Banner</v></cell><cell r="AA1298"><v>43354</v></cell><cell r="AB1298" t="str"><v>USA_gaPMG_AZR_AZR_Q1_19_Direct-Social</v></cell><cell r="AC1298"><v>21358715</v></cell><cell r="AD1298"><v>720197</v></cell><cell r="AE1298" t="str"><v>Linkedin</v></cell><cell r="AF1298"><v>3654329</v></cell><cell r="AG1298" t="str"><v>FACEBOOK»USA-Trial-ITD-Lead Completes-AZR-AZR»1 x 1»SocialBan»LIA»ALL»CPA»PRO»X»NA»SS»NA»FreeAcctDeveloperFB-AnimatedAI-Ch3»PRC1W1</v></cell><cell r="AH1298" t="str"><v>PRC1W1</v></cell><cell r="AI1298" t="str"><v>AZR_FreeAcctDeveloperFB-AnimatedAI-Ch3_USA_1200x1200_CAN_Direct_English_Trial_Standard_ANI_LEA_T3_1</v></cell><cell r="AJ1298"><v>103032778</v></cell></row><row r="1299"><cell r="D1299" t="str"><v>43354PS79TM</v></cell><cell r="E1299" t="str"><v>43354104593450PS79TM</v></cell><cell r="F1299" t="str"><v>Appended from Pub - Not in DCM</v></cell></row><row r="1299"><cell r="I1299" t="str"><v>Azure Direct</v></cell><cell r="J1299" t="str"><v>Azure Direct</v></cell><cell r="K1299" t="str"><v>September</v></cell><cell r="L1299"><v>43358</v></cell><cell r="M1299" t="str"><v>Tier 0</v></cell><cell r="N1299" t="str"><v>North America</v></cell><cell r="O1299" t="str"><v>United States</v></cell><cell r="P1299" t="str"><v>Trial</v></cell><cell r="Q1299" t="str"><v>Social</v></cell><cell r="R1299" t="str"><v>Azure</v></cell><cell r="S1299" t="str"><v>Apps & Infra</v></cell><cell r="T1299" t="str"><v>Developers & ITI's</v></cell><cell r="U1299" t="str"><v>USA-Trial-ITD-Retargeting-AZR-AZR</v></cell><cell r="V1299" t="str"><v>Retargeting</v></cell><cell r="W1299" t="str"><v>Canvas Ad</v></cell><cell r="X1299" t="str"><v>1200x1200</v></cell><cell r="Y1299" t="str"><v>Learn More</v></cell><cell r="Z1299" t="str"><v>Animated Banner</v></cell><cell r="AA1299"><v>43354</v></cell><cell r="AB1299" t="str"><v>USA_gaPMG_AZR_AZR_Q1_19_Direct-Social</v></cell><cell r="AC1299"><v>21358715</v></cell><cell r="AD1299"><v>720197</v></cell><cell r="AE1299" t="str"><v>Linkedin</v></cell><cell r="AF1299"><v>3654329</v></cell><cell r="AG1299" t="str"><v>FACEBOOK»USA-Trial-ITD-Retargeting-AZR-AZR»1 x 1»SocialBan»CAN»ALL»CPA»RT»X»NA»SS»NA»FreeAcctITProFB-AnimatedMigration-Ch3»PS79TM</v></cell><cell r="AH1299" t="str"><v>PS79TM</v></cell><cell r="AI1299" t="str"><v>AZR_FreeAcctITProFB-AnimatedMigration-Ch3_USA_1200x1200_CAN_Direct_EN_Trial_Standard_ANI_LEA_T3_1</v></cell><cell r="AJ1299"><v>104593450</v></cell></row><row r="1300"><cell r="D1300" t="str"><v>43354PS79TK</v></cell><cell r="E1300" t="str"><v>43354104593738PS79TK</v></cell><cell r="F1300" t="str"><v>Appended from Pub - Not in DCM</v></cell></row><row r="1300"><cell r="I1300" t="str"><v>Azure Direct</v></cell><cell r="J1300" t="str"><v>Azure Direct</v></cell><cell r="K1300" t="str"><v>September</v></cell><cell r="L1300"><v>43358</v></cell><cell r="M1300" t="str"><v>Tier 0</v></cell><cell r="N1300" t="str"><v>North America</v></cell><cell r="O1300" t="str"><v>United States</v></cell><cell r="P1300" t="str"><v>Trial</v></cell><cell r="Q1300" t="str"><v>Social</v></cell><cell r="R1300" t="str"><v>Azure</v></cell><cell r="S1300" t="str"><v>Apps & Infra</v></cell><cell r="T1300" t="str"><v>Developers & ITI's</v></cell><cell r="U1300" t="str"><v>USA-Trial-ITD-Retargeting-AZR-AZR</v></cell><cell r="V1300" t="str"><v>Retargeting</v></cell><cell r="W1300" t="str"><v>Canvas Ad</v></cell><cell r="X1300" t="str"><v>1200x1200</v></cell><cell r="Y1300" t="str"><v>Learn More</v></cell><cell r="Z1300" t="str"><v>Animated Banner</v></cell><cell r="AA1300"><v>43354</v></cell><cell r="AB1300" t="str"><v>USA_gaPMG_AZR_AZR_Q1_19_Direct-Social</v></cell><cell r="AC1300"><v>21358715</v></cell><cell r="AD1300"><v>720197</v></cell><cell r="AE1300" t="str"><v>Linkedin</v></cell><cell r="AF1300"><v>3654329</v></cell><cell r="AG1300" t="str"><v>FACEBOOK»USA-Trial-ITD-Retargeting-AZR-AZR»1 x 1»SocialBan»CAN»ALL»CPA»RT»X»NA»SS»NA»FreeAcctITProFB-AnimatedSecureMngd-Ch1»PS79TK</v></cell><cell r="AH1300" t="str"><v>PS79TK</v></cell><cell r="AI1300" t="str"><v>AZR_FreeAcctITProFB-AnimatedSecureMngd-Ch1_USA_1200x1200_CAN_Direct_EN_Trial_Standard_ANI_LEA_T1_1</v></cell><cell r="AJ1300"><v>104593738</v></cell></row><row r="1301"><cell r="D1301" t="str"><v>43354PRC2FL</v></cell><cell r="E1301" t="str"><v>43354103050786PRC2FL</v></cell><cell r="F1301" t="str"><v>Appended from Pub - Not in DCM</v></cell></row><row r="1301"><cell r="I1301" t="str"><v>Azure Direct</v></cell><cell r="J1301" t="str"><v>Azure Direct</v></cell><cell r="K1301" t="str"><v>September</v></cell><cell r="L1301"><v>43358</v></cell><cell r="M1301" t="str"><v>Tier 0</v></cell><cell r="N1301" t="str"><v>North America</v></cell><cell r="O1301" t="str"><v>United States</v></cell><cell r="P1301" t="str"><v>Trial</v></cell><cell r="Q1301" t="str"><v>Social</v></cell><cell r="R1301" t="str"><v>Azure</v></cell><cell r="S1301" t="str"><v>Apps & Infra</v></cell><cell r="T1301" t="str"><v>Developers & ITI's</v></cell><cell r="U1301" t="str"><v>USA-Trial-ITD-Trial Lookalike-AZR-AZR</v></cell><cell r="V1301" t="str"><v>Lookalike Targeting</v></cell><cell r="W1301" t="str"><v>Canvas Ad</v></cell><cell r="X1301" t="str"><v>10s</v></cell><cell r="Y1301" t="str"><v>Try it Now</v></cell><cell r="Z1301" t="str"><v>Standard videos</v></cell><cell r="AA1301"><v>43354</v></cell><cell r="AB1301" t="str"><v>USA_gaPMG_AZR_AZR_Q1_19_Direct-Social</v></cell><cell r="AC1301"><v>21358715</v></cell><cell r="AD1301"><v>720197</v></cell><cell r="AE1301" t="str"><v>Linkedin</v></cell><cell r="AF1301"><v>3654329</v></cell><cell r="AG1301" t="str"><v>INSTAGRAM»USA-Trial-ITD-Trial Lookalike-AZR-AZR»1 x 1»SocialBan»CAN»ALL»CPA»LAL»X»NA»SS»NA»IGCTCBenefit2inMotion»PRC2FL</v></cell><cell r="AH1301" t="str"><v>PRC2FL</v></cell><cell r="AI1301" t="str"><v>AzurePlatform_IGCTCBrandinMotion_USA_10s_CAN_PLATFORM_English_Trial_Standard_STAN_TIN_T2_2</v></cell><cell r="AJ1301"><v>103050786</v></cell></row><row r="1302"><cell r="D1302" t="str"><v>43354PS79S1</v></cell><cell r="E1302" t="str"><v>43354104595769PS79S1</v></cell><cell r="F1302" t="str"><v>Appended from Pub - Not in DCM</v></cell></row><row r="1302"><cell r="I1302" t="str"><v>Azure Direct</v></cell><cell r="J1302" t="str"><v>Azure Direct</v></cell><cell r="K1302" t="str"><v>September</v></cell><cell r="L1302"><v>43358</v></cell><cell r="M1302" t="str"><v>Tier 0</v></cell><cell r="N1302" t="str"><v>North America</v></cell><cell r="O1302" t="str"><v>United States</v></cell><cell r="P1302" t="str"><v>Trial</v></cell><cell r="Q1302" t="str"><v>Social</v></cell><cell r="R1302" t="str"><v>Azure</v></cell><cell r="S1302" t="str"><v>Apps & Infra</v></cell><cell r="T1302" t="str"><v>Developers & ITI's</v></cell><cell r="U1302" t="str"><v>USA-Trial-ITD-Retargeting-AZR-AZR</v></cell><cell r="V1302" t="str"><v>Retargeting</v></cell><cell r="W1302" t="str"><v>Canvas Ad</v></cell><cell r="X1302" t="str"><v>1200x628</v></cell><cell r="Y1302" t="str"><v>Sign Up</v></cell><cell r="Z1302" t="str"><v>Not Applicable</v></cell><cell r="AA1302"><v>43354</v></cell><cell r="AB1302" t="str"><v>USA_gaPMG_AZR_AZR_Q1_19_Direct-Social</v></cell><cell r="AC1302"><v>21358715</v></cell><cell r="AD1302"><v>720197</v></cell><cell r="AE1302" t="str"><v>Linkedin</v></cell><cell r="AF1302"><v>3654329</v></cell><cell r="AG1302" t="str"><v>FACEBOOK»USA-Trial-ITD-Retargeting-AZR-AZR»1 x 1»SocialBan»CAN»ALL»CPA»RT»X»NA»SS»NA»FreeAcctRetargetingFB-Credit-ChA»PS79S1</v></cell><cell r="AH1302" t="str"><v>PS79S1</v></cell><cell r="AI1302" t="str"><v>AZR_FreeAcctRetargetingFB-Credit-ChA_USA_1200x628_CAN_Plat_English_Free Account_Standard_NA_SINU_T1_1</v></cell><cell r="AJ1302"><v>104595769</v></cell></row><row r="1303"><cell r="D1303" t="str"><v>43354PS79SS</v></cell><cell r="E1303" t="str"><v>43354104593441PS79SS</v></cell><cell r="F1303" t="str"><v>Appended from Pub - Not in DCM</v></cell></row><row r="1303"><cell r="I1303" t="str"><v>Azure Direct</v></cell><cell r="J1303" t="str"><v>Azure Direct</v></cell><cell r="K1303" t="str"><v>September</v></cell><cell r="L1303"><v>43358</v></cell><cell r="M1303" t="str"><v>Tier 0</v></cell><cell r="N1303" t="str"><v>North America</v></cell><cell r="O1303" t="str"><v>United States</v></cell><cell r="P1303" t="str"><v>Trial</v></cell><cell r="Q1303" t="str"><v>Social</v></cell><cell r="R1303" t="str"><v>Azure</v></cell><cell r="S1303" t="str"><v>Apps & Infra</v></cell><cell r="T1303" t="str"><v>Developers & ITI's</v></cell><cell r="U1303" t="str"><v>USA-Trial-ITD-Retargeting-AZR-AZR</v></cell><cell r="V1303" t="str"><v>Retargeting</v></cell><cell r="W1303" t="str"><v>Canvas Ad</v></cell><cell r="X1303" t="str"><v>1200x628</v></cell><cell r="Y1303" t="str"><v>Sign Up</v></cell><cell r="Z1303" t="str"><v>Not Applicable</v></cell><cell r="AA1303"><v>43354</v></cell><cell r="AB1303" t="str"><v>USA_gaPMG_AZR_AZR_Q1_19_Direct-Social</v></cell><cell r="AC1303"><v>21358715</v></cell><cell r="AD1303"><v>720197</v></cell><cell r="AE1303" t="str"><v>Linkedin</v></cell><cell r="AF1303"><v>3654329</v></cell><cell r="AG1303" t="str"><v>FACEBOOK»USA-Trial-ITD-Retargeting-AZR-AZR»1 x 1»SocialBan»CAN»ALL»CPA»RT»X»NA»SS»NA»FreeAcctRetargetingFB-GlobalAlt-ChB»PS79SS</v></cell><cell r="AH1303" t="str"><v>PS79SS</v></cell><cell r="AI1303" t="str"><v>AZR_FreeAcctRetargetingFB-GlobalAlt-ChB_USA_1200x628_CAN_Plat_English_Free Account_Standard_NA_SINU_T2_2</v></cell><cell r="AJ1303"><v>104593441</v></cell></row><row r="1304"><cell r="D1304" t="str"><v>43354PS79T6</v></cell><cell r="E1304" t="str"><v>43354104671427PS79T6</v></cell><cell r="F1304" t="str"><v>Appended from Pub - Not in DCM</v></cell></row><row r="1304"><cell r="I1304" t="str"><v>Azure Direct</v></cell><cell r="J1304" t="str"><v>Azure Direct</v></cell><cell r="K1304" t="str"><v>September</v></cell><cell r="L1304"><v>43358</v></cell><cell r="M1304" t="str"><v>Tier 0</v></cell><cell r="N1304" t="str"><v>North America</v></cell><cell r="O1304" t="str"><v>United States</v></cell><cell r="P1304" t="str"><v>Trial</v></cell><cell r="Q1304" t="str"><v>Social</v></cell><cell r="R1304" t="str"><v>Azure</v></cell><cell r="S1304" t="str"><v>Apps & Infra</v></cell><cell r="T1304" t="str"><v>Developers & ITI's</v></cell><cell r="U1304" t="str"><v>USA-Trial-ITD-Retargeting-AZR-AZR</v></cell><cell r="V1304" t="str"><v>Retargeting</v></cell><cell r="W1304" t="str"><v>Canvas Ad</v></cell><cell r="X1304" t="str"><v>1200x1200</v></cell><cell r="Y1304" t="str"><v>Learn More</v></cell><cell r="Z1304" t="str"><v>Animated Banner</v></cell><cell r="AA1304"><v>43354</v></cell><cell r="AB1304" t="str"><v>USA_gaPMG_AZR_AZR_Q1_19_Direct-Social</v></cell><cell r="AC1304"><v>21358715</v></cell><cell r="AD1304"><v>720197</v></cell><cell r="AE1304" t="str"><v>Linkedin</v></cell><cell r="AF1304"><v>3654329</v></cell><cell r="AG1304" t="str"><v>FACEBOOK»USA-Trial-ITD-Retargeting-AZR-AZR»1 x 1»SocialBan»CAN»ALL»CPA»RT»X»NA»SS»NA»FreeAcctDeveloperFB-AnimatedOpenSource-Ch2»PS79T6</v></cell><cell r="AH1304" t="str"><v>PS79T6</v></cell><cell r="AI1304" t="str"><v>AZR_FreeAcctDeveloperFB-AnimatedOpenSource-Ch2_USA_1200x1200_CAN_Direct_EN_Trial_Standard_ANI_LEA_T2_1</v></cell><cell r="AJ1304"><v>104671427</v></cell></row><row r="1305"><cell r="D1305" t="str"><v>43354PS79T3</v></cell><cell r="E1305" t="str"><v>43354104595766PS79T3</v></cell><cell r="F1305" t="str"><v>Appended from Pub - Not in DCM</v></cell></row><row r="1305"><cell r="I1305" t="str"><v>Azure Direct</v></cell><cell r="J1305" t="str"><v>Azure Direct</v></cell><cell r="K1305" t="str"><v>September</v></cell><cell r="L1305"><v>43358</v></cell><cell r="M1305" t="str"><v>Tier 0</v></cell><cell r="N1305" t="str"><v>North America</v></cell><cell r="O1305" t="str"><v>United States</v></cell><cell r="P1305" t="str"><v>Trial</v></cell><cell r="Q1305" t="str"><v>Social</v></cell><cell r="R1305" t="str"><v>Azure</v></cell><cell r="S1305" t="str"><v>Apps & Infra</v></cell><cell r="T1305" t="str"><v>Developers & ITI's</v></cell><cell r="U1305" t="str"><v>USA-Trial-ITD-Retargeting-AZR-AZR</v></cell><cell r="V1305" t="str"><v>Retargeting</v></cell><cell r="W1305" t="str"><v>Canvas Ad</v></cell><cell r="X1305" t="str"><v>1200x1200</v></cell><cell r="Y1305" t="str"><v>Learn More</v></cell><cell r="Z1305" t="str"><v>Animated Banner</v></cell><cell r="AA1305"><v>43354</v></cell><cell r="AB1305" t="str"><v>USA_gaPMG_AZR_AZR_Q1_19_Direct-Social</v></cell><cell r="AC1305"><v>21358715</v></cell><cell r="AD1305"><v>720197</v></cell><cell r="AE1305" t="str"><v>Linkedin</v></cell><cell r="AF1305"><v>3654329</v></cell><cell r="AG1305" t="str"><v>FACEBOOK»USA-Trial-ITD-Retargeting-AZR-AZR»1 x 1»SocialBan»CAN»ALL»CPA»RT»X»NA»SS»NA»FreeAcctDeveloperFB-AnimatedGeneric-Ch1»PS79T3</v></cell><cell r="AH1305" t="str"><v>PS79T3</v></cell><cell r="AI1305" t="str"><v>AZR_FreeAcctDeveloperFB-AnimatedGeneric-Ch1_USA_1200x1200_CAN_Direct_EN_Trial_Standard_ANI_LEA_T1_1</v></cell><cell r="AJ1305"><v>104595766</v></cell></row><row r="1306"><cell r="D1306" t="str"><v>43354PRC2FZ</v></cell><cell r="E1306" t="str"><v>43354103180628PRC2FZ</v></cell><cell r="F1306" t="str"><v>Appended from Pub - Not in DCM</v></cell></row><row r="1306"><cell r="I1306" t="str"><v>Azure Direct</v></cell><cell r="J1306" t="str"><v>Azure Direct</v></cell><cell r="K1306" t="str"><v>September</v></cell><cell r="L1306"><v>43358</v></cell><cell r="M1306" t="str"><v>Tier 0</v></cell><cell r="N1306" t="str"><v>North America</v></cell><cell r="O1306" t="str"><v>United States</v></cell><cell r="P1306" t="str"><v>Trial</v></cell><cell r="Q1306" t="str"><v>Social</v></cell><cell r="R1306" t="str"><v>Azure</v></cell><cell r="S1306" t="str"><v>Apps & Infra</v></cell><cell r="T1306" t="str"><v>Developers & ITI's</v></cell><cell r="U1306" t="str"><v>USA-Trial-ITD-Trial PayGo Lookalike-AZR-AZR</v></cell><cell r="V1306" t="str"><v>Lookalike Targeting</v></cell><cell r="W1306" t="str"><v>Canvas Ad</v></cell><cell r="X1306" t="str"><v>10s</v></cell><cell r="Y1306" t="str"><v>Try it Now</v></cell><cell r="Z1306" t="str"><v>Standard videos</v></cell><cell r="AA1306"><v>43354</v></cell><cell r="AB1306" t="str"><v>USA_gaPMG_AZR_AZR_Q1_19_Direct-Social</v></cell><cell r="AC1306"><v>21358715</v></cell><cell r="AD1306"><v>720197</v></cell><cell r="AE1306" t="str"><v>Linkedin</v></cell><cell r="AF1306"><v>3654329</v></cell><cell r="AG1306" t="str"><v>INSTAGRAM»USA-Trial-ITD-Trial PayGo Lookalike-AZR-AZR»1 x 1»SocialBan»CAN»ALL»CPA»LAL»X»NA»SS»NA»IGCTCBenefit2inMotion»PRC2FZ</v></cell><cell r="AH1306" t="str"><v>PRC2FZ</v></cell><cell r="AI1306" t="str"><v>AzurePlatform_IGCTCBrandinMotion_USA_10s_CAN_PLATFORM_English_Trial_Standard_STAN_TIN_T2_1</v></cell><cell r="AJ1306"><v>103180628</v></cell></row><row r="1307"><cell r="D1307" t="str"><v>43354PS79T5</v></cell><cell r="E1307" t="str"><v>43354104592523PS79T5</v></cell><cell r="F1307" t="str"><v>Appended from Pub - Not in DCM</v></cell></row><row r="1307"><cell r="I1307" t="str"><v>Azure Direct</v></cell><cell r="J1307" t="str"><v>Azure Direct</v></cell><cell r="K1307" t="str"><v>September</v></cell><cell r="L1307"><v>43358</v></cell><cell r="M1307" t="str"><v>Tier 0</v></cell><cell r="N1307" t="str"><v>North America</v></cell><cell r="O1307" t="str"><v>United States</v></cell><cell r="P1307" t="str"><v>Trial</v></cell><cell r="Q1307" t="str"><v>Social</v></cell><cell r="R1307" t="str"><v>Azure</v></cell><cell r="S1307" t="str"><v>Apps & Infra</v></cell><cell r="T1307" t="str"><v>Developers & ITI's</v></cell><cell r="U1307" t="str"><v>USA-Trial-ITD-Retargeting-AZR-AZR</v></cell><cell r="V1307" t="str"><v>Retargeting</v></cell><cell r="W1307" t="str"><v>Canvas Ad</v></cell><cell r="X1307" t="str"><v>1200x1200</v></cell><cell r="Y1307" t="str"><v>Learn More</v></cell><cell r="Z1307" t="str"><v>Animated Banner</v></cell><cell r="AA1307"><v>43354</v></cell><cell r="AB1307" t="str"><v>USA_gaPMG_AZR_AZR_Q1_19_Direct-Social</v></cell><cell r="AC1307"><v>21358715</v></cell><cell r="AD1307"><v>720197</v></cell><cell r="AE1307" t="str"><v>Linkedin</v></cell><cell r="AF1307"><v>3654329</v></cell><cell r="AG1307" t="str"><v>FACEBOOK»USA-Trial-ITD-Retargeting-AZR-AZR»1 x 1»SocialBan»CAN»ALL»CPA»RT»X»NA»SS»NA»FreeAcctDeveloperFB-AnimatedGeneric-Ch1»PS79T5</v></cell><cell r="AH1307" t="str"><v>PS79T5</v></cell><cell r="AI1307" t="str"><v>AZR_FreeAcctDeveloperFB-AnimatedGeneric-Ch1_USA_1200x1200_CAN_Direct_EN_Trial_Standard_ANI_LEA_T1_2</v></cell><cell r="AJ1307"><v>104592523</v></cell></row><row r="1308"><cell r="D1308" t="str"><v>43354PS7B5Q</v></cell><cell r="E1308" t="str"><v>43354104595766PS7B5Q</v></cell><cell r="F1308" t="str"><v>Appended from Pub - Not in DCM</v></cell></row><row r="1308"><cell r="I1308" t="str"><v>Azure Direct</v></cell><cell r="J1308" t="str"><v>Azure Direct</v></cell><cell r="K1308" t="str"><v>September</v></cell><cell r="L1308"><v>43358</v></cell><cell r="M1308" t="str"><v>Tier 0</v></cell><cell r="N1308" t="str"><v>North America</v></cell><cell r="O1308" t="str"><v>United States</v></cell><cell r="P1308" t="str"><v>Trial</v></cell><cell r="Q1308" t="str"><v>Social</v></cell><cell r="R1308" t="str"><v>Azure</v></cell><cell r="S1308" t="str"><v>Apps & Infra</v></cell><cell r="T1308" t="str"><v>Developers & ITI's</v></cell><cell r="U1308" t="str"><v>USA-Trial-ITD-Trial PayGo Lookalike-AZR-AZR</v></cell><cell r="V1308" t="str"><v>Lookalike Targeting</v></cell><cell r="W1308" t="str"><v>Canvas Ad</v></cell><cell r="X1308" t="str"><v>1200x1200</v></cell><cell r="Y1308" t="str"><v>Learn More</v></cell><cell r="Z1308" t="str"><v>Animated Banner</v></cell><cell r="AA1308"><v>43354</v></cell><cell r="AB1308" t="str"><v>USA_gaPMG_AZR_AZR_Q1_19_Direct-Social</v></cell><cell r="AC1308"><v>21358715</v></cell><cell r="AD1308"><v>720197</v></cell><cell r="AE1308" t="str"><v>Linkedin</v></cell><cell r="AF1308"><v>3654329</v></cell><cell r="AG1308" t="str"><v>FACEBOOK»USA-Trial-ITD-Trial PayGo Lookalike-AZR-AZR»1 x 1»SocialBan»CAN»ALL»CPA»LAL»X»NA»SS»NA»FreeAcctDeveloperFB-AnimatedGeneric-Ch1»PS7B5Q</v></cell><cell r="AH1308" t="str"><v>PS7B5Q</v></cell><cell r="AI1308" t="str"><v>AZR_FreeAcctDeveloperFB-AnimatedGeneric-Ch1_USA_1200x1200_CAN_Direct_EN_Trial_Standard_ANI_LEA_T1_1</v></cell><cell r="AJ1308"><v>104595766</v></cell></row><row r="1309"><cell r="D1309" t="str"><v>43354PS7B5R</v></cell><cell r="E1309" t="str"><v>43354104593438PS7B5R</v></cell><cell r="F1309" t="str"><v>Appended from Pub - Not in DCM</v></cell></row><row r="1309"><cell r="I1309" t="str"><v>Azure Direct</v></cell><cell r="J1309" t="str"><v>Azure Direct</v></cell><cell r="K1309" t="str"><v>September</v></cell><cell r="L1309"><v>43358</v></cell><cell r="M1309" t="str"><v>Tier 0</v></cell><cell r="N1309" t="str"><v>North America</v></cell><cell r="O1309" t="str"><v>United States</v></cell><cell r="P1309" t="str"><v>Trial</v></cell><cell r="Q1309" t="str"><v>Social</v></cell><cell r="R1309" t="str"><v>Azure</v></cell><cell r="S1309" t="str"><v>Apps & Infra</v></cell><cell r="T1309" t="str"><v>Developers & ITI's</v></cell><cell r="U1309" t="str"><v>USA-Trial-ITD-Trial PayGo Lookalike-AZR-AZR</v></cell><cell r="V1309" t="str"><v>Lookalike Targeting</v></cell><cell r="W1309" t="str"><v>Canvas Ad</v></cell><cell r="X1309" t="str"><v>1200x1200</v></cell><cell r="Y1309" t="str"><v>Learn More</v></cell><cell r="Z1309" t="str"><v>Animated Banner</v></cell><cell r="AA1309"><v>43354</v></cell><cell r="AB1309" t="str"><v>USA_gaPMG_AZR_AZR_Q1_19_Direct-Social</v></cell><cell r="AC1309"><v>21358715</v></cell><cell r="AD1309"><v>720197</v></cell><cell r="AE1309" t="str"><v>Linkedin</v></cell><cell r="AF1309"><v>3654329</v></cell><cell r="AG1309" t="str"><v>FACEBOOK»USA-Trial-ITD-Trial PayGo Lookalike-AZR-AZR»1 x 1»SocialBan»CAN»ALL»CPA»LAL»X»NA»SS»NA»FreeAcctDeveloperFB-AnimatedOpenSource-Ch2»PS7B5R</v></cell><cell r="AH1309" t="str"><v>PS7B5R</v></cell><cell r="AI1309" t="str"><v>AZR_FreeAcctDeveloperFB-AnimatedOpenSource-Ch2_USA_1200x1200_CAN_Direct_EN_Trial_Standard_ANI_LEA_T2_2</v></cell><cell r="AJ1309"><v>104593438</v></cell></row><row r="1310"><cell r="D1310" t="str"><v>43354PRC1M3</v></cell><cell r="E1310" t="str"><v>43354103176812PRC1M3</v></cell><cell r="F1310" t="str"><v>Appended from Pub - Not in DCM</v></cell></row><row r="1310"><cell r="I1310" t="str"><v>Azure Direct</v></cell><cell r="J1310" t="str"><v>Azure Direct</v></cell><cell r="K1310" t="str"><v>September</v></cell><cell r="L1310"><v>43358</v></cell><cell r="M1310" t="str"><v>Tier 0</v></cell><cell r="N1310" t="str"><v>North America</v></cell><cell r="O1310" t="str"><v>United States</v></cell><cell r="P1310" t="str"><v>Trial</v></cell><cell r="Q1310" t="str"><v>Social</v></cell><cell r="R1310" t="str"><v>Azure</v></cell><cell r="S1310" t="str"><v>Apps & Infra</v></cell><cell r="T1310" t="str"><v>Developers & ITI's</v></cell><cell r="U1310" t="str"><v>USA-Trial-ITD-Trial Lookalike-AZR-AZR</v></cell><cell r="V1310" t="str"><v>Lookalike Targeting</v></cell><cell r="W1310" t="str"><v>Canvas Ad</v></cell><cell r="X1310" t="str"><v>10s</v></cell><cell r="Y1310" t="str"><v>Try it Now</v></cell><cell r="Z1310" t="str"><v>Standard videos</v></cell><cell r="AA1310"><v>43354</v></cell><cell r="AB1310" t="str"><v>USA_gaPMG_AZR_AZR_Q1_19_Direct-Social</v></cell><cell r="AC1310"><v>21358715</v></cell><cell r="AD1310"><v>720197</v></cell><cell r="AE1310" t="str"><v>Linkedin</v></cell><cell r="AF1310"><v>3654329</v></cell><cell r="AG1310" t="str"><v>FACEBOOK»USA-Trial-ITD-Trial Lookalike-AZR-AZR»1 x 1»SocialBan»CAN»ALL»CPA»LAL»X»NA»SS»NA»FBCTCBrandinMotion»PRC1M3</v></cell><cell r="AH1310" t="str"><v>PRC1M3</v></cell><cell r="AI1310" t="str"><v>AzurePlatform_FBCTCBrandinMotion_USA_10s_CAN_PLATFORM_English_Trial_Standard_STAN_TIN_T2_1</v></cell><cell r="AJ1310"><v>103176812</v></cell></row><row r="1311"><cell r="D1311" t="str"><v>43354PS7B52</v></cell><cell r="E1311" t="str"><v>43354104595739PS7B52</v></cell><cell r="F1311" t="str"><v>Appended from Pub - Not in DCM</v></cell></row><row r="1311"><cell r="I1311" t="str"><v>Azure Direct</v></cell><cell r="J1311" t="str"><v>Azure Direct</v></cell><cell r="K1311" t="str"><v>September</v></cell><cell r="L1311"><v>43358</v></cell><cell r="M1311" t="str"><v>Tier 0</v></cell><cell r="N1311" t="str"><v>North America</v></cell><cell r="O1311" t="str"><v>United States</v></cell><cell r="P1311" t="str"><v>Trial</v></cell><cell r="Q1311" t="str"><v>Social</v></cell><cell r="R1311" t="str"><v>Azure</v></cell><cell r="S1311" t="str"><v>Apps & Infra</v></cell><cell r="T1311" t="str"><v>Developers & ITI's</v></cell><cell r="U1311" t="str"><v>USA-Trial-ITD-Trial Lookalike-AZR-AZR</v></cell><cell r="V1311" t="str"><v>Lookalike Targeting</v></cell><cell r="W1311" t="str"><v>Canvas Ad</v></cell><cell r="X1311" t="str"><v>1200x1200</v></cell><cell r="Y1311" t="str"><v>Learn More</v></cell><cell r="Z1311" t="str"><v>Animated Banner</v></cell><cell r="AA1311"><v>43354</v></cell><cell r="AB1311" t="str"><v>USA_gaPMG_AZR_AZR_Q1_19_Direct-Social</v></cell><cell r="AC1311"><v>21358715</v></cell><cell r="AD1311"><v>720197</v></cell><cell r="AE1311" t="str"><v>Linkedin</v></cell><cell r="AF1311"><v>3654329</v></cell><cell r="AG1311" t="str"><v>FACEBOOK»USA-Trial-ITD-Trial Lookalike-AZR-AZR»1 x 1»SocialBan»CAN»ALL»CPA»LAL»X»NA»SS»NA»FreeAcctDeveloperFB-AnimatedData-Ch4»PS7B52</v></cell><cell r="AH1311" t="str"><v>PS7B52</v></cell><cell r="AI1311" t="str"><v>AZR_FreeAcctDeveloperFB-AnimatedData-Ch4_USA_1200x1200_CAN_Direct_EN_Trial_Standard_ANI_LEA_T4_1</v></cell><cell r="AJ1311"><v>104595739</v></cell></row><row r="1312"><cell r="D1312" t="str"><v>43354PS7B4Y</v></cell><cell r="E1312" t="str"><v>43354104592523PS7B4Y</v></cell><cell r="F1312" t="str"><v>Appended from Pub - Not in DCM</v></cell></row><row r="1312"><cell r="I1312" t="str"><v>Azure Direct</v></cell><cell r="J1312" t="str"><v>Azure Direct</v></cell><cell r="K1312" t="str"><v>September</v></cell><cell r="L1312"><v>43358</v></cell><cell r="M1312" t="str"><v>Tier 0</v></cell><cell r="N1312" t="str"><v>North America</v></cell><cell r="O1312" t="str"><v>United States</v></cell><cell r="P1312" t="str"><v>Trial</v></cell><cell r="Q1312" t="str"><v>Social</v></cell><cell r="R1312" t="str"><v>Azure</v></cell><cell r="S1312" t="str"><v>Apps & Infra</v></cell><cell r="T1312" t="str"><v>Developers & ITI's</v></cell><cell r="U1312" t="str"><v>USA-Trial-ITD-Trial Lookalike-AZR-AZR</v></cell><cell r="V1312" t="str"><v>Lookalike Targeting</v></cell><cell r="W1312" t="str"><v>Canvas Ad</v></cell><cell r="X1312" t="str"><v>1200x1200</v></cell><cell r="Y1312" t="str"><v>Learn More</v></cell><cell r="Z1312" t="str"><v>Animated Banner</v></cell><cell r="AA1312"><v>43354</v></cell><cell r="AB1312" t="str"><v>USA_gaPMG_AZR_AZR_Q1_19_Direct-Social</v></cell><cell r="AC1312"><v>21358715</v></cell><cell r="AD1312"><v>720197</v></cell><cell r="AE1312" t="str"><v>Linkedin</v></cell><cell r="AF1312"><v>3654329</v></cell><cell r="AG1312" t="str"><v>FACEBOOK»USA-Trial-ITD-Trial Lookalike-AZR-AZR»1 x 1»SocialBan»CAN»ALL»CPA»LAL»X»NA»SS»NA»FreeAcctDeveloperFB-AnimatedGeneric-Ch1»PS7B4Y</v></cell><cell r="AH1312" t="str"><v>PS7B4Y</v></cell><cell r="AI1312" t="str"><v>AZR_FreeAcctDeveloperFB-AnimatedGeneric-Ch1_USA_1200x1200_CAN_Direct_EN_Trial_Standard_ANI_LEA_T1_2</v></cell><cell r="AJ1312"><v>104592523</v></cell></row><row r="1313"><cell r="D1313" t="str"><v>43354PS7B50</v></cell><cell r="E1313" t="str"><v>43354104593735PS7B50</v></cell><cell r="F1313" t="str"><v>Appended from Pub - Not in DCM</v></cell></row><row r="1313"><cell r="I1313" t="str"><v>Azure Direct</v></cell><cell r="J1313" t="str"><v>Azure Direct</v></cell><cell r="K1313" t="str"><v>September</v></cell><cell r="L1313"><v>43358</v></cell><cell r="M1313" t="str"><v>Tier 0</v></cell><cell r="N1313" t="str"><v>North America</v></cell><cell r="O1313" t="str"><v>United States</v></cell><cell r="P1313" t="str"><v>Trial</v></cell><cell r="Q1313" t="str"><v>Social</v></cell><cell r="R1313" t="str"><v>Azure</v></cell><cell r="S1313" t="str"><v>Apps & Infra</v></cell><cell r="T1313" t="str"><v>Developers & ITI's</v></cell><cell r="U1313" t="str"><v>USA-Trial-ITD-Trial Lookalike-AZR-AZR</v></cell><cell r="V1313" t="str"><v>Lookalike Targeting</v></cell><cell r="W1313" t="str"><v>Canvas Ad</v></cell><cell r="X1313" t="str"><v>1200x1200</v></cell><cell r="Y1313" t="str"><v>Learn More</v></cell><cell r="Z1313" t="str"><v>Animated Banner</v></cell><cell r="AA1313"><v>43354</v></cell><cell r="AB1313" t="str"><v>USA_gaPMG_AZR_AZR_Q1_19_Direct-Social</v></cell><cell r="AC1313"><v>21358715</v></cell><cell r="AD1313"><v>720197</v></cell><cell r="AE1313" t="str"><v>Linkedin</v></cell><cell r="AF1313"><v>3654329</v></cell><cell r="AG1313" t="str"><v>FACEBOOK»USA-Trial-ITD-Trial Lookalike-AZR-AZR»1 x 1»SocialBan»CAN»ALL»CPA»LAL»X»NA»SS»NA»FreeAcctDeveloperFB-AnimatedAI-Ch3»PS7B50</v></cell><cell r="AH1313" t="str"><v>PS7B50</v></cell><cell r="AI1313" t="str"><v>AZR_FreeAcctDeveloperFB-AnimatedAI-Ch3_USA_1200x1200_CAN_Direct_EN_Trial_Standard_ANI_LEA_T3_1</v></cell><cell r="AJ1313"><v>104593735</v></cell></row><row r="1314"><cell r="D1314" t="str"><v>43354PS7B6Z</v></cell><cell r="E1314" t="str"><v>43354104592532PS7B6Z</v></cell><cell r="F1314" t="str"><v>Appended from Pub - Not in DCM</v></cell></row><row r="1314"><cell r="I1314" t="str"><v>Azure Direct</v></cell><cell r="J1314" t="str"><v>Azure Direct</v></cell><cell r="K1314" t="str"><v>September</v></cell><cell r="L1314"><v>43358</v></cell><cell r="M1314" t="str"><v>Tier 0</v></cell><cell r="N1314" t="str"><v>North America</v></cell><cell r="O1314" t="str"><v>United States</v></cell><cell r="P1314" t="str"><v>Trial</v></cell><cell r="Q1314" t="str"><v>Social</v></cell><cell r="R1314" t="str"><v>Azure</v></cell><cell r="S1314" t="str"><v>Apps & Infra</v></cell><cell r="T1314" t="str"><v>Developers & ITI's</v></cell><cell r="U1314" t="str"><v>USA-Trial-ITD-Job Titles Prospecting-AZR-AZR</v></cell><cell r="V1314" t="str"><v>Prospecting</v></cell><cell r="W1314" t="str"><v>Video Link ad</v></cell><cell r="X1314" t="str"><v>1920x1080</v></cell><cell r="Y1314" t="str"><v>Learn More</v></cell><cell r="Z1314" t="str"><v>Animated Banner</v></cell><cell r="AA1314"><v>43354</v></cell><cell r="AB1314" t="str"><v>USA_gaPMG_AZR_AZR_Q1_19_Direct-Social</v></cell><cell r="AC1314"><v>21358715</v></cell><cell r="AD1314"><v>720197</v></cell><cell r="AE1314" t="str"><v>Linkedin</v></cell><cell r="AF1314"><v>3654329</v></cell><cell r="AG1314" t="str"><v>LINKEDIN»USA-Trial-ITD-Job Titles Prospecting-AZR-AZR»1 x 1»SocialBan»VLA»ALL»CPA»PRO»D»All»SS»NA»FreeAcctITProLI-AnimatedMigration-Ch3»PS7B6Z</v></cell><cell r="AH1314" t="str"><v>PS7B6Z</v></cell><cell r="AI1314" t="str"><v>AZR_FreeAcctITProLI-AnimatedMigration-Ch3_USA_1920x1080_VLA_Direct_EN_Trial_Standard_ANI_LEA_T3_1</v></cell><cell r="AJ1314"><v>104592532</v></cell></row><row r="1315"><cell r="D1315" t="str"><v>43354PS7BVD</v></cell><cell r="E1315" t="str"><v>43354104671424PS7BVD</v></cell><cell r="F1315" t="str"><v>Appended from Pub - Not in DCM</v></cell></row><row r="1315"><cell r="I1315" t="str"><v>Azure Direct</v></cell><cell r="J1315" t="str"><v>Azure Direct</v></cell><cell r="K1315" t="str"><v>September</v></cell><cell r="L1315"><v>43358</v></cell><cell r="M1315" t="str"><v>Tier 0</v></cell><cell r="N1315" t="str"><v>North America</v></cell><cell r="O1315" t="str"><v>United States</v></cell><cell r="P1315" t="str"><v>Trial</v></cell><cell r="Q1315" t="str"><v>Social</v></cell><cell r="R1315" t="str"><v>Azure</v></cell><cell r="S1315" t="str"><v>Apps & Infra</v></cell><cell r="T1315" t="str"><v>Developers & ITI's</v></cell><cell r="U1315" t="str"><v>USA-Trial-ITD-Skills Prospecting-AZR-AZR</v></cell><cell r="V1315" t="str"><v>Prospecting</v></cell><cell r="W1315" t="str"><v>Video Link ad</v></cell><cell r="X1315" t="str"><v>1920x1080</v></cell><cell r="Y1315" t="str"><v>Learn More</v></cell><cell r="Z1315" t="str"><v>Animated Banner</v></cell><cell r="AA1315"><v>43354</v></cell><cell r="AB1315" t="str"><v>USA_gaPMG_AZR_AZR_Q1_19_Direct-Social</v></cell><cell r="AC1315"><v>21358715</v></cell><cell r="AD1315"><v>720197</v></cell><cell r="AE1315" t="str"><v>Linkedin</v></cell><cell r="AF1315"><v>3654329</v></cell><cell r="AG1315" t="str"><v>LINKEDIN»USA-Trial-ITD-Skills Prospecting-AZR-AZR»1 x 1»SocialBan»VLA»ALL»CPA»PRO»D»All»SS»NA»FreeAcctITProLI-AnimatedHybrid-Ch2»PS7BVD</v></cell><cell r="AH1315" t="str"><v>PS7BVD</v></cell><cell r="AI1315" t="str"><v>AZR_FreeAcctITProLI-AnimatedHybrid-Ch2_USA_1920x1080_VLA_Direct_EN_Trial_Standard_ANI_LEA_T2_1</v></cell><cell r="AJ1315"><v>104671424</v></cell></row><row r="1316"><cell r="D1316" t="str"><v>43354PS7B6P</v></cell><cell r="E1316" t="str"><v>43354104593732PS7B6P</v></cell><cell r="F1316" t="str"><v>Appended from Pub - Not in DCM</v></cell></row><row r="1316"><cell r="I1316" t="str"><v>Azure Direct</v></cell><cell r="J1316" t="str"><v>Azure Direct</v></cell><cell r="K1316" t="str"><v>September</v></cell><cell r="L1316"><v>43358</v></cell><cell r="M1316" t="str"><v>Tier 0</v></cell><cell r="N1316" t="str"><v>North America</v></cell><cell r="O1316" t="str"><v>United States</v></cell><cell r="P1316" t="str"><v>Trial</v></cell><cell r="Q1316" t="str"><v>Social</v></cell><cell r="R1316" t="str"><v>Azure</v></cell><cell r="S1316" t="str"><v>Apps & Infra</v></cell><cell r="T1316" t="str"><v>Developers & ITI's</v></cell><cell r="U1316" t="str"><v>USA-Trial-ITD-Job Titles Prospecting-AZR-AZR</v></cell><cell r="V1316" t="str"><v>Prospecting</v></cell><cell r="W1316" t="str"><v>Video Link ad</v></cell><cell r="X1316" t="str"><v>1920x1080</v></cell><cell r="Y1316" t="str"><v>Learn More</v></cell><cell r="Z1316" t="str"><v>Animated Banner</v></cell><cell r="AA1316"><v>43354</v></cell><cell r="AB1316" t="str"><v>USA_gaPMG_AZR_AZR_Q1_19_Direct-Social</v></cell><cell r="AC1316"><v>21358715</v></cell><cell r="AD1316"><v>720197</v></cell><cell r="AE1316" t="str"><v>Linkedin</v></cell><cell r="AF1316"><v>3654329</v></cell><cell r="AG1316" t="str"><v>LINKEDIN»USA-Trial-ITD-Job Titles Prospecting-AZR-AZR»1 x 1»SocialBan»VLA»ALL»CPA»PRO»D»All»SS»NA»FreeAcctDeveloperLI-AnimatedData-Ch4»PS7B6P</v></cell><cell r="AH1316" t="str"><v>PS7B6P</v></cell><cell r="AI1316" t="str"><v>AZR_FreeAcctDeveloperLI-AnimatedData-Ch4_USA_1920x1080_VLA_Direct_EN_Trial_Standard_ANI_LEA_T4_1</v></cell><cell r="AJ1316"><v>104593732</v></cell></row><row r="1317"><cell r="D1317" t="str"><v>43354PS7B6R</v></cell><cell r="E1317" t="str"><v>43354104671424PS7B6R</v></cell><cell r="F1317" t="str"><v>Appended from Pub - Not in DCM</v></cell></row><row r="1317"><cell r="I1317" t="str"><v>Azure Direct</v></cell><cell r="J1317" t="str"><v>Azure Direct</v></cell><cell r="K1317" t="str"><v>September</v></cell><cell r="L1317"><v>43358</v></cell><cell r="M1317" t="str"><v>Tier 0</v></cell><cell r="N1317" t="str"><v>North America</v></cell><cell r="O1317" t="str"><v>United States</v></cell><cell r="P1317" t="str"><v>Trial</v></cell><cell r="Q1317" t="str"><v>Social</v></cell><cell r="R1317" t="str"><v>Azure</v></cell><cell r="S1317" t="str"><v>Apps & Infra</v></cell><cell r="T1317" t="str"><v>Developers & ITI's</v></cell><cell r="U1317" t="str"><v>USA-Trial-ITD-Job Titles Prospecting-AZR-AZR</v></cell><cell r="V1317" t="str"><v>Prospecting</v></cell><cell r="W1317" t="str"><v>Video Link ad</v></cell><cell r="X1317" t="str"><v>1920x1080</v></cell><cell r="Y1317" t="str"><v>Learn More</v></cell><cell r="Z1317" t="str"><v>Animated Banner</v></cell><cell r="AA1317"><v>43354</v></cell><cell r="AB1317" t="str"><v>USA_gaPMG_AZR_AZR_Q1_19_Direct-Social</v></cell><cell r="AC1317"><v>21358715</v></cell><cell r="AD1317"><v>720197</v></cell><cell r="AE1317" t="str"><v>Linkedin</v></cell><cell r="AF1317"><v>3654329</v></cell><cell r="AG1317" t="str"><v>LINKEDIN»USA-Trial-ITD-Job Titles Prospecting-AZR-AZR»1 x 1»SocialBan»VLA»ALL»CPA»PRO»D»All»SS»NA»FreeAcctITProLI-AnimatedHybrid-Ch2»PS7B6R</v></cell><cell r="AH1317" t="str"><v>PS7B6R</v></cell><cell r="AI1317" t="str"><v>AZR_FreeAcctITProLI-AnimatedHybrid-Ch2_USA_1920x1080_VLA_Direct_EN_Trial_Standard_ANI_LEA_T2_1</v></cell><cell r="AJ1317"><v>104671424</v></cell></row><row r="1318"><cell r="D1318" t="str"><v>43354PS7B6Q</v></cell><cell r="E1318" t="str"><v>43354104593447PS7B6Q</v></cell><cell r="F1318" t="str"><v>Appended from Pub - Not in DCM</v></cell></row><row r="1318"><cell r="I1318" t="str"><v>Azure Direct</v></cell><cell r="J1318" t="str"><v>Azure Direct</v></cell><cell r="K1318" t="str"><v>September</v></cell><cell r="L1318"><v>43358</v></cell><cell r="M1318" t="str"><v>Tier 0</v></cell><cell r="N1318" t="str"><v>North America</v></cell><cell r="O1318" t="str"><v>United States</v></cell><cell r="P1318" t="str"><v>Trial</v></cell><cell r="Q1318" t="str"><v>Social</v></cell><cell r="R1318" t="str"><v>Azure</v></cell><cell r="S1318" t="str"><v>Apps & Infra</v></cell><cell r="T1318" t="str"><v>Developers & ITI's</v></cell><cell r="U1318" t="str"><v>USA-Trial-ITD-Job Titles Prospecting-AZR-AZR</v></cell><cell r="V1318" t="str"><v>Prospecting</v></cell><cell r="W1318" t="str"><v>Video Link ad</v></cell><cell r="X1318" t="str"><v>1920x1080</v></cell><cell r="Y1318" t="str"><v>Learn More</v></cell><cell r="Z1318" t="str"><v>Animated Banner</v></cell><cell r="AA1318"><v>43354</v></cell><cell r="AB1318" t="str"><v>USA_gaPMG_AZR_AZR_Q1_19_Direct-Social</v></cell><cell r="AC1318"><v>21358715</v></cell><cell r="AD1318"><v>720197</v></cell><cell r="AE1318" t="str"><v>Linkedin</v></cell><cell r="AF1318"><v>3654329</v></cell><cell r="AG1318" t="str"><v>LINKEDIN»USA-Trial-ITD-Job Titles Prospecting-AZR-AZR»1 x 1»SocialBan»VLA»ALL»CPA»PRO»D»All»SS»NA»FreeAcctITProLI-AnimatedSecureWellMngd-Ch1»PS7B6Q</v></cell><cell r="AH1318" t="str"><v>PS7B6Q</v></cell><cell r="AI1318" t="str"><v>AZR_FreeAcctITProLI-AnimatedSecureWellMngd-Ch1_USA_1920x1080_VLA_Direct_EN_Trial_Standard_ANI_LEA_T1_1</v></cell><cell r="AJ1318"><v>104593447</v></cell></row><row r="1319"><cell r="D1319" t="str"><v>43354PS7BV2</v></cell><cell r="E1319" t="str"><v>43354104593435PS7BV2</v></cell><cell r="F1319" t="str"><v>Appended from Pub - Not in DCM</v></cell></row><row r="1319"><cell r="I1319" t="str"><v>Azure Direct</v></cell><cell r="J1319" t="str"><v>Azure Direct</v></cell><cell r="K1319" t="str"><v>September</v></cell><cell r="L1319"><v>43358</v></cell><cell r="M1319" t="str"><v>Tier 0</v></cell><cell r="N1319" t="str"><v>North America</v></cell><cell r="O1319" t="str"><v>United States</v></cell><cell r="P1319" t="str"><v>Trial</v></cell><cell r="Q1319" t="str"><v>Social</v></cell><cell r="R1319" t="str"><v>Azure</v></cell><cell r="S1319" t="str"><v>Apps & Infra</v></cell><cell r="T1319" t="str"><v>Developers & ITI's</v></cell><cell r="U1319" t="str"><v>USA-Trial-ITD-Skills Prospecting-AZR-AZR</v></cell><cell r="V1319" t="str"><v>Prospecting</v></cell><cell r="W1319" t="str"><v>Link Ad</v></cell><cell r="X1319" t="str"><v>1200x627</v></cell><cell r="Y1319" t="str"><v>Sign Up</v></cell><cell r="Z1319" t="str"><v>Not Applicable</v></cell><cell r="AA1319"><v>43354</v></cell><cell r="AB1319" t="str"><v>USA_gaPMG_AZR_AZR_Q1_19_Direct-Social</v></cell><cell r="AC1319"><v>21358715</v></cell><cell r="AD1319"><v>720197</v></cell><cell r="AE1319" t="str"><v>Linkedin</v></cell><cell r="AF1319"><v>3654329</v></cell><cell r="AG1319" t="str"><v>LINKEDIN»USA-Trial-ITD-Skills Prospecting-AZR-AZR»1 x 1»SocialBan»LIA»ALL»CPA»PRO»D»All»SS»NA»FreeAcctRetargetingLI-Credit-ChA»PS7BV2</v></cell><cell r="AH1319" t="str"><v>PS7BV2</v></cell><cell r="AI1319" t="str"><v>AZR_FreeAcctRetargetingLI-Credit-ChA_USA_1200x627_LIA_Plat_English_Free Account_Standard_NA_SINU_T1_1</v></cell><cell r="AJ1319"><v>104593435</v></cell></row><row r="1320"><cell r="D1320" t="str"><v>43355PS79SS</v></cell><cell r="E1320" t="str"><v>43355104593441PS79SS</v></cell><cell r="F1320" t="str"><v>Appended from Pub - Not in DCM</v></cell></row><row r="1320"><cell r="I1320" t="str"><v>Azure Direct</v></cell><cell r="J1320" t="str"><v>Azure Direct</v></cell><cell r="K1320" t="str"><v>September</v></cell><cell r="L1320"><v>43358</v></cell><cell r="M1320" t="str"><v>Tier 0</v></cell><cell r="N1320" t="str"><v>North America</v></cell><cell r="O1320" t="str"><v>United States</v></cell><cell r="P1320" t="str"><v>Trial</v></cell><cell r="Q1320" t="str"><v>Social</v></cell><cell r="R1320" t="str"><v>Azure</v></cell><cell r="S1320" t="str"><v>Apps & Infra</v></cell><cell r="T1320" t="str"><v>Developers & ITI's</v></cell><cell r="U1320" t="str"><v>USA-Trial-ITD-Retargeting-AZR-AZR</v></cell><cell r="V1320" t="str"><v>Retargeting</v></cell><cell r="W1320" t="str"><v>Canvas Ad</v></cell><cell r="X1320" t="str"><v>1200x628</v></cell><cell r="Y1320" t="str"><v>Sign Up</v></cell><cell r="Z1320" t="str"><v>Not Applicable</v></cell><cell r="AA1320"><v>43355</v></cell><cell r="AB1320" t="str"><v>USA_gaPMG_AZR_AZR_Q1_19_Direct-Social</v></cell><cell r="AC1320"><v>21358715</v></cell><cell r="AD1320"><v>720197</v></cell><cell r="AE1320" t="str"><v>Linkedin</v></cell><cell r="AF1320"><v>3654329</v></cell><cell r="AG1320" t="str"><v>FACEBOOK»USA-Trial-ITD-Retargeting-AZR-AZR»1 x 1»SocialBan»CAN»ALL»CPA»RT»X»NA»SS»NA»FreeAcctRetargetingFB-GlobalAlt-ChB»PS79SS</v></cell><cell r="AH1320" t="str"><v>PS79SS</v></cell><cell r="AI1320" t="str"><v>AZR_FreeAcctRetargetingFB-GlobalAlt-ChB_USA_1200x628_CAN_Plat_English_Free Account_Standard_NA_SINU_T2_2</v></cell><cell r="AJ1320"><v>104593441</v></cell></row><row r="1321"><cell r="D1321" t="str"><v>43355PRC1W1</v></cell><cell r="E1321" t="str"><v>43355103032778PRC1W1</v></cell><cell r="F1321" t="str"><v>Appended from Pub - Not in DCM</v></cell></row><row r="1321"><cell r="I1321" t="str"><v>Azure Direct</v></cell><cell r="J1321" t="str"><v>Azure Direct</v></cell><cell r="K1321" t="str"><v>September</v></cell><cell r="L1321"><v>43358</v></cell><cell r="M1321" t="str"><v>Tier 0</v></cell><cell r="N1321" t="str"><v>North America</v></cell><cell r="O1321" t="str"><v>United States</v></cell><cell r="P1321" t="str"><v>Trial</v></cell><cell r="Q1321" t="str"><v>Social</v></cell><cell r="R1321" t="str"><v>Azure</v></cell><cell r="S1321" t="str"><v>Apps & Infra</v></cell><cell r="T1321" t="str"><v>Developers & ITI's</v></cell><cell r="U1321" t="str"><v>USA-Trial-ITD-Lead Completes-AZR-AZR</v></cell><cell r="V1321" t="str"><v>Prospecting</v></cell><cell r="W1321" t="str"><v>Link Ad</v></cell><cell r="X1321" t="str"><v>1200x1200</v></cell><cell r="Y1321" t="str"><v>Learn More</v></cell><cell r="Z1321" t="str"><v>Animated Banner</v></cell><cell r="AA1321"><v>43355</v></cell><cell r="AB1321" t="str"><v>USA_gaPMG_AZR_AZR_Q1_19_Direct-Social</v></cell><cell r="AC1321"><v>21358715</v></cell><cell r="AD1321"><v>720197</v></cell><cell r="AE1321" t="str"><v>Linkedin</v></cell><cell r="AF1321"><v>3654329</v></cell><cell r="AG1321" t="str"><v>FACEBOOK»USA-Trial-ITD-Lead Completes-AZR-AZR»1 x 1»SocialBan»LIA»ALL»CPA»PRO»X»NA»SS»NA»FreeAcctDeveloperFB-AnimatedAI-Ch3»PRC1W1</v></cell><cell r="AH1321" t="str"><v>PRC1W1</v></cell><cell r="AI1321" t="str"><v>AZR_FreeAcctDeveloperFB-AnimatedAI-Ch3_USA_1200x1200_CAN_Direct_English_Trial_Standard_ANI_LEA_T3_1</v></cell><cell r="AJ1321"><v>103032778</v></cell></row><row r="1322"><cell r="D1322" t="str"><v>43355PS7B5S</v></cell><cell r="E1322" t="str"><v>43355104593735PS7B5S</v></cell><cell r="F1322" t="str"><v>Appended from Pub - Not in DCM</v></cell></row><row r="1322"><cell r="I1322" t="str"><v>Azure Direct</v></cell><cell r="J1322" t="str"><v>Azure Direct</v></cell><cell r="K1322" t="str"><v>September</v></cell><cell r="L1322"><v>43358</v></cell><cell r="M1322" t="str"><v>Tier 0</v></cell><cell r="N1322" t="str"><v>North America</v></cell><cell r="O1322" t="str"><v>United States</v></cell><cell r="P1322" t="str"><v>Trial</v></cell><cell r="Q1322" t="str"><v>Social</v></cell><cell r="R1322" t="str"><v>Azure</v></cell><cell r="S1322" t="str"><v>Apps & Infra</v></cell><cell r="T1322" t="str"><v>Developers & ITI's</v></cell><cell r="U1322" t="str"><v>USA-Trial-ITD-Trial PayGo Lookalike-AZR-AZR</v></cell><cell r="V1322" t="str"><v>Lookalike Targeting</v></cell><cell r="W1322" t="str"><v>Canvas Ad</v></cell><cell r="X1322" t="str"><v>1200x1200</v></cell><cell r="Y1322" t="str"><v>Learn More</v></cell><cell r="Z1322" t="str"><v>Animated Banner</v></cell><cell r="AA1322"><v>43355</v></cell><cell r="AB1322" t="str"><v>USA_gaPMG_AZR_AZR_Q1_19_Direct-Social</v></cell><cell r="AC1322"><v>21358715</v></cell><cell r="AD1322"><v>720197</v></cell><cell r="AE1322" t="str"><v>Linkedin</v></cell><cell r="AF1322"><v>3654329</v></cell><cell r="AG1322" t="str"><v>FACEBOOK»USA-Trial-ITD-Trial PayGo Lookalike-AZR-AZR»1 x 1»SocialBan»CAN»ALL»CPA»LAL»X»NA»SS»NA»FreeAcctDeveloperFB-AnimatedAI-Ch3»PS7B5S</v></cell><cell r="AH1322" t="str"><v>PS7B5S</v></cell><cell r="AI1322" t="str"><v>AZR_FreeAcctDeveloperFB-AnimatedAI-Ch3_USA_1200x1200_CAN_Direct_EN_Trial_Standard_ANI_LEA_T3_1</v></cell><cell r="AJ1322"><v>104593735</v></cell></row><row r="1323"><cell r="D1323" t="str"><v>43355PRC1VT</v></cell><cell r="E1323" t="str"><v>43355103043823PRC1VT</v></cell><cell r="F1323" t="str"><v>Appended from Pub - Not in DCM</v></cell></row><row r="1323"><cell r="I1323" t="str"><v>Azure Direct</v></cell><cell r="J1323" t="str"><v>Azure Direct</v></cell><cell r="K1323" t="str"><v>September</v></cell><cell r="L1323"><v>43358</v></cell><cell r="M1323" t="str"><v>Tier 0</v></cell><cell r="N1323" t="str"><v>North America</v></cell><cell r="O1323" t="str"><v>United States</v></cell><cell r="P1323" t="str"><v>Trial</v></cell><cell r="Q1323" t="str"><v>Social</v></cell><cell r="R1323" t="str"><v>Azure</v></cell><cell r="S1323" t="str"><v>Apps & Infra</v></cell><cell r="T1323" t="str"><v>Developers & ITI's</v></cell><cell r="U1323" t="str"><v>USA-Trial-ITD-Lead Completes-AZR-AZR</v></cell><cell r="V1323" t="str"><v>Prospecting</v></cell><cell r="W1323" t="str"><v>Canvas Ad</v></cell><cell r="X1323" t="str"><v>10s</v></cell><cell r="Y1323" t="str"><v>Try it Now</v></cell><cell r="Z1323" t="str"><v>Standard videos</v></cell><cell r="AA1323"><v>43355</v></cell><cell r="AB1323" t="str"><v>USA_gaPMG_AZR_AZR_Q1_19_Direct-Social</v></cell><cell r="AC1323"><v>21358715</v></cell><cell r="AD1323"><v>720197</v></cell><cell r="AE1323" t="str"><v>Linkedin</v></cell><cell r="AF1323"><v>3654329</v></cell><cell r="AG1323" t="str"><v>FACEBOOK»USA-Trial-ITD-Lead Completes-AZR-AZR»1 x 1»SocialBan»CAN»ALL»CPA»PRO»X»NA»SS»NA»FBCTCBasicMotion»PRC1VT</v></cell><cell r="AH1323" t="str"><v>PRC1VT</v></cell><cell r="AI1323" t="str"><v>AzurePlatform_FBCTCBasicMotion_USA_10s_CAN_PLATFORM_English_Trial_Standard_STAN_TIN_T1_1</v></cell><cell r="AJ1323"><v>103043823</v></cell></row><row r="1324"><cell r="D1324" t="str"><v>43355PS7B5V</v></cell><cell r="E1324" t="str"><v>43355104595739PS7B5V</v></cell><cell r="F1324" t="str"><v>Appended from Pub - Not in DCM</v></cell></row><row r="1324"><cell r="I1324" t="str"><v>Azure Direct</v></cell><cell r="J1324" t="str"><v>Azure Direct</v></cell><cell r="K1324" t="str"><v>September</v></cell><cell r="L1324"><v>43358</v></cell><cell r="M1324" t="str"><v>Tier 0</v></cell><cell r="N1324" t="str"><v>North America</v></cell><cell r="O1324" t="str"><v>United States</v></cell><cell r="P1324" t="str"><v>Trial</v></cell><cell r="Q1324" t="str"><v>Social</v></cell><cell r="R1324" t="str"><v>Azure</v></cell><cell r="S1324" t="str"><v>Apps & Infra</v></cell><cell r="T1324" t="str"><v>Developers & ITI's</v></cell><cell r="U1324" t="str"><v>USA-Trial-ITD-Trial PayGo Lookalike-AZR-AZR</v></cell><cell r="V1324" t="str"><v>Lookalike Targeting</v></cell><cell r="W1324" t="str"><v>Canvas Ad</v></cell><cell r="X1324" t="str"><v>1200x1200</v></cell><cell r="Y1324" t="str"><v>Learn More</v></cell><cell r="Z1324" t="str"><v>Animated Banner</v></cell><cell r="AA1324"><v>43355</v></cell><cell r="AB1324" t="str"><v>USA_gaPMG_AZR_AZR_Q1_19_Direct-Social</v></cell><cell r="AC1324"><v>21358715</v></cell><cell r="AD1324"><v>720197</v></cell><cell r="AE1324" t="str"><v>Linkedin</v></cell><cell r="AF1324"><v>3654329</v></cell><cell r="AG1324" t="str"><v>FACEBOOK»USA-Trial-ITD-Trial PayGo Lookalike-AZR-AZR»1 x 1»SocialBan»CAN»ALL»CPA»LAL»X»NA»SS»NA»FreeAcctDeveloperFB-AnimatedData-Ch4»PS7B5V</v></cell><cell r="AH1324" t="str"><v>PS7B5V</v></cell><cell r="AI1324" t="str"><v>AZR_FreeAcctDeveloperFB-AnimatedData-Ch4_USA_1200x1200_CAN_Direct_EN_Trial_Standard_ANI_LEA_T4_1</v></cell><cell r="AJ1324"><v>104595739</v></cell></row><row r="1325"><cell r="D1325" t="str"><v>43355PRC1Q0</v></cell><cell r="E1325" t="str"><v>43355103043823PRC1Q0</v></cell><cell r="F1325" t="str"><v>Appended from Pub - Not in DCM</v></cell></row><row r="1325"><cell r="I1325" t="str"><v>Azure Direct</v></cell><cell r="J1325" t="str"><v>Azure Direct</v></cell><cell r="K1325" t="str"><v>September</v></cell><cell r="L1325"><v>43358</v></cell><cell r="M1325" t="str"><v>Tier 0</v></cell><cell r="N1325" t="str"><v>North America</v></cell><cell r="O1325" t="str"><v>United States</v></cell><cell r="P1325" t="str"><v>Trial</v></cell><cell r="Q1325" t="str"><v>Social</v></cell><cell r="R1325" t="str"><v>Azure</v></cell><cell r="S1325" t="str"><v>Apps & Infra</v></cell><cell r="T1325" t="str"><v>Developers & ITI's</v></cell><cell r="U1325" t="str"><v>USA-Trial-ITD-Trial PayGo Lookalike-AZR-AZR</v></cell><cell r="V1325" t="str"><v>Lookalike Targeting</v></cell><cell r="W1325" t="str"><v>Canvas Ad</v></cell><cell r="X1325" t="str"><v>10s</v></cell><cell r="Y1325" t="str"><v>Try it Now</v></cell><cell r="Z1325" t="str"><v>Standard videos</v></cell><cell r="AA1325"><v>43355</v></cell><cell r="AB1325" t="str"><v>USA_gaPMG_AZR_AZR_Q1_19_Direct-Social</v></cell><cell r="AC1325"><v>21358715</v></cell><cell r="AD1325"><v>720197</v></cell><cell r="AE1325" t="str"><v>Linkedin</v></cell><cell r="AF1325"><v>3654329</v></cell><cell r="AG1325" t="str"><v>FACEBOOK»USA-Trial-ITD-Trial PayGo Lookalike-AZR-AZR»1 x 1»SocialBan»CAN»ALL»CPA»LAL»X»NA»SS»NA»FBCTCBasicMotion»PRC1Q0</v></cell><cell r="AH1325" t="str"><v>PRC1Q0</v></cell><cell r="AI1325" t="str"><v>AzurePlatform_FBCTCBasicMotion_USA_10s_CAN_PLATFORM_English_Trial_Standard_STAN_TIN_T1_1</v></cell><cell r="AJ1325"><v>103043823</v></cell></row><row r="1326"><cell r="D1326" t="str"><v>43355PS79TJ</v></cell><cell r="E1326" t="str"><v>43355104595739PS79TJ</v></cell><cell r="F1326" t="str"><v>Appended from Pub - Not in DCM</v></cell></row><row r="1326"><cell r="I1326" t="str"><v>Azure Direct</v></cell><cell r="J1326" t="str"><v>Azure Direct</v></cell><cell r="K1326" t="str"><v>September</v></cell><cell r="L1326"><v>43358</v></cell><cell r="M1326" t="str"><v>Tier 0</v></cell><cell r="N1326" t="str"><v>North America</v></cell><cell r="O1326" t="str"><v>United States</v></cell><cell r="P1326" t="str"><v>Trial</v></cell><cell r="Q1326" t="str"><v>Social</v></cell><cell r="R1326" t="str"><v>Azure</v></cell><cell r="S1326" t="str"><v>Apps & Infra</v></cell><cell r="T1326" t="str"><v>Developers & ITI's</v></cell><cell r="U1326" t="str"><v>USA-Trial-ITD-Retargeting-AZR-AZR</v></cell><cell r="V1326" t="str"><v>Retargeting</v></cell><cell r="W1326" t="str"><v>Canvas Ad</v></cell><cell r="X1326" t="str"><v>1200x1200</v></cell><cell r="Y1326" t="str"><v>Learn More</v></cell><cell r="Z1326" t="str"><v>Animated Banner</v></cell><cell r="AA1326"><v>43355</v></cell><cell r="AB1326" t="str"><v>USA_gaPMG_AZR_AZR_Q1_19_Direct-Social</v></cell><cell r="AC1326"><v>21358715</v></cell><cell r="AD1326"><v>720197</v></cell><cell r="AE1326" t="str"><v>Linkedin</v></cell><cell r="AF1326"><v>3654329</v></cell><cell r="AG1326" t="str"><v>FACEBOOK»USA-Trial-ITD-Retargeting-AZR-AZR»1 x 1»SocialBan»CAN»ALL»CPA»RT»X»NA»SS»NA»FreeAcctDeveloperFB-AnimatedData-Ch4»PS79TJ</v></cell><cell r="AH1326" t="str"><v>PS79TJ</v></cell><cell r="AI1326" t="str"><v>AZR_FreeAcctDeveloperFB-AnimatedData-Ch4_USA_1200x1200_CAN_Direct_EN_Trial_Standard_ANI_LEA_T4_1</v></cell><cell r="AJ1326"><v>104595739</v></cell></row><row r="1327"><cell r="D1327" t="str"><v>43355PS79T7</v></cell><cell r="E1327" t="str"><v>43355104593735PS79T7</v></cell><cell r="F1327" t="str"><v>Appended from Pub - Not in DCM</v></cell></row><row r="1327"><cell r="I1327" t="str"><v>Azure Direct</v></cell><cell r="J1327" t="str"><v>Azure Direct</v></cell><cell r="K1327" t="str"><v>September</v></cell><cell r="L1327"><v>43358</v></cell><cell r="M1327" t="str"><v>Tier 0</v></cell><cell r="N1327" t="str"><v>North America</v></cell><cell r="O1327" t="str"><v>United States</v></cell><cell r="P1327" t="str"><v>Trial</v></cell><cell r="Q1327" t="str"><v>Social</v></cell><cell r="R1327" t="str"><v>Azure</v></cell><cell r="S1327" t="str"><v>Apps & Infra</v></cell><cell r="T1327" t="str"><v>Developers & ITI's</v></cell><cell r="U1327" t="str"><v>USA-Trial-ITD-Retargeting-AZR-AZR</v></cell><cell r="V1327" t="str"><v>Retargeting</v></cell><cell r="W1327" t="str"><v>Canvas Ad</v></cell><cell r="X1327" t="str"><v>1200x1200</v></cell><cell r="Y1327" t="str"><v>Learn More</v></cell><cell r="Z1327" t="str"><v>Animated Banner</v></cell><cell r="AA1327"><v>43355</v></cell><cell r="AB1327" t="str"><v>USA_gaPMG_AZR_AZR_Q1_19_Direct-Social</v></cell><cell r="AC1327"><v>21358715</v></cell><cell r="AD1327"><v>720197</v></cell><cell r="AE1327" t="str"><v>Linkedin</v></cell><cell r="AF1327"><v>3654329</v></cell><cell r="AG1327" t="str"><v>FACEBOOK»USA-Trial-ITD-Retargeting-AZR-AZR»1 x 1»SocialBan»CAN»ALL»CPA»RT»X»NA»SS»NA»FreeAcctDeveloperFB-AnimatedAI-Ch3»PS79T7</v></cell><cell r="AH1327" t="str"><v>PS79T7</v></cell><cell r="AI1327" t="str"><v>AZR_FreeAcctDeveloperFB-AnimatedAI-Ch3_USA_1200x1200_CAN_Direct_EN_Trial_Standard_ANI_LEA_T3_1</v></cell><cell r="AJ1327"><v>104593735</v></cell></row><row r="1328"><cell r="D1328" t="str"><v>43355PS7B53</v></cell><cell r="E1328" t="str"><v>43355PS7B53</v></cell><cell r="F1328" t="str"><v>Appended from Pub - Not in DCM</v></cell></row><row r="1328"><cell r="I1328" t="str"><v>Azure Direct</v></cell><cell r="J1328" t="str"><v>Azure Direct</v></cell><cell r="K1328" t="str"><v>September</v></cell><cell r="L1328"><v>43358</v></cell><cell r="M1328" t="str"><v>Tier 0</v></cell><cell r="N1328" t="str"><v>North America</v></cell><cell r="O1328" t="str"><v>United States</v></cell><cell r="P1328" t="str"><v>Trial</v></cell><cell r="Q1328" t="str"><v>Social</v></cell><cell r="R1328" t="str"><v>Azure</v></cell><cell r="S1328" t="str"><v>Apps & Infra</v></cell><cell r="T1328" t="str"><v>Developers & ITI's</v></cell><cell r="U1328" t="str"><v>USA-Trial-ITD-Trial Lookalike-AZR-AZR</v></cell><cell r="V1328" t="str"><v>Lookalike Targeting</v></cell><cell r="W1328" t="str"><v>Canvas Ad</v></cell></row><row r="1328"><cell r="AA1328"><v>43355</v></cell><cell r="AB1328" t="str"><v>USA_gaPMG_AZR_AZR_Q1_19_Direct-Social</v></cell><cell r="AC1328"><v>21358715</v></cell><cell r="AD1328"><v>720197</v></cell><cell r="AE1328" t="str"><v>Linkedin</v></cell><cell r="AF1328"><v>3654329</v></cell><cell r="AG1328" t="str"><v>FACEBOOK»USA-Trial-ITD-Trial Lookalike-AZR-AZR»1 x 1»SocialBan»CAN»ALL»CPA»LAL»X»NA»SS»NA»FreeAcctITProFB-AnimatedSecureMngd-Ch1»PS7B53</v></cell><cell r="AH1328" t="str"><v>PS7B53</v></cell></row><row r="1329"><cell r="D1329" t="str"><v>43355PS7B54</v></cell><cell r="E1329" t="str"><v>43355104592535PS7B54</v></cell><cell r="F1329" t="str"><v>Appended from Pub - Not in DCM</v></cell></row><row r="1329"><cell r="I1329" t="str"><v>Azure Direct</v></cell><cell r="J1329" t="str"><v>Azure Direct</v></cell><cell r="K1329" t="str"><v>September</v></cell><cell r="L1329"><v>43358</v></cell><cell r="M1329" t="str"><v>Tier 0</v></cell><cell r="N1329" t="str"><v>North America</v></cell><cell r="O1329" t="str"><v>United States</v></cell><cell r="P1329" t="str"><v>Trial</v></cell><cell r="Q1329" t="str"><v>Social</v></cell><cell r="R1329" t="str"><v>Azure</v></cell><cell r="S1329" t="str"><v>Apps & Infra</v></cell><cell r="T1329" t="str"><v>Developers & ITI's</v></cell><cell r="U1329" t="str"><v>USA-Trial-ITD-Trial Lookalike-AZR-AZR</v></cell><cell r="V1329" t="str"><v>Lookalike Targeting</v></cell><cell r="W1329" t="str"><v>Canvas Ad</v></cell><cell r="X1329" t="str"><v>1200x1200</v></cell><cell r="Y1329" t="str"><v>Learn More</v></cell><cell r="Z1329" t="str"><v>Animated Banner</v></cell><cell r="AA1329"><v>43355</v></cell><cell r="AB1329" t="str"><v>USA_gaPMG_AZR_AZR_Q1_19_Direct-Social</v></cell><cell r="AC1329"><v>21358715</v></cell><cell r="AD1329"><v>720197</v></cell><cell r="AE1329" t="str"><v>Linkedin</v></cell><cell r="AF1329"><v>3654329</v></cell><cell r="AG1329" t="str"><v>FACEBOOK»USA-Trial-ITD-Trial Lookalike-AZR-AZR»1 x 1»SocialBan»CAN»ALL»CPA»LAL»X»NA»SS»NA»FreeAcctITProFB-AnimatedHybrid-Ch2»PS7B54</v></cell><cell r="AH1329" t="str"><v>PS7B54</v></cell><cell r="AI1329" t="str"><v>AZR_FreeAcctITProFB-AnimatedHybrid-Ch2_USA_1200x1200_CAN_Direct_EN_Trial_Standard_ANI_LEA_T2_1</v></cell><cell r="AJ1329"><v>104592535</v></cell></row><row r="1330"><cell r="D1330" t="str"><v>43355PS7B4Z</v></cell><cell r="E1330" t="str"><v>43355104593438PS7B4Z</v></cell><cell r="F1330" t="str"><v>Appended from Pub - Not in DCM</v></cell></row><row r="1330"><cell r="I1330" t="str"><v>Azure Direct</v></cell><cell r="J1330" t="str"><v>Azure Direct</v></cell><cell r="K1330" t="str"><v>September</v></cell><cell r="L1330"><v>43358</v></cell><cell r="M1330" t="str"><v>Tier 0</v></cell><cell r="N1330" t="str"><v>North America</v></cell><cell r="O1330" t="str"><v>United States</v></cell><cell r="P1330" t="str"><v>Trial</v></cell><cell r="Q1330" t="str"><v>Social</v></cell><cell r="R1330" t="str"><v>Azure</v></cell><cell r="S1330" t="str"><v>Apps & Infra</v></cell><cell r="T1330" t="str"><v>Developers & ITI's</v></cell><cell r="U1330" t="str"><v>USA-Trial-ITD-Trial Lookalike-AZR-AZR</v></cell><cell r="V1330" t="str"><v>Lookalike Targeting</v></cell><cell r="W1330" t="str"><v>Canvas Ad</v></cell><cell r="X1330" t="str"><v>1200x1200</v></cell><cell r="Y1330" t="str"><v>Learn More</v></cell><cell r="Z1330" t="str"><v>Animated Banner</v></cell><cell r="AA1330"><v>43355</v></cell><cell r="AB1330" t="str"><v>USA_gaPMG_AZR_AZR_Q1_19_Direct-Social</v></cell><cell r="AC1330"><v>21358715</v></cell><cell r="AD1330"><v>720197</v></cell><cell r="AE1330" t="str"><v>Linkedin</v></cell><cell r="AF1330"><v>3654329</v></cell><cell r="AG1330" t="str"><v>FACEBOOK»USA-Trial-ITD-Trial Lookalike-AZR-AZR»1 x 1»SocialBan»CAN»ALL»CPA»LAL»X»NA»SS»NA»FreeAcctDeveloperFB-AnimatedOpenSource-Ch2»PS7B4Z</v></cell><cell r="AH1330" t="str"><v>PS7B4Z</v></cell><cell r="AI1330" t="str"><v>AZR_FreeAcctDeveloperFB-AnimatedOpenSource-Ch2_USA_1200x1200_CAN_Direct_EN_Trial_Standard_ANI_LEA_T2_2</v></cell><cell r="AJ1330"><v>104593438</v></cell></row><row r="1331"><cell r="D1331" t="str"><v>43355PS79T5</v></cell><cell r="E1331" t="str"><v>43355104592523PS79T5</v></cell><cell r="F1331" t="str"><v>Appended from Pub - Not in DCM</v></cell></row><row r="1331"><cell r="I1331" t="str"><v>Azure Direct</v></cell><cell r="J1331" t="str"><v>Azure Direct</v></cell><cell r="K1331" t="str"><v>September</v></cell><cell r="L1331"><v>43358</v></cell><cell r="M1331" t="str"><v>Tier 0</v></cell><cell r="N1331" t="str"><v>North America</v></cell><cell r="O1331" t="str"><v>United States</v></cell><cell r="P1331" t="str"><v>Trial</v></cell><cell r="Q1331" t="str"><v>Social</v></cell><cell r="R1331" t="str"><v>Azure</v></cell><cell r="S1331" t="str"><v>Apps & Infra</v></cell><cell r="T1331" t="str"><v>Developers & ITI's</v></cell><cell r="U1331" t="str"><v>USA-Trial-ITD-Retargeting-AZR-AZR</v></cell><cell r="V1331" t="str"><v>Retargeting</v></cell><cell r="W1331" t="str"><v>Canvas Ad</v></cell><cell r="X1331" t="str"><v>1200x1200</v></cell><cell r="Y1331" t="str"><v>Learn More</v></cell><cell r="Z1331" t="str"><v>Animated Banner</v></cell><cell r="AA1331"><v>43355</v></cell><cell r="AB1331" t="str"><v>USA_gaPMG_AZR_AZR_Q1_19_Direct-Social</v></cell><cell r="AC1331"><v>21358715</v></cell><cell r="AD1331"><v>720197</v></cell><cell r="AE1331" t="str"><v>Linkedin</v></cell><cell r="AF1331"><v>3654329</v></cell><cell r="AG1331" t="str"><v>FACEBOOK»USA-Trial-ITD-Retargeting-AZR-AZR»1 x 1»SocialBan»CAN»ALL»CPA»RT»X»NA»SS»NA»FreeAcctDeveloperFB-AnimatedGeneric-Ch1»PS79T5</v></cell><cell r="AH1331" t="str"><v>PS79T5</v></cell><cell r="AI1331" t="str"><v>AZR_FreeAcctDeveloperFB-AnimatedGeneric-Ch1_USA_1200x1200_CAN_Direct_EN_Trial_Standard_ANI_LEA_T1_2</v></cell><cell r="AJ1331"><v>104592523</v></cell></row><row r="1332"><cell r="D1332" t="str"><v>43355PS79TM</v></cell><cell r="E1332" t="str"><v>43355104593450PS79TM</v></cell><cell r="F1332" t="str"><v>Appended from Pub - Not in DCM</v></cell></row><row r="1332"><cell r="I1332" t="str"><v>Azure Direct</v></cell><cell r="J1332" t="str"><v>Azure Direct</v></cell><cell r="K1332" t="str"><v>September</v></cell><cell r="L1332"><v>43358</v></cell><cell r="M1332" t="str"><v>Tier 0</v></cell><cell r="N1332" t="str"><v>North America</v></cell><cell r="O1332" t="str"><v>United States</v></cell><cell r="P1332" t="str"><v>Trial</v></cell><cell r="Q1332" t="str"><v>Social</v></cell><cell r="R1332" t="str"><v>Azure</v></cell><cell r="S1332" t="str"><v>Apps & Infra</v></cell><cell r="T1332" t="str"><v>Developers & ITI's</v></cell><cell r="U1332" t="str"><v>USA-Trial-ITD-Retargeting-AZR-AZR</v></cell><cell r="V1332" t="str"><v>Retargeting</v></cell><cell r="W1332" t="str"><v>Canvas Ad</v></cell><cell r="X1332" t="str"><v>1200x1200</v></cell><cell r="Y1332" t="str"><v>Learn More</v></cell><cell r="Z1332" t="str"><v>Animated Banner</v></cell><cell r="AA1332"><v>43355</v></cell><cell r="AB1332" t="str"><v>USA_gaPMG_AZR_AZR_Q1_19_Direct-Social</v></cell><cell r="AC1332"><v>21358715</v></cell><cell r="AD1332"><v>720197</v></cell><cell r="AE1332" t="str"><v>Linkedin</v></cell><cell r="AF1332"><v>3654329</v></cell><cell r="AG1332" t="str"><v>FACEBOOK»USA-Trial-ITD-Retargeting-AZR-AZR»1 x 1»SocialBan»CAN»ALL»CPA»RT»X»NA»SS»NA»FreeAcctITProFB-AnimatedMigration-Ch3»PS79TM</v></cell><cell r="AH1332" t="str"><v>PS79TM</v></cell><cell r="AI1332" t="str"><v>AZR_FreeAcctITProFB-AnimatedMigration-Ch3_USA_1200x1200_CAN_Direct_EN_Trial_Standard_ANI_LEA_T3_1</v></cell><cell r="AJ1332"><v>104593450</v></cell></row><row r="1333"><cell r="D1333" t="str"><v>43355PS79TK</v></cell><cell r="E1333" t="str"><v>43355104593738PS79TK</v></cell><cell r="F1333" t="str"><v>Appended from Pub - Not in DCM</v></cell></row><row r="1333"><cell r="I1333" t="str"><v>Azure Direct</v></cell><cell r="J1333" t="str"><v>Azure Direct</v></cell><cell r="K1333" t="str"><v>September</v></cell><cell r="L1333"><v>43358</v></cell><cell r="M1333" t="str"><v>Tier 0</v></cell><cell r="N1333" t="str"><v>North America</v></cell><cell r="O1333" t="str"><v>United States</v></cell><cell r="P1333" t="str"><v>Trial</v></cell><cell r="Q1333" t="str"><v>Social</v></cell><cell r="R1333" t="str"><v>Azure</v></cell><cell r="S1333" t="str"><v>Apps & Infra</v></cell><cell r="T1333" t="str"><v>Developers & ITI's</v></cell><cell r="U1333" t="str"><v>USA-Trial-ITD-Retargeting-AZR-AZR</v></cell><cell r="V1333" t="str"><v>Retargeting</v></cell><cell r="W1333" t="str"><v>Canvas Ad</v></cell><cell r="X1333" t="str"><v>1200x1200</v></cell><cell r="Y1333" t="str"><v>Learn More</v></cell><cell r="Z1333" t="str"><v>Animated Banner</v></cell><cell r="AA1333"><v>43355</v></cell><cell r="AB1333" t="str"><v>USA_gaPMG_AZR_AZR_Q1_19_Direct-Social</v></cell><cell r="AC1333"><v>21358715</v></cell><cell r="AD1333"><v>720197</v></cell><cell r="AE1333" t="str"><v>Linkedin</v></cell><cell r="AF1333"><v>3654329</v></cell><cell r="AG1333" t="str"><v>FACEBOOK»USA-Trial-ITD-Retargeting-AZR-AZR»1 x 1»SocialBan»CAN»ALL»CPA»RT»X»NA»SS»NA»FreeAcctITProFB-AnimatedSecureMngd-Ch1»PS79TK</v></cell><cell r="AH1333" t="str"><v>PS79TK</v></cell><cell r="AI1333" t="str"><v>AZR_FreeAcctITProFB-AnimatedSecureMngd-Ch1_USA_1200x1200_CAN_Direct_EN_Trial_Standard_ANI_LEA_T1_1</v></cell><cell r="AJ1333"><v>104593738</v></cell></row><row r="1334"><cell r="D1334" t="str"><v>43355PS79T6</v></cell><cell r="E1334" t="str"><v>43355104671427PS79T6</v></cell><cell r="F1334" t="str"><v>Appended from Pub - Not in DCM</v></cell></row><row r="1334"><cell r="I1334" t="str"><v>Azure Direct</v></cell><cell r="J1334" t="str"><v>Azure Direct</v></cell><cell r="K1334" t="str"><v>September</v></cell><cell r="L1334"><v>43358</v></cell><cell r="M1334" t="str"><v>Tier 0</v></cell><cell r="N1334" t="str"><v>North America</v></cell><cell r="O1334" t="str"><v>United States</v></cell><cell r="P1334" t="str"><v>Trial</v></cell><cell r="Q1334" t="str"><v>Social</v></cell><cell r="R1334" t="str"><v>Azure</v></cell><cell r="S1334" t="str"><v>Apps & Infra</v></cell><cell r="T1334" t="str"><v>Developers & ITI's</v></cell><cell r="U1334" t="str"><v>USA-Trial-ITD-Retargeting-AZR-AZR</v></cell><cell r="V1334" t="str"><v>Retargeting</v></cell><cell r="W1334" t="str"><v>Canvas Ad</v></cell><cell r="X1334" t="str"><v>1200x1200</v></cell><cell r="Y1334" t="str"><v>Learn More</v></cell><cell r="Z1334" t="str"><v>Animated Banner</v></cell><cell r="AA1334"><v>43355</v></cell><cell r="AB1334" t="str"><v>USA_gaPMG_AZR_AZR_Q1_19_Direct-Social</v></cell><cell r="AC1334"><v>21358715</v></cell><cell r="AD1334"><v>720197</v></cell><cell r="AE1334" t="str"><v>Linkedin</v></cell><cell r="AF1334"><v>3654329</v></cell><cell r="AG1334" t="str"><v>FACEBOOK»USA-Trial-ITD-Retargeting-AZR-AZR»1 x 1»SocialBan»CAN»ALL»CPA»RT»X»NA»SS»NA»FreeAcctDeveloperFB-AnimatedOpenSource-Ch2»PS79T6</v></cell><cell r="AH1334" t="str"><v>PS79T6</v></cell><cell r="AI1334" t="str"><v>AZR_FreeAcctDeveloperFB-AnimatedOpenSource-Ch2_USA_1200x1200_CAN_Direct_EN_Trial_Standard_ANI_LEA_T2_1</v></cell><cell r="AJ1334"><v>104671427</v></cell></row><row r="1335"><cell r="D1335" t="str"><v>43355PS7B4Y</v></cell><cell r="E1335" t="str"><v>43355104592523PS7B4Y</v></cell><cell r="F1335" t="str"><v>Appended from Pub - Not in DCM</v></cell></row><row r="1335"><cell r="I1335" t="str"><v>Azure Direct</v></cell><cell r="J1335" t="str"><v>Azure Direct</v></cell><cell r="K1335" t="str"><v>September</v></cell><cell r="L1335"><v>43358</v></cell><cell r="M1335" t="str"><v>Tier 0</v></cell><cell r="N1335" t="str"><v>North America</v></cell><cell r="O1335" t="str"><v>United States</v></cell><cell r="P1335" t="str"><v>Trial</v></cell><cell r="Q1335" t="str"><v>Social</v></cell><cell r="R1335" t="str"><v>Azure</v></cell><cell r="S1335" t="str"><v>Apps & Infra</v></cell><cell r="T1335" t="str"><v>Developers & ITI's</v></cell><cell r="U1335" t="str"><v>USA-Trial-ITD-Trial Lookalike-AZR-AZR</v></cell><cell r="V1335" t="str"><v>Lookalike Targeting</v></cell><cell r="W1335" t="str"><v>Canvas Ad</v></cell><cell r="X1335" t="str"><v>1200x1200</v></cell><cell r="Y1335" t="str"><v>Learn More</v></cell><cell r="Z1335" t="str"><v>Animated Banner</v></cell><cell r="AA1335"><v>43355</v></cell><cell r="AB1335" t="str"><v>USA_gaPMG_AZR_AZR_Q1_19_Direct-Social</v></cell><cell r="AC1335"><v>21358715</v></cell><cell r="AD1335"><v>720197</v></cell><cell r="AE1335" t="str"><v>Linkedin</v></cell><cell r="AF1335"><v>3654329</v></cell><cell r="AG1335" t="str"><v>FACEBOOK»USA-Trial-ITD-Trial Lookalike-AZR-AZR»1 x 1»SocialBan»CAN»ALL»CPA»LAL»X»NA»SS»NA»FreeAcctDeveloperFB-AnimatedGeneric-Ch1»PS7B4Y</v></cell><cell r="AH1335" t="str"><v>PS7B4Y</v></cell><cell r="AI1335" t="str"><v>AZR_FreeAcctDeveloperFB-AnimatedGeneric-Ch1_USA_1200x1200_CAN_Direct_EN_Trial_Standard_ANI_LEA_T1_2</v></cell><cell r="AJ1335"><v>104592523</v></cell></row><row r="1336"><cell r="D1336" t="str"><v>43355PS7B50</v></cell><cell r="E1336" t="str"><v>43355104593735PS7B50</v></cell><cell r="F1336" t="str"><v>Appended from Pub - Not in DCM</v></cell></row><row r="1336"><cell r="I1336" t="str"><v>Azure Direct</v></cell><cell r="J1336" t="str"><v>Azure Direct</v></cell><cell r="K1336" t="str"><v>September</v></cell><cell r="L1336"><v>43358</v></cell><cell r="M1336" t="str"><v>Tier 0</v></cell><cell r="N1336" t="str"><v>North America</v></cell><cell r="O1336" t="str"><v>United States</v></cell><cell r="P1336" t="str"><v>Trial</v></cell><cell r="Q1336" t="str"><v>Social</v></cell><cell r="R1336" t="str"><v>Azure</v></cell><cell r="S1336" t="str"><v>Apps & Infra</v></cell><cell r="T1336" t="str"><v>Developers & ITI's</v></cell><cell r="U1336" t="str"><v>USA-Trial-ITD-Trial Lookalike-AZR-AZR</v></cell><cell r="V1336" t="str"><v>Lookalike Targeting</v></cell><cell r="W1336" t="str"><v>Canvas Ad</v></cell><cell r="X1336" t="str"><v>1200x1200</v></cell><cell r="Y1336" t="str"><v>Learn More</v></cell><cell r="Z1336" t="str"><v>Animated Banner</v></cell><cell r="AA1336"><v>43355</v></cell><cell r="AB1336" t="str"><v>USA_gaPMG_AZR_AZR_Q1_19_Direct-Social</v></cell><cell r="AC1336"><v>21358715</v></cell><cell r="AD1336"><v>720197</v></cell><cell r="AE1336" t="str"><v>Linkedin</v></cell><cell r="AF1336"><v>3654329</v></cell><cell r="AG1336" t="str"><v>FACEBOOK»USA-Trial-ITD-Trial Lookalike-AZR-AZR»1 x 1»SocialBan»CAN»ALL»CPA»LAL»X»NA»SS»NA»FreeAcctDeveloperFB-AnimatedAI-Ch3»PS7B50</v></cell><cell r="AH1336" t="str"><v>PS7B50</v></cell><cell r="AI1336" t="str"><v>AZR_FreeAcctDeveloperFB-AnimatedAI-Ch3_USA_1200x1200_CAN_Direct_EN_Trial_Standard_ANI_LEA_T3_1</v></cell><cell r="AJ1336"><v>104593735</v></cell></row><row r="1337"><cell r="D1337" t="str"><v>43355PS7B5R</v></cell><cell r="E1337" t="str"><v>43355104593438PS7B5R</v></cell><cell r="F1337" t="str"><v>Appended from Pub - Not in DCM</v></cell></row><row r="1337"><cell r="I1337" t="str"><v>Azure Direct</v></cell><cell r="J1337" t="str"><v>Azure Direct</v></cell><cell r="K1337" t="str"><v>September</v></cell><cell r="L1337"><v>43358</v></cell><cell r="M1337" t="str"><v>Tier 0</v></cell><cell r="N1337" t="str"><v>North America</v></cell><cell r="O1337" t="str"><v>United States</v></cell><cell r="P1337" t="str"><v>Trial</v></cell><cell r="Q1337" t="str"><v>Social</v></cell><cell r="R1337" t="str"><v>Azure</v></cell><cell r="S1337" t="str"><v>Apps & Infra</v></cell><cell r="T1337" t="str"><v>Developers & ITI's</v></cell><cell r="U1337" t="str"><v>USA-Trial-ITD-Trial PayGo Lookalike-AZR-AZR</v></cell><cell r="V1337" t="str"><v>Lookalike Targeting</v></cell><cell r="W1337" t="str"><v>Canvas Ad</v></cell><cell r="X1337" t="str"><v>1200x1200</v></cell><cell r="Y1337" t="str"><v>Learn More</v></cell><cell r="Z1337" t="str"><v>Animated Banner</v></cell><cell r="AA1337"><v>43355</v></cell><cell r="AB1337" t="str"><v>USA_gaPMG_AZR_AZR_Q1_19_Direct-Social</v></cell><cell r="AC1337"><v>21358715</v></cell><cell r="AD1337"><v>720197</v></cell><cell r="AE1337" t="str"><v>Linkedin</v></cell><cell r="AF1337"><v>3654329</v></cell><cell r="AG1337" t="str"><v>FACEBOOK»USA-Trial-ITD-Trial PayGo Lookalike-AZR-AZR»1 x 1»SocialBan»CAN»ALL»CPA»LAL»X»NA»SS»NA»FreeAcctDeveloperFB-AnimatedOpenSource-Ch2»PS7B5R</v></cell><cell r="AH1337" t="str"><v>PS7B5R</v></cell><cell r="AI1337" t="str"><v>AZR_FreeAcctDeveloperFB-AnimatedOpenSource-Ch2_USA_1200x1200_CAN_Direct_EN_Trial_Standard_ANI_LEA_T2_2</v></cell><cell r="AJ1337"><v>104593438</v></cell></row><row r="1338"><cell r="D1338" t="str"><v>43355PS7B52</v></cell><cell r="E1338" t="str"><v>43355104595739PS7B52</v></cell><cell r="F1338" t="str"><v>Appended from Pub - Not in DCM</v></cell></row><row r="1338"><cell r="I1338" t="str"><v>Azure Direct</v></cell><cell r="J1338" t="str"><v>Azure Direct</v></cell><cell r="K1338" t="str"><v>September</v></cell><cell r="L1338"><v>43358</v></cell><cell r="M1338" t="str"><v>Tier 0</v></cell><cell r="N1338" t="str"><v>North America</v></cell><cell r="O1338" t="str"><v>United States</v></cell><cell r="P1338" t="str"><v>Trial</v></cell><cell r="Q1338" t="str"><v>Social</v></cell><cell r="R1338" t="str"><v>Azure</v></cell><cell r="S1338" t="str"><v>Apps & Infra</v></cell><cell r="T1338" t="str"><v>Developers & ITI's</v></cell><cell r="U1338" t="str"><v>USA-Trial-ITD-Trial Lookalike-AZR-AZR</v></cell><cell r="V1338" t="str"><v>Lookalike Targeting</v></cell><cell r="W1338" t="str"><v>Canvas Ad</v></cell><cell r="X1338" t="str"><v>1200x1200</v></cell><cell r="Y1338" t="str"><v>Learn More</v></cell><cell r="Z1338" t="str"><v>Animated Banner</v></cell><cell r="AA1338"><v>43355</v></cell><cell r="AB1338" t="str"><v>USA_gaPMG_AZR_AZR_Q1_19_Direct-Social</v></cell><cell r="AC1338"><v>21358715</v></cell><cell r="AD1338"><v>720197</v></cell><cell r="AE1338" t="str"><v>Linkedin</v></cell><cell r="AF1338"><v>3654329</v></cell><cell r="AG1338" t="str"><v>FACEBOOK»USA-Trial-ITD-Trial Lookalike-AZR-AZR»1 x 1»SocialBan»CAN»ALL»CPA»LAL»X»NA»SS»NA»FreeAcctDeveloperFB-AnimatedData-Ch4»PS7B52</v></cell><cell r="AH1338" t="str"><v>PS7B52</v></cell><cell r="AI1338" t="str"><v>AZR_FreeAcctDeveloperFB-AnimatedData-Ch4_USA_1200x1200_CAN_Direct_EN_Trial_Standard_ANI_LEA_T4_1</v></cell><cell r="AJ1338"><v>104595739</v></cell></row><row r="1339"><cell r="D1339" t="str"><v>43355PRSGY7</v></cell><cell r="E1339" t="str"><v>43355103773177PRSGY7</v></cell><cell r="F1339" t="str"><v>Appended from Pub - Not in DCM</v></cell></row><row r="1339"><cell r="I1339" t="str"><v>Azure Direct</v></cell><cell r="J1339" t="str"><v>Azure Direct</v></cell><cell r="K1339" t="str"><v>September</v></cell><cell r="L1339"><v>43358</v></cell><cell r="M1339" t="str"><v>Tier 0</v></cell><cell r="N1339" t="str"><v>North America</v></cell><cell r="O1339" t="str"><v>United States</v></cell><cell r="P1339" t="str"><v>Trial</v></cell><cell r="Q1339" t="str"><v>Social</v></cell><cell r="R1339" t="str"><v>Azure</v></cell><cell r="S1339" t="str"><v>Apps & Infra</v></cell><cell r="T1339" t="str"><v>Developers & ITI's</v></cell><cell r="U1339" t="str"><v>USA-Trial-ITD-Retargeting-AZR-AZR</v></cell><cell r="V1339" t="str"><v>Retargeting</v></cell><cell r="W1339" t="str"><v>Canvas Collection Ad</v></cell><cell r="X1339" t="str"><v>1200x182</v></cell><cell r="Y1339" t="str"><v>Try it Now</v></cell><cell r="Z1339" t="str"><v>Not Applicable</v></cell><cell r="AA1339"><v>43355</v></cell><cell r="AB1339" t="str"><v>USA_gaPMG_AZR_AZR_Q1_19_Direct-Social</v></cell><cell r="AC1339"><v>21358715</v></cell><cell r="AD1339"><v>720197</v></cell><cell r="AE1339" t="str"><v>Linkedin</v></cell><cell r="AF1339"><v>3654329</v></cell><cell r="AG1339" t="str"><v>FACEBOOK»USA-Trial-ITD-Retargeting-AZR-AZR»1 x 1»SocialBan»CCA»ALL»CPA»RT»X»NA»SS»NA»Azure Developer Facebook Collections»PRSGY7</v></cell><cell r="AH1339" t="str"><v>PRSGY7</v></cell><cell r="AI1339" t="str"><v>AZR_FBCollections-AITryAzureFreeCTA-Img2_USA_1200x182_SOC_Plat_EN_NA_Standard_NA_TIN_T1_2</v></cell><cell r="AJ1339"><v>103773177</v></cell></row><row r="1340"><cell r="D1340" t="str"><v>43355PS79JW</v></cell><cell r="E1340" t="str"><v>43355PS79JW</v></cell><cell r="F1340" t="str"><v>Appended from Pub - Not in DCM</v></cell></row><row r="1340"><cell r="I1340" t="str"><v>Azure Direct</v></cell><cell r="J1340" t="str"><v>Azure Direct</v></cell><cell r="K1340" t="str"><v>September</v></cell><cell r="L1340"><v>43358</v></cell><cell r="M1340" t="str"><v>Tier 0</v></cell><cell r="N1340" t="str"><v>North America</v></cell><cell r="O1340" t="str"><v>United States</v></cell><cell r="P1340" t="str"><v>Trial</v></cell><cell r="Q1340" t="str"><v>Social</v></cell><cell r="R1340" t="str"><v>Azure</v></cell><cell r="S1340" t="str"><v>Apps & Infra</v></cell><cell r="T1340" t="str"><v>Developers & ITI's</v></cell><cell r="U1340" t="str"><v>USA-Trial-ITD-Lead Completes-AZR-AZR</v></cell><cell r="V1340" t="str"><v>Prospecting</v></cell><cell r="W1340" t="str"><v>Canvas Ad</v></cell></row><row r="1340"><cell r="AA1340"><v>43355</v></cell><cell r="AB1340" t="str"><v>USA_gaPMG_AZR_AZR_Q1_19_Direct-Social</v></cell><cell r="AC1340"><v>21358715</v></cell><cell r="AD1340"><v>720197</v></cell><cell r="AE1340" t="str"><v>Linkedin</v></cell><cell r="AF1340"><v>3654329</v></cell><cell r="AG1340" t="str"><v>FACEBOOK»USA-Trial-ITD-Lead Completes-AZR-AZR»1 x 1»SocialBan»CAN»ALL»CPA»PRO»X»NA»SS»NA»FreeAcctDeveloperFB-AnimatedAI-Ch3»PS79JW</v></cell><cell r="AH1340" t="str"><v>PS79JW</v></cell></row><row r="1341"><cell r="D1341" t="str"><v>43355PRC2FZ</v></cell><cell r="E1341" t="str"><v>43355103180628PRC2FZ</v></cell><cell r="F1341" t="str"><v>Appended from Pub - Not in DCM</v></cell></row><row r="1341"><cell r="I1341" t="str"><v>Azure Direct</v></cell><cell r="J1341" t="str"><v>Azure Direct</v></cell><cell r="K1341" t="str"><v>September</v></cell><cell r="L1341"><v>43358</v></cell><cell r="M1341" t="str"><v>Tier 0</v></cell><cell r="N1341" t="str"><v>North America</v></cell><cell r="O1341" t="str"><v>United States</v></cell><cell r="P1341" t="str"><v>Trial</v></cell><cell r="Q1341" t="str"><v>Social</v></cell><cell r="R1341" t="str"><v>Azure</v></cell><cell r="S1341" t="str"><v>Apps & Infra</v></cell><cell r="T1341" t="str"><v>Developers & ITI's</v></cell><cell r="U1341" t="str"><v>USA-Trial-ITD-Trial PayGo Lookalike-AZR-AZR</v></cell><cell r="V1341" t="str"><v>Lookalike Targeting</v></cell><cell r="W1341" t="str"><v>Canvas Ad</v></cell><cell r="X1341" t="str"><v>10s</v></cell><cell r="Y1341" t="str"><v>Try it Now</v></cell><cell r="Z1341" t="str"><v>Standard videos</v></cell><cell r="AA1341"><v>43355</v></cell><cell r="AB1341" t="str"><v>USA_gaPMG_AZR_AZR_Q1_19_Direct-Social</v></cell><cell r="AC1341"><v>21358715</v></cell><cell r="AD1341"><v>720197</v></cell><cell r="AE1341" t="str"><v>Linkedin</v></cell><cell r="AF1341"><v>3654329</v></cell><cell r="AG1341" t="str"><v>INSTAGRAM»USA-Trial-ITD-Trial PayGo Lookalike-AZR-AZR»1 x 1»SocialBan»CAN»ALL»CPA»LAL»X»NA»SS»NA»IGCTCBenefit2inMotion»PRC2FZ</v></cell><cell r="AH1341" t="str"><v>PRC2FZ</v></cell><cell r="AI1341" t="str"><v>AzurePlatform_IGCTCBrandinMotion_USA_10s_CAN_PLATFORM_English_Trial_Standard_STAN_TIN_T2_1</v></cell><cell r="AJ1341"><v>103180628</v></cell></row><row r="1342"><cell r="D1342" t="str"><v>43355PRC2FL</v></cell><cell r="E1342" t="str"><v>43355103050786PRC2FL</v></cell><cell r="F1342" t="str"><v>Appended from Pub - Not in DCM</v></cell></row><row r="1342"><cell r="I1342" t="str"><v>Azure Direct</v></cell><cell r="J1342" t="str"><v>Azure Direct</v></cell><cell r="K1342" t="str"><v>September</v></cell><cell r="L1342"><v>43358</v></cell><cell r="M1342" t="str"><v>Tier 0</v></cell><cell r="N1342" t="str"><v>North America</v></cell><cell r="O1342" t="str"><v>United States</v></cell><cell r="P1342" t="str"><v>Trial</v></cell><cell r="Q1342" t="str"><v>Social</v></cell><cell r="R1342" t="str"><v>Azure</v></cell><cell r="S1342" t="str"><v>Apps & Infra</v></cell><cell r="T1342" t="str"><v>Developers & ITI's</v></cell><cell r="U1342" t="str"><v>USA-Trial-ITD-Trial Lookalike-AZR-AZR</v></cell><cell r="V1342" t="str"><v>Lookalike Targeting</v></cell><cell r="W1342" t="str"><v>Canvas Ad</v></cell><cell r="X1342" t="str"><v>10s</v></cell><cell r="Y1342" t="str"><v>Try it Now</v></cell><cell r="Z1342" t="str"><v>Standard videos</v></cell><cell r="AA1342"><v>43355</v></cell><cell r="AB1342" t="str"><v>USA_gaPMG_AZR_AZR_Q1_19_Direct-Social</v></cell><cell r="AC1342"><v>21358715</v></cell><cell r="AD1342"><v>720197</v></cell><cell r="AE1342" t="str"><v>Linkedin</v></cell><cell r="AF1342"><v>3654329</v></cell><cell r="AG1342" t="str"><v>INSTAGRAM»USA-Trial-ITD-Trial Lookalike-AZR-AZR»1 x 1»SocialBan»CAN»ALL»CPA»LAL»X»NA»SS»NA»IGCTCBenefit2inMotion»PRC2FL</v></cell><cell r="AH1342" t="str"><v>PRC2FL</v></cell><cell r="AI1342" t="str"><v>AzurePlatform_IGCTCBrandinMotion_USA_10s_CAN_PLATFORM_English_Trial_Standard_STAN_TIN_T2_2</v></cell><cell r="AJ1342"><v>103050786</v></cell></row><row r="1343"><cell r="D1343" t="str"><v>43355PRC1LZ</v></cell><cell r="E1343" t="str"><v>43355103043823PRC1LZ</v></cell><cell r="F1343" t="str"><v>Appended from Pub - Not in DCM</v></cell></row><row r="1343"><cell r="I1343" t="str"><v>Azure Direct</v></cell><cell r="J1343" t="str"><v>Azure Direct</v></cell><cell r="K1343" t="str"><v>September</v></cell><cell r="L1343"><v>43358</v></cell><cell r="M1343" t="str"><v>Tier 0</v></cell><cell r="N1343" t="str"><v>North America</v></cell><cell r="O1343" t="str"><v>United States</v></cell><cell r="P1343" t="str"><v>Trial</v></cell><cell r="Q1343" t="str"><v>Social</v></cell><cell r="R1343" t="str"><v>Azure</v></cell><cell r="S1343" t="str"><v>Apps & Infra</v></cell><cell r="T1343" t="str"><v>Developers & ITI's</v></cell><cell r="U1343" t="str"><v>USA-Trial-ITD-Trial Lookalike-AZR-AZR</v></cell><cell r="V1343" t="str"><v>Lookalike Targeting</v></cell><cell r="W1343" t="str"><v>Canvas Ad</v></cell><cell r="X1343" t="str"><v>10s</v></cell><cell r="Y1343" t="str"><v>Try it Now</v></cell><cell r="Z1343" t="str"><v>Standard videos</v></cell><cell r="AA1343"><v>43355</v></cell><cell r="AB1343" t="str"><v>USA_gaPMG_AZR_AZR_Q1_19_Direct-Social</v></cell><cell r="AC1343"><v>21358715</v></cell><cell r="AD1343"><v>720197</v></cell><cell r="AE1343" t="str"><v>Linkedin</v></cell><cell r="AF1343"><v>3654329</v></cell><cell r="AG1343" t="str"><v>FACEBOOK»USA-Trial-ITD-Trial Lookalike-AZR-AZR»1 x 1»SocialBan»CAN»ALL»CPA»LAL»X»NA»SS»NA»FBCTCBasicMotion»PRC1LZ</v></cell><cell r="AH1343" t="str"><v>PRC1LZ</v></cell><cell r="AI1343" t="str"><v>AzurePlatform_FBCTCBasicMotion_USA_10s_CAN_PLATFORM_English_Trial_Standard_STAN_TIN_T1_1</v></cell><cell r="AJ1343"><v>103043823</v></cell></row><row r="1344"><cell r="D1344" t="str"><v>43355PRC2G6</v></cell><cell r="E1344" t="str"><v>43355103180628PRC2G6</v></cell><cell r="F1344" t="str"><v>Appended from Pub - Not in DCM</v></cell></row><row r="1344"><cell r="I1344" t="str"><v>Azure Direct</v></cell><cell r="J1344" t="str"><v>Azure Direct</v></cell><cell r="K1344" t="str"><v>September</v></cell><cell r="L1344"><v>43358</v></cell><cell r="M1344" t="str"><v>Tier 0</v></cell><cell r="N1344" t="str"><v>North America</v></cell><cell r="O1344" t="str"><v>United States</v></cell><cell r="P1344" t="str"><v>Trial</v></cell><cell r="Q1344" t="str"><v>Social</v></cell><cell r="R1344" t="str"><v>Azure</v></cell><cell r="S1344" t="str"><v>Apps & Infra</v></cell><cell r="T1344" t="str"><v>Developers & ITI's</v></cell><cell r="U1344" t="str"><v>USA-Trial-ITD-Retargeting-AZR-AZR</v></cell><cell r="V1344" t="str"><v>Retargeting</v></cell><cell r="W1344" t="str"><v>Canvas Ad</v></cell><cell r="X1344" t="str"><v>10s</v></cell><cell r="Y1344" t="str"><v>Try it Now</v></cell><cell r="Z1344" t="str"><v>Standard videos</v></cell><cell r="AA1344"><v>43355</v></cell><cell r="AB1344" t="str"><v>USA_gaPMG_AZR_AZR_Q1_19_Direct-Social</v></cell><cell r="AC1344"><v>21358715</v></cell><cell r="AD1344"><v>720197</v></cell><cell r="AE1344" t="str"><v>Linkedin</v></cell><cell r="AF1344"><v>3654329</v></cell><cell r="AG1344" t="str"><v>INSTAGRAM»USA-Trial-ITD-Retargeting-AZR-AZR»1 x 1»SocialBan»CAN»ALL»CPA»RT»X»NA»SS»NA»IGCTCBenefit2inMotion»PRC2G6</v></cell><cell r="AH1344" t="str"><v>PRC2G6</v></cell><cell r="AI1344" t="str"><v>AzurePlatform_IGCTCBrandinMotion_USA_10s_CAN_PLATFORM_English_Trial_Standard_STAN_TIN_T2_1</v></cell><cell r="AJ1344"><v>103180628</v></cell></row><row r="1345"><cell r="D1345" t="str"><v>43355PRC2PD</v></cell><cell r="E1345" t="str"><v>43355103180628PRC2PD</v></cell><cell r="F1345" t="str"><v>Appended from Pub - Not in DCM</v></cell></row><row r="1345"><cell r="I1345" t="str"><v>Azure Direct</v></cell><cell r="J1345" t="str"><v>Azure Direct</v></cell><cell r="K1345" t="str"><v>September</v></cell><cell r="L1345"><v>43358</v></cell><cell r="M1345" t="str"><v>Tier 0</v></cell><cell r="N1345" t="str"><v>North America</v></cell><cell r="O1345" t="str"><v>United States</v></cell><cell r="P1345" t="str"><v>Trial</v></cell><cell r="Q1345" t="str"><v>Social</v></cell><cell r="R1345" t="str"><v>Azure</v></cell><cell r="S1345" t="str"><v>Apps & Infra</v></cell><cell r="T1345" t="str"><v>Developers & ITI's</v></cell><cell r="U1345" t="str"><v>USA-Trial-ITD-Interest Prospecting-AZR-AZR</v></cell><cell r="V1345" t="str"><v>Prospecting</v></cell><cell r="W1345" t="str"><v>Canvas Ad</v></cell><cell r="X1345" t="str"><v>10s</v></cell><cell r="Y1345" t="str"><v>Try it Now</v></cell><cell r="Z1345" t="str"><v>Standard videos</v></cell><cell r="AA1345"><v>43355</v></cell><cell r="AB1345" t="str"><v>USA_gaPMG_AZR_AZR_Q1_19_Direct-Social</v></cell><cell r="AC1345"><v>21358715</v></cell><cell r="AD1345"><v>720197</v></cell><cell r="AE1345" t="str"><v>Linkedin</v></cell><cell r="AF1345"><v>3654329</v></cell><cell r="AG1345" t="str"><v>INSTAGRAM»USA-Trial-ITD-Interest Prospecting-AZR-AZR»1 x 1»SocialBan»CAN»ALL»CPA»PRO»X»NA»SS»NA»IGCTCBenefit2inMotion»PRC2PD</v></cell><cell r="AH1345" t="str"><v>PRC2PD</v></cell><cell r="AI1345" t="str"><v>AzurePlatform_IGCTCBrandinMotion_USA_10s_CAN_PLATFORM_English_Trial_Standard_STAN_TIN_T2_1</v></cell><cell r="AJ1345"><v>103180628</v></cell></row><row r="1346"><cell r="D1346" t="str"><v>43355PRSH0N</v></cell><cell r="E1346" t="str"><v>43355103873631PRSH0N</v></cell><cell r="F1346" t="str"><v>Appended from Pub - Not in DCM</v></cell></row><row r="1346"><cell r="I1346" t="str"><v>Azure Direct</v></cell><cell r="J1346" t="str"><v>Azure Direct</v></cell><cell r="K1346" t="str"><v>September</v></cell><cell r="L1346"><v>43358</v></cell><cell r="M1346" t="str"><v>Tier 0</v></cell><cell r="N1346" t="str"><v>North America</v></cell><cell r="O1346" t="str"><v>United States</v></cell><cell r="P1346" t="str"><v>Trial</v></cell><cell r="Q1346" t="str"><v>Social</v></cell><cell r="R1346" t="str"><v>Azure</v></cell><cell r="S1346" t="str"><v>Apps & Infra</v></cell><cell r="T1346" t="str"><v>Developers & ITI's</v></cell><cell r="U1346" t="str"><v>USA-Trial-ITD-Trial Lookalike-AZR-AZR</v></cell><cell r="V1346" t="str"><v>Lookalike Targeting</v></cell><cell r="W1346" t="str"><v>Canvas Collection Ad</v></cell><cell r="X1346" t="str"><v>1200x182</v></cell><cell r="Y1346" t="str"><v>Try it Now</v></cell><cell r="Z1346" t="str"><v>Not Applicable</v></cell><cell r="AA1346"><v>43355</v></cell><cell r="AB1346" t="str"><v>USA_gaPMG_AZR_AZR_Q1_19_Direct-Social</v></cell><cell r="AC1346"><v>21358715</v></cell><cell r="AD1346"><v>720197</v></cell><cell r="AE1346" t="str"><v>Linkedin</v></cell><cell r="AF1346"><v>3654329</v></cell><cell r="AG1346" t="str"><v>FACEBOOK»USA-Trial-ITD-Trial Lookalike-AZR-AZR»1 x 1»SocialBan»CCA»ALL»CPA»LAL»X»NA»SS»NA»Azure Developer Facebook Collections»PRSH0N</v></cell><cell r="AH1346" t="str"><v>PRSH0N</v></cell><cell r="AI1346" t="str"><v>AZR_FBCollections-OSSTryAzureFreeCTA-Img3_USA_1200x182_SOC_Plat_EN_NA_Standard_NA_TIN_T1_3</v></cell><cell r="AJ1346"><v>103873631</v></cell></row><row r="1347"><cell r="D1347" t="str"><v>43355PS7DLR</v></cell><cell r="E1347" t="str"><v>43355104593450PS7DLR</v></cell><cell r="F1347" t="str"><v>Appended from Pub - Not in DCM</v></cell></row><row r="1347"><cell r="I1347" t="str"><v>Azure Direct</v></cell><cell r="J1347" t="str"><v>Azure Direct</v></cell><cell r="K1347" t="str"><v>September</v></cell><cell r="L1347"><v>43358</v></cell><cell r="M1347" t="str"><v>Tier 0</v></cell><cell r="N1347" t="str"><v>North America</v></cell><cell r="O1347" t="str"><v>United States</v></cell><cell r="P1347" t="str"><v>Trial</v></cell><cell r="Q1347" t="str"><v>Social</v></cell><cell r="R1347" t="str"><v>Azure</v></cell><cell r="S1347" t="str"><v>Apps & Infra</v></cell><cell r="T1347" t="str"><v>Developers & ITI's</v></cell><cell r="U1347" t="str"><v>USA-Trial-ITD-Lead Completes Lookalike-AZR-AZR</v></cell><cell r="V1347" t="str"><v>Lookalike Targeting</v></cell><cell r="W1347" t="str"><v>Canvas Ad</v></cell><cell r="X1347" t="str"><v>1200x1200</v></cell><cell r="Y1347" t="str"><v>Learn More</v></cell><cell r="Z1347" t="str"><v>Animated Banner</v></cell><cell r="AA1347"><v>43355</v></cell><cell r="AB1347" t="str"><v>USA_gaPMG_AZR_AZR_Q1_19_Direct-Social</v></cell><cell r="AC1347"><v>21358715</v></cell><cell r="AD1347"><v>720197</v></cell><cell r="AE1347" t="str"><v>Linkedin</v></cell><cell r="AF1347"><v>3654329</v></cell><cell r="AG1347" t="str"><v>FACEBOOK»USA-Trial-ITD-Lead Completes Lookalike-AZR-AZR»1 x 1»SocialBan»CAN»ALL»CPA»LAL»X»NA»SS»NA»FreeAcctITProFB-AnimatedMigration-Ch3»PS7DLR</v></cell><cell r="AH1347" t="str"><v>PS7DLR</v></cell><cell r="AI1347" t="str"><v>AZR_FreeAcctITProFB-AnimatedMigration-Ch3_USA_1200x1200_CAN_Direct_EN_Trial_Standard_ANI_LEA_T3_1</v></cell><cell r="AJ1347"><v>104593450</v></cell></row><row r="1348"><cell r="D1348" t="str"><v>43355PS7DLN</v></cell><cell r="E1348" t="str"><v>43355104592535PS7DLN</v></cell><cell r="F1348" t="str"><v>Appended from Pub - Not in DCM</v></cell></row><row r="1348"><cell r="I1348" t="str"><v>Azure Direct</v></cell><cell r="J1348" t="str"><v>Azure Direct</v></cell><cell r="K1348" t="str"><v>September</v></cell><cell r="L1348"><v>43358</v></cell><cell r="M1348" t="str"><v>Tier 0</v></cell><cell r="N1348" t="str"><v>North America</v></cell><cell r="O1348" t="str"><v>United States</v></cell><cell r="P1348" t="str"><v>Trial</v></cell><cell r="Q1348" t="str"><v>Social</v></cell><cell r="R1348" t="str"><v>Azure</v></cell><cell r="S1348" t="str"><v>Apps & Infra</v></cell><cell r="T1348" t="str"><v>Developers & ITI's</v></cell><cell r="U1348" t="str"><v>USA-Trial-ITD-Lead Completes Lookalike-AZR-AZR</v></cell><cell r="V1348" t="str"><v>Lookalike Targeting</v></cell><cell r="W1348" t="str"><v>Canvas Ad</v></cell><cell r="X1348" t="str"><v>1200x1200</v></cell><cell r="Y1348" t="str"><v>Learn More</v></cell><cell r="Z1348" t="str"><v>Animated Banner</v></cell><cell r="AA1348"><v>43355</v></cell><cell r="AB1348" t="str"><v>USA_gaPMG_AZR_AZR_Q1_19_Direct-Social</v></cell><cell r="AC1348"><v>21358715</v></cell><cell r="AD1348"><v>720197</v></cell><cell r="AE1348" t="str"><v>Linkedin</v></cell><cell r="AF1348"><v>3654329</v></cell><cell r="AG1348" t="str"><v>FACEBOOK»USA-Trial-ITD-Lead Completes Lookalike-AZR-AZR»1 x 1»SocialBan»CAN»ALL»CPA»LAL»X»NA»SS»NA»FreeAcctITProFB-AnimatedHybrid-Ch2»PS7DLN</v></cell><cell r="AH1348" t="str"><v>PS7DLN</v></cell><cell r="AI1348" t="str"><v>AZR_FreeAcctITProFB-AnimatedHybrid-Ch2_USA_1200x1200_CAN_Direct_EN_Trial_Standard_ANI_LEA_T2_1</v></cell><cell r="AJ1348"><v>104592535</v></cell></row><row r="1349"><cell r="D1349" t="str"><v>43355PRC1VW</v></cell><cell r="E1349" t="str"><v>43355103032775PRC1VW</v></cell><cell r="F1349" t="str"><v>Appended from Pub - Not in DCM</v></cell></row><row r="1349"><cell r="I1349" t="str"><v>Azure Direct</v></cell><cell r="J1349" t="str"><v>Azure Direct</v></cell><cell r="K1349" t="str"><v>September</v></cell><cell r="L1349"><v>43358</v></cell><cell r="M1349" t="str"><v>Tier 0</v></cell><cell r="N1349" t="str"><v>North America</v></cell><cell r="O1349" t="str"><v>United States</v></cell><cell r="P1349" t="str"><v>Trial</v></cell><cell r="Q1349" t="str"><v>Social</v></cell><cell r="R1349" t="str"><v>Azure</v></cell><cell r="S1349" t="str"><v>Apps & Infra</v></cell><cell r="T1349" t="str"><v>Developers & ITI's</v></cell><cell r="U1349" t="str"><v>USA-Trial-ITD-Lead Completes-AZR-AZR</v></cell><cell r="V1349" t="str"><v>Prospecting</v></cell><cell r="W1349" t="str"><v>Canvas Ad</v></cell><cell r="X1349" t="str"><v>10s</v></cell><cell r="Y1349" t="str"><v>Try it Now</v></cell><cell r="Z1349" t="str"><v>Standard videos</v></cell><cell r="AA1349"><v>43355</v></cell><cell r="AB1349" t="str"><v>USA_gaPMG_AZR_AZR_Q1_19_Direct-Social</v></cell><cell r="AC1349"><v>21358715</v></cell><cell r="AD1349"><v>720197</v></cell><cell r="AE1349" t="str"><v>Linkedin</v></cell><cell r="AF1349"><v>3654329</v></cell><cell r="AG1349" t="str"><v>FACEBOOK»USA-Trial-ITD-Lead Completes-AZR-AZR»1 x 1»SocialBan»CAN»ALL»CPA»PRO»X»NA»SS»NA»FBCTCBenefitinMotion»PRC1VW</v></cell><cell r="AH1349" t="str"><v>PRC1VW</v></cell><cell r="AI1349" t="str"><v>AzurePlatform_FBCTCBenefitinMotion_USA_10s_CAN_PLATFORM_English_Trial_Standard_STAN_TIN_T3_1</v></cell><cell r="AJ1349"><v>103032775</v></cell></row><row r="1350"><cell r="D1350" t="str"><v>43355PS79G3</v></cell><cell r="E1350" t="str"><v>43355104595745PS79G3</v></cell><cell r="F1350" t="str"><v>Appended from Pub - Not in DCM</v></cell></row><row r="1350"><cell r="I1350" t="str"><v>Azure Direct</v></cell><cell r="J1350" t="str"><v>Azure Direct</v></cell><cell r="K1350" t="str"><v>September</v></cell><cell r="L1350"><v>43358</v></cell><cell r="M1350" t="str"><v>Tier 0</v></cell><cell r="N1350" t="str"><v>North America</v></cell><cell r="O1350" t="str"><v>United States</v></cell><cell r="P1350" t="str"><v>Trial</v></cell><cell r="Q1350" t="str"><v>Social</v></cell><cell r="R1350" t="str"><v>Azure</v></cell><cell r="S1350" t="str"><v>Apps & Infra</v></cell><cell r="T1350" t="str"><v>Developers & ITI's</v></cell><cell r="U1350" t="str"><v>USA-Trial-ITD-Lead Completes Lookalike-AZR-AZR</v></cell><cell r="V1350" t="str"><v>Lookalike Targeting</v></cell><cell r="W1350" t="str"><v>Canvas Ad</v></cell><cell r="X1350" t="str"><v>1200x1200</v></cell><cell r="Y1350" t="str"><v>Learn More</v></cell><cell r="Z1350" t="str"><v>Animated Banner</v></cell><cell r="AA1350"><v>43355</v></cell><cell r="AB1350" t="str"><v>USA_gaPMG_AZR_AZR_Q1_19_Direct-Social</v></cell><cell r="AC1350"><v>21358715</v></cell><cell r="AD1350"><v>720197</v></cell><cell r="AE1350" t="str"><v>Linkedin</v></cell><cell r="AF1350"><v>3654329</v></cell><cell r="AG1350" t="str"><v>FACEBOOK»USA-Trial-ITD-Lead Completes Lookalike-AZR-AZR»1 x 1»SocialBan»CAN»ALL»CPA»LAL»X»NA»SS»NA»FreeAcctDeveloperFB-AnimatedAI-Ch3»PS79G3</v></cell><cell r="AH1350" t="str"><v>PS79G3</v></cell><cell r="AI1350" t="str"><v>AZR_FreeAcctDeveloperFB-AnimatedAI-Ch3_USA_1200x1200_CAN_Direct_EN_Trial_Standard_ANI_LEA_T3_2</v></cell><cell r="AJ1350"><v>104595745</v></cell></row><row r="1351"><cell r="D1351" t="str"><v>43355PS79FT</v></cell><cell r="E1351" t="str"><v>43355PS79FT</v></cell><cell r="F1351" t="str"><v>Appended from Pub - Not in DCM</v></cell></row><row r="1351"><cell r="I1351" t="str"><v>Azure Direct</v></cell><cell r="J1351" t="str"><v>Azure Direct</v></cell><cell r="K1351" t="str"><v>September</v></cell><cell r="L1351"><v>43358</v></cell><cell r="M1351" t="str"><v>Tier 0</v></cell><cell r="N1351" t="str"><v>North America</v></cell><cell r="O1351" t="str"><v>United States</v></cell><cell r="P1351" t="str"><v>Trial</v></cell><cell r="Q1351" t="str"><v>Social</v></cell><cell r="R1351" t="str"><v>Azure</v></cell><cell r="S1351" t="str"><v>Apps & Infra</v></cell><cell r="T1351" t="str"><v>Developers & ITI's</v></cell><cell r="U1351" t="str"><v>USA-Trial-ITD-Lead Completes Lookalike-AZR-AZR</v></cell><cell r="V1351" t="str"><v>Lookalike Targeting</v></cell><cell r="W1351" t="str"><v>Canvas Ad</v></cell></row><row r="1351"><cell r="AA1351"><v>43355</v></cell><cell r="AB1351" t="str"><v>USA_gaPMG_AZR_AZR_Q1_19_Direct-Social</v></cell><cell r="AC1351"><v>21358715</v></cell><cell r="AD1351"><v>720197</v></cell><cell r="AE1351" t="str"><v>Linkedin</v></cell><cell r="AF1351"><v>3654329</v></cell><cell r="AG1351" t="str"><v>FACEBOOK»USA-Trial-ITD-Lead Completes Lookalike-AZR-AZR»1 x 1»SocialBan»CAN»ALL»CPA»LAL»X»NA»SS»NA»FreeAcctDeveloperFB-AnimatedGeneric-Ch1»PS79FT</v></cell><cell r="AH1351" t="str"><v>PS79FT</v></cell></row><row r="1352"><cell r="D1352" t="str"><v>43355PS79G4</v></cell><cell r="E1352" t="str"><v>43355104671427PS79G4</v></cell><cell r="F1352" t="str"><v>Appended from Pub - Not in DCM</v></cell></row><row r="1352"><cell r="I1352" t="str"><v>Azure Direct</v></cell><cell r="J1352" t="str"><v>Azure Direct</v></cell><cell r="K1352" t="str"><v>September</v></cell><cell r="L1352"><v>43358</v></cell><cell r="M1352" t="str"><v>Tier 0</v></cell><cell r="N1352" t="str"><v>North America</v></cell><cell r="O1352" t="str"><v>United States</v></cell><cell r="P1352" t="str"><v>Trial</v></cell><cell r="Q1352" t="str"><v>Social</v></cell><cell r="R1352" t="str"><v>Azure</v></cell><cell r="S1352" t="str"><v>Apps & Infra</v></cell><cell r="T1352" t="str"><v>Developers & ITI's</v></cell><cell r="U1352" t="str"><v>USA-Trial-ITD-Lead Completes Lookalike-AZR-AZR</v></cell><cell r="V1352" t="str"><v>Lookalike Targeting</v></cell><cell r="W1352" t="str"><v>Canvas Ad</v></cell><cell r="X1352" t="str"><v>1200x1200</v></cell><cell r="Y1352" t="str"><v>Learn More</v></cell><cell r="Z1352" t="str"><v>Animated Banner</v></cell><cell r="AA1352"><v>43355</v></cell><cell r="AB1352" t="str"><v>USA_gaPMG_AZR_AZR_Q1_19_Direct-Social</v></cell><cell r="AC1352"><v>21358715</v></cell><cell r="AD1352"><v>720197</v></cell><cell r="AE1352" t="str"><v>Linkedin</v></cell><cell r="AF1352"><v>3654329</v></cell><cell r="AG1352" t="str"><v>FACEBOOK»USA-Trial-ITD-Lead Completes Lookalike-AZR-AZR»1 x 1»SocialBan»CAN»ALL»CPA»LAL»X»NA»SS»NA»FreeAcctDeveloperFB-AnimatedOpenSource-Ch2»PS79G4</v></cell><cell r="AH1352" t="str"><v>PS79G4</v></cell><cell r="AI1352" t="str"><v>AZR_FreeAcctDeveloperFB-AnimatedOpenSource-Ch2_USA_1200x1200_CAN_Direct_EN_Trial_Standard_ANI_LEA_T2_1</v></cell><cell r="AJ1352"><v>104671427</v></cell></row><row r="1353"><cell r="D1353" t="str"><v>43355PS79JT</v></cell><cell r="E1353" t="str"><v>43355PS79JT</v></cell><cell r="F1353" t="str"><v>Appended from Pub - Not in DCM</v></cell></row><row r="1353"><cell r="I1353" t="str"><v>Azure Direct</v></cell><cell r="J1353" t="str"><v>Azure Direct</v></cell><cell r="K1353" t="str"><v>September</v></cell><cell r="L1353"><v>43358</v></cell><cell r="M1353" t="str"><v>Tier 0</v></cell><cell r="N1353" t="str"><v>North America</v></cell><cell r="O1353" t="str"><v>United States</v></cell><cell r="P1353" t="str"><v>Trial</v></cell><cell r="Q1353" t="str"><v>Social</v></cell><cell r="R1353" t="str"><v>Azure</v></cell><cell r="S1353" t="str"><v>Apps & Infra</v></cell><cell r="T1353" t="str"><v>Developers & ITI's</v></cell><cell r="U1353" t="str"><v>USA-Trial-ITD-Lead Completes-AZR-AZR</v></cell><cell r="V1353" t="str"><v>Prospecting</v></cell><cell r="W1353" t="str"><v>Canvas Ad</v></cell></row><row r="1353"><cell r="AA1353"><v>43355</v></cell><cell r="AB1353" t="str"><v>USA_gaPMG_AZR_AZR_Q1_19_Direct-Social</v></cell><cell r="AC1353"><v>21358715</v></cell><cell r="AD1353"><v>720197</v></cell><cell r="AE1353" t="str"><v>Linkedin</v></cell><cell r="AF1353"><v>3654329</v></cell><cell r="AG1353" t="str"><v>FACEBOOK»USA-Trial-ITD-Lead Completes-AZR-AZR»1 x 1»SocialBan»CAN»ALL»CPA»PRO»X»NA»SS»NA»FreeAcctDeveloperFB-AnimatedGeneric-Ch1»PS79JT</v></cell><cell r="AH1353" t="str"><v>PS79JT</v></cell></row><row r="1354"><cell r="D1354" t="str"><v>43355PS79JX</v></cell><cell r="E1354" t="str"><v>43355PS79JX</v></cell><cell r="F1354" t="str"><v>Appended from Pub - Not in DCM</v></cell></row><row r="1354"><cell r="I1354" t="str"><v>Azure Direct</v></cell><cell r="J1354" t="str"><v>Azure Direct</v></cell><cell r="K1354" t="str"><v>September</v></cell><cell r="L1354"><v>43358</v></cell><cell r="M1354" t="str"><v>Tier 0</v></cell><cell r="N1354" t="str"><v>North America</v></cell><cell r="O1354" t="str"><v>United States</v></cell><cell r="P1354" t="str"><v>Trial</v></cell><cell r="Q1354" t="str"><v>Social</v></cell><cell r="R1354" t="str"><v>Azure</v></cell><cell r="S1354" t="str"><v>Apps & Infra</v></cell><cell r="T1354" t="str"><v>Developers & ITI's</v></cell><cell r="U1354" t="str"><v>USA-Trial-ITD-Lead Completes-AZR-AZR</v></cell><cell r="V1354" t="str"><v>Prospecting</v></cell><cell r="W1354" t="str"><v>Canvas Ad</v></cell></row><row r="1354"><cell r="AA1354"><v>43355</v></cell><cell r="AB1354" t="str"><v>USA_gaPMG_AZR_AZR_Q1_19_Direct-Social</v></cell><cell r="AC1354"><v>21358715</v></cell><cell r="AD1354"><v>720197</v></cell><cell r="AE1354" t="str"><v>Linkedin</v></cell><cell r="AF1354"><v>3654329</v></cell><cell r="AG1354" t="str"><v>FACEBOOK»USA-Trial-ITD-Lead Completes-AZR-AZR»1 x 1»SocialBan»CAN»ALL»CPA»PRO»X»NA»SS»NA»FreeAcctDeveloperFB-AnimatedData-Ch4»PS79JX</v></cell><cell r="AH1354" t="str"><v>PS79JX</v></cell></row><row r="1355"><cell r="D1355" t="str"><v>43355PS79JP</v></cell><cell r="E1355" t="str"><v>43355PS79JP</v></cell><cell r="F1355" t="str"><v>Appended from Pub - Not in DCM</v></cell></row><row r="1355"><cell r="I1355" t="str"><v>Azure Direct</v></cell><cell r="J1355" t="str"><v>Azure Direct</v></cell><cell r="K1355" t="str"><v>September</v></cell><cell r="L1355"><v>43358</v></cell><cell r="M1355" t="str"><v>Tier 0</v></cell><cell r="N1355" t="str"><v>North America</v></cell><cell r="O1355" t="str"><v>United States</v></cell><cell r="P1355" t="str"><v>Trial</v></cell><cell r="Q1355" t="str"><v>Social</v></cell><cell r="R1355" t="str"><v>Azure</v></cell><cell r="S1355" t="str"><v>Apps & Infra</v></cell><cell r="T1355" t="str"><v>Developers & ITI's</v></cell><cell r="U1355" t="str"><v>USA-Trial-ITD-Lead Completes-AZR-AZR</v></cell><cell r="V1355" t="str"><v>Prospecting</v></cell><cell r="W1355" t="str"><v>Canvas Ad</v></cell></row><row r="1355"><cell r="AA1355"><v>43355</v></cell><cell r="AB1355" t="str"><v>USA_gaPMG_AZR_AZR_Q1_19_Direct-Social</v></cell><cell r="AC1355"><v>21358715</v></cell><cell r="AD1355"><v>720197</v></cell><cell r="AE1355" t="str"><v>Linkedin</v></cell><cell r="AF1355"><v>3654329</v></cell><cell r="AG1355" t="str"><v>FACEBOOK»USA-Trial-ITD-Lead Completes-AZR-AZR»1 x 1»SocialBan»CAN»ALL»CPA»PRO»X»NA»SS»NA»FreeAcctDeveloperFB-AnimatedGeneric-Ch1»PS79JP</v></cell><cell r="AH1355" t="str"><v>PS79JP</v></cell></row><row r="1356"><cell r="D1356" t="str"><v>43355PS79S1</v></cell><cell r="E1356" t="str"><v>43355104595769PS79S1</v></cell><cell r="F1356" t="str"><v>Appended from Pub - Not in DCM</v></cell></row><row r="1356"><cell r="I1356" t="str"><v>Azure Direct</v></cell><cell r="J1356" t="str"><v>Azure Direct</v></cell><cell r="K1356" t="str"><v>September</v></cell><cell r="L1356"><v>43358</v></cell><cell r="M1356" t="str"><v>Tier 0</v></cell><cell r="N1356" t="str"><v>North America</v></cell><cell r="O1356" t="str"><v>United States</v></cell><cell r="P1356" t="str"><v>Trial</v></cell><cell r="Q1356" t="str"><v>Social</v></cell><cell r="R1356" t="str"><v>Azure</v></cell><cell r="S1356" t="str"><v>Apps & Infra</v></cell><cell r="T1356" t="str"><v>Developers & ITI's</v></cell><cell r="U1356" t="str"><v>USA-Trial-ITD-Retargeting-AZR-AZR</v></cell><cell r="V1356" t="str"><v>Retargeting</v></cell><cell r="W1356" t="str"><v>Canvas Ad</v></cell><cell r="X1356" t="str"><v>1200x628</v></cell><cell r="Y1356" t="str"><v>Sign Up</v></cell><cell r="Z1356" t="str"><v>Not Applicable</v></cell><cell r="AA1356"><v>43355</v></cell><cell r="AB1356" t="str"><v>USA_gaPMG_AZR_AZR_Q1_19_Direct-Social</v></cell><cell r="AC1356"><v>21358715</v></cell><cell r="AD1356"><v>720197</v></cell><cell r="AE1356" t="str"><v>Linkedin</v></cell><cell r="AF1356"><v>3654329</v></cell><cell r="AG1356" t="str"><v>FACEBOOK»USA-Trial-ITD-Retargeting-AZR-AZR»1 x 1»SocialBan»CAN»ALL»CPA»RT»X»NA»SS»NA»FreeAcctRetargetingFB-Credit-ChA»PS79S1</v></cell><cell r="AH1356" t="str"><v>PS79S1</v></cell><cell r="AI1356" t="str"><v>AZR_FreeAcctRetargetingFB-Credit-ChA_USA_1200x628_CAN_Plat_English_Free Account_Standard_NA_SINU_T1_1</v></cell><cell r="AJ1356"><v>104595769</v></cell></row><row r="1357"><cell r="D1357" t="str"><v>43355PS78JH</v></cell><cell r="E1357" t="str"><v>43355104592535PS78JH</v></cell><cell r="F1357" t="str"><v>Appended from Pub - Not in DCM</v></cell></row><row r="1357"><cell r="I1357" t="str"><v>Azure Direct</v></cell><cell r="J1357" t="str"><v>Azure Direct</v></cell><cell r="K1357" t="str"><v>September</v></cell><cell r="L1357"><v>43358</v></cell><cell r="M1357" t="str"><v>Tier 0</v></cell><cell r="N1357" t="str"><v>North America</v></cell><cell r="O1357" t="str"><v>United States</v></cell><cell r="P1357" t="str"><v>Trial</v></cell><cell r="Q1357" t="str"><v>Social</v></cell><cell r="R1357" t="str"><v>Azure</v></cell><cell r="S1357" t="str"><v>Apps & Infra</v></cell><cell r="T1357" t="str"><v>Developers & ITI's</v></cell><cell r="U1357" t="str"><v>USA-Trial-ITD-Interest Prospecting-AZR-AZR</v></cell><cell r="V1357" t="str"><v>Prospecting</v></cell><cell r="W1357" t="str"><v>Canvas Ad</v></cell><cell r="X1357" t="str"><v>1200x1200</v></cell><cell r="Y1357" t="str"><v>Learn More</v></cell><cell r="Z1357" t="str"><v>Animated Banner</v></cell><cell r="AA1357"><v>43355</v></cell><cell r="AB1357" t="str"><v>USA_gaPMG_AZR_AZR_Q1_19_Direct-Social</v></cell><cell r="AC1357"><v>21358715</v></cell><cell r="AD1357"><v>720197</v></cell><cell r="AE1357" t="str"><v>Linkedin</v></cell><cell r="AF1357"><v>3654329</v></cell><cell r="AG1357" t="str"><v>FACEBOOK»USA-Trial-ITD-Interest Prospecting-AZR-AZR»1 x 1»SocialBan»CAN»ALL»CPA»PRO»X»NA»SS»NA»FreeAcctITProFB-AnimatedHybrid-Ch2»PS78JH</v></cell><cell r="AH1357" t="str"><v>PS78JH</v></cell><cell r="AI1357" t="str"><v>AZR_FreeAcctITProFB-AnimatedHybrid-Ch2_USA_1200x1200_CAN_Direct_EN_Trial_Standard_ANI_LEA_T2_1</v></cell><cell r="AJ1357"><v>104592535</v></cell></row><row r="1358"><cell r="D1358" t="str"><v>43355PS78JJ</v></cell><cell r="E1358" t="str"><v>43355104595730PS78JJ</v></cell><cell r="F1358" t="str"><v>Appended from Pub - Not in DCM</v></cell></row><row r="1358"><cell r="I1358" t="str"><v>Azure Direct</v></cell><cell r="J1358" t="str"><v>Azure Direct</v></cell><cell r="K1358" t="str"><v>September</v></cell><cell r="L1358"><v>43358</v></cell><cell r="M1358" t="str"><v>Tier 0</v></cell><cell r="N1358" t="str"><v>North America</v></cell><cell r="O1358" t="str"><v>United States</v></cell><cell r="P1358" t="str"><v>Trial</v></cell><cell r="Q1358" t="str"><v>Social</v></cell><cell r="R1358" t="str"><v>Azure</v></cell><cell r="S1358" t="str"><v>Apps & Infra</v></cell><cell r="T1358" t="str"><v>Developers & ITI's</v></cell><cell r="U1358" t="str"><v>USA-Trial-ITD-Interest Prospecting-AZR-AZR</v></cell><cell r="V1358" t="str"><v>Prospecting</v></cell><cell r="W1358" t="str"><v>Canvas Ad</v></cell><cell r="X1358" t="str"><v>1200x1200</v></cell><cell r="Y1358" t="str"><v>Learn More</v></cell><cell r="Z1358" t="str"><v>Animated Banner</v></cell><cell r="AA1358"><v>43355</v></cell><cell r="AB1358" t="str"><v>USA_gaPMG_AZR_AZR_Q1_19_Direct-Social</v></cell><cell r="AC1358"><v>21358715</v></cell><cell r="AD1358"><v>720197</v></cell><cell r="AE1358" t="str"><v>Linkedin</v></cell><cell r="AF1358"><v>3654329</v></cell><cell r="AG1358" t="str"><v>FACEBOOK»USA-Trial-ITD-Interest Prospecting-AZR-AZR»1 x 1»SocialBan»CAN»ALL»CPA»PRO»X»NA»SS»NA»FreeAcctITProFB-AnimatedMigration-Ch3»PS78JJ</v></cell><cell r="AH1358" t="str"><v>PS78JJ</v></cell><cell r="AI1358" t="str"><v>AZR_FreeAcctITProFB-AnimatedMigration-Ch3_USA_1200x1200_CAN_Direct_EN_Trial_Standard_ANI_LEA_T3_2</v></cell><cell r="AJ1358"><v>104595730</v></cell></row><row r="1359"><cell r="D1359" t="str"><v>43355PS78JD</v></cell><cell r="E1359" t="str"><v>43355104593738PS78JD</v></cell><cell r="F1359" t="str"><v>Appended from Pub - Not in DCM</v></cell></row><row r="1359"><cell r="I1359" t="str"><v>Azure Direct</v></cell><cell r="J1359" t="str"><v>Azure Direct</v></cell><cell r="K1359" t="str"><v>September</v></cell><cell r="L1359"><v>43358</v></cell><cell r="M1359" t="str"><v>Tier 0</v></cell><cell r="N1359" t="str"><v>North America</v></cell><cell r="O1359" t="str"><v>United States</v></cell><cell r="P1359" t="str"><v>Trial</v></cell><cell r="Q1359" t="str"><v>Social</v></cell><cell r="R1359" t="str"><v>Azure</v></cell><cell r="S1359" t="str"><v>Apps & Infra</v></cell><cell r="T1359" t="str"><v>Developers & ITI's</v></cell><cell r="U1359" t="str"><v>USA-Trial-ITD-Interest Prospecting-AZR-AZR</v></cell><cell r="V1359" t="str"><v>Prospecting</v></cell><cell r="W1359" t="str"><v>Canvas Ad</v></cell><cell r="X1359" t="str"><v>1200x1200</v></cell><cell r="Y1359" t="str"><v>Learn More</v></cell><cell r="Z1359" t="str"><v>Animated Banner</v></cell><cell r="AA1359"><v>43355</v></cell><cell r="AB1359" t="str"><v>USA_gaPMG_AZR_AZR_Q1_19_Direct-Social</v></cell><cell r="AC1359"><v>21358715</v></cell><cell r="AD1359"><v>720197</v></cell><cell r="AE1359" t="str"><v>Linkedin</v></cell><cell r="AF1359"><v>3654329</v></cell><cell r="AG1359" t="str"><v>FACEBOOK»USA-Trial-ITD-Interest Prospecting-AZR-AZR»1 x 1»SocialBan»CAN»ALL»CPA»PRO»X»NA»SS»NA»FreeAcctITProFB-AnimatedSecureMngd-Ch1»PS78JD</v></cell><cell r="AH1359" t="str"><v>PS78JD</v></cell><cell r="AI1359" t="str"><v>AZR_FreeAcctITProFB-AnimatedSecureMngd-Ch1_USA_1200x1200_CAN_Direct_EN_Trial_Standard_ANI_LEA_T1_1</v></cell><cell r="AJ1359"><v>104593738</v></cell></row><row r="1360"><cell r="D1360" t="str"><v>43355PS78J8</v></cell><cell r="E1360" t="str"><v>43355104593735PS78J8</v></cell><cell r="F1360" t="str"><v>Appended from Pub - Not in DCM</v></cell></row><row r="1360"><cell r="I1360" t="str"><v>Azure Direct</v></cell><cell r="J1360" t="str"><v>Azure Direct</v></cell><cell r="K1360" t="str"><v>September</v></cell><cell r="L1360"><v>43358</v></cell><cell r="M1360" t="str"><v>Tier 0</v></cell><cell r="N1360" t="str"><v>North America</v></cell><cell r="O1360" t="str"><v>United States</v></cell><cell r="P1360" t="str"><v>Trial</v></cell><cell r="Q1360" t="str"><v>Social</v></cell><cell r="R1360" t="str"><v>Azure</v></cell><cell r="S1360" t="str"><v>Apps & Infra</v></cell><cell r="T1360" t="str"><v>Developers & ITI's</v></cell><cell r="U1360" t="str"><v>USA-Trial-ITD-Interest Prospecting-AZR-AZR</v></cell><cell r="V1360" t="str"><v>Prospecting</v></cell><cell r="W1360" t="str"><v>Canvas Ad</v></cell><cell r="X1360" t="str"><v>1200x1200</v></cell><cell r="Y1360" t="str"><v>Learn More</v></cell><cell r="Z1360" t="str"><v>Animated Banner</v></cell><cell r="AA1360"><v>43355</v></cell><cell r="AB1360" t="str"><v>USA_gaPMG_AZR_AZR_Q1_19_Direct-Social</v></cell><cell r="AC1360"><v>21358715</v></cell><cell r="AD1360"><v>720197</v></cell><cell r="AE1360" t="str"><v>Linkedin</v></cell><cell r="AF1360"><v>3654329</v></cell><cell r="AG1360" t="str"><v>FACEBOOK»USA-Trial-ITD-Interest Prospecting-AZR-AZR»1 x 1»SocialBan»CAN»ALL»CPA»PRO»X»NA»SS»NA»FreeAcctDeveloperFB-AnimatedAI-Ch3»PS78J8</v></cell><cell r="AH1360" t="str"><v>PS78J8</v></cell><cell r="AI1360" t="str"><v>AZR_FreeAcctDeveloperFB-AnimatedAI-Ch3_USA_1200x1200_CAN_Direct_EN_Trial_Standard_ANI_LEA_T3_1</v></cell><cell r="AJ1360"><v>104593735</v></cell></row><row r="1361"><cell r="D1361" t="str"><v>43355PRSGWS</v></cell><cell r="E1361" t="str"><v>43355103773177PRSGWS</v></cell><cell r="F1361" t="str"><v>Appended from Pub - Not in DCM</v></cell></row><row r="1361"><cell r="I1361" t="str"><v>Azure Direct</v></cell><cell r="J1361" t="str"><v>Azure Direct</v></cell><cell r="K1361" t="str"><v>September</v></cell><cell r="L1361"><v>43358</v></cell><cell r="M1361" t="str"><v>Tier 0</v></cell><cell r="N1361" t="str"><v>North America</v></cell><cell r="O1361" t="str"><v>United States</v></cell><cell r="P1361" t="str"><v>Trial</v></cell><cell r="Q1361" t="str"><v>Social</v></cell><cell r="R1361" t="str"><v>Azure</v></cell><cell r="S1361" t="str"><v>Apps & Infra</v></cell><cell r="T1361" t="str"><v>Developers & ITI's</v></cell><cell r="U1361" t="str"><v>USA-Trial-ITD-Lead Completes-AZR-AZR</v></cell><cell r="V1361" t="str"><v>Prospecting</v></cell><cell r="W1361" t="str"><v>Canvas Collection Ad</v></cell><cell r="X1361" t="str"><v>1200x182</v></cell><cell r="Y1361" t="str"><v>Try it Now</v></cell><cell r="Z1361" t="str"><v>Not Applicable</v></cell><cell r="AA1361"><v>43355</v></cell><cell r="AB1361" t="str"><v>USA_gaPMG_AZR_AZR_Q1_19_Direct-Social</v></cell><cell r="AC1361"><v>21358715</v></cell><cell r="AD1361"><v>720197</v></cell><cell r="AE1361" t="str"><v>Linkedin</v></cell><cell r="AF1361"><v>3654329</v></cell><cell r="AG1361" t="str"><v>FACEBOOK»USA-Trial-ITD-Lead Completes-AZR-AZR»1 x 1»SocialBan»CCA»ALL»CPA»PRO»X»NA»SS»NA»Azure Developer Facebook Collections»PRSGWS</v></cell><cell r="AH1361" t="str"><v>PRSGWS</v></cell><cell r="AI1361" t="str"><v>AZR_FBCollections-AITryAzureFreeCTA-Img2_USA_1200x182_SOC_Plat_EN_NA_Standard_NA_TIN_T1_2</v></cell><cell r="AJ1361"><v>103773177</v></cell></row><row r="1362"><cell r="D1362" t="str"><v>43355PRC2PB</v></cell><cell r="E1362" t="str"><v>43355103050783PRC2PB</v></cell><cell r="F1362" t="str"><v>Appended from Pub - Not in DCM</v></cell></row><row r="1362"><cell r="I1362" t="str"><v>Azure Direct</v></cell><cell r="J1362" t="str"><v>Azure Direct</v></cell><cell r="K1362" t="str"><v>September</v></cell><cell r="L1362"><v>43358</v></cell><cell r="M1362" t="str"><v>Tier 0</v></cell><cell r="N1362" t="str"><v>North America</v></cell><cell r="O1362" t="str"><v>United States</v></cell><cell r="P1362" t="str"><v>Trial</v></cell><cell r="Q1362" t="str"><v>Social</v></cell><cell r="R1362" t="str"><v>Azure</v></cell><cell r="S1362" t="str"><v>Apps & Infra</v></cell><cell r="T1362" t="str"><v>Developers & ITI's</v></cell><cell r="U1362" t="str"><v>USA-Trial-ITD-Interest Prospecting-AZR-AZR</v></cell><cell r="V1362" t="str"><v>Prospecting</v></cell><cell r="W1362" t="str"><v>Canvas Ad</v></cell><cell r="X1362" t="str"><v>10s</v></cell><cell r="Y1362" t="str"><v>Try it Now</v></cell><cell r="Z1362" t="str"><v>Standard videos</v></cell><cell r="AA1362"><v>43355</v></cell><cell r="AB1362" t="str"><v>USA_gaPMG_AZR_AZR_Q1_19_Direct-Social</v></cell><cell r="AC1362"><v>21358715</v></cell><cell r="AD1362"><v>720197</v></cell><cell r="AE1362" t="str"><v>Linkedin</v></cell><cell r="AF1362"><v>3654329</v></cell><cell r="AG1362" t="str"><v>INSTAGRAM»USA-Trial-ITD-Interest Prospecting-AZR-AZR»1 x 1»SocialBan»CAN»ALL»CPA»PRO»X»NA»SS»NA»IGCTCBrandinMotion»PRC2PB</v></cell><cell r="AH1362" t="str"><v>PRC2PB</v></cell><cell r="AI1362" t="str"><v>AzurePlatform_IGCTCBenefit2inMotion_USA_10s_CAN_PLATFORM_English_Trial_Standard_STAN_TIN_T4_1</v></cell><cell r="AJ1362"><v>103050783</v></cell></row><row r="1363"><cell r="D1363" t="str"><v>43355PRC2FH</v></cell><cell r="E1363" t="str"><v>43355103050783PRC2FH</v></cell><cell r="F1363" t="str"><v>Appended from Pub - Not in DCM</v></cell></row><row r="1363"><cell r="I1363" t="str"><v>Azure Direct</v></cell><cell r="J1363" t="str"><v>Azure Direct</v></cell><cell r="K1363" t="str"><v>September</v></cell><cell r="L1363"><v>43358</v></cell><cell r="M1363" t="str"><v>Tier 0</v></cell><cell r="N1363" t="str"><v>North America</v></cell><cell r="O1363" t="str"><v>United States</v></cell><cell r="P1363" t="str"><v>Trial</v></cell><cell r="Q1363" t="str"><v>Social</v></cell><cell r="R1363" t="str"><v>Azure</v></cell><cell r="S1363" t="str"><v>Apps & Infra</v></cell><cell r="T1363" t="str"><v>Developers & ITI's</v></cell><cell r="U1363" t="str"><v>USA-Trial-ITD-Trial Lookalike-AZR-AZR</v></cell><cell r="V1363" t="str"><v>Lookalike Targeting</v></cell><cell r="W1363" t="str"><v>Canvas Ad</v></cell><cell r="X1363" t="str"><v>10s</v></cell><cell r="Y1363" t="str"><v>Try it Now</v></cell><cell r="Z1363" t="str"><v>Standard videos</v></cell><cell r="AA1363"><v>43355</v></cell><cell r="AB1363" t="str"><v>USA_gaPMG_AZR_AZR_Q1_19_Direct-Social</v></cell><cell r="AC1363"><v>21358715</v></cell><cell r="AD1363"><v>720197</v></cell><cell r="AE1363" t="str"><v>Linkedin</v></cell><cell r="AF1363"><v>3654329</v></cell><cell r="AG1363" t="str"><v>INSTAGRAM»USA-Trial-ITD-Trial Lookalike-AZR-AZR»1 x 1»SocialBan»CAN»ALL»CPA»LAL»X»NA»SS»NA»IGCTCBrandinMotion»PRC2FH</v></cell><cell r="AH1363" t="str"><v>PRC2FH</v></cell><cell r="AI1363" t="str"><v>AzurePlatform_IGCTCBenefit2inMotion_USA_10s_CAN_PLATFORM_English_Trial_Standard_STAN_TIN_T4_1</v></cell><cell r="AJ1363"><v>103050783</v></cell></row><row r="1364"><cell r="D1364" t="str"><v>43355PRSH6K</v></cell><cell r="E1364" t="str"><v>43355103773177PRSH6K</v></cell><cell r="F1364" t="str"><v>Appended from Pub - Not in DCM</v></cell></row><row r="1364"><cell r="I1364" t="str"><v>Azure Direct</v></cell><cell r="J1364" t="str"><v>Azure Direct</v></cell><cell r="K1364" t="str"><v>September</v></cell><cell r="L1364"><v>43358</v></cell><cell r="M1364" t="str"><v>Tier 0</v></cell><cell r="N1364" t="str"><v>North America</v></cell><cell r="O1364" t="str"><v>United States</v></cell><cell r="P1364" t="str"><v>Trial</v></cell><cell r="Q1364" t="str"><v>Social</v></cell><cell r="R1364" t="str"><v>Azure</v></cell><cell r="S1364" t="str"><v>Apps & Infra</v></cell><cell r="T1364" t="str"><v>Developers & ITI's</v></cell><cell r="U1364" t="str"><v>USA-Trial-ITD-Trial PayGo Lookalike-AZR-AZR</v></cell><cell r="V1364" t="str"><v>Lookalike Targeting</v></cell><cell r="W1364" t="str"><v>Canvas Collection Ad</v></cell><cell r="X1364" t="str"><v>1200x182</v></cell><cell r="Y1364" t="str"><v>Try it Now</v></cell><cell r="Z1364" t="str"><v>Not Applicable</v></cell><cell r="AA1364"><v>43355</v></cell><cell r="AB1364" t="str"><v>USA_gaPMG_AZR_AZR_Q1_19_Direct-Social</v></cell><cell r="AC1364"><v>21358715</v></cell><cell r="AD1364"><v>720197</v></cell><cell r="AE1364" t="str"><v>Linkedin</v></cell><cell r="AF1364"><v>3654329</v></cell><cell r="AG1364" t="str"><v>FACEBOOK»USA-Trial-ITD-Trial PayGo Lookalike-AZR-AZR»1 x 1»SocialBan»CCA»ALL»CPA»LAL»X»NA»SS»NA»Azure Developer Facebook Collections»PRSH6K</v></cell><cell r="AH1364" t="str"><v>PRSH6K</v></cell><cell r="AI1364" t="str"><v>AZR_FBCollections-AITryAzureFreeCTA-Img2_USA_1200x182_SOC_Plat_EN_NA_Standard_NA_TIN_T1_2</v></cell><cell r="AJ1364"><v>103773177</v></cell></row><row r="1365"><cell r="D1365" t="str"><v>43355PRC2FW</v></cell><cell r="E1365" t="str"><v>43355103178714PRC2FW</v></cell><cell r="F1365" t="str"><v>Appended from Pub - Not in DCM</v></cell></row><row r="1365"><cell r="I1365" t="str"><v>Azure Direct</v></cell><cell r="J1365" t="str"><v>Azure Direct</v></cell><cell r="K1365" t="str"><v>September</v></cell><cell r="L1365"><v>43358</v></cell><cell r="M1365" t="str"><v>Tier 0</v></cell><cell r="N1365" t="str"><v>North America</v></cell><cell r="O1365" t="str"><v>United States</v></cell><cell r="P1365" t="str"><v>Trial</v></cell><cell r="Q1365" t="str"><v>Social</v></cell><cell r="R1365" t="str"><v>Azure</v></cell><cell r="S1365" t="str"><v>Apps & Infra</v></cell><cell r="T1365" t="str"><v>Developers & ITI's</v></cell><cell r="U1365" t="str"><v>USA-Trial-ITD-Trial PayGo Lookalike-AZR-AZR</v></cell><cell r="V1365" t="str"><v>Lookalike Targeting</v></cell><cell r="W1365" t="str"><v>Canvas Ad</v></cell><cell r="X1365" t="str"><v>10s</v></cell><cell r="Y1365" t="str"><v>Try it Now</v></cell><cell r="Z1365" t="str"><v>Standard videos</v></cell><cell r="AA1365"><v>43355</v></cell><cell r="AB1365" t="str"><v>USA_gaPMG_AZR_AZR_Q1_19_Direct-Social</v></cell><cell r="AC1365"><v>21358715</v></cell><cell r="AD1365"><v>720197</v></cell><cell r="AE1365" t="str"><v>Linkedin</v></cell><cell r="AF1365"><v>3654329</v></cell><cell r="AG1365" t="str"><v>INSTAGRAM»USA-Trial-ITD-Trial PayGo Lookalike-AZR-AZR»1 x 1»SocialBan»CAN»ALL»CPA»LAL»X»NA»SS»NA»IGCTCBrandinMotion»PRC2FW</v></cell><cell r="AH1365" t="str"><v>PRC2FW</v></cell><cell r="AI1365" t="str"><v>AzurePlatform_IGCTCBenefit2inMotion_USA_10s_CAN_PLATFORM_English_Trial_Standard_STAN_TIN_T4_2</v></cell><cell r="AJ1365"><v>103178714</v></cell></row><row r="1366"><cell r="D1366" t="str"><v>43355PS7B5W</v></cell><cell r="E1366" t="str"><v>43355104593738PS7B5W</v></cell><cell r="F1366" t="str"><v>Appended from Pub - Not in DCM</v></cell></row><row r="1366"><cell r="I1366" t="str"><v>Azure Direct</v></cell><cell r="J1366" t="str"><v>Azure Direct</v></cell><cell r="K1366" t="str"><v>September</v></cell><cell r="L1366"><v>43358</v></cell><cell r="M1366" t="str"><v>Tier 0</v></cell><cell r="N1366" t="str"><v>North America</v></cell><cell r="O1366" t="str"><v>United States</v></cell><cell r="P1366" t="str"><v>Trial</v></cell><cell r="Q1366" t="str"><v>Social</v></cell><cell r="R1366" t="str"><v>Azure</v></cell><cell r="S1366" t="str"><v>Apps & Infra</v></cell><cell r="T1366" t="str"><v>Developers & ITI's</v></cell><cell r="U1366" t="str"><v>USA-Trial-ITD-Trial PayGo Lookalike-AZR-AZR</v></cell><cell r="V1366" t="str"><v>Lookalike Targeting</v></cell><cell r="W1366" t="str"><v>Canvas Ad</v></cell><cell r="X1366" t="str"><v>1200x1200</v></cell><cell r="Y1366" t="str"><v>Learn More</v></cell><cell r="Z1366" t="str"><v>Animated Banner</v></cell><cell r="AA1366"><v>43355</v></cell><cell r="AB1366" t="str"><v>USA_gaPMG_AZR_AZR_Q1_19_Direct-Social</v></cell><cell r="AC1366"><v>21358715</v></cell><cell r="AD1366"><v>720197</v></cell><cell r="AE1366" t="str"><v>Linkedin</v></cell><cell r="AF1366"><v>3654329</v></cell><cell r="AG1366" t="str"><v>FACEBOOK»USA-Trial-ITD-Trial PayGo Lookalike-AZR-AZR»1 x 1»SocialBan»CAN»ALL»CPA»LAL»X»NA»SS»NA»FreeAcctITProFB-AnimatedSecureMngd-Ch1»PS7B5W</v></cell><cell r="AH1366" t="str"><v>PS7B5W</v></cell><cell r="AI1366" t="str"><v>AZR_FreeAcctITProFB-AnimatedSecureMngd-Ch1_USA_1200x1200_CAN_Direct_EN_Trial_Standard_ANI_LEA_T1_1</v></cell><cell r="AJ1366"><v>104593738</v></cell></row><row r="1367"><cell r="D1367" t="str"><v>43355PRC1W0</v></cell><cell r="E1367" t="str"><v>43355103048329PRC1W0</v></cell><cell r="F1367" t="str"><v>Appended from Pub - Not in DCM</v></cell></row><row r="1367"><cell r="I1367" t="str"><v>Azure Direct</v></cell><cell r="J1367" t="str"><v>Azure Direct</v></cell><cell r="K1367" t="str"><v>September</v></cell><cell r="L1367"><v>43358</v></cell><cell r="M1367" t="str"><v>Tier 0</v></cell><cell r="N1367" t="str"><v>North America</v></cell><cell r="O1367" t="str"><v>United States</v></cell><cell r="P1367" t="str"><v>Trial</v></cell><cell r="Q1367" t="str"><v>Social</v></cell><cell r="R1367" t="str"><v>Azure</v></cell><cell r="S1367" t="str"><v>Apps & Infra</v></cell><cell r="T1367" t="str"><v>Developers & ITI's</v></cell><cell r="U1367" t="str"><v>USA-Trial-ITD-Lead Completes-AZR-AZR</v></cell><cell r="V1367" t="str"><v>Prospecting</v></cell><cell r="W1367" t="str"><v>Link Ad</v></cell><cell r="X1367" t="str"><v>1200x1200</v></cell><cell r="Y1367" t="str"><v>Learn More</v></cell><cell r="Z1367" t="str"><v>Animated Banner</v></cell><cell r="AA1367"><v>43355</v></cell><cell r="AB1367" t="str"><v>USA_gaPMG_AZR_AZR_Q1_19_Direct-Social</v></cell><cell r="AC1367"><v>21358715</v></cell><cell r="AD1367"><v>720197</v></cell><cell r="AE1367" t="str"><v>Linkedin</v></cell><cell r="AF1367"><v>3654329</v></cell><cell r="AG1367" t="str"><v>FACEBOOK»USA-Trial-ITD-Lead Completes-AZR-AZR»1 x 1»SocialBan»LIA»ALL»CPA»PRO»X»NA»SS»NA»FreeAcctDeveloperFB-AnimatedOpenSource-Ch2»PRC1W0</v></cell><cell r="AH1367" t="str"><v>PRC1W0</v></cell><cell r="AI1367" t="str"><v>AZR_FreeAcctDeveloperFB-AnimatedOpenSource-Ch2_USA_1200x1200_CAN_Direct_English_Trial_Standard_ANI_LEA_T2_1</v></cell><cell r="AJ1367"><v>103048329</v></cell></row><row r="1368"><cell r="D1368" t="str"><v>43355PS79T0</v></cell><cell r="E1368" t="str"><v>43355104593423PS79T0</v></cell><cell r="F1368" t="str"><v>Appended from Pub - Not in DCM</v></cell></row><row r="1368"><cell r="I1368" t="str"><v>Azure Direct</v></cell><cell r="J1368" t="str"><v>Azure Direct</v></cell><cell r="K1368" t="str"><v>September</v></cell><cell r="L1368"><v>43358</v></cell><cell r="M1368" t="str"><v>Tier 0</v></cell><cell r="N1368" t="str"><v>North America</v></cell><cell r="O1368" t="str"><v>United States</v></cell><cell r="P1368" t="str"><v>Trial</v></cell><cell r="Q1368" t="str"><v>Social</v></cell><cell r="R1368" t="str"><v>Azure</v></cell><cell r="S1368" t="str"><v>Apps & Infra</v></cell><cell r="T1368" t="str"><v>Developers & ITI's</v></cell><cell r="U1368" t="str"><v>USA-Trial-ITD-Retargeting-AZR-AZR</v></cell><cell r="V1368" t="str"><v>Retargeting</v></cell><cell r="W1368" t="str"><v>Canvas Ad</v></cell><cell r="X1368" t="str"><v>1200x628</v></cell><cell r="Y1368" t="str"><v>Sign Up</v></cell><cell r="Z1368" t="str"><v>Not Applicable</v></cell><cell r="AA1368"><v>43355</v></cell><cell r="AB1368" t="str"><v>USA_gaPMG_AZR_AZR_Q1_19_Direct-Social</v></cell><cell r="AC1368"><v>21358715</v></cell><cell r="AD1368"><v>720197</v></cell><cell r="AE1368" t="str"><v>Linkedin</v></cell><cell r="AF1368"><v>3654329</v></cell><cell r="AG1368" t="str"><v>FACEBOOK»USA-Trial-ITD-Retargeting-AZR-AZR»1 x 1»SocialBan»CAN»ALL»CPA»RT»X»NA»SS»NA»FreeAcctRetargetingOSSFB-Text-ChF»PS79T0</v></cell><cell r="AH1368" t="str"><v>PS79T0</v></cell><cell r="AI1368" t="str"><v>AZR_FreeAcctRetargetingOSSFB-Text-ChF_USA_1200x628_CAN_Plat_English_Free Account_Standard_NA_SINU_T1_1</v></cell><cell r="AJ1368"><v>104593423</v></cell></row><row r="1369"><cell r="D1369" t="str"><v>43355PRC1VX</v></cell><cell r="E1369" t="str"><v>43355103176812PRC1VX</v></cell><cell r="F1369" t="str"><v>Appended from Pub - Not in DCM</v></cell></row><row r="1369"><cell r="I1369" t="str"><v>Azure Direct</v></cell><cell r="J1369" t="str"><v>Azure Direct</v></cell><cell r="K1369" t="str"><v>September</v></cell><cell r="L1369"><v>43358</v></cell><cell r="M1369" t="str"><v>Tier 0</v></cell><cell r="N1369" t="str"><v>North America</v></cell><cell r="O1369" t="str"><v>United States</v></cell><cell r="P1369" t="str"><v>Trial</v></cell><cell r="Q1369" t="str"><v>Social</v></cell><cell r="R1369" t="str"><v>Azure</v></cell><cell r="S1369" t="str"><v>Apps & Infra</v></cell><cell r="T1369" t="str"><v>Developers & ITI's</v></cell><cell r="U1369" t="str"><v>USA-Trial-ITD-Lead Completes-AZR-AZR</v></cell><cell r="V1369" t="str"><v>Prospecting</v></cell><cell r="W1369" t="str"><v>Canvas Ad</v></cell><cell r="X1369" t="str"><v>10s</v></cell><cell r="Y1369" t="str"><v>Try it Now</v></cell><cell r="Z1369" t="str"><v>Standard videos</v></cell><cell r="AA1369"><v>43355</v></cell><cell r="AB1369" t="str"><v>USA_gaPMG_AZR_AZR_Q1_19_Direct-Social</v></cell><cell r="AC1369"><v>21358715</v></cell><cell r="AD1369"><v>720197</v></cell><cell r="AE1369" t="str"><v>Linkedin</v></cell><cell r="AF1369"><v>3654329</v></cell><cell r="AG1369" t="str"><v>FACEBOOK»USA-Trial-ITD-Lead Completes-AZR-AZR»1 x 1»SocialBan»CAN»ALL»CPA»PRO»X»NA»SS»NA»FBCTCBrandinMotion»PRC1VX</v></cell><cell r="AH1369" t="str"><v>PRC1VX</v></cell><cell r="AI1369" t="str"><v>AzurePlatform_FBCTCBrandinMotion_USA_10s_CAN_PLATFORM_English_Trial_Standard_STAN_TIN_T2_1</v></cell><cell r="AJ1369"><v>103176812</v></cell></row><row r="1370"><cell r="D1370" t="str"><v>43355PRC1SV</v></cell><cell r="E1370" t="str"><v>43355103043823PRC1SV</v></cell><cell r="F1370" t="str"><v>Appended from Pub - Not in DCM</v></cell></row><row r="1370"><cell r="I1370" t="str"><v>Azure Direct</v></cell><cell r="J1370" t="str"><v>Azure Direct</v></cell><cell r="K1370" t="str"><v>September</v></cell><cell r="L1370"><v>43358</v></cell><cell r="M1370" t="str"><v>Tier 0</v></cell><cell r="N1370" t="str"><v>North America</v></cell><cell r="O1370" t="str"><v>United States</v></cell><cell r="P1370" t="str"><v>Trial</v></cell><cell r="Q1370" t="str"><v>Social</v></cell><cell r="R1370" t="str"><v>Azure</v></cell><cell r="S1370" t="str"><v>Apps & Infra</v></cell><cell r="T1370" t="str"><v>Developers & ITI's</v></cell><cell r="U1370" t="str"><v>USA-Trial-ITD-Interest Prospecting-AZR-AZR</v></cell><cell r="V1370" t="str"><v>Prospecting</v></cell><cell r="W1370" t="str"><v>Canvas Ad</v></cell><cell r="X1370" t="str"><v>10s</v></cell><cell r="Y1370" t="str"><v>Try it Now</v></cell><cell r="Z1370" t="str"><v>Standard videos</v></cell><cell r="AA1370"><v>43355</v></cell><cell r="AB1370" t="str"><v>USA_gaPMG_AZR_AZR_Q1_19_Direct-Social</v></cell><cell r="AC1370"><v>21358715</v></cell><cell r="AD1370"><v>720197</v></cell><cell r="AE1370" t="str"><v>Linkedin</v></cell><cell r="AF1370"><v>3654329</v></cell><cell r="AG1370" t="str"><v>FACEBOOK»USA-Trial-ITD-Interest Prospecting-AZR-AZR»1 x 1»SocialBan»CAN»ALL»CPA»PRO»X»NA»SS»NA»FBCTCBasicMotion»PRC1SV</v></cell><cell r="AH1370" t="str"><v>PRC1SV</v></cell><cell r="AI1370" t="str"><v>AzurePlatform_FBCTCBasicMotion_USA_10s_CAN_PLATFORM_English_Trial_Standard_STAN_TIN_T1_1</v></cell><cell r="AJ1370"><v>103043823</v></cell></row><row r="1371"><cell r="D1371" t="str"><v>43355PS79SY</v></cell><cell r="E1371" t="str"><v>43355104595715PS79SY</v></cell><cell r="F1371" t="str"><v>Appended from Pub - Not in DCM</v></cell></row><row r="1371"><cell r="I1371" t="str"><v>Azure Direct</v></cell><cell r="J1371" t="str"><v>Azure Direct</v></cell><cell r="K1371" t="str"><v>September</v></cell><cell r="L1371"><v>43358</v></cell><cell r="M1371" t="str"><v>Tier 0</v></cell><cell r="N1371" t="str"><v>North America</v></cell><cell r="O1371" t="str"><v>United States</v></cell><cell r="P1371" t="str"><v>Trial</v></cell><cell r="Q1371" t="str"><v>Social</v></cell><cell r="R1371" t="str"><v>Azure</v></cell><cell r="S1371" t="str"><v>Apps & Infra</v></cell><cell r="T1371" t="str"><v>Developers & ITI's</v></cell><cell r="U1371" t="str"><v>USA-Trial-ITD-Retargeting-AZR-AZR</v></cell><cell r="V1371" t="str"><v>Retargeting</v></cell><cell r="W1371" t="str"><v>Canvas Ad</v></cell><cell r="X1371" t="str"><v>1200x628</v></cell><cell r="Y1371" t="str"><v>Sign Up</v></cell><cell r="Z1371" t="str"><v>Not Applicable</v></cell><cell r="AA1371"><v>43355</v></cell><cell r="AB1371" t="str"><v>USA_gaPMG_AZR_AZR_Q1_19_Direct-Social</v></cell><cell r="AC1371"><v>21358715</v></cell><cell r="AD1371"><v>720197</v></cell><cell r="AE1371" t="str"><v>Linkedin</v></cell><cell r="AF1371"><v>3654329</v></cell><cell r="AG1371" t="str"><v>FACEBOOK»USA-Trial-ITD-Retargeting-AZR-AZR»1 x 1»SocialBan»CAN»ALL»CPA»RT»X»NA»SS»NA»FreeAcctRetargetingVMFB-OnDemand-ChE»PS79SY</v></cell><cell r="AH1371" t="str"><v>PS79SY</v></cell><cell r="AI1371" t="str"><v>AZR_FreeAcctRetargetingVMFB-OnDemand-ChE_USA_1200x628_CAN_Plat_English_Free Account_Standard_NA_SINU_T2_1</v></cell><cell r="AJ1371"><v>104595715</v></cell></row><row r="1372"><cell r="D1372" t="str"><v>43355PS79SW</v></cell><cell r="E1372" t="str"><v>43355104595760PS79SW</v></cell><cell r="F1372" t="str"><v>Appended from Pub - Not in DCM</v></cell></row><row r="1372"><cell r="I1372" t="str"><v>Azure Direct</v></cell><cell r="J1372" t="str"><v>Azure Direct</v></cell><cell r="K1372" t="str"><v>September</v></cell><cell r="L1372"><v>43358</v></cell><cell r="M1372" t="str"><v>Tier 0</v></cell><cell r="N1372" t="str"><v>North America</v></cell><cell r="O1372" t="str"><v>United States</v></cell><cell r="P1372" t="str"><v>Trial</v></cell><cell r="Q1372" t="str"><v>Social</v></cell><cell r="R1372" t="str"><v>Azure</v></cell><cell r="S1372" t="str"><v>Apps & Infra</v></cell><cell r="T1372" t="str"><v>Developers & ITI's</v></cell><cell r="U1372" t="str"><v>USA-Trial-ITD-Retargeting-AZR-AZR</v></cell><cell r="V1372" t="str"><v>Retargeting</v></cell><cell r="W1372" t="str"><v>Canvas Ad</v></cell><cell r="X1372" t="str"><v>1200x628</v></cell><cell r="Y1372" t="str"><v>Sign Up</v></cell><cell r="Z1372" t="str"><v>Not Applicable</v></cell><cell r="AA1372"><v>43355</v></cell><cell r="AB1372" t="str"><v>USA_gaPMG_AZR_AZR_Q1_19_Direct-Social</v></cell><cell r="AC1372"><v>21358715</v></cell><cell r="AD1372"><v>720197</v></cell><cell r="AE1372" t="str"><v>Linkedin</v></cell><cell r="AF1372"><v>3654329</v></cell><cell r="AG1372" t="str"><v>FACEBOOK»USA-Trial-ITD-Retargeting-AZR-AZR»1 x 1»SocialBan»CAN»ALL»CPA»RT»X»NA»SS»NA»FreeAcctRetargetingVMFB-750Hrs-ChD»PS79SW</v></cell><cell r="AH1372" t="str"><v>PS79SW</v></cell><cell r="AI1372" t="str"><v>AZR_FreeAcctRetargetingVMFB-750Hrs-ChD_USA_1200x628_CAN_Plat_English_Free Account_Standard_NA_SINU_T1_2</v></cell><cell r="AJ1372"><v>104595760</v></cell></row><row r="1373"><cell r="D1373" t="str"><v>43355PRC1M0</v></cell><cell r="E1373" t="str"><v>43355103043835PRC1M0</v></cell><cell r="F1373" t="str"><v>Appended from Pub - Not in DCM</v></cell></row><row r="1373"><cell r="I1373" t="str"><v>Azure Direct</v></cell><cell r="J1373" t="str"><v>Azure Direct</v></cell><cell r="K1373" t="str"><v>September</v></cell><cell r="L1373"><v>43358</v></cell><cell r="M1373" t="str"><v>Tier 0</v></cell><cell r="N1373" t="str"><v>North America</v></cell><cell r="O1373" t="str"><v>United States</v></cell><cell r="P1373" t="str"><v>Trial</v></cell><cell r="Q1373" t="str"><v>Social</v></cell><cell r="R1373" t="str"><v>Azure</v></cell><cell r="S1373" t="str"><v>Apps & Infra</v></cell><cell r="T1373" t="str"><v>Developers & ITI's</v></cell><cell r="U1373" t="str"><v>USA-Trial-ITD-Trial Lookalike-AZR-AZR</v></cell><cell r="V1373" t="str"><v>Lookalike Targeting</v></cell><cell r="W1373" t="str"><v>Canvas Ad</v></cell><cell r="X1373" t="str"><v>10s</v></cell><cell r="Y1373" t="str"><v>Try it Now</v></cell><cell r="Z1373" t="str"><v>Standard videos</v></cell><cell r="AA1373"><v>43355</v></cell><cell r="AB1373" t="str"><v>USA_gaPMG_AZR_AZR_Q1_19_Direct-Social</v></cell><cell r="AC1373"><v>21358715</v></cell><cell r="AD1373"><v>720197</v></cell><cell r="AE1373" t="str"><v>Linkedin</v></cell><cell r="AF1373"><v>3654329</v></cell><cell r="AG1373" t="str"><v>FACEBOOK»USA-Trial-ITD-Trial Lookalike-AZR-AZR»1 x 1»SocialBan»CAN»ALL»CPA»LAL»X»NA»SS»NA»FBCTCBenefit2inMotion»PRC1M0</v></cell><cell r="AH1373" t="str"><v>PRC1M0</v></cell><cell r="AI1373" t="str"><v>AzurePlatform_FBCTCBenefit2inMotion_USA_10s_CAN_PLATFORM_English_Trial_Standard_STAN_TIN_T4_1</v></cell><cell r="AJ1373"><v>103043835</v></cell></row><row r="1374"><cell r="D1374" t="str"><v>43355PRC2G3</v></cell><cell r="E1374" t="str"><v>43355103178714PRC2G3</v></cell><cell r="F1374" t="str"><v>Appended from Pub - Not in DCM</v></cell></row><row r="1374"><cell r="I1374" t="str"><v>Azure Direct</v></cell><cell r="J1374" t="str"><v>Azure Direct</v></cell><cell r="K1374" t="str"><v>September</v></cell><cell r="L1374"><v>43358</v></cell><cell r="M1374" t="str"><v>Tier 0</v></cell><cell r="N1374" t="str"><v>North America</v></cell><cell r="O1374" t="str"><v>United States</v></cell><cell r="P1374" t="str"><v>Trial</v></cell><cell r="Q1374" t="str"><v>Social</v></cell><cell r="R1374" t="str"><v>Azure</v></cell><cell r="S1374" t="str"><v>Apps & Infra</v></cell><cell r="T1374" t="str"><v>Developers & ITI's</v></cell><cell r="U1374" t="str"><v>USA-Trial-ITD-Retargeting-AZR-AZR</v></cell><cell r="V1374" t="str"><v>Retargeting</v></cell><cell r="W1374" t="str"><v>Canvas Ad</v></cell><cell r="X1374" t="str"><v>10s</v></cell><cell r="Y1374" t="str"><v>Try it Now</v></cell><cell r="Z1374" t="str"><v>Standard videos</v></cell><cell r="AA1374"><v>43355</v></cell><cell r="AB1374" t="str"><v>USA_gaPMG_AZR_AZR_Q1_19_Direct-Social</v></cell><cell r="AC1374"><v>21358715</v></cell><cell r="AD1374"><v>720197</v></cell><cell r="AE1374" t="str"><v>Linkedin</v></cell><cell r="AF1374"><v>3654329</v></cell><cell r="AG1374" t="str"><v>INSTAGRAM»USA-Trial-ITD-Retargeting-AZR-AZR»1 x 1»SocialBan»CAN»ALL»CPA»RT»X»NA»SS»NA»IGCTCBrandinMotion»PRC2G3</v></cell><cell r="AH1374" t="str"><v>PRC2G3</v></cell><cell r="AI1374" t="str"><v>AzurePlatform_IGCTCBenefit2inMotion_USA_10s_CAN_PLATFORM_English_Trial_Standard_STAN_TIN_T4_2</v></cell><cell r="AJ1374"><v>103178714</v></cell></row><row r="1375"><cell r="D1375" t="str"><v>43355PS7B5Z</v></cell><cell r="E1375" t="str"><v>43355104592535PS7B5Z</v></cell><cell r="F1375" t="str"><v>Appended from Pub - Not in DCM</v></cell></row><row r="1375"><cell r="I1375" t="str"><v>Azure Direct</v></cell><cell r="J1375" t="str"><v>Azure Direct</v></cell><cell r="K1375" t="str"><v>September</v></cell><cell r="L1375"><v>43358</v></cell><cell r="M1375" t="str"><v>Tier 0</v></cell><cell r="N1375" t="str"><v>North America</v></cell><cell r="O1375" t="str"><v>United States</v></cell><cell r="P1375" t="str"><v>Trial</v></cell><cell r="Q1375" t="str"><v>Social</v></cell><cell r="R1375" t="str"><v>Azure</v></cell><cell r="S1375" t="str"><v>Apps & Infra</v></cell><cell r="T1375" t="str"><v>Developers & ITI's</v></cell><cell r="U1375" t="str"><v>USA-Trial-ITD-Trial PayGo Lookalike-AZR-AZR</v></cell><cell r="V1375" t="str"><v>Lookalike Targeting</v></cell><cell r="W1375" t="str"><v>Canvas Ad</v></cell><cell r="X1375" t="str"><v>1200x1200</v></cell><cell r="Y1375" t="str"><v>Learn More</v></cell><cell r="Z1375" t="str"><v>Animated Banner</v></cell><cell r="AA1375"><v>43355</v></cell><cell r="AB1375" t="str"><v>USA_gaPMG_AZR_AZR_Q1_19_Direct-Social</v></cell><cell r="AC1375"><v>21358715</v></cell><cell r="AD1375"><v>720197</v></cell><cell r="AE1375" t="str"><v>Linkedin</v></cell><cell r="AF1375"><v>3654329</v></cell><cell r="AG1375" t="str"><v>FACEBOOK»USA-Trial-ITD-Trial PayGo Lookalike-AZR-AZR»1 x 1»SocialBan»CAN»ALL»CPA»LAL»X»NA»SS»NA»FreeAcctITProFB-AnimatedHybrid-Ch2»PS7B5Z</v></cell><cell r="AH1375" t="str"><v>PS7B5Z</v></cell><cell r="AI1375" t="str"><v>AZR_FreeAcctITProFB-AnimatedHybrid-Ch2_USA_1200x1200_CAN_Direct_EN_Trial_Standard_ANI_LEA_T2_1</v></cell><cell r="AJ1375"><v>104592535</v></cell></row><row r="1376"><cell r="D1376" t="str"><v>43355PS7B60</v></cell><cell r="E1376" t="str"><v>43355104595730PS7B60</v></cell><cell r="F1376" t="str"><v>Appended from Pub - Not in DCM</v></cell></row><row r="1376"><cell r="I1376" t="str"><v>Azure Direct</v></cell><cell r="J1376" t="str"><v>Azure Direct</v></cell><cell r="K1376" t="str"><v>September</v></cell><cell r="L1376"><v>43358</v></cell><cell r="M1376" t="str"><v>Tier 0</v></cell><cell r="N1376" t="str"><v>North America</v></cell><cell r="O1376" t="str"><v>United States</v></cell><cell r="P1376" t="str"><v>Trial</v></cell><cell r="Q1376" t="str"><v>Social</v></cell><cell r="R1376" t="str"><v>Azure</v></cell><cell r="S1376" t="str"><v>Apps & Infra</v></cell><cell r="T1376" t="str"><v>Developers & ITI's</v></cell><cell r="U1376" t="str"><v>USA-Trial-ITD-Trial PayGo Lookalike-AZR-AZR</v></cell><cell r="V1376" t="str"><v>Lookalike Targeting</v></cell><cell r="W1376" t="str"><v>Canvas Ad</v></cell><cell r="X1376" t="str"><v>1200x1200</v></cell><cell r="Y1376" t="str"><v>Learn More</v></cell><cell r="Z1376" t="str"><v>Animated Banner</v></cell><cell r="AA1376"><v>43355</v></cell><cell r="AB1376" t="str"><v>USA_gaPMG_AZR_AZR_Q1_19_Direct-Social</v></cell><cell r="AC1376"><v>21358715</v></cell><cell r="AD1376"><v>720197</v></cell><cell r="AE1376" t="str"><v>Linkedin</v></cell><cell r="AF1376"><v>3654329</v></cell><cell r="AG1376" t="str"><v>FACEBOOK»USA-Trial-ITD-Trial PayGo Lookalike-AZR-AZR»1 x 1»SocialBan»CAN»ALL»CPA»LAL»X»NA»SS»NA»FreeAcctITProFB-AnimatedMigration-Ch3»PS7B60</v></cell><cell r="AH1376" t="str"><v>PS7B60</v></cell><cell r="AI1376" t="str"><v>AZR_FreeAcctITProFB-AnimatedMigration-Ch3_USA_1200x1200_CAN_Direct_EN_Trial_Standard_ANI_LEA_T3_2</v></cell><cell r="AJ1376"><v>104595730</v></cell></row><row r="1377"><cell r="D1377" t="str"><v>43355PRC1M2</v></cell><cell r="E1377" t="str"><v>43355103032775PRC1M2</v></cell><cell r="F1377" t="str"><v>Appended from Pub - Not in DCM</v></cell></row><row r="1377"><cell r="I1377" t="str"><v>Azure Direct</v></cell><cell r="J1377" t="str"><v>Azure Direct</v></cell><cell r="K1377" t="str"><v>September</v></cell><cell r="L1377"><v>43358</v></cell><cell r="M1377" t="str"><v>Tier 0</v></cell><cell r="N1377" t="str"><v>North America</v></cell><cell r="O1377" t="str"><v>United States</v></cell><cell r="P1377" t="str"><v>Trial</v></cell><cell r="Q1377" t="str"><v>Social</v></cell><cell r="R1377" t="str"><v>Azure</v></cell><cell r="S1377" t="str"><v>Apps & Infra</v></cell><cell r="T1377" t="str"><v>Developers & ITI's</v></cell><cell r="U1377" t="str"><v>USA-Trial-ITD-Trial Lookalike-AZR-AZR</v></cell><cell r="V1377" t="str"><v>Lookalike Targeting</v></cell><cell r="W1377" t="str"><v>Canvas Ad</v></cell><cell r="X1377" t="str"><v>10s</v></cell><cell r="Y1377" t="str"><v>Try it Now</v></cell><cell r="Z1377" t="str"><v>Standard videos</v></cell><cell r="AA1377"><v>43355</v></cell><cell r="AB1377" t="str"><v>USA_gaPMG_AZR_AZR_Q1_19_Direct-Social</v></cell><cell r="AC1377"><v>21358715</v></cell><cell r="AD1377"><v>720197</v></cell><cell r="AE1377" t="str"><v>Linkedin</v></cell><cell r="AF1377"><v>3654329</v></cell><cell r="AG1377" t="str"><v>FACEBOOK»USA-Trial-ITD-Trial Lookalike-AZR-AZR»1 x 1»SocialBan»CAN»ALL»CPA»LAL»X»NA»SS»NA»FBCTCBenefitinMotion»PRC1M2</v></cell><cell r="AH1377" t="str"><v>PRC1M2</v></cell><cell r="AI1377" t="str"><v>AzurePlatform_FBCTCBenefitinMotion_USA_10s_CAN_PLATFORM_English_Trial_Standard_STAN_TIN_T3_1</v></cell><cell r="AJ1377"><v>103032775</v></cell></row><row r="1378"><cell r="D1378" t="str"><v>43355PRC1VV</v></cell><cell r="E1378" t="str"><v>43355103043835PRC1VV</v></cell><cell r="F1378" t="str"><v>Appended from Pub - Not in DCM</v></cell></row><row r="1378"><cell r="I1378" t="str"><v>Azure Direct</v></cell><cell r="J1378" t="str"><v>Azure Direct</v></cell><cell r="K1378" t="str"><v>September</v></cell><cell r="L1378"><v>43358</v></cell><cell r="M1378" t="str"><v>Tier 0</v></cell><cell r="N1378" t="str"><v>North America</v></cell><cell r="O1378" t="str"><v>United States</v></cell><cell r="P1378" t="str"><v>Trial</v></cell><cell r="Q1378" t="str"><v>Social</v></cell><cell r="R1378" t="str"><v>Azure</v></cell><cell r="S1378" t="str"><v>Apps & Infra</v></cell><cell r="T1378" t="str"><v>Developers & ITI's</v></cell><cell r="U1378" t="str"><v>USA-Trial-ITD-Lead Completes-AZR-AZR</v></cell><cell r="V1378" t="str"><v>Prospecting</v></cell><cell r="W1378" t="str"><v>Canvas Ad</v></cell><cell r="X1378" t="str"><v>10s</v></cell><cell r="Y1378" t="str"><v>Try it Now</v></cell><cell r="Z1378" t="str"><v>Standard videos</v></cell><cell r="AA1378"><v>43355</v></cell><cell r="AB1378" t="str"><v>USA_gaPMG_AZR_AZR_Q1_19_Direct-Social</v></cell><cell r="AC1378"><v>21358715</v></cell><cell r="AD1378"><v>720197</v></cell><cell r="AE1378" t="str"><v>Linkedin</v></cell><cell r="AF1378"><v>3654329</v></cell><cell r="AG1378" t="str"><v>FACEBOOK»USA-Trial-ITD-Lead Completes-AZR-AZR»1 x 1»SocialBan»CAN»ALL»CPA»PRO»X»NA»SS»NA»FBCTCBenefit2inMotion»PRC1VV</v></cell><cell r="AH1378" t="str"><v>PRC1VV</v></cell><cell r="AI1378" t="str"><v>AzurePlatform_FBCTCBenefit2inMotion_USA_10s_CAN_PLATFORM_English_Trial_Standard_STAN_TIN_T4_1</v></cell><cell r="AJ1378"><v>103043835</v></cell></row><row r="1379"><cell r="D1379" t="str"><v>43355PS7B6Z</v></cell><cell r="E1379" t="str"><v>43355104592532PS7B6Z</v></cell><cell r="F1379" t="str"><v>Appended from Pub - Not in DCM</v></cell></row><row r="1379"><cell r="I1379" t="str"><v>Azure Direct</v></cell><cell r="J1379" t="str"><v>Azure Direct</v></cell><cell r="K1379" t="str"><v>September</v></cell><cell r="L1379"><v>43358</v></cell><cell r="M1379" t="str"><v>Tier 0</v></cell><cell r="N1379" t="str"><v>North America</v></cell><cell r="O1379" t="str"><v>United States</v></cell><cell r="P1379" t="str"><v>Trial</v></cell><cell r="Q1379" t="str"><v>Social</v></cell><cell r="R1379" t="str"><v>Azure</v></cell><cell r="S1379" t="str"><v>Apps & Infra</v></cell><cell r="T1379" t="str"><v>Developers & ITI's</v></cell><cell r="U1379" t="str"><v>USA-Trial-ITD-Job Titles Prospecting-AZR-AZR</v></cell><cell r="V1379" t="str"><v>Prospecting</v></cell><cell r="W1379" t="str"><v>Video Link ad</v></cell><cell r="X1379" t="str"><v>1920x1080</v></cell><cell r="Y1379" t="str"><v>Learn More</v></cell><cell r="Z1379" t="str"><v>Animated Banner</v></cell><cell r="AA1379"><v>43355</v></cell><cell r="AB1379" t="str"><v>USA_gaPMG_AZR_AZR_Q1_19_Direct-Social</v></cell><cell r="AC1379"><v>21358715</v></cell><cell r="AD1379"><v>720197</v></cell><cell r="AE1379" t="str"><v>Linkedin</v></cell><cell r="AF1379"><v>3654329</v></cell><cell r="AG1379" t="str"><v>LINKEDIN»USA-Trial-ITD-Job Titles Prospecting-AZR-AZR»1 x 1»SocialBan»VLA»ALL»CPA»PRO»D»All»SS»NA»FreeAcctITProLI-AnimatedMigration-Ch3»PS7B6Z</v></cell><cell r="AH1379" t="str"><v>PS7B6Z</v></cell><cell r="AI1379" t="str"><v>AZR_FreeAcctITProLI-AnimatedMigration-Ch3_USA_1920x1080_VLA_Direct_EN_Trial_Standard_ANI_LEA_T3_1</v></cell><cell r="AJ1379"><v>104592532</v></cell></row><row r="1380"><cell r="D1380" t="str"><v>43355PS7B6Q</v></cell><cell r="E1380" t="str"><v>43355104593447PS7B6Q</v></cell><cell r="F1380" t="str"><v>Appended from Pub - Not in DCM</v></cell></row><row r="1380"><cell r="I1380" t="str"><v>Azure Direct</v></cell><cell r="J1380" t="str"><v>Azure Direct</v></cell><cell r="K1380" t="str"><v>September</v></cell><cell r="L1380"><v>43358</v></cell><cell r="M1380" t="str"><v>Tier 0</v></cell><cell r="N1380" t="str"><v>North America</v></cell><cell r="O1380" t="str"><v>United States</v></cell><cell r="P1380" t="str"><v>Trial</v></cell><cell r="Q1380" t="str"><v>Social</v></cell><cell r="R1380" t="str"><v>Azure</v></cell><cell r="S1380" t="str"><v>Apps & Infra</v></cell><cell r="T1380" t="str"><v>Developers & ITI's</v></cell><cell r="U1380" t="str"><v>USA-Trial-ITD-Job Titles Prospecting-AZR-AZR</v></cell><cell r="V1380" t="str"><v>Prospecting</v></cell><cell r="W1380" t="str"><v>Video Link ad</v></cell><cell r="X1380" t="str"><v>1920x1080</v></cell><cell r="Y1380" t="str"><v>Learn More</v></cell><cell r="Z1380" t="str"><v>Animated Banner</v></cell><cell r="AA1380"><v>43355</v></cell><cell r="AB1380" t="str"><v>USA_gaPMG_AZR_AZR_Q1_19_Direct-Social</v></cell><cell r="AC1380"><v>21358715</v></cell><cell r="AD1380"><v>720197</v></cell><cell r="AE1380" t="str"><v>Linkedin</v></cell><cell r="AF1380"><v>3654329</v></cell><cell r="AG1380" t="str"><v>LINKEDIN»USA-Trial-ITD-Job Titles Prospecting-AZR-AZR»1 x 1»SocialBan»VLA»ALL»CPA»PRO»D»All»SS»NA»FreeAcctITProLI-AnimatedSecureWellMngd-Ch1»PS7B6Q</v></cell><cell r="AH1380" t="str"><v>PS7B6Q</v></cell><cell r="AI1380" t="str"><v>AZR_FreeAcctITProLI-AnimatedSecureWellMngd-Ch1_USA_1920x1080_VLA_Direct_EN_Trial_Standard_ANI_LEA_T1_1</v></cell><cell r="AJ1380"><v>104593447</v></cell></row><row r="1381"><cell r="D1381" t="str"><v>43355PS7B6N</v></cell><cell r="E1381" t="str"><v>43355104593444PS7B6N</v></cell><cell r="F1381" t="str"><v>Appended from Pub - Not in DCM</v></cell></row><row r="1381"><cell r="I1381" t="str"><v>Azure Direct</v></cell><cell r="J1381" t="str"><v>Azure Direct</v></cell><cell r="K1381" t="str"><v>September</v></cell><cell r="L1381"><v>43358</v></cell><cell r="M1381" t="str"><v>Tier 0</v></cell><cell r="N1381" t="str"><v>North America</v></cell><cell r="O1381" t="str"><v>United States</v></cell><cell r="P1381" t="str"><v>Trial</v></cell><cell r="Q1381" t="str"><v>Social</v></cell><cell r="R1381" t="str"><v>Azure</v></cell><cell r="S1381" t="str"><v>Apps & Infra</v></cell><cell r="T1381" t="str"><v>Developers & ITI's</v></cell><cell r="U1381" t="str"><v>USA-Trial-ITD-Job Titles Prospecting-AZR-AZR</v></cell><cell r="V1381" t="str"><v>Prospecting</v></cell><cell r="W1381" t="str"><v>Video Link ad</v></cell><cell r="X1381" t="str"><v>1920x1080</v></cell><cell r="Y1381" t="str"><v>Learn More</v></cell><cell r="Z1381" t="str"><v>Animated Banner</v></cell><cell r="AA1381"><v>43355</v></cell><cell r="AB1381" t="str"><v>USA_gaPMG_AZR_AZR_Q1_19_Direct-Social</v></cell><cell r="AC1381"><v>21358715</v></cell><cell r="AD1381"><v>720197</v></cell><cell r="AE1381" t="str"><v>Linkedin</v></cell><cell r="AF1381"><v>3654329</v></cell><cell r="AG1381" t="str"><v>LINKEDIN»USA-Trial-ITD-Job Titles Prospecting-AZR-AZR»1 x 1»SocialBan»VLA»ALL»CPA»PRO»D»All»SS»NA»FreeAcctDeveloperLI-AnimatedAI-Ch3»PS7B6N</v></cell><cell r="AH1381" t="str"><v>PS7B6N</v></cell><cell r="AI1381" t="str"><v>AZR_FreeAcctDeveloperLI-AnimatedAI-Ch3_USA_1920x1080_VLA_Direct_EN_Trial_Standard_ANI_LEA_T3_1</v></cell><cell r="AJ1381"><v>104593444</v></cell></row><row r="1382"><cell r="D1382" t="str"><v>43355PS7BV7</v></cell><cell r="E1382" t="str"><v>43355104592532PS7BV7</v></cell><cell r="F1382" t="str"><v>Appended from Pub - Not in DCM</v></cell></row><row r="1382"><cell r="I1382" t="str"><v>Azure Direct</v></cell><cell r="J1382" t="str"><v>Azure Direct</v></cell><cell r="K1382" t="str"><v>September</v></cell><cell r="L1382"><v>43358</v></cell><cell r="M1382" t="str"><v>Tier 0</v></cell><cell r="N1382" t="str"><v>North America</v></cell><cell r="O1382" t="str"><v>United States</v></cell><cell r="P1382" t="str"><v>Trial</v></cell><cell r="Q1382" t="str"><v>Social</v></cell><cell r="R1382" t="str"><v>Azure</v></cell><cell r="S1382" t="str"><v>Apps & Infra</v></cell><cell r="T1382" t="str"><v>Developers & ITI's</v></cell><cell r="U1382" t="str"><v>USA-Trial-ITD-Skills Prospecting-AZR-AZR</v></cell><cell r="V1382" t="str"><v>Prospecting</v></cell><cell r="W1382" t="str"><v>Video Link ad</v></cell><cell r="X1382" t="str"><v>1920x1080</v></cell><cell r="Y1382" t="str"><v>Learn More</v></cell><cell r="Z1382" t="str"><v>Animated Banner</v></cell><cell r="AA1382"><v>43355</v></cell><cell r="AB1382" t="str"><v>USA_gaPMG_AZR_AZR_Q1_19_Direct-Social</v></cell><cell r="AC1382"><v>21358715</v></cell><cell r="AD1382"><v>720197</v></cell><cell r="AE1382" t="str"><v>Linkedin</v></cell><cell r="AF1382"><v>3654329</v></cell><cell r="AG1382" t="str"><v>LINKEDIN»USA-Trial-ITD-Skills Prospecting-AZR-AZR»1 x 1»SocialBan»VLA»ALL»CPA»PRO»D»All»SS»NA»FreeAcctITProLI-AnimatedMigration-Ch3»PS7BV7</v></cell><cell r="AH1382" t="str"><v>PS7BV7</v></cell><cell r="AI1382" t="str"><v>AZR_FreeAcctITProLI-AnimatedMigration-Ch3_USA_1920x1080_VLA_Direct_EN_Trial_Standard_ANI_LEA_T3_1</v></cell><cell r="AJ1382"><v>104592532</v></cell></row><row r="1383"><cell r="D1383" t="str"><v>43355PS7BVD</v></cell><cell r="E1383" t="str"><v>43355104671424PS7BVD</v></cell><cell r="F1383" t="str"><v>Appended from Pub - Not in DCM</v></cell></row><row r="1383"><cell r="I1383" t="str"><v>Azure Direct</v></cell><cell r="J1383" t="str"><v>Azure Direct</v></cell><cell r="K1383" t="str"><v>September</v></cell><cell r="L1383"><v>43358</v></cell><cell r="M1383" t="str"><v>Tier 0</v></cell><cell r="N1383" t="str"><v>North America</v></cell><cell r="O1383" t="str"><v>United States</v></cell><cell r="P1383" t="str"><v>Trial</v></cell><cell r="Q1383" t="str"><v>Social</v></cell><cell r="R1383" t="str"><v>Azure</v></cell><cell r="S1383" t="str"><v>Apps & Infra</v></cell><cell r="T1383" t="str"><v>Developers & ITI's</v></cell><cell r="U1383" t="str"><v>USA-Trial-ITD-Skills Prospecting-AZR-AZR</v></cell><cell r="V1383" t="str"><v>Prospecting</v></cell><cell r="W1383" t="str"><v>Video Link ad</v></cell><cell r="X1383" t="str"><v>1920x1080</v></cell><cell r="Y1383" t="str"><v>Learn More</v></cell><cell r="Z1383" t="str"><v>Animated Banner</v></cell><cell r="AA1383"><v>43355</v></cell><cell r="AB1383" t="str"><v>USA_gaPMG_AZR_AZR_Q1_19_Direct-Social</v></cell><cell r="AC1383"><v>21358715</v></cell><cell r="AD1383"><v>720197</v></cell><cell r="AE1383" t="str"><v>Linkedin</v></cell><cell r="AF1383"><v>3654329</v></cell><cell r="AG1383" t="str"><v>LINKEDIN»USA-Trial-ITD-Skills Prospecting-AZR-AZR»1 x 1»SocialBan»VLA»ALL»CPA»PRO»D»All»SS»NA»FreeAcctITProLI-AnimatedHybrid-Ch2»PS7BVD</v></cell><cell r="AH1383" t="str"><v>PS7BVD</v></cell><cell r="AI1383" t="str"><v>AZR_FreeAcctITProLI-AnimatedHybrid-Ch2_USA_1920x1080_VLA_Direct_EN_Trial_Standard_ANI_LEA_T2_1</v></cell><cell r="AJ1383"><v>104671424</v></cell></row><row r="1384"><cell r="D1384" t="str"><v>43356PRX71S</v></cell><cell r="E1384" t="str"><v>43356104593720PRX71S</v></cell><cell r="F1384" t="str"><v>Appended from Pub - Not in DCM</v></cell></row><row r="1384"><cell r="I1384" t="str"><v>Azure Direct</v></cell><cell r="J1384" t="str"><v>Azure Direct</v></cell><cell r="K1384" t="str"><v>September</v></cell><cell r="L1384"><v>43358</v></cell><cell r="M1384" t="str"><v>Tier 0</v></cell><cell r="N1384" t="str"><v>North America</v></cell><cell r="O1384" t="str"><v>United States</v></cell><cell r="P1384" t="str"><v>Trial</v></cell><cell r="Q1384" t="str"><v>Social</v></cell><cell r="R1384" t="str"><v>Azure</v></cell><cell r="S1384" t="str"><v>Apps & Infra</v></cell><cell r="T1384" t="str"><v>Developers & ITI's</v></cell><cell r="U1384" t="str"><v>USA-Trial-ITD-Lead Completes Lookalike-AZR-AZR</v></cell><cell r="V1384" t="str"><v>Lookalike Targeting</v></cell><cell r="W1384" t="str"><v>Canvas Collection Ad</v></cell><cell r="X1384" t="str"><v>1200x182</v></cell><cell r="Y1384" t="str"><v>Try it Now</v></cell><cell r="Z1384" t="str"><v>Not Applicable</v></cell><cell r="AA1384"><v>43356</v></cell><cell r="AB1384" t="str"><v>USA_gaPMG_AZR_AZR_Q1_19_Direct-Social</v></cell><cell r="AC1384"><v>21358715</v></cell><cell r="AD1384"><v>720197</v></cell><cell r="AE1384" t="str"><v>Linkedin</v></cell><cell r="AF1384"><v>3654329</v></cell><cell r="AG1384" t="str"><v>FACEBOOK»USA-Trial-ITD-Lead Completes Lookalike-AZR-AZR»1 x 1»SocialBan»CCA»ALL»CPA»LAL»X»NA»SS»NA»Azure Developer Facebook Collections»PRX71S</v></cell><cell r="AH1384" t="str"><v>PRX71S</v></cell><cell r="AI1384" t="str"><v>AZR_FBCollections-AITryAzureFreeCTA-Img2_USA_1200x182_CCA_Plat_EN_NA_Standard_NA_TIN_T1_2</v></cell><cell r="AJ1384"><v>104593720</v></cell></row><row r="1385"><cell r="D1385" t="str"><v>43356PRC2G3</v></cell><cell r="E1385" t="str"><v>43356103178714PRC2G3</v></cell><cell r="F1385" t="str"><v>Appended from Pub - Not in DCM</v></cell></row><row r="1385"><cell r="I1385" t="str"><v>Azure Direct</v></cell><cell r="J1385" t="str"><v>Azure Direct</v></cell><cell r="K1385" t="str"><v>September</v></cell><cell r="L1385"><v>43358</v></cell><cell r="M1385" t="str"><v>Tier 0</v></cell><cell r="N1385" t="str"><v>North America</v></cell><cell r="O1385" t="str"><v>United States</v></cell><cell r="P1385" t="str"><v>Trial</v></cell><cell r="Q1385" t="str"><v>Social</v></cell><cell r="R1385" t="str"><v>Azure</v></cell><cell r="S1385" t="str"><v>Apps & Infra</v></cell><cell r="T1385" t="str"><v>Developers & ITI's</v></cell><cell r="U1385" t="str"><v>USA-Trial-ITD-Retargeting-AZR-AZR</v></cell><cell r="V1385" t="str"><v>Retargeting</v></cell><cell r="W1385" t="str"><v>Canvas Ad</v></cell><cell r="X1385" t="str"><v>10s</v></cell><cell r="Y1385" t="str"><v>Try it Now</v></cell><cell r="Z1385" t="str"><v>Standard videos</v></cell><cell r="AA1385"><v>43356</v></cell><cell r="AB1385" t="str"><v>USA_gaPMG_AZR_AZR_Q1_19_Direct-Social</v></cell><cell r="AC1385"><v>21358715</v></cell><cell r="AD1385"><v>720197</v></cell><cell r="AE1385" t="str"><v>Linkedin</v></cell><cell r="AF1385"><v>3654329</v></cell><cell r="AG1385" t="str"><v>INSTAGRAM»USA-Trial-ITD-Retargeting-AZR-AZR»1 x 1»SocialBan»CAN»ALL»CPA»RT»X»NA»SS»NA»IGCTCBrandinMotion»PRC2G3</v></cell><cell r="AH1385" t="str"><v>PRC2G3</v></cell><cell r="AI1385" t="str"><v>AzurePlatform_IGCTCBenefit2inMotion_USA_10s_CAN_PLATFORM_English_Trial_Standard_STAN_TIN_T4_2</v></cell><cell r="AJ1385"><v>103178714</v></cell></row><row r="1386"><cell r="D1386" t="str"><v>43356PRC1M2</v></cell><cell r="E1386" t="str"><v>43356103032775PRC1M2</v></cell><cell r="F1386" t="str"><v>Appended from Pub - Not in DCM</v></cell></row><row r="1386"><cell r="I1386" t="str"><v>Azure Direct</v></cell><cell r="J1386" t="str"><v>Azure Direct</v></cell><cell r="K1386" t="str"><v>September</v></cell><cell r="L1386"><v>43358</v></cell><cell r="M1386" t="str"><v>Tier 0</v></cell><cell r="N1386" t="str"><v>North America</v></cell><cell r="O1386" t="str"><v>United States</v></cell><cell r="P1386" t="str"><v>Trial</v></cell><cell r="Q1386" t="str"><v>Social</v></cell><cell r="R1386" t="str"><v>Azure</v></cell><cell r="S1386" t="str"><v>Apps & Infra</v></cell><cell r="T1386" t="str"><v>Developers & ITI's</v></cell><cell r="U1386" t="str"><v>USA-Trial-ITD-Trial Lookalike-AZR-AZR</v></cell><cell r="V1386" t="str"><v>Lookalike Targeting</v></cell><cell r="W1386" t="str"><v>Canvas Ad</v></cell><cell r="X1386" t="str"><v>10s</v></cell><cell r="Y1386" t="str"><v>Try it Now</v></cell><cell r="Z1386" t="str"><v>Standard videos</v></cell><cell r="AA1386"><v>43356</v></cell><cell r="AB1386" t="str"><v>USA_gaPMG_AZR_AZR_Q1_19_Direct-Social</v></cell><cell r="AC1386"><v>21358715</v></cell><cell r="AD1386"><v>720197</v></cell><cell r="AE1386" t="str"><v>Linkedin</v></cell><cell r="AF1386"><v>3654329</v></cell><cell r="AG1386" t="str"><v>FACEBOOK»USA-Trial-ITD-Trial Lookalike-AZR-AZR»1 x 1»SocialBan»CAN»ALL»CPA»LAL»X»NA»SS»NA»FBCTCBenefitinMotion»PRC1M2</v></cell><cell r="AH1386" t="str"><v>PRC1M2</v></cell><cell r="AI1386" t="str"><v>AzurePlatform_FBCTCBenefitinMotion_USA_10s_CAN_PLATFORM_English_Trial_Standard_STAN_TIN_T3_1</v></cell><cell r="AJ1386"><v>103032775</v></cell></row><row r="1387"><cell r="D1387" t="str"><v>43356PRC1Q0</v></cell><cell r="E1387" t="str"><v>43356103043823PRC1Q0</v></cell><cell r="F1387" t="str"><v>Appended from Pub - Not in DCM</v></cell></row><row r="1387"><cell r="I1387" t="str"><v>Azure Direct</v></cell><cell r="J1387" t="str"><v>Azure Direct</v></cell><cell r="K1387" t="str"><v>September</v></cell><cell r="L1387"><v>43358</v></cell><cell r="M1387" t="str"><v>Tier 0</v></cell><cell r="N1387" t="str"><v>North America</v></cell><cell r="O1387" t="str"><v>United States</v></cell><cell r="P1387" t="str"><v>Trial</v></cell><cell r="Q1387" t="str"><v>Social</v></cell><cell r="R1387" t="str"><v>Azure</v></cell><cell r="S1387" t="str"><v>Apps & Infra</v></cell><cell r="T1387" t="str"><v>Developers & ITI's</v></cell><cell r="U1387" t="str"><v>USA-Trial-ITD-Trial PayGo Lookalike-AZR-AZR</v></cell><cell r="V1387" t="str"><v>Lookalike Targeting</v></cell><cell r="W1387" t="str"><v>Canvas Ad</v></cell><cell r="X1387" t="str"><v>10s</v></cell><cell r="Y1387" t="str"><v>Try it Now</v></cell><cell r="Z1387" t="str"><v>Standard videos</v></cell><cell r="AA1387"><v>43356</v></cell><cell r="AB1387" t="str"><v>USA_gaPMG_AZR_AZR_Q1_19_Direct-Social</v></cell><cell r="AC1387"><v>21358715</v></cell><cell r="AD1387"><v>720197</v></cell><cell r="AE1387" t="str"><v>Linkedin</v></cell><cell r="AF1387"><v>3654329</v></cell><cell r="AG1387" t="str"><v>FACEBOOK»USA-Trial-ITD-Trial PayGo Lookalike-AZR-AZR»1 x 1»SocialBan»CAN»ALL»CPA»LAL»X»NA»SS»NA»FBCTCBasicMotion»PRC1Q0</v></cell><cell r="AH1387" t="str"><v>PRC1Q0</v></cell><cell r="AI1387" t="str"><v>AzurePlatform_FBCTCBasicMotion_USA_10s_CAN_PLATFORM_English_Trial_Standard_STAN_TIN_T1_1</v></cell><cell r="AJ1387"><v>103043823</v></cell></row><row r="1388"><cell r="D1388" t="str"><v>43356PRSGWS</v></cell><cell r="E1388" t="str"><v>43356103773177PRSGWS</v></cell><cell r="F1388" t="str"><v>Appended from Pub - Not in DCM</v></cell></row><row r="1388"><cell r="I1388" t="str"><v>Azure Direct</v></cell><cell r="J1388" t="str"><v>Azure Direct</v></cell><cell r="K1388" t="str"><v>September</v></cell><cell r="L1388"><v>43358</v></cell><cell r="M1388" t="str"><v>Tier 0</v></cell><cell r="N1388" t="str"><v>North America</v></cell><cell r="O1388" t="str"><v>United States</v></cell><cell r="P1388" t="str"><v>Trial</v></cell><cell r="Q1388" t="str"><v>Social</v></cell><cell r="R1388" t="str"><v>Azure</v></cell><cell r="S1388" t="str"><v>Apps & Infra</v></cell><cell r="T1388" t="str"><v>Developers & ITI's</v></cell><cell r="U1388" t="str"><v>USA-Trial-ITD-Lead Completes-AZR-AZR</v></cell><cell r="V1388" t="str"><v>Prospecting</v></cell><cell r="W1388" t="str"><v>Canvas Collection Ad</v></cell><cell r="X1388" t="str"><v>1200x182</v></cell><cell r="Y1388" t="str"><v>Try it Now</v></cell><cell r="Z1388" t="str"><v>Not Applicable</v></cell><cell r="AA1388"><v>43356</v></cell><cell r="AB1388" t="str"><v>USA_gaPMG_AZR_AZR_Q1_19_Direct-Social</v></cell><cell r="AC1388"><v>21358715</v></cell><cell r="AD1388"><v>720197</v></cell><cell r="AE1388" t="str"><v>Linkedin</v></cell><cell r="AF1388"><v>3654329</v></cell><cell r="AG1388" t="str"><v>FACEBOOK»USA-Trial-ITD-Lead Completes-AZR-AZR»1 x 1»SocialBan»CCA»ALL»CPA»PRO»X»NA»SS»NA»Azure Developer Facebook Collections»PRSGWS</v></cell><cell r="AH1388" t="str"><v>PRSGWS</v></cell><cell r="AI1388" t="str"><v>AZR_FBCollections-AITryAzureFreeCTA-Img2_USA_1200x182_SOC_Plat_EN_NA_Standard_NA_TIN_T1_2</v></cell><cell r="AJ1388"><v>103773177</v></cell></row><row r="1389"><cell r="D1389" t="str"><v>43356PS79SS</v></cell><cell r="E1389" t="str"><v>43356104593441PS79SS</v></cell><cell r="F1389" t="str"><v>Appended from Pub - Not in DCM</v></cell></row><row r="1389"><cell r="I1389" t="str"><v>Azure Direct</v></cell><cell r="J1389" t="str"><v>Azure Direct</v></cell><cell r="K1389" t="str"><v>September</v></cell><cell r="L1389"><v>43358</v></cell><cell r="M1389" t="str"><v>Tier 0</v></cell><cell r="N1389" t="str"><v>North America</v></cell><cell r="O1389" t="str"><v>United States</v></cell><cell r="P1389" t="str"><v>Trial</v></cell><cell r="Q1389" t="str"><v>Social</v></cell><cell r="R1389" t="str"><v>Azure</v></cell><cell r="S1389" t="str"><v>Apps & Infra</v></cell><cell r="T1389" t="str"><v>Developers & ITI's</v></cell><cell r="U1389" t="str"><v>USA-Trial-ITD-Retargeting-AZR-AZR</v></cell><cell r="V1389" t="str"><v>Retargeting</v></cell><cell r="W1389" t="str"><v>Canvas Ad</v></cell><cell r="X1389" t="str"><v>1200x628</v></cell><cell r="Y1389" t="str"><v>Sign Up</v></cell><cell r="Z1389" t="str"><v>Not Applicable</v></cell><cell r="AA1389"><v>43356</v></cell><cell r="AB1389" t="str"><v>USA_gaPMG_AZR_AZR_Q1_19_Direct-Social</v></cell><cell r="AC1389"><v>21358715</v></cell><cell r="AD1389"><v>720197</v></cell><cell r="AE1389" t="str"><v>Linkedin</v></cell><cell r="AF1389"><v>3654329</v></cell><cell r="AG1389" t="str"><v>FACEBOOK»USA-Trial-ITD-Retargeting-AZR-AZR»1 x 1»SocialBan»CAN»ALL»CPA»RT»X»NA»SS»NA»FreeAcctRetargetingFB-GlobalAlt-ChB»PS79SS</v></cell><cell r="AH1389" t="str"><v>PS79SS</v></cell><cell r="AI1389" t="str"><v>AZR_FreeAcctRetargetingFB-GlobalAlt-ChB_USA_1200x628_CAN_Plat_English_Free Account_Standard_NA_SINU_T2_2</v></cell><cell r="AJ1389"><v>104593441</v></cell></row><row r="1390"><cell r="D1390" t="str"><v>43356PRC1SV</v></cell><cell r="E1390" t="str"><v>43356103043823PRC1SV</v></cell><cell r="F1390" t="str"><v>Appended from Pub - Not in DCM</v></cell></row><row r="1390"><cell r="I1390" t="str"><v>Azure Direct</v></cell><cell r="J1390" t="str"><v>Azure Direct</v></cell><cell r="K1390" t="str"><v>September</v></cell><cell r="L1390"><v>43358</v></cell><cell r="M1390" t="str"><v>Tier 0</v></cell><cell r="N1390" t="str"><v>North America</v></cell><cell r="O1390" t="str"><v>United States</v></cell><cell r="P1390" t="str"><v>Trial</v></cell><cell r="Q1390" t="str"><v>Social</v></cell><cell r="R1390" t="str"><v>Azure</v></cell><cell r="S1390" t="str"><v>Apps & Infra</v></cell><cell r="T1390" t="str"><v>Developers & ITI's</v></cell><cell r="U1390" t="str"><v>USA-Trial-ITD-Interest Prospecting-AZR-AZR</v></cell><cell r="V1390" t="str"><v>Prospecting</v></cell><cell r="W1390" t="str"><v>Canvas Ad</v></cell><cell r="X1390" t="str"><v>10s</v></cell><cell r="Y1390" t="str"><v>Try it Now</v></cell><cell r="Z1390" t="str"><v>Standard videos</v></cell><cell r="AA1390"><v>43356</v></cell><cell r="AB1390" t="str"><v>USA_gaPMG_AZR_AZR_Q1_19_Direct-Social</v></cell><cell r="AC1390"><v>21358715</v></cell><cell r="AD1390"><v>720197</v></cell><cell r="AE1390" t="str"><v>Linkedin</v></cell><cell r="AF1390"><v>3654329</v></cell><cell r="AG1390" t="str"><v>FACEBOOK»USA-Trial-ITD-Interest Prospecting-AZR-AZR»1 x 1»SocialBan»CAN»ALL»CPA»PRO»X»NA»SS»NA»FBCTCBasicMotion»PRC1SV</v></cell><cell r="AH1390" t="str"><v>PRC1SV</v></cell><cell r="AI1390" t="str"><v>AzurePlatform_FBCTCBasicMotion_USA_10s_CAN_PLATFORM_English_Trial_Standard_STAN_TIN_T1_1</v></cell><cell r="AJ1390"><v>103043823</v></cell></row><row r="1391"><cell r="D1391" t="str"><v>43356PS79S1</v></cell><cell r="E1391" t="str"><v>43356104595769PS79S1</v></cell><cell r="F1391" t="str"><v>Appended from Pub - Not in DCM</v></cell></row><row r="1391"><cell r="I1391" t="str"><v>Azure Direct</v></cell><cell r="J1391" t="str"><v>Azure Direct</v></cell><cell r="K1391" t="str"><v>September</v></cell><cell r="L1391"><v>43358</v></cell><cell r="M1391" t="str"><v>Tier 0</v></cell><cell r="N1391" t="str"><v>North America</v></cell><cell r="O1391" t="str"><v>United States</v></cell><cell r="P1391" t="str"><v>Trial</v></cell><cell r="Q1391" t="str"><v>Social</v></cell><cell r="R1391" t="str"><v>Azure</v></cell><cell r="S1391" t="str"><v>Apps & Infra</v></cell><cell r="T1391" t="str"><v>Developers & ITI's</v></cell><cell r="U1391" t="str"><v>USA-Trial-ITD-Retargeting-AZR-AZR</v></cell><cell r="V1391" t="str"><v>Retargeting</v></cell><cell r="W1391" t="str"><v>Canvas Ad</v></cell><cell r="X1391" t="str"><v>1200x628</v></cell><cell r="Y1391" t="str"><v>Sign Up</v></cell><cell r="Z1391" t="str"><v>Not Applicable</v></cell><cell r="AA1391"><v>43356</v></cell><cell r="AB1391" t="str"><v>USA_gaPMG_AZR_AZR_Q1_19_Direct-Social</v></cell><cell r="AC1391"><v>21358715</v></cell><cell r="AD1391"><v>720197</v></cell><cell r="AE1391" t="str"><v>Linkedin</v></cell><cell r="AF1391"><v>3654329</v></cell><cell r="AG1391" t="str"><v>FACEBOOK»USA-Trial-ITD-Retargeting-AZR-AZR»1 x 1»SocialBan»CAN»ALL»CPA»RT»X»NA»SS»NA»FreeAcctRetargetingFB-Credit-ChA»PS79S1</v></cell><cell r="AH1391" t="str"><v>PS79S1</v></cell><cell r="AI1391" t="str"><v>AZR_FreeAcctRetargetingFB-Credit-ChA_USA_1200x628_CAN_Plat_English_Free Account_Standard_NA_SINU_T1_1</v></cell><cell r="AJ1391"><v>104595769</v></cell></row><row r="1392"><cell r="D1392" t="str"><v>43356PRC1Q2</v></cell><cell r="E1392" t="str"><v>43356103032775PRC1Q2</v></cell><cell r="F1392" t="str"><v>Appended from Pub - Not in DCM</v></cell></row><row r="1392"><cell r="I1392" t="str"><v>Azure Direct</v></cell><cell r="J1392" t="str"><v>Azure Direct</v></cell><cell r="K1392" t="str"><v>September</v></cell><cell r="L1392"><v>43358</v></cell><cell r="M1392" t="str"><v>Tier 0</v></cell><cell r="N1392" t="str"><v>North America</v></cell><cell r="O1392" t="str"><v>United States</v></cell><cell r="P1392" t="str"><v>Trial</v></cell><cell r="Q1392" t="str"><v>Social</v></cell><cell r="R1392" t="str"><v>Azure</v></cell><cell r="S1392" t="str"><v>Apps & Infra</v></cell><cell r="T1392" t="str"><v>Developers & ITI's</v></cell><cell r="U1392" t="str"><v>USA-Trial-ITD-Trial PayGo Lookalike-AZR-AZR</v></cell><cell r="V1392" t="str"><v>Lookalike Targeting</v></cell><cell r="W1392" t="str"><v>Canvas Ad</v></cell><cell r="X1392" t="str"><v>10s</v></cell><cell r="Y1392" t="str"><v>Try it Now</v></cell><cell r="Z1392" t="str"><v>Standard videos</v></cell><cell r="AA1392"><v>43356</v></cell><cell r="AB1392" t="str"><v>USA_gaPMG_AZR_AZR_Q1_19_Direct-Social</v></cell><cell r="AC1392"><v>21358715</v></cell><cell r="AD1392"><v>720197</v></cell><cell r="AE1392" t="str"><v>Linkedin</v></cell><cell r="AF1392"><v>3654329</v></cell><cell r="AG1392" t="str"><v>FACEBOOK»USA-Trial-ITD-Trial PayGo Lookalike-AZR-AZR»1 x 1»SocialBan»CAN»ALL»CPA»LAL»X»NA»SS»NA»FBCTCBenefitinMotion»PRC1Q2</v></cell><cell r="AH1392" t="str"><v>PRC1Q2</v></cell><cell r="AI1392" t="str"><v>AzurePlatform_FBCTCBenefitinMotion_USA_10s_CAN_PLATFORM_English_Trial_Standard_STAN_TIN_T3_1</v></cell><cell r="AJ1392"><v>103032775</v></cell></row><row r="1393"><cell r="D1393" t="str"><v>43356PRC1VX</v></cell><cell r="E1393" t="str"><v>43356103176812PRC1VX</v></cell><cell r="F1393" t="str"><v>Appended from Pub - Not in DCM</v></cell></row><row r="1393"><cell r="I1393" t="str"><v>Azure Direct</v></cell><cell r="J1393" t="str"><v>Azure Direct</v></cell><cell r="K1393" t="str"><v>September</v></cell><cell r="L1393"><v>43358</v></cell><cell r="M1393" t="str"><v>Tier 0</v></cell><cell r="N1393" t="str"><v>North America</v></cell><cell r="O1393" t="str"><v>United States</v></cell><cell r="P1393" t="str"><v>Trial</v></cell><cell r="Q1393" t="str"><v>Social</v></cell><cell r="R1393" t="str"><v>Azure</v></cell><cell r="S1393" t="str"><v>Apps & Infra</v></cell><cell r="T1393" t="str"><v>Developers & ITI's</v></cell><cell r="U1393" t="str"><v>USA-Trial-ITD-Lead Completes-AZR-AZR</v></cell><cell r="V1393" t="str"><v>Prospecting</v></cell><cell r="W1393" t="str"><v>Canvas Ad</v></cell><cell r="X1393" t="str"><v>10s</v></cell><cell r="Y1393" t="str"><v>Try it Now</v></cell><cell r="Z1393" t="str"><v>Standard videos</v></cell><cell r="AA1393"><v>43356</v></cell><cell r="AB1393" t="str"><v>USA_gaPMG_AZR_AZR_Q1_19_Direct-Social</v></cell><cell r="AC1393"><v>21358715</v></cell><cell r="AD1393"><v>720197</v></cell><cell r="AE1393" t="str"><v>Linkedin</v></cell><cell r="AF1393"><v>3654329</v></cell><cell r="AG1393" t="str"><v>FACEBOOK»USA-Trial-ITD-Lead Completes-AZR-AZR»1 x 1»SocialBan»CAN»ALL»CPA»PRO»X»NA»SS»NA»FBCTCBrandinMotion»PRC1VX</v></cell><cell r="AH1393" t="str"><v>PRC1VX</v></cell><cell r="AI1393" t="str"><v>AzurePlatform_FBCTCBrandinMotion_USA_10s_CAN_PLATFORM_English_Trial_Standard_STAN_TIN_T2_1</v></cell><cell r="AJ1393"><v>103176812</v></cell></row><row r="1394"><cell r="D1394" t="str"><v>43356PRC1LZ</v></cell><cell r="E1394" t="str"><v>43356103043823PRC1LZ</v></cell><cell r="F1394" t="str"><v>Appended from Pub - Not in DCM</v></cell></row><row r="1394"><cell r="I1394" t="str"><v>Azure Direct</v></cell><cell r="J1394" t="str"><v>Azure Direct</v></cell><cell r="K1394" t="str"><v>September</v></cell><cell r="L1394"><v>43358</v></cell><cell r="M1394" t="str"><v>Tier 0</v></cell><cell r="N1394" t="str"><v>North America</v></cell><cell r="O1394" t="str"><v>United States</v></cell><cell r="P1394" t="str"><v>Trial</v></cell><cell r="Q1394" t="str"><v>Social</v></cell><cell r="R1394" t="str"><v>Azure</v></cell><cell r="S1394" t="str"><v>Apps & Infra</v></cell><cell r="T1394" t="str"><v>Developers & ITI's</v></cell><cell r="U1394" t="str"><v>USA-Trial-ITD-Trial Lookalike-AZR-AZR</v></cell><cell r="V1394" t="str"><v>Lookalike Targeting</v></cell><cell r="W1394" t="str"><v>Canvas Ad</v></cell><cell r="X1394" t="str"><v>10s</v></cell><cell r="Y1394" t="str"><v>Try it Now</v></cell><cell r="Z1394" t="str"><v>Standard videos</v></cell><cell r="AA1394"><v>43356</v></cell><cell r="AB1394" t="str"><v>USA_gaPMG_AZR_AZR_Q1_19_Direct-Social</v></cell><cell r="AC1394"><v>21358715</v></cell><cell r="AD1394"><v>720197</v></cell><cell r="AE1394" t="str"><v>Linkedin</v></cell><cell r="AF1394"><v>3654329</v></cell><cell r="AG1394" t="str"><v>FACEBOOK»USA-Trial-ITD-Trial Lookalike-AZR-AZR»1 x 1»SocialBan»CAN»ALL»CPA»LAL»X»NA»SS»NA»FBCTCBasicMotion»PRC1LZ</v></cell><cell r="AH1394" t="str"><v>PRC1LZ</v></cell><cell r="AI1394" t="str"><v>AzurePlatform_FBCTCBasicMotion_USA_10s_CAN_PLATFORM_English_Trial_Standard_STAN_TIN_T1_1</v></cell><cell r="AJ1394"><v>103043823</v></cell></row><row r="1395"><cell r="D1395" t="str"><v>43356PS7B5W</v></cell><cell r="E1395" t="str"><v>43356104593738PS7B5W</v></cell><cell r="F1395" t="str"><v>Appended from Pub - Not in DCM</v></cell></row><row r="1395"><cell r="I1395" t="str"><v>Azure Direct</v></cell><cell r="J1395" t="str"><v>Azure Direct</v></cell><cell r="K1395" t="str"><v>September</v></cell><cell r="L1395"><v>43358</v></cell><cell r="M1395" t="str"><v>Tier 0</v></cell><cell r="N1395" t="str"><v>North America</v></cell><cell r="O1395" t="str"><v>United States</v></cell><cell r="P1395" t="str"><v>Trial</v></cell><cell r="Q1395" t="str"><v>Social</v></cell><cell r="R1395" t="str"><v>Azure</v></cell><cell r="S1395" t="str"><v>Apps & Infra</v></cell><cell r="T1395" t="str"><v>Developers & ITI's</v></cell><cell r="U1395" t="str"><v>USA-Trial-ITD-Trial PayGo Lookalike-AZR-AZR</v></cell><cell r="V1395" t="str"><v>Lookalike Targeting</v></cell><cell r="W1395" t="str"><v>Canvas Ad</v></cell><cell r="X1395" t="str"><v>1200x1200</v></cell><cell r="Y1395" t="str"><v>Learn More</v></cell><cell r="Z1395" t="str"><v>Animated Banner</v></cell><cell r="AA1395"><v>43356</v></cell><cell r="AB1395" t="str"><v>USA_gaPMG_AZR_AZR_Q1_19_Direct-Social</v></cell><cell r="AC1395"><v>21358715</v></cell><cell r="AD1395"><v>720197</v></cell><cell r="AE1395" t="str"><v>Linkedin</v></cell><cell r="AF1395"><v>3654329</v></cell><cell r="AG1395" t="str"><v>FACEBOOK»USA-Trial-ITD-Trial PayGo Lookalike-AZR-AZR»1 x 1»SocialBan»CAN»ALL»CPA»LAL»X»NA»SS»NA»FreeAcctITProFB-AnimatedSecureMngd-Ch1»PS7B5W</v></cell><cell r="AH1395" t="str"><v>PS7B5W</v></cell><cell r="AI1395" t="str"><v>AZR_FreeAcctITProFB-AnimatedSecureMngd-Ch1_USA_1200x1200_CAN_Direct_EN_Trial_Standard_ANI_LEA_T1_1</v></cell><cell r="AJ1395"><v>104593738</v></cell></row><row r="1396"><cell r="D1396" t="str"><v>43356PS78J8</v></cell><cell r="E1396" t="str"><v>43356104593735PS78J8</v></cell><cell r="F1396" t="str"><v>Appended from Pub - Not in DCM</v></cell></row><row r="1396"><cell r="I1396" t="str"><v>Azure Direct</v></cell><cell r="J1396" t="str"><v>Azure Direct</v></cell><cell r="K1396" t="str"><v>September</v></cell><cell r="L1396"><v>43358</v></cell><cell r="M1396" t="str"><v>Tier 0</v></cell><cell r="N1396" t="str"><v>North America</v></cell><cell r="O1396" t="str"><v>United States</v></cell><cell r="P1396" t="str"><v>Trial</v></cell><cell r="Q1396" t="str"><v>Social</v></cell><cell r="R1396" t="str"><v>Azure</v></cell><cell r="S1396" t="str"><v>Apps & Infra</v></cell><cell r="T1396" t="str"><v>Developers & ITI's</v></cell><cell r="U1396" t="str"><v>USA-Trial-ITD-Interest Prospecting-AZR-AZR</v></cell><cell r="V1396" t="str"><v>Prospecting</v></cell><cell r="W1396" t="str"><v>Canvas Ad</v></cell><cell r="X1396" t="str"><v>1200x1200</v></cell><cell r="Y1396" t="str"><v>Learn More</v></cell><cell r="Z1396" t="str"><v>Animated Banner</v></cell><cell r="AA1396"><v>43356</v></cell><cell r="AB1396" t="str"><v>USA_gaPMG_AZR_AZR_Q1_19_Direct-Social</v></cell><cell r="AC1396"><v>21358715</v></cell><cell r="AD1396"><v>720197</v></cell><cell r="AE1396" t="str"><v>Linkedin</v></cell><cell r="AF1396"><v>3654329</v></cell><cell r="AG1396" t="str"><v>FACEBOOK»USA-Trial-ITD-Interest Prospecting-AZR-AZR»1 x 1»SocialBan»CAN»ALL»CPA»PRO»X»NA»SS»NA»FreeAcctDeveloperFB-AnimatedAI-Ch3»PS78J8</v></cell><cell r="AH1396" t="str"><v>PS78J8</v></cell><cell r="AI1396" t="str"><v>AZR_FreeAcctDeveloperFB-AnimatedAI-Ch3_USA_1200x1200_CAN_Direct_EN_Trial_Standard_ANI_LEA_T3_1</v></cell><cell r="AJ1396"><v>104593735</v></cell></row><row r="1397"><cell r="D1397" t="str"><v>43356PS78JH</v></cell><cell r="E1397" t="str"><v>43356104592535PS78JH</v></cell><cell r="F1397" t="str"><v>Appended from Pub - Not in DCM</v></cell></row><row r="1397"><cell r="I1397" t="str"><v>Azure Direct</v></cell><cell r="J1397" t="str"><v>Azure Direct</v></cell><cell r="K1397" t="str"><v>September</v></cell><cell r="L1397"><v>43358</v></cell><cell r="M1397" t="str"><v>Tier 0</v></cell><cell r="N1397" t="str"><v>North America</v></cell><cell r="O1397" t="str"><v>United States</v></cell><cell r="P1397" t="str"><v>Trial</v></cell><cell r="Q1397" t="str"><v>Social</v></cell><cell r="R1397" t="str"><v>Azure</v></cell><cell r="S1397" t="str"><v>Apps & Infra</v></cell><cell r="T1397" t="str"><v>Developers & ITI's</v></cell><cell r="U1397" t="str"><v>USA-Trial-ITD-Interest Prospecting-AZR-AZR</v></cell><cell r="V1397" t="str"><v>Prospecting</v></cell><cell r="W1397" t="str"><v>Canvas Ad</v></cell><cell r="X1397" t="str"><v>1200x1200</v></cell><cell r="Y1397" t="str"><v>Learn More</v></cell><cell r="Z1397" t="str"><v>Animated Banner</v></cell><cell r="AA1397"><v>43356</v></cell><cell r="AB1397" t="str"><v>USA_gaPMG_AZR_AZR_Q1_19_Direct-Social</v></cell><cell r="AC1397"><v>21358715</v></cell><cell r="AD1397"><v>720197</v></cell><cell r="AE1397" t="str"><v>Linkedin</v></cell><cell r="AF1397"><v>3654329</v></cell><cell r="AG1397" t="str"><v>FACEBOOK»USA-Trial-ITD-Interest Prospecting-AZR-AZR»1 x 1»SocialBan»CAN»ALL»CPA»PRO»X»NA»SS»NA»FreeAcctITProFB-AnimatedHybrid-Ch2»PS78JH</v></cell><cell r="AH1397" t="str"><v>PS78JH</v></cell><cell r="AI1397" t="str"><v>AZR_FreeAcctITProFB-AnimatedHybrid-Ch2_USA_1200x1200_CAN_Direct_EN_Trial_Standard_ANI_LEA_T2_1</v></cell><cell r="AJ1397"><v>104592535</v></cell></row><row r="1398"><cell r="D1398" t="str"><v>43356PS78JJ</v></cell><cell r="E1398" t="str"><v>43356104595730PS78JJ</v></cell><cell r="F1398" t="str"><v>Appended from Pub - Not in DCM</v></cell></row><row r="1398"><cell r="I1398" t="str"><v>Azure Direct</v></cell><cell r="J1398" t="str"><v>Azure Direct</v></cell><cell r="K1398" t="str"><v>September</v></cell><cell r="L1398"><v>43358</v></cell><cell r="M1398" t="str"><v>Tier 0</v></cell><cell r="N1398" t="str"><v>North America</v></cell><cell r="O1398" t="str"><v>United States</v></cell><cell r="P1398" t="str"><v>Trial</v></cell><cell r="Q1398" t="str"><v>Social</v></cell><cell r="R1398" t="str"><v>Azure</v></cell><cell r="S1398" t="str"><v>Apps & Infra</v></cell><cell r="T1398" t="str"><v>Developers & ITI's</v></cell><cell r="U1398" t="str"><v>USA-Trial-ITD-Interest Prospecting-AZR-AZR</v></cell><cell r="V1398" t="str"><v>Prospecting</v></cell><cell r="W1398" t="str"><v>Canvas Ad</v></cell><cell r="X1398" t="str"><v>1200x1200</v></cell><cell r="Y1398" t="str"><v>Learn More</v></cell><cell r="Z1398" t="str"><v>Animated Banner</v></cell><cell r="AA1398"><v>43356</v></cell><cell r="AB1398" t="str"><v>USA_gaPMG_AZR_AZR_Q1_19_Direct-Social</v></cell><cell r="AC1398"><v>21358715</v></cell><cell r="AD1398"><v>720197</v></cell><cell r="AE1398" t="str"><v>Linkedin</v></cell><cell r="AF1398"><v>3654329</v></cell><cell r="AG1398" t="str"><v>FACEBOOK»USA-Trial-ITD-Interest Prospecting-AZR-AZR»1 x 1»SocialBan»CAN»ALL»CPA»PRO»X»NA»SS»NA»FreeAcctITProFB-AnimatedMigration-Ch3»PS78JJ</v></cell><cell r="AH1398" t="str"><v>PS78JJ</v></cell><cell r="AI1398" t="str"><v>AZR_FreeAcctITProFB-AnimatedMigration-Ch3_USA_1200x1200_CAN_Direct_EN_Trial_Standard_ANI_LEA_T3_2</v></cell><cell r="AJ1398"><v>104595730</v></cell></row><row r="1399"><cell r="D1399" t="str"><v>43356PS78J6</v></cell><cell r="E1399" t="str"><v>43356104595766PS78J6</v></cell><cell r="F1399" t="str"><v>Appended from Pub - Not in DCM</v></cell></row><row r="1399"><cell r="I1399" t="str"><v>Azure Direct</v></cell><cell r="J1399" t="str"><v>Azure Direct</v></cell><cell r="K1399" t="str"><v>September</v></cell><cell r="L1399"><v>43358</v></cell><cell r="M1399" t="str"><v>Tier 0</v></cell><cell r="N1399" t="str"><v>North America</v></cell><cell r="O1399" t="str"><v>United States</v></cell><cell r="P1399" t="str"><v>Trial</v></cell><cell r="Q1399" t="str"><v>Social</v></cell><cell r="R1399" t="str"><v>Azure</v></cell><cell r="S1399" t="str"><v>Apps & Infra</v></cell><cell r="T1399" t="str"><v>Developers & ITI's</v></cell><cell r="U1399" t="str"><v>USA-Trial-ITD-Interest Prospecting-AZR-AZR</v></cell><cell r="V1399" t="str"><v>Prospecting</v></cell><cell r="W1399" t="str"><v>Canvas Ad</v></cell><cell r="X1399" t="str"><v>1200x1200</v></cell><cell r="Y1399" t="str"><v>Learn More</v></cell><cell r="Z1399" t="str"><v>Animated Banner</v></cell><cell r="AA1399"><v>43356</v></cell><cell r="AB1399" t="str"><v>USA_gaPMG_AZR_AZR_Q1_19_Direct-Social</v></cell><cell r="AC1399"><v>21358715</v></cell><cell r="AD1399"><v>720197</v></cell><cell r="AE1399" t="str"><v>Linkedin</v></cell><cell r="AF1399"><v>3654329</v></cell><cell r="AG1399" t="str"><v>FACEBOOK»USA-Trial-ITD-Interest Prospecting-AZR-AZR»1 x 1»SocialBan»CAN»ALL»CPA»PRO»X»NA»SS»NA»FreeAcctDeveloperFB-AnimatedGeneric-Ch1»PS78J6</v></cell><cell r="AH1399" t="str"><v>PS78J6</v></cell><cell r="AI1399" t="str"><v>AZR_FreeAcctDeveloperFB-AnimatedGeneric-Ch1_USA_1200x1200_CAN_Direct_EN_Trial_Standard_ANI_LEA_T1_1</v></cell><cell r="AJ1399"><v>104595766</v></cell></row><row r="1400"><cell r="D1400" t="str"><v>43356PS78J7</v></cell><cell r="E1400" t="str"><v>43356104593438PS78J7</v></cell><cell r="F1400" t="str"><v>Appended from Pub - Not in DCM</v></cell></row><row r="1400"><cell r="I1400" t="str"><v>Azure Direct</v></cell><cell r="J1400" t="str"><v>Azure Direct</v></cell><cell r="K1400" t="str"><v>September</v></cell><cell r="L1400"><v>43358</v></cell><cell r="M1400" t="str"><v>Tier 0</v></cell><cell r="N1400" t="str"><v>North America</v></cell><cell r="O1400" t="str"><v>United States</v></cell><cell r="P1400" t="str"><v>Trial</v></cell><cell r="Q1400" t="str"><v>Social</v></cell><cell r="R1400" t="str"><v>Azure</v></cell><cell r="S1400" t="str"><v>Apps & Infra</v></cell><cell r="T1400" t="str"><v>Developers & ITI's</v></cell><cell r="U1400" t="str"><v>USA-Trial-ITD-Interest Prospecting-AZR-AZR</v></cell><cell r="V1400" t="str"><v>Prospecting</v></cell><cell r="W1400" t="str"><v>Canvas Ad</v></cell><cell r="X1400" t="str"><v>1200x1200</v></cell><cell r="Y1400" t="str"><v>Learn More</v></cell><cell r="Z1400" t="str"><v>Animated Banner</v></cell><cell r="AA1400"><v>43356</v></cell><cell r="AB1400" t="str"><v>USA_gaPMG_AZR_AZR_Q1_19_Direct-Social</v></cell><cell r="AC1400"><v>21358715</v></cell><cell r="AD1400"><v>720197</v></cell><cell r="AE1400" t="str"><v>Linkedin</v></cell><cell r="AF1400"><v>3654329</v></cell><cell r="AG1400" t="str"><v>FACEBOOK»USA-Trial-ITD-Interest Prospecting-AZR-AZR»1 x 1»SocialBan»CAN»ALL»CPA»PRO»X»NA»SS»NA»FreeAcctDeveloperFB-AnimatedOpenSource-Ch2»PS78J7</v></cell><cell r="AH1400" t="str"><v>PS78J7</v></cell><cell r="AI1400" t="str"><v>AZR_FreeAcctDeveloperFB-AnimatedOpenSource-Ch2_USA_1200x1200_CAN_Direct_EN_Trial_Standard_ANI_LEA_T2_2</v></cell><cell r="AJ1400"><v>104593438</v></cell></row><row r="1401"><cell r="D1401" t="str"><v>43356PS7DLR</v></cell><cell r="E1401" t="str"><v>43356104593450PS7DLR</v></cell><cell r="F1401" t="str"><v>Appended from Pub - Not in DCM</v></cell></row><row r="1401"><cell r="I1401" t="str"><v>Azure Direct</v></cell><cell r="J1401" t="str"><v>Azure Direct</v></cell><cell r="K1401" t="str"><v>September</v></cell><cell r="L1401"><v>43358</v></cell><cell r="M1401" t="str"><v>Tier 0</v></cell><cell r="N1401" t="str"><v>North America</v></cell><cell r="O1401" t="str"><v>United States</v></cell><cell r="P1401" t="str"><v>Trial</v></cell><cell r="Q1401" t="str"><v>Social</v></cell><cell r="R1401" t="str"><v>Azure</v></cell><cell r="S1401" t="str"><v>Apps & Infra</v></cell><cell r="T1401" t="str"><v>Developers & ITI's</v></cell><cell r="U1401" t="str"><v>USA-Trial-ITD-Lead Completes Lookalike-AZR-AZR</v></cell><cell r="V1401" t="str"><v>Lookalike Targeting</v></cell><cell r="W1401" t="str"><v>Canvas Ad</v></cell><cell r="X1401" t="str"><v>1200x1200</v></cell><cell r="Y1401" t="str"><v>Learn More</v></cell><cell r="Z1401" t="str"><v>Animated Banner</v></cell><cell r="AA1401"><v>43356</v></cell><cell r="AB1401" t="str"><v>USA_gaPMG_AZR_AZR_Q1_19_Direct-Social</v></cell><cell r="AC1401"><v>21358715</v></cell><cell r="AD1401"><v>720197</v></cell><cell r="AE1401" t="str"><v>Linkedin</v></cell><cell r="AF1401"><v>3654329</v></cell><cell r="AG1401" t="str"><v>FACEBOOK»USA-Trial-ITD-Lead Completes Lookalike-AZR-AZR»1 x 1»SocialBan»CAN»ALL»CPA»LAL»X»NA»SS»NA»FreeAcctITProFB-AnimatedMigration-Ch3»PS7DLR</v></cell><cell r="AH1401" t="str"><v>PS7DLR</v></cell><cell r="AI1401" t="str"><v>AZR_FreeAcctITProFB-AnimatedMigration-Ch3_USA_1200x1200_CAN_Direct_EN_Trial_Standard_ANI_LEA_T3_1</v></cell><cell r="AJ1401"><v>104593450</v></cell></row><row r="1402"><cell r="D1402" t="str"><v>43356PRC2FZ</v></cell><cell r="E1402" t="str"><v>43356103180628PRC2FZ</v></cell><cell r="F1402" t="str"><v>Appended from Pub - Not in DCM</v></cell></row><row r="1402"><cell r="I1402" t="str"><v>Azure Direct</v></cell><cell r="J1402" t="str"><v>Azure Direct</v></cell><cell r="K1402" t="str"><v>September</v></cell><cell r="L1402"><v>43358</v></cell><cell r="M1402" t="str"><v>Tier 0</v></cell><cell r="N1402" t="str"><v>North America</v></cell><cell r="O1402" t="str"><v>United States</v></cell><cell r="P1402" t="str"><v>Trial</v></cell><cell r="Q1402" t="str"><v>Social</v></cell><cell r="R1402" t="str"><v>Azure</v></cell><cell r="S1402" t="str"><v>Apps & Infra</v></cell><cell r="T1402" t="str"><v>Developers & ITI's</v></cell><cell r="U1402" t="str"><v>USA-Trial-ITD-Trial PayGo Lookalike-AZR-AZR</v></cell><cell r="V1402" t="str"><v>Lookalike Targeting</v></cell><cell r="W1402" t="str"><v>Canvas Ad</v></cell><cell r="X1402" t="str"><v>10s</v></cell><cell r="Y1402" t="str"><v>Try it Now</v></cell><cell r="Z1402" t="str"><v>Standard videos</v></cell><cell r="AA1402"><v>43356</v></cell><cell r="AB1402" t="str"><v>USA_gaPMG_AZR_AZR_Q1_19_Direct-Social</v></cell><cell r="AC1402"><v>21358715</v></cell><cell r="AD1402"><v>720197</v></cell><cell r="AE1402" t="str"><v>Linkedin</v></cell><cell r="AF1402"><v>3654329</v></cell><cell r="AG1402" t="str"><v>INSTAGRAM»USA-Trial-ITD-Trial PayGo Lookalike-AZR-AZR»1 x 1»SocialBan»CAN»ALL»CPA»LAL»X»NA»SS»NA»IGCTCBenefit2inMotion»PRC2FZ</v></cell><cell r="AH1402" t="str"><v>PRC2FZ</v></cell><cell r="AI1402" t="str"><v>AzurePlatform_IGCTCBrandinMotion_USA_10s_CAN_PLATFORM_English_Trial_Standard_STAN_TIN_T2_1</v></cell><cell r="AJ1402"><v>103180628</v></cell></row><row r="1403"><cell r="D1403" t="str"><v>43356PS7B5R</v></cell><cell r="E1403" t="str"><v>43356104593438PS7B5R</v></cell><cell r="F1403" t="str"><v>Appended from Pub - Not in DCM</v></cell></row><row r="1403"><cell r="I1403" t="str"><v>Azure Direct</v></cell><cell r="J1403" t="str"><v>Azure Direct</v></cell><cell r="K1403" t="str"><v>September</v></cell><cell r="L1403"><v>43358</v></cell><cell r="M1403" t="str"><v>Tier 0</v></cell><cell r="N1403" t="str"><v>North America</v></cell><cell r="O1403" t="str"><v>United States</v></cell><cell r="P1403" t="str"><v>Trial</v></cell><cell r="Q1403" t="str"><v>Social</v></cell><cell r="R1403" t="str"><v>Azure</v></cell><cell r="S1403" t="str"><v>Apps & Infra</v></cell><cell r="T1403" t="str"><v>Developers & ITI's</v></cell><cell r="U1403" t="str"><v>USA-Trial-ITD-Trial PayGo Lookalike-AZR-AZR</v></cell><cell r="V1403" t="str"><v>Lookalike Targeting</v></cell><cell r="W1403" t="str"><v>Canvas Ad</v></cell><cell r="X1403" t="str"><v>1200x1200</v></cell><cell r="Y1403" t="str"><v>Learn More</v></cell><cell r="Z1403" t="str"><v>Animated Banner</v></cell><cell r="AA1403"><v>43356</v></cell><cell r="AB1403" t="str"><v>USA_gaPMG_AZR_AZR_Q1_19_Direct-Social</v></cell><cell r="AC1403"><v>21358715</v></cell><cell r="AD1403"><v>720197</v></cell><cell r="AE1403" t="str"><v>Linkedin</v></cell><cell r="AF1403"><v>3654329</v></cell><cell r="AG1403" t="str"><v>FACEBOOK»USA-Trial-ITD-Trial PayGo Lookalike-AZR-AZR»1 x 1»SocialBan»CAN»ALL»CPA»LAL»X»NA»SS»NA»FreeAcctDeveloperFB-AnimatedOpenSource-Ch2»PS7B5R</v></cell><cell r="AH1403" t="str"><v>PS7B5R</v></cell><cell r="AI1403" t="str"><v>AZR_FreeAcctDeveloperFB-AnimatedOpenSource-Ch2_USA_1200x1200_CAN_Direct_EN_Trial_Standard_ANI_LEA_T2_2</v></cell><cell r="AJ1403"><v>104593438</v></cell></row><row r="1404"><cell r="D1404" t="str"><v>43356PS7B5Q</v></cell><cell r="E1404" t="str"><v>43356104595766PS7B5Q</v></cell><cell r="F1404" t="str"><v>Appended from Pub - Not in DCM</v></cell></row><row r="1404"><cell r="I1404" t="str"><v>Azure Direct</v></cell><cell r="J1404" t="str"><v>Azure Direct</v></cell><cell r="K1404" t="str"><v>September</v></cell><cell r="L1404"><v>43358</v></cell><cell r="M1404" t="str"><v>Tier 0</v></cell><cell r="N1404" t="str"><v>North America</v></cell><cell r="O1404" t="str"><v>United States</v></cell><cell r="P1404" t="str"><v>Trial</v></cell><cell r="Q1404" t="str"><v>Social</v></cell><cell r="R1404" t="str"><v>Azure</v></cell><cell r="S1404" t="str"><v>Apps & Infra</v></cell><cell r="T1404" t="str"><v>Developers & ITI's</v></cell><cell r="U1404" t="str"><v>USA-Trial-ITD-Trial PayGo Lookalike-AZR-AZR</v></cell><cell r="V1404" t="str"><v>Lookalike Targeting</v></cell><cell r="W1404" t="str"><v>Canvas Ad</v></cell><cell r="X1404" t="str"><v>1200x1200</v></cell><cell r="Y1404" t="str"><v>Learn More</v></cell><cell r="Z1404" t="str"><v>Animated Banner</v></cell><cell r="AA1404"><v>43356</v></cell><cell r="AB1404" t="str"><v>USA_gaPMG_AZR_AZR_Q1_19_Direct-Social</v></cell><cell r="AC1404"><v>21358715</v></cell><cell r="AD1404"><v>720197</v></cell><cell r="AE1404" t="str"><v>Linkedin</v></cell><cell r="AF1404"><v>3654329</v></cell><cell r="AG1404" t="str"><v>FACEBOOK»USA-Trial-ITD-Trial PayGo Lookalike-AZR-AZR»1 x 1»SocialBan»CAN»ALL»CPA»LAL»X»NA»SS»NA»FreeAcctDeveloperFB-AnimatedGeneric-Ch1»PS7B5Q</v></cell><cell r="AH1404" t="str"><v>PS7B5Q</v></cell><cell r="AI1404" t="str"><v>AZR_FreeAcctDeveloperFB-AnimatedGeneric-Ch1_USA_1200x1200_CAN_Direct_EN_Trial_Standard_ANI_LEA_T1_1</v></cell><cell r="AJ1404"><v>104595766</v></cell></row><row r="1405"><cell r="D1405" t="str"><v>43356PRC1VV</v></cell><cell r="E1405" t="str"><v>43356103043835PRC1VV</v></cell><cell r="F1405" t="str"><v>Appended from Pub - Not in DCM</v></cell></row><row r="1405"><cell r="I1405" t="str"><v>Azure Direct</v></cell><cell r="J1405" t="str"><v>Azure Direct</v></cell><cell r="K1405" t="str"><v>September</v></cell><cell r="L1405"><v>43358</v></cell><cell r="M1405" t="str"><v>Tier 0</v></cell><cell r="N1405" t="str"><v>North America</v></cell><cell r="O1405" t="str"><v>United States</v></cell><cell r="P1405" t="str"><v>Trial</v></cell><cell r="Q1405" t="str"><v>Social</v></cell><cell r="R1405" t="str"><v>Azure</v></cell><cell r="S1405" t="str"><v>Apps & Infra</v></cell><cell r="T1405" t="str"><v>Developers & ITI's</v></cell><cell r="U1405" t="str"><v>USA-Trial-ITD-Lead Completes-AZR-AZR</v></cell><cell r="V1405" t="str"><v>Prospecting</v></cell><cell r="W1405" t="str"><v>Canvas Ad</v></cell><cell r="X1405" t="str"><v>10s</v></cell><cell r="Y1405" t="str"><v>Try it Now</v></cell><cell r="Z1405" t="str"><v>Standard videos</v></cell><cell r="AA1405"><v>43356</v></cell><cell r="AB1405" t="str"><v>USA_gaPMG_AZR_AZR_Q1_19_Direct-Social</v></cell><cell r="AC1405"><v>21358715</v></cell><cell r="AD1405"><v>720197</v></cell><cell r="AE1405" t="str"><v>Linkedin</v></cell><cell r="AF1405"><v>3654329</v></cell><cell r="AG1405" t="str"><v>FACEBOOK»USA-Trial-ITD-Lead Completes-AZR-AZR»1 x 1»SocialBan»CAN»ALL»CPA»PRO»X»NA»SS»NA»FBCTCBenefit2inMotion»PRC1VV</v></cell><cell r="AH1405" t="str"><v>PRC1VV</v></cell><cell r="AI1405" t="str"><v>AzurePlatform_FBCTCBenefit2inMotion_USA_10s_CAN_PLATFORM_English_Trial_Standard_STAN_TIN_T4_1</v></cell><cell r="AJ1405"><v>103043835</v></cell></row><row r="1406"><cell r="D1406" t="str"><v>43356PRC1W1</v></cell><cell r="E1406" t="str"><v>43356103032778PRC1W1</v></cell><cell r="F1406" t="str"><v>Appended from Pub - Not in DCM</v></cell></row><row r="1406"><cell r="I1406" t="str"><v>Azure Direct</v></cell><cell r="J1406" t="str"><v>Azure Direct</v></cell><cell r="K1406" t="str"><v>September</v></cell><cell r="L1406"><v>43358</v></cell><cell r="M1406" t="str"><v>Tier 0</v></cell><cell r="N1406" t="str"><v>North America</v></cell><cell r="O1406" t="str"><v>United States</v></cell><cell r="P1406" t="str"><v>Trial</v></cell><cell r="Q1406" t="str"><v>Social</v></cell><cell r="R1406" t="str"><v>Azure</v></cell><cell r="S1406" t="str"><v>Apps & Infra</v></cell><cell r="T1406" t="str"><v>Developers & ITI's</v></cell><cell r="U1406" t="str"><v>USA-Trial-ITD-Lead Completes-AZR-AZR</v></cell><cell r="V1406" t="str"><v>Prospecting</v></cell><cell r="W1406" t="str"><v>Link Ad</v></cell><cell r="X1406" t="str"><v>1200x1200</v></cell><cell r="Y1406" t="str"><v>Learn More</v></cell><cell r="Z1406" t="str"><v>Animated Banner</v></cell><cell r="AA1406"><v>43356</v></cell><cell r="AB1406" t="str"><v>USA_gaPMG_AZR_AZR_Q1_19_Direct-Social</v></cell><cell r="AC1406"><v>21358715</v></cell><cell r="AD1406"><v>720197</v></cell><cell r="AE1406" t="str"><v>Linkedin</v></cell><cell r="AF1406"><v>3654329</v></cell><cell r="AG1406" t="str"><v>FACEBOOK»USA-Trial-ITD-Lead Completes-AZR-AZR»1 x 1»SocialBan»LIA»ALL»CPA»PRO»X»NA»SS»NA»FreeAcctDeveloperFB-AnimatedAI-Ch3»PRC1W1</v></cell><cell r="AH1406" t="str"><v>PRC1W1</v></cell><cell r="AI1406" t="str"><v>AZR_FreeAcctDeveloperFB-AnimatedAI-Ch3_USA_1200x1200_CAN_Direct_English_Trial_Standard_ANI_LEA_T3_1</v></cell><cell r="AJ1406"><v>103032778</v></cell></row><row r="1407"><cell r="D1407" t="str"><v>43356PS79TJ</v></cell><cell r="E1407" t="str"><v>43356104595739PS79TJ</v></cell><cell r="F1407" t="str"><v>Appended from Pub - Not in DCM</v></cell></row><row r="1407"><cell r="I1407" t="str"><v>Azure Direct</v></cell><cell r="J1407" t="str"><v>Azure Direct</v></cell><cell r="K1407" t="str"><v>September</v></cell><cell r="L1407"><v>43358</v></cell><cell r="M1407" t="str"><v>Tier 0</v></cell><cell r="N1407" t="str"><v>North America</v></cell><cell r="O1407" t="str"><v>United States</v></cell><cell r="P1407" t="str"><v>Trial</v></cell><cell r="Q1407" t="str"><v>Social</v></cell><cell r="R1407" t="str"><v>Azure</v></cell><cell r="S1407" t="str"><v>Apps & Infra</v></cell><cell r="T1407" t="str"><v>Developers & ITI's</v></cell><cell r="U1407" t="str"><v>USA-Trial-ITD-Retargeting-AZR-AZR</v></cell><cell r="V1407" t="str"><v>Retargeting</v></cell><cell r="W1407" t="str"><v>Canvas Ad</v></cell><cell r="X1407" t="str"><v>1200x1200</v></cell><cell r="Y1407" t="str"><v>Learn More</v></cell><cell r="Z1407" t="str"><v>Animated Banner</v></cell><cell r="AA1407"><v>43356</v></cell><cell r="AB1407" t="str"><v>USA_gaPMG_AZR_AZR_Q1_19_Direct-Social</v></cell><cell r="AC1407"><v>21358715</v></cell><cell r="AD1407"><v>720197</v></cell><cell r="AE1407" t="str"><v>Linkedin</v></cell><cell r="AF1407"><v>3654329</v></cell><cell r="AG1407" t="str"><v>FACEBOOK»USA-Trial-ITD-Retargeting-AZR-AZR»1 x 1»SocialBan»CAN»ALL»CPA»RT»X»NA»SS»NA»FreeAcctDeveloperFB-AnimatedData-Ch4»PS79TJ</v></cell><cell r="AH1407" t="str"><v>PS79TJ</v></cell><cell r="AI1407" t="str"><v>AZR_FreeAcctDeveloperFB-AnimatedData-Ch4_USA_1200x1200_CAN_Direct_EN_Trial_Standard_ANI_LEA_T4_1</v></cell><cell r="AJ1407"><v>104595739</v></cell></row><row r="1408"><cell r="D1408" t="str"><v>43356PS79T7</v></cell><cell r="E1408" t="str"><v>43356104593735PS79T7</v></cell><cell r="F1408" t="str"><v>Appended from Pub - Not in DCM</v></cell></row><row r="1408"><cell r="I1408" t="str"><v>Azure Direct</v></cell><cell r="J1408" t="str"><v>Azure Direct</v></cell><cell r="K1408" t="str"><v>September</v></cell><cell r="L1408"><v>43358</v></cell><cell r="M1408" t="str"><v>Tier 0</v></cell><cell r="N1408" t="str"><v>North America</v></cell><cell r="O1408" t="str"><v>United States</v></cell><cell r="P1408" t="str"><v>Trial</v></cell><cell r="Q1408" t="str"><v>Social</v></cell><cell r="R1408" t="str"><v>Azure</v></cell><cell r="S1408" t="str"><v>Apps & Infra</v></cell><cell r="T1408" t="str"><v>Developers & ITI's</v></cell><cell r="U1408" t="str"><v>USA-Trial-ITD-Retargeting-AZR-AZR</v></cell><cell r="V1408" t="str"><v>Retargeting</v></cell><cell r="W1408" t="str"><v>Canvas Ad</v></cell><cell r="X1408" t="str"><v>1200x1200</v></cell><cell r="Y1408" t="str"><v>Learn More</v></cell><cell r="Z1408" t="str"><v>Animated Banner</v></cell><cell r="AA1408"><v>43356</v></cell><cell r="AB1408" t="str"><v>USA_gaPMG_AZR_AZR_Q1_19_Direct-Social</v></cell><cell r="AC1408"><v>21358715</v></cell><cell r="AD1408"><v>720197</v></cell><cell r="AE1408" t="str"><v>Linkedin</v></cell><cell r="AF1408"><v>3654329</v></cell><cell r="AG1408" t="str"><v>FACEBOOK»USA-Trial-ITD-Retargeting-AZR-AZR»1 x 1»SocialBan»CAN»ALL»CPA»RT»X»NA»SS»NA»FreeAcctDeveloperFB-AnimatedAI-Ch3»PS79T7</v></cell><cell r="AH1408" t="str"><v>PS79T7</v></cell><cell r="AI1408" t="str"><v>AZR_FreeAcctDeveloperFB-AnimatedAI-Ch3_USA_1200x1200_CAN_Direct_EN_Trial_Standard_ANI_LEA_T3_1</v></cell><cell r="AJ1408"><v>104593735</v></cell></row><row r="1409"><cell r="D1409" t="str"><v>43356PS7B53</v></cell><cell r="E1409" t="str"><v>43356PS7B53</v></cell><cell r="F1409" t="str"><v>Appended from Pub - Not in DCM</v></cell></row><row r="1409"><cell r="I1409" t="str"><v>Azure Direct</v></cell><cell r="J1409" t="str"><v>Azure Direct</v></cell><cell r="K1409" t="str"><v>September</v></cell><cell r="L1409"><v>43358</v></cell><cell r="M1409" t="str"><v>Tier 0</v></cell><cell r="N1409" t="str"><v>North America</v></cell><cell r="O1409" t="str"><v>United States</v></cell><cell r="P1409" t="str"><v>Trial</v></cell><cell r="Q1409" t="str"><v>Social</v></cell><cell r="R1409" t="str"><v>Azure</v></cell><cell r="S1409" t="str"><v>Apps & Infra</v></cell><cell r="T1409" t="str"><v>Developers & ITI's</v></cell><cell r="U1409" t="str"><v>USA-Trial-ITD-Trial Lookalike-AZR-AZR</v></cell><cell r="V1409" t="str"><v>Lookalike Targeting</v></cell><cell r="W1409" t="str"><v>Canvas Ad</v></cell></row><row r="1409"><cell r="AA1409"><v>43356</v></cell><cell r="AB1409" t="str"><v>USA_gaPMG_AZR_AZR_Q1_19_Direct-Social</v></cell><cell r="AC1409"><v>21358715</v></cell><cell r="AD1409"><v>720197</v></cell><cell r="AE1409" t="str"><v>Linkedin</v></cell><cell r="AF1409"><v>3654329</v></cell><cell r="AG1409" t="str"><v>FACEBOOK»USA-Trial-ITD-Trial Lookalike-AZR-AZR»1 x 1»SocialBan»CAN»ALL»CPA»LAL»X»NA»SS»NA»FreeAcctITProFB-AnimatedSecureMngd-Ch1»PS7B53</v></cell><cell r="AH1409" t="str"><v>PS7B53</v></cell></row><row r="1410"><cell r="D1410" t="str"><v>43356PS7B54</v></cell><cell r="E1410" t="str"><v>43356104592535PS7B54</v></cell><cell r="F1410" t="str"><v>Appended from Pub - Not in DCM</v></cell></row><row r="1410"><cell r="I1410" t="str"><v>Azure Direct</v></cell><cell r="J1410" t="str"><v>Azure Direct</v></cell><cell r="K1410" t="str"><v>September</v></cell><cell r="L1410"><v>43358</v></cell><cell r="M1410" t="str"><v>Tier 0</v></cell><cell r="N1410" t="str"><v>North America</v></cell><cell r="O1410" t="str"><v>United States</v></cell><cell r="P1410" t="str"><v>Trial</v></cell><cell r="Q1410" t="str"><v>Social</v></cell><cell r="R1410" t="str"><v>Azure</v></cell><cell r="S1410" t="str"><v>Apps & Infra</v></cell><cell r="T1410" t="str"><v>Developers & ITI's</v></cell><cell r="U1410" t="str"><v>USA-Trial-ITD-Trial Lookalike-AZR-AZR</v></cell><cell r="V1410" t="str"><v>Lookalike Targeting</v></cell><cell r="W1410" t="str"><v>Canvas Ad</v></cell><cell r="X1410" t="str"><v>1200x1200</v></cell><cell r="Y1410" t="str"><v>Learn More</v></cell><cell r="Z1410" t="str"><v>Animated Banner</v></cell><cell r="AA1410"><v>43356</v></cell><cell r="AB1410" t="str"><v>USA_gaPMG_AZR_AZR_Q1_19_Direct-Social</v></cell><cell r="AC1410"><v>21358715</v></cell><cell r="AD1410"><v>720197</v></cell><cell r="AE1410" t="str"><v>Linkedin</v></cell><cell r="AF1410"><v>3654329</v></cell><cell r="AG1410" t="str"><v>FACEBOOK»USA-Trial-ITD-Trial Lookalike-AZR-AZR»1 x 1»SocialBan»CAN»ALL»CPA»LAL»X»NA»SS»NA»FreeAcctITProFB-AnimatedHybrid-Ch2»PS7B54</v></cell><cell r="AH1410" t="str"><v>PS7B54</v></cell><cell r="AI1410" t="str"><v>AZR_FreeAcctITProFB-AnimatedHybrid-Ch2_USA_1200x1200_CAN_Direct_EN_Trial_Standard_ANI_LEA_T2_1</v></cell><cell r="AJ1410"><v>104592535</v></cell></row><row r="1411"><cell r="D1411" t="str"><v>43356PS7B4Z</v></cell><cell r="E1411" t="str"><v>43356104593438PS7B4Z</v></cell><cell r="F1411" t="str"><v>Appended from Pub - Not in DCM</v></cell></row><row r="1411"><cell r="I1411" t="str"><v>Azure Direct</v></cell><cell r="J1411" t="str"><v>Azure Direct</v></cell><cell r="K1411" t="str"><v>September</v></cell><cell r="L1411"><v>43358</v></cell><cell r="M1411" t="str"><v>Tier 0</v></cell><cell r="N1411" t="str"><v>North America</v></cell><cell r="O1411" t="str"><v>United States</v></cell><cell r="P1411" t="str"><v>Trial</v></cell><cell r="Q1411" t="str"><v>Social</v></cell><cell r="R1411" t="str"><v>Azure</v></cell><cell r="S1411" t="str"><v>Apps & Infra</v></cell><cell r="T1411" t="str"><v>Developers & ITI's</v></cell><cell r="U1411" t="str"><v>USA-Trial-ITD-Trial Lookalike-AZR-AZR</v></cell><cell r="V1411" t="str"><v>Lookalike Targeting</v></cell><cell r="W1411" t="str"><v>Canvas Ad</v></cell><cell r="X1411" t="str"><v>1200x1200</v></cell><cell r="Y1411" t="str"><v>Learn More</v></cell><cell r="Z1411" t="str"><v>Animated Banner</v></cell><cell r="AA1411"><v>43356</v></cell><cell r="AB1411" t="str"><v>USA_gaPMG_AZR_AZR_Q1_19_Direct-Social</v></cell><cell r="AC1411"><v>21358715</v></cell><cell r="AD1411"><v>720197</v></cell><cell r="AE1411" t="str"><v>Linkedin</v></cell><cell r="AF1411"><v>3654329</v></cell><cell r="AG1411" t="str"><v>FACEBOOK»USA-Trial-ITD-Trial Lookalike-AZR-AZR»1 x 1»SocialBan»CAN»ALL»CPA»LAL»X»NA»SS»NA»FreeAcctDeveloperFB-AnimatedOpenSource-Ch2»PS7B4Z</v></cell><cell r="AH1411" t="str"><v>PS7B4Z</v></cell><cell r="AI1411" t="str"><v>AZR_FreeAcctDeveloperFB-AnimatedOpenSource-Ch2_USA_1200x1200_CAN_Direct_EN_Trial_Standard_ANI_LEA_T2_2</v></cell><cell r="AJ1411"><v>104593438</v></cell></row><row r="1412"><cell r="D1412" t="str"><v>43356PS79TM</v></cell><cell r="E1412" t="str"><v>43356104593450PS79TM</v></cell><cell r="F1412" t="str"><v>Appended from Pub - Not in DCM</v></cell></row><row r="1412"><cell r="I1412" t="str"><v>Azure Direct</v></cell><cell r="J1412" t="str"><v>Azure Direct</v></cell><cell r="K1412" t="str"><v>September</v></cell><cell r="L1412"><v>43358</v></cell><cell r="M1412" t="str"><v>Tier 0</v></cell><cell r="N1412" t="str"><v>North America</v></cell><cell r="O1412" t="str"><v>United States</v></cell><cell r="P1412" t="str"><v>Trial</v></cell><cell r="Q1412" t="str"><v>Social</v></cell><cell r="R1412" t="str"><v>Azure</v></cell><cell r="S1412" t="str"><v>Apps & Infra</v></cell><cell r="T1412" t="str"><v>Developers & ITI's</v></cell><cell r="U1412" t="str"><v>USA-Trial-ITD-Retargeting-AZR-AZR</v></cell><cell r="V1412" t="str"><v>Retargeting</v></cell><cell r="W1412" t="str"><v>Canvas Ad</v></cell><cell r="X1412" t="str"><v>1200x1200</v></cell><cell r="Y1412" t="str"><v>Learn More</v></cell><cell r="Z1412" t="str"><v>Animated Banner</v></cell><cell r="AA1412"><v>43356</v></cell><cell r="AB1412" t="str"><v>USA_gaPMG_AZR_AZR_Q1_19_Direct-Social</v></cell><cell r="AC1412"><v>21358715</v></cell><cell r="AD1412"><v>720197</v></cell><cell r="AE1412" t="str"><v>Linkedin</v></cell><cell r="AF1412"><v>3654329</v></cell><cell r="AG1412" t="str"><v>FACEBOOK»USA-Trial-ITD-Retargeting-AZR-AZR»1 x 1»SocialBan»CAN»ALL»CPA»RT»X»NA»SS»NA»FreeAcctITProFB-AnimatedMigration-Ch3»PS79TM</v></cell><cell r="AH1412" t="str"><v>PS79TM</v></cell><cell r="AI1412" t="str"><v>AZR_FreeAcctITProFB-AnimatedMigration-Ch3_USA_1200x1200_CAN_Direct_EN_Trial_Standard_ANI_LEA_T3_1</v></cell><cell r="AJ1412"><v>104593450</v></cell></row><row r="1413"><cell r="D1413" t="str"><v>43356PS79T5</v></cell><cell r="E1413" t="str"><v>43356104592523PS79T5</v></cell><cell r="F1413" t="str"><v>Appended from Pub - Not in DCM</v></cell></row><row r="1413"><cell r="I1413" t="str"><v>Azure Direct</v></cell><cell r="J1413" t="str"><v>Azure Direct</v></cell><cell r="K1413" t="str"><v>September</v></cell><cell r="L1413"><v>43358</v></cell><cell r="M1413" t="str"><v>Tier 0</v></cell><cell r="N1413" t="str"><v>North America</v></cell><cell r="O1413" t="str"><v>United States</v></cell><cell r="P1413" t="str"><v>Trial</v></cell><cell r="Q1413" t="str"><v>Social</v></cell><cell r="R1413" t="str"><v>Azure</v></cell><cell r="S1413" t="str"><v>Apps & Infra</v></cell><cell r="T1413" t="str"><v>Developers & ITI's</v></cell><cell r="U1413" t="str"><v>USA-Trial-ITD-Retargeting-AZR-AZR</v></cell><cell r="V1413" t="str"><v>Retargeting</v></cell><cell r="W1413" t="str"><v>Canvas Ad</v></cell><cell r="X1413" t="str"><v>1200x1200</v></cell><cell r="Y1413" t="str"><v>Learn More</v></cell><cell r="Z1413" t="str"><v>Animated Banner</v></cell><cell r="AA1413"><v>43356</v></cell><cell r="AB1413" t="str"><v>USA_gaPMG_AZR_AZR_Q1_19_Direct-Social</v></cell><cell r="AC1413"><v>21358715</v></cell><cell r="AD1413"><v>720197</v></cell><cell r="AE1413" t="str"><v>Linkedin</v></cell><cell r="AF1413"><v>3654329</v></cell><cell r="AG1413" t="str"><v>FACEBOOK»USA-Trial-ITD-Retargeting-AZR-AZR»1 x 1»SocialBan»CAN»ALL»CPA»RT»X»NA»SS»NA»FreeAcctDeveloperFB-AnimatedGeneric-Ch1»PS79T5</v></cell><cell r="AH1413" t="str"><v>PS79T5</v></cell><cell r="AI1413" t="str"><v>AZR_FreeAcctDeveloperFB-AnimatedGeneric-Ch1_USA_1200x1200_CAN_Direct_EN_Trial_Standard_ANI_LEA_T1_2</v></cell><cell r="AJ1413"><v>104592523</v></cell></row><row r="1414"><cell r="D1414" t="str"><v>43356PS79T6</v></cell><cell r="E1414" t="str"><v>43356104671427PS79T6</v></cell><cell r="F1414" t="str"><v>Appended from Pub - Not in DCM</v></cell></row><row r="1414"><cell r="I1414" t="str"><v>Azure Direct</v></cell><cell r="J1414" t="str"><v>Azure Direct</v></cell><cell r="K1414" t="str"><v>September</v></cell><cell r="L1414"><v>43358</v></cell><cell r="M1414" t="str"><v>Tier 0</v></cell><cell r="N1414" t="str"><v>North America</v></cell><cell r="O1414" t="str"><v>United States</v></cell><cell r="P1414" t="str"><v>Trial</v></cell><cell r="Q1414" t="str"><v>Social</v></cell><cell r="R1414" t="str"><v>Azure</v></cell><cell r="S1414" t="str"><v>Apps & Infra</v></cell><cell r="T1414" t="str"><v>Developers & ITI's</v></cell><cell r="U1414" t="str"><v>USA-Trial-ITD-Retargeting-AZR-AZR</v></cell><cell r="V1414" t="str"><v>Retargeting</v></cell><cell r="W1414" t="str"><v>Canvas Ad</v></cell><cell r="X1414" t="str"><v>1200x1200</v></cell><cell r="Y1414" t="str"><v>Learn More</v></cell><cell r="Z1414" t="str"><v>Animated Banner</v></cell><cell r="AA1414"><v>43356</v></cell><cell r="AB1414" t="str"><v>USA_gaPMG_AZR_AZR_Q1_19_Direct-Social</v></cell><cell r="AC1414"><v>21358715</v></cell><cell r="AD1414"><v>720197</v></cell><cell r="AE1414" t="str"><v>Linkedin</v></cell><cell r="AF1414"><v>3654329</v></cell><cell r="AG1414" t="str"><v>FACEBOOK»USA-Trial-ITD-Retargeting-AZR-AZR»1 x 1»SocialBan»CAN»ALL»CPA»RT»X»NA»SS»NA»FreeAcctDeveloperFB-AnimatedOpenSource-Ch2»PS79T6</v></cell><cell r="AH1414" t="str"><v>PS79T6</v></cell><cell r="AI1414" t="str"><v>AZR_FreeAcctDeveloperFB-AnimatedOpenSource-Ch2_USA_1200x1200_CAN_Direct_EN_Trial_Standard_ANI_LEA_T2_1</v></cell><cell r="AJ1414"><v>104671427</v></cell></row><row r="1415"><cell r="D1415" t="str"><v>43356PS7B4Y</v></cell><cell r="E1415" t="str"><v>43356104592523PS7B4Y</v></cell><cell r="F1415" t="str"><v>Appended from Pub - Not in DCM</v></cell></row><row r="1415"><cell r="I1415" t="str"><v>Azure Direct</v></cell><cell r="J1415" t="str"><v>Azure Direct</v></cell><cell r="K1415" t="str"><v>September</v></cell><cell r="L1415"><v>43358</v></cell><cell r="M1415" t="str"><v>Tier 0</v></cell><cell r="N1415" t="str"><v>North America</v></cell><cell r="O1415" t="str"><v>United States</v></cell><cell r="P1415" t="str"><v>Trial</v></cell><cell r="Q1415" t="str"><v>Social</v></cell><cell r="R1415" t="str"><v>Azure</v></cell><cell r="S1415" t="str"><v>Apps & Infra</v></cell><cell r="T1415" t="str"><v>Developers & ITI's</v></cell><cell r="U1415" t="str"><v>USA-Trial-ITD-Trial Lookalike-AZR-AZR</v></cell><cell r="V1415" t="str"><v>Lookalike Targeting</v></cell><cell r="W1415" t="str"><v>Canvas Ad</v></cell><cell r="X1415" t="str"><v>1200x1200</v></cell><cell r="Y1415" t="str"><v>Learn More</v></cell><cell r="Z1415" t="str"><v>Animated Banner</v></cell><cell r="AA1415"><v>43356</v></cell><cell r="AB1415" t="str"><v>USA_gaPMG_AZR_AZR_Q1_19_Direct-Social</v></cell><cell r="AC1415"><v>21358715</v></cell><cell r="AD1415"><v>720197</v></cell><cell r="AE1415" t="str"><v>Linkedin</v></cell><cell r="AF1415"><v>3654329</v></cell><cell r="AG1415" t="str"><v>FACEBOOK»USA-Trial-ITD-Trial Lookalike-AZR-AZR»1 x 1»SocialBan»CAN»ALL»CPA»LAL»X»NA»SS»NA»FreeAcctDeveloperFB-AnimatedGeneric-Ch1»PS7B4Y</v></cell><cell r="AH1415" t="str"><v>PS7B4Y</v></cell><cell r="AI1415" t="str"><v>AZR_FreeAcctDeveloperFB-AnimatedGeneric-Ch1_USA_1200x1200_CAN_Direct_EN_Trial_Standard_ANI_LEA_T1_2</v></cell><cell r="AJ1415"><v>104592523</v></cell></row><row r="1416"><cell r="D1416" t="str"><v>43356PS7B4W</v></cell><cell r="E1416" t="str"><v>43356104592523PS7B4W</v></cell><cell r="F1416" t="str"><v>Appended from Pub - Not in DCM</v></cell></row><row r="1416"><cell r="I1416" t="str"><v>Azure Direct</v></cell><cell r="J1416" t="str"><v>Azure Direct</v></cell><cell r="K1416" t="str"><v>September</v></cell><cell r="L1416"><v>43358</v></cell><cell r="M1416" t="str"><v>Tier 0</v></cell><cell r="N1416" t="str"><v>North America</v></cell><cell r="O1416" t="str"><v>United States</v></cell><cell r="P1416" t="str"><v>Trial</v></cell><cell r="Q1416" t="str"><v>Social</v></cell><cell r="R1416" t="str"><v>Azure</v></cell><cell r="S1416" t="str"><v>Apps & Infra</v></cell><cell r="T1416" t="str"><v>Developers & ITI's</v></cell><cell r="U1416" t="str"><v>USA-Trial-ITD-Trial Lookalike-AZR-AZR</v></cell><cell r="V1416" t="str"><v>Lookalike Targeting</v></cell><cell r="W1416" t="str"><v>Canvas Ad</v></cell><cell r="X1416" t="str"><v>1200x1200</v></cell><cell r="Y1416" t="str"><v>Learn More</v></cell><cell r="Z1416" t="str"><v>Animated Banner</v></cell><cell r="AA1416"><v>43356</v></cell><cell r="AB1416" t="str"><v>USA_gaPMG_AZR_AZR_Q1_19_Direct-Social</v></cell><cell r="AC1416"><v>21358715</v></cell><cell r="AD1416"><v>720197</v></cell><cell r="AE1416" t="str"><v>Linkedin</v></cell><cell r="AF1416"><v>3654329</v></cell><cell r="AG1416" t="str"><v>FACEBOOK»USA-Trial-ITD-Trial Lookalike-AZR-AZR»1 x 1»SocialBan»CAN»ALL»CPA»LAL»X»NA»SS»NA»FreeAcctDeveloperFB-AnimatedGeneric-Ch1»PS7B4W</v></cell><cell r="AH1416" t="str"><v>PS7B4W</v></cell><cell r="AI1416" t="str"><v>AZR_FreeAcctDeveloperFB-AnimatedGeneric-Ch1_USA_1200x1200_CAN_Direct_EN_Trial_Standard_ANI_LEA_T1_2</v></cell><cell r="AJ1416"><v>104592523</v></cell></row><row r="1417"><cell r="D1417" t="str"><v>43356PS7B50</v></cell><cell r="E1417" t="str"><v>43356104593735PS7B50</v></cell><cell r="F1417" t="str"><v>Appended from Pub - Not in DCM</v></cell></row><row r="1417"><cell r="I1417" t="str"><v>Azure Direct</v></cell><cell r="J1417" t="str"><v>Azure Direct</v></cell><cell r="K1417" t="str"><v>September</v></cell><cell r="L1417"><v>43358</v></cell><cell r="M1417" t="str"><v>Tier 0</v></cell><cell r="N1417" t="str"><v>North America</v></cell><cell r="O1417" t="str"><v>United States</v></cell><cell r="P1417" t="str"><v>Trial</v></cell><cell r="Q1417" t="str"><v>Social</v></cell><cell r="R1417" t="str"><v>Azure</v></cell><cell r="S1417" t="str"><v>Apps & Infra</v></cell><cell r="T1417" t="str"><v>Developers & ITI's</v></cell><cell r="U1417" t="str"><v>USA-Trial-ITD-Trial Lookalike-AZR-AZR</v></cell><cell r="V1417" t="str"><v>Lookalike Targeting</v></cell><cell r="W1417" t="str"><v>Canvas Ad</v></cell><cell r="X1417" t="str"><v>1200x1200</v></cell><cell r="Y1417" t="str"><v>Learn More</v></cell><cell r="Z1417" t="str"><v>Animated Banner</v></cell><cell r="AA1417"><v>43356</v></cell><cell r="AB1417" t="str"><v>USA_gaPMG_AZR_AZR_Q1_19_Direct-Social</v></cell><cell r="AC1417"><v>21358715</v></cell><cell r="AD1417"><v>720197</v></cell><cell r="AE1417" t="str"><v>Linkedin</v></cell><cell r="AF1417"><v>3654329</v></cell><cell r="AG1417" t="str"><v>FACEBOOK»USA-Trial-ITD-Trial Lookalike-AZR-AZR»1 x 1»SocialBan»CAN»ALL»CPA»LAL»X»NA»SS»NA»FreeAcctDeveloperFB-AnimatedAI-Ch3»PS7B50</v></cell><cell r="AH1417" t="str"><v>PS7B50</v></cell><cell r="AI1417" t="str"><v>AZR_FreeAcctDeveloperFB-AnimatedAI-Ch3_USA_1200x1200_CAN_Direct_EN_Trial_Standard_ANI_LEA_T3_1</v></cell><cell r="AJ1417"><v>104593735</v></cell></row><row r="1418"><cell r="D1418" t="str"><v>43356PS7B52</v></cell><cell r="E1418" t="str"><v>43356104595739PS7B52</v></cell><cell r="F1418" t="str"><v>Appended from Pub - Not in DCM</v></cell></row><row r="1418"><cell r="I1418" t="str"><v>Azure Direct</v></cell><cell r="J1418" t="str"><v>Azure Direct</v></cell><cell r="K1418" t="str"><v>September</v></cell><cell r="L1418"><v>43358</v></cell><cell r="M1418" t="str"><v>Tier 0</v></cell><cell r="N1418" t="str"><v>North America</v></cell><cell r="O1418" t="str"><v>United States</v></cell><cell r="P1418" t="str"><v>Trial</v></cell><cell r="Q1418" t="str"><v>Social</v></cell><cell r="R1418" t="str"><v>Azure</v></cell><cell r="S1418" t="str"><v>Apps & Infra</v></cell><cell r="T1418" t="str"><v>Developers & ITI's</v></cell><cell r="U1418" t="str"><v>USA-Trial-ITD-Trial Lookalike-AZR-AZR</v></cell><cell r="V1418" t="str"><v>Lookalike Targeting</v></cell><cell r="W1418" t="str"><v>Canvas Ad</v></cell><cell r="X1418" t="str"><v>1200x1200</v></cell><cell r="Y1418" t="str"><v>Learn More</v></cell><cell r="Z1418" t="str"><v>Animated Banner</v></cell><cell r="AA1418"><v>43356</v></cell><cell r="AB1418" t="str"><v>USA_gaPMG_AZR_AZR_Q1_19_Direct-Social</v></cell><cell r="AC1418"><v>21358715</v></cell><cell r="AD1418"><v>720197</v></cell><cell r="AE1418" t="str"><v>Linkedin</v></cell><cell r="AF1418"><v>3654329</v></cell><cell r="AG1418" t="str"><v>FACEBOOK»USA-Trial-ITD-Trial Lookalike-AZR-AZR»1 x 1»SocialBan»CAN»ALL»CPA»LAL»X»NA»SS»NA»FreeAcctDeveloperFB-AnimatedData-Ch4»PS7B52</v></cell><cell r="AH1418" t="str"><v>PS7B52</v></cell><cell r="AI1418" t="str"><v>AZR_FreeAcctDeveloperFB-AnimatedData-Ch4_USA_1200x1200_CAN_Direct_EN_Trial_Standard_ANI_LEA_T4_1</v></cell><cell r="AJ1418"><v>104595739</v></cell></row><row r="1419"><cell r="D1419" t="str"><v>43356PRC1W0</v></cell><cell r="E1419" t="str"><v>43356103048329PRC1W0</v></cell><cell r="F1419" t="str"><v>Appended from Pub - Not in DCM</v></cell></row><row r="1419"><cell r="I1419" t="str"><v>Azure Direct</v></cell><cell r="J1419" t="str"><v>Azure Direct</v></cell><cell r="K1419" t="str"><v>September</v></cell><cell r="L1419"><v>43358</v></cell><cell r="M1419" t="str"><v>Tier 0</v></cell><cell r="N1419" t="str"><v>North America</v></cell><cell r="O1419" t="str"><v>United States</v></cell><cell r="P1419" t="str"><v>Trial</v></cell><cell r="Q1419" t="str"><v>Social</v></cell><cell r="R1419" t="str"><v>Azure</v></cell><cell r="S1419" t="str"><v>Apps & Infra</v></cell><cell r="T1419" t="str"><v>Developers & ITI's</v></cell><cell r="U1419" t="str"><v>USA-Trial-ITD-Lead Completes-AZR-AZR</v></cell><cell r="V1419" t="str"><v>Prospecting</v></cell><cell r="W1419" t="str"><v>Link Ad</v></cell><cell r="X1419" t="str"><v>1200x1200</v></cell><cell r="Y1419" t="str"><v>Learn More</v></cell><cell r="Z1419" t="str"><v>Animated Banner</v></cell><cell r="AA1419"><v>43356</v></cell><cell r="AB1419" t="str"><v>USA_gaPMG_AZR_AZR_Q1_19_Direct-Social</v></cell><cell r="AC1419"><v>21358715</v></cell><cell r="AD1419"><v>720197</v></cell><cell r="AE1419" t="str"><v>Linkedin</v></cell><cell r="AF1419"><v>3654329</v></cell><cell r="AG1419" t="str"><v>FACEBOOK»USA-Trial-ITD-Lead Completes-AZR-AZR»1 x 1»SocialBan»LIA»ALL»CPA»PRO»X»NA»SS»NA»FreeAcctDeveloperFB-AnimatedOpenSource-Ch2»PRC1W0</v></cell><cell r="AH1419" t="str"><v>PRC1W0</v></cell><cell r="AI1419" t="str"><v>AZR_FreeAcctDeveloperFB-AnimatedOpenSource-Ch2_USA_1200x1200_CAN_Direct_English_Trial_Standard_ANI_LEA_T2_1</v></cell><cell r="AJ1419"><v>103048329</v></cell></row><row r="1420"><cell r="D1420" t="str"><v>43356PRC2PD</v></cell><cell r="E1420" t="str"><v>43356103180628PRC2PD</v></cell><cell r="F1420" t="str"><v>Appended from Pub - Not in DCM</v></cell></row><row r="1420"><cell r="I1420" t="str"><v>Azure Direct</v></cell><cell r="J1420" t="str"><v>Azure Direct</v></cell><cell r="K1420" t="str"><v>September</v></cell><cell r="L1420"><v>43358</v></cell><cell r="M1420" t="str"><v>Tier 0</v></cell><cell r="N1420" t="str"><v>North America</v></cell><cell r="O1420" t="str"><v>United States</v></cell><cell r="P1420" t="str"><v>Trial</v></cell><cell r="Q1420" t="str"><v>Social</v></cell><cell r="R1420" t="str"><v>Azure</v></cell><cell r="S1420" t="str"><v>Apps & Infra</v></cell><cell r="T1420" t="str"><v>Developers & ITI's</v></cell><cell r="U1420" t="str"><v>USA-Trial-ITD-Interest Prospecting-AZR-AZR</v></cell><cell r="V1420" t="str"><v>Prospecting</v></cell><cell r="W1420" t="str"><v>Canvas Ad</v></cell><cell r="X1420" t="str"><v>10s</v></cell><cell r="Y1420" t="str"><v>Try it Now</v></cell><cell r="Z1420" t="str"><v>Standard videos</v></cell><cell r="AA1420"><v>43356</v></cell><cell r="AB1420" t="str"><v>USA_gaPMG_AZR_AZR_Q1_19_Direct-Social</v></cell><cell r="AC1420"><v>21358715</v></cell><cell r="AD1420"><v>720197</v></cell><cell r="AE1420" t="str"><v>Linkedin</v></cell><cell r="AF1420"><v>3654329</v></cell><cell r="AG1420" t="str"><v>INSTAGRAM»USA-Trial-ITD-Interest Prospecting-AZR-AZR»1 x 1»SocialBan»CAN»ALL»CPA»PRO»X»NA»SS»NA»IGCTCBenefit2inMotion»PRC2PD</v></cell><cell r="AH1420" t="str"><v>PRC2PD</v></cell><cell r="AI1420" t="str"><v>AzurePlatform_IGCTCBrandinMotion_USA_10s_CAN_PLATFORM_English_Trial_Standard_STAN_TIN_T2_1</v></cell><cell r="AJ1420"><v>103180628</v></cell></row><row r="1421"><cell r="D1421" t="str"><v>43356PS7B5S</v></cell><cell r="E1421" t="str"><v>43356104593735PS7B5S</v></cell><cell r="F1421" t="str"><v>Appended from Pub - Not in DCM</v></cell></row><row r="1421"><cell r="I1421" t="str"><v>Azure Direct</v></cell><cell r="J1421" t="str"><v>Azure Direct</v></cell><cell r="K1421" t="str"><v>September</v></cell><cell r="L1421"><v>43358</v></cell><cell r="M1421" t="str"><v>Tier 0</v></cell><cell r="N1421" t="str"><v>North America</v></cell><cell r="O1421" t="str"><v>United States</v></cell><cell r="P1421" t="str"><v>Trial</v></cell><cell r="Q1421" t="str"><v>Social</v></cell><cell r="R1421" t="str"><v>Azure</v></cell><cell r="S1421" t="str"><v>Apps & Infra</v></cell><cell r="T1421" t="str"><v>Developers & ITI's</v></cell><cell r="U1421" t="str"><v>USA-Trial-ITD-Trial PayGo Lookalike-AZR-AZR</v></cell><cell r="V1421" t="str"><v>Lookalike Targeting</v></cell><cell r="W1421" t="str"><v>Canvas Ad</v></cell><cell r="X1421" t="str"><v>1200x1200</v></cell><cell r="Y1421" t="str"><v>Learn More</v></cell><cell r="Z1421" t="str"><v>Animated Banner</v></cell><cell r="AA1421"><v>43356</v></cell><cell r="AB1421" t="str"><v>USA_gaPMG_AZR_AZR_Q1_19_Direct-Social</v></cell><cell r="AC1421"><v>21358715</v></cell><cell r="AD1421"><v>720197</v></cell><cell r="AE1421" t="str"><v>Linkedin</v></cell><cell r="AF1421"><v>3654329</v></cell><cell r="AG1421" t="str"><v>FACEBOOK»USA-Trial-ITD-Trial PayGo Lookalike-AZR-AZR»1 x 1»SocialBan»CAN»ALL»CPA»LAL»X»NA»SS»NA»FreeAcctDeveloperFB-AnimatedAI-Ch3»PS7B5S</v></cell><cell r="AH1421" t="str"><v>PS7B5S</v></cell><cell r="AI1421" t="str"><v>AZR_FreeAcctDeveloperFB-AnimatedAI-Ch3_USA_1200x1200_CAN_Direct_EN_Trial_Standard_ANI_LEA_T3_1</v></cell><cell r="AJ1421"><v>104593735</v></cell></row><row r="1422"><cell r="D1422" t="str"><v>43356PRSGY7</v></cell><cell r="E1422" t="str"><v>43356103773177PRSGY7</v></cell><cell r="F1422" t="str"><v>Appended from Pub - Not in DCM</v></cell></row><row r="1422"><cell r="I1422" t="str"><v>Azure Direct</v></cell><cell r="J1422" t="str"><v>Azure Direct</v></cell><cell r="K1422" t="str"><v>September</v></cell><cell r="L1422"><v>43358</v></cell><cell r="M1422" t="str"><v>Tier 0</v></cell><cell r="N1422" t="str"><v>North America</v></cell><cell r="O1422" t="str"><v>United States</v></cell><cell r="P1422" t="str"><v>Trial</v></cell><cell r="Q1422" t="str"><v>Social</v></cell><cell r="R1422" t="str"><v>Azure</v></cell><cell r="S1422" t="str"><v>Apps & Infra</v></cell><cell r="T1422" t="str"><v>Developers & ITI's</v></cell><cell r="U1422" t="str"><v>USA-Trial-ITD-Retargeting-AZR-AZR</v></cell><cell r="V1422" t="str"><v>Retargeting</v></cell><cell r="W1422" t="str"><v>Canvas Collection Ad</v></cell><cell r="X1422" t="str"><v>1200x182</v></cell><cell r="Y1422" t="str"><v>Try it Now</v></cell><cell r="Z1422" t="str"><v>Not Applicable</v></cell><cell r="AA1422"><v>43356</v></cell><cell r="AB1422" t="str"><v>USA_gaPMG_AZR_AZR_Q1_19_Direct-Social</v></cell><cell r="AC1422"><v>21358715</v></cell><cell r="AD1422"><v>720197</v></cell><cell r="AE1422" t="str"><v>Linkedin</v></cell><cell r="AF1422"><v>3654329</v></cell><cell r="AG1422" t="str"><v>FACEBOOK»USA-Trial-ITD-Retargeting-AZR-AZR»1 x 1»SocialBan»CCA»ALL»CPA»RT»X»NA»SS»NA»Azure Developer Facebook Collections»PRSGY7</v></cell><cell r="AH1422" t="str"><v>PRSGY7</v></cell><cell r="AI1422" t="str"><v>AZR_FBCollections-AITryAzureFreeCTA-Img2_USA_1200x182_SOC_Plat_EN_NA_Standard_NA_TIN_T1_2</v></cell><cell r="AJ1422"><v>103773177</v></cell></row><row r="1423"><cell r="D1423" t="str"><v>43356PS79JV</v></cell><cell r="E1423" t="str"><v>43356PS79JV</v></cell><cell r="F1423" t="str"><v>Appended from Pub - Not in DCM</v></cell></row><row r="1423"><cell r="I1423" t="str"><v>Azure Direct</v></cell><cell r="J1423" t="str"><v>Azure Direct</v></cell><cell r="K1423" t="str"><v>September</v></cell><cell r="L1423"><v>43358</v></cell><cell r="M1423" t="str"><v>Tier 0</v></cell><cell r="N1423" t="str"><v>North America</v></cell><cell r="O1423" t="str"><v>United States</v></cell><cell r="P1423" t="str"><v>Trial</v></cell><cell r="Q1423" t="str"><v>Social</v></cell><cell r="R1423" t="str"><v>Azure</v></cell><cell r="S1423" t="str"><v>Apps & Infra</v></cell><cell r="T1423" t="str"><v>Developers & ITI's</v></cell><cell r="U1423" t="str"><v>USA-Trial-ITD-Lead Completes-AZR-AZR</v></cell><cell r="V1423" t="str"><v>Prospecting</v></cell><cell r="W1423" t="str"><v>Canvas Ad</v></cell></row><row r="1423"><cell r="AA1423"><v>43356</v></cell><cell r="AB1423" t="str"><v>USA_gaPMG_AZR_AZR_Q1_19_Direct-Social</v></cell><cell r="AC1423"><v>21358715</v></cell><cell r="AD1423"><v>720197</v></cell><cell r="AE1423" t="str"><v>Linkedin</v></cell><cell r="AF1423"><v>3654329</v></cell><cell r="AG1423" t="str"><v>FACEBOOK»USA-Trial-ITD-Lead Completes-AZR-AZR»1 x 1»SocialBan»CAN»ALL»CPA»PRO»X»NA»SS»NA»FreeAcctDeveloperFB-AnimatedOpenSource-Ch2»PS79JV</v></cell><cell r="AH1423" t="str"><v>PS79JV</v></cell></row><row r="1424"><cell r="D1424" t="str"><v>43356PS79G3</v></cell><cell r="E1424" t="str"><v>43356104595745PS79G3</v></cell><cell r="F1424" t="str"><v>Appended from Pub - Not in DCM</v></cell></row><row r="1424"><cell r="I1424" t="str"><v>Azure Direct</v></cell><cell r="J1424" t="str"><v>Azure Direct</v></cell><cell r="K1424" t="str"><v>September</v></cell><cell r="L1424"><v>43358</v></cell><cell r="M1424" t="str"><v>Tier 0</v></cell><cell r="N1424" t="str"><v>North America</v></cell><cell r="O1424" t="str"><v>United States</v></cell><cell r="P1424" t="str"><v>Trial</v></cell><cell r="Q1424" t="str"><v>Social</v></cell><cell r="R1424" t="str"><v>Azure</v></cell><cell r="S1424" t="str"><v>Apps & Infra</v></cell><cell r="T1424" t="str"><v>Developers & ITI's</v></cell><cell r="U1424" t="str"><v>USA-Trial-ITD-Lead Completes Lookalike-AZR-AZR</v></cell><cell r="V1424" t="str"><v>Lookalike Targeting</v></cell><cell r="W1424" t="str"><v>Canvas Ad</v></cell><cell r="X1424" t="str"><v>1200x1200</v></cell><cell r="Y1424" t="str"><v>Learn More</v></cell><cell r="Z1424" t="str"><v>Animated Banner</v></cell><cell r="AA1424"><v>43356</v></cell><cell r="AB1424" t="str"><v>USA_gaPMG_AZR_AZR_Q1_19_Direct-Social</v></cell><cell r="AC1424"><v>21358715</v></cell><cell r="AD1424"><v>720197</v></cell><cell r="AE1424" t="str"><v>Linkedin</v></cell><cell r="AF1424"><v>3654329</v></cell><cell r="AG1424" t="str"><v>FACEBOOK»USA-Trial-ITD-Lead Completes Lookalike-AZR-AZR»1 x 1»SocialBan»CAN»ALL»CPA»LAL»X»NA»SS»NA»FreeAcctDeveloperFB-AnimatedAI-Ch3»PS79G3</v></cell><cell r="AH1424" t="str"><v>PS79G3</v></cell><cell r="AI1424" t="str"><v>AZR_FreeAcctDeveloperFB-AnimatedAI-Ch3_USA_1200x1200_CAN_Direct_EN_Trial_Standard_ANI_LEA_T3_2</v></cell><cell r="AJ1424"><v>104595745</v></cell></row><row r="1425"><cell r="D1425" t="str"><v>43356PS79FT</v></cell><cell r="E1425" t="str"><v>43356PS79FT</v></cell><cell r="F1425" t="str"><v>Appended from Pub - Not in DCM</v></cell></row><row r="1425"><cell r="I1425" t="str"><v>Azure Direct</v></cell><cell r="J1425" t="str"><v>Azure Direct</v></cell><cell r="K1425" t="str"><v>September</v></cell><cell r="L1425"><v>43358</v></cell><cell r="M1425" t="str"><v>Tier 0</v></cell><cell r="N1425" t="str"><v>North America</v></cell><cell r="O1425" t="str"><v>United States</v></cell><cell r="P1425" t="str"><v>Trial</v></cell><cell r="Q1425" t="str"><v>Social</v></cell><cell r="R1425" t="str"><v>Azure</v></cell><cell r="S1425" t="str"><v>Apps & Infra</v></cell><cell r="T1425" t="str"><v>Developers & ITI's</v></cell><cell r="U1425" t="str"><v>USA-Trial-ITD-Lead Completes Lookalike-AZR-AZR</v></cell><cell r="V1425" t="str"><v>Lookalike Targeting</v></cell><cell r="W1425" t="str"><v>Canvas Ad</v></cell></row><row r="1425"><cell r="AA1425"><v>43356</v></cell><cell r="AB1425" t="str"><v>USA_gaPMG_AZR_AZR_Q1_19_Direct-Social</v></cell><cell r="AC1425"><v>21358715</v></cell><cell r="AD1425"><v>720197</v></cell><cell r="AE1425" t="str"><v>Linkedin</v></cell><cell r="AF1425"><v>3654329</v></cell><cell r="AG1425" t="str"><v>FACEBOOK»USA-Trial-ITD-Lead Completes Lookalike-AZR-AZR»1 x 1»SocialBan»CAN»ALL»CPA»LAL»X»NA»SS»NA»FreeAcctDeveloperFB-AnimatedGeneric-Ch1»PS79FT</v></cell><cell r="AH1425" t="str"><v>PS79FT</v></cell></row><row r="1426"><cell r="D1426" t="str"><v>43356PS79JW</v></cell><cell r="E1426" t="str"><v>43356PS79JW</v></cell><cell r="F1426" t="str"><v>Appended from Pub - Not in DCM</v></cell></row><row r="1426"><cell r="I1426" t="str"><v>Azure Direct</v></cell><cell r="J1426" t="str"><v>Azure Direct</v></cell><cell r="K1426" t="str"><v>September</v></cell><cell r="L1426"><v>43358</v></cell><cell r="M1426" t="str"><v>Tier 0</v></cell><cell r="N1426" t="str"><v>North America</v></cell><cell r="O1426" t="str"><v>United States</v></cell><cell r="P1426" t="str"><v>Trial</v></cell><cell r="Q1426" t="str"><v>Social</v></cell><cell r="R1426" t="str"><v>Azure</v></cell><cell r="S1426" t="str"><v>Apps & Infra</v></cell><cell r="T1426" t="str"><v>Developers & ITI's</v></cell><cell r="U1426" t="str"><v>USA-Trial-ITD-Lead Completes-AZR-AZR</v></cell><cell r="V1426" t="str"><v>Prospecting</v></cell><cell r="W1426" t="str"><v>Canvas Ad</v></cell></row><row r="1426"><cell r="AA1426"><v>43356</v></cell><cell r="AB1426" t="str"><v>USA_gaPMG_AZR_AZR_Q1_19_Direct-Social</v></cell><cell r="AC1426"><v>21358715</v></cell><cell r="AD1426"><v>720197</v></cell><cell r="AE1426" t="str"><v>Linkedin</v></cell><cell r="AF1426"><v>3654329</v></cell><cell r="AG1426" t="str"><v>FACEBOOK»USA-Trial-ITD-Lead Completes-AZR-AZR»1 x 1»SocialBan»CAN»ALL»CPA»PRO»X»NA»SS»NA»FreeAcctDeveloperFB-AnimatedAI-Ch3»PS79JW</v></cell><cell r="AH1426" t="str"><v>PS79JW</v></cell></row><row r="1427"><cell r="D1427" t="str"><v>43356PS79JP</v></cell><cell r="E1427" t="str"><v>43356PS79JP</v></cell><cell r="F1427" t="str"><v>Appended from Pub - Not in DCM</v></cell></row><row r="1427"><cell r="I1427" t="str"><v>Azure Direct</v></cell><cell r="J1427" t="str"><v>Azure Direct</v></cell><cell r="K1427" t="str"><v>September</v></cell><cell r="L1427"><v>43358</v></cell><cell r="M1427" t="str"><v>Tier 0</v></cell><cell r="N1427" t="str"><v>North America</v></cell><cell r="O1427" t="str"><v>United States</v></cell><cell r="P1427" t="str"><v>Trial</v></cell><cell r="Q1427" t="str"><v>Social</v></cell><cell r="R1427" t="str"><v>Azure</v></cell><cell r="S1427" t="str"><v>Apps & Infra</v></cell><cell r="T1427" t="str"><v>Developers & ITI's</v></cell><cell r="U1427" t="str"><v>USA-Trial-ITD-Lead Completes-AZR-AZR</v></cell><cell r="V1427" t="str"><v>Prospecting</v></cell><cell r="W1427" t="str"><v>Canvas Ad</v></cell></row><row r="1427"><cell r="AA1427"><v>43356</v></cell><cell r="AB1427" t="str"><v>USA_gaPMG_AZR_AZR_Q1_19_Direct-Social</v></cell><cell r="AC1427"><v>21358715</v></cell><cell r="AD1427"><v>720197</v></cell><cell r="AE1427" t="str"><v>Linkedin</v></cell><cell r="AF1427"><v>3654329</v></cell><cell r="AG1427" t="str"><v>FACEBOOK»USA-Trial-ITD-Lead Completes-AZR-AZR»1 x 1»SocialBan»CAN»ALL»CPA»PRO»X»NA»SS»NA»FreeAcctDeveloperFB-AnimatedGeneric-Ch1»PS79JP</v></cell><cell r="AH1427" t="str"><v>PS79JP</v></cell></row><row r="1428"><cell r="D1428" t="str"><v>43356PS79JX</v></cell><cell r="E1428" t="str"><v>43356PS79JX</v></cell><cell r="F1428" t="str"><v>Appended from Pub - Not in DCM</v></cell></row><row r="1428"><cell r="I1428" t="str"><v>Azure Direct</v></cell><cell r="J1428" t="str"><v>Azure Direct</v></cell><cell r="K1428" t="str"><v>September</v></cell><cell r="L1428"><v>43358</v></cell><cell r="M1428" t="str"><v>Tier 0</v></cell><cell r="N1428" t="str"><v>North America</v></cell><cell r="O1428" t="str"><v>United States</v></cell><cell r="P1428" t="str"><v>Trial</v></cell><cell r="Q1428" t="str"><v>Social</v></cell><cell r="R1428" t="str"><v>Azure</v></cell><cell r="S1428" t="str"><v>Apps & Infra</v></cell><cell r="T1428" t="str"><v>Developers & ITI's</v></cell><cell r="U1428" t="str"><v>USA-Trial-ITD-Lead Completes-AZR-AZR</v></cell><cell r="V1428" t="str"><v>Prospecting</v></cell><cell r="W1428" t="str"><v>Canvas Ad</v></cell></row><row r="1428"><cell r="AA1428"><v>43356</v></cell><cell r="AB1428" t="str"><v>USA_gaPMG_AZR_AZR_Q1_19_Direct-Social</v></cell><cell r="AC1428"><v>21358715</v></cell><cell r="AD1428"><v>720197</v></cell><cell r="AE1428" t="str"><v>Linkedin</v></cell><cell r="AF1428"><v>3654329</v></cell><cell r="AG1428" t="str"><v>FACEBOOK»USA-Trial-ITD-Lead Completes-AZR-AZR»1 x 1»SocialBan»CAN»ALL»CPA»PRO»X»NA»SS»NA»FreeAcctDeveloperFB-AnimatedData-Ch4»PS79JX</v></cell><cell r="AH1428" t="str"><v>PS79JX</v></cell></row><row r="1429"><cell r="D1429" t="str"><v>43356PS7DLN</v></cell><cell r="E1429" t="str"><v>43356104592535PS7DLN</v></cell><cell r="F1429" t="str"><v>Appended from Pub - Not in DCM</v></cell></row><row r="1429"><cell r="I1429" t="str"><v>Azure Direct</v></cell><cell r="J1429" t="str"><v>Azure Direct</v></cell><cell r="K1429" t="str"><v>September</v></cell><cell r="L1429"><v>43358</v></cell><cell r="M1429" t="str"><v>Tier 0</v></cell><cell r="N1429" t="str"><v>North America</v></cell><cell r="O1429" t="str"><v>United States</v></cell><cell r="P1429" t="str"><v>Trial</v></cell><cell r="Q1429" t="str"><v>Social</v></cell><cell r="R1429" t="str"><v>Azure</v></cell><cell r="S1429" t="str"><v>Apps & Infra</v></cell><cell r="T1429" t="str"><v>Developers & ITI's</v></cell><cell r="U1429" t="str"><v>USA-Trial-ITD-Lead Completes Lookalike-AZR-AZR</v></cell><cell r="V1429" t="str"><v>Lookalike Targeting</v></cell><cell r="W1429" t="str"><v>Canvas Ad</v></cell><cell r="X1429" t="str"><v>1200x1200</v></cell><cell r="Y1429" t="str"><v>Learn More</v></cell><cell r="Z1429" t="str"><v>Animated Banner</v></cell><cell r="AA1429"><v>43356</v></cell><cell r="AB1429" t="str"><v>USA_gaPMG_AZR_AZR_Q1_19_Direct-Social</v></cell><cell r="AC1429"><v>21358715</v></cell><cell r="AD1429"><v>720197</v></cell><cell r="AE1429" t="str"><v>Linkedin</v></cell><cell r="AF1429"><v>3654329</v></cell><cell r="AG1429" t="str"><v>FACEBOOK»USA-Trial-ITD-Lead Completes Lookalike-AZR-AZR»1 x 1»SocialBan»CAN»ALL»CPA»LAL»X»NA»SS»NA»FreeAcctITProFB-AnimatedHybrid-Ch2»PS7DLN</v></cell><cell r="AH1429" t="str"><v>PS7DLN</v></cell><cell r="AI1429" t="str"><v>AZR_FreeAcctITProFB-AnimatedHybrid-Ch2_USA_1200x1200_CAN_Direct_EN_Trial_Standard_ANI_LEA_T2_1</v></cell><cell r="AJ1429"><v>104592535</v></cell></row><row r="1430"><cell r="D1430" t="str"><v>43356PRC1M3</v></cell><cell r="E1430" t="str"><v>43356103176812PRC1M3</v></cell><cell r="F1430" t="str"><v>Appended from Pub - Not in DCM</v></cell></row><row r="1430"><cell r="I1430" t="str"><v>Azure Direct</v></cell><cell r="J1430" t="str"><v>Azure Direct</v></cell><cell r="K1430" t="str"><v>September</v></cell><cell r="L1430"><v>43358</v></cell><cell r="M1430" t="str"><v>Tier 0</v></cell><cell r="N1430" t="str"><v>North America</v></cell><cell r="O1430" t="str"><v>United States</v></cell><cell r="P1430" t="str"><v>Trial</v></cell><cell r="Q1430" t="str"><v>Social</v></cell><cell r="R1430" t="str"><v>Azure</v></cell><cell r="S1430" t="str"><v>Apps & Infra</v></cell><cell r="T1430" t="str"><v>Developers & ITI's</v></cell><cell r="U1430" t="str"><v>USA-Trial-ITD-Trial Lookalike-AZR-AZR</v></cell><cell r="V1430" t="str"><v>Lookalike Targeting</v></cell><cell r="W1430" t="str"><v>Canvas Ad</v></cell><cell r="X1430" t="str"><v>10s</v></cell><cell r="Y1430" t="str"><v>Try it Now</v></cell><cell r="Z1430" t="str"><v>Standard videos</v></cell><cell r="AA1430"><v>43356</v></cell><cell r="AB1430" t="str"><v>USA_gaPMG_AZR_AZR_Q1_19_Direct-Social</v></cell><cell r="AC1430"><v>21358715</v></cell><cell r="AD1430"><v>720197</v></cell><cell r="AE1430" t="str"><v>Linkedin</v></cell><cell r="AF1430"><v>3654329</v></cell><cell r="AG1430" t="str"><v>FACEBOOK»USA-Trial-ITD-Trial Lookalike-AZR-AZR»1 x 1»SocialBan»CAN»ALL»CPA»LAL»X»NA»SS»NA»FBCTCBrandinMotion»PRC1M3</v></cell><cell r="AH1430" t="str"><v>PRC1M3</v></cell><cell r="AI1430" t="str"><v>AzurePlatform_FBCTCBrandinMotion_USA_10s_CAN_PLATFORM_English_Trial_Standard_STAN_TIN_T2_1</v></cell><cell r="AJ1430"><v>103176812</v></cell></row><row r="1431"><cell r="D1431" t="str"><v>43356PRC2G6</v></cell><cell r="E1431" t="str"><v>43356103180628PRC2G6</v></cell><cell r="F1431" t="str"><v>Appended from Pub - Not in DCM</v></cell></row><row r="1431"><cell r="I1431" t="str"><v>Azure Direct</v></cell><cell r="J1431" t="str"><v>Azure Direct</v></cell><cell r="K1431" t="str"><v>September</v></cell><cell r="L1431"><v>43358</v></cell><cell r="M1431" t="str"><v>Tier 0</v></cell><cell r="N1431" t="str"><v>North America</v></cell><cell r="O1431" t="str"><v>United States</v></cell><cell r="P1431" t="str"><v>Trial</v></cell><cell r="Q1431" t="str"><v>Social</v></cell><cell r="R1431" t="str"><v>Azure</v></cell><cell r="S1431" t="str"><v>Apps & Infra</v></cell><cell r="T1431" t="str"><v>Developers & ITI's</v></cell><cell r="U1431" t="str"><v>USA-Trial-ITD-Retargeting-AZR-AZR</v></cell><cell r="V1431" t="str"><v>Retargeting</v></cell><cell r="W1431" t="str"><v>Canvas Ad</v></cell><cell r="X1431" t="str"><v>10s</v></cell><cell r="Y1431" t="str"><v>Try it Now</v></cell><cell r="Z1431" t="str"><v>Standard videos</v></cell><cell r="AA1431"><v>43356</v></cell><cell r="AB1431" t="str"><v>USA_gaPMG_AZR_AZR_Q1_19_Direct-Social</v></cell><cell r="AC1431"><v>21358715</v></cell><cell r="AD1431"><v>720197</v></cell><cell r="AE1431" t="str"><v>Linkedin</v></cell><cell r="AF1431"><v>3654329</v></cell><cell r="AG1431" t="str"><v>INSTAGRAM»USA-Trial-ITD-Retargeting-AZR-AZR»1 x 1»SocialBan»CAN»ALL»CPA»RT»X»NA»SS»NA»IGCTCBenefit2inMotion»PRC2G6</v></cell><cell r="AH1431" t="str"><v>PRC2G6</v></cell><cell r="AI1431" t="str"><v>AzurePlatform_IGCTCBrandinMotion_USA_10s_CAN_PLATFORM_English_Trial_Standard_STAN_TIN_T2_1</v></cell><cell r="AJ1431"><v>103180628</v></cell></row><row r="1432"><cell r="D1432" t="str"><v>43356PS79SW</v></cell><cell r="E1432" t="str"><v>43356104595760PS79SW</v></cell><cell r="F1432" t="str"><v>Appended from Pub - Not in DCM</v></cell></row><row r="1432"><cell r="I1432" t="str"><v>Azure Direct</v></cell><cell r="J1432" t="str"><v>Azure Direct</v></cell><cell r="K1432" t="str"><v>September</v></cell><cell r="L1432"><v>43358</v></cell><cell r="M1432" t="str"><v>Tier 0</v></cell><cell r="N1432" t="str"><v>North America</v></cell><cell r="O1432" t="str"><v>United States</v></cell><cell r="P1432" t="str"><v>Trial</v></cell><cell r="Q1432" t="str"><v>Social</v></cell><cell r="R1432" t="str"><v>Azure</v></cell><cell r="S1432" t="str"><v>Apps & Infra</v></cell><cell r="T1432" t="str"><v>Developers & ITI's</v></cell><cell r="U1432" t="str"><v>USA-Trial-ITD-Retargeting-AZR-AZR</v></cell><cell r="V1432" t="str"><v>Retargeting</v></cell><cell r="W1432" t="str"><v>Canvas Ad</v></cell><cell r="X1432" t="str"><v>1200x628</v></cell><cell r="Y1432" t="str"><v>Sign Up</v></cell><cell r="Z1432" t="str"><v>Not Applicable</v></cell><cell r="AA1432"><v>43356</v></cell><cell r="AB1432" t="str"><v>USA_gaPMG_AZR_AZR_Q1_19_Direct-Social</v></cell><cell r="AC1432"><v>21358715</v></cell><cell r="AD1432"><v>720197</v></cell><cell r="AE1432" t="str"><v>Linkedin</v></cell><cell r="AF1432"><v>3654329</v></cell><cell r="AG1432" t="str"><v>FACEBOOK»USA-Trial-ITD-Retargeting-AZR-AZR»1 x 1»SocialBan»CAN»ALL»CPA»RT»X»NA»SS»NA»FreeAcctRetargetingVMFB-750Hrs-ChD»PS79SW</v></cell><cell r="AH1432" t="str"><v>PS79SW</v></cell><cell r="AI1432" t="str"><v>AZR_FreeAcctRetargetingVMFB-750Hrs-ChD_USA_1200x628_CAN_Plat_English_Free Account_Standard_NA_SINU_T1_2</v></cell><cell r="AJ1432"><v>104595760</v></cell></row><row r="1433"><cell r="D1433" t="str"><v>43356PRC2FH</v></cell><cell r="E1433" t="str"><v>43356103050783PRC2FH</v></cell><cell r="F1433" t="str"><v>Appended from Pub - Not in DCM</v></cell></row><row r="1433"><cell r="I1433" t="str"><v>Azure Direct</v></cell><cell r="J1433" t="str"><v>Azure Direct</v></cell><cell r="K1433" t="str"><v>September</v></cell><cell r="L1433"><v>43358</v></cell><cell r="M1433" t="str"><v>Tier 0</v></cell><cell r="N1433" t="str"><v>North America</v></cell><cell r="O1433" t="str"><v>United States</v></cell><cell r="P1433" t="str"><v>Trial</v></cell><cell r="Q1433" t="str"><v>Social</v></cell><cell r="R1433" t="str"><v>Azure</v></cell><cell r="S1433" t="str"><v>Apps & Infra</v></cell><cell r="T1433" t="str"><v>Developers & ITI's</v></cell><cell r="U1433" t="str"><v>USA-Trial-ITD-Trial Lookalike-AZR-AZR</v></cell><cell r="V1433" t="str"><v>Lookalike Targeting</v></cell><cell r="W1433" t="str"><v>Canvas Ad</v></cell><cell r="X1433" t="str"><v>10s</v></cell><cell r="Y1433" t="str"><v>Try it Now</v></cell><cell r="Z1433" t="str"><v>Standard videos</v></cell><cell r="AA1433"><v>43356</v></cell><cell r="AB1433" t="str"><v>USA_gaPMG_AZR_AZR_Q1_19_Direct-Social</v></cell><cell r="AC1433"><v>21358715</v></cell><cell r="AD1433"><v>720197</v></cell><cell r="AE1433" t="str"><v>Linkedin</v></cell><cell r="AF1433"><v>3654329</v></cell><cell r="AG1433" t="str"><v>INSTAGRAM»USA-Trial-ITD-Trial Lookalike-AZR-AZR»1 x 1»SocialBan»CAN»ALL»CPA»LAL»X»NA»SS»NA»IGCTCBrandinMotion»PRC2FH</v></cell><cell r="AH1433" t="str"><v>PRC2FH</v></cell><cell r="AI1433" t="str"><v>AzurePlatform_IGCTCBenefit2inMotion_USA_10s_CAN_PLATFORM_English_Trial_Standard_STAN_TIN_T4_1</v></cell><cell r="AJ1433"><v>103050783</v></cell></row><row r="1434"><cell r="D1434" t="str"><v>43356PS7B5V</v></cell><cell r="E1434" t="str"><v>43356104595739PS7B5V</v></cell><cell r="F1434" t="str"><v>Appended from Pub - Not in DCM</v></cell></row><row r="1434"><cell r="I1434" t="str"><v>Azure Direct</v></cell><cell r="J1434" t="str"><v>Azure Direct</v></cell><cell r="K1434" t="str"><v>September</v></cell><cell r="L1434"><v>43358</v></cell><cell r="M1434" t="str"><v>Tier 0</v></cell><cell r="N1434" t="str"><v>North America</v></cell><cell r="O1434" t="str"><v>United States</v></cell><cell r="P1434" t="str"><v>Trial</v></cell><cell r="Q1434" t="str"><v>Social</v></cell><cell r="R1434" t="str"><v>Azure</v></cell><cell r="S1434" t="str"><v>Apps & Infra</v></cell><cell r="T1434" t="str"><v>Developers & ITI's</v></cell><cell r="U1434" t="str"><v>USA-Trial-ITD-Trial PayGo Lookalike-AZR-AZR</v></cell><cell r="V1434" t="str"><v>Lookalike Targeting</v></cell><cell r="W1434" t="str"><v>Canvas Ad</v></cell><cell r="X1434" t="str"><v>1200x1200</v></cell><cell r="Y1434" t="str"><v>Learn More</v></cell><cell r="Z1434" t="str"><v>Animated Banner</v></cell><cell r="AA1434"><v>43356</v></cell><cell r="AB1434" t="str"><v>USA_gaPMG_AZR_AZR_Q1_19_Direct-Social</v></cell><cell r="AC1434"><v>21358715</v></cell><cell r="AD1434"><v>720197</v></cell><cell r="AE1434" t="str"><v>Linkedin</v></cell><cell r="AF1434"><v>3654329</v></cell><cell r="AG1434" t="str"><v>FACEBOOK»USA-Trial-ITD-Trial PayGo Lookalike-AZR-AZR»1 x 1»SocialBan»CAN»ALL»CPA»LAL»X»NA»SS»NA»FreeAcctDeveloperFB-AnimatedData-Ch4»PS7B5V</v></cell><cell r="AH1434" t="str"><v>PS7B5V</v></cell><cell r="AI1434" t="str"><v>AZR_FreeAcctDeveloperFB-AnimatedData-Ch4_USA_1200x1200_CAN_Direct_EN_Trial_Standard_ANI_LEA_T4_1</v></cell><cell r="AJ1434"><v>104595739</v></cell></row><row r="1435"><cell r="D1435" t="str"><v>43356PRC2FL</v></cell><cell r="E1435" t="str"><v>43356103050786PRC2FL</v></cell><cell r="F1435" t="str"><v>Appended from Pub - Not in DCM</v></cell></row><row r="1435"><cell r="I1435" t="str"><v>Azure Direct</v></cell><cell r="J1435" t="str"><v>Azure Direct</v></cell><cell r="K1435" t="str"><v>September</v></cell><cell r="L1435"><v>43358</v></cell><cell r="M1435" t="str"><v>Tier 0</v></cell><cell r="N1435" t="str"><v>North America</v></cell><cell r="O1435" t="str"><v>United States</v></cell><cell r="P1435" t="str"><v>Trial</v></cell><cell r="Q1435" t="str"><v>Social</v></cell><cell r="R1435" t="str"><v>Azure</v></cell><cell r="S1435" t="str"><v>Apps & Infra</v></cell><cell r="T1435" t="str"><v>Developers & ITI's</v></cell><cell r="U1435" t="str"><v>USA-Trial-ITD-Trial Lookalike-AZR-AZR</v></cell><cell r="V1435" t="str"><v>Lookalike Targeting</v></cell><cell r="W1435" t="str"><v>Canvas Ad</v></cell><cell r="X1435" t="str"><v>10s</v></cell><cell r="Y1435" t="str"><v>Try it Now</v></cell><cell r="Z1435" t="str"><v>Standard videos</v></cell><cell r="AA1435"><v>43356</v></cell><cell r="AB1435" t="str"><v>USA_gaPMG_AZR_AZR_Q1_19_Direct-Social</v></cell><cell r="AC1435"><v>21358715</v></cell><cell r="AD1435"><v>720197</v></cell><cell r="AE1435" t="str"><v>Linkedin</v></cell><cell r="AF1435"><v>3654329</v></cell><cell r="AG1435" t="str"><v>INSTAGRAM»USA-Trial-ITD-Trial Lookalike-AZR-AZR»1 x 1»SocialBan»CAN»ALL»CPA»LAL»X»NA»SS»NA»IGCTCBenefit2inMotion»PRC2FL</v></cell><cell r="AH1435" t="str"><v>PRC2FL</v></cell><cell r="AI1435" t="str"><v>AzurePlatform_IGCTCBrandinMotion_USA_10s_CAN_PLATFORM_English_Trial_Standard_STAN_TIN_T2_2</v></cell><cell r="AJ1435"><v>103050786</v></cell></row><row r="1436"><cell r="D1436" t="str"><v>43356PS79T0</v></cell><cell r="E1436" t="str"><v>43356104593423PS79T0</v></cell><cell r="F1436" t="str"><v>Appended from Pub - Not in DCM</v></cell></row><row r="1436"><cell r="I1436" t="str"><v>Azure Direct</v></cell><cell r="J1436" t="str"><v>Azure Direct</v></cell><cell r="K1436" t="str"><v>September</v></cell><cell r="L1436"><v>43358</v></cell><cell r="M1436" t="str"><v>Tier 0</v></cell><cell r="N1436" t="str"><v>North America</v></cell><cell r="O1436" t="str"><v>United States</v></cell><cell r="P1436" t="str"><v>Trial</v></cell><cell r="Q1436" t="str"><v>Social</v></cell><cell r="R1436" t="str"><v>Azure</v></cell><cell r="S1436" t="str"><v>Apps & Infra</v></cell><cell r="T1436" t="str"><v>Developers & ITI's</v></cell><cell r="U1436" t="str"><v>USA-Trial-ITD-Retargeting-AZR-AZR</v></cell><cell r="V1436" t="str"><v>Retargeting</v></cell><cell r="W1436" t="str"><v>Canvas Ad</v></cell><cell r="X1436" t="str"><v>1200x628</v></cell><cell r="Y1436" t="str"><v>Sign Up</v></cell><cell r="Z1436" t="str"><v>Not Applicable</v></cell><cell r="AA1436"><v>43356</v></cell><cell r="AB1436" t="str"><v>USA_gaPMG_AZR_AZR_Q1_19_Direct-Social</v></cell><cell r="AC1436"><v>21358715</v></cell><cell r="AD1436"><v>720197</v></cell><cell r="AE1436" t="str"><v>Linkedin</v></cell><cell r="AF1436"><v>3654329</v></cell><cell r="AG1436" t="str"><v>FACEBOOK»USA-Trial-ITD-Retargeting-AZR-AZR»1 x 1»SocialBan»CAN»ALL»CPA»RT»X»NA»SS»NA»FreeAcctRetargetingOSSFB-Text-ChF»PS79T0</v></cell><cell r="AH1436" t="str"><v>PS79T0</v></cell><cell r="AI1436" t="str"><v>AZR_FreeAcctRetargetingOSSFB-Text-ChF_USA_1200x628_CAN_Plat_English_Free Account_Standard_NA_SINU_T1_1</v></cell><cell r="AJ1436"><v>104593423</v></cell></row><row r="1437"><cell r="D1437" t="str"><v>43356PRC1Q3</v></cell><cell r="E1437" t="str"><v>43356103176812PRC1Q3</v></cell><cell r="F1437" t="str"><v>Appended from Pub - Not in DCM</v></cell></row><row r="1437"><cell r="I1437" t="str"><v>Azure Direct</v></cell><cell r="J1437" t="str"><v>Azure Direct</v></cell><cell r="K1437" t="str"><v>September</v></cell><cell r="L1437"><v>43358</v></cell><cell r="M1437" t="str"><v>Tier 0</v></cell><cell r="N1437" t="str"><v>North America</v></cell><cell r="O1437" t="str"><v>United States</v></cell><cell r="P1437" t="str"><v>Trial</v></cell><cell r="Q1437" t="str"><v>Social</v></cell><cell r="R1437" t="str"><v>Azure</v></cell><cell r="S1437" t="str"><v>Apps & Infra</v></cell><cell r="T1437" t="str"><v>Developers & ITI's</v></cell><cell r="U1437" t="str"><v>USA-Trial-ITD-Trial PayGo Lookalike-AZR-AZR</v></cell><cell r="V1437" t="str"><v>Lookalike Targeting</v></cell><cell r="W1437" t="str"><v>Canvas Ad</v></cell><cell r="X1437" t="str"><v>10s</v></cell><cell r="Y1437" t="str"><v>Try it Now</v></cell><cell r="Z1437" t="str"><v>Standard videos</v></cell><cell r="AA1437"><v>43356</v></cell><cell r="AB1437" t="str"><v>USA_gaPMG_AZR_AZR_Q1_19_Direct-Social</v></cell><cell r="AC1437"><v>21358715</v></cell><cell r="AD1437"><v>720197</v></cell><cell r="AE1437" t="str"><v>Linkedin</v></cell><cell r="AF1437"><v>3654329</v></cell><cell r="AG1437" t="str"><v>FACEBOOK»USA-Trial-ITD-Trial PayGo Lookalike-AZR-AZR»1 x 1»SocialBan»CAN»ALL»CPA»LAL»X»NA»SS»NA»FBCTCBrandinMotion»PRC1Q3</v></cell><cell r="AH1437" t="str"><v>PRC1Q3</v></cell><cell r="AI1437" t="str"><v>AzurePlatform_FBCTCBrandinMotion_USA_10s_CAN_PLATFORM_English_Trial_Standard_STAN_TIN_T2_1</v></cell><cell r="AJ1437"><v>103176812</v></cell></row><row r="1438"><cell r="D1438" t="str"><v>43356PS79T1</v></cell><cell r="E1438" t="str"><v>43356104592508PS79T1</v></cell><cell r="F1438" t="str"><v>Appended from Pub - Not in DCM</v></cell></row><row r="1438"><cell r="I1438" t="str"><v>Azure Direct</v></cell><cell r="J1438" t="str"><v>Azure Direct</v></cell><cell r="K1438" t="str"><v>September</v></cell><cell r="L1438"><v>43358</v></cell><cell r="M1438" t="str"><v>Tier 0</v></cell><cell r="N1438" t="str"><v>North America</v></cell><cell r="O1438" t="str"><v>United States</v></cell><cell r="P1438" t="str"><v>Trial</v></cell><cell r="Q1438" t="str"><v>Social</v></cell><cell r="R1438" t="str"><v>Azure</v></cell><cell r="S1438" t="str"><v>Apps & Infra</v></cell><cell r="T1438" t="str"><v>Developers & ITI's</v></cell><cell r="U1438" t="str"><v>USA-Trial-ITD-Retargeting-AZR-AZR</v></cell><cell r="V1438" t="str"><v>Retargeting</v></cell><cell r="W1438" t="str"><v>Canvas Ad</v></cell><cell r="X1438" t="str"><v>1200x628</v></cell><cell r="Y1438" t="str"><v>Sign Up</v></cell><cell r="Z1438" t="str"><v>Not Applicable</v></cell><cell r="AA1438"><v>43356</v></cell><cell r="AB1438" t="str"><v>USA_gaPMG_AZR_AZR_Q1_19_Direct-Social</v></cell><cell r="AC1438"><v>21358715</v></cell><cell r="AD1438"><v>720197</v></cell><cell r="AE1438" t="str"><v>Linkedin</v></cell><cell r="AF1438"><v>3654329</v></cell><cell r="AG1438" t="str"><v>FACEBOOK»USA-Trial-ITD-Retargeting-AZR-AZR»1 x 1»SocialBan»CAN»ALL»CPA»RT»X»NA»SS»NA»FreeAcctRetargetingOSSFB-Logos-ChG»PS79T1</v></cell><cell r="AH1438" t="str"><v>PS79T1</v></cell><cell r="AI1438" t="str"><v>AZR_FreeAcctRetargetingOSSFB-Logos-ChG_USA_1200x628_CAN_Plat_English_Free Account_Standard_NA_SINU_T2_1</v></cell><cell r="AJ1438"><v>104592508</v></cell></row><row r="1439"><cell r="D1439" t="str"><v>43356PRSH6K</v></cell><cell r="E1439" t="str"><v>43356103773177PRSH6K</v></cell><cell r="F1439" t="str"><v>Appended from Pub - Not in DCM</v></cell></row><row r="1439"><cell r="I1439" t="str"><v>Azure Direct</v></cell><cell r="J1439" t="str"><v>Azure Direct</v></cell><cell r="K1439" t="str"><v>September</v></cell><cell r="L1439"><v>43358</v></cell><cell r="M1439" t="str"><v>Tier 0</v></cell><cell r="N1439" t="str"><v>North America</v></cell><cell r="O1439" t="str"><v>United States</v></cell><cell r="P1439" t="str"><v>Trial</v></cell><cell r="Q1439" t="str"><v>Social</v></cell><cell r="R1439" t="str"><v>Azure</v></cell><cell r="S1439" t="str"><v>Apps & Infra</v></cell><cell r="T1439" t="str"><v>Developers & ITI's</v></cell><cell r="U1439" t="str"><v>USA-Trial-ITD-Trial PayGo Lookalike-AZR-AZR</v></cell><cell r="V1439" t="str"><v>Lookalike Targeting</v></cell><cell r="W1439" t="str"><v>Canvas Collection Ad</v></cell><cell r="X1439" t="str"><v>1200x182</v></cell><cell r="Y1439" t="str"><v>Try it Now</v></cell><cell r="Z1439" t="str"><v>Not Applicable</v></cell><cell r="AA1439"><v>43356</v></cell><cell r="AB1439" t="str"><v>USA_gaPMG_AZR_AZR_Q1_19_Direct-Social</v></cell><cell r="AC1439"><v>21358715</v></cell><cell r="AD1439"><v>720197</v></cell><cell r="AE1439" t="str"><v>Linkedin</v></cell><cell r="AF1439"><v>3654329</v></cell><cell r="AG1439" t="str"><v>FACEBOOK»USA-Trial-ITD-Trial PayGo Lookalike-AZR-AZR»1 x 1»SocialBan»CCA»ALL»CPA»LAL»X»NA»SS»NA»Azure Developer Facebook Collections»PRSH6K</v></cell><cell r="AH1439" t="str"><v>PRSH6K</v></cell><cell r="AI1439" t="str"><v>AZR_FBCollections-AITryAzureFreeCTA-Img2_USA_1200x182_SOC_Plat_EN_NA_Standard_NA_TIN_T1_2</v></cell><cell r="AJ1439"><v>103773177</v></cell></row><row r="1440"><cell r="D1440" t="str"><v>43356PRC2PB</v></cell><cell r="E1440" t="str"><v>43356103050783PRC2PB</v></cell><cell r="F1440" t="str"><v>Appended from Pub - Not in DCM</v></cell></row><row r="1440"><cell r="I1440" t="str"><v>Azure Direct</v></cell><cell r="J1440" t="str"><v>Azure Direct</v></cell><cell r="K1440" t="str"><v>September</v></cell><cell r="L1440"><v>43358</v></cell><cell r="M1440" t="str"><v>Tier 0</v></cell><cell r="N1440" t="str"><v>North America</v></cell><cell r="O1440" t="str"><v>United States</v></cell><cell r="P1440" t="str"><v>Trial</v></cell><cell r="Q1440" t="str"><v>Social</v></cell><cell r="R1440" t="str"><v>Azure</v></cell><cell r="S1440" t="str"><v>Apps & Infra</v></cell><cell r="T1440" t="str"><v>Developers & ITI's</v></cell><cell r="U1440" t="str"><v>USA-Trial-ITD-Interest Prospecting-AZR-AZR</v></cell><cell r="V1440" t="str"><v>Prospecting</v></cell><cell r="W1440" t="str"><v>Canvas Ad</v></cell><cell r="X1440" t="str"><v>10s</v></cell><cell r="Y1440" t="str"><v>Try it Now</v></cell><cell r="Z1440" t="str"><v>Standard videos</v></cell><cell r="AA1440"><v>43356</v></cell><cell r="AB1440" t="str"><v>USA_gaPMG_AZR_AZR_Q1_19_Direct-Social</v></cell><cell r="AC1440"><v>21358715</v></cell><cell r="AD1440"><v>720197</v></cell><cell r="AE1440" t="str"><v>Linkedin</v></cell><cell r="AF1440"><v>3654329</v></cell><cell r="AG1440" t="str"><v>INSTAGRAM»USA-Trial-ITD-Interest Prospecting-AZR-AZR»1 x 1»SocialBan»CAN»ALL»CPA»PRO»X»NA»SS»NA»IGCTCBrandinMotion»PRC2PB</v></cell><cell r="AH1440" t="str"><v>PRC2PB</v></cell><cell r="AI1440" t="str"><v>AzurePlatform_IGCTCBenefit2inMotion_USA_10s_CAN_PLATFORM_English_Trial_Standard_STAN_TIN_T4_1</v></cell><cell r="AJ1440"><v>103050783</v></cell></row><row r="1441"><cell r="D1441" t="str"><v>43356PS7B5Z</v></cell><cell r="E1441" t="str"><v>43356104592535PS7B5Z</v></cell><cell r="F1441" t="str"><v>Appended from Pub - Not in DCM</v></cell></row><row r="1441"><cell r="I1441" t="str"><v>Azure Direct</v></cell><cell r="J1441" t="str"><v>Azure Direct</v></cell><cell r="K1441" t="str"><v>September</v></cell><cell r="L1441"><v>43358</v></cell><cell r="M1441" t="str"><v>Tier 0</v></cell><cell r="N1441" t="str"><v>North America</v></cell><cell r="O1441" t="str"><v>United States</v></cell><cell r="P1441" t="str"><v>Trial</v></cell><cell r="Q1441" t="str"><v>Social</v></cell><cell r="R1441" t="str"><v>Azure</v></cell><cell r="S1441" t="str"><v>Apps & Infra</v></cell><cell r="T1441" t="str"><v>Developers & ITI's</v></cell><cell r="U1441" t="str"><v>USA-Trial-ITD-Trial PayGo Lookalike-AZR-AZR</v></cell><cell r="V1441" t="str"><v>Lookalike Targeting</v></cell><cell r="W1441" t="str"><v>Canvas Ad</v></cell><cell r="X1441" t="str"><v>1200x1200</v></cell><cell r="Y1441" t="str"><v>Learn More</v></cell><cell r="Z1441" t="str"><v>Animated Banner</v></cell><cell r="AA1441"><v>43356</v></cell><cell r="AB1441" t="str"><v>USA_gaPMG_AZR_AZR_Q1_19_Direct-Social</v></cell><cell r="AC1441"><v>21358715</v></cell><cell r="AD1441"><v>720197</v></cell><cell r="AE1441" t="str"><v>Linkedin</v></cell><cell r="AF1441"><v>3654329</v></cell><cell r="AG1441" t="str"><v>FACEBOOK»USA-Trial-ITD-Trial PayGo Lookalike-AZR-AZR»1 x 1»SocialBan»CAN»ALL»CPA»LAL»X»NA»SS»NA»FreeAcctITProFB-AnimatedHybrid-Ch2»PS7B5Z</v></cell><cell r="AH1441" t="str"><v>PS7B5Z</v></cell><cell r="AI1441" t="str"><v>AZR_FreeAcctITProFB-AnimatedHybrid-Ch2_USA_1200x1200_CAN_Direct_EN_Trial_Standard_ANI_LEA_T2_1</v></cell><cell r="AJ1441"><v>104592535</v></cell></row><row r="1442"><cell r="D1442" t="str"><v>43356PS7B60</v></cell><cell r="E1442" t="str"><v>43356104595730PS7B60</v></cell><cell r="F1442" t="str"><v>Appended from Pub - Not in DCM</v></cell></row><row r="1442"><cell r="I1442" t="str"><v>Azure Direct</v></cell><cell r="J1442" t="str"><v>Azure Direct</v></cell><cell r="K1442" t="str"><v>September</v></cell><cell r="L1442"><v>43358</v></cell><cell r="M1442" t="str"><v>Tier 0</v></cell><cell r="N1442" t="str"><v>North America</v></cell><cell r="O1442" t="str"><v>United States</v></cell><cell r="P1442" t="str"><v>Trial</v></cell><cell r="Q1442" t="str"><v>Social</v></cell><cell r="R1442" t="str"><v>Azure</v></cell><cell r="S1442" t="str"><v>Apps & Infra</v></cell><cell r="T1442" t="str"><v>Developers & ITI's</v></cell><cell r="U1442" t="str"><v>USA-Trial-ITD-Trial PayGo Lookalike-AZR-AZR</v></cell><cell r="V1442" t="str"><v>Lookalike Targeting</v></cell><cell r="W1442" t="str"><v>Canvas Ad</v></cell><cell r="X1442" t="str"><v>1200x1200</v></cell><cell r="Y1442" t="str"><v>Learn More</v></cell><cell r="Z1442" t="str"><v>Animated Banner</v></cell><cell r="AA1442"><v>43356</v></cell><cell r="AB1442" t="str"><v>USA_gaPMG_AZR_AZR_Q1_19_Direct-Social</v></cell><cell r="AC1442"><v>21358715</v></cell><cell r="AD1442"><v>720197</v></cell><cell r="AE1442" t="str"><v>Linkedin</v></cell><cell r="AF1442"><v>3654329</v></cell><cell r="AG1442" t="str"><v>FACEBOOK»USA-Trial-ITD-Trial PayGo Lookalike-AZR-AZR»1 x 1»SocialBan»CAN»ALL»CPA»LAL»X»NA»SS»NA»FreeAcctITProFB-AnimatedMigration-Ch3»PS7B60</v></cell><cell r="AH1442" t="str"><v>PS7B60</v></cell><cell r="AI1442" t="str"><v>AZR_FreeAcctITProFB-AnimatedMigration-Ch3_USA_1200x1200_CAN_Direct_EN_Trial_Standard_ANI_LEA_T3_2</v></cell><cell r="AJ1442"><v>104595730</v></cell></row><row r="1443"><cell r="D1443" t="str"><v>43356PS7BT9</v></cell><cell r="E1443" t="str"><v>43356PS7BT9</v></cell><cell r="F1443" t="str"><v>Appended from Pub - Not in DCM</v></cell></row><row r="1443"><cell r="I1443" t="str"><v>Azure Direct</v></cell><cell r="J1443" t="str"><v>Azure Direct</v></cell><cell r="K1443" t="str"><v>September</v></cell><cell r="L1443"><v>43358</v></cell><cell r="M1443" t="str"><v>Tier 0</v></cell><cell r="N1443" t="str"><v>North America</v></cell><cell r="O1443" t="str"><v>United States</v></cell><cell r="P1443" t="str"><v>Trial</v></cell><cell r="Q1443" t="str"><v>Social</v></cell><cell r="R1443" t="str"><v>Azure</v></cell><cell r="S1443" t="str"><v>Apps & Infra</v></cell><cell r="T1443" t="str"><v>Developers & ITI's</v></cell><cell r="U1443" t="str"><v>USA-Trial-ITD-Bing Retargeting LAL-AZR-AZR</v></cell><cell r="V1443" t="str"><v>Retargeting</v></cell><cell r="W1443" t="str"><v>Video Link ad</v></cell></row><row r="1443"><cell r="AA1443"><v>43356</v></cell><cell r="AB1443" t="str"><v>USA_gaPMG_AZR_AZR_Q1_19_Direct-Social</v></cell><cell r="AC1443"><v>21358715</v></cell><cell r="AD1443"><v>720197</v></cell><cell r="AE1443" t="str"><v>Linkedin</v></cell><cell r="AF1443"><v>3654329</v></cell><cell r="AG1443" t="str"><v>LINKEDIN»USA-Trial-ITD-Bing Retargeting LAL-AZR-AZR»1 x 1»SocialBan»VLA»ALL»CPA»RT»D»All»SS»NA»FreeAcctITProLI-AnimatedHybrid-Ch2»PS7BT9</v></cell><cell r="AH1443" t="str"><v>PS7BT9</v></cell></row><row r="1444"><cell r="D1444" t="str"><v>43356PS7BT1</v></cell><cell r="E1444" t="str"><v>43356PS7BT1</v></cell><cell r="F1444" t="str"><v>Appended from Pub - Not in DCM</v></cell></row><row r="1444"><cell r="I1444" t="str"><v>Azure Direct</v></cell><cell r="J1444" t="str"><v>Azure Direct</v></cell><cell r="K1444" t="str"><v>September</v></cell><cell r="L1444"><v>43358</v></cell><cell r="M1444" t="str"><v>Tier 0</v></cell><cell r="N1444" t="str"><v>North America</v></cell><cell r="O1444" t="str"><v>United States</v></cell><cell r="P1444" t="str"><v>Trial</v></cell><cell r="Q1444" t="str"><v>Social</v></cell><cell r="R1444" t="str"><v>Azure</v></cell><cell r="S1444" t="str"><v>Apps & Infra</v></cell><cell r="T1444" t="str"><v>Developers & ITI's</v></cell><cell r="U1444" t="str"><v>USA-Trial-ITD-Bing Retargeting LAL-AZR-AZR</v></cell><cell r="V1444" t="str"><v>Retargeting</v></cell><cell r="W1444" t="str"><v>Video Link ad</v></cell></row><row r="1444"><cell r="AA1444"><v>43356</v></cell><cell r="AB1444" t="str"><v>USA_gaPMG_AZR_AZR_Q1_19_Direct-Social</v></cell><cell r="AC1444"><v>21358715</v></cell><cell r="AD1444"><v>720197</v></cell><cell r="AE1444" t="str"><v>Linkedin</v></cell><cell r="AF1444"><v>3654329</v></cell><cell r="AG1444" t="str"><v>LINKEDIN»USA-Trial-ITD-Bing Retargeting LAL-AZR-AZR»1 x 1»SocialBan»VLA»ALL»CPA»RT»D»All»SS»NA»FreeAcctDeveloperLI-AnimatedGeneric-Ch1»PS7BT1</v></cell><cell r="AH1444" t="str"><v>PS7BT1</v></cell></row><row r="1445"><cell r="D1445" t="str"><v>43356PS7BVB</v></cell><cell r="E1445" t="str"><v>43356104593732PS7BVB</v></cell><cell r="F1445" t="str"><v>Appended from Pub - Not in DCM</v></cell></row><row r="1445"><cell r="I1445" t="str"><v>Azure Direct</v></cell><cell r="J1445" t="str"><v>Azure Direct</v></cell><cell r="K1445" t="str"><v>September</v></cell><cell r="L1445"><v>43358</v></cell><cell r="M1445" t="str"><v>Tier 0</v></cell><cell r="N1445" t="str"><v>North America</v></cell><cell r="O1445" t="str"><v>United States</v></cell><cell r="P1445" t="str"><v>Trial</v></cell><cell r="Q1445" t="str"><v>Social</v></cell><cell r="R1445" t="str"><v>Azure</v></cell><cell r="S1445" t="str"><v>Apps & Infra</v></cell><cell r="T1445" t="str"><v>Developers & ITI's</v></cell><cell r="U1445" t="str"><v>USA-Trial-ITD-Skills Prospecting-AZR-AZR</v></cell><cell r="V1445" t="str"><v>Prospecting</v></cell><cell r="W1445" t="str"><v>Video Link ad</v></cell><cell r="X1445" t="str"><v>1920x1080</v></cell><cell r="Y1445" t="str"><v>Learn More</v></cell><cell r="Z1445" t="str"><v>Animated Banner</v></cell><cell r="AA1445"><v>43356</v></cell><cell r="AB1445" t="str"><v>USA_gaPMG_AZR_AZR_Q1_19_Direct-Social</v></cell><cell r="AC1445"><v>21358715</v></cell><cell r="AD1445"><v>720197</v></cell><cell r="AE1445" t="str"><v>Linkedin</v></cell><cell r="AF1445"><v>3654329</v></cell><cell r="AG1445" t="str"><v>LINKEDIN»USA-Trial-ITD-Skills Prospecting-AZR-AZR»1 x 1»SocialBan»VLA»ALL»CPA»PRO»D»All»SS»NA»FreeAcctDeveloperLI-AnimatedData-Ch4»PS7BVB</v></cell><cell r="AH1445" t="str"><v>PS7BVB</v></cell><cell r="AI1445" t="str"><v>AZR_FreeAcctDeveloperLI-AnimatedData-Ch4_USA_1920x1080_VLA_Direct_EN_Trial_Standard_ANI_LEA_T4_1</v></cell><cell r="AJ1445"><v>104593732</v></cell></row><row r="1446"><cell r="D1446" t="str"><v>43356PS7BVD</v></cell><cell r="E1446" t="str"><v>43356104671424PS7BVD</v></cell><cell r="F1446" t="str"><v>Appended from Pub - Not in DCM</v></cell></row><row r="1446"><cell r="I1446" t="str"><v>Azure Direct</v></cell><cell r="J1446" t="str"><v>Azure Direct</v></cell><cell r="K1446" t="str"><v>September</v></cell><cell r="L1446"><v>43358</v></cell><cell r="M1446" t="str"><v>Tier 0</v></cell><cell r="N1446" t="str"><v>North America</v></cell><cell r="O1446" t="str"><v>United States</v></cell><cell r="P1446" t="str"><v>Trial</v></cell><cell r="Q1446" t="str"><v>Social</v></cell><cell r="R1446" t="str"><v>Azure</v></cell><cell r="S1446" t="str"><v>Apps & Infra</v></cell><cell r="T1446" t="str"><v>Developers & ITI's</v></cell><cell r="U1446" t="str"><v>USA-Trial-ITD-Skills Prospecting-AZR-AZR</v></cell><cell r="V1446" t="str"><v>Prospecting</v></cell><cell r="W1446" t="str"><v>Video Link ad</v></cell><cell r="X1446" t="str"><v>1920x1080</v></cell><cell r="Y1446" t="str"><v>Learn More</v></cell><cell r="Z1446" t="str"><v>Animated Banner</v></cell><cell r="AA1446"><v>43356</v></cell><cell r="AB1446" t="str"><v>USA_gaPMG_AZR_AZR_Q1_19_Direct-Social</v></cell><cell r="AC1446"><v>21358715</v></cell><cell r="AD1446"><v>720197</v></cell><cell r="AE1446" t="str"><v>Linkedin</v></cell><cell r="AF1446"><v>3654329</v></cell><cell r="AG1446" t="str"><v>LINKEDIN»USA-Trial-ITD-Skills Prospecting-AZR-AZR»1 x 1»SocialBan»VLA»ALL»CPA»PRO»D»All»SS»NA»FreeAcctITProLI-AnimatedHybrid-Ch2»PS7BVD</v></cell><cell r="AH1446" t="str"><v>PS7BVD</v></cell><cell r="AI1446" t="str"><v>AZR_FreeAcctITProLI-AnimatedHybrid-Ch2_USA_1920x1080_VLA_Direct_EN_Trial_Standard_ANI_LEA_T2_1</v></cell><cell r="AJ1446"><v>104671424</v></cell></row><row r="1447"><cell r="D1447" t="str"><v>43356PS7B6R</v></cell><cell r="E1447" t="str"><v>43356104671424PS7B6R</v></cell><cell r="F1447" t="str"><v>Appended from Pub - Not in DCM</v></cell></row><row r="1447"><cell r="I1447" t="str"><v>Azure Direct</v></cell><cell r="J1447" t="str"><v>Azure Direct</v></cell><cell r="K1447" t="str"><v>September</v></cell><cell r="L1447"><v>43358</v></cell><cell r="M1447" t="str"><v>Tier 0</v></cell><cell r="N1447" t="str"><v>North America</v></cell><cell r="O1447" t="str"><v>United States</v></cell><cell r="P1447" t="str"><v>Trial</v></cell><cell r="Q1447" t="str"><v>Social</v></cell><cell r="R1447" t="str"><v>Azure</v></cell><cell r="S1447" t="str"><v>Apps & Infra</v></cell><cell r="T1447" t="str"><v>Developers & ITI's</v></cell><cell r="U1447" t="str"><v>USA-Trial-ITD-Job Titles Prospecting-AZR-AZR</v></cell><cell r="V1447" t="str"><v>Prospecting</v></cell><cell r="W1447" t="str"><v>Video Link ad</v></cell><cell r="X1447" t="str"><v>1920x1080</v></cell><cell r="Y1447" t="str"><v>Learn More</v></cell><cell r="Z1447" t="str"><v>Animated Banner</v></cell><cell r="AA1447"><v>43356</v></cell><cell r="AB1447" t="str"><v>USA_gaPMG_AZR_AZR_Q1_19_Direct-Social</v></cell><cell r="AC1447"><v>21358715</v></cell><cell r="AD1447"><v>720197</v></cell><cell r="AE1447" t="str"><v>Linkedin</v></cell><cell r="AF1447"><v>3654329</v></cell><cell r="AG1447" t="str"><v>LINKEDIN»USA-Trial-ITD-Job Titles Prospecting-AZR-AZR»1 x 1»SocialBan»VLA»ALL»CPA»PRO»D»All»SS»NA»FreeAcctITProLI-AnimatedHybrid-Ch2»PS7B6R</v></cell><cell r="AH1447" t="str"><v>PS7B6R</v></cell><cell r="AI1447" t="str"><v>AZR_FreeAcctITProLI-AnimatedHybrid-Ch2_USA_1920x1080_VLA_Direct_EN_Trial_Standard_ANI_LEA_T2_1</v></cell><cell r="AJ1447"><v>104671424</v></cell></row><row r="1448"><cell r="D1448" t="str"><v>43356PS7BV6</v></cell><cell r="E1448" t="str"><v>43356104593723PS7BV6</v></cell><cell r="F1448" t="str"><v>Appended from Pub - Not in DCM</v></cell></row><row r="1448"><cell r="I1448" t="str"><v>Azure Direct</v></cell><cell r="J1448" t="str"><v>Azure Direct</v></cell><cell r="K1448" t="str"><v>September</v></cell><cell r="L1448"><v>43358</v></cell><cell r="M1448" t="str"><v>Tier 0</v></cell><cell r="N1448" t="str"><v>North America</v></cell><cell r="O1448" t="str"><v>United States</v></cell><cell r="P1448" t="str"><v>Trial</v></cell><cell r="Q1448" t="str"><v>Social</v></cell><cell r="R1448" t="str"><v>Azure</v></cell><cell r="S1448" t="str"><v>Apps & Infra</v></cell><cell r="T1448" t="str"><v>Developers & ITI's</v></cell><cell r="U1448" t="str"><v>USA-Trial-ITD-Skills Prospecting-AZR-AZR</v></cell><cell r="V1448" t="str"><v>Prospecting</v></cell><cell r="W1448" t="str"><v>Link Ad</v></cell><cell r="X1448" t="str"><v>1200x627</v></cell><cell r="Y1448" t="str"><v>Sign Up</v></cell><cell r="Z1448" t="str"><v>Not Applicable</v></cell><cell r="AA1448"><v>43356</v></cell><cell r="AB1448" t="str"><v>USA_gaPMG_AZR_AZR_Q1_19_Direct-Social</v></cell><cell r="AC1448"><v>21358715</v></cell><cell r="AD1448"><v>720197</v></cell><cell r="AE1448" t="str"><v>Linkedin</v></cell><cell r="AF1448"><v>3654329</v></cell><cell r="AG1448" t="str"><v>LINKEDIN»USA-Trial-ITD-Skills Prospecting-AZR-AZR»1 x 1»SocialBan»LIA»ALL»CPA»PRO»D»All»SS»NA»FreeAcctRetargetingLI-GlobalAlt-ChB»PS7BV6</v></cell><cell r="AH1448" t="str"><v>PS7BV6</v></cell><cell r="AI1448" t="str"><v>AZR_FreeAcctRetargetingLI-GlobalAlt-ChB_USA_1200x627_LIA_Plat_English_Free Account_Standard_NA_SINU_T2_1</v></cell><cell r="AJ1448"><v>104593723</v></cell></row><row r="1449"><cell r="D1449" t="str"><v>43357PRC1VX</v></cell><cell r="E1449" t="str"><v>43357103176812PRC1VX</v></cell><cell r="F1449" t="str"><v>Appended from Pub - Not in DCM</v></cell></row><row r="1449"><cell r="I1449" t="str"><v>Azure Direct</v></cell><cell r="J1449" t="str"><v>Azure Direct</v></cell><cell r="K1449" t="str"><v>September</v></cell><cell r="L1449"><v>43358</v></cell><cell r="M1449" t="str"><v>Tier 0</v></cell><cell r="N1449" t="str"><v>North America</v></cell><cell r="O1449" t="str"><v>United States</v></cell><cell r="P1449" t="str"><v>Trial</v></cell><cell r="Q1449" t="str"><v>Social</v></cell><cell r="R1449" t="str"><v>Azure</v></cell><cell r="S1449" t="str"><v>Apps & Infra</v></cell><cell r="T1449" t="str"><v>Developers & ITI's</v></cell><cell r="U1449" t="str"><v>USA-Trial-ITD-Lead Completes-AZR-AZR</v></cell><cell r="V1449" t="str"><v>Prospecting</v></cell><cell r="W1449" t="str"><v>Canvas Ad</v></cell><cell r="X1449" t="str"><v>10s</v></cell><cell r="Y1449" t="str"><v>Try it Now</v></cell><cell r="Z1449" t="str"><v>Standard videos</v></cell><cell r="AA1449"><v>43357</v></cell><cell r="AB1449" t="str"><v>USA_gaPMG_AZR_AZR_Q1_19_Direct-Social</v></cell><cell r="AC1449"><v>21358715</v></cell><cell r="AD1449"><v>720197</v></cell><cell r="AE1449" t="str"><v>Linkedin</v></cell><cell r="AF1449"><v>3654329</v></cell><cell r="AG1449" t="str"><v>FACEBOOK»USA-Trial-ITD-Lead Completes-AZR-AZR»1 x 1»SocialBan»CAN»ALL»CPA»PRO»X»NA»SS»NA»FBCTCBrandinMotion»PRC1VX</v></cell><cell r="AH1449" t="str"><v>PRC1VX</v></cell><cell r="AI1449" t="str"><v>AzurePlatform_FBCTCBrandinMotion_USA_10s_CAN_PLATFORM_English_Trial_Standard_STAN_TIN_T2_1</v></cell><cell r="AJ1449"><v>103176812</v></cell></row><row r="1450"><cell r="D1450" t="str"><v>43357PS78JJ</v></cell><cell r="E1450" t="str"><v>43357104595730PS78JJ</v></cell><cell r="F1450" t="str"><v>Appended from Pub - Not in DCM</v></cell></row><row r="1450"><cell r="I1450" t="str"><v>Azure Direct</v></cell><cell r="J1450" t="str"><v>Azure Direct</v></cell><cell r="K1450" t="str"><v>September</v></cell><cell r="L1450"><v>43358</v></cell><cell r="M1450" t="str"><v>Tier 0</v></cell><cell r="N1450" t="str"><v>North America</v></cell><cell r="O1450" t="str"><v>United States</v></cell><cell r="P1450" t="str"><v>Trial</v></cell><cell r="Q1450" t="str"><v>Social</v></cell><cell r="R1450" t="str"><v>Azure</v></cell><cell r="S1450" t="str"><v>Apps & Infra</v></cell><cell r="T1450" t="str"><v>Developers & ITI's</v></cell><cell r="U1450" t="str"><v>USA-Trial-ITD-Interest Prospecting-AZR-AZR</v></cell><cell r="V1450" t="str"><v>Prospecting</v></cell><cell r="W1450" t="str"><v>Canvas Ad</v></cell><cell r="X1450" t="str"><v>1200x1200</v></cell><cell r="Y1450" t="str"><v>Learn More</v></cell><cell r="Z1450" t="str"><v>Animated Banner</v></cell><cell r="AA1450"><v>43357</v></cell><cell r="AB1450" t="str"><v>USA_gaPMG_AZR_AZR_Q1_19_Direct-Social</v></cell><cell r="AC1450"><v>21358715</v></cell><cell r="AD1450"><v>720197</v></cell><cell r="AE1450" t="str"><v>Linkedin</v></cell><cell r="AF1450"><v>3654329</v></cell><cell r="AG1450" t="str"><v>FACEBOOK»USA-Trial-ITD-Interest Prospecting-AZR-AZR»1 x 1»SocialBan»CAN»ALL»CPA»PRO»X»NA»SS»NA»FreeAcctITProFB-AnimatedMigration-Ch3»PS78JJ</v></cell><cell r="AH1450" t="str"><v>PS78JJ</v></cell><cell r="AI1450" t="str"><v>AZR_FreeAcctITProFB-AnimatedMigration-Ch3_USA_1200x1200_CAN_Direct_EN_Trial_Standard_ANI_LEA_T3_2</v></cell><cell r="AJ1450"><v>104595730</v></cell></row><row r="1451"><cell r="D1451" t="str"><v>43357PS78J6</v></cell><cell r="E1451" t="str"><v>43357104595766PS78J6</v></cell><cell r="F1451" t="str"><v>Appended from Pub - Not in DCM</v></cell></row><row r="1451"><cell r="I1451" t="str"><v>Azure Direct</v></cell><cell r="J1451" t="str"><v>Azure Direct</v></cell><cell r="K1451" t="str"><v>September</v></cell><cell r="L1451"><v>43358</v></cell><cell r="M1451" t="str"><v>Tier 0</v></cell><cell r="N1451" t="str"><v>North America</v></cell><cell r="O1451" t="str"><v>United States</v></cell><cell r="P1451" t="str"><v>Trial</v></cell><cell r="Q1451" t="str"><v>Social</v></cell><cell r="R1451" t="str"><v>Azure</v></cell><cell r="S1451" t="str"><v>Apps & Infra</v></cell><cell r="T1451" t="str"><v>Developers & ITI's</v></cell><cell r="U1451" t="str"><v>USA-Trial-ITD-Interest Prospecting-AZR-AZR</v></cell><cell r="V1451" t="str"><v>Prospecting</v></cell><cell r="W1451" t="str"><v>Canvas Ad</v></cell><cell r="X1451" t="str"><v>1200x1200</v></cell><cell r="Y1451" t="str"><v>Learn More</v></cell><cell r="Z1451" t="str"><v>Animated Banner</v></cell><cell r="AA1451"><v>43357</v></cell><cell r="AB1451" t="str"><v>USA_gaPMG_AZR_AZR_Q1_19_Direct-Social</v></cell><cell r="AC1451"><v>21358715</v></cell><cell r="AD1451"><v>720197</v></cell><cell r="AE1451" t="str"><v>Linkedin</v></cell><cell r="AF1451"><v>3654329</v></cell><cell r="AG1451" t="str"><v>FACEBOOK»USA-Trial-ITD-Interest Prospecting-AZR-AZR»1 x 1»SocialBan»CAN»ALL»CPA»PRO»X»NA»SS»NA»FreeAcctDeveloperFB-AnimatedGeneric-Ch1»PS78J6</v></cell><cell r="AH1451" t="str"><v>PS78J6</v></cell><cell r="AI1451" t="str"><v>AZR_FreeAcctDeveloperFB-AnimatedGeneric-Ch1_USA_1200x1200_CAN_Direct_EN_Trial_Standard_ANI_LEA_T1_1</v></cell><cell r="AJ1451"><v>104595766</v></cell></row><row r="1452"><cell r="D1452" t="str"><v>43357PS78J5</v></cell><cell r="E1452" t="str"><v>43357104595766PS78J5</v></cell><cell r="F1452" t="str"><v>Appended from Pub - Not in DCM</v></cell></row><row r="1452"><cell r="I1452" t="str"><v>Azure Direct</v></cell><cell r="J1452" t="str"><v>Azure Direct</v></cell><cell r="K1452" t="str"><v>September</v></cell><cell r="L1452"><v>43358</v></cell><cell r="M1452" t="str"><v>Tier 0</v></cell><cell r="N1452" t="str"><v>North America</v></cell><cell r="O1452" t="str"><v>United States</v></cell><cell r="P1452" t="str"><v>Trial</v></cell><cell r="Q1452" t="str"><v>Social</v></cell><cell r="R1452" t="str"><v>Azure</v></cell><cell r="S1452" t="str"><v>Apps & Infra</v></cell><cell r="T1452" t="str"><v>Developers & ITI's</v></cell><cell r="U1452" t="str"><v>USA-Trial-ITD-Interest Prospecting-AZR-AZR</v></cell><cell r="V1452" t="str"><v>Prospecting</v></cell><cell r="W1452" t="str"><v>Canvas Ad</v></cell><cell r="X1452" t="str"><v>1200x1200</v></cell><cell r="Y1452" t="str"><v>Learn More</v></cell><cell r="Z1452" t="str"><v>Animated Banner</v></cell><cell r="AA1452"><v>43357</v></cell><cell r="AB1452" t="str"><v>USA_gaPMG_AZR_AZR_Q1_19_Direct-Social</v></cell><cell r="AC1452"><v>21358715</v></cell><cell r="AD1452"><v>720197</v></cell><cell r="AE1452" t="str"><v>Linkedin</v></cell><cell r="AF1452"><v>3654329</v></cell><cell r="AG1452" t="str"><v>FACEBOOK»USA-Trial-ITD-Interest Prospecting-AZR-AZR»1 x 1»SocialBan»CAN»ALL»CPA»PRO»X»NA»SS»NA»FreeAcctDeveloperFB-AnimatedGeneric-Ch1»PS78J5</v></cell><cell r="AH1452" t="str"><v>PS78J5</v></cell><cell r="AI1452" t="str"><v>AZR_FreeAcctDeveloperFB-AnimatedGeneric-Ch1_USA_1200x1200_CAN_Direct_EN_Trial_Standard_ANI_LEA_T1_1</v></cell><cell r="AJ1452"><v>104595766</v></cell></row><row r="1453"><cell r="D1453" t="str"><v>43357PS78JH</v></cell><cell r="E1453" t="str"><v>43357104592535PS78JH</v></cell><cell r="F1453" t="str"><v>Appended from Pub - Not in DCM</v></cell></row><row r="1453"><cell r="I1453" t="str"><v>Azure Direct</v></cell><cell r="J1453" t="str"><v>Azure Direct</v></cell><cell r="K1453" t="str"><v>September</v></cell><cell r="L1453"><v>43358</v></cell><cell r="M1453" t="str"><v>Tier 0</v></cell><cell r="N1453" t="str"><v>North America</v></cell><cell r="O1453" t="str"><v>United States</v></cell><cell r="P1453" t="str"><v>Trial</v></cell><cell r="Q1453" t="str"><v>Social</v></cell><cell r="R1453" t="str"><v>Azure</v></cell><cell r="S1453" t="str"><v>Apps & Infra</v></cell><cell r="T1453" t="str"><v>Developers & ITI's</v></cell><cell r="U1453" t="str"><v>USA-Trial-ITD-Interest Prospecting-AZR-AZR</v></cell><cell r="V1453" t="str"><v>Prospecting</v></cell><cell r="W1453" t="str"><v>Canvas Ad</v></cell><cell r="X1453" t="str"><v>1200x1200</v></cell><cell r="Y1453" t="str"><v>Learn More</v></cell><cell r="Z1453" t="str"><v>Animated Banner</v></cell><cell r="AA1453"><v>43357</v></cell><cell r="AB1453" t="str"><v>USA_gaPMG_AZR_AZR_Q1_19_Direct-Social</v></cell><cell r="AC1453"><v>21358715</v></cell><cell r="AD1453"><v>720197</v></cell><cell r="AE1453" t="str"><v>Linkedin</v></cell><cell r="AF1453"><v>3654329</v></cell><cell r="AG1453" t="str"><v>FACEBOOK»USA-Trial-ITD-Interest Prospecting-AZR-AZR»1 x 1»SocialBan»CAN»ALL»CPA»PRO»X»NA»SS»NA»FreeAcctITProFB-AnimatedHybrid-Ch2»PS78JH</v></cell><cell r="AH1453" t="str"><v>PS78JH</v></cell><cell r="AI1453" t="str"><v>AZR_FreeAcctITProFB-AnimatedHybrid-Ch2_USA_1200x1200_CAN_Direct_EN_Trial_Standard_ANI_LEA_T2_1</v></cell><cell r="AJ1453"><v>104592535</v></cell></row><row r="1454"><cell r="D1454" t="str"><v>43357PS78J7</v></cell><cell r="E1454" t="str"><v>43357104593438PS78J7</v></cell><cell r="F1454" t="str"><v>Appended from Pub - Not in DCM</v></cell></row><row r="1454"><cell r="I1454" t="str"><v>Azure Direct</v></cell><cell r="J1454" t="str"><v>Azure Direct</v></cell><cell r="K1454" t="str"><v>September</v></cell><cell r="L1454"><v>43358</v></cell><cell r="M1454" t="str"><v>Tier 0</v></cell><cell r="N1454" t="str"><v>North America</v></cell><cell r="O1454" t="str"><v>United States</v></cell><cell r="P1454" t="str"><v>Trial</v></cell><cell r="Q1454" t="str"><v>Social</v></cell><cell r="R1454" t="str"><v>Azure</v></cell><cell r="S1454" t="str"><v>Apps & Infra</v></cell><cell r="T1454" t="str"><v>Developers & ITI's</v></cell><cell r="U1454" t="str"><v>USA-Trial-ITD-Interest Prospecting-AZR-AZR</v></cell><cell r="V1454" t="str"><v>Prospecting</v></cell><cell r="W1454" t="str"><v>Canvas Ad</v></cell><cell r="X1454" t="str"><v>1200x1200</v></cell><cell r="Y1454" t="str"><v>Learn More</v></cell><cell r="Z1454" t="str"><v>Animated Banner</v></cell><cell r="AA1454"><v>43357</v></cell><cell r="AB1454" t="str"><v>USA_gaPMG_AZR_AZR_Q1_19_Direct-Social</v></cell><cell r="AC1454"><v>21358715</v></cell><cell r="AD1454"><v>720197</v></cell><cell r="AE1454" t="str"><v>Linkedin</v></cell><cell r="AF1454"><v>3654329</v></cell><cell r="AG1454" t="str"><v>FACEBOOK»USA-Trial-ITD-Interest Prospecting-AZR-AZR»1 x 1»SocialBan»CAN»ALL»CPA»PRO»X»NA»SS»NA»FreeAcctDeveloperFB-AnimatedOpenSource-Ch2»PS78J7</v></cell><cell r="AH1454" t="str"><v>PS78J7</v></cell><cell r="AI1454" t="str"><v>AZR_FreeAcctDeveloperFB-AnimatedOpenSource-Ch2_USA_1200x1200_CAN_Direct_EN_Trial_Standard_ANI_LEA_T2_2</v></cell><cell r="AJ1454"><v>104593438</v></cell></row><row r="1455"><cell r="D1455" t="str"><v>43357PS78J8</v></cell><cell r="E1455" t="str"><v>43357104593735PS78J8</v></cell><cell r="F1455" t="str"><v>Appended from Pub - Not in DCM</v></cell></row><row r="1455"><cell r="I1455" t="str"><v>Azure Direct</v></cell><cell r="J1455" t="str"><v>Azure Direct</v></cell><cell r="K1455" t="str"><v>September</v></cell><cell r="L1455"><v>43358</v></cell><cell r="M1455" t="str"><v>Tier 0</v></cell><cell r="N1455" t="str"><v>North America</v></cell><cell r="O1455" t="str"><v>United States</v></cell><cell r="P1455" t="str"><v>Trial</v></cell><cell r="Q1455" t="str"><v>Social</v></cell><cell r="R1455" t="str"><v>Azure</v></cell><cell r="S1455" t="str"><v>Apps & Infra</v></cell><cell r="T1455" t="str"><v>Developers & ITI's</v></cell><cell r="U1455" t="str"><v>USA-Trial-ITD-Interest Prospecting-AZR-AZR</v></cell><cell r="V1455" t="str"><v>Prospecting</v></cell><cell r="W1455" t="str"><v>Canvas Ad</v></cell><cell r="X1455" t="str"><v>1200x1200</v></cell><cell r="Y1455" t="str"><v>Learn More</v></cell><cell r="Z1455" t="str"><v>Animated Banner</v></cell><cell r="AA1455"><v>43357</v></cell><cell r="AB1455" t="str"><v>USA_gaPMG_AZR_AZR_Q1_19_Direct-Social</v></cell><cell r="AC1455"><v>21358715</v></cell><cell r="AD1455"><v>720197</v></cell><cell r="AE1455" t="str"><v>Linkedin</v></cell><cell r="AF1455"><v>3654329</v></cell><cell r="AG1455" t="str"><v>FACEBOOK»USA-Trial-ITD-Interest Prospecting-AZR-AZR»1 x 1»SocialBan»CAN»ALL»CPA»PRO»X»NA»SS»NA»FreeAcctDeveloperFB-AnimatedAI-Ch3»PS78J8</v></cell><cell r="AH1455" t="str"><v>PS78J8</v></cell><cell r="AI1455" t="str"><v>AZR_FreeAcctDeveloperFB-AnimatedAI-Ch3_USA_1200x1200_CAN_Direct_EN_Trial_Standard_ANI_LEA_T3_1</v></cell><cell r="AJ1455"><v>104593735</v></cell></row><row r="1456"><cell r="D1456" t="str"><v>43357PRSGWS</v></cell><cell r="E1456" t="str"><v>43357103773177PRSGWS</v></cell><cell r="F1456" t="str"><v>Appended from Pub - Not in DCM</v></cell></row><row r="1456"><cell r="I1456" t="str"><v>Azure Direct</v></cell><cell r="J1456" t="str"><v>Azure Direct</v></cell><cell r="K1456" t="str"><v>September</v></cell><cell r="L1456"><v>43358</v></cell><cell r="M1456" t="str"><v>Tier 0</v></cell><cell r="N1456" t="str"><v>North America</v></cell><cell r="O1456" t="str"><v>United States</v></cell><cell r="P1456" t="str"><v>Trial</v></cell><cell r="Q1456" t="str"><v>Social</v></cell><cell r="R1456" t="str"><v>Azure</v></cell><cell r="S1456" t="str"><v>Apps & Infra</v></cell><cell r="T1456" t="str"><v>Developers & ITI's</v></cell><cell r="U1456" t="str"><v>USA-Trial-ITD-Lead Completes-AZR-AZR</v></cell><cell r="V1456" t="str"><v>Prospecting</v></cell><cell r="W1456" t="str"><v>Canvas Collection Ad</v></cell><cell r="X1456" t="str"><v>1200x182</v></cell><cell r="Y1456" t="str"><v>Try it Now</v></cell><cell r="Z1456" t="str"><v>Not Applicable</v></cell><cell r="AA1456"><v>43357</v></cell><cell r="AB1456" t="str"><v>USA_gaPMG_AZR_AZR_Q1_19_Direct-Social</v></cell><cell r="AC1456"><v>21358715</v></cell><cell r="AD1456"><v>720197</v></cell><cell r="AE1456" t="str"><v>Linkedin</v></cell><cell r="AF1456"><v>3654329</v></cell><cell r="AG1456" t="str"><v>FACEBOOK»USA-Trial-ITD-Lead Completes-AZR-AZR»1 x 1»SocialBan»CCA»ALL»CPA»PRO»X»NA»SS»NA»Azure Developer Facebook Collections»PRSGWS</v></cell><cell r="AH1456" t="str"><v>PRSGWS</v></cell><cell r="AI1456" t="str"><v>AZR_FBCollections-AITryAzureFreeCTA-Img2_USA_1200x182_SOC_Plat_EN_NA_Standard_NA_TIN_T1_2</v></cell><cell r="AJ1456"><v>103773177</v></cell></row><row r="1457"><cell r="D1457" t="str"><v>43357PS7B5Q</v></cell><cell r="E1457" t="str"><v>43357104595766PS7B5Q</v></cell><cell r="F1457" t="str"><v>Appended from Pub - Not in DCM</v></cell></row><row r="1457"><cell r="I1457" t="str"><v>Azure Direct</v></cell><cell r="J1457" t="str"><v>Azure Direct</v></cell><cell r="K1457" t="str"><v>September</v></cell><cell r="L1457"><v>43358</v></cell><cell r="M1457" t="str"><v>Tier 0</v></cell><cell r="N1457" t="str"><v>North America</v></cell><cell r="O1457" t="str"><v>United States</v></cell><cell r="P1457" t="str"><v>Trial</v></cell><cell r="Q1457" t="str"><v>Social</v></cell><cell r="R1457" t="str"><v>Azure</v></cell><cell r="S1457" t="str"><v>Apps & Infra</v></cell><cell r="T1457" t="str"><v>Developers & ITI's</v></cell><cell r="U1457" t="str"><v>USA-Trial-ITD-Trial PayGo Lookalike-AZR-AZR</v></cell><cell r="V1457" t="str"><v>Lookalike Targeting</v></cell><cell r="W1457" t="str"><v>Canvas Ad</v></cell><cell r="X1457" t="str"><v>1200x1200</v></cell><cell r="Y1457" t="str"><v>Learn More</v></cell><cell r="Z1457" t="str"><v>Animated Banner</v></cell><cell r="AA1457"><v>43357</v></cell><cell r="AB1457" t="str"><v>USA_gaPMG_AZR_AZR_Q1_19_Direct-Social</v></cell><cell r="AC1457"><v>21358715</v></cell><cell r="AD1457"><v>720197</v></cell><cell r="AE1457" t="str"><v>Linkedin</v></cell><cell r="AF1457"><v>3654329</v></cell><cell r="AG1457" t="str"><v>FACEBOOK»USA-Trial-ITD-Trial PayGo Lookalike-AZR-AZR»1 x 1»SocialBan»CAN»ALL»CPA»LAL»X»NA»SS»NA»FreeAcctDeveloperFB-AnimatedGeneric-Ch1»PS7B5Q</v></cell><cell r="AH1457" t="str"><v>PS7B5Q</v></cell><cell r="AI1457" t="str"><v>AZR_FreeAcctDeveloperFB-AnimatedGeneric-Ch1_USA_1200x1200_CAN_Direct_EN_Trial_Standard_ANI_LEA_T1_1</v></cell><cell r="AJ1457"><v>104595766</v></cell></row><row r="1458"><cell r="D1458" t="str"><v>43357PRC26H</v></cell><cell r="E1458" t="str"><v>43357103032778PRC26H</v></cell><cell r="F1458" t="str"><v>Appended from Pub - Not in DCM</v></cell></row><row r="1458"><cell r="I1458" t="str"><v>Azure Direct</v></cell><cell r="J1458" t="str"><v>Azure Direct</v></cell><cell r="K1458" t="str"><v>September</v></cell><cell r="L1458"><v>43358</v></cell><cell r="M1458" t="str"><v>Tier 0</v></cell><cell r="N1458" t="str"><v>North America</v></cell><cell r="O1458" t="str"><v>United States</v></cell><cell r="P1458" t="str"><v>Trial</v></cell><cell r="Q1458" t="str"><v>Social</v></cell><cell r="R1458" t="str"><v>Azure</v></cell><cell r="S1458" t="str"><v>Apps & Infra</v></cell><cell r="T1458" t="str"><v>Developers & ITI's</v></cell><cell r="U1458" t="str"><v>USA-Trial-ITD-Retargeting-AZR-AZR</v></cell><cell r="V1458" t="str"><v>Retargeting</v></cell><cell r="W1458" t="str"><v>Link Ad</v></cell><cell r="X1458" t="str"><v>1200x1200</v></cell><cell r="Y1458" t="str"><v>Learn More</v></cell><cell r="Z1458" t="str"><v>Animated Banner</v></cell><cell r="AA1458"><v>43357</v></cell><cell r="AB1458" t="str"><v>USA_gaPMG_AZR_AZR_Q1_19_Direct-Social</v></cell><cell r="AC1458"><v>21358715</v></cell><cell r="AD1458"><v>720197</v></cell><cell r="AE1458" t="str"><v>Linkedin</v></cell><cell r="AF1458"><v>3654329</v></cell><cell r="AG1458" t="str"><v>FACEBOOK»USA-Trial-ITD-Retargeting-AZR-AZR»1 x 1»SocialBan»LIA»ALL»CPA»RT»X»NA»SS»NA»FreeAcctDeveloperFB-AnimatedAI-Ch3»PRC26H</v></cell><cell r="AH1458" t="str"><v>PRC26H</v></cell><cell r="AI1458" t="str"><v>AZR_FreeAcctDeveloperFB-AnimatedAI-Ch3_USA_1200x1200_CAN_Direct_English_Trial_Standard_ANI_LEA_T3_1</v></cell><cell r="AJ1458"><v>103032778</v></cell></row><row r="1459"><cell r="D1459" t="str"><v>43357PRC1S2</v></cell><cell r="E1459" t="str"><v>43357103176008PRC1S2</v></cell><cell r="F1459" t="str"><v>Appended from Pub - Not in DCM</v></cell></row><row r="1459"><cell r="I1459" t="str"><v>Azure Direct</v></cell><cell r="J1459" t="str"><v>Azure Direct</v></cell><cell r="K1459" t="str"><v>September</v></cell><cell r="L1459"><v>43358</v></cell><cell r="M1459" t="str"><v>Tier 0</v></cell><cell r="N1459" t="str"><v>North America</v></cell><cell r="O1459" t="str"><v>United States</v></cell><cell r="P1459" t="str"><v>Trial</v></cell><cell r="Q1459" t="str"><v>Social</v></cell><cell r="R1459" t="str"><v>Azure</v></cell><cell r="S1459" t="str"><v>Apps & Infra</v></cell><cell r="T1459" t="str"><v>Developers & ITI's</v></cell><cell r="U1459" t="str"><v>USA-Trial-ITD-Retargeting-AZR-AZR</v></cell><cell r="V1459" t="str"><v>Retargeting</v></cell><cell r="W1459" t="str"><v>Link Ad</v></cell><cell r="X1459" t="str"><v>1200x628</v></cell><cell r="Y1459" t="str"><v>Sign Up</v></cell><cell r="Z1459" t="str"><v>Not Applicable</v></cell><cell r="AA1459"><v>43357</v></cell><cell r="AB1459" t="str"><v>USA_gaPMG_AZR_AZR_Q1_19_Direct-Social</v></cell><cell r="AC1459"><v>21358715</v></cell><cell r="AD1459"><v>720197</v></cell><cell r="AE1459" t="str"><v>Linkedin</v></cell><cell r="AF1459"><v>3654329</v></cell><cell r="AG1459" t="str"><v>FACEBOOK»USA-Trial-ITD-Retargeting-AZR-AZR»1 x 1»SocialBan»LIA»ALL»CPA»RT»X»NA»SS»NA»FreeAcctRetargetingOSSFB-Logos-ChG»PRC1S2</v></cell><cell r="AH1459" t="str"><v>PRC1S2</v></cell><cell r="AI1459" t="str"><v>AzurePlatform_FreeAcctRetargetingOSSFB-Logos-ChG_USA_1200x628_CAN_PLATFORM_English_Free Account_Standard_NA_SINU_T2_1</v></cell><cell r="AJ1459"><v>103176008</v></cell></row><row r="1460"><cell r="D1460" t="str"><v>43357PS79T0</v></cell><cell r="E1460" t="str"><v>43357104593423PS79T0</v></cell><cell r="F1460" t="str"><v>Appended from Pub - Not in DCM</v></cell></row><row r="1460"><cell r="I1460" t="str"><v>Azure Direct</v></cell><cell r="J1460" t="str"><v>Azure Direct</v></cell><cell r="K1460" t="str"><v>September</v></cell><cell r="L1460"><v>43358</v></cell><cell r="M1460" t="str"><v>Tier 0</v></cell><cell r="N1460" t="str"><v>North America</v></cell><cell r="O1460" t="str"><v>United States</v></cell><cell r="P1460" t="str"><v>Trial</v></cell><cell r="Q1460" t="str"><v>Social</v></cell><cell r="R1460" t="str"><v>Azure</v></cell><cell r="S1460" t="str"><v>Apps & Infra</v></cell><cell r="T1460" t="str"><v>Developers & ITI's</v></cell><cell r="U1460" t="str"><v>USA-Trial-ITD-Retargeting-AZR-AZR</v></cell><cell r="V1460" t="str"><v>Retargeting</v></cell><cell r="W1460" t="str"><v>Canvas Ad</v></cell><cell r="X1460" t="str"><v>1200x628</v></cell><cell r="Y1460" t="str"><v>Sign Up</v></cell><cell r="Z1460" t="str"><v>Not Applicable</v></cell><cell r="AA1460"><v>43357</v></cell><cell r="AB1460" t="str"><v>USA_gaPMG_AZR_AZR_Q1_19_Direct-Social</v></cell><cell r="AC1460"><v>21358715</v></cell><cell r="AD1460"><v>720197</v></cell><cell r="AE1460" t="str"><v>Linkedin</v></cell><cell r="AF1460"><v>3654329</v></cell><cell r="AG1460" t="str"><v>FACEBOOK»USA-Trial-ITD-Retargeting-AZR-AZR»1 x 1»SocialBan»CAN»ALL»CPA»RT»X»NA»SS»NA»FreeAcctRetargetingOSSFB-Text-ChF»PS79T0</v></cell><cell r="AH1460" t="str"><v>PS79T0</v></cell><cell r="AI1460" t="str"><v>AZR_FreeAcctRetargetingOSSFB-Text-ChF_USA_1200x628_CAN_Plat_English_Free Account_Standard_NA_SINU_T1_1</v></cell><cell r="AJ1460"><v>104593423</v></cell></row><row r="1461"><cell r="D1461" t="str"><v>43357PS79TL</v></cell><cell r="E1461" t="str"><v>43357PS79TL</v></cell><cell r="F1461" t="str"><v>Appended from Pub - Not in DCM</v></cell></row><row r="1461"><cell r="I1461" t="str"><v>Azure Direct</v></cell><cell r="J1461" t="str"><v>Azure Direct</v></cell><cell r="K1461" t="str"><v>September</v></cell><cell r="L1461"><v>43358</v></cell><cell r="M1461" t="str"><v>Tier 0</v></cell><cell r="N1461" t="str"><v>North America</v></cell><cell r="O1461" t="str"><v>United States</v></cell><cell r="P1461" t="str"><v>Trial</v></cell><cell r="Q1461" t="str"><v>Social</v></cell><cell r="R1461" t="str"><v>Azure</v></cell><cell r="S1461" t="str"><v>Apps & Infra</v></cell><cell r="T1461" t="str"><v>Developers & ITI's</v></cell><cell r="U1461" t="str"><v>USA-Trial-ITD-Retargeting-AZR-AZR</v></cell><cell r="V1461" t="e"><v>#VALUE!</v></cell><cell r="W1461" t="e"><v>#VALUE!</v></cell></row><row r="1461"><cell r="AA1461"><v>43357</v></cell><cell r="AB1461" t="str"><v>USA_gaPMG_AZR_AZR_Q1_19_Direct-Social</v></cell><cell r="AC1461"><v>21358715</v></cell><cell r="AD1461"><v>720197</v></cell><cell r="AE1461" t="str"><v>Linkedin</v></cell><cell r="AF1461"><v>3654329</v></cell><cell r="AG1461" t="str"><v>FACEBOOK»USA-Trial-ITD-Retargeting-AZR-AZR»1 x 1»SocialBan»CAN»ALL»CPA»RT»X»NA»SS»NA»FreeAcctITProFB-AnimatedHybrid-Ch2»PS79TL</v></cell><cell r="AH1461" t="str"><v>PS79TL</v></cell></row><row r="1462"><cell r="D1462" t="str"><v>43357PS79T6</v></cell><cell r="E1462" t="str"><v>43357104671427PS79T6</v></cell><cell r="F1462" t="str"><v>Appended from Pub - Not in DCM</v></cell></row><row r="1462"><cell r="I1462" t="str"><v>Azure Direct</v></cell><cell r="J1462" t="str"><v>Azure Direct</v></cell><cell r="K1462" t="str"><v>September</v></cell><cell r="L1462"><v>43358</v></cell><cell r="M1462" t="str"><v>Tier 0</v></cell><cell r="N1462" t="str"><v>North America</v></cell><cell r="O1462" t="str"><v>United States</v></cell><cell r="P1462" t="str"><v>Trial</v></cell><cell r="Q1462" t="str"><v>Social</v></cell><cell r="R1462" t="str"><v>Azure</v></cell><cell r="S1462" t="str"><v>Apps & Infra</v></cell><cell r="T1462" t="str"><v>Developers & ITI's</v></cell><cell r="U1462" t="str"><v>USA-Trial-ITD-Retargeting-AZR-AZR</v></cell><cell r="V1462" t="str"><v>Retargeting</v></cell><cell r="W1462" t="str"><v>Canvas Ad</v></cell><cell r="X1462" t="str"><v>1200x1200</v></cell><cell r="Y1462" t="str"><v>Learn More</v></cell><cell r="Z1462" t="str"><v>Animated Banner</v></cell><cell r="AA1462"><v>43357</v></cell><cell r="AB1462" t="str"><v>USA_gaPMG_AZR_AZR_Q1_19_Direct-Social</v></cell><cell r="AC1462"><v>21358715</v></cell><cell r="AD1462"><v>720197</v></cell><cell r="AE1462" t="str"><v>Linkedin</v></cell><cell r="AF1462"><v>3654329</v></cell><cell r="AG1462" t="str"><v>FACEBOOK»USA-Trial-ITD-Retargeting-AZR-AZR»1 x 1»SocialBan»CAN»ALL»CPA»RT»X»NA»SS»NA»FreeAcctDeveloperFB-AnimatedOpenSource-Ch2»PS79T6</v></cell><cell r="AH1462" t="str"><v>PS79T6</v></cell><cell r="AI1462" t="str"><v>AZR_FreeAcctDeveloperFB-AnimatedOpenSource-Ch2_USA_1200x1200_CAN_Direct_EN_Trial_Standard_ANI_LEA_T2_1</v></cell><cell r="AJ1462"><v>104671427</v></cell></row><row r="1463"><cell r="D1463" t="str"><v>43357PS79T5</v></cell><cell r="E1463" t="str"><v>43357104592523PS79T5</v></cell><cell r="F1463" t="str"><v>Appended from Pub - Not in DCM</v></cell></row><row r="1463"><cell r="I1463" t="str"><v>Azure Direct</v></cell><cell r="J1463" t="str"><v>Azure Direct</v></cell><cell r="K1463" t="str"><v>September</v></cell><cell r="L1463"><v>43358</v></cell><cell r="M1463" t="str"><v>Tier 0</v></cell><cell r="N1463" t="str"><v>North America</v></cell><cell r="O1463" t="str"><v>United States</v></cell><cell r="P1463" t="str"><v>Trial</v></cell><cell r="Q1463" t="str"><v>Social</v></cell><cell r="R1463" t="str"><v>Azure</v></cell><cell r="S1463" t="str"><v>Apps & Infra</v></cell><cell r="T1463" t="str"><v>Developers & ITI's</v></cell><cell r="U1463" t="str"><v>USA-Trial-ITD-Retargeting-AZR-AZR</v></cell><cell r="V1463" t="str"><v>Retargeting</v></cell><cell r="W1463" t="str"><v>Canvas Ad</v></cell><cell r="X1463" t="str"><v>1200x1200</v></cell><cell r="Y1463" t="str"><v>Learn More</v></cell><cell r="Z1463" t="str"><v>Animated Banner</v></cell><cell r="AA1463"><v>43357</v></cell><cell r="AB1463" t="str"><v>USA_gaPMG_AZR_AZR_Q1_19_Direct-Social</v></cell><cell r="AC1463"><v>21358715</v></cell><cell r="AD1463"><v>720197</v></cell><cell r="AE1463" t="str"><v>Linkedin</v></cell><cell r="AF1463"><v>3654329</v></cell><cell r="AG1463" t="str"><v>FACEBOOK»USA-Trial-ITD-Retargeting-AZR-AZR»1 x 1»SocialBan»CAN»ALL»CPA»RT»X»NA»SS»NA»FreeAcctDeveloperFB-AnimatedGeneric-Ch1»PS79T5</v></cell><cell r="AH1463" t="str"><v>PS79T5</v></cell><cell r="AI1463" t="str"><v>AZR_FreeAcctDeveloperFB-AnimatedGeneric-Ch1_USA_1200x1200_CAN_Direct_EN_Trial_Standard_ANI_LEA_T1_2</v></cell><cell r="AJ1463"><v>104592523</v></cell></row><row r="1464"><cell r="D1464" t="str"><v>43357PS79T3</v></cell><cell r="E1464" t="str"><v>43357104595766PS79T3</v></cell><cell r="F1464" t="str"><v>Appended from Pub - Not in DCM</v></cell></row><row r="1464"><cell r="I1464" t="str"><v>Azure Direct</v></cell><cell r="J1464" t="str"><v>Azure Direct</v></cell><cell r="K1464" t="str"><v>September</v></cell><cell r="L1464"><v>43358</v></cell><cell r="M1464" t="str"><v>Tier 0</v></cell><cell r="N1464" t="str"><v>North America</v></cell><cell r="O1464" t="str"><v>United States</v></cell><cell r="P1464" t="str"><v>Trial</v></cell><cell r="Q1464" t="str"><v>Social</v></cell><cell r="R1464" t="str"><v>Azure</v></cell><cell r="S1464" t="str"><v>Apps & Infra</v></cell><cell r="T1464" t="str"><v>Developers & ITI's</v></cell><cell r="U1464" t="str"><v>USA-Trial-ITD-Retargeting-AZR-AZR</v></cell><cell r="V1464" t="str"><v>Retargeting</v></cell><cell r="W1464" t="str"><v>Canvas Ad</v></cell><cell r="X1464" t="str"><v>1200x1200</v></cell><cell r="Y1464" t="str"><v>Learn More</v></cell><cell r="Z1464" t="str"><v>Animated Banner</v></cell><cell r="AA1464"><v>43357</v></cell><cell r="AB1464" t="str"><v>USA_gaPMG_AZR_AZR_Q1_19_Direct-Social</v></cell><cell r="AC1464"><v>21358715</v></cell><cell r="AD1464"><v>720197</v></cell><cell r="AE1464" t="str"><v>Linkedin</v></cell><cell r="AF1464"><v>3654329</v></cell><cell r="AG1464" t="str"><v>FACEBOOK»USA-Trial-ITD-Retargeting-AZR-AZR»1 x 1»SocialBan»CAN»ALL»CPA»RT»X»NA»SS»NA»FreeAcctDeveloperFB-AnimatedGeneric-Ch1»PS79T3</v></cell><cell r="AH1464" t="str"><v>PS79T3</v></cell><cell r="AI1464" t="str"><v>AZR_FreeAcctDeveloperFB-AnimatedGeneric-Ch1_USA_1200x1200_CAN_Direct_EN_Trial_Standard_ANI_LEA_T1_1</v></cell><cell r="AJ1464"><v>104595766</v></cell></row><row r="1465"><cell r="D1465" t="str"><v>43357PS79ST</v></cell><cell r="E1465" t="str"><v>43357PS79ST</v></cell><cell r="F1465" t="str"><v>Appended from Pub - Not in DCM</v></cell></row><row r="1465"><cell r="I1465" t="str"><v>Azure Direct</v></cell><cell r="J1465" t="str"><v>Azure Direct</v></cell><cell r="K1465" t="str"><v>September</v></cell><cell r="L1465"><v>43358</v></cell><cell r="M1465" t="str"><v>Tier 0</v></cell><cell r="N1465" t="str"><v>North America</v></cell><cell r="O1465" t="str"><v>United States</v></cell><cell r="P1465" t="str"><v>Trial</v></cell><cell r="Q1465" t="str"><v>Social</v></cell><cell r="R1465" t="str"><v>Azure</v></cell><cell r="S1465" t="str"><v>Apps & Infra</v></cell><cell r="T1465" t="str"><v>Developers & ITI's</v></cell><cell r="U1465" t="str"><v>USA-Trial-ITD-Retargeting-AZR-AZR</v></cell><cell r="V1465" t="e"><v>#VALUE!</v></cell><cell r="W1465" t="e"><v>#VALUE!</v></cell></row><row r="1465"><cell r="AA1465"><v>43357</v></cell><cell r="AB1465" t="str"><v>USA_gaPMG_AZR_AZR_Q1_19_Direct-Social</v></cell><cell r="AC1465"><v>21358715</v></cell><cell r="AD1465"><v>720197</v></cell><cell r="AE1465" t="str"><v>Linkedin</v></cell><cell r="AF1465"><v>3654329</v></cell><cell r="AG1465" t="str"><v>FACEBOOK»USA-Trial-ITD-Retargeting-AZR-AZR»1 x 1»SocialBan»CAN»ALL»CPA»RT»X»NA»SS»NA»FreeAcctRetargetingFB-Animated-ChC»PS79ST</v></cell><cell r="AH1465" t="str"><v>PS79ST</v></cell></row><row r="1466"><cell r="D1466" t="str"><v>43357PS79TM</v></cell><cell r="E1466" t="str"><v>43357104593450PS79TM</v></cell><cell r="F1466" t="str"><v>Appended from Pub - Not in DCM</v></cell></row><row r="1466"><cell r="I1466" t="str"><v>Azure Direct</v></cell><cell r="J1466" t="str"><v>Azure Direct</v></cell><cell r="K1466" t="str"><v>September</v></cell><cell r="L1466"><v>43358</v></cell><cell r="M1466" t="str"><v>Tier 0</v></cell><cell r="N1466" t="str"><v>North America</v></cell><cell r="O1466" t="str"><v>United States</v></cell><cell r="P1466" t="str"><v>Trial</v></cell><cell r="Q1466" t="str"><v>Social</v></cell><cell r="R1466" t="str"><v>Azure</v></cell><cell r="S1466" t="str"><v>Apps & Infra</v></cell><cell r="T1466" t="str"><v>Developers & ITI's</v></cell><cell r="U1466" t="str"><v>USA-Trial-ITD-Retargeting-AZR-AZR</v></cell><cell r="V1466" t="str"><v>Retargeting</v></cell><cell r="W1466" t="str"><v>Canvas Ad</v></cell><cell r="X1466" t="str"><v>1200x1200</v></cell><cell r="Y1466" t="str"><v>Learn More</v></cell><cell r="Z1466" t="str"><v>Animated Banner</v></cell><cell r="AA1466"><v>43357</v></cell><cell r="AB1466" t="str"><v>USA_gaPMG_AZR_AZR_Q1_19_Direct-Social</v></cell><cell r="AC1466"><v>21358715</v></cell><cell r="AD1466"><v>720197</v></cell><cell r="AE1466" t="str"><v>Linkedin</v></cell><cell r="AF1466"><v>3654329</v></cell><cell r="AG1466" t="str"><v>FACEBOOK»USA-Trial-ITD-Retargeting-AZR-AZR»1 x 1»SocialBan»CAN»ALL»CPA»RT»X»NA»SS»NA»FreeAcctITProFB-AnimatedMigration-Ch3»PS79TM</v></cell><cell r="AH1466" t="str"><v>PS79TM</v></cell><cell r="AI1466" t="str"><v>AZR_FreeAcctITProFB-AnimatedMigration-Ch3_USA_1200x1200_CAN_Direct_EN_Trial_Standard_ANI_LEA_T3_1</v></cell><cell r="AJ1466"><v>104593450</v></cell></row><row r="1467"><cell r="D1467" t="str"><v>43357PS79TK</v></cell><cell r="E1467" t="str"><v>43357104593738PS79TK</v></cell><cell r="F1467" t="str"><v>Appended from Pub - Not in DCM</v></cell></row><row r="1467"><cell r="I1467" t="str"><v>Azure Direct</v></cell><cell r="J1467" t="str"><v>Azure Direct</v></cell><cell r="K1467" t="str"><v>September</v></cell><cell r="L1467"><v>43358</v></cell><cell r="M1467" t="str"><v>Tier 0</v></cell><cell r="N1467" t="str"><v>North America</v></cell><cell r="O1467" t="str"><v>United States</v></cell><cell r="P1467" t="str"><v>Trial</v></cell><cell r="Q1467" t="str"><v>Social</v></cell><cell r="R1467" t="str"><v>Azure</v></cell><cell r="S1467" t="str"><v>Apps & Infra</v></cell><cell r="T1467" t="str"><v>Developers & ITI's</v></cell><cell r="U1467" t="str"><v>USA-Trial-ITD-Retargeting-AZR-AZR</v></cell><cell r="V1467" t="str"><v>Retargeting</v></cell><cell r="W1467" t="str"><v>Canvas Ad</v></cell><cell r="X1467" t="str"><v>1200x1200</v></cell><cell r="Y1467" t="str"><v>Learn More</v></cell><cell r="Z1467" t="str"><v>Animated Banner</v></cell><cell r="AA1467"><v>43357</v></cell><cell r="AB1467" t="str"><v>USA_gaPMG_AZR_AZR_Q1_19_Direct-Social</v></cell><cell r="AC1467"><v>21358715</v></cell><cell r="AD1467"><v>720197</v></cell><cell r="AE1467" t="str"><v>Linkedin</v></cell><cell r="AF1467"><v>3654329</v></cell><cell r="AG1467" t="str"><v>FACEBOOK»USA-Trial-ITD-Retargeting-AZR-AZR»1 x 1»SocialBan»CAN»ALL»CPA»RT»X»NA»SS»NA»FreeAcctITProFB-AnimatedSecureMngd-Ch1»PS79TK</v></cell><cell r="AH1467" t="str"><v>PS79TK</v></cell><cell r="AI1467" t="str"><v>AZR_FreeAcctITProFB-AnimatedSecureMngd-Ch1_USA_1200x1200_CAN_Direct_EN_Trial_Standard_ANI_LEA_T1_1</v></cell><cell r="AJ1467"><v>104593738</v></cell></row><row r="1468"><cell r="D1468" t="str"><v>43357PS7B4Z</v></cell><cell r="E1468" t="str"><v>43357104593438PS7B4Z</v></cell><cell r="F1468" t="str"><v>Appended from Pub - Not in DCM</v></cell></row><row r="1468"><cell r="I1468" t="str"><v>Azure Direct</v></cell><cell r="J1468" t="str"><v>Azure Direct</v></cell><cell r="K1468" t="str"><v>September</v></cell><cell r="L1468"><v>43358</v></cell><cell r="M1468" t="str"><v>Tier 0</v></cell><cell r="N1468" t="str"><v>North America</v></cell><cell r="O1468" t="str"><v>United States</v></cell><cell r="P1468" t="str"><v>Trial</v></cell><cell r="Q1468" t="str"><v>Social</v></cell><cell r="R1468" t="str"><v>Azure</v></cell><cell r="S1468" t="str"><v>Apps & Infra</v></cell><cell r="T1468" t="str"><v>Developers & ITI's</v></cell><cell r="U1468" t="str"><v>USA-Trial-ITD-Trial Lookalike-AZR-AZR</v></cell><cell r="V1468" t="str"><v>Lookalike Targeting</v></cell><cell r="W1468" t="str"><v>Canvas Ad</v></cell><cell r="X1468" t="str"><v>1200x1200</v></cell><cell r="Y1468" t="str"><v>Learn More</v></cell><cell r="Z1468" t="str"><v>Animated Banner</v></cell><cell r="AA1468"><v>43357</v></cell><cell r="AB1468" t="str"><v>USA_gaPMG_AZR_AZR_Q1_19_Direct-Social</v></cell><cell r="AC1468"><v>21358715</v></cell><cell r="AD1468"><v>720197</v></cell><cell r="AE1468" t="str"><v>Linkedin</v></cell><cell r="AF1468"><v>3654329</v></cell><cell r="AG1468" t="str"><v>FACEBOOK»USA-Trial-ITD-Trial Lookalike-AZR-AZR»1 x 1»SocialBan»CAN»ALL»CPA»LAL»X»NA»SS»NA»FreeAcctDeveloperFB-AnimatedOpenSource-Ch2»PS7B4Z</v></cell><cell r="AH1468" t="str"><v>PS7B4Z</v></cell><cell r="AI1468" t="str"><v>AZR_FreeAcctDeveloperFB-AnimatedOpenSource-Ch2_USA_1200x1200_CAN_Direct_EN_Trial_Standard_ANI_LEA_T2_2</v></cell><cell r="AJ1468"><v>104593438</v></cell></row><row r="1469"><cell r="D1469" t="str"><v>43357PS7B54</v></cell><cell r="E1469" t="str"><v>43357104592535PS7B54</v></cell><cell r="F1469" t="str"><v>Appended from Pub - Not in DCM</v></cell></row><row r="1469"><cell r="I1469" t="str"><v>Azure Direct</v></cell><cell r="J1469" t="str"><v>Azure Direct</v></cell><cell r="K1469" t="str"><v>September</v></cell><cell r="L1469"><v>43358</v></cell><cell r="M1469" t="str"><v>Tier 0</v></cell><cell r="N1469" t="str"><v>North America</v></cell><cell r="O1469" t="str"><v>United States</v></cell><cell r="P1469" t="str"><v>Trial</v></cell><cell r="Q1469" t="str"><v>Social</v></cell><cell r="R1469" t="str"><v>Azure</v></cell><cell r="S1469" t="str"><v>Apps & Infra</v></cell><cell r="T1469" t="str"><v>Developers & ITI's</v></cell><cell r="U1469" t="str"><v>USA-Trial-ITD-Trial Lookalike-AZR-AZR</v></cell><cell r="V1469" t="str"><v>Lookalike Targeting</v></cell><cell r="W1469" t="str"><v>Canvas Ad</v></cell><cell r="X1469" t="str"><v>1200x1200</v></cell><cell r="Y1469" t="str"><v>Learn More</v></cell><cell r="Z1469" t="str"><v>Animated Banner</v></cell><cell r="AA1469"><v>43357</v></cell><cell r="AB1469" t="str"><v>USA_gaPMG_AZR_AZR_Q1_19_Direct-Social</v></cell><cell r="AC1469"><v>21358715</v></cell><cell r="AD1469"><v>720197</v></cell><cell r="AE1469" t="str"><v>Linkedin</v></cell><cell r="AF1469"><v>3654329</v></cell><cell r="AG1469" t="str"><v>FACEBOOK»USA-Trial-ITD-Trial Lookalike-AZR-AZR»1 x 1»SocialBan»CAN»ALL»CPA»LAL»X»NA»SS»NA»FreeAcctITProFB-AnimatedHybrid-Ch2»PS7B54</v></cell><cell r="AH1469" t="str"><v>PS7B54</v></cell><cell r="AI1469" t="str"><v>AZR_FreeAcctITProFB-AnimatedHybrid-Ch2_USA_1200x1200_CAN_Direct_EN_Trial_Standard_ANI_LEA_T2_1</v></cell><cell r="AJ1469"><v>104592535</v></cell></row><row r="1470"><cell r="D1470" t="str"><v>43357PS7B50</v></cell><cell r="E1470" t="str"><v>43357104593735PS7B50</v></cell><cell r="F1470" t="str"><v>Appended from Pub - Not in DCM</v></cell></row><row r="1470"><cell r="I1470" t="str"><v>Azure Direct</v></cell><cell r="J1470" t="str"><v>Azure Direct</v></cell><cell r="K1470" t="str"><v>September</v></cell><cell r="L1470"><v>43358</v></cell><cell r="M1470" t="str"><v>Tier 0</v></cell><cell r="N1470" t="str"><v>North America</v></cell><cell r="O1470" t="str"><v>United States</v></cell><cell r="P1470" t="str"><v>Trial</v></cell><cell r="Q1470" t="str"><v>Social</v></cell><cell r="R1470" t="str"><v>Azure</v></cell><cell r="S1470" t="str"><v>Apps & Infra</v></cell><cell r="T1470" t="str"><v>Developers & ITI's</v></cell><cell r="U1470" t="str"><v>USA-Trial-ITD-Trial Lookalike-AZR-AZR</v></cell><cell r="V1470" t="str"><v>Lookalike Targeting</v></cell><cell r="W1470" t="str"><v>Canvas Ad</v></cell><cell r="X1470" t="str"><v>1200x1200</v></cell><cell r="Y1470" t="str"><v>Learn More</v></cell><cell r="Z1470" t="str"><v>Animated Banner</v></cell><cell r="AA1470"><v>43357</v></cell><cell r="AB1470" t="str"><v>USA_gaPMG_AZR_AZR_Q1_19_Direct-Social</v></cell><cell r="AC1470"><v>21358715</v></cell><cell r="AD1470"><v>720197</v></cell><cell r="AE1470" t="str"><v>Linkedin</v></cell><cell r="AF1470"><v>3654329</v></cell><cell r="AG1470" t="str"><v>FACEBOOK»USA-Trial-ITD-Trial Lookalike-AZR-AZR»1 x 1»SocialBan»CAN»ALL»CPA»LAL»X»NA»SS»NA»FreeAcctDeveloperFB-AnimatedAI-Ch3»PS7B50</v></cell><cell r="AH1470" t="str"><v>PS7B50</v></cell><cell r="AI1470" t="str"><v>AZR_FreeAcctDeveloperFB-AnimatedAI-Ch3_USA_1200x1200_CAN_Direct_EN_Trial_Standard_ANI_LEA_T3_1</v></cell><cell r="AJ1470"><v>104593735</v></cell></row><row r="1471"><cell r="D1471" t="str"><v>43357PS7B52</v></cell><cell r="E1471" t="str"><v>43357104595739PS7B52</v></cell><cell r="F1471" t="str"><v>Appended from Pub - Not in DCM</v></cell></row><row r="1471"><cell r="I1471" t="str"><v>Azure Direct</v></cell><cell r="J1471" t="str"><v>Azure Direct</v></cell><cell r="K1471" t="str"><v>September</v></cell><cell r="L1471"><v>43358</v></cell><cell r="M1471" t="str"><v>Tier 0</v></cell><cell r="N1471" t="str"><v>North America</v></cell><cell r="O1471" t="str"><v>United States</v></cell><cell r="P1471" t="str"><v>Trial</v></cell><cell r="Q1471" t="str"><v>Social</v></cell><cell r="R1471" t="str"><v>Azure</v></cell><cell r="S1471" t="str"><v>Apps & Infra</v></cell><cell r="T1471" t="str"><v>Developers & ITI's</v></cell><cell r="U1471" t="str"><v>USA-Trial-ITD-Trial Lookalike-AZR-AZR</v></cell><cell r="V1471" t="str"><v>Lookalike Targeting</v></cell><cell r="W1471" t="str"><v>Canvas Ad</v></cell><cell r="X1471" t="str"><v>1200x1200</v></cell><cell r="Y1471" t="str"><v>Learn More</v></cell><cell r="Z1471" t="str"><v>Animated Banner</v></cell><cell r="AA1471"><v>43357</v></cell><cell r="AB1471" t="str"><v>USA_gaPMG_AZR_AZR_Q1_19_Direct-Social</v></cell><cell r="AC1471"><v>21358715</v></cell><cell r="AD1471"><v>720197</v></cell><cell r="AE1471" t="str"><v>Linkedin</v></cell><cell r="AF1471"><v>3654329</v></cell><cell r="AG1471" t="str"><v>FACEBOOK»USA-Trial-ITD-Trial Lookalike-AZR-AZR»1 x 1»SocialBan»CAN»ALL»CPA»LAL»X»NA»SS»NA»FreeAcctDeveloperFB-AnimatedData-Ch4»PS7B52</v></cell><cell r="AH1471" t="str"><v>PS7B52</v></cell><cell r="AI1471" t="str"><v>AZR_FreeAcctDeveloperFB-AnimatedData-Ch4_USA_1200x1200_CAN_Direct_EN_Trial_Standard_ANI_LEA_T4_1</v></cell><cell r="AJ1471"><v>104595739</v></cell></row><row r="1472"><cell r="D1472" t="str"><v>43357PS7B4W</v></cell><cell r="E1472" t="str"><v>43357104592523PS7B4W</v></cell><cell r="F1472" t="str"><v>Appended from Pub - Not in DCM</v></cell></row><row r="1472"><cell r="I1472" t="str"><v>Azure Direct</v></cell><cell r="J1472" t="str"><v>Azure Direct</v></cell><cell r="K1472" t="str"><v>September</v></cell><cell r="L1472"><v>43358</v></cell><cell r="M1472" t="str"><v>Tier 0</v></cell><cell r="N1472" t="str"><v>North America</v></cell><cell r="O1472" t="str"><v>United States</v></cell><cell r="P1472" t="str"><v>Trial</v></cell><cell r="Q1472" t="str"><v>Social</v></cell><cell r="R1472" t="str"><v>Azure</v></cell><cell r="S1472" t="str"><v>Apps & Infra</v></cell><cell r="T1472" t="str"><v>Developers & ITI's</v></cell><cell r="U1472" t="str"><v>USA-Trial-ITD-Trial Lookalike-AZR-AZR</v></cell><cell r="V1472" t="str"><v>Lookalike Targeting</v></cell><cell r="W1472" t="str"><v>Canvas Ad</v></cell><cell r="X1472" t="str"><v>1200x1200</v></cell><cell r="Y1472" t="str"><v>Learn More</v></cell><cell r="Z1472" t="str"><v>Animated Banner</v></cell><cell r="AA1472"><v>43357</v></cell><cell r="AB1472" t="str"><v>USA_gaPMG_AZR_AZR_Q1_19_Direct-Social</v></cell><cell r="AC1472"><v>21358715</v></cell><cell r="AD1472"><v>720197</v></cell><cell r="AE1472" t="str"><v>Linkedin</v></cell><cell r="AF1472"><v>3654329</v></cell><cell r="AG1472" t="str"><v>FACEBOOK»USA-Trial-ITD-Trial Lookalike-AZR-AZR»1 x 1»SocialBan»CAN»ALL»CPA»LAL»X»NA»SS»NA»FreeAcctDeveloperFB-AnimatedGeneric-Ch1»PS7B4W</v></cell><cell r="AH1472" t="str"><v>PS7B4W</v></cell><cell r="AI1472" t="str"><v>AZR_FreeAcctDeveloperFB-AnimatedGeneric-Ch1_USA_1200x1200_CAN_Direct_EN_Trial_Standard_ANI_LEA_T1_2</v></cell><cell r="AJ1472"><v>104592523</v></cell></row><row r="1473"><cell r="D1473" t="str"><v>43357PS7B4Y</v></cell><cell r="E1473" t="str"><v>43357104592523PS7B4Y</v></cell><cell r="F1473" t="str"><v>Appended from Pub - Not in DCM</v></cell></row><row r="1473"><cell r="I1473" t="str"><v>Azure Direct</v></cell><cell r="J1473" t="str"><v>Azure Direct</v></cell><cell r="K1473" t="str"><v>September</v></cell><cell r="L1473"><v>43358</v></cell><cell r="M1473" t="str"><v>Tier 0</v></cell><cell r="N1473" t="str"><v>North America</v></cell><cell r="O1473" t="str"><v>United States</v></cell><cell r="P1473" t="str"><v>Trial</v></cell><cell r="Q1473" t="str"><v>Social</v></cell><cell r="R1473" t="str"><v>Azure</v></cell><cell r="S1473" t="str"><v>Apps & Infra</v></cell><cell r="T1473" t="str"><v>Developers & ITI's</v></cell><cell r="U1473" t="str"><v>USA-Trial-ITD-Trial Lookalike-AZR-AZR</v></cell><cell r="V1473" t="str"><v>Lookalike Targeting</v></cell><cell r="W1473" t="str"><v>Canvas Ad</v></cell><cell r="X1473" t="str"><v>1200x1200</v></cell><cell r="Y1473" t="str"><v>Learn More</v></cell><cell r="Z1473" t="str"><v>Animated Banner</v></cell><cell r="AA1473"><v>43357</v></cell><cell r="AB1473" t="str"><v>USA_gaPMG_AZR_AZR_Q1_19_Direct-Social</v></cell><cell r="AC1473"><v>21358715</v></cell><cell r="AD1473"><v>720197</v></cell><cell r="AE1473" t="str"><v>Linkedin</v></cell><cell r="AF1473"><v>3654329</v></cell><cell r="AG1473" t="str"><v>FACEBOOK»USA-Trial-ITD-Trial Lookalike-AZR-AZR»1 x 1»SocialBan»CAN»ALL»CPA»LAL»X»NA»SS»NA»FreeAcctDeveloperFB-AnimatedGeneric-Ch1»PS7B4Y</v></cell><cell r="AH1473" t="str"><v>PS7B4Y</v></cell><cell r="AI1473" t="str"><v>AZR_FreeAcctDeveloperFB-AnimatedGeneric-Ch1_USA_1200x1200_CAN_Direct_EN_Trial_Standard_ANI_LEA_T1_2</v></cell><cell r="AJ1473"><v>104592523</v></cell></row><row r="1474"><cell r="D1474" t="str"><v>43357PS79SW</v></cell><cell r="E1474" t="str"><v>43357104595760PS79SW</v></cell><cell r="F1474" t="str"><v>Appended from Pub - Not in DCM</v></cell></row><row r="1474"><cell r="I1474" t="str"><v>Azure Direct</v></cell><cell r="J1474" t="str"><v>Azure Direct</v></cell><cell r="K1474" t="str"><v>September</v></cell><cell r="L1474"><v>43358</v></cell><cell r="M1474" t="str"><v>Tier 0</v></cell><cell r="N1474" t="str"><v>North America</v></cell><cell r="O1474" t="str"><v>United States</v></cell><cell r="P1474" t="str"><v>Trial</v></cell><cell r="Q1474" t="str"><v>Social</v></cell><cell r="R1474" t="str"><v>Azure</v></cell><cell r="S1474" t="str"><v>Apps & Infra</v></cell><cell r="T1474" t="str"><v>Developers & ITI's</v></cell><cell r="U1474" t="str"><v>USA-Trial-ITD-Retargeting-AZR-AZR</v></cell><cell r="V1474" t="str"><v>Retargeting</v></cell><cell r="W1474" t="str"><v>Canvas Ad</v></cell><cell r="X1474" t="str"><v>1200x628</v></cell><cell r="Y1474" t="str"><v>Sign Up</v></cell><cell r="Z1474" t="str"><v>Not Applicable</v></cell><cell r="AA1474"><v>43357</v></cell><cell r="AB1474" t="str"><v>USA_gaPMG_AZR_AZR_Q1_19_Direct-Social</v></cell><cell r="AC1474"><v>21358715</v></cell><cell r="AD1474"><v>720197</v></cell><cell r="AE1474" t="str"><v>Linkedin</v></cell><cell r="AF1474"><v>3654329</v></cell><cell r="AG1474" t="str"><v>FACEBOOK»USA-Trial-ITD-Retargeting-AZR-AZR»1 x 1»SocialBan»CAN»ALL»CPA»RT»X»NA»SS»NA»FreeAcctRetargetingVMFB-750Hrs-ChD»PS79SW</v></cell><cell r="AH1474" t="str"><v>PS79SW</v></cell><cell r="AI1474" t="str"><v>AZR_FreeAcctRetargetingVMFB-750Hrs-ChD_USA_1200x628_CAN_Plat_English_Free Account_Standard_NA_SINU_T1_2</v></cell><cell r="AJ1474"><v>104595760</v></cell></row><row r="1475"><cell r="D1475" t="str"><v>43357PRC26K</v></cell><cell r="E1475" t="str"><v>43357103176830PRC26K</v></cell><cell r="F1475" t="str"><v>Appended from Pub - Not in DCM</v></cell></row><row r="1475"><cell r="I1475" t="str"><v>Azure Direct</v></cell><cell r="J1475" t="str"><v>Azure Direct</v></cell><cell r="K1475" t="str"><v>September</v></cell><cell r="L1475"><v>43358</v></cell><cell r="M1475" t="str"><v>Tier 0</v></cell><cell r="N1475" t="str"><v>North America</v></cell><cell r="O1475" t="str"><v>United States</v></cell><cell r="P1475" t="str"><v>Trial</v></cell><cell r="Q1475" t="str"><v>Social</v></cell><cell r="R1475" t="str"><v>Azure</v></cell><cell r="S1475" t="str"><v>Apps & Infra</v></cell><cell r="T1475" t="str"><v>Developers & ITI's</v></cell><cell r="U1475" t="str"><v>USA-Trial-ITD-Retargeting-AZR-AZR</v></cell><cell r="V1475" t="str"><v>Retargeting</v></cell><cell r="W1475" t="str"><v>Link Ad</v></cell><cell r="X1475" t="str"><v>1200x1200</v></cell><cell r="Y1475" t="str"><v>Learn More</v></cell><cell r="Z1475" t="str"><v>Animated Banner</v></cell><cell r="AA1475"><v>43357</v></cell><cell r="AB1475" t="str"><v>USA_gaPMG_AZR_AZR_Q1_19_Direct-Social</v></cell><cell r="AC1475"><v>21358715</v></cell><cell r="AD1475"><v>720197</v></cell><cell r="AE1475" t="str"><v>Linkedin</v></cell><cell r="AF1475"><v>3654329</v></cell><cell r="AG1475" t="str"><v>FACEBOOK»USA-Trial-ITD-Retargeting-AZR-AZR»1 x 1»SocialBan»LIA»ALL»CPA»RT»X»NA»SS»NA»FreeAcctITProFB-AnimatedSecureMngd-Ch1»PRC26K</v></cell><cell r="AH1475" t="str"><v>PRC26K</v></cell><cell r="AI1475" t="str"><v>AZR_FreeAcctITProFB-AnimatedSecureMngd-Ch1_USA_1200x1200_CAN_Direct_English_Trial_Standard_ANI_LEA_T1_1</v></cell><cell r="AJ1475"><v>103176830</v></cell></row><row r="1476"><cell r="D1476" t="str"><v>43357PRC1MC</v></cell><cell r="E1476" t="str"><v>43357103180583PRC1MC</v></cell><cell r="F1476" t="str"><v>Appended from Pub - Not in DCM</v></cell></row><row r="1476"><cell r="I1476" t="str"><v>Azure Direct</v></cell><cell r="J1476" t="str"><v>Azure Direct</v></cell><cell r="K1476" t="str"><v>September</v></cell><cell r="L1476"><v>43358</v></cell><cell r="M1476" t="str"><v>Tier 0</v></cell><cell r="N1476" t="str"><v>North America</v></cell><cell r="O1476" t="str"><v>United States</v></cell><cell r="P1476" t="str"><v>Trial</v></cell><cell r="Q1476" t="str"><v>Social</v></cell><cell r="R1476" t="str"><v>Azure</v></cell><cell r="S1476" t="str"><v>Apps & Infra</v></cell><cell r="T1476" t="str"><v>Developers & ITI's</v></cell><cell r="U1476" t="str"><v>USA-Trial-ITD-Trial Lookalike-AZR-AZR</v></cell><cell r="V1476" t="str"><v>Lookalike Targeting</v></cell><cell r="W1476" t="str"><v>Link Ad</v></cell><cell r="X1476" t="str"><v>1200x1200</v></cell><cell r="Y1476" t="str"><v>Learn More</v></cell><cell r="Z1476" t="str"><v>Animated Banner</v></cell><cell r="AA1476"><v>43357</v></cell><cell r="AB1476" t="str"><v>USA_gaPMG_AZR_AZR_Q1_19_Direct-Social</v></cell><cell r="AC1476"><v>21358715</v></cell><cell r="AD1476"><v>720197</v></cell><cell r="AE1476" t="str"><v>Linkedin</v></cell><cell r="AF1476"><v>3654329</v></cell><cell r="AG1476" t="str"><v>FACEBOOK»USA-Trial-ITD-Trial Lookalike-AZR-AZR»1 x 1»SocialBan»LIA»ALL»CPA»LAL»X»NA»SS»NA»FreeAcctITProFB-AnimatedHybrid-Ch2»PRC1MC</v></cell><cell r="AH1476" t="str"><v>PRC1MC</v></cell><cell r="AI1476" t="str"><v>AZR_FreeAcctITProFB-AnimatedHybrid-Ch2_USA_1200x1200_CAN_Direct_English_Trial_Standard_ANI_LEA_T2_2</v></cell><cell r="AJ1476"><v>103180583</v></cell></row><row r="1477"><cell r="D1477" t="str"><v>43357PS7B5S</v></cell><cell r="E1477" t="str"><v>43357104593735PS7B5S</v></cell><cell r="F1477" t="str"><v>Appended from Pub - Not in DCM</v></cell></row><row r="1477"><cell r="I1477" t="str"><v>Azure Direct</v></cell><cell r="J1477" t="str"><v>Azure Direct</v></cell><cell r="K1477" t="str"><v>September</v></cell><cell r="L1477"><v>43358</v></cell><cell r="M1477" t="str"><v>Tier 0</v></cell><cell r="N1477" t="str"><v>North America</v></cell><cell r="O1477" t="str"><v>United States</v></cell><cell r="P1477" t="str"><v>Trial</v></cell><cell r="Q1477" t="str"><v>Social</v></cell><cell r="R1477" t="str"><v>Azure</v></cell><cell r="S1477" t="str"><v>Apps & Infra</v></cell><cell r="T1477" t="str"><v>Developers & ITI's</v></cell><cell r="U1477" t="str"><v>USA-Trial-ITD-Trial PayGo Lookalike-AZR-AZR</v></cell><cell r="V1477" t="str"><v>Lookalike Targeting</v></cell><cell r="W1477" t="str"><v>Canvas Ad</v></cell><cell r="X1477" t="str"><v>1200x1200</v></cell><cell r="Y1477" t="str"><v>Learn More</v></cell><cell r="Z1477" t="str"><v>Animated Banner</v></cell><cell r="AA1477"><v>43357</v></cell><cell r="AB1477" t="str"><v>USA_gaPMG_AZR_AZR_Q1_19_Direct-Social</v></cell><cell r="AC1477"><v>21358715</v></cell><cell r="AD1477"><v>720197</v></cell><cell r="AE1477" t="str"><v>Linkedin</v></cell><cell r="AF1477"><v>3654329</v></cell><cell r="AG1477" t="str"><v>FACEBOOK»USA-Trial-ITD-Trial PayGo Lookalike-AZR-AZR»1 x 1»SocialBan»CAN»ALL»CPA»LAL»X»NA»SS»NA»FreeAcctDeveloperFB-AnimatedAI-Ch3»PS7B5S</v></cell><cell r="AH1477" t="str"><v>PS7B5S</v></cell><cell r="AI1477" t="str"><v>AZR_FreeAcctDeveloperFB-AnimatedAI-Ch3_USA_1200x1200_CAN_Direct_EN_Trial_Standard_ANI_LEA_T3_1</v></cell><cell r="AJ1477"><v>104593735</v></cell></row><row r="1478"><cell r="D1478" t="str"><v>43357PRC1M6</v></cell><cell r="E1478" t="str"><v>43357103048329PRC1M6</v></cell><cell r="F1478" t="str"><v>Appended from Pub - Not in DCM</v></cell></row><row r="1478"><cell r="I1478" t="str"><v>Azure Direct</v></cell><cell r="J1478" t="str"><v>Azure Direct</v></cell><cell r="K1478" t="str"><v>September</v></cell><cell r="L1478"><v>43358</v></cell><cell r="M1478" t="str"><v>Tier 0</v></cell><cell r="N1478" t="str"><v>North America</v></cell><cell r="O1478" t="str"><v>United States</v></cell><cell r="P1478" t="str"><v>Trial</v></cell><cell r="Q1478" t="str"><v>Social</v></cell><cell r="R1478" t="str"><v>Azure</v></cell><cell r="S1478" t="str"><v>Apps & Infra</v></cell><cell r="T1478" t="str"><v>Developers & ITI's</v></cell><cell r="U1478" t="str"><v>USA-Trial-ITD-Trial Lookalike-AZR-AZR</v></cell><cell r="V1478" t="str"><v>Lookalike Targeting</v></cell><cell r="W1478" t="str"><v>Link Ad</v></cell><cell r="X1478" t="str"><v>1200x1200</v></cell><cell r="Y1478" t="str"><v>Learn More</v></cell><cell r="Z1478" t="str"><v>Animated Banner</v></cell><cell r="AA1478"><v>43357</v></cell><cell r="AB1478" t="str"><v>USA_gaPMG_AZR_AZR_Q1_19_Direct-Social</v></cell><cell r="AC1478"><v>21358715</v></cell><cell r="AD1478"><v>720197</v></cell><cell r="AE1478" t="str"><v>Linkedin</v></cell><cell r="AF1478"><v>3654329</v></cell><cell r="AG1478" t="str"><v>FACEBOOK»USA-Trial-ITD-Trial Lookalike-AZR-AZR»1 x 1»SocialBan»LIA»ALL»CPA»LAL»X»NA»SS»NA»FreeAcctDeveloperFB-AnimatedOpenSource-Ch2»PRC1M6</v></cell><cell r="AH1478" t="str"><v>PRC1M6</v></cell><cell r="AI1478" t="str"><v>AZR_FreeAcctDeveloperFB-AnimatedOpenSource-Ch2_USA_1200x1200_CAN_Direct_English_Trial_Standard_ANI_LEA_T2_1</v></cell><cell r="AJ1478"><v>103048329</v></cell></row><row r="1479"><cell r="D1479" t="str"><v>43357PRC1M0</v></cell><cell r="E1479" t="str"><v>43357103043835PRC1M0</v></cell><cell r="F1479" t="str"><v>Appended from Pub - Not in DCM</v></cell></row><row r="1479"><cell r="I1479" t="str"><v>Azure Direct</v></cell><cell r="J1479" t="str"><v>Azure Direct</v></cell><cell r="K1479" t="str"><v>September</v></cell><cell r="L1479"><v>43358</v></cell><cell r="M1479" t="str"><v>Tier 0</v></cell><cell r="N1479" t="str"><v>North America</v></cell><cell r="O1479" t="str"><v>United States</v></cell><cell r="P1479" t="str"><v>Trial</v></cell><cell r="Q1479" t="str"><v>Social</v></cell><cell r="R1479" t="str"><v>Azure</v></cell><cell r="S1479" t="str"><v>Apps & Infra</v></cell><cell r="T1479" t="str"><v>Developers & ITI's</v></cell><cell r="U1479" t="str"><v>USA-Trial-ITD-Trial Lookalike-AZR-AZR</v></cell><cell r="V1479" t="str"><v>Lookalike Targeting</v></cell><cell r="W1479" t="str"><v>Canvas Ad</v></cell><cell r="X1479" t="str"><v>10s</v></cell><cell r="Y1479" t="str"><v>Try it Now</v></cell><cell r="Z1479" t="str"><v>Standard videos</v></cell><cell r="AA1479"><v>43357</v></cell><cell r="AB1479" t="str"><v>USA_gaPMG_AZR_AZR_Q1_19_Direct-Social</v></cell><cell r="AC1479"><v>21358715</v></cell><cell r="AD1479"><v>720197</v></cell><cell r="AE1479" t="str"><v>Linkedin</v></cell><cell r="AF1479"><v>3654329</v></cell><cell r="AG1479" t="str"><v>FACEBOOK»USA-Trial-ITD-Trial Lookalike-AZR-AZR»1 x 1»SocialBan»CAN»ALL»CPA»LAL»X»NA»SS»NA»FBCTCBenefit2inMotion»PRC1M0</v></cell><cell r="AH1479" t="str"><v>PRC1M0</v></cell><cell r="AI1479" t="str"><v>AzurePlatform_FBCTCBenefit2inMotion_USA_10s_CAN_PLATFORM_English_Trial_Standard_STAN_TIN_T4_1</v></cell><cell r="AJ1479"><v>103043835</v></cell></row><row r="1480"><cell r="D1480" t="str"><v>43357PRC2FZ</v></cell><cell r="E1480" t="str"><v>43357103180628PRC2FZ</v></cell><cell r="F1480" t="str"><v>Appended from Pub - Not in DCM</v></cell></row><row r="1480"><cell r="I1480" t="str"><v>Azure Direct</v></cell><cell r="J1480" t="str"><v>Azure Direct</v></cell><cell r="K1480" t="str"><v>September</v></cell><cell r="L1480"><v>43358</v></cell><cell r="M1480" t="str"><v>Tier 0</v></cell><cell r="N1480" t="str"><v>North America</v></cell><cell r="O1480" t="str"><v>United States</v></cell><cell r="P1480" t="str"><v>Trial</v></cell><cell r="Q1480" t="str"><v>Social</v></cell><cell r="R1480" t="str"><v>Azure</v></cell><cell r="S1480" t="str"><v>Apps & Infra</v></cell><cell r="T1480" t="str"><v>Developers & ITI's</v></cell><cell r="U1480" t="str"><v>USA-Trial-ITD-Trial PayGo Lookalike-AZR-AZR</v></cell><cell r="V1480" t="str"><v>Lookalike Targeting</v></cell><cell r="W1480" t="str"><v>Canvas Ad</v></cell><cell r="X1480" t="str"><v>10s</v></cell><cell r="Y1480" t="str"><v>Try it Now</v></cell><cell r="Z1480" t="str"><v>Standard videos</v></cell><cell r="AA1480"><v>43357</v></cell><cell r="AB1480" t="str"><v>USA_gaPMG_AZR_AZR_Q1_19_Direct-Social</v></cell><cell r="AC1480"><v>21358715</v></cell><cell r="AD1480"><v>720197</v></cell><cell r="AE1480" t="str"><v>Linkedin</v></cell><cell r="AF1480"><v>3654329</v></cell><cell r="AG1480" t="str"><v>INSTAGRAM»USA-Trial-ITD-Trial PayGo Lookalike-AZR-AZR»1 x 1»SocialBan»CAN»ALL»CPA»LAL»X»NA»SS»NA»IGCTCBenefit2inMotion»PRC2FZ</v></cell><cell r="AH1480" t="str"><v>PRC2FZ</v></cell><cell r="AI1480" t="str"><v>AzurePlatform_IGCTCBrandinMotion_USA_10s_CAN_PLATFORM_English_Trial_Standard_STAN_TIN_T2_1</v></cell><cell r="AJ1480"><v>103180628</v></cell></row><row r="1481"><cell r="D1481" t="str"><v>43357PRC1T0</v></cell><cell r="E1481" t="str"><v>43357103176851PRC1T0</v></cell><cell r="F1481" t="str"><v>Appended from Pub - Not in DCM</v></cell></row><row r="1481"><cell r="I1481" t="str"><v>Azure Direct</v></cell><cell r="J1481" t="str"><v>Azure Direct</v></cell><cell r="K1481" t="str"><v>September</v></cell><cell r="L1481"><v>43358</v></cell><cell r="M1481" t="str"><v>Tier 0</v></cell><cell r="N1481" t="str"><v>North America</v></cell><cell r="O1481" t="str"><v>United States</v></cell><cell r="P1481" t="str"><v>Trial</v></cell><cell r="Q1481" t="str"><v>Social</v></cell><cell r="R1481" t="str"><v>Azure</v></cell><cell r="S1481" t="str"><v>Apps & Infra</v></cell><cell r="T1481" t="str"><v>Developers & ITI's</v></cell><cell r="U1481" t="str"><v>USA-Trial-ITD-Interest Prospecting-AZR-AZR</v></cell><cell r="V1481" t="str"><v>Prospecting</v></cell><cell r="W1481" t="str"><v>Link Ad</v></cell><cell r="X1481" t="str"><v>1200x1200</v></cell><cell r="Y1481" t="str"><v>Learn More</v></cell><cell r="Z1481" t="str"><v>Animated Banner</v></cell><cell r="AA1481"><v>43357</v></cell><cell r="AB1481" t="str"><v>USA_gaPMG_AZR_AZR_Q1_19_Direct-Social</v></cell><cell r="AC1481"><v>21358715</v></cell><cell r="AD1481"><v>720197</v></cell><cell r="AE1481" t="str"><v>Linkedin</v></cell><cell r="AF1481"><v>3654329</v></cell><cell r="AG1481" t="str"><v>FACEBOOK»USA-Trial-ITD-Interest Prospecting-AZR-AZR»1 x 1»SocialBan»LIA»ALL»CPA»PRO»X»NA»SS»NA»FreeAcctDeveloperFB-AnimatedGeneric-Ch1»PRC1T0</v></cell><cell r="AH1481" t="str"><v>PRC1T0</v></cell><cell r="AI1481" t="str"><v>AZR_FreeAcctDeveloperFB-AnimatedGeneric-Ch1_USA_1200x1200_CAN_Direct_English_Trial_Standard_ANI_LEA_T1_2</v></cell><cell r="AJ1481"><v>103176851</v></cell></row><row r="1482"><cell r="D1482" t="str"><v>43357PRC26G</v></cell><cell r="E1482" t="str"><v>43357103048329PRC26G</v></cell><cell r="F1482" t="str"><v>Appended from Pub - Not in DCM</v></cell></row><row r="1482"><cell r="I1482" t="str"><v>Azure Direct</v></cell><cell r="J1482" t="str"><v>Azure Direct</v></cell><cell r="K1482" t="str"><v>September</v></cell><cell r="L1482"><v>43358</v></cell><cell r="M1482" t="str"><v>Tier 0</v></cell><cell r="N1482" t="str"><v>North America</v></cell><cell r="O1482" t="str"><v>United States</v></cell><cell r="P1482" t="str"><v>Trial</v></cell><cell r="Q1482" t="str"><v>Social</v></cell><cell r="R1482" t="str"><v>Azure</v></cell><cell r="S1482" t="str"><v>Apps & Infra</v></cell><cell r="T1482" t="str"><v>Developers & ITI's</v></cell><cell r="U1482" t="str"><v>USA-Trial-ITD-Retargeting-AZR-AZR</v></cell><cell r="V1482" t="str"><v>Retargeting</v></cell><cell r="W1482" t="str"><v>Link Ad</v></cell><cell r="X1482" t="str"><v>1200x1200</v></cell><cell r="Y1482" t="str"><v>Learn More</v></cell><cell r="Z1482" t="str"><v>Animated Banner</v></cell><cell r="AA1482"><v>43357</v></cell><cell r="AB1482" t="str"><v>USA_gaPMG_AZR_AZR_Q1_19_Direct-Social</v></cell><cell r="AC1482"><v>21358715</v></cell><cell r="AD1482"><v>720197</v></cell><cell r="AE1482" t="str"><v>Linkedin</v></cell><cell r="AF1482"><v>3654329</v></cell><cell r="AG1482" t="str"><v>FACEBOOK»USA-Trial-ITD-Retargeting-AZR-AZR»1 x 1»SocialBan»LIA»ALL»CPA»RT»X»NA»SS»NA»FreeAcctDeveloperFB-AnimatedOpenSource-Ch2»PRC26G</v></cell><cell r="AH1482" t="str"><v>PRC26G</v></cell><cell r="AI1482" t="str"><v>AZR_FreeAcctDeveloperFB-AnimatedOpenSource-Ch2_USA_1200x1200_CAN_Direct_English_Trial_Standard_ANI_LEA_T2_1</v></cell><cell r="AJ1482"><v>103048329</v></cell></row><row r="1483"><cell r="D1483" t="str"><v>43357PRC1Q7</v></cell><cell r="E1483" t="str"><v>43357103048329PRC1Q7</v></cell><cell r="F1483" t="str"><v>Appended from Pub - Not in DCM</v></cell></row><row r="1483"><cell r="I1483" t="str"><v>Azure Direct</v></cell><cell r="J1483" t="str"><v>Azure Direct</v></cell><cell r="K1483" t="str"><v>September</v></cell><cell r="L1483"><v>43358</v></cell><cell r="M1483" t="str"><v>Tier 0</v></cell><cell r="N1483" t="str"><v>North America</v></cell><cell r="O1483" t="str"><v>United States</v></cell><cell r="P1483" t="str"><v>Trial</v></cell><cell r="Q1483" t="str"><v>Social</v></cell><cell r="R1483" t="str"><v>Azure</v></cell><cell r="S1483" t="str"><v>Apps & Infra</v></cell><cell r="T1483" t="str"><v>Developers & ITI's</v></cell><cell r="U1483" t="str"><v>USA-Trial-ITD-Trial PayGo Lookalike-AZR-AZR</v></cell><cell r="V1483" t="str"><v>Lookalike Targeting</v></cell><cell r="W1483" t="str"><v>Link Ad</v></cell><cell r="X1483" t="str"><v>1200x1200</v></cell><cell r="Y1483" t="str"><v>Learn More</v></cell><cell r="Z1483" t="str"><v>Animated Banner</v></cell><cell r="AA1483"><v>43357</v></cell><cell r="AB1483" t="str"><v>USA_gaPMG_AZR_AZR_Q1_19_Direct-Social</v></cell><cell r="AC1483"><v>21358715</v></cell><cell r="AD1483"><v>720197</v></cell><cell r="AE1483" t="str"><v>Linkedin</v></cell><cell r="AF1483"><v>3654329</v></cell><cell r="AG1483" t="str"><v>FACEBOOK»USA-Trial-ITD-Trial PayGo Lookalike-AZR-AZR»1 x 1»SocialBan»LIA»ALL»CPA»LAL»X»NA»SS»NA»FreeAcctDeveloperFB-AnimatedOpenSource-Ch2»PRC1Q7</v></cell><cell r="AH1483" t="str"><v>PRC1Q7</v></cell><cell r="AI1483" t="str"><v>AZR_FreeAcctDeveloperFB-AnimatedOpenSource-Ch2_USA_1200x1200_CAN_Direct_English_Trial_Standard_ANI_LEA_T2_1</v></cell><cell r="AJ1483"><v>103048329</v></cell></row><row r="1484"><cell r="D1484" t="str"><v>43357PS7DLN</v></cell><cell r="E1484" t="str"><v>43357104592535PS7DLN</v></cell><cell r="F1484" t="str"><v>Appended from Pub - Not in DCM</v></cell></row><row r="1484"><cell r="I1484" t="str"><v>Azure Direct</v></cell><cell r="J1484" t="str"><v>Azure Direct</v></cell><cell r="K1484" t="str"><v>September</v></cell><cell r="L1484"><v>43358</v></cell><cell r="M1484" t="str"><v>Tier 0</v></cell><cell r="N1484" t="str"><v>North America</v></cell><cell r="O1484" t="str"><v>United States</v></cell><cell r="P1484" t="str"><v>Trial</v></cell><cell r="Q1484" t="str"><v>Social</v></cell><cell r="R1484" t="str"><v>Azure</v></cell><cell r="S1484" t="str"><v>Apps & Infra</v></cell><cell r="T1484" t="str"><v>Developers & ITI's</v></cell><cell r="U1484" t="str"><v>USA-Trial-ITD-Lead Completes Lookalike-AZR-AZR</v></cell><cell r="V1484" t="str"><v>Lookalike Targeting</v></cell><cell r="W1484" t="str"><v>Canvas Ad</v></cell><cell r="X1484" t="str"><v>1200x1200</v></cell><cell r="Y1484" t="str"><v>Learn More</v></cell><cell r="Z1484" t="str"><v>Animated Banner</v></cell><cell r="AA1484"><v>43357</v></cell><cell r="AB1484" t="str"><v>USA_gaPMG_AZR_AZR_Q1_19_Direct-Social</v></cell><cell r="AC1484"><v>21358715</v></cell><cell r="AD1484"><v>720197</v></cell><cell r="AE1484" t="str"><v>Linkedin</v></cell><cell r="AF1484"><v>3654329</v></cell><cell r="AG1484" t="str"><v>FACEBOOK»USA-Trial-ITD-Lead Completes Lookalike-AZR-AZR»1 x 1»SocialBan»CAN»ALL»CPA»LAL»X»NA»SS»NA»FreeAcctITProFB-AnimatedHybrid-Ch2»PS7DLN</v></cell><cell r="AH1484" t="str"><v>PS7DLN</v></cell><cell r="AI1484" t="str"><v>AZR_FreeAcctITProFB-AnimatedHybrid-Ch2_USA_1200x1200_CAN_Direct_EN_Trial_Standard_ANI_LEA_T2_1</v></cell><cell r="AJ1484"><v>104592535</v></cell></row><row r="1485"><cell r="D1485" t="str"><v>43357PS7DLR</v></cell><cell r="E1485" t="str"><v>43357104593450PS7DLR</v></cell><cell r="F1485" t="str"><v>Appended from Pub - Not in DCM</v></cell></row><row r="1485"><cell r="I1485" t="str"><v>Azure Direct</v></cell><cell r="J1485" t="str"><v>Azure Direct</v></cell><cell r="K1485" t="str"><v>September</v></cell><cell r="L1485"><v>43358</v></cell><cell r="M1485" t="str"><v>Tier 0</v></cell><cell r="N1485" t="str"><v>North America</v></cell><cell r="O1485" t="str"><v>United States</v></cell><cell r="P1485" t="str"><v>Trial</v></cell><cell r="Q1485" t="str"><v>Social</v></cell><cell r="R1485" t="str"><v>Azure</v></cell><cell r="S1485" t="str"><v>Apps & Infra</v></cell><cell r="T1485" t="str"><v>Developers & ITI's</v></cell><cell r="U1485" t="str"><v>USA-Trial-ITD-Lead Completes Lookalike-AZR-AZR</v></cell><cell r="V1485" t="str"><v>Lookalike Targeting</v></cell><cell r="W1485" t="str"><v>Canvas Ad</v></cell><cell r="X1485" t="str"><v>1200x1200</v></cell><cell r="Y1485" t="str"><v>Learn More</v></cell><cell r="Z1485" t="str"><v>Animated Banner</v></cell><cell r="AA1485"><v>43357</v></cell><cell r="AB1485" t="str"><v>USA_gaPMG_AZR_AZR_Q1_19_Direct-Social</v></cell><cell r="AC1485"><v>21358715</v></cell><cell r="AD1485"><v>720197</v></cell><cell r="AE1485" t="str"><v>Linkedin</v></cell><cell r="AF1485"><v>3654329</v></cell><cell r="AG1485" t="str"><v>FACEBOOK»USA-Trial-ITD-Lead Completes Lookalike-AZR-AZR»1 x 1»SocialBan»CAN»ALL»CPA»LAL»X»NA»SS»NA»FreeAcctITProFB-AnimatedMigration-Ch3»PS7DLR</v></cell><cell r="AH1485" t="str"><v>PS7DLR</v></cell><cell r="AI1485" t="str"><v>AZR_FreeAcctITProFB-AnimatedMigration-Ch3_USA_1200x1200_CAN_Direct_EN_Trial_Standard_ANI_LEA_T3_1</v></cell><cell r="AJ1485"><v>104593450</v></cell></row><row r="1486"><cell r="D1486" t="str"><v>43357PS79G2</v></cell><cell r="E1486" t="str"><v>43357104593738PS79G2</v></cell><cell r="F1486" t="str"><v>Appended from Pub - Not in DCM</v></cell></row><row r="1486"><cell r="I1486" t="str"><v>Azure Direct</v></cell><cell r="J1486" t="str"><v>Azure Direct</v></cell><cell r="K1486" t="str"><v>September</v></cell><cell r="L1486"><v>43358</v></cell><cell r="M1486" t="str"><v>Tier 0</v></cell><cell r="N1486" t="str"><v>North America</v></cell><cell r="O1486" t="str"><v>United States</v></cell><cell r="P1486" t="str"><v>Trial</v></cell><cell r="Q1486" t="str"><v>Social</v></cell><cell r="R1486" t="str"><v>Azure</v></cell><cell r="S1486" t="str"><v>Apps & Infra</v></cell><cell r="T1486" t="str"><v>Developers & ITI's</v></cell><cell r="U1486" t="str"><v>USA-Trial-ITD-Lead Completes Lookalike-AZR-AZR</v></cell><cell r="V1486" t="str"><v>Lookalike Targeting</v></cell><cell r="W1486" t="str"><v>Canvas Ad</v></cell><cell r="X1486" t="str"><v>1200x1200</v></cell><cell r="Y1486" t="str"><v>Learn More</v></cell><cell r="Z1486" t="str"><v>Animated Banner</v></cell><cell r="AA1486"><v>43357</v></cell><cell r="AB1486" t="str"><v>USA_gaPMG_AZR_AZR_Q1_19_Direct-Social</v></cell><cell r="AC1486"><v>21358715</v></cell><cell r="AD1486"><v>720197</v></cell><cell r="AE1486" t="str"><v>Linkedin</v></cell><cell r="AF1486"><v>3654329</v></cell><cell r="AG1486" t="str"><v>FACEBOOK»USA-Trial-ITD-Lead Completes Lookalike-AZR-AZR»1 x 1»SocialBan»CAN»ALL»CPA»LAL»X»NA»SS»NA»FreeAcctITProFB-AnimatedSecureMngd-Ch1»PS79G2</v></cell><cell r="AH1486" t="str"><v>PS79G2</v></cell><cell r="AI1486" t="str"><v>AZR_FreeAcctITProFB-AnimatedSecureMngd-Ch1_USA_1200x1200_CAN_Direct_EN_Trial_Standard_ANI_LEA_T1_1</v></cell><cell r="AJ1486"><v>104593738</v></cell></row><row r="1487"><cell r="D1487" t="str"><v>43357PRX721</v></cell><cell r="E1487" t="str"><v>43357104593426PRX721</v></cell><cell r="F1487" t="str"><v>Appended from Pub - Not in DCM</v></cell></row><row r="1487"><cell r="I1487" t="str"><v>Azure Direct</v></cell><cell r="J1487" t="str"><v>Azure Direct</v></cell><cell r="K1487" t="str"><v>September</v></cell><cell r="L1487"><v>43358</v></cell><cell r="M1487" t="str"><v>Tier 0</v></cell><cell r="N1487" t="str"><v>North America</v></cell><cell r="O1487" t="str"><v>United States</v></cell><cell r="P1487" t="str"><v>Trial</v></cell><cell r="Q1487" t="str"><v>Social</v></cell><cell r="R1487" t="str"><v>Azure</v></cell><cell r="S1487" t="str"><v>Apps & Infra</v></cell><cell r="T1487" t="str"><v>Developers & ITI's</v></cell><cell r="U1487" t="str"><v>USA-Trial-ITD-Lead Completes Lookalike-AZR-AZR</v></cell><cell r="V1487" t="str"><v>Lookalike Targeting</v></cell><cell r="W1487" t="str"><v>Canvas Ad</v></cell><cell r="X1487" t="str"><v>10s</v></cell><cell r="Y1487" t="str"><v>Try it Now</v></cell><cell r="Z1487" t="str"><v>Standard videos</v></cell><cell r="AA1487"><v>43357</v></cell><cell r="AB1487" t="str"><v>USA_gaPMG_AZR_AZR_Q1_19_Direct-Social</v></cell><cell r="AC1487"><v>21358715</v></cell><cell r="AD1487"><v>720197</v></cell><cell r="AE1487" t="str"><v>Linkedin</v></cell><cell r="AF1487"><v>3654329</v></cell><cell r="AG1487" t="str"><v>FACEBOOK»USA-Trial-ITD-Lead Completes Lookalike-AZR-AZR»1 x 1»SocialBan»CAN»ALL»CPA»LAL»X»NA»SS»NA»FBCTCBasicMotion»PRX721</v></cell><cell r="AH1487" t="str"><v>PRX721</v></cell><cell r="AI1487" t="str"><v>AZR_FBCTCBasicMotion_USA_10s_CAN_PLATFORM_English_Trial_Standard_STAN_TIN_T1_2</v></cell><cell r="AJ1487"><v>104593426</v></cell></row><row r="1488"><cell r="D1488" t="str"><v>43357PS79G4</v></cell><cell r="E1488" t="str"><v>43357104671427PS79G4</v></cell><cell r="F1488" t="str"><v>Appended from Pub - Not in DCM</v></cell></row><row r="1488"><cell r="I1488" t="str"><v>Azure Direct</v></cell><cell r="J1488" t="str"><v>Azure Direct</v></cell><cell r="K1488" t="str"><v>September</v></cell><cell r="L1488"><v>43358</v></cell><cell r="M1488" t="str"><v>Tier 0</v></cell><cell r="N1488" t="str"><v>North America</v></cell><cell r="O1488" t="str"><v>United States</v></cell><cell r="P1488" t="str"><v>Trial</v></cell><cell r="Q1488" t="str"><v>Social</v></cell><cell r="R1488" t="str"><v>Azure</v></cell><cell r="S1488" t="str"><v>Apps & Infra</v></cell><cell r="T1488" t="str"><v>Developers & ITI's</v></cell><cell r="U1488" t="str"><v>USA-Trial-ITD-Lead Completes Lookalike-AZR-AZR</v></cell><cell r="V1488" t="str"><v>Lookalike Targeting</v></cell><cell r="W1488" t="str"><v>Canvas Ad</v></cell><cell r="X1488" t="str"><v>1200x1200</v></cell><cell r="Y1488" t="str"><v>Learn More</v></cell><cell r="Z1488" t="str"><v>Animated Banner</v></cell><cell r="AA1488"><v>43357</v></cell><cell r="AB1488" t="str"><v>USA_gaPMG_AZR_AZR_Q1_19_Direct-Social</v></cell><cell r="AC1488"><v>21358715</v></cell><cell r="AD1488"><v>720197</v></cell><cell r="AE1488" t="str"><v>Linkedin</v></cell><cell r="AF1488"><v>3654329</v></cell><cell r="AG1488" t="str"><v>FACEBOOK»USA-Trial-ITD-Lead Completes Lookalike-AZR-AZR»1 x 1»SocialBan»CAN»ALL»CPA»LAL»X»NA»SS»NA»FreeAcctDeveloperFB-AnimatedOpenSource-Ch2»PS79G4</v></cell><cell r="AH1488" t="str"><v>PS79G4</v></cell><cell r="AI1488" t="str"><v>AZR_FreeAcctDeveloperFB-AnimatedOpenSource-Ch2_USA_1200x1200_CAN_Direct_EN_Trial_Standard_ANI_LEA_T2_1</v></cell><cell r="AJ1488"><v>104671427</v></cell></row><row r="1489"><cell r="D1489" t="str"><v>43357PS79G1</v></cell><cell r="E1489" t="str"><v>43357104595739PS79G1</v></cell><cell r="F1489" t="str"><v>Appended from Pub - Not in DCM</v></cell></row><row r="1489"><cell r="I1489" t="str"><v>Azure Direct</v></cell><cell r="J1489" t="str"><v>Azure Direct</v></cell><cell r="K1489" t="str"><v>September</v></cell><cell r="L1489"><v>43358</v></cell><cell r="M1489" t="str"><v>Tier 0</v></cell><cell r="N1489" t="str"><v>North America</v></cell><cell r="O1489" t="str"><v>United States</v></cell><cell r="P1489" t="str"><v>Trial</v></cell><cell r="Q1489" t="str"><v>Social</v></cell><cell r="R1489" t="str"><v>Azure</v></cell><cell r="S1489" t="str"><v>Apps & Infra</v></cell><cell r="T1489" t="str"><v>Developers & ITI's</v></cell><cell r="U1489" t="str"><v>USA-Trial-ITD-Lead Completes Lookalike-AZR-AZR</v></cell><cell r="V1489" t="str"><v>Lookalike Targeting</v></cell><cell r="W1489" t="str"><v>Canvas Ad</v></cell><cell r="X1489" t="str"><v>1200x1200</v></cell><cell r="Y1489" t="str"><v>Learn More</v></cell><cell r="Z1489" t="str"><v>Animated Banner</v></cell><cell r="AA1489"><v>43357</v></cell><cell r="AB1489" t="str"><v>USA_gaPMG_AZR_AZR_Q1_19_Direct-Social</v></cell><cell r="AC1489"><v>21358715</v></cell><cell r="AD1489"><v>720197</v></cell><cell r="AE1489" t="str"><v>Linkedin</v></cell><cell r="AF1489"><v>3654329</v></cell><cell r="AG1489" t="str"><v>FACEBOOK»USA-Trial-ITD-Lead Completes Lookalike-AZR-AZR»1 x 1»SocialBan»CAN»ALL»CPA»LAL»X»NA»SS»NA»FreeAcctDeveloperFB-AnimatedData-Ch4»PS79G1</v></cell><cell r="AH1489" t="str"><v>PS79G1</v></cell><cell r="AI1489" t="str"><v>AZR_FreeAcctDeveloperFB-AnimatedData-Ch4_USA_1200x1200_CAN_Direct_EN_Trial_Standard_ANI_LEA_T4_1</v></cell><cell r="AJ1489"><v>104595739</v></cell></row><row r="1490"><cell r="D1490" t="str"><v>43357PS79G3</v></cell><cell r="E1490" t="str"><v>43357104595745PS79G3</v></cell><cell r="F1490" t="str"><v>Appended from Pub - Not in DCM</v></cell></row><row r="1490"><cell r="I1490" t="str"><v>Azure Direct</v></cell><cell r="J1490" t="str"><v>Azure Direct</v></cell><cell r="K1490" t="str"><v>September</v></cell><cell r="L1490"><v>43358</v></cell><cell r="M1490" t="str"><v>Tier 0</v></cell><cell r="N1490" t="str"><v>North America</v></cell><cell r="O1490" t="str"><v>United States</v></cell><cell r="P1490" t="str"><v>Trial</v></cell><cell r="Q1490" t="str"><v>Social</v></cell><cell r="R1490" t="str"><v>Azure</v></cell><cell r="S1490" t="str"><v>Apps & Infra</v></cell><cell r="T1490" t="str"><v>Developers & ITI's</v></cell><cell r="U1490" t="str"><v>USA-Trial-ITD-Lead Completes Lookalike-AZR-AZR</v></cell><cell r="V1490" t="str"><v>Lookalike Targeting</v></cell><cell r="W1490" t="str"><v>Canvas Ad</v></cell><cell r="X1490" t="str"><v>1200x1200</v></cell><cell r="Y1490" t="str"><v>Learn More</v></cell><cell r="Z1490" t="str"><v>Animated Banner</v></cell><cell r="AA1490"><v>43357</v></cell><cell r="AB1490" t="str"><v>USA_gaPMG_AZR_AZR_Q1_19_Direct-Social</v></cell><cell r="AC1490"><v>21358715</v></cell><cell r="AD1490"><v>720197</v></cell><cell r="AE1490" t="str"><v>Linkedin</v></cell><cell r="AF1490"><v>3654329</v></cell><cell r="AG1490" t="str"><v>FACEBOOK»USA-Trial-ITD-Lead Completes Lookalike-AZR-AZR»1 x 1»SocialBan»CAN»ALL»CPA»LAL»X»NA»SS»NA»FreeAcctDeveloperFB-AnimatedAI-Ch3»PS79G3</v></cell><cell r="AH1490" t="str"><v>PS79G3</v></cell><cell r="AI1490" t="str"><v>AZR_FreeAcctDeveloperFB-AnimatedAI-Ch3_USA_1200x1200_CAN_Direct_EN_Trial_Standard_ANI_LEA_T3_2</v></cell><cell r="AJ1490"><v>104595745</v></cell></row><row r="1491"><cell r="D1491" t="str"><v>43357PS79FT</v></cell><cell r="E1491" t="str"><v>43357PS79FT</v></cell><cell r="F1491" t="str"><v>Appended from Pub - Not in DCM</v></cell></row><row r="1491"><cell r="I1491" t="str"><v>Azure Direct</v></cell><cell r="J1491" t="str"><v>Azure Direct</v></cell><cell r="K1491" t="str"><v>September</v></cell><cell r="L1491"><v>43358</v></cell><cell r="M1491" t="str"><v>Tier 0</v></cell><cell r="N1491" t="str"><v>North America</v></cell><cell r="O1491" t="str"><v>United States</v></cell><cell r="P1491" t="str"><v>Trial</v></cell><cell r="Q1491" t="str"><v>Social</v></cell><cell r="R1491" t="str"><v>Azure</v></cell><cell r="S1491" t="str"><v>Apps & Infra</v></cell><cell r="T1491" t="str"><v>Developers & ITI's</v></cell><cell r="U1491" t="str"><v>USA-Trial-ITD-Lead Completes Lookalike-AZR-AZR</v></cell><cell r="V1491" t="str"><v>Lookalike Targeting</v></cell><cell r="W1491" t="str"><v>Canvas Ad</v></cell></row><row r="1491"><cell r="AA1491"><v>43357</v></cell><cell r="AB1491" t="str"><v>USA_gaPMG_AZR_AZR_Q1_19_Direct-Social</v></cell><cell r="AC1491"><v>21358715</v></cell><cell r="AD1491"><v>720197</v></cell><cell r="AE1491" t="str"><v>Linkedin</v></cell><cell r="AF1491"><v>3654329</v></cell><cell r="AG1491" t="str"><v>FACEBOOK»USA-Trial-ITD-Lead Completes Lookalike-AZR-AZR»1 x 1»SocialBan»CAN»ALL»CPA»LAL»X»NA»SS»NA»FreeAcctDeveloperFB-AnimatedGeneric-Ch1»PS79FT</v></cell><cell r="AH1491" t="str"><v>PS79FT</v></cell></row><row r="1492"><cell r="D1492" t="str"><v>43357PRC1Q0</v></cell><cell r="E1492" t="str"><v>43357103043823PRC1Q0</v></cell><cell r="F1492" t="str"><v>Appended from Pub - Not in DCM</v></cell></row><row r="1492"><cell r="I1492" t="str"><v>Azure Direct</v></cell><cell r="J1492" t="str"><v>Azure Direct</v></cell><cell r="K1492" t="str"><v>September</v></cell><cell r="L1492"><v>43358</v></cell><cell r="M1492" t="str"><v>Tier 0</v></cell><cell r="N1492" t="str"><v>North America</v></cell><cell r="O1492" t="str"><v>United States</v></cell><cell r="P1492" t="str"><v>Trial</v></cell><cell r="Q1492" t="str"><v>Social</v></cell><cell r="R1492" t="str"><v>Azure</v></cell><cell r="S1492" t="str"><v>Apps & Infra</v></cell><cell r="T1492" t="str"><v>Developers & ITI's</v></cell><cell r="U1492" t="str"><v>USA-Trial-ITD-Trial PayGo Lookalike-AZR-AZR</v></cell><cell r="V1492" t="str"><v>Lookalike Targeting</v></cell><cell r="W1492" t="str"><v>Canvas Ad</v></cell><cell r="X1492" t="str"><v>10s</v></cell><cell r="Y1492" t="str"><v>Try it Now</v></cell><cell r="Z1492" t="str"><v>Standard videos</v></cell><cell r="AA1492"><v>43357</v></cell><cell r="AB1492" t="str"><v>USA_gaPMG_AZR_AZR_Q1_19_Direct-Social</v></cell><cell r="AC1492"><v>21358715</v></cell><cell r="AD1492"><v>720197</v></cell><cell r="AE1492" t="str"><v>Linkedin</v></cell><cell r="AF1492"><v>3654329</v></cell><cell r="AG1492" t="str"><v>FACEBOOK»USA-Trial-ITD-Trial PayGo Lookalike-AZR-AZR»1 x 1»SocialBan»CAN»ALL»CPA»LAL»X»NA»SS»NA»FBCTCBasicMotion»PRC1Q0</v></cell><cell r="AH1492" t="str"><v>PRC1Q0</v></cell><cell r="AI1492" t="str"><v>AzurePlatform_FBCTCBasicMotion_USA_10s_CAN_PLATFORM_English_Trial_Standard_STAN_TIN_T1_1</v></cell><cell r="AJ1492"><v>103043823</v></cell></row><row r="1493"><cell r="D1493" t="str"><v>43357PRSH6K</v></cell><cell r="E1493" t="str"><v>43357103773177PRSH6K</v></cell><cell r="F1493" t="str"><v>Appended from Pub - Not in DCM</v></cell></row><row r="1493"><cell r="I1493" t="str"><v>Azure Direct</v></cell><cell r="J1493" t="str"><v>Azure Direct</v></cell><cell r="K1493" t="str"><v>September</v></cell><cell r="L1493"><v>43358</v></cell><cell r="M1493" t="str"><v>Tier 0</v></cell><cell r="N1493" t="str"><v>North America</v></cell><cell r="O1493" t="str"><v>United States</v></cell><cell r="P1493" t="str"><v>Trial</v></cell><cell r="Q1493" t="str"><v>Social</v></cell><cell r="R1493" t="str"><v>Azure</v></cell><cell r="S1493" t="str"><v>Apps & Infra</v></cell><cell r="T1493" t="str"><v>Developers & ITI's</v></cell><cell r="U1493" t="str"><v>USA-Trial-ITD-Trial PayGo Lookalike-AZR-AZR</v></cell><cell r="V1493" t="str"><v>Lookalike Targeting</v></cell><cell r="W1493" t="str"><v>Canvas Collection Ad</v></cell><cell r="X1493" t="str"><v>1200x182</v></cell><cell r="Y1493" t="str"><v>Try it Now</v></cell><cell r="Z1493" t="str"><v>Not Applicable</v></cell><cell r="AA1493"><v>43357</v></cell><cell r="AB1493" t="str"><v>USA_gaPMG_AZR_AZR_Q1_19_Direct-Social</v></cell><cell r="AC1493"><v>21358715</v></cell><cell r="AD1493"><v>720197</v></cell><cell r="AE1493" t="str"><v>Linkedin</v></cell><cell r="AF1493"><v>3654329</v></cell><cell r="AG1493" t="str"><v>FACEBOOK»USA-Trial-ITD-Trial PayGo Lookalike-AZR-AZR»1 x 1»SocialBan»CCA»ALL»CPA»LAL»X»NA»SS»NA»Azure Developer Facebook Collections»PRSH6K</v></cell><cell r="AH1493" t="str"><v>PRSH6K</v></cell><cell r="AI1493" t="str"><v>AZR_FBCollections-AITryAzureFreeCTA-Img2_USA_1200x182_SOC_Plat_EN_NA_Standard_NA_TIN_T1_2</v></cell><cell r="AJ1493"><v>103773177</v></cell></row><row r="1494"><cell r="D1494" t="str"><v>43357PRC1VW</v></cell><cell r="E1494" t="str"><v>43357103032775PRC1VW</v></cell><cell r="F1494" t="str"><v>Appended from Pub - Not in DCM</v></cell></row><row r="1494"><cell r="I1494" t="str"><v>Azure Direct</v></cell><cell r="J1494" t="str"><v>Azure Direct</v></cell><cell r="K1494" t="str"><v>September</v></cell><cell r="L1494"><v>43358</v></cell><cell r="M1494" t="str"><v>Tier 0</v></cell><cell r="N1494" t="str"><v>North America</v></cell><cell r="O1494" t="str"><v>United States</v></cell><cell r="P1494" t="str"><v>Trial</v></cell><cell r="Q1494" t="str"><v>Social</v></cell><cell r="R1494" t="str"><v>Azure</v></cell><cell r="S1494" t="str"><v>Apps & Infra</v></cell><cell r="T1494" t="str"><v>Developers & ITI's</v></cell><cell r="U1494" t="str"><v>USA-Trial-ITD-Lead Completes-AZR-AZR</v></cell><cell r="V1494" t="str"><v>Prospecting</v></cell><cell r="W1494" t="str"><v>Canvas Ad</v></cell><cell r="X1494" t="str"><v>10s</v></cell><cell r="Y1494" t="str"><v>Try it Now</v></cell><cell r="Z1494" t="str"><v>Standard videos</v></cell><cell r="AA1494"><v>43357</v></cell><cell r="AB1494" t="str"><v>USA_gaPMG_AZR_AZR_Q1_19_Direct-Social</v></cell><cell r="AC1494"><v>21358715</v></cell><cell r="AD1494"><v>720197</v></cell><cell r="AE1494" t="str"><v>Linkedin</v></cell><cell r="AF1494"><v>3654329</v></cell><cell r="AG1494" t="str"><v>FACEBOOK»USA-Trial-ITD-Lead Completes-AZR-AZR»1 x 1»SocialBan»CAN»ALL»CPA»PRO»X»NA»SS»NA»FBCTCBenefitinMotion»PRC1VW</v></cell><cell r="AH1494" t="str"><v>PRC1VW</v></cell><cell r="AI1494" t="str"><v>AzurePlatform_FBCTCBenefitinMotion_USA_10s_CAN_PLATFORM_English_Trial_Standard_STAN_TIN_T3_1</v></cell><cell r="AJ1494"><v>103032775</v></cell></row><row r="1495"><cell r="D1495" t="str"><v>43357PRC1RX</v></cell><cell r="E1495" t="str"><v>43357103180880PRC1RX</v></cell><cell r="F1495" t="str"><v>Appended from Pub - Not in DCM</v></cell></row><row r="1495"><cell r="I1495" t="str"><v>Azure Direct</v></cell><cell r="J1495" t="str"><v>Azure Direct</v></cell><cell r="K1495" t="str"><v>September</v></cell><cell r="L1495"><v>43358</v></cell><cell r="M1495" t="str"><v>Tier 0</v></cell><cell r="N1495" t="str"><v>North America</v></cell><cell r="O1495" t="str"><v>United States</v></cell><cell r="P1495" t="str"><v>Trial</v></cell><cell r="Q1495" t="str"><v>Social</v></cell><cell r="R1495" t="str"><v>Azure</v></cell><cell r="S1495" t="str"><v>Apps & Infra</v></cell><cell r="T1495" t="str"><v>Developers & ITI's</v></cell><cell r="U1495" t="str"><v>USA-Trial-ITD-Retargeting-AZR-AZR</v></cell><cell r="V1495" t="str"><v>Retargeting</v></cell><cell r="W1495" t="str"><v>Link Ad</v></cell><cell r="X1495" t="str"><v>1200x628</v></cell><cell r="Y1495" t="str"><v>Sign Up</v></cell><cell r="Z1495" t="str"><v>Animated Banner</v></cell><cell r="AA1495"><v>43357</v></cell><cell r="AB1495" t="str"><v>USA_gaPMG_AZR_AZR_Q1_19_Direct-Social</v></cell><cell r="AC1495"><v>21358715</v></cell><cell r="AD1495"><v>720197</v></cell><cell r="AE1495" t="str"><v>Linkedin</v></cell><cell r="AF1495"><v>3654329</v></cell><cell r="AG1495" t="str"><v>FACEBOOK»USA-Trial-ITD-Retargeting-AZR-AZR»1 x 1»SocialBan»LIA»ALL»CPA»RT»X»NA»SS»NA»FreeAcctRetargetingFB-Animated-ChC»PRC1RX</v></cell><cell r="AH1495" t="str"><v>PRC1RX</v></cell><cell r="AI1495" t="str"><v>AzurePlatform_FreeAcctRetargetingFB-Animated-ChC_USA_1200x628_CAN_PLATFORM_English_Free Account_Standard_ANI_SINU_T3_2</v></cell><cell r="AJ1495"><v>103180880</v></cell></row><row r="1496"><cell r="D1496" t="str"><v>43357PRC1T5</v></cell><cell r="E1496" t="str"><v>43357103180583PRC1T5</v></cell><cell r="F1496" t="str"><v>Appended from Pub - Not in DCM</v></cell></row><row r="1496"><cell r="I1496" t="str"><v>Azure Direct</v></cell><cell r="J1496" t="str"><v>Azure Direct</v></cell><cell r="K1496" t="str"><v>September</v></cell><cell r="L1496"><v>43358</v></cell><cell r="M1496" t="str"><v>Tier 0</v></cell><cell r="N1496" t="str"><v>North America</v></cell><cell r="O1496" t="str"><v>United States</v></cell><cell r="P1496" t="str"><v>Trial</v></cell><cell r="Q1496" t="str"><v>Social</v></cell><cell r="R1496" t="str"><v>Azure</v></cell><cell r="S1496" t="str"><v>Apps & Infra</v></cell><cell r="T1496" t="str"><v>Developers & ITI's</v></cell><cell r="U1496" t="str"><v>USA-Trial-ITD-Interest Prospecting-AZR-AZR</v></cell><cell r="V1496" t="str"><v>Prospecting</v></cell><cell r="W1496" t="str"><v>Link Ad</v></cell><cell r="X1496" t="str"><v>1200x1200</v></cell><cell r="Y1496" t="str"><v>Learn More</v></cell><cell r="Z1496" t="str"><v>Animated Banner</v></cell><cell r="AA1496"><v>43357</v></cell><cell r="AB1496" t="str"><v>USA_gaPMG_AZR_AZR_Q1_19_Direct-Social</v></cell><cell r="AC1496"><v>21358715</v></cell><cell r="AD1496"><v>720197</v></cell><cell r="AE1496" t="str"><v>Linkedin</v></cell><cell r="AF1496"><v>3654329</v></cell><cell r="AG1496" t="str"><v>FACEBOOK»USA-Trial-ITD-Interest Prospecting-AZR-AZR»1 x 1»SocialBan»LIA»ALL»CPA»PRO»X»NA»SS»NA»FreeAcctITProFB-AnimatedHybrid-Ch2»PRC1T5</v></cell><cell r="AH1496" t="str"><v>PRC1T5</v></cell><cell r="AI1496" t="str"><v>AZR_FreeAcctITProFB-AnimatedHybrid-Ch2_USA_1200x1200_CAN_Direct_English_Trial_Standard_ANI_LEA_T2_2</v></cell><cell r="AJ1496"><v>103180583</v></cell></row><row r="1497"><cell r="D1497" t="str"><v>43357PRC1M5</v></cell><cell r="E1497" t="str"><v>43357103176851PRC1M5</v></cell><cell r="F1497" t="str"><v>Appended from Pub - Not in DCM</v></cell></row><row r="1497"><cell r="I1497" t="str"><v>Azure Direct</v></cell><cell r="J1497" t="str"><v>Azure Direct</v></cell><cell r="K1497" t="str"><v>September</v></cell><cell r="L1497"><v>43358</v></cell><cell r="M1497" t="str"><v>Tier 0</v></cell><cell r="N1497" t="str"><v>North America</v></cell><cell r="O1497" t="str"><v>United States</v></cell><cell r="P1497" t="str"><v>Trial</v></cell><cell r="Q1497" t="str"><v>Social</v></cell><cell r="R1497" t="str"><v>Azure</v></cell><cell r="S1497" t="str"><v>Apps & Infra</v></cell><cell r="T1497" t="str"><v>Developers & ITI's</v></cell><cell r="U1497" t="str"><v>USA-Trial-ITD-Trial Lookalike-AZR-AZR</v></cell><cell r="V1497" t="str"><v>Lookalike Targeting</v></cell><cell r="W1497" t="str"><v>Link Ad</v></cell><cell r="X1497" t="str"><v>1200x1200</v></cell><cell r="Y1497" t="str"><v>Learn More</v></cell><cell r="Z1497" t="str"><v>Animated Banner</v></cell><cell r="AA1497"><v>43357</v></cell><cell r="AB1497" t="str"><v>USA_gaPMG_AZR_AZR_Q1_19_Direct-Social</v></cell><cell r="AC1497"><v>21358715</v></cell><cell r="AD1497"><v>720197</v></cell><cell r="AE1497" t="str"><v>Linkedin</v></cell><cell r="AF1497"><v>3654329</v></cell><cell r="AG1497" t="str"><v>FACEBOOK»USA-Trial-ITD-Trial Lookalike-AZR-AZR»1 x 1»SocialBan»LIA»ALL»CPA»LAL»X»NA»SS»NA»FreeAcctDeveloperFB-AnimatedGeneric-Ch1»PRC1M5</v></cell><cell r="AH1497" t="str"><v>PRC1M5</v></cell><cell r="AI1497" t="str"><v>AZR_FreeAcctDeveloperFB-AnimatedGeneric-Ch1_USA_1200x1200_CAN_Direct_English_Trial_Standard_ANI_LEA_T1_2</v></cell><cell r="AJ1497"><v>103176851</v></cell></row><row r="1498"><cell r="D1498" t="str"><v>43357PRSH0N</v></cell><cell r="E1498" t="str"><v>43357103873631PRSH0N</v></cell><cell r="F1498" t="str"><v>Appended from Pub - Not in DCM</v></cell></row><row r="1498"><cell r="I1498" t="str"><v>Azure Direct</v></cell><cell r="J1498" t="str"><v>Azure Direct</v></cell><cell r="K1498" t="str"><v>September</v></cell><cell r="L1498"><v>43358</v></cell><cell r="M1498" t="str"><v>Tier 0</v></cell><cell r="N1498" t="str"><v>North America</v></cell><cell r="O1498" t="str"><v>United States</v></cell><cell r="P1498" t="str"><v>Trial</v></cell><cell r="Q1498" t="str"><v>Social</v></cell><cell r="R1498" t="str"><v>Azure</v></cell><cell r="S1498" t="str"><v>Apps & Infra</v></cell><cell r="T1498" t="str"><v>Developers & ITI's</v></cell><cell r="U1498" t="str"><v>USA-Trial-ITD-Trial Lookalike-AZR-AZR</v></cell><cell r="V1498" t="str"><v>Lookalike Targeting</v></cell><cell r="W1498" t="str"><v>Canvas Collection Ad</v></cell><cell r="X1498" t="str"><v>1200x182</v></cell><cell r="Y1498" t="str"><v>Try it Now</v></cell><cell r="Z1498" t="str"><v>Not Applicable</v></cell><cell r="AA1498"><v>43357</v></cell><cell r="AB1498" t="str"><v>USA_gaPMG_AZR_AZR_Q1_19_Direct-Social</v></cell><cell r="AC1498"><v>21358715</v></cell><cell r="AD1498"><v>720197</v></cell><cell r="AE1498" t="str"><v>Linkedin</v></cell><cell r="AF1498"><v>3654329</v></cell><cell r="AG1498" t="str"><v>FACEBOOK»USA-Trial-ITD-Trial Lookalike-AZR-AZR»1 x 1»SocialBan»CCA»ALL»CPA»LAL»X»NA»SS»NA»Azure Developer Facebook Collections»PRSH0N</v></cell><cell r="AH1498" t="str"><v>PRSH0N</v></cell><cell r="AI1498" t="str"><v>AZR_FBCollections-OSSTryAzureFreeCTA-Img3_USA_1200x182_SOC_Plat_EN_NA_Standard_NA_TIN_T1_3</v></cell><cell r="AJ1498"><v>103873631</v></cell></row><row r="1499"><cell r="D1499" t="str"><v>43357PRC1T3</v></cell><cell r="E1499" t="str"><v>43357103037935PRC1T3</v></cell><cell r="F1499" t="str"><v>Appended from Pub - Not in DCM</v></cell></row><row r="1499"><cell r="I1499" t="str"><v>Azure Direct</v></cell><cell r="J1499" t="str"><v>Azure Direct</v></cell><cell r="K1499" t="str"><v>September</v></cell><cell r="L1499"><v>43358</v></cell><cell r="M1499" t="str"><v>Tier 0</v></cell><cell r="N1499" t="str"><v>North America</v></cell><cell r="O1499" t="str"><v>United States</v></cell><cell r="P1499" t="str"><v>Trial</v></cell><cell r="Q1499" t="str"><v>Social</v></cell><cell r="R1499" t="str"><v>Azure</v></cell><cell r="S1499" t="str"><v>Apps & Infra</v></cell><cell r="T1499" t="str"><v>Developers & ITI's</v></cell><cell r="U1499" t="str"><v>USA-Trial-ITD-Interest Prospecting-AZR-AZR</v></cell><cell r="V1499" t="str"><v>Prospecting</v></cell><cell r="W1499" t="str"><v>Link Ad</v></cell><cell r="X1499" t="str"><v>1200x1200</v></cell><cell r="Y1499" t="str"><v>Learn More</v></cell><cell r="Z1499" t="str"><v>Animated Banner</v></cell><cell r="AA1499"><v>43357</v></cell><cell r="AB1499" t="str"><v>USA_gaPMG_AZR_AZR_Q1_19_Direct-Social</v></cell><cell r="AC1499"><v>21358715</v></cell><cell r="AD1499"><v>720197</v></cell><cell r="AE1499" t="str"><v>Linkedin</v></cell><cell r="AF1499"><v>3654329</v></cell><cell r="AG1499" t="str"><v>FACEBOOK»USA-Trial-ITD-Interest Prospecting-AZR-AZR»1 x 1»SocialBan»LIA»ALL»CPA»PRO»X»NA»SS»NA»FreeAcctDeveloperFB-AnimatedData-Ch4»PRC1T3</v></cell><cell r="AH1499" t="str"><v>PRC1T3</v></cell><cell r="AI1499" t="str"><v>AZR_FreeAcctDeveloperFB-AnimatedData-Ch4_USA_1200x1200_CAN_Direct_English_Trial_Standard_ANI_LEA_T4_2</v></cell><cell r="AJ1499"><v>103037935</v></cell></row><row r="1500"><cell r="D1500" t="str"><v>43357PRC1T2</v></cell><cell r="E1500" t="str"><v>43357103032778PRC1T2</v></cell><cell r="F1500" t="str"><v>Appended from Pub - Not in DCM</v></cell></row><row r="1500"><cell r="I1500" t="str"><v>Azure Direct</v></cell><cell r="J1500" t="str"><v>Azure Direct</v></cell><cell r="K1500" t="str"><v>September</v></cell><cell r="L1500"><v>43358</v></cell><cell r="M1500" t="str"><v>Tier 0</v></cell><cell r="N1500" t="str"><v>North America</v></cell><cell r="O1500" t="str"><v>United States</v></cell><cell r="P1500" t="str"><v>Trial</v></cell><cell r="Q1500" t="str"><v>Social</v></cell><cell r="R1500" t="str"><v>Azure</v></cell><cell r="S1500" t="str"><v>Apps & Infra</v></cell><cell r="T1500" t="str"><v>Developers & ITI's</v></cell><cell r="U1500" t="str"><v>USA-Trial-ITD-Interest Prospecting-AZR-AZR</v></cell><cell r="V1500" t="str"><v>Prospecting</v></cell><cell r="W1500" t="str"><v>Link Ad</v></cell><cell r="X1500" t="str"><v>1200x1200</v></cell><cell r="Y1500" t="str"><v>Learn More</v></cell><cell r="Z1500" t="str"><v>Animated Banner</v></cell><cell r="AA1500"><v>43357</v></cell><cell r="AB1500" t="str"><v>USA_gaPMG_AZR_AZR_Q1_19_Direct-Social</v></cell><cell r="AC1500"><v>21358715</v></cell><cell r="AD1500"><v>720197</v></cell><cell r="AE1500" t="str"><v>Linkedin</v></cell><cell r="AF1500"><v>3654329</v></cell><cell r="AG1500" t="str"><v>FACEBOOK»USA-Trial-ITD-Interest Prospecting-AZR-AZR»1 x 1»SocialBan»LIA»ALL»CPA»PRO»X»NA»SS»NA»FreeAcctDeveloperFB-AnimatedAI-Ch3»PRC1T2</v></cell><cell r="AH1500" t="str"><v>PRC1T2</v></cell><cell r="AI1500" t="str"><v>AZR_FreeAcctDeveloperFB-AnimatedAI-Ch3_USA_1200x1200_CAN_Direct_English_Trial_Standard_ANI_LEA_T3_1</v></cell><cell r="AJ1500"><v>103032778</v></cell></row><row r="1501"><cell r="D1501" t="str"><v>43357PS7B5W</v></cell><cell r="E1501" t="str"><v>43357104593738PS7B5W</v></cell><cell r="F1501" t="str"><v>Appended from Pub - Not in DCM</v></cell></row><row r="1501"><cell r="I1501" t="str"><v>Azure Direct</v></cell><cell r="J1501" t="str"><v>Azure Direct</v></cell><cell r="K1501" t="str"><v>September</v></cell><cell r="L1501"><v>43358</v></cell><cell r="M1501" t="str"><v>Tier 0</v></cell><cell r="N1501" t="str"><v>North America</v></cell><cell r="O1501" t="str"><v>United States</v></cell><cell r="P1501" t="str"><v>Trial</v></cell><cell r="Q1501" t="str"><v>Social</v></cell><cell r="R1501" t="str"><v>Azure</v></cell><cell r="S1501" t="str"><v>Apps & Infra</v></cell><cell r="T1501" t="str"><v>Developers & ITI's</v></cell><cell r="U1501" t="str"><v>USA-Trial-ITD-Trial PayGo Lookalike-AZR-AZR</v></cell><cell r="V1501" t="str"><v>Lookalike Targeting</v></cell><cell r="W1501" t="str"><v>Canvas Ad</v></cell><cell r="X1501" t="str"><v>1200x1200</v></cell><cell r="Y1501" t="str"><v>Learn More</v></cell><cell r="Z1501" t="str"><v>Animated Banner</v></cell><cell r="AA1501"><v>43357</v></cell><cell r="AB1501" t="str"><v>USA_gaPMG_AZR_AZR_Q1_19_Direct-Social</v></cell><cell r="AC1501"><v>21358715</v></cell><cell r="AD1501"><v>720197</v></cell><cell r="AE1501" t="str"><v>Linkedin</v></cell><cell r="AF1501"><v>3654329</v></cell><cell r="AG1501" t="str"><v>FACEBOOK»USA-Trial-ITD-Trial PayGo Lookalike-AZR-AZR»1 x 1»SocialBan»CAN»ALL»CPA»LAL»X»NA»SS»NA»FreeAcctITProFB-AnimatedSecureMngd-Ch1»PS7B5W</v></cell><cell r="AH1501" t="str"><v>PS7B5W</v></cell><cell r="AI1501" t="str"><v>AZR_FreeAcctITProFB-AnimatedSecureMngd-Ch1_USA_1200x1200_CAN_Direct_EN_Trial_Standard_ANI_LEA_T1_1</v></cell><cell r="AJ1501"><v>104593738</v></cell></row><row r="1502"><cell r="D1502" t="str"><v>43357PRC26D</v></cell><cell r="E1502" t="str"><v>43357103176851PRC26D</v></cell><cell r="F1502" t="str"><v>Appended from Pub - Not in DCM</v></cell></row><row r="1502"><cell r="I1502" t="str"><v>Azure Direct</v></cell><cell r="J1502" t="str"><v>Azure Direct</v></cell><cell r="K1502" t="str"><v>September</v></cell><cell r="L1502"><v>43358</v></cell><cell r="M1502" t="str"><v>Tier 0</v></cell><cell r="N1502" t="str"><v>North America</v></cell><cell r="O1502" t="str"><v>United States</v></cell><cell r="P1502" t="str"><v>Trial</v></cell><cell r="Q1502" t="str"><v>Social</v></cell><cell r="R1502" t="str"><v>Azure</v></cell><cell r="S1502" t="str"><v>Apps & Infra</v></cell><cell r="T1502" t="str"><v>Developers & ITI's</v></cell><cell r="U1502" t="str"><v>USA-Trial-ITD-Retargeting-AZR-AZR</v></cell><cell r="V1502" t="str"><v>Retargeting</v></cell><cell r="W1502" t="str"><v>Link Ad</v></cell><cell r="X1502" t="str"><v>1200x1200</v></cell><cell r="Y1502" t="str"><v>Learn More</v></cell><cell r="Z1502" t="str"><v>Animated Banner</v></cell><cell r="AA1502"><v>43357</v></cell><cell r="AB1502" t="str"><v>USA_gaPMG_AZR_AZR_Q1_19_Direct-Social</v></cell><cell r="AC1502"><v>21358715</v></cell><cell r="AD1502"><v>720197</v></cell><cell r="AE1502" t="str"><v>Linkedin</v></cell><cell r="AF1502"><v>3654329</v></cell><cell r="AG1502" t="str"><v>FACEBOOK»USA-Trial-ITD-Retargeting-AZR-AZR»1 x 1»SocialBan»LIA»ALL»CPA»RT»X»NA»SS»NA»FreeAcctDeveloperFB-AnimatedGeneric-Ch1»PRC26D</v></cell><cell r="AH1502" t="str"><v>PRC26D</v></cell><cell r="AI1502" t="str"><v>AZR_FreeAcctDeveloperFB-AnimatedGeneric-Ch1_USA_1200x1200_CAN_Direct_English_Trial_Standard_ANI_LEA_T1_2</v></cell><cell r="AJ1502"><v>103176851</v></cell></row><row r="1503"><cell r="D1503" t="str"><v>43357PRC1VV</v></cell><cell r="E1503" t="str"><v>43357103043835PRC1VV</v></cell><cell r="F1503" t="str"><v>Appended from Pub - Not in DCM</v></cell></row><row r="1503"><cell r="I1503" t="str"><v>Azure Direct</v></cell><cell r="J1503" t="str"><v>Azure Direct</v></cell><cell r="K1503" t="str"><v>September</v></cell><cell r="L1503"><v>43358</v></cell><cell r="M1503" t="str"><v>Tier 0</v></cell><cell r="N1503" t="str"><v>North America</v></cell><cell r="O1503" t="str"><v>United States</v></cell><cell r="P1503" t="str"><v>Trial</v></cell><cell r="Q1503" t="str"><v>Social</v></cell><cell r="R1503" t="str"><v>Azure</v></cell><cell r="S1503" t="str"><v>Apps & Infra</v></cell><cell r="T1503" t="str"><v>Developers & ITI's</v></cell><cell r="U1503" t="str"><v>USA-Trial-ITD-Lead Completes-AZR-AZR</v></cell><cell r="V1503" t="str"><v>Prospecting</v></cell><cell r="W1503" t="str"><v>Canvas Ad</v></cell><cell r="X1503" t="str"><v>10s</v></cell><cell r="Y1503" t="str"><v>Try it Now</v></cell><cell r="Z1503" t="str"><v>Standard videos</v></cell><cell r="AA1503"><v>43357</v></cell><cell r="AB1503" t="str"><v>USA_gaPMG_AZR_AZR_Q1_19_Direct-Social</v></cell><cell r="AC1503"><v>21358715</v></cell><cell r="AD1503"><v>720197</v></cell><cell r="AE1503" t="str"><v>Linkedin</v></cell><cell r="AF1503"><v>3654329</v></cell><cell r="AG1503" t="str"><v>FACEBOOK»USA-Trial-ITD-Lead Completes-AZR-AZR»1 x 1»SocialBan»CAN»ALL»CPA»PRO»X»NA»SS»NA»FBCTCBenefit2inMotion»PRC1VV</v></cell><cell r="AH1503" t="str"><v>PRC1VV</v></cell><cell r="AI1503" t="str"><v>AzurePlatform_FBCTCBenefit2inMotion_USA_10s_CAN_PLATFORM_English_Trial_Standard_STAN_TIN_T4_1</v></cell><cell r="AJ1503"><v>103043835</v></cell></row><row r="1504"><cell r="D1504" t="str"><v>43357PS7B5Z</v></cell><cell r="E1504" t="str"><v>43357104592535PS7B5Z</v></cell><cell r="F1504" t="str"><v>Appended from Pub - Not in DCM</v></cell></row><row r="1504"><cell r="I1504" t="str"><v>Azure Direct</v></cell><cell r="J1504" t="str"><v>Azure Direct</v></cell><cell r="K1504" t="str"><v>September</v></cell><cell r="L1504"><v>43358</v></cell><cell r="M1504" t="str"><v>Tier 0</v></cell><cell r="N1504" t="str"><v>North America</v></cell><cell r="O1504" t="str"><v>United States</v></cell><cell r="P1504" t="str"><v>Trial</v></cell><cell r="Q1504" t="str"><v>Social</v></cell><cell r="R1504" t="str"><v>Azure</v></cell><cell r="S1504" t="str"><v>Apps & Infra</v></cell><cell r="T1504" t="str"><v>Developers & ITI's</v></cell><cell r="U1504" t="str"><v>USA-Trial-ITD-Trial PayGo Lookalike-AZR-AZR</v></cell><cell r="V1504" t="str"><v>Lookalike Targeting</v></cell><cell r="W1504" t="str"><v>Canvas Ad</v></cell><cell r="X1504" t="str"><v>1200x1200</v></cell><cell r="Y1504" t="str"><v>Learn More</v></cell><cell r="Z1504" t="str"><v>Animated Banner</v></cell><cell r="AA1504"><v>43357</v></cell><cell r="AB1504" t="str"><v>USA_gaPMG_AZR_AZR_Q1_19_Direct-Social</v></cell><cell r="AC1504"><v>21358715</v></cell><cell r="AD1504"><v>720197</v></cell><cell r="AE1504" t="str"><v>Linkedin</v></cell><cell r="AF1504"><v>3654329</v></cell><cell r="AG1504" t="str"><v>FACEBOOK»USA-Trial-ITD-Trial PayGo Lookalike-AZR-AZR»1 x 1»SocialBan»CAN»ALL»CPA»LAL»X»NA»SS»NA»FreeAcctITProFB-AnimatedHybrid-Ch2»PS7B5Z</v></cell><cell r="AH1504" t="str"><v>PS7B5Z</v></cell><cell r="AI1504" t="str"><v>AZR_FreeAcctITProFB-AnimatedHybrid-Ch2_USA_1200x1200_CAN_Direct_EN_Trial_Standard_ANI_LEA_T2_1</v></cell><cell r="AJ1504"><v>104592535</v></cell></row><row r="1505"><cell r="D1505" t="str"><v>43357PS7B60</v></cell><cell r="E1505" t="str"><v>43357104595730PS7B60</v></cell><cell r="F1505" t="str"><v>Appended from Pub - Not in DCM</v></cell></row><row r="1505"><cell r="I1505" t="str"><v>Azure Direct</v></cell><cell r="J1505" t="str"><v>Azure Direct</v></cell><cell r="K1505" t="str"><v>September</v></cell><cell r="L1505"><v>43358</v></cell><cell r="M1505" t="str"><v>Tier 0</v></cell><cell r="N1505" t="str"><v>North America</v></cell><cell r="O1505" t="str"><v>United States</v></cell><cell r="P1505" t="str"><v>Trial</v></cell><cell r="Q1505" t="str"><v>Social</v></cell><cell r="R1505" t="str"><v>Azure</v></cell><cell r="S1505" t="str"><v>Apps & Infra</v></cell><cell r="T1505" t="str"><v>Developers & ITI's</v></cell><cell r="U1505" t="str"><v>USA-Trial-ITD-Trial PayGo Lookalike-AZR-AZR</v></cell><cell r="V1505" t="str"><v>Lookalike Targeting</v></cell><cell r="W1505" t="str"><v>Canvas Ad</v></cell><cell r="X1505" t="str"><v>1200x1200</v></cell><cell r="Y1505" t="str"><v>Learn More</v></cell><cell r="Z1505" t="str"><v>Animated Banner</v></cell><cell r="AA1505"><v>43357</v></cell><cell r="AB1505" t="str"><v>USA_gaPMG_AZR_AZR_Q1_19_Direct-Social</v></cell><cell r="AC1505"><v>21358715</v></cell><cell r="AD1505"><v>720197</v></cell><cell r="AE1505" t="str"><v>Linkedin</v></cell><cell r="AF1505"><v>3654329</v></cell><cell r="AG1505" t="str"><v>FACEBOOK»USA-Trial-ITD-Trial PayGo Lookalike-AZR-AZR»1 x 1»SocialBan»CAN»ALL»CPA»LAL»X»NA»SS»NA»FreeAcctITProFB-AnimatedMigration-Ch3»PS7B60</v></cell><cell r="AH1505" t="str"><v>PS7B60</v></cell><cell r="AI1505" t="str"><v>AZR_FreeAcctITProFB-AnimatedMigration-Ch3_USA_1200x1200_CAN_Direct_EN_Trial_Standard_ANI_LEA_T3_2</v></cell><cell r="AJ1505"><v>104595730</v></cell></row><row r="1506"><cell r="D1506" t="str"><v>43357PRC2G3</v></cell><cell r="E1506" t="str"><v>43357103178714PRC2G3</v></cell><cell r="F1506" t="str"><v>Appended from Pub - Not in DCM</v></cell></row><row r="1506"><cell r="I1506" t="str"><v>Azure Direct</v></cell><cell r="J1506" t="str"><v>Azure Direct</v></cell><cell r="K1506" t="str"><v>September</v></cell><cell r="L1506"><v>43358</v></cell><cell r="M1506" t="str"><v>Tier 0</v></cell><cell r="N1506" t="str"><v>North America</v></cell><cell r="O1506" t="str"><v>United States</v></cell><cell r="P1506" t="str"><v>Trial</v></cell><cell r="Q1506" t="str"><v>Social</v></cell><cell r="R1506" t="str"><v>Azure</v></cell><cell r="S1506" t="str"><v>Apps & Infra</v></cell><cell r="T1506" t="str"><v>Developers & ITI's</v></cell><cell r="U1506" t="str"><v>USA-Trial-ITD-Retargeting-AZR-AZR</v></cell><cell r="V1506" t="str"><v>Retargeting</v></cell><cell r="W1506" t="str"><v>Canvas Ad</v></cell><cell r="X1506" t="str"><v>10s</v></cell><cell r="Y1506" t="str"><v>Try it Now</v></cell><cell r="Z1506" t="str"><v>Standard videos</v></cell><cell r="AA1506"><v>43357</v></cell><cell r="AB1506" t="str"><v>USA_gaPMG_AZR_AZR_Q1_19_Direct-Social</v></cell><cell r="AC1506"><v>21358715</v></cell><cell r="AD1506"><v>720197</v></cell><cell r="AE1506" t="str"><v>Linkedin</v></cell><cell r="AF1506"><v>3654329</v></cell><cell r="AG1506" t="str"><v>INSTAGRAM»USA-Trial-ITD-Retargeting-AZR-AZR»1 x 1»SocialBan»CAN»ALL»CPA»RT»X»NA»SS»NA»IGCTCBrandinMotion»PRC2G3</v></cell><cell r="AH1506" t="str"><v>PRC2G3</v></cell><cell r="AI1506" t="str"><v>AzurePlatform_IGCTCBenefit2inMotion_USA_10s_CAN_PLATFORM_English_Trial_Standard_STAN_TIN_T4_2</v></cell><cell r="AJ1506"><v>103178714</v></cell></row><row r="1507"><cell r="D1507" t="str"><v>43357PRSGY7</v></cell><cell r="E1507" t="str"><v>43357103773177PRSGY7</v></cell><cell r="F1507" t="str"><v>Appended from Pub - Not in DCM</v></cell></row><row r="1507"><cell r="I1507" t="str"><v>Azure Direct</v></cell><cell r="J1507" t="str"><v>Azure Direct</v></cell><cell r="K1507" t="str"><v>September</v></cell><cell r="L1507"><v>43358</v></cell><cell r="M1507" t="str"><v>Tier 0</v></cell><cell r="N1507" t="str"><v>North America</v></cell><cell r="O1507" t="str"><v>United States</v></cell><cell r="P1507" t="str"><v>Trial</v></cell><cell r="Q1507" t="str"><v>Social</v></cell><cell r="R1507" t="str"><v>Azure</v></cell><cell r="S1507" t="str"><v>Apps & Infra</v></cell><cell r="T1507" t="str"><v>Developers & ITI's</v></cell><cell r="U1507" t="str"><v>USA-Trial-ITD-Retargeting-AZR-AZR</v></cell><cell r="V1507" t="str"><v>Retargeting</v></cell><cell r="W1507" t="str"><v>Canvas Collection Ad</v></cell><cell r="X1507" t="str"><v>1200x182</v></cell><cell r="Y1507" t="str"><v>Try it Now</v></cell><cell r="Z1507" t="str"><v>Not Applicable</v></cell><cell r="AA1507"><v>43357</v></cell><cell r="AB1507" t="str"><v>USA_gaPMG_AZR_AZR_Q1_19_Direct-Social</v></cell><cell r="AC1507"><v>21358715</v></cell><cell r="AD1507"><v>720197</v></cell><cell r="AE1507" t="str"><v>Linkedin</v></cell><cell r="AF1507"><v>3654329</v></cell><cell r="AG1507" t="str"><v>FACEBOOK»USA-Trial-ITD-Retargeting-AZR-AZR»1 x 1»SocialBan»CCA»ALL»CPA»RT»X»NA»SS»NA»Azure Developer Facebook Collections»PRSGY7</v></cell><cell r="AH1507" t="str"><v>PRSGY7</v></cell><cell r="AI1507" t="str"><v>AZR_FBCollections-AITryAzureFreeCTA-Img2_USA_1200x182_SOC_Plat_EN_NA_Standard_NA_TIN_T1_2</v></cell><cell r="AJ1507"><v>103773177</v></cell></row><row r="1508"><cell r="D1508" t="str"><v>43357PRC26J</v></cell><cell r="E1508" t="str"><v>43357103037935PRC26J</v></cell><cell r="F1508" t="str"><v>Appended from Pub - Not in DCM</v></cell></row><row r="1508"><cell r="I1508" t="str"><v>Azure Direct</v></cell><cell r="J1508" t="str"><v>Azure Direct</v></cell><cell r="K1508" t="str"><v>September</v></cell><cell r="L1508"><v>43358</v></cell><cell r="M1508" t="str"><v>Tier 0</v></cell><cell r="N1508" t="str"><v>North America</v></cell><cell r="O1508" t="str"><v>United States</v></cell><cell r="P1508" t="str"><v>Trial</v></cell><cell r="Q1508" t="str"><v>Social</v></cell><cell r="R1508" t="str"><v>Azure</v></cell><cell r="S1508" t="str"><v>Apps & Infra</v></cell><cell r="T1508" t="str"><v>Developers & ITI's</v></cell><cell r="U1508" t="str"><v>USA-Trial-ITD-Retargeting-AZR-AZR</v></cell><cell r="V1508" t="str"><v>Retargeting</v></cell><cell r="W1508" t="str"><v>Link Ad</v></cell><cell r="X1508" t="str"><v>1200x1200</v></cell><cell r="Y1508" t="str"><v>Learn More</v></cell><cell r="Z1508" t="str"><v>Animated Banner</v></cell><cell r="AA1508"><v>43357</v></cell><cell r="AB1508" t="str"><v>USA_gaPMG_AZR_AZR_Q1_19_Direct-Social</v></cell><cell r="AC1508"><v>21358715</v></cell><cell r="AD1508"><v>720197</v></cell><cell r="AE1508" t="str"><v>Linkedin</v></cell><cell r="AF1508"><v>3654329</v></cell><cell r="AG1508" t="str"><v>FACEBOOK»USA-Trial-ITD-Retargeting-AZR-AZR»1 x 1»SocialBan»LIA»ALL»CPA»RT»X»NA»SS»NA»FreeAcctDeveloperFB-AnimatedData-Ch4»PRC26J</v></cell><cell r="AH1508" t="str"><v>PRC26J</v></cell><cell r="AI1508" t="str"><v>AZR_FreeAcctDeveloperFB-AnimatedData-Ch4_USA_1200x1200_CAN_Direct_English_Trial_Standard_ANI_LEA_T4_2</v></cell><cell r="AJ1508"><v>103037935</v></cell></row><row r="1509"><cell r="D1509" t="str"><v>43357PRC1SV</v></cell><cell r="E1509" t="str"><v>43357103043823PRC1SV</v></cell><cell r="F1509" t="str"><v>Appended from Pub - Not in DCM</v></cell></row><row r="1509"><cell r="I1509" t="str"><v>Azure Direct</v></cell><cell r="J1509" t="str"><v>Azure Direct</v></cell><cell r="K1509" t="str"><v>September</v></cell><cell r="L1509"><v>43358</v></cell><cell r="M1509" t="str"><v>Tier 0</v></cell><cell r="N1509" t="str"><v>North America</v></cell><cell r="O1509" t="str"><v>United States</v></cell><cell r="P1509" t="str"><v>Trial</v></cell><cell r="Q1509" t="str"><v>Social</v></cell><cell r="R1509" t="str"><v>Azure</v></cell><cell r="S1509" t="str"><v>Apps & Infra</v></cell><cell r="T1509" t="str"><v>Developers & ITI's</v></cell><cell r="U1509" t="str"><v>USA-Trial-ITD-Interest Prospecting-AZR-AZR</v></cell><cell r="V1509" t="str"><v>Prospecting</v></cell><cell r="W1509" t="str"><v>Canvas Ad</v></cell><cell r="X1509" t="str"><v>10s</v></cell><cell r="Y1509" t="str"><v>Try it Now</v></cell><cell r="Z1509" t="str"><v>Standard videos</v></cell><cell r="AA1509"><v>43357</v></cell><cell r="AB1509" t="str"><v>USA_gaPMG_AZR_AZR_Q1_19_Direct-Social</v></cell><cell r="AC1509"><v>21358715</v></cell><cell r="AD1509"><v>720197</v></cell><cell r="AE1509" t="str"><v>Linkedin</v></cell><cell r="AF1509"><v>3654329</v></cell><cell r="AG1509" t="str"><v>FACEBOOK»USA-Trial-ITD-Interest Prospecting-AZR-AZR»1 x 1»SocialBan»CAN»ALL»CPA»PRO»X»NA»SS»NA»FBCTCBasicMotion»PRC1SV</v></cell><cell r="AH1509" t="str"><v>PRC1SV</v></cell><cell r="AI1509" t="str"><v>AzurePlatform_FBCTCBasicMotion_USA_10s_CAN_PLATFORM_English_Trial_Standard_STAN_TIN_T1_1</v></cell><cell r="AJ1509"><v>103043823</v></cell></row><row r="1510"><cell r="D1510" t="str"><v>43357PRC1X2</v></cell><cell r="E1510" t="str"><v>43357103176827PRC1X2</v></cell><cell r="F1510" t="str"><v>Appended from Pub - Not in DCM</v></cell></row><row r="1510"><cell r="I1510" t="str"><v>Azure Direct</v></cell><cell r="J1510" t="str"><v>Azure Direct</v></cell><cell r="K1510" t="str"><v>September</v></cell><cell r="L1510"><v>43358</v></cell><cell r="M1510" t="str"><v>Tier 0</v></cell><cell r="N1510" t="str"><v>North America</v></cell><cell r="O1510" t="str"><v>United States</v></cell><cell r="P1510" t="str"><v>Trial</v></cell><cell r="Q1510" t="str"><v>Social</v></cell><cell r="R1510" t="str"><v>Azure</v></cell><cell r="S1510" t="str"><v>Apps & Infra</v></cell><cell r="T1510" t="str"><v>Developers & ITI's</v></cell><cell r="U1510" t="str"><v>USA-Trial-ITD-Interest Prospecting-AZR-AZR</v></cell><cell r="V1510" t="str"><v>Prospecting</v></cell><cell r="W1510" t="str"><v>Link Ad</v></cell><cell r="X1510" t="str"><v>1200x1200</v></cell><cell r="Y1510" t="str"><v>Learn More</v></cell><cell r="Z1510" t="str"><v>Animated Banner</v></cell><cell r="AA1510"><v>43357</v></cell><cell r="AB1510" t="str"><v>USA_gaPMG_AZR_AZR_Q1_19_Direct-Social</v></cell><cell r="AC1510"><v>21358715</v></cell><cell r="AD1510"><v>720197</v></cell><cell r="AE1510" t="str"><v>Linkedin</v></cell><cell r="AF1510"><v>3654329</v></cell><cell r="AG1510" t="str"><v>FACEBOOK»USA-Trial-ITD-Interest Prospecting-AZR-AZR»1 x 1»SocialBan»LIA»ALL»CPA»PRO»X»NA»SS»NA»FreeAcctITProFB-AnimatedMigration-Ch3»PRC1X2</v></cell><cell r="AH1510" t="str"><v>PRC1X2</v></cell><cell r="AI1510" t="str"><v>AZR_FreeAcctITProFB-AnimatedMigration-Ch3_USA_1200x1200_CAN_Direct_English_Trial_Standard_ANI_LEA_T3_1</v></cell><cell r="AJ1510"><v>103176827</v></cell></row><row r="1511"><cell r="D1511" t="str"><v>43357PRC1S0</v></cell><cell r="E1511" t="str"><v>43357103180610PRC1S0</v></cell><cell r="F1511" t="str"><v>Appended from Pub - Not in DCM</v></cell></row><row r="1511"><cell r="I1511" t="str"><v>Azure Direct</v></cell><cell r="J1511" t="str"><v>Azure Direct</v></cell><cell r="K1511" t="str"><v>September</v></cell><cell r="L1511"><v>43358</v></cell><cell r="M1511" t="str"><v>Tier 0</v></cell><cell r="N1511" t="str"><v>North America</v></cell><cell r="O1511" t="str"><v>United States</v></cell><cell r="P1511" t="str"><v>Trial</v></cell><cell r="Q1511" t="str"><v>Social</v></cell><cell r="R1511" t="str"><v>Azure</v></cell><cell r="S1511" t="str"><v>Apps & Infra</v></cell><cell r="T1511" t="str"><v>Developers & ITI's</v></cell><cell r="U1511" t="str"><v>USA-Trial-ITD-Retargeting-AZR-AZR</v></cell><cell r="V1511" t="str"><v>Retargeting</v></cell><cell r="W1511" t="str"><v>Link Ad</v></cell><cell r="X1511" t="str"><v>1200x628</v></cell><cell r="Y1511" t="str"><v>Sign Up</v></cell><cell r="Z1511" t="str"><v>Not Applicable</v></cell><cell r="AA1511"><v>43357</v></cell><cell r="AB1511" t="str"><v>USA_gaPMG_AZR_AZR_Q1_19_Direct-Social</v></cell><cell r="AC1511"><v>21358715</v></cell><cell r="AD1511"><v>720197</v></cell><cell r="AE1511" t="str"><v>Linkedin</v></cell><cell r="AF1511"><v>3654329</v></cell><cell r="AG1511" t="str"><v>FACEBOOK»USA-Trial-ITD-Retargeting-AZR-AZR»1 x 1»SocialBan»LIA»ALL»CPA»RT»X»NA»SS»NA»FreeAcctRetargetingVMFB-OnDemand-ChE»PRC1S0</v></cell><cell r="AH1511" t="str"><v>PRC1S0</v></cell><cell r="AI1511" t="str"><v>AzurePlatform_FreeAcctRetargetingVMFB-OnDemand-ChE_USA_1200x628_CAN_PLATFORM_English_Free Account_Standard_NA_SINU_T2_1</v></cell><cell r="AJ1511"><v>103180610</v></cell></row><row r="1512"><cell r="D1512" t="str"><v>43357PS79S1</v></cell><cell r="E1512" t="str"><v>43357104595769PS79S1</v></cell><cell r="F1512" t="str"><v>Appended from Pub - Not in DCM</v></cell></row><row r="1512"><cell r="I1512" t="str"><v>Azure Direct</v></cell><cell r="J1512" t="str"><v>Azure Direct</v></cell><cell r="K1512" t="str"><v>September</v></cell><cell r="L1512"><v>43358</v></cell><cell r="M1512" t="str"><v>Tier 0</v></cell><cell r="N1512" t="str"><v>North America</v></cell><cell r="O1512" t="str"><v>United States</v></cell><cell r="P1512" t="str"><v>Trial</v></cell><cell r="Q1512" t="str"><v>Social</v></cell><cell r="R1512" t="str"><v>Azure</v></cell><cell r="S1512" t="str"><v>Apps & Infra</v></cell><cell r="T1512" t="str"><v>Developers & ITI's</v></cell><cell r="U1512" t="str"><v>USA-Trial-ITD-Retargeting-AZR-AZR</v></cell><cell r="V1512" t="str"><v>Retargeting</v></cell><cell r="W1512" t="str"><v>Canvas Ad</v></cell><cell r="X1512" t="str"><v>1200x628</v></cell><cell r="Y1512" t="str"><v>Sign Up</v></cell><cell r="Z1512" t="str"><v>Not Applicable</v></cell><cell r="AA1512"><v>43357</v></cell><cell r="AB1512" t="str"><v>USA_gaPMG_AZR_AZR_Q1_19_Direct-Social</v></cell><cell r="AC1512"><v>21358715</v></cell><cell r="AD1512"><v>720197</v></cell><cell r="AE1512" t="str"><v>Linkedin</v></cell><cell r="AF1512"><v>3654329</v></cell><cell r="AG1512" t="str"><v>FACEBOOK»USA-Trial-ITD-Retargeting-AZR-AZR»1 x 1»SocialBan»CAN»ALL»CPA»RT»X»NA»SS»NA»FreeAcctRetargetingFB-Credit-ChA»PS79S1</v></cell><cell r="AH1512" t="str"><v>PS79S1</v></cell><cell r="AI1512" t="str"><v>AZR_FreeAcctRetargetingFB-Credit-ChA_USA_1200x628_CAN_Plat_English_Free Account_Standard_NA_SINU_T1_1</v></cell><cell r="AJ1512"><v>104595769</v></cell></row><row r="1513"><cell r="D1513" t="str"><v>43357PS79SS</v></cell><cell r="E1513" t="str"><v>43357104593441PS79SS</v></cell><cell r="F1513" t="str"><v>Appended from Pub - Not in DCM</v></cell></row><row r="1513"><cell r="I1513" t="str"><v>Azure Direct</v></cell><cell r="J1513" t="str"><v>Azure Direct</v></cell><cell r="K1513" t="str"><v>September</v></cell><cell r="L1513"><v>43358</v></cell><cell r="M1513" t="str"><v>Tier 0</v></cell><cell r="N1513" t="str"><v>North America</v></cell><cell r="O1513" t="str"><v>United States</v></cell><cell r="P1513" t="str"><v>Trial</v></cell><cell r="Q1513" t="str"><v>Social</v></cell><cell r="R1513" t="str"><v>Azure</v></cell><cell r="S1513" t="str"><v>Apps & Infra</v></cell><cell r="T1513" t="str"><v>Developers & ITI's</v></cell><cell r="U1513" t="str"><v>USA-Trial-ITD-Retargeting-AZR-AZR</v></cell><cell r="V1513" t="str"><v>Retargeting</v></cell><cell r="W1513" t="str"><v>Canvas Ad</v></cell><cell r="X1513" t="str"><v>1200x628</v></cell><cell r="Y1513" t="str"><v>Sign Up</v></cell><cell r="Z1513" t="str"><v>Not Applicable</v></cell><cell r="AA1513"><v>43357</v></cell><cell r="AB1513" t="str"><v>USA_gaPMG_AZR_AZR_Q1_19_Direct-Social</v></cell><cell r="AC1513"><v>21358715</v></cell><cell r="AD1513"><v>720197</v></cell><cell r="AE1513" t="str"><v>Linkedin</v></cell><cell r="AF1513"><v>3654329</v></cell><cell r="AG1513" t="str"><v>FACEBOOK»USA-Trial-ITD-Retargeting-AZR-AZR»1 x 1»SocialBan»CAN»ALL»CPA»RT»X»NA»SS»NA»FreeAcctRetargetingFB-GlobalAlt-ChB»PS79SS</v></cell><cell r="AH1513" t="str"><v>PS79SS</v></cell><cell r="AI1513" t="str"><v>AZR_FreeAcctRetargetingFB-GlobalAlt-ChB_USA_1200x628_CAN_Plat_English_Free Account_Standard_NA_SINU_T2_2</v></cell><cell r="AJ1513"><v>104593441</v></cell></row><row r="1514"><cell r="D1514" t="str"><v>43357PRC1RV</v></cell><cell r="E1514" t="str"><v>43357103034917PRC1RV</v></cell><cell r="F1514" t="str"><v>Appended from Pub - Not in DCM</v></cell></row><row r="1514"><cell r="I1514" t="str"><v>Azure Direct</v></cell><cell r="J1514" t="str"><v>Azure Direct</v></cell><cell r="K1514" t="str"><v>September</v></cell><cell r="L1514"><v>43358</v></cell><cell r="M1514" t="str"><v>Tier 0</v></cell><cell r="N1514" t="str"><v>North America</v></cell><cell r="O1514" t="str"><v>United States</v></cell><cell r="P1514" t="str"><v>Trial</v></cell><cell r="Q1514" t="str"><v>Social</v></cell><cell r="R1514" t="str"><v>Azure</v></cell><cell r="S1514" t="str"><v>Apps & Infra</v></cell><cell r="T1514" t="str"><v>Developers & ITI's</v></cell><cell r="U1514" t="str"><v>USA-Trial-ITD-Retargeting-AZR-AZR</v></cell><cell r="V1514" t="str"><v>Retargeting</v></cell><cell r="W1514" t="str"><v>Link Ad</v></cell><cell r="X1514" t="str"><v>1200x628</v></cell><cell r="Y1514" t="str"><v>Sign Up</v></cell><cell r="Z1514" t="str"><v>Not Applicable</v></cell><cell r="AA1514"><v>43357</v></cell><cell r="AB1514" t="str"><v>USA_gaPMG_AZR_AZR_Q1_19_Direct-Social</v></cell><cell r="AC1514"><v>21358715</v></cell><cell r="AD1514"><v>720197</v></cell><cell r="AE1514" t="str"><v>Linkedin</v></cell><cell r="AF1514"><v>3654329</v></cell><cell r="AG1514" t="str"><v>FACEBOOK»USA-Trial-ITD-Retargeting-AZR-AZR»1 x 1»SocialBan»LIA»ALL»CPA»RT»X»NA»SS»NA»FreeAcctRetargetingFB-Credit-ChA»PRC1RV</v></cell><cell r="AH1514" t="str"><v>PRC1RV</v></cell><cell r="AI1514" t="str"><v>AzurePlatform_FreeAcctRetargetingFB-Credit-ChA_USA_1200x628_CAN_PLATFORM_English_Free Account_Standard_NA_SINU_T1_2</v></cell><cell r="AJ1514"><v>103034917</v></cell></row><row r="1515"><cell r="D1515" t="str"><v>43357PS7B5V</v></cell><cell r="E1515" t="str"><v>43357104595739PS7B5V</v></cell><cell r="F1515" t="str"><v>Appended from Pub - Not in DCM</v></cell></row><row r="1515"><cell r="I1515" t="str"><v>Azure Direct</v></cell><cell r="J1515" t="str"><v>Azure Direct</v></cell><cell r="K1515" t="str"><v>September</v></cell><cell r="L1515"><v>43358</v></cell><cell r="M1515" t="str"><v>Tier 0</v></cell><cell r="N1515" t="str"><v>North America</v></cell><cell r="O1515" t="str"><v>United States</v></cell><cell r="P1515" t="str"><v>Trial</v></cell><cell r="Q1515" t="str"><v>Social</v></cell><cell r="R1515" t="str"><v>Azure</v></cell><cell r="S1515" t="str"><v>Apps & Infra</v></cell><cell r="T1515" t="str"><v>Developers & ITI's</v></cell><cell r="U1515" t="str"><v>USA-Trial-ITD-Trial PayGo Lookalike-AZR-AZR</v></cell><cell r="V1515" t="str"><v>Lookalike Targeting</v></cell><cell r="W1515" t="str"><v>Canvas Ad</v></cell><cell r="X1515" t="str"><v>1200x1200</v></cell><cell r="Y1515" t="str"><v>Learn More</v></cell><cell r="Z1515" t="str"><v>Animated Banner</v></cell><cell r="AA1515"><v>43357</v></cell><cell r="AB1515" t="str"><v>USA_gaPMG_AZR_AZR_Q1_19_Direct-Social</v></cell><cell r="AC1515"><v>21358715</v></cell><cell r="AD1515"><v>720197</v></cell><cell r="AE1515" t="str"><v>Linkedin</v></cell><cell r="AF1515"><v>3654329</v></cell><cell r="AG1515" t="str"><v>FACEBOOK»USA-Trial-ITD-Trial PayGo Lookalike-AZR-AZR»1 x 1»SocialBan»CAN»ALL»CPA»LAL»X»NA»SS»NA»FreeAcctDeveloperFB-AnimatedData-Ch4»PS7B5V</v></cell><cell r="AH1515" t="str"><v>PS7B5V</v></cell><cell r="AI1515" t="str"><v>AZR_FreeAcctDeveloperFB-AnimatedData-Ch4_USA_1200x1200_CAN_Direct_EN_Trial_Standard_ANI_LEA_T4_1</v></cell><cell r="AJ1515"><v>104595739</v></cell></row><row r="1516"><cell r="D1516" t="str"><v>43357PRC26F</v></cell><cell r="E1516" t="str"><v>43357103176851PRC26F</v></cell><cell r="F1516" t="str"><v>Appended from Pub - Not in DCM</v></cell></row><row r="1516"><cell r="I1516" t="str"><v>Azure Direct</v></cell><cell r="J1516" t="str"><v>Azure Direct</v></cell><cell r="K1516" t="str"><v>September</v></cell><cell r="L1516"><v>43358</v></cell><cell r="M1516" t="str"><v>Tier 0</v></cell><cell r="N1516" t="str"><v>North America</v></cell><cell r="O1516" t="str"><v>United States</v></cell><cell r="P1516" t="str"><v>Trial</v></cell><cell r="Q1516" t="str"><v>Social</v></cell><cell r="R1516" t="str"><v>Azure</v></cell><cell r="S1516" t="str"><v>Apps & Infra</v></cell><cell r="T1516" t="str"><v>Developers & ITI's</v></cell><cell r="U1516" t="str"><v>USA-Trial-ITD-Retargeting-AZR-AZR</v></cell><cell r="V1516" t="str"><v>Retargeting</v></cell><cell r="W1516" t="str"><v>Link Ad</v></cell><cell r="X1516" t="str"><v>1200x1200</v></cell><cell r="Y1516" t="str"><v>Learn More</v></cell><cell r="Z1516" t="str"><v>Animated Banner</v></cell><cell r="AA1516"><v>43357</v></cell><cell r="AB1516" t="str"><v>USA_gaPMG_AZR_AZR_Q1_19_Direct-Social</v></cell><cell r="AC1516"><v>21358715</v></cell><cell r="AD1516"><v>720197</v></cell><cell r="AE1516" t="str"><v>Linkedin</v></cell><cell r="AF1516"><v>3654329</v></cell><cell r="AG1516" t="str"><v>FACEBOOK»USA-Trial-ITD-Retargeting-AZR-AZR»1 x 1»SocialBan»LIA»ALL»CPA»RT»X»NA»SS»NA»FreeAcctDeveloperFB-AnimatedGeneric-Ch1»PRC26F</v></cell><cell r="AH1516" t="str"><v>PRC26F</v></cell><cell r="AI1516" t="str"><v>AZR_FreeAcctDeveloperFB-AnimatedGeneric-Ch1_USA_1200x1200_CAN_Direct_English_Trial_Standard_ANI_LEA_T1_2</v></cell><cell r="AJ1516"><v>103176851</v></cell></row><row r="1517"><cell r="D1517" t="str"><v>43357PRC1M7</v></cell><cell r="E1517" t="str"><v>43357103032778PRC1M7</v></cell><cell r="F1517" t="str"><v>Appended from Pub - Not in DCM</v></cell></row><row r="1517"><cell r="I1517" t="str"><v>Azure Direct</v></cell><cell r="J1517" t="str"><v>Azure Direct</v></cell><cell r="K1517" t="str"><v>September</v></cell><cell r="L1517"><v>43358</v></cell><cell r="M1517" t="str"><v>Tier 0</v></cell><cell r="N1517" t="str"><v>North America</v></cell><cell r="O1517" t="str"><v>United States</v></cell><cell r="P1517" t="str"><v>Trial</v></cell><cell r="Q1517" t="str"><v>Social</v></cell><cell r="R1517" t="str"><v>Azure</v></cell><cell r="S1517" t="str"><v>Apps & Infra</v></cell><cell r="T1517" t="str"><v>Developers & ITI's</v></cell><cell r="U1517" t="str"><v>USA-Trial-ITD-Trial Lookalike-AZR-AZR</v></cell><cell r="V1517" t="str"><v>Lookalike Targeting</v></cell><cell r="W1517" t="str"><v>Link Ad</v></cell><cell r="X1517" t="str"><v>1200x1200</v></cell><cell r="Y1517" t="str"><v>Learn More</v></cell><cell r="Z1517" t="str"><v>Animated Banner</v></cell><cell r="AA1517"><v>43357</v></cell><cell r="AB1517" t="str"><v>USA_gaPMG_AZR_AZR_Q1_19_Direct-Social</v></cell><cell r="AC1517"><v>21358715</v></cell><cell r="AD1517"><v>720197</v></cell><cell r="AE1517" t="str"><v>Linkedin</v></cell><cell r="AF1517"><v>3654329</v></cell><cell r="AG1517" t="str"><v>FACEBOOK»USA-Trial-ITD-Trial Lookalike-AZR-AZR»1 x 1»SocialBan»LIA»ALL»CPA»LAL»X»NA»SS»NA»FreeAcctDeveloperFB-AnimatedAI-Ch3»PRC1M7</v></cell><cell r="AH1517" t="str"><v>PRC1M7</v></cell><cell r="AI1517" t="str"><v>AZR_FreeAcctDeveloperFB-AnimatedAI-Ch3_USA_1200x1200_CAN_Direct_English_Trial_Standard_ANI_LEA_T3_1</v></cell><cell r="AJ1517"><v>103032778</v></cell></row><row r="1518"><cell r="D1518" t="str"><v>43357PRC26N</v></cell><cell r="E1518" t="str"><v>43357103180583PRC26N</v></cell><cell r="F1518" t="str"><v>Appended from Pub - Not in DCM</v></cell></row><row r="1518"><cell r="I1518" t="str"><v>Azure Direct</v></cell><cell r="J1518" t="str"><v>Azure Direct</v></cell><cell r="K1518" t="str"><v>September</v></cell><cell r="L1518"><v>43358</v></cell><cell r="M1518" t="str"><v>Tier 0</v></cell><cell r="N1518" t="str"><v>North America</v></cell><cell r="O1518" t="str"><v>United States</v></cell><cell r="P1518" t="str"><v>Trial</v></cell><cell r="Q1518" t="str"><v>Social</v></cell><cell r="R1518" t="str"><v>Azure</v></cell><cell r="S1518" t="str"><v>Apps & Infra</v></cell><cell r="T1518" t="str"><v>Developers & ITI's</v></cell><cell r="U1518" t="str"><v>USA-Trial-ITD-Retargeting-AZR-AZR</v></cell><cell r="V1518" t="str"><v>Retargeting</v></cell><cell r="W1518" t="str"><v>Link Ad</v></cell><cell r="X1518" t="str"><v>1200x1200</v></cell><cell r="Y1518" t="str"><v>Learn More</v></cell><cell r="Z1518" t="str"><v>Animated Banner</v></cell><cell r="AA1518"><v>43357</v></cell><cell r="AB1518" t="str"><v>USA_gaPMG_AZR_AZR_Q1_19_Direct-Social</v></cell><cell r="AC1518"><v>21358715</v></cell><cell r="AD1518"><v>720197</v></cell><cell r="AE1518" t="str"><v>Linkedin</v></cell><cell r="AF1518"><v>3654329</v></cell><cell r="AG1518" t="str"><v>FACEBOOK»USA-Trial-ITD-Retargeting-AZR-AZR»1 x 1»SocialBan»LIA»ALL»CPA»RT»X»NA»SS»NA»FreeAcctITProFB-AnimatedHybrid-Ch2»PRC26N</v></cell><cell r="AH1518" t="str"><v>PRC26N</v></cell><cell r="AI1518" t="str"><v>AZR_FreeAcctITProFB-AnimatedHybrid-Ch2_USA_1200x1200_CAN_Direct_English_Trial_Standard_ANI_LEA_T2_2</v></cell><cell r="AJ1518"><v>103180583</v></cell></row><row r="1519"><cell r="D1519" t="str"><v>43357PRC1RR</v></cell><cell r="E1519" t="str"><v>43357103043835PRC1RR</v></cell><cell r="F1519" t="str"><v>Appended from Pub - Not in DCM</v></cell></row><row r="1519"><cell r="I1519" t="str"><v>Azure Direct</v></cell><cell r="J1519" t="str"><v>Azure Direct</v></cell><cell r="K1519" t="str"><v>September</v></cell><cell r="L1519"><v>43358</v></cell><cell r="M1519" t="str"><v>Tier 0</v></cell><cell r="N1519" t="str"><v>North America</v></cell><cell r="O1519" t="str"><v>United States</v></cell><cell r="P1519" t="str"><v>Trial</v></cell><cell r="Q1519" t="str"><v>Social</v></cell><cell r="R1519" t="str"><v>Azure</v></cell><cell r="S1519" t="str"><v>Apps & Infra</v></cell><cell r="T1519" t="str"><v>Developers & ITI's</v></cell><cell r="U1519" t="str"><v>USA-Trial-ITD-Retargeting-AZR-AZR</v></cell><cell r="V1519" t="str"><v>Retargeting</v></cell><cell r="W1519" t="str"><v>Canvas Ad</v></cell><cell r="X1519" t="str"><v>10s</v></cell><cell r="Y1519" t="str"><v>Try it Now</v></cell><cell r="Z1519" t="str"><v>Standard videos</v></cell><cell r="AA1519"><v>43357</v></cell><cell r="AB1519" t="str"><v>USA_gaPMG_AZR_AZR_Q1_19_Direct-Social</v></cell><cell r="AC1519"><v>21358715</v></cell><cell r="AD1519"><v>720197</v></cell><cell r="AE1519" t="str"><v>Linkedin</v></cell><cell r="AF1519"><v>3654329</v></cell><cell r="AG1519" t="str"><v>FACEBOOK»USA-Trial-ITD-Retargeting-AZR-AZR»1 x 1»SocialBan»CAN»ALL»CPA»RT»X»NA»SS»NA»FBCTCBenefit2inMotion»PRC1RR</v></cell><cell r="AH1519" t="str"><v>PRC1RR</v></cell><cell r="AI1519" t="str"><v>AzurePlatform_FBCTCBenefit2inMotion_USA_10s_CAN_PLATFORM_English_Trial_Standard_STAN_TIN_T4_1</v></cell><cell r="AJ1519"><v>103043835</v></cell></row><row r="1520"><cell r="D1520" t="str"><v>43357PRC2PB</v></cell><cell r="E1520" t="str"><v>43357103050783PRC2PB</v></cell><cell r="F1520" t="str"><v>Appended from Pub - Not in DCM</v></cell></row><row r="1520"><cell r="I1520" t="str"><v>Azure Direct</v></cell><cell r="J1520" t="str"><v>Azure Direct</v></cell><cell r="K1520" t="str"><v>September</v></cell><cell r="L1520"><v>43358</v></cell><cell r="M1520" t="str"><v>Tier 0</v></cell><cell r="N1520" t="str"><v>North America</v></cell><cell r="O1520" t="str"><v>United States</v></cell><cell r="P1520" t="str"><v>Trial</v></cell><cell r="Q1520" t="str"><v>Social</v></cell><cell r="R1520" t="str"><v>Azure</v></cell><cell r="S1520" t="str"><v>Apps & Infra</v></cell><cell r="T1520" t="str"><v>Developers & ITI's</v></cell><cell r="U1520" t="str"><v>USA-Trial-ITD-Interest Prospecting-AZR-AZR</v></cell><cell r="V1520" t="str"><v>Prospecting</v></cell><cell r="W1520" t="str"><v>Canvas Ad</v></cell><cell r="X1520" t="str"><v>10s</v></cell><cell r="Y1520" t="str"><v>Try it Now</v></cell><cell r="Z1520" t="str"><v>Standard videos</v></cell><cell r="AA1520"><v>43357</v></cell><cell r="AB1520" t="str"><v>USA_gaPMG_AZR_AZR_Q1_19_Direct-Social</v></cell><cell r="AC1520"><v>21358715</v></cell><cell r="AD1520"><v>720197</v></cell><cell r="AE1520" t="str"><v>Linkedin</v></cell><cell r="AF1520"><v>3654329</v></cell><cell r="AG1520" t="str"><v>INSTAGRAM»USA-Trial-ITD-Interest Prospecting-AZR-AZR»1 x 1»SocialBan»CAN»ALL»CPA»PRO»X»NA»SS»NA»IGCTCBrandinMotion»PRC2PB</v></cell><cell r="AH1520" t="str"><v>PRC2PB</v></cell><cell r="AI1520" t="str"><v>AzurePlatform_IGCTCBenefit2inMotion_USA_10s_CAN_PLATFORM_English_Trial_Standard_STAN_TIN_T4_1</v></cell><cell r="AJ1520"><v>103050783</v></cell></row><row r="1521"><cell r="D1521" t="str"><v>43357PRC1S1</v></cell><cell r="E1521" t="str"><v>43357103176869PRC1S1</v></cell><cell r="F1521" t="str"><v>Appended from Pub - Not in DCM</v></cell></row><row r="1521"><cell r="I1521" t="str"><v>Azure Direct</v></cell><cell r="J1521" t="str"><v>Azure Direct</v></cell><cell r="K1521" t="str"><v>September</v></cell><cell r="L1521"><v>43358</v></cell><cell r="M1521" t="str"><v>Tier 0</v></cell><cell r="N1521" t="str"><v>North America</v></cell><cell r="O1521" t="str"><v>United States</v></cell><cell r="P1521" t="str"><v>Trial</v></cell><cell r="Q1521" t="str"><v>Social</v></cell><cell r="R1521" t="str"><v>Azure</v></cell><cell r="S1521" t="str"><v>Apps & Infra</v></cell><cell r="T1521" t="str"><v>Developers & ITI's</v></cell><cell r="U1521" t="str"><v>USA-Trial-ITD-Retargeting-AZR-AZR</v></cell><cell r="V1521" t="str"><v>Retargeting</v></cell><cell r="W1521" t="str"><v>Link Ad</v></cell><cell r="X1521" t="str"><v>1200x628</v></cell><cell r="Y1521" t="str"><v>Sign Up</v></cell><cell r="Z1521" t="str"><v>Not Applicable</v></cell><cell r="AA1521"><v>43357</v></cell><cell r="AB1521" t="str"><v>USA_gaPMG_AZR_AZR_Q1_19_Direct-Social</v></cell><cell r="AC1521"><v>21358715</v></cell><cell r="AD1521"><v>720197</v></cell><cell r="AE1521" t="str"><v>Linkedin</v></cell><cell r="AF1521"><v>3654329</v></cell><cell r="AG1521" t="str"><v>FACEBOOK»USA-Trial-ITD-Retargeting-AZR-AZR»1 x 1»SocialBan»LIA»ALL»CPA»RT»X»NA»SS»NA»FreeAcctRetargetingOSSFB-Text-ChF»PRC1S1</v></cell><cell r="AH1521" t="str"><v>PRC1S1</v></cell><cell r="AI1521" t="str"><v>AzurePlatform_FreeAcctRetargetingOSSFB-Text-ChF_USA_1200x628_CAN_PLATFORM_English_Free Account_Standard_NA_SINU_T1_2</v></cell><cell r="AJ1521"><v>103176869</v></cell></row><row r="1522"><cell r="D1522" t="str"><v>43357PRC23N</v></cell><cell r="E1522" t="str"><v>43357103176827PRC23N</v></cell><cell r="F1522" t="str"><v>Appended from Pub - Not in DCM</v></cell></row><row r="1522"><cell r="I1522" t="str"><v>Azure Direct</v></cell><cell r="J1522" t="str"><v>Azure Direct</v></cell><cell r="K1522" t="str"><v>September</v></cell><cell r="L1522"><v>43358</v></cell><cell r="M1522" t="str"><v>Tier 0</v></cell><cell r="N1522" t="str"><v>North America</v></cell><cell r="O1522" t="str"><v>United States</v></cell><cell r="P1522" t="str"><v>Trial</v></cell><cell r="Q1522" t="str"><v>Social</v></cell><cell r="R1522" t="str"><v>Azure</v></cell><cell r="S1522" t="str"><v>Apps & Infra</v></cell><cell r="T1522" t="str"><v>Developers & ITI's</v></cell><cell r="U1522" t="str"><v>USA-Trial-ITD-Trial Lookalike-AZR-AZR</v></cell><cell r="V1522" t="str"><v>Lookalike Targeting</v></cell><cell r="W1522" t="str"><v>Link Ad</v></cell><cell r="X1522" t="str"><v>1200x1200</v></cell><cell r="Y1522" t="str"><v>Learn More</v></cell><cell r="Z1522" t="str"><v>Animated Banner</v></cell><cell r="AA1522"><v>43357</v></cell><cell r="AB1522" t="str"><v>USA_gaPMG_AZR_AZR_Q1_19_Direct-Social</v></cell><cell r="AC1522"><v>21358715</v></cell><cell r="AD1522"><v>720197</v></cell><cell r="AE1522" t="str"><v>Linkedin</v></cell><cell r="AF1522"><v>3654329</v></cell><cell r="AG1522" t="str"><v>FACEBOOK»USA-Trial-ITD-Trial Lookalike-AZR-AZR»1 x 1»SocialBan»LIA»ALL»CPA»LAL»X»NA»SS»NA»FreeAcctITProFB-AnimatedMigration-Ch3»PRC23N</v></cell><cell r="AH1522" t="str"><v>PRC23N</v></cell><cell r="AI1522" t="str"><v>AZR_FreeAcctITProFB-AnimatedMigration-Ch3_USA_1200x1200_CAN_Direct_English_Trial_Standard_ANI_LEA_T3_1</v></cell><cell r="AJ1522"><v>103176827</v></cell></row><row r="1523"><cell r="D1523" t="str"><v>43357PRC1W1</v></cell><cell r="E1523" t="str"><v>43357103032778PRC1W1</v></cell><cell r="F1523" t="str"><v>Appended from Pub - Not in DCM</v></cell></row><row r="1523"><cell r="I1523" t="str"><v>Azure Direct</v></cell><cell r="J1523" t="str"><v>Azure Direct</v></cell><cell r="K1523" t="str"><v>September</v></cell><cell r="L1523"><v>43358</v></cell><cell r="M1523" t="str"><v>Tier 0</v></cell><cell r="N1523" t="str"><v>North America</v></cell><cell r="O1523" t="str"><v>United States</v></cell><cell r="P1523" t="str"><v>Trial</v></cell><cell r="Q1523" t="str"><v>Social</v></cell><cell r="R1523" t="str"><v>Azure</v></cell><cell r="S1523" t="str"><v>Apps & Infra</v></cell><cell r="T1523" t="str"><v>Developers & ITI's</v></cell><cell r="U1523" t="str"><v>USA-Trial-ITD-Lead Completes-AZR-AZR</v></cell><cell r="V1523" t="str"><v>Prospecting</v></cell><cell r="W1523" t="str"><v>Link Ad</v></cell><cell r="X1523" t="str"><v>1200x1200</v></cell><cell r="Y1523" t="str"><v>Learn More</v></cell><cell r="Z1523" t="str"><v>Animated Banner</v></cell><cell r="AA1523"><v>43357</v></cell><cell r="AB1523" t="str"><v>USA_gaPMG_AZR_AZR_Q1_19_Direct-Social</v></cell><cell r="AC1523"><v>21358715</v></cell><cell r="AD1523"><v>720197</v></cell><cell r="AE1523" t="str"><v>Linkedin</v></cell><cell r="AF1523"><v>3654329</v></cell><cell r="AG1523" t="str"><v>FACEBOOK»USA-Trial-ITD-Lead Completes-AZR-AZR»1 x 1»SocialBan»LIA»ALL»CPA»PRO»X»NA»SS»NA»FreeAcctDeveloperFB-AnimatedAI-Ch3»PRC1W1</v></cell><cell r="AH1523" t="str"><v>PRC1W1</v></cell><cell r="AI1523" t="str"><v>AZR_FreeAcctDeveloperFB-AnimatedAI-Ch3_USA_1200x1200_CAN_Direct_English_Trial_Standard_ANI_LEA_T3_1</v></cell><cell r="AJ1523"><v>103032778</v></cell></row><row r="1524"><cell r="D1524" t="str"><v>43357PRC1W0</v></cell><cell r="E1524" t="str"><v>43357103048329PRC1W0</v></cell><cell r="F1524" t="str"><v>Appended from Pub - Not in DCM</v></cell></row><row r="1524"><cell r="I1524" t="str"><v>Azure Direct</v></cell><cell r="J1524" t="str"><v>Azure Direct</v></cell><cell r="K1524" t="str"><v>September</v></cell><cell r="L1524"><v>43358</v></cell><cell r="M1524" t="str"><v>Tier 0</v></cell><cell r="N1524" t="str"><v>North America</v></cell><cell r="O1524" t="str"><v>United States</v></cell><cell r="P1524" t="str"><v>Trial</v></cell><cell r="Q1524" t="str"><v>Social</v></cell><cell r="R1524" t="str"><v>Azure</v></cell><cell r="S1524" t="str"><v>Apps & Infra</v></cell><cell r="T1524" t="str"><v>Developers & ITI's</v></cell><cell r="U1524" t="str"><v>USA-Trial-ITD-Lead Completes-AZR-AZR</v></cell><cell r="V1524" t="str"><v>Prospecting</v></cell><cell r="W1524" t="str"><v>Link Ad</v></cell><cell r="X1524" t="str"><v>1200x1200</v></cell><cell r="Y1524" t="str"><v>Learn More</v></cell><cell r="Z1524" t="str"><v>Animated Banner</v></cell><cell r="AA1524"><v>43357</v></cell><cell r="AB1524" t="str"><v>USA_gaPMG_AZR_AZR_Q1_19_Direct-Social</v></cell><cell r="AC1524"><v>21358715</v></cell><cell r="AD1524"><v>720197</v></cell><cell r="AE1524" t="str"><v>Linkedin</v></cell><cell r="AF1524"><v>3654329</v></cell><cell r="AG1524" t="str"><v>FACEBOOK»USA-Trial-ITD-Lead Completes-AZR-AZR»1 x 1»SocialBan»LIA»ALL»CPA»PRO»X»NA»SS»NA»FreeAcctDeveloperFB-AnimatedOpenSource-Ch2»PRC1W0</v></cell><cell r="AH1524" t="str"><v>PRC1W0</v></cell><cell r="AI1524" t="str"><v>AZR_FreeAcctDeveloperFB-AnimatedOpenSource-Ch2_USA_1200x1200_CAN_Direct_English_Trial_Standard_ANI_LEA_T2_1</v></cell><cell r="AJ1524"><v>103048329</v></cell></row><row r="1525"><cell r="D1525" t="str"><v>43357PRC1M4</v></cell><cell r="E1525" t="str"><v>43357103176851PRC1M4</v></cell><cell r="F1525" t="str"><v>Appended from Pub - Not in DCM</v></cell></row><row r="1525"><cell r="I1525" t="str"><v>Azure Direct</v></cell><cell r="J1525" t="str"><v>Azure Direct</v></cell><cell r="K1525" t="str"><v>September</v></cell><cell r="L1525"><v>43358</v></cell><cell r="M1525" t="str"><v>Tier 0</v></cell><cell r="N1525" t="str"><v>North America</v></cell><cell r="O1525" t="str"><v>United States</v></cell><cell r="P1525" t="str"><v>Trial</v></cell><cell r="Q1525" t="str"><v>Social</v></cell><cell r="R1525" t="str"><v>Azure</v></cell><cell r="S1525" t="str"><v>Apps & Infra</v></cell><cell r="T1525" t="str"><v>Developers & ITI's</v></cell><cell r="U1525" t="str"><v>USA-Trial-ITD-Trial Lookalike-AZR-AZR</v></cell><cell r="V1525" t="str"><v>Lookalike Targeting</v></cell><cell r="W1525" t="str"><v>Link Ad</v></cell><cell r="X1525" t="str"><v>1200x1200</v></cell><cell r="Y1525" t="str"><v>Learn More</v></cell><cell r="Z1525" t="str"><v>Animated Banner</v></cell><cell r="AA1525"><v>43357</v></cell><cell r="AB1525" t="str"><v>USA_gaPMG_AZR_AZR_Q1_19_Direct-Social</v></cell><cell r="AC1525"><v>21358715</v></cell><cell r="AD1525"><v>720197</v></cell><cell r="AE1525" t="str"><v>Linkedin</v></cell><cell r="AF1525"><v>3654329</v></cell><cell r="AG1525" t="str"><v>FACEBOOK»USA-Trial-ITD-Trial Lookalike-AZR-AZR»1 x 1»SocialBan»LIA»ALL»CPA»LAL»X»NA»SS»NA»FreeAcctDeveloperFB-AnimatedGeneric-Ch1»PRC1M4</v></cell><cell r="AH1525" t="str"><v>PRC1M4</v></cell><cell r="AI1525" t="str"><v>AZR_FreeAcctDeveloperFB-AnimatedGeneric-Ch1_USA_1200x1200_CAN_Direct_English_Trial_Standard_ANI_LEA_T1_2</v></cell><cell r="AJ1525"><v>103176851</v></cell></row><row r="1526"><cell r="D1526" t="str"><v>43357PRC2FL</v></cell><cell r="E1526" t="str"><v>43357103050786PRC2FL</v></cell><cell r="F1526" t="str"><v>Appended from Pub - Not in DCM</v></cell></row><row r="1526"><cell r="I1526" t="str"><v>Azure Direct</v></cell><cell r="J1526" t="str"><v>Azure Direct</v></cell><cell r="K1526" t="str"><v>September</v></cell><cell r="L1526"><v>43358</v></cell><cell r="M1526" t="str"><v>Tier 0</v></cell><cell r="N1526" t="str"><v>North America</v></cell><cell r="O1526" t="str"><v>United States</v></cell><cell r="P1526" t="str"><v>Trial</v></cell><cell r="Q1526" t="str"><v>Social</v></cell><cell r="R1526" t="str"><v>Azure</v></cell><cell r="S1526" t="str"><v>Apps & Infra</v></cell><cell r="T1526" t="str"><v>Developers & ITI's</v></cell><cell r="U1526" t="str"><v>USA-Trial-ITD-Trial Lookalike-AZR-AZR</v></cell><cell r="V1526" t="str"><v>Lookalike Targeting</v></cell><cell r="W1526" t="str"><v>Canvas Ad</v></cell><cell r="X1526" t="str"><v>10s</v></cell><cell r="Y1526" t="str"><v>Try it Now</v></cell><cell r="Z1526" t="str"><v>Standard videos</v></cell><cell r="AA1526"><v>43357</v></cell><cell r="AB1526" t="str"><v>USA_gaPMG_AZR_AZR_Q1_19_Direct-Social</v></cell><cell r="AC1526"><v>21358715</v></cell><cell r="AD1526"><v>720197</v></cell><cell r="AE1526" t="str"><v>Linkedin</v></cell><cell r="AF1526"><v>3654329</v></cell><cell r="AG1526" t="str"><v>INSTAGRAM»USA-Trial-ITD-Trial Lookalike-AZR-AZR»1 x 1»SocialBan»CAN»ALL»CPA»LAL»X»NA»SS»NA»IGCTCBenefit2inMotion»PRC2FL</v></cell><cell r="AH1526" t="str"><v>PRC2FL</v></cell><cell r="AI1526" t="str"><v>AzurePlatform_IGCTCBrandinMotion_USA_10s_CAN_PLATFORM_English_Trial_Standard_STAN_TIN_T2_2</v></cell><cell r="AJ1526"><v>103050786</v></cell></row><row r="1527"><cell r="D1527" t="str"><v>43357PRC2PD</v></cell><cell r="E1527" t="str"><v>43357103180628PRC2PD</v></cell><cell r="F1527" t="str"><v>Appended from Pub - Not in DCM</v></cell></row><row r="1527"><cell r="I1527" t="str"><v>Azure Direct</v></cell><cell r="J1527" t="str"><v>Azure Direct</v></cell><cell r="K1527" t="str"><v>September</v></cell><cell r="L1527"><v>43358</v></cell><cell r="M1527" t="str"><v>Tier 0</v></cell><cell r="N1527" t="str"><v>North America</v></cell><cell r="O1527" t="str"><v>United States</v></cell><cell r="P1527" t="str"><v>Trial</v></cell><cell r="Q1527" t="str"><v>Social</v></cell><cell r="R1527" t="str"><v>Azure</v></cell><cell r="S1527" t="str"><v>Apps & Infra</v></cell><cell r="T1527" t="str"><v>Developers & ITI's</v></cell><cell r="U1527" t="str"><v>USA-Trial-ITD-Interest Prospecting-AZR-AZR</v></cell><cell r="V1527" t="str"><v>Prospecting</v></cell><cell r="W1527" t="str"><v>Canvas Ad</v></cell><cell r="X1527" t="str"><v>10s</v></cell><cell r="Y1527" t="str"><v>Try it Now</v></cell><cell r="Z1527" t="str"><v>Standard videos</v></cell><cell r="AA1527"><v>43357</v></cell><cell r="AB1527" t="str"><v>USA_gaPMG_AZR_AZR_Q1_19_Direct-Social</v></cell><cell r="AC1527"><v>21358715</v></cell><cell r="AD1527"><v>720197</v></cell><cell r="AE1527" t="str"><v>Linkedin</v></cell><cell r="AF1527"><v>3654329</v></cell><cell r="AG1527" t="str"><v>INSTAGRAM»USA-Trial-ITD-Interest Prospecting-AZR-AZR»1 x 1»SocialBan»CAN»ALL»CPA»PRO»X»NA»SS»NA»IGCTCBenefit2inMotion»PRC2PD</v></cell><cell r="AH1527" t="str"><v>PRC2PD</v></cell><cell r="AI1527" t="str"><v>AzurePlatform_IGCTCBrandinMotion_USA_10s_CAN_PLATFORM_English_Trial_Standard_STAN_TIN_T2_1</v></cell><cell r="AJ1527"><v>103180628</v></cell></row><row r="1528"><cell r="D1528" t="str"><v>43357PRC1Q3</v></cell><cell r="E1528" t="str"><v>43357103176812PRC1Q3</v></cell><cell r="F1528" t="str"><v>Appended from Pub - Not in DCM</v></cell></row><row r="1528"><cell r="I1528" t="str"><v>Azure Direct</v></cell><cell r="J1528" t="str"><v>Azure Direct</v></cell><cell r="K1528" t="str"><v>September</v></cell><cell r="L1528"><v>43358</v></cell><cell r="M1528" t="str"><v>Tier 0</v></cell><cell r="N1528" t="str"><v>North America</v></cell><cell r="O1528" t="str"><v>United States</v></cell><cell r="P1528" t="str"><v>Trial</v></cell><cell r="Q1528" t="str"><v>Social</v></cell><cell r="R1528" t="str"><v>Azure</v></cell><cell r="S1528" t="str"><v>Apps & Infra</v></cell><cell r="T1528" t="str"><v>Developers & ITI's</v></cell><cell r="U1528" t="str"><v>USA-Trial-ITD-Trial PayGo Lookalike-AZR-AZR</v></cell><cell r="V1528" t="str"><v>Lookalike Targeting</v></cell><cell r="W1528" t="str"><v>Canvas Ad</v></cell><cell r="X1528" t="str"><v>10s</v></cell><cell r="Y1528" t="str"><v>Try it Now</v></cell><cell r="Z1528" t="str"><v>Standard videos</v></cell><cell r="AA1528"><v>43357</v></cell><cell r="AB1528" t="str"><v>USA_gaPMG_AZR_AZR_Q1_19_Direct-Social</v></cell><cell r="AC1528"><v>21358715</v></cell><cell r="AD1528"><v>720197</v></cell><cell r="AE1528" t="str"><v>Linkedin</v></cell><cell r="AF1528"><v>3654329</v></cell><cell r="AG1528" t="str"><v>FACEBOOK»USA-Trial-ITD-Trial PayGo Lookalike-AZR-AZR»1 x 1»SocialBan»CAN»ALL»CPA»LAL»X»NA»SS»NA»FBCTCBrandinMotion»PRC1Q3</v></cell><cell r="AH1528" t="str"><v>PRC1Q3</v></cell><cell r="AI1528" t="str"><v>AzurePlatform_FBCTCBrandinMotion_USA_10s_CAN_PLATFORM_English_Trial_Standard_STAN_TIN_T2_1</v></cell><cell r="AJ1528"><v>103176812</v></cell></row><row r="1529"><cell r="D1529" t="str"><v>43357PRX71S</v></cell><cell r="E1529" t="str"><v>43357104593720PRX71S</v></cell><cell r="F1529" t="str"><v>Appended from Pub - Not in DCM</v></cell></row><row r="1529"><cell r="I1529" t="str"><v>Azure Direct</v></cell><cell r="J1529" t="str"><v>Azure Direct</v></cell><cell r="K1529" t="str"><v>September</v></cell><cell r="L1529"><v>43358</v></cell><cell r="M1529" t="str"><v>Tier 0</v></cell><cell r="N1529" t="str"><v>North America</v></cell><cell r="O1529" t="str"><v>United States</v></cell><cell r="P1529" t="str"><v>Trial</v></cell><cell r="Q1529" t="str"><v>Social</v></cell><cell r="R1529" t="str"><v>Azure</v></cell><cell r="S1529" t="str"><v>Apps & Infra</v></cell><cell r="T1529" t="str"><v>Developers & ITI's</v></cell><cell r="U1529" t="str"><v>USA-Trial-ITD-Lead Completes Lookalike-AZR-AZR</v></cell><cell r="V1529" t="str"><v>Lookalike Targeting</v></cell><cell r="W1529" t="str"><v>Canvas Collection Ad</v></cell><cell r="X1529" t="str"><v>1200x182</v></cell><cell r="Y1529" t="str"><v>Try it Now</v></cell><cell r="Z1529" t="str"><v>Not Applicable</v></cell><cell r="AA1529"><v>43357</v></cell><cell r="AB1529" t="str"><v>USA_gaPMG_AZR_AZR_Q1_19_Direct-Social</v></cell><cell r="AC1529"><v>21358715</v></cell><cell r="AD1529"><v>720197</v></cell><cell r="AE1529" t="str"><v>Linkedin</v></cell><cell r="AF1529"><v>3654329</v></cell><cell r="AG1529" t="str"><v>FACEBOOK»USA-Trial-ITD-Lead Completes Lookalike-AZR-AZR»1 x 1»SocialBan»CCA»ALL»CPA»LAL»X»NA»SS»NA»Azure Developer Facebook Collections»PRX71S</v></cell><cell r="AH1529" t="str"><v>PRX71S</v></cell><cell r="AI1529" t="str"><v>AZR_FBCollections-AITryAzureFreeCTA-Img2_USA_1200x182_CCA_Plat_EN_NA_Standard_NA_TIN_T1_2</v></cell><cell r="AJ1529"><v>104593720</v></cell></row><row r="1530"><cell r="D1530" t="str"><v>43357PS7B53</v></cell><cell r="E1530" t="str"><v>43357PS7B53</v></cell><cell r="F1530" t="str"><v>Appended from Pub - Not in DCM</v></cell></row><row r="1530"><cell r="I1530" t="str"><v>Azure Direct</v></cell><cell r="J1530" t="str"><v>Azure Direct</v></cell><cell r="K1530" t="str"><v>September</v></cell><cell r="L1530"><v>43358</v></cell><cell r="M1530" t="str"><v>Tier 0</v></cell><cell r="N1530" t="str"><v>North America</v></cell><cell r="O1530" t="str"><v>United States</v></cell><cell r="P1530" t="str"><v>Trial</v></cell><cell r="Q1530" t="str"><v>Social</v></cell><cell r="R1530" t="str"><v>Azure</v></cell><cell r="S1530" t="str"><v>Apps & Infra</v></cell><cell r="T1530" t="str"><v>Developers & ITI's</v></cell><cell r="U1530" t="str"><v>USA-Trial-ITD-Trial Lookalike-AZR-AZR</v></cell><cell r="V1530" t="str"><v>Lookalike Targeting</v></cell><cell r="W1530" t="str"><v>Canvas Ad</v></cell></row><row r="1530"><cell r="AA1530"><v>43357</v></cell><cell r="AB1530" t="str"><v>USA_gaPMG_AZR_AZR_Q1_19_Direct-Social</v></cell><cell r="AC1530"><v>21358715</v></cell><cell r="AD1530"><v>720197</v></cell><cell r="AE1530" t="str"><v>Linkedin</v></cell><cell r="AF1530"><v>3654329</v></cell><cell r="AG1530" t="str"><v>FACEBOOK»USA-Trial-ITD-Trial Lookalike-AZR-AZR»1 x 1»SocialBan»CAN»ALL»CPA»LAL»X»NA»SS»NA»FreeAcctITProFB-AnimatedSecureMngd-Ch1»PS7B53</v></cell><cell r="AH1530" t="str"><v>PS7B53</v></cell></row><row r="1531"><cell r="D1531" t="str"><v>43357PS7B55</v></cell><cell r="E1531" t="str"><v>43357104595730PS7B55</v></cell><cell r="F1531" t="str"><v>Appended from Pub - Not in DCM</v></cell></row><row r="1531"><cell r="I1531" t="str"><v>Azure Direct</v></cell><cell r="J1531" t="str"><v>Azure Direct</v></cell><cell r="K1531" t="str"><v>September</v></cell><cell r="L1531"><v>43358</v></cell><cell r="M1531" t="str"><v>Tier 0</v></cell><cell r="N1531" t="str"><v>North America</v></cell><cell r="O1531" t="str"><v>United States</v></cell><cell r="P1531" t="str"><v>Trial</v></cell><cell r="Q1531" t="str"><v>Social</v></cell><cell r="R1531" t="str"><v>Azure</v></cell><cell r="S1531" t="str"><v>Apps & Infra</v></cell><cell r="T1531" t="str"><v>Developers & ITI's</v></cell><cell r="U1531" t="str"><v>USA-Trial-ITD-Trial Lookalike-AZR-AZR</v></cell><cell r="V1531" t="str"><v>Lookalike Targeting</v></cell><cell r="W1531" t="str"><v>Canvas Ad</v></cell><cell r="X1531" t="str"><v>1200x1200</v></cell><cell r="Y1531" t="str"><v>Learn More</v></cell><cell r="Z1531" t="str"><v>Animated Banner</v></cell><cell r="AA1531"><v>43357</v></cell><cell r="AB1531" t="str"><v>USA_gaPMG_AZR_AZR_Q1_19_Direct-Social</v></cell><cell r="AC1531"><v>21358715</v></cell><cell r="AD1531"><v>720197</v></cell><cell r="AE1531" t="str"><v>Linkedin</v></cell><cell r="AF1531"><v>3654329</v></cell><cell r="AG1531" t="str"><v>FACEBOOK»USA-Trial-ITD-Trial Lookalike-AZR-AZR»1 x 1»SocialBan»CAN»ALL»CPA»LAL»X»NA»SS»NA»FreeAcctITProFB-AnimatedMigration-Ch3»PS7B55</v></cell><cell r="AH1531" t="str"><v>PS7B55</v></cell><cell r="AI1531" t="str"><v>AZR_FreeAcctITProFB-AnimatedMigration-Ch3_USA_1200x1200_CAN_Direct_EN_Trial_Standard_ANI_LEA_T3_2</v></cell><cell r="AJ1531"><v>104595730</v></cell></row><row r="1532"><cell r="D1532" t="str"><v>43357PS79TJ</v></cell><cell r="E1532" t="str"><v>43357104595739PS79TJ</v></cell><cell r="F1532" t="str"><v>Appended from Pub - Not in DCM</v></cell></row><row r="1532"><cell r="I1532" t="str"><v>Azure Direct</v></cell><cell r="J1532" t="str"><v>Azure Direct</v></cell><cell r="K1532" t="str"><v>September</v></cell><cell r="L1532"><v>43358</v></cell><cell r="M1532" t="str"><v>Tier 0</v></cell><cell r="N1532" t="str"><v>North America</v></cell><cell r="O1532" t="str"><v>United States</v></cell><cell r="P1532" t="str"><v>Trial</v></cell><cell r="Q1532" t="str"><v>Social</v></cell><cell r="R1532" t="str"><v>Azure</v></cell><cell r="S1532" t="str"><v>Apps & Infra</v></cell><cell r="T1532" t="str"><v>Developers & ITI's</v></cell><cell r="U1532" t="str"><v>USA-Trial-ITD-Retargeting-AZR-AZR</v></cell><cell r="V1532" t="str"><v>Retargeting</v></cell><cell r="W1532" t="str"><v>Canvas Ad</v></cell><cell r="X1532" t="str"><v>1200x1200</v></cell><cell r="Y1532" t="str"><v>Learn More</v></cell><cell r="Z1532" t="str"><v>Animated Banner</v></cell><cell r="AA1532"><v>43357</v></cell><cell r="AB1532" t="str"><v>USA_gaPMG_AZR_AZR_Q1_19_Direct-Social</v></cell><cell r="AC1532"><v>21358715</v></cell><cell r="AD1532"><v>720197</v></cell><cell r="AE1532" t="str"><v>Linkedin</v></cell><cell r="AF1532"><v>3654329</v></cell><cell r="AG1532" t="str"><v>FACEBOOK»USA-Trial-ITD-Retargeting-AZR-AZR»1 x 1»SocialBan»CAN»ALL»CPA»RT»X»NA»SS»NA»FreeAcctDeveloperFB-AnimatedData-Ch4»PS79TJ</v></cell><cell r="AH1532" t="str"><v>PS79TJ</v></cell><cell r="AI1532" t="str"><v>AZR_FreeAcctDeveloperFB-AnimatedData-Ch4_USA_1200x1200_CAN_Direct_EN_Trial_Standard_ANI_LEA_T4_1</v></cell><cell r="AJ1532"><v>104595739</v></cell></row><row r="1533"><cell r="D1533" t="str"><v>43357PS79T7</v></cell><cell r="E1533" t="str"><v>43357104593735PS79T7</v></cell><cell r="F1533" t="str"><v>Appended from Pub - Not in DCM</v></cell></row><row r="1533"><cell r="I1533" t="str"><v>Azure Direct</v></cell><cell r="J1533" t="str"><v>Azure Direct</v></cell><cell r="K1533" t="str"><v>September</v></cell><cell r="L1533"><v>43358</v></cell><cell r="M1533" t="str"><v>Tier 0</v></cell><cell r="N1533" t="str"><v>North America</v></cell><cell r="O1533" t="str"><v>United States</v></cell><cell r="P1533" t="str"><v>Trial</v></cell><cell r="Q1533" t="str"><v>Social</v></cell><cell r="R1533" t="str"><v>Azure</v></cell><cell r="S1533" t="str"><v>Apps & Infra</v></cell><cell r="T1533" t="str"><v>Developers & ITI's</v></cell><cell r="U1533" t="str"><v>USA-Trial-ITD-Retargeting-AZR-AZR</v></cell><cell r="V1533" t="str"><v>Retargeting</v></cell><cell r="W1533" t="str"><v>Canvas Ad</v></cell><cell r="X1533" t="str"><v>1200x1200</v></cell><cell r="Y1533" t="str"><v>Learn More</v></cell><cell r="Z1533" t="str"><v>Animated Banner</v></cell><cell r="AA1533"><v>43357</v></cell><cell r="AB1533" t="str"><v>USA_gaPMG_AZR_AZR_Q1_19_Direct-Social</v></cell><cell r="AC1533"><v>21358715</v></cell><cell r="AD1533"><v>720197</v></cell><cell r="AE1533" t="str"><v>Linkedin</v></cell><cell r="AF1533"><v>3654329</v></cell><cell r="AG1533" t="str"><v>FACEBOOK»USA-Trial-ITD-Retargeting-AZR-AZR»1 x 1»SocialBan»CAN»ALL»CPA»RT»X»NA»SS»NA»FreeAcctDeveloperFB-AnimatedAI-Ch3»PS79T7</v></cell><cell r="AH1533" t="str"><v>PS79T7</v></cell><cell r="AI1533" t="str"><v>AZR_FreeAcctDeveloperFB-AnimatedAI-Ch3_USA_1200x1200_CAN_Direct_EN_Trial_Standard_ANI_LEA_T3_1</v></cell><cell r="AJ1533"><v>104593735</v></cell></row><row r="1534"><cell r="D1534" t="str"><v>43357PRC1VT</v></cell><cell r="E1534" t="str"><v>43357103043823PRC1VT</v></cell><cell r="F1534" t="str"><v>Appended from Pub - Not in DCM</v></cell></row><row r="1534"><cell r="I1534" t="str"><v>Azure Direct</v></cell><cell r="J1534" t="str"><v>Azure Direct</v></cell><cell r="K1534" t="str"><v>September</v></cell><cell r="L1534"><v>43358</v></cell><cell r="M1534" t="str"><v>Tier 0</v></cell><cell r="N1534" t="str"><v>North America</v></cell><cell r="O1534" t="str"><v>United States</v></cell><cell r="P1534" t="str"><v>Trial</v></cell><cell r="Q1534" t="str"><v>Social</v></cell><cell r="R1534" t="str"><v>Azure</v></cell><cell r="S1534" t="str"><v>Apps & Infra</v></cell><cell r="T1534" t="str"><v>Developers & ITI's</v></cell><cell r="U1534" t="str"><v>USA-Trial-ITD-Lead Completes-AZR-AZR</v></cell><cell r="V1534" t="str"><v>Prospecting</v></cell><cell r="W1534" t="str"><v>Canvas Ad</v></cell><cell r="X1534" t="str"><v>10s</v></cell><cell r="Y1534" t="str"><v>Try it Now</v></cell><cell r="Z1534" t="str"><v>Standard videos</v></cell><cell r="AA1534"><v>43357</v></cell><cell r="AB1534" t="str"><v>USA_gaPMG_AZR_AZR_Q1_19_Direct-Social</v></cell><cell r="AC1534"><v>21358715</v></cell><cell r="AD1534"><v>720197</v></cell><cell r="AE1534" t="str"><v>Linkedin</v></cell><cell r="AF1534"><v>3654329</v></cell><cell r="AG1534" t="str"><v>FACEBOOK»USA-Trial-ITD-Lead Completes-AZR-AZR»1 x 1»SocialBan»CAN»ALL»CPA»PRO»X»NA»SS»NA»FBCTCBasicMotion»PRC1VT</v></cell><cell r="AH1534" t="str"><v>PRC1VT</v></cell><cell r="AI1534" t="str"><v>AzurePlatform_FBCTCBasicMotion_USA_10s_CAN_PLATFORM_English_Trial_Standard_STAN_TIN_T1_1</v></cell><cell r="AJ1534"><v>103043823</v></cell></row><row r="1535"><cell r="D1535" t="str"><v>43357PRC1Q2</v></cell><cell r="E1535" t="str"><v>43357103032775PRC1Q2</v></cell><cell r="F1535" t="str"><v>Appended from Pub - Not in DCM</v></cell></row><row r="1535"><cell r="I1535" t="str"><v>Azure Direct</v></cell><cell r="J1535" t="str"><v>Azure Direct</v></cell><cell r="K1535" t="str"><v>September</v></cell><cell r="L1535"><v>43358</v></cell><cell r="M1535" t="str"><v>Tier 0</v></cell><cell r="N1535" t="str"><v>North America</v></cell><cell r="O1535" t="str"><v>United States</v></cell><cell r="P1535" t="str"><v>Trial</v></cell><cell r="Q1535" t="str"><v>Social</v></cell><cell r="R1535" t="str"><v>Azure</v></cell><cell r="S1535" t="str"><v>Apps & Infra</v></cell><cell r="T1535" t="str"><v>Developers & ITI's</v></cell><cell r="U1535" t="str"><v>USA-Trial-ITD-Trial PayGo Lookalike-AZR-AZR</v></cell><cell r="V1535" t="str"><v>Lookalike Targeting</v></cell><cell r="W1535" t="str"><v>Canvas Ad</v></cell><cell r="X1535" t="str"><v>10s</v></cell><cell r="Y1535" t="str"><v>Try it Now</v></cell><cell r="Z1535" t="str"><v>Standard videos</v></cell><cell r="AA1535"><v>43357</v></cell><cell r="AB1535" t="str"><v>USA_gaPMG_AZR_AZR_Q1_19_Direct-Social</v></cell><cell r="AC1535"><v>21358715</v></cell><cell r="AD1535"><v>720197</v></cell><cell r="AE1535" t="str"><v>Linkedin</v></cell><cell r="AF1535"><v>3654329</v></cell><cell r="AG1535" t="str"><v>FACEBOOK»USA-Trial-ITD-Trial PayGo Lookalike-AZR-AZR»1 x 1»SocialBan»CAN»ALL»CPA»LAL»X»NA»SS»NA»FBCTCBenefitinMotion»PRC1Q2</v></cell><cell r="AH1535" t="str"><v>PRC1Q2</v></cell><cell r="AI1535" t="str"><v>AzurePlatform_FBCTCBenefitinMotion_USA_10s_CAN_PLATFORM_English_Trial_Standard_STAN_TIN_T3_1</v></cell><cell r="AJ1535"><v>103032775</v></cell></row><row r="1536"><cell r="D1536" t="str"><v>43357PRC1M9</v></cell><cell r="E1536" t="str"><v>43357103176830PRC1M9</v></cell><cell r="F1536" t="str"><v>Appended from Pub - Not in DCM</v></cell></row><row r="1536"><cell r="I1536" t="str"><v>Azure Direct</v></cell><cell r="J1536" t="str"><v>Azure Direct</v></cell><cell r="K1536" t="str"><v>September</v></cell><cell r="L1536"><v>43358</v></cell><cell r="M1536" t="str"><v>Tier 0</v></cell><cell r="N1536" t="str"><v>North America</v></cell><cell r="O1536" t="str"><v>United States</v></cell><cell r="P1536" t="str"><v>Trial</v></cell><cell r="Q1536" t="str"><v>Social</v></cell><cell r="R1536" t="str"><v>Azure</v></cell><cell r="S1536" t="str"><v>Apps & Infra</v></cell><cell r="T1536" t="str"><v>Developers & ITI's</v></cell><cell r="U1536" t="str"><v>USA-Trial-ITD-Trial Lookalike-AZR-AZR</v></cell><cell r="V1536" t="str"><v>Lookalike Targeting</v></cell><cell r="W1536" t="str"><v>Link Ad</v></cell><cell r="X1536" t="str"><v>1200x1200</v></cell><cell r="Y1536" t="str"><v>Learn More</v></cell><cell r="Z1536" t="str"><v>Animated Banner</v></cell><cell r="AA1536"><v>43357</v></cell><cell r="AB1536" t="str"><v>USA_gaPMG_AZR_AZR_Q1_19_Direct-Social</v></cell><cell r="AC1536"><v>21358715</v></cell><cell r="AD1536"><v>720197</v></cell><cell r="AE1536" t="str"><v>Linkedin</v></cell><cell r="AF1536"><v>3654329</v></cell><cell r="AG1536" t="str"><v>FACEBOOK»USA-Trial-ITD-Trial Lookalike-AZR-AZR»1 x 1»SocialBan»LIA»ALL»CPA»LAL»X»NA»SS»NA»FreeAcctITProFB-AnimatedSecureMngd-Ch1»PRC1M9</v></cell><cell r="AH1536" t="str"><v>PRC1M9</v></cell><cell r="AI1536" t="str"><v>AZR_FreeAcctITProFB-AnimatedSecureMngd-Ch1_USA_1200x1200_CAN_Direct_English_Trial_Standard_ANI_LEA_T1_1</v></cell><cell r="AJ1536"><v>103176830</v></cell></row><row r="1537"><cell r="D1537" t="str"><v>43357PRC2FH</v></cell><cell r="E1537" t="str"><v>43357103050783PRC2FH</v></cell><cell r="F1537" t="str"><v>Appended from Pub - Not in DCM</v></cell></row><row r="1537"><cell r="I1537" t="str"><v>Azure Direct</v></cell><cell r="J1537" t="str"><v>Azure Direct</v></cell><cell r="K1537" t="str"><v>September</v></cell><cell r="L1537"><v>43358</v></cell><cell r="M1537" t="str"><v>Tier 0</v></cell><cell r="N1537" t="str"><v>North America</v></cell><cell r="O1537" t="str"><v>United States</v></cell><cell r="P1537" t="str"><v>Trial</v></cell><cell r="Q1537" t="str"><v>Social</v></cell><cell r="R1537" t="str"><v>Azure</v></cell><cell r="S1537" t="str"><v>Apps & Infra</v></cell><cell r="T1537" t="str"><v>Developers & ITI's</v></cell><cell r="U1537" t="str"><v>USA-Trial-ITD-Trial Lookalike-AZR-AZR</v></cell><cell r="V1537" t="str"><v>Lookalike Targeting</v></cell><cell r="W1537" t="str"><v>Canvas Ad</v></cell><cell r="X1537" t="str"><v>10s</v></cell><cell r="Y1537" t="str"><v>Try it Now</v></cell><cell r="Z1537" t="str"><v>Standard videos</v></cell><cell r="AA1537"><v>43357</v></cell><cell r="AB1537" t="str"><v>USA_gaPMG_AZR_AZR_Q1_19_Direct-Social</v></cell><cell r="AC1537"><v>21358715</v></cell><cell r="AD1537"><v>720197</v></cell><cell r="AE1537" t="str"><v>Linkedin</v></cell><cell r="AF1537"><v>3654329</v></cell><cell r="AG1537" t="str"><v>INSTAGRAM»USA-Trial-ITD-Trial Lookalike-AZR-AZR»1 x 1»SocialBan»CAN»ALL»CPA»LAL»X»NA»SS»NA»IGCTCBrandinMotion»PRC2FH</v></cell><cell r="AH1537" t="str"><v>PRC2FH</v></cell><cell r="AI1537" t="str"><v>AzurePlatform_IGCTCBenefit2inMotion_USA_10s_CAN_PLATFORM_English_Trial_Standard_STAN_TIN_T4_1</v></cell><cell r="AJ1537"><v>103050783</v></cell></row><row r="1538"><cell r="D1538" t="str"><v>43357PRC2G6</v></cell><cell r="E1538" t="str"><v>43357103180628PRC2G6</v></cell><cell r="F1538" t="str"><v>Appended from Pub - Not in DCM</v></cell></row><row r="1538"><cell r="I1538" t="str"><v>Azure Direct</v></cell><cell r="J1538" t="str"><v>Azure Direct</v></cell><cell r="K1538" t="str"><v>September</v></cell><cell r="L1538"><v>43358</v></cell><cell r="M1538" t="str"><v>Tier 0</v></cell><cell r="N1538" t="str"><v>North America</v></cell><cell r="O1538" t="str"><v>United States</v></cell><cell r="P1538" t="str"><v>Trial</v></cell><cell r="Q1538" t="str"><v>Social</v></cell><cell r="R1538" t="str"><v>Azure</v></cell><cell r="S1538" t="str"><v>Apps & Infra</v></cell><cell r="T1538" t="str"><v>Developers & ITI's</v></cell><cell r="U1538" t="str"><v>USA-Trial-ITD-Retargeting-AZR-AZR</v></cell><cell r="V1538" t="str"><v>Retargeting</v></cell><cell r="W1538" t="str"><v>Canvas Ad</v></cell><cell r="X1538" t="str"><v>10s</v></cell><cell r="Y1538" t="str"><v>Try it Now</v></cell><cell r="Z1538" t="str"><v>Standard videos</v></cell><cell r="AA1538"><v>43357</v></cell><cell r="AB1538" t="str"><v>USA_gaPMG_AZR_AZR_Q1_19_Direct-Social</v></cell><cell r="AC1538"><v>21358715</v></cell><cell r="AD1538"><v>720197</v></cell><cell r="AE1538" t="str"><v>Linkedin</v></cell><cell r="AF1538"><v>3654329</v></cell><cell r="AG1538" t="str"><v>INSTAGRAM»USA-Trial-ITD-Retargeting-AZR-AZR»1 x 1»SocialBan»CAN»ALL»CPA»RT»X»NA»SS»NA»IGCTCBenefit2inMotion»PRC2G6</v></cell><cell r="AH1538" t="str"><v>PRC2G6</v></cell><cell r="AI1538" t="str"><v>AzurePlatform_IGCTCBrandinMotion_USA_10s_CAN_PLATFORM_English_Trial_Standard_STAN_TIN_T2_1</v></cell><cell r="AJ1538"><v>103180628</v></cell></row><row r="1539"><cell r="D1539" t="str"><v>43357PS7BSX</v></cell><cell r="E1539" t="str"><v>43357104592529PS7BSX</v></cell><cell r="F1539" t="str"><v>Appended from Pub - Not in DCM</v></cell></row><row r="1539"><cell r="I1539" t="str"><v>Azure Direct</v></cell><cell r="J1539" t="str"><v>Azure Direct</v></cell><cell r="K1539" t="str"><v>September</v></cell><cell r="L1539"><v>43358</v></cell><cell r="M1539" t="str"><v>Tier 0</v></cell><cell r="N1539" t="str"><v>North America</v></cell><cell r="O1539" t="str"><v>United States</v></cell><cell r="P1539" t="str"><v>Trial</v></cell><cell r="Q1539" t="str"><v>Social</v></cell><cell r="R1539" t="str"><v>Azure</v></cell><cell r="S1539" t="str"><v>Apps & Infra</v></cell><cell r="T1539" t="str"><v>Developers & ITI's</v></cell><cell r="U1539" t="str"><v>USA-Trial-ITD-Bing Retargeting LAL-AZR-AZR</v></cell><cell r="V1539" t="str"><v>Retargeting</v></cell><cell r="W1539" t="str"><v>Link Ad</v></cell><cell r="X1539" t="str"><v>1200x627</v></cell><cell r="Y1539" t="str"><v>Sign Up</v></cell><cell r="Z1539" t="str"><v>Not Applicable</v></cell><cell r="AA1539"><v>43357</v></cell><cell r="AB1539" t="str"><v>USA_gaPMG_AZR_AZR_Q1_19_Direct-Social</v></cell><cell r="AC1539"><v>21358715</v></cell><cell r="AD1539"><v>720197</v></cell><cell r="AE1539" t="str"><v>Linkedin</v></cell><cell r="AF1539"><v>3654329</v></cell><cell r="AG1539" t="str"><v>LINKEDIN»USA-Trial-ITD-Bing Retargeting LAL-AZR-AZR»1 x 1»SocialBan»LIA»ALL»CPA»RT»D»All»SS»NA»FreeAcctRetargetingVMLI-OnDemand-ChE»PS7BSX</v></cell><cell r="AH1539" t="str"><v>PS7BSX</v></cell><cell r="AI1539" t="str"><v>AZR_FreeAcctRetargetingVMLI-OnDemand-ChE_USA_1200x627_LIA_Plat_English_Free Account_Standard_NA_SINU_T2_1</v></cell><cell r="AJ1539"><v>104592529</v></cell></row><row r="1540"><cell r="D1540" t="str"><v>43358PRC2FL</v></cell><cell r="E1540" t="str"><v>43358103050786PRC2FL</v></cell><cell r="F1540" t="str"><v>Appended from Pub - Not in DCM</v></cell></row><row r="1540"><cell r="I1540" t="str"><v>Azure Direct</v></cell><cell r="J1540" t="str"><v>Azure Direct</v></cell><cell r="K1540" t="str"><v>September</v></cell><cell r="L1540"><v>43358</v></cell><cell r="M1540" t="str"><v>Tier 0</v></cell><cell r="N1540" t="str"><v>North America</v></cell><cell r="O1540" t="str"><v>United States</v></cell><cell r="P1540" t="str"><v>Trial</v></cell><cell r="Q1540" t="str"><v>Social</v></cell><cell r="R1540" t="str"><v>Azure</v></cell><cell r="S1540" t="str"><v>Apps & Infra</v></cell><cell r="T1540" t="str"><v>Developers & ITI's</v></cell><cell r="U1540" t="str"><v>USA-Trial-ITD-Trial Lookalike-AZR-AZR</v></cell><cell r="V1540" t="str"><v>Lookalike Targeting</v></cell><cell r="W1540" t="str"><v>Canvas Ad</v></cell><cell r="X1540" t="str"><v>10s</v></cell><cell r="Y1540" t="str"><v>Try it Now</v></cell><cell r="Z1540" t="str"><v>Standard videos</v></cell><cell r="AA1540"><v>43358</v></cell><cell r="AB1540" t="str"><v>USA_gaPMG_AZR_AZR_Q1_19_Direct-Social</v></cell><cell r="AC1540"><v>21358715</v></cell><cell r="AD1540"><v>720197</v></cell><cell r="AE1540" t="str"><v>Linkedin</v></cell><cell r="AF1540"><v>3654329</v></cell><cell r="AG1540" t="str"><v>INSTAGRAM»USA-Trial-ITD-Trial Lookalike-AZR-AZR»1 x 1»SocialBan»CAN»ALL»CPA»LAL»X»NA»SS»NA»IGCTCBenefit2inMotion»PRC2FL</v></cell><cell r="AH1540" t="str"><v>PRC2FL</v></cell><cell r="AI1540" t="str"><v>AzurePlatform_IGCTCBrandinMotion_USA_10s_CAN_PLATFORM_English_Trial_Standard_STAN_TIN_T2_2</v></cell><cell r="AJ1540"><v>103050786</v></cell></row><row r="1541"><cell r="D1541" t="str"><v>43358PRC1VT</v></cell><cell r="E1541" t="str"><v>43358103043823PRC1VT</v></cell><cell r="F1541" t="str"><v>Appended from Pub - Not in DCM</v></cell></row><row r="1541"><cell r="I1541" t="str"><v>Azure Direct</v></cell><cell r="J1541" t="str"><v>Azure Direct</v></cell><cell r="K1541" t="str"><v>September</v></cell><cell r="L1541"><v>43358</v></cell><cell r="M1541" t="str"><v>Tier 0</v></cell><cell r="N1541" t="str"><v>North America</v></cell><cell r="O1541" t="str"><v>United States</v></cell><cell r="P1541" t="str"><v>Trial</v></cell><cell r="Q1541" t="str"><v>Social</v></cell><cell r="R1541" t="str"><v>Azure</v></cell><cell r="S1541" t="str"><v>Apps & Infra</v></cell><cell r="T1541" t="str"><v>Developers & ITI's</v></cell><cell r="U1541" t="str"><v>USA-Trial-ITD-Lead Completes-AZR-AZR</v></cell><cell r="V1541" t="str"><v>Prospecting</v></cell><cell r="W1541" t="str"><v>Canvas Ad</v></cell><cell r="X1541" t="str"><v>10s</v></cell><cell r="Y1541" t="str"><v>Try it Now</v></cell><cell r="Z1541" t="str"><v>Standard videos</v></cell><cell r="AA1541"><v>43358</v></cell><cell r="AB1541" t="str"><v>USA_gaPMG_AZR_AZR_Q1_19_Direct-Social</v></cell><cell r="AC1541"><v>21358715</v></cell><cell r="AD1541"><v>720197</v></cell><cell r="AE1541" t="str"><v>Linkedin</v></cell><cell r="AF1541"><v>3654329</v></cell><cell r="AG1541" t="str"><v>FACEBOOK»USA-Trial-ITD-Lead Completes-AZR-AZR»1 x 1»SocialBan»CAN»ALL»CPA»PRO»X»NA»SS»NA»FBCTCBasicMotion»PRC1VT</v></cell><cell r="AH1541" t="str"><v>PRC1VT</v></cell><cell r="AI1541" t="str"><v>AzurePlatform_FBCTCBasicMotion_USA_10s_CAN_PLATFORM_English_Trial_Standard_STAN_TIN_T1_1</v></cell><cell r="AJ1541"><v>103043823</v></cell></row><row r="1542"><cell r="D1542" t="str"><v>43358PRC2FX</v></cell><cell r="E1542" t="str"><v>43358103050780PRC2FX</v></cell><cell r="F1542" t="str"><v>Appended from Pub - Not in DCM</v></cell></row><row r="1542"><cell r="I1542" t="str"><v>Azure Direct</v></cell><cell r="J1542" t="str"><v>Azure Direct</v></cell><cell r="K1542" t="str"><v>September</v></cell><cell r="L1542"><v>43358</v></cell><cell r="M1542" t="str"><v>Tier 0</v></cell><cell r="N1542" t="str"><v>North America</v></cell><cell r="O1542" t="str"><v>United States</v></cell><cell r="P1542" t="str"><v>Trial</v></cell><cell r="Q1542" t="str"><v>Social</v></cell><cell r="R1542" t="str"><v>Azure</v></cell><cell r="S1542" t="str"><v>Apps & Infra</v></cell><cell r="T1542" t="str"><v>Developers & ITI's</v></cell><cell r="U1542" t="str"><v>USA-Trial-ITD-Trial PayGo Lookalike-AZR-AZR</v></cell><cell r="V1542" t="str"><v>Lookalike Targeting</v></cell><cell r="W1542" t="str"><v>Canvas Ad</v></cell><cell r="X1542" t="str"><v>10s</v></cell><cell r="Y1542" t="str"><v>Try it Now</v></cell><cell r="Z1542" t="str"><v>Standard videos</v></cell><cell r="AA1542"><v>43358</v></cell><cell r="AB1542" t="str"><v>USA_gaPMG_AZR_AZR_Q1_19_Direct-Social</v></cell><cell r="AC1542"><v>21358715</v></cell><cell r="AD1542"><v>720197</v></cell><cell r="AE1542" t="str"><v>Linkedin</v></cell><cell r="AF1542"><v>3654329</v></cell><cell r="AG1542" t="str"><v>INSTAGRAM»USA-Trial-ITD-Trial PayGo Lookalike-AZR-AZR»1 x 1»SocialBan»CAN»ALL»CPA»LAL»X»NA»SS»NA»IGCTCBenefitinMotion»PRC2FX</v></cell><cell r="AH1542" t="str"><v>PRC2FX</v></cell><cell r="AI1542" t="str"><v>AzurePlatform_IGCTCBenefitinMotion_USA_10s_CAN_PLATFORM_English_Trial_Standard_STAN_TIN_T3_1</v></cell><cell r="AJ1542"><v>103050780</v></cell></row><row r="1543"><cell r="D1543" t="str"><v>43358PRSH0N</v></cell><cell r="E1543" t="str"><v>43358103873631PRSH0N</v></cell><cell r="F1543" t="str"><v>Appended from Pub - Not in DCM</v></cell></row><row r="1543"><cell r="I1543" t="str"><v>Azure Direct</v></cell><cell r="J1543" t="str"><v>Azure Direct</v></cell><cell r="K1543" t="str"><v>September</v></cell><cell r="L1543"><v>43358</v></cell><cell r="M1543" t="str"><v>Tier 0</v></cell><cell r="N1543" t="str"><v>North America</v></cell><cell r="O1543" t="str"><v>United States</v></cell><cell r="P1543" t="str"><v>Trial</v></cell><cell r="Q1543" t="str"><v>Social</v></cell><cell r="R1543" t="str"><v>Azure</v></cell><cell r="S1543" t="str"><v>Apps & Infra</v></cell><cell r="T1543" t="str"><v>Developers & ITI's</v></cell><cell r="U1543" t="str"><v>USA-Trial-ITD-Trial Lookalike-AZR-AZR</v></cell><cell r="V1543" t="str"><v>Lookalike Targeting</v></cell><cell r="W1543" t="str"><v>Canvas Collection Ad</v></cell><cell r="X1543" t="str"><v>1200x182</v></cell><cell r="Y1543" t="str"><v>Try it Now</v></cell><cell r="Z1543" t="str"><v>Not Applicable</v></cell><cell r="AA1543"><v>43358</v></cell><cell r="AB1543" t="str"><v>USA_gaPMG_AZR_AZR_Q1_19_Direct-Social</v></cell><cell r="AC1543"><v>21358715</v></cell><cell r="AD1543"><v>720197</v></cell><cell r="AE1543" t="str"><v>Linkedin</v></cell><cell r="AF1543"><v>3654329</v></cell><cell r="AG1543" t="str"><v>FACEBOOK»USA-Trial-ITD-Trial Lookalike-AZR-AZR»1 x 1»SocialBan»CCA»ALL»CPA»LAL»X»NA»SS»NA»Azure Developer Facebook Collections»PRSH0N</v></cell><cell r="AH1543" t="str"><v>PRSH0N</v></cell><cell r="AI1543" t="str"><v>AZR_FBCollections-OSSTryAzureFreeCTA-Img3_USA_1200x182_SOC_Plat_EN_NA_Standard_NA_TIN_T1_3</v></cell><cell r="AJ1543"><v>103873631</v></cell></row><row r="1544"><cell r="D1544" t="str"><v>43358PRSGY7</v></cell><cell r="E1544" t="str"><v>43358103773177PRSGY7</v></cell><cell r="F1544" t="str"><v>Appended from Pub - Not in DCM</v></cell></row><row r="1544"><cell r="I1544" t="str"><v>Azure Direct</v></cell><cell r="J1544" t="str"><v>Azure Direct</v></cell><cell r="K1544" t="str"><v>September</v></cell><cell r="L1544"><v>43358</v></cell><cell r="M1544" t="str"><v>Tier 0</v></cell><cell r="N1544" t="str"><v>North America</v></cell><cell r="O1544" t="str"><v>United States</v></cell><cell r="P1544" t="str"><v>Trial</v></cell><cell r="Q1544" t="str"><v>Social</v></cell><cell r="R1544" t="str"><v>Azure</v></cell><cell r="S1544" t="str"><v>Apps & Infra</v></cell><cell r="T1544" t="str"><v>Developers & ITI's</v></cell><cell r="U1544" t="str"><v>USA-Trial-ITD-Retargeting-AZR-AZR</v></cell><cell r="V1544" t="str"><v>Retargeting</v></cell><cell r="W1544" t="str"><v>Canvas Collection Ad</v></cell><cell r="X1544" t="str"><v>1200x182</v></cell><cell r="Y1544" t="str"><v>Try it Now</v></cell><cell r="Z1544" t="str"><v>Not Applicable</v></cell><cell r="AA1544"><v>43358</v></cell><cell r="AB1544" t="str"><v>USA_gaPMG_AZR_AZR_Q1_19_Direct-Social</v></cell><cell r="AC1544"><v>21358715</v></cell><cell r="AD1544"><v>720197</v></cell><cell r="AE1544" t="str"><v>Linkedin</v></cell><cell r="AF1544"><v>3654329</v></cell><cell r="AG1544" t="str"><v>FACEBOOK»USA-Trial-ITD-Retargeting-AZR-AZR»1 x 1»SocialBan»CCA»ALL»CPA»RT»X»NA»SS»NA»Azure Developer Facebook Collections»PRSGY7</v></cell><cell r="AH1544" t="str"><v>PRSGY7</v></cell><cell r="AI1544" t="str"><v>AZR_FBCollections-AITryAzureFreeCTA-Img2_USA_1200x182_SOC_Plat_EN_NA_Standard_NA_TIN_T1_2</v></cell><cell r="AJ1544"><v>103773177</v></cell></row><row r="1545"><cell r="D1545" t="str"><v>43358PRC2G6</v></cell><cell r="E1545" t="str"><v>43358103180628PRC2G6</v></cell><cell r="F1545" t="str"><v>Appended from Pub - Not in DCM</v></cell></row><row r="1545"><cell r="I1545" t="str"><v>Azure Direct</v></cell><cell r="J1545" t="str"><v>Azure Direct</v></cell><cell r="K1545" t="str"><v>September</v></cell><cell r="L1545"><v>43358</v></cell><cell r="M1545" t="str"><v>Tier 0</v></cell><cell r="N1545" t="str"><v>North America</v></cell><cell r="O1545" t="str"><v>United States</v></cell><cell r="P1545" t="str"><v>Trial</v></cell><cell r="Q1545" t="str"><v>Social</v></cell><cell r="R1545" t="str"><v>Azure</v></cell><cell r="S1545" t="str"><v>Apps & Infra</v></cell><cell r="T1545" t="str"><v>Developers & ITI's</v></cell><cell r="U1545" t="str"><v>USA-Trial-ITD-Retargeting-AZR-AZR</v></cell><cell r="V1545" t="str"><v>Retargeting</v></cell><cell r="W1545" t="str"><v>Canvas Ad</v></cell><cell r="X1545" t="str"><v>10s</v></cell><cell r="Y1545" t="str"><v>Try it Now</v></cell><cell r="Z1545" t="str"><v>Standard videos</v></cell><cell r="AA1545"><v>43358</v></cell><cell r="AB1545" t="str"><v>USA_gaPMG_AZR_AZR_Q1_19_Direct-Social</v></cell><cell r="AC1545"><v>21358715</v></cell><cell r="AD1545"><v>720197</v></cell><cell r="AE1545" t="str"><v>Linkedin</v></cell><cell r="AF1545"><v>3654329</v></cell><cell r="AG1545" t="str"><v>INSTAGRAM»USA-Trial-ITD-Retargeting-AZR-AZR»1 x 1»SocialBan»CAN»ALL»CPA»RT»X»NA»SS»NA»IGCTCBenefit2inMotion»PRC2G6</v></cell><cell r="AH1545" t="str"><v>PRC2G6</v></cell><cell r="AI1545" t="str"><v>AzurePlatform_IGCTCBrandinMotion_USA_10s_CAN_PLATFORM_English_Trial_Standard_STAN_TIN_T2_1</v></cell><cell r="AJ1545"><v>103180628</v></cell></row><row r="1546"><cell r="D1546" t="str"><v>43358PRC1RR</v></cell><cell r="E1546" t="str"><v>43358103043835PRC1RR</v></cell><cell r="F1546" t="str"><v>Appended from Pub - Not in DCM</v></cell></row><row r="1546"><cell r="I1546" t="str"><v>Azure Direct</v></cell><cell r="J1546" t="str"><v>Azure Direct</v></cell><cell r="K1546" t="str"><v>September</v></cell><cell r="L1546"><v>43358</v></cell><cell r="M1546" t="str"><v>Tier 0</v></cell><cell r="N1546" t="str"><v>North America</v></cell><cell r="O1546" t="str"><v>United States</v></cell><cell r="P1546" t="str"><v>Trial</v></cell><cell r="Q1546" t="str"><v>Social</v></cell><cell r="R1546" t="str"><v>Azure</v></cell><cell r="S1546" t="str"><v>Apps & Infra</v></cell><cell r="T1546" t="str"><v>Developers & ITI's</v></cell><cell r="U1546" t="str"><v>USA-Trial-ITD-Retargeting-AZR-AZR</v></cell><cell r="V1546" t="str"><v>Retargeting</v></cell><cell r="W1546" t="str"><v>Canvas Ad</v></cell><cell r="X1546" t="str"><v>10s</v></cell><cell r="Y1546" t="str"><v>Try it Now</v></cell><cell r="Z1546" t="str"><v>Standard videos</v></cell><cell r="AA1546"><v>43358</v></cell><cell r="AB1546" t="str"><v>USA_gaPMG_AZR_AZR_Q1_19_Direct-Social</v></cell><cell r="AC1546"><v>21358715</v></cell><cell r="AD1546"><v>720197</v></cell><cell r="AE1546" t="str"><v>Linkedin</v></cell><cell r="AF1546"><v>3654329</v></cell><cell r="AG1546" t="str"><v>FACEBOOK»USA-Trial-ITD-Retargeting-AZR-AZR»1 x 1»SocialBan»CAN»ALL»CPA»RT»X»NA»SS»NA»FBCTCBenefit2inMotion»PRC1RR</v></cell><cell r="AH1546" t="str"><v>PRC1RR</v></cell><cell r="AI1546" t="str"><v>AzurePlatform_FBCTCBenefit2inMotion_USA_10s_CAN_PLATFORM_English_Trial_Standard_STAN_TIN_T4_1</v></cell><cell r="AJ1546"><v>103043835</v></cell></row><row r="1547"><cell r="D1547" t="str"><v>43358PRSGV0</v></cell><cell r="E1547" t="str"><v>43358103874423PRSGV0</v></cell><cell r="F1547" t="str"><v>Appended from Pub - Not in DCM</v></cell></row><row r="1547"><cell r="I1547" t="str"><v>Azure Direct</v></cell><cell r="J1547" t="str"><v>Azure Direct</v></cell><cell r="K1547" t="str"><v>September</v></cell><cell r="L1547"><v>43358</v></cell><cell r="M1547" t="str"><v>Tier 0</v></cell><cell r="N1547" t="str"><v>North America</v></cell><cell r="O1547" t="str"><v>United States</v></cell><cell r="P1547" t="str"><v>Trial</v></cell><cell r="Q1547" t="str"><v>Social</v></cell><cell r="R1547" t="str"><v>Azure</v></cell><cell r="S1547" t="str"><v>Apps & Infra</v></cell><cell r="T1547" t="str"><v>Developers & ITI's</v></cell><cell r="U1547" t="str"><v>USA-Trial-ITD-Interest Prospecting-AZR-AZR</v></cell><cell r="V1547" t="str"><v>Prospecting</v></cell><cell r="W1547" t="str"><v>Canvas Collection Ad</v></cell><cell r="X1547" t="str"><v>1200x182</v></cell><cell r="Y1547" t="str"><v>Try it Now</v></cell><cell r="Z1547" t="str"><v>Not Applicable</v></cell><cell r="AA1547"><v>43358</v></cell><cell r="AB1547" t="str"><v>USA_gaPMG_AZR_AZR_Q1_19_Direct-Social</v></cell><cell r="AC1547"><v>21358715</v></cell><cell r="AD1547"><v>720197</v></cell><cell r="AE1547" t="str"><v>Linkedin</v></cell><cell r="AF1547"><v>3654329</v></cell><cell r="AG1547" t="str"><v>FACEBOOK»USA-Trial-ITD-Interest Prospecting-AZR-AZR»1 x 1»SocialBan»CCA»ALL»CPA»PRO»X»NA»SS»NA»Azure Developer Facebook Collections»PRSGV0</v></cell><cell r="AH1547" t="str"><v>PRSGV0</v></cell><cell r="AI1547" t="str"><v>AZR_FBCollections-TryAzureFreeCTA-Img1_USA_1200x182_SOC_Plat_EN_NA_Standard_NA_TIN_T1_1</v></cell><cell r="AJ1547"><v>103874423</v></cell></row><row r="1548"><cell r="D1548" t="str"><v>43358PRC2G0</v></cell><cell r="E1548" t="str"><v>43358103037968PRC2G0</v></cell><cell r="F1548" t="str"><v>Appended from Pub - Not in DCM</v></cell></row><row r="1548"><cell r="I1548" t="str"><v>Azure Direct</v></cell><cell r="J1548" t="str"><v>Azure Direct</v></cell><cell r="K1548" t="str"><v>September</v></cell><cell r="L1548"><v>43358</v></cell><cell r="M1548" t="str"><v>Tier 0</v></cell><cell r="N1548" t="str"><v>North America</v></cell><cell r="O1548" t="str"><v>United States</v></cell><cell r="P1548" t="str"><v>Trial</v></cell><cell r="Q1548" t="str"><v>Social</v></cell><cell r="R1548" t="str"><v>Azure</v></cell><cell r="S1548" t="str"><v>Apps & Infra</v></cell><cell r="T1548" t="str"><v>Developers & ITI's</v></cell><cell r="U1548" t="str"><v>USA-Trial-ITD-Trial PayGo Lookalike-AZR-AZR</v></cell><cell r="V1548" t="str"><v>Lookalike Targeting</v></cell><cell r="W1548" t="str"><v>Canvas Ad</v></cell><cell r="X1548" t="str"><v>10s</v></cell><cell r="Y1548" t="str"><v>Try it Now</v></cell><cell r="Z1548" t="str"><v>Standard videos</v></cell><cell r="AA1548"><v>43358</v></cell><cell r="AB1548" t="str"><v>USA_gaPMG_AZR_AZR_Q1_19_Direct-Social</v></cell><cell r="AC1548"><v>21358715</v></cell><cell r="AD1548"><v>720197</v></cell><cell r="AE1548" t="str"><v>Linkedin</v></cell><cell r="AF1548"><v>3654329</v></cell><cell r="AG1548" t="str"><v>INSTAGRAM»USA-Trial-ITD-Trial PayGo Lookalike-AZR-AZR»1 x 1»SocialBan»CAN»ALL»CPA»LAL»X»NA»SS»NA»IGCTCBasicMotion»PRC2G0</v></cell><cell r="AH1548" t="str"><v>PRC2G0</v></cell><cell r="AI1548" t="str"><v>AzurePlatform_IGCTCBasicMotion_USA_10s_CAN_PLATFORM_English_Trial_Standard_STAN_TIN_T1_1</v></cell><cell r="AJ1548"><v>103037968</v></cell></row><row r="1549"><cell r="D1549" t="str"><v>43358PRC1VV</v></cell><cell r="E1549" t="str"><v>43358103043835PRC1VV</v></cell><cell r="F1549" t="str"><v>Appended from Pub - Not in DCM</v></cell></row><row r="1549"><cell r="I1549" t="str"><v>Azure Direct</v></cell><cell r="J1549" t="str"><v>Azure Direct</v></cell><cell r="K1549" t="str"><v>September</v></cell><cell r="L1549"><v>43358</v></cell><cell r="M1549" t="str"><v>Tier 0</v></cell><cell r="N1549" t="str"><v>North America</v></cell><cell r="O1549" t="str"><v>United States</v></cell><cell r="P1549" t="str"><v>Trial</v></cell><cell r="Q1549" t="str"><v>Social</v></cell><cell r="R1549" t="str"><v>Azure</v></cell><cell r="S1549" t="str"><v>Apps & Infra</v></cell><cell r="T1549" t="str"><v>Developers & ITI's</v></cell><cell r="U1549" t="str"><v>USA-Trial-ITD-Lead Completes-AZR-AZR</v></cell><cell r="V1549" t="str"><v>Prospecting</v></cell><cell r="W1549" t="str"><v>Canvas Ad</v></cell><cell r="X1549" t="str"><v>10s</v></cell><cell r="Y1549" t="str"><v>Try it Now</v></cell><cell r="Z1549" t="str"><v>Standard videos</v></cell><cell r="AA1549"><v>43358</v></cell><cell r="AB1549" t="str"><v>USA_gaPMG_AZR_AZR_Q1_19_Direct-Social</v></cell><cell r="AC1549"><v>21358715</v></cell><cell r="AD1549"><v>720197</v></cell><cell r="AE1549" t="str"><v>Linkedin</v></cell><cell r="AF1549"><v>3654329</v></cell><cell r="AG1549" t="str"><v>FACEBOOK»USA-Trial-ITD-Lead Completes-AZR-AZR»1 x 1»SocialBan»CAN»ALL»CPA»PRO»X»NA»SS»NA»FBCTCBenefit2inMotion»PRC1VV</v></cell><cell r="AH1549" t="str"><v>PRC1VV</v></cell><cell r="AI1549" t="str"><v>AzurePlatform_FBCTCBenefit2inMotion_USA_10s_CAN_PLATFORM_English_Trial_Standard_STAN_TIN_T4_1</v></cell><cell r="AJ1549"><v>103043835</v></cell></row><row r="1550"><cell r="D1550" t="str"><v>43358PRC2M3</v></cell><cell r="E1550" t="str"><v>43358103050780PRC2M3</v></cell><cell r="F1550" t="str"><v>Appended from Pub - Not in DCM</v></cell></row><row r="1550"><cell r="I1550" t="str"><v>Azure Direct</v></cell><cell r="J1550" t="str"><v>Azure Direct</v></cell><cell r="K1550" t="str"><v>September</v></cell><cell r="L1550"><v>43358</v></cell><cell r="M1550" t="str"><v>Tier 0</v></cell><cell r="N1550" t="str"><v>North America</v></cell><cell r="O1550" t="str"><v>United States</v></cell><cell r="P1550" t="str"><v>Trial</v></cell><cell r="Q1550" t="str"><v>Social</v></cell><cell r="R1550" t="str"><v>Azure</v></cell><cell r="S1550" t="str"><v>Apps & Infra</v></cell><cell r="T1550" t="str"><v>Developers & ITI's</v></cell><cell r="U1550" t="str"><v>USA-Trial-ITD-Lead Completes-AZR-AZR</v></cell><cell r="V1550" t="str"><v>Prospecting</v></cell><cell r="W1550" t="str"><v>Canvas Ad</v></cell><cell r="X1550" t="str"><v>10s</v></cell><cell r="Y1550" t="str"><v>Try it Now</v></cell><cell r="Z1550" t="str"><v>Standard videos</v></cell><cell r="AA1550"><v>43358</v></cell><cell r="AB1550" t="str"><v>USA_gaPMG_AZR_AZR_Q1_19_Direct-Social</v></cell><cell r="AC1550"><v>21358715</v></cell><cell r="AD1550"><v>720197</v></cell><cell r="AE1550" t="str"><v>Linkedin</v></cell><cell r="AF1550"><v>3654329</v></cell><cell r="AG1550" t="str"><v>INSTAGRAM»USA-Trial-ITD-Lead Completes-AZR-AZR»1 x 1»SocialBan»CAN»ALL»CPA»PRO»X»NA»SS»NA»IGCTCBenefitinMotion»PRC2M3</v></cell><cell r="AH1550" t="str"><v>PRC2M3</v></cell><cell r="AI1550" t="str"><v>AzurePlatform_IGCTCBenefitinMotion_USA_10s_CAN_PLATFORM_English_Trial_Standard_STAN_TIN_T3_1</v></cell><cell r="AJ1550"><v>103050780</v></cell></row><row r="1551"><cell r="D1551" t="str"><v>43358PRC2M5</v></cell><cell r="E1551" t="str"><v>43358103037968PRC2M5</v></cell><cell r="F1551" t="str"><v>Appended from Pub - Not in DCM</v></cell></row><row r="1551"><cell r="I1551" t="str"><v>Azure Direct</v></cell><cell r="J1551" t="str"><v>Azure Direct</v></cell><cell r="K1551" t="str"><v>September</v></cell><cell r="L1551"><v>43358</v></cell><cell r="M1551" t="str"><v>Tier 0</v></cell><cell r="N1551" t="str"><v>North America</v></cell><cell r="O1551" t="str"><v>United States</v></cell><cell r="P1551" t="str"><v>Trial</v></cell><cell r="Q1551" t="str"><v>Social</v></cell><cell r="R1551" t="str"><v>Azure</v></cell><cell r="S1551" t="str"><v>Apps & Infra</v></cell><cell r="T1551" t="str"><v>Developers & ITI's</v></cell><cell r="U1551" t="str"><v>USA-Trial-ITD-Lead Completes-AZR-AZR</v></cell><cell r="V1551" t="str"><v>Prospecting</v></cell><cell r="W1551" t="str"><v>Canvas Ad</v></cell><cell r="X1551" t="str"><v>10s</v></cell><cell r="Y1551" t="str"><v>Try it Now</v></cell><cell r="Z1551" t="str"><v>Standard videos</v></cell><cell r="AA1551"><v>43358</v></cell><cell r="AB1551" t="str"><v>USA_gaPMG_AZR_AZR_Q1_19_Direct-Social</v></cell><cell r="AC1551"><v>21358715</v></cell><cell r="AD1551"><v>720197</v></cell><cell r="AE1551" t="str"><v>Linkedin</v></cell><cell r="AF1551"><v>3654329</v></cell><cell r="AG1551" t="str"><v>INSTAGRAM»USA-Trial-ITD-Lead Completes-AZR-AZR»1 x 1»SocialBan»CAN»ALL»CPA»PRO»X»NA»SS»NA»IGCTCBasicMotion»PRC2M5</v></cell><cell r="AH1551" t="str"><v>PRC2M5</v></cell><cell r="AI1551" t="str"><v>AzurePlatform_IGCTCBasicMotion_USA_10s_CAN_PLATFORM_English_Trial_Standard_STAN_TIN_T1_1</v></cell><cell r="AJ1551"><v>103037968</v></cell></row><row r="1552"><cell r="D1552" t="str"><v>43358PRC1RQ</v></cell><cell r="E1552" t="str"><v>43358103043823PRC1RQ</v></cell><cell r="F1552" t="str"><v>Appended from Pub - Not in DCM</v></cell></row><row r="1552"><cell r="I1552" t="str"><v>Azure Direct</v></cell><cell r="J1552" t="str"><v>Azure Direct</v></cell><cell r="K1552" t="str"><v>September</v></cell><cell r="L1552"><v>43358</v></cell><cell r="M1552" t="str"><v>Tier 0</v></cell><cell r="N1552" t="str"><v>North America</v></cell><cell r="O1552" t="str"><v>United States</v></cell><cell r="P1552" t="str"><v>Trial</v></cell><cell r="Q1552" t="str"><v>Social</v></cell><cell r="R1552" t="str"><v>Azure</v></cell><cell r="S1552" t="str"><v>Apps & Infra</v></cell><cell r="T1552" t="str"><v>Developers & ITI's</v></cell><cell r="U1552" t="str"><v>USA-Trial-ITD-Retargeting-AZR-AZR</v></cell><cell r="V1552" t="str"><v>Retargeting</v></cell><cell r="W1552" t="str"><v>Canvas Ad</v></cell><cell r="X1552" t="str"><v>10s</v></cell><cell r="Y1552" t="str"><v>Try it Now</v></cell><cell r="Z1552" t="str"><v>Standard videos</v></cell><cell r="AA1552"><v>43358</v></cell><cell r="AB1552" t="str"><v>USA_gaPMG_AZR_AZR_Q1_19_Direct-Social</v></cell><cell r="AC1552"><v>21358715</v></cell><cell r="AD1552"><v>720197</v></cell><cell r="AE1552" t="str"><v>Linkedin</v></cell><cell r="AF1552"><v>3654329</v></cell><cell r="AG1552" t="str"><v>FACEBOOK»USA-Trial-ITD-Retargeting-AZR-AZR»1 x 1»SocialBan»CAN»ALL»CPA»RT»X»NA»SS»NA»FBCTCBasicMotion»PRC1RQ</v></cell><cell r="AH1552" t="str"><v>PRC1RQ</v></cell><cell r="AI1552" t="str"><v>AzurePlatform_FBCTCBasicMotion_USA_10s_CAN_PLATFORM_English_Trial_Standard_STAN_TIN_T1_1</v></cell><cell r="AJ1552"><v>103043823</v></cell></row><row r="1553"><cell r="D1553" t="str"><v>43358PS78JD</v></cell><cell r="E1553" t="str"><v>43358104593738PS78JD</v></cell><cell r="F1553" t="str"><v>Appended from Pub - Not in DCM</v></cell></row><row r="1553"><cell r="I1553" t="str"><v>Azure Direct</v></cell><cell r="J1553" t="str"><v>Azure Direct</v></cell><cell r="K1553" t="str"><v>September</v></cell><cell r="L1553"><v>43358</v></cell><cell r="M1553" t="str"><v>Tier 0</v></cell><cell r="N1553" t="str"><v>North America</v></cell><cell r="O1553" t="str"><v>United States</v></cell><cell r="P1553" t="str"><v>Trial</v></cell><cell r="Q1553" t="str"><v>Social</v></cell><cell r="R1553" t="str"><v>Azure</v></cell><cell r="S1553" t="str"><v>Apps & Infra</v></cell><cell r="T1553" t="str"><v>Developers & ITI's</v></cell><cell r="U1553" t="str"><v>USA-Trial-ITD-Interest Prospecting-AZR-AZR</v></cell><cell r="V1553" t="str"><v>Prospecting</v></cell><cell r="W1553" t="str"><v>Canvas Ad</v></cell><cell r="X1553" t="str"><v>1200x1200</v></cell><cell r="Y1553" t="str"><v>Learn More</v></cell><cell r="Z1553" t="str"><v>Animated Banner</v></cell><cell r="AA1553"><v>43358</v></cell><cell r="AB1553" t="str"><v>USA_gaPMG_AZR_AZR_Q1_19_Direct-Social</v></cell><cell r="AC1553"><v>21358715</v></cell><cell r="AD1553"><v>720197</v></cell><cell r="AE1553" t="str"><v>Linkedin</v></cell><cell r="AF1553"><v>3654329</v></cell><cell r="AG1553" t="str"><v>FACEBOOK»USA-Trial-ITD-Interest Prospecting-AZR-AZR»1 x 1»SocialBan»CAN»ALL»CPA»PRO»X»NA»SS»NA»FreeAcctITProFB-AnimatedSecureMngd-Ch1»PS78JD</v></cell><cell r="AH1553" t="str"><v>PS78JD</v></cell><cell r="AI1553" t="str"><v>AZR_FreeAcctITProFB-AnimatedSecureMngd-Ch1_USA_1200x1200_CAN_Direct_EN_Trial_Standard_ANI_LEA_T1_1</v></cell><cell r="AJ1553"><v>104593738</v></cell></row><row r="1554"><cell r="D1554" t="str"><v>43358PS78J6</v></cell><cell r="E1554" t="str"><v>43358104595766PS78J6</v></cell><cell r="F1554" t="str"><v>Appended from Pub - Not in DCM</v></cell></row><row r="1554"><cell r="I1554" t="str"><v>Azure Direct</v></cell><cell r="J1554" t="str"><v>Azure Direct</v></cell><cell r="K1554" t="str"><v>September</v></cell><cell r="L1554"><v>43358</v></cell><cell r="M1554" t="str"><v>Tier 0</v></cell><cell r="N1554" t="str"><v>North America</v></cell><cell r="O1554" t="str"><v>United States</v></cell><cell r="P1554" t="str"><v>Trial</v></cell><cell r="Q1554" t="str"><v>Social</v></cell><cell r="R1554" t="str"><v>Azure</v></cell><cell r="S1554" t="str"><v>Apps & Infra</v></cell><cell r="T1554" t="str"><v>Developers & ITI's</v></cell><cell r="U1554" t="str"><v>USA-Trial-ITD-Interest Prospecting-AZR-AZR</v></cell><cell r="V1554" t="str"><v>Prospecting</v></cell><cell r="W1554" t="str"><v>Canvas Ad</v></cell><cell r="X1554" t="str"><v>1200x1200</v></cell><cell r="Y1554" t="str"><v>Learn More</v></cell><cell r="Z1554" t="str"><v>Animated Banner</v></cell><cell r="AA1554"><v>43358</v></cell><cell r="AB1554" t="str"><v>USA_gaPMG_AZR_AZR_Q1_19_Direct-Social</v></cell><cell r="AC1554"><v>21358715</v></cell><cell r="AD1554"><v>720197</v></cell><cell r="AE1554" t="str"><v>Linkedin</v></cell><cell r="AF1554"><v>3654329</v></cell><cell r="AG1554" t="str"><v>FACEBOOK»USA-Trial-ITD-Interest Prospecting-AZR-AZR»1 x 1»SocialBan»CAN»ALL»CPA»PRO»X»NA»SS»NA»FreeAcctDeveloperFB-AnimatedGeneric-Ch1»PS78J6</v></cell><cell r="AH1554" t="str"><v>PS78J6</v></cell><cell r="AI1554" t="str"><v>AZR_FreeAcctDeveloperFB-AnimatedGeneric-Ch1_USA_1200x1200_CAN_Direct_EN_Trial_Standard_ANI_LEA_T1_1</v></cell><cell r="AJ1554"><v>104595766</v></cell></row><row r="1555"><cell r="D1555" t="str"><v>43358PS78J7</v></cell><cell r="E1555" t="str"><v>43358104593438PS78J7</v></cell><cell r="F1555" t="str"><v>Appended from Pub - Not in DCM</v></cell></row><row r="1555"><cell r="I1555" t="str"><v>Azure Direct</v></cell><cell r="J1555" t="str"><v>Azure Direct</v></cell><cell r="K1555" t="str"><v>September</v></cell><cell r="L1555"><v>43358</v></cell><cell r="M1555" t="str"><v>Tier 0</v></cell><cell r="N1555" t="str"><v>North America</v></cell><cell r="O1555" t="str"><v>United States</v></cell><cell r="P1555" t="str"><v>Trial</v></cell><cell r="Q1555" t="str"><v>Social</v></cell><cell r="R1555" t="str"><v>Azure</v></cell><cell r="S1555" t="str"><v>Apps & Infra</v></cell><cell r="T1555" t="str"><v>Developers & ITI's</v></cell><cell r="U1555" t="str"><v>USA-Trial-ITD-Interest Prospecting-AZR-AZR</v></cell><cell r="V1555" t="str"><v>Prospecting</v></cell><cell r="W1555" t="str"><v>Canvas Ad</v></cell><cell r="X1555" t="str"><v>1200x1200</v></cell><cell r="Y1555" t="str"><v>Learn More</v></cell><cell r="Z1555" t="str"><v>Animated Banner</v></cell><cell r="AA1555"><v>43358</v></cell><cell r="AB1555" t="str"><v>USA_gaPMG_AZR_AZR_Q1_19_Direct-Social</v></cell><cell r="AC1555"><v>21358715</v></cell><cell r="AD1555"><v>720197</v></cell><cell r="AE1555" t="str"><v>Linkedin</v></cell><cell r="AF1555"><v>3654329</v></cell><cell r="AG1555" t="str"><v>FACEBOOK»USA-Trial-ITD-Interest Prospecting-AZR-AZR»1 x 1»SocialBan»CAN»ALL»CPA»PRO»X»NA»SS»NA»FreeAcctDeveloperFB-AnimatedOpenSource-Ch2»PS78J7</v></cell><cell r="AH1555" t="str"><v>PS78J7</v></cell><cell r="AI1555" t="str"><v>AZR_FreeAcctDeveloperFB-AnimatedOpenSource-Ch2_USA_1200x1200_CAN_Direct_EN_Trial_Standard_ANI_LEA_T2_2</v></cell><cell r="AJ1555"><v>104593438</v></cell></row><row r="1556"><cell r="D1556" t="str"><v>43358PS78JH</v></cell><cell r="E1556" t="str"><v>43358104592535PS78JH</v></cell><cell r="F1556" t="str"><v>Appended from Pub - Not in DCM</v></cell></row><row r="1556"><cell r="I1556" t="str"><v>Azure Direct</v></cell><cell r="J1556" t="str"><v>Azure Direct</v></cell><cell r="K1556" t="str"><v>September</v></cell><cell r="L1556"><v>43358</v></cell><cell r="M1556" t="str"><v>Tier 0</v></cell><cell r="N1556" t="str"><v>North America</v></cell><cell r="O1556" t="str"><v>United States</v></cell><cell r="P1556" t="str"><v>Trial</v></cell><cell r="Q1556" t="str"><v>Social</v></cell><cell r="R1556" t="str"><v>Azure</v></cell><cell r="S1556" t="str"><v>Apps & Infra</v></cell><cell r="T1556" t="str"><v>Developers & ITI's</v></cell><cell r="U1556" t="str"><v>USA-Trial-ITD-Interest Prospecting-AZR-AZR</v></cell><cell r="V1556" t="str"><v>Prospecting</v></cell><cell r="W1556" t="str"><v>Canvas Ad</v></cell><cell r="X1556" t="str"><v>1200x1200</v></cell><cell r="Y1556" t="str"><v>Learn More</v></cell><cell r="Z1556" t="str"><v>Animated Banner</v></cell><cell r="AA1556"><v>43358</v></cell><cell r="AB1556" t="str"><v>USA_gaPMG_AZR_AZR_Q1_19_Direct-Social</v></cell><cell r="AC1556"><v>21358715</v></cell><cell r="AD1556"><v>720197</v></cell><cell r="AE1556" t="str"><v>Linkedin</v></cell><cell r="AF1556"><v>3654329</v></cell><cell r="AG1556" t="str"><v>FACEBOOK»USA-Trial-ITD-Interest Prospecting-AZR-AZR»1 x 1»SocialBan»CAN»ALL»CPA»PRO»X»NA»SS»NA»FreeAcctITProFB-AnimatedHybrid-Ch2»PS78JH</v></cell><cell r="AH1556" t="str"><v>PS78JH</v></cell><cell r="AI1556" t="str"><v>AZR_FreeAcctITProFB-AnimatedHybrid-Ch2_USA_1200x1200_CAN_Direct_EN_Trial_Standard_ANI_LEA_T2_1</v></cell><cell r="AJ1556"><v>104592535</v></cell></row><row r="1557"><cell r="D1557" t="str"><v>43358PS78JJ</v></cell><cell r="E1557" t="str"><v>43358104595730PS78JJ</v></cell><cell r="F1557" t="str"><v>Appended from Pub - Not in DCM</v></cell></row><row r="1557"><cell r="I1557" t="str"><v>Azure Direct</v></cell><cell r="J1557" t="str"><v>Azure Direct</v></cell><cell r="K1557" t="str"><v>September</v></cell><cell r="L1557"><v>43358</v></cell><cell r="M1557" t="str"><v>Tier 0</v></cell><cell r="N1557" t="str"><v>North America</v></cell><cell r="O1557" t="str"><v>United States</v></cell><cell r="P1557" t="str"><v>Trial</v></cell><cell r="Q1557" t="str"><v>Social</v></cell><cell r="R1557" t="str"><v>Azure</v></cell><cell r="S1557" t="str"><v>Apps & Infra</v></cell><cell r="T1557" t="str"><v>Developers & ITI's</v></cell><cell r="U1557" t="str"><v>USA-Trial-ITD-Interest Prospecting-AZR-AZR</v></cell><cell r="V1557" t="str"><v>Prospecting</v></cell><cell r="W1557" t="str"><v>Canvas Ad</v></cell><cell r="X1557" t="str"><v>1200x1200</v></cell><cell r="Y1557" t="str"><v>Learn More</v></cell><cell r="Z1557" t="str"><v>Animated Banner</v></cell><cell r="AA1557"><v>43358</v></cell><cell r="AB1557" t="str"><v>USA_gaPMG_AZR_AZR_Q1_19_Direct-Social</v></cell><cell r="AC1557"><v>21358715</v></cell><cell r="AD1557"><v>720197</v></cell><cell r="AE1557" t="str"><v>Linkedin</v></cell><cell r="AF1557"><v>3654329</v></cell><cell r="AG1557" t="str"><v>FACEBOOK»USA-Trial-ITD-Interest Prospecting-AZR-AZR»1 x 1»SocialBan»CAN»ALL»CPA»PRO»X»NA»SS»NA»FreeAcctITProFB-AnimatedMigration-Ch3»PS78JJ</v></cell><cell r="AH1557" t="str"><v>PS78JJ</v></cell><cell r="AI1557" t="str"><v>AZR_FreeAcctITProFB-AnimatedMigration-Ch3_USA_1200x1200_CAN_Direct_EN_Trial_Standard_ANI_LEA_T3_2</v></cell><cell r="AJ1557"><v>104595730</v></cell></row><row r="1558"><cell r="D1558" t="str"><v>43358PS78J8</v></cell><cell r="E1558" t="str"><v>43358104593735PS78J8</v></cell><cell r="F1558" t="str"><v>Appended from Pub - Not in DCM</v></cell></row><row r="1558"><cell r="I1558" t="str"><v>Azure Direct</v></cell><cell r="J1558" t="str"><v>Azure Direct</v></cell><cell r="K1558" t="str"><v>September</v></cell><cell r="L1558"><v>43358</v></cell><cell r="M1558" t="str"><v>Tier 0</v></cell><cell r="N1558" t="str"><v>North America</v></cell><cell r="O1558" t="str"><v>United States</v></cell><cell r="P1558" t="str"><v>Trial</v></cell><cell r="Q1558" t="str"><v>Social</v></cell><cell r="R1558" t="str"><v>Azure</v></cell><cell r="S1558" t="str"><v>Apps & Infra</v></cell><cell r="T1558" t="str"><v>Developers & ITI's</v></cell><cell r="U1558" t="str"><v>USA-Trial-ITD-Interest Prospecting-AZR-AZR</v></cell><cell r="V1558" t="str"><v>Prospecting</v></cell><cell r="W1558" t="str"><v>Canvas Ad</v></cell><cell r="X1558" t="str"><v>1200x1200</v></cell><cell r="Y1558" t="str"><v>Learn More</v></cell><cell r="Z1558" t="str"><v>Animated Banner</v></cell><cell r="AA1558"><v>43358</v></cell><cell r="AB1558" t="str"><v>USA_gaPMG_AZR_AZR_Q1_19_Direct-Social</v></cell><cell r="AC1558"><v>21358715</v></cell><cell r="AD1558"><v>720197</v></cell><cell r="AE1558" t="str"><v>Linkedin</v></cell><cell r="AF1558"><v>3654329</v></cell><cell r="AG1558" t="str"><v>FACEBOOK»USA-Trial-ITD-Interest Prospecting-AZR-AZR»1 x 1»SocialBan»CAN»ALL»CPA»PRO»X»NA»SS»NA»FreeAcctDeveloperFB-AnimatedAI-Ch3»PS78J8</v></cell><cell r="AH1558" t="str"><v>PS78J8</v></cell><cell r="AI1558" t="str"><v>AZR_FreeAcctDeveloperFB-AnimatedAI-Ch3_USA_1200x1200_CAN_Direct_EN_Trial_Standard_ANI_LEA_T3_1</v></cell><cell r="AJ1558"><v>104593735</v></cell></row><row r="1559"><cell r="D1559" t="str"><v>43358PS7B5W</v></cell><cell r="E1559" t="str"><v>43358104593738PS7B5W</v></cell><cell r="F1559" t="str"><v>Appended from Pub - Not in DCM</v></cell></row><row r="1559"><cell r="I1559" t="str"><v>Azure Direct</v></cell><cell r="J1559" t="str"><v>Azure Direct</v></cell><cell r="K1559" t="str"><v>September</v></cell><cell r="L1559"><v>43358</v></cell><cell r="M1559" t="str"><v>Tier 0</v></cell><cell r="N1559" t="str"><v>North America</v></cell><cell r="O1559" t="str"><v>United States</v></cell><cell r="P1559" t="str"><v>Trial</v></cell><cell r="Q1559" t="str"><v>Social</v></cell><cell r="R1559" t="str"><v>Azure</v></cell><cell r="S1559" t="str"><v>Apps & Infra</v></cell><cell r="T1559" t="str"><v>Developers & ITI's</v></cell><cell r="U1559" t="str"><v>USA-Trial-ITD-Trial PayGo Lookalike-AZR-AZR</v></cell><cell r="V1559" t="str"><v>Lookalike Targeting</v></cell><cell r="W1559" t="str"><v>Canvas Ad</v></cell><cell r="X1559" t="str"><v>1200x1200</v></cell><cell r="Y1559" t="str"><v>Learn More</v></cell><cell r="Z1559" t="str"><v>Animated Banner</v></cell><cell r="AA1559"><v>43358</v></cell><cell r="AB1559" t="str"><v>USA_gaPMG_AZR_AZR_Q1_19_Direct-Social</v></cell><cell r="AC1559"><v>21358715</v></cell><cell r="AD1559"><v>720197</v></cell><cell r="AE1559" t="str"><v>Linkedin</v></cell><cell r="AF1559"><v>3654329</v></cell><cell r="AG1559" t="str"><v>FACEBOOK»USA-Trial-ITD-Trial PayGo Lookalike-AZR-AZR»1 x 1»SocialBan»CAN»ALL»CPA»LAL»X»NA»SS»NA»FreeAcctITProFB-AnimatedSecureMngd-Ch1»PS7B5W</v></cell><cell r="AH1559" t="str"><v>PS7B5W</v></cell><cell r="AI1559" t="str"><v>AZR_FreeAcctITProFB-AnimatedSecureMngd-Ch1_USA_1200x1200_CAN_Direct_EN_Trial_Standard_ANI_LEA_T1_1</v></cell><cell r="AJ1559"><v>104593738</v></cell></row><row r="1560"><cell r="D1560" t="str"><v>43358PS7B5V</v></cell><cell r="E1560" t="str"><v>43358104595739PS7B5V</v></cell><cell r="F1560" t="str"><v>Appended from Pub - Not in DCM</v></cell></row><row r="1560"><cell r="I1560" t="str"><v>Azure Direct</v></cell><cell r="J1560" t="str"><v>Azure Direct</v></cell><cell r="K1560" t="str"><v>September</v></cell><cell r="L1560"><v>43358</v></cell><cell r="M1560" t="str"><v>Tier 0</v></cell><cell r="N1560" t="str"><v>North America</v></cell><cell r="O1560" t="str"><v>United States</v></cell><cell r="P1560" t="str"><v>Trial</v></cell><cell r="Q1560" t="str"><v>Social</v></cell><cell r="R1560" t="str"><v>Azure</v></cell><cell r="S1560" t="str"><v>Apps & Infra</v></cell><cell r="T1560" t="str"><v>Developers & ITI's</v></cell><cell r="U1560" t="str"><v>USA-Trial-ITD-Trial PayGo Lookalike-AZR-AZR</v></cell><cell r="V1560" t="str"><v>Lookalike Targeting</v></cell><cell r="W1560" t="str"><v>Canvas Ad</v></cell><cell r="X1560" t="str"><v>1200x1200</v></cell><cell r="Y1560" t="str"><v>Learn More</v></cell><cell r="Z1560" t="str"><v>Animated Banner</v></cell><cell r="AA1560"><v>43358</v></cell><cell r="AB1560" t="str"><v>USA_gaPMG_AZR_AZR_Q1_19_Direct-Social</v></cell><cell r="AC1560"><v>21358715</v></cell><cell r="AD1560"><v>720197</v></cell><cell r="AE1560" t="str"><v>Linkedin</v></cell><cell r="AF1560"><v>3654329</v></cell><cell r="AG1560" t="str"><v>FACEBOOK»USA-Trial-ITD-Trial PayGo Lookalike-AZR-AZR»1 x 1»SocialBan»CAN»ALL»CPA»LAL»X»NA»SS»NA»FreeAcctDeveloperFB-AnimatedData-Ch4»PS7B5V</v></cell><cell r="AH1560" t="str"><v>PS7B5V</v></cell><cell r="AI1560" t="str"><v>AZR_FreeAcctDeveloperFB-AnimatedData-Ch4_USA_1200x1200_CAN_Direct_EN_Trial_Standard_ANI_LEA_T4_1</v></cell><cell r="AJ1560"><v>104595739</v></cell></row><row r="1561"><cell r="D1561" t="str"><v>43358PRC2M4</v></cell><cell r="E1561" t="str"><v>43358PRC2M4</v></cell><cell r="F1561" t="str"><v>Appended from Pub - Not in DCM</v></cell></row><row r="1561"><cell r="I1561" t="str"><v>Azure Direct</v></cell><cell r="J1561" t="str"><v>Azure Direct</v></cell><cell r="K1561" t="str"><v>September</v></cell><cell r="L1561"><v>43358</v></cell><cell r="M1561" t="str"><v>Tier 0</v></cell><cell r="N1561" t="str"><v>North America</v></cell><cell r="O1561" t="str"><v>United States</v></cell><cell r="P1561" t="str"><v>Trial</v></cell><cell r="Q1561" t="str"><v>Social</v></cell><cell r="R1561" t="str"><v>Azure</v></cell><cell r="S1561" t="str"><v>Apps & Infra</v></cell><cell r="T1561" t="str"><v>Developers & ITI's</v></cell><cell r="U1561" t="str"><v>USA-Trial-ITD-Lead Completes-AZR-AZR</v></cell><cell r="V1561" t="e"><v>#VALUE!</v></cell><cell r="W1561" t="e"><v>#VALUE!</v></cell></row><row r="1561"><cell r="AA1561"><v>43358</v></cell><cell r="AB1561" t="str"><v>USA_gaPMG_AZR_AZR_Q1_19_Direct-Social</v></cell><cell r="AC1561"><v>21358715</v></cell><cell r="AD1561"><v>720197</v></cell><cell r="AE1561" t="str"><v>Linkedin</v></cell><cell r="AF1561"><v>3654329</v></cell><cell r="AG1561" t="str"><v>INSTAGRAM»USA-Trial-ITD-Lead Completes-AZR-AZR»1 x 1»SocialBan»CAN»ALL»CPA»PRO»X»NA»SS»NA»IGCTCBenefit2inMotion»PRC2M4</v></cell><cell r="AH1561" t="str"><v>PRC2M4</v></cell></row><row r="1562"><cell r="D1562" t="str"><v>43358PRC2PF</v></cell><cell r="E1562" t="str"><v>43358103037968PRC2PF</v></cell><cell r="F1562" t="str"><v>Appended from Pub - Not in DCM</v></cell></row><row r="1562"><cell r="I1562" t="str"><v>Azure Direct</v></cell><cell r="J1562" t="str"><v>Azure Direct</v></cell><cell r="K1562" t="str"><v>September</v></cell><cell r="L1562"><v>43358</v></cell><cell r="M1562" t="str"><v>Tier 0</v></cell><cell r="N1562" t="str"><v>North America</v></cell><cell r="O1562" t="str"><v>United States</v></cell><cell r="P1562" t="str"><v>Trial</v></cell><cell r="Q1562" t="str"><v>Social</v></cell><cell r="R1562" t="str"><v>Azure</v></cell><cell r="S1562" t="str"><v>Apps & Infra</v></cell><cell r="T1562" t="str"><v>Developers & ITI's</v></cell><cell r="U1562" t="str"><v>USA-Trial-ITD-Interest Prospecting-AZR-AZR</v></cell><cell r="V1562" t="str"><v>Prospecting</v></cell><cell r="W1562" t="str"><v>Canvas Ad</v></cell><cell r="X1562" t="str"><v>10s</v></cell><cell r="Y1562" t="str"><v>Try it Now</v></cell><cell r="Z1562" t="str"><v>Standard videos</v></cell><cell r="AA1562"><v>43358</v></cell><cell r="AB1562" t="str"><v>USA_gaPMG_AZR_AZR_Q1_19_Direct-Social</v></cell><cell r="AC1562"><v>21358715</v></cell><cell r="AD1562"><v>720197</v></cell><cell r="AE1562" t="str"><v>Linkedin</v></cell><cell r="AF1562"><v>3654329</v></cell><cell r="AG1562" t="str"><v>INSTAGRAM»USA-Trial-ITD-Interest Prospecting-AZR-AZR»1 x 1»SocialBan»CAN»ALL»CPA»PRO»X»NA»SS»NA»IGCTCBasicMotion»PRC2PF</v></cell><cell r="AH1562" t="str"><v>PRC2PF</v></cell><cell r="AI1562" t="str"><v>AzurePlatform_IGCTCBasicMotion_USA_10s_CAN_PLATFORM_English_Trial_Standard_STAN_TIN_T1_1</v></cell><cell r="AJ1562"><v>103037968</v></cell></row><row r="1563"><cell r="D1563" t="str"><v>43358PS79TM</v></cell><cell r="E1563" t="str"><v>43358104593450PS79TM</v></cell><cell r="F1563" t="str"><v>Appended from Pub - Not in DCM</v></cell></row><row r="1563"><cell r="I1563" t="str"><v>Azure Direct</v></cell><cell r="J1563" t="str"><v>Azure Direct</v></cell><cell r="K1563" t="str"><v>September</v></cell><cell r="L1563"><v>43358</v></cell><cell r="M1563" t="str"><v>Tier 0</v></cell><cell r="N1563" t="str"><v>North America</v></cell><cell r="O1563" t="str"><v>United States</v></cell><cell r="P1563" t="str"><v>Trial</v></cell><cell r="Q1563" t="str"><v>Social</v></cell><cell r="R1563" t="str"><v>Azure</v></cell><cell r="S1563" t="str"><v>Apps & Infra</v></cell><cell r="T1563" t="str"><v>Developers & ITI's</v></cell><cell r="U1563" t="str"><v>USA-Trial-ITD-Retargeting-AZR-AZR</v></cell><cell r="V1563" t="str"><v>Retargeting</v></cell><cell r="W1563" t="str"><v>Canvas Ad</v></cell><cell r="X1563" t="str"><v>1200x1200</v></cell><cell r="Y1563" t="str"><v>Learn More</v></cell><cell r="Z1563" t="str"><v>Animated Banner</v></cell><cell r="AA1563"><v>43358</v></cell><cell r="AB1563" t="str"><v>USA_gaPMG_AZR_AZR_Q1_19_Direct-Social</v></cell><cell r="AC1563"><v>21358715</v></cell><cell r="AD1563"><v>720197</v></cell><cell r="AE1563" t="str"><v>Linkedin</v></cell><cell r="AF1563"><v>3654329</v></cell><cell r="AG1563" t="str"><v>FACEBOOK»USA-Trial-ITD-Retargeting-AZR-AZR»1 x 1»SocialBan»CAN»ALL»CPA»RT»X»NA»SS»NA»FreeAcctITProFB-AnimatedMigration-Ch3»PS79TM</v></cell><cell r="AH1563" t="str"><v>PS79TM</v></cell><cell r="AI1563" t="str"><v>AZR_FreeAcctITProFB-AnimatedMigration-Ch3_USA_1200x1200_CAN_Direct_EN_Trial_Standard_ANI_LEA_T3_1</v></cell><cell r="AJ1563"><v>104593450</v></cell></row><row r="1564"><cell r="D1564" t="str"><v>43358PS79T6</v></cell><cell r="E1564" t="str"><v>43358104671427PS79T6</v></cell><cell r="F1564" t="str"><v>Appended from Pub - Not in DCM</v></cell></row><row r="1564"><cell r="I1564" t="str"><v>Azure Direct</v></cell><cell r="J1564" t="str"><v>Azure Direct</v></cell><cell r="K1564" t="str"><v>September</v></cell><cell r="L1564"><v>43358</v></cell><cell r="M1564" t="str"><v>Tier 0</v></cell><cell r="N1564" t="str"><v>North America</v></cell><cell r="O1564" t="str"><v>United States</v></cell><cell r="P1564" t="str"><v>Trial</v></cell><cell r="Q1564" t="str"><v>Social</v></cell><cell r="R1564" t="str"><v>Azure</v></cell><cell r="S1564" t="str"><v>Apps & Infra</v></cell><cell r="T1564" t="str"><v>Developers & ITI's</v></cell><cell r="U1564" t="str"><v>USA-Trial-ITD-Retargeting-AZR-AZR</v></cell><cell r="V1564" t="str"><v>Retargeting</v></cell><cell r="W1564" t="str"><v>Canvas Ad</v></cell><cell r="X1564" t="str"><v>1200x1200</v></cell><cell r="Y1564" t="str"><v>Learn More</v></cell><cell r="Z1564" t="str"><v>Animated Banner</v></cell><cell r="AA1564"><v>43358</v></cell><cell r="AB1564" t="str"><v>USA_gaPMG_AZR_AZR_Q1_19_Direct-Social</v></cell><cell r="AC1564"><v>21358715</v></cell><cell r="AD1564"><v>720197</v></cell><cell r="AE1564" t="str"><v>Linkedin</v></cell><cell r="AF1564"><v>3654329</v></cell><cell r="AG1564" t="str"><v>FACEBOOK»USA-Trial-ITD-Retargeting-AZR-AZR»1 x 1»SocialBan»CAN»ALL»CPA»RT»X»NA»SS»NA»FreeAcctDeveloperFB-AnimatedOpenSource-Ch2»PS79T6</v></cell><cell r="AH1564" t="str"><v>PS79T6</v></cell><cell r="AI1564" t="str"><v>AZR_FreeAcctDeveloperFB-AnimatedOpenSource-Ch2_USA_1200x1200_CAN_Direct_EN_Trial_Standard_ANI_LEA_T2_1</v></cell><cell r="AJ1564"><v>104671427</v></cell></row><row r="1565"><cell r="D1565" t="str"><v>43358PS79T5</v></cell><cell r="E1565" t="str"><v>43358104592523PS79T5</v></cell><cell r="F1565" t="str"><v>Appended from Pub - Not in DCM</v></cell></row><row r="1565"><cell r="I1565" t="str"><v>Azure Direct</v></cell><cell r="J1565" t="str"><v>Azure Direct</v></cell><cell r="K1565" t="str"><v>September</v></cell><cell r="L1565"><v>43358</v></cell><cell r="M1565" t="str"><v>Tier 0</v></cell><cell r="N1565" t="str"><v>North America</v></cell><cell r="O1565" t="str"><v>United States</v></cell><cell r="P1565" t="str"><v>Trial</v></cell><cell r="Q1565" t="str"><v>Social</v></cell><cell r="R1565" t="str"><v>Azure</v></cell><cell r="S1565" t="str"><v>Apps & Infra</v></cell><cell r="T1565" t="str"><v>Developers & ITI's</v></cell><cell r="U1565" t="str"><v>USA-Trial-ITD-Retargeting-AZR-AZR</v></cell><cell r="V1565" t="str"><v>Retargeting</v></cell><cell r="W1565" t="str"><v>Canvas Ad</v></cell><cell r="X1565" t="str"><v>1200x1200</v></cell><cell r="Y1565" t="str"><v>Learn More</v></cell><cell r="Z1565" t="str"><v>Animated Banner</v></cell><cell r="AA1565"><v>43358</v></cell><cell r="AB1565" t="str"><v>USA_gaPMG_AZR_AZR_Q1_19_Direct-Social</v></cell><cell r="AC1565"><v>21358715</v></cell><cell r="AD1565"><v>720197</v></cell><cell r="AE1565" t="str"><v>Linkedin</v></cell><cell r="AF1565"><v>3654329</v></cell><cell r="AG1565" t="str"><v>FACEBOOK»USA-Trial-ITD-Retargeting-AZR-AZR»1 x 1»SocialBan»CAN»ALL»CPA»RT»X»NA»SS»NA»FreeAcctDeveloperFB-AnimatedGeneric-Ch1»PS79T5</v></cell><cell r="AH1565" t="str"><v>PS79T5</v></cell><cell r="AI1565" t="str"><v>AZR_FreeAcctDeveloperFB-AnimatedGeneric-Ch1_USA_1200x1200_CAN_Direct_EN_Trial_Standard_ANI_LEA_T1_2</v></cell><cell r="AJ1565"><v>104592523</v></cell></row><row r="1566"><cell r="D1566" t="str"><v>43358PS79T3</v></cell><cell r="E1566" t="str"><v>43358104595766PS79T3</v></cell><cell r="F1566" t="str"><v>Appended from Pub - Not in DCM</v></cell></row><row r="1566"><cell r="I1566" t="str"><v>Azure Direct</v></cell><cell r="J1566" t="str"><v>Azure Direct</v></cell><cell r="K1566" t="str"><v>September</v></cell><cell r="L1566"><v>43358</v></cell><cell r="M1566" t="str"><v>Tier 0</v></cell><cell r="N1566" t="str"><v>North America</v></cell><cell r="O1566" t="str"><v>United States</v></cell><cell r="P1566" t="str"><v>Trial</v></cell><cell r="Q1566" t="str"><v>Social</v></cell><cell r="R1566" t="str"><v>Azure</v></cell><cell r="S1566" t="str"><v>Apps & Infra</v></cell><cell r="T1566" t="str"><v>Developers & ITI's</v></cell><cell r="U1566" t="str"><v>USA-Trial-ITD-Retargeting-AZR-AZR</v></cell><cell r="V1566" t="str"><v>Retargeting</v></cell><cell r="W1566" t="str"><v>Canvas Ad</v></cell><cell r="X1566" t="str"><v>1200x1200</v></cell><cell r="Y1566" t="str"><v>Learn More</v></cell><cell r="Z1566" t="str"><v>Animated Banner</v></cell><cell r="AA1566"><v>43358</v></cell><cell r="AB1566" t="str"><v>USA_gaPMG_AZR_AZR_Q1_19_Direct-Social</v></cell><cell r="AC1566"><v>21358715</v></cell><cell r="AD1566"><v>720197</v></cell><cell r="AE1566" t="str"><v>Linkedin</v></cell><cell r="AF1566"><v>3654329</v></cell><cell r="AG1566" t="str"><v>FACEBOOK»USA-Trial-ITD-Retargeting-AZR-AZR»1 x 1»SocialBan»CAN»ALL»CPA»RT»X»NA»SS»NA»FreeAcctDeveloperFB-AnimatedGeneric-Ch1»PS79T3</v></cell><cell r="AH1566" t="str"><v>PS79T3</v></cell><cell r="AI1566" t="str"><v>AZR_FreeAcctDeveloperFB-AnimatedGeneric-Ch1_USA_1200x1200_CAN_Direct_EN_Trial_Standard_ANI_LEA_T1_1</v></cell><cell r="AJ1566"><v>104595766</v></cell></row><row r="1567"><cell r="D1567" t="str"><v>43358PS7B4W</v></cell><cell r="E1567" t="str"><v>43358104592523PS7B4W</v></cell><cell r="F1567" t="str"><v>Appended from Pub - Not in DCM</v></cell></row><row r="1567"><cell r="I1567" t="str"><v>Azure Direct</v></cell><cell r="J1567" t="str"><v>Azure Direct</v></cell><cell r="K1567" t="str"><v>September</v></cell><cell r="L1567"><v>43358</v></cell><cell r="M1567" t="str"><v>Tier 0</v></cell><cell r="N1567" t="str"><v>North America</v></cell><cell r="O1567" t="str"><v>United States</v></cell><cell r="P1567" t="str"><v>Trial</v></cell><cell r="Q1567" t="str"><v>Social</v></cell><cell r="R1567" t="str"><v>Azure</v></cell><cell r="S1567" t="str"><v>Apps & Infra</v></cell><cell r="T1567" t="str"><v>Developers & ITI's</v></cell><cell r="U1567" t="str"><v>USA-Trial-ITD-Trial Lookalike-AZR-AZR</v></cell><cell r="V1567" t="str"><v>Lookalike Targeting</v></cell><cell r="W1567" t="str"><v>Canvas Ad</v></cell><cell r="X1567" t="str"><v>1200x1200</v></cell><cell r="Y1567" t="str"><v>Learn More</v></cell><cell r="Z1567" t="str"><v>Animated Banner</v></cell><cell r="AA1567"><v>43358</v></cell><cell r="AB1567" t="str"><v>USA_gaPMG_AZR_AZR_Q1_19_Direct-Social</v></cell><cell r="AC1567"><v>21358715</v></cell><cell r="AD1567"><v>720197</v></cell><cell r="AE1567" t="str"><v>Linkedin</v></cell><cell r="AF1567"><v>3654329</v></cell><cell r="AG1567" t="str"><v>FACEBOOK»USA-Trial-ITD-Trial Lookalike-AZR-AZR»1 x 1»SocialBan»CAN»ALL»CPA»LAL»X»NA»SS»NA»FreeAcctDeveloperFB-AnimatedGeneric-Ch1»PS7B4W</v></cell><cell r="AH1567" t="str"><v>PS7B4W</v></cell><cell r="AI1567" t="str"><v>AZR_FreeAcctDeveloperFB-AnimatedGeneric-Ch1_USA_1200x1200_CAN_Direct_EN_Trial_Standard_ANI_LEA_T1_2</v></cell><cell r="AJ1567"><v>104592523</v></cell></row><row r="1568"><cell r="D1568" t="str"><v>43358PS7B4Y</v></cell><cell r="E1568" t="str"><v>43358104592523PS7B4Y</v></cell><cell r="F1568" t="str"><v>Appended from Pub - Not in DCM</v></cell></row><row r="1568"><cell r="I1568" t="str"><v>Azure Direct</v></cell><cell r="J1568" t="str"><v>Azure Direct</v></cell><cell r="K1568" t="str"><v>September</v></cell><cell r="L1568"><v>43358</v></cell><cell r="M1568" t="str"><v>Tier 0</v></cell><cell r="N1568" t="str"><v>North America</v></cell><cell r="O1568" t="str"><v>United States</v></cell><cell r="P1568" t="str"><v>Trial</v></cell><cell r="Q1568" t="str"><v>Social</v></cell><cell r="R1568" t="str"><v>Azure</v></cell><cell r="S1568" t="str"><v>Apps & Infra</v></cell><cell r="T1568" t="str"><v>Developers & ITI's</v></cell><cell r="U1568" t="str"><v>USA-Trial-ITD-Trial Lookalike-AZR-AZR</v></cell><cell r="V1568" t="str"><v>Lookalike Targeting</v></cell><cell r="W1568" t="str"><v>Canvas Ad</v></cell><cell r="X1568" t="str"><v>1200x1200</v></cell><cell r="Y1568" t="str"><v>Learn More</v></cell><cell r="Z1568" t="str"><v>Animated Banner</v></cell><cell r="AA1568"><v>43358</v></cell><cell r="AB1568" t="str"><v>USA_gaPMG_AZR_AZR_Q1_19_Direct-Social</v></cell><cell r="AC1568"><v>21358715</v></cell><cell r="AD1568"><v>720197</v></cell><cell r="AE1568" t="str"><v>Linkedin</v></cell><cell r="AF1568"><v>3654329</v></cell><cell r="AG1568" t="str"><v>FACEBOOK»USA-Trial-ITD-Trial Lookalike-AZR-AZR»1 x 1»SocialBan»CAN»ALL»CPA»LAL»X»NA»SS»NA»FreeAcctDeveloperFB-AnimatedGeneric-Ch1»PS7B4Y</v></cell><cell r="AH1568" t="str"><v>PS7B4Y</v></cell><cell r="AI1568" t="str"><v>AZR_FreeAcctDeveloperFB-AnimatedGeneric-Ch1_USA_1200x1200_CAN_Direct_EN_Trial_Standard_ANI_LEA_T1_2</v></cell><cell r="AJ1568"><v>104592523</v></cell></row><row r="1569"><cell r="D1569" t="str"><v>43358PS7B50</v></cell><cell r="E1569" t="str"><v>43358104593735PS7B50</v></cell><cell r="F1569" t="str"><v>Appended from Pub - Not in DCM</v></cell></row><row r="1569"><cell r="I1569" t="str"><v>Azure Direct</v></cell><cell r="J1569" t="str"><v>Azure Direct</v></cell><cell r="K1569" t="str"><v>September</v></cell><cell r="L1569"><v>43358</v></cell><cell r="M1569" t="str"><v>Tier 0</v></cell><cell r="N1569" t="str"><v>North America</v></cell><cell r="O1569" t="str"><v>United States</v></cell><cell r="P1569" t="str"><v>Trial</v></cell><cell r="Q1569" t="str"><v>Social</v></cell><cell r="R1569" t="str"><v>Azure</v></cell><cell r="S1569" t="str"><v>Apps & Infra</v></cell><cell r="T1569" t="str"><v>Developers & ITI's</v></cell><cell r="U1569" t="str"><v>USA-Trial-ITD-Trial Lookalike-AZR-AZR</v></cell><cell r="V1569" t="str"><v>Lookalike Targeting</v></cell><cell r="W1569" t="str"><v>Canvas Ad</v></cell><cell r="X1569" t="str"><v>1200x1200</v></cell><cell r="Y1569" t="str"><v>Learn More</v></cell><cell r="Z1569" t="str"><v>Animated Banner</v></cell><cell r="AA1569"><v>43358</v></cell><cell r="AB1569" t="str"><v>USA_gaPMG_AZR_AZR_Q1_19_Direct-Social</v></cell><cell r="AC1569"><v>21358715</v></cell><cell r="AD1569"><v>720197</v></cell><cell r="AE1569" t="str"><v>Linkedin</v></cell><cell r="AF1569"><v>3654329</v></cell><cell r="AG1569" t="str"><v>FACEBOOK»USA-Trial-ITD-Trial Lookalike-AZR-AZR»1 x 1»SocialBan»CAN»ALL»CPA»LAL»X»NA»SS»NA»FreeAcctDeveloperFB-AnimatedAI-Ch3»PS7B50</v></cell><cell r="AH1569" t="str"><v>PS7B50</v></cell><cell r="AI1569" t="str"><v>AZR_FreeAcctDeveloperFB-AnimatedAI-Ch3_USA_1200x1200_CAN_Direct_EN_Trial_Standard_ANI_LEA_T3_1</v></cell><cell r="AJ1569"><v>104593735</v></cell></row><row r="1570"><cell r="D1570" t="str"><v>43358PS7B52</v></cell><cell r="E1570" t="str"><v>43358104595739PS7B52</v></cell><cell r="F1570" t="str"><v>Appended from Pub - Not in DCM</v></cell></row><row r="1570"><cell r="I1570" t="str"><v>Azure Direct</v></cell><cell r="J1570" t="str"><v>Azure Direct</v></cell><cell r="K1570" t="str"><v>September</v></cell><cell r="L1570"><v>43358</v></cell><cell r="M1570" t="str"><v>Tier 0</v></cell><cell r="N1570" t="str"><v>North America</v></cell><cell r="O1570" t="str"><v>United States</v></cell><cell r="P1570" t="str"><v>Trial</v></cell><cell r="Q1570" t="str"><v>Social</v></cell><cell r="R1570" t="str"><v>Azure</v></cell><cell r="S1570" t="str"><v>Apps & Infra</v></cell><cell r="T1570" t="str"><v>Developers & ITI's</v></cell><cell r="U1570" t="str"><v>USA-Trial-ITD-Trial Lookalike-AZR-AZR</v></cell><cell r="V1570" t="str"><v>Lookalike Targeting</v></cell><cell r="W1570" t="str"><v>Canvas Ad</v></cell><cell r="X1570" t="str"><v>1200x1200</v></cell><cell r="Y1570" t="str"><v>Learn More</v></cell><cell r="Z1570" t="str"><v>Animated Banner</v></cell><cell r="AA1570"><v>43358</v></cell><cell r="AB1570" t="str"><v>USA_gaPMG_AZR_AZR_Q1_19_Direct-Social</v></cell><cell r="AC1570"><v>21358715</v></cell><cell r="AD1570"><v>720197</v></cell><cell r="AE1570" t="str"><v>Linkedin</v></cell><cell r="AF1570"><v>3654329</v></cell><cell r="AG1570" t="str"><v>FACEBOOK»USA-Trial-ITD-Trial Lookalike-AZR-AZR»1 x 1»SocialBan»CAN»ALL»CPA»LAL»X»NA»SS»NA»FreeAcctDeveloperFB-AnimatedData-Ch4»PS7B52</v></cell><cell r="AH1570" t="str"><v>PS7B52</v></cell><cell r="AI1570" t="str"><v>AZR_FreeAcctDeveloperFB-AnimatedData-Ch4_USA_1200x1200_CAN_Direct_EN_Trial_Standard_ANI_LEA_T4_1</v></cell><cell r="AJ1570"><v>104595739</v></cell></row><row r="1571"><cell r="D1571" t="str"><v>43358PS79S1</v></cell><cell r="E1571" t="str"><v>43358104595769PS79S1</v></cell><cell r="F1571" t="str"><v>Appended from Pub - Not in DCM</v></cell></row><row r="1571"><cell r="I1571" t="str"><v>Azure Direct</v></cell><cell r="J1571" t="str"><v>Azure Direct</v></cell><cell r="K1571" t="str"><v>September</v></cell><cell r="L1571"><v>43358</v></cell><cell r="M1571" t="str"><v>Tier 0</v></cell><cell r="N1571" t="str"><v>North America</v></cell><cell r="O1571" t="str"><v>United States</v></cell><cell r="P1571" t="str"><v>Trial</v></cell><cell r="Q1571" t="str"><v>Social</v></cell><cell r="R1571" t="str"><v>Azure</v></cell><cell r="S1571" t="str"><v>Apps & Infra</v></cell><cell r="T1571" t="str"><v>Developers & ITI's</v></cell><cell r="U1571" t="str"><v>USA-Trial-ITD-Retargeting-AZR-AZR</v></cell><cell r="V1571" t="str"><v>Retargeting</v></cell><cell r="W1571" t="str"><v>Canvas Ad</v></cell><cell r="X1571" t="str"><v>1200x628</v></cell><cell r="Y1571" t="str"><v>Sign Up</v></cell><cell r="Z1571" t="str"><v>Not Applicable</v></cell><cell r="AA1571"><v>43358</v></cell><cell r="AB1571" t="str"><v>USA_gaPMG_AZR_AZR_Q1_19_Direct-Social</v></cell><cell r="AC1571"><v>21358715</v></cell><cell r="AD1571"><v>720197</v></cell><cell r="AE1571" t="str"><v>Linkedin</v></cell><cell r="AF1571"><v>3654329</v></cell><cell r="AG1571" t="str"><v>FACEBOOK»USA-Trial-ITD-Retargeting-AZR-AZR»1 x 1»SocialBan»CAN»ALL»CPA»RT»X»NA»SS»NA»FreeAcctRetargetingFB-Credit-ChA»PS79S1</v></cell><cell r="AH1571" t="str"><v>PS79S1</v></cell><cell r="AI1571" t="str"><v>AZR_FreeAcctRetargetingFB-Credit-ChA_USA_1200x628_CAN_Plat_English_Free Account_Standard_NA_SINU_T1_1</v></cell><cell r="AJ1571"><v>104595769</v></cell></row><row r="1572"><cell r="D1572" t="str"><v>43358PS79SS</v></cell><cell r="E1572" t="str"><v>43358104593441PS79SS</v></cell><cell r="F1572" t="str"><v>Appended from Pub - Not in DCM</v></cell></row><row r="1572"><cell r="I1572" t="str"><v>Azure Direct</v></cell><cell r="J1572" t="str"><v>Azure Direct</v></cell><cell r="K1572" t="str"><v>September</v></cell><cell r="L1572"><v>43358</v></cell><cell r="M1572" t="str"><v>Tier 0</v></cell><cell r="N1572" t="str"><v>North America</v></cell><cell r="O1572" t="str"><v>United States</v></cell><cell r="P1572" t="str"><v>Trial</v></cell><cell r="Q1572" t="str"><v>Social</v></cell><cell r="R1572" t="str"><v>Azure</v></cell><cell r="S1572" t="str"><v>Apps & Infra</v></cell><cell r="T1572" t="str"><v>Developers & ITI's</v></cell><cell r="U1572" t="str"><v>USA-Trial-ITD-Retargeting-AZR-AZR</v></cell><cell r="V1572" t="str"><v>Retargeting</v></cell><cell r="W1572" t="str"><v>Canvas Ad</v></cell><cell r="X1572" t="str"><v>1200x628</v></cell><cell r="Y1572" t="str"><v>Sign Up</v></cell><cell r="Z1572" t="str"><v>Not Applicable</v></cell><cell r="AA1572"><v>43358</v></cell><cell r="AB1572" t="str"><v>USA_gaPMG_AZR_AZR_Q1_19_Direct-Social</v></cell><cell r="AC1572"><v>21358715</v></cell><cell r="AD1572"><v>720197</v></cell><cell r="AE1572" t="str"><v>Linkedin</v></cell><cell r="AF1572"><v>3654329</v></cell><cell r="AG1572" t="str"><v>FACEBOOK»USA-Trial-ITD-Retargeting-AZR-AZR»1 x 1»SocialBan»CAN»ALL»CPA»RT»X»NA»SS»NA»FreeAcctRetargetingFB-GlobalAlt-ChB»PS79SS</v></cell><cell r="AH1572" t="str"><v>PS79SS</v></cell><cell r="AI1572" t="str"><v>AZR_FreeAcctRetargetingFB-GlobalAlt-ChB_USA_1200x628_CAN_Plat_English_Free Account_Standard_NA_SINU_T2_2</v></cell><cell r="AJ1572"><v>104593441</v></cell></row><row r="1573"><cell r="D1573" t="str"><v>43358PRC2PD</v></cell><cell r="E1573" t="str"><v>43358103180628PRC2PD</v></cell><cell r="F1573" t="str"><v>Appended from Pub - Not in DCM</v></cell></row><row r="1573"><cell r="I1573" t="str"><v>Azure Direct</v></cell><cell r="J1573" t="str"><v>Azure Direct</v></cell><cell r="K1573" t="str"><v>September</v></cell><cell r="L1573"><v>43358</v></cell><cell r="M1573" t="str"><v>Tier 0</v></cell><cell r="N1573" t="str"><v>North America</v></cell><cell r="O1573" t="str"><v>United States</v></cell><cell r="P1573" t="str"><v>Trial</v></cell><cell r="Q1573" t="str"><v>Social</v></cell><cell r="R1573" t="str"><v>Azure</v></cell><cell r="S1573" t="str"><v>Apps & Infra</v></cell><cell r="T1573" t="str"><v>Developers & ITI's</v></cell><cell r="U1573" t="str"><v>USA-Trial-ITD-Interest Prospecting-AZR-AZR</v></cell><cell r="V1573" t="str"><v>Prospecting</v></cell><cell r="W1573" t="str"><v>Canvas Ad</v></cell><cell r="X1573" t="str"><v>10s</v></cell><cell r="Y1573" t="str"><v>Try it Now</v></cell><cell r="Z1573" t="str"><v>Standard videos</v></cell><cell r="AA1573"><v>43358</v></cell><cell r="AB1573" t="str"><v>USA_gaPMG_AZR_AZR_Q1_19_Direct-Social</v></cell><cell r="AC1573"><v>21358715</v></cell><cell r="AD1573"><v>720197</v></cell><cell r="AE1573" t="str"><v>Linkedin</v></cell><cell r="AF1573"><v>3654329</v></cell><cell r="AG1573" t="str"><v>INSTAGRAM»USA-Trial-ITD-Interest Prospecting-AZR-AZR»1 x 1»SocialBan»CAN»ALL»CPA»PRO»X»NA»SS»NA»IGCTCBenefit2inMotion»PRC2PD</v></cell><cell r="AH1573" t="str"><v>PRC2PD</v></cell><cell r="AI1573" t="str"><v>AzurePlatform_IGCTCBrandinMotion_USA_10s_CAN_PLATFORM_English_Trial_Standard_STAN_TIN_T2_1</v></cell><cell r="AJ1573"><v>103180628</v></cell></row><row r="1574"><cell r="D1574" t="str"><v>43358PS7B54</v></cell><cell r="E1574" t="str"><v>43358104592535PS7B54</v></cell><cell r="F1574" t="str"><v>Appended from Pub - Not in DCM</v></cell></row><row r="1574"><cell r="I1574" t="str"><v>Azure Direct</v></cell><cell r="J1574" t="str"><v>Azure Direct</v></cell><cell r="K1574" t="str"><v>September</v></cell><cell r="L1574"><v>43358</v></cell><cell r="M1574" t="str"><v>Tier 0</v></cell><cell r="N1574" t="str"><v>North America</v></cell><cell r="O1574" t="str"><v>United States</v></cell><cell r="P1574" t="str"><v>Trial</v></cell><cell r="Q1574" t="str"><v>Social</v></cell><cell r="R1574" t="str"><v>Azure</v></cell><cell r="S1574" t="str"><v>Apps & Infra</v></cell><cell r="T1574" t="str"><v>Developers & ITI's</v></cell><cell r="U1574" t="str"><v>USA-Trial-ITD-Trial Lookalike-AZR-AZR</v></cell><cell r="V1574" t="str"><v>Lookalike Targeting</v></cell><cell r="W1574" t="str"><v>Canvas Ad</v></cell><cell r="X1574" t="str"><v>1200x1200</v></cell><cell r="Y1574" t="str"><v>Learn More</v></cell><cell r="Z1574" t="str"><v>Animated Banner</v></cell><cell r="AA1574"><v>43358</v></cell><cell r="AB1574" t="str"><v>USA_gaPMG_AZR_AZR_Q1_19_Direct-Social</v></cell><cell r="AC1574"><v>21358715</v></cell><cell r="AD1574"><v>720197</v></cell><cell r="AE1574" t="str"><v>Linkedin</v></cell><cell r="AF1574"><v>3654329</v></cell><cell r="AG1574" t="str"><v>FACEBOOK»USA-Trial-ITD-Trial Lookalike-AZR-AZR»1 x 1»SocialBan»CAN»ALL»CPA»LAL»X»NA»SS»NA»FreeAcctITProFB-AnimatedHybrid-Ch2»PS7B54</v></cell><cell r="AH1574" t="str"><v>PS7B54</v></cell><cell r="AI1574" t="str"><v>AZR_FreeAcctITProFB-AnimatedHybrid-Ch2_USA_1200x1200_CAN_Direct_EN_Trial_Standard_ANI_LEA_T2_1</v></cell><cell r="AJ1574"><v>104592535</v></cell></row><row r="1575"><cell r="D1575" t="str"><v>43358PS7B4Z</v></cell><cell r="E1575" t="str"><v>43358104593438PS7B4Z</v></cell><cell r="F1575" t="str"><v>Appended from Pub - Not in DCM</v></cell></row><row r="1575"><cell r="I1575" t="str"><v>Azure Direct</v></cell><cell r="J1575" t="str"><v>Azure Direct</v></cell><cell r="K1575" t="str"><v>September</v></cell><cell r="L1575"><v>43358</v></cell><cell r="M1575" t="str"><v>Tier 0</v></cell><cell r="N1575" t="str"><v>North America</v></cell><cell r="O1575" t="str"><v>United States</v></cell><cell r="P1575" t="str"><v>Trial</v></cell><cell r="Q1575" t="str"><v>Social</v></cell><cell r="R1575" t="str"><v>Azure</v></cell><cell r="S1575" t="str"><v>Apps & Infra</v></cell><cell r="T1575" t="str"><v>Developers & ITI's</v></cell><cell r="U1575" t="str"><v>USA-Trial-ITD-Trial Lookalike-AZR-AZR</v></cell><cell r="V1575" t="str"><v>Lookalike Targeting</v></cell><cell r="W1575" t="str"><v>Canvas Ad</v></cell><cell r="X1575" t="str"><v>1200x1200</v></cell><cell r="Y1575" t="str"><v>Learn More</v></cell><cell r="Z1575" t="str"><v>Animated Banner</v></cell><cell r="AA1575"><v>43358</v></cell><cell r="AB1575" t="str"><v>USA_gaPMG_AZR_AZR_Q1_19_Direct-Social</v></cell><cell r="AC1575"><v>21358715</v></cell><cell r="AD1575"><v>720197</v></cell><cell r="AE1575" t="str"><v>Linkedin</v></cell><cell r="AF1575"><v>3654329</v></cell><cell r="AG1575" t="str"><v>FACEBOOK»USA-Trial-ITD-Trial Lookalike-AZR-AZR»1 x 1»SocialBan»CAN»ALL»CPA»LAL»X»NA»SS»NA»FreeAcctDeveloperFB-AnimatedOpenSource-Ch2»PS7B4Z</v></cell><cell r="AH1575" t="str"><v>PS7B4Z</v></cell><cell r="AI1575" t="str"><v>AZR_FreeAcctDeveloperFB-AnimatedOpenSource-Ch2_USA_1200x1200_CAN_Direct_EN_Trial_Standard_ANI_LEA_T2_2</v></cell><cell r="AJ1575"><v>104593438</v></cell></row><row r="1576"><cell r="D1576" t="str"><v>43358PS79TK</v></cell><cell r="E1576" t="str"><v>43358104593738PS79TK</v></cell><cell r="F1576" t="str"><v>Appended from Pub - Not in DCM</v></cell></row><row r="1576"><cell r="I1576" t="str"><v>Azure Direct</v></cell><cell r="J1576" t="str"><v>Azure Direct</v></cell><cell r="K1576" t="str"><v>September</v></cell><cell r="L1576"><v>43358</v></cell><cell r="M1576" t="str"><v>Tier 0</v></cell><cell r="N1576" t="str"><v>North America</v></cell><cell r="O1576" t="str"><v>United States</v></cell><cell r="P1576" t="str"><v>Trial</v></cell><cell r="Q1576" t="str"><v>Social</v></cell><cell r="R1576" t="str"><v>Azure</v></cell><cell r="S1576" t="str"><v>Apps & Infra</v></cell><cell r="T1576" t="str"><v>Developers & ITI's</v></cell><cell r="U1576" t="str"><v>USA-Trial-ITD-Retargeting-AZR-AZR</v></cell><cell r="V1576" t="str"><v>Retargeting</v></cell><cell r="W1576" t="str"><v>Canvas Ad</v></cell><cell r="X1576" t="str"><v>1200x1200</v></cell><cell r="Y1576" t="str"><v>Learn More</v></cell><cell r="Z1576" t="str"><v>Animated Banner</v></cell><cell r="AA1576"><v>43358</v></cell><cell r="AB1576" t="str"><v>USA_gaPMG_AZR_AZR_Q1_19_Direct-Social</v></cell><cell r="AC1576"><v>21358715</v></cell><cell r="AD1576"><v>720197</v></cell><cell r="AE1576" t="str"><v>Linkedin</v></cell><cell r="AF1576"><v>3654329</v></cell><cell r="AG1576" t="str"><v>FACEBOOK»USA-Trial-ITD-Retargeting-AZR-AZR»1 x 1»SocialBan»CAN»ALL»CPA»RT»X»NA»SS»NA»FreeAcctITProFB-AnimatedSecureMngd-Ch1»PS79TK</v></cell><cell r="AH1576" t="str"><v>PS79TK</v></cell><cell r="AI1576" t="str"><v>AZR_FreeAcctITProFB-AnimatedSecureMngd-Ch1_USA_1200x1200_CAN_Direct_EN_Trial_Standard_ANI_LEA_T1_1</v></cell><cell r="AJ1576"><v>104593738</v></cell></row><row r="1577"><cell r="D1577" t="str"><v>43358PS79TJ</v></cell><cell r="E1577" t="str"><v>43358104595739PS79TJ</v></cell><cell r="F1577" t="str"><v>Appended from Pub - Not in DCM</v></cell></row><row r="1577"><cell r="I1577" t="str"><v>Azure Direct</v></cell><cell r="J1577" t="str"><v>Azure Direct</v></cell><cell r="K1577" t="str"><v>September</v></cell><cell r="L1577"><v>43358</v></cell><cell r="M1577" t="str"><v>Tier 0</v></cell><cell r="N1577" t="str"><v>North America</v></cell><cell r="O1577" t="str"><v>United States</v></cell><cell r="P1577" t="str"><v>Trial</v></cell><cell r="Q1577" t="str"><v>Social</v></cell><cell r="R1577" t="str"><v>Azure</v></cell><cell r="S1577" t="str"><v>Apps & Infra</v></cell><cell r="T1577" t="str"><v>Developers & ITI's</v></cell><cell r="U1577" t="str"><v>USA-Trial-ITD-Retargeting-AZR-AZR</v></cell><cell r="V1577" t="str"><v>Retargeting</v></cell><cell r="W1577" t="str"><v>Canvas Ad</v></cell><cell r="X1577" t="str"><v>1200x1200</v></cell><cell r="Y1577" t="str"><v>Learn More</v></cell><cell r="Z1577" t="str"><v>Animated Banner</v></cell><cell r="AA1577"><v>43358</v></cell><cell r="AB1577" t="str"><v>USA_gaPMG_AZR_AZR_Q1_19_Direct-Social</v></cell><cell r="AC1577"><v>21358715</v></cell><cell r="AD1577"><v>720197</v></cell><cell r="AE1577" t="str"><v>Linkedin</v></cell><cell r="AF1577"><v>3654329</v></cell><cell r="AG1577" t="str"><v>FACEBOOK»USA-Trial-ITD-Retargeting-AZR-AZR»1 x 1»SocialBan»CAN»ALL»CPA»RT»X»NA»SS»NA»FreeAcctDeveloperFB-AnimatedData-Ch4»PS79TJ</v></cell><cell r="AH1577" t="str"><v>PS79TJ</v></cell><cell r="AI1577" t="str"><v>AZR_FreeAcctDeveloperFB-AnimatedData-Ch4_USA_1200x1200_CAN_Direct_EN_Trial_Standard_ANI_LEA_T4_1</v></cell><cell r="AJ1577"><v>104595739</v></cell></row><row r="1578"><cell r="D1578" t="str"><v>43358PS7B53</v></cell><cell r="E1578" t="str"><v>43358PS7B53</v></cell><cell r="F1578" t="str"><v>Appended from Pub - Not in DCM</v></cell></row><row r="1578"><cell r="I1578" t="str"><v>Azure Direct</v></cell><cell r="J1578" t="str"><v>Azure Direct</v></cell><cell r="K1578" t="str"><v>September</v></cell><cell r="L1578"><v>43358</v></cell><cell r="M1578" t="str"><v>Tier 0</v></cell><cell r="N1578" t="str"><v>North America</v></cell><cell r="O1578" t="str"><v>United States</v></cell><cell r="P1578" t="str"><v>Trial</v></cell><cell r="Q1578" t="str"><v>Social</v></cell><cell r="R1578" t="str"><v>Azure</v></cell><cell r="S1578" t="str"><v>Apps & Infra</v></cell><cell r="T1578" t="str"><v>Developers & ITI's</v></cell><cell r="U1578" t="str"><v>USA-Trial-ITD-Trial Lookalike-AZR-AZR</v></cell><cell r="V1578" t="str"><v>Lookalike Targeting</v></cell><cell r="W1578" t="str"><v>Canvas Ad</v></cell></row><row r="1578"><cell r="AA1578"><v>43358</v></cell><cell r="AB1578" t="str"><v>USA_gaPMG_AZR_AZR_Q1_19_Direct-Social</v></cell><cell r="AC1578"><v>21358715</v></cell><cell r="AD1578"><v>720197</v></cell><cell r="AE1578" t="str"><v>Linkedin</v></cell><cell r="AF1578"><v>3654329</v></cell><cell r="AG1578" t="str"><v>FACEBOOK»USA-Trial-ITD-Trial Lookalike-AZR-AZR»1 x 1»SocialBan»CAN»ALL»CPA»LAL»X»NA»SS»NA»FreeAcctITProFB-AnimatedSecureMngd-Ch1»PS7B53</v></cell><cell r="AH1578" t="str"><v>PS7B53</v></cell></row><row r="1579"><cell r="D1579" t="str"><v>43358PS79T7</v></cell><cell r="E1579" t="str"><v>43358104593735PS79T7</v></cell><cell r="F1579" t="str"><v>Appended from Pub - Not in DCM</v></cell></row><row r="1579"><cell r="I1579" t="str"><v>Azure Direct</v></cell><cell r="J1579" t="str"><v>Azure Direct</v></cell><cell r="K1579" t="str"><v>September</v></cell><cell r="L1579"><v>43358</v></cell><cell r="M1579" t="str"><v>Tier 0</v></cell><cell r="N1579" t="str"><v>North America</v></cell><cell r="O1579" t="str"><v>United States</v></cell><cell r="P1579" t="str"><v>Trial</v></cell><cell r="Q1579" t="str"><v>Social</v></cell><cell r="R1579" t="str"><v>Azure</v></cell><cell r="S1579" t="str"><v>Apps & Infra</v></cell><cell r="T1579" t="str"><v>Developers & ITI's</v></cell><cell r="U1579" t="str"><v>USA-Trial-ITD-Retargeting-AZR-AZR</v></cell><cell r="V1579" t="str"><v>Retargeting</v></cell><cell r="W1579" t="str"><v>Canvas Ad</v></cell><cell r="X1579" t="str"><v>1200x1200</v></cell><cell r="Y1579" t="str"><v>Learn More</v></cell><cell r="Z1579" t="str"><v>Animated Banner</v></cell><cell r="AA1579"><v>43358</v></cell><cell r="AB1579" t="str"><v>USA_gaPMG_AZR_AZR_Q1_19_Direct-Social</v></cell><cell r="AC1579"><v>21358715</v></cell><cell r="AD1579"><v>720197</v></cell><cell r="AE1579" t="str"><v>Linkedin</v></cell><cell r="AF1579"><v>3654329</v></cell><cell r="AG1579" t="str"><v>FACEBOOK»USA-Trial-ITD-Retargeting-AZR-AZR»1 x 1»SocialBan»CAN»ALL»CPA»RT»X»NA»SS»NA»FreeAcctDeveloperFB-AnimatedAI-Ch3»PS79T7</v></cell><cell r="AH1579" t="str"><v>PS79T7</v></cell><cell r="AI1579" t="str"><v>AZR_FreeAcctDeveloperFB-AnimatedAI-Ch3_USA_1200x1200_CAN_Direct_EN_Trial_Standard_ANI_LEA_T3_1</v></cell><cell r="AJ1579"><v>104593735</v></cell></row><row r="1580"><cell r="D1580" t="str"><v>43358PRC2M1</v></cell><cell r="E1580" t="str"><v>43358PRC2M1</v></cell><cell r="F1580" t="str"><v>Appended from Pub - Not in DCM</v></cell></row><row r="1580"><cell r="I1580" t="str"><v>Azure Direct</v></cell><cell r="J1580" t="str"><v>Azure Direct</v></cell><cell r="K1580" t="str"><v>September</v></cell><cell r="L1580"><v>43358</v></cell><cell r="M1580" t="str"><v>Tier 0</v></cell><cell r="N1580" t="str"><v>North America</v></cell><cell r="O1580" t="str"><v>United States</v></cell><cell r="P1580" t="str"><v>Trial</v></cell><cell r="Q1580" t="str"><v>Social</v></cell><cell r="R1580" t="str"><v>Azure</v></cell><cell r="S1580" t="str"><v>Apps & Infra</v></cell><cell r="T1580" t="str"><v>Developers & ITI's</v></cell><cell r="U1580" t="str"><v>USA-Trial-ITD-Lead Completes-AZR-AZR</v></cell><cell r="V1580" t="e"><v>#VALUE!</v></cell><cell r="W1580" t="e"><v>#VALUE!</v></cell></row><row r="1580"><cell r="AA1580"><v>43358</v></cell><cell r="AB1580" t="str"><v>USA_gaPMG_AZR_AZR_Q1_19_Direct-Social</v></cell><cell r="AC1580"><v>21358715</v></cell><cell r="AD1580"><v>720197</v></cell><cell r="AE1580" t="str"><v>Linkedin</v></cell><cell r="AF1580"><v>3654329</v></cell><cell r="AG1580" t="str"><v>INSTAGRAM»USA-Trial-ITD-Lead Completes-AZR-AZR»1 x 1»SocialBan»CAN»ALL»CPA»PRO»X»NA»SS»NA»IGCTCBrandinMotion»PRC2M1</v></cell><cell r="AH1580" t="str"><v>PRC2M1</v></cell></row><row r="1581"><cell r="D1581" t="str"><v>43358PRC2FZ</v></cell><cell r="E1581" t="str"><v>43358103180628PRC2FZ</v></cell><cell r="F1581" t="str"><v>Appended from Pub - Not in DCM</v></cell></row><row r="1581"><cell r="I1581" t="str"><v>Azure Direct</v></cell><cell r="J1581" t="str"><v>Azure Direct</v></cell><cell r="K1581" t="str"><v>September</v></cell><cell r="L1581"><v>43358</v></cell><cell r="M1581" t="str"><v>Tier 0</v></cell><cell r="N1581" t="str"><v>North America</v></cell><cell r="O1581" t="str"><v>United States</v></cell><cell r="P1581" t="str"><v>Trial</v></cell><cell r="Q1581" t="str"><v>Social</v></cell><cell r="R1581" t="str"><v>Azure</v></cell><cell r="S1581" t="str"><v>Apps & Infra</v></cell><cell r="T1581" t="str"><v>Developers & ITI's</v></cell><cell r="U1581" t="str"><v>USA-Trial-ITD-Trial PayGo Lookalike-AZR-AZR</v></cell><cell r="V1581" t="str"><v>Lookalike Targeting</v></cell><cell r="W1581" t="str"><v>Canvas Ad</v></cell><cell r="X1581" t="str"><v>10s</v></cell><cell r="Y1581" t="str"><v>Try it Now</v></cell><cell r="Z1581" t="str"><v>Standard videos</v></cell><cell r="AA1581"><v>43358</v></cell><cell r="AB1581" t="str"><v>USA_gaPMG_AZR_AZR_Q1_19_Direct-Social</v></cell><cell r="AC1581"><v>21358715</v></cell><cell r="AD1581"><v>720197</v></cell><cell r="AE1581" t="str"><v>Linkedin</v></cell><cell r="AF1581"><v>3654329</v></cell><cell r="AG1581" t="str"><v>INSTAGRAM»USA-Trial-ITD-Trial PayGo Lookalike-AZR-AZR»1 x 1»SocialBan»CAN»ALL»CPA»LAL»X»NA»SS»NA»IGCTCBenefit2inMotion»PRC2FZ</v></cell><cell r="AH1581" t="str"><v>PRC2FZ</v></cell><cell r="AI1581" t="str"><v>AzurePlatform_IGCTCBrandinMotion_USA_10s_CAN_PLATFORM_English_Trial_Standard_STAN_TIN_T2_1</v></cell><cell r="AJ1581"><v>103180628</v></cell></row><row r="1582"><cell r="D1582" t="str"><v>43358PRC1M3</v></cell><cell r="E1582" t="str"><v>43358103176812PRC1M3</v></cell><cell r="F1582" t="str"><v>Appended from Pub - Not in DCM</v></cell></row><row r="1582"><cell r="I1582" t="str"><v>Azure Direct</v></cell><cell r="J1582" t="str"><v>Azure Direct</v></cell><cell r="K1582" t="str"><v>September</v></cell><cell r="L1582"><v>43358</v></cell><cell r="M1582" t="str"><v>Tier 0</v></cell><cell r="N1582" t="str"><v>North America</v></cell><cell r="O1582" t="str"><v>United States</v></cell><cell r="P1582" t="str"><v>Trial</v></cell><cell r="Q1582" t="str"><v>Social</v></cell><cell r="R1582" t="str"><v>Azure</v></cell><cell r="S1582" t="str"><v>Apps & Infra</v></cell><cell r="T1582" t="str"><v>Developers & ITI's</v></cell><cell r="U1582" t="str"><v>USA-Trial-ITD-Trial Lookalike-AZR-AZR</v></cell><cell r="V1582" t="str"><v>Lookalike Targeting</v></cell><cell r="W1582" t="str"><v>Canvas Ad</v></cell><cell r="X1582" t="str"><v>10s</v></cell><cell r="Y1582" t="str"><v>Try it Now</v></cell><cell r="Z1582" t="str"><v>Standard videos</v></cell><cell r="AA1582"><v>43358</v></cell><cell r="AB1582" t="str"><v>USA_gaPMG_AZR_AZR_Q1_19_Direct-Social</v></cell><cell r="AC1582"><v>21358715</v></cell><cell r="AD1582"><v>720197</v></cell><cell r="AE1582" t="str"><v>Linkedin</v></cell><cell r="AF1582"><v>3654329</v></cell><cell r="AG1582" t="str"><v>FACEBOOK»USA-Trial-ITD-Trial Lookalike-AZR-AZR»1 x 1»SocialBan»CAN»ALL»CPA»LAL»X»NA»SS»NA»FBCTCBrandinMotion»PRC1M3</v></cell><cell r="AH1582" t="str"><v>PRC1M3</v></cell><cell r="AI1582" t="str"><v>AzurePlatform_FBCTCBrandinMotion_USA_10s_CAN_PLATFORM_English_Trial_Standard_STAN_TIN_T2_1</v></cell><cell r="AJ1582"><v>103176812</v></cell></row><row r="1583"><cell r="D1583" t="str"><v>43358PRC2FK</v></cell><cell r="E1583" t="str"><v>43358103050780PRC2FK</v></cell><cell r="F1583" t="str"><v>Appended from Pub - Not in DCM</v></cell></row><row r="1583"><cell r="I1583" t="str"><v>Azure Direct</v></cell><cell r="J1583" t="str"><v>Azure Direct</v></cell><cell r="K1583" t="str"><v>September</v></cell><cell r="L1583"><v>43358</v></cell><cell r="M1583" t="str"><v>Tier 0</v></cell><cell r="N1583" t="str"><v>North America</v></cell><cell r="O1583" t="str"><v>United States</v></cell><cell r="P1583" t="str"><v>Trial</v></cell><cell r="Q1583" t="str"><v>Social</v></cell><cell r="R1583" t="str"><v>Azure</v></cell><cell r="S1583" t="str"><v>Apps & Infra</v></cell><cell r="T1583" t="str"><v>Developers & ITI's</v></cell><cell r="U1583" t="str"><v>USA-Trial-ITD-Trial Lookalike-AZR-AZR</v></cell><cell r="V1583" t="str"><v>Lookalike Targeting</v></cell><cell r="W1583" t="str"><v>Canvas Ad</v></cell><cell r="X1583" t="str"><v>10s</v></cell><cell r="Y1583" t="str"><v>Try it Now</v></cell><cell r="Z1583" t="str"><v>Standard videos</v></cell><cell r="AA1583"><v>43358</v></cell><cell r="AB1583" t="str"><v>USA_gaPMG_AZR_AZR_Q1_19_Direct-Social</v></cell><cell r="AC1583"><v>21358715</v></cell><cell r="AD1583"><v>720197</v></cell><cell r="AE1583" t="str"><v>Linkedin</v></cell><cell r="AF1583"><v>3654329</v></cell><cell r="AG1583" t="str"><v>INSTAGRAM»USA-Trial-ITD-Trial Lookalike-AZR-AZR»1 x 1»SocialBan»CAN»ALL»CPA»LAL»X»NA»SS»NA»IGCTCBenefitinMotion»PRC2FK</v></cell><cell r="AH1583" t="str"><v>PRC2FK</v></cell><cell r="AI1583" t="str"><v>AzurePlatform_IGCTCBenefitinMotion_USA_10s_CAN_PLATFORM_English_Trial_Standard_STAN_TIN_T3_1</v></cell><cell r="AJ1583"><v>103050780</v></cell></row><row r="1584"><cell r="D1584" t="str"><v>43358PRC2G3</v></cell><cell r="E1584" t="str"><v>43358103178714PRC2G3</v></cell><cell r="F1584" t="str"><v>Appended from Pub - Not in DCM</v></cell></row><row r="1584"><cell r="I1584" t="str"><v>Azure Direct</v></cell><cell r="J1584" t="str"><v>Azure Direct</v></cell><cell r="K1584" t="str"><v>September</v></cell><cell r="L1584"><v>43358</v></cell><cell r="M1584" t="str"><v>Tier 0</v></cell><cell r="N1584" t="str"><v>North America</v></cell><cell r="O1584" t="str"><v>United States</v></cell><cell r="P1584" t="str"><v>Trial</v></cell><cell r="Q1584" t="str"><v>Social</v></cell><cell r="R1584" t="str"><v>Azure</v></cell><cell r="S1584" t="str"><v>Apps & Infra</v></cell><cell r="T1584" t="str"><v>Developers & ITI's</v></cell><cell r="U1584" t="str"><v>USA-Trial-ITD-Retargeting-AZR-AZR</v></cell><cell r="V1584" t="str"><v>Retargeting</v></cell><cell r="W1584" t="str"><v>Canvas Ad</v></cell><cell r="X1584" t="str"><v>10s</v></cell><cell r="Y1584" t="str"><v>Try it Now</v></cell><cell r="Z1584" t="str"><v>Standard videos</v></cell><cell r="AA1584"><v>43358</v></cell><cell r="AB1584" t="str"><v>USA_gaPMG_AZR_AZR_Q1_19_Direct-Social</v></cell><cell r="AC1584"><v>21358715</v></cell><cell r="AD1584"><v>720197</v></cell><cell r="AE1584" t="str"><v>Linkedin</v></cell><cell r="AF1584"><v>3654329</v></cell><cell r="AG1584" t="str"><v>INSTAGRAM»USA-Trial-ITD-Retargeting-AZR-AZR»1 x 1»SocialBan»CAN»ALL»CPA»RT»X»NA»SS»NA»IGCTCBrandinMotion»PRC2G3</v></cell><cell r="AH1584" t="str"><v>PRC2G3</v></cell><cell r="AI1584" t="str"><v>AzurePlatform_IGCTCBenefit2inMotion_USA_10s_CAN_PLATFORM_English_Trial_Standard_STAN_TIN_T4_2</v></cell><cell r="AJ1584"><v>103178714</v></cell></row><row r="1585"><cell r="D1585" t="str"><v>43358PS79JV</v></cell><cell r="E1585" t="str"><v>43358PS79JV</v></cell><cell r="F1585" t="str"><v>Appended from Pub - Not in DCM</v></cell></row><row r="1585"><cell r="I1585" t="str"><v>Azure Direct</v></cell><cell r="J1585" t="str"><v>Azure Direct</v></cell><cell r="K1585" t="str"><v>September</v></cell><cell r="L1585"><v>43358</v></cell><cell r="M1585" t="str"><v>Tier 0</v></cell><cell r="N1585" t="str"><v>North America</v></cell><cell r="O1585" t="str"><v>United States</v></cell><cell r="P1585" t="str"><v>Trial</v></cell><cell r="Q1585" t="str"><v>Social</v></cell><cell r="R1585" t="str"><v>Azure</v></cell><cell r="S1585" t="str"><v>Apps & Infra</v></cell><cell r="T1585" t="str"><v>Developers & ITI's</v></cell><cell r="U1585" t="str"><v>USA-Trial-ITD-Lead Completes-AZR-AZR</v></cell><cell r="V1585" t="str"><v>Prospecting</v></cell><cell r="W1585" t="str"><v>Canvas Ad</v></cell></row><row r="1585"><cell r="AA1585"><v>43358</v></cell><cell r="AB1585" t="str"><v>USA_gaPMG_AZR_AZR_Q1_19_Direct-Social</v></cell><cell r="AC1585"><v>21358715</v></cell><cell r="AD1585"><v>720197</v></cell><cell r="AE1585" t="str"><v>Linkedin</v></cell><cell r="AF1585"><v>3654329</v></cell><cell r="AG1585" t="str"><v>FACEBOOK»USA-Trial-ITD-Lead Completes-AZR-AZR»1 x 1»SocialBan»CAN»ALL»CPA»PRO»X»NA»SS»NA»FreeAcctDeveloperFB-AnimatedOpenSource-Ch2»PS79JV</v></cell><cell r="AH1585" t="str"><v>PS79JV</v></cell></row><row r="1586"><cell r="D1586" t="str"><v>43358PS79JX</v></cell><cell r="E1586" t="str"><v>43358PS79JX</v></cell><cell r="F1586" t="str"><v>Appended from Pub - Not in DCM</v></cell></row><row r="1586"><cell r="I1586" t="str"><v>Azure Direct</v></cell><cell r="J1586" t="str"><v>Azure Direct</v></cell><cell r="K1586" t="str"><v>September</v></cell><cell r="L1586"><v>43358</v></cell><cell r="M1586" t="str"><v>Tier 0</v></cell><cell r="N1586" t="str"><v>North America</v></cell><cell r="O1586" t="str"><v>United States</v></cell><cell r="P1586" t="str"><v>Trial</v></cell><cell r="Q1586" t="str"><v>Social</v></cell><cell r="R1586" t="str"><v>Azure</v></cell><cell r="S1586" t="str"><v>Apps & Infra</v></cell><cell r="T1586" t="str"><v>Developers & ITI's</v></cell><cell r="U1586" t="str"><v>USA-Trial-ITD-Lead Completes-AZR-AZR</v></cell><cell r="V1586" t="str"><v>Prospecting</v></cell><cell r="W1586" t="str"><v>Canvas Ad</v></cell></row><row r="1586"><cell r="AA1586"><v>43358</v></cell><cell r="AB1586" t="str"><v>USA_gaPMG_AZR_AZR_Q1_19_Direct-Social</v></cell><cell r="AC1586"><v>21358715</v></cell><cell r="AD1586"><v>720197</v></cell><cell r="AE1586" t="str"><v>Linkedin</v></cell><cell r="AF1586"><v>3654329</v></cell><cell r="AG1586" t="str"><v>FACEBOOK»USA-Trial-ITD-Lead Completes-AZR-AZR»1 x 1»SocialBan»CAN»ALL»CPA»PRO»X»NA»SS»NA»FreeAcctDeveloperFB-AnimatedData-Ch4»PS79JX</v></cell><cell r="AH1586" t="str"><v>PS79JX</v></cell></row><row r="1587"><cell r="D1587" t="str"><v>43358PS79JP</v></cell><cell r="E1587" t="str"><v>43358PS79JP</v></cell><cell r="F1587" t="str"><v>Appended from Pub - Not in DCM</v></cell></row><row r="1587"><cell r="I1587" t="str"><v>Azure Direct</v></cell><cell r="J1587" t="str"><v>Azure Direct</v></cell><cell r="K1587" t="str"><v>September</v></cell><cell r="L1587"><v>43358</v></cell><cell r="M1587" t="str"><v>Tier 0</v></cell><cell r="N1587" t="str"><v>North America</v></cell><cell r="O1587" t="str"><v>United States</v></cell><cell r="P1587" t="str"><v>Trial</v></cell><cell r="Q1587" t="str"><v>Social</v></cell><cell r="R1587" t="str"><v>Azure</v></cell><cell r="S1587" t="str"><v>Apps & Infra</v></cell><cell r="T1587" t="str"><v>Developers & ITI's</v></cell><cell r="U1587" t="str"><v>USA-Trial-ITD-Lead Completes-AZR-AZR</v></cell><cell r="V1587" t="str"><v>Prospecting</v></cell><cell r="W1587" t="str"><v>Canvas Ad</v></cell></row><row r="1587"><cell r="AA1587"><v>43358</v></cell><cell r="AB1587" t="str"><v>USA_gaPMG_AZR_AZR_Q1_19_Direct-Social</v></cell><cell r="AC1587"><v>21358715</v></cell><cell r="AD1587"><v>720197</v></cell><cell r="AE1587" t="str"><v>Linkedin</v></cell><cell r="AF1587"><v>3654329</v></cell><cell r="AG1587" t="str"><v>FACEBOOK»USA-Trial-ITD-Lead Completes-AZR-AZR»1 x 1»SocialBan»CAN»ALL»CPA»PRO»X»NA»SS»NA»FreeAcctDeveloperFB-AnimatedGeneric-Ch1»PS79JP</v></cell><cell r="AH1587" t="str"><v>PS79JP</v></cell></row><row r="1588"><cell r="D1588" t="str"><v>43358PS79JW</v></cell><cell r="E1588" t="str"><v>43358PS79JW</v></cell><cell r="F1588" t="str"><v>Appended from Pub - Not in DCM</v></cell></row><row r="1588"><cell r="I1588" t="str"><v>Azure Direct</v></cell><cell r="J1588" t="str"><v>Azure Direct</v></cell><cell r="K1588" t="str"><v>September</v></cell><cell r="L1588"><v>43358</v></cell><cell r="M1588" t="str"><v>Tier 0</v></cell><cell r="N1588" t="str"><v>North America</v></cell><cell r="O1588" t="str"><v>United States</v></cell><cell r="P1588" t="str"><v>Trial</v></cell><cell r="Q1588" t="str"><v>Social</v></cell><cell r="R1588" t="str"><v>Azure</v></cell><cell r="S1588" t="str"><v>Apps & Infra</v></cell><cell r="T1588" t="str"><v>Developers & ITI's</v></cell><cell r="U1588" t="str"><v>USA-Trial-ITD-Lead Completes-AZR-AZR</v></cell><cell r="V1588" t="str"><v>Prospecting</v></cell><cell r="W1588" t="str"><v>Canvas Ad</v></cell></row><row r="1588"><cell r="AA1588"><v>43358</v></cell><cell r="AB1588" t="str"><v>USA_gaPMG_AZR_AZR_Q1_19_Direct-Social</v></cell><cell r="AC1588"><v>21358715</v></cell><cell r="AD1588"><v>720197</v></cell><cell r="AE1588" t="str"><v>Linkedin</v></cell><cell r="AF1588"><v>3654329</v></cell><cell r="AG1588" t="str"><v>FACEBOOK»USA-Trial-ITD-Lead Completes-AZR-AZR»1 x 1»SocialBan»CAN»ALL»CPA»PRO»X»NA»SS»NA»FreeAcctDeveloperFB-AnimatedAI-Ch3»PS79JW</v></cell><cell r="AH1588" t="str"><v>PS79JW</v></cell></row><row r="1589"><cell r="D1589" t="str"><v>43358PS79FT</v></cell><cell r="E1589" t="str"><v>43358PS79FT</v></cell><cell r="F1589" t="str"><v>Appended from Pub - Not in DCM</v></cell></row><row r="1589"><cell r="I1589" t="str"><v>Azure Direct</v></cell><cell r="J1589" t="str"><v>Azure Direct</v></cell><cell r="K1589" t="str"><v>September</v></cell><cell r="L1589"><v>43358</v></cell><cell r="M1589" t="str"><v>Tier 0</v></cell><cell r="N1589" t="str"><v>North America</v></cell><cell r="O1589" t="str"><v>United States</v></cell><cell r="P1589" t="str"><v>Trial</v></cell><cell r="Q1589" t="str"><v>Social</v></cell><cell r="R1589" t="str"><v>Azure</v></cell><cell r="S1589" t="str"><v>Apps & Infra</v></cell><cell r="T1589" t="str"><v>Developers & ITI's</v></cell><cell r="U1589" t="str"><v>USA-Trial-ITD-Lead Completes Lookalike-AZR-AZR</v></cell><cell r="V1589" t="str"><v>Lookalike Targeting</v></cell><cell r="W1589" t="str"><v>Canvas Ad</v></cell></row><row r="1589"><cell r="AA1589"><v>43358</v></cell><cell r="AB1589" t="str"><v>USA_gaPMG_AZR_AZR_Q1_19_Direct-Social</v></cell><cell r="AC1589"><v>21358715</v></cell><cell r="AD1589"><v>720197</v></cell><cell r="AE1589" t="str"><v>Linkedin</v></cell><cell r="AF1589"><v>3654329</v></cell><cell r="AG1589" t="str"><v>FACEBOOK»USA-Trial-ITD-Lead Completes Lookalike-AZR-AZR»1 x 1»SocialBan»CAN»ALL»CPA»LAL»X»NA»SS»NA»FreeAcctDeveloperFB-AnimatedGeneric-Ch1»PS79FT</v></cell><cell r="AH1589" t="str"><v>PS79FT</v></cell></row><row r="1590"><cell r="D1590" t="str"><v>43358PS79G1</v></cell><cell r="E1590" t="str"><v>43358104595739PS79G1</v></cell><cell r="F1590" t="str"><v>Appended from Pub - Not in DCM</v></cell></row><row r="1590"><cell r="I1590" t="str"><v>Azure Direct</v></cell><cell r="J1590" t="str"><v>Azure Direct</v></cell><cell r="K1590" t="str"><v>September</v></cell><cell r="L1590"><v>43358</v></cell><cell r="M1590" t="str"><v>Tier 0</v></cell><cell r="N1590" t="str"><v>North America</v></cell><cell r="O1590" t="str"><v>United States</v></cell><cell r="P1590" t="str"><v>Trial</v></cell><cell r="Q1590" t="str"><v>Social</v></cell><cell r="R1590" t="str"><v>Azure</v></cell><cell r="S1590" t="str"><v>Apps & Infra</v></cell><cell r="T1590" t="str"><v>Developers & ITI's</v></cell><cell r="U1590" t="str"><v>USA-Trial-ITD-Lead Completes Lookalike-AZR-AZR</v></cell><cell r="V1590" t="str"><v>Lookalike Targeting</v></cell><cell r="W1590" t="str"><v>Canvas Ad</v></cell><cell r="X1590" t="str"><v>1200x1200</v></cell><cell r="Y1590" t="str"><v>Learn More</v></cell><cell r="Z1590" t="str"><v>Animated Banner</v></cell><cell r="AA1590"><v>43358</v></cell><cell r="AB1590" t="str"><v>USA_gaPMG_AZR_AZR_Q1_19_Direct-Social</v></cell><cell r="AC1590"><v>21358715</v></cell><cell r="AD1590"><v>720197</v></cell><cell r="AE1590" t="str"><v>Linkedin</v></cell><cell r="AF1590"><v>3654329</v></cell><cell r="AG1590" t="str"><v>FACEBOOK»USA-Trial-ITD-Lead Completes Lookalike-AZR-AZR»1 x 1»SocialBan»CAN»ALL»CPA»LAL»X»NA»SS»NA»FreeAcctDeveloperFB-AnimatedData-Ch4»PS79G1</v></cell><cell r="AH1590" t="str"><v>PS79G1</v></cell><cell r="AI1590" t="str"><v>AZR_FreeAcctDeveloperFB-AnimatedData-Ch4_USA_1200x1200_CAN_Direct_EN_Trial_Standard_ANI_LEA_T4_1</v></cell><cell r="AJ1590"><v>104595739</v></cell></row><row r="1591"><cell r="D1591" t="str"><v>43358PS79G4</v></cell><cell r="E1591" t="str"><v>43358104671427PS79G4</v></cell><cell r="F1591" t="str"><v>Appended from Pub - Not in DCM</v></cell></row><row r="1591"><cell r="I1591" t="str"><v>Azure Direct</v></cell><cell r="J1591" t="str"><v>Azure Direct</v></cell><cell r="K1591" t="str"><v>September</v></cell><cell r="L1591"><v>43358</v></cell><cell r="M1591" t="str"><v>Tier 0</v></cell><cell r="N1591" t="str"><v>North America</v></cell><cell r="O1591" t="str"><v>United States</v></cell><cell r="P1591" t="str"><v>Trial</v></cell><cell r="Q1591" t="str"><v>Social</v></cell><cell r="R1591" t="str"><v>Azure</v></cell><cell r="S1591" t="str"><v>Apps & Infra</v></cell><cell r="T1591" t="str"><v>Developers & ITI's</v></cell><cell r="U1591" t="str"><v>USA-Trial-ITD-Lead Completes Lookalike-AZR-AZR</v></cell><cell r="V1591" t="str"><v>Lookalike Targeting</v></cell><cell r="W1591" t="str"><v>Canvas Ad</v></cell><cell r="X1591" t="str"><v>1200x1200</v></cell><cell r="Y1591" t="str"><v>Learn More</v></cell><cell r="Z1591" t="str"><v>Animated Banner</v></cell><cell r="AA1591"><v>43358</v></cell><cell r="AB1591" t="str"><v>USA_gaPMG_AZR_AZR_Q1_19_Direct-Social</v></cell><cell r="AC1591"><v>21358715</v></cell><cell r="AD1591"><v>720197</v></cell><cell r="AE1591" t="str"><v>Linkedin</v></cell><cell r="AF1591"><v>3654329</v></cell><cell r="AG1591" t="str"><v>FACEBOOK»USA-Trial-ITD-Lead Completes Lookalike-AZR-AZR»1 x 1»SocialBan»CAN»ALL»CPA»LAL»X»NA»SS»NA»FreeAcctDeveloperFB-AnimatedOpenSource-Ch2»PS79G4</v></cell><cell r="AH1591" t="str"><v>PS79G4</v></cell><cell r="AI1591" t="str"><v>AZR_FreeAcctDeveloperFB-AnimatedOpenSource-Ch2_USA_1200x1200_CAN_Direct_EN_Trial_Standard_ANI_LEA_T2_1</v></cell><cell r="AJ1591"><v>104671427</v></cell></row><row r="1592"><cell r="D1592" t="str"><v>43358PS79K5</v></cell><cell r="E1592" t="str"><v>43358PS79K5</v></cell><cell r="F1592" t="str"><v>Appended from Pub - Not in DCM</v></cell></row><row r="1592"><cell r="I1592" t="str"><v>Azure Direct</v></cell><cell r="J1592" t="str"><v>Azure Direct</v></cell><cell r="K1592" t="str"><v>September</v></cell><cell r="L1592"><v>43358</v></cell><cell r="M1592" t="str"><v>Tier 0</v></cell><cell r="N1592" t="str"><v>North America</v></cell><cell r="O1592" t="str"><v>United States</v></cell><cell r="P1592" t="str"><v>Trial</v></cell><cell r="Q1592" t="str"><v>Social</v></cell><cell r="R1592" t="str"><v>Azure</v></cell><cell r="S1592" t="str"><v>Apps & Infra</v></cell><cell r="T1592" t="str"><v>Developers & ITI's</v></cell><cell r="U1592" t="str"><v>USA-Trial-ITD-Lead Completes-AZR-AZR</v></cell><cell r="V1592" t="str"><v>Prospecting</v></cell><cell r="W1592" t="str"><v>Canvas Ad</v></cell></row><row r="1592"><cell r="AA1592"><v>43358</v></cell><cell r="AB1592" t="str"><v>USA_gaPMG_AZR_AZR_Q1_19_Direct-Social</v></cell><cell r="AC1592"><v>21358715</v></cell><cell r="AD1592"><v>720197</v></cell><cell r="AE1592" t="str"><v>Linkedin</v></cell><cell r="AF1592"><v>3654329</v></cell><cell r="AG1592" t="str"><v>FACEBOOK»USA-Trial-ITD-Lead Completes-AZR-AZR»1 x 1»SocialBan»CAN»ALL»CPA»PRO»X»NA»SS»NA»FreeAcctITProFB-AnimatedMigration-Ch3»PS79K5</v></cell><cell r="AH1592" t="str"><v>PS79K5</v></cell></row><row r="1593"><cell r="D1593" t="str"><v>43358PS79G3</v></cell><cell r="E1593" t="str"><v>43358104595745PS79G3</v></cell><cell r="F1593" t="str"><v>Appended from Pub - Not in DCM</v></cell></row><row r="1593"><cell r="I1593" t="str"><v>Azure Direct</v></cell><cell r="J1593" t="str"><v>Azure Direct</v></cell><cell r="K1593" t="str"><v>September</v></cell><cell r="L1593"><v>43358</v></cell><cell r="M1593" t="str"><v>Tier 0</v></cell><cell r="N1593" t="str"><v>North America</v></cell><cell r="O1593" t="str"><v>United States</v></cell><cell r="P1593" t="str"><v>Trial</v></cell><cell r="Q1593" t="str"><v>Social</v></cell><cell r="R1593" t="str"><v>Azure</v></cell><cell r="S1593" t="str"><v>Apps & Infra</v></cell><cell r="T1593" t="str"><v>Developers & ITI's</v></cell><cell r="U1593" t="str"><v>USA-Trial-ITD-Lead Completes Lookalike-AZR-AZR</v></cell><cell r="V1593" t="str"><v>Lookalike Targeting</v></cell><cell r="W1593" t="str"><v>Canvas Ad</v></cell><cell r="X1593" t="str"><v>1200x1200</v></cell><cell r="Y1593" t="str"><v>Learn More</v></cell><cell r="Z1593" t="str"><v>Animated Banner</v></cell><cell r="AA1593"><v>43358</v></cell><cell r="AB1593" t="str"><v>USA_gaPMG_AZR_AZR_Q1_19_Direct-Social</v></cell><cell r="AC1593"><v>21358715</v></cell><cell r="AD1593"><v>720197</v></cell><cell r="AE1593" t="str"><v>Linkedin</v></cell><cell r="AF1593"><v>3654329</v></cell><cell r="AG1593" t="str"><v>FACEBOOK»USA-Trial-ITD-Lead Completes Lookalike-AZR-AZR»1 x 1»SocialBan»CAN»ALL»CPA»LAL»X»NA»SS»NA»FreeAcctDeveloperFB-AnimatedAI-Ch3»PS79G3</v></cell><cell r="AH1593" t="str"><v>PS79G3</v></cell><cell r="AI1593" t="str"><v>AZR_FreeAcctDeveloperFB-AnimatedAI-Ch3_USA_1200x1200_CAN_Direct_EN_Trial_Standard_ANI_LEA_T3_2</v></cell><cell r="AJ1593"><v>104595745</v></cell></row><row r="1594"><cell r="D1594" t="str"><v>43358PRX721</v></cell><cell r="E1594" t="str"><v>43358104593426PRX721</v></cell><cell r="F1594" t="str"><v>Appended from Pub - Not in DCM</v></cell></row><row r="1594"><cell r="I1594" t="str"><v>Azure Direct</v></cell><cell r="J1594" t="str"><v>Azure Direct</v></cell><cell r="K1594" t="str"><v>September</v></cell><cell r="L1594"><v>43358</v></cell><cell r="M1594" t="str"><v>Tier 0</v></cell><cell r="N1594" t="str"><v>North America</v></cell><cell r="O1594" t="str"><v>United States</v></cell><cell r="P1594" t="str"><v>Trial</v></cell><cell r="Q1594" t="str"><v>Social</v></cell><cell r="R1594" t="str"><v>Azure</v></cell><cell r="S1594" t="str"><v>Apps & Infra</v></cell><cell r="T1594" t="str"><v>Developers & ITI's</v></cell><cell r="U1594" t="str"><v>USA-Trial-ITD-Lead Completes Lookalike-AZR-AZR</v></cell><cell r="V1594" t="str"><v>Lookalike Targeting</v></cell><cell r="W1594" t="str"><v>Canvas Ad</v></cell><cell r="X1594" t="str"><v>10s</v></cell><cell r="Y1594" t="str"><v>Try it Now</v></cell><cell r="Z1594" t="str"><v>Standard videos</v></cell><cell r="AA1594"><v>43358</v></cell><cell r="AB1594" t="str"><v>USA_gaPMG_AZR_AZR_Q1_19_Direct-Social</v></cell><cell r="AC1594"><v>21358715</v></cell><cell r="AD1594"><v>720197</v></cell><cell r="AE1594" t="str"><v>Linkedin</v></cell><cell r="AF1594"><v>3654329</v></cell><cell r="AG1594" t="str"><v>FACEBOOK»USA-Trial-ITD-Lead Completes Lookalike-AZR-AZR»1 x 1»SocialBan»CAN»ALL»CPA»LAL»X»NA»SS»NA»FBCTCBasicMotion»PRX721</v></cell><cell r="AH1594" t="str"><v>PRX721</v></cell><cell r="AI1594" t="str"><v>AZR_FBCTCBasicMotion_USA_10s_CAN_PLATFORM_English_Trial_Standard_STAN_TIN_T1_2</v></cell><cell r="AJ1594"><v>104593426</v></cell></row><row r="1595"><cell r="D1595" t="str"><v>43358PS7DLR</v></cell><cell r="E1595" t="str"><v>43358104593450PS7DLR</v></cell><cell r="F1595" t="str"><v>Appended from Pub - Not in DCM</v></cell></row><row r="1595"><cell r="I1595" t="str"><v>Azure Direct</v></cell><cell r="J1595" t="str"><v>Azure Direct</v></cell><cell r="K1595" t="str"><v>September</v></cell><cell r="L1595"><v>43358</v></cell><cell r="M1595" t="str"><v>Tier 0</v></cell><cell r="N1595" t="str"><v>North America</v></cell><cell r="O1595" t="str"><v>United States</v></cell><cell r="P1595" t="str"><v>Trial</v></cell><cell r="Q1595" t="str"><v>Social</v></cell><cell r="R1595" t="str"><v>Azure</v></cell><cell r="S1595" t="str"><v>Apps & Infra</v></cell><cell r="T1595" t="str"><v>Developers & ITI's</v></cell><cell r="U1595" t="str"><v>USA-Trial-ITD-Lead Completes Lookalike-AZR-AZR</v></cell><cell r="V1595" t="str"><v>Lookalike Targeting</v></cell><cell r="W1595" t="str"><v>Canvas Ad</v></cell><cell r="X1595" t="str"><v>1200x1200</v></cell><cell r="Y1595" t="str"><v>Learn More</v></cell><cell r="Z1595" t="str"><v>Animated Banner</v></cell><cell r="AA1595"><v>43358</v></cell><cell r="AB1595" t="str"><v>USA_gaPMG_AZR_AZR_Q1_19_Direct-Social</v></cell><cell r="AC1595"><v>21358715</v></cell><cell r="AD1595"><v>720197</v></cell><cell r="AE1595" t="str"><v>Linkedin</v></cell><cell r="AF1595"><v>3654329</v></cell><cell r="AG1595" t="str"><v>FACEBOOK»USA-Trial-ITD-Lead Completes Lookalike-AZR-AZR»1 x 1»SocialBan»CAN»ALL»CPA»LAL»X»NA»SS»NA»FreeAcctITProFB-AnimatedMigration-Ch3»PS7DLR</v></cell><cell r="AH1595" t="str"><v>PS7DLR</v></cell><cell r="AI1595" t="str"><v>AZR_FreeAcctITProFB-AnimatedMigration-Ch3_USA_1200x1200_CAN_Direct_EN_Trial_Standard_ANI_LEA_T3_1</v></cell><cell r="AJ1595"><v>104593450</v></cell></row><row r="1596"><cell r="D1596" t="str"><v>43358PS79G2</v></cell><cell r="E1596" t="str"><v>43358104593738PS79G2</v></cell><cell r="F1596" t="str"><v>Appended from Pub - Not in DCM</v></cell></row><row r="1596"><cell r="I1596" t="str"><v>Azure Direct</v></cell><cell r="J1596" t="str"><v>Azure Direct</v></cell><cell r="K1596" t="str"><v>September</v></cell><cell r="L1596"><v>43358</v></cell><cell r="M1596" t="str"><v>Tier 0</v></cell><cell r="N1596" t="str"><v>North America</v></cell><cell r="O1596" t="str"><v>United States</v></cell><cell r="P1596" t="str"><v>Trial</v></cell><cell r="Q1596" t="str"><v>Social</v></cell><cell r="R1596" t="str"><v>Azure</v></cell><cell r="S1596" t="str"><v>Apps & Infra</v></cell><cell r="T1596" t="str"><v>Developers & ITI's</v></cell><cell r="U1596" t="str"><v>USA-Trial-ITD-Lead Completes Lookalike-AZR-AZR</v></cell><cell r="V1596" t="str"><v>Lookalike Targeting</v></cell><cell r="W1596" t="str"><v>Canvas Ad</v></cell><cell r="X1596" t="str"><v>1200x1200</v></cell><cell r="Y1596" t="str"><v>Learn More</v></cell><cell r="Z1596" t="str"><v>Animated Banner</v></cell><cell r="AA1596"><v>43358</v></cell><cell r="AB1596" t="str"><v>USA_gaPMG_AZR_AZR_Q1_19_Direct-Social</v></cell><cell r="AC1596"><v>21358715</v></cell><cell r="AD1596"><v>720197</v></cell><cell r="AE1596" t="str"><v>Linkedin</v></cell><cell r="AF1596"><v>3654329</v></cell><cell r="AG1596" t="str"><v>FACEBOOK»USA-Trial-ITD-Lead Completes Lookalike-AZR-AZR»1 x 1»SocialBan»CAN»ALL»CPA»LAL»X»NA»SS»NA»FreeAcctITProFB-AnimatedSecureMngd-Ch1»PS79G2</v></cell><cell r="AH1596" t="str"><v>PS79G2</v></cell><cell r="AI1596" t="str"><v>AZR_FreeAcctITProFB-AnimatedSecureMngd-Ch1_USA_1200x1200_CAN_Direct_EN_Trial_Standard_ANI_LEA_T1_1</v></cell><cell r="AJ1596"><v>104593738</v></cell></row><row r="1597"><cell r="D1597" t="str"><v>43358PS7DLN</v></cell><cell r="E1597" t="str"><v>43358104592535PS7DLN</v></cell><cell r="F1597" t="str"><v>Appended from Pub - Not in DCM</v></cell></row><row r="1597"><cell r="I1597" t="str"><v>Azure Direct</v></cell><cell r="J1597" t="str"><v>Azure Direct</v></cell><cell r="K1597" t="str"><v>September</v></cell><cell r="L1597"><v>43358</v></cell><cell r="M1597" t="str"><v>Tier 0</v></cell><cell r="N1597" t="str"><v>North America</v></cell><cell r="O1597" t="str"><v>United States</v></cell><cell r="P1597" t="str"><v>Trial</v></cell><cell r="Q1597" t="str"><v>Social</v></cell><cell r="R1597" t="str"><v>Azure</v></cell><cell r="S1597" t="str"><v>Apps & Infra</v></cell><cell r="T1597" t="str"><v>Developers & ITI's</v></cell><cell r="U1597" t="str"><v>USA-Trial-ITD-Lead Completes Lookalike-AZR-AZR</v></cell><cell r="V1597" t="str"><v>Lookalike Targeting</v></cell><cell r="W1597" t="str"><v>Canvas Ad</v></cell><cell r="X1597" t="str"><v>1200x1200</v></cell><cell r="Y1597" t="str"><v>Learn More</v></cell><cell r="Z1597" t="str"><v>Animated Banner</v></cell><cell r="AA1597"><v>43358</v></cell><cell r="AB1597" t="str"><v>USA_gaPMG_AZR_AZR_Q1_19_Direct-Social</v></cell><cell r="AC1597"><v>21358715</v></cell><cell r="AD1597"><v>720197</v></cell><cell r="AE1597" t="str"><v>Linkedin</v></cell><cell r="AF1597"><v>3654329</v></cell><cell r="AG1597" t="str"><v>FACEBOOK»USA-Trial-ITD-Lead Completes Lookalike-AZR-AZR»1 x 1»SocialBan»CAN»ALL»CPA»LAL»X»NA»SS»NA»FreeAcctITProFB-AnimatedHybrid-Ch2»PS7DLN</v></cell><cell r="AH1597" t="str"><v>PS7DLN</v></cell><cell r="AI1597" t="str"><v>AZR_FreeAcctITProFB-AnimatedHybrid-Ch2_USA_1200x1200_CAN_Direct_EN_Trial_Standard_ANI_LEA_T2_1</v></cell><cell r="AJ1597"><v>104592535</v></cell></row><row r="1598"><cell r="D1598" t="str"><v>43358PRC2FH</v></cell><cell r="E1598" t="str"><v>43358103050783PRC2FH</v></cell><cell r="F1598" t="str"><v>Appended from Pub - Not in DCM</v></cell></row><row r="1598"><cell r="I1598" t="str"><v>Azure Direct</v></cell><cell r="J1598" t="str"><v>Azure Direct</v></cell><cell r="K1598" t="str"><v>September</v></cell><cell r="L1598"><v>43358</v></cell><cell r="M1598" t="str"><v>Tier 0</v></cell><cell r="N1598" t="str"><v>North America</v></cell><cell r="O1598" t="str"><v>United States</v></cell><cell r="P1598" t="str"><v>Trial</v></cell><cell r="Q1598" t="str"><v>Social</v></cell><cell r="R1598" t="str"><v>Azure</v></cell><cell r="S1598" t="str"><v>Apps & Infra</v></cell><cell r="T1598" t="str"><v>Developers & ITI's</v></cell><cell r="U1598" t="str"><v>USA-Trial-ITD-Trial Lookalike-AZR-AZR</v></cell><cell r="V1598" t="str"><v>Lookalike Targeting</v></cell><cell r="W1598" t="str"><v>Canvas Ad</v></cell><cell r="X1598" t="str"><v>10s</v></cell><cell r="Y1598" t="str"><v>Try it Now</v></cell><cell r="Z1598" t="str"><v>Standard videos</v></cell><cell r="AA1598"><v>43358</v></cell><cell r="AB1598" t="str"><v>USA_gaPMG_AZR_AZR_Q1_19_Direct-Social</v></cell><cell r="AC1598"><v>21358715</v></cell><cell r="AD1598"><v>720197</v></cell><cell r="AE1598" t="str"><v>Linkedin</v></cell><cell r="AF1598"><v>3654329</v></cell><cell r="AG1598" t="str"><v>INSTAGRAM»USA-Trial-ITD-Trial Lookalike-AZR-AZR»1 x 1»SocialBan»CAN»ALL»CPA»LAL»X»NA»SS»NA»IGCTCBrandinMotion»PRC2FH</v></cell><cell r="AH1598" t="str"><v>PRC2FH</v></cell><cell r="AI1598" t="str"><v>AzurePlatform_IGCTCBenefit2inMotion_USA_10s_CAN_PLATFORM_English_Trial_Standard_STAN_TIN_T4_1</v></cell><cell r="AJ1598"><v>103050783</v></cell></row><row r="1599"><cell r="D1599" t="str"><v>43358PRX724</v></cell><cell r="E1599" t="str"><v>43358104593696PRX724</v></cell><cell r="F1599" t="str"><v>Appended from Pub - Not in DCM</v></cell></row><row r="1599"><cell r="I1599" t="str"><v>Azure Direct</v></cell><cell r="J1599" t="str"><v>Azure Direct</v></cell><cell r="K1599" t="str"><v>September</v></cell><cell r="L1599"><v>43358</v></cell><cell r="M1599" t="str"><v>Tier 0</v></cell><cell r="N1599" t="str"><v>North America</v></cell><cell r="O1599" t="str"><v>United States</v></cell><cell r="P1599" t="str"><v>Trial</v></cell><cell r="Q1599" t="str"><v>Social</v></cell><cell r="R1599" t="str"><v>Azure</v></cell><cell r="S1599" t="str"><v>Apps & Infra</v></cell><cell r="T1599" t="str"><v>Developers & ITI's</v></cell><cell r="U1599" t="str"><v>USA-Trial-ITD-Lead Completes Lookalike-AZR-AZR</v></cell><cell r="V1599" t="str"><v>Lookalike Targeting</v></cell><cell r="W1599" t="str"><v>Canvas Ad</v></cell><cell r="X1599" t="str"><v>10s</v></cell><cell r="Y1599" t="str"><v>Try it Now</v></cell><cell r="Z1599" t="str"><v>Standard videos</v></cell><cell r="AA1599"><v>43358</v></cell><cell r="AB1599" t="str"><v>USA_gaPMG_AZR_AZR_Q1_19_Direct-Social</v></cell><cell r="AC1599"><v>21358715</v></cell><cell r="AD1599"><v>720197</v></cell><cell r="AE1599" t="str"><v>Linkedin</v></cell><cell r="AF1599"><v>3654329</v></cell><cell r="AG1599" t="str"><v>FACEBOOK»USA-Trial-ITD-Lead Completes Lookalike-AZR-AZR»1 x 1»SocialBan»CAN»ALL»CPA»LAL»X»NA»SS»NA»FBCTCBrandinMotion»PRX724</v></cell><cell r="AH1599" t="str"><v>PRX724</v></cell><cell r="AI1599" t="str"><v>AZR_FBCTCBrandinMotion_USA_10s_CAN_PLATFORM_English_Trial_Standard_STAN_TIN_T2_1</v></cell><cell r="AJ1599"><v>104593696</v></cell></row><row r="1600"><cell r="D1600" t="str"><v>43358PRC1VX</v></cell><cell r="E1600" t="str"><v>43358103176812PRC1VX</v></cell><cell r="F1600" t="str"><v>Appended from Pub - Not in DCM</v></cell></row><row r="1600"><cell r="I1600" t="str"><v>Azure Direct</v></cell><cell r="J1600" t="str"><v>Azure Direct</v></cell><cell r="K1600" t="str"><v>September</v></cell><cell r="L1600"><v>43358</v></cell><cell r="M1600" t="str"><v>Tier 0</v></cell><cell r="N1600" t="str"><v>North America</v></cell><cell r="O1600" t="str"><v>United States</v></cell><cell r="P1600" t="str"><v>Trial</v></cell><cell r="Q1600" t="str"><v>Social</v></cell><cell r="R1600" t="str"><v>Azure</v></cell><cell r="S1600" t="str"><v>Apps & Infra</v></cell><cell r="T1600" t="str"><v>Developers & ITI's</v></cell><cell r="U1600" t="str"><v>USA-Trial-ITD-Lead Completes-AZR-AZR</v></cell><cell r="V1600" t="str"><v>Prospecting</v></cell><cell r="W1600" t="str"><v>Canvas Ad</v></cell><cell r="X1600" t="str"><v>10s</v></cell><cell r="Y1600" t="str"><v>Try it Now</v></cell><cell r="Z1600" t="str"><v>Standard videos</v></cell><cell r="AA1600"><v>43358</v></cell><cell r="AB1600" t="str"><v>USA_gaPMG_AZR_AZR_Q1_19_Direct-Social</v></cell><cell r="AC1600"><v>21358715</v></cell><cell r="AD1600"><v>720197</v></cell><cell r="AE1600" t="str"><v>Linkedin</v></cell><cell r="AF1600"><v>3654329</v></cell><cell r="AG1600" t="str"><v>FACEBOOK»USA-Trial-ITD-Lead Completes-AZR-AZR»1 x 1»SocialBan»CAN»ALL»CPA»PRO»X»NA»SS»NA»FBCTCBrandinMotion»PRC1VX</v></cell><cell r="AH1600" t="str"><v>PRC1VX</v></cell><cell r="AI1600" t="str"><v>AzurePlatform_FBCTCBrandinMotion_USA_10s_CAN_PLATFORM_English_Trial_Standard_STAN_TIN_T2_1</v></cell><cell r="AJ1600"><v>103176812</v></cell></row><row r="1601"><cell r="D1601" t="str"><v>43358PS7B5S</v></cell><cell r="E1601" t="str"><v>43358104593735PS7B5S</v></cell><cell r="F1601" t="str"><v>Appended from Pub - Not in DCM</v></cell></row><row r="1601"><cell r="I1601" t="str"><v>Azure Direct</v></cell><cell r="J1601" t="str"><v>Azure Direct</v></cell><cell r="K1601" t="str"><v>September</v></cell><cell r="L1601"><v>43358</v></cell><cell r="M1601" t="str"><v>Tier 0</v></cell><cell r="N1601" t="str"><v>North America</v></cell><cell r="O1601" t="str"><v>United States</v></cell><cell r="P1601" t="str"><v>Trial</v></cell><cell r="Q1601" t="str"><v>Social</v></cell><cell r="R1601" t="str"><v>Azure</v></cell><cell r="S1601" t="str"><v>Apps & Infra</v></cell><cell r="T1601" t="str"><v>Developers & ITI's</v></cell><cell r="U1601" t="str"><v>USA-Trial-ITD-Trial PayGo Lookalike-AZR-AZR</v></cell><cell r="V1601" t="str"><v>Lookalike Targeting</v></cell><cell r="W1601" t="str"><v>Canvas Ad</v></cell><cell r="X1601" t="str"><v>1200x1200</v></cell><cell r="Y1601" t="str"><v>Learn More</v></cell><cell r="Z1601" t="str"><v>Animated Banner</v></cell><cell r="AA1601"><v>43358</v></cell><cell r="AB1601" t="str"><v>USA_gaPMG_AZR_AZR_Q1_19_Direct-Social</v></cell><cell r="AC1601"><v>21358715</v></cell><cell r="AD1601"><v>720197</v></cell><cell r="AE1601" t="str"><v>Linkedin</v></cell><cell r="AF1601"><v>3654329</v></cell><cell r="AG1601" t="str"><v>FACEBOOK»USA-Trial-ITD-Trial PayGo Lookalike-AZR-AZR»1 x 1»SocialBan»CAN»ALL»CPA»LAL»X»NA»SS»NA»FreeAcctDeveloperFB-AnimatedAI-Ch3»PS7B5S</v></cell><cell r="AH1601" t="str"><v>PS7B5S</v></cell><cell r="AI1601" t="str"><v>AZR_FreeAcctDeveloperFB-AnimatedAI-Ch3_USA_1200x1200_CAN_Direct_EN_Trial_Standard_ANI_LEA_T3_1</v></cell><cell r="AJ1601"><v>104593735</v></cell></row><row r="1602"><cell r="D1602" t="str"><v>43358PRC1LZ</v></cell><cell r="E1602" t="str"><v>43358103043823PRC1LZ</v></cell><cell r="F1602" t="str"><v>Appended from Pub - Not in DCM</v></cell></row><row r="1602"><cell r="I1602" t="str"><v>Azure Direct</v></cell><cell r="J1602" t="str"><v>Azure Direct</v></cell><cell r="K1602" t="str"><v>September</v></cell><cell r="L1602"><v>43358</v></cell><cell r="M1602" t="str"><v>Tier 0</v></cell><cell r="N1602" t="str"><v>North America</v></cell><cell r="O1602" t="str"><v>United States</v></cell><cell r="P1602" t="str"><v>Trial</v></cell><cell r="Q1602" t="str"><v>Social</v></cell><cell r="R1602" t="str"><v>Azure</v></cell><cell r="S1602" t="str"><v>Apps & Infra</v></cell><cell r="T1602" t="str"><v>Developers & ITI's</v></cell><cell r="U1602" t="str"><v>USA-Trial-ITD-Trial Lookalike-AZR-AZR</v></cell><cell r="V1602" t="str"><v>Lookalike Targeting</v></cell><cell r="W1602" t="str"><v>Canvas Ad</v></cell><cell r="X1602" t="str"><v>10s</v></cell><cell r="Y1602" t="str"><v>Try it Now</v></cell><cell r="Z1602" t="str"><v>Standard videos</v></cell><cell r="AA1602"><v>43358</v></cell><cell r="AB1602" t="str"><v>USA_gaPMG_AZR_AZR_Q1_19_Direct-Social</v></cell><cell r="AC1602"><v>21358715</v></cell><cell r="AD1602"><v>720197</v></cell><cell r="AE1602" t="str"><v>Linkedin</v></cell><cell r="AF1602"><v>3654329</v></cell><cell r="AG1602" t="str"><v>FACEBOOK»USA-Trial-ITD-Trial Lookalike-AZR-AZR»1 x 1»SocialBan»CAN»ALL»CPA»LAL»X»NA»SS»NA»FBCTCBasicMotion»PRC1LZ</v></cell><cell r="AH1602" t="str"><v>PRC1LZ</v></cell><cell r="AI1602" t="str"><v>AzurePlatform_FBCTCBasicMotion_USA_10s_CAN_PLATFORM_English_Trial_Standard_STAN_TIN_T1_1</v></cell><cell r="AJ1602"><v>103043823</v></cell></row><row r="1603"><cell r="D1603" t="str"><v>43358PRC1M0</v></cell><cell r="E1603" t="str"><v>43358103043835PRC1M0</v></cell><cell r="F1603" t="str"><v>Appended from Pub - Not in DCM</v></cell></row><row r="1603"><cell r="I1603" t="str"><v>Azure Direct</v></cell><cell r="J1603" t="str"><v>Azure Direct</v></cell><cell r="K1603" t="str"><v>September</v></cell><cell r="L1603"><v>43358</v></cell><cell r="M1603" t="str"><v>Tier 0</v></cell><cell r="N1603" t="str"><v>North America</v></cell><cell r="O1603" t="str"><v>United States</v></cell><cell r="P1603" t="str"><v>Trial</v></cell><cell r="Q1603" t="str"><v>Social</v></cell><cell r="R1603" t="str"><v>Azure</v></cell><cell r="S1603" t="str"><v>Apps & Infra</v></cell><cell r="T1603" t="str"><v>Developers & ITI's</v></cell><cell r="U1603" t="str"><v>USA-Trial-ITD-Trial Lookalike-AZR-AZR</v></cell><cell r="V1603" t="str"><v>Lookalike Targeting</v></cell><cell r="W1603" t="str"><v>Canvas Ad</v></cell><cell r="X1603" t="str"><v>10s</v></cell><cell r="Y1603" t="str"><v>Try it Now</v></cell><cell r="Z1603" t="str"><v>Standard videos</v></cell><cell r="AA1603"><v>43358</v></cell><cell r="AB1603" t="str"><v>USA_gaPMG_AZR_AZR_Q1_19_Direct-Social</v></cell><cell r="AC1603"><v>21358715</v></cell><cell r="AD1603"><v>720197</v></cell><cell r="AE1603" t="str"><v>Linkedin</v></cell><cell r="AF1603"><v>3654329</v></cell><cell r="AG1603" t="str"><v>FACEBOOK»USA-Trial-ITD-Trial Lookalike-AZR-AZR»1 x 1»SocialBan»CAN»ALL»CPA»LAL»X»NA»SS»NA»FBCTCBenefit2inMotion»PRC1M0</v></cell><cell r="AH1603" t="str"><v>PRC1M0</v></cell><cell r="AI1603" t="str"><v>AzurePlatform_FBCTCBenefit2inMotion_USA_10s_CAN_PLATFORM_English_Trial_Standard_STAN_TIN_T4_1</v></cell><cell r="AJ1603"><v>103043835</v></cell></row><row r="1604"><cell r="D1604" t="str"><v>43358PRC1RT</v></cell><cell r="E1604" t="str"><v>43358103176812PRC1RT</v></cell><cell r="F1604" t="str"><v>Appended from Pub - Not in DCM</v></cell></row><row r="1604"><cell r="I1604" t="str"><v>Azure Direct</v></cell><cell r="J1604" t="str"><v>Azure Direct</v></cell><cell r="K1604" t="str"><v>September</v></cell><cell r="L1604"><v>43358</v></cell><cell r="M1604" t="str"><v>Tier 0</v></cell><cell r="N1604" t="str"><v>North America</v></cell><cell r="O1604" t="str"><v>United States</v></cell><cell r="P1604" t="str"><v>Trial</v></cell><cell r="Q1604" t="str"><v>Social</v></cell><cell r="R1604" t="str"><v>Azure</v></cell><cell r="S1604" t="str"><v>Apps & Infra</v></cell><cell r="T1604" t="str"><v>Developers & ITI's</v></cell><cell r="U1604" t="str"><v>USA-Trial-ITD-Retargeting-AZR-AZR</v></cell><cell r="V1604" t="str"><v>Retargeting</v></cell><cell r="W1604" t="str"><v>Canvas Ad</v></cell><cell r="X1604" t="str"><v>10s</v></cell><cell r="Y1604" t="str"><v>Try it Now</v></cell><cell r="Z1604" t="str"><v>Standard videos</v></cell><cell r="AA1604"><v>43358</v></cell><cell r="AB1604" t="str"><v>USA_gaPMG_AZR_AZR_Q1_19_Direct-Social</v></cell><cell r="AC1604"><v>21358715</v></cell><cell r="AD1604"><v>720197</v></cell><cell r="AE1604" t="str"><v>Linkedin</v></cell><cell r="AF1604"><v>3654329</v></cell><cell r="AG1604" t="str"><v>FACEBOOK»USA-Trial-ITD-Retargeting-AZR-AZR»1 x 1»SocialBan»CAN»ALL»CPA»RT»X»NA»SS»NA»FBCTCBrandinMotion»PRC1RT</v></cell><cell r="AH1604" t="str"><v>PRC1RT</v></cell><cell r="AI1604" t="str"><v>AzurePlatform_FBCTCBrandinMotion_USA_10s_CAN_PLATFORM_English_Trial_Standard_STAN_TIN_T2_1</v></cell><cell r="AJ1604"><v>103176812</v></cell></row><row r="1605"><cell r="D1605" t="str"><v>43358PRC1SW</v></cell><cell r="E1605" t="str"><v>43358103178645PRC1SW</v></cell><cell r="F1605" t="str"><v>Appended from Pub - Not in DCM</v></cell></row><row r="1605"><cell r="I1605" t="str"><v>Azure Direct</v></cell><cell r="J1605" t="str"><v>Azure Direct</v></cell><cell r="K1605" t="str"><v>September</v></cell><cell r="L1605"><v>43358</v></cell><cell r="M1605" t="str"><v>Tier 0</v></cell><cell r="N1605" t="str"><v>North America</v></cell><cell r="O1605" t="str"><v>United States</v></cell><cell r="P1605" t="str"><v>Trial</v></cell><cell r="Q1605" t="str"><v>Social</v></cell><cell r="R1605" t="str"><v>Azure</v></cell><cell r="S1605" t="str"><v>Apps & Infra</v></cell><cell r="T1605" t="str"><v>Developers & ITI's</v></cell><cell r="U1605" t="str"><v>USA-Trial-ITD-Interest Prospecting-AZR-AZR</v></cell><cell r="V1605" t="str"><v>Prospecting</v></cell><cell r="W1605" t="str"><v>Canvas Ad</v></cell><cell r="X1605" t="str"><v>10s</v></cell><cell r="Y1605" t="str"><v>Try it Now</v></cell><cell r="Z1605" t="str"><v>Standard videos</v></cell><cell r="AA1605"><v>43358</v></cell><cell r="AB1605" t="str"><v>USA_gaPMG_AZR_AZR_Q1_19_Direct-Social</v></cell><cell r="AC1605"><v>21358715</v></cell><cell r="AD1605"><v>720197</v></cell><cell r="AE1605" t="str"><v>Linkedin</v></cell><cell r="AF1605"><v>3654329</v></cell><cell r="AG1605" t="str"><v>FACEBOOK»USA-Trial-ITD-Interest Prospecting-AZR-AZR»1 x 1»SocialBan»CAN»ALL»CPA»PRO»X»NA»SS»NA»FBCTCBenefit2inMotion»PRC1SW</v></cell><cell r="AH1605" t="str"><v>PRC1SW</v></cell><cell r="AI1605" t="str"><v>AzurePlatform_FBCTCBenefit2inMotion_USA_10s_CAN_PLATFORM_English_Trial_Standard_STAN_TIN_T4_2</v></cell><cell r="AJ1605"><v>103178645</v></cell></row><row r="1606"><cell r="D1606" t="str"><v>43358PRC1Q0</v></cell><cell r="E1606" t="str"><v>43358103043823PRC1Q0</v></cell><cell r="F1606" t="str"><v>Appended from Pub - Not in DCM</v></cell></row><row r="1606"><cell r="I1606" t="str"><v>Azure Direct</v></cell><cell r="J1606" t="str"><v>Azure Direct</v></cell><cell r="K1606" t="str"><v>September</v></cell><cell r="L1606"><v>43358</v></cell><cell r="M1606" t="str"><v>Tier 0</v></cell><cell r="N1606" t="str"><v>North America</v></cell><cell r="O1606" t="str"><v>United States</v></cell><cell r="P1606" t="str"><v>Trial</v></cell><cell r="Q1606" t="str"><v>Social</v></cell><cell r="R1606" t="str"><v>Azure</v></cell><cell r="S1606" t="str"><v>Apps & Infra</v></cell><cell r="T1606" t="str"><v>Developers & ITI's</v></cell><cell r="U1606" t="str"><v>USA-Trial-ITD-Trial PayGo Lookalike-AZR-AZR</v></cell><cell r="V1606" t="str"><v>Lookalike Targeting</v></cell><cell r="W1606" t="str"><v>Canvas Ad</v></cell><cell r="X1606" t="str"><v>10s</v></cell><cell r="Y1606" t="str"><v>Try it Now</v></cell><cell r="Z1606" t="str"><v>Standard videos</v></cell><cell r="AA1606"><v>43358</v></cell><cell r="AB1606" t="str"><v>USA_gaPMG_AZR_AZR_Q1_19_Direct-Social</v></cell><cell r="AC1606"><v>21358715</v></cell><cell r="AD1606"><v>720197</v></cell><cell r="AE1606" t="str"><v>Linkedin</v></cell><cell r="AF1606"><v>3654329</v></cell><cell r="AG1606" t="str"><v>FACEBOOK»USA-Trial-ITD-Trial PayGo Lookalike-AZR-AZR»1 x 1»SocialBan»CAN»ALL»CPA»LAL»X»NA»SS»NA»FBCTCBasicMotion»PRC1Q0</v></cell><cell r="AH1606" t="str"><v>PRC1Q0</v></cell><cell r="AI1606" t="str"><v>AzurePlatform_FBCTCBasicMotion_USA_10s_CAN_PLATFORM_English_Trial_Standard_STAN_TIN_T1_1</v></cell><cell r="AJ1606"><v>103043823</v></cell></row><row r="1607"><cell r="D1607" t="str"><v>43358PRSH6K</v></cell><cell r="E1607" t="str"><v>43358103773177PRSH6K</v></cell><cell r="F1607" t="str"><v>Appended from Pub - Not in DCM</v></cell></row><row r="1607"><cell r="I1607" t="str"><v>Azure Direct</v></cell><cell r="J1607" t="str"><v>Azure Direct</v></cell><cell r="K1607" t="str"><v>September</v></cell><cell r="L1607"><v>43358</v></cell><cell r="M1607" t="str"><v>Tier 0</v></cell><cell r="N1607" t="str"><v>North America</v></cell><cell r="O1607" t="str"><v>United States</v></cell><cell r="P1607" t="str"><v>Trial</v></cell><cell r="Q1607" t="str"><v>Social</v></cell><cell r="R1607" t="str"><v>Azure</v></cell><cell r="S1607" t="str"><v>Apps & Infra</v></cell><cell r="T1607" t="str"><v>Developers & ITI's</v></cell><cell r="U1607" t="str"><v>USA-Trial-ITD-Trial PayGo Lookalike-AZR-AZR</v></cell><cell r="V1607" t="str"><v>Lookalike Targeting</v></cell><cell r="W1607" t="str"><v>Canvas Collection Ad</v></cell><cell r="X1607" t="str"><v>1200x182</v></cell><cell r="Y1607" t="str"><v>Try it Now</v></cell><cell r="Z1607" t="str"><v>Not Applicable</v></cell><cell r="AA1607"><v>43358</v></cell><cell r="AB1607" t="str"><v>USA_gaPMG_AZR_AZR_Q1_19_Direct-Social</v></cell><cell r="AC1607"><v>21358715</v></cell><cell r="AD1607"><v>720197</v></cell><cell r="AE1607" t="str"><v>Linkedin</v></cell><cell r="AF1607"><v>3654329</v></cell><cell r="AG1607" t="str"><v>FACEBOOK»USA-Trial-ITD-Trial PayGo Lookalike-AZR-AZR»1 x 1»SocialBan»CCA»ALL»CPA»LAL»X»NA»SS»NA»Azure Developer Facebook Collections»PRSH6K</v></cell><cell r="AH1607" t="str"><v>PRSH6K</v></cell><cell r="AI1607" t="str"><v>AZR_FBCollections-AITryAzureFreeCTA-Img2_USA_1200x182_SOC_Plat_EN_NA_Standard_NA_TIN_T1_2</v></cell><cell r="AJ1607"><v>103773177</v></cell></row><row r="1608"><cell r="D1608" t="str"><v>43358PRC0C2</v></cell><cell r="E1608" t="str"><v>43358103037968PRC0C2</v></cell><cell r="F1608" t="str"><v>Appended from Pub - Not in DCM</v></cell></row><row r="1608"><cell r="I1608" t="str"><v>Azure Direct</v></cell><cell r="J1608" t="str"><v>Azure Direct</v></cell><cell r="K1608" t="str"><v>September</v></cell><cell r="L1608"><v>43358</v></cell><cell r="M1608" t="str"><v>Tier 0</v></cell><cell r="N1608" t="str"><v>North America</v></cell><cell r="O1608" t="str"><v>United States</v></cell><cell r="P1608" t="str"><v>Trial</v></cell><cell r="Q1608" t="str"><v>Social</v></cell><cell r="R1608" t="str"><v>Azure</v></cell><cell r="S1608" t="str"><v>Apps & Infra</v></cell><cell r="T1608" t="str"><v>Developers & ITI's</v></cell><cell r="U1608" t="str"><v>USA-Trial-ITD-Trial Lookalike-AZR-AZR</v></cell><cell r="V1608" t="str"><v>Lookalike Targeting</v></cell><cell r="W1608" t="str"><v>Canvas Ad</v></cell><cell r="X1608" t="str"><v>10s</v></cell><cell r="Y1608" t="str"><v>Try it Now</v></cell><cell r="Z1608" t="str"><v>Standard videos</v></cell><cell r="AA1608"><v>43358</v></cell><cell r="AB1608" t="str"><v>USA_gaPMG_AZR_AZR_Q1_19_Direct-Social</v></cell><cell r="AC1608"><v>21358715</v></cell><cell r="AD1608"><v>720197</v></cell><cell r="AE1608" t="str"><v>Linkedin</v></cell><cell r="AF1608"><v>3654329</v></cell><cell r="AG1608" t="str"><v>INSTAGRAM»USA-Trial-ITD-Trial Lookalike-AZR-AZR»1 x 1»SocialBan»CAN»ALL»CPA»LAL»X»NA»SS»NA»IGCTCBasicMotion»PRC0C2</v></cell><cell r="AH1608" t="str"><v>PRC0C2</v></cell><cell r="AI1608" t="str"><v>AzurePlatform_IGCTCBasicMotion_USA_10s_CAN_PLATFORM_English_Trial_Standard_STAN_TIN_T1_1</v></cell><cell r="AJ1608"><v>103037968</v></cell></row><row r="1609"><cell r="D1609" t="str"><v>43358PRC1RS</v></cell><cell r="E1609" t="str"><v>43358PRC1RS</v></cell><cell r="F1609" t="str"><v>Appended from Pub - Not in DCM</v></cell></row><row r="1609"><cell r="I1609" t="str"><v>Azure Direct</v></cell><cell r="J1609" t="str"><v>Azure Direct</v></cell><cell r="K1609" t="str"><v>September</v></cell><cell r="L1609"><v>43358</v></cell><cell r="M1609" t="str"><v>Tier 0</v></cell><cell r="N1609" t="str"><v>North America</v></cell><cell r="O1609" t="str"><v>United States</v></cell><cell r="P1609" t="str"><v>Trial</v></cell><cell r="Q1609" t="str"><v>Social</v></cell><cell r="R1609" t="str"><v>Azure</v></cell><cell r="S1609" t="str"><v>Apps & Infra</v></cell><cell r="T1609" t="str"><v>Developers & ITI's</v></cell><cell r="U1609" t="str"><v>USA-Trial-ITD-Retargeting-AZR-AZR</v></cell><cell r="V1609" t="str"><v>Retargeting</v></cell><cell r="W1609" t="str"><v>Canvas Ad</v></cell></row><row r="1609"><cell r="AA1609"><v>43358</v></cell><cell r="AB1609" t="str"><v>USA_gaPMG_AZR_AZR_Q1_19_Direct-Social</v></cell><cell r="AC1609"><v>21358715</v></cell><cell r="AD1609"><v>720197</v></cell><cell r="AE1609" t="str"><v>Linkedin</v></cell><cell r="AF1609"><v>3654329</v></cell><cell r="AG1609" t="str"><v>FACEBOOK»USA-Trial-ITD-Retargeting-AZR-AZR»1 x 1»SocialBan»CAN»ALL»CPA»RT»X»NA»SS»NA»FBCTCBenefitinMotion»PRC1RS</v></cell><cell r="AH1609" t="str"><v>PRC1RS</v></cell></row><row r="1610"><cell r="D1610" t="str"><v>43358PRSGWS</v></cell><cell r="E1610" t="str"><v>43358103773177PRSGWS</v></cell><cell r="F1610" t="str"><v>Appended from Pub - Not in DCM</v></cell></row><row r="1610"><cell r="I1610" t="str"><v>Azure Direct</v></cell><cell r="J1610" t="str"><v>Azure Direct</v></cell><cell r="K1610" t="str"><v>September</v></cell><cell r="L1610"><v>43358</v></cell><cell r="M1610" t="str"><v>Tier 0</v></cell><cell r="N1610" t="str"><v>North America</v></cell><cell r="O1610" t="str"><v>United States</v></cell><cell r="P1610" t="str"><v>Trial</v></cell><cell r="Q1610" t="str"><v>Social</v></cell><cell r="R1610" t="str"><v>Azure</v></cell><cell r="S1610" t="str"><v>Apps & Infra</v></cell><cell r="T1610" t="str"><v>Developers & ITI's</v></cell><cell r="U1610" t="str"><v>USA-Trial-ITD-Lead Completes-AZR-AZR</v></cell><cell r="V1610" t="str"><v>Prospecting</v></cell><cell r="W1610" t="str"><v>Canvas Collection Ad</v></cell><cell r="X1610" t="str"><v>1200x182</v></cell><cell r="Y1610" t="str"><v>Try it Now</v></cell><cell r="Z1610" t="str"><v>Not Applicable</v></cell><cell r="AA1610"><v>43358</v></cell><cell r="AB1610" t="str"><v>USA_gaPMG_AZR_AZR_Q1_19_Direct-Social</v></cell><cell r="AC1610"><v>21358715</v></cell><cell r="AD1610"><v>720197</v></cell><cell r="AE1610" t="str"><v>Linkedin</v></cell><cell r="AF1610"><v>3654329</v></cell><cell r="AG1610" t="str"><v>FACEBOOK»USA-Trial-ITD-Lead Completes-AZR-AZR»1 x 1»SocialBan»CCA»ALL»CPA»PRO»X»NA»SS»NA»Azure Developer Facebook Collections»PRSGWS</v></cell><cell r="AH1610" t="str"><v>PRSGWS</v></cell><cell r="AI1610" t="str"><v>AZR_FBCollections-AITryAzureFreeCTA-Img2_USA_1200x182_SOC_Plat_EN_NA_Standard_NA_TIN_T1_2</v></cell><cell r="AJ1610"><v>103773177</v></cell></row><row r="1611"><cell r="D1611" t="str"><v>43358PRC1W0</v></cell><cell r="E1611" t="str"><v>43358103048329PRC1W0</v></cell><cell r="F1611" t="str"><v>Appended from Pub - Not in DCM</v></cell></row><row r="1611"><cell r="I1611" t="str"><v>Azure Direct</v></cell><cell r="J1611" t="str"><v>Azure Direct</v></cell><cell r="K1611" t="str"><v>September</v></cell><cell r="L1611"><v>43358</v></cell><cell r="M1611" t="str"><v>Tier 0</v></cell><cell r="N1611" t="str"><v>North America</v></cell><cell r="O1611" t="str"><v>United States</v></cell><cell r="P1611" t="str"><v>Trial</v></cell><cell r="Q1611" t="str"><v>Social</v></cell><cell r="R1611" t="str"><v>Azure</v></cell><cell r="S1611" t="str"><v>Apps & Infra</v></cell><cell r="T1611" t="str"><v>Developers & ITI's</v></cell><cell r="U1611" t="str"><v>USA-Trial-ITD-Lead Completes-AZR-AZR</v></cell><cell r="V1611" t="str"><v>Prospecting</v></cell><cell r="W1611" t="str"><v>Link Ad</v></cell><cell r="X1611" t="str"><v>1200x1200</v></cell><cell r="Y1611" t="str"><v>Learn More</v></cell><cell r="Z1611" t="str"><v>Animated Banner</v></cell><cell r="AA1611"><v>43358</v></cell><cell r="AB1611" t="str"><v>USA_gaPMG_AZR_AZR_Q1_19_Direct-Social</v></cell><cell r="AC1611"><v>21358715</v></cell><cell r="AD1611"><v>720197</v></cell><cell r="AE1611" t="str"><v>Linkedin</v></cell><cell r="AF1611"><v>3654329</v></cell><cell r="AG1611" t="str"><v>FACEBOOK»USA-Trial-ITD-Lead Completes-AZR-AZR»1 x 1»SocialBan»LIA»ALL»CPA»PRO»X»NA»SS»NA»FreeAcctDeveloperFB-AnimatedOpenSource-Ch2»PRC1W0</v></cell><cell r="AH1611" t="str"><v>PRC1W0</v></cell><cell r="AI1611" t="str"><v>AZR_FreeAcctDeveloperFB-AnimatedOpenSource-Ch2_USA_1200x1200_CAN_Direct_English_Trial_Standard_ANI_LEA_T2_1</v></cell><cell r="AJ1611"><v>103048329</v></cell></row><row r="1612"><cell r="D1612" t="str"><v>43358PRC2PB</v></cell><cell r="E1612" t="str"><v>43358103050783PRC2PB</v></cell><cell r="F1612" t="str"><v>Appended from Pub - Not in DCM</v></cell></row><row r="1612"><cell r="I1612" t="str"><v>Azure Direct</v></cell><cell r="J1612" t="str"><v>Azure Direct</v></cell><cell r="K1612" t="str"><v>September</v></cell><cell r="L1612"><v>43358</v></cell><cell r="M1612" t="str"><v>Tier 0</v></cell><cell r="N1612" t="str"><v>North America</v></cell><cell r="O1612" t="str"><v>United States</v></cell><cell r="P1612" t="str"><v>Trial</v></cell><cell r="Q1612" t="str"><v>Social</v></cell><cell r="R1612" t="str"><v>Azure</v></cell><cell r="S1612" t="str"><v>Apps & Infra</v></cell><cell r="T1612" t="str"><v>Developers & ITI's</v></cell><cell r="U1612" t="str"><v>USA-Trial-ITD-Interest Prospecting-AZR-AZR</v></cell><cell r="V1612" t="str"><v>Prospecting</v></cell><cell r="W1612" t="str"><v>Canvas Ad</v></cell><cell r="X1612" t="str"><v>10s</v></cell><cell r="Y1612" t="str"><v>Try it Now</v></cell><cell r="Z1612" t="str"><v>Standard videos</v></cell><cell r="AA1612"><v>43358</v></cell><cell r="AB1612" t="str"><v>USA_gaPMG_AZR_AZR_Q1_19_Direct-Social</v></cell><cell r="AC1612"><v>21358715</v></cell><cell r="AD1612"><v>720197</v></cell><cell r="AE1612" t="str"><v>Linkedin</v></cell><cell r="AF1612"><v>3654329</v></cell><cell r="AG1612" t="str"><v>INSTAGRAM»USA-Trial-ITD-Interest Prospecting-AZR-AZR»1 x 1»SocialBan»CAN»ALL»CPA»PRO»X»NA»SS»NA»IGCTCBrandinMotion»PRC2PB</v></cell><cell r="AH1612" t="str"><v>PRC2PB</v></cell><cell r="AI1612" t="str"><v>AzurePlatform_IGCTCBenefit2inMotion_USA_10s_CAN_PLATFORM_English_Trial_Standard_STAN_TIN_T4_1</v></cell><cell r="AJ1612"><v>103050783</v></cell></row><row r="1613"><cell r="D1613" t="str"><v>43358PS7B5R</v></cell><cell r="E1613" t="str"><v>43358104593438PS7B5R</v></cell><cell r="F1613" t="str"><v>Appended from Pub - Not in DCM</v></cell></row><row r="1613"><cell r="I1613" t="str"><v>Azure Direct</v></cell><cell r="J1613" t="str"><v>Azure Direct</v></cell><cell r="K1613" t="str"><v>September</v></cell><cell r="L1613"><v>43358</v></cell><cell r="M1613" t="str"><v>Tier 0</v></cell><cell r="N1613" t="str"><v>North America</v></cell><cell r="O1613" t="str"><v>United States</v></cell><cell r="P1613" t="str"><v>Trial</v></cell><cell r="Q1613" t="str"><v>Social</v></cell><cell r="R1613" t="str"><v>Azure</v></cell><cell r="S1613" t="str"><v>Apps & Infra</v></cell><cell r="T1613" t="str"><v>Developers & ITI's</v></cell><cell r="U1613" t="str"><v>USA-Trial-ITD-Trial PayGo Lookalike-AZR-AZR</v></cell><cell r="V1613" t="str"><v>Lookalike Targeting</v></cell><cell r="W1613" t="str"><v>Canvas Ad</v></cell><cell r="X1613" t="str"><v>1200x1200</v></cell><cell r="Y1613" t="str"><v>Learn More</v></cell><cell r="Z1613" t="str"><v>Animated Banner</v></cell><cell r="AA1613"><v>43358</v></cell><cell r="AB1613" t="str"><v>USA_gaPMG_AZR_AZR_Q1_19_Direct-Social</v></cell><cell r="AC1613"><v>21358715</v></cell><cell r="AD1613"><v>720197</v></cell><cell r="AE1613" t="str"><v>Linkedin</v></cell><cell r="AF1613"><v>3654329</v></cell><cell r="AG1613" t="str"><v>FACEBOOK»USA-Trial-ITD-Trial PayGo Lookalike-AZR-AZR»1 x 1»SocialBan»CAN»ALL»CPA»LAL»X»NA»SS»NA»FreeAcctDeveloperFB-AnimatedOpenSource-Ch2»PS7B5R</v></cell><cell r="AH1613" t="str"><v>PS7B5R</v></cell><cell r="AI1613" t="str"><v>AZR_FreeAcctDeveloperFB-AnimatedOpenSource-Ch2_USA_1200x1200_CAN_Direct_EN_Trial_Standard_ANI_LEA_T2_2</v></cell><cell r="AJ1613"><v>104593438</v></cell></row><row r="1614"><cell r="D1614" t="str"><v>43358PRC1VW</v></cell><cell r="E1614" t="str"><v>43358103032775PRC1VW</v></cell><cell r="F1614" t="str"><v>Appended from Pub - Not in DCM</v></cell></row><row r="1614"><cell r="I1614" t="str"><v>Azure Direct</v></cell><cell r="J1614" t="str"><v>Azure Direct</v></cell><cell r="K1614" t="str"><v>September</v></cell><cell r="L1614"><v>43358</v></cell><cell r="M1614" t="str"><v>Tier 0</v></cell><cell r="N1614" t="str"><v>North America</v></cell><cell r="O1614" t="str"><v>United States</v></cell><cell r="P1614" t="str"><v>Trial</v></cell><cell r="Q1614" t="str"><v>Social</v></cell><cell r="R1614" t="str"><v>Azure</v></cell><cell r="S1614" t="str"><v>Apps & Infra</v></cell><cell r="T1614" t="str"><v>Developers & ITI's</v></cell><cell r="U1614" t="str"><v>USA-Trial-ITD-Lead Completes-AZR-AZR</v></cell><cell r="V1614" t="str"><v>Prospecting</v></cell><cell r="W1614" t="str"><v>Canvas Ad</v></cell><cell r="X1614" t="str"><v>10s</v></cell><cell r="Y1614" t="str"><v>Try it Now</v></cell><cell r="Z1614" t="str"><v>Standard videos</v></cell><cell r="AA1614"><v>43358</v></cell><cell r="AB1614" t="str"><v>USA_gaPMG_AZR_AZR_Q1_19_Direct-Social</v></cell><cell r="AC1614"><v>21358715</v></cell><cell r="AD1614"><v>720197</v></cell><cell r="AE1614" t="str"><v>Linkedin</v></cell><cell r="AF1614"><v>3654329</v></cell><cell r="AG1614" t="str"><v>FACEBOOK»USA-Trial-ITD-Lead Completes-AZR-AZR»1 x 1»SocialBan»CAN»ALL»CPA»PRO»X»NA»SS»NA»FBCTCBenefitinMotion»PRC1VW</v></cell><cell r="AH1614" t="str"><v>PRC1VW</v></cell><cell r="AI1614" t="str"><v>AzurePlatform_FBCTCBenefitinMotion_USA_10s_CAN_PLATFORM_English_Trial_Standard_STAN_TIN_T3_1</v></cell><cell r="AJ1614"><v>103032775</v></cell></row><row r="1615"><cell r="D1615" t="str"><v>43358PRC2FW</v></cell><cell r="E1615" t="str"><v>43358103178714PRC2FW</v></cell><cell r="F1615" t="str"><v>Appended from Pub - Not in DCM</v></cell></row><row r="1615"><cell r="I1615" t="str"><v>Azure Direct</v></cell><cell r="J1615" t="str"><v>Azure Direct</v></cell><cell r="K1615" t="str"><v>September</v></cell><cell r="L1615"><v>43358</v></cell><cell r="M1615" t="str"><v>Tier 0</v></cell><cell r="N1615" t="str"><v>North America</v></cell><cell r="O1615" t="str"><v>United States</v></cell><cell r="P1615" t="str"><v>Trial</v></cell><cell r="Q1615" t="str"><v>Social</v></cell><cell r="R1615" t="str"><v>Azure</v></cell><cell r="S1615" t="str"><v>Apps & Infra</v></cell><cell r="T1615" t="str"><v>Developers & ITI's</v></cell><cell r="U1615" t="str"><v>USA-Trial-ITD-Trial PayGo Lookalike-AZR-AZR</v></cell><cell r="V1615" t="str"><v>Lookalike Targeting</v></cell><cell r="W1615" t="str"><v>Canvas Ad</v></cell><cell r="X1615" t="str"><v>10s</v></cell><cell r="Y1615" t="str"><v>Try it Now</v></cell><cell r="Z1615" t="str"><v>Standard videos</v></cell><cell r="AA1615"><v>43358</v></cell><cell r="AB1615" t="str"><v>USA_gaPMG_AZR_AZR_Q1_19_Direct-Social</v></cell><cell r="AC1615"><v>21358715</v></cell><cell r="AD1615"><v>720197</v></cell><cell r="AE1615" t="str"><v>Linkedin</v></cell><cell r="AF1615"><v>3654329</v></cell><cell r="AG1615" t="str"><v>INSTAGRAM»USA-Trial-ITD-Trial PayGo Lookalike-AZR-AZR»1 x 1»SocialBan»CAN»ALL»CPA»LAL»X»NA»SS»NA»IGCTCBrandinMotion»PRC2FW</v></cell><cell r="AH1615" t="str"><v>PRC2FW</v></cell><cell r="AI1615" t="str"><v>AzurePlatform_IGCTCBenefit2inMotion_USA_10s_CAN_PLATFORM_English_Trial_Standard_STAN_TIN_T4_2</v></cell><cell r="AJ1615"><v>103178714</v></cell></row><row r="1616"><cell r="D1616" t="str"><v>43358PRC2G4</v></cell><cell r="E1616" t="str"><v>43358103050780PRC2G4</v></cell><cell r="F1616" t="str"><v>Appended from Pub - Not in DCM</v></cell></row><row r="1616"><cell r="I1616" t="str"><v>Azure Direct</v></cell><cell r="J1616" t="str"><v>Azure Direct</v></cell><cell r="K1616" t="str"><v>September</v></cell><cell r="L1616"><v>43358</v></cell><cell r="M1616" t="str"><v>Tier 0</v></cell><cell r="N1616" t="str"><v>North America</v></cell><cell r="O1616" t="str"><v>United States</v></cell><cell r="P1616" t="str"><v>Trial</v></cell><cell r="Q1616" t="str"><v>Social</v></cell><cell r="R1616" t="str"><v>Azure</v></cell><cell r="S1616" t="str"><v>Apps & Infra</v></cell><cell r="T1616" t="str"><v>Developers & ITI's</v></cell><cell r="U1616" t="str"><v>USA-Trial-ITD-Retargeting-AZR-AZR</v></cell><cell r="V1616" t="str"><v>Retargeting</v></cell><cell r="W1616" t="str"><v>Canvas Ad</v></cell><cell r="X1616" t="str"><v>10s</v></cell><cell r="Y1616" t="str"><v>Try it Now</v></cell><cell r="Z1616" t="str"><v>Standard videos</v></cell><cell r="AA1616"><v>43358</v></cell><cell r="AB1616" t="str"><v>USA_gaPMG_AZR_AZR_Q1_19_Direct-Social</v></cell><cell r="AC1616"><v>21358715</v></cell><cell r="AD1616"><v>720197</v></cell><cell r="AE1616" t="str"><v>Linkedin</v></cell><cell r="AF1616"><v>3654329</v></cell><cell r="AG1616" t="str"><v>INSTAGRAM»USA-Trial-ITD-Retargeting-AZR-AZR»1 x 1»SocialBan»CAN»ALL»CPA»RT»X»NA»SS»NA»IGCTCBenefitinMotion»PRC2G4</v></cell><cell r="AH1616" t="str"><v>PRC2G4</v></cell><cell r="AI1616" t="str"><v>AzurePlatform_IGCTCBenefitinMotion_USA_10s_CAN_PLATFORM_English_Trial_Standard_STAN_TIN_T3_1</v></cell><cell r="AJ1616"><v>103050780</v></cell></row><row r="1617"><cell r="D1617" t="str"><v>43358PS79T1</v></cell><cell r="E1617" t="str"><v>43358104592508PS79T1</v></cell><cell r="F1617" t="str"><v>Appended from Pub - Not in DCM</v></cell></row><row r="1617"><cell r="I1617" t="str"><v>Azure Direct</v></cell><cell r="J1617" t="str"><v>Azure Direct</v></cell><cell r="K1617" t="str"><v>September</v></cell><cell r="L1617"><v>43358</v></cell><cell r="M1617" t="str"><v>Tier 0</v></cell><cell r="N1617" t="str"><v>North America</v></cell><cell r="O1617" t="str"><v>United States</v></cell><cell r="P1617" t="str"><v>Trial</v></cell><cell r="Q1617" t="str"><v>Social</v></cell><cell r="R1617" t="str"><v>Azure</v></cell><cell r="S1617" t="str"><v>Apps & Infra</v></cell><cell r="T1617" t="str"><v>Developers & ITI's</v></cell><cell r="U1617" t="str"><v>USA-Trial-ITD-Retargeting-AZR-AZR</v></cell><cell r="V1617" t="str"><v>Retargeting</v></cell><cell r="W1617" t="str"><v>Canvas Ad</v></cell><cell r="X1617" t="str"><v>1200x628</v></cell><cell r="Y1617" t="str"><v>Sign Up</v></cell><cell r="Z1617" t="str"><v>Not Applicable</v></cell><cell r="AA1617"><v>43358</v></cell><cell r="AB1617" t="str"><v>USA_gaPMG_AZR_AZR_Q1_19_Direct-Social</v></cell><cell r="AC1617"><v>21358715</v></cell><cell r="AD1617"><v>720197</v></cell><cell r="AE1617" t="str"><v>Linkedin</v></cell><cell r="AF1617"><v>3654329</v></cell><cell r="AG1617" t="str"><v>FACEBOOK»USA-Trial-ITD-Retargeting-AZR-AZR»1 x 1»SocialBan»CAN»ALL»CPA»RT»X»NA»SS»NA»FreeAcctRetargetingOSSFB-Logos-ChG»PS79T1</v></cell><cell r="AH1617" t="str"><v>PS79T1</v></cell><cell r="AI1617" t="str"><v>AZR_FreeAcctRetargetingOSSFB-Logos-ChG_USA_1200x628_CAN_Plat_English_Free Account_Standard_NA_SINU_T2_1</v></cell><cell r="AJ1617"><v>104592508</v></cell></row><row r="1618"><cell r="D1618" t="str"><v>43358PRC2PC</v></cell><cell r="E1618" t="str"><v>43358103050780PRC2PC</v></cell><cell r="F1618" t="str"><v>Appended from Pub - Not in DCM</v></cell></row><row r="1618"><cell r="I1618" t="str"><v>Azure Direct</v></cell><cell r="J1618" t="str"><v>Azure Direct</v></cell><cell r="K1618" t="str"><v>September</v></cell><cell r="L1618"><v>43358</v></cell><cell r="M1618" t="str"><v>Tier 0</v></cell><cell r="N1618" t="str"><v>North America</v></cell><cell r="O1618" t="str"><v>United States</v></cell><cell r="P1618" t="str"><v>Trial</v></cell><cell r="Q1618" t="str"><v>Social</v></cell><cell r="R1618" t="str"><v>Azure</v></cell><cell r="S1618" t="str"><v>Apps & Infra</v></cell><cell r="T1618" t="str"><v>Developers & ITI's</v></cell><cell r="U1618" t="str"><v>USA-Trial-ITD-Interest Prospecting-AZR-AZR</v></cell><cell r="V1618" t="str"><v>Prospecting</v></cell><cell r="W1618" t="str"><v>Canvas Ad</v></cell><cell r="X1618" t="str"><v>10s</v></cell><cell r="Y1618" t="str"><v>Try it Now</v></cell><cell r="Z1618" t="str"><v>Standard videos</v></cell><cell r="AA1618"><v>43358</v></cell><cell r="AB1618" t="str"><v>USA_gaPMG_AZR_AZR_Q1_19_Direct-Social</v></cell><cell r="AC1618"><v>21358715</v></cell><cell r="AD1618"><v>720197</v></cell><cell r="AE1618" t="str"><v>Linkedin</v></cell><cell r="AF1618"><v>3654329</v></cell><cell r="AG1618" t="str"><v>INSTAGRAM»USA-Trial-ITD-Interest Prospecting-AZR-AZR»1 x 1»SocialBan»CAN»ALL»CPA»PRO»X»NA»SS»NA»IGCTCBenefitinMotion»PRC2PC</v></cell><cell r="AH1618" t="str"><v>PRC2PC</v></cell><cell r="AI1618" t="str"><v>AzurePlatform_IGCTCBenefitinMotion_USA_10s_CAN_PLATFORM_English_Trial_Standard_STAN_TIN_T3_1</v></cell><cell r="AJ1618"><v>103050780</v></cell></row><row r="1619"><cell r="D1619" t="str"><v>43358PS79SY</v></cell><cell r="E1619" t="str"><v>43358104595715PS79SY</v></cell><cell r="F1619" t="str"><v>Appended from Pub - Not in DCM</v></cell></row><row r="1619"><cell r="I1619" t="str"><v>Azure Direct</v></cell><cell r="J1619" t="str"><v>Azure Direct</v></cell><cell r="K1619" t="str"><v>September</v></cell><cell r="L1619"><v>43358</v></cell><cell r="M1619" t="str"><v>Tier 0</v></cell><cell r="N1619" t="str"><v>North America</v></cell><cell r="O1619" t="str"><v>United States</v></cell><cell r="P1619" t="str"><v>Trial</v></cell><cell r="Q1619" t="str"><v>Social</v></cell><cell r="R1619" t="str"><v>Azure</v></cell><cell r="S1619" t="str"><v>Apps & Infra</v></cell><cell r="T1619" t="str"><v>Developers & ITI's</v></cell><cell r="U1619" t="str"><v>USA-Trial-ITD-Retargeting-AZR-AZR</v></cell><cell r="V1619" t="str"><v>Retargeting</v></cell><cell r="W1619" t="str"><v>Canvas Ad</v></cell><cell r="X1619" t="str"><v>1200x628</v></cell><cell r="Y1619" t="str"><v>Sign Up</v></cell><cell r="Z1619" t="str"><v>Not Applicable</v></cell><cell r="AA1619"><v>43358</v></cell><cell r="AB1619" t="str"><v>USA_gaPMG_AZR_AZR_Q1_19_Direct-Social</v></cell><cell r="AC1619"><v>21358715</v></cell><cell r="AD1619"><v>720197</v></cell><cell r="AE1619" t="str"><v>Linkedin</v></cell><cell r="AF1619"><v>3654329</v></cell><cell r="AG1619" t="str"><v>FACEBOOK»USA-Trial-ITD-Retargeting-AZR-AZR»1 x 1»SocialBan»CAN»ALL»CPA»RT»X»NA»SS»NA»FreeAcctRetargetingVMFB-OnDemand-ChE»PS79SY</v></cell><cell r="AH1619" t="str"><v>PS79SY</v></cell><cell r="AI1619" t="str"><v>AZR_FreeAcctRetargetingVMFB-OnDemand-ChE_USA_1200x628_CAN_Plat_English_Free Account_Standard_NA_SINU_T2_1</v></cell><cell r="AJ1619"><v>104595715</v></cell></row><row r="1620"><cell r="D1620" t="str"><v>43358PS7B5P</v></cell><cell r="E1620" t="str"><v>43358104592523PS7B5P</v></cell><cell r="F1620" t="str"><v>Appended from Pub - Not in DCM</v></cell></row><row r="1620"><cell r="I1620" t="str"><v>Azure Direct</v></cell><cell r="J1620" t="str"><v>Azure Direct</v></cell><cell r="K1620" t="str"><v>September</v></cell><cell r="L1620"><v>43358</v></cell><cell r="M1620" t="str"><v>Tier 0</v></cell><cell r="N1620" t="str"><v>North America</v></cell><cell r="O1620" t="str"><v>United States</v></cell><cell r="P1620" t="str"><v>Trial</v></cell><cell r="Q1620" t="str"><v>Social</v></cell><cell r="R1620" t="str"><v>Azure</v></cell><cell r="S1620" t="str"><v>Apps & Infra</v></cell><cell r="T1620" t="str"><v>Developers & ITI's</v></cell><cell r="U1620" t="str"><v>USA-Trial-ITD-Trial PayGo Lookalike-AZR-AZR</v></cell><cell r="V1620" t="str"><v>Lookalike Targeting</v></cell><cell r="W1620" t="str"><v>Canvas Ad</v></cell><cell r="X1620" t="str"><v>1200x1200</v></cell><cell r="Y1620" t="str"><v>Learn More</v></cell><cell r="Z1620" t="str"><v>Animated Banner</v></cell><cell r="AA1620"><v>43358</v></cell><cell r="AB1620" t="str"><v>USA_gaPMG_AZR_AZR_Q1_19_Direct-Social</v></cell><cell r="AC1620"><v>21358715</v></cell><cell r="AD1620"><v>720197</v></cell><cell r="AE1620" t="str"><v>Linkedin</v></cell><cell r="AF1620"><v>3654329</v></cell><cell r="AG1620" t="str"><v>FACEBOOK»USA-Trial-ITD-Trial PayGo Lookalike-AZR-AZR»1 x 1»SocialBan»CAN»ALL»CPA»LAL»X»NA»SS»NA»FreeAcctDeveloperFB-AnimatedGeneric-Ch1»PS7B5P</v></cell><cell r="AH1620" t="str"><v>PS7B5P</v></cell><cell r="AI1620" t="str"><v>AZR_FreeAcctDeveloperFB-AnimatedGeneric-Ch1_USA_1200x1200_CAN_Direct_EN_Trial_Standard_ANI_LEA_T1_2</v></cell><cell r="AJ1620"><v>104592523</v></cell></row><row r="1621"><cell r="D1621" t="str"><v>43358PS7B60</v></cell><cell r="E1621" t="str"><v>43358104595730PS7B60</v></cell><cell r="F1621" t="str"><v>Appended from Pub - Not in DCM</v></cell></row><row r="1621"><cell r="I1621" t="str"><v>Azure Direct</v></cell><cell r="J1621" t="str"><v>Azure Direct</v></cell><cell r="K1621" t="str"><v>September</v></cell><cell r="L1621"><v>43358</v></cell><cell r="M1621" t="str"><v>Tier 0</v></cell><cell r="N1621" t="str"><v>North America</v></cell><cell r="O1621" t="str"><v>United States</v></cell><cell r="P1621" t="str"><v>Trial</v></cell><cell r="Q1621" t="str"><v>Social</v></cell><cell r="R1621" t="str"><v>Azure</v></cell><cell r="S1621" t="str"><v>Apps & Infra</v></cell><cell r="T1621" t="str"><v>Developers & ITI's</v></cell><cell r="U1621" t="str"><v>USA-Trial-ITD-Trial PayGo Lookalike-AZR-AZR</v></cell><cell r="V1621" t="str"><v>Lookalike Targeting</v></cell><cell r="W1621" t="str"><v>Canvas Ad</v></cell><cell r="X1621" t="str"><v>1200x1200</v></cell><cell r="Y1621" t="str"><v>Learn More</v></cell><cell r="Z1621" t="str"><v>Animated Banner</v></cell><cell r="AA1621"><v>43358</v></cell><cell r="AB1621" t="str"><v>USA_gaPMG_AZR_AZR_Q1_19_Direct-Social</v></cell><cell r="AC1621"><v>21358715</v></cell><cell r="AD1621"><v>720197</v></cell><cell r="AE1621" t="str"><v>Linkedin</v></cell><cell r="AF1621"><v>3654329</v></cell><cell r="AG1621" t="str"><v>FACEBOOK»USA-Trial-ITD-Trial PayGo Lookalike-AZR-AZR»1 x 1»SocialBan»CAN»ALL»CPA»LAL»X»NA»SS»NA»FreeAcctITProFB-AnimatedMigration-Ch3»PS7B60</v></cell><cell r="AH1621" t="str"><v>PS7B60</v></cell><cell r="AI1621" t="str"><v>AZR_FreeAcctITProFB-AnimatedMigration-Ch3_USA_1200x1200_CAN_Direct_EN_Trial_Standard_ANI_LEA_T3_2</v></cell><cell r="AJ1621"><v>104595730</v></cell></row><row r="1622"><cell r="D1622" t="str"><v>43358PS7B5Z</v></cell><cell r="E1622" t="str"><v>43358104592535PS7B5Z</v></cell><cell r="F1622" t="str"><v>Appended from Pub - Not in DCM</v></cell></row><row r="1622"><cell r="I1622" t="str"><v>Azure Direct</v></cell><cell r="J1622" t="str"><v>Azure Direct</v></cell><cell r="K1622" t="str"><v>September</v></cell><cell r="L1622"><v>43358</v></cell><cell r="M1622" t="str"><v>Tier 0</v></cell><cell r="N1622" t="str"><v>North America</v></cell><cell r="O1622" t="str"><v>United States</v></cell><cell r="P1622" t="str"><v>Trial</v></cell><cell r="Q1622" t="str"><v>Social</v></cell><cell r="R1622" t="str"><v>Azure</v></cell><cell r="S1622" t="str"><v>Apps & Infra</v></cell><cell r="T1622" t="str"><v>Developers & ITI's</v></cell><cell r="U1622" t="str"><v>USA-Trial-ITD-Trial PayGo Lookalike-AZR-AZR</v></cell><cell r="V1622" t="str"><v>Lookalike Targeting</v></cell><cell r="W1622" t="str"><v>Canvas Ad</v></cell><cell r="X1622" t="str"><v>1200x1200</v></cell><cell r="Y1622" t="str"><v>Learn More</v></cell><cell r="Z1622" t="str"><v>Animated Banner</v></cell><cell r="AA1622"><v>43358</v></cell><cell r="AB1622" t="str"><v>USA_gaPMG_AZR_AZR_Q1_19_Direct-Social</v></cell><cell r="AC1622"><v>21358715</v></cell><cell r="AD1622"><v>720197</v></cell><cell r="AE1622" t="str"><v>Linkedin</v></cell><cell r="AF1622"><v>3654329</v></cell><cell r="AG1622" t="str"><v>FACEBOOK»USA-Trial-ITD-Trial PayGo Lookalike-AZR-AZR»1 x 1»SocialBan»CAN»ALL»CPA»LAL»X»NA»SS»NA»FreeAcctITProFB-AnimatedHybrid-Ch2»PS7B5Z</v></cell><cell r="AH1622" t="str"><v>PS7B5Z</v></cell><cell r="AI1622" t="str"><v>AZR_FreeAcctITProFB-AnimatedHybrid-Ch2_USA_1200x1200_CAN_Direct_EN_Trial_Standard_ANI_LEA_T2_1</v></cell><cell r="AJ1622"><v>104592535</v></cell></row><row r="1623"><cell r="D1623" t="str"><v>43358PRC2G7</v></cell><cell r="E1623" t="str"><v>43358103037974PRC2G7</v></cell><cell r="F1623" t="str"><v>Appended from Pub - Not in DCM</v></cell></row><row r="1623"><cell r="I1623" t="str"><v>Azure Direct</v></cell><cell r="J1623" t="str"><v>Azure Direct</v></cell><cell r="K1623" t="str"><v>September</v></cell><cell r="L1623"><v>43358</v></cell><cell r="M1623" t="str"><v>Tier 0</v></cell><cell r="N1623" t="str"><v>North America</v></cell><cell r="O1623" t="str"><v>United States</v></cell><cell r="P1623" t="str"><v>Trial</v></cell><cell r="Q1623" t="str"><v>Social</v></cell><cell r="R1623" t="str"><v>Azure</v></cell><cell r="S1623" t="str"><v>Apps & Infra</v></cell><cell r="T1623" t="str"><v>Developers & ITI's</v></cell><cell r="U1623" t="str"><v>USA-Trial-ITD-Retargeting-AZR-AZR</v></cell><cell r="V1623" t="str"><v>Retargeting</v></cell><cell r="W1623" t="str"><v>Canvas Ad</v></cell><cell r="X1623" t="str"><v>10s</v></cell><cell r="Y1623" t="str"><v>Try it Now</v></cell><cell r="Z1623" t="str"><v>Standard videos</v></cell><cell r="AA1623"><v>43358</v></cell><cell r="AB1623" t="str"><v>USA_gaPMG_AZR_AZR_Q1_19_Direct-Social</v></cell><cell r="AC1623"><v>21358715</v></cell><cell r="AD1623"><v>720197</v></cell><cell r="AE1623" t="str"><v>Linkedin</v></cell><cell r="AF1623"><v>3654329</v></cell><cell r="AG1623" t="str"><v>INSTAGRAM»USA-Trial-ITD-Retargeting-AZR-AZR»1 x 1»SocialBan»CAN»ALL»CPA»RT»X»NA»SS»NA»IGCTCBasicMotion»PRC2G7</v></cell><cell r="AH1623" t="str"><v>PRC2G7</v></cell><cell r="AI1623" t="str"><v>AzurePlatform_IGCTCBasicMotion_USA_10s_CAN_PLATFORM_English_Trial_Standard_STAN_TIN_T1_2</v></cell><cell r="AJ1623"><v>103037974</v></cell></row><row r="1624"><cell r="D1624" t="str"><v>43358PS79SW</v></cell><cell r="E1624" t="str"><v>43358104595760PS79SW</v></cell><cell r="F1624" t="str"><v>Appended from Pub - Not in DCM</v></cell></row><row r="1624"><cell r="I1624" t="str"><v>Azure Direct</v></cell><cell r="J1624" t="str"><v>Azure Direct</v></cell><cell r="K1624" t="str"><v>September</v></cell><cell r="L1624"><v>43358</v></cell><cell r="M1624" t="str"><v>Tier 0</v></cell><cell r="N1624" t="str"><v>North America</v></cell><cell r="O1624" t="str"><v>United States</v></cell><cell r="P1624" t="str"><v>Trial</v></cell><cell r="Q1624" t="str"><v>Social</v></cell><cell r="R1624" t="str"><v>Azure</v></cell><cell r="S1624" t="str"><v>Apps & Infra</v></cell><cell r="T1624" t="str"><v>Developers & ITI's</v></cell><cell r="U1624" t="str"><v>USA-Trial-ITD-Retargeting-AZR-AZR</v></cell><cell r="V1624" t="str"><v>Retargeting</v></cell><cell r="W1624" t="str"><v>Canvas Ad</v></cell><cell r="X1624" t="str"><v>1200x628</v></cell><cell r="Y1624" t="str"><v>Sign Up</v></cell><cell r="Z1624" t="str"><v>Not Applicable</v></cell><cell r="AA1624"><v>43358</v></cell><cell r="AB1624" t="str"><v>USA_gaPMG_AZR_AZR_Q1_19_Direct-Social</v></cell><cell r="AC1624"><v>21358715</v></cell><cell r="AD1624"><v>720197</v></cell><cell r="AE1624" t="str"><v>Linkedin</v></cell><cell r="AF1624"><v>3654329</v></cell><cell r="AG1624" t="str"><v>FACEBOOK»USA-Trial-ITD-Retargeting-AZR-AZR»1 x 1»SocialBan»CAN»ALL»CPA»RT»X»NA»SS»NA»FreeAcctRetargetingVMFB-750Hrs-ChD»PS79SW</v></cell><cell r="AH1624" t="str"><v>PS79SW</v></cell><cell r="AI1624" t="str"><v>AZR_FreeAcctRetargetingVMFB-750Hrs-ChD_USA_1200x628_CAN_Plat_English_Free Account_Standard_NA_SINU_T1_2</v></cell><cell r="AJ1624"><v>104595760</v></cell></row><row r="1625"><cell r="D1625" t="str"><v>43358PRC1SV</v></cell><cell r="E1625" t="str"><v>43358103043823PRC1SV</v></cell><cell r="F1625" t="str"><v>Appended from Pub - Not in DCM</v></cell></row><row r="1625"><cell r="I1625" t="str"><v>Azure Direct</v></cell><cell r="J1625" t="str"><v>Azure Direct</v></cell><cell r="K1625" t="str"><v>September</v></cell><cell r="L1625"><v>43358</v></cell><cell r="M1625" t="str"><v>Tier 0</v></cell><cell r="N1625" t="str"><v>North America</v></cell><cell r="O1625" t="str"><v>United States</v></cell><cell r="P1625" t="str"><v>Trial</v></cell><cell r="Q1625" t="str"><v>Social</v></cell><cell r="R1625" t="str"><v>Azure</v></cell><cell r="S1625" t="str"><v>Apps & Infra</v></cell><cell r="T1625" t="str"><v>Developers & ITI's</v></cell><cell r="U1625" t="str"><v>USA-Trial-ITD-Interest Prospecting-AZR-AZR</v></cell><cell r="V1625" t="str"><v>Prospecting</v></cell><cell r="W1625" t="str"><v>Canvas Ad</v></cell><cell r="X1625" t="str"><v>10s</v></cell><cell r="Y1625" t="str"><v>Try it Now</v></cell><cell r="Z1625" t="str"><v>Standard videos</v></cell><cell r="AA1625"><v>43358</v></cell><cell r="AB1625" t="str"><v>USA_gaPMG_AZR_AZR_Q1_19_Direct-Social</v></cell><cell r="AC1625"><v>21358715</v></cell><cell r="AD1625"><v>720197</v></cell><cell r="AE1625" t="str"><v>Linkedin</v></cell><cell r="AF1625"><v>3654329</v></cell><cell r="AG1625" t="str"><v>FACEBOOK»USA-Trial-ITD-Interest Prospecting-AZR-AZR»1 x 1»SocialBan»CAN»ALL»CPA»PRO»X»NA»SS»NA»FBCTCBasicMotion»PRC1SV</v></cell><cell r="AH1625" t="str"><v>PRC1SV</v></cell><cell r="AI1625" t="str"><v>AzurePlatform_FBCTCBasicMotion_USA_10s_CAN_PLATFORM_English_Trial_Standard_STAN_TIN_T1_1</v></cell><cell r="AJ1625"><v>103043823</v></cell></row><row r="1626"><cell r="D1626" t="str"><v>43358PRC1Q3</v></cell><cell r="E1626" t="str"><v>43358103176812PRC1Q3</v></cell><cell r="F1626" t="str"><v>Appended from Pub - Not in DCM</v></cell></row><row r="1626"><cell r="I1626" t="str"><v>Azure Direct</v></cell><cell r="J1626" t="str"><v>Azure Direct</v></cell><cell r="K1626" t="str"><v>September</v></cell><cell r="L1626"><v>43358</v></cell><cell r="M1626" t="str"><v>Tier 0</v></cell><cell r="N1626" t="str"><v>North America</v></cell><cell r="O1626" t="str"><v>United States</v></cell><cell r="P1626" t="str"><v>Trial</v></cell><cell r="Q1626" t="str"><v>Social</v></cell><cell r="R1626" t="str"><v>Azure</v></cell><cell r="S1626" t="str"><v>Apps & Infra</v></cell><cell r="T1626" t="str"><v>Developers & ITI's</v></cell><cell r="U1626" t="str"><v>USA-Trial-ITD-Trial PayGo Lookalike-AZR-AZR</v></cell><cell r="V1626" t="str"><v>Lookalike Targeting</v></cell><cell r="W1626" t="str"><v>Canvas Ad</v></cell><cell r="X1626" t="str"><v>10s</v></cell><cell r="Y1626" t="str"><v>Try it Now</v></cell><cell r="Z1626" t="str"><v>Standard videos</v></cell><cell r="AA1626"><v>43358</v></cell><cell r="AB1626" t="str"><v>USA_gaPMG_AZR_AZR_Q1_19_Direct-Social</v></cell><cell r="AC1626"><v>21358715</v></cell><cell r="AD1626"><v>720197</v></cell><cell r="AE1626" t="str"><v>Linkedin</v></cell><cell r="AF1626"><v>3654329</v></cell><cell r="AG1626" t="str"><v>FACEBOOK»USA-Trial-ITD-Trial PayGo Lookalike-AZR-AZR»1 x 1»SocialBan»CAN»ALL»CPA»LAL»X»NA»SS»NA»FBCTCBrandinMotion»PRC1Q3</v></cell><cell r="AH1626" t="str"><v>PRC1Q3</v></cell><cell r="AI1626" t="str"><v>AzurePlatform_FBCTCBrandinMotion_USA_10s_CAN_PLATFORM_English_Trial_Standard_STAN_TIN_T2_1</v></cell><cell r="AJ1626"><v>103176812</v></cell></row><row r="1627"><cell r="D1627" t="str"><v>43358PRC1Q2</v></cell><cell r="E1627" t="str"><v>43358103032775PRC1Q2</v></cell><cell r="F1627" t="str"><v>Appended from Pub - Not in DCM</v></cell></row><row r="1627"><cell r="I1627" t="str"><v>Azure Direct</v></cell><cell r="J1627" t="str"><v>Azure Direct</v></cell><cell r="K1627" t="str"><v>September</v></cell><cell r="L1627"><v>43358</v></cell><cell r="M1627" t="str"><v>Tier 0</v></cell><cell r="N1627" t="str"><v>North America</v></cell><cell r="O1627" t="str"><v>United States</v></cell><cell r="P1627" t="str"><v>Trial</v></cell><cell r="Q1627" t="str"><v>Social</v></cell><cell r="R1627" t="str"><v>Azure</v></cell><cell r="S1627" t="str"><v>Apps & Infra</v></cell><cell r="T1627" t="str"><v>Developers & ITI's</v></cell><cell r="U1627" t="str"><v>USA-Trial-ITD-Trial PayGo Lookalike-AZR-AZR</v></cell><cell r="V1627" t="str"><v>Lookalike Targeting</v></cell><cell r="W1627" t="str"><v>Canvas Ad</v></cell><cell r="X1627" t="str"><v>10s</v></cell><cell r="Y1627" t="str"><v>Try it Now</v></cell><cell r="Z1627" t="str"><v>Standard videos</v></cell><cell r="AA1627"><v>43358</v></cell><cell r="AB1627" t="str"><v>USA_gaPMG_AZR_AZR_Q1_19_Direct-Social</v></cell><cell r="AC1627"><v>21358715</v></cell><cell r="AD1627"><v>720197</v></cell><cell r="AE1627" t="str"><v>Linkedin</v></cell><cell r="AF1627"><v>3654329</v></cell><cell r="AG1627" t="str"><v>FACEBOOK»USA-Trial-ITD-Trial PayGo Lookalike-AZR-AZR»1 x 1»SocialBan»CAN»ALL»CPA»LAL»X»NA»SS»NA»FBCTCBenefitinMotion»PRC1Q2</v></cell><cell r="AH1627" t="str"><v>PRC1Q2</v></cell><cell r="AI1627" t="str"><v>AzurePlatform_FBCTCBenefitinMotion_USA_10s_CAN_PLATFORM_English_Trial_Standard_STAN_TIN_T3_1</v></cell><cell r="AJ1627"><v>103032775</v></cell></row></sheetData><sheetData sheetId="2"></sheetData><sheetData sheetId="3"></sheetData><sheetData sheetId="4"></sheetData><sheetData sheetId="5"></sheetData><sheetData sheetId="6"></sheetData><sheetData sheetId="7"></sheetData><sheetData sheetId="8"></sheetData></sheetDataSet></externalBook></externalLink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769">
  <cacheSource type="worksheet">
    <worksheetSource ref="A1:AB901" sheet="Data Drop"/>
  </cacheSource>
  <cacheFields count="28">
    <cacheField name="Lookup Key 1" numFmtId="0">
      <sharedItems count="653" containsMixedTypes="1" containsSemiMixedTypes="1" containsString="1" containsNumber="0">
        <s v="43352223297413"/>
        <s v="43352223298805"/>
        <s v="43352223560299"/>
        <s v="43352223560332"/>
        <s v="43352223560338"/>
        <s v="43352223560344"/>
        <s v="43352223560350"/>
        <s v="43352223560356"/>
        <s v="43352223684451"/>
        <s v="43352223691762"/>
        <s v="43352223691765"/>
        <s v="43352223691768"/>
        <s v="43352223691771"/>
        <s v="43352223691774"/>
        <s v="43352223691777"/>
        <s v="43352223691780"/>
        <s v="43352223691783"/>
        <s v="43352223691786"/>
        <s v="43352223691789"/>
        <s v="43352223691792"/>
        <s v="43352223691795"/>
        <s v="43352223691798"/>
        <s v="43352223691801"/>
        <s v="43352223691804"/>
        <s v="43352223691807"/>
        <s v="43352223691810"/>
        <s v="43352223691813"/>
        <s v="43352223691816"/>
        <s v="43352223691819"/>
        <s v="43352223691822"/>
        <s v="43352223691825"/>
        <s v="43352223691828"/>
        <s v="43352223691831"/>
        <s v="43352223691834"/>
        <s v="43352223691837"/>
        <s v="43352223691840"/>
        <s v="43352224009494"/>
        <s v="43352224010415"/>
        <s v="43352224334170"/>
        <s v="43352224399962"/>
        <s v="43352224416915"/>
        <s v="43352224560833"/>
        <s v="43352224560836"/>
        <s v="43352224560839"/>
        <s v="43352224560842"/>
        <s v="43352224560845"/>
        <s v="43352224560851"/>
        <s v="43352224560854"/>
        <s v="43352224560857"/>
        <s v="43352224560860"/>
        <s v="43352224560863"/>
        <s v="43352224560866"/>
        <s v="43352224560875"/>
        <s v="43352225322324"/>
        <s v="43352225322327"/>
        <s v="43352226269941"/>
        <s v="43352226359881"/>
        <s v="43352226359884"/>
        <s v="43352226359887"/>
        <s v="43352226359935"/>
        <s v="43352226359938"/>
        <s v="43352226359941"/>
        <s v="43352226359944"/>
        <s v="43352226359947"/>
        <s v="43352226359950"/>
        <s v="43352226359953"/>
        <s v="43352226359956"/>
        <s v="43352226359959"/>
        <s v="43352226359962"/>
        <s v="43352226359965"/>
        <s v="43352226359968"/>
        <s v="43352226359971"/>
        <s v="43352226359995"/>
        <s v="43352226360001"/>
        <s v="43352226360007"/>
        <s v="43352226360010"/>
        <s v="43352226360013"/>
        <s v="43352226360016"/>
        <s v="43352226360019"/>
        <s v="43352226360022"/>
        <s v="43352226360028"/>
        <s v="43352226360031"/>
        <s v="43352226360034"/>
        <s v="43352226360037"/>
        <s v="43352226360040"/>
        <s v="43352226420298"/>
        <s v="43352226496095"/>
        <s v="43352226496098"/>
        <s v="43352226496101"/>
        <s v="43352226496104"/>
        <s v="43352226496107"/>
        <s v="43352226496137"/>
        <s v="43352226496140"/>
        <s v="43352226496143"/>
        <s v="43352226496146"/>
        <s v="43352227208508"/>
        <s v="43352227522762"/>
        <s v="43352227522771"/>
        <s v="43352227525720"/>
        <s v="43352227618695"/>
        <s v="43353223297413"/>
        <s v="43353223298805"/>
        <s v="43353223560299"/>
        <s v="43353223560332"/>
        <s v="43353223560338"/>
        <s v="43353223560344"/>
        <s v="43353223560356"/>
        <s v="43353223684451"/>
        <s v="43353223691762"/>
        <s v="43353223691765"/>
        <s v="43353223691768"/>
        <s v="43353223691771"/>
        <s v="43353223691774"/>
        <s v="43353223691777"/>
        <s v="43353223691780"/>
        <s v="43353223691783"/>
        <s v="43353223691786"/>
        <s v="43353223691789"/>
        <s v="43353223691792"/>
        <s v="43353223691795"/>
        <s v="43353223691798"/>
        <s v="43353223691801"/>
        <s v="43353223691804"/>
        <s v="43353223691807"/>
        <s v="43353223691810"/>
        <s v="43353223691813"/>
        <s v="43353223691816"/>
        <s v="43353223691819"/>
        <s v="43353223691822"/>
        <s v="43353223691825"/>
        <s v="43353223691828"/>
        <s v="43353223691831"/>
        <s v="43353223691834"/>
        <s v="43353223691837"/>
        <s v="43353223691840"/>
        <s v="43353224009494"/>
        <s v="43353224010415"/>
        <s v="43353224334170"/>
        <s v="43353224399962"/>
        <s v="43353224416915"/>
        <s v="43353224549481"/>
        <s v="43353224560833"/>
        <s v="43353224560836"/>
        <s v="43353224560839"/>
        <s v="43353224560842"/>
        <s v="43353224560845"/>
        <s v="43353224560851"/>
        <s v="43353224560854"/>
        <s v="43353224560857"/>
        <s v="43353224560860"/>
        <s v="43353224560863"/>
        <s v="43353224560866"/>
        <s v="43353224560875"/>
        <s v="43353225322324"/>
        <s v="43353225322327"/>
        <s v="43353226269941"/>
        <s v="43353226359881"/>
        <s v="43353226359884"/>
        <s v="43353226359887"/>
        <s v="43353226359935"/>
        <s v="43353226359938"/>
        <s v="43353226359941"/>
        <s v="43353226359944"/>
        <s v="43353226359947"/>
        <s v="43353226359950"/>
        <s v="43353226359953"/>
        <s v="43353226359956"/>
        <s v="43353226359959"/>
        <s v="43353226359962"/>
        <s v="43353226359965"/>
        <s v="43353226359968"/>
        <s v="43353226359971"/>
        <s v="43353226359995"/>
        <s v="43353226360001"/>
        <s v="43353226360007"/>
        <s v="43353226360010"/>
        <s v="43353226360013"/>
        <s v="43353226360016"/>
        <s v="43353226360019"/>
        <s v="43353226360022"/>
        <s v="43353226360028"/>
        <s v="43353226360031"/>
        <s v="43353226360034"/>
        <s v="43353226360037"/>
        <s v="43353226360040"/>
        <s v="43353226420298"/>
        <s v="43353226496095"/>
        <s v="43353226496098"/>
        <s v="43353226496101"/>
        <s v="43353226496104"/>
        <s v="43353226496107"/>
        <s v="43353226496137"/>
        <s v="43353226496140"/>
        <s v="43353226496143"/>
        <s v="43353226496146"/>
        <s v="43353227035833"/>
        <s v="43353227208508"/>
        <s v="43353227522762"/>
        <s v="43353227522771"/>
        <s v="43353227525720"/>
        <s v="43353227618695"/>
        <s v="43354223297413"/>
        <s v="43354223298805"/>
        <s v="43354223560299"/>
        <s v="43354223560332"/>
        <s v="43354223560338"/>
        <s v="43354223560344"/>
        <s v="43354223560350"/>
        <s v="43354223560356"/>
        <s v="43354223684451"/>
        <s v="43354223691777"/>
        <s v="43354223691780"/>
        <s v="43354223691783"/>
        <s v="43354223691786"/>
        <s v="43354223691789"/>
        <s v="43354223691792"/>
        <s v="43354223691795"/>
        <s v="43354223691798"/>
        <s v="43354223691801"/>
        <s v="43354223691819"/>
        <s v="43354223691822"/>
        <s v="43354223691825"/>
        <s v="43354223691828"/>
        <s v="43354223691831"/>
        <s v="43354223691834"/>
        <s v="43354223691837"/>
        <s v="43354223691840"/>
        <s v="43354224009494"/>
        <s v="43354224010415"/>
        <s v="43354224334170"/>
        <s v="43354224399962"/>
        <s v="43354224416915"/>
        <s v="43354224560833"/>
        <s v="43354224560836"/>
        <s v="43354224560839"/>
        <s v="43354224560842"/>
        <s v="43354224560845"/>
        <s v="43354224560851"/>
        <s v="43354224560854"/>
        <s v="43354224560857"/>
        <s v="43354224560860"/>
        <s v="43354224560863"/>
        <s v="43354224560866"/>
        <s v="43354224560875"/>
        <s v="43354225322324"/>
        <s v="43354225322327"/>
        <s v="43354226269941"/>
        <s v="43354226359881"/>
        <s v="43354226359884"/>
        <s v="43354226359887"/>
        <s v="43354226359935"/>
        <s v="43354226359938"/>
        <s v="43354226359941"/>
        <s v="43354226359944"/>
        <s v="43354226359947"/>
        <s v="43354226359950"/>
        <s v="43354226359953"/>
        <s v="43354226359956"/>
        <s v="43354226359959"/>
        <s v="43354226359962"/>
        <s v="43354226359965"/>
        <s v="43354226359968"/>
        <s v="43354226359971"/>
        <s v="43354226359995"/>
        <s v="43354226360001"/>
        <s v="43354226360007"/>
        <s v="43354226360010"/>
        <s v="43354226360013"/>
        <s v="43354226360016"/>
        <s v="43354226360019"/>
        <s v="43354226360022"/>
        <s v="43354226360028"/>
        <s v="43354226360031"/>
        <s v="43354226360034"/>
        <s v="43354226360037"/>
        <s v="43354226360040"/>
        <s v="43354226420298"/>
        <s v="43354226496095"/>
        <s v="43354226496098"/>
        <s v="43354226496101"/>
        <s v="43354226496104"/>
        <s v="43354226496107"/>
        <s v="43354226496137"/>
        <s v="43354226496140"/>
        <s v="43354226496143"/>
        <s v="43354226496146"/>
        <s v="43354226889143"/>
        <s v="43354227208508"/>
        <s v="43354227522762"/>
        <s v="43354227522771"/>
        <s v="43354227525720"/>
        <s v="43354227618695"/>
        <s v="43355223297413"/>
        <s v="43355223298805"/>
        <s v="43355223560299"/>
        <s v="43355223560332"/>
        <s v="43355223560338"/>
        <s v="43355223560344"/>
        <s v="43355223560350"/>
        <s v="43355223684451"/>
        <s v="43355223691777"/>
        <s v="43355223691780"/>
        <s v="43355223691783"/>
        <s v="43355223691786"/>
        <s v="43355223691789"/>
        <s v="43355223691792"/>
        <s v="43355223691795"/>
        <s v="43355223691798"/>
        <s v="43355223691801"/>
        <s v="43355223691819"/>
        <s v="43355223691822"/>
        <s v="43355223691825"/>
        <s v="43355223691828"/>
        <s v="43355223691831"/>
        <s v="43355223691834"/>
        <s v="43355223691837"/>
        <s v="43355223691840"/>
        <s v="43355224009494"/>
        <s v="43355224010415"/>
        <s v="43355224334170"/>
        <s v="43355224416915"/>
        <s v="43355224549481"/>
        <s v="43355224560833"/>
        <s v="43355224560836"/>
        <s v="43355224560839"/>
        <s v="43355224560842"/>
        <s v="43355224560845"/>
        <s v="43355224560851"/>
        <s v="43355224560854"/>
        <s v="43355224560857"/>
        <s v="43355224560860"/>
        <s v="43355224560863"/>
        <s v="43355224560866"/>
        <s v="43355224560875"/>
        <s v="43355225322324"/>
        <s v="43355225322327"/>
        <s v="43355226269941"/>
        <s v="43355226359881"/>
        <s v="43355226359884"/>
        <s v="43355226359887"/>
        <s v="43355226359935"/>
        <s v="43355226359938"/>
        <s v="43355226359941"/>
        <s v="43355226359944"/>
        <s v="43355226359947"/>
        <s v="43355226359950"/>
        <s v="43355226359953"/>
        <s v="43355226359956"/>
        <s v="43355226359959"/>
        <s v="43355226359962"/>
        <s v="43355226359965"/>
        <s v="43355226359968"/>
        <s v="43355226359971"/>
        <s v="43355226359995"/>
        <s v="43355226360001"/>
        <s v="43355226360007"/>
        <s v="43355226360010"/>
        <s v="43355226360013"/>
        <s v="43355226360016"/>
        <s v="43355226360019"/>
        <s v="43355226360022"/>
        <s v="43355226360028"/>
        <s v="43355226360031"/>
        <s v="43355226360034"/>
        <s v="43355226360037"/>
        <s v="43355226360040"/>
        <s v="43355226420298"/>
        <s v="43355226496095"/>
        <s v="43355226496098"/>
        <s v="43355226496101"/>
        <s v="43355226496104"/>
        <s v="43355226496107"/>
        <s v="43355226496137"/>
        <s v="43355226496140"/>
        <s v="43355226496143"/>
        <s v="43355226496146"/>
        <s v="43355227036847"/>
        <s v="43355227208508"/>
        <s v="43355227522762"/>
        <s v="43355227522771"/>
        <s v="43355227525720"/>
        <s v="43355227618695"/>
        <s v="43356223297413"/>
        <s v="43356223298805"/>
        <s v="43356223560299"/>
        <s v="43356223560344"/>
        <s v="43356223560350"/>
        <s v="43356223560356"/>
        <s v="43356223684451"/>
        <s v="43356223691777"/>
        <s v="43356223691780"/>
        <s v="43356223691783"/>
        <s v="43356223691786"/>
        <s v="43356223691789"/>
        <s v="43356223691792"/>
        <s v="43356223691795"/>
        <s v="43356223691798"/>
        <s v="43356223691801"/>
        <s v="43356223691819"/>
        <s v="43356223691822"/>
        <s v="43356223691825"/>
        <s v="43356223691828"/>
        <s v="43356223691831"/>
        <s v="43356223691834"/>
        <s v="43356223691837"/>
        <s v="43356223691840"/>
        <s v="43356224009494"/>
        <s v="43356224010415"/>
        <s v="43356224334170"/>
        <s v="43356224399962"/>
        <s v="43356224416915"/>
        <s v="43356224560833"/>
        <s v="43356224560836"/>
        <s v="43356224560839"/>
        <s v="43356224560842"/>
        <s v="43356224560845"/>
        <s v="43356224560851"/>
        <s v="43356224560854"/>
        <s v="43356224560857"/>
        <s v="43356224560860"/>
        <s v="43356224560863"/>
        <s v="43356224560866"/>
        <s v="43356224560875"/>
        <s v="43356225322324"/>
        <s v="43356225322327"/>
        <s v="43356226269941"/>
        <s v="43356226359881"/>
        <s v="43356226359884"/>
        <s v="43356226359887"/>
        <s v="43356226359935"/>
        <s v="43356226359938"/>
        <s v="43356226359941"/>
        <s v="43356226359944"/>
        <s v="43356226359947"/>
        <s v="43356226359950"/>
        <s v="43356226359953"/>
        <s v="43356226359956"/>
        <s v="43356226359959"/>
        <s v="43356226359962"/>
        <s v="43356226359965"/>
        <s v="43356226359968"/>
        <s v="43356226359971"/>
        <s v="43356226359995"/>
        <s v="43356226360001"/>
        <s v="43356226360007"/>
        <s v="43356226360010"/>
        <s v="43356226360013"/>
        <s v="43356226360016"/>
        <s v="43356226360019"/>
        <s v="43356226360022"/>
        <s v="43356226360028"/>
        <s v="43356226360031"/>
        <s v="43356226360034"/>
        <s v="43356226360037"/>
        <s v="43356226360040"/>
        <s v="43356226420298"/>
        <s v="43356226496095"/>
        <s v="43356226496098"/>
        <s v="43356226496101"/>
        <s v="43356226496104"/>
        <s v="43356226496107"/>
        <s v="43356226496137"/>
        <s v="43356226496140"/>
        <s v="43356226496143"/>
        <s v="43356226496146"/>
        <s v="43356226887148"/>
        <s v="43356227208508"/>
        <s v="43356227522762"/>
        <s v="43356227522771"/>
        <s v="43356227525720"/>
        <s v="43356227618695"/>
        <s v="43357223297413"/>
        <s v="43357223298805"/>
        <s v="43357223560299"/>
        <s v="43357223560332"/>
        <s v="43357223560338"/>
        <s v="43357223560344"/>
        <s v="43357223560356"/>
        <s v="43357223684451"/>
        <s v="43357223691777"/>
        <s v="43357223691780"/>
        <s v="43357223691783"/>
        <s v="43357223691786"/>
        <s v="43357223691789"/>
        <s v="43357223691792"/>
        <s v="43357223691795"/>
        <s v="43357223691798"/>
        <s v="43357223691801"/>
        <s v="43357223691819"/>
        <s v="43357223691822"/>
        <s v="43357223691825"/>
        <s v="43357223691828"/>
        <s v="43357223691831"/>
        <s v="43357223691834"/>
        <s v="43357223691837"/>
        <s v="43357223691840"/>
        <s v="43357224009494"/>
        <s v="43357224010415"/>
        <s v="43357224334170"/>
        <s v="43357224399962"/>
        <s v="43357224416915"/>
        <s v="43357224560833"/>
        <s v="43357224560836"/>
        <s v="43357224560839"/>
        <s v="43357224560842"/>
        <s v="43357224560845"/>
        <s v="43357224560851"/>
        <s v="43357224560854"/>
        <s v="43357224560857"/>
        <s v="43357224560860"/>
        <s v="43357224560863"/>
        <s v="43357224560866"/>
        <s v="43357224560875"/>
        <s v="43357225322324"/>
        <s v="43357225322327"/>
        <s v="43357226269941"/>
        <s v="43357226359881"/>
        <s v="43357226359884"/>
        <s v="43357226359887"/>
        <s v="43357226359935"/>
        <s v="43357226359938"/>
        <s v="43357226359941"/>
        <s v="43357226359944"/>
        <s v="43357226359947"/>
        <s v="43357226359950"/>
        <s v="43357226359953"/>
        <s v="43357226359956"/>
        <s v="43357226359959"/>
        <s v="43357226359962"/>
        <s v="43357226359965"/>
        <s v="43357226359968"/>
        <s v="43357226359971"/>
        <s v="43357226359995"/>
        <s v="43357226360001"/>
        <s v="43357226360007"/>
        <s v="43357226360010"/>
        <s v="43357226360013"/>
        <s v="43357226360016"/>
        <s v="43357226360019"/>
        <s v="43357226360022"/>
        <s v="43357226360028"/>
        <s v="43357226360031"/>
        <s v="43357226360034"/>
        <s v="43357226360037"/>
        <s v="43357226360040"/>
        <s v="43357226420298"/>
        <s v="43357226496095"/>
        <s v="43357226496098"/>
        <s v="43357226496101"/>
        <s v="43357226496104"/>
        <s v="43357226496107"/>
        <s v="43357226496137"/>
        <s v="43357226496140"/>
        <s v="43357226496143"/>
        <s v="43357226496146"/>
        <s v="43357227208508"/>
        <s v="43357227522762"/>
        <s v="43357227522771"/>
        <s v="43357227525720"/>
        <s v="43357227618695"/>
        <s v="43358223297413"/>
        <s v="43358223298805"/>
        <s v="43358223560299"/>
        <s v="43358223560332"/>
        <s v="43358223560338"/>
        <s v="43358223560344"/>
        <s v="43358223560347"/>
        <s v="43358223560350"/>
        <s v="43358223560356"/>
        <s v="43358223684451"/>
        <s v="43358223691777"/>
        <s v="43358223691780"/>
        <s v="43358223691783"/>
        <s v="43358223691786"/>
        <s v="43358223691789"/>
        <s v="43358223691792"/>
        <s v="43358223691795"/>
        <s v="43358223691798"/>
        <s v="43358223691801"/>
        <s v="43358223691819"/>
        <s v="43358223691822"/>
        <s v="43358223691825"/>
        <s v="43358223691828"/>
        <s v="43358223691831"/>
        <s v="43358223691834"/>
        <s v="43358223691837"/>
        <s v="43358223691840"/>
        <s v="43358224009494"/>
        <s v="43358224010415"/>
        <s v="43358224334170"/>
        <s v="43358224399962"/>
        <s v="43358224416915"/>
        <s v="43358224549481"/>
        <s v="43358224560833"/>
        <s v="43358224560836"/>
        <s v="43358224560839"/>
        <s v="43358224560842"/>
        <s v="43358224560845"/>
        <s v="43358224560851"/>
        <s v="43358224560854"/>
        <s v="43358224560857"/>
        <s v="43358224560860"/>
        <s v="43358224560863"/>
        <s v="43358224560866"/>
        <s v="43358224560875"/>
        <s v="43358225322324"/>
        <s v="43358225322327"/>
        <s v="43358226269941"/>
        <s v="43358226359881"/>
        <s v="43358226359884"/>
        <s v="43358226359887"/>
        <s v="43358226359935"/>
        <s v="43358226359938"/>
        <s v="43358226359941"/>
        <s v="43358226359944"/>
        <s v="43358226359947"/>
        <s v="43358226359950"/>
        <s v="43358226359953"/>
        <s v="43358226359956"/>
        <s v="43358226359959"/>
        <s v="43358226359962"/>
        <s v="43358226359965"/>
        <s v="43358226359968"/>
        <s v="43358226359971"/>
        <s v="43358226359995"/>
        <s v="43358226360001"/>
        <s v="43358226360007"/>
        <s v="43358226360010"/>
        <s v="43358226360013"/>
        <s v="43358226360016"/>
        <s v="43358226360019"/>
        <s v="43358226360022"/>
        <s v="43358226360028"/>
        <s v="43358226360031"/>
        <s v="43358226360034"/>
        <s v="43358226360037"/>
        <s v="43358226360040"/>
        <s v="43358226420298"/>
        <s v="43358226496095"/>
        <s v="43358226496098"/>
        <s v="43358226496101"/>
        <s v="43358226496104"/>
        <s v="43358226496107"/>
        <s v="43358226496137"/>
        <s v="43358226496140"/>
        <s v="43358226496143"/>
        <s v="43358226496146"/>
        <s v="43358227208508"/>
        <s v="43358227522762"/>
        <s v="43358227522771"/>
        <s v="43358227525720"/>
        <s v="43358227618695"/>
        <m/>
      </sharedItems>
    </cacheField>
    <cacheField name="Lookup Key 2" numFmtId="0">
      <sharedItems count="653" containsMixedTypes="1" containsSemiMixedTypes="1" containsString="1" containsNumber="0">
        <s v="43352Facebook»Audience &amp; Interest Targeting»1x1»SocialBan»LIA»DT»CPC»AUT»W»NA»SS»NA»Basic Motion"/>
        <s v="43352Facebook»Audience &amp; Interest Targeting»1x1»SocialBan»LIA»DT»CPC»AUT»W»NA»SS»NA»Benefit 2 in Motion"/>
        <s v="43352Facebook»AZP-Canvas-iine-Trial»1x1»Canvas»SOC»MO»CPM»AUT»W»NA»SS»NA»Canvas-Trial"/>
        <s v="43352Facebook»AZP-Canvas-Interest&amp;Role-Trial»1x1»Canvas»OTH»MO»CPM»PRO»X»UNK»TP»OT»Canvas-Trial"/>
        <s v="43352Facebook»AZP-Canvas-Look a Like-Trial»1x1»Canvas»OTH»MO»CPM»PRO»X»UNK»TP»OT»Canvas-Trial"/>
        <s v="43352Facebook»AZP-Canvas-Retargeting-Trial»1x1»Canvas»SOC»MO»CPM»PRO»W»UNK»SS»OT»Canvas-Trial"/>
        <s v="43352Facebook»AZR»1x1»NA»EGV»ALL»DYN»AUT»D»All»SS»NA»Free Acc CTC - T1 - EN"/>
        <s v="43352Facebook»AZR»1x1»NA»EGV»ALL»DYN»AUT»D»All»SS»NA»Free Acc CTC - T1 - FR"/>
        <s v="43352Facebook»AZR»1x1»NA»EGV»ALL»DYN»AUT»D»All»SS»NA»Free Acc CTC - T2 - EN"/>
        <s v="43352Facebook»AZR»1x1»NA»EGV»ALL»DYN»AUT»D»All»SS»NA»Free Acc CTC - T2 - FR"/>
        <s v="43352Facebook»AZR»1x1»NA»EGV»ALL»DYN»AUT»D»All»SS»NA»Free Acc CTC - T4 - EN"/>
        <s v="43352Facebook»AZR»1x1»NA»EGV»ALL»DYN»AUT»D»All»SS»NA»Free Acc CTC - T4 - FR"/>
        <s v="43352Facebook»AZR»1x1»NA»NA»ALL»DYN»AUT»D»All»SS»NA»Free Account Create to Convert FB - Canvas - Benefit - Start Free - EN"/>
        <s v="43352Facebook»AZR»1x1»NA»NA»ALL»DYN»AUT»D»All»SS»NA»Free Account Create to Convert FB - Canvas - Benefit - Start Free - FR"/>
        <s v="43352Facebook»AZR»1x1»NA»NA»ALL»DYN»AUT»D»All»SS»NA»Free Account Create to Convert FB - Canvas - Brand - Start Free - EN"/>
        <s v="43352Facebook»AZR»1x1»NA»NA»ALL»DYN»AUT»D»All»SS»NA»Free Account Create to Convert FB - Canvas - Brand - Start Free - FR"/>
        <s v="43352Facebook»AZR»1x1»NA»SOC»ALL»DYN»PRO»D»All»SS»NA»Canvas - Buy Now - EN"/>
        <s v="43352Facebook»AZR»1x1»NA»SOC»ALL»DYN»PRO»D»All»SS»NA»Canvas - Buy Now - FR"/>
        <s v="43352Facebook»AZR»1x1»SocialBan»NA»ALL»DYN»AUT»D»All»SS»NA»Free Acc Refresh - T1 - EN"/>
        <s v="43352Facebook»AZR»1x1»SocialBan»NA»ALL»DYN»AUT»D»All»SS»NA»Free Acc Refresh - T1 - FR"/>
        <s v="43352Facebook»AZR»1x1»SocialBan»NA»ALL»DYN»AUT»D»All»SS»NA»Free Acc Refresh - T2 - EN"/>
        <s v="43352Facebook»AZR»1x1»SocialBan»NA»ALL»DYN»AUT»D»All»SS»NA»Free Acc Refresh - T2 - FR"/>
        <s v="43352Facebook»AZR»1x1»SocialBan»NA»ALL»DYN»AUT»D»All»SS»NA»Free Acc Refresh - T3 - EN"/>
        <s v="43352Facebook»AZR»1x1»SocialBan»NA»ALL»DYN»AUT»D»All»SS»NA»Free Acc Refresh - T3 - FR"/>
        <s v="43352Facebook»AZR»1x1»SocialBan»NA»ALL»DYN»AUT»D»All»SS»NA»Free Acc Refresh - T4 - EN"/>
        <s v="43352Facebook»AZR»1x1»SocialBan»NA»ALL»DYN»AUT»D»All»SS»NA»Free Acc Refresh - T4 - FR"/>
        <s v="43352Facebook»AZR»1x1»SocialBan»NA»ALL»DYN»AUT»D»All»SS»NA»Free Acc Refresh - T5 - EN"/>
        <s v="43352Facebook»AZR»1x1»SocialBan»NA»ALL»DYN»AUT»D»All»SS»NA»Free Acc Refresh - T5 - FR"/>
        <s v="43352Facebook»AZR»1x1»SocialBan»NA»ALL»DYN»RT»D»All»SS»NA» Free Account Retargeting OSS - T1 - EN"/>
        <s v="43352Facebook»AZR»1x1»SocialBan»NA»ALL»DYN»RT»D»All»SS»NA» Free Account Retargeting OSS - T1 - FR"/>
        <s v="43352Facebook»AZR»1x1»SocialBan»NA»ALL»DYN»RT»D»All»SS»NA» Free Account Retargeting OSS - T2 - EN"/>
        <s v="43352Facebook»AZR»1x1»SocialBan»NA»ALL»DYN»RT»D»All»SS»NA» Free Account Retargeting OSS - T2 - FR"/>
        <s v="43352Facebook»AZR»1x1»SocialBan»NA»ALL»DYN»RT»D»All»SS»NA»Free Account Retargeting Generic - T2 - EN"/>
        <s v="43352Facebook»AZR»1x1»SocialBan»NA»ALL»DYN»RT»D»All»SS»NA»Free Account Retargeting Generic - T2 - FR"/>
        <s v="43352Facebook»AZR»1x1»SocialBan»NA»ALL»DYN»RT»D»All»SS»NA»Free Account Retargeting Generic - T3 - EN"/>
        <s v="43352Facebook»AZR»1x1»SocialBan»NA»ALL»DYN»RT»D»All»SS»NA»Free Account Retargeting Generic - T3 - FR"/>
        <s v="43352Facebook»AZR»1x1»SocialBan»NA»ALL»DYN»RT»D»All»SS»NA»Free Account Retargeting VM - T1 - EN"/>
        <s v="43352Facebook»AZR»1x1»SocialBan»NA»ALL»DYN»RT»D»All»SS»NA»Free Account Retargeting VM - T1 - FR"/>
        <s v="43352Facebook»AZR»1x1»SocialBan»NA»ALL»DYN»RT»D»All»SS»NA»Free Account Retargeting VM - T2 - EN"/>
        <s v="43352Facebook»AZR»1x1»SocialBan»NA»ALL»DYN»RT»D»All»SS»NA»Free Account Retargeting VM - T2 - FR"/>
        <s v="43352Facebook»DEV-ITP-AZR-FB|CanvasAds|Interesttargeting»1x1»TextLink»CAN»DT»CPM»AUT»W»NA»SS»NA»39684020-11000"/>
        <s v="43352Facebook»DEV-ITP-AZR-FB|LinkAd|CustomerAudienceRetargeting»1x1»TextLink»LIA»DT»CPM»RT»W»NA»SS»NA»39684019-11000"/>
        <s v="43352Facebook»Developers-Azure Direct-Sponsored Post_Trial_PayGo-Video Ad-Free Account Developer - AI»1x1»30s»SOC»ALL»CPC»LAL»D»UNK»SS»NA»Trials_ID"/>
        <s v="43352Facebook»Developers-Azure Direct-Sponsored Post_Trial_PayGo-Video Ad-Free Account Developer - Generic»1x1»30s»SOC»ALL»CPC»LAL»D»UNK»SS»NA»Trials_ID"/>
        <s v="43352Facebook»Developers-Azure Direct-Sponsored Post_Trial_PayGo-Video Ad-Free Account Developer - Intelligent Data»1x1»30s»SOC»ALL»CPC»LAL»D»UNK»SS»NA»Trials_ID"/>
        <s v="43352Facebook»Developers-Azure Direct-Sponsored Post_Trial_PayGo-Video Ad-Free Account Developer - Open Source»1x1»30s»SOC»ALL»CPC»LAL»D»UNK»SS»NA»Trials_ID"/>
        <s v="43352Facebook»Developers-Azure Direct-Sponsored Post_Trial-Video Ad-Free Account Developer - AI»1x1»30s»SOC»ALL»CPC»LAL»D»UNK»SS»NA»Trials_ID"/>
        <s v="43352Facebook»Developers-Azure Direct-Sponsored Post_Trial-Video Ad-Free Account Developer - AI»1x1»30s»SOC»ALL»CPC»RT»D»UNK»SS»NA»Trials_ID"/>
        <s v="43352Facebook»Developers-Azure Direct-Sponsored Post_Trial-Video Ad-Free Account Developer - Generic»1x1»30s»SOC»ALL»CPC»LAL»D»UNK»SS»NA»Trials_ID"/>
        <s v="43352Facebook»Developers-Azure Direct-Sponsored Post_Trial-Video Ad-Free Account Developer - Generic»1x1»30s»SOC»ALL»CPC»RT»D»UNK»SS»NA»Trials_ID"/>
        <s v="43352Facebook»Developers-Azure Direct-Sponsored Post_Trial-Video Ad-Free Account Developer - Intelligent Data»1x1»30s»SOC»ALL»CPC»LAL»D»UNK»SS»NA»Trials_ID"/>
        <s v="43352Facebook»Developers-Azure Direct-Sponsored Post_Trial-Video Ad-Free Account Developer - Intelligent Data»1x1»30s»SOC»ALL»CPC»RT»D»UNK»SS»NA»Trials_ID"/>
        <s v="43352Facebook»Developers-Azure Direct-Sponsored Post_Trial-Video Ad-Free Account Developer - Open Source»1x1»30s»SOC»ALL»CPC»RT»D»UNK»SS»NA»Trials_ID"/>
        <s v="43352Facebook»Developers-Azure Direct-Sponsored Post-Video Ad-Free Account Developer - AI»1x1»30s»SOC»ALL»CPC»BT»D»UNK»SS»NA»Trials_ID"/>
        <s v="43352Facebook»Developers-Azure Direct-Sponsored Post-Video Ad-Free Account Developer - Generic»1x1»30s»SOC»ALL»CPC»BT»D»UNK»SS»NA»Trials_ID"/>
        <s v="43352Facebook»Developers-Azure Direct-Sponsored Post-Video Ad-Free Account Developer - Intelligent Data»1x1»30s»SOC»ALL»CPC»BT»D»UNK»SS»NA»Trials_ID"/>
        <s v="43352Facebook»Developers-Azure Direct-Sponsored Post-Video Ad-Free Account Developer - Open Source»1x1»30s»SOC»ALL»CPC»BT»D»UNK»SS»NA»Trials_ID"/>
        <s v="43352Facebook»Developers/ITPros-Azure Direct-Sponsored Post_Trial_PayGo-Link Ad-FreeAcctRetargetingFB-Animated-ChC CanvasOpener»1x1»SocialBan»SOC»ALL»CPC»LAL»D»UNK»SS»NA»Trials_ID"/>
        <s v="43352Facebook»Developers/ITPros-Azure Direct-Sponsored Post_Trial_PayGo-Link Ad-FreeAcctRetargetingFB-GlobalAlt-ChB_RTG CanvasOpener»1x1»SocialBan»SOC»ALL»CPC»LAL»D»UNK»SS»NA»Trials_ID"/>
        <s v="43352Facebook»Developers/ITPros-Azure Direct-Sponsored Post_Trial_PayGo-Link Ad-FreeAcctRetargetingOSSFB-Logos-ChG CanvasOpener»1x1»SocialBan»SOC»ALL»CPC»LAL»D»UNK»SS»NA»Trials_ID"/>
        <s v="43352Facebook»Developers/ITPros-Azure Direct-Sponsored Post_Trial_PayGo-Link Ad-FreeAcctRetargetingOSSFB-Text-ChF CanvasOpener»1x1»SocialBan»SOC»ALL»CPC»LAL»D»UNK»SS»NA»Trials_ID"/>
        <s v="43352Facebook»Developers/ITPros-Azure Direct-Sponsored Post_Trial_PayGo-Link Ad-FreeAcctRetargetingVMFB-750Hrs-ChD CanvasOpener»1x1»SocialBan»SOC»ALL»CPC»LAL»D»UNK»SS»NA»Trials_ID"/>
        <s v="43352Facebook»Developers/ITPros-Azure Direct-Sponsored Post_Trial_PayGo-Link Ad-FreeAcctRetargetingVMFB-OnDemand-ChE CanvasOpener»1x1»SocialBan»SOC»ALL»CPC»LAL»D»UNK»SS»NA»Trials_ID"/>
        <s v="43352Facebook»Developers/ITPros-Azure Direct-Sponsored Post_Trial-Link Ad-FreeAcctRetargetingFB-Animated-ChC CanvasOpener»1x1»SocialBan»SOC»ALL»CPC»LAL»D»UNK»SS»NA»Trials_ID"/>
        <s v="43352Facebook»Developers/ITPros-Azure Direct-Sponsored Post_Trial-Link Ad-FreeAcctRetargetingFB-GlobalAlt-ChB_RTG CanvasOpener»1x1»SocialBan»SOC»ALL»CPC»LAL»D»UNK»SS»NA»Trials_ID"/>
        <s v="43352Facebook»Developers/ITPros-Azure Direct-Sponsored Post_Trial-Link Ad-FreeAcctRetargetingOSSFB-Logos-ChG CanvasOpener»1x1»SocialBan»SOC»ALL»CPC»LAL»D»UNK»SS»NA»Trials_ID"/>
        <s v="43352Facebook»Developers/ITPros-Azure Direct-Sponsored Post_Trial-Link Ad-FreeAcctRetargetingOSSFB-Text-ChF CanvasOpener»1x1»SocialBan»SOC»ALL»CPC»LAL»D»UNK»SS»NA»Trials_ID"/>
        <s v="43352Facebook»Developers/ITPros-Azure Direct-Sponsored Post_Trial-Link Ad-FreeAcctRetargetingVMFB-750Hrs-ChD CanvasOpener»1x1»SocialBan»SOC»ALL»CPC»LAL»D»UNK»SS»NA»Trials_ID"/>
        <s v="43352Facebook»Developers/ITPros-Azure Direct-Sponsored Post_Trial-Link Ad-FreeAcctRetargetingVMFB-OnDemand-ChE CanvasOpener»1x1»SocialBan»SOC»ALL»CPC»LAL»D»UNK»SS»NA»Trials_ID"/>
        <s v="43352Facebook»Developers/ITPros-Azure Direct-Sponsored Post-Link Ad-FreeAcctAppsFACEBOOK12monthsChE»1x1»SocialBan»LIA»ALL»CPC»BT»X»UNK»SS»NA»Trials_ID"/>
        <s v="43352Facebook»Developers/ITPros-Azure Direct-Sponsored Post-Link Ad-FreeAcctAppsFACEBOOK200CreditChD»1x1»SocialBan»LIA»ALL»CPC»BT»X»UNK»SS»NA»Trials_ID"/>
        <s v="43352Facebook»Developers/ITPros-Azure Direct-Sponsored Post-Link Ad-FreeAcctAppsFACEBOOKDeviceChB»1x1»SocialBan»LIA»ALL»CPC»BT»X»UNK»SS»NA»Trials_ID"/>
        <s v="43352Facebook»Developers/ITPros-Azure Direct-Sponsored Post-Link Ad-FreeAcctAppsFACEBOOKIllustrationChC»1x1»SocialBan»LIA»ALL»CPC»BT»X»UNK»SS»NA»Trials_ID"/>
        <s v="43352Facebook»Developers/ITPros-Azure Direct-Sponsored Post-Link Ad-FreeAcctAppsFACEBOOKLifestyleChA»1x1»SocialBan»LIA»ALL»CPC»BT»X»UNK»SS»NA»Trials_ID"/>
        <s v="43352Facebook»Developers/ITPros-Azure Direct-Sponsored Post-Link Ad-FreeAcctRetargetingFB-GlobalAlt-ChB»1x1»SocialBan»LIA»ALL»CPC»BT»X»UNK»SS»NA»Trials_ID"/>
        <s v="43352Facebook»Developers/ITPros-Azure Direct-Sponsored Post-Link Ad-FreeAcctRetargetingOSSFB-Logos-ChG»1x1»SocialBan»LIA»ALL»CPC»BT»X»UNK»SS»NA»Trials_ID"/>
        <s v="43352Facebook»Developers/ITPros-Azure Direct-Sponsored Post-Link Ad-FreeAcctRetargetingOSSFB-Text-ChF»1x1»SocialBan»LIA»ALL»CPC»BT»X»UNK»SS»NA»Trials_ID"/>
        <s v="43352Facebook»Developers/ITPros-Azure Direct-Sponsored Post-Link Ad-FreeAcctRetargetingVMFB-750Hrs-ChD»1x1»SocialBan»LIA»ALL»CPC»BT»X»UNK»SS»NA»Trials_ID"/>
        <s v="43352Facebook»Developers/ITPros-Azure Direct-Sponsored Post-Link Ad-FreeAcctRetargetingVMFB-OnDemand-ChE»1x1»SocialBan»LIA»ALL»CPC»BT»X»UNK»SS»NA»Trials_ID"/>
        <s v="43352Facebook»Developers/ITPros-Azure Direct-Sponsored Post-Video Ad-FBCTCBasicMotion_FRA_10s_RTG Landing Page»1x1»10s»VIA»ALL»CPC»BT»X»UNK»SS»NA»Trials_ID"/>
        <s v="43352Facebook»Developers/ITPros-Azure Direct-Sponsored Post-Video Ad-FBCTCBenefit2inMotion_FRA_14s_RTG Landing Page»1x1»14s»VIA»ALL»CPC»BT»X»UNK»SS»NA»Trials_ID"/>
        <s v="43352Facebook»Developers/ITPros-Azure Direct-Sponsored Post-Video Ad-FBCTCBrandinMotion_FRA_12s_RTG Landing Page»1x1»12s»VIA»ALL»CPC»BT»X»UNK»SS»NA»Trials_ID"/>
        <s v="43352Facebook»ITPros-Azure Direct-Sponsored Post_Trial_PayGo-Video Ad-Free Account IT Pro - Hybrid»1x1»30s»SOC»ALL»CPC»LAL»D»UNK»SS»NA»Trials_ID"/>
        <s v="43352Facebook»ITPros-Azure Direct-Sponsored Post_Trial_PayGo-Video Ad-Free Account IT Pro - Migration»1x1»30s»SOC»ALL»CPC»LAL»D»UNK»SS»NA»Trials_ID"/>
        <s v="43352Facebook»ITPros-Azure Direct-Sponsored Post_Trial_PayGo-Video Ad-Free Account IT Pro - Secure»1x1»30s»SOC»ALL»CPC»LAL»D»UNK»SS»NA»Trials_ID"/>
        <s v="43352Facebook»ITPros-Azure Direct-Sponsored Post_Trial-Video Ad-Free Account IT Pro - Hybrid»1x1»30s»SOC»ALL»CPC»LAL»D»UNK»SS»NA»Trials_ID"/>
        <s v="43352Facebook»ITPros-Azure Direct-Sponsored Post_Trial-Video Ad-Free Account IT Pro - Hybrid»1x1»30s»SOC»ALL»CPC»RT»D»UNK»SS»NA»Trials_ID"/>
        <s v="43352Facebook»ITPros-Azure Direct-Sponsored Post_Trial-Video Ad-Free Account IT Pro - Migration»1x1»30s»SOC»ALL»CPC»LAL»D»UNK»SS»NA»Trials_ID"/>
        <s v="43352Facebook»ITPros-Azure Direct-Sponsored Post_Trial-Video Ad-Free Account IT Pro - Migration»1x1»30s»SOC»ALL»CPC»RT»D»UNK»SS»NA»Trials_ID"/>
        <s v="43352Facebook»ITPros-Azure Direct-Sponsored Post_Trial-Video Ad-Free Account IT Pro - Secure»1x1»30s»SOC»ALL»CPC»LAL»D»UNK»SS»NA»Trials_ID"/>
        <s v="43352Facebook»ITPros-Azure Direct-Sponsored Post_Trial-Video Ad-Free Account IT Pro - Secure»1x1»30s»SOC»ALL»CPC»RT»D»UNK»SS»NA»Trials_ID"/>
        <s v="43352Facebook»ITPros-Azure Direct-Sponsored Post-Video Ad-Free Account IT Pro - hybrid»1x1»30s»SOC»ALL»CPC»AUT»D»UNK»SS»NA»Trials_ID"/>
        <s v="43352Facebook»ITPros-Azure Direct-Sponsored Post-Video Ad-Free Account IT Pro - Migration»1x1»30s»SOC»ALL»CPC»AUT»D»UNK»SS»NA»Trials_ID"/>
        <s v="43352Facebook»ITPros-Azure Direct-Sponsored Post-Video Ad-Free Account IT Pro - Secure»1x1»30s»SOC»ALL»CPC»AUT»D»UNK»SS»NA»Trials_ID"/>
        <s v="43352Facebook»Retargeting»1x1»SocialBan»LIA»DT»DYN»RT»W»NA»SS»NA»Free Account Retargeting Generic- Animated ChC"/>
        <s v="43352Facebook»Retargeting»1x1»SocialBan»LIA»DT»DYN»RT»W»NA»SS»NA»Free Account Retargeting Generic- Global Alt ChB"/>
        <s v="43352Facebook»Retargeting»1x1»SocialBan»LIA»DT»DYN»RT»W»NA»SS»NA»Free Account Retargeting OSS- Logos ChG"/>
        <s v="43352Facebook»Retargeting»1x1»SocialBan»LIA»DT»DYN»RT»W»NA»SS»NA»Free Account Retargeting OSS- Text ChF"/>
        <s v="43352Facebook»Retargeting»1x1»SocialBan»LIA»DT»DYN»RT»W»NA»SS»NA»Free Account Retargeting VM- 750 Hrs ChD"/>
        <s v="43352Facebook»Retargeting»1x1»SocialBan»LIA»DT»DYN»RT»W»NA»SS»NA»Free Account Retargeting VM- On Demand ChE"/>
        <s v="43353Facebook»Audience &amp; Interest Targeting- Azure Trial Lookalikes»1x1»TextLink»CAN»MO»CPM»AUT»W»NA»SS»NA»Free Account IT Pro- Hybrid"/>
        <s v="43353Facebook»Audience &amp; Interest Targeting»1x1»SocialBan»LIA»DT»CPC»AUT»W»NA»SS»NA»Basic Motion"/>
        <s v="43353Facebook»Audience &amp; Interest Targeting»1x1»SocialBan»LIA»DT»CPC»AUT»W»NA»SS»NA»Benefit 2 in Motion"/>
        <s v="43353Facebook»Audience &amp; Interest Targeting»1x1»SocialBan»LIA»DT»CPC»AUT»W»NA»SS»NA»Brand in Motion"/>
        <s v="43353Facebook»AZP-Canvas-iine-Trial»1x1»Canvas»SOC»MO»CPM»AUT»W»NA»SS»NA»Canvas-Trial"/>
        <s v="43353Facebook»AZP-Canvas-Interest&amp;Role-Trial»1x1»Canvas»OTH»MO»CPM»PRO»X»UNK»TP»OT»Canvas-Trial"/>
        <s v="43353Facebook»AZP-Canvas-Look a Like-Trial»1x1»Canvas»OTH»MO»CPM»PRO»X»UNK»TP»OT»Canvas-Trial"/>
        <s v="43353Facebook»AZP-Canvas-Retargeting-Trial»1x1»Canvas»SOC»MO»CPM»PRO»W»UNK»SS»OT»Canvas-Trial"/>
        <s v="43353Facebook»AZR»1x1»NA»EGV»ALL»DYN»AUT»D»All»SS»NA»Free Acc CTC - T1 - EN"/>
        <s v="43353Facebook»AZR»1x1»NA»EGV»ALL»DYN»AUT»D»All»SS»NA»Free Acc CTC - T1 - FR"/>
        <s v="43353Facebook»AZR»1x1»NA»EGV»ALL»DYN»AUT»D»All»SS»NA»Free Acc CTC - T2 - EN"/>
        <s v="43353Facebook»AZR»1x1»NA»EGV»ALL»DYN»AUT»D»All»SS»NA»Free Acc CTC - T2 - FR"/>
        <s v="43353Facebook»AZR»1x1»NA»EGV»ALL»DYN»AUT»D»All»SS»NA»Free Acc CTC - T4 - EN"/>
        <s v="43353Facebook»AZR»1x1»NA»EGV»ALL»DYN»AUT»D»All»SS»NA»Free Acc CTC - T4 - FR"/>
        <s v="43353Facebook»AZR»1x1»NA»NA»ALL»DYN»AUT»D»All»SS»NA»Free Account Create to Convert FB - Canvas - Benefit - Start Free - EN"/>
        <s v="43353Facebook»AZR»1x1»NA»NA»ALL»DYN»AUT»D»All»SS»NA»Free Account Create to Convert FB - Canvas - Benefit - Start Free - FR"/>
        <s v="43353Facebook»AZR»1x1»NA»NA»ALL»DYN»AUT»D»All»SS»NA»Free Account Create to Convert FB - Canvas - Brand - Start Free - EN"/>
        <s v="43353Facebook»AZR»1x1»NA»NA»ALL»DYN»AUT»D»All»SS»NA»Free Account Create to Convert FB - Canvas - Brand - Start Free - FR"/>
        <s v="43353Facebook»AZR»1x1»NA»SOC»ALL»DYN»PRO»D»All»SS»NA»Canvas - Buy Now - EN"/>
        <s v="43353Facebook»AZR»1x1»NA»SOC»ALL»DYN»PRO»D»All»SS»NA»Canvas - Buy Now - FR"/>
        <s v="43353Facebook»AZR»1x1»SocialBan»NA»ALL»DYN»AUT»D»All»SS»NA»Free Acc Refresh - T1 - EN"/>
        <s v="43353Facebook»AZR»1x1»SocialBan»NA»ALL»DYN»AUT»D»All»SS»NA»Free Acc Refresh - T1 - FR"/>
        <s v="43353Facebook»AZR»1x1»SocialBan»NA»ALL»DYN»AUT»D»All»SS»NA»Free Acc Refresh - T2 - EN"/>
        <s v="43353Facebook»AZR»1x1»SocialBan»NA»ALL»DYN»AUT»D»All»SS»NA»Free Acc Refresh - T2 - FR"/>
        <s v="43353Facebook»AZR»1x1»SocialBan»NA»ALL»DYN»AUT»D»All»SS»NA»Free Acc Refresh - T3 - EN"/>
        <s v="43353Facebook»AZR»1x1»SocialBan»NA»ALL»DYN»AUT»D»All»SS»NA»Free Acc Refresh - T3 - FR"/>
        <s v="43353Facebook»AZR»1x1»SocialBan»NA»ALL»DYN»AUT»D»All»SS»NA»Free Acc Refresh - T4 - EN"/>
        <s v="43353Facebook»AZR»1x1»SocialBan»NA»ALL»DYN»AUT»D»All»SS»NA»Free Acc Refresh - T4 - FR"/>
        <s v="43353Facebook»AZR»1x1»SocialBan»NA»ALL»DYN»AUT»D»All»SS»NA»Free Acc Refresh - T5 - EN"/>
        <s v="43353Facebook»AZR»1x1»SocialBan»NA»ALL»DYN»AUT»D»All»SS»NA»Free Acc Refresh - T5 - FR"/>
        <s v="43353Facebook»AZR»1x1»SocialBan»NA»ALL»DYN»RT»D»All»SS»NA» Free Account Retargeting OSS - T1 - EN"/>
        <s v="43353Facebook»AZR»1x1»SocialBan»NA»ALL»DYN»RT»D»All»SS»NA» Free Account Retargeting OSS - T1 - FR"/>
        <s v="43353Facebook»AZR»1x1»SocialBan»NA»ALL»DYN»RT»D»All»SS»NA» Free Account Retargeting OSS - T2 - EN"/>
        <s v="43353Facebook»AZR»1x1»SocialBan»NA»ALL»DYN»RT»D»All»SS»NA» Free Account Retargeting OSS - T2 - FR"/>
        <s v="43353Facebook»AZR»1x1»SocialBan»NA»ALL»DYN»RT»D»All»SS»NA»Free Account Retargeting Generic - T2 - EN"/>
        <s v="43353Facebook»AZR»1x1»SocialBan»NA»ALL»DYN»RT»D»All»SS»NA»Free Account Retargeting Generic - T2 - FR"/>
        <s v="43353Facebook»AZR»1x1»SocialBan»NA»ALL»DYN»RT»D»All»SS»NA»Free Account Retargeting Generic - T3 - EN"/>
        <s v="43353Facebook»AZR»1x1»SocialBan»NA»ALL»DYN»RT»D»All»SS»NA»Free Account Retargeting Generic - T3 - FR"/>
        <s v="43353Facebook»AZR»1x1»SocialBan»NA»ALL»DYN»RT»D»All»SS»NA»Free Account Retargeting VM - T1 - EN"/>
        <s v="43353Facebook»AZR»1x1»SocialBan»NA»ALL»DYN»RT»D»All»SS»NA»Free Account Retargeting VM - T1 - FR"/>
        <s v="43353Facebook»AZR»1x1»SocialBan»NA»ALL»DYN»RT»D»All»SS»NA»Free Account Retargeting VM - T2 - EN"/>
        <s v="43353Facebook»AZR»1x1»SocialBan»NA»ALL»DYN»RT»D»All»SS»NA»Free Account Retargeting VM - T2 - FR"/>
        <s v="43353Facebook»DEV-ITP-AZR-FB|CanvasAds|Interesttargeting»1x1»TextLink»CAN»DT»CPM»AUT»W»NA»SS»NA»39684020-11000"/>
        <s v="43353Facebook»DEV-ITP-AZR-FB|LinkAd|CustomerAudienceRetargeting»1x1»TextLink»LIA»DT»CPM»RT»W»NA»SS»NA»39684019-11000"/>
        <s v="43353Facebook»Developers-Azure Direct-Sponsored Post_Trial_PayGo-Video Ad-Free Account Developer - AI»1x1»30s»SOC»ALL»CPC»LAL»D»UNK»SS»NA»Trials_ID"/>
        <s v="43353Facebook»Developers-Azure Direct-Sponsored Post_Trial_PayGo-Video Ad-Free Account Developer - Generic»1x1»30s»SOC»ALL»CPC»LAL»D»UNK»SS»NA»Trials_ID"/>
        <s v="43353Facebook»Developers-Azure Direct-Sponsored Post_Trial_PayGo-Video Ad-Free Account Developer - Intelligent Data»1x1»30s»SOC»ALL»CPC»LAL»D»UNK»SS»NA»Trials_ID"/>
        <s v="43353Facebook»Developers-Azure Direct-Sponsored Post_Trial_PayGo-Video Ad-Free Account Developer - Open Source»1x1»30s»SOC»ALL»CPC»LAL»D»UNK»SS»NA»Trials_ID"/>
        <s v="43353Facebook»Developers-Azure Direct-Sponsored Post_Trial-Video Ad-Free Account Developer - AI»1x1»30s»SOC»ALL»CPC»LAL»D»UNK»SS»NA»Trials_ID"/>
        <s v="43353Facebook»Developers-Azure Direct-Sponsored Post_Trial-Video Ad-Free Account Developer - AI»1x1»30s»SOC»ALL»CPC»RT»D»UNK»SS»NA»Trials_ID"/>
        <s v="43353Facebook»Developers-Azure Direct-Sponsored Post_Trial-Video Ad-Free Account Developer - Generic»1x1»30s»SOC»ALL»CPC»LAL»D»UNK»SS»NA»Trials_ID"/>
        <s v="43353Facebook»Developers-Azure Direct-Sponsored Post_Trial-Video Ad-Free Account Developer - Generic»1x1»30s»SOC»ALL»CPC»RT»D»UNK»SS»NA»Trials_ID"/>
        <s v="43353Facebook»Developers-Azure Direct-Sponsored Post_Trial-Video Ad-Free Account Developer - Intelligent Data»1x1»30s»SOC»ALL»CPC»LAL»D»UNK»SS»NA»Trials_ID"/>
        <s v="43353Facebook»Developers-Azure Direct-Sponsored Post_Trial-Video Ad-Free Account Developer - Intelligent Data»1x1»30s»SOC»ALL»CPC»RT»D»UNK»SS»NA»Trials_ID"/>
        <s v="43353Facebook»Developers-Azure Direct-Sponsored Post_Trial-Video Ad-Free Account Developer - Open Source»1x1»30s»SOC»ALL»CPC»RT»D»UNK»SS»NA»Trials_ID"/>
        <s v="43353Facebook»Developers-Azure Direct-Sponsored Post-Video Ad-Free Account Developer - AI»1x1»30s»SOC»ALL»CPC»BT»D»UNK»SS»NA»Trials_ID"/>
        <s v="43353Facebook»Developers-Azure Direct-Sponsored Post-Video Ad-Free Account Developer - Generic»1x1»30s»SOC»ALL»CPC»BT»D»UNK»SS»NA»Trials_ID"/>
        <s v="43353Facebook»Developers-Azure Direct-Sponsored Post-Video Ad-Free Account Developer - Intelligent Data»1x1»30s»SOC»ALL»CPC»BT»D»UNK»SS»NA»Trials_ID"/>
        <s v="43353Facebook»Developers-Azure Direct-Sponsored Post-Video Ad-Free Account Developer - Open Source»1x1»30s»SOC»ALL»CPC»BT»D»UNK»SS»NA»Trials_ID"/>
        <s v="43353Facebook»Developers/ITPros-Azure Direct-Sponsored Post_Trial_PayGo-Link Ad-FreeAcctRetargetingFB-Animated-ChC CanvasOpener»1x1»SocialBan»SOC»ALL»CPC»LAL»D»UNK»SS»NA»Trials_ID"/>
        <s v="43353Facebook»Developers/ITPros-Azure Direct-Sponsored Post_Trial_PayGo-Link Ad-FreeAcctRetargetingFB-GlobalAlt-ChB_RTG CanvasOpener»1x1»SocialBan»SOC»ALL»CPC»LAL»D»UNK»SS»NA»Trials_ID"/>
        <s v="43353Facebook»Developers/ITPros-Azure Direct-Sponsored Post_Trial_PayGo-Link Ad-FreeAcctRetargetingOSSFB-Logos-ChG CanvasOpener»1x1»SocialBan»SOC»ALL»CPC»LAL»D»UNK»SS»NA»Trials_ID"/>
        <s v="43353Facebook»Developers/ITPros-Azure Direct-Sponsored Post_Trial_PayGo-Link Ad-FreeAcctRetargetingOSSFB-Text-ChF CanvasOpener»1x1»SocialBan»SOC»ALL»CPC»LAL»D»UNK»SS»NA»Trials_ID"/>
        <s v="43353Facebook»Developers/ITPros-Azure Direct-Sponsored Post_Trial_PayGo-Link Ad-FreeAcctRetargetingVMFB-750Hrs-ChD CanvasOpener»1x1»SocialBan»SOC»ALL»CPC»LAL»D»UNK»SS»NA»Trials_ID"/>
        <s v="43353Facebook»Developers/ITPros-Azure Direct-Sponsored Post_Trial_PayGo-Link Ad-FreeAcctRetargetingVMFB-OnDemand-ChE CanvasOpener»1x1»SocialBan»SOC»ALL»CPC»LAL»D»UNK»SS»NA»Trials_ID"/>
        <s v="43353Facebook»Developers/ITPros-Azure Direct-Sponsored Post_Trial-Link Ad-FreeAcctRetargetingFB-Animated-ChC CanvasOpener»1x1»SocialBan»SOC»ALL»CPC»LAL»D»UNK»SS»NA»Trials_ID"/>
        <s v="43353Facebook»Developers/ITPros-Azure Direct-Sponsored Post_Trial-Link Ad-FreeAcctRetargetingFB-GlobalAlt-ChB_RTG CanvasOpener»1x1»SocialBan»SOC»ALL»CPC»LAL»D»UNK»SS»NA»Trials_ID"/>
        <s v="43353Facebook»Developers/ITPros-Azure Direct-Sponsored Post_Trial-Link Ad-FreeAcctRetargetingOSSFB-Logos-ChG CanvasOpener»1x1»SocialBan»SOC»ALL»CPC»LAL»D»UNK»SS»NA»Trials_ID"/>
        <s v="43353Facebook»Developers/ITPros-Azure Direct-Sponsored Post_Trial-Link Ad-FreeAcctRetargetingOSSFB-Text-ChF CanvasOpener»1x1»SocialBan»SOC»ALL»CPC»LAL»D»UNK»SS»NA»Trials_ID"/>
        <s v="43353Facebook»Developers/ITPros-Azure Direct-Sponsored Post_Trial-Link Ad-FreeAcctRetargetingVMFB-750Hrs-ChD CanvasOpener»1x1»SocialBan»SOC»ALL»CPC»LAL»D»UNK»SS»NA»Trials_ID"/>
        <s v="43353Facebook»Developers/ITPros-Azure Direct-Sponsored Post_Trial-Link Ad-FreeAcctRetargetingVMFB-OnDemand-ChE CanvasOpener»1x1»SocialBan»SOC»ALL»CPC»LAL»D»UNK»SS»NA»Trials_ID"/>
        <s v="43353Facebook»Developers/ITPros-Azure Direct-Sponsored Post-Link Ad-FreeAcctAppsFACEBOOK12monthsChE»1x1»SocialBan»LIA»ALL»CPC»BT»X»UNK»SS»NA»Trials_ID"/>
        <s v="43353Facebook»Developers/ITPros-Azure Direct-Sponsored Post-Link Ad-FreeAcctAppsFACEBOOK200CreditChD»1x1»SocialBan»LIA»ALL»CPC»BT»X»UNK»SS»NA»Trials_ID"/>
        <s v="43353Facebook»Developers/ITPros-Azure Direct-Sponsored Post-Link Ad-FreeAcctAppsFACEBOOKDeviceChB»1x1»SocialBan»LIA»ALL»CPC»BT»X»UNK»SS»NA»Trials_ID"/>
        <s v="43353Facebook»Developers/ITPros-Azure Direct-Sponsored Post-Link Ad-FreeAcctAppsFACEBOOKIllustrationChC»1x1»SocialBan»LIA»ALL»CPC»BT»X»UNK»SS»NA»Trials_ID"/>
        <s v="43353Facebook»Developers/ITPros-Azure Direct-Sponsored Post-Link Ad-FreeAcctAppsFACEBOOKLifestyleChA»1x1»SocialBan»LIA»ALL»CPC»BT»X»UNK»SS»NA»Trials_ID"/>
        <s v="43353Facebook»Developers/ITPros-Azure Direct-Sponsored Post-Link Ad-FreeAcctRetargetingFB-GlobalAlt-ChB»1x1»SocialBan»LIA»ALL»CPC»BT»X»UNK»SS»NA»Trials_ID"/>
        <s v="43353Facebook»Developers/ITPros-Azure Direct-Sponsored Post-Link Ad-FreeAcctRetargetingOSSFB-Logos-ChG»1x1»SocialBan»LIA»ALL»CPC»BT»X»UNK»SS»NA»Trials_ID"/>
        <s v="43353Facebook»Developers/ITPros-Azure Direct-Sponsored Post-Link Ad-FreeAcctRetargetingOSSFB-Text-ChF»1x1»SocialBan»LIA»ALL»CPC»BT»X»UNK»SS»NA»Trials_ID"/>
        <s v="43353Facebook»Developers/ITPros-Azure Direct-Sponsored Post-Link Ad-FreeAcctRetargetingVMFB-750Hrs-ChD»1x1»SocialBan»LIA»ALL»CPC»BT»X»UNK»SS»NA»Trials_ID"/>
        <s v="43353Facebook»Developers/ITPros-Azure Direct-Sponsored Post-Link Ad-FreeAcctRetargetingVMFB-OnDemand-ChE»1x1»SocialBan»LIA»ALL»CPC»BT»X»UNK»SS»NA»Trials_ID"/>
        <s v="43353Facebook»Developers/ITPros-Azure Direct-Sponsored Post-Video Ad-FBCTCBasicMotion_FRA_10s_RTG Landing Page»1x1»10s»VIA»ALL»CPC»BT»X»UNK»SS»NA»Trials_ID"/>
        <s v="43353Facebook»Developers/ITPros-Azure Direct-Sponsored Post-Video Ad-FBCTCBenefit2inMotion_FRA_14s_RTG Landing Page»1x1»14s»VIA»ALL»CPC»BT»X»UNK»SS»NA»Trials_ID"/>
        <s v="43353Facebook»Developers/ITPros-Azure Direct-Sponsored Post-Video Ad-FBCTCBrandinMotion_FRA_12s_RTG Landing Page»1x1»12s»VIA»ALL»CPC»BT»X»UNK»SS»NA»Trials_ID"/>
        <s v="43353Facebook»ITPros-Azure Direct-Sponsored Post_Trial_PayGo-Video Ad-Free Account IT Pro - Hybrid»1x1»30s»SOC»ALL»CPC»LAL»D»UNK»SS»NA»Trials_ID"/>
        <s v="43353Facebook»ITPros-Azure Direct-Sponsored Post_Trial_PayGo-Video Ad-Free Account IT Pro - Migration»1x1»30s»SOC»ALL»CPC»LAL»D»UNK»SS»NA»Trials_ID"/>
        <s v="43353Facebook»ITPros-Azure Direct-Sponsored Post_Trial_PayGo-Video Ad-Free Account IT Pro - Secure»1x1»30s»SOC»ALL»CPC»LAL»D»UNK»SS»NA»Trials_ID"/>
        <s v="43353Facebook»ITPros-Azure Direct-Sponsored Post_Trial-Video Ad-Free Account IT Pro - Hybrid»1x1»30s»SOC»ALL»CPC»LAL»D»UNK»SS»NA»Trials_ID"/>
        <s v="43353Facebook»ITPros-Azure Direct-Sponsored Post_Trial-Video Ad-Free Account IT Pro - Hybrid»1x1»30s»SOC»ALL»CPC»RT»D»UNK»SS»NA»Trials_ID"/>
        <s v="43353Facebook»ITPros-Azure Direct-Sponsored Post_Trial-Video Ad-Free Account IT Pro - Migration»1x1»30s»SOC»ALL»CPC»LAL»D»UNK»SS»NA»Trials_ID"/>
        <s v="43353Facebook»ITPros-Azure Direct-Sponsored Post_Trial-Video Ad-Free Account IT Pro - Migration»1x1»30s»SOC»ALL»CPC»RT»D»UNK»SS»NA»Trials_ID"/>
        <s v="43353Facebook»ITPros-Azure Direct-Sponsored Post_Trial-Video Ad-Free Account IT Pro - Secure»1x1»30s»SOC»ALL»CPC»LAL»D»UNK»SS»NA»Trials_ID"/>
        <s v="43353Facebook»ITPros-Azure Direct-Sponsored Post_Trial-Video Ad-Free Account IT Pro - Secure»1x1»30s»SOC»ALL»CPC»RT»D»UNK»SS»NA»Trials_ID"/>
        <s v="43353Facebook»ITPros-Azure Direct-Sponsored Post-Video Ad-Free Account IT Pro - hybrid»1x1»30s»SOC»ALL»CPC»AUT»D»UNK»SS»NA»Trials_ID"/>
        <s v="43353Facebook»ITPros-Azure Direct-Sponsored Post-Video Ad-Free Account IT Pro - Migration»1x1»30s»SOC»ALL»CPC»AUT»D»UNK»SS»NA»Trials_ID"/>
        <s v="43353Facebook»ITPros-Azure Direct-Sponsored Post-Video Ad-Free Account IT Pro - Secure»1x1»30s»SOC»ALL»CPC»AUT»D»UNK»SS»NA»Trials_ID"/>
        <s v="43353Facebook»Retargeting»1x1»SocialBan»LIA»DT»DYN»RT»W»NA»SS»NA»Free Account Retargeting Generic- Animated ChC"/>
        <s v="43353Facebook»Retargeting»1x1»SocialBan»LIA»DT»DYN»RT»W»NA»SS»NA»Free Account Retargeting Generic- Global Alt ChB"/>
        <s v="43353Facebook»Retargeting»1x1»SocialBan»LIA»DT»DYN»RT»W»NA»SS»NA»Free Account Retargeting OSS- Text ChF"/>
        <s v="43353Facebook»Retargeting»1x1»SocialBan»LIA»DT»DYN»RT»W»NA»SS»NA»Free Account Retargeting VM- 750 Hrs ChD"/>
        <s v="43353Facebook»Retargeting»1x1»SocialBan»LIA»DT»DYN»RT»W»NA»SS»NA»Free Account Retargeting VM- On Demand ChE"/>
        <s v="43354Facebook»Audience &amp; Interest Targeting- Azure Trial PayGo Lookalikes»1x1»TextLink»CAN»MO»CPM»AUT»W»NA»SS»NA»Free Account IT Pro- Hybrid"/>
        <s v="43354Facebook»Audience &amp; Interest Targeting»1x1»SocialBan»LIA»DT»CPC»AUT»W»NA»SS»NA»Basic Motion"/>
        <s v="43354Facebook»Audience &amp; Interest Targeting»1x1»SocialBan»LIA»DT»CPC»AUT»W»NA»SS»NA»Benefit 2 in Motion"/>
        <s v="43354Facebook»AZP-Canvas-iine-Trial»1x1»Canvas»SOC»MO»CPM»AUT»W»NA»SS»NA»Canvas-Trial"/>
        <s v="43354Facebook»AZP-Canvas-Interest&amp;Role-Trial»1x1»Canvas»OTH»MO»CPM»PRO»X»UNK»TP»OT»Canvas-Trial"/>
        <s v="43354Facebook»AZP-Canvas-Look a Like-Trial»1x1»Canvas»OTH»MO»CPM»PRO»X»UNK»TP»OT»Canvas-Trial"/>
        <s v="43354Facebook»AZP-Canvas-Retargeting-Trial»1x1»Canvas»SOC»MO»CPM»PRO»W»UNK»SS»OT»Canvas-Trial"/>
        <s v="43354Facebook»AZR»1x1»NA»EGV»ALL»DYN»AUT»D»All»SS»NA»Free Acc CTC - T1 - EN"/>
        <s v="43354Facebook»AZR»1x1»NA»EGV»ALL»DYN»AUT»D»All»SS»NA»Free Acc CTC - T1 - FR"/>
        <s v="43354Facebook»AZR»1x1»NA»EGV»ALL»DYN»AUT»D»All»SS»NA»Free Acc CTC - T2 - EN"/>
        <s v="43354Facebook»AZR»1x1»NA»EGV»ALL»DYN»AUT»D»All»SS»NA»Free Acc CTC - T2 - FR"/>
        <s v="43354Facebook»AZR»1x1»NA»EGV»ALL»DYN»AUT»D»All»SS»NA»Free Acc CTC - T4 - EN"/>
        <s v="43354Facebook»AZR»1x1»NA»EGV»ALL»DYN»AUT»D»All»SS»NA»Free Acc CTC - T4 - FR"/>
        <s v="43354Facebook»AZR»1x1»NA»NA»ALL»DYN»AUT»D»All»SS»NA»Free Account Create to Convert FB - Canvas - Benefit - Start Free - EN"/>
        <s v="43354Facebook»AZR»1x1»NA»NA»ALL»DYN»AUT»D»All»SS»NA»Free Account Create to Convert FB - Canvas - Benefit - Start Free - FR"/>
        <s v="43354Facebook»AZR»1x1»NA»NA»ALL»DYN»AUT»D»All»SS»NA»Free Account Create to Convert FB - Canvas - Brand - Start Free - EN"/>
        <s v="43354Facebook»AZR»1x1»NA»NA»ALL»DYN»AUT»D»All»SS»NA»Free Account Create to Convert FB - Canvas - Brand - Start Free - FR"/>
        <s v="43354Facebook»AZR»1x1»NA»SOC»ALL»DYN»PRO»D»All»SS»NA»Canvas - Buy Now - EN"/>
        <s v="43354Facebook»AZR»1x1»NA»SOC»ALL»DYN»PRO»D»All»SS»NA»Canvas - Buy Now - FR"/>
        <s v="43354Facebook»AZR»1x1»SocialBan»NA»ALL»DYN»RT»D»All»SS»NA» Free Account Retargeting OSS - T1 - EN"/>
        <s v="43354Facebook»AZR»1x1»SocialBan»NA»ALL»DYN»RT»D»All»SS»NA» Free Account Retargeting OSS - T1 - FR"/>
        <s v="43354Facebook»AZR»1x1»SocialBan»NA»ALL»DYN»RT»D»All»SS»NA» Free Account Retargeting OSS - T2 - EN"/>
        <s v="43354Facebook»AZR»1x1»SocialBan»NA»ALL»DYN»RT»D»All»SS»NA» Free Account Retargeting OSS - T2 - FR"/>
        <s v="43354Facebook»AZR»1x1»SocialBan»NA»ALL»DYN»RT»D»All»SS»NA»Free Account Retargeting Generic - T2 - EN"/>
        <s v="43354Facebook»AZR»1x1»SocialBan»NA»ALL»DYN»RT»D»All»SS»NA»Free Account Retargeting Generic - T2 - FR"/>
        <s v="43354Facebook»AZR»1x1»SocialBan»NA»ALL»DYN»RT»D»All»SS»NA»Free Account Retargeting Generic - T3 - EN"/>
        <s v="43354Facebook»AZR»1x1»SocialBan»NA»ALL»DYN»RT»D»All»SS»NA»Free Account Retargeting Generic - T3 - FR"/>
        <s v="43354Facebook»AZR»1x1»SocialBan»NA»ALL»DYN»RT»D»All»SS»NA»Free Account Retargeting VM - T1 - EN"/>
        <s v="43354Facebook»AZR»1x1»SocialBan»NA»ALL»DYN»RT»D»All»SS»NA»Free Account Retargeting VM - T1 - FR"/>
        <s v="43354Facebook»AZR»1x1»SocialBan»NA»ALL»DYN»RT»D»All»SS»NA»Free Account Retargeting VM - T2 - EN"/>
        <s v="43354Facebook»AZR»1x1»SocialBan»NA»ALL»DYN»RT»D»All»SS»NA»Free Account Retargeting VM - T2 - FR"/>
        <s v="43354Facebook»DEV-ITP-AZR-FB|CanvasAds|Interesttargeting»1x1»TextLink»CAN»DT»CPM»AUT»W»NA»SS»NA»39684020-11000"/>
        <s v="43354Facebook»DEV-ITP-AZR-FB|LinkAd|CustomerAudienceRetargeting»1x1»TextLink»LIA»DT»CPM»RT»W»NA»SS»NA»39684019-11000"/>
        <s v="43354Facebook»Developers-Azure Direct-Sponsored Post_Trial_PayGo-Video Ad-Free Account Developer - AI»1x1»30s»SOC»ALL»CPC»LAL»D»UNK»SS»NA»Trials_ID"/>
        <s v="43354Facebook»Developers-Azure Direct-Sponsored Post_Trial_PayGo-Video Ad-Free Account Developer - Generic»1x1»30s»SOC»ALL»CPC»LAL»D»UNK»SS»NA»Trials_ID"/>
        <s v="43354Facebook»Developers-Azure Direct-Sponsored Post_Trial_PayGo-Video Ad-Free Account Developer - Intelligent Data»1x1»30s»SOC»ALL»CPC»LAL»D»UNK»SS»NA»Trials_ID"/>
        <s v="43354Facebook»Developers-Azure Direct-Sponsored Post_Trial_PayGo-Video Ad-Free Account Developer - Open Source»1x1»30s»SOC»ALL»CPC»LAL»D»UNK»SS»NA»Trials_ID"/>
        <s v="43354Facebook»Developers-Azure Direct-Sponsored Post_Trial-Video Ad-Free Account Developer - AI»1x1»30s»SOC»ALL»CPC»LAL»D»UNK»SS»NA»Trials_ID"/>
        <s v="43354Facebook»Developers-Azure Direct-Sponsored Post_Trial-Video Ad-Free Account Developer - AI»1x1»30s»SOC»ALL»CPC»RT»D»UNK»SS»NA»Trials_ID"/>
        <s v="43354Facebook»Developers-Azure Direct-Sponsored Post_Trial-Video Ad-Free Account Developer - Generic»1x1»30s»SOC»ALL»CPC»LAL»D»UNK»SS»NA»Trials_ID"/>
        <s v="43354Facebook»Developers-Azure Direct-Sponsored Post_Trial-Video Ad-Free Account Developer - Generic»1x1»30s»SOC»ALL»CPC»RT»D»UNK»SS»NA»Trials_ID"/>
        <s v="43354Facebook»Developers-Azure Direct-Sponsored Post_Trial-Video Ad-Free Account Developer - Intelligent Data»1x1»30s»SOC»ALL»CPC»LAL»D»UNK»SS»NA»Trials_ID"/>
        <s v="43354Facebook»Developers-Azure Direct-Sponsored Post_Trial-Video Ad-Free Account Developer - Intelligent Data»1x1»30s»SOC»ALL»CPC»RT»D»UNK»SS»NA»Trials_ID"/>
        <s v="43354Facebook»Developers-Azure Direct-Sponsored Post_Trial-Video Ad-Free Account Developer - Open Source»1x1»30s»SOC»ALL»CPC»RT»D»UNK»SS»NA»Trials_ID"/>
        <s v="43354Facebook»Developers-Azure Direct-Sponsored Post-Video Ad-Free Account Developer - AI»1x1»30s»SOC»ALL»CPC»BT»D»UNK»SS»NA»Trials_ID"/>
        <s v="43354Facebook»Developers-Azure Direct-Sponsored Post-Video Ad-Free Account Developer - Generic»1x1»30s»SOC»ALL»CPC»BT»D»UNK»SS»NA»Trials_ID"/>
        <s v="43354Facebook»Developers-Azure Direct-Sponsored Post-Video Ad-Free Account Developer - Intelligent Data»1x1»30s»SOC»ALL»CPC»BT»D»UNK»SS»NA»Trials_ID"/>
        <s v="43354Facebook»Developers-Azure Direct-Sponsored Post-Video Ad-Free Account Developer - Open Source»1x1»30s»SOC»ALL»CPC»BT»D»UNK»SS»NA»Trials_ID"/>
        <s v="43354Facebook»Developers/ITPros-Azure Direct-Sponsored Post_Trial_PayGo-Link Ad-FreeAcctRetargetingFB-Animated-ChC CanvasOpener»1x1»SocialBan»SOC»ALL»CPC»LAL»D»UNK»SS»NA»Trials_ID"/>
        <s v="43354Facebook»Developers/ITPros-Azure Direct-Sponsored Post_Trial_PayGo-Link Ad-FreeAcctRetargetingFB-GlobalAlt-ChB_RTG CanvasOpener»1x1»SocialBan»SOC»ALL»CPC»LAL»D»UNK»SS»NA»Trials_ID"/>
        <s v="43354Facebook»Developers/ITPros-Azure Direct-Sponsored Post_Trial_PayGo-Link Ad-FreeAcctRetargetingOSSFB-Logos-ChG CanvasOpener»1x1»SocialBan»SOC»ALL»CPC»LAL»D»UNK»SS»NA»Trials_ID"/>
        <s v="43354Facebook»Developers/ITPros-Azure Direct-Sponsored Post_Trial_PayGo-Link Ad-FreeAcctRetargetingOSSFB-Text-ChF CanvasOpener»1x1»SocialBan»SOC»ALL»CPC»LAL»D»UNK»SS»NA»Trials_ID"/>
        <s v="43354Facebook»Developers/ITPros-Azure Direct-Sponsored Post_Trial_PayGo-Link Ad-FreeAcctRetargetingVMFB-750Hrs-ChD CanvasOpener»1x1»SocialBan»SOC»ALL»CPC»LAL»D»UNK»SS»NA»Trials_ID"/>
        <s v="43354Facebook»Developers/ITPros-Azure Direct-Sponsored Post_Trial_PayGo-Link Ad-FreeAcctRetargetingVMFB-OnDemand-ChE CanvasOpener»1x1»SocialBan»SOC»ALL»CPC»LAL»D»UNK»SS»NA»Trials_ID"/>
        <s v="43354Facebook»Developers/ITPros-Azure Direct-Sponsored Post_Trial-Link Ad-FreeAcctRetargetingFB-Animated-ChC CanvasOpener»1x1»SocialBan»SOC»ALL»CPC»LAL»D»UNK»SS»NA»Trials_ID"/>
        <s v="43354Facebook»Developers/ITPros-Azure Direct-Sponsored Post_Trial-Link Ad-FreeAcctRetargetingFB-GlobalAlt-ChB_RTG CanvasOpener»1x1»SocialBan»SOC»ALL»CPC»LAL»D»UNK»SS»NA»Trials_ID"/>
        <s v="43354Facebook»Developers/ITPros-Azure Direct-Sponsored Post_Trial-Link Ad-FreeAcctRetargetingOSSFB-Logos-ChG CanvasOpener»1x1»SocialBan»SOC»ALL»CPC»LAL»D»UNK»SS»NA»Trials_ID"/>
        <s v="43354Facebook»Developers/ITPros-Azure Direct-Sponsored Post_Trial-Link Ad-FreeAcctRetargetingOSSFB-Text-ChF CanvasOpener»1x1»SocialBan»SOC»ALL»CPC»LAL»D»UNK»SS»NA»Trials_ID"/>
        <s v="43354Facebook»Developers/ITPros-Azure Direct-Sponsored Post_Trial-Link Ad-FreeAcctRetargetingVMFB-750Hrs-ChD CanvasOpener»1x1»SocialBan»SOC»ALL»CPC»LAL»D»UNK»SS»NA»Trials_ID"/>
        <s v="43354Facebook»Developers/ITPros-Azure Direct-Sponsored Post_Trial-Link Ad-FreeAcctRetargetingVMFB-OnDemand-ChE CanvasOpener»1x1»SocialBan»SOC»ALL»CPC»LAL»D»UNK»SS»NA»Trials_ID"/>
        <s v="43354Facebook»Developers/ITPros-Azure Direct-Sponsored Post-Link Ad-FreeAcctAppsFACEBOOK12monthsChE»1x1»SocialBan»LIA»ALL»CPC»BT»X»UNK»SS»NA»Trials_ID"/>
        <s v="43354Facebook»Developers/ITPros-Azure Direct-Sponsored Post-Link Ad-FreeAcctAppsFACEBOOK200CreditChD»1x1»SocialBan»LIA»ALL»CPC»BT»X»UNK»SS»NA»Trials_ID"/>
        <s v="43354Facebook»Developers/ITPros-Azure Direct-Sponsored Post-Link Ad-FreeAcctAppsFACEBOOKDeviceChB»1x1»SocialBan»LIA»ALL»CPC»BT»X»UNK»SS»NA»Trials_ID"/>
        <s v="43354Facebook»Developers/ITPros-Azure Direct-Sponsored Post-Link Ad-FreeAcctAppsFACEBOOKIllustrationChC»1x1»SocialBan»LIA»ALL»CPC»BT»X»UNK»SS»NA»Trials_ID"/>
        <s v="43354Facebook»Developers/ITPros-Azure Direct-Sponsored Post-Link Ad-FreeAcctAppsFACEBOOKLifestyleChA»1x1»SocialBan»LIA»ALL»CPC»BT»X»UNK»SS»NA»Trials_ID"/>
        <s v="43354Facebook»Developers/ITPros-Azure Direct-Sponsored Post-Link Ad-FreeAcctRetargetingFB-GlobalAlt-ChB»1x1»SocialBan»LIA»ALL»CPC»BT»X»UNK»SS»NA»Trials_ID"/>
        <s v="43354Facebook»Developers/ITPros-Azure Direct-Sponsored Post-Link Ad-FreeAcctRetargetingOSSFB-Logos-ChG»1x1»SocialBan»LIA»ALL»CPC»BT»X»UNK»SS»NA»Trials_ID"/>
        <s v="43354Facebook»Developers/ITPros-Azure Direct-Sponsored Post-Link Ad-FreeAcctRetargetingOSSFB-Text-ChF»1x1»SocialBan»LIA»ALL»CPC»BT»X»UNK»SS»NA»Trials_ID"/>
        <s v="43354Facebook»Developers/ITPros-Azure Direct-Sponsored Post-Link Ad-FreeAcctRetargetingVMFB-750Hrs-ChD»1x1»SocialBan»LIA»ALL»CPC»BT»X»UNK»SS»NA»Trials_ID"/>
        <s v="43354Facebook»Developers/ITPros-Azure Direct-Sponsored Post-Link Ad-FreeAcctRetargetingVMFB-OnDemand-ChE»1x1»SocialBan»LIA»ALL»CPC»BT»X»UNK»SS»NA»Trials_ID"/>
        <s v="43354Facebook»Developers/ITPros-Azure Direct-Sponsored Post-Video Ad-FBCTCBasicMotion_FRA_10s_RTG Landing Page»1x1»10s»VIA»ALL»CPC»BT»X»UNK»SS»NA»Trials_ID"/>
        <s v="43354Facebook»Developers/ITPros-Azure Direct-Sponsored Post-Video Ad-FBCTCBenefit2inMotion_FRA_14s_RTG Landing Page»1x1»14s»VIA»ALL»CPC»BT»X»UNK»SS»NA»Trials_ID"/>
        <s v="43354Facebook»Developers/ITPros-Azure Direct-Sponsored Post-Video Ad-FBCTCBrandinMotion_FRA_12s_RTG Landing Page»1x1»12s»VIA»ALL»CPC»BT»X»UNK»SS»NA»Trials_ID"/>
        <s v="43354Facebook»ITPros-Azure Direct-Sponsored Post_Trial_PayGo-Video Ad-Free Account IT Pro - Hybrid»1x1»30s»SOC»ALL»CPC»LAL»D»UNK»SS»NA»Trials_ID"/>
        <s v="43354Facebook»ITPros-Azure Direct-Sponsored Post_Trial_PayGo-Video Ad-Free Account IT Pro - Migration»1x1»30s»SOC»ALL»CPC»LAL»D»UNK»SS»NA»Trials_ID"/>
        <s v="43354Facebook»ITPros-Azure Direct-Sponsored Post_Trial_PayGo-Video Ad-Free Account IT Pro - Secure»1x1»30s»SOC»ALL»CPC»LAL»D»UNK»SS»NA»Trials_ID"/>
        <s v="43354Facebook»ITPros-Azure Direct-Sponsored Post_Trial-Video Ad-Free Account IT Pro - Hybrid»1x1»30s»SOC»ALL»CPC»LAL»D»UNK»SS»NA»Trials_ID"/>
        <s v="43354Facebook»ITPros-Azure Direct-Sponsored Post_Trial-Video Ad-Free Account IT Pro - Hybrid»1x1»30s»SOC»ALL»CPC»RT»D»UNK»SS»NA»Trials_ID"/>
        <s v="43354Facebook»ITPros-Azure Direct-Sponsored Post_Trial-Video Ad-Free Account IT Pro - Migration»1x1»30s»SOC»ALL»CPC»LAL»D»UNK»SS»NA»Trials_ID"/>
        <s v="43354Facebook»ITPros-Azure Direct-Sponsored Post_Trial-Video Ad-Free Account IT Pro - Migration»1x1»30s»SOC»ALL»CPC»RT»D»UNK»SS»NA»Trials_ID"/>
        <s v="43354Facebook»ITPros-Azure Direct-Sponsored Post_Trial-Video Ad-Free Account IT Pro - Secure»1x1»30s»SOC»ALL»CPC»LAL»D»UNK»SS»NA»Trials_ID"/>
        <s v="43354Facebook»ITPros-Azure Direct-Sponsored Post_Trial-Video Ad-Free Account IT Pro - Secure»1x1»30s»SOC»ALL»CPC»RT»D»UNK»SS»NA»Trials_ID"/>
        <s v="43354Facebook»ITPros-Azure Direct-Sponsored Post-Video Ad-Free Account IT Pro - hybrid»1x1»30s»SOC»ALL»CPC»AUT»D»UNK»SS»NA»Trials_ID"/>
        <s v="43354Facebook»ITPros-Azure Direct-Sponsored Post-Video Ad-Free Account IT Pro - Migration»1x1»30s»SOC»ALL»CPC»AUT»D»UNK»SS»NA»Trials_ID"/>
        <s v="43354Facebook»ITPros-Azure Direct-Sponsored Post-Video Ad-Free Account IT Pro - Secure»1x1»30s»SOC»ALL»CPC»AUT»D»UNK»SS»NA»Trials_ID"/>
        <s v="43354Facebook»Retargeting»1x1»SocialBan»LIA»DT»DYN»RT»W»NA»SS»NA»Free Account Retargeting Generic- Animated ChC"/>
        <s v="43354Facebook»Retargeting»1x1»SocialBan»LIA»DT»DYN»RT»W»NA»SS»NA»Free Account Retargeting Generic- Global Alt ChB"/>
        <s v="43354Facebook»Retargeting»1x1»SocialBan»LIA»DT»DYN»RT»W»NA»SS»NA»Free Account Retargeting OSS- Logos ChG"/>
        <s v="43354Facebook»Retargeting»1x1»SocialBan»LIA»DT»DYN»RT»W»NA»SS»NA»Free Account Retargeting OSS- Text ChF"/>
        <s v="43354Facebook»Retargeting»1x1»SocialBan»LIA»DT»DYN»RT»W»NA»SS»NA»Free Account Retargeting VM- 750 Hrs ChD"/>
        <s v="43354Facebook»Retargeting»1x1»SocialBan»LIA»DT»DYN»RT»W»NA»SS»NA»Free Account Retargeting VM- On Demand ChE"/>
        <s v="43355Facebook»Audience &amp; Interest Targeting- Azure Trial Lookalikes»1x1»TextLink»CAN»MO»CPM»AUT»W»NA»SS»NA»Free Account IT Pro- Migration"/>
        <s v="43355Facebook»Audience &amp; Interest Targeting»1x1»SocialBan»LIA»DT»CPC»AUT»W»NA»SS»NA»Benefit 2 in Motion"/>
        <s v="43355Facebook»Audience &amp; Interest Targeting»1x1»SocialBan»LIA»DT»CPC»AUT»W»NA»SS»NA»Brand in Motion"/>
        <s v="43355Facebook»AZP-Canvas-iine-Trial»1x1»Canvas»SOC»MO»CPM»AUT»W»NA»SS»NA»Canvas-Trial"/>
        <s v="43355Facebook»AZP-Canvas-Interest&amp;Role-Trial»1x1»Canvas»OTH»MO»CPM»PRO»X»UNK»TP»OT»Canvas-Trial"/>
        <s v="43355Facebook»AZP-Canvas-Look a Like-Trial»1x1»Canvas»OTH»MO»CPM»PRO»X»UNK»TP»OT»Canvas-Trial"/>
        <s v="43355Facebook»AZP-Canvas-Retargeting-Trial»1x1»Canvas»SOC»MO»CPM»PRO»W»UNK»SS»OT»Canvas-Trial"/>
        <s v="43355Facebook»AZR»1x1»NA»EGV»ALL»DYN»AUT»D»All»SS»NA»Free Acc CTC - T1 - EN"/>
        <s v="43355Facebook»AZR»1x1»NA»EGV»ALL»DYN»AUT»D»All»SS»NA»Free Acc CTC - T1 - FR"/>
        <s v="43355Facebook»AZR»1x1»NA»EGV»ALL»DYN»AUT»D»All»SS»NA»Free Acc CTC - T2 - EN"/>
        <s v="43355Facebook»AZR»1x1»NA»EGV»ALL»DYN»AUT»D»All»SS»NA»Free Acc CTC - T2 - FR"/>
        <s v="43355Facebook»AZR»1x1»NA»EGV»ALL»DYN»AUT»D»All»SS»NA»Free Acc CTC - T4 - EN"/>
        <s v="43355Facebook»AZR»1x1»NA»EGV»ALL»DYN»AUT»D»All»SS»NA»Free Acc CTC - T4 - FR"/>
        <s v="43355Facebook»AZR»1x1»NA»NA»ALL»DYN»AUT»D»All»SS»NA»Free Account Create to Convert FB - Canvas - Benefit - Start Free - EN"/>
        <s v="43355Facebook»AZR»1x1»NA»NA»ALL»DYN»AUT»D»All»SS»NA»Free Account Create to Convert FB - Canvas - Benefit - Start Free - FR"/>
        <s v="43355Facebook»AZR»1x1»NA»NA»ALL»DYN»AUT»D»All»SS»NA»Free Account Create to Convert FB - Canvas - Brand - Start Free - EN"/>
        <s v="43355Facebook»AZR»1x1»NA»NA»ALL»DYN»AUT»D»All»SS»NA»Free Account Create to Convert FB - Canvas - Brand - Start Free - FR"/>
        <s v="43355Facebook»AZR»1x1»NA»SOC»ALL»DYN»PRO»D»All»SS»NA»Canvas - Buy Now - EN"/>
        <s v="43355Facebook»AZR»1x1»NA»SOC»ALL»DYN»PRO»D»All»SS»NA»Canvas - Buy Now - FR"/>
        <s v="43355Facebook»AZR»1x1»SocialBan»NA»ALL»DYN»RT»D»All»SS»NA» Free Account Retargeting OSS - T1 - EN"/>
        <s v="43355Facebook»AZR»1x1»SocialBan»NA»ALL»DYN»RT»D»All»SS»NA» Free Account Retargeting OSS - T1 - FR"/>
        <s v="43355Facebook»AZR»1x1»SocialBan»NA»ALL»DYN»RT»D»All»SS»NA» Free Account Retargeting OSS - T2 - EN"/>
        <s v="43355Facebook»AZR»1x1»SocialBan»NA»ALL»DYN»RT»D»All»SS»NA» Free Account Retargeting OSS - T2 - FR"/>
        <s v="43355Facebook»AZR»1x1»SocialBan»NA»ALL»DYN»RT»D»All»SS»NA»Free Account Retargeting Generic - T2 - EN"/>
        <s v="43355Facebook»AZR»1x1»SocialBan»NA»ALL»DYN»RT»D»All»SS»NA»Free Account Retargeting Generic - T2 - FR"/>
        <s v="43355Facebook»AZR»1x1»SocialBan»NA»ALL»DYN»RT»D»All»SS»NA»Free Account Retargeting Generic - T3 - EN"/>
        <s v="43355Facebook»AZR»1x1»SocialBan»NA»ALL»DYN»RT»D»All»SS»NA»Free Account Retargeting Generic - T3 - FR"/>
        <s v="43355Facebook»AZR»1x1»SocialBan»NA»ALL»DYN»RT»D»All»SS»NA»Free Account Retargeting VM - T1 - EN"/>
        <s v="43355Facebook»AZR»1x1»SocialBan»NA»ALL»DYN»RT»D»All»SS»NA»Free Account Retargeting VM - T1 - FR"/>
        <s v="43355Facebook»AZR»1x1»SocialBan»NA»ALL»DYN»RT»D»All»SS»NA»Free Account Retargeting VM - T2 - EN"/>
        <s v="43355Facebook»AZR»1x1»SocialBan»NA»ALL»DYN»RT»D»All»SS»NA»Free Account Retargeting VM - T2 - FR"/>
        <s v="43355Facebook»DEV-ITP-AZR-FB|CanvasAds|Interesttargeting»1x1»TextLink»CAN»DT»CPM»AUT»W»NA»SS»NA»39684020-11000"/>
        <s v="43355Facebook»DEV-ITP-AZR-FB|LinkAd|CustomerAudienceRetargeting»1x1»TextLink»LIA»DT»CPM»RT»W»NA»SS»NA»39684019-11000"/>
        <s v="43355Facebook»Developers-Azure Direct-Sponsored Post_Trial_PayGo-Video Ad-Free Account Developer - AI»1x1»30s»SOC»ALL»CPC»LAL»D»UNK»SS»NA»Trials_ID"/>
        <s v="43355Facebook»Developers-Azure Direct-Sponsored Post_Trial_PayGo-Video Ad-Free Account Developer - Generic»1x1»30s»SOC»ALL»CPC»LAL»D»UNK»SS»NA»Trials_ID"/>
        <s v="43355Facebook»Developers-Azure Direct-Sponsored Post_Trial_PayGo-Video Ad-Free Account Developer - Intelligent Data»1x1»30s»SOC»ALL»CPC»LAL»D»UNK»SS»NA»Trials_ID"/>
        <s v="43355Facebook»Developers-Azure Direct-Sponsored Post_Trial_PayGo-Video Ad-Free Account Developer - Open Source»1x1»30s»SOC»ALL»CPC»LAL»D»UNK»SS»NA»Trials_ID"/>
        <s v="43355Facebook»Developers-Azure Direct-Sponsored Post_Trial-Video Ad-Free Account Developer - AI»1x1»30s»SOC»ALL»CPC»LAL»D»UNK»SS»NA»Trials_ID"/>
        <s v="43355Facebook»Developers-Azure Direct-Sponsored Post_Trial-Video Ad-Free Account Developer - AI»1x1»30s»SOC»ALL»CPC»RT»D»UNK»SS»NA»Trials_ID"/>
        <s v="43355Facebook»Developers-Azure Direct-Sponsored Post_Trial-Video Ad-Free Account Developer - Generic»1x1»30s»SOC»ALL»CPC»LAL»D»UNK»SS»NA»Trials_ID"/>
        <s v="43355Facebook»Developers-Azure Direct-Sponsored Post_Trial-Video Ad-Free Account Developer - Generic»1x1»30s»SOC»ALL»CPC»RT»D»UNK»SS»NA»Trials_ID"/>
        <s v="43355Facebook»Developers-Azure Direct-Sponsored Post_Trial-Video Ad-Free Account Developer - Intelligent Data»1x1»30s»SOC»ALL»CPC»LAL»D»UNK»SS»NA»Trials_ID"/>
        <s v="43355Facebook»Developers-Azure Direct-Sponsored Post_Trial-Video Ad-Free Account Developer - Intelligent Data»1x1»30s»SOC»ALL»CPC»RT»D»UNK»SS»NA»Trials_ID"/>
        <s v="43355Facebook»Developers-Azure Direct-Sponsored Post_Trial-Video Ad-Free Account Developer - Open Source»1x1»30s»SOC»ALL»CPC»RT»D»UNK»SS»NA»Trials_ID"/>
        <s v="43355Facebook»Developers-Azure Direct-Sponsored Post-Video Ad-Free Account Developer - AI»1x1»30s»SOC»ALL»CPC»BT»D»UNK»SS»NA»Trials_ID"/>
        <s v="43355Facebook»Developers-Azure Direct-Sponsored Post-Video Ad-Free Account Developer - Generic»1x1»30s»SOC»ALL»CPC»BT»D»UNK»SS»NA»Trials_ID"/>
        <s v="43355Facebook»Developers-Azure Direct-Sponsored Post-Video Ad-Free Account Developer - Intelligent Data»1x1»30s»SOC»ALL»CPC»BT»D»UNK»SS»NA»Trials_ID"/>
        <s v="43355Facebook»Developers-Azure Direct-Sponsored Post-Video Ad-Free Account Developer - Open Source»1x1»30s»SOC»ALL»CPC»BT»D»UNK»SS»NA»Trials_ID"/>
        <s v="43355Facebook»Developers/ITPros-Azure Direct-Sponsored Post_Trial_PayGo-Link Ad-FreeAcctRetargetingFB-Animated-ChC CanvasOpener»1x1»SocialBan»SOC»ALL»CPC»LAL»D»UNK»SS»NA»Trials_ID"/>
        <s v="43355Facebook»Developers/ITPros-Azure Direct-Sponsored Post_Trial_PayGo-Link Ad-FreeAcctRetargetingFB-GlobalAlt-ChB_RTG CanvasOpener»1x1»SocialBan»SOC»ALL»CPC»LAL»D»UNK»SS»NA»Trials_ID"/>
        <s v="43355Facebook»Developers/ITPros-Azure Direct-Sponsored Post_Trial_PayGo-Link Ad-FreeAcctRetargetingOSSFB-Logos-ChG CanvasOpener»1x1»SocialBan»SOC»ALL»CPC»LAL»D»UNK»SS»NA»Trials_ID"/>
        <s v="43355Facebook»Developers/ITPros-Azure Direct-Sponsored Post_Trial_PayGo-Link Ad-FreeAcctRetargetingOSSFB-Text-ChF CanvasOpener»1x1»SocialBan»SOC»ALL»CPC»LAL»D»UNK»SS»NA»Trials_ID"/>
        <s v="43355Facebook»Developers/ITPros-Azure Direct-Sponsored Post_Trial_PayGo-Link Ad-FreeAcctRetargetingVMFB-750Hrs-ChD CanvasOpener»1x1»SocialBan»SOC»ALL»CPC»LAL»D»UNK»SS»NA»Trials_ID"/>
        <s v="43355Facebook»Developers/ITPros-Azure Direct-Sponsored Post_Trial_PayGo-Link Ad-FreeAcctRetargetingVMFB-OnDemand-ChE CanvasOpener»1x1»SocialBan»SOC»ALL»CPC»LAL»D»UNK»SS»NA»Trials_ID"/>
        <s v="43355Facebook»Developers/ITPros-Azure Direct-Sponsored Post_Trial-Link Ad-FreeAcctRetargetingFB-Animated-ChC CanvasOpener»1x1»SocialBan»SOC»ALL»CPC»LAL»D»UNK»SS»NA»Trials_ID"/>
        <s v="43355Facebook»Developers/ITPros-Azure Direct-Sponsored Post_Trial-Link Ad-FreeAcctRetargetingFB-GlobalAlt-ChB_RTG CanvasOpener»1x1»SocialBan»SOC»ALL»CPC»LAL»D»UNK»SS»NA»Trials_ID"/>
        <s v="43355Facebook»Developers/ITPros-Azure Direct-Sponsored Post_Trial-Link Ad-FreeAcctRetargetingOSSFB-Logos-ChG CanvasOpener»1x1»SocialBan»SOC»ALL»CPC»LAL»D»UNK»SS»NA»Trials_ID"/>
        <s v="43355Facebook»Developers/ITPros-Azure Direct-Sponsored Post_Trial-Link Ad-FreeAcctRetargetingOSSFB-Text-ChF CanvasOpener»1x1»SocialBan»SOC»ALL»CPC»LAL»D»UNK»SS»NA»Trials_ID"/>
        <s v="43355Facebook»Developers/ITPros-Azure Direct-Sponsored Post_Trial-Link Ad-FreeAcctRetargetingVMFB-750Hrs-ChD CanvasOpener»1x1»SocialBan»SOC»ALL»CPC»LAL»D»UNK»SS»NA»Trials_ID"/>
        <s v="43355Facebook»Developers/ITPros-Azure Direct-Sponsored Post_Trial-Link Ad-FreeAcctRetargetingVMFB-OnDemand-ChE CanvasOpener»1x1»SocialBan»SOC»ALL»CPC»LAL»D»UNK»SS»NA»Trials_ID"/>
        <s v="43355Facebook»Developers/ITPros-Azure Direct-Sponsored Post-Link Ad-FreeAcctAppsFACEBOOK12monthsChE»1x1»SocialBan»LIA»ALL»CPC»BT»X»UNK»SS»NA»Trials_ID"/>
        <s v="43355Facebook»Developers/ITPros-Azure Direct-Sponsored Post-Link Ad-FreeAcctAppsFACEBOOK200CreditChD»1x1»SocialBan»LIA»ALL»CPC»BT»X»UNK»SS»NA»Trials_ID"/>
        <s v="43355Facebook»Developers/ITPros-Azure Direct-Sponsored Post-Link Ad-FreeAcctAppsFACEBOOKDeviceChB»1x1»SocialBan»LIA»ALL»CPC»BT»X»UNK»SS»NA»Trials_ID"/>
        <s v="43355Facebook»Developers/ITPros-Azure Direct-Sponsored Post-Link Ad-FreeAcctAppsFACEBOOKIllustrationChC»1x1»SocialBan»LIA»ALL»CPC»BT»X»UNK»SS»NA»Trials_ID"/>
        <s v="43355Facebook»Developers/ITPros-Azure Direct-Sponsored Post-Link Ad-FreeAcctAppsFACEBOOKLifestyleChA»1x1»SocialBan»LIA»ALL»CPC»BT»X»UNK»SS»NA»Trials_ID"/>
        <s v="43355Facebook»Developers/ITPros-Azure Direct-Sponsored Post-Link Ad-FreeAcctRetargetingFB-GlobalAlt-ChB»1x1»SocialBan»LIA»ALL»CPC»BT»X»UNK»SS»NA»Trials_ID"/>
        <s v="43355Facebook»Developers/ITPros-Azure Direct-Sponsored Post-Link Ad-FreeAcctRetargetingOSSFB-Logos-ChG»1x1»SocialBan»LIA»ALL»CPC»BT»X»UNK»SS»NA»Trials_ID"/>
        <s v="43355Facebook»Developers/ITPros-Azure Direct-Sponsored Post-Link Ad-FreeAcctRetargetingOSSFB-Text-ChF»1x1»SocialBan»LIA»ALL»CPC»BT»X»UNK»SS»NA»Trials_ID"/>
        <s v="43355Facebook»Developers/ITPros-Azure Direct-Sponsored Post-Link Ad-FreeAcctRetargetingVMFB-750Hrs-ChD»1x1»SocialBan»LIA»ALL»CPC»BT»X»UNK»SS»NA»Trials_ID"/>
        <s v="43355Facebook»Developers/ITPros-Azure Direct-Sponsored Post-Link Ad-FreeAcctRetargetingVMFB-OnDemand-ChE»1x1»SocialBan»LIA»ALL»CPC»BT»X»UNK»SS»NA»Trials_ID"/>
        <s v="43355Facebook»Developers/ITPros-Azure Direct-Sponsored Post-Video Ad-FBCTCBasicMotion_FRA_10s_RTG Landing Page»1x1»10s»VIA»ALL»CPC»BT»X»UNK»SS»NA»Trials_ID"/>
        <s v="43355Facebook»Developers/ITPros-Azure Direct-Sponsored Post-Video Ad-FBCTCBenefit2inMotion_FRA_14s_RTG Landing Page»1x1»14s»VIA»ALL»CPC»BT»X»UNK»SS»NA»Trials_ID"/>
        <s v="43355Facebook»Developers/ITPros-Azure Direct-Sponsored Post-Video Ad-FBCTCBrandinMotion_FRA_12s_RTG Landing Page»1x1»12s»VIA»ALL»CPC»BT»X»UNK»SS»NA»Trials_ID"/>
        <s v="43355Facebook»ITPros-Azure Direct-Sponsored Post_Trial_PayGo-Video Ad-Free Account IT Pro - Hybrid»1x1»30s»SOC»ALL»CPC»LAL»D»UNK»SS»NA»Trials_ID"/>
        <s v="43355Facebook»ITPros-Azure Direct-Sponsored Post_Trial_PayGo-Video Ad-Free Account IT Pro - Migration»1x1»30s»SOC»ALL»CPC»LAL»D»UNK»SS»NA»Trials_ID"/>
        <s v="43355Facebook»ITPros-Azure Direct-Sponsored Post_Trial_PayGo-Video Ad-Free Account IT Pro - Secure»1x1»30s»SOC»ALL»CPC»LAL»D»UNK»SS»NA»Trials_ID"/>
        <s v="43355Facebook»ITPros-Azure Direct-Sponsored Post_Trial-Video Ad-Free Account IT Pro - Hybrid»1x1»30s»SOC»ALL»CPC»LAL»D»UNK»SS»NA»Trials_ID"/>
        <s v="43355Facebook»ITPros-Azure Direct-Sponsored Post_Trial-Video Ad-Free Account IT Pro - Hybrid»1x1»30s»SOC»ALL»CPC»RT»D»UNK»SS»NA»Trials_ID"/>
        <s v="43355Facebook»ITPros-Azure Direct-Sponsored Post_Trial-Video Ad-Free Account IT Pro - Migration»1x1»30s»SOC»ALL»CPC»LAL»D»UNK»SS»NA»Trials_ID"/>
        <s v="43355Facebook»ITPros-Azure Direct-Sponsored Post_Trial-Video Ad-Free Account IT Pro - Migration»1x1»30s»SOC»ALL»CPC»RT»D»UNK»SS»NA»Trials_ID"/>
        <s v="43355Facebook»ITPros-Azure Direct-Sponsored Post_Trial-Video Ad-Free Account IT Pro - Secure»1x1»30s»SOC»ALL»CPC»LAL»D»UNK»SS»NA»Trials_ID"/>
        <s v="43355Facebook»ITPros-Azure Direct-Sponsored Post_Trial-Video Ad-Free Account IT Pro - Secure»1x1»30s»SOC»ALL»CPC»RT»D»UNK»SS»NA»Trials_ID"/>
        <s v="43355Facebook»ITPros-Azure Direct-Sponsored Post-Video Ad-Free Account IT Pro - hybrid»1x1»30s»SOC»ALL»CPC»AUT»D»UNK»SS»NA»Trials_ID"/>
        <s v="43355Facebook»ITPros-Azure Direct-Sponsored Post-Video Ad-Free Account IT Pro - Migration»1x1»30s»SOC»ALL»CPC»AUT»D»UNK»SS»NA»Trials_ID"/>
        <s v="43355Facebook»ITPros-Azure Direct-Sponsored Post-Video Ad-Free Account IT Pro - Secure»1x1»30s»SOC»ALL»CPC»AUT»D»UNK»SS»NA»Trials_ID"/>
        <s v="43355Facebook»Retargeting»1x1»SocialBan»LIA»DT»DYN»RT»W»NA»SS»NA»Free Account Retargeting Generic- Animated ChC"/>
        <s v="43355Facebook»Retargeting»1x1»SocialBan»LIA»DT»DYN»RT»W»NA»SS»NA»Free Account Retargeting OSS- Logos ChG"/>
        <s v="43355Facebook»Retargeting»1x1»SocialBan»LIA»DT»DYN»RT»W»NA»SS»NA»Free Account Retargeting OSS- Text ChF"/>
        <s v="43355Facebook»Retargeting»1x1»SocialBan»LIA»DT»DYN»RT»W»NA»SS»NA»Free Account Retargeting VM- 750 Hrs ChD"/>
        <s v="43355Facebook»Retargeting»1x1»SocialBan»LIA»DT»DYN»RT»W»NA»SS»NA»Free Account Retargeting VM- On Demand ChE"/>
        <s v="43356Facebook»Audience &amp; Interest Targeting- Azure Trial Lookalikes»1x1»TextLink»CAN»MO»CPM»AUT»W»NA»SS»NA»Free Account IT Pro- Secure"/>
        <s v="43356Facebook»Audience &amp; Interest Targeting»1x1»SocialBan»LIA»DT»CPC»AUT»W»NA»SS»NA»Basic Motion"/>
        <s v="43356Facebook»Audience &amp; Interest Targeting»1x1»SocialBan»LIA»DT»CPC»AUT»W»NA»SS»NA»Benefit 2 in Motion"/>
        <s v="43356Facebook»AZP-Canvas-iine-Trial»1x1»Canvas»SOC»MO»CPM»AUT»W»NA»SS»NA»Canvas-Trial"/>
        <s v="43356Facebook»AZP-Canvas-Interest&amp;Role-Trial»1x1»Canvas»OTH»MO»CPM»PRO»X»UNK»TP»OT»Canvas-Trial"/>
        <s v="43356Facebook»AZP-Canvas-Look a Like-Trial»1x1»Canvas»OTH»MO»CPM»PRO»X»UNK»TP»OT»Canvas-Trial"/>
        <s v="43356Facebook»AZP-Canvas-Retargeting-Trial»1x1»Canvas»SOC»MO»CPM»PRO»W»UNK»SS»OT»Canvas-Trial"/>
        <s v="43356Facebook»AZR»1x1»NA»EGV»ALL»DYN»AUT»D»All»SS»NA»Free Acc CTC - T1 - EN"/>
        <s v="43356Facebook»AZR»1x1»NA»EGV»ALL»DYN»AUT»D»All»SS»NA»Free Acc CTC - T1 - FR"/>
        <s v="43356Facebook»AZR»1x1»NA»EGV»ALL»DYN»AUT»D»All»SS»NA»Free Acc CTC - T2 - EN"/>
        <s v="43356Facebook»AZR»1x1»NA»EGV»ALL»DYN»AUT»D»All»SS»NA»Free Acc CTC - T2 - FR"/>
        <s v="43356Facebook»AZR»1x1»NA»EGV»ALL»DYN»AUT»D»All»SS»NA»Free Acc CTC - T4 - EN"/>
        <s v="43356Facebook»AZR»1x1»NA»EGV»ALL»DYN»AUT»D»All»SS»NA»Free Acc CTC - T4 - FR"/>
        <s v="43356Facebook»AZR»1x1»NA»NA»ALL»DYN»AUT»D»All»SS»NA»Free Account Create to Convert FB - Canvas - Benefit - Start Free - EN"/>
        <s v="43356Facebook»AZR»1x1»NA»NA»ALL»DYN»AUT»D»All»SS»NA»Free Account Create to Convert FB - Canvas - Benefit - Start Free - FR"/>
        <s v="43356Facebook»AZR»1x1»NA»NA»ALL»DYN»AUT»D»All»SS»NA»Free Account Create to Convert FB - Canvas - Brand - Start Free - EN"/>
        <s v="43356Facebook»AZR»1x1»NA»NA»ALL»DYN»AUT»D»All»SS»NA»Free Account Create to Convert FB - Canvas - Brand - Start Free - FR"/>
        <s v="43356Facebook»AZR»1x1»NA»SOC»ALL»DYN»PRO»D»All»SS»NA»Canvas - Buy Now - EN"/>
        <s v="43356Facebook»AZR»1x1»NA»SOC»ALL»DYN»PRO»D»All»SS»NA»Canvas - Buy Now - FR"/>
        <s v="43356Facebook»AZR»1x1»SocialBan»NA»ALL»DYN»RT»D»All»SS»NA» Free Account Retargeting OSS - T1 - EN"/>
        <s v="43356Facebook»AZR»1x1»SocialBan»NA»ALL»DYN»RT»D»All»SS»NA» Free Account Retargeting OSS - T1 - FR"/>
        <s v="43356Facebook»AZR»1x1»SocialBan»NA»ALL»DYN»RT»D»All»SS»NA» Free Account Retargeting OSS - T2 - EN"/>
        <s v="43356Facebook»AZR»1x1»SocialBan»NA»ALL»DYN»RT»D»All»SS»NA» Free Account Retargeting OSS - T2 - FR"/>
        <s v="43356Facebook»AZR»1x1»SocialBan»NA»ALL»DYN»RT»D»All»SS»NA»Free Account Retargeting Generic - T2 - EN"/>
        <s v="43356Facebook»AZR»1x1»SocialBan»NA»ALL»DYN»RT»D»All»SS»NA»Free Account Retargeting Generic - T2 - FR"/>
        <s v="43356Facebook»AZR»1x1»SocialBan»NA»ALL»DYN»RT»D»All»SS»NA»Free Account Retargeting Generic - T3 - EN"/>
        <s v="43356Facebook»AZR»1x1»SocialBan»NA»ALL»DYN»RT»D»All»SS»NA»Free Account Retargeting Generic - T3 - FR"/>
        <s v="43356Facebook»AZR»1x1»SocialBan»NA»ALL»DYN»RT»D»All»SS»NA»Free Account Retargeting VM - T1 - EN"/>
        <s v="43356Facebook»AZR»1x1»SocialBan»NA»ALL»DYN»RT»D»All»SS»NA»Free Account Retargeting VM - T1 - FR"/>
        <s v="43356Facebook»AZR»1x1»SocialBan»NA»ALL»DYN»RT»D»All»SS»NA»Free Account Retargeting VM - T2 - EN"/>
        <s v="43356Facebook»AZR»1x1»SocialBan»NA»ALL»DYN»RT»D»All»SS»NA»Free Account Retargeting VM - T2 - FR"/>
        <s v="43356Facebook»DEV-ITP-AZR-FB|CanvasAds|Interesttargeting»1x1»TextLink»CAN»DT»CPM»AUT»W»NA»SS»NA»39684020-11000"/>
        <s v="43356Facebook»DEV-ITP-AZR-FB|LinkAd|CustomerAudienceRetargeting»1x1»TextLink»LIA»DT»CPM»RT»W»NA»SS»NA»39684019-11000"/>
        <s v="43356Facebook»Developers-Azure Direct-Sponsored Post_Trial_PayGo-Video Ad-Free Account Developer - AI»1x1»30s»SOC»ALL»CPC»LAL»D»UNK»SS»NA»Trials_ID"/>
        <s v="43356Facebook»Developers-Azure Direct-Sponsored Post_Trial_PayGo-Video Ad-Free Account Developer - Generic»1x1»30s»SOC»ALL»CPC»LAL»D»UNK»SS»NA»Trials_ID"/>
        <s v="43356Facebook»Developers-Azure Direct-Sponsored Post_Trial_PayGo-Video Ad-Free Account Developer - Intelligent Data»1x1»30s»SOC»ALL»CPC»LAL»D»UNK»SS»NA»Trials_ID"/>
        <s v="43356Facebook»Developers-Azure Direct-Sponsored Post_Trial_PayGo-Video Ad-Free Account Developer - Open Source»1x1»30s»SOC»ALL»CPC»LAL»D»UNK»SS»NA»Trials_ID"/>
        <s v="43356Facebook»Developers-Azure Direct-Sponsored Post_Trial-Video Ad-Free Account Developer - AI»1x1»30s»SOC»ALL»CPC»LAL»D»UNK»SS»NA»Trials_ID"/>
        <s v="43356Facebook»Developers-Azure Direct-Sponsored Post_Trial-Video Ad-Free Account Developer - AI»1x1»30s»SOC»ALL»CPC»RT»D»UNK»SS»NA»Trials_ID"/>
        <s v="43356Facebook»Developers-Azure Direct-Sponsored Post_Trial-Video Ad-Free Account Developer - Generic»1x1»30s»SOC»ALL»CPC»LAL»D»UNK»SS»NA»Trials_ID"/>
        <s v="43356Facebook»Developers-Azure Direct-Sponsored Post_Trial-Video Ad-Free Account Developer - Generic»1x1»30s»SOC»ALL»CPC»RT»D»UNK»SS»NA»Trials_ID"/>
        <s v="43356Facebook»Developers-Azure Direct-Sponsored Post_Trial-Video Ad-Free Account Developer - Intelligent Data»1x1»30s»SOC»ALL»CPC»LAL»D»UNK»SS»NA»Trials_ID"/>
        <s v="43356Facebook»Developers-Azure Direct-Sponsored Post_Trial-Video Ad-Free Account Developer - Intelligent Data»1x1»30s»SOC»ALL»CPC»RT»D»UNK»SS»NA»Trials_ID"/>
        <s v="43356Facebook»Developers-Azure Direct-Sponsored Post_Trial-Video Ad-Free Account Developer - Open Source»1x1»30s»SOC»ALL»CPC»RT»D»UNK»SS»NA»Trials_ID"/>
        <s v="43356Facebook»Developers-Azure Direct-Sponsored Post-Video Ad-Free Account Developer - AI»1x1»30s»SOC»ALL»CPC»BT»D»UNK»SS»NA»Trials_ID"/>
        <s v="43356Facebook»Developers-Azure Direct-Sponsored Post-Video Ad-Free Account Developer - Generic»1x1»30s»SOC»ALL»CPC»BT»D»UNK»SS»NA»Trials_ID"/>
        <s v="43356Facebook»Developers-Azure Direct-Sponsored Post-Video Ad-Free Account Developer - Intelligent Data»1x1»30s»SOC»ALL»CPC»BT»D»UNK»SS»NA»Trials_ID"/>
        <s v="43356Facebook»Developers-Azure Direct-Sponsored Post-Video Ad-Free Account Developer - Open Source»1x1»30s»SOC»ALL»CPC»BT»D»UNK»SS»NA»Trials_ID"/>
        <s v="43356Facebook»Developers/ITPros-Azure Direct-Sponsored Post_Trial_PayGo-Link Ad-FreeAcctRetargetingFB-Animated-ChC CanvasOpener»1x1»SocialBan»SOC»ALL»CPC»LAL»D»UNK»SS»NA»Trials_ID"/>
        <s v="43356Facebook»Developers/ITPros-Azure Direct-Sponsored Post_Trial_PayGo-Link Ad-FreeAcctRetargetingFB-GlobalAlt-ChB_RTG CanvasOpener»1x1»SocialBan»SOC»ALL»CPC»LAL»D»UNK»SS»NA»Trials_ID"/>
        <s v="43356Facebook»Developers/ITPros-Azure Direct-Sponsored Post_Trial_PayGo-Link Ad-FreeAcctRetargetingOSSFB-Logos-ChG CanvasOpener»1x1»SocialBan»SOC»ALL»CPC»LAL»D»UNK»SS»NA»Trials_ID"/>
        <s v="43356Facebook»Developers/ITPros-Azure Direct-Sponsored Post_Trial_PayGo-Link Ad-FreeAcctRetargetingOSSFB-Text-ChF CanvasOpener»1x1»SocialBan»SOC»ALL»CPC»LAL»D»UNK»SS»NA»Trials_ID"/>
        <s v="43356Facebook»Developers/ITPros-Azure Direct-Sponsored Post_Trial_PayGo-Link Ad-FreeAcctRetargetingVMFB-750Hrs-ChD CanvasOpener»1x1»SocialBan»SOC»ALL»CPC»LAL»D»UNK»SS»NA»Trials_ID"/>
        <s v="43356Facebook»Developers/ITPros-Azure Direct-Sponsored Post_Trial_PayGo-Link Ad-FreeAcctRetargetingVMFB-OnDemand-ChE CanvasOpener»1x1»SocialBan»SOC»ALL»CPC»LAL»D»UNK»SS»NA»Trials_ID"/>
        <s v="43356Facebook»Developers/ITPros-Azure Direct-Sponsored Post_Trial-Link Ad-FreeAcctRetargetingFB-Animated-ChC CanvasOpener»1x1»SocialBan»SOC»ALL»CPC»LAL»D»UNK»SS»NA»Trials_ID"/>
        <s v="43356Facebook»Developers/ITPros-Azure Direct-Sponsored Post_Trial-Link Ad-FreeAcctRetargetingFB-GlobalAlt-ChB_RTG CanvasOpener»1x1»SocialBan»SOC»ALL»CPC»LAL»D»UNK»SS»NA»Trials_ID"/>
        <s v="43356Facebook»Developers/ITPros-Azure Direct-Sponsored Post_Trial-Link Ad-FreeAcctRetargetingOSSFB-Logos-ChG CanvasOpener»1x1»SocialBan»SOC»ALL»CPC»LAL»D»UNK»SS»NA»Trials_ID"/>
        <s v="43356Facebook»Developers/ITPros-Azure Direct-Sponsored Post_Trial-Link Ad-FreeAcctRetargetingOSSFB-Text-ChF CanvasOpener»1x1»SocialBan»SOC»ALL»CPC»LAL»D»UNK»SS»NA»Trials_ID"/>
        <s v="43356Facebook»Developers/ITPros-Azure Direct-Sponsored Post_Trial-Link Ad-FreeAcctRetargetingVMFB-750Hrs-ChD CanvasOpener»1x1»SocialBan»SOC»ALL»CPC»LAL»D»UNK»SS»NA»Trials_ID"/>
        <s v="43356Facebook»Developers/ITPros-Azure Direct-Sponsored Post_Trial-Link Ad-FreeAcctRetargetingVMFB-OnDemand-ChE CanvasOpener»1x1»SocialBan»SOC»ALL»CPC»LAL»D»UNK»SS»NA»Trials_ID"/>
        <s v="43356Facebook»Developers/ITPros-Azure Direct-Sponsored Post-Link Ad-FreeAcctAppsFACEBOOK12monthsChE»1x1»SocialBan»LIA»ALL»CPC»BT»X»UNK»SS»NA»Trials_ID"/>
        <s v="43356Facebook»Developers/ITPros-Azure Direct-Sponsored Post-Link Ad-FreeAcctAppsFACEBOOK200CreditChD»1x1»SocialBan»LIA»ALL»CPC»BT»X»UNK»SS»NA»Trials_ID"/>
        <s v="43356Facebook»Developers/ITPros-Azure Direct-Sponsored Post-Link Ad-FreeAcctAppsFACEBOOKDeviceChB»1x1»SocialBan»LIA»ALL»CPC»BT»X»UNK»SS»NA»Trials_ID"/>
        <s v="43356Facebook»Developers/ITPros-Azure Direct-Sponsored Post-Link Ad-FreeAcctAppsFACEBOOKIllustrationChC»1x1»SocialBan»LIA»ALL»CPC»BT»X»UNK»SS»NA»Trials_ID"/>
        <s v="43356Facebook»Developers/ITPros-Azure Direct-Sponsored Post-Link Ad-FreeAcctAppsFACEBOOKLifestyleChA»1x1»SocialBan»LIA»ALL»CPC»BT»X»UNK»SS»NA»Trials_ID"/>
        <s v="43356Facebook»Developers/ITPros-Azure Direct-Sponsored Post-Link Ad-FreeAcctRetargetingFB-GlobalAlt-ChB»1x1»SocialBan»LIA»ALL»CPC»BT»X»UNK»SS»NA»Trials_ID"/>
        <s v="43356Facebook»Developers/ITPros-Azure Direct-Sponsored Post-Link Ad-FreeAcctRetargetingOSSFB-Logos-ChG»1x1»SocialBan»LIA»ALL»CPC»BT»X»UNK»SS»NA»Trials_ID"/>
        <s v="43356Facebook»Developers/ITPros-Azure Direct-Sponsored Post-Link Ad-FreeAcctRetargetingOSSFB-Text-ChF»1x1»SocialBan»LIA»ALL»CPC»BT»X»UNK»SS»NA»Trials_ID"/>
        <s v="43356Facebook»Developers/ITPros-Azure Direct-Sponsored Post-Link Ad-FreeAcctRetargetingVMFB-750Hrs-ChD»1x1»SocialBan»LIA»ALL»CPC»BT»X»UNK»SS»NA»Trials_ID"/>
        <s v="43356Facebook»Developers/ITPros-Azure Direct-Sponsored Post-Link Ad-FreeAcctRetargetingVMFB-OnDemand-ChE»1x1»SocialBan»LIA»ALL»CPC»BT»X»UNK»SS»NA»Trials_ID"/>
        <s v="43356Facebook»Developers/ITPros-Azure Direct-Sponsored Post-Video Ad-FBCTCBasicMotion_FRA_10s_RTG Landing Page»1x1»10s»VIA»ALL»CPC»BT»X»UNK»SS»NA»Trials_ID"/>
        <s v="43356Facebook»Developers/ITPros-Azure Direct-Sponsored Post-Video Ad-FBCTCBenefit2inMotion_FRA_14s_RTG Landing Page»1x1»14s»VIA»ALL»CPC»BT»X»UNK»SS»NA»Trials_ID"/>
        <s v="43356Facebook»Developers/ITPros-Azure Direct-Sponsored Post-Video Ad-FBCTCBrandinMotion_FRA_12s_RTG Landing Page»1x1»12s»VIA»ALL»CPC»BT»X»UNK»SS»NA»Trials_ID"/>
        <s v="43356Facebook»ITPros-Azure Direct-Sponsored Post_Trial_PayGo-Video Ad-Free Account IT Pro - Hybrid»1x1»30s»SOC»ALL»CPC»LAL»D»UNK»SS»NA»Trials_ID"/>
        <s v="43356Facebook»ITPros-Azure Direct-Sponsored Post_Trial_PayGo-Video Ad-Free Account IT Pro - Migration»1x1»30s»SOC»ALL»CPC»LAL»D»UNK»SS»NA»Trials_ID"/>
        <s v="43356Facebook»ITPros-Azure Direct-Sponsored Post_Trial_PayGo-Video Ad-Free Account IT Pro - Secure»1x1»30s»SOC»ALL»CPC»LAL»D»UNK»SS»NA»Trials_ID"/>
        <s v="43356Facebook»ITPros-Azure Direct-Sponsored Post_Trial-Video Ad-Free Account IT Pro - Hybrid»1x1»30s»SOC»ALL»CPC»LAL»D»UNK»SS»NA»Trials_ID"/>
        <s v="43356Facebook»ITPros-Azure Direct-Sponsored Post_Trial-Video Ad-Free Account IT Pro - Hybrid»1x1»30s»SOC»ALL»CPC»RT»D»UNK»SS»NA»Trials_ID"/>
        <s v="43356Facebook»ITPros-Azure Direct-Sponsored Post_Trial-Video Ad-Free Account IT Pro - Migration»1x1»30s»SOC»ALL»CPC»LAL»D»UNK»SS»NA»Trials_ID"/>
        <s v="43356Facebook»ITPros-Azure Direct-Sponsored Post_Trial-Video Ad-Free Account IT Pro - Migration»1x1»30s»SOC»ALL»CPC»RT»D»UNK»SS»NA»Trials_ID"/>
        <s v="43356Facebook»ITPros-Azure Direct-Sponsored Post_Trial-Video Ad-Free Account IT Pro - Secure»1x1»30s»SOC»ALL»CPC»LAL»D»UNK»SS»NA»Trials_ID"/>
        <s v="43356Facebook»ITPros-Azure Direct-Sponsored Post_Trial-Video Ad-Free Account IT Pro - Secure»1x1»30s»SOC»ALL»CPC»RT»D»UNK»SS»NA»Trials_ID"/>
        <s v="43356Facebook»ITPros-Azure Direct-Sponsored Post-Video Ad-Free Account IT Pro - hybrid»1x1»30s»SOC»ALL»CPC»AUT»D»UNK»SS»NA»Trials_ID"/>
        <s v="43356Facebook»ITPros-Azure Direct-Sponsored Post-Video Ad-Free Account IT Pro - Migration»1x1»30s»SOC»ALL»CPC»AUT»D»UNK»SS»NA»Trials_ID"/>
        <s v="43356Facebook»ITPros-Azure Direct-Sponsored Post-Video Ad-Free Account IT Pro - Secure»1x1»30s»SOC»ALL»CPC»AUT»D»UNK»SS»NA»Trials_ID"/>
        <s v="43356Facebook»Retargeting»1x1»SocialBan»LIA»DT»DYN»RT»W»NA»SS»NA»Free Account Retargeting Generic- Animated ChC"/>
        <s v="43356Facebook»Retargeting»1x1»SocialBan»LIA»DT»DYN»RT»W»NA»SS»NA»Free Account Retargeting Generic- Global Alt ChB"/>
        <s v="43356Facebook»Retargeting»1x1»SocialBan»LIA»DT»DYN»RT»W»NA»SS»NA»Free Account Retargeting OSS- Logos ChG"/>
        <s v="43356Facebook»Retargeting»1x1»SocialBan»LIA»DT»DYN»RT»W»NA»SS»NA»Free Account Retargeting OSS- Text ChF"/>
        <s v="43357Facebook»Audience &amp; Interest Targeting»1x1»SocialBan»LIA»DT»CPC»AUT»W»NA»SS»NA»Basic Motion"/>
        <s v="43357Facebook»Audience &amp; Interest Targeting»1x1»SocialBan»LIA»DT»CPC»AUT»W»NA»SS»NA»Benefit 2 in Motion"/>
        <s v="43357Facebook»AZP-Canvas-iine-Trial»1x1»Canvas»SOC»MO»CPM»AUT»W»NA»SS»NA»Canvas-Trial"/>
        <s v="43357Facebook»AZP-Canvas-Interest&amp;Role-Trial»1x1»Canvas»OTH»MO»CPM»PRO»X»UNK»TP»OT»Canvas-Trial"/>
        <s v="43357Facebook»AZP-Canvas-Look a Like-Trial»1x1»Canvas»OTH»MO»CPM»PRO»X»UNK»TP»OT»Canvas-Trial"/>
        <s v="43357Facebook»AZP-Canvas-Retargeting-Trial»1x1»Canvas»SOC»MO»CPM»PRO»W»UNK»SS»OT»Canvas-Trial"/>
        <s v="43357Facebook»AZR»1x1»NA»EGV»ALL»DYN»AUT»D»All»SS»NA»Free Acc CTC - T1 - EN"/>
        <s v="43357Facebook»AZR»1x1»NA»EGV»ALL»DYN»AUT»D»All»SS»NA»Free Acc CTC - T1 - FR"/>
        <s v="43357Facebook»AZR»1x1»NA»EGV»ALL»DYN»AUT»D»All»SS»NA»Free Acc CTC - T2 - EN"/>
        <s v="43357Facebook»AZR»1x1»NA»EGV»ALL»DYN»AUT»D»All»SS»NA»Free Acc CTC - T2 - FR"/>
        <s v="43357Facebook»AZR»1x1»NA»EGV»ALL»DYN»AUT»D»All»SS»NA»Free Acc CTC - T4 - EN"/>
        <s v="43357Facebook»AZR»1x1»NA»EGV»ALL»DYN»AUT»D»All»SS»NA»Free Acc CTC - T4 - FR"/>
        <s v="43357Facebook»AZR»1x1»NA»NA»ALL»DYN»AUT»D»All»SS»NA»Free Account Create to Convert FB - Canvas - Benefit - Start Free - EN"/>
        <s v="43357Facebook»AZR»1x1»NA»NA»ALL»DYN»AUT»D»All»SS»NA»Free Account Create to Convert FB - Canvas - Benefit - Start Free - FR"/>
        <s v="43357Facebook»AZR»1x1»NA»NA»ALL»DYN»AUT»D»All»SS»NA»Free Account Create to Convert FB - Canvas - Brand - Start Free - EN"/>
        <s v="43357Facebook»AZR»1x1»NA»NA»ALL»DYN»AUT»D»All»SS»NA»Free Account Create to Convert FB - Canvas - Brand - Start Free - FR"/>
        <s v="43357Facebook»AZR»1x1»NA»SOC»ALL»DYN»PRO»D»All»SS»NA»Canvas - Buy Now - EN"/>
        <s v="43357Facebook»AZR»1x1»NA»SOC»ALL»DYN»PRO»D»All»SS»NA»Canvas - Buy Now - FR"/>
        <s v="43357Facebook»AZR»1x1»SocialBan»NA»ALL»DYN»RT»D»All»SS»NA» Free Account Retargeting OSS - T1 - EN"/>
        <s v="43357Facebook»AZR»1x1»SocialBan»NA»ALL»DYN»RT»D»All»SS»NA» Free Account Retargeting OSS - T1 - FR"/>
        <s v="43357Facebook»AZR»1x1»SocialBan»NA»ALL»DYN»RT»D»All»SS»NA» Free Account Retargeting OSS - T2 - EN"/>
        <s v="43357Facebook»AZR»1x1»SocialBan»NA»ALL»DYN»RT»D»All»SS»NA» Free Account Retargeting OSS - T2 - FR"/>
        <s v="43357Facebook»AZR»1x1»SocialBan»NA»ALL»DYN»RT»D»All»SS»NA»Free Account Retargeting Generic - T2 - EN"/>
        <s v="43357Facebook»AZR»1x1»SocialBan»NA»ALL»DYN»RT»D»All»SS»NA»Free Account Retargeting Generic - T2 - FR"/>
        <s v="43357Facebook»AZR»1x1»SocialBan»NA»ALL»DYN»RT»D»All»SS»NA»Free Account Retargeting Generic - T3 - EN"/>
        <s v="43357Facebook»AZR»1x1»SocialBan»NA»ALL»DYN»RT»D»All»SS»NA»Free Account Retargeting Generic - T3 - FR"/>
        <s v="43357Facebook»AZR»1x1»SocialBan»NA»ALL»DYN»RT»D»All»SS»NA»Free Account Retargeting VM - T1 - EN"/>
        <s v="43357Facebook»AZR»1x1»SocialBan»NA»ALL»DYN»RT»D»All»SS»NA»Free Account Retargeting VM - T1 - FR"/>
        <s v="43357Facebook»AZR»1x1»SocialBan»NA»ALL»DYN»RT»D»All»SS»NA»Free Account Retargeting VM - T2 - EN"/>
        <s v="43357Facebook»AZR»1x1»SocialBan»NA»ALL»DYN»RT»D»All»SS»NA»Free Account Retargeting VM - T2 - FR"/>
        <s v="43357Facebook»DEV-ITP-AZR-FB|CanvasAds|Interesttargeting»1x1»TextLink»CAN»DT»CPM»AUT»W»NA»SS»NA»39684020-11000"/>
        <s v="43357Facebook»DEV-ITP-AZR-FB|LinkAd|CustomerAudienceRetargeting»1x1»TextLink»LIA»DT»CPM»RT»W»NA»SS»NA»39684019-11000"/>
        <s v="43357Facebook»Developers-Azure Direct-Sponsored Post_Trial_PayGo-Video Ad-Free Account Developer - AI»1x1»30s»SOC»ALL»CPC»LAL»D»UNK»SS»NA»Trials_ID"/>
        <s v="43357Facebook»Developers-Azure Direct-Sponsored Post_Trial_PayGo-Video Ad-Free Account Developer - Generic»1x1»30s»SOC»ALL»CPC»LAL»D»UNK»SS»NA»Trials_ID"/>
        <s v="43357Facebook»Developers-Azure Direct-Sponsored Post_Trial_PayGo-Video Ad-Free Account Developer - Intelligent Data»1x1»30s»SOC»ALL»CPC»LAL»D»UNK»SS»NA»Trials_ID"/>
        <s v="43357Facebook»Developers-Azure Direct-Sponsored Post_Trial_PayGo-Video Ad-Free Account Developer - Open Source»1x1»30s»SOC»ALL»CPC»LAL»D»UNK»SS»NA»Trials_ID"/>
        <s v="43357Facebook»Developers-Azure Direct-Sponsored Post_Trial-Video Ad-Free Account Developer - AI»1x1»30s»SOC»ALL»CPC»LAL»D»UNK»SS»NA»Trials_ID"/>
        <s v="43357Facebook»Developers-Azure Direct-Sponsored Post_Trial-Video Ad-Free Account Developer - AI»1x1»30s»SOC»ALL»CPC»RT»D»UNK»SS»NA»Trials_ID"/>
        <s v="43357Facebook»Developers-Azure Direct-Sponsored Post_Trial-Video Ad-Free Account Developer - Generic»1x1»30s»SOC»ALL»CPC»LAL»D»UNK»SS»NA»Trials_ID"/>
        <s v="43357Facebook»Developers-Azure Direct-Sponsored Post_Trial-Video Ad-Free Account Developer - Generic»1x1»30s»SOC»ALL»CPC»RT»D»UNK»SS»NA»Trials_ID"/>
        <s v="43357Facebook»Developers-Azure Direct-Sponsored Post_Trial-Video Ad-Free Account Developer - Intelligent Data»1x1»30s»SOC»ALL»CPC»LAL»D»UNK»SS»NA»Trials_ID"/>
        <s v="43357Facebook»Developers-Azure Direct-Sponsored Post_Trial-Video Ad-Free Account Developer - Intelligent Data»1x1»30s»SOC»ALL»CPC»RT»D»UNK»SS»NA»Trials_ID"/>
        <s v="43357Facebook»Developers-Azure Direct-Sponsored Post_Trial-Video Ad-Free Account Developer - Open Source»1x1»30s»SOC»ALL»CPC»RT»D»UNK»SS»NA»Trials_ID"/>
        <s v="43357Facebook»Developers-Azure Direct-Sponsored Post-Video Ad-Free Account Developer - AI»1x1»30s»SOC»ALL»CPC»BT»D»UNK»SS»NA»Trials_ID"/>
        <s v="43357Facebook»Developers-Azure Direct-Sponsored Post-Video Ad-Free Account Developer - Generic»1x1»30s»SOC»ALL»CPC»BT»D»UNK»SS»NA»Trials_ID"/>
        <s v="43357Facebook»Developers-Azure Direct-Sponsored Post-Video Ad-Free Account Developer - Intelligent Data»1x1»30s»SOC»ALL»CPC»BT»D»UNK»SS»NA»Trials_ID"/>
        <s v="43357Facebook»Developers-Azure Direct-Sponsored Post-Video Ad-Free Account Developer - Open Source»1x1»30s»SOC»ALL»CPC»BT»D»UNK»SS»NA»Trials_ID"/>
        <s v="43357Facebook»Developers/ITPros-Azure Direct-Sponsored Post_Trial_PayGo-Link Ad-FreeAcctRetargetingFB-Animated-ChC CanvasOpener»1x1»SocialBan»SOC»ALL»CPC»LAL»D»UNK»SS»NA»Trials_ID"/>
        <s v="43357Facebook»Developers/ITPros-Azure Direct-Sponsored Post_Trial_PayGo-Link Ad-FreeAcctRetargetingFB-GlobalAlt-ChB_RTG CanvasOpener»1x1»SocialBan»SOC»ALL»CPC»LAL»D»UNK»SS»NA»Trials_ID"/>
        <s v="43357Facebook»Developers/ITPros-Azure Direct-Sponsored Post_Trial_PayGo-Link Ad-FreeAcctRetargetingOSSFB-Logos-ChG CanvasOpener»1x1»SocialBan»SOC»ALL»CPC»LAL»D»UNK»SS»NA»Trials_ID"/>
        <s v="43357Facebook»Developers/ITPros-Azure Direct-Sponsored Post_Trial_PayGo-Link Ad-FreeAcctRetargetingOSSFB-Text-ChF CanvasOpener»1x1»SocialBan»SOC»ALL»CPC»LAL»D»UNK»SS»NA»Trials_ID"/>
        <s v="43357Facebook»Developers/ITPros-Azure Direct-Sponsored Post_Trial_PayGo-Link Ad-FreeAcctRetargetingVMFB-750Hrs-ChD CanvasOpener»1x1»SocialBan»SOC»ALL»CPC»LAL»D»UNK»SS»NA»Trials_ID"/>
        <s v="43357Facebook»Developers/ITPros-Azure Direct-Sponsored Post_Trial_PayGo-Link Ad-FreeAcctRetargetingVMFB-OnDemand-ChE CanvasOpener»1x1»SocialBan»SOC»ALL»CPC»LAL»D»UNK»SS»NA»Trials_ID"/>
        <s v="43357Facebook»Developers/ITPros-Azure Direct-Sponsored Post_Trial-Link Ad-FreeAcctRetargetingFB-Animated-ChC CanvasOpener»1x1»SocialBan»SOC»ALL»CPC»LAL»D»UNK»SS»NA»Trials_ID"/>
        <s v="43357Facebook»Developers/ITPros-Azure Direct-Sponsored Post_Trial-Link Ad-FreeAcctRetargetingFB-GlobalAlt-ChB_RTG CanvasOpener»1x1»SocialBan»SOC»ALL»CPC»LAL»D»UNK»SS»NA»Trials_ID"/>
        <s v="43357Facebook»Developers/ITPros-Azure Direct-Sponsored Post_Trial-Link Ad-FreeAcctRetargetingOSSFB-Logos-ChG CanvasOpener»1x1»SocialBan»SOC»ALL»CPC»LAL»D»UNK»SS»NA»Trials_ID"/>
        <s v="43357Facebook»Developers/ITPros-Azure Direct-Sponsored Post_Trial-Link Ad-FreeAcctRetargetingOSSFB-Text-ChF CanvasOpener»1x1»SocialBan»SOC»ALL»CPC»LAL»D»UNK»SS»NA»Trials_ID"/>
        <s v="43357Facebook»Developers/ITPros-Azure Direct-Sponsored Post_Trial-Link Ad-FreeAcctRetargetingVMFB-750Hrs-ChD CanvasOpener»1x1»SocialBan»SOC»ALL»CPC»LAL»D»UNK»SS»NA»Trials_ID"/>
        <s v="43357Facebook»Developers/ITPros-Azure Direct-Sponsored Post_Trial-Link Ad-FreeAcctRetargetingVMFB-OnDemand-ChE CanvasOpener»1x1»SocialBan»SOC»ALL»CPC»LAL»D»UNK»SS»NA»Trials_ID"/>
        <s v="43357Facebook»Developers/ITPros-Azure Direct-Sponsored Post-Link Ad-FreeAcctAppsFACEBOOK12monthsChE»1x1»SocialBan»LIA»ALL»CPC»BT»X»UNK»SS»NA»Trials_ID"/>
        <s v="43357Facebook»Developers/ITPros-Azure Direct-Sponsored Post-Link Ad-FreeAcctAppsFACEBOOK200CreditChD»1x1»SocialBan»LIA»ALL»CPC»BT»X»UNK»SS»NA»Trials_ID"/>
        <s v="43357Facebook»Developers/ITPros-Azure Direct-Sponsored Post-Link Ad-FreeAcctAppsFACEBOOKDeviceChB»1x1»SocialBan»LIA»ALL»CPC»BT»X»UNK»SS»NA»Trials_ID"/>
        <s v="43357Facebook»Developers/ITPros-Azure Direct-Sponsored Post-Link Ad-FreeAcctAppsFACEBOOKIllustrationChC»1x1»SocialBan»LIA»ALL»CPC»BT»X»UNK»SS»NA»Trials_ID"/>
        <s v="43357Facebook»Developers/ITPros-Azure Direct-Sponsored Post-Link Ad-FreeAcctAppsFACEBOOKLifestyleChA»1x1»SocialBan»LIA»ALL»CPC»BT»X»UNK»SS»NA»Trials_ID"/>
        <s v="43357Facebook»Developers/ITPros-Azure Direct-Sponsored Post-Link Ad-FreeAcctRetargetingFB-GlobalAlt-ChB»1x1»SocialBan»LIA»ALL»CPC»BT»X»UNK»SS»NA»Trials_ID"/>
        <s v="43357Facebook»Developers/ITPros-Azure Direct-Sponsored Post-Link Ad-FreeAcctRetargetingOSSFB-Logos-ChG»1x1»SocialBan»LIA»ALL»CPC»BT»X»UNK»SS»NA»Trials_ID"/>
        <s v="43357Facebook»Developers/ITPros-Azure Direct-Sponsored Post-Link Ad-FreeAcctRetargetingOSSFB-Text-ChF»1x1»SocialBan»LIA»ALL»CPC»BT»X»UNK»SS»NA»Trials_ID"/>
        <s v="43357Facebook»Developers/ITPros-Azure Direct-Sponsored Post-Link Ad-FreeAcctRetargetingVMFB-750Hrs-ChD»1x1»SocialBan»LIA»ALL»CPC»BT»X»UNK»SS»NA»Trials_ID"/>
        <s v="43357Facebook»Developers/ITPros-Azure Direct-Sponsored Post-Link Ad-FreeAcctRetargetingVMFB-OnDemand-ChE»1x1»SocialBan»LIA»ALL»CPC»BT»X»UNK»SS»NA»Trials_ID"/>
        <s v="43357Facebook»Developers/ITPros-Azure Direct-Sponsored Post-Video Ad-FBCTCBasicMotion_FRA_10s_RTG Landing Page»1x1»10s»VIA»ALL»CPC»BT»X»UNK»SS»NA»Trials_ID"/>
        <s v="43357Facebook»Developers/ITPros-Azure Direct-Sponsored Post-Video Ad-FBCTCBenefit2inMotion_FRA_14s_RTG Landing Page»1x1»14s»VIA»ALL»CPC»BT»X»UNK»SS»NA»Trials_ID"/>
        <s v="43357Facebook»Developers/ITPros-Azure Direct-Sponsored Post-Video Ad-FBCTCBrandinMotion_FRA_12s_RTG Landing Page»1x1»12s»VIA»ALL»CPC»BT»X»UNK»SS»NA»Trials_ID"/>
        <s v="43357Facebook»ITPros-Azure Direct-Sponsored Post_Trial_PayGo-Video Ad-Free Account IT Pro - Hybrid»1x1»30s»SOC»ALL»CPC»LAL»D»UNK»SS»NA»Trials_ID"/>
        <s v="43357Facebook»ITPros-Azure Direct-Sponsored Post_Trial_PayGo-Video Ad-Free Account IT Pro - Migration»1x1»30s»SOC»ALL»CPC»LAL»D»UNK»SS»NA»Trials_ID"/>
        <s v="43357Facebook»ITPros-Azure Direct-Sponsored Post_Trial_PayGo-Video Ad-Free Account IT Pro - Secure»1x1»30s»SOC»ALL»CPC»LAL»D»UNK»SS»NA»Trials_ID"/>
        <s v="43357Facebook»ITPros-Azure Direct-Sponsored Post_Trial-Video Ad-Free Account IT Pro - Hybrid»1x1»30s»SOC»ALL»CPC»LAL»D»UNK»SS»NA»Trials_ID"/>
        <s v="43357Facebook»ITPros-Azure Direct-Sponsored Post_Trial-Video Ad-Free Account IT Pro - Hybrid»1x1»30s»SOC»ALL»CPC»RT»D»UNK»SS»NA»Trials_ID"/>
        <s v="43357Facebook»ITPros-Azure Direct-Sponsored Post_Trial-Video Ad-Free Account IT Pro - Migration»1x1»30s»SOC»ALL»CPC»LAL»D»UNK»SS»NA»Trials_ID"/>
        <s v="43357Facebook»ITPros-Azure Direct-Sponsored Post_Trial-Video Ad-Free Account IT Pro - Migration»1x1»30s»SOC»ALL»CPC»RT»D»UNK»SS»NA»Trials_ID"/>
        <s v="43357Facebook»ITPros-Azure Direct-Sponsored Post_Trial-Video Ad-Free Account IT Pro - Secure»1x1»30s»SOC»ALL»CPC»LAL»D»UNK»SS»NA»Trials_ID"/>
        <s v="43357Facebook»ITPros-Azure Direct-Sponsored Post_Trial-Video Ad-Free Account IT Pro - Secure»1x1»30s»SOC»ALL»CPC»RT»D»UNK»SS»NA»Trials_ID"/>
        <s v="43357Facebook»ITPros-Azure Direct-Sponsored Post-Video Ad-Free Account IT Pro - hybrid»1x1»30s»SOC»ALL»CPC»AUT»D»UNK»SS»NA»Trials_ID"/>
        <s v="43357Facebook»ITPros-Azure Direct-Sponsored Post-Video Ad-Free Account IT Pro - Migration»1x1»30s»SOC»ALL»CPC»AUT»D»UNK»SS»NA»Trials_ID"/>
        <s v="43357Facebook»ITPros-Azure Direct-Sponsored Post-Video Ad-Free Account IT Pro - Secure»1x1»30s»SOC»ALL»CPC»AUT»D»UNK»SS»NA»Trials_ID"/>
        <s v="43357Facebook»Retargeting»1x1»SocialBan»LIA»DT»DYN»RT»W»NA»SS»NA»Free Account Retargeting Generic- Animated ChC"/>
        <s v="43357Facebook»Retargeting»1x1»SocialBan»LIA»DT»DYN»RT»W»NA»SS»NA»Free Account Retargeting Generic- Global Alt ChB"/>
        <s v="43357Facebook»Retargeting»1x1»SocialBan»LIA»DT»DYN»RT»W»NA»SS»NA»Free Account Retargeting OSS- Text ChF"/>
        <s v="43357Facebook»Retargeting»1x1»SocialBan»LIA»DT»DYN»RT»W»NA»SS»NA»Free Account Retargeting VM- 750 Hrs ChD"/>
        <s v="43357Facebook»Retargeting»1x1»SocialBan»LIA»DT»DYN»RT»W»NA»SS»NA»Free Account Retargeting VM- On Demand ChE"/>
        <s v="43358Facebook»Audience &amp; Interest Targeting»1x1»SocialBan»LIA»DT»CPC»AUT»W»NA»SS»NA»Basic Motion"/>
        <s v="43358Facebook»Audience &amp; Interest Targeting»1x1»SocialBan»LIA»DT»CPC»AUT»W»NA»SS»NA»Benefit 2 in Motion"/>
        <s v="43358Facebook»Audience &amp; Interest Targeting»1x1»SocialBan»LIA»DT»CPC»AUT»W»NA»SS»NA»Brand in Motion"/>
        <s v="43358Facebook»Audience &amp; Interest Targeting»1x1»SocialBan»LIA»DT»DYN»AUT»W»NA»SS»NA»Free Account Refresh- Illustration ChC"/>
        <s v="43358Facebook»AZP-Canvas-iine-Trial»1x1»Canvas»SOC»MO»CPM»AUT»W»NA»SS»NA»Canvas-Trial"/>
        <s v="43358Facebook»AZP-Canvas-Interest&amp;Role-Trial»1x1»Canvas»OTH»MO»CPM»PRO»X»UNK»TP»OT»Canvas-Trial"/>
        <s v="43358Facebook»AZP-Canvas-Look a Like-Trial»1x1»Canvas»OTH»MO»CPM»PRO»X»UNK»TP»OT»Canvas-Trial"/>
        <s v="43358Facebook»AZP-Canvas-Retargeting-Trial»1x1»Canvas»SOC»MO»CPM»PRO»W»UNK»SS»OT»Canvas-Trial"/>
        <s v="43358Facebook»AZR»1x1»NA»EGV»ALL»DYN»AUT»D»All»SS»NA»Free Acc CTC - T1 - EN"/>
        <s v="43358Facebook»AZR»1x1»NA»EGV»ALL»DYN»AUT»D»All»SS»NA»Free Acc CTC - T1 - FR"/>
        <s v="43358Facebook»AZR»1x1»NA»EGV»ALL»DYN»AUT»D»All»SS»NA»Free Acc CTC - T2 - EN"/>
        <s v="43358Facebook»AZR»1x1»NA»EGV»ALL»DYN»AUT»D»All»SS»NA»Free Acc CTC - T2 - FR"/>
        <s v="43358Facebook»AZR»1x1»NA»EGV»ALL»DYN»AUT»D»All»SS»NA»Free Acc CTC - T4 - EN"/>
        <s v="43358Facebook»AZR»1x1»NA»EGV»ALL»DYN»AUT»D»All»SS»NA»Free Acc CTC - T4 - FR"/>
        <s v="43358Facebook»AZR»1x1»NA»NA»ALL»DYN»AUT»D»All»SS»NA»Free Account Create to Convert FB - Canvas - Benefit - Start Free - EN"/>
        <s v="43358Facebook»AZR»1x1»NA»NA»ALL»DYN»AUT»D»All»SS»NA»Free Account Create to Convert FB - Canvas - Benefit - Start Free - FR"/>
        <s v="43358Facebook»AZR»1x1»NA»NA»ALL»DYN»AUT»D»All»SS»NA»Free Account Create to Convert FB - Canvas - Brand - Start Free - EN"/>
        <s v="43358Facebook»AZR»1x1»NA»NA»ALL»DYN»AUT»D»All»SS»NA»Free Account Create to Convert FB - Canvas - Brand - Start Free - FR"/>
        <s v="43358Facebook»AZR»1x1»NA»SOC»ALL»DYN»PRO»D»All»SS»NA»Canvas - Buy Now - EN"/>
        <s v="43358Facebook»AZR»1x1»NA»SOC»ALL»DYN»PRO»D»All»SS»NA»Canvas - Buy Now - FR"/>
        <s v="43358Facebook»AZR»1x1»SocialBan»NA»ALL»DYN»RT»D»All»SS»NA» Free Account Retargeting OSS - T1 - EN"/>
        <s v="43358Facebook»AZR»1x1»SocialBan»NA»ALL»DYN»RT»D»All»SS»NA» Free Account Retargeting OSS - T1 - FR"/>
        <s v="43358Facebook»AZR»1x1»SocialBan»NA»ALL»DYN»RT»D»All»SS»NA» Free Account Retargeting OSS - T2 - EN"/>
        <s v="43358Facebook»AZR»1x1»SocialBan»NA»ALL»DYN»RT»D»All»SS»NA» Free Account Retargeting OSS - T2 - FR"/>
        <s v="43358Facebook»AZR»1x1»SocialBan»NA»ALL»DYN»RT»D»All»SS»NA»Free Account Retargeting Generic - T2 - EN"/>
        <s v="43358Facebook»AZR»1x1»SocialBan»NA»ALL»DYN»RT»D»All»SS»NA»Free Account Retargeting Generic - T2 - FR"/>
        <s v="43358Facebook»AZR»1x1»SocialBan»NA»ALL»DYN»RT»D»All»SS»NA»Free Account Retargeting Generic - T3 - EN"/>
        <s v="43358Facebook»AZR»1x1»SocialBan»NA»ALL»DYN»RT»D»All»SS»NA»Free Account Retargeting Generic - T3 - FR"/>
        <s v="43358Facebook»AZR»1x1»SocialBan»NA»ALL»DYN»RT»D»All»SS»NA»Free Account Retargeting VM - T1 - EN"/>
        <s v="43358Facebook»AZR»1x1»SocialBan»NA»ALL»DYN»RT»D»All»SS»NA»Free Account Retargeting VM - T1 - FR"/>
        <s v="43358Facebook»AZR»1x1»SocialBan»NA»ALL»DYN»RT»D»All»SS»NA»Free Account Retargeting VM - T2 - EN"/>
        <s v="43358Facebook»AZR»1x1»SocialBan»NA»ALL»DYN»RT»D»All»SS»NA»Free Account Retargeting VM - T2 - FR"/>
        <s v="43358Facebook»DEV-ITP-AZR-FB|CanvasAds|Interesttargeting»1x1»TextLink»CAN»DT»CPM»AUT»W»NA»SS»NA»39684020-11000"/>
        <s v="43358Facebook»DEV-ITP-AZR-FB|LinkAd|CustomerAudienceRetargeting»1x1»TextLink»LIA»DT»CPM»RT»W»NA»SS»NA»39684019-11000"/>
        <s v="43358Facebook»Developers-Azure Direct-Sponsored Post_Trial_PayGo-Video Ad-Free Account Developer - AI»1x1»30s»SOC»ALL»CPC»LAL»D»UNK»SS»NA»Trials_ID"/>
        <s v="43358Facebook»Developers-Azure Direct-Sponsored Post_Trial_PayGo-Video Ad-Free Account Developer - Generic»1x1»30s»SOC»ALL»CPC»LAL»D»UNK»SS»NA»Trials_ID"/>
        <s v="43358Facebook»Developers-Azure Direct-Sponsored Post_Trial_PayGo-Video Ad-Free Account Developer - Intelligent Data»1x1»30s»SOC»ALL»CPC»LAL»D»UNK»SS»NA»Trials_ID"/>
        <s v="43358Facebook»Developers-Azure Direct-Sponsored Post_Trial_PayGo-Video Ad-Free Account Developer - Open Source»1x1»30s»SOC»ALL»CPC»LAL»D»UNK»SS»NA»Trials_ID"/>
        <s v="43358Facebook»Developers-Azure Direct-Sponsored Post_Trial-Video Ad-Free Account Developer - AI»1x1»30s»SOC»ALL»CPC»LAL»D»UNK»SS»NA»Trials_ID"/>
        <s v="43358Facebook»Developers-Azure Direct-Sponsored Post_Trial-Video Ad-Free Account Developer - AI»1x1»30s»SOC»ALL»CPC»RT»D»UNK»SS»NA»Trials_ID"/>
        <s v="43358Facebook»Developers-Azure Direct-Sponsored Post_Trial-Video Ad-Free Account Developer - Generic»1x1»30s»SOC»ALL»CPC»LAL»D»UNK»SS»NA»Trials_ID"/>
        <s v="43358Facebook»Developers-Azure Direct-Sponsored Post_Trial-Video Ad-Free Account Developer - Generic»1x1»30s»SOC»ALL»CPC»RT»D»UNK»SS»NA»Trials_ID"/>
        <s v="43358Facebook»Developers-Azure Direct-Sponsored Post_Trial-Video Ad-Free Account Developer - Intelligent Data»1x1»30s»SOC»ALL»CPC»LAL»D»UNK»SS»NA»Trials_ID"/>
        <s v="43358Facebook»Developers-Azure Direct-Sponsored Post_Trial-Video Ad-Free Account Developer - Intelligent Data»1x1»30s»SOC»ALL»CPC»RT»D»UNK»SS»NA»Trials_ID"/>
        <s v="43358Facebook»Developers-Azure Direct-Sponsored Post_Trial-Video Ad-Free Account Developer - Open Source»1x1»30s»SOC»ALL»CPC»RT»D»UNK»SS»NA»Trials_ID"/>
        <s v="43358Facebook»Developers-Azure Direct-Sponsored Post-Video Ad-Free Account Developer - AI»1x1»30s»SOC»ALL»CPC»BT»D»UNK»SS»NA»Trials_ID"/>
        <s v="43358Facebook»Developers-Azure Direct-Sponsored Post-Video Ad-Free Account Developer - Generic»1x1»30s»SOC»ALL»CPC»BT»D»UNK»SS»NA»Trials_ID"/>
        <s v="43358Facebook»Developers-Azure Direct-Sponsored Post-Video Ad-Free Account Developer - Intelligent Data»1x1»30s»SOC»ALL»CPC»BT»D»UNK»SS»NA»Trials_ID"/>
        <s v="43358Facebook»Developers-Azure Direct-Sponsored Post-Video Ad-Free Account Developer - Open Source»1x1»30s»SOC»ALL»CPC»BT»D»UNK»SS»NA»Trials_ID"/>
        <s v="43358Facebook»Developers/ITPros-Azure Direct-Sponsored Post_Trial_PayGo-Link Ad-FreeAcctRetargetingFB-Animated-ChC CanvasOpener»1x1»SocialBan»SOC»ALL»CPC»LAL»D»UNK»SS»NA»Trials_ID"/>
        <s v="43358Facebook»Developers/ITPros-Azure Direct-Sponsored Post_Trial_PayGo-Link Ad-FreeAcctRetargetingFB-GlobalAlt-ChB_RTG CanvasOpener»1x1»SocialBan»SOC»ALL»CPC»LAL»D»UNK»SS»NA»Trials_ID"/>
        <s v="43358Facebook»Developers/ITPros-Azure Direct-Sponsored Post_Trial_PayGo-Link Ad-FreeAcctRetargetingOSSFB-Logos-ChG CanvasOpener»1x1»SocialBan»SOC»ALL»CPC»LAL»D»UNK»SS»NA»Trials_ID"/>
        <s v="43358Facebook»Developers/ITPros-Azure Direct-Sponsored Post_Trial_PayGo-Link Ad-FreeAcctRetargetingOSSFB-Text-ChF CanvasOpener»1x1»SocialBan»SOC»ALL»CPC»LAL»D»UNK»SS»NA»Trials_ID"/>
        <s v="43358Facebook»Developers/ITPros-Azure Direct-Sponsored Post_Trial_PayGo-Link Ad-FreeAcctRetargetingVMFB-750Hrs-ChD CanvasOpener»1x1»SocialBan»SOC»ALL»CPC»LAL»D»UNK»SS»NA»Trials_ID"/>
        <s v="43358Facebook»Developers/ITPros-Azure Direct-Sponsored Post_Trial_PayGo-Link Ad-FreeAcctRetargetingVMFB-OnDemand-ChE CanvasOpener»1x1»SocialBan»SOC»ALL»CPC»LAL»D»UNK»SS»NA»Trials_ID"/>
        <s v="43358Facebook»Developers/ITPros-Azure Direct-Sponsored Post_Trial-Link Ad-FreeAcctRetargetingFB-Animated-ChC CanvasOpener»1x1»SocialBan»SOC»ALL»CPC»LAL»D»UNK»SS»NA»Trials_ID"/>
        <s v="43358Facebook»Developers/ITPros-Azure Direct-Sponsored Post_Trial-Link Ad-FreeAcctRetargetingFB-GlobalAlt-ChB_RTG CanvasOpener»1x1»SocialBan»SOC»ALL»CPC»LAL»D»UNK»SS»NA»Trials_ID"/>
        <s v="43358Facebook»Developers/ITPros-Azure Direct-Sponsored Post_Trial-Link Ad-FreeAcctRetargetingOSSFB-Logos-ChG CanvasOpener»1x1»SocialBan»SOC»ALL»CPC»LAL»D»UNK»SS»NA»Trials_ID"/>
        <s v="43358Facebook»Developers/ITPros-Azure Direct-Sponsored Post_Trial-Link Ad-FreeAcctRetargetingOSSFB-Text-ChF CanvasOpener»1x1»SocialBan»SOC»ALL»CPC»LAL»D»UNK»SS»NA»Trials_ID"/>
        <s v="43358Facebook»Developers/ITPros-Azure Direct-Sponsored Post_Trial-Link Ad-FreeAcctRetargetingVMFB-750Hrs-ChD CanvasOpener»1x1»SocialBan»SOC»ALL»CPC»LAL»D»UNK»SS»NA»Trials_ID"/>
        <s v="43358Facebook»Developers/ITPros-Azure Direct-Sponsored Post_Trial-Link Ad-FreeAcctRetargetingVMFB-OnDemand-ChE CanvasOpener»1x1»SocialBan»SOC»ALL»CPC»LAL»D»UNK»SS»NA»Trials_ID"/>
        <s v="43358Facebook»Developers/ITPros-Azure Direct-Sponsored Post-Link Ad-FreeAcctAppsFACEBOOK12monthsChE»1x1»SocialBan»LIA»ALL»CPC»BT»X»UNK»SS»NA»Trials_ID"/>
        <s v="43358Facebook»Developers/ITPros-Azure Direct-Sponsored Post-Link Ad-FreeAcctAppsFACEBOOK200CreditChD»1x1»SocialBan»LIA»ALL»CPC»BT»X»UNK»SS»NA»Trials_ID"/>
        <s v="43358Facebook»Developers/ITPros-Azure Direct-Sponsored Post-Link Ad-FreeAcctAppsFACEBOOKDeviceChB»1x1»SocialBan»LIA»ALL»CPC»BT»X»UNK»SS»NA»Trials_ID"/>
        <s v="43358Facebook»Developers/ITPros-Azure Direct-Sponsored Post-Link Ad-FreeAcctAppsFACEBOOKIllustrationChC»1x1»SocialBan»LIA»ALL»CPC»BT»X»UNK»SS»NA»Trials_ID"/>
        <s v="43358Facebook»Developers/ITPros-Azure Direct-Sponsored Post-Link Ad-FreeAcctAppsFACEBOOKLifestyleChA»1x1»SocialBan»LIA»ALL»CPC»BT»X»UNK»SS»NA»Trials_ID"/>
        <s v="43358Facebook»Developers/ITPros-Azure Direct-Sponsored Post-Link Ad-FreeAcctRetargetingFB-GlobalAlt-ChB»1x1»SocialBan»LIA»ALL»CPC»BT»X»UNK»SS»NA»Trials_ID"/>
        <s v="43358Facebook»Developers/ITPros-Azure Direct-Sponsored Post-Link Ad-FreeAcctRetargetingOSSFB-Logos-ChG»1x1»SocialBan»LIA»ALL»CPC»BT»X»UNK»SS»NA»Trials_ID"/>
        <s v="43358Facebook»Developers/ITPros-Azure Direct-Sponsored Post-Link Ad-FreeAcctRetargetingOSSFB-Text-ChF»1x1»SocialBan»LIA»ALL»CPC»BT»X»UNK»SS»NA»Trials_ID"/>
        <s v="43358Facebook»Developers/ITPros-Azure Direct-Sponsored Post-Link Ad-FreeAcctRetargetingVMFB-750Hrs-ChD»1x1»SocialBan»LIA»ALL»CPC»BT»X»UNK»SS»NA»Trials_ID"/>
        <s v="43358Facebook»Developers/ITPros-Azure Direct-Sponsored Post-Link Ad-FreeAcctRetargetingVMFB-OnDemand-ChE»1x1»SocialBan»LIA»ALL»CPC»BT»X»UNK»SS»NA»Trials_ID"/>
        <s v="43358Facebook»Developers/ITPros-Azure Direct-Sponsored Post-Video Ad-FBCTCBasicMotion_FRA_10s_RTG Landing Page»1x1»10s»VIA»ALL»CPC»BT»X»UNK»SS»NA»Trials_ID"/>
        <s v="43358Facebook»Developers/ITPros-Azure Direct-Sponsored Post-Video Ad-FBCTCBenefit2inMotion_FRA_14s_RTG Landing Page»1x1»14s»VIA»ALL»CPC»BT»X»UNK»SS»NA»Trials_ID"/>
        <s v="43358Facebook»Developers/ITPros-Azure Direct-Sponsored Post-Video Ad-FBCTCBrandinMotion_FRA_12s_RTG Landing Page»1x1»12s»VIA»ALL»CPC»BT»X»UNK»SS»NA»Trials_ID"/>
        <s v="43358Facebook»ITPros-Azure Direct-Sponsored Post_Trial_PayGo-Video Ad-Free Account IT Pro - Hybrid»1x1»30s»SOC»ALL»CPC»LAL»D»UNK»SS»NA»Trials_ID"/>
        <s v="43358Facebook»ITPros-Azure Direct-Sponsored Post_Trial_PayGo-Video Ad-Free Account IT Pro - Migration»1x1»30s»SOC»ALL»CPC»LAL»D»UNK»SS»NA»Trials_ID"/>
        <s v="43358Facebook»ITPros-Azure Direct-Sponsored Post_Trial_PayGo-Video Ad-Free Account IT Pro - Secure»1x1»30s»SOC»ALL»CPC»LAL»D»UNK»SS»NA»Trials_ID"/>
        <s v="43358Facebook»ITPros-Azure Direct-Sponsored Post_Trial-Video Ad-Free Account IT Pro - Hybrid»1x1»30s»SOC»ALL»CPC»LAL»D»UNK»SS»NA»Trials_ID"/>
        <s v="43358Facebook»ITPros-Azure Direct-Sponsored Post_Trial-Video Ad-Free Account IT Pro - Hybrid»1x1»30s»SOC»ALL»CPC»RT»D»UNK»SS»NA»Trials_ID"/>
        <s v="43358Facebook»ITPros-Azure Direct-Sponsored Post_Trial-Video Ad-Free Account IT Pro - Migration»1x1»30s»SOC»ALL»CPC»LAL»D»UNK»SS»NA»Trials_ID"/>
        <s v="43358Facebook»ITPros-Azure Direct-Sponsored Post_Trial-Video Ad-Free Account IT Pro - Migration»1x1»30s»SOC»ALL»CPC»RT»D»UNK»SS»NA»Trials_ID"/>
        <s v="43358Facebook»ITPros-Azure Direct-Sponsored Post_Trial-Video Ad-Free Account IT Pro - Secure»1x1»30s»SOC»ALL»CPC»LAL»D»UNK»SS»NA»Trials_ID"/>
        <s v="43358Facebook»ITPros-Azure Direct-Sponsored Post_Trial-Video Ad-Free Account IT Pro - Secure»1x1»30s»SOC»ALL»CPC»RT»D»UNK»SS»NA»Trials_ID"/>
        <s v="43358Facebook»ITPros-Azure Direct-Sponsored Post-Video Ad-Free Account IT Pro - hybrid»1x1»30s»SOC»ALL»CPC»AUT»D»UNK»SS»NA»Trials_ID"/>
        <s v="43358Facebook»ITPros-Azure Direct-Sponsored Post-Video Ad-Free Account IT Pro - Migration»1x1»30s»SOC»ALL»CPC»AUT»D»UNK»SS»NA»Trials_ID"/>
        <s v="43358Facebook»ITPros-Azure Direct-Sponsored Post-Video Ad-Free Account IT Pro - Secure»1x1»30s»SOC»ALL»CPC»AUT»D»UNK»SS»NA»Trials_ID"/>
        <s v="43358Facebook»Retargeting»1x1»SocialBan»LIA»DT»DYN»RT»W»NA»SS»NA»Free Account Retargeting Generic- Animated ChC"/>
        <s v="43358Facebook»Retargeting»1x1»SocialBan»LIA»DT»DYN»RT»W»NA»SS»NA»Free Account Retargeting Generic- Global Alt ChB"/>
        <s v="43358Facebook»Retargeting»1x1»SocialBan»LIA»DT»DYN»RT»W»NA»SS»NA»Free Account Retargeting OSS- Logos ChG"/>
        <s v="43358Facebook»Retargeting»1x1»SocialBan»LIA»DT»DYN»RT»W»NA»SS»NA»Free Account Retargeting OSS- Text ChF"/>
        <s v="43358Facebook»Retargeting»1x1»SocialBan»LIA»DT»DYN»RT»W»NA»SS»NA»Free Account Retargeting VM- 750 Hrs ChD"/>
        <s v="43358Facebook»Retargeting»1x1»SocialBan»LIA»DT»DYN»RT»W»NA»SS»NA»Free Account Retargeting VM- On Demand ChE"/>
        <m/>
      </sharedItems>
    </cacheField>
    <cacheField name="Source" numFmtId="0">
      <sharedItems count="2" containsMixedTypes="1" containsSemiMixedTypes="1" containsString="1" containsNumber="0">
        <s v="Appended from Pub-Facebook"/>
        <m/>
      </sharedItems>
    </cacheField>
    <cacheField name="Weekend Date" numFmtId="0">
      <sharedItems count="2" containsMixedTypes="1" containsSemiMixedTypes="1" containsString="0" containsNumber="1">
        <n v="43358"/>
        <m/>
      </sharedItems>
    </cacheField>
    <cacheField name="Clean Market" numFmtId="0">
      <sharedItems count="6" containsMixedTypes="1" containsSemiMixedTypes="1" containsString="1" containsNumber="0">
        <s v="Canada"/>
        <s v="France"/>
        <s v="Germany"/>
        <s v="Japan"/>
        <s v="United Kingdom"/>
        <m/>
      </sharedItems>
    </cacheField>
    <cacheField name="Clean Ad Type" numFmtId="0">
      <sharedItems count="2" containsMixedTypes="1" containsSemiMixedTypes="1" containsString="1" containsNumber="0">
        <s v="Link"/>
        <m/>
      </sharedItems>
    </cacheField>
    <cacheField name="Campaign Name ID" numFmtId="0">
      <sharedItems count="6" containsMixedTypes="1" containsSemiMixedTypes="1" containsString="1" containsNumber="0">
        <s v="CAN_gaPMG_AZR_AZR_Q1_19_Trial-Social"/>
        <s v="DEU_gaPMG_AZR_AZR_Q1_19_Trial-Social- 39684"/>
        <s v="FRA_gaPMG_AZR_AZR_Q1_19_AzureDirect-Trial-Social"/>
        <s v="GBR_gaPMG_CE_AZR_Q1_19_Trial-Social"/>
        <s v="JPN_gaPMG_AZR_AZR_Q1_19_Trial-Social"/>
        <m/>
      </sharedItems>
    </cacheField>
    <cacheField name="Campaign ID" numFmtId="0">
      <sharedItems count="6" containsMixedTypes="1" containsSemiMixedTypes="1" containsString="0" containsNumber="1">
        <n v="21276694"/>
        <n v="21337013"/>
        <n v="21337220"/>
        <n v="21356941"/>
        <n v="21359477"/>
        <m/>
      </sharedItems>
    </cacheField>
    <cacheField name="Campaign External ID" numFmtId="0">
      <sharedItems count="6" containsMixedTypes="1" containsSemiMixedTypes="1" containsString="0" containsNumber="1">
        <n v="720192"/>
        <n v="720193"/>
        <n v="720194"/>
        <n v="720195"/>
        <n v="720196"/>
        <m/>
      </sharedItems>
    </cacheField>
    <cacheField name="Clean Publisher" numFmtId="0">
      <sharedItems count="2" containsMixedTypes="1" containsSemiMixedTypes="1" containsString="1" containsNumber="0">
        <s v="Facebook"/>
        <m/>
      </sharedItems>
    </cacheField>
    <cacheField name="Site ID" numFmtId="0">
      <sharedItems count="2" containsMixedTypes="1" containsSemiMixedTypes="1" containsString="1" containsNumber="0">
        <s v="3654128"/>
        <m/>
      </sharedItems>
    </cacheField>
    <cacheField name="Creative Name" numFmtId="0">
      <sharedItems count="71" containsMixedTypes="1" containsSemiMixedTypes="1" containsString="1" containsNumber="0">
        <s v="AZR_FBCTCBasicMotion_FRA_10s_VIA_AZRDirect_French_NA_Facebook_STAN_TIN_T1_1"/>
        <s v="AZR_FBCTCBenefit2inMotion_FRA_14s_VIA_AZRDirect_French_NA_Facebook_STAN_TIN_T4_1"/>
        <s v="AZR_FBCTCBrandinMotion_FRA_12s_VIA_AZRDirect_French_NA_Facebook_STAN_TIN_T2_1"/>
        <s v="AZR_FBCTCcanvaspage-BuyNowCTA-Img3_JPN_1080x162_SOC_Plat_Japanese_NA_Standard_NA_BN_T3_1"/>
        <s v="AZR_FreeAcctAppsFACEBOOK12monthsChE_FRA_1200x628_SOC_PLAT_FR_Trial_Standard_NA_SINU_T5_1"/>
        <s v="AZR_FreeAcctAppsFACEBOOK200CreditChD_FRA_1200x628_SOC_PLAT_FR_Trial_Standard_NA_SINU_T4_1"/>
        <s v="AZR_FreeAcctAppsFACEBOOKDeviceChB_FRA_1200x628_SOC_PLAT_FR_Trial_Standard_NA_SINU_T2_1"/>
        <s v="AZR_FreeAcctAppsFACEBOOKIllustrationChC_FRA_1200x628_SOC_PLAT_FR_Trial_Standard_NA_SINU_T3_1"/>
        <s v="AZR_FreeAcctAppsFACEBOOKLifestyleChA_FRA_1200x628_SOC_PLAT_FR_Trial_Standard_NA_SINU_T1_1"/>
        <s v="AZR_FreeAcctDeveloperFB-AnimatedAI-Ch3_FRA_1200x1200_VIA_AZRDirect_French_NA_Facebook_STAN_LEA_T3_1"/>
        <s v="AZR_FreeAcctDeveloperFB-AnimatedData-Ch4_FRA_1200x1200_VIA_AZRDirect_French_NA_Facebook_STAN_LEA_T4_1"/>
        <s v="AZR_FreeAcctDeveloperFB-AnimatedGeneric-Ch1_FRA_1200x1200_VIA_AZRDirect_French_NA_Facebook_STAN_LEA_T1_1"/>
        <s v="AZR_FreeAcctDeveloperFB-AnimatedOpenSource-Ch2_FRA_1200x1200_VIA_AZRDirect_French_NA_Facebook_STAN_LEA_T2_1"/>
        <s v="AZR_FreeAcctITProFB-AnimatedHybrid-Ch2_FRA_1200x1200_VIA_AZRDirect_French_NA_Facebook_STAN_LEA_T2_1"/>
        <s v="AZR_FreeAcctITProFB-AnimatedMigration-Ch3_FRA_1200x1200_VIA_AZRDirect_French_NA_Facebook_STAN_LEA_T3_1"/>
        <s v="AZR_FreeAcctITProFB-AnimatedSecureMngd-Ch1_FRA_1200x1200_VIA_AZRDirect_French_NA_Facebook_STAN_LEA_T1_1"/>
        <s v="AZR_FreeAcctRetargetingFB-GlobalAlt-ChB_FRA_1200x628_SOC_AZRDirect_French_NA_Facebook_SBAN_SINU_T2_1"/>
        <s v="AZR_FreeAcctRetargetingOSSFB-Logos-ChG_FRA_1200x628_SOC_AZRDirect_French_NA_Facebook_SBAN_SINU_T2_1"/>
        <s v="AZR_FreeAcctRetargetingOSSFB-Text-ChF_FRA_1200x628_SOC_AZRDirect_French_NA_Facebook_SBAN_SINU_T1_1"/>
        <s v="AZR_FreeAcctRetargetingVMFB-750Hrs-ChD_FRA_1200x628_SOC_AZRDirect_French_NA_Facebook_SBAN_SINU_T1_1"/>
        <s v="AZR_FreeAcctRetargetingVMFB-OnDemand-ChE_FRA_1200x628_SOC_AZRDirect_French_NA_Facebook_SBAN_SINU_T2_1"/>
        <s v="AZR_reeAcctRetargetingFB-Animated-ChC_FRA_1200x628_SOC_AZRDirect_French_NA_Facebook_SBAN_SINU_T3_1"/>
        <s v="AzurePlatform_FBCTCBasicMotion_CAN_10s_ISV_PLAT_English_Trial_Standard_STAN_TN_T1_1"/>
        <s v="AzurePlatform_FBCTCBasicMotion_CAN_10s_ISV_PLAT_FR_Trial_Standard_STAN_TN_T1_1"/>
        <s v="AzurePlatform_FBCTCBasicMotion-BuyNow_DEU_10s_ISV_PLAT_DE_Trial_Standard_STAN_TN_T1_1"/>
        <s v="AzurePlatform_FBCTCBenefit2inMotion_CAN_1080x1080_SOC_14s_ISV_English_Standard_NA_FTR_T4_1"/>
        <s v="AzurePlatform_FBCTCBenefit2inMotion_CAN_1080x1080_SOC_14s_ISV_FR_Standard_NA_FTR_T4_1"/>
        <s v="AzurePlatform_FBCTCBenefit2inMotion_CAN_14s_ISV_PLAT_English_Trial_Standard_STAN_TN_T4_1"/>
        <s v="AzurePlatform_FBCTCBenefit2inMotion_CAN_14s_ISV_PLAT_FR_Trial_Standard_STAN_TN_T4_1"/>
        <s v="AzurePlatform_FBCTCBrandinMotion_CAN_1080x1080_SOC_12s_ISV_English_Standard_NA_FTR_T2_1"/>
        <s v="AzurePlatform_FBCTCBrandinMotion_CAN_1080x1080_SOC_12s_ISV_FR_Standard_NA_FTR_T2_1"/>
        <s v="AzurePlatform_FBCTCBrandinMotion_CAN_12s_ISV_PLAT_English_Trial_Standard_STAN_TN_T2_1"/>
        <s v="AzurePlatform_FBCTCBrandinMotion_CAN_12s_ISV_PLAT_FR_Trial_Standard_STAN_TN_T2_1"/>
        <s v="AzurePlatform_FBCTCcanvaspage-BuyNowCTA-Img3_CAN_1080x162_SOC_Plat_English_NA_Standard_NA_BN_T3_1"/>
        <s v="AzurePlatform_FBCTCcanvaspage-BuyNowCTA-Img3_CAN_1080x162_SOC_Plat_French_NA_Standard_NA_BN_T3_1"/>
        <s v="AzurePlatform_FBCTCcanvaspage-BuyNowCTA-Img3_GBR_1080x162_SOC_Plat_English_NA_Standard_NA_BN_T3_1"/>
        <s v="AzurePlatform_FBCTCcanvaspage-BuyNowCTA-Img3_JPN_1080x162_SOC_Plat_Japanese_NA_Standard_NA_BN_T3_1"/>
        <s v="AzurePlatform_FBCTCcanvaspage-StartFreeCTA-Img2_GBR_1080x143 _SOC_Plat_English_NA_Standard_NA_NA_T2_1"/>
        <s v="AzurePlatform_FBCTCcanvaspage-StartFreeCTA-Img2_JPN_1080x143 _SOC_Plat_Japanese_NA_Standard_NA_NA_T2_1"/>
        <s v="AzurePlatform_FreeAcctAppsFACEBOOK12monthsChE_CAN_1200x628_SOC_PLAT_EN_Trial_Standard_NA_SU_T5_1.png"/>
        <s v="AzurePlatform_FreeAcctAppsFACEBOOK12monthsChE_CAN_1200x628_SOC_PLAT_FR_Trial_Standard_NA_SU_T5_1.png"/>
        <s v="AzurePlatform_FreeAcctAppsFACEBOOK200CreditChD_CAN_1200x628_SOC_PLAT_EN_Trial_Standard_NA_SU_T4_1.png"/>
        <s v="AzurePlatform_FreeAcctAppsFACEBOOK200CreditChD_CAN_1200x628_SOC_PLAT_FR_Trial_Standard_NA_SU_T4_1.png"/>
        <s v="AzurePlatform_FreeAcctAppsFACEBOOKDeviceChB_CAN_1200x628_SOC_PLAT_EN_Trial_Standard_NA_SU_T2_1.png"/>
        <s v="AzurePlatform_FreeAcctAppsFACEBOOKDeviceChB_CAN_1200x628_SOC_PLAT_FR_Trial_Standard_NA_SU_T2_1.png"/>
        <s v="AzurePlatform_FreeAcctAppsFACEBOOKIllustrationChC_CAN_1200x628_SOC_PLAT_EN_Trial_Standard_NA_SU_T3_1.png"/>
        <s v="AzurePlatform_FreeAcctAppsFACEBOOKIllustrationChC_CAN_1200x628_SOC_PLAT_FR_Trial_Standard_NA_SU_T3_1.png"/>
        <s v="AzurePlatform_FreeAcctAppsFACEBOOKIllustrationChC_GBR_1200x628_SOC_PLAT_EN_Trial_Standard_NA_SU_T3_1"/>
        <s v="AzurePlatform_FreeAcctAppsFACEBOOKLifestyleChA_CAN_1200x628_SOC_PLAT_EN_Trial_Standard_NA_SU_T1_1.png"/>
        <s v="AzurePlatform_FreeAcctAppsFACEBOOKLifestyleChA_CAN_1200x628_SOC_PLAT_FR_Trial_Standard_NA_SU_T1_1.png"/>
        <s v="AzurePlatform_FreeAcctRetargetingFB-Animated-ChC_CAN_1200x628_SOC_Plat_EN_Free Account_Standard_ANI_SU_T3_1"/>
        <s v="AzurePlatform_FreeAcctRetargetingFB-Animated-ChC_CAN_1200x628_SOC_Plat_FR_Free Account_Standard_ANI_SU_T3_1"/>
        <s v="AzurePlatform_FreeAcctRetargetingFB-Animated-ChC_DEU_1200x628_SOC_Plat_DE_Free Account_Standard_ANI_SNU_T3_1"/>
        <s v="AzurePlatform_FreeAcctRetargetingFB-Animated-ChC_GBR_1200x628_SOC_Plat_EN_Free Account_Standard_ANI_SU_T3_1"/>
        <s v="AzurePlatform_FreeAcctRetargetingFB-GlobalAlt-ChB_CAN_1200x628_SOC_Plat_EN_Free Account_Standard_NA_SU_T2_1"/>
        <s v="AzurePlatform_FreeAcctRetargetingFB-GlobalAlt-ChB_CAN_1200x628_SOC_Plat_FR_Free Account_Standard_NA_SU_T2_1"/>
        <s v="AzurePlatform_FreeAcctRetargetingFB-GlobalAlt-ChB_GBR_1200x628_SOC_Plat_EN_Free Account_Standard_NA_SU_T2_1"/>
        <s v="AzurePlatform_FreeAcctRetargetingOSSFB-Logos-ChG_CAN_1200x628_SOC_Plat_EN_Free Account_Standard_NA_SU_T2_1"/>
        <s v="AzurePlatform_FreeAcctRetargetingOSSFB-Logos-ChG_CAN_1200x628_SOC_Plat_FR_Free Account_Standard_NA_SU_T2_1"/>
        <s v="AzurePlatform_FreeAcctRetargetingOSSFB-Logos-ChG_GBR_1200x628_SOC_Plat_EN_Free Account_Standard_NA_SU_T2_1"/>
        <s v="AzurePlatform_FreeAcctRetargetingOSSFB-Text-ChF_CAN_1200x628_SOC_Plat_EN_Free Account_Standard_NA_SU_T1_1"/>
        <s v="AzurePlatform_FreeAcctRetargetingOSSFB-Text-ChF_CAN_1200x628_SOC_Plat_FR_Free Account_Standard_NA_SU_T1_1"/>
        <s v="AzurePlatform_FreeAcctRetargetingOSSFB-Text-ChF_GBR_1200x628_SOC_Plat_EN_Free Account_Standard_NA_SU_T1_1"/>
        <s v="AzurePlatform_FreeAcctRetargetingVMFB-750Hrs-ChD_CAN_1200x628_SOC_Plat_EN_Free Account_Standard_NA_SU_T1_1"/>
        <s v="AzurePlatform_FreeAcctRetargetingVMFB-750Hrs-ChD_CAN_1200x628_SOC_Plat_FR_Free Account_Standard_NA_SU_T1_1"/>
        <s v="AzurePlatform_FreeAcctRetargetingVMFB-750Hrs-ChD_GBR_1200x628_SOC_Plat_EN_Free Account_Standard_NA_SU_T1_1"/>
        <s v="AzurePlatform_FreeAcctRetargetingVMFB-OnDemand-ChE_CAN_1200x628_SOC_Plat_EN_Free Account_Standard_NA_SU_T2_1"/>
        <s v="AzurePlatform_FreeAcctRetargetingVMFB-OnDemand-ChE_CAN_1200x628_SOC_Plat_FR_Free Account_Standard_NA_SU_T2_1"/>
        <s v="AzurePlatform_FreeAcctRetargetingVMFB-OnDemand-ChE_GBR_1200x628_SOC_Plat_EN_Free Account_Standard_NA_SU_T2_1"/>
        <s v="void"/>
        <m/>
      </sharedItems>
    </cacheField>
    <cacheField name="Creative ID" numFmtId="0">
      <sharedItems count="71" containsMixedTypes="1" containsSemiMixedTypes="1" containsString="0" containsNumber="1">
        <n v="102609621"/>
        <n v="102630373"/>
        <n v="102853603"/>
        <n v="102854016"/>
        <n v="102854019"/>
        <n v="102854037"/>
        <n v="102857037"/>
        <n v="102861246"/>
        <n v="102900682"/>
        <n v="102900685"/>
        <n v="102900688"/>
        <n v="102900691"/>
        <n v="102900697"/>
        <n v="102901882"/>
        <n v="102901894"/>
        <n v="102902950"/>
        <n v="102902953"/>
        <n v="102902956"/>
        <n v="102902968"/>
        <n v="102902971"/>
        <n v="102902974"/>
        <n v="102913800"/>
        <n v="102916338"/>
        <n v="102916341"/>
        <n v="102916347"/>
        <n v="102916356"/>
        <n v="103006547"/>
        <n v="103048548"/>
        <n v="103053314"/>
        <n v="103053320"/>
        <n v="103053323"/>
        <n v="103053332"/>
        <n v="103058708"/>
        <n v="103058711"/>
        <n v="103058717"/>
        <n v="103058720"/>
        <n v="103058723"/>
        <n v="103058726"/>
        <n v="103230847"/>
        <n v="103235146"/>
        <n v="103235787"/>
        <n v="103256577"/>
        <n v="103257810"/>
        <n v="103259010"/>
        <n v="103259520"/>
        <n v="103259550"/>
        <n v="103259562"/>
        <n v="103259766"/>
        <n v="103259769"/>
        <n v="103259775"/>
        <n v="103259784"/>
        <n v="103376981"/>
        <n v="103376990"/>
        <n v="103377002"/>
        <n v="103377773"/>
        <n v="103789915"/>
        <n v="103902287"/>
        <n v="104060547"/>
        <n v="104455906"/>
        <n v="104456278"/>
        <n v="104458003"/>
        <n v="104458165"/>
        <n v="104537129"/>
        <n v="104537132"/>
        <n v="104537813"/>
        <n v="104537816"/>
        <n v="105127638"/>
        <n v="105130125"/>
        <n v="105130128"/>
        <n v="105216992"/>
        <m/>
      </sharedItems>
    </cacheField>
    <cacheField name="Channel" numFmtId="0">
      <sharedItems count="2" containsMixedTypes="1" containsSemiMixedTypes="1" containsString="1" containsNumber="0">
        <s v="Social"/>
        <m/>
      </sharedItems>
    </cacheField>
    <cacheField name="Date" numFmtId="0">
      <sharedItems count="8" containsMixedTypes="1" containsSemiMixedTypes="1" containsString="0" containsNumber="1">
        <n v="43352"/>
        <n v="43353"/>
        <n v="43354"/>
        <n v="43355"/>
        <n v="43356"/>
        <n v="43357"/>
        <n v="43358"/>
        <m/>
      </sharedItems>
    </cacheField>
    <cacheField name="DCM Campaign Name" numFmtId="0">
      <sharedItems count="6" containsMixedTypes="1" containsSemiMixedTypes="1" containsString="1" containsNumber="0">
        <s v="CAN_gaPMG_AZR_AZR_Q1_19_Trial"/>
        <s v="DEU_gaPMG_AZR_AZR_Q1_19_Trial-Social- 39684"/>
        <s v="FRA_gaPMG_AZR_AZR_Q1_19_AzureDirect-Trial-Social"/>
        <s v="GBR_gaPMG_CE_AZR_Q1_19_Trial-Social"/>
        <s v="JPN_gaPMG_AZR_AZR_Q1_19_Trial-Social"/>
        <m/>
      </sharedItems>
    </cacheField>
    <cacheField name="Market" numFmtId="0">
      <sharedItems count="6" containsMixedTypes="1" containsSemiMixedTypes="1" containsString="1" containsNumber="0">
        <s v="Canada"/>
        <s v="FRA"/>
        <s v="Germany"/>
        <s v="JP"/>
        <s v="UK"/>
        <m/>
      </sharedItems>
    </cacheField>
    <cacheField name="GEP" numFmtId="0">
      <sharedItems count="6" containsMixedTypes="1" containsSemiMixedTypes="1" containsString="1" containsNumber="0">
        <s v="AZP"/>
        <s v="AZR"/>
        <s v="Azure Direct"/>
        <s v="OSS"/>
        <s v="Platform"/>
        <m/>
      </sharedItems>
    </cacheField>
    <cacheField name="KPI" numFmtId="0">
      <sharedItems count="3" containsMixedTypes="1" containsSemiMixedTypes="1" containsString="1" containsNumber="0">
        <s v="Trial"/>
        <s v="Trials"/>
        <m/>
      </sharedItems>
    </cacheField>
    <cacheField name="Site " numFmtId="0">
      <sharedItems count="3" containsMixedTypes="1" containsSemiMixedTypes="1" containsString="1" containsNumber="0">
        <s v="Facebook"/>
        <s v="Facebook (Canvas Ads)"/>
        <m/>
      </sharedItems>
    </cacheField>
    <cacheField name="Ad Type" numFmtId="0">
      <sharedItems count="6" containsMixedTypes="1" containsSemiMixedTypes="1" containsString="1" containsNumber="0">
        <s v="Canvas Ad"/>
        <s v="Link"/>
        <s v="Link Ad"/>
        <s v="Video Canvas"/>
        <s v="Video Link Ad"/>
        <m/>
      </sharedItems>
    </cacheField>
    <cacheField name=" DCM Placement ID" numFmtId="0">
      <sharedItems count="107" containsMixedTypes="1" containsSemiMixedTypes="1" containsString="1" containsNumber="1">
        <n v="223297413"/>
        <n v="223298805"/>
        <n v="223560299"/>
        <n v="223560332"/>
        <n v="223560338"/>
        <n v="223560344"/>
        <n v="223560347"/>
        <n v="223560350"/>
        <n v="223560356"/>
        <n v="223684451"/>
        <n v="223691762"/>
        <n v="223691765"/>
        <n v="223691768"/>
        <n v="223691771"/>
        <n v="223691774"/>
        <n v="223691777"/>
        <n v="223691780"/>
        <n v="223691783"/>
        <n v="223691786"/>
        <n v="223691789"/>
        <n v="223691792"/>
        <n v="223691795"/>
        <n v="223691798"/>
        <n v="223691801"/>
        <n v="223691804"/>
        <n v="223691807"/>
        <n v="223691810"/>
        <n v="223691813"/>
        <n v="223691816"/>
        <n v="223691819"/>
        <n v="223691822"/>
        <n v="223691825"/>
        <n v="223691828"/>
        <n v="223691831"/>
        <n v="223691834"/>
        <n v="223691837"/>
        <n v="223691840"/>
        <n v="224334170"/>
        <n v="224399962"/>
        <n v="224416915"/>
        <n v="224549481"/>
        <n v="224560833"/>
        <n v="224560836"/>
        <n v="224560839"/>
        <n v="224560842"/>
        <n v="224560845"/>
        <n v="224560851"/>
        <n v="224560854"/>
        <n v="224560857"/>
        <n v="224560860"/>
        <n v="224560863"/>
        <n v="224560866"/>
        <n v="224560875"/>
        <n v="225322324"/>
        <n v="225322327"/>
        <n v="226269941"/>
        <n v="226359881"/>
        <n v="226359884"/>
        <n v="226359887"/>
        <n v="226359935"/>
        <n v="226359938"/>
        <n v="226359941"/>
        <n v="226359944"/>
        <n v="226359947"/>
        <n v="226359950"/>
        <n v="226359953"/>
        <n v="226359956"/>
        <n v="226359959"/>
        <n v="226359962"/>
        <n v="226359965"/>
        <n v="226359968"/>
        <n v="226359971"/>
        <n v="226359995"/>
        <n v="226360001"/>
        <n v="226360007"/>
        <n v="226360010"/>
        <n v="226360013"/>
        <n v="226360016"/>
        <n v="226360019"/>
        <n v="226360022"/>
        <n v="226360028"/>
        <n v="226360031"/>
        <n v="226360034"/>
        <n v="226360037"/>
        <n v="226360040"/>
        <n v="226420298"/>
        <n v="226496095"/>
        <n v="226496098"/>
        <n v="226496101"/>
        <n v="226496104"/>
        <n v="226496107"/>
        <n v="226496137"/>
        <n v="226496140"/>
        <n v="226496143"/>
        <n v="226496146"/>
        <n v="226887148"/>
        <n v="226889143"/>
        <n v="227035833"/>
        <n v="227036847"/>
        <n v="227208508"/>
        <n v="227522762"/>
        <n v="227522771"/>
        <n v="227525720"/>
        <n v="227618695"/>
        <s v="224009494"/>
        <s v="224010415"/>
        <m/>
      </sharedItems>
    </cacheField>
    <cacheField name="Placement Name" numFmtId="0">
      <sharedItems count="107" containsMixedTypes="1" containsSemiMixedTypes="1" containsString="1" containsNumber="0">
        <s v="Facebook»Audience &amp; Interest Targeting- Azure Trial Lookalikes»1x1»TextLink»CAN»MO»CPM»AUT»W»NA»SS»NA»Free Account IT Pro- Hybrid"/>
        <s v="Facebook»Audience &amp; Interest Targeting- Azure Trial Lookalikes»1x1»TextLink»CAN»MO»CPM»AUT»W»NA»SS»NA»Free Account IT Pro- Migration"/>
        <s v="Facebook»Audience &amp; Interest Targeting- Azure Trial Lookalikes»1x1»TextLink»CAN»MO»CPM»AUT»W»NA»SS»NA»Free Account IT Pro- Secure"/>
        <s v="Facebook»Audience &amp; Interest Targeting- Azure Trial PayGo Lookalikes»1x1»TextLink»CAN»MO»CPM»AUT»W»NA»SS»NA»Free Account IT Pro- Hybrid"/>
        <s v="Facebook»Audience &amp; Interest Targeting»1x1»SocialBan»LIA»DT»CPC»AUT»W»NA»SS»NA»Basic Motion"/>
        <s v="Facebook»Audience &amp; Interest Targeting»1x1»SocialBan»LIA»DT»CPC»AUT»W»NA»SS»NA»Benefit 2 in Motion"/>
        <s v="Facebook»Audience &amp; Interest Targeting»1x1»SocialBan»LIA»DT»CPC»AUT»W»NA»SS»NA»Brand in Motion"/>
        <s v="Facebook»Audience &amp; Interest Targeting»1x1»SocialBan»LIA»DT»DYN»AUT»W»NA»SS»NA»Free Account Refresh- Illustration ChC"/>
        <s v="Facebook»AZP-Canvas-iine-Trial»1x1»Canvas»SOC»MO»CPM»AUT»W»NA»SS»NA»Canvas-Trial"/>
        <s v="Facebook»AZP-Canvas-Interest&amp;Role-Trial»1x1»Canvas»OTH»MO»CPM»PRO»X»UNK»TP»OT»Canvas-Trial"/>
        <s v="Facebook»AZP-Canvas-Look a Like-Trial»1x1»Canvas»OTH»MO»CPM»PRO»X»UNK»TP»OT»Canvas-Trial"/>
        <s v="Facebook»AZP-Canvas-Retargeting-Trial»1x1»Canvas»SOC»MO»CPM»PRO»W»UNK»SS»OT»Canvas-Trial"/>
        <s v="Facebook»AZR»1x1»NA»EGV»ALL»DYN»AUT»D»All»SS»NA»Free Acc CTC - T1 - EN"/>
        <s v="Facebook»AZR»1x1»NA»EGV»ALL»DYN»AUT»D»All»SS»NA»Free Acc CTC - T1 - FR"/>
        <s v="Facebook»AZR»1x1»NA»EGV»ALL»DYN»AUT»D»All»SS»NA»Free Acc CTC - T2 - EN"/>
        <s v="Facebook»AZR»1x1»NA»EGV»ALL»DYN»AUT»D»All»SS»NA»Free Acc CTC - T2 - FR"/>
        <s v="Facebook»AZR»1x1»NA»EGV»ALL»DYN»AUT»D»All»SS»NA»Free Acc CTC - T4 - EN"/>
        <s v="Facebook»AZR»1x1»NA»EGV»ALL»DYN»AUT»D»All»SS»NA»Free Acc CTC - T4 - FR"/>
        <s v="Facebook»AZR»1x1»NA»NA»ALL»DYN»AUT»D»All»SS»NA»Free Account Create to Convert FB - Canvas - Benefit - Start Free - EN"/>
        <s v="Facebook»AZR»1x1»NA»NA»ALL»DYN»AUT»D»All»SS»NA»Free Account Create to Convert FB - Canvas - Benefit - Start Free - FR"/>
        <s v="Facebook»AZR»1x1»NA»NA»ALL»DYN»AUT»D»All»SS»NA»Free Account Create to Convert FB - Canvas - Brand - Start Free - EN"/>
        <s v="Facebook»AZR»1x1»NA»NA»ALL»DYN»AUT»D»All»SS»NA»Free Account Create to Convert FB - Canvas - Brand - Start Free - FR"/>
        <s v="Facebook»AZR»1x1»NA»SOC»ALL»DYN»PRO»D»All»SS»NA»Canvas - Buy Now - EN"/>
        <s v="Facebook»AZR»1x1»NA»SOC»ALL»DYN»PRO»D»All»SS»NA»Canvas - Buy Now - FR"/>
        <s v="Facebook»AZR»1x1»SocialBan»NA»ALL»DYN»AUT»D»All»SS»NA»Free Acc Refresh - T1 - EN"/>
        <s v="Facebook»AZR»1x1»SocialBan»NA»ALL»DYN»AUT»D»All»SS»NA»Free Acc Refresh - T1 - FR"/>
        <s v="Facebook»AZR»1x1»SocialBan»NA»ALL»DYN»AUT»D»All»SS»NA»Free Acc Refresh - T2 - EN"/>
        <s v="Facebook»AZR»1x1»SocialBan»NA»ALL»DYN»AUT»D»All»SS»NA»Free Acc Refresh - T2 - FR"/>
        <s v="Facebook»AZR»1x1»SocialBan»NA»ALL»DYN»AUT»D»All»SS»NA»Free Acc Refresh - T3 - EN"/>
        <s v="Facebook»AZR»1x1»SocialBan»NA»ALL»DYN»AUT»D»All»SS»NA»Free Acc Refresh - T3 - FR"/>
        <s v="Facebook»AZR»1x1»SocialBan»NA»ALL»DYN»AUT»D»All»SS»NA»Free Acc Refresh - T4 - EN"/>
        <s v="Facebook»AZR»1x1»SocialBan»NA»ALL»DYN»AUT»D»All»SS»NA»Free Acc Refresh - T4 - FR"/>
        <s v="Facebook»AZR»1x1»SocialBan»NA»ALL»DYN»AUT»D»All»SS»NA»Free Acc Refresh - T5 - EN"/>
        <s v="Facebook»AZR»1x1»SocialBan»NA»ALL»DYN»AUT»D»All»SS»NA»Free Acc Refresh - T5 - FR"/>
        <s v="Facebook»AZR»1x1»SocialBan»NA»ALL»DYN»RT»D»All»SS»NA» Free Account Retargeting OSS - T1 - EN"/>
        <s v="Facebook»AZR»1x1»SocialBan»NA»ALL»DYN»RT»D»All»SS»NA» Free Account Retargeting OSS - T1 - FR"/>
        <s v="Facebook»AZR»1x1»SocialBan»NA»ALL»DYN»RT»D»All»SS»NA» Free Account Retargeting OSS - T2 - EN"/>
        <s v="Facebook»AZR»1x1»SocialBan»NA»ALL»DYN»RT»D»All»SS»NA» Free Account Retargeting OSS - T2 - FR"/>
        <s v="Facebook»AZR»1x1»SocialBan»NA»ALL»DYN»RT»D»All»SS»NA»Free Account Retargeting Generic - T2 - EN"/>
        <s v="Facebook»AZR»1x1»SocialBan»NA»ALL»DYN»RT»D»All»SS»NA»Free Account Retargeting Generic - T2 - FR"/>
        <s v="Facebook»AZR»1x1»SocialBan»NA»ALL»DYN»RT»D»All»SS»NA»Free Account Retargeting Generic - T3 - EN"/>
        <s v="Facebook»AZR»1x1»SocialBan»NA»ALL»DYN»RT»D»All»SS»NA»Free Account Retargeting Generic - T3 - FR"/>
        <s v="Facebook»AZR»1x1»SocialBan»NA»ALL»DYN»RT»D»All»SS»NA»Free Account Retargeting VM - T1 - EN"/>
        <s v="Facebook»AZR»1x1»SocialBan»NA»ALL»DYN»RT»D»All»SS»NA»Free Account Retargeting VM - T1 - FR"/>
        <s v="Facebook»AZR»1x1»SocialBan»NA»ALL»DYN»RT»D»All»SS»NA»Free Account Retargeting VM - T2 - EN"/>
        <s v="Facebook»AZR»1x1»SocialBan»NA»ALL»DYN»RT»D»All»SS»NA»Free Account Retargeting VM - T2 - FR"/>
        <s v="Facebook»DEV-ITP-AZR-FB|CanvasAds|Interesttargeting»1x1»TextLink»CAN»DT»CPM»AUT»W»NA»SS»NA»39684020-11000"/>
        <s v="Facebook»DEV-ITP-AZR-FB|LinkAd|CustomerAudienceRetargeting»1x1»TextLink»LIA»DT»CPM»RT»W»NA»SS»NA»39684019-11000"/>
        <s v="Facebook»Developers-Azure Direct-Sponsored Post_Trial_PayGo-Video Ad-Free Account Developer - AI»1x1»30s»SOC»ALL»CPC»LAL»D»UNK»SS»NA»Trials_ID"/>
        <s v="Facebook»Developers-Azure Direct-Sponsored Post_Trial_PayGo-Video Ad-Free Account Developer - Generic»1x1»30s»SOC»ALL»CPC»LAL»D»UNK»SS»NA»Trials_ID"/>
        <s v="Facebook»Developers-Azure Direct-Sponsored Post_Trial_PayGo-Video Ad-Free Account Developer - Intelligent Data»1x1»30s»SOC»ALL»CPC»LAL»D»UNK»SS»NA»Trials_ID"/>
        <s v="Facebook»Developers-Azure Direct-Sponsored Post_Trial_PayGo-Video Ad-Free Account Developer - Open Source»1x1»30s»SOC»ALL»CPC»LAL»D»UNK»SS»NA»Trials_ID"/>
        <s v="Facebook»Developers-Azure Direct-Sponsored Post_Trial-Video Ad-Free Account Developer - AI»1x1»30s»SOC»ALL»CPC»LAL»D»UNK»SS»NA»Trials_ID"/>
        <s v="Facebook»Developers-Azure Direct-Sponsored Post_Trial-Video Ad-Free Account Developer - AI»1x1»30s»SOC»ALL»CPC»RT»D»UNK»SS»NA»Trials_ID"/>
        <s v="Facebook»Developers-Azure Direct-Sponsored Post_Trial-Video Ad-Free Account Developer - Generic»1x1»30s»SOC»ALL»CPC»LAL»D»UNK»SS»NA»Trials_ID"/>
        <s v="Facebook»Developers-Azure Direct-Sponsored Post_Trial-Video Ad-Free Account Developer - Generic»1x1»30s»SOC»ALL»CPC»RT»D»UNK»SS»NA»Trials_ID"/>
        <s v="Facebook»Developers-Azure Direct-Sponsored Post_Trial-Video Ad-Free Account Developer - Intelligent Data»1x1»30s»SOC»ALL»CPC»LAL»D»UNK»SS»NA»Trials_ID"/>
        <s v="Facebook»Developers-Azure Direct-Sponsored Post_Trial-Video Ad-Free Account Developer - Intelligent Data»1x1»30s»SOC»ALL»CPC»RT»D»UNK»SS»NA»Trials_ID"/>
        <s v="Facebook»Developers-Azure Direct-Sponsored Post_Trial-Video Ad-Free Account Developer - Open Source»1x1»30s»SOC»ALL»CPC»RT»D»UNK»SS»NA»Trials_ID"/>
        <s v="Facebook»Developers-Azure Direct-Sponsored Post-Video Ad-Free Account Developer - AI»1x1»30s»SOC»ALL»CPC»BT»D»UNK»SS»NA»Trials_ID"/>
        <s v="Facebook»Developers-Azure Direct-Sponsored Post-Video Ad-Free Account Developer - Generic»1x1»30s»SOC»ALL»CPC»BT»D»UNK»SS»NA»Trials_ID"/>
        <s v="Facebook»Developers-Azure Direct-Sponsored Post-Video Ad-Free Account Developer - Intelligent Data»1x1»30s»SOC»ALL»CPC»BT»D»UNK»SS»NA»Trials_ID"/>
        <s v="Facebook»Developers-Azure Direct-Sponsored Post-Video Ad-Free Account Developer - Open Source»1x1»30s»SOC»ALL»CPC»BT»D»UNK»SS»NA»Trials_ID"/>
        <s v="Facebook»Developers/ITPros-Azure Direct-Sponsored Post_Trial_PayGo-Link Ad-FreeAcctRetargetingFB-Animated-ChC CanvasOpener»1x1»SocialBan»SOC»ALL»CPC»LAL»D»UNK»SS»NA»Trials_ID"/>
        <s v="Facebook»Developers/ITPros-Azure Direct-Sponsored Post_Trial_PayGo-Link Ad-FreeAcctRetargetingFB-GlobalAlt-ChB_RTG CanvasOpener»1x1»SocialBan»SOC»ALL»CPC»LAL»D»UNK»SS»NA»Trials_ID"/>
        <s v="Facebook»Developers/ITPros-Azure Direct-Sponsored Post_Trial_PayGo-Link Ad-FreeAcctRetargetingOSSFB-Logos-ChG CanvasOpener»1x1»SocialBan»SOC»ALL»CPC»LAL»D»UNK»SS»NA»Trials_ID"/>
        <s v="Facebook»Developers/ITPros-Azure Direct-Sponsored Post_Trial_PayGo-Link Ad-FreeAcctRetargetingOSSFB-Text-ChF CanvasOpener»1x1»SocialBan»SOC»ALL»CPC»LAL»D»UNK»SS»NA»Trials_ID"/>
        <s v="Facebook»Developers/ITPros-Azure Direct-Sponsored Post_Trial_PayGo-Link Ad-FreeAcctRetargetingVMFB-750Hrs-ChD CanvasOpener»1x1»SocialBan»SOC»ALL»CPC»LAL»D»UNK»SS»NA»Trials_ID"/>
        <s v="Facebook»Developers/ITPros-Azure Direct-Sponsored Post_Trial_PayGo-Link Ad-FreeAcctRetargetingVMFB-OnDemand-ChE CanvasOpener»1x1»SocialBan»SOC»ALL»CPC»LAL»D»UNK»SS»NA»Trials_ID"/>
        <s v="Facebook»Developers/ITPros-Azure Direct-Sponsored Post_Trial-Link Ad-FreeAcctRetargetingFB-Animated-ChC CanvasOpener»1x1»SocialBan»SOC»ALL»CPC»LAL»D»UNK»SS»NA»Trials_ID"/>
        <s v="Facebook»Developers/ITPros-Azure Direct-Sponsored Post_Trial-Link Ad-FreeAcctRetargetingFB-GlobalAlt-ChB_RTG CanvasOpener»1x1»SocialBan»SOC»ALL»CPC»LAL»D»UNK»SS»NA»Trials_ID"/>
        <s v="Facebook»Developers/ITPros-Azure Direct-Sponsored Post_Trial-Link Ad-FreeAcctRetargetingOSSFB-Logos-ChG CanvasOpener»1x1»SocialBan»SOC»ALL»CPC»LAL»D»UNK»SS»NA»Trials_ID"/>
        <s v="Facebook»Developers/ITPros-Azure Direct-Sponsored Post_Trial-Link Ad-FreeAcctRetargetingOSSFB-Text-ChF CanvasOpener»1x1»SocialBan»SOC»ALL»CPC»LAL»D»UNK»SS»NA»Trials_ID"/>
        <s v="Facebook»Developers/ITPros-Azure Direct-Sponsored Post_Trial-Link Ad-FreeAcctRetargetingVMFB-750Hrs-ChD CanvasOpener»1x1»SocialBan»SOC»ALL»CPC»LAL»D»UNK»SS»NA»Trials_ID"/>
        <s v="Facebook»Developers/ITPros-Azure Direct-Sponsored Post_Trial-Link Ad-FreeAcctRetargetingVMFB-OnDemand-ChE CanvasOpener»1x1»SocialBan»SOC»ALL»CPC»LAL»D»UNK»SS»NA»Trials_ID"/>
        <s v="Facebook»Developers/ITPros-Azure Direct-Sponsored Post-Link Ad-FreeAcctAppsFACEBOOK12monthsChE»1x1»SocialBan»LIA»ALL»CPC»BT»X»UNK»SS»NA»Trials_ID"/>
        <s v="Facebook»Developers/ITPros-Azure Direct-Sponsored Post-Link Ad-FreeAcctAppsFACEBOOK200CreditChD»1x1»SocialBan»LIA»ALL»CPC»BT»X»UNK»SS»NA»Trials_ID"/>
        <s v="Facebook»Developers/ITPros-Azure Direct-Sponsored Post-Link Ad-FreeAcctAppsFACEBOOKDeviceChB»1x1»SocialBan»LIA»ALL»CPC»BT»X»UNK»SS»NA»Trials_ID"/>
        <s v="Facebook»Developers/ITPros-Azure Direct-Sponsored Post-Link Ad-FreeAcctAppsFACEBOOKIllustrationChC»1x1»SocialBan»LIA»ALL»CPC»BT»X»UNK»SS»NA»Trials_ID"/>
        <s v="Facebook»Developers/ITPros-Azure Direct-Sponsored Post-Link Ad-FreeAcctAppsFACEBOOKLifestyleChA»1x1»SocialBan»LIA»ALL»CPC»BT»X»UNK»SS»NA»Trials_ID"/>
        <s v="Facebook»Developers/ITPros-Azure Direct-Sponsored Post-Link Ad-FreeAcctRetargetingFB-GlobalAlt-ChB»1x1»SocialBan»LIA»ALL»CPC»BT»X»UNK»SS»NA»Trials_ID"/>
        <s v="Facebook»Developers/ITPros-Azure Direct-Sponsored Post-Link Ad-FreeAcctRetargetingOSSFB-Logos-ChG»1x1»SocialBan»LIA»ALL»CPC»BT»X»UNK»SS»NA»Trials_ID"/>
        <s v="Facebook»Developers/ITPros-Azure Direct-Sponsored Post-Link Ad-FreeAcctRetargetingOSSFB-Text-ChF»1x1»SocialBan»LIA»ALL»CPC»BT»X»UNK»SS»NA»Trials_ID"/>
        <s v="Facebook»Developers/ITPros-Azure Direct-Sponsored Post-Link Ad-FreeAcctRetargetingVMFB-750Hrs-ChD»1x1»SocialBan»LIA»ALL»CPC»BT»X»UNK»SS»NA»Trials_ID"/>
        <s v="Facebook»Developers/ITPros-Azure Direct-Sponsored Post-Link Ad-FreeAcctRetargetingVMFB-OnDemand-ChE»1x1»SocialBan»LIA»ALL»CPC»BT»X»UNK»SS»NA»Trials_ID"/>
        <s v="Facebook»Developers/ITPros-Azure Direct-Sponsored Post-Video Ad-FBCTCBasicMotion_FRA_10s_RTG Landing Page»1x1»10s»VIA»ALL»CPC»BT»X»UNK»SS»NA»Trials_ID"/>
        <s v="Facebook»Developers/ITPros-Azure Direct-Sponsored Post-Video Ad-FBCTCBenefit2inMotion_FRA_14s_RTG Landing Page»1x1»14s»VIA»ALL»CPC»BT»X»UNK»SS»NA»Trials_ID"/>
        <s v="Facebook»Developers/ITPros-Azure Direct-Sponsored Post-Video Ad-FBCTCBrandinMotion_FRA_12s_RTG Landing Page»1x1»12s»VIA»ALL»CPC»BT»X»UNK»SS»NA»Trials_ID"/>
        <s v="Facebook»ITPros-Azure Direct-Sponsored Post_Trial_PayGo-Video Ad-Free Account IT Pro - Hybrid»1x1»30s»SOC»ALL»CPC»LAL»D»UNK»SS»NA»Trials_ID"/>
        <s v="Facebook»ITPros-Azure Direct-Sponsored Post_Trial_PayGo-Video Ad-Free Account IT Pro - Migration»1x1»30s»SOC»ALL»CPC»LAL»D»UNK»SS»NA»Trials_ID"/>
        <s v="Facebook»ITPros-Azure Direct-Sponsored Post_Trial_PayGo-Video Ad-Free Account IT Pro - Secure»1x1»30s»SOC»ALL»CPC»LAL»D»UNK»SS»NA»Trials_ID"/>
        <s v="Facebook»ITPros-Azure Direct-Sponsored Post_Trial-Video Ad-Free Account IT Pro - Hybrid»1x1»30s»SOC»ALL»CPC»LAL»D»UNK»SS»NA»Trials_ID"/>
        <s v="Facebook»ITPros-Azure Direct-Sponsored Post_Trial-Video Ad-Free Account IT Pro - Hybrid»1x1»30s»SOC»ALL»CPC»RT»D»UNK»SS»NA»Trials_ID"/>
        <s v="Facebook»ITPros-Azure Direct-Sponsored Post_Trial-Video Ad-Free Account IT Pro - Migration»1x1»30s»SOC»ALL»CPC»LAL»D»UNK»SS»NA»Trials_ID"/>
        <s v="Facebook»ITPros-Azure Direct-Sponsored Post_Trial-Video Ad-Free Account IT Pro - Migration»1x1»30s»SOC»ALL»CPC»RT»D»UNK»SS»NA»Trials_ID"/>
        <s v="Facebook»ITPros-Azure Direct-Sponsored Post_Trial-Video Ad-Free Account IT Pro - Secure»1x1»30s»SOC»ALL»CPC»LAL»D»UNK»SS»NA»Trials_ID"/>
        <s v="Facebook»ITPros-Azure Direct-Sponsored Post_Trial-Video Ad-Free Account IT Pro - Secure»1x1»30s»SOC»ALL»CPC»RT»D»UNK»SS»NA»Trials_ID"/>
        <s v="Facebook»ITPros-Azure Direct-Sponsored Post-Video Ad-Free Account IT Pro - hybrid»1x1»30s»SOC»ALL»CPC»AUT»D»UNK»SS»NA»Trials_ID"/>
        <s v="Facebook»ITPros-Azure Direct-Sponsored Post-Video Ad-Free Account IT Pro - Migration»1x1»30s»SOC»ALL»CPC»AUT»D»UNK»SS»NA»Trials_ID"/>
        <s v="Facebook»ITPros-Azure Direct-Sponsored Post-Video Ad-Free Account IT Pro - Secure»1x1»30s»SOC»ALL»CPC»AUT»D»UNK»SS»NA»Trials_ID"/>
        <s v="Facebook»Retargeting»1x1»SocialBan»LIA»DT»DYN»RT»W»NA»SS»NA»Free Account Retargeting Generic- Animated ChC"/>
        <s v="Facebook»Retargeting»1x1»SocialBan»LIA»DT»DYN»RT»W»NA»SS»NA»Free Account Retargeting Generic- Global Alt ChB"/>
        <s v="Facebook»Retargeting»1x1»SocialBan»LIA»DT»DYN»RT»W»NA»SS»NA»Free Account Retargeting OSS- Logos ChG"/>
        <s v="Facebook»Retargeting»1x1»SocialBan»LIA»DT»DYN»RT»W»NA»SS»NA»Free Account Retargeting OSS- Text ChF"/>
        <s v="Facebook»Retargeting»1x1»SocialBan»LIA»DT»DYN»RT»W»NA»SS»NA»Free Account Retargeting VM- 750 Hrs ChD"/>
        <s v="Facebook»Retargeting»1x1»SocialBan»LIA»DT»DYN»RT»W»NA»SS»NA»Free Account Retargeting VM- On Demand ChE"/>
        <m/>
      </sharedItems>
    </cacheField>
    <cacheField name="Publisher Impressions" numFmtId="0">
      <sharedItems count="282" containsMixedTypes="1" containsSemiMixedTypes="1" containsString="0" containsNumber="1">
        <n v="0"/>
        <n v="1"/>
        <n v="2"/>
        <n v="3"/>
        <n v="4"/>
        <n v="5"/>
        <n v="6"/>
        <n v="7"/>
        <n v="8"/>
        <n v="9"/>
        <n v="10"/>
        <n v="15"/>
        <n v="19"/>
        <n v="22"/>
        <n v="23"/>
        <n v="26"/>
        <n v="30"/>
        <n v="32"/>
        <n v="39"/>
        <n v="51"/>
        <n v="52"/>
        <n v="53"/>
        <n v="58"/>
        <n v="59"/>
        <n v="63"/>
        <n v="67"/>
        <n v="70"/>
        <n v="71"/>
        <n v="78"/>
        <n v="79"/>
        <n v="95"/>
        <n v="99"/>
        <n v="103"/>
        <n v="105"/>
        <n v="106"/>
        <n v="108"/>
        <n v="114"/>
        <n v="117"/>
        <n v="124"/>
        <n v="126"/>
        <n v="133"/>
        <n v="140"/>
        <n v="144"/>
        <n v="147"/>
        <n v="148"/>
        <n v="152"/>
        <n v="165"/>
        <n v="166"/>
        <n v="174"/>
        <n v="191"/>
        <n v="193"/>
        <n v="196"/>
        <n v="201"/>
        <n v="209"/>
        <n v="210"/>
        <n v="217"/>
        <n v="218"/>
        <n v="222"/>
        <n v="225"/>
        <n v="231"/>
        <n v="232"/>
        <n v="236"/>
        <n v="241"/>
        <n v="245"/>
        <n v="248"/>
        <n v="250"/>
        <n v="258"/>
        <n v="260"/>
        <n v="261"/>
        <n v="265"/>
        <n v="268"/>
        <n v="276"/>
        <n v="278"/>
        <n v="286"/>
        <n v="292"/>
        <n v="315"/>
        <n v="316"/>
        <n v="331"/>
        <n v="340"/>
        <n v="355"/>
        <n v="364"/>
        <n v="375"/>
        <n v="377"/>
        <n v="385"/>
        <n v="386"/>
        <n v="394"/>
        <n v="404"/>
        <n v="417"/>
        <n v="430"/>
        <n v="438"/>
        <n v="449"/>
        <n v="466"/>
        <n v="474"/>
        <n v="477"/>
        <n v="483"/>
        <n v="489"/>
        <n v="499"/>
        <n v="500"/>
        <n v="512"/>
        <n v="514.92"/>
        <n v="520"/>
        <n v="527"/>
        <n v="530"/>
        <n v="555"/>
        <n v="556"/>
        <n v="559"/>
        <n v="561"/>
        <n v="562"/>
        <n v="586"/>
        <n v="608"/>
        <n v="613"/>
        <n v="620"/>
        <n v="623"/>
        <n v="631"/>
        <n v="644"/>
        <n v="651"/>
        <n v="662"/>
        <n v="663"/>
        <n v="666"/>
        <n v="675"/>
        <n v="681"/>
        <n v="683"/>
        <n v="709"/>
        <n v="723"/>
        <n v="770"/>
        <n v="790"/>
        <n v="799"/>
        <n v="803"/>
        <n v="804"/>
        <n v="826"/>
        <n v="839"/>
        <n v="847"/>
        <n v="868"/>
        <n v="869"/>
        <n v="890"/>
        <n v="910"/>
        <n v="923"/>
        <n v="937"/>
        <n v="946"/>
        <n v="984"/>
        <n v="1016"/>
        <n v="1029"/>
        <n v="1030"/>
        <n v="1073"/>
        <n v="1083"/>
        <n v="1095"/>
        <n v="1123"/>
        <n v="1137"/>
        <n v="1152"/>
        <n v="1200"/>
        <n v="1206"/>
        <n v="1213"/>
        <n v="1215"/>
        <n v="1236"/>
        <n v="1242"/>
        <n v="1250"/>
        <n v="1251"/>
        <n v="1267"/>
        <n v="1295"/>
        <n v="1383"/>
        <n v="1440"/>
        <n v="1441"/>
        <n v="1485"/>
        <n v="1583"/>
        <n v="1592"/>
        <n v="1594"/>
        <n v="1678"/>
        <n v="1683"/>
        <n v="1806"/>
        <n v="1824"/>
        <n v="1898"/>
        <n v="1909"/>
        <n v="2025"/>
        <n v="2043"/>
        <n v="2054"/>
        <n v="2082"/>
        <n v="2093"/>
        <n v="2265"/>
        <n v="2336"/>
        <n v="2375"/>
        <n v="2385"/>
        <n v="2413"/>
        <n v="2487"/>
        <n v="2507"/>
        <n v="2512"/>
        <n v="2525"/>
        <n v="2541"/>
        <n v="2620"/>
        <n v="2627"/>
        <n v="2639"/>
        <n v="2654"/>
        <n v="2682"/>
        <n v="2726"/>
        <n v="2921"/>
        <n v="3054"/>
        <n v="3095"/>
        <n v="3127"/>
        <n v="3174"/>
        <n v="3230"/>
        <n v="3306"/>
        <n v="3399"/>
        <n v="3424"/>
        <n v="3437"/>
        <n v="3479"/>
        <n v="3481"/>
        <n v="3519"/>
        <n v="3574"/>
        <n v="3717"/>
        <n v="3944"/>
        <n v="4056"/>
        <n v="4078"/>
        <n v="4079"/>
        <n v="4091"/>
        <n v="4140"/>
        <n v="4392"/>
        <n v="4505"/>
        <n v="4596"/>
        <n v="4598"/>
        <n v="4802"/>
        <n v="4875"/>
        <n v="4902"/>
        <n v="4938"/>
        <n v="5032"/>
        <n v="5078"/>
        <n v="5113"/>
        <n v="5121"/>
        <n v="5155"/>
        <n v="5169"/>
        <n v="5222"/>
        <n v="5380"/>
        <n v="5418"/>
        <n v="5430"/>
        <n v="5496.92"/>
        <n v="5867"/>
        <n v="5873"/>
        <n v="6117"/>
        <n v="6229"/>
        <n v="6261"/>
        <n v="6430"/>
        <n v="6693"/>
        <n v="6867"/>
        <n v="6883"/>
        <n v="6888"/>
        <n v="6890"/>
        <n v="6970"/>
        <n v="6981"/>
        <n v="7004"/>
        <n v="7052"/>
        <n v="7104"/>
        <n v="7181"/>
        <n v="7214"/>
        <n v="7296"/>
        <n v="7306"/>
        <n v="7328"/>
        <n v="7333"/>
        <n v="7343"/>
        <n v="7351"/>
        <n v="7358"/>
        <n v="7439"/>
        <n v="7573"/>
        <n v="7702"/>
        <n v="7731"/>
        <n v="7849"/>
        <n v="8009"/>
        <n v="8321"/>
        <n v="8495"/>
        <n v="8592"/>
        <n v="8936"/>
        <n v="9036"/>
        <n v="9206"/>
        <n v="9360"/>
        <n v="9575"/>
        <n v="9645"/>
        <n v="10568"/>
        <n v="11509"/>
        <n v="12418"/>
        <n v="12718"/>
        <n v="13274"/>
        <n v="14087"/>
        <n v="20102"/>
        <n v="20832"/>
        <m/>
      </sharedItems>
    </cacheField>
    <cacheField name="Publisher Clicks" numFmtId="0">
      <sharedItems count="60" containsMixedTypes="1" containsSemiMixedTypes="1" containsString="0" containsNumber="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9"/>
        <n v="22"/>
        <n v="24"/>
        <n v="26"/>
        <n v="30"/>
        <n v="31"/>
        <n v="32"/>
        <n v="33"/>
        <n v="34"/>
        <n v="35"/>
        <n v="37"/>
        <n v="38"/>
        <n v="39"/>
        <n v="40"/>
        <n v="41"/>
        <n v="43"/>
        <n v="44"/>
        <n v="46"/>
        <n v="51"/>
        <n v="53"/>
        <n v="54"/>
        <n v="55"/>
        <n v="57"/>
        <n v="59"/>
        <n v="65"/>
        <n v="82"/>
        <n v="91"/>
        <n v="99"/>
        <n v="105"/>
        <n v="110"/>
        <n v="113"/>
        <n v="114"/>
        <n v="115"/>
        <n v="117"/>
        <n v="123"/>
        <n v="130"/>
        <n v="131"/>
        <n v="132"/>
        <n v="145"/>
        <n v="147"/>
        <n v="157"/>
        <m/>
      </sharedItems>
    </cacheField>
    <cacheField name=" Net Media Cost " numFmtId="0">
      <sharedItems count="294" containsMixedTypes="1" containsSemiMixedTypes="1" containsString="0" containsNumber="1">
        <n v="0"/>
        <n v="0.01"/>
        <n v="0.02"/>
        <n v="0.03"/>
        <n v="0.04"/>
        <n v="0.05"/>
        <n v="0.06"/>
        <n v="0.07"/>
        <n v="0.08"/>
        <n v="0.1"/>
        <n v="0.11"/>
        <n v="0.16"/>
        <n v="0.18"/>
        <n v="0.22"/>
        <n v="0.23"/>
        <n v="0.27"/>
        <n v="0.31"/>
        <n v="0.35"/>
        <n v="0.41"/>
        <n v="0.43"/>
        <n v="0.46"/>
        <n v="0.52"/>
        <n v="0.53"/>
        <n v="0.55"/>
        <n v="0.6"/>
        <n v="0.7"/>
        <n v="0.76"/>
        <n v="0.88"/>
        <n v="0.89"/>
        <n v="1.01"/>
        <n v="1.17"/>
        <n v="1.18"/>
        <n v="1.19"/>
        <n v="1.2"/>
        <n v="1.22"/>
        <n v="1.46"/>
        <n v="1.52"/>
        <n v="1.78"/>
        <n v="1.85"/>
        <n v="1.93"/>
        <n v="1.97"/>
        <n v="2.03"/>
        <n v="2.19"/>
        <n v="2.36"/>
        <n v="2.49"/>
        <n v="2.73"/>
        <n v="2.76"/>
        <n v="2.99"/>
        <n v="3.09"/>
        <n v="3.11"/>
        <n v="3.19"/>
        <n v="3.46"/>
        <n v="3.54"/>
        <n v="3.58"/>
        <n v="3.6"/>
        <n v="3.64"/>
        <n v="3.71"/>
        <n v="3.74"/>
        <n v="4.01"/>
        <n v="4.06"/>
        <n v="4.13"/>
        <n v="4.26"/>
        <n v="4.43"/>
        <n v="4.52"/>
        <n v="4.87"/>
        <n v="4.92"/>
        <n v="4.93"/>
        <n v="4.98"/>
        <n v="5.01"/>
        <n v="5.06"/>
        <n v="5.07"/>
        <n v="5.11"/>
        <n v="5.46"/>
        <n v="5.7"/>
        <n v="5.82"/>
        <n v="5.83"/>
        <n v="5.92"/>
        <n v="5.95"/>
        <n v="6"/>
        <n v="6.13"/>
        <n v="6.23"/>
        <n v="6.26"/>
        <n v="6.38"/>
        <n v="6.49"/>
        <n v="6.52"/>
        <n v="6.64"/>
        <n v="6.89"/>
        <n v="6.92"/>
        <n v="7.35"/>
        <n v="7.64"/>
        <n v="8.17"/>
        <n v="8.26"/>
        <n v="8.41"/>
        <n v="8.44"/>
        <n v="8.58"/>
        <n v="8.7"/>
        <n v="8.86"/>
        <n v="8.9"/>
        <n v="9.12"/>
        <n v="9.24"/>
        <n v="9.55"/>
        <n v="9.67"/>
        <n v="9.89"/>
        <n v="9.92"/>
        <n v="9.94"/>
        <n v="10.02"/>
        <n v="10.03"/>
        <n v="10.45"/>
        <n v="10.52"/>
        <n v="10.61"/>
        <n v="10.65"/>
        <n v="10.89"/>
        <n v="10.9"/>
        <n v="10.93"/>
        <n v="11.02"/>
        <n v="11.4"/>
        <n v="11.49"/>
        <n v="11.79"/>
        <n v="12.21"/>
        <n v="12.67"/>
        <n v="12.95"/>
        <n v="13.05"/>
        <n v="13.17"/>
        <n v="13.33"/>
        <n v="13.4"/>
        <n v="13.44"/>
        <n v="13.49"/>
        <n v="13.6"/>
        <n v="13.76"/>
        <n v="13.92"/>
        <n v="13.97"/>
        <n v="14.01"/>
        <n v="14.09"/>
        <n v="14.15"/>
        <n v="14.17"/>
        <n v="14.41"/>
        <n v="15.21"/>
        <n v="15.8"/>
        <n v="15.83"/>
        <n v="16.1"/>
        <n v="16.11"/>
        <n v="16.52"/>
        <n v="16.56"/>
        <n v="16.62"/>
        <n v="16.96"/>
        <n v="16.98"/>
        <n v="17"/>
        <n v="17.48"/>
        <n v="17.66"/>
        <n v="17.82"/>
        <n v="18.06"/>
        <n v="18.14"/>
        <n v="18.26"/>
        <n v="18.67"/>
        <n v="18.78"/>
        <n v="18.9"/>
        <n v="19.16"/>
        <n v="20.03"/>
        <n v="20.27"/>
        <n v="20.68"/>
        <n v="21.83"/>
        <n v="22.55"/>
        <n v="23.16"/>
        <n v="25.81"/>
        <n v="26.02"/>
        <n v="26.2"/>
        <n v="28.89"/>
        <n v="30.57"/>
        <n v="30.6"/>
        <n v="30.87"/>
        <n v="30.99"/>
        <n v="31.88"/>
        <n v="32.28"/>
        <n v="32.29"/>
        <n v="32.62"/>
        <n v="35.48"/>
        <n v="37.12"/>
        <n v="38.32"/>
        <n v="38.45"/>
        <n v="38.53"/>
        <n v="39.8"/>
        <n v="40.82"/>
        <n v="41.23"/>
        <n v="41.31"/>
        <n v="41.56"/>
        <n v="42.06"/>
        <n v="42.17"/>
        <n v="42.98"/>
        <n v="43.96"/>
        <n v="44.75"/>
        <n v="44.8"/>
        <n v="44.9"/>
        <n v="45.08"/>
        <n v="45.47"/>
        <n v="45.51"/>
        <n v="45.61"/>
        <n v="45.64"/>
        <n v="45.69"/>
        <n v="45.8"/>
        <n v="47.42"/>
        <n v="47.64"/>
        <n v="48.06"/>
        <n v="48.69"/>
        <n v="49.42"/>
        <n v="49.64"/>
        <n v="52.46"/>
        <n v="55.17"/>
        <n v="59.42"/>
        <n v="60.7"/>
        <n v="62.42"/>
        <n v="63.93"/>
        <n v="64.75"/>
        <n v="65.11"/>
        <n v="65.88"/>
        <n v="66.02"/>
        <n v="66.13"/>
        <n v="66.76"/>
        <n v="69.83"/>
        <n v="71.33"/>
        <n v="72.23"/>
        <n v="74.88"/>
        <n v="75.04"/>
        <n v="77.35"/>
        <n v="77.73"/>
        <n v="78.43"/>
        <n v="79.15"/>
        <n v="81.51"/>
        <n v="81.76"/>
        <n v="83.89"/>
        <n v="84.87"/>
        <n v="85.15"/>
        <n v="85.54"/>
        <n v="90.74"/>
        <n v="93"/>
        <n v="94.71"/>
        <n v="95.92"/>
        <n v="96.08"/>
        <n v="96.11"/>
        <n v="102.01"/>
        <n v="107.48"/>
        <n v="108.06"/>
        <n v="110.62"/>
        <n v="111.2"/>
        <n v="113.42"/>
        <n v="116.09"/>
        <n v="118.28"/>
        <n v="121.39"/>
        <n v="123.57"/>
        <n v="124.78"/>
        <n v="127.76"/>
        <n v="128.12"/>
        <n v="128.49"/>
        <n v="134.53"/>
        <n v="145.47"/>
        <n v="147.17"/>
        <n v="150.85"/>
        <n v="154.02"/>
        <n v="160.47"/>
        <n v="166.56"/>
        <n v="170.5"/>
        <n v="171.51"/>
        <n v="189.02"/>
        <n v="196.09"/>
        <n v="199.72"/>
        <n v="215.56"/>
        <n v="1468"/>
        <n v="1512"/>
        <n v="1537"/>
        <n v="1548"/>
        <n v="1623"/>
        <n v="1670"/>
        <n v="1777"/>
        <n v="1834"/>
        <n v="2046"/>
        <n v="2088"/>
        <n v="2170"/>
        <n v="2186"/>
        <n v="3171"/>
        <n v="3567"/>
        <n v="5470"/>
        <n v="5772"/>
        <n v="5778"/>
        <n v="5883"/>
        <n v="6183"/>
        <n v="6797"/>
        <n v="7487"/>
        <n v="8302"/>
        <n v="8429"/>
        <n v="9186"/>
        <n v="9290"/>
        <n v="10930"/>
        <n v="11061"/>
        <n v="11235"/>
        <m/>
      </sharedItems>
    </cacheField>
    <cacheField name="Currency" numFmtId="0">
      <sharedItems count="5" containsMixedTypes="1" containsSemiMixedTypes="1" containsString="1" containsNumber="0">
        <s v="CAD"/>
        <s v="EUR"/>
        <s v="GBP"/>
        <s v="JPY"/>
        <m/>
      </sharedItems>
    </cacheField>
    <cacheField name="Lead Form Ad Leads " numFmtId="0">
      <sharedItems count="3" containsMixedTypes="1" containsSemiMixedTypes="1" containsString="1" containsNumber="1">
        <n v="0"/>
        <s v="N/A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9">
  <r>
    <x v="36"/>
    <x v="40"/>
    <x v="0"/>
    <x v="0"/>
    <x v="2"/>
    <x v="0"/>
    <x v="1"/>
    <x v="4"/>
    <x v="2"/>
    <x v="0"/>
    <x v="0"/>
    <x v="24"/>
    <x v="40"/>
    <x v="0"/>
    <x v="0"/>
    <x v="1"/>
    <x v="2"/>
    <x v="1"/>
    <x v="0"/>
    <x v="0"/>
    <x v="0"/>
    <x v="104"/>
    <x v="46"/>
    <x v="263"/>
    <x v="29"/>
    <x v="252"/>
    <x v="1"/>
    <x v="2"/>
  </r>
  <r>
    <x v="135"/>
    <x v="142"/>
    <x v="0"/>
    <x v="0"/>
    <x v="2"/>
    <x v="0"/>
    <x v="1"/>
    <x v="4"/>
    <x v="2"/>
    <x v="0"/>
    <x v="0"/>
    <x v="24"/>
    <x v="40"/>
    <x v="0"/>
    <x v="1"/>
    <x v="1"/>
    <x v="2"/>
    <x v="1"/>
    <x v="0"/>
    <x v="0"/>
    <x v="0"/>
    <x v="104"/>
    <x v="46"/>
    <x v="279"/>
    <x v="34"/>
    <x v="253"/>
    <x v="1"/>
    <x v="2"/>
  </r>
  <r>
    <x v="227"/>
    <x v="232"/>
    <x v="0"/>
    <x v="0"/>
    <x v="2"/>
    <x v="0"/>
    <x v="1"/>
    <x v="4"/>
    <x v="2"/>
    <x v="0"/>
    <x v="0"/>
    <x v="24"/>
    <x v="40"/>
    <x v="0"/>
    <x v="2"/>
    <x v="1"/>
    <x v="2"/>
    <x v="1"/>
    <x v="0"/>
    <x v="0"/>
    <x v="0"/>
    <x v="104"/>
    <x v="46"/>
    <x v="280"/>
    <x v="37"/>
    <x v="263"/>
    <x v="1"/>
    <x v="2"/>
  </r>
  <r>
    <x v="317"/>
    <x v="323"/>
    <x v="0"/>
    <x v="0"/>
    <x v="2"/>
    <x v="0"/>
    <x v="1"/>
    <x v="4"/>
    <x v="2"/>
    <x v="0"/>
    <x v="0"/>
    <x v="24"/>
    <x v="40"/>
    <x v="0"/>
    <x v="3"/>
    <x v="1"/>
    <x v="2"/>
    <x v="1"/>
    <x v="0"/>
    <x v="0"/>
    <x v="0"/>
    <x v="104"/>
    <x v="46"/>
    <x v="274"/>
    <x v="22"/>
    <x v="242"/>
    <x v="1"/>
    <x v="2"/>
  </r>
  <r>
    <x v="406"/>
    <x v="413"/>
    <x v="0"/>
    <x v="0"/>
    <x v="2"/>
    <x v="0"/>
    <x v="1"/>
    <x v="4"/>
    <x v="2"/>
    <x v="0"/>
    <x v="0"/>
    <x v="24"/>
    <x v="40"/>
    <x v="0"/>
    <x v="4"/>
    <x v="1"/>
    <x v="2"/>
    <x v="1"/>
    <x v="0"/>
    <x v="0"/>
    <x v="0"/>
    <x v="104"/>
    <x v="46"/>
    <x v="277"/>
    <x v="23"/>
    <x v="241"/>
    <x v="1"/>
    <x v="2"/>
  </r>
  <r>
    <x v="496"/>
    <x v="501"/>
    <x v="0"/>
    <x v="0"/>
    <x v="2"/>
    <x v="0"/>
    <x v="1"/>
    <x v="4"/>
    <x v="2"/>
    <x v="0"/>
    <x v="0"/>
    <x v="24"/>
    <x v="40"/>
    <x v="0"/>
    <x v="5"/>
    <x v="1"/>
    <x v="2"/>
    <x v="1"/>
    <x v="0"/>
    <x v="0"/>
    <x v="0"/>
    <x v="104"/>
    <x v="46"/>
    <x v="273"/>
    <x v="30"/>
    <x v="248"/>
    <x v="1"/>
    <x v="2"/>
  </r>
  <r>
    <x v="587"/>
    <x v="592"/>
    <x v="0"/>
    <x v="0"/>
    <x v="2"/>
    <x v="0"/>
    <x v="1"/>
    <x v="4"/>
    <x v="2"/>
    <x v="0"/>
    <x v="0"/>
    <x v="24"/>
    <x v="40"/>
    <x v="0"/>
    <x v="6"/>
    <x v="1"/>
    <x v="2"/>
    <x v="1"/>
    <x v="0"/>
    <x v="0"/>
    <x v="0"/>
    <x v="104"/>
    <x v="46"/>
    <x v="271"/>
    <x v="30"/>
    <x v="244"/>
    <x v="1"/>
    <x v="2"/>
  </r>
  <r>
    <x v="37"/>
    <x v="41"/>
    <x v="0"/>
    <x v="0"/>
    <x v="2"/>
    <x v="0"/>
    <x v="1"/>
    <x v="4"/>
    <x v="2"/>
    <x v="0"/>
    <x v="0"/>
    <x v="52"/>
    <x v="27"/>
    <x v="0"/>
    <x v="0"/>
    <x v="1"/>
    <x v="2"/>
    <x v="1"/>
    <x v="0"/>
    <x v="0"/>
    <x v="2"/>
    <x v="105"/>
    <x v="47"/>
    <x v="258"/>
    <x v="28"/>
    <x v="232"/>
    <x v="1"/>
    <x v="2"/>
  </r>
  <r>
    <x v="136"/>
    <x v="143"/>
    <x v="0"/>
    <x v="0"/>
    <x v="2"/>
    <x v="0"/>
    <x v="1"/>
    <x v="4"/>
    <x v="2"/>
    <x v="0"/>
    <x v="0"/>
    <x v="52"/>
    <x v="27"/>
    <x v="0"/>
    <x v="1"/>
    <x v="1"/>
    <x v="2"/>
    <x v="1"/>
    <x v="0"/>
    <x v="0"/>
    <x v="2"/>
    <x v="105"/>
    <x v="47"/>
    <x v="243"/>
    <x v="36"/>
    <x v="225"/>
    <x v="1"/>
    <x v="2"/>
  </r>
  <r>
    <x v="228"/>
    <x v="233"/>
    <x v="0"/>
    <x v="0"/>
    <x v="2"/>
    <x v="0"/>
    <x v="1"/>
    <x v="4"/>
    <x v="2"/>
    <x v="0"/>
    <x v="0"/>
    <x v="52"/>
    <x v="27"/>
    <x v="0"/>
    <x v="2"/>
    <x v="1"/>
    <x v="2"/>
    <x v="1"/>
    <x v="0"/>
    <x v="0"/>
    <x v="2"/>
    <x v="105"/>
    <x v="47"/>
    <x v="235"/>
    <x v="26"/>
    <x v="219"/>
    <x v="1"/>
    <x v="2"/>
  </r>
  <r>
    <x v="318"/>
    <x v="324"/>
    <x v="0"/>
    <x v="0"/>
    <x v="2"/>
    <x v="0"/>
    <x v="1"/>
    <x v="4"/>
    <x v="2"/>
    <x v="0"/>
    <x v="0"/>
    <x v="52"/>
    <x v="27"/>
    <x v="0"/>
    <x v="3"/>
    <x v="1"/>
    <x v="2"/>
    <x v="1"/>
    <x v="0"/>
    <x v="0"/>
    <x v="2"/>
    <x v="105"/>
    <x v="47"/>
    <x v="241"/>
    <x v="35"/>
    <x v="234"/>
    <x v="1"/>
    <x v="2"/>
  </r>
  <r>
    <x v="407"/>
    <x v="414"/>
    <x v="0"/>
    <x v="0"/>
    <x v="2"/>
    <x v="0"/>
    <x v="1"/>
    <x v="4"/>
    <x v="2"/>
    <x v="0"/>
    <x v="0"/>
    <x v="52"/>
    <x v="27"/>
    <x v="0"/>
    <x v="4"/>
    <x v="1"/>
    <x v="2"/>
    <x v="1"/>
    <x v="0"/>
    <x v="0"/>
    <x v="2"/>
    <x v="105"/>
    <x v="47"/>
    <x v="240"/>
    <x v="35"/>
    <x v="233"/>
    <x v="1"/>
    <x v="2"/>
  </r>
  <r>
    <x v="497"/>
    <x v="502"/>
    <x v="0"/>
    <x v="0"/>
    <x v="2"/>
    <x v="0"/>
    <x v="1"/>
    <x v="4"/>
    <x v="2"/>
    <x v="0"/>
    <x v="0"/>
    <x v="52"/>
    <x v="27"/>
    <x v="0"/>
    <x v="5"/>
    <x v="1"/>
    <x v="2"/>
    <x v="1"/>
    <x v="0"/>
    <x v="0"/>
    <x v="2"/>
    <x v="105"/>
    <x v="47"/>
    <x v="247"/>
    <x v="41"/>
    <x v="237"/>
    <x v="1"/>
    <x v="2"/>
  </r>
  <r>
    <x v="588"/>
    <x v="593"/>
    <x v="0"/>
    <x v="0"/>
    <x v="2"/>
    <x v="0"/>
    <x v="1"/>
    <x v="4"/>
    <x v="2"/>
    <x v="0"/>
    <x v="0"/>
    <x v="52"/>
    <x v="27"/>
    <x v="0"/>
    <x v="6"/>
    <x v="1"/>
    <x v="2"/>
    <x v="1"/>
    <x v="0"/>
    <x v="0"/>
    <x v="2"/>
    <x v="105"/>
    <x v="47"/>
    <x v="248"/>
    <x v="34"/>
    <x v="236"/>
    <x v="1"/>
    <x v="2"/>
  </r>
  <r>
    <x v="2"/>
    <x v="94"/>
    <x v="0"/>
    <x v="0"/>
    <x v="4"/>
    <x v="0"/>
    <x v="3"/>
    <x v="1"/>
    <x v="4"/>
    <x v="0"/>
    <x v="0"/>
    <x v="53"/>
    <x v="4"/>
    <x v="0"/>
    <x v="0"/>
    <x v="3"/>
    <x v="4"/>
    <x v="2"/>
    <x v="1"/>
    <x v="0"/>
    <x v="1"/>
    <x v="2"/>
    <x v="100"/>
    <x v="99"/>
    <x v="3"/>
    <x v="124"/>
    <x v="2"/>
    <x v="1"/>
  </r>
  <r>
    <x v="3"/>
    <x v="99"/>
    <x v="0"/>
    <x v="0"/>
    <x v="4"/>
    <x v="0"/>
    <x v="3"/>
    <x v="1"/>
    <x v="4"/>
    <x v="0"/>
    <x v="0"/>
    <x v="68"/>
    <x v="5"/>
    <x v="0"/>
    <x v="0"/>
    <x v="3"/>
    <x v="4"/>
    <x v="2"/>
    <x v="1"/>
    <x v="0"/>
    <x v="1"/>
    <x v="3"/>
    <x v="105"/>
    <x v="99"/>
    <x v="2"/>
    <x v="124"/>
    <x v="2"/>
    <x v="1"/>
  </r>
  <r>
    <x v="4"/>
    <x v="98"/>
    <x v="0"/>
    <x v="0"/>
    <x v="4"/>
    <x v="0"/>
    <x v="3"/>
    <x v="1"/>
    <x v="4"/>
    <x v="0"/>
    <x v="0"/>
    <x v="65"/>
    <x v="2"/>
    <x v="0"/>
    <x v="0"/>
    <x v="3"/>
    <x v="4"/>
    <x v="2"/>
    <x v="1"/>
    <x v="0"/>
    <x v="1"/>
    <x v="4"/>
    <x v="104"/>
    <x v="99"/>
    <x v="1"/>
    <x v="124"/>
    <x v="2"/>
    <x v="1"/>
  </r>
  <r>
    <x v="5"/>
    <x v="97"/>
    <x v="0"/>
    <x v="0"/>
    <x v="4"/>
    <x v="0"/>
    <x v="3"/>
    <x v="1"/>
    <x v="4"/>
    <x v="0"/>
    <x v="0"/>
    <x v="62"/>
    <x v="7"/>
    <x v="0"/>
    <x v="0"/>
    <x v="3"/>
    <x v="4"/>
    <x v="2"/>
    <x v="1"/>
    <x v="0"/>
    <x v="1"/>
    <x v="5"/>
    <x v="103"/>
    <x v="99"/>
    <x v="9"/>
    <x v="124"/>
    <x v="2"/>
    <x v="1"/>
  </r>
  <r>
    <x v="6"/>
    <x v="96"/>
    <x v="0"/>
    <x v="0"/>
    <x v="4"/>
    <x v="0"/>
    <x v="3"/>
    <x v="1"/>
    <x v="4"/>
    <x v="0"/>
    <x v="0"/>
    <x v="59"/>
    <x v="26"/>
    <x v="0"/>
    <x v="0"/>
    <x v="3"/>
    <x v="4"/>
    <x v="2"/>
    <x v="1"/>
    <x v="0"/>
    <x v="1"/>
    <x v="7"/>
    <x v="102"/>
    <x v="99"/>
    <x v="2"/>
    <x v="124"/>
    <x v="2"/>
    <x v="1"/>
  </r>
  <r>
    <x v="7"/>
    <x v="95"/>
    <x v="0"/>
    <x v="0"/>
    <x v="4"/>
    <x v="0"/>
    <x v="3"/>
    <x v="1"/>
    <x v="4"/>
    <x v="0"/>
    <x v="0"/>
    <x v="56"/>
    <x v="3"/>
    <x v="0"/>
    <x v="0"/>
    <x v="3"/>
    <x v="4"/>
    <x v="2"/>
    <x v="1"/>
    <x v="0"/>
    <x v="1"/>
    <x v="8"/>
    <x v="101"/>
    <x v="99"/>
    <x v="1"/>
    <x v="124"/>
    <x v="2"/>
    <x v="1"/>
  </r>
  <r>
    <x v="38"/>
    <x v="1"/>
    <x v="0"/>
    <x v="0"/>
    <x v="4"/>
    <x v="0"/>
    <x v="3"/>
    <x v="1"/>
    <x v="4"/>
    <x v="0"/>
    <x v="0"/>
    <x v="35"/>
    <x v="38"/>
    <x v="0"/>
    <x v="0"/>
    <x v="3"/>
    <x v="4"/>
    <x v="2"/>
    <x v="1"/>
    <x v="1"/>
    <x v="1"/>
    <x v="37"/>
    <x v="5"/>
    <x v="232"/>
    <x v="1"/>
    <x v="224"/>
    <x v="2"/>
    <x v="1"/>
  </r>
  <r>
    <x v="38"/>
    <x v="1"/>
    <x v="0"/>
    <x v="0"/>
    <x v="4"/>
    <x v="0"/>
    <x v="3"/>
    <x v="1"/>
    <x v="4"/>
    <x v="0"/>
    <x v="0"/>
    <x v="35"/>
    <x v="38"/>
    <x v="0"/>
    <x v="0"/>
    <x v="3"/>
    <x v="4"/>
    <x v="2"/>
    <x v="1"/>
    <x v="1"/>
    <x v="1"/>
    <x v="37"/>
    <x v="5"/>
    <x v="232"/>
    <x v="4"/>
    <x v="224"/>
    <x v="2"/>
    <x v="1"/>
  </r>
  <r>
    <x v="39"/>
    <x v="0"/>
    <x v="0"/>
    <x v="0"/>
    <x v="4"/>
    <x v="0"/>
    <x v="3"/>
    <x v="1"/>
    <x v="4"/>
    <x v="0"/>
    <x v="0"/>
    <x v="35"/>
    <x v="38"/>
    <x v="0"/>
    <x v="0"/>
    <x v="3"/>
    <x v="4"/>
    <x v="2"/>
    <x v="1"/>
    <x v="1"/>
    <x v="1"/>
    <x v="38"/>
    <x v="4"/>
    <x v="232"/>
    <x v="1"/>
    <x v="224"/>
    <x v="2"/>
    <x v="1"/>
  </r>
  <r>
    <x v="102"/>
    <x v="196"/>
    <x v="0"/>
    <x v="0"/>
    <x v="4"/>
    <x v="0"/>
    <x v="3"/>
    <x v="1"/>
    <x v="4"/>
    <x v="0"/>
    <x v="0"/>
    <x v="53"/>
    <x v="4"/>
    <x v="0"/>
    <x v="1"/>
    <x v="3"/>
    <x v="4"/>
    <x v="2"/>
    <x v="1"/>
    <x v="0"/>
    <x v="1"/>
    <x v="2"/>
    <x v="100"/>
    <x v="99"/>
    <x v="1"/>
    <x v="124"/>
    <x v="2"/>
    <x v="1"/>
  </r>
  <r>
    <x v="103"/>
    <x v="200"/>
    <x v="0"/>
    <x v="0"/>
    <x v="4"/>
    <x v="0"/>
    <x v="3"/>
    <x v="1"/>
    <x v="4"/>
    <x v="0"/>
    <x v="0"/>
    <x v="68"/>
    <x v="5"/>
    <x v="0"/>
    <x v="1"/>
    <x v="3"/>
    <x v="4"/>
    <x v="2"/>
    <x v="1"/>
    <x v="0"/>
    <x v="1"/>
    <x v="3"/>
    <x v="105"/>
    <x v="99"/>
    <x v="2"/>
    <x v="124"/>
    <x v="2"/>
    <x v="1"/>
  </r>
  <r>
    <x v="104"/>
    <x v="199"/>
    <x v="0"/>
    <x v="0"/>
    <x v="4"/>
    <x v="0"/>
    <x v="3"/>
    <x v="1"/>
    <x v="4"/>
    <x v="0"/>
    <x v="0"/>
    <x v="65"/>
    <x v="2"/>
    <x v="0"/>
    <x v="1"/>
    <x v="3"/>
    <x v="4"/>
    <x v="2"/>
    <x v="1"/>
    <x v="0"/>
    <x v="1"/>
    <x v="4"/>
    <x v="104"/>
    <x v="99"/>
    <x v="7"/>
    <x v="124"/>
    <x v="2"/>
    <x v="1"/>
  </r>
  <r>
    <x v="105"/>
    <x v="198"/>
    <x v="0"/>
    <x v="0"/>
    <x v="4"/>
    <x v="0"/>
    <x v="3"/>
    <x v="1"/>
    <x v="4"/>
    <x v="0"/>
    <x v="0"/>
    <x v="62"/>
    <x v="7"/>
    <x v="0"/>
    <x v="1"/>
    <x v="3"/>
    <x v="4"/>
    <x v="2"/>
    <x v="1"/>
    <x v="0"/>
    <x v="1"/>
    <x v="5"/>
    <x v="103"/>
    <x v="99"/>
    <x v="2"/>
    <x v="124"/>
    <x v="2"/>
    <x v="1"/>
  </r>
  <r>
    <x v="106"/>
    <x v="197"/>
    <x v="0"/>
    <x v="0"/>
    <x v="4"/>
    <x v="0"/>
    <x v="3"/>
    <x v="1"/>
    <x v="4"/>
    <x v="0"/>
    <x v="0"/>
    <x v="56"/>
    <x v="3"/>
    <x v="0"/>
    <x v="1"/>
    <x v="3"/>
    <x v="4"/>
    <x v="2"/>
    <x v="1"/>
    <x v="0"/>
    <x v="1"/>
    <x v="8"/>
    <x v="101"/>
    <x v="99"/>
    <x v="1"/>
    <x v="124"/>
    <x v="2"/>
    <x v="1"/>
  </r>
  <r>
    <x v="137"/>
    <x v="102"/>
    <x v="0"/>
    <x v="0"/>
    <x v="4"/>
    <x v="0"/>
    <x v="3"/>
    <x v="1"/>
    <x v="4"/>
    <x v="0"/>
    <x v="0"/>
    <x v="35"/>
    <x v="38"/>
    <x v="0"/>
    <x v="1"/>
    <x v="3"/>
    <x v="4"/>
    <x v="2"/>
    <x v="1"/>
    <x v="1"/>
    <x v="1"/>
    <x v="37"/>
    <x v="5"/>
    <x v="232"/>
    <x v="4"/>
    <x v="224"/>
    <x v="2"/>
    <x v="1"/>
  </r>
  <r>
    <x v="138"/>
    <x v="101"/>
    <x v="0"/>
    <x v="0"/>
    <x v="4"/>
    <x v="0"/>
    <x v="3"/>
    <x v="1"/>
    <x v="4"/>
    <x v="0"/>
    <x v="0"/>
    <x v="35"/>
    <x v="38"/>
    <x v="0"/>
    <x v="1"/>
    <x v="3"/>
    <x v="4"/>
    <x v="2"/>
    <x v="1"/>
    <x v="1"/>
    <x v="1"/>
    <x v="38"/>
    <x v="4"/>
    <x v="232"/>
    <x v="1"/>
    <x v="224"/>
    <x v="2"/>
    <x v="1"/>
  </r>
  <r>
    <x v="140"/>
    <x v="103"/>
    <x v="0"/>
    <x v="0"/>
    <x v="4"/>
    <x v="0"/>
    <x v="3"/>
    <x v="1"/>
    <x v="4"/>
    <x v="0"/>
    <x v="0"/>
    <x v="35"/>
    <x v="38"/>
    <x v="0"/>
    <x v="1"/>
    <x v="3"/>
    <x v="4"/>
    <x v="2"/>
    <x v="1"/>
    <x v="1"/>
    <x v="1"/>
    <x v="40"/>
    <x v="6"/>
    <x v="232"/>
    <x v="1"/>
    <x v="224"/>
    <x v="2"/>
    <x v="1"/>
  </r>
  <r>
    <x v="195"/>
    <x v="100"/>
    <x v="0"/>
    <x v="0"/>
    <x v="4"/>
    <x v="0"/>
    <x v="3"/>
    <x v="1"/>
    <x v="4"/>
    <x v="0"/>
    <x v="0"/>
    <x v="35"/>
    <x v="38"/>
    <x v="0"/>
    <x v="1"/>
    <x v="3"/>
    <x v="4"/>
    <x v="2"/>
    <x v="1"/>
    <x v="1"/>
    <x v="1"/>
    <x v="97"/>
    <x v="0"/>
    <x v="232"/>
    <x v="1"/>
    <x v="224"/>
    <x v="2"/>
    <x v="1"/>
  </r>
  <r>
    <x v="195"/>
    <x v="100"/>
    <x v="0"/>
    <x v="0"/>
    <x v="4"/>
    <x v="0"/>
    <x v="3"/>
    <x v="1"/>
    <x v="4"/>
    <x v="0"/>
    <x v="0"/>
    <x v="35"/>
    <x v="38"/>
    <x v="0"/>
    <x v="1"/>
    <x v="3"/>
    <x v="4"/>
    <x v="2"/>
    <x v="1"/>
    <x v="1"/>
    <x v="1"/>
    <x v="97"/>
    <x v="0"/>
    <x v="232"/>
    <x v="1"/>
    <x v="224"/>
    <x v="2"/>
    <x v="1"/>
  </r>
  <r>
    <x v="203"/>
    <x v="286"/>
    <x v="0"/>
    <x v="0"/>
    <x v="4"/>
    <x v="0"/>
    <x v="3"/>
    <x v="1"/>
    <x v="4"/>
    <x v="0"/>
    <x v="0"/>
    <x v="53"/>
    <x v="4"/>
    <x v="0"/>
    <x v="2"/>
    <x v="3"/>
    <x v="4"/>
    <x v="2"/>
    <x v="1"/>
    <x v="0"/>
    <x v="1"/>
    <x v="2"/>
    <x v="100"/>
    <x v="99"/>
    <x v="1"/>
    <x v="124"/>
    <x v="2"/>
    <x v="1"/>
  </r>
  <r>
    <x v="204"/>
    <x v="291"/>
    <x v="0"/>
    <x v="0"/>
    <x v="4"/>
    <x v="0"/>
    <x v="3"/>
    <x v="1"/>
    <x v="4"/>
    <x v="0"/>
    <x v="0"/>
    <x v="68"/>
    <x v="5"/>
    <x v="0"/>
    <x v="2"/>
    <x v="3"/>
    <x v="4"/>
    <x v="2"/>
    <x v="1"/>
    <x v="0"/>
    <x v="1"/>
    <x v="3"/>
    <x v="105"/>
    <x v="99"/>
    <x v="2"/>
    <x v="124"/>
    <x v="2"/>
    <x v="1"/>
  </r>
  <r>
    <x v="205"/>
    <x v="290"/>
    <x v="0"/>
    <x v="0"/>
    <x v="4"/>
    <x v="0"/>
    <x v="3"/>
    <x v="1"/>
    <x v="4"/>
    <x v="0"/>
    <x v="0"/>
    <x v="65"/>
    <x v="2"/>
    <x v="0"/>
    <x v="2"/>
    <x v="3"/>
    <x v="4"/>
    <x v="2"/>
    <x v="1"/>
    <x v="0"/>
    <x v="1"/>
    <x v="4"/>
    <x v="104"/>
    <x v="99"/>
    <x v="1"/>
    <x v="124"/>
    <x v="2"/>
    <x v="1"/>
  </r>
  <r>
    <x v="206"/>
    <x v="289"/>
    <x v="0"/>
    <x v="0"/>
    <x v="4"/>
    <x v="0"/>
    <x v="3"/>
    <x v="1"/>
    <x v="4"/>
    <x v="0"/>
    <x v="0"/>
    <x v="62"/>
    <x v="7"/>
    <x v="0"/>
    <x v="2"/>
    <x v="3"/>
    <x v="4"/>
    <x v="2"/>
    <x v="1"/>
    <x v="0"/>
    <x v="1"/>
    <x v="5"/>
    <x v="103"/>
    <x v="99"/>
    <x v="3"/>
    <x v="124"/>
    <x v="2"/>
    <x v="1"/>
  </r>
  <r>
    <x v="207"/>
    <x v="288"/>
    <x v="0"/>
    <x v="0"/>
    <x v="4"/>
    <x v="0"/>
    <x v="3"/>
    <x v="1"/>
    <x v="4"/>
    <x v="0"/>
    <x v="0"/>
    <x v="59"/>
    <x v="26"/>
    <x v="0"/>
    <x v="2"/>
    <x v="3"/>
    <x v="4"/>
    <x v="2"/>
    <x v="1"/>
    <x v="0"/>
    <x v="1"/>
    <x v="7"/>
    <x v="102"/>
    <x v="99"/>
    <x v="1"/>
    <x v="124"/>
    <x v="2"/>
    <x v="1"/>
  </r>
  <r>
    <x v="208"/>
    <x v="287"/>
    <x v="0"/>
    <x v="0"/>
    <x v="4"/>
    <x v="0"/>
    <x v="3"/>
    <x v="1"/>
    <x v="4"/>
    <x v="0"/>
    <x v="0"/>
    <x v="56"/>
    <x v="3"/>
    <x v="0"/>
    <x v="2"/>
    <x v="3"/>
    <x v="4"/>
    <x v="2"/>
    <x v="1"/>
    <x v="0"/>
    <x v="1"/>
    <x v="8"/>
    <x v="101"/>
    <x v="99"/>
    <x v="1"/>
    <x v="124"/>
    <x v="2"/>
    <x v="1"/>
  </r>
  <r>
    <x v="229"/>
    <x v="203"/>
    <x v="0"/>
    <x v="0"/>
    <x v="4"/>
    <x v="0"/>
    <x v="3"/>
    <x v="1"/>
    <x v="4"/>
    <x v="0"/>
    <x v="0"/>
    <x v="35"/>
    <x v="38"/>
    <x v="0"/>
    <x v="2"/>
    <x v="3"/>
    <x v="4"/>
    <x v="2"/>
    <x v="1"/>
    <x v="1"/>
    <x v="1"/>
    <x v="37"/>
    <x v="5"/>
    <x v="232"/>
    <x v="2"/>
    <x v="224"/>
    <x v="2"/>
    <x v="1"/>
  </r>
  <r>
    <x v="230"/>
    <x v="202"/>
    <x v="0"/>
    <x v="0"/>
    <x v="4"/>
    <x v="0"/>
    <x v="3"/>
    <x v="1"/>
    <x v="4"/>
    <x v="0"/>
    <x v="0"/>
    <x v="35"/>
    <x v="38"/>
    <x v="0"/>
    <x v="2"/>
    <x v="3"/>
    <x v="4"/>
    <x v="2"/>
    <x v="1"/>
    <x v="1"/>
    <x v="1"/>
    <x v="38"/>
    <x v="4"/>
    <x v="232"/>
    <x v="1"/>
    <x v="224"/>
    <x v="2"/>
    <x v="1"/>
  </r>
  <r>
    <x v="230"/>
    <x v="202"/>
    <x v="0"/>
    <x v="0"/>
    <x v="4"/>
    <x v="0"/>
    <x v="3"/>
    <x v="1"/>
    <x v="4"/>
    <x v="0"/>
    <x v="0"/>
    <x v="35"/>
    <x v="38"/>
    <x v="0"/>
    <x v="2"/>
    <x v="3"/>
    <x v="4"/>
    <x v="2"/>
    <x v="1"/>
    <x v="1"/>
    <x v="1"/>
    <x v="38"/>
    <x v="4"/>
    <x v="232"/>
    <x v="1"/>
    <x v="224"/>
    <x v="2"/>
    <x v="1"/>
  </r>
  <r>
    <x v="286"/>
    <x v="201"/>
    <x v="0"/>
    <x v="0"/>
    <x v="4"/>
    <x v="0"/>
    <x v="3"/>
    <x v="1"/>
    <x v="4"/>
    <x v="0"/>
    <x v="0"/>
    <x v="37"/>
    <x v="39"/>
    <x v="0"/>
    <x v="2"/>
    <x v="3"/>
    <x v="4"/>
    <x v="2"/>
    <x v="1"/>
    <x v="1"/>
    <x v="1"/>
    <x v="96"/>
    <x v="3"/>
    <x v="232"/>
    <x v="1"/>
    <x v="224"/>
    <x v="2"/>
    <x v="1"/>
  </r>
  <r>
    <x v="294"/>
    <x v="377"/>
    <x v="0"/>
    <x v="0"/>
    <x v="4"/>
    <x v="0"/>
    <x v="3"/>
    <x v="1"/>
    <x v="4"/>
    <x v="0"/>
    <x v="0"/>
    <x v="53"/>
    <x v="4"/>
    <x v="0"/>
    <x v="3"/>
    <x v="3"/>
    <x v="4"/>
    <x v="2"/>
    <x v="1"/>
    <x v="0"/>
    <x v="1"/>
    <x v="2"/>
    <x v="100"/>
    <x v="99"/>
    <x v="4"/>
    <x v="124"/>
    <x v="2"/>
    <x v="1"/>
  </r>
  <r>
    <x v="295"/>
    <x v="381"/>
    <x v="0"/>
    <x v="0"/>
    <x v="4"/>
    <x v="0"/>
    <x v="3"/>
    <x v="1"/>
    <x v="4"/>
    <x v="0"/>
    <x v="0"/>
    <x v="68"/>
    <x v="5"/>
    <x v="0"/>
    <x v="3"/>
    <x v="3"/>
    <x v="4"/>
    <x v="2"/>
    <x v="1"/>
    <x v="0"/>
    <x v="1"/>
    <x v="3"/>
    <x v="105"/>
    <x v="99"/>
    <x v="7"/>
    <x v="124"/>
    <x v="2"/>
    <x v="1"/>
  </r>
  <r>
    <x v="296"/>
    <x v="380"/>
    <x v="0"/>
    <x v="0"/>
    <x v="4"/>
    <x v="0"/>
    <x v="3"/>
    <x v="1"/>
    <x v="4"/>
    <x v="0"/>
    <x v="0"/>
    <x v="65"/>
    <x v="2"/>
    <x v="0"/>
    <x v="3"/>
    <x v="3"/>
    <x v="4"/>
    <x v="2"/>
    <x v="1"/>
    <x v="0"/>
    <x v="1"/>
    <x v="4"/>
    <x v="104"/>
    <x v="99"/>
    <x v="7"/>
    <x v="124"/>
    <x v="2"/>
    <x v="1"/>
  </r>
  <r>
    <x v="297"/>
    <x v="379"/>
    <x v="0"/>
    <x v="0"/>
    <x v="4"/>
    <x v="0"/>
    <x v="3"/>
    <x v="1"/>
    <x v="4"/>
    <x v="0"/>
    <x v="0"/>
    <x v="62"/>
    <x v="7"/>
    <x v="0"/>
    <x v="3"/>
    <x v="3"/>
    <x v="4"/>
    <x v="2"/>
    <x v="1"/>
    <x v="0"/>
    <x v="1"/>
    <x v="5"/>
    <x v="103"/>
    <x v="99"/>
    <x v="6"/>
    <x v="124"/>
    <x v="2"/>
    <x v="1"/>
  </r>
  <r>
    <x v="298"/>
    <x v="378"/>
    <x v="0"/>
    <x v="0"/>
    <x v="4"/>
    <x v="0"/>
    <x v="3"/>
    <x v="1"/>
    <x v="4"/>
    <x v="0"/>
    <x v="0"/>
    <x v="59"/>
    <x v="26"/>
    <x v="0"/>
    <x v="3"/>
    <x v="3"/>
    <x v="4"/>
    <x v="2"/>
    <x v="1"/>
    <x v="0"/>
    <x v="1"/>
    <x v="7"/>
    <x v="102"/>
    <x v="99"/>
    <x v="1"/>
    <x v="124"/>
    <x v="2"/>
    <x v="1"/>
  </r>
  <r>
    <x v="319"/>
    <x v="293"/>
    <x v="0"/>
    <x v="0"/>
    <x v="4"/>
    <x v="0"/>
    <x v="3"/>
    <x v="1"/>
    <x v="4"/>
    <x v="0"/>
    <x v="0"/>
    <x v="35"/>
    <x v="38"/>
    <x v="0"/>
    <x v="3"/>
    <x v="3"/>
    <x v="4"/>
    <x v="2"/>
    <x v="1"/>
    <x v="1"/>
    <x v="1"/>
    <x v="37"/>
    <x v="5"/>
    <x v="232"/>
    <x v="1"/>
    <x v="224"/>
    <x v="2"/>
    <x v="1"/>
  </r>
  <r>
    <x v="321"/>
    <x v="294"/>
    <x v="0"/>
    <x v="0"/>
    <x v="4"/>
    <x v="0"/>
    <x v="3"/>
    <x v="1"/>
    <x v="4"/>
    <x v="0"/>
    <x v="0"/>
    <x v="35"/>
    <x v="38"/>
    <x v="0"/>
    <x v="3"/>
    <x v="3"/>
    <x v="4"/>
    <x v="2"/>
    <x v="1"/>
    <x v="1"/>
    <x v="1"/>
    <x v="40"/>
    <x v="6"/>
    <x v="232"/>
    <x v="1"/>
    <x v="224"/>
    <x v="2"/>
    <x v="1"/>
  </r>
  <r>
    <x v="376"/>
    <x v="292"/>
    <x v="0"/>
    <x v="0"/>
    <x v="4"/>
    <x v="0"/>
    <x v="3"/>
    <x v="1"/>
    <x v="4"/>
    <x v="0"/>
    <x v="0"/>
    <x v="35"/>
    <x v="38"/>
    <x v="0"/>
    <x v="3"/>
    <x v="3"/>
    <x v="4"/>
    <x v="2"/>
    <x v="1"/>
    <x v="1"/>
    <x v="1"/>
    <x v="98"/>
    <x v="1"/>
    <x v="232"/>
    <x v="1"/>
    <x v="224"/>
    <x v="2"/>
    <x v="1"/>
  </r>
  <r>
    <x v="384"/>
    <x v="467"/>
    <x v="0"/>
    <x v="0"/>
    <x v="4"/>
    <x v="0"/>
    <x v="3"/>
    <x v="1"/>
    <x v="4"/>
    <x v="0"/>
    <x v="0"/>
    <x v="53"/>
    <x v="4"/>
    <x v="0"/>
    <x v="4"/>
    <x v="3"/>
    <x v="4"/>
    <x v="2"/>
    <x v="1"/>
    <x v="0"/>
    <x v="1"/>
    <x v="2"/>
    <x v="100"/>
    <x v="99"/>
    <x v="2"/>
    <x v="124"/>
    <x v="2"/>
    <x v="1"/>
  </r>
  <r>
    <x v="385"/>
    <x v="470"/>
    <x v="0"/>
    <x v="0"/>
    <x v="4"/>
    <x v="0"/>
    <x v="3"/>
    <x v="1"/>
    <x v="4"/>
    <x v="0"/>
    <x v="0"/>
    <x v="62"/>
    <x v="7"/>
    <x v="0"/>
    <x v="4"/>
    <x v="3"/>
    <x v="4"/>
    <x v="2"/>
    <x v="1"/>
    <x v="0"/>
    <x v="1"/>
    <x v="5"/>
    <x v="103"/>
    <x v="99"/>
    <x v="1"/>
    <x v="124"/>
    <x v="2"/>
    <x v="1"/>
  </r>
  <r>
    <x v="386"/>
    <x v="469"/>
    <x v="0"/>
    <x v="0"/>
    <x v="4"/>
    <x v="0"/>
    <x v="3"/>
    <x v="1"/>
    <x v="4"/>
    <x v="0"/>
    <x v="0"/>
    <x v="59"/>
    <x v="26"/>
    <x v="0"/>
    <x v="4"/>
    <x v="3"/>
    <x v="4"/>
    <x v="2"/>
    <x v="1"/>
    <x v="0"/>
    <x v="1"/>
    <x v="7"/>
    <x v="102"/>
    <x v="99"/>
    <x v="3"/>
    <x v="124"/>
    <x v="2"/>
    <x v="1"/>
  </r>
  <r>
    <x v="387"/>
    <x v="468"/>
    <x v="0"/>
    <x v="0"/>
    <x v="4"/>
    <x v="0"/>
    <x v="3"/>
    <x v="1"/>
    <x v="4"/>
    <x v="0"/>
    <x v="0"/>
    <x v="56"/>
    <x v="3"/>
    <x v="0"/>
    <x v="4"/>
    <x v="3"/>
    <x v="4"/>
    <x v="2"/>
    <x v="1"/>
    <x v="0"/>
    <x v="1"/>
    <x v="8"/>
    <x v="101"/>
    <x v="99"/>
    <x v="2"/>
    <x v="124"/>
    <x v="2"/>
    <x v="1"/>
  </r>
  <r>
    <x v="408"/>
    <x v="384"/>
    <x v="0"/>
    <x v="0"/>
    <x v="4"/>
    <x v="0"/>
    <x v="3"/>
    <x v="1"/>
    <x v="4"/>
    <x v="0"/>
    <x v="0"/>
    <x v="35"/>
    <x v="38"/>
    <x v="0"/>
    <x v="4"/>
    <x v="3"/>
    <x v="4"/>
    <x v="2"/>
    <x v="1"/>
    <x v="1"/>
    <x v="1"/>
    <x v="37"/>
    <x v="5"/>
    <x v="232"/>
    <x v="1"/>
    <x v="224"/>
    <x v="2"/>
    <x v="1"/>
  </r>
  <r>
    <x v="409"/>
    <x v="383"/>
    <x v="0"/>
    <x v="0"/>
    <x v="4"/>
    <x v="0"/>
    <x v="3"/>
    <x v="1"/>
    <x v="4"/>
    <x v="0"/>
    <x v="0"/>
    <x v="35"/>
    <x v="38"/>
    <x v="0"/>
    <x v="4"/>
    <x v="3"/>
    <x v="4"/>
    <x v="2"/>
    <x v="1"/>
    <x v="1"/>
    <x v="1"/>
    <x v="38"/>
    <x v="4"/>
    <x v="232"/>
    <x v="1"/>
    <x v="224"/>
    <x v="2"/>
    <x v="1"/>
  </r>
  <r>
    <x v="465"/>
    <x v="382"/>
    <x v="0"/>
    <x v="0"/>
    <x v="4"/>
    <x v="0"/>
    <x v="3"/>
    <x v="1"/>
    <x v="4"/>
    <x v="0"/>
    <x v="0"/>
    <x v="37"/>
    <x v="39"/>
    <x v="0"/>
    <x v="4"/>
    <x v="3"/>
    <x v="4"/>
    <x v="2"/>
    <x v="1"/>
    <x v="1"/>
    <x v="1"/>
    <x v="95"/>
    <x v="2"/>
    <x v="232"/>
    <x v="1"/>
    <x v="224"/>
    <x v="2"/>
    <x v="1"/>
  </r>
  <r>
    <x v="473"/>
    <x v="555"/>
    <x v="0"/>
    <x v="0"/>
    <x v="4"/>
    <x v="0"/>
    <x v="3"/>
    <x v="1"/>
    <x v="4"/>
    <x v="0"/>
    <x v="0"/>
    <x v="53"/>
    <x v="4"/>
    <x v="0"/>
    <x v="5"/>
    <x v="3"/>
    <x v="4"/>
    <x v="2"/>
    <x v="1"/>
    <x v="0"/>
    <x v="1"/>
    <x v="2"/>
    <x v="100"/>
    <x v="99"/>
    <x v="2"/>
    <x v="124"/>
    <x v="2"/>
    <x v="1"/>
  </r>
  <r>
    <x v="474"/>
    <x v="559"/>
    <x v="0"/>
    <x v="0"/>
    <x v="4"/>
    <x v="0"/>
    <x v="3"/>
    <x v="1"/>
    <x v="4"/>
    <x v="0"/>
    <x v="0"/>
    <x v="68"/>
    <x v="5"/>
    <x v="0"/>
    <x v="5"/>
    <x v="3"/>
    <x v="4"/>
    <x v="2"/>
    <x v="1"/>
    <x v="0"/>
    <x v="1"/>
    <x v="3"/>
    <x v="105"/>
    <x v="99"/>
    <x v="6"/>
    <x v="124"/>
    <x v="2"/>
    <x v="1"/>
  </r>
  <r>
    <x v="475"/>
    <x v="558"/>
    <x v="0"/>
    <x v="0"/>
    <x v="4"/>
    <x v="0"/>
    <x v="3"/>
    <x v="1"/>
    <x v="4"/>
    <x v="0"/>
    <x v="0"/>
    <x v="65"/>
    <x v="2"/>
    <x v="0"/>
    <x v="5"/>
    <x v="3"/>
    <x v="4"/>
    <x v="2"/>
    <x v="1"/>
    <x v="0"/>
    <x v="1"/>
    <x v="4"/>
    <x v="104"/>
    <x v="99"/>
    <x v="2"/>
    <x v="124"/>
    <x v="2"/>
    <x v="1"/>
  </r>
  <r>
    <x v="476"/>
    <x v="557"/>
    <x v="0"/>
    <x v="0"/>
    <x v="4"/>
    <x v="0"/>
    <x v="3"/>
    <x v="1"/>
    <x v="4"/>
    <x v="0"/>
    <x v="0"/>
    <x v="62"/>
    <x v="7"/>
    <x v="0"/>
    <x v="5"/>
    <x v="3"/>
    <x v="4"/>
    <x v="2"/>
    <x v="1"/>
    <x v="0"/>
    <x v="1"/>
    <x v="5"/>
    <x v="103"/>
    <x v="99"/>
    <x v="1"/>
    <x v="124"/>
    <x v="2"/>
    <x v="1"/>
  </r>
  <r>
    <x v="477"/>
    <x v="556"/>
    <x v="0"/>
    <x v="0"/>
    <x v="4"/>
    <x v="0"/>
    <x v="3"/>
    <x v="1"/>
    <x v="4"/>
    <x v="0"/>
    <x v="0"/>
    <x v="56"/>
    <x v="3"/>
    <x v="0"/>
    <x v="5"/>
    <x v="3"/>
    <x v="4"/>
    <x v="2"/>
    <x v="1"/>
    <x v="0"/>
    <x v="1"/>
    <x v="8"/>
    <x v="101"/>
    <x v="99"/>
    <x v="2"/>
    <x v="124"/>
    <x v="2"/>
    <x v="1"/>
  </r>
  <r>
    <x v="498"/>
    <x v="472"/>
    <x v="0"/>
    <x v="0"/>
    <x v="4"/>
    <x v="0"/>
    <x v="3"/>
    <x v="1"/>
    <x v="4"/>
    <x v="0"/>
    <x v="0"/>
    <x v="35"/>
    <x v="38"/>
    <x v="0"/>
    <x v="5"/>
    <x v="3"/>
    <x v="4"/>
    <x v="2"/>
    <x v="1"/>
    <x v="1"/>
    <x v="1"/>
    <x v="37"/>
    <x v="5"/>
    <x v="232"/>
    <x v="1"/>
    <x v="224"/>
    <x v="2"/>
    <x v="1"/>
  </r>
  <r>
    <x v="499"/>
    <x v="471"/>
    <x v="0"/>
    <x v="0"/>
    <x v="4"/>
    <x v="0"/>
    <x v="3"/>
    <x v="1"/>
    <x v="4"/>
    <x v="0"/>
    <x v="0"/>
    <x v="35"/>
    <x v="38"/>
    <x v="0"/>
    <x v="5"/>
    <x v="3"/>
    <x v="4"/>
    <x v="2"/>
    <x v="1"/>
    <x v="1"/>
    <x v="1"/>
    <x v="38"/>
    <x v="4"/>
    <x v="232"/>
    <x v="1"/>
    <x v="224"/>
    <x v="2"/>
    <x v="1"/>
  </r>
  <r>
    <x v="499"/>
    <x v="471"/>
    <x v="0"/>
    <x v="0"/>
    <x v="4"/>
    <x v="0"/>
    <x v="3"/>
    <x v="1"/>
    <x v="4"/>
    <x v="0"/>
    <x v="0"/>
    <x v="35"/>
    <x v="38"/>
    <x v="0"/>
    <x v="5"/>
    <x v="3"/>
    <x v="4"/>
    <x v="2"/>
    <x v="1"/>
    <x v="1"/>
    <x v="1"/>
    <x v="38"/>
    <x v="4"/>
    <x v="232"/>
    <x v="1"/>
    <x v="224"/>
    <x v="2"/>
    <x v="1"/>
  </r>
  <r>
    <x v="562"/>
    <x v="646"/>
    <x v="0"/>
    <x v="0"/>
    <x v="4"/>
    <x v="0"/>
    <x v="3"/>
    <x v="1"/>
    <x v="4"/>
    <x v="0"/>
    <x v="0"/>
    <x v="53"/>
    <x v="4"/>
    <x v="0"/>
    <x v="6"/>
    <x v="3"/>
    <x v="4"/>
    <x v="2"/>
    <x v="1"/>
    <x v="0"/>
    <x v="1"/>
    <x v="2"/>
    <x v="100"/>
    <x v="99"/>
    <x v="1"/>
    <x v="124"/>
    <x v="2"/>
    <x v="1"/>
  </r>
  <r>
    <x v="563"/>
    <x v="651"/>
    <x v="0"/>
    <x v="0"/>
    <x v="4"/>
    <x v="0"/>
    <x v="3"/>
    <x v="1"/>
    <x v="4"/>
    <x v="0"/>
    <x v="0"/>
    <x v="68"/>
    <x v="5"/>
    <x v="0"/>
    <x v="6"/>
    <x v="3"/>
    <x v="4"/>
    <x v="2"/>
    <x v="1"/>
    <x v="0"/>
    <x v="1"/>
    <x v="3"/>
    <x v="105"/>
    <x v="99"/>
    <x v="3"/>
    <x v="124"/>
    <x v="2"/>
    <x v="1"/>
  </r>
  <r>
    <x v="564"/>
    <x v="650"/>
    <x v="0"/>
    <x v="0"/>
    <x v="4"/>
    <x v="0"/>
    <x v="3"/>
    <x v="1"/>
    <x v="4"/>
    <x v="0"/>
    <x v="0"/>
    <x v="65"/>
    <x v="2"/>
    <x v="0"/>
    <x v="6"/>
    <x v="3"/>
    <x v="4"/>
    <x v="2"/>
    <x v="1"/>
    <x v="0"/>
    <x v="1"/>
    <x v="4"/>
    <x v="104"/>
    <x v="99"/>
    <x v="1"/>
    <x v="124"/>
    <x v="2"/>
    <x v="1"/>
  </r>
  <r>
    <x v="565"/>
    <x v="649"/>
    <x v="0"/>
    <x v="0"/>
    <x v="4"/>
    <x v="0"/>
    <x v="3"/>
    <x v="1"/>
    <x v="4"/>
    <x v="0"/>
    <x v="0"/>
    <x v="62"/>
    <x v="7"/>
    <x v="0"/>
    <x v="6"/>
    <x v="3"/>
    <x v="4"/>
    <x v="2"/>
    <x v="1"/>
    <x v="0"/>
    <x v="1"/>
    <x v="5"/>
    <x v="103"/>
    <x v="99"/>
    <x v="4"/>
    <x v="124"/>
    <x v="2"/>
    <x v="1"/>
  </r>
  <r>
    <x v="566"/>
    <x v="563"/>
    <x v="0"/>
    <x v="0"/>
    <x v="4"/>
    <x v="0"/>
    <x v="3"/>
    <x v="1"/>
    <x v="4"/>
    <x v="0"/>
    <x v="0"/>
    <x v="47"/>
    <x v="6"/>
    <x v="0"/>
    <x v="6"/>
    <x v="3"/>
    <x v="4"/>
    <x v="2"/>
    <x v="1"/>
    <x v="1"/>
    <x v="1"/>
    <x v="6"/>
    <x v="7"/>
    <x v="232"/>
    <x v="1"/>
    <x v="224"/>
    <x v="2"/>
    <x v="1"/>
  </r>
  <r>
    <x v="567"/>
    <x v="648"/>
    <x v="0"/>
    <x v="0"/>
    <x v="4"/>
    <x v="0"/>
    <x v="3"/>
    <x v="1"/>
    <x v="4"/>
    <x v="0"/>
    <x v="0"/>
    <x v="59"/>
    <x v="26"/>
    <x v="0"/>
    <x v="6"/>
    <x v="3"/>
    <x v="4"/>
    <x v="2"/>
    <x v="1"/>
    <x v="0"/>
    <x v="1"/>
    <x v="7"/>
    <x v="102"/>
    <x v="99"/>
    <x v="6"/>
    <x v="124"/>
    <x v="2"/>
    <x v="1"/>
  </r>
  <r>
    <x v="568"/>
    <x v="647"/>
    <x v="0"/>
    <x v="0"/>
    <x v="4"/>
    <x v="0"/>
    <x v="3"/>
    <x v="1"/>
    <x v="4"/>
    <x v="0"/>
    <x v="0"/>
    <x v="56"/>
    <x v="3"/>
    <x v="0"/>
    <x v="6"/>
    <x v="3"/>
    <x v="4"/>
    <x v="2"/>
    <x v="1"/>
    <x v="0"/>
    <x v="1"/>
    <x v="8"/>
    <x v="101"/>
    <x v="99"/>
    <x v="4"/>
    <x v="124"/>
    <x v="2"/>
    <x v="1"/>
  </r>
  <r>
    <x v="589"/>
    <x v="561"/>
    <x v="0"/>
    <x v="0"/>
    <x v="4"/>
    <x v="0"/>
    <x v="3"/>
    <x v="1"/>
    <x v="4"/>
    <x v="0"/>
    <x v="0"/>
    <x v="35"/>
    <x v="38"/>
    <x v="0"/>
    <x v="6"/>
    <x v="3"/>
    <x v="4"/>
    <x v="2"/>
    <x v="1"/>
    <x v="1"/>
    <x v="1"/>
    <x v="37"/>
    <x v="5"/>
    <x v="232"/>
    <x v="1"/>
    <x v="224"/>
    <x v="2"/>
    <x v="1"/>
  </r>
  <r>
    <x v="589"/>
    <x v="561"/>
    <x v="0"/>
    <x v="0"/>
    <x v="4"/>
    <x v="0"/>
    <x v="3"/>
    <x v="1"/>
    <x v="4"/>
    <x v="0"/>
    <x v="0"/>
    <x v="35"/>
    <x v="38"/>
    <x v="0"/>
    <x v="6"/>
    <x v="3"/>
    <x v="4"/>
    <x v="2"/>
    <x v="1"/>
    <x v="1"/>
    <x v="1"/>
    <x v="37"/>
    <x v="5"/>
    <x v="232"/>
    <x v="4"/>
    <x v="224"/>
    <x v="2"/>
    <x v="1"/>
  </r>
  <r>
    <x v="590"/>
    <x v="560"/>
    <x v="0"/>
    <x v="0"/>
    <x v="4"/>
    <x v="0"/>
    <x v="3"/>
    <x v="1"/>
    <x v="4"/>
    <x v="0"/>
    <x v="0"/>
    <x v="35"/>
    <x v="38"/>
    <x v="0"/>
    <x v="6"/>
    <x v="3"/>
    <x v="4"/>
    <x v="2"/>
    <x v="1"/>
    <x v="1"/>
    <x v="1"/>
    <x v="38"/>
    <x v="4"/>
    <x v="232"/>
    <x v="1"/>
    <x v="224"/>
    <x v="2"/>
    <x v="1"/>
  </r>
  <r>
    <x v="592"/>
    <x v="562"/>
    <x v="0"/>
    <x v="0"/>
    <x v="4"/>
    <x v="0"/>
    <x v="3"/>
    <x v="1"/>
    <x v="4"/>
    <x v="0"/>
    <x v="0"/>
    <x v="35"/>
    <x v="38"/>
    <x v="0"/>
    <x v="6"/>
    <x v="3"/>
    <x v="4"/>
    <x v="2"/>
    <x v="1"/>
    <x v="1"/>
    <x v="1"/>
    <x v="40"/>
    <x v="6"/>
    <x v="232"/>
    <x v="1"/>
    <x v="224"/>
    <x v="2"/>
    <x v="1"/>
  </r>
  <r>
    <x v="651"/>
    <x v="575"/>
    <x v="0"/>
    <x v="0"/>
    <x v="0"/>
    <x v="0"/>
    <x v="0"/>
    <x v="2"/>
    <x v="0"/>
    <x v="0"/>
    <x v="0"/>
    <x v="26"/>
    <x v="66"/>
    <x v="0"/>
    <x v="6"/>
    <x v="0"/>
    <x v="0"/>
    <x v="3"/>
    <x v="1"/>
    <x v="0"/>
    <x v="2"/>
    <x v="103"/>
    <x v="19"/>
    <x v="76"/>
    <x v="2"/>
    <x v="83"/>
    <x v="0"/>
    <x v="0"/>
  </r>
  <r>
    <x v="577"/>
    <x v="571"/>
    <x v="0"/>
    <x v="0"/>
    <x v="0"/>
    <x v="0"/>
    <x v="0"/>
    <x v="2"/>
    <x v="0"/>
    <x v="0"/>
    <x v="0"/>
    <x v="32"/>
    <x v="24"/>
    <x v="0"/>
    <x v="6"/>
    <x v="0"/>
    <x v="0"/>
    <x v="3"/>
    <x v="1"/>
    <x v="0"/>
    <x v="2"/>
    <x v="22"/>
    <x v="15"/>
    <x v="170"/>
    <x v="8"/>
    <x v="180"/>
    <x v="0"/>
    <x v="0"/>
  </r>
  <r>
    <x v="583"/>
    <x v="582"/>
    <x v="0"/>
    <x v="0"/>
    <x v="0"/>
    <x v="0"/>
    <x v="0"/>
    <x v="2"/>
    <x v="0"/>
    <x v="0"/>
    <x v="0"/>
    <x v="57"/>
    <x v="21"/>
    <x v="0"/>
    <x v="6"/>
    <x v="0"/>
    <x v="0"/>
    <x v="3"/>
    <x v="1"/>
    <x v="0"/>
    <x v="2"/>
    <x v="33"/>
    <x v="36"/>
    <x v="209"/>
    <x v="6"/>
    <x v="239"/>
    <x v="0"/>
    <x v="0"/>
  </r>
  <r>
    <x v="605"/>
    <x v="579"/>
    <x v="0"/>
    <x v="0"/>
    <x v="0"/>
    <x v="0"/>
    <x v="0"/>
    <x v="2"/>
    <x v="0"/>
    <x v="0"/>
    <x v="0"/>
    <x v="34"/>
    <x v="55"/>
    <x v="0"/>
    <x v="6"/>
    <x v="0"/>
    <x v="0"/>
    <x v="3"/>
    <x v="1"/>
    <x v="0"/>
    <x v="2"/>
    <x v="53"/>
    <x v="23"/>
    <x v="70"/>
    <x v="1"/>
    <x v="84"/>
    <x v="0"/>
    <x v="0"/>
  </r>
  <r>
    <x v="570"/>
    <x v="587"/>
    <x v="0"/>
    <x v="0"/>
    <x v="0"/>
    <x v="0"/>
    <x v="0"/>
    <x v="2"/>
    <x v="0"/>
    <x v="0"/>
    <x v="0"/>
    <x v="51"/>
    <x v="12"/>
    <x v="0"/>
    <x v="6"/>
    <x v="0"/>
    <x v="0"/>
    <x v="3"/>
    <x v="1"/>
    <x v="0"/>
    <x v="2"/>
    <x v="15"/>
    <x v="41"/>
    <x v="107"/>
    <x v="0"/>
    <x v="153"/>
    <x v="0"/>
    <x v="0"/>
  </r>
  <r>
    <x v="575"/>
    <x v="585"/>
    <x v="0"/>
    <x v="0"/>
    <x v="0"/>
    <x v="0"/>
    <x v="0"/>
    <x v="2"/>
    <x v="0"/>
    <x v="0"/>
    <x v="0"/>
    <x v="55"/>
    <x v="14"/>
    <x v="0"/>
    <x v="6"/>
    <x v="0"/>
    <x v="0"/>
    <x v="3"/>
    <x v="1"/>
    <x v="0"/>
    <x v="2"/>
    <x v="20"/>
    <x v="39"/>
    <x v="123"/>
    <x v="1"/>
    <x v="136"/>
    <x v="0"/>
    <x v="0"/>
  </r>
  <r>
    <x v="574"/>
    <x v="583"/>
    <x v="0"/>
    <x v="0"/>
    <x v="0"/>
    <x v="0"/>
    <x v="0"/>
    <x v="2"/>
    <x v="0"/>
    <x v="0"/>
    <x v="0"/>
    <x v="58"/>
    <x v="11"/>
    <x v="0"/>
    <x v="6"/>
    <x v="0"/>
    <x v="0"/>
    <x v="3"/>
    <x v="1"/>
    <x v="0"/>
    <x v="2"/>
    <x v="19"/>
    <x v="37"/>
    <x v="133"/>
    <x v="1"/>
    <x v="168"/>
    <x v="0"/>
    <x v="0"/>
  </r>
  <r>
    <x v="571"/>
    <x v="591"/>
    <x v="0"/>
    <x v="0"/>
    <x v="0"/>
    <x v="0"/>
    <x v="0"/>
    <x v="2"/>
    <x v="0"/>
    <x v="0"/>
    <x v="0"/>
    <x v="67"/>
    <x v="37"/>
    <x v="0"/>
    <x v="6"/>
    <x v="0"/>
    <x v="0"/>
    <x v="3"/>
    <x v="1"/>
    <x v="0"/>
    <x v="2"/>
    <x v="16"/>
    <x v="45"/>
    <x v="106"/>
    <x v="4"/>
    <x v="162"/>
    <x v="0"/>
    <x v="0"/>
  </r>
  <r>
    <x v="572"/>
    <x v="589"/>
    <x v="0"/>
    <x v="0"/>
    <x v="0"/>
    <x v="0"/>
    <x v="0"/>
    <x v="2"/>
    <x v="0"/>
    <x v="0"/>
    <x v="0"/>
    <x v="64"/>
    <x v="36"/>
    <x v="0"/>
    <x v="6"/>
    <x v="0"/>
    <x v="0"/>
    <x v="3"/>
    <x v="1"/>
    <x v="0"/>
    <x v="2"/>
    <x v="17"/>
    <x v="43"/>
    <x v="59"/>
    <x v="0"/>
    <x v="101"/>
    <x v="0"/>
    <x v="0"/>
  </r>
  <r>
    <x v="586"/>
    <x v="570"/>
    <x v="0"/>
    <x v="0"/>
    <x v="0"/>
    <x v="0"/>
    <x v="0"/>
    <x v="2"/>
    <x v="0"/>
    <x v="0"/>
    <x v="0"/>
    <x v="31"/>
    <x v="15"/>
    <x v="0"/>
    <x v="6"/>
    <x v="0"/>
    <x v="0"/>
    <x v="3"/>
    <x v="1"/>
    <x v="0"/>
    <x v="2"/>
    <x v="36"/>
    <x v="14"/>
    <x v="184"/>
    <x v="4"/>
    <x v="201"/>
    <x v="0"/>
    <x v="0"/>
  </r>
  <r>
    <x v="649"/>
    <x v="577"/>
    <x v="0"/>
    <x v="0"/>
    <x v="0"/>
    <x v="0"/>
    <x v="0"/>
    <x v="2"/>
    <x v="0"/>
    <x v="0"/>
    <x v="0"/>
    <x v="30"/>
    <x v="68"/>
    <x v="0"/>
    <x v="6"/>
    <x v="0"/>
    <x v="0"/>
    <x v="3"/>
    <x v="1"/>
    <x v="0"/>
    <x v="2"/>
    <x v="101"/>
    <x v="21"/>
    <x v="85"/>
    <x v="1"/>
    <x v="86"/>
    <x v="0"/>
    <x v="0"/>
  </r>
  <r>
    <x v="578"/>
    <x v="569"/>
    <x v="0"/>
    <x v="0"/>
    <x v="0"/>
    <x v="0"/>
    <x v="0"/>
    <x v="2"/>
    <x v="0"/>
    <x v="0"/>
    <x v="0"/>
    <x v="23"/>
    <x v="30"/>
    <x v="0"/>
    <x v="6"/>
    <x v="0"/>
    <x v="0"/>
    <x v="3"/>
    <x v="1"/>
    <x v="0"/>
    <x v="2"/>
    <x v="23"/>
    <x v="13"/>
    <x v="161"/>
    <x v="5"/>
    <x v="179"/>
    <x v="0"/>
    <x v="0"/>
  </r>
  <r>
    <x v="581"/>
    <x v="588"/>
    <x v="0"/>
    <x v="0"/>
    <x v="0"/>
    <x v="0"/>
    <x v="0"/>
    <x v="2"/>
    <x v="0"/>
    <x v="0"/>
    <x v="0"/>
    <x v="63"/>
    <x v="22"/>
    <x v="0"/>
    <x v="6"/>
    <x v="0"/>
    <x v="0"/>
    <x v="3"/>
    <x v="1"/>
    <x v="0"/>
    <x v="2"/>
    <x v="31"/>
    <x v="42"/>
    <x v="221"/>
    <x v="17"/>
    <x v="261"/>
    <x v="0"/>
    <x v="0"/>
  </r>
  <r>
    <x v="573"/>
    <x v="581"/>
    <x v="0"/>
    <x v="0"/>
    <x v="0"/>
    <x v="0"/>
    <x v="0"/>
    <x v="2"/>
    <x v="0"/>
    <x v="0"/>
    <x v="0"/>
    <x v="61"/>
    <x v="35"/>
    <x v="0"/>
    <x v="6"/>
    <x v="0"/>
    <x v="0"/>
    <x v="3"/>
    <x v="1"/>
    <x v="0"/>
    <x v="2"/>
    <x v="18"/>
    <x v="35"/>
    <x v="74"/>
    <x v="0"/>
    <x v="87"/>
    <x v="0"/>
    <x v="0"/>
  </r>
  <r>
    <x v="606"/>
    <x v="578"/>
    <x v="0"/>
    <x v="0"/>
    <x v="0"/>
    <x v="0"/>
    <x v="0"/>
    <x v="2"/>
    <x v="0"/>
    <x v="0"/>
    <x v="0"/>
    <x v="33"/>
    <x v="56"/>
    <x v="0"/>
    <x v="6"/>
    <x v="0"/>
    <x v="0"/>
    <x v="3"/>
    <x v="1"/>
    <x v="0"/>
    <x v="2"/>
    <x v="54"/>
    <x v="22"/>
    <x v="139"/>
    <x v="7"/>
    <x v="161"/>
    <x v="0"/>
    <x v="0"/>
  </r>
  <r>
    <x v="585"/>
    <x v="572"/>
    <x v="0"/>
    <x v="0"/>
    <x v="0"/>
    <x v="0"/>
    <x v="0"/>
    <x v="2"/>
    <x v="0"/>
    <x v="0"/>
    <x v="0"/>
    <x v="27"/>
    <x v="28"/>
    <x v="0"/>
    <x v="6"/>
    <x v="0"/>
    <x v="0"/>
    <x v="3"/>
    <x v="1"/>
    <x v="0"/>
    <x v="2"/>
    <x v="35"/>
    <x v="16"/>
    <x v="217"/>
    <x v="5"/>
    <x v="238"/>
    <x v="0"/>
    <x v="0"/>
  </r>
  <r>
    <x v="569"/>
    <x v="568"/>
    <x v="0"/>
    <x v="0"/>
    <x v="0"/>
    <x v="0"/>
    <x v="0"/>
    <x v="2"/>
    <x v="0"/>
    <x v="0"/>
    <x v="0"/>
    <x v="22"/>
    <x v="13"/>
    <x v="0"/>
    <x v="6"/>
    <x v="0"/>
    <x v="0"/>
    <x v="3"/>
    <x v="1"/>
    <x v="0"/>
    <x v="2"/>
    <x v="9"/>
    <x v="12"/>
    <x v="121"/>
    <x v="1"/>
    <x v="123"/>
    <x v="0"/>
    <x v="0"/>
  </r>
  <r>
    <x v="650"/>
    <x v="574"/>
    <x v="0"/>
    <x v="0"/>
    <x v="0"/>
    <x v="0"/>
    <x v="0"/>
    <x v="2"/>
    <x v="0"/>
    <x v="0"/>
    <x v="0"/>
    <x v="25"/>
    <x v="67"/>
    <x v="0"/>
    <x v="6"/>
    <x v="0"/>
    <x v="0"/>
    <x v="3"/>
    <x v="1"/>
    <x v="0"/>
    <x v="2"/>
    <x v="102"/>
    <x v="18"/>
    <x v="82"/>
    <x v="1"/>
    <x v="92"/>
    <x v="0"/>
    <x v="0"/>
  </r>
  <r>
    <x v="648"/>
    <x v="576"/>
    <x v="0"/>
    <x v="0"/>
    <x v="0"/>
    <x v="0"/>
    <x v="0"/>
    <x v="2"/>
    <x v="0"/>
    <x v="0"/>
    <x v="0"/>
    <x v="29"/>
    <x v="69"/>
    <x v="0"/>
    <x v="6"/>
    <x v="0"/>
    <x v="0"/>
    <x v="3"/>
    <x v="1"/>
    <x v="0"/>
    <x v="2"/>
    <x v="100"/>
    <x v="20"/>
    <x v="278"/>
    <x v="38"/>
    <x v="264"/>
    <x v="0"/>
    <x v="0"/>
  </r>
  <r>
    <x v="576"/>
    <x v="573"/>
    <x v="0"/>
    <x v="0"/>
    <x v="0"/>
    <x v="0"/>
    <x v="0"/>
    <x v="2"/>
    <x v="0"/>
    <x v="0"/>
    <x v="0"/>
    <x v="28"/>
    <x v="10"/>
    <x v="0"/>
    <x v="6"/>
    <x v="0"/>
    <x v="0"/>
    <x v="3"/>
    <x v="1"/>
    <x v="0"/>
    <x v="2"/>
    <x v="21"/>
    <x v="17"/>
    <x v="44"/>
    <x v="1"/>
    <x v="61"/>
    <x v="0"/>
    <x v="0"/>
  </r>
  <r>
    <x v="584"/>
    <x v="584"/>
    <x v="0"/>
    <x v="0"/>
    <x v="0"/>
    <x v="0"/>
    <x v="0"/>
    <x v="2"/>
    <x v="0"/>
    <x v="0"/>
    <x v="0"/>
    <x v="54"/>
    <x v="16"/>
    <x v="0"/>
    <x v="6"/>
    <x v="0"/>
    <x v="0"/>
    <x v="3"/>
    <x v="1"/>
    <x v="0"/>
    <x v="2"/>
    <x v="34"/>
    <x v="38"/>
    <x v="76"/>
    <x v="2"/>
    <x v="100"/>
    <x v="0"/>
    <x v="0"/>
  </r>
  <r>
    <x v="580"/>
    <x v="590"/>
    <x v="0"/>
    <x v="0"/>
    <x v="0"/>
    <x v="0"/>
    <x v="0"/>
    <x v="2"/>
    <x v="0"/>
    <x v="0"/>
    <x v="0"/>
    <x v="66"/>
    <x v="32"/>
    <x v="0"/>
    <x v="6"/>
    <x v="0"/>
    <x v="0"/>
    <x v="3"/>
    <x v="1"/>
    <x v="0"/>
    <x v="2"/>
    <x v="30"/>
    <x v="44"/>
    <x v="131"/>
    <x v="0"/>
    <x v="151"/>
    <x v="0"/>
    <x v="0"/>
  </r>
  <r>
    <x v="579"/>
    <x v="586"/>
    <x v="0"/>
    <x v="0"/>
    <x v="0"/>
    <x v="0"/>
    <x v="0"/>
    <x v="2"/>
    <x v="0"/>
    <x v="0"/>
    <x v="0"/>
    <x v="50"/>
    <x v="8"/>
    <x v="0"/>
    <x v="6"/>
    <x v="0"/>
    <x v="0"/>
    <x v="3"/>
    <x v="1"/>
    <x v="0"/>
    <x v="2"/>
    <x v="29"/>
    <x v="40"/>
    <x v="169"/>
    <x v="2"/>
    <x v="220"/>
    <x v="0"/>
    <x v="0"/>
  </r>
  <r>
    <x v="582"/>
    <x v="580"/>
    <x v="0"/>
    <x v="0"/>
    <x v="0"/>
    <x v="0"/>
    <x v="0"/>
    <x v="2"/>
    <x v="0"/>
    <x v="0"/>
    <x v="0"/>
    <x v="60"/>
    <x v="17"/>
    <x v="0"/>
    <x v="6"/>
    <x v="0"/>
    <x v="0"/>
    <x v="3"/>
    <x v="1"/>
    <x v="0"/>
    <x v="2"/>
    <x v="32"/>
    <x v="34"/>
    <x v="63"/>
    <x v="0"/>
    <x v="63"/>
    <x v="0"/>
    <x v="0"/>
  </r>
  <r>
    <x v="557"/>
    <x v="486"/>
    <x v="0"/>
    <x v="0"/>
    <x v="0"/>
    <x v="0"/>
    <x v="0"/>
    <x v="2"/>
    <x v="0"/>
    <x v="0"/>
    <x v="0"/>
    <x v="30"/>
    <x v="68"/>
    <x v="0"/>
    <x v="5"/>
    <x v="0"/>
    <x v="0"/>
    <x v="3"/>
    <x v="1"/>
    <x v="0"/>
    <x v="2"/>
    <x v="101"/>
    <x v="21"/>
    <x v="25"/>
    <x v="0"/>
    <x v="28"/>
    <x v="0"/>
    <x v="0"/>
  </r>
  <r>
    <x v="514"/>
    <x v="487"/>
    <x v="0"/>
    <x v="0"/>
    <x v="0"/>
    <x v="0"/>
    <x v="0"/>
    <x v="2"/>
    <x v="0"/>
    <x v="0"/>
    <x v="0"/>
    <x v="33"/>
    <x v="56"/>
    <x v="0"/>
    <x v="5"/>
    <x v="0"/>
    <x v="0"/>
    <x v="3"/>
    <x v="1"/>
    <x v="0"/>
    <x v="2"/>
    <x v="54"/>
    <x v="22"/>
    <x v="82"/>
    <x v="0"/>
    <x v="98"/>
    <x v="0"/>
    <x v="0"/>
  </r>
  <r>
    <x v="484"/>
    <x v="494"/>
    <x v="0"/>
    <x v="0"/>
    <x v="0"/>
    <x v="0"/>
    <x v="0"/>
    <x v="2"/>
    <x v="0"/>
    <x v="0"/>
    <x v="0"/>
    <x v="55"/>
    <x v="14"/>
    <x v="0"/>
    <x v="5"/>
    <x v="0"/>
    <x v="0"/>
    <x v="3"/>
    <x v="1"/>
    <x v="0"/>
    <x v="2"/>
    <x v="20"/>
    <x v="39"/>
    <x v="78"/>
    <x v="1"/>
    <x v="90"/>
    <x v="0"/>
    <x v="0"/>
  </r>
  <r>
    <x v="488"/>
    <x v="495"/>
    <x v="0"/>
    <x v="0"/>
    <x v="0"/>
    <x v="0"/>
    <x v="0"/>
    <x v="2"/>
    <x v="0"/>
    <x v="0"/>
    <x v="0"/>
    <x v="50"/>
    <x v="8"/>
    <x v="0"/>
    <x v="5"/>
    <x v="0"/>
    <x v="0"/>
    <x v="3"/>
    <x v="1"/>
    <x v="0"/>
    <x v="2"/>
    <x v="29"/>
    <x v="40"/>
    <x v="156"/>
    <x v="1"/>
    <x v="178"/>
    <x v="0"/>
    <x v="0"/>
  </r>
  <r>
    <x v="483"/>
    <x v="492"/>
    <x v="0"/>
    <x v="0"/>
    <x v="0"/>
    <x v="0"/>
    <x v="0"/>
    <x v="2"/>
    <x v="0"/>
    <x v="0"/>
    <x v="0"/>
    <x v="58"/>
    <x v="11"/>
    <x v="0"/>
    <x v="5"/>
    <x v="0"/>
    <x v="0"/>
    <x v="3"/>
    <x v="1"/>
    <x v="0"/>
    <x v="2"/>
    <x v="19"/>
    <x v="37"/>
    <x v="164"/>
    <x v="4"/>
    <x v="207"/>
    <x v="0"/>
    <x v="0"/>
  </r>
  <r>
    <x v="556"/>
    <x v="485"/>
    <x v="0"/>
    <x v="0"/>
    <x v="0"/>
    <x v="0"/>
    <x v="0"/>
    <x v="2"/>
    <x v="0"/>
    <x v="0"/>
    <x v="0"/>
    <x v="29"/>
    <x v="69"/>
    <x v="0"/>
    <x v="5"/>
    <x v="0"/>
    <x v="0"/>
    <x v="3"/>
    <x v="1"/>
    <x v="0"/>
    <x v="2"/>
    <x v="100"/>
    <x v="20"/>
    <x v="219"/>
    <x v="21"/>
    <x v="218"/>
    <x v="0"/>
    <x v="0"/>
  </r>
  <r>
    <x v="479"/>
    <x v="496"/>
    <x v="0"/>
    <x v="0"/>
    <x v="0"/>
    <x v="0"/>
    <x v="0"/>
    <x v="2"/>
    <x v="0"/>
    <x v="0"/>
    <x v="0"/>
    <x v="51"/>
    <x v="12"/>
    <x v="0"/>
    <x v="5"/>
    <x v="0"/>
    <x v="0"/>
    <x v="3"/>
    <x v="1"/>
    <x v="0"/>
    <x v="2"/>
    <x v="15"/>
    <x v="41"/>
    <x v="84"/>
    <x v="0"/>
    <x v="133"/>
    <x v="0"/>
    <x v="0"/>
  </r>
  <r>
    <x v="480"/>
    <x v="500"/>
    <x v="0"/>
    <x v="0"/>
    <x v="0"/>
    <x v="0"/>
    <x v="0"/>
    <x v="2"/>
    <x v="0"/>
    <x v="0"/>
    <x v="0"/>
    <x v="67"/>
    <x v="37"/>
    <x v="0"/>
    <x v="5"/>
    <x v="0"/>
    <x v="0"/>
    <x v="3"/>
    <x v="1"/>
    <x v="0"/>
    <x v="2"/>
    <x v="16"/>
    <x v="45"/>
    <x v="60"/>
    <x v="2"/>
    <x v="110"/>
    <x v="0"/>
    <x v="0"/>
  </r>
  <r>
    <x v="493"/>
    <x v="493"/>
    <x v="0"/>
    <x v="0"/>
    <x v="0"/>
    <x v="0"/>
    <x v="0"/>
    <x v="2"/>
    <x v="0"/>
    <x v="0"/>
    <x v="0"/>
    <x v="54"/>
    <x v="16"/>
    <x v="0"/>
    <x v="5"/>
    <x v="0"/>
    <x v="0"/>
    <x v="3"/>
    <x v="1"/>
    <x v="0"/>
    <x v="2"/>
    <x v="34"/>
    <x v="38"/>
    <x v="88"/>
    <x v="0"/>
    <x v="144"/>
    <x v="0"/>
    <x v="0"/>
  </r>
  <r>
    <x v="494"/>
    <x v="481"/>
    <x v="0"/>
    <x v="0"/>
    <x v="0"/>
    <x v="0"/>
    <x v="0"/>
    <x v="2"/>
    <x v="0"/>
    <x v="0"/>
    <x v="0"/>
    <x v="27"/>
    <x v="28"/>
    <x v="0"/>
    <x v="5"/>
    <x v="0"/>
    <x v="0"/>
    <x v="3"/>
    <x v="1"/>
    <x v="0"/>
    <x v="2"/>
    <x v="35"/>
    <x v="16"/>
    <x v="272"/>
    <x v="8"/>
    <x v="262"/>
    <x v="0"/>
    <x v="0"/>
  </r>
  <r>
    <x v="481"/>
    <x v="498"/>
    <x v="0"/>
    <x v="0"/>
    <x v="0"/>
    <x v="0"/>
    <x v="0"/>
    <x v="2"/>
    <x v="0"/>
    <x v="0"/>
    <x v="0"/>
    <x v="64"/>
    <x v="36"/>
    <x v="0"/>
    <x v="5"/>
    <x v="0"/>
    <x v="0"/>
    <x v="3"/>
    <x v="1"/>
    <x v="0"/>
    <x v="2"/>
    <x v="17"/>
    <x v="43"/>
    <x v="43"/>
    <x v="0"/>
    <x v="86"/>
    <x v="0"/>
    <x v="0"/>
  </r>
  <r>
    <x v="559"/>
    <x v="484"/>
    <x v="0"/>
    <x v="0"/>
    <x v="0"/>
    <x v="0"/>
    <x v="0"/>
    <x v="2"/>
    <x v="0"/>
    <x v="0"/>
    <x v="0"/>
    <x v="26"/>
    <x v="66"/>
    <x v="0"/>
    <x v="5"/>
    <x v="0"/>
    <x v="0"/>
    <x v="3"/>
    <x v="1"/>
    <x v="0"/>
    <x v="2"/>
    <x v="103"/>
    <x v="19"/>
    <x v="72"/>
    <x v="0"/>
    <x v="78"/>
    <x v="0"/>
    <x v="0"/>
  </r>
  <r>
    <x v="513"/>
    <x v="488"/>
    <x v="0"/>
    <x v="0"/>
    <x v="0"/>
    <x v="0"/>
    <x v="0"/>
    <x v="2"/>
    <x v="0"/>
    <x v="0"/>
    <x v="0"/>
    <x v="34"/>
    <x v="55"/>
    <x v="0"/>
    <x v="5"/>
    <x v="0"/>
    <x v="0"/>
    <x v="3"/>
    <x v="1"/>
    <x v="0"/>
    <x v="2"/>
    <x v="53"/>
    <x v="23"/>
    <x v="19"/>
    <x v="0"/>
    <x v="34"/>
    <x v="0"/>
    <x v="0"/>
  </r>
  <r>
    <x v="495"/>
    <x v="479"/>
    <x v="0"/>
    <x v="0"/>
    <x v="0"/>
    <x v="0"/>
    <x v="0"/>
    <x v="2"/>
    <x v="0"/>
    <x v="0"/>
    <x v="0"/>
    <x v="31"/>
    <x v="15"/>
    <x v="0"/>
    <x v="5"/>
    <x v="0"/>
    <x v="0"/>
    <x v="3"/>
    <x v="1"/>
    <x v="0"/>
    <x v="2"/>
    <x v="36"/>
    <x v="14"/>
    <x v="180"/>
    <x v="3"/>
    <x v="198"/>
    <x v="0"/>
    <x v="0"/>
  </r>
  <r>
    <x v="486"/>
    <x v="480"/>
    <x v="0"/>
    <x v="0"/>
    <x v="0"/>
    <x v="0"/>
    <x v="0"/>
    <x v="2"/>
    <x v="0"/>
    <x v="0"/>
    <x v="0"/>
    <x v="32"/>
    <x v="24"/>
    <x v="0"/>
    <x v="5"/>
    <x v="0"/>
    <x v="0"/>
    <x v="3"/>
    <x v="1"/>
    <x v="0"/>
    <x v="2"/>
    <x v="22"/>
    <x v="15"/>
    <x v="166"/>
    <x v="3"/>
    <x v="176"/>
    <x v="0"/>
    <x v="0"/>
  </r>
  <r>
    <x v="487"/>
    <x v="478"/>
    <x v="0"/>
    <x v="0"/>
    <x v="0"/>
    <x v="0"/>
    <x v="0"/>
    <x v="2"/>
    <x v="0"/>
    <x v="0"/>
    <x v="0"/>
    <x v="23"/>
    <x v="30"/>
    <x v="0"/>
    <x v="5"/>
    <x v="0"/>
    <x v="0"/>
    <x v="3"/>
    <x v="1"/>
    <x v="0"/>
    <x v="2"/>
    <x v="23"/>
    <x v="13"/>
    <x v="86"/>
    <x v="0"/>
    <x v="128"/>
    <x v="0"/>
    <x v="0"/>
  </r>
  <r>
    <x v="491"/>
    <x v="489"/>
    <x v="0"/>
    <x v="0"/>
    <x v="0"/>
    <x v="0"/>
    <x v="0"/>
    <x v="2"/>
    <x v="0"/>
    <x v="0"/>
    <x v="0"/>
    <x v="60"/>
    <x v="17"/>
    <x v="0"/>
    <x v="5"/>
    <x v="0"/>
    <x v="0"/>
    <x v="3"/>
    <x v="1"/>
    <x v="0"/>
    <x v="2"/>
    <x v="32"/>
    <x v="34"/>
    <x v="73"/>
    <x v="0"/>
    <x v="72"/>
    <x v="0"/>
    <x v="0"/>
  </r>
  <r>
    <x v="490"/>
    <x v="497"/>
    <x v="0"/>
    <x v="0"/>
    <x v="0"/>
    <x v="0"/>
    <x v="0"/>
    <x v="2"/>
    <x v="0"/>
    <x v="0"/>
    <x v="0"/>
    <x v="63"/>
    <x v="22"/>
    <x v="0"/>
    <x v="5"/>
    <x v="0"/>
    <x v="0"/>
    <x v="3"/>
    <x v="1"/>
    <x v="0"/>
    <x v="2"/>
    <x v="31"/>
    <x v="42"/>
    <x v="201"/>
    <x v="12"/>
    <x v="256"/>
    <x v="0"/>
    <x v="0"/>
  </r>
  <r>
    <x v="482"/>
    <x v="490"/>
    <x v="0"/>
    <x v="0"/>
    <x v="0"/>
    <x v="0"/>
    <x v="0"/>
    <x v="2"/>
    <x v="0"/>
    <x v="0"/>
    <x v="0"/>
    <x v="61"/>
    <x v="35"/>
    <x v="0"/>
    <x v="5"/>
    <x v="0"/>
    <x v="0"/>
    <x v="3"/>
    <x v="1"/>
    <x v="0"/>
    <x v="2"/>
    <x v="18"/>
    <x v="35"/>
    <x v="46"/>
    <x v="0"/>
    <x v="60"/>
    <x v="0"/>
    <x v="0"/>
  </r>
  <r>
    <x v="485"/>
    <x v="482"/>
    <x v="0"/>
    <x v="0"/>
    <x v="0"/>
    <x v="0"/>
    <x v="0"/>
    <x v="2"/>
    <x v="0"/>
    <x v="0"/>
    <x v="0"/>
    <x v="28"/>
    <x v="10"/>
    <x v="0"/>
    <x v="5"/>
    <x v="0"/>
    <x v="0"/>
    <x v="3"/>
    <x v="1"/>
    <x v="0"/>
    <x v="2"/>
    <x v="21"/>
    <x v="17"/>
    <x v="175"/>
    <x v="4"/>
    <x v="200"/>
    <x v="0"/>
    <x v="0"/>
  </r>
  <r>
    <x v="558"/>
    <x v="483"/>
    <x v="0"/>
    <x v="0"/>
    <x v="0"/>
    <x v="0"/>
    <x v="0"/>
    <x v="2"/>
    <x v="0"/>
    <x v="0"/>
    <x v="0"/>
    <x v="25"/>
    <x v="67"/>
    <x v="0"/>
    <x v="5"/>
    <x v="0"/>
    <x v="0"/>
    <x v="3"/>
    <x v="1"/>
    <x v="0"/>
    <x v="2"/>
    <x v="102"/>
    <x v="18"/>
    <x v="181"/>
    <x v="4"/>
    <x v="171"/>
    <x v="0"/>
    <x v="0"/>
  </r>
  <r>
    <x v="492"/>
    <x v="491"/>
    <x v="0"/>
    <x v="0"/>
    <x v="0"/>
    <x v="0"/>
    <x v="0"/>
    <x v="2"/>
    <x v="0"/>
    <x v="0"/>
    <x v="0"/>
    <x v="57"/>
    <x v="21"/>
    <x v="0"/>
    <x v="5"/>
    <x v="0"/>
    <x v="0"/>
    <x v="3"/>
    <x v="1"/>
    <x v="0"/>
    <x v="2"/>
    <x v="33"/>
    <x v="36"/>
    <x v="233"/>
    <x v="8"/>
    <x v="257"/>
    <x v="0"/>
    <x v="0"/>
  </r>
  <r>
    <x v="478"/>
    <x v="477"/>
    <x v="0"/>
    <x v="0"/>
    <x v="0"/>
    <x v="0"/>
    <x v="0"/>
    <x v="2"/>
    <x v="0"/>
    <x v="0"/>
    <x v="0"/>
    <x v="22"/>
    <x v="13"/>
    <x v="0"/>
    <x v="5"/>
    <x v="0"/>
    <x v="0"/>
    <x v="3"/>
    <x v="1"/>
    <x v="0"/>
    <x v="2"/>
    <x v="9"/>
    <x v="12"/>
    <x v="203"/>
    <x v="3"/>
    <x v="210"/>
    <x v="0"/>
    <x v="0"/>
  </r>
  <r>
    <x v="489"/>
    <x v="499"/>
    <x v="0"/>
    <x v="0"/>
    <x v="0"/>
    <x v="0"/>
    <x v="0"/>
    <x v="2"/>
    <x v="0"/>
    <x v="0"/>
    <x v="0"/>
    <x v="66"/>
    <x v="32"/>
    <x v="0"/>
    <x v="5"/>
    <x v="0"/>
    <x v="0"/>
    <x v="3"/>
    <x v="1"/>
    <x v="0"/>
    <x v="2"/>
    <x v="30"/>
    <x v="44"/>
    <x v="147"/>
    <x v="3"/>
    <x v="173"/>
    <x v="0"/>
    <x v="0"/>
  </r>
  <r>
    <x v="403"/>
    <x v="405"/>
    <x v="0"/>
    <x v="0"/>
    <x v="0"/>
    <x v="0"/>
    <x v="0"/>
    <x v="2"/>
    <x v="0"/>
    <x v="0"/>
    <x v="0"/>
    <x v="54"/>
    <x v="16"/>
    <x v="0"/>
    <x v="4"/>
    <x v="0"/>
    <x v="0"/>
    <x v="3"/>
    <x v="1"/>
    <x v="0"/>
    <x v="2"/>
    <x v="34"/>
    <x v="38"/>
    <x v="84"/>
    <x v="1"/>
    <x v="130"/>
    <x v="0"/>
    <x v="0"/>
  </r>
  <r>
    <x v="405"/>
    <x v="391"/>
    <x v="0"/>
    <x v="0"/>
    <x v="0"/>
    <x v="0"/>
    <x v="0"/>
    <x v="2"/>
    <x v="0"/>
    <x v="0"/>
    <x v="0"/>
    <x v="31"/>
    <x v="15"/>
    <x v="0"/>
    <x v="4"/>
    <x v="0"/>
    <x v="0"/>
    <x v="3"/>
    <x v="1"/>
    <x v="0"/>
    <x v="2"/>
    <x v="36"/>
    <x v="14"/>
    <x v="138"/>
    <x v="2"/>
    <x v="152"/>
    <x v="0"/>
    <x v="0"/>
  </r>
  <r>
    <x v="392"/>
    <x v="402"/>
    <x v="0"/>
    <x v="0"/>
    <x v="0"/>
    <x v="0"/>
    <x v="0"/>
    <x v="2"/>
    <x v="0"/>
    <x v="0"/>
    <x v="0"/>
    <x v="61"/>
    <x v="35"/>
    <x v="0"/>
    <x v="4"/>
    <x v="0"/>
    <x v="0"/>
    <x v="3"/>
    <x v="1"/>
    <x v="0"/>
    <x v="2"/>
    <x v="18"/>
    <x v="35"/>
    <x v="108"/>
    <x v="2"/>
    <x v="134"/>
    <x v="0"/>
    <x v="0"/>
  </r>
  <r>
    <x v="401"/>
    <x v="401"/>
    <x v="0"/>
    <x v="0"/>
    <x v="0"/>
    <x v="0"/>
    <x v="0"/>
    <x v="2"/>
    <x v="0"/>
    <x v="0"/>
    <x v="0"/>
    <x v="60"/>
    <x v="17"/>
    <x v="0"/>
    <x v="4"/>
    <x v="0"/>
    <x v="0"/>
    <x v="3"/>
    <x v="1"/>
    <x v="0"/>
    <x v="2"/>
    <x v="32"/>
    <x v="34"/>
    <x v="34"/>
    <x v="0"/>
    <x v="42"/>
    <x v="0"/>
    <x v="0"/>
  </r>
  <r>
    <x v="397"/>
    <x v="390"/>
    <x v="0"/>
    <x v="0"/>
    <x v="0"/>
    <x v="0"/>
    <x v="0"/>
    <x v="2"/>
    <x v="0"/>
    <x v="0"/>
    <x v="0"/>
    <x v="23"/>
    <x v="30"/>
    <x v="0"/>
    <x v="4"/>
    <x v="0"/>
    <x v="0"/>
    <x v="3"/>
    <x v="1"/>
    <x v="0"/>
    <x v="2"/>
    <x v="23"/>
    <x v="13"/>
    <x v="42"/>
    <x v="0"/>
    <x v="47"/>
    <x v="0"/>
    <x v="0"/>
  </r>
  <r>
    <x v="396"/>
    <x v="392"/>
    <x v="0"/>
    <x v="0"/>
    <x v="0"/>
    <x v="0"/>
    <x v="0"/>
    <x v="2"/>
    <x v="0"/>
    <x v="0"/>
    <x v="0"/>
    <x v="32"/>
    <x v="24"/>
    <x v="0"/>
    <x v="4"/>
    <x v="0"/>
    <x v="0"/>
    <x v="3"/>
    <x v="1"/>
    <x v="0"/>
    <x v="2"/>
    <x v="22"/>
    <x v="15"/>
    <x v="155"/>
    <x v="6"/>
    <x v="165"/>
    <x v="0"/>
    <x v="0"/>
  </r>
  <r>
    <x v="470"/>
    <x v="396"/>
    <x v="0"/>
    <x v="0"/>
    <x v="0"/>
    <x v="0"/>
    <x v="0"/>
    <x v="2"/>
    <x v="0"/>
    <x v="0"/>
    <x v="0"/>
    <x v="26"/>
    <x v="66"/>
    <x v="0"/>
    <x v="4"/>
    <x v="0"/>
    <x v="0"/>
    <x v="3"/>
    <x v="1"/>
    <x v="0"/>
    <x v="2"/>
    <x v="103"/>
    <x v="19"/>
    <x v="38"/>
    <x v="1"/>
    <x v="36"/>
    <x v="0"/>
    <x v="0"/>
  </r>
  <r>
    <x v="468"/>
    <x v="398"/>
    <x v="0"/>
    <x v="0"/>
    <x v="0"/>
    <x v="0"/>
    <x v="0"/>
    <x v="2"/>
    <x v="0"/>
    <x v="0"/>
    <x v="0"/>
    <x v="30"/>
    <x v="68"/>
    <x v="0"/>
    <x v="4"/>
    <x v="0"/>
    <x v="0"/>
    <x v="3"/>
    <x v="1"/>
    <x v="0"/>
    <x v="2"/>
    <x v="101"/>
    <x v="21"/>
    <x v="29"/>
    <x v="0"/>
    <x v="32"/>
    <x v="0"/>
    <x v="0"/>
  </r>
  <r>
    <x v="424"/>
    <x v="399"/>
    <x v="0"/>
    <x v="0"/>
    <x v="0"/>
    <x v="0"/>
    <x v="0"/>
    <x v="2"/>
    <x v="0"/>
    <x v="0"/>
    <x v="0"/>
    <x v="33"/>
    <x v="56"/>
    <x v="0"/>
    <x v="4"/>
    <x v="0"/>
    <x v="0"/>
    <x v="3"/>
    <x v="1"/>
    <x v="0"/>
    <x v="2"/>
    <x v="54"/>
    <x v="22"/>
    <x v="111"/>
    <x v="3"/>
    <x v="118"/>
    <x v="0"/>
    <x v="0"/>
  </r>
  <r>
    <x v="467"/>
    <x v="397"/>
    <x v="0"/>
    <x v="0"/>
    <x v="0"/>
    <x v="0"/>
    <x v="0"/>
    <x v="2"/>
    <x v="0"/>
    <x v="0"/>
    <x v="0"/>
    <x v="29"/>
    <x v="69"/>
    <x v="0"/>
    <x v="4"/>
    <x v="0"/>
    <x v="0"/>
    <x v="3"/>
    <x v="1"/>
    <x v="0"/>
    <x v="2"/>
    <x v="100"/>
    <x v="20"/>
    <x v="53"/>
    <x v="1"/>
    <x v="50"/>
    <x v="0"/>
    <x v="0"/>
  </r>
  <r>
    <x v="388"/>
    <x v="389"/>
    <x v="0"/>
    <x v="0"/>
    <x v="0"/>
    <x v="0"/>
    <x v="0"/>
    <x v="2"/>
    <x v="0"/>
    <x v="0"/>
    <x v="0"/>
    <x v="22"/>
    <x v="13"/>
    <x v="0"/>
    <x v="4"/>
    <x v="0"/>
    <x v="0"/>
    <x v="3"/>
    <x v="1"/>
    <x v="0"/>
    <x v="2"/>
    <x v="9"/>
    <x v="12"/>
    <x v="215"/>
    <x v="6"/>
    <x v="226"/>
    <x v="0"/>
    <x v="0"/>
  </r>
  <r>
    <x v="402"/>
    <x v="403"/>
    <x v="0"/>
    <x v="0"/>
    <x v="0"/>
    <x v="0"/>
    <x v="0"/>
    <x v="2"/>
    <x v="0"/>
    <x v="0"/>
    <x v="0"/>
    <x v="57"/>
    <x v="21"/>
    <x v="0"/>
    <x v="4"/>
    <x v="0"/>
    <x v="0"/>
    <x v="3"/>
    <x v="1"/>
    <x v="0"/>
    <x v="2"/>
    <x v="33"/>
    <x v="36"/>
    <x v="216"/>
    <x v="6"/>
    <x v="243"/>
    <x v="0"/>
    <x v="0"/>
  </r>
  <r>
    <x v="393"/>
    <x v="404"/>
    <x v="0"/>
    <x v="0"/>
    <x v="0"/>
    <x v="0"/>
    <x v="0"/>
    <x v="2"/>
    <x v="0"/>
    <x v="0"/>
    <x v="0"/>
    <x v="58"/>
    <x v="11"/>
    <x v="0"/>
    <x v="4"/>
    <x v="0"/>
    <x v="0"/>
    <x v="3"/>
    <x v="1"/>
    <x v="0"/>
    <x v="2"/>
    <x v="19"/>
    <x v="37"/>
    <x v="159"/>
    <x v="4"/>
    <x v="203"/>
    <x v="0"/>
    <x v="0"/>
  </r>
  <r>
    <x v="398"/>
    <x v="407"/>
    <x v="0"/>
    <x v="0"/>
    <x v="0"/>
    <x v="0"/>
    <x v="0"/>
    <x v="2"/>
    <x v="0"/>
    <x v="0"/>
    <x v="0"/>
    <x v="50"/>
    <x v="8"/>
    <x v="0"/>
    <x v="4"/>
    <x v="0"/>
    <x v="0"/>
    <x v="3"/>
    <x v="1"/>
    <x v="0"/>
    <x v="2"/>
    <x v="29"/>
    <x v="40"/>
    <x v="195"/>
    <x v="7"/>
    <x v="223"/>
    <x v="0"/>
    <x v="0"/>
  </r>
  <r>
    <x v="390"/>
    <x v="412"/>
    <x v="0"/>
    <x v="0"/>
    <x v="0"/>
    <x v="0"/>
    <x v="0"/>
    <x v="2"/>
    <x v="0"/>
    <x v="0"/>
    <x v="0"/>
    <x v="67"/>
    <x v="37"/>
    <x v="0"/>
    <x v="4"/>
    <x v="0"/>
    <x v="0"/>
    <x v="3"/>
    <x v="1"/>
    <x v="0"/>
    <x v="2"/>
    <x v="16"/>
    <x v="45"/>
    <x v="79"/>
    <x v="0"/>
    <x v="121"/>
    <x v="0"/>
    <x v="0"/>
  </r>
  <r>
    <x v="389"/>
    <x v="408"/>
    <x v="0"/>
    <x v="0"/>
    <x v="0"/>
    <x v="0"/>
    <x v="0"/>
    <x v="2"/>
    <x v="0"/>
    <x v="0"/>
    <x v="0"/>
    <x v="51"/>
    <x v="12"/>
    <x v="0"/>
    <x v="4"/>
    <x v="0"/>
    <x v="0"/>
    <x v="3"/>
    <x v="1"/>
    <x v="0"/>
    <x v="2"/>
    <x v="15"/>
    <x v="41"/>
    <x v="40"/>
    <x v="1"/>
    <x v="81"/>
    <x v="0"/>
    <x v="0"/>
  </r>
  <r>
    <x v="469"/>
    <x v="395"/>
    <x v="0"/>
    <x v="0"/>
    <x v="0"/>
    <x v="0"/>
    <x v="0"/>
    <x v="2"/>
    <x v="0"/>
    <x v="0"/>
    <x v="0"/>
    <x v="25"/>
    <x v="67"/>
    <x v="0"/>
    <x v="4"/>
    <x v="0"/>
    <x v="0"/>
    <x v="3"/>
    <x v="1"/>
    <x v="0"/>
    <x v="2"/>
    <x v="102"/>
    <x v="18"/>
    <x v="268"/>
    <x v="27"/>
    <x v="246"/>
    <x v="0"/>
    <x v="0"/>
  </r>
  <r>
    <x v="395"/>
    <x v="394"/>
    <x v="0"/>
    <x v="0"/>
    <x v="0"/>
    <x v="0"/>
    <x v="0"/>
    <x v="2"/>
    <x v="0"/>
    <x v="0"/>
    <x v="0"/>
    <x v="28"/>
    <x v="10"/>
    <x v="0"/>
    <x v="4"/>
    <x v="0"/>
    <x v="0"/>
    <x v="3"/>
    <x v="1"/>
    <x v="0"/>
    <x v="2"/>
    <x v="21"/>
    <x v="17"/>
    <x v="190"/>
    <x v="5"/>
    <x v="215"/>
    <x v="0"/>
    <x v="0"/>
  </r>
  <r>
    <x v="391"/>
    <x v="410"/>
    <x v="0"/>
    <x v="0"/>
    <x v="0"/>
    <x v="0"/>
    <x v="0"/>
    <x v="2"/>
    <x v="0"/>
    <x v="0"/>
    <x v="0"/>
    <x v="64"/>
    <x v="36"/>
    <x v="0"/>
    <x v="4"/>
    <x v="0"/>
    <x v="0"/>
    <x v="3"/>
    <x v="1"/>
    <x v="0"/>
    <x v="2"/>
    <x v="17"/>
    <x v="43"/>
    <x v="45"/>
    <x v="0"/>
    <x v="76"/>
    <x v="0"/>
    <x v="0"/>
  </r>
  <r>
    <x v="423"/>
    <x v="400"/>
    <x v="0"/>
    <x v="0"/>
    <x v="0"/>
    <x v="0"/>
    <x v="0"/>
    <x v="2"/>
    <x v="0"/>
    <x v="0"/>
    <x v="0"/>
    <x v="34"/>
    <x v="55"/>
    <x v="0"/>
    <x v="4"/>
    <x v="0"/>
    <x v="0"/>
    <x v="3"/>
    <x v="1"/>
    <x v="0"/>
    <x v="2"/>
    <x v="53"/>
    <x v="23"/>
    <x v="21"/>
    <x v="0"/>
    <x v="31"/>
    <x v="0"/>
    <x v="0"/>
  </r>
  <r>
    <x v="399"/>
    <x v="411"/>
    <x v="0"/>
    <x v="0"/>
    <x v="0"/>
    <x v="0"/>
    <x v="0"/>
    <x v="2"/>
    <x v="0"/>
    <x v="0"/>
    <x v="0"/>
    <x v="66"/>
    <x v="32"/>
    <x v="0"/>
    <x v="4"/>
    <x v="0"/>
    <x v="0"/>
    <x v="3"/>
    <x v="1"/>
    <x v="0"/>
    <x v="2"/>
    <x v="30"/>
    <x v="44"/>
    <x v="206"/>
    <x v="5"/>
    <x v="216"/>
    <x v="0"/>
    <x v="0"/>
  </r>
  <r>
    <x v="404"/>
    <x v="393"/>
    <x v="0"/>
    <x v="0"/>
    <x v="0"/>
    <x v="0"/>
    <x v="0"/>
    <x v="2"/>
    <x v="0"/>
    <x v="0"/>
    <x v="0"/>
    <x v="27"/>
    <x v="28"/>
    <x v="0"/>
    <x v="4"/>
    <x v="0"/>
    <x v="0"/>
    <x v="3"/>
    <x v="1"/>
    <x v="0"/>
    <x v="2"/>
    <x v="35"/>
    <x v="16"/>
    <x v="255"/>
    <x v="6"/>
    <x v="255"/>
    <x v="0"/>
    <x v="0"/>
  </r>
  <r>
    <x v="394"/>
    <x v="406"/>
    <x v="0"/>
    <x v="0"/>
    <x v="0"/>
    <x v="0"/>
    <x v="0"/>
    <x v="2"/>
    <x v="0"/>
    <x v="0"/>
    <x v="0"/>
    <x v="55"/>
    <x v="14"/>
    <x v="0"/>
    <x v="4"/>
    <x v="0"/>
    <x v="0"/>
    <x v="3"/>
    <x v="1"/>
    <x v="0"/>
    <x v="2"/>
    <x v="20"/>
    <x v="39"/>
    <x v="89"/>
    <x v="1"/>
    <x v="107"/>
    <x v="0"/>
    <x v="0"/>
  </r>
  <r>
    <x v="400"/>
    <x v="409"/>
    <x v="0"/>
    <x v="0"/>
    <x v="0"/>
    <x v="0"/>
    <x v="0"/>
    <x v="2"/>
    <x v="0"/>
    <x v="0"/>
    <x v="0"/>
    <x v="63"/>
    <x v="22"/>
    <x v="0"/>
    <x v="4"/>
    <x v="0"/>
    <x v="0"/>
    <x v="3"/>
    <x v="1"/>
    <x v="0"/>
    <x v="2"/>
    <x v="31"/>
    <x v="42"/>
    <x v="194"/>
    <x v="7"/>
    <x v="240"/>
    <x v="0"/>
    <x v="0"/>
  </r>
  <r>
    <x v="379"/>
    <x v="308"/>
    <x v="0"/>
    <x v="0"/>
    <x v="0"/>
    <x v="0"/>
    <x v="0"/>
    <x v="2"/>
    <x v="0"/>
    <x v="0"/>
    <x v="0"/>
    <x v="30"/>
    <x v="68"/>
    <x v="0"/>
    <x v="3"/>
    <x v="0"/>
    <x v="0"/>
    <x v="3"/>
    <x v="1"/>
    <x v="0"/>
    <x v="2"/>
    <x v="101"/>
    <x v="21"/>
    <x v="43"/>
    <x v="0"/>
    <x v="39"/>
    <x v="0"/>
    <x v="0"/>
  </r>
  <r>
    <x v="300"/>
    <x v="318"/>
    <x v="0"/>
    <x v="0"/>
    <x v="0"/>
    <x v="0"/>
    <x v="0"/>
    <x v="2"/>
    <x v="0"/>
    <x v="0"/>
    <x v="0"/>
    <x v="51"/>
    <x v="12"/>
    <x v="0"/>
    <x v="3"/>
    <x v="0"/>
    <x v="0"/>
    <x v="3"/>
    <x v="1"/>
    <x v="0"/>
    <x v="2"/>
    <x v="15"/>
    <x v="41"/>
    <x v="148"/>
    <x v="7"/>
    <x v="184"/>
    <x v="0"/>
    <x v="0"/>
  </r>
  <r>
    <x v="307"/>
    <x v="302"/>
    <x v="0"/>
    <x v="0"/>
    <x v="0"/>
    <x v="0"/>
    <x v="0"/>
    <x v="2"/>
    <x v="0"/>
    <x v="0"/>
    <x v="0"/>
    <x v="32"/>
    <x v="24"/>
    <x v="0"/>
    <x v="3"/>
    <x v="0"/>
    <x v="0"/>
    <x v="3"/>
    <x v="1"/>
    <x v="0"/>
    <x v="2"/>
    <x v="22"/>
    <x v="15"/>
    <x v="155"/>
    <x v="2"/>
    <x v="174"/>
    <x v="0"/>
    <x v="0"/>
  </r>
  <r>
    <x v="316"/>
    <x v="301"/>
    <x v="0"/>
    <x v="0"/>
    <x v="0"/>
    <x v="0"/>
    <x v="0"/>
    <x v="2"/>
    <x v="0"/>
    <x v="0"/>
    <x v="0"/>
    <x v="31"/>
    <x v="15"/>
    <x v="0"/>
    <x v="3"/>
    <x v="0"/>
    <x v="0"/>
    <x v="3"/>
    <x v="1"/>
    <x v="0"/>
    <x v="2"/>
    <x v="36"/>
    <x v="14"/>
    <x v="130"/>
    <x v="2"/>
    <x v="140"/>
    <x v="0"/>
    <x v="0"/>
  </r>
  <r>
    <x v="308"/>
    <x v="300"/>
    <x v="0"/>
    <x v="0"/>
    <x v="0"/>
    <x v="0"/>
    <x v="0"/>
    <x v="2"/>
    <x v="0"/>
    <x v="0"/>
    <x v="0"/>
    <x v="23"/>
    <x v="30"/>
    <x v="0"/>
    <x v="3"/>
    <x v="0"/>
    <x v="0"/>
    <x v="3"/>
    <x v="1"/>
    <x v="0"/>
    <x v="2"/>
    <x v="23"/>
    <x v="13"/>
    <x v="51"/>
    <x v="2"/>
    <x v="62"/>
    <x v="0"/>
    <x v="0"/>
  </r>
  <r>
    <x v="313"/>
    <x v="313"/>
    <x v="0"/>
    <x v="0"/>
    <x v="0"/>
    <x v="0"/>
    <x v="0"/>
    <x v="2"/>
    <x v="0"/>
    <x v="0"/>
    <x v="0"/>
    <x v="57"/>
    <x v="21"/>
    <x v="0"/>
    <x v="3"/>
    <x v="0"/>
    <x v="0"/>
    <x v="3"/>
    <x v="1"/>
    <x v="0"/>
    <x v="2"/>
    <x v="33"/>
    <x v="36"/>
    <x v="174"/>
    <x v="3"/>
    <x v="206"/>
    <x v="0"/>
    <x v="0"/>
  </r>
  <r>
    <x v="311"/>
    <x v="319"/>
    <x v="0"/>
    <x v="0"/>
    <x v="0"/>
    <x v="0"/>
    <x v="0"/>
    <x v="2"/>
    <x v="0"/>
    <x v="0"/>
    <x v="0"/>
    <x v="63"/>
    <x v="22"/>
    <x v="0"/>
    <x v="3"/>
    <x v="0"/>
    <x v="0"/>
    <x v="3"/>
    <x v="1"/>
    <x v="0"/>
    <x v="2"/>
    <x v="31"/>
    <x v="42"/>
    <x v="176"/>
    <x v="7"/>
    <x v="221"/>
    <x v="0"/>
    <x v="0"/>
  </r>
  <r>
    <x v="312"/>
    <x v="311"/>
    <x v="0"/>
    <x v="0"/>
    <x v="0"/>
    <x v="0"/>
    <x v="0"/>
    <x v="2"/>
    <x v="0"/>
    <x v="0"/>
    <x v="0"/>
    <x v="60"/>
    <x v="17"/>
    <x v="0"/>
    <x v="3"/>
    <x v="0"/>
    <x v="0"/>
    <x v="3"/>
    <x v="1"/>
    <x v="0"/>
    <x v="2"/>
    <x v="32"/>
    <x v="34"/>
    <x v="26"/>
    <x v="1"/>
    <x v="29"/>
    <x v="0"/>
    <x v="0"/>
  </r>
  <r>
    <x v="380"/>
    <x v="305"/>
    <x v="0"/>
    <x v="0"/>
    <x v="0"/>
    <x v="0"/>
    <x v="0"/>
    <x v="2"/>
    <x v="0"/>
    <x v="0"/>
    <x v="0"/>
    <x v="25"/>
    <x v="67"/>
    <x v="0"/>
    <x v="3"/>
    <x v="0"/>
    <x v="0"/>
    <x v="3"/>
    <x v="1"/>
    <x v="0"/>
    <x v="2"/>
    <x v="102"/>
    <x v="18"/>
    <x v="276"/>
    <x v="36"/>
    <x v="260"/>
    <x v="0"/>
    <x v="0"/>
  </r>
  <r>
    <x v="306"/>
    <x v="304"/>
    <x v="0"/>
    <x v="0"/>
    <x v="0"/>
    <x v="0"/>
    <x v="0"/>
    <x v="2"/>
    <x v="0"/>
    <x v="0"/>
    <x v="0"/>
    <x v="28"/>
    <x v="10"/>
    <x v="0"/>
    <x v="3"/>
    <x v="0"/>
    <x v="0"/>
    <x v="3"/>
    <x v="1"/>
    <x v="0"/>
    <x v="2"/>
    <x v="21"/>
    <x v="17"/>
    <x v="157"/>
    <x v="5"/>
    <x v="172"/>
    <x v="0"/>
    <x v="0"/>
  </r>
  <r>
    <x v="309"/>
    <x v="317"/>
    <x v="0"/>
    <x v="0"/>
    <x v="0"/>
    <x v="0"/>
    <x v="0"/>
    <x v="2"/>
    <x v="0"/>
    <x v="0"/>
    <x v="0"/>
    <x v="50"/>
    <x v="8"/>
    <x v="0"/>
    <x v="3"/>
    <x v="0"/>
    <x v="0"/>
    <x v="3"/>
    <x v="1"/>
    <x v="0"/>
    <x v="2"/>
    <x v="29"/>
    <x v="40"/>
    <x v="227"/>
    <x v="9"/>
    <x v="245"/>
    <x v="0"/>
    <x v="0"/>
  </r>
  <r>
    <x v="303"/>
    <x v="312"/>
    <x v="0"/>
    <x v="0"/>
    <x v="0"/>
    <x v="0"/>
    <x v="0"/>
    <x v="2"/>
    <x v="0"/>
    <x v="0"/>
    <x v="0"/>
    <x v="61"/>
    <x v="35"/>
    <x v="0"/>
    <x v="3"/>
    <x v="0"/>
    <x v="0"/>
    <x v="3"/>
    <x v="1"/>
    <x v="0"/>
    <x v="2"/>
    <x v="18"/>
    <x v="35"/>
    <x v="75"/>
    <x v="0"/>
    <x v="89"/>
    <x v="0"/>
    <x v="0"/>
  </r>
  <r>
    <x v="378"/>
    <x v="307"/>
    <x v="0"/>
    <x v="0"/>
    <x v="0"/>
    <x v="0"/>
    <x v="0"/>
    <x v="2"/>
    <x v="0"/>
    <x v="0"/>
    <x v="0"/>
    <x v="29"/>
    <x v="69"/>
    <x v="0"/>
    <x v="3"/>
    <x v="0"/>
    <x v="0"/>
    <x v="3"/>
    <x v="1"/>
    <x v="0"/>
    <x v="2"/>
    <x v="100"/>
    <x v="20"/>
    <x v="143"/>
    <x v="3"/>
    <x v="102"/>
    <x v="0"/>
    <x v="0"/>
  </r>
  <r>
    <x v="299"/>
    <x v="299"/>
    <x v="0"/>
    <x v="0"/>
    <x v="0"/>
    <x v="0"/>
    <x v="0"/>
    <x v="2"/>
    <x v="0"/>
    <x v="0"/>
    <x v="0"/>
    <x v="22"/>
    <x v="13"/>
    <x v="0"/>
    <x v="3"/>
    <x v="0"/>
    <x v="0"/>
    <x v="3"/>
    <x v="1"/>
    <x v="0"/>
    <x v="2"/>
    <x v="9"/>
    <x v="12"/>
    <x v="214"/>
    <x v="13"/>
    <x v="227"/>
    <x v="0"/>
    <x v="0"/>
  </r>
  <r>
    <x v="334"/>
    <x v="310"/>
    <x v="0"/>
    <x v="0"/>
    <x v="0"/>
    <x v="0"/>
    <x v="0"/>
    <x v="2"/>
    <x v="0"/>
    <x v="0"/>
    <x v="0"/>
    <x v="34"/>
    <x v="55"/>
    <x v="0"/>
    <x v="3"/>
    <x v="0"/>
    <x v="0"/>
    <x v="3"/>
    <x v="1"/>
    <x v="0"/>
    <x v="2"/>
    <x v="53"/>
    <x v="23"/>
    <x v="114"/>
    <x v="8"/>
    <x v="116"/>
    <x v="0"/>
    <x v="0"/>
  </r>
  <r>
    <x v="315"/>
    <x v="303"/>
    <x v="0"/>
    <x v="0"/>
    <x v="0"/>
    <x v="0"/>
    <x v="0"/>
    <x v="2"/>
    <x v="0"/>
    <x v="0"/>
    <x v="0"/>
    <x v="27"/>
    <x v="28"/>
    <x v="0"/>
    <x v="3"/>
    <x v="0"/>
    <x v="0"/>
    <x v="3"/>
    <x v="1"/>
    <x v="0"/>
    <x v="2"/>
    <x v="35"/>
    <x v="16"/>
    <x v="204"/>
    <x v="12"/>
    <x v="211"/>
    <x v="0"/>
    <x v="0"/>
  </r>
  <r>
    <x v="335"/>
    <x v="309"/>
    <x v="0"/>
    <x v="0"/>
    <x v="0"/>
    <x v="0"/>
    <x v="0"/>
    <x v="2"/>
    <x v="0"/>
    <x v="0"/>
    <x v="0"/>
    <x v="33"/>
    <x v="56"/>
    <x v="0"/>
    <x v="3"/>
    <x v="0"/>
    <x v="0"/>
    <x v="3"/>
    <x v="1"/>
    <x v="0"/>
    <x v="2"/>
    <x v="54"/>
    <x v="22"/>
    <x v="127"/>
    <x v="7"/>
    <x v="120"/>
    <x v="0"/>
    <x v="0"/>
  </r>
  <r>
    <x v="381"/>
    <x v="306"/>
    <x v="0"/>
    <x v="0"/>
    <x v="0"/>
    <x v="0"/>
    <x v="0"/>
    <x v="2"/>
    <x v="0"/>
    <x v="0"/>
    <x v="0"/>
    <x v="26"/>
    <x v="66"/>
    <x v="0"/>
    <x v="3"/>
    <x v="0"/>
    <x v="0"/>
    <x v="3"/>
    <x v="1"/>
    <x v="0"/>
    <x v="2"/>
    <x v="103"/>
    <x v="19"/>
    <x v="61"/>
    <x v="1"/>
    <x v="56"/>
    <x v="0"/>
    <x v="0"/>
  </r>
  <r>
    <x v="302"/>
    <x v="320"/>
    <x v="0"/>
    <x v="0"/>
    <x v="0"/>
    <x v="0"/>
    <x v="0"/>
    <x v="2"/>
    <x v="0"/>
    <x v="0"/>
    <x v="0"/>
    <x v="64"/>
    <x v="36"/>
    <x v="0"/>
    <x v="3"/>
    <x v="0"/>
    <x v="0"/>
    <x v="3"/>
    <x v="1"/>
    <x v="0"/>
    <x v="2"/>
    <x v="17"/>
    <x v="43"/>
    <x v="28"/>
    <x v="0"/>
    <x v="38"/>
    <x v="0"/>
    <x v="0"/>
  </r>
  <r>
    <x v="301"/>
    <x v="322"/>
    <x v="0"/>
    <x v="0"/>
    <x v="0"/>
    <x v="0"/>
    <x v="0"/>
    <x v="2"/>
    <x v="0"/>
    <x v="0"/>
    <x v="0"/>
    <x v="67"/>
    <x v="37"/>
    <x v="0"/>
    <x v="3"/>
    <x v="0"/>
    <x v="0"/>
    <x v="3"/>
    <x v="1"/>
    <x v="0"/>
    <x v="2"/>
    <x v="16"/>
    <x v="45"/>
    <x v="73"/>
    <x v="1"/>
    <x v="106"/>
    <x v="0"/>
    <x v="0"/>
  </r>
  <r>
    <x v="310"/>
    <x v="321"/>
    <x v="0"/>
    <x v="0"/>
    <x v="0"/>
    <x v="0"/>
    <x v="0"/>
    <x v="2"/>
    <x v="0"/>
    <x v="0"/>
    <x v="0"/>
    <x v="66"/>
    <x v="32"/>
    <x v="0"/>
    <x v="3"/>
    <x v="0"/>
    <x v="0"/>
    <x v="3"/>
    <x v="1"/>
    <x v="0"/>
    <x v="2"/>
    <x v="30"/>
    <x v="44"/>
    <x v="237"/>
    <x v="6"/>
    <x v="251"/>
    <x v="0"/>
    <x v="0"/>
  </r>
  <r>
    <x v="304"/>
    <x v="314"/>
    <x v="0"/>
    <x v="0"/>
    <x v="0"/>
    <x v="0"/>
    <x v="0"/>
    <x v="2"/>
    <x v="0"/>
    <x v="0"/>
    <x v="0"/>
    <x v="58"/>
    <x v="11"/>
    <x v="0"/>
    <x v="3"/>
    <x v="0"/>
    <x v="0"/>
    <x v="3"/>
    <x v="1"/>
    <x v="0"/>
    <x v="2"/>
    <x v="19"/>
    <x v="37"/>
    <x v="98"/>
    <x v="3"/>
    <x v="141"/>
    <x v="0"/>
    <x v="0"/>
  </r>
  <r>
    <x v="305"/>
    <x v="316"/>
    <x v="0"/>
    <x v="0"/>
    <x v="0"/>
    <x v="0"/>
    <x v="0"/>
    <x v="2"/>
    <x v="0"/>
    <x v="0"/>
    <x v="0"/>
    <x v="55"/>
    <x v="14"/>
    <x v="0"/>
    <x v="3"/>
    <x v="0"/>
    <x v="0"/>
    <x v="3"/>
    <x v="1"/>
    <x v="0"/>
    <x v="2"/>
    <x v="20"/>
    <x v="39"/>
    <x v="67"/>
    <x v="0"/>
    <x v="70"/>
    <x v="0"/>
    <x v="0"/>
  </r>
  <r>
    <x v="314"/>
    <x v="315"/>
    <x v="0"/>
    <x v="0"/>
    <x v="0"/>
    <x v="0"/>
    <x v="0"/>
    <x v="2"/>
    <x v="0"/>
    <x v="0"/>
    <x v="0"/>
    <x v="54"/>
    <x v="16"/>
    <x v="0"/>
    <x v="3"/>
    <x v="0"/>
    <x v="0"/>
    <x v="3"/>
    <x v="1"/>
    <x v="0"/>
    <x v="2"/>
    <x v="34"/>
    <x v="38"/>
    <x v="30"/>
    <x v="2"/>
    <x v="49"/>
    <x v="0"/>
    <x v="0"/>
  </r>
  <r>
    <x v="288"/>
    <x v="216"/>
    <x v="0"/>
    <x v="0"/>
    <x v="0"/>
    <x v="0"/>
    <x v="0"/>
    <x v="2"/>
    <x v="0"/>
    <x v="0"/>
    <x v="0"/>
    <x v="29"/>
    <x v="69"/>
    <x v="0"/>
    <x v="2"/>
    <x v="0"/>
    <x v="0"/>
    <x v="3"/>
    <x v="1"/>
    <x v="0"/>
    <x v="2"/>
    <x v="100"/>
    <x v="20"/>
    <x v="162"/>
    <x v="5"/>
    <x v="145"/>
    <x v="0"/>
    <x v="0"/>
  </r>
  <r>
    <x v="219"/>
    <x v="226"/>
    <x v="0"/>
    <x v="0"/>
    <x v="0"/>
    <x v="0"/>
    <x v="0"/>
    <x v="2"/>
    <x v="0"/>
    <x v="0"/>
    <x v="0"/>
    <x v="50"/>
    <x v="8"/>
    <x v="0"/>
    <x v="2"/>
    <x v="0"/>
    <x v="0"/>
    <x v="3"/>
    <x v="1"/>
    <x v="0"/>
    <x v="2"/>
    <x v="29"/>
    <x v="40"/>
    <x v="94"/>
    <x v="0"/>
    <x v="132"/>
    <x v="0"/>
    <x v="0"/>
  </r>
  <r>
    <x v="222"/>
    <x v="220"/>
    <x v="0"/>
    <x v="0"/>
    <x v="0"/>
    <x v="0"/>
    <x v="0"/>
    <x v="2"/>
    <x v="0"/>
    <x v="0"/>
    <x v="0"/>
    <x v="60"/>
    <x v="17"/>
    <x v="0"/>
    <x v="2"/>
    <x v="0"/>
    <x v="0"/>
    <x v="3"/>
    <x v="1"/>
    <x v="0"/>
    <x v="2"/>
    <x v="32"/>
    <x v="34"/>
    <x v="117"/>
    <x v="2"/>
    <x v="113"/>
    <x v="0"/>
    <x v="0"/>
  </r>
  <r>
    <x v="209"/>
    <x v="208"/>
    <x v="0"/>
    <x v="0"/>
    <x v="0"/>
    <x v="0"/>
    <x v="0"/>
    <x v="2"/>
    <x v="0"/>
    <x v="0"/>
    <x v="0"/>
    <x v="22"/>
    <x v="13"/>
    <x v="0"/>
    <x v="2"/>
    <x v="0"/>
    <x v="0"/>
    <x v="3"/>
    <x v="1"/>
    <x v="0"/>
    <x v="2"/>
    <x v="9"/>
    <x v="12"/>
    <x v="210"/>
    <x v="9"/>
    <x v="217"/>
    <x v="0"/>
    <x v="0"/>
  </r>
  <r>
    <x v="225"/>
    <x v="212"/>
    <x v="0"/>
    <x v="0"/>
    <x v="0"/>
    <x v="0"/>
    <x v="0"/>
    <x v="2"/>
    <x v="0"/>
    <x v="0"/>
    <x v="0"/>
    <x v="27"/>
    <x v="28"/>
    <x v="0"/>
    <x v="2"/>
    <x v="0"/>
    <x v="0"/>
    <x v="3"/>
    <x v="1"/>
    <x v="0"/>
    <x v="2"/>
    <x v="35"/>
    <x v="16"/>
    <x v="267"/>
    <x v="10"/>
    <x v="254"/>
    <x v="0"/>
    <x v="0"/>
  </r>
  <r>
    <x v="290"/>
    <x v="214"/>
    <x v="0"/>
    <x v="0"/>
    <x v="0"/>
    <x v="0"/>
    <x v="0"/>
    <x v="2"/>
    <x v="0"/>
    <x v="0"/>
    <x v="0"/>
    <x v="25"/>
    <x v="67"/>
    <x v="0"/>
    <x v="2"/>
    <x v="0"/>
    <x v="0"/>
    <x v="3"/>
    <x v="1"/>
    <x v="0"/>
    <x v="2"/>
    <x v="102"/>
    <x v="18"/>
    <x v="188"/>
    <x v="7"/>
    <x v="182"/>
    <x v="0"/>
    <x v="0"/>
  </r>
  <r>
    <x v="245"/>
    <x v="218"/>
    <x v="0"/>
    <x v="0"/>
    <x v="0"/>
    <x v="0"/>
    <x v="0"/>
    <x v="2"/>
    <x v="0"/>
    <x v="0"/>
    <x v="0"/>
    <x v="33"/>
    <x v="56"/>
    <x v="0"/>
    <x v="2"/>
    <x v="0"/>
    <x v="0"/>
    <x v="3"/>
    <x v="1"/>
    <x v="0"/>
    <x v="2"/>
    <x v="54"/>
    <x v="22"/>
    <x v="119"/>
    <x v="3"/>
    <x v="97"/>
    <x v="0"/>
    <x v="0"/>
  </r>
  <r>
    <x v="221"/>
    <x v="228"/>
    <x v="0"/>
    <x v="0"/>
    <x v="0"/>
    <x v="0"/>
    <x v="0"/>
    <x v="2"/>
    <x v="0"/>
    <x v="0"/>
    <x v="0"/>
    <x v="63"/>
    <x v="22"/>
    <x v="0"/>
    <x v="2"/>
    <x v="0"/>
    <x v="0"/>
    <x v="3"/>
    <x v="1"/>
    <x v="0"/>
    <x v="2"/>
    <x v="31"/>
    <x v="42"/>
    <x v="179"/>
    <x v="5"/>
    <x v="229"/>
    <x v="0"/>
    <x v="0"/>
  </r>
  <r>
    <x v="244"/>
    <x v="219"/>
    <x v="0"/>
    <x v="0"/>
    <x v="0"/>
    <x v="0"/>
    <x v="0"/>
    <x v="2"/>
    <x v="0"/>
    <x v="0"/>
    <x v="0"/>
    <x v="34"/>
    <x v="55"/>
    <x v="0"/>
    <x v="2"/>
    <x v="0"/>
    <x v="0"/>
    <x v="3"/>
    <x v="1"/>
    <x v="0"/>
    <x v="2"/>
    <x v="53"/>
    <x v="23"/>
    <x v="90"/>
    <x v="1"/>
    <x v="79"/>
    <x v="0"/>
    <x v="0"/>
  </r>
  <r>
    <x v="210"/>
    <x v="227"/>
    <x v="0"/>
    <x v="0"/>
    <x v="0"/>
    <x v="0"/>
    <x v="0"/>
    <x v="2"/>
    <x v="0"/>
    <x v="0"/>
    <x v="0"/>
    <x v="51"/>
    <x v="12"/>
    <x v="0"/>
    <x v="2"/>
    <x v="0"/>
    <x v="0"/>
    <x v="3"/>
    <x v="1"/>
    <x v="0"/>
    <x v="2"/>
    <x v="15"/>
    <x v="41"/>
    <x v="173"/>
    <x v="6"/>
    <x v="209"/>
    <x v="0"/>
    <x v="0"/>
  </r>
  <r>
    <x v="211"/>
    <x v="231"/>
    <x v="0"/>
    <x v="0"/>
    <x v="0"/>
    <x v="0"/>
    <x v="0"/>
    <x v="2"/>
    <x v="0"/>
    <x v="0"/>
    <x v="0"/>
    <x v="67"/>
    <x v="37"/>
    <x v="0"/>
    <x v="2"/>
    <x v="0"/>
    <x v="0"/>
    <x v="3"/>
    <x v="1"/>
    <x v="0"/>
    <x v="2"/>
    <x v="16"/>
    <x v="45"/>
    <x v="39"/>
    <x v="0"/>
    <x v="64"/>
    <x v="0"/>
    <x v="0"/>
  </r>
  <r>
    <x v="224"/>
    <x v="224"/>
    <x v="0"/>
    <x v="0"/>
    <x v="0"/>
    <x v="0"/>
    <x v="0"/>
    <x v="2"/>
    <x v="0"/>
    <x v="0"/>
    <x v="0"/>
    <x v="54"/>
    <x v="16"/>
    <x v="0"/>
    <x v="2"/>
    <x v="0"/>
    <x v="0"/>
    <x v="3"/>
    <x v="1"/>
    <x v="0"/>
    <x v="2"/>
    <x v="34"/>
    <x v="38"/>
    <x v="116"/>
    <x v="1"/>
    <x v="148"/>
    <x v="0"/>
    <x v="0"/>
  </r>
  <r>
    <x v="223"/>
    <x v="222"/>
    <x v="0"/>
    <x v="0"/>
    <x v="0"/>
    <x v="0"/>
    <x v="0"/>
    <x v="2"/>
    <x v="0"/>
    <x v="0"/>
    <x v="0"/>
    <x v="57"/>
    <x v="21"/>
    <x v="0"/>
    <x v="2"/>
    <x v="0"/>
    <x v="0"/>
    <x v="3"/>
    <x v="1"/>
    <x v="0"/>
    <x v="2"/>
    <x v="33"/>
    <x v="36"/>
    <x v="225"/>
    <x v="9"/>
    <x v="249"/>
    <x v="0"/>
    <x v="0"/>
  </r>
  <r>
    <x v="226"/>
    <x v="210"/>
    <x v="0"/>
    <x v="0"/>
    <x v="0"/>
    <x v="0"/>
    <x v="0"/>
    <x v="2"/>
    <x v="0"/>
    <x v="0"/>
    <x v="0"/>
    <x v="31"/>
    <x v="15"/>
    <x v="0"/>
    <x v="2"/>
    <x v="0"/>
    <x v="0"/>
    <x v="3"/>
    <x v="1"/>
    <x v="0"/>
    <x v="2"/>
    <x v="36"/>
    <x v="14"/>
    <x v="149"/>
    <x v="2"/>
    <x v="157"/>
    <x v="0"/>
    <x v="0"/>
  </r>
  <r>
    <x v="217"/>
    <x v="211"/>
    <x v="0"/>
    <x v="0"/>
    <x v="0"/>
    <x v="0"/>
    <x v="0"/>
    <x v="2"/>
    <x v="0"/>
    <x v="0"/>
    <x v="0"/>
    <x v="32"/>
    <x v="24"/>
    <x v="0"/>
    <x v="2"/>
    <x v="0"/>
    <x v="0"/>
    <x v="3"/>
    <x v="1"/>
    <x v="0"/>
    <x v="2"/>
    <x v="22"/>
    <x v="15"/>
    <x v="165"/>
    <x v="9"/>
    <x v="177"/>
    <x v="0"/>
    <x v="0"/>
  </r>
  <r>
    <x v="291"/>
    <x v="215"/>
    <x v="0"/>
    <x v="0"/>
    <x v="0"/>
    <x v="0"/>
    <x v="0"/>
    <x v="2"/>
    <x v="0"/>
    <x v="0"/>
    <x v="0"/>
    <x v="26"/>
    <x v="66"/>
    <x v="0"/>
    <x v="2"/>
    <x v="0"/>
    <x v="0"/>
    <x v="3"/>
    <x v="1"/>
    <x v="0"/>
    <x v="2"/>
    <x v="103"/>
    <x v="19"/>
    <x v="69"/>
    <x v="0"/>
    <x v="55"/>
    <x v="0"/>
    <x v="0"/>
  </r>
  <r>
    <x v="216"/>
    <x v="213"/>
    <x v="0"/>
    <x v="0"/>
    <x v="0"/>
    <x v="0"/>
    <x v="0"/>
    <x v="2"/>
    <x v="0"/>
    <x v="0"/>
    <x v="0"/>
    <x v="28"/>
    <x v="10"/>
    <x v="0"/>
    <x v="2"/>
    <x v="0"/>
    <x v="0"/>
    <x v="3"/>
    <x v="1"/>
    <x v="0"/>
    <x v="2"/>
    <x v="21"/>
    <x v="17"/>
    <x v="132"/>
    <x v="0"/>
    <x v="137"/>
    <x v="0"/>
    <x v="0"/>
  </r>
  <r>
    <x v="218"/>
    <x v="209"/>
    <x v="0"/>
    <x v="0"/>
    <x v="0"/>
    <x v="0"/>
    <x v="0"/>
    <x v="2"/>
    <x v="0"/>
    <x v="0"/>
    <x v="0"/>
    <x v="23"/>
    <x v="30"/>
    <x v="0"/>
    <x v="2"/>
    <x v="0"/>
    <x v="0"/>
    <x v="3"/>
    <x v="1"/>
    <x v="0"/>
    <x v="2"/>
    <x v="23"/>
    <x v="13"/>
    <x v="78"/>
    <x v="0"/>
    <x v="82"/>
    <x v="0"/>
    <x v="0"/>
  </r>
  <r>
    <x v="289"/>
    <x v="217"/>
    <x v="0"/>
    <x v="0"/>
    <x v="0"/>
    <x v="0"/>
    <x v="0"/>
    <x v="2"/>
    <x v="0"/>
    <x v="0"/>
    <x v="0"/>
    <x v="30"/>
    <x v="68"/>
    <x v="0"/>
    <x v="2"/>
    <x v="0"/>
    <x v="0"/>
    <x v="3"/>
    <x v="1"/>
    <x v="0"/>
    <x v="2"/>
    <x v="101"/>
    <x v="21"/>
    <x v="104"/>
    <x v="2"/>
    <x v="75"/>
    <x v="0"/>
    <x v="0"/>
  </r>
  <r>
    <x v="214"/>
    <x v="223"/>
    <x v="0"/>
    <x v="0"/>
    <x v="0"/>
    <x v="0"/>
    <x v="0"/>
    <x v="2"/>
    <x v="0"/>
    <x v="0"/>
    <x v="0"/>
    <x v="58"/>
    <x v="11"/>
    <x v="0"/>
    <x v="2"/>
    <x v="0"/>
    <x v="0"/>
    <x v="3"/>
    <x v="1"/>
    <x v="0"/>
    <x v="2"/>
    <x v="19"/>
    <x v="37"/>
    <x v="57"/>
    <x v="1"/>
    <x v="91"/>
    <x v="0"/>
    <x v="0"/>
  </r>
  <r>
    <x v="220"/>
    <x v="230"/>
    <x v="0"/>
    <x v="0"/>
    <x v="0"/>
    <x v="0"/>
    <x v="0"/>
    <x v="2"/>
    <x v="0"/>
    <x v="0"/>
    <x v="0"/>
    <x v="66"/>
    <x v="32"/>
    <x v="0"/>
    <x v="2"/>
    <x v="0"/>
    <x v="0"/>
    <x v="3"/>
    <x v="1"/>
    <x v="0"/>
    <x v="2"/>
    <x v="30"/>
    <x v="44"/>
    <x v="193"/>
    <x v="7"/>
    <x v="222"/>
    <x v="0"/>
    <x v="0"/>
  </r>
  <r>
    <x v="212"/>
    <x v="229"/>
    <x v="0"/>
    <x v="0"/>
    <x v="0"/>
    <x v="0"/>
    <x v="0"/>
    <x v="2"/>
    <x v="0"/>
    <x v="0"/>
    <x v="0"/>
    <x v="64"/>
    <x v="36"/>
    <x v="0"/>
    <x v="2"/>
    <x v="0"/>
    <x v="0"/>
    <x v="3"/>
    <x v="1"/>
    <x v="0"/>
    <x v="2"/>
    <x v="17"/>
    <x v="43"/>
    <x v="22"/>
    <x v="0"/>
    <x v="35"/>
    <x v="0"/>
    <x v="0"/>
  </r>
  <r>
    <x v="213"/>
    <x v="221"/>
    <x v="0"/>
    <x v="0"/>
    <x v="0"/>
    <x v="0"/>
    <x v="0"/>
    <x v="2"/>
    <x v="0"/>
    <x v="0"/>
    <x v="0"/>
    <x v="61"/>
    <x v="35"/>
    <x v="0"/>
    <x v="2"/>
    <x v="0"/>
    <x v="0"/>
    <x v="3"/>
    <x v="1"/>
    <x v="0"/>
    <x v="2"/>
    <x v="18"/>
    <x v="35"/>
    <x v="35"/>
    <x v="0"/>
    <x v="45"/>
    <x v="0"/>
    <x v="0"/>
  </r>
  <r>
    <x v="215"/>
    <x v="225"/>
    <x v="0"/>
    <x v="0"/>
    <x v="0"/>
    <x v="0"/>
    <x v="0"/>
    <x v="2"/>
    <x v="0"/>
    <x v="0"/>
    <x v="0"/>
    <x v="55"/>
    <x v="14"/>
    <x v="0"/>
    <x v="2"/>
    <x v="0"/>
    <x v="0"/>
    <x v="3"/>
    <x v="1"/>
    <x v="0"/>
    <x v="2"/>
    <x v="20"/>
    <x v="39"/>
    <x v="37"/>
    <x v="1"/>
    <x v="42"/>
    <x v="0"/>
    <x v="0"/>
  </r>
  <r>
    <x v="154"/>
    <x v="118"/>
    <x v="0"/>
    <x v="0"/>
    <x v="0"/>
    <x v="0"/>
    <x v="0"/>
    <x v="2"/>
    <x v="0"/>
    <x v="0"/>
    <x v="0"/>
    <x v="33"/>
    <x v="56"/>
    <x v="0"/>
    <x v="1"/>
    <x v="0"/>
    <x v="0"/>
    <x v="3"/>
    <x v="1"/>
    <x v="0"/>
    <x v="2"/>
    <x v="54"/>
    <x v="22"/>
    <x v="135"/>
    <x v="1"/>
    <x v="112"/>
    <x v="0"/>
    <x v="0"/>
  </r>
  <r>
    <x v="114"/>
    <x v="141"/>
    <x v="0"/>
    <x v="0"/>
    <x v="0"/>
    <x v="0"/>
    <x v="0"/>
    <x v="2"/>
    <x v="0"/>
    <x v="0"/>
    <x v="0"/>
    <x v="67"/>
    <x v="37"/>
    <x v="0"/>
    <x v="1"/>
    <x v="0"/>
    <x v="0"/>
    <x v="3"/>
    <x v="1"/>
    <x v="0"/>
    <x v="2"/>
    <x v="16"/>
    <x v="45"/>
    <x v="102"/>
    <x v="1"/>
    <x v="154"/>
    <x v="0"/>
    <x v="0"/>
  </r>
  <r>
    <x v="107"/>
    <x v="108"/>
    <x v="0"/>
    <x v="0"/>
    <x v="0"/>
    <x v="0"/>
    <x v="0"/>
    <x v="2"/>
    <x v="0"/>
    <x v="0"/>
    <x v="0"/>
    <x v="22"/>
    <x v="13"/>
    <x v="0"/>
    <x v="1"/>
    <x v="0"/>
    <x v="0"/>
    <x v="3"/>
    <x v="1"/>
    <x v="0"/>
    <x v="2"/>
    <x v="9"/>
    <x v="12"/>
    <x v="192"/>
    <x v="11"/>
    <x v="202"/>
    <x v="0"/>
    <x v="0"/>
  </r>
  <r>
    <x v="108"/>
    <x v="121"/>
    <x v="0"/>
    <x v="0"/>
    <x v="0"/>
    <x v="0"/>
    <x v="0"/>
    <x v="2"/>
    <x v="0"/>
    <x v="0"/>
    <x v="0"/>
    <x v="49"/>
    <x v="20"/>
    <x v="0"/>
    <x v="1"/>
    <x v="0"/>
    <x v="0"/>
    <x v="3"/>
    <x v="1"/>
    <x v="0"/>
    <x v="2"/>
    <x v="10"/>
    <x v="25"/>
    <x v="54"/>
    <x v="1"/>
    <x v="58"/>
    <x v="0"/>
    <x v="0"/>
  </r>
  <r>
    <x v="117"/>
    <x v="133"/>
    <x v="0"/>
    <x v="0"/>
    <x v="0"/>
    <x v="0"/>
    <x v="0"/>
    <x v="2"/>
    <x v="0"/>
    <x v="0"/>
    <x v="0"/>
    <x v="58"/>
    <x v="11"/>
    <x v="0"/>
    <x v="1"/>
    <x v="0"/>
    <x v="0"/>
    <x v="3"/>
    <x v="1"/>
    <x v="0"/>
    <x v="2"/>
    <x v="19"/>
    <x v="37"/>
    <x v="96"/>
    <x v="3"/>
    <x v="155"/>
    <x v="0"/>
    <x v="0"/>
  </r>
  <r>
    <x v="118"/>
    <x v="135"/>
    <x v="0"/>
    <x v="0"/>
    <x v="0"/>
    <x v="0"/>
    <x v="0"/>
    <x v="2"/>
    <x v="0"/>
    <x v="0"/>
    <x v="0"/>
    <x v="55"/>
    <x v="14"/>
    <x v="0"/>
    <x v="1"/>
    <x v="0"/>
    <x v="0"/>
    <x v="3"/>
    <x v="1"/>
    <x v="0"/>
    <x v="2"/>
    <x v="20"/>
    <x v="39"/>
    <x v="95"/>
    <x v="0"/>
    <x v="104"/>
    <x v="0"/>
    <x v="0"/>
  </r>
  <r>
    <x v="113"/>
    <x v="137"/>
    <x v="0"/>
    <x v="0"/>
    <x v="0"/>
    <x v="0"/>
    <x v="0"/>
    <x v="2"/>
    <x v="0"/>
    <x v="0"/>
    <x v="0"/>
    <x v="51"/>
    <x v="12"/>
    <x v="0"/>
    <x v="1"/>
    <x v="0"/>
    <x v="0"/>
    <x v="3"/>
    <x v="1"/>
    <x v="0"/>
    <x v="2"/>
    <x v="15"/>
    <x v="41"/>
    <x v="140"/>
    <x v="3"/>
    <x v="167"/>
    <x v="0"/>
    <x v="0"/>
  </r>
  <r>
    <x v="131"/>
    <x v="132"/>
    <x v="0"/>
    <x v="0"/>
    <x v="0"/>
    <x v="0"/>
    <x v="0"/>
    <x v="2"/>
    <x v="0"/>
    <x v="0"/>
    <x v="0"/>
    <x v="57"/>
    <x v="21"/>
    <x v="0"/>
    <x v="1"/>
    <x v="0"/>
    <x v="0"/>
    <x v="3"/>
    <x v="1"/>
    <x v="0"/>
    <x v="2"/>
    <x v="33"/>
    <x v="36"/>
    <x v="239"/>
    <x v="7"/>
    <x v="259"/>
    <x v="0"/>
    <x v="0"/>
  </r>
  <r>
    <x v="119"/>
    <x v="113"/>
    <x v="0"/>
    <x v="0"/>
    <x v="0"/>
    <x v="0"/>
    <x v="0"/>
    <x v="2"/>
    <x v="0"/>
    <x v="0"/>
    <x v="0"/>
    <x v="28"/>
    <x v="10"/>
    <x v="0"/>
    <x v="1"/>
    <x v="0"/>
    <x v="0"/>
    <x v="3"/>
    <x v="1"/>
    <x v="0"/>
    <x v="2"/>
    <x v="21"/>
    <x v="17"/>
    <x v="100"/>
    <x v="1"/>
    <x v="99"/>
    <x v="0"/>
    <x v="0"/>
  </r>
  <r>
    <x v="197"/>
    <x v="116"/>
    <x v="0"/>
    <x v="0"/>
    <x v="0"/>
    <x v="0"/>
    <x v="0"/>
    <x v="2"/>
    <x v="0"/>
    <x v="0"/>
    <x v="0"/>
    <x v="29"/>
    <x v="69"/>
    <x v="0"/>
    <x v="1"/>
    <x v="0"/>
    <x v="0"/>
    <x v="3"/>
    <x v="1"/>
    <x v="0"/>
    <x v="2"/>
    <x v="100"/>
    <x v="20"/>
    <x v="142"/>
    <x v="2"/>
    <x v="119"/>
    <x v="0"/>
    <x v="0"/>
  </r>
  <r>
    <x v="200"/>
    <x v="115"/>
    <x v="0"/>
    <x v="0"/>
    <x v="0"/>
    <x v="0"/>
    <x v="0"/>
    <x v="2"/>
    <x v="0"/>
    <x v="0"/>
    <x v="0"/>
    <x v="26"/>
    <x v="66"/>
    <x v="0"/>
    <x v="1"/>
    <x v="0"/>
    <x v="0"/>
    <x v="3"/>
    <x v="1"/>
    <x v="0"/>
    <x v="2"/>
    <x v="103"/>
    <x v="19"/>
    <x v="105"/>
    <x v="1"/>
    <x v="97"/>
    <x v="0"/>
    <x v="0"/>
  </r>
  <r>
    <x v="129"/>
    <x v="138"/>
    <x v="0"/>
    <x v="0"/>
    <x v="0"/>
    <x v="0"/>
    <x v="0"/>
    <x v="2"/>
    <x v="0"/>
    <x v="0"/>
    <x v="0"/>
    <x v="63"/>
    <x v="22"/>
    <x v="0"/>
    <x v="1"/>
    <x v="0"/>
    <x v="0"/>
    <x v="3"/>
    <x v="1"/>
    <x v="0"/>
    <x v="2"/>
    <x v="31"/>
    <x v="42"/>
    <x v="197"/>
    <x v="9"/>
    <x v="250"/>
    <x v="0"/>
    <x v="0"/>
  </r>
  <r>
    <x v="199"/>
    <x v="114"/>
    <x v="0"/>
    <x v="0"/>
    <x v="0"/>
    <x v="0"/>
    <x v="0"/>
    <x v="2"/>
    <x v="0"/>
    <x v="0"/>
    <x v="0"/>
    <x v="25"/>
    <x v="67"/>
    <x v="0"/>
    <x v="1"/>
    <x v="0"/>
    <x v="0"/>
    <x v="3"/>
    <x v="1"/>
    <x v="0"/>
    <x v="2"/>
    <x v="102"/>
    <x v="18"/>
    <x v="154"/>
    <x v="5"/>
    <x v="159"/>
    <x v="0"/>
    <x v="0"/>
  </r>
  <r>
    <x v="134"/>
    <x v="110"/>
    <x v="0"/>
    <x v="0"/>
    <x v="0"/>
    <x v="0"/>
    <x v="0"/>
    <x v="2"/>
    <x v="0"/>
    <x v="0"/>
    <x v="0"/>
    <x v="31"/>
    <x v="15"/>
    <x v="0"/>
    <x v="1"/>
    <x v="0"/>
    <x v="0"/>
    <x v="3"/>
    <x v="1"/>
    <x v="0"/>
    <x v="2"/>
    <x v="36"/>
    <x v="14"/>
    <x v="145"/>
    <x v="1"/>
    <x v="150"/>
    <x v="0"/>
    <x v="0"/>
  </r>
  <r>
    <x v="128"/>
    <x v="140"/>
    <x v="0"/>
    <x v="0"/>
    <x v="0"/>
    <x v="0"/>
    <x v="0"/>
    <x v="2"/>
    <x v="0"/>
    <x v="0"/>
    <x v="0"/>
    <x v="66"/>
    <x v="32"/>
    <x v="0"/>
    <x v="1"/>
    <x v="0"/>
    <x v="0"/>
    <x v="3"/>
    <x v="1"/>
    <x v="0"/>
    <x v="2"/>
    <x v="30"/>
    <x v="44"/>
    <x v="49"/>
    <x v="1"/>
    <x v="71"/>
    <x v="0"/>
    <x v="0"/>
  </r>
  <r>
    <x v="126"/>
    <x v="128"/>
    <x v="0"/>
    <x v="0"/>
    <x v="0"/>
    <x v="0"/>
    <x v="0"/>
    <x v="2"/>
    <x v="0"/>
    <x v="0"/>
    <x v="0"/>
    <x v="39"/>
    <x v="23"/>
    <x v="0"/>
    <x v="1"/>
    <x v="0"/>
    <x v="0"/>
    <x v="3"/>
    <x v="1"/>
    <x v="0"/>
    <x v="2"/>
    <x v="28"/>
    <x v="32"/>
    <x v="134"/>
    <x v="0"/>
    <x v="125"/>
    <x v="0"/>
    <x v="0"/>
  </r>
  <r>
    <x v="116"/>
    <x v="131"/>
    <x v="0"/>
    <x v="0"/>
    <x v="0"/>
    <x v="0"/>
    <x v="0"/>
    <x v="2"/>
    <x v="0"/>
    <x v="0"/>
    <x v="0"/>
    <x v="61"/>
    <x v="35"/>
    <x v="0"/>
    <x v="1"/>
    <x v="0"/>
    <x v="0"/>
    <x v="3"/>
    <x v="1"/>
    <x v="0"/>
    <x v="2"/>
    <x v="18"/>
    <x v="35"/>
    <x v="128"/>
    <x v="2"/>
    <x v="143"/>
    <x v="0"/>
    <x v="0"/>
  </r>
  <r>
    <x v="198"/>
    <x v="117"/>
    <x v="0"/>
    <x v="0"/>
    <x v="0"/>
    <x v="0"/>
    <x v="0"/>
    <x v="2"/>
    <x v="0"/>
    <x v="0"/>
    <x v="0"/>
    <x v="30"/>
    <x v="68"/>
    <x v="0"/>
    <x v="1"/>
    <x v="0"/>
    <x v="0"/>
    <x v="3"/>
    <x v="1"/>
    <x v="0"/>
    <x v="2"/>
    <x v="101"/>
    <x v="21"/>
    <x v="91"/>
    <x v="2"/>
    <x v="73"/>
    <x v="0"/>
    <x v="0"/>
  </r>
  <r>
    <x v="124"/>
    <x v="122"/>
    <x v="0"/>
    <x v="0"/>
    <x v="0"/>
    <x v="0"/>
    <x v="0"/>
    <x v="2"/>
    <x v="0"/>
    <x v="0"/>
    <x v="0"/>
    <x v="43"/>
    <x v="33"/>
    <x v="0"/>
    <x v="1"/>
    <x v="0"/>
    <x v="0"/>
    <x v="3"/>
    <x v="1"/>
    <x v="0"/>
    <x v="2"/>
    <x v="26"/>
    <x v="26"/>
    <x v="121"/>
    <x v="0"/>
    <x v="116"/>
    <x v="0"/>
    <x v="0"/>
  </r>
  <r>
    <x v="123"/>
    <x v="124"/>
    <x v="0"/>
    <x v="0"/>
    <x v="0"/>
    <x v="0"/>
    <x v="0"/>
    <x v="2"/>
    <x v="0"/>
    <x v="0"/>
    <x v="0"/>
    <x v="45"/>
    <x v="9"/>
    <x v="0"/>
    <x v="1"/>
    <x v="0"/>
    <x v="0"/>
    <x v="3"/>
    <x v="1"/>
    <x v="0"/>
    <x v="2"/>
    <x v="25"/>
    <x v="28"/>
    <x v="114"/>
    <x v="0"/>
    <x v="105"/>
    <x v="0"/>
    <x v="0"/>
  </r>
  <r>
    <x v="121"/>
    <x v="109"/>
    <x v="0"/>
    <x v="0"/>
    <x v="0"/>
    <x v="0"/>
    <x v="0"/>
    <x v="2"/>
    <x v="0"/>
    <x v="0"/>
    <x v="0"/>
    <x v="23"/>
    <x v="30"/>
    <x v="0"/>
    <x v="1"/>
    <x v="0"/>
    <x v="0"/>
    <x v="3"/>
    <x v="1"/>
    <x v="0"/>
    <x v="2"/>
    <x v="23"/>
    <x v="13"/>
    <x v="56"/>
    <x v="1"/>
    <x v="65"/>
    <x v="0"/>
    <x v="0"/>
  </r>
  <r>
    <x v="132"/>
    <x v="134"/>
    <x v="0"/>
    <x v="0"/>
    <x v="0"/>
    <x v="0"/>
    <x v="0"/>
    <x v="2"/>
    <x v="0"/>
    <x v="0"/>
    <x v="0"/>
    <x v="54"/>
    <x v="16"/>
    <x v="0"/>
    <x v="1"/>
    <x v="0"/>
    <x v="0"/>
    <x v="3"/>
    <x v="1"/>
    <x v="0"/>
    <x v="2"/>
    <x v="34"/>
    <x v="38"/>
    <x v="113"/>
    <x v="1"/>
    <x v="147"/>
    <x v="0"/>
    <x v="0"/>
  </r>
  <r>
    <x v="122"/>
    <x v="120"/>
    <x v="0"/>
    <x v="0"/>
    <x v="0"/>
    <x v="0"/>
    <x v="0"/>
    <x v="2"/>
    <x v="0"/>
    <x v="0"/>
    <x v="0"/>
    <x v="48"/>
    <x v="34"/>
    <x v="0"/>
    <x v="1"/>
    <x v="0"/>
    <x v="0"/>
    <x v="3"/>
    <x v="1"/>
    <x v="0"/>
    <x v="2"/>
    <x v="24"/>
    <x v="24"/>
    <x v="122"/>
    <x v="2"/>
    <x v="108"/>
    <x v="0"/>
    <x v="0"/>
  </r>
  <r>
    <x v="120"/>
    <x v="111"/>
    <x v="0"/>
    <x v="0"/>
    <x v="0"/>
    <x v="0"/>
    <x v="0"/>
    <x v="2"/>
    <x v="0"/>
    <x v="0"/>
    <x v="0"/>
    <x v="32"/>
    <x v="24"/>
    <x v="0"/>
    <x v="1"/>
    <x v="0"/>
    <x v="0"/>
    <x v="3"/>
    <x v="1"/>
    <x v="0"/>
    <x v="2"/>
    <x v="22"/>
    <x v="15"/>
    <x v="141"/>
    <x v="2"/>
    <x v="156"/>
    <x v="0"/>
    <x v="0"/>
  </r>
  <r>
    <x v="112"/>
    <x v="129"/>
    <x v="0"/>
    <x v="0"/>
    <x v="0"/>
    <x v="0"/>
    <x v="0"/>
    <x v="2"/>
    <x v="0"/>
    <x v="0"/>
    <x v="0"/>
    <x v="40"/>
    <x v="25"/>
    <x v="0"/>
    <x v="1"/>
    <x v="0"/>
    <x v="0"/>
    <x v="3"/>
    <x v="1"/>
    <x v="0"/>
    <x v="2"/>
    <x v="14"/>
    <x v="33"/>
    <x v="115"/>
    <x v="3"/>
    <x v="115"/>
    <x v="0"/>
    <x v="0"/>
  </r>
  <r>
    <x v="127"/>
    <x v="136"/>
    <x v="0"/>
    <x v="0"/>
    <x v="0"/>
    <x v="0"/>
    <x v="0"/>
    <x v="2"/>
    <x v="0"/>
    <x v="0"/>
    <x v="0"/>
    <x v="50"/>
    <x v="8"/>
    <x v="0"/>
    <x v="1"/>
    <x v="0"/>
    <x v="0"/>
    <x v="3"/>
    <x v="1"/>
    <x v="0"/>
    <x v="2"/>
    <x v="29"/>
    <x v="40"/>
    <x v="80"/>
    <x v="1"/>
    <x v="142"/>
    <x v="0"/>
    <x v="0"/>
  </r>
  <r>
    <x v="130"/>
    <x v="130"/>
    <x v="0"/>
    <x v="0"/>
    <x v="0"/>
    <x v="0"/>
    <x v="0"/>
    <x v="2"/>
    <x v="0"/>
    <x v="0"/>
    <x v="0"/>
    <x v="60"/>
    <x v="17"/>
    <x v="0"/>
    <x v="1"/>
    <x v="0"/>
    <x v="0"/>
    <x v="3"/>
    <x v="1"/>
    <x v="0"/>
    <x v="2"/>
    <x v="32"/>
    <x v="34"/>
    <x v="112"/>
    <x v="1"/>
    <x v="111"/>
    <x v="0"/>
    <x v="0"/>
  </r>
  <r>
    <x v="125"/>
    <x v="126"/>
    <x v="0"/>
    <x v="0"/>
    <x v="0"/>
    <x v="0"/>
    <x v="0"/>
    <x v="2"/>
    <x v="0"/>
    <x v="0"/>
    <x v="0"/>
    <x v="41"/>
    <x v="29"/>
    <x v="0"/>
    <x v="1"/>
    <x v="0"/>
    <x v="0"/>
    <x v="3"/>
    <x v="1"/>
    <x v="0"/>
    <x v="2"/>
    <x v="27"/>
    <x v="30"/>
    <x v="218"/>
    <x v="2"/>
    <x v="214"/>
    <x v="0"/>
    <x v="0"/>
  </r>
  <r>
    <x v="111"/>
    <x v="127"/>
    <x v="0"/>
    <x v="0"/>
    <x v="0"/>
    <x v="0"/>
    <x v="0"/>
    <x v="2"/>
    <x v="0"/>
    <x v="0"/>
    <x v="0"/>
    <x v="42"/>
    <x v="18"/>
    <x v="0"/>
    <x v="1"/>
    <x v="0"/>
    <x v="0"/>
    <x v="3"/>
    <x v="1"/>
    <x v="0"/>
    <x v="2"/>
    <x v="13"/>
    <x v="31"/>
    <x v="110"/>
    <x v="1"/>
    <x v="93"/>
    <x v="0"/>
    <x v="0"/>
  </r>
  <r>
    <x v="109"/>
    <x v="125"/>
    <x v="0"/>
    <x v="0"/>
    <x v="0"/>
    <x v="0"/>
    <x v="0"/>
    <x v="2"/>
    <x v="0"/>
    <x v="0"/>
    <x v="0"/>
    <x v="46"/>
    <x v="31"/>
    <x v="0"/>
    <x v="1"/>
    <x v="0"/>
    <x v="0"/>
    <x v="3"/>
    <x v="1"/>
    <x v="0"/>
    <x v="2"/>
    <x v="11"/>
    <x v="29"/>
    <x v="50"/>
    <x v="1"/>
    <x v="46"/>
    <x v="0"/>
    <x v="0"/>
  </r>
  <r>
    <x v="110"/>
    <x v="123"/>
    <x v="0"/>
    <x v="0"/>
    <x v="0"/>
    <x v="0"/>
    <x v="0"/>
    <x v="2"/>
    <x v="0"/>
    <x v="0"/>
    <x v="0"/>
    <x v="44"/>
    <x v="19"/>
    <x v="0"/>
    <x v="1"/>
    <x v="0"/>
    <x v="0"/>
    <x v="3"/>
    <x v="1"/>
    <x v="0"/>
    <x v="2"/>
    <x v="12"/>
    <x v="27"/>
    <x v="66"/>
    <x v="1"/>
    <x v="66"/>
    <x v="0"/>
    <x v="0"/>
  </r>
  <r>
    <x v="133"/>
    <x v="112"/>
    <x v="0"/>
    <x v="0"/>
    <x v="0"/>
    <x v="0"/>
    <x v="0"/>
    <x v="2"/>
    <x v="0"/>
    <x v="0"/>
    <x v="0"/>
    <x v="27"/>
    <x v="28"/>
    <x v="0"/>
    <x v="1"/>
    <x v="0"/>
    <x v="0"/>
    <x v="3"/>
    <x v="1"/>
    <x v="0"/>
    <x v="2"/>
    <x v="35"/>
    <x v="16"/>
    <x v="257"/>
    <x v="12"/>
    <x v="247"/>
    <x v="0"/>
    <x v="0"/>
  </r>
  <r>
    <x v="153"/>
    <x v="119"/>
    <x v="0"/>
    <x v="0"/>
    <x v="0"/>
    <x v="0"/>
    <x v="0"/>
    <x v="2"/>
    <x v="0"/>
    <x v="0"/>
    <x v="0"/>
    <x v="34"/>
    <x v="55"/>
    <x v="0"/>
    <x v="1"/>
    <x v="0"/>
    <x v="0"/>
    <x v="3"/>
    <x v="1"/>
    <x v="0"/>
    <x v="2"/>
    <x v="53"/>
    <x v="23"/>
    <x v="83"/>
    <x v="1"/>
    <x v="77"/>
    <x v="0"/>
    <x v="0"/>
  </r>
  <r>
    <x v="115"/>
    <x v="139"/>
    <x v="0"/>
    <x v="0"/>
    <x v="0"/>
    <x v="0"/>
    <x v="0"/>
    <x v="2"/>
    <x v="0"/>
    <x v="0"/>
    <x v="0"/>
    <x v="64"/>
    <x v="36"/>
    <x v="0"/>
    <x v="1"/>
    <x v="0"/>
    <x v="0"/>
    <x v="3"/>
    <x v="1"/>
    <x v="0"/>
    <x v="2"/>
    <x v="17"/>
    <x v="43"/>
    <x v="47"/>
    <x v="1"/>
    <x v="68"/>
    <x v="0"/>
    <x v="0"/>
  </r>
  <r>
    <x v="99"/>
    <x v="13"/>
    <x v="0"/>
    <x v="0"/>
    <x v="0"/>
    <x v="0"/>
    <x v="0"/>
    <x v="2"/>
    <x v="0"/>
    <x v="0"/>
    <x v="0"/>
    <x v="26"/>
    <x v="66"/>
    <x v="0"/>
    <x v="0"/>
    <x v="0"/>
    <x v="0"/>
    <x v="3"/>
    <x v="1"/>
    <x v="0"/>
    <x v="2"/>
    <x v="103"/>
    <x v="19"/>
    <x v="77"/>
    <x v="0"/>
    <x v="69"/>
    <x v="0"/>
    <x v="0"/>
  </r>
  <r>
    <x v="53"/>
    <x v="17"/>
    <x v="0"/>
    <x v="0"/>
    <x v="0"/>
    <x v="0"/>
    <x v="0"/>
    <x v="2"/>
    <x v="0"/>
    <x v="0"/>
    <x v="0"/>
    <x v="34"/>
    <x v="55"/>
    <x v="0"/>
    <x v="0"/>
    <x v="0"/>
    <x v="0"/>
    <x v="3"/>
    <x v="1"/>
    <x v="0"/>
    <x v="2"/>
    <x v="53"/>
    <x v="23"/>
    <x v="129"/>
    <x v="6"/>
    <x v="131"/>
    <x v="0"/>
    <x v="0"/>
  </r>
  <r>
    <x v="97"/>
    <x v="15"/>
    <x v="0"/>
    <x v="0"/>
    <x v="0"/>
    <x v="0"/>
    <x v="0"/>
    <x v="2"/>
    <x v="0"/>
    <x v="0"/>
    <x v="0"/>
    <x v="30"/>
    <x v="68"/>
    <x v="0"/>
    <x v="0"/>
    <x v="0"/>
    <x v="0"/>
    <x v="3"/>
    <x v="1"/>
    <x v="0"/>
    <x v="2"/>
    <x v="101"/>
    <x v="21"/>
    <x v="52"/>
    <x v="1"/>
    <x v="54"/>
    <x v="0"/>
    <x v="0"/>
  </r>
  <r>
    <x v="54"/>
    <x v="16"/>
    <x v="0"/>
    <x v="0"/>
    <x v="0"/>
    <x v="0"/>
    <x v="0"/>
    <x v="2"/>
    <x v="0"/>
    <x v="0"/>
    <x v="0"/>
    <x v="33"/>
    <x v="56"/>
    <x v="0"/>
    <x v="0"/>
    <x v="0"/>
    <x v="0"/>
    <x v="3"/>
    <x v="1"/>
    <x v="0"/>
    <x v="2"/>
    <x v="54"/>
    <x v="22"/>
    <x v="137"/>
    <x v="5"/>
    <x v="146"/>
    <x v="0"/>
    <x v="0"/>
  </r>
  <r>
    <x v="28"/>
    <x v="34"/>
    <x v="0"/>
    <x v="0"/>
    <x v="0"/>
    <x v="0"/>
    <x v="0"/>
    <x v="2"/>
    <x v="0"/>
    <x v="0"/>
    <x v="0"/>
    <x v="50"/>
    <x v="8"/>
    <x v="0"/>
    <x v="0"/>
    <x v="0"/>
    <x v="0"/>
    <x v="3"/>
    <x v="1"/>
    <x v="0"/>
    <x v="2"/>
    <x v="29"/>
    <x v="40"/>
    <x v="80"/>
    <x v="1"/>
    <x v="103"/>
    <x v="0"/>
    <x v="0"/>
  </r>
  <r>
    <x v="96"/>
    <x v="14"/>
    <x v="0"/>
    <x v="0"/>
    <x v="0"/>
    <x v="0"/>
    <x v="0"/>
    <x v="2"/>
    <x v="0"/>
    <x v="0"/>
    <x v="0"/>
    <x v="29"/>
    <x v="69"/>
    <x v="0"/>
    <x v="0"/>
    <x v="0"/>
    <x v="0"/>
    <x v="3"/>
    <x v="1"/>
    <x v="0"/>
    <x v="2"/>
    <x v="100"/>
    <x v="20"/>
    <x v="126"/>
    <x v="6"/>
    <x v="135"/>
    <x v="0"/>
    <x v="0"/>
  </r>
  <r>
    <x v="11"/>
    <x v="21"/>
    <x v="0"/>
    <x v="0"/>
    <x v="0"/>
    <x v="0"/>
    <x v="0"/>
    <x v="2"/>
    <x v="0"/>
    <x v="0"/>
    <x v="0"/>
    <x v="44"/>
    <x v="19"/>
    <x v="0"/>
    <x v="0"/>
    <x v="0"/>
    <x v="0"/>
    <x v="3"/>
    <x v="1"/>
    <x v="0"/>
    <x v="2"/>
    <x v="12"/>
    <x v="27"/>
    <x v="64"/>
    <x v="2"/>
    <x v="62"/>
    <x v="0"/>
    <x v="0"/>
  </r>
  <r>
    <x v="31"/>
    <x v="28"/>
    <x v="0"/>
    <x v="0"/>
    <x v="0"/>
    <x v="0"/>
    <x v="0"/>
    <x v="2"/>
    <x v="0"/>
    <x v="0"/>
    <x v="0"/>
    <x v="60"/>
    <x v="17"/>
    <x v="0"/>
    <x v="0"/>
    <x v="0"/>
    <x v="0"/>
    <x v="3"/>
    <x v="1"/>
    <x v="0"/>
    <x v="2"/>
    <x v="32"/>
    <x v="34"/>
    <x v="81"/>
    <x v="1"/>
    <x v="74"/>
    <x v="0"/>
    <x v="0"/>
  </r>
  <r>
    <x v="33"/>
    <x v="32"/>
    <x v="0"/>
    <x v="0"/>
    <x v="0"/>
    <x v="0"/>
    <x v="0"/>
    <x v="2"/>
    <x v="0"/>
    <x v="0"/>
    <x v="0"/>
    <x v="54"/>
    <x v="16"/>
    <x v="0"/>
    <x v="0"/>
    <x v="0"/>
    <x v="0"/>
    <x v="3"/>
    <x v="1"/>
    <x v="0"/>
    <x v="2"/>
    <x v="34"/>
    <x v="38"/>
    <x v="87"/>
    <x v="3"/>
    <x v="94"/>
    <x v="0"/>
    <x v="0"/>
  </r>
  <r>
    <x v="29"/>
    <x v="38"/>
    <x v="0"/>
    <x v="0"/>
    <x v="0"/>
    <x v="0"/>
    <x v="0"/>
    <x v="2"/>
    <x v="0"/>
    <x v="0"/>
    <x v="0"/>
    <x v="66"/>
    <x v="32"/>
    <x v="0"/>
    <x v="0"/>
    <x v="0"/>
    <x v="0"/>
    <x v="3"/>
    <x v="1"/>
    <x v="0"/>
    <x v="2"/>
    <x v="30"/>
    <x v="44"/>
    <x v="150"/>
    <x v="1"/>
    <x v="169"/>
    <x v="0"/>
    <x v="0"/>
  </r>
  <r>
    <x v="30"/>
    <x v="36"/>
    <x v="0"/>
    <x v="0"/>
    <x v="0"/>
    <x v="0"/>
    <x v="0"/>
    <x v="2"/>
    <x v="0"/>
    <x v="0"/>
    <x v="0"/>
    <x v="63"/>
    <x v="22"/>
    <x v="0"/>
    <x v="0"/>
    <x v="0"/>
    <x v="0"/>
    <x v="3"/>
    <x v="1"/>
    <x v="0"/>
    <x v="2"/>
    <x v="31"/>
    <x v="42"/>
    <x v="211"/>
    <x v="7"/>
    <x v="258"/>
    <x v="0"/>
    <x v="0"/>
  </r>
  <r>
    <x v="20"/>
    <x v="11"/>
    <x v="0"/>
    <x v="0"/>
    <x v="0"/>
    <x v="0"/>
    <x v="0"/>
    <x v="2"/>
    <x v="0"/>
    <x v="0"/>
    <x v="0"/>
    <x v="28"/>
    <x v="10"/>
    <x v="0"/>
    <x v="0"/>
    <x v="0"/>
    <x v="0"/>
    <x v="3"/>
    <x v="1"/>
    <x v="0"/>
    <x v="2"/>
    <x v="21"/>
    <x v="17"/>
    <x v="52"/>
    <x v="0"/>
    <x v="52"/>
    <x v="0"/>
    <x v="0"/>
  </r>
  <r>
    <x v="32"/>
    <x v="30"/>
    <x v="0"/>
    <x v="0"/>
    <x v="0"/>
    <x v="0"/>
    <x v="0"/>
    <x v="2"/>
    <x v="0"/>
    <x v="0"/>
    <x v="0"/>
    <x v="57"/>
    <x v="21"/>
    <x v="0"/>
    <x v="0"/>
    <x v="0"/>
    <x v="0"/>
    <x v="3"/>
    <x v="1"/>
    <x v="0"/>
    <x v="2"/>
    <x v="33"/>
    <x v="36"/>
    <x v="213"/>
    <x v="6"/>
    <x v="235"/>
    <x v="0"/>
    <x v="0"/>
  </r>
  <r>
    <x v="14"/>
    <x v="35"/>
    <x v="0"/>
    <x v="0"/>
    <x v="0"/>
    <x v="0"/>
    <x v="0"/>
    <x v="2"/>
    <x v="0"/>
    <x v="0"/>
    <x v="0"/>
    <x v="51"/>
    <x v="12"/>
    <x v="0"/>
    <x v="0"/>
    <x v="0"/>
    <x v="0"/>
    <x v="3"/>
    <x v="1"/>
    <x v="0"/>
    <x v="2"/>
    <x v="15"/>
    <x v="41"/>
    <x v="97"/>
    <x v="1"/>
    <x v="158"/>
    <x v="0"/>
    <x v="0"/>
  </r>
  <r>
    <x v="19"/>
    <x v="33"/>
    <x v="0"/>
    <x v="0"/>
    <x v="0"/>
    <x v="0"/>
    <x v="0"/>
    <x v="2"/>
    <x v="0"/>
    <x v="0"/>
    <x v="0"/>
    <x v="55"/>
    <x v="14"/>
    <x v="0"/>
    <x v="0"/>
    <x v="0"/>
    <x v="0"/>
    <x v="3"/>
    <x v="1"/>
    <x v="0"/>
    <x v="2"/>
    <x v="20"/>
    <x v="39"/>
    <x v="118"/>
    <x v="0"/>
    <x v="129"/>
    <x v="0"/>
    <x v="0"/>
  </r>
  <r>
    <x v="18"/>
    <x v="31"/>
    <x v="0"/>
    <x v="0"/>
    <x v="0"/>
    <x v="0"/>
    <x v="0"/>
    <x v="2"/>
    <x v="0"/>
    <x v="0"/>
    <x v="0"/>
    <x v="58"/>
    <x v="11"/>
    <x v="0"/>
    <x v="0"/>
    <x v="0"/>
    <x v="0"/>
    <x v="3"/>
    <x v="1"/>
    <x v="0"/>
    <x v="2"/>
    <x v="19"/>
    <x v="37"/>
    <x v="92"/>
    <x v="2"/>
    <x v="138"/>
    <x v="0"/>
    <x v="0"/>
  </r>
  <r>
    <x v="15"/>
    <x v="39"/>
    <x v="0"/>
    <x v="0"/>
    <x v="0"/>
    <x v="0"/>
    <x v="0"/>
    <x v="2"/>
    <x v="0"/>
    <x v="0"/>
    <x v="0"/>
    <x v="67"/>
    <x v="37"/>
    <x v="0"/>
    <x v="0"/>
    <x v="0"/>
    <x v="0"/>
    <x v="3"/>
    <x v="1"/>
    <x v="0"/>
    <x v="2"/>
    <x v="16"/>
    <x v="45"/>
    <x v="120"/>
    <x v="6"/>
    <x v="160"/>
    <x v="0"/>
    <x v="0"/>
  </r>
  <r>
    <x v="16"/>
    <x v="37"/>
    <x v="0"/>
    <x v="0"/>
    <x v="0"/>
    <x v="0"/>
    <x v="0"/>
    <x v="2"/>
    <x v="0"/>
    <x v="0"/>
    <x v="0"/>
    <x v="64"/>
    <x v="36"/>
    <x v="0"/>
    <x v="0"/>
    <x v="0"/>
    <x v="0"/>
    <x v="3"/>
    <x v="1"/>
    <x v="0"/>
    <x v="2"/>
    <x v="17"/>
    <x v="43"/>
    <x v="41"/>
    <x v="2"/>
    <x v="67"/>
    <x v="0"/>
    <x v="0"/>
  </r>
  <r>
    <x v="35"/>
    <x v="8"/>
    <x v="0"/>
    <x v="0"/>
    <x v="0"/>
    <x v="0"/>
    <x v="0"/>
    <x v="2"/>
    <x v="0"/>
    <x v="0"/>
    <x v="0"/>
    <x v="31"/>
    <x v="15"/>
    <x v="0"/>
    <x v="0"/>
    <x v="0"/>
    <x v="0"/>
    <x v="3"/>
    <x v="1"/>
    <x v="0"/>
    <x v="2"/>
    <x v="36"/>
    <x v="14"/>
    <x v="153"/>
    <x v="2"/>
    <x v="164"/>
    <x v="0"/>
    <x v="0"/>
  </r>
  <r>
    <x v="10"/>
    <x v="23"/>
    <x v="0"/>
    <x v="0"/>
    <x v="0"/>
    <x v="0"/>
    <x v="0"/>
    <x v="2"/>
    <x v="0"/>
    <x v="0"/>
    <x v="0"/>
    <x v="46"/>
    <x v="31"/>
    <x v="0"/>
    <x v="0"/>
    <x v="0"/>
    <x v="0"/>
    <x v="3"/>
    <x v="1"/>
    <x v="0"/>
    <x v="2"/>
    <x v="11"/>
    <x v="29"/>
    <x v="23"/>
    <x v="0"/>
    <x v="43"/>
    <x v="0"/>
    <x v="0"/>
  </r>
  <r>
    <x v="98"/>
    <x v="12"/>
    <x v="0"/>
    <x v="0"/>
    <x v="0"/>
    <x v="0"/>
    <x v="0"/>
    <x v="2"/>
    <x v="0"/>
    <x v="0"/>
    <x v="0"/>
    <x v="25"/>
    <x v="67"/>
    <x v="0"/>
    <x v="0"/>
    <x v="0"/>
    <x v="0"/>
    <x v="3"/>
    <x v="1"/>
    <x v="0"/>
    <x v="2"/>
    <x v="102"/>
    <x v="18"/>
    <x v="125"/>
    <x v="7"/>
    <x v="127"/>
    <x v="0"/>
    <x v="0"/>
  </r>
  <r>
    <x v="12"/>
    <x v="25"/>
    <x v="0"/>
    <x v="0"/>
    <x v="0"/>
    <x v="0"/>
    <x v="0"/>
    <x v="2"/>
    <x v="0"/>
    <x v="0"/>
    <x v="0"/>
    <x v="42"/>
    <x v="18"/>
    <x v="0"/>
    <x v="0"/>
    <x v="0"/>
    <x v="0"/>
    <x v="3"/>
    <x v="1"/>
    <x v="0"/>
    <x v="2"/>
    <x v="13"/>
    <x v="31"/>
    <x v="62"/>
    <x v="0"/>
    <x v="59"/>
    <x v="0"/>
    <x v="0"/>
  </r>
  <r>
    <x v="13"/>
    <x v="27"/>
    <x v="0"/>
    <x v="0"/>
    <x v="0"/>
    <x v="0"/>
    <x v="0"/>
    <x v="2"/>
    <x v="0"/>
    <x v="0"/>
    <x v="0"/>
    <x v="40"/>
    <x v="25"/>
    <x v="0"/>
    <x v="0"/>
    <x v="0"/>
    <x v="0"/>
    <x v="3"/>
    <x v="1"/>
    <x v="0"/>
    <x v="2"/>
    <x v="14"/>
    <x v="33"/>
    <x v="124"/>
    <x v="3"/>
    <x v="126"/>
    <x v="0"/>
    <x v="0"/>
  </r>
  <r>
    <x v="22"/>
    <x v="7"/>
    <x v="0"/>
    <x v="0"/>
    <x v="0"/>
    <x v="0"/>
    <x v="0"/>
    <x v="2"/>
    <x v="0"/>
    <x v="0"/>
    <x v="0"/>
    <x v="23"/>
    <x v="30"/>
    <x v="0"/>
    <x v="0"/>
    <x v="0"/>
    <x v="0"/>
    <x v="3"/>
    <x v="1"/>
    <x v="0"/>
    <x v="2"/>
    <x v="23"/>
    <x v="13"/>
    <x v="40"/>
    <x v="0"/>
    <x v="48"/>
    <x v="0"/>
    <x v="0"/>
  </r>
  <r>
    <x v="24"/>
    <x v="22"/>
    <x v="0"/>
    <x v="0"/>
    <x v="0"/>
    <x v="0"/>
    <x v="0"/>
    <x v="2"/>
    <x v="0"/>
    <x v="0"/>
    <x v="0"/>
    <x v="45"/>
    <x v="9"/>
    <x v="0"/>
    <x v="0"/>
    <x v="0"/>
    <x v="0"/>
    <x v="3"/>
    <x v="1"/>
    <x v="0"/>
    <x v="2"/>
    <x v="25"/>
    <x v="28"/>
    <x v="103"/>
    <x v="1"/>
    <x v="122"/>
    <x v="0"/>
    <x v="0"/>
  </r>
  <r>
    <x v="17"/>
    <x v="29"/>
    <x v="0"/>
    <x v="0"/>
    <x v="0"/>
    <x v="0"/>
    <x v="0"/>
    <x v="2"/>
    <x v="0"/>
    <x v="0"/>
    <x v="0"/>
    <x v="61"/>
    <x v="35"/>
    <x v="0"/>
    <x v="0"/>
    <x v="0"/>
    <x v="0"/>
    <x v="3"/>
    <x v="1"/>
    <x v="0"/>
    <x v="2"/>
    <x v="18"/>
    <x v="35"/>
    <x v="71"/>
    <x v="1"/>
    <x v="88"/>
    <x v="0"/>
    <x v="0"/>
  </r>
  <r>
    <x v="9"/>
    <x v="19"/>
    <x v="0"/>
    <x v="0"/>
    <x v="0"/>
    <x v="0"/>
    <x v="0"/>
    <x v="2"/>
    <x v="0"/>
    <x v="0"/>
    <x v="0"/>
    <x v="49"/>
    <x v="20"/>
    <x v="0"/>
    <x v="0"/>
    <x v="0"/>
    <x v="0"/>
    <x v="3"/>
    <x v="1"/>
    <x v="0"/>
    <x v="2"/>
    <x v="10"/>
    <x v="25"/>
    <x v="53"/>
    <x v="2"/>
    <x v="51"/>
    <x v="0"/>
    <x v="0"/>
  </r>
  <r>
    <x v="25"/>
    <x v="20"/>
    <x v="0"/>
    <x v="0"/>
    <x v="0"/>
    <x v="0"/>
    <x v="0"/>
    <x v="2"/>
    <x v="0"/>
    <x v="0"/>
    <x v="0"/>
    <x v="43"/>
    <x v="33"/>
    <x v="0"/>
    <x v="0"/>
    <x v="0"/>
    <x v="0"/>
    <x v="3"/>
    <x v="1"/>
    <x v="0"/>
    <x v="2"/>
    <x v="26"/>
    <x v="26"/>
    <x v="158"/>
    <x v="5"/>
    <x v="166"/>
    <x v="0"/>
    <x v="0"/>
  </r>
  <r>
    <x v="23"/>
    <x v="18"/>
    <x v="0"/>
    <x v="0"/>
    <x v="0"/>
    <x v="0"/>
    <x v="0"/>
    <x v="2"/>
    <x v="0"/>
    <x v="0"/>
    <x v="0"/>
    <x v="48"/>
    <x v="34"/>
    <x v="0"/>
    <x v="0"/>
    <x v="0"/>
    <x v="0"/>
    <x v="3"/>
    <x v="1"/>
    <x v="0"/>
    <x v="2"/>
    <x v="24"/>
    <x v="24"/>
    <x v="101"/>
    <x v="0"/>
    <x v="109"/>
    <x v="0"/>
    <x v="0"/>
  </r>
  <r>
    <x v="26"/>
    <x v="24"/>
    <x v="0"/>
    <x v="0"/>
    <x v="0"/>
    <x v="0"/>
    <x v="0"/>
    <x v="2"/>
    <x v="0"/>
    <x v="0"/>
    <x v="0"/>
    <x v="41"/>
    <x v="29"/>
    <x v="0"/>
    <x v="0"/>
    <x v="0"/>
    <x v="0"/>
    <x v="3"/>
    <x v="1"/>
    <x v="0"/>
    <x v="2"/>
    <x v="27"/>
    <x v="30"/>
    <x v="222"/>
    <x v="7"/>
    <x v="228"/>
    <x v="0"/>
    <x v="0"/>
  </r>
  <r>
    <x v="34"/>
    <x v="10"/>
    <x v="0"/>
    <x v="0"/>
    <x v="0"/>
    <x v="0"/>
    <x v="0"/>
    <x v="2"/>
    <x v="0"/>
    <x v="0"/>
    <x v="0"/>
    <x v="27"/>
    <x v="28"/>
    <x v="0"/>
    <x v="0"/>
    <x v="0"/>
    <x v="0"/>
    <x v="3"/>
    <x v="1"/>
    <x v="0"/>
    <x v="2"/>
    <x v="35"/>
    <x v="16"/>
    <x v="189"/>
    <x v="7"/>
    <x v="212"/>
    <x v="0"/>
    <x v="0"/>
  </r>
  <r>
    <x v="27"/>
    <x v="26"/>
    <x v="0"/>
    <x v="0"/>
    <x v="0"/>
    <x v="0"/>
    <x v="0"/>
    <x v="2"/>
    <x v="0"/>
    <x v="0"/>
    <x v="0"/>
    <x v="39"/>
    <x v="23"/>
    <x v="0"/>
    <x v="0"/>
    <x v="0"/>
    <x v="0"/>
    <x v="3"/>
    <x v="1"/>
    <x v="0"/>
    <x v="2"/>
    <x v="28"/>
    <x v="32"/>
    <x v="146"/>
    <x v="2"/>
    <x v="170"/>
    <x v="0"/>
    <x v="0"/>
  </r>
  <r>
    <x v="8"/>
    <x v="6"/>
    <x v="0"/>
    <x v="0"/>
    <x v="0"/>
    <x v="0"/>
    <x v="0"/>
    <x v="2"/>
    <x v="0"/>
    <x v="0"/>
    <x v="0"/>
    <x v="22"/>
    <x v="13"/>
    <x v="0"/>
    <x v="0"/>
    <x v="0"/>
    <x v="0"/>
    <x v="3"/>
    <x v="1"/>
    <x v="0"/>
    <x v="2"/>
    <x v="9"/>
    <x v="12"/>
    <x v="178"/>
    <x v="3"/>
    <x v="204"/>
    <x v="0"/>
    <x v="0"/>
  </r>
  <r>
    <x v="21"/>
    <x v="9"/>
    <x v="0"/>
    <x v="0"/>
    <x v="0"/>
    <x v="0"/>
    <x v="0"/>
    <x v="2"/>
    <x v="0"/>
    <x v="0"/>
    <x v="0"/>
    <x v="32"/>
    <x v="24"/>
    <x v="0"/>
    <x v="0"/>
    <x v="0"/>
    <x v="0"/>
    <x v="3"/>
    <x v="1"/>
    <x v="0"/>
    <x v="2"/>
    <x v="22"/>
    <x v="15"/>
    <x v="151"/>
    <x v="3"/>
    <x v="163"/>
    <x v="0"/>
    <x v="0"/>
  </r>
  <r>
    <x v="618"/>
    <x v="609"/>
    <x v="0"/>
    <x v="0"/>
    <x v="1"/>
    <x v="0"/>
    <x v="2"/>
    <x v="3"/>
    <x v="1"/>
    <x v="0"/>
    <x v="0"/>
    <x v="21"/>
    <x v="49"/>
    <x v="0"/>
    <x v="6"/>
    <x v="2"/>
    <x v="1"/>
    <x v="4"/>
    <x v="0"/>
    <x v="0"/>
    <x v="2"/>
    <x v="66"/>
    <x v="63"/>
    <x v="0"/>
    <x v="59"/>
    <x v="0"/>
    <x v="1"/>
    <x v="2"/>
  </r>
  <r>
    <x v="526"/>
    <x v="518"/>
    <x v="0"/>
    <x v="0"/>
    <x v="1"/>
    <x v="0"/>
    <x v="2"/>
    <x v="3"/>
    <x v="1"/>
    <x v="0"/>
    <x v="0"/>
    <x v="21"/>
    <x v="49"/>
    <x v="0"/>
    <x v="5"/>
    <x v="2"/>
    <x v="1"/>
    <x v="4"/>
    <x v="0"/>
    <x v="0"/>
    <x v="2"/>
    <x v="66"/>
    <x v="63"/>
    <x v="0"/>
    <x v="59"/>
    <x v="0"/>
    <x v="1"/>
    <x v="2"/>
  </r>
  <r>
    <x v="436"/>
    <x v="430"/>
    <x v="0"/>
    <x v="0"/>
    <x v="1"/>
    <x v="0"/>
    <x v="2"/>
    <x v="3"/>
    <x v="1"/>
    <x v="0"/>
    <x v="0"/>
    <x v="21"/>
    <x v="49"/>
    <x v="0"/>
    <x v="4"/>
    <x v="2"/>
    <x v="1"/>
    <x v="4"/>
    <x v="0"/>
    <x v="0"/>
    <x v="2"/>
    <x v="66"/>
    <x v="63"/>
    <x v="0"/>
    <x v="59"/>
    <x v="0"/>
    <x v="1"/>
    <x v="2"/>
  </r>
  <r>
    <x v="347"/>
    <x v="340"/>
    <x v="0"/>
    <x v="0"/>
    <x v="1"/>
    <x v="0"/>
    <x v="2"/>
    <x v="3"/>
    <x v="1"/>
    <x v="0"/>
    <x v="0"/>
    <x v="21"/>
    <x v="49"/>
    <x v="0"/>
    <x v="3"/>
    <x v="2"/>
    <x v="1"/>
    <x v="4"/>
    <x v="0"/>
    <x v="0"/>
    <x v="2"/>
    <x v="66"/>
    <x v="63"/>
    <x v="0"/>
    <x v="59"/>
    <x v="0"/>
    <x v="1"/>
    <x v="2"/>
  </r>
  <r>
    <x v="257"/>
    <x v="249"/>
    <x v="0"/>
    <x v="0"/>
    <x v="1"/>
    <x v="0"/>
    <x v="2"/>
    <x v="3"/>
    <x v="1"/>
    <x v="0"/>
    <x v="0"/>
    <x v="21"/>
    <x v="49"/>
    <x v="0"/>
    <x v="2"/>
    <x v="2"/>
    <x v="1"/>
    <x v="4"/>
    <x v="0"/>
    <x v="0"/>
    <x v="2"/>
    <x v="66"/>
    <x v="63"/>
    <x v="0"/>
    <x v="59"/>
    <x v="0"/>
    <x v="1"/>
    <x v="2"/>
  </r>
  <r>
    <x v="166"/>
    <x v="159"/>
    <x v="0"/>
    <x v="0"/>
    <x v="1"/>
    <x v="0"/>
    <x v="2"/>
    <x v="3"/>
    <x v="1"/>
    <x v="0"/>
    <x v="0"/>
    <x v="21"/>
    <x v="49"/>
    <x v="0"/>
    <x v="1"/>
    <x v="2"/>
    <x v="1"/>
    <x v="4"/>
    <x v="0"/>
    <x v="0"/>
    <x v="2"/>
    <x v="66"/>
    <x v="63"/>
    <x v="0"/>
    <x v="59"/>
    <x v="0"/>
    <x v="1"/>
    <x v="2"/>
  </r>
  <r>
    <x v="66"/>
    <x v="57"/>
    <x v="0"/>
    <x v="0"/>
    <x v="1"/>
    <x v="0"/>
    <x v="2"/>
    <x v="3"/>
    <x v="1"/>
    <x v="0"/>
    <x v="0"/>
    <x v="21"/>
    <x v="49"/>
    <x v="0"/>
    <x v="0"/>
    <x v="2"/>
    <x v="1"/>
    <x v="4"/>
    <x v="0"/>
    <x v="0"/>
    <x v="2"/>
    <x v="66"/>
    <x v="63"/>
    <x v="0"/>
    <x v="59"/>
    <x v="0"/>
    <x v="1"/>
    <x v="2"/>
  </r>
  <r>
    <x v="623"/>
    <x v="610"/>
    <x v="0"/>
    <x v="0"/>
    <x v="1"/>
    <x v="0"/>
    <x v="2"/>
    <x v="3"/>
    <x v="1"/>
    <x v="0"/>
    <x v="0"/>
    <x v="16"/>
    <x v="44"/>
    <x v="0"/>
    <x v="6"/>
    <x v="2"/>
    <x v="1"/>
    <x v="4"/>
    <x v="0"/>
    <x v="0"/>
    <x v="2"/>
    <x v="71"/>
    <x v="64"/>
    <x v="0"/>
    <x v="59"/>
    <x v="0"/>
    <x v="1"/>
    <x v="2"/>
  </r>
  <r>
    <x v="531"/>
    <x v="519"/>
    <x v="0"/>
    <x v="0"/>
    <x v="1"/>
    <x v="0"/>
    <x v="2"/>
    <x v="3"/>
    <x v="1"/>
    <x v="0"/>
    <x v="0"/>
    <x v="16"/>
    <x v="44"/>
    <x v="0"/>
    <x v="5"/>
    <x v="2"/>
    <x v="1"/>
    <x v="4"/>
    <x v="0"/>
    <x v="0"/>
    <x v="2"/>
    <x v="71"/>
    <x v="64"/>
    <x v="0"/>
    <x v="59"/>
    <x v="0"/>
    <x v="1"/>
    <x v="2"/>
  </r>
  <r>
    <x v="441"/>
    <x v="431"/>
    <x v="0"/>
    <x v="0"/>
    <x v="1"/>
    <x v="0"/>
    <x v="2"/>
    <x v="3"/>
    <x v="1"/>
    <x v="0"/>
    <x v="0"/>
    <x v="16"/>
    <x v="44"/>
    <x v="0"/>
    <x v="4"/>
    <x v="2"/>
    <x v="1"/>
    <x v="4"/>
    <x v="0"/>
    <x v="0"/>
    <x v="2"/>
    <x v="71"/>
    <x v="64"/>
    <x v="0"/>
    <x v="59"/>
    <x v="0"/>
    <x v="1"/>
    <x v="2"/>
  </r>
  <r>
    <x v="352"/>
    <x v="341"/>
    <x v="0"/>
    <x v="0"/>
    <x v="1"/>
    <x v="0"/>
    <x v="2"/>
    <x v="3"/>
    <x v="1"/>
    <x v="0"/>
    <x v="0"/>
    <x v="16"/>
    <x v="44"/>
    <x v="0"/>
    <x v="3"/>
    <x v="2"/>
    <x v="1"/>
    <x v="4"/>
    <x v="0"/>
    <x v="0"/>
    <x v="2"/>
    <x v="71"/>
    <x v="64"/>
    <x v="0"/>
    <x v="59"/>
    <x v="0"/>
    <x v="1"/>
    <x v="2"/>
  </r>
  <r>
    <x v="262"/>
    <x v="250"/>
    <x v="0"/>
    <x v="0"/>
    <x v="1"/>
    <x v="0"/>
    <x v="2"/>
    <x v="3"/>
    <x v="1"/>
    <x v="0"/>
    <x v="0"/>
    <x v="16"/>
    <x v="44"/>
    <x v="0"/>
    <x v="2"/>
    <x v="2"/>
    <x v="1"/>
    <x v="4"/>
    <x v="0"/>
    <x v="0"/>
    <x v="2"/>
    <x v="71"/>
    <x v="64"/>
    <x v="0"/>
    <x v="59"/>
    <x v="0"/>
    <x v="1"/>
    <x v="2"/>
  </r>
  <r>
    <x v="171"/>
    <x v="160"/>
    <x v="0"/>
    <x v="0"/>
    <x v="1"/>
    <x v="0"/>
    <x v="2"/>
    <x v="3"/>
    <x v="1"/>
    <x v="0"/>
    <x v="0"/>
    <x v="16"/>
    <x v="44"/>
    <x v="0"/>
    <x v="1"/>
    <x v="2"/>
    <x v="1"/>
    <x v="4"/>
    <x v="0"/>
    <x v="0"/>
    <x v="2"/>
    <x v="71"/>
    <x v="64"/>
    <x v="0"/>
    <x v="59"/>
    <x v="0"/>
    <x v="1"/>
    <x v="2"/>
  </r>
  <r>
    <x v="71"/>
    <x v="58"/>
    <x v="0"/>
    <x v="0"/>
    <x v="1"/>
    <x v="0"/>
    <x v="2"/>
    <x v="3"/>
    <x v="1"/>
    <x v="0"/>
    <x v="0"/>
    <x v="16"/>
    <x v="44"/>
    <x v="0"/>
    <x v="0"/>
    <x v="2"/>
    <x v="1"/>
    <x v="4"/>
    <x v="0"/>
    <x v="0"/>
    <x v="2"/>
    <x v="71"/>
    <x v="64"/>
    <x v="0"/>
    <x v="59"/>
    <x v="0"/>
    <x v="1"/>
    <x v="2"/>
  </r>
  <r>
    <x v="622"/>
    <x v="611"/>
    <x v="0"/>
    <x v="0"/>
    <x v="1"/>
    <x v="0"/>
    <x v="2"/>
    <x v="3"/>
    <x v="1"/>
    <x v="0"/>
    <x v="0"/>
    <x v="17"/>
    <x v="48"/>
    <x v="0"/>
    <x v="6"/>
    <x v="2"/>
    <x v="1"/>
    <x v="4"/>
    <x v="0"/>
    <x v="0"/>
    <x v="2"/>
    <x v="70"/>
    <x v="65"/>
    <x v="0"/>
    <x v="59"/>
    <x v="0"/>
    <x v="1"/>
    <x v="2"/>
  </r>
  <r>
    <x v="530"/>
    <x v="520"/>
    <x v="0"/>
    <x v="0"/>
    <x v="1"/>
    <x v="0"/>
    <x v="2"/>
    <x v="3"/>
    <x v="1"/>
    <x v="0"/>
    <x v="0"/>
    <x v="17"/>
    <x v="48"/>
    <x v="0"/>
    <x v="5"/>
    <x v="2"/>
    <x v="1"/>
    <x v="4"/>
    <x v="0"/>
    <x v="0"/>
    <x v="2"/>
    <x v="70"/>
    <x v="65"/>
    <x v="0"/>
    <x v="59"/>
    <x v="0"/>
    <x v="1"/>
    <x v="2"/>
  </r>
  <r>
    <x v="440"/>
    <x v="432"/>
    <x v="0"/>
    <x v="0"/>
    <x v="1"/>
    <x v="0"/>
    <x v="2"/>
    <x v="3"/>
    <x v="1"/>
    <x v="0"/>
    <x v="0"/>
    <x v="17"/>
    <x v="48"/>
    <x v="0"/>
    <x v="4"/>
    <x v="2"/>
    <x v="1"/>
    <x v="4"/>
    <x v="0"/>
    <x v="0"/>
    <x v="2"/>
    <x v="70"/>
    <x v="65"/>
    <x v="0"/>
    <x v="59"/>
    <x v="0"/>
    <x v="1"/>
    <x v="2"/>
  </r>
  <r>
    <x v="351"/>
    <x v="342"/>
    <x v="0"/>
    <x v="0"/>
    <x v="1"/>
    <x v="0"/>
    <x v="2"/>
    <x v="3"/>
    <x v="1"/>
    <x v="0"/>
    <x v="0"/>
    <x v="17"/>
    <x v="48"/>
    <x v="0"/>
    <x v="3"/>
    <x v="2"/>
    <x v="1"/>
    <x v="4"/>
    <x v="0"/>
    <x v="0"/>
    <x v="2"/>
    <x v="70"/>
    <x v="65"/>
    <x v="0"/>
    <x v="59"/>
    <x v="0"/>
    <x v="1"/>
    <x v="2"/>
  </r>
  <r>
    <x v="261"/>
    <x v="251"/>
    <x v="0"/>
    <x v="0"/>
    <x v="1"/>
    <x v="0"/>
    <x v="2"/>
    <x v="3"/>
    <x v="1"/>
    <x v="0"/>
    <x v="0"/>
    <x v="17"/>
    <x v="48"/>
    <x v="0"/>
    <x v="2"/>
    <x v="2"/>
    <x v="1"/>
    <x v="4"/>
    <x v="0"/>
    <x v="0"/>
    <x v="2"/>
    <x v="70"/>
    <x v="65"/>
    <x v="0"/>
    <x v="59"/>
    <x v="0"/>
    <x v="1"/>
    <x v="2"/>
  </r>
  <r>
    <x v="170"/>
    <x v="161"/>
    <x v="0"/>
    <x v="0"/>
    <x v="1"/>
    <x v="0"/>
    <x v="2"/>
    <x v="3"/>
    <x v="1"/>
    <x v="0"/>
    <x v="0"/>
    <x v="17"/>
    <x v="48"/>
    <x v="0"/>
    <x v="1"/>
    <x v="2"/>
    <x v="1"/>
    <x v="4"/>
    <x v="0"/>
    <x v="0"/>
    <x v="2"/>
    <x v="70"/>
    <x v="65"/>
    <x v="1"/>
    <x v="59"/>
    <x v="0"/>
    <x v="1"/>
    <x v="2"/>
  </r>
  <r>
    <x v="70"/>
    <x v="59"/>
    <x v="0"/>
    <x v="0"/>
    <x v="1"/>
    <x v="0"/>
    <x v="2"/>
    <x v="3"/>
    <x v="1"/>
    <x v="0"/>
    <x v="0"/>
    <x v="17"/>
    <x v="48"/>
    <x v="0"/>
    <x v="0"/>
    <x v="2"/>
    <x v="1"/>
    <x v="4"/>
    <x v="0"/>
    <x v="0"/>
    <x v="2"/>
    <x v="70"/>
    <x v="65"/>
    <x v="1"/>
    <x v="59"/>
    <x v="1"/>
    <x v="1"/>
    <x v="2"/>
  </r>
  <r>
    <x v="621"/>
    <x v="612"/>
    <x v="0"/>
    <x v="0"/>
    <x v="1"/>
    <x v="0"/>
    <x v="2"/>
    <x v="3"/>
    <x v="1"/>
    <x v="0"/>
    <x v="0"/>
    <x v="18"/>
    <x v="42"/>
    <x v="0"/>
    <x v="6"/>
    <x v="2"/>
    <x v="1"/>
    <x v="4"/>
    <x v="0"/>
    <x v="0"/>
    <x v="2"/>
    <x v="69"/>
    <x v="66"/>
    <x v="0"/>
    <x v="59"/>
    <x v="0"/>
    <x v="1"/>
    <x v="2"/>
  </r>
  <r>
    <x v="529"/>
    <x v="521"/>
    <x v="0"/>
    <x v="0"/>
    <x v="1"/>
    <x v="0"/>
    <x v="2"/>
    <x v="3"/>
    <x v="1"/>
    <x v="0"/>
    <x v="0"/>
    <x v="18"/>
    <x v="42"/>
    <x v="0"/>
    <x v="5"/>
    <x v="2"/>
    <x v="1"/>
    <x v="4"/>
    <x v="0"/>
    <x v="0"/>
    <x v="2"/>
    <x v="69"/>
    <x v="66"/>
    <x v="0"/>
    <x v="59"/>
    <x v="0"/>
    <x v="1"/>
    <x v="2"/>
  </r>
  <r>
    <x v="439"/>
    <x v="433"/>
    <x v="0"/>
    <x v="0"/>
    <x v="1"/>
    <x v="0"/>
    <x v="2"/>
    <x v="3"/>
    <x v="1"/>
    <x v="0"/>
    <x v="0"/>
    <x v="18"/>
    <x v="42"/>
    <x v="0"/>
    <x v="4"/>
    <x v="2"/>
    <x v="1"/>
    <x v="4"/>
    <x v="0"/>
    <x v="0"/>
    <x v="2"/>
    <x v="69"/>
    <x v="66"/>
    <x v="0"/>
    <x v="59"/>
    <x v="0"/>
    <x v="1"/>
    <x v="2"/>
  </r>
  <r>
    <x v="350"/>
    <x v="343"/>
    <x v="0"/>
    <x v="0"/>
    <x v="1"/>
    <x v="0"/>
    <x v="2"/>
    <x v="3"/>
    <x v="1"/>
    <x v="0"/>
    <x v="0"/>
    <x v="18"/>
    <x v="42"/>
    <x v="0"/>
    <x v="3"/>
    <x v="2"/>
    <x v="1"/>
    <x v="4"/>
    <x v="0"/>
    <x v="0"/>
    <x v="2"/>
    <x v="69"/>
    <x v="66"/>
    <x v="0"/>
    <x v="59"/>
    <x v="0"/>
    <x v="1"/>
    <x v="2"/>
  </r>
  <r>
    <x v="260"/>
    <x v="252"/>
    <x v="0"/>
    <x v="0"/>
    <x v="1"/>
    <x v="0"/>
    <x v="2"/>
    <x v="3"/>
    <x v="1"/>
    <x v="0"/>
    <x v="0"/>
    <x v="18"/>
    <x v="42"/>
    <x v="0"/>
    <x v="2"/>
    <x v="2"/>
    <x v="1"/>
    <x v="4"/>
    <x v="0"/>
    <x v="0"/>
    <x v="2"/>
    <x v="69"/>
    <x v="66"/>
    <x v="0"/>
    <x v="59"/>
    <x v="0"/>
    <x v="1"/>
    <x v="2"/>
  </r>
  <r>
    <x v="169"/>
    <x v="162"/>
    <x v="0"/>
    <x v="0"/>
    <x v="1"/>
    <x v="0"/>
    <x v="2"/>
    <x v="3"/>
    <x v="1"/>
    <x v="0"/>
    <x v="0"/>
    <x v="18"/>
    <x v="42"/>
    <x v="0"/>
    <x v="1"/>
    <x v="2"/>
    <x v="1"/>
    <x v="4"/>
    <x v="0"/>
    <x v="0"/>
    <x v="2"/>
    <x v="69"/>
    <x v="66"/>
    <x v="0"/>
    <x v="59"/>
    <x v="0"/>
    <x v="1"/>
    <x v="2"/>
  </r>
  <r>
    <x v="69"/>
    <x v="60"/>
    <x v="0"/>
    <x v="0"/>
    <x v="1"/>
    <x v="0"/>
    <x v="2"/>
    <x v="3"/>
    <x v="1"/>
    <x v="0"/>
    <x v="0"/>
    <x v="18"/>
    <x v="42"/>
    <x v="0"/>
    <x v="0"/>
    <x v="2"/>
    <x v="1"/>
    <x v="4"/>
    <x v="0"/>
    <x v="0"/>
    <x v="2"/>
    <x v="69"/>
    <x v="66"/>
    <x v="0"/>
    <x v="59"/>
    <x v="0"/>
    <x v="1"/>
    <x v="2"/>
  </r>
  <r>
    <x v="620"/>
    <x v="613"/>
    <x v="0"/>
    <x v="0"/>
    <x v="1"/>
    <x v="0"/>
    <x v="2"/>
    <x v="3"/>
    <x v="1"/>
    <x v="0"/>
    <x v="0"/>
    <x v="19"/>
    <x v="43"/>
    <x v="0"/>
    <x v="6"/>
    <x v="2"/>
    <x v="1"/>
    <x v="4"/>
    <x v="0"/>
    <x v="0"/>
    <x v="2"/>
    <x v="68"/>
    <x v="67"/>
    <x v="0"/>
    <x v="59"/>
    <x v="0"/>
    <x v="1"/>
    <x v="2"/>
  </r>
  <r>
    <x v="528"/>
    <x v="522"/>
    <x v="0"/>
    <x v="0"/>
    <x v="1"/>
    <x v="0"/>
    <x v="2"/>
    <x v="3"/>
    <x v="1"/>
    <x v="0"/>
    <x v="0"/>
    <x v="19"/>
    <x v="43"/>
    <x v="0"/>
    <x v="5"/>
    <x v="2"/>
    <x v="1"/>
    <x v="4"/>
    <x v="0"/>
    <x v="0"/>
    <x v="2"/>
    <x v="68"/>
    <x v="67"/>
    <x v="0"/>
    <x v="59"/>
    <x v="0"/>
    <x v="1"/>
    <x v="2"/>
  </r>
  <r>
    <x v="438"/>
    <x v="434"/>
    <x v="0"/>
    <x v="0"/>
    <x v="1"/>
    <x v="0"/>
    <x v="2"/>
    <x v="3"/>
    <x v="1"/>
    <x v="0"/>
    <x v="0"/>
    <x v="19"/>
    <x v="43"/>
    <x v="0"/>
    <x v="4"/>
    <x v="2"/>
    <x v="1"/>
    <x v="4"/>
    <x v="0"/>
    <x v="0"/>
    <x v="2"/>
    <x v="68"/>
    <x v="67"/>
    <x v="0"/>
    <x v="59"/>
    <x v="0"/>
    <x v="1"/>
    <x v="2"/>
  </r>
  <r>
    <x v="349"/>
    <x v="344"/>
    <x v="0"/>
    <x v="0"/>
    <x v="1"/>
    <x v="0"/>
    <x v="2"/>
    <x v="3"/>
    <x v="1"/>
    <x v="0"/>
    <x v="0"/>
    <x v="19"/>
    <x v="43"/>
    <x v="0"/>
    <x v="3"/>
    <x v="2"/>
    <x v="1"/>
    <x v="4"/>
    <x v="0"/>
    <x v="0"/>
    <x v="2"/>
    <x v="68"/>
    <x v="67"/>
    <x v="0"/>
    <x v="59"/>
    <x v="0"/>
    <x v="1"/>
    <x v="2"/>
  </r>
  <r>
    <x v="259"/>
    <x v="253"/>
    <x v="0"/>
    <x v="0"/>
    <x v="1"/>
    <x v="0"/>
    <x v="2"/>
    <x v="3"/>
    <x v="1"/>
    <x v="0"/>
    <x v="0"/>
    <x v="19"/>
    <x v="43"/>
    <x v="0"/>
    <x v="2"/>
    <x v="2"/>
    <x v="1"/>
    <x v="4"/>
    <x v="0"/>
    <x v="0"/>
    <x v="2"/>
    <x v="68"/>
    <x v="67"/>
    <x v="0"/>
    <x v="59"/>
    <x v="0"/>
    <x v="1"/>
    <x v="2"/>
  </r>
  <r>
    <x v="168"/>
    <x v="163"/>
    <x v="0"/>
    <x v="0"/>
    <x v="1"/>
    <x v="0"/>
    <x v="2"/>
    <x v="3"/>
    <x v="1"/>
    <x v="0"/>
    <x v="0"/>
    <x v="19"/>
    <x v="43"/>
    <x v="0"/>
    <x v="1"/>
    <x v="2"/>
    <x v="1"/>
    <x v="4"/>
    <x v="0"/>
    <x v="0"/>
    <x v="2"/>
    <x v="68"/>
    <x v="67"/>
    <x v="0"/>
    <x v="59"/>
    <x v="0"/>
    <x v="1"/>
    <x v="2"/>
  </r>
  <r>
    <x v="68"/>
    <x v="61"/>
    <x v="0"/>
    <x v="0"/>
    <x v="1"/>
    <x v="0"/>
    <x v="2"/>
    <x v="3"/>
    <x v="1"/>
    <x v="0"/>
    <x v="0"/>
    <x v="19"/>
    <x v="43"/>
    <x v="0"/>
    <x v="0"/>
    <x v="2"/>
    <x v="1"/>
    <x v="4"/>
    <x v="0"/>
    <x v="0"/>
    <x v="2"/>
    <x v="68"/>
    <x v="67"/>
    <x v="0"/>
    <x v="59"/>
    <x v="0"/>
    <x v="1"/>
    <x v="2"/>
  </r>
  <r>
    <x v="619"/>
    <x v="614"/>
    <x v="0"/>
    <x v="0"/>
    <x v="1"/>
    <x v="0"/>
    <x v="2"/>
    <x v="3"/>
    <x v="1"/>
    <x v="0"/>
    <x v="0"/>
    <x v="20"/>
    <x v="52"/>
    <x v="0"/>
    <x v="6"/>
    <x v="2"/>
    <x v="1"/>
    <x v="4"/>
    <x v="0"/>
    <x v="0"/>
    <x v="2"/>
    <x v="67"/>
    <x v="68"/>
    <x v="0"/>
    <x v="59"/>
    <x v="0"/>
    <x v="1"/>
    <x v="2"/>
  </r>
  <r>
    <x v="527"/>
    <x v="523"/>
    <x v="0"/>
    <x v="0"/>
    <x v="1"/>
    <x v="0"/>
    <x v="2"/>
    <x v="3"/>
    <x v="1"/>
    <x v="0"/>
    <x v="0"/>
    <x v="20"/>
    <x v="52"/>
    <x v="0"/>
    <x v="5"/>
    <x v="2"/>
    <x v="1"/>
    <x v="4"/>
    <x v="0"/>
    <x v="0"/>
    <x v="2"/>
    <x v="67"/>
    <x v="68"/>
    <x v="0"/>
    <x v="59"/>
    <x v="0"/>
    <x v="1"/>
    <x v="2"/>
  </r>
  <r>
    <x v="437"/>
    <x v="435"/>
    <x v="0"/>
    <x v="0"/>
    <x v="1"/>
    <x v="0"/>
    <x v="2"/>
    <x v="3"/>
    <x v="1"/>
    <x v="0"/>
    <x v="0"/>
    <x v="20"/>
    <x v="52"/>
    <x v="0"/>
    <x v="4"/>
    <x v="2"/>
    <x v="1"/>
    <x v="4"/>
    <x v="0"/>
    <x v="0"/>
    <x v="2"/>
    <x v="67"/>
    <x v="68"/>
    <x v="0"/>
    <x v="59"/>
    <x v="0"/>
    <x v="1"/>
    <x v="2"/>
  </r>
  <r>
    <x v="348"/>
    <x v="345"/>
    <x v="0"/>
    <x v="0"/>
    <x v="1"/>
    <x v="0"/>
    <x v="2"/>
    <x v="3"/>
    <x v="1"/>
    <x v="0"/>
    <x v="0"/>
    <x v="20"/>
    <x v="52"/>
    <x v="0"/>
    <x v="3"/>
    <x v="2"/>
    <x v="1"/>
    <x v="4"/>
    <x v="0"/>
    <x v="0"/>
    <x v="2"/>
    <x v="67"/>
    <x v="68"/>
    <x v="2"/>
    <x v="59"/>
    <x v="2"/>
    <x v="1"/>
    <x v="2"/>
  </r>
  <r>
    <x v="258"/>
    <x v="254"/>
    <x v="0"/>
    <x v="0"/>
    <x v="1"/>
    <x v="0"/>
    <x v="2"/>
    <x v="3"/>
    <x v="1"/>
    <x v="0"/>
    <x v="0"/>
    <x v="20"/>
    <x v="52"/>
    <x v="0"/>
    <x v="2"/>
    <x v="2"/>
    <x v="1"/>
    <x v="4"/>
    <x v="0"/>
    <x v="0"/>
    <x v="2"/>
    <x v="67"/>
    <x v="68"/>
    <x v="0"/>
    <x v="59"/>
    <x v="0"/>
    <x v="1"/>
    <x v="2"/>
  </r>
  <r>
    <x v="167"/>
    <x v="164"/>
    <x v="0"/>
    <x v="0"/>
    <x v="1"/>
    <x v="0"/>
    <x v="2"/>
    <x v="3"/>
    <x v="1"/>
    <x v="0"/>
    <x v="0"/>
    <x v="20"/>
    <x v="52"/>
    <x v="0"/>
    <x v="1"/>
    <x v="2"/>
    <x v="1"/>
    <x v="4"/>
    <x v="0"/>
    <x v="0"/>
    <x v="2"/>
    <x v="67"/>
    <x v="68"/>
    <x v="1"/>
    <x v="59"/>
    <x v="0"/>
    <x v="1"/>
    <x v="2"/>
  </r>
  <r>
    <x v="67"/>
    <x v="62"/>
    <x v="0"/>
    <x v="0"/>
    <x v="1"/>
    <x v="0"/>
    <x v="2"/>
    <x v="3"/>
    <x v="1"/>
    <x v="0"/>
    <x v="0"/>
    <x v="20"/>
    <x v="52"/>
    <x v="0"/>
    <x v="0"/>
    <x v="2"/>
    <x v="1"/>
    <x v="4"/>
    <x v="0"/>
    <x v="0"/>
    <x v="2"/>
    <x v="67"/>
    <x v="68"/>
    <x v="0"/>
    <x v="59"/>
    <x v="0"/>
    <x v="1"/>
    <x v="2"/>
  </r>
  <r>
    <x v="635"/>
    <x v="615"/>
    <x v="0"/>
    <x v="0"/>
    <x v="1"/>
    <x v="0"/>
    <x v="2"/>
    <x v="3"/>
    <x v="1"/>
    <x v="0"/>
    <x v="0"/>
    <x v="21"/>
    <x v="49"/>
    <x v="0"/>
    <x v="6"/>
    <x v="2"/>
    <x v="1"/>
    <x v="4"/>
    <x v="0"/>
    <x v="0"/>
    <x v="2"/>
    <x v="83"/>
    <x v="69"/>
    <x v="0"/>
    <x v="59"/>
    <x v="0"/>
    <x v="1"/>
    <x v="2"/>
  </r>
  <r>
    <x v="543"/>
    <x v="524"/>
    <x v="0"/>
    <x v="0"/>
    <x v="1"/>
    <x v="0"/>
    <x v="2"/>
    <x v="3"/>
    <x v="1"/>
    <x v="0"/>
    <x v="0"/>
    <x v="21"/>
    <x v="49"/>
    <x v="0"/>
    <x v="5"/>
    <x v="2"/>
    <x v="1"/>
    <x v="4"/>
    <x v="0"/>
    <x v="0"/>
    <x v="2"/>
    <x v="83"/>
    <x v="69"/>
    <x v="0"/>
    <x v="59"/>
    <x v="0"/>
    <x v="1"/>
    <x v="2"/>
  </r>
  <r>
    <x v="453"/>
    <x v="436"/>
    <x v="0"/>
    <x v="0"/>
    <x v="1"/>
    <x v="0"/>
    <x v="2"/>
    <x v="3"/>
    <x v="1"/>
    <x v="0"/>
    <x v="0"/>
    <x v="21"/>
    <x v="49"/>
    <x v="0"/>
    <x v="4"/>
    <x v="2"/>
    <x v="1"/>
    <x v="4"/>
    <x v="0"/>
    <x v="0"/>
    <x v="2"/>
    <x v="83"/>
    <x v="69"/>
    <x v="0"/>
    <x v="59"/>
    <x v="0"/>
    <x v="1"/>
    <x v="2"/>
  </r>
  <r>
    <x v="364"/>
    <x v="346"/>
    <x v="0"/>
    <x v="0"/>
    <x v="1"/>
    <x v="0"/>
    <x v="2"/>
    <x v="3"/>
    <x v="1"/>
    <x v="0"/>
    <x v="0"/>
    <x v="21"/>
    <x v="49"/>
    <x v="0"/>
    <x v="3"/>
    <x v="2"/>
    <x v="1"/>
    <x v="4"/>
    <x v="0"/>
    <x v="0"/>
    <x v="2"/>
    <x v="83"/>
    <x v="69"/>
    <x v="0"/>
    <x v="59"/>
    <x v="0"/>
    <x v="1"/>
    <x v="2"/>
  </r>
  <r>
    <x v="274"/>
    <x v="255"/>
    <x v="0"/>
    <x v="0"/>
    <x v="1"/>
    <x v="0"/>
    <x v="2"/>
    <x v="3"/>
    <x v="1"/>
    <x v="0"/>
    <x v="0"/>
    <x v="21"/>
    <x v="49"/>
    <x v="0"/>
    <x v="2"/>
    <x v="2"/>
    <x v="1"/>
    <x v="4"/>
    <x v="0"/>
    <x v="0"/>
    <x v="2"/>
    <x v="83"/>
    <x v="69"/>
    <x v="0"/>
    <x v="59"/>
    <x v="0"/>
    <x v="1"/>
    <x v="2"/>
  </r>
  <r>
    <x v="183"/>
    <x v="165"/>
    <x v="0"/>
    <x v="0"/>
    <x v="1"/>
    <x v="0"/>
    <x v="2"/>
    <x v="3"/>
    <x v="1"/>
    <x v="0"/>
    <x v="0"/>
    <x v="21"/>
    <x v="49"/>
    <x v="0"/>
    <x v="1"/>
    <x v="2"/>
    <x v="1"/>
    <x v="4"/>
    <x v="0"/>
    <x v="0"/>
    <x v="2"/>
    <x v="83"/>
    <x v="69"/>
    <x v="0"/>
    <x v="59"/>
    <x v="0"/>
    <x v="1"/>
    <x v="2"/>
  </r>
  <r>
    <x v="83"/>
    <x v="63"/>
    <x v="0"/>
    <x v="0"/>
    <x v="1"/>
    <x v="0"/>
    <x v="2"/>
    <x v="3"/>
    <x v="1"/>
    <x v="0"/>
    <x v="0"/>
    <x v="21"/>
    <x v="49"/>
    <x v="0"/>
    <x v="0"/>
    <x v="2"/>
    <x v="1"/>
    <x v="4"/>
    <x v="0"/>
    <x v="0"/>
    <x v="2"/>
    <x v="83"/>
    <x v="69"/>
    <x v="0"/>
    <x v="59"/>
    <x v="0"/>
    <x v="1"/>
    <x v="2"/>
  </r>
  <r>
    <x v="642"/>
    <x v="616"/>
    <x v="0"/>
    <x v="0"/>
    <x v="1"/>
    <x v="0"/>
    <x v="2"/>
    <x v="3"/>
    <x v="1"/>
    <x v="0"/>
    <x v="0"/>
    <x v="16"/>
    <x v="44"/>
    <x v="0"/>
    <x v="6"/>
    <x v="2"/>
    <x v="1"/>
    <x v="4"/>
    <x v="0"/>
    <x v="0"/>
    <x v="2"/>
    <x v="90"/>
    <x v="70"/>
    <x v="0"/>
    <x v="59"/>
    <x v="0"/>
    <x v="1"/>
    <x v="2"/>
  </r>
  <r>
    <x v="550"/>
    <x v="525"/>
    <x v="0"/>
    <x v="0"/>
    <x v="1"/>
    <x v="0"/>
    <x v="2"/>
    <x v="3"/>
    <x v="1"/>
    <x v="0"/>
    <x v="0"/>
    <x v="16"/>
    <x v="44"/>
    <x v="0"/>
    <x v="5"/>
    <x v="2"/>
    <x v="1"/>
    <x v="4"/>
    <x v="0"/>
    <x v="0"/>
    <x v="2"/>
    <x v="90"/>
    <x v="70"/>
    <x v="0"/>
    <x v="59"/>
    <x v="0"/>
    <x v="1"/>
    <x v="2"/>
  </r>
  <r>
    <x v="460"/>
    <x v="437"/>
    <x v="0"/>
    <x v="0"/>
    <x v="1"/>
    <x v="0"/>
    <x v="2"/>
    <x v="3"/>
    <x v="1"/>
    <x v="0"/>
    <x v="0"/>
    <x v="16"/>
    <x v="44"/>
    <x v="0"/>
    <x v="4"/>
    <x v="2"/>
    <x v="1"/>
    <x v="4"/>
    <x v="0"/>
    <x v="0"/>
    <x v="2"/>
    <x v="90"/>
    <x v="70"/>
    <x v="0"/>
    <x v="59"/>
    <x v="0"/>
    <x v="1"/>
    <x v="2"/>
  </r>
  <r>
    <x v="371"/>
    <x v="347"/>
    <x v="0"/>
    <x v="0"/>
    <x v="1"/>
    <x v="0"/>
    <x v="2"/>
    <x v="3"/>
    <x v="1"/>
    <x v="0"/>
    <x v="0"/>
    <x v="16"/>
    <x v="44"/>
    <x v="0"/>
    <x v="3"/>
    <x v="2"/>
    <x v="1"/>
    <x v="4"/>
    <x v="0"/>
    <x v="0"/>
    <x v="2"/>
    <x v="90"/>
    <x v="70"/>
    <x v="0"/>
    <x v="59"/>
    <x v="0"/>
    <x v="1"/>
    <x v="2"/>
  </r>
  <r>
    <x v="281"/>
    <x v="256"/>
    <x v="0"/>
    <x v="0"/>
    <x v="1"/>
    <x v="0"/>
    <x v="2"/>
    <x v="3"/>
    <x v="1"/>
    <x v="0"/>
    <x v="0"/>
    <x v="16"/>
    <x v="44"/>
    <x v="0"/>
    <x v="2"/>
    <x v="2"/>
    <x v="1"/>
    <x v="4"/>
    <x v="0"/>
    <x v="0"/>
    <x v="2"/>
    <x v="90"/>
    <x v="70"/>
    <x v="0"/>
    <x v="59"/>
    <x v="0"/>
    <x v="1"/>
    <x v="2"/>
  </r>
  <r>
    <x v="190"/>
    <x v="166"/>
    <x v="0"/>
    <x v="0"/>
    <x v="1"/>
    <x v="0"/>
    <x v="2"/>
    <x v="3"/>
    <x v="1"/>
    <x v="0"/>
    <x v="0"/>
    <x v="16"/>
    <x v="44"/>
    <x v="0"/>
    <x v="1"/>
    <x v="2"/>
    <x v="1"/>
    <x v="4"/>
    <x v="0"/>
    <x v="0"/>
    <x v="2"/>
    <x v="90"/>
    <x v="70"/>
    <x v="0"/>
    <x v="59"/>
    <x v="0"/>
    <x v="1"/>
    <x v="2"/>
  </r>
  <r>
    <x v="90"/>
    <x v="64"/>
    <x v="0"/>
    <x v="0"/>
    <x v="1"/>
    <x v="0"/>
    <x v="2"/>
    <x v="3"/>
    <x v="1"/>
    <x v="0"/>
    <x v="0"/>
    <x v="16"/>
    <x v="44"/>
    <x v="0"/>
    <x v="0"/>
    <x v="2"/>
    <x v="1"/>
    <x v="4"/>
    <x v="0"/>
    <x v="0"/>
    <x v="2"/>
    <x v="90"/>
    <x v="70"/>
    <x v="0"/>
    <x v="59"/>
    <x v="0"/>
    <x v="1"/>
    <x v="2"/>
  </r>
  <r>
    <x v="641"/>
    <x v="617"/>
    <x v="0"/>
    <x v="0"/>
    <x v="1"/>
    <x v="0"/>
    <x v="2"/>
    <x v="3"/>
    <x v="1"/>
    <x v="0"/>
    <x v="0"/>
    <x v="17"/>
    <x v="48"/>
    <x v="0"/>
    <x v="6"/>
    <x v="2"/>
    <x v="1"/>
    <x v="4"/>
    <x v="0"/>
    <x v="0"/>
    <x v="2"/>
    <x v="89"/>
    <x v="71"/>
    <x v="1"/>
    <x v="59"/>
    <x v="0"/>
    <x v="1"/>
    <x v="2"/>
  </r>
  <r>
    <x v="549"/>
    <x v="526"/>
    <x v="0"/>
    <x v="0"/>
    <x v="1"/>
    <x v="0"/>
    <x v="2"/>
    <x v="3"/>
    <x v="1"/>
    <x v="0"/>
    <x v="0"/>
    <x v="17"/>
    <x v="48"/>
    <x v="0"/>
    <x v="5"/>
    <x v="2"/>
    <x v="1"/>
    <x v="4"/>
    <x v="0"/>
    <x v="0"/>
    <x v="2"/>
    <x v="89"/>
    <x v="71"/>
    <x v="0"/>
    <x v="59"/>
    <x v="0"/>
    <x v="1"/>
    <x v="2"/>
  </r>
  <r>
    <x v="459"/>
    <x v="438"/>
    <x v="0"/>
    <x v="0"/>
    <x v="1"/>
    <x v="0"/>
    <x v="2"/>
    <x v="3"/>
    <x v="1"/>
    <x v="0"/>
    <x v="0"/>
    <x v="17"/>
    <x v="48"/>
    <x v="0"/>
    <x v="4"/>
    <x v="2"/>
    <x v="1"/>
    <x v="4"/>
    <x v="0"/>
    <x v="0"/>
    <x v="2"/>
    <x v="89"/>
    <x v="71"/>
    <x v="0"/>
    <x v="59"/>
    <x v="0"/>
    <x v="1"/>
    <x v="2"/>
  </r>
  <r>
    <x v="370"/>
    <x v="348"/>
    <x v="0"/>
    <x v="0"/>
    <x v="1"/>
    <x v="0"/>
    <x v="2"/>
    <x v="3"/>
    <x v="1"/>
    <x v="0"/>
    <x v="0"/>
    <x v="17"/>
    <x v="48"/>
    <x v="0"/>
    <x v="3"/>
    <x v="2"/>
    <x v="1"/>
    <x v="4"/>
    <x v="0"/>
    <x v="0"/>
    <x v="2"/>
    <x v="89"/>
    <x v="71"/>
    <x v="0"/>
    <x v="59"/>
    <x v="0"/>
    <x v="1"/>
    <x v="2"/>
  </r>
  <r>
    <x v="280"/>
    <x v="257"/>
    <x v="0"/>
    <x v="0"/>
    <x v="1"/>
    <x v="0"/>
    <x v="2"/>
    <x v="3"/>
    <x v="1"/>
    <x v="0"/>
    <x v="0"/>
    <x v="17"/>
    <x v="48"/>
    <x v="0"/>
    <x v="2"/>
    <x v="2"/>
    <x v="1"/>
    <x v="4"/>
    <x v="0"/>
    <x v="0"/>
    <x v="2"/>
    <x v="89"/>
    <x v="71"/>
    <x v="0"/>
    <x v="59"/>
    <x v="0"/>
    <x v="1"/>
    <x v="2"/>
  </r>
  <r>
    <x v="189"/>
    <x v="167"/>
    <x v="0"/>
    <x v="0"/>
    <x v="1"/>
    <x v="0"/>
    <x v="2"/>
    <x v="3"/>
    <x v="1"/>
    <x v="0"/>
    <x v="0"/>
    <x v="17"/>
    <x v="48"/>
    <x v="0"/>
    <x v="1"/>
    <x v="2"/>
    <x v="1"/>
    <x v="4"/>
    <x v="0"/>
    <x v="0"/>
    <x v="2"/>
    <x v="89"/>
    <x v="71"/>
    <x v="0"/>
    <x v="59"/>
    <x v="0"/>
    <x v="1"/>
    <x v="2"/>
  </r>
  <r>
    <x v="89"/>
    <x v="65"/>
    <x v="0"/>
    <x v="0"/>
    <x v="1"/>
    <x v="0"/>
    <x v="2"/>
    <x v="3"/>
    <x v="1"/>
    <x v="0"/>
    <x v="0"/>
    <x v="17"/>
    <x v="48"/>
    <x v="0"/>
    <x v="0"/>
    <x v="2"/>
    <x v="1"/>
    <x v="4"/>
    <x v="0"/>
    <x v="0"/>
    <x v="2"/>
    <x v="89"/>
    <x v="71"/>
    <x v="0"/>
    <x v="59"/>
    <x v="0"/>
    <x v="1"/>
    <x v="2"/>
  </r>
  <r>
    <x v="640"/>
    <x v="618"/>
    <x v="0"/>
    <x v="0"/>
    <x v="1"/>
    <x v="0"/>
    <x v="2"/>
    <x v="3"/>
    <x v="1"/>
    <x v="0"/>
    <x v="0"/>
    <x v="18"/>
    <x v="42"/>
    <x v="0"/>
    <x v="6"/>
    <x v="2"/>
    <x v="1"/>
    <x v="4"/>
    <x v="0"/>
    <x v="0"/>
    <x v="2"/>
    <x v="88"/>
    <x v="72"/>
    <x v="1"/>
    <x v="59"/>
    <x v="0"/>
    <x v="1"/>
    <x v="2"/>
  </r>
  <r>
    <x v="548"/>
    <x v="527"/>
    <x v="0"/>
    <x v="0"/>
    <x v="1"/>
    <x v="0"/>
    <x v="2"/>
    <x v="3"/>
    <x v="1"/>
    <x v="0"/>
    <x v="0"/>
    <x v="18"/>
    <x v="42"/>
    <x v="0"/>
    <x v="5"/>
    <x v="2"/>
    <x v="1"/>
    <x v="4"/>
    <x v="0"/>
    <x v="0"/>
    <x v="2"/>
    <x v="88"/>
    <x v="72"/>
    <x v="0"/>
    <x v="59"/>
    <x v="0"/>
    <x v="1"/>
    <x v="2"/>
  </r>
  <r>
    <x v="458"/>
    <x v="439"/>
    <x v="0"/>
    <x v="0"/>
    <x v="1"/>
    <x v="0"/>
    <x v="2"/>
    <x v="3"/>
    <x v="1"/>
    <x v="0"/>
    <x v="0"/>
    <x v="18"/>
    <x v="42"/>
    <x v="0"/>
    <x v="4"/>
    <x v="2"/>
    <x v="1"/>
    <x v="4"/>
    <x v="0"/>
    <x v="0"/>
    <x v="2"/>
    <x v="88"/>
    <x v="72"/>
    <x v="0"/>
    <x v="59"/>
    <x v="0"/>
    <x v="1"/>
    <x v="2"/>
  </r>
  <r>
    <x v="369"/>
    <x v="349"/>
    <x v="0"/>
    <x v="0"/>
    <x v="1"/>
    <x v="0"/>
    <x v="2"/>
    <x v="3"/>
    <x v="1"/>
    <x v="0"/>
    <x v="0"/>
    <x v="18"/>
    <x v="42"/>
    <x v="0"/>
    <x v="3"/>
    <x v="2"/>
    <x v="1"/>
    <x v="4"/>
    <x v="0"/>
    <x v="0"/>
    <x v="2"/>
    <x v="88"/>
    <x v="72"/>
    <x v="1"/>
    <x v="59"/>
    <x v="0"/>
    <x v="1"/>
    <x v="2"/>
  </r>
  <r>
    <x v="279"/>
    <x v="258"/>
    <x v="0"/>
    <x v="0"/>
    <x v="1"/>
    <x v="0"/>
    <x v="2"/>
    <x v="3"/>
    <x v="1"/>
    <x v="0"/>
    <x v="0"/>
    <x v="18"/>
    <x v="42"/>
    <x v="0"/>
    <x v="2"/>
    <x v="2"/>
    <x v="1"/>
    <x v="4"/>
    <x v="0"/>
    <x v="0"/>
    <x v="2"/>
    <x v="88"/>
    <x v="72"/>
    <x v="1"/>
    <x v="59"/>
    <x v="1"/>
    <x v="1"/>
    <x v="2"/>
  </r>
  <r>
    <x v="188"/>
    <x v="168"/>
    <x v="0"/>
    <x v="0"/>
    <x v="1"/>
    <x v="0"/>
    <x v="2"/>
    <x v="3"/>
    <x v="1"/>
    <x v="0"/>
    <x v="0"/>
    <x v="18"/>
    <x v="42"/>
    <x v="0"/>
    <x v="1"/>
    <x v="2"/>
    <x v="1"/>
    <x v="4"/>
    <x v="0"/>
    <x v="0"/>
    <x v="2"/>
    <x v="88"/>
    <x v="72"/>
    <x v="0"/>
    <x v="59"/>
    <x v="0"/>
    <x v="1"/>
    <x v="2"/>
  </r>
  <r>
    <x v="88"/>
    <x v="66"/>
    <x v="0"/>
    <x v="0"/>
    <x v="1"/>
    <x v="0"/>
    <x v="2"/>
    <x v="3"/>
    <x v="1"/>
    <x v="0"/>
    <x v="0"/>
    <x v="18"/>
    <x v="42"/>
    <x v="0"/>
    <x v="0"/>
    <x v="2"/>
    <x v="1"/>
    <x v="4"/>
    <x v="0"/>
    <x v="0"/>
    <x v="2"/>
    <x v="88"/>
    <x v="72"/>
    <x v="3"/>
    <x v="59"/>
    <x v="0"/>
    <x v="1"/>
    <x v="2"/>
  </r>
  <r>
    <x v="639"/>
    <x v="619"/>
    <x v="0"/>
    <x v="0"/>
    <x v="1"/>
    <x v="0"/>
    <x v="2"/>
    <x v="3"/>
    <x v="1"/>
    <x v="0"/>
    <x v="0"/>
    <x v="69"/>
    <x v="61"/>
    <x v="0"/>
    <x v="6"/>
    <x v="2"/>
    <x v="1"/>
    <x v="4"/>
    <x v="0"/>
    <x v="0"/>
    <x v="2"/>
    <x v="87"/>
    <x v="73"/>
    <x v="0"/>
    <x v="59"/>
    <x v="0"/>
    <x v="1"/>
    <x v="2"/>
  </r>
  <r>
    <x v="547"/>
    <x v="528"/>
    <x v="0"/>
    <x v="0"/>
    <x v="1"/>
    <x v="0"/>
    <x v="2"/>
    <x v="3"/>
    <x v="1"/>
    <x v="0"/>
    <x v="0"/>
    <x v="69"/>
    <x v="61"/>
    <x v="0"/>
    <x v="5"/>
    <x v="2"/>
    <x v="1"/>
    <x v="4"/>
    <x v="0"/>
    <x v="0"/>
    <x v="2"/>
    <x v="87"/>
    <x v="73"/>
    <x v="0"/>
    <x v="59"/>
    <x v="0"/>
    <x v="1"/>
    <x v="2"/>
  </r>
  <r>
    <x v="457"/>
    <x v="440"/>
    <x v="0"/>
    <x v="0"/>
    <x v="1"/>
    <x v="0"/>
    <x v="2"/>
    <x v="3"/>
    <x v="1"/>
    <x v="0"/>
    <x v="0"/>
    <x v="69"/>
    <x v="61"/>
    <x v="0"/>
    <x v="4"/>
    <x v="2"/>
    <x v="1"/>
    <x v="4"/>
    <x v="0"/>
    <x v="0"/>
    <x v="2"/>
    <x v="87"/>
    <x v="73"/>
    <x v="0"/>
    <x v="59"/>
    <x v="0"/>
    <x v="1"/>
    <x v="2"/>
  </r>
  <r>
    <x v="368"/>
    <x v="350"/>
    <x v="0"/>
    <x v="0"/>
    <x v="1"/>
    <x v="0"/>
    <x v="2"/>
    <x v="3"/>
    <x v="1"/>
    <x v="0"/>
    <x v="0"/>
    <x v="69"/>
    <x v="61"/>
    <x v="0"/>
    <x v="3"/>
    <x v="2"/>
    <x v="1"/>
    <x v="4"/>
    <x v="0"/>
    <x v="0"/>
    <x v="2"/>
    <x v="87"/>
    <x v="73"/>
    <x v="0"/>
    <x v="59"/>
    <x v="0"/>
    <x v="1"/>
    <x v="2"/>
  </r>
  <r>
    <x v="278"/>
    <x v="259"/>
    <x v="0"/>
    <x v="0"/>
    <x v="1"/>
    <x v="0"/>
    <x v="2"/>
    <x v="3"/>
    <x v="1"/>
    <x v="0"/>
    <x v="0"/>
    <x v="69"/>
    <x v="61"/>
    <x v="0"/>
    <x v="2"/>
    <x v="2"/>
    <x v="1"/>
    <x v="4"/>
    <x v="0"/>
    <x v="0"/>
    <x v="2"/>
    <x v="87"/>
    <x v="73"/>
    <x v="0"/>
    <x v="59"/>
    <x v="0"/>
    <x v="1"/>
    <x v="2"/>
  </r>
  <r>
    <x v="187"/>
    <x v="169"/>
    <x v="0"/>
    <x v="0"/>
    <x v="1"/>
    <x v="0"/>
    <x v="2"/>
    <x v="3"/>
    <x v="1"/>
    <x v="0"/>
    <x v="0"/>
    <x v="69"/>
    <x v="61"/>
    <x v="0"/>
    <x v="1"/>
    <x v="2"/>
    <x v="1"/>
    <x v="4"/>
    <x v="0"/>
    <x v="0"/>
    <x v="2"/>
    <x v="87"/>
    <x v="73"/>
    <x v="0"/>
    <x v="59"/>
    <x v="0"/>
    <x v="1"/>
    <x v="2"/>
  </r>
  <r>
    <x v="87"/>
    <x v="67"/>
    <x v="0"/>
    <x v="0"/>
    <x v="1"/>
    <x v="0"/>
    <x v="2"/>
    <x v="3"/>
    <x v="1"/>
    <x v="0"/>
    <x v="0"/>
    <x v="69"/>
    <x v="61"/>
    <x v="0"/>
    <x v="0"/>
    <x v="2"/>
    <x v="1"/>
    <x v="4"/>
    <x v="0"/>
    <x v="0"/>
    <x v="2"/>
    <x v="87"/>
    <x v="73"/>
    <x v="0"/>
    <x v="59"/>
    <x v="0"/>
    <x v="1"/>
    <x v="2"/>
  </r>
  <r>
    <x v="638"/>
    <x v="620"/>
    <x v="0"/>
    <x v="0"/>
    <x v="1"/>
    <x v="0"/>
    <x v="2"/>
    <x v="3"/>
    <x v="1"/>
    <x v="0"/>
    <x v="0"/>
    <x v="20"/>
    <x v="52"/>
    <x v="0"/>
    <x v="6"/>
    <x v="2"/>
    <x v="1"/>
    <x v="4"/>
    <x v="0"/>
    <x v="0"/>
    <x v="2"/>
    <x v="86"/>
    <x v="74"/>
    <x v="0"/>
    <x v="59"/>
    <x v="0"/>
    <x v="1"/>
    <x v="2"/>
  </r>
  <r>
    <x v="546"/>
    <x v="529"/>
    <x v="0"/>
    <x v="0"/>
    <x v="1"/>
    <x v="0"/>
    <x v="2"/>
    <x v="3"/>
    <x v="1"/>
    <x v="0"/>
    <x v="0"/>
    <x v="20"/>
    <x v="52"/>
    <x v="0"/>
    <x v="5"/>
    <x v="2"/>
    <x v="1"/>
    <x v="4"/>
    <x v="0"/>
    <x v="0"/>
    <x v="2"/>
    <x v="86"/>
    <x v="74"/>
    <x v="1"/>
    <x v="59"/>
    <x v="1"/>
    <x v="1"/>
    <x v="2"/>
  </r>
  <r>
    <x v="456"/>
    <x v="441"/>
    <x v="0"/>
    <x v="0"/>
    <x v="1"/>
    <x v="0"/>
    <x v="2"/>
    <x v="3"/>
    <x v="1"/>
    <x v="0"/>
    <x v="0"/>
    <x v="20"/>
    <x v="52"/>
    <x v="0"/>
    <x v="4"/>
    <x v="2"/>
    <x v="1"/>
    <x v="4"/>
    <x v="0"/>
    <x v="0"/>
    <x v="2"/>
    <x v="86"/>
    <x v="74"/>
    <x v="1"/>
    <x v="59"/>
    <x v="1"/>
    <x v="1"/>
    <x v="2"/>
  </r>
  <r>
    <x v="367"/>
    <x v="351"/>
    <x v="0"/>
    <x v="0"/>
    <x v="1"/>
    <x v="0"/>
    <x v="2"/>
    <x v="3"/>
    <x v="1"/>
    <x v="0"/>
    <x v="0"/>
    <x v="20"/>
    <x v="52"/>
    <x v="0"/>
    <x v="3"/>
    <x v="2"/>
    <x v="1"/>
    <x v="4"/>
    <x v="0"/>
    <x v="0"/>
    <x v="2"/>
    <x v="86"/>
    <x v="74"/>
    <x v="0"/>
    <x v="59"/>
    <x v="0"/>
    <x v="1"/>
    <x v="2"/>
  </r>
  <r>
    <x v="277"/>
    <x v="260"/>
    <x v="0"/>
    <x v="0"/>
    <x v="1"/>
    <x v="0"/>
    <x v="2"/>
    <x v="3"/>
    <x v="1"/>
    <x v="0"/>
    <x v="0"/>
    <x v="20"/>
    <x v="52"/>
    <x v="0"/>
    <x v="2"/>
    <x v="2"/>
    <x v="1"/>
    <x v="4"/>
    <x v="0"/>
    <x v="0"/>
    <x v="2"/>
    <x v="86"/>
    <x v="74"/>
    <x v="1"/>
    <x v="59"/>
    <x v="0"/>
    <x v="1"/>
    <x v="2"/>
  </r>
  <r>
    <x v="186"/>
    <x v="170"/>
    <x v="0"/>
    <x v="0"/>
    <x v="1"/>
    <x v="0"/>
    <x v="2"/>
    <x v="3"/>
    <x v="1"/>
    <x v="0"/>
    <x v="0"/>
    <x v="20"/>
    <x v="52"/>
    <x v="0"/>
    <x v="1"/>
    <x v="2"/>
    <x v="1"/>
    <x v="4"/>
    <x v="0"/>
    <x v="0"/>
    <x v="2"/>
    <x v="86"/>
    <x v="74"/>
    <x v="2"/>
    <x v="59"/>
    <x v="1"/>
    <x v="1"/>
    <x v="2"/>
  </r>
  <r>
    <x v="86"/>
    <x v="68"/>
    <x v="0"/>
    <x v="0"/>
    <x v="1"/>
    <x v="0"/>
    <x v="2"/>
    <x v="3"/>
    <x v="1"/>
    <x v="0"/>
    <x v="0"/>
    <x v="20"/>
    <x v="52"/>
    <x v="0"/>
    <x v="0"/>
    <x v="2"/>
    <x v="1"/>
    <x v="4"/>
    <x v="0"/>
    <x v="0"/>
    <x v="2"/>
    <x v="86"/>
    <x v="74"/>
    <x v="0"/>
    <x v="59"/>
    <x v="0"/>
    <x v="1"/>
    <x v="2"/>
  </r>
  <r>
    <x v="603"/>
    <x v="621"/>
    <x v="0"/>
    <x v="0"/>
    <x v="1"/>
    <x v="0"/>
    <x v="2"/>
    <x v="3"/>
    <x v="1"/>
    <x v="0"/>
    <x v="0"/>
    <x v="4"/>
    <x v="50"/>
    <x v="0"/>
    <x v="6"/>
    <x v="2"/>
    <x v="1"/>
    <x v="4"/>
    <x v="0"/>
    <x v="0"/>
    <x v="2"/>
    <x v="51"/>
    <x v="75"/>
    <x v="0"/>
    <x v="59"/>
    <x v="0"/>
    <x v="1"/>
    <x v="2"/>
  </r>
  <r>
    <x v="603"/>
    <x v="621"/>
    <x v="0"/>
    <x v="0"/>
    <x v="1"/>
    <x v="0"/>
    <x v="2"/>
    <x v="3"/>
    <x v="1"/>
    <x v="0"/>
    <x v="0"/>
    <x v="4"/>
    <x v="50"/>
    <x v="0"/>
    <x v="6"/>
    <x v="2"/>
    <x v="1"/>
    <x v="4"/>
    <x v="0"/>
    <x v="0"/>
    <x v="2"/>
    <x v="51"/>
    <x v="75"/>
    <x v="0"/>
    <x v="59"/>
    <x v="0"/>
    <x v="1"/>
    <x v="2"/>
  </r>
  <r>
    <x v="511"/>
    <x v="530"/>
    <x v="0"/>
    <x v="0"/>
    <x v="1"/>
    <x v="0"/>
    <x v="2"/>
    <x v="3"/>
    <x v="1"/>
    <x v="0"/>
    <x v="0"/>
    <x v="4"/>
    <x v="50"/>
    <x v="0"/>
    <x v="5"/>
    <x v="2"/>
    <x v="1"/>
    <x v="4"/>
    <x v="0"/>
    <x v="0"/>
    <x v="2"/>
    <x v="51"/>
    <x v="75"/>
    <x v="0"/>
    <x v="59"/>
    <x v="0"/>
    <x v="1"/>
    <x v="2"/>
  </r>
  <r>
    <x v="511"/>
    <x v="530"/>
    <x v="0"/>
    <x v="0"/>
    <x v="1"/>
    <x v="0"/>
    <x v="2"/>
    <x v="3"/>
    <x v="1"/>
    <x v="0"/>
    <x v="0"/>
    <x v="4"/>
    <x v="50"/>
    <x v="0"/>
    <x v="5"/>
    <x v="2"/>
    <x v="1"/>
    <x v="4"/>
    <x v="0"/>
    <x v="0"/>
    <x v="2"/>
    <x v="51"/>
    <x v="75"/>
    <x v="0"/>
    <x v="59"/>
    <x v="0"/>
    <x v="1"/>
    <x v="2"/>
  </r>
  <r>
    <x v="421"/>
    <x v="442"/>
    <x v="0"/>
    <x v="0"/>
    <x v="1"/>
    <x v="0"/>
    <x v="2"/>
    <x v="3"/>
    <x v="1"/>
    <x v="0"/>
    <x v="0"/>
    <x v="4"/>
    <x v="50"/>
    <x v="0"/>
    <x v="4"/>
    <x v="2"/>
    <x v="1"/>
    <x v="4"/>
    <x v="0"/>
    <x v="0"/>
    <x v="2"/>
    <x v="51"/>
    <x v="75"/>
    <x v="0"/>
    <x v="59"/>
    <x v="0"/>
    <x v="1"/>
    <x v="2"/>
  </r>
  <r>
    <x v="421"/>
    <x v="442"/>
    <x v="0"/>
    <x v="0"/>
    <x v="1"/>
    <x v="0"/>
    <x v="2"/>
    <x v="3"/>
    <x v="1"/>
    <x v="0"/>
    <x v="0"/>
    <x v="4"/>
    <x v="50"/>
    <x v="0"/>
    <x v="4"/>
    <x v="2"/>
    <x v="1"/>
    <x v="4"/>
    <x v="0"/>
    <x v="0"/>
    <x v="2"/>
    <x v="51"/>
    <x v="75"/>
    <x v="0"/>
    <x v="59"/>
    <x v="0"/>
    <x v="1"/>
    <x v="2"/>
  </r>
  <r>
    <x v="332"/>
    <x v="352"/>
    <x v="0"/>
    <x v="0"/>
    <x v="1"/>
    <x v="0"/>
    <x v="2"/>
    <x v="3"/>
    <x v="1"/>
    <x v="0"/>
    <x v="0"/>
    <x v="4"/>
    <x v="50"/>
    <x v="0"/>
    <x v="3"/>
    <x v="2"/>
    <x v="1"/>
    <x v="4"/>
    <x v="0"/>
    <x v="0"/>
    <x v="2"/>
    <x v="51"/>
    <x v="75"/>
    <x v="0"/>
    <x v="59"/>
    <x v="0"/>
    <x v="1"/>
    <x v="2"/>
  </r>
  <r>
    <x v="332"/>
    <x v="352"/>
    <x v="0"/>
    <x v="0"/>
    <x v="1"/>
    <x v="0"/>
    <x v="2"/>
    <x v="3"/>
    <x v="1"/>
    <x v="0"/>
    <x v="0"/>
    <x v="4"/>
    <x v="50"/>
    <x v="0"/>
    <x v="3"/>
    <x v="2"/>
    <x v="1"/>
    <x v="4"/>
    <x v="0"/>
    <x v="0"/>
    <x v="2"/>
    <x v="51"/>
    <x v="75"/>
    <x v="0"/>
    <x v="59"/>
    <x v="0"/>
    <x v="1"/>
    <x v="2"/>
  </r>
  <r>
    <x v="242"/>
    <x v="261"/>
    <x v="0"/>
    <x v="0"/>
    <x v="1"/>
    <x v="0"/>
    <x v="2"/>
    <x v="3"/>
    <x v="1"/>
    <x v="0"/>
    <x v="0"/>
    <x v="4"/>
    <x v="50"/>
    <x v="0"/>
    <x v="2"/>
    <x v="2"/>
    <x v="1"/>
    <x v="4"/>
    <x v="0"/>
    <x v="0"/>
    <x v="2"/>
    <x v="51"/>
    <x v="75"/>
    <x v="0"/>
    <x v="59"/>
    <x v="0"/>
    <x v="1"/>
    <x v="2"/>
  </r>
  <r>
    <x v="242"/>
    <x v="261"/>
    <x v="0"/>
    <x v="0"/>
    <x v="1"/>
    <x v="0"/>
    <x v="2"/>
    <x v="3"/>
    <x v="1"/>
    <x v="0"/>
    <x v="0"/>
    <x v="4"/>
    <x v="50"/>
    <x v="0"/>
    <x v="2"/>
    <x v="2"/>
    <x v="1"/>
    <x v="4"/>
    <x v="0"/>
    <x v="0"/>
    <x v="2"/>
    <x v="51"/>
    <x v="75"/>
    <x v="0"/>
    <x v="59"/>
    <x v="0"/>
    <x v="1"/>
    <x v="2"/>
  </r>
  <r>
    <x v="151"/>
    <x v="171"/>
    <x v="0"/>
    <x v="0"/>
    <x v="1"/>
    <x v="0"/>
    <x v="2"/>
    <x v="3"/>
    <x v="1"/>
    <x v="0"/>
    <x v="0"/>
    <x v="4"/>
    <x v="50"/>
    <x v="0"/>
    <x v="1"/>
    <x v="2"/>
    <x v="1"/>
    <x v="4"/>
    <x v="0"/>
    <x v="0"/>
    <x v="2"/>
    <x v="51"/>
    <x v="75"/>
    <x v="0"/>
    <x v="59"/>
    <x v="0"/>
    <x v="1"/>
    <x v="2"/>
  </r>
  <r>
    <x v="151"/>
    <x v="171"/>
    <x v="0"/>
    <x v="0"/>
    <x v="1"/>
    <x v="0"/>
    <x v="2"/>
    <x v="3"/>
    <x v="1"/>
    <x v="0"/>
    <x v="0"/>
    <x v="4"/>
    <x v="50"/>
    <x v="0"/>
    <x v="1"/>
    <x v="2"/>
    <x v="1"/>
    <x v="4"/>
    <x v="0"/>
    <x v="0"/>
    <x v="2"/>
    <x v="51"/>
    <x v="75"/>
    <x v="0"/>
    <x v="59"/>
    <x v="0"/>
    <x v="1"/>
    <x v="2"/>
  </r>
  <r>
    <x v="51"/>
    <x v="69"/>
    <x v="0"/>
    <x v="0"/>
    <x v="1"/>
    <x v="0"/>
    <x v="2"/>
    <x v="3"/>
    <x v="1"/>
    <x v="0"/>
    <x v="0"/>
    <x v="4"/>
    <x v="50"/>
    <x v="0"/>
    <x v="0"/>
    <x v="2"/>
    <x v="1"/>
    <x v="4"/>
    <x v="0"/>
    <x v="0"/>
    <x v="2"/>
    <x v="51"/>
    <x v="75"/>
    <x v="0"/>
    <x v="59"/>
    <x v="0"/>
    <x v="1"/>
    <x v="2"/>
  </r>
  <r>
    <x v="51"/>
    <x v="69"/>
    <x v="0"/>
    <x v="0"/>
    <x v="1"/>
    <x v="0"/>
    <x v="2"/>
    <x v="3"/>
    <x v="1"/>
    <x v="0"/>
    <x v="0"/>
    <x v="4"/>
    <x v="50"/>
    <x v="0"/>
    <x v="0"/>
    <x v="2"/>
    <x v="1"/>
    <x v="4"/>
    <x v="0"/>
    <x v="0"/>
    <x v="2"/>
    <x v="51"/>
    <x v="75"/>
    <x v="0"/>
    <x v="59"/>
    <x v="0"/>
    <x v="1"/>
    <x v="2"/>
  </r>
  <r>
    <x v="601"/>
    <x v="622"/>
    <x v="0"/>
    <x v="0"/>
    <x v="1"/>
    <x v="0"/>
    <x v="2"/>
    <x v="3"/>
    <x v="1"/>
    <x v="0"/>
    <x v="0"/>
    <x v="5"/>
    <x v="54"/>
    <x v="0"/>
    <x v="6"/>
    <x v="2"/>
    <x v="1"/>
    <x v="4"/>
    <x v="0"/>
    <x v="0"/>
    <x v="2"/>
    <x v="49"/>
    <x v="76"/>
    <x v="0"/>
    <x v="59"/>
    <x v="0"/>
    <x v="1"/>
    <x v="2"/>
  </r>
  <r>
    <x v="601"/>
    <x v="622"/>
    <x v="0"/>
    <x v="0"/>
    <x v="1"/>
    <x v="0"/>
    <x v="2"/>
    <x v="3"/>
    <x v="1"/>
    <x v="0"/>
    <x v="0"/>
    <x v="5"/>
    <x v="54"/>
    <x v="0"/>
    <x v="6"/>
    <x v="2"/>
    <x v="1"/>
    <x v="4"/>
    <x v="0"/>
    <x v="0"/>
    <x v="2"/>
    <x v="49"/>
    <x v="76"/>
    <x v="0"/>
    <x v="59"/>
    <x v="0"/>
    <x v="1"/>
    <x v="2"/>
  </r>
  <r>
    <x v="509"/>
    <x v="531"/>
    <x v="0"/>
    <x v="0"/>
    <x v="1"/>
    <x v="0"/>
    <x v="2"/>
    <x v="3"/>
    <x v="1"/>
    <x v="0"/>
    <x v="0"/>
    <x v="5"/>
    <x v="54"/>
    <x v="0"/>
    <x v="5"/>
    <x v="2"/>
    <x v="1"/>
    <x v="4"/>
    <x v="0"/>
    <x v="0"/>
    <x v="2"/>
    <x v="49"/>
    <x v="76"/>
    <x v="0"/>
    <x v="59"/>
    <x v="0"/>
    <x v="1"/>
    <x v="2"/>
  </r>
  <r>
    <x v="509"/>
    <x v="531"/>
    <x v="0"/>
    <x v="0"/>
    <x v="1"/>
    <x v="0"/>
    <x v="2"/>
    <x v="3"/>
    <x v="1"/>
    <x v="0"/>
    <x v="0"/>
    <x v="5"/>
    <x v="54"/>
    <x v="0"/>
    <x v="5"/>
    <x v="2"/>
    <x v="1"/>
    <x v="4"/>
    <x v="0"/>
    <x v="0"/>
    <x v="2"/>
    <x v="49"/>
    <x v="76"/>
    <x v="0"/>
    <x v="59"/>
    <x v="0"/>
    <x v="1"/>
    <x v="2"/>
  </r>
  <r>
    <x v="419"/>
    <x v="443"/>
    <x v="0"/>
    <x v="0"/>
    <x v="1"/>
    <x v="0"/>
    <x v="2"/>
    <x v="3"/>
    <x v="1"/>
    <x v="0"/>
    <x v="0"/>
    <x v="5"/>
    <x v="54"/>
    <x v="0"/>
    <x v="4"/>
    <x v="2"/>
    <x v="1"/>
    <x v="4"/>
    <x v="0"/>
    <x v="0"/>
    <x v="2"/>
    <x v="49"/>
    <x v="76"/>
    <x v="0"/>
    <x v="59"/>
    <x v="0"/>
    <x v="1"/>
    <x v="2"/>
  </r>
  <r>
    <x v="419"/>
    <x v="443"/>
    <x v="0"/>
    <x v="0"/>
    <x v="1"/>
    <x v="0"/>
    <x v="2"/>
    <x v="3"/>
    <x v="1"/>
    <x v="0"/>
    <x v="0"/>
    <x v="5"/>
    <x v="54"/>
    <x v="0"/>
    <x v="4"/>
    <x v="2"/>
    <x v="1"/>
    <x v="4"/>
    <x v="0"/>
    <x v="0"/>
    <x v="2"/>
    <x v="49"/>
    <x v="76"/>
    <x v="0"/>
    <x v="59"/>
    <x v="0"/>
    <x v="1"/>
    <x v="2"/>
  </r>
  <r>
    <x v="330"/>
    <x v="353"/>
    <x v="0"/>
    <x v="0"/>
    <x v="1"/>
    <x v="0"/>
    <x v="2"/>
    <x v="3"/>
    <x v="1"/>
    <x v="0"/>
    <x v="0"/>
    <x v="5"/>
    <x v="54"/>
    <x v="0"/>
    <x v="3"/>
    <x v="2"/>
    <x v="1"/>
    <x v="4"/>
    <x v="0"/>
    <x v="0"/>
    <x v="2"/>
    <x v="49"/>
    <x v="76"/>
    <x v="0"/>
    <x v="59"/>
    <x v="0"/>
    <x v="1"/>
    <x v="2"/>
  </r>
  <r>
    <x v="330"/>
    <x v="353"/>
    <x v="0"/>
    <x v="0"/>
    <x v="1"/>
    <x v="0"/>
    <x v="2"/>
    <x v="3"/>
    <x v="1"/>
    <x v="0"/>
    <x v="0"/>
    <x v="5"/>
    <x v="54"/>
    <x v="0"/>
    <x v="3"/>
    <x v="2"/>
    <x v="1"/>
    <x v="4"/>
    <x v="0"/>
    <x v="0"/>
    <x v="2"/>
    <x v="49"/>
    <x v="76"/>
    <x v="0"/>
    <x v="59"/>
    <x v="0"/>
    <x v="1"/>
    <x v="2"/>
  </r>
  <r>
    <x v="240"/>
    <x v="262"/>
    <x v="0"/>
    <x v="0"/>
    <x v="1"/>
    <x v="0"/>
    <x v="2"/>
    <x v="3"/>
    <x v="1"/>
    <x v="0"/>
    <x v="0"/>
    <x v="5"/>
    <x v="54"/>
    <x v="0"/>
    <x v="2"/>
    <x v="2"/>
    <x v="1"/>
    <x v="4"/>
    <x v="0"/>
    <x v="0"/>
    <x v="2"/>
    <x v="49"/>
    <x v="76"/>
    <x v="0"/>
    <x v="59"/>
    <x v="0"/>
    <x v="1"/>
    <x v="2"/>
  </r>
  <r>
    <x v="240"/>
    <x v="262"/>
    <x v="0"/>
    <x v="0"/>
    <x v="1"/>
    <x v="0"/>
    <x v="2"/>
    <x v="3"/>
    <x v="1"/>
    <x v="0"/>
    <x v="0"/>
    <x v="5"/>
    <x v="54"/>
    <x v="0"/>
    <x v="2"/>
    <x v="2"/>
    <x v="1"/>
    <x v="4"/>
    <x v="0"/>
    <x v="0"/>
    <x v="2"/>
    <x v="49"/>
    <x v="76"/>
    <x v="0"/>
    <x v="59"/>
    <x v="0"/>
    <x v="1"/>
    <x v="2"/>
  </r>
  <r>
    <x v="149"/>
    <x v="172"/>
    <x v="0"/>
    <x v="0"/>
    <x v="1"/>
    <x v="0"/>
    <x v="2"/>
    <x v="3"/>
    <x v="1"/>
    <x v="0"/>
    <x v="0"/>
    <x v="5"/>
    <x v="54"/>
    <x v="0"/>
    <x v="1"/>
    <x v="2"/>
    <x v="1"/>
    <x v="4"/>
    <x v="0"/>
    <x v="0"/>
    <x v="2"/>
    <x v="49"/>
    <x v="76"/>
    <x v="0"/>
    <x v="59"/>
    <x v="0"/>
    <x v="1"/>
    <x v="2"/>
  </r>
  <r>
    <x v="149"/>
    <x v="172"/>
    <x v="0"/>
    <x v="0"/>
    <x v="1"/>
    <x v="0"/>
    <x v="2"/>
    <x v="3"/>
    <x v="1"/>
    <x v="0"/>
    <x v="0"/>
    <x v="5"/>
    <x v="54"/>
    <x v="0"/>
    <x v="1"/>
    <x v="2"/>
    <x v="1"/>
    <x v="4"/>
    <x v="0"/>
    <x v="0"/>
    <x v="2"/>
    <x v="49"/>
    <x v="76"/>
    <x v="0"/>
    <x v="59"/>
    <x v="0"/>
    <x v="1"/>
    <x v="2"/>
  </r>
  <r>
    <x v="49"/>
    <x v="70"/>
    <x v="0"/>
    <x v="0"/>
    <x v="1"/>
    <x v="0"/>
    <x v="2"/>
    <x v="3"/>
    <x v="1"/>
    <x v="0"/>
    <x v="0"/>
    <x v="5"/>
    <x v="54"/>
    <x v="0"/>
    <x v="0"/>
    <x v="2"/>
    <x v="1"/>
    <x v="4"/>
    <x v="0"/>
    <x v="0"/>
    <x v="2"/>
    <x v="49"/>
    <x v="76"/>
    <x v="0"/>
    <x v="59"/>
    <x v="0"/>
    <x v="1"/>
    <x v="2"/>
  </r>
  <r>
    <x v="49"/>
    <x v="70"/>
    <x v="0"/>
    <x v="0"/>
    <x v="1"/>
    <x v="0"/>
    <x v="2"/>
    <x v="3"/>
    <x v="1"/>
    <x v="0"/>
    <x v="0"/>
    <x v="5"/>
    <x v="54"/>
    <x v="0"/>
    <x v="0"/>
    <x v="2"/>
    <x v="1"/>
    <x v="4"/>
    <x v="0"/>
    <x v="0"/>
    <x v="2"/>
    <x v="49"/>
    <x v="76"/>
    <x v="0"/>
    <x v="59"/>
    <x v="0"/>
    <x v="1"/>
    <x v="2"/>
  </r>
  <r>
    <x v="600"/>
    <x v="623"/>
    <x v="0"/>
    <x v="0"/>
    <x v="1"/>
    <x v="0"/>
    <x v="2"/>
    <x v="3"/>
    <x v="1"/>
    <x v="0"/>
    <x v="0"/>
    <x v="6"/>
    <x v="53"/>
    <x v="0"/>
    <x v="6"/>
    <x v="2"/>
    <x v="1"/>
    <x v="4"/>
    <x v="0"/>
    <x v="0"/>
    <x v="2"/>
    <x v="48"/>
    <x v="77"/>
    <x v="0"/>
    <x v="59"/>
    <x v="0"/>
    <x v="1"/>
    <x v="2"/>
  </r>
  <r>
    <x v="600"/>
    <x v="623"/>
    <x v="0"/>
    <x v="0"/>
    <x v="1"/>
    <x v="0"/>
    <x v="2"/>
    <x v="3"/>
    <x v="1"/>
    <x v="0"/>
    <x v="0"/>
    <x v="6"/>
    <x v="53"/>
    <x v="0"/>
    <x v="6"/>
    <x v="2"/>
    <x v="1"/>
    <x v="4"/>
    <x v="0"/>
    <x v="0"/>
    <x v="2"/>
    <x v="48"/>
    <x v="77"/>
    <x v="0"/>
    <x v="59"/>
    <x v="0"/>
    <x v="1"/>
    <x v="2"/>
  </r>
  <r>
    <x v="508"/>
    <x v="532"/>
    <x v="0"/>
    <x v="0"/>
    <x v="1"/>
    <x v="0"/>
    <x v="2"/>
    <x v="3"/>
    <x v="1"/>
    <x v="0"/>
    <x v="0"/>
    <x v="6"/>
    <x v="53"/>
    <x v="0"/>
    <x v="5"/>
    <x v="2"/>
    <x v="1"/>
    <x v="4"/>
    <x v="0"/>
    <x v="0"/>
    <x v="2"/>
    <x v="48"/>
    <x v="77"/>
    <x v="0"/>
    <x v="59"/>
    <x v="0"/>
    <x v="1"/>
    <x v="2"/>
  </r>
  <r>
    <x v="508"/>
    <x v="532"/>
    <x v="0"/>
    <x v="0"/>
    <x v="1"/>
    <x v="0"/>
    <x v="2"/>
    <x v="3"/>
    <x v="1"/>
    <x v="0"/>
    <x v="0"/>
    <x v="6"/>
    <x v="53"/>
    <x v="0"/>
    <x v="5"/>
    <x v="2"/>
    <x v="1"/>
    <x v="4"/>
    <x v="0"/>
    <x v="0"/>
    <x v="2"/>
    <x v="48"/>
    <x v="77"/>
    <x v="0"/>
    <x v="59"/>
    <x v="0"/>
    <x v="1"/>
    <x v="2"/>
  </r>
  <r>
    <x v="418"/>
    <x v="444"/>
    <x v="0"/>
    <x v="0"/>
    <x v="1"/>
    <x v="0"/>
    <x v="2"/>
    <x v="3"/>
    <x v="1"/>
    <x v="0"/>
    <x v="0"/>
    <x v="6"/>
    <x v="53"/>
    <x v="0"/>
    <x v="4"/>
    <x v="2"/>
    <x v="1"/>
    <x v="4"/>
    <x v="0"/>
    <x v="0"/>
    <x v="2"/>
    <x v="48"/>
    <x v="77"/>
    <x v="0"/>
    <x v="59"/>
    <x v="0"/>
    <x v="1"/>
    <x v="2"/>
  </r>
  <r>
    <x v="418"/>
    <x v="444"/>
    <x v="0"/>
    <x v="0"/>
    <x v="1"/>
    <x v="0"/>
    <x v="2"/>
    <x v="3"/>
    <x v="1"/>
    <x v="0"/>
    <x v="0"/>
    <x v="6"/>
    <x v="53"/>
    <x v="0"/>
    <x v="4"/>
    <x v="2"/>
    <x v="1"/>
    <x v="4"/>
    <x v="0"/>
    <x v="0"/>
    <x v="2"/>
    <x v="48"/>
    <x v="77"/>
    <x v="0"/>
    <x v="59"/>
    <x v="0"/>
    <x v="1"/>
    <x v="2"/>
  </r>
  <r>
    <x v="329"/>
    <x v="354"/>
    <x v="0"/>
    <x v="0"/>
    <x v="1"/>
    <x v="0"/>
    <x v="2"/>
    <x v="3"/>
    <x v="1"/>
    <x v="0"/>
    <x v="0"/>
    <x v="6"/>
    <x v="53"/>
    <x v="0"/>
    <x v="3"/>
    <x v="2"/>
    <x v="1"/>
    <x v="4"/>
    <x v="0"/>
    <x v="0"/>
    <x v="2"/>
    <x v="48"/>
    <x v="77"/>
    <x v="0"/>
    <x v="59"/>
    <x v="0"/>
    <x v="1"/>
    <x v="2"/>
  </r>
  <r>
    <x v="329"/>
    <x v="354"/>
    <x v="0"/>
    <x v="0"/>
    <x v="1"/>
    <x v="0"/>
    <x v="2"/>
    <x v="3"/>
    <x v="1"/>
    <x v="0"/>
    <x v="0"/>
    <x v="6"/>
    <x v="53"/>
    <x v="0"/>
    <x v="3"/>
    <x v="2"/>
    <x v="1"/>
    <x v="4"/>
    <x v="0"/>
    <x v="0"/>
    <x v="2"/>
    <x v="48"/>
    <x v="77"/>
    <x v="0"/>
    <x v="59"/>
    <x v="0"/>
    <x v="1"/>
    <x v="2"/>
  </r>
  <r>
    <x v="239"/>
    <x v="263"/>
    <x v="0"/>
    <x v="0"/>
    <x v="1"/>
    <x v="0"/>
    <x v="2"/>
    <x v="3"/>
    <x v="1"/>
    <x v="0"/>
    <x v="0"/>
    <x v="6"/>
    <x v="53"/>
    <x v="0"/>
    <x v="2"/>
    <x v="2"/>
    <x v="1"/>
    <x v="4"/>
    <x v="0"/>
    <x v="0"/>
    <x v="2"/>
    <x v="48"/>
    <x v="77"/>
    <x v="0"/>
    <x v="59"/>
    <x v="0"/>
    <x v="1"/>
    <x v="2"/>
  </r>
  <r>
    <x v="239"/>
    <x v="263"/>
    <x v="0"/>
    <x v="0"/>
    <x v="1"/>
    <x v="0"/>
    <x v="2"/>
    <x v="3"/>
    <x v="1"/>
    <x v="0"/>
    <x v="0"/>
    <x v="6"/>
    <x v="53"/>
    <x v="0"/>
    <x v="2"/>
    <x v="2"/>
    <x v="1"/>
    <x v="4"/>
    <x v="0"/>
    <x v="0"/>
    <x v="2"/>
    <x v="48"/>
    <x v="77"/>
    <x v="0"/>
    <x v="59"/>
    <x v="0"/>
    <x v="1"/>
    <x v="2"/>
  </r>
  <r>
    <x v="148"/>
    <x v="173"/>
    <x v="0"/>
    <x v="0"/>
    <x v="1"/>
    <x v="0"/>
    <x v="2"/>
    <x v="3"/>
    <x v="1"/>
    <x v="0"/>
    <x v="0"/>
    <x v="6"/>
    <x v="53"/>
    <x v="0"/>
    <x v="1"/>
    <x v="2"/>
    <x v="1"/>
    <x v="4"/>
    <x v="0"/>
    <x v="0"/>
    <x v="2"/>
    <x v="48"/>
    <x v="77"/>
    <x v="0"/>
    <x v="59"/>
    <x v="0"/>
    <x v="1"/>
    <x v="2"/>
  </r>
  <r>
    <x v="148"/>
    <x v="173"/>
    <x v="0"/>
    <x v="0"/>
    <x v="1"/>
    <x v="0"/>
    <x v="2"/>
    <x v="3"/>
    <x v="1"/>
    <x v="0"/>
    <x v="0"/>
    <x v="6"/>
    <x v="53"/>
    <x v="0"/>
    <x v="1"/>
    <x v="2"/>
    <x v="1"/>
    <x v="4"/>
    <x v="0"/>
    <x v="0"/>
    <x v="2"/>
    <x v="48"/>
    <x v="77"/>
    <x v="0"/>
    <x v="59"/>
    <x v="0"/>
    <x v="1"/>
    <x v="2"/>
  </r>
  <r>
    <x v="48"/>
    <x v="71"/>
    <x v="0"/>
    <x v="0"/>
    <x v="1"/>
    <x v="0"/>
    <x v="2"/>
    <x v="3"/>
    <x v="1"/>
    <x v="0"/>
    <x v="0"/>
    <x v="6"/>
    <x v="53"/>
    <x v="0"/>
    <x v="0"/>
    <x v="2"/>
    <x v="1"/>
    <x v="4"/>
    <x v="0"/>
    <x v="0"/>
    <x v="2"/>
    <x v="48"/>
    <x v="77"/>
    <x v="0"/>
    <x v="59"/>
    <x v="0"/>
    <x v="1"/>
    <x v="2"/>
  </r>
  <r>
    <x v="48"/>
    <x v="71"/>
    <x v="0"/>
    <x v="0"/>
    <x v="1"/>
    <x v="0"/>
    <x v="2"/>
    <x v="3"/>
    <x v="1"/>
    <x v="0"/>
    <x v="0"/>
    <x v="6"/>
    <x v="53"/>
    <x v="0"/>
    <x v="0"/>
    <x v="2"/>
    <x v="1"/>
    <x v="4"/>
    <x v="0"/>
    <x v="0"/>
    <x v="2"/>
    <x v="48"/>
    <x v="77"/>
    <x v="0"/>
    <x v="59"/>
    <x v="0"/>
    <x v="1"/>
    <x v="2"/>
  </r>
  <r>
    <x v="599"/>
    <x v="624"/>
    <x v="0"/>
    <x v="0"/>
    <x v="1"/>
    <x v="0"/>
    <x v="2"/>
    <x v="3"/>
    <x v="1"/>
    <x v="0"/>
    <x v="0"/>
    <x v="7"/>
    <x v="45"/>
    <x v="0"/>
    <x v="6"/>
    <x v="2"/>
    <x v="1"/>
    <x v="4"/>
    <x v="0"/>
    <x v="0"/>
    <x v="2"/>
    <x v="47"/>
    <x v="78"/>
    <x v="0"/>
    <x v="59"/>
    <x v="0"/>
    <x v="1"/>
    <x v="2"/>
  </r>
  <r>
    <x v="599"/>
    <x v="624"/>
    <x v="0"/>
    <x v="0"/>
    <x v="1"/>
    <x v="0"/>
    <x v="2"/>
    <x v="3"/>
    <x v="1"/>
    <x v="0"/>
    <x v="0"/>
    <x v="7"/>
    <x v="45"/>
    <x v="0"/>
    <x v="6"/>
    <x v="2"/>
    <x v="1"/>
    <x v="4"/>
    <x v="0"/>
    <x v="0"/>
    <x v="2"/>
    <x v="47"/>
    <x v="78"/>
    <x v="0"/>
    <x v="59"/>
    <x v="0"/>
    <x v="1"/>
    <x v="2"/>
  </r>
  <r>
    <x v="507"/>
    <x v="533"/>
    <x v="0"/>
    <x v="0"/>
    <x v="1"/>
    <x v="0"/>
    <x v="2"/>
    <x v="3"/>
    <x v="1"/>
    <x v="0"/>
    <x v="0"/>
    <x v="7"/>
    <x v="45"/>
    <x v="0"/>
    <x v="5"/>
    <x v="2"/>
    <x v="1"/>
    <x v="4"/>
    <x v="0"/>
    <x v="0"/>
    <x v="2"/>
    <x v="47"/>
    <x v="78"/>
    <x v="0"/>
    <x v="59"/>
    <x v="0"/>
    <x v="1"/>
    <x v="2"/>
  </r>
  <r>
    <x v="507"/>
    <x v="533"/>
    <x v="0"/>
    <x v="0"/>
    <x v="1"/>
    <x v="0"/>
    <x v="2"/>
    <x v="3"/>
    <x v="1"/>
    <x v="0"/>
    <x v="0"/>
    <x v="7"/>
    <x v="45"/>
    <x v="0"/>
    <x v="5"/>
    <x v="2"/>
    <x v="1"/>
    <x v="4"/>
    <x v="0"/>
    <x v="0"/>
    <x v="2"/>
    <x v="47"/>
    <x v="78"/>
    <x v="0"/>
    <x v="59"/>
    <x v="0"/>
    <x v="1"/>
    <x v="2"/>
  </r>
  <r>
    <x v="417"/>
    <x v="445"/>
    <x v="0"/>
    <x v="0"/>
    <x v="1"/>
    <x v="0"/>
    <x v="2"/>
    <x v="3"/>
    <x v="1"/>
    <x v="0"/>
    <x v="0"/>
    <x v="7"/>
    <x v="45"/>
    <x v="0"/>
    <x v="4"/>
    <x v="2"/>
    <x v="1"/>
    <x v="4"/>
    <x v="0"/>
    <x v="0"/>
    <x v="2"/>
    <x v="47"/>
    <x v="78"/>
    <x v="0"/>
    <x v="59"/>
    <x v="0"/>
    <x v="1"/>
    <x v="2"/>
  </r>
  <r>
    <x v="417"/>
    <x v="445"/>
    <x v="0"/>
    <x v="0"/>
    <x v="1"/>
    <x v="0"/>
    <x v="2"/>
    <x v="3"/>
    <x v="1"/>
    <x v="0"/>
    <x v="0"/>
    <x v="7"/>
    <x v="45"/>
    <x v="0"/>
    <x v="4"/>
    <x v="2"/>
    <x v="1"/>
    <x v="4"/>
    <x v="0"/>
    <x v="0"/>
    <x v="2"/>
    <x v="47"/>
    <x v="78"/>
    <x v="0"/>
    <x v="59"/>
    <x v="0"/>
    <x v="1"/>
    <x v="2"/>
  </r>
  <r>
    <x v="328"/>
    <x v="355"/>
    <x v="0"/>
    <x v="0"/>
    <x v="1"/>
    <x v="0"/>
    <x v="2"/>
    <x v="3"/>
    <x v="1"/>
    <x v="0"/>
    <x v="0"/>
    <x v="7"/>
    <x v="45"/>
    <x v="0"/>
    <x v="3"/>
    <x v="2"/>
    <x v="1"/>
    <x v="4"/>
    <x v="0"/>
    <x v="0"/>
    <x v="2"/>
    <x v="47"/>
    <x v="78"/>
    <x v="0"/>
    <x v="59"/>
    <x v="0"/>
    <x v="1"/>
    <x v="2"/>
  </r>
  <r>
    <x v="328"/>
    <x v="355"/>
    <x v="0"/>
    <x v="0"/>
    <x v="1"/>
    <x v="0"/>
    <x v="2"/>
    <x v="3"/>
    <x v="1"/>
    <x v="0"/>
    <x v="0"/>
    <x v="7"/>
    <x v="45"/>
    <x v="0"/>
    <x v="3"/>
    <x v="2"/>
    <x v="1"/>
    <x v="4"/>
    <x v="0"/>
    <x v="0"/>
    <x v="2"/>
    <x v="47"/>
    <x v="78"/>
    <x v="0"/>
    <x v="59"/>
    <x v="0"/>
    <x v="1"/>
    <x v="2"/>
  </r>
  <r>
    <x v="238"/>
    <x v="264"/>
    <x v="0"/>
    <x v="0"/>
    <x v="1"/>
    <x v="0"/>
    <x v="2"/>
    <x v="3"/>
    <x v="1"/>
    <x v="0"/>
    <x v="0"/>
    <x v="7"/>
    <x v="45"/>
    <x v="0"/>
    <x v="2"/>
    <x v="2"/>
    <x v="1"/>
    <x v="4"/>
    <x v="0"/>
    <x v="0"/>
    <x v="2"/>
    <x v="47"/>
    <x v="78"/>
    <x v="0"/>
    <x v="59"/>
    <x v="0"/>
    <x v="1"/>
    <x v="2"/>
  </r>
  <r>
    <x v="238"/>
    <x v="264"/>
    <x v="0"/>
    <x v="0"/>
    <x v="1"/>
    <x v="0"/>
    <x v="2"/>
    <x v="3"/>
    <x v="1"/>
    <x v="0"/>
    <x v="0"/>
    <x v="7"/>
    <x v="45"/>
    <x v="0"/>
    <x v="2"/>
    <x v="2"/>
    <x v="1"/>
    <x v="4"/>
    <x v="0"/>
    <x v="0"/>
    <x v="2"/>
    <x v="47"/>
    <x v="78"/>
    <x v="0"/>
    <x v="59"/>
    <x v="0"/>
    <x v="1"/>
    <x v="2"/>
  </r>
  <r>
    <x v="147"/>
    <x v="174"/>
    <x v="0"/>
    <x v="0"/>
    <x v="1"/>
    <x v="0"/>
    <x v="2"/>
    <x v="3"/>
    <x v="1"/>
    <x v="0"/>
    <x v="0"/>
    <x v="7"/>
    <x v="45"/>
    <x v="0"/>
    <x v="1"/>
    <x v="2"/>
    <x v="1"/>
    <x v="4"/>
    <x v="0"/>
    <x v="0"/>
    <x v="2"/>
    <x v="47"/>
    <x v="78"/>
    <x v="0"/>
    <x v="59"/>
    <x v="0"/>
    <x v="1"/>
    <x v="2"/>
  </r>
  <r>
    <x v="147"/>
    <x v="174"/>
    <x v="0"/>
    <x v="0"/>
    <x v="1"/>
    <x v="0"/>
    <x v="2"/>
    <x v="3"/>
    <x v="1"/>
    <x v="0"/>
    <x v="0"/>
    <x v="7"/>
    <x v="45"/>
    <x v="0"/>
    <x v="1"/>
    <x v="2"/>
    <x v="1"/>
    <x v="4"/>
    <x v="0"/>
    <x v="0"/>
    <x v="2"/>
    <x v="47"/>
    <x v="78"/>
    <x v="0"/>
    <x v="59"/>
    <x v="0"/>
    <x v="1"/>
    <x v="2"/>
  </r>
  <r>
    <x v="47"/>
    <x v="72"/>
    <x v="0"/>
    <x v="0"/>
    <x v="1"/>
    <x v="0"/>
    <x v="2"/>
    <x v="3"/>
    <x v="1"/>
    <x v="0"/>
    <x v="0"/>
    <x v="7"/>
    <x v="45"/>
    <x v="0"/>
    <x v="0"/>
    <x v="2"/>
    <x v="1"/>
    <x v="4"/>
    <x v="0"/>
    <x v="0"/>
    <x v="2"/>
    <x v="47"/>
    <x v="78"/>
    <x v="0"/>
    <x v="59"/>
    <x v="0"/>
    <x v="1"/>
    <x v="2"/>
  </r>
  <r>
    <x v="47"/>
    <x v="72"/>
    <x v="0"/>
    <x v="0"/>
    <x v="1"/>
    <x v="0"/>
    <x v="2"/>
    <x v="3"/>
    <x v="1"/>
    <x v="0"/>
    <x v="0"/>
    <x v="7"/>
    <x v="45"/>
    <x v="0"/>
    <x v="0"/>
    <x v="2"/>
    <x v="1"/>
    <x v="4"/>
    <x v="0"/>
    <x v="0"/>
    <x v="2"/>
    <x v="47"/>
    <x v="78"/>
    <x v="0"/>
    <x v="59"/>
    <x v="0"/>
    <x v="1"/>
    <x v="2"/>
  </r>
  <r>
    <x v="598"/>
    <x v="625"/>
    <x v="0"/>
    <x v="0"/>
    <x v="1"/>
    <x v="0"/>
    <x v="2"/>
    <x v="3"/>
    <x v="1"/>
    <x v="0"/>
    <x v="0"/>
    <x v="8"/>
    <x v="46"/>
    <x v="0"/>
    <x v="6"/>
    <x v="2"/>
    <x v="1"/>
    <x v="4"/>
    <x v="0"/>
    <x v="0"/>
    <x v="2"/>
    <x v="46"/>
    <x v="79"/>
    <x v="0"/>
    <x v="59"/>
    <x v="0"/>
    <x v="1"/>
    <x v="2"/>
  </r>
  <r>
    <x v="598"/>
    <x v="625"/>
    <x v="0"/>
    <x v="0"/>
    <x v="1"/>
    <x v="0"/>
    <x v="2"/>
    <x v="3"/>
    <x v="1"/>
    <x v="0"/>
    <x v="0"/>
    <x v="8"/>
    <x v="46"/>
    <x v="0"/>
    <x v="6"/>
    <x v="2"/>
    <x v="1"/>
    <x v="4"/>
    <x v="0"/>
    <x v="0"/>
    <x v="2"/>
    <x v="46"/>
    <x v="79"/>
    <x v="0"/>
    <x v="59"/>
    <x v="0"/>
    <x v="1"/>
    <x v="2"/>
  </r>
  <r>
    <x v="506"/>
    <x v="534"/>
    <x v="0"/>
    <x v="0"/>
    <x v="1"/>
    <x v="0"/>
    <x v="2"/>
    <x v="3"/>
    <x v="1"/>
    <x v="0"/>
    <x v="0"/>
    <x v="8"/>
    <x v="46"/>
    <x v="0"/>
    <x v="5"/>
    <x v="2"/>
    <x v="1"/>
    <x v="4"/>
    <x v="0"/>
    <x v="0"/>
    <x v="2"/>
    <x v="46"/>
    <x v="79"/>
    <x v="0"/>
    <x v="59"/>
    <x v="0"/>
    <x v="1"/>
    <x v="2"/>
  </r>
  <r>
    <x v="506"/>
    <x v="534"/>
    <x v="0"/>
    <x v="0"/>
    <x v="1"/>
    <x v="0"/>
    <x v="2"/>
    <x v="3"/>
    <x v="1"/>
    <x v="0"/>
    <x v="0"/>
    <x v="8"/>
    <x v="46"/>
    <x v="0"/>
    <x v="5"/>
    <x v="2"/>
    <x v="1"/>
    <x v="4"/>
    <x v="0"/>
    <x v="0"/>
    <x v="2"/>
    <x v="46"/>
    <x v="79"/>
    <x v="0"/>
    <x v="59"/>
    <x v="0"/>
    <x v="1"/>
    <x v="2"/>
  </r>
  <r>
    <x v="416"/>
    <x v="446"/>
    <x v="0"/>
    <x v="0"/>
    <x v="1"/>
    <x v="0"/>
    <x v="2"/>
    <x v="3"/>
    <x v="1"/>
    <x v="0"/>
    <x v="0"/>
    <x v="8"/>
    <x v="46"/>
    <x v="0"/>
    <x v="4"/>
    <x v="2"/>
    <x v="1"/>
    <x v="4"/>
    <x v="0"/>
    <x v="0"/>
    <x v="2"/>
    <x v="46"/>
    <x v="79"/>
    <x v="0"/>
    <x v="59"/>
    <x v="0"/>
    <x v="1"/>
    <x v="2"/>
  </r>
  <r>
    <x v="416"/>
    <x v="446"/>
    <x v="0"/>
    <x v="0"/>
    <x v="1"/>
    <x v="0"/>
    <x v="2"/>
    <x v="3"/>
    <x v="1"/>
    <x v="0"/>
    <x v="0"/>
    <x v="8"/>
    <x v="46"/>
    <x v="0"/>
    <x v="4"/>
    <x v="2"/>
    <x v="1"/>
    <x v="4"/>
    <x v="0"/>
    <x v="0"/>
    <x v="2"/>
    <x v="46"/>
    <x v="79"/>
    <x v="0"/>
    <x v="59"/>
    <x v="0"/>
    <x v="1"/>
    <x v="2"/>
  </r>
  <r>
    <x v="327"/>
    <x v="356"/>
    <x v="0"/>
    <x v="0"/>
    <x v="1"/>
    <x v="0"/>
    <x v="2"/>
    <x v="3"/>
    <x v="1"/>
    <x v="0"/>
    <x v="0"/>
    <x v="8"/>
    <x v="46"/>
    <x v="0"/>
    <x v="3"/>
    <x v="2"/>
    <x v="1"/>
    <x v="4"/>
    <x v="0"/>
    <x v="0"/>
    <x v="2"/>
    <x v="46"/>
    <x v="79"/>
    <x v="0"/>
    <x v="59"/>
    <x v="0"/>
    <x v="1"/>
    <x v="2"/>
  </r>
  <r>
    <x v="327"/>
    <x v="356"/>
    <x v="0"/>
    <x v="0"/>
    <x v="1"/>
    <x v="0"/>
    <x v="2"/>
    <x v="3"/>
    <x v="1"/>
    <x v="0"/>
    <x v="0"/>
    <x v="8"/>
    <x v="46"/>
    <x v="0"/>
    <x v="3"/>
    <x v="2"/>
    <x v="1"/>
    <x v="4"/>
    <x v="0"/>
    <x v="0"/>
    <x v="2"/>
    <x v="46"/>
    <x v="79"/>
    <x v="0"/>
    <x v="59"/>
    <x v="0"/>
    <x v="1"/>
    <x v="2"/>
  </r>
  <r>
    <x v="237"/>
    <x v="265"/>
    <x v="0"/>
    <x v="0"/>
    <x v="1"/>
    <x v="0"/>
    <x v="2"/>
    <x v="3"/>
    <x v="1"/>
    <x v="0"/>
    <x v="0"/>
    <x v="8"/>
    <x v="46"/>
    <x v="0"/>
    <x v="2"/>
    <x v="2"/>
    <x v="1"/>
    <x v="4"/>
    <x v="0"/>
    <x v="0"/>
    <x v="2"/>
    <x v="46"/>
    <x v="79"/>
    <x v="0"/>
    <x v="59"/>
    <x v="0"/>
    <x v="1"/>
    <x v="2"/>
  </r>
  <r>
    <x v="237"/>
    <x v="265"/>
    <x v="0"/>
    <x v="0"/>
    <x v="1"/>
    <x v="0"/>
    <x v="2"/>
    <x v="3"/>
    <x v="1"/>
    <x v="0"/>
    <x v="0"/>
    <x v="8"/>
    <x v="46"/>
    <x v="0"/>
    <x v="2"/>
    <x v="2"/>
    <x v="1"/>
    <x v="4"/>
    <x v="0"/>
    <x v="0"/>
    <x v="2"/>
    <x v="46"/>
    <x v="79"/>
    <x v="0"/>
    <x v="59"/>
    <x v="0"/>
    <x v="1"/>
    <x v="2"/>
  </r>
  <r>
    <x v="146"/>
    <x v="175"/>
    <x v="0"/>
    <x v="0"/>
    <x v="1"/>
    <x v="0"/>
    <x v="2"/>
    <x v="3"/>
    <x v="1"/>
    <x v="0"/>
    <x v="0"/>
    <x v="8"/>
    <x v="46"/>
    <x v="0"/>
    <x v="1"/>
    <x v="2"/>
    <x v="1"/>
    <x v="4"/>
    <x v="0"/>
    <x v="0"/>
    <x v="2"/>
    <x v="46"/>
    <x v="79"/>
    <x v="0"/>
    <x v="59"/>
    <x v="0"/>
    <x v="1"/>
    <x v="2"/>
  </r>
  <r>
    <x v="146"/>
    <x v="175"/>
    <x v="0"/>
    <x v="0"/>
    <x v="1"/>
    <x v="0"/>
    <x v="2"/>
    <x v="3"/>
    <x v="1"/>
    <x v="0"/>
    <x v="0"/>
    <x v="8"/>
    <x v="46"/>
    <x v="0"/>
    <x v="1"/>
    <x v="2"/>
    <x v="1"/>
    <x v="4"/>
    <x v="0"/>
    <x v="0"/>
    <x v="2"/>
    <x v="46"/>
    <x v="79"/>
    <x v="0"/>
    <x v="59"/>
    <x v="0"/>
    <x v="1"/>
    <x v="2"/>
  </r>
  <r>
    <x v="46"/>
    <x v="73"/>
    <x v="0"/>
    <x v="0"/>
    <x v="1"/>
    <x v="0"/>
    <x v="2"/>
    <x v="3"/>
    <x v="1"/>
    <x v="0"/>
    <x v="0"/>
    <x v="8"/>
    <x v="46"/>
    <x v="0"/>
    <x v="0"/>
    <x v="2"/>
    <x v="1"/>
    <x v="4"/>
    <x v="0"/>
    <x v="0"/>
    <x v="2"/>
    <x v="46"/>
    <x v="79"/>
    <x v="0"/>
    <x v="59"/>
    <x v="0"/>
    <x v="1"/>
    <x v="2"/>
  </r>
  <r>
    <x v="46"/>
    <x v="73"/>
    <x v="0"/>
    <x v="0"/>
    <x v="1"/>
    <x v="0"/>
    <x v="2"/>
    <x v="3"/>
    <x v="1"/>
    <x v="0"/>
    <x v="0"/>
    <x v="8"/>
    <x v="46"/>
    <x v="0"/>
    <x v="0"/>
    <x v="2"/>
    <x v="1"/>
    <x v="4"/>
    <x v="0"/>
    <x v="0"/>
    <x v="2"/>
    <x v="46"/>
    <x v="79"/>
    <x v="0"/>
    <x v="59"/>
    <x v="0"/>
    <x v="1"/>
    <x v="2"/>
  </r>
  <r>
    <x v="597"/>
    <x v="626"/>
    <x v="0"/>
    <x v="0"/>
    <x v="1"/>
    <x v="0"/>
    <x v="2"/>
    <x v="3"/>
    <x v="1"/>
    <x v="0"/>
    <x v="0"/>
    <x v="16"/>
    <x v="44"/>
    <x v="0"/>
    <x v="6"/>
    <x v="2"/>
    <x v="1"/>
    <x v="4"/>
    <x v="0"/>
    <x v="0"/>
    <x v="2"/>
    <x v="45"/>
    <x v="80"/>
    <x v="0"/>
    <x v="59"/>
    <x v="0"/>
    <x v="1"/>
    <x v="2"/>
  </r>
  <r>
    <x v="597"/>
    <x v="626"/>
    <x v="0"/>
    <x v="0"/>
    <x v="1"/>
    <x v="0"/>
    <x v="2"/>
    <x v="3"/>
    <x v="1"/>
    <x v="0"/>
    <x v="0"/>
    <x v="16"/>
    <x v="44"/>
    <x v="0"/>
    <x v="6"/>
    <x v="2"/>
    <x v="1"/>
    <x v="4"/>
    <x v="0"/>
    <x v="0"/>
    <x v="2"/>
    <x v="45"/>
    <x v="80"/>
    <x v="0"/>
    <x v="59"/>
    <x v="0"/>
    <x v="1"/>
    <x v="2"/>
  </r>
  <r>
    <x v="505"/>
    <x v="535"/>
    <x v="0"/>
    <x v="0"/>
    <x v="1"/>
    <x v="0"/>
    <x v="2"/>
    <x v="3"/>
    <x v="1"/>
    <x v="0"/>
    <x v="0"/>
    <x v="16"/>
    <x v="44"/>
    <x v="0"/>
    <x v="5"/>
    <x v="2"/>
    <x v="1"/>
    <x v="4"/>
    <x v="0"/>
    <x v="0"/>
    <x v="2"/>
    <x v="45"/>
    <x v="80"/>
    <x v="0"/>
    <x v="59"/>
    <x v="0"/>
    <x v="1"/>
    <x v="2"/>
  </r>
  <r>
    <x v="505"/>
    <x v="535"/>
    <x v="0"/>
    <x v="0"/>
    <x v="1"/>
    <x v="0"/>
    <x v="2"/>
    <x v="3"/>
    <x v="1"/>
    <x v="0"/>
    <x v="0"/>
    <x v="16"/>
    <x v="44"/>
    <x v="0"/>
    <x v="5"/>
    <x v="2"/>
    <x v="1"/>
    <x v="4"/>
    <x v="0"/>
    <x v="0"/>
    <x v="2"/>
    <x v="45"/>
    <x v="80"/>
    <x v="0"/>
    <x v="59"/>
    <x v="0"/>
    <x v="1"/>
    <x v="2"/>
  </r>
  <r>
    <x v="415"/>
    <x v="447"/>
    <x v="0"/>
    <x v="0"/>
    <x v="1"/>
    <x v="0"/>
    <x v="2"/>
    <x v="3"/>
    <x v="1"/>
    <x v="0"/>
    <x v="0"/>
    <x v="16"/>
    <x v="44"/>
    <x v="0"/>
    <x v="4"/>
    <x v="2"/>
    <x v="1"/>
    <x v="4"/>
    <x v="0"/>
    <x v="0"/>
    <x v="2"/>
    <x v="45"/>
    <x v="80"/>
    <x v="0"/>
    <x v="59"/>
    <x v="0"/>
    <x v="1"/>
    <x v="2"/>
  </r>
  <r>
    <x v="415"/>
    <x v="447"/>
    <x v="0"/>
    <x v="0"/>
    <x v="1"/>
    <x v="0"/>
    <x v="2"/>
    <x v="3"/>
    <x v="1"/>
    <x v="0"/>
    <x v="0"/>
    <x v="16"/>
    <x v="44"/>
    <x v="0"/>
    <x v="4"/>
    <x v="2"/>
    <x v="1"/>
    <x v="4"/>
    <x v="0"/>
    <x v="0"/>
    <x v="2"/>
    <x v="45"/>
    <x v="80"/>
    <x v="0"/>
    <x v="59"/>
    <x v="0"/>
    <x v="1"/>
    <x v="2"/>
  </r>
  <r>
    <x v="326"/>
    <x v="357"/>
    <x v="0"/>
    <x v="0"/>
    <x v="1"/>
    <x v="0"/>
    <x v="2"/>
    <x v="3"/>
    <x v="1"/>
    <x v="0"/>
    <x v="0"/>
    <x v="16"/>
    <x v="44"/>
    <x v="0"/>
    <x v="3"/>
    <x v="2"/>
    <x v="1"/>
    <x v="4"/>
    <x v="0"/>
    <x v="0"/>
    <x v="2"/>
    <x v="45"/>
    <x v="80"/>
    <x v="0"/>
    <x v="59"/>
    <x v="0"/>
    <x v="1"/>
    <x v="2"/>
  </r>
  <r>
    <x v="326"/>
    <x v="357"/>
    <x v="0"/>
    <x v="0"/>
    <x v="1"/>
    <x v="0"/>
    <x v="2"/>
    <x v="3"/>
    <x v="1"/>
    <x v="0"/>
    <x v="0"/>
    <x v="16"/>
    <x v="44"/>
    <x v="0"/>
    <x v="3"/>
    <x v="2"/>
    <x v="1"/>
    <x v="4"/>
    <x v="0"/>
    <x v="0"/>
    <x v="2"/>
    <x v="45"/>
    <x v="80"/>
    <x v="0"/>
    <x v="59"/>
    <x v="0"/>
    <x v="1"/>
    <x v="2"/>
  </r>
  <r>
    <x v="236"/>
    <x v="266"/>
    <x v="0"/>
    <x v="0"/>
    <x v="1"/>
    <x v="0"/>
    <x v="2"/>
    <x v="3"/>
    <x v="1"/>
    <x v="0"/>
    <x v="0"/>
    <x v="16"/>
    <x v="44"/>
    <x v="0"/>
    <x v="2"/>
    <x v="2"/>
    <x v="1"/>
    <x v="4"/>
    <x v="0"/>
    <x v="0"/>
    <x v="2"/>
    <x v="45"/>
    <x v="80"/>
    <x v="0"/>
    <x v="59"/>
    <x v="0"/>
    <x v="1"/>
    <x v="2"/>
  </r>
  <r>
    <x v="236"/>
    <x v="266"/>
    <x v="0"/>
    <x v="0"/>
    <x v="1"/>
    <x v="0"/>
    <x v="2"/>
    <x v="3"/>
    <x v="1"/>
    <x v="0"/>
    <x v="0"/>
    <x v="16"/>
    <x v="44"/>
    <x v="0"/>
    <x v="2"/>
    <x v="2"/>
    <x v="1"/>
    <x v="4"/>
    <x v="0"/>
    <x v="0"/>
    <x v="2"/>
    <x v="45"/>
    <x v="80"/>
    <x v="0"/>
    <x v="59"/>
    <x v="0"/>
    <x v="1"/>
    <x v="2"/>
  </r>
  <r>
    <x v="145"/>
    <x v="176"/>
    <x v="0"/>
    <x v="0"/>
    <x v="1"/>
    <x v="0"/>
    <x v="2"/>
    <x v="3"/>
    <x v="1"/>
    <x v="0"/>
    <x v="0"/>
    <x v="16"/>
    <x v="44"/>
    <x v="0"/>
    <x v="1"/>
    <x v="2"/>
    <x v="1"/>
    <x v="4"/>
    <x v="0"/>
    <x v="0"/>
    <x v="2"/>
    <x v="45"/>
    <x v="80"/>
    <x v="0"/>
    <x v="59"/>
    <x v="0"/>
    <x v="1"/>
    <x v="2"/>
  </r>
  <r>
    <x v="145"/>
    <x v="176"/>
    <x v="0"/>
    <x v="0"/>
    <x v="1"/>
    <x v="0"/>
    <x v="2"/>
    <x v="3"/>
    <x v="1"/>
    <x v="0"/>
    <x v="0"/>
    <x v="16"/>
    <x v="44"/>
    <x v="0"/>
    <x v="1"/>
    <x v="2"/>
    <x v="1"/>
    <x v="4"/>
    <x v="0"/>
    <x v="0"/>
    <x v="2"/>
    <x v="45"/>
    <x v="80"/>
    <x v="0"/>
    <x v="59"/>
    <x v="0"/>
    <x v="1"/>
    <x v="2"/>
  </r>
  <r>
    <x v="45"/>
    <x v="74"/>
    <x v="0"/>
    <x v="0"/>
    <x v="1"/>
    <x v="0"/>
    <x v="2"/>
    <x v="3"/>
    <x v="1"/>
    <x v="0"/>
    <x v="0"/>
    <x v="16"/>
    <x v="44"/>
    <x v="0"/>
    <x v="0"/>
    <x v="2"/>
    <x v="1"/>
    <x v="4"/>
    <x v="0"/>
    <x v="0"/>
    <x v="2"/>
    <x v="45"/>
    <x v="80"/>
    <x v="0"/>
    <x v="59"/>
    <x v="0"/>
    <x v="1"/>
    <x v="2"/>
  </r>
  <r>
    <x v="45"/>
    <x v="74"/>
    <x v="0"/>
    <x v="0"/>
    <x v="1"/>
    <x v="0"/>
    <x v="2"/>
    <x v="3"/>
    <x v="1"/>
    <x v="0"/>
    <x v="0"/>
    <x v="16"/>
    <x v="44"/>
    <x v="0"/>
    <x v="0"/>
    <x v="2"/>
    <x v="1"/>
    <x v="4"/>
    <x v="0"/>
    <x v="0"/>
    <x v="2"/>
    <x v="45"/>
    <x v="80"/>
    <x v="0"/>
    <x v="59"/>
    <x v="0"/>
    <x v="1"/>
    <x v="2"/>
  </r>
  <r>
    <x v="596"/>
    <x v="627"/>
    <x v="0"/>
    <x v="0"/>
    <x v="1"/>
    <x v="0"/>
    <x v="2"/>
    <x v="3"/>
    <x v="1"/>
    <x v="0"/>
    <x v="0"/>
    <x v="17"/>
    <x v="48"/>
    <x v="0"/>
    <x v="6"/>
    <x v="2"/>
    <x v="1"/>
    <x v="4"/>
    <x v="0"/>
    <x v="0"/>
    <x v="2"/>
    <x v="44"/>
    <x v="81"/>
    <x v="0"/>
    <x v="59"/>
    <x v="0"/>
    <x v="1"/>
    <x v="2"/>
  </r>
  <r>
    <x v="504"/>
    <x v="536"/>
    <x v="0"/>
    <x v="0"/>
    <x v="1"/>
    <x v="0"/>
    <x v="2"/>
    <x v="3"/>
    <x v="1"/>
    <x v="0"/>
    <x v="0"/>
    <x v="17"/>
    <x v="48"/>
    <x v="0"/>
    <x v="5"/>
    <x v="2"/>
    <x v="1"/>
    <x v="4"/>
    <x v="0"/>
    <x v="0"/>
    <x v="2"/>
    <x v="44"/>
    <x v="81"/>
    <x v="0"/>
    <x v="59"/>
    <x v="0"/>
    <x v="1"/>
    <x v="2"/>
  </r>
  <r>
    <x v="414"/>
    <x v="448"/>
    <x v="0"/>
    <x v="0"/>
    <x v="1"/>
    <x v="0"/>
    <x v="2"/>
    <x v="3"/>
    <x v="1"/>
    <x v="0"/>
    <x v="0"/>
    <x v="17"/>
    <x v="48"/>
    <x v="0"/>
    <x v="4"/>
    <x v="2"/>
    <x v="1"/>
    <x v="4"/>
    <x v="0"/>
    <x v="0"/>
    <x v="2"/>
    <x v="44"/>
    <x v="81"/>
    <x v="0"/>
    <x v="59"/>
    <x v="0"/>
    <x v="1"/>
    <x v="2"/>
  </r>
  <r>
    <x v="325"/>
    <x v="358"/>
    <x v="0"/>
    <x v="0"/>
    <x v="1"/>
    <x v="0"/>
    <x v="2"/>
    <x v="3"/>
    <x v="1"/>
    <x v="0"/>
    <x v="0"/>
    <x v="17"/>
    <x v="48"/>
    <x v="0"/>
    <x v="3"/>
    <x v="2"/>
    <x v="1"/>
    <x v="4"/>
    <x v="0"/>
    <x v="0"/>
    <x v="2"/>
    <x v="44"/>
    <x v="81"/>
    <x v="0"/>
    <x v="59"/>
    <x v="0"/>
    <x v="1"/>
    <x v="2"/>
  </r>
  <r>
    <x v="235"/>
    <x v="267"/>
    <x v="0"/>
    <x v="0"/>
    <x v="1"/>
    <x v="0"/>
    <x v="2"/>
    <x v="3"/>
    <x v="1"/>
    <x v="0"/>
    <x v="0"/>
    <x v="17"/>
    <x v="48"/>
    <x v="0"/>
    <x v="2"/>
    <x v="2"/>
    <x v="1"/>
    <x v="4"/>
    <x v="0"/>
    <x v="0"/>
    <x v="2"/>
    <x v="44"/>
    <x v="81"/>
    <x v="0"/>
    <x v="59"/>
    <x v="0"/>
    <x v="1"/>
    <x v="2"/>
  </r>
  <r>
    <x v="144"/>
    <x v="177"/>
    <x v="0"/>
    <x v="0"/>
    <x v="1"/>
    <x v="0"/>
    <x v="2"/>
    <x v="3"/>
    <x v="1"/>
    <x v="0"/>
    <x v="0"/>
    <x v="17"/>
    <x v="48"/>
    <x v="0"/>
    <x v="1"/>
    <x v="2"/>
    <x v="1"/>
    <x v="4"/>
    <x v="0"/>
    <x v="0"/>
    <x v="2"/>
    <x v="44"/>
    <x v="81"/>
    <x v="0"/>
    <x v="59"/>
    <x v="0"/>
    <x v="1"/>
    <x v="2"/>
  </r>
  <r>
    <x v="44"/>
    <x v="75"/>
    <x v="0"/>
    <x v="0"/>
    <x v="1"/>
    <x v="0"/>
    <x v="2"/>
    <x v="3"/>
    <x v="1"/>
    <x v="0"/>
    <x v="0"/>
    <x v="17"/>
    <x v="48"/>
    <x v="0"/>
    <x v="0"/>
    <x v="2"/>
    <x v="1"/>
    <x v="4"/>
    <x v="0"/>
    <x v="0"/>
    <x v="2"/>
    <x v="44"/>
    <x v="81"/>
    <x v="0"/>
    <x v="59"/>
    <x v="0"/>
    <x v="1"/>
    <x v="2"/>
  </r>
  <r>
    <x v="595"/>
    <x v="628"/>
    <x v="0"/>
    <x v="0"/>
    <x v="1"/>
    <x v="0"/>
    <x v="2"/>
    <x v="3"/>
    <x v="1"/>
    <x v="0"/>
    <x v="0"/>
    <x v="18"/>
    <x v="42"/>
    <x v="0"/>
    <x v="6"/>
    <x v="2"/>
    <x v="1"/>
    <x v="4"/>
    <x v="0"/>
    <x v="0"/>
    <x v="2"/>
    <x v="43"/>
    <x v="82"/>
    <x v="0"/>
    <x v="59"/>
    <x v="0"/>
    <x v="1"/>
    <x v="2"/>
  </r>
  <r>
    <x v="503"/>
    <x v="537"/>
    <x v="0"/>
    <x v="0"/>
    <x v="1"/>
    <x v="0"/>
    <x v="2"/>
    <x v="3"/>
    <x v="1"/>
    <x v="0"/>
    <x v="0"/>
    <x v="18"/>
    <x v="42"/>
    <x v="0"/>
    <x v="5"/>
    <x v="2"/>
    <x v="1"/>
    <x v="4"/>
    <x v="0"/>
    <x v="0"/>
    <x v="2"/>
    <x v="43"/>
    <x v="82"/>
    <x v="0"/>
    <x v="59"/>
    <x v="0"/>
    <x v="1"/>
    <x v="2"/>
  </r>
  <r>
    <x v="413"/>
    <x v="449"/>
    <x v="0"/>
    <x v="0"/>
    <x v="1"/>
    <x v="0"/>
    <x v="2"/>
    <x v="3"/>
    <x v="1"/>
    <x v="0"/>
    <x v="0"/>
    <x v="18"/>
    <x v="42"/>
    <x v="0"/>
    <x v="4"/>
    <x v="2"/>
    <x v="1"/>
    <x v="4"/>
    <x v="0"/>
    <x v="0"/>
    <x v="2"/>
    <x v="43"/>
    <x v="82"/>
    <x v="0"/>
    <x v="59"/>
    <x v="0"/>
    <x v="1"/>
    <x v="2"/>
  </r>
  <r>
    <x v="324"/>
    <x v="359"/>
    <x v="0"/>
    <x v="0"/>
    <x v="1"/>
    <x v="0"/>
    <x v="2"/>
    <x v="3"/>
    <x v="1"/>
    <x v="0"/>
    <x v="0"/>
    <x v="18"/>
    <x v="42"/>
    <x v="0"/>
    <x v="3"/>
    <x v="2"/>
    <x v="1"/>
    <x v="4"/>
    <x v="0"/>
    <x v="0"/>
    <x v="2"/>
    <x v="43"/>
    <x v="82"/>
    <x v="0"/>
    <x v="59"/>
    <x v="0"/>
    <x v="1"/>
    <x v="2"/>
  </r>
  <r>
    <x v="234"/>
    <x v="268"/>
    <x v="0"/>
    <x v="0"/>
    <x v="1"/>
    <x v="0"/>
    <x v="2"/>
    <x v="3"/>
    <x v="1"/>
    <x v="0"/>
    <x v="0"/>
    <x v="18"/>
    <x v="42"/>
    <x v="0"/>
    <x v="2"/>
    <x v="2"/>
    <x v="1"/>
    <x v="4"/>
    <x v="0"/>
    <x v="0"/>
    <x v="2"/>
    <x v="43"/>
    <x v="82"/>
    <x v="0"/>
    <x v="59"/>
    <x v="0"/>
    <x v="1"/>
    <x v="2"/>
  </r>
  <r>
    <x v="143"/>
    <x v="178"/>
    <x v="0"/>
    <x v="0"/>
    <x v="1"/>
    <x v="0"/>
    <x v="2"/>
    <x v="3"/>
    <x v="1"/>
    <x v="0"/>
    <x v="0"/>
    <x v="18"/>
    <x v="42"/>
    <x v="0"/>
    <x v="1"/>
    <x v="2"/>
    <x v="1"/>
    <x v="4"/>
    <x v="0"/>
    <x v="0"/>
    <x v="2"/>
    <x v="43"/>
    <x v="82"/>
    <x v="0"/>
    <x v="59"/>
    <x v="0"/>
    <x v="1"/>
    <x v="2"/>
  </r>
  <r>
    <x v="43"/>
    <x v="76"/>
    <x v="0"/>
    <x v="0"/>
    <x v="1"/>
    <x v="0"/>
    <x v="2"/>
    <x v="3"/>
    <x v="1"/>
    <x v="0"/>
    <x v="0"/>
    <x v="18"/>
    <x v="42"/>
    <x v="0"/>
    <x v="0"/>
    <x v="2"/>
    <x v="1"/>
    <x v="4"/>
    <x v="0"/>
    <x v="0"/>
    <x v="2"/>
    <x v="43"/>
    <x v="82"/>
    <x v="0"/>
    <x v="59"/>
    <x v="0"/>
    <x v="1"/>
    <x v="2"/>
  </r>
  <r>
    <x v="594"/>
    <x v="629"/>
    <x v="0"/>
    <x v="0"/>
    <x v="1"/>
    <x v="0"/>
    <x v="2"/>
    <x v="3"/>
    <x v="1"/>
    <x v="0"/>
    <x v="0"/>
    <x v="19"/>
    <x v="43"/>
    <x v="0"/>
    <x v="6"/>
    <x v="2"/>
    <x v="1"/>
    <x v="4"/>
    <x v="0"/>
    <x v="0"/>
    <x v="2"/>
    <x v="42"/>
    <x v="83"/>
    <x v="0"/>
    <x v="59"/>
    <x v="0"/>
    <x v="1"/>
    <x v="2"/>
  </r>
  <r>
    <x v="502"/>
    <x v="538"/>
    <x v="0"/>
    <x v="0"/>
    <x v="1"/>
    <x v="0"/>
    <x v="2"/>
    <x v="3"/>
    <x v="1"/>
    <x v="0"/>
    <x v="0"/>
    <x v="19"/>
    <x v="43"/>
    <x v="0"/>
    <x v="5"/>
    <x v="2"/>
    <x v="1"/>
    <x v="4"/>
    <x v="0"/>
    <x v="0"/>
    <x v="2"/>
    <x v="42"/>
    <x v="83"/>
    <x v="0"/>
    <x v="59"/>
    <x v="0"/>
    <x v="1"/>
    <x v="2"/>
  </r>
  <r>
    <x v="412"/>
    <x v="450"/>
    <x v="0"/>
    <x v="0"/>
    <x v="1"/>
    <x v="0"/>
    <x v="2"/>
    <x v="3"/>
    <x v="1"/>
    <x v="0"/>
    <x v="0"/>
    <x v="19"/>
    <x v="43"/>
    <x v="0"/>
    <x v="4"/>
    <x v="2"/>
    <x v="1"/>
    <x v="4"/>
    <x v="0"/>
    <x v="0"/>
    <x v="2"/>
    <x v="42"/>
    <x v="83"/>
    <x v="0"/>
    <x v="59"/>
    <x v="0"/>
    <x v="1"/>
    <x v="2"/>
  </r>
  <r>
    <x v="323"/>
    <x v="360"/>
    <x v="0"/>
    <x v="0"/>
    <x v="1"/>
    <x v="0"/>
    <x v="2"/>
    <x v="3"/>
    <x v="1"/>
    <x v="0"/>
    <x v="0"/>
    <x v="19"/>
    <x v="43"/>
    <x v="0"/>
    <x v="3"/>
    <x v="2"/>
    <x v="1"/>
    <x v="4"/>
    <x v="0"/>
    <x v="0"/>
    <x v="2"/>
    <x v="42"/>
    <x v="83"/>
    <x v="0"/>
    <x v="59"/>
    <x v="0"/>
    <x v="1"/>
    <x v="2"/>
  </r>
  <r>
    <x v="233"/>
    <x v="269"/>
    <x v="0"/>
    <x v="0"/>
    <x v="1"/>
    <x v="0"/>
    <x v="2"/>
    <x v="3"/>
    <x v="1"/>
    <x v="0"/>
    <x v="0"/>
    <x v="19"/>
    <x v="43"/>
    <x v="0"/>
    <x v="2"/>
    <x v="2"/>
    <x v="1"/>
    <x v="4"/>
    <x v="0"/>
    <x v="0"/>
    <x v="2"/>
    <x v="42"/>
    <x v="83"/>
    <x v="0"/>
    <x v="59"/>
    <x v="0"/>
    <x v="1"/>
    <x v="2"/>
  </r>
  <r>
    <x v="142"/>
    <x v="179"/>
    <x v="0"/>
    <x v="0"/>
    <x v="1"/>
    <x v="0"/>
    <x v="2"/>
    <x v="3"/>
    <x v="1"/>
    <x v="0"/>
    <x v="0"/>
    <x v="19"/>
    <x v="43"/>
    <x v="0"/>
    <x v="1"/>
    <x v="2"/>
    <x v="1"/>
    <x v="4"/>
    <x v="0"/>
    <x v="0"/>
    <x v="2"/>
    <x v="42"/>
    <x v="83"/>
    <x v="0"/>
    <x v="59"/>
    <x v="0"/>
    <x v="1"/>
    <x v="2"/>
  </r>
  <r>
    <x v="42"/>
    <x v="77"/>
    <x v="0"/>
    <x v="0"/>
    <x v="1"/>
    <x v="0"/>
    <x v="2"/>
    <x v="3"/>
    <x v="1"/>
    <x v="0"/>
    <x v="0"/>
    <x v="19"/>
    <x v="43"/>
    <x v="0"/>
    <x v="0"/>
    <x v="2"/>
    <x v="1"/>
    <x v="4"/>
    <x v="0"/>
    <x v="0"/>
    <x v="2"/>
    <x v="42"/>
    <x v="83"/>
    <x v="0"/>
    <x v="59"/>
    <x v="0"/>
    <x v="1"/>
    <x v="2"/>
  </r>
  <r>
    <x v="593"/>
    <x v="630"/>
    <x v="0"/>
    <x v="0"/>
    <x v="1"/>
    <x v="0"/>
    <x v="2"/>
    <x v="3"/>
    <x v="1"/>
    <x v="0"/>
    <x v="0"/>
    <x v="20"/>
    <x v="52"/>
    <x v="0"/>
    <x v="6"/>
    <x v="2"/>
    <x v="1"/>
    <x v="4"/>
    <x v="0"/>
    <x v="0"/>
    <x v="2"/>
    <x v="41"/>
    <x v="84"/>
    <x v="0"/>
    <x v="59"/>
    <x v="0"/>
    <x v="1"/>
    <x v="2"/>
  </r>
  <r>
    <x v="501"/>
    <x v="539"/>
    <x v="0"/>
    <x v="0"/>
    <x v="1"/>
    <x v="0"/>
    <x v="2"/>
    <x v="3"/>
    <x v="1"/>
    <x v="0"/>
    <x v="0"/>
    <x v="20"/>
    <x v="52"/>
    <x v="0"/>
    <x v="5"/>
    <x v="2"/>
    <x v="1"/>
    <x v="4"/>
    <x v="0"/>
    <x v="0"/>
    <x v="2"/>
    <x v="41"/>
    <x v="84"/>
    <x v="0"/>
    <x v="59"/>
    <x v="0"/>
    <x v="1"/>
    <x v="2"/>
  </r>
  <r>
    <x v="411"/>
    <x v="451"/>
    <x v="0"/>
    <x v="0"/>
    <x v="1"/>
    <x v="0"/>
    <x v="2"/>
    <x v="3"/>
    <x v="1"/>
    <x v="0"/>
    <x v="0"/>
    <x v="20"/>
    <x v="52"/>
    <x v="0"/>
    <x v="4"/>
    <x v="2"/>
    <x v="1"/>
    <x v="4"/>
    <x v="0"/>
    <x v="0"/>
    <x v="2"/>
    <x v="41"/>
    <x v="84"/>
    <x v="0"/>
    <x v="59"/>
    <x v="0"/>
    <x v="1"/>
    <x v="2"/>
  </r>
  <r>
    <x v="322"/>
    <x v="361"/>
    <x v="0"/>
    <x v="0"/>
    <x v="1"/>
    <x v="0"/>
    <x v="2"/>
    <x v="3"/>
    <x v="1"/>
    <x v="0"/>
    <x v="0"/>
    <x v="20"/>
    <x v="52"/>
    <x v="0"/>
    <x v="3"/>
    <x v="2"/>
    <x v="1"/>
    <x v="4"/>
    <x v="0"/>
    <x v="0"/>
    <x v="2"/>
    <x v="41"/>
    <x v="84"/>
    <x v="0"/>
    <x v="59"/>
    <x v="0"/>
    <x v="1"/>
    <x v="2"/>
  </r>
  <r>
    <x v="232"/>
    <x v="270"/>
    <x v="0"/>
    <x v="0"/>
    <x v="1"/>
    <x v="0"/>
    <x v="2"/>
    <x v="3"/>
    <x v="1"/>
    <x v="0"/>
    <x v="0"/>
    <x v="20"/>
    <x v="52"/>
    <x v="0"/>
    <x v="2"/>
    <x v="2"/>
    <x v="1"/>
    <x v="4"/>
    <x v="0"/>
    <x v="0"/>
    <x v="2"/>
    <x v="41"/>
    <x v="84"/>
    <x v="0"/>
    <x v="59"/>
    <x v="0"/>
    <x v="1"/>
    <x v="2"/>
  </r>
  <r>
    <x v="141"/>
    <x v="180"/>
    <x v="0"/>
    <x v="0"/>
    <x v="1"/>
    <x v="0"/>
    <x v="2"/>
    <x v="3"/>
    <x v="1"/>
    <x v="0"/>
    <x v="0"/>
    <x v="20"/>
    <x v="52"/>
    <x v="0"/>
    <x v="1"/>
    <x v="2"/>
    <x v="1"/>
    <x v="4"/>
    <x v="0"/>
    <x v="0"/>
    <x v="2"/>
    <x v="41"/>
    <x v="84"/>
    <x v="0"/>
    <x v="59"/>
    <x v="0"/>
    <x v="1"/>
    <x v="2"/>
  </r>
  <r>
    <x v="41"/>
    <x v="78"/>
    <x v="0"/>
    <x v="0"/>
    <x v="1"/>
    <x v="0"/>
    <x v="2"/>
    <x v="3"/>
    <x v="1"/>
    <x v="0"/>
    <x v="0"/>
    <x v="20"/>
    <x v="52"/>
    <x v="0"/>
    <x v="0"/>
    <x v="2"/>
    <x v="1"/>
    <x v="4"/>
    <x v="0"/>
    <x v="0"/>
    <x v="2"/>
    <x v="41"/>
    <x v="84"/>
    <x v="0"/>
    <x v="59"/>
    <x v="0"/>
    <x v="1"/>
    <x v="2"/>
  </r>
  <r>
    <x v="591"/>
    <x v="631"/>
    <x v="0"/>
    <x v="0"/>
    <x v="1"/>
    <x v="0"/>
    <x v="2"/>
    <x v="3"/>
    <x v="1"/>
    <x v="0"/>
    <x v="0"/>
    <x v="0"/>
    <x v="51"/>
    <x v="0"/>
    <x v="6"/>
    <x v="2"/>
    <x v="1"/>
    <x v="4"/>
    <x v="0"/>
    <x v="0"/>
    <x v="3"/>
    <x v="39"/>
    <x v="85"/>
    <x v="0"/>
    <x v="59"/>
    <x v="0"/>
    <x v="1"/>
    <x v="2"/>
  </r>
  <r>
    <x v="591"/>
    <x v="631"/>
    <x v="0"/>
    <x v="0"/>
    <x v="1"/>
    <x v="0"/>
    <x v="2"/>
    <x v="3"/>
    <x v="1"/>
    <x v="0"/>
    <x v="0"/>
    <x v="0"/>
    <x v="51"/>
    <x v="0"/>
    <x v="6"/>
    <x v="2"/>
    <x v="1"/>
    <x v="4"/>
    <x v="0"/>
    <x v="0"/>
    <x v="3"/>
    <x v="39"/>
    <x v="85"/>
    <x v="0"/>
    <x v="59"/>
    <x v="0"/>
    <x v="1"/>
    <x v="2"/>
  </r>
  <r>
    <x v="591"/>
    <x v="631"/>
    <x v="0"/>
    <x v="0"/>
    <x v="1"/>
    <x v="0"/>
    <x v="2"/>
    <x v="3"/>
    <x v="1"/>
    <x v="0"/>
    <x v="0"/>
    <x v="0"/>
    <x v="51"/>
    <x v="0"/>
    <x v="6"/>
    <x v="2"/>
    <x v="1"/>
    <x v="4"/>
    <x v="0"/>
    <x v="0"/>
    <x v="3"/>
    <x v="39"/>
    <x v="85"/>
    <x v="266"/>
    <x v="51"/>
    <x v="231"/>
    <x v="1"/>
    <x v="2"/>
  </r>
  <r>
    <x v="591"/>
    <x v="631"/>
    <x v="0"/>
    <x v="0"/>
    <x v="1"/>
    <x v="0"/>
    <x v="2"/>
    <x v="3"/>
    <x v="1"/>
    <x v="0"/>
    <x v="0"/>
    <x v="0"/>
    <x v="51"/>
    <x v="0"/>
    <x v="6"/>
    <x v="2"/>
    <x v="1"/>
    <x v="4"/>
    <x v="0"/>
    <x v="0"/>
    <x v="3"/>
    <x v="39"/>
    <x v="85"/>
    <x v="20"/>
    <x v="2"/>
    <x v="20"/>
    <x v="1"/>
    <x v="2"/>
  </r>
  <r>
    <x v="500"/>
    <x v="540"/>
    <x v="0"/>
    <x v="0"/>
    <x v="1"/>
    <x v="0"/>
    <x v="2"/>
    <x v="3"/>
    <x v="1"/>
    <x v="0"/>
    <x v="0"/>
    <x v="0"/>
    <x v="51"/>
    <x v="0"/>
    <x v="5"/>
    <x v="2"/>
    <x v="1"/>
    <x v="4"/>
    <x v="0"/>
    <x v="0"/>
    <x v="3"/>
    <x v="39"/>
    <x v="85"/>
    <x v="260"/>
    <x v="45"/>
    <x v="230"/>
    <x v="1"/>
    <x v="2"/>
  </r>
  <r>
    <x v="500"/>
    <x v="540"/>
    <x v="0"/>
    <x v="0"/>
    <x v="1"/>
    <x v="0"/>
    <x v="2"/>
    <x v="3"/>
    <x v="1"/>
    <x v="0"/>
    <x v="0"/>
    <x v="0"/>
    <x v="51"/>
    <x v="0"/>
    <x v="5"/>
    <x v="2"/>
    <x v="1"/>
    <x v="4"/>
    <x v="0"/>
    <x v="0"/>
    <x v="3"/>
    <x v="39"/>
    <x v="85"/>
    <x v="19"/>
    <x v="59"/>
    <x v="18"/>
    <x v="1"/>
    <x v="2"/>
  </r>
  <r>
    <x v="500"/>
    <x v="540"/>
    <x v="0"/>
    <x v="0"/>
    <x v="1"/>
    <x v="0"/>
    <x v="2"/>
    <x v="3"/>
    <x v="1"/>
    <x v="0"/>
    <x v="0"/>
    <x v="0"/>
    <x v="51"/>
    <x v="0"/>
    <x v="5"/>
    <x v="2"/>
    <x v="1"/>
    <x v="4"/>
    <x v="0"/>
    <x v="0"/>
    <x v="3"/>
    <x v="39"/>
    <x v="85"/>
    <x v="0"/>
    <x v="59"/>
    <x v="0"/>
    <x v="1"/>
    <x v="2"/>
  </r>
  <r>
    <x v="500"/>
    <x v="540"/>
    <x v="0"/>
    <x v="0"/>
    <x v="1"/>
    <x v="0"/>
    <x v="2"/>
    <x v="3"/>
    <x v="1"/>
    <x v="0"/>
    <x v="0"/>
    <x v="0"/>
    <x v="51"/>
    <x v="0"/>
    <x v="5"/>
    <x v="2"/>
    <x v="1"/>
    <x v="4"/>
    <x v="0"/>
    <x v="0"/>
    <x v="3"/>
    <x v="39"/>
    <x v="85"/>
    <x v="0"/>
    <x v="59"/>
    <x v="0"/>
    <x v="1"/>
    <x v="2"/>
  </r>
  <r>
    <x v="410"/>
    <x v="452"/>
    <x v="0"/>
    <x v="0"/>
    <x v="1"/>
    <x v="0"/>
    <x v="2"/>
    <x v="3"/>
    <x v="1"/>
    <x v="0"/>
    <x v="0"/>
    <x v="0"/>
    <x v="51"/>
    <x v="0"/>
    <x v="4"/>
    <x v="2"/>
    <x v="1"/>
    <x v="4"/>
    <x v="0"/>
    <x v="0"/>
    <x v="3"/>
    <x v="39"/>
    <x v="85"/>
    <x v="0"/>
    <x v="59"/>
    <x v="0"/>
    <x v="1"/>
    <x v="2"/>
  </r>
  <r>
    <x v="410"/>
    <x v="452"/>
    <x v="0"/>
    <x v="0"/>
    <x v="1"/>
    <x v="0"/>
    <x v="2"/>
    <x v="3"/>
    <x v="1"/>
    <x v="0"/>
    <x v="0"/>
    <x v="0"/>
    <x v="51"/>
    <x v="0"/>
    <x v="4"/>
    <x v="2"/>
    <x v="1"/>
    <x v="4"/>
    <x v="0"/>
    <x v="0"/>
    <x v="3"/>
    <x v="39"/>
    <x v="85"/>
    <x v="33"/>
    <x v="1"/>
    <x v="26"/>
    <x v="1"/>
    <x v="2"/>
  </r>
  <r>
    <x v="410"/>
    <x v="452"/>
    <x v="0"/>
    <x v="0"/>
    <x v="1"/>
    <x v="0"/>
    <x v="2"/>
    <x v="3"/>
    <x v="1"/>
    <x v="0"/>
    <x v="0"/>
    <x v="0"/>
    <x v="51"/>
    <x v="0"/>
    <x v="4"/>
    <x v="2"/>
    <x v="1"/>
    <x v="4"/>
    <x v="0"/>
    <x v="0"/>
    <x v="3"/>
    <x v="39"/>
    <x v="85"/>
    <x v="244"/>
    <x v="43"/>
    <x v="213"/>
    <x v="1"/>
    <x v="2"/>
  </r>
  <r>
    <x v="410"/>
    <x v="452"/>
    <x v="0"/>
    <x v="0"/>
    <x v="1"/>
    <x v="0"/>
    <x v="2"/>
    <x v="3"/>
    <x v="1"/>
    <x v="0"/>
    <x v="0"/>
    <x v="0"/>
    <x v="51"/>
    <x v="0"/>
    <x v="4"/>
    <x v="2"/>
    <x v="1"/>
    <x v="4"/>
    <x v="0"/>
    <x v="0"/>
    <x v="3"/>
    <x v="39"/>
    <x v="85"/>
    <x v="0"/>
    <x v="59"/>
    <x v="0"/>
    <x v="1"/>
    <x v="2"/>
  </r>
  <r>
    <x v="320"/>
    <x v="362"/>
    <x v="0"/>
    <x v="0"/>
    <x v="1"/>
    <x v="0"/>
    <x v="2"/>
    <x v="3"/>
    <x v="1"/>
    <x v="0"/>
    <x v="0"/>
    <x v="0"/>
    <x v="51"/>
    <x v="0"/>
    <x v="3"/>
    <x v="2"/>
    <x v="1"/>
    <x v="4"/>
    <x v="0"/>
    <x v="0"/>
    <x v="3"/>
    <x v="39"/>
    <x v="85"/>
    <x v="34"/>
    <x v="59"/>
    <x v="27"/>
    <x v="1"/>
    <x v="2"/>
  </r>
  <r>
    <x v="320"/>
    <x v="362"/>
    <x v="0"/>
    <x v="0"/>
    <x v="1"/>
    <x v="0"/>
    <x v="2"/>
    <x v="3"/>
    <x v="1"/>
    <x v="0"/>
    <x v="0"/>
    <x v="0"/>
    <x v="51"/>
    <x v="0"/>
    <x v="3"/>
    <x v="2"/>
    <x v="1"/>
    <x v="4"/>
    <x v="0"/>
    <x v="0"/>
    <x v="3"/>
    <x v="39"/>
    <x v="85"/>
    <x v="0"/>
    <x v="59"/>
    <x v="0"/>
    <x v="1"/>
    <x v="2"/>
  </r>
  <r>
    <x v="320"/>
    <x v="362"/>
    <x v="0"/>
    <x v="0"/>
    <x v="1"/>
    <x v="0"/>
    <x v="2"/>
    <x v="3"/>
    <x v="1"/>
    <x v="0"/>
    <x v="0"/>
    <x v="0"/>
    <x v="51"/>
    <x v="0"/>
    <x v="3"/>
    <x v="2"/>
    <x v="1"/>
    <x v="4"/>
    <x v="0"/>
    <x v="0"/>
    <x v="3"/>
    <x v="39"/>
    <x v="85"/>
    <x v="0"/>
    <x v="59"/>
    <x v="0"/>
    <x v="1"/>
    <x v="2"/>
  </r>
  <r>
    <x v="320"/>
    <x v="362"/>
    <x v="0"/>
    <x v="0"/>
    <x v="1"/>
    <x v="0"/>
    <x v="2"/>
    <x v="3"/>
    <x v="1"/>
    <x v="0"/>
    <x v="0"/>
    <x v="0"/>
    <x v="51"/>
    <x v="0"/>
    <x v="3"/>
    <x v="2"/>
    <x v="1"/>
    <x v="4"/>
    <x v="0"/>
    <x v="0"/>
    <x v="3"/>
    <x v="39"/>
    <x v="85"/>
    <x v="220"/>
    <x v="39"/>
    <x v="181"/>
    <x v="1"/>
    <x v="2"/>
  </r>
  <r>
    <x v="231"/>
    <x v="271"/>
    <x v="0"/>
    <x v="0"/>
    <x v="1"/>
    <x v="0"/>
    <x v="2"/>
    <x v="3"/>
    <x v="1"/>
    <x v="0"/>
    <x v="0"/>
    <x v="0"/>
    <x v="51"/>
    <x v="0"/>
    <x v="2"/>
    <x v="2"/>
    <x v="1"/>
    <x v="4"/>
    <x v="0"/>
    <x v="0"/>
    <x v="3"/>
    <x v="39"/>
    <x v="85"/>
    <x v="93"/>
    <x v="4"/>
    <x v="57"/>
    <x v="1"/>
    <x v="2"/>
  </r>
  <r>
    <x v="231"/>
    <x v="271"/>
    <x v="0"/>
    <x v="0"/>
    <x v="1"/>
    <x v="0"/>
    <x v="2"/>
    <x v="3"/>
    <x v="1"/>
    <x v="0"/>
    <x v="0"/>
    <x v="0"/>
    <x v="51"/>
    <x v="0"/>
    <x v="2"/>
    <x v="2"/>
    <x v="1"/>
    <x v="4"/>
    <x v="0"/>
    <x v="0"/>
    <x v="3"/>
    <x v="39"/>
    <x v="85"/>
    <x v="256"/>
    <x v="42"/>
    <x v="205"/>
    <x v="1"/>
    <x v="2"/>
  </r>
  <r>
    <x v="231"/>
    <x v="271"/>
    <x v="0"/>
    <x v="0"/>
    <x v="1"/>
    <x v="0"/>
    <x v="2"/>
    <x v="3"/>
    <x v="1"/>
    <x v="0"/>
    <x v="0"/>
    <x v="0"/>
    <x v="51"/>
    <x v="0"/>
    <x v="2"/>
    <x v="2"/>
    <x v="1"/>
    <x v="4"/>
    <x v="0"/>
    <x v="0"/>
    <x v="3"/>
    <x v="39"/>
    <x v="85"/>
    <x v="0"/>
    <x v="59"/>
    <x v="0"/>
    <x v="1"/>
    <x v="2"/>
  </r>
  <r>
    <x v="231"/>
    <x v="271"/>
    <x v="0"/>
    <x v="0"/>
    <x v="1"/>
    <x v="0"/>
    <x v="2"/>
    <x v="3"/>
    <x v="1"/>
    <x v="0"/>
    <x v="0"/>
    <x v="0"/>
    <x v="51"/>
    <x v="0"/>
    <x v="2"/>
    <x v="2"/>
    <x v="1"/>
    <x v="4"/>
    <x v="0"/>
    <x v="0"/>
    <x v="3"/>
    <x v="39"/>
    <x v="85"/>
    <x v="0"/>
    <x v="59"/>
    <x v="0"/>
    <x v="1"/>
    <x v="2"/>
  </r>
  <r>
    <x v="139"/>
    <x v="181"/>
    <x v="0"/>
    <x v="0"/>
    <x v="1"/>
    <x v="0"/>
    <x v="2"/>
    <x v="3"/>
    <x v="1"/>
    <x v="0"/>
    <x v="0"/>
    <x v="0"/>
    <x v="51"/>
    <x v="0"/>
    <x v="1"/>
    <x v="2"/>
    <x v="1"/>
    <x v="4"/>
    <x v="0"/>
    <x v="0"/>
    <x v="3"/>
    <x v="39"/>
    <x v="85"/>
    <x v="104"/>
    <x v="9"/>
    <x v="53"/>
    <x v="1"/>
    <x v="2"/>
  </r>
  <r>
    <x v="139"/>
    <x v="181"/>
    <x v="0"/>
    <x v="0"/>
    <x v="1"/>
    <x v="0"/>
    <x v="2"/>
    <x v="3"/>
    <x v="1"/>
    <x v="0"/>
    <x v="0"/>
    <x v="0"/>
    <x v="51"/>
    <x v="0"/>
    <x v="1"/>
    <x v="2"/>
    <x v="1"/>
    <x v="4"/>
    <x v="0"/>
    <x v="0"/>
    <x v="3"/>
    <x v="39"/>
    <x v="85"/>
    <x v="0"/>
    <x v="59"/>
    <x v="0"/>
    <x v="1"/>
    <x v="2"/>
  </r>
  <r>
    <x v="139"/>
    <x v="181"/>
    <x v="0"/>
    <x v="0"/>
    <x v="1"/>
    <x v="0"/>
    <x v="2"/>
    <x v="3"/>
    <x v="1"/>
    <x v="0"/>
    <x v="0"/>
    <x v="0"/>
    <x v="51"/>
    <x v="0"/>
    <x v="1"/>
    <x v="2"/>
    <x v="1"/>
    <x v="4"/>
    <x v="0"/>
    <x v="0"/>
    <x v="3"/>
    <x v="39"/>
    <x v="85"/>
    <x v="0"/>
    <x v="59"/>
    <x v="0"/>
    <x v="1"/>
    <x v="2"/>
  </r>
  <r>
    <x v="139"/>
    <x v="181"/>
    <x v="0"/>
    <x v="0"/>
    <x v="1"/>
    <x v="0"/>
    <x v="2"/>
    <x v="3"/>
    <x v="1"/>
    <x v="0"/>
    <x v="0"/>
    <x v="0"/>
    <x v="51"/>
    <x v="0"/>
    <x v="1"/>
    <x v="2"/>
    <x v="1"/>
    <x v="4"/>
    <x v="0"/>
    <x v="0"/>
    <x v="3"/>
    <x v="39"/>
    <x v="85"/>
    <x v="224"/>
    <x v="36"/>
    <x v="175"/>
    <x v="1"/>
    <x v="2"/>
  </r>
  <r>
    <x v="40"/>
    <x v="79"/>
    <x v="0"/>
    <x v="0"/>
    <x v="1"/>
    <x v="0"/>
    <x v="2"/>
    <x v="3"/>
    <x v="1"/>
    <x v="0"/>
    <x v="0"/>
    <x v="0"/>
    <x v="51"/>
    <x v="0"/>
    <x v="0"/>
    <x v="2"/>
    <x v="1"/>
    <x v="4"/>
    <x v="0"/>
    <x v="0"/>
    <x v="3"/>
    <x v="39"/>
    <x v="85"/>
    <x v="0"/>
    <x v="59"/>
    <x v="0"/>
    <x v="1"/>
    <x v="2"/>
  </r>
  <r>
    <x v="40"/>
    <x v="79"/>
    <x v="0"/>
    <x v="0"/>
    <x v="1"/>
    <x v="0"/>
    <x v="2"/>
    <x v="3"/>
    <x v="1"/>
    <x v="0"/>
    <x v="0"/>
    <x v="0"/>
    <x v="51"/>
    <x v="0"/>
    <x v="0"/>
    <x v="2"/>
    <x v="1"/>
    <x v="4"/>
    <x v="0"/>
    <x v="0"/>
    <x v="3"/>
    <x v="39"/>
    <x v="85"/>
    <x v="0"/>
    <x v="59"/>
    <x v="0"/>
    <x v="1"/>
    <x v="2"/>
  </r>
  <r>
    <x v="40"/>
    <x v="79"/>
    <x v="0"/>
    <x v="0"/>
    <x v="1"/>
    <x v="0"/>
    <x v="2"/>
    <x v="3"/>
    <x v="1"/>
    <x v="0"/>
    <x v="0"/>
    <x v="0"/>
    <x v="51"/>
    <x v="0"/>
    <x v="0"/>
    <x v="2"/>
    <x v="1"/>
    <x v="4"/>
    <x v="0"/>
    <x v="0"/>
    <x v="3"/>
    <x v="39"/>
    <x v="85"/>
    <x v="3"/>
    <x v="59"/>
    <x v="1"/>
    <x v="1"/>
    <x v="2"/>
  </r>
  <r>
    <x v="40"/>
    <x v="79"/>
    <x v="0"/>
    <x v="0"/>
    <x v="1"/>
    <x v="0"/>
    <x v="2"/>
    <x v="3"/>
    <x v="1"/>
    <x v="0"/>
    <x v="0"/>
    <x v="0"/>
    <x v="51"/>
    <x v="0"/>
    <x v="0"/>
    <x v="2"/>
    <x v="1"/>
    <x v="4"/>
    <x v="0"/>
    <x v="0"/>
    <x v="3"/>
    <x v="39"/>
    <x v="85"/>
    <x v="4"/>
    <x v="59"/>
    <x v="2"/>
    <x v="1"/>
    <x v="2"/>
  </r>
  <r>
    <x v="604"/>
    <x v="632"/>
    <x v="0"/>
    <x v="0"/>
    <x v="1"/>
    <x v="0"/>
    <x v="2"/>
    <x v="3"/>
    <x v="1"/>
    <x v="0"/>
    <x v="0"/>
    <x v="1"/>
    <x v="47"/>
    <x v="0"/>
    <x v="6"/>
    <x v="2"/>
    <x v="1"/>
    <x v="4"/>
    <x v="0"/>
    <x v="0"/>
    <x v="3"/>
    <x v="52"/>
    <x v="86"/>
    <x v="0"/>
    <x v="59"/>
    <x v="0"/>
    <x v="1"/>
    <x v="2"/>
  </r>
  <r>
    <x v="604"/>
    <x v="632"/>
    <x v="0"/>
    <x v="0"/>
    <x v="1"/>
    <x v="0"/>
    <x v="2"/>
    <x v="3"/>
    <x v="1"/>
    <x v="0"/>
    <x v="0"/>
    <x v="1"/>
    <x v="47"/>
    <x v="0"/>
    <x v="6"/>
    <x v="2"/>
    <x v="1"/>
    <x v="4"/>
    <x v="0"/>
    <x v="0"/>
    <x v="3"/>
    <x v="52"/>
    <x v="86"/>
    <x v="0"/>
    <x v="59"/>
    <x v="0"/>
    <x v="1"/>
    <x v="2"/>
  </r>
  <r>
    <x v="604"/>
    <x v="632"/>
    <x v="0"/>
    <x v="0"/>
    <x v="1"/>
    <x v="0"/>
    <x v="2"/>
    <x v="3"/>
    <x v="1"/>
    <x v="0"/>
    <x v="0"/>
    <x v="1"/>
    <x v="47"/>
    <x v="0"/>
    <x v="6"/>
    <x v="2"/>
    <x v="1"/>
    <x v="4"/>
    <x v="0"/>
    <x v="0"/>
    <x v="3"/>
    <x v="52"/>
    <x v="86"/>
    <x v="5"/>
    <x v="59"/>
    <x v="4"/>
    <x v="1"/>
    <x v="2"/>
  </r>
  <r>
    <x v="604"/>
    <x v="632"/>
    <x v="0"/>
    <x v="0"/>
    <x v="1"/>
    <x v="0"/>
    <x v="2"/>
    <x v="3"/>
    <x v="1"/>
    <x v="0"/>
    <x v="0"/>
    <x v="1"/>
    <x v="47"/>
    <x v="0"/>
    <x v="6"/>
    <x v="2"/>
    <x v="1"/>
    <x v="4"/>
    <x v="0"/>
    <x v="0"/>
    <x v="3"/>
    <x v="52"/>
    <x v="86"/>
    <x v="49"/>
    <x v="59"/>
    <x v="37"/>
    <x v="1"/>
    <x v="2"/>
  </r>
  <r>
    <x v="512"/>
    <x v="541"/>
    <x v="0"/>
    <x v="0"/>
    <x v="1"/>
    <x v="0"/>
    <x v="2"/>
    <x v="3"/>
    <x v="1"/>
    <x v="0"/>
    <x v="0"/>
    <x v="1"/>
    <x v="47"/>
    <x v="0"/>
    <x v="5"/>
    <x v="2"/>
    <x v="1"/>
    <x v="4"/>
    <x v="0"/>
    <x v="0"/>
    <x v="3"/>
    <x v="52"/>
    <x v="86"/>
    <x v="0"/>
    <x v="59"/>
    <x v="0"/>
    <x v="1"/>
    <x v="2"/>
  </r>
  <r>
    <x v="512"/>
    <x v="541"/>
    <x v="0"/>
    <x v="0"/>
    <x v="1"/>
    <x v="0"/>
    <x v="2"/>
    <x v="3"/>
    <x v="1"/>
    <x v="0"/>
    <x v="0"/>
    <x v="1"/>
    <x v="47"/>
    <x v="0"/>
    <x v="5"/>
    <x v="2"/>
    <x v="1"/>
    <x v="4"/>
    <x v="0"/>
    <x v="0"/>
    <x v="3"/>
    <x v="52"/>
    <x v="86"/>
    <x v="58"/>
    <x v="2"/>
    <x v="41"/>
    <x v="1"/>
    <x v="2"/>
  </r>
  <r>
    <x v="512"/>
    <x v="541"/>
    <x v="0"/>
    <x v="0"/>
    <x v="1"/>
    <x v="0"/>
    <x v="2"/>
    <x v="3"/>
    <x v="1"/>
    <x v="0"/>
    <x v="0"/>
    <x v="1"/>
    <x v="47"/>
    <x v="0"/>
    <x v="5"/>
    <x v="2"/>
    <x v="1"/>
    <x v="4"/>
    <x v="0"/>
    <x v="0"/>
    <x v="3"/>
    <x v="52"/>
    <x v="86"/>
    <x v="109"/>
    <x v="5"/>
    <x v="80"/>
    <x v="1"/>
    <x v="2"/>
  </r>
  <r>
    <x v="512"/>
    <x v="541"/>
    <x v="0"/>
    <x v="0"/>
    <x v="1"/>
    <x v="0"/>
    <x v="2"/>
    <x v="3"/>
    <x v="1"/>
    <x v="0"/>
    <x v="0"/>
    <x v="1"/>
    <x v="47"/>
    <x v="0"/>
    <x v="5"/>
    <x v="2"/>
    <x v="1"/>
    <x v="4"/>
    <x v="0"/>
    <x v="0"/>
    <x v="3"/>
    <x v="52"/>
    <x v="86"/>
    <x v="0"/>
    <x v="59"/>
    <x v="0"/>
    <x v="1"/>
    <x v="2"/>
  </r>
  <r>
    <x v="422"/>
    <x v="453"/>
    <x v="0"/>
    <x v="0"/>
    <x v="1"/>
    <x v="0"/>
    <x v="2"/>
    <x v="3"/>
    <x v="1"/>
    <x v="0"/>
    <x v="0"/>
    <x v="1"/>
    <x v="47"/>
    <x v="0"/>
    <x v="4"/>
    <x v="2"/>
    <x v="1"/>
    <x v="4"/>
    <x v="0"/>
    <x v="0"/>
    <x v="3"/>
    <x v="52"/>
    <x v="86"/>
    <x v="152"/>
    <x v="8"/>
    <x v="96"/>
    <x v="1"/>
    <x v="2"/>
  </r>
  <r>
    <x v="422"/>
    <x v="453"/>
    <x v="0"/>
    <x v="0"/>
    <x v="1"/>
    <x v="0"/>
    <x v="2"/>
    <x v="3"/>
    <x v="1"/>
    <x v="0"/>
    <x v="0"/>
    <x v="1"/>
    <x v="47"/>
    <x v="0"/>
    <x v="4"/>
    <x v="2"/>
    <x v="1"/>
    <x v="4"/>
    <x v="0"/>
    <x v="0"/>
    <x v="3"/>
    <x v="52"/>
    <x v="86"/>
    <x v="0"/>
    <x v="59"/>
    <x v="0"/>
    <x v="1"/>
    <x v="2"/>
  </r>
  <r>
    <x v="422"/>
    <x v="453"/>
    <x v="0"/>
    <x v="0"/>
    <x v="1"/>
    <x v="0"/>
    <x v="2"/>
    <x v="3"/>
    <x v="1"/>
    <x v="0"/>
    <x v="0"/>
    <x v="1"/>
    <x v="47"/>
    <x v="0"/>
    <x v="4"/>
    <x v="2"/>
    <x v="1"/>
    <x v="4"/>
    <x v="0"/>
    <x v="0"/>
    <x v="3"/>
    <x v="52"/>
    <x v="86"/>
    <x v="177"/>
    <x v="20"/>
    <x v="149"/>
    <x v="1"/>
    <x v="2"/>
  </r>
  <r>
    <x v="422"/>
    <x v="453"/>
    <x v="0"/>
    <x v="0"/>
    <x v="1"/>
    <x v="0"/>
    <x v="2"/>
    <x v="3"/>
    <x v="1"/>
    <x v="0"/>
    <x v="0"/>
    <x v="1"/>
    <x v="47"/>
    <x v="0"/>
    <x v="4"/>
    <x v="2"/>
    <x v="1"/>
    <x v="4"/>
    <x v="0"/>
    <x v="0"/>
    <x v="3"/>
    <x v="52"/>
    <x v="86"/>
    <x v="0"/>
    <x v="59"/>
    <x v="0"/>
    <x v="1"/>
    <x v="2"/>
  </r>
  <r>
    <x v="333"/>
    <x v="363"/>
    <x v="0"/>
    <x v="0"/>
    <x v="1"/>
    <x v="0"/>
    <x v="2"/>
    <x v="3"/>
    <x v="1"/>
    <x v="0"/>
    <x v="0"/>
    <x v="1"/>
    <x v="47"/>
    <x v="0"/>
    <x v="3"/>
    <x v="2"/>
    <x v="1"/>
    <x v="4"/>
    <x v="0"/>
    <x v="0"/>
    <x v="3"/>
    <x v="52"/>
    <x v="86"/>
    <x v="0"/>
    <x v="59"/>
    <x v="0"/>
    <x v="1"/>
    <x v="2"/>
  </r>
  <r>
    <x v="333"/>
    <x v="363"/>
    <x v="0"/>
    <x v="0"/>
    <x v="1"/>
    <x v="0"/>
    <x v="2"/>
    <x v="3"/>
    <x v="1"/>
    <x v="0"/>
    <x v="0"/>
    <x v="1"/>
    <x v="47"/>
    <x v="0"/>
    <x v="3"/>
    <x v="2"/>
    <x v="1"/>
    <x v="4"/>
    <x v="0"/>
    <x v="0"/>
    <x v="3"/>
    <x v="52"/>
    <x v="86"/>
    <x v="68"/>
    <x v="2"/>
    <x v="40"/>
    <x v="1"/>
    <x v="2"/>
  </r>
  <r>
    <x v="333"/>
    <x v="363"/>
    <x v="0"/>
    <x v="0"/>
    <x v="1"/>
    <x v="0"/>
    <x v="2"/>
    <x v="3"/>
    <x v="1"/>
    <x v="0"/>
    <x v="0"/>
    <x v="1"/>
    <x v="47"/>
    <x v="0"/>
    <x v="3"/>
    <x v="2"/>
    <x v="1"/>
    <x v="4"/>
    <x v="0"/>
    <x v="0"/>
    <x v="3"/>
    <x v="52"/>
    <x v="86"/>
    <x v="234"/>
    <x v="40"/>
    <x v="194"/>
    <x v="1"/>
    <x v="2"/>
  </r>
  <r>
    <x v="333"/>
    <x v="363"/>
    <x v="0"/>
    <x v="0"/>
    <x v="1"/>
    <x v="0"/>
    <x v="2"/>
    <x v="3"/>
    <x v="1"/>
    <x v="0"/>
    <x v="0"/>
    <x v="1"/>
    <x v="47"/>
    <x v="0"/>
    <x v="3"/>
    <x v="2"/>
    <x v="1"/>
    <x v="4"/>
    <x v="0"/>
    <x v="0"/>
    <x v="3"/>
    <x v="52"/>
    <x v="86"/>
    <x v="0"/>
    <x v="59"/>
    <x v="0"/>
    <x v="1"/>
    <x v="2"/>
  </r>
  <r>
    <x v="243"/>
    <x v="272"/>
    <x v="0"/>
    <x v="0"/>
    <x v="1"/>
    <x v="0"/>
    <x v="2"/>
    <x v="3"/>
    <x v="1"/>
    <x v="0"/>
    <x v="0"/>
    <x v="1"/>
    <x v="47"/>
    <x v="0"/>
    <x v="2"/>
    <x v="2"/>
    <x v="1"/>
    <x v="4"/>
    <x v="0"/>
    <x v="0"/>
    <x v="3"/>
    <x v="52"/>
    <x v="86"/>
    <x v="168"/>
    <x v="16"/>
    <x v="117"/>
    <x v="1"/>
    <x v="2"/>
  </r>
  <r>
    <x v="243"/>
    <x v="272"/>
    <x v="0"/>
    <x v="0"/>
    <x v="1"/>
    <x v="0"/>
    <x v="2"/>
    <x v="3"/>
    <x v="1"/>
    <x v="0"/>
    <x v="0"/>
    <x v="1"/>
    <x v="47"/>
    <x v="0"/>
    <x v="2"/>
    <x v="2"/>
    <x v="1"/>
    <x v="4"/>
    <x v="0"/>
    <x v="0"/>
    <x v="3"/>
    <x v="52"/>
    <x v="86"/>
    <x v="0"/>
    <x v="59"/>
    <x v="0"/>
    <x v="1"/>
    <x v="2"/>
  </r>
  <r>
    <x v="243"/>
    <x v="272"/>
    <x v="0"/>
    <x v="0"/>
    <x v="1"/>
    <x v="0"/>
    <x v="2"/>
    <x v="3"/>
    <x v="1"/>
    <x v="0"/>
    <x v="0"/>
    <x v="1"/>
    <x v="47"/>
    <x v="0"/>
    <x v="2"/>
    <x v="2"/>
    <x v="1"/>
    <x v="4"/>
    <x v="0"/>
    <x v="0"/>
    <x v="3"/>
    <x v="52"/>
    <x v="86"/>
    <x v="0"/>
    <x v="59"/>
    <x v="0"/>
    <x v="1"/>
    <x v="2"/>
  </r>
  <r>
    <x v="243"/>
    <x v="272"/>
    <x v="0"/>
    <x v="0"/>
    <x v="1"/>
    <x v="0"/>
    <x v="2"/>
    <x v="3"/>
    <x v="1"/>
    <x v="0"/>
    <x v="0"/>
    <x v="1"/>
    <x v="47"/>
    <x v="0"/>
    <x v="2"/>
    <x v="2"/>
    <x v="1"/>
    <x v="4"/>
    <x v="0"/>
    <x v="0"/>
    <x v="3"/>
    <x v="52"/>
    <x v="86"/>
    <x v="160"/>
    <x v="15"/>
    <x v="114"/>
    <x v="1"/>
    <x v="2"/>
  </r>
  <r>
    <x v="152"/>
    <x v="182"/>
    <x v="0"/>
    <x v="0"/>
    <x v="1"/>
    <x v="0"/>
    <x v="2"/>
    <x v="3"/>
    <x v="1"/>
    <x v="0"/>
    <x v="0"/>
    <x v="1"/>
    <x v="47"/>
    <x v="0"/>
    <x v="1"/>
    <x v="2"/>
    <x v="1"/>
    <x v="4"/>
    <x v="0"/>
    <x v="0"/>
    <x v="3"/>
    <x v="52"/>
    <x v="86"/>
    <x v="163"/>
    <x v="17"/>
    <x v="95"/>
    <x v="1"/>
    <x v="2"/>
  </r>
  <r>
    <x v="152"/>
    <x v="182"/>
    <x v="0"/>
    <x v="0"/>
    <x v="1"/>
    <x v="0"/>
    <x v="2"/>
    <x v="3"/>
    <x v="1"/>
    <x v="0"/>
    <x v="0"/>
    <x v="1"/>
    <x v="47"/>
    <x v="0"/>
    <x v="1"/>
    <x v="2"/>
    <x v="1"/>
    <x v="4"/>
    <x v="0"/>
    <x v="0"/>
    <x v="3"/>
    <x v="52"/>
    <x v="86"/>
    <x v="144"/>
    <x v="14"/>
    <x v="80"/>
    <x v="1"/>
    <x v="2"/>
  </r>
  <r>
    <x v="152"/>
    <x v="182"/>
    <x v="0"/>
    <x v="0"/>
    <x v="1"/>
    <x v="0"/>
    <x v="2"/>
    <x v="3"/>
    <x v="1"/>
    <x v="0"/>
    <x v="0"/>
    <x v="1"/>
    <x v="47"/>
    <x v="0"/>
    <x v="1"/>
    <x v="2"/>
    <x v="1"/>
    <x v="4"/>
    <x v="0"/>
    <x v="0"/>
    <x v="3"/>
    <x v="52"/>
    <x v="86"/>
    <x v="0"/>
    <x v="59"/>
    <x v="0"/>
    <x v="1"/>
    <x v="2"/>
  </r>
  <r>
    <x v="152"/>
    <x v="182"/>
    <x v="0"/>
    <x v="0"/>
    <x v="1"/>
    <x v="0"/>
    <x v="2"/>
    <x v="3"/>
    <x v="1"/>
    <x v="0"/>
    <x v="0"/>
    <x v="1"/>
    <x v="47"/>
    <x v="0"/>
    <x v="1"/>
    <x v="2"/>
    <x v="1"/>
    <x v="4"/>
    <x v="0"/>
    <x v="0"/>
    <x v="3"/>
    <x v="52"/>
    <x v="86"/>
    <x v="0"/>
    <x v="59"/>
    <x v="0"/>
    <x v="1"/>
    <x v="2"/>
  </r>
  <r>
    <x v="52"/>
    <x v="80"/>
    <x v="0"/>
    <x v="0"/>
    <x v="1"/>
    <x v="0"/>
    <x v="2"/>
    <x v="3"/>
    <x v="1"/>
    <x v="0"/>
    <x v="0"/>
    <x v="1"/>
    <x v="47"/>
    <x v="0"/>
    <x v="0"/>
    <x v="2"/>
    <x v="1"/>
    <x v="4"/>
    <x v="0"/>
    <x v="0"/>
    <x v="3"/>
    <x v="52"/>
    <x v="86"/>
    <x v="0"/>
    <x v="59"/>
    <x v="0"/>
    <x v="1"/>
    <x v="2"/>
  </r>
  <r>
    <x v="52"/>
    <x v="80"/>
    <x v="0"/>
    <x v="0"/>
    <x v="1"/>
    <x v="0"/>
    <x v="2"/>
    <x v="3"/>
    <x v="1"/>
    <x v="0"/>
    <x v="0"/>
    <x v="1"/>
    <x v="47"/>
    <x v="0"/>
    <x v="0"/>
    <x v="2"/>
    <x v="1"/>
    <x v="4"/>
    <x v="0"/>
    <x v="0"/>
    <x v="3"/>
    <x v="52"/>
    <x v="86"/>
    <x v="0"/>
    <x v="59"/>
    <x v="0"/>
    <x v="1"/>
    <x v="2"/>
  </r>
  <r>
    <x v="52"/>
    <x v="80"/>
    <x v="0"/>
    <x v="0"/>
    <x v="1"/>
    <x v="0"/>
    <x v="2"/>
    <x v="3"/>
    <x v="1"/>
    <x v="0"/>
    <x v="0"/>
    <x v="1"/>
    <x v="47"/>
    <x v="0"/>
    <x v="0"/>
    <x v="2"/>
    <x v="1"/>
    <x v="4"/>
    <x v="0"/>
    <x v="0"/>
    <x v="3"/>
    <x v="52"/>
    <x v="86"/>
    <x v="14"/>
    <x v="59"/>
    <x v="7"/>
    <x v="1"/>
    <x v="2"/>
  </r>
  <r>
    <x v="52"/>
    <x v="80"/>
    <x v="0"/>
    <x v="0"/>
    <x v="1"/>
    <x v="0"/>
    <x v="2"/>
    <x v="3"/>
    <x v="1"/>
    <x v="0"/>
    <x v="0"/>
    <x v="1"/>
    <x v="47"/>
    <x v="0"/>
    <x v="0"/>
    <x v="2"/>
    <x v="1"/>
    <x v="4"/>
    <x v="0"/>
    <x v="0"/>
    <x v="3"/>
    <x v="52"/>
    <x v="86"/>
    <x v="2"/>
    <x v="59"/>
    <x v="0"/>
    <x v="1"/>
    <x v="2"/>
  </r>
  <r>
    <x v="602"/>
    <x v="633"/>
    <x v="0"/>
    <x v="0"/>
    <x v="1"/>
    <x v="0"/>
    <x v="2"/>
    <x v="3"/>
    <x v="1"/>
    <x v="0"/>
    <x v="0"/>
    <x v="2"/>
    <x v="41"/>
    <x v="0"/>
    <x v="6"/>
    <x v="2"/>
    <x v="1"/>
    <x v="4"/>
    <x v="0"/>
    <x v="0"/>
    <x v="3"/>
    <x v="50"/>
    <x v="87"/>
    <x v="0"/>
    <x v="59"/>
    <x v="0"/>
    <x v="1"/>
    <x v="2"/>
  </r>
  <r>
    <x v="602"/>
    <x v="633"/>
    <x v="0"/>
    <x v="0"/>
    <x v="1"/>
    <x v="0"/>
    <x v="2"/>
    <x v="3"/>
    <x v="1"/>
    <x v="0"/>
    <x v="0"/>
    <x v="2"/>
    <x v="41"/>
    <x v="0"/>
    <x v="6"/>
    <x v="2"/>
    <x v="1"/>
    <x v="4"/>
    <x v="0"/>
    <x v="0"/>
    <x v="3"/>
    <x v="50"/>
    <x v="87"/>
    <x v="0"/>
    <x v="59"/>
    <x v="0"/>
    <x v="1"/>
    <x v="2"/>
  </r>
  <r>
    <x v="602"/>
    <x v="633"/>
    <x v="0"/>
    <x v="0"/>
    <x v="1"/>
    <x v="0"/>
    <x v="2"/>
    <x v="3"/>
    <x v="1"/>
    <x v="0"/>
    <x v="0"/>
    <x v="2"/>
    <x v="41"/>
    <x v="0"/>
    <x v="6"/>
    <x v="2"/>
    <x v="1"/>
    <x v="4"/>
    <x v="0"/>
    <x v="0"/>
    <x v="3"/>
    <x v="50"/>
    <x v="87"/>
    <x v="0"/>
    <x v="59"/>
    <x v="0"/>
    <x v="1"/>
    <x v="2"/>
  </r>
  <r>
    <x v="602"/>
    <x v="633"/>
    <x v="0"/>
    <x v="0"/>
    <x v="1"/>
    <x v="0"/>
    <x v="2"/>
    <x v="3"/>
    <x v="1"/>
    <x v="0"/>
    <x v="0"/>
    <x v="2"/>
    <x v="41"/>
    <x v="0"/>
    <x v="6"/>
    <x v="2"/>
    <x v="1"/>
    <x v="4"/>
    <x v="0"/>
    <x v="0"/>
    <x v="3"/>
    <x v="50"/>
    <x v="87"/>
    <x v="0"/>
    <x v="59"/>
    <x v="0"/>
    <x v="1"/>
    <x v="2"/>
  </r>
  <r>
    <x v="510"/>
    <x v="542"/>
    <x v="0"/>
    <x v="0"/>
    <x v="1"/>
    <x v="0"/>
    <x v="2"/>
    <x v="3"/>
    <x v="1"/>
    <x v="0"/>
    <x v="0"/>
    <x v="2"/>
    <x v="41"/>
    <x v="0"/>
    <x v="5"/>
    <x v="2"/>
    <x v="1"/>
    <x v="4"/>
    <x v="0"/>
    <x v="0"/>
    <x v="3"/>
    <x v="50"/>
    <x v="87"/>
    <x v="0"/>
    <x v="59"/>
    <x v="0"/>
    <x v="1"/>
    <x v="2"/>
  </r>
  <r>
    <x v="510"/>
    <x v="542"/>
    <x v="0"/>
    <x v="0"/>
    <x v="1"/>
    <x v="0"/>
    <x v="2"/>
    <x v="3"/>
    <x v="1"/>
    <x v="0"/>
    <x v="0"/>
    <x v="2"/>
    <x v="41"/>
    <x v="0"/>
    <x v="5"/>
    <x v="2"/>
    <x v="1"/>
    <x v="4"/>
    <x v="0"/>
    <x v="0"/>
    <x v="3"/>
    <x v="50"/>
    <x v="87"/>
    <x v="0"/>
    <x v="59"/>
    <x v="0"/>
    <x v="1"/>
    <x v="2"/>
  </r>
  <r>
    <x v="510"/>
    <x v="542"/>
    <x v="0"/>
    <x v="0"/>
    <x v="1"/>
    <x v="0"/>
    <x v="2"/>
    <x v="3"/>
    <x v="1"/>
    <x v="0"/>
    <x v="0"/>
    <x v="2"/>
    <x v="41"/>
    <x v="0"/>
    <x v="5"/>
    <x v="2"/>
    <x v="1"/>
    <x v="4"/>
    <x v="0"/>
    <x v="0"/>
    <x v="3"/>
    <x v="50"/>
    <x v="87"/>
    <x v="0"/>
    <x v="59"/>
    <x v="0"/>
    <x v="1"/>
    <x v="2"/>
  </r>
  <r>
    <x v="510"/>
    <x v="542"/>
    <x v="0"/>
    <x v="0"/>
    <x v="1"/>
    <x v="0"/>
    <x v="2"/>
    <x v="3"/>
    <x v="1"/>
    <x v="0"/>
    <x v="0"/>
    <x v="2"/>
    <x v="41"/>
    <x v="0"/>
    <x v="5"/>
    <x v="2"/>
    <x v="1"/>
    <x v="4"/>
    <x v="0"/>
    <x v="0"/>
    <x v="3"/>
    <x v="50"/>
    <x v="87"/>
    <x v="0"/>
    <x v="59"/>
    <x v="0"/>
    <x v="1"/>
    <x v="2"/>
  </r>
  <r>
    <x v="420"/>
    <x v="454"/>
    <x v="0"/>
    <x v="0"/>
    <x v="1"/>
    <x v="0"/>
    <x v="2"/>
    <x v="3"/>
    <x v="1"/>
    <x v="0"/>
    <x v="0"/>
    <x v="2"/>
    <x v="41"/>
    <x v="0"/>
    <x v="4"/>
    <x v="2"/>
    <x v="1"/>
    <x v="4"/>
    <x v="0"/>
    <x v="0"/>
    <x v="3"/>
    <x v="50"/>
    <x v="87"/>
    <x v="0"/>
    <x v="59"/>
    <x v="0"/>
    <x v="1"/>
    <x v="2"/>
  </r>
  <r>
    <x v="420"/>
    <x v="454"/>
    <x v="0"/>
    <x v="0"/>
    <x v="1"/>
    <x v="0"/>
    <x v="2"/>
    <x v="3"/>
    <x v="1"/>
    <x v="0"/>
    <x v="0"/>
    <x v="2"/>
    <x v="41"/>
    <x v="0"/>
    <x v="4"/>
    <x v="2"/>
    <x v="1"/>
    <x v="4"/>
    <x v="0"/>
    <x v="0"/>
    <x v="3"/>
    <x v="50"/>
    <x v="87"/>
    <x v="0"/>
    <x v="59"/>
    <x v="0"/>
    <x v="1"/>
    <x v="2"/>
  </r>
  <r>
    <x v="420"/>
    <x v="454"/>
    <x v="0"/>
    <x v="0"/>
    <x v="1"/>
    <x v="0"/>
    <x v="2"/>
    <x v="3"/>
    <x v="1"/>
    <x v="0"/>
    <x v="0"/>
    <x v="2"/>
    <x v="41"/>
    <x v="0"/>
    <x v="4"/>
    <x v="2"/>
    <x v="1"/>
    <x v="4"/>
    <x v="0"/>
    <x v="0"/>
    <x v="3"/>
    <x v="50"/>
    <x v="87"/>
    <x v="0"/>
    <x v="59"/>
    <x v="0"/>
    <x v="1"/>
    <x v="2"/>
  </r>
  <r>
    <x v="420"/>
    <x v="454"/>
    <x v="0"/>
    <x v="0"/>
    <x v="1"/>
    <x v="0"/>
    <x v="2"/>
    <x v="3"/>
    <x v="1"/>
    <x v="0"/>
    <x v="0"/>
    <x v="2"/>
    <x v="41"/>
    <x v="0"/>
    <x v="4"/>
    <x v="2"/>
    <x v="1"/>
    <x v="4"/>
    <x v="0"/>
    <x v="0"/>
    <x v="3"/>
    <x v="50"/>
    <x v="87"/>
    <x v="0"/>
    <x v="59"/>
    <x v="0"/>
    <x v="1"/>
    <x v="2"/>
  </r>
  <r>
    <x v="331"/>
    <x v="364"/>
    <x v="0"/>
    <x v="0"/>
    <x v="1"/>
    <x v="0"/>
    <x v="2"/>
    <x v="3"/>
    <x v="1"/>
    <x v="0"/>
    <x v="0"/>
    <x v="2"/>
    <x v="41"/>
    <x v="0"/>
    <x v="3"/>
    <x v="2"/>
    <x v="1"/>
    <x v="4"/>
    <x v="0"/>
    <x v="0"/>
    <x v="3"/>
    <x v="50"/>
    <x v="87"/>
    <x v="0"/>
    <x v="59"/>
    <x v="0"/>
    <x v="1"/>
    <x v="2"/>
  </r>
  <r>
    <x v="331"/>
    <x v="364"/>
    <x v="0"/>
    <x v="0"/>
    <x v="1"/>
    <x v="0"/>
    <x v="2"/>
    <x v="3"/>
    <x v="1"/>
    <x v="0"/>
    <x v="0"/>
    <x v="2"/>
    <x v="41"/>
    <x v="0"/>
    <x v="3"/>
    <x v="2"/>
    <x v="1"/>
    <x v="4"/>
    <x v="0"/>
    <x v="0"/>
    <x v="3"/>
    <x v="50"/>
    <x v="87"/>
    <x v="0"/>
    <x v="59"/>
    <x v="0"/>
    <x v="1"/>
    <x v="2"/>
  </r>
  <r>
    <x v="331"/>
    <x v="364"/>
    <x v="0"/>
    <x v="0"/>
    <x v="1"/>
    <x v="0"/>
    <x v="2"/>
    <x v="3"/>
    <x v="1"/>
    <x v="0"/>
    <x v="0"/>
    <x v="2"/>
    <x v="41"/>
    <x v="0"/>
    <x v="3"/>
    <x v="2"/>
    <x v="1"/>
    <x v="4"/>
    <x v="0"/>
    <x v="0"/>
    <x v="3"/>
    <x v="50"/>
    <x v="87"/>
    <x v="0"/>
    <x v="59"/>
    <x v="0"/>
    <x v="1"/>
    <x v="2"/>
  </r>
  <r>
    <x v="331"/>
    <x v="364"/>
    <x v="0"/>
    <x v="0"/>
    <x v="1"/>
    <x v="0"/>
    <x v="2"/>
    <x v="3"/>
    <x v="1"/>
    <x v="0"/>
    <x v="0"/>
    <x v="2"/>
    <x v="41"/>
    <x v="0"/>
    <x v="3"/>
    <x v="2"/>
    <x v="1"/>
    <x v="4"/>
    <x v="0"/>
    <x v="0"/>
    <x v="3"/>
    <x v="50"/>
    <x v="87"/>
    <x v="0"/>
    <x v="59"/>
    <x v="0"/>
    <x v="1"/>
    <x v="2"/>
  </r>
  <r>
    <x v="241"/>
    <x v="273"/>
    <x v="0"/>
    <x v="0"/>
    <x v="1"/>
    <x v="0"/>
    <x v="2"/>
    <x v="3"/>
    <x v="1"/>
    <x v="0"/>
    <x v="0"/>
    <x v="2"/>
    <x v="41"/>
    <x v="0"/>
    <x v="2"/>
    <x v="2"/>
    <x v="1"/>
    <x v="4"/>
    <x v="0"/>
    <x v="0"/>
    <x v="3"/>
    <x v="50"/>
    <x v="87"/>
    <x v="0"/>
    <x v="59"/>
    <x v="0"/>
    <x v="1"/>
    <x v="2"/>
  </r>
  <r>
    <x v="241"/>
    <x v="273"/>
    <x v="0"/>
    <x v="0"/>
    <x v="1"/>
    <x v="0"/>
    <x v="2"/>
    <x v="3"/>
    <x v="1"/>
    <x v="0"/>
    <x v="0"/>
    <x v="2"/>
    <x v="41"/>
    <x v="0"/>
    <x v="2"/>
    <x v="2"/>
    <x v="1"/>
    <x v="4"/>
    <x v="0"/>
    <x v="0"/>
    <x v="3"/>
    <x v="50"/>
    <x v="87"/>
    <x v="0"/>
    <x v="59"/>
    <x v="0"/>
    <x v="1"/>
    <x v="2"/>
  </r>
  <r>
    <x v="241"/>
    <x v="273"/>
    <x v="0"/>
    <x v="0"/>
    <x v="1"/>
    <x v="0"/>
    <x v="2"/>
    <x v="3"/>
    <x v="1"/>
    <x v="0"/>
    <x v="0"/>
    <x v="2"/>
    <x v="41"/>
    <x v="0"/>
    <x v="2"/>
    <x v="2"/>
    <x v="1"/>
    <x v="4"/>
    <x v="0"/>
    <x v="0"/>
    <x v="3"/>
    <x v="50"/>
    <x v="87"/>
    <x v="0"/>
    <x v="59"/>
    <x v="0"/>
    <x v="1"/>
    <x v="2"/>
  </r>
  <r>
    <x v="241"/>
    <x v="273"/>
    <x v="0"/>
    <x v="0"/>
    <x v="1"/>
    <x v="0"/>
    <x v="2"/>
    <x v="3"/>
    <x v="1"/>
    <x v="0"/>
    <x v="0"/>
    <x v="2"/>
    <x v="41"/>
    <x v="0"/>
    <x v="2"/>
    <x v="2"/>
    <x v="1"/>
    <x v="4"/>
    <x v="0"/>
    <x v="0"/>
    <x v="3"/>
    <x v="50"/>
    <x v="87"/>
    <x v="0"/>
    <x v="59"/>
    <x v="0"/>
    <x v="1"/>
    <x v="2"/>
  </r>
  <r>
    <x v="150"/>
    <x v="183"/>
    <x v="0"/>
    <x v="0"/>
    <x v="1"/>
    <x v="0"/>
    <x v="2"/>
    <x v="3"/>
    <x v="1"/>
    <x v="0"/>
    <x v="0"/>
    <x v="2"/>
    <x v="41"/>
    <x v="0"/>
    <x v="1"/>
    <x v="2"/>
    <x v="1"/>
    <x v="4"/>
    <x v="0"/>
    <x v="0"/>
    <x v="3"/>
    <x v="50"/>
    <x v="87"/>
    <x v="0"/>
    <x v="59"/>
    <x v="0"/>
    <x v="1"/>
    <x v="2"/>
  </r>
  <r>
    <x v="150"/>
    <x v="183"/>
    <x v="0"/>
    <x v="0"/>
    <x v="1"/>
    <x v="0"/>
    <x v="2"/>
    <x v="3"/>
    <x v="1"/>
    <x v="0"/>
    <x v="0"/>
    <x v="2"/>
    <x v="41"/>
    <x v="0"/>
    <x v="1"/>
    <x v="2"/>
    <x v="1"/>
    <x v="4"/>
    <x v="0"/>
    <x v="0"/>
    <x v="3"/>
    <x v="50"/>
    <x v="87"/>
    <x v="1"/>
    <x v="59"/>
    <x v="1"/>
    <x v="1"/>
    <x v="2"/>
  </r>
  <r>
    <x v="150"/>
    <x v="183"/>
    <x v="0"/>
    <x v="0"/>
    <x v="1"/>
    <x v="0"/>
    <x v="2"/>
    <x v="3"/>
    <x v="1"/>
    <x v="0"/>
    <x v="0"/>
    <x v="2"/>
    <x v="41"/>
    <x v="0"/>
    <x v="1"/>
    <x v="2"/>
    <x v="1"/>
    <x v="4"/>
    <x v="0"/>
    <x v="0"/>
    <x v="3"/>
    <x v="50"/>
    <x v="87"/>
    <x v="6"/>
    <x v="59"/>
    <x v="4"/>
    <x v="1"/>
    <x v="2"/>
  </r>
  <r>
    <x v="150"/>
    <x v="183"/>
    <x v="0"/>
    <x v="0"/>
    <x v="1"/>
    <x v="0"/>
    <x v="2"/>
    <x v="3"/>
    <x v="1"/>
    <x v="0"/>
    <x v="0"/>
    <x v="2"/>
    <x v="41"/>
    <x v="0"/>
    <x v="1"/>
    <x v="2"/>
    <x v="1"/>
    <x v="4"/>
    <x v="0"/>
    <x v="0"/>
    <x v="3"/>
    <x v="50"/>
    <x v="87"/>
    <x v="0"/>
    <x v="59"/>
    <x v="0"/>
    <x v="1"/>
    <x v="2"/>
  </r>
  <r>
    <x v="50"/>
    <x v="81"/>
    <x v="0"/>
    <x v="0"/>
    <x v="1"/>
    <x v="0"/>
    <x v="2"/>
    <x v="3"/>
    <x v="1"/>
    <x v="0"/>
    <x v="0"/>
    <x v="2"/>
    <x v="41"/>
    <x v="0"/>
    <x v="0"/>
    <x v="2"/>
    <x v="1"/>
    <x v="4"/>
    <x v="0"/>
    <x v="0"/>
    <x v="3"/>
    <x v="50"/>
    <x v="87"/>
    <x v="0"/>
    <x v="59"/>
    <x v="0"/>
    <x v="1"/>
    <x v="2"/>
  </r>
  <r>
    <x v="50"/>
    <x v="81"/>
    <x v="0"/>
    <x v="0"/>
    <x v="1"/>
    <x v="0"/>
    <x v="2"/>
    <x v="3"/>
    <x v="1"/>
    <x v="0"/>
    <x v="0"/>
    <x v="2"/>
    <x v="41"/>
    <x v="0"/>
    <x v="0"/>
    <x v="2"/>
    <x v="1"/>
    <x v="4"/>
    <x v="0"/>
    <x v="0"/>
    <x v="3"/>
    <x v="50"/>
    <x v="87"/>
    <x v="0"/>
    <x v="59"/>
    <x v="0"/>
    <x v="1"/>
    <x v="2"/>
  </r>
  <r>
    <x v="50"/>
    <x v="81"/>
    <x v="0"/>
    <x v="0"/>
    <x v="1"/>
    <x v="0"/>
    <x v="2"/>
    <x v="3"/>
    <x v="1"/>
    <x v="0"/>
    <x v="0"/>
    <x v="2"/>
    <x v="41"/>
    <x v="0"/>
    <x v="0"/>
    <x v="2"/>
    <x v="1"/>
    <x v="4"/>
    <x v="0"/>
    <x v="0"/>
    <x v="3"/>
    <x v="50"/>
    <x v="87"/>
    <x v="11"/>
    <x v="1"/>
    <x v="6"/>
    <x v="1"/>
    <x v="2"/>
  </r>
  <r>
    <x v="50"/>
    <x v="81"/>
    <x v="0"/>
    <x v="0"/>
    <x v="1"/>
    <x v="0"/>
    <x v="2"/>
    <x v="3"/>
    <x v="1"/>
    <x v="0"/>
    <x v="0"/>
    <x v="2"/>
    <x v="41"/>
    <x v="0"/>
    <x v="0"/>
    <x v="2"/>
    <x v="1"/>
    <x v="4"/>
    <x v="0"/>
    <x v="0"/>
    <x v="3"/>
    <x v="50"/>
    <x v="87"/>
    <x v="27"/>
    <x v="1"/>
    <x v="17"/>
    <x v="1"/>
    <x v="2"/>
  </r>
  <r>
    <x v="615"/>
    <x v="594"/>
    <x v="0"/>
    <x v="0"/>
    <x v="1"/>
    <x v="0"/>
    <x v="2"/>
    <x v="3"/>
    <x v="1"/>
    <x v="0"/>
    <x v="0"/>
    <x v="9"/>
    <x v="64"/>
    <x v="0"/>
    <x v="6"/>
    <x v="2"/>
    <x v="1"/>
    <x v="4"/>
    <x v="0"/>
    <x v="0"/>
    <x v="4"/>
    <x v="63"/>
    <x v="48"/>
    <x v="48"/>
    <x v="5"/>
    <x v="30"/>
    <x v="1"/>
    <x v="2"/>
  </r>
  <r>
    <x v="523"/>
    <x v="503"/>
    <x v="0"/>
    <x v="0"/>
    <x v="1"/>
    <x v="0"/>
    <x v="2"/>
    <x v="3"/>
    <x v="1"/>
    <x v="0"/>
    <x v="0"/>
    <x v="9"/>
    <x v="64"/>
    <x v="0"/>
    <x v="5"/>
    <x v="2"/>
    <x v="1"/>
    <x v="4"/>
    <x v="0"/>
    <x v="0"/>
    <x v="4"/>
    <x v="63"/>
    <x v="48"/>
    <x v="36"/>
    <x v="3"/>
    <x v="25"/>
    <x v="1"/>
    <x v="2"/>
  </r>
  <r>
    <x v="433"/>
    <x v="415"/>
    <x v="0"/>
    <x v="0"/>
    <x v="1"/>
    <x v="0"/>
    <x v="2"/>
    <x v="3"/>
    <x v="1"/>
    <x v="0"/>
    <x v="0"/>
    <x v="9"/>
    <x v="64"/>
    <x v="0"/>
    <x v="4"/>
    <x v="2"/>
    <x v="1"/>
    <x v="4"/>
    <x v="0"/>
    <x v="0"/>
    <x v="4"/>
    <x v="63"/>
    <x v="48"/>
    <x v="24"/>
    <x v="1"/>
    <x v="22"/>
    <x v="1"/>
    <x v="2"/>
  </r>
  <r>
    <x v="344"/>
    <x v="325"/>
    <x v="0"/>
    <x v="0"/>
    <x v="1"/>
    <x v="0"/>
    <x v="2"/>
    <x v="3"/>
    <x v="1"/>
    <x v="0"/>
    <x v="0"/>
    <x v="9"/>
    <x v="64"/>
    <x v="0"/>
    <x v="3"/>
    <x v="2"/>
    <x v="1"/>
    <x v="4"/>
    <x v="0"/>
    <x v="0"/>
    <x v="4"/>
    <x v="63"/>
    <x v="48"/>
    <x v="21"/>
    <x v="1"/>
    <x v="19"/>
    <x v="1"/>
    <x v="2"/>
  </r>
  <r>
    <x v="254"/>
    <x v="234"/>
    <x v="0"/>
    <x v="0"/>
    <x v="1"/>
    <x v="0"/>
    <x v="2"/>
    <x v="3"/>
    <x v="1"/>
    <x v="0"/>
    <x v="0"/>
    <x v="9"/>
    <x v="64"/>
    <x v="0"/>
    <x v="2"/>
    <x v="2"/>
    <x v="1"/>
    <x v="4"/>
    <x v="0"/>
    <x v="0"/>
    <x v="4"/>
    <x v="63"/>
    <x v="48"/>
    <x v="4"/>
    <x v="1"/>
    <x v="1"/>
    <x v="1"/>
    <x v="2"/>
  </r>
  <r>
    <x v="163"/>
    <x v="144"/>
    <x v="0"/>
    <x v="0"/>
    <x v="1"/>
    <x v="0"/>
    <x v="2"/>
    <x v="3"/>
    <x v="1"/>
    <x v="0"/>
    <x v="0"/>
    <x v="9"/>
    <x v="64"/>
    <x v="0"/>
    <x v="1"/>
    <x v="2"/>
    <x v="1"/>
    <x v="4"/>
    <x v="0"/>
    <x v="0"/>
    <x v="4"/>
    <x v="63"/>
    <x v="48"/>
    <x v="3"/>
    <x v="59"/>
    <x v="2"/>
    <x v="1"/>
    <x v="2"/>
  </r>
  <r>
    <x v="63"/>
    <x v="42"/>
    <x v="0"/>
    <x v="0"/>
    <x v="1"/>
    <x v="0"/>
    <x v="2"/>
    <x v="3"/>
    <x v="1"/>
    <x v="0"/>
    <x v="0"/>
    <x v="9"/>
    <x v="64"/>
    <x v="0"/>
    <x v="0"/>
    <x v="2"/>
    <x v="1"/>
    <x v="4"/>
    <x v="0"/>
    <x v="0"/>
    <x v="4"/>
    <x v="63"/>
    <x v="48"/>
    <x v="7"/>
    <x v="59"/>
    <x v="5"/>
    <x v="1"/>
    <x v="2"/>
  </r>
  <r>
    <x v="617"/>
    <x v="595"/>
    <x v="0"/>
    <x v="0"/>
    <x v="1"/>
    <x v="0"/>
    <x v="2"/>
    <x v="3"/>
    <x v="1"/>
    <x v="0"/>
    <x v="0"/>
    <x v="11"/>
    <x v="62"/>
    <x v="0"/>
    <x v="6"/>
    <x v="2"/>
    <x v="1"/>
    <x v="4"/>
    <x v="0"/>
    <x v="0"/>
    <x v="4"/>
    <x v="65"/>
    <x v="49"/>
    <x v="10"/>
    <x v="2"/>
    <x v="8"/>
    <x v="1"/>
    <x v="2"/>
  </r>
  <r>
    <x v="525"/>
    <x v="504"/>
    <x v="0"/>
    <x v="0"/>
    <x v="1"/>
    <x v="0"/>
    <x v="2"/>
    <x v="3"/>
    <x v="1"/>
    <x v="0"/>
    <x v="0"/>
    <x v="11"/>
    <x v="62"/>
    <x v="0"/>
    <x v="5"/>
    <x v="2"/>
    <x v="1"/>
    <x v="4"/>
    <x v="0"/>
    <x v="0"/>
    <x v="4"/>
    <x v="65"/>
    <x v="49"/>
    <x v="5"/>
    <x v="59"/>
    <x v="2"/>
    <x v="1"/>
    <x v="2"/>
  </r>
  <r>
    <x v="435"/>
    <x v="416"/>
    <x v="0"/>
    <x v="0"/>
    <x v="1"/>
    <x v="0"/>
    <x v="2"/>
    <x v="3"/>
    <x v="1"/>
    <x v="0"/>
    <x v="0"/>
    <x v="11"/>
    <x v="62"/>
    <x v="0"/>
    <x v="4"/>
    <x v="2"/>
    <x v="1"/>
    <x v="4"/>
    <x v="0"/>
    <x v="0"/>
    <x v="4"/>
    <x v="65"/>
    <x v="49"/>
    <x v="3"/>
    <x v="59"/>
    <x v="2"/>
    <x v="1"/>
    <x v="2"/>
  </r>
  <r>
    <x v="346"/>
    <x v="326"/>
    <x v="0"/>
    <x v="0"/>
    <x v="1"/>
    <x v="0"/>
    <x v="2"/>
    <x v="3"/>
    <x v="1"/>
    <x v="0"/>
    <x v="0"/>
    <x v="11"/>
    <x v="62"/>
    <x v="0"/>
    <x v="3"/>
    <x v="2"/>
    <x v="1"/>
    <x v="4"/>
    <x v="0"/>
    <x v="0"/>
    <x v="4"/>
    <x v="65"/>
    <x v="49"/>
    <x v="5"/>
    <x v="59"/>
    <x v="2"/>
    <x v="1"/>
    <x v="2"/>
  </r>
  <r>
    <x v="256"/>
    <x v="235"/>
    <x v="0"/>
    <x v="0"/>
    <x v="1"/>
    <x v="0"/>
    <x v="2"/>
    <x v="3"/>
    <x v="1"/>
    <x v="0"/>
    <x v="0"/>
    <x v="11"/>
    <x v="62"/>
    <x v="0"/>
    <x v="2"/>
    <x v="2"/>
    <x v="1"/>
    <x v="4"/>
    <x v="0"/>
    <x v="0"/>
    <x v="4"/>
    <x v="65"/>
    <x v="49"/>
    <x v="6"/>
    <x v="59"/>
    <x v="4"/>
    <x v="1"/>
    <x v="2"/>
  </r>
  <r>
    <x v="165"/>
    <x v="145"/>
    <x v="0"/>
    <x v="0"/>
    <x v="1"/>
    <x v="0"/>
    <x v="2"/>
    <x v="3"/>
    <x v="1"/>
    <x v="0"/>
    <x v="0"/>
    <x v="11"/>
    <x v="62"/>
    <x v="0"/>
    <x v="1"/>
    <x v="2"/>
    <x v="1"/>
    <x v="4"/>
    <x v="0"/>
    <x v="0"/>
    <x v="4"/>
    <x v="65"/>
    <x v="49"/>
    <x v="6"/>
    <x v="59"/>
    <x v="4"/>
    <x v="1"/>
    <x v="2"/>
  </r>
  <r>
    <x v="65"/>
    <x v="43"/>
    <x v="0"/>
    <x v="0"/>
    <x v="1"/>
    <x v="0"/>
    <x v="2"/>
    <x v="3"/>
    <x v="1"/>
    <x v="0"/>
    <x v="0"/>
    <x v="11"/>
    <x v="62"/>
    <x v="0"/>
    <x v="0"/>
    <x v="2"/>
    <x v="1"/>
    <x v="4"/>
    <x v="0"/>
    <x v="0"/>
    <x v="4"/>
    <x v="65"/>
    <x v="49"/>
    <x v="3"/>
    <x v="59"/>
    <x v="2"/>
    <x v="1"/>
    <x v="2"/>
  </r>
  <r>
    <x v="614"/>
    <x v="596"/>
    <x v="0"/>
    <x v="0"/>
    <x v="1"/>
    <x v="0"/>
    <x v="2"/>
    <x v="3"/>
    <x v="1"/>
    <x v="0"/>
    <x v="0"/>
    <x v="10"/>
    <x v="65"/>
    <x v="0"/>
    <x v="6"/>
    <x v="2"/>
    <x v="1"/>
    <x v="4"/>
    <x v="0"/>
    <x v="0"/>
    <x v="4"/>
    <x v="62"/>
    <x v="50"/>
    <x v="2"/>
    <x v="59"/>
    <x v="2"/>
    <x v="1"/>
    <x v="2"/>
  </r>
  <r>
    <x v="522"/>
    <x v="505"/>
    <x v="0"/>
    <x v="0"/>
    <x v="1"/>
    <x v="0"/>
    <x v="2"/>
    <x v="3"/>
    <x v="1"/>
    <x v="0"/>
    <x v="0"/>
    <x v="10"/>
    <x v="65"/>
    <x v="0"/>
    <x v="5"/>
    <x v="2"/>
    <x v="1"/>
    <x v="4"/>
    <x v="0"/>
    <x v="0"/>
    <x v="4"/>
    <x v="62"/>
    <x v="50"/>
    <x v="0"/>
    <x v="59"/>
    <x v="0"/>
    <x v="1"/>
    <x v="2"/>
  </r>
  <r>
    <x v="432"/>
    <x v="417"/>
    <x v="0"/>
    <x v="0"/>
    <x v="1"/>
    <x v="0"/>
    <x v="2"/>
    <x v="3"/>
    <x v="1"/>
    <x v="0"/>
    <x v="0"/>
    <x v="10"/>
    <x v="65"/>
    <x v="0"/>
    <x v="4"/>
    <x v="2"/>
    <x v="1"/>
    <x v="4"/>
    <x v="0"/>
    <x v="0"/>
    <x v="4"/>
    <x v="62"/>
    <x v="50"/>
    <x v="0"/>
    <x v="59"/>
    <x v="0"/>
    <x v="1"/>
    <x v="2"/>
  </r>
  <r>
    <x v="343"/>
    <x v="327"/>
    <x v="0"/>
    <x v="0"/>
    <x v="1"/>
    <x v="0"/>
    <x v="2"/>
    <x v="3"/>
    <x v="1"/>
    <x v="0"/>
    <x v="0"/>
    <x v="10"/>
    <x v="65"/>
    <x v="0"/>
    <x v="3"/>
    <x v="2"/>
    <x v="1"/>
    <x v="4"/>
    <x v="0"/>
    <x v="0"/>
    <x v="4"/>
    <x v="62"/>
    <x v="50"/>
    <x v="2"/>
    <x v="59"/>
    <x v="0"/>
    <x v="1"/>
    <x v="2"/>
  </r>
  <r>
    <x v="253"/>
    <x v="236"/>
    <x v="0"/>
    <x v="0"/>
    <x v="1"/>
    <x v="0"/>
    <x v="2"/>
    <x v="3"/>
    <x v="1"/>
    <x v="0"/>
    <x v="0"/>
    <x v="10"/>
    <x v="65"/>
    <x v="0"/>
    <x v="2"/>
    <x v="2"/>
    <x v="1"/>
    <x v="4"/>
    <x v="0"/>
    <x v="0"/>
    <x v="4"/>
    <x v="62"/>
    <x v="50"/>
    <x v="1"/>
    <x v="59"/>
    <x v="1"/>
    <x v="1"/>
    <x v="2"/>
  </r>
  <r>
    <x v="162"/>
    <x v="146"/>
    <x v="0"/>
    <x v="0"/>
    <x v="1"/>
    <x v="0"/>
    <x v="2"/>
    <x v="3"/>
    <x v="1"/>
    <x v="0"/>
    <x v="0"/>
    <x v="10"/>
    <x v="65"/>
    <x v="0"/>
    <x v="1"/>
    <x v="2"/>
    <x v="1"/>
    <x v="4"/>
    <x v="0"/>
    <x v="0"/>
    <x v="4"/>
    <x v="62"/>
    <x v="50"/>
    <x v="6"/>
    <x v="59"/>
    <x v="1"/>
    <x v="1"/>
    <x v="2"/>
  </r>
  <r>
    <x v="62"/>
    <x v="44"/>
    <x v="0"/>
    <x v="0"/>
    <x v="1"/>
    <x v="0"/>
    <x v="2"/>
    <x v="3"/>
    <x v="1"/>
    <x v="0"/>
    <x v="0"/>
    <x v="10"/>
    <x v="65"/>
    <x v="0"/>
    <x v="0"/>
    <x v="2"/>
    <x v="1"/>
    <x v="4"/>
    <x v="0"/>
    <x v="0"/>
    <x v="4"/>
    <x v="62"/>
    <x v="50"/>
    <x v="16"/>
    <x v="59"/>
    <x v="12"/>
    <x v="1"/>
    <x v="2"/>
  </r>
  <r>
    <x v="616"/>
    <x v="597"/>
    <x v="0"/>
    <x v="0"/>
    <x v="1"/>
    <x v="0"/>
    <x v="2"/>
    <x v="3"/>
    <x v="1"/>
    <x v="0"/>
    <x v="0"/>
    <x v="12"/>
    <x v="63"/>
    <x v="0"/>
    <x v="6"/>
    <x v="2"/>
    <x v="1"/>
    <x v="4"/>
    <x v="0"/>
    <x v="0"/>
    <x v="4"/>
    <x v="64"/>
    <x v="51"/>
    <x v="1"/>
    <x v="59"/>
    <x v="0"/>
    <x v="1"/>
    <x v="2"/>
  </r>
  <r>
    <x v="524"/>
    <x v="506"/>
    <x v="0"/>
    <x v="0"/>
    <x v="1"/>
    <x v="0"/>
    <x v="2"/>
    <x v="3"/>
    <x v="1"/>
    <x v="0"/>
    <x v="0"/>
    <x v="12"/>
    <x v="63"/>
    <x v="0"/>
    <x v="5"/>
    <x v="2"/>
    <x v="1"/>
    <x v="4"/>
    <x v="0"/>
    <x v="0"/>
    <x v="4"/>
    <x v="64"/>
    <x v="51"/>
    <x v="3"/>
    <x v="59"/>
    <x v="0"/>
    <x v="1"/>
    <x v="2"/>
  </r>
  <r>
    <x v="434"/>
    <x v="418"/>
    <x v="0"/>
    <x v="0"/>
    <x v="1"/>
    <x v="0"/>
    <x v="2"/>
    <x v="3"/>
    <x v="1"/>
    <x v="0"/>
    <x v="0"/>
    <x v="12"/>
    <x v="63"/>
    <x v="0"/>
    <x v="4"/>
    <x v="2"/>
    <x v="1"/>
    <x v="4"/>
    <x v="0"/>
    <x v="0"/>
    <x v="4"/>
    <x v="64"/>
    <x v="51"/>
    <x v="1"/>
    <x v="59"/>
    <x v="0"/>
    <x v="1"/>
    <x v="2"/>
  </r>
  <r>
    <x v="345"/>
    <x v="328"/>
    <x v="0"/>
    <x v="0"/>
    <x v="1"/>
    <x v="0"/>
    <x v="2"/>
    <x v="3"/>
    <x v="1"/>
    <x v="0"/>
    <x v="0"/>
    <x v="12"/>
    <x v="63"/>
    <x v="0"/>
    <x v="3"/>
    <x v="2"/>
    <x v="1"/>
    <x v="4"/>
    <x v="0"/>
    <x v="0"/>
    <x v="4"/>
    <x v="64"/>
    <x v="51"/>
    <x v="0"/>
    <x v="59"/>
    <x v="0"/>
    <x v="1"/>
    <x v="2"/>
  </r>
  <r>
    <x v="255"/>
    <x v="237"/>
    <x v="0"/>
    <x v="0"/>
    <x v="1"/>
    <x v="0"/>
    <x v="2"/>
    <x v="3"/>
    <x v="1"/>
    <x v="0"/>
    <x v="0"/>
    <x v="12"/>
    <x v="63"/>
    <x v="0"/>
    <x v="2"/>
    <x v="2"/>
    <x v="1"/>
    <x v="4"/>
    <x v="0"/>
    <x v="0"/>
    <x v="4"/>
    <x v="64"/>
    <x v="51"/>
    <x v="0"/>
    <x v="59"/>
    <x v="0"/>
    <x v="1"/>
    <x v="2"/>
  </r>
  <r>
    <x v="164"/>
    <x v="147"/>
    <x v="0"/>
    <x v="0"/>
    <x v="1"/>
    <x v="0"/>
    <x v="2"/>
    <x v="3"/>
    <x v="1"/>
    <x v="0"/>
    <x v="0"/>
    <x v="12"/>
    <x v="63"/>
    <x v="0"/>
    <x v="1"/>
    <x v="2"/>
    <x v="1"/>
    <x v="4"/>
    <x v="0"/>
    <x v="0"/>
    <x v="4"/>
    <x v="64"/>
    <x v="51"/>
    <x v="5"/>
    <x v="59"/>
    <x v="5"/>
    <x v="1"/>
    <x v="2"/>
  </r>
  <r>
    <x v="64"/>
    <x v="45"/>
    <x v="0"/>
    <x v="0"/>
    <x v="1"/>
    <x v="0"/>
    <x v="2"/>
    <x v="3"/>
    <x v="1"/>
    <x v="0"/>
    <x v="0"/>
    <x v="12"/>
    <x v="63"/>
    <x v="0"/>
    <x v="0"/>
    <x v="2"/>
    <x v="1"/>
    <x v="4"/>
    <x v="0"/>
    <x v="0"/>
    <x v="4"/>
    <x v="64"/>
    <x v="51"/>
    <x v="9"/>
    <x v="59"/>
    <x v="2"/>
    <x v="1"/>
    <x v="2"/>
  </r>
  <r>
    <x v="630"/>
    <x v="598"/>
    <x v="0"/>
    <x v="0"/>
    <x v="1"/>
    <x v="0"/>
    <x v="2"/>
    <x v="3"/>
    <x v="1"/>
    <x v="0"/>
    <x v="0"/>
    <x v="9"/>
    <x v="64"/>
    <x v="0"/>
    <x v="6"/>
    <x v="2"/>
    <x v="1"/>
    <x v="4"/>
    <x v="0"/>
    <x v="0"/>
    <x v="4"/>
    <x v="78"/>
    <x v="52"/>
    <x v="0"/>
    <x v="59"/>
    <x v="0"/>
    <x v="1"/>
    <x v="2"/>
  </r>
  <r>
    <x v="538"/>
    <x v="507"/>
    <x v="0"/>
    <x v="0"/>
    <x v="1"/>
    <x v="0"/>
    <x v="2"/>
    <x v="3"/>
    <x v="1"/>
    <x v="0"/>
    <x v="0"/>
    <x v="9"/>
    <x v="64"/>
    <x v="0"/>
    <x v="5"/>
    <x v="2"/>
    <x v="1"/>
    <x v="4"/>
    <x v="0"/>
    <x v="0"/>
    <x v="4"/>
    <x v="78"/>
    <x v="52"/>
    <x v="0"/>
    <x v="59"/>
    <x v="0"/>
    <x v="1"/>
    <x v="2"/>
  </r>
  <r>
    <x v="448"/>
    <x v="419"/>
    <x v="0"/>
    <x v="0"/>
    <x v="1"/>
    <x v="0"/>
    <x v="2"/>
    <x v="3"/>
    <x v="1"/>
    <x v="0"/>
    <x v="0"/>
    <x v="9"/>
    <x v="64"/>
    <x v="0"/>
    <x v="4"/>
    <x v="2"/>
    <x v="1"/>
    <x v="4"/>
    <x v="0"/>
    <x v="0"/>
    <x v="4"/>
    <x v="78"/>
    <x v="52"/>
    <x v="0"/>
    <x v="59"/>
    <x v="0"/>
    <x v="1"/>
    <x v="2"/>
  </r>
  <r>
    <x v="359"/>
    <x v="329"/>
    <x v="0"/>
    <x v="0"/>
    <x v="1"/>
    <x v="0"/>
    <x v="2"/>
    <x v="3"/>
    <x v="1"/>
    <x v="0"/>
    <x v="0"/>
    <x v="9"/>
    <x v="64"/>
    <x v="0"/>
    <x v="3"/>
    <x v="2"/>
    <x v="1"/>
    <x v="4"/>
    <x v="0"/>
    <x v="0"/>
    <x v="4"/>
    <x v="78"/>
    <x v="52"/>
    <x v="0"/>
    <x v="59"/>
    <x v="0"/>
    <x v="1"/>
    <x v="2"/>
  </r>
  <r>
    <x v="269"/>
    <x v="238"/>
    <x v="0"/>
    <x v="0"/>
    <x v="1"/>
    <x v="0"/>
    <x v="2"/>
    <x v="3"/>
    <x v="1"/>
    <x v="0"/>
    <x v="0"/>
    <x v="9"/>
    <x v="64"/>
    <x v="0"/>
    <x v="2"/>
    <x v="2"/>
    <x v="1"/>
    <x v="4"/>
    <x v="0"/>
    <x v="0"/>
    <x v="4"/>
    <x v="78"/>
    <x v="52"/>
    <x v="0"/>
    <x v="59"/>
    <x v="0"/>
    <x v="1"/>
    <x v="2"/>
  </r>
  <r>
    <x v="178"/>
    <x v="148"/>
    <x v="0"/>
    <x v="0"/>
    <x v="1"/>
    <x v="0"/>
    <x v="2"/>
    <x v="3"/>
    <x v="1"/>
    <x v="0"/>
    <x v="0"/>
    <x v="9"/>
    <x v="64"/>
    <x v="0"/>
    <x v="1"/>
    <x v="2"/>
    <x v="1"/>
    <x v="4"/>
    <x v="0"/>
    <x v="0"/>
    <x v="4"/>
    <x v="78"/>
    <x v="52"/>
    <x v="0"/>
    <x v="59"/>
    <x v="0"/>
    <x v="1"/>
    <x v="2"/>
  </r>
  <r>
    <x v="78"/>
    <x v="46"/>
    <x v="0"/>
    <x v="0"/>
    <x v="1"/>
    <x v="0"/>
    <x v="2"/>
    <x v="3"/>
    <x v="1"/>
    <x v="0"/>
    <x v="0"/>
    <x v="9"/>
    <x v="64"/>
    <x v="0"/>
    <x v="0"/>
    <x v="2"/>
    <x v="1"/>
    <x v="4"/>
    <x v="0"/>
    <x v="0"/>
    <x v="4"/>
    <x v="78"/>
    <x v="52"/>
    <x v="0"/>
    <x v="59"/>
    <x v="0"/>
    <x v="1"/>
    <x v="2"/>
  </r>
  <r>
    <x v="608"/>
    <x v="599"/>
    <x v="0"/>
    <x v="0"/>
    <x v="1"/>
    <x v="0"/>
    <x v="2"/>
    <x v="3"/>
    <x v="1"/>
    <x v="0"/>
    <x v="0"/>
    <x v="9"/>
    <x v="64"/>
    <x v="0"/>
    <x v="6"/>
    <x v="2"/>
    <x v="1"/>
    <x v="4"/>
    <x v="0"/>
    <x v="0"/>
    <x v="4"/>
    <x v="56"/>
    <x v="53"/>
    <x v="0"/>
    <x v="59"/>
    <x v="0"/>
    <x v="1"/>
    <x v="2"/>
  </r>
  <r>
    <x v="516"/>
    <x v="508"/>
    <x v="0"/>
    <x v="0"/>
    <x v="1"/>
    <x v="0"/>
    <x v="2"/>
    <x v="3"/>
    <x v="1"/>
    <x v="0"/>
    <x v="0"/>
    <x v="9"/>
    <x v="64"/>
    <x v="0"/>
    <x v="5"/>
    <x v="2"/>
    <x v="1"/>
    <x v="4"/>
    <x v="0"/>
    <x v="0"/>
    <x v="4"/>
    <x v="56"/>
    <x v="53"/>
    <x v="0"/>
    <x v="59"/>
    <x v="0"/>
    <x v="1"/>
    <x v="2"/>
  </r>
  <r>
    <x v="426"/>
    <x v="420"/>
    <x v="0"/>
    <x v="0"/>
    <x v="1"/>
    <x v="0"/>
    <x v="2"/>
    <x v="3"/>
    <x v="1"/>
    <x v="0"/>
    <x v="0"/>
    <x v="9"/>
    <x v="64"/>
    <x v="0"/>
    <x v="4"/>
    <x v="2"/>
    <x v="1"/>
    <x v="4"/>
    <x v="0"/>
    <x v="0"/>
    <x v="4"/>
    <x v="56"/>
    <x v="53"/>
    <x v="0"/>
    <x v="59"/>
    <x v="0"/>
    <x v="1"/>
    <x v="2"/>
  </r>
  <r>
    <x v="337"/>
    <x v="330"/>
    <x v="0"/>
    <x v="0"/>
    <x v="1"/>
    <x v="0"/>
    <x v="2"/>
    <x v="3"/>
    <x v="1"/>
    <x v="0"/>
    <x v="0"/>
    <x v="9"/>
    <x v="64"/>
    <x v="0"/>
    <x v="3"/>
    <x v="2"/>
    <x v="1"/>
    <x v="4"/>
    <x v="0"/>
    <x v="0"/>
    <x v="4"/>
    <x v="56"/>
    <x v="53"/>
    <x v="0"/>
    <x v="59"/>
    <x v="0"/>
    <x v="1"/>
    <x v="2"/>
  </r>
  <r>
    <x v="247"/>
    <x v="239"/>
    <x v="0"/>
    <x v="0"/>
    <x v="1"/>
    <x v="0"/>
    <x v="2"/>
    <x v="3"/>
    <x v="1"/>
    <x v="0"/>
    <x v="0"/>
    <x v="9"/>
    <x v="64"/>
    <x v="0"/>
    <x v="2"/>
    <x v="2"/>
    <x v="1"/>
    <x v="4"/>
    <x v="0"/>
    <x v="0"/>
    <x v="4"/>
    <x v="56"/>
    <x v="53"/>
    <x v="0"/>
    <x v="59"/>
    <x v="0"/>
    <x v="1"/>
    <x v="2"/>
  </r>
  <r>
    <x v="156"/>
    <x v="149"/>
    <x v="0"/>
    <x v="0"/>
    <x v="1"/>
    <x v="0"/>
    <x v="2"/>
    <x v="3"/>
    <x v="1"/>
    <x v="0"/>
    <x v="0"/>
    <x v="9"/>
    <x v="64"/>
    <x v="0"/>
    <x v="1"/>
    <x v="2"/>
    <x v="1"/>
    <x v="4"/>
    <x v="0"/>
    <x v="0"/>
    <x v="4"/>
    <x v="56"/>
    <x v="53"/>
    <x v="0"/>
    <x v="59"/>
    <x v="0"/>
    <x v="1"/>
    <x v="2"/>
  </r>
  <r>
    <x v="56"/>
    <x v="47"/>
    <x v="0"/>
    <x v="0"/>
    <x v="1"/>
    <x v="0"/>
    <x v="2"/>
    <x v="3"/>
    <x v="1"/>
    <x v="0"/>
    <x v="0"/>
    <x v="9"/>
    <x v="64"/>
    <x v="0"/>
    <x v="0"/>
    <x v="2"/>
    <x v="1"/>
    <x v="4"/>
    <x v="0"/>
    <x v="0"/>
    <x v="4"/>
    <x v="56"/>
    <x v="53"/>
    <x v="0"/>
    <x v="59"/>
    <x v="0"/>
    <x v="1"/>
    <x v="2"/>
  </r>
  <r>
    <x v="633"/>
    <x v="600"/>
    <x v="0"/>
    <x v="0"/>
    <x v="1"/>
    <x v="0"/>
    <x v="2"/>
    <x v="3"/>
    <x v="1"/>
    <x v="0"/>
    <x v="0"/>
    <x v="11"/>
    <x v="62"/>
    <x v="0"/>
    <x v="6"/>
    <x v="2"/>
    <x v="1"/>
    <x v="4"/>
    <x v="0"/>
    <x v="0"/>
    <x v="4"/>
    <x v="81"/>
    <x v="54"/>
    <x v="12"/>
    <x v="59"/>
    <x v="9"/>
    <x v="1"/>
    <x v="2"/>
  </r>
  <r>
    <x v="541"/>
    <x v="509"/>
    <x v="0"/>
    <x v="0"/>
    <x v="1"/>
    <x v="0"/>
    <x v="2"/>
    <x v="3"/>
    <x v="1"/>
    <x v="0"/>
    <x v="0"/>
    <x v="11"/>
    <x v="62"/>
    <x v="0"/>
    <x v="5"/>
    <x v="2"/>
    <x v="1"/>
    <x v="4"/>
    <x v="0"/>
    <x v="0"/>
    <x v="4"/>
    <x v="81"/>
    <x v="54"/>
    <x v="15"/>
    <x v="59"/>
    <x v="11"/>
    <x v="1"/>
    <x v="2"/>
  </r>
  <r>
    <x v="451"/>
    <x v="421"/>
    <x v="0"/>
    <x v="0"/>
    <x v="1"/>
    <x v="0"/>
    <x v="2"/>
    <x v="3"/>
    <x v="1"/>
    <x v="0"/>
    <x v="0"/>
    <x v="11"/>
    <x v="62"/>
    <x v="0"/>
    <x v="4"/>
    <x v="2"/>
    <x v="1"/>
    <x v="4"/>
    <x v="0"/>
    <x v="0"/>
    <x v="4"/>
    <x v="81"/>
    <x v="54"/>
    <x v="13"/>
    <x v="59"/>
    <x v="10"/>
    <x v="1"/>
    <x v="2"/>
  </r>
  <r>
    <x v="362"/>
    <x v="331"/>
    <x v="0"/>
    <x v="0"/>
    <x v="1"/>
    <x v="0"/>
    <x v="2"/>
    <x v="3"/>
    <x v="1"/>
    <x v="0"/>
    <x v="0"/>
    <x v="11"/>
    <x v="62"/>
    <x v="0"/>
    <x v="3"/>
    <x v="2"/>
    <x v="1"/>
    <x v="4"/>
    <x v="0"/>
    <x v="0"/>
    <x v="4"/>
    <x v="81"/>
    <x v="54"/>
    <x v="7"/>
    <x v="59"/>
    <x v="4"/>
    <x v="1"/>
    <x v="2"/>
  </r>
  <r>
    <x v="272"/>
    <x v="240"/>
    <x v="0"/>
    <x v="0"/>
    <x v="1"/>
    <x v="0"/>
    <x v="2"/>
    <x v="3"/>
    <x v="1"/>
    <x v="0"/>
    <x v="0"/>
    <x v="11"/>
    <x v="62"/>
    <x v="0"/>
    <x v="2"/>
    <x v="2"/>
    <x v="1"/>
    <x v="4"/>
    <x v="0"/>
    <x v="0"/>
    <x v="4"/>
    <x v="81"/>
    <x v="54"/>
    <x v="20"/>
    <x v="59"/>
    <x v="13"/>
    <x v="1"/>
    <x v="2"/>
  </r>
  <r>
    <x v="181"/>
    <x v="150"/>
    <x v="0"/>
    <x v="0"/>
    <x v="1"/>
    <x v="0"/>
    <x v="2"/>
    <x v="3"/>
    <x v="1"/>
    <x v="0"/>
    <x v="0"/>
    <x v="11"/>
    <x v="62"/>
    <x v="0"/>
    <x v="1"/>
    <x v="2"/>
    <x v="1"/>
    <x v="4"/>
    <x v="0"/>
    <x v="0"/>
    <x v="4"/>
    <x v="81"/>
    <x v="54"/>
    <x v="36"/>
    <x v="59"/>
    <x v="24"/>
    <x v="1"/>
    <x v="2"/>
  </r>
  <r>
    <x v="81"/>
    <x v="48"/>
    <x v="0"/>
    <x v="0"/>
    <x v="1"/>
    <x v="0"/>
    <x v="2"/>
    <x v="3"/>
    <x v="1"/>
    <x v="0"/>
    <x v="0"/>
    <x v="11"/>
    <x v="62"/>
    <x v="0"/>
    <x v="0"/>
    <x v="2"/>
    <x v="1"/>
    <x v="4"/>
    <x v="0"/>
    <x v="0"/>
    <x v="4"/>
    <x v="81"/>
    <x v="54"/>
    <x v="97"/>
    <x v="4"/>
    <x v="44"/>
    <x v="1"/>
    <x v="2"/>
  </r>
  <r>
    <x v="610"/>
    <x v="601"/>
    <x v="0"/>
    <x v="0"/>
    <x v="1"/>
    <x v="0"/>
    <x v="2"/>
    <x v="3"/>
    <x v="1"/>
    <x v="0"/>
    <x v="0"/>
    <x v="11"/>
    <x v="62"/>
    <x v="0"/>
    <x v="6"/>
    <x v="2"/>
    <x v="1"/>
    <x v="4"/>
    <x v="0"/>
    <x v="0"/>
    <x v="4"/>
    <x v="58"/>
    <x v="55"/>
    <x v="0"/>
    <x v="59"/>
    <x v="0"/>
    <x v="1"/>
    <x v="2"/>
  </r>
  <r>
    <x v="518"/>
    <x v="510"/>
    <x v="0"/>
    <x v="0"/>
    <x v="1"/>
    <x v="0"/>
    <x v="2"/>
    <x v="3"/>
    <x v="1"/>
    <x v="0"/>
    <x v="0"/>
    <x v="11"/>
    <x v="62"/>
    <x v="0"/>
    <x v="5"/>
    <x v="2"/>
    <x v="1"/>
    <x v="4"/>
    <x v="0"/>
    <x v="0"/>
    <x v="4"/>
    <x v="58"/>
    <x v="55"/>
    <x v="0"/>
    <x v="59"/>
    <x v="0"/>
    <x v="1"/>
    <x v="2"/>
  </r>
  <r>
    <x v="428"/>
    <x v="422"/>
    <x v="0"/>
    <x v="0"/>
    <x v="1"/>
    <x v="0"/>
    <x v="2"/>
    <x v="3"/>
    <x v="1"/>
    <x v="0"/>
    <x v="0"/>
    <x v="11"/>
    <x v="62"/>
    <x v="0"/>
    <x v="4"/>
    <x v="2"/>
    <x v="1"/>
    <x v="4"/>
    <x v="0"/>
    <x v="0"/>
    <x v="4"/>
    <x v="58"/>
    <x v="55"/>
    <x v="0"/>
    <x v="59"/>
    <x v="0"/>
    <x v="1"/>
    <x v="2"/>
  </r>
  <r>
    <x v="339"/>
    <x v="332"/>
    <x v="0"/>
    <x v="0"/>
    <x v="1"/>
    <x v="0"/>
    <x v="2"/>
    <x v="3"/>
    <x v="1"/>
    <x v="0"/>
    <x v="0"/>
    <x v="11"/>
    <x v="62"/>
    <x v="0"/>
    <x v="3"/>
    <x v="2"/>
    <x v="1"/>
    <x v="4"/>
    <x v="0"/>
    <x v="0"/>
    <x v="4"/>
    <x v="58"/>
    <x v="55"/>
    <x v="0"/>
    <x v="59"/>
    <x v="0"/>
    <x v="1"/>
    <x v="2"/>
  </r>
  <r>
    <x v="249"/>
    <x v="241"/>
    <x v="0"/>
    <x v="0"/>
    <x v="1"/>
    <x v="0"/>
    <x v="2"/>
    <x v="3"/>
    <x v="1"/>
    <x v="0"/>
    <x v="0"/>
    <x v="11"/>
    <x v="62"/>
    <x v="0"/>
    <x v="2"/>
    <x v="2"/>
    <x v="1"/>
    <x v="4"/>
    <x v="0"/>
    <x v="0"/>
    <x v="4"/>
    <x v="58"/>
    <x v="55"/>
    <x v="0"/>
    <x v="59"/>
    <x v="0"/>
    <x v="1"/>
    <x v="2"/>
  </r>
  <r>
    <x v="158"/>
    <x v="151"/>
    <x v="0"/>
    <x v="0"/>
    <x v="1"/>
    <x v="0"/>
    <x v="2"/>
    <x v="3"/>
    <x v="1"/>
    <x v="0"/>
    <x v="0"/>
    <x v="11"/>
    <x v="62"/>
    <x v="0"/>
    <x v="1"/>
    <x v="2"/>
    <x v="1"/>
    <x v="4"/>
    <x v="0"/>
    <x v="0"/>
    <x v="4"/>
    <x v="58"/>
    <x v="55"/>
    <x v="0"/>
    <x v="59"/>
    <x v="0"/>
    <x v="1"/>
    <x v="2"/>
  </r>
  <r>
    <x v="58"/>
    <x v="49"/>
    <x v="0"/>
    <x v="0"/>
    <x v="1"/>
    <x v="0"/>
    <x v="2"/>
    <x v="3"/>
    <x v="1"/>
    <x v="0"/>
    <x v="0"/>
    <x v="11"/>
    <x v="62"/>
    <x v="0"/>
    <x v="0"/>
    <x v="2"/>
    <x v="1"/>
    <x v="4"/>
    <x v="0"/>
    <x v="0"/>
    <x v="4"/>
    <x v="58"/>
    <x v="55"/>
    <x v="0"/>
    <x v="59"/>
    <x v="0"/>
    <x v="1"/>
    <x v="2"/>
  </r>
  <r>
    <x v="628"/>
    <x v="602"/>
    <x v="0"/>
    <x v="0"/>
    <x v="1"/>
    <x v="0"/>
    <x v="2"/>
    <x v="3"/>
    <x v="1"/>
    <x v="0"/>
    <x v="0"/>
    <x v="10"/>
    <x v="65"/>
    <x v="0"/>
    <x v="6"/>
    <x v="2"/>
    <x v="1"/>
    <x v="4"/>
    <x v="0"/>
    <x v="0"/>
    <x v="4"/>
    <x v="76"/>
    <x v="56"/>
    <x v="0"/>
    <x v="59"/>
    <x v="0"/>
    <x v="1"/>
    <x v="2"/>
  </r>
  <r>
    <x v="536"/>
    <x v="511"/>
    <x v="0"/>
    <x v="0"/>
    <x v="1"/>
    <x v="0"/>
    <x v="2"/>
    <x v="3"/>
    <x v="1"/>
    <x v="0"/>
    <x v="0"/>
    <x v="10"/>
    <x v="65"/>
    <x v="0"/>
    <x v="5"/>
    <x v="2"/>
    <x v="1"/>
    <x v="4"/>
    <x v="0"/>
    <x v="0"/>
    <x v="4"/>
    <x v="76"/>
    <x v="56"/>
    <x v="4"/>
    <x v="59"/>
    <x v="2"/>
    <x v="1"/>
    <x v="2"/>
  </r>
  <r>
    <x v="446"/>
    <x v="423"/>
    <x v="0"/>
    <x v="0"/>
    <x v="1"/>
    <x v="0"/>
    <x v="2"/>
    <x v="3"/>
    <x v="1"/>
    <x v="0"/>
    <x v="0"/>
    <x v="10"/>
    <x v="65"/>
    <x v="0"/>
    <x v="4"/>
    <x v="2"/>
    <x v="1"/>
    <x v="4"/>
    <x v="0"/>
    <x v="0"/>
    <x v="4"/>
    <x v="76"/>
    <x v="56"/>
    <x v="0"/>
    <x v="59"/>
    <x v="0"/>
    <x v="1"/>
    <x v="2"/>
  </r>
  <r>
    <x v="357"/>
    <x v="333"/>
    <x v="0"/>
    <x v="0"/>
    <x v="1"/>
    <x v="0"/>
    <x v="2"/>
    <x v="3"/>
    <x v="1"/>
    <x v="0"/>
    <x v="0"/>
    <x v="10"/>
    <x v="65"/>
    <x v="0"/>
    <x v="3"/>
    <x v="2"/>
    <x v="1"/>
    <x v="4"/>
    <x v="0"/>
    <x v="0"/>
    <x v="4"/>
    <x v="76"/>
    <x v="56"/>
    <x v="0"/>
    <x v="59"/>
    <x v="0"/>
    <x v="1"/>
    <x v="2"/>
  </r>
  <r>
    <x v="267"/>
    <x v="242"/>
    <x v="0"/>
    <x v="0"/>
    <x v="1"/>
    <x v="0"/>
    <x v="2"/>
    <x v="3"/>
    <x v="1"/>
    <x v="0"/>
    <x v="0"/>
    <x v="10"/>
    <x v="65"/>
    <x v="0"/>
    <x v="2"/>
    <x v="2"/>
    <x v="1"/>
    <x v="4"/>
    <x v="0"/>
    <x v="0"/>
    <x v="4"/>
    <x v="76"/>
    <x v="56"/>
    <x v="0"/>
    <x v="59"/>
    <x v="0"/>
    <x v="1"/>
    <x v="2"/>
  </r>
  <r>
    <x v="176"/>
    <x v="152"/>
    <x v="0"/>
    <x v="0"/>
    <x v="1"/>
    <x v="0"/>
    <x v="2"/>
    <x v="3"/>
    <x v="1"/>
    <x v="0"/>
    <x v="0"/>
    <x v="10"/>
    <x v="65"/>
    <x v="0"/>
    <x v="1"/>
    <x v="2"/>
    <x v="1"/>
    <x v="4"/>
    <x v="0"/>
    <x v="0"/>
    <x v="4"/>
    <x v="76"/>
    <x v="56"/>
    <x v="2"/>
    <x v="59"/>
    <x v="1"/>
    <x v="1"/>
    <x v="2"/>
  </r>
  <r>
    <x v="76"/>
    <x v="50"/>
    <x v="0"/>
    <x v="0"/>
    <x v="1"/>
    <x v="0"/>
    <x v="2"/>
    <x v="3"/>
    <x v="1"/>
    <x v="0"/>
    <x v="0"/>
    <x v="10"/>
    <x v="65"/>
    <x v="0"/>
    <x v="0"/>
    <x v="2"/>
    <x v="1"/>
    <x v="4"/>
    <x v="0"/>
    <x v="0"/>
    <x v="4"/>
    <x v="76"/>
    <x v="56"/>
    <x v="2"/>
    <x v="59"/>
    <x v="0"/>
    <x v="1"/>
    <x v="2"/>
  </r>
  <r>
    <x v="646"/>
    <x v="603"/>
    <x v="0"/>
    <x v="0"/>
    <x v="1"/>
    <x v="0"/>
    <x v="2"/>
    <x v="3"/>
    <x v="1"/>
    <x v="0"/>
    <x v="0"/>
    <x v="10"/>
    <x v="65"/>
    <x v="0"/>
    <x v="6"/>
    <x v="2"/>
    <x v="1"/>
    <x v="4"/>
    <x v="0"/>
    <x v="0"/>
    <x v="4"/>
    <x v="94"/>
    <x v="57"/>
    <x v="0"/>
    <x v="59"/>
    <x v="0"/>
    <x v="1"/>
    <x v="2"/>
  </r>
  <r>
    <x v="554"/>
    <x v="512"/>
    <x v="0"/>
    <x v="0"/>
    <x v="1"/>
    <x v="0"/>
    <x v="2"/>
    <x v="3"/>
    <x v="1"/>
    <x v="0"/>
    <x v="0"/>
    <x v="10"/>
    <x v="65"/>
    <x v="0"/>
    <x v="5"/>
    <x v="2"/>
    <x v="1"/>
    <x v="4"/>
    <x v="0"/>
    <x v="0"/>
    <x v="4"/>
    <x v="94"/>
    <x v="57"/>
    <x v="0"/>
    <x v="59"/>
    <x v="0"/>
    <x v="1"/>
    <x v="2"/>
  </r>
  <r>
    <x v="464"/>
    <x v="424"/>
    <x v="0"/>
    <x v="0"/>
    <x v="1"/>
    <x v="0"/>
    <x v="2"/>
    <x v="3"/>
    <x v="1"/>
    <x v="0"/>
    <x v="0"/>
    <x v="10"/>
    <x v="65"/>
    <x v="0"/>
    <x v="4"/>
    <x v="2"/>
    <x v="1"/>
    <x v="4"/>
    <x v="0"/>
    <x v="0"/>
    <x v="4"/>
    <x v="94"/>
    <x v="57"/>
    <x v="0"/>
    <x v="59"/>
    <x v="0"/>
    <x v="1"/>
    <x v="2"/>
  </r>
  <r>
    <x v="375"/>
    <x v="334"/>
    <x v="0"/>
    <x v="0"/>
    <x v="1"/>
    <x v="0"/>
    <x v="2"/>
    <x v="3"/>
    <x v="1"/>
    <x v="0"/>
    <x v="0"/>
    <x v="10"/>
    <x v="65"/>
    <x v="0"/>
    <x v="3"/>
    <x v="2"/>
    <x v="1"/>
    <x v="4"/>
    <x v="0"/>
    <x v="0"/>
    <x v="4"/>
    <x v="94"/>
    <x v="57"/>
    <x v="0"/>
    <x v="59"/>
    <x v="0"/>
    <x v="1"/>
    <x v="2"/>
  </r>
  <r>
    <x v="285"/>
    <x v="243"/>
    <x v="0"/>
    <x v="0"/>
    <x v="1"/>
    <x v="0"/>
    <x v="2"/>
    <x v="3"/>
    <x v="1"/>
    <x v="0"/>
    <x v="0"/>
    <x v="10"/>
    <x v="65"/>
    <x v="0"/>
    <x v="2"/>
    <x v="2"/>
    <x v="1"/>
    <x v="4"/>
    <x v="0"/>
    <x v="0"/>
    <x v="4"/>
    <x v="94"/>
    <x v="57"/>
    <x v="0"/>
    <x v="59"/>
    <x v="0"/>
    <x v="1"/>
    <x v="2"/>
  </r>
  <r>
    <x v="194"/>
    <x v="153"/>
    <x v="0"/>
    <x v="0"/>
    <x v="1"/>
    <x v="0"/>
    <x v="2"/>
    <x v="3"/>
    <x v="1"/>
    <x v="0"/>
    <x v="0"/>
    <x v="10"/>
    <x v="65"/>
    <x v="0"/>
    <x v="1"/>
    <x v="2"/>
    <x v="1"/>
    <x v="4"/>
    <x v="0"/>
    <x v="0"/>
    <x v="4"/>
    <x v="94"/>
    <x v="57"/>
    <x v="0"/>
    <x v="59"/>
    <x v="0"/>
    <x v="1"/>
    <x v="2"/>
  </r>
  <r>
    <x v="94"/>
    <x v="51"/>
    <x v="0"/>
    <x v="0"/>
    <x v="1"/>
    <x v="0"/>
    <x v="2"/>
    <x v="3"/>
    <x v="1"/>
    <x v="0"/>
    <x v="0"/>
    <x v="10"/>
    <x v="65"/>
    <x v="0"/>
    <x v="0"/>
    <x v="2"/>
    <x v="1"/>
    <x v="4"/>
    <x v="0"/>
    <x v="0"/>
    <x v="4"/>
    <x v="94"/>
    <x v="57"/>
    <x v="0"/>
    <x v="59"/>
    <x v="0"/>
    <x v="1"/>
    <x v="2"/>
  </r>
  <r>
    <x v="609"/>
    <x v="604"/>
    <x v="0"/>
    <x v="0"/>
    <x v="1"/>
    <x v="0"/>
    <x v="2"/>
    <x v="3"/>
    <x v="1"/>
    <x v="0"/>
    <x v="0"/>
    <x v="12"/>
    <x v="63"/>
    <x v="0"/>
    <x v="6"/>
    <x v="2"/>
    <x v="1"/>
    <x v="4"/>
    <x v="0"/>
    <x v="0"/>
    <x v="4"/>
    <x v="57"/>
    <x v="58"/>
    <x v="0"/>
    <x v="59"/>
    <x v="0"/>
    <x v="1"/>
    <x v="2"/>
  </r>
  <r>
    <x v="609"/>
    <x v="604"/>
    <x v="0"/>
    <x v="0"/>
    <x v="1"/>
    <x v="0"/>
    <x v="2"/>
    <x v="3"/>
    <x v="1"/>
    <x v="0"/>
    <x v="0"/>
    <x v="12"/>
    <x v="63"/>
    <x v="0"/>
    <x v="6"/>
    <x v="2"/>
    <x v="1"/>
    <x v="4"/>
    <x v="0"/>
    <x v="0"/>
    <x v="4"/>
    <x v="57"/>
    <x v="58"/>
    <x v="8"/>
    <x v="59"/>
    <x v="3"/>
    <x v="1"/>
    <x v="2"/>
  </r>
  <r>
    <x v="517"/>
    <x v="513"/>
    <x v="0"/>
    <x v="0"/>
    <x v="1"/>
    <x v="0"/>
    <x v="2"/>
    <x v="3"/>
    <x v="1"/>
    <x v="0"/>
    <x v="0"/>
    <x v="12"/>
    <x v="63"/>
    <x v="0"/>
    <x v="5"/>
    <x v="2"/>
    <x v="1"/>
    <x v="4"/>
    <x v="0"/>
    <x v="0"/>
    <x v="4"/>
    <x v="57"/>
    <x v="58"/>
    <x v="7"/>
    <x v="1"/>
    <x v="6"/>
    <x v="1"/>
    <x v="2"/>
  </r>
  <r>
    <x v="517"/>
    <x v="513"/>
    <x v="0"/>
    <x v="0"/>
    <x v="1"/>
    <x v="0"/>
    <x v="2"/>
    <x v="3"/>
    <x v="1"/>
    <x v="0"/>
    <x v="0"/>
    <x v="12"/>
    <x v="63"/>
    <x v="0"/>
    <x v="5"/>
    <x v="2"/>
    <x v="1"/>
    <x v="4"/>
    <x v="0"/>
    <x v="0"/>
    <x v="4"/>
    <x v="57"/>
    <x v="58"/>
    <x v="0"/>
    <x v="59"/>
    <x v="0"/>
    <x v="1"/>
    <x v="2"/>
  </r>
  <r>
    <x v="427"/>
    <x v="425"/>
    <x v="0"/>
    <x v="0"/>
    <x v="1"/>
    <x v="0"/>
    <x v="2"/>
    <x v="3"/>
    <x v="1"/>
    <x v="0"/>
    <x v="0"/>
    <x v="12"/>
    <x v="63"/>
    <x v="0"/>
    <x v="4"/>
    <x v="2"/>
    <x v="1"/>
    <x v="4"/>
    <x v="0"/>
    <x v="0"/>
    <x v="4"/>
    <x v="57"/>
    <x v="58"/>
    <x v="0"/>
    <x v="59"/>
    <x v="0"/>
    <x v="1"/>
    <x v="2"/>
  </r>
  <r>
    <x v="427"/>
    <x v="425"/>
    <x v="0"/>
    <x v="0"/>
    <x v="1"/>
    <x v="0"/>
    <x v="2"/>
    <x v="3"/>
    <x v="1"/>
    <x v="0"/>
    <x v="0"/>
    <x v="12"/>
    <x v="63"/>
    <x v="0"/>
    <x v="4"/>
    <x v="2"/>
    <x v="1"/>
    <x v="4"/>
    <x v="0"/>
    <x v="0"/>
    <x v="4"/>
    <x v="57"/>
    <x v="58"/>
    <x v="10"/>
    <x v="1"/>
    <x v="5"/>
    <x v="1"/>
    <x v="2"/>
  </r>
  <r>
    <x v="338"/>
    <x v="335"/>
    <x v="0"/>
    <x v="0"/>
    <x v="1"/>
    <x v="0"/>
    <x v="2"/>
    <x v="3"/>
    <x v="1"/>
    <x v="0"/>
    <x v="0"/>
    <x v="12"/>
    <x v="63"/>
    <x v="0"/>
    <x v="3"/>
    <x v="2"/>
    <x v="1"/>
    <x v="4"/>
    <x v="0"/>
    <x v="0"/>
    <x v="4"/>
    <x v="57"/>
    <x v="58"/>
    <x v="31"/>
    <x v="59"/>
    <x v="24"/>
    <x v="1"/>
    <x v="2"/>
  </r>
  <r>
    <x v="338"/>
    <x v="335"/>
    <x v="0"/>
    <x v="0"/>
    <x v="1"/>
    <x v="0"/>
    <x v="2"/>
    <x v="3"/>
    <x v="1"/>
    <x v="0"/>
    <x v="0"/>
    <x v="12"/>
    <x v="63"/>
    <x v="0"/>
    <x v="3"/>
    <x v="2"/>
    <x v="1"/>
    <x v="4"/>
    <x v="0"/>
    <x v="0"/>
    <x v="4"/>
    <x v="57"/>
    <x v="58"/>
    <x v="0"/>
    <x v="59"/>
    <x v="0"/>
    <x v="1"/>
    <x v="2"/>
  </r>
  <r>
    <x v="248"/>
    <x v="244"/>
    <x v="0"/>
    <x v="0"/>
    <x v="1"/>
    <x v="0"/>
    <x v="2"/>
    <x v="3"/>
    <x v="1"/>
    <x v="0"/>
    <x v="0"/>
    <x v="12"/>
    <x v="63"/>
    <x v="0"/>
    <x v="2"/>
    <x v="2"/>
    <x v="1"/>
    <x v="4"/>
    <x v="0"/>
    <x v="0"/>
    <x v="4"/>
    <x v="57"/>
    <x v="58"/>
    <x v="32"/>
    <x v="59"/>
    <x v="23"/>
    <x v="1"/>
    <x v="2"/>
  </r>
  <r>
    <x v="248"/>
    <x v="244"/>
    <x v="0"/>
    <x v="0"/>
    <x v="1"/>
    <x v="0"/>
    <x v="2"/>
    <x v="3"/>
    <x v="1"/>
    <x v="0"/>
    <x v="0"/>
    <x v="12"/>
    <x v="63"/>
    <x v="0"/>
    <x v="2"/>
    <x v="2"/>
    <x v="1"/>
    <x v="4"/>
    <x v="0"/>
    <x v="0"/>
    <x v="4"/>
    <x v="57"/>
    <x v="58"/>
    <x v="0"/>
    <x v="59"/>
    <x v="0"/>
    <x v="1"/>
    <x v="2"/>
  </r>
  <r>
    <x v="157"/>
    <x v="154"/>
    <x v="0"/>
    <x v="0"/>
    <x v="1"/>
    <x v="0"/>
    <x v="2"/>
    <x v="3"/>
    <x v="1"/>
    <x v="0"/>
    <x v="0"/>
    <x v="12"/>
    <x v="63"/>
    <x v="0"/>
    <x v="1"/>
    <x v="2"/>
    <x v="1"/>
    <x v="4"/>
    <x v="0"/>
    <x v="0"/>
    <x v="4"/>
    <x v="57"/>
    <x v="58"/>
    <x v="33"/>
    <x v="3"/>
    <x v="21"/>
    <x v="1"/>
    <x v="2"/>
  </r>
  <r>
    <x v="157"/>
    <x v="154"/>
    <x v="0"/>
    <x v="0"/>
    <x v="1"/>
    <x v="0"/>
    <x v="2"/>
    <x v="3"/>
    <x v="1"/>
    <x v="0"/>
    <x v="0"/>
    <x v="12"/>
    <x v="63"/>
    <x v="0"/>
    <x v="1"/>
    <x v="2"/>
    <x v="1"/>
    <x v="4"/>
    <x v="0"/>
    <x v="0"/>
    <x v="4"/>
    <x v="57"/>
    <x v="58"/>
    <x v="0"/>
    <x v="59"/>
    <x v="0"/>
    <x v="1"/>
    <x v="2"/>
  </r>
  <r>
    <x v="57"/>
    <x v="52"/>
    <x v="0"/>
    <x v="0"/>
    <x v="1"/>
    <x v="0"/>
    <x v="2"/>
    <x v="3"/>
    <x v="1"/>
    <x v="0"/>
    <x v="0"/>
    <x v="12"/>
    <x v="63"/>
    <x v="0"/>
    <x v="0"/>
    <x v="2"/>
    <x v="1"/>
    <x v="4"/>
    <x v="0"/>
    <x v="0"/>
    <x v="4"/>
    <x v="57"/>
    <x v="58"/>
    <x v="55"/>
    <x v="5"/>
    <x v="33"/>
    <x v="1"/>
    <x v="2"/>
  </r>
  <r>
    <x v="57"/>
    <x v="52"/>
    <x v="0"/>
    <x v="0"/>
    <x v="1"/>
    <x v="0"/>
    <x v="2"/>
    <x v="3"/>
    <x v="1"/>
    <x v="0"/>
    <x v="0"/>
    <x v="12"/>
    <x v="63"/>
    <x v="0"/>
    <x v="0"/>
    <x v="2"/>
    <x v="1"/>
    <x v="4"/>
    <x v="0"/>
    <x v="0"/>
    <x v="4"/>
    <x v="57"/>
    <x v="58"/>
    <x v="0"/>
    <x v="59"/>
    <x v="0"/>
    <x v="1"/>
    <x v="2"/>
  </r>
  <r>
    <x v="634"/>
    <x v="605"/>
    <x v="0"/>
    <x v="0"/>
    <x v="1"/>
    <x v="0"/>
    <x v="2"/>
    <x v="3"/>
    <x v="1"/>
    <x v="0"/>
    <x v="0"/>
    <x v="9"/>
    <x v="64"/>
    <x v="0"/>
    <x v="6"/>
    <x v="2"/>
    <x v="1"/>
    <x v="4"/>
    <x v="0"/>
    <x v="0"/>
    <x v="4"/>
    <x v="82"/>
    <x v="59"/>
    <x v="0"/>
    <x v="59"/>
    <x v="0"/>
    <x v="1"/>
    <x v="2"/>
  </r>
  <r>
    <x v="542"/>
    <x v="514"/>
    <x v="0"/>
    <x v="0"/>
    <x v="1"/>
    <x v="0"/>
    <x v="2"/>
    <x v="3"/>
    <x v="1"/>
    <x v="0"/>
    <x v="0"/>
    <x v="9"/>
    <x v="64"/>
    <x v="0"/>
    <x v="5"/>
    <x v="2"/>
    <x v="1"/>
    <x v="4"/>
    <x v="0"/>
    <x v="0"/>
    <x v="4"/>
    <x v="82"/>
    <x v="59"/>
    <x v="0"/>
    <x v="59"/>
    <x v="0"/>
    <x v="1"/>
    <x v="2"/>
  </r>
  <r>
    <x v="452"/>
    <x v="426"/>
    <x v="0"/>
    <x v="0"/>
    <x v="1"/>
    <x v="0"/>
    <x v="2"/>
    <x v="3"/>
    <x v="1"/>
    <x v="0"/>
    <x v="0"/>
    <x v="9"/>
    <x v="64"/>
    <x v="0"/>
    <x v="4"/>
    <x v="2"/>
    <x v="1"/>
    <x v="4"/>
    <x v="0"/>
    <x v="0"/>
    <x v="4"/>
    <x v="82"/>
    <x v="59"/>
    <x v="0"/>
    <x v="59"/>
    <x v="0"/>
    <x v="1"/>
    <x v="2"/>
  </r>
  <r>
    <x v="363"/>
    <x v="336"/>
    <x v="0"/>
    <x v="0"/>
    <x v="1"/>
    <x v="0"/>
    <x v="2"/>
    <x v="3"/>
    <x v="1"/>
    <x v="0"/>
    <x v="0"/>
    <x v="9"/>
    <x v="64"/>
    <x v="0"/>
    <x v="3"/>
    <x v="2"/>
    <x v="1"/>
    <x v="4"/>
    <x v="0"/>
    <x v="0"/>
    <x v="4"/>
    <x v="82"/>
    <x v="59"/>
    <x v="0"/>
    <x v="59"/>
    <x v="0"/>
    <x v="1"/>
    <x v="2"/>
  </r>
  <r>
    <x v="273"/>
    <x v="245"/>
    <x v="0"/>
    <x v="0"/>
    <x v="1"/>
    <x v="0"/>
    <x v="2"/>
    <x v="3"/>
    <x v="1"/>
    <x v="0"/>
    <x v="0"/>
    <x v="9"/>
    <x v="64"/>
    <x v="0"/>
    <x v="2"/>
    <x v="2"/>
    <x v="1"/>
    <x v="4"/>
    <x v="0"/>
    <x v="0"/>
    <x v="4"/>
    <x v="82"/>
    <x v="59"/>
    <x v="0"/>
    <x v="59"/>
    <x v="0"/>
    <x v="1"/>
    <x v="2"/>
  </r>
  <r>
    <x v="182"/>
    <x v="155"/>
    <x v="0"/>
    <x v="0"/>
    <x v="1"/>
    <x v="0"/>
    <x v="2"/>
    <x v="3"/>
    <x v="1"/>
    <x v="0"/>
    <x v="0"/>
    <x v="9"/>
    <x v="64"/>
    <x v="0"/>
    <x v="1"/>
    <x v="2"/>
    <x v="1"/>
    <x v="4"/>
    <x v="0"/>
    <x v="0"/>
    <x v="4"/>
    <x v="82"/>
    <x v="59"/>
    <x v="0"/>
    <x v="59"/>
    <x v="0"/>
    <x v="1"/>
    <x v="2"/>
  </r>
  <r>
    <x v="82"/>
    <x v="53"/>
    <x v="0"/>
    <x v="0"/>
    <x v="1"/>
    <x v="0"/>
    <x v="2"/>
    <x v="3"/>
    <x v="1"/>
    <x v="0"/>
    <x v="0"/>
    <x v="9"/>
    <x v="64"/>
    <x v="0"/>
    <x v="0"/>
    <x v="2"/>
    <x v="1"/>
    <x v="4"/>
    <x v="0"/>
    <x v="0"/>
    <x v="4"/>
    <x v="82"/>
    <x v="59"/>
    <x v="0"/>
    <x v="59"/>
    <x v="0"/>
    <x v="1"/>
    <x v="2"/>
  </r>
  <r>
    <x v="637"/>
    <x v="606"/>
    <x v="0"/>
    <x v="0"/>
    <x v="1"/>
    <x v="0"/>
    <x v="2"/>
    <x v="3"/>
    <x v="1"/>
    <x v="0"/>
    <x v="0"/>
    <x v="11"/>
    <x v="62"/>
    <x v="0"/>
    <x v="6"/>
    <x v="2"/>
    <x v="1"/>
    <x v="4"/>
    <x v="0"/>
    <x v="0"/>
    <x v="4"/>
    <x v="85"/>
    <x v="60"/>
    <x v="0"/>
    <x v="59"/>
    <x v="0"/>
    <x v="1"/>
    <x v="2"/>
  </r>
  <r>
    <x v="545"/>
    <x v="515"/>
    <x v="0"/>
    <x v="0"/>
    <x v="1"/>
    <x v="0"/>
    <x v="2"/>
    <x v="3"/>
    <x v="1"/>
    <x v="0"/>
    <x v="0"/>
    <x v="11"/>
    <x v="62"/>
    <x v="0"/>
    <x v="5"/>
    <x v="2"/>
    <x v="1"/>
    <x v="4"/>
    <x v="0"/>
    <x v="0"/>
    <x v="4"/>
    <x v="85"/>
    <x v="60"/>
    <x v="0"/>
    <x v="59"/>
    <x v="0"/>
    <x v="1"/>
    <x v="2"/>
  </r>
  <r>
    <x v="455"/>
    <x v="427"/>
    <x v="0"/>
    <x v="0"/>
    <x v="1"/>
    <x v="0"/>
    <x v="2"/>
    <x v="3"/>
    <x v="1"/>
    <x v="0"/>
    <x v="0"/>
    <x v="11"/>
    <x v="62"/>
    <x v="0"/>
    <x v="4"/>
    <x v="2"/>
    <x v="1"/>
    <x v="4"/>
    <x v="0"/>
    <x v="0"/>
    <x v="4"/>
    <x v="85"/>
    <x v="60"/>
    <x v="0"/>
    <x v="59"/>
    <x v="0"/>
    <x v="1"/>
    <x v="2"/>
  </r>
  <r>
    <x v="366"/>
    <x v="337"/>
    <x v="0"/>
    <x v="0"/>
    <x v="1"/>
    <x v="0"/>
    <x v="2"/>
    <x v="3"/>
    <x v="1"/>
    <x v="0"/>
    <x v="0"/>
    <x v="11"/>
    <x v="62"/>
    <x v="0"/>
    <x v="3"/>
    <x v="2"/>
    <x v="1"/>
    <x v="4"/>
    <x v="0"/>
    <x v="0"/>
    <x v="4"/>
    <x v="85"/>
    <x v="60"/>
    <x v="0"/>
    <x v="59"/>
    <x v="0"/>
    <x v="1"/>
    <x v="2"/>
  </r>
  <r>
    <x v="276"/>
    <x v="246"/>
    <x v="0"/>
    <x v="0"/>
    <x v="1"/>
    <x v="0"/>
    <x v="2"/>
    <x v="3"/>
    <x v="1"/>
    <x v="0"/>
    <x v="0"/>
    <x v="11"/>
    <x v="62"/>
    <x v="0"/>
    <x v="2"/>
    <x v="2"/>
    <x v="1"/>
    <x v="4"/>
    <x v="0"/>
    <x v="0"/>
    <x v="4"/>
    <x v="85"/>
    <x v="60"/>
    <x v="0"/>
    <x v="59"/>
    <x v="0"/>
    <x v="1"/>
    <x v="2"/>
  </r>
  <r>
    <x v="185"/>
    <x v="156"/>
    <x v="0"/>
    <x v="0"/>
    <x v="1"/>
    <x v="0"/>
    <x v="2"/>
    <x v="3"/>
    <x v="1"/>
    <x v="0"/>
    <x v="0"/>
    <x v="11"/>
    <x v="62"/>
    <x v="0"/>
    <x v="1"/>
    <x v="2"/>
    <x v="1"/>
    <x v="4"/>
    <x v="0"/>
    <x v="0"/>
    <x v="4"/>
    <x v="85"/>
    <x v="60"/>
    <x v="0"/>
    <x v="59"/>
    <x v="0"/>
    <x v="1"/>
    <x v="2"/>
  </r>
  <r>
    <x v="85"/>
    <x v="54"/>
    <x v="0"/>
    <x v="0"/>
    <x v="1"/>
    <x v="0"/>
    <x v="2"/>
    <x v="3"/>
    <x v="1"/>
    <x v="0"/>
    <x v="0"/>
    <x v="11"/>
    <x v="62"/>
    <x v="0"/>
    <x v="0"/>
    <x v="2"/>
    <x v="1"/>
    <x v="4"/>
    <x v="0"/>
    <x v="0"/>
    <x v="4"/>
    <x v="85"/>
    <x v="60"/>
    <x v="0"/>
    <x v="59"/>
    <x v="0"/>
    <x v="1"/>
    <x v="2"/>
  </r>
  <r>
    <x v="632"/>
    <x v="607"/>
    <x v="0"/>
    <x v="0"/>
    <x v="1"/>
    <x v="0"/>
    <x v="2"/>
    <x v="3"/>
    <x v="1"/>
    <x v="0"/>
    <x v="0"/>
    <x v="10"/>
    <x v="65"/>
    <x v="0"/>
    <x v="6"/>
    <x v="2"/>
    <x v="1"/>
    <x v="4"/>
    <x v="0"/>
    <x v="0"/>
    <x v="4"/>
    <x v="80"/>
    <x v="61"/>
    <x v="0"/>
    <x v="59"/>
    <x v="0"/>
    <x v="1"/>
    <x v="2"/>
  </r>
  <r>
    <x v="540"/>
    <x v="516"/>
    <x v="0"/>
    <x v="0"/>
    <x v="1"/>
    <x v="0"/>
    <x v="2"/>
    <x v="3"/>
    <x v="1"/>
    <x v="0"/>
    <x v="0"/>
    <x v="10"/>
    <x v="65"/>
    <x v="0"/>
    <x v="5"/>
    <x v="2"/>
    <x v="1"/>
    <x v="4"/>
    <x v="0"/>
    <x v="0"/>
    <x v="4"/>
    <x v="80"/>
    <x v="61"/>
    <x v="0"/>
    <x v="59"/>
    <x v="0"/>
    <x v="1"/>
    <x v="2"/>
  </r>
  <r>
    <x v="450"/>
    <x v="428"/>
    <x v="0"/>
    <x v="0"/>
    <x v="1"/>
    <x v="0"/>
    <x v="2"/>
    <x v="3"/>
    <x v="1"/>
    <x v="0"/>
    <x v="0"/>
    <x v="10"/>
    <x v="65"/>
    <x v="0"/>
    <x v="4"/>
    <x v="2"/>
    <x v="1"/>
    <x v="4"/>
    <x v="0"/>
    <x v="0"/>
    <x v="4"/>
    <x v="80"/>
    <x v="61"/>
    <x v="0"/>
    <x v="59"/>
    <x v="0"/>
    <x v="1"/>
    <x v="2"/>
  </r>
  <r>
    <x v="361"/>
    <x v="338"/>
    <x v="0"/>
    <x v="0"/>
    <x v="1"/>
    <x v="0"/>
    <x v="2"/>
    <x v="3"/>
    <x v="1"/>
    <x v="0"/>
    <x v="0"/>
    <x v="10"/>
    <x v="65"/>
    <x v="0"/>
    <x v="3"/>
    <x v="2"/>
    <x v="1"/>
    <x v="4"/>
    <x v="0"/>
    <x v="0"/>
    <x v="4"/>
    <x v="80"/>
    <x v="61"/>
    <x v="0"/>
    <x v="59"/>
    <x v="0"/>
    <x v="1"/>
    <x v="2"/>
  </r>
  <r>
    <x v="271"/>
    <x v="247"/>
    <x v="0"/>
    <x v="0"/>
    <x v="1"/>
    <x v="0"/>
    <x v="2"/>
    <x v="3"/>
    <x v="1"/>
    <x v="0"/>
    <x v="0"/>
    <x v="10"/>
    <x v="65"/>
    <x v="0"/>
    <x v="2"/>
    <x v="2"/>
    <x v="1"/>
    <x v="4"/>
    <x v="0"/>
    <x v="0"/>
    <x v="4"/>
    <x v="80"/>
    <x v="61"/>
    <x v="0"/>
    <x v="59"/>
    <x v="0"/>
    <x v="1"/>
    <x v="2"/>
  </r>
  <r>
    <x v="180"/>
    <x v="157"/>
    <x v="0"/>
    <x v="0"/>
    <x v="1"/>
    <x v="0"/>
    <x v="2"/>
    <x v="3"/>
    <x v="1"/>
    <x v="0"/>
    <x v="0"/>
    <x v="10"/>
    <x v="65"/>
    <x v="0"/>
    <x v="1"/>
    <x v="2"/>
    <x v="1"/>
    <x v="4"/>
    <x v="0"/>
    <x v="0"/>
    <x v="4"/>
    <x v="80"/>
    <x v="61"/>
    <x v="0"/>
    <x v="59"/>
    <x v="0"/>
    <x v="1"/>
    <x v="2"/>
  </r>
  <r>
    <x v="80"/>
    <x v="55"/>
    <x v="0"/>
    <x v="0"/>
    <x v="1"/>
    <x v="0"/>
    <x v="2"/>
    <x v="3"/>
    <x v="1"/>
    <x v="0"/>
    <x v="0"/>
    <x v="10"/>
    <x v="65"/>
    <x v="0"/>
    <x v="0"/>
    <x v="2"/>
    <x v="1"/>
    <x v="4"/>
    <x v="0"/>
    <x v="0"/>
    <x v="4"/>
    <x v="80"/>
    <x v="61"/>
    <x v="0"/>
    <x v="59"/>
    <x v="0"/>
    <x v="1"/>
    <x v="2"/>
  </r>
  <r>
    <x v="636"/>
    <x v="608"/>
    <x v="0"/>
    <x v="0"/>
    <x v="1"/>
    <x v="0"/>
    <x v="2"/>
    <x v="3"/>
    <x v="1"/>
    <x v="0"/>
    <x v="0"/>
    <x v="12"/>
    <x v="63"/>
    <x v="0"/>
    <x v="6"/>
    <x v="2"/>
    <x v="1"/>
    <x v="4"/>
    <x v="0"/>
    <x v="0"/>
    <x v="4"/>
    <x v="84"/>
    <x v="62"/>
    <x v="0"/>
    <x v="59"/>
    <x v="0"/>
    <x v="1"/>
    <x v="2"/>
  </r>
  <r>
    <x v="544"/>
    <x v="517"/>
    <x v="0"/>
    <x v="0"/>
    <x v="1"/>
    <x v="0"/>
    <x v="2"/>
    <x v="3"/>
    <x v="1"/>
    <x v="0"/>
    <x v="0"/>
    <x v="12"/>
    <x v="63"/>
    <x v="0"/>
    <x v="5"/>
    <x v="2"/>
    <x v="1"/>
    <x v="4"/>
    <x v="0"/>
    <x v="0"/>
    <x v="4"/>
    <x v="84"/>
    <x v="62"/>
    <x v="0"/>
    <x v="59"/>
    <x v="0"/>
    <x v="1"/>
    <x v="2"/>
  </r>
  <r>
    <x v="454"/>
    <x v="429"/>
    <x v="0"/>
    <x v="0"/>
    <x v="1"/>
    <x v="0"/>
    <x v="2"/>
    <x v="3"/>
    <x v="1"/>
    <x v="0"/>
    <x v="0"/>
    <x v="12"/>
    <x v="63"/>
    <x v="0"/>
    <x v="4"/>
    <x v="2"/>
    <x v="1"/>
    <x v="4"/>
    <x v="0"/>
    <x v="0"/>
    <x v="4"/>
    <x v="84"/>
    <x v="62"/>
    <x v="0"/>
    <x v="59"/>
    <x v="0"/>
    <x v="1"/>
    <x v="2"/>
  </r>
  <r>
    <x v="365"/>
    <x v="339"/>
    <x v="0"/>
    <x v="0"/>
    <x v="1"/>
    <x v="0"/>
    <x v="2"/>
    <x v="3"/>
    <x v="1"/>
    <x v="0"/>
    <x v="0"/>
    <x v="12"/>
    <x v="63"/>
    <x v="0"/>
    <x v="3"/>
    <x v="2"/>
    <x v="1"/>
    <x v="4"/>
    <x v="0"/>
    <x v="0"/>
    <x v="4"/>
    <x v="84"/>
    <x v="62"/>
    <x v="0"/>
    <x v="59"/>
    <x v="0"/>
    <x v="1"/>
    <x v="2"/>
  </r>
  <r>
    <x v="275"/>
    <x v="248"/>
    <x v="0"/>
    <x v="0"/>
    <x v="1"/>
    <x v="0"/>
    <x v="2"/>
    <x v="3"/>
    <x v="1"/>
    <x v="0"/>
    <x v="0"/>
    <x v="12"/>
    <x v="63"/>
    <x v="0"/>
    <x v="2"/>
    <x v="2"/>
    <x v="1"/>
    <x v="4"/>
    <x v="0"/>
    <x v="0"/>
    <x v="4"/>
    <x v="84"/>
    <x v="62"/>
    <x v="0"/>
    <x v="59"/>
    <x v="0"/>
    <x v="1"/>
    <x v="2"/>
  </r>
  <r>
    <x v="184"/>
    <x v="158"/>
    <x v="0"/>
    <x v="0"/>
    <x v="1"/>
    <x v="0"/>
    <x v="2"/>
    <x v="3"/>
    <x v="1"/>
    <x v="0"/>
    <x v="0"/>
    <x v="12"/>
    <x v="63"/>
    <x v="0"/>
    <x v="1"/>
    <x v="2"/>
    <x v="1"/>
    <x v="4"/>
    <x v="0"/>
    <x v="0"/>
    <x v="4"/>
    <x v="84"/>
    <x v="62"/>
    <x v="0"/>
    <x v="59"/>
    <x v="0"/>
    <x v="1"/>
    <x v="2"/>
  </r>
  <r>
    <x v="84"/>
    <x v="56"/>
    <x v="0"/>
    <x v="0"/>
    <x v="1"/>
    <x v="0"/>
    <x v="2"/>
    <x v="3"/>
    <x v="1"/>
    <x v="0"/>
    <x v="0"/>
    <x v="12"/>
    <x v="63"/>
    <x v="0"/>
    <x v="0"/>
    <x v="2"/>
    <x v="1"/>
    <x v="4"/>
    <x v="0"/>
    <x v="0"/>
    <x v="4"/>
    <x v="84"/>
    <x v="62"/>
    <x v="0"/>
    <x v="59"/>
    <x v="0"/>
    <x v="1"/>
    <x v="2"/>
  </r>
  <r>
    <x v="612"/>
    <x v="634"/>
    <x v="0"/>
    <x v="0"/>
    <x v="1"/>
    <x v="0"/>
    <x v="2"/>
    <x v="3"/>
    <x v="1"/>
    <x v="0"/>
    <x v="0"/>
    <x v="13"/>
    <x v="59"/>
    <x v="0"/>
    <x v="6"/>
    <x v="2"/>
    <x v="1"/>
    <x v="4"/>
    <x v="0"/>
    <x v="0"/>
    <x v="4"/>
    <x v="60"/>
    <x v="88"/>
    <x v="236"/>
    <x v="50"/>
    <x v="189"/>
    <x v="1"/>
    <x v="2"/>
  </r>
  <r>
    <x v="520"/>
    <x v="543"/>
    <x v="0"/>
    <x v="0"/>
    <x v="1"/>
    <x v="0"/>
    <x v="2"/>
    <x v="3"/>
    <x v="1"/>
    <x v="0"/>
    <x v="0"/>
    <x v="13"/>
    <x v="59"/>
    <x v="0"/>
    <x v="5"/>
    <x v="2"/>
    <x v="1"/>
    <x v="4"/>
    <x v="0"/>
    <x v="0"/>
    <x v="4"/>
    <x v="60"/>
    <x v="88"/>
    <x v="238"/>
    <x v="46"/>
    <x v="191"/>
    <x v="1"/>
    <x v="2"/>
  </r>
  <r>
    <x v="430"/>
    <x v="455"/>
    <x v="0"/>
    <x v="0"/>
    <x v="1"/>
    <x v="0"/>
    <x v="2"/>
    <x v="3"/>
    <x v="1"/>
    <x v="0"/>
    <x v="0"/>
    <x v="13"/>
    <x v="59"/>
    <x v="0"/>
    <x v="4"/>
    <x v="2"/>
    <x v="1"/>
    <x v="4"/>
    <x v="0"/>
    <x v="0"/>
    <x v="4"/>
    <x v="60"/>
    <x v="88"/>
    <x v="251"/>
    <x v="44"/>
    <x v="190"/>
    <x v="1"/>
    <x v="2"/>
  </r>
  <r>
    <x v="341"/>
    <x v="365"/>
    <x v="0"/>
    <x v="0"/>
    <x v="1"/>
    <x v="0"/>
    <x v="2"/>
    <x v="3"/>
    <x v="1"/>
    <x v="0"/>
    <x v="0"/>
    <x v="13"/>
    <x v="59"/>
    <x v="0"/>
    <x v="3"/>
    <x v="2"/>
    <x v="1"/>
    <x v="4"/>
    <x v="0"/>
    <x v="0"/>
    <x v="4"/>
    <x v="60"/>
    <x v="88"/>
    <x v="245"/>
    <x v="55"/>
    <x v="197"/>
    <x v="1"/>
    <x v="2"/>
  </r>
  <r>
    <x v="251"/>
    <x v="274"/>
    <x v="0"/>
    <x v="0"/>
    <x v="1"/>
    <x v="0"/>
    <x v="2"/>
    <x v="3"/>
    <x v="1"/>
    <x v="0"/>
    <x v="0"/>
    <x v="13"/>
    <x v="59"/>
    <x v="0"/>
    <x v="2"/>
    <x v="2"/>
    <x v="1"/>
    <x v="4"/>
    <x v="0"/>
    <x v="0"/>
    <x v="4"/>
    <x v="60"/>
    <x v="88"/>
    <x v="251"/>
    <x v="53"/>
    <x v="183"/>
    <x v="1"/>
    <x v="2"/>
  </r>
  <r>
    <x v="160"/>
    <x v="184"/>
    <x v="0"/>
    <x v="0"/>
    <x v="1"/>
    <x v="0"/>
    <x v="2"/>
    <x v="3"/>
    <x v="1"/>
    <x v="0"/>
    <x v="0"/>
    <x v="13"/>
    <x v="59"/>
    <x v="0"/>
    <x v="1"/>
    <x v="2"/>
    <x v="1"/>
    <x v="4"/>
    <x v="0"/>
    <x v="0"/>
    <x v="4"/>
    <x v="60"/>
    <x v="88"/>
    <x v="262"/>
    <x v="54"/>
    <x v="187"/>
    <x v="1"/>
    <x v="2"/>
  </r>
  <r>
    <x v="60"/>
    <x v="82"/>
    <x v="0"/>
    <x v="0"/>
    <x v="1"/>
    <x v="0"/>
    <x v="2"/>
    <x v="3"/>
    <x v="1"/>
    <x v="0"/>
    <x v="0"/>
    <x v="13"/>
    <x v="59"/>
    <x v="0"/>
    <x v="0"/>
    <x v="2"/>
    <x v="1"/>
    <x v="4"/>
    <x v="0"/>
    <x v="0"/>
    <x v="4"/>
    <x v="60"/>
    <x v="88"/>
    <x v="265"/>
    <x v="58"/>
    <x v="199"/>
    <x v="1"/>
    <x v="2"/>
  </r>
  <r>
    <x v="611"/>
    <x v="635"/>
    <x v="0"/>
    <x v="0"/>
    <x v="1"/>
    <x v="0"/>
    <x v="2"/>
    <x v="3"/>
    <x v="1"/>
    <x v="0"/>
    <x v="0"/>
    <x v="14"/>
    <x v="60"/>
    <x v="0"/>
    <x v="6"/>
    <x v="2"/>
    <x v="1"/>
    <x v="4"/>
    <x v="0"/>
    <x v="0"/>
    <x v="4"/>
    <x v="59"/>
    <x v="89"/>
    <x v="1"/>
    <x v="59"/>
    <x v="0"/>
    <x v="1"/>
    <x v="2"/>
  </r>
  <r>
    <x v="519"/>
    <x v="544"/>
    <x v="0"/>
    <x v="0"/>
    <x v="1"/>
    <x v="0"/>
    <x v="2"/>
    <x v="3"/>
    <x v="1"/>
    <x v="0"/>
    <x v="0"/>
    <x v="14"/>
    <x v="60"/>
    <x v="0"/>
    <x v="5"/>
    <x v="2"/>
    <x v="1"/>
    <x v="4"/>
    <x v="0"/>
    <x v="0"/>
    <x v="4"/>
    <x v="59"/>
    <x v="89"/>
    <x v="1"/>
    <x v="59"/>
    <x v="0"/>
    <x v="1"/>
    <x v="2"/>
  </r>
  <r>
    <x v="429"/>
    <x v="456"/>
    <x v="0"/>
    <x v="0"/>
    <x v="1"/>
    <x v="0"/>
    <x v="2"/>
    <x v="3"/>
    <x v="1"/>
    <x v="0"/>
    <x v="0"/>
    <x v="14"/>
    <x v="60"/>
    <x v="0"/>
    <x v="4"/>
    <x v="2"/>
    <x v="1"/>
    <x v="4"/>
    <x v="0"/>
    <x v="0"/>
    <x v="4"/>
    <x v="59"/>
    <x v="89"/>
    <x v="1"/>
    <x v="59"/>
    <x v="0"/>
    <x v="1"/>
    <x v="2"/>
  </r>
  <r>
    <x v="340"/>
    <x v="366"/>
    <x v="0"/>
    <x v="0"/>
    <x v="1"/>
    <x v="0"/>
    <x v="2"/>
    <x v="3"/>
    <x v="1"/>
    <x v="0"/>
    <x v="0"/>
    <x v="14"/>
    <x v="60"/>
    <x v="0"/>
    <x v="3"/>
    <x v="2"/>
    <x v="1"/>
    <x v="4"/>
    <x v="0"/>
    <x v="0"/>
    <x v="4"/>
    <x v="59"/>
    <x v="89"/>
    <x v="0"/>
    <x v="59"/>
    <x v="0"/>
    <x v="1"/>
    <x v="2"/>
  </r>
  <r>
    <x v="250"/>
    <x v="275"/>
    <x v="0"/>
    <x v="0"/>
    <x v="1"/>
    <x v="0"/>
    <x v="2"/>
    <x v="3"/>
    <x v="1"/>
    <x v="0"/>
    <x v="0"/>
    <x v="14"/>
    <x v="60"/>
    <x v="0"/>
    <x v="2"/>
    <x v="2"/>
    <x v="1"/>
    <x v="4"/>
    <x v="0"/>
    <x v="0"/>
    <x v="4"/>
    <x v="59"/>
    <x v="89"/>
    <x v="6"/>
    <x v="59"/>
    <x v="3"/>
    <x v="1"/>
    <x v="2"/>
  </r>
  <r>
    <x v="159"/>
    <x v="185"/>
    <x v="0"/>
    <x v="0"/>
    <x v="1"/>
    <x v="0"/>
    <x v="2"/>
    <x v="3"/>
    <x v="1"/>
    <x v="0"/>
    <x v="0"/>
    <x v="14"/>
    <x v="60"/>
    <x v="0"/>
    <x v="1"/>
    <x v="2"/>
    <x v="1"/>
    <x v="4"/>
    <x v="0"/>
    <x v="0"/>
    <x v="4"/>
    <x v="59"/>
    <x v="89"/>
    <x v="5"/>
    <x v="59"/>
    <x v="5"/>
    <x v="1"/>
    <x v="2"/>
  </r>
  <r>
    <x v="59"/>
    <x v="83"/>
    <x v="0"/>
    <x v="0"/>
    <x v="1"/>
    <x v="0"/>
    <x v="2"/>
    <x v="3"/>
    <x v="1"/>
    <x v="0"/>
    <x v="0"/>
    <x v="14"/>
    <x v="60"/>
    <x v="0"/>
    <x v="0"/>
    <x v="2"/>
    <x v="1"/>
    <x v="4"/>
    <x v="0"/>
    <x v="0"/>
    <x v="4"/>
    <x v="59"/>
    <x v="89"/>
    <x v="8"/>
    <x v="59"/>
    <x v="4"/>
    <x v="1"/>
    <x v="2"/>
  </r>
  <r>
    <x v="613"/>
    <x v="636"/>
    <x v="0"/>
    <x v="0"/>
    <x v="1"/>
    <x v="0"/>
    <x v="2"/>
    <x v="3"/>
    <x v="1"/>
    <x v="0"/>
    <x v="0"/>
    <x v="15"/>
    <x v="58"/>
    <x v="0"/>
    <x v="6"/>
    <x v="2"/>
    <x v="1"/>
    <x v="4"/>
    <x v="0"/>
    <x v="0"/>
    <x v="4"/>
    <x v="61"/>
    <x v="90"/>
    <x v="0"/>
    <x v="59"/>
    <x v="0"/>
    <x v="1"/>
    <x v="2"/>
  </r>
  <r>
    <x v="521"/>
    <x v="545"/>
    <x v="0"/>
    <x v="0"/>
    <x v="1"/>
    <x v="0"/>
    <x v="2"/>
    <x v="3"/>
    <x v="1"/>
    <x v="0"/>
    <x v="0"/>
    <x v="15"/>
    <x v="58"/>
    <x v="0"/>
    <x v="5"/>
    <x v="2"/>
    <x v="1"/>
    <x v="4"/>
    <x v="0"/>
    <x v="0"/>
    <x v="4"/>
    <x v="61"/>
    <x v="90"/>
    <x v="0"/>
    <x v="59"/>
    <x v="0"/>
    <x v="1"/>
    <x v="2"/>
  </r>
  <r>
    <x v="431"/>
    <x v="457"/>
    <x v="0"/>
    <x v="0"/>
    <x v="1"/>
    <x v="0"/>
    <x v="2"/>
    <x v="3"/>
    <x v="1"/>
    <x v="0"/>
    <x v="0"/>
    <x v="15"/>
    <x v="58"/>
    <x v="0"/>
    <x v="4"/>
    <x v="2"/>
    <x v="1"/>
    <x v="4"/>
    <x v="0"/>
    <x v="0"/>
    <x v="4"/>
    <x v="61"/>
    <x v="90"/>
    <x v="1"/>
    <x v="59"/>
    <x v="0"/>
    <x v="1"/>
    <x v="2"/>
  </r>
  <r>
    <x v="342"/>
    <x v="367"/>
    <x v="0"/>
    <x v="0"/>
    <x v="1"/>
    <x v="0"/>
    <x v="2"/>
    <x v="3"/>
    <x v="1"/>
    <x v="0"/>
    <x v="0"/>
    <x v="15"/>
    <x v="58"/>
    <x v="0"/>
    <x v="3"/>
    <x v="2"/>
    <x v="1"/>
    <x v="4"/>
    <x v="0"/>
    <x v="0"/>
    <x v="4"/>
    <x v="61"/>
    <x v="90"/>
    <x v="1"/>
    <x v="59"/>
    <x v="0"/>
    <x v="1"/>
    <x v="2"/>
  </r>
  <r>
    <x v="252"/>
    <x v="276"/>
    <x v="0"/>
    <x v="0"/>
    <x v="1"/>
    <x v="0"/>
    <x v="2"/>
    <x v="3"/>
    <x v="1"/>
    <x v="0"/>
    <x v="0"/>
    <x v="15"/>
    <x v="58"/>
    <x v="0"/>
    <x v="2"/>
    <x v="2"/>
    <x v="1"/>
    <x v="4"/>
    <x v="0"/>
    <x v="0"/>
    <x v="4"/>
    <x v="61"/>
    <x v="90"/>
    <x v="7"/>
    <x v="59"/>
    <x v="5"/>
    <x v="1"/>
    <x v="2"/>
  </r>
  <r>
    <x v="161"/>
    <x v="186"/>
    <x v="0"/>
    <x v="0"/>
    <x v="1"/>
    <x v="0"/>
    <x v="2"/>
    <x v="3"/>
    <x v="1"/>
    <x v="0"/>
    <x v="0"/>
    <x v="15"/>
    <x v="58"/>
    <x v="0"/>
    <x v="1"/>
    <x v="2"/>
    <x v="1"/>
    <x v="4"/>
    <x v="0"/>
    <x v="0"/>
    <x v="4"/>
    <x v="61"/>
    <x v="90"/>
    <x v="17"/>
    <x v="59"/>
    <x v="15"/>
    <x v="1"/>
    <x v="2"/>
  </r>
  <r>
    <x v="61"/>
    <x v="84"/>
    <x v="0"/>
    <x v="0"/>
    <x v="1"/>
    <x v="0"/>
    <x v="2"/>
    <x v="3"/>
    <x v="1"/>
    <x v="0"/>
    <x v="0"/>
    <x v="15"/>
    <x v="58"/>
    <x v="0"/>
    <x v="0"/>
    <x v="2"/>
    <x v="1"/>
    <x v="4"/>
    <x v="0"/>
    <x v="0"/>
    <x v="4"/>
    <x v="61"/>
    <x v="90"/>
    <x v="18"/>
    <x v="3"/>
    <x v="16"/>
    <x v="1"/>
    <x v="2"/>
  </r>
  <r>
    <x v="625"/>
    <x v="637"/>
    <x v="0"/>
    <x v="0"/>
    <x v="1"/>
    <x v="0"/>
    <x v="2"/>
    <x v="3"/>
    <x v="1"/>
    <x v="0"/>
    <x v="0"/>
    <x v="13"/>
    <x v="59"/>
    <x v="0"/>
    <x v="6"/>
    <x v="2"/>
    <x v="1"/>
    <x v="4"/>
    <x v="0"/>
    <x v="0"/>
    <x v="4"/>
    <x v="73"/>
    <x v="91"/>
    <x v="242"/>
    <x v="47"/>
    <x v="193"/>
    <x v="1"/>
    <x v="2"/>
  </r>
  <r>
    <x v="533"/>
    <x v="546"/>
    <x v="0"/>
    <x v="0"/>
    <x v="1"/>
    <x v="0"/>
    <x v="2"/>
    <x v="3"/>
    <x v="1"/>
    <x v="0"/>
    <x v="0"/>
    <x v="13"/>
    <x v="59"/>
    <x v="0"/>
    <x v="5"/>
    <x v="2"/>
    <x v="1"/>
    <x v="4"/>
    <x v="0"/>
    <x v="0"/>
    <x v="4"/>
    <x v="73"/>
    <x v="91"/>
    <x v="246"/>
    <x v="49"/>
    <x v="195"/>
    <x v="1"/>
    <x v="2"/>
  </r>
  <r>
    <x v="443"/>
    <x v="458"/>
    <x v="0"/>
    <x v="0"/>
    <x v="1"/>
    <x v="0"/>
    <x v="2"/>
    <x v="3"/>
    <x v="1"/>
    <x v="0"/>
    <x v="0"/>
    <x v="13"/>
    <x v="59"/>
    <x v="0"/>
    <x v="4"/>
    <x v="2"/>
    <x v="1"/>
    <x v="4"/>
    <x v="0"/>
    <x v="0"/>
    <x v="4"/>
    <x v="73"/>
    <x v="91"/>
    <x v="250"/>
    <x v="51"/>
    <x v="192"/>
    <x v="1"/>
    <x v="2"/>
  </r>
  <r>
    <x v="354"/>
    <x v="368"/>
    <x v="0"/>
    <x v="0"/>
    <x v="1"/>
    <x v="0"/>
    <x v="2"/>
    <x v="3"/>
    <x v="1"/>
    <x v="0"/>
    <x v="0"/>
    <x v="13"/>
    <x v="59"/>
    <x v="0"/>
    <x v="3"/>
    <x v="2"/>
    <x v="1"/>
    <x v="4"/>
    <x v="0"/>
    <x v="0"/>
    <x v="4"/>
    <x v="73"/>
    <x v="91"/>
    <x v="254"/>
    <x v="53"/>
    <x v="196"/>
    <x v="1"/>
    <x v="2"/>
  </r>
  <r>
    <x v="264"/>
    <x v="277"/>
    <x v="0"/>
    <x v="0"/>
    <x v="1"/>
    <x v="0"/>
    <x v="2"/>
    <x v="3"/>
    <x v="1"/>
    <x v="0"/>
    <x v="0"/>
    <x v="13"/>
    <x v="59"/>
    <x v="0"/>
    <x v="2"/>
    <x v="2"/>
    <x v="1"/>
    <x v="4"/>
    <x v="0"/>
    <x v="0"/>
    <x v="4"/>
    <x v="73"/>
    <x v="91"/>
    <x v="261"/>
    <x v="48"/>
    <x v="185"/>
    <x v="1"/>
    <x v="2"/>
  </r>
  <r>
    <x v="173"/>
    <x v="187"/>
    <x v="0"/>
    <x v="0"/>
    <x v="1"/>
    <x v="0"/>
    <x v="2"/>
    <x v="3"/>
    <x v="1"/>
    <x v="0"/>
    <x v="0"/>
    <x v="13"/>
    <x v="59"/>
    <x v="0"/>
    <x v="1"/>
    <x v="2"/>
    <x v="1"/>
    <x v="4"/>
    <x v="0"/>
    <x v="0"/>
    <x v="4"/>
    <x v="73"/>
    <x v="91"/>
    <x v="253"/>
    <x v="52"/>
    <x v="186"/>
    <x v="1"/>
    <x v="2"/>
  </r>
  <r>
    <x v="73"/>
    <x v="85"/>
    <x v="0"/>
    <x v="0"/>
    <x v="1"/>
    <x v="0"/>
    <x v="2"/>
    <x v="3"/>
    <x v="1"/>
    <x v="0"/>
    <x v="0"/>
    <x v="13"/>
    <x v="59"/>
    <x v="0"/>
    <x v="0"/>
    <x v="2"/>
    <x v="1"/>
    <x v="4"/>
    <x v="0"/>
    <x v="0"/>
    <x v="4"/>
    <x v="73"/>
    <x v="91"/>
    <x v="249"/>
    <x v="56"/>
    <x v="188"/>
    <x v="1"/>
    <x v="2"/>
  </r>
  <r>
    <x v="644"/>
    <x v="638"/>
    <x v="0"/>
    <x v="0"/>
    <x v="1"/>
    <x v="0"/>
    <x v="2"/>
    <x v="3"/>
    <x v="1"/>
    <x v="0"/>
    <x v="0"/>
    <x v="13"/>
    <x v="59"/>
    <x v="0"/>
    <x v="6"/>
    <x v="2"/>
    <x v="1"/>
    <x v="4"/>
    <x v="0"/>
    <x v="0"/>
    <x v="4"/>
    <x v="92"/>
    <x v="92"/>
    <x v="0"/>
    <x v="59"/>
    <x v="0"/>
    <x v="1"/>
    <x v="2"/>
  </r>
  <r>
    <x v="552"/>
    <x v="547"/>
    <x v="0"/>
    <x v="0"/>
    <x v="1"/>
    <x v="0"/>
    <x v="2"/>
    <x v="3"/>
    <x v="1"/>
    <x v="0"/>
    <x v="0"/>
    <x v="13"/>
    <x v="59"/>
    <x v="0"/>
    <x v="5"/>
    <x v="2"/>
    <x v="1"/>
    <x v="4"/>
    <x v="0"/>
    <x v="0"/>
    <x v="4"/>
    <x v="92"/>
    <x v="92"/>
    <x v="0"/>
    <x v="59"/>
    <x v="0"/>
    <x v="1"/>
    <x v="2"/>
  </r>
  <r>
    <x v="462"/>
    <x v="459"/>
    <x v="0"/>
    <x v="0"/>
    <x v="1"/>
    <x v="0"/>
    <x v="2"/>
    <x v="3"/>
    <x v="1"/>
    <x v="0"/>
    <x v="0"/>
    <x v="13"/>
    <x v="59"/>
    <x v="0"/>
    <x v="4"/>
    <x v="2"/>
    <x v="1"/>
    <x v="4"/>
    <x v="0"/>
    <x v="0"/>
    <x v="4"/>
    <x v="92"/>
    <x v="92"/>
    <x v="0"/>
    <x v="59"/>
    <x v="0"/>
    <x v="1"/>
    <x v="2"/>
  </r>
  <r>
    <x v="373"/>
    <x v="369"/>
    <x v="0"/>
    <x v="0"/>
    <x v="1"/>
    <x v="0"/>
    <x v="2"/>
    <x v="3"/>
    <x v="1"/>
    <x v="0"/>
    <x v="0"/>
    <x v="13"/>
    <x v="59"/>
    <x v="0"/>
    <x v="3"/>
    <x v="2"/>
    <x v="1"/>
    <x v="4"/>
    <x v="0"/>
    <x v="0"/>
    <x v="4"/>
    <x v="92"/>
    <x v="92"/>
    <x v="0"/>
    <x v="59"/>
    <x v="0"/>
    <x v="1"/>
    <x v="2"/>
  </r>
  <r>
    <x v="283"/>
    <x v="278"/>
    <x v="0"/>
    <x v="0"/>
    <x v="1"/>
    <x v="0"/>
    <x v="2"/>
    <x v="3"/>
    <x v="1"/>
    <x v="0"/>
    <x v="0"/>
    <x v="13"/>
    <x v="59"/>
    <x v="0"/>
    <x v="2"/>
    <x v="2"/>
    <x v="1"/>
    <x v="4"/>
    <x v="0"/>
    <x v="0"/>
    <x v="4"/>
    <x v="92"/>
    <x v="92"/>
    <x v="0"/>
    <x v="59"/>
    <x v="0"/>
    <x v="1"/>
    <x v="2"/>
  </r>
  <r>
    <x v="192"/>
    <x v="188"/>
    <x v="0"/>
    <x v="0"/>
    <x v="1"/>
    <x v="0"/>
    <x v="2"/>
    <x v="3"/>
    <x v="1"/>
    <x v="0"/>
    <x v="0"/>
    <x v="13"/>
    <x v="59"/>
    <x v="0"/>
    <x v="1"/>
    <x v="2"/>
    <x v="1"/>
    <x v="4"/>
    <x v="0"/>
    <x v="0"/>
    <x v="4"/>
    <x v="92"/>
    <x v="92"/>
    <x v="0"/>
    <x v="59"/>
    <x v="0"/>
    <x v="1"/>
    <x v="2"/>
  </r>
  <r>
    <x v="92"/>
    <x v="86"/>
    <x v="0"/>
    <x v="0"/>
    <x v="1"/>
    <x v="0"/>
    <x v="2"/>
    <x v="3"/>
    <x v="1"/>
    <x v="0"/>
    <x v="0"/>
    <x v="13"/>
    <x v="59"/>
    <x v="0"/>
    <x v="0"/>
    <x v="2"/>
    <x v="1"/>
    <x v="4"/>
    <x v="0"/>
    <x v="0"/>
    <x v="4"/>
    <x v="92"/>
    <x v="92"/>
    <x v="0"/>
    <x v="59"/>
    <x v="0"/>
    <x v="1"/>
    <x v="2"/>
  </r>
  <r>
    <x v="624"/>
    <x v="639"/>
    <x v="0"/>
    <x v="0"/>
    <x v="1"/>
    <x v="0"/>
    <x v="2"/>
    <x v="3"/>
    <x v="1"/>
    <x v="0"/>
    <x v="0"/>
    <x v="14"/>
    <x v="60"/>
    <x v="0"/>
    <x v="6"/>
    <x v="2"/>
    <x v="1"/>
    <x v="4"/>
    <x v="0"/>
    <x v="0"/>
    <x v="4"/>
    <x v="72"/>
    <x v="93"/>
    <x v="1"/>
    <x v="59"/>
    <x v="1"/>
    <x v="1"/>
    <x v="2"/>
  </r>
  <r>
    <x v="532"/>
    <x v="548"/>
    <x v="0"/>
    <x v="0"/>
    <x v="1"/>
    <x v="0"/>
    <x v="2"/>
    <x v="3"/>
    <x v="1"/>
    <x v="0"/>
    <x v="0"/>
    <x v="14"/>
    <x v="60"/>
    <x v="0"/>
    <x v="5"/>
    <x v="2"/>
    <x v="1"/>
    <x v="4"/>
    <x v="0"/>
    <x v="0"/>
    <x v="4"/>
    <x v="72"/>
    <x v="93"/>
    <x v="0"/>
    <x v="59"/>
    <x v="0"/>
    <x v="1"/>
    <x v="2"/>
  </r>
  <r>
    <x v="442"/>
    <x v="460"/>
    <x v="0"/>
    <x v="0"/>
    <x v="1"/>
    <x v="0"/>
    <x v="2"/>
    <x v="3"/>
    <x v="1"/>
    <x v="0"/>
    <x v="0"/>
    <x v="14"/>
    <x v="60"/>
    <x v="0"/>
    <x v="4"/>
    <x v="2"/>
    <x v="1"/>
    <x v="4"/>
    <x v="0"/>
    <x v="0"/>
    <x v="4"/>
    <x v="72"/>
    <x v="93"/>
    <x v="0"/>
    <x v="59"/>
    <x v="0"/>
    <x v="1"/>
    <x v="2"/>
  </r>
  <r>
    <x v="353"/>
    <x v="370"/>
    <x v="0"/>
    <x v="0"/>
    <x v="1"/>
    <x v="0"/>
    <x v="2"/>
    <x v="3"/>
    <x v="1"/>
    <x v="0"/>
    <x v="0"/>
    <x v="14"/>
    <x v="60"/>
    <x v="0"/>
    <x v="3"/>
    <x v="2"/>
    <x v="1"/>
    <x v="4"/>
    <x v="0"/>
    <x v="0"/>
    <x v="4"/>
    <x v="72"/>
    <x v="93"/>
    <x v="1"/>
    <x v="59"/>
    <x v="0"/>
    <x v="1"/>
    <x v="2"/>
  </r>
  <r>
    <x v="263"/>
    <x v="279"/>
    <x v="0"/>
    <x v="0"/>
    <x v="1"/>
    <x v="0"/>
    <x v="2"/>
    <x v="3"/>
    <x v="1"/>
    <x v="0"/>
    <x v="0"/>
    <x v="14"/>
    <x v="60"/>
    <x v="0"/>
    <x v="2"/>
    <x v="2"/>
    <x v="1"/>
    <x v="4"/>
    <x v="0"/>
    <x v="0"/>
    <x v="4"/>
    <x v="72"/>
    <x v="93"/>
    <x v="0"/>
    <x v="59"/>
    <x v="0"/>
    <x v="1"/>
    <x v="2"/>
  </r>
  <r>
    <x v="172"/>
    <x v="189"/>
    <x v="0"/>
    <x v="0"/>
    <x v="1"/>
    <x v="0"/>
    <x v="2"/>
    <x v="3"/>
    <x v="1"/>
    <x v="0"/>
    <x v="0"/>
    <x v="14"/>
    <x v="60"/>
    <x v="0"/>
    <x v="1"/>
    <x v="2"/>
    <x v="1"/>
    <x v="4"/>
    <x v="0"/>
    <x v="0"/>
    <x v="4"/>
    <x v="72"/>
    <x v="93"/>
    <x v="0"/>
    <x v="59"/>
    <x v="0"/>
    <x v="1"/>
    <x v="2"/>
  </r>
  <r>
    <x v="72"/>
    <x v="87"/>
    <x v="0"/>
    <x v="0"/>
    <x v="1"/>
    <x v="0"/>
    <x v="2"/>
    <x v="3"/>
    <x v="1"/>
    <x v="0"/>
    <x v="0"/>
    <x v="14"/>
    <x v="60"/>
    <x v="0"/>
    <x v="0"/>
    <x v="2"/>
    <x v="1"/>
    <x v="4"/>
    <x v="0"/>
    <x v="0"/>
    <x v="4"/>
    <x v="72"/>
    <x v="93"/>
    <x v="4"/>
    <x v="59"/>
    <x v="3"/>
    <x v="1"/>
    <x v="2"/>
  </r>
  <r>
    <x v="643"/>
    <x v="640"/>
    <x v="0"/>
    <x v="0"/>
    <x v="1"/>
    <x v="0"/>
    <x v="2"/>
    <x v="3"/>
    <x v="1"/>
    <x v="0"/>
    <x v="0"/>
    <x v="14"/>
    <x v="60"/>
    <x v="0"/>
    <x v="6"/>
    <x v="2"/>
    <x v="1"/>
    <x v="4"/>
    <x v="0"/>
    <x v="0"/>
    <x v="4"/>
    <x v="91"/>
    <x v="94"/>
    <x v="0"/>
    <x v="59"/>
    <x v="0"/>
    <x v="1"/>
    <x v="2"/>
  </r>
  <r>
    <x v="551"/>
    <x v="549"/>
    <x v="0"/>
    <x v="0"/>
    <x v="1"/>
    <x v="0"/>
    <x v="2"/>
    <x v="3"/>
    <x v="1"/>
    <x v="0"/>
    <x v="0"/>
    <x v="14"/>
    <x v="60"/>
    <x v="0"/>
    <x v="5"/>
    <x v="2"/>
    <x v="1"/>
    <x v="4"/>
    <x v="0"/>
    <x v="0"/>
    <x v="4"/>
    <x v="91"/>
    <x v="94"/>
    <x v="0"/>
    <x v="59"/>
    <x v="0"/>
    <x v="1"/>
    <x v="2"/>
  </r>
  <r>
    <x v="461"/>
    <x v="461"/>
    <x v="0"/>
    <x v="0"/>
    <x v="1"/>
    <x v="0"/>
    <x v="2"/>
    <x v="3"/>
    <x v="1"/>
    <x v="0"/>
    <x v="0"/>
    <x v="14"/>
    <x v="60"/>
    <x v="0"/>
    <x v="4"/>
    <x v="2"/>
    <x v="1"/>
    <x v="4"/>
    <x v="0"/>
    <x v="0"/>
    <x v="4"/>
    <x v="91"/>
    <x v="94"/>
    <x v="0"/>
    <x v="59"/>
    <x v="0"/>
    <x v="1"/>
    <x v="2"/>
  </r>
  <r>
    <x v="372"/>
    <x v="371"/>
    <x v="0"/>
    <x v="0"/>
    <x v="1"/>
    <x v="0"/>
    <x v="2"/>
    <x v="3"/>
    <x v="1"/>
    <x v="0"/>
    <x v="0"/>
    <x v="14"/>
    <x v="60"/>
    <x v="0"/>
    <x v="3"/>
    <x v="2"/>
    <x v="1"/>
    <x v="4"/>
    <x v="0"/>
    <x v="0"/>
    <x v="4"/>
    <x v="91"/>
    <x v="94"/>
    <x v="0"/>
    <x v="59"/>
    <x v="0"/>
    <x v="1"/>
    <x v="2"/>
  </r>
  <r>
    <x v="282"/>
    <x v="280"/>
    <x v="0"/>
    <x v="0"/>
    <x v="1"/>
    <x v="0"/>
    <x v="2"/>
    <x v="3"/>
    <x v="1"/>
    <x v="0"/>
    <x v="0"/>
    <x v="14"/>
    <x v="60"/>
    <x v="0"/>
    <x v="2"/>
    <x v="2"/>
    <x v="1"/>
    <x v="4"/>
    <x v="0"/>
    <x v="0"/>
    <x v="4"/>
    <x v="91"/>
    <x v="94"/>
    <x v="0"/>
    <x v="59"/>
    <x v="0"/>
    <x v="1"/>
    <x v="2"/>
  </r>
  <r>
    <x v="191"/>
    <x v="190"/>
    <x v="0"/>
    <x v="0"/>
    <x v="1"/>
    <x v="0"/>
    <x v="2"/>
    <x v="3"/>
    <x v="1"/>
    <x v="0"/>
    <x v="0"/>
    <x v="14"/>
    <x v="60"/>
    <x v="0"/>
    <x v="1"/>
    <x v="2"/>
    <x v="1"/>
    <x v="4"/>
    <x v="0"/>
    <x v="0"/>
    <x v="4"/>
    <x v="91"/>
    <x v="94"/>
    <x v="0"/>
    <x v="59"/>
    <x v="0"/>
    <x v="1"/>
    <x v="2"/>
  </r>
  <r>
    <x v="91"/>
    <x v="88"/>
    <x v="0"/>
    <x v="0"/>
    <x v="1"/>
    <x v="0"/>
    <x v="2"/>
    <x v="3"/>
    <x v="1"/>
    <x v="0"/>
    <x v="0"/>
    <x v="14"/>
    <x v="60"/>
    <x v="0"/>
    <x v="0"/>
    <x v="2"/>
    <x v="1"/>
    <x v="4"/>
    <x v="0"/>
    <x v="0"/>
    <x v="4"/>
    <x v="91"/>
    <x v="94"/>
    <x v="0"/>
    <x v="59"/>
    <x v="0"/>
    <x v="1"/>
    <x v="2"/>
  </r>
  <r>
    <x v="626"/>
    <x v="641"/>
    <x v="0"/>
    <x v="0"/>
    <x v="1"/>
    <x v="0"/>
    <x v="2"/>
    <x v="3"/>
    <x v="1"/>
    <x v="0"/>
    <x v="0"/>
    <x v="15"/>
    <x v="58"/>
    <x v="0"/>
    <x v="6"/>
    <x v="2"/>
    <x v="1"/>
    <x v="4"/>
    <x v="0"/>
    <x v="0"/>
    <x v="4"/>
    <x v="74"/>
    <x v="95"/>
    <x v="3"/>
    <x v="59"/>
    <x v="2"/>
    <x v="1"/>
    <x v="2"/>
  </r>
  <r>
    <x v="534"/>
    <x v="550"/>
    <x v="0"/>
    <x v="0"/>
    <x v="1"/>
    <x v="0"/>
    <x v="2"/>
    <x v="3"/>
    <x v="1"/>
    <x v="0"/>
    <x v="0"/>
    <x v="15"/>
    <x v="58"/>
    <x v="0"/>
    <x v="5"/>
    <x v="2"/>
    <x v="1"/>
    <x v="4"/>
    <x v="0"/>
    <x v="0"/>
    <x v="4"/>
    <x v="74"/>
    <x v="95"/>
    <x v="1"/>
    <x v="59"/>
    <x v="2"/>
    <x v="1"/>
    <x v="2"/>
  </r>
  <r>
    <x v="444"/>
    <x v="462"/>
    <x v="0"/>
    <x v="0"/>
    <x v="1"/>
    <x v="0"/>
    <x v="2"/>
    <x v="3"/>
    <x v="1"/>
    <x v="0"/>
    <x v="0"/>
    <x v="15"/>
    <x v="58"/>
    <x v="0"/>
    <x v="4"/>
    <x v="2"/>
    <x v="1"/>
    <x v="4"/>
    <x v="0"/>
    <x v="0"/>
    <x v="4"/>
    <x v="74"/>
    <x v="95"/>
    <x v="0"/>
    <x v="59"/>
    <x v="0"/>
    <x v="1"/>
    <x v="2"/>
  </r>
  <r>
    <x v="355"/>
    <x v="372"/>
    <x v="0"/>
    <x v="0"/>
    <x v="1"/>
    <x v="0"/>
    <x v="2"/>
    <x v="3"/>
    <x v="1"/>
    <x v="0"/>
    <x v="0"/>
    <x v="15"/>
    <x v="58"/>
    <x v="0"/>
    <x v="3"/>
    <x v="2"/>
    <x v="1"/>
    <x v="4"/>
    <x v="0"/>
    <x v="0"/>
    <x v="4"/>
    <x v="74"/>
    <x v="95"/>
    <x v="0"/>
    <x v="59"/>
    <x v="0"/>
    <x v="1"/>
    <x v="2"/>
  </r>
  <r>
    <x v="265"/>
    <x v="281"/>
    <x v="0"/>
    <x v="0"/>
    <x v="1"/>
    <x v="0"/>
    <x v="2"/>
    <x v="3"/>
    <x v="1"/>
    <x v="0"/>
    <x v="0"/>
    <x v="15"/>
    <x v="58"/>
    <x v="0"/>
    <x v="2"/>
    <x v="2"/>
    <x v="1"/>
    <x v="4"/>
    <x v="0"/>
    <x v="0"/>
    <x v="4"/>
    <x v="74"/>
    <x v="95"/>
    <x v="0"/>
    <x v="59"/>
    <x v="0"/>
    <x v="1"/>
    <x v="2"/>
  </r>
  <r>
    <x v="174"/>
    <x v="191"/>
    <x v="0"/>
    <x v="0"/>
    <x v="1"/>
    <x v="0"/>
    <x v="2"/>
    <x v="3"/>
    <x v="1"/>
    <x v="0"/>
    <x v="0"/>
    <x v="15"/>
    <x v="58"/>
    <x v="0"/>
    <x v="1"/>
    <x v="2"/>
    <x v="1"/>
    <x v="4"/>
    <x v="0"/>
    <x v="0"/>
    <x v="4"/>
    <x v="74"/>
    <x v="95"/>
    <x v="0"/>
    <x v="59"/>
    <x v="0"/>
    <x v="1"/>
    <x v="2"/>
  </r>
  <r>
    <x v="74"/>
    <x v="89"/>
    <x v="0"/>
    <x v="0"/>
    <x v="1"/>
    <x v="0"/>
    <x v="2"/>
    <x v="3"/>
    <x v="1"/>
    <x v="0"/>
    <x v="0"/>
    <x v="15"/>
    <x v="58"/>
    <x v="0"/>
    <x v="0"/>
    <x v="2"/>
    <x v="1"/>
    <x v="4"/>
    <x v="0"/>
    <x v="0"/>
    <x v="4"/>
    <x v="74"/>
    <x v="95"/>
    <x v="1"/>
    <x v="59"/>
    <x v="0"/>
    <x v="1"/>
    <x v="2"/>
  </r>
  <r>
    <x v="645"/>
    <x v="642"/>
    <x v="0"/>
    <x v="0"/>
    <x v="1"/>
    <x v="0"/>
    <x v="2"/>
    <x v="3"/>
    <x v="1"/>
    <x v="0"/>
    <x v="0"/>
    <x v="15"/>
    <x v="58"/>
    <x v="0"/>
    <x v="6"/>
    <x v="2"/>
    <x v="1"/>
    <x v="4"/>
    <x v="0"/>
    <x v="0"/>
    <x v="4"/>
    <x v="93"/>
    <x v="96"/>
    <x v="0"/>
    <x v="59"/>
    <x v="0"/>
    <x v="1"/>
    <x v="2"/>
  </r>
  <r>
    <x v="553"/>
    <x v="551"/>
    <x v="0"/>
    <x v="0"/>
    <x v="1"/>
    <x v="0"/>
    <x v="2"/>
    <x v="3"/>
    <x v="1"/>
    <x v="0"/>
    <x v="0"/>
    <x v="15"/>
    <x v="58"/>
    <x v="0"/>
    <x v="5"/>
    <x v="2"/>
    <x v="1"/>
    <x v="4"/>
    <x v="0"/>
    <x v="0"/>
    <x v="4"/>
    <x v="93"/>
    <x v="96"/>
    <x v="0"/>
    <x v="59"/>
    <x v="0"/>
    <x v="1"/>
    <x v="2"/>
  </r>
  <r>
    <x v="463"/>
    <x v="463"/>
    <x v="0"/>
    <x v="0"/>
    <x v="1"/>
    <x v="0"/>
    <x v="2"/>
    <x v="3"/>
    <x v="1"/>
    <x v="0"/>
    <x v="0"/>
    <x v="15"/>
    <x v="58"/>
    <x v="0"/>
    <x v="4"/>
    <x v="2"/>
    <x v="1"/>
    <x v="4"/>
    <x v="0"/>
    <x v="0"/>
    <x v="4"/>
    <x v="93"/>
    <x v="96"/>
    <x v="0"/>
    <x v="59"/>
    <x v="0"/>
    <x v="1"/>
    <x v="2"/>
  </r>
  <r>
    <x v="374"/>
    <x v="373"/>
    <x v="0"/>
    <x v="0"/>
    <x v="1"/>
    <x v="0"/>
    <x v="2"/>
    <x v="3"/>
    <x v="1"/>
    <x v="0"/>
    <x v="0"/>
    <x v="15"/>
    <x v="58"/>
    <x v="0"/>
    <x v="3"/>
    <x v="2"/>
    <x v="1"/>
    <x v="4"/>
    <x v="0"/>
    <x v="0"/>
    <x v="4"/>
    <x v="93"/>
    <x v="96"/>
    <x v="0"/>
    <x v="59"/>
    <x v="0"/>
    <x v="1"/>
    <x v="2"/>
  </r>
  <r>
    <x v="284"/>
    <x v="282"/>
    <x v="0"/>
    <x v="0"/>
    <x v="1"/>
    <x v="0"/>
    <x v="2"/>
    <x v="3"/>
    <x v="1"/>
    <x v="0"/>
    <x v="0"/>
    <x v="15"/>
    <x v="58"/>
    <x v="0"/>
    <x v="2"/>
    <x v="2"/>
    <x v="1"/>
    <x v="4"/>
    <x v="0"/>
    <x v="0"/>
    <x v="4"/>
    <x v="93"/>
    <x v="96"/>
    <x v="0"/>
    <x v="59"/>
    <x v="0"/>
    <x v="1"/>
    <x v="2"/>
  </r>
  <r>
    <x v="193"/>
    <x v="192"/>
    <x v="0"/>
    <x v="0"/>
    <x v="1"/>
    <x v="0"/>
    <x v="2"/>
    <x v="3"/>
    <x v="1"/>
    <x v="0"/>
    <x v="0"/>
    <x v="15"/>
    <x v="58"/>
    <x v="0"/>
    <x v="1"/>
    <x v="2"/>
    <x v="1"/>
    <x v="4"/>
    <x v="0"/>
    <x v="0"/>
    <x v="4"/>
    <x v="93"/>
    <x v="96"/>
    <x v="0"/>
    <x v="59"/>
    <x v="0"/>
    <x v="1"/>
    <x v="2"/>
  </r>
  <r>
    <x v="93"/>
    <x v="90"/>
    <x v="0"/>
    <x v="0"/>
    <x v="1"/>
    <x v="0"/>
    <x v="2"/>
    <x v="3"/>
    <x v="1"/>
    <x v="0"/>
    <x v="0"/>
    <x v="15"/>
    <x v="58"/>
    <x v="0"/>
    <x v="0"/>
    <x v="2"/>
    <x v="1"/>
    <x v="4"/>
    <x v="0"/>
    <x v="0"/>
    <x v="4"/>
    <x v="93"/>
    <x v="96"/>
    <x v="0"/>
    <x v="59"/>
    <x v="0"/>
    <x v="1"/>
    <x v="2"/>
  </r>
  <r>
    <x v="629"/>
    <x v="643"/>
    <x v="0"/>
    <x v="0"/>
    <x v="1"/>
    <x v="0"/>
    <x v="2"/>
    <x v="3"/>
    <x v="1"/>
    <x v="0"/>
    <x v="0"/>
    <x v="13"/>
    <x v="59"/>
    <x v="0"/>
    <x v="6"/>
    <x v="2"/>
    <x v="1"/>
    <x v="4"/>
    <x v="0"/>
    <x v="0"/>
    <x v="4"/>
    <x v="77"/>
    <x v="97"/>
    <x v="0"/>
    <x v="59"/>
    <x v="0"/>
    <x v="1"/>
    <x v="2"/>
  </r>
  <r>
    <x v="537"/>
    <x v="552"/>
    <x v="0"/>
    <x v="0"/>
    <x v="1"/>
    <x v="0"/>
    <x v="2"/>
    <x v="3"/>
    <x v="1"/>
    <x v="0"/>
    <x v="0"/>
    <x v="13"/>
    <x v="59"/>
    <x v="0"/>
    <x v="5"/>
    <x v="2"/>
    <x v="1"/>
    <x v="4"/>
    <x v="0"/>
    <x v="0"/>
    <x v="4"/>
    <x v="77"/>
    <x v="97"/>
    <x v="0"/>
    <x v="59"/>
    <x v="0"/>
    <x v="1"/>
    <x v="2"/>
  </r>
  <r>
    <x v="447"/>
    <x v="464"/>
    <x v="0"/>
    <x v="0"/>
    <x v="1"/>
    <x v="0"/>
    <x v="2"/>
    <x v="3"/>
    <x v="1"/>
    <x v="0"/>
    <x v="0"/>
    <x v="13"/>
    <x v="59"/>
    <x v="0"/>
    <x v="4"/>
    <x v="2"/>
    <x v="1"/>
    <x v="4"/>
    <x v="0"/>
    <x v="0"/>
    <x v="4"/>
    <x v="77"/>
    <x v="97"/>
    <x v="0"/>
    <x v="59"/>
    <x v="0"/>
    <x v="1"/>
    <x v="2"/>
  </r>
  <r>
    <x v="358"/>
    <x v="374"/>
    <x v="0"/>
    <x v="0"/>
    <x v="1"/>
    <x v="0"/>
    <x v="2"/>
    <x v="3"/>
    <x v="1"/>
    <x v="0"/>
    <x v="0"/>
    <x v="13"/>
    <x v="59"/>
    <x v="0"/>
    <x v="3"/>
    <x v="2"/>
    <x v="1"/>
    <x v="4"/>
    <x v="0"/>
    <x v="0"/>
    <x v="4"/>
    <x v="77"/>
    <x v="97"/>
    <x v="0"/>
    <x v="59"/>
    <x v="0"/>
    <x v="1"/>
    <x v="2"/>
  </r>
  <r>
    <x v="268"/>
    <x v="283"/>
    <x v="0"/>
    <x v="0"/>
    <x v="1"/>
    <x v="0"/>
    <x v="2"/>
    <x v="3"/>
    <x v="1"/>
    <x v="0"/>
    <x v="0"/>
    <x v="13"/>
    <x v="59"/>
    <x v="0"/>
    <x v="2"/>
    <x v="2"/>
    <x v="1"/>
    <x v="4"/>
    <x v="0"/>
    <x v="0"/>
    <x v="4"/>
    <x v="77"/>
    <x v="97"/>
    <x v="0"/>
    <x v="59"/>
    <x v="0"/>
    <x v="1"/>
    <x v="2"/>
  </r>
  <r>
    <x v="177"/>
    <x v="193"/>
    <x v="0"/>
    <x v="0"/>
    <x v="1"/>
    <x v="0"/>
    <x v="2"/>
    <x v="3"/>
    <x v="1"/>
    <x v="0"/>
    <x v="0"/>
    <x v="13"/>
    <x v="59"/>
    <x v="0"/>
    <x v="1"/>
    <x v="2"/>
    <x v="1"/>
    <x v="4"/>
    <x v="0"/>
    <x v="0"/>
    <x v="4"/>
    <x v="77"/>
    <x v="97"/>
    <x v="185"/>
    <x v="31"/>
    <x v="139"/>
    <x v="1"/>
    <x v="2"/>
  </r>
  <r>
    <x v="77"/>
    <x v="91"/>
    <x v="0"/>
    <x v="0"/>
    <x v="1"/>
    <x v="0"/>
    <x v="2"/>
    <x v="3"/>
    <x v="1"/>
    <x v="0"/>
    <x v="0"/>
    <x v="13"/>
    <x v="59"/>
    <x v="0"/>
    <x v="0"/>
    <x v="2"/>
    <x v="1"/>
    <x v="4"/>
    <x v="0"/>
    <x v="0"/>
    <x v="4"/>
    <x v="77"/>
    <x v="97"/>
    <x v="270"/>
    <x v="57"/>
    <x v="208"/>
    <x v="1"/>
    <x v="2"/>
  </r>
  <r>
    <x v="627"/>
    <x v="644"/>
    <x v="0"/>
    <x v="0"/>
    <x v="1"/>
    <x v="0"/>
    <x v="2"/>
    <x v="3"/>
    <x v="1"/>
    <x v="0"/>
    <x v="0"/>
    <x v="14"/>
    <x v="60"/>
    <x v="0"/>
    <x v="6"/>
    <x v="2"/>
    <x v="1"/>
    <x v="4"/>
    <x v="0"/>
    <x v="0"/>
    <x v="4"/>
    <x v="75"/>
    <x v="98"/>
    <x v="0"/>
    <x v="59"/>
    <x v="0"/>
    <x v="1"/>
    <x v="2"/>
  </r>
  <r>
    <x v="535"/>
    <x v="553"/>
    <x v="0"/>
    <x v="0"/>
    <x v="1"/>
    <x v="0"/>
    <x v="2"/>
    <x v="3"/>
    <x v="1"/>
    <x v="0"/>
    <x v="0"/>
    <x v="14"/>
    <x v="60"/>
    <x v="0"/>
    <x v="5"/>
    <x v="2"/>
    <x v="1"/>
    <x v="4"/>
    <x v="0"/>
    <x v="0"/>
    <x v="4"/>
    <x v="75"/>
    <x v="98"/>
    <x v="0"/>
    <x v="59"/>
    <x v="0"/>
    <x v="1"/>
    <x v="2"/>
  </r>
  <r>
    <x v="445"/>
    <x v="465"/>
    <x v="0"/>
    <x v="0"/>
    <x v="1"/>
    <x v="0"/>
    <x v="2"/>
    <x v="3"/>
    <x v="1"/>
    <x v="0"/>
    <x v="0"/>
    <x v="14"/>
    <x v="60"/>
    <x v="0"/>
    <x v="4"/>
    <x v="2"/>
    <x v="1"/>
    <x v="4"/>
    <x v="0"/>
    <x v="0"/>
    <x v="4"/>
    <x v="75"/>
    <x v="98"/>
    <x v="0"/>
    <x v="59"/>
    <x v="0"/>
    <x v="1"/>
    <x v="2"/>
  </r>
  <r>
    <x v="356"/>
    <x v="375"/>
    <x v="0"/>
    <x v="0"/>
    <x v="1"/>
    <x v="0"/>
    <x v="2"/>
    <x v="3"/>
    <x v="1"/>
    <x v="0"/>
    <x v="0"/>
    <x v="14"/>
    <x v="60"/>
    <x v="0"/>
    <x v="3"/>
    <x v="2"/>
    <x v="1"/>
    <x v="4"/>
    <x v="0"/>
    <x v="0"/>
    <x v="4"/>
    <x v="75"/>
    <x v="98"/>
    <x v="0"/>
    <x v="59"/>
    <x v="0"/>
    <x v="1"/>
    <x v="2"/>
  </r>
  <r>
    <x v="266"/>
    <x v="284"/>
    <x v="0"/>
    <x v="0"/>
    <x v="1"/>
    <x v="0"/>
    <x v="2"/>
    <x v="3"/>
    <x v="1"/>
    <x v="0"/>
    <x v="0"/>
    <x v="14"/>
    <x v="60"/>
    <x v="0"/>
    <x v="2"/>
    <x v="2"/>
    <x v="1"/>
    <x v="4"/>
    <x v="0"/>
    <x v="0"/>
    <x v="4"/>
    <x v="75"/>
    <x v="98"/>
    <x v="0"/>
    <x v="59"/>
    <x v="0"/>
    <x v="1"/>
    <x v="2"/>
  </r>
  <r>
    <x v="175"/>
    <x v="194"/>
    <x v="0"/>
    <x v="0"/>
    <x v="1"/>
    <x v="0"/>
    <x v="2"/>
    <x v="3"/>
    <x v="1"/>
    <x v="0"/>
    <x v="0"/>
    <x v="14"/>
    <x v="60"/>
    <x v="0"/>
    <x v="1"/>
    <x v="2"/>
    <x v="1"/>
    <x v="4"/>
    <x v="0"/>
    <x v="0"/>
    <x v="4"/>
    <x v="75"/>
    <x v="98"/>
    <x v="6"/>
    <x v="59"/>
    <x v="1"/>
    <x v="1"/>
    <x v="2"/>
  </r>
  <r>
    <x v="75"/>
    <x v="92"/>
    <x v="0"/>
    <x v="0"/>
    <x v="1"/>
    <x v="0"/>
    <x v="2"/>
    <x v="3"/>
    <x v="1"/>
    <x v="0"/>
    <x v="0"/>
    <x v="14"/>
    <x v="60"/>
    <x v="0"/>
    <x v="0"/>
    <x v="2"/>
    <x v="1"/>
    <x v="4"/>
    <x v="0"/>
    <x v="0"/>
    <x v="4"/>
    <x v="75"/>
    <x v="98"/>
    <x v="13"/>
    <x v="1"/>
    <x v="14"/>
    <x v="1"/>
    <x v="2"/>
  </r>
  <r>
    <x v="631"/>
    <x v="645"/>
    <x v="0"/>
    <x v="0"/>
    <x v="1"/>
    <x v="0"/>
    <x v="2"/>
    <x v="3"/>
    <x v="1"/>
    <x v="0"/>
    <x v="0"/>
    <x v="15"/>
    <x v="58"/>
    <x v="0"/>
    <x v="6"/>
    <x v="2"/>
    <x v="1"/>
    <x v="4"/>
    <x v="0"/>
    <x v="0"/>
    <x v="4"/>
    <x v="79"/>
    <x v="99"/>
    <x v="0"/>
    <x v="59"/>
    <x v="0"/>
    <x v="1"/>
    <x v="2"/>
  </r>
  <r>
    <x v="539"/>
    <x v="554"/>
    <x v="0"/>
    <x v="0"/>
    <x v="1"/>
    <x v="0"/>
    <x v="2"/>
    <x v="3"/>
    <x v="1"/>
    <x v="0"/>
    <x v="0"/>
    <x v="15"/>
    <x v="58"/>
    <x v="0"/>
    <x v="5"/>
    <x v="2"/>
    <x v="1"/>
    <x v="4"/>
    <x v="0"/>
    <x v="0"/>
    <x v="4"/>
    <x v="79"/>
    <x v="99"/>
    <x v="0"/>
    <x v="59"/>
    <x v="0"/>
    <x v="1"/>
    <x v="2"/>
  </r>
  <r>
    <x v="449"/>
    <x v="466"/>
    <x v="0"/>
    <x v="0"/>
    <x v="1"/>
    <x v="0"/>
    <x v="2"/>
    <x v="3"/>
    <x v="1"/>
    <x v="0"/>
    <x v="0"/>
    <x v="15"/>
    <x v="58"/>
    <x v="0"/>
    <x v="4"/>
    <x v="2"/>
    <x v="1"/>
    <x v="4"/>
    <x v="0"/>
    <x v="0"/>
    <x v="4"/>
    <x v="79"/>
    <x v="99"/>
    <x v="0"/>
    <x v="59"/>
    <x v="0"/>
    <x v="1"/>
    <x v="2"/>
  </r>
  <r>
    <x v="360"/>
    <x v="376"/>
    <x v="0"/>
    <x v="0"/>
    <x v="1"/>
    <x v="0"/>
    <x v="2"/>
    <x v="3"/>
    <x v="1"/>
    <x v="0"/>
    <x v="0"/>
    <x v="15"/>
    <x v="58"/>
    <x v="0"/>
    <x v="3"/>
    <x v="2"/>
    <x v="1"/>
    <x v="4"/>
    <x v="0"/>
    <x v="0"/>
    <x v="4"/>
    <x v="79"/>
    <x v="99"/>
    <x v="0"/>
    <x v="59"/>
    <x v="0"/>
    <x v="1"/>
    <x v="2"/>
  </r>
  <r>
    <x v="270"/>
    <x v="285"/>
    <x v="0"/>
    <x v="0"/>
    <x v="1"/>
    <x v="0"/>
    <x v="2"/>
    <x v="3"/>
    <x v="1"/>
    <x v="0"/>
    <x v="0"/>
    <x v="15"/>
    <x v="58"/>
    <x v="0"/>
    <x v="2"/>
    <x v="2"/>
    <x v="1"/>
    <x v="4"/>
    <x v="0"/>
    <x v="0"/>
    <x v="4"/>
    <x v="79"/>
    <x v="99"/>
    <x v="0"/>
    <x v="59"/>
    <x v="0"/>
    <x v="1"/>
    <x v="2"/>
  </r>
  <r>
    <x v="179"/>
    <x v="195"/>
    <x v="0"/>
    <x v="0"/>
    <x v="1"/>
    <x v="0"/>
    <x v="2"/>
    <x v="3"/>
    <x v="1"/>
    <x v="0"/>
    <x v="0"/>
    <x v="15"/>
    <x v="58"/>
    <x v="0"/>
    <x v="1"/>
    <x v="2"/>
    <x v="1"/>
    <x v="4"/>
    <x v="0"/>
    <x v="0"/>
    <x v="4"/>
    <x v="79"/>
    <x v="99"/>
    <x v="65"/>
    <x v="6"/>
    <x v="37"/>
    <x v="1"/>
    <x v="2"/>
  </r>
  <r>
    <x v="79"/>
    <x v="93"/>
    <x v="0"/>
    <x v="0"/>
    <x v="1"/>
    <x v="0"/>
    <x v="2"/>
    <x v="3"/>
    <x v="1"/>
    <x v="0"/>
    <x v="0"/>
    <x v="15"/>
    <x v="58"/>
    <x v="0"/>
    <x v="0"/>
    <x v="2"/>
    <x v="1"/>
    <x v="4"/>
    <x v="0"/>
    <x v="0"/>
    <x v="4"/>
    <x v="79"/>
    <x v="99"/>
    <x v="136"/>
    <x v="18"/>
    <x v="85"/>
    <x v="1"/>
    <x v="2"/>
  </r>
  <r>
    <x v="0"/>
    <x v="4"/>
    <x v="0"/>
    <x v="0"/>
    <x v="3"/>
    <x v="0"/>
    <x v="4"/>
    <x v="0"/>
    <x v="3"/>
    <x v="0"/>
    <x v="0"/>
    <x v="38"/>
    <x v="0"/>
    <x v="0"/>
    <x v="0"/>
    <x v="4"/>
    <x v="3"/>
    <x v="0"/>
    <x v="0"/>
    <x v="0"/>
    <x v="0"/>
    <x v="0"/>
    <x v="10"/>
    <x v="183"/>
    <x v="10"/>
    <x v="275"/>
    <x v="3"/>
    <x v="2"/>
  </r>
  <r>
    <x v="1"/>
    <x v="3"/>
    <x v="0"/>
    <x v="0"/>
    <x v="3"/>
    <x v="0"/>
    <x v="4"/>
    <x v="0"/>
    <x v="3"/>
    <x v="0"/>
    <x v="0"/>
    <x v="36"/>
    <x v="1"/>
    <x v="0"/>
    <x v="0"/>
    <x v="4"/>
    <x v="3"/>
    <x v="0"/>
    <x v="0"/>
    <x v="0"/>
    <x v="0"/>
    <x v="1"/>
    <x v="9"/>
    <x v="252"/>
    <x v="40"/>
    <x v="289"/>
    <x v="3"/>
    <x v="2"/>
  </r>
  <r>
    <x v="55"/>
    <x v="5"/>
    <x v="0"/>
    <x v="0"/>
    <x v="3"/>
    <x v="0"/>
    <x v="4"/>
    <x v="0"/>
    <x v="3"/>
    <x v="0"/>
    <x v="0"/>
    <x v="3"/>
    <x v="57"/>
    <x v="0"/>
    <x v="0"/>
    <x v="4"/>
    <x v="3"/>
    <x v="0"/>
    <x v="0"/>
    <x v="0"/>
    <x v="0"/>
    <x v="55"/>
    <x v="11"/>
    <x v="199"/>
    <x v="12"/>
    <x v="281"/>
    <x v="3"/>
    <x v="2"/>
  </r>
  <r>
    <x v="95"/>
    <x v="2"/>
    <x v="0"/>
    <x v="0"/>
    <x v="3"/>
    <x v="0"/>
    <x v="4"/>
    <x v="0"/>
    <x v="3"/>
    <x v="0"/>
    <x v="0"/>
    <x v="36"/>
    <x v="1"/>
    <x v="0"/>
    <x v="0"/>
    <x v="4"/>
    <x v="3"/>
    <x v="0"/>
    <x v="0"/>
    <x v="0"/>
    <x v="0"/>
    <x v="99"/>
    <x v="8"/>
    <x v="200"/>
    <x v="6"/>
    <x v="274"/>
    <x v="3"/>
    <x v="2"/>
  </r>
  <r>
    <x v="100"/>
    <x v="106"/>
    <x v="0"/>
    <x v="0"/>
    <x v="3"/>
    <x v="0"/>
    <x v="4"/>
    <x v="0"/>
    <x v="3"/>
    <x v="0"/>
    <x v="0"/>
    <x v="38"/>
    <x v="0"/>
    <x v="0"/>
    <x v="1"/>
    <x v="4"/>
    <x v="3"/>
    <x v="0"/>
    <x v="0"/>
    <x v="0"/>
    <x v="0"/>
    <x v="0"/>
    <x v="10"/>
    <x v="212"/>
    <x v="9"/>
    <x v="277"/>
    <x v="3"/>
    <x v="2"/>
  </r>
  <r>
    <x v="101"/>
    <x v="105"/>
    <x v="0"/>
    <x v="0"/>
    <x v="3"/>
    <x v="0"/>
    <x v="4"/>
    <x v="0"/>
    <x v="3"/>
    <x v="0"/>
    <x v="0"/>
    <x v="36"/>
    <x v="1"/>
    <x v="0"/>
    <x v="1"/>
    <x v="4"/>
    <x v="3"/>
    <x v="0"/>
    <x v="0"/>
    <x v="0"/>
    <x v="0"/>
    <x v="1"/>
    <x v="9"/>
    <x v="259"/>
    <x v="27"/>
    <x v="287"/>
    <x v="3"/>
    <x v="2"/>
  </r>
  <r>
    <x v="155"/>
    <x v="107"/>
    <x v="0"/>
    <x v="0"/>
    <x v="3"/>
    <x v="0"/>
    <x v="4"/>
    <x v="0"/>
    <x v="3"/>
    <x v="0"/>
    <x v="0"/>
    <x v="3"/>
    <x v="57"/>
    <x v="0"/>
    <x v="1"/>
    <x v="4"/>
    <x v="3"/>
    <x v="0"/>
    <x v="0"/>
    <x v="0"/>
    <x v="0"/>
    <x v="55"/>
    <x v="11"/>
    <x v="205"/>
    <x v="16"/>
    <x v="282"/>
    <x v="3"/>
    <x v="2"/>
  </r>
  <r>
    <x v="196"/>
    <x v="104"/>
    <x v="0"/>
    <x v="0"/>
    <x v="3"/>
    <x v="0"/>
    <x v="4"/>
    <x v="0"/>
    <x v="3"/>
    <x v="0"/>
    <x v="0"/>
    <x v="36"/>
    <x v="1"/>
    <x v="0"/>
    <x v="1"/>
    <x v="4"/>
    <x v="3"/>
    <x v="0"/>
    <x v="0"/>
    <x v="0"/>
    <x v="0"/>
    <x v="99"/>
    <x v="8"/>
    <x v="198"/>
    <x v="5"/>
    <x v="271"/>
    <x v="3"/>
    <x v="2"/>
  </r>
  <r>
    <x v="201"/>
    <x v="206"/>
    <x v="0"/>
    <x v="0"/>
    <x v="3"/>
    <x v="0"/>
    <x v="4"/>
    <x v="0"/>
    <x v="3"/>
    <x v="0"/>
    <x v="0"/>
    <x v="38"/>
    <x v="0"/>
    <x v="0"/>
    <x v="2"/>
    <x v="4"/>
    <x v="3"/>
    <x v="0"/>
    <x v="0"/>
    <x v="0"/>
    <x v="0"/>
    <x v="0"/>
    <x v="10"/>
    <x v="196"/>
    <x v="6"/>
    <x v="276"/>
    <x v="3"/>
    <x v="2"/>
  </r>
  <r>
    <x v="202"/>
    <x v="205"/>
    <x v="0"/>
    <x v="0"/>
    <x v="3"/>
    <x v="0"/>
    <x v="4"/>
    <x v="0"/>
    <x v="3"/>
    <x v="0"/>
    <x v="0"/>
    <x v="36"/>
    <x v="1"/>
    <x v="0"/>
    <x v="2"/>
    <x v="4"/>
    <x v="3"/>
    <x v="0"/>
    <x v="0"/>
    <x v="0"/>
    <x v="0"/>
    <x v="1"/>
    <x v="9"/>
    <x v="275"/>
    <x v="37"/>
    <x v="291"/>
    <x v="3"/>
    <x v="2"/>
  </r>
  <r>
    <x v="246"/>
    <x v="207"/>
    <x v="0"/>
    <x v="0"/>
    <x v="3"/>
    <x v="0"/>
    <x v="4"/>
    <x v="0"/>
    <x v="3"/>
    <x v="0"/>
    <x v="0"/>
    <x v="3"/>
    <x v="57"/>
    <x v="0"/>
    <x v="2"/>
    <x v="4"/>
    <x v="3"/>
    <x v="0"/>
    <x v="0"/>
    <x v="0"/>
    <x v="0"/>
    <x v="55"/>
    <x v="11"/>
    <x v="207"/>
    <x v="17"/>
    <x v="280"/>
    <x v="3"/>
    <x v="2"/>
  </r>
  <r>
    <x v="287"/>
    <x v="204"/>
    <x v="0"/>
    <x v="0"/>
    <x v="3"/>
    <x v="0"/>
    <x v="4"/>
    <x v="0"/>
    <x v="3"/>
    <x v="0"/>
    <x v="0"/>
    <x v="36"/>
    <x v="1"/>
    <x v="0"/>
    <x v="2"/>
    <x v="4"/>
    <x v="3"/>
    <x v="0"/>
    <x v="0"/>
    <x v="0"/>
    <x v="0"/>
    <x v="99"/>
    <x v="8"/>
    <x v="186"/>
    <x v="6"/>
    <x v="266"/>
    <x v="3"/>
    <x v="2"/>
  </r>
  <r>
    <x v="292"/>
    <x v="297"/>
    <x v="0"/>
    <x v="0"/>
    <x v="3"/>
    <x v="0"/>
    <x v="4"/>
    <x v="0"/>
    <x v="3"/>
    <x v="0"/>
    <x v="0"/>
    <x v="38"/>
    <x v="0"/>
    <x v="0"/>
    <x v="3"/>
    <x v="4"/>
    <x v="3"/>
    <x v="0"/>
    <x v="0"/>
    <x v="0"/>
    <x v="0"/>
    <x v="0"/>
    <x v="10"/>
    <x v="229"/>
    <x v="13"/>
    <x v="278"/>
    <x v="3"/>
    <x v="2"/>
  </r>
  <r>
    <x v="293"/>
    <x v="296"/>
    <x v="0"/>
    <x v="0"/>
    <x v="3"/>
    <x v="0"/>
    <x v="4"/>
    <x v="0"/>
    <x v="3"/>
    <x v="0"/>
    <x v="0"/>
    <x v="36"/>
    <x v="1"/>
    <x v="0"/>
    <x v="3"/>
    <x v="4"/>
    <x v="3"/>
    <x v="0"/>
    <x v="0"/>
    <x v="0"/>
    <x v="0"/>
    <x v="1"/>
    <x v="9"/>
    <x v="269"/>
    <x v="33"/>
    <x v="286"/>
    <x v="3"/>
    <x v="2"/>
  </r>
  <r>
    <x v="336"/>
    <x v="298"/>
    <x v="0"/>
    <x v="0"/>
    <x v="3"/>
    <x v="0"/>
    <x v="4"/>
    <x v="0"/>
    <x v="3"/>
    <x v="0"/>
    <x v="0"/>
    <x v="3"/>
    <x v="57"/>
    <x v="0"/>
    <x v="3"/>
    <x v="4"/>
    <x v="3"/>
    <x v="0"/>
    <x v="0"/>
    <x v="0"/>
    <x v="0"/>
    <x v="55"/>
    <x v="11"/>
    <x v="208"/>
    <x v="14"/>
    <x v="283"/>
    <x v="3"/>
    <x v="2"/>
  </r>
  <r>
    <x v="377"/>
    <x v="295"/>
    <x v="0"/>
    <x v="0"/>
    <x v="3"/>
    <x v="0"/>
    <x v="4"/>
    <x v="0"/>
    <x v="3"/>
    <x v="0"/>
    <x v="0"/>
    <x v="36"/>
    <x v="1"/>
    <x v="0"/>
    <x v="3"/>
    <x v="4"/>
    <x v="3"/>
    <x v="0"/>
    <x v="0"/>
    <x v="0"/>
    <x v="0"/>
    <x v="99"/>
    <x v="8"/>
    <x v="191"/>
    <x v="4"/>
    <x v="267"/>
    <x v="3"/>
    <x v="2"/>
  </r>
  <r>
    <x v="382"/>
    <x v="387"/>
    <x v="0"/>
    <x v="0"/>
    <x v="3"/>
    <x v="0"/>
    <x v="4"/>
    <x v="0"/>
    <x v="3"/>
    <x v="0"/>
    <x v="0"/>
    <x v="38"/>
    <x v="0"/>
    <x v="0"/>
    <x v="4"/>
    <x v="4"/>
    <x v="3"/>
    <x v="0"/>
    <x v="0"/>
    <x v="0"/>
    <x v="0"/>
    <x v="0"/>
    <x v="10"/>
    <x v="202"/>
    <x v="11"/>
    <x v="273"/>
    <x v="3"/>
    <x v="2"/>
  </r>
  <r>
    <x v="383"/>
    <x v="386"/>
    <x v="0"/>
    <x v="0"/>
    <x v="3"/>
    <x v="0"/>
    <x v="4"/>
    <x v="0"/>
    <x v="3"/>
    <x v="0"/>
    <x v="0"/>
    <x v="36"/>
    <x v="1"/>
    <x v="0"/>
    <x v="4"/>
    <x v="4"/>
    <x v="3"/>
    <x v="0"/>
    <x v="0"/>
    <x v="0"/>
    <x v="0"/>
    <x v="1"/>
    <x v="9"/>
    <x v="264"/>
    <x v="25"/>
    <x v="285"/>
    <x v="3"/>
    <x v="2"/>
  </r>
  <r>
    <x v="425"/>
    <x v="388"/>
    <x v="0"/>
    <x v="0"/>
    <x v="3"/>
    <x v="0"/>
    <x v="4"/>
    <x v="0"/>
    <x v="3"/>
    <x v="0"/>
    <x v="0"/>
    <x v="3"/>
    <x v="57"/>
    <x v="0"/>
    <x v="4"/>
    <x v="4"/>
    <x v="3"/>
    <x v="0"/>
    <x v="0"/>
    <x v="0"/>
    <x v="0"/>
    <x v="55"/>
    <x v="11"/>
    <x v="226"/>
    <x v="21"/>
    <x v="288"/>
    <x v="3"/>
    <x v="2"/>
  </r>
  <r>
    <x v="466"/>
    <x v="385"/>
    <x v="0"/>
    <x v="0"/>
    <x v="3"/>
    <x v="0"/>
    <x v="4"/>
    <x v="0"/>
    <x v="3"/>
    <x v="0"/>
    <x v="0"/>
    <x v="36"/>
    <x v="1"/>
    <x v="0"/>
    <x v="4"/>
    <x v="4"/>
    <x v="3"/>
    <x v="0"/>
    <x v="0"/>
    <x v="0"/>
    <x v="0"/>
    <x v="99"/>
    <x v="8"/>
    <x v="182"/>
    <x v="9"/>
    <x v="265"/>
    <x v="3"/>
    <x v="2"/>
  </r>
  <r>
    <x v="471"/>
    <x v="475"/>
    <x v="0"/>
    <x v="0"/>
    <x v="3"/>
    <x v="0"/>
    <x v="4"/>
    <x v="0"/>
    <x v="3"/>
    <x v="0"/>
    <x v="0"/>
    <x v="38"/>
    <x v="0"/>
    <x v="0"/>
    <x v="5"/>
    <x v="4"/>
    <x v="3"/>
    <x v="0"/>
    <x v="0"/>
    <x v="0"/>
    <x v="0"/>
    <x v="0"/>
    <x v="10"/>
    <x v="187"/>
    <x v="2"/>
    <x v="272"/>
    <x v="3"/>
    <x v="2"/>
  </r>
  <r>
    <x v="472"/>
    <x v="474"/>
    <x v="0"/>
    <x v="0"/>
    <x v="3"/>
    <x v="0"/>
    <x v="4"/>
    <x v="0"/>
    <x v="3"/>
    <x v="0"/>
    <x v="0"/>
    <x v="36"/>
    <x v="1"/>
    <x v="0"/>
    <x v="5"/>
    <x v="4"/>
    <x v="3"/>
    <x v="0"/>
    <x v="0"/>
    <x v="0"/>
    <x v="0"/>
    <x v="1"/>
    <x v="9"/>
    <x v="231"/>
    <x v="19"/>
    <x v="279"/>
    <x v="3"/>
    <x v="2"/>
  </r>
  <r>
    <x v="515"/>
    <x v="476"/>
    <x v="0"/>
    <x v="0"/>
    <x v="3"/>
    <x v="0"/>
    <x v="4"/>
    <x v="0"/>
    <x v="3"/>
    <x v="0"/>
    <x v="0"/>
    <x v="3"/>
    <x v="57"/>
    <x v="0"/>
    <x v="5"/>
    <x v="4"/>
    <x v="3"/>
    <x v="0"/>
    <x v="0"/>
    <x v="0"/>
    <x v="0"/>
    <x v="55"/>
    <x v="11"/>
    <x v="230"/>
    <x v="24"/>
    <x v="290"/>
    <x v="3"/>
    <x v="2"/>
  </r>
  <r>
    <x v="555"/>
    <x v="473"/>
    <x v="0"/>
    <x v="0"/>
    <x v="3"/>
    <x v="0"/>
    <x v="4"/>
    <x v="0"/>
    <x v="3"/>
    <x v="0"/>
    <x v="0"/>
    <x v="36"/>
    <x v="1"/>
    <x v="0"/>
    <x v="5"/>
    <x v="4"/>
    <x v="3"/>
    <x v="0"/>
    <x v="0"/>
    <x v="0"/>
    <x v="0"/>
    <x v="99"/>
    <x v="8"/>
    <x v="167"/>
    <x v="9"/>
    <x v="268"/>
    <x v="3"/>
    <x v="2"/>
  </r>
  <r>
    <x v="560"/>
    <x v="566"/>
    <x v="0"/>
    <x v="0"/>
    <x v="3"/>
    <x v="0"/>
    <x v="4"/>
    <x v="0"/>
    <x v="3"/>
    <x v="0"/>
    <x v="0"/>
    <x v="38"/>
    <x v="0"/>
    <x v="0"/>
    <x v="6"/>
    <x v="4"/>
    <x v="3"/>
    <x v="0"/>
    <x v="0"/>
    <x v="0"/>
    <x v="0"/>
    <x v="0"/>
    <x v="10"/>
    <x v="172"/>
    <x v="5"/>
    <x v="269"/>
    <x v="3"/>
    <x v="2"/>
  </r>
  <r>
    <x v="561"/>
    <x v="565"/>
    <x v="0"/>
    <x v="0"/>
    <x v="3"/>
    <x v="0"/>
    <x v="4"/>
    <x v="0"/>
    <x v="3"/>
    <x v="0"/>
    <x v="0"/>
    <x v="36"/>
    <x v="1"/>
    <x v="0"/>
    <x v="6"/>
    <x v="4"/>
    <x v="3"/>
    <x v="0"/>
    <x v="0"/>
    <x v="0"/>
    <x v="0"/>
    <x v="1"/>
    <x v="9"/>
    <x v="223"/>
    <x v="32"/>
    <x v="284"/>
    <x v="3"/>
    <x v="2"/>
  </r>
  <r>
    <x v="607"/>
    <x v="567"/>
    <x v="0"/>
    <x v="0"/>
    <x v="3"/>
    <x v="0"/>
    <x v="4"/>
    <x v="0"/>
    <x v="3"/>
    <x v="0"/>
    <x v="0"/>
    <x v="3"/>
    <x v="57"/>
    <x v="0"/>
    <x v="6"/>
    <x v="4"/>
    <x v="3"/>
    <x v="0"/>
    <x v="0"/>
    <x v="0"/>
    <x v="0"/>
    <x v="55"/>
    <x v="11"/>
    <x v="228"/>
    <x v="27"/>
    <x v="292"/>
    <x v="3"/>
    <x v="2"/>
  </r>
  <r>
    <x v="647"/>
    <x v="564"/>
    <x v="0"/>
    <x v="0"/>
    <x v="3"/>
    <x v="0"/>
    <x v="4"/>
    <x v="0"/>
    <x v="3"/>
    <x v="0"/>
    <x v="0"/>
    <x v="36"/>
    <x v="1"/>
    <x v="0"/>
    <x v="6"/>
    <x v="4"/>
    <x v="3"/>
    <x v="0"/>
    <x v="0"/>
    <x v="0"/>
    <x v="0"/>
    <x v="99"/>
    <x v="8"/>
    <x v="171"/>
    <x v="10"/>
    <x v="270"/>
    <x v="3"/>
    <x v="2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0" dataCaption="Values" useAutoFormatting="0" itemPrintTitles="1" indent="0" outline="1" outlineData="1">
  <location ref="A2:O655" firstHeaderRow="1" firstDataRow="2" firstDataCol="13"/>
  <pivotFields count="28">
    <pivotField axis="axisRow" showAll="0"/>
    <pivotField axis="axisRow" showAll="0"/>
    <pivotField axis="axisRow" showAll="0"/>
    <pivotField showAll="0"/>
    <pivotField showAll="0"/>
    <pivotField showAll="0"/>
    <pivotField showAll="0"/>
    <pivotField axis="axisRow" showAll="0"/>
    <pivotField axis="axisRow" showAll="0"/>
    <pivotField axis="axisRow" showAll="0"/>
    <pivotField axis="axisRow" showAll="0"/>
    <pivotField axis="axisRow" showAll="0"/>
    <pivotField axis="axisRow" showAll="0"/>
    <pivotField showAll="0"/>
    <pivotField axis="axisRow" showAll="0"/>
    <pivotField axis="axisRow" showAll="0"/>
    <pivotField showAll="0"/>
    <pivotField showAll="0"/>
    <pivotField showAll="0"/>
    <pivotField showAll="0"/>
    <pivotField showAll="0"/>
    <pivotField axis="axisRow" showAll="0"/>
    <pivotField axis="axisRow" showAll="0"/>
    <pivotField dataField="1" showAll="0"/>
    <pivotField showAll="0"/>
    <pivotField dataField="1" showAll="0"/>
    <pivotField showAll="0"/>
    <pivotField showAll="0"/>
  </pivotFields>
  <rowFields count="13">
    <field x="0"/>
    <field x="1"/>
    <field x="2"/>
    <field x="14"/>
    <field x="15"/>
    <field x="7"/>
    <field x="8"/>
    <field x="9"/>
    <field x="10"/>
    <field x="22"/>
    <field x="21"/>
    <field x="11"/>
    <field x="12"/>
  </rowFields>
  <colFields count="1">
    <field x="-2"/>
  </colFields>
  <dataFields count="2">
    <dataField fld="23" subtotal="sum"/>
    <dataField fld="25" subtotal="sum"/>
  </dataFields>
</pivotTableDefinition>
</file>

<file path=xl/pivotTables/pivotTable2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0" dataCaption="Values" useAutoFormatting="0" itemPrintTitles="1" indent="0" outline="1" outlineData="1">
  <location ref="B7:G14" firstHeaderRow="1" firstDataRow="2" firstDataCol="3" rowPageCount="1" colPageCount="1"/>
  <pivotFields count="28">
    <pivotField showAll="0"/>
    <pivotField showAll="0"/>
    <pivotField showAll="0"/>
    <pivotField axis="axisPage" showAll="0"/>
    <pivotField axis="axisRow" showAll="0"/>
    <pivotField axis="axisRow" showAll="0"/>
    <pivotField showAll="0"/>
    <pivotField showAll="0"/>
    <pivotField showAll="0"/>
    <pivotField axis="axisRow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</pivotFields>
  <rowFields count="3">
    <field x="4"/>
    <field x="9"/>
    <field x="5"/>
  </rowFields>
  <colFields count="1">
    <field x="-2"/>
  </colFields>
  <pageFields count="1">
    <pageField fld="3" hier="-1"/>
  </pageFields>
  <dataFields count="3">
    <dataField fld="23" subtotal="sum"/>
    <dataField fld="24" subtotal="sum"/>
    <dataField fld="25" subtotal="sum"/>
  </dataFields>
</pivotTableDefinition>
</file>

<file path=xl/tables/table1.xml><?xml version="1.0" encoding="utf-8"?>
<table xmlns="http://schemas.openxmlformats.org/spreadsheetml/2006/main" id="1" name="Table2" displayName="Table2" ref="B2:J513" headerRowCount="1" totalsRowCount="0" totalsRowShown="0">
  <autoFilter ref="B2:J513"/>
  <tableColumns count="9">
    <tableColumn id="1" name="Placement Name"/>
    <tableColumn id="2" name="Placement ID"/>
    <tableColumn id="3" name="Campaign Name"/>
    <tableColumn id="4" name="Campaign ID"/>
    <tableColumn id="5" name="Campaign External ID"/>
    <tableColumn id="6" name="Publisher"/>
    <tableColumn id="7" name="Site ID"/>
    <tableColumn id="8" name="Creative Name"/>
    <tableColumn id="9" name="Creative ID"/>
  </tableColumns>
</table>
</file>

<file path=xl/tables/table2.xml><?xml version="1.0" encoding="utf-8"?>
<table xmlns="http://schemas.openxmlformats.org/spreadsheetml/2006/main" id="2" name="Table22" displayName="Table22" ref="A1:AB901" headerRowCount="1" totalsRowCount="0" totalsRowShown="0">
  <tableColumns count="28">
    <tableColumn id="1" name="Lookup Key 1"/>
    <tableColumn id="2" name="Lookup Key 2"/>
    <tableColumn id="3" name="Source"/>
    <tableColumn id="4" name="Weekend Date"/>
    <tableColumn id="5" name="Clean Market"/>
    <tableColumn id="6" name="Clean Ad Type"/>
    <tableColumn id="7" name="Campaign Name ID"/>
    <tableColumn id="8" name="Campaign ID"/>
    <tableColumn id="9" name="Campaign External ID"/>
    <tableColumn id="10" name="Clean Publisher"/>
    <tableColumn id="11" name="Site ID"/>
    <tableColumn id="12" name="Creative Name"/>
    <tableColumn id="13" name="Creative ID"/>
    <tableColumn id="14" name="Channel"/>
    <tableColumn id="15" name="Date"/>
    <tableColumn id="16" name="DCM Campaign Name"/>
    <tableColumn id="17" name="Market"/>
    <tableColumn id="18" name="GEP"/>
    <tableColumn id="19" name="KPI"/>
    <tableColumn id="20" name="Site "/>
    <tableColumn id="21" name="Ad Type"/>
    <tableColumn id="22" name=" DCM Placement ID"/>
    <tableColumn id="23" name="Placement Name"/>
    <tableColumn id="24" name="Publisher Impressions"/>
    <tableColumn id="25" name="Publisher Clicks"/>
    <tableColumn id="26" name="Net Media Cost"/>
    <tableColumn id="27" name="Currency"/>
    <tableColumn id="28" name="Lead Form Ad Leads "/>
  </tableColumns>
</table>
</file>

<file path=xl/tables/table3.xml><?xml version="1.0" encoding="utf-8"?>
<table xmlns="http://schemas.openxmlformats.org/spreadsheetml/2006/main" id="3" name="Table3" displayName="Table3" ref="B5:D26" headerRowCount="1" totalsRowCount="0" totalsRowShown="0">
  <autoFilter ref="B5:D26"/>
  <tableColumns count="3">
    <tableColumn id="1" name="Market"/>
    <tableColumn id="2" name="Clean Market"/>
    <tableColumn id="3" name="Region"/>
  </tableColumns>
</table>
</file>

<file path=xl/tables/table4.xml><?xml version="1.0" encoding="utf-8"?>
<table xmlns="http://schemas.openxmlformats.org/spreadsheetml/2006/main" id="4" name="Table4" displayName="Table4" ref="F5:G14" headerRowCount="1" totalsRowCount="0" totalsRowShown="0">
  <autoFilter ref="F5:G14"/>
  <tableColumns count="2">
    <tableColumn id="1" name="Ad Type"/>
    <tableColumn id="2" name="Clean Ad Type"/>
  </tableColumns>
</table>
</file>

<file path=xl/tables/table5.xml><?xml version="1.0" encoding="utf-8"?>
<table xmlns="http://schemas.openxmlformats.org/spreadsheetml/2006/main" id="5" name="Table5" displayName="Table5" ref="I5:J11" headerRowCount="1" totalsRowCount="0" totalsRowShown="0">
  <autoFilter ref="I5:J11"/>
  <tableColumns count="2">
    <tableColumn id="1" name="KPI"/>
    <tableColumn id="2" name="Clean KPI"/>
  </tableColumns>
</table>
</file>

<file path=xl/tables/table6.xml><?xml version="1.0" encoding="utf-8"?>
<table xmlns="http://schemas.openxmlformats.org/spreadsheetml/2006/main" id="6" name="Table6" displayName="Table6" ref="L5:M9" headerRowCount="1" totalsRowCount="0" totalsRowShown="0">
  <autoFilter ref="L5:M9"/>
  <tableColumns count="2">
    <tableColumn id="1" name="Site"/>
    <tableColumn id="2" name="Clean Publisher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table" Target="../tables/table4.xml"/><Relationship Id="rId3" Type="http://schemas.openxmlformats.org/officeDocument/2006/relationships/table" Target="../tables/table5.xml"/><Relationship Id="rId4" Type="http://schemas.openxmlformats.org/officeDocument/2006/relationships/table" Target="../tables/table6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5B9BD5"/>
    <pageSetUpPr fitToPage="false"/>
  </sheetPr>
  <dimension ref="A1:AB770"/>
  <sheetViews>
    <sheetView windowProtection="false" showFormulas="false" showGridLines="true" showRowColHeaders="true" showZeros="true" rightToLeft="false" tabSelected="true" showOutlineSymbols="true" defaultGridColor="true" view="normal" topLeftCell="L1" colorId="64" zoomScale="100" zoomScaleNormal="100" zoomScalePageLayoutView="100" workbookViewId="0">
      <selection pane="topLeft" activeCell="P15" activeCellId="0" sqref="P15"/>
    </sheetView>
  </sheetViews>
  <sheetFormatPr defaultRowHeight="12.8"/>
  <cols>
    <col collapsed="false" hidden="false" max="6" min="1" style="1" width="14.7813765182186"/>
    <col collapsed="false" hidden="false" max="8" min="7" style="1" width="19.2834008097166"/>
    <col collapsed="false" hidden="false" max="9" min="9" style="2" width="15.1052631578947"/>
    <col collapsed="false" hidden="false" max="10" min="10" style="3" width="16.8178137651822"/>
    <col collapsed="false" hidden="false" max="11" min="11" style="3" width="10.3886639676113"/>
    <col collapsed="false" hidden="false" max="12" min="12" style="3" width="17.7813765182186"/>
    <col collapsed="false" hidden="false" max="13" min="13" style="2" width="11.4615384615385"/>
    <col collapsed="false" hidden="false" max="14" min="14" style="4" width="12.748987854251"/>
    <col collapsed="false" hidden="false" max="15" min="15" style="0" width="12.1052631578947"/>
    <col collapsed="false" hidden="false" max="16" min="16" style="0" width="30.6356275303644"/>
    <col collapsed="false" hidden="false" max="17" min="17" style="0" width="11.5708502024291"/>
    <col collapsed="false" hidden="false" max="18" min="18" style="0" width="13.497975708502"/>
    <col collapsed="false" hidden="false" max="19" min="19" style="0" width="8.1417004048583"/>
    <col collapsed="false" hidden="false" max="20" min="20" style="0" width="23.5668016194332"/>
    <col collapsed="false" hidden="false" max="21" min="21" style="0" width="11.9959514170041"/>
    <col collapsed="false" hidden="false" max="22" min="22" style="5" width="20.995951417004"/>
    <col collapsed="false" hidden="false" max="23" min="23" style="0" width="115.688259109312"/>
    <col collapsed="false" hidden="false" max="24" min="24" style="0" width="23.5668016194332"/>
    <col collapsed="false" hidden="false" max="25" min="25" style="0" width="16.497975708502"/>
    <col collapsed="false" hidden="false" max="26" min="26" style="0" width="20.1376518218623"/>
    <col collapsed="false" hidden="false" max="27" min="27" style="0" width="12.4251012145749"/>
    <col collapsed="false" hidden="false" max="28" min="28" style="0" width="21.2105263157895"/>
    <col collapsed="false" hidden="false" max="1025" min="29" style="0" width="8.57085020242915"/>
  </cols>
  <sheetData>
    <row r="1" customFormat="false" ht="15.75" hidden="false" customHeight="true" outlineLevel="0" collapsed="false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8" t="s">
        <v>9</v>
      </c>
      <c r="K1" s="8" t="s">
        <v>10</v>
      </c>
      <c r="L1" s="8" t="s">
        <v>11</v>
      </c>
      <c r="M1" s="7" t="s">
        <v>12</v>
      </c>
      <c r="N1" s="9" t="s">
        <v>13</v>
      </c>
      <c r="O1" s="10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2" t="s">
        <v>21</v>
      </c>
      <c r="W1" s="11" t="s">
        <v>22</v>
      </c>
      <c r="X1" s="13" t="s">
        <v>23</v>
      </c>
      <c r="Y1" s="13" t="s">
        <v>24</v>
      </c>
      <c r="Z1" s="14" t="s">
        <v>25</v>
      </c>
      <c r="AA1" s="11" t="s">
        <v>26</v>
      </c>
      <c r="AB1" s="13" t="s">
        <v>27</v>
      </c>
    </row>
    <row r="2" customFormat="false" ht="13.8" hidden="false" customHeight="false" outlineLevel="0" collapsed="false">
      <c r="A2" s="1" t="str">
        <f aca="false">OFFSET(Table22,1,14,1,1)&amp;OFFSET(Table22,1,21,1,1)</f>
        <v>43352224009494</v>
      </c>
      <c r="B2" s="1" t="str">
        <f aca="false">OFFSET(Table22,1,14,1,1)&amp;OFFSET(Table22,1,22,1,1)</f>
        <v>43352Facebook»DEV-ITP-AZR-FB|CanvasAds|Interesttargeting»1x1»TextLink»CAN»DT»CPM»AUT»W»NA»SS»NA»39684020-11000</v>
      </c>
      <c r="C2" s="1" t="s">
        <v>28</v>
      </c>
      <c r="D2" s="3" t="n">
        <f aca="false">O2+(7-WEEKDAY(O2))</f>
        <v>43358</v>
      </c>
      <c r="E2" s="1" t="str">
        <f aca="false">VLOOKUP(OFFSET(Table22,1,16,1,1),Key!B:D,2,0)</f>
        <v>Germany</v>
      </c>
      <c r="F2" s="1" t="str">
        <f aca="false">IF(ISNUMBER(SEARCH("Canvas",U2)),"Link",IF(ISNUMBER(SEARCH("Link",U2)),"Link","Not filled properly"))</f>
        <v>Link</v>
      </c>
      <c r="G2" s="1" t="str">
        <f aca="false">IFERROR(VLOOKUP(OFFSET(Table22,1,21,1,1),OFFSET(Table2,0,1,ROWS(Table2),8),2,0),VLOOKUP(OFFSET(Table22,1,22,1,1),Table2,3,0))</f>
        <v>DEU_gaPMG_AZR_AZR_Q1_19_Trial-Social- 39684</v>
      </c>
      <c r="H2" s="1" t="n">
        <f aca="false">IFERROR(VLOOKUP(OFFSET(Table22,1,21,1,1),OFFSET(Table2,0,1,ROWS(Table2),8),3,0),VLOOKUP(OFFSET(Table22,1,22,1,1),Table2,4,0))</f>
        <v>21359477</v>
      </c>
      <c r="I2" s="2" t="n">
        <f aca="false">IFERROR(VLOOKUP(OFFSET(Table22,1,21,1,1),OFFSET(Table2,0,1,ROWS(Table2),8),4,0),VLOOKUP(OFFSET(Table22,1,22,1,1),Table2,5,0))</f>
        <v>720194</v>
      </c>
      <c r="J2" s="3" t="str">
        <f aca="false">IF(ISNUMBER(SEARCH("FACEBOOK",W2)),"Facebook",IF(ISNUMBER(SEARCH("INSTAGRAM",W2)),"Facebook-Instagram","Look at taxonomy"))</f>
        <v>Facebook</v>
      </c>
      <c r="K2" s="3" t="str">
        <f aca="false">IF(ISNUMBER(SEARCH("Facebook",J2)),"3654128","Not Facebook")</f>
        <v>3654128</v>
      </c>
      <c r="L2" s="3" t="str">
        <f aca="false">IFERROR(VLOOKUP(OFFSET(Table22,1,21,1,1),OFFSET(Table2,0,1,ROWS(Table2),8),7,0),VLOOKUP(OFFSET(Table22,1,22,1,1),Table2,8,0))</f>
        <v>AzurePlatform_FBCTCBasicMotion-BuyNow_DEU_10s_ISV_PLAT_DE_Trial_Standard_STAN_TN_T1_1</v>
      </c>
      <c r="M2" s="2" t="n">
        <f aca="false">IFERROR(VLOOKUP(OFFSET(Table22,1,21,1,1),OFFSET(Table2,0,1,ROWS(Table2),8),8,0),VLOOKUP(OFFSET(Table22,1,22,1,1),Table2,9,0))</f>
        <v>103235787</v>
      </c>
      <c r="N2" s="15" t="s">
        <v>29</v>
      </c>
      <c r="O2" s="16" t="n">
        <v>43352</v>
      </c>
      <c r="P2" s="17" t="s">
        <v>30</v>
      </c>
      <c r="Q2" s="18" t="s">
        <v>31</v>
      </c>
      <c r="R2" s="17" t="s">
        <v>32</v>
      </c>
      <c r="S2" s="18" t="s">
        <v>33</v>
      </c>
      <c r="T2" s="17" t="s">
        <v>34</v>
      </c>
      <c r="U2" s="18" t="s">
        <v>35</v>
      </c>
      <c r="V2" s="19" t="s">
        <v>36</v>
      </c>
      <c r="W2" s="17" t="s">
        <v>37</v>
      </c>
      <c r="X2" s="17" t="n">
        <v>8009</v>
      </c>
      <c r="Y2" s="17" t="n">
        <v>38</v>
      </c>
      <c r="Z2" s="17" t="n">
        <v>134.53</v>
      </c>
      <c r="AA2" s="17" t="s">
        <v>38</v>
      </c>
      <c r="AB2" s="17"/>
    </row>
    <row r="3" customFormat="false" ht="13.8" hidden="false" customHeight="false" outlineLevel="0" collapsed="false">
      <c r="A3" s="1" t="str">
        <f aca="false">OFFSET(Table22,2,14,1,1)&amp;OFFSET(Table22,2,21,1,1)</f>
        <v>43353224009494</v>
      </c>
      <c r="B3" s="1" t="str">
        <f aca="false">OFFSET(Table22,2,14,1,1)&amp;OFFSET(Table22,2,22,1,1)</f>
        <v>43353Facebook»DEV-ITP-AZR-FB|CanvasAds|Interesttargeting»1x1»TextLink»CAN»DT»CPM»AUT»W»NA»SS»NA»39684020-11000</v>
      </c>
      <c r="C3" s="1" t="s">
        <v>28</v>
      </c>
      <c r="D3" s="3" t="n">
        <f aca="false">O3+(7-WEEKDAY(O3))</f>
        <v>43358</v>
      </c>
      <c r="E3" s="1" t="str">
        <f aca="false">VLOOKUP(OFFSET(Table22,2,16,1,1),Key!B:D,2,0)</f>
        <v>Germany</v>
      </c>
      <c r="F3" s="1" t="str">
        <f aca="false">IF(ISNUMBER(SEARCH("Canvas",U3)),"Link",IF(ISNUMBER(SEARCH("Link",U3)),"Link","Not filled properly"))</f>
        <v>Link</v>
      </c>
      <c r="G3" s="1" t="str">
        <f aca="false">IFERROR(VLOOKUP(OFFSET(Table22,2,21,1,1),OFFSET(Table2,0,1,ROWS(Table2),8),2,0),VLOOKUP(OFFSET(Table22,2,22,1,1),Table2,3,0))</f>
        <v>DEU_gaPMG_AZR_AZR_Q1_19_Trial-Social- 39684</v>
      </c>
      <c r="H3" s="1" t="n">
        <f aca="false">IFERROR(VLOOKUP(OFFSET(Table22,2,21,1,1),OFFSET(Table2,0,1,ROWS(Table2),8),3,0),VLOOKUP(OFFSET(Table22,2,22,1,1),Table2,4,0))</f>
        <v>21359477</v>
      </c>
      <c r="I3" s="2" t="n">
        <f aca="false">IFERROR(VLOOKUP(OFFSET(Table22,2,21,1,1),OFFSET(Table2,0,1,ROWS(Table2),8),4,0),VLOOKUP(OFFSET(Table22,2,22,1,1),Table2,5,0))</f>
        <v>720194</v>
      </c>
      <c r="J3" s="3" t="str">
        <f aca="false">IF(ISNUMBER(SEARCH("FACEBOOK",W3)),"Facebook",IF(ISNUMBER(SEARCH("INSTAGRAM",W3)),"Facebook-Instagram","Look at taxonomy"))</f>
        <v>Facebook</v>
      </c>
      <c r="K3" s="3" t="str">
        <f aca="false">IF(ISNUMBER(SEARCH("Facebook",J3)),"3654128","Not Facebook")</f>
        <v>3654128</v>
      </c>
      <c r="L3" s="3" t="str">
        <f aca="false">IFERROR(VLOOKUP(OFFSET(Table22,2,21,1,1),OFFSET(Table2,0,1,ROWS(Table2),8),7,0),VLOOKUP(OFFSET(Table22,2,22,1,1),Table2,8,0))</f>
        <v>AzurePlatform_FBCTCBasicMotion-BuyNow_DEU_10s_ISV_PLAT_DE_Trial_Standard_STAN_TN_T1_1</v>
      </c>
      <c r="M3" s="2" t="n">
        <f aca="false">IFERROR(VLOOKUP(OFFSET(Table22,2,21,1,1),OFFSET(Table2,0,1,ROWS(Table2),8),8,0),VLOOKUP(OFFSET(Table22,2,22,1,1),Table2,9,0))</f>
        <v>103235787</v>
      </c>
      <c r="N3" s="15" t="s">
        <v>29</v>
      </c>
      <c r="O3" s="16" t="n">
        <v>43353</v>
      </c>
      <c r="P3" s="17" t="s">
        <v>30</v>
      </c>
      <c r="Q3" s="18" t="s">
        <v>31</v>
      </c>
      <c r="R3" s="17" t="s">
        <v>32</v>
      </c>
      <c r="S3" s="18" t="s">
        <v>33</v>
      </c>
      <c r="T3" s="17" t="s">
        <v>34</v>
      </c>
      <c r="U3" s="18" t="s">
        <v>35</v>
      </c>
      <c r="V3" s="19" t="s">
        <v>36</v>
      </c>
      <c r="W3" s="17" t="s">
        <v>37</v>
      </c>
      <c r="X3" s="17" t="n">
        <v>20102</v>
      </c>
      <c r="Y3" s="17" t="n">
        <v>44</v>
      </c>
      <c r="Z3" s="17" t="n">
        <v>145.47</v>
      </c>
      <c r="AA3" s="17" t="s">
        <v>38</v>
      </c>
      <c r="AB3" s="17"/>
    </row>
    <row r="4" customFormat="false" ht="15" hidden="false" customHeight="false" outlineLevel="0" collapsed="false">
      <c r="A4" s="1" t="str">
        <f aca="false">OFFSET(Table22,3,14,1,1)&amp;OFFSET(Table22,3,21,1,1)</f>
        <v>43354224009494</v>
      </c>
      <c r="B4" s="1" t="str">
        <f aca="false">OFFSET(Table22,3,14,1,1)&amp;OFFSET(Table22,3,22,1,1)</f>
        <v>43354Facebook»DEV-ITP-AZR-FB|CanvasAds|Interesttargeting»1x1»TextLink»CAN»DT»CPM»AUT»W»NA»SS»NA»39684020-11000</v>
      </c>
      <c r="C4" s="1" t="s">
        <v>28</v>
      </c>
      <c r="D4" s="3" t="n">
        <f aca="false">O4+(7-WEEKDAY(O4))</f>
        <v>43358</v>
      </c>
      <c r="E4" s="1" t="str">
        <f aca="false">VLOOKUP(OFFSET(Table22,3,16,1,1),Key!B:D,2,0)</f>
        <v>Germany</v>
      </c>
      <c r="F4" s="1" t="str">
        <f aca="false">IF(ISNUMBER(SEARCH("Canvas",U4)),"Link",IF(ISNUMBER(SEARCH("Link",U4)),"Link","Not filled properly"))</f>
        <v>Link</v>
      </c>
      <c r="G4" s="1" t="str">
        <f aca="false">IFERROR(VLOOKUP(OFFSET(Table22,3,21,1,1),OFFSET(Table2,0,1,ROWS(Table2),8),2,0),VLOOKUP(OFFSET(Table22,3,22,1,1),Table2,3,0))</f>
        <v>DEU_gaPMG_AZR_AZR_Q1_19_Trial-Social- 39684</v>
      </c>
      <c r="H4" s="1" t="n">
        <f aca="false">IFERROR(VLOOKUP(OFFSET(Table22,3,21,1,1),OFFSET(Table2,0,1,ROWS(Table2),8),3,0),VLOOKUP(OFFSET(Table22,3,22,1,1),Table2,4,0))</f>
        <v>21359477</v>
      </c>
      <c r="I4" s="2" t="n">
        <f aca="false">IFERROR(VLOOKUP(OFFSET(Table22,3,21,1,1),OFFSET(Table2,0,1,ROWS(Table2),8),4,0),VLOOKUP(OFFSET(Table22,3,22,1,1),Table2,5,0))</f>
        <v>720194</v>
      </c>
      <c r="J4" s="3" t="str">
        <f aca="false">IF(ISNUMBER(SEARCH("FACEBOOK",W4)),"Facebook",IF(ISNUMBER(SEARCH("INSTAGRAM",W4)),"Facebook-Instagram","Look at taxonomy"))</f>
        <v>Facebook</v>
      </c>
      <c r="K4" s="3" t="str">
        <f aca="false">IF(ISNUMBER(SEARCH("Facebook",J4)),"3654128","Not Facebook")</f>
        <v>3654128</v>
      </c>
      <c r="L4" s="3" t="str">
        <f aca="false">IFERROR(VLOOKUP(OFFSET(Table22,3,21,1,1),OFFSET(Table2,0,1,ROWS(Table2),8),7,0),VLOOKUP(OFFSET(Table22,3,22,1,1),Table2,8,0))</f>
        <v>AzurePlatform_FBCTCBasicMotion-BuyNow_DEU_10s_ISV_PLAT_DE_Trial_Standard_STAN_TN_T1_1</v>
      </c>
      <c r="M4" s="2" t="n">
        <f aca="false">IFERROR(VLOOKUP(OFFSET(Table22,3,21,1,1),OFFSET(Table2,0,1,ROWS(Table2),8),8,0),VLOOKUP(OFFSET(Table22,3,22,1,1),Table2,9,0))</f>
        <v>103235787</v>
      </c>
      <c r="N4" s="15" t="s">
        <v>29</v>
      </c>
      <c r="O4" s="16" t="n">
        <v>43354</v>
      </c>
      <c r="P4" s="17" t="s">
        <v>30</v>
      </c>
      <c r="Q4" s="18" t="s">
        <v>31</v>
      </c>
      <c r="R4" s="17" t="s">
        <v>32</v>
      </c>
      <c r="S4" s="18" t="s">
        <v>33</v>
      </c>
      <c r="T4" s="17" t="s">
        <v>34</v>
      </c>
      <c r="U4" s="18" t="s">
        <v>35</v>
      </c>
      <c r="V4" s="19" t="s">
        <v>36</v>
      </c>
      <c r="W4" s="17" t="s">
        <v>37</v>
      </c>
      <c r="X4" s="17" t="n">
        <v>20832</v>
      </c>
      <c r="Y4" s="17" t="n">
        <v>53</v>
      </c>
      <c r="Z4" s="17" t="n">
        <v>199.72</v>
      </c>
      <c r="AA4" s="17" t="s">
        <v>38</v>
      </c>
      <c r="AB4" s="17"/>
    </row>
    <row r="5" customFormat="false" ht="15" hidden="false" customHeight="false" outlineLevel="0" collapsed="false">
      <c r="A5" s="1" t="str">
        <f aca="false">OFFSET(Table22,4,14,1,1)&amp;OFFSET(Table22,4,21,1,1)</f>
        <v>43355224009494</v>
      </c>
      <c r="B5" s="1" t="str">
        <f aca="false">OFFSET(Table22,4,14,1,1)&amp;OFFSET(Table22,4,22,1,1)</f>
        <v>43355Facebook»DEV-ITP-AZR-FB|CanvasAds|Interesttargeting»1x1»TextLink»CAN»DT»CPM»AUT»W»NA»SS»NA»39684020-11000</v>
      </c>
      <c r="C5" s="1" t="s">
        <v>28</v>
      </c>
      <c r="D5" s="3" t="n">
        <f aca="false">O5+(7-WEEKDAY(O5))</f>
        <v>43358</v>
      </c>
      <c r="E5" s="1" t="str">
        <f aca="false">VLOOKUP(OFFSET(Table22,4,16,1,1),Key!B:D,2,0)</f>
        <v>Germany</v>
      </c>
      <c r="F5" s="1" t="str">
        <f aca="false">IF(ISNUMBER(SEARCH("Canvas",U5)),"Link",IF(ISNUMBER(SEARCH("Link",U5)),"Link","Not filled properly"))</f>
        <v>Link</v>
      </c>
      <c r="G5" s="1" t="str">
        <f aca="false">IFERROR(VLOOKUP(OFFSET(Table22,4,21,1,1),OFFSET(Table2,0,1,ROWS(Table2),8),2,0),VLOOKUP(OFFSET(Table22,4,22,1,1),Table2,3,0))</f>
        <v>DEU_gaPMG_AZR_AZR_Q1_19_Trial-Social- 39684</v>
      </c>
      <c r="H5" s="1" t="n">
        <f aca="false">IFERROR(VLOOKUP(OFFSET(Table22,4,21,1,1),OFFSET(Table2,0,1,ROWS(Table2),8),3,0),VLOOKUP(OFFSET(Table22,4,22,1,1),Table2,4,0))</f>
        <v>21359477</v>
      </c>
      <c r="I5" s="2" t="n">
        <f aca="false">IFERROR(VLOOKUP(OFFSET(Table22,4,21,1,1),OFFSET(Table2,0,1,ROWS(Table2),8),4,0),VLOOKUP(OFFSET(Table22,4,22,1,1),Table2,5,0))</f>
        <v>720194</v>
      </c>
      <c r="J5" s="3" t="str">
        <f aca="false">IF(ISNUMBER(SEARCH("FACEBOOK",W5)),"Facebook",IF(ISNUMBER(SEARCH("INSTAGRAM",W5)),"Facebook-Instagram","Look at taxonomy"))</f>
        <v>Facebook</v>
      </c>
      <c r="K5" s="3" t="str">
        <f aca="false">IF(ISNUMBER(SEARCH("Facebook",J5)),"3654128","Not Facebook")</f>
        <v>3654128</v>
      </c>
      <c r="L5" s="3" t="str">
        <f aca="false">IFERROR(VLOOKUP(OFFSET(Table22,4,21,1,1),OFFSET(Table2,0,1,ROWS(Table2),8),7,0),VLOOKUP(OFFSET(Table22,4,22,1,1),Table2,8,0))</f>
        <v>AzurePlatform_FBCTCBasicMotion-BuyNow_DEU_10s_ISV_PLAT_DE_Trial_Standard_STAN_TN_T1_1</v>
      </c>
      <c r="M5" s="2" t="n">
        <f aca="false">IFERROR(VLOOKUP(OFFSET(Table22,4,21,1,1),OFFSET(Table2,0,1,ROWS(Table2),8),8,0),VLOOKUP(OFFSET(Table22,4,22,1,1),Table2,9,0))</f>
        <v>103235787</v>
      </c>
      <c r="N5" s="15" t="s">
        <v>29</v>
      </c>
      <c r="O5" s="16" t="n">
        <v>43355</v>
      </c>
      <c r="P5" s="17" t="s">
        <v>30</v>
      </c>
      <c r="Q5" s="18" t="s">
        <v>31</v>
      </c>
      <c r="R5" s="17" t="s">
        <v>32</v>
      </c>
      <c r="S5" s="18" t="s">
        <v>33</v>
      </c>
      <c r="T5" s="17" t="s">
        <v>34</v>
      </c>
      <c r="U5" s="18" t="s">
        <v>35</v>
      </c>
      <c r="V5" s="19" t="s">
        <v>36</v>
      </c>
      <c r="W5" s="17" t="s">
        <v>37</v>
      </c>
      <c r="X5" s="17" t="n">
        <v>11509</v>
      </c>
      <c r="Y5" s="17" t="n">
        <v>30</v>
      </c>
      <c r="Z5" s="17" t="n">
        <v>111.2</v>
      </c>
      <c r="AA5" s="17" t="s">
        <v>38</v>
      </c>
      <c r="AB5" s="17"/>
    </row>
    <row r="6" customFormat="false" ht="15" hidden="false" customHeight="false" outlineLevel="0" collapsed="false">
      <c r="A6" s="1" t="str">
        <f aca="false">OFFSET(Table22,5,14,1,1)&amp;OFFSET(Table22,5,21,1,1)</f>
        <v>43356224009494</v>
      </c>
      <c r="B6" s="1" t="str">
        <f aca="false">OFFSET(Table22,5,14,1,1)&amp;OFFSET(Table22,5,22,1,1)</f>
        <v>43356Facebook»DEV-ITP-AZR-FB|CanvasAds|Interesttargeting»1x1»TextLink»CAN»DT»CPM»AUT»W»NA»SS»NA»39684020-11000</v>
      </c>
      <c r="C6" s="1" t="s">
        <v>28</v>
      </c>
      <c r="D6" s="3" t="n">
        <f aca="false">O6+(7-WEEKDAY(O6))</f>
        <v>43358</v>
      </c>
      <c r="E6" s="1" t="str">
        <f aca="false">VLOOKUP(OFFSET(Table22,5,16,1,1),Key!B:D,2,0)</f>
        <v>Germany</v>
      </c>
      <c r="F6" s="1" t="str">
        <f aca="false">IF(ISNUMBER(SEARCH("Canvas",U6)),"Link",IF(ISNUMBER(SEARCH("Link",U6)),"Link","Not filled properly"))</f>
        <v>Link</v>
      </c>
      <c r="G6" s="1" t="str">
        <f aca="false">IFERROR(VLOOKUP(OFFSET(Table22,5,21,1,1),OFFSET(Table2,0,1,ROWS(Table2),8),2,0),VLOOKUP(OFFSET(Table22,5,22,1,1),Table2,3,0))</f>
        <v>DEU_gaPMG_AZR_AZR_Q1_19_Trial-Social- 39684</v>
      </c>
      <c r="H6" s="1" t="n">
        <f aca="false">IFERROR(VLOOKUP(OFFSET(Table22,5,21,1,1),OFFSET(Table2,0,1,ROWS(Table2),8),3,0),VLOOKUP(OFFSET(Table22,5,22,1,1),Table2,4,0))</f>
        <v>21359477</v>
      </c>
      <c r="I6" s="2" t="n">
        <f aca="false">IFERROR(VLOOKUP(OFFSET(Table22,5,21,1,1),OFFSET(Table2,0,1,ROWS(Table2),8),4,0),VLOOKUP(OFFSET(Table22,5,22,1,1),Table2,5,0))</f>
        <v>720194</v>
      </c>
      <c r="J6" s="3" t="str">
        <f aca="false">IF(ISNUMBER(SEARCH("FACEBOOK",W6)),"Facebook",IF(ISNUMBER(SEARCH("INSTAGRAM",W6)),"Facebook-Instagram","Look at taxonomy"))</f>
        <v>Facebook</v>
      </c>
      <c r="K6" s="3" t="str">
        <f aca="false">IF(ISNUMBER(SEARCH("Facebook",J6)),"3654128","Not Facebook")</f>
        <v>3654128</v>
      </c>
      <c r="L6" s="3" t="str">
        <f aca="false">IFERROR(VLOOKUP(OFFSET(Table22,5,21,1,1),OFFSET(Table2,0,1,ROWS(Table2),8),7,0),VLOOKUP(OFFSET(Table22,5,22,1,1),Table2,8,0))</f>
        <v>AzurePlatform_FBCTCBasicMotion-BuyNow_DEU_10s_ISV_PLAT_DE_Trial_Standard_STAN_TN_T1_1</v>
      </c>
      <c r="M6" s="2" t="n">
        <f aca="false">IFERROR(VLOOKUP(OFFSET(Table22,5,21,1,1),OFFSET(Table2,0,1,ROWS(Table2),8),8,0),VLOOKUP(OFFSET(Table22,5,22,1,1),Table2,9,0))</f>
        <v>103235787</v>
      </c>
      <c r="N6" s="15" t="s">
        <v>29</v>
      </c>
      <c r="O6" s="16" t="n">
        <v>43356</v>
      </c>
      <c r="P6" s="17" t="s">
        <v>30</v>
      </c>
      <c r="Q6" s="18" t="s">
        <v>31</v>
      </c>
      <c r="R6" s="17" t="s">
        <v>32</v>
      </c>
      <c r="S6" s="18" t="s">
        <v>33</v>
      </c>
      <c r="T6" s="17" t="s">
        <v>34</v>
      </c>
      <c r="U6" s="18" t="s">
        <v>35</v>
      </c>
      <c r="V6" s="19" t="s">
        <v>36</v>
      </c>
      <c r="W6" s="17" t="s">
        <v>37</v>
      </c>
      <c r="X6" s="17" t="n">
        <v>13274</v>
      </c>
      <c r="Y6" s="17" t="n">
        <v>31</v>
      </c>
      <c r="Z6" s="17" t="n">
        <v>110.62</v>
      </c>
      <c r="AA6" s="17" t="s">
        <v>38</v>
      </c>
      <c r="AB6" s="17"/>
    </row>
    <row r="7" customFormat="false" ht="15" hidden="false" customHeight="false" outlineLevel="0" collapsed="false">
      <c r="A7" s="1" t="str">
        <f aca="false">OFFSET(Table22,6,14,1,1)&amp;OFFSET(Table22,6,21,1,1)</f>
        <v>43357224009494</v>
      </c>
      <c r="B7" s="1" t="str">
        <f aca="false">OFFSET(Table22,6,14,1,1)&amp;OFFSET(Table22,6,22,1,1)</f>
        <v>43357Facebook»DEV-ITP-AZR-FB|CanvasAds|Interesttargeting»1x1»TextLink»CAN»DT»CPM»AUT»W»NA»SS»NA»39684020-11000</v>
      </c>
      <c r="C7" s="1" t="s">
        <v>28</v>
      </c>
      <c r="D7" s="3" t="n">
        <f aca="false">O7+(7-WEEKDAY(O7))</f>
        <v>43358</v>
      </c>
      <c r="E7" s="1" t="str">
        <f aca="false">VLOOKUP(OFFSET(Table22,6,16,1,1),Key!B:D,2,0)</f>
        <v>Germany</v>
      </c>
      <c r="F7" s="1" t="str">
        <f aca="false">IF(ISNUMBER(SEARCH("Canvas",U7)),"Link",IF(ISNUMBER(SEARCH("Link",U7)),"Link","Not filled properly"))</f>
        <v>Link</v>
      </c>
      <c r="G7" s="1" t="str">
        <f aca="false">IFERROR(VLOOKUP(OFFSET(Table22,6,21,1,1),OFFSET(Table2,0,1,ROWS(Table2),8),2,0),VLOOKUP(OFFSET(Table22,6,22,1,1),Table2,3,0))</f>
        <v>DEU_gaPMG_AZR_AZR_Q1_19_Trial-Social- 39684</v>
      </c>
      <c r="H7" s="1" t="n">
        <f aca="false">IFERROR(VLOOKUP(OFFSET(Table22,6,21,1,1),OFFSET(Table2,0,1,ROWS(Table2),8),3,0),VLOOKUP(OFFSET(Table22,6,22,1,1),Table2,4,0))</f>
        <v>21359477</v>
      </c>
      <c r="I7" s="2" t="n">
        <f aca="false">IFERROR(VLOOKUP(OFFSET(Table22,6,21,1,1),OFFSET(Table2,0,1,ROWS(Table2),8),4,0),VLOOKUP(OFFSET(Table22,6,22,1,1),Table2,5,0))</f>
        <v>720194</v>
      </c>
      <c r="J7" s="3" t="str">
        <f aca="false">IF(ISNUMBER(SEARCH("FACEBOOK",W7)),"Facebook",IF(ISNUMBER(SEARCH("INSTAGRAM",W7)),"Facebook-Instagram","Look at taxonomy"))</f>
        <v>Facebook</v>
      </c>
      <c r="K7" s="3" t="str">
        <f aca="false">IF(ISNUMBER(SEARCH("Facebook",J7)),"3654128","Not Facebook")</f>
        <v>3654128</v>
      </c>
      <c r="L7" s="3" t="str">
        <f aca="false">IFERROR(VLOOKUP(OFFSET(Table22,6,21,1,1),OFFSET(Table2,0,1,ROWS(Table2),8),7,0),VLOOKUP(OFFSET(Table22,6,22,1,1),Table2,8,0))</f>
        <v>AzurePlatform_FBCTCBasicMotion-BuyNow_DEU_10s_ISV_PLAT_DE_Trial_Standard_STAN_TN_T1_1</v>
      </c>
      <c r="M7" s="2" t="n">
        <f aca="false">IFERROR(VLOOKUP(OFFSET(Table22,6,21,1,1),OFFSET(Table2,0,1,ROWS(Table2),8),8,0),VLOOKUP(OFFSET(Table22,6,22,1,1),Table2,9,0))</f>
        <v>103235787</v>
      </c>
      <c r="N7" s="15" t="s">
        <v>29</v>
      </c>
      <c r="O7" s="16" t="n">
        <v>43357</v>
      </c>
      <c r="P7" s="17" t="s">
        <v>30</v>
      </c>
      <c r="Q7" s="18" t="s">
        <v>31</v>
      </c>
      <c r="R7" s="17" t="s">
        <v>32</v>
      </c>
      <c r="S7" s="18" t="s">
        <v>33</v>
      </c>
      <c r="T7" s="17" t="s">
        <v>34</v>
      </c>
      <c r="U7" s="18" t="s">
        <v>35</v>
      </c>
      <c r="V7" s="19" t="s">
        <v>36</v>
      </c>
      <c r="W7" s="17" t="s">
        <v>37</v>
      </c>
      <c r="X7" s="17" t="n">
        <v>10568</v>
      </c>
      <c r="Y7" s="17" t="n">
        <v>39</v>
      </c>
      <c r="Z7" s="17" t="n">
        <v>124.78</v>
      </c>
      <c r="AA7" s="17" t="s">
        <v>38</v>
      </c>
      <c r="AB7" s="17"/>
    </row>
    <row r="8" customFormat="false" ht="15" hidden="false" customHeight="false" outlineLevel="0" collapsed="false">
      <c r="A8" s="1" t="str">
        <f aca="false">OFFSET(Table22,7,14,1,1)&amp;OFFSET(Table22,7,21,1,1)</f>
        <v>43358224009494</v>
      </c>
      <c r="B8" s="1" t="str">
        <f aca="false">OFFSET(Table22,7,14,1,1)&amp;OFFSET(Table22,7,22,1,1)</f>
        <v>43358Facebook»DEV-ITP-AZR-FB|CanvasAds|Interesttargeting»1x1»TextLink»CAN»DT»CPM»AUT»W»NA»SS»NA»39684020-11000</v>
      </c>
      <c r="C8" s="1" t="s">
        <v>28</v>
      </c>
      <c r="D8" s="3" t="n">
        <f aca="false">O8+(7-WEEKDAY(O8))</f>
        <v>43358</v>
      </c>
      <c r="E8" s="1" t="str">
        <f aca="false">VLOOKUP(OFFSET(Table22,7,16,1,1),Key!B:D,2,0)</f>
        <v>Germany</v>
      </c>
      <c r="F8" s="1" t="str">
        <f aca="false">IF(ISNUMBER(SEARCH("Canvas",U8)),"Link",IF(ISNUMBER(SEARCH("Link",U8)),"Link","Not filled properly"))</f>
        <v>Link</v>
      </c>
      <c r="G8" s="1" t="str">
        <f aca="false">IFERROR(VLOOKUP(OFFSET(Table22,7,21,1,1),OFFSET(Table2,0,1,ROWS(Table2),8),2,0),VLOOKUP(OFFSET(Table22,7,22,1,1),Table2,3,0))</f>
        <v>DEU_gaPMG_AZR_AZR_Q1_19_Trial-Social- 39684</v>
      </c>
      <c r="H8" s="1" t="n">
        <f aca="false">IFERROR(VLOOKUP(OFFSET(Table22,7,21,1,1),OFFSET(Table2,0,1,ROWS(Table2),8),3,0),VLOOKUP(OFFSET(Table22,7,22,1,1),Table2,4,0))</f>
        <v>21359477</v>
      </c>
      <c r="I8" s="2" t="n">
        <f aca="false">IFERROR(VLOOKUP(OFFSET(Table22,7,21,1,1),OFFSET(Table2,0,1,ROWS(Table2),8),4,0),VLOOKUP(OFFSET(Table22,7,22,1,1),Table2,5,0))</f>
        <v>720194</v>
      </c>
      <c r="J8" s="3" t="str">
        <f aca="false">IF(ISNUMBER(SEARCH("FACEBOOK",W8)),"Facebook",IF(ISNUMBER(SEARCH("INSTAGRAM",W8)),"Facebook-Instagram","Look at taxonomy"))</f>
        <v>Facebook</v>
      </c>
      <c r="K8" s="3" t="str">
        <f aca="false">IF(ISNUMBER(SEARCH("Facebook",J8)),"3654128","Not Facebook")</f>
        <v>3654128</v>
      </c>
      <c r="L8" s="3" t="str">
        <f aca="false">IFERROR(VLOOKUP(OFFSET(Table22,7,21,1,1),OFFSET(Table2,0,1,ROWS(Table2),8),7,0),VLOOKUP(OFFSET(Table22,7,22,1,1),Table2,8,0))</f>
        <v>AzurePlatform_FBCTCBasicMotion-BuyNow_DEU_10s_ISV_PLAT_DE_Trial_Standard_STAN_TN_T1_1</v>
      </c>
      <c r="M8" s="2" t="n">
        <f aca="false">IFERROR(VLOOKUP(OFFSET(Table22,7,21,1,1),OFFSET(Table2,0,1,ROWS(Table2),8),8,0),VLOOKUP(OFFSET(Table22,7,22,1,1),Table2,9,0))</f>
        <v>103235787</v>
      </c>
      <c r="N8" s="15" t="s">
        <v>29</v>
      </c>
      <c r="O8" s="16" t="n">
        <v>43358</v>
      </c>
      <c r="P8" s="17" t="s">
        <v>30</v>
      </c>
      <c r="Q8" s="18" t="s">
        <v>31</v>
      </c>
      <c r="R8" s="17" t="s">
        <v>32</v>
      </c>
      <c r="S8" s="18" t="s">
        <v>33</v>
      </c>
      <c r="T8" s="17" t="s">
        <v>34</v>
      </c>
      <c r="U8" s="18" t="s">
        <v>35</v>
      </c>
      <c r="V8" s="19" t="s">
        <v>36</v>
      </c>
      <c r="W8" s="17" t="s">
        <v>37</v>
      </c>
      <c r="X8" s="17" t="n">
        <v>9575</v>
      </c>
      <c r="Y8" s="17" t="n">
        <v>39</v>
      </c>
      <c r="Z8" s="17" t="n">
        <v>116.09</v>
      </c>
      <c r="AA8" s="17" t="s">
        <v>38</v>
      </c>
      <c r="AB8" s="17"/>
    </row>
    <row r="9" customFormat="false" ht="15" hidden="false" customHeight="false" outlineLevel="0" collapsed="false">
      <c r="A9" s="1" t="str">
        <f aca="false">OFFSET(Table22,8,14,1,1)&amp;OFFSET(Table22,8,21,1,1)</f>
        <v>43352224010415</v>
      </c>
      <c r="B9" s="1" t="str">
        <f aca="false">OFFSET(Table22,8,14,1,1)&amp;OFFSET(Table22,8,22,1,1)</f>
        <v>43352Facebook»DEV-ITP-AZR-FB|LinkAd|CustomerAudienceRetargeting»1x1»TextLink»LIA»DT»CPM»RT»W»NA»SS»NA»39684019-11000</v>
      </c>
      <c r="C9" s="1" t="s">
        <v>28</v>
      </c>
      <c r="D9" s="3" t="n">
        <f aca="false">O9+(7-WEEKDAY(O9))</f>
        <v>43358</v>
      </c>
      <c r="E9" s="1" t="str">
        <f aca="false">VLOOKUP(OFFSET(Table22,8,16,1,1),Key!B:D,2,0)</f>
        <v>Germany</v>
      </c>
      <c r="F9" s="1" t="str">
        <f aca="false">IF(ISNUMBER(SEARCH("Canvas",U9)),"Link",IF(ISNUMBER(SEARCH("Link",U9)),"Link","Not filled properly"))</f>
        <v>Link</v>
      </c>
      <c r="G9" s="1" t="str">
        <f aca="false">IFERROR(VLOOKUP(OFFSET(Table22,8,21,1,1),OFFSET(Table2,0,1,ROWS(Table2),8),2,0),VLOOKUP(OFFSET(Table22,8,22,1,1),Table2,3,0))</f>
        <v>DEU_gaPMG_AZR_AZR_Q1_19_Trial-Social- 39684</v>
      </c>
      <c r="H9" s="1" t="n">
        <f aca="false">IFERROR(VLOOKUP(OFFSET(Table22,8,21,1,1),OFFSET(Table2,0,1,ROWS(Table2),8),3,0),VLOOKUP(OFFSET(Table22,8,22,1,1),Table2,4,0))</f>
        <v>21359477</v>
      </c>
      <c r="I9" s="2" t="n">
        <f aca="false">IFERROR(VLOOKUP(OFFSET(Table22,8,21,1,1),OFFSET(Table2,0,1,ROWS(Table2),8),4,0),VLOOKUP(OFFSET(Table22,8,22,1,1),Table2,5,0))</f>
        <v>720194</v>
      </c>
      <c r="J9" s="3" t="str">
        <f aca="false">IF(ISNUMBER(SEARCH("FACEBOOK",W9)),"Facebook",IF(ISNUMBER(SEARCH("INSTAGRAM",W9)),"Facebook-Instagram","Look at taxonomy"))</f>
        <v>Facebook</v>
      </c>
      <c r="K9" s="3" t="str">
        <f aca="false">IF(ISNUMBER(SEARCH("Facebook",J9)),"3654128","Not Facebook")</f>
        <v>3654128</v>
      </c>
      <c r="L9" s="3" t="str">
        <f aca="false">IFERROR(VLOOKUP(OFFSET(Table22,8,21,1,1),OFFSET(Table2,0,1,ROWS(Table2),8),7,0),VLOOKUP(OFFSET(Table22,8,22,1,1),Table2,8,0))</f>
        <v>AzurePlatform_FreeAcctRetargetingFB-Animated-ChC_DEU_1200x628_SOC_Plat_DE_Free Account_Standard_ANI_SNU_T3_1</v>
      </c>
      <c r="M9" s="2" t="n">
        <f aca="false">IFERROR(VLOOKUP(OFFSET(Table22,8,21,1,1),OFFSET(Table2,0,1,ROWS(Table2),8),8,0),VLOOKUP(OFFSET(Table22,8,22,1,1),Table2,9,0))</f>
        <v>103048548</v>
      </c>
      <c r="N9" s="15" t="s">
        <v>29</v>
      </c>
      <c r="O9" s="16" t="n">
        <v>43352</v>
      </c>
      <c r="P9" s="17" t="s">
        <v>30</v>
      </c>
      <c r="Q9" s="18" t="s">
        <v>31</v>
      </c>
      <c r="R9" s="17" t="s">
        <v>32</v>
      </c>
      <c r="S9" s="18" t="s">
        <v>33</v>
      </c>
      <c r="T9" s="17" t="s">
        <v>34</v>
      </c>
      <c r="U9" s="18" t="s">
        <v>39</v>
      </c>
      <c r="V9" s="19" t="s">
        <v>40</v>
      </c>
      <c r="W9" s="17" t="s">
        <v>41</v>
      </c>
      <c r="X9" s="17" t="n">
        <v>7439</v>
      </c>
      <c r="Y9" s="17" t="n">
        <v>37</v>
      </c>
      <c r="Z9" s="17" t="n">
        <v>90.74</v>
      </c>
      <c r="AA9" s="17" t="s">
        <v>38</v>
      </c>
      <c r="AB9" s="17"/>
    </row>
    <row r="10" customFormat="false" ht="15" hidden="false" customHeight="false" outlineLevel="0" collapsed="false">
      <c r="A10" s="1" t="str">
        <f aca="false">OFFSET(Table22,9,14,1,1)&amp;OFFSET(Table22,9,21,1,1)</f>
        <v>43353224010415</v>
      </c>
      <c r="B10" s="1" t="str">
        <f aca="false">OFFSET(Table22,9,14,1,1)&amp;OFFSET(Table22,9,22,1,1)</f>
        <v>43353Facebook»DEV-ITP-AZR-FB|LinkAd|CustomerAudienceRetargeting»1x1»TextLink»LIA»DT»CPM»RT»W»NA»SS»NA»39684019-11000</v>
      </c>
      <c r="C10" s="1" t="s">
        <v>28</v>
      </c>
      <c r="D10" s="3" t="n">
        <f aca="false">O10+(7-WEEKDAY(O10))</f>
        <v>43358</v>
      </c>
      <c r="E10" s="1" t="str">
        <f aca="false">VLOOKUP(OFFSET(Table22,9,16,1,1),Key!B:D,2,0)</f>
        <v>Germany</v>
      </c>
      <c r="F10" s="1" t="str">
        <f aca="false">IF(ISNUMBER(SEARCH("Canvas",U10)),"Link",IF(ISNUMBER(SEARCH("Link",U10)),"Link","Not filled properly"))</f>
        <v>Link</v>
      </c>
      <c r="G10" s="1" t="str">
        <f aca="false">IFERROR(VLOOKUP(OFFSET(Table22,9,21,1,1),OFFSET(Table2,0,1,ROWS(Table2),8),2,0),VLOOKUP(OFFSET(Table22,9,22,1,1),Table2,3,0))</f>
        <v>DEU_gaPMG_AZR_AZR_Q1_19_Trial-Social- 39684</v>
      </c>
      <c r="H10" s="1" t="n">
        <f aca="false">IFERROR(VLOOKUP(OFFSET(Table22,9,21,1,1),OFFSET(Table2,0,1,ROWS(Table2),8),3,0),VLOOKUP(OFFSET(Table22,9,22,1,1),Table2,4,0))</f>
        <v>21359477</v>
      </c>
      <c r="I10" s="2" t="n">
        <f aca="false">IFERROR(VLOOKUP(OFFSET(Table22,9,21,1,1),OFFSET(Table2,0,1,ROWS(Table2),8),4,0),VLOOKUP(OFFSET(Table22,9,22,1,1),Table2,5,0))</f>
        <v>720194</v>
      </c>
      <c r="J10" s="3" t="str">
        <f aca="false">IF(ISNUMBER(SEARCH("FACEBOOK",W10)),"Facebook",IF(ISNUMBER(SEARCH("INSTAGRAM",W10)),"Facebook-Instagram","Look at taxonomy"))</f>
        <v>Facebook</v>
      </c>
      <c r="K10" s="3" t="str">
        <f aca="false">IF(ISNUMBER(SEARCH("Facebook",J10)),"3654128","Not Facebook")</f>
        <v>3654128</v>
      </c>
      <c r="L10" s="3" t="str">
        <f aca="false">IFERROR(VLOOKUP(OFFSET(Table22,9,21,1,1),OFFSET(Table2,0,1,ROWS(Table2),8),7,0),VLOOKUP(OFFSET(Table22,9,22,1,1),Table2,8,0))</f>
        <v>AzurePlatform_FreeAcctRetargetingFB-Animated-ChC_DEU_1200x628_SOC_Plat_DE_Free Account_Standard_ANI_SNU_T3_1</v>
      </c>
      <c r="M10" s="2" t="n">
        <f aca="false">IFERROR(VLOOKUP(OFFSET(Table22,9,21,1,1),OFFSET(Table2,0,1,ROWS(Table2),8),8,0),VLOOKUP(OFFSET(Table22,9,22,1,1),Table2,9,0))</f>
        <v>103048548</v>
      </c>
      <c r="N10" s="15" t="s">
        <v>29</v>
      </c>
      <c r="O10" s="16" t="n">
        <v>43353</v>
      </c>
      <c r="P10" s="17" t="s">
        <v>30</v>
      </c>
      <c r="Q10" s="18" t="s">
        <v>31</v>
      </c>
      <c r="R10" s="17" t="s">
        <v>32</v>
      </c>
      <c r="S10" s="18" t="s">
        <v>33</v>
      </c>
      <c r="T10" s="17" t="s">
        <v>34</v>
      </c>
      <c r="U10" s="18" t="s">
        <v>39</v>
      </c>
      <c r="V10" s="19" t="s">
        <v>40</v>
      </c>
      <c r="W10" s="17" t="s">
        <v>41</v>
      </c>
      <c r="X10" s="17" t="n">
        <v>6890</v>
      </c>
      <c r="Y10" s="17" t="n">
        <v>51</v>
      </c>
      <c r="Z10" s="17" t="n">
        <v>79.15</v>
      </c>
      <c r="AA10" s="17" t="s">
        <v>38</v>
      </c>
      <c r="AB10" s="17"/>
    </row>
    <row r="11" customFormat="false" ht="15" hidden="false" customHeight="false" outlineLevel="0" collapsed="false">
      <c r="A11" s="1" t="str">
        <f aca="false">OFFSET(Table22,10,14,1,1)&amp;OFFSET(Table22,10,21,1,1)</f>
        <v>43354224010415</v>
      </c>
      <c r="B11" s="1" t="str">
        <f aca="false">OFFSET(Table22,10,14,1,1)&amp;OFFSET(Table22,10,22,1,1)</f>
        <v>43354Facebook»DEV-ITP-AZR-FB|LinkAd|CustomerAudienceRetargeting»1x1»TextLink»LIA»DT»CPM»RT»W»NA»SS»NA»39684019-11000</v>
      </c>
      <c r="C11" s="1" t="s">
        <v>28</v>
      </c>
      <c r="D11" s="3" t="n">
        <f aca="false">O11+(7-WEEKDAY(O11))</f>
        <v>43358</v>
      </c>
      <c r="E11" s="1" t="str">
        <f aca="false">VLOOKUP(OFFSET(Table22,10,16,1,1),Key!B:D,2,0)</f>
        <v>Germany</v>
      </c>
      <c r="F11" s="1" t="str">
        <f aca="false">IF(ISNUMBER(SEARCH("Canvas",U11)),"Link",IF(ISNUMBER(SEARCH("Link",U11)),"Link","Not filled properly"))</f>
        <v>Link</v>
      </c>
      <c r="G11" s="1" t="str">
        <f aca="false">IFERROR(VLOOKUP(OFFSET(Table22,10,21,1,1),OFFSET(Table2,0,1,ROWS(Table2),8),2,0),VLOOKUP(OFFSET(Table22,10,22,1,1),Table2,3,0))</f>
        <v>DEU_gaPMG_AZR_AZR_Q1_19_Trial-Social- 39684</v>
      </c>
      <c r="H11" s="1" t="n">
        <f aca="false">IFERROR(VLOOKUP(OFFSET(Table22,10,21,1,1),OFFSET(Table2,0,1,ROWS(Table2),8),3,0),VLOOKUP(OFFSET(Table22,10,22,1,1),Table2,4,0))</f>
        <v>21359477</v>
      </c>
      <c r="I11" s="2" t="n">
        <f aca="false">IFERROR(VLOOKUP(OFFSET(Table22,10,21,1,1),OFFSET(Table2,0,1,ROWS(Table2),8),4,0),VLOOKUP(OFFSET(Table22,10,22,1,1),Table2,5,0))</f>
        <v>720194</v>
      </c>
      <c r="J11" s="3" t="str">
        <f aca="false">IF(ISNUMBER(SEARCH("FACEBOOK",W11)),"Facebook",IF(ISNUMBER(SEARCH("INSTAGRAM",W11)),"Facebook-Instagram","Look at taxonomy"))</f>
        <v>Facebook</v>
      </c>
      <c r="K11" s="3" t="str">
        <f aca="false">IF(ISNUMBER(SEARCH("Facebook",J11)),"3654128","Not Facebook")</f>
        <v>3654128</v>
      </c>
      <c r="L11" s="3" t="str">
        <f aca="false">IFERROR(VLOOKUP(OFFSET(Table22,10,21,1,1),OFFSET(Table2,0,1,ROWS(Table2),8),7,0),VLOOKUP(OFFSET(Table22,10,22,1,1),Table2,8,0))</f>
        <v>AzurePlatform_FreeAcctRetargetingFB-Animated-ChC_DEU_1200x628_SOC_Plat_DE_Free Account_Standard_ANI_SNU_T3_1</v>
      </c>
      <c r="M11" s="2" t="n">
        <f aca="false">IFERROR(VLOOKUP(OFFSET(Table22,10,21,1,1),OFFSET(Table2,0,1,ROWS(Table2),8),8,0),VLOOKUP(OFFSET(Table22,10,22,1,1),Table2,9,0))</f>
        <v>103048548</v>
      </c>
      <c r="N11" s="15" t="s">
        <v>29</v>
      </c>
      <c r="O11" s="16" t="n">
        <v>43354</v>
      </c>
      <c r="P11" s="17" t="s">
        <v>30</v>
      </c>
      <c r="Q11" s="18" t="s">
        <v>31</v>
      </c>
      <c r="R11" s="17" t="s">
        <v>32</v>
      </c>
      <c r="S11" s="18" t="s">
        <v>33</v>
      </c>
      <c r="T11" s="17" t="s">
        <v>34</v>
      </c>
      <c r="U11" s="18" t="s">
        <v>39</v>
      </c>
      <c r="V11" s="19" t="s">
        <v>40</v>
      </c>
      <c r="W11" s="17" t="s">
        <v>41</v>
      </c>
      <c r="X11" s="17" t="n">
        <v>6117</v>
      </c>
      <c r="Y11" s="17" t="n">
        <v>34</v>
      </c>
      <c r="Z11" s="17" t="n">
        <v>72.23</v>
      </c>
      <c r="AA11" s="17" t="s">
        <v>38</v>
      </c>
      <c r="AB11" s="17"/>
    </row>
    <row r="12" customFormat="false" ht="15" hidden="false" customHeight="false" outlineLevel="0" collapsed="false">
      <c r="A12" s="1" t="str">
        <f aca="false">OFFSET(Table22,11,14,1,1)&amp;OFFSET(Table22,11,21,1,1)</f>
        <v>43355224010415</v>
      </c>
      <c r="B12" s="1" t="str">
        <f aca="false">OFFSET(Table22,11,14,1,1)&amp;OFFSET(Table22,11,22,1,1)</f>
        <v>43355Facebook»DEV-ITP-AZR-FB|LinkAd|CustomerAudienceRetargeting»1x1»TextLink»LIA»DT»CPM»RT»W»NA»SS»NA»39684019-11000</v>
      </c>
      <c r="C12" s="1" t="s">
        <v>28</v>
      </c>
      <c r="D12" s="3" t="n">
        <f aca="false">O12+(7-WEEKDAY(O12))</f>
        <v>43358</v>
      </c>
      <c r="E12" s="1" t="str">
        <f aca="false">VLOOKUP(OFFSET(Table22,11,16,1,1),Key!B:D,2,0)</f>
        <v>Germany</v>
      </c>
      <c r="F12" s="1" t="str">
        <f aca="false">IF(ISNUMBER(SEARCH("Canvas",U12)),"Link",IF(ISNUMBER(SEARCH("Link",U12)),"Link","Not filled properly"))</f>
        <v>Link</v>
      </c>
      <c r="G12" s="1" t="str">
        <f aca="false">IFERROR(VLOOKUP(OFFSET(Table22,11,21,1,1),OFFSET(Table2,0,1,ROWS(Table2),8),2,0),VLOOKUP(OFFSET(Table22,11,22,1,1),Table2,3,0))</f>
        <v>DEU_gaPMG_AZR_AZR_Q1_19_Trial-Social- 39684</v>
      </c>
      <c r="H12" s="1" t="n">
        <f aca="false">IFERROR(VLOOKUP(OFFSET(Table22,11,21,1,1),OFFSET(Table2,0,1,ROWS(Table2),8),3,0),VLOOKUP(OFFSET(Table22,11,22,1,1),Table2,4,0))</f>
        <v>21359477</v>
      </c>
      <c r="I12" s="2" t="n">
        <f aca="false">IFERROR(VLOOKUP(OFFSET(Table22,11,21,1,1),OFFSET(Table2,0,1,ROWS(Table2),8),4,0),VLOOKUP(OFFSET(Table22,11,22,1,1),Table2,5,0))</f>
        <v>720194</v>
      </c>
      <c r="J12" s="3" t="str">
        <f aca="false">IF(ISNUMBER(SEARCH("FACEBOOK",W12)),"Facebook",IF(ISNUMBER(SEARCH("INSTAGRAM",W12)),"Facebook-Instagram","Look at taxonomy"))</f>
        <v>Facebook</v>
      </c>
      <c r="K12" s="3" t="str">
        <f aca="false">IF(ISNUMBER(SEARCH("Facebook",J12)),"3654128","Not Facebook")</f>
        <v>3654128</v>
      </c>
      <c r="L12" s="3" t="str">
        <f aca="false">IFERROR(VLOOKUP(OFFSET(Table22,11,21,1,1),OFFSET(Table2,0,1,ROWS(Table2),8),7,0),VLOOKUP(OFFSET(Table22,11,22,1,1),Table2,8,0))</f>
        <v>AzurePlatform_FreeAcctRetargetingFB-Animated-ChC_DEU_1200x628_SOC_Plat_DE_Free Account_Standard_ANI_SNU_T3_1</v>
      </c>
      <c r="M12" s="2" t="n">
        <f aca="false">IFERROR(VLOOKUP(OFFSET(Table22,11,21,1,1),OFFSET(Table2,0,1,ROWS(Table2),8),8,0),VLOOKUP(OFFSET(Table22,11,22,1,1),Table2,9,0))</f>
        <v>103048548</v>
      </c>
      <c r="N12" s="15" t="s">
        <v>29</v>
      </c>
      <c r="O12" s="16" t="n">
        <v>43355</v>
      </c>
      <c r="P12" s="17" t="s">
        <v>30</v>
      </c>
      <c r="Q12" s="18" t="s">
        <v>31</v>
      </c>
      <c r="R12" s="17" t="s">
        <v>32</v>
      </c>
      <c r="S12" s="18" t="s">
        <v>33</v>
      </c>
      <c r="T12" s="17" t="s">
        <v>34</v>
      </c>
      <c r="U12" s="18" t="s">
        <v>39</v>
      </c>
      <c r="V12" s="19" t="s">
        <v>40</v>
      </c>
      <c r="W12" s="17" t="s">
        <v>41</v>
      </c>
      <c r="X12" s="17" t="n">
        <v>6883</v>
      </c>
      <c r="Y12" s="17" t="n">
        <v>46</v>
      </c>
      <c r="Z12" s="17" t="n">
        <v>94.71</v>
      </c>
      <c r="AA12" s="17" t="s">
        <v>38</v>
      </c>
      <c r="AB12" s="17"/>
    </row>
    <row r="13" customFormat="false" ht="15" hidden="false" customHeight="false" outlineLevel="0" collapsed="false">
      <c r="A13" s="1" t="str">
        <f aca="false">OFFSET(Table22,12,14,1,1)&amp;OFFSET(Table22,12,21,1,1)</f>
        <v>43356224010415</v>
      </c>
      <c r="B13" s="1" t="str">
        <f aca="false">OFFSET(Table22,12,14,1,1)&amp;OFFSET(Table22,12,22,1,1)</f>
        <v>43356Facebook»DEV-ITP-AZR-FB|LinkAd|CustomerAudienceRetargeting»1x1»TextLink»LIA»DT»CPM»RT»W»NA»SS»NA»39684019-11000</v>
      </c>
      <c r="C13" s="1" t="s">
        <v>28</v>
      </c>
      <c r="D13" s="3" t="n">
        <f aca="false">O13+(7-WEEKDAY(O13))</f>
        <v>43358</v>
      </c>
      <c r="E13" s="1" t="str">
        <f aca="false">VLOOKUP(OFFSET(Table22,12,16,1,1),Key!B:D,2,0)</f>
        <v>Germany</v>
      </c>
      <c r="F13" s="1" t="str">
        <f aca="false">IF(ISNUMBER(SEARCH("Canvas",U13)),"Link",IF(ISNUMBER(SEARCH("Link",U13)),"Link","Not filled properly"))</f>
        <v>Link</v>
      </c>
      <c r="G13" s="1" t="str">
        <f aca="false">IFERROR(VLOOKUP(OFFSET(Table22,12,21,1,1),OFFSET(Table2,0,1,ROWS(Table2),8),2,0),VLOOKUP(OFFSET(Table22,12,22,1,1),Table2,3,0))</f>
        <v>DEU_gaPMG_AZR_AZR_Q1_19_Trial-Social- 39684</v>
      </c>
      <c r="H13" s="1" t="n">
        <f aca="false">IFERROR(VLOOKUP(OFFSET(Table22,12,21,1,1),OFFSET(Table2,0,1,ROWS(Table2),8),3,0),VLOOKUP(OFFSET(Table22,12,22,1,1),Table2,4,0))</f>
        <v>21359477</v>
      </c>
      <c r="I13" s="2" t="n">
        <f aca="false">IFERROR(VLOOKUP(OFFSET(Table22,12,21,1,1),OFFSET(Table2,0,1,ROWS(Table2),8),4,0),VLOOKUP(OFFSET(Table22,12,22,1,1),Table2,5,0))</f>
        <v>720194</v>
      </c>
      <c r="J13" s="3" t="str">
        <f aca="false">IF(ISNUMBER(SEARCH("FACEBOOK",W13)),"Facebook",IF(ISNUMBER(SEARCH("INSTAGRAM",W13)),"Facebook-Instagram","Look at taxonomy"))</f>
        <v>Facebook</v>
      </c>
      <c r="K13" s="3" t="str">
        <f aca="false">IF(ISNUMBER(SEARCH("Facebook",J13)),"3654128","Not Facebook")</f>
        <v>3654128</v>
      </c>
      <c r="L13" s="3" t="str">
        <f aca="false">IFERROR(VLOOKUP(OFFSET(Table22,12,21,1,1),OFFSET(Table2,0,1,ROWS(Table2),8),7,0),VLOOKUP(OFFSET(Table22,12,22,1,1),Table2,8,0))</f>
        <v>AzurePlatform_FreeAcctRetargetingFB-Animated-ChC_DEU_1200x628_SOC_Plat_DE_Free Account_Standard_ANI_SNU_T3_1</v>
      </c>
      <c r="M13" s="2" t="n">
        <f aca="false">IFERROR(VLOOKUP(OFFSET(Table22,12,21,1,1),OFFSET(Table2,0,1,ROWS(Table2),8),8,0),VLOOKUP(OFFSET(Table22,12,22,1,1),Table2,9,0))</f>
        <v>103048548</v>
      </c>
      <c r="N13" s="15" t="s">
        <v>29</v>
      </c>
      <c r="O13" s="16" t="n">
        <v>43356</v>
      </c>
      <c r="P13" s="17" t="s">
        <v>30</v>
      </c>
      <c r="Q13" s="18" t="s">
        <v>31</v>
      </c>
      <c r="R13" s="17" t="s">
        <v>32</v>
      </c>
      <c r="S13" s="18" t="s">
        <v>33</v>
      </c>
      <c r="T13" s="17" t="s">
        <v>34</v>
      </c>
      <c r="U13" s="18" t="s">
        <v>39</v>
      </c>
      <c r="V13" s="19" t="s">
        <v>40</v>
      </c>
      <c r="W13" s="17" t="s">
        <v>41</v>
      </c>
      <c r="X13" s="17" t="n">
        <v>6867</v>
      </c>
      <c r="Y13" s="17" t="n">
        <v>46</v>
      </c>
      <c r="Z13" s="17" t="n">
        <v>93</v>
      </c>
      <c r="AA13" s="17" t="s">
        <v>38</v>
      </c>
      <c r="AB13" s="17"/>
    </row>
    <row r="14" customFormat="false" ht="15" hidden="false" customHeight="false" outlineLevel="0" collapsed="false">
      <c r="A14" s="1" t="str">
        <f aca="false">OFFSET(Table22,13,14,1,1)&amp;OFFSET(Table22,13,21,1,1)</f>
        <v>43357224010415</v>
      </c>
      <c r="B14" s="1" t="str">
        <f aca="false">OFFSET(Table22,13,14,1,1)&amp;OFFSET(Table22,13,22,1,1)</f>
        <v>43357Facebook»DEV-ITP-AZR-FB|LinkAd|CustomerAudienceRetargeting»1x1»TextLink»LIA»DT»CPM»RT»W»NA»SS»NA»39684019-11000</v>
      </c>
      <c r="C14" s="1" t="s">
        <v>28</v>
      </c>
      <c r="D14" s="3" t="n">
        <f aca="false">O14+(7-WEEKDAY(O14))</f>
        <v>43358</v>
      </c>
      <c r="E14" s="1" t="str">
        <f aca="false">VLOOKUP(OFFSET(Table22,13,16,1,1),Key!B:D,2,0)</f>
        <v>Germany</v>
      </c>
      <c r="F14" s="1" t="str">
        <f aca="false">IF(ISNUMBER(SEARCH("Canvas",U14)),"Link",IF(ISNUMBER(SEARCH("Link",U14)),"Link","Not filled properly"))</f>
        <v>Link</v>
      </c>
      <c r="G14" s="1" t="str">
        <f aca="false">IFERROR(VLOOKUP(OFFSET(Table22,13,21,1,1),OFFSET(Table2,0,1,ROWS(Table2),8),2,0),VLOOKUP(OFFSET(Table22,13,22,1,1),Table2,3,0))</f>
        <v>DEU_gaPMG_AZR_AZR_Q1_19_Trial-Social- 39684</v>
      </c>
      <c r="H14" s="1" t="n">
        <f aca="false">IFERROR(VLOOKUP(OFFSET(Table22,13,21,1,1),OFFSET(Table2,0,1,ROWS(Table2),8),3,0),VLOOKUP(OFFSET(Table22,13,22,1,1),Table2,4,0))</f>
        <v>21359477</v>
      </c>
      <c r="I14" s="2" t="n">
        <f aca="false">IFERROR(VLOOKUP(OFFSET(Table22,13,21,1,1),OFFSET(Table2,0,1,ROWS(Table2),8),4,0),VLOOKUP(OFFSET(Table22,13,22,1,1),Table2,5,0))</f>
        <v>720194</v>
      </c>
      <c r="J14" s="3" t="str">
        <f aca="false">IF(ISNUMBER(SEARCH("FACEBOOK",W14)),"Facebook",IF(ISNUMBER(SEARCH("INSTAGRAM",W14)),"Facebook-Instagram","Look at taxonomy"))</f>
        <v>Facebook</v>
      </c>
      <c r="K14" s="3" t="str">
        <f aca="false">IF(ISNUMBER(SEARCH("Facebook",J14)),"3654128","Not Facebook")</f>
        <v>3654128</v>
      </c>
      <c r="L14" s="3" t="str">
        <f aca="false">IFERROR(VLOOKUP(OFFSET(Table22,13,21,1,1),OFFSET(Table2,0,1,ROWS(Table2),8),7,0),VLOOKUP(OFFSET(Table22,13,22,1,1),Table2,8,0))</f>
        <v>AzurePlatform_FreeAcctRetargetingFB-Animated-ChC_DEU_1200x628_SOC_Plat_DE_Free Account_Standard_ANI_SNU_T3_1</v>
      </c>
      <c r="M14" s="2" t="n">
        <f aca="false">IFERROR(VLOOKUP(OFFSET(Table22,13,21,1,1),OFFSET(Table2,0,1,ROWS(Table2),8),8,0),VLOOKUP(OFFSET(Table22,13,22,1,1),Table2,9,0))</f>
        <v>103048548</v>
      </c>
      <c r="N14" s="15" t="s">
        <v>29</v>
      </c>
      <c r="O14" s="16" t="n">
        <v>43357</v>
      </c>
      <c r="P14" s="17" t="s">
        <v>30</v>
      </c>
      <c r="Q14" s="18" t="s">
        <v>31</v>
      </c>
      <c r="R14" s="17" t="s">
        <v>32</v>
      </c>
      <c r="S14" s="18" t="s">
        <v>33</v>
      </c>
      <c r="T14" s="17" t="s">
        <v>34</v>
      </c>
      <c r="U14" s="18" t="s">
        <v>39</v>
      </c>
      <c r="V14" s="19" t="s">
        <v>40</v>
      </c>
      <c r="W14" s="17" t="s">
        <v>41</v>
      </c>
      <c r="X14" s="17" t="n">
        <v>7052</v>
      </c>
      <c r="Y14" s="17" t="n">
        <v>59</v>
      </c>
      <c r="Z14" s="17" t="n">
        <v>96.11</v>
      </c>
      <c r="AA14" s="17" t="s">
        <v>38</v>
      </c>
      <c r="AB14" s="17"/>
    </row>
    <row r="15" customFormat="false" ht="15" hidden="false" customHeight="false" outlineLevel="0" collapsed="false">
      <c r="A15" s="1" t="str">
        <f aca="false">OFFSET(Table22,14,14,1,1)&amp;OFFSET(Table22,14,21,1,1)</f>
        <v>43358224010415</v>
      </c>
      <c r="B15" s="1" t="str">
        <f aca="false">OFFSET(Table22,14,14,1,1)&amp;OFFSET(Table22,14,22,1,1)</f>
        <v>43358Facebook»DEV-ITP-AZR-FB|LinkAd|CustomerAudienceRetargeting»1x1»TextLink»LIA»DT»CPM»RT»W»NA»SS»NA»39684019-11000</v>
      </c>
      <c r="C15" s="1" t="s">
        <v>28</v>
      </c>
      <c r="D15" s="3" t="n">
        <f aca="false">O15+(7-WEEKDAY(O15))</f>
        <v>43358</v>
      </c>
      <c r="E15" s="1" t="str">
        <f aca="false">VLOOKUP(OFFSET(Table22,14,16,1,1),Key!B:D,2,0)</f>
        <v>Germany</v>
      </c>
      <c r="F15" s="1" t="str">
        <f aca="false">IF(ISNUMBER(SEARCH("Canvas",U15)),"Link",IF(ISNUMBER(SEARCH("Link",U15)),"Link","Not filled properly"))</f>
        <v>Link</v>
      </c>
      <c r="G15" s="1" t="str">
        <f aca="false">IFERROR(VLOOKUP(OFFSET(Table22,14,21,1,1),OFFSET(Table2,0,1,ROWS(Table2),8),2,0),VLOOKUP(OFFSET(Table22,14,22,1,1),Table2,3,0))</f>
        <v>DEU_gaPMG_AZR_AZR_Q1_19_Trial-Social- 39684</v>
      </c>
      <c r="H15" s="1" t="n">
        <f aca="false">IFERROR(VLOOKUP(OFFSET(Table22,14,21,1,1),OFFSET(Table2,0,1,ROWS(Table2),8),3,0),VLOOKUP(OFFSET(Table22,14,22,1,1),Table2,4,0))</f>
        <v>21359477</v>
      </c>
      <c r="I15" s="2" t="n">
        <f aca="false">IFERROR(VLOOKUP(OFFSET(Table22,14,21,1,1),OFFSET(Table2,0,1,ROWS(Table2),8),4,0),VLOOKUP(OFFSET(Table22,14,22,1,1),Table2,5,0))</f>
        <v>720194</v>
      </c>
      <c r="J15" s="3" t="str">
        <f aca="false">IF(ISNUMBER(SEARCH("FACEBOOK",W15)),"Facebook",IF(ISNUMBER(SEARCH("INSTAGRAM",W15)),"Facebook-Instagram","Look at taxonomy"))</f>
        <v>Facebook</v>
      </c>
      <c r="K15" s="3" t="str">
        <f aca="false">IF(ISNUMBER(SEARCH("Facebook",J15)),"3654128","Not Facebook")</f>
        <v>3654128</v>
      </c>
      <c r="L15" s="3" t="str">
        <f aca="false">IFERROR(VLOOKUP(OFFSET(Table22,14,21,1,1),OFFSET(Table2,0,1,ROWS(Table2),8),7,0),VLOOKUP(OFFSET(Table22,14,22,1,1),Table2,8,0))</f>
        <v>AzurePlatform_FreeAcctRetargetingFB-Animated-ChC_DEU_1200x628_SOC_Plat_DE_Free Account_Standard_ANI_SNU_T3_1</v>
      </c>
      <c r="M15" s="2" t="n">
        <f aca="false">IFERROR(VLOOKUP(OFFSET(Table22,14,21,1,1),OFFSET(Table2,0,1,ROWS(Table2),8),8,0),VLOOKUP(OFFSET(Table22,14,22,1,1),Table2,9,0))</f>
        <v>103048548</v>
      </c>
      <c r="N15" s="15" t="s">
        <v>29</v>
      </c>
      <c r="O15" s="16" t="n">
        <v>43358</v>
      </c>
      <c r="P15" s="17" t="s">
        <v>30</v>
      </c>
      <c r="Q15" s="18" t="s">
        <v>31</v>
      </c>
      <c r="R15" s="17" t="s">
        <v>32</v>
      </c>
      <c r="S15" s="18" t="s">
        <v>33</v>
      </c>
      <c r="T15" s="17" t="s">
        <v>34</v>
      </c>
      <c r="U15" s="18" t="s">
        <v>39</v>
      </c>
      <c r="V15" s="19" t="s">
        <v>40</v>
      </c>
      <c r="W15" s="17" t="s">
        <v>41</v>
      </c>
      <c r="X15" s="17" t="n">
        <v>7104</v>
      </c>
      <c r="Y15" s="17" t="n">
        <v>44</v>
      </c>
      <c r="Z15" s="17" t="n">
        <v>96.08</v>
      </c>
      <c r="AA15" s="17" t="s">
        <v>38</v>
      </c>
      <c r="AB15" s="17"/>
    </row>
    <row r="16" customFormat="false" ht="15" hidden="false" customHeight="false" outlineLevel="0" collapsed="false">
      <c r="A16" s="1" t="str">
        <f aca="false">OFFSET(Table22,15,14,1,1)&amp;OFFSET(Table22,15,21,1,1)</f>
        <v>43352223560299</v>
      </c>
      <c r="B16" s="1" t="str">
        <f aca="false">OFFSET(Table22,15,14,1,1)&amp;OFFSET(Table22,15,22,1,1)</f>
        <v>43352Facebook»Retargeting»1x1»SocialBan»LIA»DT»DYN»RT»W»NA»SS»NA»Free Account Retargeting Generic- Animated ChC</v>
      </c>
      <c r="C16" s="1" t="s">
        <v>28</v>
      </c>
      <c r="D16" s="3" t="n">
        <f aca="false">O16+(7-WEEKDAY(O16))</f>
        <v>43358</v>
      </c>
      <c r="E16" s="1" t="str">
        <f aca="false">VLOOKUP(OFFSET(Table22,15,16,1,1),Key!B:D,2,0)</f>
        <v>United Kingdom</v>
      </c>
      <c r="F16" s="1" t="str">
        <f aca="false">IF(ISNUMBER(SEARCH("Canvas",U16)),"Link",IF(ISNUMBER(SEARCH("Link",U16)),"Link","Not filled properly"))</f>
        <v>Link</v>
      </c>
      <c r="G16" s="1" t="str">
        <f aca="false">IFERROR(VLOOKUP(OFFSET(Table22,15,21,1,1),OFFSET(Table2,0,1,ROWS(Table2),8),2,0),VLOOKUP(OFFSET(Table22,15,22,1,1),Table2,3,0))</f>
        <v>GBR_gaPMG_CE_AZR_Q1_19_Trial-Social</v>
      </c>
      <c r="H16" s="1" t="n">
        <f aca="false">IFERROR(VLOOKUP(OFFSET(Table22,15,21,1,1),OFFSET(Table2,0,1,ROWS(Table2),8),3,0),VLOOKUP(OFFSET(Table22,15,22,1,1),Table2,4,0))</f>
        <v>21337013</v>
      </c>
      <c r="I16" s="2" t="n">
        <f aca="false">IFERROR(VLOOKUP(OFFSET(Table22,15,21,1,1),OFFSET(Table2,0,1,ROWS(Table2),8),4,0),VLOOKUP(OFFSET(Table22,15,22,1,1),Table2,5,0))</f>
        <v>720196</v>
      </c>
      <c r="J16" s="3" t="str">
        <f aca="false">IF(ISNUMBER(SEARCH("FACEBOOK",W16)),"Facebook",IF(ISNUMBER(SEARCH("INSTAGRAM",W16)),"Facebook-Instagram","Look at taxonomy"))</f>
        <v>Facebook</v>
      </c>
      <c r="K16" s="3" t="str">
        <f aca="false">IF(ISNUMBER(SEARCH("Facebook",J16)),"3654128","Not Facebook")</f>
        <v>3654128</v>
      </c>
      <c r="L16" s="3" t="str">
        <f aca="false">IFERROR(VLOOKUP(OFFSET(Table22,15,21,1,1),OFFSET(Table2,0,1,ROWS(Table2),8),7,0),VLOOKUP(OFFSET(Table22,15,22,1,1),Table2,8,0))</f>
        <v>AzurePlatform_FreeAcctRetargetingFB-Animated-ChC_GBR_1200x628_SOC_Plat_EN_Free Account_Standard_ANI_SU_T3_1</v>
      </c>
      <c r="M16" s="2" t="n">
        <f aca="false">IFERROR(VLOOKUP(OFFSET(Table22,15,21,1,1),OFFSET(Table2,0,1,ROWS(Table2),8),8,0),VLOOKUP(OFFSET(Table22,15,22,1,1),Table2,9,0))</f>
        <v>102854019</v>
      </c>
      <c r="N16" s="15" t="s">
        <v>29</v>
      </c>
      <c r="O16" s="16" t="n">
        <v>43352</v>
      </c>
      <c r="P16" s="17" t="s">
        <v>42</v>
      </c>
      <c r="Q16" s="18" t="s">
        <v>43</v>
      </c>
      <c r="R16" s="17" t="s">
        <v>44</v>
      </c>
      <c r="S16" s="18" t="s">
        <v>45</v>
      </c>
      <c r="T16" s="17" t="s">
        <v>34</v>
      </c>
      <c r="U16" s="18" t="s">
        <v>46</v>
      </c>
      <c r="V16" s="19" t="n">
        <v>223560299</v>
      </c>
      <c r="W16" s="17" t="s">
        <v>47</v>
      </c>
      <c r="X16" s="17" t="n">
        <v>514.92</v>
      </c>
      <c r="Y16" s="17" t="n">
        <v>3</v>
      </c>
      <c r="Z16" s="17" t="n">
        <v>13.4</v>
      </c>
      <c r="AA16" s="17" t="s">
        <v>48</v>
      </c>
      <c r="AB16" s="17" t="s">
        <v>49</v>
      </c>
    </row>
    <row r="17" customFormat="false" ht="15" hidden="false" customHeight="false" outlineLevel="0" collapsed="false">
      <c r="A17" s="1" t="str">
        <f aca="false">OFFSET(Table22,16,14,1,1)&amp;OFFSET(Table22,16,21,1,1)</f>
        <v>43352223560332</v>
      </c>
      <c r="B17" s="1" t="str">
        <f aca="false">OFFSET(Table22,16,14,1,1)&amp;OFFSET(Table22,16,22,1,1)</f>
        <v>43352Facebook»Retargeting»1x1»SocialBan»LIA»DT»DYN»RT»W»NA»SS»NA»Free Account Retargeting VM- On Demand ChE</v>
      </c>
      <c r="C17" s="1" t="s">
        <v>28</v>
      </c>
      <c r="D17" s="3" t="n">
        <f aca="false">O17+(7-WEEKDAY(O17))</f>
        <v>43358</v>
      </c>
      <c r="E17" s="1" t="str">
        <f aca="false">VLOOKUP(OFFSET(Table22,16,16,1,1),Key!B:D,2,0)</f>
        <v>United Kingdom</v>
      </c>
      <c r="F17" s="1" t="str">
        <f aca="false">IF(ISNUMBER(SEARCH("Canvas",U17)),"Link",IF(ISNUMBER(SEARCH("Link",U17)),"Link","Not filled properly"))</f>
        <v>Link</v>
      </c>
      <c r="G17" s="1" t="str">
        <f aca="false">IFERROR(VLOOKUP(OFFSET(Table22,16,21,1,1),OFFSET(Table2,0,1,ROWS(Table2),8),2,0),VLOOKUP(OFFSET(Table22,16,22,1,1),Table2,3,0))</f>
        <v>GBR_gaPMG_CE_AZR_Q1_19_Trial-Social</v>
      </c>
      <c r="H17" s="1" t="n">
        <f aca="false">IFERROR(VLOOKUP(OFFSET(Table22,16,21,1,1),OFFSET(Table2,0,1,ROWS(Table2),8),3,0),VLOOKUP(OFFSET(Table22,16,22,1,1),Table2,4,0))</f>
        <v>21337013</v>
      </c>
      <c r="I17" s="2" t="n">
        <f aca="false">IFERROR(VLOOKUP(OFFSET(Table22,16,21,1,1),OFFSET(Table2,0,1,ROWS(Table2),8),4,0),VLOOKUP(OFFSET(Table22,16,22,1,1),Table2,5,0))</f>
        <v>720196</v>
      </c>
      <c r="J17" s="3" t="str">
        <f aca="false">IF(ISNUMBER(SEARCH("FACEBOOK",W17)),"Facebook",IF(ISNUMBER(SEARCH("INSTAGRAM",W17)),"Facebook-Instagram","Look at taxonomy"))</f>
        <v>Facebook</v>
      </c>
      <c r="K17" s="3" t="str">
        <f aca="false">IF(ISNUMBER(SEARCH("Facebook",J17)),"3654128","Not Facebook")</f>
        <v>3654128</v>
      </c>
      <c r="L17" s="3" t="str">
        <f aca="false">IFERROR(VLOOKUP(OFFSET(Table22,16,21,1,1),OFFSET(Table2,0,1,ROWS(Table2),8),7,0),VLOOKUP(OFFSET(Table22,16,22,1,1),Table2,8,0))</f>
        <v>AzurePlatform_FreeAcctRetargetingVMFB-OnDemand-ChE_GBR_1200x628_SOC_Plat_EN_Free Account_Standard_NA_SU_T2_1</v>
      </c>
      <c r="M17" s="2" t="n">
        <f aca="false">IFERROR(VLOOKUP(OFFSET(Table22,16,21,1,1),OFFSET(Table2,0,1,ROWS(Table2),8),8,0),VLOOKUP(OFFSET(Table22,16,22,1,1),Table2,9,0))</f>
        <v>102854037</v>
      </c>
      <c r="N17" s="15" t="s">
        <v>29</v>
      </c>
      <c r="O17" s="16" t="n">
        <v>43352</v>
      </c>
      <c r="P17" s="17" t="s">
        <v>42</v>
      </c>
      <c r="Q17" s="18" t="s">
        <v>43</v>
      </c>
      <c r="R17" s="17" t="s">
        <v>44</v>
      </c>
      <c r="S17" s="18" t="s">
        <v>45</v>
      </c>
      <c r="T17" s="17" t="s">
        <v>34</v>
      </c>
      <c r="U17" s="18" t="s">
        <v>46</v>
      </c>
      <c r="V17" s="19" t="n">
        <v>223560332</v>
      </c>
      <c r="W17" s="17" t="s">
        <v>50</v>
      </c>
      <c r="X17" s="17" t="n">
        <v>514.92</v>
      </c>
      <c r="Y17" s="17" t="n">
        <v>2</v>
      </c>
      <c r="Z17" s="17" t="n">
        <v>13.4</v>
      </c>
      <c r="AA17" s="17" t="s">
        <v>48</v>
      </c>
      <c r="AB17" s="17" t="s">
        <v>49</v>
      </c>
    </row>
    <row r="18" customFormat="false" ht="15" hidden="false" customHeight="false" outlineLevel="0" collapsed="false">
      <c r="A18" s="1" t="str">
        <f aca="false">OFFSET(Table22,17,14,1,1)&amp;OFFSET(Table22,17,21,1,1)</f>
        <v>43352223560338</v>
      </c>
      <c r="B18" s="1" t="str">
        <f aca="false">OFFSET(Table22,17,14,1,1)&amp;OFFSET(Table22,17,22,1,1)</f>
        <v>43352Facebook»Retargeting»1x1»SocialBan»LIA»DT»DYN»RT»W»NA»SS»NA»Free Account Retargeting VM- 750 Hrs ChD</v>
      </c>
      <c r="C18" s="1" t="s">
        <v>28</v>
      </c>
      <c r="D18" s="3" t="n">
        <f aca="false">O18+(7-WEEKDAY(O18))</f>
        <v>43358</v>
      </c>
      <c r="E18" s="1" t="str">
        <f aca="false">VLOOKUP(OFFSET(Table22,17,16,1,1),Key!B:D,2,0)</f>
        <v>United Kingdom</v>
      </c>
      <c r="F18" s="1" t="str">
        <f aca="false">IF(ISNUMBER(SEARCH("Canvas",U18)),"Link",IF(ISNUMBER(SEARCH("Link",U18)),"Link","Not filled properly"))</f>
        <v>Link</v>
      </c>
      <c r="G18" s="1" t="str">
        <f aca="false">IFERROR(VLOOKUP(OFFSET(Table22,17,21,1,1),OFFSET(Table2,0,1,ROWS(Table2),8),2,0),VLOOKUP(OFFSET(Table22,17,22,1,1),Table2,3,0))</f>
        <v>GBR_gaPMG_CE_AZR_Q1_19_Trial-Social</v>
      </c>
      <c r="H18" s="1" t="n">
        <f aca="false">IFERROR(VLOOKUP(OFFSET(Table22,17,21,1,1),OFFSET(Table2,0,1,ROWS(Table2),8),3,0),VLOOKUP(OFFSET(Table22,17,22,1,1),Table2,4,0))</f>
        <v>21337013</v>
      </c>
      <c r="I18" s="2" t="n">
        <f aca="false">IFERROR(VLOOKUP(OFFSET(Table22,17,21,1,1),OFFSET(Table2,0,1,ROWS(Table2),8),4,0),VLOOKUP(OFFSET(Table22,17,22,1,1),Table2,5,0))</f>
        <v>720196</v>
      </c>
      <c r="J18" s="3" t="str">
        <f aca="false">IF(ISNUMBER(SEARCH("FACEBOOK",W18)),"Facebook",IF(ISNUMBER(SEARCH("INSTAGRAM",W18)),"Facebook-Instagram","Look at taxonomy"))</f>
        <v>Facebook</v>
      </c>
      <c r="K18" s="3" t="str">
        <f aca="false">IF(ISNUMBER(SEARCH("Facebook",J18)),"3654128","Not Facebook")</f>
        <v>3654128</v>
      </c>
      <c r="L18" s="3" t="str">
        <f aca="false">IFERROR(VLOOKUP(OFFSET(Table22,17,21,1,1),OFFSET(Table2,0,1,ROWS(Table2),8),7,0),VLOOKUP(OFFSET(Table22,17,22,1,1),Table2,8,0))</f>
        <v>AzurePlatform_FreeAcctRetargetingVMFB-750Hrs-ChD_GBR_1200x628_SOC_Plat_EN_Free Account_Standard_NA_SU_T1_1</v>
      </c>
      <c r="M18" s="2" t="n">
        <f aca="false">IFERROR(VLOOKUP(OFFSET(Table22,17,21,1,1),OFFSET(Table2,0,1,ROWS(Table2),8),8,0),VLOOKUP(OFFSET(Table22,17,22,1,1),Table2,9,0))</f>
        <v>102853603</v>
      </c>
      <c r="N18" s="15" t="s">
        <v>29</v>
      </c>
      <c r="O18" s="16" t="n">
        <v>43352</v>
      </c>
      <c r="P18" s="17" t="s">
        <v>42</v>
      </c>
      <c r="Q18" s="18" t="s">
        <v>43</v>
      </c>
      <c r="R18" s="17" t="s">
        <v>44</v>
      </c>
      <c r="S18" s="18" t="s">
        <v>45</v>
      </c>
      <c r="T18" s="17" t="s">
        <v>34</v>
      </c>
      <c r="U18" s="18" t="s">
        <v>46</v>
      </c>
      <c r="V18" s="19" t="n">
        <v>223560338</v>
      </c>
      <c r="W18" s="17" t="s">
        <v>51</v>
      </c>
      <c r="X18" s="17" t="n">
        <v>514.92</v>
      </c>
      <c r="Y18" s="17" t="n">
        <v>1</v>
      </c>
      <c r="Z18" s="17" t="n">
        <v>13.4</v>
      </c>
      <c r="AA18" s="17" t="s">
        <v>48</v>
      </c>
      <c r="AB18" s="17" t="s">
        <v>49</v>
      </c>
    </row>
    <row r="19" customFormat="false" ht="15" hidden="false" customHeight="false" outlineLevel="0" collapsed="false">
      <c r="A19" s="1" t="str">
        <f aca="false">OFFSET(Table22,18,14,1,1)&amp;OFFSET(Table22,18,21,1,1)</f>
        <v>43352223560344</v>
      </c>
      <c r="B19" s="1" t="str">
        <f aca="false">OFFSET(Table22,18,14,1,1)&amp;OFFSET(Table22,18,22,1,1)</f>
        <v>43352Facebook»Retargeting»1x1»SocialBan»LIA»DT»DYN»RT»W»NA»SS»NA»Free Account Retargeting OSS- Text ChF</v>
      </c>
      <c r="C19" s="1" t="s">
        <v>28</v>
      </c>
      <c r="D19" s="3" t="n">
        <f aca="false">O19+(7-WEEKDAY(O19))</f>
        <v>43358</v>
      </c>
      <c r="E19" s="1" t="str">
        <f aca="false">VLOOKUP(OFFSET(Table22,18,16,1,1),Key!B:D,2,0)</f>
        <v>United Kingdom</v>
      </c>
      <c r="F19" s="1" t="str">
        <f aca="false">IF(ISNUMBER(SEARCH("Canvas",U19)),"Link",IF(ISNUMBER(SEARCH("Link",U19)),"Link","Not filled properly"))</f>
        <v>Link</v>
      </c>
      <c r="G19" s="1" t="str">
        <f aca="false">IFERROR(VLOOKUP(OFFSET(Table22,18,21,1,1),OFFSET(Table2,0,1,ROWS(Table2),8),2,0),VLOOKUP(OFFSET(Table22,18,22,1,1),Table2,3,0))</f>
        <v>GBR_gaPMG_CE_AZR_Q1_19_Trial-Social</v>
      </c>
      <c r="H19" s="1" t="n">
        <f aca="false">IFERROR(VLOOKUP(OFFSET(Table22,18,21,1,1),OFFSET(Table2,0,1,ROWS(Table2),8),3,0),VLOOKUP(OFFSET(Table22,18,22,1,1),Table2,4,0))</f>
        <v>21337013</v>
      </c>
      <c r="I19" s="2" t="n">
        <f aca="false">IFERROR(VLOOKUP(OFFSET(Table22,18,21,1,1),OFFSET(Table2,0,1,ROWS(Table2),8),4,0),VLOOKUP(OFFSET(Table22,18,22,1,1),Table2,5,0))</f>
        <v>720196</v>
      </c>
      <c r="J19" s="3" t="str">
        <f aca="false">IF(ISNUMBER(SEARCH("FACEBOOK",W19)),"Facebook",IF(ISNUMBER(SEARCH("INSTAGRAM",W19)),"Facebook-Instagram","Look at taxonomy"))</f>
        <v>Facebook</v>
      </c>
      <c r="K19" s="3" t="str">
        <f aca="false">IF(ISNUMBER(SEARCH("Facebook",J19)),"3654128","Not Facebook")</f>
        <v>3654128</v>
      </c>
      <c r="L19" s="3" t="str">
        <f aca="false">IFERROR(VLOOKUP(OFFSET(Table22,18,21,1,1),OFFSET(Table2,0,1,ROWS(Table2),8),7,0),VLOOKUP(OFFSET(Table22,18,22,1,1),Table2,8,0))</f>
        <v>AzurePlatform_FreeAcctRetargetingOSSFB-Text-ChF_GBR_1200x628_SOC_Plat_EN_Free Account_Standard_NA_SU_T1_1</v>
      </c>
      <c r="M19" s="2" t="n">
        <f aca="false">IFERROR(VLOOKUP(OFFSET(Table22,18,21,1,1),OFFSET(Table2,0,1,ROWS(Table2),8),8,0),VLOOKUP(OFFSET(Table22,18,22,1,1),Table2,9,0))</f>
        <v>102861246</v>
      </c>
      <c r="N19" s="15" t="s">
        <v>29</v>
      </c>
      <c r="O19" s="16" t="n">
        <v>43352</v>
      </c>
      <c r="P19" s="17" t="s">
        <v>42</v>
      </c>
      <c r="Q19" s="18" t="s">
        <v>43</v>
      </c>
      <c r="R19" s="17" t="s">
        <v>44</v>
      </c>
      <c r="S19" s="18" t="s">
        <v>45</v>
      </c>
      <c r="T19" s="17" t="s">
        <v>34</v>
      </c>
      <c r="U19" s="18" t="s">
        <v>46</v>
      </c>
      <c r="V19" s="19" t="n">
        <v>223560344</v>
      </c>
      <c r="W19" s="17" t="s">
        <v>52</v>
      </c>
      <c r="X19" s="17" t="n">
        <v>514.92</v>
      </c>
      <c r="Y19" s="17" t="n">
        <v>9</v>
      </c>
      <c r="Z19" s="17" t="n">
        <v>13.4</v>
      </c>
      <c r="AA19" s="17" t="s">
        <v>48</v>
      </c>
      <c r="AB19" s="17" t="s">
        <v>49</v>
      </c>
    </row>
    <row r="20" customFormat="false" ht="15" hidden="false" customHeight="false" outlineLevel="0" collapsed="false">
      <c r="A20" s="1" t="str">
        <f aca="false">OFFSET(Table22,19,14,1,1)&amp;OFFSET(Table22,19,21,1,1)</f>
        <v>43352223560350</v>
      </c>
      <c r="B20" s="1" t="str">
        <f aca="false">OFFSET(Table22,19,14,1,1)&amp;OFFSET(Table22,19,22,1,1)</f>
        <v>43352Facebook»Retargeting»1x1»SocialBan»LIA»DT»DYN»RT»W»NA»SS»NA»Free Account Retargeting OSS- Logos ChG</v>
      </c>
      <c r="C20" s="1" t="s">
        <v>28</v>
      </c>
      <c r="D20" s="3" t="n">
        <f aca="false">O20+(7-WEEKDAY(O20))</f>
        <v>43358</v>
      </c>
      <c r="E20" s="1" t="str">
        <f aca="false">VLOOKUP(OFFSET(Table22,19,16,1,1),Key!B:D,2,0)</f>
        <v>United Kingdom</v>
      </c>
      <c r="F20" s="1" t="str">
        <f aca="false">IF(ISNUMBER(SEARCH("Canvas",U20)),"Link",IF(ISNUMBER(SEARCH("Link",U20)),"Link","Not filled properly"))</f>
        <v>Link</v>
      </c>
      <c r="G20" s="1" t="str">
        <f aca="false">IFERROR(VLOOKUP(OFFSET(Table22,19,21,1,1),OFFSET(Table2,0,1,ROWS(Table2),8),2,0),VLOOKUP(OFFSET(Table22,19,22,1,1),Table2,3,0))</f>
        <v>GBR_gaPMG_CE_AZR_Q1_19_Trial-Social</v>
      </c>
      <c r="H20" s="1" t="n">
        <f aca="false">IFERROR(VLOOKUP(OFFSET(Table22,19,21,1,1),OFFSET(Table2,0,1,ROWS(Table2),8),3,0),VLOOKUP(OFFSET(Table22,19,22,1,1),Table2,4,0))</f>
        <v>21337013</v>
      </c>
      <c r="I20" s="2" t="n">
        <f aca="false">IFERROR(VLOOKUP(OFFSET(Table22,19,21,1,1),OFFSET(Table2,0,1,ROWS(Table2),8),4,0),VLOOKUP(OFFSET(Table22,19,22,1,1),Table2,5,0))</f>
        <v>720196</v>
      </c>
      <c r="J20" s="3" t="str">
        <f aca="false">IF(ISNUMBER(SEARCH("FACEBOOK",W20)),"Facebook",IF(ISNUMBER(SEARCH("INSTAGRAM",W20)),"Facebook-Instagram","Look at taxonomy"))</f>
        <v>Facebook</v>
      </c>
      <c r="K20" s="3" t="str">
        <f aca="false">IF(ISNUMBER(SEARCH("Facebook",J20)),"3654128","Not Facebook")</f>
        <v>3654128</v>
      </c>
      <c r="L20" s="3" t="str">
        <f aca="false">IFERROR(VLOOKUP(OFFSET(Table22,19,21,1,1),OFFSET(Table2,0,1,ROWS(Table2),8),7,0),VLOOKUP(OFFSET(Table22,19,22,1,1),Table2,8,0))</f>
        <v>AzurePlatform_FreeAcctRetargetingOSSFB-Logos-ChG_GBR_1200x628_SOC_Plat_EN_Free Account_Standard_NA_SU_T2_1</v>
      </c>
      <c r="M20" s="2" t="n">
        <f aca="false">IFERROR(VLOOKUP(OFFSET(Table22,19,21,1,1),OFFSET(Table2,0,1,ROWS(Table2),8),8,0),VLOOKUP(OFFSET(Table22,19,22,1,1),Table2,9,0))</f>
        <v>103006547</v>
      </c>
      <c r="N20" s="15" t="s">
        <v>29</v>
      </c>
      <c r="O20" s="16" t="n">
        <v>43352</v>
      </c>
      <c r="P20" s="17" t="s">
        <v>42</v>
      </c>
      <c r="Q20" s="18" t="s">
        <v>43</v>
      </c>
      <c r="R20" s="17" t="s">
        <v>44</v>
      </c>
      <c r="S20" s="18" t="s">
        <v>45</v>
      </c>
      <c r="T20" s="17" t="s">
        <v>34</v>
      </c>
      <c r="U20" s="18" t="s">
        <v>46</v>
      </c>
      <c r="V20" s="19" t="n">
        <v>223560350</v>
      </c>
      <c r="W20" s="17" t="s">
        <v>53</v>
      </c>
      <c r="X20" s="17" t="n">
        <v>514.92</v>
      </c>
      <c r="Y20" s="17" t="n">
        <v>2</v>
      </c>
      <c r="Z20" s="17" t="n">
        <v>13.4</v>
      </c>
      <c r="AA20" s="17" t="s">
        <v>48</v>
      </c>
      <c r="AB20" s="17" t="s">
        <v>49</v>
      </c>
    </row>
    <row r="21" customFormat="false" ht="15" hidden="false" customHeight="false" outlineLevel="0" collapsed="false">
      <c r="A21" s="1" t="str">
        <f aca="false">OFFSET(Table22,20,14,1,1)&amp;OFFSET(Table22,20,21,1,1)</f>
        <v>43352223560356</v>
      </c>
      <c r="B21" s="1" t="str">
        <f aca="false">OFFSET(Table22,20,14,1,1)&amp;OFFSET(Table22,20,22,1,1)</f>
        <v>43352Facebook»Retargeting»1x1»SocialBan»LIA»DT»DYN»RT»W»NA»SS»NA»Free Account Retargeting Generic- Global Alt ChB</v>
      </c>
      <c r="C21" s="1" t="s">
        <v>28</v>
      </c>
      <c r="D21" s="3" t="n">
        <f aca="false">O21+(7-WEEKDAY(O21))</f>
        <v>43358</v>
      </c>
      <c r="E21" s="1" t="str">
        <f aca="false">VLOOKUP(OFFSET(Table22,20,16,1,1),Key!B:D,2,0)</f>
        <v>United Kingdom</v>
      </c>
      <c r="F21" s="1" t="str">
        <f aca="false">IF(ISNUMBER(SEARCH("Canvas",U21)),"Link",IF(ISNUMBER(SEARCH("Link",U21)),"Link","Not filled properly"))</f>
        <v>Link</v>
      </c>
      <c r="G21" s="1" t="str">
        <f aca="false">IFERROR(VLOOKUP(OFFSET(Table22,20,21,1,1),OFFSET(Table2,0,1,ROWS(Table2),8),2,0),VLOOKUP(OFFSET(Table22,20,22,1,1),Table2,3,0))</f>
        <v>GBR_gaPMG_CE_AZR_Q1_19_Trial-Social</v>
      </c>
      <c r="H21" s="1" t="n">
        <f aca="false">IFERROR(VLOOKUP(OFFSET(Table22,20,21,1,1),OFFSET(Table2,0,1,ROWS(Table2),8),3,0),VLOOKUP(OFFSET(Table22,20,22,1,1),Table2,4,0))</f>
        <v>21337013</v>
      </c>
      <c r="I21" s="2" t="n">
        <f aca="false">IFERROR(VLOOKUP(OFFSET(Table22,20,21,1,1),OFFSET(Table2,0,1,ROWS(Table2),8),4,0),VLOOKUP(OFFSET(Table22,20,22,1,1),Table2,5,0))</f>
        <v>720196</v>
      </c>
      <c r="J21" s="3" t="str">
        <f aca="false">IF(ISNUMBER(SEARCH("FACEBOOK",W21)),"Facebook",IF(ISNUMBER(SEARCH("INSTAGRAM",W21)),"Facebook-Instagram","Look at taxonomy"))</f>
        <v>Facebook</v>
      </c>
      <c r="K21" s="3" t="str">
        <f aca="false">IF(ISNUMBER(SEARCH("Facebook",J21)),"3654128","Not Facebook")</f>
        <v>3654128</v>
      </c>
      <c r="L21" s="3" t="str">
        <f aca="false">IFERROR(VLOOKUP(OFFSET(Table22,20,21,1,1),OFFSET(Table2,0,1,ROWS(Table2),8),7,0),VLOOKUP(OFFSET(Table22,20,22,1,1),Table2,8,0))</f>
        <v>AzurePlatform_FreeAcctRetargetingFB-GlobalAlt-ChB_GBR_1200x628_SOC_Plat_EN_Free Account_Standard_NA_SU_T2_1</v>
      </c>
      <c r="M21" s="2" t="n">
        <f aca="false">IFERROR(VLOOKUP(OFFSET(Table22,20,21,1,1),OFFSET(Table2,0,1,ROWS(Table2),8),8,0),VLOOKUP(OFFSET(Table22,20,22,1,1),Table2,9,0))</f>
        <v>102854016</v>
      </c>
      <c r="N21" s="15" t="s">
        <v>29</v>
      </c>
      <c r="O21" s="16" t="n">
        <v>43352</v>
      </c>
      <c r="P21" s="17" t="s">
        <v>42</v>
      </c>
      <c r="Q21" s="18" t="s">
        <v>43</v>
      </c>
      <c r="R21" s="17" t="s">
        <v>44</v>
      </c>
      <c r="S21" s="18" t="s">
        <v>45</v>
      </c>
      <c r="T21" s="17" t="s">
        <v>34</v>
      </c>
      <c r="U21" s="18" t="s">
        <v>46</v>
      </c>
      <c r="V21" s="19" t="n">
        <v>223560356</v>
      </c>
      <c r="W21" s="17" t="s">
        <v>54</v>
      </c>
      <c r="X21" s="17" t="n">
        <v>514.92</v>
      </c>
      <c r="Y21" s="17" t="n">
        <v>1</v>
      </c>
      <c r="Z21" s="17" t="n">
        <v>13.4</v>
      </c>
      <c r="AA21" s="17" t="s">
        <v>48</v>
      </c>
      <c r="AB21" s="17" t="s">
        <v>49</v>
      </c>
    </row>
    <row r="22" customFormat="false" ht="15" hidden="false" customHeight="false" outlineLevel="0" collapsed="false">
      <c r="A22" s="1" t="str">
        <f aca="false">OFFSET(Table22,21,14,1,1)&amp;OFFSET(Table22,21,21,1,1)</f>
        <v>43352224334170</v>
      </c>
      <c r="B22" s="1" t="str">
        <f aca="false">OFFSET(Table22,21,14,1,1)&amp;OFFSET(Table22,21,22,1,1)</f>
        <v>43352Facebook»Audience &amp; Interest Targeting»1x1»SocialBan»LIA»DT»CPC»AUT»W»NA»SS»NA»Benefit 2 in Motion</v>
      </c>
      <c r="C22" s="1" t="s">
        <v>28</v>
      </c>
      <c r="D22" s="3" t="n">
        <f aca="false">O22+(7-WEEKDAY(O22))</f>
        <v>43358</v>
      </c>
      <c r="E22" s="1" t="str">
        <f aca="false">VLOOKUP(OFFSET(Table22,21,16,1,1),Key!B:D,2,0)</f>
        <v>United Kingdom</v>
      </c>
      <c r="F22" s="1" t="str">
        <f aca="false">IF(ISNUMBER(SEARCH("Canvas",U22)),"Link",IF(ISNUMBER(SEARCH("Link",U22)),"Link","Not filled properly"))</f>
        <v>Link</v>
      </c>
      <c r="G22" s="1" t="str">
        <f aca="false">IFERROR(VLOOKUP(OFFSET(Table22,21,21,1,1),OFFSET(Table2,0,1,ROWS(Table2),8),2,0),VLOOKUP(OFFSET(Table22,21,22,1,1),Table2,3,0))</f>
        <v>GBR_gaPMG_CE_AZR_Q1_19_Trial-Social</v>
      </c>
      <c r="H22" s="1" t="n">
        <f aca="false">IFERROR(VLOOKUP(OFFSET(Table22,21,21,1,1),OFFSET(Table2,0,1,ROWS(Table2),8),3,0),VLOOKUP(OFFSET(Table22,21,22,1,1),Table2,4,0))</f>
        <v>21337013</v>
      </c>
      <c r="I22" s="2" t="n">
        <f aca="false">IFERROR(VLOOKUP(OFFSET(Table22,21,21,1,1),OFFSET(Table2,0,1,ROWS(Table2),8),4,0),VLOOKUP(OFFSET(Table22,21,22,1,1),Table2,5,0))</f>
        <v>720196</v>
      </c>
      <c r="J22" s="3" t="str">
        <f aca="false">IF(ISNUMBER(SEARCH("FACEBOOK",W22)),"Facebook",IF(ISNUMBER(SEARCH("INSTAGRAM",W22)),"Facebook-Instagram","Look at taxonomy"))</f>
        <v>Facebook</v>
      </c>
      <c r="K22" s="3" t="str">
        <f aca="false">IF(ISNUMBER(SEARCH("Facebook",J22)),"3654128","Not Facebook")</f>
        <v>3654128</v>
      </c>
      <c r="L22" s="3" t="str">
        <f aca="false">IFERROR(VLOOKUP(OFFSET(Table22,21,21,1,1),OFFSET(Table2,0,1,ROWS(Table2),8),7,0),VLOOKUP(OFFSET(Table22,21,22,1,1),Table2,8,0))</f>
        <v>AzurePlatform_FBCTCcanvaspage-BuyNowCTA-Img3_GBR_1080x162_SOC_Plat_English_NA_Standard_NA_BN_T3_1</v>
      </c>
      <c r="M22" s="2" t="n">
        <f aca="false">IFERROR(VLOOKUP(OFFSET(Table22,21,21,1,1),OFFSET(Table2,0,1,ROWS(Table2),8),8,0),VLOOKUP(OFFSET(Table22,21,22,1,1),Table2,9,0))</f>
        <v>103230847</v>
      </c>
      <c r="N22" s="15" t="s">
        <v>29</v>
      </c>
      <c r="O22" s="16" t="n">
        <v>43352</v>
      </c>
      <c r="P22" s="17" t="s">
        <v>42</v>
      </c>
      <c r="Q22" s="18" t="s">
        <v>43</v>
      </c>
      <c r="R22" s="17" t="s">
        <v>44</v>
      </c>
      <c r="S22" s="18" t="s">
        <v>45</v>
      </c>
      <c r="T22" s="17" t="s">
        <v>55</v>
      </c>
      <c r="U22" s="18" t="s">
        <v>46</v>
      </c>
      <c r="V22" s="19" t="n">
        <v>224334170</v>
      </c>
      <c r="W22" s="17" t="s">
        <v>56</v>
      </c>
      <c r="X22" s="17" t="n">
        <v>5496.92</v>
      </c>
      <c r="Y22" s="17" t="n">
        <v>1</v>
      </c>
      <c r="Z22" s="17" t="n">
        <v>78.43</v>
      </c>
      <c r="AA22" s="17" t="s">
        <v>48</v>
      </c>
      <c r="AB22" s="17" t="s">
        <v>49</v>
      </c>
    </row>
    <row r="23" customFormat="false" ht="15" hidden="false" customHeight="false" outlineLevel="0" collapsed="false">
      <c r="A23" s="1" t="str">
        <f aca="false">OFFSET(Table22,22,14,1,1)&amp;OFFSET(Table22,22,21,1,1)</f>
        <v>43352224334170</v>
      </c>
      <c r="B23" s="1" t="str">
        <f aca="false">OFFSET(Table22,22,14,1,1)&amp;OFFSET(Table22,22,22,1,1)</f>
        <v>43352Facebook»Audience &amp; Interest Targeting»1x1»SocialBan»LIA»DT»CPC»AUT»W»NA»SS»NA»Benefit 2 in Motion</v>
      </c>
      <c r="C23" s="1" t="s">
        <v>28</v>
      </c>
      <c r="D23" s="3" t="n">
        <f aca="false">O23+(7-WEEKDAY(O23))</f>
        <v>43358</v>
      </c>
      <c r="E23" s="1" t="str">
        <f aca="false">VLOOKUP(OFFSET(Table22,22,16,1,1),Key!B:D,2,0)</f>
        <v>United Kingdom</v>
      </c>
      <c r="F23" s="1" t="str">
        <f aca="false">IF(ISNUMBER(SEARCH("Canvas",U23)),"Link",IF(ISNUMBER(SEARCH("Link",U23)),"Link","Not filled properly"))</f>
        <v>Link</v>
      </c>
      <c r="G23" s="1" t="str">
        <f aca="false">IFERROR(VLOOKUP(OFFSET(Table22,22,21,1,1),OFFSET(Table2,0,1,ROWS(Table2),8),2,0),VLOOKUP(OFFSET(Table22,22,22,1,1),Table2,3,0))</f>
        <v>GBR_gaPMG_CE_AZR_Q1_19_Trial-Social</v>
      </c>
      <c r="H23" s="1" t="n">
        <f aca="false">IFERROR(VLOOKUP(OFFSET(Table22,22,21,1,1),OFFSET(Table2,0,1,ROWS(Table2),8),3,0),VLOOKUP(OFFSET(Table22,22,22,1,1),Table2,4,0))</f>
        <v>21337013</v>
      </c>
      <c r="I23" s="2" t="n">
        <f aca="false">IFERROR(VLOOKUP(OFFSET(Table22,22,21,1,1),OFFSET(Table2,0,1,ROWS(Table2),8),4,0),VLOOKUP(OFFSET(Table22,22,22,1,1),Table2,5,0))</f>
        <v>720196</v>
      </c>
      <c r="J23" s="3" t="str">
        <f aca="false">IF(ISNUMBER(SEARCH("FACEBOOK",W23)),"Facebook",IF(ISNUMBER(SEARCH("INSTAGRAM",W23)),"Facebook-Instagram","Look at taxonomy"))</f>
        <v>Facebook</v>
      </c>
      <c r="K23" s="3" t="str">
        <f aca="false">IF(ISNUMBER(SEARCH("Facebook",J23)),"3654128","Not Facebook")</f>
        <v>3654128</v>
      </c>
      <c r="L23" s="3" t="str">
        <f aca="false">IFERROR(VLOOKUP(OFFSET(Table22,22,21,1,1),OFFSET(Table2,0,1,ROWS(Table2),8),7,0),VLOOKUP(OFFSET(Table22,22,22,1,1),Table2,8,0))</f>
        <v>AzurePlatform_FBCTCcanvaspage-BuyNowCTA-Img3_GBR_1080x162_SOC_Plat_English_NA_Standard_NA_BN_T3_1</v>
      </c>
      <c r="M23" s="2" t="n">
        <f aca="false">IFERROR(VLOOKUP(OFFSET(Table22,22,21,1,1),OFFSET(Table2,0,1,ROWS(Table2),8),8,0),VLOOKUP(OFFSET(Table22,22,22,1,1),Table2,9,0))</f>
        <v>103230847</v>
      </c>
      <c r="N23" s="15" t="s">
        <v>29</v>
      </c>
      <c r="O23" s="16" t="n">
        <v>43352</v>
      </c>
      <c r="P23" s="17" t="s">
        <v>42</v>
      </c>
      <c r="Q23" s="18" t="s">
        <v>43</v>
      </c>
      <c r="R23" s="17" t="s">
        <v>44</v>
      </c>
      <c r="S23" s="18" t="s">
        <v>45</v>
      </c>
      <c r="T23" s="17" t="s">
        <v>55</v>
      </c>
      <c r="U23" s="18" t="s">
        <v>46</v>
      </c>
      <c r="V23" s="19" t="n">
        <v>224334170</v>
      </c>
      <c r="W23" s="17" t="s">
        <v>56</v>
      </c>
      <c r="X23" s="17" t="n">
        <v>5496.92</v>
      </c>
      <c r="Y23" s="17" t="n">
        <v>4</v>
      </c>
      <c r="Z23" s="17" t="n">
        <v>78.43</v>
      </c>
      <c r="AA23" s="17" t="s">
        <v>48</v>
      </c>
      <c r="AB23" s="17" t="s">
        <v>49</v>
      </c>
    </row>
    <row r="24" customFormat="false" ht="15" hidden="false" customHeight="false" outlineLevel="0" collapsed="false">
      <c r="A24" s="1" t="str">
        <f aca="false">OFFSET(Table22,23,14,1,1)&amp;OFFSET(Table22,23,21,1,1)</f>
        <v>43352224399962</v>
      </c>
      <c r="B24" s="1" t="str">
        <f aca="false">OFFSET(Table22,23,14,1,1)&amp;OFFSET(Table22,23,22,1,1)</f>
        <v>43352Facebook»Audience &amp; Interest Targeting»1x1»SocialBan»LIA»DT»CPC»AUT»W»NA»SS»NA»Basic Motion</v>
      </c>
      <c r="C24" s="1" t="s">
        <v>28</v>
      </c>
      <c r="D24" s="3" t="n">
        <f aca="false">O24+(7-WEEKDAY(O24))</f>
        <v>43358</v>
      </c>
      <c r="E24" s="1" t="str">
        <f aca="false">VLOOKUP(OFFSET(Table22,23,16,1,1),Key!B:D,2,0)</f>
        <v>United Kingdom</v>
      </c>
      <c r="F24" s="1" t="str">
        <f aca="false">IF(ISNUMBER(SEARCH("Canvas",U24)),"Link",IF(ISNUMBER(SEARCH("Link",U24)),"Link","Not filled properly"))</f>
        <v>Link</v>
      </c>
      <c r="G24" s="1" t="str">
        <f aca="false">IFERROR(VLOOKUP(OFFSET(Table22,23,21,1,1),OFFSET(Table2,0,1,ROWS(Table2),8),2,0),VLOOKUP(OFFSET(Table22,23,22,1,1),Table2,3,0))</f>
        <v>GBR_gaPMG_CE_AZR_Q1_19_Trial-Social</v>
      </c>
      <c r="H24" s="1" t="n">
        <f aca="false">IFERROR(VLOOKUP(OFFSET(Table22,23,21,1,1),OFFSET(Table2,0,1,ROWS(Table2),8),3,0),VLOOKUP(OFFSET(Table22,23,22,1,1),Table2,4,0))</f>
        <v>21337013</v>
      </c>
      <c r="I24" s="2" t="n">
        <f aca="false">IFERROR(VLOOKUP(OFFSET(Table22,23,21,1,1),OFFSET(Table2,0,1,ROWS(Table2),8),4,0),VLOOKUP(OFFSET(Table22,23,22,1,1),Table2,5,0))</f>
        <v>720196</v>
      </c>
      <c r="J24" s="3" t="str">
        <f aca="false">IF(ISNUMBER(SEARCH("FACEBOOK",W24)),"Facebook",IF(ISNUMBER(SEARCH("INSTAGRAM",W24)),"Facebook-Instagram","Look at taxonomy"))</f>
        <v>Facebook</v>
      </c>
      <c r="K24" s="3" t="str">
        <f aca="false">IF(ISNUMBER(SEARCH("Facebook",J24)),"3654128","Not Facebook")</f>
        <v>3654128</v>
      </c>
      <c r="L24" s="3" t="str">
        <f aca="false">IFERROR(VLOOKUP(OFFSET(Table22,23,21,1,1),OFFSET(Table2,0,1,ROWS(Table2),8),7,0),VLOOKUP(OFFSET(Table22,23,22,1,1),Table2,8,0))</f>
        <v>AzurePlatform_FBCTCcanvaspage-BuyNowCTA-Img3_GBR_1080x162_SOC_Plat_English_NA_Standard_NA_BN_T3_1</v>
      </c>
      <c r="M24" s="2" t="n">
        <f aca="false">IFERROR(VLOOKUP(OFFSET(Table22,23,21,1,1),OFFSET(Table2,0,1,ROWS(Table2),8),8,0),VLOOKUP(OFFSET(Table22,23,22,1,1),Table2,9,0))</f>
        <v>103230847</v>
      </c>
      <c r="N24" s="15" t="s">
        <v>29</v>
      </c>
      <c r="O24" s="16" t="n">
        <v>43352</v>
      </c>
      <c r="P24" s="17" t="s">
        <v>42</v>
      </c>
      <c r="Q24" s="18" t="s">
        <v>43</v>
      </c>
      <c r="R24" s="17" t="s">
        <v>44</v>
      </c>
      <c r="S24" s="18" t="s">
        <v>45</v>
      </c>
      <c r="T24" s="17" t="s">
        <v>55</v>
      </c>
      <c r="U24" s="18" t="s">
        <v>46</v>
      </c>
      <c r="V24" s="19" t="n">
        <v>224399962</v>
      </c>
      <c r="W24" s="17" t="s">
        <v>57</v>
      </c>
      <c r="X24" s="17" t="n">
        <v>5496.92</v>
      </c>
      <c r="Y24" s="17" t="n">
        <v>1</v>
      </c>
      <c r="Z24" s="17" t="n">
        <v>78.43</v>
      </c>
      <c r="AA24" s="17" t="s">
        <v>48</v>
      </c>
      <c r="AB24" s="17" t="s">
        <v>49</v>
      </c>
    </row>
    <row r="25" customFormat="false" ht="15" hidden="false" customHeight="false" outlineLevel="0" collapsed="false">
      <c r="A25" s="1" t="str">
        <f aca="false">OFFSET(Table22,24,14,1,1)&amp;OFFSET(Table22,24,21,1,1)</f>
        <v>43353223560299</v>
      </c>
      <c r="B25" s="1" t="str">
        <f aca="false">OFFSET(Table22,24,14,1,1)&amp;OFFSET(Table22,24,22,1,1)</f>
        <v>43353Facebook»Retargeting»1x1»SocialBan»LIA»DT»DYN»RT»W»NA»SS»NA»Free Account Retargeting Generic- Animated ChC</v>
      </c>
      <c r="C25" s="1" t="s">
        <v>28</v>
      </c>
      <c r="D25" s="3" t="n">
        <f aca="false">O25+(7-WEEKDAY(O25))</f>
        <v>43358</v>
      </c>
      <c r="E25" s="1" t="str">
        <f aca="false">VLOOKUP(OFFSET(Table22,24,16,1,1),Key!B:D,2,0)</f>
        <v>United Kingdom</v>
      </c>
      <c r="F25" s="1" t="str">
        <f aca="false">IF(ISNUMBER(SEARCH("Canvas",U25)),"Link",IF(ISNUMBER(SEARCH("Link",U25)),"Link","Not filled properly"))</f>
        <v>Link</v>
      </c>
      <c r="G25" s="1" t="str">
        <f aca="false">IFERROR(VLOOKUP(OFFSET(Table22,24,21,1,1),OFFSET(Table2,0,1,ROWS(Table2),8),2,0),VLOOKUP(OFFSET(Table22,24,22,1,1),Table2,3,0))</f>
        <v>GBR_gaPMG_CE_AZR_Q1_19_Trial-Social</v>
      </c>
      <c r="H25" s="1" t="n">
        <f aca="false">IFERROR(VLOOKUP(OFFSET(Table22,24,21,1,1),OFFSET(Table2,0,1,ROWS(Table2),8),3,0),VLOOKUP(OFFSET(Table22,24,22,1,1),Table2,4,0))</f>
        <v>21337013</v>
      </c>
      <c r="I25" s="2" t="n">
        <f aca="false">IFERROR(VLOOKUP(OFFSET(Table22,24,21,1,1),OFFSET(Table2,0,1,ROWS(Table2),8),4,0),VLOOKUP(OFFSET(Table22,24,22,1,1),Table2,5,0))</f>
        <v>720196</v>
      </c>
      <c r="J25" s="3" t="str">
        <f aca="false">IF(ISNUMBER(SEARCH("FACEBOOK",W25)),"Facebook",IF(ISNUMBER(SEARCH("INSTAGRAM",W25)),"Facebook-Instagram","Look at taxonomy"))</f>
        <v>Facebook</v>
      </c>
      <c r="K25" s="3" t="str">
        <f aca="false">IF(ISNUMBER(SEARCH("Facebook",J25)),"3654128","Not Facebook")</f>
        <v>3654128</v>
      </c>
      <c r="L25" s="3" t="str">
        <f aca="false">IFERROR(VLOOKUP(OFFSET(Table22,24,21,1,1),OFFSET(Table2,0,1,ROWS(Table2),8),7,0),VLOOKUP(OFFSET(Table22,24,22,1,1),Table2,8,0))</f>
        <v>AzurePlatform_FreeAcctRetargetingFB-Animated-ChC_GBR_1200x628_SOC_Plat_EN_Free Account_Standard_ANI_SU_T3_1</v>
      </c>
      <c r="M25" s="2" t="n">
        <f aca="false">IFERROR(VLOOKUP(OFFSET(Table22,24,21,1,1),OFFSET(Table2,0,1,ROWS(Table2),8),8,0),VLOOKUP(OFFSET(Table22,24,22,1,1),Table2,9,0))</f>
        <v>102854019</v>
      </c>
      <c r="N25" s="15" t="s">
        <v>29</v>
      </c>
      <c r="O25" s="16" t="n">
        <v>43353</v>
      </c>
      <c r="P25" s="17" t="s">
        <v>42</v>
      </c>
      <c r="Q25" s="18" t="s">
        <v>43</v>
      </c>
      <c r="R25" s="17" t="s">
        <v>44</v>
      </c>
      <c r="S25" s="18" t="s">
        <v>45</v>
      </c>
      <c r="T25" s="17" t="s">
        <v>34</v>
      </c>
      <c r="U25" s="18" t="s">
        <v>46</v>
      </c>
      <c r="V25" s="19" t="n">
        <v>223560299</v>
      </c>
      <c r="W25" s="17" t="s">
        <v>47</v>
      </c>
      <c r="X25" s="17" t="n">
        <v>514.92</v>
      </c>
      <c r="Y25" s="17" t="n">
        <v>1</v>
      </c>
      <c r="Z25" s="17" t="n">
        <v>13.4</v>
      </c>
      <c r="AA25" s="17" t="s">
        <v>48</v>
      </c>
      <c r="AB25" s="17" t="s">
        <v>49</v>
      </c>
    </row>
    <row r="26" customFormat="false" ht="15" hidden="false" customHeight="false" outlineLevel="0" collapsed="false">
      <c r="A26" s="1" t="str">
        <f aca="false">OFFSET(Table22,25,14,1,1)&amp;OFFSET(Table22,25,21,1,1)</f>
        <v>43353223560332</v>
      </c>
      <c r="B26" s="1" t="str">
        <f aca="false">OFFSET(Table22,25,14,1,1)&amp;OFFSET(Table22,25,22,1,1)</f>
        <v>43353Facebook»Retargeting»1x1»SocialBan»LIA»DT»DYN»RT»W»NA»SS»NA»Free Account Retargeting VM- On Demand ChE</v>
      </c>
      <c r="C26" s="1" t="s">
        <v>28</v>
      </c>
      <c r="D26" s="3" t="n">
        <f aca="false">O26+(7-WEEKDAY(O26))</f>
        <v>43358</v>
      </c>
      <c r="E26" s="1" t="str">
        <f aca="false">VLOOKUP(OFFSET(Table22,25,16,1,1),Key!B:D,2,0)</f>
        <v>United Kingdom</v>
      </c>
      <c r="F26" s="1" t="str">
        <f aca="false">IF(ISNUMBER(SEARCH("Canvas",U26)),"Link",IF(ISNUMBER(SEARCH("Link",U26)),"Link","Not filled properly"))</f>
        <v>Link</v>
      </c>
      <c r="G26" s="1" t="str">
        <f aca="false">IFERROR(VLOOKUP(OFFSET(Table22,25,21,1,1),OFFSET(Table2,0,1,ROWS(Table2),8),2,0),VLOOKUP(OFFSET(Table22,25,22,1,1),Table2,3,0))</f>
        <v>GBR_gaPMG_CE_AZR_Q1_19_Trial-Social</v>
      </c>
      <c r="H26" s="1" t="n">
        <f aca="false">IFERROR(VLOOKUP(OFFSET(Table22,25,21,1,1),OFFSET(Table2,0,1,ROWS(Table2),8),3,0),VLOOKUP(OFFSET(Table22,25,22,1,1),Table2,4,0))</f>
        <v>21337013</v>
      </c>
      <c r="I26" s="2" t="n">
        <f aca="false">IFERROR(VLOOKUP(OFFSET(Table22,25,21,1,1),OFFSET(Table2,0,1,ROWS(Table2),8),4,0),VLOOKUP(OFFSET(Table22,25,22,1,1),Table2,5,0))</f>
        <v>720196</v>
      </c>
      <c r="J26" s="3" t="str">
        <f aca="false">IF(ISNUMBER(SEARCH("FACEBOOK",W26)),"Facebook",IF(ISNUMBER(SEARCH("INSTAGRAM",W26)),"Facebook-Instagram","Look at taxonomy"))</f>
        <v>Facebook</v>
      </c>
      <c r="K26" s="3" t="str">
        <f aca="false">IF(ISNUMBER(SEARCH("Facebook",J26)),"3654128","Not Facebook")</f>
        <v>3654128</v>
      </c>
      <c r="L26" s="3" t="str">
        <f aca="false">IFERROR(VLOOKUP(OFFSET(Table22,25,21,1,1),OFFSET(Table2,0,1,ROWS(Table2),8),7,0),VLOOKUP(OFFSET(Table22,25,22,1,1),Table2,8,0))</f>
        <v>AzurePlatform_FreeAcctRetargetingVMFB-OnDemand-ChE_GBR_1200x628_SOC_Plat_EN_Free Account_Standard_NA_SU_T2_1</v>
      </c>
      <c r="M26" s="2" t="n">
        <f aca="false">IFERROR(VLOOKUP(OFFSET(Table22,25,21,1,1),OFFSET(Table2,0,1,ROWS(Table2),8),8,0),VLOOKUP(OFFSET(Table22,25,22,1,1),Table2,9,0))</f>
        <v>102854037</v>
      </c>
      <c r="N26" s="15" t="s">
        <v>29</v>
      </c>
      <c r="O26" s="16" t="n">
        <v>43353</v>
      </c>
      <c r="P26" s="17" t="s">
        <v>42</v>
      </c>
      <c r="Q26" s="18" t="s">
        <v>43</v>
      </c>
      <c r="R26" s="17" t="s">
        <v>44</v>
      </c>
      <c r="S26" s="18" t="s">
        <v>45</v>
      </c>
      <c r="T26" s="17" t="s">
        <v>34</v>
      </c>
      <c r="U26" s="18" t="s">
        <v>46</v>
      </c>
      <c r="V26" s="19" t="n">
        <v>223560332</v>
      </c>
      <c r="W26" s="17" t="s">
        <v>50</v>
      </c>
      <c r="X26" s="17" t="n">
        <v>514.92</v>
      </c>
      <c r="Y26" s="17" t="n">
        <v>2</v>
      </c>
      <c r="Z26" s="17" t="n">
        <v>13.4</v>
      </c>
      <c r="AA26" s="17" t="s">
        <v>48</v>
      </c>
      <c r="AB26" s="17" t="s">
        <v>49</v>
      </c>
    </row>
    <row r="27" customFormat="false" ht="15" hidden="false" customHeight="false" outlineLevel="0" collapsed="false">
      <c r="A27" s="1" t="str">
        <f aca="false">OFFSET(Table22,26,14,1,1)&amp;OFFSET(Table22,26,21,1,1)</f>
        <v>43353223560338</v>
      </c>
      <c r="B27" s="1" t="str">
        <f aca="false">OFFSET(Table22,26,14,1,1)&amp;OFFSET(Table22,26,22,1,1)</f>
        <v>43353Facebook»Retargeting»1x1»SocialBan»LIA»DT»DYN»RT»W»NA»SS»NA»Free Account Retargeting VM- 750 Hrs ChD</v>
      </c>
      <c r="C27" s="1" t="s">
        <v>28</v>
      </c>
      <c r="D27" s="3" t="n">
        <f aca="false">O27+(7-WEEKDAY(O27))</f>
        <v>43358</v>
      </c>
      <c r="E27" s="1" t="str">
        <f aca="false">VLOOKUP(OFFSET(Table22,26,16,1,1),Key!B:D,2,0)</f>
        <v>United Kingdom</v>
      </c>
      <c r="F27" s="1" t="str">
        <f aca="false">IF(ISNUMBER(SEARCH("Canvas",U27)),"Link",IF(ISNUMBER(SEARCH("Link",U27)),"Link","Not filled properly"))</f>
        <v>Link</v>
      </c>
      <c r="G27" s="1" t="str">
        <f aca="false">IFERROR(VLOOKUP(OFFSET(Table22,26,21,1,1),OFFSET(Table2,0,1,ROWS(Table2),8),2,0),VLOOKUP(OFFSET(Table22,26,22,1,1),Table2,3,0))</f>
        <v>GBR_gaPMG_CE_AZR_Q1_19_Trial-Social</v>
      </c>
      <c r="H27" s="1" t="n">
        <f aca="false">IFERROR(VLOOKUP(OFFSET(Table22,26,21,1,1),OFFSET(Table2,0,1,ROWS(Table2),8),3,0),VLOOKUP(OFFSET(Table22,26,22,1,1),Table2,4,0))</f>
        <v>21337013</v>
      </c>
      <c r="I27" s="2" t="n">
        <f aca="false">IFERROR(VLOOKUP(OFFSET(Table22,26,21,1,1),OFFSET(Table2,0,1,ROWS(Table2),8),4,0),VLOOKUP(OFFSET(Table22,26,22,1,1),Table2,5,0))</f>
        <v>720196</v>
      </c>
      <c r="J27" s="3" t="str">
        <f aca="false">IF(ISNUMBER(SEARCH("FACEBOOK",W27)),"Facebook",IF(ISNUMBER(SEARCH("INSTAGRAM",W27)),"Facebook-Instagram","Look at taxonomy"))</f>
        <v>Facebook</v>
      </c>
      <c r="K27" s="3" t="str">
        <f aca="false">IF(ISNUMBER(SEARCH("Facebook",J27)),"3654128","Not Facebook")</f>
        <v>3654128</v>
      </c>
      <c r="L27" s="3" t="str">
        <f aca="false">IFERROR(VLOOKUP(OFFSET(Table22,26,21,1,1),OFFSET(Table2,0,1,ROWS(Table2),8),7,0),VLOOKUP(OFFSET(Table22,26,22,1,1),Table2,8,0))</f>
        <v>AzurePlatform_FreeAcctRetargetingVMFB-750Hrs-ChD_GBR_1200x628_SOC_Plat_EN_Free Account_Standard_NA_SU_T1_1</v>
      </c>
      <c r="M27" s="2" t="n">
        <f aca="false">IFERROR(VLOOKUP(OFFSET(Table22,26,21,1,1),OFFSET(Table2,0,1,ROWS(Table2),8),8,0),VLOOKUP(OFFSET(Table22,26,22,1,1),Table2,9,0))</f>
        <v>102853603</v>
      </c>
      <c r="N27" s="15" t="s">
        <v>29</v>
      </c>
      <c r="O27" s="16" t="n">
        <v>43353</v>
      </c>
      <c r="P27" s="17" t="s">
        <v>42</v>
      </c>
      <c r="Q27" s="18" t="s">
        <v>43</v>
      </c>
      <c r="R27" s="17" t="s">
        <v>44</v>
      </c>
      <c r="S27" s="18" t="s">
        <v>45</v>
      </c>
      <c r="T27" s="17" t="s">
        <v>34</v>
      </c>
      <c r="U27" s="18" t="s">
        <v>46</v>
      </c>
      <c r="V27" s="19" t="n">
        <v>223560338</v>
      </c>
      <c r="W27" s="17" t="s">
        <v>51</v>
      </c>
      <c r="X27" s="17" t="n">
        <v>514.92</v>
      </c>
      <c r="Y27" s="17" t="n">
        <v>7</v>
      </c>
      <c r="Z27" s="17" t="n">
        <v>13.4</v>
      </c>
      <c r="AA27" s="17" t="s">
        <v>48</v>
      </c>
      <c r="AB27" s="17" t="s">
        <v>49</v>
      </c>
    </row>
    <row r="28" customFormat="false" ht="15" hidden="false" customHeight="false" outlineLevel="0" collapsed="false">
      <c r="A28" s="1" t="str">
        <f aca="false">OFFSET(Table22,27,14,1,1)&amp;OFFSET(Table22,27,21,1,1)</f>
        <v>43353223560344</v>
      </c>
      <c r="B28" s="1" t="str">
        <f aca="false">OFFSET(Table22,27,14,1,1)&amp;OFFSET(Table22,27,22,1,1)</f>
        <v>43353Facebook»Retargeting»1x1»SocialBan»LIA»DT»DYN»RT»W»NA»SS»NA»Free Account Retargeting OSS- Text ChF</v>
      </c>
      <c r="C28" s="1" t="s">
        <v>28</v>
      </c>
      <c r="D28" s="3" t="n">
        <f aca="false">O28+(7-WEEKDAY(O28))</f>
        <v>43358</v>
      </c>
      <c r="E28" s="1" t="str">
        <f aca="false">VLOOKUP(OFFSET(Table22,27,16,1,1),Key!B:D,2,0)</f>
        <v>United Kingdom</v>
      </c>
      <c r="F28" s="1" t="str">
        <f aca="false">IF(ISNUMBER(SEARCH("Canvas",U28)),"Link",IF(ISNUMBER(SEARCH("Link",U28)),"Link","Not filled properly"))</f>
        <v>Link</v>
      </c>
      <c r="G28" s="1" t="str">
        <f aca="false">IFERROR(VLOOKUP(OFFSET(Table22,27,21,1,1),OFFSET(Table2,0,1,ROWS(Table2),8),2,0),VLOOKUP(OFFSET(Table22,27,22,1,1),Table2,3,0))</f>
        <v>GBR_gaPMG_CE_AZR_Q1_19_Trial-Social</v>
      </c>
      <c r="H28" s="1" t="n">
        <f aca="false">IFERROR(VLOOKUP(OFFSET(Table22,27,21,1,1),OFFSET(Table2,0,1,ROWS(Table2),8),3,0),VLOOKUP(OFFSET(Table22,27,22,1,1),Table2,4,0))</f>
        <v>21337013</v>
      </c>
      <c r="I28" s="2" t="n">
        <f aca="false">IFERROR(VLOOKUP(OFFSET(Table22,27,21,1,1),OFFSET(Table2,0,1,ROWS(Table2),8),4,0),VLOOKUP(OFFSET(Table22,27,22,1,1),Table2,5,0))</f>
        <v>720196</v>
      </c>
      <c r="J28" s="3" t="str">
        <f aca="false">IF(ISNUMBER(SEARCH("FACEBOOK",W28)),"Facebook",IF(ISNUMBER(SEARCH("INSTAGRAM",W28)),"Facebook-Instagram","Look at taxonomy"))</f>
        <v>Facebook</v>
      </c>
      <c r="K28" s="3" t="str">
        <f aca="false">IF(ISNUMBER(SEARCH("Facebook",J28)),"3654128","Not Facebook")</f>
        <v>3654128</v>
      </c>
      <c r="L28" s="3" t="str">
        <f aca="false">IFERROR(VLOOKUP(OFFSET(Table22,27,21,1,1),OFFSET(Table2,0,1,ROWS(Table2),8),7,0),VLOOKUP(OFFSET(Table22,27,22,1,1),Table2,8,0))</f>
        <v>AzurePlatform_FreeAcctRetargetingOSSFB-Text-ChF_GBR_1200x628_SOC_Plat_EN_Free Account_Standard_NA_SU_T1_1</v>
      </c>
      <c r="M28" s="2" t="n">
        <f aca="false">IFERROR(VLOOKUP(OFFSET(Table22,27,21,1,1),OFFSET(Table2,0,1,ROWS(Table2),8),8,0),VLOOKUP(OFFSET(Table22,27,22,1,1),Table2,9,0))</f>
        <v>102861246</v>
      </c>
      <c r="N28" s="15" t="s">
        <v>29</v>
      </c>
      <c r="O28" s="16" t="n">
        <v>43353</v>
      </c>
      <c r="P28" s="17" t="s">
        <v>42</v>
      </c>
      <c r="Q28" s="18" t="s">
        <v>43</v>
      </c>
      <c r="R28" s="17" t="s">
        <v>44</v>
      </c>
      <c r="S28" s="18" t="s">
        <v>45</v>
      </c>
      <c r="T28" s="17" t="s">
        <v>34</v>
      </c>
      <c r="U28" s="18" t="s">
        <v>46</v>
      </c>
      <c r="V28" s="19" t="n">
        <v>223560344</v>
      </c>
      <c r="W28" s="17" t="s">
        <v>52</v>
      </c>
      <c r="X28" s="17" t="n">
        <v>514.92</v>
      </c>
      <c r="Y28" s="17" t="n">
        <v>2</v>
      </c>
      <c r="Z28" s="17" t="n">
        <v>13.4</v>
      </c>
      <c r="AA28" s="17" t="s">
        <v>48</v>
      </c>
      <c r="AB28" s="17" t="s">
        <v>49</v>
      </c>
    </row>
    <row r="29" customFormat="false" ht="15" hidden="false" customHeight="false" outlineLevel="0" collapsed="false">
      <c r="A29" s="1" t="str">
        <f aca="false">OFFSET(Table22,28,14,1,1)&amp;OFFSET(Table22,28,21,1,1)</f>
        <v>43353223560356</v>
      </c>
      <c r="B29" s="1" t="str">
        <f aca="false">OFFSET(Table22,28,14,1,1)&amp;OFFSET(Table22,28,22,1,1)</f>
        <v>43353Facebook»Retargeting»1x1»SocialBan»LIA»DT»DYN»RT»W»NA»SS»NA»Free Account Retargeting Generic- Global Alt ChB</v>
      </c>
      <c r="C29" s="1" t="s">
        <v>28</v>
      </c>
      <c r="D29" s="3" t="n">
        <f aca="false">O29+(7-WEEKDAY(O29))</f>
        <v>43358</v>
      </c>
      <c r="E29" s="1" t="str">
        <f aca="false">VLOOKUP(OFFSET(Table22,28,16,1,1),Key!B:D,2,0)</f>
        <v>United Kingdom</v>
      </c>
      <c r="F29" s="1" t="str">
        <f aca="false">IF(ISNUMBER(SEARCH("Canvas",U29)),"Link",IF(ISNUMBER(SEARCH("Link",U29)),"Link","Not filled properly"))</f>
        <v>Link</v>
      </c>
      <c r="G29" s="1" t="str">
        <f aca="false">IFERROR(VLOOKUP(OFFSET(Table22,28,21,1,1),OFFSET(Table2,0,1,ROWS(Table2),8),2,0),VLOOKUP(OFFSET(Table22,28,22,1,1),Table2,3,0))</f>
        <v>GBR_gaPMG_CE_AZR_Q1_19_Trial-Social</v>
      </c>
      <c r="H29" s="1" t="n">
        <f aca="false">IFERROR(VLOOKUP(OFFSET(Table22,28,21,1,1),OFFSET(Table2,0,1,ROWS(Table2),8),3,0),VLOOKUP(OFFSET(Table22,28,22,1,1),Table2,4,0))</f>
        <v>21337013</v>
      </c>
      <c r="I29" s="2" t="n">
        <f aca="false">IFERROR(VLOOKUP(OFFSET(Table22,28,21,1,1),OFFSET(Table2,0,1,ROWS(Table2),8),4,0),VLOOKUP(OFFSET(Table22,28,22,1,1),Table2,5,0))</f>
        <v>720196</v>
      </c>
      <c r="J29" s="3" t="str">
        <f aca="false">IF(ISNUMBER(SEARCH("FACEBOOK",W29)),"Facebook",IF(ISNUMBER(SEARCH("INSTAGRAM",W29)),"Facebook-Instagram","Look at taxonomy"))</f>
        <v>Facebook</v>
      </c>
      <c r="K29" s="3" t="str">
        <f aca="false">IF(ISNUMBER(SEARCH("Facebook",J29)),"3654128","Not Facebook")</f>
        <v>3654128</v>
      </c>
      <c r="L29" s="3" t="str">
        <f aca="false">IFERROR(VLOOKUP(OFFSET(Table22,28,21,1,1),OFFSET(Table2,0,1,ROWS(Table2),8),7,0),VLOOKUP(OFFSET(Table22,28,22,1,1),Table2,8,0))</f>
        <v>AzurePlatform_FreeAcctRetargetingFB-GlobalAlt-ChB_GBR_1200x628_SOC_Plat_EN_Free Account_Standard_NA_SU_T2_1</v>
      </c>
      <c r="M29" s="2" t="n">
        <f aca="false">IFERROR(VLOOKUP(OFFSET(Table22,28,21,1,1),OFFSET(Table2,0,1,ROWS(Table2),8),8,0),VLOOKUP(OFFSET(Table22,28,22,1,1),Table2,9,0))</f>
        <v>102854016</v>
      </c>
      <c r="N29" s="15" t="s">
        <v>29</v>
      </c>
      <c r="O29" s="16" t="n">
        <v>43353</v>
      </c>
      <c r="P29" s="17" t="s">
        <v>42</v>
      </c>
      <c r="Q29" s="18" t="s">
        <v>43</v>
      </c>
      <c r="R29" s="17" t="s">
        <v>44</v>
      </c>
      <c r="S29" s="18" t="s">
        <v>45</v>
      </c>
      <c r="T29" s="17" t="s">
        <v>34</v>
      </c>
      <c r="U29" s="18" t="s">
        <v>46</v>
      </c>
      <c r="V29" s="19" t="n">
        <v>223560356</v>
      </c>
      <c r="W29" s="17" t="s">
        <v>54</v>
      </c>
      <c r="X29" s="17" t="n">
        <v>514.92</v>
      </c>
      <c r="Y29" s="17" t="n">
        <v>1</v>
      </c>
      <c r="Z29" s="17" t="n">
        <v>13.4</v>
      </c>
      <c r="AA29" s="17" t="s">
        <v>48</v>
      </c>
      <c r="AB29" s="17" t="s">
        <v>49</v>
      </c>
    </row>
    <row r="30" customFormat="false" ht="15" hidden="false" customHeight="false" outlineLevel="0" collapsed="false">
      <c r="A30" s="1" t="str">
        <f aca="false">OFFSET(Table22,29,14,1,1)&amp;OFFSET(Table22,29,21,1,1)</f>
        <v>43353224334170</v>
      </c>
      <c r="B30" s="1" t="str">
        <f aca="false">OFFSET(Table22,29,14,1,1)&amp;OFFSET(Table22,29,22,1,1)</f>
        <v>43353Facebook»Audience &amp; Interest Targeting»1x1»SocialBan»LIA»DT»CPC»AUT»W»NA»SS»NA»Benefit 2 in Motion</v>
      </c>
      <c r="C30" s="1" t="s">
        <v>28</v>
      </c>
      <c r="D30" s="3" t="n">
        <f aca="false">O30+(7-WEEKDAY(O30))</f>
        <v>43358</v>
      </c>
      <c r="E30" s="1" t="str">
        <f aca="false">VLOOKUP(OFFSET(Table22,29,16,1,1),Key!B:D,2,0)</f>
        <v>United Kingdom</v>
      </c>
      <c r="F30" s="1" t="str">
        <f aca="false">IF(ISNUMBER(SEARCH("Canvas",U30)),"Link",IF(ISNUMBER(SEARCH("Link",U30)),"Link","Not filled properly"))</f>
        <v>Link</v>
      </c>
      <c r="G30" s="1" t="str">
        <f aca="false">IFERROR(VLOOKUP(OFFSET(Table22,29,21,1,1),OFFSET(Table2,0,1,ROWS(Table2),8),2,0),VLOOKUP(OFFSET(Table22,29,22,1,1),Table2,3,0))</f>
        <v>GBR_gaPMG_CE_AZR_Q1_19_Trial-Social</v>
      </c>
      <c r="H30" s="1" t="n">
        <f aca="false">IFERROR(VLOOKUP(OFFSET(Table22,29,21,1,1),OFFSET(Table2,0,1,ROWS(Table2),8),3,0),VLOOKUP(OFFSET(Table22,29,22,1,1),Table2,4,0))</f>
        <v>21337013</v>
      </c>
      <c r="I30" s="2" t="n">
        <f aca="false">IFERROR(VLOOKUP(OFFSET(Table22,29,21,1,1),OFFSET(Table2,0,1,ROWS(Table2),8),4,0),VLOOKUP(OFFSET(Table22,29,22,1,1),Table2,5,0))</f>
        <v>720196</v>
      </c>
      <c r="J30" s="3" t="str">
        <f aca="false">IF(ISNUMBER(SEARCH("FACEBOOK",W30)),"Facebook",IF(ISNUMBER(SEARCH("INSTAGRAM",W30)),"Facebook-Instagram","Look at taxonomy"))</f>
        <v>Facebook</v>
      </c>
      <c r="K30" s="3" t="str">
        <f aca="false">IF(ISNUMBER(SEARCH("Facebook",J30)),"3654128","Not Facebook")</f>
        <v>3654128</v>
      </c>
      <c r="L30" s="3" t="str">
        <f aca="false">IFERROR(VLOOKUP(OFFSET(Table22,29,21,1,1),OFFSET(Table2,0,1,ROWS(Table2),8),7,0),VLOOKUP(OFFSET(Table22,29,22,1,1),Table2,8,0))</f>
        <v>AzurePlatform_FBCTCcanvaspage-BuyNowCTA-Img3_GBR_1080x162_SOC_Plat_English_NA_Standard_NA_BN_T3_1</v>
      </c>
      <c r="M30" s="2" t="n">
        <f aca="false">IFERROR(VLOOKUP(OFFSET(Table22,29,21,1,1),OFFSET(Table2,0,1,ROWS(Table2),8),8,0),VLOOKUP(OFFSET(Table22,29,22,1,1),Table2,9,0))</f>
        <v>103230847</v>
      </c>
      <c r="N30" s="15" t="s">
        <v>29</v>
      </c>
      <c r="O30" s="16" t="n">
        <v>43353</v>
      </c>
      <c r="P30" s="17" t="s">
        <v>42</v>
      </c>
      <c r="Q30" s="18" t="s">
        <v>43</v>
      </c>
      <c r="R30" s="17" t="s">
        <v>44</v>
      </c>
      <c r="S30" s="18" t="s">
        <v>45</v>
      </c>
      <c r="T30" s="17" t="s">
        <v>55</v>
      </c>
      <c r="U30" s="18" t="s">
        <v>46</v>
      </c>
      <c r="V30" s="19" t="n">
        <v>224334170</v>
      </c>
      <c r="W30" s="17" t="s">
        <v>56</v>
      </c>
      <c r="X30" s="17" t="n">
        <v>5496.92</v>
      </c>
      <c r="Y30" s="17" t="n">
        <v>4</v>
      </c>
      <c r="Z30" s="17" t="n">
        <v>78.43</v>
      </c>
      <c r="AA30" s="17" t="s">
        <v>48</v>
      </c>
      <c r="AB30" s="17" t="s">
        <v>49</v>
      </c>
    </row>
    <row r="31" customFormat="false" ht="15" hidden="false" customHeight="false" outlineLevel="0" collapsed="false">
      <c r="A31" s="1" t="str">
        <f aca="false">OFFSET(Table22,30,14,1,1)&amp;OFFSET(Table22,30,21,1,1)</f>
        <v>43353224399962</v>
      </c>
      <c r="B31" s="1" t="str">
        <f aca="false">OFFSET(Table22,30,14,1,1)&amp;OFFSET(Table22,30,22,1,1)</f>
        <v>43353Facebook»Audience &amp; Interest Targeting»1x1»SocialBan»LIA»DT»CPC»AUT»W»NA»SS»NA»Basic Motion</v>
      </c>
      <c r="C31" s="1" t="s">
        <v>28</v>
      </c>
      <c r="D31" s="3" t="n">
        <f aca="false">O31+(7-WEEKDAY(O31))</f>
        <v>43358</v>
      </c>
      <c r="E31" s="1" t="str">
        <f aca="false">VLOOKUP(OFFSET(Table22,30,16,1,1),Key!B:D,2,0)</f>
        <v>United Kingdom</v>
      </c>
      <c r="F31" s="1" t="str">
        <f aca="false">IF(ISNUMBER(SEARCH("Canvas",U31)),"Link",IF(ISNUMBER(SEARCH("Link",U31)),"Link","Not filled properly"))</f>
        <v>Link</v>
      </c>
      <c r="G31" s="1" t="str">
        <f aca="false">IFERROR(VLOOKUP(OFFSET(Table22,30,21,1,1),OFFSET(Table2,0,1,ROWS(Table2),8),2,0),VLOOKUP(OFFSET(Table22,30,22,1,1),Table2,3,0))</f>
        <v>GBR_gaPMG_CE_AZR_Q1_19_Trial-Social</v>
      </c>
      <c r="H31" s="1" t="n">
        <f aca="false">IFERROR(VLOOKUP(OFFSET(Table22,30,21,1,1),OFFSET(Table2,0,1,ROWS(Table2),8),3,0),VLOOKUP(OFFSET(Table22,30,22,1,1),Table2,4,0))</f>
        <v>21337013</v>
      </c>
      <c r="I31" s="2" t="n">
        <f aca="false">IFERROR(VLOOKUP(OFFSET(Table22,30,21,1,1),OFFSET(Table2,0,1,ROWS(Table2),8),4,0),VLOOKUP(OFFSET(Table22,30,22,1,1),Table2,5,0))</f>
        <v>720196</v>
      </c>
      <c r="J31" s="3" t="str">
        <f aca="false">IF(ISNUMBER(SEARCH("FACEBOOK",W31)),"Facebook",IF(ISNUMBER(SEARCH("INSTAGRAM",W31)),"Facebook-Instagram","Look at taxonomy"))</f>
        <v>Facebook</v>
      </c>
      <c r="K31" s="3" t="str">
        <f aca="false">IF(ISNUMBER(SEARCH("Facebook",J31)),"3654128","Not Facebook")</f>
        <v>3654128</v>
      </c>
      <c r="L31" s="3" t="str">
        <f aca="false">IFERROR(VLOOKUP(OFFSET(Table22,30,21,1,1),OFFSET(Table2,0,1,ROWS(Table2),8),7,0),VLOOKUP(OFFSET(Table22,30,22,1,1),Table2,8,0))</f>
        <v>AzurePlatform_FBCTCcanvaspage-BuyNowCTA-Img3_GBR_1080x162_SOC_Plat_English_NA_Standard_NA_BN_T3_1</v>
      </c>
      <c r="M31" s="2" t="n">
        <f aca="false">IFERROR(VLOOKUP(OFFSET(Table22,30,21,1,1),OFFSET(Table2,0,1,ROWS(Table2),8),8,0),VLOOKUP(OFFSET(Table22,30,22,1,1),Table2,9,0))</f>
        <v>103230847</v>
      </c>
      <c r="N31" s="15" t="s">
        <v>29</v>
      </c>
      <c r="O31" s="16" t="n">
        <v>43353</v>
      </c>
      <c r="P31" s="17" t="s">
        <v>42</v>
      </c>
      <c r="Q31" s="18" t="s">
        <v>43</v>
      </c>
      <c r="R31" s="17" t="s">
        <v>44</v>
      </c>
      <c r="S31" s="18" t="s">
        <v>45</v>
      </c>
      <c r="T31" s="17" t="s">
        <v>55</v>
      </c>
      <c r="U31" s="18" t="s">
        <v>46</v>
      </c>
      <c r="V31" s="19" t="n">
        <v>224399962</v>
      </c>
      <c r="W31" s="17" t="s">
        <v>57</v>
      </c>
      <c r="X31" s="17" t="n">
        <v>5496.92</v>
      </c>
      <c r="Y31" s="17" t="n">
        <v>1</v>
      </c>
      <c r="Z31" s="17" t="n">
        <v>78.43</v>
      </c>
      <c r="AA31" s="17" t="s">
        <v>48</v>
      </c>
      <c r="AB31" s="17" t="s">
        <v>49</v>
      </c>
    </row>
    <row r="32" customFormat="false" ht="15" hidden="false" customHeight="false" outlineLevel="0" collapsed="false">
      <c r="A32" s="1" t="str">
        <f aca="false">OFFSET(Table22,31,14,1,1)&amp;OFFSET(Table22,31,21,1,1)</f>
        <v>43353224549481</v>
      </c>
      <c r="B32" s="1" t="str">
        <f aca="false">OFFSET(Table22,31,14,1,1)&amp;OFFSET(Table22,31,22,1,1)</f>
        <v>43353Facebook»Audience &amp; Interest Targeting»1x1»SocialBan»LIA»DT»CPC»AUT»W»NA»SS»NA»Brand in Motion</v>
      </c>
      <c r="C32" s="1" t="s">
        <v>28</v>
      </c>
      <c r="D32" s="3" t="n">
        <f aca="false">O32+(7-WEEKDAY(O32))</f>
        <v>43358</v>
      </c>
      <c r="E32" s="1" t="str">
        <f aca="false">VLOOKUP(OFFSET(Table22,31,16,1,1),Key!B:D,2,0)</f>
        <v>United Kingdom</v>
      </c>
      <c r="F32" s="1" t="str">
        <f aca="false">IF(ISNUMBER(SEARCH("Canvas",U32)),"Link",IF(ISNUMBER(SEARCH("Link",U32)),"Link","Not filled properly"))</f>
        <v>Link</v>
      </c>
      <c r="G32" s="1" t="str">
        <f aca="false">IFERROR(VLOOKUP(OFFSET(Table22,31,21,1,1),OFFSET(Table2,0,1,ROWS(Table2),8),2,0),VLOOKUP(OFFSET(Table22,31,22,1,1),Table2,3,0))</f>
        <v>GBR_gaPMG_CE_AZR_Q1_19_Trial-Social</v>
      </c>
      <c r="H32" s="1" t="n">
        <f aca="false">IFERROR(VLOOKUP(OFFSET(Table22,31,21,1,1),OFFSET(Table2,0,1,ROWS(Table2),8),3,0),VLOOKUP(OFFSET(Table22,31,22,1,1),Table2,4,0))</f>
        <v>21337013</v>
      </c>
      <c r="I32" s="2" t="n">
        <f aca="false">IFERROR(VLOOKUP(OFFSET(Table22,31,21,1,1),OFFSET(Table2,0,1,ROWS(Table2),8),4,0),VLOOKUP(OFFSET(Table22,31,22,1,1),Table2,5,0))</f>
        <v>720196</v>
      </c>
      <c r="J32" s="3" t="str">
        <f aca="false">IF(ISNUMBER(SEARCH("FACEBOOK",W32)),"Facebook",IF(ISNUMBER(SEARCH("INSTAGRAM",W32)),"Facebook-Instagram","Look at taxonomy"))</f>
        <v>Facebook</v>
      </c>
      <c r="K32" s="3" t="str">
        <f aca="false">IF(ISNUMBER(SEARCH("Facebook",J32)),"3654128","Not Facebook")</f>
        <v>3654128</v>
      </c>
      <c r="L32" s="3" t="str">
        <f aca="false">IFERROR(VLOOKUP(OFFSET(Table22,31,21,1,1),OFFSET(Table2,0,1,ROWS(Table2),8),7,0),VLOOKUP(OFFSET(Table22,31,22,1,1),Table2,8,0))</f>
        <v>AzurePlatform_FBCTCcanvaspage-BuyNowCTA-Img3_GBR_1080x162_SOC_Plat_English_NA_Standard_NA_BN_T3_1</v>
      </c>
      <c r="M32" s="2" t="n">
        <f aca="false">IFERROR(VLOOKUP(OFFSET(Table22,31,21,1,1),OFFSET(Table2,0,1,ROWS(Table2),8),8,0),VLOOKUP(OFFSET(Table22,31,22,1,1),Table2,9,0))</f>
        <v>103230847</v>
      </c>
      <c r="N32" s="15" t="s">
        <v>29</v>
      </c>
      <c r="O32" s="16" t="n">
        <v>43353</v>
      </c>
      <c r="P32" s="17" t="s">
        <v>42</v>
      </c>
      <c r="Q32" s="18" t="s">
        <v>43</v>
      </c>
      <c r="R32" s="17" t="s">
        <v>44</v>
      </c>
      <c r="S32" s="18" t="s">
        <v>45</v>
      </c>
      <c r="T32" s="17" t="s">
        <v>55</v>
      </c>
      <c r="U32" s="18" t="s">
        <v>46</v>
      </c>
      <c r="V32" s="19" t="n">
        <v>224549481</v>
      </c>
      <c r="W32" s="17" t="s">
        <v>58</v>
      </c>
      <c r="X32" s="17" t="n">
        <v>5496.92</v>
      </c>
      <c r="Y32" s="17" t="n">
        <v>1</v>
      </c>
      <c r="Z32" s="17" t="n">
        <v>78.43</v>
      </c>
      <c r="AA32" s="17" t="s">
        <v>48</v>
      </c>
      <c r="AB32" s="17" t="s">
        <v>49</v>
      </c>
    </row>
    <row r="33" customFormat="false" ht="15" hidden="false" customHeight="false" outlineLevel="0" collapsed="false">
      <c r="A33" s="1" t="str">
        <f aca="false">OFFSET(Table22,32,14,1,1)&amp;OFFSET(Table22,32,21,1,1)</f>
        <v>43353227035833</v>
      </c>
      <c r="B33" s="1" t="str">
        <f aca="false">OFFSET(Table22,32,14,1,1)&amp;OFFSET(Table22,32,22,1,1)</f>
        <v>43353Facebook»Audience &amp; Interest Targeting- Azure Trial Lookalikes»1x1»TextLink»CAN»MO»CPM»AUT»W»NA»SS»NA»Free Account IT Pro- Hybrid</v>
      </c>
      <c r="C33" s="1" t="s">
        <v>28</v>
      </c>
      <c r="D33" s="3" t="n">
        <f aca="false">O33+(7-WEEKDAY(O33))</f>
        <v>43358</v>
      </c>
      <c r="E33" s="1" t="str">
        <f aca="false">VLOOKUP(OFFSET(Table22,32,16,1,1),Key!B:D,2,0)</f>
        <v>United Kingdom</v>
      </c>
      <c r="F33" s="1" t="str">
        <f aca="false">IF(ISNUMBER(SEARCH("Canvas",U33)),"Link",IF(ISNUMBER(SEARCH("Link",U33)),"Link","Not filled properly"))</f>
        <v>Link</v>
      </c>
      <c r="G33" s="1" t="str">
        <f aca="false">IFERROR(VLOOKUP(OFFSET(Table22,32,21,1,1),OFFSET(Table2,0,1,ROWS(Table2),8),2,0),VLOOKUP(OFFSET(Table22,32,22,1,1),Table2,3,0))</f>
        <v>GBR_gaPMG_CE_AZR_Q1_19_Trial-Social</v>
      </c>
      <c r="H33" s="1" t="n">
        <f aca="false">IFERROR(VLOOKUP(OFFSET(Table22,32,21,1,1),OFFSET(Table2,0,1,ROWS(Table2),8),3,0),VLOOKUP(OFFSET(Table22,32,22,1,1),Table2,4,0))</f>
        <v>21337013</v>
      </c>
      <c r="I33" s="2" t="n">
        <f aca="false">IFERROR(VLOOKUP(OFFSET(Table22,32,21,1,1),OFFSET(Table2,0,1,ROWS(Table2),8),4,0),VLOOKUP(OFFSET(Table22,32,22,1,1),Table2,5,0))</f>
        <v>720196</v>
      </c>
      <c r="J33" s="3" t="str">
        <f aca="false">IF(ISNUMBER(SEARCH("FACEBOOK",W33)),"Facebook",IF(ISNUMBER(SEARCH("INSTAGRAM",W33)),"Facebook-Instagram","Look at taxonomy"))</f>
        <v>Facebook</v>
      </c>
      <c r="K33" s="3" t="str">
        <f aca="false">IF(ISNUMBER(SEARCH("Facebook",J33)),"3654128","Not Facebook")</f>
        <v>3654128</v>
      </c>
      <c r="L33" s="3" t="str">
        <f aca="false">IFERROR(VLOOKUP(OFFSET(Table22,32,21,1,1),OFFSET(Table2,0,1,ROWS(Table2),8),7,0),VLOOKUP(OFFSET(Table22,32,22,1,1),Table2,8,0))</f>
        <v>AzurePlatform_FBCTCcanvaspage-BuyNowCTA-Img3_GBR_1080x162_SOC_Plat_English_NA_Standard_NA_BN_T3_1</v>
      </c>
      <c r="M33" s="2" t="n">
        <f aca="false">IFERROR(VLOOKUP(OFFSET(Table22,32,21,1,1),OFFSET(Table2,0,1,ROWS(Table2),8),8,0),VLOOKUP(OFFSET(Table22,32,22,1,1),Table2,9,0))</f>
        <v>103230847</v>
      </c>
      <c r="N33" s="15" t="s">
        <v>29</v>
      </c>
      <c r="O33" s="16" t="n">
        <v>43353</v>
      </c>
      <c r="P33" s="17" t="s">
        <v>42</v>
      </c>
      <c r="Q33" s="18" t="s">
        <v>43</v>
      </c>
      <c r="R33" s="17" t="s">
        <v>44</v>
      </c>
      <c r="S33" s="18" t="s">
        <v>45</v>
      </c>
      <c r="T33" s="17" t="s">
        <v>55</v>
      </c>
      <c r="U33" s="18" t="s">
        <v>46</v>
      </c>
      <c r="V33" s="19" t="n">
        <v>227035833</v>
      </c>
      <c r="W33" s="17" t="s">
        <v>59</v>
      </c>
      <c r="X33" s="17" t="n">
        <v>5496.92</v>
      </c>
      <c r="Y33" s="17" t="n">
        <v>1</v>
      </c>
      <c r="Z33" s="17" t="n">
        <v>78.43</v>
      </c>
      <c r="AA33" s="17" t="s">
        <v>48</v>
      </c>
      <c r="AB33" s="17" t="s">
        <v>49</v>
      </c>
    </row>
    <row r="34" customFormat="false" ht="15" hidden="false" customHeight="false" outlineLevel="0" collapsed="false">
      <c r="A34" s="1" t="str">
        <f aca="false">OFFSET(Table22,33,14,1,1)&amp;OFFSET(Table22,33,21,1,1)</f>
        <v>43353227035833</v>
      </c>
      <c r="B34" s="1" t="str">
        <f aca="false">OFFSET(Table22,33,14,1,1)&amp;OFFSET(Table22,33,22,1,1)</f>
        <v>43353Facebook»Audience &amp; Interest Targeting- Azure Trial Lookalikes»1x1»TextLink»CAN»MO»CPM»AUT»W»NA»SS»NA»Free Account IT Pro- Hybrid</v>
      </c>
      <c r="C34" s="1" t="s">
        <v>28</v>
      </c>
      <c r="D34" s="3" t="n">
        <f aca="false">O34+(7-WEEKDAY(O34))</f>
        <v>43358</v>
      </c>
      <c r="E34" s="1" t="str">
        <f aca="false">VLOOKUP(OFFSET(Table22,33,16,1,1),Key!B:D,2,0)</f>
        <v>United Kingdom</v>
      </c>
      <c r="F34" s="1" t="str">
        <f aca="false">IF(ISNUMBER(SEARCH("Canvas",U34)),"Link",IF(ISNUMBER(SEARCH("Link",U34)),"Link","Not filled properly"))</f>
        <v>Link</v>
      </c>
      <c r="G34" s="1" t="str">
        <f aca="false">IFERROR(VLOOKUP(OFFSET(Table22,33,21,1,1),OFFSET(Table2,0,1,ROWS(Table2),8),2,0),VLOOKUP(OFFSET(Table22,33,22,1,1),Table2,3,0))</f>
        <v>GBR_gaPMG_CE_AZR_Q1_19_Trial-Social</v>
      </c>
      <c r="H34" s="1" t="n">
        <f aca="false">IFERROR(VLOOKUP(OFFSET(Table22,33,21,1,1),OFFSET(Table2,0,1,ROWS(Table2),8),3,0),VLOOKUP(OFFSET(Table22,33,22,1,1),Table2,4,0))</f>
        <v>21337013</v>
      </c>
      <c r="I34" s="2" t="n">
        <f aca="false">IFERROR(VLOOKUP(OFFSET(Table22,33,21,1,1),OFFSET(Table2,0,1,ROWS(Table2),8),4,0),VLOOKUP(OFFSET(Table22,33,22,1,1),Table2,5,0))</f>
        <v>720196</v>
      </c>
      <c r="J34" s="3" t="str">
        <f aca="false">IF(ISNUMBER(SEARCH("FACEBOOK",W34)),"Facebook",IF(ISNUMBER(SEARCH("INSTAGRAM",W34)),"Facebook-Instagram","Look at taxonomy"))</f>
        <v>Facebook</v>
      </c>
      <c r="K34" s="3" t="str">
        <f aca="false">IF(ISNUMBER(SEARCH("Facebook",J34)),"3654128","Not Facebook")</f>
        <v>3654128</v>
      </c>
      <c r="L34" s="3" t="str">
        <f aca="false">IFERROR(VLOOKUP(OFFSET(Table22,33,21,1,1),OFFSET(Table2,0,1,ROWS(Table2),8),7,0),VLOOKUP(OFFSET(Table22,33,22,1,1),Table2,8,0))</f>
        <v>AzurePlatform_FBCTCcanvaspage-BuyNowCTA-Img3_GBR_1080x162_SOC_Plat_English_NA_Standard_NA_BN_T3_1</v>
      </c>
      <c r="M34" s="2" t="n">
        <f aca="false">IFERROR(VLOOKUP(OFFSET(Table22,33,21,1,1),OFFSET(Table2,0,1,ROWS(Table2),8),8,0),VLOOKUP(OFFSET(Table22,33,22,1,1),Table2,9,0))</f>
        <v>103230847</v>
      </c>
      <c r="N34" s="15" t="s">
        <v>29</v>
      </c>
      <c r="O34" s="16" t="n">
        <v>43353</v>
      </c>
      <c r="P34" s="17" t="s">
        <v>42</v>
      </c>
      <c r="Q34" s="18" t="s">
        <v>43</v>
      </c>
      <c r="R34" s="17" t="s">
        <v>44</v>
      </c>
      <c r="S34" s="18" t="s">
        <v>45</v>
      </c>
      <c r="T34" s="17" t="s">
        <v>55</v>
      </c>
      <c r="U34" s="18" t="s">
        <v>46</v>
      </c>
      <c r="V34" s="19" t="n">
        <v>227035833</v>
      </c>
      <c r="W34" s="17" t="s">
        <v>59</v>
      </c>
      <c r="X34" s="17" t="n">
        <v>5496.92</v>
      </c>
      <c r="Y34" s="17" t="n">
        <v>1</v>
      </c>
      <c r="Z34" s="17" t="n">
        <v>78.43</v>
      </c>
      <c r="AA34" s="17" t="s">
        <v>48</v>
      </c>
      <c r="AB34" s="17" t="s">
        <v>49</v>
      </c>
    </row>
    <row r="35" customFormat="false" ht="15" hidden="false" customHeight="false" outlineLevel="0" collapsed="false">
      <c r="A35" s="1" t="str">
        <f aca="false">OFFSET(Table22,34,14,1,1)&amp;OFFSET(Table22,34,21,1,1)</f>
        <v>43354223560299</v>
      </c>
      <c r="B35" s="1" t="str">
        <f aca="false">OFFSET(Table22,34,14,1,1)&amp;OFFSET(Table22,34,22,1,1)</f>
        <v>43354Facebook»Retargeting»1x1»SocialBan»LIA»DT»DYN»RT»W»NA»SS»NA»Free Account Retargeting Generic- Animated ChC</v>
      </c>
      <c r="C35" s="1" t="s">
        <v>28</v>
      </c>
      <c r="D35" s="3" t="n">
        <f aca="false">O35+(7-WEEKDAY(O35))</f>
        <v>43358</v>
      </c>
      <c r="E35" s="1" t="str">
        <f aca="false">VLOOKUP(OFFSET(Table22,34,16,1,1),Key!B:D,2,0)</f>
        <v>United Kingdom</v>
      </c>
      <c r="F35" s="1" t="str">
        <f aca="false">IF(ISNUMBER(SEARCH("Canvas",U35)),"Link",IF(ISNUMBER(SEARCH("Link",U35)),"Link","Not filled properly"))</f>
        <v>Link</v>
      </c>
      <c r="G35" s="1" t="str">
        <f aca="false">IFERROR(VLOOKUP(OFFSET(Table22,34,21,1,1),OFFSET(Table2,0,1,ROWS(Table2),8),2,0),VLOOKUP(OFFSET(Table22,34,22,1,1),Table2,3,0))</f>
        <v>GBR_gaPMG_CE_AZR_Q1_19_Trial-Social</v>
      </c>
      <c r="H35" s="1" t="n">
        <f aca="false">IFERROR(VLOOKUP(OFFSET(Table22,34,21,1,1),OFFSET(Table2,0,1,ROWS(Table2),8),3,0),VLOOKUP(OFFSET(Table22,34,22,1,1),Table2,4,0))</f>
        <v>21337013</v>
      </c>
      <c r="I35" s="2" t="n">
        <f aca="false">IFERROR(VLOOKUP(OFFSET(Table22,34,21,1,1),OFFSET(Table2,0,1,ROWS(Table2),8),4,0),VLOOKUP(OFFSET(Table22,34,22,1,1),Table2,5,0))</f>
        <v>720196</v>
      </c>
      <c r="J35" s="3" t="str">
        <f aca="false">IF(ISNUMBER(SEARCH("FACEBOOK",W35)),"Facebook",IF(ISNUMBER(SEARCH("INSTAGRAM",W35)),"Facebook-Instagram","Look at taxonomy"))</f>
        <v>Facebook</v>
      </c>
      <c r="K35" s="3" t="str">
        <f aca="false">IF(ISNUMBER(SEARCH("Facebook",J35)),"3654128","Not Facebook")</f>
        <v>3654128</v>
      </c>
      <c r="L35" s="3" t="str">
        <f aca="false">IFERROR(VLOOKUP(OFFSET(Table22,34,21,1,1),OFFSET(Table2,0,1,ROWS(Table2),8),7,0),VLOOKUP(OFFSET(Table22,34,22,1,1),Table2,8,0))</f>
        <v>AzurePlatform_FreeAcctRetargetingFB-Animated-ChC_GBR_1200x628_SOC_Plat_EN_Free Account_Standard_ANI_SU_T3_1</v>
      </c>
      <c r="M35" s="2" t="n">
        <f aca="false">IFERROR(VLOOKUP(OFFSET(Table22,34,21,1,1),OFFSET(Table2,0,1,ROWS(Table2),8),8,0),VLOOKUP(OFFSET(Table22,34,22,1,1),Table2,9,0))</f>
        <v>102854019</v>
      </c>
      <c r="N35" s="15" t="s">
        <v>29</v>
      </c>
      <c r="O35" s="16" t="n">
        <v>43354</v>
      </c>
      <c r="P35" s="17" t="s">
        <v>42</v>
      </c>
      <c r="Q35" s="18" t="s">
        <v>43</v>
      </c>
      <c r="R35" s="17" t="s">
        <v>44</v>
      </c>
      <c r="S35" s="18" t="s">
        <v>45</v>
      </c>
      <c r="T35" s="17" t="s">
        <v>34</v>
      </c>
      <c r="U35" s="18" t="s">
        <v>46</v>
      </c>
      <c r="V35" s="19" t="n">
        <v>223560299</v>
      </c>
      <c r="W35" s="17" t="s">
        <v>47</v>
      </c>
      <c r="X35" s="17" t="n">
        <v>514.92</v>
      </c>
      <c r="Y35" s="17" t="n">
        <v>1</v>
      </c>
      <c r="Z35" s="17" t="n">
        <v>13.4</v>
      </c>
      <c r="AA35" s="17" t="s">
        <v>48</v>
      </c>
      <c r="AB35" s="17" t="s">
        <v>49</v>
      </c>
    </row>
    <row r="36" customFormat="false" ht="15" hidden="false" customHeight="false" outlineLevel="0" collapsed="false">
      <c r="A36" s="1" t="str">
        <f aca="false">OFFSET(Table22,35,14,1,1)&amp;OFFSET(Table22,35,21,1,1)</f>
        <v>43354223560332</v>
      </c>
      <c r="B36" s="1" t="str">
        <f aca="false">OFFSET(Table22,35,14,1,1)&amp;OFFSET(Table22,35,22,1,1)</f>
        <v>43354Facebook»Retargeting»1x1»SocialBan»LIA»DT»DYN»RT»W»NA»SS»NA»Free Account Retargeting VM- On Demand ChE</v>
      </c>
      <c r="C36" s="1" t="s">
        <v>28</v>
      </c>
      <c r="D36" s="3" t="n">
        <f aca="false">O36+(7-WEEKDAY(O36))</f>
        <v>43358</v>
      </c>
      <c r="E36" s="1" t="str">
        <f aca="false">VLOOKUP(OFFSET(Table22,35,16,1,1),Key!B:D,2,0)</f>
        <v>United Kingdom</v>
      </c>
      <c r="F36" s="1" t="str">
        <f aca="false">IF(ISNUMBER(SEARCH("Canvas",U36)),"Link",IF(ISNUMBER(SEARCH("Link",U36)),"Link","Not filled properly"))</f>
        <v>Link</v>
      </c>
      <c r="G36" s="1" t="str">
        <f aca="false">IFERROR(VLOOKUP(OFFSET(Table22,35,21,1,1),OFFSET(Table2,0,1,ROWS(Table2),8),2,0),VLOOKUP(OFFSET(Table22,35,22,1,1),Table2,3,0))</f>
        <v>GBR_gaPMG_CE_AZR_Q1_19_Trial-Social</v>
      </c>
      <c r="H36" s="1" t="n">
        <f aca="false">IFERROR(VLOOKUP(OFFSET(Table22,35,21,1,1),OFFSET(Table2,0,1,ROWS(Table2),8),3,0),VLOOKUP(OFFSET(Table22,35,22,1,1),Table2,4,0))</f>
        <v>21337013</v>
      </c>
      <c r="I36" s="2" t="n">
        <f aca="false">IFERROR(VLOOKUP(OFFSET(Table22,35,21,1,1),OFFSET(Table2,0,1,ROWS(Table2),8),4,0),VLOOKUP(OFFSET(Table22,35,22,1,1),Table2,5,0))</f>
        <v>720196</v>
      </c>
      <c r="J36" s="3" t="str">
        <f aca="false">IF(ISNUMBER(SEARCH("FACEBOOK",W36)),"Facebook",IF(ISNUMBER(SEARCH("INSTAGRAM",W36)),"Facebook-Instagram","Look at taxonomy"))</f>
        <v>Facebook</v>
      </c>
      <c r="K36" s="3" t="str">
        <f aca="false">IF(ISNUMBER(SEARCH("Facebook",J36)),"3654128","Not Facebook")</f>
        <v>3654128</v>
      </c>
      <c r="L36" s="3" t="str">
        <f aca="false">IFERROR(VLOOKUP(OFFSET(Table22,35,21,1,1),OFFSET(Table2,0,1,ROWS(Table2),8),7,0),VLOOKUP(OFFSET(Table22,35,22,1,1),Table2,8,0))</f>
        <v>AzurePlatform_FreeAcctRetargetingVMFB-OnDemand-ChE_GBR_1200x628_SOC_Plat_EN_Free Account_Standard_NA_SU_T2_1</v>
      </c>
      <c r="M36" s="2" t="n">
        <f aca="false">IFERROR(VLOOKUP(OFFSET(Table22,35,21,1,1),OFFSET(Table2,0,1,ROWS(Table2),8),8,0),VLOOKUP(OFFSET(Table22,35,22,1,1),Table2,9,0))</f>
        <v>102854037</v>
      </c>
      <c r="N36" s="15" t="s">
        <v>29</v>
      </c>
      <c r="O36" s="16" t="n">
        <v>43354</v>
      </c>
      <c r="P36" s="17" t="s">
        <v>42</v>
      </c>
      <c r="Q36" s="18" t="s">
        <v>43</v>
      </c>
      <c r="R36" s="17" t="s">
        <v>44</v>
      </c>
      <c r="S36" s="18" t="s">
        <v>45</v>
      </c>
      <c r="T36" s="17" t="s">
        <v>34</v>
      </c>
      <c r="U36" s="18" t="s">
        <v>46</v>
      </c>
      <c r="V36" s="19" t="n">
        <v>223560332</v>
      </c>
      <c r="W36" s="17" t="s">
        <v>50</v>
      </c>
      <c r="X36" s="17" t="n">
        <v>514.92</v>
      </c>
      <c r="Y36" s="17" t="n">
        <v>2</v>
      </c>
      <c r="Z36" s="17" t="n">
        <v>13.4</v>
      </c>
      <c r="AA36" s="17" t="s">
        <v>48</v>
      </c>
      <c r="AB36" s="17" t="s">
        <v>49</v>
      </c>
    </row>
    <row r="37" customFormat="false" ht="15" hidden="false" customHeight="false" outlineLevel="0" collapsed="false">
      <c r="A37" s="1" t="str">
        <f aca="false">OFFSET(Table22,36,14,1,1)&amp;OFFSET(Table22,36,21,1,1)</f>
        <v>43354223560338</v>
      </c>
      <c r="B37" s="1" t="str">
        <f aca="false">OFFSET(Table22,36,14,1,1)&amp;OFFSET(Table22,36,22,1,1)</f>
        <v>43354Facebook»Retargeting»1x1»SocialBan»LIA»DT»DYN»RT»W»NA»SS»NA»Free Account Retargeting VM- 750 Hrs ChD</v>
      </c>
      <c r="C37" s="1" t="s">
        <v>28</v>
      </c>
      <c r="D37" s="3" t="n">
        <f aca="false">O37+(7-WEEKDAY(O37))</f>
        <v>43358</v>
      </c>
      <c r="E37" s="1" t="str">
        <f aca="false">VLOOKUP(OFFSET(Table22,36,16,1,1),Key!B:D,2,0)</f>
        <v>United Kingdom</v>
      </c>
      <c r="F37" s="1" t="str">
        <f aca="false">IF(ISNUMBER(SEARCH("Canvas",U37)),"Link",IF(ISNUMBER(SEARCH("Link",U37)),"Link","Not filled properly"))</f>
        <v>Link</v>
      </c>
      <c r="G37" s="1" t="str">
        <f aca="false">IFERROR(VLOOKUP(OFFSET(Table22,36,21,1,1),OFFSET(Table2,0,1,ROWS(Table2),8),2,0),VLOOKUP(OFFSET(Table22,36,22,1,1),Table2,3,0))</f>
        <v>GBR_gaPMG_CE_AZR_Q1_19_Trial-Social</v>
      </c>
      <c r="H37" s="1" t="n">
        <f aca="false">IFERROR(VLOOKUP(OFFSET(Table22,36,21,1,1),OFFSET(Table2,0,1,ROWS(Table2),8),3,0),VLOOKUP(OFFSET(Table22,36,22,1,1),Table2,4,0))</f>
        <v>21337013</v>
      </c>
      <c r="I37" s="2" t="n">
        <f aca="false">IFERROR(VLOOKUP(OFFSET(Table22,36,21,1,1),OFFSET(Table2,0,1,ROWS(Table2),8),4,0),VLOOKUP(OFFSET(Table22,36,22,1,1),Table2,5,0))</f>
        <v>720196</v>
      </c>
      <c r="J37" s="3" t="str">
        <f aca="false">IF(ISNUMBER(SEARCH("FACEBOOK",W37)),"Facebook",IF(ISNUMBER(SEARCH("INSTAGRAM",W37)),"Facebook-Instagram","Look at taxonomy"))</f>
        <v>Facebook</v>
      </c>
      <c r="K37" s="3" t="str">
        <f aca="false">IF(ISNUMBER(SEARCH("Facebook",J37)),"3654128","Not Facebook")</f>
        <v>3654128</v>
      </c>
      <c r="L37" s="3" t="str">
        <f aca="false">IFERROR(VLOOKUP(OFFSET(Table22,36,21,1,1),OFFSET(Table2,0,1,ROWS(Table2),8),7,0),VLOOKUP(OFFSET(Table22,36,22,1,1),Table2,8,0))</f>
        <v>AzurePlatform_FreeAcctRetargetingVMFB-750Hrs-ChD_GBR_1200x628_SOC_Plat_EN_Free Account_Standard_NA_SU_T1_1</v>
      </c>
      <c r="M37" s="2" t="n">
        <f aca="false">IFERROR(VLOOKUP(OFFSET(Table22,36,21,1,1),OFFSET(Table2,0,1,ROWS(Table2),8),8,0),VLOOKUP(OFFSET(Table22,36,22,1,1),Table2,9,0))</f>
        <v>102853603</v>
      </c>
      <c r="N37" s="15" t="s">
        <v>29</v>
      </c>
      <c r="O37" s="16" t="n">
        <v>43354</v>
      </c>
      <c r="P37" s="17" t="s">
        <v>42</v>
      </c>
      <c r="Q37" s="18" t="s">
        <v>43</v>
      </c>
      <c r="R37" s="17" t="s">
        <v>44</v>
      </c>
      <c r="S37" s="18" t="s">
        <v>45</v>
      </c>
      <c r="T37" s="17" t="s">
        <v>34</v>
      </c>
      <c r="U37" s="18" t="s">
        <v>46</v>
      </c>
      <c r="V37" s="19" t="n">
        <v>223560338</v>
      </c>
      <c r="W37" s="17" t="s">
        <v>51</v>
      </c>
      <c r="X37" s="17" t="n">
        <v>514.92</v>
      </c>
      <c r="Y37" s="17" t="n">
        <v>1</v>
      </c>
      <c r="Z37" s="17" t="n">
        <v>13.4</v>
      </c>
      <c r="AA37" s="17" t="s">
        <v>48</v>
      </c>
      <c r="AB37" s="17" t="s">
        <v>49</v>
      </c>
    </row>
    <row r="38" customFormat="false" ht="15" hidden="false" customHeight="false" outlineLevel="0" collapsed="false">
      <c r="A38" s="1" t="str">
        <f aca="false">OFFSET(Table22,37,14,1,1)&amp;OFFSET(Table22,37,21,1,1)</f>
        <v>43354223560344</v>
      </c>
      <c r="B38" s="1" t="str">
        <f aca="false">OFFSET(Table22,37,14,1,1)&amp;OFFSET(Table22,37,22,1,1)</f>
        <v>43354Facebook»Retargeting»1x1»SocialBan»LIA»DT»DYN»RT»W»NA»SS»NA»Free Account Retargeting OSS- Text ChF</v>
      </c>
      <c r="C38" s="1" t="s">
        <v>28</v>
      </c>
      <c r="D38" s="3" t="n">
        <f aca="false">O38+(7-WEEKDAY(O38))</f>
        <v>43358</v>
      </c>
      <c r="E38" s="1" t="str">
        <f aca="false">VLOOKUP(OFFSET(Table22,37,16,1,1),Key!B:D,2,0)</f>
        <v>United Kingdom</v>
      </c>
      <c r="F38" s="1" t="str">
        <f aca="false">IF(ISNUMBER(SEARCH("Canvas",U38)),"Link",IF(ISNUMBER(SEARCH("Link",U38)),"Link","Not filled properly"))</f>
        <v>Link</v>
      </c>
      <c r="G38" s="1" t="str">
        <f aca="false">IFERROR(VLOOKUP(OFFSET(Table22,37,21,1,1),OFFSET(Table2,0,1,ROWS(Table2),8),2,0),VLOOKUP(OFFSET(Table22,37,22,1,1),Table2,3,0))</f>
        <v>GBR_gaPMG_CE_AZR_Q1_19_Trial-Social</v>
      </c>
      <c r="H38" s="1" t="n">
        <f aca="false">IFERROR(VLOOKUP(OFFSET(Table22,37,21,1,1),OFFSET(Table2,0,1,ROWS(Table2),8),3,0),VLOOKUP(OFFSET(Table22,37,22,1,1),Table2,4,0))</f>
        <v>21337013</v>
      </c>
      <c r="I38" s="2" t="n">
        <f aca="false">IFERROR(VLOOKUP(OFFSET(Table22,37,21,1,1),OFFSET(Table2,0,1,ROWS(Table2),8),4,0),VLOOKUP(OFFSET(Table22,37,22,1,1),Table2,5,0))</f>
        <v>720196</v>
      </c>
      <c r="J38" s="3" t="str">
        <f aca="false">IF(ISNUMBER(SEARCH("FACEBOOK",W38)),"Facebook",IF(ISNUMBER(SEARCH("INSTAGRAM",W38)),"Facebook-Instagram","Look at taxonomy"))</f>
        <v>Facebook</v>
      </c>
      <c r="K38" s="3" t="str">
        <f aca="false">IF(ISNUMBER(SEARCH("Facebook",J38)),"3654128","Not Facebook")</f>
        <v>3654128</v>
      </c>
      <c r="L38" s="3" t="str">
        <f aca="false">IFERROR(VLOOKUP(OFFSET(Table22,37,21,1,1),OFFSET(Table2,0,1,ROWS(Table2),8),7,0),VLOOKUP(OFFSET(Table22,37,22,1,1),Table2,8,0))</f>
        <v>AzurePlatform_FreeAcctRetargetingOSSFB-Text-ChF_GBR_1200x628_SOC_Plat_EN_Free Account_Standard_NA_SU_T1_1</v>
      </c>
      <c r="M38" s="2" t="n">
        <f aca="false">IFERROR(VLOOKUP(OFFSET(Table22,37,21,1,1),OFFSET(Table2,0,1,ROWS(Table2),8),8,0),VLOOKUP(OFFSET(Table22,37,22,1,1),Table2,9,0))</f>
        <v>102861246</v>
      </c>
      <c r="N38" s="15" t="s">
        <v>29</v>
      </c>
      <c r="O38" s="16" t="n">
        <v>43354</v>
      </c>
      <c r="P38" s="17" t="s">
        <v>42</v>
      </c>
      <c r="Q38" s="18" t="s">
        <v>43</v>
      </c>
      <c r="R38" s="17" t="s">
        <v>44</v>
      </c>
      <c r="S38" s="18" t="s">
        <v>45</v>
      </c>
      <c r="T38" s="17" t="s">
        <v>34</v>
      </c>
      <c r="U38" s="18" t="s">
        <v>46</v>
      </c>
      <c r="V38" s="19" t="n">
        <v>223560344</v>
      </c>
      <c r="W38" s="17" t="s">
        <v>52</v>
      </c>
      <c r="X38" s="17" t="n">
        <v>514.92</v>
      </c>
      <c r="Y38" s="17" t="n">
        <v>3</v>
      </c>
      <c r="Z38" s="17" t="n">
        <v>13.4</v>
      </c>
      <c r="AA38" s="17" t="s">
        <v>48</v>
      </c>
      <c r="AB38" s="17" t="s">
        <v>49</v>
      </c>
    </row>
    <row r="39" customFormat="false" ht="15" hidden="false" customHeight="false" outlineLevel="0" collapsed="false">
      <c r="A39" s="1" t="str">
        <f aca="false">OFFSET(Table22,38,14,1,1)&amp;OFFSET(Table22,38,21,1,1)</f>
        <v>43354223560350</v>
      </c>
      <c r="B39" s="1" t="str">
        <f aca="false">OFFSET(Table22,38,14,1,1)&amp;OFFSET(Table22,38,22,1,1)</f>
        <v>43354Facebook»Retargeting»1x1»SocialBan»LIA»DT»DYN»RT»W»NA»SS»NA»Free Account Retargeting OSS- Logos ChG</v>
      </c>
      <c r="C39" s="1" t="s">
        <v>28</v>
      </c>
      <c r="D39" s="3" t="n">
        <f aca="false">O39+(7-WEEKDAY(O39))</f>
        <v>43358</v>
      </c>
      <c r="E39" s="1" t="str">
        <f aca="false">VLOOKUP(OFFSET(Table22,38,16,1,1),Key!B:D,2,0)</f>
        <v>United Kingdom</v>
      </c>
      <c r="F39" s="1" t="str">
        <f aca="false">IF(ISNUMBER(SEARCH("Canvas",U39)),"Link",IF(ISNUMBER(SEARCH("Link",U39)),"Link","Not filled properly"))</f>
        <v>Link</v>
      </c>
      <c r="G39" s="1" t="str">
        <f aca="false">IFERROR(VLOOKUP(OFFSET(Table22,38,21,1,1),OFFSET(Table2,0,1,ROWS(Table2),8),2,0),VLOOKUP(OFFSET(Table22,38,22,1,1),Table2,3,0))</f>
        <v>GBR_gaPMG_CE_AZR_Q1_19_Trial-Social</v>
      </c>
      <c r="H39" s="1" t="n">
        <f aca="false">IFERROR(VLOOKUP(OFFSET(Table22,38,21,1,1),OFFSET(Table2,0,1,ROWS(Table2),8),3,0),VLOOKUP(OFFSET(Table22,38,22,1,1),Table2,4,0))</f>
        <v>21337013</v>
      </c>
      <c r="I39" s="2" t="n">
        <f aca="false">IFERROR(VLOOKUP(OFFSET(Table22,38,21,1,1),OFFSET(Table2,0,1,ROWS(Table2),8),4,0),VLOOKUP(OFFSET(Table22,38,22,1,1),Table2,5,0))</f>
        <v>720196</v>
      </c>
      <c r="J39" s="3" t="str">
        <f aca="false">IF(ISNUMBER(SEARCH("FACEBOOK",W39)),"Facebook",IF(ISNUMBER(SEARCH("INSTAGRAM",W39)),"Facebook-Instagram","Look at taxonomy"))</f>
        <v>Facebook</v>
      </c>
      <c r="K39" s="3" t="str">
        <f aca="false">IF(ISNUMBER(SEARCH("Facebook",J39)),"3654128","Not Facebook")</f>
        <v>3654128</v>
      </c>
      <c r="L39" s="3" t="str">
        <f aca="false">IFERROR(VLOOKUP(OFFSET(Table22,38,21,1,1),OFFSET(Table2,0,1,ROWS(Table2),8),7,0),VLOOKUP(OFFSET(Table22,38,22,1,1),Table2,8,0))</f>
        <v>AzurePlatform_FreeAcctRetargetingOSSFB-Logos-ChG_GBR_1200x628_SOC_Plat_EN_Free Account_Standard_NA_SU_T2_1</v>
      </c>
      <c r="M39" s="2" t="n">
        <f aca="false">IFERROR(VLOOKUP(OFFSET(Table22,38,21,1,1),OFFSET(Table2,0,1,ROWS(Table2),8),8,0),VLOOKUP(OFFSET(Table22,38,22,1,1),Table2,9,0))</f>
        <v>103006547</v>
      </c>
      <c r="N39" s="15" t="s">
        <v>29</v>
      </c>
      <c r="O39" s="16" t="n">
        <v>43354</v>
      </c>
      <c r="P39" s="17" t="s">
        <v>42</v>
      </c>
      <c r="Q39" s="18" t="s">
        <v>43</v>
      </c>
      <c r="R39" s="17" t="s">
        <v>44</v>
      </c>
      <c r="S39" s="18" t="s">
        <v>45</v>
      </c>
      <c r="T39" s="17" t="s">
        <v>34</v>
      </c>
      <c r="U39" s="18" t="s">
        <v>46</v>
      </c>
      <c r="V39" s="19" t="n">
        <v>223560350</v>
      </c>
      <c r="W39" s="17" t="s">
        <v>53</v>
      </c>
      <c r="X39" s="17" t="n">
        <v>514.92</v>
      </c>
      <c r="Y39" s="17" t="n">
        <v>1</v>
      </c>
      <c r="Z39" s="17" t="n">
        <v>13.4</v>
      </c>
      <c r="AA39" s="17" t="s">
        <v>48</v>
      </c>
      <c r="AB39" s="17" t="s">
        <v>49</v>
      </c>
    </row>
    <row r="40" customFormat="false" ht="15" hidden="false" customHeight="false" outlineLevel="0" collapsed="false">
      <c r="A40" s="1" t="str">
        <f aca="false">OFFSET(Table22,39,14,1,1)&amp;OFFSET(Table22,39,21,1,1)</f>
        <v>43354223560356</v>
      </c>
      <c r="B40" s="1" t="str">
        <f aca="false">OFFSET(Table22,39,14,1,1)&amp;OFFSET(Table22,39,22,1,1)</f>
        <v>43354Facebook»Retargeting»1x1»SocialBan»LIA»DT»DYN»RT»W»NA»SS»NA»Free Account Retargeting Generic- Global Alt ChB</v>
      </c>
      <c r="C40" s="1" t="s">
        <v>28</v>
      </c>
      <c r="D40" s="3" t="n">
        <f aca="false">O40+(7-WEEKDAY(O40))</f>
        <v>43358</v>
      </c>
      <c r="E40" s="1" t="str">
        <f aca="false">VLOOKUP(OFFSET(Table22,39,16,1,1),Key!B:D,2,0)</f>
        <v>United Kingdom</v>
      </c>
      <c r="F40" s="1" t="str">
        <f aca="false">IF(ISNUMBER(SEARCH("Canvas",U40)),"Link",IF(ISNUMBER(SEARCH("Link",U40)),"Link","Not filled properly"))</f>
        <v>Link</v>
      </c>
      <c r="G40" s="1" t="str">
        <f aca="false">IFERROR(VLOOKUP(OFFSET(Table22,39,21,1,1),OFFSET(Table2,0,1,ROWS(Table2),8),2,0),VLOOKUP(OFFSET(Table22,39,22,1,1),Table2,3,0))</f>
        <v>GBR_gaPMG_CE_AZR_Q1_19_Trial-Social</v>
      </c>
      <c r="H40" s="1" t="n">
        <f aca="false">IFERROR(VLOOKUP(OFFSET(Table22,39,21,1,1),OFFSET(Table2,0,1,ROWS(Table2),8),3,0),VLOOKUP(OFFSET(Table22,39,22,1,1),Table2,4,0))</f>
        <v>21337013</v>
      </c>
      <c r="I40" s="2" t="n">
        <f aca="false">IFERROR(VLOOKUP(OFFSET(Table22,39,21,1,1),OFFSET(Table2,0,1,ROWS(Table2),8),4,0),VLOOKUP(OFFSET(Table22,39,22,1,1),Table2,5,0))</f>
        <v>720196</v>
      </c>
      <c r="J40" s="3" t="str">
        <f aca="false">IF(ISNUMBER(SEARCH("FACEBOOK",W40)),"Facebook",IF(ISNUMBER(SEARCH("INSTAGRAM",W40)),"Facebook-Instagram","Look at taxonomy"))</f>
        <v>Facebook</v>
      </c>
      <c r="K40" s="3" t="str">
        <f aca="false">IF(ISNUMBER(SEARCH("Facebook",J40)),"3654128","Not Facebook")</f>
        <v>3654128</v>
      </c>
      <c r="L40" s="3" t="str">
        <f aca="false">IFERROR(VLOOKUP(OFFSET(Table22,39,21,1,1),OFFSET(Table2,0,1,ROWS(Table2),8),7,0),VLOOKUP(OFFSET(Table22,39,22,1,1),Table2,8,0))</f>
        <v>AzurePlatform_FreeAcctRetargetingFB-GlobalAlt-ChB_GBR_1200x628_SOC_Plat_EN_Free Account_Standard_NA_SU_T2_1</v>
      </c>
      <c r="M40" s="2" t="n">
        <f aca="false">IFERROR(VLOOKUP(OFFSET(Table22,39,21,1,1),OFFSET(Table2,0,1,ROWS(Table2),8),8,0),VLOOKUP(OFFSET(Table22,39,22,1,1),Table2,9,0))</f>
        <v>102854016</v>
      </c>
      <c r="N40" s="15" t="s">
        <v>29</v>
      </c>
      <c r="O40" s="16" t="n">
        <v>43354</v>
      </c>
      <c r="P40" s="17" t="s">
        <v>42</v>
      </c>
      <c r="Q40" s="18" t="s">
        <v>43</v>
      </c>
      <c r="R40" s="17" t="s">
        <v>44</v>
      </c>
      <c r="S40" s="18" t="s">
        <v>45</v>
      </c>
      <c r="T40" s="17" t="s">
        <v>34</v>
      </c>
      <c r="U40" s="18" t="s">
        <v>46</v>
      </c>
      <c r="V40" s="19" t="n">
        <v>223560356</v>
      </c>
      <c r="W40" s="17" t="s">
        <v>54</v>
      </c>
      <c r="X40" s="17" t="n">
        <v>514.92</v>
      </c>
      <c r="Y40" s="17" t="n">
        <v>1</v>
      </c>
      <c r="Z40" s="17" t="n">
        <v>13.4</v>
      </c>
      <c r="AA40" s="17" t="s">
        <v>48</v>
      </c>
      <c r="AB40" s="17" t="s">
        <v>49</v>
      </c>
    </row>
    <row r="41" customFormat="false" ht="15" hidden="false" customHeight="false" outlineLevel="0" collapsed="false">
      <c r="A41" s="1" t="str">
        <f aca="false">OFFSET(Table22,40,14,1,1)&amp;OFFSET(Table22,40,21,1,1)</f>
        <v>43354224334170</v>
      </c>
      <c r="B41" s="1" t="str">
        <f aca="false">OFFSET(Table22,40,14,1,1)&amp;OFFSET(Table22,40,22,1,1)</f>
        <v>43354Facebook»Audience &amp; Interest Targeting»1x1»SocialBan»LIA»DT»CPC»AUT»W»NA»SS»NA»Benefit 2 in Motion</v>
      </c>
      <c r="C41" s="1" t="s">
        <v>28</v>
      </c>
      <c r="D41" s="3" t="n">
        <f aca="false">O41+(7-WEEKDAY(O41))</f>
        <v>43358</v>
      </c>
      <c r="E41" s="1" t="str">
        <f aca="false">VLOOKUP(OFFSET(Table22,40,16,1,1),Key!B:D,2,0)</f>
        <v>United Kingdom</v>
      </c>
      <c r="F41" s="1" t="str">
        <f aca="false">IF(ISNUMBER(SEARCH("Canvas",U41)),"Link",IF(ISNUMBER(SEARCH("Link",U41)),"Link","Not filled properly"))</f>
        <v>Link</v>
      </c>
      <c r="G41" s="1" t="str">
        <f aca="false">IFERROR(VLOOKUP(OFFSET(Table22,40,21,1,1),OFFSET(Table2,0,1,ROWS(Table2),8),2,0),VLOOKUP(OFFSET(Table22,40,22,1,1),Table2,3,0))</f>
        <v>GBR_gaPMG_CE_AZR_Q1_19_Trial-Social</v>
      </c>
      <c r="H41" s="1" t="n">
        <f aca="false">IFERROR(VLOOKUP(OFFSET(Table22,40,21,1,1),OFFSET(Table2,0,1,ROWS(Table2),8),3,0),VLOOKUP(OFFSET(Table22,40,22,1,1),Table2,4,0))</f>
        <v>21337013</v>
      </c>
      <c r="I41" s="2" t="n">
        <f aca="false">IFERROR(VLOOKUP(OFFSET(Table22,40,21,1,1),OFFSET(Table2,0,1,ROWS(Table2),8),4,0),VLOOKUP(OFFSET(Table22,40,22,1,1),Table2,5,0))</f>
        <v>720196</v>
      </c>
      <c r="J41" s="3" t="str">
        <f aca="false">IF(ISNUMBER(SEARCH("FACEBOOK",W41)),"Facebook",IF(ISNUMBER(SEARCH("INSTAGRAM",W41)),"Facebook-Instagram","Look at taxonomy"))</f>
        <v>Facebook</v>
      </c>
      <c r="K41" s="3" t="str">
        <f aca="false">IF(ISNUMBER(SEARCH("Facebook",J41)),"3654128","Not Facebook")</f>
        <v>3654128</v>
      </c>
      <c r="L41" s="3" t="str">
        <f aca="false">IFERROR(VLOOKUP(OFFSET(Table22,40,21,1,1),OFFSET(Table2,0,1,ROWS(Table2),8),7,0),VLOOKUP(OFFSET(Table22,40,22,1,1),Table2,8,0))</f>
        <v>AzurePlatform_FBCTCcanvaspage-BuyNowCTA-Img3_GBR_1080x162_SOC_Plat_English_NA_Standard_NA_BN_T3_1</v>
      </c>
      <c r="M41" s="2" t="n">
        <f aca="false">IFERROR(VLOOKUP(OFFSET(Table22,40,21,1,1),OFFSET(Table2,0,1,ROWS(Table2),8),8,0),VLOOKUP(OFFSET(Table22,40,22,1,1),Table2,9,0))</f>
        <v>103230847</v>
      </c>
      <c r="N41" s="15" t="s">
        <v>29</v>
      </c>
      <c r="O41" s="16" t="n">
        <v>43354</v>
      </c>
      <c r="P41" s="17" t="s">
        <v>42</v>
      </c>
      <c r="Q41" s="18" t="s">
        <v>43</v>
      </c>
      <c r="R41" s="17" t="s">
        <v>44</v>
      </c>
      <c r="S41" s="18" t="s">
        <v>45</v>
      </c>
      <c r="T41" s="17" t="s">
        <v>55</v>
      </c>
      <c r="U41" s="18" t="s">
        <v>46</v>
      </c>
      <c r="V41" s="19" t="n">
        <v>224334170</v>
      </c>
      <c r="W41" s="17" t="s">
        <v>56</v>
      </c>
      <c r="X41" s="17" t="n">
        <v>5496.92</v>
      </c>
      <c r="Y41" s="17" t="n">
        <v>2</v>
      </c>
      <c r="Z41" s="17" t="n">
        <v>78.43</v>
      </c>
      <c r="AA41" s="17" t="s">
        <v>48</v>
      </c>
      <c r="AB41" s="17" t="s">
        <v>49</v>
      </c>
    </row>
    <row r="42" customFormat="false" ht="15" hidden="false" customHeight="false" outlineLevel="0" collapsed="false">
      <c r="A42" s="1" t="str">
        <f aca="false">OFFSET(Table22,41,14,1,1)&amp;OFFSET(Table22,41,21,1,1)</f>
        <v>43354224399962</v>
      </c>
      <c r="B42" s="1" t="str">
        <f aca="false">OFFSET(Table22,41,14,1,1)&amp;OFFSET(Table22,41,22,1,1)</f>
        <v>43354Facebook»Audience &amp; Interest Targeting»1x1»SocialBan»LIA»DT»CPC»AUT»W»NA»SS»NA»Basic Motion</v>
      </c>
      <c r="C42" s="1" t="s">
        <v>28</v>
      </c>
      <c r="D42" s="3" t="n">
        <f aca="false">O42+(7-WEEKDAY(O42))</f>
        <v>43358</v>
      </c>
      <c r="E42" s="1" t="str">
        <f aca="false">VLOOKUP(OFFSET(Table22,41,16,1,1),Key!B:D,2,0)</f>
        <v>United Kingdom</v>
      </c>
      <c r="F42" s="1" t="str">
        <f aca="false">IF(ISNUMBER(SEARCH("Canvas",U42)),"Link",IF(ISNUMBER(SEARCH("Link",U42)),"Link","Not filled properly"))</f>
        <v>Link</v>
      </c>
      <c r="G42" s="1" t="str">
        <f aca="false">IFERROR(VLOOKUP(OFFSET(Table22,41,21,1,1),OFFSET(Table2,0,1,ROWS(Table2),8),2,0),VLOOKUP(OFFSET(Table22,41,22,1,1),Table2,3,0))</f>
        <v>GBR_gaPMG_CE_AZR_Q1_19_Trial-Social</v>
      </c>
      <c r="H42" s="1" t="n">
        <f aca="false">IFERROR(VLOOKUP(OFFSET(Table22,41,21,1,1),OFFSET(Table2,0,1,ROWS(Table2),8),3,0),VLOOKUP(OFFSET(Table22,41,22,1,1),Table2,4,0))</f>
        <v>21337013</v>
      </c>
      <c r="I42" s="2" t="n">
        <f aca="false">IFERROR(VLOOKUP(OFFSET(Table22,41,21,1,1),OFFSET(Table2,0,1,ROWS(Table2),8),4,0),VLOOKUP(OFFSET(Table22,41,22,1,1),Table2,5,0))</f>
        <v>720196</v>
      </c>
      <c r="J42" s="3" t="str">
        <f aca="false">IF(ISNUMBER(SEARCH("FACEBOOK",W42)),"Facebook",IF(ISNUMBER(SEARCH("INSTAGRAM",W42)),"Facebook-Instagram","Look at taxonomy"))</f>
        <v>Facebook</v>
      </c>
      <c r="K42" s="3" t="str">
        <f aca="false">IF(ISNUMBER(SEARCH("Facebook",J42)),"3654128","Not Facebook")</f>
        <v>3654128</v>
      </c>
      <c r="L42" s="3" t="str">
        <f aca="false">IFERROR(VLOOKUP(OFFSET(Table22,41,21,1,1),OFFSET(Table2,0,1,ROWS(Table2),8),7,0),VLOOKUP(OFFSET(Table22,41,22,1,1),Table2,8,0))</f>
        <v>AzurePlatform_FBCTCcanvaspage-BuyNowCTA-Img3_GBR_1080x162_SOC_Plat_English_NA_Standard_NA_BN_T3_1</v>
      </c>
      <c r="M42" s="2" t="n">
        <f aca="false">IFERROR(VLOOKUP(OFFSET(Table22,41,21,1,1),OFFSET(Table2,0,1,ROWS(Table2),8),8,0),VLOOKUP(OFFSET(Table22,41,22,1,1),Table2,9,0))</f>
        <v>103230847</v>
      </c>
      <c r="N42" s="15" t="s">
        <v>29</v>
      </c>
      <c r="O42" s="16" t="n">
        <v>43354</v>
      </c>
      <c r="P42" s="17" t="s">
        <v>42</v>
      </c>
      <c r="Q42" s="18" t="s">
        <v>43</v>
      </c>
      <c r="R42" s="17" t="s">
        <v>44</v>
      </c>
      <c r="S42" s="18" t="s">
        <v>45</v>
      </c>
      <c r="T42" s="17" t="s">
        <v>55</v>
      </c>
      <c r="U42" s="18" t="s">
        <v>46</v>
      </c>
      <c r="V42" s="19" t="n">
        <v>224399962</v>
      </c>
      <c r="W42" s="17" t="s">
        <v>57</v>
      </c>
      <c r="X42" s="17" t="n">
        <v>5496.92</v>
      </c>
      <c r="Y42" s="17" t="n">
        <v>1</v>
      </c>
      <c r="Z42" s="17" t="n">
        <v>78.43</v>
      </c>
      <c r="AA42" s="17" t="s">
        <v>48</v>
      </c>
      <c r="AB42" s="17" t="s">
        <v>49</v>
      </c>
    </row>
    <row r="43" customFormat="false" ht="15" hidden="false" customHeight="false" outlineLevel="0" collapsed="false">
      <c r="A43" s="1" t="str">
        <f aca="false">OFFSET(Table22,42,14,1,1)&amp;OFFSET(Table22,42,21,1,1)</f>
        <v>43354224399962</v>
      </c>
      <c r="B43" s="1" t="str">
        <f aca="false">OFFSET(Table22,42,14,1,1)&amp;OFFSET(Table22,42,22,1,1)</f>
        <v>43354Facebook»Audience &amp; Interest Targeting»1x1»SocialBan»LIA»DT»CPC»AUT»W»NA»SS»NA»Basic Motion</v>
      </c>
      <c r="C43" s="1" t="s">
        <v>28</v>
      </c>
      <c r="D43" s="3" t="n">
        <f aca="false">O43+(7-WEEKDAY(O43))</f>
        <v>43358</v>
      </c>
      <c r="E43" s="1" t="str">
        <f aca="false">VLOOKUP(OFFSET(Table22,42,16,1,1),Key!B:D,2,0)</f>
        <v>United Kingdom</v>
      </c>
      <c r="F43" s="1" t="str">
        <f aca="false">IF(ISNUMBER(SEARCH("Canvas",U43)),"Link",IF(ISNUMBER(SEARCH("Link",U43)),"Link","Not filled properly"))</f>
        <v>Link</v>
      </c>
      <c r="G43" s="1" t="str">
        <f aca="false">IFERROR(VLOOKUP(OFFSET(Table22,42,21,1,1),OFFSET(Table2,0,1,ROWS(Table2),8),2,0),VLOOKUP(OFFSET(Table22,42,22,1,1),Table2,3,0))</f>
        <v>GBR_gaPMG_CE_AZR_Q1_19_Trial-Social</v>
      </c>
      <c r="H43" s="1" t="n">
        <f aca="false">IFERROR(VLOOKUP(OFFSET(Table22,42,21,1,1),OFFSET(Table2,0,1,ROWS(Table2),8),3,0),VLOOKUP(OFFSET(Table22,42,22,1,1),Table2,4,0))</f>
        <v>21337013</v>
      </c>
      <c r="I43" s="2" t="n">
        <f aca="false">IFERROR(VLOOKUP(OFFSET(Table22,42,21,1,1),OFFSET(Table2,0,1,ROWS(Table2),8),4,0),VLOOKUP(OFFSET(Table22,42,22,1,1),Table2,5,0))</f>
        <v>720196</v>
      </c>
      <c r="J43" s="3" t="str">
        <f aca="false">IF(ISNUMBER(SEARCH("FACEBOOK",W43)),"Facebook",IF(ISNUMBER(SEARCH("INSTAGRAM",W43)),"Facebook-Instagram","Look at taxonomy"))</f>
        <v>Facebook</v>
      </c>
      <c r="K43" s="3" t="str">
        <f aca="false">IF(ISNUMBER(SEARCH("Facebook",J43)),"3654128","Not Facebook")</f>
        <v>3654128</v>
      </c>
      <c r="L43" s="3" t="str">
        <f aca="false">IFERROR(VLOOKUP(OFFSET(Table22,42,21,1,1),OFFSET(Table2,0,1,ROWS(Table2),8),7,0),VLOOKUP(OFFSET(Table22,42,22,1,1),Table2,8,0))</f>
        <v>AzurePlatform_FBCTCcanvaspage-BuyNowCTA-Img3_GBR_1080x162_SOC_Plat_English_NA_Standard_NA_BN_T3_1</v>
      </c>
      <c r="M43" s="2" t="n">
        <f aca="false">IFERROR(VLOOKUP(OFFSET(Table22,42,21,1,1),OFFSET(Table2,0,1,ROWS(Table2),8),8,0),VLOOKUP(OFFSET(Table22,42,22,1,1),Table2,9,0))</f>
        <v>103230847</v>
      </c>
      <c r="N43" s="15" t="s">
        <v>29</v>
      </c>
      <c r="O43" s="16" t="n">
        <v>43354</v>
      </c>
      <c r="P43" s="17" t="s">
        <v>42</v>
      </c>
      <c r="Q43" s="18" t="s">
        <v>43</v>
      </c>
      <c r="R43" s="17" t="s">
        <v>44</v>
      </c>
      <c r="S43" s="18" t="s">
        <v>45</v>
      </c>
      <c r="T43" s="17" t="s">
        <v>55</v>
      </c>
      <c r="U43" s="18" t="s">
        <v>46</v>
      </c>
      <c r="V43" s="19" t="n">
        <v>224399962</v>
      </c>
      <c r="W43" s="17" t="s">
        <v>57</v>
      </c>
      <c r="X43" s="17" t="n">
        <v>5496.92</v>
      </c>
      <c r="Y43" s="17" t="n">
        <v>1</v>
      </c>
      <c r="Z43" s="17" t="n">
        <v>78.43</v>
      </c>
      <c r="AA43" s="17" t="s">
        <v>48</v>
      </c>
      <c r="AB43" s="17" t="s">
        <v>49</v>
      </c>
    </row>
    <row r="44" customFormat="false" ht="15" hidden="false" customHeight="false" outlineLevel="0" collapsed="false">
      <c r="A44" s="1" t="str">
        <f aca="false">OFFSET(Table22,43,14,1,1)&amp;OFFSET(Table22,43,21,1,1)</f>
        <v>43354226889143</v>
      </c>
      <c r="B44" s="1" t="str">
        <f aca="false">OFFSET(Table22,43,14,1,1)&amp;OFFSET(Table22,43,22,1,1)</f>
        <v>43354Facebook»Audience &amp; Interest Targeting- Azure Trial PayGo Lookalikes»1x1»TextLink»CAN»MO»CPM»AUT»W»NA»SS»NA»Free Account IT Pro- Hybrid</v>
      </c>
      <c r="C44" s="1" t="s">
        <v>28</v>
      </c>
      <c r="D44" s="3" t="n">
        <f aca="false">O44+(7-WEEKDAY(O44))</f>
        <v>43358</v>
      </c>
      <c r="E44" s="1" t="str">
        <f aca="false">VLOOKUP(OFFSET(Table22,43,16,1,1),Key!B:D,2,0)</f>
        <v>United Kingdom</v>
      </c>
      <c r="F44" s="1" t="str">
        <f aca="false">IF(ISNUMBER(SEARCH("Canvas",U44)),"Link",IF(ISNUMBER(SEARCH("Link",U44)),"Link","Not filled properly"))</f>
        <v>Link</v>
      </c>
      <c r="G44" s="1" t="str">
        <f aca="false">IFERROR(VLOOKUP(OFFSET(Table22,43,21,1,1),OFFSET(Table2,0,1,ROWS(Table2),8),2,0),VLOOKUP(OFFSET(Table22,43,22,1,1),Table2,3,0))</f>
        <v>GBR_gaPMG_CE_AZR_Q1_19_Trial-Social</v>
      </c>
      <c r="H44" s="1" t="n">
        <f aca="false">IFERROR(VLOOKUP(OFFSET(Table22,43,21,1,1),OFFSET(Table2,0,1,ROWS(Table2),8),3,0),VLOOKUP(OFFSET(Table22,43,22,1,1),Table2,4,0))</f>
        <v>21337013</v>
      </c>
      <c r="I44" s="2" t="n">
        <f aca="false">IFERROR(VLOOKUP(OFFSET(Table22,43,21,1,1),OFFSET(Table2,0,1,ROWS(Table2),8),4,0),VLOOKUP(OFFSET(Table22,43,22,1,1),Table2,5,0))</f>
        <v>720196</v>
      </c>
      <c r="J44" s="3" t="str">
        <f aca="false">IF(ISNUMBER(SEARCH("FACEBOOK",W44)),"Facebook",IF(ISNUMBER(SEARCH("INSTAGRAM",W44)),"Facebook-Instagram","Look at taxonomy"))</f>
        <v>Facebook</v>
      </c>
      <c r="K44" s="3" t="str">
        <f aca="false">IF(ISNUMBER(SEARCH("Facebook",J44)),"3654128","Not Facebook")</f>
        <v>3654128</v>
      </c>
      <c r="L44" s="3" t="str">
        <f aca="false">IFERROR(VLOOKUP(OFFSET(Table22,43,21,1,1),OFFSET(Table2,0,1,ROWS(Table2),8),7,0),VLOOKUP(OFFSET(Table22,43,22,1,1),Table2,8,0))</f>
        <v>AzurePlatform_FBCTCcanvaspage-StartFreeCTA-Img2_GBR_1080x143 _SOC_Plat_English_NA_Standard_NA_NA_T2_1</v>
      </c>
      <c r="M44" s="2" t="n">
        <f aca="false">IFERROR(VLOOKUP(OFFSET(Table22,43,21,1,1),OFFSET(Table2,0,1,ROWS(Table2),8),8,0),VLOOKUP(OFFSET(Table22,43,22,1,1),Table2,9,0))</f>
        <v>103235146</v>
      </c>
      <c r="N44" s="15" t="s">
        <v>29</v>
      </c>
      <c r="O44" s="16" t="n">
        <v>43354</v>
      </c>
      <c r="P44" s="17" t="s">
        <v>42</v>
      </c>
      <c r="Q44" s="18" t="s">
        <v>43</v>
      </c>
      <c r="R44" s="17" t="s">
        <v>44</v>
      </c>
      <c r="S44" s="18" t="s">
        <v>45</v>
      </c>
      <c r="T44" s="17" t="s">
        <v>55</v>
      </c>
      <c r="U44" s="18" t="s">
        <v>46</v>
      </c>
      <c r="V44" s="19" t="n">
        <v>226889143</v>
      </c>
      <c r="W44" s="17" t="s">
        <v>60</v>
      </c>
      <c r="X44" s="17" t="n">
        <v>5496.92</v>
      </c>
      <c r="Y44" s="17" t="n">
        <v>1</v>
      </c>
      <c r="Z44" s="17" t="n">
        <v>78.43</v>
      </c>
      <c r="AA44" s="17" t="s">
        <v>48</v>
      </c>
      <c r="AB44" s="17" t="s">
        <v>49</v>
      </c>
    </row>
    <row r="45" customFormat="false" ht="15" hidden="false" customHeight="false" outlineLevel="0" collapsed="false">
      <c r="A45" s="1" t="str">
        <f aca="false">OFFSET(Table22,44,14,1,1)&amp;OFFSET(Table22,44,21,1,1)</f>
        <v>43355223560299</v>
      </c>
      <c r="B45" s="1" t="str">
        <f aca="false">OFFSET(Table22,44,14,1,1)&amp;OFFSET(Table22,44,22,1,1)</f>
        <v>43355Facebook»Retargeting»1x1»SocialBan»LIA»DT»DYN»RT»W»NA»SS»NA»Free Account Retargeting Generic- Animated ChC</v>
      </c>
      <c r="C45" s="1" t="s">
        <v>28</v>
      </c>
      <c r="D45" s="3" t="n">
        <f aca="false">O45+(7-WEEKDAY(O45))</f>
        <v>43358</v>
      </c>
      <c r="E45" s="1" t="str">
        <f aca="false">VLOOKUP(OFFSET(Table22,44,16,1,1),Key!B:D,2,0)</f>
        <v>United Kingdom</v>
      </c>
      <c r="F45" s="1" t="str">
        <f aca="false">IF(ISNUMBER(SEARCH("Canvas",U45)),"Link",IF(ISNUMBER(SEARCH("Link",U45)),"Link","Not filled properly"))</f>
        <v>Link</v>
      </c>
      <c r="G45" s="1" t="str">
        <f aca="false">IFERROR(VLOOKUP(OFFSET(Table22,44,21,1,1),OFFSET(Table2,0,1,ROWS(Table2),8),2,0),VLOOKUP(OFFSET(Table22,44,22,1,1),Table2,3,0))</f>
        <v>GBR_gaPMG_CE_AZR_Q1_19_Trial-Social</v>
      </c>
      <c r="H45" s="1" t="n">
        <f aca="false">IFERROR(VLOOKUP(OFFSET(Table22,44,21,1,1),OFFSET(Table2,0,1,ROWS(Table2),8),3,0),VLOOKUP(OFFSET(Table22,44,22,1,1),Table2,4,0))</f>
        <v>21337013</v>
      </c>
      <c r="I45" s="2" t="n">
        <f aca="false">IFERROR(VLOOKUP(OFFSET(Table22,44,21,1,1),OFFSET(Table2,0,1,ROWS(Table2),8),4,0),VLOOKUP(OFFSET(Table22,44,22,1,1),Table2,5,0))</f>
        <v>720196</v>
      </c>
      <c r="J45" s="3" t="str">
        <f aca="false">IF(ISNUMBER(SEARCH("FACEBOOK",W45)),"Facebook",IF(ISNUMBER(SEARCH("INSTAGRAM",W45)),"Facebook-Instagram","Look at taxonomy"))</f>
        <v>Facebook</v>
      </c>
      <c r="K45" s="3" t="str">
        <f aca="false">IF(ISNUMBER(SEARCH("Facebook",J45)),"3654128","Not Facebook")</f>
        <v>3654128</v>
      </c>
      <c r="L45" s="3" t="str">
        <f aca="false">IFERROR(VLOOKUP(OFFSET(Table22,44,21,1,1),OFFSET(Table2,0,1,ROWS(Table2),8),7,0),VLOOKUP(OFFSET(Table22,44,22,1,1),Table2,8,0))</f>
        <v>AzurePlatform_FreeAcctRetargetingFB-Animated-ChC_GBR_1200x628_SOC_Plat_EN_Free Account_Standard_ANI_SU_T3_1</v>
      </c>
      <c r="M45" s="2" t="n">
        <f aca="false">IFERROR(VLOOKUP(OFFSET(Table22,44,21,1,1),OFFSET(Table2,0,1,ROWS(Table2),8),8,0),VLOOKUP(OFFSET(Table22,44,22,1,1),Table2,9,0))</f>
        <v>102854019</v>
      </c>
      <c r="N45" s="15" t="s">
        <v>29</v>
      </c>
      <c r="O45" s="16" t="n">
        <v>43355</v>
      </c>
      <c r="P45" s="17" t="s">
        <v>42</v>
      </c>
      <c r="Q45" s="18" t="s">
        <v>43</v>
      </c>
      <c r="R45" s="17" t="s">
        <v>44</v>
      </c>
      <c r="S45" s="18" t="s">
        <v>45</v>
      </c>
      <c r="T45" s="17" t="s">
        <v>34</v>
      </c>
      <c r="U45" s="18" t="s">
        <v>46</v>
      </c>
      <c r="V45" s="19" t="n">
        <v>223560299</v>
      </c>
      <c r="W45" s="17" t="s">
        <v>47</v>
      </c>
      <c r="X45" s="17" t="n">
        <v>514.92</v>
      </c>
      <c r="Y45" s="17" t="n">
        <v>4</v>
      </c>
      <c r="Z45" s="17" t="n">
        <v>13.4</v>
      </c>
      <c r="AA45" s="17" t="s">
        <v>48</v>
      </c>
      <c r="AB45" s="17" t="s">
        <v>49</v>
      </c>
    </row>
    <row r="46" customFormat="false" ht="15" hidden="false" customHeight="false" outlineLevel="0" collapsed="false">
      <c r="A46" s="1" t="str">
        <f aca="false">OFFSET(Table22,45,14,1,1)&amp;OFFSET(Table22,45,21,1,1)</f>
        <v>43355223560332</v>
      </c>
      <c r="B46" s="1" t="str">
        <f aca="false">OFFSET(Table22,45,14,1,1)&amp;OFFSET(Table22,45,22,1,1)</f>
        <v>43355Facebook»Retargeting»1x1»SocialBan»LIA»DT»DYN»RT»W»NA»SS»NA»Free Account Retargeting VM- On Demand ChE</v>
      </c>
      <c r="C46" s="1" t="s">
        <v>28</v>
      </c>
      <c r="D46" s="3" t="n">
        <f aca="false">O46+(7-WEEKDAY(O46))</f>
        <v>43358</v>
      </c>
      <c r="E46" s="1" t="str">
        <f aca="false">VLOOKUP(OFFSET(Table22,45,16,1,1),Key!B:D,2,0)</f>
        <v>United Kingdom</v>
      </c>
      <c r="F46" s="1" t="str">
        <f aca="false">IF(ISNUMBER(SEARCH("Canvas",U46)),"Link",IF(ISNUMBER(SEARCH("Link",U46)),"Link","Not filled properly"))</f>
        <v>Link</v>
      </c>
      <c r="G46" s="1" t="str">
        <f aca="false">IFERROR(VLOOKUP(OFFSET(Table22,45,21,1,1),OFFSET(Table2,0,1,ROWS(Table2),8),2,0),VLOOKUP(OFFSET(Table22,45,22,1,1),Table2,3,0))</f>
        <v>GBR_gaPMG_CE_AZR_Q1_19_Trial-Social</v>
      </c>
      <c r="H46" s="1" t="n">
        <f aca="false">IFERROR(VLOOKUP(OFFSET(Table22,45,21,1,1),OFFSET(Table2,0,1,ROWS(Table2),8),3,0),VLOOKUP(OFFSET(Table22,45,22,1,1),Table2,4,0))</f>
        <v>21337013</v>
      </c>
      <c r="I46" s="2" t="n">
        <f aca="false">IFERROR(VLOOKUP(OFFSET(Table22,45,21,1,1),OFFSET(Table2,0,1,ROWS(Table2),8),4,0),VLOOKUP(OFFSET(Table22,45,22,1,1),Table2,5,0))</f>
        <v>720196</v>
      </c>
      <c r="J46" s="3" t="str">
        <f aca="false">IF(ISNUMBER(SEARCH("FACEBOOK",W46)),"Facebook",IF(ISNUMBER(SEARCH("INSTAGRAM",W46)),"Facebook-Instagram","Look at taxonomy"))</f>
        <v>Facebook</v>
      </c>
      <c r="K46" s="3" t="str">
        <f aca="false">IF(ISNUMBER(SEARCH("Facebook",J46)),"3654128","Not Facebook")</f>
        <v>3654128</v>
      </c>
      <c r="L46" s="3" t="str">
        <f aca="false">IFERROR(VLOOKUP(OFFSET(Table22,45,21,1,1),OFFSET(Table2,0,1,ROWS(Table2),8),7,0),VLOOKUP(OFFSET(Table22,45,22,1,1),Table2,8,0))</f>
        <v>AzurePlatform_FreeAcctRetargetingVMFB-OnDemand-ChE_GBR_1200x628_SOC_Plat_EN_Free Account_Standard_NA_SU_T2_1</v>
      </c>
      <c r="M46" s="2" t="n">
        <f aca="false">IFERROR(VLOOKUP(OFFSET(Table22,45,21,1,1),OFFSET(Table2,0,1,ROWS(Table2),8),8,0),VLOOKUP(OFFSET(Table22,45,22,1,1),Table2,9,0))</f>
        <v>102854037</v>
      </c>
      <c r="N46" s="15" t="s">
        <v>29</v>
      </c>
      <c r="O46" s="16" t="n">
        <v>43355</v>
      </c>
      <c r="P46" s="17" t="s">
        <v>42</v>
      </c>
      <c r="Q46" s="18" t="s">
        <v>43</v>
      </c>
      <c r="R46" s="17" t="s">
        <v>44</v>
      </c>
      <c r="S46" s="18" t="s">
        <v>45</v>
      </c>
      <c r="T46" s="17" t="s">
        <v>34</v>
      </c>
      <c r="U46" s="18" t="s">
        <v>46</v>
      </c>
      <c r="V46" s="19" t="n">
        <v>223560332</v>
      </c>
      <c r="W46" s="17" t="s">
        <v>50</v>
      </c>
      <c r="X46" s="17" t="n">
        <v>514.92</v>
      </c>
      <c r="Y46" s="17" t="n">
        <v>7</v>
      </c>
      <c r="Z46" s="17" t="n">
        <v>13.4</v>
      </c>
      <c r="AA46" s="17" t="s">
        <v>48</v>
      </c>
      <c r="AB46" s="17" t="s">
        <v>49</v>
      </c>
    </row>
    <row r="47" customFormat="false" ht="15" hidden="false" customHeight="false" outlineLevel="0" collapsed="false">
      <c r="A47" s="1" t="str">
        <f aca="false">OFFSET(Table22,46,14,1,1)&amp;OFFSET(Table22,46,21,1,1)</f>
        <v>43355223560338</v>
      </c>
      <c r="B47" s="1" t="str">
        <f aca="false">OFFSET(Table22,46,14,1,1)&amp;OFFSET(Table22,46,22,1,1)</f>
        <v>43355Facebook»Retargeting»1x1»SocialBan»LIA»DT»DYN»RT»W»NA»SS»NA»Free Account Retargeting VM- 750 Hrs ChD</v>
      </c>
      <c r="C47" s="1" t="s">
        <v>28</v>
      </c>
      <c r="D47" s="3" t="n">
        <f aca="false">O47+(7-WEEKDAY(O47))</f>
        <v>43358</v>
      </c>
      <c r="E47" s="1" t="str">
        <f aca="false">VLOOKUP(OFFSET(Table22,46,16,1,1),Key!B:D,2,0)</f>
        <v>United Kingdom</v>
      </c>
      <c r="F47" s="1" t="str">
        <f aca="false">IF(ISNUMBER(SEARCH("Canvas",U47)),"Link",IF(ISNUMBER(SEARCH("Link",U47)),"Link","Not filled properly"))</f>
        <v>Link</v>
      </c>
      <c r="G47" s="1" t="str">
        <f aca="false">IFERROR(VLOOKUP(OFFSET(Table22,46,21,1,1),OFFSET(Table2,0,1,ROWS(Table2),8),2,0),VLOOKUP(OFFSET(Table22,46,22,1,1),Table2,3,0))</f>
        <v>GBR_gaPMG_CE_AZR_Q1_19_Trial-Social</v>
      </c>
      <c r="H47" s="1" t="n">
        <f aca="false">IFERROR(VLOOKUP(OFFSET(Table22,46,21,1,1),OFFSET(Table2,0,1,ROWS(Table2),8),3,0),VLOOKUP(OFFSET(Table22,46,22,1,1),Table2,4,0))</f>
        <v>21337013</v>
      </c>
      <c r="I47" s="2" t="n">
        <f aca="false">IFERROR(VLOOKUP(OFFSET(Table22,46,21,1,1),OFFSET(Table2,0,1,ROWS(Table2),8),4,0),VLOOKUP(OFFSET(Table22,46,22,1,1),Table2,5,0))</f>
        <v>720196</v>
      </c>
      <c r="J47" s="3" t="str">
        <f aca="false">IF(ISNUMBER(SEARCH("FACEBOOK",W47)),"Facebook",IF(ISNUMBER(SEARCH("INSTAGRAM",W47)),"Facebook-Instagram","Look at taxonomy"))</f>
        <v>Facebook</v>
      </c>
      <c r="K47" s="3" t="str">
        <f aca="false">IF(ISNUMBER(SEARCH("Facebook",J47)),"3654128","Not Facebook")</f>
        <v>3654128</v>
      </c>
      <c r="L47" s="3" t="str">
        <f aca="false">IFERROR(VLOOKUP(OFFSET(Table22,46,21,1,1),OFFSET(Table2,0,1,ROWS(Table2),8),7,0),VLOOKUP(OFFSET(Table22,46,22,1,1),Table2,8,0))</f>
        <v>AzurePlatform_FreeAcctRetargetingVMFB-750Hrs-ChD_GBR_1200x628_SOC_Plat_EN_Free Account_Standard_NA_SU_T1_1</v>
      </c>
      <c r="M47" s="2" t="n">
        <f aca="false">IFERROR(VLOOKUP(OFFSET(Table22,46,21,1,1),OFFSET(Table2,0,1,ROWS(Table2),8),8,0),VLOOKUP(OFFSET(Table22,46,22,1,1),Table2,9,0))</f>
        <v>102853603</v>
      </c>
      <c r="N47" s="15" t="s">
        <v>29</v>
      </c>
      <c r="O47" s="16" t="n">
        <v>43355</v>
      </c>
      <c r="P47" s="17" t="s">
        <v>42</v>
      </c>
      <c r="Q47" s="18" t="s">
        <v>43</v>
      </c>
      <c r="R47" s="17" t="s">
        <v>44</v>
      </c>
      <c r="S47" s="18" t="s">
        <v>45</v>
      </c>
      <c r="T47" s="17" t="s">
        <v>34</v>
      </c>
      <c r="U47" s="18" t="s">
        <v>46</v>
      </c>
      <c r="V47" s="19" t="n">
        <v>223560338</v>
      </c>
      <c r="W47" s="17" t="s">
        <v>51</v>
      </c>
      <c r="X47" s="17" t="n">
        <v>514.92</v>
      </c>
      <c r="Y47" s="17" t="n">
        <v>7</v>
      </c>
      <c r="Z47" s="17" t="n">
        <v>13.4</v>
      </c>
      <c r="AA47" s="17" t="s">
        <v>48</v>
      </c>
      <c r="AB47" s="17" t="s">
        <v>49</v>
      </c>
    </row>
    <row r="48" customFormat="false" ht="15" hidden="false" customHeight="false" outlineLevel="0" collapsed="false">
      <c r="A48" s="1" t="str">
        <f aca="false">OFFSET(Table22,47,14,1,1)&amp;OFFSET(Table22,47,21,1,1)</f>
        <v>43355223560344</v>
      </c>
      <c r="B48" s="1" t="str">
        <f aca="false">OFFSET(Table22,47,14,1,1)&amp;OFFSET(Table22,47,22,1,1)</f>
        <v>43355Facebook»Retargeting»1x1»SocialBan»LIA»DT»DYN»RT»W»NA»SS»NA»Free Account Retargeting OSS- Text ChF</v>
      </c>
      <c r="C48" s="1" t="s">
        <v>28</v>
      </c>
      <c r="D48" s="3" t="n">
        <f aca="false">O48+(7-WEEKDAY(O48))</f>
        <v>43358</v>
      </c>
      <c r="E48" s="1" t="str">
        <f aca="false">VLOOKUP(OFFSET(Table22,47,16,1,1),Key!B:D,2,0)</f>
        <v>United Kingdom</v>
      </c>
      <c r="F48" s="1" t="str">
        <f aca="false">IF(ISNUMBER(SEARCH("Canvas",U48)),"Link",IF(ISNUMBER(SEARCH("Link",U48)),"Link","Not filled properly"))</f>
        <v>Link</v>
      </c>
      <c r="G48" s="1" t="str">
        <f aca="false">IFERROR(VLOOKUP(OFFSET(Table22,47,21,1,1),OFFSET(Table2,0,1,ROWS(Table2),8),2,0),VLOOKUP(OFFSET(Table22,47,22,1,1),Table2,3,0))</f>
        <v>GBR_gaPMG_CE_AZR_Q1_19_Trial-Social</v>
      </c>
      <c r="H48" s="1" t="n">
        <f aca="false">IFERROR(VLOOKUP(OFFSET(Table22,47,21,1,1),OFFSET(Table2,0,1,ROWS(Table2),8),3,0),VLOOKUP(OFFSET(Table22,47,22,1,1),Table2,4,0))</f>
        <v>21337013</v>
      </c>
      <c r="I48" s="2" t="n">
        <f aca="false">IFERROR(VLOOKUP(OFFSET(Table22,47,21,1,1),OFFSET(Table2,0,1,ROWS(Table2),8),4,0),VLOOKUP(OFFSET(Table22,47,22,1,1),Table2,5,0))</f>
        <v>720196</v>
      </c>
      <c r="J48" s="3" t="str">
        <f aca="false">IF(ISNUMBER(SEARCH("FACEBOOK",W48)),"Facebook",IF(ISNUMBER(SEARCH("INSTAGRAM",W48)),"Facebook-Instagram","Look at taxonomy"))</f>
        <v>Facebook</v>
      </c>
      <c r="K48" s="3" t="str">
        <f aca="false">IF(ISNUMBER(SEARCH("Facebook",J48)),"3654128","Not Facebook")</f>
        <v>3654128</v>
      </c>
      <c r="L48" s="3" t="str">
        <f aca="false">IFERROR(VLOOKUP(OFFSET(Table22,47,21,1,1),OFFSET(Table2,0,1,ROWS(Table2),8),7,0),VLOOKUP(OFFSET(Table22,47,22,1,1),Table2,8,0))</f>
        <v>AzurePlatform_FreeAcctRetargetingOSSFB-Text-ChF_GBR_1200x628_SOC_Plat_EN_Free Account_Standard_NA_SU_T1_1</v>
      </c>
      <c r="M48" s="2" t="n">
        <f aca="false">IFERROR(VLOOKUP(OFFSET(Table22,47,21,1,1),OFFSET(Table2,0,1,ROWS(Table2),8),8,0),VLOOKUP(OFFSET(Table22,47,22,1,1),Table2,9,0))</f>
        <v>102861246</v>
      </c>
      <c r="N48" s="15" t="s">
        <v>29</v>
      </c>
      <c r="O48" s="16" t="n">
        <v>43355</v>
      </c>
      <c r="P48" s="17" t="s">
        <v>42</v>
      </c>
      <c r="Q48" s="18" t="s">
        <v>43</v>
      </c>
      <c r="R48" s="17" t="s">
        <v>44</v>
      </c>
      <c r="S48" s="18" t="s">
        <v>45</v>
      </c>
      <c r="T48" s="17" t="s">
        <v>34</v>
      </c>
      <c r="U48" s="18" t="s">
        <v>46</v>
      </c>
      <c r="V48" s="19" t="n">
        <v>223560344</v>
      </c>
      <c r="W48" s="17" t="s">
        <v>52</v>
      </c>
      <c r="X48" s="17" t="n">
        <v>514.92</v>
      </c>
      <c r="Y48" s="17" t="n">
        <v>6</v>
      </c>
      <c r="Z48" s="17" t="n">
        <v>13.4</v>
      </c>
      <c r="AA48" s="17" t="s">
        <v>48</v>
      </c>
      <c r="AB48" s="17" t="s">
        <v>49</v>
      </c>
    </row>
    <row r="49" customFormat="false" ht="15" hidden="false" customHeight="false" outlineLevel="0" collapsed="false">
      <c r="A49" s="1" t="str">
        <f aca="false">OFFSET(Table22,48,14,1,1)&amp;OFFSET(Table22,48,21,1,1)</f>
        <v>43355223560350</v>
      </c>
      <c r="B49" s="1" t="str">
        <f aca="false">OFFSET(Table22,48,14,1,1)&amp;OFFSET(Table22,48,22,1,1)</f>
        <v>43355Facebook»Retargeting»1x1»SocialBan»LIA»DT»DYN»RT»W»NA»SS»NA»Free Account Retargeting OSS- Logos ChG</v>
      </c>
      <c r="C49" s="1" t="s">
        <v>28</v>
      </c>
      <c r="D49" s="3" t="n">
        <f aca="false">O49+(7-WEEKDAY(O49))</f>
        <v>43358</v>
      </c>
      <c r="E49" s="1" t="str">
        <f aca="false">VLOOKUP(OFFSET(Table22,48,16,1,1),Key!B:D,2,0)</f>
        <v>United Kingdom</v>
      </c>
      <c r="F49" s="1" t="str">
        <f aca="false">IF(ISNUMBER(SEARCH("Canvas",U49)),"Link",IF(ISNUMBER(SEARCH("Link",U49)),"Link","Not filled properly"))</f>
        <v>Link</v>
      </c>
      <c r="G49" s="1" t="str">
        <f aca="false">IFERROR(VLOOKUP(OFFSET(Table22,48,21,1,1),OFFSET(Table2,0,1,ROWS(Table2),8),2,0),VLOOKUP(OFFSET(Table22,48,22,1,1),Table2,3,0))</f>
        <v>GBR_gaPMG_CE_AZR_Q1_19_Trial-Social</v>
      </c>
      <c r="H49" s="1" t="n">
        <f aca="false">IFERROR(VLOOKUP(OFFSET(Table22,48,21,1,1),OFFSET(Table2,0,1,ROWS(Table2),8),3,0),VLOOKUP(OFFSET(Table22,48,22,1,1),Table2,4,0))</f>
        <v>21337013</v>
      </c>
      <c r="I49" s="2" t="n">
        <f aca="false">IFERROR(VLOOKUP(OFFSET(Table22,48,21,1,1),OFFSET(Table2,0,1,ROWS(Table2),8),4,0),VLOOKUP(OFFSET(Table22,48,22,1,1),Table2,5,0))</f>
        <v>720196</v>
      </c>
      <c r="J49" s="3" t="str">
        <f aca="false">IF(ISNUMBER(SEARCH("FACEBOOK",W49)),"Facebook",IF(ISNUMBER(SEARCH("INSTAGRAM",W49)),"Facebook-Instagram","Look at taxonomy"))</f>
        <v>Facebook</v>
      </c>
      <c r="K49" s="3" t="str">
        <f aca="false">IF(ISNUMBER(SEARCH("Facebook",J49)),"3654128","Not Facebook")</f>
        <v>3654128</v>
      </c>
      <c r="L49" s="3" t="str">
        <f aca="false">IFERROR(VLOOKUP(OFFSET(Table22,48,21,1,1),OFFSET(Table2,0,1,ROWS(Table2),8),7,0),VLOOKUP(OFFSET(Table22,48,22,1,1),Table2,8,0))</f>
        <v>AzurePlatform_FreeAcctRetargetingOSSFB-Logos-ChG_GBR_1200x628_SOC_Plat_EN_Free Account_Standard_NA_SU_T2_1</v>
      </c>
      <c r="M49" s="2" t="n">
        <f aca="false">IFERROR(VLOOKUP(OFFSET(Table22,48,21,1,1),OFFSET(Table2,0,1,ROWS(Table2),8),8,0),VLOOKUP(OFFSET(Table22,48,22,1,1),Table2,9,0))</f>
        <v>103006547</v>
      </c>
      <c r="N49" s="15" t="s">
        <v>29</v>
      </c>
      <c r="O49" s="16" t="n">
        <v>43355</v>
      </c>
      <c r="P49" s="17" t="s">
        <v>42</v>
      </c>
      <c r="Q49" s="18" t="s">
        <v>43</v>
      </c>
      <c r="R49" s="17" t="s">
        <v>44</v>
      </c>
      <c r="S49" s="18" t="s">
        <v>45</v>
      </c>
      <c r="T49" s="17" t="s">
        <v>34</v>
      </c>
      <c r="U49" s="18" t="s">
        <v>46</v>
      </c>
      <c r="V49" s="19" t="n">
        <v>223560350</v>
      </c>
      <c r="W49" s="17" t="s">
        <v>53</v>
      </c>
      <c r="X49" s="17" t="n">
        <v>514.92</v>
      </c>
      <c r="Y49" s="17" t="n">
        <v>1</v>
      </c>
      <c r="Z49" s="17" t="n">
        <v>13.4</v>
      </c>
      <c r="AA49" s="17" t="s">
        <v>48</v>
      </c>
      <c r="AB49" s="17" t="s">
        <v>49</v>
      </c>
    </row>
    <row r="50" customFormat="false" ht="15" hidden="false" customHeight="false" outlineLevel="0" collapsed="false">
      <c r="A50" s="1" t="str">
        <f aca="false">OFFSET(Table22,49,14,1,1)&amp;OFFSET(Table22,49,21,1,1)</f>
        <v>43355224334170</v>
      </c>
      <c r="B50" s="1" t="str">
        <f aca="false">OFFSET(Table22,49,14,1,1)&amp;OFFSET(Table22,49,22,1,1)</f>
        <v>43355Facebook»Audience &amp; Interest Targeting»1x1»SocialBan»LIA»DT»CPC»AUT»W»NA»SS»NA»Benefit 2 in Motion</v>
      </c>
      <c r="C50" s="1" t="s">
        <v>28</v>
      </c>
      <c r="D50" s="3" t="n">
        <f aca="false">O50+(7-WEEKDAY(O50))</f>
        <v>43358</v>
      </c>
      <c r="E50" s="1" t="str">
        <f aca="false">VLOOKUP(OFFSET(Table22,49,16,1,1),Key!B:D,2,0)</f>
        <v>United Kingdom</v>
      </c>
      <c r="F50" s="1" t="str">
        <f aca="false">IF(ISNUMBER(SEARCH("Canvas",U50)),"Link",IF(ISNUMBER(SEARCH("Link",U50)),"Link","Not filled properly"))</f>
        <v>Link</v>
      </c>
      <c r="G50" s="1" t="str">
        <f aca="false">IFERROR(VLOOKUP(OFFSET(Table22,49,21,1,1),OFFSET(Table2,0,1,ROWS(Table2),8),2,0),VLOOKUP(OFFSET(Table22,49,22,1,1),Table2,3,0))</f>
        <v>GBR_gaPMG_CE_AZR_Q1_19_Trial-Social</v>
      </c>
      <c r="H50" s="1" t="n">
        <f aca="false">IFERROR(VLOOKUP(OFFSET(Table22,49,21,1,1),OFFSET(Table2,0,1,ROWS(Table2),8),3,0),VLOOKUP(OFFSET(Table22,49,22,1,1),Table2,4,0))</f>
        <v>21337013</v>
      </c>
      <c r="I50" s="2" t="n">
        <f aca="false">IFERROR(VLOOKUP(OFFSET(Table22,49,21,1,1),OFFSET(Table2,0,1,ROWS(Table2),8),4,0),VLOOKUP(OFFSET(Table22,49,22,1,1),Table2,5,0))</f>
        <v>720196</v>
      </c>
      <c r="J50" s="3" t="str">
        <f aca="false">IF(ISNUMBER(SEARCH("FACEBOOK",W50)),"Facebook",IF(ISNUMBER(SEARCH("INSTAGRAM",W50)),"Facebook-Instagram","Look at taxonomy"))</f>
        <v>Facebook</v>
      </c>
      <c r="K50" s="3" t="str">
        <f aca="false">IF(ISNUMBER(SEARCH("Facebook",J50)),"3654128","Not Facebook")</f>
        <v>3654128</v>
      </c>
      <c r="L50" s="3" t="str">
        <f aca="false">IFERROR(VLOOKUP(OFFSET(Table22,49,21,1,1),OFFSET(Table2,0,1,ROWS(Table2),8),7,0),VLOOKUP(OFFSET(Table22,49,22,1,1),Table2,8,0))</f>
        <v>AzurePlatform_FBCTCcanvaspage-BuyNowCTA-Img3_GBR_1080x162_SOC_Plat_English_NA_Standard_NA_BN_T3_1</v>
      </c>
      <c r="M50" s="2" t="n">
        <f aca="false">IFERROR(VLOOKUP(OFFSET(Table22,49,21,1,1),OFFSET(Table2,0,1,ROWS(Table2),8),8,0),VLOOKUP(OFFSET(Table22,49,22,1,1),Table2,9,0))</f>
        <v>103230847</v>
      </c>
      <c r="N50" s="15" t="s">
        <v>29</v>
      </c>
      <c r="O50" s="16" t="n">
        <v>43355</v>
      </c>
      <c r="P50" s="17" t="s">
        <v>42</v>
      </c>
      <c r="Q50" s="18" t="s">
        <v>43</v>
      </c>
      <c r="R50" s="17" t="s">
        <v>44</v>
      </c>
      <c r="S50" s="18" t="s">
        <v>45</v>
      </c>
      <c r="T50" s="17" t="s">
        <v>55</v>
      </c>
      <c r="U50" s="18" t="s">
        <v>46</v>
      </c>
      <c r="V50" s="19" t="n">
        <v>224334170</v>
      </c>
      <c r="W50" s="17" t="s">
        <v>56</v>
      </c>
      <c r="X50" s="17" t="n">
        <v>5496.92</v>
      </c>
      <c r="Y50" s="17" t="n">
        <v>1</v>
      </c>
      <c r="Z50" s="17" t="n">
        <v>78.43</v>
      </c>
      <c r="AA50" s="17" t="s">
        <v>48</v>
      </c>
      <c r="AB50" s="17" t="s">
        <v>49</v>
      </c>
    </row>
    <row r="51" customFormat="false" ht="15" hidden="false" customHeight="false" outlineLevel="0" collapsed="false">
      <c r="A51" s="1" t="str">
        <f aca="false">OFFSET(Table22,50,14,1,1)&amp;OFFSET(Table22,50,21,1,1)</f>
        <v>43355224549481</v>
      </c>
      <c r="B51" s="1" t="str">
        <f aca="false">OFFSET(Table22,50,14,1,1)&amp;OFFSET(Table22,50,22,1,1)</f>
        <v>43355Facebook»Audience &amp; Interest Targeting»1x1»SocialBan»LIA»DT»CPC»AUT»W»NA»SS»NA»Brand in Motion</v>
      </c>
      <c r="C51" s="1" t="s">
        <v>28</v>
      </c>
      <c r="D51" s="3" t="n">
        <f aca="false">O51+(7-WEEKDAY(O51))</f>
        <v>43358</v>
      </c>
      <c r="E51" s="1" t="str">
        <f aca="false">VLOOKUP(OFFSET(Table22,50,16,1,1),Key!B:D,2,0)</f>
        <v>United Kingdom</v>
      </c>
      <c r="F51" s="1" t="str">
        <f aca="false">IF(ISNUMBER(SEARCH("Canvas",U51)),"Link",IF(ISNUMBER(SEARCH("Link",U51)),"Link","Not filled properly"))</f>
        <v>Link</v>
      </c>
      <c r="G51" s="1" t="str">
        <f aca="false">IFERROR(VLOOKUP(OFFSET(Table22,50,21,1,1),OFFSET(Table2,0,1,ROWS(Table2),8),2,0),VLOOKUP(OFFSET(Table22,50,22,1,1),Table2,3,0))</f>
        <v>GBR_gaPMG_CE_AZR_Q1_19_Trial-Social</v>
      </c>
      <c r="H51" s="1" t="n">
        <f aca="false">IFERROR(VLOOKUP(OFFSET(Table22,50,21,1,1),OFFSET(Table2,0,1,ROWS(Table2),8),3,0),VLOOKUP(OFFSET(Table22,50,22,1,1),Table2,4,0))</f>
        <v>21337013</v>
      </c>
      <c r="I51" s="2" t="n">
        <f aca="false">IFERROR(VLOOKUP(OFFSET(Table22,50,21,1,1),OFFSET(Table2,0,1,ROWS(Table2),8),4,0),VLOOKUP(OFFSET(Table22,50,22,1,1),Table2,5,0))</f>
        <v>720196</v>
      </c>
      <c r="J51" s="3" t="str">
        <f aca="false">IF(ISNUMBER(SEARCH("FACEBOOK",W51)),"Facebook",IF(ISNUMBER(SEARCH("INSTAGRAM",W51)),"Facebook-Instagram","Look at taxonomy"))</f>
        <v>Facebook</v>
      </c>
      <c r="K51" s="3" t="str">
        <f aca="false">IF(ISNUMBER(SEARCH("Facebook",J51)),"3654128","Not Facebook")</f>
        <v>3654128</v>
      </c>
      <c r="L51" s="3" t="str">
        <f aca="false">IFERROR(VLOOKUP(OFFSET(Table22,50,21,1,1),OFFSET(Table2,0,1,ROWS(Table2),8),7,0),VLOOKUP(OFFSET(Table22,50,22,1,1),Table2,8,0))</f>
        <v>AzurePlatform_FBCTCcanvaspage-BuyNowCTA-Img3_GBR_1080x162_SOC_Plat_English_NA_Standard_NA_BN_T3_1</v>
      </c>
      <c r="M51" s="2" t="n">
        <f aca="false">IFERROR(VLOOKUP(OFFSET(Table22,50,21,1,1),OFFSET(Table2,0,1,ROWS(Table2),8),8,0),VLOOKUP(OFFSET(Table22,50,22,1,1),Table2,9,0))</f>
        <v>103230847</v>
      </c>
      <c r="N51" s="15" t="s">
        <v>29</v>
      </c>
      <c r="O51" s="16" t="n">
        <v>43355</v>
      </c>
      <c r="P51" s="17" t="s">
        <v>42</v>
      </c>
      <c r="Q51" s="18" t="s">
        <v>43</v>
      </c>
      <c r="R51" s="17" t="s">
        <v>44</v>
      </c>
      <c r="S51" s="18" t="s">
        <v>45</v>
      </c>
      <c r="T51" s="17" t="s">
        <v>55</v>
      </c>
      <c r="U51" s="18" t="s">
        <v>46</v>
      </c>
      <c r="V51" s="19" t="n">
        <v>224549481</v>
      </c>
      <c r="W51" s="17" t="s">
        <v>58</v>
      </c>
      <c r="X51" s="17" t="n">
        <v>5496.92</v>
      </c>
      <c r="Y51" s="17" t="n">
        <v>1</v>
      </c>
      <c r="Z51" s="17" t="n">
        <v>78.43</v>
      </c>
      <c r="AA51" s="17" t="s">
        <v>48</v>
      </c>
      <c r="AB51" s="17" t="s">
        <v>49</v>
      </c>
    </row>
    <row r="52" customFormat="false" ht="15" hidden="false" customHeight="false" outlineLevel="0" collapsed="false">
      <c r="A52" s="1" t="str">
        <f aca="false">OFFSET(Table22,51,14,1,1)&amp;OFFSET(Table22,51,21,1,1)</f>
        <v>43355227036847</v>
      </c>
      <c r="B52" s="1" t="str">
        <f aca="false">OFFSET(Table22,51,14,1,1)&amp;OFFSET(Table22,51,22,1,1)</f>
        <v>43355Facebook»Audience &amp; Interest Targeting- Azure Trial Lookalikes»1x1»TextLink»CAN»MO»CPM»AUT»W»NA»SS»NA»Free Account IT Pro- Migration</v>
      </c>
      <c r="C52" s="1" t="s">
        <v>28</v>
      </c>
      <c r="D52" s="3" t="n">
        <f aca="false">O52+(7-WEEKDAY(O52))</f>
        <v>43358</v>
      </c>
      <c r="E52" s="1" t="str">
        <f aca="false">VLOOKUP(OFFSET(Table22,51,16,1,1),Key!B:D,2,0)</f>
        <v>United Kingdom</v>
      </c>
      <c r="F52" s="1" t="str">
        <f aca="false">IF(ISNUMBER(SEARCH("Canvas",U52)),"Link",IF(ISNUMBER(SEARCH("Link",U52)),"Link","Not filled properly"))</f>
        <v>Link</v>
      </c>
      <c r="G52" s="1" t="str">
        <f aca="false">IFERROR(VLOOKUP(OFFSET(Table22,51,21,1,1),OFFSET(Table2,0,1,ROWS(Table2),8),2,0),VLOOKUP(OFFSET(Table22,51,22,1,1),Table2,3,0))</f>
        <v>GBR_gaPMG_CE_AZR_Q1_19_Trial-Social</v>
      </c>
      <c r="H52" s="1" t="n">
        <f aca="false">IFERROR(VLOOKUP(OFFSET(Table22,51,21,1,1),OFFSET(Table2,0,1,ROWS(Table2),8),3,0),VLOOKUP(OFFSET(Table22,51,22,1,1),Table2,4,0))</f>
        <v>21337013</v>
      </c>
      <c r="I52" s="2" t="n">
        <f aca="false">IFERROR(VLOOKUP(OFFSET(Table22,51,21,1,1),OFFSET(Table2,0,1,ROWS(Table2),8),4,0),VLOOKUP(OFFSET(Table22,51,22,1,1),Table2,5,0))</f>
        <v>720196</v>
      </c>
      <c r="J52" s="3" t="str">
        <f aca="false">IF(ISNUMBER(SEARCH("FACEBOOK",W52)),"Facebook",IF(ISNUMBER(SEARCH("INSTAGRAM",W52)),"Facebook-Instagram","Look at taxonomy"))</f>
        <v>Facebook</v>
      </c>
      <c r="K52" s="3" t="str">
        <f aca="false">IF(ISNUMBER(SEARCH("Facebook",J52)),"3654128","Not Facebook")</f>
        <v>3654128</v>
      </c>
      <c r="L52" s="3" t="str">
        <f aca="false">IFERROR(VLOOKUP(OFFSET(Table22,51,21,1,1),OFFSET(Table2,0,1,ROWS(Table2),8),7,0),VLOOKUP(OFFSET(Table22,51,22,1,1),Table2,8,0))</f>
        <v>AzurePlatform_FBCTCcanvaspage-BuyNowCTA-Img3_GBR_1080x162_SOC_Plat_English_NA_Standard_NA_BN_T3_1</v>
      </c>
      <c r="M52" s="2" t="n">
        <f aca="false">IFERROR(VLOOKUP(OFFSET(Table22,51,21,1,1),OFFSET(Table2,0,1,ROWS(Table2),8),8,0),VLOOKUP(OFFSET(Table22,51,22,1,1),Table2,9,0))</f>
        <v>103230847</v>
      </c>
      <c r="N52" s="15" t="s">
        <v>29</v>
      </c>
      <c r="O52" s="16" t="n">
        <v>43355</v>
      </c>
      <c r="P52" s="17" t="s">
        <v>42</v>
      </c>
      <c r="Q52" s="18" t="s">
        <v>43</v>
      </c>
      <c r="R52" s="17" t="s">
        <v>44</v>
      </c>
      <c r="S52" s="18" t="s">
        <v>45</v>
      </c>
      <c r="T52" s="17" t="s">
        <v>55</v>
      </c>
      <c r="U52" s="18" t="s">
        <v>46</v>
      </c>
      <c r="V52" s="19" t="n">
        <v>227036847</v>
      </c>
      <c r="W52" s="17" t="s">
        <v>61</v>
      </c>
      <c r="X52" s="17" t="n">
        <v>5496.92</v>
      </c>
      <c r="Y52" s="17" t="n">
        <v>1</v>
      </c>
      <c r="Z52" s="17" t="n">
        <v>78.43</v>
      </c>
      <c r="AA52" s="17" t="s">
        <v>48</v>
      </c>
      <c r="AB52" s="17" t="s">
        <v>49</v>
      </c>
    </row>
    <row r="53" customFormat="false" ht="15" hidden="false" customHeight="false" outlineLevel="0" collapsed="false">
      <c r="A53" s="1" t="str">
        <f aca="false">OFFSET(Table22,52,14,1,1)&amp;OFFSET(Table22,52,21,1,1)</f>
        <v>43356223560299</v>
      </c>
      <c r="B53" s="1" t="str">
        <f aca="false">OFFSET(Table22,52,14,1,1)&amp;OFFSET(Table22,52,22,1,1)</f>
        <v>43356Facebook»Retargeting»1x1»SocialBan»LIA»DT»DYN»RT»W»NA»SS»NA»Free Account Retargeting Generic- Animated ChC</v>
      </c>
      <c r="C53" s="1" t="s">
        <v>28</v>
      </c>
      <c r="D53" s="3" t="n">
        <f aca="false">O53+(7-WEEKDAY(O53))</f>
        <v>43358</v>
      </c>
      <c r="E53" s="1" t="str">
        <f aca="false">VLOOKUP(OFFSET(Table22,52,16,1,1),Key!B:D,2,0)</f>
        <v>United Kingdom</v>
      </c>
      <c r="F53" s="1" t="str">
        <f aca="false">IF(ISNUMBER(SEARCH("Canvas",U53)),"Link",IF(ISNUMBER(SEARCH("Link",U53)),"Link","Not filled properly"))</f>
        <v>Link</v>
      </c>
      <c r="G53" s="1" t="str">
        <f aca="false">IFERROR(VLOOKUP(OFFSET(Table22,52,21,1,1),OFFSET(Table2,0,1,ROWS(Table2),8),2,0),VLOOKUP(OFFSET(Table22,52,22,1,1),Table2,3,0))</f>
        <v>GBR_gaPMG_CE_AZR_Q1_19_Trial-Social</v>
      </c>
      <c r="H53" s="1" t="n">
        <f aca="false">IFERROR(VLOOKUP(OFFSET(Table22,52,21,1,1),OFFSET(Table2,0,1,ROWS(Table2),8),3,0),VLOOKUP(OFFSET(Table22,52,22,1,1),Table2,4,0))</f>
        <v>21337013</v>
      </c>
      <c r="I53" s="2" t="n">
        <f aca="false">IFERROR(VLOOKUP(OFFSET(Table22,52,21,1,1),OFFSET(Table2,0,1,ROWS(Table2),8),4,0),VLOOKUP(OFFSET(Table22,52,22,1,1),Table2,5,0))</f>
        <v>720196</v>
      </c>
      <c r="J53" s="3" t="str">
        <f aca="false">IF(ISNUMBER(SEARCH("FACEBOOK",W53)),"Facebook",IF(ISNUMBER(SEARCH("INSTAGRAM",W53)),"Facebook-Instagram","Look at taxonomy"))</f>
        <v>Facebook</v>
      </c>
      <c r="K53" s="3" t="str">
        <f aca="false">IF(ISNUMBER(SEARCH("Facebook",J53)),"3654128","Not Facebook")</f>
        <v>3654128</v>
      </c>
      <c r="L53" s="3" t="str">
        <f aca="false">IFERROR(VLOOKUP(OFFSET(Table22,52,21,1,1),OFFSET(Table2,0,1,ROWS(Table2),8),7,0),VLOOKUP(OFFSET(Table22,52,22,1,1),Table2,8,0))</f>
        <v>AzurePlatform_FreeAcctRetargetingFB-Animated-ChC_GBR_1200x628_SOC_Plat_EN_Free Account_Standard_ANI_SU_T3_1</v>
      </c>
      <c r="M53" s="2" t="n">
        <f aca="false">IFERROR(VLOOKUP(OFFSET(Table22,52,21,1,1),OFFSET(Table2,0,1,ROWS(Table2),8),8,0),VLOOKUP(OFFSET(Table22,52,22,1,1),Table2,9,0))</f>
        <v>102854019</v>
      </c>
      <c r="N53" s="15" t="s">
        <v>29</v>
      </c>
      <c r="O53" s="16" t="n">
        <v>43356</v>
      </c>
      <c r="P53" s="17" t="s">
        <v>42</v>
      </c>
      <c r="Q53" s="18" t="s">
        <v>43</v>
      </c>
      <c r="R53" s="17" t="s">
        <v>44</v>
      </c>
      <c r="S53" s="18" t="s">
        <v>45</v>
      </c>
      <c r="T53" s="17" t="s">
        <v>34</v>
      </c>
      <c r="U53" s="18" t="s">
        <v>46</v>
      </c>
      <c r="V53" s="19" t="n">
        <v>223560299</v>
      </c>
      <c r="W53" s="17" t="s">
        <v>47</v>
      </c>
      <c r="X53" s="17" t="n">
        <v>514.92</v>
      </c>
      <c r="Y53" s="17" t="n">
        <v>2</v>
      </c>
      <c r="Z53" s="17" t="n">
        <v>13.4</v>
      </c>
      <c r="AA53" s="17" t="s">
        <v>48</v>
      </c>
      <c r="AB53" s="17" t="s">
        <v>49</v>
      </c>
    </row>
    <row r="54" customFormat="false" ht="15" hidden="false" customHeight="false" outlineLevel="0" collapsed="false">
      <c r="A54" s="1" t="str">
        <f aca="false">OFFSET(Table22,53,14,1,1)&amp;OFFSET(Table22,53,21,1,1)</f>
        <v>43356223560344</v>
      </c>
      <c r="B54" s="1" t="str">
        <f aca="false">OFFSET(Table22,53,14,1,1)&amp;OFFSET(Table22,53,22,1,1)</f>
        <v>43356Facebook»Retargeting»1x1»SocialBan»LIA»DT»DYN»RT»W»NA»SS»NA»Free Account Retargeting OSS- Text ChF</v>
      </c>
      <c r="C54" s="1" t="s">
        <v>28</v>
      </c>
      <c r="D54" s="3" t="n">
        <f aca="false">O54+(7-WEEKDAY(O54))</f>
        <v>43358</v>
      </c>
      <c r="E54" s="1" t="str">
        <f aca="false">VLOOKUP(OFFSET(Table22,53,16,1,1),Key!B:D,2,0)</f>
        <v>United Kingdom</v>
      </c>
      <c r="F54" s="1" t="str">
        <f aca="false">IF(ISNUMBER(SEARCH("Canvas",U54)),"Link",IF(ISNUMBER(SEARCH("Link",U54)),"Link","Not filled properly"))</f>
        <v>Link</v>
      </c>
      <c r="G54" s="1" t="str">
        <f aca="false">IFERROR(VLOOKUP(OFFSET(Table22,53,21,1,1),OFFSET(Table2,0,1,ROWS(Table2),8),2,0),VLOOKUP(OFFSET(Table22,53,22,1,1),Table2,3,0))</f>
        <v>GBR_gaPMG_CE_AZR_Q1_19_Trial-Social</v>
      </c>
      <c r="H54" s="1" t="n">
        <f aca="false">IFERROR(VLOOKUP(OFFSET(Table22,53,21,1,1),OFFSET(Table2,0,1,ROWS(Table2),8),3,0),VLOOKUP(OFFSET(Table22,53,22,1,1),Table2,4,0))</f>
        <v>21337013</v>
      </c>
      <c r="I54" s="2" t="n">
        <f aca="false">IFERROR(VLOOKUP(OFFSET(Table22,53,21,1,1),OFFSET(Table2,0,1,ROWS(Table2),8),4,0),VLOOKUP(OFFSET(Table22,53,22,1,1),Table2,5,0))</f>
        <v>720196</v>
      </c>
      <c r="J54" s="3" t="str">
        <f aca="false">IF(ISNUMBER(SEARCH("FACEBOOK",W54)),"Facebook",IF(ISNUMBER(SEARCH("INSTAGRAM",W54)),"Facebook-Instagram","Look at taxonomy"))</f>
        <v>Facebook</v>
      </c>
      <c r="K54" s="3" t="str">
        <f aca="false">IF(ISNUMBER(SEARCH("Facebook",J54)),"3654128","Not Facebook")</f>
        <v>3654128</v>
      </c>
      <c r="L54" s="3" t="str">
        <f aca="false">IFERROR(VLOOKUP(OFFSET(Table22,53,21,1,1),OFFSET(Table2,0,1,ROWS(Table2),8),7,0),VLOOKUP(OFFSET(Table22,53,22,1,1),Table2,8,0))</f>
        <v>AzurePlatform_FreeAcctRetargetingOSSFB-Text-ChF_GBR_1200x628_SOC_Plat_EN_Free Account_Standard_NA_SU_T1_1</v>
      </c>
      <c r="M54" s="2" t="n">
        <f aca="false">IFERROR(VLOOKUP(OFFSET(Table22,53,21,1,1),OFFSET(Table2,0,1,ROWS(Table2),8),8,0),VLOOKUP(OFFSET(Table22,53,22,1,1),Table2,9,0))</f>
        <v>102861246</v>
      </c>
      <c r="N54" s="15" t="s">
        <v>29</v>
      </c>
      <c r="O54" s="16" t="n">
        <v>43356</v>
      </c>
      <c r="P54" s="17" t="s">
        <v>42</v>
      </c>
      <c r="Q54" s="18" t="s">
        <v>43</v>
      </c>
      <c r="R54" s="17" t="s">
        <v>44</v>
      </c>
      <c r="S54" s="18" t="s">
        <v>45</v>
      </c>
      <c r="T54" s="17" t="s">
        <v>34</v>
      </c>
      <c r="U54" s="18" t="s">
        <v>46</v>
      </c>
      <c r="V54" s="19" t="n">
        <v>223560344</v>
      </c>
      <c r="W54" s="17" t="s">
        <v>52</v>
      </c>
      <c r="X54" s="17" t="n">
        <v>514.92</v>
      </c>
      <c r="Y54" s="17" t="n">
        <v>1</v>
      </c>
      <c r="Z54" s="17" t="n">
        <v>13.4</v>
      </c>
      <c r="AA54" s="17" t="s">
        <v>48</v>
      </c>
      <c r="AB54" s="17" t="s">
        <v>49</v>
      </c>
    </row>
    <row r="55" customFormat="false" ht="15" hidden="false" customHeight="false" outlineLevel="0" collapsed="false">
      <c r="A55" s="1" t="str">
        <f aca="false">OFFSET(Table22,54,14,1,1)&amp;OFFSET(Table22,54,21,1,1)</f>
        <v>43356223560350</v>
      </c>
      <c r="B55" s="1" t="str">
        <f aca="false">OFFSET(Table22,54,14,1,1)&amp;OFFSET(Table22,54,22,1,1)</f>
        <v>43356Facebook»Retargeting»1x1»SocialBan»LIA»DT»DYN»RT»W»NA»SS»NA»Free Account Retargeting OSS- Logos ChG</v>
      </c>
      <c r="C55" s="1" t="s">
        <v>28</v>
      </c>
      <c r="D55" s="3" t="n">
        <f aca="false">O55+(7-WEEKDAY(O55))</f>
        <v>43358</v>
      </c>
      <c r="E55" s="1" t="str">
        <f aca="false">VLOOKUP(OFFSET(Table22,54,16,1,1),Key!B:D,2,0)</f>
        <v>United Kingdom</v>
      </c>
      <c r="F55" s="1" t="str">
        <f aca="false">IF(ISNUMBER(SEARCH("Canvas",U55)),"Link",IF(ISNUMBER(SEARCH("Link",U55)),"Link","Not filled properly"))</f>
        <v>Link</v>
      </c>
      <c r="G55" s="1" t="str">
        <f aca="false">IFERROR(VLOOKUP(OFFSET(Table22,54,21,1,1),OFFSET(Table2,0,1,ROWS(Table2),8),2,0),VLOOKUP(OFFSET(Table22,54,22,1,1),Table2,3,0))</f>
        <v>GBR_gaPMG_CE_AZR_Q1_19_Trial-Social</v>
      </c>
      <c r="H55" s="1" t="n">
        <f aca="false">IFERROR(VLOOKUP(OFFSET(Table22,54,21,1,1),OFFSET(Table2,0,1,ROWS(Table2),8),3,0),VLOOKUP(OFFSET(Table22,54,22,1,1),Table2,4,0))</f>
        <v>21337013</v>
      </c>
      <c r="I55" s="2" t="n">
        <f aca="false">IFERROR(VLOOKUP(OFFSET(Table22,54,21,1,1),OFFSET(Table2,0,1,ROWS(Table2),8),4,0),VLOOKUP(OFFSET(Table22,54,22,1,1),Table2,5,0))</f>
        <v>720196</v>
      </c>
      <c r="J55" s="3" t="str">
        <f aca="false">IF(ISNUMBER(SEARCH("FACEBOOK",W55)),"Facebook",IF(ISNUMBER(SEARCH("INSTAGRAM",W55)),"Facebook-Instagram","Look at taxonomy"))</f>
        <v>Facebook</v>
      </c>
      <c r="K55" s="3" t="str">
        <f aca="false">IF(ISNUMBER(SEARCH("Facebook",J55)),"3654128","Not Facebook")</f>
        <v>3654128</v>
      </c>
      <c r="L55" s="3" t="str">
        <f aca="false">IFERROR(VLOOKUP(OFFSET(Table22,54,21,1,1),OFFSET(Table2,0,1,ROWS(Table2),8),7,0),VLOOKUP(OFFSET(Table22,54,22,1,1),Table2,8,0))</f>
        <v>AzurePlatform_FreeAcctRetargetingOSSFB-Logos-ChG_GBR_1200x628_SOC_Plat_EN_Free Account_Standard_NA_SU_T2_1</v>
      </c>
      <c r="M55" s="2" t="n">
        <f aca="false">IFERROR(VLOOKUP(OFFSET(Table22,54,21,1,1),OFFSET(Table2,0,1,ROWS(Table2),8),8,0),VLOOKUP(OFFSET(Table22,54,22,1,1),Table2,9,0))</f>
        <v>103006547</v>
      </c>
      <c r="N55" s="15" t="s">
        <v>29</v>
      </c>
      <c r="O55" s="16" t="n">
        <v>43356</v>
      </c>
      <c r="P55" s="17" t="s">
        <v>42</v>
      </c>
      <c r="Q55" s="18" t="s">
        <v>43</v>
      </c>
      <c r="R55" s="17" t="s">
        <v>44</v>
      </c>
      <c r="S55" s="18" t="s">
        <v>45</v>
      </c>
      <c r="T55" s="17" t="s">
        <v>34</v>
      </c>
      <c r="U55" s="18" t="s">
        <v>46</v>
      </c>
      <c r="V55" s="19" t="n">
        <v>223560350</v>
      </c>
      <c r="W55" s="17" t="s">
        <v>53</v>
      </c>
      <c r="X55" s="17" t="n">
        <v>514.92</v>
      </c>
      <c r="Y55" s="17" t="n">
        <v>3</v>
      </c>
      <c r="Z55" s="17" t="n">
        <v>13.4</v>
      </c>
      <c r="AA55" s="17" t="s">
        <v>48</v>
      </c>
      <c r="AB55" s="17" t="s">
        <v>49</v>
      </c>
    </row>
    <row r="56" customFormat="false" ht="15" hidden="false" customHeight="false" outlineLevel="0" collapsed="false">
      <c r="A56" s="1" t="str">
        <f aca="false">OFFSET(Table22,55,14,1,1)&amp;OFFSET(Table22,55,21,1,1)</f>
        <v>43356223560356</v>
      </c>
      <c r="B56" s="1" t="str">
        <f aca="false">OFFSET(Table22,55,14,1,1)&amp;OFFSET(Table22,55,22,1,1)</f>
        <v>43356Facebook»Retargeting»1x1»SocialBan»LIA»DT»DYN»RT»W»NA»SS»NA»Free Account Retargeting Generic- Global Alt ChB</v>
      </c>
      <c r="C56" s="1" t="s">
        <v>28</v>
      </c>
      <c r="D56" s="3" t="n">
        <f aca="false">O56+(7-WEEKDAY(O56))</f>
        <v>43358</v>
      </c>
      <c r="E56" s="1" t="str">
        <f aca="false">VLOOKUP(OFFSET(Table22,55,16,1,1),Key!B:D,2,0)</f>
        <v>United Kingdom</v>
      </c>
      <c r="F56" s="1" t="str">
        <f aca="false">IF(ISNUMBER(SEARCH("Canvas",U56)),"Link",IF(ISNUMBER(SEARCH("Link",U56)),"Link","Not filled properly"))</f>
        <v>Link</v>
      </c>
      <c r="G56" s="1" t="str">
        <f aca="false">IFERROR(VLOOKUP(OFFSET(Table22,55,21,1,1),OFFSET(Table2,0,1,ROWS(Table2),8),2,0),VLOOKUP(OFFSET(Table22,55,22,1,1),Table2,3,0))</f>
        <v>GBR_gaPMG_CE_AZR_Q1_19_Trial-Social</v>
      </c>
      <c r="H56" s="1" t="n">
        <f aca="false">IFERROR(VLOOKUP(OFFSET(Table22,55,21,1,1),OFFSET(Table2,0,1,ROWS(Table2),8),3,0),VLOOKUP(OFFSET(Table22,55,22,1,1),Table2,4,0))</f>
        <v>21337013</v>
      </c>
      <c r="I56" s="2" t="n">
        <f aca="false">IFERROR(VLOOKUP(OFFSET(Table22,55,21,1,1),OFFSET(Table2,0,1,ROWS(Table2),8),4,0),VLOOKUP(OFFSET(Table22,55,22,1,1),Table2,5,0))</f>
        <v>720196</v>
      </c>
      <c r="J56" s="3" t="str">
        <f aca="false">IF(ISNUMBER(SEARCH("FACEBOOK",W56)),"Facebook",IF(ISNUMBER(SEARCH("INSTAGRAM",W56)),"Facebook-Instagram","Look at taxonomy"))</f>
        <v>Facebook</v>
      </c>
      <c r="K56" s="3" t="str">
        <f aca="false">IF(ISNUMBER(SEARCH("Facebook",J56)),"3654128","Not Facebook")</f>
        <v>3654128</v>
      </c>
      <c r="L56" s="3" t="str">
        <f aca="false">IFERROR(VLOOKUP(OFFSET(Table22,55,21,1,1),OFFSET(Table2,0,1,ROWS(Table2),8),7,0),VLOOKUP(OFFSET(Table22,55,22,1,1),Table2,8,0))</f>
        <v>AzurePlatform_FreeAcctRetargetingFB-GlobalAlt-ChB_GBR_1200x628_SOC_Plat_EN_Free Account_Standard_NA_SU_T2_1</v>
      </c>
      <c r="M56" s="2" t="n">
        <f aca="false">IFERROR(VLOOKUP(OFFSET(Table22,55,21,1,1),OFFSET(Table2,0,1,ROWS(Table2),8),8,0),VLOOKUP(OFFSET(Table22,55,22,1,1),Table2,9,0))</f>
        <v>102854016</v>
      </c>
      <c r="N56" s="15" t="s">
        <v>29</v>
      </c>
      <c r="O56" s="16" t="n">
        <v>43356</v>
      </c>
      <c r="P56" s="17" t="s">
        <v>42</v>
      </c>
      <c r="Q56" s="18" t="s">
        <v>43</v>
      </c>
      <c r="R56" s="17" t="s">
        <v>44</v>
      </c>
      <c r="S56" s="18" t="s">
        <v>45</v>
      </c>
      <c r="T56" s="17" t="s">
        <v>34</v>
      </c>
      <c r="U56" s="18" t="s">
        <v>46</v>
      </c>
      <c r="V56" s="19" t="n">
        <v>223560356</v>
      </c>
      <c r="W56" s="17" t="s">
        <v>54</v>
      </c>
      <c r="X56" s="17" t="n">
        <v>514.92</v>
      </c>
      <c r="Y56" s="17" t="n">
        <v>2</v>
      </c>
      <c r="Z56" s="17" t="n">
        <v>13.4</v>
      </c>
      <c r="AA56" s="17" t="s">
        <v>48</v>
      </c>
      <c r="AB56" s="17" t="s">
        <v>49</v>
      </c>
    </row>
    <row r="57" customFormat="false" ht="15" hidden="false" customHeight="false" outlineLevel="0" collapsed="false">
      <c r="A57" s="1" t="str">
        <f aca="false">OFFSET(Table22,56,14,1,1)&amp;OFFSET(Table22,56,21,1,1)</f>
        <v>43356224334170</v>
      </c>
      <c r="B57" s="1" t="str">
        <f aca="false">OFFSET(Table22,56,14,1,1)&amp;OFFSET(Table22,56,22,1,1)</f>
        <v>43356Facebook»Audience &amp; Interest Targeting»1x1»SocialBan»LIA»DT»CPC»AUT»W»NA»SS»NA»Benefit 2 in Motion</v>
      </c>
      <c r="C57" s="1" t="s">
        <v>28</v>
      </c>
      <c r="D57" s="3" t="n">
        <f aca="false">O57+(7-WEEKDAY(O57))</f>
        <v>43358</v>
      </c>
      <c r="E57" s="1" t="str">
        <f aca="false">VLOOKUP(OFFSET(Table22,56,16,1,1),Key!B:D,2,0)</f>
        <v>United Kingdom</v>
      </c>
      <c r="F57" s="1" t="str">
        <f aca="false">IF(ISNUMBER(SEARCH("Canvas",U57)),"Link",IF(ISNUMBER(SEARCH("Link",U57)),"Link","Not filled properly"))</f>
        <v>Link</v>
      </c>
      <c r="G57" s="1" t="str">
        <f aca="false">IFERROR(VLOOKUP(OFFSET(Table22,56,21,1,1),OFFSET(Table2,0,1,ROWS(Table2),8),2,0),VLOOKUP(OFFSET(Table22,56,22,1,1),Table2,3,0))</f>
        <v>GBR_gaPMG_CE_AZR_Q1_19_Trial-Social</v>
      </c>
      <c r="H57" s="1" t="n">
        <f aca="false">IFERROR(VLOOKUP(OFFSET(Table22,56,21,1,1),OFFSET(Table2,0,1,ROWS(Table2),8),3,0),VLOOKUP(OFFSET(Table22,56,22,1,1),Table2,4,0))</f>
        <v>21337013</v>
      </c>
      <c r="I57" s="2" t="n">
        <f aca="false">IFERROR(VLOOKUP(OFFSET(Table22,56,21,1,1),OFFSET(Table2,0,1,ROWS(Table2),8),4,0),VLOOKUP(OFFSET(Table22,56,22,1,1),Table2,5,0))</f>
        <v>720196</v>
      </c>
      <c r="J57" s="3" t="str">
        <f aca="false">IF(ISNUMBER(SEARCH("FACEBOOK",W57)),"Facebook",IF(ISNUMBER(SEARCH("INSTAGRAM",W57)),"Facebook-Instagram","Look at taxonomy"))</f>
        <v>Facebook</v>
      </c>
      <c r="K57" s="3" t="str">
        <f aca="false">IF(ISNUMBER(SEARCH("Facebook",J57)),"3654128","Not Facebook")</f>
        <v>3654128</v>
      </c>
      <c r="L57" s="3" t="str">
        <f aca="false">IFERROR(VLOOKUP(OFFSET(Table22,56,21,1,1),OFFSET(Table2,0,1,ROWS(Table2),8),7,0),VLOOKUP(OFFSET(Table22,56,22,1,1),Table2,8,0))</f>
        <v>AzurePlatform_FBCTCcanvaspage-BuyNowCTA-Img3_GBR_1080x162_SOC_Plat_English_NA_Standard_NA_BN_T3_1</v>
      </c>
      <c r="M57" s="2" t="n">
        <f aca="false">IFERROR(VLOOKUP(OFFSET(Table22,56,21,1,1),OFFSET(Table2,0,1,ROWS(Table2),8),8,0),VLOOKUP(OFFSET(Table22,56,22,1,1),Table2,9,0))</f>
        <v>103230847</v>
      </c>
      <c r="N57" s="15" t="s">
        <v>29</v>
      </c>
      <c r="O57" s="16" t="n">
        <v>43356</v>
      </c>
      <c r="P57" s="17" t="s">
        <v>42</v>
      </c>
      <c r="Q57" s="18" t="s">
        <v>43</v>
      </c>
      <c r="R57" s="17" t="s">
        <v>44</v>
      </c>
      <c r="S57" s="18" t="s">
        <v>45</v>
      </c>
      <c r="T57" s="17" t="s">
        <v>55</v>
      </c>
      <c r="U57" s="18" t="s">
        <v>46</v>
      </c>
      <c r="V57" s="19" t="n">
        <v>224334170</v>
      </c>
      <c r="W57" s="17" t="s">
        <v>56</v>
      </c>
      <c r="X57" s="17" t="n">
        <v>5496.92</v>
      </c>
      <c r="Y57" s="17" t="n">
        <v>1</v>
      </c>
      <c r="Z57" s="17" t="n">
        <v>78.43</v>
      </c>
      <c r="AA57" s="17" t="s">
        <v>48</v>
      </c>
      <c r="AB57" s="17" t="s">
        <v>49</v>
      </c>
    </row>
    <row r="58" customFormat="false" ht="15" hidden="false" customHeight="false" outlineLevel="0" collapsed="false">
      <c r="A58" s="1" t="str">
        <f aca="false">OFFSET(Table22,57,14,1,1)&amp;OFFSET(Table22,57,21,1,1)</f>
        <v>43356224399962</v>
      </c>
      <c r="B58" s="1" t="str">
        <f aca="false">OFFSET(Table22,57,14,1,1)&amp;OFFSET(Table22,57,22,1,1)</f>
        <v>43356Facebook»Audience &amp; Interest Targeting»1x1»SocialBan»LIA»DT»CPC»AUT»W»NA»SS»NA»Basic Motion</v>
      </c>
      <c r="C58" s="1" t="s">
        <v>28</v>
      </c>
      <c r="D58" s="3" t="n">
        <f aca="false">O58+(7-WEEKDAY(O58))</f>
        <v>43358</v>
      </c>
      <c r="E58" s="1" t="str">
        <f aca="false">VLOOKUP(OFFSET(Table22,57,16,1,1),Key!B:D,2,0)</f>
        <v>United Kingdom</v>
      </c>
      <c r="F58" s="1" t="str">
        <f aca="false">IF(ISNUMBER(SEARCH("Canvas",U58)),"Link",IF(ISNUMBER(SEARCH("Link",U58)),"Link","Not filled properly"))</f>
        <v>Link</v>
      </c>
      <c r="G58" s="1" t="str">
        <f aca="false">IFERROR(VLOOKUP(OFFSET(Table22,57,21,1,1),OFFSET(Table2,0,1,ROWS(Table2),8),2,0),VLOOKUP(OFFSET(Table22,57,22,1,1),Table2,3,0))</f>
        <v>GBR_gaPMG_CE_AZR_Q1_19_Trial-Social</v>
      </c>
      <c r="H58" s="1" t="n">
        <f aca="false">IFERROR(VLOOKUP(OFFSET(Table22,57,21,1,1),OFFSET(Table2,0,1,ROWS(Table2),8),3,0),VLOOKUP(OFFSET(Table22,57,22,1,1),Table2,4,0))</f>
        <v>21337013</v>
      </c>
      <c r="I58" s="2" t="n">
        <f aca="false">IFERROR(VLOOKUP(OFFSET(Table22,57,21,1,1),OFFSET(Table2,0,1,ROWS(Table2),8),4,0),VLOOKUP(OFFSET(Table22,57,22,1,1),Table2,5,0))</f>
        <v>720196</v>
      </c>
      <c r="J58" s="3" t="str">
        <f aca="false">IF(ISNUMBER(SEARCH("FACEBOOK",W58)),"Facebook",IF(ISNUMBER(SEARCH("INSTAGRAM",W58)),"Facebook-Instagram","Look at taxonomy"))</f>
        <v>Facebook</v>
      </c>
      <c r="K58" s="3" t="str">
        <f aca="false">IF(ISNUMBER(SEARCH("Facebook",J58)),"3654128","Not Facebook")</f>
        <v>3654128</v>
      </c>
      <c r="L58" s="3" t="str">
        <f aca="false">IFERROR(VLOOKUP(OFFSET(Table22,57,21,1,1),OFFSET(Table2,0,1,ROWS(Table2),8),7,0),VLOOKUP(OFFSET(Table22,57,22,1,1),Table2,8,0))</f>
        <v>AzurePlatform_FBCTCcanvaspage-BuyNowCTA-Img3_GBR_1080x162_SOC_Plat_English_NA_Standard_NA_BN_T3_1</v>
      </c>
      <c r="M58" s="2" t="n">
        <f aca="false">IFERROR(VLOOKUP(OFFSET(Table22,57,21,1,1),OFFSET(Table2,0,1,ROWS(Table2),8),8,0),VLOOKUP(OFFSET(Table22,57,22,1,1),Table2,9,0))</f>
        <v>103230847</v>
      </c>
      <c r="N58" s="15" t="s">
        <v>29</v>
      </c>
      <c r="O58" s="16" t="n">
        <v>43356</v>
      </c>
      <c r="P58" s="17" t="s">
        <v>42</v>
      </c>
      <c r="Q58" s="18" t="s">
        <v>43</v>
      </c>
      <c r="R58" s="17" t="s">
        <v>44</v>
      </c>
      <c r="S58" s="18" t="s">
        <v>45</v>
      </c>
      <c r="T58" s="17" t="s">
        <v>55</v>
      </c>
      <c r="U58" s="18" t="s">
        <v>46</v>
      </c>
      <c r="V58" s="19" t="n">
        <v>224399962</v>
      </c>
      <c r="W58" s="17" t="s">
        <v>57</v>
      </c>
      <c r="X58" s="17" t="n">
        <v>5496.92</v>
      </c>
      <c r="Y58" s="17" t="n">
        <v>1</v>
      </c>
      <c r="Z58" s="17" t="n">
        <v>78.43</v>
      </c>
      <c r="AA58" s="17" t="s">
        <v>48</v>
      </c>
      <c r="AB58" s="17" t="s">
        <v>49</v>
      </c>
    </row>
    <row r="59" customFormat="false" ht="15" hidden="false" customHeight="false" outlineLevel="0" collapsed="false">
      <c r="A59" s="1" t="str">
        <f aca="false">OFFSET(Table22,58,14,1,1)&amp;OFFSET(Table22,58,21,1,1)</f>
        <v>43356226887148</v>
      </c>
      <c r="B59" s="1" t="str">
        <f aca="false">OFFSET(Table22,58,14,1,1)&amp;OFFSET(Table22,58,22,1,1)</f>
        <v>43356Facebook»Audience &amp; Interest Targeting- Azure Trial Lookalikes»1x1»TextLink»CAN»MO»CPM»AUT»W»NA»SS»NA»Free Account IT Pro- Secure</v>
      </c>
      <c r="C59" s="1" t="s">
        <v>28</v>
      </c>
      <c r="D59" s="3" t="n">
        <f aca="false">O59+(7-WEEKDAY(O59))</f>
        <v>43358</v>
      </c>
      <c r="E59" s="1" t="str">
        <f aca="false">VLOOKUP(OFFSET(Table22,58,16,1,1),Key!B:D,2,0)</f>
        <v>United Kingdom</v>
      </c>
      <c r="F59" s="1" t="str">
        <f aca="false">IF(ISNUMBER(SEARCH("Canvas",U59)),"Link",IF(ISNUMBER(SEARCH("Link",U59)),"Link","Not filled properly"))</f>
        <v>Link</v>
      </c>
      <c r="G59" s="1" t="str">
        <f aca="false">IFERROR(VLOOKUP(OFFSET(Table22,58,21,1,1),OFFSET(Table2,0,1,ROWS(Table2),8),2,0),VLOOKUP(OFFSET(Table22,58,22,1,1),Table2,3,0))</f>
        <v>GBR_gaPMG_CE_AZR_Q1_19_Trial-Social</v>
      </c>
      <c r="H59" s="1" t="n">
        <f aca="false">IFERROR(VLOOKUP(OFFSET(Table22,58,21,1,1),OFFSET(Table2,0,1,ROWS(Table2),8),3,0),VLOOKUP(OFFSET(Table22,58,22,1,1),Table2,4,0))</f>
        <v>21337013</v>
      </c>
      <c r="I59" s="2" t="n">
        <f aca="false">IFERROR(VLOOKUP(OFFSET(Table22,58,21,1,1),OFFSET(Table2,0,1,ROWS(Table2),8),4,0),VLOOKUP(OFFSET(Table22,58,22,1,1),Table2,5,0))</f>
        <v>720196</v>
      </c>
      <c r="J59" s="3" t="str">
        <f aca="false">IF(ISNUMBER(SEARCH("FACEBOOK",W59)),"Facebook",IF(ISNUMBER(SEARCH("INSTAGRAM",W59)),"Facebook-Instagram","Look at taxonomy"))</f>
        <v>Facebook</v>
      </c>
      <c r="K59" s="3" t="str">
        <f aca="false">IF(ISNUMBER(SEARCH("Facebook",J59)),"3654128","Not Facebook")</f>
        <v>3654128</v>
      </c>
      <c r="L59" s="3" t="str">
        <f aca="false">IFERROR(VLOOKUP(OFFSET(Table22,58,21,1,1),OFFSET(Table2,0,1,ROWS(Table2),8),7,0),VLOOKUP(OFFSET(Table22,58,22,1,1),Table2,8,0))</f>
        <v>AzurePlatform_FBCTCcanvaspage-StartFreeCTA-Img2_GBR_1080x143 _SOC_Plat_English_NA_Standard_NA_NA_T2_1</v>
      </c>
      <c r="M59" s="2" t="n">
        <f aca="false">IFERROR(VLOOKUP(OFFSET(Table22,58,21,1,1),OFFSET(Table2,0,1,ROWS(Table2),8),8,0),VLOOKUP(OFFSET(Table22,58,22,1,1),Table2,9,0))</f>
        <v>103235146</v>
      </c>
      <c r="N59" s="15" t="s">
        <v>29</v>
      </c>
      <c r="O59" s="16" t="n">
        <v>43356</v>
      </c>
      <c r="P59" s="17" t="s">
        <v>42</v>
      </c>
      <c r="Q59" s="18" t="s">
        <v>43</v>
      </c>
      <c r="R59" s="17" t="s">
        <v>44</v>
      </c>
      <c r="S59" s="18" t="s">
        <v>45</v>
      </c>
      <c r="T59" s="17" t="s">
        <v>55</v>
      </c>
      <c r="U59" s="18" t="s">
        <v>46</v>
      </c>
      <c r="V59" s="19" t="n">
        <v>226887148</v>
      </c>
      <c r="W59" s="17" t="s">
        <v>62</v>
      </c>
      <c r="X59" s="17" t="n">
        <v>5496.92</v>
      </c>
      <c r="Y59" s="17" t="n">
        <v>1</v>
      </c>
      <c r="Z59" s="17" t="n">
        <v>78.43</v>
      </c>
      <c r="AA59" s="17" t="s">
        <v>48</v>
      </c>
      <c r="AB59" s="17" t="s">
        <v>49</v>
      </c>
    </row>
    <row r="60" customFormat="false" ht="15" hidden="false" customHeight="false" outlineLevel="0" collapsed="false">
      <c r="A60" s="1" t="str">
        <f aca="false">OFFSET(Table22,59,14,1,1)&amp;OFFSET(Table22,59,21,1,1)</f>
        <v>43357223560299</v>
      </c>
      <c r="B60" s="1" t="str">
        <f aca="false">OFFSET(Table22,59,14,1,1)&amp;OFFSET(Table22,59,22,1,1)</f>
        <v>43357Facebook»Retargeting»1x1»SocialBan»LIA»DT»DYN»RT»W»NA»SS»NA»Free Account Retargeting Generic- Animated ChC</v>
      </c>
      <c r="C60" s="1" t="s">
        <v>28</v>
      </c>
      <c r="D60" s="3" t="n">
        <f aca="false">O60+(7-WEEKDAY(O60))</f>
        <v>43358</v>
      </c>
      <c r="E60" s="1" t="str">
        <f aca="false">VLOOKUP(OFFSET(Table22,59,16,1,1),Key!B:D,2,0)</f>
        <v>United Kingdom</v>
      </c>
      <c r="F60" s="1" t="str">
        <f aca="false">IF(ISNUMBER(SEARCH("Canvas",U60)),"Link",IF(ISNUMBER(SEARCH("Link",U60)),"Link","Not filled properly"))</f>
        <v>Link</v>
      </c>
      <c r="G60" s="1" t="str">
        <f aca="false">IFERROR(VLOOKUP(OFFSET(Table22,59,21,1,1),OFFSET(Table2,0,1,ROWS(Table2),8),2,0),VLOOKUP(OFFSET(Table22,59,22,1,1),Table2,3,0))</f>
        <v>GBR_gaPMG_CE_AZR_Q1_19_Trial-Social</v>
      </c>
      <c r="H60" s="1" t="n">
        <f aca="false">IFERROR(VLOOKUP(OFFSET(Table22,59,21,1,1),OFFSET(Table2,0,1,ROWS(Table2),8),3,0),VLOOKUP(OFFSET(Table22,59,22,1,1),Table2,4,0))</f>
        <v>21337013</v>
      </c>
      <c r="I60" s="2" t="n">
        <f aca="false">IFERROR(VLOOKUP(OFFSET(Table22,59,21,1,1),OFFSET(Table2,0,1,ROWS(Table2),8),4,0),VLOOKUP(OFFSET(Table22,59,22,1,1),Table2,5,0))</f>
        <v>720196</v>
      </c>
      <c r="J60" s="3" t="str">
        <f aca="false">IF(ISNUMBER(SEARCH("FACEBOOK",W60)),"Facebook",IF(ISNUMBER(SEARCH("INSTAGRAM",W60)),"Facebook-Instagram","Look at taxonomy"))</f>
        <v>Facebook</v>
      </c>
      <c r="K60" s="3" t="str">
        <f aca="false">IF(ISNUMBER(SEARCH("Facebook",J60)),"3654128","Not Facebook")</f>
        <v>3654128</v>
      </c>
      <c r="L60" s="3" t="str">
        <f aca="false">IFERROR(VLOOKUP(OFFSET(Table22,59,21,1,1),OFFSET(Table2,0,1,ROWS(Table2),8),7,0),VLOOKUP(OFFSET(Table22,59,22,1,1),Table2,8,0))</f>
        <v>AzurePlatform_FreeAcctRetargetingFB-Animated-ChC_GBR_1200x628_SOC_Plat_EN_Free Account_Standard_ANI_SU_T3_1</v>
      </c>
      <c r="M60" s="2" t="n">
        <f aca="false">IFERROR(VLOOKUP(OFFSET(Table22,59,21,1,1),OFFSET(Table2,0,1,ROWS(Table2),8),8,0),VLOOKUP(OFFSET(Table22,59,22,1,1),Table2,9,0))</f>
        <v>102854019</v>
      </c>
      <c r="N60" s="15" t="s">
        <v>29</v>
      </c>
      <c r="O60" s="16" t="n">
        <v>43357</v>
      </c>
      <c r="P60" s="17" t="s">
        <v>42</v>
      </c>
      <c r="Q60" s="18" t="s">
        <v>43</v>
      </c>
      <c r="R60" s="17" t="s">
        <v>44</v>
      </c>
      <c r="S60" s="18" t="s">
        <v>45</v>
      </c>
      <c r="T60" s="17" t="s">
        <v>34</v>
      </c>
      <c r="U60" s="18" t="s">
        <v>46</v>
      </c>
      <c r="V60" s="19" t="n">
        <v>223560299</v>
      </c>
      <c r="W60" s="17" t="s">
        <v>47</v>
      </c>
      <c r="X60" s="17" t="n">
        <v>514.92</v>
      </c>
      <c r="Y60" s="17" t="n">
        <v>2</v>
      </c>
      <c r="Z60" s="17" t="n">
        <v>13.4</v>
      </c>
      <c r="AA60" s="17" t="s">
        <v>48</v>
      </c>
      <c r="AB60" s="17" t="s">
        <v>49</v>
      </c>
    </row>
    <row r="61" customFormat="false" ht="15" hidden="false" customHeight="false" outlineLevel="0" collapsed="false">
      <c r="A61" s="1" t="str">
        <f aca="false">OFFSET(Table22,60,14,1,1)&amp;OFFSET(Table22,60,21,1,1)</f>
        <v>43357223560332</v>
      </c>
      <c r="B61" s="1" t="str">
        <f aca="false">OFFSET(Table22,60,14,1,1)&amp;OFFSET(Table22,60,22,1,1)</f>
        <v>43357Facebook»Retargeting»1x1»SocialBan»LIA»DT»DYN»RT»W»NA»SS»NA»Free Account Retargeting VM- On Demand ChE</v>
      </c>
      <c r="C61" s="1" t="s">
        <v>28</v>
      </c>
      <c r="D61" s="3" t="n">
        <f aca="false">O61+(7-WEEKDAY(O61))</f>
        <v>43358</v>
      </c>
      <c r="E61" s="1" t="str">
        <f aca="false">VLOOKUP(OFFSET(Table22,60,16,1,1),Key!B:D,2,0)</f>
        <v>United Kingdom</v>
      </c>
      <c r="F61" s="1" t="str">
        <f aca="false">IF(ISNUMBER(SEARCH("Canvas",U61)),"Link",IF(ISNUMBER(SEARCH("Link",U61)),"Link","Not filled properly"))</f>
        <v>Link</v>
      </c>
      <c r="G61" s="1" t="str">
        <f aca="false">IFERROR(VLOOKUP(OFFSET(Table22,60,21,1,1),OFFSET(Table2,0,1,ROWS(Table2),8),2,0),VLOOKUP(OFFSET(Table22,60,22,1,1),Table2,3,0))</f>
        <v>GBR_gaPMG_CE_AZR_Q1_19_Trial-Social</v>
      </c>
      <c r="H61" s="1" t="n">
        <f aca="false">IFERROR(VLOOKUP(OFFSET(Table22,60,21,1,1),OFFSET(Table2,0,1,ROWS(Table2),8),3,0),VLOOKUP(OFFSET(Table22,60,22,1,1),Table2,4,0))</f>
        <v>21337013</v>
      </c>
      <c r="I61" s="2" t="n">
        <f aca="false">IFERROR(VLOOKUP(OFFSET(Table22,60,21,1,1),OFFSET(Table2,0,1,ROWS(Table2),8),4,0),VLOOKUP(OFFSET(Table22,60,22,1,1),Table2,5,0))</f>
        <v>720196</v>
      </c>
      <c r="J61" s="3" t="str">
        <f aca="false">IF(ISNUMBER(SEARCH("FACEBOOK",W61)),"Facebook",IF(ISNUMBER(SEARCH("INSTAGRAM",W61)),"Facebook-Instagram","Look at taxonomy"))</f>
        <v>Facebook</v>
      </c>
      <c r="K61" s="3" t="str">
        <f aca="false">IF(ISNUMBER(SEARCH("Facebook",J61)),"3654128","Not Facebook")</f>
        <v>3654128</v>
      </c>
      <c r="L61" s="3" t="str">
        <f aca="false">IFERROR(VLOOKUP(OFFSET(Table22,60,21,1,1),OFFSET(Table2,0,1,ROWS(Table2),8),7,0),VLOOKUP(OFFSET(Table22,60,22,1,1),Table2,8,0))</f>
        <v>AzurePlatform_FreeAcctRetargetingVMFB-OnDemand-ChE_GBR_1200x628_SOC_Plat_EN_Free Account_Standard_NA_SU_T2_1</v>
      </c>
      <c r="M61" s="2" t="n">
        <f aca="false">IFERROR(VLOOKUP(OFFSET(Table22,60,21,1,1),OFFSET(Table2,0,1,ROWS(Table2),8),8,0),VLOOKUP(OFFSET(Table22,60,22,1,1),Table2,9,0))</f>
        <v>102854037</v>
      </c>
      <c r="N61" s="15" t="s">
        <v>29</v>
      </c>
      <c r="O61" s="16" t="n">
        <v>43357</v>
      </c>
      <c r="P61" s="17" t="s">
        <v>42</v>
      </c>
      <c r="Q61" s="18" t="s">
        <v>43</v>
      </c>
      <c r="R61" s="17" t="s">
        <v>44</v>
      </c>
      <c r="S61" s="18" t="s">
        <v>45</v>
      </c>
      <c r="T61" s="17" t="s">
        <v>34</v>
      </c>
      <c r="U61" s="18" t="s">
        <v>46</v>
      </c>
      <c r="V61" s="19" t="n">
        <v>223560332</v>
      </c>
      <c r="W61" s="17" t="s">
        <v>50</v>
      </c>
      <c r="X61" s="17" t="n">
        <v>514.92</v>
      </c>
      <c r="Y61" s="17" t="n">
        <v>6</v>
      </c>
      <c r="Z61" s="17" t="n">
        <v>13.4</v>
      </c>
      <c r="AA61" s="17" t="s">
        <v>48</v>
      </c>
      <c r="AB61" s="17" t="s">
        <v>49</v>
      </c>
    </row>
    <row r="62" customFormat="false" ht="15" hidden="false" customHeight="false" outlineLevel="0" collapsed="false">
      <c r="A62" s="1" t="str">
        <f aca="false">OFFSET(Table22,61,14,1,1)&amp;OFFSET(Table22,61,21,1,1)</f>
        <v>43357223560338</v>
      </c>
      <c r="B62" s="1" t="str">
        <f aca="false">OFFSET(Table22,61,14,1,1)&amp;OFFSET(Table22,61,22,1,1)</f>
        <v>43357Facebook»Retargeting»1x1»SocialBan»LIA»DT»DYN»RT»W»NA»SS»NA»Free Account Retargeting VM- 750 Hrs ChD</v>
      </c>
      <c r="C62" s="1" t="s">
        <v>28</v>
      </c>
      <c r="D62" s="3" t="n">
        <f aca="false">O62+(7-WEEKDAY(O62))</f>
        <v>43358</v>
      </c>
      <c r="E62" s="1" t="str">
        <f aca="false">VLOOKUP(OFFSET(Table22,61,16,1,1),Key!B:D,2,0)</f>
        <v>United Kingdom</v>
      </c>
      <c r="F62" s="1" t="str">
        <f aca="false">IF(ISNUMBER(SEARCH("Canvas",U62)),"Link",IF(ISNUMBER(SEARCH("Link",U62)),"Link","Not filled properly"))</f>
        <v>Link</v>
      </c>
      <c r="G62" s="1" t="str">
        <f aca="false">IFERROR(VLOOKUP(OFFSET(Table22,61,21,1,1),OFFSET(Table2,0,1,ROWS(Table2),8),2,0),VLOOKUP(OFFSET(Table22,61,22,1,1),Table2,3,0))</f>
        <v>GBR_gaPMG_CE_AZR_Q1_19_Trial-Social</v>
      </c>
      <c r="H62" s="1" t="n">
        <f aca="false">IFERROR(VLOOKUP(OFFSET(Table22,61,21,1,1),OFFSET(Table2,0,1,ROWS(Table2),8),3,0),VLOOKUP(OFFSET(Table22,61,22,1,1),Table2,4,0))</f>
        <v>21337013</v>
      </c>
      <c r="I62" s="2" t="n">
        <f aca="false">IFERROR(VLOOKUP(OFFSET(Table22,61,21,1,1),OFFSET(Table2,0,1,ROWS(Table2),8),4,0),VLOOKUP(OFFSET(Table22,61,22,1,1),Table2,5,0))</f>
        <v>720196</v>
      </c>
      <c r="J62" s="3" t="str">
        <f aca="false">IF(ISNUMBER(SEARCH("FACEBOOK",W62)),"Facebook",IF(ISNUMBER(SEARCH("INSTAGRAM",W62)),"Facebook-Instagram","Look at taxonomy"))</f>
        <v>Facebook</v>
      </c>
      <c r="K62" s="3" t="str">
        <f aca="false">IF(ISNUMBER(SEARCH("Facebook",J62)),"3654128","Not Facebook")</f>
        <v>3654128</v>
      </c>
      <c r="L62" s="3" t="str">
        <f aca="false">IFERROR(VLOOKUP(OFFSET(Table22,61,21,1,1),OFFSET(Table2,0,1,ROWS(Table2),8),7,0),VLOOKUP(OFFSET(Table22,61,22,1,1),Table2,8,0))</f>
        <v>AzurePlatform_FreeAcctRetargetingVMFB-750Hrs-ChD_GBR_1200x628_SOC_Plat_EN_Free Account_Standard_NA_SU_T1_1</v>
      </c>
      <c r="M62" s="2" t="n">
        <f aca="false">IFERROR(VLOOKUP(OFFSET(Table22,61,21,1,1),OFFSET(Table2,0,1,ROWS(Table2),8),8,0),VLOOKUP(OFFSET(Table22,61,22,1,1),Table2,9,0))</f>
        <v>102853603</v>
      </c>
      <c r="N62" s="15" t="s">
        <v>29</v>
      </c>
      <c r="O62" s="16" t="n">
        <v>43357</v>
      </c>
      <c r="P62" s="17" t="s">
        <v>42</v>
      </c>
      <c r="Q62" s="18" t="s">
        <v>43</v>
      </c>
      <c r="R62" s="17" t="s">
        <v>44</v>
      </c>
      <c r="S62" s="18" t="s">
        <v>45</v>
      </c>
      <c r="T62" s="17" t="s">
        <v>34</v>
      </c>
      <c r="U62" s="18" t="s">
        <v>46</v>
      </c>
      <c r="V62" s="19" t="n">
        <v>223560338</v>
      </c>
      <c r="W62" s="17" t="s">
        <v>51</v>
      </c>
      <c r="X62" s="17" t="n">
        <v>514.92</v>
      </c>
      <c r="Y62" s="17" t="n">
        <v>2</v>
      </c>
      <c r="Z62" s="17" t="n">
        <v>13.4</v>
      </c>
      <c r="AA62" s="17" t="s">
        <v>48</v>
      </c>
      <c r="AB62" s="17" t="s">
        <v>49</v>
      </c>
    </row>
    <row r="63" customFormat="false" ht="15" hidden="false" customHeight="false" outlineLevel="0" collapsed="false">
      <c r="A63" s="1" t="str">
        <f aca="false">OFFSET(Table22,62,14,1,1)&amp;OFFSET(Table22,62,21,1,1)</f>
        <v>43357223560344</v>
      </c>
      <c r="B63" s="1" t="str">
        <f aca="false">OFFSET(Table22,62,14,1,1)&amp;OFFSET(Table22,62,22,1,1)</f>
        <v>43357Facebook»Retargeting»1x1»SocialBan»LIA»DT»DYN»RT»W»NA»SS»NA»Free Account Retargeting OSS- Text ChF</v>
      </c>
      <c r="C63" s="1" t="s">
        <v>28</v>
      </c>
      <c r="D63" s="3" t="n">
        <f aca="false">O63+(7-WEEKDAY(O63))</f>
        <v>43358</v>
      </c>
      <c r="E63" s="1" t="str">
        <f aca="false">VLOOKUP(OFFSET(Table22,62,16,1,1),Key!B:D,2,0)</f>
        <v>United Kingdom</v>
      </c>
      <c r="F63" s="1" t="str">
        <f aca="false">IF(ISNUMBER(SEARCH("Canvas",U63)),"Link",IF(ISNUMBER(SEARCH("Link",U63)),"Link","Not filled properly"))</f>
        <v>Link</v>
      </c>
      <c r="G63" s="1" t="str">
        <f aca="false">IFERROR(VLOOKUP(OFFSET(Table22,62,21,1,1),OFFSET(Table2,0,1,ROWS(Table2),8),2,0),VLOOKUP(OFFSET(Table22,62,22,1,1),Table2,3,0))</f>
        <v>GBR_gaPMG_CE_AZR_Q1_19_Trial-Social</v>
      </c>
      <c r="H63" s="1" t="n">
        <f aca="false">IFERROR(VLOOKUP(OFFSET(Table22,62,21,1,1),OFFSET(Table2,0,1,ROWS(Table2),8),3,0),VLOOKUP(OFFSET(Table22,62,22,1,1),Table2,4,0))</f>
        <v>21337013</v>
      </c>
      <c r="I63" s="2" t="n">
        <f aca="false">IFERROR(VLOOKUP(OFFSET(Table22,62,21,1,1),OFFSET(Table2,0,1,ROWS(Table2),8),4,0),VLOOKUP(OFFSET(Table22,62,22,1,1),Table2,5,0))</f>
        <v>720196</v>
      </c>
      <c r="J63" s="3" t="str">
        <f aca="false">IF(ISNUMBER(SEARCH("FACEBOOK",W63)),"Facebook",IF(ISNUMBER(SEARCH("INSTAGRAM",W63)),"Facebook-Instagram","Look at taxonomy"))</f>
        <v>Facebook</v>
      </c>
      <c r="K63" s="3" t="str">
        <f aca="false">IF(ISNUMBER(SEARCH("Facebook",J63)),"3654128","Not Facebook")</f>
        <v>3654128</v>
      </c>
      <c r="L63" s="3" t="str">
        <f aca="false">IFERROR(VLOOKUP(OFFSET(Table22,62,21,1,1),OFFSET(Table2,0,1,ROWS(Table2),8),7,0),VLOOKUP(OFFSET(Table22,62,22,1,1),Table2,8,0))</f>
        <v>AzurePlatform_FreeAcctRetargetingOSSFB-Text-ChF_GBR_1200x628_SOC_Plat_EN_Free Account_Standard_NA_SU_T1_1</v>
      </c>
      <c r="M63" s="2" t="n">
        <f aca="false">IFERROR(VLOOKUP(OFFSET(Table22,62,21,1,1),OFFSET(Table2,0,1,ROWS(Table2),8),8,0),VLOOKUP(OFFSET(Table22,62,22,1,1),Table2,9,0))</f>
        <v>102861246</v>
      </c>
      <c r="N63" s="15" t="s">
        <v>29</v>
      </c>
      <c r="O63" s="16" t="n">
        <v>43357</v>
      </c>
      <c r="P63" s="17" t="s">
        <v>42</v>
      </c>
      <c r="Q63" s="18" t="s">
        <v>43</v>
      </c>
      <c r="R63" s="17" t="s">
        <v>44</v>
      </c>
      <c r="S63" s="18" t="s">
        <v>45</v>
      </c>
      <c r="T63" s="17" t="s">
        <v>34</v>
      </c>
      <c r="U63" s="18" t="s">
        <v>46</v>
      </c>
      <c r="V63" s="19" t="n">
        <v>223560344</v>
      </c>
      <c r="W63" s="17" t="s">
        <v>52</v>
      </c>
      <c r="X63" s="17" t="n">
        <v>514.92</v>
      </c>
      <c r="Y63" s="17" t="n">
        <v>1</v>
      </c>
      <c r="Z63" s="17" t="n">
        <v>13.4</v>
      </c>
      <c r="AA63" s="17" t="s">
        <v>48</v>
      </c>
      <c r="AB63" s="17" t="s">
        <v>49</v>
      </c>
    </row>
    <row r="64" customFormat="false" ht="15" hidden="false" customHeight="false" outlineLevel="0" collapsed="false">
      <c r="A64" s="1" t="str">
        <f aca="false">OFFSET(Table22,63,14,1,1)&amp;OFFSET(Table22,63,21,1,1)</f>
        <v>43357223560356</v>
      </c>
      <c r="B64" s="1" t="str">
        <f aca="false">OFFSET(Table22,63,14,1,1)&amp;OFFSET(Table22,63,22,1,1)</f>
        <v>43357Facebook»Retargeting»1x1»SocialBan»LIA»DT»DYN»RT»W»NA»SS»NA»Free Account Retargeting Generic- Global Alt ChB</v>
      </c>
      <c r="C64" s="1" t="s">
        <v>28</v>
      </c>
      <c r="D64" s="3" t="n">
        <f aca="false">O64+(7-WEEKDAY(O64))</f>
        <v>43358</v>
      </c>
      <c r="E64" s="1" t="str">
        <f aca="false">VLOOKUP(OFFSET(Table22,63,16,1,1),Key!B:D,2,0)</f>
        <v>United Kingdom</v>
      </c>
      <c r="F64" s="1" t="str">
        <f aca="false">IF(ISNUMBER(SEARCH("Canvas",U64)),"Link",IF(ISNUMBER(SEARCH("Link",U64)),"Link","Not filled properly"))</f>
        <v>Link</v>
      </c>
      <c r="G64" s="1" t="str">
        <f aca="false">IFERROR(VLOOKUP(OFFSET(Table22,63,21,1,1),OFFSET(Table2,0,1,ROWS(Table2),8),2,0),VLOOKUP(OFFSET(Table22,63,22,1,1),Table2,3,0))</f>
        <v>GBR_gaPMG_CE_AZR_Q1_19_Trial-Social</v>
      </c>
      <c r="H64" s="1" t="n">
        <f aca="false">IFERROR(VLOOKUP(OFFSET(Table22,63,21,1,1),OFFSET(Table2,0,1,ROWS(Table2),8),3,0),VLOOKUP(OFFSET(Table22,63,22,1,1),Table2,4,0))</f>
        <v>21337013</v>
      </c>
      <c r="I64" s="2" t="n">
        <f aca="false">IFERROR(VLOOKUP(OFFSET(Table22,63,21,1,1),OFFSET(Table2,0,1,ROWS(Table2),8),4,0),VLOOKUP(OFFSET(Table22,63,22,1,1),Table2,5,0))</f>
        <v>720196</v>
      </c>
      <c r="J64" s="3" t="str">
        <f aca="false">IF(ISNUMBER(SEARCH("FACEBOOK",W64)),"Facebook",IF(ISNUMBER(SEARCH("INSTAGRAM",W64)),"Facebook-Instagram","Look at taxonomy"))</f>
        <v>Facebook</v>
      </c>
      <c r="K64" s="3" t="str">
        <f aca="false">IF(ISNUMBER(SEARCH("Facebook",J64)),"3654128","Not Facebook")</f>
        <v>3654128</v>
      </c>
      <c r="L64" s="3" t="str">
        <f aca="false">IFERROR(VLOOKUP(OFFSET(Table22,63,21,1,1),OFFSET(Table2,0,1,ROWS(Table2),8),7,0),VLOOKUP(OFFSET(Table22,63,22,1,1),Table2,8,0))</f>
        <v>AzurePlatform_FreeAcctRetargetingFB-GlobalAlt-ChB_GBR_1200x628_SOC_Plat_EN_Free Account_Standard_NA_SU_T2_1</v>
      </c>
      <c r="M64" s="2" t="n">
        <f aca="false">IFERROR(VLOOKUP(OFFSET(Table22,63,21,1,1),OFFSET(Table2,0,1,ROWS(Table2),8),8,0),VLOOKUP(OFFSET(Table22,63,22,1,1),Table2,9,0))</f>
        <v>102854016</v>
      </c>
      <c r="N64" s="15" t="s">
        <v>29</v>
      </c>
      <c r="O64" s="16" t="n">
        <v>43357</v>
      </c>
      <c r="P64" s="17" t="s">
        <v>42</v>
      </c>
      <c r="Q64" s="18" t="s">
        <v>43</v>
      </c>
      <c r="R64" s="17" t="s">
        <v>44</v>
      </c>
      <c r="S64" s="18" t="s">
        <v>45</v>
      </c>
      <c r="T64" s="17" t="s">
        <v>34</v>
      </c>
      <c r="U64" s="18" t="s">
        <v>46</v>
      </c>
      <c r="V64" s="19" t="n">
        <v>223560356</v>
      </c>
      <c r="W64" s="17" t="s">
        <v>54</v>
      </c>
      <c r="X64" s="17" t="n">
        <v>514.92</v>
      </c>
      <c r="Y64" s="17" t="n">
        <v>2</v>
      </c>
      <c r="Z64" s="17" t="n">
        <v>13.4</v>
      </c>
      <c r="AA64" s="17" t="s">
        <v>48</v>
      </c>
      <c r="AB64" s="17" t="s">
        <v>49</v>
      </c>
    </row>
    <row r="65" customFormat="false" ht="15" hidden="false" customHeight="false" outlineLevel="0" collapsed="false">
      <c r="A65" s="1" t="str">
        <f aca="false">OFFSET(Table22,64,14,1,1)&amp;OFFSET(Table22,64,21,1,1)</f>
        <v>43357224334170</v>
      </c>
      <c r="B65" s="1" t="str">
        <f aca="false">OFFSET(Table22,64,14,1,1)&amp;OFFSET(Table22,64,22,1,1)</f>
        <v>43357Facebook»Audience &amp; Interest Targeting»1x1»SocialBan»LIA»DT»CPC»AUT»W»NA»SS»NA»Benefit 2 in Motion</v>
      </c>
      <c r="C65" s="1" t="s">
        <v>28</v>
      </c>
      <c r="D65" s="3" t="n">
        <f aca="false">O65+(7-WEEKDAY(O65))</f>
        <v>43358</v>
      </c>
      <c r="E65" s="1" t="str">
        <f aca="false">VLOOKUP(OFFSET(Table22,64,16,1,1),Key!B:D,2,0)</f>
        <v>United Kingdom</v>
      </c>
      <c r="F65" s="1" t="str">
        <f aca="false">IF(ISNUMBER(SEARCH("Canvas",U65)),"Link",IF(ISNUMBER(SEARCH("Link",U65)),"Link","Not filled properly"))</f>
        <v>Link</v>
      </c>
      <c r="G65" s="1" t="str">
        <f aca="false">IFERROR(VLOOKUP(OFFSET(Table22,64,21,1,1),OFFSET(Table2,0,1,ROWS(Table2),8),2,0),VLOOKUP(OFFSET(Table22,64,22,1,1),Table2,3,0))</f>
        <v>GBR_gaPMG_CE_AZR_Q1_19_Trial-Social</v>
      </c>
      <c r="H65" s="1" t="n">
        <f aca="false">IFERROR(VLOOKUP(OFFSET(Table22,64,21,1,1),OFFSET(Table2,0,1,ROWS(Table2),8),3,0),VLOOKUP(OFFSET(Table22,64,22,1,1),Table2,4,0))</f>
        <v>21337013</v>
      </c>
      <c r="I65" s="2" t="n">
        <f aca="false">IFERROR(VLOOKUP(OFFSET(Table22,64,21,1,1),OFFSET(Table2,0,1,ROWS(Table2),8),4,0),VLOOKUP(OFFSET(Table22,64,22,1,1),Table2,5,0))</f>
        <v>720196</v>
      </c>
      <c r="J65" s="3" t="str">
        <f aca="false">IF(ISNUMBER(SEARCH("FACEBOOK",W65)),"Facebook",IF(ISNUMBER(SEARCH("INSTAGRAM",W65)),"Facebook-Instagram","Look at taxonomy"))</f>
        <v>Facebook</v>
      </c>
      <c r="K65" s="3" t="str">
        <f aca="false">IF(ISNUMBER(SEARCH("Facebook",J65)),"3654128","Not Facebook")</f>
        <v>3654128</v>
      </c>
      <c r="L65" s="3" t="str">
        <f aca="false">IFERROR(VLOOKUP(OFFSET(Table22,64,21,1,1),OFFSET(Table2,0,1,ROWS(Table2),8),7,0),VLOOKUP(OFFSET(Table22,64,22,1,1),Table2,8,0))</f>
        <v>AzurePlatform_FBCTCcanvaspage-BuyNowCTA-Img3_GBR_1080x162_SOC_Plat_English_NA_Standard_NA_BN_T3_1</v>
      </c>
      <c r="M65" s="2" t="n">
        <f aca="false">IFERROR(VLOOKUP(OFFSET(Table22,64,21,1,1),OFFSET(Table2,0,1,ROWS(Table2),8),8,0),VLOOKUP(OFFSET(Table22,64,22,1,1),Table2,9,0))</f>
        <v>103230847</v>
      </c>
      <c r="N65" s="15" t="s">
        <v>29</v>
      </c>
      <c r="O65" s="16" t="n">
        <v>43357</v>
      </c>
      <c r="P65" s="17" t="s">
        <v>42</v>
      </c>
      <c r="Q65" s="18" t="s">
        <v>43</v>
      </c>
      <c r="R65" s="17" t="s">
        <v>44</v>
      </c>
      <c r="S65" s="18" t="s">
        <v>45</v>
      </c>
      <c r="T65" s="17" t="s">
        <v>55</v>
      </c>
      <c r="U65" s="18" t="s">
        <v>46</v>
      </c>
      <c r="V65" s="19" t="n">
        <v>224334170</v>
      </c>
      <c r="W65" s="17" t="s">
        <v>56</v>
      </c>
      <c r="X65" s="17" t="n">
        <v>5496.92</v>
      </c>
      <c r="Y65" s="17" t="n">
        <v>1</v>
      </c>
      <c r="Z65" s="17" t="n">
        <v>78.43</v>
      </c>
      <c r="AA65" s="17" t="s">
        <v>48</v>
      </c>
      <c r="AB65" s="17" t="s">
        <v>49</v>
      </c>
    </row>
    <row r="66" customFormat="false" ht="15" hidden="false" customHeight="false" outlineLevel="0" collapsed="false">
      <c r="A66" s="1" t="str">
        <f aca="false">OFFSET(Table22,65,14,1,1)&amp;OFFSET(Table22,65,21,1,1)</f>
        <v>43357224399962</v>
      </c>
      <c r="B66" s="1" t="str">
        <f aca="false">OFFSET(Table22,65,14,1,1)&amp;OFFSET(Table22,65,22,1,1)</f>
        <v>43357Facebook»Audience &amp; Interest Targeting»1x1»SocialBan»LIA»DT»CPC»AUT»W»NA»SS»NA»Basic Motion</v>
      </c>
      <c r="C66" s="1" t="s">
        <v>28</v>
      </c>
      <c r="D66" s="3" t="n">
        <f aca="false">O66+(7-WEEKDAY(O66))</f>
        <v>43358</v>
      </c>
      <c r="E66" s="1" t="str">
        <f aca="false">VLOOKUP(OFFSET(Table22,65,16,1,1),Key!B:D,2,0)</f>
        <v>United Kingdom</v>
      </c>
      <c r="F66" s="1" t="str">
        <f aca="false">IF(ISNUMBER(SEARCH("Canvas",U66)),"Link",IF(ISNUMBER(SEARCH("Link",U66)),"Link","Not filled properly"))</f>
        <v>Link</v>
      </c>
      <c r="G66" s="1" t="str">
        <f aca="false">IFERROR(VLOOKUP(OFFSET(Table22,65,21,1,1),OFFSET(Table2,0,1,ROWS(Table2),8),2,0),VLOOKUP(OFFSET(Table22,65,22,1,1),Table2,3,0))</f>
        <v>GBR_gaPMG_CE_AZR_Q1_19_Trial-Social</v>
      </c>
      <c r="H66" s="1" t="n">
        <f aca="false">IFERROR(VLOOKUP(OFFSET(Table22,65,21,1,1),OFFSET(Table2,0,1,ROWS(Table2),8),3,0),VLOOKUP(OFFSET(Table22,65,22,1,1),Table2,4,0))</f>
        <v>21337013</v>
      </c>
      <c r="I66" s="2" t="n">
        <f aca="false">IFERROR(VLOOKUP(OFFSET(Table22,65,21,1,1),OFFSET(Table2,0,1,ROWS(Table2),8),4,0),VLOOKUP(OFFSET(Table22,65,22,1,1),Table2,5,0))</f>
        <v>720196</v>
      </c>
      <c r="J66" s="3" t="str">
        <f aca="false">IF(ISNUMBER(SEARCH("FACEBOOK",W66)),"Facebook",IF(ISNUMBER(SEARCH("INSTAGRAM",W66)),"Facebook-Instagram","Look at taxonomy"))</f>
        <v>Facebook</v>
      </c>
      <c r="K66" s="3" t="str">
        <f aca="false">IF(ISNUMBER(SEARCH("Facebook",J66)),"3654128","Not Facebook")</f>
        <v>3654128</v>
      </c>
      <c r="L66" s="3" t="str">
        <f aca="false">IFERROR(VLOOKUP(OFFSET(Table22,65,21,1,1),OFFSET(Table2,0,1,ROWS(Table2),8),7,0),VLOOKUP(OFFSET(Table22,65,22,1,1),Table2,8,0))</f>
        <v>AzurePlatform_FBCTCcanvaspage-BuyNowCTA-Img3_GBR_1080x162_SOC_Plat_English_NA_Standard_NA_BN_T3_1</v>
      </c>
      <c r="M66" s="2" t="n">
        <f aca="false">IFERROR(VLOOKUP(OFFSET(Table22,65,21,1,1),OFFSET(Table2,0,1,ROWS(Table2),8),8,0),VLOOKUP(OFFSET(Table22,65,22,1,1),Table2,9,0))</f>
        <v>103230847</v>
      </c>
      <c r="N66" s="15" t="s">
        <v>29</v>
      </c>
      <c r="O66" s="16" t="n">
        <v>43357</v>
      </c>
      <c r="P66" s="17" t="s">
        <v>42</v>
      </c>
      <c r="Q66" s="18" t="s">
        <v>43</v>
      </c>
      <c r="R66" s="17" t="s">
        <v>44</v>
      </c>
      <c r="S66" s="18" t="s">
        <v>45</v>
      </c>
      <c r="T66" s="17" t="s">
        <v>55</v>
      </c>
      <c r="U66" s="18" t="s">
        <v>46</v>
      </c>
      <c r="V66" s="19" t="n">
        <v>224399962</v>
      </c>
      <c r="W66" s="17" t="s">
        <v>57</v>
      </c>
      <c r="X66" s="17" t="n">
        <v>5496.92</v>
      </c>
      <c r="Y66" s="17" t="n">
        <v>1</v>
      </c>
      <c r="Z66" s="17" t="n">
        <v>78.43</v>
      </c>
      <c r="AA66" s="17" t="s">
        <v>48</v>
      </c>
      <c r="AB66" s="17" t="s">
        <v>49</v>
      </c>
    </row>
    <row r="67" customFormat="false" ht="15" hidden="false" customHeight="false" outlineLevel="0" collapsed="false">
      <c r="A67" s="1" t="str">
        <f aca="false">OFFSET(Table22,66,14,1,1)&amp;OFFSET(Table22,66,21,1,1)</f>
        <v>43357224399962</v>
      </c>
      <c r="B67" s="1" t="str">
        <f aca="false">OFFSET(Table22,66,14,1,1)&amp;OFFSET(Table22,66,22,1,1)</f>
        <v>43357Facebook»Audience &amp; Interest Targeting»1x1»SocialBan»LIA»DT»CPC»AUT»W»NA»SS»NA»Basic Motion</v>
      </c>
      <c r="C67" s="1" t="s">
        <v>28</v>
      </c>
      <c r="D67" s="3" t="n">
        <f aca="false">O67+(7-WEEKDAY(O67))</f>
        <v>43358</v>
      </c>
      <c r="E67" s="1" t="str">
        <f aca="false">VLOOKUP(OFFSET(Table22,66,16,1,1),Key!B:D,2,0)</f>
        <v>United Kingdom</v>
      </c>
      <c r="F67" s="1" t="str">
        <f aca="false">IF(ISNUMBER(SEARCH("Canvas",U67)),"Link",IF(ISNUMBER(SEARCH("Link",U67)),"Link","Not filled properly"))</f>
        <v>Link</v>
      </c>
      <c r="G67" s="1" t="str">
        <f aca="false">IFERROR(VLOOKUP(OFFSET(Table22,66,21,1,1),OFFSET(Table2,0,1,ROWS(Table2),8),2,0),VLOOKUP(OFFSET(Table22,66,22,1,1),Table2,3,0))</f>
        <v>GBR_gaPMG_CE_AZR_Q1_19_Trial-Social</v>
      </c>
      <c r="H67" s="1" t="n">
        <f aca="false">IFERROR(VLOOKUP(OFFSET(Table22,66,21,1,1),OFFSET(Table2,0,1,ROWS(Table2),8),3,0),VLOOKUP(OFFSET(Table22,66,22,1,1),Table2,4,0))</f>
        <v>21337013</v>
      </c>
      <c r="I67" s="2" t="n">
        <f aca="false">IFERROR(VLOOKUP(OFFSET(Table22,66,21,1,1),OFFSET(Table2,0,1,ROWS(Table2),8),4,0),VLOOKUP(OFFSET(Table22,66,22,1,1),Table2,5,0))</f>
        <v>720196</v>
      </c>
      <c r="J67" s="3" t="str">
        <f aca="false">IF(ISNUMBER(SEARCH("FACEBOOK",W67)),"Facebook",IF(ISNUMBER(SEARCH("INSTAGRAM",W67)),"Facebook-Instagram","Look at taxonomy"))</f>
        <v>Facebook</v>
      </c>
      <c r="K67" s="3" t="str">
        <f aca="false">IF(ISNUMBER(SEARCH("Facebook",J67)),"3654128","Not Facebook")</f>
        <v>3654128</v>
      </c>
      <c r="L67" s="3" t="str">
        <f aca="false">IFERROR(VLOOKUP(OFFSET(Table22,66,21,1,1),OFFSET(Table2,0,1,ROWS(Table2),8),7,0),VLOOKUP(OFFSET(Table22,66,22,1,1),Table2,8,0))</f>
        <v>AzurePlatform_FBCTCcanvaspage-BuyNowCTA-Img3_GBR_1080x162_SOC_Plat_English_NA_Standard_NA_BN_T3_1</v>
      </c>
      <c r="M67" s="2" t="n">
        <f aca="false">IFERROR(VLOOKUP(OFFSET(Table22,66,21,1,1),OFFSET(Table2,0,1,ROWS(Table2),8),8,0),VLOOKUP(OFFSET(Table22,66,22,1,1),Table2,9,0))</f>
        <v>103230847</v>
      </c>
      <c r="N67" s="15" t="s">
        <v>29</v>
      </c>
      <c r="O67" s="16" t="n">
        <v>43357</v>
      </c>
      <c r="P67" s="17" t="s">
        <v>42</v>
      </c>
      <c r="Q67" s="18" t="s">
        <v>43</v>
      </c>
      <c r="R67" s="17" t="s">
        <v>44</v>
      </c>
      <c r="S67" s="18" t="s">
        <v>45</v>
      </c>
      <c r="T67" s="17" t="s">
        <v>55</v>
      </c>
      <c r="U67" s="18" t="s">
        <v>46</v>
      </c>
      <c r="V67" s="19" t="n">
        <v>224399962</v>
      </c>
      <c r="W67" s="17" t="s">
        <v>57</v>
      </c>
      <c r="X67" s="17" t="n">
        <v>5496.92</v>
      </c>
      <c r="Y67" s="17" t="n">
        <v>1</v>
      </c>
      <c r="Z67" s="17" t="n">
        <v>78.43</v>
      </c>
      <c r="AA67" s="17" t="s">
        <v>48</v>
      </c>
      <c r="AB67" s="17" t="s">
        <v>49</v>
      </c>
    </row>
    <row r="68" customFormat="false" ht="15" hidden="false" customHeight="false" outlineLevel="0" collapsed="false">
      <c r="A68" s="1" t="str">
        <f aca="false">OFFSET(Table22,67,14,1,1)&amp;OFFSET(Table22,67,21,1,1)</f>
        <v>43358223560299</v>
      </c>
      <c r="B68" s="1" t="str">
        <f aca="false">OFFSET(Table22,67,14,1,1)&amp;OFFSET(Table22,67,22,1,1)</f>
        <v>43358Facebook»Retargeting»1x1»SocialBan»LIA»DT»DYN»RT»W»NA»SS»NA»Free Account Retargeting Generic- Animated ChC</v>
      </c>
      <c r="C68" s="1" t="s">
        <v>28</v>
      </c>
      <c r="D68" s="3" t="n">
        <f aca="false">O68+(7-WEEKDAY(O68))</f>
        <v>43358</v>
      </c>
      <c r="E68" s="1" t="str">
        <f aca="false">VLOOKUP(OFFSET(Table22,67,16,1,1),Key!B:D,2,0)</f>
        <v>United Kingdom</v>
      </c>
      <c r="F68" s="1" t="str">
        <f aca="false">IF(ISNUMBER(SEARCH("Canvas",U68)),"Link",IF(ISNUMBER(SEARCH("Link",U68)),"Link","Not filled properly"))</f>
        <v>Link</v>
      </c>
      <c r="G68" s="1" t="str">
        <f aca="false">IFERROR(VLOOKUP(OFFSET(Table22,67,21,1,1),OFFSET(Table2,0,1,ROWS(Table2),8),2,0),VLOOKUP(OFFSET(Table22,67,22,1,1),Table2,3,0))</f>
        <v>GBR_gaPMG_CE_AZR_Q1_19_Trial-Social</v>
      </c>
      <c r="H68" s="1" t="n">
        <f aca="false">IFERROR(VLOOKUP(OFFSET(Table22,67,21,1,1),OFFSET(Table2,0,1,ROWS(Table2),8),3,0),VLOOKUP(OFFSET(Table22,67,22,1,1),Table2,4,0))</f>
        <v>21337013</v>
      </c>
      <c r="I68" s="2" t="n">
        <f aca="false">IFERROR(VLOOKUP(OFFSET(Table22,67,21,1,1),OFFSET(Table2,0,1,ROWS(Table2),8),4,0),VLOOKUP(OFFSET(Table22,67,22,1,1),Table2,5,0))</f>
        <v>720196</v>
      </c>
      <c r="J68" s="3" t="str">
        <f aca="false">IF(ISNUMBER(SEARCH("FACEBOOK",W68)),"Facebook",IF(ISNUMBER(SEARCH("INSTAGRAM",W68)),"Facebook-Instagram","Look at taxonomy"))</f>
        <v>Facebook</v>
      </c>
      <c r="K68" s="3" t="str">
        <f aca="false">IF(ISNUMBER(SEARCH("Facebook",J68)),"3654128","Not Facebook")</f>
        <v>3654128</v>
      </c>
      <c r="L68" s="3" t="str">
        <f aca="false">IFERROR(VLOOKUP(OFFSET(Table22,67,21,1,1),OFFSET(Table2,0,1,ROWS(Table2),8),7,0),VLOOKUP(OFFSET(Table22,67,22,1,1),Table2,8,0))</f>
        <v>AzurePlatform_FreeAcctRetargetingFB-Animated-ChC_GBR_1200x628_SOC_Plat_EN_Free Account_Standard_ANI_SU_T3_1</v>
      </c>
      <c r="M68" s="2" t="n">
        <f aca="false">IFERROR(VLOOKUP(OFFSET(Table22,67,21,1,1),OFFSET(Table2,0,1,ROWS(Table2),8),8,0),VLOOKUP(OFFSET(Table22,67,22,1,1),Table2,9,0))</f>
        <v>102854019</v>
      </c>
      <c r="N68" s="15" t="s">
        <v>29</v>
      </c>
      <c r="O68" s="16" t="n">
        <v>43358</v>
      </c>
      <c r="P68" s="17" t="s">
        <v>42</v>
      </c>
      <c r="Q68" s="18" t="s">
        <v>43</v>
      </c>
      <c r="R68" s="17" t="s">
        <v>44</v>
      </c>
      <c r="S68" s="18" t="s">
        <v>45</v>
      </c>
      <c r="T68" s="17" t="s">
        <v>34</v>
      </c>
      <c r="U68" s="18" t="s">
        <v>46</v>
      </c>
      <c r="V68" s="19" t="n">
        <v>223560299</v>
      </c>
      <c r="W68" s="17" t="s">
        <v>47</v>
      </c>
      <c r="X68" s="17" t="n">
        <v>514.92</v>
      </c>
      <c r="Y68" s="17" t="n">
        <v>1</v>
      </c>
      <c r="Z68" s="17" t="n">
        <v>13.4</v>
      </c>
      <c r="AA68" s="17" t="s">
        <v>48</v>
      </c>
      <c r="AB68" s="17" t="s">
        <v>49</v>
      </c>
    </row>
    <row r="69" customFormat="false" ht="15" hidden="false" customHeight="false" outlineLevel="0" collapsed="false">
      <c r="A69" s="1" t="str">
        <f aca="false">OFFSET(Table22,68,14,1,1)&amp;OFFSET(Table22,68,21,1,1)</f>
        <v>43358223560332</v>
      </c>
      <c r="B69" s="1" t="str">
        <f aca="false">OFFSET(Table22,68,14,1,1)&amp;OFFSET(Table22,68,22,1,1)</f>
        <v>43358Facebook»Retargeting»1x1»SocialBan»LIA»DT»DYN»RT»W»NA»SS»NA»Free Account Retargeting VM- On Demand ChE</v>
      </c>
      <c r="C69" s="1" t="s">
        <v>28</v>
      </c>
      <c r="D69" s="3" t="n">
        <f aca="false">O69+(7-WEEKDAY(O69))</f>
        <v>43358</v>
      </c>
      <c r="E69" s="1" t="str">
        <f aca="false">VLOOKUP(OFFSET(Table22,68,16,1,1),Key!B:D,2,0)</f>
        <v>United Kingdom</v>
      </c>
      <c r="F69" s="1" t="str">
        <f aca="false">IF(ISNUMBER(SEARCH("Canvas",U69)),"Link",IF(ISNUMBER(SEARCH("Link",U69)),"Link","Not filled properly"))</f>
        <v>Link</v>
      </c>
      <c r="G69" s="1" t="str">
        <f aca="false">IFERROR(VLOOKUP(OFFSET(Table22,68,21,1,1),OFFSET(Table2,0,1,ROWS(Table2),8),2,0),VLOOKUP(OFFSET(Table22,68,22,1,1),Table2,3,0))</f>
        <v>GBR_gaPMG_CE_AZR_Q1_19_Trial-Social</v>
      </c>
      <c r="H69" s="1" t="n">
        <f aca="false">IFERROR(VLOOKUP(OFFSET(Table22,68,21,1,1),OFFSET(Table2,0,1,ROWS(Table2),8),3,0),VLOOKUP(OFFSET(Table22,68,22,1,1),Table2,4,0))</f>
        <v>21337013</v>
      </c>
      <c r="I69" s="2" t="n">
        <f aca="false">IFERROR(VLOOKUP(OFFSET(Table22,68,21,1,1),OFFSET(Table2,0,1,ROWS(Table2),8),4,0),VLOOKUP(OFFSET(Table22,68,22,1,1),Table2,5,0))</f>
        <v>720196</v>
      </c>
      <c r="J69" s="3" t="str">
        <f aca="false">IF(ISNUMBER(SEARCH("FACEBOOK",W69)),"Facebook",IF(ISNUMBER(SEARCH("INSTAGRAM",W69)),"Facebook-Instagram","Look at taxonomy"))</f>
        <v>Facebook</v>
      </c>
      <c r="K69" s="3" t="str">
        <f aca="false">IF(ISNUMBER(SEARCH("Facebook",J69)),"3654128","Not Facebook")</f>
        <v>3654128</v>
      </c>
      <c r="L69" s="3" t="str">
        <f aca="false">IFERROR(VLOOKUP(OFFSET(Table22,68,21,1,1),OFFSET(Table2,0,1,ROWS(Table2),8),7,0),VLOOKUP(OFFSET(Table22,68,22,1,1),Table2,8,0))</f>
        <v>AzurePlatform_FreeAcctRetargetingVMFB-OnDemand-ChE_GBR_1200x628_SOC_Plat_EN_Free Account_Standard_NA_SU_T2_1</v>
      </c>
      <c r="M69" s="2" t="n">
        <f aca="false">IFERROR(VLOOKUP(OFFSET(Table22,68,21,1,1),OFFSET(Table2,0,1,ROWS(Table2),8),8,0),VLOOKUP(OFFSET(Table22,68,22,1,1),Table2,9,0))</f>
        <v>102854037</v>
      </c>
      <c r="N69" s="15" t="s">
        <v>29</v>
      </c>
      <c r="O69" s="16" t="n">
        <v>43358</v>
      </c>
      <c r="P69" s="17" t="s">
        <v>42</v>
      </c>
      <c r="Q69" s="18" t="s">
        <v>43</v>
      </c>
      <c r="R69" s="17" t="s">
        <v>44</v>
      </c>
      <c r="S69" s="18" t="s">
        <v>45</v>
      </c>
      <c r="T69" s="17" t="s">
        <v>34</v>
      </c>
      <c r="U69" s="18" t="s">
        <v>46</v>
      </c>
      <c r="V69" s="19" t="n">
        <v>223560332</v>
      </c>
      <c r="W69" s="17" t="s">
        <v>50</v>
      </c>
      <c r="X69" s="17" t="n">
        <v>514.92</v>
      </c>
      <c r="Y69" s="17" t="n">
        <v>3</v>
      </c>
      <c r="Z69" s="17" t="n">
        <v>13.4</v>
      </c>
      <c r="AA69" s="17" t="s">
        <v>48</v>
      </c>
      <c r="AB69" s="17" t="s">
        <v>49</v>
      </c>
    </row>
    <row r="70" customFormat="false" ht="15" hidden="false" customHeight="false" outlineLevel="0" collapsed="false">
      <c r="A70" s="1" t="str">
        <f aca="false">OFFSET(Table22,69,14,1,1)&amp;OFFSET(Table22,69,21,1,1)</f>
        <v>43358223560338</v>
      </c>
      <c r="B70" s="1" t="str">
        <f aca="false">OFFSET(Table22,69,14,1,1)&amp;OFFSET(Table22,69,22,1,1)</f>
        <v>43358Facebook»Retargeting»1x1»SocialBan»LIA»DT»DYN»RT»W»NA»SS»NA»Free Account Retargeting VM- 750 Hrs ChD</v>
      </c>
      <c r="C70" s="1" t="s">
        <v>28</v>
      </c>
      <c r="D70" s="3" t="n">
        <f aca="false">O70+(7-WEEKDAY(O70))</f>
        <v>43358</v>
      </c>
      <c r="E70" s="1" t="str">
        <f aca="false">VLOOKUP(OFFSET(Table22,69,16,1,1),Key!B:D,2,0)</f>
        <v>United Kingdom</v>
      </c>
      <c r="F70" s="1" t="str">
        <f aca="false">IF(ISNUMBER(SEARCH("Canvas",U70)),"Link",IF(ISNUMBER(SEARCH("Link",U70)),"Link","Not filled properly"))</f>
        <v>Link</v>
      </c>
      <c r="G70" s="1" t="str">
        <f aca="false">IFERROR(VLOOKUP(OFFSET(Table22,69,21,1,1),OFFSET(Table2,0,1,ROWS(Table2),8),2,0),VLOOKUP(OFFSET(Table22,69,22,1,1),Table2,3,0))</f>
        <v>GBR_gaPMG_CE_AZR_Q1_19_Trial-Social</v>
      </c>
      <c r="H70" s="1" t="n">
        <f aca="false">IFERROR(VLOOKUP(OFFSET(Table22,69,21,1,1),OFFSET(Table2,0,1,ROWS(Table2),8),3,0),VLOOKUP(OFFSET(Table22,69,22,1,1),Table2,4,0))</f>
        <v>21337013</v>
      </c>
      <c r="I70" s="2" t="n">
        <f aca="false">IFERROR(VLOOKUP(OFFSET(Table22,69,21,1,1),OFFSET(Table2,0,1,ROWS(Table2),8),4,0),VLOOKUP(OFFSET(Table22,69,22,1,1),Table2,5,0))</f>
        <v>720196</v>
      </c>
      <c r="J70" s="3" t="str">
        <f aca="false">IF(ISNUMBER(SEARCH("FACEBOOK",W70)),"Facebook",IF(ISNUMBER(SEARCH("INSTAGRAM",W70)),"Facebook-Instagram","Look at taxonomy"))</f>
        <v>Facebook</v>
      </c>
      <c r="K70" s="3" t="str">
        <f aca="false">IF(ISNUMBER(SEARCH("Facebook",J70)),"3654128","Not Facebook")</f>
        <v>3654128</v>
      </c>
      <c r="L70" s="3" t="str">
        <f aca="false">IFERROR(VLOOKUP(OFFSET(Table22,69,21,1,1),OFFSET(Table2,0,1,ROWS(Table2),8),7,0),VLOOKUP(OFFSET(Table22,69,22,1,1),Table2,8,0))</f>
        <v>AzurePlatform_FreeAcctRetargetingVMFB-750Hrs-ChD_GBR_1200x628_SOC_Plat_EN_Free Account_Standard_NA_SU_T1_1</v>
      </c>
      <c r="M70" s="2" t="n">
        <f aca="false">IFERROR(VLOOKUP(OFFSET(Table22,69,21,1,1),OFFSET(Table2,0,1,ROWS(Table2),8),8,0),VLOOKUP(OFFSET(Table22,69,22,1,1),Table2,9,0))</f>
        <v>102853603</v>
      </c>
      <c r="N70" s="15" t="s">
        <v>29</v>
      </c>
      <c r="O70" s="16" t="n">
        <v>43358</v>
      </c>
      <c r="P70" s="17" t="s">
        <v>42</v>
      </c>
      <c r="Q70" s="18" t="s">
        <v>43</v>
      </c>
      <c r="R70" s="17" t="s">
        <v>44</v>
      </c>
      <c r="S70" s="18" t="s">
        <v>45</v>
      </c>
      <c r="T70" s="17" t="s">
        <v>34</v>
      </c>
      <c r="U70" s="18" t="s">
        <v>46</v>
      </c>
      <c r="V70" s="19" t="n">
        <v>223560338</v>
      </c>
      <c r="W70" s="17" t="s">
        <v>51</v>
      </c>
      <c r="X70" s="17" t="n">
        <v>514.92</v>
      </c>
      <c r="Y70" s="17" t="n">
        <v>1</v>
      </c>
      <c r="Z70" s="17" t="n">
        <v>13.4</v>
      </c>
      <c r="AA70" s="17" t="s">
        <v>48</v>
      </c>
      <c r="AB70" s="17" t="s">
        <v>49</v>
      </c>
    </row>
    <row r="71" customFormat="false" ht="15" hidden="false" customHeight="false" outlineLevel="0" collapsed="false">
      <c r="A71" s="1" t="str">
        <f aca="false">OFFSET(Table22,70,14,1,1)&amp;OFFSET(Table22,70,21,1,1)</f>
        <v>43358223560344</v>
      </c>
      <c r="B71" s="1" t="str">
        <f aca="false">OFFSET(Table22,70,14,1,1)&amp;OFFSET(Table22,70,22,1,1)</f>
        <v>43358Facebook»Retargeting»1x1»SocialBan»LIA»DT»DYN»RT»W»NA»SS»NA»Free Account Retargeting OSS- Text ChF</v>
      </c>
      <c r="C71" s="1" t="s">
        <v>28</v>
      </c>
      <c r="D71" s="3" t="n">
        <f aca="false">O71+(7-WEEKDAY(O71))</f>
        <v>43358</v>
      </c>
      <c r="E71" s="1" t="str">
        <f aca="false">VLOOKUP(OFFSET(Table22,70,16,1,1),Key!B:D,2,0)</f>
        <v>United Kingdom</v>
      </c>
      <c r="F71" s="1" t="str">
        <f aca="false">IF(ISNUMBER(SEARCH("Canvas",U71)),"Link",IF(ISNUMBER(SEARCH("Link",U71)),"Link","Not filled properly"))</f>
        <v>Link</v>
      </c>
      <c r="G71" s="1" t="str">
        <f aca="false">IFERROR(VLOOKUP(OFFSET(Table22,70,21,1,1),OFFSET(Table2,0,1,ROWS(Table2),8),2,0),VLOOKUP(OFFSET(Table22,70,22,1,1),Table2,3,0))</f>
        <v>GBR_gaPMG_CE_AZR_Q1_19_Trial-Social</v>
      </c>
      <c r="H71" s="1" t="n">
        <f aca="false">IFERROR(VLOOKUP(OFFSET(Table22,70,21,1,1),OFFSET(Table2,0,1,ROWS(Table2),8),3,0),VLOOKUP(OFFSET(Table22,70,22,1,1),Table2,4,0))</f>
        <v>21337013</v>
      </c>
      <c r="I71" s="2" t="n">
        <f aca="false">IFERROR(VLOOKUP(OFFSET(Table22,70,21,1,1),OFFSET(Table2,0,1,ROWS(Table2),8),4,0),VLOOKUP(OFFSET(Table22,70,22,1,1),Table2,5,0))</f>
        <v>720196</v>
      </c>
      <c r="J71" s="3" t="str">
        <f aca="false">IF(ISNUMBER(SEARCH("FACEBOOK",W71)),"Facebook",IF(ISNUMBER(SEARCH("INSTAGRAM",W71)),"Facebook-Instagram","Look at taxonomy"))</f>
        <v>Facebook</v>
      </c>
      <c r="K71" s="3" t="str">
        <f aca="false">IF(ISNUMBER(SEARCH("Facebook",J71)),"3654128","Not Facebook")</f>
        <v>3654128</v>
      </c>
      <c r="L71" s="3" t="str">
        <f aca="false">IFERROR(VLOOKUP(OFFSET(Table22,70,21,1,1),OFFSET(Table2,0,1,ROWS(Table2),8),7,0),VLOOKUP(OFFSET(Table22,70,22,1,1),Table2,8,0))</f>
        <v>AzurePlatform_FreeAcctRetargetingOSSFB-Text-ChF_GBR_1200x628_SOC_Plat_EN_Free Account_Standard_NA_SU_T1_1</v>
      </c>
      <c r="M71" s="2" t="n">
        <f aca="false">IFERROR(VLOOKUP(OFFSET(Table22,70,21,1,1),OFFSET(Table2,0,1,ROWS(Table2),8),8,0),VLOOKUP(OFFSET(Table22,70,22,1,1),Table2,9,0))</f>
        <v>102861246</v>
      </c>
      <c r="N71" s="15" t="s">
        <v>29</v>
      </c>
      <c r="O71" s="16" t="n">
        <v>43358</v>
      </c>
      <c r="P71" s="17" t="s">
        <v>42</v>
      </c>
      <c r="Q71" s="18" t="s">
        <v>43</v>
      </c>
      <c r="R71" s="17" t="s">
        <v>44</v>
      </c>
      <c r="S71" s="18" t="s">
        <v>45</v>
      </c>
      <c r="T71" s="17" t="s">
        <v>34</v>
      </c>
      <c r="U71" s="18" t="s">
        <v>46</v>
      </c>
      <c r="V71" s="19" t="n">
        <v>223560344</v>
      </c>
      <c r="W71" s="17" t="s">
        <v>52</v>
      </c>
      <c r="X71" s="17" t="n">
        <v>514.92</v>
      </c>
      <c r="Y71" s="17" t="n">
        <v>4</v>
      </c>
      <c r="Z71" s="17" t="n">
        <v>13.4</v>
      </c>
      <c r="AA71" s="17" t="s">
        <v>48</v>
      </c>
      <c r="AB71" s="17" t="s">
        <v>49</v>
      </c>
    </row>
    <row r="72" customFormat="false" ht="15" hidden="false" customHeight="false" outlineLevel="0" collapsed="false">
      <c r="A72" s="1" t="str">
        <f aca="false">OFFSET(Table22,71,14,1,1)&amp;OFFSET(Table22,71,21,1,1)</f>
        <v>43358223560347</v>
      </c>
      <c r="B72" s="1" t="str">
        <f aca="false">OFFSET(Table22,71,14,1,1)&amp;OFFSET(Table22,71,22,1,1)</f>
        <v>43358Facebook»Audience &amp; Interest Targeting»1x1»SocialBan»LIA»DT»DYN»AUT»W»NA»SS»NA»Free Account Refresh- Illustration ChC</v>
      </c>
      <c r="C72" s="1" t="s">
        <v>28</v>
      </c>
      <c r="D72" s="3" t="n">
        <f aca="false">O72+(7-WEEKDAY(O72))</f>
        <v>43358</v>
      </c>
      <c r="E72" s="1" t="str">
        <f aca="false">VLOOKUP(OFFSET(Table22,71,16,1,1),Key!B:D,2,0)</f>
        <v>United Kingdom</v>
      </c>
      <c r="F72" s="1" t="str">
        <f aca="false">IF(ISNUMBER(SEARCH("Canvas",U72)),"Link",IF(ISNUMBER(SEARCH("Link",U72)),"Link","Not filled properly"))</f>
        <v>Link</v>
      </c>
      <c r="G72" s="1" t="str">
        <f aca="false">IFERROR(VLOOKUP(OFFSET(Table22,71,21,1,1),OFFSET(Table2,0,1,ROWS(Table2),8),2,0),VLOOKUP(OFFSET(Table22,71,22,1,1),Table2,3,0))</f>
        <v>GBR_gaPMG_CE_AZR_Q1_19_Trial-Social</v>
      </c>
      <c r="H72" s="1" t="n">
        <f aca="false">IFERROR(VLOOKUP(OFFSET(Table22,71,21,1,1),OFFSET(Table2,0,1,ROWS(Table2),8),3,0),VLOOKUP(OFFSET(Table22,71,22,1,1),Table2,4,0))</f>
        <v>21337013</v>
      </c>
      <c r="I72" s="2" t="n">
        <f aca="false">IFERROR(VLOOKUP(OFFSET(Table22,71,21,1,1),OFFSET(Table2,0,1,ROWS(Table2),8),4,0),VLOOKUP(OFFSET(Table22,71,22,1,1),Table2,5,0))</f>
        <v>720196</v>
      </c>
      <c r="J72" s="3" t="str">
        <f aca="false">IF(ISNUMBER(SEARCH("FACEBOOK",W72)),"Facebook",IF(ISNUMBER(SEARCH("INSTAGRAM",W72)),"Facebook-Instagram","Look at taxonomy"))</f>
        <v>Facebook</v>
      </c>
      <c r="K72" s="3" t="str">
        <f aca="false">IF(ISNUMBER(SEARCH("Facebook",J72)),"3654128","Not Facebook")</f>
        <v>3654128</v>
      </c>
      <c r="L72" s="3" t="str">
        <f aca="false">IFERROR(VLOOKUP(OFFSET(Table22,71,21,1,1),OFFSET(Table2,0,1,ROWS(Table2),8),7,0),VLOOKUP(OFFSET(Table22,71,22,1,1),Table2,8,0))</f>
        <v>AzurePlatform_FreeAcctAppsFACEBOOKIllustrationChC_GBR_1200x628_SOC_PLAT_EN_Trial_Standard_NA_SU_T3_1</v>
      </c>
      <c r="M72" s="2" t="n">
        <f aca="false">IFERROR(VLOOKUP(OFFSET(Table22,71,21,1,1),OFFSET(Table2,0,1,ROWS(Table2),8),8,0),VLOOKUP(OFFSET(Table22,71,22,1,1),Table2,9,0))</f>
        <v>102857037</v>
      </c>
      <c r="N72" s="15" t="s">
        <v>29</v>
      </c>
      <c r="O72" s="16" t="n">
        <v>43358</v>
      </c>
      <c r="P72" s="17" t="s">
        <v>42</v>
      </c>
      <c r="Q72" s="18" t="s">
        <v>43</v>
      </c>
      <c r="R72" s="17" t="s">
        <v>44</v>
      </c>
      <c r="S72" s="18" t="s">
        <v>45</v>
      </c>
      <c r="T72" s="17" t="s">
        <v>55</v>
      </c>
      <c r="U72" s="18" t="s">
        <v>46</v>
      </c>
      <c r="V72" s="19" t="n">
        <v>223560347</v>
      </c>
      <c r="W72" s="17" t="s">
        <v>63</v>
      </c>
      <c r="X72" s="17" t="n">
        <v>5496.92</v>
      </c>
      <c r="Y72" s="17" t="n">
        <v>1</v>
      </c>
      <c r="Z72" s="17" t="n">
        <v>78.43</v>
      </c>
      <c r="AA72" s="17" t="s">
        <v>48</v>
      </c>
      <c r="AB72" s="17" t="s">
        <v>49</v>
      </c>
    </row>
    <row r="73" customFormat="false" ht="15" hidden="false" customHeight="false" outlineLevel="0" collapsed="false">
      <c r="A73" s="1" t="str">
        <f aca="false">OFFSET(Table22,72,14,1,1)&amp;OFFSET(Table22,72,21,1,1)</f>
        <v>43358223560350</v>
      </c>
      <c r="B73" s="1" t="str">
        <f aca="false">OFFSET(Table22,72,14,1,1)&amp;OFFSET(Table22,72,22,1,1)</f>
        <v>43358Facebook»Retargeting»1x1»SocialBan»LIA»DT»DYN»RT»W»NA»SS»NA»Free Account Retargeting OSS- Logos ChG</v>
      </c>
      <c r="C73" s="1" t="s">
        <v>28</v>
      </c>
      <c r="D73" s="3" t="n">
        <f aca="false">O73+(7-WEEKDAY(O73))</f>
        <v>43358</v>
      </c>
      <c r="E73" s="1" t="str">
        <f aca="false">VLOOKUP(OFFSET(Table22,72,16,1,1),Key!B:D,2,0)</f>
        <v>United Kingdom</v>
      </c>
      <c r="F73" s="1" t="str">
        <f aca="false">IF(ISNUMBER(SEARCH("Canvas",U73)),"Link",IF(ISNUMBER(SEARCH("Link",U73)),"Link","Not filled properly"))</f>
        <v>Link</v>
      </c>
      <c r="G73" s="1" t="str">
        <f aca="false">IFERROR(VLOOKUP(OFFSET(Table22,72,21,1,1),OFFSET(Table2,0,1,ROWS(Table2),8),2,0),VLOOKUP(OFFSET(Table22,72,22,1,1),Table2,3,0))</f>
        <v>GBR_gaPMG_CE_AZR_Q1_19_Trial-Social</v>
      </c>
      <c r="H73" s="1" t="n">
        <f aca="false">IFERROR(VLOOKUP(OFFSET(Table22,72,21,1,1),OFFSET(Table2,0,1,ROWS(Table2),8),3,0),VLOOKUP(OFFSET(Table22,72,22,1,1),Table2,4,0))</f>
        <v>21337013</v>
      </c>
      <c r="I73" s="2" t="n">
        <f aca="false">IFERROR(VLOOKUP(OFFSET(Table22,72,21,1,1),OFFSET(Table2,0,1,ROWS(Table2),8),4,0),VLOOKUP(OFFSET(Table22,72,22,1,1),Table2,5,0))</f>
        <v>720196</v>
      </c>
      <c r="J73" s="3" t="str">
        <f aca="false">IF(ISNUMBER(SEARCH("FACEBOOK",W73)),"Facebook",IF(ISNUMBER(SEARCH("INSTAGRAM",W73)),"Facebook-Instagram","Look at taxonomy"))</f>
        <v>Facebook</v>
      </c>
      <c r="K73" s="3" t="str">
        <f aca="false">IF(ISNUMBER(SEARCH("Facebook",J73)),"3654128","Not Facebook")</f>
        <v>3654128</v>
      </c>
      <c r="L73" s="3" t="str">
        <f aca="false">IFERROR(VLOOKUP(OFFSET(Table22,72,21,1,1),OFFSET(Table2,0,1,ROWS(Table2),8),7,0),VLOOKUP(OFFSET(Table22,72,22,1,1),Table2,8,0))</f>
        <v>AzurePlatform_FreeAcctRetargetingOSSFB-Logos-ChG_GBR_1200x628_SOC_Plat_EN_Free Account_Standard_NA_SU_T2_1</v>
      </c>
      <c r="M73" s="2" t="n">
        <f aca="false">IFERROR(VLOOKUP(OFFSET(Table22,72,21,1,1),OFFSET(Table2,0,1,ROWS(Table2),8),8,0),VLOOKUP(OFFSET(Table22,72,22,1,1),Table2,9,0))</f>
        <v>103006547</v>
      </c>
      <c r="N73" s="15" t="s">
        <v>29</v>
      </c>
      <c r="O73" s="16" t="n">
        <v>43358</v>
      </c>
      <c r="P73" s="17" t="s">
        <v>42</v>
      </c>
      <c r="Q73" s="18" t="s">
        <v>43</v>
      </c>
      <c r="R73" s="17" t="s">
        <v>44</v>
      </c>
      <c r="S73" s="18" t="s">
        <v>45</v>
      </c>
      <c r="T73" s="17" t="s">
        <v>34</v>
      </c>
      <c r="U73" s="18" t="s">
        <v>46</v>
      </c>
      <c r="V73" s="19" t="n">
        <v>223560350</v>
      </c>
      <c r="W73" s="17" t="s">
        <v>53</v>
      </c>
      <c r="X73" s="17" t="n">
        <v>514.92</v>
      </c>
      <c r="Y73" s="17" t="n">
        <v>6</v>
      </c>
      <c r="Z73" s="17" t="n">
        <v>13.4</v>
      </c>
      <c r="AA73" s="17" t="s">
        <v>48</v>
      </c>
      <c r="AB73" s="17" t="s">
        <v>49</v>
      </c>
    </row>
    <row r="74" customFormat="false" ht="15" hidden="false" customHeight="false" outlineLevel="0" collapsed="false">
      <c r="A74" s="1" t="str">
        <f aca="false">OFFSET(Table22,73,14,1,1)&amp;OFFSET(Table22,73,21,1,1)</f>
        <v>43358223560356</v>
      </c>
      <c r="B74" s="1" t="str">
        <f aca="false">OFFSET(Table22,73,14,1,1)&amp;OFFSET(Table22,73,22,1,1)</f>
        <v>43358Facebook»Retargeting»1x1»SocialBan»LIA»DT»DYN»RT»W»NA»SS»NA»Free Account Retargeting Generic- Global Alt ChB</v>
      </c>
      <c r="C74" s="1" t="s">
        <v>28</v>
      </c>
      <c r="D74" s="3" t="n">
        <f aca="false">O74+(7-WEEKDAY(O74))</f>
        <v>43358</v>
      </c>
      <c r="E74" s="1" t="str">
        <f aca="false">VLOOKUP(OFFSET(Table22,73,16,1,1),Key!B:D,2,0)</f>
        <v>United Kingdom</v>
      </c>
      <c r="F74" s="1" t="str">
        <f aca="false">IF(ISNUMBER(SEARCH("Canvas",U74)),"Link",IF(ISNUMBER(SEARCH("Link",U74)),"Link","Not filled properly"))</f>
        <v>Link</v>
      </c>
      <c r="G74" s="1" t="str">
        <f aca="false">IFERROR(VLOOKUP(OFFSET(Table22,73,21,1,1),OFFSET(Table2,0,1,ROWS(Table2),8),2,0),VLOOKUP(OFFSET(Table22,73,22,1,1),Table2,3,0))</f>
        <v>GBR_gaPMG_CE_AZR_Q1_19_Trial-Social</v>
      </c>
      <c r="H74" s="1" t="n">
        <f aca="false">IFERROR(VLOOKUP(OFFSET(Table22,73,21,1,1),OFFSET(Table2,0,1,ROWS(Table2),8),3,0),VLOOKUP(OFFSET(Table22,73,22,1,1),Table2,4,0))</f>
        <v>21337013</v>
      </c>
      <c r="I74" s="2" t="n">
        <f aca="false">IFERROR(VLOOKUP(OFFSET(Table22,73,21,1,1),OFFSET(Table2,0,1,ROWS(Table2),8),4,0),VLOOKUP(OFFSET(Table22,73,22,1,1),Table2,5,0))</f>
        <v>720196</v>
      </c>
      <c r="J74" s="3" t="str">
        <f aca="false">IF(ISNUMBER(SEARCH("FACEBOOK",W74)),"Facebook",IF(ISNUMBER(SEARCH("INSTAGRAM",W74)),"Facebook-Instagram","Look at taxonomy"))</f>
        <v>Facebook</v>
      </c>
      <c r="K74" s="3" t="str">
        <f aca="false">IF(ISNUMBER(SEARCH("Facebook",J74)),"3654128","Not Facebook")</f>
        <v>3654128</v>
      </c>
      <c r="L74" s="3" t="str">
        <f aca="false">IFERROR(VLOOKUP(OFFSET(Table22,73,21,1,1),OFFSET(Table2,0,1,ROWS(Table2),8),7,0),VLOOKUP(OFFSET(Table22,73,22,1,1),Table2,8,0))</f>
        <v>AzurePlatform_FreeAcctRetargetingFB-GlobalAlt-ChB_GBR_1200x628_SOC_Plat_EN_Free Account_Standard_NA_SU_T2_1</v>
      </c>
      <c r="M74" s="2" t="n">
        <f aca="false">IFERROR(VLOOKUP(OFFSET(Table22,73,21,1,1),OFFSET(Table2,0,1,ROWS(Table2),8),8,0),VLOOKUP(OFFSET(Table22,73,22,1,1),Table2,9,0))</f>
        <v>102854016</v>
      </c>
      <c r="N74" s="15" t="s">
        <v>29</v>
      </c>
      <c r="O74" s="16" t="n">
        <v>43358</v>
      </c>
      <c r="P74" s="17" t="s">
        <v>42</v>
      </c>
      <c r="Q74" s="18" t="s">
        <v>43</v>
      </c>
      <c r="R74" s="17" t="s">
        <v>44</v>
      </c>
      <c r="S74" s="18" t="s">
        <v>45</v>
      </c>
      <c r="T74" s="17" t="s">
        <v>34</v>
      </c>
      <c r="U74" s="18" t="s">
        <v>46</v>
      </c>
      <c r="V74" s="19" t="n">
        <v>223560356</v>
      </c>
      <c r="W74" s="17" t="s">
        <v>54</v>
      </c>
      <c r="X74" s="17" t="n">
        <v>514.92</v>
      </c>
      <c r="Y74" s="17" t="n">
        <v>4</v>
      </c>
      <c r="Z74" s="17" t="n">
        <v>13.4</v>
      </c>
      <c r="AA74" s="17" t="s">
        <v>48</v>
      </c>
      <c r="AB74" s="17" t="s">
        <v>49</v>
      </c>
    </row>
    <row r="75" customFormat="false" ht="15" hidden="false" customHeight="false" outlineLevel="0" collapsed="false">
      <c r="A75" s="1" t="str">
        <f aca="false">OFFSET(Table22,74,14,1,1)&amp;OFFSET(Table22,74,21,1,1)</f>
        <v>43358224334170</v>
      </c>
      <c r="B75" s="1" t="str">
        <f aca="false">OFFSET(Table22,74,14,1,1)&amp;OFFSET(Table22,74,22,1,1)</f>
        <v>43358Facebook»Audience &amp; Interest Targeting»1x1»SocialBan»LIA»DT»CPC»AUT»W»NA»SS»NA»Benefit 2 in Motion</v>
      </c>
      <c r="C75" s="1" t="s">
        <v>28</v>
      </c>
      <c r="D75" s="3" t="n">
        <f aca="false">O75+(7-WEEKDAY(O75))</f>
        <v>43358</v>
      </c>
      <c r="E75" s="1" t="str">
        <f aca="false">VLOOKUP(OFFSET(Table22,74,16,1,1),Key!B:D,2,0)</f>
        <v>United Kingdom</v>
      </c>
      <c r="F75" s="1" t="str">
        <f aca="false">IF(ISNUMBER(SEARCH("Canvas",U75)),"Link",IF(ISNUMBER(SEARCH("Link",U75)),"Link","Not filled properly"))</f>
        <v>Link</v>
      </c>
      <c r="G75" s="1" t="str">
        <f aca="false">IFERROR(VLOOKUP(OFFSET(Table22,74,21,1,1),OFFSET(Table2,0,1,ROWS(Table2),8),2,0),VLOOKUP(OFFSET(Table22,74,22,1,1),Table2,3,0))</f>
        <v>GBR_gaPMG_CE_AZR_Q1_19_Trial-Social</v>
      </c>
      <c r="H75" s="1" t="n">
        <f aca="false">IFERROR(VLOOKUP(OFFSET(Table22,74,21,1,1),OFFSET(Table2,0,1,ROWS(Table2),8),3,0),VLOOKUP(OFFSET(Table22,74,22,1,1),Table2,4,0))</f>
        <v>21337013</v>
      </c>
      <c r="I75" s="2" t="n">
        <f aca="false">IFERROR(VLOOKUP(OFFSET(Table22,74,21,1,1),OFFSET(Table2,0,1,ROWS(Table2),8),4,0),VLOOKUP(OFFSET(Table22,74,22,1,1),Table2,5,0))</f>
        <v>720196</v>
      </c>
      <c r="J75" s="3" t="str">
        <f aca="false">IF(ISNUMBER(SEARCH("FACEBOOK",W75)),"Facebook",IF(ISNUMBER(SEARCH("INSTAGRAM",W75)),"Facebook-Instagram","Look at taxonomy"))</f>
        <v>Facebook</v>
      </c>
      <c r="K75" s="3" t="str">
        <f aca="false">IF(ISNUMBER(SEARCH("Facebook",J75)),"3654128","Not Facebook")</f>
        <v>3654128</v>
      </c>
      <c r="L75" s="3" t="str">
        <f aca="false">IFERROR(VLOOKUP(OFFSET(Table22,74,21,1,1),OFFSET(Table2,0,1,ROWS(Table2),8),7,0),VLOOKUP(OFFSET(Table22,74,22,1,1),Table2,8,0))</f>
        <v>AzurePlatform_FBCTCcanvaspage-BuyNowCTA-Img3_GBR_1080x162_SOC_Plat_English_NA_Standard_NA_BN_T3_1</v>
      </c>
      <c r="M75" s="2" t="n">
        <f aca="false">IFERROR(VLOOKUP(OFFSET(Table22,74,21,1,1),OFFSET(Table2,0,1,ROWS(Table2),8),8,0),VLOOKUP(OFFSET(Table22,74,22,1,1),Table2,9,0))</f>
        <v>103230847</v>
      </c>
      <c r="N75" s="15" t="s">
        <v>29</v>
      </c>
      <c r="O75" s="16" t="n">
        <v>43358</v>
      </c>
      <c r="P75" s="17" t="s">
        <v>42</v>
      </c>
      <c r="Q75" s="18" t="s">
        <v>43</v>
      </c>
      <c r="R75" s="17" t="s">
        <v>44</v>
      </c>
      <c r="S75" s="18" t="s">
        <v>45</v>
      </c>
      <c r="T75" s="17" t="s">
        <v>55</v>
      </c>
      <c r="U75" s="18" t="s">
        <v>46</v>
      </c>
      <c r="V75" s="19" t="n">
        <v>224334170</v>
      </c>
      <c r="W75" s="17" t="s">
        <v>56</v>
      </c>
      <c r="X75" s="17" t="n">
        <v>5496.92</v>
      </c>
      <c r="Y75" s="17" t="n">
        <v>1</v>
      </c>
      <c r="Z75" s="17" t="n">
        <v>78.43</v>
      </c>
      <c r="AA75" s="17" t="s">
        <v>48</v>
      </c>
      <c r="AB75" s="17" t="s">
        <v>49</v>
      </c>
    </row>
    <row r="76" customFormat="false" ht="15" hidden="false" customHeight="false" outlineLevel="0" collapsed="false">
      <c r="A76" s="1" t="str">
        <f aca="false">OFFSET(Table22,75,14,1,1)&amp;OFFSET(Table22,75,21,1,1)</f>
        <v>43358224334170</v>
      </c>
      <c r="B76" s="1" t="str">
        <f aca="false">OFFSET(Table22,75,14,1,1)&amp;OFFSET(Table22,75,22,1,1)</f>
        <v>43358Facebook»Audience &amp; Interest Targeting»1x1»SocialBan»LIA»DT»CPC»AUT»W»NA»SS»NA»Benefit 2 in Motion</v>
      </c>
      <c r="C76" s="1" t="s">
        <v>28</v>
      </c>
      <c r="D76" s="3" t="n">
        <f aca="false">O76+(7-WEEKDAY(O76))</f>
        <v>43358</v>
      </c>
      <c r="E76" s="1" t="str">
        <f aca="false">VLOOKUP(OFFSET(Table22,75,16,1,1),Key!B:D,2,0)</f>
        <v>United Kingdom</v>
      </c>
      <c r="F76" s="1" t="str">
        <f aca="false">IF(ISNUMBER(SEARCH("Canvas",U76)),"Link",IF(ISNUMBER(SEARCH("Link",U76)),"Link","Not filled properly"))</f>
        <v>Link</v>
      </c>
      <c r="G76" s="1" t="str">
        <f aca="false">IFERROR(VLOOKUP(OFFSET(Table22,75,21,1,1),OFFSET(Table2,0,1,ROWS(Table2),8),2,0),VLOOKUP(OFFSET(Table22,75,22,1,1),Table2,3,0))</f>
        <v>GBR_gaPMG_CE_AZR_Q1_19_Trial-Social</v>
      </c>
      <c r="H76" s="1" t="n">
        <f aca="false">IFERROR(VLOOKUP(OFFSET(Table22,75,21,1,1),OFFSET(Table2,0,1,ROWS(Table2),8),3,0),VLOOKUP(OFFSET(Table22,75,22,1,1),Table2,4,0))</f>
        <v>21337013</v>
      </c>
      <c r="I76" s="2" t="n">
        <f aca="false">IFERROR(VLOOKUP(OFFSET(Table22,75,21,1,1),OFFSET(Table2,0,1,ROWS(Table2),8),4,0),VLOOKUP(OFFSET(Table22,75,22,1,1),Table2,5,0))</f>
        <v>720196</v>
      </c>
      <c r="J76" s="3" t="str">
        <f aca="false">IF(ISNUMBER(SEARCH("FACEBOOK",W76)),"Facebook",IF(ISNUMBER(SEARCH("INSTAGRAM",W76)),"Facebook-Instagram","Look at taxonomy"))</f>
        <v>Facebook</v>
      </c>
      <c r="K76" s="3" t="str">
        <f aca="false">IF(ISNUMBER(SEARCH("Facebook",J76)),"3654128","Not Facebook")</f>
        <v>3654128</v>
      </c>
      <c r="L76" s="3" t="str">
        <f aca="false">IFERROR(VLOOKUP(OFFSET(Table22,75,21,1,1),OFFSET(Table2,0,1,ROWS(Table2),8),7,0),VLOOKUP(OFFSET(Table22,75,22,1,1),Table2,8,0))</f>
        <v>AzurePlatform_FBCTCcanvaspage-BuyNowCTA-Img3_GBR_1080x162_SOC_Plat_English_NA_Standard_NA_BN_T3_1</v>
      </c>
      <c r="M76" s="2" t="n">
        <f aca="false">IFERROR(VLOOKUP(OFFSET(Table22,75,21,1,1),OFFSET(Table2,0,1,ROWS(Table2),8),8,0),VLOOKUP(OFFSET(Table22,75,22,1,1),Table2,9,0))</f>
        <v>103230847</v>
      </c>
      <c r="N76" s="15" t="s">
        <v>29</v>
      </c>
      <c r="O76" s="16" t="n">
        <v>43358</v>
      </c>
      <c r="P76" s="17" t="s">
        <v>42</v>
      </c>
      <c r="Q76" s="18" t="s">
        <v>43</v>
      </c>
      <c r="R76" s="17" t="s">
        <v>44</v>
      </c>
      <c r="S76" s="18" t="s">
        <v>45</v>
      </c>
      <c r="T76" s="17" t="s">
        <v>55</v>
      </c>
      <c r="U76" s="18" t="s">
        <v>46</v>
      </c>
      <c r="V76" s="19" t="n">
        <v>224334170</v>
      </c>
      <c r="W76" s="17" t="s">
        <v>56</v>
      </c>
      <c r="X76" s="17" t="n">
        <v>5496.92</v>
      </c>
      <c r="Y76" s="17" t="n">
        <v>4</v>
      </c>
      <c r="Z76" s="17" t="n">
        <v>78.43</v>
      </c>
      <c r="AA76" s="17" t="s">
        <v>48</v>
      </c>
      <c r="AB76" s="17" t="s">
        <v>49</v>
      </c>
    </row>
    <row r="77" customFormat="false" ht="15" hidden="false" customHeight="false" outlineLevel="0" collapsed="false">
      <c r="A77" s="1" t="str">
        <f aca="false">OFFSET(Table22,76,14,1,1)&amp;OFFSET(Table22,76,21,1,1)</f>
        <v>43358224399962</v>
      </c>
      <c r="B77" s="1" t="str">
        <f aca="false">OFFSET(Table22,76,14,1,1)&amp;OFFSET(Table22,76,22,1,1)</f>
        <v>43358Facebook»Audience &amp; Interest Targeting»1x1»SocialBan»LIA»DT»CPC»AUT»W»NA»SS»NA»Basic Motion</v>
      </c>
      <c r="C77" s="1" t="s">
        <v>28</v>
      </c>
      <c r="D77" s="3" t="n">
        <f aca="false">O77+(7-WEEKDAY(O77))</f>
        <v>43358</v>
      </c>
      <c r="E77" s="1" t="str">
        <f aca="false">VLOOKUP(OFFSET(Table22,76,16,1,1),Key!B:D,2,0)</f>
        <v>United Kingdom</v>
      </c>
      <c r="F77" s="1" t="str">
        <f aca="false">IF(ISNUMBER(SEARCH("Canvas",U77)),"Link",IF(ISNUMBER(SEARCH("Link",U77)),"Link","Not filled properly"))</f>
        <v>Link</v>
      </c>
      <c r="G77" s="1" t="str">
        <f aca="false">IFERROR(VLOOKUP(OFFSET(Table22,76,21,1,1),OFFSET(Table2,0,1,ROWS(Table2),8),2,0),VLOOKUP(OFFSET(Table22,76,22,1,1),Table2,3,0))</f>
        <v>GBR_gaPMG_CE_AZR_Q1_19_Trial-Social</v>
      </c>
      <c r="H77" s="1" t="n">
        <f aca="false">IFERROR(VLOOKUP(OFFSET(Table22,76,21,1,1),OFFSET(Table2,0,1,ROWS(Table2),8),3,0),VLOOKUP(OFFSET(Table22,76,22,1,1),Table2,4,0))</f>
        <v>21337013</v>
      </c>
      <c r="I77" s="2" t="n">
        <f aca="false">IFERROR(VLOOKUP(OFFSET(Table22,76,21,1,1),OFFSET(Table2,0,1,ROWS(Table2),8),4,0),VLOOKUP(OFFSET(Table22,76,22,1,1),Table2,5,0))</f>
        <v>720196</v>
      </c>
      <c r="J77" s="3" t="str">
        <f aca="false">IF(ISNUMBER(SEARCH("FACEBOOK",W77)),"Facebook",IF(ISNUMBER(SEARCH("INSTAGRAM",W77)),"Facebook-Instagram","Look at taxonomy"))</f>
        <v>Facebook</v>
      </c>
      <c r="K77" s="3" t="str">
        <f aca="false">IF(ISNUMBER(SEARCH("Facebook",J77)),"3654128","Not Facebook")</f>
        <v>3654128</v>
      </c>
      <c r="L77" s="3" t="str">
        <f aca="false">IFERROR(VLOOKUP(OFFSET(Table22,76,21,1,1),OFFSET(Table2,0,1,ROWS(Table2),8),7,0),VLOOKUP(OFFSET(Table22,76,22,1,1),Table2,8,0))</f>
        <v>AzurePlatform_FBCTCcanvaspage-BuyNowCTA-Img3_GBR_1080x162_SOC_Plat_English_NA_Standard_NA_BN_T3_1</v>
      </c>
      <c r="M77" s="2" t="n">
        <f aca="false">IFERROR(VLOOKUP(OFFSET(Table22,76,21,1,1),OFFSET(Table2,0,1,ROWS(Table2),8),8,0),VLOOKUP(OFFSET(Table22,76,22,1,1),Table2,9,0))</f>
        <v>103230847</v>
      </c>
      <c r="N77" s="15" t="s">
        <v>29</v>
      </c>
      <c r="O77" s="16" t="n">
        <v>43358</v>
      </c>
      <c r="P77" s="17" t="s">
        <v>42</v>
      </c>
      <c r="Q77" s="18" t="s">
        <v>43</v>
      </c>
      <c r="R77" s="17" t="s">
        <v>44</v>
      </c>
      <c r="S77" s="18" t="s">
        <v>45</v>
      </c>
      <c r="T77" s="17" t="s">
        <v>55</v>
      </c>
      <c r="U77" s="18" t="s">
        <v>46</v>
      </c>
      <c r="V77" s="19" t="n">
        <v>224399962</v>
      </c>
      <c r="W77" s="17" t="s">
        <v>57</v>
      </c>
      <c r="X77" s="17" t="n">
        <v>5496.92</v>
      </c>
      <c r="Y77" s="17" t="n">
        <v>1</v>
      </c>
      <c r="Z77" s="17" t="n">
        <v>78.43</v>
      </c>
      <c r="AA77" s="17" t="s">
        <v>48</v>
      </c>
      <c r="AB77" s="17" t="s">
        <v>49</v>
      </c>
    </row>
    <row r="78" customFormat="false" ht="15" hidden="false" customHeight="false" outlineLevel="0" collapsed="false">
      <c r="A78" s="1" t="str">
        <f aca="false">OFFSET(Table22,77,14,1,1)&amp;OFFSET(Table22,77,21,1,1)</f>
        <v>43358224549481</v>
      </c>
      <c r="B78" s="1" t="str">
        <f aca="false">OFFSET(Table22,77,14,1,1)&amp;OFFSET(Table22,77,22,1,1)</f>
        <v>43358Facebook»Audience &amp; Interest Targeting»1x1»SocialBan»LIA»DT»CPC»AUT»W»NA»SS»NA»Brand in Motion</v>
      </c>
      <c r="C78" s="1" t="s">
        <v>28</v>
      </c>
      <c r="D78" s="3" t="n">
        <f aca="false">O78+(7-WEEKDAY(O78))</f>
        <v>43358</v>
      </c>
      <c r="E78" s="1" t="str">
        <f aca="false">VLOOKUP(OFFSET(Table22,77,16,1,1),Key!B:D,2,0)</f>
        <v>United Kingdom</v>
      </c>
      <c r="F78" s="1" t="str">
        <f aca="false">IF(ISNUMBER(SEARCH("Canvas",U78)),"Link",IF(ISNUMBER(SEARCH("Link",U78)),"Link","Not filled properly"))</f>
        <v>Link</v>
      </c>
      <c r="G78" s="1" t="str">
        <f aca="false">IFERROR(VLOOKUP(OFFSET(Table22,77,21,1,1),OFFSET(Table2,0,1,ROWS(Table2),8),2,0),VLOOKUP(OFFSET(Table22,77,22,1,1),Table2,3,0))</f>
        <v>GBR_gaPMG_CE_AZR_Q1_19_Trial-Social</v>
      </c>
      <c r="H78" s="1" t="n">
        <f aca="false">IFERROR(VLOOKUP(OFFSET(Table22,77,21,1,1),OFFSET(Table2,0,1,ROWS(Table2),8),3,0),VLOOKUP(OFFSET(Table22,77,22,1,1),Table2,4,0))</f>
        <v>21337013</v>
      </c>
      <c r="I78" s="2" t="n">
        <f aca="false">IFERROR(VLOOKUP(OFFSET(Table22,77,21,1,1),OFFSET(Table2,0,1,ROWS(Table2),8),4,0),VLOOKUP(OFFSET(Table22,77,22,1,1),Table2,5,0))</f>
        <v>720196</v>
      </c>
      <c r="J78" s="3" t="str">
        <f aca="false">IF(ISNUMBER(SEARCH("FACEBOOK",W78)),"Facebook",IF(ISNUMBER(SEARCH("INSTAGRAM",W78)),"Facebook-Instagram","Look at taxonomy"))</f>
        <v>Facebook</v>
      </c>
      <c r="K78" s="3" t="str">
        <f aca="false">IF(ISNUMBER(SEARCH("Facebook",J78)),"3654128","Not Facebook")</f>
        <v>3654128</v>
      </c>
      <c r="L78" s="3" t="str">
        <f aca="false">IFERROR(VLOOKUP(OFFSET(Table22,77,21,1,1),OFFSET(Table2,0,1,ROWS(Table2),8),7,0),VLOOKUP(OFFSET(Table22,77,22,1,1),Table2,8,0))</f>
        <v>AzurePlatform_FBCTCcanvaspage-BuyNowCTA-Img3_GBR_1080x162_SOC_Plat_English_NA_Standard_NA_BN_T3_1</v>
      </c>
      <c r="M78" s="2" t="n">
        <f aca="false">IFERROR(VLOOKUP(OFFSET(Table22,77,21,1,1),OFFSET(Table2,0,1,ROWS(Table2),8),8,0),VLOOKUP(OFFSET(Table22,77,22,1,1),Table2,9,0))</f>
        <v>103230847</v>
      </c>
      <c r="N78" s="15" t="s">
        <v>29</v>
      </c>
      <c r="O78" s="16" t="n">
        <v>43358</v>
      </c>
      <c r="P78" s="17" t="s">
        <v>42</v>
      </c>
      <c r="Q78" s="18" t="s">
        <v>43</v>
      </c>
      <c r="R78" s="17" t="s">
        <v>44</v>
      </c>
      <c r="S78" s="18" t="s">
        <v>45</v>
      </c>
      <c r="T78" s="17" t="s">
        <v>55</v>
      </c>
      <c r="U78" s="18" t="s">
        <v>46</v>
      </c>
      <c r="V78" s="19" t="n">
        <v>224549481</v>
      </c>
      <c r="W78" s="17" t="s">
        <v>58</v>
      </c>
      <c r="X78" s="17" t="n">
        <v>5496.92</v>
      </c>
      <c r="Y78" s="17" t="n">
        <v>1</v>
      </c>
      <c r="Z78" s="17" t="n">
        <v>78.43</v>
      </c>
      <c r="AA78" s="17" t="s">
        <v>48</v>
      </c>
      <c r="AB78" s="17" t="s">
        <v>49</v>
      </c>
    </row>
    <row r="79" customFormat="false" ht="15" hidden="false" customHeight="false" outlineLevel="0" collapsed="false">
      <c r="A79" s="1" t="str">
        <f aca="false">OFFSET(Table22,78,14,1,1)&amp;OFFSET(Table22,78,21,1,1)</f>
        <v>43358227618695</v>
      </c>
      <c r="B79" s="1" t="str">
        <f aca="false">OFFSET(Table22,78,14,1,1)&amp;OFFSET(Table22,78,22,1,1)</f>
        <v>43358Facebook»AZR»1x1»NA»NA»ALL»DYN»AUT»D»All»SS»NA»Free Account Create to Convert FB - Canvas - Benefit - Start Free - FR</v>
      </c>
      <c r="C79" s="1" t="s">
        <v>28</v>
      </c>
      <c r="D79" s="3" t="n">
        <f aca="false">O79+(7-WEEKDAY(O79))</f>
        <v>43358</v>
      </c>
      <c r="E79" s="1" t="str">
        <f aca="false">VLOOKUP(OFFSET(Table22,78,16,1,1),Key!B:D,2,0)</f>
        <v>Canada</v>
      </c>
      <c r="F79" s="1" t="str">
        <f aca="false">IF(ISNUMBER(SEARCH("Canvas",U79)),"Link",IF(ISNUMBER(SEARCH("Link",U79)),"Link","Not filled properly"))</f>
        <v>Link</v>
      </c>
      <c r="G79" s="1" t="str">
        <f aca="false">IFERROR(VLOOKUP(OFFSET(Table22,78,21,1,1),OFFSET(Table2,0,1,ROWS(Table2),8),2,0),VLOOKUP(OFFSET(Table22,78,22,1,1),Table2,3,0))</f>
        <v>CAN_gaPMG_AZR_AZR_Q1_19_Trial-Social</v>
      </c>
      <c r="H79" s="1" t="n">
        <f aca="false">IFERROR(VLOOKUP(OFFSET(Table22,78,21,1,1),OFFSET(Table2,0,1,ROWS(Table2),8),3,0),VLOOKUP(OFFSET(Table22,78,22,1,1),Table2,4,0))</f>
        <v>21337220</v>
      </c>
      <c r="I79" s="2" t="n">
        <f aca="false">IFERROR(VLOOKUP(OFFSET(Table22,78,21,1,1),OFFSET(Table2,0,1,ROWS(Table2),8),4,0),VLOOKUP(OFFSET(Table22,78,22,1,1),Table2,5,0))</f>
        <v>720192</v>
      </c>
      <c r="J79" s="3" t="str">
        <f aca="false">IF(ISNUMBER(SEARCH("FACEBOOK",W79)),"Facebook",IF(ISNUMBER(SEARCH("INSTAGRAM",W79)),"Facebook-Instagram","Look at taxonomy"))</f>
        <v>Facebook</v>
      </c>
      <c r="K79" s="3" t="str">
        <f aca="false">IF(ISNUMBER(SEARCH("Facebook",J79)),"3654128","Not Facebook")</f>
        <v>3654128</v>
      </c>
      <c r="L79" s="3" t="str">
        <f aca="false">IFERROR(VLOOKUP(OFFSET(Table22,78,21,1,1),OFFSET(Table2,0,1,ROWS(Table2),8),7,0),VLOOKUP(OFFSET(Table22,78,22,1,1),Table2,8,0))</f>
        <v>AzurePlatform_FBCTCBenefit2inMotion_CAN_1080x1080_SOC_14s_ISV_FR_Standard_NA_FTR_T4_1</v>
      </c>
      <c r="M79" s="2" t="n">
        <f aca="false">IFERROR(VLOOKUP(OFFSET(Table22,78,21,1,1),OFFSET(Table2,0,1,ROWS(Table2),8),8,0),VLOOKUP(OFFSET(Table22,78,22,1,1),Table2,9,0))</f>
        <v>105127638</v>
      </c>
      <c r="N79" s="15" t="s">
        <v>29</v>
      </c>
      <c r="O79" s="16" t="n">
        <v>43358</v>
      </c>
      <c r="P79" s="17" t="s">
        <v>64</v>
      </c>
      <c r="Q79" s="18" t="s">
        <v>65</v>
      </c>
      <c r="R79" s="17" t="s">
        <v>66</v>
      </c>
      <c r="S79" s="18" t="s">
        <v>45</v>
      </c>
      <c r="T79" s="17" t="s">
        <v>34</v>
      </c>
      <c r="U79" s="18" t="s">
        <v>39</v>
      </c>
      <c r="V79" s="19" t="n">
        <v>227618695</v>
      </c>
      <c r="W79" s="17" t="s">
        <v>67</v>
      </c>
      <c r="X79" s="17" t="n">
        <v>316</v>
      </c>
      <c r="Y79" s="17" t="n">
        <v>2</v>
      </c>
      <c r="Z79" s="17" t="n">
        <v>6.49</v>
      </c>
      <c r="AA79" s="17" t="s">
        <v>68</v>
      </c>
      <c r="AB79" s="17" t="n">
        <v>0</v>
      </c>
    </row>
    <row r="80" customFormat="false" ht="15" hidden="false" customHeight="false" outlineLevel="0" collapsed="false">
      <c r="A80" s="1" t="str">
        <f aca="false">OFFSET(Table22,79,14,1,1)&amp;OFFSET(Table22,79,21,1,1)</f>
        <v>43358223691798</v>
      </c>
      <c r="B80" s="1" t="str">
        <f aca="false">OFFSET(Table22,79,14,1,1)&amp;OFFSET(Table22,79,22,1,1)</f>
        <v>43358Facebook»AZR»1x1»NA»EGV»ALL»DYN»AUT»D»All»SS»NA»Free Acc CTC - T2 - FR</v>
      </c>
      <c r="C80" s="1" t="s">
        <v>28</v>
      </c>
      <c r="D80" s="3" t="n">
        <f aca="false">O80+(7-WEEKDAY(O80))</f>
        <v>43358</v>
      </c>
      <c r="E80" s="1" t="str">
        <f aca="false">VLOOKUP(OFFSET(Table22,79,16,1,1),Key!B:D,2,0)</f>
        <v>Canada</v>
      </c>
      <c r="F80" s="1" t="str">
        <f aca="false">IF(ISNUMBER(SEARCH("Canvas",U80)),"Link",IF(ISNUMBER(SEARCH("Link",U80)),"Link","Not filled properly"))</f>
        <v>Link</v>
      </c>
      <c r="G80" s="1" t="str">
        <f aca="false">IFERROR(VLOOKUP(OFFSET(Table22,79,21,1,1),OFFSET(Table2,0,1,ROWS(Table2),8),2,0),VLOOKUP(OFFSET(Table22,79,22,1,1),Table2,3,0))</f>
        <v>CAN_gaPMG_AZR_AZR_Q1_19_Trial-Social</v>
      </c>
      <c r="H80" s="1" t="n">
        <f aca="false">IFERROR(VLOOKUP(OFFSET(Table22,79,21,1,1),OFFSET(Table2,0,1,ROWS(Table2),8),3,0),VLOOKUP(OFFSET(Table22,79,22,1,1),Table2,4,0))</f>
        <v>21337220</v>
      </c>
      <c r="I80" s="2" t="n">
        <f aca="false">IFERROR(VLOOKUP(OFFSET(Table22,79,21,1,1),OFFSET(Table2,0,1,ROWS(Table2),8),4,0),VLOOKUP(OFFSET(Table22,79,22,1,1),Table2,5,0))</f>
        <v>720192</v>
      </c>
      <c r="J80" s="3" t="str">
        <f aca="false">IF(ISNUMBER(SEARCH("FACEBOOK",W80)),"Facebook",IF(ISNUMBER(SEARCH("INSTAGRAM",W80)),"Facebook-Instagram","Look at taxonomy"))</f>
        <v>Facebook</v>
      </c>
      <c r="K80" s="3" t="str">
        <f aca="false">IF(ISNUMBER(SEARCH("Facebook",J80)),"3654128","Not Facebook")</f>
        <v>3654128</v>
      </c>
      <c r="L80" s="3" t="str">
        <f aca="false">IFERROR(VLOOKUP(OFFSET(Table22,79,21,1,1),OFFSET(Table2,0,1,ROWS(Table2),8),7,0),VLOOKUP(OFFSET(Table22,79,22,1,1),Table2,8,0))</f>
        <v>AzurePlatform_FBCTCBrandinMotion_CAN_12s_ISV_PLAT_FR_Trial_Standard_STAN_TN_T2_1</v>
      </c>
      <c r="M80" s="2" t="n">
        <f aca="false">IFERROR(VLOOKUP(OFFSET(Table22,79,21,1,1),OFFSET(Table2,0,1,ROWS(Table2),8),8,0),VLOOKUP(OFFSET(Table22,79,22,1,1),Table2,9,0))</f>
        <v>102916347</v>
      </c>
      <c r="N80" s="15" t="s">
        <v>29</v>
      </c>
      <c r="O80" s="16" t="n">
        <v>43358</v>
      </c>
      <c r="P80" s="17" t="s">
        <v>64</v>
      </c>
      <c r="Q80" s="18" t="s">
        <v>65</v>
      </c>
      <c r="R80" s="17" t="s">
        <v>66</v>
      </c>
      <c r="S80" s="18" t="s">
        <v>45</v>
      </c>
      <c r="T80" s="17" t="s">
        <v>34</v>
      </c>
      <c r="U80" s="18" t="s">
        <v>39</v>
      </c>
      <c r="V80" s="19" t="n">
        <v>223691798</v>
      </c>
      <c r="W80" s="17" t="s">
        <v>69</v>
      </c>
      <c r="X80" s="17" t="n">
        <v>1898</v>
      </c>
      <c r="Y80" s="17" t="n">
        <v>8</v>
      </c>
      <c r="Z80" s="17" t="n">
        <v>39.8</v>
      </c>
      <c r="AA80" s="17" t="s">
        <v>68</v>
      </c>
      <c r="AB80" s="17" t="n">
        <v>0</v>
      </c>
    </row>
    <row r="81" customFormat="false" ht="15" hidden="false" customHeight="false" outlineLevel="0" collapsed="false">
      <c r="A81" s="1" t="str">
        <f aca="false">OFFSET(Table22,80,14,1,1)&amp;OFFSET(Table22,80,21,1,1)</f>
        <v>43358223691831</v>
      </c>
      <c r="B81" s="1" t="str">
        <f aca="false">OFFSET(Table22,80,14,1,1)&amp;OFFSET(Table22,80,22,1,1)</f>
        <v>43358Facebook»AZR»1x1»SocialBan»NA»ALL»DYN»RT»D»All»SS»NA» Free Account Retargeting OSS - T2 - EN</v>
      </c>
      <c r="C81" s="1" t="s">
        <v>28</v>
      </c>
      <c r="D81" s="3" t="n">
        <f aca="false">O81+(7-WEEKDAY(O81))</f>
        <v>43358</v>
      </c>
      <c r="E81" s="1" t="str">
        <f aca="false">VLOOKUP(OFFSET(Table22,80,16,1,1),Key!B:D,2,0)</f>
        <v>Canada</v>
      </c>
      <c r="F81" s="1" t="str">
        <f aca="false">IF(ISNUMBER(SEARCH("Canvas",U81)),"Link",IF(ISNUMBER(SEARCH("Link",U81)),"Link","Not filled properly"))</f>
        <v>Link</v>
      </c>
      <c r="G81" s="1" t="str">
        <f aca="false">IFERROR(VLOOKUP(OFFSET(Table22,80,21,1,1),OFFSET(Table2,0,1,ROWS(Table2),8),2,0),VLOOKUP(OFFSET(Table22,80,22,1,1),Table2,3,0))</f>
        <v>CAN_gaPMG_AZR_AZR_Q1_19_Trial-Social</v>
      </c>
      <c r="H81" s="1" t="n">
        <f aca="false">IFERROR(VLOOKUP(OFFSET(Table22,80,21,1,1),OFFSET(Table2,0,1,ROWS(Table2),8),3,0),VLOOKUP(OFFSET(Table22,80,22,1,1),Table2,4,0))</f>
        <v>21337220</v>
      </c>
      <c r="I81" s="2" t="n">
        <f aca="false">IFERROR(VLOOKUP(OFFSET(Table22,80,21,1,1),OFFSET(Table2,0,1,ROWS(Table2),8),4,0),VLOOKUP(OFFSET(Table22,80,22,1,1),Table2,5,0))</f>
        <v>720192</v>
      </c>
      <c r="J81" s="3" t="str">
        <f aca="false">IF(ISNUMBER(SEARCH("FACEBOOK",W81)),"Facebook",IF(ISNUMBER(SEARCH("INSTAGRAM",W81)),"Facebook-Instagram","Look at taxonomy"))</f>
        <v>Facebook</v>
      </c>
      <c r="K81" s="3" t="str">
        <f aca="false">IF(ISNUMBER(SEARCH("Facebook",J81)),"3654128","Not Facebook")</f>
        <v>3654128</v>
      </c>
      <c r="L81" s="3" t="str">
        <f aca="false">IFERROR(VLOOKUP(OFFSET(Table22,80,21,1,1),OFFSET(Table2,0,1,ROWS(Table2),8),7,0),VLOOKUP(OFFSET(Table22,80,22,1,1),Table2,8,0))</f>
        <v>AzurePlatform_FreeAcctRetargetingOSSFB-Logos-ChG_CAN_1200x628_SOC_Plat_EN_Free Account_Standard_NA_SU_T2_1</v>
      </c>
      <c r="M81" s="2" t="n">
        <f aca="false">IFERROR(VLOOKUP(OFFSET(Table22,80,21,1,1),OFFSET(Table2,0,1,ROWS(Table2),8),8,0),VLOOKUP(OFFSET(Table22,80,22,1,1),Table2,9,0))</f>
        <v>102913800</v>
      </c>
      <c r="N81" s="15" t="s">
        <v>29</v>
      </c>
      <c r="O81" s="16" t="n">
        <v>43358</v>
      </c>
      <c r="P81" s="17" t="s">
        <v>64</v>
      </c>
      <c r="Q81" s="18" t="s">
        <v>65</v>
      </c>
      <c r="R81" s="17" t="s">
        <v>66</v>
      </c>
      <c r="S81" s="18" t="s">
        <v>45</v>
      </c>
      <c r="T81" s="17" t="s">
        <v>34</v>
      </c>
      <c r="U81" s="18" t="s">
        <v>39</v>
      </c>
      <c r="V81" s="19" t="n">
        <v>223691831</v>
      </c>
      <c r="W81" s="17" t="s">
        <v>70</v>
      </c>
      <c r="X81" s="17" t="n">
        <v>4056</v>
      </c>
      <c r="Y81" s="17" t="n">
        <v>6</v>
      </c>
      <c r="Z81" s="17" t="n">
        <v>107.48</v>
      </c>
      <c r="AA81" s="17" t="s">
        <v>68</v>
      </c>
      <c r="AB81" s="17" t="n">
        <v>0</v>
      </c>
    </row>
    <row r="82" customFormat="false" ht="15" hidden="false" customHeight="false" outlineLevel="0" collapsed="false">
      <c r="A82" s="1" t="str">
        <f aca="false">OFFSET(Table22,81,14,1,1)&amp;OFFSET(Table22,81,21,1,1)</f>
        <v>43358225322324</v>
      </c>
      <c r="B82" s="1" t="str">
        <f aca="false">OFFSET(Table22,81,14,1,1)&amp;OFFSET(Table22,81,22,1,1)</f>
        <v>43358Facebook»AZR»1x1»NA»SOC»ALL»DYN»PRO»D»All»SS»NA»Canvas - Buy Now - FR</v>
      </c>
      <c r="C82" s="1" t="s">
        <v>28</v>
      </c>
      <c r="D82" s="3" t="n">
        <f aca="false">O82+(7-WEEKDAY(O82))</f>
        <v>43358</v>
      </c>
      <c r="E82" s="1" t="str">
        <f aca="false">VLOOKUP(OFFSET(Table22,81,16,1,1),Key!B:D,2,0)</f>
        <v>Canada</v>
      </c>
      <c r="F82" s="1" t="str">
        <f aca="false">IF(ISNUMBER(SEARCH("Canvas",U82)),"Link",IF(ISNUMBER(SEARCH("Link",U82)),"Link","Not filled properly"))</f>
        <v>Link</v>
      </c>
      <c r="G82" s="1" t="str">
        <f aca="false">IFERROR(VLOOKUP(OFFSET(Table22,81,21,1,1),OFFSET(Table2,0,1,ROWS(Table2),8),2,0),VLOOKUP(OFFSET(Table22,81,22,1,1),Table2,3,0))</f>
        <v>CAN_gaPMG_AZR_AZR_Q1_19_Trial-Social</v>
      </c>
      <c r="H82" s="1" t="n">
        <f aca="false">IFERROR(VLOOKUP(OFFSET(Table22,81,21,1,1),OFFSET(Table2,0,1,ROWS(Table2),8),3,0),VLOOKUP(OFFSET(Table22,81,22,1,1),Table2,4,0))</f>
        <v>21337220</v>
      </c>
      <c r="I82" s="2" t="n">
        <f aca="false">IFERROR(VLOOKUP(OFFSET(Table22,81,21,1,1),OFFSET(Table2,0,1,ROWS(Table2),8),4,0),VLOOKUP(OFFSET(Table22,81,22,1,1),Table2,5,0))</f>
        <v>720192</v>
      </c>
      <c r="J82" s="3" t="str">
        <f aca="false">IF(ISNUMBER(SEARCH("FACEBOOK",W82)),"Facebook",IF(ISNUMBER(SEARCH("INSTAGRAM",W82)),"Facebook-Instagram","Look at taxonomy"))</f>
        <v>Facebook</v>
      </c>
      <c r="K82" s="3" t="str">
        <f aca="false">IF(ISNUMBER(SEARCH("Facebook",J82)),"3654128","Not Facebook")</f>
        <v>3654128</v>
      </c>
      <c r="L82" s="3" t="str">
        <f aca="false">IFERROR(VLOOKUP(OFFSET(Table22,81,21,1,1),OFFSET(Table2,0,1,ROWS(Table2),8),7,0),VLOOKUP(OFFSET(Table22,81,22,1,1),Table2,8,0))</f>
        <v>AzurePlatform_FBCTCcanvaspage-BuyNowCTA-Img3_CAN_1080x162_SOC_Plat_French_NA_Standard_NA_BN_T3_1</v>
      </c>
      <c r="M82" s="2" t="n">
        <f aca="false">IFERROR(VLOOKUP(OFFSET(Table22,81,21,1,1),OFFSET(Table2,0,1,ROWS(Table2),8),8,0),VLOOKUP(OFFSET(Table22,81,22,1,1),Table2,9,0))</f>
        <v>103789915</v>
      </c>
      <c r="N82" s="15" t="s">
        <v>29</v>
      </c>
      <c r="O82" s="16" t="n">
        <v>43358</v>
      </c>
      <c r="P82" s="17" t="s">
        <v>64</v>
      </c>
      <c r="Q82" s="18" t="s">
        <v>65</v>
      </c>
      <c r="R82" s="17" t="s">
        <v>66</v>
      </c>
      <c r="S82" s="18" t="s">
        <v>45</v>
      </c>
      <c r="T82" s="17" t="s">
        <v>34</v>
      </c>
      <c r="U82" s="18" t="s">
        <v>39</v>
      </c>
      <c r="V82" s="19" t="n">
        <v>225322324</v>
      </c>
      <c r="W82" s="17" t="s">
        <v>71</v>
      </c>
      <c r="X82" s="17" t="n">
        <v>268</v>
      </c>
      <c r="Y82" s="17" t="n">
        <v>1</v>
      </c>
      <c r="Z82" s="17" t="n">
        <v>6.52</v>
      </c>
      <c r="AA82" s="17" t="s">
        <v>68</v>
      </c>
      <c r="AB82" s="17" t="n">
        <v>0</v>
      </c>
    </row>
    <row r="83" customFormat="false" ht="15" hidden="false" customHeight="false" outlineLevel="0" collapsed="false">
      <c r="A83" s="1" t="str">
        <f aca="false">OFFSET(Table22,82,14,1,1)&amp;OFFSET(Table22,82,21,1,1)</f>
        <v>43358223691777</v>
      </c>
      <c r="B83" s="1" t="str">
        <f aca="false">OFFSET(Table22,82,14,1,1)&amp;OFFSET(Table22,82,22,1,1)</f>
        <v>43358Facebook»AZR»1x1»SocialBan»NA»ALL»DYN»RT»D»All»SS»NA»Free Account Retargeting Generic - T3 - FR</v>
      </c>
      <c r="C83" s="1" t="s">
        <v>28</v>
      </c>
      <c r="D83" s="3" t="n">
        <f aca="false">O83+(7-WEEKDAY(O83))</f>
        <v>43358</v>
      </c>
      <c r="E83" s="1" t="str">
        <f aca="false">VLOOKUP(OFFSET(Table22,82,16,1,1),Key!B:D,2,0)</f>
        <v>Canada</v>
      </c>
      <c r="F83" s="1" t="str">
        <f aca="false">IF(ISNUMBER(SEARCH("Canvas",U83)),"Link",IF(ISNUMBER(SEARCH("Link",U83)),"Link","Not filled properly"))</f>
        <v>Link</v>
      </c>
      <c r="G83" s="1" t="str">
        <f aca="false">IFERROR(VLOOKUP(OFFSET(Table22,82,21,1,1),OFFSET(Table2,0,1,ROWS(Table2),8),2,0),VLOOKUP(OFFSET(Table22,82,22,1,1),Table2,3,0))</f>
        <v>CAN_gaPMG_AZR_AZR_Q1_19_Trial-Social</v>
      </c>
      <c r="H83" s="1" t="n">
        <f aca="false">IFERROR(VLOOKUP(OFFSET(Table22,82,21,1,1),OFFSET(Table2,0,1,ROWS(Table2),8),3,0),VLOOKUP(OFFSET(Table22,82,22,1,1),Table2,4,0))</f>
        <v>21337220</v>
      </c>
      <c r="I83" s="2" t="n">
        <f aca="false">IFERROR(VLOOKUP(OFFSET(Table22,82,21,1,1),OFFSET(Table2,0,1,ROWS(Table2),8),4,0),VLOOKUP(OFFSET(Table22,82,22,1,1),Table2,5,0))</f>
        <v>720192</v>
      </c>
      <c r="J83" s="3" t="str">
        <f aca="false">IF(ISNUMBER(SEARCH("FACEBOOK",W83)),"Facebook",IF(ISNUMBER(SEARCH("INSTAGRAM",W83)),"Facebook-Instagram","Look at taxonomy"))</f>
        <v>Facebook</v>
      </c>
      <c r="K83" s="3" t="str">
        <f aca="false">IF(ISNUMBER(SEARCH("Facebook",J83)),"3654128","Not Facebook")</f>
        <v>3654128</v>
      </c>
      <c r="L83" s="3" t="str">
        <f aca="false">IFERROR(VLOOKUP(OFFSET(Table22,82,21,1,1),OFFSET(Table2,0,1,ROWS(Table2),8),7,0),VLOOKUP(OFFSET(Table22,82,22,1,1),Table2,8,0))</f>
        <v>AzurePlatform_FreeAcctRetargetingFB-Animated-ChC_CAN_1200x628_SOC_Plat_FR_Free Account_Standard_ANI_SU_T3_1</v>
      </c>
      <c r="M83" s="2" t="n">
        <f aca="false">IFERROR(VLOOKUP(OFFSET(Table22,82,21,1,1),OFFSET(Table2,0,1,ROWS(Table2),8),8,0),VLOOKUP(OFFSET(Table22,82,22,1,1),Table2,9,0))</f>
        <v>102900697</v>
      </c>
      <c r="N83" s="15" t="s">
        <v>29</v>
      </c>
      <c r="O83" s="16" t="n">
        <v>43358</v>
      </c>
      <c r="P83" s="17" t="s">
        <v>64</v>
      </c>
      <c r="Q83" s="18" t="s">
        <v>65</v>
      </c>
      <c r="R83" s="17" t="s">
        <v>66</v>
      </c>
      <c r="S83" s="18" t="s">
        <v>45</v>
      </c>
      <c r="T83" s="17" t="s">
        <v>34</v>
      </c>
      <c r="U83" s="18" t="s">
        <v>39</v>
      </c>
      <c r="V83" s="19" t="n">
        <v>223691777</v>
      </c>
      <c r="W83" s="17" t="s">
        <v>72</v>
      </c>
      <c r="X83" s="17" t="n">
        <v>562</v>
      </c>
      <c r="Y83" s="17" t="n">
        <v>0</v>
      </c>
      <c r="Z83" s="17" t="n">
        <v>18.67</v>
      </c>
      <c r="AA83" s="17" t="s">
        <v>68</v>
      </c>
      <c r="AB83" s="17" t="n">
        <v>0</v>
      </c>
    </row>
    <row r="84" customFormat="false" ht="15" hidden="false" customHeight="false" outlineLevel="0" collapsed="false">
      <c r="A84" s="1" t="str">
        <f aca="false">OFFSET(Table22,83,14,1,1)&amp;OFFSET(Table22,83,21,1,1)</f>
        <v>43358223691792</v>
      </c>
      <c r="B84" s="1" t="str">
        <f aca="false">OFFSET(Table22,83,14,1,1)&amp;OFFSET(Table22,83,22,1,1)</f>
        <v>43358Facebook»AZR»1x1»SocialBan»NA»ALL»DYN»RT»D»All»SS»NA»Free Account Retargeting Generic - T2 - FR</v>
      </c>
      <c r="C84" s="1" t="s">
        <v>28</v>
      </c>
      <c r="D84" s="3" t="n">
        <f aca="false">O84+(7-WEEKDAY(O84))</f>
        <v>43358</v>
      </c>
      <c r="E84" s="1" t="str">
        <f aca="false">VLOOKUP(OFFSET(Table22,83,16,1,1),Key!B:D,2,0)</f>
        <v>Canada</v>
      </c>
      <c r="F84" s="1" t="str">
        <f aca="false">IF(ISNUMBER(SEARCH("Canvas",U84)),"Link",IF(ISNUMBER(SEARCH("Link",U84)),"Link","Not filled properly"))</f>
        <v>Link</v>
      </c>
      <c r="G84" s="1" t="str">
        <f aca="false">IFERROR(VLOOKUP(OFFSET(Table22,83,21,1,1),OFFSET(Table2,0,1,ROWS(Table2),8),2,0),VLOOKUP(OFFSET(Table22,83,22,1,1),Table2,3,0))</f>
        <v>CAN_gaPMG_AZR_AZR_Q1_19_Trial-Social</v>
      </c>
      <c r="H84" s="1" t="n">
        <f aca="false">IFERROR(VLOOKUP(OFFSET(Table22,83,21,1,1),OFFSET(Table2,0,1,ROWS(Table2),8),3,0),VLOOKUP(OFFSET(Table22,83,22,1,1),Table2,4,0))</f>
        <v>21337220</v>
      </c>
      <c r="I84" s="2" t="n">
        <f aca="false">IFERROR(VLOOKUP(OFFSET(Table22,83,21,1,1),OFFSET(Table2,0,1,ROWS(Table2),8),4,0),VLOOKUP(OFFSET(Table22,83,22,1,1),Table2,5,0))</f>
        <v>720192</v>
      </c>
      <c r="J84" s="3" t="str">
        <f aca="false">IF(ISNUMBER(SEARCH("FACEBOOK",W84)),"Facebook",IF(ISNUMBER(SEARCH("INSTAGRAM",W84)),"Facebook-Instagram","Look at taxonomy"))</f>
        <v>Facebook</v>
      </c>
      <c r="K84" s="3" t="str">
        <f aca="false">IF(ISNUMBER(SEARCH("Facebook",J84)),"3654128","Not Facebook")</f>
        <v>3654128</v>
      </c>
      <c r="L84" s="3" t="str">
        <f aca="false">IFERROR(VLOOKUP(OFFSET(Table22,83,21,1,1),OFFSET(Table2,0,1,ROWS(Table2),8),7,0),VLOOKUP(OFFSET(Table22,83,22,1,1),Table2,8,0))</f>
        <v>AzurePlatform_FreeAcctRetargetingFB-GlobalAlt-ChB_CAN_1200x628_SOC_Plat_FR_Free Account_Standard_NA_SU_T2_1</v>
      </c>
      <c r="M84" s="2" t="n">
        <f aca="false">IFERROR(VLOOKUP(OFFSET(Table22,83,21,1,1),OFFSET(Table2,0,1,ROWS(Table2),8),8,0),VLOOKUP(OFFSET(Table22,83,22,1,1),Table2,9,0))</f>
        <v>102901894</v>
      </c>
      <c r="N84" s="15" t="s">
        <v>29</v>
      </c>
      <c r="O84" s="16" t="n">
        <v>43358</v>
      </c>
      <c r="P84" s="17" t="s">
        <v>64</v>
      </c>
      <c r="Q84" s="18" t="s">
        <v>65</v>
      </c>
      <c r="R84" s="17" t="s">
        <v>66</v>
      </c>
      <c r="S84" s="18" t="s">
        <v>45</v>
      </c>
      <c r="T84" s="17" t="s">
        <v>34</v>
      </c>
      <c r="U84" s="18" t="s">
        <v>39</v>
      </c>
      <c r="V84" s="19" t="n">
        <v>223691792</v>
      </c>
      <c r="W84" s="17" t="s">
        <v>73</v>
      </c>
      <c r="X84" s="17" t="n">
        <v>723</v>
      </c>
      <c r="Y84" s="17" t="n">
        <v>1</v>
      </c>
      <c r="Z84" s="17" t="n">
        <v>15.21</v>
      </c>
      <c r="AA84" s="17" t="s">
        <v>68</v>
      </c>
      <c r="AB84" s="17" t="n">
        <v>0</v>
      </c>
    </row>
    <row r="85" customFormat="false" ht="15" hidden="false" customHeight="false" outlineLevel="0" collapsed="false">
      <c r="A85" s="1" t="str">
        <f aca="false">OFFSET(Table22,84,14,1,1)&amp;OFFSET(Table22,84,21,1,1)</f>
        <v>43358223691789</v>
      </c>
      <c r="B85" s="1" t="str">
        <f aca="false">OFFSET(Table22,84,14,1,1)&amp;OFFSET(Table22,84,22,1,1)</f>
        <v>43358Facebook»AZR»1x1»SocialBan»NA»ALL»DYN»RT»D»All»SS»NA» Free Account Retargeting OSS - T2 - FR</v>
      </c>
      <c r="C85" s="1" t="s">
        <v>28</v>
      </c>
      <c r="D85" s="3" t="n">
        <f aca="false">O85+(7-WEEKDAY(O85))</f>
        <v>43358</v>
      </c>
      <c r="E85" s="1" t="str">
        <f aca="false">VLOOKUP(OFFSET(Table22,84,16,1,1),Key!B:D,2,0)</f>
        <v>Canada</v>
      </c>
      <c r="F85" s="1" t="str">
        <f aca="false">IF(ISNUMBER(SEARCH("Canvas",U85)),"Link",IF(ISNUMBER(SEARCH("Link",U85)),"Link","Not filled properly"))</f>
        <v>Link</v>
      </c>
      <c r="G85" s="1" t="str">
        <f aca="false">IFERROR(VLOOKUP(OFFSET(Table22,84,21,1,1),OFFSET(Table2,0,1,ROWS(Table2),8),2,0),VLOOKUP(OFFSET(Table22,84,22,1,1),Table2,3,0))</f>
        <v>CAN_gaPMG_AZR_AZR_Q1_19_Trial-Social</v>
      </c>
      <c r="H85" s="1" t="n">
        <f aca="false">IFERROR(VLOOKUP(OFFSET(Table22,84,21,1,1),OFFSET(Table2,0,1,ROWS(Table2),8),3,0),VLOOKUP(OFFSET(Table22,84,22,1,1),Table2,4,0))</f>
        <v>21337220</v>
      </c>
      <c r="I85" s="2" t="n">
        <f aca="false">IFERROR(VLOOKUP(OFFSET(Table22,84,21,1,1),OFFSET(Table2,0,1,ROWS(Table2),8),4,0),VLOOKUP(OFFSET(Table22,84,22,1,1),Table2,5,0))</f>
        <v>720192</v>
      </c>
      <c r="J85" s="3" t="str">
        <f aca="false">IF(ISNUMBER(SEARCH("FACEBOOK",W85)),"Facebook",IF(ISNUMBER(SEARCH("INSTAGRAM",W85)),"Facebook-Instagram","Look at taxonomy"))</f>
        <v>Facebook</v>
      </c>
      <c r="K85" s="3" t="str">
        <f aca="false">IF(ISNUMBER(SEARCH("Facebook",J85)),"3654128","Not Facebook")</f>
        <v>3654128</v>
      </c>
      <c r="L85" s="3" t="str">
        <f aca="false">IFERROR(VLOOKUP(OFFSET(Table22,84,21,1,1),OFFSET(Table2,0,1,ROWS(Table2),8),7,0),VLOOKUP(OFFSET(Table22,84,22,1,1),Table2,8,0))</f>
        <v>AzurePlatform_FreeAcctRetargetingOSSFB-Logos-ChG_CAN_1200x628_SOC_Plat_FR_Free Account_Standard_NA_SU_T2_1</v>
      </c>
      <c r="M85" s="2" t="n">
        <f aca="false">IFERROR(VLOOKUP(OFFSET(Table22,84,21,1,1),OFFSET(Table2,0,1,ROWS(Table2),8),8,0),VLOOKUP(OFFSET(Table22,84,22,1,1),Table2,9,0))</f>
        <v>102900691</v>
      </c>
      <c r="N85" s="15" t="s">
        <v>29</v>
      </c>
      <c r="O85" s="16" t="n">
        <v>43358</v>
      </c>
      <c r="P85" s="17" t="s">
        <v>64</v>
      </c>
      <c r="Q85" s="18" t="s">
        <v>65</v>
      </c>
      <c r="R85" s="17" t="s">
        <v>66</v>
      </c>
      <c r="S85" s="18" t="s">
        <v>45</v>
      </c>
      <c r="T85" s="17" t="s">
        <v>34</v>
      </c>
      <c r="U85" s="18" t="s">
        <v>39</v>
      </c>
      <c r="V85" s="19" t="n">
        <v>223691789</v>
      </c>
      <c r="W85" s="17" t="s">
        <v>74</v>
      </c>
      <c r="X85" s="17" t="n">
        <v>869</v>
      </c>
      <c r="Y85" s="17" t="n">
        <v>1</v>
      </c>
      <c r="Z85" s="17" t="n">
        <v>30.6</v>
      </c>
      <c r="AA85" s="17" t="s">
        <v>68</v>
      </c>
      <c r="AB85" s="17" t="n">
        <v>0</v>
      </c>
    </row>
    <row r="86" customFormat="false" ht="15" hidden="false" customHeight="false" outlineLevel="0" collapsed="false">
      <c r="A86" s="1" t="str">
        <f aca="false">OFFSET(Table22,85,14,1,1)&amp;OFFSET(Table22,85,21,1,1)</f>
        <v>43358223691780</v>
      </c>
      <c r="B86" s="1" t="str">
        <f aca="false">OFFSET(Table22,85,14,1,1)&amp;OFFSET(Table22,85,22,1,1)</f>
        <v>43358Facebook»AZR»1x1»SocialBan»NA»ALL»DYN»RT»D»All»SS»NA»Free Account Retargeting VM - T2 - FR</v>
      </c>
      <c r="C86" s="1" t="s">
        <v>28</v>
      </c>
      <c r="D86" s="3" t="n">
        <f aca="false">O86+(7-WEEKDAY(O86))</f>
        <v>43358</v>
      </c>
      <c r="E86" s="1" t="str">
        <f aca="false">VLOOKUP(OFFSET(Table22,85,16,1,1),Key!B:D,2,0)</f>
        <v>Canada</v>
      </c>
      <c r="F86" s="1" t="str">
        <f aca="false">IF(ISNUMBER(SEARCH("Canvas",U86)),"Link",IF(ISNUMBER(SEARCH("Link",U86)),"Link","Not filled properly"))</f>
        <v>Link</v>
      </c>
      <c r="G86" s="1" t="str">
        <f aca="false">IFERROR(VLOOKUP(OFFSET(Table22,85,21,1,1),OFFSET(Table2,0,1,ROWS(Table2),8),2,0),VLOOKUP(OFFSET(Table22,85,22,1,1),Table2,3,0))</f>
        <v>CAN_gaPMG_AZR_AZR_Q1_19_Trial-Social</v>
      </c>
      <c r="H86" s="1" t="n">
        <f aca="false">IFERROR(VLOOKUP(OFFSET(Table22,85,21,1,1),OFFSET(Table2,0,1,ROWS(Table2),8),3,0),VLOOKUP(OFFSET(Table22,85,22,1,1),Table2,4,0))</f>
        <v>21337220</v>
      </c>
      <c r="I86" s="2" t="n">
        <f aca="false">IFERROR(VLOOKUP(OFFSET(Table22,85,21,1,1),OFFSET(Table2,0,1,ROWS(Table2),8),4,0),VLOOKUP(OFFSET(Table22,85,22,1,1),Table2,5,0))</f>
        <v>720192</v>
      </c>
      <c r="J86" s="3" t="str">
        <f aca="false">IF(ISNUMBER(SEARCH("FACEBOOK",W86)),"Facebook",IF(ISNUMBER(SEARCH("INSTAGRAM",W86)),"Facebook-Instagram","Look at taxonomy"))</f>
        <v>Facebook</v>
      </c>
      <c r="K86" s="3" t="str">
        <f aca="false">IF(ISNUMBER(SEARCH("Facebook",J86)),"3654128","Not Facebook")</f>
        <v>3654128</v>
      </c>
      <c r="L86" s="3" t="str">
        <f aca="false">IFERROR(VLOOKUP(OFFSET(Table22,85,21,1,1),OFFSET(Table2,0,1,ROWS(Table2),8),7,0),VLOOKUP(OFFSET(Table22,85,22,1,1),Table2,8,0))</f>
        <v>AzurePlatform_FreeAcctRetargetingVMFB-OnDemand-ChE_CAN_1200x628_SOC_Plat_FR_Free Account_Standard_NA_SU_T2_1</v>
      </c>
      <c r="M86" s="2" t="n">
        <f aca="false">IFERROR(VLOOKUP(OFFSET(Table22,85,21,1,1),OFFSET(Table2,0,1,ROWS(Table2),8),8,0),VLOOKUP(OFFSET(Table22,85,22,1,1),Table2,9,0))</f>
        <v>103058726</v>
      </c>
      <c r="N86" s="15" t="s">
        <v>29</v>
      </c>
      <c r="O86" s="16" t="n">
        <v>43358</v>
      </c>
      <c r="P86" s="17" t="s">
        <v>64</v>
      </c>
      <c r="Q86" s="18" t="s">
        <v>65</v>
      </c>
      <c r="R86" s="17" t="s">
        <v>66</v>
      </c>
      <c r="S86" s="18" t="s">
        <v>45</v>
      </c>
      <c r="T86" s="17" t="s">
        <v>34</v>
      </c>
      <c r="U86" s="18" t="s">
        <v>39</v>
      </c>
      <c r="V86" s="19" t="n">
        <v>223691780</v>
      </c>
      <c r="W86" s="17" t="s">
        <v>75</v>
      </c>
      <c r="X86" s="17" t="n">
        <v>561</v>
      </c>
      <c r="Y86" s="17" t="n">
        <v>4</v>
      </c>
      <c r="Z86" s="17" t="n">
        <v>23.16</v>
      </c>
      <c r="AA86" s="17" t="s">
        <v>68</v>
      </c>
      <c r="AB86" s="17" t="n">
        <v>0</v>
      </c>
    </row>
    <row r="87" customFormat="false" ht="15" hidden="false" customHeight="false" outlineLevel="0" collapsed="false">
      <c r="A87" s="1" t="str">
        <f aca="false">OFFSET(Table22,86,14,1,1)&amp;OFFSET(Table22,86,21,1,1)</f>
        <v>43358223691783</v>
      </c>
      <c r="B87" s="1" t="str">
        <f aca="false">OFFSET(Table22,86,14,1,1)&amp;OFFSET(Table22,86,22,1,1)</f>
        <v>43358Facebook»AZR»1x1»SocialBan»NA»ALL»DYN»RT»D»All»SS»NA»Free Account Retargeting VM - T1 - FR</v>
      </c>
      <c r="C87" s="1" t="s">
        <v>28</v>
      </c>
      <c r="D87" s="3" t="n">
        <f aca="false">O87+(7-WEEKDAY(O87))</f>
        <v>43358</v>
      </c>
      <c r="E87" s="1" t="str">
        <f aca="false">VLOOKUP(OFFSET(Table22,86,16,1,1),Key!B:D,2,0)</f>
        <v>Canada</v>
      </c>
      <c r="F87" s="1" t="str">
        <f aca="false">IF(ISNUMBER(SEARCH("Canvas",U87)),"Link",IF(ISNUMBER(SEARCH("Link",U87)),"Link","Not filled properly"))</f>
        <v>Link</v>
      </c>
      <c r="G87" s="1" t="str">
        <f aca="false">IFERROR(VLOOKUP(OFFSET(Table22,86,21,1,1),OFFSET(Table2,0,1,ROWS(Table2),8),2,0),VLOOKUP(OFFSET(Table22,86,22,1,1),Table2,3,0))</f>
        <v>CAN_gaPMG_AZR_AZR_Q1_19_Trial-Social</v>
      </c>
      <c r="H87" s="1" t="n">
        <f aca="false">IFERROR(VLOOKUP(OFFSET(Table22,86,21,1,1),OFFSET(Table2,0,1,ROWS(Table2),8),3,0),VLOOKUP(OFFSET(Table22,86,22,1,1),Table2,4,0))</f>
        <v>21337220</v>
      </c>
      <c r="I87" s="2" t="n">
        <f aca="false">IFERROR(VLOOKUP(OFFSET(Table22,86,21,1,1),OFFSET(Table2,0,1,ROWS(Table2),8),4,0),VLOOKUP(OFFSET(Table22,86,22,1,1),Table2,5,0))</f>
        <v>720192</v>
      </c>
      <c r="J87" s="3" t="str">
        <f aca="false">IF(ISNUMBER(SEARCH("FACEBOOK",W87)),"Facebook",IF(ISNUMBER(SEARCH("INSTAGRAM",W87)),"Facebook-Instagram","Look at taxonomy"))</f>
        <v>Facebook</v>
      </c>
      <c r="K87" s="3" t="str">
        <f aca="false">IF(ISNUMBER(SEARCH("Facebook",J87)),"3654128","Not Facebook")</f>
        <v>3654128</v>
      </c>
      <c r="L87" s="3" t="str">
        <f aca="false">IFERROR(VLOOKUP(OFFSET(Table22,86,21,1,1),OFFSET(Table2,0,1,ROWS(Table2),8),7,0),VLOOKUP(OFFSET(Table22,86,22,1,1),Table2,8,0))</f>
        <v>AzurePlatform_FreeAcctRetargetingVMFB-750Hrs-ChD_CAN_1200x628_SOC_Plat_FR_Free Account_Standard_NA_SU_T1_1</v>
      </c>
      <c r="M87" s="2" t="n">
        <f aca="false">IFERROR(VLOOKUP(OFFSET(Table22,86,21,1,1),OFFSET(Table2,0,1,ROWS(Table2),8),8,0),VLOOKUP(OFFSET(Table22,86,22,1,1),Table2,9,0))</f>
        <v>103058723</v>
      </c>
      <c r="N87" s="15" t="s">
        <v>29</v>
      </c>
      <c r="O87" s="16" t="n">
        <v>43358</v>
      </c>
      <c r="P87" s="17" t="s">
        <v>64</v>
      </c>
      <c r="Q87" s="18" t="s">
        <v>65</v>
      </c>
      <c r="R87" s="17" t="s">
        <v>66</v>
      </c>
      <c r="S87" s="18" t="s">
        <v>45</v>
      </c>
      <c r="T87" s="17" t="s">
        <v>34</v>
      </c>
      <c r="U87" s="18" t="s">
        <v>39</v>
      </c>
      <c r="V87" s="19" t="n">
        <v>223691783</v>
      </c>
      <c r="W87" s="17" t="s">
        <v>76</v>
      </c>
      <c r="X87" s="17" t="n">
        <v>231</v>
      </c>
      <c r="Y87" s="17" t="n">
        <v>0</v>
      </c>
      <c r="Z87" s="17" t="n">
        <v>9.67</v>
      </c>
      <c r="AA87" s="17" t="s">
        <v>68</v>
      </c>
      <c r="AB87" s="17" t="n">
        <v>0</v>
      </c>
    </row>
    <row r="88" customFormat="false" ht="15" hidden="false" customHeight="false" outlineLevel="0" collapsed="false">
      <c r="A88" s="1" t="str">
        <f aca="false">OFFSET(Table22,87,14,1,1)&amp;OFFSET(Table22,87,21,1,1)</f>
        <v>43358223691840</v>
      </c>
      <c r="B88" s="1" t="str">
        <f aca="false">OFFSET(Table22,87,14,1,1)&amp;OFFSET(Table22,87,22,1,1)</f>
        <v>43358Facebook»AZR»1x1»NA»EGV»ALL»DYN»AUT»D»All»SS»NA»Free Acc CTC - T2 - EN</v>
      </c>
      <c r="C88" s="1" t="s">
        <v>28</v>
      </c>
      <c r="D88" s="3" t="n">
        <f aca="false">O88+(7-WEEKDAY(O88))</f>
        <v>43358</v>
      </c>
      <c r="E88" s="1" t="str">
        <f aca="false">VLOOKUP(OFFSET(Table22,87,16,1,1),Key!B:D,2,0)</f>
        <v>Canada</v>
      </c>
      <c r="F88" s="1" t="str">
        <f aca="false">IF(ISNUMBER(SEARCH("Canvas",U88)),"Link",IF(ISNUMBER(SEARCH("Link",U88)),"Link","Not filled properly"))</f>
        <v>Link</v>
      </c>
      <c r="G88" s="1" t="str">
        <f aca="false">IFERROR(VLOOKUP(OFFSET(Table22,87,21,1,1),OFFSET(Table2,0,1,ROWS(Table2),8),2,0),VLOOKUP(OFFSET(Table22,87,22,1,1),Table2,3,0))</f>
        <v>CAN_gaPMG_AZR_AZR_Q1_19_Trial-Social</v>
      </c>
      <c r="H88" s="1" t="n">
        <f aca="false">IFERROR(VLOOKUP(OFFSET(Table22,87,21,1,1),OFFSET(Table2,0,1,ROWS(Table2),8),3,0),VLOOKUP(OFFSET(Table22,87,22,1,1),Table2,4,0))</f>
        <v>21337220</v>
      </c>
      <c r="I88" s="2" t="n">
        <f aca="false">IFERROR(VLOOKUP(OFFSET(Table22,87,21,1,1),OFFSET(Table2,0,1,ROWS(Table2),8),4,0),VLOOKUP(OFFSET(Table22,87,22,1,1),Table2,5,0))</f>
        <v>720192</v>
      </c>
      <c r="J88" s="3" t="str">
        <f aca="false">IF(ISNUMBER(SEARCH("FACEBOOK",W88)),"Facebook",IF(ISNUMBER(SEARCH("INSTAGRAM",W88)),"Facebook-Instagram","Look at taxonomy"))</f>
        <v>Facebook</v>
      </c>
      <c r="K88" s="3" t="str">
        <f aca="false">IF(ISNUMBER(SEARCH("Facebook",J88)),"3654128","Not Facebook")</f>
        <v>3654128</v>
      </c>
      <c r="L88" s="3" t="str">
        <f aca="false">IFERROR(VLOOKUP(OFFSET(Table22,87,21,1,1),OFFSET(Table2,0,1,ROWS(Table2),8),7,0),VLOOKUP(OFFSET(Table22,87,22,1,1),Table2,8,0))</f>
        <v>AzurePlatform_FBCTCBrandinMotion_CAN_12s_ISV_PLAT_English_Trial_Standard_STAN_TN_T2_1</v>
      </c>
      <c r="M88" s="2" t="n">
        <f aca="false">IFERROR(VLOOKUP(OFFSET(Table22,87,21,1,1),OFFSET(Table2,0,1,ROWS(Table2),8),8,0),VLOOKUP(OFFSET(Table22,87,22,1,1),Table2,9,0))</f>
        <v>102902950</v>
      </c>
      <c r="N88" s="15" t="s">
        <v>29</v>
      </c>
      <c r="O88" s="16" t="n">
        <v>43358</v>
      </c>
      <c r="P88" s="17" t="s">
        <v>64</v>
      </c>
      <c r="Q88" s="18" t="s">
        <v>65</v>
      </c>
      <c r="R88" s="17" t="s">
        <v>66</v>
      </c>
      <c r="S88" s="18" t="s">
        <v>45</v>
      </c>
      <c r="T88" s="17" t="s">
        <v>34</v>
      </c>
      <c r="U88" s="18" t="s">
        <v>39</v>
      </c>
      <c r="V88" s="19" t="n">
        <v>223691840</v>
      </c>
      <c r="W88" s="17" t="s">
        <v>77</v>
      </c>
      <c r="X88" s="17" t="n">
        <v>2512</v>
      </c>
      <c r="Y88" s="17" t="n">
        <v>4</v>
      </c>
      <c r="Z88" s="17" t="n">
        <v>48.06</v>
      </c>
      <c r="AA88" s="17" t="s">
        <v>68</v>
      </c>
      <c r="AB88" s="17" t="n">
        <v>0</v>
      </c>
    </row>
    <row r="89" customFormat="false" ht="15" hidden="false" customHeight="false" outlineLevel="0" collapsed="false">
      <c r="A89" s="1" t="str">
        <f aca="false">OFFSET(Table22,88,14,1,1)&amp;OFFSET(Table22,88,21,1,1)</f>
        <v>43358227522771</v>
      </c>
      <c r="B89" s="1" t="str">
        <f aca="false">OFFSET(Table22,88,14,1,1)&amp;OFFSET(Table22,88,22,1,1)</f>
        <v>43358Facebook»AZR»1x1»NA»NA»ALL»DYN»AUT»D»All»SS»NA»Free Account Create to Convert FB - Canvas - Brand - Start Free - FR</v>
      </c>
      <c r="C89" s="1" t="s">
        <v>28</v>
      </c>
      <c r="D89" s="3" t="n">
        <f aca="false">O89+(7-WEEKDAY(O89))</f>
        <v>43358</v>
      </c>
      <c r="E89" s="1" t="str">
        <f aca="false">VLOOKUP(OFFSET(Table22,88,16,1,1),Key!B:D,2,0)</f>
        <v>Canada</v>
      </c>
      <c r="F89" s="1" t="str">
        <f aca="false">IF(ISNUMBER(SEARCH("Canvas",U89)),"Link",IF(ISNUMBER(SEARCH("Link",U89)),"Link","Not filled properly"))</f>
        <v>Link</v>
      </c>
      <c r="G89" s="1" t="str">
        <f aca="false">IFERROR(VLOOKUP(OFFSET(Table22,88,21,1,1),OFFSET(Table2,0,1,ROWS(Table2),8),2,0),VLOOKUP(OFFSET(Table22,88,22,1,1),Table2,3,0))</f>
        <v>CAN_gaPMG_AZR_AZR_Q1_19_Trial-Social</v>
      </c>
      <c r="H89" s="1" t="n">
        <f aca="false">IFERROR(VLOOKUP(OFFSET(Table22,88,21,1,1),OFFSET(Table2,0,1,ROWS(Table2),8),3,0),VLOOKUP(OFFSET(Table22,88,22,1,1),Table2,4,0))</f>
        <v>21337220</v>
      </c>
      <c r="I89" s="2" t="n">
        <f aca="false">IFERROR(VLOOKUP(OFFSET(Table22,88,21,1,1),OFFSET(Table2,0,1,ROWS(Table2),8),4,0),VLOOKUP(OFFSET(Table22,88,22,1,1),Table2,5,0))</f>
        <v>720192</v>
      </c>
      <c r="J89" s="3" t="str">
        <f aca="false">IF(ISNUMBER(SEARCH("FACEBOOK",W89)),"Facebook",IF(ISNUMBER(SEARCH("INSTAGRAM",W89)),"Facebook-Instagram","Look at taxonomy"))</f>
        <v>Facebook</v>
      </c>
      <c r="K89" s="3" t="str">
        <f aca="false">IF(ISNUMBER(SEARCH("Facebook",J89)),"3654128","Not Facebook")</f>
        <v>3654128</v>
      </c>
      <c r="L89" s="3" t="str">
        <f aca="false">IFERROR(VLOOKUP(OFFSET(Table22,88,21,1,1),OFFSET(Table2,0,1,ROWS(Table2),8),7,0),VLOOKUP(OFFSET(Table22,88,22,1,1),Table2,8,0))</f>
        <v>AzurePlatform_FBCTCBrandinMotion_CAN_1080x1080_SOC_12s_ISV_FR_Standard_NA_FTR_T2_1</v>
      </c>
      <c r="M89" s="2" t="n">
        <f aca="false">IFERROR(VLOOKUP(OFFSET(Table22,88,21,1,1),OFFSET(Table2,0,1,ROWS(Table2),8),8,0),VLOOKUP(OFFSET(Table22,88,22,1,1),Table2,9,0))</f>
        <v>105130128</v>
      </c>
      <c r="N89" s="15" t="s">
        <v>29</v>
      </c>
      <c r="O89" s="16" t="n">
        <v>43358</v>
      </c>
      <c r="P89" s="17" t="s">
        <v>64</v>
      </c>
      <c r="Q89" s="18" t="s">
        <v>65</v>
      </c>
      <c r="R89" s="17" t="s">
        <v>66</v>
      </c>
      <c r="S89" s="18" t="s">
        <v>45</v>
      </c>
      <c r="T89" s="17" t="s">
        <v>34</v>
      </c>
      <c r="U89" s="18" t="s">
        <v>39</v>
      </c>
      <c r="V89" s="19" t="n">
        <v>227522771</v>
      </c>
      <c r="W89" s="17" t="s">
        <v>78</v>
      </c>
      <c r="X89" s="17" t="n">
        <v>394</v>
      </c>
      <c r="Y89" s="17" t="n">
        <v>1</v>
      </c>
      <c r="Z89" s="17" t="n">
        <v>6.89</v>
      </c>
      <c r="AA89" s="17" t="s">
        <v>68</v>
      </c>
      <c r="AB89" s="17" t="n">
        <v>0</v>
      </c>
    </row>
    <row r="90" customFormat="false" ht="15" hidden="false" customHeight="false" outlineLevel="0" collapsed="false">
      <c r="A90" s="1" t="str">
        <f aca="false">OFFSET(Table22,89,14,1,1)&amp;OFFSET(Table22,89,21,1,1)</f>
        <v>43358223691801</v>
      </c>
      <c r="B90" s="1" t="str">
        <f aca="false">OFFSET(Table22,89,14,1,1)&amp;OFFSET(Table22,89,22,1,1)</f>
        <v>43358Facebook»AZR»1x1»NA»EGV»ALL»DYN»AUT»D»All»SS»NA»Free Acc CTC - T1 - FR</v>
      </c>
      <c r="C90" s="1" t="s">
        <v>28</v>
      </c>
      <c r="D90" s="3" t="n">
        <f aca="false">O90+(7-WEEKDAY(O90))</f>
        <v>43358</v>
      </c>
      <c r="E90" s="1" t="str">
        <f aca="false">VLOOKUP(OFFSET(Table22,89,16,1,1),Key!B:D,2,0)</f>
        <v>Canada</v>
      </c>
      <c r="F90" s="1" t="str">
        <f aca="false">IF(ISNUMBER(SEARCH("Canvas",U90)),"Link",IF(ISNUMBER(SEARCH("Link",U90)),"Link","Not filled properly"))</f>
        <v>Link</v>
      </c>
      <c r="G90" s="1" t="str">
        <f aca="false">IFERROR(VLOOKUP(OFFSET(Table22,89,21,1,1),OFFSET(Table2,0,1,ROWS(Table2),8),2,0),VLOOKUP(OFFSET(Table22,89,22,1,1),Table2,3,0))</f>
        <v>CAN_gaPMG_AZR_AZR_Q1_19_Trial-Social</v>
      </c>
      <c r="H90" s="1" t="n">
        <f aca="false">IFERROR(VLOOKUP(OFFSET(Table22,89,21,1,1),OFFSET(Table2,0,1,ROWS(Table2),8),3,0),VLOOKUP(OFFSET(Table22,89,22,1,1),Table2,4,0))</f>
        <v>21337220</v>
      </c>
      <c r="I90" s="2" t="n">
        <f aca="false">IFERROR(VLOOKUP(OFFSET(Table22,89,21,1,1),OFFSET(Table2,0,1,ROWS(Table2),8),4,0),VLOOKUP(OFFSET(Table22,89,22,1,1),Table2,5,0))</f>
        <v>720192</v>
      </c>
      <c r="J90" s="3" t="str">
        <f aca="false">IF(ISNUMBER(SEARCH("FACEBOOK",W90)),"Facebook",IF(ISNUMBER(SEARCH("INSTAGRAM",W90)),"Facebook-Instagram","Look at taxonomy"))</f>
        <v>Facebook</v>
      </c>
      <c r="K90" s="3" t="str">
        <f aca="false">IF(ISNUMBER(SEARCH("Facebook",J90)),"3654128","Not Facebook")</f>
        <v>3654128</v>
      </c>
      <c r="L90" s="3" t="str">
        <f aca="false">IFERROR(VLOOKUP(OFFSET(Table22,89,21,1,1),OFFSET(Table2,0,1,ROWS(Table2),8),7,0),VLOOKUP(OFFSET(Table22,89,22,1,1),Table2,8,0))</f>
        <v>AzurePlatform_FBCTCBasicMotion_CAN_10s_ISV_PLAT_FR_Trial_Standard_STAN_TN_T1_1</v>
      </c>
      <c r="M90" s="2" t="n">
        <f aca="false">IFERROR(VLOOKUP(OFFSET(Table22,89,21,1,1),OFFSET(Table2,0,1,ROWS(Table2),8),8,0),VLOOKUP(OFFSET(Table22,89,22,1,1),Table2,9,0))</f>
        <v>103053323</v>
      </c>
      <c r="N90" s="15" t="s">
        <v>29</v>
      </c>
      <c r="O90" s="16" t="n">
        <v>43358</v>
      </c>
      <c r="P90" s="17" t="s">
        <v>64</v>
      </c>
      <c r="Q90" s="18" t="s">
        <v>65</v>
      </c>
      <c r="R90" s="17" t="s">
        <v>66</v>
      </c>
      <c r="S90" s="18" t="s">
        <v>45</v>
      </c>
      <c r="T90" s="17" t="s">
        <v>34</v>
      </c>
      <c r="U90" s="18" t="s">
        <v>39</v>
      </c>
      <c r="V90" s="19" t="n">
        <v>223691801</v>
      </c>
      <c r="W90" s="17" t="s">
        <v>79</v>
      </c>
      <c r="X90" s="17" t="n">
        <v>1441</v>
      </c>
      <c r="Y90" s="17" t="n">
        <v>5</v>
      </c>
      <c r="Z90" s="17" t="n">
        <v>38.53</v>
      </c>
      <c r="AA90" s="17" t="s">
        <v>68</v>
      </c>
      <c r="AB90" s="17" t="n">
        <v>0</v>
      </c>
    </row>
    <row r="91" customFormat="false" ht="15" hidden="false" customHeight="false" outlineLevel="0" collapsed="false">
      <c r="A91" s="1" t="str">
        <f aca="false">OFFSET(Table22,90,14,1,1)&amp;OFFSET(Table22,90,21,1,1)</f>
        <v>43358223691825</v>
      </c>
      <c r="B91" s="1" t="str">
        <f aca="false">OFFSET(Table22,90,14,1,1)&amp;OFFSET(Table22,90,22,1,1)</f>
        <v>43358Facebook»AZR»1x1»SocialBan»NA»ALL»DYN»RT»D»All»SS»NA»Free Account Retargeting VM - T1 - EN</v>
      </c>
      <c r="C91" s="1" t="s">
        <v>28</v>
      </c>
      <c r="D91" s="3" t="n">
        <f aca="false">O91+(7-WEEKDAY(O91))</f>
        <v>43358</v>
      </c>
      <c r="E91" s="1" t="str">
        <f aca="false">VLOOKUP(OFFSET(Table22,90,16,1,1),Key!B:D,2,0)</f>
        <v>Canada</v>
      </c>
      <c r="F91" s="1" t="str">
        <f aca="false">IF(ISNUMBER(SEARCH("Canvas",U91)),"Link",IF(ISNUMBER(SEARCH("Link",U91)),"Link","Not filled properly"))</f>
        <v>Link</v>
      </c>
      <c r="G91" s="1" t="str">
        <f aca="false">IFERROR(VLOOKUP(OFFSET(Table22,90,21,1,1),OFFSET(Table2,0,1,ROWS(Table2),8),2,0),VLOOKUP(OFFSET(Table22,90,22,1,1),Table2,3,0))</f>
        <v>CAN_gaPMG_AZR_AZR_Q1_19_Trial-Social</v>
      </c>
      <c r="H91" s="1" t="n">
        <f aca="false">IFERROR(VLOOKUP(OFFSET(Table22,90,21,1,1),OFFSET(Table2,0,1,ROWS(Table2),8),3,0),VLOOKUP(OFFSET(Table22,90,22,1,1),Table2,4,0))</f>
        <v>21337220</v>
      </c>
      <c r="I91" s="2" t="n">
        <f aca="false">IFERROR(VLOOKUP(OFFSET(Table22,90,21,1,1),OFFSET(Table2,0,1,ROWS(Table2),8),4,0),VLOOKUP(OFFSET(Table22,90,22,1,1),Table2,5,0))</f>
        <v>720192</v>
      </c>
      <c r="J91" s="3" t="str">
        <f aca="false">IF(ISNUMBER(SEARCH("FACEBOOK",W91)),"Facebook",IF(ISNUMBER(SEARCH("INSTAGRAM",W91)),"Facebook-Instagram","Look at taxonomy"))</f>
        <v>Facebook</v>
      </c>
      <c r="K91" s="3" t="str">
        <f aca="false">IF(ISNUMBER(SEARCH("Facebook",J91)),"3654128","Not Facebook")</f>
        <v>3654128</v>
      </c>
      <c r="L91" s="3" t="str">
        <f aca="false">IFERROR(VLOOKUP(OFFSET(Table22,90,21,1,1),OFFSET(Table2,0,1,ROWS(Table2),8),7,0),VLOOKUP(OFFSET(Table22,90,22,1,1),Table2,8,0))</f>
        <v>AzurePlatform_FreeAcctRetargetingVMFB-750Hrs-ChD_CAN_1200x628_SOC_Plat_EN_Free Account_Standard_NA_SU_T1_1</v>
      </c>
      <c r="M91" s="2" t="n">
        <f aca="false">IFERROR(VLOOKUP(OFFSET(Table22,90,21,1,1),OFFSET(Table2,0,1,ROWS(Table2),8),8,0),VLOOKUP(OFFSET(Table22,90,22,1,1),Table2,9,0))</f>
        <v>102916338</v>
      </c>
      <c r="N91" s="15" t="s">
        <v>29</v>
      </c>
      <c r="O91" s="16" t="n">
        <v>43358</v>
      </c>
      <c r="P91" s="17" t="s">
        <v>64</v>
      </c>
      <c r="Q91" s="18" t="s">
        <v>65</v>
      </c>
      <c r="R91" s="17" t="s">
        <v>66</v>
      </c>
      <c r="S91" s="18" t="s">
        <v>45</v>
      </c>
      <c r="T91" s="17" t="s">
        <v>34</v>
      </c>
      <c r="U91" s="18" t="s">
        <v>39</v>
      </c>
      <c r="V91" s="19" t="n">
        <v>223691825</v>
      </c>
      <c r="W91" s="17" t="s">
        <v>80</v>
      </c>
      <c r="X91" s="17" t="n">
        <v>4938</v>
      </c>
      <c r="Y91" s="17" t="n">
        <v>17</v>
      </c>
      <c r="Z91" s="17" t="n">
        <v>189.02</v>
      </c>
      <c r="AA91" s="17" t="s">
        <v>68</v>
      </c>
      <c r="AB91" s="17" t="n">
        <v>0</v>
      </c>
    </row>
    <row r="92" customFormat="false" ht="15" hidden="false" customHeight="false" outlineLevel="0" collapsed="false">
      <c r="A92" s="1" t="str">
        <f aca="false">OFFSET(Table22,91,14,1,1)&amp;OFFSET(Table22,91,21,1,1)</f>
        <v>43358223691786</v>
      </c>
      <c r="B92" s="1" t="str">
        <f aca="false">OFFSET(Table22,91,14,1,1)&amp;OFFSET(Table22,91,22,1,1)</f>
        <v>43358Facebook»AZR»1x1»SocialBan»NA»ALL»DYN»RT»D»All»SS»NA» Free Account Retargeting OSS - T1 - FR</v>
      </c>
      <c r="C92" s="1" t="s">
        <v>28</v>
      </c>
      <c r="D92" s="3" t="n">
        <f aca="false">O92+(7-WEEKDAY(O92))</f>
        <v>43358</v>
      </c>
      <c r="E92" s="1" t="str">
        <f aca="false">VLOOKUP(OFFSET(Table22,91,16,1,1),Key!B:D,2,0)</f>
        <v>Canada</v>
      </c>
      <c r="F92" s="1" t="str">
        <f aca="false">IF(ISNUMBER(SEARCH("Canvas",U92)),"Link",IF(ISNUMBER(SEARCH("Link",U92)),"Link","Not filled properly"))</f>
        <v>Link</v>
      </c>
      <c r="G92" s="1" t="str">
        <f aca="false">IFERROR(VLOOKUP(OFFSET(Table22,91,21,1,1),OFFSET(Table2,0,1,ROWS(Table2),8),2,0),VLOOKUP(OFFSET(Table22,91,22,1,1),Table2,3,0))</f>
        <v>CAN_gaPMG_AZR_AZR_Q1_19_Trial-Social</v>
      </c>
      <c r="H92" s="1" t="n">
        <f aca="false">IFERROR(VLOOKUP(OFFSET(Table22,91,21,1,1),OFFSET(Table2,0,1,ROWS(Table2),8),3,0),VLOOKUP(OFFSET(Table22,91,22,1,1),Table2,4,0))</f>
        <v>21337220</v>
      </c>
      <c r="I92" s="2" t="n">
        <f aca="false">IFERROR(VLOOKUP(OFFSET(Table22,91,21,1,1),OFFSET(Table2,0,1,ROWS(Table2),8),4,0),VLOOKUP(OFFSET(Table22,91,22,1,1),Table2,5,0))</f>
        <v>720192</v>
      </c>
      <c r="J92" s="3" t="str">
        <f aca="false">IF(ISNUMBER(SEARCH("FACEBOOK",W92)),"Facebook",IF(ISNUMBER(SEARCH("INSTAGRAM",W92)),"Facebook-Instagram","Look at taxonomy"))</f>
        <v>Facebook</v>
      </c>
      <c r="K92" s="3" t="str">
        <f aca="false">IF(ISNUMBER(SEARCH("Facebook",J92)),"3654128","Not Facebook")</f>
        <v>3654128</v>
      </c>
      <c r="L92" s="3" t="str">
        <f aca="false">IFERROR(VLOOKUP(OFFSET(Table22,91,21,1,1),OFFSET(Table2,0,1,ROWS(Table2),8),7,0),VLOOKUP(OFFSET(Table22,91,22,1,1),Table2,8,0))</f>
        <v>AzurePlatform_FreeAcctRetargetingOSSFB-Text-ChF_CAN_1200x628_SOC_Plat_FR_Free Account_Standard_NA_SU_T1_1</v>
      </c>
      <c r="M92" s="2" t="n">
        <f aca="false">IFERROR(VLOOKUP(OFFSET(Table22,91,21,1,1),OFFSET(Table2,0,1,ROWS(Table2),8),8,0),VLOOKUP(OFFSET(Table22,91,22,1,1),Table2,9,0))</f>
        <v>103058720</v>
      </c>
      <c r="N92" s="15" t="s">
        <v>29</v>
      </c>
      <c r="O92" s="16" t="n">
        <v>43358</v>
      </c>
      <c r="P92" s="17" t="s">
        <v>64</v>
      </c>
      <c r="Q92" s="18" t="s">
        <v>65</v>
      </c>
      <c r="R92" s="17" t="s">
        <v>66</v>
      </c>
      <c r="S92" s="18" t="s">
        <v>45</v>
      </c>
      <c r="T92" s="17" t="s">
        <v>34</v>
      </c>
      <c r="U92" s="18" t="s">
        <v>39</v>
      </c>
      <c r="V92" s="19" t="n">
        <v>223691786</v>
      </c>
      <c r="W92" s="17" t="s">
        <v>81</v>
      </c>
      <c r="X92" s="17" t="n">
        <v>292</v>
      </c>
      <c r="Y92" s="17" t="n">
        <v>0</v>
      </c>
      <c r="Z92" s="17" t="n">
        <v>6.92</v>
      </c>
      <c r="AA92" s="17" t="s">
        <v>68</v>
      </c>
      <c r="AB92" s="17" t="n">
        <v>0</v>
      </c>
    </row>
    <row r="93" customFormat="false" ht="15" hidden="false" customHeight="false" outlineLevel="0" collapsed="false">
      <c r="A93" s="1" t="str">
        <f aca="false">OFFSET(Table22,92,14,1,1)&amp;OFFSET(Table22,92,21,1,1)</f>
        <v>43358225322327</v>
      </c>
      <c r="B93" s="1" t="str">
        <f aca="false">OFFSET(Table22,92,14,1,1)&amp;OFFSET(Table22,92,22,1,1)</f>
        <v>43358Facebook»AZR»1x1»NA»SOC»ALL»DYN»PRO»D»All»SS»NA»Canvas - Buy Now - EN</v>
      </c>
      <c r="C93" s="1" t="s">
        <v>28</v>
      </c>
      <c r="D93" s="3" t="n">
        <f aca="false">O93+(7-WEEKDAY(O93))</f>
        <v>43358</v>
      </c>
      <c r="E93" s="1" t="str">
        <f aca="false">VLOOKUP(OFFSET(Table22,92,16,1,1),Key!B:D,2,0)</f>
        <v>Canada</v>
      </c>
      <c r="F93" s="1" t="str">
        <f aca="false">IF(ISNUMBER(SEARCH("Canvas",U93)),"Link",IF(ISNUMBER(SEARCH("Link",U93)),"Link","Not filled properly"))</f>
        <v>Link</v>
      </c>
      <c r="G93" s="1" t="str">
        <f aca="false">IFERROR(VLOOKUP(OFFSET(Table22,92,21,1,1),OFFSET(Table2,0,1,ROWS(Table2),8),2,0),VLOOKUP(OFFSET(Table22,92,22,1,1),Table2,3,0))</f>
        <v>CAN_gaPMG_AZR_AZR_Q1_19_Trial-Social</v>
      </c>
      <c r="H93" s="1" t="n">
        <f aca="false">IFERROR(VLOOKUP(OFFSET(Table22,92,21,1,1),OFFSET(Table2,0,1,ROWS(Table2),8),3,0),VLOOKUP(OFFSET(Table22,92,22,1,1),Table2,4,0))</f>
        <v>21337220</v>
      </c>
      <c r="I93" s="2" t="n">
        <f aca="false">IFERROR(VLOOKUP(OFFSET(Table22,92,21,1,1),OFFSET(Table2,0,1,ROWS(Table2),8),4,0),VLOOKUP(OFFSET(Table22,92,22,1,1),Table2,5,0))</f>
        <v>720192</v>
      </c>
      <c r="J93" s="3" t="str">
        <f aca="false">IF(ISNUMBER(SEARCH("FACEBOOK",W93)),"Facebook",IF(ISNUMBER(SEARCH("INSTAGRAM",W93)),"Facebook-Instagram","Look at taxonomy"))</f>
        <v>Facebook</v>
      </c>
      <c r="K93" s="3" t="str">
        <f aca="false">IF(ISNUMBER(SEARCH("Facebook",J93)),"3654128","Not Facebook")</f>
        <v>3654128</v>
      </c>
      <c r="L93" s="3" t="str">
        <f aca="false">IFERROR(VLOOKUP(OFFSET(Table22,92,21,1,1),OFFSET(Table2,0,1,ROWS(Table2),8),7,0),VLOOKUP(OFFSET(Table22,92,22,1,1),Table2,8,0))</f>
        <v>AzurePlatform_FBCTCcanvaspage-BuyNowCTA-Img3_CAN_1080x162_SOC_Plat_English_NA_Standard_NA_BN_T3_1</v>
      </c>
      <c r="M93" s="2" t="n">
        <f aca="false">IFERROR(VLOOKUP(OFFSET(Table22,92,21,1,1),OFFSET(Table2,0,1,ROWS(Table2),8),8,0),VLOOKUP(OFFSET(Table22,92,22,1,1),Table2,9,0))</f>
        <v>103902287</v>
      </c>
      <c r="N93" s="15" t="s">
        <v>29</v>
      </c>
      <c r="O93" s="16" t="n">
        <v>43358</v>
      </c>
      <c r="P93" s="17" t="s">
        <v>64</v>
      </c>
      <c r="Q93" s="18" t="s">
        <v>65</v>
      </c>
      <c r="R93" s="17" t="s">
        <v>66</v>
      </c>
      <c r="S93" s="18" t="s">
        <v>45</v>
      </c>
      <c r="T93" s="17" t="s">
        <v>34</v>
      </c>
      <c r="U93" s="18" t="s">
        <v>39</v>
      </c>
      <c r="V93" s="19" t="n">
        <v>225322327</v>
      </c>
      <c r="W93" s="17" t="s">
        <v>82</v>
      </c>
      <c r="X93" s="17" t="n">
        <v>984</v>
      </c>
      <c r="Y93" s="17" t="n">
        <v>7</v>
      </c>
      <c r="Z93" s="17" t="n">
        <v>22.55</v>
      </c>
      <c r="AA93" s="17" t="s">
        <v>68</v>
      </c>
      <c r="AB93" s="17" t="n">
        <v>0</v>
      </c>
    </row>
    <row r="94" customFormat="false" ht="15" hidden="false" customHeight="false" outlineLevel="0" collapsed="false">
      <c r="A94" s="1" t="str">
        <f aca="false">OFFSET(Table22,93,14,1,1)&amp;OFFSET(Table22,93,21,1,1)</f>
        <v>43358223691837</v>
      </c>
      <c r="B94" s="1" t="str">
        <f aca="false">OFFSET(Table22,93,14,1,1)&amp;OFFSET(Table22,93,22,1,1)</f>
        <v>43358Facebook»AZR»1x1»NA»EGV»ALL»DYN»AUT»D»All»SS»NA»Free Acc CTC - T4 - EN</v>
      </c>
      <c r="C94" s="1" t="s">
        <v>28</v>
      </c>
      <c r="D94" s="3" t="n">
        <f aca="false">O94+(7-WEEKDAY(O94))</f>
        <v>43358</v>
      </c>
      <c r="E94" s="1" t="str">
        <f aca="false">VLOOKUP(OFFSET(Table22,93,16,1,1),Key!B:D,2,0)</f>
        <v>Canada</v>
      </c>
      <c r="F94" s="1" t="str">
        <f aca="false">IF(ISNUMBER(SEARCH("Canvas",U94)),"Link",IF(ISNUMBER(SEARCH("Link",U94)),"Link","Not filled properly"))</f>
        <v>Link</v>
      </c>
      <c r="G94" s="1" t="str">
        <f aca="false">IFERROR(VLOOKUP(OFFSET(Table22,93,21,1,1),OFFSET(Table2,0,1,ROWS(Table2),8),2,0),VLOOKUP(OFFSET(Table22,93,22,1,1),Table2,3,0))</f>
        <v>CAN_gaPMG_AZR_AZR_Q1_19_Trial-Social</v>
      </c>
      <c r="H94" s="1" t="n">
        <f aca="false">IFERROR(VLOOKUP(OFFSET(Table22,93,21,1,1),OFFSET(Table2,0,1,ROWS(Table2),8),3,0),VLOOKUP(OFFSET(Table22,93,22,1,1),Table2,4,0))</f>
        <v>21337220</v>
      </c>
      <c r="I94" s="2" t="n">
        <f aca="false">IFERROR(VLOOKUP(OFFSET(Table22,93,21,1,1),OFFSET(Table2,0,1,ROWS(Table2),8),4,0),VLOOKUP(OFFSET(Table22,93,22,1,1),Table2,5,0))</f>
        <v>720192</v>
      </c>
      <c r="J94" s="3" t="str">
        <f aca="false">IF(ISNUMBER(SEARCH("FACEBOOK",W94)),"Facebook",IF(ISNUMBER(SEARCH("INSTAGRAM",W94)),"Facebook-Instagram","Look at taxonomy"))</f>
        <v>Facebook</v>
      </c>
      <c r="K94" s="3" t="str">
        <f aca="false">IF(ISNUMBER(SEARCH("Facebook",J94)),"3654128","Not Facebook")</f>
        <v>3654128</v>
      </c>
      <c r="L94" s="3" t="str">
        <f aca="false">IFERROR(VLOOKUP(OFFSET(Table22,93,21,1,1),OFFSET(Table2,0,1,ROWS(Table2),8),7,0),VLOOKUP(OFFSET(Table22,93,22,1,1),Table2,8,0))</f>
        <v>AzurePlatform_FBCTCBenefit2inMotion_CAN_14s_ISV_PLAT_English_Trial_Standard_STAN_TN_T4_1</v>
      </c>
      <c r="M94" s="2" t="n">
        <f aca="false">IFERROR(VLOOKUP(OFFSET(Table22,93,21,1,1),OFFSET(Table2,0,1,ROWS(Table2),8),8,0),VLOOKUP(OFFSET(Table22,93,22,1,1),Table2,9,0))</f>
        <v>103053314</v>
      </c>
      <c r="N94" s="15" t="s">
        <v>29</v>
      </c>
      <c r="O94" s="16" t="n">
        <v>43358</v>
      </c>
      <c r="P94" s="17" t="s">
        <v>64</v>
      </c>
      <c r="Q94" s="18" t="s">
        <v>65</v>
      </c>
      <c r="R94" s="17" t="s">
        <v>66</v>
      </c>
      <c r="S94" s="18" t="s">
        <v>45</v>
      </c>
      <c r="T94" s="17" t="s">
        <v>34</v>
      </c>
      <c r="U94" s="18" t="s">
        <v>39</v>
      </c>
      <c r="V94" s="19" t="n">
        <v>223691837</v>
      </c>
      <c r="W94" s="17" t="s">
        <v>83</v>
      </c>
      <c r="X94" s="17" t="n">
        <v>4598</v>
      </c>
      <c r="Y94" s="17" t="n">
        <v>5</v>
      </c>
      <c r="Z94" s="17" t="n">
        <v>102.01</v>
      </c>
      <c r="AA94" s="17" t="s">
        <v>68</v>
      </c>
      <c r="AB94" s="17" t="n">
        <v>0</v>
      </c>
    </row>
    <row r="95" customFormat="false" ht="15" hidden="false" customHeight="false" outlineLevel="0" collapsed="false">
      <c r="A95" s="1" t="str">
        <f aca="false">OFFSET(Table22,94,14,1,1)&amp;OFFSET(Table22,94,21,1,1)</f>
        <v>43358223684451</v>
      </c>
      <c r="B95" s="1" t="str">
        <f aca="false">OFFSET(Table22,94,14,1,1)&amp;OFFSET(Table22,94,22,1,1)</f>
        <v>43358Facebook»AZR»1x1»NA»EGV»ALL»DYN»AUT»D»All»SS»NA»Free Acc CTC - T1 - EN</v>
      </c>
      <c r="C95" s="1" t="s">
        <v>28</v>
      </c>
      <c r="D95" s="3" t="n">
        <f aca="false">O95+(7-WEEKDAY(O95))</f>
        <v>43358</v>
      </c>
      <c r="E95" s="1" t="str">
        <f aca="false">VLOOKUP(OFFSET(Table22,94,16,1,1),Key!B:D,2,0)</f>
        <v>Canada</v>
      </c>
      <c r="F95" s="1" t="str">
        <f aca="false">IF(ISNUMBER(SEARCH("Canvas",U95)),"Link",IF(ISNUMBER(SEARCH("Link",U95)),"Link","Not filled properly"))</f>
        <v>Link</v>
      </c>
      <c r="G95" s="1" t="str">
        <f aca="false">IFERROR(VLOOKUP(OFFSET(Table22,94,21,1,1),OFFSET(Table2,0,1,ROWS(Table2),8),2,0),VLOOKUP(OFFSET(Table22,94,22,1,1),Table2,3,0))</f>
        <v>CAN_gaPMG_AZR_AZR_Q1_19_Trial-Social</v>
      </c>
      <c r="H95" s="1" t="n">
        <f aca="false">IFERROR(VLOOKUP(OFFSET(Table22,94,21,1,1),OFFSET(Table2,0,1,ROWS(Table2),8),3,0),VLOOKUP(OFFSET(Table22,94,22,1,1),Table2,4,0))</f>
        <v>21337220</v>
      </c>
      <c r="I95" s="2" t="n">
        <f aca="false">IFERROR(VLOOKUP(OFFSET(Table22,94,21,1,1),OFFSET(Table2,0,1,ROWS(Table2),8),4,0),VLOOKUP(OFFSET(Table22,94,22,1,1),Table2,5,0))</f>
        <v>720192</v>
      </c>
      <c r="J95" s="3" t="str">
        <f aca="false">IF(ISNUMBER(SEARCH("FACEBOOK",W95)),"Facebook",IF(ISNUMBER(SEARCH("INSTAGRAM",W95)),"Facebook-Instagram","Look at taxonomy"))</f>
        <v>Facebook</v>
      </c>
      <c r="K95" s="3" t="str">
        <f aca="false">IF(ISNUMBER(SEARCH("Facebook",J95)),"3654128","Not Facebook")</f>
        <v>3654128</v>
      </c>
      <c r="L95" s="3" t="str">
        <f aca="false">IFERROR(VLOOKUP(OFFSET(Table22,94,21,1,1),OFFSET(Table2,0,1,ROWS(Table2),8),7,0),VLOOKUP(OFFSET(Table22,94,22,1,1),Table2,8,0))</f>
        <v>AzurePlatform_FBCTCBasicMotion_CAN_10s_ISV_PLAT_English_Trial_Standard_STAN_TN_T1_1</v>
      </c>
      <c r="M95" s="2" t="n">
        <f aca="false">IFERROR(VLOOKUP(OFFSET(Table22,94,21,1,1),OFFSET(Table2,0,1,ROWS(Table2),8),8,0),VLOOKUP(OFFSET(Table22,94,22,1,1),Table2,9,0))</f>
        <v>102901882</v>
      </c>
      <c r="N95" s="15" t="s">
        <v>29</v>
      </c>
      <c r="O95" s="16" t="n">
        <v>43358</v>
      </c>
      <c r="P95" s="17" t="s">
        <v>64</v>
      </c>
      <c r="Q95" s="18" t="s">
        <v>65</v>
      </c>
      <c r="R95" s="17" t="s">
        <v>66</v>
      </c>
      <c r="S95" s="18" t="s">
        <v>45</v>
      </c>
      <c r="T95" s="17" t="s">
        <v>34</v>
      </c>
      <c r="U95" s="18" t="s">
        <v>39</v>
      </c>
      <c r="V95" s="19" t="n">
        <v>223684451</v>
      </c>
      <c r="W95" s="17" t="s">
        <v>84</v>
      </c>
      <c r="X95" s="17" t="n">
        <v>683</v>
      </c>
      <c r="Y95" s="17" t="n">
        <v>1</v>
      </c>
      <c r="Z95" s="17" t="n">
        <v>13.33</v>
      </c>
      <c r="AA95" s="17" t="s">
        <v>68</v>
      </c>
      <c r="AB95" s="17" t="n">
        <v>0</v>
      </c>
    </row>
    <row r="96" customFormat="false" ht="15" hidden="false" customHeight="false" outlineLevel="0" collapsed="false">
      <c r="A96" s="1" t="str">
        <f aca="false">OFFSET(Table22,95,14,1,1)&amp;OFFSET(Table22,95,21,1,1)</f>
        <v>43358227525720</v>
      </c>
      <c r="B96" s="1" t="str">
        <f aca="false">OFFSET(Table22,95,14,1,1)&amp;OFFSET(Table22,95,22,1,1)</f>
        <v>43358Facebook»AZR»1x1»NA»NA»ALL»DYN»AUT»D»All»SS»NA»Free Account Create to Convert FB - Canvas - Benefit - Start Free - EN</v>
      </c>
      <c r="C96" s="1" t="s">
        <v>28</v>
      </c>
      <c r="D96" s="3" t="n">
        <f aca="false">O96+(7-WEEKDAY(O96))</f>
        <v>43358</v>
      </c>
      <c r="E96" s="1" t="str">
        <f aca="false">VLOOKUP(OFFSET(Table22,95,16,1,1),Key!B:D,2,0)</f>
        <v>Canada</v>
      </c>
      <c r="F96" s="1" t="str">
        <f aca="false">IF(ISNUMBER(SEARCH("Canvas",U96)),"Link",IF(ISNUMBER(SEARCH("Link",U96)),"Link","Not filled properly"))</f>
        <v>Link</v>
      </c>
      <c r="G96" s="1" t="str">
        <f aca="false">IFERROR(VLOOKUP(OFFSET(Table22,95,21,1,1),OFFSET(Table2,0,1,ROWS(Table2),8),2,0),VLOOKUP(OFFSET(Table22,95,22,1,1),Table2,3,0))</f>
        <v>CAN_gaPMG_AZR_AZR_Q1_19_Trial-Social</v>
      </c>
      <c r="H96" s="1" t="n">
        <f aca="false">IFERROR(VLOOKUP(OFFSET(Table22,95,21,1,1),OFFSET(Table2,0,1,ROWS(Table2),8),3,0),VLOOKUP(OFFSET(Table22,95,22,1,1),Table2,4,0))</f>
        <v>21337220</v>
      </c>
      <c r="I96" s="2" t="n">
        <f aca="false">IFERROR(VLOOKUP(OFFSET(Table22,95,21,1,1),OFFSET(Table2,0,1,ROWS(Table2),8),4,0),VLOOKUP(OFFSET(Table22,95,22,1,1),Table2,5,0))</f>
        <v>720192</v>
      </c>
      <c r="J96" s="3" t="str">
        <f aca="false">IF(ISNUMBER(SEARCH("FACEBOOK",W96)),"Facebook",IF(ISNUMBER(SEARCH("INSTAGRAM",W96)),"Facebook-Instagram","Look at taxonomy"))</f>
        <v>Facebook</v>
      </c>
      <c r="K96" s="3" t="str">
        <f aca="false">IF(ISNUMBER(SEARCH("Facebook",J96)),"3654128","Not Facebook")</f>
        <v>3654128</v>
      </c>
      <c r="L96" s="3" t="str">
        <f aca="false">IFERROR(VLOOKUP(OFFSET(Table22,95,21,1,1),OFFSET(Table2,0,1,ROWS(Table2),8),7,0),VLOOKUP(OFFSET(Table22,95,22,1,1),Table2,8,0))</f>
        <v>AzurePlatform_FBCTCBenefit2inMotion_CAN_1080x1080_SOC_14s_ISV_English_Standard_NA_FTR_T4_1</v>
      </c>
      <c r="M96" s="2" t="n">
        <f aca="false">IFERROR(VLOOKUP(OFFSET(Table22,95,21,1,1),OFFSET(Table2,0,1,ROWS(Table2),8),8,0),VLOOKUP(OFFSET(Table22,95,22,1,1),Table2,9,0))</f>
        <v>105130125</v>
      </c>
      <c r="N96" s="15" t="s">
        <v>29</v>
      </c>
      <c r="O96" s="16" t="n">
        <v>43358</v>
      </c>
      <c r="P96" s="17" t="s">
        <v>64</v>
      </c>
      <c r="Q96" s="18" t="s">
        <v>65</v>
      </c>
      <c r="R96" s="17" t="s">
        <v>66</v>
      </c>
      <c r="S96" s="18" t="s">
        <v>45</v>
      </c>
      <c r="T96" s="17" t="s">
        <v>34</v>
      </c>
      <c r="U96" s="18" t="s">
        <v>39</v>
      </c>
      <c r="V96" s="19" t="n">
        <v>227525720</v>
      </c>
      <c r="W96" s="17" t="s">
        <v>85</v>
      </c>
      <c r="X96" s="17" t="n">
        <v>377</v>
      </c>
      <c r="Y96" s="17" t="n">
        <v>1</v>
      </c>
      <c r="Z96" s="17" t="n">
        <v>8.41</v>
      </c>
      <c r="AA96" s="17" t="s">
        <v>68</v>
      </c>
      <c r="AB96" s="17" t="n">
        <v>0</v>
      </c>
    </row>
    <row r="97" customFormat="false" ht="15" hidden="false" customHeight="false" outlineLevel="0" collapsed="false">
      <c r="A97" s="1" t="str">
        <f aca="false">OFFSET(Table22,96,14,1,1)&amp;OFFSET(Table22,96,21,1,1)</f>
        <v>43358227522762</v>
      </c>
      <c r="B97" s="1" t="str">
        <f aca="false">OFFSET(Table22,96,14,1,1)&amp;OFFSET(Table22,96,22,1,1)</f>
        <v>43358Facebook»AZR»1x1»NA»NA»ALL»DYN»AUT»D»All»SS»NA»Free Account Create to Convert FB - Canvas - Brand - Start Free - EN</v>
      </c>
      <c r="C97" s="1" t="s">
        <v>28</v>
      </c>
      <c r="D97" s="3" t="n">
        <f aca="false">O97+(7-WEEKDAY(O97))</f>
        <v>43358</v>
      </c>
      <c r="E97" s="1" t="str">
        <f aca="false">VLOOKUP(OFFSET(Table22,96,16,1,1),Key!B:D,2,0)</f>
        <v>Canada</v>
      </c>
      <c r="F97" s="1" t="str">
        <f aca="false">IF(ISNUMBER(SEARCH("Canvas",U97)),"Link",IF(ISNUMBER(SEARCH("Link",U97)),"Link","Not filled properly"))</f>
        <v>Link</v>
      </c>
      <c r="G97" s="1" t="str">
        <f aca="false">IFERROR(VLOOKUP(OFFSET(Table22,96,21,1,1),OFFSET(Table2,0,1,ROWS(Table2),8),2,0),VLOOKUP(OFFSET(Table22,96,22,1,1),Table2,3,0))</f>
        <v>CAN_gaPMG_AZR_AZR_Q1_19_Trial-Social</v>
      </c>
      <c r="H97" s="1" t="n">
        <f aca="false">IFERROR(VLOOKUP(OFFSET(Table22,96,21,1,1),OFFSET(Table2,0,1,ROWS(Table2),8),3,0),VLOOKUP(OFFSET(Table22,96,22,1,1),Table2,4,0))</f>
        <v>21337220</v>
      </c>
      <c r="I97" s="2" t="n">
        <f aca="false">IFERROR(VLOOKUP(OFFSET(Table22,96,21,1,1),OFFSET(Table2,0,1,ROWS(Table2),8),4,0),VLOOKUP(OFFSET(Table22,96,22,1,1),Table2,5,0))</f>
        <v>720192</v>
      </c>
      <c r="J97" s="3" t="str">
        <f aca="false">IF(ISNUMBER(SEARCH("FACEBOOK",W97)),"Facebook",IF(ISNUMBER(SEARCH("INSTAGRAM",W97)),"Facebook-Instagram","Look at taxonomy"))</f>
        <v>Facebook</v>
      </c>
      <c r="K97" s="3" t="str">
        <f aca="false">IF(ISNUMBER(SEARCH("Facebook",J97)),"3654128","Not Facebook")</f>
        <v>3654128</v>
      </c>
      <c r="L97" s="3" t="str">
        <f aca="false">IFERROR(VLOOKUP(OFFSET(Table22,96,21,1,1),OFFSET(Table2,0,1,ROWS(Table2),8),7,0),VLOOKUP(OFFSET(Table22,96,22,1,1),Table2,8,0))</f>
        <v>AzurePlatform_FBCTCBrandinMotion_CAN_1080x1080_SOC_12s_ISV_English_Standard_NA_FTR_T2_1</v>
      </c>
      <c r="M97" s="2" t="n">
        <f aca="false">IFERROR(VLOOKUP(OFFSET(Table22,96,21,1,1),OFFSET(Table2,0,1,ROWS(Table2),8),8,0),VLOOKUP(OFFSET(Table22,96,22,1,1),Table2,9,0))</f>
        <v>105216992</v>
      </c>
      <c r="N97" s="15" t="s">
        <v>29</v>
      </c>
      <c r="O97" s="16" t="n">
        <v>43358</v>
      </c>
      <c r="P97" s="17" t="s">
        <v>64</v>
      </c>
      <c r="Q97" s="18" t="s">
        <v>65</v>
      </c>
      <c r="R97" s="17" t="s">
        <v>66</v>
      </c>
      <c r="S97" s="18" t="s">
        <v>45</v>
      </c>
      <c r="T97" s="17" t="s">
        <v>34</v>
      </c>
      <c r="U97" s="18" t="s">
        <v>39</v>
      </c>
      <c r="V97" s="19" t="n">
        <v>227522762</v>
      </c>
      <c r="W97" s="17" t="s">
        <v>86</v>
      </c>
      <c r="X97" s="17" t="n">
        <v>14087</v>
      </c>
      <c r="Y97" s="17" t="n">
        <v>54</v>
      </c>
      <c r="Z97" s="17" t="n">
        <v>215.56</v>
      </c>
      <c r="AA97" s="17" t="s">
        <v>68</v>
      </c>
      <c r="AB97" s="17" t="n">
        <v>0</v>
      </c>
    </row>
    <row r="98" customFormat="false" ht="15" hidden="false" customHeight="false" outlineLevel="0" collapsed="false">
      <c r="A98" s="1" t="str">
        <f aca="false">OFFSET(Table22,97,14,1,1)&amp;OFFSET(Table22,97,21,1,1)</f>
        <v>43358223691795</v>
      </c>
      <c r="B98" s="1" t="str">
        <f aca="false">OFFSET(Table22,97,14,1,1)&amp;OFFSET(Table22,97,22,1,1)</f>
        <v>43358Facebook»AZR»1x1»NA»EGV»ALL»DYN»AUT»D»All»SS»NA»Free Acc CTC - T4 - FR</v>
      </c>
      <c r="C98" s="1" t="s">
        <v>28</v>
      </c>
      <c r="D98" s="3" t="n">
        <f aca="false">O98+(7-WEEKDAY(O98))</f>
        <v>43358</v>
      </c>
      <c r="E98" s="1" t="str">
        <f aca="false">VLOOKUP(OFFSET(Table22,97,16,1,1),Key!B:D,2,0)</f>
        <v>Canada</v>
      </c>
      <c r="F98" s="1" t="str">
        <f aca="false">IF(ISNUMBER(SEARCH("Canvas",U98)),"Link",IF(ISNUMBER(SEARCH("Link",U98)),"Link","Not filled properly"))</f>
        <v>Link</v>
      </c>
      <c r="G98" s="1" t="str">
        <f aca="false">IFERROR(VLOOKUP(OFFSET(Table22,97,21,1,1),OFFSET(Table2,0,1,ROWS(Table2),8),2,0),VLOOKUP(OFFSET(Table22,97,22,1,1),Table2,3,0))</f>
        <v>CAN_gaPMG_AZR_AZR_Q1_19_Trial-Social</v>
      </c>
      <c r="H98" s="1" t="n">
        <f aca="false">IFERROR(VLOOKUP(OFFSET(Table22,97,21,1,1),OFFSET(Table2,0,1,ROWS(Table2),8),3,0),VLOOKUP(OFFSET(Table22,97,22,1,1),Table2,4,0))</f>
        <v>21337220</v>
      </c>
      <c r="I98" s="2" t="n">
        <f aca="false">IFERROR(VLOOKUP(OFFSET(Table22,97,21,1,1),OFFSET(Table2,0,1,ROWS(Table2),8),4,0),VLOOKUP(OFFSET(Table22,97,22,1,1),Table2,5,0))</f>
        <v>720192</v>
      </c>
      <c r="J98" s="3" t="str">
        <f aca="false">IF(ISNUMBER(SEARCH("FACEBOOK",W98)),"Facebook",IF(ISNUMBER(SEARCH("INSTAGRAM",W98)),"Facebook-Instagram","Look at taxonomy"))</f>
        <v>Facebook</v>
      </c>
      <c r="K98" s="3" t="str">
        <f aca="false">IF(ISNUMBER(SEARCH("Facebook",J98)),"3654128","Not Facebook")</f>
        <v>3654128</v>
      </c>
      <c r="L98" s="3" t="str">
        <f aca="false">IFERROR(VLOOKUP(OFFSET(Table22,97,21,1,1),OFFSET(Table2,0,1,ROWS(Table2),8),7,0),VLOOKUP(OFFSET(Table22,97,22,1,1),Table2,8,0))</f>
        <v>AzurePlatform_FBCTCBenefit2inMotion_CAN_14s_ISV_PLAT_FR_Trial_Standard_STAN_TN_T4_1</v>
      </c>
      <c r="M98" s="2" t="n">
        <f aca="false">IFERROR(VLOOKUP(OFFSET(Table22,97,21,1,1),OFFSET(Table2,0,1,ROWS(Table2),8),8,0),VLOOKUP(OFFSET(Table22,97,22,1,1),Table2,9,0))</f>
        <v>102900688</v>
      </c>
      <c r="N98" s="15" t="s">
        <v>29</v>
      </c>
      <c r="O98" s="16" t="n">
        <v>43358</v>
      </c>
      <c r="P98" s="17" t="s">
        <v>64</v>
      </c>
      <c r="Q98" s="18" t="s">
        <v>65</v>
      </c>
      <c r="R98" s="17" t="s">
        <v>66</v>
      </c>
      <c r="S98" s="18" t="s">
        <v>45</v>
      </c>
      <c r="T98" s="17" t="s">
        <v>34</v>
      </c>
      <c r="U98" s="18" t="s">
        <v>39</v>
      </c>
      <c r="V98" s="19" t="n">
        <v>223691795</v>
      </c>
      <c r="W98" s="17" t="s">
        <v>87</v>
      </c>
      <c r="X98" s="17" t="n">
        <v>148</v>
      </c>
      <c r="Y98" s="17" t="n">
        <v>1</v>
      </c>
      <c r="Z98" s="17" t="n">
        <v>4.26</v>
      </c>
      <c r="AA98" s="17" t="s">
        <v>68</v>
      </c>
      <c r="AB98" s="17" t="n">
        <v>0</v>
      </c>
    </row>
    <row r="99" customFormat="false" ht="15" hidden="false" customHeight="false" outlineLevel="0" collapsed="false">
      <c r="A99" s="1" t="str">
        <f aca="false">OFFSET(Table22,98,14,1,1)&amp;OFFSET(Table22,98,21,1,1)</f>
        <v>43358223691834</v>
      </c>
      <c r="B99" s="1" t="str">
        <f aca="false">OFFSET(Table22,98,14,1,1)&amp;OFFSET(Table22,98,22,1,1)</f>
        <v>43358Facebook»AZR»1x1»SocialBan»NA»ALL»DYN»RT»D»All»SS»NA»Free Account Retargeting Generic - T2 - EN</v>
      </c>
      <c r="C99" s="1" t="s">
        <v>28</v>
      </c>
      <c r="D99" s="3" t="n">
        <f aca="false">O99+(7-WEEKDAY(O99))</f>
        <v>43358</v>
      </c>
      <c r="E99" s="1" t="str">
        <f aca="false">VLOOKUP(OFFSET(Table22,98,16,1,1),Key!B:D,2,0)</f>
        <v>Canada</v>
      </c>
      <c r="F99" s="1" t="str">
        <f aca="false">IF(ISNUMBER(SEARCH("Canvas",U99)),"Link",IF(ISNUMBER(SEARCH("Link",U99)),"Link","Not filled properly"))</f>
        <v>Link</v>
      </c>
      <c r="G99" s="1" t="str">
        <f aca="false">IFERROR(VLOOKUP(OFFSET(Table22,98,21,1,1),OFFSET(Table2,0,1,ROWS(Table2),8),2,0),VLOOKUP(OFFSET(Table22,98,22,1,1),Table2,3,0))</f>
        <v>CAN_gaPMG_AZR_AZR_Q1_19_Trial-Social</v>
      </c>
      <c r="H99" s="1" t="n">
        <f aca="false">IFERROR(VLOOKUP(OFFSET(Table22,98,21,1,1),OFFSET(Table2,0,1,ROWS(Table2),8),3,0),VLOOKUP(OFFSET(Table22,98,22,1,1),Table2,4,0))</f>
        <v>21337220</v>
      </c>
      <c r="I99" s="2" t="n">
        <f aca="false">IFERROR(VLOOKUP(OFFSET(Table22,98,21,1,1),OFFSET(Table2,0,1,ROWS(Table2),8),4,0),VLOOKUP(OFFSET(Table22,98,22,1,1),Table2,5,0))</f>
        <v>720192</v>
      </c>
      <c r="J99" s="3" t="str">
        <f aca="false">IF(ISNUMBER(SEARCH("FACEBOOK",W99)),"Facebook",IF(ISNUMBER(SEARCH("INSTAGRAM",W99)),"Facebook-Instagram","Look at taxonomy"))</f>
        <v>Facebook</v>
      </c>
      <c r="K99" s="3" t="str">
        <f aca="false">IF(ISNUMBER(SEARCH("Facebook",J99)),"3654128","Not Facebook")</f>
        <v>3654128</v>
      </c>
      <c r="L99" s="3" t="str">
        <f aca="false">IFERROR(VLOOKUP(OFFSET(Table22,98,21,1,1),OFFSET(Table2,0,1,ROWS(Table2),8),7,0),VLOOKUP(OFFSET(Table22,98,22,1,1),Table2,8,0))</f>
        <v>AzurePlatform_FreeAcctRetargetingFB-GlobalAlt-ChB_CAN_1200x628_SOC_Plat_EN_Free Account_Standard_NA_SU_T2_1</v>
      </c>
      <c r="M99" s="2" t="n">
        <f aca="false">IFERROR(VLOOKUP(OFFSET(Table22,98,21,1,1),OFFSET(Table2,0,1,ROWS(Table2),8),8,0),VLOOKUP(OFFSET(Table22,98,22,1,1),Table2,9,0))</f>
        <v>102902953</v>
      </c>
      <c r="N99" s="15" t="s">
        <v>29</v>
      </c>
      <c r="O99" s="16" t="n">
        <v>43358</v>
      </c>
      <c r="P99" s="17" t="s">
        <v>64</v>
      </c>
      <c r="Q99" s="18" t="s">
        <v>65</v>
      </c>
      <c r="R99" s="17" t="s">
        <v>66</v>
      </c>
      <c r="S99" s="18" t="s">
        <v>45</v>
      </c>
      <c r="T99" s="17" t="s">
        <v>34</v>
      </c>
      <c r="U99" s="18" t="s">
        <v>39</v>
      </c>
      <c r="V99" s="19" t="n">
        <v>223691834</v>
      </c>
      <c r="W99" s="17" t="s">
        <v>88</v>
      </c>
      <c r="X99" s="17" t="n">
        <v>316</v>
      </c>
      <c r="Y99" s="17" t="n">
        <v>2</v>
      </c>
      <c r="Z99" s="17" t="n">
        <v>9.55</v>
      </c>
      <c r="AA99" s="17" t="s">
        <v>68</v>
      </c>
      <c r="AB99" s="17" t="n">
        <v>0</v>
      </c>
    </row>
    <row r="100" customFormat="false" ht="15" hidden="false" customHeight="false" outlineLevel="0" collapsed="false">
      <c r="A100" s="1" t="str">
        <f aca="false">OFFSET(Table22,99,14,1,1)&amp;OFFSET(Table22,99,21,1,1)</f>
        <v>43358223691822</v>
      </c>
      <c r="B100" s="1" t="str">
        <f aca="false">OFFSET(Table22,99,14,1,1)&amp;OFFSET(Table22,99,22,1,1)</f>
        <v>43358Facebook»AZR»1x1»SocialBan»NA»ALL»DYN»RT»D»All»SS»NA»Free Account Retargeting VM - T2 - EN</v>
      </c>
      <c r="C100" s="1" t="s">
        <v>28</v>
      </c>
      <c r="D100" s="3" t="n">
        <f aca="false">O100+(7-WEEKDAY(O100))</f>
        <v>43358</v>
      </c>
      <c r="E100" s="1" t="str">
        <f aca="false">VLOOKUP(OFFSET(Table22,99,16,1,1),Key!B:D,2,0)</f>
        <v>Canada</v>
      </c>
      <c r="F100" s="1" t="str">
        <f aca="false">IF(ISNUMBER(SEARCH("Canvas",U100)),"Link",IF(ISNUMBER(SEARCH("Link",U100)),"Link","Not filled properly"))</f>
        <v>Link</v>
      </c>
      <c r="G100" s="1" t="str">
        <f aca="false">IFERROR(VLOOKUP(OFFSET(Table22,99,21,1,1),OFFSET(Table2,0,1,ROWS(Table2),8),2,0),VLOOKUP(OFFSET(Table22,99,22,1,1),Table2,3,0))</f>
        <v>CAN_gaPMG_AZR_AZR_Q1_19_Trial-Social</v>
      </c>
      <c r="H100" s="1" t="n">
        <f aca="false">IFERROR(VLOOKUP(OFFSET(Table22,99,21,1,1),OFFSET(Table2,0,1,ROWS(Table2),8),3,0),VLOOKUP(OFFSET(Table22,99,22,1,1),Table2,4,0))</f>
        <v>21337220</v>
      </c>
      <c r="I100" s="2" t="n">
        <f aca="false">IFERROR(VLOOKUP(OFFSET(Table22,99,21,1,1),OFFSET(Table2,0,1,ROWS(Table2),8),4,0),VLOOKUP(OFFSET(Table22,99,22,1,1),Table2,5,0))</f>
        <v>720192</v>
      </c>
      <c r="J100" s="3" t="str">
        <f aca="false">IF(ISNUMBER(SEARCH("FACEBOOK",W100)),"Facebook",IF(ISNUMBER(SEARCH("INSTAGRAM",W100)),"Facebook-Instagram","Look at taxonomy"))</f>
        <v>Facebook</v>
      </c>
      <c r="K100" s="3" t="str">
        <f aca="false">IF(ISNUMBER(SEARCH("Facebook",J100)),"3654128","Not Facebook")</f>
        <v>3654128</v>
      </c>
      <c r="L100" s="3" t="str">
        <f aca="false">IFERROR(VLOOKUP(OFFSET(Table22,99,21,1,1),OFFSET(Table2,0,1,ROWS(Table2),8),7,0),VLOOKUP(OFFSET(Table22,99,22,1,1),Table2,8,0))</f>
        <v>AzurePlatform_FreeAcctRetargetingVMFB-OnDemand-ChE_CAN_1200x628_SOC_Plat_EN_Free Account_Standard_NA_SU_T2_1</v>
      </c>
      <c r="M100" s="2" t="n">
        <f aca="false">IFERROR(VLOOKUP(OFFSET(Table22,99,21,1,1),OFFSET(Table2,0,1,ROWS(Table2),8),8,0),VLOOKUP(OFFSET(Table22,99,22,1,1),Table2,9,0))</f>
        <v>103058708</v>
      </c>
      <c r="N100" s="15" t="s">
        <v>29</v>
      </c>
      <c r="O100" s="16" t="n">
        <v>43358</v>
      </c>
      <c r="P100" s="17" t="s">
        <v>64</v>
      </c>
      <c r="Q100" s="18" t="s">
        <v>65</v>
      </c>
      <c r="R100" s="17" t="s">
        <v>66</v>
      </c>
      <c r="S100" s="18" t="s">
        <v>45</v>
      </c>
      <c r="T100" s="17" t="s">
        <v>34</v>
      </c>
      <c r="U100" s="18" t="s">
        <v>39</v>
      </c>
      <c r="V100" s="19" t="n">
        <v>223691822</v>
      </c>
      <c r="W100" s="17" t="s">
        <v>89</v>
      </c>
      <c r="X100" s="17" t="n">
        <v>847</v>
      </c>
      <c r="Y100" s="17" t="n">
        <v>0</v>
      </c>
      <c r="Z100" s="17" t="n">
        <v>18.14</v>
      </c>
      <c r="AA100" s="17" t="s">
        <v>68</v>
      </c>
      <c r="AB100" s="17" t="n">
        <v>0</v>
      </c>
    </row>
    <row r="101" customFormat="false" ht="15" hidden="false" customHeight="false" outlineLevel="0" collapsed="false">
      <c r="A101" s="1" t="str">
        <f aca="false">OFFSET(Table22,100,14,1,1)&amp;OFFSET(Table22,100,21,1,1)</f>
        <v>43358223691819</v>
      </c>
      <c r="B101" s="1" t="str">
        <f aca="false">OFFSET(Table22,100,14,1,1)&amp;OFFSET(Table22,100,22,1,1)</f>
        <v>43358Facebook»AZR»1x1»SocialBan»NA»ALL»DYN»RT»D»All»SS»NA»Free Account Retargeting Generic - T3 - EN</v>
      </c>
      <c r="C101" s="1" t="s">
        <v>28</v>
      </c>
      <c r="D101" s="3" t="n">
        <f aca="false">O101+(7-WEEKDAY(O101))</f>
        <v>43358</v>
      </c>
      <c r="E101" s="1" t="str">
        <f aca="false">VLOOKUP(OFFSET(Table22,100,16,1,1),Key!B:D,2,0)</f>
        <v>Canada</v>
      </c>
      <c r="F101" s="1" t="str">
        <f aca="false">IF(ISNUMBER(SEARCH("Canvas",U101)),"Link",IF(ISNUMBER(SEARCH("Link",U101)),"Link","Not filled properly"))</f>
        <v>Link</v>
      </c>
      <c r="G101" s="1" t="str">
        <f aca="false">IFERROR(VLOOKUP(OFFSET(Table22,100,21,1,1),OFFSET(Table2,0,1,ROWS(Table2),8),2,0),VLOOKUP(OFFSET(Table22,100,22,1,1),Table2,3,0))</f>
        <v>CAN_gaPMG_AZR_AZR_Q1_19_Trial-Social</v>
      </c>
      <c r="H101" s="1" t="n">
        <f aca="false">IFERROR(VLOOKUP(OFFSET(Table22,100,21,1,1),OFFSET(Table2,0,1,ROWS(Table2),8),3,0),VLOOKUP(OFFSET(Table22,100,22,1,1),Table2,4,0))</f>
        <v>21337220</v>
      </c>
      <c r="I101" s="2" t="n">
        <f aca="false">IFERROR(VLOOKUP(OFFSET(Table22,100,21,1,1),OFFSET(Table2,0,1,ROWS(Table2),8),4,0),VLOOKUP(OFFSET(Table22,100,22,1,1),Table2,5,0))</f>
        <v>720192</v>
      </c>
      <c r="J101" s="3" t="str">
        <f aca="false">IF(ISNUMBER(SEARCH("FACEBOOK",W101)),"Facebook",IF(ISNUMBER(SEARCH("INSTAGRAM",W101)),"Facebook-Instagram","Look at taxonomy"))</f>
        <v>Facebook</v>
      </c>
      <c r="K101" s="3" t="str">
        <f aca="false">IF(ISNUMBER(SEARCH("Facebook",J101)),"3654128","Not Facebook")</f>
        <v>3654128</v>
      </c>
      <c r="L101" s="3" t="str">
        <f aca="false">IFERROR(VLOOKUP(OFFSET(Table22,100,21,1,1),OFFSET(Table2,0,1,ROWS(Table2),8),7,0),VLOOKUP(OFFSET(Table22,100,22,1,1),Table2,8,0))</f>
        <v>AzurePlatform_FreeAcctRetargetingFB-Animated-ChC_CAN_1200x628_SOC_Plat_EN_Free Account_Standard_ANI_SU_T3_1</v>
      </c>
      <c r="M101" s="2" t="n">
        <f aca="false">IFERROR(VLOOKUP(OFFSET(Table22,100,21,1,1),OFFSET(Table2,0,1,ROWS(Table2),8),8,0),VLOOKUP(OFFSET(Table22,100,22,1,1),Table2,9,0))</f>
        <v>102900682</v>
      </c>
      <c r="N101" s="15" t="s">
        <v>29</v>
      </c>
      <c r="O101" s="16" t="n">
        <v>43358</v>
      </c>
      <c r="P101" s="17" t="s">
        <v>64</v>
      </c>
      <c r="Q101" s="18" t="s">
        <v>65</v>
      </c>
      <c r="R101" s="17" t="s">
        <v>66</v>
      </c>
      <c r="S101" s="18" t="s">
        <v>45</v>
      </c>
      <c r="T101" s="17" t="s">
        <v>34</v>
      </c>
      <c r="U101" s="18" t="s">
        <v>39</v>
      </c>
      <c r="V101" s="19" t="n">
        <v>223691819</v>
      </c>
      <c r="W101" s="17" t="s">
        <v>90</v>
      </c>
      <c r="X101" s="17" t="n">
        <v>1824</v>
      </c>
      <c r="Y101" s="17" t="n">
        <v>2</v>
      </c>
      <c r="Z101" s="17" t="n">
        <v>74.88</v>
      </c>
      <c r="AA101" s="17" t="s">
        <v>68</v>
      </c>
      <c r="AB101" s="17" t="n">
        <v>0</v>
      </c>
    </row>
    <row r="102" customFormat="false" ht="15" hidden="false" customHeight="false" outlineLevel="0" collapsed="false">
      <c r="A102" s="1" t="str">
        <f aca="false">OFFSET(Table22,101,14,1,1)&amp;OFFSET(Table22,101,21,1,1)</f>
        <v>43358223691828</v>
      </c>
      <c r="B102" s="1" t="str">
        <f aca="false">OFFSET(Table22,101,14,1,1)&amp;OFFSET(Table22,101,22,1,1)</f>
        <v>43358Facebook»AZR»1x1»SocialBan»NA»ALL»DYN»RT»D»All»SS»NA» Free Account Retargeting OSS - T1 - EN</v>
      </c>
      <c r="C102" s="1" t="s">
        <v>28</v>
      </c>
      <c r="D102" s="3" t="n">
        <f aca="false">O102+(7-WEEKDAY(O102))</f>
        <v>43358</v>
      </c>
      <c r="E102" s="1" t="str">
        <f aca="false">VLOOKUP(OFFSET(Table22,101,16,1,1),Key!B:D,2,0)</f>
        <v>Canada</v>
      </c>
      <c r="F102" s="1" t="str">
        <f aca="false">IF(ISNUMBER(SEARCH("Canvas",U102)),"Link",IF(ISNUMBER(SEARCH("Link",U102)),"Link","Not filled properly"))</f>
        <v>Link</v>
      </c>
      <c r="G102" s="1" t="str">
        <f aca="false">IFERROR(VLOOKUP(OFFSET(Table22,101,21,1,1),OFFSET(Table2,0,1,ROWS(Table2),8),2,0),VLOOKUP(OFFSET(Table22,101,22,1,1),Table2,3,0))</f>
        <v>CAN_gaPMG_AZR_AZR_Q1_19_Trial-Social</v>
      </c>
      <c r="H102" s="1" t="n">
        <f aca="false">IFERROR(VLOOKUP(OFFSET(Table22,101,21,1,1),OFFSET(Table2,0,1,ROWS(Table2),8),3,0),VLOOKUP(OFFSET(Table22,101,22,1,1),Table2,4,0))</f>
        <v>21337220</v>
      </c>
      <c r="I102" s="2" t="n">
        <f aca="false">IFERROR(VLOOKUP(OFFSET(Table22,101,21,1,1),OFFSET(Table2,0,1,ROWS(Table2),8),4,0),VLOOKUP(OFFSET(Table22,101,22,1,1),Table2,5,0))</f>
        <v>720192</v>
      </c>
      <c r="J102" s="3" t="str">
        <f aca="false">IF(ISNUMBER(SEARCH("FACEBOOK",W102)),"Facebook",IF(ISNUMBER(SEARCH("INSTAGRAM",W102)),"Facebook-Instagram","Look at taxonomy"))</f>
        <v>Facebook</v>
      </c>
      <c r="K102" s="3" t="str">
        <f aca="false">IF(ISNUMBER(SEARCH("Facebook",J102)),"3654128","Not Facebook")</f>
        <v>3654128</v>
      </c>
      <c r="L102" s="3" t="str">
        <f aca="false">IFERROR(VLOOKUP(OFFSET(Table22,101,21,1,1),OFFSET(Table2,0,1,ROWS(Table2),8),7,0),VLOOKUP(OFFSET(Table22,101,22,1,1),Table2,8,0))</f>
        <v>AzurePlatform_FreeAcctRetargetingOSSFB-Text-ChF_CAN_1200x628_SOC_Plat_EN_Free Account_Standard_NA_SU_T1_1</v>
      </c>
      <c r="M102" s="2" t="n">
        <f aca="false">IFERROR(VLOOKUP(OFFSET(Table22,101,21,1,1),OFFSET(Table2,0,1,ROWS(Table2),8),8,0),VLOOKUP(OFFSET(Table22,101,22,1,1),Table2,9,0))</f>
        <v>102902956</v>
      </c>
      <c r="N102" s="15" t="s">
        <v>29</v>
      </c>
      <c r="O102" s="16" t="n">
        <v>43358</v>
      </c>
      <c r="P102" s="17" t="s">
        <v>64</v>
      </c>
      <c r="Q102" s="18" t="s">
        <v>65</v>
      </c>
      <c r="R102" s="17" t="s">
        <v>66</v>
      </c>
      <c r="S102" s="18" t="s">
        <v>45</v>
      </c>
      <c r="T102" s="17" t="s">
        <v>34</v>
      </c>
      <c r="U102" s="18" t="s">
        <v>39</v>
      </c>
      <c r="V102" s="19" t="n">
        <v>223691828</v>
      </c>
      <c r="W102" s="17" t="s">
        <v>91</v>
      </c>
      <c r="X102" s="17" t="n">
        <v>245</v>
      </c>
      <c r="Y102" s="17" t="n">
        <v>0</v>
      </c>
      <c r="Z102" s="17" t="n">
        <v>4.52</v>
      </c>
      <c r="AA102" s="17" t="s">
        <v>68</v>
      </c>
      <c r="AB102" s="17" t="n">
        <v>0</v>
      </c>
    </row>
    <row r="103" customFormat="false" ht="15" hidden="false" customHeight="false" outlineLevel="0" collapsed="false">
      <c r="A103" s="1" t="str">
        <f aca="false">OFFSET(Table22,102,14,1,1)&amp;OFFSET(Table22,102,21,1,1)</f>
        <v>43357227522771</v>
      </c>
      <c r="B103" s="1" t="str">
        <f aca="false">OFFSET(Table22,102,14,1,1)&amp;OFFSET(Table22,102,22,1,1)</f>
        <v>43357Facebook»AZR»1x1»NA»NA»ALL»DYN»AUT»D»All»SS»NA»Free Account Create to Convert FB - Canvas - Brand - Start Free - FR</v>
      </c>
      <c r="C103" s="1" t="s">
        <v>28</v>
      </c>
      <c r="D103" s="3" t="n">
        <f aca="false">O103+(7-WEEKDAY(O103))</f>
        <v>43358</v>
      </c>
      <c r="E103" s="1" t="str">
        <f aca="false">VLOOKUP(OFFSET(Table22,102,16,1,1),Key!B:D,2,0)</f>
        <v>Canada</v>
      </c>
      <c r="F103" s="1" t="str">
        <f aca="false">IF(ISNUMBER(SEARCH("Canvas",U103)),"Link",IF(ISNUMBER(SEARCH("Link",U103)),"Link","Not filled properly"))</f>
        <v>Link</v>
      </c>
      <c r="G103" s="1" t="str">
        <f aca="false">IFERROR(VLOOKUP(OFFSET(Table22,102,21,1,1),OFFSET(Table2,0,1,ROWS(Table2),8),2,0),VLOOKUP(OFFSET(Table22,102,22,1,1),Table2,3,0))</f>
        <v>CAN_gaPMG_AZR_AZR_Q1_19_Trial-Social</v>
      </c>
      <c r="H103" s="1" t="n">
        <f aca="false">IFERROR(VLOOKUP(OFFSET(Table22,102,21,1,1),OFFSET(Table2,0,1,ROWS(Table2),8),3,0),VLOOKUP(OFFSET(Table22,102,22,1,1),Table2,4,0))</f>
        <v>21337220</v>
      </c>
      <c r="I103" s="2" t="n">
        <f aca="false">IFERROR(VLOOKUP(OFFSET(Table22,102,21,1,1),OFFSET(Table2,0,1,ROWS(Table2),8),4,0),VLOOKUP(OFFSET(Table22,102,22,1,1),Table2,5,0))</f>
        <v>720192</v>
      </c>
      <c r="J103" s="3" t="str">
        <f aca="false">IF(ISNUMBER(SEARCH("FACEBOOK",W103)),"Facebook",IF(ISNUMBER(SEARCH("INSTAGRAM",W103)),"Facebook-Instagram","Look at taxonomy"))</f>
        <v>Facebook</v>
      </c>
      <c r="K103" s="3" t="str">
        <f aca="false">IF(ISNUMBER(SEARCH("Facebook",J103)),"3654128","Not Facebook")</f>
        <v>3654128</v>
      </c>
      <c r="L103" s="3" t="str">
        <f aca="false">IFERROR(VLOOKUP(OFFSET(Table22,102,21,1,1),OFFSET(Table2,0,1,ROWS(Table2),8),7,0),VLOOKUP(OFFSET(Table22,102,22,1,1),Table2,8,0))</f>
        <v>AzurePlatform_FBCTCBrandinMotion_CAN_1080x1080_SOC_12s_ISV_FR_Standard_NA_FTR_T2_1</v>
      </c>
      <c r="M103" s="2" t="n">
        <f aca="false">IFERROR(VLOOKUP(OFFSET(Table22,102,21,1,1),OFFSET(Table2,0,1,ROWS(Table2),8),8,0),VLOOKUP(OFFSET(Table22,102,22,1,1),Table2,9,0))</f>
        <v>105130128</v>
      </c>
      <c r="N103" s="15" t="s">
        <v>29</v>
      </c>
      <c r="O103" s="16" t="n">
        <v>43357</v>
      </c>
      <c r="P103" s="17" t="s">
        <v>64</v>
      </c>
      <c r="Q103" s="18" t="s">
        <v>65</v>
      </c>
      <c r="R103" s="17" t="s">
        <v>66</v>
      </c>
      <c r="S103" s="18" t="s">
        <v>45</v>
      </c>
      <c r="T103" s="17" t="s">
        <v>34</v>
      </c>
      <c r="U103" s="18" t="s">
        <v>39</v>
      </c>
      <c r="V103" s="19" t="n">
        <v>227522771</v>
      </c>
      <c r="W103" s="17" t="s">
        <v>78</v>
      </c>
      <c r="X103" s="17" t="n">
        <v>67</v>
      </c>
      <c r="Y103" s="17" t="n">
        <v>0</v>
      </c>
      <c r="Z103" s="17" t="n">
        <v>0.89</v>
      </c>
      <c r="AA103" s="17" t="s">
        <v>68</v>
      </c>
      <c r="AB103" s="17" t="n">
        <v>0</v>
      </c>
    </row>
    <row r="104" customFormat="false" ht="15" hidden="false" customHeight="false" outlineLevel="0" collapsed="false">
      <c r="A104" s="1" t="str">
        <f aca="false">OFFSET(Table22,103,14,1,1)&amp;OFFSET(Table22,103,21,1,1)</f>
        <v>43357225322327</v>
      </c>
      <c r="B104" s="1" t="str">
        <f aca="false">OFFSET(Table22,103,14,1,1)&amp;OFFSET(Table22,103,22,1,1)</f>
        <v>43357Facebook»AZR»1x1»NA»SOC»ALL»DYN»PRO»D»All»SS»NA»Canvas - Buy Now - EN</v>
      </c>
      <c r="C104" s="1" t="s">
        <v>28</v>
      </c>
      <c r="D104" s="3" t="n">
        <f aca="false">O104+(7-WEEKDAY(O104))</f>
        <v>43358</v>
      </c>
      <c r="E104" s="1" t="str">
        <f aca="false">VLOOKUP(OFFSET(Table22,103,16,1,1),Key!B:D,2,0)</f>
        <v>Canada</v>
      </c>
      <c r="F104" s="1" t="str">
        <f aca="false">IF(ISNUMBER(SEARCH("Canvas",U104)),"Link",IF(ISNUMBER(SEARCH("Link",U104)),"Link","Not filled properly"))</f>
        <v>Link</v>
      </c>
      <c r="G104" s="1" t="str">
        <f aca="false">IFERROR(VLOOKUP(OFFSET(Table22,103,21,1,1),OFFSET(Table2,0,1,ROWS(Table2),8),2,0),VLOOKUP(OFFSET(Table22,103,22,1,1),Table2,3,0))</f>
        <v>CAN_gaPMG_AZR_AZR_Q1_19_Trial-Social</v>
      </c>
      <c r="H104" s="1" t="n">
        <f aca="false">IFERROR(VLOOKUP(OFFSET(Table22,103,21,1,1),OFFSET(Table2,0,1,ROWS(Table2),8),3,0),VLOOKUP(OFFSET(Table22,103,22,1,1),Table2,4,0))</f>
        <v>21337220</v>
      </c>
      <c r="I104" s="2" t="n">
        <f aca="false">IFERROR(VLOOKUP(OFFSET(Table22,103,21,1,1),OFFSET(Table2,0,1,ROWS(Table2),8),4,0),VLOOKUP(OFFSET(Table22,103,22,1,1),Table2,5,0))</f>
        <v>720192</v>
      </c>
      <c r="J104" s="3" t="str">
        <f aca="false">IF(ISNUMBER(SEARCH("FACEBOOK",W104)),"Facebook",IF(ISNUMBER(SEARCH("INSTAGRAM",W104)),"Facebook-Instagram","Look at taxonomy"))</f>
        <v>Facebook</v>
      </c>
      <c r="K104" s="3" t="str">
        <f aca="false">IF(ISNUMBER(SEARCH("Facebook",J104)),"3654128","Not Facebook")</f>
        <v>3654128</v>
      </c>
      <c r="L104" s="3" t="str">
        <f aca="false">IFERROR(VLOOKUP(OFFSET(Table22,103,21,1,1),OFFSET(Table2,0,1,ROWS(Table2),8),7,0),VLOOKUP(OFFSET(Table22,103,22,1,1),Table2,8,0))</f>
        <v>AzurePlatform_FBCTCcanvaspage-BuyNowCTA-Img3_CAN_1080x162_SOC_Plat_English_NA_Standard_NA_BN_T3_1</v>
      </c>
      <c r="M104" s="2" t="n">
        <f aca="false">IFERROR(VLOOKUP(OFFSET(Table22,103,21,1,1),OFFSET(Table2,0,1,ROWS(Table2),8),8,0),VLOOKUP(OFFSET(Table22,103,22,1,1),Table2,9,0))</f>
        <v>103902287</v>
      </c>
      <c r="N104" s="15" t="s">
        <v>29</v>
      </c>
      <c r="O104" s="16" t="n">
        <v>43357</v>
      </c>
      <c r="P104" s="17" t="s">
        <v>64</v>
      </c>
      <c r="Q104" s="18" t="s">
        <v>65</v>
      </c>
      <c r="R104" s="17" t="s">
        <v>66</v>
      </c>
      <c r="S104" s="18" t="s">
        <v>45</v>
      </c>
      <c r="T104" s="17" t="s">
        <v>34</v>
      </c>
      <c r="U104" s="18" t="s">
        <v>39</v>
      </c>
      <c r="V104" s="19" t="n">
        <v>225322327</v>
      </c>
      <c r="W104" s="17" t="s">
        <v>82</v>
      </c>
      <c r="X104" s="17" t="n">
        <v>377</v>
      </c>
      <c r="Y104" s="17" t="n">
        <v>0</v>
      </c>
      <c r="Z104" s="17" t="n">
        <v>9.12</v>
      </c>
      <c r="AA104" s="17" t="s">
        <v>68</v>
      </c>
      <c r="AB104" s="17" t="n">
        <v>0</v>
      </c>
    </row>
    <row r="105" customFormat="false" ht="15" hidden="false" customHeight="false" outlineLevel="0" collapsed="false">
      <c r="A105" s="1" t="str">
        <f aca="false">OFFSET(Table22,104,14,1,1)&amp;OFFSET(Table22,104,21,1,1)</f>
        <v>43357223691792</v>
      </c>
      <c r="B105" s="1" t="str">
        <f aca="false">OFFSET(Table22,104,14,1,1)&amp;OFFSET(Table22,104,22,1,1)</f>
        <v>43357Facebook»AZR»1x1»SocialBan»NA»ALL»DYN»RT»D»All»SS»NA»Free Account Retargeting Generic - T2 - FR</v>
      </c>
      <c r="C105" s="1" t="s">
        <v>28</v>
      </c>
      <c r="D105" s="3" t="n">
        <f aca="false">O105+(7-WEEKDAY(O105))</f>
        <v>43358</v>
      </c>
      <c r="E105" s="1" t="str">
        <f aca="false">VLOOKUP(OFFSET(Table22,104,16,1,1),Key!B:D,2,0)</f>
        <v>Canada</v>
      </c>
      <c r="F105" s="1" t="str">
        <f aca="false">IF(ISNUMBER(SEARCH("Canvas",U105)),"Link",IF(ISNUMBER(SEARCH("Link",U105)),"Link","Not filled properly"))</f>
        <v>Link</v>
      </c>
      <c r="G105" s="1" t="str">
        <f aca="false">IFERROR(VLOOKUP(OFFSET(Table22,104,21,1,1),OFFSET(Table2,0,1,ROWS(Table2),8),2,0),VLOOKUP(OFFSET(Table22,104,22,1,1),Table2,3,0))</f>
        <v>CAN_gaPMG_AZR_AZR_Q1_19_Trial-Social</v>
      </c>
      <c r="H105" s="1" t="n">
        <f aca="false">IFERROR(VLOOKUP(OFFSET(Table22,104,21,1,1),OFFSET(Table2,0,1,ROWS(Table2),8),3,0),VLOOKUP(OFFSET(Table22,104,22,1,1),Table2,4,0))</f>
        <v>21337220</v>
      </c>
      <c r="I105" s="2" t="n">
        <f aca="false">IFERROR(VLOOKUP(OFFSET(Table22,104,21,1,1),OFFSET(Table2,0,1,ROWS(Table2),8),4,0),VLOOKUP(OFFSET(Table22,104,22,1,1),Table2,5,0))</f>
        <v>720192</v>
      </c>
      <c r="J105" s="3" t="str">
        <f aca="false">IF(ISNUMBER(SEARCH("FACEBOOK",W105)),"Facebook",IF(ISNUMBER(SEARCH("INSTAGRAM",W105)),"Facebook-Instagram","Look at taxonomy"))</f>
        <v>Facebook</v>
      </c>
      <c r="K105" s="3" t="str">
        <f aca="false">IF(ISNUMBER(SEARCH("Facebook",J105)),"3654128","Not Facebook")</f>
        <v>3654128</v>
      </c>
      <c r="L105" s="3" t="str">
        <f aca="false">IFERROR(VLOOKUP(OFFSET(Table22,104,21,1,1),OFFSET(Table2,0,1,ROWS(Table2),8),7,0),VLOOKUP(OFFSET(Table22,104,22,1,1),Table2,8,0))</f>
        <v>AzurePlatform_FreeAcctRetargetingFB-GlobalAlt-ChB_CAN_1200x628_SOC_Plat_FR_Free Account_Standard_NA_SU_T2_1</v>
      </c>
      <c r="M105" s="2" t="n">
        <f aca="false">IFERROR(VLOOKUP(OFFSET(Table22,104,21,1,1),OFFSET(Table2,0,1,ROWS(Table2),8),8,0),VLOOKUP(OFFSET(Table22,104,22,1,1),Table2,9,0))</f>
        <v>102901894</v>
      </c>
      <c r="N105" s="15" t="s">
        <v>29</v>
      </c>
      <c r="O105" s="16" t="n">
        <v>43357</v>
      </c>
      <c r="P105" s="17" t="s">
        <v>64</v>
      </c>
      <c r="Q105" s="18" t="s">
        <v>65</v>
      </c>
      <c r="R105" s="17" t="s">
        <v>66</v>
      </c>
      <c r="S105" s="18" t="s">
        <v>45</v>
      </c>
      <c r="T105" s="17" t="s">
        <v>34</v>
      </c>
      <c r="U105" s="18" t="s">
        <v>39</v>
      </c>
      <c r="V105" s="19" t="n">
        <v>223691792</v>
      </c>
      <c r="W105" s="17" t="s">
        <v>73</v>
      </c>
      <c r="X105" s="17" t="n">
        <v>340</v>
      </c>
      <c r="Y105" s="17" t="n">
        <v>1</v>
      </c>
      <c r="Z105" s="17" t="n">
        <v>8.17</v>
      </c>
      <c r="AA105" s="17" t="s">
        <v>68</v>
      </c>
      <c r="AB105" s="17" t="n">
        <v>0</v>
      </c>
    </row>
    <row r="106" customFormat="false" ht="15" hidden="false" customHeight="false" outlineLevel="0" collapsed="false">
      <c r="A106" s="1" t="str">
        <f aca="false">OFFSET(Table22,105,14,1,1)&amp;OFFSET(Table22,105,21,1,1)</f>
        <v>43357223691819</v>
      </c>
      <c r="B106" s="1" t="str">
        <f aca="false">OFFSET(Table22,105,14,1,1)&amp;OFFSET(Table22,105,22,1,1)</f>
        <v>43357Facebook»AZR»1x1»SocialBan»NA»ALL»DYN»RT»D»All»SS»NA»Free Account Retargeting Generic - T3 - EN</v>
      </c>
      <c r="C106" s="1" t="s">
        <v>28</v>
      </c>
      <c r="D106" s="3" t="n">
        <f aca="false">O106+(7-WEEKDAY(O106))</f>
        <v>43358</v>
      </c>
      <c r="E106" s="1" t="str">
        <f aca="false">VLOOKUP(OFFSET(Table22,105,16,1,1),Key!B:D,2,0)</f>
        <v>Canada</v>
      </c>
      <c r="F106" s="1" t="str">
        <f aca="false">IF(ISNUMBER(SEARCH("Canvas",U106)),"Link",IF(ISNUMBER(SEARCH("Link",U106)),"Link","Not filled properly"))</f>
        <v>Link</v>
      </c>
      <c r="G106" s="1" t="str">
        <f aca="false">IFERROR(VLOOKUP(OFFSET(Table22,105,21,1,1),OFFSET(Table2,0,1,ROWS(Table2),8),2,0),VLOOKUP(OFFSET(Table22,105,22,1,1),Table2,3,0))</f>
        <v>CAN_gaPMG_AZR_AZR_Q1_19_Trial-Social</v>
      </c>
      <c r="H106" s="1" t="n">
        <f aca="false">IFERROR(VLOOKUP(OFFSET(Table22,105,21,1,1),OFFSET(Table2,0,1,ROWS(Table2),8),3,0),VLOOKUP(OFFSET(Table22,105,22,1,1),Table2,4,0))</f>
        <v>21337220</v>
      </c>
      <c r="I106" s="2" t="n">
        <f aca="false">IFERROR(VLOOKUP(OFFSET(Table22,105,21,1,1),OFFSET(Table2,0,1,ROWS(Table2),8),4,0),VLOOKUP(OFFSET(Table22,105,22,1,1),Table2,5,0))</f>
        <v>720192</v>
      </c>
      <c r="J106" s="3" t="str">
        <f aca="false">IF(ISNUMBER(SEARCH("FACEBOOK",W106)),"Facebook",IF(ISNUMBER(SEARCH("INSTAGRAM",W106)),"Facebook-Instagram","Look at taxonomy"))</f>
        <v>Facebook</v>
      </c>
      <c r="K106" s="3" t="str">
        <f aca="false">IF(ISNUMBER(SEARCH("Facebook",J106)),"3654128","Not Facebook")</f>
        <v>3654128</v>
      </c>
      <c r="L106" s="3" t="str">
        <f aca="false">IFERROR(VLOOKUP(OFFSET(Table22,105,21,1,1),OFFSET(Table2,0,1,ROWS(Table2),8),7,0),VLOOKUP(OFFSET(Table22,105,22,1,1),Table2,8,0))</f>
        <v>AzurePlatform_FreeAcctRetargetingFB-Animated-ChC_CAN_1200x628_SOC_Plat_EN_Free Account_Standard_ANI_SU_T3_1</v>
      </c>
      <c r="M106" s="2" t="n">
        <f aca="false">IFERROR(VLOOKUP(OFFSET(Table22,105,21,1,1),OFFSET(Table2,0,1,ROWS(Table2),8),8,0),VLOOKUP(OFFSET(Table22,105,22,1,1),Table2,9,0))</f>
        <v>102900682</v>
      </c>
      <c r="N106" s="15" t="s">
        <v>29</v>
      </c>
      <c r="O106" s="16" t="n">
        <v>43357</v>
      </c>
      <c r="P106" s="17" t="s">
        <v>64</v>
      </c>
      <c r="Q106" s="18" t="s">
        <v>65</v>
      </c>
      <c r="R106" s="17" t="s">
        <v>66</v>
      </c>
      <c r="S106" s="18" t="s">
        <v>45</v>
      </c>
      <c r="T106" s="17" t="s">
        <v>34</v>
      </c>
      <c r="U106" s="18" t="s">
        <v>39</v>
      </c>
      <c r="V106" s="19" t="n">
        <v>223691819</v>
      </c>
      <c r="W106" s="17" t="s">
        <v>90</v>
      </c>
      <c r="X106" s="17" t="n">
        <v>1251</v>
      </c>
      <c r="Y106" s="17" t="n">
        <v>1</v>
      </c>
      <c r="Z106" s="17" t="n">
        <v>38.45</v>
      </c>
      <c r="AA106" s="17" t="s">
        <v>68</v>
      </c>
      <c r="AB106" s="17" t="n">
        <v>0</v>
      </c>
    </row>
    <row r="107" customFormat="false" ht="15" hidden="false" customHeight="false" outlineLevel="0" collapsed="false">
      <c r="A107" s="1" t="str">
        <f aca="false">OFFSET(Table22,106,14,1,1)&amp;OFFSET(Table22,106,21,1,1)</f>
        <v>43357223691789</v>
      </c>
      <c r="B107" s="1" t="str">
        <f aca="false">OFFSET(Table22,106,14,1,1)&amp;OFFSET(Table22,106,22,1,1)</f>
        <v>43357Facebook»AZR»1x1»SocialBan»NA»ALL»DYN»RT»D»All»SS»NA» Free Account Retargeting OSS - T2 - FR</v>
      </c>
      <c r="C107" s="1" t="s">
        <v>28</v>
      </c>
      <c r="D107" s="3" t="n">
        <f aca="false">O107+(7-WEEKDAY(O107))</f>
        <v>43358</v>
      </c>
      <c r="E107" s="1" t="str">
        <f aca="false">VLOOKUP(OFFSET(Table22,106,16,1,1),Key!B:D,2,0)</f>
        <v>Canada</v>
      </c>
      <c r="F107" s="1" t="str">
        <f aca="false">IF(ISNUMBER(SEARCH("Canvas",U107)),"Link",IF(ISNUMBER(SEARCH("Link",U107)),"Link","Not filled properly"))</f>
        <v>Link</v>
      </c>
      <c r="G107" s="1" t="str">
        <f aca="false">IFERROR(VLOOKUP(OFFSET(Table22,106,21,1,1),OFFSET(Table2,0,1,ROWS(Table2),8),2,0),VLOOKUP(OFFSET(Table22,106,22,1,1),Table2,3,0))</f>
        <v>CAN_gaPMG_AZR_AZR_Q1_19_Trial-Social</v>
      </c>
      <c r="H107" s="1" t="n">
        <f aca="false">IFERROR(VLOOKUP(OFFSET(Table22,106,21,1,1),OFFSET(Table2,0,1,ROWS(Table2),8),3,0),VLOOKUP(OFFSET(Table22,106,22,1,1),Table2,4,0))</f>
        <v>21337220</v>
      </c>
      <c r="I107" s="2" t="n">
        <f aca="false">IFERROR(VLOOKUP(OFFSET(Table22,106,21,1,1),OFFSET(Table2,0,1,ROWS(Table2),8),4,0),VLOOKUP(OFFSET(Table22,106,22,1,1),Table2,5,0))</f>
        <v>720192</v>
      </c>
      <c r="J107" s="3" t="str">
        <f aca="false">IF(ISNUMBER(SEARCH("FACEBOOK",W107)),"Facebook",IF(ISNUMBER(SEARCH("INSTAGRAM",W107)),"Facebook-Instagram","Look at taxonomy"))</f>
        <v>Facebook</v>
      </c>
      <c r="K107" s="3" t="str">
        <f aca="false">IF(ISNUMBER(SEARCH("Facebook",J107)),"3654128","Not Facebook")</f>
        <v>3654128</v>
      </c>
      <c r="L107" s="3" t="str">
        <f aca="false">IFERROR(VLOOKUP(OFFSET(Table22,106,21,1,1),OFFSET(Table2,0,1,ROWS(Table2),8),7,0),VLOOKUP(OFFSET(Table22,106,22,1,1),Table2,8,0))</f>
        <v>AzurePlatform_FreeAcctRetargetingOSSFB-Logos-ChG_CAN_1200x628_SOC_Plat_FR_Free Account_Standard_NA_SU_T2_1</v>
      </c>
      <c r="M107" s="2" t="n">
        <f aca="false">IFERROR(VLOOKUP(OFFSET(Table22,106,21,1,1),OFFSET(Table2,0,1,ROWS(Table2),8),8,0),VLOOKUP(OFFSET(Table22,106,22,1,1),Table2,9,0))</f>
        <v>102900691</v>
      </c>
      <c r="N107" s="15" t="s">
        <v>29</v>
      </c>
      <c r="O107" s="16" t="n">
        <v>43357</v>
      </c>
      <c r="P107" s="17" t="s">
        <v>64</v>
      </c>
      <c r="Q107" s="18" t="s">
        <v>65</v>
      </c>
      <c r="R107" s="17" t="s">
        <v>66</v>
      </c>
      <c r="S107" s="18" t="s">
        <v>45</v>
      </c>
      <c r="T107" s="17" t="s">
        <v>34</v>
      </c>
      <c r="U107" s="18" t="s">
        <v>39</v>
      </c>
      <c r="V107" s="19" t="n">
        <v>223691789</v>
      </c>
      <c r="W107" s="17" t="s">
        <v>74</v>
      </c>
      <c r="X107" s="17" t="n">
        <v>1592</v>
      </c>
      <c r="Y107" s="17" t="n">
        <v>4</v>
      </c>
      <c r="Z107" s="17" t="n">
        <v>59.42</v>
      </c>
      <c r="AA107" s="17" t="s">
        <v>68</v>
      </c>
      <c r="AB107" s="17" t="n">
        <v>0</v>
      </c>
    </row>
    <row r="108" customFormat="false" ht="15" hidden="false" customHeight="false" outlineLevel="0" collapsed="false">
      <c r="A108" s="1" t="str">
        <f aca="false">OFFSET(Table22,107,14,1,1)&amp;OFFSET(Table22,107,21,1,1)</f>
        <v>43357227522762</v>
      </c>
      <c r="B108" s="1" t="str">
        <f aca="false">OFFSET(Table22,107,14,1,1)&amp;OFFSET(Table22,107,22,1,1)</f>
        <v>43357Facebook»AZR»1x1»NA»NA»ALL»DYN»AUT»D»All»SS»NA»Free Account Create to Convert FB - Canvas - Brand - Start Free - EN</v>
      </c>
      <c r="C108" s="1" t="s">
        <v>28</v>
      </c>
      <c r="D108" s="3" t="n">
        <f aca="false">O108+(7-WEEKDAY(O108))</f>
        <v>43358</v>
      </c>
      <c r="E108" s="1" t="str">
        <f aca="false">VLOOKUP(OFFSET(Table22,107,16,1,1),Key!B:D,2,0)</f>
        <v>Canada</v>
      </c>
      <c r="F108" s="1" t="str">
        <f aca="false">IF(ISNUMBER(SEARCH("Canvas",U108)),"Link",IF(ISNUMBER(SEARCH("Link",U108)),"Link","Not filled properly"))</f>
        <v>Link</v>
      </c>
      <c r="G108" s="1" t="str">
        <f aca="false">IFERROR(VLOOKUP(OFFSET(Table22,107,21,1,1),OFFSET(Table2,0,1,ROWS(Table2),8),2,0),VLOOKUP(OFFSET(Table22,107,22,1,1),Table2,3,0))</f>
        <v>CAN_gaPMG_AZR_AZR_Q1_19_Trial-Social</v>
      </c>
      <c r="H108" s="1" t="n">
        <f aca="false">IFERROR(VLOOKUP(OFFSET(Table22,107,21,1,1),OFFSET(Table2,0,1,ROWS(Table2),8),3,0),VLOOKUP(OFFSET(Table22,107,22,1,1),Table2,4,0))</f>
        <v>21337220</v>
      </c>
      <c r="I108" s="2" t="n">
        <f aca="false">IFERROR(VLOOKUP(OFFSET(Table22,107,21,1,1),OFFSET(Table2,0,1,ROWS(Table2),8),4,0),VLOOKUP(OFFSET(Table22,107,22,1,1),Table2,5,0))</f>
        <v>720192</v>
      </c>
      <c r="J108" s="3" t="str">
        <f aca="false">IF(ISNUMBER(SEARCH("FACEBOOK",W108)),"Facebook",IF(ISNUMBER(SEARCH("INSTAGRAM",W108)),"Facebook-Instagram","Look at taxonomy"))</f>
        <v>Facebook</v>
      </c>
      <c r="K108" s="3" t="str">
        <f aca="false">IF(ISNUMBER(SEARCH("Facebook",J108)),"3654128","Not Facebook")</f>
        <v>3654128</v>
      </c>
      <c r="L108" s="3" t="str">
        <f aca="false">IFERROR(VLOOKUP(OFFSET(Table22,107,21,1,1),OFFSET(Table2,0,1,ROWS(Table2),8),7,0),VLOOKUP(OFFSET(Table22,107,22,1,1),Table2,8,0))</f>
        <v>AzurePlatform_FBCTCBrandinMotion_CAN_1080x1080_SOC_12s_ISV_English_Standard_NA_FTR_T2_1</v>
      </c>
      <c r="M108" s="2" t="n">
        <f aca="false">IFERROR(VLOOKUP(OFFSET(Table22,107,21,1,1),OFFSET(Table2,0,1,ROWS(Table2),8),8,0),VLOOKUP(OFFSET(Table22,107,22,1,1),Table2,9,0))</f>
        <v>105216992</v>
      </c>
      <c r="N108" s="15" t="s">
        <v>29</v>
      </c>
      <c r="O108" s="16" t="n">
        <v>43357</v>
      </c>
      <c r="P108" s="17" t="s">
        <v>64</v>
      </c>
      <c r="Q108" s="18" t="s">
        <v>65</v>
      </c>
      <c r="R108" s="17" t="s">
        <v>66</v>
      </c>
      <c r="S108" s="18" t="s">
        <v>45</v>
      </c>
      <c r="T108" s="17" t="s">
        <v>34</v>
      </c>
      <c r="U108" s="18" t="s">
        <v>39</v>
      </c>
      <c r="V108" s="19" t="n">
        <v>227522762</v>
      </c>
      <c r="W108" s="17" t="s">
        <v>86</v>
      </c>
      <c r="X108" s="17" t="n">
        <v>4875</v>
      </c>
      <c r="Y108" s="17" t="n">
        <v>26</v>
      </c>
      <c r="Z108" s="17" t="n">
        <v>71.33</v>
      </c>
      <c r="AA108" s="17" t="s">
        <v>68</v>
      </c>
      <c r="AB108" s="17" t="n">
        <v>0</v>
      </c>
    </row>
    <row r="109" customFormat="false" ht="15" hidden="false" customHeight="false" outlineLevel="0" collapsed="false">
      <c r="A109" s="1" t="str">
        <f aca="false">OFFSET(Table22,108,14,1,1)&amp;OFFSET(Table22,108,21,1,1)</f>
        <v>43357223691777</v>
      </c>
      <c r="B109" s="1" t="str">
        <f aca="false">OFFSET(Table22,108,14,1,1)&amp;OFFSET(Table22,108,22,1,1)</f>
        <v>43357Facebook»AZR»1x1»SocialBan»NA»ALL»DYN»RT»D»All»SS»NA»Free Account Retargeting Generic - T3 - FR</v>
      </c>
      <c r="C109" s="1" t="s">
        <v>28</v>
      </c>
      <c r="D109" s="3" t="n">
        <f aca="false">O109+(7-WEEKDAY(O109))</f>
        <v>43358</v>
      </c>
      <c r="E109" s="1" t="str">
        <f aca="false">VLOOKUP(OFFSET(Table22,108,16,1,1),Key!B:D,2,0)</f>
        <v>Canada</v>
      </c>
      <c r="F109" s="1" t="str">
        <f aca="false">IF(ISNUMBER(SEARCH("Canvas",U109)),"Link",IF(ISNUMBER(SEARCH("Link",U109)),"Link","Not filled properly"))</f>
        <v>Link</v>
      </c>
      <c r="G109" s="1" t="str">
        <f aca="false">IFERROR(VLOOKUP(OFFSET(Table22,108,21,1,1),OFFSET(Table2,0,1,ROWS(Table2),8),2,0),VLOOKUP(OFFSET(Table22,108,22,1,1),Table2,3,0))</f>
        <v>CAN_gaPMG_AZR_AZR_Q1_19_Trial-Social</v>
      </c>
      <c r="H109" s="1" t="n">
        <f aca="false">IFERROR(VLOOKUP(OFFSET(Table22,108,21,1,1),OFFSET(Table2,0,1,ROWS(Table2),8),3,0),VLOOKUP(OFFSET(Table22,108,22,1,1),Table2,4,0))</f>
        <v>21337220</v>
      </c>
      <c r="I109" s="2" t="n">
        <f aca="false">IFERROR(VLOOKUP(OFFSET(Table22,108,21,1,1),OFFSET(Table2,0,1,ROWS(Table2),8),4,0),VLOOKUP(OFFSET(Table22,108,22,1,1),Table2,5,0))</f>
        <v>720192</v>
      </c>
      <c r="J109" s="3" t="str">
        <f aca="false">IF(ISNUMBER(SEARCH("FACEBOOK",W109)),"Facebook",IF(ISNUMBER(SEARCH("INSTAGRAM",W109)),"Facebook-Instagram","Look at taxonomy"))</f>
        <v>Facebook</v>
      </c>
      <c r="K109" s="3" t="str">
        <f aca="false">IF(ISNUMBER(SEARCH("Facebook",J109)),"3654128","Not Facebook")</f>
        <v>3654128</v>
      </c>
      <c r="L109" s="3" t="str">
        <f aca="false">IFERROR(VLOOKUP(OFFSET(Table22,108,21,1,1),OFFSET(Table2,0,1,ROWS(Table2),8),7,0),VLOOKUP(OFFSET(Table22,108,22,1,1),Table2,8,0))</f>
        <v>AzurePlatform_FreeAcctRetargetingFB-Animated-ChC_CAN_1200x628_SOC_Plat_FR_Free Account_Standard_ANI_SU_T3_1</v>
      </c>
      <c r="M109" s="2" t="n">
        <f aca="false">IFERROR(VLOOKUP(OFFSET(Table22,108,21,1,1),OFFSET(Table2,0,1,ROWS(Table2),8),8,0),VLOOKUP(OFFSET(Table22,108,22,1,1),Table2,9,0))</f>
        <v>102900697</v>
      </c>
      <c r="N109" s="15" t="s">
        <v>29</v>
      </c>
      <c r="O109" s="16" t="n">
        <v>43357</v>
      </c>
      <c r="P109" s="17" t="s">
        <v>64</v>
      </c>
      <c r="Q109" s="18" t="s">
        <v>65</v>
      </c>
      <c r="R109" s="17" t="s">
        <v>66</v>
      </c>
      <c r="S109" s="18" t="s">
        <v>45</v>
      </c>
      <c r="T109" s="17" t="s">
        <v>34</v>
      </c>
      <c r="U109" s="18" t="s">
        <v>39</v>
      </c>
      <c r="V109" s="19" t="n">
        <v>223691777</v>
      </c>
      <c r="W109" s="17" t="s">
        <v>72</v>
      </c>
      <c r="X109" s="17" t="n">
        <v>386</v>
      </c>
      <c r="Y109" s="17" t="n">
        <v>0</v>
      </c>
      <c r="Z109" s="17" t="n">
        <v>14.15</v>
      </c>
      <c r="AA109" s="17" t="s">
        <v>68</v>
      </c>
      <c r="AB109" s="17" t="n">
        <v>0</v>
      </c>
    </row>
    <row r="110" customFormat="false" ht="15" hidden="false" customHeight="false" outlineLevel="0" collapsed="false">
      <c r="A110" s="1" t="str">
        <f aca="false">OFFSET(Table22,109,14,1,1)&amp;OFFSET(Table22,109,21,1,1)</f>
        <v>43357223691780</v>
      </c>
      <c r="B110" s="1" t="str">
        <f aca="false">OFFSET(Table22,109,14,1,1)&amp;OFFSET(Table22,109,22,1,1)</f>
        <v>43357Facebook»AZR»1x1»SocialBan»NA»ALL»DYN»RT»D»All»SS»NA»Free Account Retargeting VM - T2 - FR</v>
      </c>
      <c r="C110" s="1" t="s">
        <v>28</v>
      </c>
      <c r="D110" s="3" t="n">
        <f aca="false">O110+(7-WEEKDAY(O110))</f>
        <v>43358</v>
      </c>
      <c r="E110" s="1" t="str">
        <f aca="false">VLOOKUP(OFFSET(Table22,109,16,1,1),Key!B:D,2,0)</f>
        <v>Canada</v>
      </c>
      <c r="F110" s="1" t="str">
        <f aca="false">IF(ISNUMBER(SEARCH("Canvas",U110)),"Link",IF(ISNUMBER(SEARCH("Link",U110)),"Link","Not filled properly"))</f>
        <v>Link</v>
      </c>
      <c r="G110" s="1" t="str">
        <f aca="false">IFERROR(VLOOKUP(OFFSET(Table22,109,21,1,1),OFFSET(Table2,0,1,ROWS(Table2),8),2,0),VLOOKUP(OFFSET(Table22,109,22,1,1),Table2,3,0))</f>
        <v>CAN_gaPMG_AZR_AZR_Q1_19_Trial-Social</v>
      </c>
      <c r="H110" s="1" t="n">
        <f aca="false">IFERROR(VLOOKUP(OFFSET(Table22,109,21,1,1),OFFSET(Table2,0,1,ROWS(Table2),8),3,0),VLOOKUP(OFFSET(Table22,109,22,1,1),Table2,4,0))</f>
        <v>21337220</v>
      </c>
      <c r="I110" s="2" t="n">
        <f aca="false">IFERROR(VLOOKUP(OFFSET(Table22,109,21,1,1),OFFSET(Table2,0,1,ROWS(Table2),8),4,0),VLOOKUP(OFFSET(Table22,109,22,1,1),Table2,5,0))</f>
        <v>720192</v>
      </c>
      <c r="J110" s="3" t="str">
        <f aca="false">IF(ISNUMBER(SEARCH("FACEBOOK",W110)),"Facebook",IF(ISNUMBER(SEARCH("INSTAGRAM",W110)),"Facebook-Instagram","Look at taxonomy"))</f>
        <v>Facebook</v>
      </c>
      <c r="K110" s="3" t="str">
        <f aca="false">IF(ISNUMBER(SEARCH("Facebook",J110)),"3654128","Not Facebook")</f>
        <v>3654128</v>
      </c>
      <c r="L110" s="3" t="str">
        <f aca="false">IFERROR(VLOOKUP(OFFSET(Table22,109,21,1,1),OFFSET(Table2,0,1,ROWS(Table2),8),7,0),VLOOKUP(OFFSET(Table22,109,22,1,1),Table2,8,0))</f>
        <v>AzurePlatform_FreeAcctRetargetingVMFB-OnDemand-ChE_CAN_1200x628_SOC_Plat_FR_Free Account_Standard_NA_SU_T2_1</v>
      </c>
      <c r="M110" s="2" t="n">
        <f aca="false">IFERROR(VLOOKUP(OFFSET(Table22,109,21,1,1),OFFSET(Table2,0,1,ROWS(Table2),8),8,0),VLOOKUP(OFFSET(Table22,109,22,1,1),Table2,9,0))</f>
        <v>103058726</v>
      </c>
      <c r="N110" s="15" t="s">
        <v>29</v>
      </c>
      <c r="O110" s="16" t="n">
        <v>43357</v>
      </c>
      <c r="P110" s="17" t="s">
        <v>64</v>
      </c>
      <c r="Q110" s="18" t="s">
        <v>65</v>
      </c>
      <c r="R110" s="17" t="s">
        <v>66</v>
      </c>
      <c r="S110" s="18" t="s">
        <v>45</v>
      </c>
      <c r="T110" s="17" t="s">
        <v>34</v>
      </c>
      <c r="U110" s="18" t="s">
        <v>39</v>
      </c>
      <c r="V110" s="19" t="n">
        <v>223691780</v>
      </c>
      <c r="W110" s="17" t="s">
        <v>75</v>
      </c>
      <c r="X110" s="17" t="n">
        <v>232</v>
      </c>
      <c r="Y110" s="17" t="n">
        <v>2</v>
      </c>
      <c r="Z110" s="17" t="n">
        <v>10.65</v>
      </c>
      <c r="AA110" s="17" t="s">
        <v>68</v>
      </c>
      <c r="AB110" s="17" t="n">
        <v>0</v>
      </c>
    </row>
    <row r="111" customFormat="false" ht="15" hidden="false" customHeight="false" outlineLevel="0" collapsed="false">
      <c r="A111" s="1" t="str">
        <f aca="false">OFFSET(Table22,110,14,1,1)&amp;OFFSET(Table22,110,21,1,1)</f>
        <v>43357223691834</v>
      </c>
      <c r="B111" s="1" t="str">
        <f aca="false">OFFSET(Table22,110,14,1,1)&amp;OFFSET(Table22,110,22,1,1)</f>
        <v>43357Facebook»AZR»1x1»SocialBan»NA»ALL»DYN»RT»D»All»SS»NA»Free Account Retargeting Generic - T2 - EN</v>
      </c>
      <c r="C111" s="1" t="s">
        <v>28</v>
      </c>
      <c r="D111" s="3" t="n">
        <f aca="false">O111+(7-WEEKDAY(O111))</f>
        <v>43358</v>
      </c>
      <c r="E111" s="1" t="str">
        <f aca="false">VLOOKUP(OFFSET(Table22,110,16,1,1),Key!B:D,2,0)</f>
        <v>Canada</v>
      </c>
      <c r="F111" s="1" t="str">
        <f aca="false">IF(ISNUMBER(SEARCH("Canvas",U111)),"Link",IF(ISNUMBER(SEARCH("Link",U111)),"Link","Not filled properly"))</f>
        <v>Link</v>
      </c>
      <c r="G111" s="1" t="str">
        <f aca="false">IFERROR(VLOOKUP(OFFSET(Table22,110,21,1,1),OFFSET(Table2,0,1,ROWS(Table2),8),2,0),VLOOKUP(OFFSET(Table22,110,22,1,1),Table2,3,0))</f>
        <v>CAN_gaPMG_AZR_AZR_Q1_19_Trial-Social</v>
      </c>
      <c r="H111" s="1" t="n">
        <f aca="false">IFERROR(VLOOKUP(OFFSET(Table22,110,21,1,1),OFFSET(Table2,0,1,ROWS(Table2),8),3,0),VLOOKUP(OFFSET(Table22,110,22,1,1),Table2,4,0))</f>
        <v>21337220</v>
      </c>
      <c r="I111" s="2" t="n">
        <f aca="false">IFERROR(VLOOKUP(OFFSET(Table22,110,21,1,1),OFFSET(Table2,0,1,ROWS(Table2),8),4,0),VLOOKUP(OFFSET(Table22,110,22,1,1),Table2,5,0))</f>
        <v>720192</v>
      </c>
      <c r="J111" s="3" t="str">
        <f aca="false">IF(ISNUMBER(SEARCH("FACEBOOK",W111)),"Facebook",IF(ISNUMBER(SEARCH("INSTAGRAM",W111)),"Facebook-Instagram","Look at taxonomy"))</f>
        <v>Facebook</v>
      </c>
      <c r="K111" s="3" t="str">
        <f aca="false">IF(ISNUMBER(SEARCH("Facebook",J111)),"3654128","Not Facebook")</f>
        <v>3654128</v>
      </c>
      <c r="L111" s="3" t="str">
        <f aca="false">IFERROR(VLOOKUP(OFFSET(Table22,110,21,1,1),OFFSET(Table2,0,1,ROWS(Table2),8),7,0),VLOOKUP(OFFSET(Table22,110,22,1,1),Table2,8,0))</f>
        <v>AzurePlatform_FreeAcctRetargetingFB-GlobalAlt-ChB_CAN_1200x628_SOC_Plat_EN_Free Account_Standard_NA_SU_T2_1</v>
      </c>
      <c r="M111" s="2" t="n">
        <f aca="false">IFERROR(VLOOKUP(OFFSET(Table22,110,21,1,1),OFFSET(Table2,0,1,ROWS(Table2),8),8,0),VLOOKUP(OFFSET(Table22,110,22,1,1),Table2,9,0))</f>
        <v>102902953</v>
      </c>
      <c r="N111" s="15" t="s">
        <v>29</v>
      </c>
      <c r="O111" s="16" t="n">
        <v>43357</v>
      </c>
      <c r="P111" s="17" t="s">
        <v>64</v>
      </c>
      <c r="Q111" s="18" t="s">
        <v>65</v>
      </c>
      <c r="R111" s="17" t="s">
        <v>66</v>
      </c>
      <c r="S111" s="18" t="s">
        <v>45</v>
      </c>
      <c r="T111" s="17" t="s">
        <v>34</v>
      </c>
      <c r="U111" s="18" t="s">
        <v>39</v>
      </c>
      <c r="V111" s="19" t="n">
        <v>223691834</v>
      </c>
      <c r="W111" s="17" t="s">
        <v>88</v>
      </c>
      <c r="X111" s="17" t="n">
        <v>430</v>
      </c>
      <c r="Y111" s="17" t="n">
        <v>0</v>
      </c>
      <c r="Z111" s="17" t="n">
        <v>16.96</v>
      </c>
      <c r="AA111" s="17" t="s">
        <v>68</v>
      </c>
      <c r="AB111" s="17" t="n">
        <v>0</v>
      </c>
    </row>
    <row r="112" customFormat="false" ht="15" hidden="false" customHeight="false" outlineLevel="0" collapsed="false">
      <c r="A112" s="1" t="str">
        <f aca="false">OFFSET(Table22,111,14,1,1)&amp;OFFSET(Table22,111,21,1,1)</f>
        <v>43357223691837</v>
      </c>
      <c r="B112" s="1" t="str">
        <f aca="false">OFFSET(Table22,111,14,1,1)&amp;OFFSET(Table22,111,22,1,1)</f>
        <v>43357Facebook»AZR»1x1»NA»EGV»ALL»DYN»AUT»D»All»SS»NA»Free Acc CTC - T4 - EN</v>
      </c>
      <c r="C112" s="1" t="s">
        <v>28</v>
      </c>
      <c r="D112" s="3" t="n">
        <f aca="false">O112+(7-WEEKDAY(O112))</f>
        <v>43358</v>
      </c>
      <c r="E112" s="1" t="str">
        <f aca="false">VLOOKUP(OFFSET(Table22,111,16,1,1),Key!B:D,2,0)</f>
        <v>Canada</v>
      </c>
      <c r="F112" s="1" t="str">
        <f aca="false">IF(ISNUMBER(SEARCH("Canvas",U112)),"Link",IF(ISNUMBER(SEARCH("Link",U112)),"Link","Not filled properly"))</f>
        <v>Link</v>
      </c>
      <c r="G112" s="1" t="str">
        <f aca="false">IFERROR(VLOOKUP(OFFSET(Table22,111,21,1,1),OFFSET(Table2,0,1,ROWS(Table2),8),2,0),VLOOKUP(OFFSET(Table22,111,22,1,1),Table2,3,0))</f>
        <v>CAN_gaPMG_AZR_AZR_Q1_19_Trial-Social</v>
      </c>
      <c r="H112" s="1" t="n">
        <f aca="false">IFERROR(VLOOKUP(OFFSET(Table22,111,21,1,1),OFFSET(Table2,0,1,ROWS(Table2),8),3,0),VLOOKUP(OFFSET(Table22,111,22,1,1),Table2,4,0))</f>
        <v>21337220</v>
      </c>
      <c r="I112" s="2" t="n">
        <f aca="false">IFERROR(VLOOKUP(OFFSET(Table22,111,21,1,1),OFFSET(Table2,0,1,ROWS(Table2),8),4,0),VLOOKUP(OFFSET(Table22,111,22,1,1),Table2,5,0))</f>
        <v>720192</v>
      </c>
      <c r="J112" s="3" t="str">
        <f aca="false">IF(ISNUMBER(SEARCH("FACEBOOK",W112)),"Facebook",IF(ISNUMBER(SEARCH("INSTAGRAM",W112)),"Facebook-Instagram","Look at taxonomy"))</f>
        <v>Facebook</v>
      </c>
      <c r="K112" s="3" t="str">
        <f aca="false">IF(ISNUMBER(SEARCH("Facebook",J112)),"3654128","Not Facebook")</f>
        <v>3654128</v>
      </c>
      <c r="L112" s="3" t="str">
        <f aca="false">IFERROR(VLOOKUP(OFFSET(Table22,111,21,1,1),OFFSET(Table2,0,1,ROWS(Table2),8),7,0),VLOOKUP(OFFSET(Table22,111,22,1,1),Table2,8,0))</f>
        <v>AzurePlatform_FBCTCBenefit2inMotion_CAN_14s_ISV_PLAT_English_Trial_Standard_STAN_TN_T4_1</v>
      </c>
      <c r="M112" s="2" t="n">
        <f aca="false">IFERROR(VLOOKUP(OFFSET(Table22,111,21,1,1),OFFSET(Table2,0,1,ROWS(Table2),8),8,0),VLOOKUP(OFFSET(Table22,111,22,1,1),Table2,9,0))</f>
        <v>103053314</v>
      </c>
      <c r="N112" s="15" t="s">
        <v>29</v>
      </c>
      <c r="O112" s="16" t="n">
        <v>43357</v>
      </c>
      <c r="P112" s="17" t="s">
        <v>64</v>
      </c>
      <c r="Q112" s="18" t="s">
        <v>65</v>
      </c>
      <c r="R112" s="17" t="s">
        <v>66</v>
      </c>
      <c r="S112" s="18" t="s">
        <v>45</v>
      </c>
      <c r="T112" s="17" t="s">
        <v>34</v>
      </c>
      <c r="U112" s="18" t="s">
        <v>39</v>
      </c>
      <c r="V112" s="19" t="n">
        <v>223691837</v>
      </c>
      <c r="W112" s="17" t="s">
        <v>83</v>
      </c>
      <c r="X112" s="17" t="n">
        <v>9645</v>
      </c>
      <c r="Y112" s="17" t="n">
        <v>8</v>
      </c>
      <c r="Z112" s="17" t="n">
        <v>196.09</v>
      </c>
      <c r="AA112" s="17" t="s">
        <v>68</v>
      </c>
      <c r="AB112" s="17" t="n">
        <v>0</v>
      </c>
    </row>
    <row r="113" customFormat="false" ht="15" hidden="false" customHeight="false" outlineLevel="0" collapsed="false">
      <c r="A113" s="1" t="str">
        <f aca="false">OFFSET(Table22,112,14,1,1)&amp;OFFSET(Table22,112,21,1,1)</f>
        <v>43357223691783</v>
      </c>
      <c r="B113" s="1" t="str">
        <f aca="false">OFFSET(Table22,112,14,1,1)&amp;OFFSET(Table22,112,22,1,1)</f>
        <v>43357Facebook»AZR»1x1»SocialBan»NA»ALL»DYN»RT»D»All»SS»NA»Free Account Retargeting VM - T1 - FR</v>
      </c>
      <c r="C113" s="1" t="s">
        <v>28</v>
      </c>
      <c r="D113" s="3" t="n">
        <f aca="false">O113+(7-WEEKDAY(O113))</f>
        <v>43358</v>
      </c>
      <c r="E113" s="1" t="str">
        <f aca="false">VLOOKUP(OFFSET(Table22,112,16,1,1),Key!B:D,2,0)</f>
        <v>Canada</v>
      </c>
      <c r="F113" s="1" t="str">
        <f aca="false">IF(ISNUMBER(SEARCH("Canvas",U113)),"Link",IF(ISNUMBER(SEARCH("Link",U113)),"Link","Not filled properly"))</f>
        <v>Link</v>
      </c>
      <c r="G113" s="1" t="str">
        <f aca="false">IFERROR(VLOOKUP(OFFSET(Table22,112,21,1,1),OFFSET(Table2,0,1,ROWS(Table2),8),2,0),VLOOKUP(OFFSET(Table22,112,22,1,1),Table2,3,0))</f>
        <v>CAN_gaPMG_AZR_AZR_Q1_19_Trial-Social</v>
      </c>
      <c r="H113" s="1" t="n">
        <f aca="false">IFERROR(VLOOKUP(OFFSET(Table22,112,21,1,1),OFFSET(Table2,0,1,ROWS(Table2),8),3,0),VLOOKUP(OFFSET(Table22,112,22,1,1),Table2,4,0))</f>
        <v>21337220</v>
      </c>
      <c r="I113" s="2" t="n">
        <f aca="false">IFERROR(VLOOKUP(OFFSET(Table22,112,21,1,1),OFFSET(Table2,0,1,ROWS(Table2),8),4,0),VLOOKUP(OFFSET(Table22,112,22,1,1),Table2,5,0))</f>
        <v>720192</v>
      </c>
      <c r="J113" s="3" t="str">
        <f aca="false">IF(ISNUMBER(SEARCH("FACEBOOK",W113)),"Facebook",IF(ISNUMBER(SEARCH("INSTAGRAM",W113)),"Facebook-Instagram","Look at taxonomy"))</f>
        <v>Facebook</v>
      </c>
      <c r="K113" s="3" t="str">
        <f aca="false">IF(ISNUMBER(SEARCH("Facebook",J113)),"3654128","Not Facebook")</f>
        <v>3654128</v>
      </c>
      <c r="L113" s="3" t="str">
        <f aca="false">IFERROR(VLOOKUP(OFFSET(Table22,112,21,1,1),OFFSET(Table2,0,1,ROWS(Table2),8),7,0),VLOOKUP(OFFSET(Table22,112,22,1,1),Table2,8,0))</f>
        <v>AzurePlatform_FreeAcctRetargetingVMFB-750Hrs-ChD_CAN_1200x628_SOC_Plat_FR_Free Account_Standard_NA_SU_T1_1</v>
      </c>
      <c r="M113" s="2" t="n">
        <f aca="false">IFERROR(VLOOKUP(OFFSET(Table22,112,21,1,1),OFFSET(Table2,0,1,ROWS(Table2),8),8,0),VLOOKUP(OFFSET(Table22,112,22,1,1),Table2,9,0))</f>
        <v>103058723</v>
      </c>
      <c r="N113" s="15" t="s">
        <v>29</v>
      </c>
      <c r="O113" s="16" t="n">
        <v>43357</v>
      </c>
      <c r="P113" s="17" t="s">
        <v>64</v>
      </c>
      <c r="Q113" s="18" t="s">
        <v>65</v>
      </c>
      <c r="R113" s="17" t="s">
        <v>66</v>
      </c>
      <c r="S113" s="18" t="s">
        <v>45</v>
      </c>
      <c r="T113" s="17" t="s">
        <v>34</v>
      </c>
      <c r="U113" s="18" t="s">
        <v>39</v>
      </c>
      <c r="V113" s="19" t="n">
        <v>223691783</v>
      </c>
      <c r="W113" s="17" t="s">
        <v>76</v>
      </c>
      <c r="X113" s="17" t="n">
        <v>147</v>
      </c>
      <c r="Y113" s="17" t="n">
        <v>0</v>
      </c>
      <c r="Z113" s="17" t="n">
        <v>6.89</v>
      </c>
      <c r="AA113" s="17" t="s">
        <v>68</v>
      </c>
      <c r="AB113" s="17" t="n">
        <v>0</v>
      </c>
    </row>
    <row r="114" customFormat="false" ht="15" hidden="false" customHeight="false" outlineLevel="0" collapsed="false">
      <c r="A114" s="1" t="str">
        <f aca="false">OFFSET(Table22,113,14,1,1)&amp;OFFSET(Table22,113,21,1,1)</f>
        <v>43357227618695</v>
      </c>
      <c r="B114" s="1" t="str">
        <f aca="false">OFFSET(Table22,113,14,1,1)&amp;OFFSET(Table22,113,22,1,1)</f>
        <v>43357Facebook»AZR»1x1»NA»NA»ALL»DYN»AUT»D»All»SS»NA»Free Account Create to Convert FB - Canvas - Benefit - Start Free - FR</v>
      </c>
      <c r="C114" s="1" t="s">
        <v>28</v>
      </c>
      <c r="D114" s="3" t="n">
        <f aca="false">O114+(7-WEEKDAY(O114))</f>
        <v>43358</v>
      </c>
      <c r="E114" s="1" t="str">
        <f aca="false">VLOOKUP(OFFSET(Table22,113,16,1,1),Key!B:D,2,0)</f>
        <v>Canada</v>
      </c>
      <c r="F114" s="1" t="str">
        <f aca="false">IF(ISNUMBER(SEARCH("Canvas",U114)),"Link",IF(ISNUMBER(SEARCH("Link",U114)),"Link","Not filled properly"))</f>
        <v>Link</v>
      </c>
      <c r="G114" s="1" t="str">
        <f aca="false">IFERROR(VLOOKUP(OFFSET(Table22,113,21,1,1),OFFSET(Table2,0,1,ROWS(Table2),8),2,0),VLOOKUP(OFFSET(Table22,113,22,1,1),Table2,3,0))</f>
        <v>CAN_gaPMG_AZR_AZR_Q1_19_Trial-Social</v>
      </c>
      <c r="H114" s="1" t="n">
        <f aca="false">IFERROR(VLOOKUP(OFFSET(Table22,113,21,1,1),OFFSET(Table2,0,1,ROWS(Table2),8),3,0),VLOOKUP(OFFSET(Table22,113,22,1,1),Table2,4,0))</f>
        <v>21337220</v>
      </c>
      <c r="I114" s="2" t="n">
        <f aca="false">IFERROR(VLOOKUP(OFFSET(Table22,113,21,1,1),OFFSET(Table2,0,1,ROWS(Table2),8),4,0),VLOOKUP(OFFSET(Table22,113,22,1,1),Table2,5,0))</f>
        <v>720192</v>
      </c>
      <c r="J114" s="3" t="str">
        <f aca="false">IF(ISNUMBER(SEARCH("FACEBOOK",W114)),"Facebook",IF(ISNUMBER(SEARCH("INSTAGRAM",W114)),"Facebook-Instagram","Look at taxonomy"))</f>
        <v>Facebook</v>
      </c>
      <c r="K114" s="3" t="str">
        <f aca="false">IF(ISNUMBER(SEARCH("Facebook",J114)),"3654128","Not Facebook")</f>
        <v>3654128</v>
      </c>
      <c r="L114" s="3" t="str">
        <f aca="false">IFERROR(VLOOKUP(OFFSET(Table22,113,21,1,1),OFFSET(Table2,0,1,ROWS(Table2),8),7,0),VLOOKUP(OFFSET(Table22,113,22,1,1),Table2,8,0))</f>
        <v>AzurePlatform_FBCTCBenefit2inMotion_CAN_1080x1080_SOC_14s_ISV_FR_Standard_NA_FTR_T4_1</v>
      </c>
      <c r="M114" s="2" t="n">
        <f aca="false">IFERROR(VLOOKUP(OFFSET(Table22,113,21,1,1),OFFSET(Table2,0,1,ROWS(Table2),8),8,0),VLOOKUP(OFFSET(Table22,113,22,1,1),Table2,9,0))</f>
        <v>105127638</v>
      </c>
      <c r="N114" s="15" t="s">
        <v>29</v>
      </c>
      <c r="O114" s="16" t="n">
        <v>43357</v>
      </c>
      <c r="P114" s="17" t="s">
        <v>64</v>
      </c>
      <c r="Q114" s="18" t="s">
        <v>65</v>
      </c>
      <c r="R114" s="17" t="s">
        <v>66</v>
      </c>
      <c r="S114" s="18" t="s">
        <v>45</v>
      </c>
      <c r="T114" s="17" t="s">
        <v>34</v>
      </c>
      <c r="U114" s="18" t="s">
        <v>39</v>
      </c>
      <c r="V114" s="19" t="n">
        <v>227618695</v>
      </c>
      <c r="W114" s="17" t="s">
        <v>67</v>
      </c>
      <c r="X114" s="17" t="n">
        <v>278</v>
      </c>
      <c r="Y114" s="17" t="n">
        <v>0</v>
      </c>
      <c r="Z114" s="17" t="n">
        <v>6</v>
      </c>
      <c r="AA114" s="17" t="s">
        <v>68</v>
      </c>
      <c r="AB114" s="17" t="n">
        <v>0</v>
      </c>
    </row>
    <row r="115" customFormat="false" ht="15" hidden="false" customHeight="false" outlineLevel="0" collapsed="false">
      <c r="A115" s="1" t="str">
        <f aca="false">OFFSET(Table22,114,14,1,1)&amp;OFFSET(Table22,114,21,1,1)</f>
        <v>43357225322324</v>
      </c>
      <c r="B115" s="1" t="str">
        <f aca="false">OFFSET(Table22,114,14,1,1)&amp;OFFSET(Table22,114,22,1,1)</f>
        <v>43357Facebook»AZR»1x1»NA»SOC»ALL»DYN»PRO»D»All»SS»NA»Canvas - Buy Now - FR</v>
      </c>
      <c r="C115" s="1" t="s">
        <v>28</v>
      </c>
      <c r="D115" s="3" t="n">
        <f aca="false">O115+(7-WEEKDAY(O115))</f>
        <v>43358</v>
      </c>
      <c r="E115" s="1" t="str">
        <f aca="false">VLOOKUP(OFFSET(Table22,114,16,1,1),Key!B:D,2,0)</f>
        <v>Canada</v>
      </c>
      <c r="F115" s="1" t="str">
        <f aca="false">IF(ISNUMBER(SEARCH("Canvas",U115)),"Link",IF(ISNUMBER(SEARCH("Link",U115)),"Link","Not filled properly"))</f>
        <v>Link</v>
      </c>
      <c r="G115" s="1" t="str">
        <f aca="false">IFERROR(VLOOKUP(OFFSET(Table22,114,21,1,1),OFFSET(Table2,0,1,ROWS(Table2),8),2,0),VLOOKUP(OFFSET(Table22,114,22,1,1),Table2,3,0))</f>
        <v>CAN_gaPMG_AZR_AZR_Q1_19_Trial-Social</v>
      </c>
      <c r="H115" s="1" t="n">
        <f aca="false">IFERROR(VLOOKUP(OFFSET(Table22,114,21,1,1),OFFSET(Table2,0,1,ROWS(Table2),8),3,0),VLOOKUP(OFFSET(Table22,114,22,1,1),Table2,4,0))</f>
        <v>21337220</v>
      </c>
      <c r="I115" s="2" t="n">
        <f aca="false">IFERROR(VLOOKUP(OFFSET(Table22,114,21,1,1),OFFSET(Table2,0,1,ROWS(Table2),8),4,0),VLOOKUP(OFFSET(Table22,114,22,1,1),Table2,5,0))</f>
        <v>720192</v>
      </c>
      <c r="J115" s="3" t="str">
        <f aca="false">IF(ISNUMBER(SEARCH("FACEBOOK",W115)),"Facebook",IF(ISNUMBER(SEARCH("INSTAGRAM",W115)),"Facebook-Instagram","Look at taxonomy"))</f>
        <v>Facebook</v>
      </c>
      <c r="K115" s="3" t="str">
        <f aca="false">IF(ISNUMBER(SEARCH("Facebook",J115)),"3654128","Not Facebook")</f>
        <v>3654128</v>
      </c>
      <c r="L115" s="3" t="str">
        <f aca="false">IFERROR(VLOOKUP(OFFSET(Table22,114,21,1,1),OFFSET(Table2,0,1,ROWS(Table2),8),7,0),VLOOKUP(OFFSET(Table22,114,22,1,1),Table2,8,0))</f>
        <v>AzurePlatform_FBCTCcanvaspage-BuyNowCTA-Img3_CAN_1080x162_SOC_Plat_French_NA_Standard_NA_BN_T3_1</v>
      </c>
      <c r="M115" s="2" t="n">
        <f aca="false">IFERROR(VLOOKUP(OFFSET(Table22,114,21,1,1),OFFSET(Table2,0,1,ROWS(Table2),8),8,0),VLOOKUP(OFFSET(Table22,114,22,1,1),Table2,9,0))</f>
        <v>103789915</v>
      </c>
      <c r="N115" s="15" t="s">
        <v>29</v>
      </c>
      <c r="O115" s="16" t="n">
        <v>43357</v>
      </c>
      <c r="P115" s="17" t="s">
        <v>64</v>
      </c>
      <c r="Q115" s="18" t="s">
        <v>65</v>
      </c>
      <c r="R115" s="17" t="s">
        <v>66</v>
      </c>
      <c r="S115" s="18" t="s">
        <v>45</v>
      </c>
      <c r="T115" s="17" t="s">
        <v>34</v>
      </c>
      <c r="U115" s="18" t="s">
        <v>39</v>
      </c>
      <c r="V115" s="19" t="n">
        <v>225322324</v>
      </c>
      <c r="W115" s="17" t="s">
        <v>71</v>
      </c>
      <c r="X115" s="17" t="n">
        <v>51</v>
      </c>
      <c r="Y115" s="17" t="n">
        <v>0</v>
      </c>
      <c r="Z115" s="17" t="n">
        <v>1.22</v>
      </c>
      <c r="AA115" s="17" t="s">
        <v>68</v>
      </c>
      <c r="AB115" s="17" t="n">
        <v>0</v>
      </c>
    </row>
    <row r="116" customFormat="false" ht="15" hidden="false" customHeight="false" outlineLevel="0" collapsed="false">
      <c r="A116" s="1" t="str">
        <f aca="false">OFFSET(Table22,115,14,1,1)&amp;OFFSET(Table22,115,21,1,1)</f>
        <v>43357223691840</v>
      </c>
      <c r="B116" s="1" t="str">
        <f aca="false">OFFSET(Table22,115,14,1,1)&amp;OFFSET(Table22,115,22,1,1)</f>
        <v>43357Facebook»AZR»1x1»NA»EGV»ALL»DYN»AUT»D»All»SS»NA»Free Acc CTC - T2 - EN</v>
      </c>
      <c r="C116" s="1" t="s">
        <v>28</v>
      </c>
      <c r="D116" s="3" t="n">
        <f aca="false">O116+(7-WEEKDAY(O116))</f>
        <v>43358</v>
      </c>
      <c r="E116" s="1" t="str">
        <f aca="false">VLOOKUP(OFFSET(Table22,115,16,1,1),Key!B:D,2,0)</f>
        <v>Canada</v>
      </c>
      <c r="F116" s="1" t="str">
        <f aca="false">IF(ISNUMBER(SEARCH("Canvas",U116)),"Link",IF(ISNUMBER(SEARCH("Link",U116)),"Link","Not filled properly"))</f>
        <v>Link</v>
      </c>
      <c r="G116" s="1" t="str">
        <f aca="false">IFERROR(VLOOKUP(OFFSET(Table22,115,21,1,1),OFFSET(Table2,0,1,ROWS(Table2),8),2,0),VLOOKUP(OFFSET(Table22,115,22,1,1),Table2,3,0))</f>
        <v>CAN_gaPMG_AZR_AZR_Q1_19_Trial-Social</v>
      </c>
      <c r="H116" s="1" t="n">
        <f aca="false">IFERROR(VLOOKUP(OFFSET(Table22,115,21,1,1),OFFSET(Table2,0,1,ROWS(Table2),8),3,0),VLOOKUP(OFFSET(Table22,115,22,1,1),Table2,4,0))</f>
        <v>21337220</v>
      </c>
      <c r="I116" s="2" t="n">
        <f aca="false">IFERROR(VLOOKUP(OFFSET(Table22,115,21,1,1),OFFSET(Table2,0,1,ROWS(Table2),8),4,0),VLOOKUP(OFFSET(Table22,115,22,1,1),Table2,5,0))</f>
        <v>720192</v>
      </c>
      <c r="J116" s="3" t="str">
        <f aca="false">IF(ISNUMBER(SEARCH("FACEBOOK",W116)),"Facebook",IF(ISNUMBER(SEARCH("INSTAGRAM",W116)),"Facebook-Instagram","Look at taxonomy"))</f>
        <v>Facebook</v>
      </c>
      <c r="K116" s="3" t="str">
        <f aca="false">IF(ISNUMBER(SEARCH("Facebook",J116)),"3654128","Not Facebook")</f>
        <v>3654128</v>
      </c>
      <c r="L116" s="3" t="str">
        <f aca="false">IFERROR(VLOOKUP(OFFSET(Table22,115,21,1,1),OFFSET(Table2,0,1,ROWS(Table2),8),7,0),VLOOKUP(OFFSET(Table22,115,22,1,1),Table2,8,0))</f>
        <v>AzurePlatform_FBCTCBrandinMotion_CAN_12s_ISV_PLAT_English_Trial_Standard_STAN_TN_T2_1</v>
      </c>
      <c r="M116" s="2" t="n">
        <f aca="false">IFERROR(VLOOKUP(OFFSET(Table22,115,21,1,1),OFFSET(Table2,0,1,ROWS(Table2),8),8,0),VLOOKUP(OFFSET(Table22,115,22,1,1),Table2,9,0))</f>
        <v>102902950</v>
      </c>
      <c r="N116" s="15" t="s">
        <v>29</v>
      </c>
      <c r="O116" s="16" t="n">
        <v>43357</v>
      </c>
      <c r="P116" s="17" t="s">
        <v>64</v>
      </c>
      <c r="Q116" s="18" t="s">
        <v>65</v>
      </c>
      <c r="R116" s="17" t="s">
        <v>66</v>
      </c>
      <c r="S116" s="18" t="s">
        <v>45</v>
      </c>
      <c r="T116" s="17" t="s">
        <v>34</v>
      </c>
      <c r="U116" s="18" t="s">
        <v>39</v>
      </c>
      <c r="V116" s="19" t="n">
        <v>223691840</v>
      </c>
      <c r="W116" s="17" t="s">
        <v>77</v>
      </c>
      <c r="X116" s="17" t="n">
        <v>2385</v>
      </c>
      <c r="Y116" s="17" t="n">
        <v>3</v>
      </c>
      <c r="Z116" s="17" t="n">
        <v>45.8</v>
      </c>
      <c r="AA116" s="17" t="s">
        <v>68</v>
      </c>
      <c r="AB116" s="17" t="n">
        <v>0</v>
      </c>
    </row>
    <row r="117" customFormat="false" ht="15" hidden="false" customHeight="false" outlineLevel="0" collapsed="false">
      <c r="A117" s="1" t="str">
        <f aca="false">OFFSET(Table22,116,14,1,1)&amp;OFFSET(Table22,116,21,1,1)</f>
        <v>43357223691798</v>
      </c>
      <c r="B117" s="1" t="str">
        <f aca="false">OFFSET(Table22,116,14,1,1)&amp;OFFSET(Table22,116,22,1,1)</f>
        <v>43357Facebook»AZR»1x1»NA»EGV»ALL»DYN»AUT»D»All»SS»NA»Free Acc CTC - T2 - FR</v>
      </c>
      <c r="C117" s="1" t="s">
        <v>28</v>
      </c>
      <c r="D117" s="3" t="n">
        <f aca="false">O117+(7-WEEKDAY(O117))</f>
        <v>43358</v>
      </c>
      <c r="E117" s="1" t="str">
        <f aca="false">VLOOKUP(OFFSET(Table22,116,16,1,1),Key!B:D,2,0)</f>
        <v>Canada</v>
      </c>
      <c r="F117" s="1" t="str">
        <f aca="false">IF(ISNUMBER(SEARCH("Canvas",U117)),"Link",IF(ISNUMBER(SEARCH("Link",U117)),"Link","Not filled properly"))</f>
        <v>Link</v>
      </c>
      <c r="G117" s="1" t="str">
        <f aca="false">IFERROR(VLOOKUP(OFFSET(Table22,116,21,1,1),OFFSET(Table2,0,1,ROWS(Table2),8),2,0),VLOOKUP(OFFSET(Table22,116,22,1,1),Table2,3,0))</f>
        <v>CAN_gaPMG_AZR_AZR_Q1_19_Trial-Social</v>
      </c>
      <c r="H117" s="1" t="n">
        <f aca="false">IFERROR(VLOOKUP(OFFSET(Table22,116,21,1,1),OFFSET(Table2,0,1,ROWS(Table2),8),3,0),VLOOKUP(OFFSET(Table22,116,22,1,1),Table2,4,0))</f>
        <v>21337220</v>
      </c>
      <c r="I117" s="2" t="n">
        <f aca="false">IFERROR(VLOOKUP(OFFSET(Table22,116,21,1,1),OFFSET(Table2,0,1,ROWS(Table2),8),4,0),VLOOKUP(OFFSET(Table22,116,22,1,1),Table2,5,0))</f>
        <v>720192</v>
      </c>
      <c r="J117" s="3" t="str">
        <f aca="false">IF(ISNUMBER(SEARCH("FACEBOOK",W117)),"Facebook",IF(ISNUMBER(SEARCH("INSTAGRAM",W117)),"Facebook-Instagram","Look at taxonomy"))</f>
        <v>Facebook</v>
      </c>
      <c r="K117" s="3" t="str">
        <f aca="false">IF(ISNUMBER(SEARCH("Facebook",J117)),"3654128","Not Facebook")</f>
        <v>3654128</v>
      </c>
      <c r="L117" s="3" t="str">
        <f aca="false">IFERROR(VLOOKUP(OFFSET(Table22,116,21,1,1),OFFSET(Table2,0,1,ROWS(Table2),8),7,0),VLOOKUP(OFFSET(Table22,116,22,1,1),Table2,8,0))</f>
        <v>AzurePlatform_FBCTCBrandinMotion_CAN_12s_ISV_PLAT_FR_Trial_Standard_STAN_TN_T2_1</v>
      </c>
      <c r="M117" s="2" t="n">
        <f aca="false">IFERROR(VLOOKUP(OFFSET(Table22,116,21,1,1),OFFSET(Table2,0,1,ROWS(Table2),8),8,0),VLOOKUP(OFFSET(Table22,116,22,1,1),Table2,9,0))</f>
        <v>102916347</v>
      </c>
      <c r="N117" s="15" t="s">
        <v>29</v>
      </c>
      <c r="O117" s="16" t="n">
        <v>43357</v>
      </c>
      <c r="P117" s="17" t="s">
        <v>64</v>
      </c>
      <c r="Q117" s="18" t="s">
        <v>65</v>
      </c>
      <c r="R117" s="17" t="s">
        <v>66</v>
      </c>
      <c r="S117" s="18" t="s">
        <v>45</v>
      </c>
      <c r="T117" s="17" t="s">
        <v>34</v>
      </c>
      <c r="U117" s="18" t="s">
        <v>39</v>
      </c>
      <c r="V117" s="19" t="n">
        <v>223691798</v>
      </c>
      <c r="W117" s="17" t="s">
        <v>69</v>
      </c>
      <c r="X117" s="17" t="n">
        <v>1678</v>
      </c>
      <c r="Y117" s="17" t="n">
        <v>3</v>
      </c>
      <c r="Z117" s="17" t="n">
        <v>37.12</v>
      </c>
      <c r="AA117" s="17" t="s">
        <v>68</v>
      </c>
      <c r="AB117" s="17" t="n">
        <v>0</v>
      </c>
    </row>
    <row r="118" customFormat="false" ht="15" hidden="false" customHeight="false" outlineLevel="0" collapsed="false">
      <c r="A118" s="1" t="str">
        <f aca="false">OFFSET(Table22,117,14,1,1)&amp;OFFSET(Table22,117,21,1,1)</f>
        <v>43357223691801</v>
      </c>
      <c r="B118" s="1" t="str">
        <f aca="false">OFFSET(Table22,117,14,1,1)&amp;OFFSET(Table22,117,22,1,1)</f>
        <v>43357Facebook»AZR»1x1»NA»EGV»ALL»DYN»AUT»D»All»SS»NA»Free Acc CTC - T1 - FR</v>
      </c>
      <c r="C118" s="1" t="s">
        <v>28</v>
      </c>
      <c r="D118" s="3" t="n">
        <f aca="false">O118+(7-WEEKDAY(O118))</f>
        <v>43358</v>
      </c>
      <c r="E118" s="1" t="str">
        <f aca="false">VLOOKUP(OFFSET(Table22,117,16,1,1),Key!B:D,2,0)</f>
        <v>Canada</v>
      </c>
      <c r="F118" s="1" t="str">
        <f aca="false">IF(ISNUMBER(SEARCH("Canvas",U118)),"Link",IF(ISNUMBER(SEARCH("Link",U118)),"Link","Not filled properly"))</f>
        <v>Link</v>
      </c>
      <c r="G118" s="1" t="str">
        <f aca="false">IFERROR(VLOOKUP(OFFSET(Table22,117,21,1,1),OFFSET(Table2,0,1,ROWS(Table2),8),2,0),VLOOKUP(OFFSET(Table22,117,22,1,1),Table2,3,0))</f>
        <v>CAN_gaPMG_AZR_AZR_Q1_19_Trial-Social</v>
      </c>
      <c r="H118" s="1" t="n">
        <f aca="false">IFERROR(VLOOKUP(OFFSET(Table22,117,21,1,1),OFFSET(Table2,0,1,ROWS(Table2),8),3,0),VLOOKUP(OFFSET(Table22,117,22,1,1),Table2,4,0))</f>
        <v>21337220</v>
      </c>
      <c r="I118" s="2" t="n">
        <f aca="false">IFERROR(VLOOKUP(OFFSET(Table22,117,21,1,1),OFFSET(Table2,0,1,ROWS(Table2),8),4,0),VLOOKUP(OFFSET(Table22,117,22,1,1),Table2,5,0))</f>
        <v>720192</v>
      </c>
      <c r="J118" s="3" t="str">
        <f aca="false">IF(ISNUMBER(SEARCH("FACEBOOK",W118)),"Facebook",IF(ISNUMBER(SEARCH("INSTAGRAM",W118)),"Facebook-Instagram","Look at taxonomy"))</f>
        <v>Facebook</v>
      </c>
      <c r="K118" s="3" t="str">
        <f aca="false">IF(ISNUMBER(SEARCH("Facebook",J118)),"3654128","Not Facebook")</f>
        <v>3654128</v>
      </c>
      <c r="L118" s="3" t="str">
        <f aca="false">IFERROR(VLOOKUP(OFFSET(Table22,117,21,1,1),OFFSET(Table2,0,1,ROWS(Table2),8),7,0),VLOOKUP(OFFSET(Table22,117,22,1,1),Table2,8,0))</f>
        <v>AzurePlatform_FBCTCBasicMotion_CAN_10s_ISV_PLAT_FR_Trial_Standard_STAN_TN_T1_1</v>
      </c>
      <c r="M118" s="2" t="n">
        <f aca="false">IFERROR(VLOOKUP(OFFSET(Table22,117,21,1,1),OFFSET(Table2,0,1,ROWS(Table2),8),8,0),VLOOKUP(OFFSET(Table22,117,22,1,1),Table2,9,0))</f>
        <v>103053323</v>
      </c>
      <c r="N118" s="15" t="s">
        <v>29</v>
      </c>
      <c r="O118" s="16" t="n">
        <v>43357</v>
      </c>
      <c r="P118" s="17" t="s">
        <v>64</v>
      </c>
      <c r="Q118" s="18" t="s">
        <v>65</v>
      </c>
      <c r="R118" s="17" t="s">
        <v>66</v>
      </c>
      <c r="S118" s="18" t="s">
        <v>45</v>
      </c>
      <c r="T118" s="17" t="s">
        <v>34</v>
      </c>
      <c r="U118" s="18" t="s">
        <v>39</v>
      </c>
      <c r="V118" s="19" t="n">
        <v>223691801</v>
      </c>
      <c r="W118" s="17" t="s">
        <v>79</v>
      </c>
      <c r="X118" s="17" t="n">
        <v>404</v>
      </c>
      <c r="Y118" s="17" t="n">
        <v>0</v>
      </c>
      <c r="Z118" s="17" t="n">
        <v>13.76</v>
      </c>
      <c r="AA118" s="17" t="s">
        <v>68</v>
      </c>
      <c r="AB118" s="17" t="n">
        <v>0</v>
      </c>
    </row>
    <row r="119" customFormat="false" ht="15" hidden="false" customHeight="false" outlineLevel="0" collapsed="false">
      <c r="A119" s="1" t="str">
        <f aca="false">OFFSET(Table22,118,14,1,1)&amp;OFFSET(Table22,118,21,1,1)</f>
        <v>43357223691828</v>
      </c>
      <c r="B119" s="1" t="str">
        <f aca="false">OFFSET(Table22,118,14,1,1)&amp;OFFSET(Table22,118,22,1,1)</f>
        <v>43357Facebook»AZR»1x1»SocialBan»NA»ALL»DYN»RT»D»All»SS»NA» Free Account Retargeting OSS - T1 - EN</v>
      </c>
      <c r="C119" s="1" t="s">
        <v>28</v>
      </c>
      <c r="D119" s="3" t="n">
        <f aca="false">O119+(7-WEEKDAY(O119))</f>
        <v>43358</v>
      </c>
      <c r="E119" s="1" t="str">
        <f aca="false">VLOOKUP(OFFSET(Table22,118,16,1,1),Key!B:D,2,0)</f>
        <v>Canada</v>
      </c>
      <c r="F119" s="1" t="str">
        <f aca="false">IF(ISNUMBER(SEARCH("Canvas",U119)),"Link",IF(ISNUMBER(SEARCH("Link",U119)),"Link","Not filled properly"))</f>
        <v>Link</v>
      </c>
      <c r="G119" s="1" t="str">
        <f aca="false">IFERROR(VLOOKUP(OFFSET(Table22,118,21,1,1),OFFSET(Table2,0,1,ROWS(Table2),8),2,0),VLOOKUP(OFFSET(Table22,118,22,1,1),Table2,3,0))</f>
        <v>CAN_gaPMG_AZR_AZR_Q1_19_Trial-Social</v>
      </c>
      <c r="H119" s="1" t="n">
        <f aca="false">IFERROR(VLOOKUP(OFFSET(Table22,118,21,1,1),OFFSET(Table2,0,1,ROWS(Table2),8),3,0),VLOOKUP(OFFSET(Table22,118,22,1,1),Table2,4,0))</f>
        <v>21337220</v>
      </c>
      <c r="I119" s="2" t="n">
        <f aca="false">IFERROR(VLOOKUP(OFFSET(Table22,118,21,1,1),OFFSET(Table2,0,1,ROWS(Table2),8),4,0),VLOOKUP(OFFSET(Table22,118,22,1,1),Table2,5,0))</f>
        <v>720192</v>
      </c>
      <c r="J119" s="3" t="str">
        <f aca="false">IF(ISNUMBER(SEARCH("FACEBOOK",W119)),"Facebook",IF(ISNUMBER(SEARCH("INSTAGRAM",W119)),"Facebook-Instagram","Look at taxonomy"))</f>
        <v>Facebook</v>
      </c>
      <c r="K119" s="3" t="str">
        <f aca="false">IF(ISNUMBER(SEARCH("Facebook",J119)),"3654128","Not Facebook")</f>
        <v>3654128</v>
      </c>
      <c r="L119" s="3" t="str">
        <f aca="false">IFERROR(VLOOKUP(OFFSET(Table22,118,21,1,1),OFFSET(Table2,0,1,ROWS(Table2),8),7,0),VLOOKUP(OFFSET(Table22,118,22,1,1),Table2,8,0))</f>
        <v>AzurePlatform_FreeAcctRetargetingOSSFB-Text-ChF_CAN_1200x628_SOC_Plat_EN_Free Account_Standard_NA_SU_T1_1</v>
      </c>
      <c r="M119" s="2" t="n">
        <f aca="false">IFERROR(VLOOKUP(OFFSET(Table22,118,21,1,1),OFFSET(Table2,0,1,ROWS(Table2),8),8,0),VLOOKUP(OFFSET(Table22,118,22,1,1),Table2,9,0))</f>
        <v>102902956</v>
      </c>
      <c r="N119" s="15" t="s">
        <v>29</v>
      </c>
      <c r="O119" s="16" t="n">
        <v>43357</v>
      </c>
      <c r="P119" s="17" t="s">
        <v>64</v>
      </c>
      <c r="Q119" s="18" t="s">
        <v>65</v>
      </c>
      <c r="R119" s="17" t="s">
        <v>66</v>
      </c>
      <c r="S119" s="18" t="s">
        <v>45</v>
      </c>
      <c r="T119" s="17" t="s">
        <v>34</v>
      </c>
      <c r="U119" s="18" t="s">
        <v>39</v>
      </c>
      <c r="V119" s="19" t="n">
        <v>223691828</v>
      </c>
      <c r="W119" s="17" t="s">
        <v>91</v>
      </c>
      <c r="X119" s="17" t="n">
        <v>286</v>
      </c>
      <c r="Y119" s="17" t="n">
        <v>0</v>
      </c>
      <c r="Z119" s="17" t="n">
        <v>5.46</v>
      </c>
      <c r="AA119" s="17" t="s">
        <v>68</v>
      </c>
      <c r="AB119" s="17" t="n">
        <v>0</v>
      </c>
    </row>
    <row r="120" customFormat="false" ht="15" hidden="false" customHeight="false" outlineLevel="0" collapsed="false">
      <c r="A120" s="1" t="str">
        <f aca="false">OFFSET(Table22,119,14,1,1)&amp;OFFSET(Table22,119,21,1,1)</f>
        <v>43357223691825</v>
      </c>
      <c r="B120" s="1" t="str">
        <f aca="false">OFFSET(Table22,119,14,1,1)&amp;OFFSET(Table22,119,22,1,1)</f>
        <v>43357Facebook»AZR»1x1»SocialBan»NA»ALL»DYN»RT»D»All»SS»NA»Free Account Retargeting VM - T1 - EN</v>
      </c>
      <c r="C120" s="1" t="s">
        <v>28</v>
      </c>
      <c r="D120" s="3" t="n">
        <f aca="false">O120+(7-WEEKDAY(O120))</f>
        <v>43358</v>
      </c>
      <c r="E120" s="1" t="str">
        <f aca="false">VLOOKUP(OFFSET(Table22,119,16,1,1),Key!B:D,2,0)</f>
        <v>Canada</v>
      </c>
      <c r="F120" s="1" t="str">
        <f aca="false">IF(ISNUMBER(SEARCH("Canvas",U120)),"Link",IF(ISNUMBER(SEARCH("Link",U120)),"Link","Not filled properly"))</f>
        <v>Link</v>
      </c>
      <c r="G120" s="1" t="str">
        <f aca="false">IFERROR(VLOOKUP(OFFSET(Table22,119,21,1,1),OFFSET(Table2,0,1,ROWS(Table2),8),2,0),VLOOKUP(OFFSET(Table22,119,22,1,1),Table2,3,0))</f>
        <v>CAN_gaPMG_AZR_AZR_Q1_19_Trial-Social</v>
      </c>
      <c r="H120" s="1" t="n">
        <f aca="false">IFERROR(VLOOKUP(OFFSET(Table22,119,21,1,1),OFFSET(Table2,0,1,ROWS(Table2),8),3,0),VLOOKUP(OFFSET(Table22,119,22,1,1),Table2,4,0))</f>
        <v>21337220</v>
      </c>
      <c r="I120" s="2" t="n">
        <f aca="false">IFERROR(VLOOKUP(OFFSET(Table22,119,21,1,1),OFFSET(Table2,0,1,ROWS(Table2),8),4,0),VLOOKUP(OFFSET(Table22,119,22,1,1),Table2,5,0))</f>
        <v>720192</v>
      </c>
      <c r="J120" s="3" t="str">
        <f aca="false">IF(ISNUMBER(SEARCH("FACEBOOK",W120)),"Facebook",IF(ISNUMBER(SEARCH("INSTAGRAM",W120)),"Facebook-Instagram","Look at taxonomy"))</f>
        <v>Facebook</v>
      </c>
      <c r="K120" s="3" t="str">
        <f aca="false">IF(ISNUMBER(SEARCH("Facebook",J120)),"3654128","Not Facebook")</f>
        <v>3654128</v>
      </c>
      <c r="L120" s="3" t="str">
        <f aca="false">IFERROR(VLOOKUP(OFFSET(Table22,119,21,1,1),OFFSET(Table2,0,1,ROWS(Table2),8),7,0),VLOOKUP(OFFSET(Table22,119,22,1,1),Table2,8,0))</f>
        <v>AzurePlatform_FreeAcctRetargetingVMFB-750Hrs-ChD_CAN_1200x628_SOC_Plat_EN_Free Account_Standard_NA_SU_T1_1</v>
      </c>
      <c r="M120" s="2" t="n">
        <f aca="false">IFERROR(VLOOKUP(OFFSET(Table22,119,21,1,1),OFFSET(Table2,0,1,ROWS(Table2),8),8,0),VLOOKUP(OFFSET(Table22,119,22,1,1),Table2,9,0))</f>
        <v>102916338</v>
      </c>
      <c r="N120" s="15" t="s">
        <v>29</v>
      </c>
      <c r="O120" s="16" t="n">
        <v>43357</v>
      </c>
      <c r="P120" s="17" t="s">
        <v>64</v>
      </c>
      <c r="Q120" s="18" t="s">
        <v>65</v>
      </c>
      <c r="R120" s="17" t="s">
        <v>66</v>
      </c>
      <c r="S120" s="18" t="s">
        <v>45</v>
      </c>
      <c r="T120" s="17" t="s">
        <v>34</v>
      </c>
      <c r="U120" s="18" t="s">
        <v>39</v>
      </c>
      <c r="V120" s="19" t="n">
        <v>223691825</v>
      </c>
      <c r="W120" s="17" t="s">
        <v>80</v>
      </c>
      <c r="X120" s="17" t="n">
        <v>3424</v>
      </c>
      <c r="Y120" s="17" t="n">
        <v>12</v>
      </c>
      <c r="Z120" s="17" t="n">
        <v>154.02</v>
      </c>
      <c r="AA120" s="17" t="s">
        <v>68</v>
      </c>
      <c r="AB120" s="17" t="n">
        <v>0</v>
      </c>
    </row>
    <row r="121" customFormat="false" ht="15" hidden="false" customHeight="false" outlineLevel="0" collapsed="false">
      <c r="A121" s="1" t="str">
        <f aca="false">OFFSET(Table22,120,14,1,1)&amp;OFFSET(Table22,120,21,1,1)</f>
        <v>43357223691786</v>
      </c>
      <c r="B121" s="1" t="str">
        <f aca="false">OFFSET(Table22,120,14,1,1)&amp;OFFSET(Table22,120,22,1,1)</f>
        <v>43357Facebook»AZR»1x1»SocialBan»NA»ALL»DYN»RT»D»All»SS»NA» Free Account Retargeting OSS - T1 - FR</v>
      </c>
      <c r="C121" s="1" t="s">
        <v>28</v>
      </c>
      <c r="D121" s="3" t="n">
        <f aca="false">O121+(7-WEEKDAY(O121))</f>
        <v>43358</v>
      </c>
      <c r="E121" s="1" t="str">
        <f aca="false">VLOOKUP(OFFSET(Table22,120,16,1,1),Key!B:D,2,0)</f>
        <v>Canada</v>
      </c>
      <c r="F121" s="1" t="str">
        <f aca="false">IF(ISNUMBER(SEARCH("Canvas",U121)),"Link",IF(ISNUMBER(SEARCH("Link",U121)),"Link","Not filled properly"))</f>
        <v>Link</v>
      </c>
      <c r="G121" s="1" t="str">
        <f aca="false">IFERROR(VLOOKUP(OFFSET(Table22,120,21,1,1),OFFSET(Table2,0,1,ROWS(Table2),8),2,0),VLOOKUP(OFFSET(Table22,120,22,1,1),Table2,3,0))</f>
        <v>CAN_gaPMG_AZR_AZR_Q1_19_Trial-Social</v>
      </c>
      <c r="H121" s="1" t="n">
        <f aca="false">IFERROR(VLOOKUP(OFFSET(Table22,120,21,1,1),OFFSET(Table2,0,1,ROWS(Table2),8),3,0),VLOOKUP(OFFSET(Table22,120,22,1,1),Table2,4,0))</f>
        <v>21337220</v>
      </c>
      <c r="I121" s="2" t="n">
        <f aca="false">IFERROR(VLOOKUP(OFFSET(Table22,120,21,1,1),OFFSET(Table2,0,1,ROWS(Table2),8),4,0),VLOOKUP(OFFSET(Table22,120,22,1,1),Table2,5,0))</f>
        <v>720192</v>
      </c>
      <c r="J121" s="3" t="str">
        <f aca="false">IF(ISNUMBER(SEARCH("FACEBOOK",W121)),"Facebook",IF(ISNUMBER(SEARCH("INSTAGRAM",W121)),"Facebook-Instagram","Look at taxonomy"))</f>
        <v>Facebook</v>
      </c>
      <c r="K121" s="3" t="str">
        <f aca="false">IF(ISNUMBER(SEARCH("Facebook",J121)),"3654128","Not Facebook")</f>
        <v>3654128</v>
      </c>
      <c r="L121" s="3" t="str">
        <f aca="false">IFERROR(VLOOKUP(OFFSET(Table22,120,21,1,1),OFFSET(Table2,0,1,ROWS(Table2),8),7,0),VLOOKUP(OFFSET(Table22,120,22,1,1),Table2,8,0))</f>
        <v>AzurePlatform_FreeAcctRetargetingOSSFB-Text-ChF_CAN_1200x628_SOC_Plat_FR_Free Account_Standard_NA_SU_T1_1</v>
      </c>
      <c r="M121" s="2" t="n">
        <f aca="false">IFERROR(VLOOKUP(OFFSET(Table22,120,21,1,1),OFFSET(Table2,0,1,ROWS(Table2),8),8,0),VLOOKUP(OFFSET(Table22,120,22,1,1),Table2,9,0))</f>
        <v>103058720</v>
      </c>
      <c r="N121" s="15" t="s">
        <v>29</v>
      </c>
      <c r="O121" s="16" t="n">
        <v>43357</v>
      </c>
      <c r="P121" s="17" t="s">
        <v>64</v>
      </c>
      <c r="Q121" s="18" t="s">
        <v>65</v>
      </c>
      <c r="R121" s="17" t="s">
        <v>66</v>
      </c>
      <c r="S121" s="18" t="s">
        <v>45</v>
      </c>
      <c r="T121" s="17" t="s">
        <v>34</v>
      </c>
      <c r="U121" s="18" t="s">
        <v>39</v>
      </c>
      <c r="V121" s="19" t="n">
        <v>223691786</v>
      </c>
      <c r="W121" s="17" t="s">
        <v>81</v>
      </c>
      <c r="X121" s="17" t="n">
        <v>165</v>
      </c>
      <c r="Y121" s="17" t="n">
        <v>0</v>
      </c>
      <c r="Z121" s="17" t="n">
        <v>4.13</v>
      </c>
      <c r="AA121" s="17" t="s">
        <v>68</v>
      </c>
      <c r="AB121" s="17" t="n">
        <v>0</v>
      </c>
    </row>
    <row r="122" customFormat="false" ht="15" hidden="false" customHeight="false" outlineLevel="0" collapsed="false">
      <c r="A122" s="1" t="str">
        <f aca="false">OFFSET(Table22,121,14,1,1)&amp;OFFSET(Table22,121,21,1,1)</f>
        <v>43357223691795</v>
      </c>
      <c r="B122" s="1" t="str">
        <f aca="false">OFFSET(Table22,121,14,1,1)&amp;OFFSET(Table22,121,22,1,1)</f>
        <v>43357Facebook»AZR»1x1»NA»EGV»ALL»DYN»AUT»D»All»SS»NA»Free Acc CTC - T4 - FR</v>
      </c>
      <c r="C122" s="1" t="s">
        <v>28</v>
      </c>
      <c r="D122" s="3" t="n">
        <f aca="false">O122+(7-WEEKDAY(O122))</f>
        <v>43358</v>
      </c>
      <c r="E122" s="1" t="str">
        <f aca="false">VLOOKUP(OFFSET(Table22,121,16,1,1),Key!B:D,2,0)</f>
        <v>Canada</v>
      </c>
      <c r="F122" s="1" t="str">
        <f aca="false">IF(ISNUMBER(SEARCH("Canvas",U122)),"Link",IF(ISNUMBER(SEARCH("Link",U122)),"Link","Not filled properly"))</f>
        <v>Link</v>
      </c>
      <c r="G122" s="1" t="str">
        <f aca="false">IFERROR(VLOOKUP(OFFSET(Table22,121,21,1,1),OFFSET(Table2,0,1,ROWS(Table2),8),2,0),VLOOKUP(OFFSET(Table22,121,22,1,1),Table2,3,0))</f>
        <v>CAN_gaPMG_AZR_AZR_Q1_19_Trial-Social</v>
      </c>
      <c r="H122" s="1" t="n">
        <f aca="false">IFERROR(VLOOKUP(OFFSET(Table22,121,21,1,1),OFFSET(Table2,0,1,ROWS(Table2),8),3,0),VLOOKUP(OFFSET(Table22,121,22,1,1),Table2,4,0))</f>
        <v>21337220</v>
      </c>
      <c r="I122" s="2" t="n">
        <f aca="false">IFERROR(VLOOKUP(OFFSET(Table22,121,21,1,1),OFFSET(Table2,0,1,ROWS(Table2),8),4,0),VLOOKUP(OFFSET(Table22,121,22,1,1),Table2,5,0))</f>
        <v>720192</v>
      </c>
      <c r="J122" s="3" t="str">
        <f aca="false">IF(ISNUMBER(SEARCH("FACEBOOK",W122)),"Facebook",IF(ISNUMBER(SEARCH("INSTAGRAM",W122)),"Facebook-Instagram","Look at taxonomy"))</f>
        <v>Facebook</v>
      </c>
      <c r="K122" s="3" t="str">
        <f aca="false">IF(ISNUMBER(SEARCH("Facebook",J122)),"3654128","Not Facebook")</f>
        <v>3654128</v>
      </c>
      <c r="L122" s="3" t="str">
        <f aca="false">IFERROR(VLOOKUP(OFFSET(Table22,121,21,1,1),OFFSET(Table2,0,1,ROWS(Table2),8),7,0),VLOOKUP(OFFSET(Table22,121,22,1,1),Table2,8,0))</f>
        <v>AzurePlatform_FBCTCBenefit2inMotion_CAN_14s_ISV_PLAT_FR_Trial_Standard_STAN_TN_T4_1</v>
      </c>
      <c r="M122" s="2" t="n">
        <f aca="false">IFERROR(VLOOKUP(OFFSET(Table22,121,21,1,1),OFFSET(Table2,0,1,ROWS(Table2),8),8,0),VLOOKUP(OFFSET(Table22,121,22,1,1),Table2,9,0))</f>
        <v>102900688</v>
      </c>
      <c r="N122" s="15" t="s">
        <v>29</v>
      </c>
      <c r="O122" s="16" t="n">
        <v>43357</v>
      </c>
      <c r="P122" s="17" t="s">
        <v>64</v>
      </c>
      <c r="Q122" s="18" t="s">
        <v>65</v>
      </c>
      <c r="R122" s="17" t="s">
        <v>66</v>
      </c>
      <c r="S122" s="18" t="s">
        <v>45</v>
      </c>
      <c r="T122" s="17" t="s">
        <v>34</v>
      </c>
      <c r="U122" s="18" t="s">
        <v>39</v>
      </c>
      <c r="V122" s="19" t="n">
        <v>223691795</v>
      </c>
      <c r="W122" s="17" t="s">
        <v>87</v>
      </c>
      <c r="X122" s="17" t="n">
        <v>2082</v>
      </c>
      <c r="Y122" s="17" t="n">
        <v>4</v>
      </c>
      <c r="Z122" s="17" t="n">
        <v>47.64</v>
      </c>
      <c r="AA122" s="17" t="s">
        <v>68</v>
      </c>
      <c r="AB122" s="17" t="n">
        <v>0</v>
      </c>
    </row>
    <row r="123" customFormat="false" ht="15" hidden="false" customHeight="false" outlineLevel="0" collapsed="false">
      <c r="A123" s="1" t="str">
        <f aca="false">OFFSET(Table22,122,14,1,1)&amp;OFFSET(Table22,122,21,1,1)</f>
        <v>43357227525720</v>
      </c>
      <c r="B123" s="1" t="str">
        <f aca="false">OFFSET(Table22,122,14,1,1)&amp;OFFSET(Table22,122,22,1,1)</f>
        <v>43357Facebook»AZR»1x1»NA»NA»ALL»DYN»AUT»D»All»SS»NA»Free Account Create to Convert FB - Canvas - Benefit - Start Free - EN</v>
      </c>
      <c r="C123" s="1" t="s">
        <v>28</v>
      </c>
      <c r="D123" s="3" t="n">
        <f aca="false">O123+(7-WEEKDAY(O123))</f>
        <v>43358</v>
      </c>
      <c r="E123" s="1" t="str">
        <f aca="false">VLOOKUP(OFFSET(Table22,122,16,1,1),Key!B:D,2,0)</f>
        <v>Canada</v>
      </c>
      <c r="F123" s="1" t="str">
        <f aca="false">IF(ISNUMBER(SEARCH("Canvas",U123)),"Link",IF(ISNUMBER(SEARCH("Link",U123)),"Link","Not filled properly"))</f>
        <v>Link</v>
      </c>
      <c r="G123" s="1" t="str">
        <f aca="false">IFERROR(VLOOKUP(OFFSET(Table22,122,21,1,1),OFFSET(Table2,0,1,ROWS(Table2),8),2,0),VLOOKUP(OFFSET(Table22,122,22,1,1),Table2,3,0))</f>
        <v>CAN_gaPMG_AZR_AZR_Q1_19_Trial-Social</v>
      </c>
      <c r="H123" s="1" t="n">
        <f aca="false">IFERROR(VLOOKUP(OFFSET(Table22,122,21,1,1),OFFSET(Table2,0,1,ROWS(Table2),8),3,0),VLOOKUP(OFFSET(Table22,122,22,1,1),Table2,4,0))</f>
        <v>21337220</v>
      </c>
      <c r="I123" s="2" t="n">
        <f aca="false">IFERROR(VLOOKUP(OFFSET(Table22,122,21,1,1),OFFSET(Table2,0,1,ROWS(Table2),8),4,0),VLOOKUP(OFFSET(Table22,122,22,1,1),Table2,5,0))</f>
        <v>720192</v>
      </c>
      <c r="J123" s="3" t="str">
        <f aca="false">IF(ISNUMBER(SEARCH("FACEBOOK",W123)),"Facebook",IF(ISNUMBER(SEARCH("INSTAGRAM",W123)),"Facebook-Instagram","Look at taxonomy"))</f>
        <v>Facebook</v>
      </c>
      <c r="K123" s="3" t="str">
        <f aca="false">IF(ISNUMBER(SEARCH("Facebook",J123)),"3654128","Not Facebook")</f>
        <v>3654128</v>
      </c>
      <c r="L123" s="3" t="str">
        <f aca="false">IFERROR(VLOOKUP(OFFSET(Table22,122,21,1,1),OFFSET(Table2,0,1,ROWS(Table2),8),7,0),VLOOKUP(OFFSET(Table22,122,22,1,1),Table2,8,0))</f>
        <v>AzurePlatform_FBCTCBenefit2inMotion_CAN_1080x1080_SOC_14s_ISV_English_Standard_NA_FTR_T4_1</v>
      </c>
      <c r="M123" s="2" t="n">
        <f aca="false">IFERROR(VLOOKUP(OFFSET(Table22,122,21,1,1),OFFSET(Table2,0,1,ROWS(Table2),8),8,0),VLOOKUP(OFFSET(Table22,122,22,1,1),Table2,9,0))</f>
        <v>105130125</v>
      </c>
      <c r="N123" s="15" t="s">
        <v>29</v>
      </c>
      <c r="O123" s="16" t="n">
        <v>43357</v>
      </c>
      <c r="P123" s="17" t="s">
        <v>64</v>
      </c>
      <c r="Q123" s="18" t="s">
        <v>65</v>
      </c>
      <c r="R123" s="17" t="s">
        <v>66</v>
      </c>
      <c r="S123" s="18" t="s">
        <v>45</v>
      </c>
      <c r="T123" s="17" t="s">
        <v>34</v>
      </c>
      <c r="U123" s="18" t="s">
        <v>39</v>
      </c>
      <c r="V123" s="19" t="n">
        <v>227525720</v>
      </c>
      <c r="W123" s="17" t="s">
        <v>85</v>
      </c>
      <c r="X123" s="17" t="n">
        <v>2413</v>
      </c>
      <c r="Y123" s="17" t="n">
        <v>4</v>
      </c>
      <c r="Z123" s="17" t="n">
        <v>31.88</v>
      </c>
      <c r="AA123" s="17" t="s">
        <v>68</v>
      </c>
      <c r="AB123" s="17" t="n">
        <v>0</v>
      </c>
    </row>
    <row r="124" customFormat="false" ht="15" hidden="false" customHeight="false" outlineLevel="0" collapsed="false">
      <c r="A124" s="1" t="str">
        <f aca="false">OFFSET(Table22,123,14,1,1)&amp;OFFSET(Table22,123,21,1,1)</f>
        <v>43357223691831</v>
      </c>
      <c r="B124" s="1" t="str">
        <f aca="false">OFFSET(Table22,123,14,1,1)&amp;OFFSET(Table22,123,22,1,1)</f>
        <v>43357Facebook»AZR»1x1»SocialBan»NA»ALL»DYN»RT»D»All»SS»NA» Free Account Retargeting OSS - T2 - EN</v>
      </c>
      <c r="C124" s="1" t="s">
        <v>28</v>
      </c>
      <c r="D124" s="3" t="n">
        <f aca="false">O124+(7-WEEKDAY(O124))</f>
        <v>43358</v>
      </c>
      <c r="E124" s="1" t="str">
        <f aca="false">VLOOKUP(OFFSET(Table22,123,16,1,1),Key!B:D,2,0)</f>
        <v>Canada</v>
      </c>
      <c r="F124" s="1" t="str">
        <f aca="false">IF(ISNUMBER(SEARCH("Canvas",U124)),"Link",IF(ISNUMBER(SEARCH("Link",U124)),"Link","Not filled properly"))</f>
        <v>Link</v>
      </c>
      <c r="G124" s="1" t="str">
        <f aca="false">IFERROR(VLOOKUP(OFFSET(Table22,123,21,1,1),OFFSET(Table2,0,1,ROWS(Table2),8),2,0),VLOOKUP(OFFSET(Table22,123,22,1,1),Table2,3,0))</f>
        <v>CAN_gaPMG_AZR_AZR_Q1_19_Trial-Social</v>
      </c>
      <c r="H124" s="1" t="n">
        <f aca="false">IFERROR(VLOOKUP(OFFSET(Table22,123,21,1,1),OFFSET(Table2,0,1,ROWS(Table2),8),3,0),VLOOKUP(OFFSET(Table22,123,22,1,1),Table2,4,0))</f>
        <v>21337220</v>
      </c>
      <c r="I124" s="2" t="n">
        <f aca="false">IFERROR(VLOOKUP(OFFSET(Table22,123,21,1,1),OFFSET(Table2,0,1,ROWS(Table2),8),4,0),VLOOKUP(OFFSET(Table22,123,22,1,1),Table2,5,0))</f>
        <v>720192</v>
      </c>
      <c r="J124" s="3" t="str">
        <f aca="false">IF(ISNUMBER(SEARCH("FACEBOOK",W124)),"Facebook",IF(ISNUMBER(SEARCH("INSTAGRAM",W124)),"Facebook-Instagram","Look at taxonomy"))</f>
        <v>Facebook</v>
      </c>
      <c r="K124" s="3" t="str">
        <f aca="false">IF(ISNUMBER(SEARCH("Facebook",J124)),"3654128","Not Facebook")</f>
        <v>3654128</v>
      </c>
      <c r="L124" s="3" t="str">
        <f aca="false">IFERROR(VLOOKUP(OFFSET(Table22,123,21,1,1),OFFSET(Table2,0,1,ROWS(Table2),8),7,0),VLOOKUP(OFFSET(Table22,123,22,1,1),Table2,8,0))</f>
        <v>AzurePlatform_FreeAcctRetargetingOSSFB-Logos-ChG_CAN_1200x628_SOC_Plat_EN_Free Account_Standard_NA_SU_T2_1</v>
      </c>
      <c r="M124" s="2" t="n">
        <f aca="false">IFERROR(VLOOKUP(OFFSET(Table22,123,21,1,1),OFFSET(Table2,0,1,ROWS(Table2),8),8,0),VLOOKUP(OFFSET(Table22,123,22,1,1),Table2,9,0))</f>
        <v>102913800</v>
      </c>
      <c r="N124" s="15" t="s">
        <v>29</v>
      </c>
      <c r="O124" s="16" t="n">
        <v>43357</v>
      </c>
      <c r="P124" s="17" t="s">
        <v>64</v>
      </c>
      <c r="Q124" s="18" t="s">
        <v>65</v>
      </c>
      <c r="R124" s="17" t="s">
        <v>66</v>
      </c>
      <c r="S124" s="18" t="s">
        <v>45</v>
      </c>
      <c r="T124" s="17" t="s">
        <v>34</v>
      </c>
      <c r="U124" s="18" t="s">
        <v>39</v>
      </c>
      <c r="V124" s="19" t="n">
        <v>223691831</v>
      </c>
      <c r="W124" s="17" t="s">
        <v>70</v>
      </c>
      <c r="X124" s="17" t="n">
        <v>5867</v>
      </c>
      <c r="Y124" s="17" t="n">
        <v>8</v>
      </c>
      <c r="Z124" s="17" t="n">
        <v>160.47</v>
      </c>
      <c r="AA124" s="17" t="s">
        <v>68</v>
      </c>
      <c r="AB124" s="17" t="n">
        <v>0</v>
      </c>
    </row>
    <row r="125" customFormat="false" ht="15" hidden="false" customHeight="false" outlineLevel="0" collapsed="false">
      <c r="A125" s="1" t="str">
        <f aca="false">OFFSET(Table22,124,14,1,1)&amp;OFFSET(Table22,124,21,1,1)</f>
        <v>43357223684451</v>
      </c>
      <c r="B125" s="1" t="str">
        <f aca="false">OFFSET(Table22,124,14,1,1)&amp;OFFSET(Table22,124,22,1,1)</f>
        <v>43357Facebook»AZR»1x1»NA»EGV»ALL»DYN»AUT»D»All»SS»NA»Free Acc CTC - T1 - EN</v>
      </c>
      <c r="C125" s="1" t="s">
        <v>28</v>
      </c>
      <c r="D125" s="3" t="n">
        <f aca="false">O125+(7-WEEKDAY(O125))</f>
        <v>43358</v>
      </c>
      <c r="E125" s="1" t="str">
        <f aca="false">VLOOKUP(OFFSET(Table22,124,16,1,1),Key!B:D,2,0)</f>
        <v>Canada</v>
      </c>
      <c r="F125" s="1" t="str">
        <f aca="false">IF(ISNUMBER(SEARCH("Canvas",U125)),"Link",IF(ISNUMBER(SEARCH("Link",U125)),"Link","Not filled properly"))</f>
        <v>Link</v>
      </c>
      <c r="G125" s="1" t="str">
        <f aca="false">IFERROR(VLOOKUP(OFFSET(Table22,124,21,1,1),OFFSET(Table2,0,1,ROWS(Table2),8),2,0),VLOOKUP(OFFSET(Table22,124,22,1,1),Table2,3,0))</f>
        <v>CAN_gaPMG_AZR_AZR_Q1_19_Trial-Social</v>
      </c>
      <c r="H125" s="1" t="n">
        <f aca="false">IFERROR(VLOOKUP(OFFSET(Table22,124,21,1,1),OFFSET(Table2,0,1,ROWS(Table2),8),3,0),VLOOKUP(OFFSET(Table22,124,22,1,1),Table2,4,0))</f>
        <v>21337220</v>
      </c>
      <c r="I125" s="2" t="n">
        <f aca="false">IFERROR(VLOOKUP(OFFSET(Table22,124,21,1,1),OFFSET(Table2,0,1,ROWS(Table2),8),4,0),VLOOKUP(OFFSET(Table22,124,22,1,1),Table2,5,0))</f>
        <v>720192</v>
      </c>
      <c r="J125" s="3" t="str">
        <f aca="false">IF(ISNUMBER(SEARCH("FACEBOOK",W125)),"Facebook",IF(ISNUMBER(SEARCH("INSTAGRAM",W125)),"Facebook-Instagram","Look at taxonomy"))</f>
        <v>Facebook</v>
      </c>
      <c r="K125" s="3" t="str">
        <f aca="false">IF(ISNUMBER(SEARCH("Facebook",J125)),"3654128","Not Facebook")</f>
        <v>3654128</v>
      </c>
      <c r="L125" s="3" t="str">
        <f aca="false">IFERROR(VLOOKUP(OFFSET(Table22,124,21,1,1),OFFSET(Table2,0,1,ROWS(Table2),8),7,0),VLOOKUP(OFFSET(Table22,124,22,1,1),Table2,8,0))</f>
        <v>AzurePlatform_FBCTCBasicMotion_CAN_10s_ISV_PLAT_English_Trial_Standard_STAN_TN_T1_1</v>
      </c>
      <c r="M125" s="2" t="n">
        <f aca="false">IFERROR(VLOOKUP(OFFSET(Table22,124,21,1,1),OFFSET(Table2,0,1,ROWS(Table2),8),8,0),VLOOKUP(OFFSET(Table22,124,22,1,1),Table2,9,0))</f>
        <v>102901882</v>
      </c>
      <c r="N125" s="15" t="s">
        <v>29</v>
      </c>
      <c r="O125" s="16" t="n">
        <v>43357</v>
      </c>
      <c r="P125" s="17" t="s">
        <v>64</v>
      </c>
      <c r="Q125" s="18" t="s">
        <v>65</v>
      </c>
      <c r="R125" s="17" t="s">
        <v>66</v>
      </c>
      <c r="S125" s="18" t="s">
        <v>45</v>
      </c>
      <c r="T125" s="17" t="s">
        <v>34</v>
      </c>
      <c r="U125" s="18" t="s">
        <v>39</v>
      </c>
      <c r="V125" s="19" t="n">
        <v>223684451</v>
      </c>
      <c r="W125" s="17" t="s">
        <v>84</v>
      </c>
      <c r="X125" s="17" t="n">
        <v>3479</v>
      </c>
      <c r="Y125" s="17" t="n">
        <v>3</v>
      </c>
      <c r="Z125" s="17" t="n">
        <v>63.93</v>
      </c>
      <c r="AA125" s="17" t="s">
        <v>68</v>
      </c>
      <c r="AB125" s="17" t="n">
        <v>0</v>
      </c>
    </row>
    <row r="126" customFormat="false" ht="15" hidden="false" customHeight="false" outlineLevel="0" collapsed="false">
      <c r="A126" s="1" t="str">
        <f aca="false">OFFSET(Table22,125,14,1,1)&amp;OFFSET(Table22,125,21,1,1)</f>
        <v>43357223691822</v>
      </c>
      <c r="B126" s="1" t="str">
        <f aca="false">OFFSET(Table22,125,14,1,1)&amp;OFFSET(Table22,125,22,1,1)</f>
        <v>43357Facebook»AZR»1x1»SocialBan»NA»ALL»DYN»RT»D»All»SS»NA»Free Account Retargeting VM - T2 - EN</v>
      </c>
      <c r="C126" s="1" t="s">
        <v>28</v>
      </c>
      <c r="D126" s="3" t="n">
        <f aca="false">O126+(7-WEEKDAY(O126))</f>
        <v>43358</v>
      </c>
      <c r="E126" s="1" t="str">
        <f aca="false">VLOOKUP(OFFSET(Table22,125,16,1,1),Key!B:D,2,0)</f>
        <v>Canada</v>
      </c>
      <c r="F126" s="1" t="str">
        <f aca="false">IF(ISNUMBER(SEARCH("Canvas",U126)),"Link",IF(ISNUMBER(SEARCH("Link",U126)),"Link","Not filled properly"))</f>
        <v>Link</v>
      </c>
      <c r="G126" s="1" t="str">
        <f aca="false">IFERROR(VLOOKUP(OFFSET(Table22,125,21,1,1),OFFSET(Table2,0,1,ROWS(Table2),8),2,0),VLOOKUP(OFFSET(Table22,125,22,1,1),Table2,3,0))</f>
        <v>CAN_gaPMG_AZR_AZR_Q1_19_Trial-Social</v>
      </c>
      <c r="H126" s="1" t="n">
        <f aca="false">IFERROR(VLOOKUP(OFFSET(Table22,125,21,1,1),OFFSET(Table2,0,1,ROWS(Table2),8),3,0),VLOOKUP(OFFSET(Table22,125,22,1,1),Table2,4,0))</f>
        <v>21337220</v>
      </c>
      <c r="I126" s="2" t="n">
        <f aca="false">IFERROR(VLOOKUP(OFFSET(Table22,125,21,1,1),OFFSET(Table2,0,1,ROWS(Table2),8),4,0),VLOOKUP(OFFSET(Table22,125,22,1,1),Table2,5,0))</f>
        <v>720192</v>
      </c>
      <c r="J126" s="3" t="str">
        <f aca="false">IF(ISNUMBER(SEARCH("FACEBOOK",W126)),"Facebook",IF(ISNUMBER(SEARCH("INSTAGRAM",W126)),"Facebook-Instagram","Look at taxonomy"))</f>
        <v>Facebook</v>
      </c>
      <c r="K126" s="3" t="str">
        <f aca="false">IF(ISNUMBER(SEARCH("Facebook",J126)),"3654128","Not Facebook")</f>
        <v>3654128</v>
      </c>
      <c r="L126" s="3" t="str">
        <f aca="false">IFERROR(VLOOKUP(OFFSET(Table22,125,21,1,1),OFFSET(Table2,0,1,ROWS(Table2),8),7,0),VLOOKUP(OFFSET(Table22,125,22,1,1),Table2,8,0))</f>
        <v>AzurePlatform_FreeAcctRetargetingVMFB-OnDemand-ChE_CAN_1200x628_SOC_Plat_EN_Free Account_Standard_NA_SU_T2_1</v>
      </c>
      <c r="M126" s="2" t="n">
        <f aca="false">IFERROR(VLOOKUP(OFFSET(Table22,125,21,1,1),OFFSET(Table2,0,1,ROWS(Table2),8),8,0),VLOOKUP(OFFSET(Table22,125,22,1,1),Table2,9,0))</f>
        <v>103058708</v>
      </c>
      <c r="N126" s="15" t="s">
        <v>29</v>
      </c>
      <c r="O126" s="16" t="n">
        <v>43357</v>
      </c>
      <c r="P126" s="17" t="s">
        <v>64</v>
      </c>
      <c r="Q126" s="18" t="s">
        <v>65</v>
      </c>
      <c r="R126" s="17" t="s">
        <v>66</v>
      </c>
      <c r="S126" s="18" t="s">
        <v>45</v>
      </c>
      <c r="T126" s="17" t="s">
        <v>34</v>
      </c>
      <c r="U126" s="18" t="s">
        <v>39</v>
      </c>
      <c r="V126" s="19" t="n">
        <v>223691822</v>
      </c>
      <c r="W126" s="17" t="s">
        <v>89</v>
      </c>
      <c r="X126" s="17" t="n">
        <v>1137</v>
      </c>
      <c r="Y126" s="17" t="n">
        <v>3</v>
      </c>
      <c r="Z126" s="17" t="n">
        <v>32.29</v>
      </c>
      <c r="AA126" s="17" t="s">
        <v>68</v>
      </c>
      <c r="AB126" s="17" t="n">
        <v>0</v>
      </c>
    </row>
    <row r="127" customFormat="false" ht="15" hidden="false" customHeight="false" outlineLevel="0" collapsed="false">
      <c r="A127" s="1" t="str">
        <f aca="false">OFFSET(Table22,126,14,1,1)&amp;OFFSET(Table22,126,21,1,1)</f>
        <v>43356223691834</v>
      </c>
      <c r="B127" s="1" t="str">
        <f aca="false">OFFSET(Table22,126,14,1,1)&amp;OFFSET(Table22,126,22,1,1)</f>
        <v>43356Facebook»AZR»1x1»SocialBan»NA»ALL»DYN»RT»D»All»SS»NA»Free Account Retargeting Generic - T2 - EN</v>
      </c>
      <c r="C127" s="1" t="s">
        <v>28</v>
      </c>
      <c r="D127" s="3" t="n">
        <f aca="false">O127+(7-WEEKDAY(O127))</f>
        <v>43358</v>
      </c>
      <c r="E127" s="1" t="str">
        <f aca="false">VLOOKUP(OFFSET(Table22,126,16,1,1),Key!B:D,2,0)</f>
        <v>Canada</v>
      </c>
      <c r="F127" s="1" t="str">
        <f aca="false">IF(ISNUMBER(SEARCH("Canvas",U127)),"Link",IF(ISNUMBER(SEARCH("Link",U127)),"Link","Not filled properly"))</f>
        <v>Link</v>
      </c>
      <c r="G127" s="1" t="str">
        <f aca="false">IFERROR(VLOOKUP(OFFSET(Table22,126,21,1,1),OFFSET(Table2,0,1,ROWS(Table2),8),2,0),VLOOKUP(OFFSET(Table22,126,22,1,1),Table2,3,0))</f>
        <v>CAN_gaPMG_AZR_AZR_Q1_19_Trial-Social</v>
      </c>
      <c r="H127" s="1" t="n">
        <f aca="false">IFERROR(VLOOKUP(OFFSET(Table22,126,21,1,1),OFFSET(Table2,0,1,ROWS(Table2),8),3,0),VLOOKUP(OFFSET(Table22,126,22,1,1),Table2,4,0))</f>
        <v>21337220</v>
      </c>
      <c r="I127" s="2" t="n">
        <f aca="false">IFERROR(VLOOKUP(OFFSET(Table22,126,21,1,1),OFFSET(Table2,0,1,ROWS(Table2),8),4,0),VLOOKUP(OFFSET(Table22,126,22,1,1),Table2,5,0))</f>
        <v>720192</v>
      </c>
      <c r="J127" s="3" t="str">
        <f aca="false">IF(ISNUMBER(SEARCH("FACEBOOK",W127)),"Facebook",IF(ISNUMBER(SEARCH("INSTAGRAM",W127)),"Facebook-Instagram","Look at taxonomy"))</f>
        <v>Facebook</v>
      </c>
      <c r="K127" s="3" t="str">
        <f aca="false">IF(ISNUMBER(SEARCH("Facebook",J127)),"3654128","Not Facebook")</f>
        <v>3654128</v>
      </c>
      <c r="L127" s="3" t="str">
        <f aca="false">IFERROR(VLOOKUP(OFFSET(Table22,126,21,1,1),OFFSET(Table2,0,1,ROWS(Table2),8),7,0),VLOOKUP(OFFSET(Table22,126,22,1,1),Table2,8,0))</f>
        <v>AzurePlatform_FreeAcctRetargetingFB-GlobalAlt-ChB_CAN_1200x628_SOC_Plat_EN_Free Account_Standard_NA_SU_T2_1</v>
      </c>
      <c r="M127" s="2" t="n">
        <f aca="false">IFERROR(VLOOKUP(OFFSET(Table22,126,21,1,1),OFFSET(Table2,0,1,ROWS(Table2),8),8,0),VLOOKUP(OFFSET(Table22,126,22,1,1),Table2,9,0))</f>
        <v>102902953</v>
      </c>
      <c r="N127" s="15" t="s">
        <v>29</v>
      </c>
      <c r="O127" s="16" t="n">
        <v>43356</v>
      </c>
      <c r="P127" s="17" t="s">
        <v>64</v>
      </c>
      <c r="Q127" s="18" t="s">
        <v>65</v>
      </c>
      <c r="R127" s="17" t="s">
        <v>66</v>
      </c>
      <c r="S127" s="18" t="s">
        <v>45</v>
      </c>
      <c r="T127" s="17" t="s">
        <v>34</v>
      </c>
      <c r="U127" s="18" t="s">
        <v>39</v>
      </c>
      <c r="V127" s="19" t="n">
        <v>223691834</v>
      </c>
      <c r="W127" s="17" t="s">
        <v>88</v>
      </c>
      <c r="X127" s="17" t="n">
        <v>386</v>
      </c>
      <c r="Y127" s="17" t="n">
        <v>1</v>
      </c>
      <c r="Z127" s="17" t="n">
        <v>13.97</v>
      </c>
      <c r="AA127" s="17" t="s">
        <v>68</v>
      </c>
      <c r="AB127" s="17" t="n">
        <v>0</v>
      </c>
    </row>
    <row r="128" customFormat="false" ht="15" hidden="false" customHeight="false" outlineLevel="0" collapsed="false">
      <c r="A128" s="1" t="str">
        <f aca="false">OFFSET(Table22,127,14,1,1)&amp;OFFSET(Table22,127,21,1,1)</f>
        <v>43356223691840</v>
      </c>
      <c r="B128" s="1" t="str">
        <f aca="false">OFFSET(Table22,127,14,1,1)&amp;OFFSET(Table22,127,22,1,1)</f>
        <v>43356Facebook»AZR»1x1»NA»EGV»ALL»DYN»AUT»D»All»SS»NA»Free Acc CTC - T2 - EN</v>
      </c>
      <c r="C128" s="1" t="s">
        <v>28</v>
      </c>
      <c r="D128" s="3" t="n">
        <f aca="false">O128+(7-WEEKDAY(O128))</f>
        <v>43358</v>
      </c>
      <c r="E128" s="1" t="str">
        <f aca="false">VLOOKUP(OFFSET(Table22,127,16,1,1),Key!B:D,2,0)</f>
        <v>Canada</v>
      </c>
      <c r="F128" s="1" t="str">
        <f aca="false">IF(ISNUMBER(SEARCH("Canvas",U128)),"Link",IF(ISNUMBER(SEARCH("Link",U128)),"Link","Not filled properly"))</f>
        <v>Link</v>
      </c>
      <c r="G128" s="1" t="str">
        <f aca="false">IFERROR(VLOOKUP(OFFSET(Table22,127,21,1,1),OFFSET(Table2,0,1,ROWS(Table2),8),2,0),VLOOKUP(OFFSET(Table22,127,22,1,1),Table2,3,0))</f>
        <v>CAN_gaPMG_AZR_AZR_Q1_19_Trial-Social</v>
      </c>
      <c r="H128" s="1" t="n">
        <f aca="false">IFERROR(VLOOKUP(OFFSET(Table22,127,21,1,1),OFFSET(Table2,0,1,ROWS(Table2),8),3,0),VLOOKUP(OFFSET(Table22,127,22,1,1),Table2,4,0))</f>
        <v>21337220</v>
      </c>
      <c r="I128" s="2" t="n">
        <f aca="false">IFERROR(VLOOKUP(OFFSET(Table22,127,21,1,1),OFFSET(Table2,0,1,ROWS(Table2),8),4,0),VLOOKUP(OFFSET(Table22,127,22,1,1),Table2,5,0))</f>
        <v>720192</v>
      </c>
      <c r="J128" s="3" t="str">
        <f aca="false">IF(ISNUMBER(SEARCH("FACEBOOK",W128)),"Facebook",IF(ISNUMBER(SEARCH("INSTAGRAM",W128)),"Facebook-Instagram","Look at taxonomy"))</f>
        <v>Facebook</v>
      </c>
      <c r="K128" s="3" t="str">
        <f aca="false">IF(ISNUMBER(SEARCH("Facebook",J128)),"3654128","Not Facebook")</f>
        <v>3654128</v>
      </c>
      <c r="L128" s="3" t="str">
        <f aca="false">IFERROR(VLOOKUP(OFFSET(Table22,127,21,1,1),OFFSET(Table2,0,1,ROWS(Table2),8),7,0),VLOOKUP(OFFSET(Table22,127,22,1,1),Table2,8,0))</f>
        <v>AzurePlatform_FBCTCBrandinMotion_CAN_12s_ISV_PLAT_English_Trial_Standard_STAN_TN_T2_1</v>
      </c>
      <c r="M128" s="2" t="n">
        <f aca="false">IFERROR(VLOOKUP(OFFSET(Table22,127,21,1,1),OFFSET(Table2,0,1,ROWS(Table2),8),8,0),VLOOKUP(OFFSET(Table22,127,22,1,1),Table2,9,0))</f>
        <v>102902950</v>
      </c>
      <c r="N128" s="15" t="s">
        <v>29</v>
      </c>
      <c r="O128" s="16" t="n">
        <v>43356</v>
      </c>
      <c r="P128" s="17" t="s">
        <v>64</v>
      </c>
      <c r="Q128" s="18" t="s">
        <v>65</v>
      </c>
      <c r="R128" s="17" t="s">
        <v>66</v>
      </c>
      <c r="S128" s="18" t="s">
        <v>45</v>
      </c>
      <c r="T128" s="17" t="s">
        <v>34</v>
      </c>
      <c r="U128" s="18" t="s">
        <v>39</v>
      </c>
      <c r="V128" s="19" t="n">
        <v>223691840</v>
      </c>
      <c r="W128" s="17" t="s">
        <v>77</v>
      </c>
      <c r="X128" s="17" t="n">
        <v>946</v>
      </c>
      <c r="Y128" s="17" t="n">
        <v>2</v>
      </c>
      <c r="Z128" s="17" t="n">
        <v>18.26</v>
      </c>
      <c r="AA128" s="17" t="s">
        <v>68</v>
      </c>
      <c r="AB128" s="17" t="n">
        <v>0</v>
      </c>
    </row>
    <row r="129" customFormat="false" ht="15" hidden="false" customHeight="false" outlineLevel="0" collapsed="false">
      <c r="A129" s="1" t="str">
        <f aca="false">OFFSET(Table22,128,14,1,1)&amp;OFFSET(Table22,128,21,1,1)</f>
        <v>43356223691786</v>
      </c>
      <c r="B129" s="1" t="str">
        <f aca="false">OFFSET(Table22,128,14,1,1)&amp;OFFSET(Table22,128,22,1,1)</f>
        <v>43356Facebook»AZR»1x1»SocialBan»NA»ALL»DYN»RT»D»All»SS»NA» Free Account Retargeting OSS - T1 - FR</v>
      </c>
      <c r="C129" s="1" t="s">
        <v>28</v>
      </c>
      <c r="D129" s="3" t="n">
        <f aca="false">O129+(7-WEEKDAY(O129))</f>
        <v>43358</v>
      </c>
      <c r="E129" s="1" t="str">
        <f aca="false">VLOOKUP(OFFSET(Table22,128,16,1,1),Key!B:D,2,0)</f>
        <v>Canada</v>
      </c>
      <c r="F129" s="1" t="str">
        <f aca="false">IF(ISNUMBER(SEARCH("Canvas",U129)),"Link",IF(ISNUMBER(SEARCH("Link",U129)),"Link","Not filled properly"))</f>
        <v>Link</v>
      </c>
      <c r="G129" s="1" t="str">
        <f aca="false">IFERROR(VLOOKUP(OFFSET(Table22,128,21,1,1),OFFSET(Table2,0,1,ROWS(Table2),8),2,0),VLOOKUP(OFFSET(Table22,128,22,1,1),Table2,3,0))</f>
        <v>CAN_gaPMG_AZR_AZR_Q1_19_Trial-Social</v>
      </c>
      <c r="H129" s="1" t="n">
        <f aca="false">IFERROR(VLOOKUP(OFFSET(Table22,128,21,1,1),OFFSET(Table2,0,1,ROWS(Table2),8),3,0),VLOOKUP(OFFSET(Table22,128,22,1,1),Table2,4,0))</f>
        <v>21337220</v>
      </c>
      <c r="I129" s="2" t="n">
        <f aca="false">IFERROR(VLOOKUP(OFFSET(Table22,128,21,1,1),OFFSET(Table2,0,1,ROWS(Table2),8),4,0),VLOOKUP(OFFSET(Table22,128,22,1,1),Table2,5,0))</f>
        <v>720192</v>
      </c>
      <c r="J129" s="3" t="str">
        <f aca="false">IF(ISNUMBER(SEARCH("FACEBOOK",W129)),"Facebook",IF(ISNUMBER(SEARCH("INSTAGRAM",W129)),"Facebook-Instagram","Look at taxonomy"))</f>
        <v>Facebook</v>
      </c>
      <c r="K129" s="3" t="str">
        <f aca="false">IF(ISNUMBER(SEARCH("Facebook",J129)),"3654128","Not Facebook")</f>
        <v>3654128</v>
      </c>
      <c r="L129" s="3" t="str">
        <f aca="false">IFERROR(VLOOKUP(OFFSET(Table22,128,21,1,1),OFFSET(Table2,0,1,ROWS(Table2),8),7,0),VLOOKUP(OFFSET(Table22,128,22,1,1),Table2,8,0))</f>
        <v>AzurePlatform_FreeAcctRetargetingOSSFB-Text-ChF_CAN_1200x628_SOC_Plat_FR_Free Account_Standard_NA_SU_T1_1</v>
      </c>
      <c r="M129" s="2" t="n">
        <f aca="false">IFERROR(VLOOKUP(OFFSET(Table22,128,21,1,1),OFFSET(Table2,0,1,ROWS(Table2),8),8,0),VLOOKUP(OFFSET(Table22,128,22,1,1),Table2,9,0))</f>
        <v>103058720</v>
      </c>
      <c r="N129" s="15" t="s">
        <v>29</v>
      </c>
      <c r="O129" s="16" t="n">
        <v>43356</v>
      </c>
      <c r="P129" s="17" t="s">
        <v>64</v>
      </c>
      <c r="Q129" s="18" t="s">
        <v>65</v>
      </c>
      <c r="R129" s="17" t="s">
        <v>66</v>
      </c>
      <c r="S129" s="18" t="s">
        <v>45</v>
      </c>
      <c r="T129" s="17" t="s">
        <v>34</v>
      </c>
      <c r="U129" s="18" t="s">
        <v>39</v>
      </c>
      <c r="V129" s="19" t="n">
        <v>223691786</v>
      </c>
      <c r="W129" s="17" t="s">
        <v>81</v>
      </c>
      <c r="X129" s="17" t="n">
        <v>586</v>
      </c>
      <c r="Y129" s="17" t="n">
        <v>2</v>
      </c>
      <c r="Z129" s="17" t="n">
        <v>14.17</v>
      </c>
      <c r="AA129" s="17" t="s">
        <v>68</v>
      </c>
      <c r="AB129" s="17" t="n">
        <v>0</v>
      </c>
    </row>
    <row r="130" customFormat="false" ht="15" hidden="false" customHeight="false" outlineLevel="0" collapsed="false">
      <c r="A130" s="1" t="str">
        <f aca="false">OFFSET(Table22,129,14,1,1)&amp;OFFSET(Table22,129,21,1,1)</f>
        <v>43356223691828</v>
      </c>
      <c r="B130" s="1" t="str">
        <f aca="false">OFFSET(Table22,129,14,1,1)&amp;OFFSET(Table22,129,22,1,1)</f>
        <v>43356Facebook»AZR»1x1»SocialBan»NA»ALL»DYN»RT»D»All»SS»NA» Free Account Retargeting OSS - T1 - EN</v>
      </c>
      <c r="C130" s="1" t="s">
        <v>28</v>
      </c>
      <c r="D130" s="3" t="n">
        <f aca="false">O130+(7-WEEKDAY(O130))</f>
        <v>43358</v>
      </c>
      <c r="E130" s="1" t="str">
        <f aca="false">VLOOKUP(OFFSET(Table22,129,16,1,1),Key!B:D,2,0)</f>
        <v>Canada</v>
      </c>
      <c r="F130" s="1" t="str">
        <f aca="false">IF(ISNUMBER(SEARCH("Canvas",U130)),"Link",IF(ISNUMBER(SEARCH("Link",U130)),"Link","Not filled properly"))</f>
        <v>Link</v>
      </c>
      <c r="G130" s="1" t="str">
        <f aca="false">IFERROR(VLOOKUP(OFFSET(Table22,129,21,1,1),OFFSET(Table2,0,1,ROWS(Table2),8),2,0),VLOOKUP(OFFSET(Table22,129,22,1,1),Table2,3,0))</f>
        <v>CAN_gaPMG_AZR_AZR_Q1_19_Trial-Social</v>
      </c>
      <c r="H130" s="1" t="n">
        <f aca="false">IFERROR(VLOOKUP(OFFSET(Table22,129,21,1,1),OFFSET(Table2,0,1,ROWS(Table2),8),3,0),VLOOKUP(OFFSET(Table22,129,22,1,1),Table2,4,0))</f>
        <v>21337220</v>
      </c>
      <c r="I130" s="2" t="n">
        <f aca="false">IFERROR(VLOOKUP(OFFSET(Table22,129,21,1,1),OFFSET(Table2,0,1,ROWS(Table2),8),4,0),VLOOKUP(OFFSET(Table22,129,22,1,1),Table2,5,0))</f>
        <v>720192</v>
      </c>
      <c r="J130" s="3" t="str">
        <f aca="false">IF(ISNUMBER(SEARCH("FACEBOOK",W130)),"Facebook",IF(ISNUMBER(SEARCH("INSTAGRAM",W130)),"Facebook-Instagram","Look at taxonomy"))</f>
        <v>Facebook</v>
      </c>
      <c r="K130" s="3" t="str">
        <f aca="false">IF(ISNUMBER(SEARCH("Facebook",J130)),"3654128","Not Facebook")</f>
        <v>3654128</v>
      </c>
      <c r="L130" s="3" t="str">
        <f aca="false">IFERROR(VLOOKUP(OFFSET(Table22,129,21,1,1),OFFSET(Table2,0,1,ROWS(Table2),8),7,0),VLOOKUP(OFFSET(Table22,129,22,1,1),Table2,8,0))</f>
        <v>AzurePlatform_FreeAcctRetargetingOSSFB-Text-ChF_CAN_1200x628_SOC_Plat_EN_Free Account_Standard_NA_SU_T1_1</v>
      </c>
      <c r="M130" s="2" t="n">
        <f aca="false">IFERROR(VLOOKUP(OFFSET(Table22,129,21,1,1),OFFSET(Table2,0,1,ROWS(Table2),8),8,0),VLOOKUP(OFFSET(Table22,129,22,1,1),Table2,9,0))</f>
        <v>102902956</v>
      </c>
      <c r="N130" s="15" t="s">
        <v>29</v>
      </c>
      <c r="O130" s="16" t="n">
        <v>43356</v>
      </c>
      <c r="P130" s="17" t="s">
        <v>64</v>
      </c>
      <c r="Q130" s="18" t="s">
        <v>65</v>
      </c>
      <c r="R130" s="17" t="s">
        <v>66</v>
      </c>
      <c r="S130" s="18" t="s">
        <v>45</v>
      </c>
      <c r="T130" s="17" t="s">
        <v>34</v>
      </c>
      <c r="U130" s="18" t="s">
        <v>39</v>
      </c>
      <c r="V130" s="19" t="n">
        <v>223691828</v>
      </c>
      <c r="W130" s="17" t="s">
        <v>91</v>
      </c>
      <c r="X130" s="17" t="n">
        <v>106</v>
      </c>
      <c r="Y130" s="17" t="n">
        <v>0</v>
      </c>
      <c r="Z130" s="17" t="n">
        <v>2.19</v>
      </c>
      <c r="AA130" s="17" t="s">
        <v>68</v>
      </c>
      <c r="AB130" s="17" t="n">
        <v>0</v>
      </c>
    </row>
    <row r="131" customFormat="false" ht="15" hidden="false" customHeight="false" outlineLevel="0" collapsed="false">
      <c r="A131" s="1" t="str">
        <f aca="false">OFFSET(Table22,130,14,1,1)&amp;OFFSET(Table22,130,21,1,1)</f>
        <v>43356223691801</v>
      </c>
      <c r="B131" s="1" t="str">
        <f aca="false">OFFSET(Table22,130,14,1,1)&amp;OFFSET(Table22,130,22,1,1)</f>
        <v>43356Facebook»AZR»1x1»NA»EGV»ALL»DYN»AUT»D»All»SS»NA»Free Acc CTC - T1 - FR</v>
      </c>
      <c r="C131" s="1" t="s">
        <v>28</v>
      </c>
      <c r="D131" s="3" t="n">
        <f aca="false">O131+(7-WEEKDAY(O131))</f>
        <v>43358</v>
      </c>
      <c r="E131" s="1" t="str">
        <f aca="false">VLOOKUP(OFFSET(Table22,130,16,1,1),Key!B:D,2,0)</f>
        <v>Canada</v>
      </c>
      <c r="F131" s="1" t="str">
        <f aca="false">IF(ISNUMBER(SEARCH("Canvas",U131)),"Link",IF(ISNUMBER(SEARCH("Link",U131)),"Link","Not filled properly"))</f>
        <v>Link</v>
      </c>
      <c r="G131" s="1" t="str">
        <f aca="false">IFERROR(VLOOKUP(OFFSET(Table22,130,21,1,1),OFFSET(Table2,0,1,ROWS(Table2),8),2,0),VLOOKUP(OFFSET(Table22,130,22,1,1),Table2,3,0))</f>
        <v>CAN_gaPMG_AZR_AZR_Q1_19_Trial-Social</v>
      </c>
      <c r="H131" s="1" t="n">
        <f aca="false">IFERROR(VLOOKUP(OFFSET(Table22,130,21,1,1),OFFSET(Table2,0,1,ROWS(Table2),8),3,0),VLOOKUP(OFFSET(Table22,130,22,1,1),Table2,4,0))</f>
        <v>21337220</v>
      </c>
      <c r="I131" s="2" t="n">
        <f aca="false">IFERROR(VLOOKUP(OFFSET(Table22,130,21,1,1),OFFSET(Table2,0,1,ROWS(Table2),8),4,0),VLOOKUP(OFFSET(Table22,130,22,1,1),Table2,5,0))</f>
        <v>720192</v>
      </c>
      <c r="J131" s="3" t="str">
        <f aca="false">IF(ISNUMBER(SEARCH("FACEBOOK",W131)),"Facebook",IF(ISNUMBER(SEARCH("INSTAGRAM",W131)),"Facebook-Instagram","Look at taxonomy"))</f>
        <v>Facebook</v>
      </c>
      <c r="K131" s="3" t="str">
        <f aca="false">IF(ISNUMBER(SEARCH("Facebook",J131)),"3654128","Not Facebook")</f>
        <v>3654128</v>
      </c>
      <c r="L131" s="3" t="str">
        <f aca="false">IFERROR(VLOOKUP(OFFSET(Table22,130,21,1,1),OFFSET(Table2,0,1,ROWS(Table2),8),7,0),VLOOKUP(OFFSET(Table22,130,22,1,1),Table2,8,0))</f>
        <v>AzurePlatform_FBCTCBasicMotion_CAN_10s_ISV_PLAT_FR_Trial_Standard_STAN_TN_T1_1</v>
      </c>
      <c r="M131" s="2" t="n">
        <f aca="false">IFERROR(VLOOKUP(OFFSET(Table22,130,21,1,1),OFFSET(Table2,0,1,ROWS(Table2),8),8,0),VLOOKUP(OFFSET(Table22,130,22,1,1),Table2,9,0))</f>
        <v>103053323</v>
      </c>
      <c r="N131" s="15" t="s">
        <v>29</v>
      </c>
      <c r="O131" s="16" t="n">
        <v>43356</v>
      </c>
      <c r="P131" s="17" t="s">
        <v>64</v>
      </c>
      <c r="Q131" s="18" t="s">
        <v>65</v>
      </c>
      <c r="R131" s="17" t="s">
        <v>66</v>
      </c>
      <c r="S131" s="18" t="s">
        <v>45</v>
      </c>
      <c r="T131" s="17" t="s">
        <v>34</v>
      </c>
      <c r="U131" s="18" t="s">
        <v>39</v>
      </c>
      <c r="V131" s="19" t="n">
        <v>223691801</v>
      </c>
      <c r="W131" s="17" t="s">
        <v>79</v>
      </c>
      <c r="X131" s="17" t="n">
        <v>144</v>
      </c>
      <c r="Y131" s="17" t="n">
        <v>0</v>
      </c>
      <c r="Z131" s="17" t="n">
        <v>2.99</v>
      </c>
      <c r="AA131" s="17" t="s">
        <v>68</v>
      </c>
      <c r="AB131" s="17" t="n">
        <v>0</v>
      </c>
    </row>
    <row r="132" customFormat="false" ht="15" hidden="false" customHeight="false" outlineLevel="0" collapsed="false">
      <c r="A132" s="1" t="str">
        <f aca="false">OFFSET(Table22,131,14,1,1)&amp;OFFSET(Table22,131,21,1,1)</f>
        <v>43356223691798</v>
      </c>
      <c r="B132" s="1" t="str">
        <f aca="false">OFFSET(Table22,131,14,1,1)&amp;OFFSET(Table22,131,22,1,1)</f>
        <v>43356Facebook»AZR»1x1»NA»EGV»ALL»DYN»AUT»D»All»SS»NA»Free Acc CTC - T2 - FR</v>
      </c>
      <c r="C132" s="1" t="s">
        <v>28</v>
      </c>
      <c r="D132" s="3" t="n">
        <f aca="false">O132+(7-WEEKDAY(O132))</f>
        <v>43358</v>
      </c>
      <c r="E132" s="1" t="str">
        <f aca="false">VLOOKUP(OFFSET(Table22,131,16,1,1),Key!B:D,2,0)</f>
        <v>Canada</v>
      </c>
      <c r="F132" s="1" t="str">
        <f aca="false">IF(ISNUMBER(SEARCH("Canvas",U132)),"Link",IF(ISNUMBER(SEARCH("Link",U132)),"Link","Not filled properly"))</f>
        <v>Link</v>
      </c>
      <c r="G132" s="1" t="str">
        <f aca="false">IFERROR(VLOOKUP(OFFSET(Table22,131,21,1,1),OFFSET(Table2,0,1,ROWS(Table2),8),2,0),VLOOKUP(OFFSET(Table22,131,22,1,1),Table2,3,0))</f>
        <v>CAN_gaPMG_AZR_AZR_Q1_19_Trial-Social</v>
      </c>
      <c r="H132" s="1" t="n">
        <f aca="false">IFERROR(VLOOKUP(OFFSET(Table22,131,21,1,1),OFFSET(Table2,0,1,ROWS(Table2),8),3,0),VLOOKUP(OFFSET(Table22,131,22,1,1),Table2,4,0))</f>
        <v>21337220</v>
      </c>
      <c r="I132" s="2" t="n">
        <f aca="false">IFERROR(VLOOKUP(OFFSET(Table22,131,21,1,1),OFFSET(Table2,0,1,ROWS(Table2),8),4,0),VLOOKUP(OFFSET(Table22,131,22,1,1),Table2,5,0))</f>
        <v>720192</v>
      </c>
      <c r="J132" s="3" t="str">
        <f aca="false">IF(ISNUMBER(SEARCH("FACEBOOK",W132)),"Facebook",IF(ISNUMBER(SEARCH("INSTAGRAM",W132)),"Facebook-Instagram","Look at taxonomy"))</f>
        <v>Facebook</v>
      </c>
      <c r="K132" s="3" t="str">
        <f aca="false">IF(ISNUMBER(SEARCH("Facebook",J132)),"3654128","Not Facebook")</f>
        <v>3654128</v>
      </c>
      <c r="L132" s="3" t="str">
        <f aca="false">IFERROR(VLOOKUP(OFFSET(Table22,131,21,1,1),OFFSET(Table2,0,1,ROWS(Table2),8),7,0),VLOOKUP(OFFSET(Table22,131,22,1,1),Table2,8,0))</f>
        <v>AzurePlatform_FBCTCBrandinMotion_CAN_12s_ISV_PLAT_FR_Trial_Standard_STAN_TN_T2_1</v>
      </c>
      <c r="M132" s="2" t="n">
        <f aca="false">IFERROR(VLOOKUP(OFFSET(Table22,131,21,1,1),OFFSET(Table2,0,1,ROWS(Table2),8),8,0),VLOOKUP(OFFSET(Table22,131,22,1,1),Table2,9,0))</f>
        <v>102916347</v>
      </c>
      <c r="N132" s="15" t="s">
        <v>29</v>
      </c>
      <c r="O132" s="16" t="n">
        <v>43356</v>
      </c>
      <c r="P132" s="17" t="s">
        <v>64</v>
      </c>
      <c r="Q132" s="18" t="s">
        <v>65</v>
      </c>
      <c r="R132" s="17" t="s">
        <v>66</v>
      </c>
      <c r="S132" s="18" t="s">
        <v>45</v>
      </c>
      <c r="T132" s="17" t="s">
        <v>34</v>
      </c>
      <c r="U132" s="18" t="s">
        <v>39</v>
      </c>
      <c r="V132" s="19" t="n">
        <v>223691798</v>
      </c>
      <c r="W132" s="17" t="s">
        <v>69</v>
      </c>
      <c r="X132" s="17" t="n">
        <v>1250</v>
      </c>
      <c r="Y132" s="17" t="n">
        <v>6</v>
      </c>
      <c r="Z132" s="17" t="n">
        <v>26.2</v>
      </c>
      <c r="AA132" s="17" t="s">
        <v>68</v>
      </c>
      <c r="AB132" s="17" t="n">
        <v>0</v>
      </c>
    </row>
    <row r="133" customFormat="false" ht="15" hidden="false" customHeight="false" outlineLevel="0" collapsed="false">
      <c r="A133" s="1" t="str">
        <f aca="false">OFFSET(Table22,132,14,1,1)&amp;OFFSET(Table22,132,21,1,1)</f>
        <v>43356227618695</v>
      </c>
      <c r="B133" s="1" t="str">
        <f aca="false">OFFSET(Table22,132,14,1,1)&amp;OFFSET(Table22,132,22,1,1)</f>
        <v>43356Facebook»AZR»1x1»NA»NA»ALL»DYN»AUT»D»All»SS»NA»Free Account Create to Convert FB - Canvas - Benefit - Start Free - FR</v>
      </c>
      <c r="C133" s="1" t="s">
        <v>28</v>
      </c>
      <c r="D133" s="3" t="n">
        <f aca="false">O133+(7-WEEKDAY(O133))</f>
        <v>43358</v>
      </c>
      <c r="E133" s="1" t="str">
        <f aca="false">VLOOKUP(OFFSET(Table22,132,16,1,1),Key!B:D,2,0)</f>
        <v>Canada</v>
      </c>
      <c r="F133" s="1" t="str">
        <f aca="false">IF(ISNUMBER(SEARCH("Canvas",U133)),"Link",IF(ISNUMBER(SEARCH("Link",U133)),"Link","Not filled properly"))</f>
        <v>Link</v>
      </c>
      <c r="G133" s="1" t="str">
        <f aca="false">IFERROR(VLOOKUP(OFFSET(Table22,132,21,1,1),OFFSET(Table2,0,1,ROWS(Table2),8),2,0),VLOOKUP(OFFSET(Table22,132,22,1,1),Table2,3,0))</f>
        <v>CAN_gaPMG_AZR_AZR_Q1_19_Trial-Social</v>
      </c>
      <c r="H133" s="1" t="n">
        <f aca="false">IFERROR(VLOOKUP(OFFSET(Table22,132,21,1,1),OFFSET(Table2,0,1,ROWS(Table2),8),3,0),VLOOKUP(OFFSET(Table22,132,22,1,1),Table2,4,0))</f>
        <v>21337220</v>
      </c>
      <c r="I133" s="2" t="n">
        <f aca="false">IFERROR(VLOOKUP(OFFSET(Table22,132,21,1,1),OFFSET(Table2,0,1,ROWS(Table2),8),4,0),VLOOKUP(OFFSET(Table22,132,22,1,1),Table2,5,0))</f>
        <v>720192</v>
      </c>
      <c r="J133" s="3" t="str">
        <f aca="false">IF(ISNUMBER(SEARCH("FACEBOOK",W133)),"Facebook",IF(ISNUMBER(SEARCH("INSTAGRAM",W133)),"Facebook-Instagram","Look at taxonomy"))</f>
        <v>Facebook</v>
      </c>
      <c r="K133" s="3" t="str">
        <f aca="false">IF(ISNUMBER(SEARCH("Facebook",J133)),"3654128","Not Facebook")</f>
        <v>3654128</v>
      </c>
      <c r="L133" s="3" t="str">
        <f aca="false">IFERROR(VLOOKUP(OFFSET(Table22,132,21,1,1),OFFSET(Table2,0,1,ROWS(Table2),8),7,0),VLOOKUP(OFFSET(Table22,132,22,1,1),Table2,8,0))</f>
        <v>AzurePlatform_FBCTCBenefit2inMotion_CAN_1080x1080_SOC_14s_ISV_FR_Standard_NA_FTR_T4_1</v>
      </c>
      <c r="M133" s="2" t="n">
        <f aca="false">IFERROR(VLOOKUP(OFFSET(Table22,132,21,1,1),OFFSET(Table2,0,1,ROWS(Table2),8),8,0),VLOOKUP(OFFSET(Table22,132,22,1,1),Table2,9,0))</f>
        <v>105127638</v>
      </c>
      <c r="N133" s="15" t="s">
        <v>29</v>
      </c>
      <c r="O133" s="16" t="n">
        <v>43356</v>
      </c>
      <c r="P133" s="17" t="s">
        <v>64</v>
      </c>
      <c r="Q133" s="18" t="s">
        <v>65</v>
      </c>
      <c r="R133" s="17" t="s">
        <v>66</v>
      </c>
      <c r="S133" s="18" t="s">
        <v>45</v>
      </c>
      <c r="T133" s="17" t="s">
        <v>34</v>
      </c>
      <c r="U133" s="18" t="s">
        <v>39</v>
      </c>
      <c r="V133" s="19" t="n">
        <v>227618695</v>
      </c>
      <c r="W133" s="17" t="s">
        <v>67</v>
      </c>
      <c r="X133" s="17" t="n">
        <v>124</v>
      </c>
      <c r="Y133" s="17" t="n">
        <v>1</v>
      </c>
      <c r="Z133" s="17" t="n">
        <v>1.52</v>
      </c>
      <c r="AA133" s="17" t="s">
        <v>68</v>
      </c>
      <c r="AB133" s="17" t="n">
        <v>0</v>
      </c>
    </row>
    <row r="134" customFormat="false" ht="15" hidden="false" customHeight="false" outlineLevel="0" collapsed="false">
      <c r="A134" s="1" t="str">
        <f aca="false">OFFSET(Table22,133,14,1,1)&amp;OFFSET(Table22,133,21,1,1)</f>
        <v>43356227522771</v>
      </c>
      <c r="B134" s="1" t="str">
        <f aca="false">OFFSET(Table22,133,14,1,1)&amp;OFFSET(Table22,133,22,1,1)</f>
        <v>43356Facebook»AZR»1x1»NA»NA»ALL»DYN»AUT»D»All»SS»NA»Free Account Create to Convert FB - Canvas - Brand - Start Free - FR</v>
      </c>
      <c r="C134" s="1" t="s">
        <v>28</v>
      </c>
      <c r="D134" s="3" t="n">
        <f aca="false">O134+(7-WEEKDAY(O134))</f>
        <v>43358</v>
      </c>
      <c r="E134" s="1" t="str">
        <f aca="false">VLOOKUP(OFFSET(Table22,133,16,1,1),Key!B:D,2,0)</f>
        <v>Canada</v>
      </c>
      <c r="F134" s="1" t="str">
        <f aca="false">IF(ISNUMBER(SEARCH("Canvas",U134)),"Link",IF(ISNUMBER(SEARCH("Link",U134)),"Link","Not filled properly"))</f>
        <v>Link</v>
      </c>
      <c r="G134" s="1" t="str">
        <f aca="false">IFERROR(VLOOKUP(OFFSET(Table22,133,21,1,1),OFFSET(Table2,0,1,ROWS(Table2),8),2,0),VLOOKUP(OFFSET(Table22,133,22,1,1),Table2,3,0))</f>
        <v>CAN_gaPMG_AZR_AZR_Q1_19_Trial-Social</v>
      </c>
      <c r="H134" s="1" t="n">
        <f aca="false">IFERROR(VLOOKUP(OFFSET(Table22,133,21,1,1),OFFSET(Table2,0,1,ROWS(Table2),8),3,0),VLOOKUP(OFFSET(Table22,133,22,1,1),Table2,4,0))</f>
        <v>21337220</v>
      </c>
      <c r="I134" s="2" t="n">
        <f aca="false">IFERROR(VLOOKUP(OFFSET(Table22,133,21,1,1),OFFSET(Table2,0,1,ROWS(Table2),8),4,0),VLOOKUP(OFFSET(Table22,133,22,1,1),Table2,5,0))</f>
        <v>720192</v>
      </c>
      <c r="J134" s="3" t="str">
        <f aca="false">IF(ISNUMBER(SEARCH("FACEBOOK",W134)),"Facebook",IF(ISNUMBER(SEARCH("INSTAGRAM",W134)),"Facebook-Instagram","Look at taxonomy"))</f>
        <v>Facebook</v>
      </c>
      <c r="K134" s="3" t="str">
        <f aca="false">IF(ISNUMBER(SEARCH("Facebook",J134)),"3654128","Not Facebook")</f>
        <v>3654128</v>
      </c>
      <c r="L134" s="3" t="str">
        <f aca="false">IFERROR(VLOOKUP(OFFSET(Table22,133,21,1,1),OFFSET(Table2,0,1,ROWS(Table2),8),7,0),VLOOKUP(OFFSET(Table22,133,22,1,1),Table2,8,0))</f>
        <v>AzurePlatform_FBCTCBrandinMotion_CAN_1080x1080_SOC_12s_ISV_FR_Standard_NA_FTR_T2_1</v>
      </c>
      <c r="M134" s="2" t="n">
        <f aca="false">IFERROR(VLOOKUP(OFFSET(Table22,133,21,1,1),OFFSET(Table2,0,1,ROWS(Table2),8),8,0),VLOOKUP(OFFSET(Table22,133,22,1,1),Table2,9,0))</f>
        <v>105130128</v>
      </c>
      <c r="N134" s="15" t="s">
        <v>29</v>
      </c>
      <c r="O134" s="16" t="n">
        <v>43356</v>
      </c>
      <c r="P134" s="17" t="s">
        <v>64</v>
      </c>
      <c r="Q134" s="18" t="s">
        <v>65</v>
      </c>
      <c r="R134" s="17" t="s">
        <v>66</v>
      </c>
      <c r="S134" s="18" t="s">
        <v>45</v>
      </c>
      <c r="T134" s="17" t="s">
        <v>34</v>
      </c>
      <c r="U134" s="18" t="s">
        <v>39</v>
      </c>
      <c r="V134" s="19" t="n">
        <v>227522771</v>
      </c>
      <c r="W134" s="17" t="s">
        <v>78</v>
      </c>
      <c r="X134" s="17" t="n">
        <v>79</v>
      </c>
      <c r="Y134" s="17" t="n">
        <v>0</v>
      </c>
      <c r="Z134" s="17" t="n">
        <v>1.19</v>
      </c>
      <c r="AA134" s="17" t="s">
        <v>68</v>
      </c>
      <c r="AB134" s="17" t="n">
        <v>0</v>
      </c>
    </row>
    <row r="135" customFormat="false" ht="15" hidden="false" customHeight="false" outlineLevel="0" collapsed="false">
      <c r="A135" s="1" t="str">
        <f aca="false">OFFSET(Table22,134,14,1,1)&amp;OFFSET(Table22,134,21,1,1)</f>
        <v>43356225322327</v>
      </c>
      <c r="B135" s="1" t="str">
        <f aca="false">OFFSET(Table22,134,14,1,1)&amp;OFFSET(Table22,134,22,1,1)</f>
        <v>43356Facebook»AZR»1x1»NA»SOC»ALL»DYN»PRO»D»All»SS»NA»Canvas - Buy Now - EN</v>
      </c>
      <c r="C135" s="1" t="s">
        <v>28</v>
      </c>
      <c r="D135" s="3" t="n">
        <f aca="false">O135+(7-WEEKDAY(O135))</f>
        <v>43358</v>
      </c>
      <c r="E135" s="1" t="str">
        <f aca="false">VLOOKUP(OFFSET(Table22,134,16,1,1),Key!B:D,2,0)</f>
        <v>Canada</v>
      </c>
      <c r="F135" s="1" t="str">
        <f aca="false">IF(ISNUMBER(SEARCH("Canvas",U135)),"Link",IF(ISNUMBER(SEARCH("Link",U135)),"Link","Not filled properly"))</f>
        <v>Link</v>
      </c>
      <c r="G135" s="1" t="str">
        <f aca="false">IFERROR(VLOOKUP(OFFSET(Table22,134,21,1,1),OFFSET(Table2,0,1,ROWS(Table2),8),2,0),VLOOKUP(OFFSET(Table22,134,22,1,1),Table2,3,0))</f>
        <v>CAN_gaPMG_AZR_AZR_Q1_19_Trial-Social</v>
      </c>
      <c r="H135" s="1" t="n">
        <f aca="false">IFERROR(VLOOKUP(OFFSET(Table22,134,21,1,1),OFFSET(Table2,0,1,ROWS(Table2),8),3,0),VLOOKUP(OFFSET(Table22,134,22,1,1),Table2,4,0))</f>
        <v>21337220</v>
      </c>
      <c r="I135" s="2" t="n">
        <f aca="false">IFERROR(VLOOKUP(OFFSET(Table22,134,21,1,1),OFFSET(Table2,0,1,ROWS(Table2),8),4,0),VLOOKUP(OFFSET(Table22,134,22,1,1),Table2,5,0))</f>
        <v>720192</v>
      </c>
      <c r="J135" s="3" t="str">
        <f aca="false">IF(ISNUMBER(SEARCH("FACEBOOK",W135)),"Facebook",IF(ISNUMBER(SEARCH("INSTAGRAM",W135)),"Facebook-Instagram","Look at taxonomy"))</f>
        <v>Facebook</v>
      </c>
      <c r="K135" s="3" t="str">
        <f aca="false">IF(ISNUMBER(SEARCH("Facebook",J135)),"3654128","Not Facebook")</f>
        <v>3654128</v>
      </c>
      <c r="L135" s="3" t="str">
        <f aca="false">IFERROR(VLOOKUP(OFFSET(Table22,134,21,1,1),OFFSET(Table2,0,1,ROWS(Table2),8),7,0),VLOOKUP(OFFSET(Table22,134,22,1,1),Table2,8,0))</f>
        <v>AzurePlatform_FBCTCcanvaspage-BuyNowCTA-Img3_CAN_1080x162_SOC_Plat_English_NA_Standard_NA_BN_T3_1</v>
      </c>
      <c r="M135" s="2" t="n">
        <f aca="false">IFERROR(VLOOKUP(OFFSET(Table22,134,21,1,1),OFFSET(Table2,0,1,ROWS(Table2),8),8,0),VLOOKUP(OFFSET(Table22,134,22,1,1),Table2,9,0))</f>
        <v>103902287</v>
      </c>
      <c r="N135" s="15" t="s">
        <v>29</v>
      </c>
      <c r="O135" s="16" t="n">
        <v>43356</v>
      </c>
      <c r="P135" s="17" t="s">
        <v>64</v>
      </c>
      <c r="Q135" s="18" t="s">
        <v>65</v>
      </c>
      <c r="R135" s="17" t="s">
        <v>66</v>
      </c>
      <c r="S135" s="18" t="s">
        <v>45</v>
      </c>
      <c r="T135" s="17" t="s">
        <v>34</v>
      </c>
      <c r="U135" s="18" t="s">
        <v>39</v>
      </c>
      <c r="V135" s="19" t="n">
        <v>225322327</v>
      </c>
      <c r="W135" s="17" t="s">
        <v>82</v>
      </c>
      <c r="X135" s="17" t="n">
        <v>620</v>
      </c>
      <c r="Y135" s="17" t="n">
        <v>3</v>
      </c>
      <c r="Z135" s="17" t="n">
        <v>12.21</v>
      </c>
      <c r="AA135" s="17" t="s">
        <v>68</v>
      </c>
      <c r="AB135" s="17" t="n">
        <v>0</v>
      </c>
    </row>
    <row r="136" customFormat="false" ht="15" hidden="false" customHeight="false" outlineLevel="0" collapsed="false">
      <c r="A136" s="1" t="str">
        <f aca="false">OFFSET(Table22,135,14,1,1)&amp;OFFSET(Table22,135,21,1,1)</f>
        <v>43356227522762</v>
      </c>
      <c r="B136" s="1" t="str">
        <f aca="false">OFFSET(Table22,135,14,1,1)&amp;OFFSET(Table22,135,22,1,1)</f>
        <v>43356Facebook»AZR»1x1»NA»NA»ALL»DYN»AUT»D»All»SS»NA»Free Account Create to Convert FB - Canvas - Brand - Start Free - EN</v>
      </c>
      <c r="C136" s="1" t="s">
        <v>28</v>
      </c>
      <c r="D136" s="3" t="n">
        <f aca="false">O136+(7-WEEKDAY(O136))</f>
        <v>43358</v>
      </c>
      <c r="E136" s="1" t="str">
        <f aca="false">VLOOKUP(OFFSET(Table22,135,16,1,1),Key!B:D,2,0)</f>
        <v>Canada</v>
      </c>
      <c r="F136" s="1" t="str">
        <f aca="false">IF(ISNUMBER(SEARCH("Canvas",U136)),"Link",IF(ISNUMBER(SEARCH("Link",U136)),"Link","Not filled properly"))</f>
        <v>Link</v>
      </c>
      <c r="G136" s="1" t="str">
        <f aca="false">IFERROR(VLOOKUP(OFFSET(Table22,135,21,1,1),OFFSET(Table2,0,1,ROWS(Table2),8),2,0),VLOOKUP(OFFSET(Table22,135,22,1,1),Table2,3,0))</f>
        <v>CAN_gaPMG_AZR_AZR_Q1_19_Trial-Social</v>
      </c>
      <c r="H136" s="1" t="n">
        <f aca="false">IFERROR(VLOOKUP(OFFSET(Table22,135,21,1,1),OFFSET(Table2,0,1,ROWS(Table2),8),3,0),VLOOKUP(OFFSET(Table22,135,22,1,1),Table2,4,0))</f>
        <v>21337220</v>
      </c>
      <c r="I136" s="2" t="n">
        <f aca="false">IFERROR(VLOOKUP(OFFSET(Table22,135,21,1,1),OFFSET(Table2,0,1,ROWS(Table2),8),4,0),VLOOKUP(OFFSET(Table22,135,22,1,1),Table2,5,0))</f>
        <v>720192</v>
      </c>
      <c r="J136" s="3" t="str">
        <f aca="false">IF(ISNUMBER(SEARCH("FACEBOOK",W136)),"Facebook",IF(ISNUMBER(SEARCH("INSTAGRAM",W136)),"Facebook-Instagram","Look at taxonomy"))</f>
        <v>Facebook</v>
      </c>
      <c r="K136" s="3" t="str">
        <f aca="false">IF(ISNUMBER(SEARCH("Facebook",J136)),"3654128","Not Facebook")</f>
        <v>3654128</v>
      </c>
      <c r="L136" s="3" t="str">
        <f aca="false">IFERROR(VLOOKUP(OFFSET(Table22,135,21,1,1),OFFSET(Table2,0,1,ROWS(Table2),8),7,0),VLOOKUP(OFFSET(Table22,135,22,1,1),Table2,8,0))</f>
        <v>AzurePlatform_FBCTCBrandinMotion_CAN_1080x1080_SOC_12s_ISV_English_Standard_NA_FTR_T2_1</v>
      </c>
      <c r="M136" s="2" t="n">
        <f aca="false">IFERROR(VLOOKUP(OFFSET(Table22,135,21,1,1),OFFSET(Table2,0,1,ROWS(Table2),8),8,0),VLOOKUP(OFFSET(Table22,135,22,1,1),Table2,9,0))</f>
        <v>105216992</v>
      </c>
      <c r="N136" s="15" t="s">
        <v>29</v>
      </c>
      <c r="O136" s="16" t="n">
        <v>43356</v>
      </c>
      <c r="P136" s="17" t="s">
        <v>64</v>
      </c>
      <c r="Q136" s="18" t="s">
        <v>65</v>
      </c>
      <c r="R136" s="17" t="s">
        <v>66</v>
      </c>
      <c r="S136" s="18" t="s">
        <v>45</v>
      </c>
      <c r="T136" s="17" t="s">
        <v>34</v>
      </c>
      <c r="U136" s="18" t="s">
        <v>39</v>
      </c>
      <c r="V136" s="19" t="n">
        <v>227522762</v>
      </c>
      <c r="W136" s="17" t="s">
        <v>86</v>
      </c>
      <c r="X136" s="17" t="n">
        <v>209</v>
      </c>
      <c r="Y136" s="17" t="n">
        <v>1</v>
      </c>
      <c r="Z136" s="17" t="n">
        <v>3.19</v>
      </c>
      <c r="AA136" s="17" t="s">
        <v>68</v>
      </c>
      <c r="AB136" s="17" t="n">
        <v>0</v>
      </c>
    </row>
    <row r="137" customFormat="false" ht="15" hidden="false" customHeight="false" outlineLevel="0" collapsed="false">
      <c r="A137" s="1" t="str">
        <f aca="false">OFFSET(Table22,136,14,1,1)&amp;OFFSET(Table22,136,21,1,1)</f>
        <v>43356223684451</v>
      </c>
      <c r="B137" s="1" t="str">
        <f aca="false">OFFSET(Table22,136,14,1,1)&amp;OFFSET(Table22,136,22,1,1)</f>
        <v>43356Facebook»AZR»1x1»NA»EGV»ALL»DYN»AUT»D»All»SS»NA»Free Acc CTC - T1 - EN</v>
      </c>
      <c r="C137" s="1" t="s">
        <v>28</v>
      </c>
      <c r="D137" s="3" t="n">
        <f aca="false">O137+(7-WEEKDAY(O137))</f>
        <v>43358</v>
      </c>
      <c r="E137" s="1" t="str">
        <f aca="false">VLOOKUP(OFFSET(Table22,136,16,1,1),Key!B:D,2,0)</f>
        <v>Canada</v>
      </c>
      <c r="F137" s="1" t="str">
        <f aca="false">IF(ISNUMBER(SEARCH("Canvas",U137)),"Link",IF(ISNUMBER(SEARCH("Link",U137)),"Link","Not filled properly"))</f>
        <v>Link</v>
      </c>
      <c r="G137" s="1" t="str">
        <f aca="false">IFERROR(VLOOKUP(OFFSET(Table22,136,21,1,1),OFFSET(Table2,0,1,ROWS(Table2),8),2,0),VLOOKUP(OFFSET(Table22,136,22,1,1),Table2,3,0))</f>
        <v>CAN_gaPMG_AZR_AZR_Q1_19_Trial-Social</v>
      </c>
      <c r="H137" s="1" t="n">
        <f aca="false">IFERROR(VLOOKUP(OFFSET(Table22,136,21,1,1),OFFSET(Table2,0,1,ROWS(Table2),8),3,0),VLOOKUP(OFFSET(Table22,136,22,1,1),Table2,4,0))</f>
        <v>21337220</v>
      </c>
      <c r="I137" s="2" t="n">
        <f aca="false">IFERROR(VLOOKUP(OFFSET(Table22,136,21,1,1),OFFSET(Table2,0,1,ROWS(Table2),8),4,0),VLOOKUP(OFFSET(Table22,136,22,1,1),Table2,5,0))</f>
        <v>720192</v>
      </c>
      <c r="J137" s="3" t="str">
        <f aca="false">IF(ISNUMBER(SEARCH("FACEBOOK",W137)),"Facebook",IF(ISNUMBER(SEARCH("INSTAGRAM",W137)),"Facebook-Instagram","Look at taxonomy"))</f>
        <v>Facebook</v>
      </c>
      <c r="K137" s="3" t="str">
        <f aca="false">IF(ISNUMBER(SEARCH("Facebook",J137)),"3654128","Not Facebook")</f>
        <v>3654128</v>
      </c>
      <c r="L137" s="3" t="str">
        <f aca="false">IFERROR(VLOOKUP(OFFSET(Table22,136,21,1,1),OFFSET(Table2,0,1,ROWS(Table2),8),7,0),VLOOKUP(OFFSET(Table22,136,22,1,1),Table2,8,0))</f>
        <v>AzurePlatform_FBCTCBasicMotion_CAN_10s_ISV_PLAT_English_Trial_Standard_STAN_TN_T1_1</v>
      </c>
      <c r="M137" s="2" t="n">
        <f aca="false">IFERROR(VLOOKUP(OFFSET(Table22,136,21,1,1),OFFSET(Table2,0,1,ROWS(Table2),8),8,0),VLOOKUP(OFFSET(Table22,136,22,1,1),Table2,9,0))</f>
        <v>102901882</v>
      </c>
      <c r="N137" s="15" t="s">
        <v>29</v>
      </c>
      <c r="O137" s="16" t="n">
        <v>43356</v>
      </c>
      <c r="P137" s="17" t="s">
        <v>64</v>
      </c>
      <c r="Q137" s="18" t="s">
        <v>65</v>
      </c>
      <c r="R137" s="17" t="s">
        <v>66</v>
      </c>
      <c r="S137" s="18" t="s">
        <v>45</v>
      </c>
      <c r="T137" s="17" t="s">
        <v>34</v>
      </c>
      <c r="U137" s="18" t="s">
        <v>39</v>
      </c>
      <c r="V137" s="19" t="n">
        <v>223684451</v>
      </c>
      <c r="W137" s="17" t="s">
        <v>84</v>
      </c>
      <c r="X137" s="17" t="n">
        <v>4505</v>
      </c>
      <c r="Y137" s="17" t="n">
        <v>6</v>
      </c>
      <c r="Z137" s="17" t="n">
        <v>81.51</v>
      </c>
      <c r="AA137" s="17" t="s">
        <v>68</v>
      </c>
      <c r="AB137" s="17" t="n">
        <v>0</v>
      </c>
    </row>
    <row r="138" customFormat="false" ht="15" hidden="false" customHeight="false" outlineLevel="0" collapsed="false">
      <c r="A138" s="1" t="str">
        <f aca="false">OFFSET(Table22,137,14,1,1)&amp;OFFSET(Table22,137,21,1,1)</f>
        <v>43356223691831</v>
      </c>
      <c r="B138" s="1" t="str">
        <f aca="false">OFFSET(Table22,137,14,1,1)&amp;OFFSET(Table22,137,22,1,1)</f>
        <v>43356Facebook»AZR»1x1»SocialBan»NA»ALL»DYN»RT»D»All»SS»NA» Free Account Retargeting OSS - T2 - EN</v>
      </c>
      <c r="C138" s="1" t="s">
        <v>28</v>
      </c>
      <c r="D138" s="3" t="n">
        <f aca="false">O138+(7-WEEKDAY(O138))</f>
        <v>43358</v>
      </c>
      <c r="E138" s="1" t="str">
        <f aca="false">VLOOKUP(OFFSET(Table22,137,16,1,1),Key!B:D,2,0)</f>
        <v>Canada</v>
      </c>
      <c r="F138" s="1" t="str">
        <f aca="false">IF(ISNUMBER(SEARCH("Canvas",U138)),"Link",IF(ISNUMBER(SEARCH("Link",U138)),"Link","Not filled properly"))</f>
        <v>Link</v>
      </c>
      <c r="G138" s="1" t="str">
        <f aca="false">IFERROR(VLOOKUP(OFFSET(Table22,137,21,1,1),OFFSET(Table2,0,1,ROWS(Table2),8),2,0),VLOOKUP(OFFSET(Table22,137,22,1,1),Table2,3,0))</f>
        <v>CAN_gaPMG_AZR_AZR_Q1_19_Trial-Social</v>
      </c>
      <c r="H138" s="1" t="n">
        <f aca="false">IFERROR(VLOOKUP(OFFSET(Table22,137,21,1,1),OFFSET(Table2,0,1,ROWS(Table2),8),3,0),VLOOKUP(OFFSET(Table22,137,22,1,1),Table2,4,0))</f>
        <v>21337220</v>
      </c>
      <c r="I138" s="2" t="n">
        <f aca="false">IFERROR(VLOOKUP(OFFSET(Table22,137,21,1,1),OFFSET(Table2,0,1,ROWS(Table2),8),4,0),VLOOKUP(OFFSET(Table22,137,22,1,1),Table2,5,0))</f>
        <v>720192</v>
      </c>
      <c r="J138" s="3" t="str">
        <f aca="false">IF(ISNUMBER(SEARCH("FACEBOOK",W138)),"Facebook",IF(ISNUMBER(SEARCH("INSTAGRAM",W138)),"Facebook-Instagram","Look at taxonomy"))</f>
        <v>Facebook</v>
      </c>
      <c r="K138" s="3" t="str">
        <f aca="false">IF(ISNUMBER(SEARCH("Facebook",J138)),"3654128","Not Facebook")</f>
        <v>3654128</v>
      </c>
      <c r="L138" s="3" t="str">
        <f aca="false">IFERROR(VLOOKUP(OFFSET(Table22,137,21,1,1),OFFSET(Table2,0,1,ROWS(Table2),8),7,0),VLOOKUP(OFFSET(Table22,137,22,1,1),Table2,8,0))</f>
        <v>AzurePlatform_FreeAcctRetargetingOSSFB-Logos-ChG_CAN_1200x628_SOC_Plat_EN_Free Account_Standard_NA_SU_T2_1</v>
      </c>
      <c r="M138" s="2" t="n">
        <f aca="false">IFERROR(VLOOKUP(OFFSET(Table22,137,21,1,1),OFFSET(Table2,0,1,ROWS(Table2),8),8,0),VLOOKUP(OFFSET(Table22,137,22,1,1),Table2,9,0))</f>
        <v>102913800</v>
      </c>
      <c r="N138" s="15" t="s">
        <v>29</v>
      </c>
      <c r="O138" s="16" t="n">
        <v>43356</v>
      </c>
      <c r="P138" s="17" t="s">
        <v>64</v>
      </c>
      <c r="Q138" s="18" t="s">
        <v>65</v>
      </c>
      <c r="R138" s="17" t="s">
        <v>66</v>
      </c>
      <c r="S138" s="18" t="s">
        <v>45</v>
      </c>
      <c r="T138" s="17" t="s">
        <v>34</v>
      </c>
      <c r="U138" s="18" t="s">
        <v>39</v>
      </c>
      <c r="V138" s="19" t="n">
        <v>223691831</v>
      </c>
      <c r="W138" s="17" t="s">
        <v>70</v>
      </c>
      <c r="X138" s="17" t="n">
        <v>4596</v>
      </c>
      <c r="Y138" s="17" t="n">
        <v>6</v>
      </c>
      <c r="Z138" s="17" t="n">
        <v>113.42</v>
      </c>
      <c r="AA138" s="17" t="s">
        <v>68</v>
      </c>
      <c r="AB138" s="17" t="n">
        <v>0</v>
      </c>
    </row>
    <row r="139" customFormat="false" ht="15" hidden="false" customHeight="false" outlineLevel="0" collapsed="false">
      <c r="A139" s="1" t="str">
        <f aca="false">OFFSET(Table22,138,14,1,1)&amp;OFFSET(Table22,138,21,1,1)</f>
        <v>43356223691789</v>
      </c>
      <c r="B139" s="1" t="str">
        <f aca="false">OFFSET(Table22,138,14,1,1)&amp;OFFSET(Table22,138,22,1,1)</f>
        <v>43356Facebook»AZR»1x1»SocialBan»NA»ALL»DYN»RT»D»All»SS»NA» Free Account Retargeting OSS - T2 - FR</v>
      </c>
      <c r="C139" s="1" t="s">
        <v>28</v>
      </c>
      <c r="D139" s="3" t="n">
        <f aca="false">O139+(7-WEEKDAY(O139))</f>
        <v>43358</v>
      </c>
      <c r="E139" s="1" t="str">
        <f aca="false">VLOOKUP(OFFSET(Table22,138,16,1,1),Key!B:D,2,0)</f>
        <v>Canada</v>
      </c>
      <c r="F139" s="1" t="str">
        <f aca="false">IF(ISNUMBER(SEARCH("Canvas",U139)),"Link",IF(ISNUMBER(SEARCH("Link",U139)),"Link","Not filled properly"))</f>
        <v>Link</v>
      </c>
      <c r="G139" s="1" t="str">
        <f aca="false">IFERROR(VLOOKUP(OFFSET(Table22,138,21,1,1),OFFSET(Table2,0,1,ROWS(Table2),8),2,0),VLOOKUP(OFFSET(Table22,138,22,1,1),Table2,3,0))</f>
        <v>CAN_gaPMG_AZR_AZR_Q1_19_Trial-Social</v>
      </c>
      <c r="H139" s="1" t="n">
        <f aca="false">IFERROR(VLOOKUP(OFFSET(Table22,138,21,1,1),OFFSET(Table2,0,1,ROWS(Table2),8),3,0),VLOOKUP(OFFSET(Table22,138,22,1,1),Table2,4,0))</f>
        <v>21337220</v>
      </c>
      <c r="I139" s="2" t="n">
        <f aca="false">IFERROR(VLOOKUP(OFFSET(Table22,138,21,1,1),OFFSET(Table2,0,1,ROWS(Table2),8),4,0),VLOOKUP(OFFSET(Table22,138,22,1,1),Table2,5,0))</f>
        <v>720192</v>
      </c>
      <c r="J139" s="3" t="str">
        <f aca="false">IF(ISNUMBER(SEARCH("FACEBOOK",W139)),"Facebook",IF(ISNUMBER(SEARCH("INSTAGRAM",W139)),"Facebook-Instagram","Look at taxonomy"))</f>
        <v>Facebook</v>
      </c>
      <c r="K139" s="3" t="str">
        <f aca="false">IF(ISNUMBER(SEARCH("Facebook",J139)),"3654128","Not Facebook")</f>
        <v>3654128</v>
      </c>
      <c r="L139" s="3" t="str">
        <f aca="false">IFERROR(VLOOKUP(OFFSET(Table22,138,21,1,1),OFFSET(Table2,0,1,ROWS(Table2),8),7,0),VLOOKUP(OFFSET(Table22,138,22,1,1),Table2,8,0))</f>
        <v>AzurePlatform_FreeAcctRetargetingOSSFB-Logos-ChG_CAN_1200x628_SOC_Plat_FR_Free Account_Standard_NA_SU_T2_1</v>
      </c>
      <c r="M139" s="2" t="n">
        <f aca="false">IFERROR(VLOOKUP(OFFSET(Table22,138,21,1,1),OFFSET(Table2,0,1,ROWS(Table2),8),8,0),VLOOKUP(OFFSET(Table22,138,22,1,1),Table2,9,0))</f>
        <v>102900691</v>
      </c>
      <c r="N139" s="15" t="s">
        <v>29</v>
      </c>
      <c r="O139" s="16" t="n">
        <v>43356</v>
      </c>
      <c r="P139" s="17" t="s">
        <v>64</v>
      </c>
      <c r="Q139" s="18" t="s">
        <v>65</v>
      </c>
      <c r="R139" s="17" t="s">
        <v>66</v>
      </c>
      <c r="S139" s="18" t="s">
        <v>45</v>
      </c>
      <c r="T139" s="17" t="s">
        <v>34</v>
      </c>
      <c r="U139" s="18" t="s">
        <v>39</v>
      </c>
      <c r="V139" s="19" t="n">
        <v>223691789</v>
      </c>
      <c r="W139" s="17" t="s">
        <v>74</v>
      </c>
      <c r="X139" s="17" t="n">
        <v>1383</v>
      </c>
      <c r="Y139" s="17" t="n">
        <v>4</v>
      </c>
      <c r="Z139" s="17" t="n">
        <v>49.42</v>
      </c>
      <c r="AA139" s="17" t="s">
        <v>68</v>
      </c>
      <c r="AB139" s="17" t="n">
        <v>0</v>
      </c>
    </row>
    <row r="140" customFormat="false" ht="15" hidden="false" customHeight="false" outlineLevel="0" collapsed="false">
      <c r="A140" s="1" t="str">
        <f aca="false">OFFSET(Table22,139,14,1,1)&amp;OFFSET(Table22,139,21,1,1)</f>
        <v>43356223691819</v>
      </c>
      <c r="B140" s="1" t="str">
        <f aca="false">OFFSET(Table22,139,14,1,1)&amp;OFFSET(Table22,139,22,1,1)</f>
        <v>43356Facebook»AZR»1x1»SocialBan»NA»ALL»DYN»RT»D»All»SS»NA»Free Account Retargeting Generic - T3 - EN</v>
      </c>
      <c r="C140" s="1" t="s">
        <v>28</v>
      </c>
      <c r="D140" s="3" t="n">
        <f aca="false">O140+(7-WEEKDAY(O140))</f>
        <v>43358</v>
      </c>
      <c r="E140" s="1" t="str">
        <f aca="false">VLOOKUP(OFFSET(Table22,139,16,1,1),Key!B:D,2,0)</f>
        <v>Canada</v>
      </c>
      <c r="F140" s="1" t="str">
        <f aca="false">IF(ISNUMBER(SEARCH("Canvas",U140)),"Link",IF(ISNUMBER(SEARCH("Link",U140)),"Link","Not filled properly"))</f>
        <v>Link</v>
      </c>
      <c r="G140" s="1" t="str">
        <f aca="false">IFERROR(VLOOKUP(OFFSET(Table22,139,21,1,1),OFFSET(Table2,0,1,ROWS(Table2),8),2,0),VLOOKUP(OFFSET(Table22,139,22,1,1),Table2,3,0))</f>
        <v>CAN_gaPMG_AZR_AZR_Q1_19_Trial-Social</v>
      </c>
      <c r="H140" s="1" t="n">
        <f aca="false">IFERROR(VLOOKUP(OFFSET(Table22,139,21,1,1),OFFSET(Table2,0,1,ROWS(Table2),8),3,0),VLOOKUP(OFFSET(Table22,139,22,1,1),Table2,4,0))</f>
        <v>21337220</v>
      </c>
      <c r="I140" s="2" t="n">
        <f aca="false">IFERROR(VLOOKUP(OFFSET(Table22,139,21,1,1),OFFSET(Table2,0,1,ROWS(Table2),8),4,0),VLOOKUP(OFFSET(Table22,139,22,1,1),Table2,5,0))</f>
        <v>720192</v>
      </c>
      <c r="J140" s="3" t="str">
        <f aca="false">IF(ISNUMBER(SEARCH("FACEBOOK",W140)),"Facebook",IF(ISNUMBER(SEARCH("INSTAGRAM",W140)),"Facebook-Instagram","Look at taxonomy"))</f>
        <v>Facebook</v>
      </c>
      <c r="K140" s="3" t="str">
        <f aca="false">IF(ISNUMBER(SEARCH("Facebook",J140)),"3654128","Not Facebook")</f>
        <v>3654128</v>
      </c>
      <c r="L140" s="3" t="str">
        <f aca="false">IFERROR(VLOOKUP(OFFSET(Table22,139,21,1,1),OFFSET(Table2,0,1,ROWS(Table2),8),7,0),VLOOKUP(OFFSET(Table22,139,22,1,1),Table2,8,0))</f>
        <v>AzurePlatform_FreeAcctRetargetingFB-Animated-ChC_CAN_1200x628_SOC_Plat_EN_Free Account_Standard_ANI_SU_T3_1</v>
      </c>
      <c r="M140" s="2" t="n">
        <f aca="false">IFERROR(VLOOKUP(OFFSET(Table22,139,21,1,1),OFFSET(Table2,0,1,ROWS(Table2),8),8,0),VLOOKUP(OFFSET(Table22,139,22,1,1),Table2,9,0))</f>
        <v>102900682</v>
      </c>
      <c r="N140" s="15" t="s">
        <v>29</v>
      </c>
      <c r="O140" s="16" t="n">
        <v>43356</v>
      </c>
      <c r="P140" s="17" t="s">
        <v>64</v>
      </c>
      <c r="Q140" s="18" t="s">
        <v>65</v>
      </c>
      <c r="R140" s="17" t="s">
        <v>66</v>
      </c>
      <c r="S140" s="18" t="s">
        <v>45</v>
      </c>
      <c r="T140" s="17" t="s">
        <v>34</v>
      </c>
      <c r="U140" s="18" t="s">
        <v>39</v>
      </c>
      <c r="V140" s="19" t="n">
        <v>223691819</v>
      </c>
      <c r="W140" s="17" t="s">
        <v>90</v>
      </c>
      <c r="X140" s="17" t="n">
        <v>3095</v>
      </c>
      <c r="Y140" s="17" t="n">
        <v>7</v>
      </c>
      <c r="Z140" s="17" t="n">
        <v>77.73</v>
      </c>
      <c r="AA140" s="17" t="s">
        <v>68</v>
      </c>
      <c r="AB140" s="17" t="n">
        <v>0</v>
      </c>
    </row>
    <row r="141" customFormat="false" ht="15" hidden="false" customHeight="false" outlineLevel="0" collapsed="false">
      <c r="A141" s="1" t="str">
        <f aca="false">OFFSET(Table22,140,14,1,1)&amp;OFFSET(Table22,140,21,1,1)</f>
        <v>43356223691780</v>
      </c>
      <c r="B141" s="1" t="str">
        <f aca="false">OFFSET(Table22,140,14,1,1)&amp;OFFSET(Table22,140,22,1,1)</f>
        <v>43356Facebook»AZR»1x1»SocialBan»NA»ALL»DYN»RT»D»All»SS»NA»Free Account Retargeting VM - T2 - FR</v>
      </c>
      <c r="C141" s="1" t="s">
        <v>28</v>
      </c>
      <c r="D141" s="3" t="n">
        <f aca="false">O141+(7-WEEKDAY(O141))</f>
        <v>43358</v>
      </c>
      <c r="E141" s="1" t="str">
        <f aca="false">VLOOKUP(OFFSET(Table22,140,16,1,1),Key!B:D,2,0)</f>
        <v>Canada</v>
      </c>
      <c r="F141" s="1" t="str">
        <f aca="false">IF(ISNUMBER(SEARCH("Canvas",U141)),"Link",IF(ISNUMBER(SEARCH("Link",U141)),"Link","Not filled properly"))</f>
        <v>Link</v>
      </c>
      <c r="G141" s="1" t="str">
        <f aca="false">IFERROR(VLOOKUP(OFFSET(Table22,140,21,1,1),OFFSET(Table2,0,1,ROWS(Table2),8),2,0),VLOOKUP(OFFSET(Table22,140,22,1,1),Table2,3,0))</f>
        <v>CAN_gaPMG_AZR_AZR_Q1_19_Trial-Social</v>
      </c>
      <c r="H141" s="1" t="n">
        <f aca="false">IFERROR(VLOOKUP(OFFSET(Table22,140,21,1,1),OFFSET(Table2,0,1,ROWS(Table2),8),3,0),VLOOKUP(OFFSET(Table22,140,22,1,1),Table2,4,0))</f>
        <v>21337220</v>
      </c>
      <c r="I141" s="2" t="n">
        <f aca="false">IFERROR(VLOOKUP(OFFSET(Table22,140,21,1,1),OFFSET(Table2,0,1,ROWS(Table2),8),4,0),VLOOKUP(OFFSET(Table22,140,22,1,1),Table2,5,0))</f>
        <v>720192</v>
      </c>
      <c r="J141" s="3" t="str">
        <f aca="false">IF(ISNUMBER(SEARCH("FACEBOOK",W141)),"Facebook",IF(ISNUMBER(SEARCH("INSTAGRAM",W141)),"Facebook-Instagram","Look at taxonomy"))</f>
        <v>Facebook</v>
      </c>
      <c r="K141" s="3" t="str">
        <f aca="false">IF(ISNUMBER(SEARCH("Facebook",J141)),"3654128","Not Facebook")</f>
        <v>3654128</v>
      </c>
      <c r="L141" s="3" t="str">
        <f aca="false">IFERROR(VLOOKUP(OFFSET(Table22,140,21,1,1),OFFSET(Table2,0,1,ROWS(Table2),8),7,0),VLOOKUP(OFFSET(Table22,140,22,1,1),Table2,8,0))</f>
        <v>AzurePlatform_FreeAcctRetargetingVMFB-OnDemand-ChE_CAN_1200x628_SOC_Plat_FR_Free Account_Standard_NA_SU_T2_1</v>
      </c>
      <c r="M141" s="2" t="n">
        <f aca="false">IFERROR(VLOOKUP(OFFSET(Table22,140,21,1,1),OFFSET(Table2,0,1,ROWS(Table2),8),8,0),VLOOKUP(OFFSET(Table22,140,22,1,1),Table2,9,0))</f>
        <v>103058726</v>
      </c>
      <c r="N141" s="15" t="s">
        <v>29</v>
      </c>
      <c r="O141" s="16" t="n">
        <v>43356</v>
      </c>
      <c r="P141" s="17" t="s">
        <v>64</v>
      </c>
      <c r="Q141" s="18" t="s">
        <v>65</v>
      </c>
      <c r="R141" s="17" t="s">
        <v>66</v>
      </c>
      <c r="S141" s="18" t="s">
        <v>45</v>
      </c>
      <c r="T141" s="17" t="s">
        <v>34</v>
      </c>
      <c r="U141" s="18" t="s">
        <v>39</v>
      </c>
      <c r="V141" s="19" t="n">
        <v>223691780</v>
      </c>
      <c r="W141" s="17" t="s">
        <v>75</v>
      </c>
      <c r="X141" s="17" t="n">
        <v>355</v>
      </c>
      <c r="Y141" s="17" t="n">
        <v>0</v>
      </c>
      <c r="Z141" s="17" t="n">
        <v>13.05</v>
      </c>
      <c r="AA141" s="17" t="s">
        <v>68</v>
      </c>
      <c r="AB141" s="17" t="n">
        <v>0</v>
      </c>
    </row>
    <row r="142" customFormat="false" ht="15" hidden="false" customHeight="false" outlineLevel="0" collapsed="false">
      <c r="A142" s="1" t="str">
        <f aca="false">OFFSET(Table22,141,14,1,1)&amp;OFFSET(Table22,141,21,1,1)</f>
        <v>43356223691777</v>
      </c>
      <c r="B142" s="1" t="str">
        <f aca="false">OFFSET(Table22,141,14,1,1)&amp;OFFSET(Table22,141,22,1,1)</f>
        <v>43356Facebook»AZR»1x1»SocialBan»NA»ALL»DYN»RT»D»All»SS»NA»Free Account Retargeting Generic - T3 - FR</v>
      </c>
      <c r="C142" s="1" t="s">
        <v>28</v>
      </c>
      <c r="D142" s="3" t="n">
        <f aca="false">O142+(7-WEEKDAY(O142))</f>
        <v>43358</v>
      </c>
      <c r="E142" s="1" t="str">
        <f aca="false">VLOOKUP(OFFSET(Table22,141,16,1,1),Key!B:D,2,0)</f>
        <v>Canada</v>
      </c>
      <c r="F142" s="1" t="str">
        <f aca="false">IF(ISNUMBER(SEARCH("Canvas",U142)),"Link",IF(ISNUMBER(SEARCH("Link",U142)),"Link","Not filled properly"))</f>
        <v>Link</v>
      </c>
      <c r="G142" s="1" t="str">
        <f aca="false">IFERROR(VLOOKUP(OFFSET(Table22,141,21,1,1),OFFSET(Table2,0,1,ROWS(Table2),8),2,0),VLOOKUP(OFFSET(Table22,141,22,1,1),Table2,3,0))</f>
        <v>CAN_gaPMG_AZR_AZR_Q1_19_Trial-Social</v>
      </c>
      <c r="H142" s="1" t="n">
        <f aca="false">IFERROR(VLOOKUP(OFFSET(Table22,141,21,1,1),OFFSET(Table2,0,1,ROWS(Table2),8),3,0),VLOOKUP(OFFSET(Table22,141,22,1,1),Table2,4,0))</f>
        <v>21337220</v>
      </c>
      <c r="I142" s="2" t="n">
        <f aca="false">IFERROR(VLOOKUP(OFFSET(Table22,141,21,1,1),OFFSET(Table2,0,1,ROWS(Table2),8),4,0),VLOOKUP(OFFSET(Table22,141,22,1,1),Table2,5,0))</f>
        <v>720192</v>
      </c>
      <c r="J142" s="3" t="str">
        <f aca="false">IF(ISNUMBER(SEARCH("FACEBOOK",W142)),"Facebook",IF(ISNUMBER(SEARCH("INSTAGRAM",W142)),"Facebook-Instagram","Look at taxonomy"))</f>
        <v>Facebook</v>
      </c>
      <c r="K142" s="3" t="str">
        <f aca="false">IF(ISNUMBER(SEARCH("Facebook",J142)),"3654128","Not Facebook")</f>
        <v>3654128</v>
      </c>
      <c r="L142" s="3" t="str">
        <f aca="false">IFERROR(VLOOKUP(OFFSET(Table22,141,21,1,1),OFFSET(Table2,0,1,ROWS(Table2),8),7,0),VLOOKUP(OFFSET(Table22,141,22,1,1),Table2,8,0))</f>
        <v>AzurePlatform_FreeAcctRetargetingFB-Animated-ChC_CAN_1200x628_SOC_Plat_FR_Free Account_Standard_ANI_SU_T3_1</v>
      </c>
      <c r="M142" s="2" t="n">
        <f aca="false">IFERROR(VLOOKUP(OFFSET(Table22,141,21,1,1),OFFSET(Table2,0,1,ROWS(Table2),8),8,0),VLOOKUP(OFFSET(Table22,141,22,1,1),Table2,9,0))</f>
        <v>102900697</v>
      </c>
      <c r="N142" s="15" t="s">
        <v>29</v>
      </c>
      <c r="O142" s="16" t="n">
        <v>43356</v>
      </c>
      <c r="P142" s="17" t="s">
        <v>64</v>
      </c>
      <c r="Q142" s="18" t="s">
        <v>65</v>
      </c>
      <c r="R142" s="17" t="s">
        <v>66</v>
      </c>
      <c r="S142" s="18" t="s">
        <v>45</v>
      </c>
      <c r="T142" s="17" t="s">
        <v>34</v>
      </c>
      <c r="U142" s="18" t="s">
        <v>39</v>
      </c>
      <c r="V142" s="19" t="n">
        <v>223691777</v>
      </c>
      <c r="W142" s="17" t="s">
        <v>72</v>
      </c>
      <c r="X142" s="17" t="n">
        <v>133</v>
      </c>
      <c r="Y142" s="17" t="n">
        <v>1</v>
      </c>
      <c r="Z142" s="17" t="n">
        <v>6.26</v>
      </c>
      <c r="AA142" s="17" t="s">
        <v>68</v>
      </c>
      <c r="AB142" s="17" t="n">
        <v>0</v>
      </c>
    </row>
    <row r="143" customFormat="false" ht="15" hidden="false" customHeight="false" outlineLevel="0" collapsed="false">
      <c r="A143" s="1" t="str">
        <f aca="false">OFFSET(Table22,142,14,1,1)&amp;OFFSET(Table22,142,21,1,1)</f>
        <v>43356227525720</v>
      </c>
      <c r="B143" s="1" t="str">
        <f aca="false">OFFSET(Table22,142,14,1,1)&amp;OFFSET(Table22,142,22,1,1)</f>
        <v>43356Facebook»AZR»1x1»NA»NA»ALL»DYN»AUT»D»All»SS»NA»Free Account Create to Convert FB - Canvas - Benefit - Start Free - EN</v>
      </c>
      <c r="C143" s="1" t="s">
        <v>28</v>
      </c>
      <c r="D143" s="3" t="n">
        <f aca="false">O143+(7-WEEKDAY(O143))</f>
        <v>43358</v>
      </c>
      <c r="E143" s="1" t="str">
        <f aca="false">VLOOKUP(OFFSET(Table22,142,16,1,1),Key!B:D,2,0)</f>
        <v>Canada</v>
      </c>
      <c r="F143" s="1" t="str">
        <f aca="false">IF(ISNUMBER(SEARCH("Canvas",U143)),"Link",IF(ISNUMBER(SEARCH("Link",U143)),"Link","Not filled properly"))</f>
        <v>Link</v>
      </c>
      <c r="G143" s="1" t="str">
        <f aca="false">IFERROR(VLOOKUP(OFFSET(Table22,142,21,1,1),OFFSET(Table2,0,1,ROWS(Table2),8),2,0),VLOOKUP(OFFSET(Table22,142,22,1,1),Table2,3,0))</f>
        <v>CAN_gaPMG_AZR_AZR_Q1_19_Trial-Social</v>
      </c>
      <c r="H143" s="1" t="n">
        <f aca="false">IFERROR(VLOOKUP(OFFSET(Table22,142,21,1,1),OFFSET(Table2,0,1,ROWS(Table2),8),3,0),VLOOKUP(OFFSET(Table22,142,22,1,1),Table2,4,0))</f>
        <v>21337220</v>
      </c>
      <c r="I143" s="2" t="n">
        <f aca="false">IFERROR(VLOOKUP(OFFSET(Table22,142,21,1,1),OFFSET(Table2,0,1,ROWS(Table2),8),4,0),VLOOKUP(OFFSET(Table22,142,22,1,1),Table2,5,0))</f>
        <v>720192</v>
      </c>
      <c r="J143" s="3" t="str">
        <f aca="false">IF(ISNUMBER(SEARCH("FACEBOOK",W143)),"Facebook",IF(ISNUMBER(SEARCH("INSTAGRAM",W143)),"Facebook-Instagram","Look at taxonomy"))</f>
        <v>Facebook</v>
      </c>
      <c r="K143" s="3" t="str">
        <f aca="false">IF(ISNUMBER(SEARCH("Facebook",J143)),"3654128","Not Facebook")</f>
        <v>3654128</v>
      </c>
      <c r="L143" s="3" t="str">
        <f aca="false">IFERROR(VLOOKUP(OFFSET(Table22,142,21,1,1),OFFSET(Table2,0,1,ROWS(Table2),8),7,0),VLOOKUP(OFFSET(Table22,142,22,1,1),Table2,8,0))</f>
        <v>AzurePlatform_FBCTCBenefit2inMotion_CAN_1080x1080_SOC_14s_ISV_English_Standard_NA_FTR_T4_1</v>
      </c>
      <c r="M143" s="2" t="n">
        <f aca="false">IFERROR(VLOOKUP(OFFSET(Table22,142,21,1,1),OFFSET(Table2,0,1,ROWS(Table2),8),8,0),VLOOKUP(OFFSET(Table22,142,22,1,1),Table2,9,0))</f>
        <v>105130125</v>
      </c>
      <c r="N143" s="15" t="s">
        <v>29</v>
      </c>
      <c r="O143" s="16" t="n">
        <v>43356</v>
      </c>
      <c r="P143" s="17" t="s">
        <v>64</v>
      </c>
      <c r="Q143" s="18" t="s">
        <v>65</v>
      </c>
      <c r="R143" s="17" t="s">
        <v>66</v>
      </c>
      <c r="S143" s="18" t="s">
        <v>45</v>
      </c>
      <c r="T143" s="17" t="s">
        <v>34</v>
      </c>
      <c r="U143" s="18" t="s">
        <v>39</v>
      </c>
      <c r="V143" s="19" t="n">
        <v>227525720</v>
      </c>
      <c r="W143" s="17" t="s">
        <v>85</v>
      </c>
      <c r="X143" s="17" t="n">
        <v>9036</v>
      </c>
      <c r="Y143" s="17" t="n">
        <v>35</v>
      </c>
      <c r="Z143" s="17" t="n">
        <v>121.39</v>
      </c>
      <c r="AA143" s="17" t="s">
        <v>68</v>
      </c>
      <c r="AB143" s="17" t="n">
        <v>0</v>
      </c>
    </row>
    <row r="144" customFormat="false" ht="15" hidden="false" customHeight="false" outlineLevel="0" collapsed="false">
      <c r="A144" s="1" t="str">
        <f aca="false">OFFSET(Table22,143,14,1,1)&amp;OFFSET(Table22,143,21,1,1)</f>
        <v>43356223691795</v>
      </c>
      <c r="B144" s="1" t="str">
        <f aca="false">OFFSET(Table22,143,14,1,1)&amp;OFFSET(Table22,143,22,1,1)</f>
        <v>43356Facebook»AZR»1x1»NA»EGV»ALL»DYN»AUT»D»All»SS»NA»Free Acc CTC - T4 - FR</v>
      </c>
      <c r="C144" s="1" t="s">
        <v>28</v>
      </c>
      <c r="D144" s="3" t="n">
        <f aca="false">O144+(7-WEEKDAY(O144))</f>
        <v>43358</v>
      </c>
      <c r="E144" s="1" t="str">
        <f aca="false">VLOOKUP(OFFSET(Table22,143,16,1,1),Key!B:D,2,0)</f>
        <v>Canada</v>
      </c>
      <c r="F144" s="1" t="str">
        <f aca="false">IF(ISNUMBER(SEARCH("Canvas",U144)),"Link",IF(ISNUMBER(SEARCH("Link",U144)),"Link","Not filled properly"))</f>
        <v>Link</v>
      </c>
      <c r="G144" s="1" t="str">
        <f aca="false">IFERROR(VLOOKUP(OFFSET(Table22,143,21,1,1),OFFSET(Table2,0,1,ROWS(Table2),8),2,0),VLOOKUP(OFFSET(Table22,143,22,1,1),Table2,3,0))</f>
        <v>CAN_gaPMG_AZR_AZR_Q1_19_Trial-Social</v>
      </c>
      <c r="H144" s="1" t="n">
        <f aca="false">IFERROR(VLOOKUP(OFFSET(Table22,143,21,1,1),OFFSET(Table2,0,1,ROWS(Table2),8),3,0),VLOOKUP(OFFSET(Table22,143,22,1,1),Table2,4,0))</f>
        <v>21337220</v>
      </c>
      <c r="I144" s="2" t="n">
        <f aca="false">IFERROR(VLOOKUP(OFFSET(Table22,143,21,1,1),OFFSET(Table2,0,1,ROWS(Table2),8),4,0),VLOOKUP(OFFSET(Table22,143,22,1,1),Table2,5,0))</f>
        <v>720192</v>
      </c>
      <c r="J144" s="3" t="str">
        <f aca="false">IF(ISNUMBER(SEARCH("FACEBOOK",W144)),"Facebook",IF(ISNUMBER(SEARCH("INSTAGRAM",W144)),"Facebook-Instagram","Look at taxonomy"))</f>
        <v>Facebook</v>
      </c>
      <c r="K144" s="3" t="str">
        <f aca="false">IF(ISNUMBER(SEARCH("Facebook",J144)),"3654128","Not Facebook")</f>
        <v>3654128</v>
      </c>
      <c r="L144" s="3" t="str">
        <f aca="false">IFERROR(VLOOKUP(OFFSET(Table22,143,21,1,1),OFFSET(Table2,0,1,ROWS(Table2),8),7,0),VLOOKUP(OFFSET(Table22,143,22,1,1),Table2,8,0))</f>
        <v>AzurePlatform_FBCTCBenefit2inMotion_CAN_14s_ISV_PLAT_FR_Trial_Standard_STAN_TN_T4_1</v>
      </c>
      <c r="M144" s="2" t="n">
        <f aca="false">IFERROR(VLOOKUP(OFFSET(Table22,143,21,1,1),OFFSET(Table2,0,1,ROWS(Table2),8),8,0),VLOOKUP(OFFSET(Table22,143,22,1,1),Table2,9,0))</f>
        <v>102900688</v>
      </c>
      <c r="N144" s="15" t="s">
        <v>29</v>
      </c>
      <c r="O144" s="16" t="n">
        <v>43356</v>
      </c>
      <c r="P144" s="17" t="s">
        <v>64</v>
      </c>
      <c r="Q144" s="18" t="s">
        <v>65</v>
      </c>
      <c r="R144" s="17" t="s">
        <v>66</v>
      </c>
      <c r="S144" s="18" t="s">
        <v>45</v>
      </c>
      <c r="T144" s="17" t="s">
        <v>34</v>
      </c>
      <c r="U144" s="18" t="s">
        <v>39</v>
      </c>
      <c r="V144" s="19" t="n">
        <v>223691795</v>
      </c>
      <c r="W144" s="17" t="s">
        <v>87</v>
      </c>
      <c r="X144" s="17" t="n">
        <v>2654</v>
      </c>
      <c r="Y144" s="17" t="n">
        <v>5</v>
      </c>
      <c r="Z144" s="17" t="n">
        <v>66.13</v>
      </c>
      <c r="AA144" s="17" t="s">
        <v>68</v>
      </c>
      <c r="AB144" s="17" t="n">
        <v>0</v>
      </c>
    </row>
    <row r="145" customFormat="false" ht="15" hidden="false" customHeight="false" outlineLevel="0" collapsed="false">
      <c r="A145" s="1" t="str">
        <f aca="false">OFFSET(Table22,144,14,1,1)&amp;OFFSET(Table22,144,21,1,1)</f>
        <v>43356223691783</v>
      </c>
      <c r="B145" s="1" t="str">
        <f aca="false">OFFSET(Table22,144,14,1,1)&amp;OFFSET(Table22,144,22,1,1)</f>
        <v>43356Facebook»AZR»1x1»SocialBan»NA»ALL»DYN»RT»D»All»SS»NA»Free Account Retargeting VM - T1 - FR</v>
      </c>
      <c r="C145" s="1" t="s">
        <v>28</v>
      </c>
      <c r="D145" s="3" t="n">
        <f aca="false">O145+(7-WEEKDAY(O145))</f>
        <v>43358</v>
      </c>
      <c r="E145" s="1" t="str">
        <f aca="false">VLOOKUP(OFFSET(Table22,144,16,1,1),Key!B:D,2,0)</f>
        <v>Canada</v>
      </c>
      <c r="F145" s="1" t="str">
        <f aca="false">IF(ISNUMBER(SEARCH("Canvas",U145)),"Link",IF(ISNUMBER(SEARCH("Link",U145)),"Link","Not filled properly"))</f>
        <v>Link</v>
      </c>
      <c r="G145" s="1" t="str">
        <f aca="false">IFERROR(VLOOKUP(OFFSET(Table22,144,21,1,1),OFFSET(Table2,0,1,ROWS(Table2),8),2,0),VLOOKUP(OFFSET(Table22,144,22,1,1),Table2,3,0))</f>
        <v>CAN_gaPMG_AZR_AZR_Q1_19_Trial-Social</v>
      </c>
      <c r="H145" s="1" t="n">
        <f aca="false">IFERROR(VLOOKUP(OFFSET(Table22,144,21,1,1),OFFSET(Table2,0,1,ROWS(Table2),8),3,0),VLOOKUP(OFFSET(Table22,144,22,1,1),Table2,4,0))</f>
        <v>21337220</v>
      </c>
      <c r="I145" s="2" t="n">
        <f aca="false">IFERROR(VLOOKUP(OFFSET(Table22,144,21,1,1),OFFSET(Table2,0,1,ROWS(Table2),8),4,0),VLOOKUP(OFFSET(Table22,144,22,1,1),Table2,5,0))</f>
        <v>720192</v>
      </c>
      <c r="J145" s="3" t="str">
        <f aca="false">IF(ISNUMBER(SEARCH("FACEBOOK",W145)),"Facebook",IF(ISNUMBER(SEARCH("INSTAGRAM",W145)),"Facebook-Instagram","Look at taxonomy"))</f>
        <v>Facebook</v>
      </c>
      <c r="K145" s="3" t="str">
        <f aca="false">IF(ISNUMBER(SEARCH("Facebook",J145)),"3654128","Not Facebook")</f>
        <v>3654128</v>
      </c>
      <c r="L145" s="3" t="str">
        <f aca="false">IFERROR(VLOOKUP(OFFSET(Table22,144,21,1,1),OFFSET(Table2,0,1,ROWS(Table2),8),7,0),VLOOKUP(OFFSET(Table22,144,22,1,1),Table2,8,0))</f>
        <v>AzurePlatform_FreeAcctRetargetingVMFB-750Hrs-ChD_CAN_1200x628_SOC_Plat_FR_Free Account_Standard_NA_SU_T1_1</v>
      </c>
      <c r="M145" s="2" t="n">
        <f aca="false">IFERROR(VLOOKUP(OFFSET(Table22,144,21,1,1),OFFSET(Table2,0,1,ROWS(Table2),8),8,0),VLOOKUP(OFFSET(Table22,144,22,1,1),Table2,9,0))</f>
        <v>103058723</v>
      </c>
      <c r="N145" s="15" t="s">
        <v>29</v>
      </c>
      <c r="O145" s="16" t="n">
        <v>43356</v>
      </c>
      <c r="P145" s="17" t="s">
        <v>64</v>
      </c>
      <c r="Q145" s="18" t="s">
        <v>65</v>
      </c>
      <c r="R145" s="17" t="s">
        <v>66</v>
      </c>
      <c r="S145" s="18" t="s">
        <v>45</v>
      </c>
      <c r="T145" s="17" t="s">
        <v>34</v>
      </c>
      <c r="U145" s="18" t="s">
        <v>39</v>
      </c>
      <c r="V145" s="19" t="n">
        <v>223691783</v>
      </c>
      <c r="W145" s="17" t="s">
        <v>76</v>
      </c>
      <c r="X145" s="17" t="n">
        <v>152</v>
      </c>
      <c r="Y145" s="17" t="n">
        <v>0</v>
      </c>
      <c r="Z145" s="17" t="n">
        <v>5.92</v>
      </c>
      <c r="AA145" s="17" t="s">
        <v>68</v>
      </c>
      <c r="AB145" s="17" t="n">
        <v>0</v>
      </c>
    </row>
    <row r="146" customFormat="false" ht="15" hidden="false" customHeight="false" outlineLevel="0" collapsed="false">
      <c r="A146" s="1" t="str">
        <f aca="false">OFFSET(Table22,145,14,1,1)&amp;OFFSET(Table22,145,21,1,1)</f>
        <v>43356225322324</v>
      </c>
      <c r="B146" s="1" t="str">
        <f aca="false">OFFSET(Table22,145,14,1,1)&amp;OFFSET(Table22,145,22,1,1)</f>
        <v>43356Facebook»AZR»1x1»NA»SOC»ALL»DYN»PRO»D»All»SS»NA»Canvas - Buy Now - FR</v>
      </c>
      <c r="C146" s="1" t="s">
        <v>28</v>
      </c>
      <c r="D146" s="3" t="n">
        <f aca="false">O146+(7-WEEKDAY(O146))</f>
        <v>43358</v>
      </c>
      <c r="E146" s="1" t="str">
        <f aca="false">VLOOKUP(OFFSET(Table22,145,16,1,1),Key!B:D,2,0)</f>
        <v>Canada</v>
      </c>
      <c r="F146" s="1" t="str">
        <f aca="false">IF(ISNUMBER(SEARCH("Canvas",U146)),"Link",IF(ISNUMBER(SEARCH("Link",U146)),"Link","Not filled properly"))</f>
        <v>Link</v>
      </c>
      <c r="G146" s="1" t="str">
        <f aca="false">IFERROR(VLOOKUP(OFFSET(Table22,145,21,1,1),OFFSET(Table2,0,1,ROWS(Table2),8),2,0),VLOOKUP(OFFSET(Table22,145,22,1,1),Table2,3,0))</f>
        <v>CAN_gaPMG_AZR_AZR_Q1_19_Trial-Social</v>
      </c>
      <c r="H146" s="1" t="n">
        <f aca="false">IFERROR(VLOOKUP(OFFSET(Table22,145,21,1,1),OFFSET(Table2,0,1,ROWS(Table2),8),3,0),VLOOKUP(OFFSET(Table22,145,22,1,1),Table2,4,0))</f>
        <v>21337220</v>
      </c>
      <c r="I146" s="2" t="n">
        <f aca="false">IFERROR(VLOOKUP(OFFSET(Table22,145,21,1,1),OFFSET(Table2,0,1,ROWS(Table2),8),4,0),VLOOKUP(OFFSET(Table22,145,22,1,1),Table2,5,0))</f>
        <v>720192</v>
      </c>
      <c r="J146" s="3" t="str">
        <f aca="false">IF(ISNUMBER(SEARCH("FACEBOOK",W146)),"Facebook",IF(ISNUMBER(SEARCH("INSTAGRAM",W146)),"Facebook-Instagram","Look at taxonomy"))</f>
        <v>Facebook</v>
      </c>
      <c r="K146" s="3" t="str">
        <f aca="false">IF(ISNUMBER(SEARCH("Facebook",J146)),"3654128","Not Facebook")</f>
        <v>3654128</v>
      </c>
      <c r="L146" s="3" t="str">
        <f aca="false">IFERROR(VLOOKUP(OFFSET(Table22,145,21,1,1),OFFSET(Table2,0,1,ROWS(Table2),8),7,0),VLOOKUP(OFFSET(Table22,145,22,1,1),Table2,8,0))</f>
        <v>AzurePlatform_FBCTCcanvaspage-BuyNowCTA-Img3_CAN_1080x162_SOC_Plat_French_NA_Standard_NA_BN_T3_1</v>
      </c>
      <c r="M146" s="2" t="n">
        <f aca="false">IFERROR(VLOOKUP(OFFSET(Table22,145,21,1,1),OFFSET(Table2,0,1,ROWS(Table2),8),8,0),VLOOKUP(OFFSET(Table22,145,22,1,1),Table2,9,0))</f>
        <v>103789915</v>
      </c>
      <c r="N146" s="15" t="s">
        <v>29</v>
      </c>
      <c r="O146" s="16" t="n">
        <v>43356</v>
      </c>
      <c r="P146" s="17" t="s">
        <v>64</v>
      </c>
      <c r="Q146" s="18" t="s">
        <v>65</v>
      </c>
      <c r="R146" s="17" t="s">
        <v>66</v>
      </c>
      <c r="S146" s="18" t="s">
        <v>45</v>
      </c>
      <c r="T146" s="17" t="s">
        <v>34</v>
      </c>
      <c r="U146" s="18" t="s">
        <v>39</v>
      </c>
      <c r="V146" s="19" t="n">
        <v>225322324</v>
      </c>
      <c r="W146" s="17" t="s">
        <v>71</v>
      </c>
      <c r="X146" s="17" t="n">
        <v>53</v>
      </c>
      <c r="Y146" s="17" t="n">
        <v>0</v>
      </c>
      <c r="Z146" s="17" t="n">
        <v>1.18</v>
      </c>
      <c r="AA146" s="17" t="s">
        <v>68</v>
      </c>
      <c r="AB146" s="17" t="n">
        <v>0</v>
      </c>
    </row>
    <row r="147" customFormat="false" ht="15" hidden="false" customHeight="false" outlineLevel="0" collapsed="false">
      <c r="A147" s="1" t="str">
        <f aca="false">OFFSET(Table22,146,14,1,1)&amp;OFFSET(Table22,146,21,1,1)</f>
        <v>43356223691822</v>
      </c>
      <c r="B147" s="1" t="str">
        <f aca="false">OFFSET(Table22,146,14,1,1)&amp;OFFSET(Table22,146,22,1,1)</f>
        <v>43356Facebook»AZR»1x1»SocialBan»NA»ALL»DYN»RT»D»All»SS»NA»Free Account Retargeting VM - T2 - EN</v>
      </c>
      <c r="C147" s="1" t="s">
        <v>28</v>
      </c>
      <c r="D147" s="3" t="n">
        <f aca="false">O147+(7-WEEKDAY(O147))</f>
        <v>43358</v>
      </c>
      <c r="E147" s="1" t="str">
        <f aca="false">VLOOKUP(OFFSET(Table22,146,16,1,1),Key!B:D,2,0)</f>
        <v>Canada</v>
      </c>
      <c r="F147" s="1" t="str">
        <f aca="false">IF(ISNUMBER(SEARCH("Canvas",U147)),"Link",IF(ISNUMBER(SEARCH("Link",U147)),"Link","Not filled properly"))</f>
        <v>Link</v>
      </c>
      <c r="G147" s="1" t="str">
        <f aca="false">IFERROR(VLOOKUP(OFFSET(Table22,146,21,1,1),OFFSET(Table2,0,1,ROWS(Table2),8),2,0),VLOOKUP(OFFSET(Table22,146,22,1,1),Table2,3,0))</f>
        <v>CAN_gaPMG_AZR_AZR_Q1_19_Trial-Social</v>
      </c>
      <c r="H147" s="1" t="n">
        <f aca="false">IFERROR(VLOOKUP(OFFSET(Table22,146,21,1,1),OFFSET(Table2,0,1,ROWS(Table2),8),3,0),VLOOKUP(OFFSET(Table22,146,22,1,1),Table2,4,0))</f>
        <v>21337220</v>
      </c>
      <c r="I147" s="2" t="n">
        <f aca="false">IFERROR(VLOOKUP(OFFSET(Table22,146,21,1,1),OFFSET(Table2,0,1,ROWS(Table2),8),4,0),VLOOKUP(OFFSET(Table22,146,22,1,1),Table2,5,0))</f>
        <v>720192</v>
      </c>
      <c r="J147" s="3" t="str">
        <f aca="false">IF(ISNUMBER(SEARCH("FACEBOOK",W147)),"Facebook",IF(ISNUMBER(SEARCH("INSTAGRAM",W147)),"Facebook-Instagram","Look at taxonomy"))</f>
        <v>Facebook</v>
      </c>
      <c r="K147" s="3" t="str">
        <f aca="false">IF(ISNUMBER(SEARCH("Facebook",J147)),"3654128","Not Facebook")</f>
        <v>3654128</v>
      </c>
      <c r="L147" s="3" t="str">
        <f aca="false">IFERROR(VLOOKUP(OFFSET(Table22,146,21,1,1),OFFSET(Table2,0,1,ROWS(Table2),8),7,0),VLOOKUP(OFFSET(Table22,146,22,1,1),Table2,8,0))</f>
        <v>AzurePlatform_FreeAcctRetargetingVMFB-OnDemand-ChE_CAN_1200x628_SOC_Plat_EN_Free Account_Standard_NA_SU_T2_1</v>
      </c>
      <c r="M147" s="2" t="n">
        <f aca="false">IFERROR(VLOOKUP(OFFSET(Table22,146,21,1,1),OFFSET(Table2,0,1,ROWS(Table2),8),8,0),VLOOKUP(OFFSET(Table22,146,22,1,1),Table2,9,0))</f>
        <v>103058708</v>
      </c>
      <c r="N147" s="15" t="s">
        <v>29</v>
      </c>
      <c r="O147" s="16" t="n">
        <v>43356</v>
      </c>
      <c r="P147" s="17" t="s">
        <v>64</v>
      </c>
      <c r="Q147" s="18" t="s">
        <v>65</v>
      </c>
      <c r="R147" s="17" t="s">
        <v>66</v>
      </c>
      <c r="S147" s="18" t="s">
        <v>45</v>
      </c>
      <c r="T147" s="17" t="s">
        <v>34</v>
      </c>
      <c r="U147" s="18" t="s">
        <v>39</v>
      </c>
      <c r="V147" s="19" t="n">
        <v>223691822</v>
      </c>
      <c r="W147" s="17" t="s">
        <v>89</v>
      </c>
      <c r="X147" s="17" t="n">
        <v>3574</v>
      </c>
      <c r="Y147" s="17" t="n">
        <v>5</v>
      </c>
      <c r="Z147" s="17" t="n">
        <v>66.76</v>
      </c>
      <c r="AA147" s="17" t="s">
        <v>68</v>
      </c>
      <c r="AB147" s="17" t="n">
        <v>0</v>
      </c>
    </row>
    <row r="148" customFormat="false" ht="15" hidden="false" customHeight="false" outlineLevel="0" collapsed="false">
      <c r="A148" s="1" t="str">
        <f aca="false">OFFSET(Table22,147,14,1,1)&amp;OFFSET(Table22,147,21,1,1)</f>
        <v>43356223691837</v>
      </c>
      <c r="B148" s="1" t="str">
        <f aca="false">OFFSET(Table22,147,14,1,1)&amp;OFFSET(Table22,147,22,1,1)</f>
        <v>43356Facebook»AZR»1x1»NA»EGV»ALL»DYN»AUT»D»All»SS»NA»Free Acc CTC - T4 - EN</v>
      </c>
      <c r="C148" s="1" t="s">
        <v>28</v>
      </c>
      <c r="D148" s="3" t="n">
        <f aca="false">O148+(7-WEEKDAY(O148))</f>
        <v>43358</v>
      </c>
      <c r="E148" s="1" t="str">
        <f aca="false">VLOOKUP(OFFSET(Table22,147,16,1,1),Key!B:D,2,0)</f>
        <v>Canada</v>
      </c>
      <c r="F148" s="1" t="str">
        <f aca="false">IF(ISNUMBER(SEARCH("Canvas",U148)),"Link",IF(ISNUMBER(SEARCH("Link",U148)),"Link","Not filled properly"))</f>
        <v>Link</v>
      </c>
      <c r="G148" s="1" t="str">
        <f aca="false">IFERROR(VLOOKUP(OFFSET(Table22,147,21,1,1),OFFSET(Table2,0,1,ROWS(Table2),8),2,0),VLOOKUP(OFFSET(Table22,147,22,1,1),Table2,3,0))</f>
        <v>CAN_gaPMG_AZR_AZR_Q1_19_Trial-Social</v>
      </c>
      <c r="H148" s="1" t="n">
        <f aca="false">IFERROR(VLOOKUP(OFFSET(Table22,147,21,1,1),OFFSET(Table2,0,1,ROWS(Table2),8),3,0),VLOOKUP(OFFSET(Table22,147,22,1,1),Table2,4,0))</f>
        <v>21337220</v>
      </c>
      <c r="I148" s="2" t="n">
        <f aca="false">IFERROR(VLOOKUP(OFFSET(Table22,147,21,1,1),OFFSET(Table2,0,1,ROWS(Table2),8),4,0),VLOOKUP(OFFSET(Table22,147,22,1,1),Table2,5,0))</f>
        <v>720192</v>
      </c>
      <c r="J148" s="3" t="str">
        <f aca="false">IF(ISNUMBER(SEARCH("FACEBOOK",W148)),"Facebook",IF(ISNUMBER(SEARCH("INSTAGRAM",W148)),"Facebook-Instagram","Look at taxonomy"))</f>
        <v>Facebook</v>
      </c>
      <c r="K148" s="3" t="str">
        <f aca="false">IF(ISNUMBER(SEARCH("Facebook",J148)),"3654128","Not Facebook")</f>
        <v>3654128</v>
      </c>
      <c r="L148" s="3" t="str">
        <f aca="false">IFERROR(VLOOKUP(OFFSET(Table22,147,21,1,1),OFFSET(Table2,0,1,ROWS(Table2),8),7,0),VLOOKUP(OFFSET(Table22,147,22,1,1),Table2,8,0))</f>
        <v>AzurePlatform_FBCTCBenefit2inMotion_CAN_14s_ISV_PLAT_English_Trial_Standard_STAN_TN_T4_1</v>
      </c>
      <c r="M148" s="2" t="n">
        <f aca="false">IFERROR(VLOOKUP(OFFSET(Table22,147,21,1,1),OFFSET(Table2,0,1,ROWS(Table2),8),8,0),VLOOKUP(OFFSET(Table22,147,22,1,1),Table2,9,0))</f>
        <v>103053314</v>
      </c>
      <c r="N148" s="15" t="s">
        <v>29</v>
      </c>
      <c r="O148" s="16" t="n">
        <v>43356</v>
      </c>
      <c r="P148" s="17" t="s">
        <v>64</v>
      </c>
      <c r="Q148" s="18" t="s">
        <v>65</v>
      </c>
      <c r="R148" s="17" t="s">
        <v>66</v>
      </c>
      <c r="S148" s="18" t="s">
        <v>45</v>
      </c>
      <c r="T148" s="17" t="s">
        <v>34</v>
      </c>
      <c r="U148" s="18" t="s">
        <v>39</v>
      </c>
      <c r="V148" s="19" t="n">
        <v>223691837</v>
      </c>
      <c r="W148" s="17" t="s">
        <v>83</v>
      </c>
      <c r="X148" s="17" t="n">
        <v>7343</v>
      </c>
      <c r="Y148" s="17" t="n">
        <v>6</v>
      </c>
      <c r="Z148" s="17" t="n">
        <v>150.85</v>
      </c>
      <c r="AA148" s="17" t="s">
        <v>68</v>
      </c>
      <c r="AB148" s="17" t="n">
        <v>0</v>
      </c>
    </row>
    <row r="149" customFormat="false" ht="15" hidden="false" customHeight="false" outlineLevel="0" collapsed="false">
      <c r="A149" s="1" t="str">
        <f aca="false">OFFSET(Table22,148,14,1,1)&amp;OFFSET(Table22,148,21,1,1)</f>
        <v>43356223691792</v>
      </c>
      <c r="B149" s="1" t="str">
        <f aca="false">OFFSET(Table22,148,14,1,1)&amp;OFFSET(Table22,148,22,1,1)</f>
        <v>43356Facebook»AZR»1x1»SocialBan»NA»ALL»DYN»RT»D»All»SS»NA»Free Account Retargeting Generic - T2 - FR</v>
      </c>
      <c r="C149" s="1" t="s">
        <v>28</v>
      </c>
      <c r="D149" s="3" t="n">
        <f aca="false">O149+(7-WEEKDAY(O149))</f>
        <v>43358</v>
      </c>
      <c r="E149" s="1" t="str">
        <f aca="false">VLOOKUP(OFFSET(Table22,148,16,1,1),Key!B:D,2,0)</f>
        <v>Canada</v>
      </c>
      <c r="F149" s="1" t="str">
        <f aca="false">IF(ISNUMBER(SEARCH("Canvas",U149)),"Link",IF(ISNUMBER(SEARCH("Link",U149)),"Link","Not filled properly"))</f>
        <v>Link</v>
      </c>
      <c r="G149" s="1" t="str">
        <f aca="false">IFERROR(VLOOKUP(OFFSET(Table22,148,21,1,1),OFFSET(Table2,0,1,ROWS(Table2),8),2,0),VLOOKUP(OFFSET(Table22,148,22,1,1),Table2,3,0))</f>
        <v>CAN_gaPMG_AZR_AZR_Q1_19_Trial-Social</v>
      </c>
      <c r="H149" s="1" t="n">
        <f aca="false">IFERROR(VLOOKUP(OFFSET(Table22,148,21,1,1),OFFSET(Table2,0,1,ROWS(Table2),8),3,0),VLOOKUP(OFFSET(Table22,148,22,1,1),Table2,4,0))</f>
        <v>21337220</v>
      </c>
      <c r="I149" s="2" t="n">
        <f aca="false">IFERROR(VLOOKUP(OFFSET(Table22,148,21,1,1),OFFSET(Table2,0,1,ROWS(Table2),8),4,0),VLOOKUP(OFFSET(Table22,148,22,1,1),Table2,5,0))</f>
        <v>720192</v>
      </c>
      <c r="J149" s="3" t="str">
        <f aca="false">IF(ISNUMBER(SEARCH("FACEBOOK",W149)),"Facebook",IF(ISNUMBER(SEARCH("INSTAGRAM",W149)),"Facebook-Instagram","Look at taxonomy"))</f>
        <v>Facebook</v>
      </c>
      <c r="K149" s="3" t="str">
        <f aca="false">IF(ISNUMBER(SEARCH("Facebook",J149)),"3654128","Not Facebook")</f>
        <v>3654128</v>
      </c>
      <c r="L149" s="3" t="str">
        <f aca="false">IFERROR(VLOOKUP(OFFSET(Table22,148,21,1,1),OFFSET(Table2,0,1,ROWS(Table2),8),7,0),VLOOKUP(OFFSET(Table22,148,22,1,1),Table2,8,0))</f>
        <v>AzurePlatform_FreeAcctRetargetingFB-GlobalAlt-ChB_CAN_1200x628_SOC_Plat_FR_Free Account_Standard_NA_SU_T2_1</v>
      </c>
      <c r="M149" s="2" t="n">
        <f aca="false">IFERROR(VLOOKUP(OFFSET(Table22,148,21,1,1),OFFSET(Table2,0,1,ROWS(Table2),8),8,0),VLOOKUP(OFFSET(Table22,148,22,1,1),Table2,9,0))</f>
        <v>102901894</v>
      </c>
      <c r="N149" s="15" t="s">
        <v>29</v>
      </c>
      <c r="O149" s="16" t="n">
        <v>43356</v>
      </c>
      <c r="P149" s="17" t="s">
        <v>64</v>
      </c>
      <c r="Q149" s="18" t="s">
        <v>65</v>
      </c>
      <c r="R149" s="17" t="s">
        <v>66</v>
      </c>
      <c r="S149" s="18" t="s">
        <v>45</v>
      </c>
      <c r="T149" s="17" t="s">
        <v>34</v>
      </c>
      <c r="U149" s="18" t="s">
        <v>39</v>
      </c>
      <c r="V149" s="19" t="n">
        <v>223691792</v>
      </c>
      <c r="W149" s="17" t="s">
        <v>73</v>
      </c>
      <c r="X149" s="17" t="n">
        <v>438</v>
      </c>
      <c r="Y149" s="17" t="n">
        <v>1</v>
      </c>
      <c r="Z149" s="17" t="n">
        <v>10.45</v>
      </c>
      <c r="AA149" s="17" t="s">
        <v>68</v>
      </c>
      <c r="AB149" s="17" t="n">
        <v>0</v>
      </c>
    </row>
    <row r="150" customFormat="false" ht="15" hidden="false" customHeight="false" outlineLevel="0" collapsed="false">
      <c r="A150" s="1" t="str">
        <f aca="false">OFFSET(Table22,149,14,1,1)&amp;OFFSET(Table22,149,21,1,1)</f>
        <v>43356223691825</v>
      </c>
      <c r="B150" s="1" t="str">
        <f aca="false">OFFSET(Table22,149,14,1,1)&amp;OFFSET(Table22,149,22,1,1)</f>
        <v>43356Facebook»AZR»1x1»SocialBan»NA»ALL»DYN»RT»D»All»SS»NA»Free Account Retargeting VM - T1 - EN</v>
      </c>
      <c r="C150" s="1" t="s">
        <v>28</v>
      </c>
      <c r="D150" s="3" t="n">
        <f aca="false">O150+(7-WEEKDAY(O150))</f>
        <v>43358</v>
      </c>
      <c r="E150" s="1" t="str">
        <f aca="false">VLOOKUP(OFFSET(Table22,149,16,1,1),Key!B:D,2,0)</f>
        <v>Canada</v>
      </c>
      <c r="F150" s="1" t="str">
        <f aca="false">IF(ISNUMBER(SEARCH("Canvas",U150)),"Link",IF(ISNUMBER(SEARCH("Link",U150)),"Link","Not filled properly"))</f>
        <v>Link</v>
      </c>
      <c r="G150" s="1" t="str">
        <f aca="false">IFERROR(VLOOKUP(OFFSET(Table22,149,21,1,1),OFFSET(Table2,0,1,ROWS(Table2),8),2,0),VLOOKUP(OFFSET(Table22,149,22,1,1),Table2,3,0))</f>
        <v>CAN_gaPMG_AZR_AZR_Q1_19_Trial-Social</v>
      </c>
      <c r="H150" s="1" t="n">
        <f aca="false">IFERROR(VLOOKUP(OFFSET(Table22,149,21,1,1),OFFSET(Table2,0,1,ROWS(Table2),8),3,0),VLOOKUP(OFFSET(Table22,149,22,1,1),Table2,4,0))</f>
        <v>21337220</v>
      </c>
      <c r="I150" s="2" t="n">
        <f aca="false">IFERROR(VLOOKUP(OFFSET(Table22,149,21,1,1),OFFSET(Table2,0,1,ROWS(Table2),8),4,0),VLOOKUP(OFFSET(Table22,149,22,1,1),Table2,5,0))</f>
        <v>720192</v>
      </c>
      <c r="J150" s="3" t="str">
        <f aca="false">IF(ISNUMBER(SEARCH("FACEBOOK",W150)),"Facebook",IF(ISNUMBER(SEARCH("INSTAGRAM",W150)),"Facebook-Instagram","Look at taxonomy"))</f>
        <v>Facebook</v>
      </c>
      <c r="K150" s="3" t="str">
        <f aca="false">IF(ISNUMBER(SEARCH("Facebook",J150)),"3654128","Not Facebook")</f>
        <v>3654128</v>
      </c>
      <c r="L150" s="3" t="str">
        <f aca="false">IFERROR(VLOOKUP(OFFSET(Table22,149,21,1,1),OFFSET(Table2,0,1,ROWS(Table2),8),7,0),VLOOKUP(OFFSET(Table22,149,22,1,1),Table2,8,0))</f>
        <v>AzurePlatform_FreeAcctRetargetingVMFB-750Hrs-ChD_CAN_1200x628_SOC_Plat_EN_Free Account_Standard_NA_SU_T1_1</v>
      </c>
      <c r="M150" s="2" t="n">
        <f aca="false">IFERROR(VLOOKUP(OFFSET(Table22,149,21,1,1),OFFSET(Table2,0,1,ROWS(Table2),8),8,0),VLOOKUP(OFFSET(Table22,149,22,1,1),Table2,9,0))</f>
        <v>102916338</v>
      </c>
      <c r="N150" s="15" t="s">
        <v>29</v>
      </c>
      <c r="O150" s="16" t="n">
        <v>43356</v>
      </c>
      <c r="P150" s="17" t="s">
        <v>64</v>
      </c>
      <c r="Q150" s="18" t="s">
        <v>65</v>
      </c>
      <c r="R150" s="17" t="s">
        <v>66</v>
      </c>
      <c r="S150" s="18" t="s">
        <v>45</v>
      </c>
      <c r="T150" s="17" t="s">
        <v>34</v>
      </c>
      <c r="U150" s="18" t="s">
        <v>39</v>
      </c>
      <c r="V150" s="19" t="n">
        <v>223691825</v>
      </c>
      <c r="W150" s="17" t="s">
        <v>80</v>
      </c>
      <c r="X150" s="17" t="n">
        <v>3054</v>
      </c>
      <c r="Y150" s="17" t="n">
        <v>7</v>
      </c>
      <c r="Z150" s="17" t="n">
        <v>108.06</v>
      </c>
      <c r="AA150" s="17" t="s">
        <v>68</v>
      </c>
      <c r="AB150" s="17" t="n">
        <v>0</v>
      </c>
    </row>
    <row r="151" customFormat="false" ht="15" hidden="false" customHeight="false" outlineLevel="0" collapsed="false">
      <c r="A151" s="1" t="str">
        <f aca="false">OFFSET(Table22,150,14,1,1)&amp;OFFSET(Table22,150,21,1,1)</f>
        <v>43355227522771</v>
      </c>
      <c r="B151" s="1" t="str">
        <f aca="false">OFFSET(Table22,150,14,1,1)&amp;OFFSET(Table22,150,22,1,1)</f>
        <v>43355Facebook»AZR»1x1»NA»NA»ALL»DYN»AUT»D»All»SS»NA»Free Account Create to Convert FB - Canvas - Brand - Start Free - FR</v>
      </c>
      <c r="C151" s="1" t="s">
        <v>28</v>
      </c>
      <c r="D151" s="3" t="n">
        <f aca="false">O151+(7-WEEKDAY(O151))</f>
        <v>43358</v>
      </c>
      <c r="E151" s="1" t="str">
        <f aca="false">VLOOKUP(OFFSET(Table22,150,16,1,1),Key!B:D,2,0)</f>
        <v>Canada</v>
      </c>
      <c r="F151" s="1" t="str">
        <f aca="false">IF(ISNUMBER(SEARCH("Canvas",U151)),"Link",IF(ISNUMBER(SEARCH("Link",U151)),"Link","Not filled properly"))</f>
        <v>Link</v>
      </c>
      <c r="G151" s="1" t="str">
        <f aca="false">IFERROR(VLOOKUP(OFFSET(Table22,150,21,1,1),OFFSET(Table2,0,1,ROWS(Table2),8),2,0),VLOOKUP(OFFSET(Table22,150,22,1,1),Table2,3,0))</f>
        <v>CAN_gaPMG_AZR_AZR_Q1_19_Trial-Social</v>
      </c>
      <c r="H151" s="1" t="n">
        <f aca="false">IFERROR(VLOOKUP(OFFSET(Table22,150,21,1,1),OFFSET(Table2,0,1,ROWS(Table2),8),3,0),VLOOKUP(OFFSET(Table22,150,22,1,1),Table2,4,0))</f>
        <v>21337220</v>
      </c>
      <c r="I151" s="2" t="n">
        <f aca="false">IFERROR(VLOOKUP(OFFSET(Table22,150,21,1,1),OFFSET(Table2,0,1,ROWS(Table2),8),4,0),VLOOKUP(OFFSET(Table22,150,22,1,1),Table2,5,0))</f>
        <v>720192</v>
      </c>
      <c r="J151" s="3" t="str">
        <f aca="false">IF(ISNUMBER(SEARCH("FACEBOOK",W151)),"Facebook",IF(ISNUMBER(SEARCH("INSTAGRAM",W151)),"Facebook-Instagram","Look at taxonomy"))</f>
        <v>Facebook</v>
      </c>
      <c r="K151" s="3" t="str">
        <f aca="false">IF(ISNUMBER(SEARCH("Facebook",J151)),"3654128","Not Facebook")</f>
        <v>3654128</v>
      </c>
      <c r="L151" s="3" t="str">
        <f aca="false">IFERROR(VLOOKUP(OFFSET(Table22,150,21,1,1),OFFSET(Table2,0,1,ROWS(Table2),8),7,0),VLOOKUP(OFFSET(Table22,150,22,1,1),Table2,8,0))</f>
        <v>AzurePlatform_FBCTCBrandinMotion_CAN_1080x1080_SOC_12s_ISV_FR_Standard_NA_FTR_T2_1</v>
      </c>
      <c r="M151" s="2" t="n">
        <f aca="false">IFERROR(VLOOKUP(OFFSET(Table22,150,21,1,1),OFFSET(Table2,0,1,ROWS(Table2),8),8,0),VLOOKUP(OFFSET(Table22,150,22,1,1),Table2,9,0))</f>
        <v>105130128</v>
      </c>
      <c r="N151" s="15" t="s">
        <v>29</v>
      </c>
      <c r="O151" s="16" t="n">
        <v>43355</v>
      </c>
      <c r="P151" s="17" t="s">
        <v>64</v>
      </c>
      <c r="Q151" s="18" t="s">
        <v>65</v>
      </c>
      <c r="R151" s="17" t="s">
        <v>66</v>
      </c>
      <c r="S151" s="18" t="s">
        <v>45</v>
      </c>
      <c r="T151" s="17" t="s">
        <v>34</v>
      </c>
      <c r="U151" s="18" t="s">
        <v>39</v>
      </c>
      <c r="V151" s="19" t="n">
        <v>227522771</v>
      </c>
      <c r="W151" s="17" t="s">
        <v>78</v>
      </c>
      <c r="X151" s="17" t="n">
        <v>147</v>
      </c>
      <c r="Y151" s="17" t="n">
        <v>0</v>
      </c>
      <c r="Z151" s="17" t="n">
        <v>1.93</v>
      </c>
      <c r="AA151" s="17" t="s">
        <v>68</v>
      </c>
      <c r="AB151" s="17" t="n">
        <v>0</v>
      </c>
    </row>
    <row r="152" customFormat="false" ht="15" hidden="false" customHeight="false" outlineLevel="0" collapsed="false">
      <c r="A152" s="1" t="str">
        <f aca="false">OFFSET(Table22,151,14,1,1)&amp;OFFSET(Table22,151,21,1,1)</f>
        <v>43355223691777</v>
      </c>
      <c r="B152" s="1" t="str">
        <f aca="false">OFFSET(Table22,151,14,1,1)&amp;OFFSET(Table22,151,22,1,1)</f>
        <v>43355Facebook»AZR»1x1»SocialBan»NA»ALL»DYN»RT»D»All»SS»NA»Free Account Retargeting Generic - T3 - FR</v>
      </c>
      <c r="C152" s="1" t="s">
        <v>28</v>
      </c>
      <c r="D152" s="3" t="n">
        <f aca="false">O152+(7-WEEKDAY(O152))</f>
        <v>43358</v>
      </c>
      <c r="E152" s="1" t="str">
        <f aca="false">VLOOKUP(OFFSET(Table22,151,16,1,1),Key!B:D,2,0)</f>
        <v>Canada</v>
      </c>
      <c r="F152" s="1" t="str">
        <f aca="false">IF(ISNUMBER(SEARCH("Canvas",U152)),"Link",IF(ISNUMBER(SEARCH("Link",U152)),"Link","Not filled properly"))</f>
        <v>Link</v>
      </c>
      <c r="G152" s="1" t="str">
        <f aca="false">IFERROR(VLOOKUP(OFFSET(Table22,151,21,1,1),OFFSET(Table2,0,1,ROWS(Table2),8),2,0),VLOOKUP(OFFSET(Table22,151,22,1,1),Table2,3,0))</f>
        <v>CAN_gaPMG_AZR_AZR_Q1_19_Trial-Social</v>
      </c>
      <c r="H152" s="1" t="n">
        <f aca="false">IFERROR(VLOOKUP(OFFSET(Table22,151,21,1,1),OFFSET(Table2,0,1,ROWS(Table2),8),3,0),VLOOKUP(OFFSET(Table22,151,22,1,1),Table2,4,0))</f>
        <v>21337220</v>
      </c>
      <c r="I152" s="2" t="n">
        <f aca="false">IFERROR(VLOOKUP(OFFSET(Table22,151,21,1,1),OFFSET(Table2,0,1,ROWS(Table2),8),4,0),VLOOKUP(OFFSET(Table22,151,22,1,1),Table2,5,0))</f>
        <v>720192</v>
      </c>
      <c r="J152" s="3" t="str">
        <f aca="false">IF(ISNUMBER(SEARCH("FACEBOOK",W152)),"Facebook",IF(ISNUMBER(SEARCH("INSTAGRAM",W152)),"Facebook-Instagram","Look at taxonomy"))</f>
        <v>Facebook</v>
      </c>
      <c r="K152" s="3" t="str">
        <f aca="false">IF(ISNUMBER(SEARCH("Facebook",J152)),"3654128","Not Facebook")</f>
        <v>3654128</v>
      </c>
      <c r="L152" s="3" t="str">
        <f aca="false">IFERROR(VLOOKUP(OFFSET(Table22,151,21,1,1),OFFSET(Table2,0,1,ROWS(Table2),8),7,0),VLOOKUP(OFFSET(Table22,151,22,1,1),Table2,8,0))</f>
        <v>AzurePlatform_FreeAcctRetargetingFB-Animated-ChC_CAN_1200x628_SOC_Plat_FR_Free Account_Standard_ANI_SU_T3_1</v>
      </c>
      <c r="M152" s="2" t="n">
        <f aca="false">IFERROR(VLOOKUP(OFFSET(Table22,151,21,1,1),OFFSET(Table2,0,1,ROWS(Table2),8),8,0),VLOOKUP(OFFSET(Table22,151,22,1,1),Table2,9,0))</f>
        <v>102900697</v>
      </c>
      <c r="N152" s="15" t="s">
        <v>29</v>
      </c>
      <c r="O152" s="16" t="n">
        <v>43355</v>
      </c>
      <c r="P152" s="17" t="s">
        <v>64</v>
      </c>
      <c r="Q152" s="18" t="s">
        <v>65</v>
      </c>
      <c r="R152" s="17" t="s">
        <v>66</v>
      </c>
      <c r="S152" s="18" t="s">
        <v>45</v>
      </c>
      <c r="T152" s="17" t="s">
        <v>34</v>
      </c>
      <c r="U152" s="18" t="s">
        <v>39</v>
      </c>
      <c r="V152" s="19" t="n">
        <v>223691777</v>
      </c>
      <c r="W152" s="17" t="s">
        <v>72</v>
      </c>
      <c r="X152" s="17" t="n">
        <v>1152</v>
      </c>
      <c r="Y152" s="17" t="n">
        <v>7</v>
      </c>
      <c r="Z152" s="17" t="n">
        <v>41.56</v>
      </c>
      <c r="AA152" s="17" t="s">
        <v>68</v>
      </c>
      <c r="AB152" s="17" t="n">
        <v>0</v>
      </c>
    </row>
    <row r="153" customFormat="false" ht="15" hidden="false" customHeight="false" outlineLevel="0" collapsed="false">
      <c r="A153" s="1" t="str">
        <f aca="false">OFFSET(Table22,152,14,1,1)&amp;OFFSET(Table22,152,21,1,1)</f>
        <v>43355223691798</v>
      </c>
      <c r="B153" s="1" t="str">
        <f aca="false">OFFSET(Table22,152,14,1,1)&amp;OFFSET(Table22,152,22,1,1)</f>
        <v>43355Facebook»AZR»1x1»NA»EGV»ALL»DYN»AUT»D»All»SS»NA»Free Acc CTC - T2 - FR</v>
      </c>
      <c r="C153" s="1" t="s">
        <v>28</v>
      </c>
      <c r="D153" s="3" t="n">
        <f aca="false">O153+(7-WEEKDAY(O153))</f>
        <v>43358</v>
      </c>
      <c r="E153" s="1" t="str">
        <f aca="false">VLOOKUP(OFFSET(Table22,152,16,1,1),Key!B:D,2,0)</f>
        <v>Canada</v>
      </c>
      <c r="F153" s="1" t="str">
        <f aca="false">IF(ISNUMBER(SEARCH("Canvas",U153)),"Link",IF(ISNUMBER(SEARCH("Link",U153)),"Link","Not filled properly"))</f>
        <v>Link</v>
      </c>
      <c r="G153" s="1" t="str">
        <f aca="false">IFERROR(VLOOKUP(OFFSET(Table22,152,21,1,1),OFFSET(Table2,0,1,ROWS(Table2),8),2,0),VLOOKUP(OFFSET(Table22,152,22,1,1),Table2,3,0))</f>
        <v>CAN_gaPMG_AZR_AZR_Q1_19_Trial-Social</v>
      </c>
      <c r="H153" s="1" t="n">
        <f aca="false">IFERROR(VLOOKUP(OFFSET(Table22,152,21,1,1),OFFSET(Table2,0,1,ROWS(Table2),8),3,0),VLOOKUP(OFFSET(Table22,152,22,1,1),Table2,4,0))</f>
        <v>21337220</v>
      </c>
      <c r="I153" s="2" t="n">
        <f aca="false">IFERROR(VLOOKUP(OFFSET(Table22,152,21,1,1),OFFSET(Table2,0,1,ROWS(Table2),8),4,0),VLOOKUP(OFFSET(Table22,152,22,1,1),Table2,5,0))</f>
        <v>720192</v>
      </c>
      <c r="J153" s="3" t="str">
        <f aca="false">IF(ISNUMBER(SEARCH("FACEBOOK",W153)),"Facebook",IF(ISNUMBER(SEARCH("INSTAGRAM",W153)),"Facebook-Instagram","Look at taxonomy"))</f>
        <v>Facebook</v>
      </c>
      <c r="K153" s="3" t="str">
        <f aca="false">IF(ISNUMBER(SEARCH("Facebook",J153)),"3654128","Not Facebook")</f>
        <v>3654128</v>
      </c>
      <c r="L153" s="3" t="str">
        <f aca="false">IFERROR(VLOOKUP(OFFSET(Table22,152,21,1,1),OFFSET(Table2,0,1,ROWS(Table2),8),7,0),VLOOKUP(OFFSET(Table22,152,22,1,1),Table2,8,0))</f>
        <v>AzurePlatform_FBCTCBrandinMotion_CAN_12s_ISV_PLAT_FR_Trial_Standard_STAN_TN_T2_1</v>
      </c>
      <c r="M153" s="2" t="n">
        <f aca="false">IFERROR(VLOOKUP(OFFSET(Table22,152,21,1,1),OFFSET(Table2,0,1,ROWS(Table2),8),8,0),VLOOKUP(OFFSET(Table22,152,22,1,1),Table2,9,0))</f>
        <v>102916347</v>
      </c>
      <c r="N153" s="15" t="s">
        <v>29</v>
      </c>
      <c r="O153" s="16" t="n">
        <v>43355</v>
      </c>
      <c r="P153" s="17" t="s">
        <v>64</v>
      </c>
      <c r="Q153" s="18" t="s">
        <v>65</v>
      </c>
      <c r="R153" s="17" t="s">
        <v>66</v>
      </c>
      <c r="S153" s="18" t="s">
        <v>45</v>
      </c>
      <c r="T153" s="17" t="s">
        <v>34</v>
      </c>
      <c r="U153" s="18" t="s">
        <v>39</v>
      </c>
      <c r="V153" s="19" t="n">
        <v>223691798</v>
      </c>
      <c r="W153" s="17" t="s">
        <v>69</v>
      </c>
      <c r="X153" s="17" t="n">
        <v>1250</v>
      </c>
      <c r="Y153" s="17" t="n">
        <v>2</v>
      </c>
      <c r="Z153" s="17" t="n">
        <v>32.62</v>
      </c>
      <c r="AA153" s="17" t="s">
        <v>68</v>
      </c>
      <c r="AB153" s="17" t="n">
        <v>0</v>
      </c>
    </row>
    <row r="154" customFormat="false" ht="15" hidden="false" customHeight="false" outlineLevel="0" collapsed="false">
      <c r="A154" s="1" t="str">
        <f aca="false">OFFSET(Table22,153,14,1,1)&amp;OFFSET(Table22,153,21,1,1)</f>
        <v>43355223691840</v>
      </c>
      <c r="B154" s="1" t="str">
        <f aca="false">OFFSET(Table22,153,14,1,1)&amp;OFFSET(Table22,153,22,1,1)</f>
        <v>43355Facebook»AZR»1x1»NA»EGV»ALL»DYN»AUT»D»All»SS»NA»Free Acc CTC - T2 - EN</v>
      </c>
      <c r="C154" s="1" t="s">
        <v>28</v>
      </c>
      <c r="D154" s="3" t="n">
        <f aca="false">O154+(7-WEEKDAY(O154))</f>
        <v>43358</v>
      </c>
      <c r="E154" s="1" t="str">
        <f aca="false">VLOOKUP(OFFSET(Table22,153,16,1,1),Key!B:D,2,0)</f>
        <v>Canada</v>
      </c>
      <c r="F154" s="1" t="str">
        <f aca="false">IF(ISNUMBER(SEARCH("Canvas",U154)),"Link",IF(ISNUMBER(SEARCH("Link",U154)),"Link","Not filled properly"))</f>
        <v>Link</v>
      </c>
      <c r="G154" s="1" t="str">
        <f aca="false">IFERROR(VLOOKUP(OFFSET(Table22,153,21,1,1),OFFSET(Table2,0,1,ROWS(Table2),8),2,0),VLOOKUP(OFFSET(Table22,153,22,1,1),Table2,3,0))</f>
        <v>CAN_gaPMG_AZR_AZR_Q1_19_Trial-Social</v>
      </c>
      <c r="H154" s="1" t="n">
        <f aca="false">IFERROR(VLOOKUP(OFFSET(Table22,153,21,1,1),OFFSET(Table2,0,1,ROWS(Table2),8),3,0),VLOOKUP(OFFSET(Table22,153,22,1,1),Table2,4,0))</f>
        <v>21337220</v>
      </c>
      <c r="I154" s="2" t="n">
        <f aca="false">IFERROR(VLOOKUP(OFFSET(Table22,153,21,1,1),OFFSET(Table2,0,1,ROWS(Table2),8),4,0),VLOOKUP(OFFSET(Table22,153,22,1,1),Table2,5,0))</f>
        <v>720192</v>
      </c>
      <c r="J154" s="3" t="str">
        <f aca="false">IF(ISNUMBER(SEARCH("FACEBOOK",W154)),"Facebook",IF(ISNUMBER(SEARCH("INSTAGRAM",W154)),"Facebook-Instagram","Look at taxonomy"))</f>
        <v>Facebook</v>
      </c>
      <c r="K154" s="3" t="str">
        <f aca="false">IF(ISNUMBER(SEARCH("Facebook",J154)),"3654128","Not Facebook")</f>
        <v>3654128</v>
      </c>
      <c r="L154" s="3" t="str">
        <f aca="false">IFERROR(VLOOKUP(OFFSET(Table22,153,21,1,1),OFFSET(Table2,0,1,ROWS(Table2),8),7,0),VLOOKUP(OFFSET(Table22,153,22,1,1),Table2,8,0))</f>
        <v>AzurePlatform_FBCTCBrandinMotion_CAN_12s_ISV_PLAT_English_Trial_Standard_STAN_TN_T2_1</v>
      </c>
      <c r="M154" s="2" t="n">
        <f aca="false">IFERROR(VLOOKUP(OFFSET(Table22,153,21,1,1),OFFSET(Table2,0,1,ROWS(Table2),8),8,0),VLOOKUP(OFFSET(Table22,153,22,1,1),Table2,9,0))</f>
        <v>102902950</v>
      </c>
      <c r="N154" s="15" t="s">
        <v>29</v>
      </c>
      <c r="O154" s="16" t="n">
        <v>43355</v>
      </c>
      <c r="P154" s="17" t="s">
        <v>64</v>
      </c>
      <c r="Q154" s="18" t="s">
        <v>65</v>
      </c>
      <c r="R154" s="17" t="s">
        <v>66</v>
      </c>
      <c r="S154" s="18" t="s">
        <v>45</v>
      </c>
      <c r="T154" s="17" t="s">
        <v>34</v>
      </c>
      <c r="U154" s="18" t="s">
        <v>39</v>
      </c>
      <c r="V154" s="19" t="n">
        <v>223691840</v>
      </c>
      <c r="W154" s="17" t="s">
        <v>77</v>
      </c>
      <c r="X154" s="17" t="n">
        <v>839</v>
      </c>
      <c r="Y154" s="17" t="n">
        <v>2</v>
      </c>
      <c r="Z154" s="17" t="n">
        <v>16.11</v>
      </c>
      <c r="AA154" s="17" t="s">
        <v>68</v>
      </c>
      <c r="AB154" s="17" t="n">
        <v>0</v>
      </c>
    </row>
    <row r="155" customFormat="false" ht="15" hidden="false" customHeight="false" outlineLevel="0" collapsed="false">
      <c r="A155" s="1" t="str">
        <f aca="false">OFFSET(Table22,154,14,1,1)&amp;OFFSET(Table22,154,21,1,1)</f>
        <v>43355223691801</v>
      </c>
      <c r="B155" s="1" t="str">
        <f aca="false">OFFSET(Table22,154,14,1,1)&amp;OFFSET(Table22,154,22,1,1)</f>
        <v>43355Facebook»AZR»1x1»NA»EGV»ALL»DYN»AUT»D»All»SS»NA»Free Acc CTC - T1 - FR</v>
      </c>
      <c r="C155" s="1" t="s">
        <v>28</v>
      </c>
      <c r="D155" s="3" t="n">
        <f aca="false">O155+(7-WEEKDAY(O155))</f>
        <v>43358</v>
      </c>
      <c r="E155" s="1" t="str">
        <f aca="false">VLOOKUP(OFFSET(Table22,154,16,1,1),Key!B:D,2,0)</f>
        <v>Canada</v>
      </c>
      <c r="F155" s="1" t="str">
        <f aca="false">IF(ISNUMBER(SEARCH("Canvas",U155)),"Link",IF(ISNUMBER(SEARCH("Link",U155)),"Link","Not filled properly"))</f>
        <v>Link</v>
      </c>
      <c r="G155" s="1" t="str">
        <f aca="false">IFERROR(VLOOKUP(OFFSET(Table22,154,21,1,1),OFFSET(Table2,0,1,ROWS(Table2),8),2,0),VLOOKUP(OFFSET(Table22,154,22,1,1),Table2,3,0))</f>
        <v>CAN_gaPMG_AZR_AZR_Q1_19_Trial-Social</v>
      </c>
      <c r="H155" s="1" t="n">
        <f aca="false">IFERROR(VLOOKUP(OFFSET(Table22,154,21,1,1),OFFSET(Table2,0,1,ROWS(Table2),8),3,0),VLOOKUP(OFFSET(Table22,154,22,1,1),Table2,4,0))</f>
        <v>21337220</v>
      </c>
      <c r="I155" s="2" t="n">
        <f aca="false">IFERROR(VLOOKUP(OFFSET(Table22,154,21,1,1),OFFSET(Table2,0,1,ROWS(Table2),8),4,0),VLOOKUP(OFFSET(Table22,154,22,1,1),Table2,5,0))</f>
        <v>720192</v>
      </c>
      <c r="J155" s="3" t="str">
        <f aca="false">IF(ISNUMBER(SEARCH("FACEBOOK",W155)),"Facebook",IF(ISNUMBER(SEARCH("INSTAGRAM",W155)),"Facebook-Instagram","Look at taxonomy"))</f>
        <v>Facebook</v>
      </c>
      <c r="K155" s="3" t="str">
        <f aca="false">IF(ISNUMBER(SEARCH("Facebook",J155)),"3654128","Not Facebook")</f>
        <v>3654128</v>
      </c>
      <c r="L155" s="3" t="str">
        <f aca="false">IFERROR(VLOOKUP(OFFSET(Table22,154,21,1,1),OFFSET(Table2,0,1,ROWS(Table2),8),7,0),VLOOKUP(OFFSET(Table22,154,22,1,1),Table2,8,0))</f>
        <v>AzurePlatform_FBCTCBasicMotion_CAN_10s_ISV_PLAT_FR_Trial_Standard_STAN_TN_T1_1</v>
      </c>
      <c r="M155" s="2" t="n">
        <f aca="false">IFERROR(VLOOKUP(OFFSET(Table22,154,21,1,1),OFFSET(Table2,0,1,ROWS(Table2),8),8,0),VLOOKUP(OFFSET(Table22,154,22,1,1),Table2,9,0))</f>
        <v>103053323</v>
      </c>
      <c r="N155" s="15" t="s">
        <v>29</v>
      </c>
      <c r="O155" s="16" t="n">
        <v>43355</v>
      </c>
      <c r="P155" s="17" t="s">
        <v>64</v>
      </c>
      <c r="Q155" s="18" t="s">
        <v>65</v>
      </c>
      <c r="R155" s="17" t="s">
        <v>66</v>
      </c>
      <c r="S155" s="18" t="s">
        <v>45</v>
      </c>
      <c r="T155" s="17" t="s">
        <v>34</v>
      </c>
      <c r="U155" s="18" t="s">
        <v>39</v>
      </c>
      <c r="V155" s="19" t="n">
        <v>223691801</v>
      </c>
      <c r="W155" s="17" t="s">
        <v>79</v>
      </c>
      <c r="X155" s="17" t="n">
        <v>196</v>
      </c>
      <c r="Y155" s="17" t="n">
        <v>2</v>
      </c>
      <c r="Z155" s="17" t="n">
        <v>4.43</v>
      </c>
      <c r="AA155" s="17" t="s">
        <v>68</v>
      </c>
      <c r="AB155" s="17" t="n">
        <v>0</v>
      </c>
    </row>
    <row r="156" customFormat="false" ht="15" hidden="false" customHeight="false" outlineLevel="0" collapsed="false">
      <c r="A156" s="1" t="str">
        <f aca="false">OFFSET(Table22,155,14,1,1)&amp;OFFSET(Table22,155,21,1,1)</f>
        <v>43355223691831</v>
      </c>
      <c r="B156" s="1" t="str">
        <f aca="false">OFFSET(Table22,155,14,1,1)&amp;OFFSET(Table22,155,22,1,1)</f>
        <v>43355Facebook»AZR»1x1»SocialBan»NA»ALL»DYN»RT»D»All»SS»NA» Free Account Retargeting OSS - T2 - EN</v>
      </c>
      <c r="C156" s="1" t="s">
        <v>28</v>
      </c>
      <c r="D156" s="3" t="n">
        <f aca="false">O156+(7-WEEKDAY(O156))</f>
        <v>43358</v>
      </c>
      <c r="E156" s="1" t="str">
        <f aca="false">VLOOKUP(OFFSET(Table22,155,16,1,1),Key!B:D,2,0)</f>
        <v>Canada</v>
      </c>
      <c r="F156" s="1" t="str">
        <f aca="false">IF(ISNUMBER(SEARCH("Canvas",U156)),"Link",IF(ISNUMBER(SEARCH("Link",U156)),"Link","Not filled properly"))</f>
        <v>Link</v>
      </c>
      <c r="G156" s="1" t="str">
        <f aca="false">IFERROR(VLOOKUP(OFFSET(Table22,155,21,1,1),OFFSET(Table2,0,1,ROWS(Table2),8),2,0),VLOOKUP(OFFSET(Table22,155,22,1,1),Table2,3,0))</f>
        <v>CAN_gaPMG_AZR_AZR_Q1_19_Trial-Social</v>
      </c>
      <c r="H156" s="1" t="n">
        <f aca="false">IFERROR(VLOOKUP(OFFSET(Table22,155,21,1,1),OFFSET(Table2,0,1,ROWS(Table2),8),3,0),VLOOKUP(OFFSET(Table22,155,22,1,1),Table2,4,0))</f>
        <v>21337220</v>
      </c>
      <c r="I156" s="2" t="n">
        <f aca="false">IFERROR(VLOOKUP(OFFSET(Table22,155,21,1,1),OFFSET(Table2,0,1,ROWS(Table2),8),4,0),VLOOKUP(OFFSET(Table22,155,22,1,1),Table2,5,0))</f>
        <v>720192</v>
      </c>
      <c r="J156" s="3" t="str">
        <f aca="false">IF(ISNUMBER(SEARCH("FACEBOOK",W156)),"Facebook",IF(ISNUMBER(SEARCH("INSTAGRAM",W156)),"Facebook-Instagram","Look at taxonomy"))</f>
        <v>Facebook</v>
      </c>
      <c r="K156" s="3" t="str">
        <f aca="false">IF(ISNUMBER(SEARCH("Facebook",J156)),"3654128","Not Facebook")</f>
        <v>3654128</v>
      </c>
      <c r="L156" s="3" t="str">
        <f aca="false">IFERROR(VLOOKUP(OFFSET(Table22,155,21,1,1),OFFSET(Table2,0,1,ROWS(Table2),8),7,0),VLOOKUP(OFFSET(Table22,155,22,1,1),Table2,8,0))</f>
        <v>AzurePlatform_FreeAcctRetargetingOSSFB-Logos-ChG_CAN_1200x628_SOC_Plat_EN_Free Account_Standard_NA_SU_T2_1</v>
      </c>
      <c r="M156" s="2" t="n">
        <f aca="false">IFERROR(VLOOKUP(OFFSET(Table22,155,21,1,1),OFFSET(Table2,0,1,ROWS(Table2),8),8,0),VLOOKUP(OFFSET(Table22,155,22,1,1),Table2,9,0))</f>
        <v>102913800</v>
      </c>
      <c r="N156" s="15" t="s">
        <v>29</v>
      </c>
      <c r="O156" s="16" t="n">
        <v>43355</v>
      </c>
      <c r="P156" s="17" t="s">
        <v>64</v>
      </c>
      <c r="Q156" s="18" t="s">
        <v>65</v>
      </c>
      <c r="R156" s="17" t="s">
        <v>66</v>
      </c>
      <c r="S156" s="18" t="s">
        <v>45</v>
      </c>
      <c r="T156" s="17" t="s">
        <v>34</v>
      </c>
      <c r="U156" s="18" t="s">
        <v>39</v>
      </c>
      <c r="V156" s="19" t="n">
        <v>223691831</v>
      </c>
      <c r="W156" s="17" t="s">
        <v>70</v>
      </c>
      <c r="X156" s="17" t="n">
        <v>2054</v>
      </c>
      <c r="Y156" s="17" t="n">
        <v>3</v>
      </c>
      <c r="Z156" s="17" t="n">
        <v>55.17</v>
      </c>
      <c r="AA156" s="17" t="s">
        <v>68</v>
      </c>
      <c r="AB156" s="17" t="n">
        <v>0</v>
      </c>
    </row>
    <row r="157" customFormat="false" ht="15" hidden="false" customHeight="false" outlineLevel="0" collapsed="false">
      <c r="A157" s="1" t="str">
        <f aca="false">OFFSET(Table22,156,14,1,1)&amp;OFFSET(Table22,156,21,1,1)</f>
        <v>43355223691825</v>
      </c>
      <c r="B157" s="1" t="str">
        <f aca="false">OFFSET(Table22,156,14,1,1)&amp;OFFSET(Table22,156,22,1,1)</f>
        <v>43355Facebook»AZR»1x1»SocialBan»NA»ALL»DYN»RT»D»All»SS»NA»Free Account Retargeting VM - T1 - EN</v>
      </c>
      <c r="C157" s="1" t="s">
        <v>28</v>
      </c>
      <c r="D157" s="3" t="n">
        <f aca="false">O157+(7-WEEKDAY(O157))</f>
        <v>43358</v>
      </c>
      <c r="E157" s="1" t="str">
        <f aca="false">VLOOKUP(OFFSET(Table22,156,16,1,1),Key!B:D,2,0)</f>
        <v>Canada</v>
      </c>
      <c r="F157" s="1" t="str">
        <f aca="false">IF(ISNUMBER(SEARCH("Canvas",U157)),"Link",IF(ISNUMBER(SEARCH("Link",U157)),"Link","Not filled properly"))</f>
        <v>Link</v>
      </c>
      <c r="G157" s="1" t="str">
        <f aca="false">IFERROR(VLOOKUP(OFFSET(Table22,156,21,1,1),OFFSET(Table2,0,1,ROWS(Table2),8),2,0),VLOOKUP(OFFSET(Table22,156,22,1,1),Table2,3,0))</f>
        <v>CAN_gaPMG_AZR_AZR_Q1_19_Trial-Social</v>
      </c>
      <c r="H157" s="1" t="n">
        <f aca="false">IFERROR(VLOOKUP(OFFSET(Table22,156,21,1,1),OFFSET(Table2,0,1,ROWS(Table2),8),3,0),VLOOKUP(OFFSET(Table22,156,22,1,1),Table2,4,0))</f>
        <v>21337220</v>
      </c>
      <c r="I157" s="2" t="n">
        <f aca="false">IFERROR(VLOOKUP(OFFSET(Table22,156,21,1,1),OFFSET(Table2,0,1,ROWS(Table2),8),4,0),VLOOKUP(OFFSET(Table22,156,22,1,1),Table2,5,0))</f>
        <v>720192</v>
      </c>
      <c r="J157" s="3" t="str">
        <f aca="false">IF(ISNUMBER(SEARCH("FACEBOOK",W157)),"Facebook",IF(ISNUMBER(SEARCH("INSTAGRAM",W157)),"Facebook-Instagram","Look at taxonomy"))</f>
        <v>Facebook</v>
      </c>
      <c r="K157" s="3" t="str">
        <f aca="false">IF(ISNUMBER(SEARCH("Facebook",J157)),"3654128","Not Facebook")</f>
        <v>3654128</v>
      </c>
      <c r="L157" s="3" t="str">
        <f aca="false">IFERROR(VLOOKUP(OFFSET(Table22,156,21,1,1),OFFSET(Table2,0,1,ROWS(Table2),8),7,0),VLOOKUP(OFFSET(Table22,156,22,1,1),Table2,8,0))</f>
        <v>AzurePlatform_FreeAcctRetargetingVMFB-750Hrs-ChD_CAN_1200x628_SOC_Plat_EN_Free Account_Standard_NA_SU_T1_1</v>
      </c>
      <c r="M157" s="2" t="n">
        <f aca="false">IFERROR(VLOOKUP(OFFSET(Table22,156,21,1,1),OFFSET(Table2,0,1,ROWS(Table2),8),8,0),VLOOKUP(OFFSET(Table22,156,22,1,1),Table2,9,0))</f>
        <v>102916338</v>
      </c>
      <c r="N157" s="15" t="s">
        <v>29</v>
      </c>
      <c r="O157" s="16" t="n">
        <v>43355</v>
      </c>
      <c r="P157" s="17" t="s">
        <v>64</v>
      </c>
      <c r="Q157" s="18" t="s">
        <v>65</v>
      </c>
      <c r="R157" s="17" t="s">
        <v>66</v>
      </c>
      <c r="S157" s="18" t="s">
        <v>45</v>
      </c>
      <c r="T157" s="17" t="s">
        <v>34</v>
      </c>
      <c r="U157" s="18" t="s">
        <v>39</v>
      </c>
      <c r="V157" s="19" t="n">
        <v>223691825</v>
      </c>
      <c r="W157" s="17" t="s">
        <v>80</v>
      </c>
      <c r="X157" s="17" t="n">
        <v>2093</v>
      </c>
      <c r="Y157" s="17" t="n">
        <v>7</v>
      </c>
      <c r="Z157" s="17" t="n">
        <v>75.04</v>
      </c>
      <c r="AA157" s="17" t="s">
        <v>68</v>
      </c>
      <c r="AB157" s="17" t="n">
        <v>0</v>
      </c>
    </row>
    <row r="158" customFormat="false" ht="15" hidden="false" customHeight="false" outlineLevel="0" collapsed="false">
      <c r="A158" s="1" t="str">
        <f aca="false">OFFSET(Table22,157,14,1,1)&amp;OFFSET(Table22,157,21,1,1)</f>
        <v>43355223691828</v>
      </c>
      <c r="B158" s="1" t="str">
        <f aca="false">OFFSET(Table22,157,14,1,1)&amp;OFFSET(Table22,157,22,1,1)</f>
        <v>43355Facebook»AZR»1x1»SocialBan»NA»ALL»DYN»RT»D»All»SS»NA» Free Account Retargeting OSS - T1 - EN</v>
      </c>
      <c r="C158" s="1" t="s">
        <v>28</v>
      </c>
      <c r="D158" s="3" t="n">
        <f aca="false">O158+(7-WEEKDAY(O158))</f>
        <v>43358</v>
      </c>
      <c r="E158" s="1" t="str">
        <f aca="false">VLOOKUP(OFFSET(Table22,157,16,1,1),Key!B:D,2,0)</f>
        <v>Canada</v>
      </c>
      <c r="F158" s="1" t="str">
        <f aca="false">IF(ISNUMBER(SEARCH("Canvas",U158)),"Link",IF(ISNUMBER(SEARCH("Link",U158)),"Link","Not filled properly"))</f>
        <v>Link</v>
      </c>
      <c r="G158" s="1" t="str">
        <f aca="false">IFERROR(VLOOKUP(OFFSET(Table22,157,21,1,1),OFFSET(Table2,0,1,ROWS(Table2),8),2,0),VLOOKUP(OFFSET(Table22,157,22,1,1),Table2,3,0))</f>
        <v>CAN_gaPMG_AZR_AZR_Q1_19_Trial-Social</v>
      </c>
      <c r="H158" s="1" t="n">
        <f aca="false">IFERROR(VLOOKUP(OFFSET(Table22,157,21,1,1),OFFSET(Table2,0,1,ROWS(Table2),8),3,0),VLOOKUP(OFFSET(Table22,157,22,1,1),Table2,4,0))</f>
        <v>21337220</v>
      </c>
      <c r="I158" s="2" t="n">
        <f aca="false">IFERROR(VLOOKUP(OFFSET(Table22,157,21,1,1),OFFSET(Table2,0,1,ROWS(Table2),8),4,0),VLOOKUP(OFFSET(Table22,157,22,1,1),Table2,5,0))</f>
        <v>720192</v>
      </c>
      <c r="J158" s="3" t="str">
        <f aca="false">IF(ISNUMBER(SEARCH("FACEBOOK",W158)),"Facebook",IF(ISNUMBER(SEARCH("INSTAGRAM",W158)),"Facebook-Instagram","Look at taxonomy"))</f>
        <v>Facebook</v>
      </c>
      <c r="K158" s="3" t="str">
        <f aca="false">IF(ISNUMBER(SEARCH("Facebook",J158)),"3654128","Not Facebook")</f>
        <v>3654128</v>
      </c>
      <c r="L158" s="3" t="str">
        <f aca="false">IFERROR(VLOOKUP(OFFSET(Table22,157,21,1,1),OFFSET(Table2,0,1,ROWS(Table2),8),7,0),VLOOKUP(OFFSET(Table22,157,22,1,1),Table2,8,0))</f>
        <v>AzurePlatform_FreeAcctRetargetingOSSFB-Text-ChF_CAN_1200x628_SOC_Plat_EN_Free Account_Standard_NA_SU_T1_1</v>
      </c>
      <c r="M158" s="2" t="n">
        <f aca="false">IFERROR(VLOOKUP(OFFSET(Table22,157,21,1,1),OFFSET(Table2,0,1,ROWS(Table2),8),8,0),VLOOKUP(OFFSET(Table22,157,22,1,1),Table2,9,0))</f>
        <v>102902956</v>
      </c>
      <c r="N158" s="15" t="s">
        <v>29</v>
      </c>
      <c r="O158" s="16" t="n">
        <v>43355</v>
      </c>
      <c r="P158" s="17" t="s">
        <v>64</v>
      </c>
      <c r="Q158" s="18" t="s">
        <v>65</v>
      </c>
      <c r="R158" s="17" t="s">
        <v>66</v>
      </c>
      <c r="S158" s="18" t="s">
        <v>45</v>
      </c>
      <c r="T158" s="17" t="s">
        <v>34</v>
      </c>
      <c r="U158" s="18" t="s">
        <v>39</v>
      </c>
      <c r="V158" s="19" t="n">
        <v>223691828</v>
      </c>
      <c r="W158" s="17" t="s">
        <v>91</v>
      </c>
      <c r="X158" s="17" t="n">
        <v>70</v>
      </c>
      <c r="Y158" s="17" t="n">
        <v>1</v>
      </c>
      <c r="Z158" s="17" t="n">
        <v>1.01</v>
      </c>
      <c r="AA158" s="17" t="s">
        <v>68</v>
      </c>
      <c r="AB158" s="17" t="n">
        <v>0</v>
      </c>
    </row>
    <row r="159" customFormat="false" ht="15" hidden="false" customHeight="false" outlineLevel="0" collapsed="false">
      <c r="A159" s="1" t="str">
        <f aca="false">OFFSET(Table22,158,14,1,1)&amp;OFFSET(Table22,158,21,1,1)</f>
        <v>43355227525720</v>
      </c>
      <c r="B159" s="1" t="str">
        <f aca="false">OFFSET(Table22,158,14,1,1)&amp;OFFSET(Table22,158,22,1,1)</f>
        <v>43355Facebook»AZR»1x1»NA»NA»ALL»DYN»AUT»D»All»SS»NA»Free Account Create to Convert FB - Canvas - Benefit - Start Free - EN</v>
      </c>
      <c r="C159" s="1" t="s">
        <v>28</v>
      </c>
      <c r="D159" s="3" t="n">
        <f aca="false">O159+(7-WEEKDAY(O159))</f>
        <v>43358</v>
      </c>
      <c r="E159" s="1" t="str">
        <f aca="false">VLOOKUP(OFFSET(Table22,158,16,1,1),Key!B:D,2,0)</f>
        <v>Canada</v>
      </c>
      <c r="F159" s="1" t="str">
        <f aca="false">IF(ISNUMBER(SEARCH("Canvas",U159)),"Link",IF(ISNUMBER(SEARCH("Link",U159)),"Link","Not filled properly"))</f>
        <v>Link</v>
      </c>
      <c r="G159" s="1" t="str">
        <f aca="false">IFERROR(VLOOKUP(OFFSET(Table22,158,21,1,1),OFFSET(Table2,0,1,ROWS(Table2),8),2,0),VLOOKUP(OFFSET(Table22,158,22,1,1),Table2,3,0))</f>
        <v>CAN_gaPMG_AZR_AZR_Q1_19_Trial-Social</v>
      </c>
      <c r="H159" s="1" t="n">
        <f aca="false">IFERROR(VLOOKUP(OFFSET(Table22,158,21,1,1),OFFSET(Table2,0,1,ROWS(Table2),8),3,0),VLOOKUP(OFFSET(Table22,158,22,1,1),Table2,4,0))</f>
        <v>21337220</v>
      </c>
      <c r="I159" s="2" t="n">
        <f aca="false">IFERROR(VLOOKUP(OFFSET(Table22,158,21,1,1),OFFSET(Table2,0,1,ROWS(Table2),8),4,0),VLOOKUP(OFFSET(Table22,158,22,1,1),Table2,5,0))</f>
        <v>720192</v>
      </c>
      <c r="J159" s="3" t="str">
        <f aca="false">IF(ISNUMBER(SEARCH("FACEBOOK",W159)),"Facebook",IF(ISNUMBER(SEARCH("INSTAGRAM",W159)),"Facebook-Instagram","Look at taxonomy"))</f>
        <v>Facebook</v>
      </c>
      <c r="K159" s="3" t="str">
        <f aca="false">IF(ISNUMBER(SEARCH("Facebook",J159)),"3654128","Not Facebook")</f>
        <v>3654128</v>
      </c>
      <c r="L159" s="3" t="str">
        <f aca="false">IFERROR(VLOOKUP(OFFSET(Table22,158,21,1,1),OFFSET(Table2,0,1,ROWS(Table2),8),7,0),VLOOKUP(OFFSET(Table22,158,22,1,1),Table2,8,0))</f>
        <v>AzurePlatform_FBCTCBenefit2inMotion_CAN_1080x1080_SOC_14s_ISV_English_Standard_NA_FTR_T4_1</v>
      </c>
      <c r="M159" s="2" t="n">
        <f aca="false">IFERROR(VLOOKUP(OFFSET(Table22,158,21,1,1),OFFSET(Table2,0,1,ROWS(Table2),8),8,0),VLOOKUP(OFFSET(Table22,158,22,1,1),Table2,9,0))</f>
        <v>105130125</v>
      </c>
      <c r="N159" s="15" t="s">
        <v>29</v>
      </c>
      <c r="O159" s="16" t="n">
        <v>43355</v>
      </c>
      <c r="P159" s="17" t="s">
        <v>64</v>
      </c>
      <c r="Q159" s="18" t="s">
        <v>65</v>
      </c>
      <c r="R159" s="17" t="s">
        <v>66</v>
      </c>
      <c r="S159" s="18" t="s">
        <v>45</v>
      </c>
      <c r="T159" s="17" t="s">
        <v>34</v>
      </c>
      <c r="U159" s="18" t="s">
        <v>39</v>
      </c>
      <c r="V159" s="19" t="n">
        <v>227525720</v>
      </c>
      <c r="W159" s="17" t="s">
        <v>85</v>
      </c>
      <c r="X159" s="17" t="n">
        <v>12718</v>
      </c>
      <c r="Y159" s="17" t="n">
        <v>51</v>
      </c>
      <c r="Z159" s="17" t="n">
        <v>171.51</v>
      </c>
      <c r="AA159" s="17" t="s">
        <v>68</v>
      </c>
      <c r="AB159" s="17" t="n">
        <v>0</v>
      </c>
    </row>
    <row r="160" customFormat="false" ht="15" hidden="false" customHeight="false" outlineLevel="0" collapsed="false">
      <c r="A160" s="1" t="str">
        <f aca="false">OFFSET(Table22,159,14,1,1)&amp;OFFSET(Table22,159,21,1,1)</f>
        <v>43355223691795</v>
      </c>
      <c r="B160" s="1" t="str">
        <f aca="false">OFFSET(Table22,159,14,1,1)&amp;OFFSET(Table22,159,22,1,1)</f>
        <v>43355Facebook»AZR»1x1»NA»EGV»ALL»DYN»AUT»D»All»SS»NA»Free Acc CTC - T4 - FR</v>
      </c>
      <c r="C160" s="1" t="s">
        <v>28</v>
      </c>
      <c r="D160" s="3" t="n">
        <f aca="false">O160+(7-WEEKDAY(O160))</f>
        <v>43358</v>
      </c>
      <c r="E160" s="1" t="str">
        <f aca="false">VLOOKUP(OFFSET(Table22,159,16,1,1),Key!B:D,2,0)</f>
        <v>Canada</v>
      </c>
      <c r="F160" s="1" t="str">
        <f aca="false">IF(ISNUMBER(SEARCH("Canvas",U160)),"Link",IF(ISNUMBER(SEARCH("Link",U160)),"Link","Not filled properly"))</f>
        <v>Link</v>
      </c>
      <c r="G160" s="1" t="str">
        <f aca="false">IFERROR(VLOOKUP(OFFSET(Table22,159,21,1,1),OFFSET(Table2,0,1,ROWS(Table2),8),2,0),VLOOKUP(OFFSET(Table22,159,22,1,1),Table2,3,0))</f>
        <v>CAN_gaPMG_AZR_AZR_Q1_19_Trial-Social</v>
      </c>
      <c r="H160" s="1" t="n">
        <f aca="false">IFERROR(VLOOKUP(OFFSET(Table22,159,21,1,1),OFFSET(Table2,0,1,ROWS(Table2),8),3,0),VLOOKUP(OFFSET(Table22,159,22,1,1),Table2,4,0))</f>
        <v>21337220</v>
      </c>
      <c r="I160" s="2" t="n">
        <f aca="false">IFERROR(VLOOKUP(OFFSET(Table22,159,21,1,1),OFFSET(Table2,0,1,ROWS(Table2),8),4,0),VLOOKUP(OFFSET(Table22,159,22,1,1),Table2,5,0))</f>
        <v>720192</v>
      </c>
      <c r="J160" s="3" t="str">
        <f aca="false">IF(ISNUMBER(SEARCH("FACEBOOK",W160)),"Facebook",IF(ISNUMBER(SEARCH("INSTAGRAM",W160)),"Facebook-Instagram","Look at taxonomy"))</f>
        <v>Facebook</v>
      </c>
      <c r="K160" s="3" t="str">
        <f aca="false">IF(ISNUMBER(SEARCH("Facebook",J160)),"3654128","Not Facebook")</f>
        <v>3654128</v>
      </c>
      <c r="L160" s="3" t="str">
        <f aca="false">IFERROR(VLOOKUP(OFFSET(Table22,159,21,1,1),OFFSET(Table2,0,1,ROWS(Table2),8),7,0),VLOOKUP(OFFSET(Table22,159,22,1,1),Table2,8,0))</f>
        <v>AzurePlatform_FBCTCBenefit2inMotion_CAN_14s_ISV_PLAT_FR_Trial_Standard_STAN_TN_T4_1</v>
      </c>
      <c r="M160" s="2" t="n">
        <f aca="false">IFERROR(VLOOKUP(OFFSET(Table22,159,21,1,1),OFFSET(Table2,0,1,ROWS(Table2),8),8,0),VLOOKUP(OFFSET(Table22,159,22,1,1),Table2,9,0))</f>
        <v>102900688</v>
      </c>
      <c r="N160" s="15" t="s">
        <v>29</v>
      </c>
      <c r="O160" s="16" t="n">
        <v>43355</v>
      </c>
      <c r="P160" s="17" t="s">
        <v>64</v>
      </c>
      <c r="Q160" s="18" t="s">
        <v>65</v>
      </c>
      <c r="R160" s="17" t="s">
        <v>66</v>
      </c>
      <c r="S160" s="18" t="s">
        <v>45</v>
      </c>
      <c r="T160" s="17" t="s">
        <v>34</v>
      </c>
      <c r="U160" s="18" t="s">
        <v>39</v>
      </c>
      <c r="V160" s="19" t="n">
        <v>223691795</v>
      </c>
      <c r="W160" s="17" t="s">
        <v>87</v>
      </c>
      <c r="X160" s="17" t="n">
        <v>1267</v>
      </c>
      <c r="Y160" s="17" t="n">
        <v>5</v>
      </c>
      <c r="Z160" s="17" t="n">
        <v>32.28</v>
      </c>
      <c r="AA160" s="17" t="s">
        <v>68</v>
      </c>
      <c r="AB160" s="17" t="n">
        <v>0</v>
      </c>
    </row>
    <row r="161" customFormat="false" ht="15" hidden="false" customHeight="false" outlineLevel="0" collapsed="false">
      <c r="A161" s="1" t="str">
        <f aca="false">OFFSET(Table22,160,14,1,1)&amp;OFFSET(Table22,160,21,1,1)</f>
        <v>43355223691819</v>
      </c>
      <c r="B161" s="1" t="str">
        <f aca="false">OFFSET(Table22,160,14,1,1)&amp;OFFSET(Table22,160,22,1,1)</f>
        <v>43355Facebook»AZR»1x1»SocialBan»NA»ALL»DYN»RT»D»All»SS»NA»Free Account Retargeting Generic - T3 - EN</v>
      </c>
      <c r="C161" s="1" t="s">
        <v>28</v>
      </c>
      <c r="D161" s="3" t="n">
        <f aca="false">O161+(7-WEEKDAY(O161))</f>
        <v>43358</v>
      </c>
      <c r="E161" s="1" t="str">
        <f aca="false">VLOOKUP(OFFSET(Table22,160,16,1,1),Key!B:D,2,0)</f>
        <v>Canada</v>
      </c>
      <c r="F161" s="1" t="str">
        <f aca="false">IF(ISNUMBER(SEARCH("Canvas",U161)),"Link",IF(ISNUMBER(SEARCH("Link",U161)),"Link","Not filled properly"))</f>
        <v>Link</v>
      </c>
      <c r="G161" s="1" t="str">
        <f aca="false">IFERROR(VLOOKUP(OFFSET(Table22,160,21,1,1),OFFSET(Table2,0,1,ROWS(Table2),8),2,0),VLOOKUP(OFFSET(Table22,160,22,1,1),Table2,3,0))</f>
        <v>CAN_gaPMG_AZR_AZR_Q1_19_Trial-Social</v>
      </c>
      <c r="H161" s="1" t="n">
        <f aca="false">IFERROR(VLOOKUP(OFFSET(Table22,160,21,1,1),OFFSET(Table2,0,1,ROWS(Table2),8),3,0),VLOOKUP(OFFSET(Table22,160,22,1,1),Table2,4,0))</f>
        <v>21337220</v>
      </c>
      <c r="I161" s="2" t="n">
        <f aca="false">IFERROR(VLOOKUP(OFFSET(Table22,160,21,1,1),OFFSET(Table2,0,1,ROWS(Table2),8),4,0),VLOOKUP(OFFSET(Table22,160,22,1,1),Table2,5,0))</f>
        <v>720192</v>
      </c>
      <c r="J161" s="3" t="str">
        <f aca="false">IF(ISNUMBER(SEARCH("FACEBOOK",W161)),"Facebook",IF(ISNUMBER(SEARCH("INSTAGRAM",W161)),"Facebook-Instagram","Look at taxonomy"))</f>
        <v>Facebook</v>
      </c>
      <c r="K161" s="3" t="str">
        <f aca="false">IF(ISNUMBER(SEARCH("Facebook",J161)),"3654128","Not Facebook")</f>
        <v>3654128</v>
      </c>
      <c r="L161" s="3" t="str">
        <f aca="false">IFERROR(VLOOKUP(OFFSET(Table22,160,21,1,1),OFFSET(Table2,0,1,ROWS(Table2),8),7,0),VLOOKUP(OFFSET(Table22,160,22,1,1),Table2,8,0))</f>
        <v>AzurePlatform_FreeAcctRetargetingFB-Animated-ChC_CAN_1200x628_SOC_Plat_EN_Free Account_Standard_ANI_SU_T3_1</v>
      </c>
      <c r="M161" s="2" t="n">
        <f aca="false">IFERROR(VLOOKUP(OFFSET(Table22,160,21,1,1),OFFSET(Table2,0,1,ROWS(Table2),8),8,0),VLOOKUP(OFFSET(Table22,160,22,1,1),Table2,9,0))</f>
        <v>102900682</v>
      </c>
      <c r="N161" s="15" t="s">
        <v>29</v>
      </c>
      <c r="O161" s="16" t="n">
        <v>43355</v>
      </c>
      <c r="P161" s="17" t="s">
        <v>64</v>
      </c>
      <c r="Q161" s="18" t="s">
        <v>65</v>
      </c>
      <c r="R161" s="17" t="s">
        <v>66</v>
      </c>
      <c r="S161" s="18" t="s">
        <v>45</v>
      </c>
      <c r="T161" s="17" t="s">
        <v>34</v>
      </c>
      <c r="U161" s="18" t="s">
        <v>39</v>
      </c>
      <c r="V161" s="19" t="n">
        <v>223691819</v>
      </c>
      <c r="W161" s="17" t="s">
        <v>90</v>
      </c>
      <c r="X161" s="17" t="n">
        <v>5169</v>
      </c>
      <c r="Y161" s="17" t="n">
        <v>9</v>
      </c>
      <c r="Z161" s="17" t="n">
        <v>118.28</v>
      </c>
      <c r="AA161" s="17" t="s">
        <v>68</v>
      </c>
      <c r="AB161" s="17" t="n">
        <v>0</v>
      </c>
    </row>
    <row r="162" customFormat="false" ht="15" hidden="false" customHeight="false" outlineLevel="0" collapsed="false">
      <c r="A162" s="1" t="str">
        <f aca="false">OFFSET(Table22,161,14,1,1)&amp;OFFSET(Table22,161,21,1,1)</f>
        <v>43355223691786</v>
      </c>
      <c r="B162" s="1" t="str">
        <f aca="false">OFFSET(Table22,161,14,1,1)&amp;OFFSET(Table22,161,22,1,1)</f>
        <v>43355Facebook»AZR»1x1»SocialBan»NA»ALL»DYN»RT»D»All»SS»NA» Free Account Retargeting OSS - T1 - FR</v>
      </c>
      <c r="C162" s="1" t="s">
        <v>28</v>
      </c>
      <c r="D162" s="3" t="n">
        <f aca="false">O162+(7-WEEKDAY(O162))</f>
        <v>43358</v>
      </c>
      <c r="E162" s="1" t="str">
        <f aca="false">VLOOKUP(OFFSET(Table22,161,16,1,1),Key!B:D,2,0)</f>
        <v>Canada</v>
      </c>
      <c r="F162" s="1" t="str">
        <f aca="false">IF(ISNUMBER(SEARCH("Canvas",U162)),"Link",IF(ISNUMBER(SEARCH("Link",U162)),"Link","Not filled properly"))</f>
        <v>Link</v>
      </c>
      <c r="G162" s="1" t="str">
        <f aca="false">IFERROR(VLOOKUP(OFFSET(Table22,161,21,1,1),OFFSET(Table2,0,1,ROWS(Table2),8),2,0),VLOOKUP(OFFSET(Table22,161,22,1,1),Table2,3,0))</f>
        <v>CAN_gaPMG_AZR_AZR_Q1_19_Trial-Social</v>
      </c>
      <c r="H162" s="1" t="n">
        <f aca="false">IFERROR(VLOOKUP(OFFSET(Table22,161,21,1,1),OFFSET(Table2,0,1,ROWS(Table2),8),3,0),VLOOKUP(OFFSET(Table22,161,22,1,1),Table2,4,0))</f>
        <v>21337220</v>
      </c>
      <c r="I162" s="2" t="n">
        <f aca="false">IFERROR(VLOOKUP(OFFSET(Table22,161,21,1,1),OFFSET(Table2,0,1,ROWS(Table2),8),4,0),VLOOKUP(OFFSET(Table22,161,22,1,1),Table2,5,0))</f>
        <v>720192</v>
      </c>
      <c r="J162" s="3" t="str">
        <f aca="false">IF(ISNUMBER(SEARCH("FACEBOOK",W162)),"Facebook",IF(ISNUMBER(SEARCH("INSTAGRAM",W162)),"Facebook-Instagram","Look at taxonomy"))</f>
        <v>Facebook</v>
      </c>
      <c r="K162" s="3" t="str">
        <f aca="false">IF(ISNUMBER(SEARCH("Facebook",J162)),"3654128","Not Facebook")</f>
        <v>3654128</v>
      </c>
      <c r="L162" s="3" t="str">
        <f aca="false">IFERROR(VLOOKUP(OFFSET(Table22,161,21,1,1),OFFSET(Table2,0,1,ROWS(Table2),8),7,0),VLOOKUP(OFFSET(Table22,161,22,1,1),Table2,8,0))</f>
        <v>AzurePlatform_FreeAcctRetargetingOSSFB-Text-ChF_CAN_1200x628_SOC_Plat_FR_Free Account_Standard_NA_SU_T1_1</v>
      </c>
      <c r="M162" s="2" t="n">
        <f aca="false">IFERROR(VLOOKUP(OFFSET(Table22,161,21,1,1),OFFSET(Table2,0,1,ROWS(Table2),8),8,0),VLOOKUP(OFFSET(Table22,161,22,1,1),Table2,9,0))</f>
        <v>103058720</v>
      </c>
      <c r="N162" s="15" t="s">
        <v>29</v>
      </c>
      <c r="O162" s="16" t="n">
        <v>43355</v>
      </c>
      <c r="P162" s="17" t="s">
        <v>64</v>
      </c>
      <c r="Q162" s="18" t="s">
        <v>65</v>
      </c>
      <c r="R162" s="17" t="s">
        <v>66</v>
      </c>
      <c r="S162" s="18" t="s">
        <v>45</v>
      </c>
      <c r="T162" s="17" t="s">
        <v>34</v>
      </c>
      <c r="U162" s="18" t="s">
        <v>39</v>
      </c>
      <c r="V162" s="19" t="n">
        <v>223691786</v>
      </c>
      <c r="W162" s="17" t="s">
        <v>81</v>
      </c>
      <c r="X162" s="17" t="n">
        <v>315</v>
      </c>
      <c r="Y162" s="17" t="n">
        <v>0</v>
      </c>
      <c r="Z162" s="17" t="n">
        <v>7.64</v>
      </c>
      <c r="AA162" s="17" t="s">
        <v>68</v>
      </c>
      <c r="AB162" s="17" t="n">
        <v>0</v>
      </c>
    </row>
    <row r="163" customFormat="false" ht="15" hidden="false" customHeight="false" outlineLevel="0" collapsed="false">
      <c r="A163" s="1" t="str">
        <f aca="false">OFFSET(Table22,162,14,1,1)&amp;OFFSET(Table22,162,21,1,1)</f>
        <v>43355227522762</v>
      </c>
      <c r="B163" s="1" t="str">
        <f aca="false">OFFSET(Table22,162,14,1,1)&amp;OFFSET(Table22,162,22,1,1)</f>
        <v>43355Facebook»AZR»1x1»NA»NA»ALL»DYN»AUT»D»All»SS»NA»Free Account Create to Convert FB - Canvas - Brand - Start Free - EN</v>
      </c>
      <c r="C163" s="1" t="s">
        <v>28</v>
      </c>
      <c r="D163" s="3" t="n">
        <f aca="false">O163+(7-WEEKDAY(O163))</f>
        <v>43358</v>
      </c>
      <c r="E163" s="1" t="str">
        <f aca="false">VLOOKUP(OFFSET(Table22,162,16,1,1),Key!B:D,2,0)</f>
        <v>Canada</v>
      </c>
      <c r="F163" s="1" t="str">
        <f aca="false">IF(ISNUMBER(SEARCH("Canvas",U163)),"Link",IF(ISNUMBER(SEARCH("Link",U163)),"Link","Not filled properly"))</f>
        <v>Link</v>
      </c>
      <c r="G163" s="1" t="str">
        <f aca="false">IFERROR(VLOOKUP(OFFSET(Table22,162,21,1,1),OFFSET(Table2,0,1,ROWS(Table2),8),2,0),VLOOKUP(OFFSET(Table22,162,22,1,1),Table2,3,0))</f>
        <v>CAN_gaPMG_AZR_AZR_Q1_19_Trial-Social</v>
      </c>
      <c r="H163" s="1" t="n">
        <f aca="false">IFERROR(VLOOKUP(OFFSET(Table22,162,21,1,1),OFFSET(Table2,0,1,ROWS(Table2),8),3,0),VLOOKUP(OFFSET(Table22,162,22,1,1),Table2,4,0))</f>
        <v>21337220</v>
      </c>
      <c r="I163" s="2" t="n">
        <f aca="false">IFERROR(VLOOKUP(OFFSET(Table22,162,21,1,1),OFFSET(Table2,0,1,ROWS(Table2),8),4,0),VLOOKUP(OFFSET(Table22,162,22,1,1),Table2,5,0))</f>
        <v>720192</v>
      </c>
      <c r="J163" s="3" t="str">
        <f aca="false">IF(ISNUMBER(SEARCH("FACEBOOK",W163)),"Facebook",IF(ISNUMBER(SEARCH("INSTAGRAM",W163)),"Facebook-Instagram","Look at taxonomy"))</f>
        <v>Facebook</v>
      </c>
      <c r="K163" s="3" t="str">
        <f aca="false">IF(ISNUMBER(SEARCH("Facebook",J163)),"3654128","Not Facebook")</f>
        <v>3654128</v>
      </c>
      <c r="L163" s="3" t="str">
        <f aca="false">IFERROR(VLOOKUP(OFFSET(Table22,162,21,1,1),OFFSET(Table2,0,1,ROWS(Table2),8),7,0),VLOOKUP(OFFSET(Table22,162,22,1,1),Table2,8,0))</f>
        <v>AzurePlatform_FBCTCBrandinMotion_CAN_1080x1080_SOC_12s_ISV_English_Standard_NA_FTR_T2_1</v>
      </c>
      <c r="M163" s="2" t="n">
        <f aca="false">IFERROR(VLOOKUP(OFFSET(Table22,162,21,1,1),OFFSET(Table2,0,1,ROWS(Table2),8),8,0),VLOOKUP(OFFSET(Table22,162,22,1,1),Table2,9,0))</f>
        <v>105216992</v>
      </c>
      <c r="N163" s="15" t="s">
        <v>29</v>
      </c>
      <c r="O163" s="16" t="n">
        <v>43355</v>
      </c>
      <c r="P163" s="17" t="s">
        <v>64</v>
      </c>
      <c r="Q163" s="18" t="s">
        <v>65</v>
      </c>
      <c r="R163" s="17" t="s">
        <v>66</v>
      </c>
      <c r="S163" s="18" t="s">
        <v>45</v>
      </c>
      <c r="T163" s="17" t="s">
        <v>34</v>
      </c>
      <c r="U163" s="18" t="s">
        <v>39</v>
      </c>
      <c r="V163" s="19" t="n">
        <v>227522762</v>
      </c>
      <c r="W163" s="17" t="s">
        <v>86</v>
      </c>
      <c r="X163" s="17" t="n">
        <v>1073</v>
      </c>
      <c r="Y163" s="17" t="n">
        <v>3</v>
      </c>
      <c r="Z163" s="17" t="n">
        <v>9.89</v>
      </c>
      <c r="AA163" s="17" t="s">
        <v>68</v>
      </c>
      <c r="AB163" s="17" t="n">
        <v>0</v>
      </c>
    </row>
    <row r="164" customFormat="false" ht="15" hidden="false" customHeight="false" outlineLevel="0" collapsed="false">
      <c r="A164" s="1" t="str">
        <f aca="false">OFFSET(Table22,163,14,1,1)&amp;OFFSET(Table22,163,21,1,1)</f>
        <v>43355223684451</v>
      </c>
      <c r="B164" s="1" t="str">
        <f aca="false">OFFSET(Table22,163,14,1,1)&amp;OFFSET(Table22,163,22,1,1)</f>
        <v>43355Facebook»AZR»1x1»NA»EGV»ALL»DYN»AUT»D»All»SS»NA»Free Acc CTC - T1 - EN</v>
      </c>
      <c r="C164" s="1" t="s">
        <v>28</v>
      </c>
      <c r="D164" s="3" t="n">
        <f aca="false">O164+(7-WEEKDAY(O164))</f>
        <v>43358</v>
      </c>
      <c r="E164" s="1" t="str">
        <f aca="false">VLOOKUP(OFFSET(Table22,163,16,1,1),Key!B:D,2,0)</f>
        <v>Canada</v>
      </c>
      <c r="F164" s="1" t="str">
        <f aca="false">IF(ISNUMBER(SEARCH("Canvas",U164)),"Link",IF(ISNUMBER(SEARCH("Link",U164)),"Link","Not filled properly"))</f>
        <v>Link</v>
      </c>
      <c r="G164" s="1" t="str">
        <f aca="false">IFERROR(VLOOKUP(OFFSET(Table22,163,21,1,1),OFFSET(Table2,0,1,ROWS(Table2),8),2,0),VLOOKUP(OFFSET(Table22,163,22,1,1),Table2,3,0))</f>
        <v>CAN_gaPMG_AZR_AZR_Q1_19_Trial-Social</v>
      </c>
      <c r="H164" s="1" t="n">
        <f aca="false">IFERROR(VLOOKUP(OFFSET(Table22,163,21,1,1),OFFSET(Table2,0,1,ROWS(Table2),8),3,0),VLOOKUP(OFFSET(Table22,163,22,1,1),Table2,4,0))</f>
        <v>21337220</v>
      </c>
      <c r="I164" s="2" t="n">
        <f aca="false">IFERROR(VLOOKUP(OFFSET(Table22,163,21,1,1),OFFSET(Table2,0,1,ROWS(Table2),8),4,0),VLOOKUP(OFFSET(Table22,163,22,1,1),Table2,5,0))</f>
        <v>720192</v>
      </c>
      <c r="J164" s="3" t="str">
        <f aca="false">IF(ISNUMBER(SEARCH("FACEBOOK",W164)),"Facebook",IF(ISNUMBER(SEARCH("INSTAGRAM",W164)),"Facebook-Instagram","Look at taxonomy"))</f>
        <v>Facebook</v>
      </c>
      <c r="K164" s="3" t="str">
        <f aca="false">IF(ISNUMBER(SEARCH("Facebook",J164)),"3654128","Not Facebook")</f>
        <v>3654128</v>
      </c>
      <c r="L164" s="3" t="str">
        <f aca="false">IFERROR(VLOOKUP(OFFSET(Table22,163,21,1,1),OFFSET(Table2,0,1,ROWS(Table2),8),7,0),VLOOKUP(OFFSET(Table22,163,22,1,1),Table2,8,0))</f>
        <v>AzurePlatform_FBCTCBasicMotion_CAN_10s_ISV_PLAT_English_Trial_Standard_STAN_TN_T1_1</v>
      </c>
      <c r="M164" s="2" t="n">
        <f aca="false">IFERROR(VLOOKUP(OFFSET(Table22,163,21,1,1),OFFSET(Table2,0,1,ROWS(Table2),8),8,0),VLOOKUP(OFFSET(Table22,163,22,1,1),Table2,9,0))</f>
        <v>102901882</v>
      </c>
      <c r="N164" s="15" t="s">
        <v>29</v>
      </c>
      <c r="O164" s="16" t="n">
        <v>43355</v>
      </c>
      <c r="P164" s="17" t="s">
        <v>64</v>
      </c>
      <c r="Q164" s="18" t="s">
        <v>65</v>
      </c>
      <c r="R164" s="17" t="s">
        <v>66</v>
      </c>
      <c r="S164" s="18" t="s">
        <v>45</v>
      </c>
      <c r="T164" s="17" t="s">
        <v>34</v>
      </c>
      <c r="U164" s="18" t="s">
        <v>39</v>
      </c>
      <c r="V164" s="19" t="n">
        <v>223684451</v>
      </c>
      <c r="W164" s="17" t="s">
        <v>84</v>
      </c>
      <c r="X164" s="17" t="n">
        <v>4392</v>
      </c>
      <c r="Y164" s="17" t="n">
        <v>13</v>
      </c>
      <c r="Z164" s="17" t="n">
        <v>81.76</v>
      </c>
      <c r="AA164" s="17" t="s">
        <v>68</v>
      </c>
      <c r="AB164" s="17" t="n">
        <v>0</v>
      </c>
    </row>
    <row r="165" customFormat="false" ht="15" hidden="false" customHeight="false" outlineLevel="0" collapsed="false">
      <c r="A165" s="1" t="str">
        <f aca="false">OFFSET(Table22,164,14,1,1)&amp;OFFSET(Table22,164,21,1,1)</f>
        <v>43355225322324</v>
      </c>
      <c r="B165" s="1" t="str">
        <f aca="false">OFFSET(Table22,164,14,1,1)&amp;OFFSET(Table22,164,22,1,1)</f>
        <v>43355Facebook»AZR»1x1»NA»SOC»ALL»DYN»PRO»D»All»SS»NA»Canvas - Buy Now - FR</v>
      </c>
      <c r="C165" s="1" t="s">
        <v>28</v>
      </c>
      <c r="D165" s="3" t="n">
        <f aca="false">O165+(7-WEEKDAY(O165))</f>
        <v>43358</v>
      </c>
      <c r="E165" s="1" t="str">
        <f aca="false">VLOOKUP(OFFSET(Table22,164,16,1,1),Key!B:D,2,0)</f>
        <v>Canada</v>
      </c>
      <c r="F165" s="1" t="str">
        <f aca="false">IF(ISNUMBER(SEARCH("Canvas",U165)),"Link",IF(ISNUMBER(SEARCH("Link",U165)),"Link","Not filled properly"))</f>
        <v>Link</v>
      </c>
      <c r="G165" s="1" t="str">
        <f aca="false">IFERROR(VLOOKUP(OFFSET(Table22,164,21,1,1),OFFSET(Table2,0,1,ROWS(Table2),8),2,0),VLOOKUP(OFFSET(Table22,164,22,1,1),Table2,3,0))</f>
        <v>CAN_gaPMG_AZR_AZR_Q1_19_Trial-Social</v>
      </c>
      <c r="H165" s="1" t="n">
        <f aca="false">IFERROR(VLOOKUP(OFFSET(Table22,164,21,1,1),OFFSET(Table2,0,1,ROWS(Table2),8),3,0),VLOOKUP(OFFSET(Table22,164,22,1,1),Table2,4,0))</f>
        <v>21337220</v>
      </c>
      <c r="I165" s="2" t="n">
        <f aca="false">IFERROR(VLOOKUP(OFFSET(Table22,164,21,1,1),OFFSET(Table2,0,1,ROWS(Table2),8),4,0),VLOOKUP(OFFSET(Table22,164,22,1,1),Table2,5,0))</f>
        <v>720192</v>
      </c>
      <c r="J165" s="3" t="str">
        <f aca="false">IF(ISNUMBER(SEARCH("FACEBOOK",W165)),"Facebook",IF(ISNUMBER(SEARCH("INSTAGRAM",W165)),"Facebook-Instagram","Look at taxonomy"))</f>
        <v>Facebook</v>
      </c>
      <c r="K165" s="3" t="str">
        <f aca="false">IF(ISNUMBER(SEARCH("Facebook",J165)),"3654128","Not Facebook")</f>
        <v>3654128</v>
      </c>
      <c r="L165" s="3" t="str">
        <f aca="false">IFERROR(VLOOKUP(OFFSET(Table22,164,21,1,1),OFFSET(Table2,0,1,ROWS(Table2),8),7,0),VLOOKUP(OFFSET(Table22,164,22,1,1),Table2,8,0))</f>
        <v>AzurePlatform_FBCTCcanvaspage-BuyNowCTA-Img3_CAN_1080x162_SOC_Plat_French_NA_Standard_NA_BN_T3_1</v>
      </c>
      <c r="M165" s="2" t="n">
        <f aca="false">IFERROR(VLOOKUP(OFFSET(Table22,164,21,1,1),OFFSET(Table2,0,1,ROWS(Table2),8),8,0),VLOOKUP(OFFSET(Table22,164,22,1,1),Table2,9,0))</f>
        <v>103789915</v>
      </c>
      <c r="N165" s="15" t="s">
        <v>29</v>
      </c>
      <c r="O165" s="16" t="n">
        <v>43355</v>
      </c>
      <c r="P165" s="17" t="s">
        <v>64</v>
      </c>
      <c r="Q165" s="18" t="s">
        <v>65</v>
      </c>
      <c r="R165" s="17" t="s">
        <v>66</v>
      </c>
      <c r="S165" s="18" t="s">
        <v>45</v>
      </c>
      <c r="T165" s="17" t="s">
        <v>34</v>
      </c>
      <c r="U165" s="18" t="s">
        <v>39</v>
      </c>
      <c r="V165" s="19" t="n">
        <v>225322324</v>
      </c>
      <c r="W165" s="17" t="s">
        <v>71</v>
      </c>
      <c r="X165" s="17" t="n">
        <v>644</v>
      </c>
      <c r="Y165" s="17" t="n">
        <v>8</v>
      </c>
      <c r="Z165" s="17" t="n">
        <v>11.49</v>
      </c>
      <c r="AA165" s="17" t="s">
        <v>68</v>
      </c>
      <c r="AB165" s="17" t="n">
        <v>0</v>
      </c>
    </row>
    <row r="166" customFormat="false" ht="15" hidden="false" customHeight="false" outlineLevel="0" collapsed="false">
      <c r="A166" s="1" t="str">
        <f aca="false">OFFSET(Table22,165,14,1,1)&amp;OFFSET(Table22,165,21,1,1)</f>
        <v>43355223691837</v>
      </c>
      <c r="B166" s="1" t="str">
        <f aca="false">OFFSET(Table22,165,14,1,1)&amp;OFFSET(Table22,165,22,1,1)</f>
        <v>43355Facebook»AZR»1x1»NA»EGV»ALL»DYN»AUT»D»All»SS»NA»Free Acc CTC - T4 - EN</v>
      </c>
      <c r="C166" s="1" t="s">
        <v>28</v>
      </c>
      <c r="D166" s="3" t="n">
        <f aca="false">O166+(7-WEEKDAY(O166))</f>
        <v>43358</v>
      </c>
      <c r="E166" s="1" t="str">
        <f aca="false">VLOOKUP(OFFSET(Table22,165,16,1,1),Key!B:D,2,0)</f>
        <v>Canada</v>
      </c>
      <c r="F166" s="1" t="str">
        <f aca="false">IF(ISNUMBER(SEARCH("Canvas",U166)),"Link",IF(ISNUMBER(SEARCH("Link",U166)),"Link","Not filled properly"))</f>
        <v>Link</v>
      </c>
      <c r="G166" s="1" t="str">
        <f aca="false">IFERROR(VLOOKUP(OFFSET(Table22,165,21,1,1),OFFSET(Table2,0,1,ROWS(Table2),8),2,0),VLOOKUP(OFFSET(Table22,165,22,1,1),Table2,3,0))</f>
        <v>CAN_gaPMG_AZR_AZR_Q1_19_Trial-Social</v>
      </c>
      <c r="H166" s="1" t="n">
        <f aca="false">IFERROR(VLOOKUP(OFFSET(Table22,165,21,1,1),OFFSET(Table2,0,1,ROWS(Table2),8),3,0),VLOOKUP(OFFSET(Table22,165,22,1,1),Table2,4,0))</f>
        <v>21337220</v>
      </c>
      <c r="I166" s="2" t="n">
        <f aca="false">IFERROR(VLOOKUP(OFFSET(Table22,165,21,1,1),OFFSET(Table2,0,1,ROWS(Table2),8),4,0),VLOOKUP(OFFSET(Table22,165,22,1,1),Table2,5,0))</f>
        <v>720192</v>
      </c>
      <c r="J166" s="3" t="str">
        <f aca="false">IF(ISNUMBER(SEARCH("FACEBOOK",W166)),"Facebook",IF(ISNUMBER(SEARCH("INSTAGRAM",W166)),"Facebook-Instagram","Look at taxonomy"))</f>
        <v>Facebook</v>
      </c>
      <c r="K166" s="3" t="str">
        <f aca="false">IF(ISNUMBER(SEARCH("Facebook",J166)),"3654128","Not Facebook")</f>
        <v>3654128</v>
      </c>
      <c r="L166" s="3" t="str">
        <f aca="false">IFERROR(VLOOKUP(OFFSET(Table22,165,21,1,1),OFFSET(Table2,0,1,ROWS(Table2),8),7,0),VLOOKUP(OFFSET(Table22,165,22,1,1),Table2,8,0))</f>
        <v>AzurePlatform_FBCTCBenefit2inMotion_CAN_14s_ISV_PLAT_English_Trial_Standard_STAN_TN_T4_1</v>
      </c>
      <c r="M166" s="2" t="n">
        <f aca="false">IFERROR(VLOOKUP(OFFSET(Table22,165,21,1,1),OFFSET(Table2,0,1,ROWS(Table2),8),8,0),VLOOKUP(OFFSET(Table22,165,22,1,1),Table2,9,0))</f>
        <v>103053314</v>
      </c>
      <c r="N166" s="15" t="s">
        <v>29</v>
      </c>
      <c r="O166" s="16" t="n">
        <v>43355</v>
      </c>
      <c r="P166" s="17" t="s">
        <v>64</v>
      </c>
      <c r="Q166" s="18" t="s">
        <v>65</v>
      </c>
      <c r="R166" s="17" t="s">
        <v>66</v>
      </c>
      <c r="S166" s="18" t="s">
        <v>45</v>
      </c>
      <c r="T166" s="17" t="s">
        <v>34</v>
      </c>
      <c r="U166" s="18" t="s">
        <v>39</v>
      </c>
      <c r="V166" s="19" t="n">
        <v>223691837</v>
      </c>
      <c r="W166" s="17" t="s">
        <v>83</v>
      </c>
      <c r="X166" s="17" t="n">
        <v>3481</v>
      </c>
      <c r="Y166" s="17" t="n">
        <v>12</v>
      </c>
      <c r="Z166" s="17" t="n">
        <v>64.75</v>
      </c>
      <c r="AA166" s="17" t="s">
        <v>68</v>
      </c>
      <c r="AB166" s="17" t="n">
        <v>0</v>
      </c>
    </row>
    <row r="167" customFormat="false" ht="15" hidden="false" customHeight="false" outlineLevel="0" collapsed="false">
      <c r="A167" s="1" t="str">
        <f aca="false">OFFSET(Table22,166,14,1,1)&amp;OFFSET(Table22,166,21,1,1)</f>
        <v>43355225322327</v>
      </c>
      <c r="B167" s="1" t="str">
        <f aca="false">OFFSET(Table22,166,14,1,1)&amp;OFFSET(Table22,166,22,1,1)</f>
        <v>43355Facebook»AZR»1x1»NA»SOC»ALL»DYN»PRO»D»All»SS»NA»Canvas - Buy Now - EN</v>
      </c>
      <c r="C167" s="1" t="s">
        <v>28</v>
      </c>
      <c r="D167" s="3" t="n">
        <f aca="false">O167+(7-WEEKDAY(O167))</f>
        <v>43358</v>
      </c>
      <c r="E167" s="1" t="str">
        <f aca="false">VLOOKUP(OFFSET(Table22,166,16,1,1),Key!B:D,2,0)</f>
        <v>Canada</v>
      </c>
      <c r="F167" s="1" t="str">
        <f aca="false">IF(ISNUMBER(SEARCH("Canvas",U167)),"Link",IF(ISNUMBER(SEARCH("Link",U167)),"Link","Not filled properly"))</f>
        <v>Link</v>
      </c>
      <c r="G167" s="1" t="str">
        <f aca="false">IFERROR(VLOOKUP(OFFSET(Table22,166,21,1,1),OFFSET(Table2,0,1,ROWS(Table2),8),2,0),VLOOKUP(OFFSET(Table22,166,22,1,1),Table2,3,0))</f>
        <v>CAN_gaPMG_AZR_AZR_Q1_19_Trial-Social</v>
      </c>
      <c r="H167" s="1" t="n">
        <f aca="false">IFERROR(VLOOKUP(OFFSET(Table22,166,21,1,1),OFFSET(Table2,0,1,ROWS(Table2),8),3,0),VLOOKUP(OFFSET(Table22,166,22,1,1),Table2,4,0))</f>
        <v>21337220</v>
      </c>
      <c r="I167" s="2" t="n">
        <f aca="false">IFERROR(VLOOKUP(OFFSET(Table22,166,21,1,1),OFFSET(Table2,0,1,ROWS(Table2),8),4,0),VLOOKUP(OFFSET(Table22,166,22,1,1),Table2,5,0))</f>
        <v>720192</v>
      </c>
      <c r="J167" s="3" t="str">
        <f aca="false">IF(ISNUMBER(SEARCH("FACEBOOK",W167)),"Facebook",IF(ISNUMBER(SEARCH("INSTAGRAM",W167)),"Facebook-Instagram","Look at taxonomy"))</f>
        <v>Facebook</v>
      </c>
      <c r="K167" s="3" t="str">
        <f aca="false">IF(ISNUMBER(SEARCH("Facebook",J167)),"3654128","Not Facebook")</f>
        <v>3654128</v>
      </c>
      <c r="L167" s="3" t="str">
        <f aca="false">IFERROR(VLOOKUP(OFFSET(Table22,166,21,1,1),OFFSET(Table2,0,1,ROWS(Table2),8),7,0),VLOOKUP(OFFSET(Table22,166,22,1,1),Table2,8,0))</f>
        <v>AzurePlatform_FBCTCcanvaspage-BuyNowCTA-Img3_CAN_1080x162_SOC_Plat_English_NA_Standard_NA_BN_T3_1</v>
      </c>
      <c r="M167" s="2" t="n">
        <f aca="false">IFERROR(VLOOKUP(OFFSET(Table22,166,21,1,1),OFFSET(Table2,0,1,ROWS(Table2),8),8,0),VLOOKUP(OFFSET(Table22,166,22,1,1),Table2,9,0))</f>
        <v>103902287</v>
      </c>
      <c r="N167" s="15" t="s">
        <v>29</v>
      </c>
      <c r="O167" s="16" t="n">
        <v>43355</v>
      </c>
      <c r="P167" s="17" t="s">
        <v>64</v>
      </c>
      <c r="Q167" s="18" t="s">
        <v>65</v>
      </c>
      <c r="R167" s="17" t="s">
        <v>66</v>
      </c>
      <c r="S167" s="18" t="s">
        <v>45</v>
      </c>
      <c r="T167" s="17" t="s">
        <v>34</v>
      </c>
      <c r="U167" s="18" t="s">
        <v>39</v>
      </c>
      <c r="V167" s="19" t="n">
        <v>225322327</v>
      </c>
      <c r="W167" s="17" t="s">
        <v>82</v>
      </c>
      <c r="X167" s="17" t="n">
        <v>803</v>
      </c>
      <c r="Y167" s="17" t="n">
        <v>7</v>
      </c>
      <c r="Z167" s="17" t="n">
        <v>12.95</v>
      </c>
      <c r="AA167" s="17" t="s">
        <v>68</v>
      </c>
      <c r="AB167" s="17" t="n">
        <v>0</v>
      </c>
    </row>
    <row r="168" customFormat="false" ht="15" hidden="false" customHeight="false" outlineLevel="0" collapsed="false">
      <c r="A168" s="1" t="str">
        <f aca="false">OFFSET(Table22,167,14,1,1)&amp;OFFSET(Table22,167,21,1,1)</f>
        <v>43355227618695</v>
      </c>
      <c r="B168" s="1" t="str">
        <f aca="false">OFFSET(Table22,167,14,1,1)&amp;OFFSET(Table22,167,22,1,1)</f>
        <v>43355Facebook»AZR»1x1»NA»NA»ALL»DYN»AUT»D»All»SS»NA»Free Account Create to Convert FB - Canvas - Benefit - Start Free - FR</v>
      </c>
      <c r="C168" s="1" t="s">
        <v>28</v>
      </c>
      <c r="D168" s="3" t="n">
        <f aca="false">O168+(7-WEEKDAY(O168))</f>
        <v>43358</v>
      </c>
      <c r="E168" s="1" t="str">
        <f aca="false">VLOOKUP(OFFSET(Table22,167,16,1,1),Key!B:D,2,0)</f>
        <v>Canada</v>
      </c>
      <c r="F168" s="1" t="str">
        <f aca="false">IF(ISNUMBER(SEARCH("Canvas",U168)),"Link",IF(ISNUMBER(SEARCH("Link",U168)),"Link","Not filled properly"))</f>
        <v>Link</v>
      </c>
      <c r="G168" s="1" t="str">
        <f aca="false">IFERROR(VLOOKUP(OFFSET(Table22,167,21,1,1),OFFSET(Table2,0,1,ROWS(Table2),8),2,0),VLOOKUP(OFFSET(Table22,167,22,1,1),Table2,3,0))</f>
        <v>CAN_gaPMG_AZR_AZR_Q1_19_Trial-Social</v>
      </c>
      <c r="H168" s="1" t="n">
        <f aca="false">IFERROR(VLOOKUP(OFFSET(Table22,167,21,1,1),OFFSET(Table2,0,1,ROWS(Table2),8),3,0),VLOOKUP(OFFSET(Table22,167,22,1,1),Table2,4,0))</f>
        <v>21337220</v>
      </c>
      <c r="I168" s="2" t="n">
        <f aca="false">IFERROR(VLOOKUP(OFFSET(Table22,167,21,1,1),OFFSET(Table2,0,1,ROWS(Table2),8),4,0),VLOOKUP(OFFSET(Table22,167,22,1,1),Table2,5,0))</f>
        <v>720192</v>
      </c>
      <c r="J168" s="3" t="str">
        <f aca="false">IF(ISNUMBER(SEARCH("FACEBOOK",W168)),"Facebook",IF(ISNUMBER(SEARCH("INSTAGRAM",W168)),"Facebook-Instagram","Look at taxonomy"))</f>
        <v>Facebook</v>
      </c>
      <c r="K168" s="3" t="str">
        <f aca="false">IF(ISNUMBER(SEARCH("Facebook",J168)),"3654128","Not Facebook")</f>
        <v>3654128</v>
      </c>
      <c r="L168" s="3" t="str">
        <f aca="false">IFERROR(VLOOKUP(OFFSET(Table22,167,21,1,1),OFFSET(Table2,0,1,ROWS(Table2),8),7,0),VLOOKUP(OFFSET(Table22,167,22,1,1),Table2,8,0))</f>
        <v>AzurePlatform_FBCTCBenefit2inMotion_CAN_1080x1080_SOC_14s_ISV_FR_Standard_NA_FTR_T4_1</v>
      </c>
      <c r="M168" s="2" t="n">
        <f aca="false">IFERROR(VLOOKUP(OFFSET(Table22,167,21,1,1),OFFSET(Table2,0,1,ROWS(Table2),8),8,0),VLOOKUP(OFFSET(Table22,167,22,1,1),Table2,9,0))</f>
        <v>105127638</v>
      </c>
      <c r="N168" s="15" t="s">
        <v>29</v>
      </c>
      <c r="O168" s="16" t="n">
        <v>43355</v>
      </c>
      <c r="P168" s="17" t="s">
        <v>64</v>
      </c>
      <c r="Q168" s="18" t="s">
        <v>65</v>
      </c>
      <c r="R168" s="17" t="s">
        <v>66</v>
      </c>
      <c r="S168" s="18" t="s">
        <v>45</v>
      </c>
      <c r="T168" s="17" t="s">
        <v>34</v>
      </c>
      <c r="U168" s="18" t="s">
        <v>39</v>
      </c>
      <c r="V168" s="19" t="n">
        <v>227618695</v>
      </c>
      <c r="W168" s="17" t="s">
        <v>67</v>
      </c>
      <c r="X168" s="17" t="n">
        <v>236</v>
      </c>
      <c r="Y168" s="17" t="n">
        <v>1</v>
      </c>
      <c r="Z168" s="17" t="n">
        <v>3.71</v>
      </c>
      <c r="AA168" s="17" t="s">
        <v>68</v>
      </c>
      <c r="AB168" s="17" t="n">
        <v>0</v>
      </c>
    </row>
    <row r="169" customFormat="false" ht="15" hidden="false" customHeight="false" outlineLevel="0" collapsed="false">
      <c r="A169" s="1" t="str">
        <f aca="false">OFFSET(Table22,168,14,1,1)&amp;OFFSET(Table22,168,21,1,1)</f>
        <v>43355223691783</v>
      </c>
      <c r="B169" s="1" t="str">
        <f aca="false">OFFSET(Table22,168,14,1,1)&amp;OFFSET(Table22,168,22,1,1)</f>
        <v>43355Facebook»AZR»1x1»SocialBan»NA»ALL»DYN»RT»D»All»SS»NA»Free Account Retargeting VM - T1 - FR</v>
      </c>
      <c r="C169" s="1" t="s">
        <v>28</v>
      </c>
      <c r="D169" s="3" t="n">
        <f aca="false">O169+(7-WEEKDAY(O169))</f>
        <v>43358</v>
      </c>
      <c r="E169" s="1" t="str">
        <f aca="false">VLOOKUP(OFFSET(Table22,168,16,1,1),Key!B:D,2,0)</f>
        <v>Canada</v>
      </c>
      <c r="F169" s="1" t="str">
        <f aca="false">IF(ISNUMBER(SEARCH("Canvas",U169)),"Link",IF(ISNUMBER(SEARCH("Link",U169)),"Link","Not filled properly"))</f>
        <v>Link</v>
      </c>
      <c r="G169" s="1" t="str">
        <f aca="false">IFERROR(VLOOKUP(OFFSET(Table22,168,21,1,1),OFFSET(Table2,0,1,ROWS(Table2),8),2,0),VLOOKUP(OFFSET(Table22,168,22,1,1),Table2,3,0))</f>
        <v>CAN_gaPMG_AZR_AZR_Q1_19_Trial-Social</v>
      </c>
      <c r="H169" s="1" t="n">
        <f aca="false">IFERROR(VLOOKUP(OFFSET(Table22,168,21,1,1),OFFSET(Table2,0,1,ROWS(Table2),8),3,0),VLOOKUP(OFFSET(Table22,168,22,1,1),Table2,4,0))</f>
        <v>21337220</v>
      </c>
      <c r="I169" s="2" t="n">
        <f aca="false">IFERROR(VLOOKUP(OFFSET(Table22,168,21,1,1),OFFSET(Table2,0,1,ROWS(Table2),8),4,0),VLOOKUP(OFFSET(Table22,168,22,1,1),Table2,5,0))</f>
        <v>720192</v>
      </c>
      <c r="J169" s="3" t="str">
        <f aca="false">IF(ISNUMBER(SEARCH("FACEBOOK",W169)),"Facebook",IF(ISNUMBER(SEARCH("INSTAGRAM",W169)),"Facebook-Instagram","Look at taxonomy"))</f>
        <v>Facebook</v>
      </c>
      <c r="K169" s="3" t="str">
        <f aca="false">IF(ISNUMBER(SEARCH("Facebook",J169)),"3654128","Not Facebook")</f>
        <v>3654128</v>
      </c>
      <c r="L169" s="3" t="str">
        <f aca="false">IFERROR(VLOOKUP(OFFSET(Table22,168,21,1,1),OFFSET(Table2,0,1,ROWS(Table2),8),7,0),VLOOKUP(OFFSET(Table22,168,22,1,1),Table2,8,0))</f>
        <v>AzurePlatform_FreeAcctRetargetingVMFB-750Hrs-ChD_CAN_1200x628_SOC_Plat_FR_Free Account_Standard_NA_SU_T1_1</v>
      </c>
      <c r="M169" s="2" t="n">
        <f aca="false">IFERROR(VLOOKUP(OFFSET(Table22,168,21,1,1),OFFSET(Table2,0,1,ROWS(Table2),8),8,0),VLOOKUP(OFFSET(Table22,168,22,1,1),Table2,9,0))</f>
        <v>103058723</v>
      </c>
      <c r="N169" s="15" t="s">
        <v>29</v>
      </c>
      <c r="O169" s="16" t="n">
        <v>43355</v>
      </c>
      <c r="P169" s="17" t="s">
        <v>64</v>
      </c>
      <c r="Q169" s="18" t="s">
        <v>65</v>
      </c>
      <c r="R169" s="17" t="s">
        <v>66</v>
      </c>
      <c r="S169" s="18" t="s">
        <v>45</v>
      </c>
      <c r="T169" s="17" t="s">
        <v>34</v>
      </c>
      <c r="U169" s="18" t="s">
        <v>39</v>
      </c>
      <c r="V169" s="19" t="n">
        <v>223691783</v>
      </c>
      <c r="W169" s="17" t="s">
        <v>76</v>
      </c>
      <c r="X169" s="17" t="n">
        <v>78</v>
      </c>
      <c r="Y169" s="17" t="n">
        <v>0</v>
      </c>
      <c r="Z169" s="17" t="n">
        <v>1.85</v>
      </c>
      <c r="AA169" s="17" t="s">
        <v>68</v>
      </c>
      <c r="AB169" s="17" t="n">
        <v>0</v>
      </c>
    </row>
    <row r="170" customFormat="false" ht="15" hidden="false" customHeight="false" outlineLevel="0" collapsed="false">
      <c r="A170" s="1" t="str">
        <f aca="false">OFFSET(Table22,169,14,1,1)&amp;OFFSET(Table22,169,21,1,1)</f>
        <v>43355223691780</v>
      </c>
      <c r="B170" s="1" t="str">
        <f aca="false">OFFSET(Table22,169,14,1,1)&amp;OFFSET(Table22,169,22,1,1)</f>
        <v>43355Facebook»AZR»1x1»SocialBan»NA»ALL»DYN»RT»D»All»SS»NA»Free Account Retargeting VM - T2 - FR</v>
      </c>
      <c r="C170" s="1" t="s">
        <v>28</v>
      </c>
      <c r="D170" s="3" t="n">
        <f aca="false">O170+(7-WEEKDAY(O170))</f>
        <v>43358</v>
      </c>
      <c r="E170" s="1" t="str">
        <f aca="false">VLOOKUP(OFFSET(Table22,169,16,1,1),Key!B:D,2,0)</f>
        <v>Canada</v>
      </c>
      <c r="F170" s="1" t="str">
        <f aca="false">IF(ISNUMBER(SEARCH("Canvas",U170)),"Link",IF(ISNUMBER(SEARCH("Link",U170)),"Link","Not filled properly"))</f>
        <v>Link</v>
      </c>
      <c r="G170" s="1" t="str">
        <f aca="false">IFERROR(VLOOKUP(OFFSET(Table22,169,21,1,1),OFFSET(Table2,0,1,ROWS(Table2),8),2,0),VLOOKUP(OFFSET(Table22,169,22,1,1),Table2,3,0))</f>
        <v>CAN_gaPMG_AZR_AZR_Q1_19_Trial-Social</v>
      </c>
      <c r="H170" s="1" t="n">
        <f aca="false">IFERROR(VLOOKUP(OFFSET(Table22,169,21,1,1),OFFSET(Table2,0,1,ROWS(Table2),8),3,0),VLOOKUP(OFFSET(Table22,169,22,1,1),Table2,4,0))</f>
        <v>21337220</v>
      </c>
      <c r="I170" s="2" t="n">
        <f aca="false">IFERROR(VLOOKUP(OFFSET(Table22,169,21,1,1),OFFSET(Table2,0,1,ROWS(Table2),8),4,0),VLOOKUP(OFFSET(Table22,169,22,1,1),Table2,5,0))</f>
        <v>720192</v>
      </c>
      <c r="J170" s="3" t="str">
        <f aca="false">IF(ISNUMBER(SEARCH("FACEBOOK",W170)),"Facebook",IF(ISNUMBER(SEARCH("INSTAGRAM",W170)),"Facebook-Instagram","Look at taxonomy"))</f>
        <v>Facebook</v>
      </c>
      <c r="K170" s="3" t="str">
        <f aca="false">IF(ISNUMBER(SEARCH("Facebook",J170)),"3654128","Not Facebook")</f>
        <v>3654128</v>
      </c>
      <c r="L170" s="3" t="str">
        <f aca="false">IFERROR(VLOOKUP(OFFSET(Table22,169,21,1,1),OFFSET(Table2,0,1,ROWS(Table2),8),7,0),VLOOKUP(OFFSET(Table22,169,22,1,1),Table2,8,0))</f>
        <v>AzurePlatform_FreeAcctRetargetingVMFB-OnDemand-ChE_CAN_1200x628_SOC_Plat_FR_Free Account_Standard_NA_SU_T2_1</v>
      </c>
      <c r="M170" s="2" t="n">
        <f aca="false">IFERROR(VLOOKUP(OFFSET(Table22,169,21,1,1),OFFSET(Table2,0,1,ROWS(Table2),8),8,0),VLOOKUP(OFFSET(Table22,169,22,1,1),Table2,9,0))</f>
        <v>103058726</v>
      </c>
      <c r="N170" s="15" t="s">
        <v>29</v>
      </c>
      <c r="O170" s="16" t="n">
        <v>43355</v>
      </c>
      <c r="P170" s="17" t="s">
        <v>64</v>
      </c>
      <c r="Q170" s="18" t="s">
        <v>65</v>
      </c>
      <c r="R170" s="17" t="s">
        <v>66</v>
      </c>
      <c r="S170" s="18" t="s">
        <v>45</v>
      </c>
      <c r="T170" s="17" t="s">
        <v>34</v>
      </c>
      <c r="U170" s="18" t="s">
        <v>39</v>
      </c>
      <c r="V170" s="19" t="n">
        <v>223691780</v>
      </c>
      <c r="W170" s="17" t="s">
        <v>75</v>
      </c>
      <c r="X170" s="17" t="n">
        <v>286</v>
      </c>
      <c r="Y170" s="17" t="n">
        <v>1</v>
      </c>
      <c r="Z170" s="17" t="n">
        <v>10.03</v>
      </c>
      <c r="AA170" s="17" t="s">
        <v>68</v>
      </c>
      <c r="AB170" s="17" t="n">
        <v>0</v>
      </c>
    </row>
    <row r="171" customFormat="false" ht="15" hidden="false" customHeight="false" outlineLevel="0" collapsed="false">
      <c r="A171" s="1" t="str">
        <f aca="false">OFFSET(Table22,170,14,1,1)&amp;OFFSET(Table22,170,21,1,1)</f>
        <v>43355223691822</v>
      </c>
      <c r="B171" s="1" t="str">
        <f aca="false">OFFSET(Table22,170,14,1,1)&amp;OFFSET(Table22,170,22,1,1)</f>
        <v>43355Facebook»AZR»1x1»SocialBan»NA»ALL»DYN»RT»D»All»SS»NA»Free Account Retargeting VM - T2 - EN</v>
      </c>
      <c r="C171" s="1" t="s">
        <v>28</v>
      </c>
      <c r="D171" s="3" t="n">
        <f aca="false">O171+(7-WEEKDAY(O171))</f>
        <v>43358</v>
      </c>
      <c r="E171" s="1" t="str">
        <f aca="false">VLOOKUP(OFFSET(Table22,170,16,1,1),Key!B:D,2,0)</f>
        <v>Canada</v>
      </c>
      <c r="F171" s="1" t="str">
        <f aca="false">IF(ISNUMBER(SEARCH("Canvas",U171)),"Link",IF(ISNUMBER(SEARCH("Link",U171)),"Link","Not filled properly"))</f>
        <v>Link</v>
      </c>
      <c r="G171" s="1" t="str">
        <f aca="false">IFERROR(VLOOKUP(OFFSET(Table22,170,21,1,1),OFFSET(Table2,0,1,ROWS(Table2),8),2,0),VLOOKUP(OFFSET(Table22,170,22,1,1),Table2,3,0))</f>
        <v>CAN_gaPMG_AZR_AZR_Q1_19_Trial-Social</v>
      </c>
      <c r="H171" s="1" t="n">
        <f aca="false">IFERROR(VLOOKUP(OFFSET(Table22,170,21,1,1),OFFSET(Table2,0,1,ROWS(Table2),8),3,0),VLOOKUP(OFFSET(Table22,170,22,1,1),Table2,4,0))</f>
        <v>21337220</v>
      </c>
      <c r="I171" s="2" t="n">
        <f aca="false">IFERROR(VLOOKUP(OFFSET(Table22,170,21,1,1),OFFSET(Table2,0,1,ROWS(Table2),8),4,0),VLOOKUP(OFFSET(Table22,170,22,1,1),Table2,5,0))</f>
        <v>720192</v>
      </c>
      <c r="J171" s="3" t="str">
        <f aca="false">IF(ISNUMBER(SEARCH("FACEBOOK",W171)),"Facebook",IF(ISNUMBER(SEARCH("INSTAGRAM",W171)),"Facebook-Instagram","Look at taxonomy"))</f>
        <v>Facebook</v>
      </c>
      <c r="K171" s="3" t="str">
        <f aca="false">IF(ISNUMBER(SEARCH("Facebook",J171)),"3654128","Not Facebook")</f>
        <v>3654128</v>
      </c>
      <c r="L171" s="3" t="str">
        <f aca="false">IFERROR(VLOOKUP(OFFSET(Table22,170,21,1,1),OFFSET(Table2,0,1,ROWS(Table2),8),7,0),VLOOKUP(OFFSET(Table22,170,22,1,1),Table2,8,0))</f>
        <v>AzurePlatform_FreeAcctRetargetingVMFB-OnDemand-ChE_CAN_1200x628_SOC_Plat_EN_Free Account_Standard_NA_SU_T2_1</v>
      </c>
      <c r="M171" s="2" t="n">
        <f aca="false">IFERROR(VLOOKUP(OFFSET(Table22,170,21,1,1),OFFSET(Table2,0,1,ROWS(Table2),8),8,0),VLOOKUP(OFFSET(Table22,170,22,1,1),Table2,9,0))</f>
        <v>103058708</v>
      </c>
      <c r="N171" s="15" t="s">
        <v>29</v>
      </c>
      <c r="O171" s="16" t="n">
        <v>43355</v>
      </c>
      <c r="P171" s="17" t="s">
        <v>64</v>
      </c>
      <c r="Q171" s="18" t="s">
        <v>65</v>
      </c>
      <c r="R171" s="17" t="s">
        <v>66</v>
      </c>
      <c r="S171" s="18" t="s">
        <v>45</v>
      </c>
      <c r="T171" s="17" t="s">
        <v>34</v>
      </c>
      <c r="U171" s="18" t="s">
        <v>39</v>
      </c>
      <c r="V171" s="19" t="n">
        <v>223691822</v>
      </c>
      <c r="W171" s="17" t="s">
        <v>89</v>
      </c>
      <c r="X171" s="17" t="n">
        <v>6261</v>
      </c>
      <c r="Y171" s="17" t="n">
        <v>6</v>
      </c>
      <c r="Z171" s="17" t="n">
        <v>128.49</v>
      </c>
      <c r="AA171" s="17" t="s">
        <v>68</v>
      </c>
      <c r="AB171" s="17" t="n">
        <v>0</v>
      </c>
    </row>
    <row r="172" customFormat="false" ht="15" hidden="false" customHeight="false" outlineLevel="0" collapsed="false">
      <c r="A172" s="1" t="str">
        <f aca="false">OFFSET(Table22,171,14,1,1)&amp;OFFSET(Table22,171,21,1,1)</f>
        <v>43355223691789</v>
      </c>
      <c r="B172" s="1" t="str">
        <f aca="false">OFFSET(Table22,171,14,1,1)&amp;OFFSET(Table22,171,22,1,1)</f>
        <v>43355Facebook»AZR»1x1»SocialBan»NA»ALL»DYN»RT»D»All»SS»NA» Free Account Retargeting OSS - T2 - FR</v>
      </c>
      <c r="C172" s="1" t="s">
        <v>28</v>
      </c>
      <c r="D172" s="3" t="n">
        <f aca="false">O172+(7-WEEKDAY(O172))</f>
        <v>43358</v>
      </c>
      <c r="E172" s="1" t="str">
        <f aca="false">VLOOKUP(OFFSET(Table22,171,16,1,1),Key!B:D,2,0)</f>
        <v>Canada</v>
      </c>
      <c r="F172" s="1" t="str">
        <f aca="false">IF(ISNUMBER(SEARCH("Canvas",U172)),"Link",IF(ISNUMBER(SEARCH("Link",U172)),"Link","Not filled properly"))</f>
        <v>Link</v>
      </c>
      <c r="G172" s="1" t="str">
        <f aca="false">IFERROR(VLOOKUP(OFFSET(Table22,171,21,1,1),OFFSET(Table2,0,1,ROWS(Table2),8),2,0),VLOOKUP(OFFSET(Table22,171,22,1,1),Table2,3,0))</f>
        <v>CAN_gaPMG_AZR_AZR_Q1_19_Trial-Social</v>
      </c>
      <c r="H172" s="1" t="n">
        <f aca="false">IFERROR(VLOOKUP(OFFSET(Table22,171,21,1,1),OFFSET(Table2,0,1,ROWS(Table2),8),3,0),VLOOKUP(OFFSET(Table22,171,22,1,1),Table2,4,0))</f>
        <v>21337220</v>
      </c>
      <c r="I172" s="2" t="n">
        <f aca="false">IFERROR(VLOOKUP(OFFSET(Table22,171,21,1,1),OFFSET(Table2,0,1,ROWS(Table2),8),4,0),VLOOKUP(OFFSET(Table22,171,22,1,1),Table2,5,0))</f>
        <v>720192</v>
      </c>
      <c r="J172" s="3" t="str">
        <f aca="false">IF(ISNUMBER(SEARCH("FACEBOOK",W172)),"Facebook",IF(ISNUMBER(SEARCH("INSTAGRAM",W172)),"Facebook-Instagram","Look at taxonomy"))</f>
        <v>Facebook</v>
      </c>
      <c r="K172" s="3" t="str">
        <f aca="false">IF(ISNUMBER(SEARCH("Facebook",J172)),"3654128","Not Facebook")</f>
        <v>3654128</v>
      </c>
      <c r="L172" s="3" t="str">
        <f aca="false">IFERROR(VLOOKUP(OFFSET(Table22,171,21,1,1),OFFSET(Table2,0,1,ROWS(Table2),8),7,0),VLOOKUP(OFFSET(Table22,171,22,1,1),Table2,8,0))</f>
        <v>AzurePlatform_FreeAcctRetargetingOSSFB-Logos-ChG_CAN_1200x628_SOC_Plat_FR_Free Account_Standard_NA_SU_T2_1</v>
      </c>
      <c r="M172" s="2" t="n">
        <f aca="false">IFERROR(VLOOKUP(OFFSET(Table22,171,21,1,1),OFFSET(Table2,0,1,ROWS(Table2),8),8,0),VLOOKUP(OFFSET(Table22,171,22,1,1),Table2,9,0))</f>
        <v>102900691</v>
      </c>
      <c r="N172" s="15" t="s">
        <v>29</v>
      </c>
      <c r="O172" s="16" t="n">
        <v>43355</v>
      </c>
      <c r="P172" s="17" t="s">
        <v>64</v>
      </c>
      <c r="Q172" s="18" t="s">
        <v>65</v>
      </c>
      <c r="R172" s="17" t="s">
        <v>66</v>
      </c>
      <c r="S172" s="18" t="s">
        <v>45</v>
      </c>
      <c r="T172" s="17" t="s">
        <v>34</v>
      </c>
      <c r="U172" s="18" t="s">
        <v>39</v>
      </c>
      <c r="V172" s="19" t="n">
        <v>223691789</v>
      </c>
      <c r="W172" s="17" t="s">
        <v>74</v>
      </c>
      <c r="X172" s="17" t="n">
        <v>512</v>
      </c>
      <c r="Y172" s="17" t="n">
        <v>3</v>
      </c>
      <c r="Z172" s="17" t="n">
        <v>16.52</v>
      </c>
      <c r="AA172" s="17" t="s">
        <v>68</v>
      </c>
      <c r="AB172" s="17" t="n">
        <v>0</v>
      </c>
    </row>
    <row r="173" customFormat="false" ht="15" hidden="false" customHeight="false" outlineLevel="0" collapsed="false">
      <c r="A173" s="1" t="str">
        <f aca="false">OFFSET(Table22,172,14,1,1)&amp;OFFSET(Table22,172,21,1,1)</f>
        <v>43355223691792</v>
      </c>
      <c r="B173" s="1" t="str">
        <f aca="false">OFFSET(Table22,172,14,1,1)&amp;OFFSET(Table22,172,22,1,1)</f>
        <v>43355Facebook»AZR»1x1»SocialBan»NA»ALL»DYN»RT»D»All»SS»NA»Free Account Retargeting Generic - T2 - FR</v>
      </c>
      <c r="C173" s="1" t="s">
        <v>28</v>
      </c>
      <c r="D173" s="3" t="n">
        <f aca="false">O173+(7-WEEKDAY(O173))</f>
        <v>43358</v>
      </c>
      <c r="E173" s="1" t="str">
        <f aca="false">VLOOKUP(OFFSET(Table22,172,16,1,1),Key!B:D,2,0)</f>
        <v>Canada</v>
      </c>
      <c r="F173" s="1" t="str">
        <f aca="false">IF(ISNUMBER(SEARCH("Canvas",U173)),"Link",IF(ISNUMBER(SEARCH("Link",U173)),"Link","Not filled properly"))</f>
        <v>Link</v>
      </c>
      <c r="G173" s="1" t="str">
        <f aca="false">IFERROR(VLOOKUP(OFFSET(Table22,172,21,1,1),OFFSET(Table2,0,1,ROWS(Table2),8),2,0),VLOOKUP(OFFSET(Table22,172,22,1,1),Table2,3,0))</f>
        <v>CAN_gaPMG_AZR_AZR_Q1_19_Trial-Social</v>
      </c>
      <c r="H173" s="1" t="n">
        <f aca="false">IFERROR(VLOOKUP(OFFSET(Table22,172,21,1,1),OFFSET(Table2,0,1,ROWS(Table2),8),3,0),VLOOKUP(OFFSET(Table22,172,22,1,1),Table2,4,0))</f>
        <v>21337220</v>
      </c>
      <c r="I173" s="2" t="n">
        <f aca="false">IFERROR(VLOOKUP(OFFSET(Table22,172,21,1,1),OFFSET(Table2,0,1,ROWS(Table2),8),4,0),VLOOKUP(OFFSET(Table22,172,22,1,1),Table2,5,0))</f>
        <v>720192</v>
      </c>
      <c r="J173" s="3" t="str">
        <f aca="false">IF(ISNUMBER(SEARCH("FACEBOOK",W173)),"Facebook",IF(ISNUMBER(SEARCH("INSTAGRAM",W173)),"Facebook-Instagram","Look at taxonomy"))</f>
        <v>Facebook</v>
      </c>
      <c r="K173" s="3" t="str">
        <f aca="false">IF(ISNUMBER(SEARCH("Facebook",J173)),"3654128","Not Facebook")</f>
        <v>3654128</v>
      </c>
      <c r="L173" s="3" t="str">
        <f aca="false">IFERROR(VLOOKUP(OFFSET(Table22,172,21,1,1),OFFSET(Table2,0,1,ROWS(Table2),8),7,0),VLOOKUP(OFFSET(Table22,172,22,1,1),Table2,8,0))</f>
        <v>AzurePlatform_FreeAcctRetargetingFB-GlobalAlt-ChB_CAN_1200x628_SOC_Plat_FR_Free Account_Standard_NA_SU_T2_1</v>
      </c>
      <c r="M173" s="2" t="n">
        <f aca="false">IFERROR(VLOOKUP(OFFSET(Table22,172,21,1,1),OFFSET(Table2,0,1,ROWS(Table2),8),8,0),VLOOKUP(OFFSET(Table22,172,22,1,1),Table2,9,0))</f>
        <v>102901894</v>
      </c>
      <c r="N173" s="15" t="s">
        <v>29</v>
      </c>
      <c r="O173" s="16" t="n">
        <v>43355</v>
      </c>
      <c r="P173" s="17" t="s">
        <v>64</v>
      </c>
      <c r="Q173" s="18" t="s">
        <v>65</v>
      </c>
      <c r="R173" s="17" t="s">
        <v>66</v>
      </c>
      <c r="S173" s="18" t="s">
        <v>45</v>
      </c>
      <c r="T173" s="17" t="s">
        <v>34</v>
      </c>
      <c r="U173" s="18" t="s">
        <v>39</v>
      </c>
      <c r="V173" s="19" t="n">
        <v>223691792</v>
      </c>
      <c r="W173" s="17" t="s">
        <v>73</v>
      </c>
      <c r="X173" s="17" t="n">
        <v>260</v>
      </c>
      <c r="Y173" s="17" t="n">
        <v>0</v>
      </c>
      <c r="Z173" s="17" t="n">
        <v>5.07</v>
      </c>
      <c r="AA173" s="17" t="s">
        <v>68</v>
      </c>
      <c r="AB173" s="17" t="n">
        <v>0</v>
      </c>
    </row>
    <row r="174" customFormat="false" ht="15" hidden="false" customHeight="false" outlineLevel="0" collapsed="false">
      <c r="A174" s="1" t="str">
        <f aca="false">OFFSET(Table22,173,14,1,1)&amp;OFFSET(Table22,173,21,1,1)</f>
        <v>43355223691834</v>
      </c>
      <c r="B174" s="1" t="str">
        <f aca="false">OFFSET(Table22,173,14,1,1)&amp;OFFSET(Table22,173,22,1,1)</f>
        <v>43355Facebook»AZR»1x1»SocialBan»NA»ALL»DYN»RT»D»All»SS»NA»Free Account Retargeting Generic - T2 - EN</v>
      </c>
      <c r="C174" s="1" t="s">
        <v>28</v>
      </c>
      <c r="D174" s="3" t="n">
        <f aca="false">O174+(7-WEEKDAY(O174))</f>
        <v>43358</v>
      </c>
      <c r="E174" s="1" t="str">
        <f aca="false">VLOOKUP(OFFSET(Table22,173,16,1,1),Key!B:D,2,0)</f>
        <v>Canada</v>
      </c>
      <c r="F174" s="1" t="str">
        <f aca="false">IF(ISNUMBER(SEARCH("Canvas",U174)),"Link",IF(ISNUMBER(SEARCH("Link",U174)),"Link","Not filled properly"))</f>
        <v>Link</v>
      </c>
      <c r="G174" s="1" t="str">
        <f aca="false">IFERROR(VLOOKUP(OFFSET(Table22,173,21,1,1),OFFSET(Table2,0,1,ROWS(Table2),8),2,0),VLOOKUP(OFFSET(Table22,173,22,1,1),Table2,3,0))</f>
        <v>CAN_gaPMG_AZR_AZR_Q1_19_Trial-Social</v>
      </c>
      <c r="H174" s="1" t="n">
        <f aca="false">IFERROR(VLOOKUP(OFFSET(Table22,173,21,1,1),OFFSET(Table2,0,1,ROWS(Table2),8),3,0),VLOOKUP(OFFSET(Table22,173,22,1,1),Table2,4,0))</f>
        <v>21337220</v>
      </c>
      <c r="I174" s="2" t="n">
        <f aca="false">IFERROR(VLOOKUP(OFFSET(Table22,173,21,1,1),OFFSET(Table2,0,1,ROWS(Table2),8),4,0),VLOOKUP(OFFSET(Table22,173,22,1,1),Table2,5,0))</f>
        <v>720192</v>
      </c>
      <c r="J174" s="3" t="str">
        <f aca="false">IF(ISNUMBER(SEARCH("FACEBOOK",W174)),"Facebook",IF(ISNUMBER(SEARCH("INSTAGRAM",W174)),"Facebook-Instagram","Look at taxonomy"))</f>
        <v>Facebook</v>
      </c>
      <c r="K174" s="3" t="str">
        <f aca="false">IF(ISNUMBER(SEARCH("Facebook",J174)),"3654128","Not Facebook")</f>
        <v>3654128</v>
      </c>
      <c r="L174" s="3" t="str">
        <f aca="false">IFERROR(VLOOKUP(OFFSET(Table22,173,21,1,1),OFFSET(Table2,0,1,ROWS(Table2),8),7,0),VLOOKUP(OFFSET(Table22,173,22,1,1),Table2,8,0))</f>
        <v>AzurePlatform_FreeAcctRetargetingFB-GlobalAlt-ChB_CAN_1200x628_SOC_Plat_EN_Free Account_Standard_NA_SU_T2_1</v>
      </c>
      <c r="M174" s="2" t="n">
        <f aca="false">IFERROR(VLOOKUP(OFFSET(Table22,173,21,1,1),OFFSET(Table2,0,1,ROWS(Table2),8),8,0),VLOOKUP(OFFSET(Table22,173,22,1,1),Table2,9,0))</f>
        <v>102902953</v>
      </c>
      <c r="N174" s="15" t="s">
        <v>29</v>
      </c>
      <c r="O174" s="16" t="n">
        <v>43355</v>
      </c>
      <c r="P174" s="17" t="s">
        <v>64</v>
      </c>
      <c r="Q174" s="18" t="s">
        <v>65</v>
      </c>
      <c r="R174" s="17" t="s">
        <v>66</v>
      </c>
      <c r="S174" s="18" t="s">
        <v>45</v>
      </c>
      <c r="T174" s="17" t="s">
        <v>34</v>
      </c>
      <c r="U174" s="18" t="s">
        <v>39</v>
      </c>
      <c r="V174" s="19" t="n">
        <v>223691834</v>
      </c>
      <c r="W174" s="17" t="s">
        <v>88</v>
      </c>
      <c r="X174" s="17" t="n">
        <v>95</v>
      </c>
      <c r="Y174" s="17" t="n">
        <v>2</v>
      </c>
      <c r="Z174" s="17" t="n">
        <v>3.11</v>
      </c>
      <c r="AA174" s="17" t="s">
        <v>68</v>
      </c>
      <c r="AB174" s="17" t="n">
        <v>0</v>
      </c>
    </row>
    <row r="175" customFormat="false" ht="15" hidden="false" customHeight="false" outlineLevel="0" collapsed="false">
      <c r="A175" s="1" t="str">
        <f aca="false">OFFSET(Table22,174,14,1,1)&amp;OFFSET(Table22,174,21,1,1)</f>
        <v>43354227522762</v>
      </c>
      <c r="B175" s="1" t="str">
        <f aca="false">OFFSET(Table22,174,14,1,1)&amp;OFFSET(Table22,174,22,1,1)</f>
        <v>43354Facebook»AZR»1x1»NA»NA»ALL»DYN»AUT»D»All»SS»NA»Free Account Create to Convert FB - Canvas - Brand - Start Free - EN</v>
      </c>
      <c r="C175" s="1" t="s">
        <v>28</v>
      </c>
      <c r="D175" s="3" t="n">
        <f aca="false">O175+(7-WEEKDAY(O175))</f>
        <v>43358</v>
      </c>
      <c r="E175" s="1" t="str">
        <f aca="false">VLOOKUP(OFFSET(Table22,174,16,1,1),Key!B:D,2,0)</f>
        <v>Canada</v>
      </c>
      <c r="F175" s="1" t="str">
        <f aca="false">IF(ISNUMBER(SEARCH("Canvas",U175)),"Link",IF(ISNUMBER(SEARCH("Link",U175)),"Link","Not filled properly"))</f>
        <v>Link</v>
      </c>
      <c r="G175" s="1" t="str">
        <f aca="false">IFERROR(VLOOKUP(OFFSET(Table22,174,21,1,1),OFFSET(Table2,0,1,ROWS(Table2),8),2,0),VLOOKUP(OFFSET(Table22,174,22,1,1),Table2,3,0))</f>
        <v>CAN_gaPMG_AZR_AZR_Q1_19_Trial-Social</v>
      </c>
      <c r="H175" s="1" t="n">
        <f aca="false">IFERROR(VLOOKUP(OFFSET(Table22,174,21,1,1),OFFSET(Table2,0,1,ROWS(Table2),8),3,0),VLOOKUP(OFFSET(Table22,174,22,1,1),Table2,4,0))</f>
        <v>21337220</v>
      </c>
      <c r="I175" s="2" t="n">
        <f aca="false">IFERROR(VLOOKUP(OFFSET(Table22,174,21,1,1),OFFSET(Table2,0,1,ROWS(Table2),8),4,0),VLOOKUP(OFFSET(Table22,174,22,1,1),Table2,5,0))</f>
        <v>720192</v>
      </c>
      <c r="J175" s="3" t="str">
        <f aca="false">IF(ISNUMBER(SEARCH("FACEBOOK",W175)),"Facebook",IF(ISNUMBER(SEARCH("INSTAGRAM",W175)),"Facebook-Instagram","Look at taxonomy"))</f>
        <v>Facebook</v>
      </c>
      <c r="K175" s="3" t="str">
        <f aca="false">IF(ISNUMBER(SEARCH("Facebook",J175)),"3654128","Not Facebook")</f>
        <v>3654128</v>
      </c>
      <c r="L175" s="3" t="str">
        <f aca="false">IFERROR(VLOOKUP(OFFSET(Table22,174,21,1,1),OFFSET(Table2,0,1,ROWS(Table2),8),7,0),VLOOKUP(OFFSET(Table22,174,22,1,1),Table2,8,0))</f>
        <v>AzurePlatform_FBCTCBrandinMotion_CAN_1080x1080_SOC_12s_ISV_English_Standard_NA_FTR_T2_1</v>
      </c>
      <c r="M175" s="2" t="n">
        <f aca="false">IFERROR(VLOOKUP(OFFSET(Table22,174,21,1,1),OFFSET(Table2,0,1,ROWS(Table2),8),8,0),VLOOKUP(OFFSET(Table22,174,22,1,1),Table2,9,0))</f>
        <v>105216992</v>
      </c>
      <c r="N175" s="15" t="s">
        <v>29</v>
      </c>
      <c r="O175" s="16" t="n">
        <v>43354</v>
      </c>
      <c r="P175" s="17" t="s">
        <v>64</v>
      </c>
      <c r="Q175" s="18" t="s">
        <v>65</v>
      </c>
      <c r="R175" s="17" t="s">
        <v>66</v>
      </c>
      <c r="S175" s="18" t="s">
        <v>45</v>
      </c>
      <c r="T175" s="17" t="s">
        <v>34</v>
      </c>
      <c r="U175" s="18" t="s">
        <v>39</v>
      </c>
      <c r="V175" s="19" t="n">
        <v>227522762</v>
      </c>
      <c r="W175" s="17" t="s">
        <v>86</v>
      </c>
      <c r="X175" s="17" t="n">
        <v>1485</v>
      </c>
      <c r="Y175" s="17" t="n">
        <v>5</v>
      </c>
      <c r="Z175" s="17" t="n">
        <v>16.98</v>
      </c>
      <c r="AA175" s="17" t="s">
        <v>68</v>
      </c>
      <c r="AB175" s="17" t="n">
        <v>0</v>
      </c>
    </row>
    <row r="176" customFormat="false" ht="15" hidden="false" customHeight="false" outlineLevel="0" collapsed="false">
      <c r="A176" s="1" t="str">
        <f aca="false">OFFSET(Table22,175,14,1,1)&amp;OFFSET(Table22,175,21,1,1)</f>
        <v>43354223691819</v>
      </c>
      <c r="B176" s="1" t="str">
        <f aca="false">OFFSET(Table22,175,14,1,1)&amp;OFFSET(Table22,175,22,1,1)</f>
        <v>43354Facebook»AZR»1x1»SocialBan»NA»ALL»DYN»RT»D»All»SS»NA»Free Account Retargeting Generic - T3 - EN</v>
      </c>
      <c r="C176" s="1" t="s">
        <v>28</v>
      </c>
      <c r="D176" s="3" t="n">
        <f aca="false">O176+(7-WEEKDAY(O176))</f>
        <v>43358</v>
      </c>
      <c r="E176" s="1" t="str">
        <f aca="false">VLOOKUP(OFFSET(Table22,175,16,1,1),Key!B:D,2,0)</f>
        <v>Canada</v>
      </c>
      <c r="F176" s="1" t="str">
        <f aca="false">IF(ISNUMBER(SEARCH("Canvas",U176)),"Link",IF(ISNUMBER(SEARCH("Link",U176)),"Link","Not filled properly"))</f>
        <v>Link</v>
      </c>
      <c r="G176" s="1" t="str">
        <f aca="false">IFERROR(VLOOKUP(OFFSET(Table22,175,21,1,1),OFFSET(Table2,0,1,ROWS(Table2),8),2,0),VLOOKUP(OFFSET(Table22,175,22,1,1),Table2,3,0))</f>
        <v>CAN_gaPMG_AZR_AZR_Q1_19_Trial-Social</v>
      </c>
      <c r="H176" s="1" t="n">
        <f aca="false">IFERROR(VLOOKUP(OFFSET(Table22,175,21,1,1),OFFSET(Table2,0,1,ROWS(Table2),8),3,0),VLOOKUP(OFFSET(Table22,175,22,1,1),Table2,4,0))</f>
        <v>21337220</v>
      </c>
      <c r="I176" s="2" t="n">
        <f aca="false">IFERROR(VLOOKUP(OFFSET(Table22,175,21,1,1),OFFSET(Table2,0,1,ROWS(Table2),8),4,0),VLOOKUP(OFFSET(Table22,175,22,1,1),Table2,5,0))</f>
        <v>720192</v>
      </c>
      <c r="J176" s="3" t="str">
        <f aca="false">IF(ISNUMBER(SEARCH("FACEBOOK",W176)),"Facebook",IF(ISNUMBER(SEARCH("INSTAGRAM",W176)),"Facebook-Instagram","Look at taxonomy"))</f>
        <v>Facebook</v>
      </c>
      <c r="K176" s="3" t="str">
        <f aca="false">IF(ISNUMBER(SEARCH("Facebook",J176)),"3654128","Not Facebook")</f>
        <v>3654128</v>
      </c>
      <c r="L176" s="3" t="str">
        <f aca="false">IFERROR(VLOOKUP(OFFSET(Table22,175,21,1,1),OFFSET(Table2,0,1,ROWS(Table2),8),7,0),VLOOKUP(OFFSET(Table22,175,22,1,1),Table2,8,0))</f>
        <v>AzurePlatform_FreeAcctRetargetingFB-Animated-ChC_CAN_1200x628_SOC_Plat_EN_Free Account_Standard_ANI_SU_T3_1</v>
      </c>
      <c r="M176" s="2" t="n">
        <f aca="false">IFERROR(VLOOKUP(OFFSET(Table22,175,21,1,1),OFFSET(Table2,0,1,ROWS(Table2),8),8,0),VLOOKUP(OFFSET(Table22,175,22,1,1),Table2,9,0))</f>
        <v>102900682</v>
      </c>
      <c r="N176" s="15" t="s">
        <v>29</v>
      </c>
      <c r="O176" s="16" t="n">
        <v>43354</v>
      </c>
      <c r="P176" s="17" t="s">
        <v>64</v>
      </c>
      <c r="Q176" s="18" t="s">
        <v>65</v>
      </c>
      <c r="R176" s="17" t="s">
        <v>66</v>
      </c>
      <c r="S176" s="18" t="s">
        <v>45</v>
      </c>
      <c r="T176" s="17" t="s">
        <v>34</v>
      </c>
      <c r="U176" s="18" t="s">
        <v>39</v>
      </c>
      <c r="V176" s="19" t="n">
        <v>223691819</v>
      </c>
      <c r="W176" s="17" t="s">
        <v>90</v>
      </c>
      <c r="X176" s="17" t="n">
        <v>483</v>
      </c>
      <c r="Y176" s="17" t="n">
        <v>0</v>
      </c>
      <c r="Z176" s="17" t="n">
        <v>14.09</v>
      </c>
      <c r="AA176" s="17" t="s">
        <v>68</v>
      </c>
      <c r="AB176" s="17" t="n">
        <v>0</v>
      </c>
    </row>
    <row r="177" customFormat="false" ht="15" hidden="false" customHeight="false" outlineLevel="0" collapsed="false">
      <c r="A177" s="1" t="str">
        <f aca="false">OFFSET(Table22,176,14,1,1)&amp;OFFSET(Table22,176,21,1,1)</f>
        <v>43354223691828</v>
      </c>
      <c r="B177" s="1" t="str">
        <f aca="false">OFFSET(Table22,176,14,1,1)&amp;OFFSET(Table22,176,22,1,1)</f>
        <v>43354Facebook»AZR»1x1»SocialBan»NA»ALL»DYN»RT»D»All»SS»NA» Free Account Retargeting OSS - T1 - EN</v>
      </c>
      <c r="C177" s="1" t="s">
        <v>28</v>
      </c>
      <c r="D177" s="3" t="n">
        <f aca="false">O177+(7-WEEKDAY(O177))</f>
        <v>43358</v>
      </c>
      <c r="E177" s="1" t="str">
        <f aca="false">VLOOKUP(OFFSET(Table22,176,16,1,1),Key!B:D,2,0)</f>
        <v>Canada</v>
      </c>
      <c r="F177" s="1" t="str">
        <f aca="false">IF(ISNUMBER(SEARCH("Canvas",U177)),"Link",IF(ISNUMBER(SEARCH("Link",U177)),"Link","Not filled properly"))</f>
        <v>Link</v>
      </c>
      <c r="G177" s="1" t="str">
        <f aca="false">IFERROR(VLOOKUP(OFFSET(Table22,176,21,1,1),OFFSET(Table2,0,1,ROWS(Table2),8),2,0),VLOOKUP(OFFSET(Table22,176,22,1,1),Table2,3,0))</f>
        <v>CAN_gaPMG_AZR_AZR_Q1_19_Trial-Social</v>
      </c>
      <c r="H177" s="1" t="n">
        <f aca="false">IFERROR(VLOOKUP(OFFSET(Table22,176,21,1,1),OFFSET(Table2,0,1,ROWS(Table2),8),3,0),VLOOKUP(OFFSET(Table22,176,22,1,1),Table2,4,0))</f>
        <v>21337220</v>
      </c>
      <c r="I177" s="2" t="n">
        <f aca="false">IFERROR(VLOOKUP(OFFSET(Table22,176,21,1,1),OFFSET(Table2,0,1,ROWS(Table2),8),4,0),VLOOKUP(OFFSET(Table22,176,22,1,1),Table2,5,0))</f>
        <v>720192</v>
      </c>
      <c r="J177" s="3" t="str">
        <f aca="false">IF(ISNUMBER(SEARCH("FACEBOOK",W177)),"Facebook",IF(ISNUMBER(SEARCH("INSTAGRAM",W177)),"Facebook-Instagram","Look at taxonomy"))</f>
        <v>Facebook</v>
      </c>
      <c r="K177" s="3" t="str">
        <f aca="false">IF(ISNUMBER(SEARCH("Facebook",J177)),"3654128","Not Facebook")</f>
        <v>3654128</v>
      </c>
      <c r="L177" s="3" t="str">
        <f aca="false">IFERROR(VLOOKUP(OFFSET(Table22,176,21,1,1),OFFSET(Table2,0,1,ROWS(Table2),8),7,0),VLOOKUP(OFFSET(Table22,176,22,1,1),Table2,8,0))</f>
        <v>AzurePlatform_FreeAcctRetargetingOSSFB-Text-ChF_CAN_1200x628_SOC_Plat_EN_Free Account_Standard_NA_SU_T1_1</v>
      </c>
      <c r="M177" s="2" t="n">
        <f aca="false">IFERROR(VLOOKUP(OFFSET(Table22,176,21,1,1),OFFSET(Table2,0,1,ROWS(Table2),8),8,0),VLOOKUP(OFFSET(Table22,176,22,1,1),Table2,9,0))</f>
        <v>102902956</v>
      </c>
      <c r="N177" s="15" t="s">
        <v>29</v>
      </c>
      <c r="O177" s="16" t="n">
        <v>43354</v>
      </c>
      <c r="P177" s="17" t="s">
        <v>64</v>
      </c>
      <c r="Q177" s="18" t="s">
        <v>65</v>
      </c>
      <c r="R177" s="17" t="s">
        <v>66</v>
      </c>
      <c r="S177" s="18" t="s">
        <v>45</v>
      </c>
      <c r="T177" s="17" t="s">
        <v>34</v>
      </c>
      <c r="U177" s="18" t="s">
        <v>39</v>
      </c>
      <c r="V177" s="19" t="n">
        <v>223691828</v>
      </c>
      <c r="W177" s="17" t="s">
        <v>91</v>
      </c>
      <c r="X177" s="17" t="n">
        <v>663</v>
      </c>
      <c r="Y177" s="17" t="n">
        <v>2</v>
      </c>
      <c r="Z177" s="17" t="n">
        <v>10.93</v>
      </c>
      <c r="AA177" s="17" t="s">
        <v>68</v>
      </c>
      <c r="AB177" s="17" t="n">
        <v>0</v>
      </c>
    </row>
    <row r="178" customFormat="false" ht="15" hidden="false" customHeight="false" outlineLevel="0" collapsed="false">
      <c r="A178" s="1" t="str">
        <f aca="false">OFFSET(Table22,177,14,1,1)&amp;OFFSET(Table22,177,21,1,1)</f>
        <v>43354223684451</v>
      </c>
      <c r="B178" s="1" t="str">
        <f aca="false">OFFSET(Table22,177,14,1,1)&amp;OFFSET(Table22,177,22,1,1)</f>
        <v>43354Facebook»AZR»1x1»NA»EGV»ALL»DYN»AUT»D»All»SS»NA»Free Acc CTC - T1 - EN</v>
      </c>
      <c r="C178" s="1" t="s">
        <v>28</v>
      </c>
      <c r="D178" s="3" t="n">
        <f aca="false">O178+(7-WEEKDAY(O178))</f>
        <v>43358</v>
      </c>
      <c r="E178" s="1" t="str">
        <f aca="false">VLOOKUP(OFFSET(Table22,177,16,1,1),Key!B:D,2,0)</f>
        <v>Canada</v>
      </c>
      <c r="F178" s="1" t="str">
        <f aca="false">IF(ISNUMBER(SEARCH("Canvas",U178)),"Link",IF(ISNUMBER(SEARCH("Link",U178)),"Link","Not filled properly"))</f>
        <v>Link</v>
      </c>
      <c r="G178" s="1" t="str">
        <f aca="false">IFERROR(VLOOKUP(OFFSET(Table22,177,21,1,1),OFFSET(Table2,0,1,ROWS(Table2),8),2,0),VLOOKUP(OFFSET(Table22,177,22,1,1),Table2,3,0))</f>
        <v>CAN_gaPMG_AZR_AZR_Q1_19_Trial-Social</v>
      </c>
      <c r="H178" s="1" t="n">
        <f aca="false">IFERROR(VLOOKUP(OFFSET(Table22,177,21,1,1),OFFSET(Table2,0,1,ROWS(Table2),8),3,0),VLOOKUP(OFFSET(Table22,177,22,1,1),Table2,4,0))</f>
        <v>21337220</v>
      </c>
      <c r="I178" s="2" t="n">
        <f aca="false">IFERROR(VLOOKUP(OFFSET(Table22,177,21,1,1),OFFSET(Table2,0,1,ROWS(Table2),8),4,0),VLOOKUP(OFFSET(Table22,177,22,1,1),Table2,5,0))</f>
        <v>720192</v>
      </c>
      <c r="J178" s="3" t="str">
        <f aca="false">IF(ISNUMBER(SEARCH("FACEBOOK",W178)),"Facebook",IF(ISNUMBER(SEARCH("INSTAGRAM",W178)),"Facebook-Instagram","Look at taxonomy"))</f>
        <v>Facebook</v>
      </c>
      <c r="K178" s="3" t="str">
        <f aca="false">IF(ISNUMBER(SEARCH("Facebook",J178)),"3654128","Not Facebook")</f>
        <v>3654128</v>
      </c>
      <c r="L178" s="3" t="str">
        <f aca="false">IFERROR(VLOOKUP(OFFSET(Table22,177,21,1,1),OFFSET(Table2,0,1,ROWS(Table2),8),7,0),VLOOKUP(OFFSET(Table22,177,22,1,1),Table2,8,0))</f>
        <v>AzurePlatform_FBCTCBasicMotion_CAN_10s_ISV_PLAT_English_Trial_Standard_STAN_TN_T1_1</v>
      </c>
      <c r="M178" s="2" t="n">
        <f aca="false">IFERROR(VLOOKUP(OFFSET(Table22,177,21,1,1),OFFSET(Table2,0,1,ROWS(Table2),8),8,0),VLOOKUP(OFFSET(Table22,177,22,1,1),Table2,9,0))</f>
        <v>102901882</v>
      </c>
      <c r="N178" s="15" t="s">
        <v>29</v>
      </c>
      <c r="O178" s="16" t="n">
        <v>43354</v>
      </c>
      <c r="P178" s="17" t="s">
        <v>64</v>
      </c>
      <c r="Q178" s="18" t="s">
        <v>65</v>
      </c>
      <c r="R178" s="17" t="s">
        <v>66</v>
      </c>
      <c r="S178" s="18" t="s">
        <v>45</v>
      </c>
      <c r="T178" s="17" t="s">
        <v>34</v>
      </c>
      <c r="U178" s="18" t="s">
        <v>39</v>
      </c>
      <c r="V178" s="19" t="n">
        <v>223684451</v>
      </c>
      <c r="W178" s="17" t="s">
        <v>84</v>
      </c>
      <c r="X178" s="17" t="n">
        <v>4078</v>
      </c>
      <c r="Y178" s="17" t="n">
        <v>9</v>
      </c>
      <c r="Z178" s="17" t="n">
        <v>69.83</v>
      </c>
      <c r="AA178" s="17" t="s">
        <v>68</v>
      </c>
      <c r="AB178" s="17" t="n">
        <v>0</v>
      </c>
    </row>
    <row r="179" customFormat="false" ht="15" hidden="false" customHeight="false" outlineLevel="0" collapsed="false">
      <c r="A179" s="1" t="str">
        <f aca="false">OFFSET(Table22,178,14,1,1)&amp;OFFSET(Table22,178,21,1,1)</f>
        <v>43354223691837</v>
      </c>
      <c r="B179" s="1" t="str">
        <f aca="false">OFFSET(Table22,178,14,1,1)&amp;OFFSET(Table22,178,22,1,1)</f>
        <v>43354Facebook»AZR»1x1»NA»EGV»ALL»DYN»AUT»D»All»SS»NA»Free Acc CTC - T4 - EN</v>
      </c>
      <c r="C179" s="1" t="s">
        <v>28</v>
      </c>
      <c r="D179" s="3" t="n">
        <f aca="false">O179+(7-WEEKDAY(O179))</f>
        <v>43358</v>
      </c>
      <c r="E179" s="1" t="str">
        <f aca="false">VLOOKUP(OFFSET(Table22,178,16,1,1),Key!B:D,2,0)</f>
        <v>Canada</v>
      </c>
      <c r="F179" s="1" t="str">
        <f aca="false">IF(ISNUMBER(SEARCH("Canvas",U179)),"Link",IF(ISNUMBER(SEARCH("Link",U179)),"Link","Not filled properly"))</f>
        <v>Link</v>
      </c>
      <c r="G179" s="1" t="str">
        <f aca="false">IFERROR(VLOOKUP(OFFSET(Table22,178,21,1,1),OFFSET(Table2,0,1,ROWS(Table2),8),2,0),VLOOKUP(OFFSET(Table22,178,22,1,1),Table2,3,0))</f>
        <v>CAN_gaPMG_AZR_AZR_Q1_19_Trial-Social</v>
      </c>
      <c r="H179" s="1" t="n">
        <f aca="false">IFERROR(VLOOKUP(OFFSET(Table22,178,21,1,1),OFFSET(Table2,0,1,ROWS(Table2),8),3,0),VLOOKUP(OFFSET(Table22,178,22,1,1),Table2,4,0))</f>
        <v>21337220</v>
      </c>
      <c r="I179" s="2" t="n">
        <f aca="false">IFERROR(VLOOKUP(OFFSET(Table22,178,21,1,1),OFFSET(Table2,0,1,ROWS(Table2),8),4,0),VLOOKUP(OFFSET(Table22,178,22,1,1),Table2,5,0))</f>
        <v>720192</v>
      </c>
      <c r="J179" s="3" t="str">
        <f aca="false">IF(ISNUMBER(SEARCH("FACEBOOK",W179)),"Facebook",IF(ISNUMBER(SEARCH("INSTAGRAM",W179)),"Facebook-Instagram","Look at taxonomy"))</f>
        <v>Facebook</v>
      </c>
      <c r="K179" s="3" t="str">
        <f aca="false">IF(ISNUMBER(SEARCH("Facebook",J179)),"3654128","Not Facebook")</f>
        <v>3654128</v>
      </c>
      <c r="L179" s="3" t="str">
        <f aca="false">IFERROR(VLOOKUP(OFFSET(Table22,178,21,1,1),OFFSET(Table2,0,1,ROWS(Table2),8),7,0),VLOOKUP(OFFSET(Table22,178,22,1,1),Table2,8,0))</f>
        <v>AzurePlatform_FBCTCBenefit2inMotion_CAN_14s_ISV_PLAT_English_Trial_Standard_STAN_TN_T4_1</v>
      </c>
      <c r="M179" s="2" t="n">
        <f aca="false">IFERROR(VLOOKUP(OFFSET(Table22,178,21,1,1),OFFSET(Table2,0,1,ROWS(Table2),8),8,0),VLOOKUP(OFFSET(Table22,178,22,1,1),Table2,9,0))</f>
        <v>103053314</v>
      </c>
      <c r="N179" s="15" t="s">
        <v>29</v>
      </c>
      <c r="O179" s="16" t="n">
        <v>43354</v>
      </c>
      <c r="P179" s="17" t="s">
        <v>64</v>
      </c>
      <c r="Q179" s="18" t="s">
        <v>65</v>
      </c>
      <c r="R179" s="17" t="s">
        <v>66</v>
      </c>
      <c r="S179" s="18" t="s">
        <v>45</v>
      </c>
      <c r="T179" s="17" t="s">
        <v>34</v>
      </c>
      <c r="U179" s="18" t="s">
        <v>39</v>
      </c>
      <c r="V179" s="19" t="n">
        <v>223691837</v>
      </c>
      <c r="W179" s="17" t="s">
        <v>83</v>
      </c>
      <c r="X179" s="17" t="n">
        <v>8936</v>
      </c>
      <c r="Y179" s="17" t="n">
        <v>10</v>
      </c>
      <c r="Z179" s="17" t="n">
        <v>147.17</v>
      </c>
      <c r="AA179" s="17" t="s">
        <v>68</v>
      </c>
      <c r="AB179" s="17" t="n">
        <v>0</v>
      </c>
    </row>
    <row r="180" customFormat="false" ht="15" hidden="false" customHeight="false" outlineLevel="0" collapsed="false">
      <c r="A180" s="1" t="str">
        <f aca="false">OFFSET(Table22,179,14,1,1)&amp;OFFSET(Table22,179,21,1,1)</f>
        <v>43354227525720</v>
      </c>
      <c r="B180" s="1" t="str">
        <f aca="false">OFFSET(Table22,179,14,1,1)&amp;OFFSET(Table22,179,22,1,1)</f>
        <v>43354Facebook»AZR»1x1»NA»NA»ALL»DYN»AUT»D»All»SS»NA»Free Account Create to Convert FB - Canvas - Benefit - Start Free - EN</v>
      </c>
      <c r="C180" s="1" t="s">
        <v>28</v>
      </c>
      <c r="D180" s="3" t="n">
        <f aca="false">O180+(7-WEEKDAY(O180))</f>
        <v>43358</v>
      </c>
      <c r="E180" s="1" t="str">
        <f aca="false">VLOOKUP(OFFSET(Table22,179,16,1,1),Key!B:D,2,0)</f>
        <v>Canada</v>
      </c>
      <c r="F180" s="1" t="str">
        <f aca="false">IF(ISNUMBER(SEARCH("Canvas",U180)),"Link",IF(ISNUMBER(SEARCH("Link",U180)),"Link","Not filled properly"))</f>
        <v>Link</v>
      </c>
      <c r="G180" s="1" t="str">
        <f aca="false">IFERROR(VLOOKUP(OFFSET(Table22,179,21,1,1),OFFSET(Table2,0,1,ROWS(Table2),8),2,0),VLOOKUP(OFFSET(Table22,179,22,1,1),Table2,3,0))</f>
        <v>CAN_gaPMG_AZR_AZR_Q1_19_Trial-Social</v>
      </c>
      <c r="H180" s="1" t="n">
        <f aca="false">IFERROR(VLOOKUP(OFFSET(Table22,179,21,1,1),OFFSET(Table2,0,1,ROWS(Table2),8),3,0),VLOOKUP(OFFSET(Table22,179,22,1,1),Table2,4,0))</f>
        <v>21337220</v>
      </c>
      <c r="I180" s="2" t="n">
        <f aca="false">IFERROR(VLOOKUP(OFFSET(Table22,179,21,1,1),OFFSET(Table2,0,1,ROWS(Table2),8),4,0),VLOOKUP(OFFSET(Table22,179,22,1,1),Table2,5,0))</f>
        <v>720192</v>
      </c>
      <c r="J180" s="3" t="str">
        <f aca="false">IF(ISNUMBER(SEARCH("FACEBOOK",W180)),"Facebook",IF(ISNUMBER(SEARCH("INSTAGRAM",W180)),"Facebook-Instagram","Look at taxonomy"))</f>
        <v>Facebook</v>
      </c>
      <c r="K180" s="3" t="str">
        <f aca="false">IF(ISNUMBER(SEARCH("Facebook",J180)),"3654128","Not Facebook")</f>
        <v>3654128</v>
      </c>
      <c r="L180" s="3" t="str">
        <f aca="false">IFERROR(VLOOKUP(OFFSET(Table22,179,21,1,1),OFFSET(Table2,0,1,ROWS(Table2),8),7,0),VLOOKUP(OFFSET(Table22,179,22,1,1),Table2,8,0))</f>
        <v>AzurePlatform_FBCTCBenefit2inMotion_CAN_1080x1080_SOC_14s_ISV_English_Standard_NA_FTR_T4_1</v>
      </c>
      <c r="M180" s="2" t="n">
        <f aca="false">IFERROR(VLOOKUP(OFFSET(Table22,179,21,1,1),OFFSET(Table2,0,1,ROWS(Table2),8),8,0),VLOOKUP(OFFSET(Table22,179,22,1,1),Table2,9,0))</f>
        <v>105130125</v>
      </c>
      <c r="N180" s="15" t="s">
        <v>29</v>
      </c>
      <c r="O180" s="16" t="n">
        <v>43354</v>
      </c>
      <c r="P180" s="17" t="s">
        <v>64</v>
      </c>
      <c r="Q180" s="18" t="s">
        <v>65</v>
      </c>
      <c r="R180" s="17" t="s">
        <v>66</v>
      </c>
      <c r="S180" s="18" t="s">
        <v>45</v>
      </c>
      <c r="T180" s="17" t="s">
        <v>34</v>
      </c>
      <c r="U180" s="18" t="s">
        <v>39</v>
      </c>
      <c r="V180" s="19" t="n">
        <v>227525720</v>
      </c>
      <c r="W180" s="17" t="s">
        <v>85</v>
      </c>
      <c r="X180" s="17" t="n">
        <v>2627</v>
      </c>
      <c r="Y180" s="17" t="n">
        <v>7</v>
      </c>
      <c r="Z180" s="17" t="n">
        <v>41.23</v>
      </c>
      <c r="AA180" s="17" t="s">
        <v>68</v>
      </c>
      <c r="AB180" s="17" t="n">
        <v>0</v>
      </c>
    </row>
    <row r="181" customFormat="false" ht="15" hidden="false" customHeight="false" outlineLevel="0" collapsed="false">
      <c r="A181" s="1" t="str">
        <f aca="false">OFFSET(Table22,180,14,1,1)&amp;OFFSET(Table22,180,21,1,1)</f>
        <v>43354225322327</v>
      </c>
      <c r="B181" s="1" t="str">
        <f aca="false">OFFSET(Table22,180,14,1,1)&amp;OFFSET(Table22,180,22,1,1)</f>
        <v>43354Facebook»AZR»1x1»NA»SOC»ALL»DYN»PRO»D»All»SS»NA»Canvas - Buy Now - EN</v>
      </c>
      <c r="C181" s="1" t="s">
        <v>28</v>
      </c>
      <c r="D181" s="3" t="n">
        <f aca="false">O181+(7-WEEKDAY(O181))</f>
        <v>43358</v>
      </c>
      <c r="E181" s="1" t="str">
        <f aca="false">VLOOKUP(OFFSET(Table22,180,16,1,1),Key!B:D,2,0)</f>
        <v>Canada</v>
      </c>
      <c r="F181" s="1" t="str">
        <f aca="false">IF(ISNUMBER(SEARCH("Canvas",U181)),"Link",IF(ISNUMBER(SEARCH("Link",U181)),"Link","Not filled properly"))</f>
        <v>Link</v>
      </c>
      <c r="G181" s="1" t="str">
        <f aca="false">IFERROR(VLOOKUP(OFFSET(Table22,180,21,1,1),OFFSET(Table2,0,1,ROWS(Table2),8),2,0),VLOOKUP(OFFSET(Table22,180,22,1,1),Table2,3,0))</f>
        <v>CAN_gaPMG_AZR_AZR_Q1_19_Trial-Social</v>
      </c>
      <c r="H181" s="1" t="n">
        <f aca="false">IFERROR(VLOOKUP(OFFSET(Table22,180,21,1,1),OFFSET(Table2,0,1,ROWS(Table2),8),3,0),VLOOKUP(OFFSET(Table22,180,22,1,1),Table2,4,0))</f>
        <v>21337220</v>
      </c>
      <c r="I181" s="2" t="n">
        <f aca="false">IFERROR(VLOOKUP(OFFSET(Table22,180,21,1,1),OFFSET(Table2,0,1,ROWS(Table2),8),4,0),VLOOKUP(OFFSET(Table22,180,22,1,1),Table2,5,0))</f>
        <v>720192</v>
      </c>
      <c r="J181" s="3" t="str">
        <f aca="false">IF(ISNUMBER(SEARCH("FACEBOOK",W181)),"Facebook",IF(ISNUMBER(SEARCH("INSTAGRAM",W181)),"Facebook-Instagram","Look at taxonomy"))</f>
        <v>Facebook</v>
      </c>
      <c r="K181" s="3" t="str">
        <f aca="false">IF(ISNUMBER(SEARCH("Facebook",J181)),"3654128","Not Facebook")</f>
        <v>3654128</v>
      </c>
      <c r="L181" s="3" t="str">
        <f aca="false">IFERROR(VLOOKUP(OFFSET(Table22,180,21,1,1),OFFSET(Table2,0,1,ROWS(Table2),8),7,0),VLOOKUP(OFFSET(Table22,180,22,1,1),Table2,8,0))</f>
        <v>AzurePlatform_FBCTCcanvaspage-BuyNowCTA-Img3_CAN_1080x162_SOC_Plat_English_NA_Standard_NA_BN_T3_1</v>
      </c>
      <c r="M181" s="2" t="n">
        <f aca="false">IFERROR(VLOOKUP(OFFSET(Table22,180,21,1,1),OFFSET(Table2,0,1,ROWS(Table2),8),8,0),VLOOKUP(OFFSET(Table22,180,22,1,1),Table2,9,0))</f>
        <v>103902287</v>
      </c>
      <c r="N181" s="15" t="s">
        <v>29</v>
      </c>
      <c r="O181" s="16" t="n">
        <v>43354</v>
      </c>
      <c r="P181" s="17" t="s">
        <v>64</v>
      </c>
      <c r="Q181" s="18" t="s">
        <v>65</v>
      </c>
      <c r="R181" s="17" t="s">
        <v>66</v>
      </c>
      <c r="S181" s="18" t="s">
        <v>45</v>
      </c>
      <c r="T181" s="17" t="s">
        <v>34</v>
      </c>
      <c r="U181" s="18" t="s">
        <v>39</v>
      </c>
      <c r="V181" s="19" t="n">
        <v>225322327</v>
      </c>
      <c r="W181" s="17" t="s">
        <v>82</v>
      </c>
      <c r="X181" s="17" t="n">
        <v>675</v>
      </c>
      <c r="Y181" s="17" t="n">
        <v>3</v>
      </c>
      <c r="Z181" s="17" t="n">
        <v>8.9</v>
      </c>
      <c r="AA181" s="17" t="s">
        <v>68</v>
      </c>
      <c r="AB181" s="17" t="n">
        <v>0</v>
      </c>
    </row>
    <row r="182" customFormat="false" ht="15" hidden="false" customHeight="false" outlineLevel="0" collapsed="false">
      <c r="A182" s="1" t="str">
        <f aca="false">OFFSET(Table22,181,14,1,1)&amp;OFFSET(Table22,181,21,1,1)</f>
        <v>43354223691825</v>
      </c>
      <c r="B182" s="1" t="str">
        <f aca="false">OFFSET(Table22,181,14,1,1)&amp;OFFSET(Table22,181,22,1,1)</f>
        <v>43354Facebook»AZR»1x1»SocialBan»NA»ALL»DYN»RT»D»All»SS»NA»Free Account Retargeting VM - T1 - EN</v>
      </c>
      <c r="C182" s="1" t="s">
        <v>28</v>
      </c>
      <c r="D182" s="3" t="n">
        <f aca="false">O182+(7-WEEKDAY(O182))</f>
        <v>43358</v>
      </c>
      <c r="E182" s="1" t="str">
        <f aca="false">VLOOKUP(OFFSET(Table22,181,16,1,1),Key!B:D,2,0)</f>
        <v>Canada</v>
      </c>
      <c r="F182" s="1" t="str">
        <f aca="false">IF(ISNUMBER(SEARCH("Canvas",U182)),"Link",IF(ISNUMBER(SEARCH("Link",U182)),"Link","Not filled properly"))</f>
        <v>Link</v>
      </c>
      <c r="G182" s="1" t="str">
        <f aca="false">IFERROR(VLOOKUP(OFFSET(Table22,181,21,1,1),OFFSET(Table2,0,1,ROWS(Table2),8),2,0),VLOOKUP(OFFSET(Table22,181,22,1,1),Table2,3,0))</f>
        <v>CAN_gaPMG_AZR_AZR_Q1_19_Trial-Social</v>
      </c>
      <c r="H182" s="1" t="n">
        <f aca="false">IFERROR(VLOOKUP(OFFSET(Table22,181,21,1,1),OFFSET(Table2,0,1,ROWS(Table2),8),3,0),VLOOKUP(OFFSET(Table22,181,22,1,1),Table2,4,0))</f>
        <v>21337220</v>
      </c>
      <c r="I182" s="2" t="n">
        <f aca="false">IFERROR(VLOOKUP(OFFSET(Table22,181,21,1,1),OFFSET(Table2,0,1,ROWS(Table2),8),4,0),VLOOKUP(OFFSET(Table22,181,22,1,1),Table2,5,0))</f>
        <v>720192</v>
      </c>
      <c r="J182" s="3" t="str">
        <f aca="false">IF(ISNUMBER(SEARCH("FACEBOOK",W182)),"Facebook",IF(ISNUMBER(SEARCH("INSTAGRAM",W182)),"Facebook-Instagram","Look at taxonomy"))</f>
        <v>Facebook</v>
      </c>
      <c r="K182" s="3" t="str">
        <f aca="false">IF(ISNUMBER(SEARCH("Facebook",J182)),"3654128","Not Facebook")</f>
        <v>3654128</v>
      </c>
      <c r="L182" s="3" t="str">
        <f aca="false">IFERROR(VLOOKUP(OFFSET(Table22,181,21,1,1),OFFSET(Table2,0,1,ROWS(Table2),8),7,0),VLOOKUP(OFFSET(Table22,181,22,1,1),Table2,8,0))</f>
        <v>AzurePlatform_FreeAcctRetargetingVMFB-750Hrs-ChD_CAN_1200x628_SOC_Plat_EN_Free Account_Standard_NA_SU_T1_1</v>
      </c>
      <c r="M182" s="2" t="n">
        <f aca="false">IFERROR(VLOOKUP(OFFSET(Table22,181,21,1,1),OFFSET(Table2,0,1,ROWS(Table2),8),8,0),VLOOKUP(OFFSET(Table22,181,22,1,1),Table2,9,0))</f>
        <v>102916338</v>
      </c>
      <c r="N182" s="15" t="s">
        <v>29</v>
      </c>
      <c r="O182" s="16" t="n">
        <v>43354</v>
      </c>
      <c r="P182" s="17" t="s">
        <v>64</v>
      </c>
      <c r="Q182" s="18" t="s">
        <v>65</v>
      </c>
      <c r="R182" s="17" t="s">
        <v>66</v>
      </c>
      <c r="S182" s="18" t="s">
        <v>45</v>
      </c>
      <c r="T182" s="17" t="s">
        <v>34</v>
      </c>
      <c r="U182" s="18" t="s">
        <v>39</v>
      </c>
      <c r="V182" s="19" t="n">
        <v>223691825</v>
      </c>
      <c r="W182" s="17" t="s">
        <v>80</v>
      </c>
      <c r="X182" s="17" t="n">
        <v>2375</v>
      </c>
      <c r="Y182" s="17" t="n">
        <v>5</v>
      </c>
      <c r="Z182" s="17" t="n">
        <v>84.87</v>
      </c>
      <c r="AA182" s="17" t="s">
        <v>68</v>
      </c>
      <c r="AB182" s="17" t="n">
        <v>0</v>
      </c>
    </row>
    <row r="183" customFormat="false" ht="15" hidden="false" customHeight="false" outlineLevel="0" collapsed="false">
      <c r="A183" s="1" t="str">
        <f aca="false">OFFSET(Table22,182,14,1,1)&amp;OFFSET(Table22,182,21,1,1)</f>
        <v>43354225322324</v>
      </c>
      <c r="B183" s="1" t="str">
        <f aca="false">OFFSET(Table22,182,14,1,1)&amp;OFFSET(Table22,182,22,1,1)</f>
        <v>43354Facebook»AZR»1x1»NA»SOC»ALL»DYN»PRO»D»All»SS»NA»Canvas - Buy Now - FR</v>
      </c>
      <c r="C183" s="1" t="s">
        <v>28</v>
      </c>
      <c r="D183" s="3" t="n">
        <f aca="false">O183+(7-WEEKDAY(O183))</f>
        <v>43358</v>
      </c>
      <c r="E183" s="1" t="str">
        <f aca="false">VLOOKUP(OFFSET(Table22,182,16,1,1),Key!B:D,2,0)</f>
        <v>Canada</v>
      </c>
      <c r="F183" s="1" t="str">
        <f aca="false">IF(ISNUMBER(SEARCH("Canvas",U183)),"Link",IF(ISNUMBER(SEARCH("Link",U183)),"Link","Not filled properly"))</f>
        <v>Link</v>
      </c>
      <c r="G183" s="1" t="str">
        <f aca="false">IFERROR(VLOOKUP(OFFSET(Table22,182,21,1,1),OFFSET(Table2,0,1,ROWS(Table2),8),2,0),VLOOKUP(OFFSET(Table22,182,22,1,1),Table2,3,0))</f>
        <v>CAN_gaPMG_AZR_AZR_Q1_19_Trial-Social</v>
      </c>
      <c r="H183" s="1" t="n">
        <f aca="false">IFERROR(VLOOKUP(OFFSET(Table22,182,21,1,1),OFFSET(Table2,0,1,ROWS(Table2),8),3,0),VLOOKUP(OFFSET(Table22,182,22,1,1),Table2,4,0))</f>
        <v>21337220</v>
      </c>
      <c r="I183" s="2" t="n">
        <f aca="false">IFERROR(VLOOKUP(OFFSET(Table22,182,21,1,1),OFFSET(Table2,0,1,ROWS(Table2),8),4,0),VLOOKUP(OFFSET(Table22,182,22,1,1),Table2,5,0))</f>
        <v>720192</v>
      </c>
      <c r="J183" s="3" t="str">
        <f aca="false">IF(ISNUMBER(SEARCH("FACEBOOK",W183)),"Facebook",IF(ISNUMBER(SEARCH("INSTAGRAM",W183)),"Facebook-Instagram","Look at taxonomy"))</f>
        <v>Facebook</v>
      </c>
      <c r="K183" s="3" t="str">
        <f aca="false">IF(ISNUMBER(SEARCH("Facebook",J183)),"3654128","Not Facebook")</f>
        <v>3654128</v>
      </c>
      <c r="L183" s="3" t="str">
        <f aca="false">IFERROR(VLOOKUP(OFFSET(Table22,182,21,1,1),OFFSET(Table2,0,1,ROWS(Table2),8),7,0),VLOOKUP(OFFSET(Table22,182,22,1,1),Table2,8,0))</f>
        <v>AzurePlatform_FBCTCcanvaspage-BuyNowCTA-Img3_CAN_1080x162_SOC_Plat_French_NA_Standard_NA_BN_T3_1</v>
      </c>
      <c r="M183" s="2" t="n">
        <f aca="false">IFERROR(VLOOKUP(OFFSET(Table22,182,21,1,1),OFFSET(Table2,0,1,ROWS(Table2),8),8,0),VLOOKUP(OFFSET(Table22,182,22,1,1),Table2,9,0))</f>
        <v>103789915</v>
      </c>
      <c r="N183" s="15" t="s">
        <v>29</v>
      </c>
      <c r="O183" s="16" t="n">
        <v>43354</v>
      </c>
      <c r="P183" s="17" t="s">
        <v>64</v>
      </c>
      <c r="Q183" s="18" t="s">
        <v>65</v>
      </c>
      <c r="R183" s="17" t="s">
        <v>66</v>
      </c>
      <c r="S183" s="18" t="s">
        <v>45</v>
      </c>
      <c r="T183" s="17" t="s">
        <v>34</v>
      </c>
      <c r="U183" s="18" t="s">
        <v>39</v>
      </c>
      <c r="V183" s="19" t="n">
        <v>225322324</v>
      </c>
      <c r="W183" s="17" t="s">
        <v>71</v>
      </c>
      <c r="X183" s="17" t="n">
        <v>449</v>
      </c>
      <c r="Y183" s="17" t="n">
        <v>1</v>
      </c>
      <c r="Z183" s="17" t="n">
        <v>6.13</v>
      </c>
      <c r="AA183" s="17" t="s">
        <v>68</v>
      </c>
      <c r="AB183" s="17" t="n">
        <v>0</v>
      </c>
    </row>
    <row r="184" customFormat="false" ht="15" hidden="false" customHeight="false" outlineLevel="0" collapsed="false">
      <c r="A184" s="1" t="str">
        <f aca="false">OFFSET(Table22,183,14,1,1)&amp;OFFSET(Table22,183,21,1,1)</f>
        <v>43354223691777</v>
      </c>
      <c r="B184" s="1" t="str">
        <f aca="false">OFFSET(Table22,183,14,1,1)&amp;OFFSET(Table22,183,22,1,1)</f>
        <v>43354Facebook»AZR»1x1»SocialBan»NA»ALL»DYN»RT»D»All»SS»NA»Free Account Retargeting Generic - T3 - FR</v>
      </c>
      <c r="C184" s="1" t="s">
        <v>28</v>
      </c>
      <c r="D184" s="3" t="n">
        <f aca="false">O184+(7-WEEKDAY(O184))</f>
        <v>43358</v>
      </c>
      <c r="E184" s="1" t="str">
        <f aca="false">VLOOKUP(OFFSET(Table22,183,16,1,1),Key!B:D,2,0)</f>
        <v>Canada</v>
      </c>
      <c r="F184" s="1" t="str">
        <f aca="false">IF(ISNUMBER(SEARCH("Canvas",U184)),"Link",IF(ISNUMBER(SEARCH("Link",U184)),"Link","Not filled properly"))</f>
        <v>Link</v>
      </c>
      <c r="G184" s="1" t="str">
        <f aca="false">IFERROR(VLOOKUP(OFFSET(Table22,183,21,1,1),OFFSET(Table2,0,1,ROWS(Table2),8),2,0),VLOOKUP(OFFSET(Table22,183,22,1,1),Table2,3,0))</f>
        <v>CAN_gaPMG_AZR_AZR_Q1_19_Trial-Social</v>
      </c>
      <c r="H184" s="1" t="n">
        <f aca="false">IFERROR(VLOOKUP(OFFSET(Table22,183,21,1,1),OFFSET(Table2,0,1,ROWS(Table2),8),3,0),VLOOKUP(OFFSET(Table22,183,22,1,1),Table2,4,0))</f>
        <v>21337220</v>
      </c>
      <c r="I184" s="2" t="n">
        <f aca="false">IFERROR(VLOOKUP(OFFSET(Table22,183,21,1,1),OFFSET(Table2,0,1,ROWS(Table2),8),4,0),VLOOKUP(OFFSET(Table22,183,22,1,1),Table2,5,0))</f>
        <v>720192</v>
      </c>
      <c r="J184" s="3" t="str">
        <f aca="false">IF(ISNUMBER(SEARCH("FACEBOOK",W184)),"Facebook",IF(ISNUMBER(SEARCH("INSTAGRAM",W184)),"Facebook-Instagram","Look at taxonomy"))</f>
        <v>Facebook</v>
      </c>
      <c r="K184" s="3" t="str">
        <f aca="false">IF(ISNUMBER(SEARCH("Facebook",J184)),"3654128","Not Facebook")</f>
        <v>3654128</v>
      </c>
      <c r="L184" s="3" t="str">
        <f aca="false">IFERROR(VLOOKUP(OFFSET(Table22,183,21,1,1),OFFSET(Table2,0,1,ROWS(Table2),8),7,0),VLOOKUP(OFFSET(Table22,183,22,1,1),Table2,8,0))</f>
        <v>AzurePlatform_FreeAcctRetargetingFB-Animated-ChC_CAN_1200x628_SOC_Plat_FR_Free Account_Standard_ANI_SU_T3_1</v>
      </c>
      <c r="M184" s="2" t="n">
        <f aca="false">IFERROR(VLOOKUP(OFFSET(Table22,183,21,1,1),OFFSET(Table2,0,1,ROWS(Table2),8),8,0),VLOOKUP(OFFSET(Table22,183,22,1,1),Table2,9,0))</f>
        <v>102900697</v>
      </c>
      <c r="N184" s="15" t="s">
        <v>29</v>
      </c>
      <c r="O184" s="16" t="n">
        <v>43354</v>
      </c>
      <c r="P184" s="17" t="s">
        <v>64</v>
      </c>
      <c r="Q184" s="18" t="s">
        <v>65</v>
      </c>
      <c r="R184" s="17" t="s">
        <v>66</v>
      </c>
      <c r="S184" s="18" t="s">
        <v>45</v>
      </c>
      <c r="T184" s="17" t="s">
        <v>34</v>
      </c>
      <c r="U184" s="18" t="s">
        <v>39</v>
      </c>
      <c r="V184" s="19" t="n">
        <v>223691777</v>
      </c>
      <c r="W184" s="17" t="s">
        <v>72</v>
      </c>
      <c r="X184" s="17" t="n">
        <v>2043</v>
      </c>
      <c r="Y184" s="17" t="n">
        <v>6</v>
      </c>
      <c r="Z184" s="17" t="n">
        <v>62.42</v>
      </c>
      <c r="AA184" s="17" t="s">
        <v>68</v>
      </c>
      <c r="AB184" s="17" t="n">
        <v>0</v>
      </c>
    </row>
    <row r="185" customFormat="false" ht="15" hidden="false" customHeight="false" outlineLevel="0" collapsed="false">
      <c r="A185" s="1" t="str">
        <f aca="false">OFFSET(Table22,184,14,1,1)&amp;OFFSET(Table22,184,21,1,1)</f>
        <v>43354223691780</v>
      </c>
      <c r="B185" s="1" t="str">
        <f aca="false">OFFSET(Table22,184,14,1,1)&amp;OFFSET(Table22,184,22,1,1)</f>
        <v>43354Facebook»AZR»1x1»SocialBan»NA»ALL»DYN»RT»D»All»SS»NA»Free Account Retargeting VM - T2 - FR</v>
      </c>
      <c r="C185" s="1" t="s">
        <v>28</v>
      </c>
      <c r="D185" s="3" t="n">
        <f aca="false">O185+(7-WEEKDAY(O185))</f>
        <v>43358</v>
      </c>
      <c r="E185" s="1" t="str">
        <f aca="false">VLOOKUP(OFFSET(Table22,184,16,1,1),Key!B:D,2,0)</f>
        <v>Canada</v>
      </c>
      <c r="F185" s="1" t="str">
        <f aca="false">IF(ISNUMBER(SEARCH("Canvas",U185)),"Link",IF(ISNUMBER(SEARCH("Link",U185)),"Link","Not filled properly"))</f>
        <v>Link</v>
      </c>
      <c r="G185" s="1" t="str">
        <f aca="false">IFERROR(VLOOKUP(OFFSET(Table22,184,21,1,1),OFFSET(Table2,0,1,ROWS(Table2),8),2,0),VLOOKUP(OFFSET(Table22,184,22,1,1),Table2,3,0))</f>
        <v>CAN_gaPMG_AZR_AZR_Q1_19_Trial-Social</v>
      </c>
      <c r="H185" s="1" t="n">
        <f aca="false">IFERROR(VLOOKUP(OFFSET(Table22,184,21,1,1),OFFSET(Table2,0,1,ROWS(Table2),8),3,0),VLOOKUP(OFFSET(Table22,184,22,1,1),Table2,4,0))</f>
        <v>21337220</v>
      </c>
      <c r="I185" s="2" t="n">
        <f aca="false">IFERROR(VLOOKUP(OFFSET(Table22,184,21,1,1),OFFSET(Table2,0,1,ROWS(Table2),8),4,0),VLOOKUP(OFFSET(Table22,184,22,1,1),Table2,5,0))</f>
        <v>720192</v>
      </c>
      <c r="J185" s="3" t="str">
        <f aca="false">IF(ISNUMBER(SEARCH("FACEBOOK",W185)),"Facebook",IF(ISNUMBER(SEARCH("INSTAGRAM",W185)),"Facebook-Instagram","Look at taxonomy"))</f>
        <v>Facebook</v>
      </c>
      <c r="K185" s="3" t="str">
        <f aca="false">IF(ISNUMBER(SEARCH("Facebook",J185)),"3654128","Not Facebook")</f>
        <v>3654128</v>
      </c>
      <c r="L185" s="3" t="str">
        <f aca="false">IFERROR(VLOOKUP(OFFSET(Table22,184,21,1,1),OFFSET(Table2,0,1,ROWS(Table2),8),7,0),VLOOKUP(OFFSET(Table22,184,22,1,1),Table2,8,0))</f>
        <v>AzurePlatform_FreeAcctRetargetingVMFB-OnDemand-ChE_CAN_1200x628_SOC_Plat_FR_Free Account_Standard_NA_SU_T2_1</v>
      </c>
      <c r="M185" s="2" t="n">
        <f aca="false">IFERROR(VLOOKUP(OFFSET(Table22,184,21,1,1),OFFSET(Table2,0,1,ROWS(Table2),8),8,0),VLOOKUP(OFFSET(Table22,184,22,1,1),Table2,9,0))</f>
        <v>103058726</v>
      </c>
      <c r="N185" s="15" t="s">
        <v>29</v>
      </c>
      <c r="O185" s="16" t="n">
        <v>43354</v>
      </c>
      <c r="P185" s="17" t="s">
        <v>64</v>
      </c>
      <c r="Q185" s="18" t="s">
        <v>65</v>
      </c>
      <c r="R185" s="17" t="s">
        <v>66</v>
      </c>
      <c r="S185" s="18" t="s">
        <v>45</v>
      </c>
      <c r="T185" s="17" t="s">
        <v>34</v>
      </c>
      <c r="U185" s="18" t="s">
        <v>39</v>
      </c>
      <c r="V185" s="19" t="n">
        <v>223691780</v>
      </c>
      <c r="W185" s="17" t="s">
        <v>75</v>
      </c>
      <c r="X185" s="17" t="n">
        <v>126</v>
      </c>
      <c r="Y185" s="17" t="n">
        <v>0</v>
      </c>
      <c r="Z185" s="17" t="n">
        <v>4.87</v>
      </c>
      <c r="AA185" s="17" t="s">
        <v>68</v>
      </c>
      <c r="AB185" s="17" t="n">
        <v>0</v>
      </c>
    </row>
    <row r="186" customFormat="false" ht="15" hidden="false" customHeight="false" outlineLevel="0" collapsed="false">
      <c r="A186" s="1" t="str">
        <f aca="false">OFFSET(Table22,185,14,1,1)&amp;OFFSET(Table22,185,21,1,1)</f>
        <v>43354223691834</v>
      </c>
      <c r="B186" s="1" t="str">
        <f aca="false">OFFSET(Table22,185,14,1,1)&amp;OFFSET(Table22,185,22,1,1)</f>
        <v>43354Facebook»AZR»1x1»SocialBan»NA»ALL»DYN»RT»D»All»SS»NA»Free Account Retargeting Generic - T2 - EN</v>
      </c>
      <c r="C186" s="1" t="s">
        <v>28</v>
      </c>
      <c r="D186" s="3" t="n">
        <f aca="false">O186+(7-WEEKDAY(O186))</f>
        <v>43358</v>
      </c>
      <c r="E186" s="1" t="str">
        <f aca="false">VLOOKUP(OFFSET(Table22,185,16,1,1),Key!B:D,2,0)</f>
        <v>Canada</v>
      </c>
      <c r="F186" s="1" t="str">
        <f aca="false">IF(ISNUMBER(SEARCH("Canvas",U186)),"Link",IF(ISNUMBER(SEARCH("Link",U186)),"Link","Not filled properly"))</f>
        <v>Link</v>
      </c>
      <c r="G186" s="1" t="str">
        <f aca="false">IFERROR(VLOOKUP(OFFSET(Table22,185,21,1,1),OFFSET(Table2,0,1,ROWS(Table2),8),2,0),VLOOKUP(OFFSET(Table22,185,22,1,1),Table2,3,0))</f>
        <v>CAN_gaPMG_AZR_AZR_Q1_19_Trial-Social</v>
      </c>
      <c r="H186" s="1" t="n">
        <f aca="false">IFERROR(VLOOKUP(OFFSET(Table22,185,21,1,1),OFFSET(Table2,0,1,ROWS(Table2),8),3,0),VLOOKUP(OFFSET(Table22,185,22,1,1),Table2,4,0))</f>
        <v>21337220</v>
      </c>
      <c r="I186" s="2" t="n">
        <f aca="false">IFERROR(VLOOKUP(OFFSET(Table22,185,21,1,1),OFFSET(Table2,0,1,ROWS(Table2),8),4,0),VLOOKUP(OFFSET(Table22,185,22,1,1),Table2,5,0))</f>
        <v>720192</v>
      </c>
      <c r="J186" s="3" t="str">
        <f aca="false">IF(ISNUMBER(SEARCH("FACEBOOK",W186)),"Facebook",IF(ISNUMBER(SEARCH("INSTAGRAM",W186)),"Facebook-Instagram","Look at taxonomy"))</f>
        <v>Facebook</v>
      </c>
      <c r="K186" s="3" t="str">
        <f aca="false">IF(ISNUMBER(SEARCH("Facebook",J186)),"3654128","Not Facebook")</f>
        <v>3654128</v>
      </c>
      <c r="L186" s="3" t="str">
        <f aca="false">IFERROR(VLOOKUP(OFFSET(Table22,185,21,1,1),OFFSET(Table2,0,1,ROWS(Table2),8),7,0),VLOOKUP(OFFSET(Table22,185,22,1,1),Table2,8,0))</f>
        <v>AzurePlatform_FreeAcctRetargetingFB-GlobalAlt-ChB_CAN_1200x628_SOC_Plat_EN_Free Account_Standard_NA_SU_T2_1</v>
      </c>
      <c r="M186" s="2" t="n">
        <f aca="false">IFERROR(VLOOKUP(OFFSET(Table22,185,21,1,1),OFFSET(Table2,0,1,ROWS(Table2),8),8,0),VLOOKUP(OFFSET(Table22,185,22,1,1),Table2,9,0))</f>
        <v>102902953</v>
      </c>
      <c r="N186" s="15" t="s">
        <v>29</v>
      </c>
      <c r="O186" s="16" t="n">
        <v>43354</v>
      </c>
      <c r="P186" s="17" t="s">
        <v>64</v>
      </c>
      <c r="Q186" s="18" t="s">
        <v>65</v>
      </c>
      <c r="R186" s="17" t="s">
        <v>66</v>
      </c>
      <c r="S186" s="18" t="s">
        <v>45</v>
      </c>
      <c r="T186" s="17" t="s">
        <v>34</v>
      </c>
      <c r="U186" s="18" t="s">
        <v>39</v>
      </c>
      <c r="V186" s="19" t="n">
        <v>223691834</v>
      </c>
      <c r="W186" s="17" t="s">
        <v>88</v>
      </c>
      <c r="X186" s="17" t="n">
        <v>662</v>
      </c>
      <c r="Y186" s="17" t="n">
        <v>1</v>
      </c>
      <c r="Z186" s="17" t="n">
        <v>17.66</v>
      </c>
      <c r="AA186" s="17" t="s">
        <v>68</v>
      </c>
      <c r="AB186" s="17" t="n">
        <v>0</v>
      </c>
    </row>
    <row r="187" customFormat="false" ht="15" hidden="false" customHeight="false" outlineLevel="0" collapsed="false">
      <c r="A187" s="1" t="str">
        <f aca="false">OFFSET(Table22,186,14,1,1)&amp;OFFSET(Table22,186,21,1,1)</f>
        <v>43354223691831</v>
      </c>
      <c r="B187" s="1" t="str">
        <f aca="false">OFFSET(Table22,186,14,1,1)&amp;OFFSET(Table22,186,22,1,1)</f>
        <v>43354Facebook»AZR»1x1»SocialBan»NA»ALL»DYN»RT»D»All»SS»NA» Free Account Retargeting OSS - T2 - EN</v>
      </c>
      <c r="C187" s="1" t="s">
        <v>28</v>
      </c>
      <c r="D187" s="3" t="n">
        <f aca="false">O187+(7-WEEKDAY(O187))</f>
        <v>43358</v>
      </c>
      <c r="E187" s="1" t="str">
        <f aca="false">VLOOKUP(OFFSET(Table22,186,16,1,1),Key!B:D,2,0)</f>
        <v>Canada</v>
      </c>
      <c r="F187" s="1" t="str">
        <f aca="false">IF(ISNUMBER(SEARCH("Canvas",U187)),"Link",IF(ISNUMBER(SEARCH("Link",U187)),"Link","Not filled properly"))</f>
        <v>Link</v>
      </c>
      <c r="G187" s="1" t="str">
        <f aca="false">IFERROR(VLOOKUP(OFFSET(Table22,186,21,1,1),OFFSET(Table2,0,1,ROWS(Table2),8),2,0),VLOOKUP(OFFSET(Table22,186,22,1,1),Table2,3,0))</f>
        <v>CAN_gaPMG_AZR_AZR_Q1_19_Trial-Social</v>
      </c>
      <c r="H187" s="1" t="n">
        <f aca="false">IFERROR(VLOOKUP(OFFSET(Table22,186,21,1,1),OFFSET(Table2,0,1,ROWS(Table2),8),3,0),VLOOKUP(OFFSET(Table22,186,22,1,1),Table2,4,0))</f>
        <v>21337220</v>
      </c>
      <c r="I187" s="2" t="n">
        <f aca="false">IFERROR(VLOOKUP(OFFSET(Table22,186,21,1,1),OFFSET(Table2,0,1,ROWS(Table2),8),4,0),VLOOKUP(OFFSET(Table22,186,22,1,1),Table2,5,0))</f>
        <v>720192</v>
      </c>
      <c r="J187" s="3" t="str">
        <f aca="false">IF(ISNUMBER(SEARCH("FACEBOOK",W187)),"Facebook",IF(ISNUMBER(SEARCH("INSTAGRAM",W187)),"Facebook-Instagram","Look at taxonomy"))</f>
        <v>Facebook</v>
      </c>
      <c r="K187" s="3" t="str">
        <f aca="false">IF(ISNUMBER(SEARCH("Facebook",J187)),"3654128","Not Facebook")</f>
        <v>3654128</v>
      </c>
      <c r="L187" s="3" t="str">
        <f aca="false">IFERROR(VLOOKUP(OFFSET(Table22,186,21,1,1),OFFSET(Table2,0,1,ROWS(Table2),8),7,0),VLOOKUP(OFFSET(Table22,186,22,1,1),Table2,8,0))</f>
        <v>AzurePlatform_FreeAcctRetargetingOSSFB-Logos-ChG_CAN_1200x628_SOC_Plat_EN_Free Account_Standard_NA_SU_T2_1</v>
      </c>
      <c r="M187" s="2" t="n">
        <f aca="false">IFERROR(VLOOKUP(OFFSET(Table22,186,21,1,1),OFFSET(Table2,0,1,ROWS(Table2),8),8,0),VLOOKUP(OFFSET(Table22,186,22,1,1),Table2,9,0))</f>
        <v>102913800</v>
      </c>
      <c r="N187" s="15" t="s">
        <v>29</v>
      </c>
      <c r="O187" s="16" t="n">
        <v>43354</v>
      </c>
      <c r="P187" s="17" t="s">
        <v>64</v>
      </c>
      <c r="Q187" s="18" t="s">
        <v>65</v>
      </c>
      <c r="R187" s="17" t="s">
        <v>66</v>
      </c>
      <c r="S187" s="18" t="s">
        <v>45</v>
      </c>
      <c r="T187" s="17" t="s">
        <v>34</v>
      </c>
      <c r="U187" s="18" t="s">
        <v>39</v>
      </c>
      <c r="V187" s="19" t="n">
        <v>223691831</v>
      </c>
      <c r="W187" s="17" t="s">
        <v>70</v>
      </c>
      <c r="X187" s="17" t="n">
        <v>5121</v>
      </c>
      <c r="Y187" s="17" t="n">
        <v>9</v>
      </c>
      <c r="Z187" s="17" t="n">
        <v>127.76</v>
      </c>
      <c r="AA187" s="17" t="s">
        <v>68</v>
      </c>
      <c r="AB187" s="17" t="n">
        <v>0</v>
      </c>
    </row>
    <row r="188" customFormat="false" ht="15" hidden="false" customHeight="false" outlineLevel="0" collapsed="false">
      <c r="A188" s="1" t="str">
        <f aca="false">OFFSET(Table22,187,14,1,1)&amp;OFFSET(Table22,187,21,1,1)</f>
        <v>43354223691840</v>
      </c>
      <c r="B188" s="1" t="str">
        <f aca="false">OFFSET(Table22,187,14,1,1)&amp;OFFSET(Table22,187,22,1,1)</f>
        <v>43354Facebook»AZR»1x1»NA»EGV»ALL»DYN»AUT»D»All»SS»NA»Free Acc CTC - T2 - EN</v>
      </c>
      <c r="C188" s="1" t="s">
        <v>28</v>
      </c>
      <c r="D188" s="3" t="n">
        <f aca="false">O188+(7-WEEKDAY(O188))</f>
        <v>43358</v>
      </c>
      <c r="E188" s="1" t="str">
        <f aca="false">VLOOKUP(OFFSET(Table22,187,16,1,1),Key!B:D,2,0)</f>
        <v>Canada</v>
      </c>
      <c r="F188" s="1" t="str">
        <f aca="false">IF(ISNUMBER(SEARCH("Canvas",U188)),"Link",IF(ISNUMBER(SEARCH("Link",U188)),"Link","Not filled properly"))</f>
        <v>Link</v>
      </c>
      <c r="G188" s="1" t="str">
        <f aca="false">IFERROR(VLOOKUP(OFFSET(Table22,187,21,1,1),OFFSET(Table2,0,1,ROWS(Table2),8),2,0),VLOOKUP(OFFSET(Table22,187,22,1,1),Table2,3,0))</f>
        <v>CAN_gaPMG_AZR_AZR_Q1_19_Trial-Social</v>
      </c>
      <c r="H188" s="1" t="n">
        <f aca="false">IFERROR(VLOOKUP(OFFSET(Table22,187,21,1,1),OFFSET(Table2,0,1,ROWS(Table2),8),3,0),VLOOKUP(OFFSET(Table22,187,22,1,1),Table2,4,0))</f>
        <v>21337220</v>
      </c>
      <c r="I188" s="2" t="n">
        <f aca="false">IFERROR(VLOOKUP(OFFSET(Table22,187,21,1,1),OFFSET(Table2,0,1,ROWS(Table2),8),4,0),VLOOKUP(OFFSET(Table22,187,22,1,1),Table2,5,0))</f>
        <v>720192</v>
      </c>
      <c r="J188" s="3" t="str">
        <f aca="false">IF(ISNUMBER(SEARCH("FACEBOOK",W188)),"Facebook",IF(ISNUMBER(SEARCH("INSTAGRAM",W188)),"Facebook-Instagram","Look at taxonomy"))</f>
        <v>Facebook</v>
      </c>
      <c r="K188" s="3" t="str">
        <f aca="false">IF(ISNUMBER(SEARCH("Facebook",J188)),"3654128","Not Facebook")</f>
        <v>3654128</v>
      </c>
      <c r="L188" s="3" t="str">
        <f aca="false">IFERROR(VLOOKUP(OFFSET(Table22,187,21,1,1),OFFSET(Table2,0,1,ROWS(Table2),8),7,0),VLOOKUP(OFFSET(Table22,187,22,1,1),Table2,8,0))</f>
        <v>AzurePlatform_FBCTCBrandinMotion_CAN_12s_ISV_PLAT_English_Trial_Standard_STAN_TN_T2_1</v>
      </c>
      <c r="M188" s="2" t="n">
        <f aca="false">IFERROR(VLOOKUP(OFFSET(Table22,187,21,1,1),OFFSET(Table2,0,1,ROWS(Table2),8),8,0),VLOOKUP(OFFSET(Table22,187,22,1,1),Table2,9,0))</f>
        <v>102902950</v>
      </c>
      <c r="N188" s="15" t="s">
        <v>29</v>
      </c>
      <c r="O188" s="16" t="n">
        <v>43354</v>
      </c>
      <c r="P188" s="17" t="s">
        <v>64</v>
      </c>
      <c r="Q188" s="18" t="s">
        <v>65</v>
      </c>
      <c r="R188" s="17" t="s">
        <v>66</v>
      </c>
      <c r="S188" s="18" t="s">
        <v>45</v>
      </c>
      <c r="T188" s="17" t="s">
        <v>34</v>
      </c>
      <c r="U188" s="18" t="s">
        <v>39</v>
      </c>
      <c r="V188" s="19" t="n">
        <v>223691840</v>
      </c>
      <c r="W188" s="17" t="s">
        <v>77</v>
      </c>
      <c r="X188" s="17" t="n">
        <v>1200</v>
      </c>
      <c r="Y188" s="17" t="n">
        <v>2</v>
      </c>
      <c r="Z188" s="17" t="n">
        <v>20.03</v>
      </c>
      <c r="AA188" s="17" t="s">
        <v>68</v>
      </c>
      <c r="AB188" s="17" t="n">
        <v>0</v>
      </c>
    </row>
    <row r="189" customFormat="false" ht="15" hidden="false" customHeight="false" outlineLevel="0" collapsed="false">
      <c r="A189" s="1" t="str">
        <f aca="false">OFFSET(Table22,188,14,1,1)&amp;OFFSET(Table22,188,21,1,1)</f>
        <v>43354223691798</v>
      </c>
      <c r="B189" s="1" t="str">
        <f aca="false">OFFSET(Table22,188,14,1,1)&amp;OFFSET(Table22,188,22,1,1)</f>
        <v>43354Facebook»AZR»1x1»NA»EGV»ALL»DYN»AUT»D»All»SS»NA»Free Acc CTC - T2 - FR</v>
      </c>
      <c r="C189" s="1" t="s">
        <v>28</v>
      </c>
      <c r="D189" s="3" t="n">
        <f aca="false">O189+(7-WEEKDAY(O189))</f>
        <v>43358</v>
      </c>
      <c r="E189" s="1" t="str">
        <f aca="false">VLOOKUP(OFFSET(Table22,188,16,1,1),Key!B:D,2,0)</f>
        <v>Canada</v>
      </c>
      <c r="F189" s="1" t="str">
        <f aca="false">IF(ISNUMBER(SEARCH("Canvas",U189)),"Link",IF(ISNUMBER(SEARCH("Link",U189)),"Link","Not filled properly"))</f>
        <v>Link</v>
      </c>
      <c r="G189" s="1" t="str">
        <f aca="false">IFERROR(VLOOKUP(OFFSET(Table22,188,21,1,1),OFFSET(Table2,0,1,ROWS(Table2),8),2,0),VLOOKUP(OFFSET(Table22,188,22,1,1),Table2,3,0))</f>
        <v>CAN_gaPMG_AZR_AZR_Q1_19_Trial-Social</v>
      </c>
      <c r="H189" s="1" t="n">
        <f aca="false">IFERROR(VLOOKUP(OFFSET(Table22,188,21,1,1),OFFSET(Table2,0,1,ROWS(Table2),8),3,0),VLOOKUP(OFFSET(Table22,188,22,1,1),Table2,4,0))</f>
        <v>21337220</v>
      </c>
      <c r="I189" s="2" t="n">
        <f aca="false">IFERROR(VLOOKUP(OFFSET(Table22,188,21,1,1),OFFSET(Table2,0,1,ROWS(Table2),8),4,0),VLOOKUP(OFFSET(Table22,188,22,1,1),Table2,5,0))</f>
        <v>720192</v>
      </c>
      <c r="J189" s="3" t="str">
        <f aca="false">IF(ISNUMBER(SEARCH("FACEBOOK",W189)),"Facebook",IF(ISNUMBER(SEARCH("INSTAGRAM",W189)),"Facebook-Instagram","Look at taxonomy"))</f>
        <v>Facebook</v>
      </c>
      <c r="K189" s="3" t="str">
        <f aca="false">IF(ISNUMBER(SEARCH("Facebook",J189)),"3654128","Not Facebook")</f>
        <v>3654128</v>
      </c>
      <c r="L189" s="3" t="str">
        <f aca="false">IFERROR(VLOOKUP(OFFSET(Table22,188,21,1,1),OFFSET(Table2,0,1,ROWS(Table2),8),7,0),VLOOKUP(OFFSET(Table22,188,22,1,1),Table2,8,0))</f>
        <v>AzurePlatform_FBCTCBrandinMotion_CAN_12s_ISV_PLAT_FR_Trial_Standard_STAN_TN_T2_1</v>
      </c>
      <c r="M189" s="2" t="n">
        <f aca="false">IFERROR(VLOOKUP(OFFSET(Table22,188,21,1,1),OFFSET(Table2,0,1,ROWS(Table2),8),8,0),VLOOKUP(OFFSET(Table22,188,22,1,1),Table2,9,0))</f>
        <v>102916347</v>
      </c>
      <c r="N189" s="15" t="s">
        <v>29</v>
      </c>
      <c r="O189" s="16" t="n">
        <v>43354</v>
      </c>
      <c r="P189" s="17" t="s">
        <v>64</v>
      </c>
      <c r="Q189" s="18" t="s">
        <v>65</v>
      </c>
      <c r="R189" s="17" t="s">
        <v>66</v>
      </c>
      <c r="S189" s="18" t="s">
        <v>45</v>
      </c>
      <c r="T189" s="17" t="s">
        <v>34</v>
      </c>
      <c r="U189" s="18" t="s">
        <v>39</v>
      </c>
      <c r="V189" s="19" t="n">
        <v>223691798</v>
      </c>
      <c r="W189" s="17" t="s">
        <v>69</v>
      </c>
      <c r="X189" s="17" t="n">
        <v>1594</v>
      </c>
      <c r="Y189" s="17" t="n">
        <v>9</v>
      </c>
      <c r="Z189" s="17" t="n">
        <v>38.32</v>
      </c>
      <c r="AA189" s="17" t="s">
        <v>68</v>
      </c>
      <c r="AB189" s="17" t="n">
        <v>0</v>
      </c>
    </row>
    <row r="190" customFormat="false" ht="15" hidden="false" customHeight="false" outlineLevel="0" collapsed="false">
      <c r="A190" s="1" t="str">
        <f aca="false">OFFSET(Table22,189,14,1,1)&amp;OFFSET(Table22,189,21,1,1)</f>
        <v>43354227618695</v>
      </c>
      <c r="B190" s="1" t="str">
        <f aca="false">OFFSET(Table22,189,14,1,1)&amp;OFFSET(Table22,189,22,1,1)</f>
        <v>43354Facebook»AZR»1x1»NA»NA»ALL»DYN»AUT»D»All»SS»NA»Free Account Create to Convert FB - Canvas - Benefit - Start Free - FR</v>
      </c>
      <c r="C190" s="1" t="s">
        <v>28</v>
      </c>
      <c r="D190" s="3" t="n">
        <f aca="false">O190+(7-WEEKDAY(O190))</f>
        <v>43358</v>
      </c>
      <c r="E190" s="1" t="str">
        <f aca="false">VLOOKUP(OFFSET(Table22,189,16,1,1),Key!B:D,2,0)</f>
        <v>Canada</v>
      </c>
      <c r="F190" s="1" t="str">
        <f aca="false">IF(ISNUMBER(SEARCH("Canvas",U190)),"Link",IF(ISNUMBER(SEARCH("Link",U190)),"Link","Not filled properly"))</f>
        <v>Link</v>
      </c>
      <c r="G190" s="1" t="str">
        <f aca="false">IFERROR(VLOOKUP(OFFSET(Table22,189,21,1,1),OFFSET(Table2,0,1,ROWS(Table2),8),2,0),VLOOKUP(OFFSET(Table22,189,22,1,1),Table2,3,0))</f>
        <v>CAN_gaPMG_AZR_AZR_Q1_19_Trial-Social</v>
      </c>
      <c r="H190" s="1" t="n">
        <f aca="false">IFERROR(VLOOKUP(OFFSET(Table22,189,21,1,1),OFFSET(Table2,0,1,ROWS(Table2),8),3,0),VLOOKUP(OFFSET(Table22,189,22,1,1),Table2,4,0))</f>
        <v>21337220</v>
      </c>
      <c r="I190" s="2" t="n">
        <f aca="false">IFERROR(VLOOKUP(OFFSET(Table22,189,21,1,1),OFFSET(Table2,0,1,ROWS(Table2),8),4,0),VLOOKUP(OFFSET(Table22,189,22,1,1),Table2,5,0))</f>
        <v>720192</v>
      </c>
      <c r="J190" s="3" t="str">
        <f aca="false">IF(ISNUMBER(SEARCH("FACEBOOK",W190)),"Facebook",IF(ISNUMBER(SEARCH("INSTAGRAM",W190)),"Facebook-Instagram","Look at taxonomy"))</f>
        <v>Facebook</v>
      </c>
      <c r="K190" s="3" t="str">
        <f aca="false">IF(ISNUMBER(SEARCH("Facebook",J190)),"3654128","Not Facebook")</f>
        <v>3654128</v>
      </c>
      <c r="L190" s="3" t="str">
        <f aca="false">IFERROR(VLOOKUP(OFFSET(Table22,189,21,1,1),OFFSET(Table2,0,1,ROWS(Table2),8),7,0),VLOOKUP(OFFSET(Table22,189,22,1,1),Table2,8,0))</f>
        <v>AzurePlatform_FBCTCBenefit2inMotion_CAN_1080x1080_SOC_14s_ISV_FR_Standard_NA_FTR_T4_1</v>
      </c>
      <c r="M190" s="2" t="n">
        <f aca="false">IFERROR(VLOOKUP(OFFSET(Table22,189,21,1,1),OFFSET(Table2,0,1,ROWS(Table2),8),8,0),VLOOKUP(OFFSET(Table22,189,22,1,1),Table2,9,0))</f>
        <v>105127638</v>
      </c>
      <c r="N190" s="15" t="s">
        <v>29</v>
      </c>
      <c r="O190" s="16" t="n">
        <v>43354</v>
      </c>
      <c r="P190" s="17" t="s">
        <v>64</v>
      </c>
      <c r="Q190" s="18" t="s">
        <v>65</v>
      </c>
      <c r="R190" s="17" t="s">
        <v>66</v>
      </c>
      <c r="S190" s="18" t="s">
        <v>45</v>
      </c>
      <c r="T190" s="17" t="s">
        <v>34</v>
      </c>
      <c r="U190" s="18" t="s">
        <v>39</v>
      </c>
      <c r="V190" s="19" t="n">
        <v>227618695</v>
      </c>
      <c r="W190" s="17" t="s">
        <v>67</v>
      </c>
      <c r="X190" s="17" t="n">
        <v>265</v>
      </c>
      <c r="Y190" s="17" t="n">
        <v>0</v>
      </c>
      <c r="Z190" s="17" t="n">
        <v>3.64</v>
      </c>
      <c r="AA190" s="17" t="s">
        <v>68</v>
      </c>
      <c r="AB190" s="17" t="n">
        <v>0</v>
      </c>
    </row>
    <row r="191" customFormat="false" ht="15" hidden="false" customHeight="false" outlineLevel="0" collapsed="false">
      <c r="A191" s="1" t="str">
        <f aca="false">OFFSET(Table22,190,14,1,1)&amp;OFFSET(Table22,190,21,1,1)</f>
        <v>43354223691795</v>
      </c>
      <c r="B191" s="1" t="str">
        <f aca="false">OFFSET(Table22,190,14,1,1)&amp;OFFSET(Table22,190,22,1,1)</f>
        <v>43354Facebook»AZR»1x1»NA»EGV»ALL»DYN»AUT»D»All»SS»NA»Free Acc CTC - T4 - FR</v>
      </c>
      <c r="C191" s="1" t="s">
        <v>28</v>
      </c>
      <c r="D191" s="3" t="n">
        <f aca="false">O191+(7-WEEKDAY(O191))</f>
        <v>43358</v>
      </c>
      <c r="E191" s="1" t="str">
        <f aca="false">VLOOKUP(OFFSET(Table22,190,16,1,1),Key!B:D,2,0)</f>
        <v>Canada</v>
      </c>
      <c r="F191" s="1" t="str">
        <f aca="false">IF(ISNUMBER(SEARCH("Canvas",U191)),"Link",IF(ISNUMBER(SEARCH("Link",U191)),"Link","Not filled properly"))</f>
        <v>Link</v>
      </c>
      <c r="G191" s="1" t="str">
        <f aca="false">IFERROR(VLOOKUP(OFFSET(Table22,190,21,1,1),OFFSET(Table2,0,1,ROWS(Table2),8),2,0),VLOOKUP(OFFSET(Table22,190,22,1,1),Table2,3,0))</f>
        <v>CAN_gaPMG_AZR_AZR_Q1_19_Trial-Social</v>
      </c>
      <c r="H191" s="1" t="n">
        <f aca="false">IFERROR(VLOOKUP(OFFSET(Table22,190,21,1,1),OFFSET(Table2,0,1,ROWS(Table2),8),3,0),VLOOKUP(OFFSET(Table22,190,22,1,1),Table2,4,0))</f>
        <v>21337220</v>
      </c>
      <c r="I191" s="2" t="n">
        <f aca="false">IFERROR(VLOOKUP(OFFSET(Table22,190,21,1,1),OFFSET(Table2,0,1,ROWS(Table2),8),4,0),VLOOKUP(OFFSET(Table22,190,22,1,1),Table2,5,0))</f>
        <v>720192</v>
      </c>
      <c r="J191" s="3" t="str">
        <f aca="false">IF(ISNUMBER(SEARCH("FACEBOOK",W191)),"Facebook",IF(ISNUMBER(SEARCH("INSTAGRAM",W191)),"Facebook-Instagram","Look at taxonomy"))</f>
        <v>Facebook</v>
      </c>
      <c r="K191" s="3" t="str">
        <f aca="false">IF(ISNUMBER(SEARCH("Facebook",J191)),"3654128","Not Facebook")</f>
        <v>3654128</v>
      </c>
      <c r="L191" s="3" t="str">
        <f aca="false">IFERROR(VLOOKUP(OFFSET(Table22,190,21,1,1),OFFSET(Table2,0,1,ROWS(Table2),8),7,0),VLOOKUP(OFFSET(Table22,190,22,1,1),Table2,8,0))</f>
        <v>AzurePlatform_FBCTCBenefit2inMotion_CAN_14s_ISV_PLAT_FR_Trial_Standard_STAN_TN_T4_1</v>
      </c>
      <c r="M191" s="2" t="n">
        <f aca="false">IFERROR(VLOOKUP(OFFSET(Table22,190,21,1,1),OFFSET(Table2,0,1,ROWS(Table2),8),8,0),VLOOKUP(OFFSET(Table22,190,22,1,1),Table2,9,0))</f>
        <v>102900688</v>
      </c>
      <c r="N191" s="15" t="s">
        <v>29</v>
      </c>
      <c r="O191" s="16" t="n">
        <v>43354</v>
      </c>
      <c r="P191" s="17" t="s">
        <v>64</v>
      </c>
      <c r="Q191" s="18" t="s">
        <v>65</v>
      </c>
      <c r="R191" s="17" t="s">
        <v>66</v>
      </c>
      <c r="S191" s="18" t="s">
        <v>45</v>
      </c>
      <c r="T191" s="17" t="s">
        <v>34</v>
      </c>
      <c r="U191" s="18" t="s">
        <v>39</v>
      </c>
      <c r="V191" s="19" t="n">
        <v>223691795</v>
      </c>
      <c r="W191" s="17" t="s">
        <v>87</v>
      </c>
      <c r="X191" s="17" t="n">
        <v>868</v>
      </c>
      <c r="Y191" s="17" t="n">
        <v>0</v>
      </c>
      <c r="Z191" s="17" t="n">
        <v>15.8</v>
      </c>
      <c r="AA191" s="17" t="s">
        <v>68</v>
      </c>
      <c r="AB191" s="17" t="n">
        <v>0</v>
      </c>
    </row>
    <row r="192" customFormat="false" ht="15" hidden="false" customHeight="false" outlineLevel="0" collapsed="false">
      <c r="A192" s="1" t="str">
        <f aca="false">OFFSET(Table22,191,14,1,1)&amp;OFFSET(Table22,191,21,1,1)</f>
        <v>43354223691801</v>
      </c>
      <c r="B192" s="1" t="str">
        <f aca="false">OFFSET(Table22,191,14,1,1)&amp;OFFSET(Table22,191,22,1,1)</f>
        <v>43354Facebook»AZR»1x1»NA»EGV»ALL»DYN»AUT»D»All»SS»NA»Free Acc CTC - T1 - FR</v>
      </c>
      <c r="C192" s="1" t="s">
        <v>28</v>
      </c>
      <c r="D192" s="3" t="n">
        <f aca="false">O192+(7-WEEKDAY(O192))</f>
        <v>43358</v>
      </c>
      <c r="E192" s="1" t="str">
        <f aca="false">VLOOKUP(OFFSET(Table22,191,16,1,1),Key!B:D,2,0)</f>
        <v>Canada</v>
      </c>
      <c r="F192" s="1" t="str">
        <f aca="false">IF(ISNUMBER(SEARCH("Canvas",U192)),"Link",IF(ISNUMBER(SEARCH("Link",U192)),"Link","Not filled properly"))</f>
        <v>Link</v>
      </c>
      <c r="G192" s="1" t="str">
        <f aca="false">IFERROR(VLOOKUP(OFFSET(Table22,191,21,1,1),OFFSET(Table2,0,1,ROWS(Table2),8),2,0),VLOOKUP(OFFSET(Table22,191,22,1,1),Table2,3,0))</f>
        <v>CAN_gaPMG_AZR_AZR_Q1_19_Trial-Social</v>
      </c>
      <c r="H192" s="1" t="n">
        <f aca="false">IFERROR(VLOOKUP(OFFSET(Table22,191,21,1,1),OFFSET(Table2,0,1,ROWS(Table2),8),3,0),VLOOKUP(OFFSET(Table22,191,22,1,1),Table2,4,0))</f>
        <v>21337220</v>
      </c>
      <c r="I192" s="2" t="n">
        <f aca="false">IFERROR(VLOOKUP(OFFSET(Table22,191,21,1,1),OFFSET(Table2,0,1,ROWS(Table2),8),4,0),VLOOKUP(OFFSET(Table22,191,22,1,1),Table2,5,0))</f>
        <v>720192</v>
      </c>
      <c r="J192" s="3" t="str">
        <f aca="false">IF(ISNUMBER(SEARCH("FACEBOOK",W192)),"Facebook",IF(ISNUMBER(SEARCH("INSTAGRAM",W192)),"Facebook-Instagram","Look at taxonomy"))</f>
        <v>Facebook</v>
      </c>
      <c r="K192" s="3" t="str">
        <f aca="false">IF(ISNUMBER(SEARCH("Facebook",J192)),"3654128","Not Facebook")</f>
        <v>3654128</v>
      </c>
      <c r="L192" s="3" t="str">
        <f aca="false">IFERROR(VLOOKUP(OFFSET(Table22,191,21,1,1),OFFSET(Table2,0,1,ROWS(Table2),8),7,0),VLOOKUP(OFFSET(Table22,191,22,1,1),Table2,8,0))</f>
        <v>AzurePlatform_FBCTCBasicMotion_CAN_10s_ISV_PLAT_FR_Trial_Standard_STAN_TN_T1_1</v>
      </c>
      <c r="M192" s="2" t="n">
        <f aca="false">IFERROR(VLOOKUP(OFFSET(Table22,191,21,1,1),OFFSET(Table2,0,1,ROWS(Table2),8),8,0),VLOOKUP(OFFSET(Table22,191,22,1,1),Table2,9,0))</f>
        <v>103053323</v>
      </c>
      <c r="N192" s="15" t="s">
        <v>29</v>
      </c>
      <c r="O192" s="16" t="n">
        <v>43354</v>
      </c>
      <c r="P192" s="17" t="s">
        <v>64</v>
      </c>
      <c r="Q192" s="18" t="s">
        <v>65</v>
      </c>
      <c r="R192" s="17" t="s">
        <v>66</v>
      </c>
      <c r="S192" s="18" t="s">
        <v>45</v>
      </c>
      <c r="T192" s="17" t="s">
        <v>34</v>
      </c>
      <c r="U192" s="18" t="s">
        <v>39</v>
      </c>
      <c r="V192" s="19" t="n">
        <v>223691801</v>
      </c>
      <c r="W192" s="17" t="s">
        <v>79</v>
      </c>
      <c r="X192" s="17" t="n">
        <v>340</v>
      </c>
      <c r="Y192" s="17" t="n">
        <v>0</v>
      </c>
      <c r="Z192" s="17" t="n">
        <v>6.38</v>
      </c>
      <c r="AA192" s="17" t="s">
        <v>68</v>
      </c>
      <c r="AB192" s="17" t="n">
        <v>0</v>
      </c>
    </row>
    <row r="193" customFormat="false" ht="15" hidden="false" customHeight="false" outlineLevel="0" collapsed="false">
      <c r="A193" s="1" t="str">
        <f aca="false">OFFSET(Table22,192,14,1,1)&amp;OFFSET(Table22,192,21,1,1)</f>
        <v>43354227522771</v>
      </c>
      <c r="B193" s="1" t="str">
        <f aca="false">OFFSET(Table22,192,14,1,1)&amp;OFFSET(Table22,192,22,1,1)</f>
        <v>43354Facebook»AZR»1x1»NA»NA»ALL»DYN»AUT»D»All»SS»NA»Free Account Create to Convert FB - Canvas - Brand - Start Free - FR</v>
      </c>
      <c r="C193" s="1" t="s">
        <v>28</v>
      </c>
      <c r="D193" s="3" t="n">
        <f aca="false">O193+(7-WEEKDAY(O193))</f>
        <v>43358</v>
      </c>
      <c r="E193" s="1" t="str">
        <f aca="false">VLOOKUP(OFFSET(Table22,192,16,1,1),Key!B:D,2,0)</f>
        <v>Canada</v>
      </c>
      <c r="F193" s="1" t="str">
        <f aca="false">IF(ISNUMBER(SEARCH("Canvas",U193)),"Link",IF(ISNUMBER(SEARCH("Link",U193)),"Link","Not filled properly"))</f>
        <v>Link</v>
      </c>
      <c r="G193" s="1" t="str">
        <f aca="false">IFERROR(VLOOKUP(OFFSET(Table22,192,21,1,1),OFFSET(Table2,0,1,ROWS(Table2),8),2,0),VLOOKUP(OFFSET(Table22,192,22,1,1),Table2,3,0))</f>
        <v>CAN_gaPMG_AZR_AZR_Q1_19_Trial-Social</v>
      </c>
      <c r="H193" s="1" t="n">
        <f aca="false">IFERROR(VLOOKUP(OFFSET(Table22,192,21,1,1),OFFSET(Table2,0,1,ROWS(Table2),8),3,0),VLOOKUP(OFFSET(Table22,192,22,1,1),Table2,4,0))</f>
        <v>21337220</v>
      </c>
      <c r="I193" s="2" t="n">
        <f aca="false">IFERROR(VLOOKUP(OFFSET(Table22,192,21,1,1),OFFSET(Table2,0,1,ROWS(Table2),8),4,0),VLOOKUP(OFFSET(Table22,192,22,1,1),Table2,5,0))</f>
        <v>720192</v>
      </c>
      <c r="J193" s="3" t="str">
        <f aca="false">IF(ISNUMBER(SEARCH("FACEBOOK",W193)),"Facebook",IF(ISNUMBER(SEARCH("INSTAGRAM",W193)),"Facebook-Instagram","Look at taxonomy"))</f>
        <v>Facebook</v>
      </c>
      <c r="K193" s="3" t="str">
        <f aca="false">IF(ISNUMBER(SEARCH("Facebook",J193)),"3654128","Not Facebook")</f>
        <v>3654128</v>
      </c>
      <c r="L193" s="3" t="str">
        <f aca="false">IFERROR(VLOOKUP(OFFSET(Table22,192,21,1,1),OFFSET(Table2,0,1,ROWS(Table2),8),7,0),VLOOKUP(OFFSET(Table22,192,22,1,1),Table2,8,0))</f>
        <v>AzurePlatform_FBCTCBrandinMotion_CAN_1080x1080_SOC_12s_ISV_FR_Standard_NA_FTR_T2_1</v>
      </c>
      <c r="M193" s="2" t="n">
        <f aca="false">IFERROR(VLOOKUP(OFFSET(Table22,192,21,1,1),OFFSET(Table2,0,1,ROWS(Table2),8),8,0),VLOOKUP(OFFSET(Table22,192,22,1,1),Table2,9,0))</f>
        <v>105130128</v>
      </c>
      <c r="N193" s="15" t="s">
        <v>29</v>
      </c>
      <c r="O193" s="16" t="n">
        <v>43354</v>
      </c>
      <c r="P193" s="17" t="s">
        <v>64</v>
      </c>
      <c r="Q193" s="18" t="s">
        <v>65</v>
      </c>
      <c r="R193" s="17" t="s">
        <v>66</v>
      </c>
      <c r="S193" s="18" t="s">
        <v>45</v>
      </c>
      <c r="T193" s="17" t="s">
        <v>34</v>
      </c>
      <c r="U193" s="18" t="s">
        <v>39</v>
      </c>
      <c r="V193" s="19" t="n">
        <v>227522771</v>
      </c>
      <c r="W193" s="17" t="s">
        <v>78</v>
      </c>
      <c r="X193" s="17" t="n">
        <v>556</v>
      </c>
      <c r="Y193" s="17" t="n">
        <v>2</v>
      </c>
      <c r="Z193" s="17" t="n">
        <v>5.83</v>
      </c>
      <c r="AA193" s="17" t="s">
        <v>68</v>
      </c>
      <c r="AB193" s="17" t="n">
        <v>0</v>
      </c>
    </row>
    <row r="194" customFormat="false" ht="15" hidden="false" customHeight="false" outlineLevel="0" collapsed="false">
      <c r="A194" s="1" t="str">
        <f aca="false">OFFSET(Table22,193,14,1,1)&amp;OFFSET(Table22,193,21,1,1)</f>
        <v>43354223691789</v>
      </c>
      <c r="B194" s="1" t="str">
        <f aca="false">OFFSET(Table22,193,14,1,1)&amp;OFFSET(Table22,193,22,1,1)</f>
        <v>43354Facebook»AZR»1x1»SocialBan»NA»ALL»DYN»RT»D»All»SS»NA» Free Account Retargeting OSS - T2 - FR</v>
      </c>
      <c r="C194" s="1" t="s">
        <v>28</v>
      </c>
      <c r="D194" s="3" t="n">
        <f aca="false">O194+(7-WEEKDAY(O194))</f>
        <v>43358</v>
      </c>
      <c r="E194" s="1" t="str">
        <f aca="false">VLOOKUP(OFFSET(Table22,193,16,1,1),Key!B:D,2,0)</f>
        <v>Canada</v>
      </c>
      <c r="F194" s="1" t="str">
        <f aca="false">IF(ISNUMBER(SEARCH("Canvas",U194)),"Link",IF(ISNUMBER(SEARCH("Link",U194)),"Link","Not filled properly"))</f>
        <v>Link</v>
      </c>
      <c r="G194" s="1" t="str">
        <f aca="false">IFERROR(VLOOKUP(OFFSET(Table22,193,21,1,1),OFFSET(Table2,0,1,ROWS(Table2),8),2,0),VLOOKUP(OFFSET(Table22,193,22,1,1),Table2,3,0))</f>
        <v>CAN_gaPMG_AZR_AZR_Q1_19_Trial-Social</v>
      </c>
      <c r="H194" s="1" t="n">
        <f aca="false">IFERROR(VLOOKUP(OFFSET(Table22,193,21,1,1),OFFSET(Table2,0,1,ROWS(Table2),8),3,0),VLOOKUP(OFFSET(Table22,193,22,1,1),Table2,4,0))</f>
        <v>21337220</v>
      </c>
      <c r="I194" s="2" t="n">
        <f aca="false">IFERROR(VLOOKUP(OFFSET(Table22,193,21,1,1),OFFSET(Table2,0,1,ROWS(Table2),8),4,0),VLOOKUP(OFFSET(Table22,193,22,1,1),Table2,5,0))</f>
        <v>720192</v>
      </c>
      <c r="J194" s="3" t="str">
        <f aca="false">IF(ISNUMBER(SEARCH("FACEBOOK",W194)),"Facebook",IF(ISNUMBER(SEARCH("INSTAGRAM",W194)),"Facebook-Instagram","Look at taxonomy"))</f>
        <v>Facebook</v>
      </c>
      <c r="K194" s="3" t="str">
        <f aca="false">IF(ISNUMBER(SEARCH("Facebook",J194)),"3654128","Not Facebook")</f>
        <v>3654128</v>
      </c>
      <c r="L194" s="3" t="str">
        <f aca="false">IFERROR(VLOOKUP(OFFSET(Table22,193,21,1,1),OFFSET(Table2,0,1,ROWS(Table2),8),7,0),VLOOKUP(OFFSET(Table22,193,22,1,1),Table2,8,0))</f>
        <v>AzurePlatform_FreeAcctRetargetingOSSFB-Logos-ChG_CAN_1200x628_SOC_Plat_FR_Free Account_Standard_NA_SU_T2_1</v>
      </c>
      <c r="M194" s="2" t="n">
        <f aca="false">IFERROR(VLOOKUP(OFFSET(Table22,193,21,1,1),OFFSET(Table2,0,1,ROWS(Table2),8),8,0),VLOOKUP(OFFSET(Table22,193,22,1,1),Table2,9,0))</f>
        <v>102900691</v>
      </c>
      <c r="N194" s="15" t="s">
        <v>29</v>
      </c>
      <c r="O194" s="16" t="n">
        <v>43354</v>
      </c>
      <c r="P194" s="17" t="s">
        <v>64</v>
      </c>
      <c r="Q194" s="18" t="s">
        <v>65</v>
      </c>
      <c r="R194" s="17" t="s">
        <v>66</v>
      </c>
      <c r="S194" s="18" t="s">
        <v>45</v>
      </c>
      <c r="T194" s="17" t="s">
        <v>34</v>
      </c>
      <c r="U194" s="18" t="s">
        <v>39</v>
      </c>
      <c r="V194" s="19" t="n">
        <v>223691789</v>
      </c>
      <c r="W194" s="17" t="s">
        <v>74</v>
      </c>
      <c r="X194" s="17" t="n">
        <v>222</v>
      </c>
      <c r="Y194" s="17" t="n">
        <v>1</v>
      </c>
      <c r="Z194" s="17" t="n">
        <v>8.26</v>
      </c>
      <c r="AA194" s="17" t="s">
        <v>68</v>
      </c>
      <c r="AB194" s="17" t="n">
        <v>0</v>
      </c>
    </row>
    <row r="195" customFormat="false" ht="15" hidden="false" customHeight="false" outlineLevel="0" collapsed="false">
      <c r="A195" s="1" t="str">
        <f aca="false">OFFSET(Table22,194,14,1,1)&amp;OFFSET(Table22,194,21,1,1)</f>
        <v>43354223691822</v>
      </c>
      <c r="B195" s="1" t="str">
        <f aca="false">OFFSET(Table22,194,14,1,1)&amp;OFFSET(Table22,194,22,1,1)</f>
        <v>43354Facebook»AZR»1x1»SocialBan»NA»ALL»DYN»RT»D»All»SS»NA»Free Account Retargeting VM - T2 - EN</v>
      </c>
      <c r="C195" s="1" t="s">
        <v>28</v>
      </c>
      <c r="D195" s="3" t="n">
        <f aca="false">O195+(7-WEEKDAY(O195))</f>
        <v>43358</v>
      </c>
      <c r="E195" s="1" t="str">
        <f aca="false">VLOOKUP(OFFSET(Table22,194,16,1,1),Key!B:D,2,0)</f>
        <v>Canada</v>
      </c>
      <c r="F195" s="1" t="str">
        <f aca="false">IF(ISNUMBER(SEARCH("Canvas",U195)),"Link",IF(ISNUMBER(SEARCH("Link",U195)),"Link","Not filled properly"))</f>
        <v>Link</v>
      </c>
      <c r="G195" s="1" t="str">
        <f aca="false">IFERROR(VLOOKUP(OFFSET(Table22,194,21,1,1),OFFSET(Table2,0,1,ROWS(Table2),8),2,0),VLOOKUP(OFFSET(Table22,194,22,1,1),Table2,3,0))</f>
        <v>CAN_gaPMG_AZR_AZR_Q1_19_Trial-Social</v>
      </c>
      <c r="H195" s="1" t="n">
        <f aca="false">IFERROR(VLOOKUP(OFFSET(Table22,194,21,1,1),OFFSET(Table2,0,1,ROWS(Table2),8),3,0),VLOOKUP(OFFSET(Table22,194,22,1,1),Table2,4,0))</f>
        <v>21337220</v>
      </c>
      <c r="I195" s="2" t="n">
        <f aca="false">IFERROR(VLOOKUP(OFFSET(Table22,194,21,1,1),OFFSET(Table2,0,1,ROWS(Table2),8),4,0),VLOOKUP(OFFSET(Table22,194,22,1,1),Table2,5,0))</f>
        <v>720192</v>
      </c>
      <c r="J195" s="3" t="str">
        <f aca="false">IF(ISNUMBER(SEARCH("FACEBOOK",W195)),"Facebook",IF(ISNUMBER(SEARCH("INSTAGRAM",W195)),"Facebook-Instagram","Look at taxonomy"))</f>
        <v>Facebook</v>
      </c>
      <c r="K195" s="3" t="str">
        <f aca="false">IF(ISNUMBER(SEARCH("Facebook",J195)),"3654128","Not Facebook")</f>
        <v>3654128</v>
      </c>
      <c r="L195" s="3" t="str">
        <f aca="false">IFERROR(VLOOKUP(OFFSET(Table22,194,21,1,1),OFFSET(Table2,0,1,ROWS(Table2),8),7,0),VLOOKUP(OFFSET(Table22,194,22,1,1),Table2,8,0))</f>
        <v>AzurePlatform_FreeAcctRetargetingVMFB-OnDemand-ChE_CAN_1200x628_SOC_Plat_EN_Free Account_Standard_NA_SU_T2_1</v>
      </c>
      <c r="M195" s="2" t="n">
        <f aca="false">IFERROR(VLOOKUP(OFFSET(Table22,194,21,1,1),OFFSET(Table2,0,1,ROWS(Table2),8),8,0),VLOOKUP(OFFSET(Table22,194,22,1,1),Table2,9,0))</f>
        <v>103058708</v>
      </c>
      <c r="N195" s="15" t="s">
        <v>29</v>
      </c>
      <c r="O195" s="16" t="n">
        <v>43354</v>
      </c>
      <c r="P195" s="17" t="s">
        <v>64</v>
      </c>
      <c r="Q195" s="18" t="s">
        <v>65</v>
      </c>
      <c r="R195" s="17" t="s">
        <v>66</v>
      </c>
      <c r="S195" s="18" t="s">
        <v>45</v>
      </c>
      <c r="T195" s="17" t="s">
        <v>34</v>
      </c>
      <c r="U195" s="18" t="s">
        <v>39</v>
      </c>
      <c r="V195" s="19" t="n">
        <v>223691822</v>
      </c>
      <c r="W195" s="17" t="s">
        <v>89</v>
      </c>
      <c r="X195" s="17" t="n">
        <v>2921</v>
      </c>
      <c r="Y195" s="17" t="n">
        <v>7</v>
      </c>
      <c r="Z195" s="17" t="n">
        <v>77.35</v>
      </c>
      <c r="AA195" s="17" t="s">
        <v>68</v>
      </c>
      <c r="AB195" s="17" t="n">
        <v>0</v>
      </c>
    </row>
    <row r="196" customFormat="false" ht="15" hidden="false" customHeight="false" outlineLevel="0" collapsed="false">
      <c r="A196" s="1" t="str">
        <f aca="false">OFFSET(Table22,195,14,1,1)&amp;OFFSET(Table22,195,21,1,1)</f>
        <v>43354223691783</v>
      </c>
      <c r="B196" s="1" t="str">
        <f aca="false">OFFSET(Table22,195,14,1,1)&amp;OFFSET(Table22,195,22,1,1)</f>
        <v>43354Facebook»AZR»1x1»SocialBan»NA»ALL»DYN»RT»D»All»SS»NA»Free Account Retargeting VM - T1 - FR</v>
      </c>
      <c r="C196" s="1" t="s">
        <v>28</v>
      </c>
      <c r="D196" s="3" t="n">
        <f aca="false">O196+(7-WEEKDAY(O196))</f>
        <v>43358</v>
      </c>
      <c r="E196" s="1" t="str">
        <f aca="false">VLOOKUP(OFFSET(Table22,195,16,1,1),Key!B:D,2,0)</f>
        <v>Canada</v>
      </c>
      <c r="F196" s="1" t="str">
        <f aca="false">IF(ISNUMBER(SEARCH("Canvas",U196)),"Link",IF(ISNUMBER(SEARCH("Link",U196)),"Link","Not filled properly"))</f>
        <v>Link</v>
      </c>
      <c r="G196" s="1" t="str">
        <f aca="false">IFERROR(VLOOKUP(OFFSET(Table22,195,21,1,1),OFFSET(Table2,0,1,ROWS(Table2),8),2,0),VLOOKUP(OFFSET(Table22,195,22,1,1),Table2,3,0))</f>
        <v>CAN_gaPMG_AZR_AZR_Q1_19_Trial-Social</v>
      </c>
      <c r="H196" s="1" t="n">
        <f aca="false">IFERROR(VLOOKUP(OFFSET(Table22,195,21,1,1),OFFSET(Table2,0,1,ROWS(Table2),8),3,0),VLOOKUP(OFFSET(Table22,195,22,1,1),Table2,4,0))</f>
        <v>21337220</v>
      </c>
      <c r="I196" s="2" t="n">
        <f aca="false">IFERROR(VLOOKUP(OFFSET(Table22,195,21,1,1),OFFSET(Table2,0,1,ROWS(Table2),8),4,0),VLOOKUP(OFFSET(Table22,195,22,1,1),Table2,5,0))</f>
        <v>720192</v>
      </c>
      <c r="J196" s="3" t="str">
        <f aca="false">IF(ISNUMBER(SEARCH("FACEBOOK",W196)),"Facebook",IF(ISNUMBER(SEARCH("INSTAGRAM",W196)),"Facebook-Instagram","Look at taxonomy"))</f>
        <v>Facebook</v>
      </c>
      <c r="K196" s="3" t="str">
        <f aca="false">IF(ISNUMBER(SEARCH("Facebook",J196)),"3654128","Not Facebook")</f>
        <v>3654128</v>
      </c>
      <c r="L196" s="3" t="str">
        <f aca="false">IFERROR(VLOOKUP(OFFSET(Table22,195,21,1,1),OFFSET(Table2,0,1,ROWS(Table2),8),7,0),VLOOKUP(OFFSET(Table22,195,22,1,1),Table2,8,0))</f>
        <v>AzurePlatform_FreeAcctRetargetingVMFB-750Hrs-ChD_CAN_1200x628_SOC_Plat_FR_Free Account_Standard_NA_SU_T1_1</v>
      </c>
      <c r="M196" s="2" t="n">
        <f aca="false">IFERROR(VLOOKUP(OFFSET(Table22,195,21,1,1),OFFSET(Table2,0,1,ROWS(Table2),8),8,0),VLOOKUP(OFFSET(Table22,195,22,1,1),Table2,9,0))</f>
        <v>103058723</v>
      </c>
      <c r="N196" s="15" t="s">
        <v>29</v>
      </c>
      <c r="O196" s="16" t="n">
        <v>43354</v>
      </c>
      <c r="P196" s="17" t="s">
        <v>64</v>
      </c>
      <c r="Q196" s="18" t="s">
        <v>65</v>
      </c>
      <c r="R196" s="17" t="s">
        <v>66</v>
      </c>
      <c r="S196" s="18" t="s">
        <v>45</v>
      </c>
      <c r="T196" s="17" t="s">
        <v>34</v>
      </c>
      <c r="U196" s="18" t="s">
        <v>39</v>
      </c>
      <c r="V196" s="19" t="n">
        <v>223691783</v>
      </c>
      <c r="W196" s="17" t="s">
        <v>76</v>
      </c>
      <c r="X196" s="17" t="n">
        <v>58</v>
      </c>
      <c r="Y196" s="17" t="n">
        <v>0</v>
      </c>
      <c r="Z196" s="17" t="n">
        <v>1.46</v>
      </c>
      <c r="AA196" s="17" t="s">
        <v>68</v>
      </c>
      <c r="AB196" s="17" t="n">
        <v>0</v>
      </c>
    </row>
    <row r="197" customFormat="false" ht="15" hidden="false" customHeight="false" outlineLevel="0" collapsed="false">
      <c r="A197" s="1" t="str">
        <f aca="false">OFFSET(Table22,196,14,1,1)&amp;OFFSET(Table22,196,21,1,1)</f>
        <v>43354223691786</v>
      </c>
      <c r="B197" s="1" t="str">
        <f aca="false">OFFSET(Table22,196,14,1,1)&amp;OFFSET(Table22,196,22,1,1)</f>
        <v>43354Facebook»AZR»1x1»SocialBan»NA»ALL»DYN»RT»D»All»SS»NA» Free Account Retargeting OSS - T1 - FR</v>
      </c>
      <c r="C197" s="1" t="s">
        <v>28</v>
      </c>
      <c r="D197" s="3" t="n">
        <f aca="false">O197+(7-WEEKDAY(O197))</f>
        <v>43358</v>
      </c>
      <c r="E197" s="1" t="str">
        <f aca="false">VLOOKUP(OFFSET(Table22,196,16,1,1),Key!B:D,2,0)</f>
        <v>Canada</v>
      </c>
      <c r="F197" s="1" t="str">
        <f aca="false">IF(ISNUMBER(SEARCH("Canvas",U197)),"Link",IF(ISNUMBER(SEARCH("Link",U197)),"Link","Not filled properly"))</f>
        <v>Link</v>
      </c>
      <c r="G197" s="1" t="str">
        <f aca="false">IFERROR(VLOOKUP(OFFSET(Table22,196,21,1,1),OFFSET(Table2,0,1,ROWS(Table2),8),2,0),VLOOKUP(OFFSET(Table22,196,22,1,1),Table2,3,0))</f>
        <v>CAN_gaPMG_AZR_AZR_Q1_19_Trial-Social</v>
      </c>
      <c r="H197" s="1" t="n">
        <f aca="false">IFERROR(VLOOKUP(OFFSET(Table22,196,21,1,1),OFFSET(Table2,0,1,ROWS(Table2),8),3,0),VLOOKUP(OFFSET(Table22,196,22,1,1),Table2,4,0))</f>
        <v>21337220</v>
      </c>
      <c r="I197" s="2" t="n">
        <f aca="false">IFERROR(VLOOKUP(OFFSET(Table22,196,21,1,1),OFFSET(Table2,0,1,ROWS(Table2),8),4,0),VLOOKUP(OFFSET(Table22,196,22,1,1),Table2,5,0))</f>
        <v>720192</v>
      </c>
      <c r="J197" s="3" t="str">
        <f aca="false">IF(ISNUMBER(SEARCH("FACEBOOK",W197)),"Facebook",IF(ISNUMBER(SEARCH("INSTAGRAM",W197)),"Facebook-Instagram","Look at taxonomy"))</f>
        <v>Facebook</v>
      </c>
      <c r="K197" s="3" t="str">
        <f aca="false">IF(ISNUMBER(SEARCH("Facebook",J197)),"3654128","Not Facebook")</f>
        <v>3654128</v>
      </c>
      <c r="L197" s="3" t="str">
        <f aca="false">IFERROR(VLOOKUP(OFFSET(Table22,196,21,1,1),OFFSET(Table2,0,1,ROWS(Table2),8),7,0),VLOOKUP(OFFSET(Table22,196,22,1,1),Table2,8,0))</f>
        <v>AzurePlatform_FreeAcctRetargetingOSSFB-Text-ChF_CAN_1200x628_SOC_Plat_FR_Free Account_Standard_NA_SU_T1_1</v>
      </c>
      <c r="M197" s="2" t="n">
        <f aca="false">IFERROR(VLOOKUP(OFFSET(Table22,196,21,1,1),OFFSET(Table2,0,1,ROWS(Table2),8),8,0),VLOOKUP(OFFSET(Table22,196,22,1,1),Table2,9,0))</f>
        <v>103058720</v>
      </c>
      <c r="N197" s="15" t="s">
        <v>29</v>
      </c>
      <c r="O197" s="16" t="n">
        <v>43354</v>
      </c>
      <c r="P197" s="17" t="s">
        <v>64</v>
      </c>
      <c r="Q197" s="18" t="s">
        <v>65</v>
      </c>
      <c r="R197" s="17" t="s">
        <v>66</v>
      </c>
      <c r="S197" s="18" t="s">
        <v>45</v>
      </c>
      <c r="T197" s="17" t="s">
        <v>34</v>
      </c>
      <c r="U197" s="18" t="s">
        <v>39</v>
      </c>
      <c r="V197" s="19" t="n">
        <v>223691786</v>
      </c>
      <c r="W197" s="17" t="s">
        <v>81</v>
      </c>
      <c r="X197" s="17" t="n">
        <v>108</v>
      </c>
      <c r="Y197" s="17" t="n">
        <v>0</v>
      </c>
      <c r="Z197" s="17" t="n">
        <v>2.73</v>
      </c>
      <c r="AA197" s="17" t="s">
        <v>68</v>
      </c>
      <c r="AB197" s="17" t="n">
        <v>0</v>
      </c>
    </row>
    <row r="198" customFormat="false" ht="15" hidden="false" customHeight="false" outlineLevel="0" collapsed="false">
      <c r="A198" s="1" t="str">
        <f aca="false">OFFSET(Table22,197,14,1,1)&amp;OFFSET(Table22,197,21,1,1)</f>
        <v>43354223691792</v>
      </c>
      <c r="B198" s="1" t="str">
        <f aca="false">OFFSET(Table22,197,14,1,1)&amp;OFFSET(Table22,197,22,1,1)</f>
        <v>43354Facebook»AZR»1x1»SocialBan»NA»ALL»DYN»RT»D»All»SS»NA»Free Account Retargeting Generic - T2 - FR</v>
      </c>
      <c r="C198" s="1" t="s">
        <v>28</v>
      </c>
      <c r="D198" s="3" t="n">
        <f aca="false">O198+(7-WEEKDAY(O198))</f>
        <v>43358</v>
      </c>
      <c r="E198" s="1" t="str">
        <f aca="false">VLOOKUP(OFFSET(Table22,197,16,1,1),Key!B:D,2,0)</f>
        <v>Canada</v>
      </c>
      <c r="F198" s="1" t="str">
        <f aca="false">IF(ISNUMBER(SEARCH("Canvas",U198)),"Link",IF(ISNUMBER(SEARCH("Link",U198)),"Link","Not filled properly"))</f>
        <v>Link</v>
      </c>
      <c r="G198" s="1" t="str">
        <f aca="false">IFERROR(VLOOKUP(OFFSET(Table22,197,21,1,1),OFFSET(Table2,0,1,ROWS(Table2),8),2,0),VLOOKUP(OFFSET(Table22,197,22,1,1),Table2,3,0))</f>
        <v>CAN_gaPMG_AZR_AZR_Q1_19_Trial-Social</v>
      </c>
      <c r="H198" s="1" t="n">
        <f aca="false">IFERROR(VLOOKUP(OFFSET(Table22,197,21,1,1),OFFSET(Table2,0,1,ROWS(Table2),8),3,0),VLOOKUP(OFFSET(Table22,197,22,1,1),Table2,4,0))</f>
        <v>21337220</v>
      </c>
      <c r="I198" s="2" t="n">
        <f aca="false">IFERROR(VLOOKUP(OFFSET(Table22,197,21,1,1),OFFSET(Table2,0,1,ROWS(Table2),8),4,0),VLOOKUP(OFFSET(Table22,197,22,1,1),Table2,5,0))</f>
        <v>720192</v>
      </c>
      <c r="J198" s="3" t="str">
        <f aca="false">IF(ISNUMBER(SEARCH("FACEBOOK",W198)),"Facebook",IF(ISNUMBER(SEARCH("INSTAGRAM",W198)),"Facebook-Instagram","Look at taxonomy"))</f>
        <v>Facebook</v>
      </c>
      <c r="K198" s="3" t="str">
        <f aca="false">IF(ISNUMBER(SEARCH("Facebook",J198)),"3654128","Not Facebook")</f>
        <v>3654128</v>
      </c>
      <c r="L198" s="3" t="str">
        <f aca="false">IFERROR(VLOOKUP(OFFSET(Table22,197,21,1,1),OFFSET(Table2,0,1,ROWS(Table2),8),7,0),VLOOKUP(OFFSET(Table22,197,22,1,1),Table2,8,0))</f>
        <v>AzurePlatform_FreeAcctRetargetingFB-GlobalAlt-ChB_CAN_1200x628_SOC_Plat_FR_Free Account_Standard_NA_SU_T2_1</v>
      </c>
      <c r="M198" s="2" t="n">
        <f aca="false">IFERROR(VLOOKUP(OFFSET(Table22,197,21,1,1),OFFSET(Table2,0,1,ROWS(Table2),8),8,0),VLOOKUP(OFFSET(Table22,197,22,1,1),Table2,9,0))</f>
        <v>102901894</v>
      </c>
      <c r="N198" s="15" t="s">
        <v>29</v>
      </c>
      <c r="O198" s="16" t="n">
        <v>43354</v>
      </c>
      <c r="P198" s="17" t="s">
        <v>64</v>
      </c>
      <c r="Q198" s="18" t="s">
        <v>65</v>
      </c>
      <c r="R198" s="17" t="s">
        <v>66</v>
      </c>
      <c r="S198" s="18" t="s">
        <v>45</v>
      </c>
      <c r="T198" s="17" t="s">
        <v>34</v>
      </c>
      <c r="U198" s="18" t="s">
        <v>39</v>
      </c>
      <c r="V198" s="19" t="n">
        <v>223691792</v>
      </c>
      <c r="W198" s="17" t="s">
        <v>73</v>
      </c>
      <c r="X198" s="17" t="n">
        <v>117</v>
      </c>
      <c r="Y198" s="17" t="n">
        <v>1</v>
      </c>
      <c r="Z198" s="17" t="n">
        <v>2.19</v>
      </c>
      <c r="AA198" s="17" t="s">
        <v>68</v>
      </c>
      <c r="AB198" s="17" t="n">
        <v>0</v>
      </c>
    </row>
    <row r="199" customFormat="false" ht="15" hidden="false" customHeight="false" outlineLevel="0" collapsed="false">
      <c r="A199" s="1" t="str">
        <f aca="false">OFFSET(Table22,198,14,1,1)&amp;OFFSET(Table22,198,21,1,1)</f>
        <v>43353225322327</v>
      </c>
      <c r="B199" s="1" t="str">
        <f aca="false">OFFSET(Table22,198,14,1,1)&amp;OFFSET(Table22,198,22,1,1)</f>
        <v>43353Facebook»AZR»1x1»NA»SOC»ALL»DYN»PRO»D»All»SS»NA»Canvas - Buy Now - EN</v>
      </c>
      <c r="C199" s="1" t="s">
        <v>28</v>
      </c>
      <c r="D199" s="3" t="n">
        <f aca="false">O199+(7-WEEKDAY(O199))</f>
        <v>43358</v>
      </c>
      <c r="E199" s="1" t="str">
        <f aca="false">VLOOKUP(OFFSET(Table22,198,16,1,1),Key!B:D,2,0)</f>
        <v>Canada</v>
      </c>
      <c r="F199" s="1" t="str">
        <f aca="false">IF(ISNUMBER(SEARCH("Canvas",U199)),"Link",IF(ISNUMBER(SEARCH("Link",U199)),"Link","Not filled properly"))</f>
        <v>Link</v>
      </c>
      <c r="G199" s="1" t="str">
        <f aca="false">IFERROR(VLOOKUP(OFFSET(Table22,198,21,1,1),OFFSET(Table2,0,1,ROWS(Table2),8),2,0),VLOOKUP(OFFSET(Table22,198,22,1,1),Table2,3,0))</f>
        <v>CAN_gaPMG_AZR_AZR_Q1_19_Trial-Social</v>
      </c>
      <c r="H199" s="1" t="n">
        <f aca="false">IFERROR(VLOOKUP(OFFSET(Table22,198,21,1,1),OFFSET(Table2,0,1,ROWS(Table2),8),3,0),VLOOKUP(OFFSET(Table22,198,22,1,1),Table2,4,0))</f>
        <v>21337220</v>
      </c>
      <c r="I199" s="2" t="n">
        <f aca="false">IFERROR(VLOOKUP(OFFSET(Table22,198,21,1,1),OFFSET(Table2,0,1,ROWS(Table2),8),4,0),VLOOKUP(OFFSET(Table22,198,22,1,1),Table2,5,0))</f>
        <v>720192</v>
      </c>
      <c r="J199" s="3" t="str">
        <f aca="false">IF(ISNUMBER(SEARCH("FACEBOOK",W199)),"Facebook",IF(ISNUMBER(SEARCH("INSTAGRAM",W199)),"Facebook-Instagram","Look at taxonomy"))</f>
        <v>Facebook</v>
      </c>
      <c r="K199" s="3" t="str">
        <f aca="false">IF(ISNUMBER(SEARCH("Facebook",J199)),"3654128","Not Facebook")</f>
        <v>3654128</v>
      </c>
      <c r="L199" s="3" t="str">
        <f aca="false">IFERROR(VLOOKUP(OFFSET(Table22,198,21,1,1),OFFSET(Table2,0,1,ROWS(Table2),8),7,0),VLOOKUP(OFFSET(Table22,198,22,1,1),Table2,8,0))</f>
        <v>AzurePlatform_FBCTCcanvaspage-BuyNowCTA-Img3_CAN_1080x162_SOC_Plat_English_NA_Standard_NA_BN_T3_1</v>
      </c>
      <c r="M199" s="2" t="n">
        <f aca="false">IFERROR(VLOOKUP(OFFSET(Table22,198,21,1,1),OFFSET(Table2,0,1,ROWS(Table2),8),8,0),VLOOKUP(OFFSET(Table22,198,22,1,1),Table2,9,0))</f>
        <v>103902287</v>
      </c>
      <c r="N199" s="15" t="s">
        <v>29</v>
      </c>
      <c r="O199" s="16" t="n">
        <v>43353</v>
      </c>
      <c r="P199" s="17" t="s">
        <v>64</v>
      </c>
      <c r="Q199" s="18" t="s">
        <v>65</v>
      </c>
      <c r="R199" s="17" t="s">
        <v>66</v>
      </c>
      <c r="S199" s="18" t="s">
        <v>45</v>
      </c>
      <c r="T199" s="17" t="s">
        <v>34</v>
      </c>
      <c r="U199" s="18" t="s">
        <v>39</v>
      </c>
      <c r="V199" s="19" t="n">
        <v>225322327</v>
      </c>
      <c r="W199" s="17" t="s">
        <v>82</v>
      </c>
      <c r="X199" s="17" t="n">
        <v>910</v>
      </c>
      <c r="Y199" s="17" t="n">
        <v>1</v>
      </c>
      <c r="Z199" s="17" t="n">
        <v>10.9</v>
      </c>
      <c r="AA199" s="17" t="s">
        <v>68</v>
      </c>
      <c r="AB199" s="17" t="n">
        <v>0</v>
      </c>
    </row>
    <row r="200" customFormat="false" ht="15" hidden="false" customHeight="false" outlineLevel="0" collapsed="false">
      <c r="A200" s="1" t="str">
        <f aca="false">OFFSET(Table22,199,14,1,1)&amp;OFFSET(Table22,199,21,1,1)</f>
        <v>43353223691780</v>
      </c>
      <c r="B200" s="1" t="str">
        <f aca="false">OFFSET(Table22,199,14,1,1)&amp;OFFSET(Table22,199,22,1,1)</f>
        <v>43353Facebook»AZR»1x1»SocialBan»NA»ALL»DYN»RT»D»All»SS»NA»Free Account Retargeting VM - T2 - FR</v>
      </c>
      <c r="C200" s="1" t="s">
        <v>28</v>
      </c>
      <c r="D200" s="3" t="n">
        <f aca="false">O200+(7-WEEKDAY(O200))</f>
        <v>43358</v>
      </c>
      <c r="E200" s="1" t="str">
        <f aca="false">VLOOKUP(OFFSET(Table22,199,16,1,1),Key!B:D,2,0)</f>
        <v>Canada</v>
      </c>
      <c r="F200" s="1" t="str">
        <f aca="false">IF(ISNUMBER(SEARCH("Canvas",U200)),"Link",IF(ISNUMBER(SEARCH("Link",U200)),"Link","Not filled properly"))</f>
        <v>Link</v>
      </c>
      <c r="G200" s="1" t="str">
        <f aca="false">IFERROR(VLOOKUP(OFFSET(Table22,199,21,1,1),OFFSET(Table2,0,1,ROWS(Table2),8),2,0),VLOOKUP(OFFSET(Table22,199,22,1,1),Table2,3,0))</f>
        <v>CAN_gaPMG_AZR_AZR_Q1_19_Trial-Social</v>
      </c>
      <c r="H200" s="1" t="n">
        <f aca="false">IFERROR(VLOOKUP(OFFSET(Table22,199,21,1,1),OFFSET(Table2,0,1,ROWS(Table2),8),3,0),VLOOKUP(OFFSET(Table22,199,22,1,1),Table2,4,0))</f>
        <v>21337220</v>
      </c>
      <c r="I200" s="2" t="n">
        <f aca="false">IFERROR(VLOOKUP(OFFSET(Table22,199,21,1,1),OFFSET(Table2,0,1,ROWS(Table2),8),4,0),VLOOKUP(OFFSET(Table22,199,22,1,1),Table2,5,0))</f>
        <v>720192</v>
      </c>
      <c r="J200" s="3" t="str">
        <f aca="false">IF(ISNUMBER(SEARCH("FACEBOOK",W200)),"Facebook",IF(ISNUMBER(SEARCH("INSTAGRAM",W200)),"Facebook-Instagram","Look at taxonomy"))</f>
        <v>Facebook</v>
      </c>
      <c r="K200" s="3" t="str">
        <f aca="false">IF(ISNUMBER(SEARCH("Facebook",J200)),"3654128","Not Facebook")</f>
        <v>3654128</v>
      </c>
      <c r="L200" s="3" t="str">
        <f aca="false">IFERROR(VLOOKUP(OFFSET(Table22,199,21,1,1),OFFSET(Table2,0,1,ROWS(Table2),8),7,0),VLOOKUP(OFFSET(Table22,199,22,1,1),Table2,8,0))</f>
        <v>AzurePlatform_FreeAcctRetargetingVMFB-OnDemand-ChE_CAN_1200x628_SOC_Plat_FR_Free Account_Standard_NA_SU_T2_1</v>
      </c>
      <c r="M200" s="2" t="n">
        <f aca="false">IFERROR(VLOOKUP(OFFSET(Table22,199,21,1,1),OFFSET(Table2,0,1,ROWS(Table2),8),8,0),VLOOKUP(OFFSET(Table22,199,22,1,1),Table2,9,0))</f>
        <v>103058726</v>
      </c>
      <c r="N200" s="15" t="s">
        <v>29</v>
      </c>
      <c r="O200" s="16" t="n">
        <v>43353</v>
      </c>
      <c r="P200" s="17" t="s">
        <v>64</v>
      </c>
      <c r="Q200" s="18" t="s">
        <v>65</v>
      </c>
      <c r="R200" s="17" t="s">
        <v>66</v>
      </c>
      <c r="S200" s="18" t="s">
        <v>45</v>
      </c>
      <c r="T200" s="17" t="s">
        <v>34</v>
      </c>
      <c r="U200" s="18" t="s">
        <v>39</v>
      </c>
      <c r="V200" s="19" t="n">
        <v>223691780</v>
      </c>
      <c r="W200" s="17" t="s">
        <v>75</v>
      </c>
      <c r="X200" s="17" t="n">
        <v>530</v>
      </c>
      <c r="Y200" s="17" t="n">
        <v>1</v>
      </c>
      <c r="Z200" s="17" t="n">
        <v>18.78</v>
      </c>
      <c r="AA200" s="17" t="s">
        <v>68</v>
      </c>
      <c r="AB200" s="17" t="n">
        <v>0</v>
      </c>
    </row>
    <row r="201" customFormat="false" ht="15" hidden="false" customHeight="false" outlineLevel="0" collapsed="false">
      <c r="A201" s="1" t="str">
        <f aca="false">OFFSET(Table22,200,14,1,1)&amp;OFFSET(Table22,200,21,1,1)</f>
        <v>43353223684451</v>
      </c>
      <c r="B201" s="1" t="str">
        <f aca="false">OFFSET(Table22,200,14,1,1)&amp;OFFSET(Table22,200,22,1,1)</f>
        <v>43353Facebook»AZR»1x1»NA»EGV»ALL»DYN»AUT»D»All»SS»NA»Free Acc CTC - T1 - EN</v>
      </c>
      <c r="C201" s="1" t="s">
        <v>28</v>
      </c>
      <c r="D201" s="3" t="n">
        <f aca="false">O201+(7-WEEKDAY(O201))</f>
        <v>43358</v>
      </c>
      <c r="E201" s="1" t="str">
        <f aca="false">VLOOKUP(OFFSET(Table22,200,16,1,1),Key!B:D,2,0)</f>
        <v>Canada</v>
      </c>
      <c r="F201" s="1" t="str">
        <f aca="false">IF(ISNUMBER(SEARCH("Canvas",U201)),"Link",IF(ISNUMBER(SEARCH("Link",U201)),"Link","Not filled properly"))</f>
        <v>Link</v>
      </c>
      <c r="G201" s="1" t="str">
        <f aca="false">IFERROR(VLOOKUP(OFFSET(Table22,200,21,1,1),OFFSET(Table2,0,1,ROWS(Table2),8),2,0),VLOOKUP(OFFSET(Table22,200,22,1,1),Table2,3,0))</f>
        <v>CAN_gaPMG_AZR_AZR_Q1_19_Trial-Social</v>
      </c>
      <c r="H201" s="1" t="n">
        <f aca="false">IFERROR(VLOOKUP(OFFSET(Table22,200,21,1,1),OFFSET(Table2,0,1,ROWS(Table2),8),3,0),VLOOKUP(OFFSET(Table22,200,22,1,1),Table2,4,0))</f>
        <v>21337220</v>
      </c>
      <c r="I201" s="2" t="n">
        <f aca="false">IFERROR(VLOOKUP(OFFSET(Table22,200,21,1,1),OFFSET(Table2,0,1,ROWS(Table2),8),4,0),VLOOKUP(OFFSET(Table22,200,22,1,1),Table2,5,0))</f>
        <v>720192</v>
      </c>
      <c r="J201" s="3" t="str">
        <f aca="false">IF(ISNUMBER(SEARCH("FACEBOOK",W201)),"Facebook",IF(ISNUMBER(SEARCH("INSTAGRAM",W201)),"Facebook-Instagram","Look at taxonomy"))</f>
        <v>Facebook</v>
      </c>
      <c r="K201" s="3" t="str">
        <f aca="false">IF(ISNUMBER(SEARCH("Facebook",J201)),"3654128","Not Facebook")</f>
        <v>3654128</v>
      </c>
      <c r="L201" s="3" t="str">
        <f aca="false">IFERROR(VLOOKUP(OFFSET(Table22,200,21,1,1),OFFSET(Table2,0,1,ROWS(Table2),8),7,0),VLOOKUP(OFFSET(Table22,200,22,1,1),Table2,8,0))</f>
        <v>AzurePlatform_FBCTCBasicMotion_CAN_10s_ISV_PLAT_English_Trial_Standard_STAN_TN_T1_1</v>
      </c>
      <c r="M201" s="2" t="n">
        <f aca="false">IFERROR(VLOOKUP(OFFSET(Table22,200,21,1,1),OFFSET(Table2,0,1,ROWS(Table2),8),8,0),VLOOKUP(OFFSET(Table22,200,22,1,1),Table2,9,0))</f>
        <v>102901882</v>
      </c>
      <c r="N201" s="15" t="s">
        <v>29</v>
      </c>
      <c r="O201" s="16" t="n">
        <v>43353</v>
      </c>
      <c r="P201" s="17" t="s">
        <v>64</v>
      </c>
      <c r="Q201" s="18" t="s">
        <v>65</v>
      </c>
      <c r="R201" s="17" t="s">
        <v>66</v>
      </c>
      <c r="S201" s="18" t="s">
        <v>45</v>
      </c>
      <c r="T201" s="17" t="s">
        <v>34</v>
      </c>
      <c r="U201" s="18" t="s">
        <v>39</v>
      </c>
      <c r="V201" s="19" t="n">
        <v>223684451</v>
      </c>
      <c r="W201" s="17" t="s">
        <v>84</v>
      </c>
      <c r="X201" s="17" t="n">
        <v>2726</v>
      </c>
      <c r="Y201" s="17" t="n">
        <v>11</v>
      </c>
      <c r="Z201" s="17" t="n">
        <v>48.69</v>
      </c>
      <c r="AA201" s="17" t="s">
        <v>68</v>
      </c>
      <c r="AB201" s="17" t="n">
        <v>0</v>
      </c>
    </row>
    <row r="202" customFormat="false" ht="15" hidden="false" customHeight="false" outlineLevel="0" collapsed="false">
      <c r="A202" s="1" t="str">
        <f aca="false">OFFSET(Table22,201,14,1,1)&amp;OFFSET(Table22,201,21,1,1)</f>
        <v>43353223691762</v>
      </c>
      <c r="B202" s="1" t="str">
        <f aca="false">OFFSET(Table22,201,14,1,1)&amp;OFFSET(Table22,201,22,1,1)</f>
        <v>43353Facebook»AZR»1x1»SocialBan»NA»ALL»DYN»AUT»D»All»SS»NA»Free Acc Refresh - T1 - FR</v>
      </c>
      <c r="C202" s="1" t="s">
        <v>28</v>
      </c>
      <c r="D202" s="3" t="n">
        <f aca="false">O202+(7-WEEKDAY(O202))</f>
        <v>43358</v>
      </c>
      <c r="E202" s="1" t="str">
        <f aca="false">VLOOKUP(OFFSET(Table22,201,16,1,1),Key!B:D,2,0)</f>
        <v>Canada</v>
      </c>
      <c r="F202" s="1" t="str">
        <f aca="false">IF(ISNUMBER(SEARCH("Canvas",U202)),"Link",IF(ISNUMBER(SEARCH("Link",U202)),"Link","Not filled properly"))</f>
        <v>Link</v>
      </c>
      <c r="G202" s="1" t="str">
        <f aca="false">IFERROR(VLOOKUP(OFFSET(Table22,201,21,1,1),OFFSET(Table2,0,1,ROWS(Table2),8),2,0),VLOOKUP(OFFSET(Table22,201,22,1,1),Table2,3,0))</f>
        <v>CAN_gaPMG_AZR_AZR_Q1_19_Trial-Social</v>
      </c>
      <c r="H202" s="1" t="n">
        <f aca="false">IFERROR(VLOOKUP(OFFSET(Table22,201,21,1,1),OFFSET(Table2,0,1,ROWS(Table2),8),3,0),VLOOKUP(OFFSET(Table22,201,22,1,1),Table2,4,0))</f>
        <v>21337220</v>
      </c>
      <c r="I202" s="2" t="n">
        <f aca="false">IFERROR(VLOOKUP(OFFSET(Table22,201,21,1,1),OFFSET(Table2,0,1,ROWS(Table2),8),4,0),VLOOKUP(OFFSET(Table22,201,22,1,1),Table2,5,0))</f>
        <v>720192</v>
      </c>
      <c r="J202" s="3" t="str">
        <f aca="false">IF(ISNUMBER(SEARCH("FACEBOOK",W202)),"Facebook",IF(ISNUMBER(SEARCH("INSTAGRAM",W202)),"Facebook-Instagram","Look at taxonomy"))</f>
        <v>Facebook</v>
      </c>
      <c r="K202" s="3" t="str">
        <f aca="false">IF(ISNUMBER(SEARCH("Facebook",J202)),"3654128","Not Facebook")</f>
        <v>3654128</v>
      </c>
      <c r="L202" s="3" t="str">
        <f aca="false">IFERROR(VLOOKUP(OFFSET(Table22,201,21,1,1),OFFSET(Table2,0,1,ROWS(Table2),8),7,0),VLOOKUP(OFFSET(Table22,201,22,1,1),Table2,8,0))</f>
        <v>AzurePlatform_FreeAcctAppsFACEBOOKLifestyleChA_CAN_1200x628_SOC_PLAT_FR_Trial_Standard_NA_SU_T1_1.png</v>
      </c>
      <c r="M202" s="2" t="n">
        <f aca="false">IFERROR(VLOOKUP(OFFSET(Table22,201,21,1,1),OFFSET(Table2,0,1,ROWS(Table2),8),8,0),VLOOKUP(OFFSET(Table22,201,22,1,1),Table2,9,0))</f>
        <v>102902974</v>
      </c>
      <c r="N202" s="15" t="s">
        <v>29</v>
      </c>
      <c r="O202" s="16" t="n">
        <v>43353</v>
      </c>
      <c r="P202" s="17" t="s">
        <v>64</v>
      </c>
      <c r="Q202" s="18" t="s">
        <v>65</v>
      </c>
      <c r="R202" s="17" t="s">
        <v>66</v>
      </c>
      <c r="S202" s="18" t="s">
        <v>45</v>
      </c>
      <c r="T202" s="17" t="s">
        <v>34</v>
      </c>
      <c r="U202" s="18" t="s">
        <v>39</v>
      </c>
      <c r="V202" s="19" t="n">
        <v>223691762</v>
      </c>
      <c r="W202" s="17" t="s">
        <v>92</v>
      </c>
      <c r="X202" s="17" t="n">
        <v>210</v>
      </c>
      <c r="Y202" s="17" t="n">
        <v>1</v>
      </c>
      <c r="Z202" s="17" t="n">
        <v>4.01</v>
      </c>
      <c r="AA202" s="17" t="s">
        <v>68</v>
      </c>
      <c r="AB202" s="17" t="n">
        <v>0</v>
      </c>
    </row>
    <row r="203" customFormat="false" ht="15" hidden="false" customHeight="false" outlineLevel="0" collapsed="false">
      <c r="A203" s="1" t="str">
        <f aca="false">OFFSET(Table22,202,14,1,1)&amp;OFFSET(Table22,202,21,1,1)</f>
        <v>43353223691789</v>
      </c>
      <c r="B203" s="1" t="str">
        <f aca="false">OFFSET(Table22,202,14,1,1)&amp;OFFSET(Table22,202,22,1,1)</f>
        <v>43353Facebook»AZR»1x1»SocialBan»NA»ALL»DYN»RT»D»All»SS»NA» Free Account Retargeting OSS - T2 - FR</v>
      </c>
      <c r="C203" s="1" t="s">
        <v>28</v>
      </c>
      <c r="D203" s="3" t="n">
        <f aca="false">O203+(7-WEEKDAY(O203))</f>
        <v>43358</v>
      </c>
      <c r="E203" s="1" t="str">
        <f aca="false">VLOOKUP(OFFSET(Table22,202,16,1,1),Key!B:D,2,0)</f>
        <v>Canada</v>
      </c>
      <c r="F203" s="1" t="str">
        <f aca="false">IF(ISNUMBER(SEARCH("Canvas",U203)),"Link",IF(ISNUMBER(SEARCH("Link",U203)),"Link","Not filled properly"))</f>
        <v>Link</v>
      </c>
      <c r="G203" s="1" t="str">
        <f aca="false">IFERROR(VLOOKUP(OFFSET(Table22,202,21,1,1),OFFSET(Table2,0,1,ROWS(Table2),8),2,0),VLOOKUP(OFFSET(Table22,202,22,1,1),Table2,3,0))</f>
        <v>CAN_gaPMG_AZR_AZR_Q1_19_Trial-Social</v>
      </c>
      <c r="H203" s="1" t="n">
        <f aca="false">IFERROR(VLOOKUP(OFFSET(Table22,202,21,1,1),OFFSET(Table2,0,1,ROWS(Table2),8),3,0),VLOOKUP(OFFSET(Table22,202,22,1,1),Table2,4,0))</f>
        <v>21337220</v>
      </c>
      <c r="I203" s="2" t="n">
        <f aca="false">IFERROR(VLOOKUP(OFFSET(Table22,202,21,1,1),OFFSET(Table2,0,1,ROWS(Table2),8),4,0),VLOOKUP(OFFSET(Table22,202,22,1,1),Table2,5,0))</f>
        <v>720192</v>
      </c>
      <c r="J203" s="3" t="str">
        <f aca="false">IF(ISNUMBER(SEARCH("FACEBOOK",W203)),"Facebook",IF(ISNUMBER(SEARCH("INSTAGRAM",W203)),"Facebook-Instagram","Look at taxonomy"))</f>
        <v>Facebook</v>
      </c>
      <c r="K203" s="3" t="str">
        <f aca="false">IF(ISNUMBER(SEARCH("Facebook",J203)),"3654128","Not Facebook")</f>
        <v>3654128</v>
      </c>
      <c r="L203" s="3" t="str">
        <f aca="false">IFERROR(VLOOKUP(OFFSET(Table22,202,21,1,1),OFFSET(Table2,0,1,ROWS(Table2),8),7,0),VLOOKUP(OFFSET(Table22,202,22,1,1),Table2,8,0))</f>
        <v>AzurePlatform_FreeAcctRetargetingOSSFB-Logos-ChG_CAN_1200x628_SOC_Plat_FR_Free Account_Standard_NA_SU_T2_1</v>
      </c>
      <c r="M203" s="2" t="n">
        <f aca="false">IFERROR(VLOOKUP(OFFSET(Table22,202,21,1,1),OFFSET(Table2,0,1,ROWS(Table2),8),8,0),VLOOKUP(OFFSET(Table22,202,22,1,1),Table2,9,0))</f>
        <v>102900691</v>
      </c>
      <c r="N203" s="15" t="s">
        <v>29</v>
      </c>
      <c r="O203" s="16" t="n">
        <v>43353</v>
      </c>
      <c r="P203" s="17" t="s">
        <v>64</v>
      </c>
      <c r="Q203" s="18" t="s">
        <v>65</v>
      </c>
      <c r="R203" s="17" t="s">
        <v>66</v>
      </c>
      <c r="S203" s="18" t="s">
        <v>45</v>
      </c>
      <c r="T203" s="17" t="s">
        <v>34</v>
      </c>
      <c r="U203" s="18" t="s">
        <v>39</v>
      </c>
      <c r="V203" s="19" t="n">
        <v>223691789</v>
      </c>
      <c r="W203" s="17" t="s">
        <v>74</v>
      </c>
      <c r="X203" s="17" t="n">
        <v>499</v>
      </c>
      <c r="Y203" s="17" t="n">
        <v>3</v>
      </c>
      <c r="Z203" s="17" t="n">
        <v>18.9</v>
      </c>
      <c r="AA203" s="17" t="s">
        <v>68</v>
      </c>
      <c r="AB203" s="17" t="n">
        <v>0</v>
      </c>
    </row>
    <row r="204" customFormat="false" ht="15" hidden="false" customHeight="false" outlineLevel="0" collapsed="false">
      <c r="A204" s="1" t="str">
        <f aca="false">OFFSET(Table22,203,14,1,1)&amp;OFFSET(Table22,203,21,1,1)</f>
        <v>43353223691792</v>
      </c>
      <c r="B204" s="1" t="str">
        <f aca="false">OFFSET(Table22,203,14,1,1)&amp;OFFSET(Table22,203,22,1,1)</f>
        <v>43353Facebook»AZR»1x1»SocialBan»NA»ALL»DYN»RT»D»All»SS»NA»Free Account Retargeting Generic - T2 - FR</v>
      </c>
      <c r="C204" s="1" t="s">
        <v>28</v>
      </c>
      <c r="D204" s="3" t="n">
        <f aca="false">O204+(7-WEEKDAY(O204))</f>
        <v>43358</v>
      </c>
      <c r="E204" s="1" t="str">
        <f aca="false">VLOOKUP(OFFSET(Table22,203,16,1,1),Key!B:D,2,0)</f>
        <v>Canada</v>
      </c>
      <c r="F204" s="1" t="str">
        <f aca="false">IF(ISNUMBER(SEARCH("Canvas",U204)),"Link",IF(ISNUMBER(SEARCH("Link",U204)),"Link","Not filled properly"))</f>
        <v>Link</v>
      </c>
      <c r="G204" s="1" t="str">
        <f aca="false">IFERROR(VLOOKUP(OFFSET(Table22,203,21,1,1),OFFSET(Table2,0,1,ROWS(Table2),8),2,0),VLOOKUP(OFFSET(Table22,203,22,1,1),Table2,3,0))</f>
        <v>CAN_gaPMG_AZR_AZR_Q1_19_Trial-Social</v>
      </c>
      <c r="H204" s="1" t="n">
        <f aca="false">IFERROR(VLOOKUP(OFFSET(Table22,203,21,1,1),OFFSET(Table2,0,1,ROWS(Table2),8),3,0),VLOOKUP(OFFSET(Table22,203,22,1,1),Table2,4,0))</f>
        <v>21337220</v>
      </c>
      <c r="I204" s="2" t="n">
        <f aca="false">IFERROR(VLOOKUP(OFFSET(Table22,203,21,1,1),OFFSET(Table2,0,1,ROWS(Table2),8),4,0),VLOOKUP(OFFSET(Table22,203,22,1,1),Table2,5,0))</f>
        <v>720192</v>
      </c>
      <c r="J204" s="3" t="str">
        <f aca="false">IF(ISNUMBER(SEARCH("FACEBOOK",W204)),"Facebook",IF(ISNUMBER(SEARCH("INSTAGRAM",W204)),"Facebook-Instagram","Look at taxonomy"))</f>
        <v>Facebook</v>
      </c>
      <c r="K204" s="3" t="str">
        <f aca="false">IF(ISNUMBER(SEARCH("Facebook",J204)),"3654128","Not Facebook")</f>
        <v>3654128</v>
      </c>
      <c r="L204" s="3" t="str">
        <f aca="false">IFERROR(VLOOKUP(OFFSET(Table22,203,21,1,1),OFFSET(Table2,0,1,ROWS(Table2),8),7,0),VLOOKUP(OFFSET(Table22,203,22,1,1),Table2,8,0))</f>
        <v>AzurePlatform_FreeAcctRetargetingFB-GlobalAlt-ChB_CAN_1200x628_SOC_Plat_FR_Free Account_Standard_NA_SU_T2_1</v>
      </c>
      <c r="M204" s="2" t="n">
        <f aca="false">IFERROR(VLOOKUP(OFFSET(Table22,203,21,1,1),OFFSET(Table2,0,1,ROWS(Table2),8),8,0),VLOOKUP(OFFSET(Table22,203,22,1,1),Table2,9,0))</f>
        <v>102901894</v>
      </c>
      <c r="N204" s="15" t="s">
        <v>29</v>
      </c>
      <c r="O204" s="16" t="n">
        <v>43353</v>
      </c>
      <c r="P204" s="17" t="s">
        <v>64</v>
      </c>
      <c r="Q204" s="18" t="s">
        <v>65</v>
      </c>
      <c r="R204" s="17" t="s">
        <v>66</v>
      </c>
      <c r="S204" s="18" t="s">
        <v>45</v>
      </c>
      <c r="T204" s="17" t="s">
        <v>34</v>
      </c>
      <c r="U204" s="18" t="s">
        <v>39</v>
      </c>
      <c r="V204" s="19" t="n">
        <v>223691792</v>
      </c>
      <c r="W204" s="17" t="s">
        <v>73</v>
      </c>
      <c r="X204" s="17" t="n">
        <v>489</v>
      </c>
      <c r="Y204" s="17" t="n">
        <v>0</v>
      </c>
      <c r="Z204" s="17" t="n">
        <v>9.94</v>
      </c>
      <c r="AA204" s="17" t="s">
        <v>68</v>
      </c>
      <c r="AB204" s="17" t="n">
        <v>0</v>
      </c>
    </row>
    <row r="205" customFormat="false" ht="15" hidden="false" customHeight="false" outlineLevel="0" collapsed="false">
      <c r="A205" s="1" t="str">
        <f aca="false">OFFSET(Table22,204,14,1,1)&amp;OFFSET(Table22,204,21,1,1)</f>
        <v>43353223691777</v>
      </c>
      <c r="B205" s="1" t="str">
        <f aca="false">OFFSET(Table22,204,14,1,1)&amp;OFFSET(Table22,204,22,1,1)</f>
        <v>43353Facebook»AZR»1x1»SocialBan»NA»ALL»DYN»RT»D»All»SS»NA»Free Account Retargeting Generic - T3 - FR</v>
      </c>
      <c r="C205" s="1" t="s">
        <v>28</v>
      </c>
      <c r="D205" s="3" t="n">
        <f aca="false">O205+(7-WEEKDAY(O205))</f>
        <v>43358</v>
      </c>
      <c r="E205" s="1" t="str">
        <f aca="false">VLOOKUP(OFFSET(Table22,204,16,1,1),Key!B:D,2,0)</f>
        <v>Canada</v>
      </c>
      <c r="F205" s="1" t="str">
        <f aca="false">IF(ISNUMBER(SEARCH("Canvas",U205)),"Link",IF(ISNUMBER(SEARCH("Link",U205)),"Link","Not filled properly"))</f>
        <v>Link</v>
      </c>
      <c r="G205" s="1" t="str">
        <f aca="false">IFERROR(VLOOKUP(OFFSET(Table22,204,21,1,1),OFFSET(Table2,0,1,ROWS(Table2),8),2,0),VLOOKUP(OFFSET(Table22,204,22,1,1),Table2,3,0))</f>
        <v>CAN_gaPMG_AZR_AZR_Q1_19_Trial-Social</v>
      </c>
      <c r="H205" s="1" t="n">
        <f aca="false">IFERROR(VLOOKUP(OFFSET(Table22,204,21,1,1),OFFSET(Table2,0,1,ROWS(Table2),8),3,0),VLOOKUP(OFFSET(Table22,204,22,1,1),Table2,4,0))</f>
        <v>21337220</v>
      </c>
      <c r="I205" s="2" t="n">
        <f aca="false">IFERROR(VLOOKUP(OFFSET(Table22,204,21,1,1),OFFSET(Table2,0,1,ROWS(Table2),8),4,0),VLOOKUP(OFFSET(Table22,204,22,1,1),Table2,5,0))</f>
        <v>720192</v>
      </c>
      <c r="J205" s="3" t="str">
        <f aca="false">IF(ISNUMBER(SEARCH("FACEBOOK",W205)),"Facebook",IF(ISNUMBER(SEARCH("INSTAGRAM",W205)),"Facebook-Instagram","Look at taxonomy"))</f>
        <v>Facebook</v>
      </c>
      <c r="K205" s="3" t="str">
        <f aca="false">IF(ISNUMBER(SEARCH("Facebook",J205)),"3654128","Not Facebook")</f>
        <v>3654128</v>
      </c>
      <c r="L205" s="3" t="str">
        <f aca="false">IFERROR(VLOOKUP(OFFSET(Table22,204,21,1,1),OFFSET(Table2,0,1,ROWS(Table2),8),7,0),VLOOKUP(OFFSET(Table22,204,22,1,1),Table2,8,0))</f>
        <v>AzurePlatform_FreeAcctRetargetingFB-Animated-ChC_CAN_1200x628_SOC_Plat_FR_Free Account_Standard_ANI_SU_T3_1</v>
      </c>
      <c r="M205" s="2" t="n">
        <f aca="false">IFERROR(VLOOKUP(OFFSET(Table22,204,21,1,1),OFFSET(Table2,0,1,ROWS(Table2),8),8,0),VLOOKUP(OFFSET(Table22,204,22,1,1),Table2,9,0))</f>
        <v>102900697</v>
      </c>
      <c r="N205" s="15" t="s">
        <v>29</v>
      </c>
      <c r="O205" s="16" t="n">
        <v>43353</v>
      </c>
      <c r="P205" s="17" t="s">
        <v>64</v>
      </c>
      <c r="Q205" s="18" t="s">
        <v>65</v>
      </c>
      <c r="R205" s="17" t="s">
        <v>66</v>
      </c>
      <c r="S205" s="18" t="s">
        <v>45</v>
      </c>
      <c r="T205" s="17" t="s">
        <v>34</v>
      </c>
      <c r="U205" s="18" t="s">
        <v>39</v>
      </c>
      <c r="V205" s="19" t="n">
        <v>223691777</v>
      </c>
      <c r="W205" s="17" t="s">
        <v>72</v>
      </c>
      <c r="X205" s="17" t="n">
        <v>1016</v>
      </c>
      <c r="Y205" s="17" t="n">
        <v>3</v>
      </c>
      <c r="Z205" s="17" t="n">
        <v>30.57</v>
      </c>
      <c r="AA205" s="17" t="s">
        <v>68</v>
      </c>
      <c r="AB205" s="17" t="n">
        <v>0</v>
      </c>
    </row>
    <row r="206" customFormat="false" ht="15" hidden="false" customHeight="false" outlineLevel="0" collapsed="false">
      <c r="A206" s="1" t="str">
        <f aca="false">OFFSET(Table22,205,14,1,1)&amp;OFFSET(Table22,205,21,1,1)</f>
        <v>43353223691831</v>
      </c>
      <c r="B206" s="1" t="str">
        <f aca="false">OFFSET(Table22,205,14,1,1)&amp;OFFSET(Table22,205,22,1,1)</f>
        <v>43353Facebook»AZR»1x1»SocialBan»NA»ALL»DYN»RT»D»All»SS»NA» Free Account Retargeting OSS - T2 - EN</v>
      </c>
      <c r="C206" s="1" t="s">
        <v>28</v>
      </c>
      <c r="D206" s="3" t="n">
        <f aca="false">O206+(7-WEEKDAY(O206))</f>
        <v>43358</v>
      </c>
      <c r="E206" s="1" t="str">
        <f aca="false">VLOOKUP(OFFSET(Table22,205,16,1,1),Key!B:D,2,0)</f>
        <v>Canada</v>
      </c>
      <c r="F206" s="1" t="str">
        <f aca="false">IF(ISNUMBER(SEARCH("Canvas",U206)),"Link",IF(ISNUMBER(SEARCH("Link",U206)),"Link","Not filled properly"))</f>
        <v>Link</v>
      </c>
      <c r="G206" s="1" t="str">
        <f aca="false">IFERROR(VLOOKUP(OFFSET(Table22,205,21,1,1),OFFSET(Table2,0,1,ROWS(Table2),8),2,0),VLOOKUP(OFFSET(Table22,205,22,1,1),Table2,3,0))</f>
        <v>CAN_gaPMG_AZR_AZR_Q1_19_Trial-Social</v>
      </c>
      <c r="H206" s="1" t="n">
        <f aca="false">IFERROR(VLOOKUP(OFFSET(Table22,205,21,1,1),OFFSET(Table2,0,1,ROWS(Table2),8),3,0),VLOOKUP(OFFSET(Table22,205,22,1,1),Table2,4,0))</f>
        <v>21337220</v>
      </c>
      <c r="I206" s="2" t="n">
        <f aca="false">IFERROR(VLOOKUP(OFFSET(Table22,205,21,1,1),OFFSET(Table2,0,1,ROWS(Table2),8),4,0),VLOOKUP(OFFSET(Table22,205,22,1,1),Table2,5,0))</f>
        <v>720192</v>
      </c>
      <c r="J206" s="3" t="str">
        <f aca="false">IF(ISNUMBER(SEARCH("FACEBOOK",W206)),"Facebook",IF(ISNUMBER(SEARCH("INSTAGRAM",W206)),"Facebook-Instagram","Look at taxonomy"))</f>
        <v>Facebook</v>
      </c>
      <c r="K206" s="3" t="str">
        <f aca="false">IF(ISNUMBER(SEARCH("Facebook",J206)),"3654128","Not Facebook")</f>
        <v>3654128</v>
      </c>
      <c r="L206" s="3" t="str">
        <f aca="false">IFERROR(VLOOKUP(OFFSET(Table22,205,21,1,1),OFFSET(Table2,0,1,ROWS(Table2),8),7,0),VLOOKUP(OFFSET(Table22,205,22,1,1),Table2,8,0))</f>
        <v>AzurePlatform_FreeAcctRetargetingOSSFB-Logos-ChG_CAN_1200x628_SOC_Plat_EN_Free Account_Standard_NA_SU_T2_1</v>
      </c>
      <c r="M206" s="2" t="n">
        <f aca="false">IFERROR(VLOOKUP(OFFSET(Table22,205,21,1,1),OFFSET(Table2,0,1,ROWS(Table2),8),8,0),VLOOKUP(OFFSET(Table22,205,22,1,1),Table2,9,0))</f>
        <v>102913800</v>
      </c>
      <c r="N206" s="15" t="s">
        <v>29</v>
      </c>
      <c r="O206" s="16" t="n">
        <v>43353</v>
      </c>
      <c r="P206" s="17" t="s">
        <v>64</v>
      </c>
      <c r="Q206" s="18" t="s">
        <v>65</v>
      </c>
      <c r="R206" s="17" t="s">
        <v>66</v>
      </c>
      <c r="S206" s="18" t="s">
        <v>45</v>
      </c>
      <c r="T206" s="17" t="s">
        <v>34</v>
      </c>
      <c r="U206" s="18" t="s">
        <v>39</v>
      </c>
      <c r="V206" s="19" t="n">
        <v>223691831</v>
      </c>
      <c r="W206" s="17" t="s">
        <v>70</v>
      </c>
      <c r="X206" s="17" t="n">
        <v>6693</v>
      </c>
      <c r="Y206" s="17" t="n">
        <v>7</v>
      </c>
      <c r="Z206" s="17" t="n">
        <v>170.5</v>
      </c>
      <c r="AA206" s="17" t="s">
        <v>68</v>
      </c>
      <c r="AB206" s="17" t="n">
        <v>0</v>
      </c>
    </row>
    <row r="207" customFormat="false" ht="15" hidden="false" customHeight="false" outlineLevel="0" collapsed="false">
      <c r="A207" s="1" t="str">
        <f aca="false">OFFSET(Table22,206,14,1,1)&amp;OFFSET(Table22,206,21,1,1)</f>
        <v>43353223691795</v>
      </c>
      <c r="B207" s="1" t="str">
        <f aca="false">OFFSET(Table22,206,14,1,1)&amp;OFFSET(Table22,206,22,1,1)</f>
        <v>43353Facebook»AZR»1x1»NA»EGV»ALL»DYN»AUT»D»All»SS»NA»Free Acc CTC - T4 - FR</v>
      </c>
      <c r="C207" s="1" t="s">
        <v>28</v>
      </c>
      <c r="D207" s="3" t="n">
        <f aca="false">O207+(7-WEEKDAY(O207))</f>
        <v>43358</v>
      </c>
      <c r="E207" s="1" t="str">
        <f aca="false">VLOOKUP(OFFSET(Table22,206,16,1,1),Key!B:D,2,0)</f>
        <v>Canada</v>
      </c>
      <c r="F207" s="1" t="str">
        <f aca="false">IF(ISNUMBER(SEARCH("Canvas",U207)),"Link",IF(ISNUMBER(SEARCH("Link",U207)),"Link","Not filled properly"))</f>
        <v>Link</v>
      </c>
      <c r="G207" s="1" t="str">
        <f aca="false">IFERROR(VLOOKUP(OFFSET(Table22,206,21,1,1),OFFSET(Table2,0,1,ROWS(Table2),8),2,0),VLOOKUP(OFFSET(Table22,206,22,1,1),Table2,3,0))</f>
        <v>CAN_gaPMG_AZR_AZR_Q1_19_Trial-Social</v>
      </c>
      <c r="H207" s="1" t="n">
        <f aca="false">IFERROR(VLOOKUP(OFFSET(Table22,206,21,1,1),OFFSET(Table2,0,1,ROWS(Table2),8),3,0),VLOOKUP(OFFSET(Table22,206,22,1,1),Table2,4,0))</f>
        <v>21337220</v>
      </c>
      <c r="I207" s="2" t="n">
        <f aca="false">IFERROR(VLOOKUP(OFFSET(Table22,206,21,1,1),OFFSET(Table2,0,1,ROWS(Table2),8),4,0),VLOOKUP(OFFSET(Table22,206,22,1,1),Table2,5,0))</f>
        <v>720192</v>
      </c>
      <c r="J207" s="3" t="str">
        <f aca="false">IF(ISNUMBER(SEARCH("FACEBOOK",W207)),"Facebook",IF(ISNUMBER(SEARCH("INSTAGRAM",W207)),"Facebook-Instagram","Look at taxonomy"))</f>
        <v>Facebook</v>
      </c>
      <c r="K207" s="3" t="str">
        <f aca="false">IF(ISNUMBER(SEARCH("Facebook",J207)),"3654128","Not Facebook")</f>
        <v>3654128</v>
      </c>
      <c r="L207" s="3" t="str">
        <f aca="false">IFERROR(VLOOKUP(OFFSET(Table22,206,21,1,1),OFFSET(Table2,0,1,ROWS(Table2),8),7,0),VLOOKUP(OFFSET(Table22,206,22,1,1),Table2,8,0))</f>
        <v>AzurePlatform_FBCTCBenefit2inMotion_CAN_14s_ISV_PLAT_FR_Trial_Standard_STAN_TN_T4_1</v>
      </c>
      <c r="M207" s="2" t="n">
        <f aca="false">IFERROR(VLOOKUP(OFFSET(Table22,206,21,1,1),OFFSET(Table2,0,1,ROWS(Table2),8),8,0),VLOOKUP(OFFSET(Table22,206,22,1,1),Table2,9,0))</f>
        <v>102900688</v>
      </c>
      <c r="N207" s="15" t="s">
        <v>29</v>
      </c>
      <c r="O207" s="16" t="n">
        <v>43353</v>
      </c>
      <c r="P207" s="17" t="s">
        <v>64</v>
      </c>
      <c r="Q207" s="18" t="s">
        <v>65</v>
      </c>
      <c r="R207" s="17" t="s">
        <v>66</v>
      </c>
      <c r="S207" s="18" t="s">
        <v>45</v>
      </c>
      <c r="T207" s="17" t="s">
        <v>34</v>
      </c>
      <c r="U207" s="18" t="s">
        <v>39</v>
      </c>
      <c r="V207" s="19" t="n">
        <v>223691795</v>
      </c>
      <c r="W207" s="17" t="s">
        <v>87</v>
      </c>
      <c r="X207" s="17" t="n">
        <v>520</v>
      </c>
      <c r="Y207" s="17" t="n">
        <v>1</v>
      </c>
      <c r="Z207" s="17" t="n">
        <v>9.24</v>
      </c>
      <c r="AA207" s="17" t="s">
        <v>68</v>
      </c>
      <c r="AB207" s="17" t="n">
        <v>0</v>
      </c>
    </row>
    <row r="208" customFormat="false" ht="15" hidden="false" customHeight="false" outlineLevel="0" collapsed="false">
      <c r="A208" s="1" t="str">
        <f aca="false">OFFSET(Table22,207,14,1,1)&amp;OFFSET(Table22,207,21,1,1)</f>
        <v>43353227522762</v>
      </c>
      <c r="B208" s="1" t="str">
        <f aca="false">OFFSET(Table22,207,14,1,1)&amp;OFFSET(Table22,207,22,1,1)</f>
        <v>43353Facebook»AZR»1x1»NA»NA»ALL»DYN»AUT»D»All»SS»NA»Free Account Create to Convert FB - Canvas - Brand - Start Free - EN</v>
      </c>
      <c r="C208" s="1" t="s">
        <v>28</v>
      </c>
      <c r="D208" s="3" t="n">
        <f aca="false">O208+(7-WEEKDAY(O208))</f>
        <v>43358</v>
      </c>
      <c r="E208" s="1" t="str">
        <f aca="false">VLOOKUP(OFFSET(Table22,207,16,1,1),Key!B:D,2,0)</f>
        <v>Canada</v>
      </c>
      <c r="F208" s="1" t="str">
        <f aca="false">IF(ISNUMBER(SEARCH("Canvas",U208)),"Link",IF(ISNUMBER(SEARCH("Link",U208)),"Link","Not filled properly"))</f>
        <v>Link</v>
      </c>
      <c r="G208" s="1" t="str">
        <f aca="false">IFERROR(VLOOKUP(OFFSET(Table22,207,21,1,1),OFFSET(Table2,0,1,ROWS(Table2),8),2,0),VLOOKUP(OFFSET(Table22,207,22,1,1),Table2,3,0))</f>
        <v>CAN_gaPMG_AZR_AZR_Q1_19_Trial-Social</v>
      </c>
      <c r="H208" s="1" t="n">
        <f aca="false">IFERROR(VLOOKUP(OFFSET(Table22,207,21,1,1),OFFSET(Table2,0,1,ROWS(Table2),8),3,0),VLOOKUP(OFFSET(Table22,207,22,1,1),Table2,4,0))</f>
        <v>21337220</v>
      </c>
      <c r="I208" s="2" t="n">
        <f aca="false">IFERROR(VLOOKUP(OFFSET(Table22,207,21,1,1),OFFSET(Table2,0,1,ROWS(Table2),8),4,0),VLOOKUP(OFFSET(Table22,207,22,1,1),Table2,5,0))</f>
        <v>720192</v>
      </c>
      <c r="J208" s="3" t="str">
        <f aca="false">IF(ISNUMBER(SEARCH("FACEBOOK",W208)),"Facebook",IF(ISNUMBER(SEARCH("INSTAGRAM",W208)),"Facebook-Instagram","Look at taxonomy"))</f>
        <v>Facebook</v>
      </c>
      <c r="K208" s="3" t="str">
        <f aca="false">IF(ISNUMBER(SEARCH("Facebook",J208)),"3654128","Not Facebook")</f>
        <v>3654128</v>
      </c>
      <c r="L208" s="3" t="str">
        <f aca="false">IFERROR(VLOOKUP(OFFSET(Table22,207,21,1,1),OFFSET(Table2,0,1,ROWS(Table2),8),7,0),VLOOKUP(OFFSET(Table22,207,22,1,1),Table2,8,0))</f>
        <v>AzurePlatform_FBCTCBrandinMotion_CAN_1080x1080_SOC_12s_ISV_English_Standard_NA_FTR_T2_1</v>
      </c>
      <c r="M208" s="2" t="n">
        <f aca="false">IFERROR(VLOOKUP(OFFSET(Table22,207,21,1,1),OFFSET(Table2,0,1,ROWS(Table2),8),8,0),VLOOKUP(OFFSET(Table22,207,22,1,1),Table2,9,0))</f>
        <v>105216992</v>
      </c>
      <c r="N208" s="15" t="s">
        <v>29</v>
      </c>
      <c r="O208" s="16" t="n">
        <v>43353</v>
      </c>
      <c r="P208" s="17" t="s">
        <v>64</v>
      </c>
      <c r="Q208" s="18" t="s">
        <v>65</v>
      </c>
      <c r="R208" s="17" t="s">
        <v>66</v>
      </c>
      <c r="S208" s="18" t="s">
        <v>45</v>
      </c>
      <c r="T208" s="17" t="s">
        <v>34</v>
      </c>
      <c r="U208" s="18" t="s">
        <v>39</v>
      </c>
      <c r="V208" s="19" t="n">
        <v>227522762</v>
      </c>
      <c r="W208" s="17" t="s">
        <v>86</v>
      </c>
      <c r="X208" s="17" t="n">
        <v>1030</v>
      </c>
      <c r="Y208" s="17" t="n">
        <v>2</v>
      </c>
      <c r="Z208" s="17" t="n">
        <v>12.67</v>
      </c>
      <c r="AA208" s="17" t="s">
        <v>68</v>
      </c>
      <c r="AB208" s="17" t="n">
        <v>0</v>
      </c>
    </row>
    <row r="209" customFormat="false" ht="15" hidden="false" customHeight="false" outlineLevel="0" collapsed="false">
      <c r="A209" s="1" t="str">
        <f aca="false">OFFSET(Table22,208,14,1,1)&amp;OFFSET(Table22,208,21,1,1)</f>
        <v>43353227618695</v>
      </c>
      <c r="B209" s="1" t="str">
        <f aca="false">OFFSET(Table22,208,14,1,1)&amp;OFFSET(Table22,208,22,1,1)</f>
        <v>43353Facebook»AZR»1x1»NA»NA»ALL»DYN»AUT»D»All»SS»NA»Free Account Create to Convert FB - Canvas - Benefit - Start Free - FR</v>
      </c>
      <c r="C209" s="1" t="s">
        <v>28</v>
      </c>
      <c r="D209" s="3" t="n">
        <f aca="false">O209+(7-WEEKDAY(O209))</f>
        <v>43358</v>
      </c>
      <c r="E209" s="1" t="str">
        <f aca="false">VLOOKUP(OFFSET(Table22,208,16,1,1),Key!B:D,2,0)</f>
        <v>Canada</v>
      </c>
      <c r="F209" s="1" t="str">
        <f aca="false">IF(ISNUMBER(SEARCH("Canvas",U209)),"Link",IF(ISNUMBER(SEARCH("Link",U209)),"Link","Not filled properly"))</f>
        <v>Link</v>
      </c>
      <c r="G209" s="1" t="str">
        <f aca="false">IFERROR(VLOOKUP(OFFSET(Table22,208,21,1,1),OFFSET(Table2,0,1,ROWS(Table2),8),2,0),VLOOKUP(OFFSET(Table22,208,22,1,1),Table2,3,0))</f>
        <v>CAN_gaPMG_AZR_AZR_Q1_19_Trial-Social</v>
      </c>
      <c r="H209" s="1" t="n">
        <f aca="false">IFERROR(VLOOKUP(OFFSET(Table22,208,21,1,1),OFFSET(Table2,0,1,ROWS(Table2),8),3,0),VLOOKUP(OFFSET(Table22,208,22,1,1),Table2,4,0))</f>
        <v>21337220</v>
      </c>
      <c r="I209" s="2" t="n">
        <f aca="false">IFERROR(VLOOKUP(OFFSET(Table22,208,21,1,1),OFFSET(Table2,0,1,ROWS(Table2),8),4,0),VLOOKUP(OFFSET(Table22,208,22,1,1),Table2,5,0))</f>
        <v>720192</v>
      </c>
      <c r="J209" s="3" t="str">
        <f aca="false">IF(ISNUMBER(SEARCH("FACEBOOK",W209)),"Facebook",IF(ISNUMBER(SEARCH("INSTAGRAM",W209)),"Facebook-Instagram","Look at taxonomy"))</f>
        <v>Facebook</v>
      </c>
      <c r="K209" s="3" t="str">
        <f aca="false">IF(ISNUMBER(SEARCH("Facebook",J209)),"3654128","Not Facebook")</f>
        <v>3654128</v>
      </c>
      <c r="L209" s="3" t="str">
        <f aca="false">IFERROR(VLOOKUP(OFFSET(Table22,208,21,1,1),OFFSET(Table2,0,1,ROWS(Table2),8),7,0),VLOOKUP(OFFSET(Table22,208,22,1,1),Table2,8,0))</f>
        <v>AzurePlatform_FBCTCBenefit2inMotion_CAN_1080x1080_SOC_14s_ISV_FR_Standard_NA_FTR_T4_1</v>
      </c>
      <c r="M209" s="2" t="n">
        <f aca="false">IFERROR(VLOOKUP(OFFSET(Table22,208,21,1,1),OFFSET(Table2,0,1,ROWS(Table2),8),8,0),VLOOKUP(OFFSET(Table22,208,22,1,1),Table2,9,0))</f>
        <v>105127638</v>
      </c>
      <c r="N209" s="15" t="s">
        <v>29</v>
      </c>
      <c r="O209" s="16" t="n">
        <v>43353</v>
      </c>
      <c r="P209" s="17" t="s">
        <v>64</v>
      </c>
      <c r="Q209" s="18" t="s">
        <v>65</v>
      </c>
      <c r="R209" s="17" t="s">
        <v>66</v>
      </c>
      <c r="S209" s="18" t="s">
        <v>45</v>
      </c>
      <c r="T209" s="17" t="s">
        <v>34</v>
      </c>
      <c r="U209" s="18" t="s">
        <v>39</v>
      </c>
      <c r="V209" s="19" t="n">
        <v>227618695</v>
      </c>
      <c r="W209" s="17" t="s">
        <v>67</v>
      </c>
      <c r="X209" s="17" t="n">
        <v>559</v>
      </c>
      <c r="Y209" s="17" t="n">
        <v>1</v>
      </c>
      <c r="Z209" s="17" t="n">
        <v>8.9</v>
      </c>
      <c r="AA209" s="17" t="s">
        <v>68</v>
      </c>
      <c r="AB209" s="17" t="n">
        <v>0</v>
      </c>
    </row>
    <row r="210" customFormat="false" ht="15" hidden="false" customHeight="false" outlineLevel="0" collapsed="false">
      <c r="A210" s="1" t="str">
        <f aca="false">OFFSET(Table22,209,14,1,1)&amp;OFFSET(Table22,209,21,1,1)</f>
        <v>43353223691825</v>
      </c>
      <c r="B210" s="1" t="str">
        <f aca="false">OFFSET(Table22,209,14,1,1)&amp;OFFSET(Table22,209,22,1,1)</f>
        <v>43353Facebook»AZR»1x1»SocialBan»NA»ALL»DYN»RT»D»All»SS»NA»Free Account Retargeting VM - T1 - EN</v>
      </c>
      <c r="C210" s="1" t="s">
        <v>28</v>
      </c>
      <c r="D210" s="3" t="n">
        <f aca="false">O210+(7-WEEKDAY(O210))</f>
        <v>43358</v>
      </c>
      <c r="E210" s="1" t="str">
        <f aca="false">VLOOKUP(OFFSET(Table22,209,16,1,1),Key!B:D,2,0)</f>
        <v>Canada</v>
      </c>
      <c r="F210" s="1" t="str">
        <f aca="false">IF(ISNUMBER(SEARCH("Canvas",U210)),"Link",IF(ISNUMBER(SEARCH("Link",U210)),"Link","Not filled properly"))</f>
        <v>Link</v>
      </c>
      <c r="G210" s="1" t="str">
        <f aca="false">IFERROR(VLOOKUP(OFFSET(Table22,209,21,1,1),OFFSET(Table2,0,1,ROWS(Table2),8),2,0),VLOOKUP(OFFSET(Table22,209,22,1,1),Table2,3,0))</f>
        <v>CAN_gaPMG_AZR_AZR_Q1_19_Trial-Social</v>
      </c>
      <c r="H210" s="1" t="n">
        <f aca="false">IFERROR(VLOOKUP(OFFSET(Table22,209,21,1,1),OFFSET(Table2,0,1,ROWS(Table2),8),3,0),VLOOKUP(OFFSET(Table22,209,22,1,1),Table2,4,0))</f>
        <v>21337220</v>
      </c>
      <c r="I210" s="2" t="n">
        <f aca="false">IFERROR(VLOOKUP(OFFSET(Table22,209,21,1,1),OFFSET(Table2,0,1,ROWS(Table2),8),4,0),VLOOKUP(OFFSET(Table22,209,22,1,1),Table2,5,0))</f>
        <v>720192</v>
      </c>
      <c r="J210" s="3" t="str">
        <f aca="false">IF(ISNUMBER(SEARCH("FACEBOOK",W210)),"Facebook",IF(ISNUMBER(SEARCH("INSTAGRAM",W210)),"Facebook-Instagram","Look at taxonomy"))</f>
        <v>Facebook</v>
      </c>
      <c r="K210" s="3" t="str">
        <f aca="false">IF(ISNUMBER(SEARCH("Facebook",J210)),"3654128","Not Facebook")</f>
        <v>3654128</v>
      </c>
      <c r="L210" s="3" t="str">
        <f aca="false">IFERROR(VLOOKUP(OFFSET(Table22,209,21,1,1),OFFSET(Table2,0,1,ROWS(Table2),8),7,0),VLOOKUP(OFFSET(Table22,209,22,1,1),Table2,8,0))</f>
        <v>AzurePlatform_FreeAcctRetargetingVMFB-750Hrs-ChD_CAN_1200x628_SOC_Plat_EN_Free Account_Standard_NA_SU_T1_1</v>
      </c>
      <c r="M210" s="2" t="n">
        <f aca="false">IFERROR(VLOOKUP(OFFSET(Table22,209,21,1,1),OFFSET(Table2,0,1,ROWS(Table2),8),8,0),VLOOKUP(OFFSET(Table22,209,22,1,1),Table2,9,0))</f>
        <v>102916338</v>
      </c>
      <c r="N210" s="15" t="s">
        <v>29</v>
      </c>
      <c r="O210" s="16" t="n">
        <v>43353</v>
      </c>
      <c r="P210" s="17" t="s">
        <v>64</v>
      </c>
      <c r="Q210" s="18" t="s">
        <v>65</v>
      </c>
      <c r="R210" s="17" t="s">
        <v>66</v>
      </c>
      <c r="S210" s="18" t="s">
        <v>45</v>
      </c>
      <c r="T210" s="17" t="s">
        <v>34</v>
      </c>
      <c r="U210" s="18" t="s">
        <v>39</v>
      </c>
      <c r="V210" s="19" t="n">
        <v>223691825</v>
      </c>
      <c r="W210" s="17" t="s">
        <v>80</v>
      </c>
      <c r="X210" s="17" t="n">
        <v>3174</v>
      </c>
      <c r="Y210" s="17" t="n">
        <v>9</v>
      </c>
      <c r="Z210" s="17" t="n">
        <v>128.12</v>
      </c>
      <c r="AA210" s="17" t="s">
        <v>68</v>
      </c>
      <c r="AB210" s="17" t="n">
        <v>0</v>
      </c>
    </row>
    <row r="211" customFormat="false" ht="15" hidden="false" customHeight="false" outlineLevel="0" collapsed="false">
      <c r="A211" s="1" t="str">
        <f aca="false">OFFSET(Table22,210,14,1,1)&amp;OFFSET(Table22,210,21,1,1)</f>
        <v>43353227525720</v>
      </c>
      <c r="B211" s="1" t="str">
        <f aca="false">OFFSET(Table22,210,14,1,1)&amp;OFFSET(Table22,210,22,1,1)</f>
        <v>43353Facebook»AZR»1x1»NA»NA»ALL»DYN»AUT»D»All»SS»NA»Free Account Create to Convert FB - Canvas - Benefit - Start Free - EN</v>
      </c>
      <c r="C211" s="1" t="s">
        <v>28</v>
      </c>
      <c r="D211" s="3" t="n">
        <f aca="false">O211+(7-WEEKDAY(O211))</f>
        <v>43358</v>
      </c>
      <c r="E211" s="1" t="str">
        <f aca="false">VLOOKUP(OFFSET(Table22,210,16,1,1),Key!B:D,2,0)</f>
        <v>Canada</v>
      </c>
      <c r="F211" s="1" t="str">
        <f aca="false">IF(ISNUMBER(SEARCH("Canvas",U211)),"Link",IF(ISNUMBER(SEARCH("Link",U211)),"Link","Not filled properly"))</f>
        <v>Link</v>
      </c>
      <c r="G211" s="1" t="str">
        <f aca="false">IFERROR(VLOOKUP(OFFSET(Table22,210,21,1,1),OFFSET(Table2,0,1,ROWS(Table2),8),2,0),VLOOKUP(OFFSET(Table22,210,22,1,1),Table2,3,0))</f>
        <v>CAN_gaPMG_AZR_AZR_Q1_19_Trial-Social</v>
      </c>
      <c r="H211" s="1" t="n">
        <f aca="false">IFERROR(VLOOKUP(OFFSET(Table22,210,21,1,1),OFFSET(Table2,0,1,ROWS(Table2),8),3,0),VLOOKUP(OFFSET(Table22,210,22,1,1),Table2,4,0))</f>
        <v>21337220</v>
      </c>
      <c r="I211" s="2" t="n">
        <f aca="false">IFERROR(VLOOKUP(OFFSET(Table22,210,21,1,1),OFFSET(Table2,0,1,ROWS(Table2),8),4,0),VLOOKUP(OFFSET(Table22,210,22,1,1),Table2,5,0))</f>
        <v>720192</v>
      </c>
      <c r="J211" s="3" t="str">
        <f aca="false">IF(ISNUMBER(SEARCH("FACEBOOK",W211)),"Facebook",IF(ISNUMBER(SEARCH("INSTAGRAM",W211)),"Facebook-Instagram","Look at taxonomy"))</f>
        <v>Facebook</v>
      </c>
      <c r="K211" s="3" t="str">
        <f aca="false">IF(ISNUMBER(SEARCH("Facebook",J211)),"3654128","Not Facebook")</f>
        <v>3654128</v>
      </c>
      <c r="L211" s="3" t="str">
        <f aca="false">IFERROR(VLOOKUP(OFFSET(Table22,210,21,1,1),OFFSET(Table2,0,1,ROWS(Table2),8),7,0),VLOOKUP(OFFSET(Table22,210,22,1,1),Table2,8,0))</f>
        <v>AzurePlatform_FBCTCBenefit2inMotion_CAN_1080x1080_SOC_14s_ISV_English_Standard_NA_FTR_T4_1</v>
      </c>
      <c r="M211" s="2" t="n">
        <f aca="false">IFERROR(VLOOKUP(OFFSET(Table22,210,21,1,1),OFFSET(Table2,0,1,ROWS(Table2),8),8,0),VLOOKUP(OFFSET(Table22,210,22,1,1),Table2,9,0))</f>
        <v>105130125</v>
      </c>
      <c r="N211" s="15" t="s">
        <v>29</v>
      </c>
      <c r="O211" s="16" t="n">
        <v>43353</v>
      </c>
      <c r="P211" s="17" t="s">
        <v>64</v>
      </c>
      <c r="Q211" s="18" t="s">
        <v>65</v>
      </c>
      <c r="R211" s="17" t="s">
        <v>66</v>
      </c>
      <c r="S211" s="18" t="s">
        <v>45</v>
      </c>
      <c r="T211" s="17" t="s">
        <v>34</v>
      </c>
      <c r="U211" s="18" t="s">
        <v>39</v>
      </c>
      <c r="V211" s="19" t="n">
        <v>227525720</v>
      </c>
      <c r="W211" s="17" t="s">
        <v>85</v>
      </c>
      <c r="X211" s="17" t="n">
        <v>1242</v>
      </c>
      <c r="Y211" s="17" t="n">
        <v>5</v>
      </c>
      <c r="Z211" s="17" t="n">
        <v>20.68</v>
      </c>
      <c r="AA211" s="17" t="s">
        <v>68</v>
      </c>
      <c r="AB211" s="17" t="n">
        <v>0</v>
      </c>
    </row>
    <row r="212" customFormat="false" ht="15" hidden="false" customHeight="false" outlineLevel="0" collapsed="false">
      <c r="A212" s="1" t="str">
        <f aca="false">OFFSET(Table22,211,14,1,1)&amp;OFFSET(Table22,211,21,1,1)</f>
        <v>43353223691840</v>
      </c>
      <c r="B212" s="1" t="str">
        <f aca="false">OFFSET(Table22,211,14,1,1)&amp;OFFSET(Table22,211,22,1,1)</f>
        <v>43353Facebook»AZR»1x1»NA»EGV»ALL»DYN»AUT»D»All»SS»NA»Free Acc CTC - T2 - EN</v>
      </c>
      <c r="C212" s="1" t="s">
        <v>28</v>
      </c>
      <c r="D212" s="3" t="n">
        <f aca="false">O212+(7-WEEKDAY(O212))</f>
        <v>43358</v>
      </c>
      <c r="E212" s="1" t="str">
        <f aca="false">VLOOKUP(OFFSET(Table22,211,16,1,1),Key!B:D,2,0)</f>
        <v>Canada</v>
      </c>
      <c r="F212" s="1" t="str">
        <f aca="false">IF(ISNUMBER(SEARCH("Canvas",U212)),"Link",IF(ISNUMBER(SEARCH("Link",U212)),"Link","Not filled properly"))</f>
        <v>Link</v>
      </c>
      <c r="G212" s="1" t="str">
        <f aca="false">IFERROR(VLOOKUP(OFFSET(Table22,211,21,1,1),OFFSET(Table2,0,1,ROWS(Table2),8),2,0),VLOOKUP(OFFSET(Table22,211,22,1,1),Table2,3,0))</f>
        <v>CAN_gaPMG_AZR_AZR_Q1_19_Trial-Social</v>
      </c>
      <c r="H212" s="1" t="n">
        <f aca="false">IFERROR(VLOOKUP(OFFSET(Table22,211,21,1,1),OFFSET(Table2,0,1,ROWS(Table2),8),3,0),VLOOKUP(OFFSET(Table22,211,22,1,1),Table2,4,0))</f>
        <v>21337220</v>
      </c>
      <c r="I212" s="2" t="n">
        <f aca="false">IFERROR(VLOOKUP(OFFSET(Table22,211,21,1,1),OFFSET(Table2,0,1,ROWS(Table2),8),4,0),VLOOKUP(OFFSET(Table22,211,22,1,1),Table2,5,0))</f>
        <v>720192</v>
      </c>
      <c r="J212" s="3" t="str">
        <f aca="false">IF(ISNUMBER(SEARCH("FACEBOOK",W212)),"Facebook",IF(ISNUMBER(SEARCH("INSTAGRAM",W212)),"Facebook-Instagram","Look at taxonomy"))</f>
        <v>Facebook</v>
      </c>
      <c r="K212" s="3" t="str">
        <f aca="false">IF(ISNUMBER(SEARCH("Facebook",J212)),"3654128","Not Facebook")</f>
        <v>3654128</v>
      </c>
      <c r="L212" s="3" t="str">
        <f aca="false">IFERROR(VLOOKUP(OFFSET(Table22,211,21,1,1),OFFSET(Table2,0,1,ROWS(Table2),8),7,0),VLOOKUP(OFFSET(Table22,211,22,1,1),Table2,8,0))</f>
        <v>AzurePlatform_FBCTCBrandinMotion_CAN_12s_ISV_PLAT_English_Trial_Standard_STAN_TN_T2_1</v>
      </c>
      <c r="M212" s="2" t="n">
        <f aca="false">IFERROR(VLOOKUP(OFFSET(Table22,211,21,1,1),OFFSET(Table2,0,1,ROWS(Table2),8),8,0),VLOOKUP(OFFSET(Table22,211,22,1,1),Table2,9,0))</f>
        <v>102902950</v>
      </c>
      <c r="N212" s="15" t="s">
        <v>29</v>
      </c>
      <c r="O212" s="16" t="n">
        <v>43353</v>
      </c>
      <c r="P212" s="17" t="s">
        <v>64</v>
      </c>
      <c r="Q212" s="18" t="s">
        <v>65</v>
      </c>
      <c r="R212" s="17" t="s">
        <v>66</v>
      </c>
      <c r="S212" s="18" t="s">
        <v>45</v>
      </c>
      <c r="T212" s="17" t="s">
        <v>34</v>
      </c>
      <c r="U212" s="18" t="s">
        <v>39</v>
      </c>
      <c r="V212" s="19" t="n">
        <v>223691840</v>
      </c>
      <c r="W212" s="17" t="s">
        <v>77</v>
      </c>
      <c r="X212" s="17" t="n">
        <v>1095</v>
      </c>
      <c r="Y212" s="17" t="n">
        <v>1</v>
      </c>
      <c r="Z212" s="17" t="n">
        <v>18.06</v>
      </c>
      <c r="AA212" s="17" t="s">
        <v>68</v>
      </c>
      <c r="AB212" s="17" t="n">
        <v>0</v>
      </c>
    </row>
    <row r="213" customFormat="false" ht="15" hidden="false" customHeight="false" outlineLevel="0" collapsed="false">
      <c r="A213" s="1" t="str">
        <f aca="false">OFFSET(Table22,212,14,1,1)&amp;OFFSET(Table22,212,21,1,1)</f>
        <v>43353223691822</v>
      </c>
      <c r="B213" s="1" t="str">
        <f aca="false">OFFSET(Table22,212,14,1,1)&amp;OFFSET(Table22,212,22,1,1)</f>
        <v>43353Facebook»AZR»1x1»SocialBan»NA»ALL»DYN»RT»D»All»SS»NA»Free Account Retargeting VM - T2 - EN</v>
      </c>
      <c r="C213" s="1" t="s">
        <v>28</v>
      </c>
      <c r="D213" s="3" t="n">
        <f aca="false">O213+(7-WEEKDAY(O213))</f>
        <v>43358</v>
      </c>
      <c r="E213" s="1" t="str">
        <f aca="false">VLOOKUP(OFFSET(Table22,212,16,1,1),Key!B:D,2,0)</f>
        <v>Canada</v>
      </c>
      <c r="F213" s="1" t="str">
        <f aca="false">IF(ISNUMBER(SEARCH("Canvas",U213)),"Link",IF(ISNUMBER(SEARCH("Link",U213)),"Link","Not filled properly"))</f>
        <v>Link</v>
      </c>
      <c r="G213" s="1" t="str">
        <f aca="false">IFERROR(VLOOKUP(OFFSET(Table22,212,21,1,1),OFFSET(Table2,0,1,ROWS(Table2),8),2,0),VLOOKUP(OFFSET(Table22,212,22,1,1),Table2,3,0))</f>
        <v>CAN_gaPMG_AZR_AZR_Q1_19_Trial-Social</v>
      </c>
      <c r="H213" s="1" t="n">
        <f aca="false">IFERROR(VLOOKUP(OFFSET(Table22,212,21,1,1),OFFSET(Table2,0,1,ROWS(Table2),8),3,0),VLOOKUP(OFFSET(Table22,212,22,1,1),Table2,4,0))</f>
        <v>21337220</v>
      </c>
      <c r="I213" s="2" t="n">
        <f aca="false">IFERROR(VLOOKUP(OFFSET(Table22,212,21,1,1),OFFSET(Table2,0,1,ROWS(Table2),8),4,0),VLOOKUP(OFFSET(Table22,212,22,1,1),Table2,5,0))</f>
        <v>720192</v>
      </c>
      <c r="J213" s="3" t="str">
        <f aca="false">IF(ISNUMBER(SEARCH("FACEBOOK",W213)),"Facebook",IF(ISNUMBER(SEARCH("INSTAGRAM",W213)),"Facebook-Instagram","Look at taxonomy"))</f>
        <v>Facebook</v>
      </c>
      <c r="K213" s="3" t="str">
        <f aca="false">IF(ISNUMBER(SEARCH("Facebook",J213)),"3654128","Not Facebook")</f>
        <v>3654128</v>
      </c>
      <c r="L213" s="3" t="str">
        <f aca="false">IFERROR(VLOOKUP(OFFSET(Table22,212,21,1,1),OFFSET(Table2,0,1,ROWS(Table2),8),7,0),VLOOKUP(OFFSET(Table22,212,22,1,1),Table2,8,0))</f>
        <v>AzurePlatform_FreeAcctRetargetingVMFB-OnDemand-ChE_CAN_1200x628_SOC_Plat_EN_Free Account_Standard_NA_SU_T2_1</v>
      </c>
      <c r="M213" s="2" t="n">
        <f aca="false">IFERROR(VLOOKUP(OFFSET(Table22,212,21,1,1),OFFSET(Table2,0,1,ROWS(Table2),8),8,0),VLOOKUP(OFFSET(Table22,212,22,1,1),Table2,9,0))</f>
        <v>103058708</v>
      </c>
      <c r="N213" s="15" t="s">
        <v>29</v>
      </c>
      <c r="O213" s="16" t="n">
        <v>43353</v>
      </c>
      <c r="P213" s="17" t="s">
        <v>64</v>
      </c>
      <c r="Q213" s="18" t="s">
        <v>65</v>
      </c>
      <c r="R213" s="17" t="s">
        <v>66</v>
      </c>
      <c r="S213" s="18" t="s">
        <v>45</v>
      </c>
      <c r="T213" s="17" t="s">
        <v>34</v>
      </c>
      <c r="U213" s="18" t="s">
        <v>39</v>
      </c>
      <c r="V213" s="19" t="n">
        <v>223691822</v>
      </c>
      <c r="W213" s="17" t="s">
        <v>89</v>
      </c>
      <c r="X213" s="17" t="n">
        <v>191</v>
      </c>
      <c r="Y213" s="17" t="n">
        <v>1</v>
      </c>
      <c r="Z213" s="17" t="n">
        <v>5.11</v>
      </c>
      <c r="AA213" s="17" t="s">
        <v>68</v>
      </c>
      <c r="AB213" s="17" t="n">
        <v>0</v>
      </c>
    </row>
    <row r="214" customFormat="false" ht="15" hidden="false" customHeight="false" outlineLevel="0" collapsed="false">
      <c r="A214" s="1" t="str">
        <f aca="false">OFFSET(Table22,213,14,1,1)&amp;OFFSET(Table22,213,21,1,1)</f>
        <v>43353223691816</v>
      </c>
      <c r="B214" s="1" t="str">
        <f aca="false">OFFSET(Table22,213,14,1,1)&amp;OFFSET(Table22,213,22,1,1)</f>
        <v>43353Facebook»AZR»1x1»SocialBan»NA»ALL»DYN»AUT»D»All»SS»NA»Free Acc Refresh - T5 - EN</v>
      </c>
      <c r="C214" s="1" t="s">
        <v>28</v>
      </c>
      <c r="D214" s="3" t="n">
        <f aca="false">O214+(7-WEEKDAY(O214))</f>
        <v>43358</v>
      </c>
      <c r="E214" s="1" t="str">
        <f aca="false">VLOOKUP(OFFSET(Table22,213,16,1,1),Key!B:D,2,0)</f>
        <v>Canada</v>
      </c>
      <c r="F214" s="1" t="str">
        <f aca="false">IF(ISNUMBER(SEARCH("Canvas",U214)),"Link",IF(ISNUMBER(SEARCH("Link",U214)),"Link","Not filled properly"))</f>
        <v>Link</v>
      </c>
      <c r="G214" s="1" t="str">
        <f aca="false">IFERROR(VLOOKUP(OFFSET(Table22,213,21,1,1),OFFSET(Table2,0,1,ROWS(Table2),8),2,0),VLOOKUP(OFFSET(Table22,213,22,1,1),Table2,3,0))</f>
        <v>CAN_gaPMG_AZR_AZR_Q1_19_Trial-Social</v>
      </c>
      <c r="H214" s="1" t="n">
        <f aca="false">IFERROR(VLOOKUP(OFFSET(Table22,213,21,1,1),OFFSET(Table2,0,1,ROWS(Table2),8),3,0),VLOOKUP(OFFSET(Table22,213,22,1,1),Table2,4,0))</f>
        <v>21337220</v>
      </c>
      <c r="I214" s="2" t="n">
        <f aca="false">IFERROR(VLOOKUP(OFFSET(Table22,213,21,1,1),OFFSET(Table2,0,1,ROWS(Table2),8),4,0),VLOOKUP(OFFSET(Table22,213,22,1,1),Table2,5,0))</f>
        <v>720192</v>
      </c>
      <c r="J214" s="3" t="str">
        <f aca="false">IF(ISNUMBER(SEARCH("FACEBOOK",W214)),"Facebook",IF(ISNUMBER(SEARCH("INSTAGRAM",W214)),"Facebook-Instagram","Look at taxonomy"))</f>
        <v>Facebook</v>
      </c>
      <c r="K214" s="3" t="str">
        <f aca="false">IF(ISNUMBER(SEARCH("Facebook",J214)),"3654128","Not Facebook")</f>
        <v>3654128</v>
      </c>
      <c r="L214" s="3" t="str">
        <f aca="false">IFERROR(VLOOKUP(OFFSET(Table22,213,21,1,1),OFFSET(Table2,0,1,ROWS(Table2),8),7,0),VLOOKUP(OFFSET(Table22,213,22,1,1),Table2,8,0))</f>
        <v>AzurePlatform_FreeAcctAppsFACEBOOK12monthsChE_CAN_1200x628_SOC_PLAT_EN_Trial_Standard_NA_SU_T5_1.png</v>
      </c>
      <c r="M214" s="2" t="n">
        <f aca="false">IFERROR(VLOOKUP(OFFSET(Table22,213,21,1,1),OFFSET(Table2,0,1,ROWS(Table2),8),8,0),VLOOKUP(OFFSET(Table22,213,22,1,1),Table2,9,0))</f>
        <v>102916341</v>
      </c>
      <c r="N214" s="15" t="s">
        <v>29</v>
      </c>
      <c r="O214" s="16" t="n">
        <v>43353</v>
      </c>
      <c r="P214" s="17" t="s">
        <v>64</v>
      </c>
      <c r="Q214" s="18" t="s">
        <v>65</v>
      </c>
      <c r="R214" s="17" t="s">
        <v>66</v>
      </c>
      <c r="S214" s="18" t="s">
        <v>45</v>
      </c>
      <c r="T214" s="17" t="s">
        <v>34</v>
      </c>
      <c r="U214" s="18" t="s">
        <v>39</v>
      </c>
      <c r="V214" s="19" t="n">
        <v>223691816</v>
      </c>
      <c r="W214" s="17" t="s">
        <v>93</v>
      </c>
      <c r="X214" s="17" t="n">
        <v>890</v>
      </c>
      <c r="Y214" s="17" t="n">
        <v>0</v>
      </c>
      <c r="Z214" s="17" t="n">
        <v>13.44</v>
      </c>
      <c r="AA214" s="17" t="s">
        <v>68</v>
      </c>
      <c r="AB214" s="17" t="n">
        <v>0</v>
      </c>
    </row>
    <row r="215" customFormat="false" ht="15" hidden="false" customHeight="false" outlineLevel="0" collapsed="false">
      <c r="A215" s="1" t="str">
        <f aca="false">OFFSET(Table22,214,14,1,1)&amp;OFFSET(Table22,214,21,1,1)</f>
        <v>43353223691786</v>
      </c>
      <c r="B215" s="1" t="str">
        <f aca="false">OFFSET(Table22,214,14,1,1)&amp;OFFSET(Table22,214,22,1,1)</f>
        <v>43353Facebook»AZR»1x1»SocialBan»NA»ALL»DYN»RT»D»All»SS»NA» Free Account Retargeting OSS - T1 - FR</v>
      </c>
      <c r="C215" s="1" t="s">
        <v>28</v>
      </c>
      <c r="D215" s="3" t="n">
        <f aca="false">O215+(7-WEEKDAY(O215))</f>
        <v>43358</v>
      </c>
      <c r="E215" s="1" t="str">
        <f aca="false">VLOOKUP(OFFSET(Table22,214,16,1,1),Key!B:D,2,0)</f>
        <v>Canada</v>
      </c>
      <c r="F215" s="1" t="str">
        <f aca="false">IF(ISNUMBER(SEARCH("Canvas",U215)),"Link",IF(ISNUMBER(SEARCH("Link",U215)),"Link","Not filled properly"))</f>
        <v>Link</v>
      </c>
      <c r="G215" s="1" t="str">
        <f aca="false">IFERROR(VLOOKUP(OFFSET(Table22,214,21,1,1),OFFSET(Table2,0,1,ROWS(Table2),8),2,0),VLOOKUP(OFFSET(Table22,214,22,1,1),Table2,3,0))</f>
        <v>CAN_gaPMG_AZR_AZR_Q1_19_Trial-Social</v>
      </c>
      <c r="H215" s="1" t="n">
        <f aca="false">IFERROR(VLOOKUP(OFFSET(Table22,214,21,1,1),OFFSET(Table2,0,1,ROWS(Table2),8),3,0),VLOOKUP(OFFSET(Table22,214,22,1,1),Table2,4,0))</f>
        <v>21337220</v>
      </c>
      <c r="I215" s="2" t="n">
        <f aca="false">IFERROR(VLOOKUP(OFFSET(Table22,214,21,1,1),OFFSET(Table2,0,1,ROWS(Table2),8),4,0),VLOOKUP(OFFSET(Table22,214,22,1,1),Table2,5,0))</f>
        <v>720192</v>
      </c>
      <c r="J215" s="3" t="str">
        <f aca="false">IF(ISNUMBER(SEARCH("FACEBOOK",W215)),"Facebook",IF(ISNUMBER(SEARCH("INSTAGRAM",W215)),"Facebook-Instagram","Look at taxonomy"))</f>
        <v>Facebook</v>
      </c>
      <c r="K215" s="3" t="str">
        <f aca="false">IF(ISNUMBER(SEARCH("Facebook",J215)),"3654128","Not Facebook")</f>
        <v>3654128</v>
      </c>
      <c r="L215" s="3" t="str">
        <f aca="false">IFERROR(VLOOKUP(OFFSET(Table22,214,21,1,1),OFFSET(Table2,0,1,ROWS(Table2),8),7,0),VLOOKUP(OFFSET(Table22,214,22,1,1),Table2,8,0))</f>
        <v>AzurePlatform_FreeAcctRetargetingOSSFB-Text-ChF_CAN_1200x628_SOC_Plat_FR_Free Account_Standard_NA_SU_T1_1</v>
      </c>
      <c r="M215" s="2" t="n">
        <f aca="false">IFERROR(VLOOKUP(OFFSET(Table22,214,21,1,1),OFFSET(Table2,0,1,ROWS(Table2),8),8,0),VLOOKUP(OFFSET(Table22,214,22,1,1),Table2,9,0))</f>
        <v>103058720</v>
      </c>
      <c r="N215" s="15" t="s">
        <v>29</v>
      </c>
      <c r="O215" s="16" t="n">
        <v>43353</v>
      </c>
      <c r="P215" s="17" t="s">
        <v>64</v>
      </c>
      <c r="Q215" s="18" t="s">
        <v>65</v>
      </c>
      <c r="R215" s="17" t="s">
        <v>66</v>
      </c>
      <c r="S215" s="18" t="s">
        <v>45</v>
      </c>
      <c r="T215" s="17" t="s">
        <v>34</v>
      </c>
      <c r="U215" s="18" t="s">
        <v>39</v>
      </c>
      <c r="V215" s="19" t="n">
        <v>223691786</v>
      </c>
      <c r="W215" s="17" t="s">
        <v>81</v>
      </c>
      <c r="X215" s="17" t="n">
        <v>804</v>
      </c>
      <c r="Y215" s="17" t="n">
        <v>2</v>
      </c>
      <c r="Z215" s="17" t="n">
        <v>16.62</v>
      </c>
      <c r="AA215" s="17" t="s">
        <v>68</v>
      </c>
      <c r="AB215" s="17" t="n">
        <v>0</v>
      </c>
    </row>
    <row r="216" customFormat="false" ht="15" hidden="false" customHeight="false" outlineLevel="0" collapsed="false">
      <c r="A216" s="1" t="str">
        <f aca="false">OFFSET(Table22,215,14,1,1)&amp;OFFSET(Table22,215,21,1,1)</f>
        <v>43353227522771</v>
      </c>
      <c r="B216" s="1" t="str">
        <f aca="false">OFFSET(Table22,215,14,1,1)&amp;OFFSET(Table22,215,22,1,1)</f>
        <v>43353Facebook»AZR»1x1»NA»NA»ALL»DYN»AUT»D»All»SS»NA»Free Account Create to Convert FB - Canvas - Brand - Start Free - FR</v>
      </c>
      <c r="C216" s="1" t="s">
        <v>28</v>
      </c>
      <c r="D216" s="3" t="n">
        <f aca="false">O216+(7-WEEKDAY(O216))</f>
        <v>43358</v>
      </c>
      <c r="E216" s="1" t="str">
        <f aca="false">VLOOKUP(OFFSET(Table22,215,16,1,1),Key!B:D,2,0)</f>
        <v>Canada</v>
      </c>
      <c r="F216" s="1" t="str">
        <f aca="false">IF(ISNUMBER(SEARCH("Canvas",U216)),"Link",IF(ISNUMBER(SEARCH("Link",U216)),"Link","Not filled properly"))</f>
        <v>Link</v>
      </c>
      <c r="G216" s="1" t="str">
        <f aca="false">IFERROR(VLOOKUP(OFFSET(Table22,215,21,1,1),OFFSET(Table2,0,1,ROWS(Table2),8),2,0),VLOOKUP(OFFSET(Table22,215,22,1,1),Table2,3,0))</f>
        <v>CAN_gaPMG_AZR_AZR_Q1_19_Trial-Social</v>
      </c>
      <c r="H216" s="1" t="n">
        <f aca="false">IFERROR(VLOOKUP(OFFSET(Table22,215,21,1,1),OFFSET(Table2,0,1,ROWS(Table2),8),3,0),VLOOKUP(OFFSET(Table22,215,22,1,1),Table2,4,0))</f>
        <v>21337220</v>
      </c>
      <c r="I216" s="2" t="n">
        <f aca="false">IFERROR(VLOOKUP(OFFSET(Table22,215,21,1,1),OFFSET(Table2,0,1,ROWS(Table2),8),4,0),VLOOKUP(OFFSET(Table22,215,22,1,1),Table2,5,0))</f>
        <v>720192</v>
      </c>
      <c r="J216" s="3" t="str">
        <f aca="false">IF(ISNUMBER(SEARCH("FACEBOOK",W216)),"Facebook",IF(ISNUMBER(SEARCH("INSTAGRAM",W216)),"Facebook-Instagram","Look at taxonomy"))</f>
        <v>Facebook</v>
      </c>
      <c r="K216" s="3" t="str">
        <f aca="false">IF(ISNUMBER(SEARCH("Facebook",J216)),"3654128","Not Facebook")</f>
        <v>3654128</v>
      </c>
      <c r="L216" s="3" t="str">
        <f aca="false">IFERROR(VLOOKUP(OFFSET(Table22,215,21,1,1),OFFSET(Table2,0,1,ROWS(Table2),8),7,0),VLOOKUP(OFFSET(Table22,215,22,1,1),Table2,8,0))</f>
        <v>AzurePlatform_FBCTCBrandinMotion_CAN_1080x1080_SOC_12s_ISV_FR_Standard_NA_FTR_T2_1</v>
      </c>
      <c r="M216" s="2" t="n">
        <f aca="false">IFERROR(VLOOKUP(OFFSET(Table22,215,21,1,1),OFFSET(Table2,0,1,ROWS(Table2),8),8,0),VLOOKUP(OFFSET(Table22,215,22,1,1),Table2,9,0))</f>
        <v>105130128</v>
      </c>
      <c r="N216" s="15" t="s">
        <v>29</v>
      </c>
      <c r="O216" s="16" t="n">
        <v>43353</v>
      </c>
      <c r="P216" s="17" t="s">
        <v>64</v>
      </c>
      <c r="Q216" s="18" t="s">
        <v>65</v>
      </c>
      <c r="R216" s="17" t="s">
        <v>66</v>
      </c>
      <c r="S216" s="18" t="s">
        <v>45</v>
      </c>
      <c r="T216" s="17" t="s">
        <v>34</v>
      </c>
      <c r="U216" s="18" t="s">
        <v>39</v>
      </c>
      <c r="V216" s="19" t="n">
        <v>227522771</v>
      </c>
      <c r="W216" s="17" t="s">
        <v>78</v>
      </c>
      <c r="X216" s="17" t="n">
        <v>466</v>
      </c>
      <c r="Y216" s="17" t="n">
        <v>2</v>
      </c>
      <c r="Z216" s="17" t="n">
        <v>5.7</v>
      </c>
      <c r="AA216" s="17" t="s">
        <v>68</v>
      </c>
      <c r="AB216" s="17" t="n">
        <v>0</v>
      </c>
    </row>
    <row r="217" customFormat="false" ht="15" hidden="false" customHeight="false" outlineLevel="0" collapsed="false">
      <c r="A217" s="1" t="str">
        <f aca="false">OFFSET(Table22,216,14,1,1)&amp;OFFSET(Table22,216,21,1,1)</f>
        <v>43353223691810</v>
      </c>
      <c r="B217" s="1" t="str">
        <f aca="false">OFFSET(Table22,216,14,1,1)&amp;OFFSET(Table22,216,22,1,1)</f>
        <v>43353Facebook»AZR»1x1»SocialBan»NA»ALL»DYN»AUT»D»All»SS»NA»Free Acc Refresh - T2 - EN</v>
      </c>
      <c r="C217" s="1" t="s">
        <v>28</v>
      </c>
      <c r="D217" s="3" t="n">
        <f aca="false">O217+(7-WEEKDAY(O217))</f>
        <v>43358</v>
      </c>
      <c r="E217" s="1" t="str">
        <f aca="false">VLOOKUP(OFFSET(Table22,216,16,1,1),Key!B:D,2,0)</f>
        <v>Canada</v>
      </c>
      <c r="F217" s="1" t="str">
        <f aca="false">IF(ISNUMBER(SEARCH("Canvas",U217)),"Link",IF(ISNUMBER(SEARCH("Link",U217)),"Link","Not filled properly"))</f>
        <v>Link</v>
      </c>
      <c r="G217" s="1" t="str">
        <f aca="false">IFERROR(VLOOKUP(OFFSET(Table22,216,21,1,1),OFFSET(Table2,0,1,ROWS(Table2),8),2,0),VLOOKUP(OFFSET(Table22,216,22,1,1),Table2,3,0))</f>
        <v>CAN_gaPMG_AZR_AZR_Q1_19_Trial-Social</v>
      </c>
      <c r="H217" s="1" t="n">
        <f aca="false">IFERROR(VLOOKUP(OFFSET(Table22,216,21,1,1),OFFSET(Table2,0,1,ROWS(Table2),8),3,0),VLOOKUP(OFFSET(Table22,216,22,1,1),Table2,4,0))</f>
        <v>21337220</v>
      </c>
      <c r="I217" s="2" t="n">
        <f aca="false">IFERROR(VLOOKUP(OFFSET(Table22,216,21,1,1),OFFSET(Table2,0,1,ROWS(Table2),8),4,0),VLOOKUP(OFFSET(Table22,216,22,1,1),Table2,5,0))</f>
        <v>720192</v>
      </c>
      <c r="J217" s="3" t="str">
        <f aca="false">IF(ISNUMBER(SEARCH("FACEBOOK",W217)),"Facebook",IF(ISNUMBER(SEARCH("INSTAGRAM",W217)),"Facebook-Instagram","Look at taxonomy"))</f>
        <v>Facebook</v>
      </c>
      <c r="K217" s="3" t="str">
        <f aca="false">IF(ISNUMBER(SEARCH("Facebook",J217)),"3654128","Not Facebook")</f>
        <v>3654128</v>
      </c>
      <c r="L217" s="3" t="str">
        <f aca="false">IFERROR(VLOOKUP(OFFSET(Table22,216,21,1,1),OFFSET(Table2,0,1,ROWS(Table2),8),7,0),VLOOKUP(OFFSET(Table22,216,22,1,1),Table2,8,0))</f>
        <v>AzurePlatform_FreeAcctAppsFACEBOOKDeviceChB_CAN_1200x628_SOC_PLAT_EN_Trial_Standard_NA_SU_T2_1.png</v>
      </c>
      <c r="M217" s="2" t="n">
        <f aca="false">IFERROR(VLOOKUP(OFFSET(Table22,216,21,1,1),OFFSET(Table2,0,1,ROWS(Table2),8),8,0),VLOOKUP(OFFSET(Table22,216,22,1,1),Table2,9,0))</f>
        <v>103058711</v>
      </c>
      <c r="N217" s="15" t="s">
        <v>29</v>
      </c>
      <c r="O217" s="16" t="n">
        <v>43353</v>
      </c>
      <c r="P217" s="17" t="s">
        <v>64</v>
      </c>
      <c r="Q217" s="18" t="s">
        <v>65</v>
      </c>
      <c r="R217" s="17" t="s">
        <v>66</v>
      </c>
      <c r="S217" s="18" t="s">
        <v>45</v>
      </c>
      <c r="T217" s="17" t="s">
        <v>34</v>
      </c>
      <c r="U217" s="18" t="s">
        <v>39</v>
      </c>
      <c r="V217" s="19" t="n">
        <v>223691810</v>
      </c>
      <c r="W217" s="17" t="s">
        <v>94</v>
      </c>
      <c r="X217" s="17" t="n">
        <v>683</v>
      </c>
      <c r="Y217" s="17" t="n">
        <v>0</v>
      </c>
      <c r="Z217" s="17" t="n">
        <v>11.49</v>
      </c>
      <c r="AA217" s="17" t="s">
        <v>68</v>
      </c>
      <c r="AB217" s="17" t="n">
        <v>0</v>
      </c>
    </row>
    <row r="218" customFormat="false" ht="15" hidden="false" customHeight="false" outlineLevel="0" collapsed="false">
      <c r="A218" s="1" t="str">
        <f aca="false">OFFSET(Table22,217,14,1,1)&amp;OFFSET(Table22,217,21,1,1)</f>
        <v>43353223691807</v>
      </c>
      <c r="B218" s="1" t="str">
        <f aca="false">OFFSET(Table22,217,14,1,1)&amp;OFFSET(Table22,217,22,1,1)</f>
        <v>43353Facebook»AZR»1x1»SocialBan»NA»ALL»DYN»AUT»D»All»SS»NA»Free Acc Refresh - T3 - EN</v>
      </c>
      <c r="C218" s="1" t="s">
        <v>28</v>
      </c>
      <c r="D218" s="3" t="n">
        <f aca="false">O218+(7-WEEKDAY(O218))</f>
        <v>43358</v>
      </c>
      <c r="E218" s="1" t="str">
        <f aca="false">VLOOKUP(OFFSET(Table22,217,16,1,1),Key!B:D,2,0)</f>
        <v>Canada</v>
      </c>
      <c r="F218" s="1" t="str">
        <f aca="false">IF(ISNUMBER(SEARCH("Canvas",U218)),"Link",IF(ISNUMBER(SEARCH("Link",U218)),"Link","Not filled properly"))</f>
        <v>Link</v>
      </c>
      <c r="G218" s="1" t="str">
        <f aca="false">IFERROR(VLOOKUP(OFFSET(Table22,217,21,1,1),OFFSET(Table2,0,1,ROWS(Table2),8),2,0),VLOOKUP(OFFSET(Table22,217,22,1,1),Table2,3,0))</f>
        <v>CAN_gaPMG_AZR_AZR_Q1_19_Trial-Social</v>
      </c>
      <c r="H218" s="1" t="n">
        <f aca="false">IFERROR(VLOOKUP(OFFSET(Table22,217,21,1,1),OFFSET(Table2,0,1,ROWS(Table2),8),3,0),VLOOKUP(OFFSET(Table22,217,22,1,1),Table2,4,0))</f>
        <v>21337220</v>
      </c>
      <c r="I218" s="2" t="n">
        <f aca="false">IFERROR(VLOOKUP(OFFSET(Table22,217,21,1,1),OFFSET(Table2,0,1,ROWS(Table2),8),4,0),VLOOKUP(OFFSET(Table22,217,22,1,1),Table2,5,0))</f>
        <v>720192</v>
      </c>
      <c r="J218" s="3" t="str">
        <f aca="false">IF(ISNUMBER(SEARCH("FACEBOOK",W218)),"Facebook",IF(ISNUMBER(SEARCH("INSTAGRAM",W218)),"Facebook-Instagram","Look at taxonomy"))</f>
        <v>Facebook</v>
      </c>
      <c r="K218" s="3" t="str">
        <f aca="false">IF(ISNUMBER(SEARCH("Facebook",J218)),"3654128","Not Facebook")</f>
        <v>3654128</v>
      </c>
      <c r="L218" s="3" t="str">
        <f aca="false">IFERROR(VLOOKUP(OFFSET(Table22,217,21,1,1),OFFSET(Table2,0,1,ROWS(Table2),8),7,0),VLOOKUP(OFFSET(Table22,217,22,1,1),Table2,8,0))</f>
        <v>AzurePlatform_FreeAcctAppsFACEBOOKIllustrationChC_CAN_1200x628_SOC_PLAT_EN_Trial_Standard_NA_SU_T3_1.png</v>
      </c>
      <c r="M218" s="2" t="n">
        <f aca="false">IFERROR(VLOOKUP(OFFSET(Table22,217,21,1,1),OFFSET(Table2,0,1,ROWS(Table2),8),8,0),VLOOKUP(OFFSET(Table22,217,22,1,1),Table2,9,0))</f>
        <v>102900685</v>
      </c>
      <c r="N218" s="15" t="s">
        <v>29</v>
      </c>
      <c r="O218" s="16" t="n">
        <v>43353</v>
      </c>
      <c r="P218" s="17" t="s">
        <v>64</v>
      </c>
      <c r="Q218" s="18" t="s">
        <v>65</v>
      </c>
      <c r="R218" s="17" t="s">
        <v>66</v>
      </c>
      <c r="S218" s="18" t="s">
        <v>45</v>
      </c>
      <c r="T218" s="17" t="s">
        <v>34</v>
      </c>
      <c r="U218" s="18" t="s">
        <v>39</v>
      </c>
      <c r="V218" s="19" t="n">
        <v>223691807</v>
      </c>
      <c r="W218" s="17" t="s">
        <v>95</v>
      </c>
      <c r="X218" s="17" t="n">
        <v>644</v>
      </c>
      <c r="Y218" s="17" t="n">
        <v>0</v>
      </c>
      <c r="Z218" s="17" t="n">
        <v>10.02</v>
      </c>
      <c r="AA218" s="17" t="s">
        <v>68</v>
      </c>
      <c r="AB218" s="17" t="n">
        <v>0</v>
      </c>
    </row>
    <row r="219" customFormat="false" ht="15" hidden="false" customHeight="false" outlineLevel="0" collapsed="false">
      <c r="A219" s="1" t="str">
        <f aca="false">OFFSET(Table22,218,14,1,1)&amp;OFFSET(Table22,218,21,1,1)</f>
        <v>43353223691801</v>
      </c>
      <c r="B219" s="1" t="str">
        <f aca="false">OFFSET(Table22,218,14,1,1)&amp;OFFSET(Table22,218,22,1,1)</f>
        <v>43353Facebook»AZR»1x1»NA»EGV»ALL»DYN»AUT»D»All»SS»NA»Free Acc CTC - T1 - FR</v>
      </c>
      <c r="C219" s="1" t="s">
        <v>28</v>
      </c>
      <c r="D219" s="3" t="n">
        <f aca="false">O219+(7-WEEKDAY(O219))</f>
        <v>43358</v>
      </c>
      <c r="E219" s="1" t="str">
        <f aca="false">VLOOKUP(OFFSET(Table22,218,16,1,1),Key!B:D,2,0)</f>
        <v>Canada</v>
      </c>
      <c r="F219" s="1" t="str">
        <f aca="false">IF(ISNUMBER(SEARCH("Canvas",U219)),"Link",IF(ISNUMBER(SEARCH("Link",U219)),"Link","Not filled properly"))</f>
        <v>Link</v>
      </c>
      <c r="G219" s="1" t="str">
        <f aca="false">IFERROR(VLOOKUP(OFFSET(Table22,218,21,1,1),OFFSET(Table2,0,1,ROWS(Table2),8),2,0),VLOOKUP(OFFSET(Table22,218,22,1,1),Table2,3,0))</f>
        <v>CAN_gaPMG_AZR_AZR_Q1_19_Trial-Social</v>
      </c>
      <c r="H219" s="1" t="n">
        <f aca="false">IFERROR(VLOOKUP(OFFSET(Table22,218,21,1,1),OFFSET(Table2,0,1,ROWS(Table2),8),3,0),VLOOKUP(OFFSET(Table22,218,22,1,1),Table2,4,0))</f>
        <v>21337220</v>
      </c>
      <c r="I219" s="2" t="n">
        <f aca="false">IFERROR(VLOOKUP(OFFSET(Table22,218,21,1,1),OFFSET(Table2,0,1,ROWS(Table2),8),4,0),VLOOKUP(OFFSET(Table22,218,22,1,1),Table2,5,0))</f>
        <v>720192</v>
      </c>
      <c r="J219" s="3" t="str">
        <f aca="false">IF(ISNUMBER(SEARCH("FACEBOOK",W219)),"Facebook",IF(ISNUMBER(SEARCH("INSTAGRAM",W219)),"Facebook-Instagram","Look at taxonomy"))</f>
        <v>Facebook</v>
      </c>
      <c r="K219" s="3" t="str">
        <f aca="false">IF(ISNUMBER(SEARCH("Facebook",J219)),"3654128","Not Facebook")</f>
        <v>3654128</v>
      </c>
      <c r="L219" s="3" t="str">
        <f aca="false">IFERROR(VLOOKUP(OFFSET(Table22,218,21,1,1),OFFSET(Table2,0,1,ROWS(Table2),8),7,0),VLOOKUP(OFFSET(Table22,218,22,1,1),Table2,8,0))</f>
        <v>AzurePlatform_FBCTCBasicMotion_CAN_10s_ISV_PLAT_FR_Trial_Standard_STAN_TN_T1_1</v>
      </c>
      <c r="M219" s="2" t="n">
        <f aca="false">IFERROR(VLOOKUP(OFFSET(Table22,218,21,1,1),OFFSET(Table2,0,1,ROWS(Table2),8),8,0),VLOOKUP(OFFSET(Table22,218,22,1,1),Table2,9,0))</f>
        <v>103053323</v>
      </c>
      <c r="N219" s="15" t="s">
        <v>29</v>
      </c>
      <c r="O219" s="16" t="n">
        <v>43353</v>
      </c>
      <c r="P219" s="17" t="s">
        <v>64</v>
      </c>
      <c r="Q219" s="18" t="s">
        <v>65</v>
      </c>
      <c r="R219" s="17" t="s">
        <v>66</v>
      </c>
      <c r="S219" s="18" t="s">
        <v>45</v>
      </c>
      <c r="T219" s="17" t="s">
        <v>34</v>
      </c>
      <c r="U219" s="18" t="s">
        <v>39</v>
      </c>
      <c r="V219" s="19" t="n">
        <v>223691801</v>
      </c>
      <c r="W219" s="17" t="s">
        <v>79</v>
      </c>
      <c r="X219" s="17" t="n">
        <v>218</v>
      </c>
      <c r="Y219" s="17" t="n">
        <v>1</v>
      </c>
      <c r="Z219" s="17" t="n">
        <v>4.92</v>
      </c>
      <c r="AA219" s="17" t="s">
        <v>68</v>
      </c>
      <c r="AB219" s="17" t="n">
        <v>0</v>
      </c>
    </row>
    <row r="220" customFormat="false" ht="15" hidden="false" customHeight="false" outlineLevel="0" collapsed="false">
      <c r="A220" s="1" t="str">
        <f aca="false">OFFSET(Table22,219,14,1,1)&amp;OFFSET(Table22,219,21,1,1)</f>
        <v>43353223691834</v>
      </c>
      <c r="B220" s="1" t="str">
        <f aca="false">OFFSET(Table22,219,14,1,1)&amp;OFFSET(Table22,219,22,1,1)</f>
        <v>43353Facebook»AZR»1x1»SocialBan»NA»ALL»DYN»RT»D»All»SS»NA»Free Account Retargeting Generic - T2 - EN</v>
      </c>
      <c r="C220" s="1" t="s">
        <v>28</v>
      </c>
      <c r="D220" s="3" t="n">
        <f aca="false">O220+(7-WEEKDAY(O220))</f>
        <v>43358</v>
      </c>
      <c r="E220" s="1" t="str">
        <f aca="false">VLOOKUP(OFFSET(Table22,219,16,1,1),Key!B:D,2,0)</f>
        <v>Canada</v>
      </c>
      <c r="F220" s="1" t="str">
        <f aca="false">IF(ISNUMBER(SEARCH("Canvas",U220)),"Link",IF(ISNUMBER(SEARCH("Link",U220)),"Link","Not filled properly"))</f>
        <v>Link</v>
      </c>
      <c r="G220" s="1" t="str">
        <f aca="false">IFERROR(VLOOKUP(OFFSET(Table22,219,21,1,1),OFFSET(Table2,0,1,ROWS(Table2),8),2,0),VLOOKUP(OFFSET(Table22,219,22,1,1),Table2,3,0))</f>
        <v>CAN_gaPMG_AZR_AZR_Q1_19_Trial-Social</v>
      </c>
      <c r="H220" s="1" t="n">
        <f aca="false">IFERROR(VLOOKUP(OFFSET(Table22,219,21,1,1),OFFSET(Table2,0,1,ROWS(Table2),8),3,0),VLOOKUP(OFFSET(Table22,219,22,1,1),Table2,4,0))</f>
        <v>21337220</v>
      </c>
      <c r="I220" s="2" t="n">
        <f aca="false">IFERROR(VLOOKUP(OFFSET(Table22,219,21,1,1),OFFSET(Table2,0,1,ROWS(Table2),8),4,0),VLOOKUP(OFFSET(Table22,219,22,1,1),Table2,5,0))</f>
        <v>720192</v>
      </c>
      <c r="J220" s="3" t="str">
        <f aca="false">IF(ISNUMBER(SEARCH("FACEBOOK",W220)),"Facebook",IF(ISNUMBER(SEARCH("INSTAGRAM",W220)),"Facebook-Instagram","Look at taxonomy"))</f>
        <v>Facebook</v>
      </c>
      <c r="K220" s="3" t="str">
        <f aca="false">IF(ISNUMBER(SEARCH("Facebook",J220)),"3654128","Not Facebook")</f>
        <v>3654128</v>
      </c>
      <c r="L220" s="3" t="str">
        <f aca="false">IFERROR(VLOOKUP(OFFSET(Table22,219,21,1,1),OFFSET(Table2,0,1,ROWS(Table2),8),7,0),VLOOKUP(OFFSET(Table22,219,22,1,1),Table2,8,0))</f>
        <v>AzurePlatform_FreeAcctRetargetingFB-GlobalAlt-ChB_CAN_1200x628_SOC_Plat_EN_Free Account_Standard_NA_SU_T2_1</v>
      </c>
      <c r="M220" s="2" t="n">
        <f aca="false">IFERROR(VLOOKUP(OFFSET(Table22,219,21,1,1),OFFSET(Table2,0,1,ROWS(Table2),8),8,0),VLOOKUP(OFFSET(Table22,219,22,1,1),Table2,9,0))</f>
        <v>102902953</v>
      </c>
      <c r="N220" s="15" t="s">
        <v>29</v>
      </c>
      <c r="O220" s="16" t="n">
        <v>43353</v>
      </c>
      <c r="P220" s="17" t="s">
        <v>64</v>
      </c>
      <c r="Q220" s="18" t="s">
        <v>65</v>
      </c>
      <c r="R220" s="17" t="s">
        <v>66</v>
      </c>
      <c r="S220" s="18" t="s">
        <v>45</v>
      </c>
      <c r="T220" s="17" t="s">
        <v>34</v>
      </c>
      <c r="U220" s="18" t="s">
        <v>39</v>
      </c>
      <c r="V220" s="19" t="n">
        <v>223691834</v>
      </c>
      <c r="W220" s="17" t="s">
        <v>88</v>
      </c>
      <c r="X220" s="17" t="n">
        <v>631</v>
      </c>
      <c r="Y220" s="17" t="n">
        <v>1</v>
      </c>
      <c r="Z220" s="17" t="n">
        <v>17.48</v>
      </c>
      <c r="AA220" s="17" t="s">
        <v>68</v>
      </c>
      <c r="AB220" s="17" t="n">
        <v>0</v>
      </c>
    </row>
    <row r="221" customFormat="false" ht="15" hidden="false" customHeight="false" outlineLevel="0" collapsed="false">
      <c r="A221" s="1" t="str">
        <f aca="false">OFFSET(Table22,220,14,1,1)&amp;OFFSET(Table22,220,21,1,1)</f>
        <v>43353223691804</v>
      </c>
      <c r="B221" s="1" t="str">
        <f aca="false">OFFSET(Table22,220,14,1,1)&amp;OFFSET(Table22,220,22,1,1)</f>
        <v>43353Facebook»AZR»1x1»SocialBan»NA»ALL»DYN»AUT»D»All»SS»NA»Free Acc Refresh - T1 - EN</v>
      </c>
      <c r="C221" s="1" t="s">
        <v>28</v>
      </c>
      <c r="D221" s="3" t="n">
        <f aca="false">O221+(7-WEEKDAY(O221))</f>
        <v>43358</v>
      </c>
      <c r="E221" s="1" t="str">
        <f aca="false">VLOOKUP(OFFSET(Table22,220,16,1,1),Key!B:D,2,0)</f>
        <v>Canada</v>
      </c>
      <c r="F221" s="1" t="str">
        <f aca="false">IF(ISNUMBER(SEARCH("Canvas",U221)),"Link",IF(ISNUMBER(SEARCH("Link",U221)),"Link","Not filled properly"))</f>
        <v>Link</v>
      </c>
      <c r="G221" s="1" t="str">
        <f aca="false">IFERROR(VLOOKUP(OFFSET(Table22,220,21,1,1),OFFSET(Table2,0,1,ROWS(Table2),8),2,0),VLOOKUP(OFFSET(Table22,220,22,1,1),Table2,3,0))</f>
        <v>CAN_gaPMG_AZR_AZR_Q1_19_Trial-Social</v>
      </c>
      <c r="H221" s="1" t="n">
        <f aca="false">IFERROR(VLOOKUP(OFFSET(Table22,220,21,1,1),OFFSET(Table2,0,1,ROWS(Table2),8),3,0),VLOOKUP(OFFSET(Table22,220,22,1,1),Table2,4,0))</f>
        <v>21337220</v>
      </c>
      <c r="I221" s="2" t="n">
        <f aca="false">IFERROR(VLOOKUP(OFFSET(Table22,220,21,1,1),OFFSET(Table2,0,1,ROWS(Table2),8),4,0),VLOOKUP(OFFSET(Table22,220,22,1,1),Table2,5,0))</f>
        <v>720192</v>
      </c>
      <c r="J221" s="3" t="str">
        <f aca="false">IF(ISNUMBER(SEARCH("FACEBOOK",W221)),"Facebook",IF(ISNUMBER(SEARCH("INSTAGRAM",W221)),"Facebook-Instagram","Look at taxonomy"))</f>
        <v>Facebook</v>
      </c>
      <c r="K221" s="3" t="str">
        <f aca="false">IF(ISNUMBER(SEARCH("Facebook",J221)),"3654128","Not Facebook")</f>
        <v>3654128</v>
      </c>
      <c r="L221" s="3" t="str">
        <f aca="false">IFERROR(VLOOKUP(OFFSET(Table22,220,21,1,1),OFFSET(Table2,0,1,ROWS(Table2),8),7,0),VLOOKUP(OFFSET(Table22,220,22,1,1),Table2,8,0))</f>
        <v>AzurePlatform_FreeAcctAppsFACEBOOKLifestyleChA_CAN_1200x628_SOC_PLAT_EN_Trial_Standard_NA_SU_T1_1.png</v>
      </c>
      <c r="M221" s="2" t="n">
        <f aca="false">IFERROR(VLOOKUP(OFFSET(Table22,220,21,1,1),OFFSET(Table2,0,1,ROWS(Table2),8),8,0),VLOOKUP(OFFSET(Table22,220,22,1,1),Table2,9,0))</f>
        <v>103058717</v>
      </c>
      <c r="N221" s="15" t="s">
        <v>29</v>
      </c>
      <c r="O221" s="16" t="n">
        <v>43353</v>
      </c>
      <c r="P221" s="17" t="s">
        <v>64</v>
      </c>
      <c r="Q221" s="18" t="s">
        <v>65</v>
      </c>
      <c r="R221" s="17" t="s">
        <v>66</v>
      </c>
      <c r="S221" s="18" t="s">
        <v>45</v>
      </c>
      <c r="T221" s="17" t="s">
        <v>34</v>
      </c>
      <c r="U221" s="18" t="s">
        <v>39</v>
      </c>
      <c r="V221" s="19" t="n">
        <v>223691804</v>
      </c>
      <c r="W221" s="17" t="s">
        <v>96</v>
      </c>
      <c r="X221" s="17" t="n">
        <v>709</v>
      </c>
      <c r="Y221" s="17" t="n">
        <v>2</v>
      </c>
      <c r="Z221" s="17" t="n">
        <v>10.52</v>
      </c>
      <c r="AA221" s="17" t="s">
        <v>68</v>
      </c>
      <c r="AB221" s="17" t="n">
        <v>0</v>
      </c>
    </row>
    <row r="222" customFormat="false" ht="15" hidden="false" customHeight="false" outlineLevel="0" collapsed="false">
      <c r="A222" s="1" t="str">
        <f aca="false">OFFSET(Table22,221,14,1,1)&amp;OFFSET(Table22,221,21,1,1)</f>
        <v>43353223691798</v>
      </c>
      <c r="B222" s="1" t="str">
        <f aca="false">OFFSET(Table22,221,14,1,1)&amp;OFFSET(Table22,221,22,1,1)</f>
        <v>43353Facebook»AZR»1x1»NA»EGV»ALL»DYN»AUT»D»All»SS»NA»Free Acc CTC - T2 - FR</v>
      </c>
      <c r="C222" s="1" t="s">
        <v>28</v>
      </c>
      <c r="D222" s="3" t="n">
        <f aca="false">O222+(7-WEEKDAY(O222))</f>
        <v>43358</v>
      </c>
      <c r="E222" s="1" t="str">
        <f aca="false">VLOOKUP(OFFSET(Table22,221,16,1,1),Key!B:D,2,0)</f>
        <v>Canada</v>
      </c>
      <c r="F222" s="1" t="str">
        <f aca="false">IF(ISNUMBER(SEARCH("Canvas",U222)),"Link",IF(ISNUMBER(SEARCH("Link",U222)),"Link","Not filled properly"))</f>
        <v>Link</v>
      </c>
      <c r="G222" s="1" t="str">
        <f aca="false">IFERROR(VLOOKUP(OFFSET(Table22,221,21,1,1),OFFSET(Table2,0,1,ROWS(Table2),8),2,0),VLOOKUP(OFFSET(Table22,221,22,1,1),Table2,3,0))</f>
        <v>CAN_gaPMG_AZR_AZR_Q1_19_Trial-Social</v>
      </c>
      <c r="H222" s="1" t="n">
        <f aca="false">IFERROR(VLOOKUP(OFFSET(Table22,221,21,1,1),OFFSET(Table2,0,1,ROWS(Table2),8),3,0),VLOOKUP(OFFSET(Table22,221,22,1,1),Table2,4,0))</f>
        <v>21337220</v>
      </c>
      <c r="I222" s="2" t="n">
        <f aca="false">IFERROR(VLOOKUP(OFFSET(Table22,221,21,1,1),OFFSET(Table2,0,1,ROWS(Table2),8),4,0),VLOOKUP(OFFSET(Table22,221,22,1,1),Table2,5,0))</f>
        <v>720192</v>
      </c>
      <c r="J222" s="3" t="str">
        <f aca="false">IF(ISNUMBER(SEARCH("FACEBOOK",W222)),"Facebook",IF(ISNUMBER(SEARCH("INSTAGRAM",W222)),"Facebook-Instagram","Look at taxonomy"))</f>
        <v>Facebook</v>
      </c>
      <c r="K222" s="3" t="str">
        <f aca="false">IF(ISNUMBER(SEARCH("Facebook",J222)),"3654128","Not Facebook")</f>
        <v>3654128</v>
      </c>
      <c r="L222" s="3" t="str">
        <f aca="false">IFERROR(VLOOKUP(OFFSET(Table22,221,21,1,1),OFFSET(Table2,0,1,ROWS(Table2),8),7,0),VLOOKUP(OFFSET(Table22,221,22,1,1),Table2,8,0))</f>
        <v>AzurePlatform_FBCTCBrandinMotion_CAN_12s_ISV_PLAT_FR_Trial_Standard_STAN_TN_T2_1</v>
      </c>
      <c r="M222" s="2" t="n">
        <f aca="false">IFERROR(VLOOKUP(OFFSET(Table22,221,21,1,1),OFFSET(Table2,0,1,ROWS(Table2),8),8,0),VLOOKUP(OFFSET(Table22,221,22,1,1),Table2,9,0))</f>
        <v>102916347</v>
      </c>
      <c r="N222" s="15" t="s">
        <v>29</v>
      </c>
      <c r="O222" s="16" t="n">
        <v>43353</v>
      </c>
      <c r="P222" s="17" t="s">
        <v>64</v>
      </c>
      <c r="Q222" s="18" t="s">
        <v>65</v>
      </c>
      <c r="R222" s="17" t="s">
        <v>66</v>
      </c>
      <c r="S222" s="18" t="s">
        <v>45</v>
      </c>
      <c r="T222" s="17" t="s">
        <v>34</v>
      </c>
      <c r="U222" s="18" t="s">
        <v>39</v>
      </c>
      <c r="V222" s="19" t="n">
        <v>223691798</v>
      </c>
      <c r="W222" s="17" t="s">
        <v>69</v>
      </c>
      <c r="X222" s="17" t="n">
        <v>1029</v>
      </c>
      <c r="Y222" s="17" t="n">
        <v>2</v>
      </c>
      <c r="Z222" s="17" t="n">
        <v>19.16</v>
      </c>
      <c r="AA222" s="17" t="s">
        <v>68</v>
      </c>
      <c r="AB222" s="17" t="n">
        <v>0</v>
      </c>
    </row>
    <row r="223" customFormat="false" ht="15" hidden="false" customHeight="false" outlineLevel="0" collapsed="false">
      <c r="A223" s="1" t="str">
        <f aca="false">OFFSET(Table22,222,14,1,1)&amp;OFFSET(Table22,222,21,1,1)</f>
        <v>43353223691774</v>
      </c>
      <c r="B223" s="1" t="str">
        <f aca="false">OFFSET(Table22,222,14,1,1)&amp;OFFSET(Table22,222,22,1,1)</f>
        <v>43353Facebook»AZR»1x1»SocialBan»NA»ALL»DYN»AUT»D»All»SS»NA»Free Acc Refresh - T5 - FR</v>
      </c>
      <c r="C223" s="1" t="s">
        <v>28</v>
      </c>
      <c r="D223" s="3" t="n">
        <f aca="false">O223+(7-WEEKDAY(O223))</f>
        <v>43358</v>
      </c>
      <c r="E223" s="1" t="str">
        <f aca="false">VLOOKUP(OFFSET(Table22,222,16,1,1),Key!B:D,2,0)</f>
        <v>Canada</v>
      </c>
      <c r="F223" s="1" t="str">
        <f aca="false">IF(ISNUMBER(SEARCH("Canvas",U223)),"Link",IF(ISNUMBER(SEARCH("Link",U223)),"Link","Not filled properly"))</f>
        <v>Link</v>
      </c>
      <c r="G223" s="1" t="str">
        <f aca="false">IFERROR(VLOOKUP(OFFSET(Table22,222,21,1,1),OFFSET(Table2,0,1,ROWS(Table2),8),2,0),VLOOKUP(OFFSET(Table22,222,22,1,1),Table2,3,0))</f>
        <v>CAN_gaPMG_AZR_AZR_Q1_19_Trial-Social</v>
      </c>
      <c r="H223" s="1" t="n">
        <f aca="false">IFERROR(VLOOKUP(OFFSET(Table22,222,21,1,1),OFFSET(Table2,0,1,ROWS(Table2),8),3,0),VLOOKUP(OFFSET(Table22,222,22,1,1),Table2,4,0))</f>
        <v>21337220</v>
      </c>
      <c r="I223" s="2" t="n">
        <f aca="false">IFERROR(VLOOKUP(OFFSET(Table22,222,21,1,1),OFFSET(Table2,0,1,ROWS(Table2),8),4,0),VLOOKUP(OFFSET(Table22,222,22,1,1),Table2,5,0))</f>
        <v>720192</v>
      </c>
      <c r="J223" s="3" t="str">
        <f aca="false">IF(ISNUMBER(SEARCH("FACEBOOK",W223)),"Facebook",IF(ISNUMBER(SEARCH("INSTAGRAM",W223)),"Facebook-Instagram","Look at taxonomy"))</f>
        <v>Facebook</v>
      </c>
      <c r="K223" s="3" t="str">
        <f aca="false">IF(ISNUMBER(SEARCH("Facebook",J223)),"3654128","Not Facebook")</f>
        <v>3654128</v>
      </c>
      <c r="L223" s="3" t="str">
        <f aca="false">IFERROR(VLOOKUP(OFFSET(Table22,222,21,1,1),OFFSET(Table2,0,1,ROWS(Table2),8),7,0),VLOOKUP(OFFSET(Table22,222,22,1,1),Table2,8,0))</f>
        <v>AzurePlatform_FreeAcctAppsFACEBOOK12monthsChE_CAN_1200x628_SOC_PLAT_FR_Trial_Standard_NA_SU_T5_1.png</v>
      </c>
      <c r="M223" s="2" t="n">
        <f aca="false">IFERROR(VLOOKUP(OFFSET(Table22,222,21,1,1),OFFSET(Table2,0,1,ROWS(Table2),8),8,0),VLOOKUP(OFFSET(Table22,222,22,1,1),Table2,9,0))</f>
        <v>102916356</v>
      </c>
      <c r="N223" s="15" t="s">
        <v>29</v>
      </c>
      <c r="O223" s="16" t="n">
        <v>43353</v>
      </c>
      <c r="P223" s="17" t="s">
        <v>64</v>
      </c>
      <c r="Q223" s="18" t="s">
        <v>65</v>
      </c>
      <c r="R223" s="17" t="s">
        <v>66</v>
      </c>
      <c r="S223" s="18" t="s">
        <v>45</v>
      </c>
      <c r="T223" s="17" t="s">
        <v>34</v>
      </c>
      <c r="U223" s="18" t="s">
        <v>39</v>
      </c>
      <c r="V223" s="19" t="n">
        <v>223691774</v>
      </c>
      <c r="W223" s="17" t="s">
        <v>97</v>
      </c>
      <c r="X223" s="17" t="n">
        <v>651</v>
      </c>
      <c r="Y223" s="17" t="n">
        <v>3</v>
      </c>
      <c r="Z223" s="17" t="n">
        <v>11.4</v>
      </c>
      <c r="AA223" s="17" t="s">
        <v>68</v>
      </c>
      <c r="AB223" s="17" t="n">
        <v>0</v>
      </c>
    </row>
    <row r="224" customFormat="false" ht="15" hidden="false" customHeight="false" outlineLevel="0" collapsed="false">
      <c r="A224" s="1" t="str">
        <f aca="false">OFFSET(Table22,223,14,1,1)&amp;OFFSET(Table22,223,21,1,1)</f>
        <v>43353223691819</v>
      </c>
      <c r="B224" s="1" t="str">
        <f aca="false">OFFSET(Table22,223,14,1,1)&amp;OFFSET(Table22,223,22,1,1)</f>
        <v>43353Facebook»AZR»1x1»SocialBan»NA»ALL»DYN»RT»D»All»SS»NA»Free Account Retargeting Generic - T3 - EN</v>
      </c>
      <c r="C224" s="1" t="s">
        <v>28</v>
      </c>
      <c r="D224" s="3" t="n">
        <f aca="false">O224+(7-WEEKDAY(O224))</f>
        <v>43358</v>
      </c>
      <c r="E224" s="1" t="str">
        <f aca="false">VLOOKUP(OFFSET(Table22,223,16,1,1),Key!B:D,2,0)</f>
        <v>Canada</v>
      </c>
      <c r="F224" s="1" t="str">
        <f aca="false">IF(ISNUMBER(SEARCH("Canvas",U224)),"Link",IF(ISNUMBER(SEARCH("Link",U224)),"Link","Not filled properly"))</f>
        <v>Link</v>
      </c>
      <c r="G224" s="1" t="str">
        <f aca="false">IFERROR(VLOOKUP(OFFSET(Table22,223,21,1,1),OFFSET(Table2,0,1,ROWS(Table2),8),2,0),VLOOKUP(OFFSET(Table22,223,22,1,1),Table2,3,0))</f>
        <v>CAN_gaPMG_AZR_AZR_Q1_19_Trial-Social</v>
      </c>
      <c r="H224" s="1" t="n">
        <f aca="false">IFERROR(VLOOKUP(OFFSET(Table22,223,21,1,1),OFFSET(Table2,0,1,ROWS(Table2),8),3,0),VLOOKUP(OFFSET(Table22,223,22,1,1),Table2,4,0))</f>
        <v>21337220</v>
      </c>
      <c r="I224" s="2" t="n">
        <f aca="false">IFERROR(VLOOKUP(OFFSET(Table22,223,21,1,1),OFFSET(Table2,0,1,ROWS(Table2),8),4,0),VLOOKUP(OFFSET(Table22,223,22,1,1),Table2,5,0))</f>
        <v>720192</v>
      </c>
      <c r="J224" s="3" t="str">
        <f aca="false">IF(ISNUMBER(SEARCH("FACEBOOK",W224)),"Facebook",IF(ISNUMBER(SEARCH("INSTAGRAM",W224)),"Facebook-Instagram","Look at taxonomy"))</f>
        <v>Facebook</v>
      </c>
      <c r="K224" s="3" t="str">
        <f aca="false">IF(ISNUMBER(SEARCH("Facebook",J224)),"3654128","Not Facebook")</f>
        <v>3654128</v>
      </c>
      <c r="L224" s="3" t="str">
        <f aca="false">IFERROR(VLOOKUP(OFFSET(Table22,223,21,1,1),OFFSET(Table2,0,1,ROWS(Table2),8),7,0),VLOOKUP(OFFSET(Table22,223,22,1,1),Table2,8,0))</f>
        <v>AzurePlatform_FreeAcctRetargetingFB-Animated-ChC_CAN_1200x628_SOC_Plat_EN_Free Account_Standard_ANI_SU_T3_1</v>
      </c>
      <c r="M224" s="2" t="n">
        <f aca="false">IFERROR(VLOOKUP(OFFSET(Table22,223,21,1,1),OFFSET(Table2,0,1,ROWS(Table2),8),8,0),VLOOKUP(OFFSET(Table22,223,22,1,1),Table2,9,0))</f>
        <v>102900682</v>
      </c>
      <c r="N224" s="15" t="s">
        <v>29</v>
      </c>
      <c r="O224" s="16" t="n">
        <v>43353</v>
      </c>
      <c r="P224" s="17" t="s">
        <v>64</v>
      </c>
      <c r="Q224" s="18" t="s">
        <v>65</v>
      </c>
      <c r="R224" s="17" t="s">
        <v>66</v>
      </c>
      <c r="S224" s="18" t="s">
        <v>45</v>
      </c>
      <c r="T224" s="17" t="s">
        <v>34</v>
      </c>
      <c r="U224" s="18" t="s">
        <v>39</v>
      </c>
      <c r="V224" s="19" t="n">
        <v>223691819</v>
      </c>
      <c r="W224" s="17" t="s">
        <v>90</v>
      </c>
      <c r="X224" s="17" t="n">
        <v>364</v>
      </c>
      <c r="Y224" s="17" t="n">
        <v>1</v>
      </c>
      <c r="Z224" s="17" t="n">
        <v>16.56</v>
      </c>
      <c r="AA224" s="17" t="s">
        <v>68</v>
      </c>
      <c r="AB224" s="17" t="n">
        <v>0</v>
      </c>
    </row>
    <row r="225" customFormat="false" ht="15" hidden="false" customHeight="false" outlineLevel="0" collapsed="false">
      <c r="A225" s="1" t="str">
        <f aca="false">OFFSET(Table22,224,14,1,1)&amp;OFFSET(Table22,224,21,1,1)</f>
        <v>43353223691828</v>
      </c>
      <c r="B225" s="1" t="str">
        <f aca="false">OFFSET(Table22,224,14,1,1)&amp;OFFSET(Table22,224,22,1,1)</f>
        <v>43353Facebook»AZR»1x1»SocialBan»NA»ALL»DYN»RT»D»All»SS»NA» Free Account Retargeting OSS - T1 - EN</v>
      </c>
      <c r="C225" s="1" t="s">
        <v>28</v>
      </c>
      <c r="D225" s="3" t="n">
        <f aca="false">O225+(7-WEEKDAY(O225))</f>
        <v>43358</v>
      </c>
      <c r="E225" s="1" t="str">
        <f aca="false">VLOOKUP(OFFSET(Table22,224,16,1,1),Key!B:D,2,0)</f>
        <v>Canada</v>
      </c>
      <c r="F225" s="1" t="str">
        <f aca="false">IF(ISNUMBER(SEARCH("Canvas",U225)),"Link",IF(ISNUMBER(SEARCH("Link",U225)),"Link","Not filled properly"))</f>
        <v>Link</v>
      </c>
      <c r="G225" s="1" t="str">
        <f aca="false">IFERROR(VLOOKUP(OFFSET(Table22,224,21,1,1),OFFSET(Table2,0,1,ROWS(Table2),8),2,0),VLOOKUP(OFFSET(Table22,224,22,1,1),Table2,3,0))</f>
        <v>CAN_gaPMG_AZR_AZR_Q1_19_Trial-Social</v>
      </c>
      <c r="H225" s="1" t="n">
        <f aca="false">IFERROR(VLOOKUP(OFFSET(Table22,224,21,1,1),OFFSET(Table2,0,1,ROWS(Table2),8),3,0),VLOOKUP(OFFSET(Table22,224,22,1,1),Table2,4,0))</f>
        <v>21337220</v>
      </c>
      <c r="I225" s="2" t="n">
        <f aca="false">IFERROR(VLOOKUP(OFFSET(Table22,224,21,1,1),OFFSET(Table2,0,1,ROWS(Table2),8),4,0),VLOOKUP(OFFSET(Table22,224,22,1,1),Table2,5,0))</f>
        <v>720192</v>
      </c>
      <c r="J225" s="3" t="str">
        <f aca="false">IF(ISNUMBER(SEARCH("FACEBOOK",W225)),"Facebook",IF(ISNUMBER(SEARCH("INSTAGRAM",W225)),"Facebook-Instagram","Look at taxonomy"))</f>
        <v>Facebook</v>
      </c>
      <c r="K225" s="3" t="str">
        <f aca="false">IF(ISNUMBER(SEARCH("Facebook",J225)),"3654128","Not Facebook")</f>
        <v>3654128</v>
      </c>
      <c r="L225" s="3" t="str">
        <f aca="false">IFERROR(VLOOKUP(OFFSET(Table22,224,21,1,1),OFFSET(Table2,0,1,ROWS(Table2),8),7,0),VLOOKUP(OFFSET(Table22,224,22,1,1),Table2,8,0))</f>
        <v>AzurePlatform_FreeAcctRetargetingOSSFB-Text-ChF_CAN_1200x628_SOC_Plat_EN_Free Account_Standard_NA_SU_T1_1</v>
      </c>
      <c r="M225" s="2" t="n">
        <f aca="false">IFERROR(VLOOKUP(OFFSET(Table22,224,21,1,1),OFFSET(Table2,0,1,ROWS(Table2),8),8,0),VLOOKUP(OFFSET(Table22,224,22,1,1),Table2,9,0))</f>
        <v>102902956</v>
      </c>
      <c r="N225" s="15" t="s">
        <v>29</v>
      </c>
      <c r="O225" s="16" t="n">
        <v>43353</v>
      </c>
      <c r="P225" s="17" t="s">
        <v>64</v>
      </c>
      <c r="Q225" s="18" t="s">
        <v>65</v>
      </c>
      <c r="R225" s="17" t="s">
        <v>66</v>
      </c>
      <c r="S225" s="18" t="s">
        <v>45</v>
      </c>
      <c r="T225" s="17" t="s">
        <v>34</v>
      </c>
      <c r="U225" s="18" t="s">
        <v>39</v>
      </c>
      <c r="V225" s="19" t="n">
        <v>223691828</v>
      </c>
      <c r="W225" s="17" t="s">
        <v>91</v>
      </c>
      <c r="X225" s="17" t="n">
        <v>623</v>
      </c>
      <c r="Y225" s="17" t="n">
        <v>1</v>
      </c>
      <c r="Z225" s="17" t="n">
        <v>10.89</v>
      </c>
      <c r="AA225" s="17" t="s">
        <v>68</v>
      </c>
      <c r="AB225" s="17" t="n">
        <v>0</v>
      </c>
    </row>
    <row r="226" customFormat="false" ht="15" hidden="false" customHeight="false" outlineLevel="0" collapsed="false">
      <c r="A226" s="1" t="str">
        <f aca="false">OFFSET(Table22,225,14,1,1)&amp;OFFSET(Table22,225,21,1,1)</f>
        <v>43353223691813</v>
      </c>
      <c r="B226" s="1" t="str">
        <f aca="false">OFFSET(Table22,225,14,1,1)&amp;OFFSET(Table22,225,22,1,1)</f>
        <v>43353Facebook»AZR»1x1»SocialBan»NA»ALL»DYN»AUT»D»All»SS»NA»Free Acc Refresh - T4 - EN</v>
      </c>
      <c r="C226" s="1" t="s">
        <v>28</v>
      </c>
      <c r="D226" s="3" t="n">
        <f aca="false">O226+(7-WEEKDAY(O226))</f>
        <v>43358</v>
      </c>
      <c r="E226" s="1" t="str">
        <f aca="false">VLOOKUP(OFFSET(Table22,225,16,1,1),Key!B:D,2,0)</f>
        <v>Canada</v>
      </c>
      <c r="F226" s="1" t="str">
        <f aca="false">IF(ISNUMBER(SEARCH("Canvas",U226)),"Link",IF(ISNUMBER(SEARCH("Link",U226)),"Link","Not filled properly"))</f>
        <v>Link</v>
      </c>
      <c r="G226" s="1" t="str">
        <f aca="false">IFERROR(VLOOKUP(OFFSET(Table22,225,21,1,1),OFFSET(Table2,0,1,ROWS(Table2),8),2,0),VLOOKUP(OFFSET(Table22,225,22,1,1),Table2,3,0))</f>
        <v>CAN_gaPMG_AZR_AZR_Q1_19_Trial-Social</v>
      </c>
      <c r="H226" s="1" t="n">
        <f aca="false">IFERROR(VLOOKUP(OFFSET(Table22,225,21,1,1),OFFSET(Table2,0,1,ROWS(Table2),8),3,0),VLOOKUP(OFFSET(Table22,225,22,1,1),Table2,4,0))</f>
        <v>21337220</v>
      </c>
      <c r="I226" s="2" t="n">
        <f aca="false">IFERROR(VLOOKUP(OFFSET(Table22,225,21,1,1),OFFSET(Table2,0,1,ROWS(Table2),8),4,0),VLOOKUP(OFFSET(Table22,225,22,1,1),Table2,5,0))</f>
        <v>720192</v>
      </c>
      <c r="J226" s="3" t="str">
        <f aca="false">IF(ISNUMBER(SEARCH("FACEBOOK",W226)),"Facebook",IF(ISNUMBER(SEARCH("INSTAGRAM",W226)),"Facebook-Instagram","Look at taxonomy"))</f>
        <v>Facebook</v>
      </c>
      <c r="K226" s="3" t="str">
        <f aca="false">IF(ISNUMBER(SEARCH("Facebook",J226)),"3654128","Not Facebook")</f>
        <v>3654128</v>
      </c>
      <c r="L226" s="3" t="str">
        <f aca="false">IFERROR(VLOOKUP(OFFSET(Table22,225,21,1,1),OFFSET(Table2,0,1,ROWS(Table2),8),7,0),VLOOKUP(OFFSET(Table22,225,22,1,1),Table2,8,0))</f>
        <v>AzurePlatform_FreeAcctAppsFACEBOOK200CreditChD_CAN_1200x628_SOC_PLAT_EN_Trial_Standard_NA_SU_T4_1.png</v>
      </c>
      <c r="M226" s="2" t="n">
        <f aca="false">IFERROR(VLOOKUP(OFFSET(Table22,225,21,1,1),OFFSET(Table2,0,1,ROWS(Table2),8),8,0),VLOOKUP(OFFSET(Table22,225,22,1,1),Table2,9,0))</f>
        <v>103053320</v>
      </c>
      <c r="N226" s="15" t="s">
        <v>29</v>
      </c>
      <c r="O226" s="16" t="n">
        <v>43353</v>
      </c>
      <c r="P226" s="17" t="s">
        <v>64</v>
      </c>
      <c r="Q226" s="18" t="s">
        <v>65</v>
      </c>
      <c r="R226" s="17" t="s">
        <v>66</v>
      </c>
      <c r="S226" s="18" t="s">
        <v>45</v>
      </c>
      <c r="T226" s="17" t="s">
        <v>34</v>
      </c>
      <c r="U226" s="18" t="s">
        <v>39</v>
      </c>
      <c r="V226" s="19" t="n">
        <v>223691813</v>
      </c>
      <c r="W226" s="17" t="s">
        <v>98</v>
      </c>
      <c r="X226" s="17" t="n">
        <v>4802</v>
      </c>
      <c r="Y226" s="17" t="n">
        <v>2</v>
      </c>
      <c r="Z226" s="17" t="n">
        <v>66.02</v>
      </c>
      <c r="AA226" s="17" t="s">
        <v>68</v>
      </c>
      <c r="AB226" s="17" t="n">
        <v>0</v>
      </c>
    </row>
    <row r="227" customFormat="false" ht="15" hidden="false" customHeight="false" outlineLevel="0" collapsed="false">
      <c r="A227" s="1" t="str">
        <f aca="false">OFFSET(Table22,226,14,1,1)&amp;OFFSET(Table22,226,21,1,1)</f>
        <v>43353223691771</v>
      </c>
      <c r="B227" s="1" t="str">
        <f aca="false">OFFSET(Table22,226,14,1,1)&amp;OFFSET(Table22,226,22,1,1)</f>
        <v>43353Facebook»AZR»1x1»SocialBan»NA»ALL»DYN»AUT»D»All»SS»NA»Free Acc Refresh - T4 - FR</v>
      </c>
      <c r="C227" s="1" t="s">
        <v>28</v>
      </c>
      <c r="D227" s="3" t="n">
        <f aca="false">O227+(7-WEEKDAY(O227))</f>
        <v>43358</v>
      </c>
      <c r="E227" s="1" t="str">
        <f aca="false">VLOOKUP(OFFSET(Table22,226,16,1,1),Key!B:D,2,0)</f>
        <v>Canada</v>
      </c>
      <c r="F227" s="1" t="str">
        <f aca="false">IF(ISNUMBER(SEARCH("Canvas",U227)),"Link",IF(ISNUMBER(SEARCH("Link",U227)),"Link","Not filled properly"))</f>
        <v>Link</v>
      </c>
      <c r="G227" s="1" t="str">
        <f aca="false">IFERROR(VLOOKUP(OFFSET(Table22,226,21,1,1),OFFSET(Table2,0,1,ROWS(Table2),8),2,0),VLOOKUP(OFFSET(Table22,226,22,1,1),Table2,3,0))</f>
        <v>CAN_gaPMG_AZR_AZR_Q1_19_Trial-Social</v>
      </c>
      <c r="H227" s="1" t="n">
        <f aca="false">IFERROR(VLOOKUP(OFFSET(Table22,226,21,1,1),OFFSET(Table2,0,1,ROWS(Table2),8),3,0),VLOOKUP(OFFSET(Table22,226,22,1,1),Table2,4,0))</f>
        <v>21337220</v>
      </c>
      <c r="I227" s="2" t="n">
        <f aca="false">IFERROR(VLOOKUP(OFFSET(Table22,226,21,1,1),OFFSET(Table2,0,1,ROWS(Table2),8),4,0),VLOOKUP(OFFSET(Table22,226,22,1,1),Table2,5,0))</f>
        <v>720192</v>
      </c>
      <c r="J227" s="3" t="str">
        <f aca="false">IF(ISNUMBER(SEARCH("FACEBOOK",W227)),"Facebook",IF(ISNUMBER(SEARCH("INSTAGRAM",W227)),"Facebook-Instagram","Look at taxonomy"))</f>
        <v>Facebook</v>
      </c>
      <c r="K227" s="3" t="str">
        <f aca="false">IF(ISNUMBER(SEARCH("Facebook",J227)),"3654128","Not Facebook")</f>
        <v>3654128</v>
      </c>
      <c r="L227" s="3" t="str">
        <f aca="false">IFERROR(VLOOKUP(OFFSET(Table22,226,21,1,1),OFFSET(Table2,0,1,ROWS(Table2),8),7,0),VLOOKUP(OFFSET(Table22,226,22,1,1),Table2,8,0))</f>
        <v>AzurePlatform_FreeAcctAppsFACEBOOK200CreditChD_CAN_1200x628_SOC_PLAT_FR_Trial_Standard_NA_SU_T4_1.png</v>
      </c>
      <c r="M227" s="2" t="n">
        <f aca="false">IFERROR(VLOOKUP(OFFSET(Table22,226,21,1,1),OFFSET(Table2,0,1,ROWS(Table2),8),8,0),VLOOKUP(OFFSET(Table22,226,22,1,1),Table2,9,0))</f>
        <v>102902968</v>
      </c>
      <c r="N227" s="15" t="s">
        <v>29</v>
      </c>
      <c r="O227" s="16" t="n">
        <v>43353</v>
      </c>
      <c r="P227" s="17" t="s">
        <v>64</v>
      </c>
      <c r="Q227" s="18" t="s">
        <v>65</v>
      </c>
      <c r="R227" s="17" t="s">
        <v>66</v>
      </c>
      <c r="S227" s="18" t="s">
        <v>45</v>
      </c>
      <c r="T227" s="17" t="s">
        <v>34</v>
      </c>
      <c r="U227" s="18" t="s">
        <v>39</v>
      </c>
      <c r="V227" s="19" t="n">
        <v>223691771</v>
      </c>
      <c r="W227" s="17" t="s">
        <v>99</v>
      </c>
      <c r="X227" s="17" t="n">
        <v>613</v>
      </c>
      <c r="Y227" s="17" t="n">
        <v>1</v>
      </c>
      <c r="Z227" s="17" t="n">
        <v>8.44</v>
      </c>
      <c r="AA227" s="17" t="s">
        <v>68</v>
      </c>
      <c r="AB227" s="17" t="n">
        <v>0</v>
      </c>
    </row>
    <row r="228" customFormat="false" ht="15" hidden="false" customHeight="false" outlineLevel="0" collapsed="false">
      <c r="A228" s="1" t="str">
        <f aca="false">OFFSET(Table22,227,14,1,1)&amp;OFFSET(Table22,227,21,1,1)</f>
        <v>43353223691765</v>
      </c>
      <c r="B228" s="1" t="str">
        <f aca="false">OFFSET(Table22,227,14,1,1)&amp;OFFSET(Table22,227,22,1,1)</f>
        <v>43353Facebook»AZR»1x1»SocialBan»NA»ALL»DYN»AUT»D»All»SS»NA»Free Acc Refresh - T3 - FR</v>
      </c>
      <c r="C228" s="1" t="s">
        <v>28</v>
      </c>
      <c r="D228" s="3" t="n">
        <f aca="false">O228+(7-WEEKDAY(O228))</f>
        <v>43358</v>
      </c>
      <c r="E228" s="1" t="str">
        <f aca="false">VLOOKUP(OFFSET(Table22,227,16,1,1),Key!B:D,2,0)</f>
        <v>Canada</v>
      </c>
      <c r="F228" s="1" t="str">
        <f aca="false">IF(ISNUMBER(SEARCH("Canvas",U228)),"Link",IF(ISNUMBER(SEARCH("Link",U228)),"Link","Not filled properly"))</f>
        <v>Link</v>
      </c>
      <c r="G228" s="1" t="str">
        <f aca="false">IFERROR(VLOOKUP(OFFSET(Table22,227,21,1,1),OFFSET(Table2,0,1,ROWS(Table2),8),2,0),VLOOKUP(OFFSET(Table22,227,22,1,1),Table2,3,0))</f>
        <v>CAN_gaPMG_AZR_AZR_Q1_19_Trial-Social</v>
      </c>
      <c r="H228" s="1" t="n">
        <f aca="false">IFERROR(VLOOKUP(OFFSET(Table22,227,21,1,1),OFFSET(Table2,0,1,ROWS(Table2),8),3,0),VLOOKUP(OFFSET(Table22,227,22,1,1),Table2,4,0))</f>
        <v>21337220</v>
      </c>
      <c r="I228" s="2" t="n">
        <f aca="false">IFERROR(VLOOKUP(OFFSET(Table22,227,21,1,1),OFFSET(Table2,0,1,ROWS(Table2),8),4,0),VLOOKUP(OFFSET(Table22,227,22,1,1),Table2,5,0))</f>
        <v>720192</v>
      </c>
      <c r="J228" s="3" t="str">
        <f aca="false">IF(ISNUMBER(SEARCH("FACEBOOK",W228)),"Facebook",IF(ISNUMBER(SEARCH("INSTAGRAM",W228)),"Facebook-Instagram","Look at taxonomy"))</f>
        <v>Facebook</v>
      </c>
      <c r="K228" s="3" t="str">
        <f aca="false">IF(ISNUMBER(SEARCH("Facebook",J228)),"3654128","Not Facebook")</f>
        <v>3654128</v>
      </c>
      <c r="L228" s="3" t="str">
        <f aca="false">IFERROR(VLOOKUP(OFFSET(Table22,227,21,1,1),OFFSET(Table2,0,1,ROWS(Table2),8),7,0),VLOOKUP(OFFSET(Table22,227,22,1,1),Table2,8,0))</f>
        <v>AzurePlatform_FreeAcctAppsFACEBOOKIllustrationChC_CAN_1200x628_SOC_PLAT_FR_Trial_Standard_NA_SU_T3_1.png</v>
      </c>
      <c r="M228" s="2" t="n">
        <f aca="false">IFERROR(VLOOKUP(OFFSET(Table22,227,21,1,1),OFFSET(Table2,0,1,ROWS(Table2),8),8,0),VLOOKUP(OFFSET(Table22,227,22,1,1),Table2,9,0))</f>
        <v>103053332</v>
      </c>
      <c r="N228" s="15" t="s">
        <v>29</v>
      </c>
      <c r="O228" s="16" t="n">
        <v>43353</v>
      </c>
      <c r="P228" s="17" t="s">
        <v>64</v>
      </c>
      <c r="Q228" s="18" t="s">
        <v>65</v>
      </c>
      <c r="R228" s="17" t="s">
        <v>66</v>
      </c>
      <c r="S228" s="18" t="s">
        <v>45</v>
      </c>
      <c r="T228" s="17" t="s">
        <v>34</v>
      </c>
      <c r="U228" s="18" t="s">
        <v>39</v>
      </c>
      <c r="V228" s="19" t="n">
        <v>223691765</v>
      </c>
      <c r="W228" s="17" t="s">
        <v>100</v>
      </c>
      <c r="X228" s="17" t="n">
        <v>193</v>
      </c>
      <c r="Y228" s="17" t="n">
        <v>1</v>
      </c>
      <c r="Z228" s="17" t="n">
        <v>2.76</v>
      </c>
      <c r="AA228" s="17" t="s">
        <v>68</v>
      </c>
      <c r="AB228" s="17" t="n">
        <v>0</v>
      </c>
    </row>
    <row r="229" customFormat="false" ht="15" hidden="false" customHeight="false" outlineLevel="0" collapsed="false">
      <c r="A229" s="1" t="str">
        <f aca="false">OFFSET(Table22,228,14,1,1)&amp;OFFSET(Table22,228,21,1,1)</f>
        <v>43353223691768</v>
      </c>
      <c r="B229" s="1" t="str">
        <f aca="false">OFFSET(Table22,228,14,1,1)&amp;OFFSET(Table22,228,22,1,1)</f>
        <v>43353Facebook»AZR»1x1»SocialBan»NA»ALL»DYN»AUT»D»All»SS»NA»Free Acc Refresh - T2 - FR</v>
      </c>
      <c r="C229" s="1" t="s">
        <v>28</v>
      </c>
      <c r="D229" s="3" t="n">
        <f aca="false">O229+(7-WEEKDAY(O229))</f>
        <v>43358</v>
      </c>
      <c r="E229" s="1" t="str">
        <f aca="false">VLOOKUP(OFFSET(Table22,228,16,1,1),Key!B:D,2,0)</f>
        <v>Canada</v>
      </c>
      <c r="F229" s="1" t="str">
        <f aca="false">IF(ISNUMBER(SEARCH("Canvas",U229)),"Link",IF(ISNUMBER(SEARCH("Link",U229)),"Link","Not filled properly"))</f>
        <v>Link</v>
      </c>
      <c r="G229" s="1" t="str">
        <f aca="false">IFERROR(VLOOKUP(OFFSET(Table22,228,21,1,1),OFFSET(Table2,0,1,ROWS(Table2),8),2,0),VLOOKUP(OFFSET(Table22,228,22,1,1),Table2,3,0))</f>
        <v>CAN_gaPMG_AZR_AZR_Q1_19_Trial-Social</v>
      </c>
      <c r="H229" s="1" t="n">
        <f aca="false">IFERROR(VLOOKUP(OFFSET(Table22,228,21,1,1),OFFSET(Table2,0,1,ROWS(Table2),8),3,0),VLOOKUP(OFFSET(Table22,228,22,1,1),Table2,4,0))</f>
        <v>21337220</v>
      </c>
      <c r="I229" s="2" t="n">
        <f aca="false">IFERROR(VLOOKUP(OFFSET(Table22,228,21,1,1),OFFSET(Table2,0,1,ROWS(Table2),8),4,0),VLOOKUP(OFFSET(Table22,228,22,1,1),Table2,5,0))</f>
        <v>720192</v>
      </c>
      <c r="J229" s="3" t="str">
        <f aca="false">IF(ISNUMBER(SEARCH("FACEBOOK",W229)),"Facebook",IF(ISNUMBER(SEARCH("INSTAGRAM",W229)),"Facebook-Instagram","Look at taxonomy"))</f>
        <v>Facebook</v>
      </c>
      <c r="K229" s="3" t="str">
        <f aca="false">IF(ISNUMBER(SEARCH("Facebook",J229)),"3654128","Not Facebook")</f>
        <v>3654128</v>
      </c>
      <c r="L229" s="3" t="str">
        <f aca="false">IFERROR(VLOOKUP(OFFSET(Table22,228,21,1,1),OFFSET(Table2,0,1,ROWS(Table2),8),7,0),VLOOKUP(OFFSET(Table22,228,22,1,1),Table2,8,0))</f>
        <v>AzurePlatform_FreeAcctAppsFACEBOOKDeviceChB_CAN_1200x628_SOC_PLAT_FR_Trial_Standard_NA_SU_T2_1.png</v>
      </c>
      <c r="M229" s="2" t="n">
        <f aca="false">IFERROR(VLOOKUP(OFFSET(Table22,228,21,1,1),OFFSET(Table2,0,1,ROWS(Table2),8),8,0),VLOOKUP(OFFSET(Table22,228,22,1,1),Table2,9,0))</f>
        <v>102902971</v>
      </c>
      <c r="N229" s="15" t="s">
        <v>29</v>
      </c>
      <c r="O229" s="16" t="n">
        <v>43353</v>
      </c>
      <c r="P229" s="17" t="s">
        <v>64</v>
      </c>
      <c r="Q229" s="18" t="s">
        <v>65</v>
      </c>
      <c r="R229" s="17" t="s">
        <v>66</v>
      </c>
      <c r="S229" s="18" t="s">
        <v>45</v>
      </c>
      <c r="T229" s="17" t="s">
        <v>34</v>
      </c>
      <c r="U229" s="18" t="s">
        <v>39</v>
      </c>
      <c r="V229" s="19" t="n">
        <v>223691768</v>
      </c>
      <c r="W229" s="17" t="s">
        <v>101</v>
      </c>
      <c r="X229" s="17" t="n">
        <v>258</v>
      </c>
      <c r="Y229" s="17" t="n">
        <v>1</v>
      </c>
      <c r="Z229" s="17" t="n">
        <v>4.93</v>
      </c>
      <c r="AA229" s="17" t="s">
        <v>68</v>
      </c>
      <c r="AB229" s="17" t="n">
        <v>0</v>
      </c>
    </row>
    <row r="230" customFormat="false" ht="15" hidden="false" customHeight="false" outlineLevel="0" collapsed="false">
      <c r="A230" s="1" t="str">
        <f aca="false">OFFSET(Table22,229,14,1,1)&amp;OFFSET(Table22,229,21,1,1)</f>
        <v>43353223691837</v>
      </c>
      <c r="B230" s="1" t="str">
        <f aca="false">OFFSET(Table22,229,14,1,1)&amp;OFFSET(Table22,229,22,1,1)</f>
        <v>43353Facebook»AZR»1x1»NA»EGV»ALL»DYN»AUT»D»All»SS»NA»Free Acc CTC - T4 - EN</v>
      </c>
      <c r="C230" s="1" t="s">
        <v>28</v>
      </c>
      <c r="D230" s="3" t="n">
        <f aca="false">O230+(7-WEEKDAY(O230))</f>
        <v>43358</v>
      </c>
      <c r="E230" s="1" t="str">
        <f aca="false">VLOOKUP(OFFSET(Table22,229,16,1,1),Key!B:D,2,0)</f>
        <v>Canada</v>
      </c>
      <c r="F230" s="1" t="str">
        <f aca="false">IF(ISNUMBER(SEARCH("Canvas",U230)),"Link",IF(ISNUMBER(SEARCH("Link",U230)),"Link","Not filled properly"))</f>
        <v>Link</v>
      </c>
      <c r="G230" s="1" t="str">
        <f aca="false">IFERROR(VLOOKUP(OFFSET(Table22,229,21,1,1),OFFSET(Table2,0,1,ROWS(Table2),8),2,0),VLOOKUP(OFFSET(Table22,229,22,1,1),Table2,3,0))</f>
        <v>CAN_gaPMG_AZR_AZR_Q1_19_Trial-Social</v>
      </c>
      <c r="H230" s="1" t="n">
        <f aca="false">IFERROR(VLOOKUP(OFFSET(Table22,229,21,1,1),OFFSET(Table2,0,1,ROWS(Table2),8),3,0),VLOOKUP(OFFSET(Table22,229,22,1,1),Table2,4,0))</f>
        <v>21337220</v>
      </c>
      <c r="I230" s="2" t="n">
        <f aca="false">IFERROR(VLOOKUP(OFFSET(Table22,229,21,1,1),OFFSET(Table2,0,1,ROWS(Table2),8),4,0),VLOOKUP(OFFSET(Table22,229,22,1,1),Table2,5,0))</f>
        <v>720192</v>
      </c>
      <c r="J230" s="3" t="str">
        <f aca="false">IF(ISNUMBER(SEARCH("FACEBOOK",W230)),"Facebook",IF(ISNUMBER(SEARCH("INSTAGRAM",W230)),"Facebook-Instagram","Look at taxonomy"))</f>
        <v>Facebook</v>
      </c>
      <c r="K230" s="3" t="str">
        <f aca="false">IF(ISNUMBER(SEARCH("Facebook",J230)),"3654128","Not Facebook")</f>
        <v>3654128</v>
      </c>
      <c r="L230" s="3" t="str">
        <f aca="false">IFERROR(VLOOKUP(OFFSET(Table22,229,21,1,1),OFFSET(Table2,0,1,ROWS(Table2),8),7,0),VLOOKUP(OFFSET(Table22,229,22,1,1),Table2,8,0))</f>
        <v>AzurePlatform_FBCTCBenefit2inMotion_CAN_14s_ISV_PLAT_English_Trial_Standard_STAN_TN_T4_1</v>
      </c>
      <c r="M230" s="2" t="n">
        <f aca="false">IFERROR(VLOOKUP(OFFSET(Table22,229,21,1,1),OFFSET(Table2,0,1,ROWS(Table2),8),8,0),VLOOKUP(OFFSET(Table22,229,22,1,1),Table2,9,0))</f>
        <v>103053314</v>
      </c>
      <c r="N230" s="15" t="s">
        <v>29</v>
      </c>
      <c r="O230" s="16" t="n">
        <v>43353</v>
      </c>
      <c r="P230" s="17" t="s">
        <v>64</v>
      </c>
      <c r="Q230" s="18" t="s">
        <v>65</v>
      </c>
      <c r="R230" s="17" t="s">
        <v>66</v>
      </c>
      <c r="S230" s="18" t="s">
        <v>45</v>
      </c>
      <c r="T230" s="17" t="s">
        <v>34</v>
      </c>
      <c r="U230" s="18" t="s">
        <v>39</v>
      </c>
      <c r="V230" s="19" t="n">
        <v>223691837</v>
      </c>
      <c r="W230" s="17" t="s">
        <v>83</v>
      </c>
      <c r="X230" s="17" t="n">
        <v>7358</v>
      </c>
      <c r="Y230" s="17" t="n">
        <v>12</v>
      </c>
      <c r="Z230" s="17" t="n">
        <v>123.57</v>
      </c>
      <c r="AA230" s="17" t="s">
        <v>68</v>
      </c>
      <c r="AB230" s="17" t="n">
        <v>0</v>
      </c>
    </row>
    <row r="231" customFormat="false" ht="15" hidden="false" customHeight="false" outlineLevel="0" collapsed="false">
      <c r="A231" s="1" t="str">
        <f aca="false">OFFSET(Table22,230,14,1,1)&amp;OFFSET(Table22,230,21,1,1)</f>
        <v>43353225322324</v>
      </c>
      <c r="B231" s="1" t="str">
        <f aca="false">OFFSET(Table22,230,14,1,1)&amp;OFFSET(Table22,230,22,1,1)</f>
        <v>43353Facebook»AZR»1x1»NA»SOC»ALL»DYN»PRO»D»All»SS»NA»Canvas - Buy Now - FR</v>
      </c>
      <c r="C231" s="1" t="s">
        <v>28</v>
      </c>
      <c r="D231" s="3" t="n">
        <f aca="false">O231+(7-WEEKDAY(O231))</f>
        <v>43358</v>
      </c>
      <c r="E231" s="1" t="str">
        <f aca="false">VLOOKUP(OFFSET(Table22,230,16,1,1),Key!B:D,2,0)</f>
        <v>Canada</v>
      </c>
      <c r="F231" s="1" t="str">
        <f aca="false">IF(ISNUMBER(SEARCH("Canvas",U231)),"Link",IF(ISNUMBER(SEARCH("Link",U231)),"Link","Not filled properly"))</f>
        <v>Link</v>
      </c>
      <c r="G231" s="1" t="str">
        <f aca="false">IFERROR(VLOOKUP(OFFSET(Table22,230,21,1,1),OFFSET(Table2,0,1,ROWS(Table2),8),2,0),VLOOKUP(OFFSET(Table22,230,22,1,1),Table2,3,0))</f>
        <v>CAN_gaPMG_AZR_AZR_Q1_19_Trial-Social</v>
      </c>
      <c r="H231" s="1" t="n">
        <f aca="false">IFERROR(VLOOKUP(OFFSET(Table22,230,21,1,1),OFFSET(Table2,0,1,ROWS(Table2),8),3,0),VLOOKUP(OFFSET(Table22,230,22,1,1),Table2,4,0))</f>
        <v>21337220</v>
      </c>
      <c r="I231" s="2" t="n">
        <f aca="false">IFERROR(VLOOKUP(OFFSET(Table22,230,21,1,1),OFFSET(Table2,0,1,ROWS(Table2),8),4,0),VLOOKUP(OFFSET(Table22,230,22,1,1),Table2,5,0))</f>
        <v>720192</v>
      </c>
      <c r="J231" s="3" t="str">
        <f aca="false">IF(ISNUMBER(SEARCH("FACEBOOK",W231)),"Facebook",IF(ISNUMBER(SEARCH("INSTAGRAM",W231)),"Facebook-Instagram","Look at taxonomy"))</f>
        <v>Facebook</v>
      </c>
      <c r="K231" s="3" t="str">
        <f aca="false">IF(ISNUMBER(SEARCH("Facebook",J231)),"3654128","Not Facebook")</f>
        <v>3654128</v>
      </c>
      <c r="L231" s="3" t="str">
        <f aca="false">IFERROR(VLOOKUP(OFFSET(Table22,230,21,1,1),OFFSET(Table2,0,1,ROWS(Table2),8),7,0),VLOOKUP(OFFSET(Table22,230,22,1,1),Table2,8,0))</f>
        <v>AzurePlatform_FBCTCcanvaspage-BuyNowCTA-Img3_CAN_1080x162_SOC_Plat_French_NA_Standard_NA_BN_T3_1</v>
      </c>
      <c r="M231" s="2" t="n">
        <f aca="false">IFERROR(VLOOKUP(OFFSET(Table22,230,21,1,1),OFFSET(Table2,0,1,ROWS(Table2),8),8,0),VLOOKUP(OFFSET(Table22,230,22,1,1),Table2,9,0))</f>
        <v>103789915</v>
      </c>
      <c r="N231" s="15" t="s">
        <v>29</v>
      </c>
      <c r="O231" s="16" t="n">
        <v>43353</v>
      </c>
      <c r="P231" s="17" t="s">
        <v>64</v>
      </c>
      <c r="Q231" s="18" t="s">
        <v>65</v>
      </c>
      <c r="R231" s="17" t="s">
        <v>66</v>
      </c>
      <c r="S231" s="18" t="s">
        <v>45</v>
      </c>
      <c r="T231" s="17" t="s">
        <v>34</v>
      </c>
      <c r="U231" s="18" t="s">
        <v>39</v>
      </c>
      <c r="V231" s="19" t="n">
        <v>225322324</v>
      </c>
      <c r="W231" s="17" t="s">
        <v>71</v>
      </c>
      <c r="X231" s="17" t="n">
        <v>385</v>
      </c>
      <c r="Y231" s="17" t="n">
        <v>1</v>
      </c>
      <c r="Z231" s="17" t="n">
        <v>5.95</v>
      </c>
      <c r="AA231" s="17" t="s">
        <v>68</v>
      </c>
      <c r="AB231" s="17" t="n">
        <v>0</v>
      </c>
    </row>
    <row r="232" customFormat="false" ht="15" hidden="false" customHeight="false" outlineLevel="0" collapsed="false">
      <c r="A232" s="1" t="str">
        <f aca="false">OFFSET(Table22,231,14,1,1)&amp;OFFSET(Table22,231,21,1,1)</f>
        <v>43353223691783</v>
      </c>
      <c r="B232" s="1" t="str">
        <f aca="false">OFFSET(Table22,231,14,1,1)&amp;OFFSET(Table22,231,22,1,1)</f>
        <v>43353Facebook»AZR»1x1»SocialBan»NA»ALL»DYN»RT»D»All»SS»NA»Free Account Retargeting VM - T1 - FR</v>
      </c>
      <c r="C232" s="1" t="s">
        <v>28</v>
      </c>
      <c r="D232" s="3" t="n">
        <f aca="false">O232+(7-WEEKDAY(O232))</f>
        <v>43358</v>
      </c>
      <c r="E232" s="1" t="str">
        <f aca="false">VLOOKUP(OFFSET(Table22,231,16,1,1),Key!B:D,2,0)</f>
        <v>Canada</v>
      </c>
      <c r="F232" s="1" t="str">
        <f aca="false">IF(ISNUMBER(SEARCH("Canvas",U232)),"Link",IF(ISNUMBER(SEARCH("Link",U232)),"Link","Not filled properly"))</f>
        <v>Link</v>
      </c>
      <c r="G232" s="1" t="str">
        <f aca="false">IFERROR(VLOOKUP(OFFSET(Table22,231,21,1,1),OFFSET(Table2,0,1,ROWS(Table2),8),2,0),VLOOKUP(OFFSET(Table22,231,22,1,1),Table2,3,0))</f>
        <v>CAN_gaPMG_AZR_AZR_Q1_19_Trial-Social</v>
      </c>
      <c r="H232" s="1" t="n">
        <f aca="false">IFERROR(VLOOKUP(OFFSET(Table22,231,21,1,1),OFFSET(Table2,0,1,ROWS(Table2),8),3,0),VLOOKUP(OFFSET(Table22,231,22,1,1),Table2,4,0))</f>
        <v>21337220</v>
      </c>
      <c r="I232" s="2" t="n">
        <f aca="false">IFERROR(VLOOKUP(OFFSET(Table22,231,21,1,1),OFFSET(Table2,0,1,ROWS(Table2),8),4,0),VLOOKUP(OFFSET(Table22,231,22,1,1),Table2,5,0))</f>
        <v>720192</v>
      </c>
      <c r="J232" s="3" t="str">
        <f aca="false">IF(ISNUMBER(SEARCH("FACEBOOK",W232)),"Facebook",IF(ISNUMBER(SEARCH("INSTAGRAM",W232)),"Facebook-Instagram","Look at taxonomy"))</f>
        <v>Facebook</v>
      </c>
      <c r="K232" s="3" t="str">
        <f aca="false">IF(ISNUMBER(SEARCH("Facebook",J232)),"3654128","Not Facebook")</f>
        <v>3654128</v>
      </c>
      <c r="L232" s="3" t="str">
        <f aca="false">IFERROR(VLOOKUP(OFFSET(Table22,231,21,1,1),OFFSET(Table2,0,1,ROWS(Table2),8),7,0),VLOOKUP(OFFSET(Table22,231,22,1,1),Table2,8,0))</f>
        <v>AzurePlatform_FreeAcctRetargetingVMFB-750Hrs-ChD_CAN_1200x628_SOC_Plat_FR_Free Account_Standard_NA_SU_T1_1</v>
      </c>
      <c r="M232" s="2" t="n">
        <f aca="false">IFERROR(VLOOKUP(OFFSET(Table22,231,21,1,1),OFFSET(Table2,0,1,ROWS(Table2),8),8,0),VLOOKUP(OFFSET(Table22,231,22,1,1),Table2,9,0))</f>
        <v>103058723</v>
      </c>
      <c r="N232" s="15" t="s">
        <v>29</v>
      </c>
      <c r="O232" s="16" t="n">
        <v>43353</v>
      </c>
      <c r="P232" s="17" t="s">
        <v>64</v>
      </c>
      <c r="Q232" s="18" t="s">
        <v>65</v>
      </c>
      <c r="R232" s="17" t="s">
        <v>66</v>
      </c>
      <c r="S232" s="18" t="s">
        <v>45</v>
      </c>
      <c r="T232" s="17" t="s">
        <v>34</v>
      </c>
      <c r="U232" s="18" t="s">
        <v>39</v>
      </c>
      <c r="V232" s="19" t="n">
        <v>223691783</v>
      </c>
      <c r="W232" s="17" t="s">
        <v>76</v>
      </c>
      <c r="X232" s="17" t="n">
        <v>166</v>
      </c>
      <c r="Y232" s="17" t="n">
        <v>1</v>
      </c>
      <c r="Z232" s="17" t="n">
        <v>5.01</v>
      </c>
      <c r="AA232" s="17" t="s">
        <v>68</v>
      </c>
      <c r="AB232" s="17" t="n">
        <v>0</v>
      </c>
    </row>
    <row r="233" customFormat="false" ht="15" hidden="false" customHeight="false" outlineLevel="0" collapsed="false">
      <c r="A233" s="1" t="str">
        <f aca="false">OFFSET(Table22,232,14,1,1)&amp;OFFSET(Table22,232,21,1,1)</f>
        <v>43352227618695</v>
      </c>
      <c r="B233" s="1" t="str">
        <f aca="false">OFFSET(Table22,232,14,1,1)&amp;OFFSET(Table22,232,22,1,1)</f>
        <v>43352Facebook»AZR»1x1»NA»NA»ALL»DYN»AUT»D»All»SS»NA»Free Account Create to Convert FB - Canvas - Benefit - Start Free - FR</v>
      </c>
      <c r="C233" s="1" t="s">
        <v>28</v>
      </c>
      <c r="D233" s="3" t="n">
        <f aca="false">O233+(7-WEEKDAY(O233))</f>
        <v>43358</v>
      </c>
      <c r="E233" s="1" t="str">
        <f aca="false">VLOOKUP(OFFSET(Table22,232,16,1,1),Key!B:D,2,0)</f>
        <v>Canada</v>
      </c>
      <c r="F233" s="1" t="str">
        <f aca="false">IF(ISNUMBER(SEARCH("Canvas",U233)),"Link",IF(ISNUMBER(SEARCH("Link",U233)),"Link","Not filled properly"))</f>
        <v>Link</v>
      </c>
      <c r="G233" s="1" t="str">
        <f aca="false">IFERROR(VLOOKUP(OFFSET(Table22,232,21,1,1),OFFSET(Table2,0,1,ROWS(Table2),8),2,0),VLOOKUP(OFFSET(Table22,232,22,1,1),Table2,3,0))</f>
        <v>CAN_gaPMG_AZR_AZR_Q1_19_Trial-Social</v>
      </c>
      <c r="H233" s="1" t="n">
        <f aca="false">IFERROR(VLOOKUP(OFFSET(Table22,232,21,1,1),OFFSET(Table2,0,1,ROWS(Table2),8),3,0),VLOOKUP(OFFSET(Table22,232,22,1,1),Table2,4,0))</f>
        <v>21337220</v>
      </c>
      <c r="I233" s="2" t="n">
        <f aca="false">IFERROR(VLOOKUP(OFFSET(Table22,232,21,1,1),OFFSET(Table2,0,1,ROWS(Table2),8),4,0),VLOOKUP(OFFSET(Table22,232,22,1,1),Table2,5,0))</f>
        <v>720192</v>
      </c>
      <c r="J233" s="3" t="str">
        <f aca="false">IF(ISNUMBER(SEARCH("FACEBOOK",W233)),"Facebook",IF(ISNUMBER(SEARCH("INSTAGRAM",W233)),"Facebook-Instagram","Look at taxonomy"))</f>
        <v>Facebook</v>
      </c>
      <c r="K233" s="3" t="str">
        <f aca="false">IF(ISNUMBER(SEARCH("Facebook",J233)),"3654128","Not Facebook")</f>
        <v>3654128</v>
      </c>
      <c r="L233" s="3" t="str">
        <f aca="false">IFERROR(VLOOKUP(OFFSET(Table22,232,21,1,1),OFFSET(Table2,0,1,ROWS(Table2),8),7,0),VLOOKUP(OFFSET(Table22,232,22,1,1),Table2,8,0))</f>
        <v>AzurePlatform_FBCTCBenefit2inMotion_CAN_1080x1080_SOC_14s_ISV_FR_Standard_NA_FTR_T4_1</v>
      </c>
      <c r="M233" s="2" t="n">
        <f aca="false">IFERROR(VLOOKUP(OFFSET(Table22,232,21,1,1),OFFSET(Table2,0,1,ROWS(Table2),8),8,0),VLOOKUP(OFFSET(Table22,232,22,1,1),Table2,9,0))</f>
        <v>105127638</v>
      </c>
      <c r="N233" s="15" t="s">
        <v>29</v>
      </c>
      <c r="O233" s="16" t="n">
        <v>43352</v>
      </c>
      <c r="P233" s="17" t="s">
        <v>64</v>
      </c>
      <c r="Q233" s="18" t="s">
        <v>65</v>
      </c>
      <c r="R233" s="17" t="s">
        <v>66</v>
      </c>
      <c r="S233" s="18" t="s">
        <v>45</v>
      </c>
      <c r="T233" s="17" t="s">
        <v>34</v>
      </c>
      <c r="U233" s="18" t="s">
        <v>39</v>
      </c>
      <c r="V233" s="19" t="n">
        <v>227618695</v>
      </c>
      <c r="W233" s="17" t="s">
        <v>67</v>
      </c>
      <c r="X233" s="17" t="n">
        <v>331</v>
      </c>
      <c r="Y233" s="17" t="n">
        <v>0</v>
      </c>
      <c r="Z233" s="17" t="n">
        <v>5.06</v>
      </c>
      <c r="AA233" s="17" t="s">
        <v>68</v>
      </c>
      <c r="AB233" s="17" t="n">
        <v>0</v>
      </c>
    </row>
    <row r="234" customFormat="false" ht="15" hidden="false" customHeight="false" outlineLevel="0" collapsed="false">
      <c r="A234" s="1" t="str">
        <f aca="false">OFFSET(Table22,233,14,1,1)&amp;OFFSET(Table22,233,21,1,1)</f>
        <v>43352225322324</v>
      </c>
      <c r="B234" s="1" t="str">
        <f aca="false">OFFSET(Table22,233,14,1,1)&amp;OFFSET(Table22,233,22,1,1)</f>
        <v>43352Facebook»AZR»1x1»NA»SOC»ALL»DYN»PRO»D»All»SS»NA»Canvas - Buy Now - FR</v>
      </c>
      <c r="C234" s="1" t="s">
        <v>28</v>
      </c>
      <c r="D234" s="3" t="n">
        <f aca="false">O234+(7-WEEKDAY(O234))</f>
        <v>43358</v>
      </c>
      <c r="E234" s="1" t="str">
        <f aca="false">VLOOKUP(OFFSET(Table22,233,16,1,1),Key!B:D,2,0)</f>
        <v>Canada</v>
      </c>
      <c r="F234" s="1" t="str">
        <f aca="false">IF(ISNUMBER(SEARCH("Canvas",U234)),"Link",IF(ISNUMBER(SEARCH("Link",U234)),"Link","Not filled properly"))</f>
        <v>Link</v>
      </c>
      <c r="G234" s="1" t="str">
        <f aca="false">IFERROR(VLOOKUP(OFFSET(Table22,233,21,1,1),OFFSET(Table2,0,1,ROWS(Table2),8),2,0),VLOOKUP(OFFSET(Table22,233,22,1,1),Table2,3,0))</f>
        <v>CAN_gaPMG_AZR_AZR_Q1_19_Trial-Social</v>
      </c>
      <c r="H234" s="1" t="n">
        <f aca="false">IFERROR(VLOOKUP(OFFSET(Table22,233,21,1,1),OFFSET(Table2,0,1,ROWS(Table2),8),3,0),VLOOKUP(OFFSET(Table22,233,22,1,1),Table2,4,0))</f>
        <v>21337220</v>
      </c>
      <c r="I234" s="2" t="n">
        <f aca="false">IFERROR(VLOOKUP(OFFSET(Table22,233,21,1,1),OFFSET(Table2,0,1,ROWS(Table2),8),4,0),VLOOKUP(OFFSET(Table22,233,22,1,1),Table2,5,0))</f>
        <v>720192</v>
      </c>
      <c r="J234" s="3" t="str">
        <f aca="false">IF(ISNUMBER(SEARCH("FACEBOOK",W234)),"Facebook",IF(ISNUMBER(SEARCH("INSTAGRAM",W234)),"Facebook-Instagram","Look at taxonomy"))</f>
        <v>Facebook</v>
      </c>
      <c r="K234" s="3" t="str">
        <f aca="false">IF(ISNUMBER(SEARCH("Facebook",J234)),"3654128","Not Facebook")</f>
        <v>3654128</v>
      </c>
      <c r="L234" s="3" t="str">
        <f aca="false">IFERROR(VLOOKUP(OFFSET(Table22,233,21,1,1),OFFSET(Table2,0,1,ROWS(Table2),8),7,0),VLOOKUP(OFFSET(Table22,233,22,1,1),Table2,8,0))</f>
        <v>AzurePlatform_FBCTCcanvaspage-BuyNowCTA-Img3_CAN_1080x162_SOC_Plat_French_NA_Standard_NA_BN_T3_1</v>
      </c>
      <c r="M234" s="2" t="n">
        <f aca="false">IFERROR(VLOOKUP(OFFSET(Table22,233,21,1,1),OFFSET(Table2,0,1,ROWS(Table2),8),8,0),VLOOKUP(OFFSET(Table22,233,22,1,1),Table2,9,0))</f>
        <v>103789915</v>
      </c>
      <c r="N234" s="15" t="s">
        <v>29</v>
      </c>
      <c r="O234" s="16" t="n">
        <v>43352</v>
      </c>
      <c r="P234" s="17" t="s">
        <v>64</v>
      </c>
      <c r="Q234" s="18" t="s">
        <v>65</v>
      </c>
      <c r="R234" s="17" t="s">
        <v>66</v>
      </c>
      <c r="S234" s="18" t="s">
        <v>45</v>
      </c>
      <c r="T234" s="17" t="s">
        <v>34</v>
      </c>
      <c r="U234" s="18" t="s">
        <v>39</v>
      </c>
      <c r="V234" s="19" t="n">
        <v>225322324</v>
      </c>
      <c r="W234" s="17" t="s">
        <v>71</v>
      </c>
      <c r="X234" s="17" t="n">
        <v>826</v>
      </c>
      <c r="Y234" s="17" t="n">
        <v>6</v>
      </c>
      <c r="Z234" s="17" t="n">
        <v>14.01</v>
      </c>
      <c r="AA234" s="17" t="s">
        <v>68</v>
      </c>
      <c r="AB234" s="17" t="n">
        <v>0</v>
      </c>
    </row>
    <row r="235" customFormat="false" ht="15" hidden="false" customHeight="false" outlineLevel="0" collapsed="false">
      <c r="A235" s="1" t="str">
        <f aca="false">OFFSET(Table22,234,14,1,1)&amp;OFFSET(Table22,234,21,1,1)</f>
        <v>43352227522771</v>
      </c>
      <c r="B235" s="1" t="str">
        <f aca="false">OFFSET(Table22,234,14,1,1)&amp;OFFSET(Table22,234,22,1,1)</f>
        <v>43352Facebook»AZR»1x1»NA»NA»ALL»DYN»AUT»D»All»SS»NA»Free Account Create to Convert FB - Canvas - Brand - Start Free - FR</v>
      </c>
      <c r="C235" s="1" t="s">
        <v>28</v>
      </c>
      <c r="D235" s="3" t="n">
        <f aca="false">O235+(7-WEEKDAY(O235))</f>
        <v>43358</v>
      </c>
      <c r="E235" s="1" t="str">
        <f aca="false">VLOOKUP(OFFSET(Table22,234,16,1,1),Key!B:D,2,0)</f>
        <v>Canada</v>
      </c>
      <c r="F235" s="1" t="str">
        <f aca="false">IF(ISNUMBER(SEARCH("Canvas",U235)),"Link",IF(ISNUMBER(SEARCH("Link",U235)),"Link","Not filled properly"))</f>
        <v>Link</v>
      </c>
      <c r="G235" s="1" t="str">
        <f aca="false">IFERROR(VLOOKUP(OFFSET(Table22,234,21,1,1),OFFSET(Table2,0,1,ROWS(Table2),8),2,0),VLOOKUP(OFFSET(Table22,234,22,1,1),Table2,3,0))</f>
        <v>CAN_gaPMG_AZR_AZR_Q1_19_Trial-Social</v>
      </c>
      <c r="H235" s="1" t="n">
        <f aca="false">IFERROR(VLOOKUP(OFFSET(Table22,234,21,1,1),OFFSET(Table2,0,1,ROWS(Table2),8),3,0),VLOOKUP(OFFSET(Table22,234,22,1,1),Table2,4,0))</f>
        <v>21337220</v>
      </c>
      <c r="I235" s="2" t="n">
        <f aca="false">IFERROR(VLOOKUP(OFFSET(Table22,234,21,1,1),OFFSET(Table2,0,1,ROWS(Table2),8),4,0),VLOOKUP(OFFSET(Table22,234,22,1,1),Table2,5,0))</f>
        <v>720192</v>
      </c>
      <c r="J235" s="3" t="str">
        <f aca="false">IF(ISNUMBER(SEARCH("FACEBOOK",W235)),"Facebook",IF(ISNUMBER(SEARCH("INSTAGRAM",W235)),"Facebook-Instagram","Look at taxonomy"))</f>
        <v>Facebook</v>
      </c>
      <c r="K235" s="3" t="str">
        <f aca="false">IF(ISNUMBER(SEARCH("Facebook",J235)),"3654128","Not Facebook")</f>
        <v>3654128</v>
      </c>
      <c r="L235" s="3" t="str">
        <f aca="false">IFERROR(VLOOKUP(OFFSET(Table22,234,21,1,1),OFFSET(Table2,0,1,ROWS(Table2),8),7,0),VLOOKUP(OFFSET(Table22,234,22,1,1),Table2,8,0))</f>
        <v>AzurePlatform_FBCTCBrandinMotion_CAN_1080x1080_SOC_12s_ISV_FR_Standard_NA_FTR_T2_1</v>
      </c>
      <c r="M235" s="2" t="n">
        <f aca="false">IFERROR(VLOOKUP(OFFSET(Table22,234,21,1,1),OFFSET(Table2,0,1,ROWS(Table2),8),8,0),VLOOKUP(OFFSET(Table22,234,22,1,1),Table2,9,0))</f>
        <v>105130128</v>
      </c>
      <c r="N235" s="15" t="s">
        <v>29</v>
      </c>
      <c r="O235" s="16" t="n">
        <v>43352</v>
      </c>
      <c r="P235" s="17" t="s">
        <v>64</v>
      </c>
      <c r="Q235" s="18" t="s">
        <v>65</v>
      </c>
      <c r="R235" s="17" t="s">
        <v>66</v>
      </c>
      <c r="S235" s="18" t="s">
        <v>45</v>
      </c>
      <c r="T235" s="17" t="s">
        <v>34</v>
      </c>
      <c r="U235" s="18" t="s">
        <v>39</v>
      </c>
      <c r="V235" s="19" t="n">
        <v>227522771</v>
      </c>
      <c r="W235" s="17" t="s">
        <v>78</v>
      </c>
      <c r="X235" s="17" t="n">
        <v>201</v>
      </c>
      <c r="Y235" s="17" t="n">
        <v>1</v>
      </c>
      <c r="Z235" s="17" t="n">
        <v>3.6</v>
      </c>
      <c r="AA235" s="17" t="s">
        <v>68</v>
      </c>
      <c r="AB235" s="17" t="n">
        <v>0</v>
      </c>
    </row>
    <row r="236" customFormat="false" ht="15" hidden="false" customHeight="false" outlineLevel="0" collapsed="false">
      <c r="A236" s="1" t="str">
        <f aca="false">OFFSET(Table22,235,14,1,1)&amp;OFFSET(Table22,235,21,1,1)</f>
        <v>43352225322327</v>
      </c>
      <c r="B236" s="1" t="str">
        <f aca="false">OFFSET(Table22,235,14,1,1)&amp;OFFSET(Table22,235,22,1,1)</f>
        <v>43352Facebook»AZR»1x1»NA»SOC»ALL»DYN»PRO»D»All»SS»NA»Canvas - Buy Now - EN</v>
      </c>
      <c r="C236" s="1" t="s">
        <v>28</v>
      </c>
      <c r="D236" s="3" t="n">
        <f aca="false">O236+(7-WEEKDAY(O236))</f>
        <v>43358</v>
      </c>
      <c r="E236" s="1" t="str">
        <f aca="false">VLOOKUP(OFFSET(Table22,235,16,1,1),Key!B:D,2,0)</f>
        <v>Canada</v>
      </c>
      <c r="F236" s="1" t="str">
        <f aca="false">IF(ISNUMBER(SEARCH("Canvas",U236)),"Link",IF(ISNUMBER(SEARCH("Link",U236)),"Link","Not filled properly"))</f>
        <v>Link</v>
      </c>
      <c r="G236" s="1" t="str">
        <f aca="false">IFERROR(VLOOKUP(OFFSET(Table22,235,21,1,1),OFFSET(Table2,0,1,ROWS(Table2),8),2,0),VLOOKUP(OFFSET(Table22,235,22,1,1),Table2,3,0))</f>
        <v>CAN_gaPMG_AZR_AZR_Q1_19_Trial-Social</v>
      </c>
      <c r="H236" s="1" t="n">
        <f aca="false">IFERROR(VLOOKUP(OFFSET(Table22,235,21,1,1),OFFSET(Table2,0,1,ROWS(Table2),8),3,0),VLOOKUP(OFFSET(Table22,235,22,1,1),Table2,4,0))</f>
        <v>21337220</v>
      </c>
      <c r="I236" s="2" t="n">
        <f aca="false">IFERROR(VLOOKUP(OFFSET(Table22,235,21,1,1),OFFSET(Table2,0,1,ROWS(Table2),8),4,0),VLOOKUP(OFFSET(Table22,235,22,1,1),Table2,5,0))</f>
        <v>720192</v>
      </c>
      <c r="J236" s="3" t="str">
        <f aca="false">IF(ISNUMBER(SEARCH("FACEBOOK",W236)),"Facebook",IF(ISNUMBER(SEARCH("INSTAGRAM",W236)),"Facebook-Instagram","Look at taxonomy"))</f>
        <v>Facebook</v>
      </c>
      <c r="K236" s="3" t="str">
        <f aca="false">IF(ISNUMBER(SEARCH("Facebook",J236)),"3654128","Not Facebook")</f>
        <v>3654128</v>
      </c>
      <c r="L236" s="3" t="str">
        <f aca="false">IFERROR(VLOOKUP(OFFSET(Table22,235,21,1,1),OFFSET(Table2,0,1,ROWS(Table2),8),7,0),VLOOKUP(OFFSET(Table22,235,22,1,1),Table2,8,0))</f>
        <v>AzurePlatform_FBCTCcanvaspage-BuyNowCTA-Img3_CAN_1080x162_SOC_Plat_English_NA_Standard_NA_BN_T3_1</v>
      </c>
      <c r="M236" s="2" t="n">
        <f aca="false">IFERROR(VLOOKUP(OFFSET(Table22,235,21,1,1),OFFSET(Table2,0,1,ROWS(Table2),8),8,0),VLOOKUP(OFFSET(Table22,235,22,1,1),Table2,9,0))</f>
        <v>103902287</v>
      </c>
      <c r="N236" s="15" t="s">
        <v>29</v>
      </c>
      <c r="O236" s="16" t="n">
        <v>43352</v>
      </c>
      <c r="P236" s="17" t="s">
        <v>64</v>
      </c>
      <c r="Q236" s="18" t="s">
        <v>65</v>
      </c>
      <c r="R236" s="17" t="s">
        <v>66</v>
      </c>
      <c r="S236" s="18" t="s">
        <v>45</v>
      </c>
      <c r="T236" s="17" t="s">
        <v>34</v>
      </c>
      <c r="U236" s="18" t="s">
        <v>39</v>
      </c>
      <c r="V236" s="19" t="n">
        <v>225322327</v>
      </c>
      <c r="W236" s="17" t="s">
        <v>82</v>
      </c>
      <c r="X236" s="17" t="n">
        <v>937</v>
      </c>
      <c r="Y236" s="17" t="n">
        <v>5</v>
      </c>
      <c r="Z236" s="17" t="n">
        <v>17</v>
      </c>
      <c r="AA236" s="17" t="s">
        <v>68</v>
      </c>
      <c r="AB236" s="17" t="n">
        <v>0</v>
      </c>
    </row>
    <row r="237" customFormat="false" ht="15" hidden="false" customHeight="false" outlineLevel="0" collapsed="false">
      <c r="A237" s="1" t="str">
        <f aca="false">OFFSET(Table22,236,14,1,1)&amp;OFFSET(Table22,236,21,1,1)</f>
        <v>43352223691819</v>
      </c>
      <c r="B237" s="1" t="str">
        <f aca="false">OFFSET(Table22,236,14,1,1)&amp;OFFSET(Table22,236,22,1,1)</f>
        <v>43352Facebook»AZR»1x1»SocialBan»NA»ALL»DYN»RT»D»All»SS»NA»Free Account Retargeting Generic - T3 - EN</v>
      </c>
      <c r="C237" s="1" t="s">
        <v>28</v>
      </c>
      <c r="D237" s="3" t="n">
        <f aca="false">O237+(7-WEEKDAY(O237))</f>
        <v>43358</v>
      </c>
      <c r="E237" s="1" t="str">
        <f aca="false">VLOOKUP(OFFSET(Table22,236,16,1,1),Key!B:D,2,0)</f>
        <v>Canada</v>
      </c>
      <c r="F237" s="1" t="str">
        <f aca="false">IF(ISNUMBER(SEARCH("Canvas",U237)),"Link",IF(ISNUMBER(SEARCH("Link",U237)),"Link","Not filled properly"))</f>
        <v>Link</v>
      </c>
      <c r="G237" s="1" t="str">
        <f aca="false">IFERROR(VLOOKUP(OFFSET(Table22,236,21,1,1),OFFSET(Table2,0,1,ROWS(Table2),8),2,0),VLOOKUP(OFFSET(Table22,236,22,1,1),Table2,3,0))</f>
        <v>CAN_gaPMG_AZR_AZR_Q1_19_Trial-Social</v>
      </c>
      <c r="H237" s="1" t="n">
        <f aca="false">IFERROR(VLOOKUP(OFFSET(Table22,236,21,1,1),OFFSET(Table2,0,1,ROWS(Table2),8),3,0),VLOOKUP(OFFSET(Table22,236,22,1,1),Table2,4,0))</f>
        <v>21337220</v>
      </c>
      <c r="I237" s="2" t="n">
        <f aca="false">IFERROR(VLOOKUP(OFFSET(Table22,236,21,1,1),OFFSET(Table2,0,1,ROWS(Table2),8),4,0),VLOOKUP(OFFSET(Table22,236,22,1,1),Table2,5,0))</f>
        <v>720192</v>
      </c>
      <c r="J237" s="3" t="str">
        <f aca="false">IF(ISNUMBER(SEARCH("FACEBOOK",W237)),"Facebook",IF(ISNUMBER(SEARCH("INSTAGRAM",W237)),"Facebook-Instagram","Look at taxonomy"))</f>
        <v>Facebook</v>
      </c>
      <c r="K237" s="3" t="str">
        <f aca="false">IF(ISNUMBER(SEARCH("Facebook",J237)),"3654128","Not Facebook")</f>
        <v>3654128</v>
      </c>
      <c r="L237" s="3" t="str">
        <f aca="false">IFERROR(VLOOKUP(OFFSET(Table22,236,21,1,1),OFFSET(Table2,0,1,ROWS(Table2),8),7,0),VLOOKUP(OFFSET(Table22,236,22,1,1),Table2,8,0))</f>
        <v>AzurePlatform_FreeAcctRetargetingFB-Animated-ChC_CAN_1200x628_SOC_Plat_EN_Free Account_Standard_ANI_SU_T3_1</v>
      </c>
      <c r="M237" s="2" t="n">
        <f aca="false">IFERROR(VLOOKUP(OFFSET(Table22,236,21,1,1),OFFSET(Table2,0,1,ROWS(Table2),8),8,0),VLOOKUP(OFFSET(Table22,236,22,1,1),Table2,9,0))</f>
        <v>102900682</v>
      </c>
      <c r="N237" s="15" t="s">
        <v>29</v>
      </c>
      <c r="O237" s="16" t="n">
        <v>43352</v>
      </c>
      <c r="P237" s="17" t="s">
        <v>64</v>
      </c>
      <c r="Q237" s="18" t="s">
        <v>65</v>
      </c>
      <c r="R237" s="17" t="s">
        <v>66</v>
      </c>
      <c r="S237" s="18" t="s">
        <v>45</v>
      </c>
      <c r="T237" s="17" t="s">
        <v>34</v>
      </c>
      <c r="U237" s="18" t="s">
        <v>39</v>
      </c>
      <c r="V237" s="19" t="n">
        <v>223691819</v>
      </c>
      <c r="W237" s="17" t="s">
        <v>90</v>
      </c>
      <c r="X237" s="17" t="n">
        <v>364</v>
      </c>
      <c r="Y237" s="17" t="n">
        <v>1</v>
      </c>
      <c r="Z237" s="17" t="n">
        <v>9.92</v>
      </c>
      <c r="AA237" s="17" t="s">
        <v>68</v>
      </c>
      <c r="AB237" s="17" t="n">
        <v>0</v>
      </c>
    </row>
    <row r="238" customFormat="false" ht="15" hidden="false" customHeight="false" outlineLevel="0" collapsed="false">
      <c r="A238" s="1" t="str">
        <f aca="false">OFFSET(Table22,237,14,1,1)&amp;OFFSET(Table22,237,21,1,1)</f>
        <v>43352227522762</v>
      </c>
      <c r="B238" s="1" t="str">
        <f aca="false">OFFSET(Table22,237,14,1,1)&amp;OFFSET(Table22,237,22,1,1)</f>
        <v>43352Facebook»AZR»1x1»NA»NA»ALL»DYN»AUT»D»All»SS»NA»Free Account Create to Convert FB - Canvas - Brand - Start Free - EN</v>
      </c>
      <c r="C238" s="1" t="s">
        <v>28</v>
      </c>
      <c r="D238" s="3" t="n">
        <f aca="false">O238+(7-WEEKDAY(O238))</f>
        <v>43358</v>
      </c>
      <c r="E238" s="1" t="str">
        <f aca="false">VLOOKUP(OFFSET(Table22,237,16,1,1),Key!B:D,2,0)</f>
        <v>Canada</v>
      </c>
      <c r="F238" s="1" t="str">
        <f aca="false">IF(ISNUMBER(SEARCH("Canvas",U238)),"Link",IF(ISNUMBER(SEARCH("Link",U238)),"Link","Not filled properly"))</f>
        <v>Link</v>
      </c>
      <c r="G238" s="1" t="str">
        <f aca="false">IFERROR(VLOOKUP(OFFSET(Table22,237,21,1,1),OFFSET(Table2,0,1,ROWS(Table2),8),2,0),VLOOKUP(OFFSET(Table22,237,22,1,1),Table2,3,0))</f>
        <v>CAN_gaPMG_AZR_AZR_Q1_19_Trial-Social</v>
      </c>
      <c r="H238" s="1" t="n">
        <f aca="false">IFERROR(VLOOKUP(OFFSET(Table22,237,21,1,1),OFFSET(Table2,0,1,ROWS(Table2),8),3,0),VLOOKUP(OFFSET(Table22,237,22,1,1),Table2,4,0))</f>
        <v>21337220</v>
      </c>
      <c r="I238" s="2" t="n">
        <f aca="false">IFERROR(VLOOKUP(OFFSET(Table22,237,21,1,1),OFFSET(Table2,0,1,ROWS(Table2),8),4,0),VLOOKUP(OFFSET(Table22,237,22,1,1),Table2,5,0))</f>
        <v>720192</v>
      </c>
      <c r="J238" s="3" t="str">
        <f aca="false">IF(ISNUMBER(SEARCH("FACEBOOK",W238)),"Facebook",IF(ISNUMBER(SEARCH("INSTAGRAM",W238)),"Facebook-Instagram","Look at taxonomy"))</f>
        <v>Facebook</v>
      </c>
      <c r="K238" s="3" t="str">
        <f aca="false">IF(ISNUMBER(SEARCH("Facebook",J238)),"3654128","Not Facebook")</f>
        <v>3654128</v>
      </c>
      <c r="L238" s="3" t="str">
        <f aca="false">IFERROR(VLOOKUP(OFFSET(Table22,237,21,1,1),OFFSET(Table2,0,1,ROWS(Table2),8),7,0),VLOOKUP(OFFSET(Table22,237,22,1,1),Table2,8,0))</f>
        <v>AzurePlatform_FBCTCBrandinMotion_CAN_1080x1080_SOC_12s_ISV_English_Standard_NA_FTR_T2_1</v>
      </c>
      <c r="M238" s="2" t="n">
        <f aca="false">IFERROR(VLOOKUP(OFFSET(Table22,237,21,1,1),OFFSET(Table2,0,1,ROWS(Table2),8),8,0),VLOOKUP(OFFSET(Table22,237,22,1,1),Table2,9,0))</f>
        <v>105216992</v>
      </c>
      <c r="N238" s="15" t="s">
        <v>29</v>
      </c>
      <c r="O238" s="16" t="n">
        <v>43352</v>
      </c>
      <c r="P238" s="17" t="s">
        <v>64</v>
      </c>
      <c r="Q238" s="18" t="s">
        <v>65</v>
      </c>
      <c r="R238" s="17" t="s">
        <v>66</v>
      </c>
      <c r="S238" s="18" t="s">
        <v>45</v>
      </c>
      <c r="T238" s="17" t="s">
        <v>34</v>
      </c>
      <c r="U238" s="18" t="s">
        <v>39</v>
      </c>
      <c r="V238" s="19" t="n">
        <v>227522762</v>
      </c>
      <c r="W238" s="17" t="s">
        <v>86</v>
      </c>
      <c r="X238" s="17" t="n">
        <v>799</v>
      </c>
      <c r="Y238" s="17" t="n">
        <v>6</v>
      </c>
      <c r="Z238" s="17" t="n">
        <v>14.41</v>
      </c>
      <c r="AA238" s="17" t="s">
        <v>68</v>
      </c>
      <c r="AB238" s="17" t="n">
        <v>0</v>
      </c>
    </row>
    <row r="239" customFormat="false" ht="15" hidden="false" customHeight="false" outlineLevel="0" collapsed="false">
      <c r="A239" s="1" t="str">
        <f aca="false">OFFSET(Table22,238,14,1,1)&amp;OFFSET(Table22,238,21,1,1)</f>
        <v>43352223691768</v>
      </c>
      <c r="B239" s="1" t="str">
        <f aca="false">OFFSET(Table22,238,14,1,1)&amp;OFFSET(Table22,238,22,1,1)</f>
        <v>43352Facebook»AZR»1x1»SocialBan»NA»ALL»DYN»AUT»D»All»SS»NA»Free Acc Refresh - T2 - FR</v>
      </c>
      <c r="C239" s="1" t="s">
        <v>28</v>
      </c>
      <c r="D239" s="3" t="n">
        <f aca="false">O239+(7-WEEKDAY(O239))</f>
        <v>43358</v>
      </c>
      <c r="E239" s="1" t="str">
        <f aca="false">VLOOKUP(OFFSET(Table22,238,16,1,1),Key!B:D,2,0)</f>
        <v>Canada</v>
      </c>
      <c r="F239" s="1" t="str">
        <f aca="false">IF(ISNUMBER(SEARCH("Canvas",U239)),"Link",IF(ISNUMBER(SEARCH("Link",U239)),"Link","Not filled properly"))</f>
        <v>Link</v>
      </c>
      <c r="G239" s="1" t="str">
        <f aca="false">IFERROR(VLOOKUP(OFFSET(Table22,238,21,1,1),OFFSET(Table2,0,1,ROWS(Table2),8),2,0),VLOOKUP(OFFSET(Table22,238,22,1,1),Table2,3,0))</f>
        <v>CAN_gaPMG_AZR_AZR_Q1_19_Trial-Social</v>
      </c>
      <c r="H239" s="1" t="n">
        <f aca="false">IFERROR(VLOOKUP(OFFSET(Table22,238,21,1,1),OFFSET(Table2,0,1,ROWS(Table2),8),3,0),VLOOKUP(OFFSET(Table22,238,22,1,1),Table2,4,0))</f>
        <v>21337220</v>
      </c>
      <c r="I239" s="2" t="n">
        <f aca="false">IFERROR(VLOOKUP(OFFSET(Table22,238,21,1,1),OFFSET(Table2,0,1,ROWS(Table2),8),4,0),VLOOKUP(OFFSET(Table22,238,22,1,1),Table2,5,0))</f>
        <v>720192</v>
      </c>
      <c r="J239" s="3" t="str">
        <f aca="false">IF(ISNUMBER(SEARCH("FACEBOOK",W239)),"Facebook",IF(ISNUMBER(SEARCH("INSTAGRAM",W239)),"Facebook-Instagram","Look at taxonomy"))</f>
        <v>Facebook</v>
      </c>
      <c r="K239" s="3" t="str">
        <f aca="false">IF(ISNUMBER(SEARCH("Facebook",J239)),"3654128","Not Facebook")</f>
        <v>3654128</v>
      </c>
      <c r="L239" s="3" t="str">
        <f aca="false">IFERROR(VLOOKUP(OFFSET(Table22,238,21,1,1),OFFSET(Table2,0,1,ROWS(Table2),8),7,0),VLOOKUP(OFFSET(Table22,238,22,1,1),Table2,8,0))</f>
        <v>AzurePlatform_FreeAcctAppsFACEBOOKDeviceChB_CAN_1200x628_SOC_PLAT_FR_Trial_Standard_NA_SU_T2_1.png</v>
      </c>
      <c r="M239" s="2" t="n">
        <f aca="false">IFERROR(VLOOKUP(OFFSET(Table22,238,21,1,1),OFFSET(Table2,0,1,ROWS(Table2),8),8,0),VLOOKUP(OFFSET(Table22,238,22,1,1),Table2,9,0))</f>
        <v>102902971</v>
      </c>
      <c r="N239" s="15" t="s">
        <v>29</v>
      </c>
      <c r="O239" s="16" t="n">
        <v>43352</v>
      </c>
      <c r="P239" s="17" t="s">
        <v>64</v>
      </c>
      <c r="Q239" s="18" t="s">
        <v>65</v>
      </c>
      <c r="R239" s="17" t="s">
        <v>66</v>
      </c>
      <c r="S239" s="18" t="s">
        <v>45</v>
      </c>
      <c r="T239" s="17" t="s">
        <v>34</v>
      </c>
      <c r="U239" s="18" t="s">
        <v>39</v>
      </c>
      <c r="V239" s="19" t="n">
        <v>223691768</v>
      </c>
      <c r="W239" s="17" t="s">
        <v>101</v>
      </c>
      <c r="X239" s="17" t="n">
        <v>248</v>
      </c>
      <c r="Y239" s="17" t="n">
        <v>2</v>
      </c>
      <c r="Z239" s="17" t="n">
        <v>4.43</v>
      </c>
      <c r="AA239" s="17" t="s">
        <v>68</v>
      </c>
      <c r="AB239" s="17" t="n">
        <v>0</v>
      </c>
    </row>
    <row r="240" customFormat="false" ht="15" hidden="false" customHeight="false" outlineLevel="0" collapsed="false">
      <c r="A240" s="1" t="str">
        <f aca="false">OFFSET(Table22,239,14,1,1)&amp;OFFSET(Table22,239,21,1,1)</f>
        <v>43352223691828</v>
      </c>
      <c r="B240" s="1" t="str">
        <f aca="false">OFFSET(Table22,239,14,1,1)&amp;OFFSET(Table22,239,22,1,1)</f>
        <v>43352Facebook»AZR»1x1»SocialBan»NA»ALL»DYN»RT»D»All»SS»NA» Free Account Retargeting OSS - T1 - EN</v>
      </c>
      <c r="C240" s="1" t="s">
        <v>28</v>
      </c>
      <c r="D240" s="3" t="n">
        <f aca="false">O240+(7-WEEKDAY(O240))</f>
        <v>43358</v>
      </c>
      <c r="E240" s="1" t="str">
        <f aca="false">VLOOKUP(OFFSET(Table22,239,16,1,1),Key!B:D,2,0)</f>
        <v>Canada</v>
      </c>
      <c r="F240" s="1" t="str">
        <f aca="false">IF(ISNUMBER(SEARCH("Canvas",U240)),"Link",IF(ISNUMBER(SEARCH("Link",U240)),"Link","Not filled properly"))</f>
        <v>Link</v>
      </c>
      <c r="G240" s="1" t="str">
        <f aca="false">IFERROR(VLOOKUP(OFFSET(Table22,239,21,1,1),OFFSET(Table2,0,1,ROWS(Table2),8),2,0),VLOOKUP(OFFSET(Table22,239,22,1,1),Table2,3,0))</f>
        <v>CAN_gaPMG_AZR_AZR_Q1_19_Trial-Social</v>
      </c>
      <c r="H240" s="1" t="n">
        <f aca="false">IFERROR(VLOOKUP(OFFSET(Table22,239,21,1,1),OFFSET(Table2,0,1,ROWS(Table2),8),3,0),VLOOKUP(OFFSET(Table22,239,22,1,1),Table2,4,0))</f>
        <v>21337220</v>
      </c>
      <c r="I240" s="2" t="n">
        <f aca="false">IFERROR(VLOOKUP(OFFSET(Table22,239,21,1,1),OFFSET(Table2,0,1,ROWS(Table2),8),4,0),VLOOKUP(OFFSET(Table22,239,22,1,1),Table2,5,0))</f>
        <v>720192</v>
      </c>
      <c r="J240" s="3" t="str">
        <f aca="false">IF(ISNUMBER(SEARCH("FACEBOOK",W240)),"Facebook",IF(ISNUMBER(SEARCH("INSTAGRAM",W240)),"Facebook-Instagram","Look at taxonomy"))</f>
        <v>Facebook</v>
      </c>
      <c r="K240" s="3" t="str">
        <f aca="false">IF(ISNUMBER(SEARCH("Facebook",J240)),"3654128","Not Facebook")</f>
        <v>3654128</v>
      </c>
      <c r="L240" s="3" t="str">
        <f aca="false">IFERROR(VLOOKUP(OFFSET(Table22,239,21,1,1),OFFSET(Table2,0,1,ROWS(Table2),8),7,0),VLOOKUP(OFFSET(Table22,239,22,1,1),Table2,8,0))</f>
        <v>AzurePlatform_FreeAcctRetargetingOSSFB-Text-ChF_CAN_1200x628_SOC_Plat_EN_Free Account_Standard_NA_SU_T1_1</v>
      </c>
      <c r="M240" s="2" t="n">
        <f aca="false">IFERROR(VLOOKUP(OFFSET(Table22,239,21,1,1),OFFSET(Table2,0,1,ROWS(Table2),8),8,0),VLOOKUP(OFFSET(Table22,239,22,1,1),Table2,9,0))</f>
        <v>102902956</v>
      </c>
      <c r="N240" s="15" t="s">
        <v>29</v>
      </c>
      <c r="O240" s="16" t="n">
        <v>43352</v>
      </c>
      <c r="P240" s="17" t="s">
        <v>64</v>
      </c>
      <c r="Q240" s="18" t="s">
        <v>65</v>
      </c>
      <c r="R240" s="17" t="s">
        <v>66</v>
      </c>
      <c r="S240" s="18" t="s">
        <v>45</v>
      </c>
      <c r="T240" s="17" t="s">
        <v>34</v>
      </c>
      <c r="U240" s="18" t="s">
        <v>39</v>
      </c>
      <c r="V240" s="19" t="n">
        <v>223691828</v>
      </c>
      <c r="W240" s="17" t="s">
        <v>91</v>
      </c>
      <c r="X240" s="17" t="n">
        <v>375</v>
      </c>
      <c r="Y240" s="17" t="n">
        <v>1</v>
      </c>
      <c r="Z240" s="17" t="n">
        <v>5.82</v>
      </c>
      <c r="AA240" s="17" t="s">
        <v>68</v>
      </c>
      <c r="AB240" s="17" t="n">
        <v>0</v>
      </c>
    </row>
    <row r="241" customFormat="false" ht="15" hidden="false" customHeight="false" outlineLevel="0" collapsed="false">
      <c r="A241" s="1" t="str">
        <f aca="false">OFFSET(Table22,240,14,1,1)&amp;OFFSET(Table22,240,21,1,1)</f>
        <v>43352223691834</v>
      </c>
      <c r="B241" s="1" t="str">
        <f aca="false">OFFSET(Table22,240,14,1,1)&amp;OFFSET(Table22,240,22,1,1)</f>
        <v>43352Facebook»AZR»1x1»SocialBan»NA»ALL»DYN»RT»D»All»SS»NA»Free Account Retargeting Generic - T2 - EN</v>
      </c>
      <c r="C241" s="1" t="s">
        <v>28</v>
      </c>
      <c r="D241" s="3" t="n">
        <f aca="false">O241+(7-WEEKDAY(O241))</f>
        <v>43358</v>
      </c>
      <c r="E241" s="1" t="str">
        <f aca="false">VLOOKUP(OFFSET(Table22,240,16,1,1),Key!B:D,2,0)</f>
        <v>Canada</v>
      </c>
      <c r="F241" s="1" t="str">
        <f aca="false">IF(ISNUMBER(SEARCH("Canvas",U241)),"Link",IF(ISNUMBER(SEARCH("Link",U241)),"Link","Not filled properly"))</f>
        <v>Link</v>
      </c>
      <c r="G241" s="1" t="str">
        <f aca="false">IFERROR(VLOOKUP(OFFSET(Table22,240,21,1,1),OFFSET(Table2,0,1,ROWS(Table2),8),2,0),VLOOKUP(OFFSET(Table22,240,22,1,1),Table2,3,0))</f>
        <v>CAN_gaPMG_AZR_AZR_Q1_19_Trial-Social</v>
      </c>
      <c r="H241" s="1" t="n">
        <f aca="false">IFERROR(VLOOKUP(OFFSET(Table22,240,21,1,1),OFFSET(Table2,0,1,ROWS(Table2),8),3,0),VLOOKUP(OFFSET(Table22,240,22,1,1),Table2,4,0))</f>
        <v>21337220</v>
      </c>
      <c r="I241" s="2" t="n">
        <f aca="false">IFERROR(VLOOKUP(OFFSET(Table22,240,21,1,1),OFFSET(Table2,0,1,ROWS(Table2),8),4,0),VLOOKUP(OFFSET(Table22,240,22,1,1),Table2,5,0))</f>
        <v>720192</v>
      </c>
      <c r="J241" s="3" t="str">
        <f aca="false">IF(ISNUMBER(SEARCH("FACEBOOK",W241)),"Facebook",IF(ISNUMBER(SEARCH("INSTAGRAM",W241)),"Facebook-Instagram","Look at taxonomy"))</f>
        <v>Facebook</v>
      </c>
      <c r="K241" s="3" t="str">
        <f aca="false">IF(ISNUMBER(SEARCH("Facebook",J241)),"3654128","Not Facebook")</f>
        <v>3654128</v>
      </c>
      <c r="L241" s="3" t="str">
        <f aca="false">IFERROR(VLOOKUP(OFFSET(Table22,240,21,1,1),OFFSET(Table2,0,1,ROWS(Table2),8),7,0),VLOOKUP(OFFSET(Table22,240,22,1,1),Table2,8,0))</f>
        <v>AzurePlatform_FreeAcctRetargetingFB-GlobalAlt-ChB_CAN_1200x628_SOC_Plat_EN_Free Account_Standard_NA_SU_T2_1</v>
      </c>
      <c r="M241" s="2" t="n">
        <f aca="false">IFERROR(VLOOKUP(OFFSET(Table22,240,21,1,1),OFFSET(Table2,0,1,ROWS(Table2),8),8,0),VLOOKUP(OFFSET(Table22,240,22,1,1),Table2,9,0))</f>
        <v>102902953</v>
      </c>
      <c r="N241" s="15" t="s">
        <v>29</v>
      </c>
      <c r="O241" s="16" t="n">
        <v>43352</v>
      </c>
      <c r="P241" s="17" t="s">
        <v>64</v>
      </c>
      <c r="Q241" s="18" t="s">
        <v>65</v>
      </c>
      <c r="R241" s="17" t="s">
        <v>66</v>
      </c>
      <c r="S241" s="18" t="s">
        <v>45</v>
      </c>
      <c r="T241" s="17" t="s">
        <v>34</v>
      </c>
      <c r="U241" s="18" t="s">
        <v>39</v>
      </c>
      <c r="V241" s="19" t="n">
        <v>223691834</v>
      </c>
      <c r="W241" s="17" t="s">
        <v>88</v>
      </c>
      <c r="X241" s="17" t="n">
        <v>417</v>
      </c>
      <c r="Y241" s="17" t="n">
        <v>3</v>
      </c>
      <c r="Z241" s="17" t="n">
        <v>8.58</v>
      </c>
      <c r="AA241" s="17" t="s">
        <v>68</v>
      </c>
      <c r="AB241" s="17" t="n">
        <v>0</v>
      </c>
    </row>
    <row r="242" customFormat="false" ht="15" hidden="false" customHeight="false" outlineLevel="0" collapsed="false">
      <c r="A242" s="1" t="str">
        <f aca="false">OFFSET(Table22,241,14,1,1)&amp;OFFSET(Table22,241,21,1,1)</f>
        <v>43352223691822</v>
      </c>
      <c r="B242" s="1" t="str">
        <f aca="false">OFFSET(Table22,241,14,1,1)&amp;OFFSET(Table22,241,22,1,1)</f>
        <v>43352Facebook»AZR»1x1»SocialBan»NA»ALL»DYN»RT»D»All»SS»NA»Free Account Retargeting VM - T2 - EN</v>
      </c>
      <c r="C242" s="1" t="s">
        <v>28</v>
      </c>
      <c r="D242" s="3" t="n">
        <f aca="false">O242+(7-WEEKDAY(O242))</f>
        <v>43358</v>
      </c>
      <c r="E242" s="1" t="str">
        <f aca="false">VLOOKUP(OFFSET(Table22,241,16,1,1),Key!B:D,2,0)</f>
        <v>Canada</v>
      </c>
      <c r="F242" s="1" t="str">
        <f aca="false">IF(ISNUMBER(SEARCH("Canvas",U242)),"Link",IF(ISNUMBER(SEARCH("Link",U242)),"Link","Not filled properly"))</f>
        <v>Link</v>
      </c>
      <c r="G242" s="1" t="str">
        <f aca="false">IFERROR(VLOOKUP(OFFSET(Table22,241,21,1,1),OFFSET(Table2,0,1,ROWS(Table2),8),2,0),VLOOKUP(OFFSET(Table22,241,22,1,1),Table2,3,0))</f>
        <v>CAN_gaPMG_AZR_AZR_Q1_19_Trial-Social</v>
      </c>
      <c r="H242" s="1" t="n">
        <f aca="false">IFERROR(VLOOKUP(OFFSET(Table22,241,21,1,1),OFFSET(Table2,0,1,ROWS(Table2),8),3,0),VLOOKUP(OFFSET(Table22,241,22,1,1),Table2,4,0))</f>
        <v>21337220</v>
      </c>
      <c r="I242" s="2" t="n">
        <f aca="false">IFERROR(VLOOKUP(OFFSET(Table22,241,21,1,1),OFFSET(Table2,0,1,ROWS(Table2),8),4,0),VLOOKUP(OFFSET(Table22,241,22,1,1),Table2,5,0))</f>
        <v>720192</v>
      </c>
      <c r="J242" s="3" t="str">
        <f aca="false">IF(ISNUMBER(SEARCH("FACEBOOK",W242)),"Facebook",IF(ISNUMBER(SEARCH("INSTAGRAM",W242)),"Facebook-Instagram","Look at taxonomy"))</f>
        <v>Facebook</v>
      </c>
      <c r="K242" s="3" t="str">
        <f aca="false">IF(ISNUMBER(SEARCH("Facebook",J242)),"3654128","Not Facebook")</f>
        <v>3654128</v>
      </c>
      <c r="L242" s="3" t="str">
        <f aca="false">IFERROR(VLOOKUP(OFFSET(Table22,241,21,1,1),OFFSET(Table2,0,1,ROWS(Table2),8),7,0),VLOOKUP(OFFSET(Table22,241,22,1,1),Table2,8,0))</f>
        <v>AzurePlatform_FreeAcctRetargetingVMFB-OnDemand-ChE_CAN_1200x628_SOC_Plat_EN_Free Account_Standard_NA_SU_T2_1</v>
      </c>
      <c r="M242" s="2" t="n">
        <f aca="false">IFERROR(VLOOKUP(OFFSET(Table22,241,21,1,1),OFFSET(Table2,0,1,ROWS(Table2),8),8,0),VLOOKUP(OFFSET(Table22,241,22,1,1),Table2,9,0))</f>
        <v>103058708</v>
      </c>
      <c r="N242" s="15" t="s">
        <v>29</v>
      </c>
      <c r="O242" s="16" t="n">
        <v>43352</v>
      </c>
      <c r="P242" s="17" t="s">
        <v>64</v>
      </c>
      <c r="Q242" s="18" t="s">
        <v>65</v>
      </c>
      <c r="R242" s="17" t="s">
        <v>66</v>
      </c>
      <c r="S242" s="18" t="s">
        <v>45</v>
      </c>
      <c r="T242" s="17" t="s">
        <v>34</v>
      </c>
      <c r="U242" s="18" t="s">
        <v>39</v>
      </c>
      <c r="V242" s="19" t="n">
        <v>223691822</v>
      </c>
      <c r="W242" s="17" t="s">
        <v>89</v>
      </c>
      <c r="X242" s="17" t="n">
        <v>1206</v>
      </c>
      <c r="Y242" s="17" t="n">
        <v>1</v>
      </c>
      <c r="Z242" s="17" t="n">
        <v>30.87</v>
      </c>
      <c r="AA242" s="17" t="s">
        <v>68</v>
      </c>
      <c r="AB242" s="17" t="n">
        <v>0</v>
      </c>
    </row>
    <row r="243" customFormat="false" ht="15" hidden="false" customHeight="false" outlineLevel="0" collapsed="false">
      <c r="A243" s="1" t="str">
        <f aca="false">OFFSET(Table22,242,14,1,1)&amp;OFFSET(Table22,242,21,1,1)</f>
        <v>43352223691825</v>
      </c>
      <c r="B243" s="1" t="str">
        <f aca="false">OFFSET(Table22,242,14,1,1)&amp;OFFSET(Table22,242,22,1,1)</f>
        <v>43352Facebook»AZR»1x1»SocialBan»NA»ALL»DYN»RT»D»All»SS»NA»Free Account Retargeting VM - T1 - EN</v>
      </c>
      <c r="C243" s="1" t="s">
        <v>28</v>
      </c>
      <c r="D243" s="3" t="n">
        <f aca="false">O243+(7-WEEKDAY(O243))</f>
        <v>43358</v>
      </c>
      <c r="E243" s="1" t="str">
        <f aca="false">VLOOKUP(OFFSET(Table22,242,16,1,1),Key!B:D,2,0)</f>
        <v>Canada</v>
      </c>
      <c r="F243" s="1" t="str">
        <f aca="false">IF(ISNUMBER(SEARCH("Canvas",U243)),"Link",IF(ISNUMBER(SEARCH("Link",U243)),"Link","Not filled properly"))</f>
        <v>Link</v>
      </c>
      <c r="G243" s="1" t="str">
        <f aca="false">IFERROR(VLOOKUP(OFFSET(Table22,242,21,1,1),OFFSET(Table2,0,1,ROWS(Table2),8),2,0),VLOOKUP(OFFSET(Table22,242,22,1,1),Table2,3,0))</f>
        <v>CAN_gaPMG_AZR_AZR_Q1_19_Trial-Social</v>
      </c>
      <c r="H243" s="1" t="n">
        <f aca="false">IFERROR(VLOOKUP(OFFSET(Table22,242,21,1,1),OFFSET(Table2,0,1,ROWS(Table2),8),3,0),VLOOKUP(OFFSET(Table22,242,22,1,1),Table2,4,0))</f>
        <v>21337220</v>
      </c>
      <c r="I243" s="2" t="n">
        <f aca="false">IFERROR(VLOOKUP(OFFSET(Table22,242,21,1,1),OFFSET(Table2,0,1,ROWS(Table2),8),4,0),VLOOKUP(OFFSET(Table22,242,22,1,1),Table2,5,0))</f>
        <v>720192</v>
      </c>
      <c r="J243" s="3" t="str">
        <f aca="false">IF(ISNUMBER(SEARCH("FACEBOOK",W243)),"Facebook",IF(ISNUMBER(SEARCH("INSTAGRAM",W243)),"Facebook-Instagram","Look at taxonomy"))</f>
        <v>Facebook</v>
      </c>
      <c r="K243" s="3" t="str">
        <f aca="false">IF(ISNUMBER(SEARCH("Facebook",J243)),"3654128","Not Facebook")</f>
        <v>3654128</v>
      </c>
      <c r="L243" s="3" t="str">
        <f aca="false">IFERROR(VLOOKUP(OFFSET(Table22,242,21,1,1),OFFSET(Table2,0,1,ROWS(Table2),8),7,0),VLOOKUP(OFFSET(Table22,242,22,1,1),Table2,8,0))</f>
        <v>AzurePlatform_FreeAcctRetargetingVMFB-750Hrs-ChD_CAN_1200x628_SOC_Plat_EN_Free Account_Standard_NA_SU_T1_1</v>
      </c>
      <c r="M243" s="2" t="n">
        <f aca="false">IFERROR(VLOOKUP(OFFSET(Table22,242,21,1,1),OFFSET(Table2,0,1,ROWS(Table2),8),8,0),VLOOKUP(OFFSET(Table22,242,22,1,1),Table2,9,0))</f>
        <v>102916338</v>
      </c>
      <c r="N243" s="15" t="s">
        <v>29</v>
      </c>
      <c r="O243" s="16" t="n">
        <v>43352</v>
      </c>
      <c r="P243" s="17" t="s">
        <v>64</v>
      </c>
      <c r="Q243" s="18" t="s">
        <v>65</v>
      </c>
      <c r="R243" s="17" t="s">
        <v>66</v>
      </c>
      <c r="S243" s="18" t="s">
        <v>45</v>
      </c>
      <c r="T243" s="17" t="s">
        <v>34</v>
      </c>
      <c r="U243" s="18" t="s">
        <v>39</v>
      </c>
      <c r="V243" s="19" t="n">
        <v>223691825</v>
      </c>
      <c r="W243" s="17" t="s">
        <v>80</v>
      </c>
      <c r="X243" s="17" t="n">
        <v>4079</v>
      </c>
      <c r="Y243" s="17" t="n">
        <v>7</v>
      </c>
      <c r="Z243" s="17" t="n">
        <v>166.56</v>
      </c>
      <c r="AA243" s="17" t="s">
        <v>68</v>
      </c>
      <c r="AB243" s="17" t="n">
        <v>0</v>
      </c>
    </row>
    <row r="244" customFormat="false" ht="15" hidden="false" customHeight="false" outlineLevel="0" collapsed="false">
      <c r="A244" s="1" t="str">
        <f aca="false">OFFSET(Table22,243,14,1,1)&amp;OFFSET(Table22,243,21,1,1)</f>
        <v>43352223691795</v>
      </c>
      <c r="B244" s="1" t="str">
        <f aca="false">OFFSET(Table22,243,14,1,1)&amp;OFFSET(Table22,243,22,1,1)</f>
        <v>43352Facebook»AZR»1x1»NA»EGV»ALL»DYN»AUT»D»All»SS»NA»Free Acc CTC - T4 - FR</v>
      </c>
      <c r="C244" s="1" t="s">
        <v>28</v>
      </c>
      <c r="D244" s="3" t="n">
        <f aca="false">O244+(7-WEEKDAY(O244))</f>
        <v>43358</v>
      </c>
      <c r="E244" s="1" t="str">
        <f aca="false">VLOOKUP(OFFSET(Table22,243,16,1,1),Key!B:D,2,0)</f>
        <v>Canada</v>
      </c>
      <c r="F244" s="1" t="str">
        <f aca="false">IF(ISNUMBER(SEARCH("Canvas",U244)),"Link",IF(ISNUMBER(SEARCH("Link",U244)),"Link","Not filled properly"))</f>
        <v>Link</v>
      </c>
      <c r="G244" s="1" t="str">
        <f aca="false">IFERROR(VLOOKUP(OFFSET(Table22,243,21,1,1),OFFSET(Table2,0,1,ROWS(Table2),8),2,0),VLOOKUP(OFFSET(Table22,243,22,1,1),Table2,3,0))</f>
        <v>CAN_gaPMG_AZR_AZR_Q1_19_Trial-Social</v>
      </c>
      <c r="H244" s="1" t="n">
        <f aca="false">IFERROR(VLOOKUP(OFFSET(Table22,243,21,1,1),OFFSET(Table2,0,1,ROWS(Table2),8),3,0),VLOOKUP(OFFSET(Table22,243,22,1,1),Table2,4,0))</f>
        <v>21337220</v>
      </c>
      <c r="I244" s="2" t="n">
        <f aca="false">IFERROR(VLOOKUP(OFFSET(Table22,243,21,1,1),OFFSET(Table2,0,1,ROWS(Table2),8),4,0),VLOOKUP(OFFSET(Table22,243,22,1,1),Table2,5,0))</f>
        <v>720192</v>
      </c>
      <c r="J244" s="3" t="str">
        <f aca="false">IF(ISNUMBER(SEARCH("FACEBOOK",W244)),"Facebook",IF(ISNUMBER(SEARCH("INSTAGRAM",W244)),"Facebook-Instagram","Look at taxonomy"))</f>
        <v>Facebook</v>
      </c>
      <c r="K244" s="3" t="str">
        <f aca="false">IF(ISNUMBER(SEARCH("Facebook",J244)),"3654128","Not Facebook")</f>
        <v>3654128</v>
      </c>
      <c r="L244" s="3" t="str">
        <f aca="false">IFERROR(VLOOKUP(OFFSET(Table22,243,21,1,1),OFFSET(Table2,0,1,ROWS(Table2),8),7,0),VLOOKUP(OFFSET(Table22,243,22,1,1),Table2,8,0))</f>
        <v>AzurePlatform_FBCTCBenefit2inMotion_CAN_14s_ISV_PLAT_FR_Trial_Standard_STAN_TN_T4_1</v>
      </c>
      <c r="M244" s="2" t="n">
        <f aca="false">IFERROR(VLOOKUP(OFFSET(Table22,243,21,1,1),OFFSET(Table2,0,1,ROWS(Table2),8),8,0),VLOOKUP(OFFSET(Table22,243,22,1,1),Table2,9,0))</f>
        <v>102900688</v>
      </c>
      <c r="N244" s="15" t="s">
        <v>29</v>
      </c>
      <c r="O244" s="16" t="n">
        <v>43352</v>
      </c>
      <c r="P244" s="17" t="s">
        <v>64</v>
      </c>
      <c r="Q244" s="18" t="s">
        <v>65</v>
      </c>
      <c r="R244" s="17" t="s">
        <v>66</v>
      </c>
      <c r="S244" s="18" t="s">
        <v>45</v>
      </c>
      <c r="T244" s="17" t="s">
        <v>34</v>
      </c>
      <c r="U244" s="18" t="s">
        <v>39</v>
      </c>
      <c r="V244" s="19" t="n">
        <v>223691795</v>
      </c>
      <c r="W244" s="17" t="s">
        <v>87</v>
      </c>
      <c r="X244" s="17" t="n">
        <v>201</v>
      </c>
      <c r="Y244" s="17" t="n">
        <v>0</v>
      </c>
      <c r="Z244" s="17" t="n">
        <v>3.54</v>
      </c>
      <c r="AA244" s="17" t="s">
        <v>68</v>
      </c>
      <c r="AB244" s="17" t="n">
        <v>0</v>
      </c>
    </row>
    <row r="245" customFormat="false" ht="15" hidden="false" customHeight="false" outlineLevel="0" collapsed="false">
      <c r="A245" s="1" t="str">
        <f aca="false">OFFSET(Table22,244,14,1,1)&amp;OFFSET(Table22,244,21,1,1)</f>
        <v>43352223691831</v>
      </c>
      <c r="B245" s="1" t="str">
        <f aca="false">OFFSET(Table22,244,14,1,1)&amp;OFFSET(Table22,244,22,1,1)</f>
        <v>43352Facebook»AZR»1x1»SocialBan»NA»ALL»DYN»RT»D»All»SS»NA» Free Account Retargeting OSS - T2 - EN</v>
      </c>
      <c r="C245" s="1" t="s">
        <v>28</v>
      </c>
      <c r="D245" s="3" t="n">
        <f aca="false">O245+(7-WEEKDAY(O245))</f>
        <v>43358</v>
      </c>
      <c r="E245" s="1" t="str">
        <f aca="false">VLOOKUP(OFFSET(Table22,244,16,1,1),Key!B:D,2,0)</f>
        <v>Canada</v>
      </c>
      <c r="F245" s="1" t="str">
        <f aca="false">IF(ISNUMBER(SEARCH("Canvas",U245)),"Link",IF(ISNUMBER(SEARCH("Link",U245)),"Link","Not filled properly"))</f>
        <v>Link</v>
      </c>
      <c r="G245" s="1" t="str">
        <f aca="false">IFERROR(VLOOKUP(OFFSET(Table22,244,21,1,1),OFFSET(Table2,0,1,ROWS(Table2),8),2,0),VLOOKUP(OFFSET(Table22,244,22,1,1),Table2,3,0))</f>
        <v>CAN_gaPMG_AZR_AZR_Q1_19_Trial-Social</v>
      </c>
      <c r="H245" s="1" t="n">
        <f aca="false">IFERROR(VLOOKUP(OFFSET(Table22,244,21,1,1),OFFSET(Table2,0,1,ROWS(Table2),8),3,0),VLOOKUP(OFFSET(Table22,244,22,1,1),Table2,4,0))</f>
        <v>21337220</v>
      </c>
      <c r="I245" s="2" t="n">
        <f aca="false">IFERROR(VLOOKUP(OFFSET(Table22,244,21,1,1),OFFSET(Table2,0,1,ROWS(Table2),8),4,0),VLOOKUP(OFFSET(Table22,244,22,1,1),Table2,5,0))</f>
        <v>720192</v>
      </c>
      <c r="J245" s="3" t="str">
        <f aca="false">IF(ISNUMBER(SEARCH("FACEBOOK",W245)),"Facebook",IF(ISNUMBER(SEARCH("INSTAGRAM",W245)),"Facebook-Instagram","Look at taxonomy"))</f>
        <v>Facebook</v>
      </c>
      <c r="K245" s="3" t="str">
        <f aca="false">IF(ISNUMBER(SEARCH("Facebook",J245)),"3654128","Not Facebook")</f>
        <v>3654128</v>
      </c>
      <c r="L245" s="3" t="str">
        <f aca="false">IFERROR(VLOOKUP(OFFSET(Table22,244,21,1,1),OFFSET(Table2,0,1,ROWS(Table2),8),7,0),VLOOKUP(OFFSET(Table22,244,22,1,1),Table2,8,0))</f>
        <v>AzurePlatform_FreeAcctRetargetingOSSFB-Logos-ChG_CAN_1200x628_SOC_Plat_EN_Free Account_Standard_NA_SU_T2_1</v>
      </c>
      <c r="M245" s="2" t="n">
        <f aca="false">IFERROR(VLOOKUP(OFFSET(Table22,244,21,1,1),OFFSET(Table2,0,1,ROWS(Table2),8),8,0),VLOOKUP(OFFSET(Table22,244,22,1,1),Table2,9,0))</f>
        <v>102913800</v>
      </c>
      <c r="N245" s="15" t="s">
        <v>29</v>
      </c>
      <c r="O245" s="16" t="n">
        <v>43352</v>
      </c>
      <c r="P245" s="17" t="s">
        <v>64</v>
      </c>
      <c r="Q245" s="18" t="s">
        <v>65</v>
      </c>
      <c r="R245" s="17" t="s">
        <v>66</v>
      </c>
      <c r="S245" s="18" t="s">
        <v>45</v>
      </c>
      <c r="T245" s="17" t="s">
        <v>34</v>
      </c>
      <c r="U245" s="18" t="s">
        <v>39</v>
      </c>
      <c r="V245" s="19" t="n">
        <v>223691831</v>
      </c>
      <c r="W245" s="17" t="s">
        <v>70</v>
      </c>
      <c r="X245" s="17" t="n">
        <v>4140</v>
      </c>
      <c r="Y245" s="17" t="n">
        <v>6</v>
      </c>
      <c r="Z245" s="17" t="n">
        <v>95.92</v>
      </c>
      <c r="AA245" s="17" t="s">
        <v>68</v>
      </c>
      <c r="AB245" s="17" t="n">
        <v>0</v>
      </c>
    </row>
    <row r="246" customFormat="false" ht="15" hidden="false" customHeight="false" outlineLevel="0" collapsed="false">
      <c r="A246" s="1" t="str">
        <f aca="false">OFFSET(Table22,245,14,1,1)&amp;OFFSET(Table22,245,21,1,1)</f>
        <v>43352223691777</v>
      </c>
      <c r="B246" s="1" t="str">
        <f aca="false">OFFSET(Table22,245,14,1,1)&amp;OFFSET(Table22,245,22,1,1)</f>
        <v>43352Facebook»AZR»1x1»SocialBan»NA»ALL»DYN»RT»D»All»SS»NA»Free Account Retargeting Generic - T3 - FR</v>
      </c>
      <c r="C246" s="1" t="s">
        <v>28</v>
      </c>
      <c r="D246" s="3" t="n">
        <f aca="false">O246+(7-WEEKDAY(O246))</f>
        <v>43358</v>
      </c>
      <c r="E246" s="1" t="str">
        <f aca="false">VLOOKUP(OFFSET(Table22,245,16,1,1),Key!B:D,2,0)</f>
        <v>Canada</v>
      </c>
      <c r="F246" s="1" t="str">
        <f aca="false">IF(ISNUMBER(SEARCH("Canvas",U246)),"Link",IF(ISNUMBER(SEARCH("Link",U246)),"Link","Not filled properly"))</f>
        <v>Link</v>
      </c>
      <c r="G246" s="1" t="str">
        <f aca="false">IFERROR(VLOOKUP(OFFSET(Table22,245,21,1,1),OFFSET(Table2,0,1,ROWS(Table2),8),2,0),VLOOKUP(OFFSET(Table22,245,22,1,1),Table2,3,0))</f>
        <v>CAN_gaPMG_AZR_AZR_Q1_19_Trial-Social</v>
      </c>
      <c r="H246" s="1" t="n">
        <f aca="false">IFERROR(VLOOKUP(OFFSET(Table22,245,21,1,1),OFFSET(Table2,0,1,ROWS(Table2),8),3,0),VLOOKUP(OFFSET(Table22,245,22,1,1),Table2,4,0))</f>
        <v>21337220</v>
      </c>
      <c r="I246" s="2" t="n">
        <f aca="false">IFERROR(VLOOKUP(OFFSET(Table22,245,21,1,1),OFFSET(Table2,0,1,ROWS(Table2),8),4,0),VLOOKUP(OFFSET(Table22,245,22,1,1),Table2,5,0))</f>
        <v>720192</v>
      </c>
      <c r="J246" s="3" t="str">
        <f aca="false">IF(ISNUMBER(SEARCH("FACEBOOK",W246)),"Facebook",IF(ISNUMBER(SEARCH("INSTAGRAM",W246)),"Facebook-Instagram","Look at taxonomy"))</f>
        <v>Facebook</v>
      </c>
      <c r="K246" s="3" t="str">
        <f aca="false">IF(ISNUMBER(SEARCH("Facebook",J246)),"3654128","Not Facebook")</f>
        <v>3654128</v>
      </c>
      <c r="L246" s="3" t="str">
        <f aca="false">IFERROR(VLOOKUP(OFFSET(Table22,245,21,1,1),OFFSET(Table2,0,1,ROWS(Table2),8),7,0),VLOOKUP(OFFSET(Table22,245,22,1,1),Table2,8,0))</f>
        <v>AzurePlatform_FreeAcctRetargetingFB-Animated-ChC_CAN_1200x628_SOC_Plat_FR_Free Account_Standard_ANI_SU_T3_1</v>
      </c>
      <c r="M246" s="2" t="n">
        <f aca="false">IFERROR(VLOOKUP(OFFSET(Table22,245,21,1,1),OFFSET(Table2,0,1,ROWS(Table2),8),8,0),VLOOKUP(OFFSET(Table22,245,22,1,1),Table2,9,0))</f>
        <v>102900697</v>
      </c>
      <c r="N246" s="15" t="s">
        <v>29</v>
      </c>
      <c r="O246" s="16" t="n">
        <v>43352</v>
      </c>
      <c r="P246" s="17" t="s">
        <v>64</v>
      </c>
      <c r="Q246" s="18" t="s">
        <v>65</v>
      </c>
      <c r="R246" s="17" t="s">
        <v>66</v>
      </c>
      <c r="S246" s="18" t="s">
        <v>45</v>
      </c>
      <c r="T246" s="17" t="s">
        <v>34</v>
      </c>
      <c r="U246" s="18" t="s">
        <v>39</v>
      </c>
      <c r="V246" s="19" t="n">
        <v>223691777</v>
      </c>
      <c r="W246" s="17" t="s">
        <v>72</v>
      </c>
      <c r="X246" s="17" t="n">
        <v>500</v>
      </c>
      <c r="Y246" s="17" t="n">
        <v>1</v>
      </c>
      <c r="Z246" s="17" t="n">
        <v>20.27</v>
      </c>
      <c r="AA246" s="17" t="s">
        <v>68</v>
      </c>
      <c r="AB246" s="17" t="n">
        <v>0</v>
      </c>
    </row>
    <row r="247" customFormat="false" ht="15" hidden="false" customHeight="false" outlineLevel="0" collapsed="false">
      <c r="A247" s="1" t="str">
        <f aca="false">OFFSET(Table22,246,14,1,1)&amp;OFFSET(Table22,246,21,1,1)</f>
        <v>43352223691792</v>
      </c>
      <c r="B247" s="1" t="str">
        <f aca="false">OFFSET(Table22,246,14,1,1)&amp;OFFSET(Table22,246,22,1,1)</f>
        <v>43352Facebook»AZR»1x1»SocialBan»NA»ALL»DYN»RT»D»All»SS»NA»Free Account Retargeting Generic - T2 - FR</v>
      </c>
      <c r="C247" s="1" t="s">
        <v>28</v>
      </c>
      <c r="D247" s="3" t="n">
        <f aca="false">O247+(7-WEEKDAY(O247))</f>
        <v>43358</v>
      </c>
      <c r="E247" s="1" t="str">
        <f aca="false">VLOOKUP(OFFSET(Table22,246,16,1,1),Key!B:D,2,0)</f>
        <v>Canada</v>
      </c>
      <c r="F247" s="1" t="str">
        <f aca="false">IF(ISNUMBER(SEARCH("Canvas",U247)),"Link",IF(ISNUMBER(SEARCH("Link",U247)),"Link","Not filled properly"))</f>
        <v>Link</v>
      </c>
      <c r="G247" s="1" t="str">
        <f aca="false">IFERROR(VLOOKUP(OFFSET(Table22,246,21,1,1),OFFSET(Table2,0,1,ROWS(Table2),8),2,0),VLOOKUP(OFFSET(Table22,246,22,1,1),Table2,3,0))</f>
        <v>CAN_gaPMG_AZR_AZR_Q1_19_Trial-Social</v>
      </c>
      <c r="H247" s="1" t="n">
        <f aca="false">IFERROR(VLOOKUP(OFFSET(Table22,246,21,1,1),OFFSET(Table2,0,1,ROWS(Table2),8),3,0),VLOOKUP(OFFSET(Table22,246,22,1,1),Table2,4,0))</f>
        <v>21337220</v>
      </c>
      <c r="I247" s="2" t="n">
        <f aca="false">IFERROR(VLOOKUP(OFFSET(Table22,246,21,1,1),OFFSET(Table2,0,1,ROWS(Table2),8),4,0),VLOOKUP(OFFSET(Table22,246,22,1,1),Table2,5,0))</f>
        <v>720192</v>
      </c>
      <c r="J247" s="3" t="str">
        <f aca="false">IF(ISNUMBER(SEARCH("FACEBOOK",W247)),"Facebook",IF(ISNUMBER(SEARCH("INSTAGRAM",W247)),"Facebook-Instagram","Look at taxonomy"))</f>
        <v>Facebook</v>
      </c>
      <c r="K247" s="3" t="str">
        <f aca="false">IF(ISNUMBER(SEARCH("Facebook",J247)),"3654128","Not Facebook")</f>
        <v>3654128</v>
      </c>
      <c r="L247" s="3" t="str">
        <f aca="false">IFERROR(VLOOKUP(OFFSET(Table22,246,21,1,1),OFFSET(Table2,0,1,ROWS(Table2),8),7,0),VLOOKUP(OFFSET(Table22,246,22,1,1),Table2,8,0))</f>
        <v>AzurePlatform_FreeAcctRetargetingFB-GlobalAlt-ChB_CAN_1200x628_SOC_Plat_FR_Free Account_Standard_NA_SU_T2_1</v>
      </c>
      <c r="M247" s="2" t="n">
        <f aca="false">IFERROR(VLOOKUP(OFFSET(Table22,246,21,1,1),OFFSET(Table2,0,1,ROWS(Table2),8),8,0),VLOOKUP(OFFSET(Table22,246,22,1,1),Table2,9,0))</f>
        <v>102901894</v>
      </c>
      <c r="N247" s="15" t="s">
        <v>29</v>
      </c>
      <c r="O247" s="16" t="n">
        <v>43352</v>
      </c>
      <c r="P247" s="17" t="s">
        <v>64</v>
      </c>
      <c r="Q247" s="18" t="s">
        <v>65</v>
      </c>
      <c r="R247" s="17" t="s">
        <v>66</v>
      </c>
      <c r="S247" s="18" t="s">
        <v>45</v>
      </c>
      <c r="T247" s="17" t="s">
        <v>34</v>
      </c>
      <c r="U247" s="18" t="s">
        <v>39</v>
      </c>
      <c r="V247" s="19" t="n">
        <v>223691792</v>
      </c>
      <c r="W247" s="17" t="s">
        <v>73</v>
      </c>
      <c r="X247" s="17" t="n">
        <v>666</v>
      </c>
      <c r="Y247" s="17" t="n">
        <v>0</v>
      </c>
      <c r="Z247" s="17" t="n">
        <v>13.92</v>
      </c>
      <c r="AA247" s="17" t="s">
        <v>68</v>
      </c>
      <c r="AB247" s="17" t="n">
        <v>0</v>
      </c>
    </row>
    <row r="248" customFormat="false" ht="15" hidden="false" customHeight="false" outlineLevel="0" collapsed="false">
      <c r="A248" s="1" t="str">
        <f aca="false">OFFSET(Table22,247,14,1,1)&amp;OFFSET(Table22,247,21,1,1)</f>
        <v>43352223691789</v>
      </c>
      <c r="B248" s="1" t="str">
        <f aca="false">OFFSET(Table22,247,14,1,1)&amp;OFFSET(Table22,247,22,1,1)</f>
        <v>43352Facebook»AZR»1x1»SocialBan»NA»ALL»DYN»RT»D»All»SS»NA» Free Account Retargeting OSS - T2 - FR</v>
      </c>
      <c r="C248" s="1" t="s">
        <v>28</v>
      </c>
      <c r="D248" s="3" t="n">
        <f aca="false">O248+(7-WEEKDAY(O248))</f>
        <v>43358</v>
      </c>
      <c r="E248" s="1" t="str">
        <f aca="false">VLOOKUP(OFFSET(Table22,247,16,1,1),Key!B:D,2,0)</f>
        <v>Canada</v>
      </c>
      <c r="F248" s="1" t="str">
        <f aca="false">IF(ISNUMBER(SEARCH("Canvas",U248)),"Link",IF(ISNUMBER(SEARCH("Link",U248)),"Link","Not filled properly"))</f>
        <v>Link</v>
      </c>
      <c r="G248" s="1" t="str">
        <f aca="false">IFERROR(VLOOKUP(OFFSET(Table22,247,21,1,1),OFFSET(Table2,0,1,ROWS(Table2),8),2,0),VLOOKUP(OFFSET(Table22,247,22,1,1),Table2,3,0))</f>
        <v>CAN_gaPMG_AZR_AZR_Q1_19_Trial-Social</v>
      </c>
      <c r="H248" s="1" t="n">
        <f aca="false">IFERROR(VLOOKUP(OFFSET(Table22,247,21,1,1),OFFSET(Table2,0,1,ROWS(Table2),8),3,0),VLOOKUP(OFFSET(Table22,247,22,1,1),Table2,4,0))</f>
        <v>21337220</v>
      </c>
      <c r="I248" s="2" t="n">
        <f aca="false">IFERROR(VLOOKUP(OFFSET(Table22,247,21,1,1),OFFSET(Table2,0,1,ROWS(Table2),8),4,0),VLOOKUP(OFFSET(Table22,247,22,1,1),Table2,5,0))</f>
        <v>720192</v>
      </c>
      <c r="J248" s="3" t="str">
        <f aca="false">IF(ISNUMBER(SEARCH("FACEBOOK",W248)),"Facebook",IF(ISNUMBER(SEARCH("INSTAGRAM",W248)),"Facebook-Instagram","Look at taxonomy"))</f>
        <v>Facebook</v>
      </c>
      <c r="K248" s="3" t="str">
        <f aca="false">IF(ISNUMBER(SEARCH("Facebook",J248)),"3654128","Not Facebook")</f>
        <v>3654128</v>
      </c>
      <c r="L248" s="3" t="str">
        <f aca="false">IFERROR(VLOOKUP(OFFSET(Table22,247,21,1,1),OFFSET(Table2,0,1,ROWS(Table2),8),7,0),VLOOKUP(OFFSET(Table22,247,22,1,1),Table2,8,0))</f>
        <v>AzurePlatform_FreeAcctRetargetingOSSFB-Logos-ChG_CAN_1200x628_SOC_Plat_FR_Free Account_Standard_NA_SU_T2_1</v>
      </c>
      <c r="M248" s="2" t="n">
        <f aca="false">IFERROR(VLOOKUP(OFFSET(Table22,247,21,1,1),OFFSET(Table2,0,1,ROWS(Table2),8),8,0),VLOOKUP(OFFSET(Table22,247,22,1,1),Table2,9,0))</f>
        <v>102900691</v>
      </c>
      <c r="N248" s="15" t="s">
        <v>29</v>
      </c>
      <c r="O248" s="16" t="n">
        <v>43352</v>
      </c>
      <c r="P248" s="17" t="s">
        <v>64</v>
      </c>
      <c r="Q248" s="18" t="s">
        <v>65</v>
      </c>
      <c r="R248" s="17" t="s">
        <v>66</v>
      </c>
      <c r="S248" s="18" t="s">
        <v>45</v>
      </c>
      <c r="T248" s="17" t="s">
        <v>34</v>
      </c>
      <c r="U248" s="18" t="s">
        <v>39</v>
      </c>
      <c r="V248" s="19" t="n">
        <v>223691789</v>
      </c>
      <c r="W248" s="17" t="s">
        <v>74</v>
      </c>
      <c r="X248" s="17" t="n">
        <v>474</v>
      </c>
      <c r="Y248" s="17" t="n">
        <v>2</v>
      </c>
      <c r="Z248" s="17" t="n">
        <v>15.83</v>
      </c>
      <c r="AA248" s="17" t="s">
        <v>68</v>
      </c>
      <c r="AB248" s="17" t="n">
        <v>0</v>
      </c>
    </row>
    <row r="249" customFormat="false" ht="15" hidden="false" customHeight="false" outlineLevel="0" collapsed="false">
      <c r="A249" s="1" t="str">
        <f aca="false">OFFSET(Table22,248,14,1,1)&amp;OFFSET(Table22,248,21,1,1)</f>
        <v>43352223691780</v>
      </c>
      <c r="B249" s="1" t="str">
        <f aca="false">OFFSET(Table22,248,14,1,1)&amp;OFFSET(Table22,248,22,1,1)</f>
        <v>43352Facebook»AZR»1x1»SocialBan»NA»ALL»DYN»RT»D»All»SS»NA»Free Account Retargeting VM - T2 - FR</v>
      </c>
      <c r="C249" s="1" t="s">
        <v>28</v>
      </c>
      <c r="D249" s="3" t="n">
        <f aca="false">O249+(7-WEEKDAY(O249))</f>
        <v>43358</v>
      </c>
      <c r="E249" s="1" t="str">
        <f aca="false">VLOOKUP(OFFSET(Table22,248,16,1,1),Key!B:D,2,0)</f>
        <v>Canada</v>
      </c>
      <c r="F249" s="1" t="str">
        <f aca="false">IF(ISNUMBER(SEARCH("Canvas",U249)),"Link",IF(ISNUMBER(SEARCH("Link",U249)),"Link","Not filled properly"))</f>
        <v>Link</v>
      </c>
      <c r="G249" s="1" t="str">
        <f aca="false">IFERROR(VLOOKUP(OFFSET(Table22,248,21,1,1),OFFSET(Table2,0,1,ROWS(Table2),8),2,0),VLOOKUP(OFFSET(Table22,248,22,1,1),Table2,3,0))</f>
        <v>CAN_gaPMG_AZR_AZR_Q1_19_Trial-Social</v>
      </c>
      <c r="H249" s="1" t="n">
        <f aca="false">IFERROR(VLOOKUP(OFFSET(Table22,248,21,1,1),OFFSET(Table2,0,1,ROWS(Table2),8),3,0),VLOOKUP(OFFSET(Table22,248,22,1,1),Table2,4,0))</f>
        <v>21337220</v>
      </c>
      <c r="I249" s="2" t="n">
        <f aca="false">IFERROR(VLOOKUP(OFFSET(Table22,248,21,1,1),OFFSET(Table2,0,1,ROWS(Table2),8),4,0),VLOOKUP(OFFSET(Table22,248,22,1,1),Table2,5,0))</f>
        <v>720192</v>
      </c>
      <c r="J249" s="3" t="str">
        <f aca="false">IF(ISNUMBER(SEARCH("FACEBOOK",W249)),"Facebook",IF(ISNUMBER(SEARCH("INSTAGRAM",W249)),"Facebook-Instagram","Look at taxonomy"))</f>
        <v>Facebook</v>
      </c>
      <c r="K249" s="3" t="str">
        <f aca="false">IF(ISNUMBER(SEARCH("Facebook",J249)),"3654128","Not Facebook")</f>
        <v>3654128</v>
      </c>
      <c r="L249" s="3" t="str">
        <f aca="false">IFERROR(VLOOKUP(OFFSET(Table22,248,21,1,1),OFFSET(Table2,0,1,ROWS(Table2),8),7,0),VLOOKUP(OFFSET(Table22,248,22,1,1),Table2,8,0))</f>
        <v>AzurePlatform_FreeAcctRetargetingVMFB-OnDemand-ChE_CAN_1200x628_SOC_Plat_FR_Free Account_Standard_NA_SU_T2_1</v>
      </c>
      <c r="M249" s="2" t="n">
        <f aca="false">IFERROR(VLOOKUP(OFFSET(Table22,248,21,1,1),OFFSET(Table2,0,1,ROWS(Table2),8),8,0),VLOOKUP(OFFSET(Table22,248,22,1,1),Table2,9,0))</f>
        <v>103058726</v>
      </c>
      <c r="N249" s="15" t="s">
        <v>29</v>
      </c>
      <c r="O249" s="16" t="n">
        <v>43352</v>
      </c>
      <c r="P249" s="17" t="s">
        <v>64</v>
      </c>
      <c r="Q249" s="18" t="s">
        <v>65</v>
      </c>
      <c r="R249" s="17" t="s">
        <v>66</v>
      </c>
      <c r="S249" s="18" t="s">
        <v>45</v>
      </c>
      <c r="T249" s="17" t="s">
        <v>34</v>
      </c>
      <c r="U249" s="18" t="s">
        <v>39</v>
      </c>
      <c r="V249" s="19" t="n">
        <v>223691780</v>
      </c>
      <c r="W249" s="17" t="s">
        <v>75</v>
      </c>
      <c r="X249" s="17" t="n">
        <v>681</v>
      </c>
      <c r="Y249" s="17" t="n">
        <v>6</v>
      </c>
      <c r="Z249" s="17" t="n">
        <v>21.83</v>
      </c>
      <c r="AA249" s="17" t="s">
        <v>68</v>
      </c>
      <c r="AB249" s="17" t="n">
        <v>0</v>
      </c>
    </row>
    <row r="250" customFormat="false" ht="15" hidden="false" customHeight="false" outlineLevel="0" collapsed="false">
      <c r="A250" s="1" t="str">
        <f aca="false">OFFSET(Table22,249,14,1,1)&amp;OFFSET(Table22,249,21,1,1)</f>
        <v>43352223691783</v>
      </c>
      <c r="B250" s="1" t="str">
        <f aca="false">OFFSET(Table22,249,14,1,1)&amp;OFFSET(Table22,249,22,1,1)</f>
        <v>43352Facebook»AZR»1x1»SocialBan»NA»ALL»DYN»RT»D»All»SS»NA»Free Account Retargeting VM - T1 - FR</v>
      </c>
      <c r="C250" s="1" t="s">
        <v>28</v>
      </c>
      <c r="D250" s="3" t="n">
        <f aca="false">O250+(7-WEEKDAY(O250))</f>
        <v>43358</v>
      </c>
      <c r="E250" s="1" t="str">
        <f aca="false">VLOOKUP(OFFSET(Table22,249,16,1,1),Key!B:D,2,0)</f>
        <v>Canada</v>
      </c>
      <c r="F250" s="1" t="str">
        <f aca="false">IF(ISNUMBER(SEARCH("Canvas",U250)),"Link",IF(ISNUMBER(SEARCH("Link",U250)),"Link","Not filled properly"))</f>
        <v>Link</v>
      </c>
      <c r="G250" s="1" t="str">
        <f aca="false">IFERROR(VLOOKUP(OFFSET(Table22,249,21,1,1),OFFSET(Table2,0,1,ROWS(Table2),8),2,0),VLOOKUP(OFFSET(Table22,249,22,1,1),Table2,3,0))</f>
        <v>CAN_gaPMG_AZR_AZR_Q1_19_Trial-Social</v>
      </c>
      <c r="H250" s="1" t="n">
        <f aca="false">IFERROR(VLOOKUP(OFFSET(Table22,249,21,1,1),OFFSET(Table2,0,1,ROWS(Table2),8),3,0),VLOOKUP(OFFSET(Table22,249,22,1,1),Table2,4,0))</f>
        <v>21337220</v>
      </c>
      <c r="I250" s="2" t="n">
        <f aca="false">IFERROR(VLOOKUP(OFFSET(Table22,249,21,1,1),OFFSET(Table2,0,1,ROWS(Table2),8),4,0),VLOOKUP(OFFSET(Table22,249,22,1,1),Table2,5,0))</f>
        <v>720192</v>
      </c>
      <c r="J250" s="3" t="str">
        <f aca="false">IF(ISNUMBER(SEARCH("FACEBOOK",W250)),"Facebook",IF(ISNUMBER(SEARCH("INSTAGRAM",W250)),"Facebook-Instagram","Look at taxonomy"))</f>
        <v>Facebook</v>
      </c>
      <c r="K250" s="3" t="str">
        <f aca="false">IF(ISNUMBER(SEARCH("Facebook",J250)),"3654128","Not Facebook")</f>
        <v>3654128</v>
      </c>
      <c r="L250" s="3" t="str">
        <f aca="false">IFERROR(VLOOKUP(OFFSET(Table22,249,21,1,1),OFFSET(Table2,0,1,ROWS(Table2),8),7,0),VLOOKUP(OFFSET(Table22,249,22,1,1),Table2,8,0))</f>
        <v>AzurePlatform_FreeAcctRetargetingVMFB-750Hrs-ChD_CAN_1200x628_SOC_Plat_FR_Free Account_Standard_NA_SU_T1_1</v>
      </c>
      <c r="M250" s="2" t="n">
        <f aca="false">IFERROR(VLOOKUP(OFFSET(Table22,249,21,1,1),OFFSET(Table2,0,1,ROWS(Table2),8),8,0),VLOOKUP(OFFSET(Table22,249,22,1,1),Table2,9,0))</f>
        <v>103058723</v>
      </c>
      <c r="N250" s="15" t="s">
        <v>29</v>
      </c>
      <c r="O250" s="16" t="n">
        <v>43352</v>
      </c>
      <c r="P250" s="17" t="s">
        <v>64</v>
      </c>
      <c r="Q250" s="18" t="s">
        <v>65</v>
      </c>
      <c r="R250" s="17" t="s">
        <v>66</v>
      </c>
      <c r="S250" s="18" t="s">
        <v>45</v>
      </c>
      <c r="T250" s="17" t="s">
        <v>34</v>
      </c>
      <c r="U250" s="18" t="s">
        <v>39</v>
      </c>
      <c r="V250" s="19" t="n">
        <v>223691783</v>
      </c>
      <c r="W250" s="17" t="s">
        <v>76</v>
      </c>
      <c r="X250" s="17" t="n">
        <v>140</v>
      </c>
      <c r="Y250" s="17" t="n">
        <v>2</v>
      </c>
      <c r="Z250" s="17" t="n">
        <v>4.98</v>
      </c>
      <c r="AA250" s="17" t="s">
        <v>68</v>
      </c>
      <c r="AB250" s="17" t="n">
        <v>0</v>
      </c>
    </row>
    <row r="251" customFormat="false" ht="15" hidden="false" customHeight="false" outlineLevel="0" collapsed="false">
      <c r="A251" s="1" t="str">
        <f aca="false">OFFSET(Table22,250,14,1,1)&amp;OFFSET(Table22,250,21,1,1)</f>
        <v>43352223691840</v>
      </c>
      <c r="B251" s="1" t="str">
        <f aca="false">OFFSET(Table22,250,14,1,1)&amp;OFFSET(Table22,250,22,1,1)</f>
        <v>43352Facebook»AZR»1x1»NA»EGV»ALL»DYN»AUT»D»All»SS»NA»Free Acc CTC - T2 - EN</v>
      </c>
      <c r="C251" s="1" t="s">
        <v>28</v>
      </c>
      <c r="D251" s="3" t="n">
        <f aca="false">O251+(7-WEEKDAY(O251))</f>
        <v>43358</v>
      </c>
      <c r="E251" s="1" t="str">
        <f aca="false">VLOOKUP(OFFSET(Table22,250,16,1,1),Key!B:D,2,0)</f>
        <v>Canada</v>
      </c>
      <c r="F251" s="1" t="str">
        <f aca="false">IF(ISNUMBER(SEARCH("Canvas",U251)),"Link",IF(ISNUMBER(SEARCH("Link",U251)),"Link","Not filled properly"))</f>
        <v>Link</v>
      </c>
      <c r="G251" s="1" t="str">
        <f aca="false">IFERROR(VLOOKUP(OFFSET(Table22,250,21,1,1),OFFSET(Table2,0,1,ROWS(Table2),8),2,0),VLOOKUP(OFFSET(Table22,250,22,1,1),Table2,3,0))</f>
        <v>CAN_gaPMG_AZR_AZR_Q1_19_Trial-Social</v>
      </c>
      <c r="H251" s="1" t="n">
        <f aca="false">IFERROR(VLOOKUP(OFFSET(Table22,250,21,1,1),OFFSET(Table2,0,1,ROWS(Table2),8),3,0),VLOOKUP(OFFSET(Table22,250,22,1,1),Table2,4,0))</f>
        <v>21337220</v>
      </c>
      <c r="I251" s="2" t="n">
        <f aca="false">IFERROR(VLOOKUP(OFFSET(Table22,250,21,1,1),OFFSET(Table2,0,1,ROWS(Table2),8),4,0),VLOOKUP(OFFSET(Table22,250,22,1,1),Table2,5,0))</f>
        <v>720192</v>
      </c>
      <c r="J251" s="3" t="str">
        <f aca="false">IF(ISNUMBER(SEARCH("FACEBOOK",W251)),"Facebook",IF(ISNUMBER(SEARCH("INSTAGRAM",W251)),"Facebook-Instagram","Look at taxonomy"))</f>
        <v>Facebook</v>
      </c>
      <c r="K251" s="3" t="str">
        <f aca="false">IF(ISNUMBER(SEARCH("Facebook",J251)),"3654128","Not Facebook")</f>
        <v>3654128</v>
      </c>
      <c r="L251" s="3" t="str">
        <f aca="false">IFERROR(VLOOKUP(OFFSET(Table22,250,21,1,1),OFFSET(Table2,0,1,ROWS(Table2),8),7,0),VLOOKUP(OFFSET(Table22,250,22,1,1),Table2,8,0))</f>
        <v>AzurePlatform_FBCTCBrandinMotion_CAN_12s_ISV_PLAT_English_Trial_Standard_STAN_TN_T2_1</v>
      </c>
      <c r="M251" s="2" t="n">
        <f aca="false">IFERROR(VLOOKUP(OFFSET(Table22,250,21,1,1),OFFSET(Table2,0,1,ROWS(Table2),8),8,0),VLOOKUP(OFFSET(Table22,250,22,1,1),Table2,9,0))</f>
        <v>102902950</v>
      </c>
      <c r="N251" s="15" t="s">
        <v>29</v>
      </c>
      <c r="O251" s="16" t="n">
        <v>43352</v>
      </c>
      <c r="P251" s="17" t="s">
        <v>64</v>
      </c>
      <c r="Q251" s="18" t="s">
        <v>65</v>
      </c>
      <c r="R251" s="17" t="s">
        <v>66</v>
      </c>
      <c r="S251" s="18" t="s">
        <v>45</v>
      </c>
      <c r="T251" s="17" t="s">
        <v>34</v>
      </c>
      <c r="U251" s="18" t="s">
        <v>39</v>
      </c>
      <c r="V251" s="19" t="n">
        <v>223691840</v>
      </c>
      <c r="W251" s="17" t="s">
        <v>77</v>
      </c>
      <c r="X251" s="17" t="n">
        <v>1236</v>
      </c>
      <c r="Y251" s="17" t="n">
        <v>2</v>
      </c>
      <c r="Z251" s="17" t="n">
        <v>26.02</v>
      </c>
      <c r="AA251" s="17" t="s">
        <v>68</v>
      </c>
      <c r="AB251" s="17" t="n">
        <v>0</v>
      </c>
    </row>
    <row r="252" customFormat="false" ht="15" hidden="false" customHeight="false" outlineLevel="0" collapsed="false">
      <c r="A252" s="1" t="str">
        <f aca="false">OFFSET(Table22,251,14,1,1)&amp;OFFSET(Table22,251,21,1,1)</f>
        <v>43352223691765</v>
      </c>
      <c r="B252" s="1" t="str">
        <f aca="false">OFFSET(Table22,251,14,1,1)&amp;OFFSET(Table22,251,22,1,1)</f>
        <v>43352Facebook»AZR»1x1»SocialBan»NA»ALL»DYN»AUT»D»All»SS»NA»Free Acc Refresh - T3 - FR</v>
      </c>
      <c r="C252" s="1" t="s">
        <v>28</v>
      </c>
      <c r="D252" s="3" t="n">
        <f aca="false">O252+(7-WEEKDAY(O252))</f>
        <v>43358</v>
      </c>
      <c r="E252" s="1" t="str">
        <f aca="false">VLOOKUP(OFFSET(Table22,251,16,1,1),Key!B:D,2,0)</f>
        <v>Canada</v>
      </c>
      <c r="F252" s="1" t="str">
        <f aca="false">IF(ISNUMBER(SEARCH("Canvas",U252)),"Link",IF(ISNUMBER(SEARCH("Link",U252)),"Link","Not filled properly"))</f>
        <v>Link</v>
      </c>
      <c r="G252" s="1" t="str">
        <f aca="false">IFERROR(VLOOKUP(OFFSET(Table22,251,21,1,1),OFFSET(Table2,0,1,ROWS(Table2),8),2,0),VLOOKUP(OFFSET(Table22,251,22,1,1),Table2,3,0))</f>
        <v>CAN_gaPMG_AZR_AZR_Q1_19_Trial-Social</v>
      </c>
      <c r="H252" s="1" t="n">
        <f aca="false">IFERROR(VLOOKUP(OFFSET(Table22,251,21,1,1),OFFSET(Table2,0,1,ROWS(Table2),8),3,0),VLOOKUP(OFFSET(Table22,251,22,1,1),Table2,4,0))</f>
        <v>21337220</v>
      </c>
      <c r="I252" s="2" t="n">
        <f aca="false">IFERROR(VLOOKUP(OFFSET(Table22,251,21,1,1),OFFSET(Table2,0,1,ROWS(Table2),8),4,0),VLOOKUP(OFFSET(Table22,251,22,1,1),Table2,5,0))</f>
        <v>720192</v>
      </c>
      <c r="J252" s="3" t="str">
        <f aca="false">IF(ISNUMBER(SEARCH("FACEBOOK",W252)),"Facebook",IF(ISNUMBER(SEARCH("INSTAGRAM",W252)),"Facebook-Instagram","Look at taxonomy"))</f>
        <v>Facebook</v>
      </c>
      <c r="K252" s="3" t="str">
        <f aca="false">IF(ISNUMBER(SEARCH("Facebook",J252)),"3654128","Not Facebook")</f>
        <v>3654128</v>
      </c>
      <c r="L252" s="3" t="str">
        <f aca="false">IFERROR(VLOOKUP(OFFSET(Table22,251,21,1,1),OFFSET(Table2,0,1,ROWS(Table2),8),7,0),VLOOKUP(OFFSET(Table22,251,22,1,1),Table2,8,0))</f>
        <v>AzurePlatform_FreeAcctAppsFACEBOOKIllustrationChC_CAN_1200x628_SOC_PLAT_FR_Trial_Standard_NA_SU_T3_1.png</v>
      </c>
      <c r="M252" s="2" t="n">
        <f aca="false">IFERROR(VLOOKUP(OFFSET(Table22,251,21,1,1),OFFSET(Table2,0,1,ROWS(Table2),8),8,0),VLOOKUP(OFFSET(Table22,251,22,1,1),Table2,9,0))</f>
        <v>103053332</v>
      </c>
      <c r="N252" s="15" t="s">
        <v>29</v>
      </c>
      <c r="O252" s="16" t="n">
        <v>43352</v>
      </c>
      <c r="P252" s="17" t="s">
        <v>64</v>
      </c>
      <c r="Q252" s="18" t="s">
        <v>65</v>
      </c>
      <c r="R252" s="17" t="s">
        <v>66</v>
      </c>
      <c r="S252" s="18" t="s">
        <v>45</v>
      </c>
      <c r="T252" s="17" t="s">
        <v>34</v>
      </c>
      <c r="U252" s="18" t="s">
        <v>39</v>
      </c>
      <c r="V252" s="19" t="n">
        <v>223691765</v>
      </c>
      <c r="W252" s="17" t="s">
        <v>100</v>
      </c>
      <c r="X252" s="17" t="n">
        <v>59</v>
      </c>
      <c r="Y252" s="17" t="n">
        <v>0</v>
      </c>
      <c r="Z252" s="17" t="n">
        <v>2.36</v>
      </c>
      <c r="AA252" s="17" t="s">
        <v>68</v>
      </c>
      <c r="AB252" s="17" t="n">
        <v>0</v>
      </c>
    </row>
    <row r="253" customFormat="false" ht="15" hidden="false" customHeight="false" outlineLevel="0" collapsed="false">
      <c r="A253" s="1" t="str">
        <f aca="false">OFFSET(Table22,252,14,1,1)&amp;OFFSET(Table22,252,21,1,1)</f>
        <v>43352227525720</v>
      </c>
      <c r="B253" s="1" t="str">
        <f aca="false">OFFSET(Table22,252,14,1,1)&amp;OFFSET(Table22,252,22,1,1)</f>
        <v>43352Facebook»AZR»1x1»NA»NA»ALL»DYN»AUT»D»All»SS»NA»Free Account Create to Convert FB - Canvas - Benefit - Start Free - EN</v>
      </c>
      <c r="C253" s="1" t="s">
        <v>28</v>
      </c>
      <c r="D253" s="3" t="n">
        <f aca="false">O253+(7-WEEKDAY(O253))</f>
        <v>43358</v>
      </c>
      <c r="E253" s="1" t="str">
        <f aca="false">VLOOKUP(OFFSET(Table22,252,16,1,1),Key!B:D,2,0)</f>
        <v>Canada</v>
      </c>
      <c r="F253" s="1" t="str">
        <f aca="false">IF(ISNUMBER(SEARCH("Canvas",U253)),"Link",IF(ISNUMBER(SEARCH("Link",U253)),"Link","Not filled properly"))</f>
        <v>Link</v>
      </c>
      <c r="G253" s="1" t="str">
        <f aca="false">IFERROR(VLOOKUP(OFFSET(Table22,252,21,1,1),OFFSET(Table2,0,1,ROWS(Table2),8),2,0),VLOOKUP(OFFSET(Table22,252,22,1,1),Table2,3,0))</f>
        <v>CAN_gaPMG_AZR_AZR_Q1_19_Trial-Social</v>
      </c>
      <c r="H253" s="1" t="n">
        <f aca="false">IFERROR(VLOOKUP(OFFSET(Table22,252,21,1,1),OFFSET(Table2,0,1,ROWS(Table2),8),3,0),VLOOKUP(OFFSET(Table22,252,22,1,1),Table2,4,0))</f>
        <v>21337220</v>
      </c>
      <c r="I253" s="2" t="n">
        <f aca="false">IFERROR(VLOOKUP(OFFSET(Table22,252,21,1,1),OFFSET(Table2,0,1,ROWS(Table2),8),4,0),VLOOKUP(OFFSET(Table22,252,22,1,1),Table2,5,0))</f>
        <v>720192</v>
      </c>
      <c r="J253" s="3" t="str">
        <f aca="false">IF(ISNUMBER(SEARCH("FACEBOOK",W253)),"Facebook",IF(ISNUMBER(SEARCH("INSTAGRAM",W253)),"Facebook-Instagram","Look at taxonomy"))</f>
        <v>Facebook</v>
      </c>
      <c r="K253" s="3" t="str">
        <f aca="false">IF(ISNUMBER(SEARCH("Facebook",J253)),"3654128","Not Facebook")</f>
        <v>3654128</v>
      </c>
      <c r="L253" s="3" t="str">
        <f aca="false">IFERROR(VLOOKUP(OFFSET(Table22,252,21,1,1),OFFSET(Table2,0,1,ROWS(Table2),8),7,0),VLOOKUP(OFFSET(Table22,252,22,1,1),Table2,8,0))</f>
        <v>AzurePlatform_FBCTCBenefit2inMotion_CAN_1080x1080_SOC_14s_ISV_English_Standard_NA_FTR_T4_1</v>
      </c>
      <c r="M253" s="2" t="n">
        <f aca="false">IFERROR(VLOOKUP(OFFSET(Table22,252,21,1,1),OFFSET(Table2,0,1,ROWS(Table2),8),8,0),VLOOKUP(OFFSET(Table22,252,22,1,1),Table2,9,0))</f>
        <v>105130125</v>
      </c>
      <c r="N253" s="15" t="s">
        <v>29</v>
      </c>
      <c r="O253" s="16" t="n">
        <v>43352</v>
      </c>
      <c r="P253" s="17" t="s">
        <v>64</v>
      </c>
      <c r="Q253" s="18" t="s">
        <v>65</v>
      </c>
      <c r="R253" s="17" t="s">
        <v>66</v>
      </c>
      <c r="S253" s="18" t="s">
        <v>45</v>
      </c>
      <c r="T253" s="17" t="s">
        <v>34</v>
      </c>
      <c r="U253" s="18" t="s">
        <v>39</v>
      </c>
      <c r="V253" s="19" t="n">
        <v>227525720</v>
      </c>
      <c r="W253" s="17" t="s">
        <v>85</v>
      </c>
      <c r="X253" s="17" t="n">
        <v>790</v>
      </c>
      <c r="Y253" s="17" t="n">
        <v>7</v>
      </c>
      <c r="Z253" s="17" t="n">
        <v>13.6</v>
      </c>
      <c r="AA253" s="17" t="s">
        <v>68</v>
      </c>
      <c r="AB253" s="17" t="n">
        <v>0</v>
      </c>
    </row>
    <row r="254" customFormat="false" ht="15" hidden="false" customHeight="false" outlineLevel="0" collapsed="false">
      <c r="A254" s="1" t="str">
        <f aca="false">OFFSET(Table22,253,14,1,1)&amp;OFFSET(Table22,253,21,1,1)</f>
        <v>43352223691771</v>
      </c>
      <c r="B254" s="1" t="str">
        <f aca="false">OFFSET(Table22,253,14,1,1)&amp;OFFSET(Table22,253,22,1,1)</f>
        <v>43352Facebook»AZR»1x1»SocialBan»NA»ALL»DYN»AUT»D»All»SS»NA»Free Acc Refresh - T4 - FR</v>
      </c>
      <c r="C254" s="1" t="s">
        <v>28</v>
      </c>
      <c r="D254" s="3" t="n">
        <f aca="false">O254+(7-WEEKDAY(O254))</f>
        <v>43358</v>
      </c>
      <c r="E254" s="1" t="str">
        <f aca="false">VLOOKUP(OFFSET(Table22,253,16,1,1),Key!B:D,2,0)</f>
        <v>Canada</v>
      </c>
      <c r="F254" s="1" t="str">
        <f aca="false">IF(ISNUMBER(SEARCH("Canvas",U254)),"Link",IF(ISNUMBER(SEARCH("Link",U254)),"Link","Not filled properly"))</f>
        <v>Link</v>
      </c>
      <c r="G254" s="1" t="str">
        <f aca="false">IFERROR(VLOOKUP(OFFSET(Table22,253,21,1,1),OFFSET(Table2,0,1,ROWS(Table2),8),2,0),VLOOKUP(OFFSET(Table22,253,22,1,1),Table2,3,0))</f>
        <v>CAN_gaPMG_AZR_AZR_Q1_19_Trial-Social</v>
      </c>
      <c r="H254" s="1" t="n">
        <f aca="false">IFERROR(VLOOKUP(OFFSET(Table22,253,21,1,1),OFFSET(Table2,0,1,ROWS(Table2),8),3,0),VLOOKUP(OFFSET(Table22,253,22,1,1),Table2,4,0))</f>
        <v>21337220</v>
      </c>
      <c r="I254" s="2" t="n">
        <f aca="false">IFERROR(VLOOKUP(OFFSET(Table22,253,21,1,1),OFFSET(Table2,0,1,ROWS(Table2),8),4,0),VLOOKUP(OFFSET(Table22,253,22,1,1),Table2,5,0))</f>
        <v>720192</v>
      </c>
      <c r="J254" s="3" t="str">
        <f aca="false">IF(ISNUMBER(SEARCH("FACEBOOK",W254)),"Facebook",IF(ISNUMBER(SEARCH("INSTAGRAM",W254)),"Facebook-Instagram","Look at taxonomy"))</f>
        <v>Facebook</v>
      </c>
      <c r="K254" s="3" t="str">
        <f aca="false">IF(ISNUMBER(SEARCH("Facebook",J254)),"3654128","Not Facebook")</f>
        <v>3654128</v>
      </c>
      <c r="L254" s="3" t="str">
        <f aca="false">IFERROR(VLOOKUP(OFFSET(Table22,253,21,1,1),OFFSET(Table2,0,1,ROWS(Table2),8),7,0),VLOOKUP(OFFSET(Table22,253,22,1,1),Table2,8,0))</f>
        <v>AzurePlatform_FreeAcctAppsFACEBOOK200CreditChD_CAN_1200x628_SOC_PLAT_FR_Trial_Standard_NA_SU_T4_1.png</v>
      </c>
      <c r="M254" s="2" t="n">
        <f aca="false">IFERROR(VLOOKUP(OFFSET(Table22,253,21,1,1),OFFSET(Table2,0,1,ROWS(Table2),8),8,0),VLOOKUP(OFFSET(Table22,253,22,1,1),Table2,9,0))</f>
        <v>102902968</v>
      </c>
      <c r="N254" s="15" t="s">
        <v>29</v>
      </c>
      <c r="O254" s="16" t="n">
        <v>43352</v>
      </c>
      <c r="P254" s="17" t="s">
        <v>64</v>
      </c>
      <c r="Q254" s="18" t="s">
        <v>65</v>
      </c>
      <c r="R254" s="17" t="s">
        <v>66</v>
      </c>
      <c r="S254" s="18" t="s">
        <v>45</v>
      </c>
      <c r="T254" s="17" t="s">
        <v>34</v>
      </c>
      <c r="U254" s="18" t="s">
        <v>39</v>
      </c>
      <c r="V254" s="19" t="n">
        <v>223691771</v>
      </c>
      <c r="W254" s="17" t="s">
        <v>99</v>
      </c>
      <c r="X254" s="17" t="n">
        <v>241</v>
      </c>
      <c r="Y254" s="17" t="n">
        <v>0</v>
      </c>
      <c r="Z254" s="17" t="n">
        <v>4.06</v>
      </c>
      <c r="AA254" s="17" t="s">
        <v>68</v>
      </c>
      <c r="AB254" s="17" t="n">
        <v>0</v>
      </c>
    </row>
    <row r="255" customFormat="false" ht="15" hidden="false" customHeight="false" outlineLevel="0" collapsed="false">
      <c r="A255" s="1" t="str">
        <f aca="false">OFFSET(Table22,254,14,1,1)&amp;OFFSET(Table22,254,21,1,1)</f>
        <v>43352223691774</v>
      </c>
      <c r="B255" s="1" t="str">
        <f aca="false">OFFSET(Table22,254,14,1,1)&amp;OFFSET(Table22,254,22,1,1)</f>
        <v>43352Facebook»AZR»1x1»SocialBan»NA»ALL»DYN»AUT»D»All»SS»NA»Free Acc Refresh - T5 - FR</v>
      </c>
      <c r="C255" s="1" t="s">
        <v>28</v>
      </c>
      <c r="D255" s="3" t="n">
        <f aca="false">O255+(7-WEEKDAY(O255))</f>
        <v>43358</v>
      </c>
      <c r="E255" s="1" t="str">
        <f aca="false">VLOOKUP(OFFSET(Table22,254,16,1,1),Key!B:D,2,0)</f>
        <v>Canada</v>
      </c>
      <c r="F255" s="1" t="str">
        <f aca="false">IF(ISNUMBER(SEARCH("Canvas",U255)),"Link",IF(ISNUMBER(SEARCH("Link",U255)),"Link","Not filled properly"))</f>
        <v>Link</v>
      </c>
      <c r="G255" s="1" t="str">
        <f aca="false">IFERROR(VLOOKUP(OFFSET(Table22,254,21,1,1),OFFSET(Table2,0,1,ROWS(Table2),8),2,0),VLOOKUP(OFFSET(Table22,254,22,1,1),Table2,3,0))</f>
        <v>CAN_gaPMG_AZR_AZR_Q1_19_Trial-Social</v>
      </c>
      <c r="H255" s="1" t="n">
        <f aca="false">IFERROR(VLOOKUP(OFFSET(Table22,254,21,1,1),OFFSET(Table2,0,1,ROWS(Table2),8),3,0),VLOOKUP(OFFSET(Table22,254,22,1,1),Table2,4,0))</f>
        <v>21337220</v>
      </c>
      <c r="I255" s="2" t="n">
        <f aca="false">IFERROR(VLOOKUP(OFFSET(Table22,254,21,1,1),OFFSET(Table2,0,1,ROWS(Table2),8),4,0),VLOOKUP(OFFSET(Table22,254,22,1,1),Table2,5,0))</f>
        <v>720192</v>
      </c>
      <c r="J255" s="3" t="str">
        <f aca="false">IF(ISNUMBER(SEARCH("FACEBOOK",W255)),"Facebook",IF(ISNUMBER(SEARCH("INSTAGRAM",W255)),"Facebook-Instagram","Look at taxonomy"))</f>
        <v>Facebook</v>
      </c>
      <c r="K255" s="3" t="str">
        <f aca="false">IF(ISNUMBER(SEARCH("Facebook",J255)),"3654128","Not Facebook")</f>
        <v>3654128</v>
      </c>
      <c r="L255" s="3" t="str">
        <f aca="false">IFERROR(VLOOKUP(OFFSET(Table22,254,21,1,1),OFFSET(Table2,0,1,ROWS(Table2),8),7,0),VLOOKUP(OFFSET(Table22,254,22,1,1),Table2,8,0))</f>
        <v>AzurePlatform_FreeAcctAppsFACEBOOK12monthsChE_CAN_1200x628_SOC_PLAT_FR_Trial_Standard_NA_SU_T5_1.png</v>
      </c>
      <c r="M255" s="2" t="n">
        <f aca="false">IFERROR(VLOOKUP(OFFSET(Table22,254,21,1,1),OFFSET(Table2,0,1,ROWS(Table2),8),8,0),VLOOKUP(OFFSET(Table22,254,22,1,1),Table2,9,0))</f>
        <v>102916356</v>
      </c>
      <c r="N255" s="15" t="s">
        <v>29</v>
      </c>
      <c r="O255" s="16" t="n">
        <v>43352</v>
      </c>
      <c r="P255" s="17" t="s">
        <v>64</v>
      </c>
      <c r="Q255" s="18" t="s">
        <v>65</v>
      </c>
      <c r="R255" s="17" t="s">
        <v>66</v>
      </c>
      <c r="S255" s="18" t="s">
        <v>45</v>
      </c>
      <c r="T255" s="17" t="s">
        <v>34</v>
      </c>
      <c r="U255" s="18" t="s">
        <v>39</v>
      </c>
      <c r="V255" s="19" t="n">
        <v>223691774</v>
      </c>
      <c r="W255" s="17" t="s">
        <v>97</v>
      </c>
      <c r="X255" s="17" t="n">
        <v>770</v>
      </c>
      <c r="Y255" s="17" t="n">
        <v>3</v>
      </c>
      <c r="Z255" s="17" t="n">
        <v>13.49</v>
      </c>
      <c r="AA255" s="17" t="s">
        <v>68</v>
      </c>
      <c r="AB255" s="17" t="n">
        <v>0</v>
      </c>
    </row>
    <row r="256" customFormat="false" ht="15" hidden="false" customHeight="false" outlineLevel="0" collapsed="false">
      <c r="A256" s="1" t="str">
        <f aca="false">OFFSET(Table22,255,14,1,1)&amp;OFFSET(Table22,255,21,1,1)</f>
        <v>43352223691801</v>
      </c>
      <c r="B256" s="1" t="str">
        <f aca="false">OFFSET(Table22,255,14,1,1)&amp;OFFSET(Table22,255,22,1,1)</f>
        <v>43352Facebook»AZR»1x1»NA»EGV»ALL»DYN»AUT»D»All»SS»NA»Free Acc CTC - T1 - FR</v>
      </c>
      <c r="C256" s="1" t="s">
        <v>28</v>
      </c>
      <c r="D256" s="3" t="n">
        <f aca="false">O256+(7-WEEKDAY(O256))</f>
        <v>43358</v>
      </c>
      <c r="E256" s="1" t="str">
        <f aca="false">VLOOKUP(OFFSET(Table22,255,16,1,1),Key!B:D,2,0)</f>
        <v>Canada</v>
      </c>
      <c r="F256" s="1" t="str">
        <f aca="false">IF(ISNUMBER(SEARCH("Canvas",U256)),"Link",IF(ISNUMBER(SEARCH("Link",U256)),"Link","Not filled properly"))</f>
        <v>Link</v>
      </c>
      <c r="G256" s="1" t="str">
        <f aca="false">IFERROR(VLOOKUP(OFFSET(Table22,255,21,1,1),OFFSET(Table2,0,1,ROWS(Table2),8),2,0),VLOOKUP(OFFSET(Table22,255,22,1,1),Table2,3,0))</f>
        <v>CAN_gaPMG_AZR_AZR_Q1_19_Trial-Social</v>
      </c>
      <c r="H256" s="1" t="n">
        <f aca="false">IFERROR(VLOOKUP(OFFSET(Table22,255,21,1,1),OFFSET(Table2,0,1,ROWS(Table2),8),3,0),VLOOKUP(OFFSET(Table22,255,22,1,1),Table2,4,0))</f>
        <v>21337220</v>
      </c>
      <c r="I256" s="2" t="n">
        <f aca="false">IFERROR(VLOOKUP(OFFSET(Table22,255,21,1,1),OFFSET(Table2,0,1,ROWS(Table2),8),4,0),VLOOKUP(OFFSET(Table22,255,22,1,1),Table2,5,0))</f>
        <v>720192</v>
      </c>
      <c r="J256" s="3" t="str">
        <f aca="false">IF(ISNUMBER(SEARCH("FACEBOOK",W256)),"Facebook",IF(ISNUMBER(SEARCH("INSTAGRAM",W256)),"Facebook-Instagram","Look at taxonomy"))</f>
        <v>Facebook</v>
      </c>
      <c r="K256" s="3" t="str">
        <f aca="false">IF(ISNUMBER(SEARCH("Facebook",J256)),"3654128","Not Facebook")</f>
        <v>3654128</v>
      </c>
      <c r="L256" s="3" t="str">
        <f aca="false">IFERROR(VLOOKUP(OFFSET(Table22,255,21,1,1),OFFSET(Table2,0,1,ROWS(Table2),8),7,0),VLOOKUP(OFFSET(Table22,255,22,1,1),Table2,8,0))</f>
        <v>AzurePlatform_FBCTCBasicMotion_CAN_10s_ISV_PLAT_FR_Trial_Standard_STAN_TN_T1_1</v>
      </c>
      <c r="M256" s="2" t="n">
        <f aca="false">IFERROR(VLOOKUP(OFFSET(Table22,255,21,1,1),OFFSET(Table2,0,1,ROWS(Table2),8),8,0),VLOOKUP(OFFSET(Table22,255,22,1,1),Table2,9,0))</f>
        <v>103053323</v>
      </c>
      <c r="N256" s="15" t="s">
        <v>29</v>
      </c>
      <c r="O256" s="16" t="n">
        <v>43352</v>
      </c>
      <c r="P256" s="17" t="s">
        <v>64</v>
      </c>
      <c r="Q256" s="18" t="s">
        <v>65</v>
      </c>
      <c r="R256" s="17" t="s">
        <v>66</v>
      </c>
      <c r="S256" s="18" t="s">
        <v>45</v>
      </c>
      <c r="T256" s="17" t="s">
        <v>34</v>
      </c>
      <c r="U256" s="18" t="s">
        <v>39</v>
      </c>
      <c r="V256" s="19" t="n">
        <v>223691801</v>
      </c>
      <c r="W256" s="17" t="s">
        <v>79</v>
      </c>
      <c r="X256" s="17" t="n">
        <v>133</v>
      </c>
      <c r="Y256" s="17" t="n">
        <v>0</v>
      </c>
      <c r="Z256" s="17" t="n">
        <v>3.09</v>
      </c>
      <c r="AA256" s="17" t="s">
        <v>68</v>
      </c>
      <c r="AB256" s="17" t="n">
        <v>0</v>
      </c>
    </row>
    <row r="257" customFormat="false" ht="15" hidden="false" customHeight="false" outlineLevel="0" collapsed="false">
      <c r="A257" s="1" t="str">
        <f aca="false">OFFSET(Table22,256,14,1,1)&amp;OFFSET(Table22,256,21,1,1)</f>
        <v>43352223691807</v>
      </c>
      <c r="B257" s="1" t="str">
        <f aca="false">OFFSET(Table22,256,14,1,1)&amp;OFFSET(Table22,256,22,1,1)</f>
        <v>43352Facebook»AZR»1x1»SocialBan»NA»ALL»DYN»AUT»D»All»SS»NA»Free Acc Refresh - T3 - EN</v>
      </c>
      <c r="C257" s="1" t="s">
        <v>28</v>
      </c>
      <c r="D257" s="3" t="n">
        <f aca="false">O257+(7-WEEKDAY(O257))</f>
        <v>43358</v>
      </c>
      <c r="E257" s="1" t="str">
        <f aca="false">VLOOKUP(OFFSET(Table22,256,16,1,1),Key!B:D,2,0)</f>
        <v>Canada</v>
      </c>
      <c r="F257" s="1" t="str">
        <f aca="false">IF(ISNUMBER(SEARCH("Canvas",U257)),"Link",IF(ISNUMBER(SEARCH("Link",U257)),"Link","Not filled properly"))</f>
        <v>Link</v>
      </c>
      <c r="G257" s="1" t="str">
        <f aca="false">IFERROR(VLOOKUP(OFFSET(Table22,256,21,1,1),OFFSET(Table2,0,1,ROWS(Table2),8),2,0),VLOOKUP(OFFSET(Table22,256,22,1,1),Table2,3,0))</f>
        <v>CAN_gaPMG_AZR_AZR_Q1_19_Trial-Social</v>
      </c>
      <c r="H257" s="1" t="n">
        <f aca="false">IFERROR(VLOOKUP(OFFSET(Table22,256,21,1,1),OFFSET(Table2,0,1,ROWS(Table2),8),3,0),VLOOKUP(OFFSET(Table22,256,22,1,1),Table2,4,0))</f>
        <v>21337220</v>
      </c>
      <c r="I257" s="2" t="n">
        <f aca="false">IFERROR(VLOOKUP(OFFSET(Table22,256,21,1,1),OFFSET(Table2,0,1,ROWS(Table2),8),4,0),VLOOKUP(OFFSET(Table22,256,22,1,1),Table2,5,0))</f>
        <v>720192</v>
      </c>
      <c r="J257" s="3" t="str">
        <f aca="false">IF(ISNUMBER(SEARCH("FACEBOOK",W257)),"Facebook",IF(ISNUMBER(SEARCH("INSTAGRAM",W257)),"Facebook-Instagram","Look at taxonomy"))</f>
        <v>Facebook</v>
      </c>
      <c r="K257" s="3" t="str">
        <f aca="false">IF(ISNUMBER(SEARCH("Facebook",J257)),"3654128","Not Facebook")</f>
        <v>3654128</v>
      </c>
      <c r="L257" s="3" t="str">
        <f aca="false">IFERROR(VLOOKUP(OFFSET(Table22,256,21,1,1),OFFSET(Table2,0,1,ROWS(Table2),8),7,0),VLOOKUP(OFFSET(Table22,256,22,1,1),Table2,8,0))</f>
        <v>AzurePlatform_FreeAcctAppsFACEBOOKIllustrationChC_CAN_1200x628_SOC_PLAT_EN_Trial_Standard_NA_SU_T3_1.png</v>
      </c>
      <c r="M257" s="2" t="n">
        <f aca="false">IFERROR(VLOOKUP(OFFSET(Table22,256,21,1,1),OFFSET(Table2,0,1,ROWS(Table2),8),8,0),VLOOKUP(OFFSET(Table22,256,22,1,1),Table2,9,0))</f>
        <v>102900685</v>
      </c>
      <c r="N257" s="15" t="s">
        <v>29</v>
      </c>
      <c r="O257" s="16" t="n">
        <v>43352</v>
      </c>
      <c r="P257" s="17" t="s">
        <v>64</v>
      </c>
      <c r="Q257" s="18" t="s">
        <v>65</v>
      </c>
      <c r="R257" s="17" t="s">
        <v>66</v>
      </c>
      <c r="S257" s="18" t="s">
        <v>45</v>
      </c>
      <c r="T257" s="17" t="s">
        <v>34</v>
      </c>
      <c r="U257" s="18" t="s">
        <v>39</v>
      </c>
      <c r="V257" s="19" t="n">
        <v>223691807</v>
      </c>
      <c r="W257" s="17" t="s">
        <v>95</v>
      </c>
      <c r="X257" s="17" t="n">
        <v>555</v>
      </c>
      <c r="Y257" s="17" t="n">
        <v>1</v>
      </c>
      <c r="Z257" s="17" t="n">
        <v>13.17</v>
      </c>
      <c r="AA257" s="17" t="s">
        <v>68</v>
      </c>
      <c r="AB257" s="17" t="n">
        <v>0</v>
      </c>
    </row>
    <row r="258" customFormat="false" ht="15" hidden="false" customHeight="false" outlineLevel="0" collapsed="false">
      <c r="A258" s="1" t="str">
        <f aca="false">OFFSET(Table22,257,14,1,1)&amp;OFFSET(Table22,257,21,1,1)</f>
        <v>43352223691786</v>
      </c>
      <c r="B258" s="1" t="str">
        <f aca="false">OFFSET(Table22,257,14,1,1)&amp;OFFSET(Table22,257,22,1,1)</f>
        <v>43352Facebook»AZR»1x1»SocialBan»NA»ALL»DYN»RT»D»All»SS»NA» Free Account Retargeting OSS - T1 - FR</v>
      </c>
      <c r="C258" s="1" t="s">
        <v>28</v>
      </c>
      <c r="D258" s="3" t="n">
        <f aca="false">O258+(7-WEEKDAY(O258))</f>
        <v>43358</v>
      </c>
      <c r="E258" s="1" t="str">
        <f aca="false">VLOOKUP(OFFSET(Table22,257,16,1,1),Key!B:D,2,0)</f>
        <v>Canada</v>
      </c>
      <c r="F258" s="1" t="str">
        <f aca="false">IF(ISNUMBER(SEARCH("Canvas",U258)),"Link",IF(ISNUMBER(SEARCH("Link",U258)),"Link","Not filled properly"))</f>
        <v>Link</v>
      </c>
      <c r="G258" s="1" t="str">
        <f aca="false">IFERROR(VLOOKUP(OFFSET(Table22,257,21,1,1),OFFSET(Table2,0,1,ROWS(Table2),8),2,0),VLOOKUP(OFFSET(Table22,257,22,1,1),Table2,3,0))</f>
        <v>CAN_gaPMG_AZR_AZR_Q1_19_Trial-Social</v>
      </c>
      <c r="H258" s="1" t="n">
        <f aca="false">IFERROR(VLOOKUP(OFFSET(Table22,257,21,1,1),OFFSET(Table2,0,1,ROWS(Table2),8),3,0),VLOOKUP(OFFSET(Table22,257,22,1,1),Table2,4,0))</f>
        <v>21337220</v>
      </c>
      <c r="I258" s="2" t="n">
        <f aca="false">IFERROR(VLOOKUP(OFFSET(Table22,257,21,1,1),OFFSET(Table2,0,1,ROWS(Table2),8),4,0),VLOOKUP(OFFSET(Table22,257,22,1,1),Table2,5,0))</f>
        <v>720192</v>
      </c>
      <c r="J258" s="3" t="str">
        <f aca="false">IF(ISNUMBER(SEARCH("FACEBOOK",W258)),"Facebook",IF(ISNUMBER(SEARCH("INSTAGRAM",W258)),"Facebook-Instagram","Look at taxonomy"))</f>
        <v>Facebook</v>
      </c>
      <c r="K258" s="3" t="str">
        <f aca="false">IF(ISNUMBER(SEARCH("Facebook",J258)),"3654128","Not Facebook")</f>
        <v>3654128</v>
      </c>
      <c r="L258" s="3" t="str">
        <f aca="false">IFERROR(VLOOKUP(OFFSET(Table22,257,21,1,1),OFFSET(Table2,0,1,ROWS(Table2),8),7,0),VLOOKUP(OFFSET(Table22,257,22,1,1),Table2,8,0))</f>
        <v>AzurePlatform_FreeAcctRetargetingOSSFB-Text-ChF_CAN_1200x628_SOC_Plat_FR_Free Account_Standard_NA_SU_T1_1</v>
      </c>
      <c r="M258" s="2" t="n">
        <f aca="false">IFERROR(VLOOKUP(OFFSET(Table22,257,21,1,1),OFFSET(Table2,0,1,ROWS(Table2),8),8,0),VLOOKUP(OFFSET(Table22,257,22,1,1),Table2,9,0))</f>
        <v>103058720</v>
      </c>
      <c r="N258" s="15" t="s">
        <v>29</v>
      </c>
      <c r="O258" s="16" t="n">
        <v>43352</v>
      </c>
      <c r="P258" s="17" t="s">
        <v>64</v>
      </c>
      <c r="Q258" s="18" t="s">
        <v>65</v>
      </c>
      <c r="R258" s="17" t="s">
        <v>66</v>
      </c>
      <c r="S258" s="18" t="s">
        <v>45</v>
      </c>
      <c r="T258" s="17" t="s">
        <v>34</v>
      </c>
      <c r="U258" s="18" t="s">
        <v>39</v>
      </c>
      <c r="V258" s="19" t="n">
        <v>223691786</v>
      </c>
      <c r="W258" s="17" t="s">
        <v>81</v>
      </c>
      <c r="X258" s="17" t="n">
        <v>276</v>
      </c>
      <c r="Y258" s="17" t="n">
        <v>1</v>
      </c>
      <c r="Z258" s="17" t="n">
        <v>7.35</v>
      </c>
      <c r="AA258" s="17" t="s">
        <v>68</v>
      </c>
      <c r="AB258" s="17" t="n">
        <v>0</v>
      </c>
    </row>
    <row r="259" customFormat="false" ht="15" hidden="false" customHeight="false" outlineLevel="0" collapsed="false">
      <c r="A259" s="1" t="str">
        <f aca="false">OFFSET(Table22,258,14,1,1)&amp;OFFSET(Table22,258,21,1,1)</f>
        <v>43352223691762</v>
      </c>
      <c r="B259" s="1" t="str">
        <f aca="false">OFFSET(Table22,258,14,1,1)&amp;OFFSET(Table22,258,22,1,1)</f>
        <v>43352Facebook»AZR»1x1»SocialBan»NA»ALL»DYN»AUT»D»All»SS»NA»Free Acc Refresh - T1 - FR</v>
      </c>
      <c r="C259" s="1" t="s">
        <v>28</v>
      </c>
      <c r="D259" s="3" t="n">
        <f aca="false">O259+(7-WEEKDAY(O259))</f>
        <v>43358</v>
      </c>
      <c r="E259" s="1" t="str">
        <f aca="false">VLOOKUP(OFFSET(Table22,258,16,1,1),Key!B:D,2,0)</f>
        <v>Canada</v>
      </c>
      <c r="F259" s="1" t="str">
        <f aca="false">IF(ISNUMBER(SEARCH("Canvas",U259)),"Link",IF(ISNUMBER(SEARCH("Link",U259)),"Link","Not filled properly"))</f>
        <v>Link</v>
      </c>
      <c r="G259" s="1" t="str">
        <f aca="false">IFERROR(VLOOKUP(OFFSET(Table22,258,21,1,1),OFFSET(Table2,0,1,ROWS(Table2),8),2,0),VLOOKUP(OFFSET(Table22,258,22,1,1),Table2,3,0))</f>
        <v>CAN_gaPMG_AZR_AZR_Q1_19_Trial-Social</v>
      </c>
      <c r="H259" s="1" t="n">
        <f aca="false">IFERROR(VLOOKUP(OFFSET(Table22,258,21,1,1),OFFSET(Table2,0,1,ROWS(Table2),8),3,0),VLOOKUP(OFFSET(Table22,258,22,1,1),Table2,4,0))</f>
        <v>21337220</v>
      </c>
      <c r="I259" s="2" t="n">
        <f aca="false">IFERROR(VLOOKUP(OFFSET(Table22,258,21,1,1),OFFSET(Table2,0,1,ROWS(Table2),8),4,0),VLOOKUP(OFFSET(Table22,258,22,1,1),Table2,5,0))</f>
        <v>720192</v>
      </c>
      <c r="J259" s="3" t="str">
        <f aca="false">IF(ISNUMBER(SEARCH("FACEBOOK",W259)),"Facebook",IF(ISNUMBER(SEARCH("INSTAGRAM",W259)),"Facebook-Instagram","Look at taxonomy"))</f>
        <v>Facebook</v>
      </c>
      <c r="K259" s="3" t="str">
        <f aca="false">IF(ISNUMBER(SEARCH("Facebook",J259)),"3654128","Not Facebook")</f>
        <v>3654128</v>
      </c>
      <c r="L259" s="3" t="str">
        <f aca="false">IFERROR(VLOOKUP(OFFSET(Table22,258,21,1,1),OFFSET(Table2,0,1,ROWS(Table2),8),7,0),VLOOKUP(OFFSET(Table22,258,22,1,1),Table2,8,0))</f>
        <v>AzurePlatform_FreeAcctAppsFACEBOOKLifestyleChA_CAN_1200x628_SOC_PLAT_FR_Trial_Standard_NA_SU_T1_1.png</v>
      </c>
      <c r="M259" s="2" t="n">
        <f aca="false">IFERROR(VLOOKUP(OFFSET(Table22,258,21,1,1),OFFSET(Table2,0,1,ROWS(Table2),8),8,0),VLOOKUP(OFFSET(Table22,258,22,1,1),Table2,9,0))</f>
        <v>102902974</v>
      </c>
      <c r="N259" s="15" t="s">
        <v>29</v>
      </c>
      <c r="O259" s="16" t="n">
        <v>43352</v>
      </c>
      <c r="P259" s="17" t="s">
        <v>64</v>
      </c>
      <c r="Q259" s="18" t="s">
        <v>65</v>
      </c>
      <c r="R259" s="17" t="s">
        <v>66</v>
      </c>
      <c r="S259" s="18" t="s">
        <v>45</v>
      </c>
      <c r="T259" s="17" t="s">
        <v>34</v>
      </c>
      <c r="U259" s="18" t="s">
        <v>39</v>
      </c>
      <c r="V259" s="19" t="n">
        <v>223691762</v>
      </c>
      <c r="W259" s="17" t="s">
        <v>92</v>
      </c>
      <c r="X259" s="17" t="n">
        <v>209</v>
      </c>
      <c r="Y259" s="17" t="n">
        <v>2</v>
      </c>
      <c r="Z259" s="17" t="n">
        <v>3.46</v>
      </c>
      <c r="AA259" s="17" t="s">
        <v>68</v>
      </c>
      <c r="AB259" s="17" t="n">
        <v>0</v>
      </c>
    </row>
    <row r="260" customFormat="false" ht="15" hidden="false" customHeight="false" outlineLevel="0" collapsed="false">
      <c r="A260" s="1" t="str">
        <f aca="false">OFFSET(Table22,259,14,1,1)&amp;OFFSET(Table22,259,21,1,1)</f>
        <v>43352223691810</v>
      </c>
      <c r="B260" s="1" t="str">
        <f aca="false">OFFSET(Table22,259,14,1,1)&amp;OFFSET(Table22,259,22,1,1)</f>
        <v>43352Facebook»AZR»1x1»SocialBan»NA»ALL»DYN»AUT»D»All»SS»NA»Free Acc Refresh - T2 - EN</v>
      </c>
      <c r="C260" s="1" t="s">
        <v>28</v>
      </c>
      <c r="D260" s="3" t="n">
        <f aca="false">O260+(7-WEEKDAY(O260))</f>
        <v>43358</v>
      </c>
      <c r="E260" s="1" t="str">
        <f aca="false">VLOOKUP(OFFSET(Table22,259,16,1,1),Key!B:D,2,0)</f>
        <v>Canada</v>
      </c>
      <c r="F260" s="1" t="str">
        <f aca="false">IF(ISNUMBER(SEARCH("Canvas",U260)),"Link",IF(ISNUMBER(SEARCH("Link",U260)),"Link","Not filled properly"))</f>
        <v>Link</v>
      </c>
      <c r="G260" s="1" t="str">
        <f aca="false">IFERROR(VLOOKUP(OFFSET(Table22,259,21,1,1),OFFSET(Table2,0,1,ROWS(Table2),8),2,0),VLOOKUP(OFFSET(Table22,259,22,1,1),Table2,3,0))</f>
        <v>CAN_gaPMG_AZR_AZR_Q1_19_Trial-Social</v>
      </c>
      <c r="H260" s="1" t="n">
        <f aca="false">IFERROR(VLOOKUP(OFFSET(Table22,259,21,1,1),OFFSET(Table2,0,1,ROWS(Table2),8),3,0),VLOOKUP(OFFSET(Table22,259,22,1,1),Table2,4,0))</f>
        <v>21337220</v>
      </c>
      <c r="I260" s="2" t="n">
        <f aca="false">IFERROR(VLOOKUP(OFFSET(Table22,259,21,1,1),OFFSET(Table2,0,1,ROWS(Table2),8),4,0),VLOOKUP(OFFSET(Table22,259,22,1,1),Table2,5,0))</f>
        <v>720192</v>
      </c>
      <c r="J260" s="3" t="str">
        <f aca="false">IF(ISNUMBER(SEARCH("FACEBOOK",W260)),"Facebook",IF(ISNUMBER(SEARCH("INSTAGRAM",W260)),"Facebook-Instagram","Look at taxonomy"))</f>
        <v>Facebook</v>
      </c>
      <c r="K260" s="3" t="str">
        <f aca="false">IF(ISNUMBER(SEARCH("Facebook",J260)),"3654128","Not Facebook")</f>
        <v>3654128</v>
      </c>
      <c r="L260" s="3" t="str">
        <f aca="false">IFERROR(VLOOKUP(OFFSET(Table22,259,21,1,1),OFFSET(Table2,0,1,ROWS(Table2),8),7,0),VLOOKUP(OFFSET(Table22,259,22,1,1),Table2,8,0))</f>
        <v>AzurePlatform_FreeAcctAppsFACEBOOKDeviceChB_CAN_1200x628_SOC_PLAT_EN_Trial_Standard_NA_SU_T2_1.png</v>
      </c>
      <c r="M260" s="2" t="n">
        <f aca="false">IFERROR(VLOOKUP(OFFSET(Table22,259,21,1,1),OFFSET(Table2,0,1,ROWS(Table2),8),8,0),VLOOKUP(OFFSET(Table22,259,22,1,1),Table2,9,0))</f>
        <v>103058711</v>
      </c>
      <c r="N260" s="15" t="s">
        <v>29</v>
      </c>
      <c r="O260" s="16" t="n">
        <v>43352</v>
      </c>
      <c r="P260" s="17" t="s">
        <v>64</v>
      </c>
      <c r="Q260" s="18" t="s">
        <v>65</v>
      </c>
      <c r="R260" s="17" t="s">
        <v>66</v>
      </c>
      <c r="S260" s="18" t="s">
        <v>45</v>
      </c>
      <c r="T260" s="17" t="s">
        <v>34</v>
      </c>
      <c r="U260" s="18" t="s">
        <v>39</v>
      </c>
      <c r="V260" s="19" t="n">
        <v>223691810</v>
      </c>
      <c r="W260" s="17" t="s">
        <v>94</v>
      </c>
      <c r="X260" s="17" t="n">
        <v>1295</v>
      </c>
      <c r="Y260" s="17" t="n">
        <v>5</v>
      </c>
      <c r="Z260" s="17" t="n">
        <v>28.89</v>
      </c>
      <c r="AA260" s="17" t="s">
        <v>68</v>
      </c>
      <c r="AB260" s="17" t="n">
        <v>0</v>
      </c>
    </row>
    <row r="261" customFormat="false" ht="15" hidden="false" customHeight="false" outlineLevel="0" collapsed="false">
      <c r="A261" s="1" t="str">
        <f aca="false">OFFSET(Table22,260,14,1,1)&amp;OFFSET(Table22,260,21,1,1)</f>
        <v>43352223691804</v>
      </c>
      <c r="B261" s="1" t="str">
        <f aca="false">OFFSET(Table22,260,14,1,1)&amp;OFFSET(Table22,260,22,1,1)</f>
        <v>43352Facebook»AZR»1x1»SocialBan»NA»ALL»DYN»AUT»D»All»SS»NA»Free Acc Refresh - T1 - EN</v>
      </c>
      <c r="C261" s="1" t="s">
        <v>28</v>
      </c>
      <c r="D261" s="3" t="n">
        <f aca="false">O261+(7-WEEKDAY(O261))</f>
        <v>43358</v>
      </c>
      <c r="E261" s="1" t="str">
        <f aca="false">VLOOKUP(OFFSET(Table22,260,16,1,1),Key!B:D,2,0)</f>
        <v>Canada</v>
      </c>
      <c r="F261" s="1" t="str">
        <f aca="false">IF(ISNUMBER(SEARCH("Canvas",U261)),"Link",IF(ISNUMBER(SEARCH("Link",U261)),"Link","Not filled properly"))</f>
        <v>Link</v>
      </c>
      <c r="G261" s="1" t="str">
        <f aca="false">IFERROR(VLOOKUP(OFFSET(Table22,260,21,1,1),OFFSET(Table2,0,1,ROWS(Table2),8),2,0),VLOOKUP(OFFSET(Table22,260,22,1,1),Table2,3,0))</f>
        <v>CAN_gaPMG_AZR_AZR_Q1_19_Trial-Social</v>
      </c>
      <c r="H261" s="1" t="n">
        <f aca="false">IFERROR(VLOOKUP(OFFSET(Table22,260,21,1,1),OFFSET(Table2,0,1,ROWS(Table2),8),3,0),VLOOKUP(OFFSET(Table22,260,22,1,1),Table2,4,0))</f>
        <v>21337220</v>
      </c>
      <c r="I261" s="2" t="n">
        <f aca="false">IFERROR(VLOOKUP(OFFSET(Table22,260,21,1,1),OFFSET(Table2,0,1,ROWS(Table2),8),4,0),VLOOKUP(OFFSET(Table22,260,22,1,1),Table2,5,0))</f>
        <v>720192</v>
      </c>
      <c r="J261" s="3" t="str">
        <f aca="false">IF(ISNUMBER(SEARCH("FACEBOOK",W261)),"Facebook",IF(ISNUMBER(SEARCH("INSTAGRAM",W261)),"Facebook-Instagram","Look at taxonomy"))</f>
        <v>Facebook</v>
      </c>
      <c r="K261" s="3" t="str">
        <f aca="false">IF(ISNUMBER(SEARCH("Facebook",J261)),"3654128","Not Facebook")</f>
        <v>3654128</v>
      </c>
      <c r="L261" s="3" t="str">
        <f aca="false">IFERROR(VLOOKUP(OFFSET(Table22,260,21,1,1),OFFSET(Table2,0,1,ROWS(Table2),8),7,0),VLOOKUP(OFFSET(Table22,260,22,1,1),Table2,8,0))</f>
        <v>AzurePlatform_FreeAcctAppsFACEBOOKLifestyleChA_CAN_1200x628_SOC_PLAT_EN_Trial_Standard_NA_SU_T1_1.png</v>
      </c>
      <c r="M261" s="2" t="n">
        <f aca="false">IFERROR(VLOOKUP(OFFSET(Table22,260,21,1,1),OFFSET(Table2,0,1,ROWS(Table2),8),8,0),VLOOKUP(OFFSET(Table22,260,22,1,1),Table2,9,0))</f>
        <v>103058717</v>
      </c>
      <c r="N261" s="15" t="s">
        <v>29</v>
      </c>
      <c r="O261" s="16" t="n">
        <v>43352</v>
      </c>
      <c r="P261" s="17" t="s">
        <v>64</v>
      </c>
      <c r="Q261" s="18" t="s">
        <v>65</v>
      </c>
      <c r="R261" s="17" t="s">
        <v>66</v>
      </c>
      <c r="S261" s="18" t="s">
        <v>45</v>
      </c>
      <c r="T261" s="17" t="s">
        <v>34</v>
      </c>
      <c r="U261" s="18" t="s">
        <v>39</v>
      </c>
      <c r="V261" s="19" t="n">
        <v>223691804</v>
      </c>
      <c r="W261" s="17" t="s">
        <v>96</v>
      </c>
      <c r="X261" s="17" t="n">
        <v>527</v>
      </c>
      <c r="Y261" s="17" t="n">
        <v>0</v>
      </c>
      <c r="Z261" s="17" t="n">
        <v>10.61</v>
      </c>
      <c r="AA261" s="17" t="s">
        <v>68</v>
      </c>
      <c r="AB261" s="17" t="n">
        <v>0</v>
      </c>
    </row>
    <row r="262" customFormat="false" ht="15" hidden="false" customHeight="false" outlineLevel="0" collapsed="false">
      <c r="A262" s="1" t="str">
        <f aca="false">OFFSET(Table22,261,14,1,1)&amp;OFFSET(Table22,261,21,1,1)</f>
        <v>43352223691813</v>
      </c>
      <c r="B262" s="1" t="str">
        <f aca="false">OFFSET(Table22,261,14,1,1)&amp;OFFSET(Table22,261,22,1,1)</f>
        <v>43352Facebook»AZR»1x1»SocialBan»NA»ALL»DYN»AUT»D»All»SS»NA»Free Acc Refresh - T4 - EN</v>
      </c>
      <c r="C262" s="1" t="s">
        <v>28</v>
      </c>
      <c r="D262" s="3" t="n">
        <f aca="false">O262+(7-WEEKDAY(O262))</f>
        <v>43358</v>
      </c>
      <c r="E262" s="1" t="str">
        <f aca="false">VLOOKUP(OFFSET(Table22,261,16,1,1),Key!B:D,2,0)</f>
        <v>Canada</v>
      </c>
      <c r="F262" s="1" t="str">
        <f aca="false">IF(ISNUMBER(SEARCH("Canvas",U262)),"Link",IF(ISNUMBER(SEARCH("Link",U262)),"Link","Not filled properly"))</f>
        <v>Link</v>
      </c>
      <c r="G262" s="1" t="str">
        <f aca="false">IFERROR(VLOOKUP(OFFSET(Table22,261,21,1,1),OFFSET(Table2,0,1,ROWS(Table2),8),2,0),VLOOKUP(OFFSET(Table22,261,22,1,1),Table2,3,0))</f>
        <v>CAN_gaPMG_AZR_AZR_Q1_19_Trial-Social</v>
      </c>
      <c r="H262" s="1" t="n">
        <f aca="false">IFERROR(VLOOKUP(OFFSET(Table22,261,21,1,1),OFFSET(Table2,0,1,ROWS(Table2),8),3,0),VLOOKUP(OFFSET(Table22,261,22,1,1),Table2,4,0))</f>
        <v>21337220</v>
      </c>
      <c r="I262" s="2" t="n">
        <f aca="false">IFERROR(VLOOKUP(OFFSET(Table22,261,21,1,1),OFFSET(Table2,0,1,ROWS(Table2),8),4,0),VLOOKUP(OFFSET(Table22,261,22,1,1),Table2,5,0))</f>
        <v>720192</v>
      </c>
      <c r="J262" s="3" t="str">
        <f aca="false">IF(ISNUMBER(SEARCH("FACEBOOK",W262)),"Facebook",IF(ISNUMBER(SEARCH("INSTAGRAM",W262)),"Facebook-Instagram","Look at taxonomy"))</f>
        <v>Facebook</v>
      </c>
      <c r="K262" s="3" t="str">
        <f aca="false">IF(ISNUMBER(SEARCH("Facebook",J262)),"3654128","Not Facebook")</f>
        <v>3654128</v>
      </c>
      <c r="L262" s="3" t="str">
        <f aca="false">IFERROR(VLOOKUP(OFFSET(Table22,261,21,1,1),OFFSET(Table2,0,1,ROWS(Table2),8),7,0),VLOOKUP(OFFSET(Table22,261,22,1,1),Table2,8,0))</f>
        <v>AzurePlatform_FreeAcctAppsFACEBOOK200CreditChD_CAN_1200x628_SOC_PLAT_EN_Trial_Standard_NA_SU_T4_1.png</v>
      </c>
      <c r="M262" s="2" t="n">
        <f aca="false">IFERROR(VLOOKUP(OFFSET(Table22,261,21,1,1),OFFSET(Table2,0,1,ROWS(Table2),8),8,0),VLOOKUP(OFFSET(Table22,261,22,1,1),Table2,9,0))</f>
        <v>103053320</v>
      </c>
      <c r="N262" s="15" t="s">
        <v>29</v>
      </c>
      <c r="O262" s="16" t="n">
        <v>43352</v>
      </c>
      <c r="P262" s="17" t="s">
        <v>64</v>
      </c>
      <c r="Q262" s="18" t="s">
        <v>65</v>
      </c>
      <c r="R262" s="17" t="s">
        <v>66</v>
      </c>
      <c r="S262" s="18" t="s">
        <v>45</v>
      </c>
      <c r="T262" s="17" t="s">
        <v>34</v>
      </c>
      <c r="U262" s="18" t="s">
        <v>39</v>
      </c>
      <c r="V262" s="19" t="n">
        <v>223691813</v>
      </c>
      <c r="W262" s="17" t="s">
        <v>98</v>
      </c>
      <c r="X262" s="17" t="n">
        <v>5032</v>
      </c>
      <c r="Y262" s="17" t="n">
        <v>7</v>
      </c>
      <c r="Z262" s="17" t="n">
        <v>83.89</v>
      </c>
      <c r="AA262" s="17" t="s">
        <v>68</v>
      </c>
      <c r="AB262" s="17" t="n">
        <v>0</v>
      </c>
    </row>
    <row r="263" customFormat="false" ht="15" hidden="false" customHeight="false" outlineLevel="0" collapsed="false">
      <c r="A263" s="1" t="str">
        <f aca="false">OFFSET(Table22,262,14,1,1)&amp;OFFSET(Table22,262,21,1,1)</f>
        <v>43352223691837</v>
      </c>
      <c r="B263" s="1" t="str">
        <f aca="false">OFFSET(Table22,262,14,1,1)&amp;OFFSET(Table22,262,22,1,1)</f>
        <v>43352Facebook»AZR»1x1»NA»EGV»ALL»DYN»AUT»D»All»SS»NA»Free Acc CTC - T4 - EN</v>
      </c>
      <c r="C263" s="1" t="s">
        <v>28</v>
      </c>
      <c r="D263" s="3" t="n">
        <f aca="false">O263+(7-WEEKDAY(O263))</f>
        <v>43358</v>
      </c>
      <c r="E263" s="1" t="str">
        <f aca="false">VLOOKUP(OFFSET(Table22,262,16,1,1),Key!B:D,2,0)</f>
        <v>Canada</v>
      </c>
      <c r="F263" s="1" t="str">
        <f aca="false">IF(ISNUMBER(SEARCH("Canvas",U263)),"Link",IF(ISNUMBER(SEARCH("Link",U263)),"Link","Not filled properly"))</f>
        <v>Link</v>
      </c>
      <c r="G263" s="1" t="str">
        <f aca="false">IFERROR(VLOOKUP(OFFSET(Table22,262,21,1,1),OFFSET(Table2,0,1,ROWS(Table2),8),2,0),VLOOKUP(OFFSET(Table22,262,22,1,1),Table2,3,0))</f>
        <v>CAN_gaPMG_AZR_AZR_Q1_19_Trial-Social</v>
      </c>
      <c r="H263" s="1" t="n">
        <f aca="false">IFERROR(VLOOKUP(OFFSET(Table22,262,21,1,1),OFFSET(Table2,0,1,ROWS(Table2),8),3,0),VLOOKUP(OFFSET(Table22,262,22,1,1),Table2,4,0))</f>
        <v>21337220</v>
      </c>
      <c r="I263" s="2" t="n">
        <f aca="false">IFERROR(VLOOKUP(OFFSET(Table22,262,21,1,1),OFFSET(Table2,0,1,ROWS(Table2),8),4,0),VLOOKUP(OFFSET(Table22,262,22,1,1),Table2,5,0))</f>
        <v>720192</v>
      </c>
      <c r="J263" s="3" t="str">
        <f aca="false">IF(ISNUMBER(SEARCH("FACEBOOK",W263)),"Facebook",IF(ISNUMBER(SEARCH("INSTAGRAM",W263)),"Facebook-Instagram","Look at taxonomy"))</f>
        <v>Facebook</v>
      </c>
      <c r="K263" s="3" t="str">
        <f aca="false">IF(ISNUMBER(SEARCH("Facebook",J263)),"3654128","Not Facebook")</f>
        <v>3654128</v>
      </c>
      <c r="L263" s="3" t="str">
        <f aca="false">IFERROR(VLOOKUP(OFFSET(Table22,262,21,1,1),OFFSET(Table2,0,1,ROWS(Table2),8),7,0),VLOOKUP(OFFSET(Table22,262,22,1,1),Table2,8,0))</f>
        <v>AzurePlatform_FBCTCBenefit2inMotion_CAN_14s_ISV_PLAT_English_Trial_Standard_STAN_TN_T4_1</v>
      </c>
      <c r="M263" s="2" t="n">
        <f aca="false">IFERROR(VLOOKUP(OFFSET(Table22,262,21,1,1),OFFSET(Table2,0,1,ROWS(Table2),8),8,0),VLOOKUP(OFFSET(Table22,262,22,1,1),Table2,9,0))</f>
        <v>103053314</v>
      </c>
      <c r="N263" s="15" t="s">
        <v>29</v>
      </c>
      <c r="O263" s="16" t="n">
        <v>43352</v>
      </c>
      <c r="P263" s="17" t="s">
        <v>64</v>
      </c>
      <c r="Q263" s="18" t="s">
        <v>65</v>
      </c>
      <c r="R263" s="17" t="s">
        <v>66</v>
      </c>
      <c r="S263" s="18" t="s">
        <v>45</v>
      </c>
      <c r="T263" s="17" t="s">
        <v>34</v>
      </c>
      <c r="U263" s="18" t="s">
        <v>39</v>
      </c>
      <c r="V263" s="19" t="n">
        <v>223691837</v>
      </c>
      <c r="W263" s="17" t="s">
        <v>83</v>
      </c>
      <c r="X263" s="17" t="n">
        <v>2639</v>
      </c>
      <c r="Y263" s="17" t="n">
        <v>7</v>
      </c>
      <c r="Z263" s="17" t="n">
        <v>65.11</v>
      </c>
      <c r="AA263" s="17" t="s">
        <v>68</v>
      </c>
      <c r="AB263" s="17" t="n">
        <v>0</v>
      </c>
    </row>
    <row r="264" customFormat="false" ht="15" hidden="false" customHeight="false" outlineLevel="0" collapsed="false">
      <c r="A264" s="1" t="str">
        <f aca="false">OFFSET(Table22,263,14,1,1)&amp;OFFSET(Table22,263,21,1,1)</f>
        <v>43352223691816</v>
      </c>
      <c r="B264" s="1" t="str">
        <f aca="false">OFFSET(Table22,263,14,1,1)&amp;OFFSET(Table22,263,22,1,1)</f>
        <v>43352Facebook»AZR»1x1»SocialBan»NA»ALL»DYN»AUT»D»All»SS»NA»Free Acc Refresh - T5 - EN</v>
      </c>
      <c r="C264" s="1" t="s">
        <v>28</v>
      </c>
      <c r="D264" s="3" t="n">
        <f aca="false">O264+(7-WEEKDAY(O264))</f>
        <v>43358</v>
      </c>
      <c r="E264" s="1" t="str">
        <f aca="false">VLOOKUP(OFFSET(Table22,263,16,1,1),Key!B:D,2,0)</f>
        <v>Canada</v>
      </c>
      <c r="F264" s="1" t="str">
        <f aca="false">IF(ISNUMBER(SEARCH("Canvas",U264)),"Link",IF(ISNUMBER(SEARCH("Link",U264)),"Link","Not filled properly"))</f>
        <v>Link</v>
      </c>
      <c r="G264" s="1" t="str">
        <f aca="false">IFERROR(VLOOKUP(OFFSET(Table22,263,21,1,1),OFFSET(Table2,0,1,ROWS(Table2),8),2,0),VLOOKUP(OFFSET(Table22,263,22,1,1),Table2,3,0))</f>
        <v>CAN_gaPMG_AZR_AZR_Q1_19_Trial-Social</v>
      </c>
      <c r="H264" s="1" t="n">
        <f aca="false">IFERROR(VLOOKUP(OFFSET(Table22,263,21,1,1),OFFSET(Table2,0,1,ROWS(Table2),8),3,0),VLOOKUP(OFFSET(Table22,263,22,1,1),Table2,4,0))</f>
        <v>21337220</v>
      </c>
      <c r="I264" s="2" t="n">
        <f aca="false">IFERROR(VLOOKUP(OFFSET(Table22,263,21,1,1),OFFSET(Table2,0,1,ROWS(Table2),8),4,0),VLOOKUP(OFFSET(Table22,263,22,1,1),Table2,5,0))</f>
        <v>720192</v>
      </c>
      <c r="J264" s="3" t="str">
        <f aca="false">IF(ISNUMBER(SEARCH("FACEBOOK",W264)),"Facebook",IF(ISNUMBER(SEARCH("INSTAGRAM",W264)),"Facebook-Instagram","Look at taxonomy"))</f>
        <v>Facebook</v>
      </c>
      <c r="K264" s="3" t="str">
        <f aca="false">IF(ISNUMBER(SEARCH("Facebook",J264)),"3654128","Not Facebook")</f>
        <v>3654128</v>
      </c>
      <c r="L264" s="3" t="str">
        <f aca="false">IFERROR(VLOOKUP(OFFSET(Table22,263,21,1,1),OFFSET(Table2,0,1,ROWS(Table2),8),7,0),VLOOKUP(OFFSET(Table22,263,22,1,1),Table2,8,0))</f>
        <v>AzurePlatform_FreeAcctAppsFACEBOOK12monthsChE_CAN_1200x628_SOC_PLAT_EN_Trial_Standard_NA_SU_T5_1.png</v>
      </c>
      <c r="M264" s="2" t="n">
        <f aca="false">IFERROR(VLOOKUP(OFFSET(Table22,263,21,1,1),OFFSET(Table2,0,1,ROWS(Table2),8),8,0),VLOOKUP(OFFSET(Table22,263,22,1,1),Table2,9,0))</f>
        <v>102916341</v>
      </c>
      <c r="N264" s="15" t="s">
        <v>29</v>
      </c>
      <c r="O264" s="16" t="n">
        <v>43352</v>
      </c>
      <c r="P264" s="17" t="s">
        <v>64</v>
      </c>
      <c r="Q264" s="18" t="s">
        <v>65</v>
      </c>
      <c r="R264" s="17" t="s">
        <v>66</v>
      </c>
      <c r="S264" s="18" t="s">
        <v>45</v>
      </c>
      <c r="T264" s="17" t="s">
        <v>34</v>
      </c>
      <c r="U264" s="18" t="s">
        <v>39</v>
      </c>
      <c r="V264" s="19" t="n">
        <v>223691816</v>
      </c>
      <c r="W264" s="17" t="s">
        <v>93</v>
      </c>
      <c r="X264" s="17" t="n">
        <v>1123</v>
      </c>
      <c r="Y264" s="17" t="n">
        <v>2</v>
      </c>
      <c r="Z264" s="17" t="n">
        <v>30.99</v>
      </c>
      <c r="AA264" s="17" t="s">
        <v>68</v>
      </c>
      <c r="AB264" s="17" t="n">
        <v>0</v>
      </c>
    </row>
    <row r="265" customFormat="false" ht="15" hidden="false" customHeight="false" outlineLevel="0" collapsed="false">
      <c r="A265" s="1" t="str">
        <f aca="false">OFFSET(Table22,264,14,1,1)&amp;OFFSET(Table22,264,21,1,1)</f>
        <v>43352223684451</v>
      </c>
      <c r="B265" s="1" t="str">
        <f aca="false">OFFSET(Table22,264,14,1,1)&amp;OFFSET(Table22,264,22,1,1)</f>
        <v>43352Facebook»AZR»1x1»NA»EGV»ALL»DYN»AUT»D»All»SS»NA»Free Acc CTC - T1 - EN</v>
      </c>
      <c r="C265" s="1" t="s">
        <v>28</v>
      </c>
      <c r="D265" s="3" t="n">
        <f aca="false">O265+(7-WEEKDAY(O265))</f>
        <v>43358</v>
      </c>
      <c r="E265" s="1" t="str">
        <f aca="false">VLOOKUP(OFFSET(Table22,264,16,1,1),Key!B:D,2,0)</f>
        <v>Canada</v>
      </c>
      <c r="F265" s="1" t="str">
        <f aca="false">IF(ISNUMBER(SEARCH("Canvas",U265)),"Link",IF(ISNUMBER(SEARCH("Link",U265)),"Link","Not filled properly"))</f>
        <v>Link</v>
      </c>
      <c r="G265" s="1" t="str">
        <f aca="false">IFERROR(VLOOKUP(OFFSET(Table22,264,21,1,1),OFFSET(Table2,0,1,ROWS(Table2),8),2,0),VLOOKUP(OFFSET(Table22,264,22,1,1),Table2,3,0))</f>
        <v>CAN_gaPMG_AZR_AZR_Q1_19_Trial-Social</v>
      </c>
      <c r="H265" s="1" t="n">
        <f aca="false">IFERROR(VLOOKUP(OFFSET(Table22,264,21,1,1),OFFSET(Table2,0,1,ROWS(Table2),8),3,0),VLOOKUP(OFFSET(Table22,264,22,1,1),Table2,4,0))</f>
        <v>21337220</v>
      </c>
      <c r="I265" s="2" t="n">
        <f aca="false">IFERROR(VLOOKUP(OFFSET(Table22,264,21,1,1),OFFSET(Table2,0,1,ROWS(Table2),8),4,0),VLOOKUP(OFFSET(Table22,264,22,1,1),Table2,5,0))</f>
        <v>720192</v>
      </c>
      <c r="J265" s="3" t="str">
        <f aca="false">IF(ISNUMBER(SEARCH("FACEBOOK",W265)),"Facebook",IF(ISNUMBER(SEARCH("INSTAGRAM",W265)),"Facebook-Instagram","Look at taxonomy"))</f>
        <v>Facebook</v>
      </c>
      <c r="K265" s="3" t="str">
        <f aca="false">IF(ISNUMBER(SEARCH("Facebook",J265)),"3654128","Not Facebook")</f>
        <v>3654128</v>
      </c>
      <c r="L265" s="3" t="str">
        <f aca="false">IFERROR(VLOOKUP(OFFSET(Table22,264,21,1,1),OFFSET(Table2,0,1,ROWS(Table2),8),7,0),VLOOKUP(OFFSET(Table22,264,22,1,1),Table2,8,0))</f>
        <v>AzurePlatform_FBCTCBasicMotion_CAN_10s_ISV_PLAT_English_Trial_Standard_STAN_TN_T1_1</v>
      </c>
      <c r="M265" s="2" t="n">
        <f aca="false">IFERROR(VLOOKUP(OFFSET(Table22,264,21,1,1),OFFSET(Table2,0,1,ROWS(Table2),8),8,0),VLOOKUP(OFFSET(Table22,264,22,1,1),Table2,9,0))</f>
        <v>102901882</v>
      </c>
      <c r="N265" s="15" t="s">
        <v>29</v>
      </c>
      <c r="O265" s="16" t="n">
        <v>43352</v>
      </c>
      <c r="P265" s="17" t="s">
        <v>64</v>
      </c>
      <c r="Q265" s="18" t="s">
        <v>65</v>
      </c>
      <c r="R265" s="17" t="s">
        <v>66</v>
      </c>
      <c r="S265" s="18" t="s">
        <v>45</v>
      </c>
      <c r="T265" s="17" t="s">
        <v>34</v>
      </c>
      <c r="U265" s="18" t="s">
        <v>39</v>
      </c>
      <c r="V265" s="19" t="n">
        <v>223684451</v>
      </c>
      <c r="W265" s="17" t="s">
        <v>84</v>
      </c>
      <c r="X265" s="17" t="n">
        <v>2336</v>
      </c>
      <c r="Y265" s="17" t="n">
        <v>3</v>
      </c>
      <c r="Z265" s="17" t="n">
        <v>49.64</v>
      </c>
      <c r="AA265" s="17" t="s">
        <v>68</v>
      </c>
      <c r="AB265" s="17" t="n">
        <v>0</v>
      </c>
    </row>
    <row r="266" customFormat="false" ht="15" hidden="false" customHeight="false" outlineLevel="0" collapsed="false">
      <c r="A266" s="1" t="str">
        <f aca="false">OFFSET(Table22,265,14,1,1)&amp;OFFSET(Table22,265,21,1,1)</f>
        <v>43352223691798</v>
      </c>
      <c r="B266" s="1" t="str">
        <f aca="false">OFFSET(Table22,265,14,1,1)&amp;OFFSET(Table22,265,22,1,1)</f>
        <v>43352Facebook»AZR»1x1»NA»EGV»ALL»DYN»AUT»D»All»SS»NA»Free Acc CTC - T2 - FR</v>
      </c>
      <c r="C266" s="1" t="s">
        <v>28</v>
      </c>
      <c r="D266" s="3" t="n">
        <f aca="false">O266+(7-WEEKDAY(O266))</f>
        <v>43358</v>
      </c>
      <c r="E266" s="1" t="str">
        <f aca="false">VLOOKUP(OFFSET(Table22,265,16,1,1),Key!B:D,2,0)</f>
        <v>Canada</v>
      </c>
      <c r="F266" s="1" t="str">
        <f aca="false">IF(ISNUMBER(SEARCH("Canvas",U266)),"Link",IF(ISNUMBER(SEARCH("Link",U266)),"Link","Not filled properly"))</f>
        <v>Link</v>
      </c>
      <c r="G266" s="1" t="str">
        <f aca="false">IFERROR(VLOOKUP(OFFSET(Table22,265,21,1,1),OFFSET(Table2,0,1,ROWS(Table2),8),2,0),VLOOKUP(OFFSET(Table22,265,22,1,1),Table2,3,0))</f>
        <v>CAN_gaPMG_AZR_AZR_Q1_19_Trial-Social</v>
      </c>
      <c r="H266" s="1" t="n">
        <f aca="false">IFERROR(VLOOKUP(OFFSET(Table22,265,21,1,1),OFFSET(Table2,0,1,ROWS(Table2),8),3,0),VLOOKUP(OFFSET(Table22,265,22,1,1),Table2,4,0))</f>
        <v>21337220</v>
      </c>
      <c r="I266" s="2" t="n">
        <f aca="false">IFERROR(VLOOKUP(OFFSET(Table22,265,21,1,1),OFFSET(Table2,0,1,ROWS(Table2),8),4,0),VLOOKUP(OFFSET(Table22,265,22,1,1),Table2,5,0))</f>
        <v>720192</v>
      </c>
      <c r="J266" s="3" t="str">
        <f aca="false">IF(ISNUMBER(SEARCH("FACEBOOK",W266)),"Facebook",IF(ISNUMBER(SEARCH("INSTAGRAM",W266)),"Facebook-Instagram","Look at taxonomy"))</f>
        <v>Facebook</v>
      </c>
      <c r="K266" s="3" t="str">
        <f aca="false">IF(ISNUMBER(SEARCH("Facebook",J266)),"3654128","Not Facebook")</f>
        <v>3654128</v>
      </c>
      <c r="L266" s="3" t="str">
        <f aca="false">IFERROR(VLOOKUP(OFFSET(Table22,265,21,1,1),OFFSET(Table2,0,1,ROWS(Table2),8),7,0),VLOOKUP(OFFSET(Table22,265,22,1,1),Table2,8,0))</f>
        <v>AzurePlatform_FBCTCBrandinMotion_CAN_12s_ISV_PLAT_FR_Trial_Standard_STAN_TN_T2_1</v>
      </c>
      <c r="M266" s="2" t="n">
        <f aca="false">IFERROR(VLOOKUP(OFFSET(Table22,265,21,1,1),OFFSET(Table2,0,1,ROWS(Table2),8),8,0),VLOOKUP(OFFSET(Table22,265,22,1,1),Table2,9,0))</f>
        <v>102916347</v>
      </c>
      <c r="N266" s="15" t="s">
        <v>29</v>
      </c>
      <c r="O266" s="16" t="n">
        <v>43352</v>
      </c>
      <c r="P266" s="17" t="s">
        <v>64</v>
      </c>
      <c r="Q266" s="18" t="s">
        <v>65</v>
      </c>
      <c r="R266" s="17" t="s">
        <v>66</v>
      </c>
      <c r="S266" s="18" t="s">
        <v>45</v>
      </c>
      <c r="T266" s="17" t="s">
        <v>34</v>
      </c>
      <c r="U266" s="18" t="s">
        <v>39</v>
      </c>
      <c r="V266" s="19" t="n">
        <v>223691798</v>
      </c>
      <c r="W266" s="17" t="s">
        <v>69</v>
      </c>
      <c r="X266" s="17" t="n">
        <v>1213</v>
      </c>
      <c r="Y266" s="17" t="n">
        <v>3</v>
      </c>
      <c r="Z266" s="17" t="n">
        <v>25.81</v>
      </c>
      <c r="AA266" s="17" t="s">
        <v>68</v>
      </c>
      <c r="AB266" s="17" t="n">
        <v>0</v>
      </c>
    </row>
    <row r="267" customFormat="false" ht="15" hidden="false" customHeight="false" outlineLevel="0" collapsed="false">
      <c r="A267" s="1" t="str">
        <f aca="false">OFFSET(Table22,266,14,1,1)&amp;OFFSET(Table22,266,21,1,1)</f>
        <v>43358226359956</v>
      </c>
      <c r="B267" s="1" t="str">
        <f aca="false">OFFSET(Table22,266,14,1,1)&amp;OFFSET(Table22,266,22,1,1)</f>
        <v>43358Facebook»Developers/ITPros-Azure Direct-Sponsored Post_Trial_PayGo-Link Ad-FreeAcctRetargetingFB-Animated-ChC CanvasOpener»1x1»SocialBan»SOC»ALL»CPC»LAL»D»UNK»SS»NA»Trials_ID</v>
      </c>
      <c r="C267" s="1" t="s">
        <v>28</v>
      </c>
      <c r="D267" s="3" t="n">
        <f aca="false">O267+(7-WEEKDAY(O267))</f>
        <v>43358</v>
      </c>
      <c r="E267" s="1" t="str">
        <f aca="false">VLOOKUP(OFFSET(Table22,266,16,1,1),Key!B:D,2,0)</f>
        <v>France</v>
      </c>
      <c r="F267" s="1" t="str">
        <f aca="false">IF(ISNUMBER(SEARCH("Canvas",U267)),"Link",IF(ISNUMBER(SEARCH("Link",U267)),"Link","Not filled properly"))</f>
        <v>Link</v>
      </c>
      <c r="G267" s="1" t="str">
        <f aca="false">IFERROR(VLOOKUP(OFFSET(Table22,266,21,1,1),OFFSET(Table2,0,1,ROWS(Table2),8),2,0),VLOOKUP(OFFSET(Table22,266,22,1,1),Table2,3,0))</f>
        <v>FRA_gaPMG_AZR_AZR_Q1_19_AzureDirect-Trial-Social</v>
      </c>
      <c r="H267" s="1" t="n">
        <f aca="false">IFERROR(VLOOKUP(OFFSET(Table22,266,21,1,1),OFFSET(Table2,0,1,ROWS(Table2),8),3,0),VLOOKUP(OFFSET(Table22,266,22,1,1),Table2,4,0))</f>
        <v>21356941</v>
      </c>
      <c r="I267" s="2" t="n">
        <f aca="false">IFERROR(VLOOKUP(OFFSET(Table22,266,21,1,1),OFFSET(Table2,0,1,ROWS(Table2),8),4,0),VLOOKUP(OFFSET(Table22,266,22,1,1),Table2,5,0))</f>
        <v>720193</v>
      </c>
      <c r="J267" s="3" t="str">
        <f aca="false">IF(ISNUMBER(SEARCH("FACEBOOK",W267)),"Facebook",IF(ISNUMBER(SEARCH("INSTAGRAM",W267)),"Facebook-Instagram","Look at taxonomy"))</f>
        <v>Facebook</v>
      </c>
      <c r="K267" s="3" t="str">
        <f aca="false">IF(ISNUMBER(SEARCH("Facebook",J267)),"3654128","Not Facebook")</f>
        <v>3654128</v>
      </c>
      <c r="L267" s="3" t="str">
        <f aca="false">IFERROR(VLOOKUP(OFFSET(Table22,266,21,1,1),OFFSET(Table2,0,1,ROWS(Table2),8),7,0),VLOOKUP(OFFSET(Table22,266,22,1,1),Table2,8,0))</f>
        <v>AZR_reeAcctRetargetingFB-Animated-ChC_FRA_1200x628_SOC_AZRDirect_French_NA_Facebook_SBAN_SINU_T3_1</v>
      </c>
      <c r="M267" s="2" t="n">
        <f aca="false">IFERROR(VLOOKUP(OFFSET(Table22,266,21,1,1),OFFSET(Table2,0,1,ROWS(Table2),8),8,0),VLOOKUP(OFFSET(Table22,266,22,1,1),Table2,9,0))</f>
        <v>103259775</v>
      </c>
      <c r="N267" s="15" t="s">
        <v>29</v>
      </c>
      <c r="O267" s="16" t="n">
        <v>43358</v>
      </c>
      <c r="P267" s="17" t="s">
        <v>102</v>
      </c>
      <c r="Q267" s="18" t="s">
        <v>103</v>
      </c>
      <c r="R267" s="17" t="s">
        <v>104</v>
      </c>
      <c r="S267" s="18" t="s">
        <v>33</v>
      </c>
      <c r="T267" s="17" t="s">
        <v>34</v>
      </c>
      <c r="U267" s="18" t="s">
        <v>39</v>
      </c>
      <c r="V267" s="19" t="n">
        <v>226359956</v>
      </c>
      <c r="W267" s="17" t="s">
        <v>105</v>
      </c>
      <c r="X267" s="17" t="n">
        <v>0</v>
      </c>
      <c r="Y267" s="17"/>
      <c r="Z267" s="17" t="n">
        <v>0</v>
      </c>
      <c r="AA267" s="17" t="s">
        <v>38</v>
      </c>
      <c r="AB267" s="17"/>
    </row>
    <row r="268" customFormat="false" ht="15" hidden="false" customHeight="false" outlineLevel="0" collapsed="false">
      <c r="A268" s="1" t="str">
        <f aca="false">OFFSET(Table22,267,14,1,1)&amp;OFFSET(Table22,267,21,1,1)</f>
        <v>43357226359956</v>
      </c>
      <c r="B268" s="1" t="str">
        <f aca="false">OFFSET(Table22,267,14,1,1)&amp;OFFSET(Table22,267,22,1,1)</f>
        <v>43357Facebook»Developers/ITPros-Azure Direct-Sponsored Post_Trial_PayGo-Link Ad-FreeAcctRetargetingFB-Animated-ChC CanvasOpener»1x1»SocialBan»SOC»ALL»CPC»LAL»D»UNK»SS»NA»Trials_ID</v>
      </c>
      <c r="C268" s="1" t="s">
        <v>28</v>
      </c>
      <c r="D268" s="3" t="n">
        <f aca="false">O268+(7-WEEKDAY(O268))</f>
        <v>43358</v>
      </c>
      <c r="E268" s="1" t="str">
        <f aca="false">VLOOKUP(OFFSET(Table22,267,16,1,1),Key!B:D,2,0)</f>
        <v>France</v>
      </c>
      <c r="F268" s="1" t="str">
        <f aca="false">IF(ISNUMBER(SEARCH("Canvas",U268)),"Link",IF(ISNUMBER(SEARCH("Link",U268)),"Link","Not filled properly"))</f>
        <v>Link</v>
      </c>
      <c r="G268" s="1" t="str">
        <f aca="false">IFERROR(VLOOKUP(OFFSET(Table22,267,21,1,1),OFFSET(Table2,0,1,ROWS(Table2),8),2,0),VLOOKUP(OFFSET(Table22,267,22,1,1),Table2,3,0))</f>
        <v>FRA_gaPMG_AZR_AZR_Q1_19_AzureDirect-Trial-Social</v>
      </c>
      <c r="H268" s="1" t="n">
        <f aca="false">IFERROR(VLOOKUP(OFFSET(Table22,267,21,1,1),OFFSET(Table2,0,1,ROWS(Table2),8),3,0),VLOOKUP(OFFSET(Table22,267,22,1,1),Table2,4,0))</f>
        <v>21356941</v>
      </c>
      <c r="I268" s="2" t="n">
        <f aca="false">IFERROR(VLOOKUP(OFFSET(Table22,267,21,1,1),OFFSET(Table2,0,1,ROWS(Table2),8),4,0),VLOOKUP(OFFSET(Table22,267,22,1,1),Table2,5,0))</f>
        <v>720193</v>
      </c>
      <c r="J268" s="3" t="str">
        <f aca="false">IF(ISNUMBER(SEARCH("FACEBOOK",W268)),"Facebook",IF(ISNUMBER(SEARCH("INSTAGRAM",W268)),"Facebook-Instagram","Look at taxonomy"))</f>
        <v>Facebook</v>
      </c>
      <c r="K268" s="3" t="str">
        <f aca="false">IF(ISNUMBER(SEARCH("Facebook",J268)),"3654128","Not Facebook")</f>
        <v>3654128</v>
      </c>
      <c r="L268" s="3" t="str">
        <f aca="false">IFERROR(VLOOKUP(OFFSET(Table22,267,21,1,1),OFFSET(Table2,0,1,ROWS(Table2),8),7,0),VLOOKUP(OFFSET(Table22,267,22,1,1),Table2,8,0))</f>
        <v>AZR_reeAcctRetargetingFB-Animated-ChC_FRA_1200x628_SOC_AZRDirect_French_NA_Facebook_SBAN_SINU_T3_1</v>
      </c>
      <c r="M268" s="2" t="n">
        <f aca="false">IFERROR(VLOOKUP(OFFSET(Table22,267,21,1,1),OFFSET(Table2,0,1,ROWS(Table2),8),8,0),VLOOKUP(OFFSET(Table22,267,22,1,1),Table2,9,0))</f>
        <v>103259775</v>
      </c>
      <c r="N268" s="15" t="s">
        <v>29</v>
      </c>
      <c r="O268" s="16" t="n">
        <v>43357</v>
      </c>
      <c r="P268" s="17" t="s">
        <v>102</v>
      </c>
      <c r="Q268" s="18" t="s">
        <v>103</v>
      </c>
      <c r="R268" s="17" t="s">
        <v>104</v>
      </c>
      <c r="S268" s="18" t="s">
        <v>33</v>
      </c>
      <c r="T268" s="17" t="s">
        <v>34</v>
      </c>
      <c r="U268" s="18" t="s">
        <v>39</v>
      </c>
      <c r="V268" s="19" t="n">
        <v>226359956</v>
      </c>
      <c r="W268" s="17" t="s">
        <v>105</v>
      </c>
      <c r="X268" s="17" t="n">
        <v>0</v>
      </c>
      <c r="Y268" s="17"/>
      <c r="Z268" s="17" t="n">
        <v>0</v>
      </c>
      <c r="AA268" s="17" t="s">
        <v>38</v>
      </c>
      <c r="AB268" s="17"/>
    </row>
    <row r="269" customFormat="false" ht="15" hidden="false" customHeight="false" outlineLevel="0" collapsed="false">
      <c r="A269" s="1" t="str">
        <f aca="false">OFFSET(Table22,268,14,1,1)&amp;OFFSET(Table22,268,21,1,1)</f>
        <v>43356226359956</v>
      </c>
      <c r="B269" s="1" t="str">
        <f aca="false">OFFSET(Table22,268,14,1,1)&amp;OFFSET(Table22,268,22,1,1)</f>
        <v>43356Facebook»Developers/ITPros-Azure Direct-Sponsored Post_Trial_PayGo-Link Ad-FreeAcctRetargetingFB-Animated-ChC CanvasOpener»1x1»SocialBan»SOC»ALL»CPC»LAL»D»UNK»SS»NA»Trials_ID</v>
      </c>
      <c r="C269" s="1" t="s">
        <v>28</v>
      </c>
      <c r="D269" s="3" t="n">
        <f aca="false">O269+(7-WEEKDAY(O269))</f>
        <v>43358</v>
      </c>
      <c r="E269" s="1" t="str">
        <f aca="false">VLOOKUP(OFFSET(Table22,268,16,1,1),Key!B:D,2,0)</f>
        <v>France</v>
      </c>
      <c r="F269" s="1" t="str">
        <f aca="false">IF(ISNUMBER(SEARCH("Canvas",U269)),"Link",IF(ISNUMBER(SEARCH("Link",U269)),"Link","Not filled properly"))</f>
        <v>Link</v>
      </c>
      <c r="G269" s="1" t="str">
        <f aca="false">IFERROR(VLOOKUP(OFFSET(Table22,268,21,1,1),OFFSET(Table2,0,1,ROWS(Table2),8),2,0),VLOOKUP(OFFSET(Table22,268,22,1,1),Table2,3,0))</f>
        <v>FRA_gaPMG_AZR_AZR_Q1_19_AzureDirect-Trial-Social</v>
      </c>
      <c r="H269" s="1" t="n">
        <f aca="false">IFERROR(VLOOKUP(OFFSET(Table22,268,21,1,1),OFFSET(Table2,0,1,ROWS(Table2),8),3,0),VLOOKUP(OFFSET(Table22,268,22,1,1),Table2,4,0))</f>
        <v>21356941</v>
      </c>
      <c r="I269" s="2" t="n">
        <f aca="false">IFERROR(VLOOKUP(OFFSET(Table22,268,21,1,1),OFFSET(Table2,0,1,ROWS(Table2),8),4,0),VLOOKUP(OFFSET(Table22,268,22,1,1),Table2,5,0))</f>
        <v>720193</v>
      </c>
      <c r="J269" s="3" t="str">
        <f aca="false">IF(ISNUMBER(SEARCH("FACEBOOK",W269)),"Facebook",IF(ISNUMBER(SEARCH("INSTAGRAM",W269)),"Facebook-Instagram","Look at taxonomy"))</f>
        <v>Facebook</v>
      </c>
      <c r="K269" s="3" t="str">
        <f aca="false">IF(ISNUMBER(SEARCH("Facebook",J269)),"3654128","Not Facebook")</f>
        <v>3654128</v>
      </c>
      <c r="L269" s="3" t="str">
        <f aca="false">IFERROR(VLOOKUP(OFFSET(Table22,268,21,1,1),OFFSET(Table2,0,1,ROWS(Table2),8),7,0),VLOOKUP(OFFSET(Table22,268,22,1,1),Table2,8,0))</f>
        <v>AZR_reeAcctRetargetingFB-Animated-ChC_FRA_1200x628_SOC_AZRDirect_French_NA_Facebook_SBAN_SINU_T3_1</v>
      </c>
      <c r="M269" s="2" t="n">
        <f aca="false">IFERROR(VLOOKUP(OFFSET(Table22,268,21,1,1),OFFSET(Table2,0,1,ROWS(Table2),8),8,0),VLOOKUP(OFFSET(Table22,268,22,1,1),Table2,9,0))</f>
        <v>103259775</v>
      </c>
      <c r="N269" s="15" t="s">
        <v>29</v>
      </c>
      <c r="O269" s="16" t="n">
        <v>43356</v>
      </c>
      <c r="P269" s="17" t="s">
        <v>102</v>
      </c>
      <c r="Q269" s="18" t="s">
        <v>103</v>
      </c>
      <c r="R269" s="17" t="s">
        <v>104</v>
      </c>
      <c r="S269" s="18" t="s">
        <v>33</v>
      </c>
      <c r="T269" s="17" t="s">
        <v>34</v>
      </c>
      <c r="U269" s="18" t="s">
        <v>39</v>
      </c>
      <c r="V269" s="19" t="n">
        <v>226359956</v>
      </c>
      <c r="W269" s="17" t="s">
        <v>105</v>
      </c>
      <c r="X269" s="17" t="n">
        <v>0</v>
      </c>
      <c r="Y269" s="17"/>
      <c r="Z269" s="17" t="n">
        <v>0</v>
      </c>
      <c r="AA269" s="17" t="s">
        <v>38</v>
      </c>
      <c r="AB269" s="17"/>
    </row>
    <row r="270" customFormat="false" ht="15" hidden="false" customHeight="false" outlineLevel="0" collapsed="false">
      <c r="A270" s="1" t="str">
        <f aca="false">OFFSET(Table22,269,14,1,1)&amp;OFFSET(Table22,269,21,1,1)</f>
        <v>43355226359956</v>
      </c>
      <c r="B270" s="1" t="str">
        <f aca="false">OFFSET(Table22,269,14,1,1)&amp;OFFSET(Table22,269,22,1,1)</f>
        <v>43355Facebook»Developers/ITPros-Azure Direct-Sponsored Post_Trial_PayGo-Link Ad-FreeAcctRetargetingFB-Animated-ChC CanvasOpener»1x1»SocialBan»SOC»ALL»CPC»LAL»D»UNK»SS»NA»Trials_ID</v>
      </c>
      <c r="C270" s="1" t="s">
        <v>28</v>
      </c>
      <c r="D270" s="3" t="n">
        <f aca="false">O270+(7-WEEKDAY(O270))</f>
        <v>43358</v>
      </c>
      <c r="E270" s="1" t="str">
        <f aca="false">VLOOKUP(OFFSET(Table22,269,16,1,1),Key!B:D,2,0)</f>
        <v>France</v>
      </c>
      <c r="F270" s="1" t="str">
        <f aca="false">IF(ISNUMBER(SEARCH("Canvas",U270)),"Link",IF(ISNUMBER(SEARCH("Link",U270)),"Link","Not filled properly"))</f>
        <v>Link</v>
      </c>
      <c r="G270" s="1" t="str">
        <f aca="false">IFERROR(VLOOKUP(OFFSET(Table22,269,21,1,1),OFFSET(Table2,0,1,ROWS(Table2),8),2,0),VLOOKUP(OFFSET(Table22,269,22,1,1),Table2,3,0))</f>
        <v>FRA_gaPMG_AZR_AZR_Q1_19_AzureDirect-Trial-Social</v>
      </c>
      <c r="H270" s="1" t="n">
        <f aca="false">IFERROR(VLOOKUP(OFFSET(Table22,269,21,1,1),OFFSET(Table2,0,1,ROWS(Table2),8),3,0),VLOOKUP(OFFSET(Table22,269,22,1,1),Table2,4,0))</f>
        <v>21356941</v>
      </c>
      <c r="I270" s="2" t="n">
        <f aca="false">IFERROR(VLOOKUP(OFFSET(Table22,269,21,1,1),OFFSET(Table2,0,1,ROWS(Table2),8),4,0),VLOOKUP(OFFSET(Table22,269,22,1,1),Table2,5,0))</f>
        <v>720193</v>
      </c>
      <c r="J270" s="3" t="str">
        <f aca="false">IF(ISNUMBER(SEARCH("FACEBOOK",W270)),"Facebook",IF(ISNUMBER(SEARCH("INSTAGRAM",W270)),"Facebook-Instagram","Look at taxonomy"))</f>
        <v>Facebook</v>
      </c>
      <c r="K270" s="3" t="str">
        <f aca="false">IF(ISNUMBER(SEARCH("Facebook",J270)),"3654128","Not Facebook")</f>
        <v>3654128</v>
      </c>
      <c r="L270" s="3" t="str">
        <f aca="false">IFERROR(VLOOKUP(OFFSET(Table22,269,21,1,1),OFFSET(Table2,0,1,ROWS(Table2),8),7,0),VLOOKUP(OFFSET(Table22,269,22,1,1),Table2,8,0))</f>
        <v>AZR_reeAcctRetargetingFB-Animated-ChC_FRA_1200x628_SOC_AZRDirect_French_NA_Facebook_SBAN_SINU_T3_1</v>
      </c>
      <c r="M270" s="2" t="n">
        <f aca="false">IFERROR(VLOOKUP(OFFSET(Table22,269,21,1,1),OFFSET(Table2,0,1,ROWS(Table2),8),8,0),VLOOKUP(OFFSET(Table22,269,22,1,1),Table2,9,0))</f>
        <v>103259775</v>
      </c>
      <c r="N270" s="15" t="s">
        <v>29</v>
      </c>
      <c r="O270" s="16" t="n">
        <v>43355</v>
      </c>
      <c r="P270" s="17" t="s">
        <v>102</v>
      </c>
      <c r="Q270" s="18" t="s">
        <v>103</v>
      </c>
      <c r="R270" s="17" t="s">
        <v>104</v>
      </c>
      <c r="S270" s="18" t="s">
        <v>33</v>
      </c>
      <c r="T270" s="17" t="s">
        <v>34</v>
      </c>
      <c r="U270" s="18" t="s">
        <v>39</v>
      </c>
      <c r="V270" s="19" t="n">
        <v>226359956</v>
      </c>
      <c r="W270" s="17" t="s">
        <v>105</v>
      </c>
      <c r="X270" s="17" t="n">
        <v>0</v>
      </c>
      <c r="Y270" s="17"/>
      <c r="Z270" s="17" t="n">
        <v>0</v>
      </c>
      <c r="AA270" s="17" t="s">
        <v>38</v>
      </c>
      <c r="AB270" s="17"/>
    </row>
    <row r="271" customFormat="false" ht="15" hidden="false" customHeight="false" outlineLevel="0" collapsed="false">
      <c r="A271" s="1" t="str">
        <f aca="false">OFFSET(Table22,270,14,1,1)&amp;OFFSET(Table22,270,21,1,1)</f>
        <v>43354226359956</v>
      </c>
      <c r="B271" s="1" t="str">
        <f aca="false">OFFSET(Table22,270,14,1,1)&amp;OFFSET(Table22,270,22,1,1)</f>
        <v>43354Facebook»Developers/ITPros-Azure Direct-Sponsored Post_Trial_PayGo-Link Ad-FreeAcctRetargetingFB-Animated-ChC CanvasOpener»1x1»SocialBan»SOC»ALL»CPC»LAL»D»UNK»SS»NA»Trials_ID</v>
      </c>
      <c r="C271" s="1" t="s">
        <v>28</v>
      </c>
      <c r="D271" s="3" t="n">
        <f aca="false">O271+(7-WEEKDAY(O271))</f>
        <v>43358</v>
      </c>
      <c r="E271" s="1" t="str">
        <f aca="false">VLOOKUP(OFFSET(Table22,270,16,1,1),Key!B:D,2,0)</f>
        <v>France</v>
      </c>
      <c r="F271" s="1" t="str">
        <f aca="false">IF(ISNUMBER(SEARCH("Canvas",U271)),"Link",IF(ISNUMBER(SEARCH("Link",U271)),"Link","Not filled properly"))</f>
        <v>Link</v>
      </c>
      <c r="G271" s="1" t="str">
        <f aca="false">IFERROR(VLOOKUP(OFFSET(Table22,270,21,1,1),OFFSET(Table2,0,1,ROWS(Table2),8),2,0),VLOOKUP(OFFSET(Table22,270,22,1,1),Table2,3,0))</f>
        <v>FRA_gaPMG_AZR_AZR_Q1_19_AzureDirect-Trial-Social</v>
      </c>
      <c r="H271" s="1" t="n">
        <f aca="false">IFERROR(VLOOKUP(OFFSET(Table22,270,21,1,1),OFFSET(Table2,0,1,ROWS(Table2),8),3,0),VLOOKUP(OFFSET(Table22,270,22,1,1),Table2,4,0))</f>
        <v>21356941</v>
      </c>
      <c r="I271" s="2" t="n">
        <f aca="false">IFERROR(VLOOKUP(OFFSET(Table22,270,21,1,1),OFFSET(Table2,0,1,ROWS(Table2),8),4,0),VLOOKUP(OFFSET(Table22,270,22,1,1),Table2,5,0))</f>
        <v>720193</v>
      </c>
      <c r="J271" s="3" t="str">
        <f aca="false">IF(ISNUMBER(SEARCH("FACEBOOK",W271)),"Facebook",IF(ISNUMBER(SEARCH("INSTAGRAM",W271)),"Facebook-Instagram","Look at taxonomy"))</f>
        <v>Facebook</v>
      </c>
      <c r="K271" s="3" t="str">
        <f aca="false">IF(ISNUMBER(SEARCH("Facebook",J271)),"3654128","Not Facebook")</f>
        <v>3654128</v>
      </c>
      <c r="L271" s="3" t="str">
        <f aca="false">IFERROR(VLOOKUP(OFFSET(Table22,270,21,1,1),OFFSET(Table2,0,1,ROWS(Table2),8),7,0),VLOOKUP(OFFSET(Table22,270,22,1,1),Table2,8,0))</f>
        <v>AZR_reeAcctRetargetingFB-Animated-ChC_FRA_1200x628_SOC_AZRDirect_French_NA_Facebook_SBAN_SINU_T3_1</v>
      </c>
      <c r="M271" s="2" t="n">
        <f aca="false">IFERROR(VLOOKUP(OFFSET(Table22,270,21,1,1),OFFSET(Table2,0,1,ROWS(Table2),8),8,0),VLOOKUP(OFFSET(Table22,270,22,1,1),Table2,9,0))</f>
        <v>103259775</v>
      </c>
      <c r="N271" s="15" t="s">
        <v>29</v>
      </c>
      <c r="O271" s="16" t="n">
        <v>43354</v>
      </c>
      <c r="P271" s="17" t="s">
        <v>102</v>
      </c>
      <c r="Q271" s="18" t="s">
        <v>103</v>
      </c>
      <c r="R271" s="17" t="s">
        <v>104</v>
      </c>
      <c r="S271" s="18" t="s">
        <v>33</v>
      </c>
      <c r="T271" s="17" t="s">
        <v>34</v>
      </c>
      <c r="U271" s="18" t="s">
        <v>39</v>
      </c>
      <c r="V271" s="19" t="n">
        <v>226359956</v>
      </c>
      <c r="W271" s="17" t="s">
        <v>105</v>
      </c>
      <c r="X271" s="17" t="n">
        <v>0</v>
      </c>
      <c r="Y271" s="17"/>
      <c r="Z271" s="17" t="n">
        <v>0</v>
      </c>
      <c r="AA271" s="17" t="s">
        <v>38</v>
      </c>
      <c r="AB271" s="17"/>
    </row>
    <row r="272" customFormat="false" ht="15" hidden="false" customHeight="false" outlineLevel="0" collapsed="false">
      <c r="A272" s="1" t="str">
        <f aca="false">OFFSET(Table22,271,14,1,1)&amp;OFFSET(Table22,271,21,1,1)</f>
        <v>43353226359956</v>
      </c>
      <c r="B272" s="1" t="str">
        <f aca="false">OFFSET(Table22,271,14,1,1)&amp;OFFSET(Table22,271,22,1,1)</f>
        <v>43353Facebook»Developers/ITPros-Azure Direct-Sponsored Post_Trial_PayGo-Link Ad-FreeAcctRetargetingFB-Animated-ChC CanvasOpener»1x1»SocialBan»SOC»ALL»CPC»LAL»D»UNK»SS»NA»Trials_ID</v>
      </c>
      <c r="C272" s="1" t="s">
        <v>28</v>
      </c>
      <c r="D272" s="3" t="n">
        <f aca="false">O272+(7-WEEKDAY(O272))</f>
        <v>43358</v>
      </c>
      <c r="E272" s="1" t="str">
        <f aca="false">VLOOKUP(OFFSET(Table22,271,16,1,1),Key!B:D,2,0)</f>
        <v>France</v>
      </c>
      <c r="F272" s="1" t="str">
        <f aca="false">IF(ISNUMBER(SEARCH("Canvas",U272)),"Link",IF(ISNUMBER(SEARCH("Link",U272)),"Link","Not filled properly"))</f>
        <v>Link</v>
      </c>
      <c r="G272" s="1" t="str">
        <f aca="false">IFERROR(VLOOKUP(OFFSET(Table22,271,21,1,1),OFFSET(Table2,0,1,ROWS(Table2),8),2,0),VLOOKUP(OFFSET(Table22,271,22,1,1),Table2,3,0))</f>
        <v>FRA_gaPMG_AZR_AZR_Q1_19_AzureDirect-Trial-Social</v>
      </c>
      <c r="H272" s="1" t="n">
        <f aca="false">IFERROR(VLOOKUP(OFFSET(Table22,271,21,1,1),OFFSET(Table2,0,1,ROWS(Table2),8),3,0),VLOOKUP(OFFSET(Table22,271,22,1,1),Table2,4,0))</f>
        <v>21356941</v>
      </c>
      <c r="I272" s="2" t="n">
        <f aca="false">IFERROR(VLOOKUP(OFFSET(Table22,271,21,1,1),OFFSET(Table2,0,1,ROWS(Table2),8),4,0),VLOOKUP(OFFSET(Table22,271,22,1,1),Table2,5,0))</f>
        <v>720193</v>
      </c>
      <c r="J272" s="3" t="str">
        <f aca="false">IF(ISNUMBER(SEARCH("FACEBOOK",W272)),"Facebook",IF(ISNUMBER(SEARCH("INSTAGRAM",W272)),"Facebook-Instagram","Look at taxonomy"))</f>
        <v>Facebook</v>
      </c>
      <c r="K272" s="3" t="str">
        <f aca="false">IF(ISNUMBER(SEARCH("Facebook",J272)),"3654128","Not Facebook")</f>
        <v>3654128</v>
      </c>
      <c r="L272" s="3" t="str">
        <f aca="false">IFERROR(VLOOKUP(OFFSET(Table22,271,21,1,1),OFFSET(Table2,0,1,ROWS(Table2),8),7,0),VLOOKUP(OFFSET(Table22,271,22,1,1),Table2,8,0))</f>
        <v>AZR_reeAcctRetargetingFB-Animated-ChC_FRA_1200x628_SOC_AZRDirect_French_NA_Facebook_SBAN_SINU_T3_1</v>
      </c>
      <c r="M272" s="2" t="n">
        <f aca="false">IFERROR(VLOOKUP(OFFSET(Table22,271,21,1,1),OFFSET(Table2,0,1,ROWS(Table2),8),8,0),VLOOKUP(OFFSET(Table22,271,22,1,1),Table2,9,0))</f>
        <v>103259775</v>
      </c>
      <c r="N272" s="15" t="s">
        <v>29</v>
      </c>
      <c r="O272" s="16" t="n">
        <v>43353</v>
      </c>
      <c r="P272" s="17" t="s">
        <v>102</v>
      </c>
      <c r="Q272" s="18" t="s">
        <v>103</v>
      </c>
      <c r="R272" s="17" t="s">
        <v>104</v>
      </c>
      <c r="S272" s="18" t="s">
        <v>33</v>
      </c>
      <c r="T272" s="17" t="s">
        <v>34</v>
      </c>
      <c r="U272" s="18" t="s">
        <v>39</v>
      </c>
      <c r="V272" s="19" t="n">
        <v>226359956</v>
      </c>
      <c r="W272" s="17" t="s">
        <v>105</v>
      </c>
      <c r="X272" s="17" t="n">
        <v>0</v>
      </c>
      <c r="Y272" s="17"/>
      <c r="Z272" s="17" t="n">
        <v>0</v>
      </c>
      <c r="AA272" s="17" t="s">
        <v>38</v>
      </c>
      <c r="AB272" s="17"/>
    </row>
    <row r="273" customFormat="false" ht="15" hidden="false" customHeight="false" outlineLevel="0" collapsed="false">
      <c r="A273" s="1" t="str">
        <f aca="false">OFFSET(Table22,272,14,1,1)&amp;OFFSET(Table22,272,21,1,1)</f>
        <v>43352226359956</v>
      </c>
      <c r="B273" s="1" t="str">
        <f aca="false">OFFSET(Table22,272,14,1,1)&amp;OFFSET(Table22,272,22,1,1)</f>
        <v>43352Facebook»Developers/ITPros-Azure Direct-Sponsored Post_Trial_PayGo-Link Ad-FreeAcctRetargetingFB-Animated-ChC CanvasOpener»1x1»SocialBan»SOC»ALL»CPC»LAL»D»UNK»SS»NA»Trials_ID</v>
      </c>
      <c r="C273" s="1" t="s">
        <v>28</v>
      </c>
      <c r="D273" s="3" t="n">
        <f aca="false">O273+(7-WEEKDAY(O273))</f>
        <v>43358</v>
      </c>
      <c r="E273" s="1" t="str">
        <f aca="false">VLOOKUP(OFFSET(Table22,272,16,1,1),Key!B:D,2,0)</f>
        <v>France</v>
      </c>
      <c r="F273" s="1" t="str">
        <f aca="false">IF(ISNUMBER(SEARCH("Canvas",U273)),"Link",IF(ISNUMBER(SEARCH("Link",U273)),"Link","Not filled properly"))</f>
        <v>Link</v>
      </c>
      <c r="G273" s="1" t="str">
        <f aca="false">IFERROR(VLOOKUP(OFFSET(Table22,272,21,1,1),OFFSET(Table2,0,1,ROWS(Table2),8),2,0),VLOOKUP(OFFSET(Table22,272,22,1,1),Table2,3,0))</f>
        <v>FRA_gaPMG_AZR_AZR_Q1_19_AzureDirect-Trial-Social</v>
      </c>
      <c r="H273" s="1" t="n">
        <f aca="false">IFERROR(VLOOKUP(OFFSET(Table22,272,21,1,1),OFFSET(Table2,0,1,ROWS(Table2),8),3,0),VLOOKUP(OFFSET(Table22,272,22,1,1),Table2,4,0))</f>
        <v>21356941</v>
      </c>
      <c r="I273" s="2" t="n">
        <f aca="false">IFERROR(VLOOKUP(OFFSET(Table22,272,21,1,1),OFFSET(Table2,0,1,ROWS(Table2),8),4,0),VLOOKUP(OFFSET(Table22,272,22,1,1),Table2,5,0))</f>
        <v>720193</v>
      </c>
      <c r="J273" s="3" t="str">
        <f aca="false">IF(ISNUMBER(SEARCH("FACEBOOK",W273)),"Facebook",IF(ISNUMBER(SEARCH("INSTAGRAM",W273)),"Facebook-Instagram","Look at taxonomy"))</f>
        <v>Facebook</v>
      </c>
      <c r="K273" s="3" t="str">
        <f aca="false">IF(ISNUMBER(SEARCH("Facebook",J273)),"3654128","Not Facebook")</f>
        <v>3654128</v>
      </c>
      <c r="L273" s="3" t="str">
        <f aca="false">IFERROR(VLOOKUP(OFFSET(Table22,272,21,1,1),OFFSET(Table2,0,1,ROWS(Table2),8),7,0),VLOOKUP(OFFSET(Table22,272,22,1,1),Table2,8,0))</f>
        <v>AZR_reeAcctRetargetingFB-Animated-ChC_FRA_1200x628_SOC_AZRDirect_French_NA_Facebook_SBAN_SINU_T3_1</v>
      </c>
      <c r="M273" s="2" t="n">
        <f aca="false">IFERROR(VLOOKUP(OFFSET(Table22,272,21,1,1),OFFSET(Table2,0,1,ROWS(Table2),8),8,0),VLOOKUP(OFFSET(Table22,272,22,1,1),Table2,9,0))</f>
        <v>103259775</v>
      </c>
      <c r="N273" s="15" t="s">
        <v>29</v>
      </c>
      <c r="O273" s="16" t="n">
        <v>43352</v>
      </c>
      <c r="P273" s="17" t="s">
        <v>102</v>
      </c>
      <c r="Q273" s="18" t="s">
        <v>103</v>
      </c>
      <c r="R273" s="17" t="s">
        <v>104</v>
      </c>
      <c r="S273" s="18" t="s">
        <v>33</v>
      </c>
      <c r="T273" s="17" t="s">
        <v>34</v>
      </c>
      <c r="U273" s="18" t="s">
        <v>39</v>
      </c>
      <c r="V273" s="19" t="n">
        <v>226359956</v>
      </c>
      <c r="W273" s="17" t="s">
        <v>105</v>
      </c>
      <c r="X273" s="17" t="n">
        <v>0</v>
      </c>
      <c r="Y273" s="17"/>
      <c r="Z273" s="17" t="n">
        <v>0</v>
      </c>
      <c r="AA273" s="17" t="s">
        <v>38</v>
      </c>
      <c r="AB273" s="17"/>
    </row>
    <row r="274" customFormat="false" ht="15" hidden="false" customHeight="false" outlineLevel="0" collapsed="false">
      <c r="A274" s="1" t="str">
        <f aca="false">OFFSET(Table22,273,14,1,1)&amp;OFFSET(Table22,273,21,1,1)</f>
        <v>43358226359971</v>
      </c>
      <c r="B274" s="1" t="str">
        <f aca="false">OFFSET(Table22,273,14,1,1)&amp;OFFSET(Table22,273,22,1,1)</f>
        <v>43358Facebook»Developers/ITPros-Azure Direct-Sponsored Post_Trial_PayGo-Link Ad-FreeAcctRetargetingFB-GlobalAlt-ChB_RTG CanvasOpener»1x1»SocialBan»SOC»ALL»CPC»LAL»D»UNK»SS»NA»Trials_ID</v>
      </c>
      <c r="C274" s="1" t="s">
        <v>28</v>
      </c>
      <c r="D274" s="3" t="n">
        <f aca="false">O274+(7-WEEKDAY(O274))</f>
        <v>43358</v>
      </c>
      <c r="E274" s="1" t="str">
        <f aca="false">VLOOKUP(OFFSET(Table22,273,16,1,1),Key!B:D,2,0)</f>
        <v>France</v>
      </c>
      <c r="F274" s="1" t="str">
        <f aca="false">IF(ISNUMBER(SEARCH("Canvas",U274)),"Link",IF(ISNUMBER(SEARCH("Link",U274)),"Link","Not filled properly"))</f>
        <v>Link</v>
      </c>
      <c r="G274" s="1" t="str">
        <f aca="false">IFERROR(VLOOKUP(OFFSET(Table22,273,21,1,1),OFFSET(Table2,0,1,ROWS(Table2),8),2,0),VLOOKUP(OFFSET(Table22,273,22,1,1),Table2,3,0))</f>
        <v>FRA_gaPMG_AZR_AZR_Q1_19_AzureDirect-Trial-Social</v>
      </c>
      <c r="H274" s="1" t="n">
        <f aca="false">IFERROR(VLOOKUP(OFFSET(Table22,273,21,1,1),OFFSET(Table2,0,1,ROWS(Table2),8),3,0),VLOOKUP(OFFSET(Table22,273,22,1,1),Table2,4,0))</f>
        <v>21356941</v>
      </c>
      <c r="I274" s="2" t="n">
        <f aca="false">IFERROR(VLOOKUP(OFFSET(Table22,273,21,1,1),OFFSET(Table2,0,1,ROWS(Table2),8),4,0),VLOOKUP(OFFSET(Table22,273,22,1,1),Table2,5,0))</f>
        <v>720193</v>
      </c>
      <c r="J274" s="3" t="str">
        <f aca="false">IF(ISNUMBER(SEARCH("FACEBOOK",W274)),"Facebook",IF(ISNUMBER(SEARCH("INSTAGRAM",W274)),"Facebook-Instagram","Look at taxonomy"))</f>
        <v>Facebook</v>
      </c>
      <c r="K274" s="3" t="str">
        <f aca="false">IF(ISNUMBER(SEARCH("Facebook",J274)),"3654128","Not Facebook")</f>
        <v>3654128</v>
      </c>
      <c r="L274" s="3" t="str">
        <f aca="false">IFERROR(VLOOKUP(OFFSET(Table22,273,21,1,1),OFFSET(Table2,0,1,ROWS(Table2),8),7,0),VLOOKUP(OFFSET(Table22,273,22,1,1),Table2,8,0))</f>
        <v>AZR_FreeAcctRetargetingFB-GlobalAlt-ChB_FRA_1200x628_SOC_AZRDirect_French_NA_Facebook_SBAN_SINU_T2_1</v>
      </c>
      <c r="M274" s="2" t="n">
        <f aca="false">IFERROR(VLOOKUP(OFFSET(Table22,273,21,1,1),OFFSET(Table2,0,1,ROWS(Table2),8),8,0),VLOOKUP(OFFSET(Table22,273,22,1,1),Table2,9,0))</f>
        <v>103259520</v>
      </c>
      <c r="N274" s="15" t="s">
        <v>29</v>
      </c>
      <c r="O274" s="16" t="n">
        <v>43358</v>
      </c>
      <c r="P274" s="17" t="s">
        <v>102</v>
      </c>
      <c r="Q274" s="18" t="s">
        <v>103</v>
      </c>
      <c r="R274" s="17" t="s">
        <v>104</v>
      </c>
      <c r="S274" s="18" t="s">
        <v>33</v>
      </c>
      <c r="T274" s="17" t="s">
        <v>34</v>
      </c>
      <c r="U274" s="18" t="s">
        <v>39</v>
      </c>
      <c r="V274" s="19" t="n">
        <v>226359971</v>
      </c>
      <c r="W274" s="17" t="s">
        <v>106</v>
      </c>
      <c r="X274" s="17" t="n">
        <v>0</v>
      </c>
      <c r="Y274" s="17"/>
      <c r="Z274" s="17" t="n">
        <v>0</v>
      </c>
      <c r="AA274" s="17" t="s">
        <v>38</v>
      </c>
      <c r="AB274" s="17"/>
    </row>
    <row r="275" customFormat="false" ht="15" hidden="false" customHeight="false" outlineLevel="0" collapsed="false">
      <c r="A275" s="1" t="str">
        <f aca="false">OFFSET(Table22,274,14,1,1)&amp;OFFSET(Table22,274,21,1,1)</f>
        <v>43357226359971</v>
      </c>
      <c r="B275" s="1" t="str">
        <f aca="false">OFFSET(Table22,274,14,1,1)&amp;OFFSET(Table22,274,22,1,1)</f>
        <v>43357Facebook»Developers/ITPros-Azure Direct-Sponsored Post_Trial_PayGo-Link Ad-FreeAcctRetargetingFB-GlobalAlt-ChB_RTG CanvasOpener»1x1»SocialBan»SOC»ALL»CPC»LAL»D»UNK»SS»NA»Trials_ID</v>
      </c>
      <c r="C275" s="1" t="s">
        <v>28</v>
      </c>
      <c r="D275" s="3" t="n">
        <f aca="false">O275+(7-WEEKDAY(O275))</f>
        <v>43358</v>
      </c>
      <c r="E275" s="1" t="str">
        <f aca="false">VLOOKUP(OFFSET(Table22,274,16,1,1),Key!B:D,2,0)</f>
        <v>France</v>
      </c>
      <c r="F275" s="1" t="str">
        <f aca="false">IF(ISNUMBER(SEARCH("Canvas",U275)),"Link",IF(ISNUMBER(SEARCH("Link",U275)),"Link","Not filled properly"))</f>
        <v>Link</v>
      </c>
      <c r="G275" s="1" t="str">
        <f aca="false">IFERROR(VLOOKUP(OFFSET(Table22,274,21,1,1),OFFSET(Table2,0,1,ROWS(Table2),8),2,0),VLOOKUP(OFFSET(Table22,274,22,1,1),Table2,3,0))</f>
        <v>FRA_gaPMG_AZR_AZR_Q1_19_AzureDirect-Trial-Social</v>
      </c>
      <c r="H275" s="1" t="n">
        <f aca="false">IFERROR(VLOOKUP(OFFSET(Table22,274,21,1,1),OFFSET(Table2,0,1,ROWS(Table2),8),3,0),VLOOKUP(OFFSET(Table22,274,22,1,1),Table2,4,0))</f>
        <v>21356941</v>
      </c>
      <c r="I275" s="2" t="n">
        <f aca="false">IFERROR(VLOOKUP(OFFSET(Table22,274,21,1,1),OFFSET(Table2,0,1,ROWS(Table2),8),4,0),VLOOKUP(OFFSET(Table22,274,22,1,1),Table2,5,0))</f>
        <v>720193</v>
      </c>
      <c r="J275" s="3" t="str">
        <f aca="false">IF(ISNUMBER(SEARCH("FACEBOOK",W275)),"Facebook",IF(ISNUMBER(SEARCH("INSTAGRAM",W275)),"Facebook-Instagram","Look at taxonomy"))</f>
        <v>Facebook</v>
      </c>
      <c r="K275" s="3" t="str">
        <f aca="false">IF(ISNUMBER(SEARCH("Facebook",J275)),"3654128","Not Facebook")</f>
        <v>3654128</v>
      </c>
      <c r="L275" s="3" t="str">
        <f aca="false">IFERROR(VLOOKUP(OFFSET(Table22,274,21,1,1),OFFSET(Table2,0,1,ROWS(Table2),8),7,0),VLOOKUP(OFFSET(Table22,274,22,1,1),Table2,8,0))</f>
        <v>AZR_FreeAcctRetargetingFB-GlobalAlt-ChB_FRA_1200x628_SOC_AZRDirect_French_NA_Facebook_SBAN_SINU_T2_1</v>
      </c>
      <c r="M275" s="2" t="n">
        <f aca="false">IFERROR(VLOOKUP(OFFSET(Table22,274,21,1,1),OFFSET(Table2,0,1,ROWS(Table2),8),8,0),VLOOKUP(OFFSET(Table22,274,22,1,1),Table2,9,0))</f>
        <v>103259520</v>
      </c>
      <c r="N275" s="15" t="s">
        <v>29</v>
      </c>
      <c r="O275" s="16" t="n">
        <v>43357</v>
      </c>
      <c r="P275" s="17" t="s">
        <v>102</v>
      </c>
      <c r="Q275" s="18" t="s">
        <v>103</v>
      </c>
      <c r="R275" s="17" t="s">
        <v>104</v>
      </c>
      <c r="S275" s="18" t="s">
        <v>33</v>
      </c>
      <c r="T275" s="17" t="s">
        <v>34</v>
      </c>
      <c r="U275" s="18" t="s">
        <v>39</v>
      </c>
      <c r="V275" s="19" t="n">
        <v>226359971</v>
      </c>
      <c r="W275" s="17" t="s">
        <v>106</v>
      </c>
      <c r="X275" s="17" t="n">
        <v>0</v>
      </c>
      <c r="Y275" s="17"/>
      <c r="Z275" s="17" t="n">
        <v>0</v>
      </c>
      <c r="AA275" s="17" t="s">
        <v>38</v>
      </c>
      <c r="AB275" s="17"/>
    </row>
    <row r="276" customFormat="false" ht="15" hidden="false" customHeight="false" outlineLevel="0" collapsed="false">
      <c r="A276" s="1" t="str">
        <f aca="false">OFFSET(Table22,275,14,1,1)&amp;OFFSET(Table22,275,21,1,1)</f>
        <v>43356226359971</v>
      </c>
      <c r="B276" s="1" t="str">
        <f aca="false">OFFSET(Table22,275,14,1,1)&amp;OFFSET(Table22,275,22,1,1)</f>
        <v>43356Facebook»Developers/ITPros-Azure Direct-Sponsored Post_Trial_PayGo-Link Ad-FreeAcctRetargetingFB-GlobalAlt-ChB_RTG CanvasOpener»1x1»SocialBan»SOC»ALL»CPC»LAL»D»UNK»SS»NA»Trials_ID</v>
      </c>
      <c r="C276" s="1" t="s">
        <v>28</v>
      </c>
      <c r="D276" s="3" t="n">
        <f aca="false">O276+(7-WEEKDAY(O276))</f>
        <v>43358</v>
      </c>
      <c r="E276" s="1" t="str">
        <f aca="false">VLOOKUP(OFFSET(Table22,275,16,1,1),Key!B:D,2,0)</f>
        <v>France</v>
      </c>
      <c r="F276" s="1" t="str">
        <f aca="false">IF(ISNUMBER(SEARCH("Canvas",U276)),"Link",IF(ISNUMBER(SEARCH("Link",U276)),"Link","Not filled properly"))</f>
        <v>Link</v>
      </c>
      <c r="G276" s="1" t="str">
        <f aca="false">IFERROR(VLOOKUP(OFFSET(Table22,275,21,1,1),OFFSET(Table2,0,1,ROWS(Table2),8),2,0),VLOOKUP(OFFSET(Table22,275,22,1,1),Table2,3,0))</f>
        <v>FRA_gaPMG_AZR_AZR_Q1_19_AzureDirect-Trial-Social</v>
      </c>
      <c r="H276" s="1" t="n">
        <f aca="false">IFERROR(VLOOKUP(OFFSET(Table22,275,21,1,1),OFFSET(Table2,0,1,ROWS(Table2),8),3,0),VLOOKUP(OFFSET(Table22,275,22,1,1),Table2,4,0))</f>
        <v>21356941</v>
      </c>
      <c r="I276" s="2" t="n">
        <f aca="false">IFERROR(VLOOKUP(OFFSET(Table22,275,21,1,1),OFFSET(Table2,0,1,ROWS(Table2),8),4,0),VLOOKUP(OFFSET(Table22,275,22,1,1),Table2,5,0))</f>
        <v>720193</v>
      </c>
      <c r="J276" s="3" t="str">
        <f aca="false">IF(ISNUMBER(SEARCH("FACEBOOK",W276)),"Facebook",IF(ISNUMBER(SEARCH("INSTAGRAM",W276)),"Facebook-Instagram","Look at taxonomy"))</f>
        <v>Facebook</v>
      </c>
      <c r="K276" s="3" t="str">
        <f aca="false">IF(ISNUMBER(SEARCH("Facebook",J276)),"3654128","Not Facebook")</f>
        <v>3654128</v>
      </c>
      <c r="L276" s="3" t="str">
        <f aca="false">IFERROR(VLOOKUP(OFFSET(Table22,275,21,1,1),OFFSET(Table2,0,1,ROWS(Table2),8),7,0),VLOOKUP(OFFSET(Table22,275,22,1,1),Table2,8,0))</f>
        <v>AZR_FreeAcctRetargetingFB-GlobalAlt-ChB_FRA_1200x628_SOC_AZRDirect_French_NA_Facebook_SBAN_SINU_T2_1</v>
      </c>
      <c r="M276" s="2" t="n">
        <f aca="false">IFERROR(VLOOKUP(OFFSET(Table22,275,21,1,1),OFFSET(Table2,0,1,ROWS(Table2),8),8,0),VLOOKUP(OFFSET(Table22,275,22,1,1),Table2,9,0))</f>
        <v>103259520</v>
      </c>
      <c r="N276" s="15" t="s">
        <v>29</v>
      </c>
      <c r="O276" s="16" t="n">
        <v>43356</v>
      </c>
      <c r="P276" s="17" t="s">
        <v>102</v>
      </c>
      <c r="Q276" s="18" t="s">
        <v>103</v>
      </c>
      <c r="R276" s="17" t="s">
        <v>104</v>
      </c>
      <c r="S276" s="18" t="s">
        <v>33</v>
      </c>
      <c r="T276" s="17" t="s">
        <v>34</v>
      </c>
      <c r="U276" s="18" t="s">
        <v>39</v>
      </c>
      <c r="V276" s="19" t="n">
        <v>226359971</v>
      </c>
      <c r="W276" s="17" t="s">
        <v>106</v>
      </c>
      <c r="X276" s="17" t="n">
        <v>0</v>
      </c>
      <c r="Y276" s="17"/>
      <c r="Z276" s="17" t="n">
        <v>0</v>
      </c>
      <c r="AA276" s="17" t="s">
        <v>38</v>
      </c>
      <c r="AB276" s="17"/>
    </row>
    <row r="277" customFormat="false" ht="15" hidden="false" customHeight="false" outlineLevel="0" collapsed="false">
      <c r="A277" s="1" t="str">
        <f aca="false">OFFSET(Table22,276,14,1,1)&amp;OFFSET(Table22,276,21,1,1)</f>
        <v>43355226359971</v>
      </c>
      <c r="B277" s="1" t="str">
        <f aca="false">OFFSET(Table22,276,14,1,1)&amp;OFFSET(Table22,276,22,1,1)</f>
        <v>43355Facebook»Developers/ITPros-Azure Direct-Sponsored Post_Trial_PayGo-Link Ad-FreeAcctRetargetingFB-GlobalAlt-ChB_RTG CanvasOpener»1x1»SocialBan»SOC»ALL»CPC»LAL»D»UNK»SS»NA»Trials_ID</v>
      </c>
      <c r="C277" s="1" t="s">
        <v>28</v>
      </c>
      <c r="D277" s="3" t="n">
        <f aca="false">O277+(7-WEEKDAY(O277))</f>
        <v>43358</v>
      </c>
      <c r="E277" s="1" t="str">
        <f aca="false">VLOOKUP(OFFSET(Table22,276,16,1,1),Key!B:D,2,0)</f>
        <v>France</v>
      </c>
      <c r="F277" s="1" t="str">
        <f aca="false">IF(ISNUMBER(SEARCH("Canvas",U277)),"Link",IF(ISNUMBER(SEARCH("Link",U277)),"Link","Not filled properly"))</f>
        <v>Link</v>
      </c>
      <c r="G277" s="1" t="str">
        <f aca="false">IFERROR(VLOOKUP(OFFSET(Table22,276,21,1,1),OFFSET(Table2,0,1,ROWS(Table2),8),2,0),VLOOKUP(OFFSET(Table22,276,22,1,1),Table2,3,0))</f>
        <v>FRA_gaPMG_AZR_AZR_Q1_19_AzureDirect-Trial-Social</v>
      </c>
      <c r="H277" s="1" t="n">
        <f aca="false">IFERROR(VLOOKUP(OFFSET(Table22,276,21,1,1),OFFSET(Table2,0,1,ROWS(Table2),8),3,0),VLOOKUP(OFFSET(Table22,276,22,1,1),Table2,4,0))</f>
        <v>21356941</v>
      </c>
      <c r="I277" s="2" t="n">
        <f aca="false">IFERROR(VLOOKUP(OFFSET(Table22,276,21,1,1),OFFSET(Table2,0,1,ROWS(Table2),8),4,0),VLOOKUP(OFFSET(Table22,276,22,1,1),Table2,5,0))</f>
        <v>720193</v>
      </c>
      <c r="J277" s="3" t="str">
        <f aca="false">IF(ISNUMBER(SEARCH("FACEBOOK",W277)),"Facebook",IF(ISNUMBER(SEARCH("INSTAGRAM",W277)),"Facebook-Instagram","Look at taxonomy"))</f>
        <v>Facebook</v>
      </c>
      <c r="K277" s="3" t="str">
        <f aca="false">IF(ISNUMBER(SEARCH("Facebook",J277)),"3654128","Not Facebook")</f>
        <v>3654128</v>
      </c>
      <c r="L277" s="3" t="str">
        <f aca="false">IFERROR(VLOOKUP(OFFSET(Table22,276,21,1,1),OFFSET(Table2,0,1,ROWS(Table2),8),7,0),VLOOKUP(OFFSET(Table22,276,22,1,1),Table2,8,0))</f>
        <v>AZR_FreeAcctRetargetingFB-GlobalAlt-ChB_FRA_1200x628_SOC_AZRDirect_French_NA_Facebook_SBAN_SINU_T2_1</v>
      </c>
      <c r="M277" s="2" t="n">
        <f aca="false">IFERROR(VLOOKUP(OFFSET(Table22,276,21,1,1),OFFSET(Table2,0,1,ROWS(Table2),8),8,0),VLOOKUP(OFFSET(Table22,276,22,1,1),Table2,9,0))</f>
        <v>103259520</v>
      </c>
      <c r="N277" s="15" t="s">
        <v>29</v>
      </c>
      <c r="O277" s="16" t="n">
        <v>43355</v>
      </c>
      <c r="P277" s="17" t="s">
        <v>102</v>
      </c>
      <c r="Q277" s="18" t="s">
        <v>103</v>
      </c>
      <c r="R277" s="17" t="s">
        <v>104</v>
      </c>
      <c r="S277" s="18" t="s">
        <v>33</v>
      </c>
      <c r="T277" s="17" t="s">
        <v>34</v>
      </c>
      <c r="U277" s="18" t="s">
        <v>39</v>
      </c>
      <c r="V277" s="19" t="n">
        <v>226359971</v>
      </c>
      <c r="W277" s="17" t="s">
        <v>106</v>
      </c>
      <c r="X277" s="17" t="n">
        <v>0</v>
      </c>
      <c r="Y277" s="17"/>
      <c r="Z277" s="17" t="n">
        <v>0</v>
      </c>
      <c r="AA277" s="17" t="s">
        <v>38</v>
      </c>
      <c r="AB277" s="17"/>
    </row>
    <row r="278" customFormat="false" ht="15" hidden="false" customHeight="false" outlineLevel="0" collapsed="false">
      <c r="A278" s="1" t="str">
        <f aca="false">OFFSET(Table22,277,14,1,1)&amp;OFFSET(Table22,277,21,1,1)</f>
        <v>43354226359971</v>
      </c>
      <c r="B278" s="1" t="str">
        <f aca="false">OFFSET(Table22,277,14,1,1)&amp;OFFSET(Table22,277,22,1,1)</f>
        <v>43354Facebook»Developers/ITPros-Azure Direct-Sponsored Post_Trial_PayGo-Link Ad-FreeAcctRetargetingFB-GlobalAlt-ChB_RTG CanvasOpener»1x1»SocialBan»SOC»ALL»CPC»LAL»D»UNK»SS»NA»Trials_ID</v>
      </c>
      <c r="C278" s="1" t="s">
        <v>28</v>
      </c>
      <c r="D278" s="3" t="n">
        <f aca="false">O278+(7-WEEKDAY(O278))</f>
        <v>43358</v>
      </c>
      <c r="E278" s="1" t="str">
        <f aca="false">VLOOKUP(OFFSET(Table22,277,16,1,1),Key!B:D,2,0)</f>
        <v>France</v>
      </c>
      <c r="F278" s="1" t="str">
        <f aca="false">IF(ISNUMBER(SEARCH("Canvas",U278)),"Link",IF(ISNUMBER(SEARCH("Link",U278)),"Link","Not filled properly"))</f>
        <v>Link</v>
      </c>
      <c r="G278" s="1" t="str">
        <f aca="false">IFERROR(VLOOKUP(OFFSET(Table22,277,21,1,1),OFFSET(Table2,0,1,ROWS(Table2),8),2,0),VLOOKUP(OFFSET(Table22,277,22,1,1),Table2,3,0))</f>
        <v>FRA_gaPMG_AZR_AZR_Q1_19_AzureDirect-Trial-Social</v>
      </c>
      <c r="H278" s="1" t="n">
        <f aca="false">IFERROR(VLOOKUP(OFFSET(Table22,277,21,1,1),OFFSET(Table2,0,1,ROWS(Table2),8),3,0),VLOOKUP(OFFSET(Table22,277,22,1,1),Table2,4,0))</f>
        <v>21356941</v>
      </c>
      <c r="I278" s="2" t="n">
        <f aca="false">IFERROR(VLOOKUP(OFFSET(Table22,277,21,1,1),OFFSET(Table2,0,1,ROWS(Table2),8),4,0),VLOOKUP(OFFSET(Table22,277,22,1,1),Table2,5,0))</f>
        <v>720193</v>
      </c>
      <c r="J278" s="3" t="str">
        <f aca="false">IF(ISNUMBER(SEARCH("FACEBOOK",W278)),"Facebook",IF(ISNUMBER(SEARCH("INSTAGRAM",W278)),"Facebook-Instagram","Look at taxonomy"))</f>
        <v>Facebook</v>
      </c>
      <c r="K278" s="3" t="str">
        <f aca="false">IF(ISNUMBER(SEARCH("Facebook",J278)),"3654128","Not Facebook")</f>
        <v>3654128</v>
      </c>
      <c r="L278" s="3" t="str">
        <f aca="false">IFERROR(VLOOKUP(OFFSET(Table22,277,21,1,1),OFFSET(Table2,0,1,ROWS(Table2),8),7,0),VLOOKUP(OFFSET(Table22,277,22,1,1),Table2,8,0))</f>
        <v>AZR_FreeAcctRetargetingFB-GlobalAlt-ChB_FRA_1200x628_SOC_AZRDirect_French_NA_Facebook_SBAN_SINU_T2_1</v>
      </c>
      <c r="M278" s="2" t="n">
        <f aca="false">IFERROR(VLOOKUP(OFFSET(Table22,277,21,1,1),OFFSET(Table2,0,1,ROWS(Table2),8),8,0),VLOOKUP(OFFSET(Table22,277,22,1,1),Table2,9,0))</f>
        <v>103259520</v>
      </c>
      <c r="N278" s="15" t="s">
        <v>29</v>
      </c>
      <c r="O278" s="16" t="n">
        <v>43354</v>
      </c>
      <c r="P278" s="17" t="s">
        <v>102</v>
      </c>
      <c r="Q278" s="18" t="s">
        <v>103</v>
      </c>
      <c r="R278" s="17" t="s">
        <v>104</v>
      </c>
      <c r="S278" s="18" t="s">
        <v>33</v>
      </c>
      <c r="T278" s="17" t="s">
        <v>34</v>
      </c>
      <c r="U278" s="18" t="s">
        <v>39</v>
      </c>
      <c r="V278" s="19" t="n">
        <v>226359971</v>
      </c>
      <c r="W278" s="17" t="s">
        <v>106</v>
      </c>
      <c r="X278" s="17" t="n">
        <v>0</v>
      </c>
      <c r="Y278" s="17"/>
      <c r="Z278" s="17" t="n">
        <v>0</v>
      </c>
      <c r="AA278" s="17" t="s">
        <v>38</v>
      </c>
      <c r="AB278" s="17"/>
    </row>
    <row r="279" customFormat="false" ht="15" hidden="false" customHeight="false" outlineLevel="0" collapsed="false">
      <c r="A279" s="1" t="str">
        <f aca="false">OFFSET(Table22,278,14,1,1)&amp;OFFSET(Table22,278,21,1,1)</f>
        <v>43353226359971</v>
      </c>
      <c r="B279" s="1" t="str">
        <f aca="false">OFFSET(Table22,278,14,1,1)&amp;OFFSET(Table22,278,22,1,1)</f>
        <v>43353Facebook»Developers/ITPros-Azure Direct-Sponsored Post_Trial_PayGo-Link Ad-FreeAcctRetargetingFB-GlobalAlt-ChB_RTG CanvasOpener»1x1»SocialBan»SOC»ALL»CPC»LAL»D»UNK»SS»NA»Trials_ID</v>
      </c>
      <c r="C279" s="1" t="s">
        <v>28</v>
      </c>
      <c r="D279" s="3" t="n">
        <f aca="false">O279+(7-WEEKDAY(O279))</f>
        <v>43358</v>
      </c>
      <c r="E279" s="1" t="str">
        <f aca="false">VLOOKUP(OFFSET(Table22,278,16,1,1),Key!B:D,2,0)</f>
        <v>France</v>
      </c>
      <c r="F279" s="1" t="str">
        <f aca="false">IF(ISNUMBER(SEARCH("Canvas",U279)),"Link",IF(ISNUMBER(SEARCH("Link",U279)),"Link","Not filled properly"))</f>
        <v>Link</v>
      </c>
      <c r="G279" s="1" t="str">
        <f aca="false">IFERROR(VLOOKUP(OFFSET(Table22,278,21,1,1),OFFSET(Table2,0,1,ROWS(Table2),8),2,0),VLOOKUP(OFFSET(Table22,278,22,1,1),Table2,3,0))</f>
        <v>FRA_gaPMG_AZR_AZR_Q1_19_AzureDirect-Trial-Social</v>
      </c>
      <c r="H279" s="1" t="n">
        <f aca="false">IFERROR(VLOOKUP(OFFSET(Table22,278,21,1,1),OFFSET(Table2,0,1,ROWS(Table2),8),3,0),VLOOKUP(OFFSET(Table22,278,22,1,1),Table2,4,0))</f>
        <v>21356941</v>
      </c>
      <c r="I279" s="2" t="n">
        <f aca="false">IFERROR(VLOOKUP(OFFSET(Table22,278,21,1,1),OFFSET(Table2,0,1,ROWS(Table2),8),4,0),VLOOKUP(OFFSET(Table22,278,22,1,1),Table2,5,0))</f>
        <v>720193</v>
      </c>
      <c r="J279" s="3" t="str">
        <f aca="false">IF(ISNUMBER(SEARCH("FACEBOOK",W279)),"Facebook",IF(ISNUMBER(SEARCH("INSTAGRAM",W279)),"Facebook-Instagram","Look at taxonomy"))</f>
        <v>Facebook</v>
      </c>
      <c r="K279" s="3" t="str">
        <f aca="false">IF(ISNUMBER(SEARCH("Facebook",J279)),"3654128","Not Facebook")</f>
        <v>3654128</v>
      </c>
      <c r="L279" s="3" t="str">
        <f aca="false">IFERROR(VLOOKUP(OFFSET(Table22,278,21,1,1),OFFSET(Table2,0,1,ROWS(Table2),8),7,0),VLOOKUP(OFFSET(Table22,278,22,1,1),Table2,8,0))</f>
        <v>AZR_FreeAcctRetargetingFB-GlobalAlt-ChB_FRA_1200x628_SOC_AZRDirect_French_NA_Facebook_SBAN_SINU_T2_1</v>
      </c>
      <c r="M279" s="2" t="n">
        <f aca="false">IFERROR(VLOOKUP(OFFSET(Table22,278,21,1,1),OFFSET(Table2,0,1,ROWS(Table2),8),8,0),VLOOKUP(OFFSET(Table22,278,22,1,1),Table2,9,0))</f>
        <v>103259520</v>
      </c>
      <c r="N279" s="15" t="s">
        <v>29</v>
      </c>
      <c r="O279" s="16" t="n">
        <v>43353</v>
      </c>
      <c r="P279" s="17" t="s">
        <v>102</v>
      </c>
      <c r="Q279" s="18" t="s">
        <v>103</v>
      </c>
      <c r="R279" s="17" t="s">
        <v>104</v>
      </c>
      <c r="S279" s="18" t="s">
        <v>33</v>
      </c>
      <c r="T279" s="17" t="s">
        <v>34</v>
      </c>
      <c r="U279" s="18" t="s">
        <v>39</v>
      </c>
      <c r="V279" s="19" t="n">
        <v>226359971</v>
      </c>
      <c r="W279" s="17" t="s">
        <v>106</v>
      </c>
      <c r="X279" s="17" t="n">
        <v>0</v>
      </c>
      <c r="Y279" s="17"/>
      <c r="Z279" s="17" t="n">
        <v>0</v>
      </c>
      <c r="AA279" s="17" t="s">
        <v>38</v>
      </c>
      <c r="AB279" s="17"/>
    </row>
    <row r="280" customFormat="false" ht="15" hidden="false" customHeight="false" outlineLevel="0" collapsed="false">
      <c r="A280" s="1" t="str">
        <f aca="false">OFFSET(Table22,279,14,1,1)&amp;OFFSET(Table22,279,21,1,1)</f>
        <v>43352226359971</v>
      </c>
      <c r="B280" s="1" t="str">
        <f aca="false">OFFSET(Table22,279,14,1,1)&amp;OFFSET(Table22,279,22,1,1)</f>
        <v>43352Facebook»Developers/ITPros-Azure Direct-Sponsored Post_Trial_PayGo-Link Ad-FreeAcctRetargetingFB-GlobalAlt-ChB_RTG CanvasOpener»1x1»SocialBan»SOC»ALL»CPC»LAL»D»UNK»SS»NA»Trials_ID</v>
      </c>
      <c r="C280" s="1" t="s">
        <v>28</v>
      </c>
      <c r="D280" s="3" t="n">
        <f aca="false">O280+(7-WEEKDAY(O280))</f>
        <v>43358</v>
      </c>
      <c r="E280" s="1" t="str">
        <f aca="false">VLOOKUP(OFFSET(Table22,279,16,1,1),Key!B:D,2,0)</f>
        <v>France</v>
      </c>
      <c r="F280" s="1" t="str">
        <f aca="false">IF(ISNUMBER(SEARCH("Canvas",U280)),"Link",IF(ISNUMBER(SEARCH("Link",U280)),"Link","Not filled properly"))</f>
        <v>Link</v>
      </c>
      <c r="G280" s="1" t="str">
        <f aca="false">IFERROR(VLOOKUP(OFFSET(Table22,279,21,1,1),OFFSET(Table2,0,1,ROWS(Table2),8),2,0),VLOOKUP(OFFSET(Table22,279,22,1,1),Table2,3,0))</f>
        <v>FRA_gaPMG_AZR_AZR_Q1_19_AzureDirect-Trial-Social</v>
      </c>
      <c r="H280" s="1" t="n">
        <f aca="false">IFERROR(VLOOKUP(OFFSET(Table22,279,21,1,1),OFFSET(Table2,0,1,ROWS(Table2),8),3,0),VLOOKUP(OFFSET(Table22,279,22,1,1),Table2,4,0))</f>
        <v>21356941</v>
      </c>
      <c r="I280" s="2" t="n">
        <f aca="false">IFERROR(VLOOKUP(OFFSET(Table22,279,21,1,1),OFFSET(Table2,0,1,ROWS(Table2),8),4,0),VLOOKUP(OFFSET(Table22,279,22,1,1),Table2,5,0))</f>
        <v>720193</v>
      </c>
      <c r="J280" s="3" t="str">
        <f aca="false">IF(ISNUMBER(SEARCH("FACEBOOK",W280)),"Facebook",IF(ISNUMBER(SEARCH("INSTAGRAM",W280)),"Facebook-Instagram","Look at taxonomy"))</f>
        <v>Facebook</v>
      </c>
      <c r="K280" s="3" t="str">
        <f aca="false">IF(ISNUMBER(SEARCH("Facebook",J280)),"3654128","Not Facebook")</f>
        <v>3654128</v>
      </c>
      <c r="L280" s="3" t="str">
        <f aca="false">IFERROR(VLOOKUP(OFFSET(Table22,279,21,1,1),OFFSET(Table2,0,1,ROWS(Table2),8),7,0),VLOOKUP(OFFSET(Table22,279,22,1,1),Table2,8,0))</f>
        <v>AZR_FreeAcctRetargetingFB-GlobalAlt-ChB_FRA_1200x628_SOC_AZRDirect_French_NA_Facebook_SBAN_SINU_T2_1</v>
      </c>
      <c r="M280" s="2" t="n">
        <f aca="false">IFERROR(VLOOKUP(OFFSET(Table22,279,21,1,1),OFFSET(Table2,0,1,ROWS(Table2),8),8,0),VLOOKUP(OFFSET(Table22,279,22,1,1),Table2,9,0))</f>
        <v>103259520</v>
      </c>
      <c r="N280" s="15" t="s">
        <v>29</v>
      </c>
      <c r="O280" s="16" t="n">
        <v>43352</v>
      </c>
      <c r="P280" s="17" t="s">
        <v>102</v>
      </c>
      <c r="Q280" s="18" t="s">
        <v>103</v>
      </c>
      <c r="R280" s="17" t="s">
        <v>104</v>
      </c>
      <c r="S280" s="18" t="s">
        <v>33</v>
      </c>
      <c r="T280" s="17" t="s">
        <v>34</v>
      </c>
      <c r="U280" s="18" t="s">
        <v>39</v>
      </c>
      <c r="V280" s="19" t="n">
        <v>226359971</v>
      </c>
      <c r="W280" s="17" t="s">
        <v>106</v>
      </c>
      <c r="X280" s="17" t="n">
        <v>0</v>
      </c>
      <c r="Y280" s="17"/>
      <c r="Z280" s="17" t="n">
        <v>0</v>
      </c>
      <c r="AA280" s="17" t="s">
        <v>38</v>
      </c>
      <c r="AB280" s="17"/>
    </row>
    <row r="281" customFormat="false" ht="15" hidden="false" customHeight="false" outlineLevel="0" collapsed="false">
      <c r="A281" s="1" t="str">
        <f aca="false">OFFSET(Table22,280,14,1,1)&amp;OFFSET(Table22,280,21,1,1)</f>
        <v>43358226359968</v>
      </c>
      <c r="B281" s="1" t="str">
        <f aca="false">OFFSET(Table22,280,14,1,1)&amp;OFFSET(Table22,280,22,1,1)</f>
        <v>43358Facebook»Developers/ITPros-Azure Direct-Sponsored Post_Trial_PayGo-Link Ad-FreeAcctRetargetingOSSFB-Logos-ChG CanvasOpener»1x1»SocialBan»SOC»ALL»CPC»LAL»D»UNK»SS»NA»Trials_ID</v>
      </c>
      <c r="C281" s="1" t="s">
        <v>28</v>
      </c>
      <c r="D281" s="3" t="n">
        <f aca="false">O281+(7-WEEKDAY(O281))</f>
        <v>43358</v>
      </c>
      <c r="E281" s="1" t="str">
        <f aca="false">VLOOKUP(OFFSET(Table22,280,16,1,1),Key!B:D,2,0)</f>
        <v>France</v>
      </c>
      <c r="F281" s="1" t="str">
        <f aca="false">IF(ISNUMBER(SEARCH("Canvas",U281)),"Link",IF(ISNUMBER(SEARCH("Link",U281)),"Link","Not filled properly"))</f>
        <v>Link</v>
      </c>
      <c r="G281" s="1" t="str">
        <f aca="false">IFERROR(VLOOKUP(OFFSET(Table22,280,21,1,1),OFFSET(Table2,0,1,ROWS(Table2),8),2,0),VLOOKUP(OFFSET(Table22,280,22,1,1),Table2,3,0))</f>
        <v>FRA_gaPMG_AZR_AZR_Q1_19_AzureDirect-Trial-Social</v>
      </c>
      <c r="H281" s="1" t="n">
        <f aca="false">IFERROR(VLOOKUP(OFFSET(Table22,280,21,1,1),OFFSET(Table2,0,1,ROWS(Table2),8),3,0),VLOOKUP(OFFSET(Table22,280,22,1,1),Table2,4,0))</f>
        <v>21356941</v>
      </c>
      <c r="I281" s="2" t="n">
        <f aca="false">IFERROR(VLOOKUP(OFFSET(Table22,280,21,1,1),OFFSET(Table2,0,1,ROWS(Table2),8),4,0),VLOOKUP(OFFSET(Table22,280,22,1,1),Table2,5,0))</f>
        <v>720193</v>
      </c>
      <c r="J281" s="3" t="str">
        <f aca="false">IF(ISNUMBER(SEARCH("FACEBOOK",W281)),"Facebook",IF(ISNUMBER(SEARCH("INSTAGRAM",W281)),"Facebook-Instagram","Look at taxonomy"))</f>
        <v>Facebook</v>
      </c>
      <c r="K281" s="3" t="str">
        <f aca="false">IF(ISNUMBER(SEARCH("Facebook",J281)),"3654128","Not Facebook")</f>
        <v>3654128</v>
      </c>
      <c r="L281" s="3" t="str">
        <f aca="false">IFERROR(VLOOKUP(OFFSET(Table22,280,21,1,1),OFFSET(Table2,0,1,ROWS(Table2),8),7,0),VLOOKUP(OFFSET(Table22,280,22,1,1),Table2,8,0))</f>
        <v>AZR_FreeAcctRetargetingOSSFB-Logos-ChG_FRA_1200x628_SOC_AZRDirect_French_NA_Facebook_SBAN_SINU_T2_1</v>
      </c>
      <c r="M281" s="2" t="n">
        <f aca="false">IFERROR(VLOOKUP(OFFSET(Table22,280,21,1,1),OFFSET(Table2,0,1,ROWS(Table2),8),8,0),VLOOKUP(OFFSET(Table22,280,22,1,1),Table2,9,0))</f>
        <v>103259769</v>
      </c>
      <c r="N281" s="15" t="s">
        <v>29</v>
      </c>
      <c r="O281" s="16" t="n">
        <v>43358</v>
      </c>
      <c r="P281" s="17" t="s">
        <v>102</v>
      </c>
      <c r="Q281" s="18" t="s">
        <v>103</v>
      </c>
      <c r="R281" s="17" t="s">
        <v>104</v>
      </c>
      <c r="S281" s="18" t="s">
        <v>33</v>
      </c>
      <c r="T281" s="17" t="s">
        <v>34</v>
      </c>
      <c r="U281" s="18" t="s">
        <v>39</v>
      </c>
      <c r="V281" s="19" t="n">
        <v>226359968</v>
      </c>
      <c r="W281" s="17" t="s">
        <v>107</v>
      </c>
      <c r="X281" s="17" t="n">
        <v>0</v>
      </c>
      <c r="Y281" s="17"/>
      <c r="Z281" s="17" t="n">
        <v>0</v>
      </c>
      <c r="AA281" s="17" t="s">
        <v>38</v>
      </c>
      <c r="AB281" s="17"/>
    </row>
    <row r="282" customFormat="false" ht="15" hidden="false" customHeight="false" outlineLevel="0" collapsed="false">
      <c r="A282" s="1" t="str">
        <f aca="false">OFFSET(Table22,281,14,1,1)&amp;OFFSET(Table22,281,21,1,1)</f>
        <v>43357226359968</v>
      </c>
      <c r="B282" s="1" t="str">
        <f aca="false">OFFSET(Table22,281,14,1,1)&amp;OFFSET(Table22,281,22,1,1)</f>
        <v>43357Facebook»Developers/ITPros-Azure Direct-Sponsored Post_Trial_PayGo-Link Ad-FreeAcctRetargetingOSSFB-Logos-ChG CanvasOpener»1x1»SocialBan»SOC»ALL»CPC»LAL»D»UNK»SS»NA»Trials_ID</v>
      </c>
      <c r="C282" s="1" t="s">
        <v>28</v>
      </c>
      <c r="D282" s="3" t="n">
        <f aca="false">O282+(7-WEEKDAY(O282))</f>
        <v>43358</v>
      </c>
      <c r="E282" s="1" t="str">
        <f aca="false">VLOOKUP(OFFSET(Table22,281,16,1,1),Key!B:D,2,0)</f>
        <v>France</v>
      </c>
      <c r="F282" s="1" t="str">
        <f aca="false">IF(ISNUMBER(SEARCH("Canvas",U282)),"Link",IF(ISNUMBER(SEARCH("Link",U282)),"Link","Not filled properly"))</f>
        <v>Link</v>
      </c>
      <c r="G282" s="1" t="str">
        <f aca="false">IFERROR(VLOOKUP(OFFSET(Table22,281,21,1,1),OFFSET(Table2,0,1,ROWS(Table2),8),2,0),VLOOKUP(OFFSET(Table22,281,22,1,1),Table2,3,0))</f>
        <v>FRA_gaPMG_AZR_AZR_Q1_19_AzureDirect-Trial-Social</v>
      </c>
      <c r="H282" s="1" t="n">
        <f aca="false">IFERROR(VLOOKUP(OFFSET(Table22,281,21,1,1),OFFSET(Table2,0,1,ROWS(Table2),8),3,0),VLOOKUP(OFFSET(Table22,281,22,1,1),Table2,4,0))</f>
        <v>21356941</v>
      </c>
      <c r="I282" s="2" t="n">
        <f aca="false">IFERROR(VLOOKUP(OFFSET(Table22,281,21,1,1),OFFSET(Table2,0,1,ROWS(Table2),8),4,0),VLOOKUP(OFFSET(Table22,281,22,1,1),Table2,5,0))</f>
        <v>720193</v>
      </c>
      <c r="J282" s="3" t="str">
        <f aca="false">IF(ISNUMBER(SEARCH("FACEBOOK",W282)),"Facebook",IF(ISNUMBER(SEARCH("INSTAGRAM",W282)),"Facebook-Instagram","Look at taxonomy"))</f>
        <v>Facebook</v>
      </c>
      <c r="K282" s="3" t="str">
        <f aca="false">IF(ISNUMBER(SEARCH("Facebook",J282)),"3654128","Not Facebook")</f>
        <v>3654128</v>
      </c>
      <c r="L282" s="3" t="str">
        <f aca="false">IFERROR(VLOOKUP(OFFSET(Table22,281,21,1,1),OFFSET(Table2,0,1,ROWS(Table2),8),7,0),VLOOKUP(OFFSET(Table22,281,22,1,1),Table2,8,0))</f>
        <v>AZR_FreeAcctRetargetingOSSFB-Logos-ChG_FRA_1200x628_SOC_AZRDirect_French_NA_Facebook_SBAN_SINU_T2_1</v>
      </c>
      <c r="M282" s="2" t="n">
        <f aca="false">IFERROR(VLOOKUP(OFFSET(Table22,281,21,1,1),OFFSET(Table2,0,1,ROWS(Table2),8),8,0),VLOOKUP(OFFSET(Table22,281,22,1,1),Table2,9,0))</f>
        <v>103259769</v>
      </c>
      <c r="N282" s="15" t="s">
        <v>29</v>
      </c>
      <c r="O282" s="16" t="n">
        <v>43357</v>
      </c>
      <c r="P282" s="17" t="s">
        <v>102</v>
      </c>
      <c r="Q282" s="18" t="s">
        <v>103</v>
      </c>
      <c r="R282" s="17" t="s">
        <v>104</v>
      </c>
      <c r="S282" s="18" t="s">
        <v>33</v>
      </c>
      <c r="T282" s="17" t="s">
        <v>34</v>
      </c>
      <c r="U282" s="18" t="s">
        <v>39</v>
      </c>
      <c r="V282" s="19" t="n">
        <v>226359968</v>
      </c>
      <c r="W282" s="17" t="s">
        <v>107</v>
      </c>
      <c r="X282" s="17" t="n">
        <v>0</v>
      </c>
      <c r="Y282" s="17"/>
      <c r="Z282" s="17" t="n">
        <v>0</v>
      </c>
      <c r="AA282" s="17" t="s">
        <v>38</v>
      </c>
      <c r="AB282" s="17"/>
    </row>
    <row r="283" customFormat="false" ht="15" hidden="false" customHeight="false" outlineLevel="0" collapsed="false">
      <c r="A283" s="1" t="str">
        <f aca="false">OFFSET(Table22,282,14,1,1)&amp;OFFSET(Table22,282,21,1,1)</f>
        <v>43356226359968</v>
      </c>
      <c r="B283" s="1" t="str">
        <f aca="false">OFFSET(Table22,282,14,1,1)&amp;OFFSET(Table22,282,22,1,1)</f>
        <v>43356Facebook»Developers/ITPros-Azure Direct-Sponsored Post_Trial_PayGo-Link Ad-FreeAcctRetargetingOSSFB-Logos-ChG CanvasOpener»1x1»SocialBan»SOC»ALL»CPC»LAL»D»UNK»SS»NA»Trials_ID</v>
      </c>
      <c r="C283" s="1" t="s">
        <v>28</v>
      </c>
      <c r="D283" s="3" t="n">
        <f aca="false">O283+(7-WEEKDAY(O283))</f>
        <v>43358</v>
      </c>
      <c r="E283" s="1" t="str">
        <f aca="false">VLOOKUP(OFFSET(Table22,282,16,1,1),Key!B:D,2,0)</f>
        <v>France</v>
      </c>
      <c r="F283" s="1" t="str">
        <f aca="false">IF(ISNUMBER(SEARCH("Canvas",U283)),"Link",IF(ISNUMBER(SEARCH("Link",U283)),"Link","Not filled properly"))</f>
        <v>Link</v>
      </c>
      <c r="G283" s="1" t="str">
        <f aca="false">IFERROR(VLOOKUP(OFFSET(Table22,282,21,1,1),OFFSET(Table2,0,1,ROWS(Table2),8),2,0),VLOOKUP(OFFSET(Table22,282,22,1,1),Table2,3,0))</f>
        <v>FRA_gaPMG_AZR_AZR_Q1_19_AzureDirect-Trial-Social</v>
      </c>
      <c r="H283" s="1" t="n">
        <f aca="false">IFERROR(VLOOKUP(OFFSET(Table22,282,21,1,1),OFFSET(Table2,0,1,ROWS(Table2),8),3,0),VLOOKUP(OFFSET(Table22,282,22,1,1),Table2,4,0))</f>
        <v>21356941</v>
      </c>
      <c r="I283" s="2" t="n">
        <f aca="false">IFERROR(VLOOKUP(OFFSET(Table22,282,21,1,1),OFFSET(Table2,0,1,ROWS(Table2),8),4,0),VLOOKUP(OFFSET(Table22,282,22,1,1),Table2,5,0))</f>
        <v>720193</v>
      </c>
      <c r="J283" s="3" t="str">
        <f aca="false">IF(ISNUMBER(SEARCH("FACEBOOK",W283)),"Facebook",IF(ISNUMBER(SEARCH("INSTAGRAM",W283)),"Facebook-Instagram","Look at taxonomy"))</f>
        <v>Facebook</v>
      </c>
      <c r="K283" s="3" t="str">
        <f aca="false">IF(ISNUMBER(SEARCH("Facebook",J283)),"3654128","Not Facebook")</f>
        <v>3654128</v>
      </c>
      <c r="L283" s="3" t="str">
        <f aca="false">IFERROR(VLOOKUP(OFFSET(Table22,282,21,1,1),OFFSET(Table2,0,1,ROWS(Table2),8),7,0),VLOOKUP(OFFSET(Table22,282,22,1,1),Table2,8,0))</f>
        <v>AZR_FreeAcctRetargetingOSSFB-Logos-ChG_FRA_1200x628_SOC_AZRDirect_French_NA_Facebook_SBAN_SINU_T2_1</v>
      </c>
      <c r="M283" s="2" t="n">
        <f aca="false">IFERROR(VLOOKUP(OFFSET(Table22,282,21,1,1),OFFSET(Table2,0,1,ROWS(Table2),8),8,0),VLOOKUP(OFFSET(Table22,282,22,1,1),Table2,9,0))</f>
        <v>103259769</v>
      </c>
      <c r="N283" s="15" t="s">
        <v>29</v>
      </c>
      <c r="O283" s="16" t="n">
        <v>43356</v>
      </c>
      <c r="P283" s="17" t="s">
        <v>102</v>
      </c>
      <c r="Q283" s="18" t="s">
        <v>103</v>
      </c>
      <c r="R283" s="17" t="s">
        <v>104</v>
      </c>
      <c r="S283" s="18" t="s">
        <v>33</v>
      </c>
      <c r="T283" s="17" t="s">
        <v>34</v>
      </c>
      <c r="U283" s="18" t="s">
        <v>39</v>
      </c>
      <c r="V283" s="19" t="n">
        <v>226359968</v>
      </c>
      <c r="W283" s="17" t="s">
        <v>107</v>
      </c>
      <c r="X283" s="17" t="n">
        <v>0</v>
      </c>
      <c r="Y283" s="17"/>
      <c r="Z283" s="17" t="n">
        <v>0</v>
      </c>
      <c r="AA283" s="17" t="s">
        <v>38</v>
      </c>
      <c r="AB283" s="17"/>
    </row>
    <row r="284" customFormat="false" ht="15" hidden="false" customHeight="false" outlineLevel="0" collapsed="false">
      <c r="A284" s="1" t="str">
        <f aca="false">OFFSET(Table22,283,14,1,1)&amp;OFFSET(Table22,283,21,1,1)</f>
        <v>43355226359968</v>
      </c>
      <c r="B284" s="1" t="str">
        <f aca="false">OFFSET(Table22,283,14,1,1)&amp;OFFSET(Table22,283,22,1,1)</f>
        <v>43355Facebook»Developers/ITPros-Azure Direct-Sponsored Post_Trial_PayGo-Link Ad-FreeAcctRetargetingOSSFB-Logos-ChG CanvasOpener»1x1»SocialBan»SOC»ALL»CPC»LAL»D»UNK»SS»NA»Trials_ID</v>
      </c>
      <c r="C284" s="1" t="s">
        <v>28</v>
      </c>
      <c r="D284" s="3" t="n">
        <f aca="false">O284+(7-WEEKDAY(O284))</f>
        <v>43358</v>
      </c>
      <c r="E284" s="1" t="str">
        <f aca="false">VLOOKUP(OFFSET(Table22,283,16,1,1),Key!B:D,2,0)</f>
        <v>France</v>
      </c>
      <c r="F284" s="1" t="str">
        <f aca="false">IF(ISNUMBER(SEARCH("Canvas",U284)),"Link",IF(ISNUMBER(SEARCH("Link",U284)),"Link","Not filled properly"))</f>
        <v>Link</v>
      </c>
      <c r="G284" s="1" t="str">
        <f aca="false">IFERROR(VLOOKUP(OFFSET(Table22,283,21,1,1),OFFSET(Table2,0,1,ROWS(Table2),8),2,0),VLOOKUP(OFFSET(Table22,283,22,1,1),Table2,3,0))</f>
        <v>FRA_gaPMG_AZR_AZR_Q1_19_AzureDirect-Trial-Social</v>
      </c>
      <c r="H284" s="1" t="n">
        <f aca="false">IFERROR(VLOOKUP(OFFSET(Table22,283,21,1,1),OFFSET(Table2,0,1,ROWS(Table2),8),3,0),VLOOKUP(OFFSET(Table22,283,22,1,1),Table2,4,0))</f>
        <v>21356941</v>
      </c>
      <c r="I284" s="2" t="n">
        <f aca="false">IFERROR(VLOOKUP(OFFSET(Table22,283,21,1,1),OFFSET(Table2,0,1,ROWS(Table2),8),4,0),VLOOKUP(OFFSET(Table22,283,22,1,1),Table2,5,0))</f>
        <v>720193</v>
      </c>
      <c r="J284" s="3" t="str">
        <f aca="false">IF(ISNUMBER(SEARCH("FACEBOOK",W284)),"Facebook",IF(ISNUMBER(SEARCH("INSTAGRAM",W284)),"Facebook-Instagram","Look at taxonomy"))</f>
        <v>Facebook</v>
      </c>
      <c r="K284" s="3" t="str">
        <f aca="false">IF(ISNUMBER(SEARCH("Facebook",J284)),"3654128","Not Facebook")</f>
        <v>3654128</v>
      </c>
      <c r="L284" s="3" t="str">
        <f aca="false">IFERROR(VLOOKUP(OFFSET(Table22,283,21,1,1),OFFSET(Table2,0,1,ROWS(Table2),8),7,0),VLOOKUP(OFFSET(Table22,283,22,1,1),Table2,8,0))</f>
        <v>AZR_FreeAcctRetargetingOSSFB-Logos-ChG_FRA_1200x628_SOC_AZRDirect_French_NA_Facebook_SBAN_SINU_T2_1</v>
      </c>
      <c r="M284" s="2" t="n">
        <f aca="false">IFERROR(VLOOKUP(OFFSET(Table22,283,21,1,1),OFFSET(Table2,0,1,ROWS(Table2),8),8,0),VLOOKUP(OFFSET(Table22,283,22,1,1),Table2,9,0))</f>
        <v>103259769</v>
      </c>
      <c r="N284" s="15" t="s">
        <v>29</v>
      </c>
      <c r="O284" s="16" t="n">
        <v>43355</v>
      </c>
      <c r="P284" s="17" t="s">
        <v>102</v>
      </c>
      <c r="Q284" s="18" t="s">
        <v>103</v>
      </c>
      <c r="R284" s="17" t="s">
        <v>104</v>
      </c>
      <c r="S284" s="18" t="s">
        <v>33</v>
      </c>
      <c r="T284" s="17" t="s">
        <v>34</v>
      </c>
      <c r="U284" s="18" t="s">
        <v>39</v>
      </c>
      <c r="V284" s="19" t="n">
        <v>226359968</v>
      </c>
      <c r="W284" s="17" t="s">
        <v>107</v>
      </c>
      <c r="X284" s="17" t="n">
        <v>0</v>
      </c>
      <c r="Y284" s="17"/>
      <c r="Z284" s="17" t="n">
        <v>0</v>
      </c>
      <c r="AA284" s="17" t="s">
        <v>38</v>
      </c>
      <c r="AB284" s="17"/>
    </row>
    <row r="285" customFormat="false" ht="15" hidden="false" customHeight="false" outlineLevel="0" collapsed="false">
      <c r="A285" s="1" t="str">
        <f aca="false">OFFSET(Table22,284,14,1,1)&amp;OFFSET(Table22,284,21,1,1)</f>
        <v>43354226359968</v>
      </c>
      <c r="B285" s="1" t="str">
        <f aca="false">OFFSET(Table22,284,14,1,1)&amp;OFFSET(Table22,284,22,1,1)</f>
        <v>43354Facebook»Developers/ITPros-Azure Direct-Sponsored Post_Trial_PayGo-Link Ad-FreeAcctRetargetingOSSFB-Logos-ChG CanvasOpener»1x1»SocialBan»SOC»ALL»CPC»LAL»D»UNK»SS»NA»Trials_ID</v>
      </c>
      <c r="C285" s="1" t="s">
        <v>28</v>
      </c>
      <c r="D285" s="3" t="n">
        <f aca="false">O285+(7-WEEKDAY(O285))</f>
        <v>43358</v>
      </c>
      <c r="E285" s="1" t="str">
        <f aca="false">VLOOKUP(OFFSET(Table22,284,16,1,1),Key!B:D,2,0)</f>
        <v>France</v>
      </c>
      <c r="F285" s="1" t="str">
        <f aca="false">IF(ISNUMBER(SEARCH("Canvas",U285)),"Link",IF(ISNUMBER(SEARCH("Link",U285)),"Link","Not filled properly"))</f>
        <v>Link</v>
      </c>
      <c r="G285" s="1" t="str">
        <f aca="false">IFERROR(VLOOKUP(OFFSET(Table22,284,21,1,1),OFFSET(Table2,0,1,ROWS(Table2),8),2,0),VLOOKUP(OFFSET(Table22,284,22,1,1),Table2,3,0))</f>
        <v>FRA_gaPMG_AZR_AZR_Q1_19_AzureDirect-Trial-Social</v>
      </c>
      <c r="H285" s="1" t="n">
        <f aca="false">IFERROR(VLOOKUP(OFFSET(Table22,284,21,1,1),OFFSET(Table2,0,1,ROWS(Table2),8),3,0),VLOOKUP(OFFSET(Table22,284,22,1,1),Table2,4,0))</f>
        <v>21356941</v>
      </c>
      <c r="I285" s="2" t="n">
        <f aca="false">IFERROR(VLOOKUP(OFFSET(Table22,284,21,1,1),OFFSET(Table2,0,1,ROWS(Table2),8),4,0),VLOOKUP(OFFSET(Table22,284,22,1,1),Table2,5,0))</f>
        <v>720193</v>
      </c>
      <c r="J285" s="3" t="str">
        <f aca="false">IF(ISNUMBER(SEARCH("FACEBOOK",W285)),"Facebook",IF(ISNUMBER(SEARCH("INSTAGRAM",W285)),"Facebook-Instagram","Look at taxonomy"))</f>
        <v>Facebook</v>
      </c>
      <c r="K285" s="3" t="str">
        <f aca="false">IF(ISNUMBER(SEARCH("Facebook",J285)),"3654128","Not Facebook")</f>
        <v>3654128</v>
      </c>
      <c r="L285" s="3" t="str">
        <f aca="false">IFERROR(VLOOKUP(OFFSET(Table22,284,21,1,1),OFFSET(Table2,0,1,ROWS(Table2),8),7,0),VLOOKUP(OFFSET(Table22,284,22,1,1),Table2,8,0))</f>
        <v>AZR_FreeAcctRetargetingOSSFB-Logos-ChG_FRA_1200x628_SOC_AZRDirect_French_NA_Facebook_SBAN_SINU_T2_1</v>
      </c>
      <c r="M285" s="2" t="n">
        <f aca="false">IFERROR(VLOOKUP(OFFSET(Table22,284,21,1,1),OFFSET(Table2,0,1,ROWS(Table2),8),8,0),VLOOKUP(OFFSET(Table22,284,22,1,1),Table2,9,0))</f>
        <v>103259769</v>
      </c>
      <c r="N285" s="15" t="s">
        <v>29</v>
      </c>
      <c r="O285" s="16" t="n">
        <v>43354</v>
      </c>
      <c r="P285" s="17" t="s">
        <v>102</v>
      </c>
      <c r="Q285" s="18" t="s">
        <v>103</v>
      </c>
      <c r="R285" s="17" t="s">
        <v>104</v>
      </c>
      <c r="S285" s="18" t="s">
        <v>33</v>
      </c>
      <c r="T285" s="17" t="s">
        <v>34</v>
      </c>
      <c r="U285" s="18" t="s">
        <v>39</v>
      </c>
      <c r="V285" s="19" t="n">
        <v>226359968</v>
      </c>
      <c r="W285" s="17" t="s">
        <v>107</v>
      </c>
      <c r="X285" s="17" t="n">
        <v>0</v>
      </c>
      <c r="Y285" s="17"/>
      <c r="Z285" s="17" t="n">
        <v>0</v>
      </c>
      <c r="AA285" s="17" t="s">
        <v>38</v>
      </c>
      <c r="AB285" s="17"/>
    </row>
    <row r="286" customFormat="false" ht="15" hidden="false" customHeight="false" outlineLevel="0" collapsed="false">
      <c r="A286" s="1" t="str">
        <f aca="false">OFFSET(Table22,285,14,1,1)&amp;OFFSET(Table22,285,21,1,1)</f>
        <v>43353226359968</v>
      </c>
      <c r="B286" s="1" t="str">
        <f aca="false">OFFSET(Table22,285,14,1,1)&amp;OFFSET(Table22,285,22,1,1)</f>
        <v>43353Facebook»Developers/ITPros-Azure Direct-Sponsored Post_Trial_PayGo-Link Ad-FreeAcctRetargetingOSSFB-Logos-ChG CanvasOpener»1x1»SocialBan»SOC»ALL»CPC»LAL»D»UNK»SS»NA»Trials_ID</v>
      </c>
      <c r="C286" s="1" t="s">
        <v>28</v>
      </c>
      <c r="D286" s="3" t="n">
        <f aca="false">O286+(7-WEEKDAY(O286))</f>
        <v>43358</v>
      </c>
      <c r="E286" s="1" t="str">
        <f aca="false">VLOOKUP(OFFSET(Table22,285,16,1,1),Key!B:D,2,0)</f>
        <v>France</v>
      </c>
      <c r="F286" s="1" t="str">
        <f aca="false">IF(ISNUMBER(SEARCH("Canvas",U286)),"Link",IF(ISNUMBER(SEARCH("Link",U286)),"Link","Not filled properly"))</f>
        <v>Link</v>
      </c>
      <c r="G286" s="1" t="str">
        <f aca="false">IFERROR(VLOOKUP(OFFSET(Table22,285,21,1,1),OFFSET(Table2,0,1,ROWS(Table2),8),2,0),VLOOKUP(OFFSET(Table22,285,22,1,1),Table2,3,0))</f>
        <v>FRA_gaPMG_AZR_AZR_Q1_19_AzureDirect-Trial-Social</v>
      </c>
      <c r="H286" s="1" t="n">
        <f aca="false">IFERROR(VLOOKUP(OFFSET(Table22,285,21,1,1),OFFSET(Table2,0,1,ROWS(Table2),8),3,0),VLOOKUP(OFFSET(Table22,285,22,1,1),Table2,4,0))</f>
        <v>21356941</v>
      </c>
      <c r="I286" s="2" t="n">
        <f aca="false">IFERROR(VLOOKUP(OFFSET(Table22,285,21,1,1),OFFSET(Table2,0,1,ROWS(Table2),8),4,0),VLOOKUP(OFFSET(Table22,285,22,1,1),Table2,5,0))</f>
        <v>720193</v>
      </c>
      <c r="J286" s="3" t="str">
        <f aca="false">IF(ISNUMBER(SEARCH("FACEBOOK",W286)),"Facebook",IF(ISNUMBER(SEARCH("INSTAGRAM",W286)),"Facebook-Instagram","Look at taxonomy"))</f>
        <v>Facebook</v>
      </c>
      <c r="K286" s="3" t="str">
        <f aca="false">IF(ISNUMBER(SEARCH("Facebook",J286)),"3654128","Not Facebook")</f>
        <v>3654128</v>
      </c>
      <c r="L286" s="3" t="str">
        <f aca="false">IFERROR(VLOOKUP(OFFSET(Table22,285,21,1,1),OFFSET(Table2,0,1,ROWS(Table2),8),7,0),VLOOKUP(OFFSET(Table22,285,22,1,1),Table2,8,0))</f>
        <v>AZR_FreeAcctRetargetingOSSFB-Logos-ChG_FRA_1200x628_SOC_AZRDirect_French_NA_Facebook_SBAN_SINU_T2_1</v>
      </c>
      <c r="M286" s="2" t="n">
        <f aca="false">IFERROR(VLOOKUP(OFFSET(Table22,285,21,1,1),OFFSET(Table2,0,1,ROWS(Table2),8),8,0),VLOOKUP(OFFSET(Table22,285,22,1,1),Table2,9,0))</f>
        <v>103259769</v>
      </c>
      <c r="N286" s="15" t="s">
        <v>29</v>
      </c>
      <c r="O286" s="16" t="n">
        <v>43353</v>
      </c>
      <c r="P286" s="17" t="s">
        <v>102</v>
      </c>
      <c r="Q286" s="18" t="s">
        <v>103</v>
      </c>
      <c r="R286" s="17" t="s">
        <v>104</v>
      </c>
      <c r="S286" s="18" t="s">
        <v>33</v>
      </c>
      <c r="T286" s="17" t="s">
        <v>34</v>
      </c>
      <c r="U286" s="18" t="s">
        <v>39</v>
      </c>
      <c r="V286" s="19" t="n">
        <v>226359968</v>
      </c>
      <c r="W286" s="17" t="s">
        <v>107</v>
      </c>
      <c r="X286" s="17" t="n">
        <v>1</v>
      </c>
      <c r="Y286" s="17"/>
      <c r="Z286" s="17" t="n">
        <v>0</v>
      </c>
      <c r="AA286" s="17" t="s">
        <v>38</v>
      </c>
      <c r="AB286" s="17"/>
    </row>
    <row r="287" customFormat="false" ht="15" hidden="false" customHeight="false" outlineLevel="0" collapsed="false">
      <c r="A287" s="1" t="str">
        <f aca="false">OFFSET(Table22,286,14,1,1)&amp;OFFSET(Table22,286,21,1,1)</f>
        <v>43352226359968</v>
      </c>
      <c r="B287" s="1" t="str">
        <f aca="false">OFFSET(Table22,286,14,1,1)&amp;OFFSET(Table22,286,22,1,1)</f>
        <v>43352Facebook»Developers/ITPros-Azure Direct-Sponsored Post_Trial_PayGo-Link Ad-FreeAcctRetargetingOSSFB-Logos-ChG CanvasOpener»1x1»SocialBan»SOC»ALL»CPC»LAL»D»UNK»SS»NA»Trials_ID</v>
      </c>
      <c r="C287" s="1" t="s">
        <v>28</v>
      </c>
      <c r="D287" s="3" t="n">
        <f aca="false">O287+(7-WEEKDAY(O287))</f>
        <v>43358</v>
      </c>
      <c r="E287" s="1" t="str">
        <f aca="false">VLOOKUP(OFFSET(Table22,286,16,1,1),Key!B:D,2,0)</f>
        <v>France</v>
      </c>
      <c r="F287" s="1" t="str">
        <f aca="false">IF(ISNUMBER(SEARCH("Canvas",U287)),"Link",IF(ISNUMBER(SEARCH("Link",U287)),"Link","Not filled properly"))</f>
        <v>Link</v>
      </c>
      <c r="G287" s="1" t="str">
        <f aca="false">IFERROR(VLOOKUP(OFFSET(Table22,286,21,1,1),OFFSET(Table2,0,1,ROWS(Table2),8),2,0),VLOOKUP(OFFSET(Table22,286,22,1,1),Table2,3,0))</f>
        <v>FRA_gaPMG_AZR_AZR_Q1_19_AzureDirect-Trial-Social</v>
      </c>
      <c r="H287" s="1" t="n">
        <f aca="false">IFERROR(VLOOKUP(OFFSET(Table22,286,21,1,1),OFFSET(Table2,0,1,ROWS(Table2),8),3,0),VLOOKUP(OFFSET(Table22,286,22,1,1),Table2,4,0))</f>
        <v>21356941</v>
      </c>
      <c r="I287" s="2" t="n">
        <f aca="false">IFERROR(VLOOKUP(OFFSET(Table22,286,21,1,1),OFFSET(Table2,0,1,ROWS(Table2),8),4,0),VLOOKUP(OFFSET(Table22,286,22,1,1),Table2,5,0))</f>
        <v>720193</v>
      </c>
      <c r="J287" s="3" t="str">
        <f aca="false">IF(ISNUMBER(SEARCH("FACEBOOK",W287)),"Facebook",IF(ISNUMBER(SEARCH("INSTAGRAM",W287)),"Facebook-Instagram","Look at taxonomy"))</f>
        <v>Facebook</v>
      </c>
      <c r="K287" s="3" t="str">
        <f aca="false">IF(ISNUMBER(SEARCH("Facebook",J287)),"3654128","Not Facebook")</f>
        <v>3654128</v>
      </c>
      <c r="L287" s="3" t="str">
        <f aca="false">IFERROR(VLOOKUP(OFFSET(Table22,286,21,1,1),OFFSET(Table2,0,1,ROWS(Table2),8),7,0),VLOOKUP(OFFSET(Table22,286,22,1,1),Table2,8,0))</f>
        <v>AZR_FreeAcctRetargetingOSSFB-Logos-ChG_FRA_1200x628_SOC_AZRDirect_French_NA_Facebook_SBAN_SINU_T2_1</v>
      </c>
      <c r="M287" s="2" t="n">
        <f aca="false">IFERROR(VLOOKUP(OFFSET(Table22,286,21,1,1),OFFSET(Table2,0,1,ROWS(Table2),8),8,0),VLOOKUP(OFFSET(Table22,286,22,1,1),Table2,9,0))</f>
        <v>103259769</v>
      </c>
      <c r="N287" s="15" t="s">
        <v>29</v>
      </c>
      <c r="O287" s="16" t="n">
        <v>43352</v>
      </c>
      <c r="P287" s="17" t="s">
        <v>102</v>
      </c>
      <c r="Q287" s="18" t="s">
        <v>103</v>
      </c>
      <c r="R287" s="17" t="s">
        <v>104</v>
      </c>
      <c r="S287" s="18" t="s">
        <v>33</v>
      </c>
      <c r="T287" s="17" t="s">
        <v>34</v>
      </c>
      <c r="U287" s="18" t="s">
        <v>39</v>
      </c>
      <c r="V287" s="19" t="n">
        <v>226359968</v>
      </c>
      <c r="W287" s="17" t="s">
        <v>107</v>
      </c>
      <c r="X287" s="17" t="n">
        <v>1</v>
      </c>
      <c r="Y287" s="17"/>
      <c r="Z287" s="17" t="n">
        <v>0.01</v>
      </c>
      <c r="AA287" s="17" t="s">
        <v>38</v>
      </c>
      <c r="AB287" s="17"/>
    </row>
    <row r="288" customFormat="false" ht="15" hidden="false" customHeight="false" outlineLevel="0" collapsed="false">
      <c r="A288" s="1" t="str">
        <f aca="false">OFFSET(Table22,287,14,1,1)&amp;OFFSET(Table22,287,21,1,1)</f>
        <v>43358226359965</v>
      </c>
      <c r="B288" s="1" t="str">
        <f aca="false">OFFSET(Table22,287,14,1,1)&amp;OFFSET(Table22,287,22,1,1)</f>
        <v>43358Facebook»Developers/ITPros-Azure Direct-Sponsored Post_Trial_PayGo-Link Ad-FreeAcctRetargetingOSSFB-Text-ChF CanvasOpener»1x1»SocialBan»SOC»ALL»CPC»LAL»D»UNK»SS»NA»Trials_ID</v>
      </c>
      <c r="C288" s="1" t="s">
        <v>28</v>
      </c>
      <c r="D288" s="3" t="n">
        <f aca="false">O288+(7-WEEKDAY(O288))</f>
        <v>43358</v>
      </c>
      <c r="E288" s="1" t="str">
        <f aca="false">VLOOKUP(OFFSET(Table22,287,16,1,1),Key!B:D,2,0)</f>
        <v>France</v>
      </c>
      <c r="F288" s="1" t="str">
        <f aca="false">IF(ISNUMBER(SEARCH("Canvas",U288)),"Link",IF(ISNUMBER(SEARCH("Link",U288)),"Link","Not filled properly"))</f>
        <v>Link</v>
      </c>
      <c r="G288" s="1" t="str">
        <f aca="false">IFERROR(VLOOKUP(OFFSET(Table22,287,21,1,1),OFFSET(Table2,0,1,ROWS(Table2),8),2,0),VLOOKUP(OFFSET(Table22,287,22,1,1),Table2,3,0))</f>
        <v>FRA_gaPMG_AZR_AZR_Q1_19_AzureDirect-Trial-Social</v>
      </c>
      <c r="H288" s="1" t="n">
        <f aca="false">IFERROR(VLOOKUP(OFFSET(Table22,287,21,1,1),OFFSET(Table2,0,1,ROWS(Table2),8),3,0),VLOOKUP(OFFSET(Table22,287,22,1,1),Table2,4,0))</f>
        <v>21356941</v>
      </c>
      <c r="I288" s="2" t="n">
        <f aca="false">IFERROR(VLOOKUP(OFFSET(Table22,287,21,1,1),OFFSET(Table2,0,1,ROWS(Table2),8),4,0),VLOOKUP(OFFSET(Table22,287,22,1,1),Table2,5,0))</f>
        <v>720193</v>
      </c>
      <c r="J288" s="3" t="str">
        <f aca="false">IF(ISNUMBER(SEARCH("FACEBOOK",W288)),"Facebook",IF(ISNUMBER(SEARCH("INSTAGRAM",W288)),"Facebook-Instagram","Look at taxonomy"))</f>
        <v>Facebook</v>
      </c>
      <c r="K288" s="3" t="str">
        <f aca="false">IF(ISNUMBER(SEARCH("Facebook",J288)),"3654128","Not Facebook")</f>
        <v>3654128</v>
      </c>
      <c r="L288" s="3" t="str">
        <f aca="false">IFERROR(VLOOKUP(OFFSET(Table22,287,21,1,1),OFFSET(Table2,0,1,ROWS(Table2),8),7,0),VLOOKUP(OFFSET(Table22,287,22,1,1),Table2,8,0))</f>
        <v>AZR_FreeAcctRetargetingOSSFB-Text-ChF_FRA_1200x628_SOC_AZRDirect_French_NA_Facebook_SBAN_SINU_T1_1</v>
      </c>
      <c r="M288" s="2" t="n">
        <f aca="false">IFERROR(VLOOKUP(OFFSET(Table22,287,21,1,1),OFFSET(Table2,0,1,ROWS(Table2),8),8,0),VLOOKUP(OFFSET(Table22,287,22,1,1),Table2,9,0))</f>
        <v>103257810</v>
      </c>
      <c r="N288" s="15" t="s">
        <v>29</v>
      </c>
      <c r="O288" s="16" t="n">
        <v>43358</v>
      </c>
      <c r="P288" s="17" t="s">
        <v>102</v>
      </c>
      <c r="Q288" s="18" t="s">
        <v>103</v>
      </c>
      <c r="R288" s="17" t="s">
        <v>104</v>
      </c>
      <c r="S288" s="18" t="s">
        <v>33</v>
      </c>
      <c r="T288" s="17" t="s">
        <v>34</v>
      </c>
      <c r="U288" s="18" t="s">
        <v>39</v>
      </c>
      <c r="V288" s="19" t="n">
        <v>226359965</v>
      </c>
      <c r="W288" s="17" t="s">
        <v>108</v>
      </c>
      <c r="X288" s="17" t="n">
        <v>0</v>
      </c>
      <c r="Y288" s="17"/>
      <c r="Z288" s="17" t="n">
        <v>0</v>
      </c>
      <c r="AA288" s="17" t="s">
        <v>38</v>
      </c>
      <c r="AB288" s="17"/>
    </row>
    <row r="289" customFormat="false" ht="15" hidden="false" customHeight="false" outlineLevel="0" collapsed="false">
      <c r="A289" s="1" t="str">
        <f aca="false">OFFSET(Table22,288,14,1,1)&amp;OFFSET(Table22,288,21,1,1)</f>
        <v>43357226359965</v>
      </c>
      <c r="B289" s="1" t="str">
        <f aca="false">OFFSET(Table22,288,14,1,1)&amp;OFFSET(Table22,288,22,1,1)</f>
        <v>43357Facebook»Developers/ITPros-Azure Direct-Sponsored Post_Trial_PayGo-Link Ad-FreeAcctRetargetingOSSFB-Text-ChF CanvasOpener»1x1»SocialBan»SOC»ALL»CPC»LAL»D»UNK»SS»NA»Trials_ID</v>
      </c>
      <c r="C289" s="1" t="s">
        <v>28</v>
      </c>
      <c r="D289" s="3" t="n">
        <f aca="false">O289+(7-WEEKDAY(O289))</f>
        <v>43358</v>
      </c>
      <c r="E289" s="1" t="str">
        <f aca="false">VLOOKUP(OFFSET(Table22,288,16,1,1),Key!B:D,2,0)</f>
        <v>France</v>
      </c>
      <c r="F289" s="1" t="str">
        <f aca="false">IF(ISNUMBER(SEARCH("Canvas",U289)),"Link",IF(ISNUMBER(SEARCH("Link",U289)),"Link","Not filled properly"))</f>
        <v>Link</v>
      </c>
      <c r="G289" s="1" t="str">
        <f aca="false">IFERROR(VLOOKUP(OFFSET(Table22,288,21,1,1),OFFSET(Table2,0,1,ROWS(Table2),8),2,0),VLOOKUP(OFFSET(Table22,288,22,1,1),Table2,3,0))</f>
        <v>FRA_gaPMG_AZR_AZR_Q1_19_AzureDirect-Trial-Social</v>
      </c>
      <c r="H289" s="1" t="n">
        <f aca="false">IFERROR(VLOOKUP(OFFSET(Table22,288,21,1,1),OFFSET(Table2,0,1,ROWS(Table2),8),3,0),VLOOKUP(OFFSET(Table22,288,22,1,1),Table2,4,0))</f>
        <v>21356941</v>
      </c>
      <c r="I289" s="2" t="n">
        <f aca="false">IFERROR(VLOOKUP(OFFSET(Table22,288,21,1,1),OFFSET(Table2,0,1,ROWS(Table2),8),4,0),VLOOKUP(OFFSET(Table22,288,22,1,1),Table2,5,0))</f>
        <v>720193</v>
      </c>
      <c r="J289" s="3" t="str">
        <f aca="false">IF(ISNUMBER(SEARCH("FACEBOOK",W289)),"Facebook",IF(ISNUMBER(SEARCH("INSTAGRAM",W289)),"Facebook-Instagram","Look at taxonomy"))</f>
        <v>Facebook</v>
      </c>
      <c r="K289" s="3" t="str">
        <f aca="false">IF(ISNUMBER(SEARCH("Facebook",J289)),"3654128","Not Facebook")</f>
        <v>3654128</v>
      </c>
      <c r="L289" s="3" t="str">
        <f aca="false">IFERROR(VLOOKUP(OFFSET(Table22,288,21,1,1),OFFSET(Table2,0,1,ROWS(Table2),8),7,0),VLOOKUP(OFFSET(Table22,288,22,1,1),Table2,8,0))</f>
        <v>AZR_FreeAcctRetargetingOSSFB-Text-ChF_FRA_1200x628_SOC_AZRDirect_French_NA_Facebook_SBAN_SINU_T1_1</v>
      </c>
      <c r="M289" s="2" t="n">
        <f aca="false">IFERROR(VLOOKUP(OFFSET(Table22,288,21,1,1),OFFSET(Table2,0,1,ROWS(Table2),8),8,0),VLOOKUP(OFFSET(Table22,288,22,1,1),Table2,9,0))</f>
        <v>103257810</v>
      </c>
      <c r="N289" s="15" t="s">
        <v>29</v>
      </c>
      <c r="O289" s="16" t="n">
        <v>43357</v>
      </c>
      <c r="P289" s="17" t="s">
        <v>102</v>
      </c>
      <c r="Q289" s="18" t="s">
        <v>103</v>
      </c>
      <c r="R289" s="17" t="s">
        <v>104</v>
      </c>
      <c r="S289" s="18" t="s">
        <v>33</v>
      </c>
      <c r="T289" s="17" t="s">
        <v>34</v>
      </c>
      <c r="U289" s="18" t="s">
        <v>39</v>
      </c>
      <c r="V289" s="19" t="n">
        <v>226359965</v>
      </c>
      <c r="W289" s="17" t="s">
        <v>108</v>
      </c>
      <c r="X289" s="17" t="n">
        <v>0</v>
      </c>
      <c r="Y289" s="17"/>
      <c r="Z289" s="17" t="n">
        <v>0</v>
      </c>
      <c r="AA289" s="17" t="s">
        <v>38</v>
      </c>
      <c r="AB289" s="17"/>
    </row>
    <row r="290" customFormat="false" ht="15" hidden="false" customHeight="false" outlineLevel="0" collapsed="false">
      <c r="A290" s="1" t="str">
        <f aca="false">OFFSET(Table22,289,14,1,1)&amp;OFFSET(Table22,289,21,1,1)</f>
        <v>43356226359965</v>
      </c>
      <c r="B290" s="1" t="str">
        <f aca="false">OFFSET(Table22,289,14,1,1)&amp;OFFSET(Table22,289,22,1,1)</f>
        <v>43356Facebook»Developers/ITPros-Azure Direct-Sponsored Post_Trial_PayGo-Link Ad-FreeAcctRetargetingOSSFB-Text-ChF CanvasOpener»1x1»SocialBan»SOC»ALL»CPC»LAL»D»UNK»SS»NA»Trials_ID</v>
      </c>
      <c r="C290" s="1" t="s">
        <v>28</v>
      </c>
      <c r="D290" s="3" t="n">
        <f aca="false">O290+(7-WEEKDAY(O290))</f>
        <v>43358</v>
      </c>
      <c r="E290" s="1" t="str">
        <f aca="false">VLOOKUP(OFFSET(Table22,289,16,1,1),Key!B:D,2,0)</f>
        <v>France</v>
      </c>
      <c r="F290" s="1" t="str">
        <f aca="false">IF(ISNUMBER(SEARCH("Canvas",U290)),"Link",IF(ISNUMBER(SEARCH("Link",U290)),"Link","Not filled properly"))</f>
        <v>Link</v>
      </c>
      <c r="G290" s="1" t="str">
        <f aca="false">IFERROR(VLOOKUP(OFFSET(Table22,289,21,1,1),OFFSET(Table2,0,1,ROWS(Table2),8),2,0),VLOOKUP(OFFSET(Table22,289,22,1,1),Table2,3,0))</f>
        <v>FRA_gaPMG_AZR_AZR_Q1_19_AzureDirect-Trial-Social</v>
      </c>
      <c r="H290" s="1" t="n">
        <f aca="false">IFERROR(VLOOKUP(OFFSET(Table22,289,21,1,1),OFFSET(Table2,0,1,ROWS(Table2),8),3,0),VLOOKUP(OFFSET(Table22,289,22,1,1),Table2,4,0))</f>
        <v>21356941</v>
      </c>
      <c r="I290" s="2" t="n">
        <f aca="false">IFERROR(VLOOKUP(OFFSET(Table22,289,21,1,1),OFFSET(Table2,0,1,ROWS(Table2),8),4,0),VLOOKUP(OFFSET(Table22,289,22,1,1),Table2,5,0))</f>
        <v>720193</v>
      </c>
      <c r="J290" s="3" t="str">
        <f aca="false">IF(ISNUMBER(SEARCH("FACEBOOK",W290)),"Facebook",IF(ISNUMBER(SEARCH("INSTAGRAM",W290)),"Facebook-Instagram","Look at taxonomy"))</f>
        <v>Facebook</v>
      </c>
      <c r="K290" s="3" t="str">
        <f aca="false">IF(ISNUMBER(SEARCH("Facebook",J290)),"3654128","Not Facebook")</f>
        <v>3654128</v>
      </c>
      <c r="L290" s="3" t="str">
        <f aca="false">IFERROR(VLOOKUP(OFFSET(Table22,289,21,1,1),OFFSET(Table2,0,1,ROWS(Table2),8),7,0),VLOOKUP(OFFSET(Table22,289,22,1,1),Table2,8,0))</f>
        <v>AZR_FreeAcctRetargetingOSSFB-Text-ChF_FRA_1200x628_SOC_AZRDirect_French_NA_Facebook_SBAN_SINU_T1_1</v>
      </c>
      <c r="M290" s="2" t="n">
        <f aca="false">IFERROR(VLOOKUP(OFFSET(Table22,289,21,1,1),OFFSET(Table2,0,1,ROWS(Table2),8),8,0),VLOOKUP(OFFSET(Table22,289,22,1,1),Table2,9,0))</f>
        <v>103257810</v>
      </c>
      <c r="N290" s="15" t="s">
        <v>29</v>
      </c>
      <c r="O290" s="16" t="n">
        <v>43356</v>
      </c>
      <c r="P290" s="17" t="s">
        <v>102</v>
      </c>
      <c r="Q290" s="18" t="s">
        <v>103</v>
      </c>
      <c r="R290" s="17" t="s">
        <v>104</v>
      </c>
      <c r="S290" s="18" t="s">
        <v>33</v>
      </c>
      <c r="T290" s="17" t="s">
        <v>34</v>
      </c>
      <c r="U290" s="18" t="s">
        <v>39</v>
      </c>
      <c r="V290" s="19" t="n">
        <v>226359965</v>
      </c>
      <c r="W290" s="17" t="s">
        <v>108</v>
      </c>
      <c r="X290" s="17" t="n">
        <v>0</v>
      </c>
      <c r="Y290" s="17"/>
      <c r="Z290" s="17" t="n">
        <v>0</v>
      </c>
      <c r="AA290" s="17" t="s">
        <v>38</v>
      </c>
      <c r="AB290" s="17"/>
    </row>
    <row r="291" customFormat="false" ht="15" hidden="false" customHeight="false" outlineLevel="0" collapsed="false">
      <c r="A291" s="1" t="str">
        <f aca="false">OFFSET(Table22,290,14,1,1)&amp;OFFSET(Table22,290,21,1,1)</f>
        <v>43355226359965</v>
      </c>
      <c r="B291" s="1" t="str">
        <f aca="false">OFFSET(Table22,290,14,1,1)&amp;OFFSET(Table22,290,22,1,1)</f>
        <v>43355Facebook»Developers/ITPros-Azure Direct-Sponsored Post_Trial_PayGo-Link Ad-FreeAcctRetargetingOSSFB-Text-ChF CanvasOpener»1x1»SocialBan»SOC»ALL»CPC»LAL»D»UNK»SS»NA»Trials_ID</v>
      </c>
      <c r="C291" s="1" t="s">
        <v>28</v>
      </c>
      <c r="D291" s="3" t="n">
        <f aca="false">O291+(7-WEEKDAY(O291))</f>
        <v>43358</v>
      </c>
      <c r="E291" s="1" t="str">
        <f aca="false">VLOOKUP(OFFSET(Table22,290,16,1,1),Key!B:D,2,0)</f>
        <v>France</v>
      </c>
      <c r="F291" s="1" t="str">
        <f aca="false">IF(ISNUMBER(SEARCH("Canvas",U291)),"Link",IF(ISNUMBER(SEARCH("Link",U291)),"Link","Not filled properly"))</f>
        <v>Link</v>
      </c>
      <c r="G291" s="1" t="str">
        <f aca="false">IFERROR(VLOOKUP(OFFSET(Table22,290,21,1,1),OFFSET(Table2,0,1,ROWS(Table2),8),2,0),VLOOKUP(OFFSET(Table22,290,22,1,1),Table2,3,0))</f>
        <v>FRA_gaPMG_AZR_AZR_Q1_19_AzureDirect-Trial-Social</v>
      </c>
      <c r="H291" s="1" t="n">
        <f aca="false">IFERROR(VLOOKUP(OFFSET(Table22,290,21,1,1),OFFSET(Table2,0,1,ROWS(Table2),8),3,0),VLOOKUP(OFFSET(Table22,290,22,1,1),Table2,4,0))</f>
        <v>21356941</v>
      </c>
      <c r="I291" s="2" t="n">
        <f aca="false">IFERROR(VLOOKUP(OFFSET(Table22,290,21,1,1),OFFSET(Table2,0,1,ROWS(Table2),8),4,0),VLOOKUP(OFFSET(Table22,290,22,1,1),Table2,5,0))</f>
        <v>720193</v>
      </c>
      <c r="J291" s="3" t="str">
        <f aca="false">IF(ISNUMBER(SEARCH("FACEBOOK",W291)),"Facebook",IF(ISNUMBER(SEARCH("INSTAGRAM",W291)),"Facebook-Instagram","Look at taxonomy"))</f>
        <v>Facebook</v>
      </c>
      <c r="K291" s="3" t="str">
        <f aca="false">IF(ISNUMBER(SEARCH("Facebook",J291)),"3654128","Not Facebook")</f>
        <v>3654128</v>
      </c>
      <c r="L291" s="3" t="str">
        <f aca="false">IFERROR(VLOOKUP(OFFSET(Table22,290,21,1,1),OFFSET(Table2,0,1,ROWS(Table2),8),7,0),VLOOKUP(OFFSET(Table22,290,22,1,1),Table2,8,0))</f>
        <v>AZR_FreeAcctRetargetingOSSFB-Text-ChF_FRA_1200x628_SOC_AZRDirect_French_NA_Facebook_SBAN_SINU_T1_1</v>
      </c>
      <c r="M291" s="2" t="n">
        <f aca="false">IFERROR(VLOOKUP(OFFSET(Table22,290,21,1,1),OFFSET(Table2,0,1,ROWS(Table2),8),8,0),VLOOKUP(OFFSET(Table22,290,22,1,1),Table2,9,0))</f>
        <v>103257810</v>
      </c>
      <c r="N291" s="15" t="s">
        <v>29</v>
      </c>
      <c r="O291" s="16" t="n">
        <v>43355</v>
      </c>
      <c r="P291" s="17" t="s">
        <v>102</v>
      </c>
      <c r="Q291" s="18" t="s">
        <v>103</v>
      </c>
      <c r="R291" s="17" t="s">
        <v>104</v>
      </c>
      <c r="S291" s="18" t="s">
        <v>33</v>
      </c>
      <c r="T291" s="17" t="s">
        <v>34</v>
      </c>
      <c r="U291" s="18" t="s">
        <v>39</v>
      </c>
      <c r="V291" s="19" t="n">
        <v>226359965</v>
      </c>
      <c r="W291" s="17" t="s">
        <v>108</v>
      </c>
      <c r="X291" s="17" t="n">
        <v>0</v>
      </c>
      <c r="Y291" s="17"/>
      <c r="Z291" s="17" t="n">
        <v>0</v>
      </c>
      <c r="AA291" s="17" t="s">
        <v>38</v>
      </c>
      <c r="AB291" s="17"/>
    </row>
    <row r="292" customFormat="false" ht="15" hidden="false" customHeight="false" outlineLevel="0" collapsed="false">
      <c r="A292" s="1" t="str">
        <f aca="false">OFFSET(Table22,291,14,1,1)&amp;OFFSET(Table22,291,21,1,1)</f>
        <v>43354226359965</v>
      </c>
      <c r="B292" s="1" t="str">
        <f aca="false">OFFSET(Table22,291,14,1,1)&amp;OFFSET(Table22,291,22,1,1)</f>
        <v>43354Facebook»Developers/ITPros-Azure Direct-Sponsored Post_Trial_PayGo-Link Ad-FreeAcctRetargetingOSSFB-Text-ChF CanvasOpener»1x1»SocialBan»SOC»ALL»CPC»LAL»D»UNK»SS»NA»Trials_ID</v>
      </c>
      <c r="C292" s="1" t="s">
        <v>28</v>
      </c>
      <c r="D292" s="3" t="n">
        <f aca="false">O292+(7-WEEKDAY(O292))</f>
        <v>43358</v>
      </c>
      <c r="E292" s="1" t="str">
        <f aca="false">VLOOKUP(OFFSET(Table22,291,16,1,1),Key!B:D,2,0)</f>
        <v>France</v>
      </c>
      <c r="F292" s="1" t="str">
        <f aca="false">IF(ISNUMBER(SEARCH("Canvas",U292)),"Link",IF(ISNUMBER(SEARCH("Link",U292)),"Link","Not filled properly"))</f>
        <v>Link</v>
      </c>
      <c r="G292" s="1" t="str">
        <f aca="false">IFERROR(VLOOKUP(OFFSET(Table22,291,21,1,1),OFFSET(Table2,0,1,ROWS(Table2),8),2,0),VLOOKUP(OFFSET(Table22,291,22,1,1),Table2,3,0))</f>
        <v>FRA_gaPMG_AZR_AZR_Q1_19_AzureDirect-Trial-Social</v>
      </c>
      <c r="H292" s="1" t="n">
        <f aca="false">IFERROR(VLOOKUP(OFFSET(Table22,291,21,1,1),OFFSET(Table2,0,1,ROWS(Table2),8),3,0),VLOOKUP(OFFSET(Table22,291,22,1,1),Table2,4,0))</f>
        <v>21356941</v>
      </c>
      <c r="I292" s="2" t="n">
        <f aca="false">IFERROR(VLOOKUP(OFFSET(Table22,291,21,1,1),OFFSET(Table2,0,1,ROWS(Table2),8),4,0),VLOOKUP(OFFSET(Table22,291,22,1,1),Table2,5,0))</f>
        <v>720193</v>
      </c>
      <c r="J292" s="3" t="str">
        <f aca="false">IF(ISNUMBER(SEARCH("FACEBOOK",W292)),"Facebook",IF(ISNUMBER(SEARCH("INSTAGRAM",W292)),"Facebook-Instagram","Look at taxonomy"))</f>
        <v>Facebook</v>
      </c>
      <c r="K292" s="3" t="str">
        <f aca="false">IF(ISNUMBER(SEARCH("Facebook",J292)),"3654128","Not Facebook")</f>
        <v>3654128</v>
      </c>
      <c r="L292" s="3" t="str">
        <f aca="false">IFERROR(VLOOKUP(OFFSET(Table22,291,21,1,1),OFFSET(Table2,0,1,ROWS(Table2),8),7,0),VLOOKUP(OFFSET(Table22,291,22,1,1),Table2,8,0))</f>
        <v>AZR_FreeAcctRetargetingOSSFB-Text-ChF_FRA_1200x628_SOC_AZRDirect_French_NA_Facebook_SBAN_SINU_T1_1</v>
      </c>
      <c r="M292" s="2" t="n">
        <f aca="false">IFERROR(VLOOKUP(OFFSET(Table22,291,21,1,1),OFFSET(Table2,0,1,ROWS(Table2),8),8,0),VLOOKUP(OFFSET(Table22,291,22,1,1),Table2,9,0))</f>
        <v>103257810</v>
      </c>
      <c r="N292" s="15" t="s">
        <v>29</v>
      </c>
      <c r="O292" s="16" t="n">
        <v>43354</v>
      </c>
      <c r="P292" s="17" t="s">
        <v>102</v>
      </c>
      <c r="Q292" s="18" t="s">
        <v>103</v>
      </c>
      <c r="R292" s="17" t="s">
        <v>104</v>
      </c>
      <c r="S292" s="18" t="s">
        <v>33</v>
      </c>
      <c r="T292" s="17" t="s">
        <v>34</v>
      </c>
      <c r="U292" s="18" t="s">
        <v>39</v>
      </c>
      <c r="V292" s="19" t="n">
        <v>226359965</v>
      </c>
      <c r="W292" s="17" t="s">
        <v>108</v>
      </c>
      <c r="X292" s="17" t="n">
        <v>0</v>
      </c>
      <c r="Y292" s="17"/>
      <c r="Z292" s="17" t="n">
        <v>0</v>
      </c>
      <c r="AA292" s="17" t="s">
        <v>38</v>
      </c>
      <c r="AB292" s="17"/>
    </row>
    <row r="293" customFormat="false" ht="15" hidden="false" customHeight="false" outlineLevel="0" collapsed="false">
      <c r="A293" s="1" t="str">
        <f aca="false">OFFSET(Table22,292,14,1,1)&amp;OFFSET(Table22,292,21,1,1)</f>
        <v>43353226359965</v>
      </c>
      <c r="B293" s="1" t="str">
        <f aca="false">OFFSET(Table22,292,14,1,1)&amp;OFFSET(Table22,292,22,1,1)</f>
        <v>43353Facebook»Developers/ITPros-Azure Direct-Sponsored Post_Trial_PayGo-Link Ad-FreeAcctRetargetingOSSFB-Text-ChF CanvasOpener»1x1»SocialBan»SOC»ALL»CPC»LAL»D»UNK»SS»NA»Trials_ID</v>
      </c>
      <c r="C293" s="1" t="s">
        <v>28</v>
      </c>
      <c r="D293" s="3" t="n">
        <f aca="false">O293+(7-WEEKDAY(O293))</f>
        <v>43358</v>
      </c>
      <c r="E293" s="1" t="str">
        <f aca="false">VLOOKUP(OFFSET(Table22,292,16,1,1),Key!B:D,2,0)</f>
        <v>France</v>
      </c>
      <c r="F293" s="1" t="str">
        <f aca="false">IF(ISNUMBER(SEARCH("Canvas",U293)),"Link",IF(ISNUMBER(SEARCH("Link",U293)),"Link","Not filled properly"))</f>
        <v>Link</v>
      </c>
      <c r="G293" s="1" t="str">
        <f aca="false">IFERROR(VLOOKUP(OFFSET(Table22,292,21,1,1),OFFSET(Table2,0,1,ROWS(Table2),8),2,0),VLOOKUP(OFFSET(Table22,292,22,1,1),Table2,3,0))</f>
        <v>FRA_gaPMG_AZR_AZR_Q1_19_AzureDirect-Trial-Social</v>
      </c>
      <c r="H293" s="1" t="n">
        <f aca="false">IFERROR(VLOOKUP(OFFSET(Table22,292,21,1,1),OFFSET(Table2,0,1,ROWS(Table2),8),3,0),VLOOKUP(OFFSET(Table22,292,22,1,1),Table2,4,0))</f>
        <v>21356941</v>
      </c>
      <c r="I293" s="2" t="n">
        <f aca="false">IFERROR(VLOOKUP(OFFSET(Table22,292,21,1,1),OFFSET(Table2,0,1,ROWS(Table2),8),4,0),VLOOKUP(OFFSET(Table22,292,22,1,1),Table2,5,0))</f>
        <v>720193</v>
      </c>
      <c r="J293" s="3" t="str">
        <f aca="false">IF(ISNUMBER(SEARCH("FACEBOOK",W293)),"Facebook",IF(ISNUMBER(SEARCH("INSTAGRAM",W293)),"Facebook-Instagram","Look at taxonomy"))</f>
        <v>Facebook</v>
      </c>
      <c r="K293" s="3" t="str">
        <f aca="false">IF(ISNUMBER(SEARCH("Facebook",J293)),"3654128","Not Facebook")</f>
        <v>3654128</v>
      </c>
      <c r="L293" s="3" t="str">
        <f aca="false">IFERROR(VLOOKUP(OFFSET(Table22,292,21,1,1),OFFSET(Table2,0,1,ROWS(Table2),8),7,0),VLOOKUP(OFFSET(Table22,292,22,1,1),Table2,8,0))</f>
        <v>AZR_FreeAcctRetargetingOSSFB-Text-ChF_FRA_1200x628_SOC_AZRDirect_French_NA_Facebook_SBAN_SINU_T1_1</v>
      </c>
      <c r="M293" s="2" t="n">
        <f aca="false">IFERROR(VLOOKUP(OFFSET(Table22,292,21,1,1),OFFSET(Table2,0,1,ROWS(Table2),8),8,0),VLOOKUP(OFFSET(Table22,292,22,1,1),Table2,9,0))</f>
        <v>103257810</v>
      </c>
      <c r="N293" s="15" t="s">
        <v>29</v>
      </c>
      <c r="O293" s="16" t="n">
        <v>43353</v>
      </c>
      <c r="P293" s="17" t="s">
        <v>102</v>
      </c>
      <c r="Q293" s="18" t="s">
        <v>103</v>
      </c>
      <c r="R293" s="17" t="s">
        <v>104</v>
      </c>
      <c r="S293" s="18" t="s">
        <v>33</v>
      </c>
      <c r="T293" s="17" t="s">
        <v>34</v>
      </c>
      <c r="U293" s="18" t="s">
        <v>39</v>
      </c>
      <c r="V293" s="19" t="n">
        <v>226359965</v>
      </c>
      <c r="W293" s="17" t="s">
        <v>108</v>
      </c>
      <c r="X293" s="17" t="n">
        <v>0</v>
      </c>
      <c r="Y293" s="17"/>
      <c r="Z293" s="17" t="n">
        <v>0</v>
      </c>
      <c r="AA293" s="17" t="s">
        <v>38</v>
      </c>
      <c r="AB293" s="17"/>
    </row>
    <row r="294" customFormat="false" ht="15" hidden="false" customHeight="false" outlineLevel="0" collapsed="false">
      <c r="A294" s="1" t="str">
        <f aca="false">OFFSET(Table22,293,14,1,1)&amp;OFFSET(Table22,293,21,1,1)</f>
        <v>43352226359965</v>
      </c>
      <c r="B294" s="1" t="str">
        <f aca="false">OFFSET(Table22,293,14,1,1)&amp;OFFSET(Table22,293,22,1,1)</f>
        <v>43352Facebook»Developers/ITPros-Azure Direct-Sponsored Post_Trial_PayGo-Link Ad-FreeAcctRetargetingOSSFB-Text-ChF CanvasOpener»1x1»SocialBan»SOC»ALL»CPC»LAL»D»UNK»SS»NA»Trials_ID</v>
      </c>
      <c r="C294" s="1" t="s">
        <v>28</v>
      </c>
      <c r="D294" s="3" t="n">
        <f aca="false">O294+(7-WEEKDAY(O294))</f>
        <v>43358</v>
      </c>
      <c r="E294" s="1" t="str">
        <f aca="false">VLOOKUP(OFFSET(Table22,293,16,1,1),Key!B:D,2,0)</f>
        <v>France</v>
      </c>
      <c r="F294" s="1" t="str">
        <f aca="false">IF(ISNUMBER(SEARCH("Canvas",U294)),"Link",IF(ISNUMBER(SEARCH("Link",U294)),"Link","Not filled properly"))</f>
        <v>Link</v>
      </c>
      <c r="G294" s="1" t="str">
        <f aca="false">IFERROR(VLOOKUP(OFFSET(Table22,293,21,1,1),OFFSET(Table2,0,1,ROWS(Table2),8),2,0),VLOOKUP(OFFSET(Table22,293,22,1,1),Table2,3,0))</f>
        <v>FRA_gaPMG_AZR_AZR_Q1_19_AzureDirect-Trial-Social</v>
      </c>
      <c r="H294" s="1" t="n">
        <f aca="false">IFERROR(VLOOKUP(OFFSET(Table22,293,21,1,1),OFFSET(Table2,0,1,ROWS(Table2),8),3,0),VLOOKUP(OFFSET(Table22,293,22,1,1),Table2,4,0))</f>
        <v>21356941</v>
      </c>
      <c r="I294" s="2" t="n">
        <f aca="false">IFERROR(VLOOKUP(OFFSET(Table22,293,21,1,1),OFFSET(Table2,0,1,ROWS(Table2),8),4,0),VLOOKUP(OFFSET(Table22,293,22,1,1),Table2,5,0))</f>
        <v>720193</v>
      </c>
      <c r="J294" s="3" t="str">
        <f aca="false">IF(ISNUMBER(SEARCH("FACEBOOK",W294)),"Facebook",IF(ISNUMBER(SEARCH("INSTAGRAM",W294)),"Facebook-Instagram","Look at taxonomy"))</f>
        <v>Facebook</v>
      </c>
      <c r="K294" s="3" t="str">
        <f aca="false">IF(ISNUMBER(SEARCH("Facebook",J294)),"3654128","Not Facebook")</f>
        <v>3654128</v>
      </c>
      <c r="L294" s="3" t="str">
        <f aca="false">IFERROR(VLOOKUP(OFFSET(Table22,293,21,1,1),OFFSET(Table2,0,1,ROWS(Table2),8),7,0),VLOOKUP(OFFSET(Table22,293,22,1,1),Table2,8,0))</f>
        <v>AZR_FreeAcctRetargetingOSSFB-Text-ChF_FRA_1200x628_SOC_AZRDirect_French_NA_Facebook_SBAN_SINU_T1_1</v>
      </c>
      <c r="M294" s="2" t="n">
        <f aca="false">IFERROR(VLOOKUP(OFFSET(Table22,293,21,1,1),OFFSET(Table2,0,1,ROWS(Table2),8),8,0),VLOOKUP(OFFSET(Table22,293,22,1,1),Table2,9,0))</f>
        <v>103257810</v>
      </c>
      <c r="N294" s="15" t="s">
        <v>29</v>
      </c>
      <c r="O294" s="16" t="n">
        <v>43352</v>
      </c>
      <c r="P294" s="17" t="s">
        <v>102</v>
      </c>
      <c r="Q294" s="18" t="s">
        <v>103</v>
      </c>
      <c r="R294" s="17" t="s">
        <v>104</v>
      </c>
      <c r="S294" s="18" t="s">
        <v>33</v>
      </c>
      <c r="T294" s="17" t="s">
        <v>34</v>
      </c>
      <c r="U294" s="18" t="s">
        <v>39</v>
      </c>
      <c r="V294" s="19" t="n">
        <v>226359965</v>
      </c>
      <c r="W294" s="17" t="s">
        <v>108</v>
      </c>
      <c r="X294" s="17" t="n">
        <v>0</v>
      </c>
      <c r="Y294" s="17"/>
      <c r="Z294" s="17" t="n">
        <v>0</v>
      </c>
      <c r="AA294" s="17" t="s">
        <v>38</v>
      </c>
      <c r="AB294" s="17"/>
    </row>
    <row r="295" customFormat="false" ht="15" hidden="false" customHeight="false" outlineLevel="0" collapsed="false">
      <c r="A295" s="1" t="str">
        <f aca="false">OFFSET(Table22,294,14,1,1)&amp;OFFSET(Table22,294,21,1,1)</f>
        <v>43358226359962</v>
      </c>
      <c r="B295" s="1" t="str">
        <f aca="false">OFFSET(Table22,294,14,1,1)&amp;OFFSET(Table22,294,22,1,1)</f>
        <v>43358Facebook»Developers/ITPros-Azure Direct-Sponsored Post_Trial_PayGo-Link Ad-FreeAcctRetargetingVMFB-750Hrs-ChD CanvasOpener»1x1»SocialBan»SOC»ALL»CPC»LAL»D»UNK»SS»NA»Trials_ID</v>
      </c>
      <c r="C295" s="1" t="s">
        <v>28</v>
      </c>
      <c r="D295" s="3" t="n">
        <f aca="false">O295+(7-WEEKDAY(O295))</f>
        <v>43358</v>
      </c>
      <c r="E295" s="1" t="str">
        <f aca="false">VLOOKUP(OFFSET(Table22,294,16,1,1),Key!B:D,2,0)</f>
        <v>France</v>
      </c>
      <c r="F295" s="1" t="str">
        <f aca="false">IF(ISNUMBER(SEARCH("Canvas",U295)),"Link",IF(ISNUMBER(SEARCH("Link",U295)),"Link","Not filled properly"))</f>
        <v>Link</v>
      </c>
      <c r="G295" s="1" t="str">
        <f aca="false">IFERROR(VLOOKUP(OFFSET(Table22,294,21,1,1),OFFSET(Table2,0,1,ROWS(Table2),8),2,0),VLOOKUP(OFFSET(Table22,294,22,1,1),Table2,3,0))</f>
        <v>FRA_gaPMG_AZR_AZR_Q1_19_AzureDirect-Trial-Social</v>
      </c>
      <c r="H295" s="1" t="n">
        <f aca="false">IFERROR(VLOOKUP(OFFSET(Table22,294,21,1,1),OFFSET(Table2,0,1,ROWS(Table2),8),3,0),VLOOKUP(OFFSET(Table22,294,22,1,1),Table2,4,0))</f>
        <v>21356941</v>
      </c>
      <c r="I295" s="2" t="n">
        <f aca="false">IFERROR(VLOOKUP(OFFSET(Table22,294,21,1,1),OFFSET(Table2,0,1,ROWS(Table2),8),4,0),VLOOKUP(OFFSET(Table22,294,22,1,1),Table2,5,0))</f>
        <v>720193</v>
      </c>
      <c r="J295" s="3" t="str">
        <f aca="false">IF(ISNUMBER(SEARCH("FACEBOOK",W295)),"Facebook",IF(ISNUMBER(SEARCH("INSTAGRAM",W295)),"Facebook-Instagram","Look at taxonomy"))</f>
        <v>Facebook</v>
      </c>
      <c r="K295" s="3" t="str">
        <f aca="false">IF(ISNUMBER(SEARCH("Facebook",J295)),"3654128","Not Facebook")</f>
        <v>3654128</v>
      </c>
      <c r="L295" s="3" t="str">
        <f aca="false">IFERROR(VLOOKUP(OFFSET(Table22,294,21,1,1),OFFSET(Table2,0,1,ROWS(Table2),8),7,0),VLOOKUP(OFFSET(Table22,294,22,1,1),Table2,8,0))</f>
        <v>AZR_FreeAcctRetargetingVMFB-750Hrs-ChD_FRA_1200x628_SOC_AZRDirect_French_NA_Facebook_SBAN_SINU_T1_1</v>
      </c>
      <c r="M295" s="2" t="n">
        <f aca="false">IFERROR(VLOOKUP(OFFSET(Table22,294,21,1,1),OFFSET(Table2,0,1,ROWS(Table2),8),8,0),VLOOKUP(OFFSET(Table22,294,22,1,1),Table2,9,0))</f>
        <v>103259010</v>
      </c>
      <c r="N295" s="15" t="s">
        <v>29</v>
      </c>
      <c r="O295" s="16" t="n">
        <v>43358</v>
      </c>
      <c r="P295" s="17" t="s">
        <v>102</v>
      </c>
      <c r="Q295" s="18" t="s">
        <v>103</v>
      </c>
      <c r="R295" s="17" t="s">
        <v>104</v>
      </c>
      <c r="S295" s="18" t="s">
        <v>33</v>
      </c>
      <c r="T295" s="17" t="s">
        <v>34</v>
      </c>
      <c r="U295" s="18" t="s">
        <v>39</v>
      </c>
      <c r="V295" s="19" t="n">
        <v>226359962</v>
      </c>
      <c r="W295" s="17" t="s">
        <v>109</v>
      </c>
      <c r="X295" s="17" t="n">
        <v>0</v>
      </c>
      <c r="Y295" s="17"/>
      <c r="Z295" s="17" t="n">
        <v>0</v>
      </c>
      <c r="AA295" s="17" t="s">
        <v>38</v>
      </c>
      <c r="AB295" s="17"/>
    </row>
    <row r="296" customFormat="false" ht="15" hidden="false" customHeight="false" outlineLevel="0" collapsed="false">
      <c r="A296" s="1" t="str">
        <f aca="false">OFFSET(Table22,295,14,1,1)&amp;OFFSET(Table22,295,21,1,1)</f>
        <v>43357226359962</v>
      </c>
      <c r="B296" s="1" t="str">
        <f aca="false">OFFSET(Table22,295,14,1,1)&amp;OFFSET(Table22,295,22,1,1)</f>
        <v>43357Facebook»Developers/ITPros-Azure Direct-Sponsored Post_Trial_PayGo-Link Ad-FreeAcctRetargetingVMFB-750Hrs-ChD CanvasOpener»1x1»SocialBan»SOC»ALL»CPC»LAL»D»UNK»SS»NA»Trials_ID</v>
      </c>
      <c r="C296" s="1" t="s">
        <v>28</v>
      </c>
      <c r="D296" s="3" t="n">
        <f aca="false">O296+(7-WEEKDAY(O296))</f>
        <v>43358</v>
      </c>
      <c r="E296" s="1" t="str">
        <f aca="false">VLOOKUP(OFFSET(Table22,295,16,1,1),Key!B:D,2,0)</f>
        <v>France</v>
      </c>
      <c r="F296" s="1" t="str">
        <f aca="false">IF(ISNUMBER(SEARCH("Canvas",U296)),"Link",IF(ISNUMBER(SEARCH("Link",U296)),"Link","Not filled properly"))</f>
        <v>Link</v>
      </c>
      <c r="G296" s="1" t="str">
        <f aca="false">IFERROR(VLOOKUP(OFFSET(Table22,295,21,1,1),OFFSET(Table2,0,1,ROWS(Table2),8),2,0),VLOOKUP(OFFSET(Table22,295,22,1,1),Table2,3,0))</f>
        <v>FRA_gaPMG_AZR_AZR_Q1_19_AzureDirect-Trial-Social</v>
      </c>
      <c r="H296" s="1" t="n">
        <f aca="false">IFERROR(VLOOKUP(OFFSET(Table22,295,21,1,1),OFFSET(Table2,0,1,ROWS(Table2),8),3,0),VLOOKUP(OFFSET(Table22,295,22,1,1),Table2,4,0))</f>
        <v>21356941</v>
      </c>
      <c r="I296" s="2" t="n">
        <f aca="false">IFERROR(VLOOKUP(OFFSET(Table22,295,21,1,1),OFFSET(Table2,0,1,ROWS(Table2),8),4,0),VLOOKUP(OFFSET(Table22,295,22,1,1),Table2,5,0))</f>
        <v>720193</v>
      </c>
      <c r="J296" s="3" t="str">
        <f aca="false">IF(ISNUMBER(SEARCH("FACEBOOK",W296)),"Facebook",IF(ISNUMBER(SEARCH("INSTAGRAM",W296)),"Facebook-Instagram","Look at taxonomy"))</f>
        <v>Facebook</v>
      </c>
      <c r="K296" s="3" t="str">
        <f aca="false">IF(ISNUMBER(SEARCH("Facebook",J296)),"3654128","Not Facebook")</f>
        <v>3654128</v>
      </c>
      <c r="L296" s="3" t="str">
        <f aca="false">IFERROR(VLOOKUP(OFFSET(Table22,295,21,1,1),OFFSET(Table2,0,1,ROWS(Table2),8),7,0),VLOOKUP(OFFSET(Table22,295,22,1,1),Table2,8,0))</f>
        <v>AZR_FreeAcctRetargetingVMFB-750Hrs-ChD_FRA_1200x628_SOC_AZRDirect_French_NA_Facebook_SBAN_SINU_T1_1</v>
      </c>
      <c r="M296" s="2" t="n">
        <f aca="false">IFERROR(VLOOKUP(OFFSET(Table22,295,21,1,1),OFFSET(Table2,0,1,ROWS(Table2),8),8,0),VLOOKUP(OFFSET(Table22,295,22,1,1),Table2,9,0))</f>
        <v>103259010</v>
      </c>
      <c r="N296" s="15" t="s">
        <v>29</v>
      </c>
      <c r="O296" s="16" t="n">
        <v>43357</v>
      </c>
      <c r="P296" s="17" t="s">
        <v>102</v>
      </c>
      <c r="Q296" s="18" t="s">
        <v>103</v>
      </c>
      <c r="R296" s="17" t="s">
        <v>104</v>
      </c>
      <c r="S296" s="18" t="s">
        <v>33</v>
      </c>
      <c r="T296" s="17" t="s">
        <v>34</v>
      </c>
      <c r="U296" s="18" t="s">
        <v>39</v>
      </c>
      <c r="V296" s="19" t="n">
        <v>226359962</v>
      </c>
      <c r="W296" s="17" t="s">
        <v>109</v>
      </c>
      <c r="X296" s="17" t="n">
        <v>0</v>
      </c>
      <c r="Y296" s="17"/>
      <c r="Z296" s="17" t="n">
        <v>0</v>
      </c>
      <c r="AA296" s="17" t="s">
        <v>38</v>
      </c>
      <c r="AB296" s="17"/>
    </row>
    <row r="297" customFormat="false" ht="15" hidden="false" customHeight="false" outlineLevel="0" collapsed="false">
      <c r="A297" s="1" t="str">
        <f aca="false">OFFSET(Table22,296,14,1,1)&amp;OFFSET(Table22,296,21,1,1)</f>
        <v>43356226359962</v>
      </c>
      <c r="B297" s="1" t="str">
        <f aca="false">OFFSET(Table22,296,14,1,1)&amp;OFFSET(Table22,296,22,1,1)</f>
        <v>43356Facebook»Developers/ITPros-Azure Direct-Sponsored Post_Trial_PayGo-Link Ad-FreeAcctRetargetingVMFB-750Hrs-ChD CanvasOpener»1x1»SocialBan»SOC»ALL»CPC»LAL»D»UNK»SS»NA»Trials_ID</v>
      </c>
      <c r="C297" s="1" t="s">
        <v>28</v>
      </c>
      <c r="D297" s="3" t="n">
        <f aca="false">O297+(7-WEEKDAY(O297))</f>
        <v>43358</v>
      </c>
      <c r="E297" s="1" t="str">
        <f aca="false">VLOOKUP(OFFSET(Table22,296,16,1,1),Key!B:D,2,0)</f>
        <v>France</v>
      </c>
      <c r="F297" s="1" t="str">
        <f aca="false">IF(ISNUMBER(SEARCH("Canvas",U297)),"Link",IF(ISNUMBER(SEARCH("Link",U297)),"Link","Not filled properly"))</f>
        <v>Link</v>
      </c>
      <c r="G297" s="1" t="str">
        <f aca="false">IFERROR(VLOOKUP(OFFSET(Table22,296,21,1,1),OFFSET(Table2,0,1,ROWS(Table2),8),2,0),VLOOKUP(OFFSET(Table22,296,22,1,1),Table2,3,0))</f>
        <v>FRA_gaPMG_AZR_AZR_Q1_19_AzureDirect-Trial-Social</v>
      </c>
      <c r="H297" s="1" t="n">
        <f aca="false">IFERROR(VLOOKUP(OFFSET(Table22,296,21,1,1),OFFSET(Table2,0,1,ROWS(Table2),8),3,0),VLOOKUP(OFFSET(Table22,296,22,1,1),Table2,4,0))</f>
        <v>21356941</v>
      </c>
      <c r="I297" s="2" t="n">
        <f aca="false">IFERROR(VLOOKUP(OFFSET(Table22,296,21,1,1),OFFSET(Table2,0,1,ROWS(Table2),8),4,0),VLOOKUP(OFFSET(Table22,296,22,1,1),Table2,5,0))</f>
        <v>720193</v>
      </c>
      <c r="J297" s="3" t="str">
        <f aca="false">IF(ISNUMBER(SEARCH("FACEBOOK",W297)),"Facebook",IF(ISNUMBER(SEARCH("INSTAGRAM",W297)),"Facebook-Instagram","Look at taxonomy"))</f>
        <v>Facebook</v>
      </c>
      <c r="K297" s="3" t="str">
        <f aca="false">IF(ISNUMBER(SEARCH("Facebook",J297)),"3654128","Not Facebook")</f>
        <v>3654128</v>
      </c>
      <c r="L297" s="3" t="str">
        <f aca="false">IFERROR(VLOOKUP(OFFSET(Table22,296,21,1,1),OFFSET(Table2,0,1,ROWS(Table2),8),7,0),VLOOKUP(OFFSET(Table22,296,22,1,1),Table2,8,0))</f>
        <v>AZR_FreeAcctRetargetingVMFB-750Hrs-ChD_FRA_1200x628_SOC_AZRDirect_French_NA_Facebook_SBAN_SINU_T1_1</v>
      </c>
      <c r="M297" s="2" t="n">
        <f aca="false">IFERROR(VLOOKUP(OFFSET(Table22,296,21,1,1),OFFSET(Table2,0,1,ROWS(Table2),8),8,0),VLOOKUP(OFFSET(Table22,296,22,1,1),Table2,9,0))</f>
        <v>103259010</v>
      </c>
      <c r="N297" s="15" t="s">
        <v>29</v>
      </c>
      <c r="O297" s="16" t="n">
        <v>43356</v>
      </c>
      <c r="P297" s="17" t="s">
        <v>102</v>
      </c>
      <c r="Q297" s="18" t="s">
        <v>103</v>
      </c>
      <c r="R297" s="17" t="s">
        <v>104</v>
      </c>
      <c r="S297" s="18" t="s">
        <v>33</v>
      </c>
      <c r="T297" s="17" t="s">
        <v>34</v>
      </c>
      <c r="U297" s="18" t="s">
        <v>39</v>
      </c>
      <c r="V297" s="19" t="n">
        <v>226359962</v>
      </c>
      <c r="W297" s="17" t="s">
        <v>109</v>
      </c>
      <c r="X297" s="17" t="n">
        <v>0</v>
      </c>
      <c r="Y297" s="17"/>
      <c r="Z297" s="17" t="n">
        <v>0</v>
      </c>
      <c r="AA297" s="17" t="s">
        <v>38</v>
      </c>
      <c r="AB297" s="17"/>
    </row>
    <row r="298" customFormat="false" ht="15" hidden="false" customHeight="false" outlineLevel="0" collapsed="false">
      <c r="A298" s="1" t="str">
        <f aca="false">OFFSET(Table22,297,14,1,1)&amp;OFFSET(Table22,297,21,1,1)</f>
        <v>43355226359962</v>
      </c>
      <c r="B298" s="1" t="str">
        <f aca="false">OFFSET(Table22,297,14,1,1)&amp;OFFSET(Table22,297,22,1,1)</f>
        <v>43355Facebook»Developers/ITPros-Azure Direct-Sponsored Post_Trial_PayGo-Link Ad-FreeAcctRetargetingVMFB-750Hrs-ChD CanvasOpener»1x1»SocialBan»SOC»ALL»CPC»LAL»D»UNK»SS»NA»Trials_ID</v>
      </c>
      <c r="C298" s="1" t="s">
        <v>28</v>
      </c>
      <c r="D298" s="3" t="n">
        <f aca="false">O298+(7-WEEKDAY(O298))</f>
        <v>43358</v>
      </c>
      <c r="E298" s="1" t="str">
        <f aca="false">VLOOKUP(OFFSET(Table22,297,16,1,1),Key!B:D,2,0)</f>
        <v>France</v>
      </c>
      <c r="F298" s="1" t="str">
        <f aca="false">IF(ISNUMBER(SEARCH("Canvas",U298)),"Link",IF(ISNUMBER(SEARCH("Link",U298)),"Link","Not filled properly"))</f>
        <v>Link</v>
      </c>
      <c r="G298" s="1" t="str">
        <f aca="false">IFERROR(VLOOKUP(OFFSET(Table22,297,21,1,1),OFFSET(Table2,0,1,ROWS(Table2),8),2,0),VLOOKUP(OFFSET(Table22,297,22,1,1),Table2,3,0))</f>
        <v>FRA_gaPMG_AZR_AZR_Q1_19_AzureDirect-Trial-Social</v>
      </c>
      <c r="H298" s="1" t="n">
        <f aca="false">IFERROR(VLOOKUP(OFFSET(Table22,297,21,1,1),OFFSET(Table2,0,1,ROWS(Table2),8),3,0),VLOOKUP(OFFSET(Table22,297,22,1,1),Table2,4,0))</f>
        <v>21356941</v>
      </c>
      <c r="I298" s="2" t="n">
        <f aca="false">IFERROR(VLOOKUP(OFFSET(Table22,297,21,1,1),OFFSET(Table2,0,1,ROWS(Table2),8),4,0),VLOOKUP(OFFSET(Table22,297,22,1,1),Table2,5,0))</f>
        <v>720193</v>
      </c>
      <c r="J298" s="3" t="str">
        <f aca="false">IF(ISNUMBER(SEARCH("FACEBOOK",W298)),"Facebook",IF(ISNUMBER(SEARCH("INSTAGRAM",W298)),"Facebook-Instagram","Look at taxonomy"))</f>
        <v>Facebook</v>
      </c>
      <c r="K298" s="3" t="str">
        <f aca="false">IF(ISNUMBER(SEARCH("Facebook",J298)),"3654128","Not Facebook")</f>
        <v>3654128</v>
      </c>
      <c r="L298" s="3" t="str">
        <f aca="false">IFERROR(VLOOKUP(OFFSET(Table22,297,21,1,1),OFFSET(Table2,0,1,ROWS(Table2),8),7,0),VLOOKUP(OFFSET(Table22,297,22,1,1),Table2,8,0))</f>
        <v>AZR_FreeAcctRetargetingVMFB-750Hrs-ChD_FRA_1200x628_SOC_AZRDirect_French_NA_Facebook_SBAN_SINU_T1_1</v>
      </c>
      <c r="M298" s="2" t="n">
        <f aca="false">IFERROR(VLOOKUP(OFFSET(Table22,297,21,1,1),OFFSET(Table2,0,1,ROWS(Table2),8),8,0),VLOOKUP(OFFSET(Table22,297,22,1,1),Table2,9,0))</f>
        <v>103259010</v>
      </c>
      <c r="N298" s="15" t="s">
        <v>29</v>
      </c>
      <c r="O298" s="16" t="n">
        <v>43355</v>
      </c>
      <c r="P298" s="17" t="s">
        <v>102</v>
      </c>
      <c r="Q298" s="18" t="s">
        <v>103</v>
      </c>
      <c r="R298" s="17" t="s">
        <v>104</v>
      </c>
      <c r="S298" s="18" t="s">
        <v>33</v>
      </c>
      <c r="T298" s="17" t="s">
        <v>34</v>
      </c>
      <c r="U298" s="18" t="s">
        <v>39</v>
      </c>
      <c r="V298" s="19" t="n">
        <v>226359962</v>
      </c>
      <c r="W298" s="17" t="s">
        <v>109</v>
      </c>
      <c r="X298" s="17" t="n">
        <v>0</v>
      </c>
      <c r="Y298" s="17"/>
      <c r="Z298" s="17" t="n">
        <v>0</v>
      </c>
      <c r="AA298" s="17" t="s">
        <v>38</v>
      </c>
      <c r="AB298" s="17"/>
    </row>
    <row r="299" customFormat="false" ht="15" hidden="false" customHeight="false" outlineLevel="0" collapsed="false">
      <c r="A299" s="1" t="str">
        <f aca="false">OFFSET(Table22,298,14,1,1)&amp;OFFSET(Table22,298,21,1,1)</f>
        <v>43354226359962</v>
      </c>
      <c r="B299" s="1" t="str">
        <f aca="false">OFFSET(Table22,298,14,1,1)&amp;OFFSET(Table22,298,22,1,1)</f>
        <v>43354Facebook»Developers/ITPros-Azure Direct-Sponsored Post_Trial_PayGo-Link Ad-FreeAcctRetargetingVMFB-750Hrs-ChD CanvasOpener»1x1»SocialBan»SOC»ALL»CPC»LAL»D»UNK»SS»NA»Trials_ID</v>
      </c>
      <c r="C299" s="1" t="s">
        <v>28</v>
      </c>
      <c r="D299" s="3" t="n">
        <f aca="false">O299+(7-WEEKDAY(O299))</f>
        <v>43358</v>
      </c>
      <c r="E299" s="1" t="str">
        <f aca="false">VLOOKUP(OFFSET(Table22,298,16,1,1),Key!B:D,2,0)</f>
        <v>France</v>
      </c>
      <c r="F299" s="1" t="str">
        <f aca="false">IF(ISNUMBER(SEARCH("Canvas",U299)),"Link",IF(ISNUMBER(SEARCH("Link",U299)),"Link","Not filled properly"))</f>
        <v>Link</v>
      </c>
      <c r="G299" s="1" t="str">
        <f aca="false">IFERROR(VLOOKUP(OFFSET(Table22,298,21,1,1),OFFSET(Table2,0,1,ROWS(Table2),8),2,0),VLOOKUP(OFFSET(Table22,298,22,1,1),Table2,3,0))</f>
        <v>FRA_gaPMG_AZR_AZR_Q1_19_AzureDirect-Trial-Social</v>
      </c>
      <c r="H299" s="1" t="n">
        <f aca="false">IFERROR(VLOOKUP(OFFSET(Table22,298,21,1,1),OFFSET(Table2,0,1,ROWS(Table2),8),3,0),VLOOKUP(OFFSET(Table22,298,22,1,1),Table2,4,0))</f>
        <v>21356941</v>
      </c>
      <c r="I299" s="2" t="n">
        <f aca="false">IFERROR(VLOOKUP(OFFSET(Table22,298,21,1,1),OFFSET(Table2,0,1,ROWS(Table2),8),4,0),VLOOKUP(OFFSET(Table22,298,22,1,1),Table2,5,0))</f>
        <v>720193</v>
      </c>
      <c r="J299" s="3" t="str">
        <f aca="false">IF(ISNUMBER(SEARCH("FACEBOOK",W299)),"Facebook",IF(ISNUMBER(SEARCH("INSTAGRAM",W299)),"Facebook-Instagram","Look at taxonomy"))</f>
        <v>Facebook</v>
      </c>
      <c r="K299" s="3" t="str">
        <f aca="false">IF(ISNUMBER(SEARCH("Facebook",J299)),"3654128","Not Facebook")</f>
        <v>3654128</v>
      </c>
      <c r="L299" s="3" t="str">
        <f aca="false">IFERROR(VLOOKUP(OFFSET(Table22,298,21,1,1),OFFSET(Table2,0,1,ROWS(Table2),8),7,0),VLOOKUP(OFFSET(Table22,298,22,1,1),Table2,8,0))</f>
        <v>AZR_FreeAcctRetargetingVMFB-750Hrs-ChD_FRA_1200x628_SOC_AZRDirect_French_NA_Facebook_SBAN_SINU_T1_1</v>
      </c>
      <c r="M299" s="2" t="n">
        <f aca="false">IFERROR(VLOOKUP(OFFSET(Table22,298,21,1,1),OFFSET(Table2,0,1,ROWS(Table2),8),8,0),VLOOKUP(OFFSET(Table22,298,22,1,1),Table2,9,0))</f>
        <v>103259010</v>
      </c>
      <c r="N299" s="15" t="s">
        <v>29</v>
      </c>
      <c r="O299" s="16" t="n">
        <v>43354</v>
      </c>
      <c r="P299" s="17" t="s">
        <v>102</v>
      </c>
      <c r="Q299" s="18" t="s">
        <v>103</v>
      </c>
      <c r="R299" s="17" t="s">
        <v>104</v>
      </c>
      <c r="S299" s="18" t="s">
        <v>33</v>
      </c>
      <c r="T299" s="17" t="s">
        <v>34</v>
      </c>
      <c r="U299" s="18" t="s">
        <v>39</v>
      </c>
      <c r="V299" s="19" t="n">
        <v>226359962</v>
      </c>
      <c r="W299" s="17" t="s">
        <v>109</v>
      </c>
      <c r="X299" s="17" t="n">
        <v>0</v>
      </c>
      <c r="Y299" s="17"/>
      <c r="Z299" s="17" t="n">
        <v>0</v>
      </c>
      <c r="AA299" s="17" t="s">
        <v>38</v>
      </c>
      <c r="AB299" s="17"/>
    </row>
    <row r="300" customFormat="false" ht="15" hidden="false" customHeight="false" outlineLevel="0" collapsed="false">
      <c r="A300" s="1" t="str">
        <f aca="false">OFFSET(Table22,299,14,1,1)&amp;OFFSET(Table22,299,21,1,1)</f>
        <v>43353226359962</v>
      </c>
      <c r="B300" s="1" t="str">
        <f aca="false">OFFSET(Table22,299,14,1,1)&amp;OFFSET(Table22,299,22,1,1)</f>
        <v>43353Facebook»Developers/ITPros-Azure Direct-Sponsored Post_Trial_PayGo-Link Ad-FreeAcctRetargetingVMFB-750Hrs-ChD CanvasOpener»1x1»SocialBan»SOC»ALL»CPC»LAL»D»UNK»SS»NA»Trials_ID</v>
      </c>
      <c r="C300" s="1" t="s">
        <v>28</v>
      </c>
      <c r="D300" s="3" t="n">
        <f aca="false">O300+(7-WEEKDAY(O300))</f>
        <v>43358</v>
      </c>
      <c r="E300" s="1" t="str">
        <f aca="false">VLOOKUP(OFFSET(Table22,299,16,1,1),Key!B:D,2,0)</f>
        <v>France</v>
      </c>
      <c r="F300" s="1" t="str">
        <f aca="false">IF(ISNUMBER(SEARCH("Canvas",U300)),"Link",IF(ISNUMBER(SEARCH("Link",U300)),"Link","Not filled properly"))</f>
        <v>Link</v>
      </c>
      <c r="G300" s="1" t="str">
        <f aca="false">IFERROR(VLOOKUP(OFFSET(Table22,299,21,1,1),OFFSET(Table2,0,1,ROWS(Table2),8),2,0),VLOOKUP(OFFSET(Table22,299,22,1,1),Table2,3,0))</f>
        <v>FRA_gaPMG_AZR_AZR_Q1_19_AzureDirect-Trial-Social</v>
      </c>
      <c r="H300" s="1" t="n">
        <f aca="false">IFERROR(VLOOKUP(OFFSET(Table22,299,21,1,1),OFFSET(Table2,0,1,ROWS(Table2),8),3,0),VLOOKUP(OFFSET(Table22,299,22,1,1),Table2,4,0))</f>
        <v>21356941</v>
      </c>
      <c r="I300" s="2" t="n">
        <f aca="false">IFERROR(VLOOKUP(OFFSET(Table22,299,21,1,1),OFFSET(Table2,0,1,ROWS(Table2),8),4,0),VLOOKUP(OFFSET(Table22,299,22,1,1),Table2,5,0))</f>
        <v>720193</v>
      </c>
      <c r="J300" s="3" t="str">
        <f aca="false">IF(ISNUMBER(SEARCH("FACEBOOK",W300)),"Facebook",IF(ISNUMBER(SEARCH("INSTAGRAM",W300)),"Facebook-Instagram","Look at taxonomy"))</f>
        <v>Facebook</v>
      </c>
      <c r="K300" s="3" t="str">
        <f aca="false">IF(ISNUMBER(SEARCH("Facebook",J300)),"3654128","Not Facebook")</f>
        <v>3654128</v>
      </c>
      <c r="L300" s="3" t="str">
        <f aca="false">IFERROR(VLOOKUP(OFFSET(Table22,299,21,1,1),OFFSET(Table2,0,1,ROWS(Table2),8),7,0),VLOOKUP(OFFSET(Table22,299,22,1,1),Table2,8,0))</f>
        <v>AZR_FreeAcctRetargetingVMFB-750Hrs-ChD_FRA_1200x628_SOC_AZRDirect_French_NA_Facebook_SBAN_SINU_T1_1</v>
      </c>
      <c r="M300" s="2" t="n">
        <f aca="false">IFERROR(VLOOKUP(OFFSET(Table22,299,21,1,1),OFFSET(Table2,0,1,ROWS(Table2),8),8,0),VLOOKUP(OFFSET(Table22,299,22,1,1),Table2,9,0))</f>
        <v>103259010</v>
      </c>
      <c r="N300" s="15" t="s">
        <v>29</v>
      </c>
      <c r="O300" s="16" t="n">
        <v>43353</v>
      </c>
      <c r="P300" s="17" t="s">
        <v>102</v>
      </c>
      <c r="Q300" s="18" t="s">
        <v>103</v>
      </c>
      <c r="R300" s="17" t="s">
        <v>104</v>
      </c>
      <c r="S300" s="18" t="s">
        <v>33</v>
      </c>
      <c r="T300" s="17" t="s">
        <v>34</v>
      </c>
      <c r="U300" s="18" t="s">
        <v>39</v>
      </c>
      <c r="V300" s="19" t="n">
        <v>226359962</v>
      </c>
      <c r="W300" s="17" t="s">
        <v>109</v>
      </c>
      <c r="X300" s="17" t="n">
        <v>0</v>
      </c>
      <c r="Y300" s="17"/>
      <c r="Z300" s="17" t="n">
        <v>0</v>
      </c>
      <c r="AA300" s="17" t="s">
        <v>38</v>
      </c>
      <c r="AB300" s="17"/>
    </row>
    <row r="301" customFormat="false" ht="15" hidden="false" customHeight="false" outlineLevel="0" collapsed="false">
      <c r="A301" s="1" t="str">
        <f aca="false">OFFSET(Table22,300,14,1,1)&amp;OFFSET(Table22,300,21,1,1)</f>
        <v>43352226359962</v>
      </c>
      <c r="B301" s="1" t="str">
        <f aca="false">OFFSET(Table22,300,14,1,1)&amp;OFFSET(Table22,300,22,1,1)</f>
        <v>43352Facebook»Developers/ITPros-Azure Direct-Sponsored Post_Trial_PayGo-Link Ad-FreeAcctRetargetingVMFB-750Hrs-ChD CanvasOpener»1x1»SocialBan»SOC»ALL»CPC»LAL»D»UNK»SS»NA»Trials_ID</v>
      </c>
      <c r="C301" s="1" t="s">
        <v>28</v>
      </c>
      <c r="D301" s="3" t="n">
        <f aca="false">O301+(7-WEEKDAY(O301))</f>
        <v>43358</v>
      </c>
      <c r="E301" s="1" t="str">
        <f aca="false">VLOOKUP(OFFSET(Table22,300,16,1,1),Key!B:D,2,0)</f>
        <v>France</v>
      </c>
      <c r="F301" s="1" t="str">
        <f aca="false">IF(ISNUMBER(SEARCH("Canvas",U301)),"Link",IF(ISNUMBER(SEARCH("Link",U301)),"Link","Not filled properly"))</f>
        <v>Link</v>
      </c>
      <c r="G301" s="1" t="str">
        <f aca="false">IFERROR(VLOOKUP(OFFSET(Table22,300,21,1,1),OFFSET(Table2,0,1,ROWS(Table2),8),2,0),VLOOKUP(OFFSET(Table22,300,22,1,1),Table2,3,0))</f>
        <v>FRA_gaPMG_AZR_AZR_Q1_19_AzureDirect-Trial-Social</v>
      </c>
      <c r="H301" s="1" t="n">
        <f aca="false">IFERROR(VLOOKUP(OFFSET(Table22,300,21,1,1),OFFSET(Table2,0,1,ROWS(Table2),8),3,0),VLOOKUP(OFFSET(Table22,300,22,1,1),Table2,4,0))</f>
        <v>21356941</v>
      </c>
      <c r="I301" s="2" t="n">
        <f aca="false">IFERROR(VLOOKUP(OFFSET(Table22,300,21,1,1),OFFSET(Table2,0,1,ROWS(Table2),8),4,0),VLOOKUP(OFFSET(Table22,300,22,1,1),Table2,5,0))</f>
        <v>720193</v>
      </c>
      <c r="J301" s="3" t="str">
        <f aca="false">IF(ISNUMBER(SEARCH("FACEBOOK",W301)),"Facebook",IF(ISNUMBER(SEARCH("INSTAGRAM",W301)),"Facebook-Instagram","Look at taxonomy"))</f>
        <v>Facebook</v>
      </c>
      <c r="K301" s="3" t="str">
        <f aca="false">IF(ISNUMBER(SEARCH("Facebook",J301)),"3654128","Not Facebook")</f>
        <v>3654128</v>
      </c>
      <c r="L301" s="3" t="str">
        <f aca="false">IFERROR(VLOOKUP(OFFSET(Table22,300,21,1,1),OFFSET(Table2,0,1,ROWS(Table2),8),7,0),VLOOKUP(OFFSET(Table22,300,22,1,1),Table2,8,0))</f>
        <v>AZR_FreeAcctRetargetingVMFB-750Hrs-ChD_FRA_1200x628_SOC_AZRDirect_French_NA_Facebook_SBAN_SINU_T1_1</v>
      </c>
      <c r="M301" s="2" t="n">
        <f aca="false">IFERROR(VLOOKUP(OFFSET(Table22,300,21,1,1),OFFSET(Table2,0,1,ROWS(Table2),8),8,0),VLOOKUP(OFFSET(Table22,300,22,1,1),Table2,9,0))</f>
        <v>103259010</v>
      </c>
      <c r="N301" s="15" t="s">
        <v>29</v>
      </c>
      <c r="O301" s="16" t="n">
        <v>43352</v>
      </c>
      <c r="P301" s="17" t="s">
        <v>102</v>
      </c>
      <c r="Q301" s="18" t="s">
        <v>103</v>
      </c>
      <c r="R301" s="17" t="s">
        <v>104</v>
      </c>
      <c r="S301" s="18" t="s">
        <v>33</v>
      </c>
      <c r="T301" s="17" t="s">
        <v>34</v>
      </c>
      <c r="U301" s="18" t="s">
        <v>39</v>
      </c>
      <c r="V301" s="19" t="n">
        <v>226359962</v>
      </c>
      <c r="W301" s="17" t="s">
        <v>109</v>
      </c>
      <c r="X301" s="17" t="n">
        <v>0</v>
      </c>
      <c r="Y301" s="17"/>
      <c r="Z301" s="17" t="n">
        <v>0</v>
      </c>
      <c r="AA301" s="17" t="s">
        <v>38</v>
      </c>
      <c r="AB301" s="17"/>
    </row>
    <row r="302" customFormat="false" ht="15" hidden="false" customHeight="false" outlineLevel="0" collapsed="false">
      <c r="A302" s="1" t="str">
        <f aca="false">OFFSET(Table22,301,14,1,1)&amp;OFFSET(Table22,301,21,1,1)</f>
        <v>43358226359959</v>
      </c>
      <c r="B302" s="1" t="str">
        <f aca="false">OFFSET(Table22,301,14,1,1)&amp;OFFSET(Table22,301,22,1,1)</f>
        <v>43358Facebook»Developers/ITPros-Azure Direct-Sponsored Post_Trial_PayGo-Link Ad-FreeAcctRetargetingVMFB-OnDemand-ChE CanvasOpener»1x1»SocialBan»SOC»ALL»CPC»LAL»D»UNK»SS»NA»Trials_ID</v>
      </c>
      <c r="C302" s="1" t="s">
        <v>28</v>
      </c>
      <c r="D302" s="3" t="n">
        <f aca="false">O302+(7-WEEKDAY(O302))</f>
        <v>43358</v>
      </c>
      <c r="E302" s="1" t="str">
        <f aca="false">VLOOKUP(OFFSET(Table22,301,16,1,1),Key!B:D,2,0)</f>
        <v>France</v>
      </c>
      <c r="F302" s="1" t="str">
        <f aca="false">IF(ISNUMBER(SEARCH("Canvas",U302)),"Link",IF(ISNUMBER(SEARCH("Link",U302)),"Link","Not filled properly"))</f>
        <v>Link</v>
      </c>
      <c r="G302" s="1" t="str">
        <f aca="false">IFERROR(VLOOKUP(OFFSET(Table22,301,21,1,1),OFFSET(Table2,0,1,ROWS(Table2),8),2,0),VLOOKUP(OFFSET(Table22,301,22,1,1),Table2,3,0))</f>
        <v>FRA_gaPMG_AZR_AZR_Q1_19_AzureDirect-Trial-Social</v>
      </c>
      <c r="H302" s="1" t="n">
        <f aca="false">IFERROR(VLOOKUP(OFFSET(Table22,301,21,1,1),OFFSET(Table2,0,1,ROWS(Table2),8),3,0),VLOOKUP(OFFSET(Table22,301,22,1,1),Table2,4,0))</f>
        <v>21356941</v>
      </c>
      <c r="I302" s="2" t="n">
        <f aca="false">IFERROR(VLOOKUP(OFFSET(Table22,301,21,1,1),OFFSET(Table2,0,1,ROWS(Table2),8),4,0),VLOOKUP(OFFSET(Table22,301,22,1,1),Table2,5,0))</f>
        <v>720193</v>
      </c>
      <c r="J302" s="3" t="str">
        <f aca="false">IF(ISNUMBER(SEARCH("FACEBOOK",W302)),"Facebook",IF(ISNUMBER(SEARCH("INSTAGRAM",W302)),"Facebook-Instagram","Look at taxonomy"))</f>
        <v>Facebook</v>
      </c>
      <c r="K302" s="3" t="str">
        <f aca="false">IF(ISNUMBER(SEARCH("Facebook",J302)),"3654128","Not Facebook")</f>
        <v>3654128</v>
      </c>
      <c r="L302" s="3" t="str">
        <f aca="false">IFERROR(VLOOKUP(OFFSET(Table22,301,21,1,1),OFFSET(Table2,0,1,ROWS(Table2),8),7,0),VLOOKUP(OFFSET(Table22,301,22,1,1),Table2,8,0))</f>
        <v>AZR_FreeAcctRetargetingVMFB-OnDemand-ChE_FRA_1200x628_SOC_AZRDirect_French_NA_Facebook_SBAN_SINU_T2_1</v>
      </c>
      <c r="M302" s="2" t="n">
        <f aca="false">IFERROR(VLOOKUP(OFFSET(Table22,301,21,1,1),OFFSET(Table2,0,1,ROWS(Table2),8),8,0),VLOOKUP(OFFSET(Table22,301,22,1,1),Table2,9,0))</f>
        <v>103376990</v>
      </c>
      <c r="N302" s="15" t="s">
        <v>29</v>
      </c>
      <c r="O302" s="16" t="n">
        <v>43358</v>
      </c>
      <c r="P302" s="17" t="s">
        <v>102</v>
      </c>
      <c r="Q302" s="18" t="s">
        <v>103</v>
      </c>
      <c r="R302" s="17" t="s">
        <v>104</v>
      </c>
      <c r="S302" s="18" t="s">
        <v>33</v>
      </c>
      <c r="T302" s="17" t="s">
        <v>34</v>
      </c>
      <c r="U302" s="18" t="s">
        <v>39</v>
      </c>
      <c r="V302" s="19" t="n">
        <v>226359959</v>
      </c>
      <c r="W302" s="17" t="s">
        <v>110</v>
      </c>
      <c r="X302" s="17" t="n">
        <v>0</v>
      </c>
      <c r="Y302" s="17"/>
      <c r="Z302" s="17" t="n">
        <v>0</v>
      </c>
      <c r="AA302" s="17" t="s">
        <v>38</v>
      </c>
      <c r="AB302" s="17"/>
    </row>
    <row r="303" customFormat="false" ht="15" hidden="false" customHeight="false" outlineLevel="0" collapsed="false">
      <c r="A303" s="1" t="str">
        <f aca="false">OFFSET(Table22,302,14,1,1)&amp;OFFSET(Table22,302,21,1,1)</f>
        <v>43357226359959</v>
      </c>
      <c r="B303" s="1" t="str">
        <f aca="false">OFFSET(Table22,302,14,1,1)&amp;OFFSET(Table22,302,22,1,1)</f>
        <v>43357Facebook»Developers/ITPros-Azure Direct-Sponsored Post_Trial_PayGo-Link Ad-FreeAcctRetargetingVMFB-OnDemand-ChE CanvasOpener»1x1»SocialBan»SOC»ALL»CPC»LAL»D»UNK»SS»NA»Trials_ID</v>
      </c>
      <c r="C303" s="1" t="s">
        <v>28</v>
      </c>
      <c r="D303" s="3" t="n">
        <f aca="false">O303+(7-WEEKDAY(O303))</f>
        <v>43358</v>
      </c>
      <c r="E303" s="1" t="str">
        <f aca="false">VLOOKUP(OFFSET(Table22,302,16,1,1),Key!B:D,2,0)</f>
        <v>France</v>
      </c>
      <c r="F303" s="1" t="str">
        <f aca="false">IF(ISNUMBER(SEARCH("Canvas",U303)),"Link",IF(ISNUMBER(SEARCH("Link",U303)),"Link","Not filled properly"))</f>
        <v>Link</v>
      </c>
      <c r="G303" s="1" t="str">
        <f aca="false">IFERROR(VLOOKUP(OFFSET(Table22,302,21,1,1),OFFSET(Table2,0,1,ROWS(Table2),8),2,0),VLOOKUP(OFFSET(Table22,302,22,1,1),Table2,3,0))</f>
        <v>FRA_gaPMG_AZR_AZR_Q1_19_AzureDirect-Trial-Social</v>
      </c>
      <c r="H303" s="1" t="n">
        <f aca="false">IFERROR(VLOOKUP(OFFSET(Table22,302,21,1,1),OFFSET(Table2,0,1,ROWS(Table2),8),3,0),VLOOKUP(OFFSET(Table22,302,22,1,1),Table2,4,0))</f>
        <v>21356941</v>
      </c>
      <c r="I303" s="2" t="n">
        <f aca="false">IFERROR(VLOOKUP(OFFSET(Table22,302,21,1,1),OFFSET(Table2,0,1,ROWS(Table2),8),4,0),VLOOKUP(OFFSET(Table22,302,22,1,1),Table2,5,0))</f>
        <v>720193</v>
      </c>
      <c r="J303" s="3" t="str">
        <f aca="false">IF(ISNUMBER(SEARCH("FACEBOOK",W303)),"Facebook",IF(ISNUMBER(SEARCH("INSTAGRAM",W303)),"Facebook-Instagram","Look at taxonomy"))</f>
        <v>Facebook</v>
      </c>
      <c r="K303" s="3" t="str">
        <f aca="false">IF(ISNUMBER(SEARCH("Facebook",J303)),"3654128","Not Facebook")</f>
        <v>3654128</v>
      </c>
      <c r="L303" s="3" t="str">
        <f aca="false">IFERROR(VLOOKUP(OFFSET(Table22,302,21,1,1),OFFSET(Table2,0,1,ROWS(Table2),8),7,0),VLOOKUP(OFFSET(Table22,302,22,1,1),Table2,8,0))</f>
        <v>AZR_FreeAcctRetargetingVMFB-OnDemand-ChE_FRA_1200x628_SOC_AZRDirect_French_NA_Facebook_SBAN_SINU_T2_1</v>
      </c>
      <c r="M303" s="2" t="n">
        <f aca="false">IFERROR(VLOOKUP(OFFSET(Table22,302,21,1,1),OFFSET(Table2,0,1,ROWS(Table2),8),8,0),VLOOKUP(OFFSET(Table22,302,22,1,1),Table2,9,0))</f>
        <v>103376990</v>
      </c>
      <c r="N303" s="15" t="s">
        <v>29</v>
      </c>
      <c r="O303" s="16" t="n">
        <v>43357</v>
      </c>
      <c r="P303" s="17" t="s">
        <v>102</v>
      </c>
      <c r="Q303" s="18" t="s">
        <v>103</v>
      </c>
      <c r="R303" s="17" t="s">
        <v>104</v>
      </c>
      <c r="S303" s="18" t="s">
        <v>33</v>
      </c>
      <c r="T303" s="17" t="s">
        <v>34</v>
      </c>
      <c r="U303" s="18" t="s">
        <v>39</v>
      </c>
      <c r="V303" s="19" t="n">
        <v>226359959</v>
      </c>
      <c r="W303" s="17" t="s">
        <v>110</v>
      </c>
      <c r="X303" s="17" t="n">
        <v>0</v>
      </c>
      <c r="Y303" s="17"/>
      <c r="Z303" s="17" t="n">
        <v>0</v>
      </c>
      <c r="AA303" s="17" t="s">
        <v>38</v>
      </c>
      <c r="AB303" s="17"/>
    </row>
    <row r="304" customFormat="false" ht="15" hidden="false" customHeight="false" outlineLevel="0" collapsed="false">
      <c r="A304" s="1" t="str">
        <f aca="false">OFFSET(Table22,303,14,1,1)&amp;OFFSET(Table22,303,21,1,1)</f>
        <v>43356226359959</v>
      </c>
      <c r="B304" s="1" t="str">
        <f aca="false">OFFSET(Table22,303,14,1,1)&amp;OFFSET(Table22,303,22,1,1)</f>
        <v>43356Facebook»Developers/ITPros-Azure Direct-Sponsored Post_Trial_PayGo-Link Ad-FreeAcctRetargetingVMFB-OnDemand-ChE CanvasOpener»1x1»SocialBan»SOC»ALL»CPC»LAL»D»UNK»SS»NA»Trials_ID</v>
      </c>
      <c r="C304" s="1" t="s">
        <v>28</v>
      </c>
      <c r="D304" s="3" t="n">
        <f aca="false">O304+(7-WEEKDAY(O304))</f>
        <v>43358</v>
      </c>
      <c r="E304" s="1" t="str">
        <f aca="false">VLOOKUP(OFFSET(Table22,303,16,1,1),Key!B:D,2,0)</f>
        <v>France</v>
      </c>
      <c r="F304" s="1" t="str">
        <f aca="false">IF(ISNUMBER(SEARCH("Canvas",U304)),"Link",IF(ISNUMBER(SEARCH("Link",U304)),"Link","Not filled properly"))</f>
        <v>Link</v>
      </c>
      <c r="G304" s="1" t="str">
        <f aca="false">IFERROR(VLOOKUP(OFFSET(Table22,303,21,1,1),OFFSET(Table2,0,1,ROWS(Table2),8),2,0),VLOOKUP(OFFSET(Table22,303,22,1,1),Table2,3,0))</f>
        <v>FRA_gaPMG_AZR_AZR_Q1_19_AzureDirect-Trial-Social</v>
      </c>
      <c r="H304" s="1" t="n">
        <f aca="false">IFERROR(VLOOKUP(OFFSET(Table22,303,21,1,1),OFFSET(Table2,0,1,ROWS(Table2),8),3,0),VLOOKUP(OFFSET(Table22,303,22,1,1),Table2,4,0))</f>
        <v>21356941</v>
      </c>
      <c r="I304" s="2" t="n">
        <f aca="false">IFERROR(VLOOKUP(OFFSET(Table22,303,21,1,1),OFFSET(Table2,0,1,ROWS(Table2),8),4,0),VLOOKUP(OFFSET(Table22,303,22,1,1),Table2,5,0))</f>
        <v>720193</v>
      </c>
      <c r="J304" s="3" t="str">
        <f aca="false">IF(ISNUMBER(SEARCH("FACEBOOK",W304)),"Facebook",IF(ISNUMBER(SEARCH("INSTAGRAM",W304)),"Facebook-Instagram","Look at taxonomy"))</f>
        <v>Facebook</v>
      </c>
      <c r="K304" s="3" t="str">
        <f aca="false">IF(ISNUMBER(SEARCH("Facebook",J304)),"3654128","Not Facebook")</f>
        <v>3654128</v>
      </c>
      <c r="L304" s="3" t="str">
        <f aca="false">IFERROR(VLOOKUP(OFFSET(Table22,303,21,1,1),OFFSET(Table2,0,1,ROWS(Table2),8),7,0),VLOOKUP(OFFSET(Table22,303,22,1,1),Table2,8,0))</f>
        <v>AZR_FreeAcctRetargetingVMFB-OnDemand-ChE_FRA_1200x628_SOC_AZRDirect_French_NA_Facebook_SBAN_SINU_T2_1</v>
      </c>
      <c r="M304" s="2" t="n">
        <f aca="false">IFERROR(VLOOKUP(OFFSET(Table22,303,21,1,1),OFFSET(Table2,0,1,ROWS(Table2),8),8,0),VLOOKUP(OFFSET(Table22,303,22,1,1),Table2,9,0))</f>
        <v>103376990</v>
      </c>
      <c r="N304" s="15" t="s">
        <v>29</v>
      </c>
      <c r="O304" s="16" t="n">
        <v>43356</v>
      </c>
      <c r="P304" s="17" t="s">
        <v>102</v>
      </c>
      <c r="Q304" s="18" t="s">
        <v>103</v>
      </c>
      <c r="R304" s="17" t="s">
        <v>104</v>
      </c>
      <c r="S304" s="18" t="s">
        <v>33</v>
      </c>
      <c r="T304" s="17" t="s">
        <v>34</v>
      </c>
      <c r="U304" s="18" t="s">
        <v>39</v>
      </c>
      <c r="V304" s="19" t="n">
        <v>226359959</v>
      </c>
      <c r="W304" s="17" t="s">
        <v>110</v>
      </c>
      <c r="X304" s="17" t="n">
        <v>0</v>
      </c>
      <c r="Y304" s="17"/>
      <c r="Z304" s="17" t="n">
        <v>0</v>
      </c>
      <c r="AA304" s="17" t="s">
        <v>38</v>
      </c>
      <c r="AB304" s="17"/>
    </row>
    <row r="305" customFormat="false" ht="15" hidden="false" customHeight="false" outlineLevel="0" collapsed="false">
      <c r="A305" s="1" t="str">
        <f aca="false">OFFSET(Table22,304,14,1,1)&amp;OFFSET(Table22,304,21,1,1)</f>
        <v>43355226359959</v>
      </c>
      <c r="B305" s="1" t="str">
        <f aca="false">OFFSET(Table22,304,14,1,1)&amp;OFFSET(Table22,304,22,1,1)</f>
        <v>43355Facebook»Developers/ITPros-Azure Direct-Sponsored Post_Trial_PayGo-Link Ad-FreeAcctRetargetingVMFB-OnDemand-ChE CanvasOpener»1x1»SocialBan»SOC»ALL»CPC»LAL»D»UNK»SS»NA»Trials_ID</v>
      </c>
      <c r="C305" s="1" t="s">
        <v>28</v>
      </c>
      <c r="D305" s="3" t="n">
        <f aca="false">O305+(7-WEEKDAY(O305))</f>
        <v>43358</v>
      </c>
      <c r="E305" s="1" t="str">
        <f aca="false">VLOOKUP(OFFSET(Table22,304,16,1,1),Key!B:D,2,0)</f>
        <v>France</v>
      </c>
      <c r="F305" s="1" t="str">
        <f aca="false">IF(ISNUMBER(SEARCH("Canvas",U305)),"Link",IF(ISNUMBER(SEARCH("Link",U305)),"Link","Not filled properly"))</f>
        <v>Link</v>
      </c>
      <c r="G305" s="1" t="str">
        <f aca="false">IFERROR(VLOOKUP(OFFSET(Table22,304,21,1,1),OFFSET(Table2,0,1,ROWS(Table2),8),2,0),VLOOKUP(OFFSET(Table22,304,22,1,1),Table2,3,0))</f>
        <v>FRA_gaPMG_AZR_AZR_Q1_19_AzureDirect-Trial-Social</v>
      </c>
      <c r="H305" s="1" t="n">
        <f aca="false">IFERROR(VLOOKUP(OFFSET(Table22,304,21,1,1),OFFSET(Table2,0,1,ROWS(Table2),8),3,0),VLOOKUP(OFFSET(Table22,304,22,1,1),Table2,4,0))</f>
        <v>21356941</v>
      </c>
      <c r="I305" s="2" t="n">
        <f aca="false">IFERROR(VLOOKUP(OFFSET(Table22,304,21,1,1),OFFSET(Table2,0,1,ROWS(Table2),8),4,0),VLOOKUP(OFFSET(Table22,304,22,1,1),Table2,5,0))</f>
        <v>720193</v>
      </c>
      <c r="J305" s="3" t="str">
        <f aca="false">IF(ISNUMBER(SEARCH("FACEBOOK",W305)),"Facebook",IF(ISNUMBER(SEARCH("INSTAGRAM",W305)),"Facebook-Instagram","Look at taxonomy"))</f>
        <v>Facebook</v>
      </c>
      <c r="K305" s="3" t="str">
        <f aca="false">IF(ISNUMBER(SEARCH("Facebook",J305)),"3654128","Not Facebook")</f>
        <v>3654128</v>
      </c>
      <c r="L305" s="3" t="str">
        <f aca="false">IFERROR(VLOOKUP(OFFSET(Table22,304,21,1,1),OFFSET(Table2,0,1,ROWS(Table2),8),7,0),VLOOKUP(OFFSET(Table22,304,22,1,1),Table2,8,0))</f>
        <v>AZR_FreeAcctRetargetingVMFB-OnDemand-ChE_FRA_1200x628_SOC_AZRDirect_French_NA_Facebook_SBAN_SINU_T2_1</v>
      </c>
      <c r="M305" s="2" t="n">
        <f aca="false">IFERROR(VLOOKUP(OFFSET(Table22,304,21,1,1),OFFSET(Table2,0,1,ROWS(Table2),8),8,0),VLOOKUP(OFFSET(Table22,304,22,1,1),Table2,9,0))</f>
        <v>103376990</v>
      </c>
      <c r="N305" s="15" t="s">
        <v>29</v>
      </c>
      <c r="O305" s="16" t="n">
        <v>43355</v>
      </c>
      <c r="P305" s="17" t="s">
        <v>102</v>
      </c>
      <c r="Q305" s="18" t="s">
        <v>103</v>
      </c>
      <c r="R305" s="17" t="s">
        <v>104</v>
      </c>
      <c r="S305" s="18" t="s">
        <v>33</v>
      </c>
      <c r="T305" s="17" t="s">
        <v>34</v>
      </c>
      <c r="U305" s="18" t="s">
        <v>39</v>
      </c>
      <c r="V305" s="19" t="n">
        <v>226359959</v>
      </c>
      <c r="W305" s="17" t="s">
        <v>110</v>
      </c>
      <c r="X305" s="17" t="n">
        <v>2</v>
      </c>
      <c r="Y305" s="17"/>
      <c r="Z305" s="17" t="n">
        <v>0.02</v>
      </c>
      <c r="AA305" s="17" t="s">
        <v>38</v>
      </c>
      <c r="AB305" s="17"/>
    </row>
    <row r="306" customFormat="false" ht="15" hidden="false" customHeight="false" outlineLevel="0" collapsed="false">
      <c r="A306" s="1" t="str">
        <f aca="false">OFFSET(Table22,305,14,1,1)&amp;OFFSET(Table22,305,21,1,1)</f>
        <v>43354226359959</v>
      </c>
      <c r="B306" s="1" t="str">
        <f aca="false">OFFSET(Table22,305,14,1,1)&amp;OFFSET(Table22,305,22,1,1)</f>
        <v>43354Facebook»Developers/ITPros-Azure Direct-Sponsored Post_Trial_PayGo-Link Ad-FreeAcctRetargetingVMFB-OnDemand-ChE CanvasOpener»1x1»SocialBan»SOC»ALL»CPC»LAL»D»UNK»SS»NA»Trials_ID</v>
      </c>
      <c r="C306" s="1" t="s">
        <v>28</v>
      </c>
      <c r="D306" s="3" t="n">
        <f aca="false">O306+(7-WEEKDAY(O306))</f>
        <v>43358</v>
      </c>
      <c r="E306" s="1" t="str">
        <f aca="false">VLOOKUP(OFFSET(Table22,305,16,1,1),Key!B:D,2,0)</f>
        <v>France</v>
      </c>
      <c r="F306" s="1" t="str">
        <f aca="false">IF(ISNUMBER(SEARCH("Canvas",U306)),"Link",IF(ISNUMBER(SEARCH("Link",U306)),"Link","Not filled properly"))</f>
        <v>Link</v>
      </c>
      <c r="G306" s="1" t="str">
        <f aca="false">IFERROR(VLOOKUP(OFFSET(Table22,305,21,1,1),OFFSET(Table2,0,1,ROWS(Table2),8),2,0),VLOOKUP(OFFSET(Table22,305,22,1,1),Table2,3,0))</f>
        <v>FRA_gaPMG_AZR_AZR_Q1_19_AzureDirect-Trial-Social</v>
      </c>
      <c r="H306" s="1" t="n">
        <f aca="false">IFERROR(VLOOKUP(OFFSET(Table22,305,21,1,1),OFFSET(Table2,0,1,ROWS(Table2),8),3,0),VLOOKUP(OFFSET(Table22,305,22,1,1),Table2,4,0))</f>
        <v>21356941</v>
      </c>
      <c r="I306" s="2" t="n">
        <f aca="false">IFERROR(VLOOKUP(OFFSET(Table22,305,21,1,1),OFFSET(Table2,0,1,ROWS(Table2),8),4,0),VLOOKUP(OFFSET(Table22,305,22,1,1),Table2,5,0))</f>
        <v>720193</v>
      </c>
      <c r="J306" s="3" t="str">
        <f aca="false">IF(ISNUMBER(SEARCH("FACEBOOK",W306)),"Facebook",IF(ISNUMBER(SEARCH("INSTAGRAM",W306)),"Facebook-Instagram","Look at taxonomy"))</f>
        <v>Facebook</v>
      </c>
      <c r="K306" s="3" t="str">
        <f aca="false">IF(ISNUMBER(SEARCH("Facebook",J306)),"3654128","Not Facebook")</f>
        <v>3654128</v>
      </c>
      <c r="L306" s="3" t="str">
        <f aca="false">IFERROR(VLOOKUP(OFFSET(Table22,305,21,1,1),OFFSET(Table2,0,1,ROWS(Table2),8),7,0),VLOOKUP(OFFSET(Table22,305,22,1,1),Table2,8,0))</f>
        <v>AZR_FreeAcctRetargetingVMFB-OnDemand-ChE_FRA_1200x628_SOC_AZRDirect_French_NA_Facebook_SBAN_SINU_T2_1</v>
      </c>
      <c r="M306" s="2" t="n">
        <f aca="false">IFERROR(VLOOKUP(OFFSET(Table22,305,21,1,1),OFFSET(Table2,0,1,ROWS(Table2),8),8,0),VLOOKUP(OFFSET(Table22,305,22,1,1),Table2,9,0))</f>
        <v>103376990</v>
      </c>
      <c r="N306" s="15" t="s">
        <v>29</v>
      </c>
      <c r="O306" s="16" t="n">
        <v>43354</v>
      </c>
      <c r="P306" s="17" t="s">
        <v>102</v>
      </c>
      <c r="Q306" s="18" t="s">
        <v>103</v>
      </c>
      <c r="R306" s="17" t="s">
        <v>104</v>
      </c>
      <c r="S306" s="18" t="s">
        <v>33</v>
      </c>
      <c r="T306" s="17" t="s">
        <v>34</v>
      </c>
      <c r="U306" s="18" t="s">
        <v>39</v>
      </c>
      <c r="V306" s="19" t="n">
        <v>226359959</v>
      </c>
      <c r="W306" s="17" t="s">
        <v>110</v>
      </c>
      <c r="X306" s="17" t="n">
        <v>0</v>
      </c>
      <c r="Y306" s="17"/>
      <c r="Z306" s="17" t="n">
        <v>0</v>
      </c>
      <c r="AA306" s="17" t="s">
        <v>38</v>
      </c>
      <c r="AB306" s="17"/>
    </row>
    <row r="307" customFormat="false" ht="15" hidden="false" customHeight="false" outlineLevel="0" collapsed="false">
      <c r="A307" s="1" t="str">
        <f aca="false">OFFSET(Table22,306,14,1,1)&amp;OFFSET(Table22,306,21,1,1)</f>
        <v>43353226359959</v>
      </c>
      <c r="B307" s="1" t="str">
        <f aca="false">OFFSET(Table22,306,14,1,1)&amp;OFFSET(Table22,306,22,1,1)</f>
        <v>43353Facebook»Developers/ITPros-Azure Direct-Sponsored Post_Trial_PayGo-Link Ad-FreeAcctRetargetingVMFB-OnDemand-ChE CanvasOpener»1x1»SocialBan»SOC»ALL»CPC»LAL»D»UNK»SS»NA»Trials_ID</v>
      </c>
      <c r="C307" s="1" t="s">
        <v>28</v>
      </c>
      <c r="D307" s="3" t="n">
        <f aca="false">O307+(7-WEEKDAY(O307))</f>
        <v>43358</v>
      </c>
      <c r="E307" s="1" t="str">
        <f aca="false">VLOOKUP(OFFSET(Table22,306,16,1,1),Key!B:D,2,0)</f>
        <v>France</v>
      </c>
      <c r="F307" s="1" t="str">
        <f aca="false">IF(ISNUMBER(SEARCH("Canvas",U307)),"Link",IF(ISNUMBER(SEARCH("Link",U307)),"Link","Not filled properly"))</f>
        <v>Link</v>
      </c>
      <c r="G307" s="1" t="str">
        <f aca="false">IFERROR(VLOOKUP(OFFSET(Table22,306,21,1,1),OFFSET(Table2,0,1,ROWS(Table2),8),2,0),VLOOKUP(OFFSET(Table22,306,22,1,1),Table2,3,0))</f>
        <v>FRA_gaPMG_AZR_AZR_Q1_19_AzureDirect-Trial-Social</v>
      </c>
      <c r="H307" s="1" t="n">
        <f aca="false">IFERROR(VLOOKUP(OFFSET(Table22,306,21,1,1),OFFSET(Table2,0,1,ROWS(Table2),8),3,0),VLOOKUP(OFFSET(Table22,306,22,1,1),Table2,4,0))</f>
        <v>21356941</v>
      </c>
      <c r="I307" s="2" t="n">
        <f aca="false">IFERROR(VLOOKUP(OFFSET(Table22,306,21,1,1),OFFSET(Table2,0,1,ROWS(Table2),8),4,0),VLOOKUP(OFFSET(Table22,306,22,1,1),Table2,5,0))</f>
        <v>720193</v>
      </c>
      <c r="J307" s="3" t="str">
        <f aca="false">IF(ISNUMBER(SEARCH("FACEBOOK",W307)),"Facebook",IF(ISNUMBER(SEARCH("INSTAGRAM",W307)),"Facebook-Instagram","Look at taxonomy"))</f>
        <v>Facebook</v>
      </c>
      <c r="K307" s="3" t="str">
        <f aca="false">IF(ISNUMBER(SEARCH("Facebook",J307)),"3654128","Not Facebook")</f>
        <v>3654128</v>
      </c>
      <c r="L307" s="3" t="str">
        <f aca="false">IFERROR(VLOOKUP(OFFSET(Table22,306,21,1,1),OFFSET(Table2,0,1,ROWS(Table2),8),7,0),VLOOKUP(OFFSET(Table22,306,22,1,1),Table2,8,0))</f>
        <v>AZR_FreeAcctRetargetingVMFB-OnDemand-ChE_FRA_1200x628_SOC_AZRDirect_French_NA_Facebook_SBAN_SINU_T2_1</v>
      </c>
      <c r="M307" s="2" t="n">
        <f aca="false">IFERROR(VLOOKUP(OFFSET(Table22,306,21,1,1),OFFSET(Table2,0,1,ROWS(Table2),8),8,0),VLOOKUP(OFFSET(Table22,306,22,1,1),Table2,9,0))</f>
        <v>103376990</v>
      </c>
      <c r="N307" s="15" t="s">
        <v>29</v>
      </c>
      <c r="O307" s="16" t="n">
        <v>43353</v>
      </c>
      <c r="P307" s="17" t="s">
        <v>102</v>
      </c>
      <c r="Q307" s="18" t="s">
        <v>103</v>
      </c>
      <c r="R307" s="17" t="s">
        <v>104</v>
      </c>
      <c r="S307" s="18" t="s">
        <v>33</v>
      </c>
      <c r="T307" s="17" t="s">
        <v>34</v>
      </c>
      <c r="U307" s="18" t="s">
        <v>39</v>
      </c>
      <c r="V307" s="19" t="n">
        <v>226359959</v>
      </c>
      <c r="W307" s="17" t="s">
        <v>110</v>
      </c>
      <c r="X307" s="17" t="n">
        <v>1</v>
      </c>
      <c r="Y307" s="17"/>
      <c r="Z307" s="17" t="n">
        <v>0</v>
      </c>
      <c r="AA307" s="17" t="s">
        <v>38</v>
      </c>
      <c r="AB307" s="17"/>
    </row>
    <row r="308" customFormat="false" ht="15" hidden="false" customHeight="false" outlineLevel="0" collapsed="false">
      <c r="A308" s="1" t="str">
        <f aca="false">OFFSET(Table22,307,14,1,1)&amp;OFFSET(Table22,307,21,1,1)</f>
        <v>43352226359959</v>
      </c>
      <c r="B308" s="1" t="str">
        <f aca="false">OFFSET(Table22,307,14,1,1)&amp;OFFSET(Table22,307,22,1,1)</f>
        <v>43352Facebook»Developers/ITPros-Azure Direct-Sponsored Post_Trial_PayGo-Link Ad-FreeAcctRetargetingVMFB-OnDemand-ChE CanvasOpener»1x1»SocialBan»SOC»ALL»CPC»LAL»D»UNK»SS»NA»Trials_ID</v>
      </c>
      <c r="C308" s="1" t="s">
        <v>28</v>
      </c>
      <c r="D308" s="3" t="n">
        <f aca="false">O308+(7-WEEKDAY(O308))</f>
        <v>43358</v>
      </c>
      <c r="E308" s="1" t="str">
        <f aca="false">VLOOKUP(OFFSET(Table22,307,16,1,1),Key!B:D,2,0)</f>
        <v>France</v>
      </c>
      <c r="F308" s="1" t="str">
        <f aca="false">IF(ISNUMBER(SEARCH("Canvas",U308)),"Link",IF(ISNUMBER(SEARCH("Link",U308)),"Link","Not filled properly"))</f>
        <v>Link</v>
      </c>
      <c r="G308" s="1" t="str">
        <f aca="false">IFERROR(VLOOKUP(OFFSET(Table22,307,21,1,1),OFFSET(Table2,0,1,ROWS(Table2),8),2,0),VLOOKUP(OFFSET(Table22,307,22,1,1),Table2,3,0))</f>
        <v>FRA_gaPMG_AZR_AZR_Q1_19_AzureDirect-Trial-Social</v>
      </c>
      <c r="H308" s="1" t="n">
        <f aca="false">IFERROR(VLOOKUP(OFFSET(Table22,307,21,1,1),OFFSET(Table2,0,1,ROWS(Table2),8),3,0),VLOOKUP(OFFSET(Table22,307,22,1,1),Table2,4,0))</f>
        <v>21356941</v>
      </c>
      <c r="I308" s="2" t="n">
        <f aca="false">IFERROR(VLOOKUP(OFFSET(Table22,307,21,1,1),OFFSET(Table2,0,1,ROWS(Table2),8),4,0),VLOOKUP(OFFSET(Table22,307,22,1,1),Table2,5,0))</f>
        <v>720193</v>
      </c>
      <c r="J308" s="3" t="str">
        <f aca="false">IF(ISNUMBER(SEARCH("FACEBOOK",W308)),"Facebook",IF(ISNUMBER(SEARCH("INSTAGRAM",W308)),"Facebook-Instagram","Look at taxonomy"))</f>
        <v>Facebook</v>
      </c>
      <c r="K308" s="3" t="str">
        <f aca="false">IF(ISNUMBER(SEARCH("Facebook",J308)),"3654128","Not Facebook")</f>
        <v>3654128</v>
      </c>
      <c r="L308" s="3" t="str">
        <f aca="false">IFERROR(VLOOKUP(OFFSET(Table22,307,21,1,1),OFFSET(Table2,0,1,ROWS(Table2),8),7,0),VLOOKUP(OFFSET(Table22,307,22,1,1),Table2,8,0))</f>
        <v>AZR_FreeAcctRetargetingVMFB-OnDemand-ChE_FRA_1200x628_SOC_AZRDirect_French_NA_Facebook_SBAN_SINU_T2_1</v>
      </c>
      <c r="M308" s="2" t="n">
        <f aca="false">IFERROR(VLOOKUP(OFFSET(Table22,307,21,1,1),OFFSET(Table2,0,1,ROWS(Table2),8),8,0),VLOOKUP(OFFSET(Table22,307,22,1,1),Table2,9,0))</f>
        <v>103376990</v>
      </c>
      <c r="N308" s="15" t="s">
        <v>29</v>
      </c>
      <c r="O308" s="16" t="n">
        <v>43352</v>
      </c>
      <c r="P308" s="17" t="s">
        <v>102</v>
      </c>
      <c r="Q308" s="18" t="s">
        <v>103</v>
      </c>
      <c r="R308" s="17" t="s">
        <v>104</v>
      </c>
      <c r="S308" s="18" t="s">
        <v>33</v>
      </c>
      <c r="T308" s="17" t="s">
        <v>34</v>
      </c>
      <c r="U308" s="18" t="s">
        <v>39</v>
      </c>
      <c r="V308" s="19" t="n">
        <v>226359959</v>
      </c>
      <c r="W308" s="17" t="s">
        <v>110</v>
      </c>
      <c r="X308" s="17" t="n">
        <v>0</v>
      </c>
      <c r="Y308" s="17"/>
      <c r="Z308" s="17" t="n">
        <v>0</v>
      </c>
      <c r="AA308" s="17" t="s">
        <v>38</v>
      </c>
      <c r="AB308" s="17"/>
    </row>
    <row r="309" customFormat="false" ht="15" hidden="false" customHeight="false" outlineLevel="0" collapsed="false">
      <c r="A309" s="1" t="str">
        <f aca="false">OFFSET(Table22,308,14,1,1)&amp;OFFSET(Table22,308,21,1,1)</f>
        <v>43358226360037</v>
      </c>
      <c r="B309" s="1" t="str">
        <f aca="false">OFFSET(Table22,308,14,1,1)&amp;OFFSET(Table22,308,22,1,1)</f>
        <v>43358Facebook»Developers/ITPros-Azure Direct-Sponsored Post_Trial-Link Ad-FreeAcctRetargetingFB-Animated-ChC CanvasOpener»1x1»SocialBan»SOC»ALL»CPC»LAL»D»UNK»SS»NA»Trials_ID</v>
      </c>
      <c r="C309" s="1" t="s">
        <v>28</v>
      </c>
      <c r="D309" s="3" t="n">
        <f aca="false">O309+(7-WEEKDAY(O309))</f>
        <v>43358</v>
      </c>
      <c r="E309" s="1" t="str">
        <f aca="false">VLOOKUP(OFFSET(Table22,308,16,1,1),Key!B:D,2,0)</f>
        <v>France</v>
      </c>
      <c r="F309" s="1" t="str">
        <f aca="false">IF(ISNUMBER(SEARCH("Canvas",U309)),"Link",IF(ISNUMBER(SEARCH("Link",U309)),"Link","Not filled properly"))</f>
        <v>Link</v>
      </c>
      <c r="G309" s="1" t="str">
        <f aca="false">IFERROR(VLOOKUP(OFFSET(Table22,308,21,1,1),OFFSET(Table2,0,1,ROWS(Table2),8),2,0),VLOOKUP(OFFSET(Table22,308,22,1,1),Table2,3,0))</f>
        <v>FRA_gaPMG_AZR_AZR_Q1_19_AzureDirect-Trial-Social</v>
      </c>
      <c r="H309" s="1" t="n">
        <f aca="false">IFERROR(VLOOKUP(OFFSET(Table22,308,21,1,1),OFFSET(Table2,0,1,ROWS(Table2),8),3,0),VLOOKUP(OFFSET(Table22,308,22,1,1),Table2,4,0))</f>
        <v>21356941</v>
      </c>
      <c r="I309" s="2" t="n">
        <f aca="false">IFERROR(VLOOKUP(OFFSET(Table22,308,21,1,1),OFFSET(Table2,0,1,ROWS(Table2),8),4,0),VLOOKUP(OFFSET(Table22,308,22,1,1),Table2,5,0))</f>
        <v>720193</v>
      </c>
      <c r="J309" s="3" t="str">
        <f aca="false">IF(ISNUMBER(SEARCH("FACEBOOK",W309)),"Facebook",IF(ISNUMBER(SEARCH("INSTAGRAM",W309)),"Facebook-Instagram","Look at taxonomy"))</f>
        <v>Facebook</v>
      </c>
      <c r="K309" s="3" t="str">
        <f aca="false">IF(ISNUMBER(SEARCH("Facebook",J309)),"3654128","Not Facebook")</f>
        <v>3654128</v>
      </c>
      <c r="L309" s="3" t="str">
        <f aca="false">IFERROR(VLOOKUP(OFFSET(Table22,308,21,1,1),OFFSET(Table2,0,1,ROWS(Table2),8),7,0),VLOOKUP(OFFSET(Table22,308,22,1,1),Table2,8,0))</f>
        <v>AZR_reeAcctRetargetingFB-Animated-ChC_FRA_1200x628_SOC_AZRDirect_French_NA_Facebook_SBAN_SINU_T3_1</v>
      </c>
      <c r="M309" s="2" t="n">
        <f aca="false">IFERROR(VLOOKUP(OFFSET(Table22,308,21,1,1),OFFSET(Table2,0,1,ROWS(Table2),8),8,0),VLOOKUP(OFFSET(Table22,308,22,1,1),Table2,9,0))</f>
        <v>103259775</v>
      </c>
      <c r="N309" s="15" t="s">
        <v>29</v>
      </c>
      <c r="O309" s="16" t="n">
        <v>43358</v>
      </c>
      <c r="P309" s="17" t="s">
        <v>102</v>
      </c>
      <c r="Q309" s="18" t="s">
        <v>103</v>
      </c>
      <c r="R309" s="17" t="s">
        <v>104</v>
      </c>
      <c r="S309" s="18" t="s">
        <v>33</v>
      </c>
      <c r="T309" s="17" t="s">
        <v>34</v>
      </c>
      <c r="U309" s="18" t="s">
        <v>39</v>
      </c>
      <c r="V309" s="19" t="n">
        <v>226360037</v>
      </c>
      <c r="W309" s="17" t="s">
        <v>111</v>
      </c>
      <c r="X309" s="17" t="n">
        <v>0</v>
      </c>
      <c r="Y309" s="17"/>
      <c r="Z309" s="17" t="n">
        <v>0</v>
      </c>
      <c r="AA309" s="17" t="s">
        <v>38</v>
      </c>
      <c r="AB309" s="17"/>
    </row>
    <row r="310" customFormat="false" ht="15" hidden="false" customHeight="false" outlineLevel="0" collapsed="false">
      <c r="A310" s="1" t="str">
        <f aca="false">OFFSET(Table22,309,14,1,1)&amp;OFFSET(Table22,309,21,1,1)</f>
        <v>43357226360037</v>
      </c>
      <c r="B310" s="1" t="str">
        <f aca="false">OFFSET(Table22,309,14,1,1)&amp;OFFSET(Table22,309,22,1,1)</f>
        <v>43357Facebook»Developers/ITPros-Azure Direct-Sponsored Post_Trial-Link Ad-FreeAcctRetargetingFB-Animated-ChC CanvasOpener»1x1»SocialBan»SOC»ALL»CPC»LAL»D»UNK»SS»NA»Trials_ID</v>
      </c>
      <c r="C310" s="1" t="s">
        <v>28</v>
      </c>
      <c r="D310" s="3" t="n">
        <f aca="false">O310+(7-WEEKDAY(O310))</f>
        <v>43358</v>
      </c>
      <c r="E310" s="1" t="str">
        <f aca="false">VLOOKUP(OFFSET(Table22,309,16,1,1),Key!B:D,2,0)</f>
        <v>France</v>
      </c>
      <c r="F310" s="1" t="str">
        <f aca="false">IF(ISNUMBER(SEARCH("Canvas",U310)),"Link",IF(ISNUMBER(SEARCH("Link",U310)),"Link","Not filled properly"))</f>
        <v>Link</v>
      </c>
      <c r="G310" s="1" t="str">
        <f aca="false">IFERROR(VLOOKUP(OFFSET(Table22,309,21,1,1),OFFSET(Table2,0,1,ROWS(Table2),8),2,0),VLOOKUP(OFFSET(Table22,309,22,1,1),Table2,3,0))</f>
        <v>FRA_gaPMG_AZR_AZR_Q1_19_AzureDirect-Trial-Social</v>
      </c>
      <c r="H310" s="1" t="n">
        <f aca="false">IFERROR(VLOOKUP(OFFSET(Table22,309,21,1,1),OFFSET(Table2,0,1,ROWS(Table2),8),3,0),VLOOKUP(OFFSET(Table22,309,22,1,1),Table2,4,0))</f>
        <v>21356941</v>
      </c>
      <c r="I310" s="2" t="n">
        <f aca="false">IFERROR(VLOOKUP(OFFSET(Table22,309,21,1,1),OFFSET(Table2,0,1,ROWS(Table2),8),4,0),VLOOKUP(OFFSET(Table22,309,22,1,1),Table2,5,0))</f>
        <v>720193</v>
      </c>
      <c r="J310" s="3" t="str">
        <f aca="false">IF(ISNUMBER(SEARCH("FACEBOOK",W310)),"Facebook",IF(ISNUMBER(SEARCH("INSTAGRAM",W310)),"Facebook-Instagram","Look at taxonomy"))</f>
        <v>Facebook</v>
      </c>
      <c r="K310" s="3" t="str">
        <f aca="false">IF(ISNUMBER(SEARCH("Facebook",J310)),"3654128","Not Facebook")</f>
        <v>3654128</v>
      </c>
      <c r="L310" s="3" t="str">
        <f aca="false">IFERROR(VLOOKUP(OFFSET(Table22,309,21,1,1),OFFSET(Table2,0,1,ROWS(Table2),8),7,0),VLOOKUP(OFFSET(Table22,309,22,1,1),Table2,8,0))</f>
        <v>AZR_reeAcctRetargetingFB-Animated-ChC_FRA_1200x628_SOC_AZRDirect_French_NA_Facebook_SBAN_SINU_T3_1</v>
      </c>
      <c r="M310" s="2" t="n">
        <f aca="false">IFERROR(VLOOKUP(OFFSET(Table22,309,21,1,1),OFFSET(Table2,0,1,ROWS(Table2),8),8,0),VLOOKUP(OFFSET(Table22,309,22,1,1),Table2,9,0))</f>
        <v>103259775</v>
      </c>
      <c r="N310" s="15" t="s">
        <v>29</v>
      </c>
      <c r="O310" s="16" t="n">
        <v>43357</v>
      </c>
      <c r="P310" s="17" t="s">
        <v>102</v>
      </c>
      <c r="Q310" s="18" t="s">
        <v>103</v>
      </c>
      <c r="R310" s="17" t="s">
        <v>104</v>
      </c>
      <c r="S310" s="18" t="s">
        <v>33</v>
      </c>
      <c r="T310" s="17" t="s">
        <v>34</v>
      </c>
      <c r="U310" s="18" t="s">
        <v>39</v>
      </c>
      <c r="V310" s="19" t="n">
        <v>226360037</v>
      </c>
      <c r="W310" s="17" t="s">
        <v>111</v>
      </c>
      <c r="X310" s="17" t="n">
        <v>0</v>
      </c>
      <c r="Y310" s="17"/>
      <c r="Z310" s="17" t="n">
        <v>0</v>
      </c>
      <c r="AA310" s="17" t="s">
        <v>38</v>
      </c>
      <c r="AB310" s="17"/>
    </row>
    <row r="311" customFormat="false" ht="15" hidden="false" customHeight="false" outlineLevel="0" collapsed="false">
      <c r="A311" s="1" t="str">
        <f aca="false">OFFSET(Table22,310,14,1,1)&amp;OFFSET(Table22,310,21,1,1)</f>
        <v>43356226360037</v>
      </c>
      <c r="B311" s="1" t="str">
        <f aca="false">OFFSET(Table22,310,14,1,1)&amp;OFFSET(Table22,310,22,1,1)</f>
        <v>43356Facebook»Developers/ITPros-Azure Direct-Sponsored Post_Trial-Link Ad-FreeAcctRetargetingFB-Animated-ChC CanvasOpener»1x1»SocialBan»SOC»ALL»CPC»LAL»D»UNK»SS»NA»Trials_ID</v>
      </c>
      <c r="C311" s="1" t="s">
        <v>28</v>
      </c>
      <c r="D311" s="3" t="n">
        <f aca="false">O311+(7-WEEKDAY(O311))</f>
        <v>43358</v>
      </c>
      <c r="E311" s="1" t="str">
        <f aca="false">VLOOKUP(OFFSET(Table22,310,16,1,1),Key!B:D,2,0)</f>
        <v>France</v>
      </c>
      <c r="F311" s="1" t="str">
        <f aca="false">IF(ISNUMBER(SEARCH("Canvas",U311)),"Link",IF(ISNUMBER(SEARCH("Link",U311)),"Link","Not filled properly"))</f>
        <v>Link</v>
      </c>
      <c r="G311" s="1" t="str">
        <f aca="false">IFERROR(VLOOKUP(OFFSET(Table22,310,21,1,1),OFFSET(Table2,0,1,ROWS(Table2),8),2,0),VLOOKUP(OFFSET(Table22,310,22,1,1),Table2,3,0))</f>
        <v>FRA_gaPMG_AZR_AZR_Q1_19_AzureDirect-Trial-Social</v>
      </c>
      <c r="H311" s="1" t="n">
        <f aca="false">IFERROR(VLOOKUP(OFFSET(Table22,310,21,1,1),OFFSET(Table2,0,1,ROWS(Table2),8),3,0),VLOOKUP(OFFSET(Table22,310,22,1,1),Table2,4,0))</f>
        <v>21356941</v>
      </c>
      <c r="I311" s="2" t="n">
        <f aca="false">IFERROR(VLOOKUP(OFFSET(Table22,310,21,1,1),OFFSET(Table2,0,1,ROWS(Table2),8),4,0),VLOOKUP(OFFSET(Table22,310,22,1,1),Table2,5,0))</f>
        <v>720193</v>
      </c>
      <c r="J311" s="3" t="str">
        <f aca="false">IF(ISNUMBER(SEARCH("FACEBOOK",W311)),"Facebook",IF(ISNUMBER(SEARCH("INSTAGRAM",W311)),"Facebook-Instagram","Look at taxonomy"))</f>
        <v>Facebook</v>
      </c>
      <c r="K311" s="3" t="str">
        <f aca="false">IF(ISNUMBER(SEARCH("Facebook",J311)),"3654128","Not Facebook")</f>
        <v>3654128</v>
      </c>
      <c r="L311" s="3" t="str">
        <f aca="false">IFERROR(VLOOKUP(OFFSET(Table22,310,21,1,1),OFFSET(Table2,0,1,ROWS(Table2),8),7,0),VLOOKUP(OFFSET(Table22,310,22,1,1),Table2,8,0))</f>
        <v>AZR_reeAcctRetargetingFB-Animated-ChC_FRA_1200x628_SOC_AZRDirect_French_NA_Facebook_SBAN_SINU_T3_1</v>
      </c>
      <c r="M311" s="2" t="n">
        <f aca="false">IFERROR(VLOOKUP(OFFSET(Table22,310,21,1,1),OFFSET(Table2,0,1,ROWS(Table2),8),8,0),VLOOKUP(OFFSET(Table22,310,22,1,1),Table2,9,0))</f>
        <v>103259775</v>
      </c>
      <c r="N311" s="15" t="s">
        <v>29</v>
      </c>
      <c r="O311" s="16" t="n">
        <v>43356</v>
      </c>
      <c r="P311" s="17" t="s">
        <v>102</v>
      </c>
      <c r="Q311" s="18" t="s">
        <v>103</v>
      </c>
      <c r="R311" s="17" t="s">
        <v>104</v>
      </c>
      <c r="S311" s="18" t="s">
        <v>33</v>
      </c>
      <c r="T311" s="17" t="s">
        <v>34</v>
      </c>
      <c r="U311" s="18" t="s">
        <v>39</v>
      </c>
      <c r="V311" s="19" t="n">
        <v>226360037</v>
      </c>
      <c r="W311" s="17" t="s">
        <v>111</v>
      </c>
      <c r="X311" s="17" t="n">
        <v>0</v>
      </c>
      <c r="Y311" s="17"/>
      <c r="Z311" s="17" t="n">
        <v>0</v>
      </c>
      <c r="AA311" s="17" t="s">
        <v>38</v>
      </c>
      <c r="AB311" s="17"/>
    </row>
    <row r="312" customFormat="false" ht="15" hidden="false" customHeight="false" outlineLevel="0" collapsed="false">
      <c r="A312" s="1" t="str">
        <f aca="false">OFFSET(Table22,311,14,1,1)&amp;OFFSET(Table22,311,21,1,1)</f>
        <v>43355226360037</v>
      </c>
      <c r="B312" s="1" t="str">
        <f aca="false">OFFSET(Table22,311,14,1,1)&amp;OFFSET(Table22,311,22,1,1)</f>
        <v>43355Facebook»Developers/ITPros-Azure Direct-Sponsored Post_Trial-Link Ad-FreeAcctRetargetingFB-Animated-ChC CanvasOpener»1x1»SocialBan»SOC»ALL»CPC»LAL»D»UNK»SS»NA»Trials_ID</v>
      </c>
      <c r="C312" s="1" t="s">
        <v>28</v>
      </c>
      <c r="D312" s="3" t="n">
        <f aca="false">O312+(7-WEEKDAY(O312))</f>
        <v>43358</v>
      </c>
      <c r="E312" s="1" t="str">
        <f aca="false">VLOOKUP(OFFSET(Table22,311,16,1,1),Key!B:D,2,0)</f>
        <v>France</v>
      </c>
      <c r="F312" s="1" t="str">
        <f aca="false">IF(ISNUMBER(SEARCH("Canvas",U312)),"Link",IF(ISNUMBER(SEARCH("Link",U312)),"Link","Not filled properly"))</f>
        <v>Link</v>
      </c>
      <c r="G312" s="1" t="str">
        <f aca="false">IFERROR(VLOOKUP(OFFSET(Table22,311,21,1,1),OFFSET(Table2,0,1,ROWS(Table2),8),2,0),VLOOKUP(OFFSET(Table22,311,22,1,1),Table2,3,0))</f>
        <v>FRA_gaPMG_AZR_AZR_Q1_19_AzureDirect-Trial-Social</v>
      </c>
      <c r="H312" s="1" t="n">
        <f aca="false">IFERROR(VLOOKUP(OFFSET(Table22,311,21,1,1),OFFSET(Table2,0,1,ROWS(Table2),8),3,0),VLOOKUP(OFFSET(Table22,311,22,1,1),Table2,4,0))</f>
        <v>21356941</v>
      </c>
      <c r="I312" s="2" t="n">
        <f aca="false">IFERROR(VLOOKUP(OFFSET(Table22,311,21,1,1),OFFSET(Table2,0,1,ROWS(Table2),8),4,0),VLOOKUP(OFFSET(Table22,311,22,1,1),Table2,5,0))</f>
        <v>720193</v>
      </c>
      <c r="J312" s="3" t="str">
        <f aca="false">IF(ISNUMBER(SEARCH("FACEBOOK",W312)),"Facebook",IF(ISNUMBER(SEARCH("INSTAGRAM",W312)),"Facebook-Instagram","Look at taxonomy"))</f>
        <v>Facebook</v>
      </c>
      <c r="K312" s="3" t="str">
        <f aca="false">IF(ISNUMBER(SEARCH("Facebook",J312)),"3654128","Not Facebook")</f>
        <v>3654128</v>
      </c>
      <c r="L312" s="3" t="str">
        <f aca="false">IFERROR(VLOOKUP(OFFSET(Table22,311,21,1,1),OFFSET(Table2,0,1,ROWS(Table2),8),7,0),VLOOKUP(OFFSET(Table22,311,22,1,1),Table2,8,0))</f>
        <v>AZR_reeAcctRetargetingFB-Animated-ChC_FRA_1200x628_SOC_AZRDirect_French_NA_Facebook_SBAN_SINU_T3_1</v>
      </c>
      <c r="M312" s="2" t="n">
        <f aca="false">IFERROR(VLOOKUP(OFFSET(Table22,311,21,1,1),OFFSET(Table2,0,1,ROWS(Table2),8),8,0),VLOOKUP(OFFSET(Table22,311,22,1,1),Table2,9,0))</f>
        <v>103259775</v>
      </c>
      <c r="N312" s="15" t="s">
        <v>29</v>
      </c>
      <c r="O312" s="16" t="n">
        <v>43355</v>
      </c>
      <c r="P312" s="17" t="s">
        <v>102</v>
      </c>
      <c r="Q312" s="18" t="s">
        <v>103</v>
      </c>
      <c r="R312" s="17" t="s">
        <v>104</v>
      </c>
      <c r="S312" s="18" t="s">
        <v>33</v>
      </c>
      <c r="T312" s="17" t="s">
        <v>34</v>
      </c>
      <c r="U312" s="18" t="s">
        <v>39</v>
      </c>
      <c r="V312" s="19" t="n">
        <v>226360037</v>
      </c>
      <c r="W312" s="17" t="s">
        <v>111</v>
      </c>
      <c r="X312" s="17" t="n">
        <v>0</v>
      </c>
      <c r="Y312" s="17"/>
      <c r="Z312" s="17" t="n">
        <v>0</v>
      </c>
      <c r="AA312" s="17" t="s">
        <v>38</v>
      </c>
      <c r="AB312" s="17"/>
    </row>
    <row r="313" customFormat="false" ht="15" hidden="false" customHeight="false" outlineLevel="0" collapsed="false">
      <c r="A313" s="1" t="str">
        <f aca="false">OFFSET(Table22,312,14,1,1)&amp;OFFSET(Table22,312,21,1,1)</f>
        <v>43354226360037</v>
      </c>
      <c r="B313" s="1" t="str">
        <f aca="false">OFFSET(Table22,312,14,1,1)&amp;OFFSET(Table22,312,22,1,1)</f>
        <v>43354Facebook»Developers/ITPros-Azure Direct-Sponsored Post_Trial-Link Ad-FreeAcctRetargetingFB-Animated-ChC CanvasOpener»1x1»SocialBan»SOC»ALL»CPC»LAL»D»UNK»SS»NA»Trials_ID</v>
      </c>
      <c r="C313" s="1" t="s">
        <v>28</v>
      </c>
      <c r="D313" s="3" t="n">
        <f aca="false">O313+(7-WEEKDAY(O313))</f>
        <v>43358</v>
      </c>
      <c r="E313" s="1" t="str">
        <f aca="false">VLOOKUP(OFFSET(Table22,312,16,1,1),Key!B:D,2,0)</f>
        <v>France</v>
      </c>
      <c r="F313" s="1" t="str">
        <f aca="false">IF(ISNUMBER(SEARCH("Canvas",U313)),"Link",IF(ISNUMBER(SEARCH("Link",U313)),"Link","Not filled properly"))</f>
        <v>Link</v>
      </c>
      <c r="G313" s="1" t="str">
        <f aca="false">IFERROR(VLOOKUP(OFFSET(Table22,312,21,1,1),OFFSET(Table2,0,1,ROWS(Table2),8),2,0),VLOOKUP(OFFSET(Table22,312,22,1,1),Table2,3,0))</f>
        <v>FRA_gaPMG_AZR_AZR_Q1_19_AzureDirect-Trial-Social</v>
      </c>
      <c r="H313" s="1" t="n">
        <f aca="false">IFERROR(VLOOKUP(OFFSET(Table22,312,21,1,1),OFFSET(Table2,0,1,ROWS(Table2),8),3,0),VLOOKUP(OFFSET(Table22,312,22,1,1),Table2,4,0))</f>
        <v>21356941</v>
      </c>
      <c r="I313" s="2" t="n">
        <f aca="false">IFERROR(VLOOKUP(OFFSET(Table22,312,21,1,1),OFFSET(Table2,0,1,ROWS(Table2),8),4,0),VLOOKUP(OFFSET(Table22,312,22,1,1),Table2,5,0))</f>
        <v>720193</v>
      </c>
      <c r="J313" s="3" t="str">
        <f aca="false">IF(ISNUMBER(SEARCH("FACEBOOK",W313)),"Facebook",IF(ISNUMBER(SEARCH("INSTAGRAM",W313)),"Facebook-Instagram","Look at taxonomy"))</f>
        <v>Facebook</v>
      </c>
      <c r="K313" s="3" t="str">
        <f aca="false">IF(ISNUMBER(SEARCH("Facebook",J313)),"3654128","Not Facebook")</f>
        <v>3654128</v>
      </c>
      <c r="L313" s="3" t="str">
        <f aca="false">IFERROR(VLOOKUP(OFFSET(Table22,312,21,1,1),OFFSET(Table2,0,1,ROWS(Table2),8),7,0),VLOOKUP(OFFSET(Table22,312,22,1,1),Table2,8,0))</f>
        <v>AZR_reeAcctRetargetingFB-Animated-ChC_FRA_1200x628_SOC_AZRDirect_French_NA_Facebook_SBAN_SINU_T3_1</v>
      </c>
      <c r="M313" s="2" t="n">
        <f aca="false">IFERROR(VLOOKUP(OFFSET(Table22,312,21,1,1),OFFSET(Table2,0,1,ROWS(Table2),8),8,0),VLOOKUP(OFFSET(Table22,312,22,1,1),Table2,9,0))</f>
        <v>103259775</v>
      </c>
      <c r="N313" s="15" t="s">
        <v>29</v>
      </c>
      <c r="O313" s="16" t="n">
        <v>43354</v>
      </c>
      <c r="P313" s="17" t="s">
        <v>102</v>
      </c>
      <c r="Q313" s="18" t="s">
        <v>103</v>
      </c>
      <c r="R313" s="17" t="s">
        <v>104</v>
      </c>
      <c r="S313" s="18" t="s">
        <v>33</v>
      </c>
      <c r="T313" s="17" t="s">
        <v>34</v>
      </c>
      <c r="U313" s="18" t="s">
        <v>39</v>
      </c>
      <c r="V313" s="19" t="n">
        <v>226360037</v>
      </c>
      <c r="W313" s="17" t="s">
        <v>111</v>
      </c>
      <c r="X313" s="17" t="n">
        <v>0</v>
      </c>
      <c r="Y313" s="17"/>
      <c r="Z313" s="17" t="n">
        <v>0</v>
      </c>
      <c r="AA313" s="17" t="s">
        <v>38</v>
      </c>
      <c r="AB313" s="17"/>
    </row>
    <row r="314" customFormat="false" ht="15" hidden="false" customHeight="false" outlineLevel="0" collapsed="false">
      <c r="A314" s="1" t="str">
        <f aca="false">OFFSET(Table22,313,14,1,1)&amp;OFFSET(Table22,313,21,1,1)</f>
        <v>43353226360037</v>
      </c>
      <c r="B314" s="1" t="str">
        <f aca="false">OFFSET(Table22,313,14,1,1)&amp;OFFSET(Table22,313,22,1,1)</f>
        <v>43353Facebook»Developers/ITPros-Azure Direct-Sponsored Post_Trial-Link Ad-FreeAcctRetargetingFB-Animated-ChC CanvasOpener»1x1»SocialBan»SOC»ALL»CPC»LAL»D»UNK»SS»NA»Trials_ID</v>
      </c>
      <c r="C314" s="1" t="s">
        <v>28</v>
      </c>
      <c r="D314" s="3" t="n">
        <f aca="false">O314+(7-WEEKDAY(O314))</f>
        <v>43358</v>
      </c>
      <c r="E314" s="1" t="str">
        <f aca="false">VLOOKUP(OFFSET(Table22,313,16,1,1),Key!B:D,2,0)</f>
        <v>France</v>
      </c>
      <c r="F314" s="1" t="str">
        <f aca="false">IF(ISNUMBER(SEARCH("Canvas",U314)),"Link",IF(ISNUMBER(SEARCH("Link",U314)),"Link","Not filled properly"))</f>
        <v>Link</v>
      </c>
      <c r="G314" s="1" t="str">
        <f aca="false">IFERROR(VLOOKUP(OFFSET(Table22,313,21,1,1),OFFSET(Table2,0,1,ROWS(Table2),8),2,0),VLOOKUP(OFFSET(Table22,313,22,1,1),Table2,3,0))</f>
        <v>FRA_gaPMG_AZR_AZR_Q1_19_AzureDirect-Trial-Social</v>
      </c>
      <c r="H314" s="1" t="n">
        <f aca="false">IFERROR(VLOOKUP(OFFSET(Table22,313,21,1,1),OFFSET(Table2,0,1,ROWS(Table2),8),3,0),VLOOKUP(OFFSET(Table22,313,22,1,1),Table2,4,0))</f>
        <v>21356941</v>
      </c>
      <c r="I314" s="2" t="n">
        <f aca="false">IFERROR(VLOOKUP(OFFSET(Table22,313,21,1,1),OFFSET(Table2,0,1,ROWS(Table2),8),4,0),VLOOKUP(OFFSET(Table22,313,22,1,1),Table2,5,0))</f>
        <v>720193</v>
      </c>
      <c r="J314" s="3" t="str">
        <f aca="false">IF(ISNUMBER(SEARCH("FACEBOOK",W314)),"Facebook",IF(ISNUMBER(SEARCH("INSTAGRAM",W314)),"Facebook-Instagram","Look at taxonomy"))</f>
        <v>Facebook</v>
      </c>
      <c r="K314" s="3" t="str">
        <f aca="false">IF(ISNUMBER(SEARCH("Facebook",J314)),"3654128","Not Facebook")</f>
        <v>3654128</v>
      </c>
      <c r="L314" s="3" t="str">
        <f aca="false">IFERROR(VLOOKUP(OFFSET(Table22,313,21,1,1),OFFSET(Table2,0,1,ROWS(Table2),8),7,0),VLOOKUP(OFFSET(Table22,313,22,1,1),Table2,8,0))</f>
        <v>AZR_reeAcctRetargetingFB-Animated-ChC_FRA_1200x628_SOC_AZRDirect_French_NA_Facebook_SBAN_SINU_T3_1</v>
      </c>
      <c r="M314" s="2" t="n">
        <f aca="false">IFERROR(VLOOKUP(OFFSET(Table22,313,21,1,1),OFFSET(Table2,0,1,ROWS(Table2),8),8,0),VLOOKUP(OFFSET(Table22,313,22,1,1),Table2,9,0))</f>
        <v>103259775</v>
      </c>
      <c r="N314" s="15" t="s">
        <v>29</v>
      </c>
      <c r="O314" s="16" t="n">
        <v>43353</v>
      </c>
      <c r="P314" s="17" t="s">
        <v>102</v>
      </c>
      <c r="Q314" s="18" t="s">
        <v>103</v>
      </c>
      <c r="R314" s="17" t="s">
        <v>104</v>
      </c>
      <c r="S314" s="18" t="s">
        <v>33</v>
      </c>
      <c r="T314" s="17" t="s">
        <v>34</v>
      </c>
      <c r="U314" s="18" t="s">
        <v>39</v>
      </c>
      <c r="V314" s="19" t="n">
        <v>226360037</v>
      </c>
      <c r="W314" s="17" t="s">
        <v>111</v>
      </c>
      <c r="X314" s="17" t="n">
        <v>0</v>
      </c>
      <c r="Y314" s="17"/>
      <c r="Z314" s="17" t="n">
        <v>0</v>
      </c>
      <c r="AA314" s="17" t="s">
        <v>38</v>
      </c>
      <c r="AB314" s="17"/>
    </row>
    <row r="315" customFormat="false" ht="15" hidden="false" customHeight="false" outlineLevel="0" collapsed="false">
      <c r="A315" s="1" t="str">
        <f aca="false">OFFSET(Table22,314,14,1,1)&amp;OFFSET(Table22,314,21,1,1)</f>
        <v>43352226360037</v>
      </c>
      <c r="B315" s="1" t="str">
        <f aca="false">OFFSET(Table22,314,14,1,1)&amp;OFFSET(Table22,314,22,1,1)</f>
        <v>43352Facebook»Developers/ITPros-Azure Direct-Sponsored Post_Trial-Link Ad-FreeAcctRetargetingFB-Animated-ChC CanvasOpener»1x1»SocialBan»SOC»ALL»CPC»LAL»D»UNK»SS»NA»Trials_ID</v>
      </c>
      <c r="C315" s="1" t="s">
        <v>28</v>
      </c>
      <c r="D315" s="3" t="n">
        <f aca="false">O315+(7-WEEKDAY(O315))</f>
        <v>43358</v>
      </c>
      <c r="E315" s="1" t="str">
        <f aca="false">VLOOKUP(OFFSET(Table22,314,16,1,1),Key!B:D,2,0)</f>
        <v>France</v>
      </c>
      <c r="F315" s="1" t="str">
        <f aca="false">IF(ISNUMBER(SEARCH("Canvas",U315)),"Link",IF(ISNUMBER(SEARCH("Link",U315)),"Link","Not filled properly"))</f>
        <v>Link</v>
      </c>
      <c r="G315" s="1" t="str">
        <f aca="false">IFERROR(VLOOKUP(OFFSET(Table22,314,21,1,1),OFFSET(Table2,0,1,ROWS(Table2),8),2,0),VLOOKUP(OFFSET(Table22,314,22,1,1),Table2,3,0))</f>
        <v>FRA_gaPMG_AZR_AZR_Q1_19_AzureDirect-Trial-Social</v>
      </c>
      <c r="H315" s="1" t="n">
        <f aca="false">IFERROR(VLOOKUP(OFFSET(Table22,314,21,1,1),OFFSET(Table2,0,1,ROWS(Table2),8),3,0),VLOOKUP(OFFSET(Table22,314,22,1,1),Table2,4,0))</f>
        <v>21356941</v>
      </c>
      <c r="I315" s="2" t="n">
        <f aca="false">IFERROR(VLOOKUP(OFFSET(Table22,314,21,1,1),OFFSET(Table2,0,1,ROWS(Table2),8),4,0),VLOOKUP(OFFSET(Table22,314,22,1,1),Table2,5,0))</f>
        <v>720193</v>
      </c>
      <c r="J315" s="3" t="str">
        <f aca="false">IF(ISNUMBER(SEARCH("FACEBOOK",W315)),"Facebook",IF(ISNUMBER(SEARCH("INSTAGRAM",W315)),"Facebook-Instagram","Look at taxonomy"))</f>
        <v>Facebook</v>
      </c>
      <c r="K315" s="3" t="str">
        <f aca="false">IF(ISNUMBER(SEARCH("Facebook",J315)),"3654128","Not Facebook")</f>
        <v>3654128</v>
      </c>
      <c r="L315" s="3" t="str">
        <f aca="false">IFERROR(VLOOKUP(OFFSET(Table22,314,21,1,1),OFFSET(Table2,0,1,ROWS(Table2),8),7,0),VLOOKUP(OFFSET(Table22,314,22,1,1),Table2,8,0))</f>
        <v>AZR_reeAcctRetargetingFB-Animated-ChC_FRA_1200x628_SOC_AZRDirect_French_NA_Facebook_SBAN_SINU_T3_1</v>
      </c>
      <c r="M315" s="2" t="n">
        <f aca="false">IFERROR(VLOOKUP(OFFSET(Table22,314,21,1,1),OFFSET(Table2,0,1,ROWS(Table2),8),8,0),VLOOKUP(OFFSET(Table22,314,22,1,1),Table2,9,0))</f>
        <v>103259775</v>
      </c>
      <c r="N315" s="15" t="s">
        <v>29</v>
      </c>
      <c r="O315" s="16" t="n">
        <v>43352</v>
      </c>
      <c r="P315" s="17" t="s">
        <v>102</v>
      </c>
      <c r="Q315" s="18" t="s">
        <v>103</v>
      </c>
      <c r="R315" s="17" t="s">
        <v>104</v>
      </c>
      <c r="S315" s="18" t="s">
        <v>33</v>
      </c>
      <c r="T315" s="17" t="s">
        <v>34</v>
      </c>
      <c r="U315" s="18" t="s">
        <v>39</v>
      </c>
      <c r="V315" s="19" t="n">
        <v>226360037</v>
      </c>
      <c r="W315" s="17" t="s">
        <v>111</v>
      </c>
      <c r="X315" s="17" t="n">
        <v>0</v>
      </c>
      <c r="Y315" s="17"/>
      <c r="Z315" s="17" t="n">
        <v>0</v>
      </c>
      <c r="AA315" s="17" t="s">
        <v>38</v>
      </c>
      <c r="AB315" s="17"/>
    </row>
    <row r="316" customFormat="false" ht="15" hidden="false" customHeight="false" outlineLevel="0" collapsed="false">
      <c r="A316" s="1" t="str">
        <f aca="false">OFFSET(Table22,315,14,1,1)&amp;OFFSET(Table22,315,21,1,1)</f>
        <v>43358226496107</v>
      </c>
      <c r="B316" s="1" t="str">
        <f aca="false">OFFSET(Table22,315,14,1,1)&amp;OFFSET(Table22,315,22,1,1)</f>
        <v>43358Facebook»Developers/ITPros-Azure Direct-Sponsored Post_Trial-Link Ad-FreeAcctRetargetingFB-GlobalAlt-ChB_RTG CanvasOpener»1x1»SocialBan»SOC»ALL»CPC»LAL»D»UNK»SS»NA»Trials_ID</v>
      </c>
      <c r="C316" s="1" t="s">
        <v>28</v>
      </c>
      <c r="D316" s="3" t="n">
        <f aca="false">O316+(7-WEEKDAY(O316))</f>
        <v>43358</v>
      </c>
      <c r="E316" s="1" t="str">
        <f aca="false">VLOOKUP(OFFSET(Table22,315,16,1,1),Key!B:D,2,0)</f>
        <v>France</v>
      </c>
      <c r="F316" s="1" t="str">
        <f aca="false">IF(ISNUMBER(SEARCH("Canvas",U316)),"Link",IF(ISNUMBER(SEARCH("Link",U316)),"Link","Not filled properly"))</f>
        <v>Link</v>
      </c>
      <c r="G316" s="1" t="str">
        <f aca="false">IFERROR(VLOOKUP(OFFSET(Table22,315,21,1,1),OFFSET(Table2,0,1,ROWS(Table2),8),2,0),VLOOKUP(OFFSET(Table22,315,22,1,1),Table2,3,0))</f>
        <v>FRA_gaPMG_AZR_AZR_Q1_19_AzureDirect-Trial-Social</v>
      </c>
      <c r="H316" s="1" t="n">
        <f aca="false">IFERROR(VLOOKUP(OFFSET(Table22,315,21,1,1),OFFSET(Table2,0,1,ROWS(Table2),8),3,0),VLOOKUP(OFFSET(Table22,315,22,1,1),Table2,4,0))</f>
        <v>21356941</v>
      </c>
      <c r="I316" s="2" t="n">
        <f aca="false">IFERROR(VLOOKUP(OFFSET(Table22,315,21,1,1),OFFSET(Table2,0,1,ROWS(Table2),8),4,0),VLOOKUP(OFFSET(Table22,315,22,1,1),Table2,5,0))</f>
        <v>720193</v>
      </c>
      <c r="J316" s="3" t="str">
        <f aca="false">IF(ISNUMBER(SEARCH("FACEBOOK",W316)),"Facebook",IF(ISNUMBER(SEARCH("INSTAGRAM",W316)),"Facebook-Instagram","Look at taxonomy"))</f>
        <v>Facebook</v>
      </c>
      <c r="K316" s="3" t="str">
        <f aca="false">IF(ISNUMBER(SEARCH("Facebook",J316)),"3654128","Not Facebook")</f>
        <v>3654128</v>
      </c>
      <c r="L316" s="3" t="str">
        <f aca="false">IFERROR(VLOOKUP(OFFSET(Table22,315,21,1,1),OFFSET(Table2,0,1,ROWS(Table2),8),7,0),VLOOKUP(OFFSET(Table22,315,22,1,1),Table2,8,0))</f>
        <v>AZR_FreeAcctRetargetingFB-GlobalAlt-ChB_FRA_1200x628_SOC_AZRDirect_French_NA_Facebook_SBAN_SINU_T2_1</v>
      </c>
      <c r="M316" s="2" t="n">
        <f aca="false">IFERROR(VLOOKUP(OFFSET(Table22,315,21,1,1),OFFSET(Table2,0,1,ROWS(Table2),8),8,0),VLOOKUP(OFFSET(Table22,315,22,1,1),Table2,9,0))</f>
        <v>103259520</v>
      </c>
      <c r="N316" s="15" t="s">
        <v>29</v>
      </c>
      <c r="O316" s="16" t="n">
        <v>43358</v>
      </c>
      <c r="P316" s="17" t="s">
        <v>102</v>
      </c>
      <c r="Q316" s="18" t="s">
        <v>103</v>
      </c>
      <c r="R316" s="17" t="s">
        <v>104</v>
      </c>
      <c r="S316" s="18" t="s">
        <v>33</v>
      </c>
      <c r="T316" s="17" t="s">
        <v>34</v>
      </c>
      <c r="U316" s="18" t="s">
        <v>39</v>
      </c>
      <c r="V316" s="19" t="n">
        <v>226496107</v>
      </c>
      <c r="W316" s="17" t="s">
        <v>112</v>
      </c>
      <c r="X316" s="17" t="n">
        <v>0</v>
      </c>
      <c r="Y316" s="17"/>
      <c r="Z316" s="17" t="n">
        <v>0</v>
      </c>
      <c r="AA316" s="17" t="s">
        <v>38</v>
      </c>
      <c r="AB316" s="17"/>
    </row>
    <row r="317" customFormat="false" ht="15" hidden="false" customHeight="false" outlineLevel="0" collapsed="false">
      <c r="A317" s="1" t="str">
        <f aca="false">OFFSET(Table22,316,14,1,1)&amp;OFFSET(Table22,316,21,1,1)</f>
        <v>43357226496107</v>
      </c>
      <c r="B317" s="1" t="str">
        <f aca="false">OFFSET(Table22,316,14,1,1)&amp;OFFSET(Table22,316,22,1,1)</f>
        <v>43357Facebook»Developers/ITPros-Azure Direct-Sponsored Post_Trial-Link Ad-FreeAcctRetargetingFB-GlobalAlt-ChB_RTG CanvasOpener»1x1»SocialBan»SOC»ALL»CPC»LAL»D»UNK»SS»NA»Trials_ID</v>
      </c>
      <c r="C317" s="1" t="s">
        <v>28</v>
      </c>
      <c r="D317" s="3" t="n">
        <f aca="false">O317+(7-WEEKDAY(O317))</f>
        <v>43358</v>
      </c>
      <c r="E317" s="1" t="str">
        <f aca="false">VLOOKUP(OFFSET(Table22,316,16,1,1),Key!B:D,2,0)</f>
        <v>France</v>
      </c>
      <c r="F317" s="1" t="str">
        <f aca="false">IF(ISNUMBER(SEARCH("Canvas",U317)),"Link",IF(ISNUMBER(SEARCH("Link",U317)),"Link","Not filled properly"))</f>
        <v>Link</v>
      </c>
      <c r="G317" s="1" t="str">
        <f aca="false">IFERROR(VLOOKUP(OFFSET(Table22,316,21,1,1),OFFSET(Table2,0,1,ROWS(Table2),8),2,0),VLOOKUP(OFFSET(Table22,316,22,1,1),Table2,3,0))</f>
        <v>FRA_gaPMG_AZR_AZR_Q1_19_AzureDirect-Trial-Social</v>
      </c>
      <c r="H317" s="1" t="n">
        <f aca="false">IFERROR(VLOOKUP(OFFSET(Table22,316,21,1,1),OFFSET(Table2,0,1,ROWS(Table2),8),3,0),VLOOKUP(OFFSET(Table22,316,22,1,1),Table2,4,0))</f>
        <v>21356941</v>
      </c>
      <c r="I317" s="2" t="n">
        <f aca="false">IFERROR(VLOOKUP(OFFSET(Table22,316,21,1,1),OFFSET(Table2,0,1,ROWS(Table2),8),4,0),VLOOKUP(OFFSET(Table22,316,22,1,1),Table2,5,0))</f>
        <v>720193</v>
      </c>
      <c r="J317" s="3" t="str">
        <f aca="false">IF(ISNUMBER(SEARCH("FACEBOOK",W317)),"Facebook",IF(ISNUMBER(SEARCH("INSTAGRAM",W317)),"Facebook-Instagram","Look at taxonomy"))</f>
        <v>Facebook</v>
      </c>
      <c r="K317" s="3" t="str">
        <f aca="false">IF(ISNUMBER(SEARCH("Facebook",J317)),"3654128","Not Facebook")</f>
        <v>3654128</v>
      </c>
      <c r="L317" s="3" t="str">
        <f aca="false">IFERROR(VLOOKUP(OFFSET(Table22,316,21,1,1),OFFSET(Table2,0,1,ROWS(Table2),8),7,0),VLOOKUP(OFFSET(Table22,316,22,1,1),Table2,8,0))</f>
        <v>AZR_FreeAcctRetargetingFB-GlobalAlt-ChB_FRA_1200x628_SOC_AZRDirect_French_NA_Facebook_SBAN_SINU_T2_1</v>
      </c>
      <c r="M317" s="2" t="n">
        <f aca="false">IFERROR(VLOOKUP(OFFSET(Table22,316,21,1,1),OFFSET(Table2,0,1,ROWS(Table2),8),8,0),VLOOKUP(OFFSET(Table22,316,22,1,1),Table2,9,0))</f>
        <v>103259520</v>
      </c>
      <c r="N317" s="15" t="s">
        <v>29</v>
      </c>
      <c r="O317" s="16" t="n">
        <v>43357</v>
      </c>
      <c r="P317" s="17" t="s">
        <v>102</v>
      </c>
      <c r="Q317" s="18" t="s">
        <v>103</v>
      </c>
      <c r="R317" s="17" t="s">
        <v>104</v>
      </c>
      <c r="S317" s="18" t="s">
        <v>33</v>
      </c>
      <c r="T317" s="17" t="s">
        <v>34</v>
      </c>
      <c r="U317" s="18" t="s">
        <v>39</v>
      </c>
      <c r="V317" s="19" t="n">
        <v>226496107</v>
      </c>
      <c r="W317" s="17" t="s">
        <v>112</v>
      </c>
      <c r="X317" s="17" t="n">
        <v>0</v>
      </c>
      <c r="Y317" s="17"/>
      <c r="Z317" s="17" t="n">
        <v>0</v>
      </c>
      <c r="AA317" s="17" t="s">
        <v>38</v>
      </c>
      <c r="AB317" s="17"/>
    </row>
    <row r="318" customFormat="false" ht="15" hidden="false" customHeight="false" outlineLevel="0" collapsed="false">
      <c r="A318" s="1" t="str">
        <f aca="false">OFFSET(Table22,317,14,1,1)&amp;OFFSET(Table22,317,21,1,1)</f>
        <v>43356226496107</v>
      </c>
      <c r="B318" s="1" t="str">
        <f aca="false">OFFSET(Table22,317,14,1,1)&amp;OFFSET(Table22,317,22,1,1)</f>
        <v>43356Facebook»Developers/ITPros-Azure Direct-Sponsored Post_Trial-Link Ad-FreeAcctRetargetingFB-GlobalAlt-ChB_RTG CanvasOpener»1x1»SocialBan»SOC»ALL»CPC»LAL»D»UNK»SS»NA»Trials_ID</v>
      </c>
      <c r="C318" s="1" t="s">
        <v>28</v>
      </c>
      <c r="D318" s="3" t="n">
        <f aca="false">O318+(7-WEEKDAY(O318))</f>
        <v>43358</v>
      </c>
      <c r="E318" s="1" t="str">
        <f aca="false">VLOOKUP(OFFSET(Table22,317,16,1,1),Key!B:D,2,0)</f>
        <v>France</v>
      </c>
      <c r="F318" s="1" t="str">
        <f aca="false">IF(ISNUMBER(SEARCH("Canvas",U318)),"Link",IF(ISNUMBER(SEARCH("Link",U318)),"Link","Not filled properly"))</f>
        <v>Link</v>
      </c>
      <c r="G318" s="1" t="str">
        <f aca="false">IFERROR(VLOOKUP(OFFSET(Table22,317,21,1,1),OFFSET(Table2,0,1,ROWS(Table2),8),2,0),VLOOKUP(OFFSET(Table22,317,22,1,1),Table2,3,0))</f>
        <v>FRA_gaPMG_AZR_AZR_Q1_19_AzureDirect-Trial-Social</v>
      </c>
      <c r="H318" s="1" t="n">
        <f aca="false">IFERROR(VLOOKUP(OFFSET(Table22,317,21,1,1),OFFSET(Table2,0,1,ROWS(Table2),8),3,0),VLOOKUP(OFFSET(Table22,317,22,1,1),Table2,4,0))</f>
        <v>21356941</v>
      </c>
      <c r="I318" s="2" t="n">
        <f aca="false">IFERROR(VLOOKUP(OFFSET(Table22,317,21,1,1),OFFSET(Table2,0,1,ROWS(Table2),8),4,0),VLOOKUP(OFFSET(Table22,317,22,1,1),Table2,5,0))</f>
        <v>720193</v>
      </c>
      <c r="J318" s="3" t="str">
        <f aca="false">IF(ISNUMBER(SEARCH("FACEBOOK",W318)),"Facebook",IF(ISNUMBER(SEARCH("INSTAGRAM",W318)),"Facebook-Instagram","Look at taxonomy"))</f>
        <v>Facebook</v>
      </c>
      <c r="K318" s="3" t="str">
        <f aca="false">IF(ISNUMBER(SEARCH("Facebook",J318)),"3654128","Not Facebook")</f>
        <v>3654128</v>
      </c>
      <c r="L318" s="3" t="str">
        <f aca="false">IFERROR(VLOOKUP(OFFSET(Table22,317,21,1,1),OFFSET(Table2,0,1,ROWS(Table2),8),7,0),VLOOKUP(OFFSET(Table22,317,22,1,1),Table2,8,0))</f>
        <v>AZR_FreeAcctRetargetingFB-GlobalAlt-ChB_FRA_1200x628_SOC_AZRDirect_French_NA_Facebook_SBAN_SINU_T2_1</v>
      </c>
      <c r="M318" s="2" t="n">
        <f aca="false">IFERROR(VLOOKUP(OFFSET(Table22,317,21,1,1),OFFSET(Table2,0,1,ROWS(Table2),8),8,0),VLOOKUP(OFFSET(Table22,317,22,1,1),Table2,9,0))</f>
        <v>103259520</v>
      </c>
      <c r="N318" s="15" t="s">
        <v>29</v>
      </c>
      <c r="O318" s="16" t="n">
        <v>43356</v>
      </c>
      <c r="P318" s="17" t="s">
        <v>102</v>
      </c>
      <c r="Q318" s="18" t="s">
        <v>103</v>
      </c>
      <c r="R318" s="17" t="s">
        <v>104</v>
      </c>
      <c r="S318" s="18" t="s">
        <v>33</v>
      </c>
      <c r="T318" s="17" t="s">
        <v>34</v>
      </c>
      <c r="U318" s="18" t="s">
        <v>39</v>
      </c>
      <c r="V318" s="19" t="n">
        <v>226496107</v>
      </c>
      <c r="W318" s="17" t="s">
        <v>112</v>
      </c>
      <c r="X318" s="17" t="n">
        <v>0</v>
      </c>
      <c r="Y318" s="17"/>
      <c r="Z318" s="17" t="n">
        <v>0</v>
      </c>
      <c r="AA318" s="17" t="s">
        <v>38</v>
      </c>
      <c r="AB318" s="17"/>
    </row>
    <row r="319" customFormat="false" ht="15" hidden="false" customHeight="false" outlineLevel="0" collapsed="false">
      <c r="A319" s="1" t="str">
        <f aca="false">OFFSET(Table22,318,14,1,1)&amp;OFFSET(Table22,318,21,1,1)</f>
        <v>43355226496107</v>
      </c>
      <c r="B319" s="1" t="str">
        <f aca="false">OFFSET(Table22,318,14,1,1)&amp;OFFSET(Table22,318,22,1,1)</f>
        <v>43355Facebook»Developers/ITPros-Azure Direct-Sponsored Post_Trial-Link Ad-FreeAcctRetargetingFB-GlobalAlt-ChB_RTG CanvasOpener»1x1»SocialBan»SOC»ALL»CPC»LAL»D»UNK»SS»NA»Trials_ID</v>
      </c>
      <c r="C319" s="1" t="s">
        <v>28</v>
      </c>
      <c r="D319" s="3" t="n">
        <f aca="false">O319+(7-WEEKDAY(O319))</f>
        <v>43358</v>
      </c>
      <c r="E319" s="1" t="str">
        <f aca="false">VLOOKUP(OFFSET(Table22,318,16,1,1),Key!B:D,2,0)</f>
        <v>France</v>
      </c>
      <c r="F319" s="1" t="str">
        <f aca="false">IF(ISNUMBER(SEARCH("Canvas",U319)),"Link",IF(ISNUMBER(SEARCH("Link",U319)),"Link","Not filled properly"))</f>
        <v>Link</v>
      </c>
      <c r="G319" s="1" t="str">
        <f aca="false">IFERROR(VLOOKUP(OFFSET(Table22,318,21,1,1),OFFSET(Table2,0,1,ROWS(Table2),8),2,0),VLOOKUP(OFFSET(Table22,318,22,1,1),Table2,3,0))</f>
        <v>FRA_gaPMG_AZR_AZR_Q1_19_AzureDirect-Trial-Social</v>
      </c>
      <c r="H319" s="1" t="n">
        <f aca="false">IFERROR(VLOOKUP(OFFSET(Table22,318,21,1,1),OFFSET(Table2,0,1,ROWS(Table2),8),3,0),VLOOKUP(OFFSET(Table22,318,22,1,1),Table2,4,0))</f>
        <v>21356941</v>
      </c>
      <c r="I319" s="2" t="n">
        <f aca="false">IFERROR(VLOOKUP(OFFSET(Table22,318,21,1,1),OFFSET(Table2,0,1,ROWS(Table2),8),4,0),VLOOKUP(OFFSET(Table22,318,22,1,1),Table2,5,0))</f>
        <v>720193</v>
      </c>
      <c r="J319" s="3" t="str">
        <f aca="false">IF(ISNUMBER(SEARCH("FACEBOOK",W319)),"Facebook",IF(ISNUMBER(SEARCH("INSTAGRAM",W319)),"Facebook-Instagram","Look at taxonomy"))</f>
        <v>Facebook</v>
      </c>
      <c r="K319" s="3" t="str">
        <f aca="false">IF(ISNUMBER(SEARCH("Facebook",J319)),"3654128","Not Facebook")</f>
        <v>3654128</v>
      </c>
      <c r="L319" s="3" t="str">
        <f aca="false">IFERROR(VLOOKUP(OFFSET(Table22,318,21,1,1),OFFSET(Table2,0,1,ROWS(Table2),8),7,0),VLOOKUP(OFFSET(Table22,318,22,1,1),Table2,8,0))</f>
        <v>AZR_FreeAcctRetargetingFB-GlobalAlt-ChB_FRA_1200x628_SOC_AZRDirect_French_NA_Facebook_SBAN_SINU_T2_1</v>
      </c>
      <c r="M319" s="2" t="n">
        <f aca="false">IFERROR(VLOOKUP(OFFSET(Table22,318,21,1,1),OFFSET(Table2,0,1,ROWS(Table2),8),8,0),VLOOKUP(OFFSET(Table22,318,22,1,1),Table2,9,0))</f>
        <v>103259520</v>
      </c>
      <c r="N319" s="15" t="s">
        <v>29</v>
      </c>
      <c r="O319" s="16" t="n">
        <v>43355</v>
      </c>
      <c r="P319" s="17" t="s">
        <v>102</v>
      </c>
      <c r="Q319" s="18" t="s">
        <v>103</v>
      </c>
      <c r="R319" s="17" t="s">
        <v>104</v>
      </c>
      <c r="S319" s="18" t="s">
        <v>33</v>
      </c>
      <c r="T319" s="17" t="s">
        <v>34</v>
      </c>
      <c r="U319" s="18" t="s">
        <v>39</v>
      </c>
      <c r="V319" s="19" t="n">
        <v>226496107</v>
      </c>
      <c r="W319" s="17" t="s">
        <v>112</v>
      </c>
      <c r="X319" s="17" t="n">
        <v>0</v>
      </c>
      <c r="Y319" s="17"/>
      <c r="Z319" s="17" t="n">
        <v>0</v>
      </c>
      <c r="AA319" s="17" t="s">
        <v>38</v>
      </c>
      <c r="AB319" s="17"/>
    </row>
    <row r="320" customFormat="false" ht="15" hidden="false" customHeight="false" outlineLevel="0" collapsed="false">
      <c r="A320" s="1" t="str">
        <f aca="false">OFFSET(Table22,319,14,1,1)&amp;OFFSET(Table22,319,21,1,1)</f>
        <v>43354226496107</v>
      </c>
      <c r="B320" s="1" t="str">
        <f aca="false">OFFSET(Table22,319,14,1,1)&amp;OFFSET(Table22,319,22,1,1)</f>
        <v>43354Facebook»Developers/ITPros-Azure Direct-Sponsored Post_Trial-Link Ad-FreeAcctRetargetingFB-GlobalAlt-ChB_RTG CanvasOpener»1x1»SocialBan»SOC»ALL»CPC»LAL»D»UNK»SS»NA»Trials_ID</v>
      </c>
      <c r="C320" s="1" t="s">
        <v>28</v>
      </c>
      <c r="D320" s="3" t="n">
        <f aca="false">O320+(7-WEEKDAY(O320))</f>
        <v>43358</v>
      </c>
      <c r="E320" s="1" t="str">
        <f aca="false">VLOOKUP(OFFSET(Table22,319,16,1,1),Key!B:D,2,0)</f>
        <v>France</v>
      </c>
      <c r="F320" s="1" t="str">
        <f aca="false">IF(ISNUMBER(SEARCH("Canvas",U320)),"Link",IF(ISNUMBER(SEARCH("Link",U320)),"Link","Not filled properly"))</f>
        <v>Link</v>
      </c>
      <c r="G320" s="1" t="str">
        <f aca="false">IFERROR(VLOOKUP(OFFSET(Table22,319,21,1,1),OFFSET(Table2,0,1,ROWS(Table2),8),2,0),VLOOKUP(OFFSET(Table22,319,22,1,1),Table2,3,0))</f>
        <v>FRA_gaPMG_AZR_AZR_Q1_19_AzureDirect-Trial-Social</v>
      </c>
      <c r="H320" s="1" t="n">
        <f aca="false">IFERROR(VLOOKUP(OFFSET(Table22,319,21,1,1),OFFSET(Table2,0,1,ROWS(Table2),8),3,0),VLOOKUP(OFFSET(Table22,319,22,1,1),Table2,4,0))</f>
        <v>21356941</v>
      </c>
      <c r="I320" s="2" t="n">
        <f aca="false">IFERROR(VLOOKUP(OFFSET(Table22,319,21,1,1),OFFSET(Table2,0,1,ROWS(Table2),8),4,0),VLOOKUP(OFFSET(Table22,319,22,1,1),Table2,5,0))</f>
        <v>720193</v>
      </c>
      <c r="J320" s="3" t="str">
        <f aca="false">IF(ISNUMBER(SEARCH("FACEBOOK",W320)),"Facebook",IF(ISNUMBER(SEARCH("INSTAGRAM",W320)),"Facebook-Instagram","Look at taxonomy"))</f>
        <v>Facebook</v>
      </c>
      <c r="K320" s="3" t="str">
        <f aca="false">IF(ISNUMBER(SEARCH("Facebook",J320)),"3654128","Not Facebook")</f>
        <v>3654128</v>
      </c>
      <c r="L320" s="3" t="str">
        <f aca="false">IFERROR(VLOOKUP(OFFSET(Table22,319,21,1,1),OFFSET(Table2,0,1,ROWS(Table2),8),7,0),VLOOKUP(OFFSET(Table22,319,22,1,1),Table2,8,0))</f>
        <v>AZR_FreeAcctRetargetingFB-GlobalAlt-ChB_FRA_1200x628_SOC_AZRDirect_French_NA_Facebook_SBAN_SINU_T2_1</v>
      </c>
      <c r="M320" s="2" t="n">
        <f aca="false">IFERROR(VLOOKUP(OFFSET(Table22,319,21,1,1),OFFSET(Table2,0,1,ROWS(Table2),8),8,0),VLOOKUP(OFFSET(Table22,319,22,1,1),Table2,9,0))</f>
        <v>103259520</v>
      </c>
      <c r="N320" s="15" t="s">
        <v>29</v>
      </c>
      <c r="O320" s="16" t="n">
        <v>43354</v>
      </c>
      <c r="P320" s="17" t="s">
        <v>102</v>
      </c>
      <c r="Q320" s="18" t="s">
        <v>103</v>
      </c>
      <c r="R320" s="17" t="s">
        <v>104</v>
      </c>
      <c r="S320" s="18" t="s">
        <v>33</v>
      </c>
      <c r="T320" s="17" t="s">
        <v>34</v>
      </c>
      <c r="U320" s="18" t="s">
        <v>39</v>
      </c>
      <c r="V320" s="19" t="n">
        <v>226496107</v>
      </c>
      <c r="W320" s="17" t="s">
        <v>112</v>
      </c>
      <c r="X320" s="17" t="n">
        <v>0</v>
      </c>
      <c r="Y320" s="17"/>
      <c r="Z320" s="17" t="n">
        <v>0</v>
      </c>
      <c r="AA320" s="17" t="s">
        <v>38</v>
      </c>
      <c r="AB320" s="17"/>
    </row>
    <row r="321" customFormat="false" ht="15" hidden="false" customHeight="false" outlineLevel="0" collapsed="false">
      <c r="A321" s="1" t="str">
        <f aca="false">OFFSET(Table22,320,14,1,1)&amp;OFFSET(Table22,320,21,1,1)</f>
        <v>43353226496107</v>
      </c>
      <c r="B321" s="1" t="str">
        <f aca="false">OFFSET(Table22,320,14,1,1)&amp;OFFSET(Table22,320,22,1,1)</f>
        <v>43353Facebook»Developers/ITPros-Azure Direct-Sponsored Post_Trial-Link Ad-FreeAcctRetargetingFB-GlobalAlt-ChB_RTG CanvasOpener»1x1»SocialBan»SOC»ALL»CPC»LAL»D»UNK»SS»NA»Trials_ID</v>
      </c>
      <c r="C321" s="1" t="s">
        <v>28</v>
      </c>
      <c r="D321" s="3" t="n">
        <f aca="false">O321+(7-WEEKDAY(O321))</f>
        <v>43358</v>
      </c>
      <c r="E321" s="1" t="str">
        <f aca="false">VLOOKUP(OFFSET(Table22,320,16,1,1),Key!B:D,2,0)</f>
        <v>France</v>
      </c>
      <c r="F321" s="1" t="str">
        <f aca="false">IF(ISNUMBER(SEARCH("Canvas",U321)),"Link",IF(ISNUMBER(SEARCH("Link",U321)),"Link","Not filled properly"))</f>
        <v>Link</v>
      </c>
      <c r="G321" s="1" t="str">
        <f aca="false">IFERROR(VLOOKUP(OFFSET(Table22,320,21,1,1),OFFSET(Table2,0,1,ROWS(Table2),8),2,0),VLOOKUP(OFFSET(Table22,320,22,1,1),Table2,3,0))</f>
        <v>FRA_gaPMG_AZR_AZR_Q1_19_AzureDirect-Trial-Social</v>
      </c>
      <c r="H321" s="1" t="n">
        <f aca="false">IFERROR(VLOOKUP(OFFSET(Table22,320,21,1,1),OFFSET(Table2,0,1,ROWS(Table2),8),3,0),VLOOKUP(OFFSET(Table22,320,22,1,1),Table2,4,0))</f>
        <v>21356941</v>
      </c>
      <c r="I321" s="2" t="n">
        <f aca="false">IFERROR(VLOOKUP(OFFSET(Table22,320,21,1,1),OFFSET(Table2,0,1,ROWS(Table2),8),4,0),VLOOKUP(OFFSET(Table22,320,22,1,1),Table2,5,0))</f>
        <v>720193</v>
      </c>
      <c r="J321" s="3" t="str">
        <f aca="false">IF(ISNUMBER(SEARCH("FACEBOOK",W321)),"Facebook",IF(ISNUMBER(SEARCH("INSTAGRAM",W321)),"Facebook-Instagram","Look at taxonomy"))</f>
        <v>Facebook</v>
      </c>
      <c r="K321" s="3" t="str">
        <f aca="false">IF(ISNUMBER(SEARCH("Facebook",J321)),"3654128","Not Facebook")</f>
        <v>3654128</v>
      </c>
      <c r="L321" s="3" t="str">
        <f aca="false">IFERROR(VLOOKUP(OFFSET(Table22,320,21,1,1),OFFSET(Table2,0,1,ROWS(Table2),8),7,0),VLOOKUP(OFFSET(Table22,320,22,1,1),Table2,8,0))</f>
        <v>AZR_FreeAcctRetargetingFB-GlobalAlt-ChB_FRA_1200x628_SOC_AZRDirect_French_NA_Facebook_SBAN_SINU_T2_1</v>
      </c>
      <c r="M321" s="2" t="n">
        <f aca="false">IFERROR(VLOOKUP(OFFSET(Table22,320,21,1,1),OFFSET(Table2,0,1,ROWS(Table2),8),8,0),VLOOKUP(OFFSET(Table22,320,22,1,1),Table2,9,0))</f>
        <v>103259520</v>
      </c>
      <c r="N321" s="15" t="s">
        <v>29</v>
      </c>
      <c r="O321" s="16" t="n">
        <v>43353</v>
      </c>
      <c r="P321" s="17" t="s">
        <v>102</v>
      </c>
      <c r="Q321" s="18" t="s">
        <v>103</v>
      </c>
      <c r="R321" s="17" t="s">
        <v>104</v>
      </c>
      <c r="S321" s="18" t="s">
        <v>33</v>
      </c>
      <c r="T321" s="17" t="s">
        <v>34</v>
      </c>
      <c r="U321" s="18" t="s">
        <v>39</v>
      </c>
      <c r="V321" s="19" t="n">
        <v>226496107</v>
      </c>
      <c r="W321" s="17" t="s">
        <v>112</v>
      </c>
      <c r="X321" s="17" t="n">
        <v>0</v>
      </c>
      <c r="Y321" s="17"/>
      <c r="Z321" s="17" t="n">
        <v>0</v>
      </c>
      <c r="AA321" s="17" t="s">
        <v>38</v>
      </c>
      <c r="AB321" s="17"/>
    </row>
    <row r="322" customFormat="false" ht="15" hidden="false" customHeight="false" outlineLevel="0" collapsed="false">
      <c r="A322" s="1" t="str">
        <f aca="false">OFFSET(Table22,321,14,1,1)&amp;OFFSET(Table22,321,21,1,1)</f>
        <v>43352226496107</v>
      </c>
      <c r="B322" s="1" t="str">
        <f aca="false">OFFSET(Table22,321,14,1,1)&amp;OFFSET(Table22,321,22,1,1)</f>
        <v>43352Facebook»Developers/ITPros-Azure Direct-Sponsored Post_Trial-Link Ad-FreeAcctRetargetingFB-GlobalAlt-ChB_RTG CanvasOpener»1x1»SocialBan»SOC»ALL»CPC»LAL»D»UNK»SS»NA»Trials_ID</v>
      </c>
      <c r="C322" s="1" t="s">
        <v>28</v>
      </c>
      <c r="D322" s="3" t="n">
        <f aca="false">O322+(7-WEEKDAY(O322))</f>
        <v>43358</v>
      </c>
      <c r="E322" s="1" t="str">
        <f aca="false">VLOOKUP(OFFSET(Table22,321,16,1,1),Key!B:D,2,0)</f>
        <v>France</v>
      </c>
      <c r="F322" s="1" t="str">
        <f aca="false">IF(ISNUMBER(SEARCH("Canvas",U322)),"Link",IF(ISNUMBER(SEARCH("Link",U322)),"Link","Not filled properly"))</f>
        <v>Link</v>
      </c>
      <c r="G322" s="1" t="str">
        <f aca="false">IFERROR(VLOOKUP(OFFSET(Table22,321,21,1,1),OFFSET(Table2,0,1,ROWS(Table2),8),2,0),VLOOKUP(OFFSET(Table22,321,22,1,1),Table2,3,0))</f>
        <v>FRA_gaPMG_AZR_AZR_Q1_19_AzureDirect-Trial-Social</v>
      </c>
      <c r="H322" s="1" t="n">
        <f aca="false">IFERROR(VLOOKUP(OFFSET(Table22,321,21,1,1),OFFSET(Table2,0,1,ROWS(Table2),8),3,0),VLOOKUP(OFFSET(Table22,321,22,1,1),Table2,4,0))</f>
        <v>21356941</v>
      </c>
      <c r="I322" s="2" t="n">
        <f aca="false">IFERROR(VLOOKUP(OFFSET(Table22,321,21,1,1),OFFSET(Table2,0,1,ROWS(Table2),8),4,0),VLOOKUP(OFFSET(Table22,321,22,1,1),Table2,5,0))</f>
        <v>720193</v>
      </c>
      <c r="J322" s="3" t="str">
        <f aca="false">IF(ISNUMBER(SEARCH("FACEBOOK",W322)),"Facebook",IF(ISNUMBER(SEARCH("INSTAGRAM",W322)),"Facebook-Instagram","Look at taxonomy"))</f>
        <v>Facebook</v>
      </c>
      <c r="K322" s="3" t="str">
        <f aca="false">IF(ISNUMBER(SEARCH("Facebook",J322)),"3654128","Not Facebook")</f>
        <v>3654128</v>
      </c>
      <c r="L322" s="3" t="str">
        <f aca="false">IFERROR(VLOOKUP(OFFSET(Table22,321,21,1,1),OFFSET(Table2,0,1,ROWS(Table2),8),7,0),VLOOKUP(OFFSET(Table22,321,22,1,1),Table2,8,0))</f>
        <v>AZR_FreeAcctRetargetingFB-GlobalAlt-ChB_FRA_1200x628_SOC_AZRDirect_French_NA_Facebook_SBAN_SINU_T2_1</v>
      </c>
      <c r="M322" s="2" t="n">
        <f aca="false">IFERROR(VLOOKUP(OFFSET(Table22,321,21,1,1),OFFSET(Table2,0,1,ROWS(Table2),8),8,0),VLOOKUP(OFFSET(Table22,321,22,1,1),Table2,9,0))</f>
        <v>103259520</v>
      </c>
      <c r="N322" s="15" t="s">
        <v>29</v>
      </c>
      <c r="O322" s="16" t="n">
        <v>43352</v>
      </c>
      <c r="P322" s="17" t="s">
        <v>102</v>
      </c>
      <c r="Q322" s="18" t="s">
        <v>103</v>
      </c>
      <c r="R322" s="17" t="s">
        <v>104</v>
      </c>
      <c r="S322" s="18" t="s">
        <v>33</v>
      </c>
      <c r="T322" s="17" t="s">
        <v>34</v>
      </c>
      <c r="U322" s="18" t="s">
        <v>39</v>
      </c>
      <c r="V322" s="19" t="n">
        <v>226496107</v>
      </c>
      <c r="W322" s="17" t="s">
        <v>112</v>
      </c>
      <c r="X322" s="17" t="n">
        <v>0</v>
      </c>
      <c r="Y322" s="17"/>
      <c r="Z322" s="17" t="n">
        <v>0</v>
      </c>
      <c r="AA322" s="17" t="s">
        <v>38</v>
      </c>
      <c r="AB322" s="17"/>
    </row>
    <row r="323" customFormat="false" ht="15" hidden="false" customHeight="false" outlineLevel="0" collapsed="false">
      <c r="A323" s="1" t="str">
        <f aca="false">OFFSET(Table22,322,14,1,1)&amp;OFFSET(Table22,322,21,1,1)</f>
        <v>43358226496104</v>
      </c>
      <c r="B323" s="1" t="str">
        <f aca="false">OFFSET(Table22,322,14,1,1)&amp;OFFSET(Table22,322,22,1,1)</f>
        <v>43358Facebook»Developers/ITPros-Azure Direct-Sponsored Post_Trial-Link Ad-FreeAcctRetargetingOSSFB-Logos-ChG CanvasOpener»1x1»SocialBan»SOC»ALL»CPC»LAL»D»UNK»SS»NA»Trials_ID</v>
      </c>
      <c r="C323" s="1" t="s">
        <v>28</v>
      </c>
      <c r="D323" s="3" t="n">
        <f aca="false">O323+(7-WEEKDAY(O323))</f>
        <v>43358</v>
      </c>
      <c r="E323" s="1" t="str">
        <f aca="false">VLOOKUP(OFFSET(Table22,322,16,1,1),Key!B:D,2,0)</f>
        <v>France</v>
      </c>
      <c r="F323" s="1" t="str">
        <f aca="false">IF(ISNUMBER(SEARCH("Canvas",U323)),"Link",IF(ISNUMBER(SEARCH("Link",U323)),"Link","Not filled properly"))</f>
        <v>Link</v>
      </c>
      <c r="G323" s="1" t="str">
        <f aca="false">IFERROR(VLOOKUP(OFFSET(Table22,322,21,1,1),OFFSET(Table2,0,1,ROWS(Table2),8),2,0),VLOOKUP(OFFSET(Table22,322,22,1,1),Table2,3,0))</f>
        <v>FRA_gaPMG_AZR_AZR_Q1_19_AzureDirect-Trial-Social</v>
      </c>
      <c r="H323" s="1" t="n">
        <f aca="false">IFERROR(VLOOKUP(OFFSET(Table22,322,21,1,1),OFFSET(Table2,0,1,ROWS(Table2),8),3,0),VLOOKUP(OFFSET(Table22,322,22,1,1),Table2,4,0))</f>
        <v>21356941</v>
      </c>
      <c r="I323" s="2" t="n">
        <f aca="false">IFERROR(VLOOKUP(OFFSET(Table22,322,21,1,1),OFFSET(Table2,0,1,ROWS(Table2),8),4,0),VLOOKUP(OFFSET(Table22,322,22,1,1),Table2,5,0))</f>
        <v>720193</v>
      </c>
      <c r="J323" s="3" t="str">
        <f aca="false">IF(ISNUMBER(SEARCH("FACEBOOK",W323)),"Facebook",IF(ISNUMBER(SEARCH("INSTAGRAM",W323)),"Facebook-Instagram","Look at taxonomy"))</f>
        <v>Facebook</v>
      </c>
      <c r="K323" s="3" t="str">
        <f aca="false">IF(ISNUMBER(SEARCH("Facebook",J323)),"3654128","Not Facebook")</f>
        <v>3654128</v>
      </c>
      <c r="L323" s="3" t="str">
        <f aca="false">IFERROR(VLOOKUP(OFFSET(Table22,322,21,1,1),OFFSET(Table2,0,1,ROWS(Table2),8),7,0),VLOOKUP(OFFSET(Table22,322,22,1,1),Table2,8,0))</f>
        <v>AZR_FreeAcctRetargetingOSSFB-Logos-ChG_FRA_1200x628_SOC_AZRDirect_French_NA_Facebook_SBAN_SINU_T2_1</v>
      </c>
      <c r="M323" s="2" t="n">
        <f aca="false">IFERROR(VLOOKUP(OFFSET(Table22,322,21,1,1),OFFSET(Table2,0,1,ROWS(Table2),8),8,0),VLOOKUP(OFFSET(Table22,322,22,1,1),Table2,9,0))</f>
        <v>103259769</v>
      </c>
      <c r="N323" s="15" t="s">
        <v>29</v>
      </c>
      <c r="O323" s="16" t="n">
        <v>43358</v>
      </c>
      <c r="P323" s="17" t="s">
        <v>102</v>
      </c>
      <c r="Q323" s="18" t="s">
        <v>103</v>
      </c>
      <c r="R323" s="17" t="s">
        <v>104</v>
      </c>
      <c r="S323" s="18" t="s">
        <v>33</v>
      </c>
      <c r="T323" s="17" t="s">
        <v>34</v>
      </c>
      <c r="U323" s="18" t="s">
        <v>39</v>
      </c>
      <c r="V323" s="19" t="n">
        <v>226496104</v>
      </c>
      <c r="W323" s="17" t="s">
        <v>113</v>
      </c>
      <c r="X323" s="17" t="n">
        <v>1</v>
      </c>
      <c r="Y323" s="17"/>
      <c r="Z323" s="17" t="n">
        <v>0</v>
      </c>
      <c r="AA323" s="17" t="s">
        <v>38</v>
      </c>
      <c r="AB323" s="17"/>
    </row>
    <row r="324" customFormat="false" ht="15" hidden="false" customHeight="false" outlineLevel="0" collapsed="false">
      <c r="A324" s="1" t="str">
        <f aca="false">OFFSET(Table22,323,14,1,1)&amp;OFFSET(Table22,323,21,1,1)</f>
        <v>43357226496104</v>
      </c>
      <c r="B324" s="1" t="str">
        <f aca="false">OFFSET(Table22,323,14,1,1)&amp;OFFSET(Table22,323,22,1,1)</f>
        <v>43357Facebook»Developers/ITPros-Azure Direct-Sponsored Post_Trial-Link Ad-FreeAcctRetargetingOSSFB-Logos-ChG CanvasOpener»1x1»SocialBan»SOC»ALL»CPC»LAL»D»UNK»SS»NA»Trials_ID</v>
      </c>
      <c r="C324" s="1" t="s">
        <v>28</v>
      </c>
      <c r="D324" s="3" t="n">
        <f aca="false">O324+(7-WEEKDAY(O324))</f>
        <v>43358</v>
      </c>
      <c r="E324" s="1" t="str">
        <f aca="false">VLOOKUP(OFFSET(Table22,323,16,1,1),Key!B:D,2,0)</f>
        <v>France</v>
      </c>
      <c r="F324" s="1" t="str">
        <f aca="false">IF(ISNUMBER(SEARCH("Canvas",U324)),"Link",IF(ISNUMBER(SEARCH("Link",U324)),"Link","Not filled properly"))</f>
        <v>Link</v>
      </c>
      <c r="G324" s="1" t="str">
        <f aca="false">IFERROR(VLOOKUP(OFFSET(Table22,323,21,1,1),OFFSET(Table2,0,1,ROWS(Table2),8),2,0),VLOOKUP(OFFSET(Table22,323,22,1,1),Table2,3,0))</f>
        <v>FRA_gaPMG_AZR_AZR_Q1_19_AzureDirect-Trial-Social</v>
      </c>
      <c r="H324" s="1" t="n">
        <f aca="false">IFERROR(VLOOKUP(OFFSET(Table22,323,21,1,1),OFFSET(Table2,0,1,ROWS(Table2),8),3,0),VLOOKUP(OFFSET(Table22,323,22,1,1),Table2,4,0))</f>
        <v>21356941</v>
      </c>
      <c r="I324" s="2" t="n">
        <f aca="false">IFERROR(VLOOKUP(OFFSET(Table22,323,21,1,1),OFFSET(Table2,0,1,ROWS(Table2),8),4,0),VLOOKUP(OFFSET(Table22,323,22,1,1),Table2,5,0))</f>
        <v>720193</v>
      </c>
      <c r="J324" s="3" t="str">
        <f aca="false">IF(ISNUMBER(SEARCH("FACEBOOK",W324)),"Facebook",IF(ISNUMBER(SEARCH("INSTAGRAM",W324)),"Facebook-Instagram","Look at taxonomy"))</f>
        <v>Facebook</v>
      </c>
      <c r="K324" s="3" t="str">
        <f aca="false">IF(ISNUMBER(SEARCH("Facebook",J324)),"3654128","Not Facebook")</f>
        <v>3654128</v>
      </c>
      <c r="L324" s="3" t="str">
        <f aca="false">IFERROR(VLOOKUP(OFFSET(Table22,323,21,1,1),OFFSET(Table2,0,1,ROWS(Table2),8),7,0),VLOOKUP(OFFSET(Table22,323,22,1,1),Table2,8,0))</f>
        <v>AZR_FreeAcctRetargetingOSSFB-Logos-ChG_FRA_1200x628_SOC_AZRDirect_French_NA_Facebook_SBAN_SINU_T2_1</v>
      </c>
      <c r="M324" s="2" t="n">
        <f aca="false">IFERROR(VLOOKUP(OFFSET(Table22,323,21,1,1),OFFSET(Table2,0,1,ROWS(Table2),8),8,0),VLOOKUP(OFFSET(Table22,323,22,1,1),Table2,9,0))</f>
        <v>103259769</v>
      </c>
      <c r="N324" s="15" t="s">
        <v>29</v>
      </c>
      <c r="O324" s="16" t="n">
        <v>43357</v>
      </c>
      <c r="P324" s="17" t="s">
        <v>102</v>
      </c>
      <c r="Q324" s="18" t="s">
        <v>103</v>
      </c>
      <c r="R324" s="17" t="s">
        <v>104</v>
      </c>
      <c r="S324" s="18" t="s">
        <v>33</v>
      </c>
      <c r="T324" s="17" t="s">
        <v>34</v>
      </c>
      <c r="U324" s="18" t="s">
        <v>39</v>
      </c>
      <c r="V324" s="19" t="n">
        <v>226496104</v>
      </c>
      <c r="W324" s="17" t="s">
        <v>113</v>
      </c>
      <c r="X324" s="17" t="n">
        <v>0</v>
      </c>
      <c r="Y324" s="17"/>
      <c r="Z324" s="17" t="n">
        <v>0</v>
      </c>
      <c r="AA324" s="17" t="s">
        <v>38</v>
      </c>
      <c r="AB324" s="17"/>
    </row>
    <row r="325" customFormat="false" ht="15" hidden="false" customHeight="false" outlineLevel="0" collapsed="false">
      <c r="A325" s="1" t="str">
        <f aca="false">OFFSET(Table22,324,14,1,1)&amp;OFFSET(Table22,324,21,1,1)</f>
        <v>43356226496104</v>
      </c>
      <c r="B325" s="1" t="str">
        <f aca="false">OFFSET(Table22,324,14,1,1)&amp;OFFSET(Table22,324,22,1,1)</f>
        <v>43356Facebook»Developers/ITPros-Azure Direct-Sponsored Post_Trial-Link Ad-FreeAcctRetargetingOSSFB-Logos-ChG CanvasOpener»1x1»SocialBan»SOC»ALL»CPC»LAL»D»UNK»SS»NA»Trials_ID</v>
      </c>
      <c r="C325" s="1" t="s">
        <v>28</v>
      </c>
      <c r="D325" s="3" t="n">
        <f aca="false">O325+(7-WEEKDAY(O325))</f>
        <v>43358</v>
      </c>
      <c r="E325" s="1" t="str">
        <f aca="false">VLOOKUP(OFFSET(Table22,324,16,1,1),Key!B:D,2,0)</f>
        <v>France</v>
      </c>
      <c r="F325" s="1" t="str">
        <f aca="false">IF(ISNUMBER(SEARCH("Canvas",U325)),"Link",IF(ISNUMBER(SEARCH("Link",U325)),"Link","Not filled properly"))</f>
        <v>Link</v>
      </c>
      <c r="G325" s="1" t="str">
        <f aca="false">IFERROR(VLOOKUP(OFFSET(Table22,324,21,1,1),OFFSET(Table2,0,1,ROWS(Table2),8),2,0),VLOOKUP(OFFSET(Table22,324,22,1,1),Table2,3,0))</f>
        <v>FRA_gaPMG_AZR_AZR_Q1_19_AzureDirect-Trial-Social</v>
      </c>
      <c r="H325" s="1" t="n">
        <f aca="false">IFERROR(VLOOKUP(OFFSET(Table22,324,21,1,1),OFFSET(Table2,0,1,ROWS(Table2),8),3,0),VLOOKUP(OFFSET(Table22,324,22,1,1),Table2,4,0))</f>
        <v>21356941</v>
      </c>
      <c r="I325" s="2" t="n">
        <f aca="false">IFERROR(VLOOKUP(OFFSET(Table22,324,21,1,1),OFFSET(Table2,0,1,ROWS(Table2),8),4,0),VLOOKUP(OFFSET(Table22,324,22,1,1),Table2,5,0))</f>
        <v>720193</v>
      </c>
      <c r="J325" s="3" t="str">
        <f aca="false">IF(ISNUMBER(SEARCH("FACEBOOK",W325)),"Facebook",IF(ISNUMBER(SEARCH("INSTAGRAM",W325)),"Facebook-Instagram","Look at taxonomy"))</f>
        <v>Facebook</v>
      </c>
      <c r="K325" s="3" t="str">
        <f aca="false">IF(ISNUMBER(SEARCH("Facebook",J325)),"3654128","Not Facebook")</f>
        <v>3654128</v>
      </c>
      <c r="L325" s="3" t="str">
        <f aca="false">IFERROR(VLOOKUP(OFFSET(Table22,324,21,1,1),OFFSET(Table2,0,1,ROWS(Table2),8),7,0),VLOOKUP(OFFSET(Table22,324,22,1,1),Table2,8,0))</f>
        <v>AZR_FreeAcctRetargetingOSSFB-Logos-ChG_FRA_1200x628_SOC_AZRDirect_French_NA_Facebook_SBAN_SINU_T2_1</v>
      </c>
      <c r="M325" s="2" t="n">
        <f aca="false">IFERROR(VLOOKUP(OFFSET(Table22,324,21,1,1),OFFSET(Table2,0,1,ROWS(Table2),8),8,0),VLOOKUP(OFFSET(Table22,324,22,1,1),Table2,9,0))</f>
        <v>103259769</v>
      </c>
      <c r="N325" s="15" t="s">
        <v>29</v>
      </c>
      <c r="O325" s="16" t="n">
        <v>43356</v>
      </c>
      <c r="P325" s="17" t="s">
        <v>102</v>
      </c>
      <c r="Q325" s="18" t="s">
        <v>103</v>
      </c>
      <c r="R325" s="17" t="s">
        <v>104</v>
      </c>
      <c r="S325" s="18" t="s">
        <v>33</v>
      </c>
      <c r="T325" s="17" t="s">
        <v>34</v>
      </c>
      <c r="U325" s="18" t="s">
        <v>39</v>
      </c>
      <c r="V325" s="19" t="n">
        <v>226496104</v>
      </c>
      <c r="W325" s="17" t="s">
        <v>113</v>
      </c>
      <c r="X325" s="17" t="n">
        <v>0</v>
      </c>
      <c r="Y325" s="17"/>
      <c r="Z325" s="17" t="n">
        <v>0</v>
      </c>
      <c r="AA325" s="17" t="s">
        <v>38</v>
      </c>
      <c r="AB325" s="17"/>
    </row>
    <row r="326" customFormat="false" ht="15" hidden="false" customHeight="false" outlineLevel="0" collapsed="false">
      <c r="A326" s="1" t="str">
        <f aca="false">OFFSET(Table22,325,14,1,1)&amp;OFFSET(Table22,325,21,1,1)</f>
        <v>43355226496104</v>
      </c>
      <c r="B326" s="1" t="str">
        <f aca="false">OFFSET(Table22,325,14,1,1)&amp;OFFSET(Table22,325,22,1,1)</f>
        <v>43355Facebook»Developers/ITPros-Azure Direct-Sponsored Post_Trial-Link Ad-FreeAcctRetargetingOSSFB-Logos-ChG CanvasOpener»1x1»SocialBan»SOC»ALL»CPC»LAL»D»UNK»SS»NA»Trials_ID</v>
      </c>
      <c r="C326" s="1" t="s">
        <v>28</v>
      </c>
      <c r="D326" s="3" t="n">
        <f aca="false">O326+(7-WEEKDAY(O326))</f>
        <v>43358</v>
      </c>
      <c r="E326" s="1" t="str">
        <f aca="false">VLOOKUP(OFFSET(Table22,325,16,1,1),Key!B:D,2,0)</f>
        <v>France</v>
      </c>
      <c r="F326" s="1" t="str">
        <f aca="false">IF(ISNUMBER(SEARCH("Canvas",U326)),"Link",IF(ISNUMBER(SEARCH("Link",U326)),"Link","Not filled properly"))</f>
        <v>Link</v>
      </c>
      <c r="G326" s="1" t="str">
        <f aca="false">IFERROR(VLOOKUP(OFFSET(Table22,325,21,1,1),OFFSET(Table2,0,1,ROWS(Table2),8),2,0),VLOOKUP(OFFSET(Table22,325,22,1,1),Table2,3,0))</f>
        <v>FRA_gaPMG_AZR_AZR_Q1_19_AzureDirect-Trial-Social</v>
      </c>
      <c r="H326" s="1" t="n">
        <f aca="false">IFERROR(VLOOKUP(OFFSET(Table22,325,21,1,1),OFFSET(Table2,0,1,ROWS(Table2),8),3,0),VLOOKUP(OFFSET(Table22,325,22,1,1),Table2,4,0))</f>
        <v>21356941</v>
      </c>
      <c r="I326" s="2" t="n">
        <f aca="false">IFERROR(VLOOKUP(OFFSET(Table22,325,21,1,1),OFFSET(Table2,0,1,ROWS(Table2),8),4,0),VLOOKUP(OFFSET(Table22,325,22,1,1),Table2,5,0))</f>
        <v>720193</v>
      </c>
      <c r="J326" s="3" t="str">
        <f aca="false">IF(ISNUMBER(SEARCH("FACEBOOK",W326)),"Facebook",IF(ISNUMBER(SEARCH("INSTAGRAM",W326)),"Facebook-Instagram","Look at taxonomy"))</f>
        <v>Facebook</v>
      </c>
      <c r="K326" s="3" t="str">
        <f aca="false">IF(ISNUMBER(SEARCH("Facebook",J326)),"3654128","Not Facebook")</f>
        <v>3654128</v>
      </c>
      <c r="L326" s="3" t="str">
        <f aca="false">IFERROR(VLOOKUP(OFFSET(Table22,325,21,1,1),OFFSET(Table2,0,1,ROWS(Table2),8),7,0),VLOOKUP(OFFSET(Table22,325,22,1,1),Table2,8,0))</f>
        <v>AZR_FreeAcctRetargetingOSSFB-Logos-ChG_FRA_1200x628_SOC_AZRDirect_French_NA_Facebook_SBAN_SINU_T2_1</v>
      </c>
      <c r="M326" s="2" t="n">
        <f aca="false">IFERROR(VLOOKUP(OFFSET(Table22,325,21,1,1),OFFSET(Table2,0,1,ROWS(Table2),8),8,0),VLOOKUP(OFFSET(Table22,325,22,1,1),Table2,9,0))</f>
        <v>103259769</v>
      </c>
      <c r="N326" s="15" t="s">
        <v>29</v>
      </c>
      <c r="O326" s="16" t="n">
        <v>43355</v>
      </c>
      <c r="P326" s="17" t="s">
        <v>102</v>
      </c>
      <c r="Q326" s="18" t="s">
        <v>103</v>
      </c>
      <c r="R326" s="17" t="s">
        <v>104</v>
      </c>
      <c r="S326" s="18" t="s">
        <v>33</v>
      </c>
      <c r="T326" s="17" t="s">
        <v>34</v>
      </c>
      <c r="U326" s="18" t="s">
        <v>39</v>
      </c>
      <c r="V326" s="19" t="n">
        <v>226496104</v>
      </c>
      <c r="W326" s="17" t="s">
        <v>113</v>
      </c>
      <c r="X326" s="17" t="n">
        <v>0</v>
      </c>
      <c r="Y326" s="17"/>
      <c r="Z326" s="17" t="n">
        <v>0</v>
      </c>
      <c r="AA326" s="17" t="s">
        <v>38</v>
      </c>
      <c r="AB326" s="17"/>
    </row>
    <row r="327" customFormat="false" ht="15" hidden="false" customHeight="false" outlineLevel="0" collapsed="false">
      <c r="A327" s="1" t="str">
        <f aca="false">OFFSET(Table22,326,14,1,1)&amp;OFFSET(Table22,326,21,1,1)</f>
        <v>43354226496104</v>
      </c>
      <c r="B327" s="1" t="str">
        <f aca="false">OFFSET(Table22,326,14,1,1)&amp;OFFSET(Table22,326,22,1,1)</f>
        <v>43354Facebook»Developers/ITPros-Azure Direct-Sponsored Post_Trial-Link Ad-FreeAcctRetargetingOSSFB-Logos-ChG CanvasOpener»1x1»SocialBan»SOC»ALL»CPC»LAL»D»UNK»SS»NA»Trials_ID</v>
      </c>
      <c r="C327" s="1" t="s">
        <v>28</v>
      </c>
      <c r="D327" s="3" t="n">
        <f aca="false">O327+(7-WEEKDAY(O327))</f>
        <v>43358</v>
      </c>
      <c r="E327" s="1" t="str">
        <f aca="false">VLOOKUP(OFFSET(Table22,326,16,1,1),Key!B:D,2,0)</f>
        <v>France</v>
      </c>
      <c r="F327" s="1" t="str">
        <f aca="false">IF(ISNUMBER(SEARCH("Canvas",U327)),"Link",IF(ISNUMBER(SEARCH("Link",U327)),"Link","Not filled properly"))</f>
        <v>Link</v>
      </c>
      <c r="G327" s="1" t="str">
        <f aca="false">IFERROR(VLOOKUP(OFFSET(Table22,326,21,1,1),OFFSET(Table2,0,1,ROWS(Table2),8),2,0),VLOOKUP(OFFSET(Table22,326,22,1,1),Table2,3,0))</f>
        <v>FRA_gaPMG_AZR_AZR_Q1_19_AzureDirect-Trial-Social</v>
      </c>
      <c r="H327" s="1" t="n">
        <f aca="false">IFERROR(VLOOKUP(OFFSET(Table22,326,21,1,1),OFFSET(Table2,0,1,ROWS(Table2),8),3,0),VLOOKUP(OFFSET(Table22,326,22,1,1),Table2,4,0))</f>
        <v>21356941</v>
      </c>
      <c r="I327" s="2" t="n">
        <f aca="false">IFERROR(VLOOKUP(OFFSET(Table22,326,21,1,1),OFFSET(Table2,0,1,ROWS(Table2),8),4,0),VLOOKUP(OFFSET(Table22,326,22,1,1),Table2,5,0))</f>
        <v>720193</v>
      </c>
      <c r="J327" s="3" t="str">
        <f aca="false">IF(ISNUMBER(SEARCH("FACEBOOK",W327)),"Facebook",IF(ISNUMBER(SEARCH("INSTAGRAM",W327)),"Facebook-Instagram","Look at taxonomy"))</f>
        <v>Facebook</v>
      </c>
      <c r="K327" s="3" t="str">
        <f aca="false">IF(ISNUMBER(SEARCH("Facebook",J327)),"3654128","Not Facebook")</f>
        <v>3654128</v>
      </c>
      <c r="L327" s="3" t="str">
        <f aca="false">IFERROR(VLOOKUP(OFFSET(Table22,326,21,1,1),OFFSET(Table2,0,1,ROWS(Table2),8),7,0),VLOOKUP(OFFSET(Table22,326,22,1,1),Table2,8,0))</f>
        <v>AZR_FreeAcctRetargetingOSSFB-Logos-ChG_FRA_1200x628_SOC_AZRDirect_French_NA_Facebook_SBAN_SINU_T2_1</v>
      </c>
      <c r="M327" s="2" t="n">
        <f aca="false">IFERROR(VLOOKUP(OFFSET(Table22,326,21,1,1),OFFSET(Table2,0,1,ROWS(Table2),8),8,0),VLOOKUP(OFFSET(Table22,326,22,1,1),Table2,9,0))</f>
        <v>103259769</v>
      </c>
      <c r="N327" s="15" t="s">
        <v>29</v>
      </c>
      <c r="O327" s="16" t="n">
        <v>43354</v>
      </c>
      <c r="P327" s="17" t="s">
        <v>102</v>
      </c>
      <c r="Q327" s="18" t="s">
        <v>103</v>
      </c>
      <c r="R327" s="17" t="s">
        <v>104</v>
      </c>
      <c r="S327" s="18" t="s">
        <v>33</v>
      </c>
      <c r="T327" s="17" t="s">
        <v>34</v>
      </c>
      <c r="U327" s="18" t="s">
        <v>39</v>
      </c>
      <c r="V327" s="19" t="n">
        <v>226496104</v>
      </c>
      <c r="W327" s="17" t="s">
        <v>113</v>
      </c>
      <c r="X327" s="17" t="n">
        <v>0</v>
      </c>
      <c r="Y327" s="17"/>
      <c r="Z327" s="17" t="n">
        <v>0</v>
      </c>
      <c r="AA327" s="17" t="s">
        <v>38</v>
      </c>
      <c r="AB327" s="17"/>
    </row>
    <row r="328" customFormat="false" ht="15" hidden="false" customHeight="false" outlineLevel="0" collapsed="false">
      <c r="A328" s="1" t="str">
        <f aca="false">OFFSET(Table22,327,14,1,1)&amp;OFFSET(Table22,327,21,1,1)</f>
        <v>43353226496104</v>
      </c>
      <c r="B328" s="1" t="str">
        <f aca="false">OFFSET(Table22,327,14,1,1)&amp;OFFSET(Table22,327,22,1,1)</f>
        <v>43353Facebook»Developers/ITPros-Azure Direct-Sponsored Post_Trial-Link Ad-FreeAcctRetargetingOSSFB-Logos-ChG CanvasOpener»1x1»SocialBan»SOC»ALL»CPC»LAL»D»UNK»SS»NA»Trials_ID</v>
      </c>
      <c r="C328" s="1" t="s">
        <v>28</v>
      </c>
      <c r="D328" s="3" t="n">
        <f aca="false">O328+(7-WEEKDAY(O328))</f>
        <v>43358</v>
      </c>
      <c r="E328" s="1" t="str">
        <f aca="false">VLOOKUP(OFFSET(Table22,327,16,1,1),Key!B:D,2,0)</f>
        <v>France</v>
      </c>
      <c r="F328" s="1" t="str">
        <f aca="false">IF(ISNUMBER(SEARCH("Canvas",U328)),"Link",IF(ISNUMBER(SEARCH("Link",U328)),"Link","Not filled properly"))</f>
        <v>Link</v>
      </c>
      <c r="G328" s="1" t="str">
        <f aca="false">IFERROR(VLOOKUP(OFFSET(Table22,327,21,1,1),OFFSET(Table2,0,1,ROWS(Table2),8),2,0),VLOOKUP(OFFSET(Table22,327,22,1,1),Table2,3,0))</f>
        <v>FRA_gaPMG_AZR_AZR_Q1_19_AzureDirect-Trial-Social</v>
      </c>
      <c r="H328" s="1" t="n">
        <f aca="false">IFERROR(VLOOKUP(OFFSET(Table22,327,21,1,1),OFFSET(Table2,0,1,ROWS(Table2),8),3,0),VLOOKUP(OFFSET(Table22,327,22,1,1),Table2,4,0))</f>
        <v>21356941</v>
      </c>
      <c r="I328" s="2" t="n">
        <f aca="false">IFERROR(VLOOKUP(OFFSET(Table22,327,21,1,1),OFFSET(Table2,0,1,ROWS(Table2),8),4,0),VLOOKUP(OFFSET(Table22,327,22,1,1),Table2,5,0))</f>
        <v>720193</v>
      </c>
      <c r="J328" s="3" t="str">
        <f aca="false">IF(ISNUMBER(SEARCH("FACEBOOK",W328)),"Facebook",IF(ISNUMBER(SEARCH("INSTAGRAM",W328)),"Facebook-Instagram","Look at taxonomy"))</f>
        <v>Facebook</v>
      </c>
      <c r="K328" s="3" t="str">
        <f aca="false">IF(ISNUMBER(SEARCH("Facebook",J328)),"3654128","Not Facebook")</f>
        <v>3654128</v>
      </c>
      <c r="L328" s="3" t="str">
        <f aca="false">IFERROR(VLOOKUP(OFFSET(Table22,327,21,1,1),OFFSET(Table2,0,1,ROWS(Table2),8),7,0),VLOOKUP(OFFSET(Table22,327,22,1,1),Table2,8,0))</f>
        <v>AZR_FreeAcctRetargetingOSSFB-Logos-ChG_FRA_1200x628_SOC_AZRDirect_French_NA_Facebook_SBAN_SINU_T2_1</v>
      </c>
      <c r="M328" s="2" t="n">
        <f aca="false">IFERROR(VLOOKUP(OFFSET(Table22,327,21,1,1),OFFSET(Table2,0,1,ROWS(Table2),8),8,0),VLOOKUP(OFFSET(Table22,327,22,1,1),Table2,9,0))</f>
        <v>103259769</v>
      </c>
      <c r="N328" s="15" t="s">
        <v>29</v>
      </c>
      <c r="O328" s="16" t="n">
        <v>43353</v>
      </c>
      <c r="P328" s="17" t="s">
        <v>102</v>
      </c>
      <c r="Q328" s="18" t="s">
        <v>103</v>
      </c>
      <c r="R328" s="17" t="s">
        <v>104</v>
      </c>
      <c r="S328" s="18" t="s">
        <v>33</v>
      </c>
      <c r="T328" s="17" t="s">
        <v>34</v>
      </c>
      <c r="U328" s="18" t="s">
        <v>39</v>
      </c>
      <c r="V328" s="19" t="n">
        <v>226496104</v>
      </c>
      <c r="W328" s="17" t="s">
        <v>113</v>
      </c>
      <c r="X328" s="17" t="n">
        <v>0</v>
      </c>
      <c r="Y328" s="17"/>
      <c r="Z328" s="17" t="n">
        <v>0</v>
      </c>
      <c r="AA328" s="17" t="s">
        <v>38</v>
      </c>
      <c r="AB328" s="17"/>
    </row>
    <row r="329" customFormat="false" ht="15" hidden="false" customHeight="false" outlineLevel="0" collapsed="false">
      <c r="A329" s="1" t="str">
        <f aca="false">OFFSET(Table22,328,14,1,1)&amp;OFFSET(Table22,328,21,1,1)</f>
        <v>43352226496104</v>
      </c>
      <c r="B329" s="1" t="str">
        <f aca="false">OFFSET(Table22,328,14,1,1)&amp;OFFSET(Table22,328,22,1,1)</f>
        <v>43352Facebook»Developers/ITPros-Azure Direct-Sponsored Post_Trial-Link Ad-FreeAcctRetargetingOSSFB-Logos-ChG CanvasOpener»1x1»SocialBan»SOC»ALL»CPC»LAL»D»UNK»SS»NA»Trials_ID</v>
      </c>
      <c r="C329" s="1" t="s">
        <v>28</v>
      </c>
      <c r="D329" s="3" t="n">
        <f aca="false">O329+(7-WEEKDAY(O329))</f>
        <v>43358</v>
      </c>
      <c r="E329" s="1" t="str">
        <f aca="false">VLOOKUP(OFFSET(Table22,328,16,1,1),Key!B:D,2,0)</f>
        <v>France</v>
      </c>
      <c r="F329" s="1" t="str">
        <f aca="false">IF(ISNUMBER(SEARCH("Canvas",U329)),"Link",IF(ISNUMBER(SEARCH("Link",U329)),"Link","Not filled properly"))</f>
        <v>Link</v>
      </c>
      <c r="G329" s="1" t="str">
        <f aca="false">IFERROR(VLOOKUP(OFFSET(Table22,328,21,1,1),OFFSET(Table2,0,1,ROWS(Table2),8),2,0),VLOOKUP(OFFSET(Table22,328,22,1,1),Table2,3,0))</f>
        <v>FRA_gaPMG_AZR_AZR_Q1_19_AzureDirect-Trial-Social</v>
      </c>
      <c r="H329" s="1" t="n">
        <f aca="false">IFERROR(VLOOKUP(OFFSET(Table22,328,21,1,1),OFFSET(Table2,0,1,ROWS(Table2),8),3,0),VLOOKUP(OFFSET(Table22,328,22,1,1),Table2,4,0))</f>
        <v>21356941</v>
      </c>
      <c r="I329" s="2" t="n">
        <f aca="false">IFERROR(VLOOKUP(OFFSET(Table22,328,21,1,1),OFFSET(Table2,0,1,ROWS(Table2),8),4,0),VLOOKUP(OFFSET(Table22,328,22,1,1),Table2,5,0))</f>
        <v>720193</v>
      </c>
      <c r="J329" s="3" t="str">
        <f aca="false">IF(ISNUMBER(SEARCH("FACEBOOK",W329)),"Facebook",IF(ISNUMBER(SEARCH("INSTAGRAM",W329)),"Facebook-Instagram","Look at taxonomy"))</f>
        <v>Facebook</v>
      </c>
      <c r="K329" s="3" t="str">
        <f aca="false">IF(ISNUMBER(SEARCH("Facebook",J329)),"3654128","Not Facebook")</f>
        <v>3654128</v>
      </c>
      <c r="L329" s="3" t="str">
        <f aca="false">IFERROR(VLOOKUP(OFFSET(Table22,328,21,1,1),OFFSET(Table2,0,1,ROWS(Table2),8),7,0),VLOOKUP(OFFSET(Table22,328,22,1,1),Table2,8,0))</f>
        <v>AZR_FreeAcctRetargetingOSSFB-Logos-ChG_FRA_1200x628_SOC_AZRDirect_French_NA_Facebook_SBAN_SINU_T2_1</v>
      </c>
      <c r="M329" s="2" t="n">
        <f aca="false">IFERROR(VLOOKUP(OFFSET(Table22,328,21,1,1),OFFSET(Table2,0,1,ROWS(Table2),8),8,0),VLOOKUP(OFFSET(Table22,328,22,1,1),Table2,9,0))</f>
        <v>103259769</v>
      </c>
      <c r="N329" s="15" t="s">
        <v>29</v>
      </c>
      <c r="O329" s="16" t="n">
        <v>43352</v>
      </c>
      <c r="P329" s="17" t="s">
        <v>102</v>
      </c>
      <c r="Q329" s="18" t="s">
        <v>103</v>
      </c>
      <c r="R329" s="17" t="s">
        <v>104</v>
      </c>
      <c r="S329" s="18" t="s">
        <v>33</v>
      </c>
      <c r="T329" s="17" t="s">
        <v>34</v>
      </c>
      <c r="U329" s="18" t="s">
        <v>39</v>
      </c>
      <c r="V329" s="19" t="n">
        <v>226496104</v>
      </c>
      <c r="W329" s="17" t="s">
        <v>113</v>
      </c>
      <c r="X329" s="17" t="n">
        <v>0</v>
      </c>
      <c r="Y329" s="17"/>
      <c r="Z329" s="17" t="n">
        <v>0</v>
      </c>
      <c r="AA329" s="17" t="s">
        <v>38</v>
      </c>
      <c r="AB329" s="17"/>
    </row>
    <row r="330" customFormat="false" ht="15" hidden="false" customHeight="false" outlineLevel="0" collapsed="false">
      <c r="A330" s="1" t="str">
        <f aca="false">OFFSET(Table22,329,14,1,1)&amp;OFFSET(Table22,329,21,1,1)</f>
        <v>43358226496101</v>
      </c>
      <c r="B330" s="1" t="str">
        <f aca="false">OFFSET(Table22,329,14,1,1)&amp;OFFSET(Table22,329,22,1,1)</f>
        <v>43358Facebook»Developers/ITPros-Azure Direct-Sponsored Post_Trial-Link Ad-FreeAcctRetargetingOSSFB-Text-ChF CanvasOpener»1x1»SocialBan»SOC»ALL»CPC»LAL»D»UNK»SS»NA»Trials_ID</v>
      </c>
      <c r="C330" s="1" t="s">
        <v>28</v>
      </c>
      <c r="D330" s="3" t="n">
        <f aca="false">O330+(7-WEEKDAY(O330))</f>
        <v>43358</v>
      </c>
      <c r="E330" s="1" t="str">
        <f aca="false">VLOOKUP(OFFSET(Table22,329,16,1,1),Key!B:D,2,0)</f>
        <v>France</v>
      </c>
      <c r="F330" s="1" t="str">
        <f aca="false">IF(ISNUMBER(SEARCH("Canvas",U330)),"Link",IF(ISNUMBER(SEARCH("Link",U330)),"Link","Not filled properly"))</f>
        <v>Link</v>
      </c>
      <c r="G330" s="1" t="str">
        <f aca="false">IFERROR(VLOOKUP(OFFSET(Table22,329,21,1,1),OFFSET(Table2,0,1,ROWS(Table2),8),2,0),VLOOKUP(OFFSET(Table22,329,22,1,1),Table2,3,0))</f>
        <v>FRA_gaPMG_AZR_AZR_Q1_19_AzureDirect-Trial-Social</v>
      </c>
      <c r="H330" s="1" t="n">
        <f aca="false">IFERROR(VLOOKUP(OFFSET(Table22,329,21,1,1),OFFSET(Table2,0,1,ROWS(Table2),8),3,0),VLOOKUP(OFFSET(Table22,329,22,1,1),Table2,4,0))</f>
        <v>21356941</v>
      </c>
      <c r="I330" s="2" t="n">
        <f aca="false">IFERROR(VLOOKUP(OFFSET(Table22,329,21,1,1),OFFSET(Table2,0,1,ROWS(Table2),8),4,0),VLOOKUP(OFFSET(Table22,329,22,1,1),Table2,5,0))</f>
        <v>720193</v>
      </c>
      <c r="J330" s="3" t="str">
        <f aca="false">IF(ISNUMBER(SEARCH("FACEBOOK",W330)),"Facebook",IF(ISNUMBER(SEARCH("INSTAGRAM",W330)),"Facebook-Instagram","Look at taxonomy"))</f>
        <v>Facebook</v>
      </c>
      <c r="K330" s="3" t="str">
        <f aca="false">IF(ISNUMBER(SEARCH("Facebook",J330)),"3654128","Not Facebook")</f>
        <v>3654128</v>
      </c>
      <c r="L330" s="3" t="str">
        <f aca="false">IFERROR(VLOOKUP(OFFSET(Table22,329,21,1,1),OFFSET(Table2,0,1,ROWS(Table2),8),7,0),VLOOKUP(OFFSET(Table22,329,22,1,1),Table2,8,0))</f>
        <v>AZR_FreeAcctRetargetingOSSFB-Text-ChF_FRA_1200x628_SOC_AZRDirect_French_NA_Facebook_SBAN_SINU_T1_1</v>
      </c>
      <c r="M330" s="2" t="n">
        <f aca="false">IFERROR(VLOOKUP(OFFSET(Table22,329,21,1,1),OFFSET(Table2,0,1,ROWS(Table2),8),8,0),VLOOKUP(OFFSET(Table22,329,22,1,1),Table2,9,0))</f>
        <v>103257810</v>
      </c>
      <c r="N330" s="15" t="s">
        <v>29</v>
      </c>
      <c r="O330" s="16" t="n">
        <v>43358</v>
      </c>
      <c r="P330" s="17" t="s">
        <v>102</v>
      </c>
      <c r="Q330" s="18" t="s">
        <v>103</v>
      </c>
      <c r="R330" s="17" t="s">
        <v>104</v>
      </c>
      <c r="S330" s="18" t="s">
        <v>33</v>
      </c>
      <c r="T330" s="17" t="s">
        <v>34</v>
      </c>
      <c r="U330" s="18" t="s">
        <v>39</v>
      </c>
      <c r="V330" s="19" t="n">
        <v>226496101</v>
      </c>
      <c r="W330" s="17" t="s">
        <v>114</v>
      </c>
      <c r="X330" s="17" t="n">
        <v>1</v>
      </c>
      <c r="Y330" s="17"/>
      <c r="Z330" s="17" t="n">
        <v>0</v>
      </c>
      <c r="AA330" s="17" t="s">
        <v>38</v>
      </c>
      <c r="AB330" s="17"/>
    </row>
    <row r="331" customFormat="false" ht="15" hidden="false" customHeight="false" outlineLevel="0" collapsed="false">
      <c r="A331" s="1" t="str">
        <f aca="false">OFFSET(Table22,330,14,1,1)&amp;OFFSET(Table22,330,21,1,1)</f>
        <v>43357226496101</v>
      </c>
      <c r="B331" s="1" t="str">
        <f aca="false">OFFSET(Table22,330,14,1,1)&amp;OFFSET(Table22,330,22,1,1)</f>
        <v>43357Facebook»Developers/ITPros-Azure Direct-Sponsored Post_Trial-Link Ad-FreeAcctRetargetingOSSFB-Text-ChF CanvasOpener»1x1»SocialBan»SOC»ALL»CPC»LAL»D»UNK»SS»NA»Trials_ID</v>
      </c>
      <c r="C331" s="1" t="s">
        <v>28</v>
      </c>
      <c r="D331" s="3" t="n">
        <f aca="false">O331+(7-WEEKDAY(O331))</f>
        <v>43358</v>
      </c>
      <c r="E331" s="1" t="str">
        <f aca="false">VLOOKUP(OFFSET(Table22,330,16,1,1),Key!B:D,2,0)</f>
        <v>France</v>
      </c>
      <c r="F331" s="1" t="str">
        <f aca="false">IF(ISNUMBER(SEARCH("Canvas",U331)),"Link",IF(ISNUMBER(SEARCH("Link",U331)),"Link","Not filled properly"))</f>
        <v>Link</v>
      </c>
      <c r="G331" s="1" t="str">
        <f aca="false">IFERROR(VLOOKUP(OFFSET(Table22,330,21,1,1),OFFSET(Table2,0,1,ROWS(Table2),8),2,0),VLOOKUP(OFFSET(Table22,330,22,1,1),Table2,3,0))</f>
        <v>FRA_gaPMG_AZR_AZR_Q1_19_AzureDirect-Trial-Social</v>
      </c>
      <c r="H331" s="1" t="n">
        <f aca="false">IFERROR(VLOOKUP(OFFSET(Table22,330,21,1,1),OFFSET(Table2,0,1,ROWS(Table2),8),3,0),VLOOKUP(OFFSET(Table22,330,22,1,1),Table2,4,0))</f>
        <v>21356941</v>
      </c>
      <c r="I331" s="2" t="n">
        <f aca="false">IFERROR(VLOOKUP(OFFSET(Table22,330,21,1,1),OFFSET(Table2,0,1,ROWS(Table2),8),4,0),VLOOKUP(OFFSET(Table22,330,22,1,1),Table2,5,0))</f>
        <v>720193</v>
      </c>
      <c r="J331" s="3" t="str">
        <f aca="false">IF(ISNUMBER(SEARCH("FACEBOOK",W331)),"Facebook",IF(ISNUMBER(SEARCH("INSTAGRAM",W331)),"Facebook-Instagram","Look at taxonomy"))</f>
        <v>Facebook</v>
      </c>
      <c r="K331" s="3" t="str">
        <f aca="false">IF(ISNUMBER(SEARCH("Facebook",J331)),"3654128","Not Facebook")</f>
        <v>3654128</v>
      </c>
      <c r="L331" s="3" t="str">
        <f aca="false">IFERROR(VLOOKUP(OFFSET(Table22,330,21,1,1),OFFSET(Table2,0,1,ROWS(Table2),8),7,0),VLOOKUP(OFFSET(Table22,330,22,1,1),Table2,8,0))</f>
        <v>AZR_FreeAcctRetargetingOSSFB-Text-ChF_FRA_1200x628_SOC_AZRDirect_French_NA_Facebook_SBAN_SINU_T1_1</v>
      </c>
      <c r="M331" s="2" t="n">
        <f aca="false">IFERROR(VLOOKUP(OFFSET(Table22,330,21,1,1),OFFSET(Table2,0,1,ROWS(Table2),8),8,0),VLOOKUP(OFFSET(Table22,330,22,1,1),Table2,9,0))</f>
        <v>103257810</v>
      </c>
      <c r="N331" s="15" t="s">
        <v>29</v>
      </c>
      <c r="O331" s="16" t="n">
        <v>43357</v>
      </c>
      <c r="P331" s="17" t="s">
        <v>102</v>
      </c>
      <c r="Q331" s="18" t="s">
        <v>103</v>
      </c>
      <c r="R331" s="17" t="s">
        <v>104</v>
      </c>
      <c r="S331" s="18" t="s">
        <v>33</v>
      </c>
      <c r="T331" s="17" t="s">
        <v>34</v>
      </c>
      <c r="U331" s="18" t="s">
        <v>39</v>
      </c>
      <c r="V331" s="19" t="n">
        <v>226496101</v>
      </c>
      <c r="W331" s="17" t="s">
        <v>114</v>
      </c>
      <c r="X331" s="17" t="n">
        <v>0</v>
      </c>
      <c r="Y331" s="17"/>
      <c r="Z331" s="17" t="n">
        <v>0</v>
      </c>
      <c r="AA331" s="17" t="s">
        <v>38</v>
      </c>
      <c r="AB331" s="17"/>
    </row>
    <row r="332" customFormat="false" ht="15" hidden="false" customHeight="false" outlineLevel="0" collapsed="false">
      <c r="A332" s="1" t="str">
        <f aca="false">OFFSET(Table22,331,14,1,1)&amp;OFFSET(Table22,331,21,1,1)</f>
        <v>43356226496101</v>
      </c>
      <c r="B332" s="1" t="str">
        <f aca="false">OFFSET(Table22,331,14,1,1)&amp;OFFSET(Table22,331,22,1,1)</f>
        <v>43356Facebook»Developers/ITPros-Azure Direct-Sponsored Post_Trial-Link Ad-FreeAcctRetargetingOSSFB-Text-ChF CanvasOpener»1x1»SocialBan»SOC»ALL»CPC»LAL»D»UNK»SS»NA»Trials_ID</v>
      </c>
      <c r="C332" s="1" t="s">
        <v>28</v>
      </c>
      <c r="D332" s="3" t="n">
        <f aca="false">O332+(7-WEEKDAY(O332))</f>
        <v>43358</v>
      </c>
      <c r="E332" s="1" t="str">
        <f aca="false">VLOOKUP(OFFSET(Table22,331,16,1,1),Key!B:D,2,0)</f>
        <v>France</v>
      </c>
      <c r="F332" s="1" t="str">
        <f aca="false">IF(ISNUMBER(SEARCH("Canvas",U332)),"Link",IF(ISNUMBER(SEARCH("Link",U332)),"Link","Not filled properly"))</f>
        <v>Link</v>
      </c>
      <c r="G332" s="1" t="str">
        <f aca="false">IFERROR(VLOOKUP(OFFSET(Table22,331,21,1,1),OFFSET(Table2,0,1,ROWS(Table2),8),2,0),VLOOKUP(OFFSET(Table22,331,22,1,1),Table2,3,0))</f>
        <v>FRA_gaPMG_AZR_AZR_Q1_19_AzureDirect-Trial-Social</v>
      </c>
      <c r="H332" s="1" t="n">
        <f aca="false">IFERROR(VLOOKUP(OFFSET(Table22,331,21,1,1),OFFSET(Table2,0,1,ROWS(Table2),8),3,0),VLOOKUP(OFFSET(Table22,331,22,1,1),Table2,4,0))</f>
        <v>21356941</v>
      </c>
      <c r="I332" s="2" t="n">
        <f aca="false">IFERROR(VLOOKUP(OFFSET(Table22,331,21,1,1),OFFSET(Table2,0,1,ROWS(Table2),8),4,0),VLOOKUP(OFFSET(Table22,331,22,1,1),Table2,5,0))</f>
        <v>720193</v>
      </c>
      <c r="J332" s="3" t="str">
        <f aca="false">IF(ISNUMBER(SEARCH("FACEBOOK",W332)),"Facebook",IF(ISNUMBER(SEARCH("INSTAGRAM",W332)),"Facebook-Instagram","Look at taxonomy"))</f>
        <v>Facebook</v>
      </c>
      <c r="K332" s="3" t="str">
        <f aca="false">IF(ISNUMBER(SEARCH("Facebook",J332)),"3654128","Not Facebook")</f>
        <v>3654128</v>
      </c>
      <c r="L332" s="3" t="str">
        <f aca="false">IFERROR(VLOOKUP(OFFSET(Table22,331,21,1,1),OFFSET(Table2,0,1,ROWS(Table2),8),7,0),VLOOKUP(OFFSET(Table22,331,22,1,1),Table2,8,0))</f>
        <v>AZR_FreeAcctRetargetingOSSFB-Text-ChF_FRA_1200x628_SOC_AZRDirect_French_NA_Facebook_SBAN_SINU_T1_1</v>
      </c>
      <c r="M332" s="2" t="n">
        <f aca="false">IFERROR(VLOOKUP(OFFSET(Table22,331,21,1,1),OFFSET(Table2,0,1,ROWS(Table2),8),8,0),VLOOKUP(OFFSET(Table22,331,22,1,1),Table2,9,0))</f>
        <v>103257810</v>
      </c>
      <c r="N332" s="15" t="s">
        <v>29</v>
      </c>
      <c r="O332" s="16" t="n">
        <v>43356</v>
      </c>
      <c r="P332" s="17" t="s">
        <v>102</v>
      </c>
      <c r="Q332" s="18" t="s">
        <v>103</v>
      </c>
      <c r="R332" s="17" t="s">
        <v>104</v>
      </c>
      <c r="S332" s="18" t="s">
        <v>33</v>
      </c>
      <c r="T332" s="17" t="s">
        <v>34</v>
      </c>
      <c r="U332" s="18" t="s">
        <v>39</v>
      </c>
      <c r="V332" s="19" t="n">
        <v>226496101</v>
      </c>
      <c r="W332" s="17" t="s">
        <v>114</v>
      </c>
      <c r="X332" s="17" t="n">
        <v>0</v>
      </c>
      <c r="Y332" s="17"/>
      <c r="Z332" s="17" t="n">
        <v>0</v>
      </c>
      <c r="AA332" s="17" t="s">
        <v>38</v>
      </c>
      <c r="AB332" s="17"/>
    </row>
    <row r="333" customFormat="false" ht="15" hidden="false" customHeight="false" outlineLevel="0" collapsed="false">
      <c r="A333" s="1" t="str">
        <f aca="false">OFFSET(Table22,332,14,1,1)&amp;OFFSET(Table22,332,21,1,1)</f>
        <v>43355226496101</v>
      </c>
      <c r="B333" s="1" t="str">
        <f aca="false">OFFSET(Table22,332,14,1,1)&amp;OFFSET(Table22,332,22,1,1)</f>
        <v>43355Facebook»Developers/ITPros-Azure Direct-Sponsored Post_Trial-Link Ad-FreeAcctRetargetingOSSFB-Text-ChF CanvasOpener»1x1»SocialBan»SOC»ALL»CPC»LAL»D»UNK»SS»NA»Trials_ID</v>
      </c>
      <c r="C333" s="1" t="s">
        <v>28</v>
      </c>
      <c r="D333" s="3" t="n">
        <f aca="false">O333+(7-WEEKDAY(O333))</f>
        <v>43358</v>
      </c>
      <c r="E333" s="1" t="str">
        <f aca="false">VLOOKUP(OFFSET(Table22,332,16,1,1),Key!B:D,2,0)</f>
        <v>France</v>
      </c>
      <c r="F333" s="1" t="str">
        <f aca="false">IF(ISNUMBER(SEARCH("Canvas",U333)),"Link",IF(ISNUMBER(SEARCH("Link",U333)),"Link","Not filled properly"))</f>
        <v>Link</v>
      </c>
      <c r="G333" s="1" t="str">
        <f aca="false">IFERROR(VLOOKUP(OFFSET(Table22,332,21,1,1),OFFSET(Table2,0,1,ROWS(Table2),8),2,0),VLOOKUP(OFFSET(Table22,332,22,1,1),Table2,3,0))</f>
        <v>FRA_gaPMG_AZR_AZR_Q1_19_AzureDirect-Trial-Social</v>
      </c>
      <c r="H333" s="1" t="n">
        <f aca="false">IFERROR(VLOOKUP(OFFSET(Table22,332,21,1,1),OFFSET(Table2,0,1,ROWS(Table2),8),3,0),VLOOKUP(OFFSET(Table22,332,22,1,1),Table2,4,0))</f>
        <v>21356941</v>
      </c>
      <c r="I333" s="2" t="n">
        <f aca="false">IFERROR(VLOOKUP(OFFSET(Table22,332,21,1,1),OFFSET(Table2,0,1,ROWS(Table2),8),4,0),VLOOKUP(OFFSET(Table22,332,22,1,1),Table2,5,0))</f>
        <v>720193</v>
      </c>
      <c r="J333" s="3" t="str">
        <f aca="false">IF(ISNUMBER(SEARCH("FACEBOOK",W333)),"Facebook",IF(ISNUMBER(SEARCH("INSTAGRAM",W333)),"Facebook-Instagram","Look at taxonomy"))</f>
        <v>Facebook</v>
      </c>
      <c r="K333" s="3" t="str">
        <f aca="false">IF(ISNUMBER(SEARCH("Facebook",J333)),"3654128","Not Facebook")</f>
        <v>3654128</v>
      </c>
      <c r="L333" s="3" t="str">
        <f aca="false">IFERROR(VLOOKUP(OFFSET(Table22,332,21,1,1),OFFSET(Table2,0,1,ROWS(Table2),8),7,0),VLOOKUP(OFFSET(Table22,332,22,1,1),Table2,8,0))</f>
        <v>AZR_FreeAcctRetargetingOSSFB-Text-ChF_FRA_1200x628_SOC_AZRDirect_French_NA_Facebook_SBAN_SINU_T1_1</v>
      </c>
      <c r="M333" s="2" t="n">
        <f aca="false">IFERROR(VLOOKUP(OFFSET(Table22,332,21,1,1),OFFSET(Table2,0,1,ROWS(Table2),8),8,0),VLOOKUP(OFFSET(Table22,332,22,1,1),Table2,9,0))</f>
        <v>103257810</v>
      </c>
      <c r="N333" s="15" t="s">
        <v>29</v>
      </c>
      <c r="O333" s="16" t="n">
        <v>43355</v>
      </c>
      <c r="P333" s="17" t="s">
        <v>102</v>
      </c>
      <c r="Q333" s="18" t="s">
        <v>103</v>
      </c>
      <c r="R333" s="17" t="s">
        <v>104</v>
      </c>
      <c r="S333" s="18" t="s">
        <v>33</v>
      </c>
      <c r="T333" s="17" t="s">
        <v>34</v>
      </c>
      <c r="U333" s="18" t="s">
        <v>39</v>
      </c>
      <c r="V333" s="19" t="n">
        <v>226496101</v>
      </c>
      <c r="W333" s="17" t="s">
        <v>114</v>
      </c>
      <c r="X333" s="17" t="n">
        <v>1</v>
      </c>
      <c r="Y333" s="17"/>
      <c r="Z333" s="17" t="n">
        <v>0</v>
      </c>
      <c r="AA333" s="17" t="s">
        <v>38</v>
      </c>
      <c r="AB333" s="17"/>
    </row>
    <row r="334" customFormat="false" ht="15" hidden="false" customHeight="false" outlineLevel="0" collapsed="false">
      <c r="A334" s="1" t="str">
        <f aca="false">OFFSET(Table22,333,14,1,1)&amp;OFFSET(Table22,333,21,1,1)</f>
        <v>43354226496101</v>
      </c>
      <c r="B334" s="1" t="str">
        <f aca="false">OFFSET(Table22,333,14,1,1)&amp;OFFSET(Table22,333,22,1,1)</f>
        <v>43354Facebook»Developers/ITPros-Azure Direct-Sponsored Post_Trial-Link Ad-FreeAcctRetargetingOSSFB-Text-ChF CanvasOpener»1x1»SocialBan»SOC»ALL»CPC»LAL»D»UNK»SS»NA»Trials_ID</v>
      </c>
      <c r="C334" s="1" t="s">
        <v>28</v>
      </c>
      <c r="D334" s="3" t="n">
        <f aca="false">O334+(7-WEEKDAY(O334))</f>
        <v>43358</v>
      </c>
      <c r="E334" s="1" t="str">
        <f aca="false">VLOOKUP(OFFSET(Table22,333,16,1,1),Key!B:D,2,0)</f>
        <v>France</v>
      </c>
      <c r="F334" s="1" t="str">
        <f aca="false">IF(ISNUMBER(SEARCH("Canvas",U334)),"Link",IF(ISNUMBER(SEARCH("Link",U334)),"Link","Not filled properly"))</f>
        <v>Link</v>
      </c>
      <c r="G334" s="1" t="str">
        <f aca="false">IFERROR(VLOOKUP(OFFSET(Table22,333,21,1,1),OFFSET(Table2,0,1,ROWS(Table2),8),2,0),VLOOKUP(OFFSET(Table22,333,22,1,1),Table2,3,0))</f>
        <v>FRA_gaPMG_AZR_AZR_Q1_19_AzureDirect-Trial-Social</v>
      </c>
      <c r="H334" s="1" t="n">
        <f aca="false">IFERROR(VLOOKUP(OFFSET(Table22,333,21,1,1),OFFSET(Table2,0,1,ROWS(Table2),8),3,0),VLOOKUP(OFFSET(Table22,333,22,1,1),Table2,4,0))</f>
        <v>21356941</v>
      </c>
      <c r="I334" s="2" t="n">
        <f aca="false">IFERROR(VLOOKUP(OFFSET(Table22,333,21,1,1),OFFSET(Table2,0,1,ROWS(Table2),8),4,0),VLOOKUP(OFFSET(Table22,333,22,1,1),Table2,5,0))</f>
        <v>720193</v>
      </c>
      <c r="J334" s="3" t="str">
        <f aca="false">IF(ISNUMBER(SEARCH("FACEBOOK",W334)),"Facebook",IF(ISNUMBER(SEARCH("INSTAGRAM",W334)),"Facebook-Instagram","Look at taxonomy"))</f>
        <v>Facebook</v>
      </c>
      <c r="K334" s="3" t="str">
        <f aca="false">IF(ISNUMBER(SEARCH("Facebook",J334)),"3654128","Not Facebook")</f>
        <v>3654128</v>
      </c>
      <c r="L334" s="3" t="str">
        <f aca="false">IFERROR(VLOOKUP(OFFSET(Table22,333,21,1,1),OFFSET(Table2,0,1,ROWS(Table2),8),7,0),VLOOKUP(OFFSET(Table22,333,22,1,1),Table2,8,0))</f>
        <v>AZR_FreeAcctRetargetingOSSFB-Text-ChF_FRA_1200x628_SOC_AZRDirect_French_NA_Facebook_SBAN_SINU_T1_1</v>
      </c>
      <c r="M334" s="2" t="n">
        <f aca="false">IFERROR(VLOOKUP(OFFSET(Table22,333,21,1,1),OFFSET(Table2,0,1,ROWS(Table2),8),8,0),VLOOKUP(OFFSET(Table22,333,22,1,1),Table2,9,0))</f>
        <v>103257810</v>
      </c>
      <c r="N334" s="15" t="s">
        <v>29</v>
      </c>
      <c r="O334" s="16" t="n">
        <v>43354</v>
      </c>
      <c r="P334" s="17" t="s">
        <v>102</v>
      </c>
      <c r="Q334" s="18" t="s">
        <v>103</v>
      </c>
      <c r="R334" s="17" t="s">
        <v>104</v>
      </c>
      <c r="S334" s="18" t="s">
        <v>33</v>
      </c>
      <c r="T334" s="17" t="s">
        <v>34</v>
      </c>
      <c r="U334" s="18" t="s">
        <v>39</v>
      </c>
      <c r="V334" s="19" t="n">
        <v>226496101</v>
      </c>
      <c r="W334" s="17" t="s">
        <v>114</v>
      </c>
      <c r="X334" s="17" t="n">
        <v>1</v>
      </c>
      <c r="Y334" s="17"/>
      <c r="Z334" s="17" t="n">
        <v>0.01</v>
      </c>
      <c r="AA334" s="17" t="s">
        <v>38</v>
      </c>
      <c r="AB334" s="17"/>
    </row>
    <row r="335" customFormat="false" ht="15" hidden="false" customHeight="false" outlineLevel="0" collapsed="false">
      <c r="A335" s="1" t="str">
        <f aca="false">OFFSET(Table22,334,14,1,1)&amp;OFFSET(Table22,334,21,1,1)</f>
        <v>43353226496101</v>
      </c>
      <c r="B335" s="1" t="str">
        <f aca="false">OFFSET(Table22,334,14,1,1)&amp;OFFSET(Table22,334,22,1,1)</f>
        <v>43353Facebook»Developers/ITPros-Azure Direct-Sponsored Post_Trial-Link Ad-FreeAcctRetargetingOSSFB-Text-ChF CanvasOpener»1x1»SocialBan»SOC»ALL»CPC»LAL»D»UNK»SS»NA»Trials_ID</v>
      </c>
      <c r="C335" s="1" t="s">
        <v>28</v>
      </c>
      <c r="D335" s="3" t="n">
        <f aca="false">O335+(7-WEEKDAY(O335))</f>
        <v>43358</v>
      </c>
      <c r="E335" s="1" t="str">
        <f aca="false">VLOOKUP(OFFSET(Table22,334,16,1,1),Key!B:D,2,0)</f>
        <v>France</v>
      </c>
      <c r="F335" s="1" t="str">
        <f aca="false">IF(ISNUMBER(SEARCH("Canvas",U335)),"Link",IF(ISNUMBER(SEARCH("Link",U335)),"Link","Not filled properly"))</f>
        <v>Link</v>
      </c>
      <c r="G335" s="1" t="str">
        <f aca="false">IFERROR(VLOOKUP(OFFSET(Table22,334,21,1,1),OFFSET(Table2,0,1,ROWS(Table2),8),2,0),VLOOKUP(OFFSET(Table22,334,22,1,1),Table2,3,0))</f>
        <v>FRA_gaPMG_AZR_AZR_Q1_19_AzureDirect-Trial-Social</v>
      </c>
      <c r="H335" s="1" t="n">
        <f aca="false">IFERROR(VLOOKUP(OFFSET(Table22,334,21,1,1),OFFSET(Table2,0,1,ROWS(Table2),8),3,0),VLOOKUP(OFFSET(Table22,334,22,1,1),Table2,4,0))</f>
        <v>21356941</v>
      </c>
      <c r="I335" s="2" t="n">
        <f aca="false">IFERROR(VLOOKUP(OFFSET(Table22,334,21,1,1),OFFSET(Table2,0,1,ROWS(Table2),8),4,0),VLOOKUP(OFFSET(Table22,334,22,1,1),Table2,5,0))</f>
        <v>720193</v>
      </c>
      <c r="J335" s="3" t="str">
        <f aca="false">IF(ISNUMBER(SEARCH("FACEBOOK",W335)),"Facebook",IF(ISNUMBER(SEARCH("INSTAGRAM",W335)),"Facebook-Instagram","Look at taxonomy"))</f>
        <v>Facebook</v>
      </c>
      <c r="K335" s="3" t="str">
        <f aca="false">IF(ISNUMBER(SEARCH("Facebook",J335)),"3654128","Not Facebook")</f>
        <v>3654128</v>
      </c>
      <c r="L335" s="3" t="str">
        <f aca="false">IFERROR(VLOOKUP(OFFSET(Table22,334,21,1,1),OFFSET(Table2,0,1,ROWS(Table2),8),7,0),VLOOKUP(OFFSET(Table22,334,22,1,1),Table2,8,0))</f>
        <v>AZR_FreeAcctRetargetingOSSFB-Text-ChF_FRA_1200x628_SOC_AZRDirect_French_NA_Facebook_SBAN_SINU_T1_1</v>
      </c>
      <c r="M335" s="2" t="n">
        <f aca="false">IFERROR(VLOOKUP(OFFSET(Table22,334,21,1,1),OFFSET(Table2,0,1,ROWS(Table2),8),8,0),VLOOKUP(OFFSET(Table22,334,22,1,1),Table2,9,0))</f>
        <v>103257810</v>
      </c>
      <c r="N335" s="15" t="s">
        <v>29</v>
      </c>
      <c r="O335" s="16" t="n">
        <v>43353</v>
      </c>
      <c r="P335" s="17" t="s">
        <v>102</v>
      </c>
      <c r="Q335" s="18" t="s">
        <v>103</v>
      </c>
      <c r="R335" s="17" t="s">
        <v>104</v>
      </c>
      <c r="S335" s="18" t="s">
        <v>33</v>
      </c>
      <c r="T335" s="17" t="s">
        <v>34</v>
      </c>
      <c r="U335" s="18" t="s">
        <v>39</v>
      </c>
      <c r="V335" s="19" t="n">
        <v>226496101</v>
      </c>
      <c r="W335" s="17" t="s">
        <v>114</v>
      </c>
      <c r="X335" s="17" t="n">
        <v>0</v>
      </c>
      <c r="Y335" s="17"/>
      <c r="Z335" s="17" t="n">
        <v>0</v>
      </c>
      <c r="AA335" s="17" t="s">
        <v>38</v>
      </c>
      <c r="AB335" s="17"/>
    </row>
    <row r="336" customFormat="false" ht="15" hidden="false" customHeight="false" outlineLevel="0" collapsed="false">
      <c r="A336" s="1" t="str">
        <f aca="false">OFFSET(Table22,335,14,1,1)&amp;OFFSET(Table22,335,21,1,1)</f>
        <v>43352226496101</v>
      </c>
      <c r="B336" s="1" t="str">
        <f aca="false">OFFSET(Table22,335,14,1,1)&amp;OFFSET(Table22,335,22,1,1)</f>
        <v>43352Facebook»Developers/ITPros-Azure Direct-Sponsored Post_Trial-Link Ad-FreeAcctRetargetingOSSFB-Text-ChF CanvasOpener»1x1»SocialBan»SOC»ALL»CPC»LAL»D»UNK»SS»NA»Trials_ID</v>
      </c>
      <c r="C336" s="1" t="s">
        <v>28</v>
      </c>
      <c r="D336" s="3" t="n">
        <f aca="false">O336+(7-WEEKDAY(O336))</f>
        <v>43358</v>
      </c>
      <c r="E336" s="1" t="str">
        <f aca="false">VLOOKUP(OFFSET(Table22,335,16,1,1),Key!B:D,2,0)</f>
        <v>France</v>
      </c>
      <c r="F336" s="1" t="str">
        <f aca="false">IF(ISNUMBER(SEARCH("Canvas",U336)),"Link",IF(ISNUMBER(SEARCH("Link",U336)),"Link","Not filled properly"))</f>
        <v>Link</v>
      </c>
      <c r="G336" s="1" t="str">
        <f aca="false">IFERROR(VLOOKUP(OFFSET(Table22,335,21,1,1),OFFSET(Table2,0,1,ROWS(Table2),8),2,0),VLOOKUP(OFFSET(Table22,335,22,1,1),Table2,3,0))</f>
        <v>FRA_gaPMG_AZR_AZR_Q1_19_AzureDirect-Trial-Social</v>
      </c>
      <c r="H336" s="1" t="n">
        <f aca="false">IFERROR(VLOOKUP(OFFSET(Table22,335,21,1,1),OFFSET(Table2,0,1,ROWS(Table2),8),3,0),VLOOKUP(OFFSET(Table22,335,22,1,1),Table2,4,0))</f>
        <v>21356941</v>
      </c>
      <c r="I336" s="2" t="n">
        <f aca="false">IFERROR(VLOOKUP(OFFSET(Table22,335,21,1,1),OFFSET(Table2,0,1,ROWS(Table2),8),4,0),VLOOKUP(OFFSET(Table22,335,22,1,1),Table2,5,0))</f>
        <v>720193</v>
      </c>
      <c r="J336" s="3" t="str">
        <f aca="false">IF(ISNUMBER(SEARCH("FACEBOOK",W336)),"Facebook",IF(ISNUMBER(SEARCH("INSTAGRAM",W336)),"Facebook-Instagram","Look at taxonomy"))</f>
        <v>Facebook</v>
      </c>
      <c r="K336" s="3" t="str">
        <f aca="false">IF(ISNUMBER(SEARCH("Facebook",J336)),"3654128","Not Facebook")</f>
        <v>3654128</v>
      </c>
      <c r="L336" s="3" t="str">
        <f aca="false">IFERROR(VLOOKUP(OFFSET(Table22,335,21,1,1),OFFSET(Table2,0,1,ROWS(Table2),8),7,0),VLOOKUP(OFFSET(Table22,335,22,1,1),Table2,8,0))</f>
        <v>AZR_FreeAcctRetargetingOSSFB-Text-ChF_FRA_1200x628_SOC_AZRDirect_French_NA_Facebook_SBAN_SINU_T1_1</v>
      </c>
      <c r="M336" s="2" t="n">
        <f aca="false">IFERROR(VLOOKUP(OFFSET(Table22,335,21,1,1),OFFSET(Table2,0,1,ROWS(Table2),8),8,0),VLOOKUP(OFFSET(Table22,335,22,1,1),Table2,9,0))</f>
        <v>103257810</v>
      </c>
      <c r="N336" s="15" t="s">
        <v>29</v>
      </c>
      <c r="O336" s="16" t="n">
        <v>43352</v>
      </c>
      <c r="P336" s="17" t="s">
        <v>102</v>
      </c>
      <c r="Q336" s="18" t="s">
        <v>103</v>
      </c>
      <c r="R336" s="17" t="s">
        <v>104</v>
      </c>
      <c r="S336" s="18" t="s">
        <v>33</v>
      </c>
      <c r="T336" s="17" t="s">
        <v>34</v>
      </c>
      <c r="U336" s="18" t="s">
        <v>39</v>
      </c>
      <c r="V336" s="19" t="n">
        <v>226496101</v>
      </c>
      <c r="W336" s="17" t="s">
        <v>114</v>
      </c>
      <c r="X336" s="17" t="n">
        <v>3</v>
      </c>
      <c r="Y336" s="17"/>
      <c r="Z336" s="17" t="n">
        <v>0</v>
      </c>
      <c r="AA336" s="17" t="s">
        <v>38</v>
      </c>
      <c r="AB336" s="17"/>
    </row>
    <row r="337" customFormat="false" ht="15" hidden="false" customHeight="false" outlineLevel="0" collapsed="false">
      <c r="A337" s="1" t="str">
        <f aca="false">OFFSET(Table22,336,14,1,1)&amp;OFFSET(Table22,336,21,1,1)</f>
        <v>43358226496098</v>
      </c>
      <c r="B337" s="1" t="str">
        <f aca="false">OFFSET(Table22,336,14,1,1)&amp;OFFSET(Table22,336,22,1,1)</f>
        <v>43358Facebook»Developers/ITPros-Azure Direct-Sponsored Post_Trial-Link Ad-FreeAcctRetargetingVMFB-750Hrs-ChD CanvasOpener»1x1»SocialBan»SOC»ALL»CPC»LAL»D»UNK»SS»NA»Trials_ID</v>
      </c>
      <c r="C337" s="1" t="s">
        <v>28</v>
      </c>
      <c r="D337" s="3" t="n">
        <f aca="false">O337+(7-WEEKDAY(O337))</f>
        <v>43358</v>
      </c>
      <c r="E337" s="1" t="str">
        <f aca="false">VLOOKUP(OFFSET(Table22,336,16,1,1),Key!B:D,2,0)</f>
        <v>France</v>
      </c>
      <c r="F337" s="1" t="str">
        <f aca="false">IF(ISNUMBER(SEARCH("Canvas",U337)),"Link",IF(ISNUMBER(SEARCH("Link",U337)),"Link","Not filled properly"))</f>
        <v>Link</v>
      </c>
      <c r="G337" s="1" t="str">
        <f aca="false">IFERROR(VLOOKUP(OFFSET(Table22,336,21,1,1),OFFSET(Table2,0,1,ROWS(Table2),8),2,0),VLOOKUP(OFFSET(Table22,336,22,1,1),Table2,3,0))</f>
        <v>FRA_gaPMG_AZR_AZR_Q1_19_AzureDirect-Trial-Social</v>
      </c>
      <c r="H337" s="1" t="n">
        <f aca="false">IFERROR(VLOOKUP(OFFSET(Table22,336,21,1,1),OFFSET(Table2,0,1,ROWS(Table2),8),3,0),VLOOKUP(OFFSET(Table22,336,22,1,1),Table2,4,0))</f>
        <v>21356941</v>
      </c>
      <c r="I337" s="2" t="n">
        <f aca="false">IFERROR(VLOOKUP(OFFSET(Table22,336,21,1,1),OFFSET(Table2,0,1,ROWS(Table2),8),4,0),VLOOKUP(OFFSET(Table22,336,22,1,1),Table2,5,0))</f>
        <v>720193</v>
      </c>
      <c r="J337" s="3" t="str">
        <f aca="false">IF(ISNUMBER(SEARCH("FACEBOOK",W337)),"Facebook",IF(ISNUMBER(SEARCH("INSTAGRAM",W337)),"Facebook-Instagram","Look at taxonomy"))</f>
        <v>Facebook</v>
      </c>
      <c r="K337" s="3" t="str">
        <f aca="false">IF(ISNUMBER(SEARCH("Facebook",J337)),"3654128","Not Facebook")</f>
        <v>3654128</v>
      </c>
      <c r="L337" s="3" t="str">
        <f aca="false">IFERROR(VLOOKUP(OFFSET(Table22,336,21,1,1),OFFSET(Table2,0,1,ROWS(Table2),8),7,0),VLOOKUP(OFFSET(Table22,336,22,1,1),Table2,8,0))</f>
        <v>void</v>
      </c>
      <c r="M337" s="2" t="n">
        <f aca="false">IFERROR(VLOOKUP(OFFSET(Table22,336,21,1,1),OFFSET(Table2,0,1,ROWS(Table2),8),8,0),VLOOKUP(OFFSET(Table22,336,22,1,1),Table2,9,0))</f>
        <v>104458165</v>
      </c>
      <c r="N337" s="15" t="s">
        <v>29</v>
      </c>
      <c r="O337" s="16" t="n">
        <v>43358</v>
      </c>
      <c r="P337" s="17" t="s">
        <v>102</v>
      </c>
      <c r="Q337" s="18" t="s">
        <v>103</v>
      </c>
      <c r="R337" s="17" t="s">
        <v>104</v>
      </c>
      <c r="S337" s="18" t="s">
        <v>33</v>
      </c>
      <c r="T337" s="17" t="s">
        <v>34</v>
      </c>
      <c r="U337" s="18" t="s">
        <v>39</v>
      </c>
      <c r="V337" s="19" t="n">
        <v>226496098</v>
      </c>
      <c r="W337" s="17" t="s">
        <v>115</v>
      </c>
      <c r="X337" s="17" t="n">
        <v>0</v>
      </c>
      <c r="Y337" s="17"/>
      <c r="Z337" s="17" t="n">
        <v>0</v>
      </c>
      <c r="AA337" s="17" t="s">
        <v>38</v>
      </c>
      <c r="AB337" s="17"/>
    </row>
    <row r="338" customFormat="false" ht="15" hidden="false" customHeight="false" outlineLevel="0" collapsed="false">
      <c r="A338" s="1" t="str">
        <f aca="false">OFFSET(Table22,337,14,1,1)&amp;OFFSET(Table22,337,21,1,1)</f>
        <v>43357226496098</v>
      </c>
      <c r="B338" s="1" t="str">
        <f aca="false">OFFSET(Table22,337,14,1,1)&amp;OFFSET(Table22,337,22,1,1)</f>
        <v>43357Facebook»Developers/ITPros-Azure Direct-Sponsored Post_Trial-Link Ad-FreeAcctRetargetingVMFB-750Hrs-ChD CanvasOpener»1x1»SocialBan»SOC»ALL»CPC»LAL»D»UNK»SS»NA»Trials_ID</v>
      </c>
      <c r="C338" s="1" t="s">
        <v>28</v>
      </c>
      <c r="D338" s="3" t="n">
        <f aca="false">O338+(7-WEEKDAY(O338))</f>
        <v>43358</v>
      </c>
      <c r="E338" s="1" t="str">
        <f aca="false">VLOOKUP(OFFSET(Table22,337,16,1,1),Key!B:D,2,0)</f>
        <v>France</v>
      </c>
      <c r="F338" s="1" t="str">
        <f aca="false">IF(ISNUMBER(SEARCH("Canvas",U338)),"Link",IF(ISNUMBER(SEARCH("Link",U338)),"Link","Not filled properly"))</f>
        <v>Link</v>
      </c>
      <c r="G338" s="1" t="str">
        <f aca="false">IFERROR(VLOOKUP(OFFSET(Table22,337,21,1,1),OFFSET(Table2,0,1,ROWS(Table2),8),2,0),VLOOKUP(OFFSET(Table22,337,22,1,1),Table2,3,0))</f>
        <v>FRA_gaPMG_AZR_AZR_Q1_19_AzureDirect-Trial-Social</v>
      </c>
      <c r="H338" s="1" t="n">
        <f aca="false">IFERROR(VLOOKUP(OFFSET(Table22,337,21,1,1),OFFSET(Table2,0,1,ROWS(Table2),8),3,0),VLOOKUP(OFFSET(Table22,337,22,1,1),Table2,4,0))</f>
        <v>21356941</v>
      </c>
      <c r="I338" s="2" t="n">
        <f aca="false">IFERROR(VLOOKUP(OFFSET(Table22,337,21,1,1),OFFSET(Table2,0,1,ROWS(Table2),8),4,0),VLOOKUP(OFFSET(Table22,337,22,1,1),Table2,5,0))</f>
        <v>720193</v>
      </c>
      <c r="J338" s="3" t="str">
        <f aca="false">IF(ISNUMBER(SEARCH("FACEBOOK",W338)),"Facebook",IF(ISNUMBER(SEARCH("INSTAGRAM",W338)),"Facebook-Instagram","Look at taxonomy"))</f>
        <v>Facebook</v>
      </c>
      <c r="K338" s="3" t="str">
        <f aca="false">IF(ISNUMBER(SEARCH("Facebook",J338)),"3654128","Not Facebook")</f>
        <v>3654128</v>
      </c>
      <c r="L338" s="3" t="str">
        <f aca="false">IFERROR(VLOOKUP(OFFSET(Table22,337,21,1,1),OFFSET(Table2,0,1,ROWS(Table2),8),7,0),VLOOKUP(OFFSET(Table22,337,22,1,1),Table2,8,0))</f>
        <v>void</v>
      </c>
      <c r="M338" s="2" t="n">
        <f aca="false">IFERROR(VLOOKUP(OFFSET(Table22,337,21,1,1),OFFSET(Table2,0,1,ROWS(Table2),8),8,0),VLOOKUP(OFFSET(Table22,337,22,1,1),Table2,9,0))</f>
        <v>104458165</v>
      </c>
      <c r="N338" s="15" t="s">
        <v>29</v>
      </c>
      <c r="O338" s="16" t="n">
        <v>43357</v>
      </c>
      <c r="P338" s="17" t="s">
        <v>102</v>
      </c>
      <c r="Q338" s="18" t="s">
        <v>103</v>
      </c>
      <c r="R338" s="17" t="s">
        <v>104</v>
      </c>
      <c r="S338" s="18" t="s">
        <v>33</v>
      </c>
      <c r="T338" s="17" t="s">
        <v>34</v>
      </c>
      <c r="U338" s="18" t="s">
        <v>39</v>
      </c>
      <c r="V338" s="19" t="n">
        <v>226496098</v>
      </c>
      <c r="W338" s="17" t="s">
        <v>115</v>
      </c>
      <c r="X338" s="17" t="n">
        <v>0</v>
      </c>
      <c r="Y338" s="17"/>
      <c r="Z338" s="17" t="n">
        <v>0</v>
      </c>
      <c r="AA338" s="17" t="s">
        <v>38</v>
      </c>
      <c r="AB338" s="17"/>
    </row>
    <row r="339" customFormat="false" ht="15" hidden="false" customHeight="false" outlineLevel="0" collapsed="false">
      <c r="A339" s="1" t="str">
        <f aca="false">OFFSET(Table22,338,14,1,1)&amp;OFFSET(Table22,338,21,1,1)</f>
        <v>43356226496098</v>
      </c>
      <c r="B339" s="1" t="str">
        <f aca="false">OFFSET(Table22,338,14,1,1)&amp;OFFSET(Table22,338,22,1,1)</f>
        <v>43356Facebook»Developers/ITPros-Azure Direct-Sponsored Post_Trial-Link Ad-FreeAcctRetargetingVMFB-750Hrs-ChD CanvasOpener»1x1»SocialBan»SOC»ALL»CPC»LAL»D»UNK»SS»NA»Trials_ID</v>
      </c>
      <c r="C339" s="1" t="s">
        <v>28</v>
      </c>
      <c r="D339" s="3" t="n">
        <f aca="false">O339+(7-WEEKDAY(O339))</f>
        <v>43358</v>
      </c>
      <c r="E339" s="1" t="str">
        <f aca="false">VLOOKUP(OFFSET(Table22,338,16,1,1),Key!B:D,2,0)</f>
        <v>France</v>
      </c>
      <c r="F339" s="1" t="str">
        <f aca="false">IF(ISNUMBER(SEARCH("Canvas",U339)),"Link",IF(ISNUMBER(SEARCH("Link",U339)),"Link","Not filled properly"))</f>
        <v>Link</v>
      </c>
      <c r="G339" s="1" t="str">
        <f aca="false">IFERROR(VLOOKUP(OFFSET(Table22,338,21,1,1),OFFSET(Table2,0,1,ROWS(Table2),8),2,0),VLOOKUP(OFFSET(Table22,338,22,1,1),Table2,3,0))</f>
        <v>FRA_gaPMG_AZR_AZR_Q1_19_AzureDirect-Trial-Social</v>
      </c>
      <c r="H339" s="1" t="n">
        <f aca="false">IFERROR(VLOOKUP(OFFSET(Table22,338,21,1,1),OFFSET(Table2,0,1,ROWS(Table2),8),3,0),VLOOKUP(OFFSET(Table22,338,22,1,1),Table2,4,0))</f>
        <v>21356941</v>
      </c>
      <c r="I339" s="2" t="n">
        <f aca="false">IFERROR(VLOOKUP(OFFSET(Table22,338,21,1,1),OFFSET(Table2,0,1,ROWS(Table2),8),4,0),VLOOKUP(OFFSET(Table22,338,22,1,1),Table2,5,0))</f>
        <v>720193</v>
      </c>
      <c r="J339" s="3" t="str">
        <f aca="false">IF(ISNUMBER(SEARCH("FACEBOOK",W339)),"Facebook",IF(ISNUMBER(SEARCH("INSTAGRAM",W339)),"Facebook-Instagram","Look at taxonomy"))</f>
        <v>Facebook</v>
      </c>
      <c r="K339" s="3" t="str">
        <f aca="false">IF(ISNUMBER(SEARCH("Facebook",J339)),"3654128","Not Facebook")</f>
        <v>3654128</v>
      </c>
      <c r="L339" s="3" t="str">
        <f aca="false">IFERROR(VLOOKUP(OFFSET(Table22,338,21,1,1),OFFSET(Table2,0,1,ROWS(Table2),8),7,0),VLOOKUP(OFFSET(Table22,338,22,1,1),Table2,8,0))</f>
        <v>void</v>
      </c>
      <c r="M339" s="2" t="n">
        <f aca="false">IFERROR(VLOOKUP(OFFSET(Table22,338,21,1,1),OFFSET(Table2,0,1,ROWS(Table2),8),8,0),VLOOKUP(OFFSET(Table22,338,22,1,1),Table2,9,0))</f>
        <v>104458165</v>
      </c>
      <c r="N339" s="15" t="s">
        <v>29</v>
      </c>
      <c r="O339" s="16" t="n">
        <v>43356</v>
      </c>
      <c r="P339" s="17" t="s">
        <v>102</v>
      </c>
      <c r="Q339" s="18" t="s">
        <v>103</v>
      </c>
      <c r="R339" s="17" t="s">
        <v>104</v>
      </c>
      <c r="S339" s="18" t="s">
        <v>33</v>
      </c>
      <c r="T339" s="17" t="s">
        <v>34</v>
      </c>
      <c r="U339" s="18" t="s">
        <v>39</v>
      </c>
      <c r="V339" s="19" t="n">
        <v>226496098</v>
      </c>
      <c r="W339" s="17" t="s">
        <v>115</v>
      </c>
      <c r="X339" s="17" t="n">
        <v>0</v>
      </c>
      <c r="Y339" s="17"/>
      <c r="Z339" s="17" t="n">
        <v>0</v>
      </c>
      <c r="AA339" s="17" t="s">
        <v>38</v>
      </c>
      <c r="AB339" s="17"/>
    </row>
    <row r="340" customFormat="false" ht="15" hidden="false" customHeight="false" outlineLevel="0" collapsed="false">
      <c r="A340" s="1" t="str">
        <f aca="false">OFFSET(Table22,339,14,1,1)&amp;OFFSET(Table22,339,21,1,1)</f>
        <v>43355226496098</v>
      </c>
      <c r="B340" s="1" t="str">
        <f aca="false">OFFSET(Table22,339,14,1,1)&amp;OFFSET(Table22,339,22,1,1)</f>
        <v>43355Facebook»Developers/ITPros-Azure Direct-Sponsored Post_Trial-Link Ad-FreeAcctRetargetingVMFB-750Hrs-ChD CanvasOpener»1x1»SocialBan»SOC»ALL»CPC»LAL»D»UNK»SS»NA»Trials_ID</v>
      </c>
      <c r="C340" s="1" t="s">
        <v>28</v>
      </c>
      <c r="D340" s="3" t="n">
        <f aca="false">O340+(7-WEEKDAY(O340))</f>
        <v>43358</v>
      </c>
      <c r="E340" s="1" t="str">
        <f aca="false">VLOOKUP(OFFSET(Table22,339,16,1,1),Key!B:D,2,0)</f>
        <v>France</v>
      </c>
      <c r="F340" s="1" t="str">
        <f aca="false">IF(ISNUMBER(SEARCH("Canvas",U340)),"Link",IF(ISNUMBER(SEARCH("Link",U340)),"Link","Not filled properly"))</f>
        <v>Link</v>
      </c>
      <c r="G340" s="1" t="str">
        <f aca="false">IFERROR(VLOOKUP(OFFSET(Table22,339,21,1,1),OFFSET(Table2,0,1,ROWS(Table2),8),2,0),VLOOKUP(OFFSET(Table22,339,22,1,1),Table2,3,0))</f>
        <v>FRA_gaPMG_AZR_AZR_Q1_19_AzureDirect-Trial-Social</v>
      </c>
      <c r="H340" s="1" t="n">
        <f aca="false">IFERROR(VLOOKUP(OFFSET(Table22,339,21,1,1),OFFSET(Table2,0,1,ROWS(Table2),8),3,0),VLOOKUP(OFFSET(Table22,339,22,1,1),Table2,4,0))</f>
        <v>21356941</v>
      </c>
      <c r="I340" s="2" t="n">
        <f aca="false">IFERROR(VLOOKUP(OFFSET(Table22,339,21,1,1),OFFSET(Table2,0,1,ROWS(Table2),8),4,0),VLOOKUP(OFFSET(Table22,339,22,1,1),Table2,5,0))</f>
        <v>720193</v>
      </c>
      <c r="J340" s="3" t="str">
        <f aca="false">IF(ISNUMBER(SEARCH("FACEBOOK",W340)),"Facebook",IF(ISNUMBER(SEARCH("INSTAGRAM",W340)),"Facebook-Instagram","Look at taxonomy"))</f>
        <v>Facebook</v>
      </c>
      <c r="K340" s="3" t="str">
        <f aca="false">IF(ISNUMBER(SEARCH("Facebook",J340)),"3654128","Not Facebook")</f>
        <v>3654128</v>
      </c>
      <c r="L340" s="3" t="str">
        <f aca="false">IFERROR(VLOOKUP(OFFSET(Table22,339,21,1,1),OFFSET(Table2,0,1,ROWS(Table2),8),7,0),VLOOKUP(OFFSET(Table22,339,22,1,1),Table2,8,0))</f>
        <v>void</v>
      </c>
      <c r="M340" s="2" t="n">
        <f aca="false">IFERROR(VLOOKUP(OFFSET(Table22,339,21,1,1),OFFSET(Table2,0,1,ROWS(Table2),8),8,0),VLOOKUP(OFFSET(Table22,339,22,1,1),Table2,9,0))</f>
        <v>104458165</v>
      </c>
      <c r="N340" s="15" t="s">
        <v>29</v>
      </c>
      <c r="O340" s="16" t="n">
        <v>43355</v>
      </c>
      <c r="P340" s="17" t="s">
        <v>102</v>
      </c>
      <c r="Q340" s="18" t="s">
        <v>103</v>
      </c>
      <c r="R340" s="17" t="s">
        <v>104</v>
      </c>
      <c r="S340" s="18" t="s">
        <v>33</v>
      </c>
      <c r="T340" s="17" t="s">
        <v>34</v>
      </c>
      <c r="U340" s="18" t="s">
        <v>39</v>
      </c>
      <c r="V340" s="19" t="n">
        <v>226496098</v>
      </c>
      <c r="W340" s="17" t="s">
        <v>115</v>
      </c>
      <c r="X340" s="17" t="n">
        <v>0</v>
      </c>
      <c r="Y340" s="17"/>
      <c r="Z340" s="17" t="n">
        <v>0</v>
      </c>
      <c r="AA340" s="17" t="s">
        <v>38</v>
      </c>
      <c r="AB340" s="17"/>
    </row>
    <row r="341" customFormat="false" ht="15" hidden="false" customHeight="false" outlineLevel="0" collapsed="false">
      <c r="A341" s="1" t="str">
        <f aca="false">OFFSET(Table22,340,14,1,1)&amp;OFFSET(Table22,340,21,1,1)</f>
        <v>43354226496098</v>
      </c>
      <c r="B341" s="1" t="str">
        <f aca="false">OFFSET(Table22,340,14,1,1)&amp;OFFSET(Table22,340,22,1,1)</f>
        <v>43354Facebook»Developers/ITPros-Azure Direct-Sponsored Post_Trial-Link Ad-FreeAcctRetargetingVMFB-750Hrs-ChD CanvasOpener»1x1»SocialBan»SOC»ALL»CPC»LAL»D»UNK»SS»NA»Trials_ID</v>
      </c>
      <c r="C341" s="1" t="s">
        <v>28</v>
      </c>
      <c r="D341" s="3" t="n">
        <f aca="false">O341+(7-WEEKDAY(O341))</f>
        <v>43358</v>
      </c>
      <c r="E341" s="1" t="str">
        <f aca="false">VLOOKUP(OFFSET(Table22,340,16,1,1),Key!B:D,2,0)</f>
        <v>France</v>
      </c>
      <c r="F341" s="1" t="str">
        <f aca="false">IF(ISNUMBER(SEARCH("Canvas",U341)),"Link",IF(ISNUMBER(SEARCH("Link",U341)),"Link","Not filled properly"))</f>
        <v>Link</v>
      </c>
      <c r="G341" s="1" t="str">
        <f aca="false">IFERROR(VLOOKUP(OFFSET(Table22,340,21,1,1),OFFSET(Table2,0,1,ROWS(Table2),8),2,0),VLOOKUP(OFFSET(Table22,340,22,1,1),Table2,3,0))</f>
        <v>FRA_gaPMG_AZR_AZR_Q1_19_AzureDirect-Trial-Social</v>
      </c>
      <c r="H341" s="1" t="n">
        <f aca="false">IFERROR(VLOOKUP(OFFSET(Table22,340,21,1,1),OFFSET(Table2,0,1,ROWS(Table2),8),3,0),VLOOKUP(OFFSET(Table22,340,22,1,1),Table2,4,0))</f>
        <v>21356941</v>
      </c>
      <c r="I341" s="2" t="n">
        <f aca="false">IFERROR(VLOOKUP(OFFSET(Table22,340,21,1,1),OFFSET(Table2,0,1,ROWS(Table2),8),4,0),VLOOKUP(OFFSET(Table22,340,22,1,1),Table2,5,0))</f>
        <v>720193</v>
      </c>
      <c r="J341" s="3" t="str">
        <f aca="false">IF(ISNUMBER(SEARCH("FACEBOOK",W341)),"Facebook",IF(ISNUMBER(SEARCH("INSTAGRAM",W341)),"Facebook-Instagram","Look at taxonomy"))</f>
        <v>Facebook</v>
      </c>
      <c r="K341" s="3" t="str">
        <f aca="false">IF(ISNUMBER(SEARCH("Facebook",J341)),"3654128","Not Facebook")</f>
        <v>3654128</v>
      </c>
      <c r="L341" s="3" t="str">
        <f aca="false">IFERROR(VLOOKUP(OFFSET(Table22,340,21,1,1),OFFSET(Table2,0,1,ROWS(Table2),8),7,0),VLOOKUP(OFFSET(Table22,340,22,1,1),Table2,8,0))</f>
        <v>void</v>
      </c>
      <c r="M341" s="2" t="n">
        <f aca="false">IFERROR(VLOOKUP(OFFSET(Table22,340,21,1,1),OFFSET(Table2,0,1,ROWS(Table2),8),8,0),VLOOKUP(OFFSET(Table22,340,22,1,1),Table2,9,0))</f>
        <v>104458165</v>
      </c>
      <c r="N341" s="15" t="s">
        <v>29</v>
      </c>
      <c r="O341" s="16" t="n">
        <v>43354</v>
      </c>
      <c r="P341" s="17" t="s">
        <v>102</v>
      </c>
      <c r="Q341" s="18" t="s">
        <v>103</v>
      </c>
      <c r="R341" s="17" t="s">
        <v>104</v>
      </c>
      <c r="S341" s="18" t="s">
        <v>33</v>
      </c>
      <c r="T341" s="17" t="s">
        <v>34</v>
      </c>
      <c r="U341" s="18" t="s">
        <v>39</v>
      </c>
      <c r="V341" s="19" t="n">
        <v>226496098</v>
      </c>
      <c r="W341" s="17" t="s">
        <v>115</v>
      </c>
      <c r="X341" s="17" t="n">
        <v>0</v>
      </c>
      <c r="Y341" s="17"/>
      <c r="Z341" s="17" t="n">
        <v>0</v>
      </c>
      <c r="AA341" s="17" t="s">
        <v>38</v>
      </c>
      <c r="AB341" s="17"/>
    </row>
    <row r="342" customFormat="false" ht="15" hidden="false" customHeight="false" outlineLevel="0" collapsed="false">
      <c r="A342" s="1" t="str">
        <f aca="false">OFFSET(Table22,341,14,1,1)&amp;OFFSET(Table22,341,21,1,1)</f>
        <v>43353226496098</v>
      </c>
      <c r="B342" s="1" t="str">
        <f aca="false">OFFSET(Table22,341,14,1,1)&amp;OFFSET(Table22,341,22,1,1)</f>
        <v>43353Facebook»Developers/ITPros-Azure Direct-Sponsored Post_Trial-Link Ad-FreeAcctRetargetingVMFB-750Hrs-ChD CanvasOpener»1x1»SocialBan»SOC»ALL»CPC»LAL»D»UNK»SS»NA»Trials_ID</v>
      </c>
      <c r="C342" s="1" t="s">
        <v>28</v>
      </c>
      <c r="D342" s="3" t="n">
        <f aca="false">O342+(7-WEEKDAY(O342))</f>
        <v>43358</v>
      </c>
      <c r="E342" s="1" t="str">
        <f aca="false">VLOOKUP(OFFSET(Table22,341,16,1,1),Key!B:D,2,0)</f>
        <v>France</v>
      </c>
      <c r="F342" s="1" t="str">
        <f aca="false">IF(ISNUMBER(SEARCH("Canvas",U342)),"Link",IF(ISNUMBER(SEARCH("Link",U342)),"Link","Not filled properly"))</f>
        <v>Link</v>
      </c>
      <c r="G342" s="1" t="str">
        <f aca="false">IFERROR(VLOOKUP(OFFSET(Table22,341,21,1,1),OFFSET(Table2,0,1,ROWS(Table2),8),2,0),VLOOKUP(OFFSET(Table22,341,22,1,1),Table2,3,0))</f>
        <v>FRA_gaPMG_AZR_AZR_Q1_19_AzureDirect-Trial-Social</v>
      </c>
      <c r="H342" s="1" t="n">
        <f aca="false">IFERROR(VLOOKUP(OFFSET(Table22,341,21,1,1),OFFSET(Table2,0,1,ROWS(Table2),8),3,0),VLOOKUP(OFFSET(Table22,341,22,1,1),Table2,4,0))</f>
        <v>21356941</v>
      </c>
      <c r="I342" s="2" t="n">
        <f aca="false">IFERROR(VLOOKUP(OFFSET(Table22,341,21,1,1),OFFSET(Table2,0,1,ROWS(Table2),8),4,0),VLOOKUP(OFFSET(Table22,341,22,1,1),Table2,5,0))</f>
        <v>720193</v>
      </c>
      <c r="J342" s="3" t="str">
        <f aca="false">IF(ISNUMBER(SEARCH("FACEBOOK",W342)),"Facebook",IF(ISNUMBER(SEARCH("INSTAGRAM",W342)),"Facebook-Instagram","Look at taxonomy"))</f>
        <v>Facebook</v>
      </c>
      <c r="K342" s="3" t="str">
        <f aca="false">IF(ISNUMBER(SEARCH("Facebook",J342)),"3654128","Not Facebook")</f>
        <v>3654128</v>
      </c>
      <c r="L342" s="3" t="str">
        <f aca="false">IFERROR(VLOOKUP(OFFSET(Table22,341,21,1,1),OFFSET(Table2,0,1,ROWS(Table2),8),7,0),VLOOKUP(OFFSET(Table22,341,22,1,1),Table2,8,0))</f>
        <v>void</v>
      </c>
      <c r="M342" s="2" t="n">
        <f aca="false">IFERROR(VLOOKUP(OFFSET(Table22,341,21,1,1),OFFSET(Table2,0,1,ROWS(Table2),8),8,0),VLOOKUP(OFFSET(Table22,341,22,1,1),Table2,9,0))</f>
        <v>104458165</v>
      </c>
      <c r="N342" s="15" t="s">
        <v>29</v>
      </c>
      <c r="O342" s="16" t="n">
        <v>43353</v>
      </c>
      <c r="P342" s="17" t="s">
        <v>102</v>
      </c>
      <c r="Q342" s="18" t="s">
        <v>103</v>
      </c>
      <c r="R342" s="17" t="s">
        <v>104</v>
      </c>
      <c r="S342" s="18" t="s">
        <v>33</v>
      </c>
      <c r="T342" s="17" t="s">
        <v>34</v>
      </c>
      <c r="U342" s="18" t="s">
        <v>39</v>
      </c>
      <c r="V342" s="19" t="n">
        <v>226496098</v>
      </c>
      <c r="W342" s="17" t="s">
        <v>115</v>
      </c>
      <c r="X342" s="17" t="n">
        <v>0</v>
      </c>
      <c r="Y342" s="17"/>
      <c r="Z342" s="17" t="n">
        <v>0</v>
      </c>
      <c r="AA342" s="17" t="s">
        <v>38</v>
      </c>
      <c r="AB342" s="17"/>
    </row>
    <row r="343" customFormat="false" ht="15" hidden="false" customHeight="false" outlineLevel="0" collapsed="false">
      <c r="A343" s="1" t="str">
        <f aca="false">OFFSET(Table22,342,14,1,1)&amp;OFFSET(Table22,342,21,1,1)</f>
        <v>43352226496098</v>
      </c>
      <c r="B343" s="1" t="str">
        <f aca="false">OFFSET(Table22,342,14,1,1)&amp;OFFSET(Table22,342,22,1,1)</f>
        <v>43352Facebook»Developers/ITPros-Azure Direct-Sponsored Post_Trial-Link Ad-FreeAcctRetargetingVMFB-750Hrs-ChD CanvasOpener»1x1»SocialBan»SOC»ALL»CPC»LAL»D»UNK»SS»NA»Trials_ID</v>
      </c>
      <c r="C343" s="1" t="s">
        <v>28</v>
      </c>
      <c r="D343" s="3" t="n">
        <f aca="false">O343+(7-WEEKDAY(O343))</f>
        <v>43358</v>
      </c>
      <c r="E343" s="1" t="str">
        <f aca="false">VLOOKUP(OFFSET(Table22,342,16,1,1),Key!B:D,2,0)</f>
        <v>France</v>
      </c>
      <c r="F343" s="1" t="str">
        <f aca="false">IF(ISNUMBER(SEARCH("Canvas",U343)),"Link",IF(ISNUMBER(SEARCH("Link",U343)),"Link","Not filled properly"))</f>
        <v>Link</v>
      </c>
      <c r="G343" s="1" t="str">
        <f aca="false">IFERROR(VLOOKUP(OFFSET(Table22,342,21,1,1),OFFSET(Table2,0,1,ROWS(Table2),8),2,0),VLOOKUP(OFFSET(Table22,342,22,1,1),Table2,3,0))</f>
        <v>FRA_gaPMG_AZR_AZR_Q1_19_AzureDirect-Trial-Social</v>
      </c>
      <c r="H343" s="1" t="n">
        <f aca="false">IFERROR(VLOOKUP(OFFSET(Table22,342,21,1,1),OFFSET(Table2,0,1,ROWS(Table2),8),3,0),VLOOKUP(OFFSET(Table22,342,22,1,1),Table2,4,0))</f>
        <v>21356941</v>
      </c>
      <c r="I343" s="2" t="n">
        <f aca="false">IFERROR(VLOOKUP(OFFSET(Table22,342,21,1,1),OFFSET(Table2,0,1,ROWS(Table2),8),4,0),VLOOKUP(OFFSET(Table22,342,22,1,1),Table2,5,0))</f>
        <v>720193</v>
      </c>
      <c r="J343" s="3" t="str">
        <f aca="false">IF(ISNUMBER(SEARCH("FACEBOOK",W343)),"Facebook",IF(ISNUMBER(SEARCH("INSTAGRAM",W343)),"Facebook-Instagram","Look at taxonomy"))</f>
        <v>Facebook</v>
      </c>
      <c r="K343" s="3" t="str">
        <f aca="false">IF(ISNUMBER(SEARCH("Facebook",J343)),"3654128","Not Facebook")</f>
        <v>3654128</v>
      </c>
      <c r="L343" s="3" t="str">
        <f aca="false">IFERROR(VLOOKUP(OFFSET(Table22,342,21,1,1),OFFSET(Table2,0,1,ROWS(Table2),8),7,0),VLOOKUP(OFFSET(Table22,342,22,1,1),Table2,8,0))</f>
        <v>void</v>
      </c>
      <c r="M343" s="2" t="n">
        <f aca="false">IFERROR(VLOOKUP(OFFSET(Table22,342,21,1,1),OFFSET(Table2,0,1,ROWS(Table2),8),8,0),VLOOKUP(OFFSET(Table22,342,22,1,1),Table2,9,0))</f>
        <v>104458165</v>
      </c>
      <c r="N343" s="15" t="s">
        <v>29</v>
      </c>
      <c r="O343" s="16" t="n">
        <v>43352</v>
      </c>
      <c r="P343" s="17" t="s">
        <v>102</v>
      </c>
      <c r="Q343" s="18" t="s">
        <v>103</v>
      </c>
      <c r="R343" s="17" t="s">
        <v>104</v>
      </c>
      <c r="S343" s="18" t="s">
        <v>33</v>
      </c>
      <c r="T343" s="17" t="s">
        <v>34</v>
      </c>
      <c r="U343" s="18" t="s">
        <v>39</v>
      </c>
      <c r="V343" s="19" t="n">
        <v>226496098</v>
      </c>
      <c r="W343" s="17" t="s">
        <v>115</v>
      </c>
      <c r="X343" s="17" t="n">
        <v>0</v>
      </c>
      <c r="Y343" s="17"/>
      <c r="Z343" s="17" t="n">
        <v>0</v>
      </c>
      <c r="AA343" s="17" t="s">
        <v>38</v>
      </c>
      <c r="AB343" s="17"/>
    </row>
    <row r="344" customFormat="false" ht="15" hidden="false" customHeight="false" outlineLevel="0" collapsed="false">
      <c r="A344" s="1" t="str">
        <f aca="false">OFFSET(Table22,343,14,1,1)&amp;OFFSET(Table22,343,21,1,1)</f>
        <v>43358226496095</v>
      </c>
      <c r="B344" s="1" t="str">
        <f aca="false">OFFSET(Table22,343,14,1,1)&amp;OFFSET(Table22,343,22,1,1)</f>
        <v>43358Facebook»Developers/ITPros-Azure Direct-Sponsored Post_Trial-Link Ad-FreeAcctRetargetingVMFB-OnDemand-ChE CanvasOpener»1x1»SocialBan»SOC»ALL»CPC»LAL»D»UNK»SS»NA»Trials_ID</v>
      </c>
      <c r="C344" s="1" t="s">
        <v>28</v>
      </c>
      <c r="D344" s="3" t="n">
        <f aca="false">O344+(7-WEEKDAY(O344))</f>
        <v>43358</v>
      </c>
      <c r="E344" s="1" t="str">
        <f aca="false">VLOOKUP(OFFSET(Table22,343,16,1,1),Key!B:D,2,0)</f>
        <v>France</v>
      </c>
      <c r="F344" s="1" t="str">
        <f aca="false">IF(ISNUMBER(SEARCH("Canvas",U344)),"Link",IF(ISNUMBER(SEARCH("Link",U344)),"Link","Not filled properly"))</f>
        <v>Link</v>
      </c>
      <c r="G344" s="1" t="str">
        <f aca="false">IFERROR(VLOOKUP(OFFSET(Table22,343,21,1,1),OFFSET(Table2,0,1,ROWS(Table2),8),2,0),VLOOKUP(OFFSET(Table22,343,22,1,1),Table2,3,0))</f>
        <v>FRA_gaPMG_AZR_AZR_Q1_19_AzureDirect-Trial-Social</v>
      </c>
      <c r="H344" s="1" t="n">
        <f aca="false">IFERROR(VLOOKUP(OFFSET(Table22,343,21,1,1),OFFSET(Table2,0,1,ROWS(Table2),8),3,0),VLOOKUP(OFFSET(Table22,343,22,1,1),Table2,4,0))</f>
        <v>21356941</v>
      </c>
      <c r="I344" s="2" t="n">
        <f aca="false">IFERROR(VLOOKUP(OFFSET(Table22,343,21,1,1),OFFSET(Table2,0,1,ROWS(Table2),8),4,0),VLOOKUP(OFFSET(Table22,343,22,1,1),Table2,5,0))</f>
        <v>720193</v>
      </c>
      <c r="J344" s="3" t="str">
        <f aca="false">IF(ISNUMBER(SEARCH("FACEBOOK",W344)),"Facebook",IF(ISNUMBER(SEARCH("INSTAGRAM",W344)),"Facebook-Instagram","Look at taxonomy"))</f>
        <v>Facebook</v>
      </c>
      <c r="K344" s="3" t="str">
        <f aca="false">IF(ISNUMBER(SEARCH("Facebook",J344)),"3654128","Not Facebook")</f>
        <v>3654128</v>
      </c>
      <c r="L344" s="3" t="str">
        <f aca="false">IFERROR(VLOOKUP(OFFSET(Table22,343,21,1,1),OFFSET(Table2,0,1,ROWS(Table2),8),7,0),VLOOKUP(OFFSET(Table22,343,22,1,1),Table2,8,0))</f>
        <v>AZR_FreeAcctRetargetingVMFB-OnDemand-ChE_FRA_1200x628_SOC_AZRDirect_French_NA_Facebook_SBAN_SINU_T2_1</v>
      </c>
      <c r="M344" s="2" t="n">
        <f aca="false">IFERROR(VLOOKUP(OFFSET(Table22,343,21,1,1),OFFSET(Table2,0,1,ROWS(Table2),8),8,0),VLOOKUP(OFFSET(Table22,343,22,1,1),Table2,9,0))</f>
        <v>103376990</v>
      </c>
      <c r="N344" s="15" t="s">
        <v>29</v>
      </c>
      <c r="O344" s="16" t="n">
        <v>43358</v>
      </c>
      <c r="P344" s="17" t="s">
        <v>102</v>
      </c>
      <c r="Q344" s="18" t="s">
        <v>103</v>
      </c>
      <c r="R344" s="17" t="s">
        <v>104</v>
      </c>
      <c r="S344" s="18" t="s">
        <v>33</v>
      </c>
      <c r="T344" s="17" t="s">
        <v>34</v>
      </c>
      <c r="U344" s="18" t="s">
        <v>39</v>
      </c>
      <c r="V344" s="19" t="n">
        <v>226496095</v>
      </c>
      <c r="W344" s="17" t="s">
        <v>116</v>
      </c>
      <c r="X344" s="17" t="n">
        <v>0</v>
      </c>
      <c r="Y344" s="17"/>
      <c r="Z344" s="17" t="n">
        <v>0</v>
      </c>
      <c r="AA344" s="17" t="s">
        <v>38</v>
      </c>
      <c r="AB344" s="17"/>
    </row>
    <row r="345" customFormat="false" ht="15" hidden="false" customHeight="false" outlineLevel="0" collapsed="false">
      <c r="A345" s="1" t="str">
        <f aca="false">OFFSET(Table22,344,14,1,1)&amp;OFFSET(Table22,344,21,1,1)</f>
        <v>43357226496095</v>
      </c>
      <c r="B345" s="1" t="str">
        <f aca="false">OFFSET(Table22,344,14,1,1)&amp;OFFSET(Table22,344,22,1,1)</f>
        <v>43357Facebook»Developers/ITPros-Azure Direct-Sponsored Post_Trial-Link Ad-FreeAcctRetargetingVMFB-OnDemand-ChE CanvasOpener»1x1»SocialBan»SOC»ALL»CPC»LAL»D»UNK»SS»NA»Trials_ID</v>
      </c>
      <c r="C345" s="1" t="s">
        <v>28</v>
      </c>
      <c r="D345" s="3" t="n">
        <f aca="false">O345+(7-WEEKDAY(O345))</f>
        <v>43358</v>
      </c>
      <c r="E345" s="1" t="str">
        <f aca="false">VLOOKUP(OFFSET(Table22,344,16,1,1),Key!B:D,2,0)</f>
        <v>France</v>
      </c>
      <c r="F345" s="1" t="str">
        <f aca="false">IF(ISNUMBER(SEARCH("Canvas",U345)),"Link",IF(ISNUMBER(SEARCH("Link",U345)),"Link","Not filled properly"))</f>
        <v>Link</v>
      </c>
      <c r="G345" s="1" t="str">
        <f aca="false">IFERROR(VLOOKUP(OFFSET(Table22,344,21,1,1),OFFSET(Table2,0,1,ROWS(Table2),8),2,0),VLOOKUP(OFFSET(Table22,344,22,1,1),Table2,3,0))</f>
        <v>FRA_gaPMG_AZR_AZR_Q1_19_AzureDirect-Trial-Social</v>
      </c>
      <c r="H345" s="1" t="n">
        <f aca="false">IFERROR(VLOOKUP(OFFSET(Table22,344,21,1,1),OFFSET(Table2,0,1,ROWS(Table2),8),3,0),VLOOKUP(OFFSET(Table22,344,22,1,1),Table2,4,0))</f>
        <v>21356941</v>
      </c>
      <c r="I345" s="2" t="n">
        <f aca="false">IFERROR(VLOOKUP(OFFSET(Table22,344,21,1,1),OFFSET(Table2,0,1,ROWS(Table2),8),4,0),VLOOKUP(OFFSET(Table22,344,22,1,1),Table2,5,0))</f>
        <v>720193</v>
      </c>
      <c r="J345" s="3" t="str">
        <f aca="false">IF(ISNUMBER(SEARCH("FACEBOOK",W345)),"Facebook",IF(ISNUMBER(SEARCH("INSTAGRAM",W345)),"Facebook-Instagram","Look at taxonomy"))</f>
        <v>Facebook</v>
      </c>
      <c r="K345" s="3" t="str">
        <f aca="false">IF(ISNUMBER(SEARCH("Facebook",J345)),"3654128","Not Facebook")</f>
        <v>3654128</v>
      </c>
      <c r="L345" s="3" t="str">
        <f aca="false">IFERROR(VLOOKUP(OFFSET(Table22,344,21,1,1),OFFSET(Table2,0,1,ROWS(Table2),8),7,0),VLOOKUP(OFFSET(Table22,344,22,1,1),Table2,8,0))</f>
        <v>AZR_FreeAcctRetargetingVMFB-OnDemand-ChE_FRA_1200x628_SOC_AZRDirect_French_NA_Facebook_SBAN_SINU_T2_1</v>
      </c>
      <c r="M345" s="2" t="n">
        <f aca="false">IFERROR(VLOOKUP(OFFSET(Table22,344,21,1,1),OFFSET(Table2,0,1,ROWS(Table2),8),8,0),VLOOKUP(OFFSET(Table22,344,22,1,1),Table2,9,0))</f>
        <v>103376990</v>
      </c>
      <c r="N345" s="15" t="s">
        <v>29</v>
      </c>
      <c r="O345" s="16" t="n">
        <v>43357</v>
      </c>
      <c r="P345" s="17" t="s">
        <v>102</v>
      </c>
      <c r="Q345" s="18" t="s">
        <v>103</v>
      </c>
      <c r="R345" s="17" t="s">
        <v>104</v>
      </c>
      <c r="S345" s="18" t="s">
        <v>33</v>
      </c>
      <c r="T345" s="17" t="s">
        <v>34</v>
      </c>
      <c r="U345" s="18" t="s">
        <v>39</v>
      </c>
      <c r="V345" s="19" t="n">
        <v>226496095</v>
      </c>
      <c r="W345" s="17" t="s">
        <v>116</v>
      </c>
      <c r="X345" s="17" t="n">
        <v>1</v>
      </c>
      <c r="Y345" s="17"/>
      <c r="Z345" s="17" t="n">
        <v>0.01</v>
      </c>
      <c r="AA345" s="17" t="s">
        <v>38</v>
      </c>
      <c r="AB345" s="17"/>
    </row>
    <row r="346" customFormat="false" ht="15" hidden="false" customHeight="false" outlineLevel="0" collapsed="false">
      <c r="A346" s="1" t="str">
        <f aca="false">OFFSET(Table22,345,14,1,1)&amp;OFFSET(Table22,345,21,1,1)</f>
        <v>43356226496095</v>
      </c>
      <c r="B346" s="1" t="str">
        <f aca="false">OFFSET(Table22,345,14,1,1)&amp;OFFSET(Table22,345,22,1,1)</f>
        <v>43356Facebook»Developers/ITPros-Azure Direct-Sponsored Post_Trial-Link Ad-FreeAcctRetargetingVMFB-OnDemand-ChE CanvasOpener»1x1»SocialBan»SOC»ALL»CPC»LAL»D»UNK»SS»NA»Trials_ID</v>
      </c>
      <c r="C346" s="1" t="s">
        <v>28</v>
      </c>
      <c r="D346" s="3" t="n">
        <f aca="false">O346+(7-WEEKDAY(O346))</f>
        <v>43358</v>
      </c>
      <c r="E346" s="1" t="str">
        <f aca="false">VLOOKUP(OFFSET(Table22,345,16,1,1),Key!B:D,2,0)</f>
        <v>France</v>
      </c>
      <c r="F346" s="1" t="str">
        <f aca="false">IF(ISNUMBER(SEARCH("Canvas",U346)),"Link",IF(ISNUMBER(SEARCH("Link",U346)),"Link","Not filled properly"))</f>
        <v>Link</v>
      </c>
      <c r="G346" s="1" t="str">
        <f aca="false">IFERROR(VLOOKUP(OFFSET(Table22,345,21,1,1),OFFSET(Table2,0,1,ROWS(Table2),8),2,0),VLOOKUP(OFFSET(Table22,345,22,1,1),Table2,3,0))</f>
        <v>FRA_gaPMG_AZR_AZR_Q1_19_AzureDirect-Trial-Social</v>
      </c>
      <c r="H346" s="1" t="n">
        <f aca="false">IFERROR(VLOOKUP(OFFSET(Table22,345,21,1,1),OFFSET(Table2,0,1,ROWS(Table2),8),3,0),VLOOKUP(OFFSET(Table22,345,22,1,1),Table2,4,0))</f>
        <v>21356941</v>
      </c>
      <c r="I346" s="2" t="n">
        <f aca="false">IFERROR(VLOOKUP(OFFSET(Table22,345,21,1,1),OFFSET(Table2,0,1,ROWS(Table2),8),4,0),VLOOKUP(OFFSET(Table22,345,22,1,1),Table2,5,0))</f>
        <v>720193</v>
      </c>
      <c r="J346" s="3" t="str">
        <f aca="false">IF(ISNUMBER(SEARCH("FACEBOOK",W346)),"Facebook",IF(ISNUMBER(SEARCH("INSTAGRAM",W346)),"Facebook-Instagram","Look at taxonomy"))</f>
        <v>Facebook</v>
      </c>
      <c r="K346" s="3" t="str">
        <f aca="false">IF(ISNUMBER(SEARCH("Facebook",J346)),"3654128","Not Facebook")</f>
        <v>3654128</v>
      </c>
      <c r="L346" s="3" t="str">
        <f aca="false">IFERROR(VLOOKUP(OFFSET(Table22,345,21,1,1),OFFSET(Table2,0,1,ROWS(Table2),8),7,0),VLOOKUP(OFFSET(Table22,345,22,1,1),Table2,8,0))</f>
        <v>AZR_FreeAcctRetargetingVMFB-OnDemand-ChE_FRA_1200x628_SOC_AZRDirect_French_NA_Facebook_SBAN_SINU_T2_1</v>
      </c>
      <c r="M346" s="2" t="n">
        <f aca="false">IFERROR(VLOOKUP(OFFSET(Table22,345,21,1,1),OFFSET(Table2,0,1,ROWS(Table2),8),8,0),VLOOKUP(OFFSET(Table22,345,22,1,1),Table2,9,0))</f>
        <v>103376990</v>
      </c>
      <c r="N346" s="15" t="s">
        <v>29</v>
      </c>
      <c r="O346" s="16" t="n">
        <v>43356</v>
      </c>
      <c r="P346" s="17" t="s">
        <v>102</v>
      </c>
      <c r="Q346" s="18" t="s">
        <v>103</v>
      </c>
      <c r="R346" s="17" t="s">
        <v>104</v>
      </c>
      <c r="S346" s="18" t="s">
        <v>33</v>
      </c>
      <c r="T346" s="17" t="s">
        <v>34</v>
      </c>
      <c r="U346" s="18" t="s">
        <v>39</v>
      </c>
      <c r="V346" s="19" t="n">
        <v>226496095</v>
      </c>
      <c r="W346" s="17" t="s">
        <v>116</v>
      </c>
      <c r="X346" s="17" t="n">
        <v>1</v>
      </c>
      <c r="Y346" s="17"/>
      <c r="Z346" s="17" t="n">
        <v>0.01</v>
      </c>
      <c r="AA346" s="17" t="s">
        <v>38</v>
      </c>
      <c r="AB346" s="17"/>
    </row>
    <row r="347" customFormat="false" ht="15" hidden="false" customHeight="false" outlineLevel="0" collapsed="false">
      <c r="A347" s="1" t="str">
        <f aca="false">OFFSET(Table22,346,14,1,1)&amp;OFFSET(Table22,346,21,1,1)</f>
        <v>43355226496095</v>
      </c>
      <c r="B347" s="1" t="str">
        <f aca="false">OFFSET(Table22,346,14,1,1)&amp;OFFSET(Table22,346,22,1,1)</f>
        <v>43355Facebook»Developers/ITPros-Azure Direct-Sponsored Post_Trial-Link Ad-FreeAcctRetargetingVMFB-OnDemand-ChE CanvasOpener»1x1»SocialBan»SOC»ALL»CPC»LAL»D»UNK»SS»NA»Trials_ID</v>
      </c>
      <c r="C347" s="1" t="s">
        <v>28</v>
      </c>
      <c r="D347" s="3" t="n">
        <f aca="false">O347+(7-WEEKDAY(O347))</f>
        <v>43358</v>
      </c>
      <c r="E347" s="1" t="str">
        <f aca="false">VLOOKUP(OFFSET(Table22,346,16,1,1),Key!B:D,2,0)</f>
        <v>France</v>
      </c>
      <c r="F347" s="1" t="str">
        <f aca="false">IF(ISNUMBER(SEARCH("Canvas",U347)),"Link",IF(ISNUMBER(SEARCH("Link",U347)),"Link","Not filled properly"))</f>
        <v>Link</v>
      </c>
      <c r="G347" s="1" t="str">
        <f aca="false">IFERROR(VLOOKUP(OFFSET(Table22,346,21,1,1),OFFSET(Table2,0,1,ROWS(Table2),8),2,0),VLOOKUP(OFFSET(Table22,346,22,1,1),Table2,3,0))</f>
        <v>FRA_gaPMG_AZR_AZR_Q1_19_AzureDirect-Trial-Social</v>
      </c>
      <c r="H347" s="1" t="n">
        <f aca="false">IFERROR(VLOOKUP(OFFSET(Table22,346,21,1,1),OFFSET(Table2,0,1,ROWS(Table2),8),3,0),VLOOKUP(OFFSET(Table22,346,22,1,1),Table2,4,0))</f>
        <v>21356941</v>
      </c>
      <c r="I347" s="2" t="n">
        <f aca="false">IFERROR(VLOOKUP(OFFSET(Table22,346,21,1,1),OFFSET(Table2,0,1,ROWS(Table2),8),4,0),VLOOKUP(OFFSET(Table22,346,22,1,1),Table2,5,0))</f>
        <v>720193</v>
      </c>
      <c r="J347" s="3" t="str">
        <f aca="false">IF(ISNUMBER(SEARCH("FACEBOOK",W347)),"Facebook",IF(ISNUMBER(SEARCH("INSTAGRAM",W347)),"Facebook-Instagram","Look at taxonomy"))</f>
        <v>Facebook</v>
      </c>
      <c r="K347" s="3" t="str">
        <f aca="false">IF(ISNUMBER(SEARCH("Facebook",J347)),"3654128","Not Facebook")</f>
        <v>3654128</v>
      </c>
      <c r="L347" s="3" t="str">
        <f aca="false">IFERROR(VLOOKUP(OFFSET(Table22,346,21,1,1),OFFSET(Table2,0,1,ROWS(Table2),8),7,0),VLOOKUP(OFFSET(Table22,346,22,1,1),Table2,8,0))</f>
        <v>AZR_FreeAcctRetargetingVMFB-OnDemand-ChE_FRA_1200x628_SOC_AZRDirect_French_NA_Facebook_SBAN_SINU_T2_1</v>
      </c>
      <c r="M347" s="2" t="n">
        <f aca="false">IFERROR(VLOOKUP(OFFSET(Table22,346,21,1,1),OFFSET(Table2,0,1,ROWS(Table2),8),8,0),VLOOKUP(OFFSET(Table22,346,22,1,1),Table2,9,0))</f>
        <v>103376990</v>
      </c>
      <c r="N347" s="15" t="s">
        <v>29</v>
      </c>
      <c r="O347" s="16" t="n">
        <v>43355</v>
      </c>
      <c r="P347" s="17" t="s">
        <v>102</v>
      </c>
      <c r="Q347" s="18" t="s">
        <v>103</v>
      </c>
      <c r="R347" s="17" t="s">
        <v>104</v>
      </c>
      <c r="S347" s="18" t="s">
        <v>33</v>
      </c>
      <c r="T347" s="17" t="s">
        <v>34</v>
      </c>
      <c r="U347" s="18" t="s">
        <v>39</v>
      </c>
      <c r="V347" s="19" t="n">
        <v>226496095</v>
      </c>
      <c r="W347" s="17" t="s">
        <v>116</v>
      </c>
      <c r="X347" s="17" t="n">
        <v>0</v>
      </c>
      <c r="Y347" s="17"/>
      <c r="Z347" s="17" t="n">
        <v>0</v>
      </c>
      <c r="AA347" s="17" t="s">
        <v>38</v>
      </c>
      <c r="AB347" s="17"/>
    </row>
    <row r="348" customFormat="false" ht="15" hidden="false" customHeight="false" outlineLevel="0" collapsed="false">
      <c r="A348" s="1" t="str">
        <f aca="false">OFFSET(Table22,347,14,1,1)&amp;OFFSET(Table22,347,21,1,1)</f>
        <v>43354226496095</v>
      </c>
      <c r="B348" s="1" t="str">
        <f aca="false">OFFSET(Table22,347,14,1,1)&amp;OFFSET(Table22,347,22,1,1)</f>
        <v>43354Facebook»Developers/ITPros-Azure Direct-Sponsored Post_Trial-Link Ad-FreeAcctRetargetingVMFB-OnDemand-ChE CanvasOpener»1x1»SocialBan»SOC»ALL»CPC»LAL»D»UNK»SS»NA»Trials_ID</v>
      </c>
      <c r="C348" s="1" t="s">
        <v>28</v>
      </c>
      <c r="D348" s="3" t="n">
        <f aca="false">O348+(7-WEEKDAY(O348))</f>
        <v>43358</v>
      </c>
      <c r="E348" s="1" t="str">
        <f aca="false">VLOOKUP(OFFSET(Table22,347,16,1,1),Key!B:D,2,0)</f>
        <v>France</v>
      </c>
      <c r="F348" s="1" t="str">
        <f aca="false">IF(ISNUMBER(SEARCH("Canvas",U348)),"Link",IF(ISNUMBER(SEARCH("Link",U348)),"Link","Not filled properly"))</f>
        <v>Link</v>
      </c>
      <c r="G348" s="1" t="str">
        <f aca="false">IFERROR(VLOOKUP(OFFSET(Table22,347,21,1,1),OFFSET(Table2,0,1,ROWS(Table2),8),2,0),VLOOKUP(OFFSET(Table22,347,22,1,1),Table2,3,0))</f>
        <v>FRA_gaPMG_AZR_AZR_Q1_19_AzureDirect-Trial-Social</v>
      </c>
      <c r="H348" s="1" t="n">
        <f aca="false">IFERROR(VLOOKUP(OFFSET(Table22,347,21,1,1),OFFSET(Table2,0,1,ROWS(Table2),8),3,0),VLOOKUP(OFFSET(Table22,347,22,1,1),Table2,4,0))</f>
        <v>21356941</v>
      </c>
      <c r="I348" s="2" t="n">
        <f aca="false">IFERROR(VLOOKUP(OFFSET(Table22,347,21,1,1),OFFSET(Table2,0,1,ROWS(Table2),8),4,0),VLOOKUP(OFFSET(Table22,347,22,1,1),Table2,5,0))</f>
        <v>720193</v>
      </c>
      <c r="J348" s="3" t="str">
        <f aca="false">IF(ISNUMBER(SEARCH("FACEBOOK",W348)),"Facebook",IF(ISNUMBER(SEARCH("INSTAGRAM",W348)),"Facebook-Instagram","Look at taxonomy"))</f>
        <v>Facebook</v>
      </c>
      <c r="K348" s="3" t="str">
        <f aca="false">IF(ISNUMBER(SEARCH("Facebook",J348)),"3654128","Not Facebook")</f>
        <v>3654128</v>
      </c>
      <c r="L348" s="3" t="str">
        <f aca="false">IFERROR(VLOOKUP(OFFSET(Table22,347,21,1,1),OFFSET(Table2,0,1,ROWS(Table2),8),7,0),VLOOKUP(OFFSET(Table22,347,22,1,1),Table2,8,0))</f>
        <v>AZR_FreeAcctRetargetingVMFB-OnDemand-ChE_FRA_1200x628_SOC_AZRDirect_French_NA_Facebook_SBAN_SINU_T2_1</v>
      </c>
      <c r="M348" s="2" t="n">
        <f aca="false">IFERROR(VLOOKUP(OFFSET(Table22,347,21,1,1),OFFSET(Table2,0,1,ROWS(Table2),8),8,0),VLOOKUP(OFFSET(Table22,347,22,1,1),Table2,9,0))</f>
        <v>103376990</v>
      </c>
      <c r="N348" s="15" t="s">
        <v>29</v>
      </c>
      <c r="O348" s="16" t="n">
        <v>43354</v>
      </c>
      <c r="P348" s="17" t="s">
        <v>102</v>
      </c>
      <c r="Q348" s="18" t="s">
        <v>103</v>
      </c>
      <c r="R348" s="17" t="s">
        <v>104</v>
      </c>
      <c r="S348" s="18" t="s">
        <v>33</v>
      </c>
      <c r="T348" s="17" t="s">
        <v>34</v>
      </c>
      <c r="U348" s="18" t="s">
        <v>39</v>
      </c>
      <c r="V348" s="19" t="n">
        <v>226496095</v>
      </c>
      <c r="W348" s="17" t="s">
        <v>116</v>
      </c>
      <c r="X348" s="17" t="n">
        <v>1</v>
      </c>
      <c r="Y348" s="17"/>
      <c r="Z348" s="17" t="n">
        <v>0</v>
      </c>
      <c r="AA348" s="17" t="s">
        <v>38</v>
      </c>
      <c r="AB348" s="17"/>
    </row>
    <row r="349" customFormat="false" ht="15" hidden="false" customHeight="false" outlineLevel="0" collapsed="false">
      <c r="A349" s="1" t="str">
        <f aca="false">OFFSET(Table22,348,14,1,1)&amp;OFFSET(Table22,348,21,1,1)</f>
        <v>43353226496095</v>
      </c>
      <c r="B349" s="1" t="str">
        <f aca="false">OFFSET(Table22,348,14,1,1)&amp;OFFSET(Table22,348,22,1,1)</f>
        <v>43353Facebook»Developers/ITPros-Azure Direct-Sponsored Post_Trial-Link Ad-FreeAcctRetargetingVMFB-OnDemand-ChE CanvasOpener»1x1»SocialBan»SOC»ALL»CPC»LAL»D»UNK»SS»NA»Trials_ID</v>
      </c>
      <c r="C349" s="1" t="s">
        <v>28</v>
      </c>
      <c r="D349" s="3" t="n">
        <f aca="false">O349+(7-WEEKDAY(O349))</f>
        <v>43358</v>
      </c>
      <c r="E349" s="1" t="str">
        <f aca="false">VLOOKUP(OFFSET(Table22,348,16,1,1),Key!B:D,2,0)</f>
        <v>France</v>
      </c>
      <c r="F349" s="1" t="str">
        <f aca="false">IF(ISNUMBER(SEARCH("Canvas",U349)),"Link",IF(ISNUMBER(SEARCH("Link",U349)),"Link","Not filled properly"))</f>
        <v>Link</v>
      </c>
      <c r="G349" s="1" t="str">
        <f aca="false">IFERROR(VLOOKUP(OFFSET(Table22,348,21,1,1),OFFSET(Table2,0,1,ROWS(Table2),8),2,0),VLOOKUP(OFFSET(Table22,348,22,1,1),Table2,3,0))</f>
        <v>FRA_gaPMG_AZR_AZR_Q1_19_AzureDirect-Trial-Social</v>
      </c>
      <c r="H349" s="1" t="n">
        <f aca="false">IFERROR(VLOOKUP(OFFSET(Table22,348,21,1,1),OFFSET(Table2,0,1,ROWS(Table2),8),3,0),VLOOKUP(OFFSET(Table22,348,22,1,1),Table2,4,0))</f>
        <v>21356941</v>
      </c>
      <c r="I349" s="2" t="n">
        <f aca="false">IFERROR(VLOOKUP(OFFSET(Table22,348,21,1,1),OFFSET(Table2,0,1,ROWS(Table2),8),4,0),VLOOKUP(OFFSET(Table22,348,22,1,1),Table2,5,0))</f>
        <v>720193</v>
      </c>
      <c r="J349" s="3" t="str">
        <f aca="false">IF(ISNUMBER(SEARCH("FACEBOOK",W349)),"Facebook",IF(ISNUMBER(SEARCH("INSTAGRAM",W349)),"Facebook-Instagram","Look at taxonomy"))</f>
        <v>Facebook</v>
      </c>
      <c r="K349" s="3" t="str">
        <f aca="false">IF(ISNUMBER(SEARCH("Facebook",J349)),"3654128","Not Facebook")</f>
        <v>3654128</v>
      </c>
      <c r="L349" s="3" t="str">
        <f aca="false">IFERROR(VLOOKUP(OFFSET(Table22,348,21,1,1),OFFSET(Table2,0,1,ROWS(Table2),8),7,0),VLOOKUP(OFFSET(Table22,348,22,1,1),Table2,8,0))</f>
        <v>AZR_FreeAcctRetargetingVMFB-OnDemand-ChE_FRA_1200x628_SOC_AZRDirect_French_NA_Facebook_SBAN_SINU_T2_1</v>
      </c>
      <c r="M349" s="2" t="n">
        <f aca="false">IFERROR(VLOOKUP(OFFSET(Table22,348,21,1,1),OFFSET(Table2,0,1,ROWS(Table2),8),8,0),VLOOKUP(OFFSET(Table22,348,22,1,1),Table2,9,0))</f>
        <v>103376990</v>
      </c>
      <c r="N349" s="15" t="s">
        <v>29</v>
      </c>
      <c r="O349" s="16" t="n">
        <v>43353</v>
      </c>
      <c r="P349" s="17" t="s">
        <v>102</v>
      </c>
      <c r="Q349" s="18" t="s">
        <v>103</v>
      </c>
      <c r="R349" s="17" t="s">
        <v>104</v>
      </c>
      <c r="S349" s="18" t="s">
        <v>33</v>
      </c>
      <c r="T349" s="17" t="s">
        <v>34</v>
      </c>
      <c r="U349" s="18" t="s">
        <v>39</v>
      </c>
      <c r="V349" s="19" t="n">
        <v>226496095</v>
      </c>
      <c r="W349" s="17" t="s">
        <v>116</v>
      </c>
      <c r="X349" s="17" t="n">
        <v>2</v>
      </c>
      <c r="Y349" s="17"/>
      <c r="Z349" s="17" t="n">
        <v>0.01</v>
      </c>
      <c r="AA349" s="17" t="s">
        <v>38</v>
      </c>
      <c r="AB349" s="17"/>
    </row>
    <row r="350" customFormat="false" ht="15" hidden="false" customHeight="false" outlineLevel="0" collapsed="false">
      <c r="A350" s="1" t="str">
        <f aca="false">OFFSET(Table22,349,14,1,1)&amp;OFFSET(Table22,349,21,1,1)</f>
        <v>43352226496095</v>
      </c>
      <c r="B350" s="1" t="str">
        <f aca="false">OFFSET(Table22,349,14,1,1)&amp;OFFSET(Table22,349,22,1,1)</f>
        <v>43352Facebook»Developers/ITPros-Azure Direct-Sponsored Post_Trial-Link Ad-FreeAcctRetargetingVMFB-OnDemand-ChE CanvasOpener»1x1»SocialBan»SOC»ALL»CPC»LAL»D»UNK»SS»NA»Trials_ID</v>
      </c>
      <c r="C350" s="1" t="s">
        <v>28</v>
      </c>
      <c r="D350" s="3" t="n">
        <f aca="false">O350+(7-WEEKDAY(O350))</f>
        <v>43358</v>
      </c>
      <c r="E350" s="1" t="str">
        <f aca="false">VLOOKUP(OFFSET(Table22,349,16,1,1),Key!B:D,2,0)</f>
        <v>France</v>
      </c>
      <c r="F350" s="1" t="str">
        <f aca="false">IF(ISNUMBER(SEARCH("Canvas",U350)),"Link",IF(ISNUMBER(SEARCH("Link",U350)),"Link","Not filled properly"))</f>
        <v>Link</v>
      </c>
      <c r="G350" s="1" t="str">
        <f aca="false">IFERROR(VLOOKUP(OFFSET(Table22,349,21,1,1),OFFSET(Table2,0,1,ROWS(Table2),8),2,0),VLOOKUP(OFFSET(Table22,349,22,1,1),Table2,3,0))</f>
        <v>FRA_gaPMG_AZR_AZR_Q1_19_AzureDirect-Trial-Social</v>
      </c>
      <c r="H350" s="1" t="n">
        <f aca="false">IFERROR(VLOOKUP(OFFSET(Table22,349,21,1,1),OFFSET(Table2,0,1,ROWS(Table2),8),3,0),VLOOKUP(OFFSET(Table22,349,22,1,1),Table2,4,0))</f>
        <v>21356941</v>
      </c>
      <c r="I350" s="2" t="n">
        <f aca="false">IFERROR(VLOOKUP(OFFSET(Table22,349,21,1,1),OFFSET(Table2,0,1,ROWS(Table2),8),4,0),VLOOKUP(OFFSET(Table22,349,22,1,1),Table2,5,0))</f>
        <v>720193</v>
      </c>
      <c r="J350" s="3" t="str">
        <f aca="false">IF(ISNUMBER(SEARCH("FACEBOOK",W350)),"Facebook",IF(ISNUMBER(SEARCH("INSTAGRAM",W350)),"Facebook-Instagram","Look at taxonomy"))</f>
        <v>Facebook</v>
      </c>
      <c r="K350" s="3" t="str">
        <f aca="false">IF(ISNUMBER(SEARCH("Facebook",J350)),"3654128","Not Facebook")</f>
        <v>3654128</v>
      </c>
      <c r="L350" s="3" t="str">
        <f aca="false">IFERROR(VLOOKUP(OFFSET(Table22,349,21,1,1),OFFSET(Table2,0,1,ROWS(Table2),8),7,0),VLOOKUP(OFFSET(Table22,349,22,1,1),Table2,8,0))</f>
        <v>AZR_FreeAcctRetargetingVMFB-OnDemand-ChE_FRA_1200x628_SOC_AZRDirect_French_NA_Facebook_SBAN_SINU_T2_1</v>
      </c>
      <c r="M350" s="2" t="n">
        <f aca="false">IFERROR(VLOOKUP(OFFSET(Table22,349,21,1,1),OFFSET(Table2,0,1,ROWS(Table2),8),8,0),VLOOKUP(OFFSET(Table22,349,22,1,1),Table2,9,0))</f>
        <v>103376990</v>
      </c>
      <c r="N350" s="15" t="s">
        <v>29</v>
      </c>
      <c r="O350" s="16" t="n">
        <v>43352</v>
      </c>
      <c r="P350" s="17" t="s">
        <v>102</v>
      </c>
      <c r="Q350" s="18" t="s">
        <v>103</v>
      </c>
      <c r="R350" s="17" t="s">
        <v>104</v>
      </c>
      <c r="S350" s="18" t="s">
        <v>33</v>
      </c>
      <c r="T350" s="17" t="s">
        <v>34</v>
      </c>
      <c r="U350" s="18" t="s">
        <v>39</v>
      </c>
      <c r="V350" s="19" t="n">
        <v>226496095</v>
      </c>
      <c r="W350" s="17" t="s">
        <v>116</v>
      </c>
      <c r="X350" s="17" t="n">
        <v>0</v>
      </c>
      <c r="Y350" s="17"/>
      <c r="Z350" s="17" t="n">
        <v>0</v>
      </c>
      <c r="AA350" s="17" t="s">
        <v>38</v>
      </c>
      <c r="AB350" s="17"/>
    </row>
    <row r="351" customFormat="false" ht="15" hidden="false" customHeight="false" outlineLevel="0" collapsed="false">
      <c r="A351" s="1" t="str">
        <f aca="false">OFFSET(Table22,350,14,1,1)&amp;OFFSET(Table22,350,21,1,1)</f>
        <v>43358224560866</v>
      </c>
      <c r="B351" s="1" t="str">
        <f aca="false">OFFSET(Table22,350,14,1,1)&amp;OFFSET(Table22,350,22,1,1)</f>
        <v>43358Facebook»Developers/ITPros-Azure Direct-Sponsored Post-Link Ad-FreeAcctAppsFACEBOOK12monthsChE»1x1»SocialBan»LIA»ALL»CPC»BT»X»UNK»SS»NA»Trials_ID</v>
      </c>
      <c r="C351" s="1" t="s">
        <v>28</v>
      </c>
      <c r="D351" s="3" t="n">
        <f aca="false">O351+(7-WEEKDAY(O351))</f>
        <v>43358</v>
      </c>
      <c r="E351" s="1" t="str">
        <f aca="false">VLOOKUP(OFFSET(Table22,350,16,1,1),Key!B:D,2,0)</f>
        <v>France</v>
      </c>
      <c r="F351" s="1" t="str">
        <f aca="false">IF(ISNUMBER(SEARCH("Canvas",U351)),"Link",IF(ISNUMBER(SEARCH("Link",U351)),"Link","Not filled properly"))</f>
        <v>Link</v>
      </c>
      <c r="G351" s="1" t="str">
        <f aca="false">IFERROR(VLOOKUP(OFFSET(Table22,350,21,1,1),OFFSET(Table2,0,1,ROWS(Table2),8),2,0),VLOOKUP(OFFSET(Table22,350,22,1,1),Table2,3,0))</f>
        <v>FRA_gaPMG_AZR_AZR_Q1_19_AzureDirect-Trial-Social</v>
      </c>
      <c r="H351" s="1" t="n">
        <f aca="false">IFERROR(VLOOKUP(OFFSET(Table22,350,21,1,1),OFFSET(Table2,0,1,ROWS(Table2),8),3,0),VLOOKUP(OFFSET(Table22,350,22,1,1),Table2,4,0))</f>
        <v>21356941</v>
      </c>
      <c r="I351" s="2" t="n">
        <f aca="false">IFERROR(VLOOKUP(OFFSET(Table22,350,21,1,1),OFFSET(Table2,0,1,ROWS(Table2),8),4,0),VLOOKUP(OFFSET(Table22,350,22,1,1),Table2,5,0))</f>
        <v>720193</v>
      </c>
      <c r="J351" s="3" t="str">
        <f aca="false">IF(ISNUMBER(SEARCH("FACEBOOK",W351)),"Facebook",IF(ISNUMBER(SEARCH("INSTAGRAM",W351)),"Facebook-Instagram","Look at taxonomy"))</f>
        <v>Facebook</v>
      </c>
      <c r="K351" s="3" t="str">
        <f aca="false">IF(ISNUMBER(SEARCH("Facebook",J351)),"3654128","Not Facebook")</f>
        <v>3654128</v>
      </c>
      <c r="L351" s="3" t="str">
        <f aca="false">IFERROR(VLOOKUP(OFFSET(Table22,350,21,1,1),OFFSET(Table2,0,1,ROWS(Table2),8),7,0),VLOOKUP(OFFSET(Table22,350,22,1,1),Table2,8,0))</f>
        <v>AZR_FreeAcctAppsFACEBOOK12monthsChE_FRA_1200x628_SOC_PLAT_FR_Trial_Standard_NA_SINU_T5_1</v>
      </c>
      <c r="M351" s="2" t="n">
        <f aca="false">IFERROR(VLOOKUP(OFFSET(Table22,350,21,1,1),OFFSET(Table2,0,1,ROWS(Table2),8),8,0),VLOOKUP(OFFSET(Table22,350,22,1,1),Table2,9,0))</f>
        <v>103259784</v>
      </c>
      <c r="N351" s="15" t="s">
        <v>29</v>
      </c>
      <c r="O351" s="16" t="n">
        <v>43358</v>
      </c>
      <c r="P351" s="17" t="s">
        <v>102</v>
      </c>
      <c r="Q351" s="18" t="s">
        <v>103</v>
      </c>
      <c r="R351" s="17" t="s">
        <v>104</v>
      </c>
      <c r="S351" s="18" t="s">
        <v>33</v>
      </c>
      <c r="T351" s="17" t="s">
        <v>34</v>
      </c>
      <c r="U351" s="18" t="s">
        <v>39</v>
      </c>
      <c r="V351" s="19" t="n">
        <v>224560866</v>
      </c>
      <c r="W351" s="17" t="s">
        <v>117</v>
      </c>
      <c r="X351" s="17" t="n">
        <v>0</v>
      </c>
      <c r="Y351" s="17"/>
      <c r="Z351" s="17" t="n">
        <v>0</v>
      </c>
      <c r="AA351" s="17" t="s">
        <v>38</v>
      </c>
      <c r="AB351" s="17"/>
    </row>
    <row r="352" customFormat="false" ht="15" hidden="false" customHeight="false" outlineLevel="0" collapsed="false">
      <c r="A352" s="1" t="str">
        <f aca="false">OFFSET(Table22,351,14,1,1)&amp;OFFSET(Table22,351,21,1,1)</f>
        <v>43358224560866</v>
      </c>
      <c r="B352" s="1" t="str">
        <f aca="false">OFFSET(Table22,351,14,1,1)&amp;OFFSET(Table22,351,22,1,1)</f>
        <v>43358Facebook»Developers/ITPros-Azure Direct-Sponsored Post-Link Ad-FreeAcctAppsFACEBOOK12monthsChE»1x1»SocialBan»LIA»ALL»CPC»BT»X»UNK»SS»NA»Trials_ID</v>
      </c>
      <c r="C352" s="1" t="s">
        <v>28</v>
      </c>
      <c r="D352" s="3" t="n">
        <f aca="false">O352+(7-WEEKDAY(O352))</f>
        <v>43358</v>
      </c>
      <c r="E352" s="1" t="str">
        <f aca="false">VLOOKUP(OFFSET(Table22,351,16,1,1),Key!B:D,2,0)</f>
        <v>France</v>
      </c>
      <c r="F352" s="1" t="str">
        <f aca="false">IF(ISNUMBER(SEARCH("Canvas",U352)),"Link",IF(ISNUMBER(SEARCH("Link",U352)),"Link","Not filled properly"))</f>
        <v>Link</v>
      </c>
      <c r="G352" s="1" t="str">
        <f aca="false">IFERROR(VLOOKUP(OFFSET(Table22,351,21,1,1),OFFSET(Table2,0,1,ROWS(Table2),8),2,0),VLOOKUP(OFFSET(Table22,351,22,1,1),Table2,3,0))</f>
        <v>FRA_gaPMG_AZR_AZR_Q1_19_AzureDirect-Trial-Social</v>
      </c>
      <c r="H352" s="1" t="n">
        <f aca="false">IFERROR(VLOOKUP(OFFSET(Table22,351,21,1,1),OFFSET(Table2,0,1,ROWS(Table2),8),3,0),VLOOKUP(OFFSET(Table22,351,22,1,1),Table2,4,0))</f>
        <v>21356941</v>
      </c>
      <c r="I352" s="2" t="n">
        <f aca="false">IFERROR(VLOOKUP(OFFSET(Table22,351,21,1,1),OFFSET(Table2,0,1,ROWS(Table2),8),4,0),VLOOKUP(OFFSET(Table22,351,22,1,1),Table2,5,0))</f>
        <v>720193</v>
      </c>
      <c r="J352" s="3" t="str">
        <f aca="false">IF(ISNUMBER(SEARCH("FACEBOOK",W352)),"Facebook",IF(ISNUMBER(SEARCH("INSTAGRAM",W352)),"Facebook-Instagram","Look at taxonomy"))</f>
        <v>Facebook</v>
      </c>
      <c r="K352" s="3" t="str">
        <f aca="false">IF(ISNUMBER(SEARCH("Facebook",J352)),"3654128","Not Facebook")</f>
        <v>3654128</v>
      </c>
      <c r="L352" s="3" t="str">
        <f aca="false">IFERROR(VLOOKUP(OFFSET(Table22,351,21,1,1),OFFSET(Table2,0,1,ROWS(Table2),8),7,0),VLOOKUP(OFFSET(Table22,351,22,1,1),Table2,8,0))</f>
        <v>AZR_FreeAcctAppsFACEBOOK12monthsChE_FRA_1200x628_SOC_PLAT_FR_Trial_Standard_NA_SINU_T5_1</v>
      </c>
      <c r="M352" s="2" t="n">
        <f aca="false">IFERROR(VLOOKUP(OFFSET(Table22,351,21,1,1),OFFSET(Table2,0,1,ROWS(Table2),8),8,0),VLOOKUP(OFFSET(Table22,351,22,1,1),Table2,9,0))</f>
        <v>103259784</v>
      </c>
      <c r="N352" s="15" t="s">
        <v>29</v>
      </c>
      <c r="O352" s="16" t="n">
        <v>43358</v>
      </c>
      <c r="P352" s="17" t="s">
        <v>102</v>
      </c>
      <c r="Q352" s="18" t="s">
        <v>103</v>
      </c>
      <c r="R352" s="17" t="s">
        <v>104</v>
      </c>
      <c r="S352" s="18" t="s">
        <v>33</v>
      </c>
      <c r="T352" s="17" t="s">
        <v>34</v>
      </c>
      <c r="U352" s="18" t="s">
        <v>39</v>
      </c>
      <c r="V352" s="19" t="n">
        <v>224560866</v>
      </c>
      <c r="W352" s="17" t="s">
        <v>117</v>
      </c>
      <c r="X352" s="17" t="n">
        <v>0</v>
      </c>
      <c r="Y352" s="17"/>
      <c r="Z352" s="17" t="n">
        <v>0</v>
      </c>
      <c r="AA352" s="17" t="s">
        <v>38</v>
      </c>
      <c r="AB352" s="17"/>
    </row>
    <row r="353" customFormat="false" ht="15" hidden="false" customHeight="false" outlineLevel="0" collapsed="false">
      <c r="A353" s="1" t="str">
        <f aca="false">OFFSET(Table22,352,14,1,1)&amp;OFFSET(Table22,352,21,1,1)</f>
        <v>43357224560866</v>
      </c>
      <c r="B353" s="1" t="str">
        <f aca="false">OFFSET(Table22,352,14,1,1)&amp;OFFSET(Table22,352,22,1,1)</f>
        <v>43357Facebook»Developers/ITPros-Azure Direct-Sponsored Post-Link Ad-FreeAcctAppsFACEBOOK12monthsChE»1x1»SocialBan»LIA»ALL»CPC»BT»X»UNK»SS»NA»Trials_ID</v>
      </c>
      <c r="C353" s="1" t="s">
        <v>28</v>
      </c>
      <c r="D353" s="3" t="n">
        <f aca="false">O353+(7-WEEKDAY(O353))</f>
        <v>43358</v>
      </c>
      <c r="E353" s="1" t="str">
        <f aca="false">VLOOKUP(OFFSET(Table22,352,16,1,1),Key!B:D,2,0)</f>
        <v>France</v>
      </c>
      <c r="F353" s="1" t="str">
        <f aca="false">IF(ISNUMBER(SEARCH("Canvas",U353)),"Link",IF(ISNUMBER(SEARCH("Link",U353)),"Link","Not filled properly"))</f>
        <v>Link</v>
      </c>
      <c r="G353" s="1" t="str">
        <f aca="false">IFERROR(VLOOKUP(OFFSET(Table22,352,21,1,1),OFFSET(Table2,0,1,ROWS(Table2),8),2,0),VLOOKUP(OFFSET(Table22,352,22,1,1),Table2,3,0))</f>
        <v>FRA_gaPMG_AZR_AZR_Q1_19_AzureDirect-Trial-Social</v>
      </c>
      <c r="H353" s="1" t="n">
        <f aca="false">IFERROR(VLOOKUP(OFFSET(Table22,352,21,1,1),OFFSET(Table2,0,1,ROWS(Table2),8),3,0),VLOOKUP(OFFSET(Table22,352,22,1,1),Table2,4,0))</f>
        <v>21356941</v>
      </c>
      <c r="I353" s="2" t="n">
        <f aca="false">IFERROR(VLOOKUP(OFFSET(Table22,352,21,1,1),OFFSET(Table2,0,1,ROWS(Table2),8),4,0),VLOOKUP(OFFSET(Table22,352,22,1,1),Table2,5,0))</f>
        <v>720193</v>
      </c>
      <c r="J353" s="3" t="str">
        <f aca="false">IF(ISNUMBER(SEARCH("FACEBOOK",W353)),"Facebook",IF(ISNUMBER(SEARCH("INSTAGRAM",W353)),"Facebook-Instagram","Look at taxonomy"))</f>
        <v>Facebook</v>
      </c>
      <c r="K353" s="3" t="str">
        <f aca="false">IF(ISNUMBER(SEARCH("Facebook",J353)),"3654128","Not Facebook")</f>
        <v>3654128</v>
      </c>
      <c r="L353" s="3" t="str">
        <f aca="false">IFERROR(VLOOKUP(OFFSET(Table22,352,21,1,1),OFFSET(Table2,0,1,ROWS(Table2),8),7,0),VLOOKUP(OFFSET(Table22,352,22,1,1),Table2,8,0))</f>
        <v>AZR_FreeAcctAppsFACEBOOK12monthsChE_FRA_1200x628_SOC_PLAT_FR_Trial_Standard_NA_SINU_T5_1</v>
      </c>
      <c r="M353" s="2" t="n">
        <f aca="false">IFERROR(VLOOKUP(OFFSET(Table22,352,21,1,1),OFFSET(Table2,0,1,ROWS(Table2),8),8,0),VLOOKUP(OFFSET(Table22,352,22,1,1),Table2,9,0))</f>
        <v>103259784</v>
      </c>
      <c r="N353" s="15" t="s">
        <v>29</v>
      </c>
      <c r="O353" s="16" t="n">
        <v>43357</v>
      </c>
      <c r="P353" s="17" t="s">
        <v>102</v>
      </c>
      <c r="Q353" s="18" t="s">
        <v>103</v>
      </c>
      <c r="R353" s="17" t="s">
        <v>104</v>
      </c>
      <c r="S353" s="18" t="s">
        <v>33</v>
      </c>
      <c r="T353" s="17" t="s">
        <v>34</v>
      </c>
      <c r="U353" s="18" t="s">
        <v>39</v>
      </c>
      <c r="V353" s="19" t="n">
        <v>224560866</v>
      </c>
      <c r="W353" s="17" t="s">
        <v>117</v>
      </c>
      <c r="X353" s="17" t="n">
        <v>0</v>
      </c>
      <c r="Y353" s="17"/>
      <c r="Z353" s="17" t="n">
        <v>0</v>
      </c>
      <c r="AA353" s="17" t="s">
        <v>38</v>
      </c>
      <c r="AB353" s="17"/>
    </row>
    <row r="354" customFormat="false" ht="15" hidden="false" customHeight="false" outlineLevel="0" collapsed="false">
      <c r="A354" s="1" t="str">
        <f aca="false">OFFSET(Table22,353,14,1,1)&amp;OFFSET(Table22,353,21,1,1)</f>
        <v>43357224560866</v>
      </c>
      <c r="B354" s="1" t="str">
        <f aca="false">OFFSET(Table22,353,14,1,1)&amp;OFFSET(Table22,353,22,1,1)</f>
        <v>43357Facebook»Developers/ITPros-Azure Direct-Sponsored Post-Link Ad-FreeAcctAppsFACEBOOK12monthsChE»1x1»SocialBan»LIA»ALL»CPC»BT»X»UNK»SS»NA»Trials_ID</v>
      </c>
      <c r="C354" s="1" t="s">
        <v>28</v>
      </c>
      <c r="D354" s="3" t="n">
        <f aca="false">O354+(7-WEEKDAY(O354))</f>
        <v>43358</v>
      </c>
      <c r="E354" s="1" t="str">
        <f aca="false">VLOOKUP(OFFSET(Table22,353,16,1,1),Key!B:D,2,0)</f>
        <v>France</v>
      </c>
      <c r="F354" s="1" t="str">
        <f aca="false">IF(ISNUMBER(SEARCH("Canvas",U354)),"Link",IF(ISNUMBER(SEARCH("Link",U354)),"Link","Not filled properly"))</f>
        <v>Link</v>
      </c>
      <c r="G354" s="1" t="str">
        <f aca="false">IFERROR(VLOOKUP(OFFSET(Table22,353,21,1,1),OFFSET(Table2,0,1,ROWS(Table2),8),2,0),VLOOKUP(OFFSET(Table22,353,22,1,1),Table2,3,0))</f>
        <v>FRA_gaPMG_AZR_AZR_Q1_19_AzureDirect-Trial-Social</v>
      </c>
      <c r="H354" s="1" t="n">
        <f aca="false">IFERROR(VLOOKUP(OFFSET(Table22,353,21,1,1),OFFSET(Table2,0,1,ROWS(Table2),8),3,0),VLOOKUP(OFFSET(Table22,353,22,1,1),Table2,4,0))</f>
        <v>21356941</v>
      </c>
      <c r="I354" s="2" t="n">
        <f aca="false">IFERROR(VLOOKUP(OFFSET(Table22,353,21,1,1),OFFSET(Table2,0,1,ROWS(Table2),8),4,0),VLOOKUP(OFFSET(Table22,353,22,1,1),Table2,5,0))</f>
        <v>720193</v>
      </c>
      <c r="J354" s="3" t="str">
        <f aca="false">IF(ISNUMBER(SEARCH("FACEBOOK",W354)),"Facebook",IF(ISNUMBER(SEARCH("INSTAGRAM",W354)),"Facebook-Instagram","Look at taxonomy"))</f>
        <v>Facebook</v>
      </c>
      <c r="K354" s="3" t="str">
        <f aca="false">IF(ISNUMBER(SEARCH("Facebook",J354)),"3654128","Not Facebook")</f>
        <v>3654128</v>
      </c>
      <c r="L354" s="3" t="str">
        <f aca="false">IFERROR(VLOOKUP(OFFSET(Table22,353,21,1,1),OFFSET(Table2,0,1,ROWS(Table2),8),7,0),VLOOKUP(OFFSET(Table22,353,22,1,1),Table2,8,0))</f>
        <v>AZR_FreeAcctAppsFACEBOOK12monthsChE_FRA_1200x628_SOC_PLAT_FR_Trial_Standard_NA_SINU_T5_1</v>
      </c>
      <c r="M354" s="2" t="n">
        <f aca="false">IFERROR(VLOOKUP(OFFSET(Table22,353,21,1,1),OFFSET(Table2,0,1,ROWS(Table2),8),8,0),VLOOKUP(OFFSET(Table22,353,22,1,1),Table2,9,0))</f>
        <v>103259784</v>
      </c>
      <c r="N354" s="15" t="s">
        <v>29</v>
      </c>
      <c r="O354" s="16" t="n">
        <v>43357</v>
      </c>
      <c r="P354" s="17" t="s">
        <v>102</v>
      </c>
      <c r="Q354" s="18" t="s">
        <v>103</v>
      </c>
      <c r="R354" s="17" t="s">
        <v>104</v>
      </c>
      <c r="S354" s="18" t="s">
        <v>33</v>
      </c>
      <c r="T354" s="17" t="s">
        <v>34</v>
      </c>
      <c r="U354" s="18" t="s">
        <v>39</v>
      </c>
      <c r="V354" s="19" t="n">
        <v>224560866</v>
      </c>
      <c r="W354" s="17" t="s">
        <v>117</v>
      </c>
      <c r="X354" s="17" t="n">
        <v>0</v>
      </c>
      <c r="Y354" s="17"/>
      <c r="Z354" s="17" t="n">
        <v>0</v>
      </c>
      <c r="AA354" s="17" t="s">
        <v>38</v>
      </c>
      <c r="AB354" s="17"/>
    </row>
    <row r="355" customFormat="false" ht="15" hidden="false" customHeight="false" outlineLevel="0" collapsed="false">
      <c r="A355" s="1" t="str">
        <f aca="false">OFFSET(Table22,354,14,1,1)&amp;OFFSET(Table22,354,21,1,1)</f>
        <v>43356224560866</v>
      </c>
      <c r="B355" s="1" t="str">
        <f aca="false">OFFSET(Table22,354,14,1,1)&amp;OFFSET(Table22,354,22,1,1)</f>
        <v>43356Facebook»Developers/ITPros-Azure Direct-Sponsored Post-Link Ad-FreeAcctAppsFACEBOOK12monthsChE»1x1»SocialBan»LIA»ALL»CPC»BT»X»UNK»SS»NA»Trials_ID</v>
      </c>
      <c r="C355" s="1" t="s">
        <v>28</v>
      </c>
      <c r="D355" s="3" t="n">
        <f aca="false">O355+(7-WEEKDAY(O355))</f>
        <v>43358</v>
      </c>
      <c r="E355" s="1" t="str">
        <f aca="false">VLOOKUP(OFFSET(Table22,354,16,1,1),Key!B:D,2,0)</f>
        <v>France</v>
      </c>
      <c r="F355" s="1" t="str">
        <f aca="false">IF(ISNUMBER(SEARCH("Canvas",U355)),"Link",IF(ISNUMBER(SEARCH("Link",U355)),"Link","Not filled properly"))</f>
        <v>Link</v>
      </c>
      <c r="G355" s="1" t="str">
        <f aca="false">IFERROR(VLOOKUP(OFFSET(Table22,354,21,1,1),OFFSET(Table2,0,1,ROWS(Table2),8),2,0),VLOOKUP(OFFSET(Table22,354,22,1,1),Table2,3,0))</f>
        <v>FRA_gaPMG_AZR_AZR_Q1_19_AzureDirect-Trial-Social</v>
      </c>
      <c r="H355" s="1" t="n">
        <f aca="false">IFERROR(VLOOKUP(OFFSET(Table22,354,21,1,1),OFFSET(Table2,0,1,ROWS(Table2),8),3,0),VLOOKUP(OFFSET(Table22,354,22,1,1),Table2,4,0))</f>
        <v>21356941</v>
      </c>
      <c r="I355" s="2" t="n">
        <f aca="false">IFERROR(VLOOKUP(OFFSET(Table22,354,21,1,1),OFFSET(Table2,0,1,ROWS(Table2),8),4,0),VLOOKUP(OFFSET(Table22,354,22,1,1),Table2,5,0))</f>
        <v>720193</v>
      </c>
      <c r="J355" s="3" t="str">
        <f aca="false">IF(ISNUMBER(SEARCH("FACEBOOK",W355)),"Facebook",IF(ISNUMBER(SEARCH("INSTAGRAM",W355)),"Facebook-Instagram","Look at taxonomy"))</f>
        <v>Facebook</v>
      </c>
      <c r="K355" s="3" t="str">
        <f aca="false">IF(ISNUMBER(SEARCH("Facebook",J355)),"3654128","Not Facebook")</f>
        <v>3654128</v>
      </c>
      <c r="L355" s="3" t="str">
        <f aca="false">IFERROR(VLOOKUP(OFFSET(Table22,354,21,1,1),OFFSET(Table2,0,1,ROWS(Table2),8),7,0),VLOOKUP(OFFSET(Table22,354,22,1,1),Table2,8,0))</f>
        <v>AZR_FreeAcctAppsFACEBOOK12monthsChE_FRA_1200x628_SOC_PLAT_FR_Trial_Standard_NA_SINU_T5_1</v>
      </c>
      <c r="M355" s="2" t="n">
        <f aca="false">IFERROR(VLOOKUP(OFFSET(Table22,354,21,1,1),OFFSET(Table2,0,1,ROWS(Table2),8),8,0),VLOOKUP(OFFSET(Table22,354,22,1,1),Table2,9,0))</f>
        <v>103259784</v>
      </c>
      <c r="N355" s="15" t="s">
        <v>29</v>
      </c>
      <c r="O355" s="16" t="n">
        <v>43356</v>
      </c>
      <c r="P355" s="17" t="s">
        <v>102</v>
      </c>
      <c r="Q355" s="18" t="s">
        <v>103</v>
      </c>
      <c r="R355" s="17" t="s">
        <v>104</v>
      </c>
      <c r="S355" s="18" t="s">
        <v>33</v>
      </c>
      <c r="T355" s="17" t="s">
        <v>34</v>
      </c>
      <c r="U355" s="18" t="s">
        <v>39</v>
      </c>
      <c r="V355" s="19" t="n">
        <v>224560866</v>
      </c>
      <c r="W355" s="17" t="s">
        <v>117</v>
      </c>
      <c r="X355" s="17" t="n">
        <v>0</v>
      </c>
      <c r="Y355" s="17"/>
      <c r="Z355" s="17" t="n">
        <v>0</v>
      </c>
      <c r="AA355" s="17" t="s">
        <v>38</v>
      </c>
      <c r="AB355" s="17"/>
    </row>
    <row r="356" customFormat="false" ht="15" hidden="false" customHeight="false" outlineLevel="0" collapsed="false">
      <c r="A356" s="1" t="str">
        <f aca="false">OFFSET(Table22,355,14,1,1)&amp;OFFSET(Table22,355,21,1,1)</f>
        <v>43356224560866</v>
      </c>
      <c r="B356" s="1" t="str">
        <f aca="false">OFFSET(Table22,355,14,1,1)&amp;OFFSET(Table22,355,22,1,1)</f>
        <v>43356Facebook»Developers/ITPros-Azure Direct-Sponsored Post-Link Ad-FreeAcctAppsFACEBOOK12monthsChE»1x1»SocialBan»LIA»ALL»CPC»BT»X»UNK»SS»NA»Trials_ID</v>
      </c>
      <c r="C356" s="1" t="s">
        <v>28</v>
      </c>
      <c r="D356" s="3" t="n">
        <f aca="false">O356+(7-WEEKDAY(O356))</f>
        <v>43358</v>
      </c>
      <c r="E356" s="1" t="str">
        <f aca="false">VLOOKUP(OFFSET(Table22,355,16,1,1),Key!B:D,2,0)</f>
        <v>France</v>
      </c>
      <c r="F356" s="1" t="str">
        <f aca="false">IF(ISNUMBER(SEARCH("Canvas",U356)),"Link",IF(ISNUMBER(SEARCH("Link",U356)),"Link","Not filled properly"))</f>
        <v>Link</v>
      </c>
      <c r="G356" s="1" t="str">
        <f aca="false">IFERROR(VLOOKUP(OFFSET(Table22,355,21,1,1),OFFSET(Table2,0,1,ROWS(Table2),8),2,0),VLOOKUP(OFFSET(Table22,355,22,1,1),Table2,3,0))</f>
        <v>FRA_gaPMG_AZR_AZR_Q1_19_AzureDirect-Trial-Social</v>
      </c>
      <c r="H356" s="1" t="n">
        <f aca="false">IFERROR(VLOOKUP(OFFSET(Table22,355,21,1,1),OFFSET(Table2,0,1,ROWS(Table2),8),3,0),VLOOKUP(OFFSET(Table22,355,22,1,1),Table2,4,0))</f>
        <v>21356941</v>
      </c>
      <c r="I356" s="2" t="n">
        <f aca="false">IFERROR(VLOOKUP(OFFSET(Table22,355,21,1,1),OFFSET(Table2,0,1,ROWS(Table2),8),4,0),VLOOKUP(OFFSET(Table22,355,22,1,1),Table2,5,0))</f>
        <v>720193</v>
      </c>
      <c r="J356" s="3" t="str">
        <f aca="false">IF(ISNUMBER(SEARCH("FACEBOOK",W356)),"Facebook",IF(ISNUMBER(SEARCH("INSTAGRAM",W356)),"Facebook-Instagram","Look at taxonomy"))</f>
        <v>Facebook</v>
      </c>
      <c r="K356" s="3" t="str">
        <f aca="false">IF(ISNUMBER(SEARCH("Facebook",J356)),"3654128","Not Facebook")</f>
        <v>3654128</v>
      </c>
      <c r="L356" s="3" t="str">
        <f aca="false">IFERROR(VLOOKUP(OFFSET(Table22,355,21,1,1),OFFSET(Table2,0,1,ROWS(Table2),8),7,0),VLOOKUP(OFFSET(Table22,355,22,1,1),Table2,8,0))</f>
        <v>AZR_FreeAcctAppsFACEBOOK12monthsChE_FRA_1200x628_SOC_PLAT_FR_Trial_Standard_NA_SINU_T5_1</v>
      </c>
      <c r="M356" s="2" t="n">
        <f aca="false">IFERROR(VLOOKUP(OFFSET(Table22,355,21,1,1),OFFSET(Table2,0,1,ROWS(Table2),8),8,0),VLOOKUP(OFFSET(Table22,355,22,1,1),Table2,9,0))</f>
        <v>103259784</v>
      </c>
      <c r="N356" s="15" t="s">
        <v>29</v>
      </c>
      <c r="O356" s="16" t="n">
        <v>43356</v>
      </c>
      <c r="P356" s="17" t="s">
        <v>102</v>
      </c>
      <c r="Q356" s="18" t="s">
        <v>103</v>
      </c>
      <c r="R356" s="17" t="s">
        <v>104</v>
      </c>
      <c r="S356" s="18" t="s">
        <v>33</v>
      </c>
      <c r="T356" s="17" t="s">
        <v>34</v>
      </c>
      <c r="U356" s="18" t="s">
        <v>39</v>
      </c>
      <c r="V356" s="19" t="n">
        <v>224560866</v>
      </c>
      <c r="W356" s="17" t="s">
        <v>117</v>
      </c>
      <c r="X356" s="17" t="n">
        <v>0</v>
      </c>
      <c r="Y356" s="17"/>
      <c r="Z356" s="17" t="n">
        <v>0</v>
      </c>
      <c r="AA356" s="17" t="s">
        <v>38</v>
      </c>
      <c r="AB356" s="17"/>
    </row>
    <row r="357" customFormat="false" ht="15" hidden="false" customHeight="false" outlineLevel="0" collapsed="false">
      <c r="A357" s="1" t="str">
        <f aca="false">OFFSET(Table22,356,14,1,1)&amp;OFFSET(Table22,356,21,1,1)</f>
        <v>43355224560866</v>
      </c>
      <c r="B357" s="1" t="str">
        <f aca="false">OFFSET(Table22,356,14,1,1)&amp;OFFSET(Table22,356,22,1,1)</f>
        <v>43355Facebook»Developers/ITPros-Azure Direct-Sponsored Post-Link Ad-FreeAcctAppsFACEBOOK12monthsChE»1x1»SocialBan»LIA»ALL»CPC»BT»X»UNK»SS»NA»Trials_ID</v>
      </c>
      <c r="C357" s="1" t="s">
        <v>28</v>
      </c>
      <c r="D357" s="3" t="n">
        <f aca="false">O357+(7-WEEKDAY(O357))</f>
        <v>43358</v>
      </c>
      <c r="E357" s="1" t="str">
        <f aca="false">VLOOKUP(OFFSET(Table22,356,16,1,1),Key!B:D,2,0)</f>
        <v>France</v>
      </c>
      <c r="F357" s="1" t="str">
        <f aca="false">IF(ISNUMBER(SEARCH("Canvas",U357)),"Link",IF(ISNUMBER(SEARCH("Link",U357)),"Link","Not filled properly"))</f>
        <v>Link</v>
      </c>
      <c r="G357" s="1" t="str">
        <f aca="false">IFERROR(VLOOKUP(OFFSET(Table22,356,21,1,1),OFFSET(Table2,0,1,ROWS(Table2),8),2,0),VLOOKUP(OFFSET(Table22,356,22,1,1),Table2,3,0))</f>
        <v>FRA_gaPMG_AZR_AZR_Q1_19_AzureDirect-Trial-Social</v>
      </c>
      <c r="H357" s="1" t="n">
        <f aca="false">IFERROR(VLOOKUP(OFFSET(Table22,356,21,1,1),OFFSET(Table2,0,1,ROWS(Table2),8),3,0),VLOOKUP(OFFSET(Table22,356,22,1,1),Table2,4,0))</f>
        <v>21356941</v>
      </c>
      <c r="I357" s="2" t="n">
        <f aca="false">IFERROR(VLOOKUP(OFFSET(Table22,356,21,1,1),OFFSET(Table2,0,1,ROWS(Table2),8),4,0),VLOOKUP(OFFSET(Table22,356,22,1,1),Table2,5,0))</f>
        <v>720193</v>
      </c>
      <c r="J357" s="3" t="str">
        <f aca="false">IF(ISNUMBER(SEARCH("FACEBOOK",W357)),"Facebook",IF(ISNUMBER(SEARCH("INSTAGRAM",W357)),"Facebook-Instagram","Look at taxonomy"))</f>
        <v>Facebook</v>
      </c>
      <c r="K357" s="3" t="str">
        <f aca="false">IF(ISNUMBER(SEARCH("Facebook",J357)),"3654128","Not Facebook")</f>
        <v>3654128</v>
      </c>
      <c r="L357" s="3" t="str">
        <f aca="false">IFERROR(VLOOKUP(OFFSET(Table22,356,21,1,1),OFFSET(Table2,0,1,ROWS(Table2),8),7,0),VLOOKUP(OFFSET(Table22,356,22,1,1),Table2,8,0))</f>
        <v>AZR_FreeAcctAppsFACEBOOK12monthsChE_FRA_1200x628_SOC_PLAT_FR_Trial_Standard_NA_SINU_T5_1</v>
      </c>
      <c r="M357" s="2" t="n">
        <f aca="false">IFERROR(VLOOKUP(OFFSET(Table22,356,21,1,1),OFFSET(Table2,0,1,ROWS(Table2),8),8,0),VLOOKUP(OFFSET(Table22,356,22,1,1),Table2,9,0))</f>
        <v>103259784</v>
      </c>
      <c r="N357" s="15" t="s">
        <v>29</v>
      </c>
      <c r="O357" s="16" t="n">
        <v>43355</v>
      </c>
      <c r="P357" s="17" t="s">
        <v>102</v>
      </c>
      <c r="Q357" s="18" t="s">
        <v>103</v>
      </c>
      <c r="R357" s="17" t="s">
        <v>104</v>
      </c>
      <c r="S357" s="18" t="s">
        <v>33</v>
      </c>
      <c r="T357" s="17" t="s">
        <v>34</v>
      </c>
      <c r="U357" s="18" t="s">
        <v>39</v>
      </c>
      <c r="V357" s="19" t="n">
        <v>224560866</v>
      </c>
      <c r="W357" s="17" t="s">
        <v>117</v>
      </c>
      <c r="X357" s="17" t="n">
        <v>0</v>
      </c>
      <c r="Y357" s="17"/>
      <c r="Z357" s="17" t="n">
        <v>0</v>
      </c>
      <c r="AA357" s="17" t="s">
        <v>38</v>
      </c>
      <c r="AB357" s="17"/>
    </row>
    <row r="358" customFormat="false" ht="15" hidden="false" customHeight="false" outlineLevel="0" collapsed="false">
      <c r="A358" s="1" t="str">
        <f aca="false">OFFSET(Table22,357,14,1,1)&amp;OFFSET(Table22,357,21,1,1)</f>
        <v>43355224560866</v>
      </c>
      <c r="B358" s="1" t="str">
        <f aca="false">OFFSET(Table22,357,14,1,1)&amp;OFFSET(Table22,357,22,1,1)</f>
        <v>43355Facebook»Developers/ITPros-Azure Direct-Sponsored Post-Link Ad-FreeAcctAppsFACEBOOK12monthsChE»1x1»SocialBan»LIA»ALL»CPC»BT»X»UNK»SS»NA»Trials_ID</v>
      </c>
      <c r="C358" s="1" t="s">
        <v>28</v>
      </c>
      <c r="D358" s="3" t="n">
        <f aca="false">O358+(7-WEEKDAY(O358))</f>
        <v>43358</v>
      </c>
      <c r="E358" s="1" t="str">
        <f aca="false">VLOOKUP(OFFSET(Table22,357,16,1,1),Key!B:D,2,0)</f>
        <v>France</v>
      </c>
      <c r="F358" s="1" t="str">
        <f aca="false">IF(ISNUMBER(SEARCH("Canvas",U358)),"Link",IF(ISNUMBER(SEARCH("Link",U358)),"Link","Not filled properly"))</f>
        <v>Link</v>
      </c>
      <c r="G358" s="1" t="str">
        <f aca="false">IFERROR(VLOOKUP(OFFSET(Table22,357,21,1,1),OFFSET(Table2,0,1,ROWS(Table2),8),2,0),VLOOKUP(OFFSET(Table22,357,22,1,1),Table2,3,0))</f>
        <v>FRA_gaPMG_AZR_AZR_Q1_19_AzureDirect-Trial-Social</v>
      </c>
      <c r="H358" s="1" t="n">
        <f aca="false">IFERROR(VLOOKUP(OFFSET(Table22,357,21,1,1),OFFSET(Table2,0,1,ROWS(Table2),8),3,0),VLOOKUP(OFFSET(Table22,357,22,1,1),Table2,4,0))</f>
        <v>21356941</v>
      </c>
      <c r="I358" s="2" t="n">
        <f aca="false">IFERROR(VLOOKUP(OFFSET(Table22,357,21,1,1),OFFSET(Table2,0,1,ROWS(Table2),8),4,0),VLOOKUP(OFFSET(Table22,357,22,1,1),Table2,5,0))</f>
        <v>720193</v>
      </c>
      <c r="J358" s="3" t="str">
        <f aca="false">IF(ISNUMBER(SEARCH("FACEBOOK",W358)),"Facebook",IF(ISNUMBER(SEARCH("INSTAGRAM",W358)),"Facebook-Instagram","Look at taxonomy"))</f>
        <v>Facebook</v>
      </c>
      <c r="K358" s="3" t="str">
        <f aca="false">IF(ISNUMBER(SEARCH("Facebook",J358)),"3654128","Not Facebook")</f>
        <v>3654128</v>
      </c>
      <c r="L358" s="3" t="str">
        <f aca="false">IFERROR(VLOOKUP(OFFSET(Table22,357,21,1,1),OFFSET(Table2,0,1,ROWS(Table2),8),7,0),VLOOKUP(OFFSET(Table22,357,22,1,1),Table2,8,0))</f>
        <v>AZR_FreeAcctAppsFACEBOOK12monthsChE_FRA_1200x628_SOC_PLAT_FR_Trial_Standard_NA_SINU_T5_1</v>
      </c>
      <c r="M358" s="2" t="n">
        <f aca="false">IFERROR(VLOOKUP(OFFSET(Table22,357,21,1,1),OFFSET(Table2,0,1,ROWS(Table2),8),8,0),VLOOKUP(OFFSET(Table22,357,22,1,1),Table2,9,0))</f>
        <v>103259784</v>
      </c>
      <c r="N358" s="15" t="s">
        <v>29</v>
      </c>
      <c r="O358" s="16" t="n">
        <v>43355</v>
      </c>
      <c r="P358" s="17" t="s">
        <v>102</v>
      </c>
      <c r="Q358" s="18" t="s">
        <v>103</v>
      </c>
      <c r="R358" s="17" t="s">
        <v>104</v>
      </c>
      <c r="S358" s="18" t="s">
        <v>33</v>
      </c>
      <c r="T358" s="17" t="s">
        <v>34</v>
      </c>
      <c r="U358" s="18" t="s">
        <v>39</v>
      </c>
      <c r="V358" s="19" t="n">
        <v>224560866</v>
      </c>
      <c r="W358" s="17" t="s">
        <v>117</v>
      </c>
      <c r="X358" s="17" t="n">
        <v>0</v>
      </c>
      <c r="Y358" s="17"/>
      <c r="Z358" s="17" t="n">
        <v>0</v>
      </c>
      <c r="AA358" s="17" t="s">
        <v>38</v>
      </c>
      <c r="AB358" s="17"/>
    </row>
    <row r="359" customFormat="false" ht="15" hidden="false" customHeight="false" outlineLevel="0" collapsed="false">
      <c r="A359" s="1" t="str">
        <f aca="false">OFFSET(Table22,358,14,1,1)&amp;OFFSET(Table22,358,21,1,1)</f>
        <v>43354224560866</v>
      </c>
      <c r="B359" s="1" t="str">
        <f aca="false">OFFSET(Table22,358,14,1,1)&amp;OFFSET(Table22,358,22,1,1)</f>
        <v>43354Facebook»Developers/ITPros-Azure Direct-Sponsored Post-Link Ad-FreeAcctAppsFACEBOOK12monthsChE»1x1»SocialBan»LIA»ALL»CPC»BT»X»UNK»SS»NA»Trials_ID</v>
      </c>
      <c r="C359" s="1" t="s">
        <v>28</v>
      </c>
      <c r="D359" s="3" t="n">
        <f aca="false">O359+(7-WEEKDAY(O359))</f>
        <v>43358</v>
      </c>
      <c r="E359" s="1" t="str">
        <f aca="false">VLOOKUP(OFFSET(Table22,358,16,1,1),Key!B:D,2,0)</f>
        <v>France</v>
      </c>
      <c r="F359" s="1" t="str">
        <f aca="false">IF(ISNUMBER(SEARCH("Canvas",U359)),"Link",IF(ISNUMBER(SEARCH("Link",U359)),"Link","Not filled properly"))</f>
        <v>Link</v>
      </c>
      <c r="G359" s="1" t="str">
        <f aca="false">IFERROR(VLOOKUP(OFFSET(Table22,358,21,1,1),OFFSET(Table2,0,1,ROWS(Table2),8),2,0),VLOOKUP(OFFSET(Table22,358,22,1,1),Table2,3,0))</f>
        <v>FRA_gaPMG_AZR_AZR_Q1_19_AzureDirect-Trial-Social</v>
      </c>
      <c r="H359" s="1" t="n">
        <f aca="false">IFERROR(VLOOKUP(OFFSET(Table22,358,21,1,1),OFFSET(Table2,0,1,ROWS(Table2),8),3,0),VLOOKUP(OFFSET(Table22,358,22,1,1),Table2,4,0))</f>
        <v>21356941</v>
      </c>
      <c r="I359" s="2" t="n">
        <f aca="false">IFERROR(VLOOKUP(OFFSET(Table22,358,21,1,1),OFFSET(Table2,0,1,ROWS(Table2),8),4,0),VLOOKUP(OFFSET(Table22,358,22,1,1),Table2,5,0))</f>
        <v>720193</v>
      </c>
      <c r="J359" s="3" t="str">
        <f aca="false">IF(ISNUMBER(SEARCH("FACEBOOK",W359)),"Facebook",IF(ISNUMBER(SEARCH("INSTAGRAM",W359)),"Facebook-Instagram","Look at taxonomy"))</f>
        <v>Facebook</v>
      </c>
      <c r="K359" s="3" t="str">
        <f aca="false">IF(ISNUMBER(SEARCH("Facebook",J359)),"3654128","Not Facebook")</f>
        <v>3654128</v>
      </c>
      <c r="L359" s="3" t="str">
        <f aca="false">IFERROR(VLOOKUP(OFFSET(Table22,358,21,1,1),OFFSET(Table2,0,1,ROWS(Table2),8),7,0),VLOOKUP(OFFSET(Table22,358,22,1,1),Table2,8,0))</f>
        <v>AZR_FreeAcctAppsFACEBOOK12monthsChE_FRA_1200x628_SOC_PLAT_FR_Trial_Standard_NA_SINU_T5_1</v>
      </c>
      <c r="M359" s="2" t="n">
        <f aca="false">IFERROR(VLOOKUP(OFFSET(Table22,358,21,1,1),OFFSET(Table2,0,1,ROWS(Table2),8),8,0),VLOOKUP(OFFSET(Table22,358,22,1,1),Table2,9,0))</f>
        <v>103259784</v>
      </c>
      <c r="N359" s="15" t="s">
        <v>29</v>
      </c>
      <c r="O359" s="16" t="n">
        <v>43354</v>
      </c>
      <c r="P359" s="17" t="s">
        <v>102</v>
      </c>
      <c r="Q359" s="18" t="s">
        <v>103</v>
      </c>
      <c r="R359" s="17" t="s">
        <v>104</v>
      </c>
      <c r="S359" s="18" t="s">
        <v>33</v>
      </c>
      <c r="T359" s="17" t="s">
        <v>34</v>
      </c>
      <c r="U359" s="18" t="s">
        <v>39</v>
      </c>
      <c r="V359" s="19" t="n">
        <v>224560866</v>
      </c>
      <c r="W359" s="17" t="s">
        <v>117</v>
      </c>
      <c r="X359" s="17" t="n">
        <v>0</v>
      </c>
      <c r="Y359" s="17"/>
      <c r="Z359" s="17" t="n">
        <v>0</v>
      </c>
      <c r="AA359" s="17" t="s">
        <v>38</v>
      </c>
      <c r="AB359" s="17"/>
    </row>
    <row r="360" customFormat="false" ht="15" hidden="false" customHeight="false" outlineLevel="0" collapsed="false">
      <c r="A360" s="1" t="str">
        <f aca="false">OFFSET(Table22,359,14,1,1)&amp;OFFSET(Table22,359,21,1,1)</f>
        <v>43354224560866</v>
      </c>
      <c r="B360" s="1" t="str">
        <f aca="false">OFFSET(Table22,359,14,1,1)&amp;OFFSET(Table22,359,22,1,1)</f>
        <v>43354Facebook»Developers/ITPros-Azure Direct-Sponsored Post-Link Ad-FreeAcctAppsFACEBOOK12monthsChE»1x1»SocialBan»LIA»ALL»CPC»BT»X»UNK»SS»NA»Trials_ID</v>
      </c>
      <c r="C360" s="1" t="s">
        <v>28</v>
      </c>
      <c r="D360" s="3" t="n">
        <f aca="false">O360+(7-WEEKDAY(O360))</f>
        <v>43358</v>
      </c>
      <c r="E360" s="1" t="str">
        <f aca="false">VLOOKUP(OFFSET(Table22,359,16,1,1),Key!B:D,2,0)</f>
        <v>France</v>
      </c>
      <c r="F360" s="1" t="str">
        <f aca="false">IF(ISNUMBER(SEARCH("Canvas",U360)),"Link",IF(ISNUMBER(SEARCH("Link",U360)),"Link","Not filled properly"))</f>
        <v>Link</v>
      </c>
      <c r="G360" s="1" t="str">
        <f aca="false">IFERROR(VLOOKUP(OFFSET(Table22,359,21,1,1),OFFSET(Table2,0,1,ROWS(Table2),8),2,0),VLOOKUP(OFFSET(Table22,359,22,1,1),Table2,3,0))</f>
        <v>FRA_gaPMG_AZR_AZR_Q1_19_AzureDirect-Trial-Social</v>
      </c>
      <c r="H360" s="1" t="n">
        <f aca="false">IFERROR(VLOOKUP(OFFSET(Table22,359,21,1,1),OFFSET(Table2,0,1,ROWS(Table2),8),3,0),VLOOKUP(OFFSET(Table22,359,22,1,1),Table2,4,0))</f>
        <v>21356941</v>
      </c>
      <c r="I360" s="2" t="n">
        <f aca="false">IFERROR(VLOOKUP(OFFSET(Table22,359,21,1,1),OFFSET(Table2,0,1,ROWS(Table2),8),4,0),VLOOKUP(OFFSET(Table22,359,22,1,1),Table2,5,0))</f>
        <v>720193</v>
      </c>
      <c r="J360" s="3" t="str">
        <f aca="false">IF(ISNUMBER(SEARCH("FACEBOOK",W360)),"Facebook",IF(ISNUMBER(SEARCH("INSTAGRAM",W360)),"Facebook-Instagram","Look at taxonomy"))</f>
        <v>Facebook</v>
      </c>
      <c r="K360" s="3" t="str">
        <f aca="false">IF(ISNUMBER(SEARCH("Facebook",J360)),"3654128","Not Facebook")</f>
        <v>3654128</v>
      </c>
      <c r="L360" s="3" t="str">
        <f aca="false">IFERROR(VLOOKUP(OFFSET(Table22,359,21,1,1),OFFSET(Table2,0,1,ROWS(Table2),8),7,0),VLOOKUP(OFFSET(Table22,359,22,1,1),Table2,8,0))</f>
        <v>AZR_FreeAcctAppsFACEBOOK12monthsChE_FRA_1200x628_SOC_PLAT_FR_Trial_Standard_NA_SINU_T5_1</v>
      </c>
      <c r="M360" s="2" t="n">
        <f aca="false">IFERROR(VLOOKUP(OFFSET(Table22,359,21,1,1),OFFSET(Table2,0,1,ROWS(Table2),8),8,0),VLOOKUP(OFFSET(Table22,359,22,1,1),Table2,9,0))</f>
        <v>103259784</v>
      </c>
      <c r="N360" s="15" t="s">
        <v>29</v>
      </c>
      <c r="O360" s="16" t="n">
        <v>43354</v>
      </c>
      <c r="P360" s="17" t="s">
        <v>102</v>
      </c>
      <c r="Q360" s="18" t="s">
        <v>103</v>
      </c>
      <c r="R360" s="17" t="s">
        <v>104</v>
      </c>
      <c r="S360" s="18" t="s">
        <v>33</v>
      </c>
      <c r="T360" s="17" t="s">
        <v>34</v>
      </c>
      <c r="U360" s="18" t="s">
        <v>39</v>
      </c>
      <c r="V360" s="19" t="n">
        <v>224560866</v>
      </c>
      <c r="W360" s="17" t="s">
        <v>117</v>
      </c>
      <c r="X360" s="17" t="n">
        <v>0</v>
      </c>
      <c r="Y360" s="17"/>
      <c r="Z360" s="17" t="n">
        <v>0</v>
      </c>
      <c r="AA360" s="17" t="s">
        <v>38</v>
      </c>
      <c r="AB360" s="17"/>
    </row>
    <row r="361" customFormat="false" ht="15" hidden="false" customHeight="false" outlineLevel="0" collapsed="false">
      <c r="A361" s="1" t="str">
        <f aca="false">OFFSET(Table22,360,14,1,1)&amp;OFFSET(Table22,360,21,1,1)</f>
        <v>43353224560866</v>
      </c>
      <c r="B361" s="1" t="str">
        <f aca="false">OFFSET(Table22,360,14,1,1)&amp;OFFSET(Table22,360,22,1,1)</f>
        <v>43353Facebook»Developers/ITPros-Azure Direct-Sponsored Post-Link Ad-FreeAcctAppsFACEBOOK12monthsChE»1x1»SocialBan»LIA»ALL»CPC»BT»X»UNK»SS»NA»Trials_ID</v>
      </c>
      <c r="C361" s="1" t="s">
        <v>28</v>
      </c>
      <c r="D361" s="3" t="n">
        <f aca="false">O361+(7-WEEKDAY(O361))</f>
        <v>43358</v>
      </c>
      <c r="E361" s="1" t="str">
        <f aca="false">VLOOKUP(OFFSET(Table22,360,16,1,1),Key!B:D,2,0)</f>
        <v>France</v>
      </c>
      <c r="F361" s="1" t="str">
        <f aca="false">IF(ISNUMBER(SEARCH("Canvas",U361)),"Link",IF(ISNUMBER(SEARCH("Link",U361)),"Link","Not filled properly"))</f>
        <v>Link</v>
      </c>
      <c r="G361" s="1" t="str">
        <f aca="false">IFERROR(VLOOKUP(OFFSET(Table22,360,21,1,1),OFFSET(Table2,0,1,ROWS(Table2),8),2,0),VLOOKUP(OFFSET(Table22,360,22,1,1),Table2,3,0))</f>
        <v>FRA_gaPMG_AZR_AZR_Q1_19_AzureDirect-Trial-Social</v>
      </c>
      <c r="H361" s="1" t="n">
        <f aca="false">IFERROR(VLOOKUP(OFFSET(Table22,360,21,1,1),OFFSET(Table2,0,1,ROWS(Table2),8),3,0),VLOOKUP(OFFSET(Table22,360,22,1,1),Table2,4,0))</f>
        <v>21356941</v>
      </c>
      <c r="I361" s="2" t="n">
        <f aca="false">IFERROR(VLOOKUP(OFFSET(Table22,360,21,1,1),OFFSET(Table2,0,1,ROWS(Table2),8),4,0),VLOOKUP(OFFSET(Table22,360,22,1,1),Table2,5,0))</f>
        <v>720193</v>
      </c>
      <c r="J361" s="3" t="str">
        <f aca="false">IF(ISNUMBER(SEARCH("FACEBOOK",W361)),"Facebook",IF(ISNUMBER(SEARCH("INSTAGRAM",W361)),"Facebook-Instagram","Look at taxonomy"))</f>
        <v>Facebook</v>
      </c>
      <c r="K361" s="3" t="str">
        <f aca="false">IF(ISNUMBER(SEARCH("Facebook",J361)),"3654128","Not Facebook")</f>
        <v>3654128</v>
      </c>
      <c r="L361" s="3" t="str">
        <f aca="false">IFERROR(VLOOKUP(OFFSET(Table22,360,21,1,1),OFFSET(Table2,0,1,ROWS(Table2),8),7,0),VLOOKUP(OFFSET(Table22,360,22,1,1),Table2,8,0))</f>
        <v>AZR_FreeAcctAppsFACEBOOK12monthsChE_FRA_1200x628_SOC_PLAT_FR_Trial_Standard_NA_SINU_T5_1</v>
      </c>
      <c r="M361" s="2" t="n">
        <f aca="false">IFERROR(VLOOKUP(OFFSET(Table22,360,21,1,1),OFFSET(Table2,0,1,ROWS(Table2),8),8,0),VLOOKUP(OFFSET(Table22,360,22,1,1),Table2,9,0))</f>
        <v>103259784</v>
      </c>
      <c r="N361" s="15" t="s">
        <v>29</v>
      </c>
      <c r="O361" s="16" t="n">
        <v>43353</v>
      </c>
      <c r="P361" s="17" t="s">
        <v>102</v>
      </c>
      <c r="Q361" s="18" t="s">
        <v>103</v>
      </c>
      <c r="R361" s="17" t="s">
        <v>104</v>
      </c>
      <c r="S361" s="18" t="s">
        <v>33</v>
      </c>
      <c r="T361" s="17" t="s">
        <v>34</v>
      </c>
      <c r="U361" s="18" t="s">
        <v>39</v>
      </c>
      <c r="V361" s="19" t="n">
        <v>224560866</v>
      </c>
      <c r="W361" s="17" t="s">
        <v>117</v>
      </c>
      <c r="X361" s="17" t="n">
        <v>0</v>
      </c>
      <c r="Y361" s="17"/>
      <c r="Z361" s="17" t="n">
        <v>0</v>
      </c>
      <c r="AA361" s="17" t="s">
        <v>38</v>
      </c>
      <c r="AB361" s="17"/>
    </row>
    <row r="362" customFormat="false" ht="15" hidden="false" customHeight="false" outlineLevel="0" collapsed="false">
      <c r="A362" s="1" t="str">
        <f aca="false">OFFSET(Table22,361,14,1,1)&amp;OFFSET(Table22,361,21,1,1)</f>
        <v>43353224560866</v>
      </c>
      <c r="B362" s="1" t="str">
        <f aca="false">OFFSET(Table22,361,14,1,1)&amp;OFFSET(Table22,361,22,1,1)</f>
        <v>43353Facebook»Developers/ITPros-Azure Direct-Sponsored Post-Link Ad-FreeAcctAppsFACEBOOK12monthsChE»1x1»SocialBan»LIA»ALL»CPC»BT»X»UNK»SS»NA»Trials_ID</v>
      </c>
      <c r="C362" s="1" t="s">
        <v>28</v>
      </c>
      <c r="D362" s="3" t="n">
        <f aca="false">O362+(7-WEEKDAY(O362))</f>
        <v>43358</v>
      </c>
      <c r="E362" s="1" t="str">
        <f aca="false">VLOOKUP(OFFSET(Table22,361,16,1,1),Key!B:D,2,0)</f>
        <v>France</v>
      </c>
      <c r="F362" s="1" t="str">
        <f aca="false">IF(ISNUMBER(SEARCH("Canvas",U362)),"Link",IF(ISNUMBER(SEARCH("Link",U362)),"Link","Not filled properly"))</f>
        <v>Link</v>
      </c>
      <c r="G362" s="1" t="str">
        <f aca="false">IFERROR(VLOOKUP(OFFSET(Table22,361,21,1,1),OFFSET(Table2,0,1,ROWS(Table2),8),2,0),VLOOKUP(OFFSET(Table22,361,22,1,1),Table2,3,0))</f>
        <v>FRA_gaPMG_AZR_AZR_Q1_19_AzureDirect-Trial-Social</v>
      </c>
      <c r="H362" s="1" t="n">
        <f aca="false">IFERROR(VLOOKUP(OFFSET(Table22,361,21,1,1),OFFSET(Table2,0,1,ROWS(Table2),8),3,0),VLOOKUP(OFFSET(Table22,361,22,1,1),Table2,4,0))</f>
        <v>21356941</v>
      </c>
      <c r="I362" s="2" t="n">
        <f aca="false">IFERROR(VLOOKUP(OFFSET(Table22,361,21,1,1),OFFSET(Table2,0,1,ROWS(Table2),8),4,0),VLOOKUP(OFFSET(Table22,361,22,1,1),Table2,5,0))</f>
        <v>720193</v>
      </c>
      <c r="J362" s="3" t="str">
        <f aca="false">IF(ISNUMBER(SEARCH("FACEBOOK",W362)),"Facebook",IF(ISNUMBER(SEARCH("INSTAGRAM",W362)),"Facebook-Instagram","Look at taxonomy"))</f>
        <v>Facebook</v>
      </c>
      <c r="K362" s="3" t="str">
        <f aca="false">IF(ISNUMBER(SEARCH("Facebook",J362)),"3654128","Not Facebook")</f>
        <v>3654128</v>
      </c>
      <c r="L362" s="3" t="str">
        <f aca="false">IFERROR(VLOOKUP(OFFSET(Table22,361,21,1,1),OFFSET(Table2,0,1,ROWS(Table2),8),7,0),VLOOKUP(OFFSET(Table22,361,22,1,1),Table2,8,0))</f>
        <v>AZR_FreeAcctAppsFACEBOOK12monthsChE_FRA_1200x628_SOC_PLAT_FR_Trial_Standard_NA_SINU_T5_1</v>
      </c>
      <c r="M362" s="2" t="n">
        <f aca="false">IFERROR(VLOOKUP(OFFSET(Table22,361,21,1,1),OFFSET(Table2,0,1,ROWS(Table2),8),8,0),VLOOKUP(OFFSET(Table22,361,22,1,1),Table2,9,0))</f>
        <v>103259784</v>
      </c>
      <c r="N362" s="15" t="s">
        <v>29</v>
      </c>
      <c r="O362" s="16" t="n">
        <v>43353</v>
      </c>
      <c r="P362" s="17" t="s">
        <v>102</v>
      </c>
      <c r="Q362" s="18" t="s">
        <v>103</v>
      </c>
      <c r="R362" s="17" t="s">
        <v>104</v>
      </c>
      <c r="S362" s="18" t="s">
        <v>33</v>
      </c>
      <c r="T362" s="17" t="s">
        <v>34</v>
      </c>
      <c r="U362" s="18" t="s">
        <v>39</v>
      </c>
      <c r="V362" s="19" t="n">
        <v>224560866</v>
      </c>
      <c r="W362" s="17" t="s">
        <v>117</v>
      </c>
      <c r="X362" s="17" t="n">
        <v>0</v>
      </c>
      <c r="Y362" s="17"/>
      <c r="Z362" s="17" t="n">
        <v>0</v>
      </c>
      <c r="AA362" s="17" t="s">
        <v>38</v>
      </c>
      <c r="AB362" s="17"/>
    </row>
    <row r="363" customFormat="false" ht="15" hidden="false" customHeight="false" outlineLevel="0" collapsed="false">
      <c r="A363" s="1" t="str">
        <f aca="false">OFFSET(Table22,362,14,1,1)&amp;OFFSET(Table22,362,21,1,1)</f>
        <v>43352224560866</v>
      </c>
      <c r="B363" s="1" t="str">
        <f aca="false">OFFSET(Table22,362,14,1,1)&amp;OFFSET(Table22,362,22,1,1)</f>
        <v>43352Facebook»Developers/ITPros-Azure Direct-Sponsored Post-Link Ad-FreeAcctAppsFACEBOOK12monthsChE»1x1»SocialBan»LIA»ALL»CPC»BT»X»UNK»SS»NA»Trials_ID</v>
      </c>
      <c r="C363" s="1" t="s">
        <v>28</v>
      </c>
      <c r="D363" s="3" t="n">
        <f aca="false">O363+(7-WEEKDAY(O363))</f>
        <v>43358</v>
      </c>
      <c r="E363" s="1" t="str">
        <f aca="false">VLOOKUP(OFFSET(Table22,362,16,1,1),Key!B:D,2,0)</f>
        <v>France</v>
      </c>
      <c r="F363" s="1" t="str">
        <f aca="false">IF(ISNUMBER(SEARCH("Canvas",U363)),"Link",IF(ISNUMBER(SEARCH("Link",U363)),"Link","Not filled properly"))</f>
        <v>Link</v>
      </c>
      <c r="G363" s="1" t="str">
        <f aca="false">IFERROR(VLOOKUP(OFFSET(Table22,362,21,1,1),OFFSET(Table2,0,1,ROWS(Table2),8),2,0),VLOOKUP(OFFSET(Table22,362,22,1,1),Table2,3,0))</f>
        <v>FRA_gaPMG_AZR_AZR_Q1_19_AzureDirect-Trial-Social</v>
      </c>
      <c r="H363" s="1" t="n">
        <f aca="false">IFERROR(VLOOKUP(OFFSET(Table22,362,21,1,1),OFFSET(Table2,0,1,ROWS(Table2),8),3,0),VLOOKUP(OFFSET(Table22,362,22,1,1),Table2,4,0))</f>
        <v>21356941</v>
      </c>
      <c r="I363" s="2" t="n">
        <f aca="false">IFERROR(VLOOKUP(OFFSET(Table22,362,21,1,1),OFFSET(Table2,0,1,ROWS(Table2),8),4,0),VLOOKUP(OFFSET(Table22,362,22,1,1),Table2,5,0))</f>
        <v>720193</v>
      </c>
      <c r="J363" s="3" t="str">
        <f aca="false">IF(ISNUMBER(SEARCH("FACEBOOK",W363)),"Facebook",IF(ISNUMBER(SEARCH("INSTAGRAM",W363)),"Facebook-Instagram","Look at taxonomy"))</f>
        <v>Facebook</v>
      </c>
      <c r="K363" s="3" t="str">
        <f aca="false">IF(ISNUMBER(SEARCH("Facebook",J363)),"3654128","Not Facebook")</f>
        <v>3654128</v>
      </c>
      <c r="L363" s="3" t="str">
        <f aca="false">IFERROR(VLOOKUP(OFFSET(Table22,362,21,1,1),OFFSET(Table2,0,1,ROWS(Table2),8),7,0),VLOOKUP(OFFSET(Table22,362,22,1,1),Table2,8,0))</f>
        <v>AZR_FreeAcctAppsFACEBOOK12monthsChE_FRA_1200x628_SOC_PLAT_FR_Trial_Standard_NA_SINU_T5_1</v>
      </c>
      <c r="M363" s="2" t="n">
        <f aca="false">IFERROR(VLOOKUP(OFFSET(Table22,362,21,1,1),OFFSET(Table2,0,1,ROWS(Table2),8),8,0),VLOOKUP(OFFSET(Table22,362,22,1,1),Table2,9,0))</f>
        <v>103259784</v>
      </c>
      <c r="N363" s="15" t="s">
        <v>29</v>
      </c>
      <c r="O363" s="16" t="n">
        <v>43352</v>
      </c>
      <c r="P363" s="17" t="s">
        <v>102</v>
      </c>
      <c r="Q363" s="18" t="s">
        <v>103</v>
      </c>
      <c r="R363" s="17" t="s">
        <v>104</v>
      </c>
      <c r="S363" s="18" t="s">
        <v>33</v>
      </c>
      <c r="T363" s="17" t="s">
        <v>34</v>
      </c>
      <c r="U363" s="18" t="s">
        <v>39</v>
      </c>
      <c r="V363" s="19" t="n">
        <v>224560866</v>
      </c>
      <c r="W363" s="17" t="s">
        <v>117</v>
      </c>
      <c r="X363" s="17" t="n">
        <v>0</v>
      </c>
      <c r="Y363" s="17"/>
      <c r="Z363" s="17" t="n">
        <v>0</v>
      </c>
      <c r="AA363" s="17" t="s">
        <v>38</v>
      </c>
      <c r="AB363" s="17"/>
    </row>
    <row r="364" customFormat="false" ht="15" hidden="false" customHeight="false" outlineLevel="0" collapsed="false">
      <c r="A364" s="1" t="str">
        <f aca="false">OFFSET(Table22,363,14,1,1)&amp;OFFSET(Table22,363,21,1,1)</f>
        <v>43352224560866</v>
      </c>
      <c r="B364" s="1" t="str">
        <f aca="false">OFFSET(Table22,363,14,1,1)&amp;OFFSET(Table22,363,22,1,1)</f>
        <v>43352Facebook»Developers/ITPros-Azure Direct-Sponsored Post-Link Ad-FreeAcctAppsFACEBOOK12monthsChE»1x1»SocialBan»LIA»ALL»CPC»BT»X»UNK»SS»NA»Trials_ID</v>
      </c>
      <c r="C364" s="1" t="s">
        <v>28</v>
      </c>
      <c r="D364" s="3" t="n">
        <f aca="false">O364+(7-WEEKDAY(O364))</f>
        <v>43358</v>
      </c>
      <c r="E364" s="1" t="str">
        <f aca="false">VLOOKUP(OFFSET(Table22,363,16,1,1),Key!B:D,2,0)</f>
        <v>France</v>
      </c>
      <c r="F364" s="1" t="str">
        <f aca="false">IF(ISNUMBER(SEARCH("Canvas",U364)),"Link",IF(ISNUMBER(SEARCH("Link",U364)),"Link","Not filled properly"))</f>
        <v>Link</v>
      </c>
      <c r="G364" s="1" t="str">
        <f aca="false">IFERROR(VLOOKUP(OFFSET(Table22,363,21,1,1),OFFSET(Table2,0,1,ROWS(Table2),8),2,0),VLOOKUP(OFFSET(Table22,363,22,1,1),Table2,3,0))</f>
        <v>FRA_gaPMG_AZR_AZR_Q1_19_AzureDirect-Trial-Social</v>
      </c>
      <c r="H364" s="1" t="n">
        <f aca="false">IFERROR(VLOOKUP(OFFSET(Table22,363,21,1,1),OFFSET(Table2,0,1,ROWS(Table2),8),3,0),VLOOKUP(OFFSET(Table22,363,22,1,1),Table2,4,0))</f>
        <v>21356941</v>
      </c>
      <c r="I364" s="2" t="n">
        <f aca="false">IFERROR(VLOOKUP(OFFSET(Table22,363,21,1,1),OFFSET(Table2,0,1,ROWS(Table2),8),4,0),VLOOKUP(OFFSET(Table22,363,22,1,1),Table2,5,0))</f>
        <v>720193</v>
      </c>
      <c r="J364" s="3" t="str">
        <f aca="false">IF(ISNUMBER(SEARCH("FACEBOOK",W364)),"Facebook",IF(ISNUMBER(SEARCH("INSTAGRAM",W364)),"Facebook-Instagram","Look at taxonomy"))</f>
        <v>Facebook</v>
      </c>
      <c r="K364" s="3" t="str">
        <f aca="false">IF(ISNUMBER(SEARCH("Facebook",J364)),"3654128","Not Facebook")</f>
        <v>3654128</v>
      </c>
      <c r="L364" s="3" t="str">
        <f aca="false">IFERROR(VLOOKUP(OFFSET(Table22,363,21,1,1),OFFSET(Table2,0,1,ROWS(Table2),8),7,0),VLOOKUP(OFFSET(Table22,363,22,1,1),Table2,8,0))</f>
        <v>AZR_FreeAcctAppsFACEBOOK12monthsChE_FRA_1200x628_SOC_PLAT_FR_Trial_Standard_NA_SINU_T5_1</v>
      </c>
      <c r="M364" s="2" t="n">
        <f aca="false">IFERROR(VLOOKUP(OFFSET(Table22,363,21,1,1),OFFSET(Table2,0,1,ROWS(Table2),8),8,0),VLOOKUP(OFFSET(Table22,363,22,1,1),Table2,9,0))</f>
        <v>103259784</v>
      </c>
      <c r="N364" s="15" t="s">
        <v>29</v>
      </c>
      <c r="O364" s="16" t="n">
        <v>43352</v>
      </c>
      <c r="P364" s="17" t="s">
        <v>102</v>
      </c>
      <c r="Q364" s="18" t="s">
        <v>103</v>
      </c>
      <c r="R364" s="17" t="s">
        <v>104</v>
      </c>
      <c r="S364" s="18" t="s">
        <v>33</v>
      </c>
      <c r="T364" s="17" t="s">
        <v>34</v>
      </c>
      <c r="U364" s="18" t="s">
        <v>39</v>
      </c>
      <c r="V364" s="19" t="n">
        <v>224560866</v>
      </c>
      <c r="W364" s="17" t="s">
        <v>117</v>
      </c>
      <c r="X364" s="17" t="n">
        <v>0</v>
      </c>
      <c r="Y364" s="17"/>
      <c r="Z364" s="17" t="n">
        <v>0</v>
      </c>
      <c r="AA364" s="17" t="s">
        <v>38</v>
      </c>
      <c r="AB364" s="17"/>
    </row>
    <row r="365" customFormat="false" ht="15" hidden="false" customHeight="false" outlineLevel="0" collapsed="false">
      <c r="A365" s="1" t="str">
        <f aca="false">OFFSET(Table22,364,14,1,1)&amp;OFFSET(Table22,364,21,1,1)</f>
        <v>43358224560860</v>
      </c>
      <c r="B365" s="1" t="str">
        <f aca="false">OFFSET(Table22,364,14,1,1)&amp;OFFSET(Table22,364,22,1,1)</f>
        <v>43358Facebook»Developers/ITPros-Azure Direct-Sponsored Post-Link Ad-FreeAcctAppsFACEBOOK200CreditChD»1x1»SocialBan»LIA»ALL»CPC»BT»X»UNK»SS»NA»Trials_ID</v>
      </c>
      <c r="C365" s="1" t="s">
        <v>28</v>
      </c>
      <c r="D365" s="3" t="n">
        <f aca="false">O365+(7-WEEKDAY(O365))</f>
        <v>43358</v>
      </c>
      <c r="E365" s="1" t="str">
        <f aca="false">VLOOKUP(OFFSET(Table22,364,16,1,1),Key!B:D,2,0)</f>
        <v>France</v>
      </c>
      <c r="F365" s="1" t="str">
        <f aca="false">IF(ISNUMBER(SEARCH("Canvas",U365)),"Link",IF(ISNUMBER(SEARCH("Link",U365)),"Link","Not filled properly"))</f>
        <v>Link</v>
      </c>
      <c r="G365" s="1" t="str">
        <f aca="false">IFERROR(VLOOKUP(OFFSET(Table22,364,21,1,1),OFFSET(Table2,0,1,ROWS(Table2),8),2,0),VLOOKUP(OFFSET(Table22,364,22,1,1),Table2,3,0))</f>
        <v>FRA_gaPMG_AZR_AZR_Q1_19_AzureDirect-Trial-Social</v>
      </c>
      <c r="H365" s="1" t="n">
        <f aca="false">IFERROR(VLOOKUP(OFFSET(Table22,364,21,1,1),OFFSET(Table2,0,1,ROWS(Table2),8),3,0),VLOOKUP(OFFSET(Table22,364,22,1,1),Table2,4,0))</f>
        <v>21356941</v>
      </c>
      <c r="I365" s="2" t="n">
        <f aca="false">IFERROR(VLOOKUP(OFFSET(Table22,364,21,1,1),OFFSET(Table2,0,1,ROWS(Table2),8),4,0),VLOOKUP(OFFSET(Table22,364,22,1,1),Table2,5,0))</f>
        <v>720193</v>
      </c>
      <c r="J365" s="3" t="str">
        <f aca="false">IF(ISNUMBER(SEARCH("FACEBOOK",W365)),"Facebook",IF(ISNUMBER(SEARCH("INSTAGRAM",W365)),"Facebook-Instagram","Look at taxonomy"))</f>
        <v>Facebook</v>
      </c>
      <c r="K365" s="3" t="str">
        <f aca="false">IF(ISNUMBER(SEARCH("Facebook",J365)),"3654128","Not Facebook")</f>
        <v>3654128</v>
      </c>
      <c r="L365" s="3" t="str">
        <f aca="false">IFERROR(VLOOKUP(OFFSET(Table22,364,21,1,1),OFFSET(Table2,0,1,ROWS(Table2),8),7,0),VLOOKUP(OFFSET(Table22,364,22,1,1),Table2,8,0))</f>
        <v>AZR_FreeAcctAppsFACEBOOK200CreditChD_FRA_1200x628_SOC_PLAT_FR_Trial_Standard_NA_SINU_T4_1</v>
      </c>
      <c r="M365" s="2" t="n">
        <f aca="false">IFERROR(VLOOKUP(OFFSET(Table22,364,21,1,1),OFFSET(Table2,0,1,ROWS(Table2),8),8,0),VLOOKUP(OFFSET(Table22,364,22,1,1),Table2,9,0))</f>
        <v>103377773</v>
      </c>
      <c r="N365" s="15" t="s">
        <v>29</v>
      </c>
      <c r="O365" s="16" t="n">
        <v>43358</v>
      </c>
      <c r="P365" s="17" t="s">
        <v>102</v>
      </c>
      <c r="Q365" s="18" t="s">
        <v>103</v>
      </c>
      <c r="R365" s="17" t="s">
        <v>104</v>
      </c>
      <c r="S365" s="18" t="s">
        <v>33</v>
      </c>
      <c r="T365" s="17" t="s">
        <v>34</v>
      </c>
      <c r="U365" s="18" t="s">
        <v>39</v>
      </c>
      <c r="V365" s="19" t="n">
        <v>224560860</v>
      </c>
      <c r="W365" s="17" t="s">
        <v>118</v>
      </c>
      <c r="X365" s="17" t="n">
        <v>0</v>
      </c>
      <c r="Y365" s="17"/>
      <c r="Z365" s="17" t="n">
        <v>0</v>
      </c>
      <c r="AA365" s="17" t="s">
        <v>38</v>
      </c>
      <c r="AB365" s="17"/>
    </row>
    <row r="366" customFormat="false" ht="15" hidden="false" customHeight="false" outlineLevel="0" collapsed="false">
      <c r="A366" s="1" t="str">
        <f aca="false">OFFSET(Table22,365,14,1,1)&amp;OFFSET(Table22,365,21,1,1)</f>
        <v>43358224560860</v>
      </c>
      <c r="B366" s="1" t="str">
        <f aca="false">OFFSET(Table22,365,14,1,1)&amp;OFFSET(Table22,365,22,1,1)</f>
        <v>43358Facebook»Developers/ITPros-Azure Direct-Sponsored Post-Link Ad-FreeAcctAppsFACEBOOK200CreditChD»1x1»SocialBan»LIA»ALL»CPC»BT»X»UNK»SS»NA»Trials_ID</v>
      </c>
      <c r="C366" s="1" t="s">
        <v>28</v>
      </c>
      <c r="D366" s="3" t="n">
        <f aca="false">O366+(7-WEEKDAY(O366))</f>
        <v>43358</v>
      </c>
      <c r="E366" s="1" t="str">
        <f aca="false">VLOOKUP(OFFSET(Table22,365,16,1,1),Key!B:D,2,0)</f>
        <v>France</v>
      </c>
      <c r="F366" s="1" t="str">
        <f aca="false">IF(ISNUMBER(SEARCH("Canvas",U366)),"Link",IF(ISNUMBER(SEARCH("Link",U366)),"Link","Not filled properly"))</f>
        <v>Link</v>
      </c>
      <c r="G366" s="1" t="str">
        <f aca="false">IFERROR(VLOOKUP(OFFSET(Table22,365,21,1,1),OFFSET(Table2,0,1,ROWS(Table2),8),2,0),VLOOKUP(OFFSET(Table22,365,22,1,1),Table2,3,0))</f>
        <v>FRA_gaPMG_AZR_AZR_Q1_19_AzureDirect-Trial-Social</v>
      </c>
      <c r="H366" s="1" t="n">
        <f aca="false">IFERROR(VLOOKUP(OFFSET(Table22,365,21,1,1),OFFSET(Table2,0,1,ROWS(Table2),8),3,0),VLOOKUP(OFFSET(Table22,365,22,1,1),Table2,4,0))</f>
        <v>21356941</v>
      </c>
      <c r="I366" s="2" t="n">
        <f aca="false">IFERROR(VLOOKUP(OFFSET(Table22,365,21,1,1),OFFSET(Table2,0,1,ROWS(Table2),8),4,0),VLOOKUP(OFFSET(Table22,365,22,1,1),Table2,5,0))</f>
        <v>720193</v>
      </c>
      <c r="J366" s="3" t="str">
        <f aca="false">IF(ISNUMBER(SEARCH("FACEBOOK",W366)),"Facebook",IF(ISNUMBER(SEARCH("INSTAGRAM",W366)),"Facebook-Instagram","Look at taxonomy"))</f>
        <v>Facebook</v>
      </c>
      <c r="K366" s="3" t="str">
        <f aca="false">IF(ISNUMBER(SEARCH("Facebook",J366)),"3654128","Not Facebook")</f>
        <v>3654128</v>
      </c>
      <c r="L366" s="3" t="str">
        <f aca="false">IFERROR(VLOOKUP(OFFSET(Table22,365,21,1,1),OFFSET(Table2,0,1,ROWS(Table2),8),7,0),VLOOKUP(OFFSET(Table22,365,22,1,1),Table2,8,0))</f>
        <v>AZR_FreeAcctAppsFACEBOOK200CreditChD_FRA_1200x628_SOC_PLAT_FR_Trial_Standard_NA_SINU_T4_1</v>
      </c>
      <c r="M366" s="2" t="n">
        <f aca="false">IFERROR(VLOOKUP(OFFSET(Table22,365,21,1,1),OFFSET(Table2,0,1,ROWS(Table2),8),8,0),VLOOKUP(OFFSET(Table22,365,22,1,1),Table2,9,0))</f>
        <v>103377773</v>
      </c>
      <c r="N366" s="15" t="s">
        <v>29</v>
      </c>
      <c r="O366" s="16" t="n">
        <v>43358</v>
      </c>
      <c r="P366" s="17" t="s">
        <v>102</v>
      </c>
      <c r="Q366" s="18" t="s">
        <v>103</v>
      </c>
      <c r="R366" s="17" t="s">
        <v>104</v>
      </c>
      <c r="S366" s="18" t="s">
        <v>33</v>
      </c>
      <c r="T366" s="17" t="s">
        <v>34</v>
      </c>
      <c r="U366" s="18" t="s">
        <v>39</v>
      </c>
      <c r="V366" s="19" t="n">
        <v>224560860</v>
      </c>
      <c r="W366" s="17" t="s">
        <v>118</v>
      </c>
      <c r="X366" s="17" t="n">
        <v>0</v>
      </c>
      <c r="Y366" s="17"/>
      <c r="Z366" s="17" t="n">
        <v>0</v>
      </c>
      <c r="AA366" s="17" t="s">
        <v>38</v>
      </c>
      <c r="AB366" s="17"/>
    </row>
    <row r="367" customFormat="false" ht="15" hidden="false" customHeight="false" outlineLevel="0" collapsed="false">
      <c r="A367" s="1" t="str">
        <f aca="false">OFFSET(Table22,366,14,1,1)&amp;OFFSET(Table22,366,21,1,1)</f>
        <v>43357224560860</v>
      </c>
      <c r="B367" s="1" t="str">
        <f aca="false">OFFSET(Table22,366,14,1,1)&amp;OFFSET(Table22,366,22,1,1)</f>
        <v>43357Facebook»Developers/ITPros-Azure Direct-Sponsored Post-Link Ad-FreeAcctAppsFACEBOOK200CreditChD»1x1»SocialBan»LIA»ALL»CPC»BT»X»UNK»SS»NA»Trials_ID</v>
      </c>
      <c r="C367" s="1" t="s">
        <v>28</v>
      </c>
      <c r="D367" s="3" t="n">
        <f aca="false">O367+(7-WEEKDAY(O367))</f>
        <v>43358</v>
      </c>
      <c r="E367" s="1" t="str">
        <f aca="false">VLOOKUP(OFFSET(Table22,366,16,1,1),Key!B:D,2,0)</f>
        <v>France</v>
      </c>
      <c r="F367" s="1" t="str">
        <f aca="false">IF(ISNUMBER(SEARCH("Canvas",U367)),"Link",IF(ISNUMBER(SEARCH("Link",U367)),"Link","Not filled properly"))</f>
        <v>Link</v>
      </c>
      <c r="G367" s="1" t="str">
        <f aca="false">IFERROR(VLOOKUP(OFFSET(Table22,366,21,1,1),OFFSET(Table2,0,1,ROWS(Table2),8),2,0),VLOOKUP(OFFSET(Table22,366,22,1,1),Table2,3,0))</f>
        <v>FRA_gaPMG_AZR_AZR_Q1_19_AzureDirect-Trial-Social</v>
      </c>
      <c r="H367" s="1" t="n">
        <f aca="false">IFERROR(VLOOKUP(OFFSET(Table22,366,21,1,1),OFFSET(Table2,0,1,ROWS(Table2),8),3,0),VLOOKUP(OFFSET(Table22,366,22,1,1),Table2,4,0))</f>
        <v>21356941</v>
      </c>
      <c r="I367" s="2" t="n">
        <f aca="false">IFERROR(VLOOKUP(OFFSET(Table22,366,21,1,1),OFFSET(Table2,0,1,ROWS(Table2),8),4,0),VLOOKUP(OFFSET(Table22,366,22,1,1),Table2,5,0))</f>
        <v>720193</v>
      </c>
      <c r="J367" s="3" t="str">
        <f aca="false">IF(ISNUMBER(SEARCH("FACEBOOK",W367)),"Facebook",IF(ISNUMBER(SEARCH("INSTAGRAM",W367)),"Facebook-Instagram","Look at taxonomy"))</f>
        <v>Facebook</v>
      </c>
      <c r="K367" s="3" t="str">
        <f aca="false">IF(ISNUMBER(SEARCH("Facebook",J367)),"3654128","Not Facebook")</f>
        <v>3654128</v>
      </c>
      <c r="L367" s="3" t="str">
        <f aca="false">IFERROR(VLOOKUP(OFFSET(Table22,366,21,1,1),OFFSET(Table2,0,1,ROWS(Table2),8),7,0),VLOOKUP(OFFSET(Table22,366,22,1,1),Table2,8,0))</f>
        <v>AZR_FreeAcctAppsFACEBOOK200CreditChD_FRA_1200x628_SOC_PLAT_FR_Trial_Standard_NA_SINU_T4_1</v>
      </c>
      <c r="M367" s="2" t="n">
        <f aca="false">IFERROR(VLOOKUP(OFFSET(Table22,366,21,1,1),OFFSET(Table2,0,1,ROWS(Table2),8),8,0),VLOOKUP(OFFSET(Table22,366,22,1,1),Table2,9,0))</f>
        <v>103377773</v>
      </c>
      <c r="N367" s="15" t="s">
        <v>29</v>
      </c>
      <c r="O367" s="16" t="n">
        <v>43357</v>
      </c>
      <c r="P367" s="17" t="s">
        <v>102</v>
      </c>
      <c r="Q367" s="18" t="s">
        <v>103</v>
      </c>
      <c r="R367" s="17" t="s">
        <v>104</v>
      </c>
      <c r="S367" s="18" t="s">
        <v>33</v>
      </c>
      <c r="T367" s="17" t="s">
        <v>34</v>
      </c>
      <c r="U367" s="18" t="s">
        <v>39</v>
      </c>
      <c r="V367" s="19" t="n">
        <v>224560860</v>
      </c>
      <c r="W367" s="17" t="s">
        <v>118</v>
      </c>
      <c r="X367" s="17" t="n">
        <v>0</v>
      </c>
      <c r="Y367" s="17"/>
      <c r="Z367" s="17" t="n">
        <v>0</v>
      </c>
      <c r="AA367" s="17" t="s">
        <v>38</v>
      </c>
      <c r="AB367" s="17"/>
    </row>
    <row r="368" customFormat="false" ht="15" hidden="false" customHeight="false" outlineLevel="0" collapsed="false">
      <c r="A368" s="1" t="str">
        <f aca="false">OFFSET(Table22,367,14,1,1)&amp;OFFSET(Table22,367,21,1,1)</f>
        <v>43357224560860</v>
      </c>
      <c r="B368" s="1" t="str">
        <f aca="false">OFFSET(Table22,367,14,1,1)&amp;OFFSET(Table22,367,22,1,1)</f>
        <v>43357Facebook»Developers/ITPros-Azure Direct-Sponsored Post-Link Ad-FreeAcctAppsFACEBOOK200CreditChD»1x1»SocialBan»LIA»ALL»CPC»BT»X»UNK»SS»NA»Trials_ID</v>
      </c>
      <c r="C368" s="1" t="s">
        <v>28</v>
      </c>
      <c r="D368" s="3" t="n">
        <f aca="false">O368+(7-WEEKDAY(O368))</f>
        <v>43358</v>
      </c>
      <c r="E368" s="1" t="str">
        <f aca="false">VLOOKUP(OFFSET(Table22,367,16,1,1),Key!B:D,2,0)</f>
        <v>France</v>
      </c>
      <c r="F368" s="1" t="str">
        <f aca="false">IF(ISNUMBER(SEARCH("Canvas",U368)),"Link",IF(ISNUMBER(SEARCH("Link",U368)),"Link","Not filled properly"))</f>
        <v>Link</v>
      </c>
      <c r="G368" s="1" t="str">
        <f aca="false">IFERROR(VLOOKUP(OFFSET(Table22,367,21,1,1),OFFSET(Table2,0,1,ROWS(Table2),8),2,0),VLOOKUP(OFFSET(Table22,367,22,1,1),Table2,3,0))</f>
        <v>FRA_gaPMG_AZR_AZR_Q1_19_AzureDirect-Trial-Social</v>
      </c>
      <c r="H368" s="1" t="n">
        <f aca="false">IFERROR(VLOOKUP(OFFSET(Table22,367,21,1,1),OFFSET(Table2,0,1,ROWS(Table2),8),3,0),VLOOKUP(OFFSET(Table22,367,22,1,1),Table2,4,0))</f>
        <v>21356941</v>
      </c>
      <c r="I368" s="2" t="n">
        <f aca="false">IFERROR(VLOOKUP(OFFSET(Table22,367,21,1,1),OFFSET(Table2,0,1,ROWS(Table2),8),4,0),VLOOKUP(OFFSET(Table22,367,22,1,1),Table2,5,0))</f>
        <v>720193</v>
      </c>
      <c r="J368" s="3" t="str">
        <f aca="false">IF(ISNUMBER(SEARCH("FACEBOOK",W368)),"Facebook",IF(ISNUMBER(SEARCH("INSTAGRAM",W368)),"Facebook-Instagram","Look at taxonomy"))</f>
        <v>Facebook</v>
      </c>
      <c r="K368" s="3" t="str">
        <f aca="false">IF(ISNUMBER(SEARCH("Facebook",J368)),"3654128","Not Facebook")</f>
        <v>3654128</v>
      </c>
      <c r="L368" s="3" t="str">
        <f aca="false">IFERROR(VLOOKUP(OFFSET(Table22,367,21,1,1),OFFSET(Table2,0,1,ROWS(Table2),8),7,0),VLOOKUP(OFFSET(Table22,367,22,1,1),Table2,8,0))</f>
        <v>AZR_FreeAcctAppsFACEBOOK200CreditChD_FRA_1200x628_SOC_PLAT_FR_Trial_Standard_NA_SINU_T4_1</v>
      </c>
      <c r="M368" s="2" t="n">
        <f aca="false">IFERROR(VLOOKUP(OFFSET(Table22,367,21,1,1),OFFSET(Table2,0,1,ROWS(Table2),8),8,0),VLOOKUP(OFFSET(Table22,367,22,1,1),Table2,9,0))</f>
        <v>103377773</v>
      </c>
      <c r="N368" s="15" t="s">
        <v>29</v>
      </c>
      <c r="O368" s="16" t="n">
        <v>43357</v>
      </c>
      <c r="P368" s="17" t="s">
        <v>102</v>
      </c>
      <c r="Q368" s="18" t="s">
        <v>103</v>
      </c>
      <c r="R368" s="17" t="s">
        <v>104</v>
      </c>
      <c r="S368" s="18" t="s">
        <v>33</v>
      </c>
      <c r="T368" s="17" t="s">
        <v>34</v>
      </c>
      <c r="U368" s="18" t="s">
        <v>39</v>
      </c>
      <c r="V368" s="19" t="n">
        <v>224560860</v>
      </c>
      <c r="W368" s="17" t="s">
        <v>118</v>
      </c>
      <c r="X368" s="17" t="n">
        <v>0</v>
      </c>
      <c r="Y368" s="17"/>
      <c r="Z368" s="17" t="n">
        <v>0</v>
      </c>
      <c r="AA368" s="17" t="s">
        <v>38</v>
      </c>
      <c r="AB368" s="17"/>
    </row>
    <row r="369" customFormat="false" ht="15" hidden="false" customHeight="false" outlineLevel="0" collapsed="false">
      <c r="A369" s="1" t="str">
        <f aca="false">OFFSET(Table22,368,14,1,1)&amp;OFFSET(Table22,368,21,1,1)</f>
        <v>43356224560860</v>
      </c>
      <c r="B369" s="1" t="str">
        <f aca="false">OFFSET(Table22,368,14,1,1)&amp;OFFSET(Table22,368,22,1,1)</f>
        <v>43356Facebook»Developers/ITPros-Azure Direct-Sponsored Post-Link Ad-FreeAcctAppsFACEBOOK200CreditChD»1x1»SocialBan»LIA»ALL»CPC»BT»X»UNK»SS»NA»Trials_ID</v>
      </c>
      <c r="C369" s="1" t="s">
        <v>28</v>
      </c>
      <c r="D369" s="3" t="n">
        <f aca="false">O369+(7-WEEKDAY(O369))</f>
        <v>43358</v>
      </c>
      <c r="E369" s="1" t="str">
        <f aca="false">VLOOKUP(OFFSET(Table22,368,16,1,1),Key!B:D,2,0)</f>
        <v>France</v>
      </c>
      <c r="F369" s="1" t="str">
        <f aca="false">IF(ISNUMBER(SEARCH("Canvas",U369)),"Link",IF(ISNUMBER(SEARCH("Link",U369)),"Link","Not filled properly"))</f>
        <v>Link</v>
      </c>
      <c r="G369" s="1" t="str">
        <f aca="false">IFERROR(VLOOKUP(OFFSET(Table22,368,21,1,1),OFFSET(Table2,0,1,ROWS(Table2),8),2,0),VLOOKUP(OFFSET(Table22,368,22,1,1),Table2,3,0))</f>
        <v>FRA_gaPMG_AZR_AZR_Q1_19_AzureDirect-Trial-Social</v>
      </c>
      <c r="H369" s="1" t="n">
        <f aca="false">IFERROR(VLOOKUP(OFFSET(Table22,368,21,1,1),OFFSET(Table2,0,1,ROWS(Table2),8),3,0),VLOOKUP(OFFSET(Table22,368,22,1,1),Table2,4,0))</f>
        <v>21356941</v>
      </c>
      <c r="I369" s="2" t="n">
        <f aca="false">IFERROR(VLOOKUP(OFFSET(Table22,368,21,1,1),OFFSET(Table2,0,1,ROWS(Table2),8),4,0),VLOOKUP(OFFSET(Table22,368,22,1,1),Table2,5,0))</f>
        <v>720193</v>
      </c>
      <c r="J369" s="3" t="str">
        <f aca="false">IF(ISNUMBER(SEARCH("FACEBOOK",W369)),"Facebook",IF(ISNUMBER(SEARCH("INSTAGRAM",W369)),"Facebook-Instagram","Look at taxonomy"))</f>
        <v>Facebook</v>
      </c>
      <c r="K369" s="3" t="str">
        <f aca="false">IF(ISNUMBER(SEARCH("Facebook",J369)),"3654128","Not Facebook")</f>
        <v>3654128</v>
      </c>
      <c r="L369" s="3" t="str">
        <f aca="false">IFERROR(VLOOKUP(OFFSET(Table22,368,21,1,1),OFFSET(Table2,0,1,ROWS(Table2),8),7,0),VLOOKUP(OFFSET(Table22,368,22,1,1),Table2,8,0))</f>
        <v>AZR_FreeAcctAppsFACEBOOK200CreditChD_FRA_1200x628_SOC_PLAT_FR_Trial_Standard_NA_SINU_T4_1</v>
      </c>
      <c r="M369" s="2" t="n">
        <f aca="false">IFERROR(VLOOKUP(OFFSET(Table22,368,21,1,1),OFFSET(Table2,0,1,ROWS(Table2),8),8,0),VLOOKUP(OFFSET(Table22,368,22,1,1),Table2,9,0))</f>
        <v>103377773</v>
      </c>
      <c r="N369" s="15" t="s">
        <v>29</v>
      </c>
      <c r="O369" s="16" t="n">
        <v>43356</v>
      </c>
      <c r="P369" s="17" t="s">
        <v>102</v>
      </c>
      <c r="Q369" s="18" t="s">
        <v>103</v>
      </c>
      <c r="R369" s="17" t="s">
        <v>104</v>
      </c>
      <c r="S369" s="18" t="s">
        <v>33</v>
      </c>
      <c r="T369" s="17" t="s">
        <v>34</v>
      </c>
      <c r="U369" s="18" t="s">
        <v>39</v>
      </c>
      <c r="V369" s="19" t="n">
        <v>224560860</v>
      </c>
      <c r="W369" s="17" t="s">
        <v>118</v>
      </c>
      <c r="X369" s="17" t="n">
        <v>0</v>
      </c>
      <c r="Y369" s="17"/>
      <c r="Z369" s="17" t="n">
        <v>0</v>
      </c>
      <c r="AA369" s="17" t="s">
        <v>38</v>
      </c>
      <c r="AB369" s="17"/>
    </row>
    <row r="370" customFormat="false" ht="15" hidden="false" customHeight="false" outlineLevel="0" collapsed="false">
      <c r="A370" s="1" t="str">
        <f aca="false">OFFSET(Table22,369,14,1,1)&amp;OFFSET(Table22,369,21,1,1)</f>
        <v>43356224560860</v>
      </c>
      <c r="B370" s="1" t="str">
        <f aca="false">OFFSET(Table22,369,14,1,1)&amp;OFFSET(Table22,369,22,1,1)</f>
        <v>43356Facebook»Developers/ITPros-Azure Direct-Sponsored Post-Link Ad-FreeAcctAppsFACEBOOK200CreditChD»1x1»SocialBan»LIA»ALL»CPC»BT»X»UNK»SS»NA»Trials_ID</v>
      </c>
      <c r="C370" s="1" t="s">
        <v>28</v>
      </c>
      <c r="D370" s="3" t="n">
        <f aca="false">O370+(7-WEEKDAY(O370))</f>
        <v>43358</v>
      </c>
      <c r="E370" s="1" t="str">
        <f aca="false">VLOOKUP(OFFSET(Table22,369,16,1,1),Key!B:D,2,0)</f>
        <v>France</v>
      </c>
      <c r="F370" s="1" t="str">
        <f aca="false">IF(ISNUMBER(SEARCH("Canvas",U370)),"Link",IF(ISNUMBER(SEARCH("Link",U370)),"Link","Not filled properly"))</f>
        <v>Link</v>
      </c>
      <c r="G370" s="1" t="str">
        <f aca="false">IFERROR(VLOOKUP(OFFSET(Table22,369,21,1,1),OFFSET(Table2,0,1,ROWS(Table2),8),2,0),VLOOKUP(OFFSET(Table22,369,22,1,1),Table2,3,0))</f>
        <v>FRA_gaPMG_AZR_AZR_Q1_19_AzureDirect-Trial-Social</v>
      </c>
      <c r="H370" s="1" t="n">
        <f aca="false">IFERROR(VLOOKUP(OFFSET(Table22,369,21,1,1),OFFSET(Table2,0,1,ROWS(Table2),8),3,0),VLOOKUP(OFFSET(Table22,369,22,1,1),Table2,4,0))</f>
        <v>21356941</v>
      </c>
      <c r="I370" s="2" t="n">
        <f aca="false">IFERROR(VLOOKUP(OFFSET(Table22,369,21,1,1),OFFSET(Table2,0,1,ROWS(Table2),8),4,0),VLOOKUP(OFFSET(Table22,369,22,1,1),Table2,5,0))</f>
        <v>720193</v>
      </c>
      <c r="J370" s="3" t="str">
        <f aca="false">IF(ISNUMBER(SEARCH("FACEBOOK",W370)),"Facebook",IF(ISNUMBER(SEARCH("INSTAGRAM",W370)),"Facebook-Instagram","Look at taxonomy"))</f>
        <v>Facebook</v>
      </c>
      <c r="K370" s="3" t="str">
        <f aca="false">IF(ISNUMBER(SEARCH("Facebook",J370)),"3654128","Not Facebook")</f>
        <v>3654128</v>
      </c>
      <c r="L370" s="3" t="str">
        <f aca="false">IFERROR(VLOOKUP(OFFSET(Table22,369,21,1,1),OFFSET(Table2,0,1,ROWS(Table2),8),7,0),VLOOKUP(OFFSET(Table22,369,22,1,1),Table2,8,0))</f>
        <v>AZR_FreeAcctAppsFACEBOOK200CreditChD_FRA_1200x628_SOC_PLAT_FR_Trial_Standard_NA_SINU_T4_1</v>
      </c>
      <c r="M370" s="2" t="n">
        <f aca="false">IFERROR(VLOOKUP(OFFSET(Table22,369,21,1,1),OFFSET(Table2,0,1,ROWS(Table2),8),8,0),VLOOKUP(OFFSET(Table22,369,22,1,1),Table2,9,0))</f>
        <v>103377773</v>
      </c>
      <c r="N370" s="15" t="s">
        <v>29</v>
      </c>
      <c r="O370" s="16" t="n">
        <v>43356</v>
      </c>
      <c r="P370" s="17" t="s">
        <v>102</v>
      </c>
      <c r="Q370" s="18" t="s">
        <v>103</v>
      </c>
      <c r="R370" s="17" t="s">
        <v>104</v>
      </c>
      <c r="S370" s="18" t="s">
        <v>33</v>
      </c>
      <c r="T370" s="17" t="s">
        <v>34</v>
      </c>
      <c r="U370" s="18" t="s">
        <v>39</v>
      </c>
      <c r="V370" s="19" t="n">
        <v>224560860</v>
      </c>
      <c r="W370" s="17" t="s">
        <v>118</v>
      </c>
      <c r="X370" s="17" t="n">
        <v>0</v>
      </c>
      <c r="Y370" s="17"/>
      <c r="Z370" s="17" t="n">
        <v>0</v>
      </c>
      <c r="AA370" s="17" t="s">
        <v>38</v>
      </c>
      <c r="AB370" s="17"/>
    </row>
    <row r="371" customFormat="false" ht="15" hidden="false" customHeight="false" outlineLevel="0" collapsed="false">
      <c r="A371" s="1" t="str">
        <f aca="false">OFFSET(Table22,370,14,1,1)&amp;OFFSET(Table22,370,21,1,1)</f>
        <v>43355224560860</v>
      </c>
      <c r="B371" s="1" t="str">
        <f aca="false">OFFSET(Table22,370,14,1,1)&amp;OFFSET(Table22,370,22,1,1)</f>
        <v>43355Facebook»Developers/ITPros-Azure Direct-Sponsored Post-Link Ad-FreeAcctAppsFACEBOOK200CreditChD»1x1»SocialBan»LIA»ALL»CPC»BT»X»UNK»SS»NA»Trials_ID</v>
      </c>
      <c r="C371" s="1" t="s">
        <v>28</v>
      </c>
      <c r="D371" s="3" t="n">
        <f aca="false">O371+(7-WEEKDAY(O371))</f>
        <v>43358</v>
      </c>
      <c r="E371" s="1" t="str">
        <f aca="false">VLOOKUP(OFFSET(Table22,370,16,1,1),Key!B:D,2,0)</f>
        <v>France</v>
      </c>
      <c r="F371" s="1" t="str">
        <f aca="false">IF(ISNUMBER(SEARCH("Canvas",U371)),"Link",IF(ISNUMBER(SEARCH("Link",U371)),"Link","Not filled properly"))</f>
        <v>Link</v>
      </c>
      <c r="G371" s="1" t="str">
        <f aca="false">IFERROR(VLOOKUP(OFFSET(Table22,370,21,1,1),OFFSET(Table2,0,1,ROWS(Table2),8),2,0),VLOOKUP(OFFSET(Table22,370,22,1,1),Table2,3,0))</f>
        <v>FRA_gaPMG_AZR_AZR_Q1_19_AzureDirect-Trial-Social</v>
      </c>
      <c r="H371" s="1" t="n">
        <f aca="false">IFERROR(VLOOKUP(OFFSET(Table22,370,21,1,1),OFFSET(Table2,0,1,ROWS(Table2),8),3,0),VLOOKUP(OFFSET(Table22,370,22,1,1),Table2,4,0))</f>
        <v>21356941</v>
      </c>
      <c r="I371" s="2" t="n">
        <f aca="false">IFERROR(VLOOKUP(OFFSET(Table22,370,21,1,1),OFFSET(Table2,0,1,ROWS(Table2),8),4,0),VLOOKUP(OFFSET(Table22,370,22,1,1),Table2,5,0))</f>
        <v>720193</v>
      </c>
      <c r="J371" s="3" t="str">
        <f aca="false">IF(ISNUMBER(SEARCH("FACEBOOK",W371)),"Facebook",IF(ISNUMBER(SEARCH("INSTAGRAM",W371)),"Facebook-Instagram","Look at taxonomy"))</f>
        <v>Facebook</v>
      </c>
      <c r="K371" s="3" t="str">
        <f aca="false">IF(ISNUMBER(SEARCH("Facebook",J371)),"3654128","Not Facebook")</f>
        <v>3654128</v>
      </c>
      <c r="L371" s="3" t="str">
        <f aca="false">IFERROR(VLOOKUP(OFFSET(Table22,370,21,1,1),OFFSET(Table2,0,1,ROWS(Table2),8),7,0),VLOOKUP(OFFSET(Table22,370,22,1,1),Table2,8,0))</f>
        <v>AZR_FreeAcctAppsFACEBOOK200CreditChD_FRA_1200x628_SOC_PLAT_FR_Trial_Standard_NA_SINU_T4_1</v>
      </c>
      <c r="M371" s="2" t="n">
        <f aca="false">IFERROR(VLOOKUP(OFFSET(Table22,370,21,1,1),OFFSET(Table2,0,1,ROWS(Table2),8),8,0),VLOOKUP(OFFSET(Table22,370,22,1,1),Table2,9,0))</f>
        <v>103377773</v>
      </c>
      <c r="N371" s="15" t="s">
        <v>29</v>
      </c>
      <c r="O371" s="16" t="n">
        <v>43355</v>
      </c>
      <c r="P371" s="17" t="s">
        <v>102</v>
      </c>
      <c r="Q371" s="18" t="s">
        <v>103</v>
      </c>
      <c r="R371" s="17" t="s">
        <v>104</v>
      </c>
      <c r="S371" s="18" t="s">
        <v>33</v>
      </c>
      <c r="T371" s="17" t="s">
        <v>34</v>
      </c>
      <c r="U371" s="18" t="s">
        <v>39</v>
      </c>
      <c r="V371" s="19" t="n">
        <v>224560860</v>
      </c>
      <c r="W371" s="17" t="s">
        <v>118</v>
      </c>
      <c r="X371" s="17" t="n">
        <v>0</v>
      </c>
      <c r="Y371" s="17"/>
      <c r="Z371" s="17" t="n">
        <v>0</v>
      </c>
      <c r="AA371" s="17" t="s">
        <v>38</v>
      </c>
      <c r="AB371" s="17"/>
    </row>
    <row r="372" customFormat="false" ht="15" hidden="false" customHeight="false" outlineLevel="0" collapsed="false">
      <c r="A372" s="1" t="str">
        <f aca="false">OFFSET(Table22,371,14,1,1)&amp;OFFSET(Table22,371,21,1,1)</f>
        <v>43355224560860</v>
      </c>
      <c r="B372" s="1" t="str">
        <f aca="false">OFFSET(Table22,371,14,1,1)&amp;OFFSET(Table22,371,22,1,1)</f>
        <v>43355Facebook»Developers/ITPros-Azure Direct-Sponsored Post-Link Ad-FreeAcctAppsFACEBOOK200CreditChD»1x1»SocialBan»LIA»ALL»CPC»BT»X»UNK»SS»NA»Trials_ID</v>
      </c>
      <c r="C372" s="1" t="s">
        <v>28</v>
      </c>
      <c r="D372" s="3" t="n">
        <f aca="false">O372+(7-WEEKDAY(O372))</f>
        <v>43358</v>
      </c>
      <c r="E372" s="1" t="str">
        <f aca="false">VLOOKUP(OFFSET(Table22,371,16,1,1),Key!B:D,2,0)</f>
        <v>France</v>
      </c>
      <c r="F372" s="1" t="str">
        <f aca="false">IF(ISNUMBER(SEARCH("Canvas",U372)),"Link",IF(ISNUMBER(SEARCH("Link",U372)),"Link","Not filled properly"))</f>
        <v>Link</v>
      </c>
      <c r="G372" s="1" t="str">
        <f aca="false">IFERROR(VLOOKUP(OFFSET(Table22,371,21,1,1),OFFSET(Table2,0,1,ROWS(Table2),8),2,0),VLOOKUP(OFFSET(Table22,371,22,1,1),Table2,3,0))</f>
        <v>FRA_gaPMG_AZR_AZR_Q1_19_AzureDirect-Trial-Social</v>
      </c>
      <c r="H372" s="1" t="n">
        <f aca="false">IFERROR(VLOOKUP(OFFSET(Table22,371,21,1,1),OFFSET(Table2,0,1,ROWS(Table2),8),3,0),VLOOKUP(OFFSET(Table22,371,22,1,1),Table2,4,0))</f>
        <v>21356941</v>
      </c>
      <c r="I372" s="2" t="n">
        <f aca="false">IFERROR(VLOOKUP(OFFSET(Table22,371,21,1,1),OFFSET(Table2,0,1,ROWS(Table2),8),4,0),VLOOKUP(OFFSET(Table22,371,22,1,1),Table2,5,0))</f>
        <v>720193</v>
      </c>
      <c r="J372" s="3" t="str">
        <f aca="false">IF(ISNUMBER(SEARCH("FACEBOOK",W372)),"Facebook",IF(ISNUMBER(SEARCH("INSTAGRAM",W372)),"Facebook-Instagram","Look at taxonomy"))</f>
        <v>Facebook</v>
      </c>
      <c r="K372" s="3" t="str">
        <f aca="false">IF(ISNUMBER(SEARCH("Facebook",J372)),"3654128","Not Facebook")</f>
        <v>3654128</v>
      </c>
      <c r="L372" s="3" t="str">
        <f aca="false">IFERROR(VLOOKUP(OFFSET(Table22,371,21,1,1),OFFSET(Table2,0,1,ROWS(Table2),8),7,0),VLOOKUP(OFFSET(Table22,371,22,1,1),Table2,8,0))</f>
        <v>AZR_FreeAcctAppsFACEBOOK200CreditChD_FRA_1200x628_SOC_PLAT_FR_Trial_Standard_NA_SINU_T4_1</v>
      </c>
      <c r="M372" s="2" t="n">
        <f aca="false">IFERROR(VLOOKUP(OFFSET(Table22,371,21,1,1),OFFSET(Table2,0,1,ROWS(Table2),8),8,0),VLOOKUP(OFFSET(Table22,371,22,1,1),Table2,9,0))</f>
        <v>103377773</v>
      </c>
      <c r="N372" s="15" t="s">
        <v>29</v>
      </c>
      <c r="O372" s="16" t="n">
        <v>43355</v>
      </c>
      <c r="P372" s="17" t="s">
        <v>102</v>
      </c>
      <c r="Q372" s="18" t="s">
        <v>103</v>
      </c>
      <c r="R372" s="17" t="s">
        <v>104</v>
      </c>
      <c r="S372" s="18" t="s">
        <v>33</v>
      </c>
      <c r="T372" s="17" t="s">
        <v>34</v>
      </c>
      <c r="U372" s="18" t="s">
        <v>39</v>
      </c>
      <c r="V372" s="19" t="n">
        <v>224560860</v>
      </c>
      <c r="W372" s="17" t="s">
        <v>118</v>
      </c>
      <c r="X372" s="17" t="n">
        <v>0</v>
      </c>
      <c r="Y372" s="17"/>
      <c r="Z372" s="17" t="n">
        <v>0</v>
      </c>
      <c r="AA372" s="17" t="s">
        <v>38</v>
      </c>
      <c r="AB372" s="17"/>
    </row>
    <row r="373" customFormat="false" ht="15" hidden="false" customHeight="false" outlineLevel="0" collapsed="false">
      <c r="A373" s="1" t="str">
        <f aca="false">OFFSET(Table22,372,14,1,1)&amp;OFFSET(Table22,372,21,1,1)</f>
        <v>43354224560860</v>
      </c>
      <c r="B373" s="1" t="str">
        <f aca="false">OFFSET(Table22,372,14,1,1)&amp;OFFSET(Table22,372,22,1,1)</f>
        <v>43354Facebook»Developers/ITPros-Azure Direct-Sponsored Post-Link Ad-FreeAcctAppsFACEBOOK200CreditChD»1x1»SocialBan»LIA»ALL»CPC»BT»X»UNK»SS»NA»Trials_ID</v>
      </c>
      <c r="C373" s="1" t="s">
        <v>28</v>
      </c>
      <c r="D373" s="3" t="n">
        <f aca="false">O373+(7-WEEKDAY(O373))</f>
        <v>43358</v>
      </c>
      <c r="E373" s="1" t="str">
        <f aca="false">VLOOKUP(OFFSET(Table22,372,16,1,1),Key!B:D,2,0)</f>
        <v>France</v>
      </c>
      <c r="F373" s="1" t="str">
        <f aca="false">IF(ISNUMBER(SEARCH("Canvas",U373)),"Link",IF(ISNUMBER(SEARCH("Link",U373)),"Link","Not filled properly"))</f>
        <v>Link</v>
      </c>
      <c r="G373" s="1" t="str">
        <f aca="false">IFERROR(VLOOKUP(OFFSET(Table22,372,21,1,1),OFFSET(Table2,0,1,ROWS(Table2),8),2,0),VLOOKUP(OFFSET(Table22,372,22,1,1),Table2,3,0))</f>
        <v>FRA_gaPMG_AZR_AZR_Q1_19_AzureDirect-Trial-Social</v>
      </c>
      <c r="H373" s="1" t="n">
        <f aca="false">IFERROR(VLOOKUP(OFFSET(Table22,372,21,1,1),OFFSET(Table2,0,1,ROWS(Table2),8),3,0),VLOOKUP(OFFSET(Table22,372,22,1,1),Table2,4,0))</f>
        <v>21356941</v>
      </c>
      <c r="I373" s="2" t="n">
        <f aca="false">IFERROR(VLOOKUP(OFFSET(Table22,372,21,1,1),OFFSET(Table2,0,1,ROWS(Table2),8),4,0),VLOOKUP(OFFSET(Table22,372,22,1,1),Table2,5,0))</f>
        <v>720193</v>
      </c>
      <c r="J373" s="3" t="str">
        <f aca="false">IF(ISNUMBER(SEARCH("FACEBOOK",W373)),"Facebook",IF(ISNUMBER(SEARCH("INSTAGRAM",W373)),"Facebook-Instagram","Look at taxonomy"))</f>
        <v>Facebook</v>
      </c>
      <c r="K373" s="3" t="str">
        <f aca="false">IF(ISNUMBER(SEARCH("Facebook",J373)),"3654128","Not Facebook")</f>
        <v>3654128</v>
      </c>
      <c r="L373" s="3" t="str">
        <f aca="false">IFERROR(VLOOKUP(OFFSET(Table22,372,21,1,1),OFFSET(Table2,0,1,ROWS(Table2),8),7,0),VLOOKUP(OFFSET(Table22,372,22,1,1),Table2,8,0))</f>
        <v>AZR_FreeAcctAppsFACEBOOK200CreditChD_FRA_1200x628_SOC_PLAT_FR_Trial_Standard_NA_SINU_T4_1</v>
      </c>
      <c r="M373" s="2" t="n">
        <f aca="false">IFERROR(VLOOKUP(OFFSET(Table22,372,21,1,1),OFFSET(Table2,0,1,ROWS(Table2),8),8,0),VLOOKUP(OFFSET(Table22,372,22,1,1),Table2,9,0))</f>
        <v>103377773</v>
      </c>
      <c r="N373" s="15" t="s">
        <v>29</v>
      </c>
      <c r="O373" s="16" t="n">
        <v>43354</v>
      </c>
      <c r="P373" s="17" t="s">
        <v>102</v>
      </c>
      <c r="Q373" s="18" t="s">
        <v>103</v>
      </c>
      <c r="R373" s="17" t="s">
        <v>104</v>
      </c>
      <c r="S373" s="18" t="s">
        <v>33</v>
      </c>
      <c r="T373" s="17" t="s">
        <v>34</v>
      </c>
      <c r="U373" s="18" t="s">
        <v>39</v>
      </c>
      <c r="V373" s="19" t="n">
        <v>224560860</v>
      </c>
      <c r="W373" s="17" t="s">
        <v>118</v>
      </c>
      <c r="X373" s="17" t="n">
        <v>0</v>
      </c>
      <c r="Y373" s="17"/>
      <c r="Z373" s="17" t="n">
        <v>0</v>
      </c>
      <c r="AA373" s="17" t="s">
        <v>38</v>
      </c>
      <c r="AB373" s="17"/>
    </row>
    <row r="374" customFormat="false" ht="15" hidden="false" customHeight="false" outlineLevel="0" collapsed="false">
      <c r="A374" s="1" t="str">
        <f aca="false">OFFSET(Table22,373,14,1,1)&amp;OFFSET(Table22,373,21,1,1)</f>
        <v>43354224560860</v>
      </c>
      <c r="B374" s="1" t="str">
        <f aca="false">OFFSET(Table22,373,14,1,1)&amp;OFFSET(Table22,373,22,1,1)</f>
        <v>43354Facebook»Developers/ITPros-Azure Direct-Sponsored Post-Link Ad-FreeAcctAppsFACEBOOK200CreditChD»1x1»SocialBan»LIA»ALL»CPC»BT»X»UNK»SS»NA»Trials_ID</v>
      </c>
      <c r="C374" s="1" t="s">
        <v>28</v>
      </c>
      <c r="D374" s="3" t="n">
        <f aca="false">O374+(7-WEEKDAY(O374))</f>
        <v>43358</v>
      </c>
      <c r="E374" s="1" t="str">
        <f aca="false">VLOOKUP(OFFSET(Table22,373,16,1,1),Key!B:D,2,0)</f>
        <v>France</v>
      </c>
      <c r="F374" s="1" t="str">
        <f aca="false">IF(ISNUMBER(SEARCH("Canvas",U374)),"Link",IF(ISNUMBER(SEARCH("Link",U374)),"Link","Not filled properly"))</f>
        <v>Link</v>
      </c>
      <c r="G374" s="1" t="str">
        <f aca="false">IFERROR(VLOOKUP(OFFSET(Table22,373,21,1,1),OFFSET(Table2,0,1,ROWS(Table2),8),2,0),VLOOKUP(OFFSET(Table22,373,22,1,1),Table2,3,0))</f>
        <v>FRA_gaPMG_AZR_AZR_Q1_19_AzureDirect-Trial-Social</v>
      </c>
      <c r="H374" s="1" t="n">
        <f aca="false">IFERROR(VLOOKUP(OFFSET(Table22,373,21,1,1),OFFSET(Table2,0,1,ROWS(Table2),8),3,0),VLOOKUP(OFFSET(Table22,373,22,1,1),Table2,4,0))</f>
        <v>21356941</v>
      </c>
      <c r="I374" s="2" t="n">
        <f aca="false">IFERROR(VLOOKUP(OFFSET(Table22,373,21,1,1),OFFSET(Table2,0,1,ROWS(Table2),8),4,0),VLOOKUP(OFFSET(Table22,373,22,1,1),Table2,5,0))</f>
        <v>720193</v>
      </c>
      <c r="J374" s="3" t="str">
        <f aca="false">IF(ISNUMBER(SEARCH("FACEBOOK",W374)),"Facebook",IF(ISNUMBER(SEARCH("INSTAGRAM",W374)),"Facebook-Instagram","Look at taxonomy"))</f>
        <v>Facebook</v>
      </c>
      <c r="K374" s="3" t="str">
        <f aca="false">IF(ISNUMBER(SEARCH("Facebook",J374)),"3654128","Not Facebook")</f>
        <v>3654128</v>
      </c>
      <c r="L374" s="3" t="str">
        <f aca="false">IFERROR(VLOOKUP(OFFSET(Table22,373,21,1,1),OFFSET(Table2,0,1,ROWS(Table2),8),7,0),VLOOKUP(OFFSET(Table22,373,22,1,1),Table2,8,0))</f>
        <v>AZR_FreeAcctAppsFACEBOOK200CreditChD_FRA_1200x628_SOC_PLAT_FR_Trial_Standard_NA_SINU_T4_1</v>
      </c>
      <c r="M374" s="2" t="n">
        <f aca="false">IFERROR(VLOOKUP(OFFSET(Table22,373,21,1,1),OFFSET(Table2,0,1,ROWS(Table2),8),8,0),VLOOKUP(OFFSET(Table22,373,22,1,1),Table2,9,0))</f>
        <v>103377773</v>
      </c>
      <c r="N374" s="15" t="s">
        <v>29</v>
      </c>
      <c r="O374" s="16" t="n">
        <v>43354</v>
      </c>
      <c r="P374" s="17" t="s">
        <v>102</v>
      </c>
      <c r="Q374" s="18" t="s">
        <v>103</v>
      </c>
      <c r="R374" s="17" t="s">
        <v>104</v>
      </c>
      <c r="S374" s="18" t="s">
        <v>33</v>
      </c>
      <c r="T374" s="17" t="s">
        <v>34</v>
      </c>
      <c r="U374" s="18" t="s">
        <v>39</v>
      </c>
      <c r="V374" s="19" t="n">
        <v>224560860</v>
      </c>
      <c r="W374" s="17" t="s">
        <v>118</v>
      </c>
      <c r="X374" s="17" t="n">
        <v>0</v>
      </c>
      <c r="Y374" s="17"/>
      <c r="Z374" s="17" t="n">
        <v>0</v>
      </c>
      <c r="AA374" s="17" t="s">
        <v>38</v>
      </c>
      <c r="AB374" s="17"/>
    </row>
    <row r="375" customFormat="false" ht="15" hidden="false" customHeight="false" outlineLevel="0" collapsed="false">
      <c r="A375" s="1" t="str">
        <f aca="false">OFFSET(Table22,374,14,1,1)&amp;OFFSET(Table22,374,21,1,1)</f>
        <v>43353224560860</v>
      </c>
      <c r="B375" s="1" t="str">
        <f aca="false">OFFSET(Table22,374,14,1,1)&amp;OFFSET(Table22,374,22,1,1)</f>
        <v>43353Facebook»Developers/ITPros-Azure Direct-Sponsored Post-Link Ad-FreeAcctAppsFACEBOOK200CreditChD»1x1»SocialBan»LIA»ALL»CPC»BT»X»UNK»SS»NA»Trials_ID</v>
      </c>
      <c r="C375" s="1" t="s">
        <v>28</v>
      </c>
      <c r="D375" s="3" t="n">
        <f aca="false">O375+(7-WEEKDAY(O375))</f>
        <v>43358</v>
      </c>
      <c r="E375" s="1" t="str">
        <f aca="false">VLOOKUP(OFFSET(Table22,374,16,1,1),Key!B:D,2,0)</f>
        <v>France</v>
      </c>
      <c r="F375" s="1" t="str">
        <f aca="false">IF(ISNUMBER(SEARCH("Canvas",U375)),"Link",IF(ISNUMBER(SEARCH("Link",U375)),"Link","Not filled properly"))</f>
        <v>Link</v>
      </c>
      <c r="G375" s="1" t="str">
        <f aca="false">IFERROR(VLOOKUP(OFFSET(Table22,374,21,1,1),OFFSET(Table2,0,1,ROWS(Table2),8),2,0),VLOOKUP(OFFSET(Table22,374,22,1,1),Table2,3,0))</f>
        <v>FRA_gaPMG_AZR_AZR_Q1_19_AzureDirect-Trial-Social</v>
      </c>
      <c r="H375" s="1" t="n">
        <f aca="false">IFERROR(VLOOKUP(OFFSET(Table22,374,21,1,1),OFFSET(Table2,0,1,ROWS(Table2),8),3,0),VLOOKUP(OFFSET(Table22,374,22,1,1),Table2,4,0))</f>
        <v>21356941</v>
      </c>
      <c r="I375" s="2" t="n">
        <f aca="false">IFERROR(VLOOKUP(OFFSET(Table22,374,21,1,1),OFFSET(Table2,0,1,ROWS(Table2),8),4,0),VLOOKUP(OFFSET(Table22,374,22,1,1),Table2,5,0))</f>
        <v>720193</v>
      </c>
      <c r="J375" s="3" t="str">
        <f aca="false">IF(ISNUMBER(SEARCH("FACEBOOK",W375)),"Facebook",IF(ISNUMBER(SEARCH("INSTAGRAM",W375)),"Facebook-Instagram","Look at taxonomy"))</f>
        <v>Facebook</v>
      </c>
      <c r="K375" s="3" t="str">
        <f aca="false">IF(ISNUMBER(SEARCH("Facebook",J375)),"3654128","Not Facebook")</f>
        <v>3654128</v>
      </c>
      <c r="L375" s="3" t="str">
        <f aca="false">IFERROR(VLOOKUP(OFFSET(Table22,374,21,1,1),OFFSET(Table2,0,1,ROWS(Table2),8),7,0),VLOOKUP(OFFSET(Table22,374,22,1,1),Table2,8,0))</f>
        <v>AZR_FreeAcctAppsFACEBOOK200CreditChD_FRA_1200x628_SOC_PLAT_FR_Trial_Standard_NA_SINU_T4_1</v>
      </c>
      <c r="M375" s="2" t="n">
        <f aca="false">IFERROR(VLOOKUP(OFFSET(Table22,374,21,1,1),OFFSET(Table2,0,1,ROWS(Table2),8),8,0),VLOOKUP(OFFSET(Table22,374,22,1,1),Table2,9,0))</f>
        <v>103377773</v>
      </c>
      <c r="N375" s="15" t="s">
        <v>29</v>
      </c>
      <c r="O375" s="16" t="n">
        <v>43353</v>
      </c>
      <c r="P375" s="17" t="s">
        <v>102</v>
      </c>
      <c r="Q375" s="18" t="s">
        <v>103</v>
      </c>
      <c r="R375" s="17" t="s">
        <v>104</v>
      </c>
      <c r="S375" s="18" t="s">
        <v>33</v>
      </c>
      <c r="T375" s="17" t="s">
        <v>34</v>
      </c>
      <c r="U375" s="18" t="s">
        <v>39</v>
      </c>
      <c r="V375" s="19" t="n">
        <v>224560860</v>
      </c>
      <c r="W375" s="17" t="s">
        <v>118</v>
      </c>
      <c r="X375" s="17" t="n">
        <v>0</v>
      </c>
      <c r="Y375" s="17"/>
      <c r="Z375" s="17" t="n">
        <v>0</v>
      </c>
      <c r="AA375" s="17" t="s">
        <v>38</v>
      </c>
      <c r="AB375" s="17"/>
    </row>
    <row r="376" customFormat="false" ht="15" hidden="false" customHeight="false" outlineLevel="0" collapsed="false">
      <c r="A376" s="1" t="str">
        <f aca="false">OFFSET(Table22,375,14,1,1)&amp;OFFSET(Table22,375,21,1,1)</f>
        <v>43353224560860</v>
      </c>
      <c r="B376" s="1" t="str">
        <f aca="false">OFFSET(Table22,375,14,1,1)&amp;OFFSET(Table22,375,22,1,1)</f>
        <v>43353Facebook»Developers/ITPros-Azure Direct-Sponsored Post-Link Ad-FreeAcctAppsFACEBOOK200CreditChD»1x1»SocialBan»LIA»ALL»CPC»BT»X»UNK»SS»NA»Trials_ID</v>
      </c>
      <c r="C376" s="1" t="s">
        <v>28</v>
      </c>
      <c r="D376" s="3" t="n">
        <f aca="false">O376+(7-WEEKDAY(O376))</f>
        <v>43358</v>
      </c>
      <c r="E376" s="1" t="str">
        <f aca="false">VLOOKUP(OFFSET(Table22,375,16,1,1),Key!B:D,2,0)</f>
        <v>France</v>
      </c>
      <c r="F376" s="1" t="str">
        <f aca="false">IF(ISNUMBER(SEARCH("Canvas",U376)),"Link",IF(ISNUMBER(SEARCH("Link",U376)),"Link","Not filled properly"))</f>
        <v>Link</v>
      </c>
      <c r="G376" s="1" t="str">
        <f aca="false">IFERROR(VLOOKUP(OFFSET(Table22,375,21,1,1),OFFSET(Table2,0,1,ROWS(Table2),8),2,0),VLOOKUP(OFFSET(Table22,375,22,1,1),Table2,3,0))</f>
        <v>FRA_gaPMG_AZR_AZR_Q1_19_AzureDirect-Trial-Social</v>
      </c>
      <c r="H376" s="1" t="n">
        <f aca="false">IFERROR(VLOOKUP(OFFSET(Table22,375,21,1,1),OFFSET(Table2,0,1,ROWS(Table2),8),3,0),VLOOKUP(OFFSET(Table22,375,22,1,1),Table2,4,0))</f>
        <v>21356941</v>
      </c>
      <c r="I376" s="2" t="n">
        <f aca="false">IFERROR(VLOOKUP(OFFSET(Table22,375,21,1,1),OFFSET(Table2,0,1,ROWS(Table2),8),4,0),VLOOKUP(OFFSET(Table22,375,22,1,1),Table2,5,0))</f>
        <v>720193</v>
      </c>
      <c r="J376" s="3" t="str">
        <f aca="false">IF(ISNUMBER(SEARCH("FACEBOOK",W376)),"Facebook",IF(ISNUMBER(SEARCH("INSTAGRAM",W376)),"Facebook-Instagram","Look at taxonomy"))</f>
        <v>Facebook</v>
      </c>
      <c r="K376" s="3" t="str">
        <f aca="false">IF(ISNUMBER(SEARCH("Facebook",J376)),"3654128","Not Facebook")</f>
        <v>3654128</v>
      </c>
      <c r="L376" s="3" t="str">
        <f aca="false">IFERROR(VLOOKUP(OFFSET(Table22,375,21,1,1),OFFSET(Table2,0,1,ROWS(Table2),8),7,0),VLOOKUP(OFFSET(Table22,375,22,1,1),Table2,8,0))</f>
        <v>AZR_FreeAcctAppsFACEBOOK200CreditChD_FRA_1200x628_SOC_PLAT_FR_Trial_Standard_NA_SINU_T4_1</v>
      </c>
      <c r="M376" s="2" t="n">
        <f aca="false">IFERROR(VLOOKUP(OFFSET(Table22,375,21,1,1),OFFSET(Table2,0,1,ROWS(Table2),8),8,0),VLOOKUP(OFFSET(Table22,375,22,1,1),Table2,9,0))</f>
        <v>103377773</v>
      </c>
      <c r="N376" s="15" t="s">
        <v>29</v>
      </c>
      <c r="O376" s="16" t="n">
        <v>43353</v>
      </c>
      <c r="P376" s="17" t="s">
        <v>102</v>
      </c>
      <c r="Q376" s="18" t="s">
        <v>103</v>
      </c>
      <c r="R376" s="17" t="s">
        <v>104</v>
      </c>
      <c r="S376" s="18" t="s">
        <v>33</v>
      </c>
      <c r="T376" s="17" t="s">
        <v>34</v>
      </c>
      <c r="U376" s="18" t="s">
        <v>39</v>
      </c>
      <c r="V376" s="19" t="n">
        <v>224560860</v>
      </c>
      <c r="W376" s="17" t="s">
        <v>118</v>
      </c>
      <c r="X376" s="17" t="n">
        <v>0</v>
      </c>
      <c r="Y376" s="17"/>
      <c r="Z376" s="17" t="n">
        <v>0</v>
      </c>
      <c r="AA376" s="17" t="s">
        <v>38</v>
      </c>
      <c r="AB376" s="17"/>
    </row>
    <row r="377" customFormat="false" ht="15" hidden="false" customHeight="false" outlineLevel="0" collapsed="false">
      <c r="A377" s="1" t="str">
        <f aca="false">OFFSET(Table22,376,14,1,1)&amp;OFFSET(Table22,376,21,1,1)</f>
        <v>43352224560860</v>
      </c>
      <c r="B377" s="1" t="str">
        <f aca="false">OFFSET(Table22,376,14,1,1)&amp;OFFSET(Table22,376,22,1,1)</f>
        <v>43352Facebook»Developers/ITPros-Azure Direct-Sponsored Post-Link Ad-FreeAcctAppsFACEBOOK200CreditChD»1x1»SocialBan»LIA»ALL»CPC»BT»X»UNK»SS»NA»Trials_ID</v>
      </c>
      <c r="C377" s="1" t="s">
        <v>28</v>
      </c>
      <c r="D377" s="3" t="n">
        <f aca="false">O377+(7-WEEKDAY(O377))</f>
        <v>43358</v>
      </c>
      <c r="E377" s="1" t="str">
        <f aca="false">VLOOKUP(OFFSET(Table22,376,16,1,1),Key!B:D,2,0)</f>
        <v>France</v>
      </c>
      <c r="F377" s="1" t="str">
        <f aca="false">IF(ISNUMBER(SEARCH("Canvas",U377)),"Link",IF(ISNUMBER(SEARCH("Link",U377)),"Link","Not filled properly"))</f>
        <v>Link</v>
      </c>
      <c r="G377" s="1" t="str">
        <f aca="false">IFERROR(VLOOKUP(OFFSET(Table22,376,21,1,1),OFFSET(Table2,0,1,ROWS(Table2),8),2,0),VLOOKUP(OFFSET(Table22,376,22,1,1),Table2,3,0))</f>
        <v>FRA_gaPMG_AZR_AZR_Q1_19_AzureDirect-Trial-Social</v>
      </c>
      <c r="H377" s="1" t="n">
        <f aca="false">IFERROR(VLOOKUP(OFFSET(Table22,376,21,1,1),OFFSET(Table2,0,1,ROWS(Table2),8),3,0),VLOOKUP(OFFSET(Table22,376,22,1,1),Table2,4,0))</f>
        <v>21356941</v>
      </c>
      <c r="I377" s="2" t="n">
        <f aca="false">IFERROR(VLOOKUP(OFFSET(Table22,376,21,1,1),OFFSET(Table2,0,1,ROWS(Table2),8),4,0),VLOOKUP(OFFSET(Table22,376,22,1,1),Table2,5,0))</f>
        <v>720193</v>
      </c>
      <c r="J377" s="3" t="str">
        <f aca="false">IF(ISNUMBER(SEARCH("FACEBOOK",W377)),"Facebook",IF(ISNUMBER(SEARCH("INSTAGRAM",W377)),"Facebook-Instagram","Look at taxonomy"))</f>
        <v>Facebook</v>
      </c>
      <c r="K377" s="3" t="str">
        <f aca="false">IF(ISNUMBER(SEARCH("Facebook",J377)),"3654128","Not Facebook")</f>
        <v>3654128</v>
      </c>
      <c r="L377" s="3" t="str">
        <f aca="false">IFERROR(VLOOKUP(OFFSET(Table22,376,21,1,1),OFFSET(Table2,0,1,ROWS(Table2),8),7,0),VLOOKUP(OFFSET(Table22,376,22,1,1),Table2,8,0))</f>
        <v>AZR_FreeAcctAppsFACEBOOK200CreditChD_FRA_1200x628_SOC_PLAT_FR_Trial_Standard_NA_SINU_T4_1</v>
      </c>
      <c r="M377" s="2" t="n">
        <f aca="false">IFERROR(VLOOKUP(OFFSET(Table22,376,21,1,1),OFFSET(Table2,0,1,ROWS(Table2),8),8,0),VLOOKUP(OFFSET(Table22,376,22,1,1),Table2,9,0))</f>
        <v>103377773</v>
      </c>
      <c r="N377" s="15" t="s">
        <v>29</v>
      </c>
      <c r="O377" s="16" t="n">
        <v>43352</v>
      </c>
      <c r="P377" s="17" t="s">
        <v>102</v>
      </c>
      <c r="Q377" s="18" t="s">
        <v>103</v>
      </c>
      <c r="R377" s="17" t="s">
        <v>104</v>
      </c>
      <c r="S377" s="18" t="s">
        <v>33</v>
      </c>
      <c r="T377" s="17" t="s">
        <v>34</v>
      </c>
      <c r="U377" s="18" t="s">
        <v>39</v>
      </c>
      <c r="V377" s="19" t="n">
        <v>224560860</v>
      </c>
      <c r="W377" s="17" t="s">
        <v>118</v>
      </c>
      <c r="X377" s="17" t="n">
        <v>0</v>
      </c>
      <c r="Y377" s="17"/>
      <c r="Z377" s="17" t="n">
        <v>0</v>
      </c>
      <c r="AA377" s="17" t="s">
        <v>38</v>
      </c>
      <c r="AB377" s="17"/>
    </row>
    <row r="378" customFormat="false" ht="15" hidden="false" customHeight="false" outlineLevel="0" collapsed="false">
      <c r="A378" s="1" t="str">
        <f aca="false">OFFSET(Table22,377,14,1,1)&amp;OFFSET(Table22,377,21,1,1)</f>
        <v>43352224560860</v>
      </c>
      <c r="B378" s="1" t="str">
        <f aca="false">OFFSET(Table22,377,14,1,1)&amp;OFFSET(Table22,377,22,1,1)</f>
        <v>43352Facebook»Developers/ITPros-Azure Direct-Sponsored Post-Link Ad-FreeAcctAppsFACEBOOK200CreditChD»1x1»SocialBan»LIA»ALL»CPC»BT»X»UNK»SS»NA»Trials_ID</v>
      </c>
      <c r="C378" s="1" t="s">
        <v>28</v>
      </c>
      <c r="D378" s="3" t="n">
        <f aca="false">O378+(7-WEEKDAY(O378))</f>
        <v>43358</v>
      </c>
      <c r="E378" s="1" t="str">
        <f aca="false">VLOOKUP(OFFSET(Table22,377,16,1,1),Key!B:D,2,0)</f>
        <v>France</v>
      </c>
      <c r="F378" s="1" t="str">
        <f aca="false">IF(ISNUMBER(SEARCH("Canvas",U378)),"Link",IF(ISNUMBER(SEARCH("Link",U378)),"Link","Not filled properly"))</f>
        <v>Link</v>
      </c>
      <c r="G378" s="1" t="str">
        <f aca="false">IFERROR(VLOOKUP(OFFSET(Table22,377,21,1,1),OFFSET(Table2,0,1,ROWS(Table2),8),2,0),VLOOKUP(OFFSET(Table22,377,22,1,1),Table2,3,0))</f>
        <v>FRA_gaPMG_AZR_AZR_Q1_19_AzureDirect-Trial-Social</v>
      </c>
      <c r="H378" s="1" t="n">
        <f aca="false">IFERROR(VLOOKUP(OFFSET(Table22,377,21,1,1),OFFSET(Table2,0,1,ROWS(Table2),8),3,0),VLOOKUP(OFFSET(Table22,377,22,1,1),Table2,4,0))</f>
        <v>21356941</v>
      </c>
      <c r="I378" s="2" t="n">
        <f aca="false">IFERROR(VLOOKUP(OFFSET(Table22,377,21,1,1),OFFSET(Table2,0,1,ROWS(Table2),8),4,0),VLOOKUP(OFFSET(Table22,377,22,1,1),Table2,5,0))</f>
        <v>720193</v>
      </c>
      <c r="J378" s="3" t="str">
        <f aca="false">IF(ISNUMBER(SEARCH("FACEBOOK",W378)),"Facebook",IF(ISNUMBER(SEARCH("INSTAGRAM",W378)),"Facebook-Instagram","Look at taxonomy"))</f>
        <v>Facebook</v>
      </c>
      <c r="K378" s="3" t="str">
        <f aca="false">IF(ISNUMBER(SEARCH("Facebook",J378)),"3654128","Not Facebook")</f>
        <v>3654128</v>
      </c>
      <c r="L378" s="3" t="str">
        <f aca="false">IFERROR(VLOOKUP(OFFSET(Table22,377,21,1,1),OFFSET(Table2,0,1,ROWS(Table2),8),7,0),VLOOKUP(OFFSET(Table22,377,22,1,1),Table2,8,0))</f>
        <v>AZR_FreeAcctAppsFACEBOOK200CreditChD_FRA_1200x628_SOC_PLAT_FR_Trial_Standard_NA_SINU_T4_1</v>
      </c>
      <c r="M378" s="2" t="n">
        <f aca="false">IFERROR(VLOOKUP(OFFSET(Table22,377,21,1,1),OFFSET(Table2,0,1,ROWS(Table2),8),8,0),VLOOKUP(OFFSET(Table22,377,22,1,1),Table2,9,0))</f>
        <v>103377773</v>
      </c>
      <c r="N378" s="15" t="s">
        <v>29</v>
      </c>
      <c r="O378" s="16" t="n">
        <v>43352</v>
      </c>
      <c r="P378" s="17" t="s">
        <v>102</v>
      </c>
      <c r="Q378" s="18" t="s">
        <v>103</v>
      </c>
      <c r="R378" s="17" t="s">
        <v>104</v>
      </c>
      <c r="S378" s="18" t="s">
        <v>33</v>
      </c>
      <c r="T378" s="17" t="s">
        <v>34</v>
      </c>
      <c r="U378" s="18" t="s">
        <v>39</v>
      </c>
      <c r="V378" s="19" t="n">
        <v>224560860</v>
      </c>
      <c r="W378" s="17" t="s">
        <v>118</v>
      </c>
      <c r="X378" s="17" t="n">
        <v>0</v>
      </c>
      <c r="Y378" s="17"/>
      <c r="Z378" s="17" t="n">
        <v>0</v>
      </c>
      <c r="AA378" s="17" t="s">
        <v>38</v>
      </c>
      <c r="AB378" s="17"/>
    </row>
    <row r="379" customFormat="false" ht="15" hidden="false" customHeight="false" outlineLevel="0" collapsed="false">
      <c r="A379" s="1" t="str">
        <f aca="false">OFFSET(Table22,378,14,1,1)&amp;OFFSET(Table22,378,21,1,1)</f>
        <v>43358224560857</v>
      </c>
      <c r="B379" s="1" t="str">
        <f aca="false">OFFSET(Table22,378,14,1,1)&amp;OFFSET(Table22,378,22,1,1)</f>
        <v>43358Facebook»Developers/ITPros-Azure Direct-Sponsored Post-Link Ad-FreeAcctAppsFACEBOOKDeviceChB»1x1»SocialBan»LIA»ALL»CPC»BT»X»UNK»SS»NA»Trials_ID</v>
      </c>
      <c r="C379" s="1" t="s">
        <v>28</v>
      </c>
      <c r="D379" s="3" t="n">
        <f aca="false">O379+(7-WEEKDAY(O379))</f>
        <v>43358</v>
      </c>
      <c r="E379" s="1" t="str">
        <f aca="false">VLOOKUP(OFFSET(Table22,378,16,1,1),Key!B:D,2,0)</f>
        <v>France</v>
      </c>
      <c r="F379" s="1" t="str">
        <f aca="false">IF(ISNUMBER(SEARCH("Canvas",U379)),"Link",IF(ISNUMBER(SEARCH("Link",U379)),"Link","Not filled properly"))</f>
        <v>Link</v>
      </c>
      <c r="G379" s="1" t="str">
        <f aca="false">IFERROR(VLOOKUP(OFFSET(Table22,378,21,1,1),OFFSET(Table2,0,1,ROWS(Table2),8),2,0),VLOOKUP(OFFSET(Table22,378,22,1,1),Table2,3,0))</f>
        <v>FRA_gaPMG_AZR_AZR_Q1_19_AzureDirect-Trial-Social</v>
      </c>
      <c r="H379" s="1" t="n">
        <f aca="false">IFERROR(VLOOKUP(OFFSET(Table22,378,21,1,1),OFFSET(Table2,0,1,ROWS(Table2),8),3,0),VLOOKUP(OFFSET(Table22,378,22,1,1),Table2,4,0))</f>
        <v>21356941</v>
      </c>
      <c r="I379" s="2" t="n">
        <f aca="false">IFERROR(VLOOKUP(OFFSET(Table22,378,21,1,1),OFFSET(Table2,0,1,ROWS(Table2),8),4,0),VLOOKUP(OFFSET(Table22,378,22,1,1),Table2,5,0))</f>
        <v>720193</v>
      </c>
      <c r="J379" s="3" t="str">
        <f aca="false">IF(ISNUMBER(SEARCH("FACEBOOK",W379)),"Facebook",IF(ISNUMBER(SEARCH("INSTAGRAM",W379)),"Facebook-Instagram","Look at taxonomy"))</f>
        <v>Facebook</v>
      </c>
      <c r="K379" s="3" t="str">
        <f aca="false">IF(ISNUMBER(SEARCH("Facebook",J379)),"3654128","Not Facebook")</f>
        <v>3654128</v>
      </c>
      <c r="L379" s="3" t="str">
        <f aca="false">IFERROR(VLOOKUP(OFFSET(Table22,378,21,1,1),OFFSET(Table2,0,1,ROWS(Table2),8),7,0),VLOOKUP(OFFSET(Table22,378,22,1,1),Table2,8,0))</f>
        <v>AZR_FreeAcctAppsFACEBOOKDeviceChB_FRA_1200x628_SOC_PLAT_FR_Trial_Standard_NA_SINU_T2_1</v>
      </c>
      <c r="M379" s="2" t="n">
        <f aca="false">IFERROR(VLOOKUP(OFFSET(Table22,378,21,1,1),OFFSET(Table2,0,1,ROWS(Table2),8),8,0),VLOOKUP(OFFSET(Table22,378,22,1,1),Table2,9,0))</f>
        <v>103377002</v>
      </c>
      <c r="N379" s="15" t="s">
        <v>29</v>
      </c>
      <c r="O379" s="16" t="n">
        <v>43358</v>
      </c>
      <c r="P379" s="17" t="s">
        <v>102</v>
      </c>
      <c r="Q379" s="18" t="s">
        <v>103</v>
      </c>
      <c r="R379" s="17" t="s">
        <v>104</v>
      </c>
      <c r="S379" s="18" t="s">
        <v>33</v>
      </c>
      <c r="T379" s="17" t="s">
        <v>34</v>
      </c>
      <c r="U379" s="18" t="s">
        <v>39</v>
      </c>
      <c r="V379" s="19" t="n">
        <v>224560857</v>
      </c>
      <c r="W379" s="17" t="s">
        <v>119</v>
      </c>
      <c r="X379" s="17" t="n">
        <v>0</v>
      </c>
      <c r="Y379" s="17"/>
      <c r="Z379" s="17" t="n">
        <v>0</v>
      </c>
      <c r="AA379" s="17" t="s">
        <v>38</v>
      </c>
      <c r="AB379" s="17"/>
    </row>
    <row r="380" customFormat="false" ht="15" hidden="false" customHeight="false" outlineLevel="0" collapsed="false">
      <c r="A380" s="1" t="str">
        <f aca="false">OFFSET(Table22,379,14,1,1)&amp;OFFSET(Table22,379,21,1,1)</f>
        <v>43358224560857</v>
      </c>
      <c r="B380" s="1" t="str">
        <f aca="false">OFFSET(Table22,379,14,1,1)&amp;OFFSET(Table22,379,22,1,1)</f>
        <v>43358Facebook»Developers/ITPros-Azure Direct-Sponsored Post-Link Ad-FreeAcctAppsFACEBOOKDeviceChB»1x1»SocialBan»LIA»ALL»CPC»BT»X»UNK»SS»NA»Trials_ID</v>
      </c>
      <c r="C380" s="1" t="s">
        <v>28</v>
      </c>
      <c r="D380" s="3" t="n">
        <f aca="false">O380+(7-WEEKDAY(O380))</f>
        <v>43358</v>
      </c>
      <c r="E380" s="1" t="str">
        <f aca="false">VLOOKUP(OFFSET(Table22,379,16,1,1),Key!B:D,2,0)</f>
        <v>France</v>
      </c>
      <c r="F380" s="1" t="str">
        <f aca="false">IF(ISNUMBER(SEARCH("Canvas",U380)),"Link",IF(ISNUMBER(SEARCH("Link",U380)),"Link","Not filled properly"))</f>
        <v>Link</v>
      </c>
      <c r="G380" s="1" t="str">
        <f aca="false">IFERROR(VLOOKUP(OFFSET(Table22,379,21,1,1),OFFSET(Table2,0,1,ROWS(Table2),8),2,0),VLOOKUP(OFFSET(Table22,379,22,1,1),Table2,3,0))</f>
        <v>FRA_gaPMG_AZR_AZR_Q1_19_AzureDirect-Trial-Social</v>
      </c>
      <c r="H380" s="1" t="n">
        <f aca="false">IFERROR(VLOOKUP(OFFSET(Table22,379,21,1,1),OFFSET(Table2,0,1,ROWS(Table2),8),3,0),VLOOKUP(OFFSET(Table22,379,22,1,1),Table2,4,0))</f>
        <v>21356941</v>
      </c>
      <c r="I380" s="2" t="n">
        <f aca="false">IFERROR(VLOOKUP(OFFSET(Table22,379,21,1,1),OFFSET(Table2,0,1,ROWS(Table2),8),4,0),VLOOKUP(OFFSET(Table22,379,22,1,1),Table2,5,0))</f>
        <v>720193</v>
      </c>
      <c r="J380" s="3" t="str">
        <f aca="false">IF(ISNUMBER(SEARCH("FACEBOOK",W380)),"Facebook",IF(ISNUMBER(SEARCH("INSTAGRAM",W380)),"Facebook-Instagram","Look at taxonomy"))</f>
        <v>Facebook</v>
      </c>
      <c r="K380" s="3" t="str">
        <f aca="false">IF(ISNUMBER(SEARCH("Facebook",J380)),"3654128","Not Facebook")</f>
        <v>3654128</v>
      </c>
      <c r="L380" s="3" t="str">
        <f aca="false">IFERROR(VLOOKUP(OFFSET(Table22,379,21,1,1),OFFSET(Table2,0,1,ROWS(Table2),8),7,0),VLOOKUP(OFFSET(Table22,379,22,1,1),Table2,8,0))</f>
        <v>AZR_FreeAcctAppsFACEBOOKDeviceChB_FRA_1200x628_SOC_PLAT_FR_Trial_Standard_NA_SINU_T2_1</v>
      </c>
      <c r="M380" s="2" t="n">
        <f aca="false">IFERROR(VLOOKUP(OFFSET(Table22,379,21,1,1),OFFSET(Table2,0,1,ROWS(Table2),8),8,0),VLOOKUP(OFFSET(Table22,379,22,1,1),Table2,9,0))</f>
        <v>103377002</v>
      </c>
      <c r="N380" s="15" t="s">
        <v>29</v>
      </c>
      <c r="O380" s="16" t="n">
        <v>43358</v>
      </c>
      <c r="P380" s="17" t="s">
        <v>102</v>
      </c>
      <c r="Q380" s="18" t="s">
        <v>103</v>
      </c>
      <c r="R380" s="17" t="s">
        <v>104</v>
      </c>
      <c r="S380" s="18" t="s">
        <v>33</v>
      </c>
      <c r="T380" s="17" t="s">
        <v>34</v>
      </c>
      <c r="U380" s="18" t="s">
        <v>39</v>
      </c>
      <c r="V380" s="19" t="n">
        <v>224560857</v>
      </c>
      <c r="W380" s="17" t="s">
        <v>119</v>
      </c>
      <c r="X380" s="17" t="n">
        <v>0</v>
      </c>
      <c r="Y380" s="17"/>
      <c r="Z380" s="17" t="n">
        <v>0</v>
      </c>
      <c r="AA380" s="17" t="s">
        <v>38</v>
      </c>
      <c r="AB380" s="17"/>
    </row>
    <row r="381" customFormat="false" ht="15" hidden="false" customHeight="false" outlineLevel="0" collapsed="false">
      <c r="A381" s="1" t="str">
        <f aca="false">OFFSET(Table22,380,14,1,1)&amp;OFFSET(Table22,380,21,1,1)</f>
        <v>43357224560857</v>
      </c>
      <c r="B381" s="1" t="str">
        <f aca="false">OFFSET(Table22,380,14,1,1)&amp;OFFSET(Table22,380,22,1,1)</f>
        <v>43357Facebook»Developers/ITPros-Azure Direct-Sponsored Post-Link Ad-FreeAcctAppsFACEBOOKDeviceChB»1x1»SocialBan»LIA»ALL»CPC»BT»X»UNK»SS»NA»Trials_ID</v>
      </c>
      <c r="C381" s="1" t="s">
        <v>28</v>
      </c>
      <c r="D381" s="3" t="n">
        <f aca="false">O381+(7-WEEKDAY(O381))</f>
        <v>43358</v>
      </c>
      <c r="E381" s="1" t="str">
        <f aca="false">VLOOKUP(OFFSET(Table22,380,16,1,1),Key!B:D,2,0)</f>
        <v>France</v>
      </c>
      <c r="F381" s="1" t="str">
        <f aca="false">IF(ISNUMBER(SEARCH("Canvas",U381)),"Link",IF(ISNUMBER(SEARCH("Link",U381)),"Link","Not filled properly"))</f>
        <v>Link</v>
      </c>
      <c r="G381" s="1" t="str">
        <f aca="false">IFERROR(VLOOKUP(OFFSET(Table22,380,21,1,1),OFFSET(Table2,0,1,ROWS(Table2),8),2,0),VLOOKUP(OFFSET(Table22,380,22,1,1),Table2,3,0))</f>
        <v>FRA_gaPMG_AZR_AZR_Q1_19_AzureDirect-Trial-Social</v>
      </c>
      <c r="H381" s="1" t="n">
        <f aca="false">IFERROR(VLOOKUP(OFFSET(Table22,380,21,1,1),OFFSET(Table2,0,1,ROWS(Table2),8),3,0),VLOOKUP(OFFSET(Table22,380,22,1,1),Table2,4,0))</f>
        <v>21356941</v>
      </c>
      <c r="I381" s="2" t="n">
        <f aca="false">IFERROR(VLOOKUP(OFFSET(Table22,380,21,1,1),OFFSET(Table2,0,1,ROWS(Table2),8),4,0),VLOOKUP(OFFSET(Table22,380,22,1,1),Table2,5,0))</f>
        <v>720193</v>
      </c>
      <c r="J381" s="3" t="str">
        <f aca="false">IF(ISNUMBER(SEARCH("FACEBOOK",W381)),"Facebook",IF(ISNUMBER(SEARCH("INSTAGRAM",W381)),"Facebook-Instagram","Look at taxonomy"))</f>
        <v>Facebook</v>
      </c>
      <c r="K381" s="3" t="str">
        <f aca="false">IF(ISNUMBER(SEARCH("Facebook",J381)),"3654128","Not Facebook")</f>
        <v>3654128</v>
      </c>
      <c r="L381" s="3" t="str">
        <f aca="false">IFERROR(VLOOKUP(OFFSET(Table22,380,21,1,1),OFFSET(Table2,0,1,ROWS(Table2),8),7,0),VLOOKUP(OFFSET(Table22,380,22,1,1),Table2,8,0))</f>
        <v>AZR_FreeAcctAppsFACEBOOKDeviceChB_FRA_1200x628_SOC_PLAT_FR_Trial_Standard_NA_SINU_T2_1</v>
      </c>
      <c r="M381" s="2" t="n">
        <f aca="false">IFERROR(VLOOKUP(OFFSET(Table22,380,21,1,1),OFFSET(Table2,0,1,ROWS(Table2),8),8,0),VLOOKUP(OFFSET(Table22,380,22,1,1),Table2,9,0))</f>
        <v>103377002</v>
      </c>
      <c r="N381" s="15" t="s">
        <v>29</v>
      </c>
      <c r="O381" s="16" t="n">
        <v>43357</v>
      </c>
      <c r="P381" s="17" t="s">
        <v>102</v>
      </c>
      <c r="Q381" s="18" t="s">
        <v>103</v>
      </c>
      <c r="R381" s="17" t="s">
        <v>104</v>
      </c>
      <c r="S381" s="18" t="s">
        <v>33</v>
      </c>
      <c r="T381" s="17" t="s">
        <v>34</v>
      </c>
      <c r="U381" s="18" t="s">
        <v>39</v>
      </c>
      <c r="V381" s="19" t="n">
        <v>224560857</v>
      </c>
      <c r="W381" s="17" t="s">
        <v>119</v>
      </c>
      <c r="X381" s="17" t="n">
        <v>0</v>
      </c>
      <c r="Y381" s="17"/>
      <c r="Z381" s="17" t="n">
        <v>0</v>
      </c>
      <c r="AA381" s="17" t="s">
        <v>38</v>
      </c>
      <c r="AB381" s="17"/>
    </row>
    <row r="382" customFormat="false" ht="15" hidden="false" customHeight="false" outlineLevel="0" collapsed="false">
      <c r="A382" s="1" t="str">
        <f aca="false">OFFSET(Table22,381,14,1,1)&amp;OFFSET(Table22,381,21,1,1)</f>
        <v>43357224560857</v>
      </c>
      <c r="B382" s="1" t="str">
        <f aca="false">OFFSET(Table22,381,14,1,1)&amp;OFFSET(Table22,381,22,1,1)</f>
        <v>43357Facebook»Developers/ITPros-Azure Direct-Sponsored Post-Link Ad-FreeAcctAppsFACEBOOKDeviceChB»1x1»SocialBan»LIA»ALL»CPC»BT»X»UNK»SS»NA»Trials_ID</v>
      </c>
      <c r="C382" s="1" t="s">
        <v>28</v>
      </c>
      <c r="D382" s="3" t="n">
        <f aca="false">O382+(7-WEEKDAY(O382))</f>
        <v>43358</v>
      </c>
      <c r="E382" s="1" t="str">
        <f aca="false">VLOOKUP(OFFSET(Table22,381,16,1,1),Key!B:D,2,0)</f>
        <v>France</v>
      </c>
      <c r="F382" s="1" t="str">
        <f aca="false">IF(ISNUMBER(SEARCH("Canvas",U382)),"Link",IF(ISNUMBER(SEARCH("Link",U382)),"Link","Not filled properly"))</f>
        <v>Link</v>
      </c>
      <c r="G382" s="1" t="str">
        <f aca="false">IFERROR(VLOOKUP(OFFSET(Table22,381,21,1,1),OFFSET(Table2,0,1,ROWS(Table2),8),2,0),VLOOKUP(OFFSET(Table22,381,22,1,1),Table2,3,0))</f>
        <v>FRA_gaPMG_AZR_AZR_Q1_19_AzureDirect-Trial-Social</v>
      </c>
      <c r="H382" s="1" t="n">
        <f aca="false">IFERROR(VLOOKUP(OFFSET(Table22,381,21,1,1),OFFSET(Table2,0,1,ROWS(Table2),8),3,0),VLOOKUP(OFFSET(Table22,381,22,1,1),Table2,4,0))</f>
        <v>21356941</v>
      </c>
      <c r="I382" s="2" t="n">
        <f aca="false">IFERROR(VLOOKUP(OFFSET(Table22,381,21,1,1),OFFSET(Table2,0,1,ROWS(Table2),8),4,0),VLOOKUP(OFFSET(Table22,381,22,1,1),Table2,5,0))</f>
        <v>720193</v>
      </c>
      <c r="J382" s="3" t="str">
        <f aca="false">IF(ISNUMBER(SEARCH("FACEBOOK",W382)),"Facebook",IF(ISNUMBER(SEARCH("INSTAGRAM",W382)),"Facebook-Instagram","Look at taxonomy"))</f>
        <v>Facebook</v>
      </c>
      <c r="K382" s="3" t="str">
        <f aca="false">IF(ISNUMBER(SEARCH("Facebook",J382)),"3654128","Not Facebook")</f>
        <v>3654128</v>
      </c>
      <c r="L382" s="3" t="str">
        <f aca="false">IFERROR(VLOOKUP(OFFSET(Table22,381,21,1,1),OFFSET(Table2,0,1,ROWS(Table2),8),7,0),VLOOKUP(OFFSET(Table22,381,22,1,1),Table2,8,0))</f>
        <v>AZR_FreeAcctAppsFACEBOOKDeviceChB_FRA_1200x628_SOC_PLAT_FR_Trial_Standard_NA_SINU_T2_1</v>
      </c>
      <c r="M382" s="2" t="n">
        <f aca="false">IFERROR(VLOOKUP(OFFSET(Table22,381,21,1,1),OFFSET(Table2,0,1,ROWS(Table2),8),8,0),VLOOKUP(OFFSET(Table22,381,22,1,1),Table2,9,0))</f>
        <v>103377002</v>
      </c>
      <c r="N382" s="15" t="s">
        <v>29</v>
      </c>
      <c r="O382" s="16" t="n">
        <v>43357</v>
      </c>
      <c r="P382" s="17" t="s">
        <v>102</v>
      </c>
      <c r="Q382" s="18" t="s">
        <v>103</v>
      </c>
      <c r="R382" s="17" t="s">
        <v>104</v>
      </c>
      <c r="S382" s="18" t="s">
        <v>33</v>
      </c>
      <c r="T382" s="17" t="s">
        <v>34</v>
      </c>
      <c r="U382" s="18" t="s">
        <v>39</v>
      </c>
      <c r="V382" s="19" t="n">
        <v>224560857</v>
      </c>
      <c r="W382" s="17" t="s">
        <v>119</v>
      </c>
      <c r="X382" s="17" t="n">
        <v>0</v>
      </c>
      <c r="Y382" s="17"/>
      <c r="Z382" s="17" t="n">
        <v>0</v>
      </c>
      <c r="AA382" s="17" t="s">
        <v>38</v>
      </c>
      <c r="AB382" s="17"/>
    </row>
    <row r="383" customFormat="false" ht="15" hidden="false" customHeight="false" outlineLevel="0" collapsed="false">
      <c r="A383" s="1" t="str">
        <f aca="false">OFFSET(Table22,382,14,1,1)&amp;OFFSET(Table22,382,21,1,1)</f>
        <v>43356224560857</v>
      </c>
      <c r="B383" s="1" t="str">
        <f aca="false">OFFSET(Table22,382,14,1,1)&amp;OFFSET(Table22,382,22,1,1)</f>
        <v>43356Facebook»Developers/ITPros-Azure Direct-Sponsored Post-Link Ad-FreeAcctAppsFACEBOOKDeviceChB»1x1»SocialBan»LIA»ALL»CPC»BT»X»UNK»SS»NA»Trials_ID</v>
      </c>
      <c r="C383" s="1" t="s">
        <v>28</v>
      </c>
      <c r="D383" s="3" t="n">
        <f aca="false">O383+(7-WEEKDAY(O383))</f>
        <v>43358</v>
      </c>
      <c r="E383" s="1" t="str">
        <f aca="false">VLOOKUP(OFFSET(Table22,382,16,1,1),Key!B:D,2,0)</f>
        <v>France</v>
      </c>
      <c r="F383" s="1" t="str">
        <f aca="false">IF(ISNUMBER(SEARCH("Canvas",U383)),"Link",IF(ISNUMBER(SEARCH("Link",U383)),"Link","Not filled properly"))</f>
        <v>Link</v>
      </c>
      <c r="G383" s="1" t="str">
        <f aca="false">IFERROR(VLOOKUP(OFFSET(Table22,382,21,1,1),OFFSET(Table2,0,1,ROWS(Table2),8),2,0),VLOOKUP(OFFSET(Table22,382,22,1,1),Table2,3,0))</f>
        <v>FRA_gaPMG_AZR_AZR_Q1_19_AzureDirect-Trial-Social</v>
      </c>
      <c r="H383" s="1" t="n">
        <f aca="false">IFERROR(VLOOKUP(OFFSET(Table22,382,21,1,1),OFFSET(Table2,0,1,ROWS(Table2),8),3,0),VLOOKUP(OFFSET(Table22,382,22,1,1),Table2,4,0))</f>
        <v>21356941</v>
      </c>
      <c r="I383" s="2" t="n">
        <f aca="false">IFERROR(VLOOKUP(OFFSET(Table22,382,21,1,1),OFFSET(Table2,0,1,ROWS(Table2),8),4,0),VLOOKUP(OFFSET(Table22,382,22,1,1),Table2,5,0))</f>
        <v>720193</v>
      </c>
      <c r="J383" s="3" t="str">
        <f aca="false">IF(ISNUMBER(SEARCH("FACEBOOK",W383)),"Facebook",IF(ISNUMBER(SEARCH("INSTAGRAM",W383)),"Facebook-Instagram","Look at taxonomy"))</f>
        <v>Facebook</v>
      </c>
      <c r="K383" s="3" t="str">
        <f aca="false">IF(ISNUMBER(SEARCH("Facebook",J383)),"3654128","Not Facebook")</f>
        <v>3654128</v>
      </c>
      <c r="L383" s="3" t="str">
        <f aca="false">IFERROR(VLOOKUP(OFFSET(Table22,382,21,1,1),OFFSET(Table2,0,1,ROWS(Table2),8),7,0),VLOOKUP(OFFSET(Table22,382,22,1,1),Table2,8,0))</f>
        <v>AZR_FreeAcctAppsFACEBOOKDeviceChB_FRA_1200x628_SOC_PLAT_FR_Trial_Standard_NA_SINU_T2_1</v>
      </c>
      <c r="M383" s="2" t="n">
        <f aca="false">IFERROR(VLOOKUP(OFFSET(Table22,382,21,1,1),OFFSET(Table2,0,1,ROWS(Table2),8),8,0),VLOOKUP(OFFSET(Table22,382,22,1,1),Table2,9,0))</f>
        <v>103377002</v>
      </c>
      <c r="N383" s="15" t="s">
        <v>29</v>
      </c>
      <c r="O383" s="16" t="n">
        <v>43356</v>
      </c>
      <c r="P383" s="17" t="s">
        <v>102</v>
      </c>
      <c r="Q383" s="18" t="s">
        <v>103</v>
      </c>
      <c r="R383" s="17" t="s">
        <v>104</v>
      </c>
      <c r="S383" s="18" t="s">
        <v>33</v>
      </c>
      <c r="T383" s="17" t="s">
        <v>34</v>
      </c>
      <c r="U383" s="18" t="s">
        <v>39</v>
      </c>
      <c r="V383" s="19" t="n">
        <v>224560857</v>
      </c>
      <c r="W383" s="17" t="s">
        <v>119</v>
      </c>
      <c r="X383" s="17" t="n">
        <v>0</v>
      </c>
      <c r="Y383" s="17"/>
      <c r="Z383" s="17" t="n">
        <v>0</v>
      </c>
      <c r="AA383" s="17" t="s">
        <v>38</v>
      </c>
      <c r="AB383" s="17"/>
    </row>
    <row r="384" customFormat="false" ht="15" hidden="false" customHeight="false" outlineLevel="0" collapsed="false">
      <c r="A384" s="1" t="str">
        <f aca="false">OFFSET(Table22,383,14,1,1)&amp;OFFSET(Table22,383,21,1,1)</f>
        <v>43356224560857</v>
      </c>
      <c r="B384" s="1" t="str">
        <f aca="false">OFFSET(Table22,383,14,1,1)&amp;OFFSET(Table22,383,22,1,1)</f>
        <v>43356Facebook»Developers/ITPros-Azure Direct-Sponsored Post-Link Ad-FreeAcctAppsFACEBOOKDeviceChB»1x1»SocialBan»LIA»ALL»CPC»BT»X»UNK»SS»NA»Trials_ID</v>
      </c>
      <c r="C384" s="1" t="s">
        <v>28</v>
      </c>
      <c r="D384" s="3" t="n">
        <f aca="false">O384+(7-WEEKDAY(O384))</f>
        <v>43358</v>
      </c>
      <c r="E384" s="1" t="str">
        <f aca="false">VLOOKUP(OFFSET(Table22,383,16,1,1),Key!B:D,2,0)</f>
        <v>France</v>
      </c>
      <c r="F384" s="1" t="str">
        <f aca="false">IF(ISNUMBER(SEARCH("Canvas",U384)),"Link",IF(ISNUMBER(SEARCH("Link",U384)),"Link","Not filled properly"))</f>
        <v>Link</v>
      </c>
      <c r="G384" s="1" t="str">
        <f aca="false">IFERROR(VLOOKUP(OFFSET(Table22,383,21,1,1),OFFSET(Table2,0,1,ROWS(Table2),8),2,0),VLOOKUP(OFFSET(Table22,383,22,1,1),Table2,3,0))</f>
        <v>FRA_gaPMG_AZR_AZR_Q1_19_AzureDirect-Trial-Social</v>
      </c>
      <c r="H384" s="1" t="n">
        <f aca="false">IFERROR(VLOOKUP(OFFSET(Table22,383,21,1,1),OFFSET(Table2,0,1,ROWS(Table2),8),3,0),VLOOKUP(OFFSET(Table22,383,22,1,1),Table2,4,0))</f>
        <v>21356941</v>
      </c>
      <c r="I384" s="2" t="n">
        <f aca="false">IFERROR(VLOOKUP(OFFSET(Table22,383,21,1,1),OFFSET(Table2,0,1,ROWS(Table2),8),4,0),VLOOKUP(OFFSET(Table22,383,22,1,1),Table2,5,0))</f>
        <v>720193</v>
      </c>
      <c r="J384" s="3" t="str">
        <f aca="false">IF(ISNUMBER(SEARCH("FACEBOOK",W384)),"Facebook",IF(ISNUMBER(SEARCH("INSTAGRAM",W384)),"Facebook-Instagram","Look at taxonomy"))</f>
        <v>Facebook</v>
      </c>
      <c r="K384" s="3" t="str">
        <f aca="false">IF(ISNUMBER(SEARCH("Facebook",J384)),"3654128","Not Facebook")</f>
        <v>3654128</v>
      </c>
      <c r="L384" s="3" t="str">
        <f aca="false">IFERROR(VLOOKUP(OFFSET(Table22,383,21,1,1),OFFSET(Table2,0,1,ROWS(Table2),8),7,0),VLOOKUP(OFFSET(Table22,383,22,1,1),Table2,8,0))</f>
        <v>AZR_FreeAcctAppsFACEBOOKDeviceChB_FRA_1200x628_SOC_PLAT_FR_Trial_Standard_NA_SINU_T2_1</v>
      </c>
      <c r="M384" s="2" t="n">
        <f aca="false">IFERROR(VLOOKUP(OFFSET(Table22,383,21,1,1),OFFSET(Table2,0,1,ROWS(Table2),8),8,0),VLOOKUP(OFFSET(Table22,383,22,1,1),Table2,9,0))</f>
        <v>103377002</v>
      </c>
      <c r="N384" s="15" t="s">
        <v>29</v>
      </c>
      <c r="O384" s="16" t="n">
        <v>43356</v>
      </c>
      <c r="P384" s="17" t="s">
        <v>102</v>
      </c>
      <c r="Q384" s="18" t="s">
        <v>103</v>
      </c>
      <c r="R384" s="17" t="s">
        <v>104</v>
      </c>
      <c r="S384" s="18" t="s">
        <v>33</v>
      </c>
      <c r="T384" s="17" t="s">
        <v>34</v>
      </c>
      <c r="U384" s="18" t="s">
        <v>39</v>
      </c>
      <c r="V384" s="19" t="n">
        <v>224560857</v>
      </c>
      <c r="W384" s="17" t="s">
        <v>119</v>
      </c>
      <c r="X384" s="17" t="n">
        <v>0</v>
      </c>
      <c r="Y384" s="17"/>
      <c r="Z384" s="17" t="n">
        <v>0</v>
      </c>
      <c r="AA384" s="17" t="s">
        <v>38</v>
      </c>
      <c r="AB384" s="17"/>
    </row>
    <row r="385" customFormat="false" ht="15" hidden="false" customHeight="false" outlineLevel="0" collapsed="false">
      <c r="A385" s="1" t="str">
        <f aca="false">OFFSET(Table22,384,14,1,1)&amp;OFFSET(Table22,384,21,1,1)</f>
        <v>43355224560857</v>
      </c>
      <c r="B385" s="1" t="str">
        <f aca="false">OFFSET(Table22,384,14,1,1)&amp;OFFSET(Table22,384,22,1,1)</f>
        <v>43355Facebook»Developers/ITPros-Azure Direct-Sponsored Post-Link Ad-FreeAcctAppsFACEBOOKDeviceChB»1x1»SocialBan»LIA»ALL»CPC»BT»X»UNK»SS»NA»Trials_ID</v>
      </c>
      <c r="C385" s="1" t="s">
        <v>28</v>
      </c>
      <c r="D385" s="3" t="n">
        <f aca="false">O385+(7-WEEKDAY(O385))</f>
        <v>43358</v>
      </c>
      <c r="E385" s="1" t="str">
        <f aca="false">VLOOKUP(OFFSET(Table22,384,16,1,1),Key!B:D,2,0)</f>
        <v>France</v>
      </c>
      <c r="F385" s="1" t="str">
        <f aca="false">IF(ISNUMBER(SEARCH("Canvas",U385)),"Link",IF(ISNUMBER(SEARCH("Link",U385)),"Link","Not filled properly"))</f>
        <v>Link</v>
      </c>
      <c r="G385" s="1" t="str">
        <f aca="false">IFERROR(VLOOKUP(OFFSET(Table22,384,21,1,1),OFFSET(Table2,0,1,ROWS(Table2),8),2,0),VLOOKUP(OFFSET(Table22,384,22,1,1),Table2,3,0))</f>
        <v>FRA_gaPMG_AZR_AZR_Q1_19_AzureDirect-Trial-Social</v>
      </c>
      <c r="H385" s="1" t="n">
        <f aca="false">IFERROR(VLOOKUP(OFFSET(Table22,384,21,1,1),OFFSET(Table2,0,1,ROWS(Table2),8),3,0),VLOOKUP(OFFSET(Table22,384,22,1,1),Table2,4,0))</f>
        <v>21356941</v>
      </c>
      <c r="I385" s="2" t="n">
        <f aca="false">IFERROR(VLOOKUP(OFFSET(Table22,384,21,1,1),OFFSET(Table2,0,1,ROWS(Table2),8),4,0),VLOOKUP(OFFSET(Table22,384,22,1,1),Table2,5,0))</f>
        <v>720193</v>
      </c>
      <c r="J385" s="3" t="str">
        <f aca="false">IF(ISNUMBER(SEARCH("FACEBOOK",W385)),"Facebook",IF(ISNUMBER(SEARCH("INSTAGRAM",W385)),"Facebook-Instagram","Look at taxonomy"))</f>
        <v>Facebook</v>
      </c>
      <c r="K385" s="3" t="str">
        <f aca="false">IF(ISNUMBER(SEARCH("Facebook",J385)),"3654128","Not Facebook")</f>
        <v>3654128</v>
      </c>
      <c r="L385" s="3" t="str">
        <f aca="false">IFERROR(VLOOKUP(OFFSET(Table22,384,21,1,1),OFFSET(Table2,0,1,ROWS(Table2),8),7,0),VLOOKUP(OFFSET(Table22,384,22,1,1),Table2,8,0))</f>
        <v>AZR_FreeAcctAppsFACEBOOKDeviceChB_FRA_1200x628_SOC_PLAT_FR_Trial_Standard_NA_SINU_T2_1</v>
      </c>
      <c r="M385" s="2" t="n">
        <f aca="false">IFERROR(VLOOKUP(OFFSET(Table22,384,21,1,1),OFFSET(Table2,0,1,ROWS(Table2),8),8,0),VLOOKUP(OFFSET(Table22,384,22,1,1),Table2,9,0))</f>
        <v>103377002</v>
      </c>
      <c r="N385" s="15" t="s">
        <v>29</v>
      </c>
      <c r="O385" s="16" t="n">
        <v>43355</v>
      </c>
      <c r="P385" s="17" t="s">
        <v>102</v>
      </c>
      <c r="Q385" s="18" t="s">
        <v>103</v>
      </c>
      <c r="R385" s="17" t="s">
        <v>104</v>
      </c>
      <c r="S385" s="18" t="s">
        <v>33</v>
      </c>
      <c r="T385" s="17" t="s">
        <v>34</v>
      </c>
      <c r="U385" s="18" t="s">
        <v>39</v>
      </c>
      <c r="V385" s="19" t="n">
        <v>224560857</v>
      </c>
      <c r="W385" s="17" t="s">
        <v>119</v>
      </c>
      <c r="X385" s="17" t="n">
        <v>0</v>
      </c>
      <c r="Y385" s="17"/>
      <c r="Z385" s="17" t="n">
        <v>0</v>
      </c>
      <c r="AA385" s="17" t="s">
        <v>38</v>
      </c>
      <c r="AB385" s="17"/>
    </row>
    <row r="386" customFormat="false" ht="15" hidden="false" customHeight="false" outlineLevel="0" collapsed="false">
      <c r="A386" s="1" t="str">
        <f aca="false">OFFSET(Table22,385,14,1,1)&amp;OFFSET(Table22,385,21,1,1)</f>
        <v>43355224560857</v>
      </c>
      <c r="B386" s="1" t="str">
        <f aca="false">OFFSET(Table22,385,14,1,1)&amp;OFFSET(Table22,385,22,1,1)</f>
        <v>43355Facebook»Developers/ITPros-Azure Direct-Sponsored Post-Link Ad-FreeAcctAppsFACEBOOKDeviceChB»1x1»SocialBan»LIA»ALL»CPC»BT»X»UNK»SS»NA»Trials_ID</v>
      </c>
      <c r="C386" s="1" t="s">
        <v>28</v>
      </c>
      <c r="D386" s="3" t="n">
        <f aca="false">O386+(7-WEEKDAY(O386))</f>
        <v>43358</v>
      </c>
      <c r="E386" s="1" t="str">
        <f aca="false">VLOOKUP(OFFSET(Table22,385,16,1,1),Key!B:D,2,0)</f>
        <v>France</v>
      </c>
      <c r="F386" s="1" t="str">
        <f aca="false">IF(ISNUMBER(SEARCH("Canvas",U386)),"Link",IF(ISNUMBER(SEARCH("Link",U386)),"Link","Not filled properly"))</f>
        <v>Link</v>
      </c>
      <c r="G386" s="1" t="str">
        <f aca="false">IFERROR(VLOOKUP(OFFSET(Table22,385,21,1,1),OFFSET(Table2,0,1,ROWS(Table2),8),2,0),VLOOKUP(OFFSET(Table22,385,22,1,1),Table2,3,0))</f>
        <v>FRA_gaPMG_AZR_AZR_Q1_19_AzureDirect-Trial-Social</v>
      </c>
      <c r="H386" s="1" t="n">
        <f aca="false">IFERROR(VLOOKUP(OFFSET(Table22,385,21,1,1),OFFSET(Table2,0,1,ROWS(Table2),8),3,0),VLOOKUP(OFFSET(Table22,385,22,1,1),Table2,4,0))</f>
        <v>21356941</v>
      </c>
      <c r="I386" s="2" t="n">
        <f aca="false">IFERROR(VLOOKUP(OFFSET(Table22,385,21,1,1),OFFSET(Table2,0,1,ROWS(Table2),8),4,0),VLOOKUP(OFFSET(Table22,385,22,1,1),Table2,5,0))</f>
        <v>720193</v>
      </c>
      <c r="J386" s="3" t="str">
        <f aca="false">IF(ISNUMBER(SEARCH("FACEBOOK",W386)),"Facebook",IF(ISNUMBER(SEARCH("INSTAGRAM",W386)),"Facebook-Instagram","Look at taxonomy"))</f>
        <v>Facebook</v>
      </c>
      <c r="K386" s="3" t="str">
        <f aca="false">IF(ISNUMBER(SEARCH("Facebook",J386)),"3654128","Not Facebook")</f>
        <v>3654128</v>
      </c>
      <c r="L386" s="3" t="str">
        <f aca="false">IFERROR(VLOOKUP(OFFSET(Table22,385,21,1,1),OFFSET(Table2,0,1,ROWS(Table2),8),7,0),VLOOKUP(OFFSET(Table22,385,22,1,1),Table2,8,0))</f>
        <v>AZR_FreeAcctAppsFACEBOOKDeviceChB_FRA_1200x628_SOC_PLAT_FR_Trial_Standard_NA_SINU_T2_1</v>
      </c>
      <c r="M386" s="2" t="n">
        <f aca="false">IFERROR(VLOOKUP(OFFSET(Table22,385,21,1,1),OFFSET(Table2,0,1,ROWS(Table2),8),8,0),VLOOKUP(OFFSET(Table22,385,22,1,1),Table2,9,0))</f>
        <v>103377002</v>
      </c>
      <c r="N386" s="15" t="s">
        <v>29</v>
      </c>
      <c r="O386" s="16" t="n">
        <v>43355</v>
      </c>
      <c r="P386" s="17" t="s">
        <v>102</v>
      </c>
      <c r="Q386" s="18" t="s">
        <v>103</v>
      </c>
      <c r="R386" s="17" t="s">
        <v>104</v>
      </c>
      <c r="S386" s="18" t="s">
        <v>33</v>
      </c>
      <c r="T386" s="17" t="s">
        <v>34</v>
      </c>
      <c r="U386" s="18" t="s">
        <v>39</v>
      </c>
      <c r="V386" s="19" t="n">
        <v>224560857</v>
      </c>
      <c r="W386" s="17" t="s">
        <v>119</v>
      </c>
      <c r="X386" s="17" t="n">
        <v>0</v>
      </c>
      <c r="Y386" s="17"/>
      <c r="Z386" s="17" t="n">
        <v>0</v>
      </c>
      <c r="AA386" s="17" t="s">
        <v>38</v>
      </c>
      <c r="AB386" s="17"/>
    </row>
    <row r="387" customFormat="false" ht="15" hidden="false" customHeight="false" outlineLevel="0" collapsed="false">
      <c r="A387" s="1" t="str">
        <f aca="false">OFFSET(Table22,386,14,1,1)&amp;OFFSET(Table22,386,21,1,1)</f>
        <v>43354224560857</v>
      </c>
      <c r="B387" s="1" t="str">
        <f aca="false">OFFSET(Table22,386,14,1,1)&amp;OFFSET(Table22,386,22,1,1)</f>
        <v>43354Facebook»Developers/ITPros-Azure Direct-Sponsored Post-Link Ad-FreeAcctAppsFACEBOOKDeviceChB»1x1»SocialBan»LIA»ALL»CPC»BT»X»UNK»SS»NA»Trials_ID</v>
      </c>
      <c r="C387" s="1" t="s">
        <v>28</v>
      </c>
      <c r="D387" s="3" t="n">
        <f aca="false">O387+(7-WEEKDAY(O387))</f>
        <v>43358</v>
      </c>
      <c r="E387" s="1" t="str">
        <f aca="false">VLOOKUP(OFFSET(Table22,386,16,1,1),Key!B:D,2,0)</f>
        <v>France</v>
      </c>
      <c r="F387" s="1" t="str">
        <f aca="false">IF(ISNUMBER(SEARCH("Canvas",U387)),"Link",IF(ISNUMBER(SEARCH("Link",U387)),"Link","Not filled properly"))</f>
        <v>Link</v>
      </c>
      <c r="G387" s="1" t="str">
        <f aca="false">IFERROR(VLOOKUP(OFFSET(Table22,386,21,1,1),OFFSET(Table2,0,1,ROWS(Table2),8),2,0),VLOOKUP(OFFSET(Table22,386,22,1,1),Table2,3,0))</f>
        <v>FRA_gaPMG_AZR_AZR_Q1_19_AzureDirect-Trial-Social</v>
      </c>
      <c r="H387" s="1" t="n">
        <f aca="false">IFERROR(VLOOKUP(OFFSET(Table22,386,21,1,1),OFFSET(Table2,0,1,ROWS(Table2),8),3,0),VLOOKUP(OFFSET(Table22,386,22,1,1),Table2,4,0))</f>
        <v>21356941</v>
      </c>
      <c r="I387" s="2" t="n">
        <f aca="false">IFERROR(VLOOKUP(OFFSET(Table22,386,21,1,1),OFFSET(Table2,0,1,ROWS(Table2),8),4,0),VLOOKUP(OFFSET(Table22,386,22,1,1),Table2,5,0))</f>
        <v>720193</v>
      </c>
      <c r="J387" s="3" t="str">
        <f aca="false">IF(ISNUMBER(SEARCH("FACEBOOK",W387)),"Facebook",IF(ISNUMBER(SEARCH("INSTAGRAM",W387)),"Facebook-Instagram","Look at taxonomy"))</f>
        <v>Facebook</v>
      </c>
      <c r="K387" s="3" t="str">
        <f aca="false">IF(ISNUMBER(SEARCH("Facebook",J387)),"3654128","Not Facebook")</f>
        <v>3654128</v>
      </c>
      <c r="L387" s="3" t="str">
        <f aca="false">IFERROR(VLOOKUP(OFFSET(Table22,386,21,1,1),OFFSET(Table2,0,1,ROWS(Table2),8),7,0),VLOOKUP(OFFSET(Table22,386,22,1,1),Table2,8,0))</f>
        <v>AZR_FreeAcctAppsFACEBOOKDeviceChB_FRA_1200x628_SOC_PLAT_FR_Trial_Standard_NA_SINU_T2_1</v>
      </c>
      <c r="M387" s="2" t="n">
        <f aca="false">IFERROR(VLOOKUP(OFFSET(Table22,386,21,1,1),OFFSET(Table2,0,1,ROWS(Table2),8),8,0),VLOOKUP(OFFSET(Table22,386,22,1,1),Table2,9,0))</f>
        <v>103377002</v>
      </c>
      <c r="N387" s="15" t="s">
        <v>29</v>
      </c>
      <c r="O387" s="16" t="n">
        <v>43354</v>
      </c>
      <c r="P387" s="17" t="s">
        <v>102</v>
      </c>
      <c r="Q387" s="18" t="s">
        <v>103</v>
      </c>
      <c r="R387" s="17" t="s">
        <v>104</v>
      </c>
      <c r="S387" s="18" t="s">
        <v>33</v>
      </c>
      <c r="T387" s="17" t="s">
        <v>34</v>
      </c>
      <c r="U387" s="18" t="s">
        <v>39</v>
      </c>
      <c r="V387" s="19" t="n">
        <v>224560857</v>
      </c>
      <c r="W387" s="17" t="s">
        <v>119</v>
      </c>
      <c r="X387" s="17" t="n">
        <v>0</v>
      </c>
      <c r="Y387" s="17"/>
      <c r="Z387" s="17" t="n">
        <v>0</v>
      </c>
      <c r="AA387" s="17" t="s">
        <v>38</v>
      </c>
      <c r="AB387" s="17"/>
    </row>
    <row r="388" customFormat="false" ht="15" hidden="false" customHeight="false" outlineLevel="0" collapsed="false">
      <c r="A388" s="1" t="str">
        <f aca="false">OFFSET(Table22,387,14,1,1)&amp;OFFSET(Table22,387,21,1,1)</f>
        <v>43354224560857</v>
      </c>
      <c r="B388" s="1" t="str">
        <f aca="false">OFFSET(Table22,387,14,1,1)&amp;OFFSET(Table22,387,22,1,1)</f>
        <v>43354Facebook»Developers/ITPros-Azure Direct-Sponsored Post-Link Ad-FreeAcctAppsFACEBOOKDeviceChB»1x1»SocialBan»LIA»ALL»CPC»BT»X»UNK»SS»NA»Trials_ID</v>
      </c>
      <c r="C388" s="1" t="s">
        <v>28</v>
      </c>
      <c r="D388" s="3" t="n">
        <f aca="false">O388+(7-WEEKDAY(O388))</f>
        <v>43358</v>
      </c>
      <c r="E388" s="1" t="str">
        <f aca="false">VLOOKUP(OFFSET(Table22,387,16,1,1),Key!B:D,2,0)</f>
        <v>France</v>
      </c>
      <c r="F388" s="1" t="str">
        <f aca="false">IF(ISNUMBER(SEARCH("Canvas",U388)),"Link",IF(ISNUMBER(SEARCH("Link",U388)),"Link","Not filled properly"))</f>
        <v>Link</v>
      </c>
      <c r="G388" s="1" t="str">
        <f aca="false">IFERROR(VLOOKUP(OFFSET(Table22,387,21,1,1),OFFSET(Table2,0,1,ROWS(Table2),8),2,0),VLOOKUP(OFFSET(Table22,387,22,1,1),Table2,3,0))</f>
        <v>FRA_gaPMG_AZR_AZR_Q1_19_AzureDirect-Trial-Social</v>
      </c>
      <c r="H388" s="1" t="n">
        <f aca="false">IFERROR(VLOOKUP(OFFSET(Table22,387,21,1,1),OFFSET(Table2,0,1,ROWS(Table2),8),3,0),VLOOKUP(OFFSET(Table22,387,22,1,1),Table2,4,0))</f>
        <v>21356941</v>
      </c>
      <c r="I388" s="2" t="n">
        <f aca="false">IFERROR(VLOOKUP(OFFSET(Table22,387,21,1,1),OFFSET(Table2,0,1,ROWS(Table2),8),4,0),VLOOKUP(OFFSET(Table22,387,22,1,1),Table2,5,0))</f>
        <v>720193</v>
      </c>
      <c r="J388" s="3" t="str">
        <f aca="false">IF(ISNUMBER(SEARCH("FACEBOOK",W388)),"Facebook",IF(ISNUMBER(SEARCH("INSTAGRAM",W388)),"Facebook-Instagram","Look at taxonomy"))</f>
        <v>Facebook</v>
      </c>
      <c r="K388" s="3" t="str">
        <f aca="false">IF(ISNUMBER(SEARCH("Facebook",J388)),"3654128","Not Facebook")</f>
        <v>3654128</v>
      </c>
      <c r="L388" s="3" t="str">
        <f aca="false">IFERROR(VLOOKUP(OFFSET(Table22,387,21,1,1),OFFSET(Table2,0,1,ROWS(Table2),8),7,0),VLOOKUP(OFFSET(Table22,387,22,1,1),Table2,8,0))</f>
        <v>AZR_FreeAcctAppsFACEBOOKDeviceChB_FRA_1200x628_SOC_PLAT_FR_Trial_Standard_NA_SINU_T2_1</v>
      </c>
      <c r="M388" s="2" t="n">
        <f aca="false">IFERROR(VLOOKUP(OFFSET(Table22,387,21,1,1),OFFSET(Table2,0,1,ROWS(Table2),8),8,0),VLOOKUP(OFFSET(Table22,387,22,1,1),Table2,9,0))</f>
        <v>103377002</v>
      </c>
      <c r="N388" s="15" t="s">
        <v>29</v>
      </c>
      <c r="O388" s="16" t="n">
        <v>43354</v>
      </c>
      <c r="P388" s="17" t="s">
        <v>102</v>
      </c>
      <c r="Q388" s="18" t="s">
        <v>103</v>
      </c>
      <c r="R388" s="17" t="s">
        <v>104</v>
      </c>
      <c r="S388" s="18" t="s">
        <v>33</v>
      </c>
      <c r="T388" s="17" t="s">
        <v>34</v>
      </c>
      <c r="U388" s="18" t="s">
        <v>39</v>
      </c>
      <c r="V388" s="19" t="n">
        <v>224560857</v>
      </c>
      <c r="W388" s="17" t="s">
        <v>119</v>
      </c>
      <c r="X388" s="17" t="n">
        <v>0</v>
      </c>
      <c r="Y388" s="17"/>
      <c r="Z388" s="17" t="n">
        <v>0</v>
      </c>
      <c r="AA388" s="17" t="s">
        <v>38</v>
      </c>
      <c r="AB388" s="17"/>
    </row>
    <row r="389" customFormat="false" ht="15" hidden="false" customHeight="false" outlineLevel="0" collapsed="false">
      <c r="A389" s="1" t="str">
        <f aca="false">OFFSET(Table22,388,14,1,1)&amp;OFFSET(Table22,388,21,1,1)</f>
        <v>43353224560857</v>
      </c>
      <c r="B389" s="1" t="str">
        <f aca="false">OFFSET(Table22,388,14,1,1)&amp;OFFSET(Table22,388,22,1,1)</f>
        <v>43353Facebook»Developers/ITPros-Azure Direct-Sponsored Post-Link Ad-FreeAcctAppsFACEBOOKDeviceChB»1x1»SocialBan»LIA»ALL»CPC»BT»X»UNK»SS»NA»Trials_ID</v>
      </c>
      <c r="C389" s="1" t="s">
        <v>28</v>
      </c>
      <c r="D389" s="3" t="n">
        <f aca="false">O389+(7-WEEKDAY(O389))</f>
        <v>43358</v>
      </c>
      <c r="E389" s="1" t="str">
        <f aca="false">VLOOKUP(OFFSET(Table22,388,16,1,1),Key!B:D,2,0)</f>
        <v>France</v>
      </c>
      <c r="F389" s="1" t="str">
        <f aca="false">IF(ISNUMBER(SEARCH("Canvas",U389)),"Link",IF(ISNUMBER(SEARCH("Link",U389)),"Link","Not filled properly"))</f>
        <v>Link</v>
      </c>
      <c r="G389" s="1" t="str">
        <f aca="false">IFERROR(VLOOKUP(OFFSET(Table22,388,21,1,1),OFFSET(Table2,0,1,ROWS(Table2),8),2,0),VLOOKUP(OFFSET(Table22,388,22,1,1),Table2,3,0))</f>
        <v>FRA_gaPMG_AZR_AZR_Q1_19_AzureDirect-Trial-Social</v>
      </c>
      <c r="H389" s="1" t="n">
        <f aca="false">IFERROR(VLOOKUP(OFFSET(Table22,388,21,1,1),OFFSET(Table2,0,1,ROWS(Table2),8),3,0),VLOOKUP(OFFSET(Table22,388,22,1,1),Table2,4,0))</f>
        <v>21356941</v>
      </c>
      <c r="I389" s="2" t="n">
        <f aca="false">IFERROR(VLOOKUP(OFFSET(Table22,388,21,1,1),OFFSET(Table2,0,1,ROWS(Table2),8),4,0),VLOOKUP(OFFSET(Table22,388,22,1,1),Table2,5,0))</f>
        <v>720193</v>
      </c>
      <c r="J389" s="3" t="str">
        <f aca="false">IF(ISNUMBER(SEARCH("FACEBOOK",W389)),"Facebook",IF(ISNUMBER(SEARCH("INSTAGRAM",W389)),"Facebook-Instagram","Look at taxonomy"))</f>
        <v>Facebook</v>
      </c>
      <c r="K389" s="3" t="str">
        <f aca="false">IF(ISNUMBER(SEARCH("Facebook",J389)),"3654128","Not Facebook")</f>
        <v>3654128</v>
      </c>
      <c r="L389" s="3" t="str">
        <f aca="false">IFERROR(VLOOKUP(OFFSET(Table22,388,21,1,1),OFFSET(Table2,0,1,ROWS(Table2),8),7,0),VLOOKUP(OFFSET(Table22,388,22,1,1),Table2,8,0))</f>
        <v>AZR_FreeAcctAppsFACEBOOKDeviceChB_FRA_1200x628_SOC_PLAT_FR_Trial_Standard_NA_SINU_T2_1</v>
      </c>
      <c r="M389" s="2" t="n">
        <f aca="false">IFERROR(VLOOKUP(OFFSET(Table22,388,21,1,1),OFFSET(Table2,0,1,ROWS(Table2),8),8,0),VLOOKUP(OFFSET(Table22,388,22,1,1),Table2,9,0))</f>
        <v>103377002</v>
      </c>
      <c r="N389" s="15" t="s">
        <v>29</v>
      </c>
      <c r="O389" s="16" t="n">
        <v>43353</v>
      </c>
      <c r="P389" s="17" t="s">
        <v>102</v>
      </c>
      <c r="Q389" s="18" t="s">
        <v>103</v>
      </c>
      <c r="R389" s="17" t="s">
        <v>104</v>
      </c>
      <c r="S389" s="18" t="s">
        <v>33</v>
      </c>
      <c r="T389" s="17" t="s">
        <v>34</v>
      </c>
      <c r="U389" s="18" t="s">
        <v>39</v>
      </c>
      <c r="V389" s="19" t="n">
        <v>224560857</v>
      </c>
      <c r="W389" s="17" t="s">
        <v>119</v>
      </c>
      <c r="X389" s="17" t="n">
        <v>0</v>
      </c>
      <c r="Y389" s="17"/>
      <c r="Z389" s="17" t="n">
        <v>0</v>
      </c>
      <c r="AA389" s="17" t="s">
        <v>38</v>
      </c>
      <c r="AB389" s="17"/>
    </row>
    <row r="390" customFormat="false" ht="15" hidden="false" customHeight="false" outlineLevel="0" collapsed="false">
      <c r="A390" s="1" t="str">
        <f aca="false">OFFSET(Table22,389,14,1,1)&amp;OFFSET(Table22,389,21,1,1)</f>
        <v>43353224560857</v>
      </c>
      <c r="B390" s="1" t="str">
        <f aca="false">OFFSET(Table22,389,14,1,1)&amp;OFFSET(Table22,389,22,1,1)</f>
        <v>43353Facebook»Developers/ITPros-Azure Direct-Sponsored Post-Link Ad-FreeAcctAppsFACEBOOKDeviceChB»1x1»SocialBan»LIA»ALL»CPC»BT»X»UNK»SS»NA»Trials_ID</v>
      </c>
      <c r="C390" s="1" t="s">
        <v>28</v>
      </c>
      <c r="D390" s="3" t="n">
        <f aca="false">O390+(7-WEEKDAY(O390))</f>
        <v>43358</v>
      </c>
      <c r="E390" s="1" t="str">
        <f aca="false">VLOOKUP(OFFSET(Table22,389,16,1,1),Key!B:D,2,0)</f>
        <v>France</v>
      </c>
      <c r="F390" s="1" t="str">
        <f aca="false">IF(ISNUMBER(SEARCH("Canvas",U390)),"Link",IF(ISNUMBER(SEARCH("Link",U390)),"Link","Not filled properly"))</f>
        <v>Link</v>
      </c>
      <c r="G390" s="1" t="str">
        <f aca="false">IFERROR(VLOOKUP(OFFSET(Table22,389,21,1,1),OFFSET(Table2,0,1,ROWS(Table2),8),2,0),VLOOKUP(OFFSET(Table22,389,22,1,1),Table2,3,0))</f>
        <v>FRA_gaPMG_AZR_AZR_Q1_19_AzureDirect-Trial-Social</v>
      </c>
      <c r="H390" s="1" t="n">
        <f aca="false">IFERROR(VLOOKUP(OFFSET(Table22,389,21,1,1),OFFSET(Table2,0,1,ROWS(Table2),8),3,0),VLOOKUP(OFFSET(Table22,389,22,1,1),Table2,4,0))</f>
        <v>21356941</v>
      </c>
      <c r="I390" s="2" t="n">
        <f aca="false">IFERROR(VLOOKUP(OFFSET(Table22,389,21,1,1),OFFSET(Table2,0,1,ROWS(Table2),8),4,0),VLOOKUP(OFFSET(Table22,389,22,1,1),Table2,5,0))</f>
        <v>720193</v>
      </c>
      <c r="J390" s="3" t="str">
        <f aca="false">IF(ISNUMBER(SEARCH("FACEBOOK",W390)),"Facebook",IF(ISNUMBER(SEARCH("INSTAGRAM",W390)),"Facebook-Instagram","Look at taxonomy"))</f>
        <v>Facebook</v>
      </c>
      <c r="K390" s="3" t="str">
        <f aca="false">IF(ISNUMBER(SEARCH("Facebook",J390)),"3654128","Not Facebook")</f>
        <v>3654128</v>
      </c>
      <c r="L390" s="3" t="str">
        <f aca="false">IFERROR(VLOOKUP(OFFSET(Table22,389,21,1,1),OFFSET(Table2,0,1,ROWS(Table2),8),7,0),VLOOKUP(OFFSET(Table22,389,22,1,1),Table2,8,0))</f>
        <v>AZR_FreeAcctAppsFACEBOOKDeviceChB_FRA_1200x628_SOC_PLAT_FR_Trial_Standard_NA_SINU_T2_1</v>
      </c>
      <c r="M390" s="2" t="n">
        <f aca="false">IFERROR(VLOOKUP(OFFSET(Table22,389,21,1,1),OFFSET(Table2,0,1,ROWS(Table2),8),8,0),VLOOKUP(OFFSET(Table22,389,22,1,1),Table2,9,0))</f>
        <v>103377002</v>
      </c>
      <c r="N390" s="15" t="s">
        <v>29</v>
      </c>
      <c r="O390" s="16" t="n">
        <v>43353</v>
      </c>
      <c r="P390" s="17" t="s">
        <v>102</v>
      </c>
      <c r="Q390" s="18" t="s">
        <v>103</v>
      </c>
      <c r="R390" s="17" t="s">
        <v>104</v>
      </c>
      <c r="S390" s="18" t="s">
        <v>33</v>
      </c>
      <c r="T390" s="17" t="s">
        <v>34</v>
      </c>
      <c r="U390" s="18" t="s">
        <v>39</v>
      </c>
      <c r="V390" s="19" t="n">
        <v>224560857</v>
      </c>
      <c r="W390" s="17" t="s">
        <v>119</v>
      </c>
      <c r="X390" s="17" t="n">
        <v>0</v>
      </c>
      <c r="Y390" s="17"/>
      <c r="Z390" s="17" t="n">
        <v>0</v>
      </c>
      <c r="AA390" s="17" t="s">
        <v>38</v>
      </c>
      <c r="AB390" s="17"/>
    </row>
    <row r="391" customFormat="false" ht="15" hidden="false" customHeight="false" outlineLevel="0" collapsed="false">
      <c r="A391" s="1" t="str">
        <f aca="false">OFFSET(Table22,390,14,1,1)&amp;OFFSET(Table22,390,21,1,1)</f>
        <v>43352224560857</v>
      </c>
      <c r="B391" s="1" t="str">
        <f aca="false">OFFSET(Table22,390,14,1,1)&amp;OFFSET(Table22,390,22,1,1)</f>
        <v>43352Facebook»Developers/ITPros-Azure Direct-Sponsored Post-Link Ad-FreeAcctAppsFACEBOOKDeviceChB»1x1»SocialBan»LIA»ALL»CPC»BT»X»UNK»SS»NA»Trials_ID</v>
      </c>
      <c r="C391" s="1" t="s">
        <v>28</v>
      </c>
      <c r="D391" s="3" t="n">
        <f aca="false">O391+(7-WEEKDAY(O391))</f>
        <v>43358</v>
      </c>
      <c r="E391" s="1" t="str">
        <f aca="false">VLOOKUP(OFFSET(Table22,390,16,1,1),Key!B:D,2,0)</f>
        <v>France</v>
      </c>
      <c r="F391" s="1" t="str">
        <f aca="false">IF(ISNUMBER(SEARCH("Canvas",U391)),"Link",IF(ISNUMBER(SEARCH("Link",U391)),"Link","Not filled properly"))</f>
        <v>Link</v>
      </c>
      <c r="G391" s="1" t="str">
        <f aca="false">IFERROR(VLOOKUP(OFFSET(Table22,390,21,1,1),OFFSET(Table2,0,1,ROWS(Table2),8),2,0),VLOOKUP(OFFSET(Table22,390,22,1,1),Table2,3,0))</f>
        <v>FRA_gaPMG_AZR_AZR_Q1_19_AzureDirect-Trial-Social</v>
      </c>
      <c r="H391" s="1" t="n">
        <f aca="false">IFERROR(VLOOKUP(OFFSET(Table22,390,21,1,1),OFFSET(Table2,0,1,ROWS(Table2),8),3,0),VLOOKUP(OFFSET(Table22,390,22,1,1),Table2,4,0))</f>
        <v>21356941</v>
      </c>
      <c r="I391" s="2" t="n">
        <f aca="false">IFERROR(VLOOKUP(OFFSET(Table22,390,21,1,1),OFFSET(Table2,0,1,ROWS(Table2),8),4,0),VLOOKUP(OFFSET(Table22,390,22,1,1),Table2,5,0))</f>
        <v>720193</v>
      </c>
      <c r="J391" s="3" t="str">
        <f aca="false">IF(ISNUMBER(SEARCH("FACEBOOK",W391)),"Facebook",IF(ISNUMBER(SEARCH("INSTAGRAM",W391)),"Facebook-Instagram","Look at taxonomy"))</f>
        <v>Facebook</v>
      </c>
      <c r="K391" s="3" t="str">
        <f aca="false">IF(ISNUMBER(SEARCH("Facebook",J391)),"3654128","Not Facebook")</f>
        <v>3654128</v>
      </c>
      <c r="L391" s="3" t="str">
        <f aca="false">IFERROR(VLOOKUP(OFFSET(Table22,390,21,1,1),OFFSET(Table2,0,1,ROWS(Table2),8),7,0),VLOOKUP(OFFSET(Table22,390,22,1,1),Table2,8,0))</f>
        <v>AZR_FreeAcctAppsFACEBOOKDeviceChB_FRA_1200x628_SOC_PLAT_FR_Trial_Standard_NA_SINU_T2_1</v>
      </c>
      <c r="M391" s="2" t="n">
        <f aca="false">IFERROR(VLOOKUP(OFFSET(Table22,390,21,1,1),OFFSET(Table2,0,1,ROWS(Table2),8),8,0),VLOOKUP(OFFSET(Table22,390,22,1,1),Table2,9,0))</f>
        <v>103377002</v>
      </c>
      <c r="N391" s="15" t="s">
        <v>29</v>
      </c>
      <c r="O391" s="16" t="n">
        <v>43352</v>
      </c>
      <c r="P391" s="17" t="s">
        <v>102</v>
      </c>
      <c r="Q391" s="18" t="s">
        <v>103</v>
      </c>
      <c r="R391" s="17" t="s">
        <v>104</v>
      </c>
      <c r="S391" s="18" t="s">
        <v>33</v>
      </c>
      <c r="T391" s="17" t="s">
        <v>34</v>
      </c>
      <c r="U391" s="18" t="s">
        <v>39</v>
      </c>
      <c r="V391" s="19" t="n">
        <v>224560857</v>
      </c>
      <c r="W391" s="17" t="s">
        <v>119</v>
      </c>
      <c r="X391" s="17" t="n">
        <v>0</v>
      </c>
      <c r="Y391" s="17"/>
      <c r="Z391" s="17" t="n">
        <v>0</v>
      </c>
      <c r="AA391" s="17" t="s">
        <v>38</v>
      </c>
      <c r="AB391" s="17"/>
    </row>
    <row r="392" customFormat="false" ht="15" hidden="false" customHeight="false" outlineLevel="0" collapsed="false">
      <c r="A392" s="1" t="str">
        <f aca="false">OFFSET(Table22,391,14,1,1)&amp;OFFSET(Table22,391,21,1,1)</f>
        <v>43352224560857</v>
      </c>
      <c r="B392" s="1" t="str">
        <f aca="false">OFFSET(Table22,391,14,1,1)&amp;OFFSET(Table22,391,22,1,1)</f>
        <v>43352Facebook»Developers/ITPros-Azure Direct-Sponsored Post-Link Ad-FreeAcctAppsFACEBOOKDeviceChB»1x1»SocialBan»LIA»ALL»CPC»BT»X»UNK»SS»NA»Trials_ID</v>
      </c>
      <c r="C392" s="1" t="s">
        <v>28</v>
      </c>
      <c r="D392" s="3" t="n">
        <f aca="false">O392+(7-WEEKDAY(O392))</f>
        <v>43358</v>
      </c>
      <c r="E392" s="1" t="str">
        <f aca="false">VLOOKUP(OFFSET(Table22,391,16,1,1),Key!B:D,2,0)</f>
        <v>France</v>
      </c>
      <c r="F392" s="1" t="str">
        <f aca="false">IF(ISNUMBER(SEARCH("Canvas",U392)),"Link",IF(ISNUMBER(SEARCH("Link",U392)),"Link","Not filled properly"))</f>
        <v>Link</v>
      </c>
      <c r="G392" s="1" t="str">
        <f aca="false">IFERROR(VLOOKUP(OFFSET(Table22,391,21,1,1),OFFSET(Table2,0,1,ROWS(Table2),8),2,0),VLOOKUP(OFFSET(Table22,391,22,1,1),Table2,3,0))</f>
        <v>FRA_gaPMG_AZR_AZR_Q1_19_AzureDirect-Trial-Social</v>
      </c>
      <c r="H392" s="1" t="n">
        <f aca="false">IFERROR(VLOOKUP(OFFSET(Table22,391,21,1,1),OFFSET(Table2,0,1,ROWS(Table2),8),3,0),VLOOKUP(OFFSET(Table22,391,22,1,1),Table2,4,0))</f>
        <v>21356941</v>
      </c>
      <c r="I392" s="2" t="n">
        <f aca="false">IFERROR(VLOOKUP(OFFSET(Table22,391,21,1,1),OFFSET(Table2,0,1,ROWS(Table2),8),4,0),VLOOKUP(OFFSET(Table22,391,22,1,1),Table2,5,0))</f>
        <v>720193</v>
      </c>
      <c r="J392" s="3" t="str">
        <f aca="false">IF(ISNUMBER(SEARCH("FACEBOOK",W392)),"Facebook",IF(ISNUMBER(SEARCH("INSTAGRAM",W392)),"Facebook-Instagram","Look at taxonomy"))</f>
        <v>Facebook</v>
      </c>
      <c r="K392" s="3" t="str">
        <f aca="false">IF(ISNUMBER(SEARCH("Facebook",J392)),"3654128","Not Facebook")</f>
        <v>3654128</v>
      </c>
      <c r="L392" s="3" t="str">
        <f aca="false">IFERROR(VLOOKUP(OFFSET(Table22,391,21,1,1),OFFSET(Table2,0,1,ROWS(Table2),8),7,0),VLOOKUP(OFFSET(Table22,391,22,1,1),Table2,8,0))</f>
        <v>AZR_FreeAcctAppsFACEBOOKDeviceChB_FRA_1200x628_SOC_PLAT_FR_Trial_Standard_NA_SINU_T2_1</v>
      </c>
      <c r="M392" s="2" t="n">
        <f aca="false">IFERROR(VLOOKUP(OFFSET(Table22,391,21,1,1),OFFSET(Table2,0,1,ROWS(Table2),8),8,0),VLOOKUP(OFFSET(Table22,391,22,1,1),Table2,9,0))</f>
        <v>103377002</v>
      </c>
      <c r="N392" s="15" t="s">
        <v>29</v>
      </c>
      <c r="O392" s="16" t="n">
        <v>43352</v>
      </c>
      <c r="P392" s="17" t="s">
        <v>102</v>
      </c>
      <c r="Q392" s="18" t="s">
        <v>103</v>
      </c>
      <c r="R392" s="17" t="s">
        <v>104</v>
      </c>
      <c r="S392" s="18" t="s">
        <v>33</v>
      </c>
      <c r="T392" s="17" t="s">
        <v>34</v>
      </c>
      <c r="U392" s="18" t="s">
        <v>39</v>
      </c>
      <c r="V392" s="19" t="n">
        <v>224560857</v>
      </c>
      <c r="W392" s="17" t="s">
        <v>119</v>
      </c>
      <c r="X392" s="17" t="n">
        <v>0</v>
      </c>
      <c r="Y392" s="17"/>
      <c r="Z392" s="17" t="n">
        <v>0</v>
      </c>
      <c r="AA392" s="17" t="s">
        <v>38</v>
      </c>
      <c r="AB392" s="17"/>
    </row>
    <row r="393" customFormat="false" ht="15" hidden="false" customHeight="false" outlineLevel="0" collapsed="false">
      <c r="A393" s="1" t="str">
        <f aca="false">OFFSET(Table22,392,14,1,1)&amp;OFFSET(Table22,392,21,1,1)</f>
        <v>43358224560854</v>
      </c>
      <c r="B393" s="1" t="str">
        <f aca="false">OFFSET(Table22,392,14,1,1)&amp;OFFSET(Table22,392,22,1,1)</f>
        <v>43358Facebook»Developers/ITPros-Azure Direct-Sponsored Post-Link Ad-FreeAcctAppsFACEBOOKIllustrationChC»1x1»SocialBan»LIA»ALL»CPC»BT»X»UNK»SS»NA»Trials_ID</v>
      </c>
      <c r="C393" s="1" t="s">
        <v>28</v>
      </c>
      <c r="D393" s="3" t="n">
        <f aca="false">O393+(7-WEEKDAY(O393))</f>
        <v>43358</v>
      </c>
      <c r="E393" s="1" t="str">
        <f aca="false">VLOOKUP(OFFSET(Table22,392,16,1,1),Key!B:D,2,0)</f>
        <v>France</v>
      </c>
      <c r="F393" s="1" t="str">
        <f aca="false">IF(ISNUMBER(SEARCH("Canvas",U393)),"Link",IF(ISNUMBER(SEARCH("Link",U393)),"Link","Not filled properly"))</f>
        <v>Link</v>
      </c>
      <c r="G393" s="1" t="str">
        <f aca="false">IFERROR(VLOOKUP(OFFSET(Table22,392,21,1,1),OFFSET(Table2,0,1,ROWS(Table2),8),2,0),VLOOKUP(OFFSET(Table22,392,22,1,1),Table2,3,0))</f>
        <v>FRA_gaPMG_AZR_AZR_Q1_19_AzureDirect-Trial-Social</v>
      </c>
      <c r="H393" s="1" t="n">
        <f aca="false">IFERROR(VLOOKUP(OFFSET(Table22,392,21,1,1),OFFSET(Table2,0,1,ROWS(Table2),8),3,0),VLOOKUP(OFFSET(Table22,392,22,1,1),Table2,4,0))</f>
        <v>21356941</v>
      </c>
      <c r="I393" s="2" t="n">
        <f aca="false">IFERROR(VLOOKUP(OFFSET(Table22,392,21,1,1),OFFSET(Table2,0,1,ROWS(Table2),8),4,0),VLOOKUP(OFFSET(Table22,392,22,1,1),Table2,5,0))</f>
        <v>720193</v>
      </c>
      <c r="J393" s="3" t="str">
        <f aca="false">IF(ISNUMBER(SEARCH("FACEBOOK",W393)),"Facebook",IF(ISNUMBER(SEARCH("INSTAGRAM",W393)),"Facebook-Instagram","Look at taxonomy"))</f>
        <v>Facebook</v>
      </c>
      <c r="K393" s="3" t="str">
        <f aca="false">IF(ISNUMBER(SEARCH("Facebook",J393)),"3654128","Not Facebook")</f>
        <v>3654128</v>
      </c>
      <c r="L393" s="3" t="str">
        <f aca="false">IFERROR(VLOOKUP(OFFSET(Table22,392,21,1,1),OFFSET(Table2,0,1,ROWS(Table2),8),7,0),VLOOKUP(OFFSET(Table22,392,22,1,1),Table2,8,0))</f>
        <v>AZR_FreeAcctAppsFACEBOOKIllustrationChC_FRA_1200x628_SOC_PLAT_FR_Trial_Standard_NA_SINU_T3_1</v>
      </c>
      <c r="M393" s="2" t="n">
        <f aca="false">IFERROR(VLOOKUP(OFFSET(Table22,392,21,1,1),OFFSET(Table2,0,1,ROWS(Table2),8),8,0),VLOOKUP(OFFSET(Table22,392,22,1,1),Table2,9,0))</f>
        <v>103259550</v>
      </c>
      <c r="N393" s="15" t="s">
        <v>29</v>
      </c>
      <c r="O393" s="16" t="n">
        <v>43358</v>
      </c>
      <c r="P393" s="17" t="s">
        <v>102</v>
      </c>
      <c r="Q393" s="18" t="s">
        <v>103</v>
      </c>
      <c r="R393" s="17" t="s">
        <v>104</v>
      </c>
      <c r="S393" s="18" t="s">
        <v>33</v>
      </c>
      <c r="T393" s="17" t="s">
        <v>34</v>
      </c>
      <c r="U393" s="18" t="s">
        <v>39</v>
      </c>
      <c r="V393" s="19" t="n">
        <v>224560854</v>
      </c>
      <c r="W393" s="17" t="s">
        <v>120</v>
      </c>
      <c r="X393" s="17" t="n">
        <v>0</v>
      </c>
      <c r="Y393" s="17"/>
      <c r="Z393" s="17" t="n">
        <v>0</v>
      </c>
      <c r="AA393" s="17" t="s">
        <v>38</v>
      </c>
      <c r="AB393" s="17"/>
    </row>
    <row r="394" customFormat="false" ht="15" hidden="false" customHeight="false" outlineLevel="0" collapsed="false">
      <c r="A394" s="1" t="str">
        <f aca="false">OFFSET(Table22,393,14,1,1)&amp;OFFSET(Table22,393,21,1,1)</f>
        <v>43358224560854</v>
      </c>
      <c r="B394" s="1" t="str">
        <f aca="false">OFFSET(Table22,393,14,1,1)&amp;OFFSET(Table22,393,22,1,1)</f>
        <v>43358Facebook»Developers/ITPros-Azure Direct-Sponsored Post-Link Ad-FreeAcctAppsFACEBOOKIllustrationChC»1x1»SocialBan»LIA»ALL»CPC»BT»X»UNK»SS»NA»Trials_ID</v>
      </c>
      <c r="C394" s="1" t="s">
        <v>28</v>
      </c>
      <c r="D394" s="3" t="n">
        <f aca="false">O394+(7-WEEKDAY(O394))</f>
        <v>43358</v>
      </c>
      <c r="E394" s="1" t="str">
        <f aca="false">VLOOKUP(OFFSET(Table22,393,16,1,1),Key!B:D,2,0)</f>
        <v>France</v>
      </c>
      <c r="F394" s="1" t="str">
        <f aca="false">IF(ISNUMBER(SEARCH("Canvas",U394)),"Link",IF(ISNUMBER(SEARCH("Link",U394)),"Link","Not filled properly"))</f>
        <v>Link</v>
      </c>
      <c r="G394" s="1" t="str">
        <f aca="false">IFERROR(VLOOKUP(OFFSET(Table22,393,21,1,1),OFFSET(Table2,0,1,ROWS(Table2),8),2,0),VLOOKUP(OFFSET(Table22,393,22,1,1),Table2,3,0))</f>
        <v>FRA_gaPMG_AZR_AZR_Q1_19_AzureDirect-Trial-Social</v>
      </c>
      <c r="H394" s="1" t="n">
        <f aca="false">IFERROR(VLOOKUP(OFFSET(Table22,393,21,1,1),OFFSET(Table2,0,1,ROWS(Table2),8),3,0),VLOOKUP(OFFSET(Table22,393,22,1,1),Table2,4,0))</f>
        <v>21356941</v>
      </c>
      <c r="I394" s="2" t="n">
        <f aca="false">IFERROR(VLOOKUP(OFFSET(Table22,393,21,1,1),OFFSET(Table2,0,1,ROWS(Table2),8),4,0),VLOOKUP(OFFSET(Table22,393,22,1,1),Table2,5,0))</f>
        <v>720193</v>
      </c>
      <c r="J394" s="3" t="str">
        <f aca="false">IF(ISNUMBER(SEARCH("FACEBOOK",W394)),"Facebook",IF(ISNUMBER(SEARCH("INSTAGRAM",W394)),"Facebook-Instagram","Look at taxonomy"))</f>
        <v>Facebook</v>
      </c>
      <c r="K394" s="3" t="str">
        <f aca="false">IF(ISNUMBER(SEARCH("Facebook",J394)),"3654128","Not Facebook")</f>
        <v>3654128</v>
      </c>
      <c r="L394" s="3" t="str">
        <f aca="false">IFERROR(VLOOKUP(OFFSET(Table22,393,21,1,1),OFFSET(Table2,0,1,ROWS(Table2),8),7,0),VLOOKUP(OFFSET(Table22,393,22,1,1),Table2,8,0))</f>
        <v>AZR_FreeAcctAppsFACEBOOKIllustrationChC_FRA_1200x628_SOC_PLAT_FR_Trial_Standard_NA_SINU_T3_1</v>
      </c>
      <c r="M394" s="2" t="n">
        <f aca="false">IFERROR(VLOOKUP(OFFSET(Table22,393,21,1,1),OFFSET(Table2,0,1,ROWS(Table2),8),8,0),VLOOKUP(OFFSET(Table22,393,22,1,1),Table2,9,0))</f>
        <v>103259550</v>
      </c>
      <c r="N394" s="15" t="s">
        <v>29</v>
      </c>
      <c r="O394" s="16" t="n">
        <v>43358</v>
      </c>
      <c r="P394" s="17" t="s">
        <v>102</v>
      </c>
      <c r="Q394" s="18" t="s">
        <v>103</v>
      </c>
      <c r="R394" s="17" t="s">
        <v>104</v>
      </c>
      <c r="S394" s="18" t="s">
        <v>33</v>
      </c>
      <c r="T394" s="17" t="s">
        <v>34</v>
      </c>
      <c r="U394" s="18" t="s">
        <v>39</v>
      </c>
      <c r="V394" s="19" t="n">
        <v>224560854</v>
      </c>
      <c r="W394" s="17" t="s">
        <v>120</v>
      </c>
      <c r="X394" s="17" t="n">
        <v>0</v>
      </c>
      <c r="Y394" s="17"/>
      <c r="Z394" s="17" t="n">
        <v>0</v>
      </c>
      <c r="AA394" s="17" t="s">
        <v>38</v>
      </c>
      <c r="AB394" s="17"/>
    </row>
    <row r="395" customFormat="false" ht="15" hidden="false" customHeight="false" outlineLevel="0" collapsed="false">
      <c r="A395" s="1" t="str">
        <f aca="false">OFFSET(Table22,394,14,1,1)&amp;OFFSET(Table22,394,21,1,1)</f>
        <v>43357224560854</v>
      </c>
      <c r="B395" s="1" t="str">
        <f aca="false">OFFSET(Table22,394,14,1,1)&amp;OFFSET(Table22,394,22,1,1)</f>
        <v>43357Facebook»Developers/ITPros-Azure Direct-Sponsored Post-Link Ad-FreeAcctAppsFACEBOOKIllustrationChC»1x1»SocialBan»LIA»ALL»CPC»BT»X»UNK»SS»NA»Trials_ID</v>
      </c>
      <c r="C395" s="1" t="s">
        <v>28</v>
      </c>
      <c r="D395" s="3" t="n">
        <f aca="false">O395+(7-WEEKDAY(O395))</f>
        <v>43358</v>
      </c>
      <c r="E395" s="1" t="str">
        <f aca="false">VLOOKUP(OFFSET(Table22,394,16,1,1),Key!B:D,2,0)</f>
        <v>France</v>
      </c>
      <c r="F395" s="1" t="str">
        <f aca="false">IF(ISNUMBER(SEARCH("Canvas",U395)),"Link",IF(ISNUMBER(SEARCH("Link",U395)),"Link","Not filled properly"))</f>
        <v>Link</v>
      </c>
      <c r="G395" s="1" t="str">
        <f aca="false">IFERROR(VLOOKUP(OFFSET(Table22,394,21,1,1),OFFSET(Table2,0,1,ROWS(Table2),8),2,0),VLOOKUP(OFFSET(Table22,394,22,1,1),Table2,3,0))</f>
        <v>FRA_gaPMG_AZR_AZR_Q1_19_AzureDirect-Trial-Social</v>
      </c>
      <c r="H395" s="1" t="n">
        <f aca="false">IFERROR(VLOOKUP(OFFSET(Table22,394,21,1,1),OFFSET(Table2,0,1,ROWS(Table2),8),3,0),VLOOKUP(OFFSET(Table22,394,22,1,1),Table2,4,0))</f>
        <v>21356941</v>
      </c>
      <c r="I395" s="2" t="n">
        <f aca="false">IFERROR(VLOOKUP(OFFSET(Table22,394,21,1,1),OFFSET(Table2,0,1,ROWS(Table2),8),4,0),VLOOKUP(OFFSET(Table22,394,22,1,1),Table2,5,0))</f>
        <v>720193</v>
      </c>
      <c r="J395" s="3" t="str">
        <f aca="false">IF(ISNUMBER(SEARCH("FACEBOOK",W395)),"Facebook",IF(ISNUMBER(SEARCH("INSTAGRAM",W395)),"Facebook-Instagram","Look at taxonomy"))</f>
        <v>Facebook</v>
      </c>
      <c r="K395" s="3" t="str">
        <f aca="false">IF(ISNUMBER(SEARCH("Facebook",J395)),"3654128","Not Facebook")</f>
        <v>3654128</v>
      </c>
      <c r="L395" s="3" t="str">
        <f aca="false">IFERROR(VLOOKUP(OFFSET(Table22,394,21,1,1),OFFSET(Table2,0,1,ROWS(Table2),8),7,0),VLOOKUP(OFFSET(Table22,394,22,1,1),Table2,8,0))</f>
        <v>AZR_FreeAcctAppsFACEBOOKIllustrationChC_FRA_1200x628_SOC_PLAT_FR_Trial_Standard_NA_SINU_T3_1</v>
      </c>
      <c r="M395" s="2" t="n">
        <f aca="false">IFERROR(VLOOKUP(OFFSET(Table22,394,21,1,1),OFFSET(Table2,0,1,ROWS(Table2),8),8,0),VLOOKUP(OFFSET(Table22,394,22,1,1),Table2,9,0))</f>
        <v>103259550</v>
      </c>
      <c r="N395" s="15" t="s">
        <v>29</v>
      </c>
      <c r="O395" s="16" t="n">
        <v>43357</v>
      </c>
      <c r="P395" s="17" t="s">
        <v>102</v>
      </c>
      <c r="Q395" s="18" t="s">
        <v>103</v>
      </c>
      <c r="R395" s="17" t="s">
        <v>104</v>
      </c>
      <c r="S395" s="18" t="s">
        <v>33</v>
      </c>
      <c r="T395" s="17" t="s">
        <v>34</v>
      </c>
      <c r="U395" s="18" t="s">
        <v>39</v>
      </c>
      <c r="V395" s="19" t="n">
        <v>224560854</v>
      </c>
      <c r="W395" s="17" t="s">
        <v>120</v>
      </c>
      <c r="X395" s="17" t="n">
        <v>0</v>
      </c>
      <c r="Y395" s="17"/>
      <c r="Z395" s="17" t="n">
        <v>0</v>
      </c>
      <c r="AA395" s="17" t="s">
        <v>38</v>
      </c>
      <c r="AB395" s="17"/>
    </row>
    <row r="396" customFormat="false" ht="15" hidden="false" customHeight="false" outlineLevel="0" collapsed="false">
      <c r="A396" s="1" t="str">
        <f aca="false">OFFSET(Table22,395,14,1,1)&amp;OFFSET(Table22,395,21,1,1)</f>
        <v>43357224560854</v>
      </c>
      <c r="B396" s="1" t="str">
        <f aca="false">OFFSET(Table22,395,14,1,1)&amp;OFFSET(Table22,395,22,1,1)</f>
        <v>43357Facebook»Developers/ITPros-Azure Direct-Sponsored Post-Link Ad-FreeAcctAppsFACEBOOKIllustrationChC»1x1»SocialBan»LIA»ALL»CPC»BT»X»UNK»SS»NA»Trials_ID</v>
      </c>
      <c r="C396" s="1" t="s">
        <v>28</v>
      </c>
      <c r="D396" s="3" t="n">
        <f aca="false">O396+(7-WEEKDAY(O396))</f>
        <v>43358</v>
      </c>
      <c r="E396" s="1" t="str">
        <f aca="false">VLOOKUP(OFFSET(Table22,395,16,1,1),Key!B:D,2,0)</f>
        <v>France</v>
      </c>
      <c r="F396" s="1" t="str">
        <f aca="false">IF(ISNUMBER(SEARCH("Canvas",U396)),"Link",IF(ISNUMBER(SEARCH("Link",U396)),"Link","Not filled properly"))</f>
        <v>Link</v>
      </c>
      <c r="G396" s="1" t="str">
        <f aca="false">IFERROR(VLOOKUP(OFFSET(Table22,395,21,1,1),OFFSET(Table2,0,1,ROWS(Table2),8),2,0),VLOOKUP(OFFSET(Table22,395,22,1,1),Table2,3,0))</f>
        <v>FRA_gaPMG_AZR_AZR_Q1_19_AzureDirect-Trial-Social</v>
      </c>
      <c r="H396" s="1" t="n">
        <f aca="false">IFERROR(VLOOKUP(OFFSET(Table22,395,21,1,1),OFFSET(Table2,0,1,ROWS(Table2),8),3,0),VLOOKUP(OFFSET(Table22,395,22,1,1),Table2,4,0))</f>
        <v>21356941</v>
      </c>
      <c r="I396" s="2" t="n">
        <f aca="false">IFERROR(VLOOKUP(OFFSET(Table22,395,21,1,1),OFFSET(Table2,0,1,ROWS(Table2),8),4,0),VLOOKUP(OFFSET(Table22,395,22,1,1),Table2,5,0))</f>
        <v>720193</v>
      </c>
      <c r="J396" s="3" t="str">
        <f aca="false">IF(ISNUMBER(SEARCH("FACEBOOK",W396)),"Facebook",IF(ISNUMBER(SEARCH("INSTAGRAM",W396)),"Facebook-Instagram","Look at taxonomy"))</f>
        <v>Facebook</v>
      </c>
      <c r="K396" s="3" t="str">
        <f aca="false">IF(ISNUMBER(SEARCH("Facebook",J396)),"3654128","Not Facebook")</f>
        <v>3654128</v>
      </c>
      <c r="L396" s="3" t="str">
        <f aca="false">IFERROR(VLOOKUP(OFFSET(Table22,395,21,1,1),OFFSET(Table2,0,1,ROWS(Table2),8),7,0),VLOOKUP(OFFSET(Table22,395,22,1,1),Table2,8,0))</f>
        <v>AZR_FreeAcctAppsFACEBOOKIllustrationChC_FRA_1200x628_SOC_PLAT_FR_Trial_Standard_NA_SINU_T3_1</v>
      </c>
      <c r="M396" s="2" t="n">
        <f aca="false">IFERROR(VLOOKUP(OFFSET(Table22,395,21,1,1),OFFSET(Table2,0,1,ROWS(Table2),8),8,0),VLOOKUP(OFFSET(Table22,395,22,1,1),Table2,9,0))</f>
        <v>103259550</v>
      </c>
      <c r="N396" s="15" t="s">
        <v>29</v>
      </c>
      <c r="O396" s="16" t="n">
        <v>43357</v>
      </c>
      <c r="P396" s="17" t="s">
        <v>102</v>
      </c>
      <c r="Q396" s="18" t="s">
        <v>103</v>
      </c>
      <c r="R396" s="17" t="s">
        <v>104</v>
      </c>
      <c r="S396" s="18" t="s">
        <v>33</v>
      </c>
      <c r="T396" s="17" t="s">
        <v>34</v>
      </c>
      <c r="U396" s="18" t="s">
        <v>39</v>
      </c>
      <c r="V396" s="19" t="n">
        <v>224560854</v>
      </c>
      <c r="W396" s="17" t="s">
        <v>120</v>
      </c>
      <c r="X396" s="17" t="n">
        <v>0</v>
      </c>
      <c r="Y396" s="17"/>
      <c r="Z396" s="17" t="n">
        <v>0</v>
      </c>
      <c r="AA396" s="17" t="s">
        <v>38</v>
      </c>
      <c r="AB396" s="17"/>
    </row>
    <row r="397" customFormat="false" ht="15" hidden="false" customHeight="false" outlineLevel="0" collapsed="false">
      <c r="A397" s="1" t="str">
        <f aca="false">OFFSET(Table22,396,14,1,1)&amp;OFFSET(Table22,396,21,1,1)</f>
        <v>43356224560854</v>
      </c>
      <c r="B397" s="1" t="str">
        <f aca="false">OFFSET(Table22,396,14,1,1)&amp;OFFSET(Table22,396,22,1,1)</f>
        <v>43356Facebook»Developers/ITPros-Azure Direct-Sponsored Post-Link Ad-FreeAcctAppsFACEBOOKIllustrationChC»1x1»SocialBan»LIA»ALL»CPC»BT»X»UNK»SS»NA»Trials_ID</v>
      </c>
      <c r="C397" s="1" t="s">
        <v>28</v>
      </c>
      <c r="D397" s="3" t="n">
        <f aca="false">O397+(7-WEEKDAY(O397))</f>
        <v>43358</v>
      </c>
      <c r="E397" s="1" t="str">
        <f aca="false">VLOOKUP(OFFSET(Table22,396,16,1,1),Key!B:D,2,0)</f>
        <v>France</v>
      </c>
      <c r="F397" s="1" t="str">
        <f aca="false">IF(ISNUMBER(SEARCH("Canvas",U397)),"Link",IF(ISNUMBER(SEARCH("Link",U397)),"Link","Not filled properly"))</f>
        <v>Link</v>
      </c>
      <c r="G397" s="1" t="str">
        <f aca="false">IFERROR(VLOOKUP(OFFSET(Table22,396,21,1,1),OFFSET(Table2,0,1,ROWS(Table2),8),2,0),VLOOKUP(OFFSET(Table22,396,22,1,1),Table2,3,0))</f>
        <v>FRA_gaPMG_AZR_AZR_Q1_19_AzureDirect-Trial-Social</v>
      </c>
      <c r="H397" s="1" t="n">
        <f aca="false">IFERROR(VLOOKUP(OFFSET(Table22,396,21,1,1),OFFSET(Table2,0,1,ROWS(Table2),8),3,0),VLOOKUP(OFFSET(Table22,396,22,1,1),Table2,4,0))</f>
        <v>21356941</v>
      </c>
      <c r="I397" s="2" t="n">
        <f aca="false">IFERROR(VLOOKUP(OFFSET(Table22,396,21,1,1),OFFSET(Table2,0,1,ROWS(Table2),8),4,0),VLOOKUP(OFFSET(Table22,396,22,1,1),Table2,5,0))</f>
        <v>720193</v>
      </c>
      <c r="J397" s="3" t="str">
        <f aca="false">IF(ISNUMBER(SEARCH("FACEBOOK",W397)),"Facebook",IF(ISNUMBER(SEARCH("INSTAGRAM",W397)),"Facebook-Instagram","Look at taxonomy"))</f>
        <v>Facebook</v>
      </c>
      <c r="K397" s="3" t="str">
        <f aca="false">IF(ISNUMBER(SEARCH("Facebook",J397)),"3654128","Not Facebook")</f>
        <v>3654128</v>
      </c>
      <c r="L397" s="3" t="str">
        <f aca="false">IFERROR(VLOOKUP(OFFSET(Table22,396,21,1,1),OFFSET(Table2,0,1,ROWS(Table2),8),7,0),VLOOKUP(OFFSET(Table22,396,22,1,1),Table2,8,0))</f>
        <v>AZR_FreeAcctAppsFACEBOOKIllustrationChC_FRA_1200x628_SOC_PLAT_FR_Trial_Standard_NA_SINU_T3_1</v>
      </c>
      <c r="M397" s="2" t="n">
        <f aca="false">IFERROR(VLOOKUP(OFFSET(Table22,396,21,1,1),OFFSET(Table2,0,1,ROWS(Table2),8),8,0),VLOOKUP(OFFSET(Table22,396,22,1,1),Table2,9,0))</f>
        <v>103259550</v>
      </c>
      <c r="N397" s="15" t="s">
        <v>29</v>
      </c>
      <c r="O397" s="16" t="n">
        <v>43356</v>
      </c>
      <c r="P397" s="17" t="s">
        <v>102</v>
      </c>
      <c r="Q397" s="18" t="s">
        <v>103</v>
      </c>
      <c r="R397" s="17" t="s">
        <v>104</v>
      </c>
      <c r="S397" s="18" t="s">
        <v>33</v>
      </c>
      <c r="T397" s="17" t="s">
        <v>34</v>
      </c>
      <c r="U397" s="18" t="s">
        <v>39</v>
      </c>
      <c r="V397" s="19" t="n">
        <v>224560854</v>
      </c>
      <c r="W397" s="17" t="s">
        <v>120</v>
      </c>
      <c r="X397" s="17" t="n">
        <v>0</v>
      </c>
      <c r="Y397" s="17"/>
      <c r="Z397" s="17" t="n">
        <v>0</v>
      </c>
      <c r="AA397" s="17" t="s">
        <v>38</v>
      </c>
      <c r="AB397" s="17"/>
    </row>
    <row r="398" customFormat="false" ht="15" hidden="false" customHeight="false" outlineLevel="0" collapsed="false">
      <c r="A398" s="1" t="str">
        <f aca="false">OFFSET(Table22,397,14,1,1)&amp;OFFSET(Table22,397,21,1,1)</f>
        <v>43356224560854</v>
      </c>
      <c r="B398" s="1" t="str">
        <f aca="false">OFFSET(Table22,397,14,1,1)&amp;OFFSET(Table22,397,22,1,1)</f>
        <v>43356Facebook»Developers/ITPros-Azure Direct-Sponsored Post-Link Ad-FreeAcctAppsFACEBOOKIllustrationChC»1x1»SocialBan»LIA»ALL»CPC»BT»X»UNK»SS»NA»Trials_ID</v>
      </c>
      <c r="C398" s="1" t="s">
        <v>28</v>
      </c>
      <c r="D398" s="3" t="n">
        <f aca="false">O398+(7-WEEKDAY(O398))</f>
        <v>43358</v>
      </c>
      <c r="E398" s="1" t="str">
        <f aca="false">VLOOKUP(OFFSET(Table22,397,16,1,1),Key!B:D,2,0)</f>
        <v>France</v>
      </c>
      <c r="F398" s="1" t="str">
        <f aca="false">IF(ISNUMBER(SEARCH("Canvas",U398)),"Link",IF(ISNUMBER(SEARCH("Link",U398)),"Link","Not filled properly"))</f>
        <v>Link</v>
      </c>
      <c r="G398" s="1" t="str">
        <f aca="false">IFERROR(VLOOKUP(OFFSET(Table22,397,21,1,1),OFFSET(Table2,0,1,ROWS(Table2),8),2,0),VLOOKUP(OFFSET(Table22,397,22,1,1),Table2,3,0))</f>
        <v>FRA_gaPMG_AZR_AZR_Q1_19_AzureDirect-Trial-Social</v>
      </c>
      <c r="H398" s="1" t="n">
        <f aca="false">IFERROR(VLOOKUP(OFFSET(Table22,397,21,1,1),OFFSET(Table2,0,1,ROWS(Table2),8),3,0),VLOOKUP(OFFSET(Table22,397,22,1,1),Table2,4,0))</f>
        <v>21356941</v>
      </c>
      <c r="I398" s="2" t="n">
        <f aca="false">IFERROR(VLOOKUP(OFFSET(Table22,397,21,1,1),OFFSET(Table2,0,1,ROWS(Table2),8),4,0),VLOOKUP(OFFSET(Table22,397,22,1,1),Table2,5,0))</f>
        <v>720193</v>
      </c>
      <c r="J398" s="3" t="str">
        <f aca="false">IF(ISNUMBER(SEARCH("FACEBOOK",W398)),"Facebook",IF(ISNUMBER(SEARCH("INSTAGRAM",W398)),"Facebook-Instagram","Look at taxonomy"))</f>
        <v>Facebook</v>
      </c>
      <c r="K398" s="3" t="str">
        <f aca="false">IF(ISNUMBER(SEARCH("Facebook",J398)),"3654128","Not Facebook")</f>
        <v>3654128</v>
      </c>
      <c r="L398" s="3" t="str">
        <f aca="false">IFERROR(VLOOKUP(OFFSET(Table22,397,21,1,1),OFFSET(Table2,0,1,ROWS(Table2),8),7,0),VLOOKUP(OFFSET(Table22,397,22,1,1),Table2,8,0))</f>
        <v>AZR_FreeAcctAppsFACEBOOKIllustrationChC_FRA_1200x628_SOC_PLAT_FR_Trial_Standard_NA_SINU_T3_1</v>
      </c>
      <c r="M398" s="2" t="n">
        <f aca="false">IFERROR(VLOOKUP(OFFSET(Table22,397,21,1,1),OFFSET(Table2,0,1,ROWS(Table2),8),8,0),VLOOKUP(OFFSET(Table22,397,22,1,1),Table2,9,0))</f>
        <v>103259550</v>
      </c>
      <c r="N398" s="15" t="s">
        <v>29</v>
      </c>
      <c r="O398" s="16" t="n">
        <v>43356</v>
      </c>
      <c r="P398" s="17" t="s">
        <v>102</v>
      </c>
      <c r="Q398" s="18" t="s">
        <v>103</v>
      </c>
      <c r="R398" s="17" t="s">
        <v>104</v>
      </c>
      <c r="S398" s="18" t="s">
        <v>33</v>
      </c>
      <c r="T398" s="17" t="s">
        <v>34</v>
      </c>
      <c r="U398" s="18" t="s">
        <v>39</v>
      </c>
      <c r="V398" s="19" t="n">
        <v>224560854</v>
      </c>
      <c r="W398" s="17" t="s">
        <v>120</v>
      </c>
      <c r="X398" s="17" t="n">
        <v>0</v>
      </c>
      <c r="Y398" s="17"/>
      <c r="Z398" s="17" t="n">
        <v>0</v>
      </c>
      <c r="AA398" s="17" t="s">
        <v>38</v>
      </c>
      <c r="AB398" s="17"/>
    </row>
    <row r="399" customFormat="false" ht="15" hidden="false" customHeight="false" outlineLevel="0" collapsed="false">
      <c r="A399" s="1" t="str">
        <f aca="false">OFFSET(Table22,398,14,1,1)&amp;OFFSET(Table22,398,21,1,1)</f>
        <v>43355224560854</v>
      </c>
      <c r="B399" s="1" t="str">
        <f aca="false">OFFSET(Table22,398,14,1,1)&amp;OFFSET(Table22,398,22,1,1)</f>
        <v>43355Facebook»Developers/ITPros-Azure Direct-Sponsored Post-Link Ad-FreeAcctAppsFACEBOOKIllustrationChC»1x1»SocialBan»LIA»ALL»CPC»BT»X»UNK»SS»NA»Trials_ID</v>
      </c>
      <c r="C399" s="1" t="s">
        <v>28</v>
      </c>
      <c r="D399" s="3" t="n">
        <f aca="false">O399+(7-WEEKDAY(O399))</f>
        <v>43358</v>
      </c>
      <c r="E399" s="1" t="str">
        <f aca="false">VLOOKUP(OFFSET(Table22,398,16,1,1),Key!B:D,2,0)</f>
        <v>France</v>
      </c>
      <c r="F399" s="1" t="str">
        <f aca="false">IF(ISNUMBER(SEARCH("Canvas",U399)),"Link",IF(ISNUMBER(SEARCH("Link",U399)),"Link","Not filled properly"))</f>
        <v>Link</v>
      </c>
      <c r="G399" s="1" t="str">
        <f aca="false">IFERROR(VLOOKUP(OFFSET(Table22,398,21,1,1),OFFSET(Table2,0,1,ROWS(Table2),8),2,0),VLOOKUP(OFFSET(Table22,398,22,1,1),Table2,3,0))</f>
        <v>FRA_gaPMG_AZR_AZR_Q1_19_AzureDirect-Trial-Social</v>
      </c>
      <c r="H399" s="1" t="n">
        <f aca="false">IFERROR(VLOOKUP(OFFSET(Table22,398,21,1,1),OFFSET(Table2,0,1,ROWS(Table2),8),3,0),VLOOKUP(OFFSET(Table22,398,22,1,1),Table2,4,0))</f>
        <v>21356941</v>
      </c>
      <c r="I399" s="2" t="n">
        <f aca="false">IFERROR(VLOOKUP(OFFSET(Table22,398,21,1,1),OFFSET(Table2,0,1,ROWS(Table2),8),4,0),VLOOKUP(OFFSET(Table22,398,22,1,1),Table2,5,0))</f>
        <v>720193</v>
      </c>
      <c r="J399" s="3" t="str">
        <f aca="false">IF(ISNUMBER(SEARCH("FACEBOOK",W399)),"Facebook",IF(ISNUMBER(SEARCH("INSTAGRAM",W399)),"Facebook-Instagram","Look at taxonomy"))</f>
        <v>Facebook</v>
      </c>
      <c r="K399" s="3" t="str">
        <f aca="false">IF(ISNUMBER(SEARCH("Facebook",J399)),"3654128","Not Facebook")</f>
        <v>3654128</v>
      </c>
      <c r="L399" s="3" t="str">
        <f aca="false">IFERROR(VLOOKUP(OFFSET(Table22,398,21,1,1),OFFSET(Table2,0,1,ROWS(Table2),8),7,0),VLOOKUP(OFFSET(Table22,398,22,1,1),Table2,8,0))</f>
        <v>AZR_FreeAcctAppsFACEBOOKIllustrationChC_FRA_1200x628_SOC_PLAT_FR_Trial_Standard_NA_SINU_T3_1</v>
      </c>
      <c r="M399" s="2" t="n">
        <f aca="false">IFERROR(VLOOKUP(OFFSET(Table22,398,21,1,1),OFFSET(Table2,0,1,ROWS(Table2),8),8,0),VLOOKUP(OFFSET(Table22,398,22,1,1),Table2,9,0))</f>
        <v>103259550</v>
      </c>
      <c r="N399" s="15" t="s">
        <v>29</v>
      </c>
      <c r="O399" s="16" t="n">
        <v>43355</v>
      </c>
      <c r="P399" s="17" t="s">
        <v>102</v>
      </c>
      <c r="Q399" s="18" t="s">
        <v>103</v>
      </c>
      <c r="R399" s="17" t="s">
        <v>104</v>
      </c>
      <c r="S399" s="18" t="s">
        <v>33</v>
      </c>
      <c r="T399" s="17" t="s">
        <v>34</v>
      </c>
      <c r="U399" s="18" t="s">
        <v>39</v>
      </c>
      <c r="V399" s="19" t="n">
        <v>224560854</v>
      </c>
      <c r="W399" s="17" t="s">
        <v>120</v>
      </c>
      <c r="X399" s="17" t="n">
        <v>0</v>
      </c>
      <c r="Y399" s="17"/>
      <c r="Z399" s="17" t="n">
        <v>0</v>
      </c>
      <c r="AA399" s="17" t="s">
        <v>38</v>
      </c>
      <c r="AB399" s="17"/>
    </row>
    <row r="400" customFormat="false" ht="15" hidden="false" customHeight="false" outlineLevel="0" collapsed="false">
      <c r="A400" s="1" t="str">
        <f aca="false">OFFSET(Table22,399,14,1,1)&amp;OFFSET(Table22,399,21,1,1)</f>
        <v>43355224560854</v>
      </c>
      <c r="B400" s="1" t="str">
        <f aca="false">OFFSET(Table22,399,14,1,1)&amp;OFFSET(Table22,399,22,1,1)</f>
        <v>43355Facebook»Developers/ITPros-Azure Direct-Sponsored Post-Link Ad-FreeAcctAppsFACEBOOKIllustrationChC»1x1»SocialBan»LIA»ALL»CPC»BT»X»UNK»SS»NA»Trials_ID</v>
      </c>
      <c r="C400" s="1" t="s">
        <v>28</v>
      </c>
      <c r="D400" s="3" t="n">
        <f aca="false">O400+(7-WEEKDAY(O400))</f>
        <v>43358</v>
      </c>
      <c r="E400" s="1" t="str">
        <f aca="false">VLOOKUP(OFFSET(Table22,399,16,1,1),Key!B:D,2,0)</f>
        <v>France</v>
      </c>
      <c r="F400" s="1" t="str">
        <f aca="false">IF(ISNUMBER(SEARCH("Canvas",U400)),"Link",IF(ISNUMBER(SEARCH("Link",U400)),"Link","Not filled properly"))</f>
        <v>Link</v>
      </c>
      <c r="G400" s="1" t="str">
        <f aca="false">IFERROR(VLOOKUP(OFFSET(Table22,399,21,1,1),OFFSET(Table2,0,1,ROWS(Table2),8),2,0),VLOOKUP(OFFSET(Table22,399,22,1,1),Table2,3,0))</f>
        <v>FRA_gaPMG_AZR_AZR_Q1_19_AzureDirect-Trial-Social</v>
      </c>
      <c r="H400" s="1" t="n">
        <f aca="false">IFERROR(VLOOKUP(OFFSET(Table22,399,21,1,1),OFFSET(Table2,0,1,ROWS(Table2),8),3,0),VLOOKUP(OFFSET(Table22,399,22,1,1),Table2,4,0))</f>
        <v>21356941</v>
      </c>
      <c r="I400" s="2" t="n">
        <f aca="false">IFERROR(VLOOKUP(OFFSET(Table22,399,21,1,1),OFFSET(Table2,0,1,ROWS(Table2),8),4,0),VLOOKUP(OFFSET(Table22,399,22,1,1),Table2,5,0))</f>
        <v>720193</v>
      </c>
      <c r="J400" s="3" t="str">
        <f aca="false">IF(ISNUMBER(SEARCH("FACEBOOK",W400)),"Facebook",IF(ISNUMBER(SEARCH("INSTAGRAM",W400)),"Facebook-Instagram","Look at taxonomy"))</f>
        <v>Facebook</v>
      </c>
      <c r="K400" s="3" t="str">
        <f aca="false">IF(ISNUMBER(SEARCH("Facebook",J400)),"3654128","Not Facebook")</f>
        <v>3654128</v>
      </c>
      <c r="L400" s="3" t="str">
        <f aca="false">IFERROR(VLOOKUP(OFFSET(Table22,399,21,1,1),OFFSET(Table2,0,1,ROWS(Table2),8),7,0),VLOOKUP(OFFSET(Table22,399,22,1,1),Table2,8,0))</f>
        <v>AZR_FreeAcctAppsFACEBOOKIllustrationChC_FRA_1200x628_SOC_PLAT_FR_Trial_Standard_NA_SINU_T3_1</v>
      </c>
      <c r="M400" s="2" t="n">
        <f aca="false">IFERROR(VLOOKUP(OFFSET(Table22,399,21,1,1),OFFSET(Table2,0,1,ROWS(Table2),8),8,0),VLOOKUP(OFFSET(Table22,399,22,1,1),Table2,9,0))</f>
        <v>103259550</v>
      </c>
      <c r="N400" s="15" t="s">
        <v>29</v>
      </c>
      <c r="O400" s="16" t="n">
        <v>43355</v>
      </c>
      <c r="P400" s="17" t="s">
        <v>102</v>
      </c>
      <c r="Q400" s="18" t="s">
        <v>103</v>
      </c>
      <c r="R400" s="17" t="s">
        <v>104</v>
      </c>
      <c r="S400" s="18" t="s">
        <v>33</v>
      </c>
      <c r="T400" s="17" t="s">
        <v>34</v>
      </c>
      <c r="U400" s="18" t="s">
        <v>39</v>
      </c>
      <c r="V400" s="19" t="n">
        <v>224560854</v>
      </c>
      <c r="W400" s="17" t="s">
        <v>120</v>
      </c>
      <c r="X400" s="17" t="n">
        <v>0</v>
      </c>
      <c r="Y400" s="17"/>
      <c r="Z400" s="17" t="n">
        <v>0</v>
      </c>
      <c r="AA400" s="17" t="s">
        <v>38</v>
      </c>
      <c r="AB400" s="17"/>
    </row>
    <row r="401" customFormat="false" ht="15" hidden="false" customHeight="false" outlineLevel="0" collapsed="false">
      <c r="A401" s="1" t="str">
        <f aca="false">OFFSET(Table22,400,14,1,1)&amp;OFFSET(Table22,400,21,1,1)</f>
        <v>43354224560854</v>
      </c>
      <c r="B401" s="1" t="str">
        <f aca="false">OFFSET(Table22,400,14,1,1)&amp;OFFSET(Table22,400,22,1,1)</f>
        <v>43354Facebook»Developers/ITPros-Azure Direct-Sponsored Post-Link Ad-FreeAcctAppsFACEBOOKIllustrationChC»1x1»SocialBan»LIA»ALL»CPC»BT»X»UNK»SS»NA»Trials_ID</v>
      </c>
      <c r="C401" s="1" t="s">
        <v>28</v>
      </c>
      <c r="D401" s="3" t="n">
        <f aca="false">O401+(7-WEEKDAY(O401))</f>
        <v>43358</v>
      </c>
      <c r="E401" s="1" t="str">
        <f aca="false">VLOOKUP(OFFSET(Table22,400,16,1,1),Key!B:D,2,0)</f>
        <v>France</v>
      </c>
      <c r="F401" s="1" t="str">
        <f aca="false">IF(ISNUMBER(SEARCH("Canvas",U401)),"Link",IF(ISNUMBER(SEARCH("Link",U401)),"Link","Not filled properly"))</f>
        <v>Link</v>
      </c>
      <c r="G401" s="1" t="str">
        <f aca="false">IFERROR(VLOOKUP(OFFSET(Table22,400,21,1,1),OFFSET(Table2,0,1,ROWS(Table2),8),2,0),VLOOKUP(OFFSET(Table22,400,22,1,1),Table2,3,0))</f>
        <v>FRA_gaPMG_AZR_AZR_Q1_19_AzureDirect-Trial-Social</v>
      </c>
      <c r="H401" s="1" t="n">
        <f aca="false">IFERROR(VLOOKUP(OFFSET(Table22,400,21,1,1),OFFSET(Table2,0,1,ROWS(Table2),8),3,0),VLOOKUP(OFFSET(Table22,400,22,1,1),Table2,4,0))</f>
        <v>21356941</v>
      </c>
      <c r="I401" s="2" t="n">
        <f aca="false">IFERROR(VLOOKUP(OFFSET(Table22,400,21,1,1),OFFSET(Table2,0,1,ROWS(Table2),8),4,0),VLOOKUP(OFFSET(Table22,400,22,1,1),Table2,5,0))</f>
        <v>720193</v>
      </c>
      <c r="J401" s="3" t="str">
        <f aca="false">IF(ISNUMBER(SEARCH("FACEBOOK",W401)),"Facebook",IF(ISNUMBER(SEARCH("INSTAGRAM",W401)),"Facebook-Instagram","Look at taxonomy"))</f>
        <v>Facebook</v>
      </c>
      <c r="K401" s="3" t="str">
        <f aca="false">IF(ISNUMBER(SEARCH("Facebook",J401)),"3654128","Not Facebook")</f>
        <v>3654128</v>
      </c>
      <c r="L401" s="3" t="str">
        <f aca="false">IFERROR(VLOOKUP(OFFSET(Table22,400,21,1,1),OFFSET(Table2,0,1,ROWS(Table2),8),7,0),VLOOKUP(OFFSET(Table22,400,22,1,1),Table2,8,0))</f>
        <v>AZR_FreeAcctAppsFACEBOOKIllustrationChC_FRA_1200x628_SOC_PLAT_FR_Trial_Standard_NA_SINU_T3_1</v>
      </c>
      <c r="M401" s="2" t="n">
        <f aca="false">IFERROR(VLOOKUP(OFFSET(Table22,400,21,1,1),OFFSET(Table2,0,1,ROWS(Table2),8),8,0),VLOOKUP(OFFSET(Table22,400,22,1,1),Table2,9,0))</f>
        <v>103259550</v>
      </c>
      <c r="N401" s="15" t="s">
        <v>29</v>
      </c>
      <c r="O401" s="16" t="n">
        <v>43354</v>
      </c>
      <c r="P401" s="17" t="s">
        <v>102</v>
      </c>
      <c r="Q401" s="18" t="s">
        <v>103</v>
      </c>
      <c r="R401" s="17" t="s">
        <v>104</v>
      </c>
      <c r="S401" s="18" t="s">
        <v>33</v>
      </c>
      <c r="T401" s="17" t="s">
        <v>34</v>
      </c>
      <c r="U401" s="18" t="s">
        <v>39</v>
      </c>
      <c r="V401" s="19" t="n">
        <v>224560854</v>
      </c>
      <c r="W401" s="17" t="s">
        <v>120</v>
      </c>
      <c r="X401" s="17" t="n">
        <v>0</v>
      </c>
      <c r="Y401" s="17"/>
      <c r="Z401" s="17" t="n">
        <v>0</v>
      </c>
      <c r="AA401" s="17" t="s">
        <v>38</v>
      </c>
      <c r="AB401" s="17"/>
    </row>
    <row r="402" customFormat="false" ht="15" hidden="false" customHeight="false" outlineLevel="0" collapsed="false">
      <c r="A402" s="1" t="str">
        <f aca="false">OFFSET(Table22,401,14,1,1)&amp;OFFSET(Table22,401,21,1,1)</f>
        <v>43354224560854</v>
      </c>
      <c r="B402" s="1" t="str">
        <f aca="false">OFFSET(Table22,401,14,1,1)&amp;OFFSET(Table22,401,22,1,1)</f>
        <v>43354Facebook»Developers/ITPros-Azure Direct-Sponsored Post-Link Ad-FreeAcctAppsFACEBOOKIllustrationChC»1x1»SocialBan»LIA»ALL»CPC»BT»X»UNK»SS»NA»Trials_ID</v>
      </c>
      <c r="C402" s="1" t="s">
        <v>28</v>
      </c>
      <c r="D402" s="3" t="n">
        <f aca="false">O402+(7-WEEKDAY(O402))</f>
        <v>43358</v>
      </c>
      <c r="E402" s="1" t="str">
        <f aca="false">VLOOKUP(OFFSET(Table22,401,16,1,1),Key!B:D,2,0)</f>
        <v>France</v>
      </c>
      <c r="F402" s="1" t="str">
        <f aca="false">IF(ISNUMBER(SEARCH("Canvas",U402)),"Link",IF(ISNUMBER(SEARCH("Link",U402)),"Link","Not filled properly"))</f>
        <v>Link</v>
      </c>
      <c r="G402" s="1" t="str">
        <f aca="false">IFERROR(VLOOKUP(OFFSET(Table22,401,21,1,1),OFFSET(Table2,0,1,ROWS(Table2),8),2,0),VLOOKUP(OFFSET(Table22,401,22,1,1),Table2,3,0))</f>
        <v>FRA_gaPMG_AZR_AZR_Q1_19_AzureDirect-Trial-Social</v>
      </c>
      <c r="H402" s="1" t="n">
        <f aca="false">IFERROR(VLOOKUP(OFFSET(Table22,401,21,1,1),OFFSET(Table2,0,1,ROWS(Table2),8),3,0),VLOOKUP(OFFSET(Table22,401,22,1,1),Table2,4,0))</f>
        <v>21356941</v>
      </c>
      <c r="I402" s="2" t="n">
        <f aca="false">IFERROR(VLOOKUP(OFFSET(Table22,401,21,1,1),OFFSET(Table2,0,1,ROWS(Table2),8),4,0),VLOOKUP(OFFSET(Table22,401,22,1,1),Table2,5,0))</f>
        <v>720193</v>
      </c>
      <c r="J402" s="3" t="str">
        <f aca="false">IF(ISNUMBER(SEARCH("FACEBOOK",W402)),"Facebook",IF(ISNUMBER(SEARCH("INSTAGRAM",W402)),"Facebook-Instagram","Look at taxonomy"))</f>
        <v>Facebook</v>
      </c>
      <c r="K402" s="3" t="str">
        <f aca="false">IF(ISNUMBER(SEARCH("Facebook",J402)),"3654128","Not Facebook")</f>
        <v>3654128</v>
      </c>
      <c r="L402" s="3" t="str">
        <f aca="false">IFERROR(VLOOKUP(OFFSET(Table22,401,21,1,1),OFFSET(Table2,0,1,ROWS(Table2),8),7,0),VLOOKUP(OFFSET(Table22,401,22,1,1),Table2,8,0))</f>
        <v>AZR_FreeAcctAppsFACEBOOKIllustrationChC_FRA_1200x628_SOC_PLAT_FR_Trial_Standard_NA_SINU_T3_1</v>
      </c>
      <c r="M402" s="2" t="n">
        <f aca="false">IFERROR(VLOOKUP(OFFSET(Table22,401,21,1,1),OFFSET(Table2,0,1,ROWS(Table2),8),8,0),VLOOKUP(OFFSET(Table22,401,22,1,1),Table2,9,0))</f>
        <v>103259550</v>
      </c>
      <c r="N402" s="15" t="s">
        <v>29</v>
      </c>
      <c r="O402" s="16" t="n">
        <v>43354</v>
      </c>
      <c r="P402" s="17" t="s">
        <v>102</v>
      </c>
      <c r="Q402" s="18" t="s">
        <v>103</v>
      </c>
      <c r="R402" s="17" t="s">
        <v>104</v>
      </c>
      <c r="S402" s="18" t="s">
        <v>33</v>
      </c>
      <c r="T402" s="17" t="s">
        <v>34</v>
      </c>
      <c r="U402" s="18" t="s">
        <v>39</v>
      </c>
      <c r="V402" s="19" t="n">
        <v>224560854</v>
      </c>
      <c r="W402" s="17" t="s">
        <v>120</v>
      </c>
      <c r="X402" s="17" t="n">
        <v>0</v>
      </c>
      <c r="Y402" s="17"/>
      <c r="Z402" s="17" t="n">
        <v>0</v>
      </c>
      <c r="AA402" s="17" t="s">
        <v>38</v>
      </c>
      <c r="AB402" s="17"/>
    </row>
    <row r="403" customFormat="false" ht="15" hidden="false" customHeight="false" outlineLevel="0" collapsed="false">
      <c r="A403" s="1" t="str">
        <f aca="false">OFFSET(Table22,402,14,1,1)&amp;OFFSET(Table22,402,21,1,1)</f>
        <v>43353224560854</v>
      </c>
      <c r="B403" s="1" t="str">
        <f aca="false">OFFSET(Table22,402,14,1,1)&amp;OFFSET(Table22,402,22,1,1)</f>
        <v>43353Facebook»Developers/ITPros-Azure Direct-Sponsored Post-Link Ad-FreeAcctAppsFACEBOOKIllustrationChC»1x1»SocialBan»LIA»ALL»CPC»BT»X»UNK»SS»NA»Trials_ID</v>
      </c>
      <c r="C403" s="1" t="s">
        <v>28</v>
      </c>
      <c r="D403" s="3" t="n">
        <f aca="false">O403+(7-WEEKDAY(O403))</f>
        <v>43358</v>
      </c>
      <c r="E403" s="1" t="str">
        <f aca="false">VLOOKUP(OFFSET(Table22,402,16,1,1),Key!B:D,2,0)</f>
        <v>France</v>
      </c>
      <c r="F403" s="1" t="str">
        <f aca="false">IF(ISNUMBER(SEARCH("Canvas",U403)),"Link",IF(ISNUMBER(SEARCH("Link",U403)),"Link","Not filled properly"))</f>
        <v>Link</v>
      </c>
      <c r="G403" s="1" t="str">
        <f aca="false">IFERROR(VLOOKUP(OFFSET(Table22,402,21,1,1),OFFSET(Table2,0,1,ROWS(Table2),8),2,0),VLOOKUP(OFFSET(Table22,402,22,1,1),Table2,3,0))</f>
        <v>FRA_gaPMG_AZR_AZR_Q1_19_AzureDirect-Trial-Social</v>
      </c>
      <c r="H403" s="1" t="n">
        <f aca="false">IFERROR(VLOOKUP(OFFSET(Table22,402,21,1,1),OFFSET(Table2,0,1,ROWS(Table2),8),3,0),VLOOKUP(OFFSET(Table22,402,22,1,1),Table2,4,0))</f>
        <v>21356941</v>
      </c>
      <c r="I403" s="2" t="n">
        <f aca="false">IFERROR(VLOOKUP(OFFSET(Table22,402,21,1,1),OFFSET(Table2,0,1,ROWS(Table2),8),4,0),VLOOKUP(OFFSET(Table22,402,22,1,1),Table2,5,0))</f>
        <v>720193</v>
      </c>
      <c r="J403" s="3" t="str">
        <f aca="false">IF(ISNUMBER(SEARCH("FACEBOOK",W403)),"Facebook",IF(ISNUMBER(SEARCH("INSTAGRAM",W403)),"Facebook-Instagram","Look at taxonomy"))</f>
        <v>Facebook</v>
      </c>
      <c r="K403" s="3" t="str">
        <f aca="false">IF(ISNUMBER(SEARCH("Facebook",J403)),"3654128","Not Facebook")</f>
        <v>3654128</v>
      </c>
      <c r="L403" s="3" t="str">
        <f aca="false">IFERROR(VLOOKUP(OFFSET(Table22,402,21,1,1),OFFSET(Table2,0,1,ROWS(Table2),8),7,0),VLOOKUP(OFFSET(Table22,402,22,1,1),Table2,8,0))</f>
        <v>AZR_FreeAcctAppsFACEBOOKIllustrationChC_FRA_1200x628_SOC_PLAT_FR_Trial_Standard_NA_SINU_T3_1</v>
      </c>
      <c r="M403" s="2" t="n">
        <f aca="false">IFERROR(VLOOKUP(OFFSET(Table22,402,21,1,1),OFFSET(Table2,0,1,ROWS(Table2),8),8,0),VLOOKUP(OFFSET(Table22,402,22,1,1),Table2,9,0))</f>
        <v>103259550</v>
      </c>
      <c r="N403" s="15" t="s">
        <v>29</v>
      </c>
      <c r="O403" s="16" t="n">
        <v>43353</v>
      </c>
      <c r="P403" s="17" t="s">
        <v>102</v>
      </c>
      <c r="Q403" s="18" t="s">
        <v>103</v>
      </c>
      <c r="R403" s="17" t="s">
        <v>104</v>
      </c>
      <c r="S403" s="18" t="s">
        <v>33</v>
      </c>
      <c r="T403" s="17" t="s">
        <v>34</v>
      </c>
      <c r="U403" s="18" t="s">
        <v>39</v>
      </c>
      <c r="V403" s="19" t="n">
        <v>224560854</v>
      </c>
      <c r="W403" s="17" t="s">
        <v>120</v>
      </c>
      <c r="X403" s="17" t="n">
        <v>0</v>
      </c>
      <c r="Y403" s="17"/>
      <c r="Z403" s="17" t="n">
        <v>0</v>
      </c>
      <c r="AA403" s="17" t="s">
        <v>38</v>
      </c>
      <c r="AB403" s="17"/>
    </row>
    <row r="404" customFormat="false" ht="15" hidden="false" customHeight="false" outlineLevel="0" collapsed="false">
      <c r="A404" s="1" t="str">
        <f aca="false">OFFSET(Table22,403,14,1,1)&amp;OFFSET(Table22,403,21,1,1)</f>
        <v>43353224560854</v>
      </c>
      <c r="B404" s="1" t="str">
        <f aca="false">OFFSET(Table22,403,14,1,1)&amp;OFFSET(Table22,403,22,1,1)</f>
        <v>43353Facebook»Developers/ITPros-Azure Direct-Sponsored Post-Link Ad-FreeAcctAppsFACEBOOKIllustrationChC»1x1»SocialBan»LIA»ALL»CPC»BT»X»UNK»SS»NA»Trials_ID</v>
      </c>
      <c r="C404" s="1" t="s">
        <v>28</v>
      </c>
      <c r="D404" s="3" t="n">
        <f aca="false">O404+(7-WEEKDAY(O404))</f>
        <v>43358</v>
      </c>
      <c r="E404" s="1" t="str">
        <f aca="false">VLOOKUP(OFFSET(Table22,403,16,1,1),Key!B:D,2,0)</f>
        <v>France</v>
      </c>
      <c r="F404" s="1" t="str">
        <f aca="false">IF(ISNUMBER(SEARCH("Canvas",U404)),"Link",IF(ISNUMBER(SEARCH("Link",U404)),"Link","Not filled properly"))</f>
        <v>Link</v>
      </c>
      <c r="G404" s="1" t="str">
        <f aca="false">IFERROR(VLOOKUP(OFFSET(Table22,403,21,1,1),OFFSET(Table2,0,1,ROWS(Table2),8),2,0),VLOOKUP(OFFSET(Table22,403,22,1,1),Table2,3,0))</f>
        <v>FRA_gaPMG_AZR_AZR_Q1_19_AzureDirect-Trial-Social</v>
      </c>
      <c r="H404" s="1" t="n">
        <f aca="false">IFERROR(VLOOKUP(OFFSET(Table22,403,21,1,1),OFFSET(Table2,0,1,ROWS(Table2),8),3,0),VLOOKUP(OFFSET(Table22,403,22,1,1),Table2,4,0))</f>
        <v>21356941</v>
      </c>
      <c r="I404" s="2" t="n">
        <f aca="false">IFERROR(VLOOKUP(OFFSET(Table22,403,21,1,1),OFFSET(Table2,0,1,ROWS(Table2),8),4,0),VLOOKUP(OFFSET(Table22,403,22,1,1),Table2,5,0))</f>
        <v>720193</v>
      </c>
      <c r="J404" s="3" t="str">
        <f aca="false">IF(ISNUMBER(SEARCH("FACEBOOK",W404)),"Facebook",IF(ISNUMBER(SEARCH("INSTAGRAM",W404)),"Facebook-Instagram","Look at taxonomy"))</f>
        <v>Facebook</v>
      </c>
      <c r="K404" s="3" t="str">
        <f aca="false">IF(ISNUMBER(SEARCH("Facebook",J404)),"3654128","Not Facebook")</f>
        <v>3654128</v>
      </c>
      <c r="L404" s="3" t="str">
        <f aca="false">IFERROR(VLOOKUP(OFFSET(Table22,403,21,1,1),OFFSET(Table2,0,1,ROWS(Table2),8),7,0),VLOOKUP(OFFSET(Table22,403,22,1,1),Table2,8,0))</f>
        <v>AZR_FreeAcctAppsFACEBOOKIllustrationChC_FRA_1200x628_SOC_PLAT_FR_Trial_Standard_NA_SINU_T3_1</v>
      </c>
      <c r="M404" s="2" t="n">
        <f aca="false">IFERROR(VLOOKUP(OFFSET(Table22,403,21,1,1),OFFSET(Table2,0,1,ROWS(Table2),8),8,0),VLOOKUP(OFFSET(Table22,403,22,1,1),Table2,9,0))</f>
        <v>103259550</v>
      </c>
      <c r="N404" s="15" t="s">
        <v>29</v>
      </c>
      <c r="O404" s="16" t="n">
        <v>43353</v>
      </c>
      <c r="P404" s="17" t="s">
        <v>102</v>
      </c>
      <c r="Q404" s="18" t="s">
        <v>103</v>
      </c>
      <c r="R404" s="17" t="s">
        <v>104</v>
      </c>
      <c r="S404" s="18" t="s">
        <v>33</v>
      </c>
      <c r="T404" s="17" t="s">
        <v>34</v>
      </c>
      <c r="U404" s="18" t="s">
        <v>39</v>
      </c>
      <c r="V404" s="19" t="n">
        <v>224560854</v>
      </c>
      <c r="W404" s="17" t="s">
        <v>120</v>
      </c>
      <c r="X404" s="17" t="n">
        <v>0</v>
      </c>
      <c r="Y404" s="17"/>
      <c r="Z404" s="17" t="n">
        <v>0</v>
      </c>
      <c r="AA404" s="17" t="s">
        <v>38</v>
      </c>
      <c r="AB404" s="17"/>
    </row>
    <row r="405" customFormat="false" ht="15" hidden="false" customHeight="false" outlineLevel="0" collapsed="false">
      <c r="A405" s="1" t="str">
        <f aca="false">OFFSET(Table22,404,14,1,1)&amp;OFFSET(Table22,404,21,1,1)</f>
        <v>43352224560854</v>
      </c>
      <c r="B405" s="1" t="str">
        <f aca="false">OFFSET(Table22,404,14,1,1)&amp;OFFSET(Table22,404,22,1,1)</f>
        <v>43352Facebook»Developers/ITPros-Azure Direct-Sponsored Post-Link Ad-FreeAcctAppsFACEBOOKIllustrationChC»1x1»SocialBan»LIA»ALL»CPC»BT»X»UNK»SS»NA»Trials_ID</v>
      </c>
      <c r="C405" s="1" t="s">
        <v>28</v>
      </c>
      <c r="D405" s="3" t="n">
        <f aca="false">O405+(7-WEEKDAY(O405))</f>
        <v>43358</v>
      </c>
      <c r="E405" s="1" t="str">
        <f aca="false">VLOOKUP(OFFSET(Table22,404,16,1,1),Key!B:D,2,0)</f>
        <v>France</v>
      </c>
      <c r="F405" s="1" t="str">
        <f aca="false">IF(ISNUMBER(SEARCH("Canvas",U405)),"Link",IF(ISNUMBER(SEARCH("Link",U405)),"Link","Not filled properly"))</f>
        <v>Link</v>
      </c>
      <c r="G405" s="1" t="str">
        <f aca="false">IFERROR(VLOOKUP(OFFSET(Table22,404,21,1,1),OFFSET(Table2,0,1,ROWS(Table2),8),2,0),VLOOKUP(OFFSET(Table22,404,22,1,1),Table2,3,0))</f>
        <v>FRA_gaPMG_AZR_AZR_Q1_19_AzureDirect-Trial-Social</v>
      </c>
      <c r="H405" s="1" t="n">
        <f aca="false">IFERROR(VLOOKUP(OFFSET(Table22,404,21,1,1),OFFSET(Table2,0,1,ROWS(Table2),8),3,0),VLOOKUP(OFFSET(Table22,404,22,1,1),Table2,4,0))</f>
        <v>21356941</v>
      </c>
      <c r="I405" s="2" t="n">
        <f aca="false">IFERROR(VLOOKUP(OFFSET(Table22,404,21,1,1),OFFSET(Table2,0,1,ROWS(Table2),8),4,0),VLOOKUP(OFFSET(Table22,404,22,1,1),Table2,5,0))</f>
        <v>720193</v>
      </c>
      <c r="J405" s="3" t="str">
        <f aca="false">IF(ISNUMBER(SEARCH("FACEBOOK",W405)),"Facebook",IF(ISNUMBER(SEARCH("INSTAGRAM",W405)),"Facebook-Instagram","Look at taxonomy"))</f>
        <v>Facebook</v>
      </c>
      <c r="K405" s="3" t="str">
        <f aca="false">IF(ISNUMBER(SEARCH("Facebook",J405)),"3654128","Not Facebook")</f>
        <v>3654128</v>
      </c>
      <c r="L405" s="3" t="str">
        <f aca="false">IFERROR(VLOOKUP(OFFSET(Table22,404,21,1,1),OFFSET(Table2,0,1,ROWS(Table2),8),7,0),VLOOKUP(OFFSET(Table22,404,22,1,1),Table2,8,0))</f>
        <v>AZR_FreeAcctAppsFACEBOOKIllustrationChC_FRA_1200x628_SOC_PLAT_FR_Trial_Standard_NA_SINU_T3_1</v>
      </c>
      <c r="M405" s="2" t="n">
        <f aca="false">IFERROR(VLOOKUP(OFFSET(Table22,404,21,1,1),OFFSET(Table2,0,1,ROWS(Table2),8),8,0),VLOOKUP(OFFSET(Table22,404,22,1,1),Table2,9,0))</f>
        <v>103259550</v>
      </c>
      <c r="N405" s="15" t="s">
        <v>29</v>
      </c>
      <c r="O405" s="16" t="n">
        <v>43352</v>
      </c>
      <c r="P405" s="17" t="s">
        <v>102</v>
      </c>
      <c r="Q405" s="18" t="s">
        <v>103</v>
      </c>
      <c r="R405" s="17" t="s">
        <v>104</v>
      </c>
      <c r="S405" s="18" t="s">
        <v>33</v>
      </c>
      <c r="T405" s="17" t="s">
        <v>34</v>
      </c>
      <c r="U405" s="18" t="s">
        <v>39</v>
      </c>
      <c r="V405" s="19" t="n">
        <v>224560854</v>
      </c>
      <c r="W405" s="17" t="s">
        <v>120</v>
      </c>
      <c r="X405" s="17" t="n">
        <v>0</v>
      </c>
      <c r="Y405" s="17"/>
      <c r="Z405" s="17" t="n">
        <v>0</v>
      </c>
      <c r="AA405" s="17" t="s">
        <v>38</v>
      </c>
      <c r="AB405" s="17"/>
    </row>
    <row r="406" customFormat="false" ht="15" hidden="false" customHeight="false" outlineLevel="0" collapsed="false">
      <c r="A406" s="1" t="str">
        <f aca="false">OFFSET(Table22,405,14,1,1)&amp;OFFSET(Table22,405,21,1,1)</f>
        <v>43352224560854</v>
      </c>
      <c r="B406" s="1" t="str">
        <f aca="false">OFFSET(Table22,405,14,1,1)&amp;OFFSET(Table22,405,22,1,1)</f>
        <v>43352Facebook»Developers/ITPros-Azure Direct-Sponsored Post-Link Ad-FreeAcctAppsFACEBOOKIllustrationChC»1x1»SocialBan»LIA»ALL»CPC»BT»X»UNK»SS»NA»Trials_ID</v>
      </c>
      <c r="C406" s="1" t="s">
        <v>28</v>
      </c>
      <c r="D406" s="3" t="n">
        <f aca="false">O406+(7-WEEKDAY(O406))</f>
        <v>43358</v>
      </c>
      <c r="E406" s="1" t="str">
        <f aca="false">VLOOKUP(OFFSET(Table22,405,16,1,1),Key!B:D,2,0)</f>
        <v>France</v>
      </c>
      <c r="F406" s="1" t="str">
        <f aca="false">IF(ISNUMBER(SEARCH("Canvas",U406)),"Link",IF(ISNUMBER(SEARCH("Link",U406)),"Link","Not filled properly"))</f>
        <v>Link</v>
      </c>
      <c r="G406" s="1" t="str">
        <f aca="false">IFERROR(VLOOKUP(OFFSET(Table22,405,21,1,1),OFFSET(Table2,0,1,ROWS(Table2),8),2,0),VLOOKUP(OFFSET(Table22,405,22,1,1),Table2,3,0))</f>
        <v>FRA_gaPMG_AZR_AZR_Q1_19_AzureDirect-Trial-Social</v>
      </c>
      <c r="H406" s="1" t="n">
        <f aca="false">IFERROR(VLOOKUP(OFFSET(Table22,405,21,1,1),OFFSET(Table2,0,1,ROWS(Table2),8),3,0),VLOOKUP(OFFSET(Table22,405,22,1,1),Table2,4,0))</f>
        <v>21356941</v>
      </c>
      <c r="I406" s="2" t="n">
        <f aca="false">IFERROR(VLOOKUP(OFFSET(Table22,405,21,1,1),OFFSET(Table2,0,1,ROWS(Table2),8),4,0),VLOOKUP(OFFSET(Table22,405,22,1,1),Table2,5,0))</f>
        <v>720193</v>
      </c>
      <c r="J406" s="3" t="str">
        <f aca="false">IF(ISNUMBER(SEARCH("FACEBOOK",W406)),"Facebook",IF(ISNUMBER(SEARCH("INSTAGRAM",W406)),"Facebook-Instagram","Look at taxonomy"))</f>
        <v>Facebook</v>
      </c>
      <c r="K406" s="3" t="str">
        <f aca="false">IF(ISNUMBER(SEARCH("Facebook",J406)),"3654128","Not Facebook")</f>
        <v>3654128</v>
      </c>
      <c r="L406" s="3" t="str">
        <f aca="false">IFERROR(VLOOKUP(OFFSET(Table22,405,21,1,1),OFFSET(Table2,0,1,ROWS(Table2),8),7,0),VLOOKUP(OFFSET(Table22,405,22,1,1),Table2,8,0))</f>
        <v>AZR_FreeAcctAppsFACEBOOKIllustrationChC_FRA_1200x628_SOC_PLAT_FR_Trial_Standard_NA_SINU_T3_1</v>
      </c>
      <c r="M406" s="2" t="n">
        <f aca="false">IFERROR(VLOOKUP(OFFSET(Table22,405,21,1,1),OFFSET(Table2,0,1,ROWS(Table2),8),8,0),VLOOKUP(OFFSET(Table22,405,22,1,1),Table2,9,0))</f>
        <v>103259550</v>
      </c>
      <c r="N406" s="15" t="s">
        <v>29</v>
      </c>
      <c r="O406" s="16" t="n">
        <v>43352</v>
      </c>
      <c r="P406" s="17" t="s">
        <v>102</v>
      </c>
      <c r="Q406" s="18" t="s">
        <v>103</v>
      </c>
      <c r="R406" s="17" t="s">
        <v>104</v>
      </c>
      <c r="S406" s="18" t="s">
        <v>33</v>
      </c>
      <c r="T406" s="17" t="s">
        <v>34</v>
      </c>
      <c r="U406" s="18" t="s">
        <v>39</v>
      </c>
      <c r="V406" s="19" t="n">
        <v>224560854</v>
      </c>
      <c r="W406" s="17" t="s">
        <v>120</v>
      </c>
      <c r="X406" s="17" t="n">
        <v>0</v>
      </c>
      <c r="Y406" s="17"/>
      <c r="Z406" s="17" t="n">
        <v>0</v>
      </c>
      <c r="AA406" s="17" t="s">
        <v>38</v>
      </c>
      <c r="AB406" s="17"/>
    </row>
    <row r="407" customFormat="false" ht="15" hidden="false" customHeight="false" outlineLevel="0" collapsed="false">
      <c r="A407" s="1" t="str">
        <f aca="false">OFFSET(Table22,406,14,1,1)&amp;OFFSET(Table22,406,21,1,1)</f>
        <v>43358224560851</v>
      </c>
      <c r="B407" s="1" t="str">
        <f aca="false">OFFSET(Table22,406,14,1,1)&amp;OFFSET(Table22,406,22,1,1)</f>
        <v>43358Facebook»Developers/ITPros-Azure Direct-Sponsored Post-Link Ad-FreeAcctAppsFACEBOOKLifestyleChA»1x1»SocialBan»LIA»ALL»CPC»BT»X»UNK»SS»NA»Trials_ID</v>
      </c>
      <c r="C407" s="1" t="s">
        <v>28</v>
      </c>
      <c r="D407" s="3" t="n">
        <f aca="false">O407+(7-WEEKDAY(O407))</f>
        <v>43358</v>
      </c>
      <c r="E407" s="1" t="str">
        <f aca="false">VLOOKUP(OFFSET(Table22,406,16,1,1),Key!B:D,2,0)</f>
        <v>France</v>
      </c>
      <c r="F407" s="1" t="str">
        <f aca="false">IF(ISNUMBER(SEARCH("Canvas",U407)),"Link",IF(ISNUMBER(SEARCH("Link",U407)),"Link","Not filled properly"))</f>
        <v>Link</v>
      </c>
      <c r="G407" s="1" t="str">
        <f aca="false">IFERROR(VLOOKUP(OFFSET(Table22,406,21,1,1),OFFSET(Table2,0,1,ROWS(Table2),8),2,0),VLOOKUP(OFFSET(Table22,406,22,1,1),Table2,3,0))</f>
        <v>FRA_gaPMG_AZR_AZR_Q1_19_AzureDirect-Trial-Social</v>
      </c>
      <c r="H407" s="1" t="n">
        <f aca="false">IFERROR(VLOOKUP(OFFSET(Table22,406,21,1,1),OFFSET(Table2,0,1,ROWS(Table2),8),3,0),VLOOKUP(OFFSET(Table22,406,22,1,1),Table2,4,0))</f>
        <v>21356941</v>
      </c>
      <c r="I407" s="2" t="n">
        <f aca="false">IFERROR(VLOOKUP(OFFSET(Table22,406,21,1,1),OFFSET(Table2,0,1,ROWS(Table2),8),4,0),VLOOKUP(OFFSET(Table22,406,22,1,1),Table2,5,0))</f>
        <v>720193</v>
      </c>
      <c r="J407" s="3" t="str">
        <f aca="false">IF(ISNUMBER(SEARCH("FACEBOOK",W407)),"Facebook",IF(ISNUMBER(SEARCH("INSTAGRAM",W407)),"Facebook-Instagram","Look at taxonomy"))</f>
        <v>Facebook</v>
      </c>
      <c r="K407" s="3" t="str">
        <f aca="false">IF(ISNUMBER(SEARCH("Facebook",J407)),"3654128","Not Facebook")</f>
        <v>3654128</v>
      </c>
      <c r="L407" s="3" t="str">
        <f aca="false">IFERROR(VLOOKUP(OFFSET(Table22,406,21,1,1),OFFSET(Table2,0,1,ROWS(Table2),8),7,0),VLOOKUP(OFFSET(Table22,406,22,1,1),Table2,8,0))</f>
        <v>AZR_FreeAcctAppsFACEBOOKLifestyleChA_FRA_1200x628_SOC_PLAT_FR_Trial_Standard_NA_SINU_T1_1</v>
      </c>
      <c r="M407" s="2" t="n">
        <f aca="false">IFERROR(VLOOKUP(OFFSET(Table22,406,21,1,1),OFFSET(Table2,0,1,ROWS(Table2),8),8,0),VLOOKUP(OFFSET(Table22,406,22,1,1),Table2,9,0))</f>
        <v>103259562</v>
      </c>
      <c r="N407" s="15" t="s">
        <v>29</v>
      </c>
      <c r="O407" s="16" t="n">
        <v>43358</v>
      </c>
      <c r="P407" s="17" t="s">
        <v>102</v>
      </c>
      <c r="Q407" s="18" t="s">
        <v>103</v>
      </c>
      <c r="R407" s="17" t="s">
        <v>104</v>
      </c>
      <c r="S407" s="18" t="s">
        <v>33</v>
      </c>
      <c r="T407" s="17" t="s">
        <v>34</v>
      </c>
      <c r="U407" s="18" t="s">
        <v>39</v>
      </c>
      <c r="V407" s="19" t="n">
        <v>224560851</v>
      </c>
      <c r="W407" s="17" t="s">
        <v>121</v>
      </c>
      <c r="X407" s="17" t="n">
        <v>0</v>
      </c>
      <c r="Y407" s="17"/>
      <c r="Z407" s="17" t="n">
        <v>0</v>
      </c>
      <c r="AA407" s="17" t="s">
        <v>38</v>
      </c>
      <c r="AB407" s="17"/>
    </row>
    <row r="408" customFormat="false" ht="15" hidden="false" customHeight="false" outlineLevel="0" collapsed="false">
      <c r="A408" s="1" t="str">
        <f aca="false">OFFSET(Table22,407,14,1,1)&amp;OFFSET(Table22,407,21,1,1)</f>
        <v>43358224560851</v>
      </c>
      <c r="B408" s="1" t="str">
        <f aca="false">OFFSET(Table22,407,14,1,1)&amp;OFFSET(Table22,407,22,1,1)</f>
        <v>43358Facebook»Developers/ITPros-Azure Direct-Sponsored Post-Link Ad-FreeAcctAppsFACEBOOKLifestyleChA»1x1»SocialBan»LIA»ALL»CPC»BT»X»UNK»SS»NA»Trials_ID</v>
      </c>
      <c r="C408" s="1" t="s">
        <v>28</v>
      </c>
      <c r="D408" s="3" t="n">
        <f aca="false">O408+(7-WEEKDAY(O408))</f>
        <v>43358</v>
      </c>
      <c r="E408" s="1" t="str">
        <f aca="false">VLOOKUP(OFFSET(Table22,407,16,1,1),Key!B:D,2,0)</f>
        <v>France</v>
      </c>
      <c r="F408" s="1" t="str">
        <f aca="false">IF(ISNUMBER(SEARCH("Canvas",U408)),"Link",IF(ISNUMBER(SEARCH("Link",U408)),"Link","Not filled properly"))</f>
        <v>Link</v>
      </c>
      <c r="G408" s="1" t="str">
        <f aca="false">IFERROR(VLOOKUP(OFFSET(Table22,407,21,1,1),OFFSET(Table2,0,1,ROWS(Table2),8),2,0),VLOOKUP(OFFSET(Table22,407,22,1,1),Table2,3,0))</f>
        <v>FRA_gaPMG_AZR_AZR_Q1_19_AzureDirect-Trial-Social</v>
      </c>
      <c r="H408" s="1" t="n">
        <f aca="false">IFERROR(VLOOKUP(OFFSET(Table22,407,21,1,1),OFFSET(Table2,0,1,ROWS(Table2),8),3,0),VLOOKUP(OFFSET(Table22,407,22,1,1),Table2,4,0))</f>
        <v>21356941</v>
      </c>
      <c r="I408" s="2" t="n">
        <f aca="false">IFERROR(VLOOKUP(OFFSET(Table22,407,21,1,1),OFFSET(Table2,0,1,ROWS(Table2),8),4,0),VLOOKUP(OFFSET(Table22,407,22,1,1),Table2,5,0))</f>
        <v>720193</v>
      </c>
      <c r="J408" s="3" t="str">
        <f aca="false">IF(ISNUMBER(SEARCH("FACEBOOK",W408)),"Facebook",IF(ISNUMBER(SEARCH("INSTAGRAM",W408)),"Facebook-Instagram","Look at taxonomy"))</f>
        <v>Facebook</v>
      </c>
      <c r="K408" s="3" t="str">
        <f aca="false">IF(ISNUMBER(SEARCH("Facebook",J408)),"3654128","Not Facebook")</f>
        <v>3654128</v>
      </c>
      <c r="L408" s="3" t="str">
        <f aca="false">IFERROR(VLOOKUP(OFFSET(Table22,407,21,1,1),OFFSET(Table2,0,1,ROWS(Table2),8),7,0),VLOOKUP(OFFSET(Table22,407,22,1,1),Table2,8,0))</f>
        <v>AZR_FreeAcctAppsFACEBOOKLifestyleChA_FRA_1200x628_SOC_PLAT_FR_Trial_Standard_NA_SINU_T1_1</v>
      </c>
      <c r="M408" s="2" t="n">
        <f aca="false">IFERROR(VLOOKUP(OFFSET(Table22,407,21,1,1),OFFSET(Table2,0,1,ROWS(Table2),8),8,0),VLOOKUP(OFFSET(Table22,407,22,1,1),Table2,9,0))</f>
        <v>103259562</v>
      </c>
      <c r="N408" s="15" t="s">
        <v>29</v>
      </c>
      <c r="O408" s="16" t="n">
        <v>43358</v>
      </c>
      <c r="P408" s="17" t="s">
        <v>102</v>
      </c>
      <c r="Q408" s="18" t="s">
        <v>103</v>
      </c>
      <c r="R408" s="17" t="s">
        <v>104</v>
      </c>
      <c r="S408" s="18" t="s">
        <v>33</v>
      </c>
      <c r="T408" s="17" t="s">
        <v>34</v>
      </c>
      <c r="U408" s="18" t="s">
        <v>39</v>
      </c>
      <c r="V408" s="19" t="n">
        <v>224560851</v>
      </c>
      <c r="W408" s="17" t="s">
        <v>121</v>
      </c>
      <c r="X408" s="17" t="n">
        <v>0</v>
      </c>
      <c r="Y408" s="17"/>
      <c r="Z408" s="17" t="n">
        <v>0</v>
      </c>
      <c r="AA408" s="17" t="s">
        <v>38</v>
      </c>
      <c r="AB408" s="17"/>
    </row>
    <row r="409" customFormat="false" ht="15" hidden="false" customHeight="false" outlineLevel="0" collapsed="false">
      <c r="A409" s="1" t="str">
        <f aca="false">OFFSET(Table22,408,14,1,1)&amp;OFFSET(Table22,408,21,1,1)</f>
        <v>43357224560851</v>
      </c>
      <c r="B409" s="1" t="str">
        <f aca="false">OFFSET(Table22,408,14,1,1)&amp;OFFSET(Table22,408,22,1,1)</f>
        <v>43357Facebook»Developers/ITPros-Azure Direct-Sponsored Post-Link Ad-FreeAcctAppsFACEBOOKLifestyleChA»1x1»SocialBan»LIA»ALL»CPC»BT»X»UNK»SS»NA»Trials_ID</v>
      </c>
      <c r="C409" s="1" t="s">
        <v>28</v>
      </c>
      <c r="D409" s="3" t="n">
        <f aca="false">O409+(7-WEEKDAY(O409))</f>
        <v>43358</v>
      </c>
      <c r="E409" s="1" t="str">
        <f aca="false">VLOOKUP(OFFSET(Table22,408,16,1,1),Key!B:D,2,0)</f>
        <v>France</v>
      </c>
      <c r="F409" s="1" t="str">
        <f aca="false">IF(ISNUMBER(SEARCH("Canvas",U409)),"Link",IF(ISNUMBER(SEARCH("Link",U409)),"Link","Not filled properly"))</f>
        <v>Link</v>
      </c>
      <c r="G409" s="1" t="str">
        <f aca="false">IFERROR(VLOOKUP(OFFSET(Table22,408,21,1,1),OFFSET(Table2,0,1,ROWS(Table2),8),2,0),VLOOKUP(OFFSET(Table22,408,22,1,1),Table2,3,0))</f>
        <v>FRA_gaPMG_AZR_AZR_Q1_19_AzureDirect-Trial-Social</v>
      </c>
      <c r="H409" s="1" t="n">
        <f aca="false">IFERROR(VLOOKUP(OFFSET(Table22,408,21,1,1),OFFSET(Table2,0,1,ROWS(Table2),8),3,0),VLOOKUP(OFFSET(Table22,408,22,1,1),Table2,4,0))</f>
        <v>21356941</v>
      </c>
      <c r="I409" s="2" t="n">
        <f aca="false">IFERROR(VLOOKUP(OFFSET(Table22,408,21,1,1),OFFSET(Table2,0,1,ROWS(Table2),8),4,0),VLOOKUP(OFFSET(Table22,408,22,1,1),Table2,5,0))</f>
        <v>720193</v>
      </c>
      <c r="J409" s="3" t="str">
        <f aca="false">IF(ISNUMBER(SEARCH("FACEBOOK",W409)),"Facebook",IF(ISNUMBER(SEARCH("INSTAGRAM",W409)),"Facebook-Instagram","Look at taxonomy"))</f>
        <v>Facebook</v>
      </c>
      <c r="K409" s="3" t="str">
        <f aca="false">IF(ISNUMBER(SEARCH("Facebook",J409)),"3654128","Not Facebook")</f>
        <v>3654128</v>
      </c>
      <c r="L409" s="3" t="str">
        <f aca="false">IFERROR(VLOOKUP(OFFSET(Table22,408,21,1,1),OFFSET(Table2,0,1,ROWS(Table2),8),7,0),VLOOKUP(OFFSET(Table22,408,22,1,1),Table2,8,0))</f>
        <v>AZR_FreeAcctAppsFACEBOOKLifestyleChA_FRA_1200x628_SOC_PLAT_FR_Trial_Standard_NA_SINU_T1_1</v>
      </c>
      <c r="M409" s="2" t="n">
        <f aca="false">IFERROR(VLOOKUP(OFFSET(Table22,408,21,1,1),OFFSET(Table2,0,1,ROWS(Table2),8),8,0),VLOOKUP(OFFSET(Table22,408,22,1,1),Table2,9,0))</f>
        <v>103259562</v>
      </c>
      <c r="N409" s="15" t="s">
        <v>29</v>
      </c>
      <c r="O409" s="16" t="n">
        <v>43357</v>
      </c>
      <c r="P409" s="17" t="s">
        <v>102</v>
      </c>
      <c r="Q409" s="18" t="s">
        <v>103</v>
      </c>
      <c r="R409" s="17" t="s">
        <v>104</v>
      </c>
      <c r="S409" s="18" t="s">
        <v>33</v>
      </c>
      <c r="T409" s="17" t="s">
        <v>34</v>
      </c>
      <c r="U409" s="18" t="s">
        <v>39</v>
      </c>
      <c r="V409" s="19" t="n">
        <v>224560851</v>
      </c>
      <c r="W409" s="17" t="s">
        <v>121</v>
      </c>
      <c r="X409" s="17" t="n">
        <v>0</v>
      </c>
      <c r="Y409" s="17"/>
      <c r="Z409" s="17" t="n">
        <v>0</v>
      </c>
      <c r="AA409" s="17" t="s">
        <v>38</v>
      </c>
      <c r="AB409" s="17"/>
    </row>
    <row r="410" customFormat="false" ht="15" hidden="false" customHeight="false" outlineLevel="0" collapsed="false">
      <c r="A410" s="1" t="str">
        <f aca="false">OFFSET(Table22,409,14,1,1)&amp;OFFSET(Table22,409,21,1,1)</f>
        <v>43357224560851</v>
      </c>
      <c r="B410" s="1" t="str">
        <f aca="false">OFFSET(Table22,409,14,1,1)&amp;OFFSET(Table22,409,22,1,1)</f>
        <v>43357Facebook»Developers/ITPros-Azure Direct-Sponsored Post-Link Ad-FreeAcctAppsFACEBOOKLifestyleChA»1x1»SocialBan»LIA»ALL»CPC»BT»X»UNK»SS»NA»Trials_ID</v>
      </c>
      <c r="C410" s="1" t="s">
        <v>28</v>
      </c>
      <c r="D410" s="3" t="n">
        <f aca="false">O410+(7-WEEKDAY(O410))</f>
        <v>43358</v>
      </c>
      <c r="E410" s="1" t="str">
        <f aca="false">VLOOKUP(OFFSET(Table22,409,16,1,1),Key!B:D,2,0)</f>
        <v>France</v>
      </c>
      <c r="F410" s="1" t="str">
        <f aca="false">IF(ISNUMBER(SEARCH("Canvas",U410)),"Link",IF(ISNUMBER(SEARCH("Link",U410)),"Link","Not filled properly"))</f>
        <v>Link</v>
      </c>
      <c r="G410" s="1" t="str">
        <f aca="false">IFERROR(VLOOKUP(OFFSET(Table22,409,21,1,1),OFFSET(Table2,0,1,ROWS(Table2),8),2,0),VLOOKUP(OFFSET(Table22,409,22,1,1),Table2,3,0))</f>
        <v>FRA_gaPMG_AZR_AZR_Q1_19_AzureDirect-Trial-Social</v>
      </c>
      <c r="H410" s="1" t="n">
        <f aca="false">IFERROR(VLOOKUP(OFFSET(Table22,409,21,1,1),OFFSET(Table2,0,1,ROWS(Table2),8),3,0),VLOOKUP(OFFSET(Table22,409,22,1,1),Table2,4,0))</f>
        <v>21356941</v>
      </c>
      <c r="I410" s="2" t="n">
        <f aca="false">IFERROR(VLOOKUP(OFFSET(Table22,409,21,1,1),OFFSET(Table2,0,1,ROWS(Table2),8),4,0),VLOOKUP(OFFSET(Table22,409,22,1,1),Table2,5,0))</f>
        <v>720193</v>
      </c>
      <c r="J410" s="3" t="str">
        <f aca="false">IF(ISNUMBER(SEARCH("FACEBOOK",W410)),"Facebook",IF(ISNUMBER(SEARCH("INSTAGRAM",W410)),"Facebook-Instagram","Look at taxonomy"))</f>
        <v>Facebook</v>
      </c>
      <c r="K410" s="3" t="str">
        <f aca="false">IF(ISNUMBER(SEARCH("Facebook",J410)),"3654128","Not Facebook")</f>
        <v>3654128</v>
      </c>
      <c r="L410" s="3" t="str">
        <f aca="false">IFERROR(VLOOKUP(OFFSET(Table22,409,21,1,1),OFFSET(Table2,0,1,ROWS(Table2),8),7,0),VLOOKUP(OFFSET(Table22,409,22,1,1),Table2,8,0))</f>
        <v>AZR_FreeAcctAppsFACEBOOKLifestyleChA_FRA_1200x628_SOC_PLAT_FR_Trial_Standard_NA_SINU_T1_1</v>
      </c>
      <c r="M410" s="2" t="n">
        <f aca="false">IFERROR(VLOOKUP(OFFSET(Table22,409,21,1,1),OFFSET(Table2,0,1,ROWS(Table2),8),8,0),VLOOKUP(OFFSET(Table22,409,22,1,1),Table2,9,0))</f>
        <v>103259562</v>
      </c>
      <c r="N410" s="15" t="s">
        <v>29</v>
      </c>
      <c r="O410" s="16" t="n">
        <v>43357</v>
      </c>
      <c r="P410" s="17" t="s">
        <v>102</v>
      </c>
      <c r="Q410" s="18" t="s">
        <v>103</v>
      </c>
      <c r="R410" s="17" t="s">
        <v>104</v>
      </c>
      <c r="S410" s="18" t="s">
        <v>33</v>
      </c>
      <c r="T410" s="17" t="s">
        <v>34</v>
      </c>
      <c r="U410" s="18" t="s">
        <v>39</v>
      </c>
      <c r="V410" s="19" t="n">
        <v>224560851</v>
      </c>
      <c r="W410" s="17" t="s">
        <v>121</v>
      </c>
      <c r="X410" s="17" t="n">
        <v>0</v>
      </c>
      <c r="Y410" s="17"/>
      <c r="Z410" s="17" t="n">
        <v>0</v>
      </c>
      <c r="AA410" s="17" t="s">
        <v>38</v>
      </c>
      <c r="AB410" s="17"/>
    </row>
    <row r="411" customFormat="false" ht="15" hidden="false" customHeight="false" outlineLevel="0" collapsed="false">
      <c r="A411" s="1" t="str">
        <f aca="false">OFFSET(Table22,410,14,1,1)&amp;OFFSET(Table22,410,21,1,1)</f>
        <v>43356224560851</v>
      </c>
      <c r="B411" s="1" t="str">
        <f aca="false">OFFSET(Table22,410,14,1,1)&amp;OFFSET(Table22,410,22,1,1)</f>
        <v>43356Facebook»Developers/ITPros-Azure Direct-Sponsored Post-Link Ad-FreeAcctAppsFACEBOOKLifestyleChA»1x1»SocialBan»LIA»ALL»CPC»BT»X»UNK»SS»NA»Trials_ID</v>
      </c>
      <c r="C411" s="1" t="s">
        <v>28</v>
      </c>
      <c r="D411" s="3" t="n">
        <f aca="false">O411+(7-WEEKDAY(O411))</f>
        <v>43358</v>
      </c>
      <c r="E411" s="1" t="str">
        <f aca="false">VLOOKUP(OFFSET(Table22,410,16,1,1),Key!B:D,2,0)</f>
        <v>France</v>
      </c>
      <c r="F411" s="1" t="str">
        <f aca="false">IF(ISNUMBER(SEARCH("Canvas",U411)),"Link",IF(ISNUMBER(SEARCH("Link",U411)),"Link","Not filled properly"))</f>
        <v>Link</v>
      </c>
      <c r="G411" s="1" t="str">
        <f aca="false">IFERROR(VLOOKUP(OFFSET(Table22,410,21,1,1),OFFSET(Table2,0,1,ROWS(Table2),8),2,0),VLOOKUP(OFFSET(Table22,410,22,1,1),Table2,3,0))</f>
        <v>FRA_gaPMG_AZR_AZR_Q1_19_AzureDirect-Trial-Social</v>
      </c>
      <c r="H411" s="1" t="n">
        <f aca="false">IFERROR(VLOOKUP(OFFSET(Table22,410,21,1,1),OFFSET(Table2,0,1,ROWS(Table2),8),3,0),VLOOKUP(OFFSET(Table22,410,22,1,1),Table2,4,0))</f>
        <v>21356941</v>
      </c>
      <c r="I411" s="2" t="n">
        <f aca="false">IFERROR(VLOOKUP(OFFSET(Table22,410,21,1,1),OFFSET(Table2,0,1,ROWS(Table2),8),4,0),VLOOKUP(OFFSET(Table22,410,22,1,1),Table2,5,0))</f>
        <v>720193</v>
      </c>
      <c r="J411" s="3" t="str">
        <f aca="false">IF(ISNUMBER(SEARCH("FACEBOOK",W411)),"Facebook",IF(ISNUMBER(SEARCH("INSTAGRAM",W411)),"Facebook-Instagram","Look at taxonomy"))</f>
        <v>Facebook</v>
      </c>
      <c r="K411" s="3" t="str">
        <f aca="false">IF(ISNUMBER(SEARCH("Facebook",J411)),"3654128","Not Facebook")</f>
        <v>3654128</v>
      </c>
      <c r="L411" s="3" t="str">
        <f aca="false">IFERROR(VLOOKUP(OFFSET(Table22,410,21,1,1),OFFSET(Table2,0,1,ROWS(Table2),8),7,0),VLOOKUP(OFFSET(Table22,410,22,1,1),Table2,8,0))</f>
        <v>AZR_FreeAcctAppsFACEBOOKLifestyleChA_FRA_1200x628_SOC_PLAT_FR_Trial_Standard_NA_SINU_T1_1</v>
      </c>
      <c r="M411" s="2" t="n">
        <f aca="false">IFERROR(VLOOKUP(OFFSET(Table22,410,21,1,1),OFFSET(Table2,0,1,ROWS(Table2),8),8,0),VLOOKUP(OFFSET(Table22,410,22,1,1),Table2,9,0))</f>
        <v>103259562</v>
      </c>
      <c r="N411" s="15" t="s">
        <v>29</v>
      </c>
      <c r="O411" s="16" t="n">
        <v>43356</v>
      </c>
      <c r="P411" s="17" t="s">
        <v>102</v>
      </c>
      <c r="Q411" s="18" t="s">
        <v>103</v>
      </c>
      <c r="R411" s="17" t="s">
        <v>104</v>
      </c>
      <c r="S411" s="18" t="s">
        <v>33</v>
      </c>
      <c r="T411" s="17" t="s">
        <v>34</v>
      </c>
      <c r="U411" s="18" t="s">
        <v>39</v>
      </c>
      <c r="V411" s="19" t="n">
        <v>224560851</v>
      </c>
      <c r="W411" s="17" t="s">
        <v>121</v>
      </c>
      <c r="X411" s="17" t="n">
        <v>0</v>
      </c>
      <c r="Y411" s="17"/>
      <c r="Z411" s="17" t="n">
        <v>0</v>
      </c>
      <c r="AA411" s="17" t="s">
        <v>38</v>
      </c>
      <c r="AB411" s="17"/>
    </row>
    <row r="412" customFormat="false" ht="15" hidden="false" customHeight="false" outlineLevel="0" collapsed="false">
      <c r="A412" s="1" t="str">
        <f aca="false">OFFSET(Table22,411,14,1,1)&amp;OFFSET(Table22,411,21,1,1)</f>
        <v>43356224560851</v>
      </c>
      <c r="B412" s="1" t="str">
        <f aca="false">OFFSET(Table22,411,14,1,1)&amp;OFFSET(Table22,411,22,1,1)</f>
        <v>43356Facebook»Developers/ITPros-Azure Direct-Sponsored Post-Link Ad-FreeAcctAppsFACEBOOKLifestyleChA»1x1»SocialBan»LIA»ALL»CPC»BT»X»UNK»SS»NA»Trials_ID</v>
      </c>
      <c r="C412" s="1" t="s">
        <v>28</v>
      </c>
      <c r="D412" s="3" t="n">
        <f aca="false">O412+(7-WEEKDAY(O412))</f>
        <v>43358</v>
      </c>
      <c r="E412" s="1" t="str">
        <f aca="false">VLOOKUP(OFFSET(Table22,411,16,1,1),Key!B:D,2,0)</f>
        <v>France</v>
      </c>
      <c r="F412" s="1" t="str">
        <f aca="false">IF(ISNUMBER(SEARCH("Canvas",U412)),"Link",IF(ISNUMBER(SEARCH("Link",U412)),"Link","Not filled properly"))</f>
        <v>Link</v>
      </c>
      <c r="G412" s="1" t="str">
        <f aca="false">IFERROR(VLOOKUP(OFFSET(Table22,411,21,1,1),OFFSET(Table2,0,1,ROWS(Table2),8),2,0),VLOOKUP(OFFSET(Table22,411,22,1,1),Table2,3,0))</f>
        <v>FRA_gaPMG_AZR_AZR_Q1_19_AzureDirect-Trial-Social</v>
      </c>
      <c r="H412" s="1" t="n">
        <f aca="false">IFERROR(VLOOKUP(OFFSET(Table22,411,21,1,1),OFFSET(Table2,0,1,ROWS(Table2),8),3,0),VLOOKUP(OFFSET(Table22,411,22,1,1),Table2,4,0))</f>
        <v>21356941</v>
      </c>
      <c r="I412" s="2" t="n">
        <f aca="false">IFERROR(VLOOKUP(OFFSET(Table22,411,21,1,1),OFFSET(Table2,0,1,ROWS(Table2),8),4,0),VLOOKUP(OFFSET(Table22,411,22,1,1),Table2,5,0))</f>
        <v>720193</v>
      </c>
      <c r="J412" s="3" t="str">
        <f aca="false">IF(ISNUMBER(SEARCH("FACEBOOK",W412)),"Facebook",IF(ISNUMBER(SEARCH("INSTAGRAM",W412)),"Facebook-Instagram","Look at taxonomy"))</f>
        <v>Facebook</v>
      </c>
      <c r="K412" s="3" t="str">
        <f aca="false">IF(ISNUMBER(SEARCH("Facebook",J412)),"3654128","Not Facebook")</f>
        <v>3654128</v>
      </c>
      <c r="L412" s="3" t="str">
        <f aca="false">IFERROR(VLOOKUP(OFFSET(Table22,411,21,1,1),OFFSET(Table2,0,1,ROWS(Table2),8),7,0),VLOOKUP(OFFSET(Table22,411,22,1,1),Table2,8,0))</f>
        <v>AZR_FreeAcctAppsFACEBOOKLifestyleChA_FRA_1200x628_SOC_PLAT_FR_Trial_Standard_NA_SINU_T1_1</v>
      </c>
      <c r="M412" s="2" t="n">
        <f aca="false">IFERROR(VLOOKUP(OFFSET(Table22,411,21,1,1),OFFSET(Table2,0,1,ROWS(Table2),8),8,0),VLOOKUP(OFFSET(Table22,411,22,1,1),Table2,9,0))</f>
        <v>103259562</v>
      </c>
      <c r="N412" s="15" t="s">
        <v>29</v>
      </c>
      <c r="O412" s="16" t="n">
        <v>43356</v>
      </c>
      <c r="P412" s="17" t="s">
        <v>102</v>
      </c>
      <c r="Q412" s="18" t="s">
        <v>103</v>
      </c>
      <c r="R412" s="17" t="s">
        <v>104</v>
      </c>
      <c r="S412" s="18" t="s">
        <v>33</v>
      </c>
      <c r="T412" s="17" t="s">
        <v>34</v>
      </c>
      <c r="U412" s="18" t="s">
        <v>39</v>
      </c>
      <c r="V412" s="19" t="n">
        <v>224560851</v>
      </c>
      <c r="W412" s="17" t="s">
        <v>121</v>
      </c>
      <c r="X412" s="17" t="n">
        <v>0</v>
      </c>
      <c r="Y412" s="17"/>
      <c r="Z412" s="17" t="n">
        <v>0</v>
      </c>
      <c r="AA412" s="17" t="s">
        <v>38</v>
      </c>
      <c r="AB412" s="17"/>
    </row>
    <row r="413" customFormat="false" ht="15" hidden="false" customHeight="false" outlineLevel="0" collapsed="false">
      <c r="A413" s="1" t="str">
        <f aca="false">OFFSET(Table22,412,14,1,1)&amp;OFFSET(Table22,412,21,1,1)</f>
        <v>43355224560851</v>
      </c>
      <c r="B413" s="1" t="str">
        <f aca="false">OFFSET(Table22,412,14,1,1)&amp;OFFSET(Table22,412,22,1,1)</f>
        <v>43355Facebook»Developers/ITPros-Azure Direct-Sponsored Post-Link Ad-FreeAcctAppsFACEBOOKLifestyleChA»1x1»SocialBan»LIA»ALL»CPC»BT»X»UNK»SS»NA»Trials_ID</v>
      </c>
      <c r="C413" s="1" t="s">
        <v>28</v>
      </c>
      <c r="D413" s="3" t="n">
        <f aca="false">O413+(7-WEEKDAY(O413))</f>
        <v>43358</v>
      </c>
      <c r="E413" s="1" t="str">
        <f aca="false">VLOOKUP(OFFSET(Table22,412,16,1,1),Key!B:D,2,0)</f>
        <v>France</v>
      </c>
      <c r="F413" s="1" t="str">
        <f aca="false">IF(ISNUMBER(SEARCH("Canvas",U413)),"Link",IF(ISNUMBER(SEARCH("Link",U413)),"Link","Not filled properly"))</f>
        <v>Link</v>
      </c>
      <c r="G413" s="1" t="str">
        <f aca="false">IFERROR(VLOOKUP(OFFSET(Table22,412,21,1,1),OFFSET(Table2,0,1,ROWS(Table2),8),2,0),VLOOKUP(OFFSET(Table22,412,22,1,1),Table2,3,0))</f>
        <v>FRA_gaPMG_AZR_AZR_Q1_19_AzureDirect-Trial-Social</v>
      </c>
      <c r="H413" s="1" t="n">
        <f aca="false">IFERROR(VLOOKUP(OFFSET(Table22,412,21,1,1),OFFSET(Table2,0,1,ROWS(Table2),8),3,0),VLOOKUP(OFFSET(Table22,412,22,1,1),Table2,4,0))</f>
        <v>21356941</v>
      </c>
      <c r="I413" s="2" t="n">
        <f aca="false">IFERROR(VLOOKUP(OFFSET(Table22,412,21,1,1),OFFSET(Table2,0,1,ROWS(Table2),8),4,0),VLOOKUP(OFFSET(Table22,412,22,1,1),Table2,5,0))</f>
        <v>720193</v>
      </c>
      <c r="J413" s="3" t="str">
        <f aca="false">IF(ISNUMBER(SEARCH("FACEBOOK",W413)),"Facebook",IF(ISNUMBER(SEARCH("INSTAGRAM",W413)),"Facebook-Instagram","Look at taxonomy"))</f>
        <v>Facebook</v>
      </c>
      <c r="K413" s="3" t="str">
        <f aca="false">IF(ISNUMBER(SEARCH("Facebook",J413)),"3654128","Not Facebook")</f>
        <v>3654128</v>
      </c>
      <c r="L413" s="3" t="str">
        <f aca="false">IFERROR(VLOOKUP(OFFSET(Table22,412,21,1,1),OFFSET(Table2,0,1,ROWS(Table2),8),7,0),VLOOKUP(OFFSET(Table22,412,22,1,1),Table2,8,0))</f>
        <v>AZR_FreeAcctAppsFACEBOOKLifestyleChA_FRA_1200x628_SOC_PLAT_FR_Trial_Standard_NA_SINU_T1_1</v>
      </c>
      <c r="M413" s="2" t="n">
        <f aca="false">IFERROR(VLOOKUP(OFFSET(Table22,412,21,1,1),OFFSET(Table2,0,1,ROWS(Table2),8),8,0),VLOOKUP(OFFSET(Table22,412,22,1,1),Table2,9,0))</f>
        <v>103259562</v>
      </c>
      <c r="N413" s="15" t="s">
        <v>29</v>
      </c>
      <c r="O413" s="16" t="n">
        <v>43355</v>
      </c>
      <c r="P413" s="17" t="s">
        <v>102</v>
      </c>
      <c r="Q413" s="18" t="s">
        <v>103</v>
      </c>
      <c r="R413" s="17" t="s">
        <v>104</v>
      </c>
      <c r="S413" s="18" t="s">
        <v>33</v>
      </c>
      <c r="T413" s="17" t="s">
        <v>34</v>
      </c>
      <c r="U413" s="18" t="s">
        <v>39</v>
      </c>
      <c r="V413" s="19" t="n">
        <v>224560851</v>
      </c>
      <c r="W413" s="17" t="s">
        <v>121</v>
      </c>
      <c r="X413" s="17" t="n">
        <v>0</v>
      </c>
      <c r="Y413" s="17"/>
      <c r="Z413" s="17" t="n">
        <v>0</v>
      </c>
      <c r="AA413" s="17" t="s">
        <v>38</v>
      </c>
      <c r="AB413" s="17"/>
    </row>
    <row r="414" customFormat="false" ht="15" hidden="false" customHeight="false" outlineLevel="0" collapsed="false">
      <c r="A414" s="1" t="str">
        <f aca="false">OFFSET(Table22,413,14,1,1)&amp;OFFSET(Table22,413,21,1,1)</f>
        <v>43355224560851</v>
      </c>
      <c r="B414" s="1" t="str">
        <f aca="false">OFFSET(Table22,413,14,1,1)&amp;OFFSET(Table22,413,22,1,1)</f>
        <v>43355Facebook»Developers/ITPros-Azure Direct-Sponsored Post-Link Ad-FreeAcctAppsFACEBOOKLifestyleChA»1x1»SocialBan»LIA»ALL»CPC»BT»X»UNK»SS»NA»Trials_ID</v>
      </c>
      <c r="C414" s="1" t="s">
        <v>28</v>
      </c>
      <c r="D414" s="3" t="n">
        <f aca="false">O414+(7-WEEKDAY(O414))</f>
        <v>43358</v>
      </c>
      <c r="E414" s="1" t="str">
        <f aca="false">VLOOKUP(OFFSET(Table22,413,16,1,1),Key!B:D,2,0)</f>
        <v>France</v>
      </c>
      <c r="F414" s="1" t="str">
        <f aca="false">IF(ISNUMBER(SEARCH("Canvas",U414)),"Link",IF(ISNUMBER(SEARCH("Link",U414)),"Link","Not filled properly"))</f>
        <v>Link</v>
      </c>
      <c r="G414" s="1" t="str">
        <f aca="false">IFERROR(VLOOKUP(OFFSET(Table22,413,21,1,1),OFFSET(Table2,0,1,ROWS(Table2),8),2,0),VLOOKUP(OFFSET(Table22,413,22,1,1),Table2,3,0))</f>
        <v>FRA_gaPMG_AZR_AZR_Q1_19_AzureDirect-Trial-Social</v>
      </c>
      <c r="H414" s="1" t="n">
        <f aca="false">IFERROR(VLOOKUP(OFFSET(Table22,413,21,1,1),OFFSET(Table2,0,1,ROWS(Table2),8),3,0),VLOOKUP(OFFSET(Table22,413,22,1,1),Table2,4,0))</f>
        <v>21356941</v>
      </c>
      <c r="I414" s="2" t="n">
        <f aca="false">IFERROR(VLOOKUP(OFFSET(Table22,413,21,1,1),OFFSET(Table2,0,1,ROWS(Table2),8),4,0),VLOOKUP(OFFSET(Table22,413,22,1,1),Table2,5,0))</f>
        <v>720193</v>
      </c>
      <c r="J414" s="3" t="str">
        <f aca="false">IF(ISNUMBER(SEARCH("FACEBOOK",W414)),"Facebook",IF(ISNUMBER(SEARCH("INSTAGRAM",W414)),"Facebook-Instagram","Look at taxonomy"))</f>
        <v>Facebook</v>
      </c>
      <c r="K414" s="3" t="str">
        <f aca="false">IF(ISNUMBER(SEARCH("Facebook",J414)),"3654128","Not Facebook")</f>
        <v>3654128</v>
      </c>
      <c r="L414" s="3" t="str">
        <f aca="false">IFERROR(VLOOKUP(OFFSET(Table22,413,21,1,1),OFFSET(Table2,0,1,ROWS(Table2),8),7,0),VLOOKUP(OFFSET(Table22,413,22,1,1),Table2,8,0))</f>
        <v>AZR_FreeAcctAppsFACEBOOKLifestyleChA_FRA_1200x628_SOC_PLAT_FR_Trial_Standard_NA_SINU_T1_1</v>
      </c>
      <c r="M414" s="2" t="n">
        <f aca="false">IFERROR(VLOOKUP(OFFSET(Table22,413,21,1,1),OFFSET(Table2,0,1,ROWS(Table2),8),8,0),VLOOKUP(OFFSET(Table22,413,22,1,1),Table2,9,0))</f>
        <v>103259562</v>
      </c>
      <c r="N414" s="15" t="s">
        <v>29</v>
      </c>
      <c r="O414" s="16" t="n">
        <v>43355</v>
      </c>
      <c r="P414" s="17" t="s">
        <v>102</v>
      </c>
      <c r="Q414" s="18" t="s">
        <v>103</v>
      </c>
      <c r="R414" s="17" t="s">
        <v>104</v>
      </c>
      <c r="S414" s="18" t="s">
        <v>33</v>
      </c>
      <c r="T414" s="17" t="s">
        <v>34</v>
      </c>
      <c r="U414" s="18" t="s">
        <v>39</v>
      </c>
      <c r="V414" s="19" t="n">
        <v>224560851</v>
      </c>
      <c r="W414" s="17" t="s">
        <v>121</v>
      </c>
      <c r="X414" s="17" t="n">
        <v>0</v>
      </c>
      <c r="Y414" s="17"/>
      <c r="Z414" s="17" t="n">
        <v>0</v>
      </c>
      <c r="AA414" s="17" t="s">
        <v>38</v>
      </c>
      <c r="AB414" s="17"/>
    </row>
    <row r="415" customFormat="false" ht="15" hidden="false" customHeight="false" outlineLevel="0" collapsed="false">
      <c r="A415" s="1" t="str">
        <f aca="false">OFFSET(Table22,414,14,1,1)&amp;OFFSET(Table22,414,21,1,1)</f>
        <v>43354224560851</v>
      </c>
      <c r="B415" s="1" t="str">
        <f aca="false">OFFSET(Table22,414,14,1,1)&amp;OFFSET(Table22,414,22,1,1)</f>
        <v>43354Facebook»Developers/ITPros-Azure Direct-Sponsored Post-Link Ad-FreeAcctAppsFACEBOOKLifestyleChA»1x1»SocialBan»LIA»ALL»CPC»BT»X»UNK»SS»NA»Trials_ID</v>
      </c>
      <c r="C415" s="1" t="s">
        <v>28</v>
      </c>
      <c r="D415" s="3" t="n">
        <f aca="false">O415+(7-WEEKDAY(O415))</f>
        <v>43358</v>
      </c>
      <c r="E415" s="1" t="str">
        <f aca="false">VLOOKUP(OFFSET(Table22,414,16,1,1),Key!B:D,2,0)</f>
        <v>France</v>
      </c>
      <c r="F415" s="1" t="str">
        <f aca="false">IF(ISNUMBER(SEARCH("Canvas",U415)),"Link",IF(ISNUMBER(SEARCH("Link",U415)),"Link","Not filled properly"))</f>
        <v>Link</v>
      </c>
      <c r="G415" s="1" t="str">
        <f aca="false">IFERROR(VLOOKUP(OFFSET(Table22,414,21,1,1),OFFSET(Table2,0,1,ROWS(Table2),8),2,0),VLOOKUP(OFFSET(Table22,414,22,1,1),Table2,3,0))</f>
        <v>FRA_gaPMG_AZR_AZR_Q1_19_AzureDirect-Trial-Social</v>
      </c>
      <c r="H415" s="1" t="n">
        <f aca="false">IFERROR(VLOOKUP(OFFSET(Table22,414,21,1,1),OFFSET(Table2,0,1,ROWS(Table2),8),3,0),VLOOKUP(OFFSET(Table22,414,22,1,1),Table2,4,0))</f>
        <v>21356941</v>
      </c>
      <c r="I415" s="2" t="n">
        <f aca="false">IFERROR(VLOOKUP(OFFSET(Table22,414,21,1,1),OFFSET(Table2,0,1,ROWS(Table2),8),4,0),VLOOKUP(OFFSET(Table22,414,22,1,1),Table2,5,0))</f>
        <v>720193</v>
      </c>
      <c r="J415" s="3" t="str">
        <f aca="false">IF(ISNUMBER(SEARCH("FACEBOOK",W415)),"Facebook",IF(ISNUMBER(SEARCH("INSTAGRAM",W415)),"Facebook-Instagram","Look at taxonomy"))</f>
        <v>Facebook</v>
      </c>
      <c r="K415" s="3" t="str">
        <f aca="false">IF(ISNUMBER(SEARCH("Facebook",J415)),"3654128","Not Facebook")</f>
        <v>3654128</v>
      </c>
      <c r="L415" s="3" t="str">
        <f aca="false">IFERROR(VLOOKUP(OFFSET(Table22,414,21,1,1),OFFSET(Table2,0,1,ROWS(Table2),8),7,0),VLOOKUP(OFFSET(Table22,414,22,1,1),Table2,8,0))</f>
        <v>AZR_FreeAcctAppsFACEBOOKLifestyleChA_FRA_1200x628_SOC_PLAT_FR_Trial_Standard_NA_SINU_T1_1</v>
      </c>
      <c r="M415" s="2" t="n">
        <f aca="false">IFERROR(VLOOKUP(OFFSET(Table22,414,21,1,1),OFFSET(Table2,0,1,ROWS(Table2),8),8,0),VLOOKUP(OFFSET(Table22,414,22,1,1),Table2,9,0))</f>
        <v>103259562</v>
      </c>
      <c r="N415" s="15" t="s">
        <v>29</v>
      </c>
      <c r="O415" s="16" t="n">
        <v>43354</v>
      </c>
      <c r="P415" s="17" t="s">
        <v>102</v>
      </c>
      <c r="Q415" s="18" t="s">
        <v>103</v>
      </c>
      <c r="R415" s="17" t="s">
        <v>104</v>
      </c>
      <c r="S415" s="18" t="s">
        <v>33</v>
      </c>
      <c r="T415" s="17" t="s">
        <v>34</v>
      </c>
      <c r="U415" s="18" t="s">
        <v>39</v>
      </c>
      <c r="V415" s="19" t="n">
        <v>224560851</v>
      </c>
      <c r="W415" s="17" t="s">
        <v>121</v>
      </c>
      <c r="X415" s="17" t="n">
        <v>0</v>
      </c>
      <c r="Y415" s="17"/>
      <c r="Z415" s="17" t="n">
        <v>0</v>
      </c>
      <c r="AA415" s="17" t="s">
        <v>38</v>
      </c>
      <c r="AB415" s="17"/>
    </row>
    <row r="416" customFormat="false" ht="15" hidden="false" customHeight="false" outlineLevel="0" collapsed="false">
      <c r="A416" s="1" t="str">
        <f aca="false">OFFSET(Table22,415,14,1,1)&amp;OFFSET(Table22,415,21,1,1)</f>
        <v>43354224560851</v>
      </c>
      <c r="B416" s="1" t="str">
        <f aca="false">OFFSET(Table22,415,14,1,1)&amp;OFFSET(Table22,415,22,1,1)</f>
        <v>43354Facebook»Developers/ITPros-Azure Direct-Sponsored Post-Link Ad-FreeAcctAppsFACEBOOKLifestyleChA»1x1»SocialBan»LIA»ALL»CPC»BT»X»UNK»SS»NA»Trials_ID</v>
      </c>
      <c r="C416" s="1" t="s">
        <v>28</v>
      </c>
      <c r="D416" s="3" t="n">
        <f aca="false">O416+(7-WEEKDAY(O416))</f>
        <v>43358</v>
      </c>
      <c r="E416" s="1" t="str">
        <f aca="false">VLOOKUP(OFFSET(Table22,415,16,1,1),Key!B:D,2,0)</f>
        <v>France</v>
      </c>
      <c r="F416" s="1" t="str">
        <f aca="false">IF(ISNUMBER(SEARCH("Canvas",U416)),"Link",IF(ISNUMBER(SEARCH("Link",U416)),"Link","Not filled properly"))</f>
        <v>Link</v>
      </c>
      <c r="G416" s="1" t="str">
        <f aca="false">IFERROR(VLOOKUP(OFFSET(Table22,415,21,1,1),OFFSET(Table2,0,1,ROWS(Table2),8),2,0),VLOOKUP(OFFSET(Table22,415,22,1,1),Table2,3,0))</f>
        <v>FRA_gaPMG_AZR_AZR_Q1_19_AzureDirect-Trial-Social</v>
      </c>
      <c r="H416" s="1" t="n">
        <f aca="false">IFERROR(VLOOKUP(OFFSET(Table22,415,21,1,1),OFFSET(Table2,0,1,ROWS(Table2),8),3,0),VLOOKUP(OFFSET(Table22,415,22,1,1),Table2,4,0))</f>
        <v>21356941</v>
      </c>
      <c r="I416" s="2" t="n">
        <f aca="false">IFERROR(VLOOKUP(OFFSET(Table22,415,21,1,1),OFFSET(Table2,0,1,ROWS(Table2),8),4,0),VLOOKUP(OFFSET(Table22,415,22,1,1),Table2,5,0))</f>
        <v>720193</v>
      </c>
      <c r="J416" s="3" t="str">
        <f aca="false">IF(ISNUMBER(SEARCH("FACEBOOK",W416)),"Facebook",IF(ISNUMBER(SEARCH("INSTAGRAM",W416)),"Facebook-Instagram","Look at taxonomy"))</f>
        <v>Facebook</v>
      </c>
      <c r="K416" s="3" t="str">
        <f aca="false">IF(ISNUMBER(SEARCH("Facebook",J416)),"3654128","Not Facebook")</f>
        <v>3654128</v>
      </c>
      <c r="L416" s="3" t="str">
        <f aca="false">IFERROR(VLOOKUP(OFFSET(Table22,415,21,1,1),OFFSET(Table2,0,1,ROWS(Table2),8),7,0),VLOOKUP(OFFSET(Table22,415,22,1,1),Table2,8,0))</f>
        <v>AZR_FreeAcctAppsFACEBOOKLifestyleChA_FRA_1200x628_SOC_PLAT_FR_Trial_Standard_NA_SINU_T1_1</v>
      </c>
      <c r="M416" s="2" t="n">
        <f aca="false">IFERROR(VLOOKUP(OFFSET(Table22,415,21,1,1),OFFSET(Table2,0,1,ROWS(Table2),8),8,0),VLOOKUP(OFFSET(Table22,415,22,1,1),Table2,9,0))</f>
        <v>103259562</v>
      </c>
      <c r="N416" s="15" t="s">
        <v>29</v>
      </c>
      <c r="O416" s="16" t="n">
        <v>43354</v>
      </c>
      <c r="P416" s="17" t="s">
        <v>102</v>
      </c>
      <c r="Q416" s="18" t="s">
        <v>103</v>
      </c>
      <c r="R416" s="17" t="s">
        <v>104</v>
      </c>
      <c r="S416" s="18" t="s">
        <v>33</v>
      </c>
      <c r="T416" s="17" t="s">
        <v>34</v>
      </c>
      <c r="U416" s="18" t="s">
        <v>39</v>
      </c>
      <c r="V416" s="19" t="n">
        <v>224560851</v>
      </c>
      <c r="W416" s="17" t="s">
        <v>121</v>
      </c>
      <c r="X416" s="17" t="n">
        <v>0</v>
      </c>
      <c r="Y416" s="17"/>
      <c r="Z416" s="17" t="n">
        <v>0</v>
      </c>
      <c r="AA416" s="17" t="s">
        <v>38</v>
      </c>
      <c r="AB416" s="17"/>
    </row>
    <row r="417" customFormat="false" ht="15" hidden="false" customHeight="false" outlineLevel="0" collapsed="false">
      <c r="A417" s="1" t="str">
        <f aca="false">OFFSET(Table22,416,14,1,1)&amp;OFFSET(Table22,416,21,1,1)</f>
        <v>43353224560851</v>
      </c>
      <c r="B417" s="1" t="str">
        <f aca="false">OFFSET(Table22,416,14,1,1)&amp;OFFSET(Table22,416,22,1,1)</f>
        <v>43353Facebook»Developers/ITPros-Azure Direct-Sponsored Post-Link Ad-FreeAcctAppsFACEBOOKLifestyleChA»1x1»SocialBan»LIA»ALL»CPC»BT»X»UNK»SS»NA»Trials_ID</v>
      </c>
      <c r="C417" s="1" t="s">
        <v>28</v>
      </c>
      <c r="D417" s="3" t="n">
        <f aca="false">O417+(7-WEEKDAY(O417))</f>
        <v>43358</v>
      </c>
      <c r="E417" s="1" t="str">
        <f aca="false">VLOOKUP(OFFSET(Table22,416,16,1,1),Key!B:D,2,0)</f>
        <v>France</v>
      </c>
      <c r="F417" s="1" t="str">
        <f aca="false">IF(ISNUMBER(SEARCH("Canvas",U417)),"Link",IF(ISNUMBER(SEARCH("Link",U417)),"Link","Not filled properly"))</f>
        <v>Link</v>
      </c>
      <c r="G417" s="1" t="str">
        <f aca="false">IFERROR(VLOOKUP(OFFSET(Table22,416,21,1,1),OFFSET(Table2,0,1,ROWS(Table2),8),2,0),VLOOKUP(OFFSET(Table22,416,22,1,1),Table2,3,0))</f>
        <v>FRA_gaPMG_AZR_AZR_Q1_19_AzureDirect-Trial-Social</v>
      </c>
      <c r="H417" s="1" t="n">
        <f aca="false">IFERROR(VLOOKUP(OFFSET(Table22,416,21,1,1),OFFSET(Table2,0,1,ROWS(Table2),8),3,0),VLOOKUP(OFFSET(Table22,416,22,1,1),Table2,4,0))</f>
        <v>21356941</v>
      </c>
      <c r="I417" s="2" t="n">
        <f aca="false">IFERROR(VLOOKUP(OFFSET(Table22,416,21,1,1),OFFSET(Table2,0,1,ROWS(Table2),8),4,0),VLOOKUP(OFFSET(Table22,416,22,1,1),Table2,5,0))</f>
        <v>720193</v>
      </c>
      <c r="J417" s="3" t="str">
        <f aca="false">IF(ISNUMBER(SEARCH("FACEBOOK",W417)),"Facebook",IF(ISNUMBER(SEARCH("INSTAGRAM",W417)),"Facebook-Instagram","Look at taxonomy"))</f>
        <v>Facebook</v>
      </c>
      <c r="K417" s="3" t="str">
        <f aca="false">IF(ISNUMBER(SEARCH("Facebook",J417)),"3654128","Not Facebook")</f>
        <v>3654128</v>
      </c>
      <c r="L417" s="3" t="str">
        <f aca="false">IFERROR(VLOOKUP(OFFSET(Table22,416,21,1,1),OFFSET(Table2,0,1,ROWS(Table2),8),7,0),VLOOKUP(OFFSET(Table22,416,22,1,1),Table2,8,0))</f>
        <v>AZR_FreeAcctAppsFACEBOOKLifestyleChA_FRA_1200x628_SOC_PLAT_FR_Trial_Standard_NA_SINU_T1_1</v>
      </c>
      <c r="M417" s="2" t="n">
        <f aca="false">IFERROR(VLOOKUP(OFFSET(Table22,416,21,1,1),OFFSET(Table2,0,1,ROWS(Table2),8),8,0),VLOOKUP(OFFSET(Table22,416,22,1,1),Table2,9,0))</f>
        <v>103259562</v>
      </c>
      <c r="N417" s="15" t="s">
        <v>29</v>
      </c>
      <c r="O417" s="16" t="n">
        <v>43353</v>
      </c>
      <c r="P417" s="17" t="s">
        <v>102</v>
      </c>
      <c r="Q417" s="18" t="s">
        <v>103</v>
      </c>
      <c r="R417" s="17" t="s">
        <v>104</v>
      </c>
      <c r="S417" s="18" t="s">
        <v>33</v>
      </c>
      <c r="T417" s="17" t="s">
        <v>34</v>
      </c>
      <c r="U417" s="18" t="s">
        <v>39</v>
      </c>
      <c r="V417" s="19" t="n">
        <v>224560851</v>
      </c>
      <c r="W417" s="17" t="s">
        <v>121</v>
      </c>
      <c r="X417" s="17" t="n">
        <v>0</v>
      </c>
      <c r="Y417" s="17"/>
      <c r="Z417" s="17" t="n">
        <v>0</v>
      </c>
      <c r="AA417" s="17" t="s">
        <v>38</v>
      </c>
      <c r="AB417" s="17"/>
    </row>
    <row r="418" customFormat="false" ht="15" hidden="false" customHeight="false" outlineLevel="0" collapsed="false">
      <c r="A418" s="1" t="str">
        <f aca="false">OFFSET(Table22,417,14,1,1)&amp;OFFSET(Table22,417,21,1,1)</f>
        <v>43353224560851</v>
      </c>
      <c r="B418" s="1" t="str">
        <f aca="false">OFFSET(Table22,417,14,1,1)&amp;OFFSET(Table22,417,22,1,1)</f>
        <v>43353Facebook»Developers/ITPros-Azure Direct-Sponsored Post-Link Ad-FreeAcctAppsFACEBOOKLifestyleChA»1x1»SocialBan»LIA»ALL»CPC»BT»X»UNK»SS»NA»Trials_ID</v>
      </c>
      <c r="C418" s="1" t="s">
        <v>28</v>
      </c>
      <c r="D418" s="3" t="n">
        <f aca="false">O418+(7-WEEKDAY(O418))</f>
        <v>43358</v>
      </c>
      <c r="E418" s="1" t="str">
        <f aca="false">VLOOKUP(OFFSET(Table22,417,16,1,1),Key!B:D,2,0)</f>
        <v>France</v>
      </c>
      <c r="F418" s="1" t="str">
        <f aca="false">IF(ISNUMBER(SEARCH("Canvas",U418)),"Link",IF(ISNUMBER(SEARCH("Link",U418)),"Link","Not filled properly"))</f>
        <v>Link</v>
      </c>
      <c r="G418" s="1" t="str">
        <f aca="false">IFERROR(VLOOKUP(OFFSET(Table22,417,21,1,1),OFFSET(Table2,0,1,ROWS(Table2),8),2,0),VLOOKUP(OFFSET(Table22,417,22,1,1),Table2,3,0))</f>
        <v>FRA_gaPMG_AZR_AZR_Q1_19_AzureDirect-Trial-Social</v>
      </c>
      <c r="H418" s="1" t="n">
        <f aca="false">IFERROR(VLOOKUP(OFFSET(Table22,417,21,1,1),OFFSET(Table2,0,1,ROWS(Table2),8),3,0),VLOOKUP(OFFSET(Table22,417,22,1,1),Table2,4,0))</f>
        <v>21356941</v>
      </c>
      <c r="I418" s="2" t="n">
        <f aca="false">IFERROR(VLOOKUP(OFFSET(Table22,417,21,1,1),OFFSET(Table2,0,1,ROWS(Table2),8),4,0),VLOOKUP(OFFSET(Table22,417,22,1,1),Table2,5,0))</f>
        <v>720193</v>
      </c>
      <c r="J418" s="3" t="str">
        <f aca="false">IF(ISNUMBER(SEARCH("FACEBOOK",W418)),"Facebook",IF(ISNUMBER(SEARCH("INSTAGRAM",W418)),"Facebook-Instagram","Look at taxonomy"))</f>
        <v>Facebook</v>
      </c>
      <c r="K418" s="3" t="str">
        <f aca="false">IF(ISNUMBER(SEARCH("Facebook",J418)),"3654128","Not Facebook")</f>
        <v>3654128</v>
      </c>
      <c r="L418" s="3" t="str">
        <f aca="false">IFERROR(VLOOKUP(OFFSET(Table22,417,21,1,1),OFFSET(Table2,0,1,ROWS(Table2),8),7,0),VLOOKUP(OFFSET(Table22,417,22,1,1),Table2,8,0))</f>
        <v>AZR_FreeAcctAppsFACEBOOKLifestyleChA_FRA_1200x628_SOC_PLAT_FR_Trial_Standard_NA_SINU_T1_1</v>
      </c>
      <c r="M418" s="2" t="n">
        <f aca="false">IFERROR(VLOOKUP(OFFSET(Table22,417,21,1,1),OFFSET(Table2,0,1,ROWS(Table2),8),8,0),VLOOKUP(OFFSET(Table22,417,22,1,1),Table2,9,0))</f>
        <v>103259562</v>
      </c>
      <c r="N418" s="15" t="s">
        <v>29</v>
      </c>
      <c r="O418" s="16" t="n">
        <v>43353</v>
      </c>
      <c r="P418" s="17" t="s">
        <v>102</v>
      </c>
      <c r="Q418" s="18" t="s">
        <v>103</v>
      </c>
      <c r="R418" s="17" t="s">
        <v>104</v>
      </c>
      <c r="S418" s="18" t="s">
        <v>33</v>
      </c>
      <c r="T418" s="17" t="s">
        <v>34</v>
      </c>
      <c r="U418" s="18" t="s">
        <v>39</v>
      </c>
      <c r="V418" s="19" t="n">
        <v>224560851</v>
      </c>
      <c r="W418" s="17" t="s">
        <v>121</v>
      </c>
      <c r="X418" s="17" t="n">
        <v>0</v>
      </c>
      <c r="Y418" s="17"/>
      <c r="Z418" s="17" t="n">
        <v>0</v>
      </c>
      <c r="AA418" s="17" t="s">
        <v>38</v>
      </c>
      <c r="AB418" s="17"/>
    </row>
    <row r="419" customFormat="false" ht="15" hidden="false" customHeight="false" outlineLevel="0" collapsed="false">
      <c r="A419" s="1" t="str">
        <f aca="false">OFFSET(Table22,418,14,1,1)&amp;OFFSET(Table22,418,21,1,1)</f>
        <v>43352224560851</v>
      </c>
      <c r="B419" s="1" t="str">
        <f aca="false">OFFSET(Table22,418,14,1,1)&amp;OFFSET(Table22,418,22,1,1)</f>
        <v>43352Facebook»Developers/ITPros-Azure Direct-Sponsored Post-Link Ad-FreeAcctAppsFACEBOOKLifestyleChA»1x1»SocialBan»LIA»ALL»CPC»BT»X»UNK»SS»NA»Trials_ID</v>
      </c>
      <c r="C419" s="1" t="s">
        <v>28</v>
      </c>
      <c r="D419" s="3" t="n">
        <f aca="false">O419+(7-WEEKDAY(O419))</f>
        <v>43358</v>
      </c>
      <c r="E419" s="1" t="str">
        <f aca="false">VLOOKUP(OFFSET(Table22,418,16,1,1),Key!B:D,2,0)</f>
        <v>France</v>
      </c>
      <c r="F419" s="1" t="str">
        <f aca="false">IF(ISNUMBER(SEARCH("Canvas",U419)),"Link",IF(ISNUMBER(SEARCH("Link",U419)),"Link","Not filled properly"))</f>
        <v>Link</v>
      </c>
      <c r="G419" s="1" t="str">
        <f aca="false">IFERROR(VLOOKUP(OFFSET(Table22,418,21,1,1),OFFSET(Table2,0,1,ROWS(Table2),8),2,0),VLOOKUP(OFFSET(Table22,418,22,1,1),Table2,3,0))</f>
        <v>FRA_gaPMG_AZR_AZR_Q1_19_AzureDirect-Trial-Social</v>
      </c>
      <c r="H419" s="1" t="n">
        <f aca="false">IFERROR(VLOOKUP(OFFSET(Table22,418,21,1,1),OFFSET(Table2,0,1,ROWS(Table2),8),3,0),VLOOKUP(OFFSET(Table22,418,22,1,1),Table2,4,0))</f>
        <v>21356941</v>
      </c>
      <c r="I419" s="2" t="n">
        <f aca="false">IFERROR(VLOOKUP(OFFSET(Table22,418,21,1,1),OFFSET(Table2,0,1,ROWS(Table2),8),4,0),VLOOKUP(OFFSET(Table22,418,22,1,1),Table2,5,0))</f>
        <v>720193</v>
      </c>
      <c r="J419" s="3" t="str">
        <f aca="false">IF(ISNUMBER(SEARCH("FACEBOOK",W419)),"Facebook",IF(ISNUMBER(SEARCH("INSTAGRAM",W419)),"Facebook-Instagram","Look at taxonomy"))</f>
        <v>Facebook</v>
      </c>
      <c r="K419" s="3" t="str">
        <f aca="false">IF(ISNUMBER(SEARCH("Facebook",J419)),"3654128","Not Facebook")</f>
        <v>3654128</v>
      </c>
      <c r="L419" s="3" t="str">
        <f aca="false">IFERROR(VLOOKUP(OFFSET(Table22,418,21,1,1),OFFSET(Table2,0,1,ROWS(Table2),8),7,0),VLOOKUP(OFFSET(Table22,418,22,1,1),Table2,8,0))</f>
        <v>AZR_FreeAcctAppsFACEBOOKLifestyleChA_FRA_1200x628_SOC_PLAT_FR_Trial_Standard_NA_SINU_T1_1</v>
      </c>
      <c r="M419" s="2" t="n">
        <f aca="false">IFERROR(VLOOKUP(OFFSET(Table22,418,21,1,1),OFFSET(Table2,0,1,ROWS(Table2),8),8,0),VLOOKUP(OFFSET(Table22,418,22,1,1),Table2,9,0))</f>
        <v>103259562</v>
      </c>
      <c r="N419" s="15" t="s">
        <v>29</v>
      </c>
      <c r="O419" s="16" t="n">
        <v>43352</v>
      </c>
      <c r="P419" s="17" t="s">
        <v>102</v>
      </c>
      <c r="Q419" s="18" t="s">
        <v>103</v>
      </c>
      <c r="R419" s="17" t="s">
        <v>104</v>
      </c>
      <c r="S419" s="18" t="s">
        <v>33</v>
      </c>
      <c r="T419" s="17" t="s">
        <v>34</v>
      </c>
      <c r="U419" s="18" t="s">
        <v>39</v>
      </c>
      <c r="V419" s="19" t="n">
        <v>224560851</v>
      </c>
      <c r="W419" s="17" t="s">
        <v>121</v>
      </c>
      <c r="X419" s="17" t="n">
        <v>0</v>
      </c>
      <c r="Y419" s="17"/>
      <c r="Z419" s="17" t="n">
        <v>0</v>
      </c>
      <c r="AA419" s="17" t="s">
        <v>38</v>
      </c>
      <c r="AB419" s="17"/>
    </row>
    <row r="420" customFormat="false" ht="15" hidden="false" customHeight="false" outlineLevel="0" collapsed="false">
      <c r="A420" s="1" t="str">
        <f aca="false">OFFSET(Table22,419,14,1,1)&amp;OFFSET(Table22,419,21,1,1)</f>
        <v>43352224560851</v>
      </c>
      <c r="B420" s="1" t="str">
        <f aca="false">OFFSET(Table22,419,14,1,1)&amp;OFFSET(Table22,419,22,1,1)</f>
        <v>43352Facebook»Developers/ITPros-Azure Direct-Sponsored Post-Link Ad-FreeAcctAppsFACEBOOKLifestyleChA»1x1»SocialBan»LIA»ALL»CPC»BT»X»UNK»SS»NA»Trials_ID</v>
      </c>
      <c r="C420" s="1" t="s">
        <v>28</v>
      </c>
      <c r="D420" s="3" t="n">
        <f aca="false">O420+(7-WEEKDAY(O420))</f>
        <v>43358</v>
      </c>
      <c r="E420" s="1" t="str">
        <f aca="false">VLOOKUP(OFFSET(Table22,419,16,1,1),Key!B:D,2,0)</f>
        <v>France</v>
      </c>
      <c r="F420" s="1" t="str">
        <f aca="false">IF(ISNUMBER(SEARCH("Canvas",U420)),"Link",IF(ISNUMBER(SEARCH("Link",U420)),"Link","Not filled properly"))</f>
        <v>Link</v>
      </c>
      <c r="G420" s="1" t="str">
        <f aca="false">IFERROR(VLOOKUP(OFFSET(Table22,419,21,1,1),OFFSET(Table2,0,1,ROWS(Table2),8),2,0),VLOOKUP(OFFSET(Table22,419,22,1,1),Table2,3,0))</f>
        <v>FRA_gaPMG_AZR_AZR_Q1_19_AzureDirect-Trial-Social</v>
      </c>
      <c r="H420" s="1" t="n">
        <f aca="false">IFERROR(VLOOKUP(OFFSET(Table22,419,21,1,1),OFFSET(Table2,0,1,ROWS(Table2),8),3,0),VLOOKUP(OFFSET(Table22,419,22,1,1),Table2,4,0))</f>
        <v>21356941</v>
      </c>
      <c r="I420" s="2" t="n">
        <f aca="false">IFERROR(VLOOKUP(OFFSET(Table22,419,21,1,1),OFFSET(Table2,0,1,ROWS(Table2),8),4,0),VLOOKUP(OFFSET(Table22,419,22,1,1),Table2,5,0))</f>
        <v>720193</v>
      </c>
      <c r="J420" s="3" t="str">
        <f aca="false">IF(ISNUMBER(SEARCH("FACEBOOK",W420)),"Facebook",IF(ISNUMBER(SEARCH("INSTAGRAM",W420)),"Facebook-Instagram","Look at taxonomy"))</f>
        <v>Facebook</v>
      </c>
      <c r="K420" s="3" t="str">
        <f aca="false">IF(ISNUMBER(SEARCH("Facebook",J420)),"3654128","Not Facebook")</f>
        <v>3654128</v>
      </c>
      <c r="L420" s="3" t="str">
        <f aca="false">IFERROR(VLOOKUP(OFFSET(Table22,419,21,1,1),OFFSET(Table2,0,1,ROWS(Table2),8),7,0),VLOOKUP(OFFSET(Table22,419,22,1,1),Table2,8,0))</f>
        <v>AZR_FreeAcctAppsFACEBOOKLifestyleChA_FRA_1200x628_SOC_PLAT_FR_Trial_Standard_NA_SINU_T1_1</v>
      </c>
      <c r="M420" s="2" t="n">
        <f aca="false">IFERROR(VLOOKUP(OFFSET(Table22,419,21,1,1),OFFSET(Table2,0,1,ROWS(Table2),8),8,0),VLOOKUP(OFFSET(Table22,419,22,1,1),Table2,9,0))</f>
        <v>103259562</v>
      </c>
      <c r="N420" s="15" t="s">
        <v>29</v>
      </c>
      <c r="O420" s="16" t="n">
        <v>43352</v>
      </c>
      <c r="P420" s="17" t="s">
        <v>102</v>
      </c>
      <c r="Q420" s="18" t="s">
        <v>103</v>
      </c>
      <c r="R420" s="17" t="s">
        <v>104</v>
      </c>
      <c r="S420" s="18" t="s">
        <v>33</v>
      </c>
      <c r="T420" s="17" t="s">
        <v>34</v>
      </c>
      <c r="U420" s="18" t="s">
        <v>39</v>
      </c>
      <c r="V420" s="19" t="n">
        <v>224560851</v>
      </c>
      <c r="W420" s="17" t="s">
        <v>121</v>
      </c>
      <c r="X420" s="17" t="n">
        <v>0</v>
      </c>
      <c r="Y420" s="17"/>
      <c r="Z420" s="17" t="n">
        <v>0</v>
      </c>
      <c r="AA420" s="17" t="s">
        <v>38</v>
      </c>
      <c r="AB420" s="17"/>
    </row>
    <row r="421" customFormat="false" ht="15" hidden="false" customHeight="false" outlineLevel="0" collapsed="false">
      <c r="A421" s="1" t="str">
        <f aca="false">OFFSET(Table22,420,14,1,1)&amp;OFFSET(Table22,420,21,1,1)</f>
        <v>43358224560845</v>
      </c>
      <c r="B421" s="1" t="str">
        <f aca="false">OFFSET(Table22,420,14,1,1)&amp;OFFSET(Table22,420,22,1,1)</f>
        <v>43358Facebook»Developers/ITPros-Azure Direct-Sponsored Post-Link Ad-FreeAcctRetargetingFB-GlobalAlt-ChB»1x1»SocialBan»LIA»ALL»CPC»BT»X»UNK»SS»NA»Trials_ID</v>
      </c>
      <c r="C421" s="1" t="s">
        <v>28</v>
      </c>
      <c r="D421" s="3" t="n">
        <f aca="false">O421+(7-WEEKDAY(O421))</f>
        <v>43358</v>
      </c>
      <c r="E421" s="1" t="str">
        <f aca="false">VLOOKUP(OFFSET(Table22,420,16,1,1),Key!B:D,2,0)</f>
        <v>France</v>
      </c>
      <c r="F421" s="1" t="str">
        <f aca="false">IF(ISNUMBER(SEARCH("Canvas",U421)),"Link",IF(ISNUMBER(SEARCH("Link",U421)),"Link","Not filled properly"))</f>
        <v>Link</v>
      </c>
      <c r="G421" s="1" t="str">
        <f aca="false">IFERROR(VLOOKUP(OFFSET(Table22,420,21,1,1),OFFSET(Table2,0,1,ROWS(Table2),8),2,0),VLOOKUP(OFFSET(Table22,420,22,1,1),Table2,3,0))</f>
        <v>FRA_gaPMG_AZR_AZR_Q1_19_AzureDirect-Trial-Social</v>
      </c>
      <c r="H421" s="1" t="n">
        <f aca="false">IFERROR(VLOOKUP(OFFSET(Table22,420,21,1,1),OFFSET(Table2,0,1,ROWS(Table2),8),3,0),VLOOKUP(OFFSET(Table22,420,22,1,1),Table2,4,0))</f>
        <v>21356941</v>
      </c>
      <c r="I421" s="2" t="n">
        <f aca="false">IFERROR(VLOOKUP(OFFSET(Table22,420,21,1,1),OFFSET(Table2,0,1,ROWS(Table2),8),4,0),VLOOKUP(OFFSET(Table22,420,22,1,1),Table2,5,0))</f>
        <v>720193</v>
      </c>
      <c r="J421" s="3" t="str">
        <f aca="false">IF(ISNUMBER(SEARCH("FACEBOOK",W421)),"Facebook",IF(ISNUMBER(SEARCH("INSTAGRAM",W421)),"Facebook-Instagram","Look at taxonomy"))</f>
        <v>Facebook</v>
      </c>
      <c r="K421" s="3" t="str">
        <f aca="false">IF(ISNUMBER(SEARCH("Facebook",J421)),"3654128","Not Facebook")</f>
        <v>3654128</v>
      </c>
      <c r="L421" s="3" t="str">
        <f aca="false">IFERROR(VLOOKUP(OFFSET(Table22,420,21,1,1),OFFSET(Table2,0,1,ROWS(Table2),8),7,0),VLOOKUP(OFFSET(Table22,420,22,1,1),Table2,8,0))</f>
        <v>AZR_FreeAcctRetargetingFB-GlobalAlt-ChB_FRA_1200x628_SOC_AZRDirect_French_NA_Facebook_SBAN_SINU_T2_1</v>
      </c>
      <c r="M421" s="2" t="n">
        <f aca="false">IFERROR(VLOOKUP(OFFSET(Table22,420,21,1,1),OFFSET(Table2,0,1,ROWS(Table2),8),8,0),VLOOKUP(OFFSET(Table22,420,22,1,1),Table2,9,0))</f>
        <v>103259520</v>
      </c>
      <c r="N421" s="15" t="s">
        <v>29</v>
      </c>
      <c r="O421" s="16" t="n">
        <v>43358</v>
      </c>
      <c r="P421" s="17" t="s">
        <v>102</v>
      </c>
      <c r="Q421" s="18" t="s">
        <v>103</v>
      </c>
      <c r="R421" s="17" t="s">
        <v>104</v>
      </c>
      <c r="S421" s="18" t="s">
        <v>33</v>
      </c>
      <c r="T421" s="17" t="s">
        <v>34</v>
      </c>
      <c r="U421" s="18" t="s">
        <v>39</v>
      </c>
      <c r="V421" s="19" t="n">
        <v>224560845</v>
      </c>
      <c r="W421" s="17" t="s">
        <v>122</v>
      </c>
      <c r="X421" s="17" t="n">
        <v>0</v>
      </c>
      <c r="Y421" s="17"/>
      <c r="Z421" s="17" t="n">
        <v>0</v>
      </c>
      <c r="AA421" s="17" t="s">
        <v>38</v>
      </c>
      <c r="AB421" s="17"/>
    </row>
    <row r="422" customFormat="false" ht="15" hidden="false" customHeight="false" outlineLevel="0" collapsed="false">
      <c r="A422" s="1" t="str">
        <f aca="false">OFFSET(Table22,421,14,1,1)&amp;OFFSET(Table22,421,21,1,1)</f>
        <v>43358224560845</v>
      </c>
      <c r="B422" s="1" t="str">
        <f aca="false">OFFSET(Table22,421,14,1,1)&amp;OFFSET(Table22,421,22,1,1)</f>
        <v>43358Facebook»Developers/ITPros-Azure Direct-Sponsored Post-Link Ad-FreeAcctRetargetingFB-GlobalAlt-ChB»1x1»SocialBan»LIA»ALL»CPC»BT»X»UNK»SS»NA»Trials_ID</v>
      </c>
      <c r="C422" s="1" t="s">
        <v>28</v>
      </c>
      <c r="D422" s="3" t="n">
        <f aca="false">O422+(7-WEEKDAY(O422))</f>
        <v>43358</v>
      </c>
      <c r="E422" s="1" t="str">
        <f aca="false">VLOOKUP(OFFSET(Table22,421,16,1,1),Key!B:D,2,0)</f>
        <v>France</v>
      </c>
      <c r="F422" s="1" t="str">
        <f aca="false">IF(ISNUMBER(SEARCH("Canvas",U422)),"Link",IF(ISNUMBER(SEARCH("Link",U422)),"Link","Not filled properly"))</f>
        <v>Link</v>
      </c>
      <c r="G422" s="1" t="str">
        <f aca="false">IFERROR(VLOOKUP(OFFSET(Table22,421,21,1,1),OFFSET(Table2,0,1,ROWS(Table2),8),2,0),VLOOKUP(OFFSET(Table22,421,22,1,1),Table2,3,0))</f>
        <v>FRA_gaPMG_AZR_AZR_Q1_19_AzureDirect-Trial-Social</v>
      </c>
      <c r="H422" s="1" t="n">
        <f aca="false">IFERROR(VLOOKUP(OFFSET(Table22,421,21,1,1),OFFSET(Table2,0,1,ROWS(Table2),8),3,0),VLOOKUP(OFFSET(Table22,421,22,1,1),Table2,4,0))</f>
        <v>21356941</v>
      </c>
      <c r="I422" s="2" t="n">
        <f aca="false">IFERROR(VLOOKUP(OFFSET(Table22,421,21,1,1),OFFSET(Table2,0,1,ROWS(Table2),8),4,0),VLOOKUP(OFFSET(Table22,421,22,1,1),Table2,5,0))</f>
        <v>720193</v>
      </c>
      <c r="J422" s="3" t="str">
        <f aca="false">IF(ISNUMBER(SEARCH("FACEBOOK",W422)),"Facebook",IF(ISNUMBER(SEARCH("INSTAGRAM",W422)),"Facebook-Instagram","Look at taxonomy"))</f>
        <v>Facebook</v>
      </c>
      <c r="K422" s="3" t="str">
        <f aca="false">IF(ISNUMBER(SEARCH("Facebook",J422)),"3654128","Not Facebook")</f>
        <v>3654128</v>
      </c>
      <c r="L422" s="3" t="str">
        <f aca="false">IFERROR(VLOOKUP(OFFSET(Table22,421,21,1,1),OFFSET(Table2,0,1,ROWS(Table2),8),7,0),VLOOKUP(OFFSET(Table22,421,22,1,1),Table2,8,0))</f>
        <v>AZR_FreeAcctRetargetingFB-GlobalAlt-ChB_FRA_1200x628_SOC_AZRDirect_French_NA_Facebook_SBAN_SINU_T2_1</v>
      </c>
      <c r="M422" s="2" t="n">
        <f aca="false">IFERROR(VLOOKUP(OFFSET(Table22,421,21,1,1),OFFSET(Table2,0,1,ROWS(Table2),8),8,0),VLOOKUP(OFFSET(Table22,421,22,1,1),Table2,9,0))</f>
        <v>103259520</v>
      </c>
      <c r="N422" s="15" t="s">
        <v>29</v>
      </c>
      <c r="O422" s="16" t="n">
        <v>43358</v>
      </c>
      <c r="P422" s="17" t="s">
        <v>102</v>
      </c>
      <c r="Q422" s="18" t="s">
        <v>103</v>
      </c>
      <c r="R422" s="17" t="s">
        <v>104</v>
      </c>
      <c r="S422" s="18" t="s">
        <v>33</v>
      </c>
      <c r="T422" s="17" t="s">
        <v>34</v>
      </c>
      <c r="U422" s="18" t="s">
        <v>39</v>
      </c>
      <c r="V422" s="19" t="n">
        <v>224560845</v>
      </c>
      <c r="W422" s="17" t="s">
        <v>122</v>
      </c>
      <c r="X422" s="17" t="n">
        <v>0</v>
      </c>
      <c r="Y422" s="17"/>
      <c r="Z422" s="17" t="n">
        <v>0</v>
      </c>
      <c r="AA422" s="17" t="s">
        <v>38</v>
      </c>
      <c r="AB422" s="17"/>
    </row>
    <row r="423" customFormat="false" ht="15" hidden="false" customHeight="false" outlineLevel="0" collapsed="false">
      <c r="A423" s="1" t="str">
        <f aca="false">OFFSET(Table22,422,14,1,1)&amp;OFFSET(Table22,422,21,1,1)</f>
        <v>43357224560845</v>
      </c>
      <c r="B423" s="1" t="str">
        <f aca="false">OFFSET(Table22,422,14,1,1)&amp;OFFSET(Table22,422,22,1,1)</f>
        <v>43357Facebook»Developers/ITPros-Azure Direct-Sponsored Post-Link Ad-FreeAcctRetargetingFB-GlobalAlt-ChB»1x1»SocialBan»LIA»ALL»CPC»BT»X»UNK»SS»NA»Trials_ID</v>
      </c>
      <c r="C423" s="1" t="s">
        <v>28</v>
      </c>
      <c r="D423" s="3" t="n">
        <f aca="false">O423+(7-WEEKDAY(O423))</f>
        <v>43358</v>
      </c>
      <c r="E423" s="1" t="str">
        <f aca="false">VLOOKUP(OFFSET(Table22,422,16,1,1),Key!B:D,2,0)</f>
        <v>France</v>
      </c>
      <c r="F423" s="1" t="str">
        <f aca="false">IF(ISNUMBER(SEARCH("Canvas",U423)),"Link",IF(ISNUMBER(SEARCH("Link",U423)),"Link","Not filled properly"))</f>
        <v>Link</v>
      </c>
      <c r="G423" s="1" t="str">
        <f aca="false">IFERROR(VLOOKUP(OFFSET(Table22,422,21,1,1),OFFSET(Table2,0,1,ROWS(Table2),8),2,0),VLOOKUP(OFFSET(Table22,422,22,1,1),Table2,3,0))</f>
        <v>FRA_gaPMG_AZR_AZR_Q1_19_AzureDirect-Trial-Social</v>
      </c>
      <c r="H423" s="1" t="n">
        <f aca="false">IFERROR(VLOOKUP(OFFSET(Table22,422,21,1,1),OFFSET(Table2,0,1,ROWS(Table2),8),3,0),VLOOKUP(OFFSET(Table22,422,22,1,1),Table2,4,0))</f>
        <v>21356941</v>
      </c>
      <c r="I423" s="2" t="n">
        <f aca="false">IFERROR(VLOOKUP(OFFSET(Table22,422,21,1,1),OFFSET(Table2,0,1,ROWS(Table2),8),4,0),VLOOKUP(OFFSET(Table22,422,22,1,1),Table2,5,0))</f>
        <v>720193</v>
      </c>
      <c r="J423" s="3" t="str">
        <f aca="false">IF(ISNUMBER(SEARCH("FACEBOOK",W423)),"Facebook",IF(ISNUMBER(SEARCH("INSTAGRAM",W423)),"Facebook-Instagram","Look at taxonomy"))</f>
        <v>Facebook</v>
      </c>
      <c r="K423" s="3" t="str">
        <f aca="false">IF(ISNUMBER(SEARCH("Facebook",J423)),"3654128","Not Facebook")</f>
        <v>3654128</v>
      </c>
      <c r="L423" s="3" t="str">
        <f aca="false">IFERROR(VLOOKUP(OFFSET(Table22,422,21,1,1),OFFSET(Table2,0,1,ROWS(Table2),8),7,0),VLOOKUP(OFFSET(Table22,422,22,1,1),Table2,8,0))</f>
        <v>AZR_FreeAcctRetargetingFB-GlobalAlt-ChB_FRA_1200x628_SOC_AZRDirect_French_NA_Facebook_SBAN_SINU_T2_1</v>
      </c>
      <c r="M423" s="2" t="n">
        <f aca="false">IFERROR(VLOOKUP(OFFSET(Table22,422,21,1,1),OFFSET(Table2,0,1,ROWS(Table2),8),8,0),VLOOKUP(OFFSET(Table22,422,22,1,1),Table2,9,0))</f>
        <v>103259520</v>
      </c>
      <c r="N423" s="15" t="s">
        <v>29</v>
      </c>
      <c r="O423" s="16" t="n">
        <v>43357</v>
      </c>
      <c r="P423" s="17" t="s">
        <v>102</v>
      </c>
      <c r="Q423" s="18" t="s">
        <v>103</v>
      </c>
      <c r="R423" s="17" t="s">
        <v>104</v>
      </c>
      <c r="S423" s="18" t="s">
        <v>33</v>
      </c>
      <c r="T423" s="17" t="s">
        <v>34</v>
      </c>
      <c r="U423" s="18" t="s">
        <v>39</v>
      </c>
      <c r="V423" s="19" t="n">
        <v>224560845</v>
      </c>
      <c r="W423" s="17" t="s">
        <v>122</v>
      </c>
      <c r="X423" s="17" t="n">
        <v>0</v>
      </c>
      <c r="Y423" s="17"/>
      <c r="Z423" s="17" t="n">
        <v>0</v>
      </c>
      <c r="AA423" s="17" t="s">
        <v>38</v>
      </c>
      <c r="AB423" s="17"/>
    </row>
    <row r="424" customFormat="false" ht="15" hidden="false" customHeight="false" outlineLevel="0" collapsed="false">
      <c r="A424" s="1" t="str">
        <f aca="false">OFFSET(Table22,423,14,1,1)&amp;OFFSET(Table22,423,21,1,1)</f>
        <v>43357224560845</v>
      </c>
      <c r="B424" s="1" t="str">
        <f aca="false">OFFSET(Table22,423,14,1,1)&amp;OFFSET(Table22,423,22,1,1)</f>
        <v>43357Facebook»Developers/ITPros-Azure Direct-Sponsored Post-Link Ad-FreeAcctRetargetingFB-GlobalAlt-ChB»1x1»SocialBan»LIA»ALL»CPC»BT»X»UNK»SS»NA»Trials_ID</v>
      </c>
      <c r="C424" s="1" t="s">
        <v>28</v>
      </c>
      <c r="D424" s="3" t="n">
        <f aca="false">O424+(7-WEEKDAY(O424))</f>
        <v>43358</v>
      </c>
      <c r="E424" s="1" t="str">
        <f aca="false">VLOOKUP(OFFSET(Table22,423,16,1,1),Key!B:D,2,0)</f>
        <v>France</v>
      </c>
      <c r="F424" s="1" t="str">
        <f aca="false">IF(ISNUMBER(SEARCH("Canvas",U424)),"Link",IF(ISNUMBER(SEARCH("Link",U424)),"Link","Not filled properly"))</f>
        <v>Link</v>
      </c>
      <c r="G424" s="1" t="str">
        <f aca="false">IFERROR(VLOOKUP(OFFSET(Table22,423,21,1,1),OFFSET(Table2,0,1,ROWS(Table2),8),2,0),VLOOKUP(OFFSET(Table22,423,22,1,1),Table2,3,0))</f>
        <v>FRA_gaPMG_AZR_AZR_Q1_19_AzureDirect-Trial-Social</v>
      </c>
      <c r="H424" s="1" t="n">
        <f aca="false">IFERROR(VLOOKUP(OFFSET(Table22,423,21,1,1),OFFSET(Table2,0,1,ROWS(Table2),8),3,0),VLOOKUP(OFFSET(Table22,423,22,1,1),Table2,4,0))</f>
        <v>21356941</v>
      </c>
      <c r="I424" s="2" t="n">
        <f aca="false">IFERROR(VLOOKUP(OFFSET(Table22,423,21,1,1),OFFSET(Table2,0,1,ROWS(Table2),8),4,0),VLOOKUP(OFFSET(Table22,423,22,1,1),Table2,5,0))</f>
        <v>720193</v>
      </c>
      <c r="J424" s="3" t="str">
        <f aca="false">IF(ISNUMBER(SEARCH("FACEBOOK",W424)),"Facebook",IF(ISNUMBER(SEARCH("INSTAGRAM",W424)),"Facebook-Instagram","Look at taxonomy"))</f>
        <v>Facebook</v>
      </c>
      <c r="K424" s="3" t="str">
        <f aca="false">IF(ISNUMBER(SEARCH("Facebook",J424)),"3654128","Not Facebook")</f>
        <v>3654128</v>
      </c>
      <c r="L424" s="3" t="str">
        <f aca="false">IFERROR(VLOOKUP(OFFSET(Table22,423,21,1,1),OFFSET(Table2,0,1,ROWS(Table2),8),7,0),VLOOKUP(OFFSET(Table22,423,22,1,1),Table2,8,0))</f>
        <v>AZR_FreeAcctRetargetingFB-GlobalAlt-ChB_FRA_1200x628_SOC_AZRDirect_French_NA_Facebook_SBAN_SINU_T2_1</v>
      </c>
      <c r="M424" s="2" t="n">
        <f aca="false">IFERROR(VLOOKUP(OFFSET(Table22,423,21,1,1),OFFSET(Table2,0,1,ROWS(Table2),8),8,0),VLOOKUP(OFFSET(Table22,423,22,1,1),Table2,9,0))</f>
        <v>103259520</v>
      </c>
      <c r="N424" s="15" t="s">
        <v>29</v>
      </c>
      <c r="O424" s="16" t="n">
        <v>43357</v>
      </c>
      <c r="P424" s="17" t="s">
        <v>102</v>
      </c>
      <c r="Q424" s="18" t="s">
        <v>103</v>
      </c>
      <c r="R424" s="17" t="s">
        <v>104</v>
      </c>
      <c r="S424" s="18" t="s">
        <v>33</v>
      </c>
      <c r="T424" s="17" t="s">
        <v>34</v>
      </c>
      <c r="U424" s="18" t="s">
        <v>39</v>
      </c>
      <c r="V424" s="19" t="n">
        <v>224560845</v>
      </c>
      <c r="W424" s="17" t="s">
        <v>122</v>
      </c>
      <c r="X424" s="17" t="n">
        <v>0</v>
      </c>
      <c r="Y424" s="17"/>
      <c r="Z424" s="17" t="n">
        <v>0</v>
      </c>
      <c r="AA424" s="17" t="s">
        <v>38</v>
      </c>
      <c r="AB424" s="17"/>
    </row>
    <row r="425" customFormat="false" ht="15" hidden="false" customHeight="false" outlineLevel="0" collapsed="false">
      <c r="A425" s="1" t="str">
        <f aca="false">OFFSET(Table22,424,14,1,1)&amp;OFFSET(Table22,424,21,1,1)</f>
        <v>43356224560845</v>
      </c>
      <c r="B425" s="1" t="str">
        <f aca="false">OFFSET(Table22,424,14,1,1)&amp;OFFSET(Table22,424,22,1,1)</f>
        <v>43356Facebook»Developers/ITPros-Azure Direct-Sponsored Post-Link Ad-FreeAcctRetargetingFB-GlobalAlt-ChB»1x1»SocialBan»LIA»ALL»CPC»BT»X»UNK»SS»NA»Trials_ID</v>
      </c>
      <c r="C425" s="1" t="s">
        <v>28</v>
      </c>
      <c r="D425" s="3" t="n">
        <f aca="false">O425+(7-WEEKDAY(O425))</f>
        <v>43358</v>
      </c>
      <c r="E425" s="1" t="str">
        <f aca="false">VLOOKUP(OFFSET(Table22,424,16,1,1),Key!B:D,2,0)</f>
        <v>France</v>
      </c>
      <c r="F425" s="1" t="str">
        <f aca="false">IF(ISNUMBER(SEARCH("Canvas",U425)),"Link",IF(ISNUMBER(SEARCH("Link",U425)),"Link","Not filled properly"))</f>
        <v>Link</v>
      </c>
      <c r="G425" s="1" t="str">
        <f aca="false">IFERROR(VLOOKUP(OFFSET(Table22,424,21,1,1),OFFSET(Table2,0,1,ROWS(Table2),8),2,0),VLOOKUP(OFFSET(Table22,424,22,1,1),Table2,3,0))</f>
        <v>FRA_gaPMG_AZR_AZR_Q1_19_AzureDirect-Trial-Social</v>
      </c>
      <c r="H425" s="1" t="n">
        <f aca="false">IFERROR(VLOOKUP(OFFSET(Table22,424,21,1,1),OFFSET(Table2,0,1,ROWS(Table2),8),3,0),VLOOKUP(OFFSET(Table22,424,22,1,1),Table2,4,0))</f>
        <v>21356941</v>
      </c>
      <c r="I425" s="2" t="n">
        <f aca="false">IFERROR(VLOOKUP(OFFSET(Table22,424,21,1,1),OFFSET(Table2,0,1,ROWS(Table2),8),4,0),VLOOKUP(OFFSET(Table22,424,22,1,1),Table2,5,0))</f>
        <v>720193</v>
      </c>
      <c r="J425" s="3" t="str">
        <f aca="false">IF(ISNUMBER(SEARCH("FACEBOOK",W425)),"Facebook",IF(ISNUMBER(SEARCH("INSTAGRAM",W425)),"Facebook-Instagram","Look at taxonomy"))</f>
        <v>Facebook</v>
      </c>
      <c r="K425" s="3" t="str">
        <f aca="false">IF(ISNUMBER(SEARCH("Facebook",J425)),"3654128","Not Facebook")</f>
        <v>3654128</v>
      </c>
      <c r="L425" s="3" t="str">
        <f aca="false">IFERROR(VLOOKUP(OFFSET(Table22,424,21,1,1),OFFSET(Table2,0,1,ROWS(Table2),8),7,0),VLOOKUP(OFFSET(Table22,424,22,1,1),Table2,8,0))</f>
        <v>AZR_FreeAcctRetargetingFB-GlobalAlt-ChB_FRA_1200x628_SOC_AZRDirect_French_NA_Facebook_SBAN_SINU_T2_1</v>
      </c>
      <c r="M425" s="2" t="n">
        <f aca="false">IFERROR(VLOOKUP(OFFSET(Table22,424,21,1,1),OFFSET(Table2,0,1,ROWS(Table2),8),8,0),VLOOKUP(OFFSET(Table22,424,22,1,1),Table2,9,0))</f>
        <v>103259520</v>
      </c>
      <c r="N425" s="15" t="s">
        <v>29</v>
      </c>
      <c r="O425" s="16" t="n">
        <v>43356</v>
      </c>
      <c r="P425" s="17" t="s">
        <v>102</v>
      </c>
      <c r="Q425" s="18" t="s">
        <v>103</v>
      </c>
      <c r="R425" s="17" t="s">
        <v>104</v>
      </c>
      <c r="S425" s="18" t="s">
        <v>33</v>
      </c>
      <c r="T425" s="17" t="s">
        <v>34</v>
      </c>
      <c r="U425" s="18" t="s">
        <v>39</v>
      </c>
      <c r="V425" s="19" t="n">
        <v>224560845</v>
      </c>
      <c r="W425" s="17" t="s">
        <v>122</v>
      </c>
      <c r="X425" s="17" t="n">
        <v>0</v>
      </c>
      <c r="Y425" s="17"/>
      <c r="Z425" s="17" t="n">
        <v>0</v>
      </c>
      <c r="AA425" s="17" t="s">
        <v>38</v>
      </c>
      <c r="AB425" s="17"/>
    </row>
    <row r="426" customFormat="false" ht="15" hidden="false" customHeight="false" outlineLevel="0" collapsed="false">
      <c r="A426" s="1" t="str">
        <f aca="false">OFFSET(Table22,425,14,1,1)&amp;OFFSET(Table22,425,21,1,1)</f>
        <v>43356224560845</v>
      </c>
      <c r="B426" s="1" t="str">
        <f aca="false">OFFSET(Table22,425,14,1,1)&amp;OFFSET(Table22,425,22,1,1)</f>
        <v>43356Facebook»Developers/ITPros-Azure Direct-Sponsored Post-Link Ad-FreeAcctRetargetingFB-GlobalAlt-ChB»1x1»SocialBan»LIA»ALL»CPC»BT»X»UNK»SS»NA»Trials_ID</v>
      </c>
      <c r="C426" s="1" t="s">
        <v>28</v>
      </c>
      <c r="D426" s="3" t="n">
        <f aca="false">O426+(7-WEEKDAY(O426))</f>
        <v>43358</v>
      </c>
      <c r="E426" s="1" t="str">
        <f aca="false">VLOOKUP(OFFSET(Table22,425,16,1,1),Key!B:D,2,0)</f>
        <v>France</v>
      </c>
      <c r="F426" s="1" t="str">
        <f aca="false">IF(ISNUMBER(SEARCH("Canvas",U426)),"Link",IF(ISNUMBER(SEARCH("Link",U426)),"Link","Not filled properly"))</f>
        <v>Link</v>
      </c>
      <c r="G426" s="1" t="str">
        <f aca="false">IFERROR(VLOOKUP(OFFSET(Table22,425,21,1,1),OFFSET(Table2,0,1,ROWS(Table2),8),2,0),VLOOKUP(OFFSET(Table22,425,22,1,1),Table2,3,0))</f>
        <v>FRA_gaPMG_AZR_AZR_Q1_19_AzureDirect-Trial-Social</v>
      </c>
      <c r="H426" s="1" t="n">
        <f aca="false">IFERROR(VLOOKUP(OFFSET(Table22,425,21,1,1),OFFSET(Table2,0,1,ROWS(Table2),8),3,0),VLOOKUP(OFFSET(Table22,425,22,1,1),Table2,4,0))</f>
        <v>21356941</v>
      </c>
      <c r="I426" s="2" t="n">
        <f aca="false">IFERROR(VLOOKUP(OFFSET(Table22,425,21,1,1),OFFSET(Table2,0,1,ROWS(Table2),8),4,0),VLOOKUP(OFFSET(Table22,425,22,1,1),Table2,5,0))</f>
        <v>720193</v>
      </c>
      <c r="J426" s="3" t="str">
        <f aca="false">IF(ISNUMBER(SEARCH("FACEBOOK",W426)),"Facebook",IF(ISNUMBER(SEARCH("INSTAGRAM",W426)),"Facebook-Instagram","Look at taxonomy"))</f>
        <v>Facebook</v>
      </c>
      <c r="K426" s="3" t="str">
        <f aca="false">IF(ISNUMBER(SEARCH("Facebook",J426)),"3654128","Not Facebook")</f>
        <v>3654128</v>
      </c>
      <c r="L426" s="3" t="str">
        <f aca="false">IFERROR(VLOOKUP(OFFSET(Table22,425,21,1,1),OFFSET(Table2,0,1,ROWS(Table2),8),7,0),VLOOKUP(OFFSET(Table22,425,22,1,1),Table2,8,0))</f>
        <v>AZR_FreeAcctRetargetingFB-GlobalAlt-ChB_FRA_1200x628_SOC_AZRDirect_French_NA_Facebook_SBAN_SINU_T2_1</v>
      </c>
      <c r="M426" s="2" t="n">
        <f aca="false">IFERROR(VLOOKUP(OFFSET(Table22,425,21,1,1),OFFSET(Table2,0,1,ROWS(Table2),8),8,0),VLOOKUP(OFFSET(Table22,425,22,1,1),Table2,9,0))</f>
        <v>103259520</v>
      </c>
      <c r="N426" s="15" t="s">
        <v>29</v>
      </c>
      <c r="O426" s="16" t="n">
        <v>43356</v>
      </c>
      <c r="P426" s="17" t="s">
        <v>102</v>
      </c>
      <c r="Q426" s="18" t="s">
        <v>103</v>
      </c>
      <c r="R426" s="17" t="s">
        <v>104</v>
      </c>
      <c r="S426" s="18" t="s">
        <v>33</v>
      </c>
      <c r="T426" s="17" t="s">
        <v>34</v>
      </c>
      <c r="U426" s="18" t="s">
        <v>39</v>
      </c>
      <c r="V426" s="19" t="n">
        <v>224560845</v>
      </c>
      <c r="W426" s="17" t="s">
        <v>122</v>
      </c>
      <c r="X426" s="17" t="n">
        <v>0</v>
      </c>
      <c r="Y426" s="17"/>
      <c r="Z426" s="17" t="n">
        <v>0</v>
      </c>
      <c r="AA426" s="17" t="s">
        <v>38</v>
      </c>
      <c r="AB426" s="17"/>
    </row>
    <row r="427" customFormat="false" ht="15" hidden="false" customHeight="false" outlineLevel="0" collapsed="false">
      <c r="A427" s="1" t="str">
        <f aca="false">OFFSET(Table22,426,14,1,1)&amp;OFFSET(Table22,426,21,1,1)</f>
        <v>43355224560845</v>
      </c>
      <c r="B427" s="1" t="str">
        <f aca="false">OFFSET(Table22,426,14,1,1)&amp;OFFSET(Table22,426,22,1,1)</f>
        <v>43355Facebook»Developers/ITPros-Azure Direct-Sponsored Post-Link Ad-FreeAcctRetargetingFB-GlobalAlt-ChB»1x1»SocialBan»LIA»ALL»CPC»BT»X»UNK»SS»NA»Trials_ID</v>
      </c>
      <c r="C427" s="1" t="s">
        <v>28</v>
      </c>
      <c r="D427" s="3" t="n">
        <f aca="false">O427+(7-WEEKDAY(O427))</f>
        <v>43358</v>
      </c>
      <c r="E427" s="1" t="str">
        <f aca="false">VLOOKUP(OFFSET(Table22,426,16,1,1),Key!B:D,2,0)</f>
        <v>France</v>
      </c>
      <c r="F427" s="1" t="str">
        <f aca="false">IF(ISNUMBER(SEARCH("Canvas",U427)),"Link",IF(ISNUMBER(SEARCH("Link",U427)),"Link","Not filled properly"))</f>
        <v>Link</v>
      </c>
      <c r="G427" s="1" t="str">
        <f aca="false">IFERROR(VLOOKUP(OFFSET(Table22,426,21,1,1),OFFSET(Table2,0,1,ROWS(Table2),8),2,0),VLOOKUP(OFFSET(Table22,426,22,1,1),Table2,3,0))</f>
        <v>FRA_gaPMG_AZR_AZR_Q1_19_AzureDirect-Trial-Social</v>
      </c>
      <c r="H427" s="1" t="n">
        <f aca="false">IFERROR(VLOOKUP(OFFSET(Table22,426,21,1,1),OFFSET(Table2,0,1,ROWS(Table2),8),3,0),VLOOKUP(OFFSET(Table22,426,22,1,1),Table2,4,0))</f>
        <v>21356941</v>
      </c>
      <c r="I427" s="2" t="n">
        <f aca="false">IFERROR(VLOOKUP(OFFSET(Table22,426,21,1,1),OFFSET(Table2,0,1,ROWS(Table2),8),4,0),VLOOKUP(OFFSET(Table22,426,22,1,1),Table2,5,0))</f>
        <v>720193</v>
      </c>
      <c r="J427" s="3" t="str">
        <f aca="false">IF(ISNUMBER(SEARCH("FACEBOOK",W427)),"Facebook",IF(ISNUMBER(SEARCH("INSTAGRAM",W427)),"Facebook-Instagram","Look at taxonomy"))</f>
        <v>Facebook</v>
      </c>
      <c r="K427" s="3" t="str">
        <f aca="false">IF(ISNUMBER(SEARCH("Facebook",J427)),"3654128","Not Facebook")</f>
        <v>3654128</v>
      </c>
      <c r="L427" s="3" t="str">
        <f aca="false">IFERROR(VLOOKUP(OFFSET(Table22,426,21,1,1),OFFSET(Table2,0,1,ROWS(Table2),8),7,0),VLOOKUP(OFFSET(Table22,426,22,1,1),Table2,8,0))</f>
        <v>AZR_FreeAcctRetargetingFB-GlobalAlt-ChB_FRA_1200x628_SOC_AZRDirect_French_NA_Facebook_SBAN_SINU_T2_1</v>
      </c>
      <c r="M427" s="2" t="n">
        <f aca="false">IFERROR(VLOOKUP(OFFSET(Table22,426,21,1,1),OFFSET(Table2,0,1,ROWS(Table2),8),8,0),VLOOKUP(OFFSET(Table22,426,22,1,1),Table2,9,0))</f>
        <v>103259520</v>
      </c>
      <c r="N427" s="15" t="s">
        <v>29</v>
      </c>
      <c r="O427" s="16" t="n">
        <v>43355</v>
      </c>
      <c r="P427" s="17" t="s">
        <v>102</v>
      </c>
      <c r="Q427" s="18" t="s">
        <v>103</v>
      </c>
      <c r="R427" s="17" t="s">
        <v>104</v>
      </c>
      <c r="S427" s="18" t="s">
        <v>33</v>
      </c>
      <c r="T427" s="17" t="s">
        <v>34</v>
      </c>
      <c r="U427" s="18" t="s">
        <v>39</v>
      </c>
      <c r="V427" s="19" t="n">
        <v>224560845</v>
      </c>
      <c r="W427" s="17" t="s">
        <v>122</v>
      </c>
      <c r="X427" s="17" t="n">
        <v>0</v>
      </c>
      <c r="Y427" s="17"/>
      <c r="Z427" s="17" t="n">
        <v>0</v>
      </c>
      <c r="AA427" s="17" t="s">
        <v>38</v>
      </c>
      <c r="AB427" s="17"/>
    </row>
    <row r="428" customFormat="false" ht="15" hidden="false" customHeight="false" outlineLevel="0" collapsed="false">
      <c r="A428" s="1" t="str">
        <f aca="false">OFFSET(Table22,427,14,1,1)&amp;OFFSET(Table22,427,21,1,1)</f>
        <v>43355224560845</v>
      </c>
      <c r="B428" s="1" t="str">
        <f aca="false">OFFSET(Table22,427,14,1,1)&amp;OFFSET(Table22,427,22,1,1)</f>
        <v>43355Facebook»Developers/ITPros-Azure Direct-Sponsored Post-Link Ad-FreeAcctRetargetingFB-GlobalAlt-ChB»1x1»SocialBan»LIA»ALL»CPC»BT»X»UNK»SS»NA»Trials_ID</v>
      </c>
      <c r="C428" s="1" t="s">
        <v>28</v>
      </c>
      <c r="D428" s="3" t="n">
        <f aca="false">O428+(7-WEEKDAY(O428))</f>
        <v>43358</v>
      </c>
      <c r="E428" s="1" t="str">
        <f aca="false">VLOOKUP(OFFSET(Table22,427,16,1,1),Key!B:D,2,0)</f>
        <v>France</v>
      </c>
      <c r="F428" s="1" t="str">
        <f aca="false">IF(ISNUMBER(SEARCH("Canvas",U428)),"Link",IF(ISNUMBER(SEARCH("Link",U428)),"Link","Not filled properly"))</f>
        <v>Link</v>
      </c>
      <c r="G428" s="1" t="str">
        <f aca="false">IFERROR(VLOOKUP(OFFSET(Table22,427,21,1,1),OFFSET(Table2,0,1,ROWS(Table2),8),2,0),VLOOKUP(OFFSET(Table22,427,22,1,1),Table2,3,0))</f>
        <v>FRA_gaPMG_AZR_AZR_Q1_19_AzureDirect-Trial-Social</v>
      </c>
      <c r="H428" s="1" t="n">
        <f aca="false">IFERROR(VLOOKUP(OFFSET(Table22,427,21,1,1),OFFSET(Table2,0,1,ROWS(Table2),8),3,0),VLOOKUP(OFFSET(Table22,427,22,1,1),Table2,4,0))</f>
        <v>21356941</v>
      </c>
      <c r="I428" s="2" t="n">
        <f aca="false">IFERROR(VLOOKUP(OFFSET(Table22,427,21,1,1),OFFSET(Table2,0,1,ROWS(Table2),8),4,0),VLOOKUP(OFFSET(Table22,427,22,1,1),Table2,5,0))</f>
        <v>720193</v>
      </c>
      <c r="J428" s="3" t="str">
        <f aca="false">IF(ISNUMBER(SEARCH("FACEBOOK",W428)),"Facebook",IF(ISNUMBER(SEARCH("INSTAGRAM",W428)),"Facebook-Instagram","Look at taxonomy"))</f>
        <v>Facebook</v>
      </c>
      <c r="K428" s="3" t="str">
        <f aca="false">IF(ISNUMBER(SEARCH("Facebook",J428)),"3654128","Not Facebook")</f>
        <v>3654128</v>
      </c>
      <c r="L428" s="3" t="str">
        <f aca="false">IFERROR(VLOOKUP(OFFSET(Table22,427,21,1,1),OFFSET(Table2,0,1,ROWS(Table2),8),7,0),VLOOKUP(OFFSET(Table22,427,22,1,1),Table2,8,0))</f>
        <v>AZR_FreeAcctRetargetingFB-GlobalAlt-ChB_FRA_1200x628_SOC_AZRDirect_French_NA_Facebook_SBAN_SINU_T2_1</v>
      </c>
      <c r="M428" s="2" t="n">
        <f aca="false">IFERROR(VLOOKUP(OFFSET(Table22,427,21,1,1),OFFSET(Table2,0,1,ROWS(Table2),8),8,0),VLOOKUP(OFFSET(Table22,427,22,1,1),Table2,9,0))</f>
        <v>103259520</v>
      </c>
      <c r="N428" s="15" t="s">
        <v>29</v>
      </c>
      <c r="O428" s="16" t="n">
        <v>43355</v>
      </c>
      <c r="P428" s="17" t="s">
        <v>102</v>
      </c>
      <c r="Q428" s="18" t="s">
        <v>103</v>
      </c>
      <c r="R428" s="17" t="s">
        <v>104</v>
      </c>
      <c r="S428" s="18" t="s">
        <v>33</v>
      </c>
      <c r="T428" s="17" t="s">
        <v>34</v>
      </c>
      <c r="U428" s="18" t="s">
        <v>39</v>
      </c>
      <c r="V428" s="19" t="n">
        <v>224560845</v>
      </c>
      <c r="W428" s="17" t="s">
        <v>122</v>
      </c>
      <c r="X428" s="17" t="n">
        <v>0</v>
      </c>
      <c r="Y428" s="17"/>
      <c r="Z428" s="17" t="n">
        <v>0</v>
      </c>
      <c r="AA428" s="17" t="s">
        <v>38</v>
      </c>
      <c r="AB428" s="17"/>
    </row>
    <row r="429" customFormat="false" ht="15" hidden="false" customHeight="false" outlineLevel="0" collapsed="false">
      <c r="A429" s="1" t="str">
        <f aca="false">OFFSET(Table22,428,14,1,1)&amp;OFFSET(Table22,428,21,1,1)</f>
        <v>43354224560845</v>
      </c>
      <c r="B429" s="1" t="str">
        <f aca="false">OFFSET(Table22,428,14,1,1)&amp;OFFSET(Table22,428,22,1,1)</f>
        <v>43354Facebook»Developers/ITPros-Azure Direct-Sponsored Post-Link Ad-FreeAcctRetargetingFB-GlobalAlt-ChB»1x1»SocialBan»LIA»ALL»CPC»BT»X»UNK»SS»NA»Trials_ID</v>
      </c>
      <c r="C429" s="1" t="s">
        <v>28</v>
      </c>
      <c r="D429" s="3" t="n">
        <f aca="false">O429+(7-WEEKDAY(O429))</f>
        <v>43358</v>
      </c>
      <c r="E429" s="1" t="str">
        <f aca="false">VLOOKUP(OFFSET(Table22,428,16,1,1),Key!B:D,2,0)</f>
        <v>France</v>
      </c>
      <c r="F429" s="1" t="str">
        <f aca="false">IF(ISNUMBER(SEARCH("Canvas",U429)),"Link",IF(ISNUMBER(SEARCH("Link",U429)),"Link","Not filled properly"))</f>
        <v>Link</v>
      </c>
      <c r="G429" s="1" t="str">
        <f aca="false">IFERROR(VLOOKUP(OFFSET(Table22,428,21,1,1),OFFSET(Table2,0,1,ROWS(Table2),8),2,0),VLOOKUP(OFFSET(Table22,428,22,1,1),Table2,3,0))</f>
        <v>FRA_gaPMG_AZR_AZR_Q1_19_AzureDirect-Trial-Social</v>
      </c>
      <c r="H429" s="1" t="n">
        <f aca="false">IFERROR(VLOOKUP(OFFSET(Table22,428,21,1,1),OFFSET(Table2,0,1,ROWS(Table2),8),3,0),VLOOKUP(OFFSET(Table22,428,22,1,1),Table2,4,0))</f>
        <v>21356941</v>
      </c>
      <c r="I429" s="2" t="n">
        <f aca="false">IFERROR(VLOOKUP(OFFSET(Table22,428,21,1,1),OFFSET(Table2,0,1,ROWS(Table2),8),4,0),VLOOKUP(OFFSET(Table22,428,22,1,1),Table2,5,0))</f>
        <v>720193</v>
      </c>
      <c r="J429" s="3" t="str">
        <f aca="false">IF(ISNUMBER(SEARCH("FACEBOOK",W429)),"Facebook",IF(ISNUMBER(SEARCH("INSTAGRAM",W429)),"Facebook-Instagram","Look at taxonomy"))</f>
        <v>Facebook</v>
      </c>
      <c r="K429" s="3" t="str">
        <f aca="false">IF(ISNUMBER(SEARCH("Facebook",J429)),"3654128","Not Facebook")</f>
        <v>3654128</v>
      </c>
      <c r="L429" s="3" t="str">
        <f aca="false">IFERROR(VLOOKUP(OFFSET(Table22,428,21,1,1),OFFSET(Table2,0,1,ROWS(Table2),8),7,0),VLOOKUP(OFFSET(Table22,428,22,1,1),Table2,8,0))</f>
        <v>AZR_FreeAcctRetargetingFB-GlobalAlt-ChB_FRA_1200x628_SOC_AZRDirect_French_NA_Facebook_SBAN_SINU_T2_1</v>
      </c>
      <c r="M429" s="2" t="n">
        <f aca="false">IFERROR(VLOOKUP(OFFSET(Table22,428,21,1,1),OFFSET(Table2,0,1,ROWS(Table2),8),8,0),VLOOKUP(OFFSET(Table22,428,22,1,1),Table2,9,0))</f>
        <v>103259520</v>
      </c>
      <c r="N429" s="15" t="s">
        <v>29</v>
      </c>
      <c r="O429" s="16" t="n">
        <v>43354</v>
      </c>
      <c r="P429" s="17" t="s">
        <v>102</v>
      </c>
      <c r="Q429" s="18" t="s">
        <v>103</v>
      </c>
      <c r="R429" s="17" t="s">
        <v>104</v>
      </c>
      <c r="S429" s="18" t="s">
        <v>33</v>
      </c>
      <c r="T429" s="17" t="s">
        <v>34</v>
      </c>
      <c r="U429" s="18" t="s">
        <v>39</v>
      </c>
      <c r="V429" s="19" t="n">
        <v>224560845</v>
      </c>
      <c r="W429" s="17" t="s">
        <v>122</v>
      </c>
      <c r="X429" s="17" t="n">
        <v>0</v>
      </c>
      <c r="Y429" s="17"/>
      <c r="Z429" s="17" t="n">
        <v>0</v>
      </c>
      <c r="AA429" s="17" t="s">
        <v>38</v>
      </c>
      <c r="AB429" s="17"/>
    </row>
    <row r="430" customFormat="false" ht="15" hidden="false" customHeight="false" outlineLevel="0" collapsed="false">
      <c r="A430" s="1" t="str">
        <f aca="false">OFFSET(Table22,429,14,1,1)&amp;OFFSET(Table22,429,21,1,1)</f>
        <v>43354224560845</v>
      </c>
      <c r="B430" s="1" t="str">
        <f aca="false">OFFSET(Table22,429,14,1,1)&amp;OFFSET(Table22,429,22,1,1)</f>
        <v>43354Facebook»Developers/ITPros-Azure Direct-Sponsored Post-Link Ad-FreeAcctRetargetingFB-GlobalAlt-ChB»1x1»SocialBan»LIA»ALL»CPC»BT»X»UNK»SS»NA»Trials_ID</v>
      </c>
      <c r="C430" s="1" t="s">
        <v>28</v>
      </c>
      <c r="D430" s="3" t="n">
        <f aca="false">O430+(7-WEEKDAY(O430))</f>
        <v>43358</v>
      </c>
      <c r="E430" s="1" t="str">
        <f aca="false">VLOOKUP(OFFSET(Table22,429,16,1,1),Key!B:D,2,0)</f>
        <v>France</v>
      </c>
      <c r="F430" s="1" t="str">
        <f aca="false">IF(ISNUMBER(SEARCH("Canvas",U430)),"Link",IF(ISNUMBER(SEARCH("Link",U430)),"Link","Not filled properly"))</f>
        <v>Link</v>
      </c>
      <c r="G430" s="1" t="str">
        <f aca="false">IFERROR(VLOOKUP(OFFSET(Table22,429,21,1,1),OFFSET(Table2,0,1,ROWS(Table2),8),2,0),VLOOKUP(OFFSET(Table22,429,22,1,1),Table2,3,0))</f>
        <v>FRA_gaPMG_AZR_AZR_Q1_19_AzureDirect-Trial-Social</v>
      </c>
      <c r="H430" s="1" t="n">
        <f aca="false">IFERROR(VLOOKUP(OFFSET(Table22,429,21,1,1),OFFSET(Table2,0,1,ROWS(Table2),8),3,0),VLOOKUP(OFFSET(Table22,429,22,1,1),Table2,4,0))</f>
        <v>21356941</v>
      </c>
      <c r="I430" s="2" t="n">
        <f aca="false">IFERROR(VLOOKUP(OFFSET(Table22,429,21,1,1),OFFSET(Table2,0,1,ROWS(Table2),8),4,0),VLOOKUP(OFFSET(Table22,429,22,1,1),Table2,5,0))</f>
        <v>720193</v>
      </c>
      <c r="J430" s="3" t="str">
        <f aca="false">IF(ISNUMBER(SEARCH("FACEBOOK",W430)),"Facebook",IF(ISNUMBER(SEARCH("INSTAGRAM",W430)),"Facebook-Instagram","Look at taxonomy"))</f>
        <v>Facebook</v>
      </c>
      <c r="K430" s="3" t="str">
        <f aca="false">IF(ISNUMBER(SEARCH("Facebook",J430)),"3654128","Not Facebook")</f>
        <v>3654128</v>
      </c>
      <c r="L430" s="3" t="str">
        <f aca="false">IFERROR(VLOOKUP(OFFSET(Table22,429,21,1,1),OFFSET(Table2,0,1,ROWS(Table2),8),7,0),VLOOKUP(OFFSET(Table22,429,22,1,1),Table2,8,0))</f>
        <v>AZR_FreeAcctRetargetingFB-GlobalAlt-ChB_FRA_1200x628_SOC_AZRDirect_French_NA_Facebook_SBAN_SINU_T2_1</v>
      </c>
      <c r="M430" s="2" t="n">
        <f aca="false">IFERROR(VLOOKUP(OFFSET(Table22,429,21,1,1),OFFSET(Table2,0,1,ROWS(Table2),8),8,0),VLOOKUP(OFFSET(Table22,429,22,1,1),Table2,9,0))</f>
        <v>103259520</v>
      </c>
      <c r="N430" s="15" t="s">
        <v>29</v>
      </c>
      <c r="O430" s="16" t="n">
        <v>43354</v>
      </c>
      <c r="P430" s="17" t="s">
        <v>102</v>
      </c>
      <c r="Q430" s="18" t="s">
        <v>103</v>
      </c>
      <c r="R430" s="17" t="s">
        <v>104</v>
      </c>
      <c r="S430" s="18" t="s">
        <v>33</v>
      </c>
      <c r="T430" s="17" t="s">
        <v>34</v>
      </c>
      <c r="U430" s="18" t="s">
        <v>39</v>
      </c>
      <c r="V430" s="19" t="n">
        <v>224560845</v>
      </c>
      <c r="W430" s="17" t="s">
        <v>122</v>
      </c>
      <c r="X430" s="17" t="n">
        <v>0</v>
      </c>
      <c r="Y430" s="17"/>
      <c r="Z430" s="17" t="n">
        <v>0</v>
      </c>
      <c r="AA430" s="17" t="s">
        <v>38</v>
      </c>
      <c r="AB430" s="17"/>
    </row>
    <row r="431" customFormat="false" ht="15" hidden="false" customHeight="false" outlineLevel="0" collapsed="false">
      <c r="A431" s="1" t="str">
        <f aca="false">OFFSET(Table22,430,14,1,1)&amp;OFFSET(Table22,430,21,1,1)</f>
        <v>43353224560845</v>
      </c>
      <c r="B431" s="1" t="str">
        <f aca="false">OFFSET(Table22,430,14,1,1)&amp;OFFSET(Table22,430,22,1,1)</f>
        <v>43353Facebook»Developers/ITPros-Azure Direct-Sponsored Post-Link Ad-FreeAcctRetargetingFB-GlobalAlt-ChB»1x1»SocialBan»LIA»ALL»CPC»BT»X»UNK»SS»NA»Trials_ID</v>
      </c>
      <c r="C431" s="1" t="s">
        <v>28</v>
      </c>
      <c r="D431" s="3" t="n">
        <f aca="false">O431+(7-WEEKDAY(O431))</f>
        <v>43358</v>
      </c>
      <c r="E431" s="1" t="str">
        <f aca="false">VLOOKUP(OFFSET(Table22,430,16,1,1),Key!B:D,2,0)</f>
        <v>France</v>
      </c>
      <c r="F431" s="1" t="str">
        <f aca="false">IF(ISNUMBER(SEARCH("Canvas",U431)),"Link",IF(ISNUMBER(SEARCH("Link",U431)),"Link","Not filled properly"))</f>
        <v>Link</v>
      </c>
      <c r="G431" s="1" t="str">
        <f aca="false">IFERROR(VLOOKUP(OFFSET(Table22,430,21,1,1),OFFSET(Table2,0,1,ROWS(Table2),8),2,0),VLOOKUP(OFFSET(Table22,430,22,1,1),Table2,3,0))</f>
        <v>FRA_gaPMG_AZR_AZR_Q1_19_AzureDirect-Trial-Social</v>
      </c>
      <c r="H431" s="1" t="n">
        <f aca="false">IFERROR(VLOOKUP(OFFSET(Table22,430,21,1,1),OFFSET(Table2,0,1,ROWS(Table2),8),3,0),VLOOKUP(OFFSET(Table22,430,22,1,1),Table2,4,0))</f>
        <v>21356941</v>
      </c>
      <c r="I431" s="2" t="n">
        <f aca="false">IFERROR(VLOOKUP(OFFSET(Table22,430,21,1,1),OFFSET(Table2,0,1,ROWS(Table2),8),4,0),VLOOKUP(OFFSET(Table22,430,22,1,1),Table2,5,0))</f>
        <v>720193</v>
      </c>
      <c r="J431" s="3" t="str">
        <f aca="false">IF(ISNUMBER(SEARCH("FACEBOOK",W431)),"Facebook",IF(ISNUMBER(SEARCH("INSTAGRAM",W431)),"Facebook-Instagram","Look at taxonomy"))</f>
        <v>Facebook</v>
      </c>
      <c r="K431" s="3" t="str">
        <f aca="false">IF(ISNUMBER(SEARCH("Facebook",J431)),"3654128","Not Facebook")</f>
        <v>3654128</v>
      </c>
      <c r="L431" s="3" t="str">
        <f aca="false">IFERROR(VLOOKUP(OFFSET(Table22,430,21,1,1),OFFSET(Table2,0,1,ROWS(Table2),8),7,0),VLOOKUP(OFFSET(Table22,430,22,1,1),Table2,8,0))</f>
        <v>AZR_FreeAcctRetargetingFB-GlobalAlt-ChB_FRA_1200x628_SOC_AZRDirect_French_NA_Facebook_SBAN_SINU_T2_1</v>
      </c>
      <c r="M431" s="2" t="n">
        <f aca="false">IFERROR(VLOOKUP(OFFSET(Table22,430,21,1,1),OFFSET(Table2,0,1,ROWS(Table2),8),8,0),VLOOKUP(OFFSET(Table22,430,22,1,1),Table2,9,0))</f>
        <v>103259520</v>
      </c>
      <c r="N431" s="15" t="s">
        <v>29</v>
      </c>
      <c r="O431" s="16" t="n">
        <v>43353</v>
      </c>
      <c r="P431" s="17" t="s">
        <v>102</v>
      </c>
      <c r="Q431" s="18" t="s">
        <v>103</v>
      </c>
      <c r="R431" s="17" t="s">
        <v>104</v>
      </c>
      <c r="S431" s="18" t="s">
        <v>33</v>
      </c>
      <c r="T431" s="17" t="s">
        <v>34</v>
      </c>
      <c r="U431" s="18" t="s">
        <v>39</v>
      </c>
      <c r="V431" s="19" t="n">
        <v>224560845</v>
      </c>
      <c r="W431" s="17" t="s">
        <v>122</v>
      </c>
      <c r="X431" s="17" t="n">
        <v>0</v>
      </c>
      <c r="Y431" s="17"/>
      <c r="Z431" s="17" t="n">
        <v>0</v>
      </c>
      <c r="AA431" s="17" t="s">
        <v>38</v>
      </c>
      <c r="AB431" s="17"/>
    </row>
    <row r="432" customFormat="false" ht="15" hidden="false" customHeight="false" outlineLevel="0" collapsed="false">
      <c r="A432" s="1" t="str">
        <f aca="false">OFFSET(Table22,431,14,1,1)&amp;OFFSET(Table22,431,21,1,1)</f>
        <v>43353224560845</v>
      </c>
      <c r="B432" s="1" t="str">
        <f aca="false">OFFSET(Table22,431,14,1,1)&amp;OFFSET(Table22,431,22,1,1)</f>
        <v>43353Facebook»Developers/ITPros-Azure Direct-Sponsored Post-Link Ad-FreeAcctRetargetingFB-GlobalAlt-ChB»1x1»SocialBan»LIA»ALL»CPC»BT»X»UNK»SS»NA»Trials_ID</v>
      </c>
      <c r="C432" s="1" t="s">
        <v>28</v>
      </c>
      <c r="D432" s="3" t="n">
        <f aca="false">O432+(7-WEEKDAY(O432))</f>
        <v>43358</v>
      </c>
      <c r="E432" s="1" t="str">
        <f aca="false">VLOOKUP(OFFSET(Table22,431,16,1,1),Key!B:D,2,0)</f>
        <v>France</v>
      </c>
      <c r="F432" s="1" t="str">
        <f aca="false">IF(ISNUMBER(SEARCH("Canvas",U432)),"Link",IF(ISNUMBER(SEARCH("Link",U432)),"Link","Not filled properly"))</f>
        <v>Link</v>
      </c>
      <c r="G432" s="1" t="str">
        <f aca="false">IFERROR(VLOOKUP(OFFSET(Table22,431,21,1,1),OFFSET(Table2,0,1,ROWS(Table2),8),2,0),VLOOKUP(OFFSET(Table22,431,22,1,1),Table2,3,0))</f>
        <v>FRA_gaPMG_AZR_AZR_Q1_19_AzureDirect-Trial-Social</v>
      </c>
      <c r="H432" s="1" t="n">
        <f aca="false">IFERROR(VLOOKUP(OFFSET(Table22,431,21,1,1),OFFSET(Table2,0,1,ROWS(Table2),8),3,0),VLOOKUP(OFFSET(Table22,431,22,1,1),Table2,4,0))</f>
        <v>21356941</v>
      </c>
      <c r="I432" s="2" t="n">
        <f aca="false">IFERROR(VLOOKUP(OFFSET(Table22,431,21,1,1),OFFSET(Table2,0,1,ROWS(Table2),8),4,0),VLOOKUP(OFFSET(Table22,431,22,1,1),Table2,5,0))</f>
        <v>720193</v>
      </c>
      <c r="J432" s="3" t="str">
        <f aca="false">IF(ISNUMBER(SEARCH("FACEBOOK",W432)),"Facebook",IF(ISNUMBER(SEARCH("INSTAGRAM",W432)),"Facebook-Instagram","Look at taxonomy"))</f>
        <v>Facebook</v>
      </c>
      <c r="K432" s="3" t="str">
        <f aca="false">IF(ISNUMBER(SEARCH("Facebook",J432)),"3654128","Not Facebook")</f>
        <v>3654128</v>
      </c>
      <c r="L432" s="3" t="str">
        <f aca="false">IFERROR(VLOOKUP(OFFSET(Table22,431,21,1,1),OFFSET(Table2,0,1,ROWS(Table2),8),7,0),VLOOKUP(OFFSET(Table22,431,22,1,1),Table2,8,0))</f>
        <v>AZR_FreeAcctRetargetingFB-GlobalAlt-ChB_FRA_1200x628_SOC_AZRDirect_French_NA_Facebook_SBAN_SINU_T2_1</v>
      </c>
      <c r="M432" s="2" t="n">
        <f aca="false">IFERROR(VLOOKUP(OFFSET(Table22,431,21,1,1),OFFSET(Table2,0,1,ROWS(Table2),8),8,0),VLOOKUP(OFFSET(Table22,431,22,1,1),Table2,9,0))</f>
        <v>103259520</v>
      </c>
      <c r="N432" s="15" t="s">
        <v>29</v>
      </c>
      <c r="O432" s="16" t="n">
        <v>43353</v>
      </c>
      <c r="P432" s="17" t="s">
        <v>102</v>
      </c>
      <c r="Q432" s="18" t="s">
        <v>103</v>
      </c>
      <c r="R432" s="17" t="s">
        <v>104</v>
      </c>
      <c r="S432" s="18" t="s">
        <v>33</v>
      </c>
      <c r="T432" s="17" t="s">
        <v>34</v>
      </c>
      <c r="U432" s="18" t="s">
        <v>39</v>
      </c>
      <c r="V432" s="19" t="n">
        <v>224560845</v>
      </c>
      <c r="W432" s="17" t="s">
        <v>122</v>
      </c>
      <c r="X432" s="17" t="n">
        <v>0</v>
      </c>
      <c r="Y432" s="17"/>
      <c r="Z432" s="17" t="n">
        <v>0</v>
      </c>
      <c r="AA432" s="17" t="s">
        <v>38</v>
      </c>
      <c r="AB432" s="17"/>
    </row>
    <row r="433" customFormat="false" ht="15" hidden="false" customHeight="false" outlineLevel="0" collapsed="false">
      <c r="A433" s="1" t="str">
        <f aca="false">OFFSET(Table22,432,14,1,1)&amp;OFFSET(Table22,432,21,1,1)</f>
        <v>43352224560845</v>
      </c>
      <c r="B433" s="1" t="str">
        <f aca="false">OFFSET(Table22,432,14,1,1)&amp;OFFSET(Table22,432,22,1,1)</f>
        <v>43352Facebook»Developers/ITPros-Azure Direct-Sponsored Post-Link Ad-FreeAcctRetargetingFB-GlobalAlt-ChB»1x1»SocialBan»LIA»ALL»CPC»BT»X»UNK»SS»NA»Trials_ID</v>
      </c>
      <c r="C433" s="1" t="s">
        <v>28</v>
      </c>
      <c r="D433" s="3" t="n">
        <f aca="false">O433+(7-WEEKDAY(O433))</f>
        <v>43358</v>
      </c>
      <c r="E433" s="1" t="str">
        <f aca="false">VLOOKUP(OFFSET(Table22,432,16,1,1),Key!B:D,2,0)</f>
        <v>France</v>
      </c>
      <c r="F433" s="1" t="str">
        <f aca="false">IF(ISNUMBER(SEARCH("Canvas",U433)),"Link",IF(ISNUMBER(SEARCH("Link",U433)),"Link","Not filled properly"))</f>
        <v>Link</v>
      </c>
      <c r="G433" s="1" t="str">
        <f aca="false">IFERROR(VLOOKUP(OFFSET(Table22,432,21,1,1),OFFSET(Table2,0,1,ROWS(Table2),8),2,0),VLOOKUP(OFFSET(Table22,432,22,1,1),Table2,3,0))</f>
        <v>FRA_gaPMG_AZR_AZR_Q1_19_AzureDirect-Trial-Social</v>
      </c>
      <c r="H433" s="1" t="n">
        <f aca="false">IFERROR(VLOOKUP(OFFSET(Table22,432,21,1,1),OFFSET(Table2,0,1,ROWS(Table2),8),3,0),VLOOKUP(OFFSET(Table22,432,22,1,1),Table2,4,0))</f>
        <v>21356941</v>
      </c>
      <c r="I433" s="2" t="n">
        <f aca="false">IFERROR(VLOOKUP(OFFSET(Table22,432,21,1,1),OFFSET(Table2,0,1,ROWS(Table2),8),4,0),VLOOKUP(OFFSET(Table22,432,22,1,1),Table2,5,0))</f>
        <v>720193</v>
      </c>
      <c r="J433" s="3" t="str">
        <f aca="false">IF(ISNUMBER(SEARCH("FACEBOOK",W433)),"Facebook",IF(ISNUMBER(SEARCH("INSTAGRAM",W433)),"Facebook-Instagram","Look at taxonomy"))</f>
        <v>Facebook</v>
      </c>
      <c r="K433" s="3" t="str">
        <f aca="false">IF(ISNUMBER(SEARCH("Facebook",J433)),"3654128","Not Facebook")</f>
        <v>3654128</v>
      </c>
      <c r="L433" s="3" t="str">
        <f aca="false">IFERROR(VLOOKUP(OFFSET(Table22,432,21,1,1),OFFSET(Table2,0,1,ROWS(Table2),8),7,0),VLOOKUP(OFFSET(Table22,432,22,1,1),Table2,8,0))</f>
        <v>AZR_FreeAcctRetargetingFB-GlobalAlt-ChB_FRA_1200x628_SOC_AZRDirect_French_NA_Facebook_SBAN_SINU_T2_1</v>
      </c>
      <c r="M433" s="2" t="n">
        <f aca="false">IFERROR(VLOOKUP(OFFSET(Table22,432,21,1,1),OFFSET(Table2,0,1,ROWS(Table2),8),8,0),VLOOKUP(OFFSET(Table22,432,22,1,1),Table2,9,0))</f>
        <v>103259520</v>
      </c>
      <c r="N433" s="15" t="s">
        <v>29</v>
      </c>
      <c r="O433" s="16" t="n">
        <v>43352</v>
      </c>
      <c r="P433" s="17" t="s">
        <v>102</v>
      </c>
      <c r="Q433" s="18" t="s">
        <v>103</v>
      </c>
      <c r="R433" s="17" t="s">
        <v>104</v>
      </c>
      <c r="S433" s="18" t="s">
        <v>33</v>
      </c>
      <c r="T433" s="17" t="s">
        <v>34</v>
      </c>
      <c r="U433" s="18" t="s">
        <v>39</v>
      </c>
      <c r="V433" s="19" t="n">
        <v>224560845</v>
      </c>
      <c r="W433" s="17" t="s">
        <v>122</v>
      </c>
      <c r="X433" s="17" t="n">
        <v>0</v>
      </c>
      <c r="Y433" s="17"/>
      <c r="Z433" s="17" t="n">
        <v>0</v>
      </c>
      <c r="AA433" s="17" t="s">
        <v>38</v>
      </c>
      <c r="AB433" s="17"/>
    </row>
    <row r="434" customFormat="false" ht="15" hidden="false" customHeight="false" outlineLevel="0" collapsed="false">
      <c r="A434" s="1" t="str">
        <f aca="false">OFFSET(Table22,433,14,1,1)&amp;OFFSET(Table22,433,21,1,1)</f>
        <v>43352224560845</v>
      </c>
      <c r="B434" s="1" t="str">
        <f aca="false">OFFSET(Table22,433,14,1,1)&amp;OFFSET(Table22,433,22,1,1)</f>
        <v>43352Facebook»Developers/ITPros-Azure Direct-Sponsored Post-Link Ad-FreeAcctRetargetingFB-GlobalAlt-ChB»1x1»SocialBan»LIA»ALL»CPC»BT»X»UNK»SS»NA»Trials_ID</v>
      </c>
      <c r="C434" s="1" t="s">
        <v>28</v>
      </c>
      <c r="D434" s="3" t="n">
        <f aca="false">O434+(7-WEEKDAY(O434))</f>
        <v>43358</v>
      </c>
      <c r="E434" s="1" t="str">
        <f aca="false">VLOOKUP(OFFSET(Table22,433,16,1,1),Key!B:D,2,0)</f>
        <v>France</v>
      </c>
      <c r="F434" s="1" t="str">
        <f aca="false">IF(ISNUMBER(SEARCH("Canvas",U434)),"Link",IF(ISNUMBER(SEARCH("Link",U434)),"Link","Not filled properly"))</f>
        <v>Link</v>
      </c>
      <c r="G434" s="1" t="str">
        <f aca="false">IFERROR(VLOOKUP(OFFSET(Table22,433,21,1,1),OFFSET(Table2,0,1,ROWS(Table2),8),2,0),VLOOKUP(OFFSET(Table22,433,22,1,1),Table2,3,0))</f>
        <v>FRA_gaPMG_AZR_AZR_Q1_19_AzureDirect-Trial-Social</v>
      </c>
      <c r="H434" s="1" t="n">
        <f aca="false">IFERROR(VLOOKUP(OFFSET(Table22,433,21,1,1),OFFSET(Table2,0,1,ROWS(Table2),8),3,0),VLOOKUP(OFFSET(Table22,433,22,1,1),Table2,4,0))</f>
        <v>21356941</v>
      </c>
      <c r="I434" s="2" t="n">
        <f aca="false">IFERROR(VLOOKUP(OFFSET(Table22,433,21,1,1),OFFSET(Table2,0,1,ROWS(Table2),8),4,0),VLOOKUP(OFFSET(Table22,433,22,1,1),Table2,5,0))</f>
        <v>720193</v>
      </c>
      <c r="J434" s="3" t="str">
        <f aca="false">IF(ISNUMBER(SEARCH("FACEBOOK",W434)),"Facebook",IF(ISNUMBER(SEARCH("INSTAGRAM",W434)),"Facebook-Instagram","Look at taxonomy"))</f>
        <v>Facebook</v>
      </c>
      <c r="K434" s="3" t="str">
        <f aca="false">IF(ISNUMBER(SEARCH("Facebook",J434)),"3654128","Not Facebook")</f>
        <v>3654128</v>
      </c>
      <c r="L434" s="3" t="str">
        <f aca="false">IFERROR(VLOOKUP(OFFSET(Table22,433,21,1,1),OFFSET(Table2,0,1,ROWS(Table2),8),7,0),VLOOKUP(OFFSET(Table22,433,22,1,1),Table2,8,0))</f>
        <v>AZR_FreeAcctRetargetingFB-GlobalAlt-ChB_FRA_1200x628_SOC_AZRDirect_French_NA_Facebook_SBAN_SINU_T2_1</v>
      </c>
      <c r="M434" s="2" t="n">
        <f aca="false">IFERROR(VLOOKUP(OFFSET(Table22,433,21,1,1),OFFSET(Table2,0,1,ROWS(Table2),8),8,0),VLOOKUP(OFFSET(Table22,433,22,1,1),Table2,9,0))</f>
        <v>103259520</v>
      </c>
      <c r="N434" s="15" t="s">
        <v>29</v>
      </c>
      <c r="O434" s="16" t="n">
        <v>43352</v>
      </c>
      <c r="P434" s="17" t="s">
        <v>102</v>
      </c>
      <c r="Q434" s="18" t="s">
        <v>103</v>
      </c>
      <c r="R434" s="17" t="s">
        <v>104</v>
      </c>
      <c r="S434" s="18" t="s">
        <v>33</v>
      </c>
      <c r="T434" s="17" t="s">
        <v>34</v>
      </c>
      <c r="U434" s="18" t="s">
        <v>39</v>
      </c>
      <c r="V434" s="19" t="n">
        <v>224560845</v>
      </c>
      <c r="W434" s="17" t="s">
        <v>122</v>
      </c>
      <c r="X434" s="17" t="n">
        <v>0</v>
      </c>
      <c r="Y434" s="17"/>
      <c r="Z434" s="17" t="n">
        <v>0</v>
      </c>
      <c r="AA434" s="17" t="s">
        <v>38</v>
      </c>
      <c r="AB434" s="17"/>
    </row>
    <row r="435" customFormat="false" ht="15" hidden="false" customHeight="false" outlineLevel="0" collapsed="false">
      <c r="A435" s="1" t="str">
        <f aca="false">OFFSET(Table22,434,14,1,1)&amp;OFFSET(Table22,434,21,1,1)</f>
        <v>43358224560842</v>
      </c>
      <c r="B435" s="1" t="str">
        <f aca="false">OFFSET(Table22,434,14,1,1)&amp;OFFSET(Table22,434,22,1,1)</f>
        <v>43358Facebook»Developers/ITPros-Azure Direct-Sponsored Post-Link Ad-FreeAcctRetargetingOSSFB-Logos-ChG»1x1»SocialBan»LIA»ALL»CPC»BT»X»UNK»SS»NA»Trials_ID</v>
      </c>
      <c r="C435" s="1" t="s">
        <v>28</v>
      </c>
      <c r="D435" s="3" t="n">
        <f aca="false">O435+(7-WEEKDAY(O435))</f>
        <v>43358</v>
      </c>
      <c r="E435" s="1" t="str">
        <f aca="false">VLOOKUP(OFFSET(Table22,434,16,1,1),Key!B:D,2,0)</f>
        <v>France</v>
      </c>
      <c r="F435" s="1" t="str">
        <f aca="false">IF(ISNUMBER(SEARCH("Canvas",U435)),"Link",IF(ISNUMBER(SEARCH("Link",U435)),"Link","Not filled properly"))</f>
        <v>Link</v>
      </c>
      <c r="G435" s="1" t="str">
        <f aca="false">IFERROR(VLOOKUP(OFFSET(Table22,434,21,1,1),OFFSET(Table2,0,1,ROWS(Table2),8),2,0),VLOOKUP(OFFSET(Table22,434,22,1,1),Table2,3,0))</f>
        <v>FRA_gaPMG_AZR_AZR_Q1_19_AzureDirect-Trial-Social</v>
      </c>
      <c r="H435" s="1" t="n">
        <f aca="false">IFERROR(VLOOKUP(OFFSET(Table22,434,21,1,1),OFFSET(Table2,0,1,ROWS(Table2),8),3,0),VLOOKUP(OFFSET(Table22,434,22,1,1),Table2,4,0))</f>
        <v>21356941</v>
      </c>
      <c r="I435" s="2" t="n">
        <f aca="false">IFERROR(VLOOKUP(OFFSET(Table22,434,21,1,1),OFFSET(Table2,0,1,ROWS(Table2),8),4,0),VLOOKUP(OFFSET(Table22,434,22,1,1),Table2,5,0))</f>
        <v>720193</v>
      </c>
      <c r="J435" s="3" t="str">
        <f aca="false">IF(ISNUMBER(SEARCH("FACEBOOK",W435)),"Facebook",IF(ISNUMBER(SEARCH("INSTAGRAM",W435)),"Facebook-Instagram","Look at taxonomy"))</f>
        <v>Facebook</v>
      </c>
      <c r="K435" s="3" t="str">
        <f aca="false">IF(ISNUMBER(SEARCH("Facebook",J435)),"3654128","Not Facebook")</f>
        <v>3654128</v>
      </c>
      <c r="L435" s="3" t="str">
        <f aca="false">IFERROR(VLOOKUP(OFFSET(Table22,434,21,1,1),OFFSET(Table2,0,1,ROWS(Table2),8),7,0),VLOOKUP(OFFSET(Table22,434,22,1,1),Table2,8,0))</f>
        <v>AZR_FreeAcctRetargetingOSSFB-Logos-ChG_FRA_1200x628_SOC_AZRDirect_French_NA_Facebook_SBAN_SINU_T2_1</v>
      </c>
      <c r="M435" s="2" t="n">
        <f aca="false">IFERROR(VLOOKUP(OFFSET(Table22,434,21,1,1),OFFSET(Table2,0,1,ROWS(Table2),8),8,0),VLOOKUP(OFFSET(Table22,434,22,1,1),Table2,9,0))</f>
        <v>103259769</v>
      </c>
      <c r="N435" s="15" t="s">
        <v>29</v>
      </c>
      <c r="O435" s="16" t="n">
        <v>43358</v>
      </c>
      <c r="P435" s="17" t="s">
        <v>102</v>
      </c>
      <c r="Q435" s="18" t="s">
        <v>103</v>
      </c>
      <c r="R435" s="17" t="s">
        <v>104</v>
      </c>
      <c r="S435" s="18" t="s">
        <v>33</v>
      </c>
      <c r="T435" s="17" t="s">
        <v>34</v>
      </c>
      <c r="U435" s="18" t="s">
        <v>39</v>
      </c>
      <c r="V435" s="19" t="n">
        <v>224560842</v>
      </c>
      <c r="W435" s="17" t="s">
        <v>123</v>
      </c>
      <c r="X435" s="17" t="n">
        <v>0</v>
      </c>
      <c r="Y435" s="17"/>
      <c r="Z435" s="17" t="n">
        <v>0</v>
      </c>
      <c r="AA435" s="17" t="s">
        <v>38</v>
      </c>
      <c r="AB435" s="17"/>
    </row>
    <row r="436" customFormat="false" ht="15" hidden="false" customHeight="false" outlineLevel="0" collapsed="false">
      <c r="A436" s="1" t="str">
        <f aca="false">OFFSET(Table22,435,14,1,1)&amp;OFFSET(Table22,435,21,1,1)</f>
        <v>43357224560842</v>
      </c>
      <c r="B436" s="1" t="str">
        <f aca="false">OFFSET(Table22,435,14,1,1)&amp;OFFSET(Table22,435,22,1,1)</f>
        <v>43357Facebook»Developers/ITPros-Azure Direct-Sponsored Post-Link Ad-FreeAcctRetargetingOSSFB-Logos-ChG»1x1»SocialBan»LIA»ALL»CPC»BT»X»UNK»SS»NA»Trials_ID</v>
      </c>
      <c r="C436" s="1" t="s">
        <v>28</v>
      </c>
      <c r="D436" s="3" t="n">
        <f aca="false">O436+(7-WEEKDAY(O436))</f>
        <v>43358</v>
      </c>
      <c r="E436" s="1" t="str">
        <f aca="false">VLOOKUP(OFFSET(Table22,435,16,1,1),Key!B:D,2,0)</f>
        <v>France</v>
      </c>
      <c r="F436" s="1" t="str">
        <f aca="false">IF(ISNUMBER(SEARCH("Canvas",U436)),"Link",IF(ISNUMBER(SEARCH("Link",U436)),"Link","Not filled properly"))</f>
        <v>Link</v>
      </c>
      <c r="G436" s="1" t="str">
        <f aca="false">IFERROR(VLOOKUP(OFFSET(Table22,435,21,1,1),OFFSET(Table2,0,1,ROWS(Table2),8),2,0),VLOOKUP(OFFSET(Table22,435,22,1,1),Table2,3,0))</f>
        <v>FRA_gaPMG_AZR_AZR_Q1_19_AzureDirect-Trial-Social</v>
      </c>
      <c r="H436" s="1" t="n">
        <f aca="false">IFERROR(VLOOKUP(OFFSET(Table22,435,21,1,1),OFFSET(Table2,0,1,ROWS(Table2),8),3,0),VLOOKUP(OFFSET(Table22,435,22,1,1),Table2,4,0))</f>
        <v>21356941</v>
      </c>
      <c r="I436" s="2" t="n">
        <f aca="false">IFERROR(VLOOKUP(OFFSET(Table22,435,21,1,1),OFFSET(Table2,0,1,ROWS(Table2),8),4,0),VLOOKUP(OFFSET(Table22,435,22,1,1),Table2,5,0))</f>
        <v>720193</v>
      </c>
      <c r="J436" s="3" t="str">
        <f aca="false">IF(ISNUMBER(SEARCH("FACEBOOK",W436)),"Facebook",IF(ISNUMBER(SEARCH("INSTAGRAM",W436)),"Facebook-Instagram","Look at taxonomy"))</f>
        <v>Facebook</v>
      </c>
      <c r="K436" s="3" t="str">
        <f aca="false">IF(ISNUMBER(SEARCH("Facebook",J436)),"3654128","Not Facebook")</f>
        <v>3654128</v>
      </c>
      <c r="L436" s="3" t="str">
        <f aca="false">IFERROR(VLOOKUP(OFFSET(Table22,435,21,1,1),OFFSET(Table2,0,1,ROWS(Table2),8),7,0),VLOOKUP(OFFSET(Table22,435,22,1,1),Table2,8,0))</f>
        <v>AZR_FreeAcctRetargetingOSSFB-Logos-ChG_FRA_1200x628_SOC_AZRDirect_French_NA_Facebook_SBAN_SINU_T2_1</v>
      </c>
      <c r="M436" s="2" t="n">
        <f aca="false">IFERROR(VLOOKUP(OFFSET(Table22,435,21,1,1),OFFSET(Table2,0,1,ROWS(Table2),8),8,0),VLOOKUP(OFFSET(Table22,435,22,1,1),Table2,9,0))</f>
        <v>103259769</v>
      </c>
      <c r="N436" s="15" t="s">
        <v>29</v>
      </c>
      <c r="O436" s="16" t="n">
        <v>43357</v>
      </c>
      <c r="P436" s="17" t="s">
        <v>102</v>
      </c>
      <c r="Q436" s="18" t="s">
        <v>103</v>
      </c>
      <c r="R436" s="17" t="s">
        <v>104</v>
      </c>
      <c r="S436" s="18" t="s">
        <v>33</v>
      </c>
      <c r="T436" s="17" t="s">
        <v>34</v>
      </c>
      <c r="U436" s="18" t="s">
        <v>39</v>
      </c>
      <c r="V436" s="19" t="n">
        <v>224560842</v>
      </c>
      <c r="W436" s="17" t="s">
        <v>123</v>
      </c>
      <c r="X436" s="17" t="n">
        <v>0</v>
      </c>
      <c r="Y436" s="17"/>
      <c r="Z436" s="17" t="n">
        <v>0</v>
      </c>
      <c r="AA436" s="17" t="s">
        <v>38</v>
      </c>
      <c r="AB436" s="17"/>
    </row>
    <row r="437" customFormat="false" ht="15" hidden="false" customHeight="false" outlineLevel="0" collapsed="false">
      <c r="A437" s="1" t="str">
        <f aca="false">OFFSET(Table22,436,14,1,1)&amp;OFFSET(Table22,436,21,1,1)</f>
        <v>43356224560842</v>
      </c>
      <c r="B437" s="1" t="str">
        <f aca="false">OFFSET(Table22,436,14,1,1)&amp;OFFSET(Table22,436,22,1,1)</f>
        <v>43356Facebook»Developers/ITPros-Azure Direct-Sponsored Post-Link Ad-FreeAcctRetargetingOSSFB-Logos-ChG»1x1»SocialBan»LIA»ALL»CPC»BT»X»UNK»SS»NA»Trials_ID</v>
      </c>
      <c r="C437" s="1" t="s">
        <v>28</v>
      </c>
      <c r="D437" s="3" t="n">
        <f aca="false">O437+(7-WEEKDAY(O437))</f>
        <v>43358</v>
      </c>
      <c r="E437" s="1" t="str">
        <f aca="false">VLOOKUP(OFFSET(Table22,436,16,1,1),Key!B:D,2,0)</f>
        <v>France</v>
      </c>
      <c r="F437" s="1" t="str">
        <f aca="false">IF(ISNUMBER(SEARCH("Canvas",U437)),"Link",IF(ISNUMBER(SEARCH("Link",U437)),"Link","Not filled properly"))</f>
        <v>Link</v>
      </c>
      <c r="G437" s="1" t="str">
        <f aca="false">IFERROR(VLOOKUP(OFFSET(Table22,436,21,1,1),OFFSET(Table2,0,1,ROWS(Table2),8),2,0),VLOOKUP(OFFSET(Table22,436,22,1,1),Table2,3,0))</f>
        <v>FRA_gaPMG_AZR_AZR_Q1_19_AzureDirect-Trial-Social</v>
      </c>
      <c r="H437" s="1" t="n">
        <f aca="false">IFERROR(VLOOKUP(OFFSET(Table22,436,21,1,1),OFFSET(Table2,0,1,ROWS(Table2),8),3,0),VLOOKUP(OFFSET(Table22,436,22,1,1),Table2,4,0))</f>
        <v>21356941</v>
      </c>
      <c r="I437" s="2" t="n">
        <f aca="false">IFERROR(VLOOKUP(OFFSET(Table22,436,21,1,1),OFFSET(Table2,0,1,ROWS(Table2),8),4,0),VLOOKUP(OFFSET(Table22,436,22,1,1),Table2,5,0))</f>
        <v>720193</v>
      </c>
      <c r="J437" s="3" t="str">
        <f aca="false">IF(ISNUMBER(SEARCH("FACEBOOK",W437)),"Facebook",IF(ISNUMBER(SEARCH("INSTAGRAM",W437)),"Facebook-Instagram","Look at taxonomy"))</f>
        <v>Facebook</v>
      </c>
      <c r="K437" s="3" t="str">
        <f aca="false">IF(ISNUMBER(SEARCH("Facebook",J437)),"3654128","Not Facebook")</f>
        <v>3654128</v>
      </c>
      <c r="L437" s="3" t="str">
        <f aca="false">IFERROR(VLOOKUP(OFFSET(Table22,436,21,1,1),OFFSET(Table2,0,1,ROWS(Table2),8),7,0),VLOOKUP(OFFSET(Table22,436,22,1,1),Table2,8,0))</f>
        <v>AZR_FreeAcctRetargetingOSSFB-Logos-ChG_FRA_1200x628_SOC_AZRDirect_French_NA_Facebook_SBAN_SINU_T2_1</v>
      </c>
      <c r="M437" s="2" t="n">
        <f aca="false">IFERROR(VLOOKUP(OFFSET(Table22,436,21,1,1),OFFSET(Table2,0,1,ROWS(Table2),8),8,0),VLOOKUP(OFFSET(Table22,436,22,1,1),Table2,9,0))</f>
        <v>103259769</v>
      </c>
      <c r="N437" s="15" t="s">
        <v>29</v>
      </c>
      <c r="O437" s="16" t="n">
        <v>43356</v>
      </c>
      <c r="P437" s="17" t="s">
        <v>102</v>
      </c>
      <c r="Q437" s="18" t="s">
        <v>103</v>
      </c>
      <c r="R437" s="17" t="s">
        <v>104</v>
      </c>
      <c r="S437" s="18" t="s">
        <v>33</v>
      </c>
      <c r="T437" s="17" t="s">
        <v>34</v>
      </c>
      <c r="U437" s="18" t="s">
        <v>39</v>
      </c>
      <c r="V437" s="19" t="n">
        <v>224560842</v>
      </c>
      <c r="W437" s="17" t="s">
        <v>123</v>
      </c>
      <c r="X437" s="17" t="n">
        <v>0</v>
      </c>
      <c r="Y437" s="17"/>
      <c r="Z437" s="17" t="n">
        <v>0</v>
      </c>
      <c r="AA437" s="17" t="s">
        <v>38</v>
      </c>
      <c r="AB437" s="17"/>
    </row>
    <row r="438" customFormat="false" ht="15" hidden="false" customHeight="false" outlineLevel="0" collapsed="false">
      <c r="A438" s="1" t="str">
        <f aca="false">OFFSET(Table22,437,14,1,1)&amp;OFFSET(Table22,437,21,1,1)</f>
        <v>43355224560842</v>
      </c>
      <c r="B438" s="1" t="str">
        <f aca="false">OFFSET(Table22,437,14,1,1)&amp;OFFSET(Table22,437,22,1,1)</f>
        <v>43355Facebook»Developers/ITPros-Azure Direct-Sponsored Post-Link Ad-FreeAcctRetargetingOSSFB-Logos-ChG»1x1»SocialBan»LIA»ALL»CPC»BT»X»UNK»SS»NA»Trials_ID</v>
      </c>
      <c r="C438" s="1" t="s">
        <v>28</v>
      </c>
      <c r="D438" s="3" t="n">
        <f aca="false">O438+(7-WEEKDAY(O438))</f>
        <v>43358</v>
      </c>
      <c r="E438" s="1" t="str">
        <f aca="false">VLOOKUP(OFFSET(Table22,437,16,1,1),Key!B:D,2,0)</f>
        <v>France</v>
      </c>
      <c r="F438" s="1" t="str">
        <f aca="false">IF(ISNUMBER(SEARCH("Canvas",U438)),"Link",IF(ISNUMBER(SEARCH("Link",U438)),"Link","Not filled properly"))</f>
        <v>Link</v>
      </c>
      <c r="G438" s="1" t="str">
        <f aca="false">IFERROR(VLOOKUP(OFFSET(Table22,437,21,1,1),OFFSET(Table2,0,1,ROWS(Table2),8),2,0),VLOOKUP(OFFSET(Table22,437,22,1,1),Table2,3,0))</f>
        <v>FRA_gaPMG_AZR_AZR_Q1_19_AzureDirect-Trial-Social</v>
      </c>
      <c r="H438" s="1" t="n">
        <f aca="false">IFERROR(VLOOKUP(OFFSET(Table22,437,21,1,1),OFFSET(Table2,0,1,ROWS(Table2),8),3,0),VLOOKUP(OFFSET(Table22,437,22,1,1),Table2,4,0))</f>
        <v>21356941</v>
      </c>
      <c r="I438" s="2" t="n">
        <f aca="false">IFERROR(VLOOKUP(OFFSET(Table22,437,21,1,1),OFFSET(Table2,0,1,ROWS(Table2),8),4,0),VLOOKUP(OFFSET(Table22,437,22,1,1),Table2,5,0))</f>
        <v>720193</v>
      </c>
      <c r="J438" s="3" t="str">
        <f aca="false">IF(ISNUMBER(SEARCH("FACEBOOK",W438)),"Facebook",IF(ISNUMBER(SEARCH("INSTAGRAM",W438)),"Facebook-Instagram","Look at taxonomy"))</f>
        <v>Facebook</v>
      </c>
      <c r="K438" s="3" t="str">
        <f aca="false">IF(ISNUMBER(SEARCH("Facebook",J438)),"3654128","Not Facebook")</f>
        <v>3654128</v>
      </c>
      <c r="L438" s="3" t="str">
        <f aca="false">IFERROR(VLOOKUP(OFFSET(Table22,437,21,1,1),OFFSET(Table2,0,1,ROWS(Table2),8),7,0),VLOOKUP(OFFSET(Table22,437,22,1,1),Table2,8,0))</f>
        <v>AZR_FreeAcctRetargetingOSSFB-Logos-ChG_FRA_1200x628_SOC_AZRDirect_French_NA_Facebook_SBAN_SINU_T2_1</v>
      </c>
      <c r="M438" s="2" t="n">
        <f aca="false">IFERROR(VLOOKUP(OFFSET(Table22,437,21,1,1),OFFSET(Table2,0,1,ROWS(Table2),8),8,0),VLOOKUP(OFFSET(Table22,437,22,1,1),Table2,9,0))</f>
        <v>103259769</v>
      </c>
      <c r="N438" s="15" t="s">
        <v>29</v>
      </c>
      <c r="O438" s="16" t="n">
        <v>43355</v>
      </c>
      <c r="P438" s="17" t="s">
        <v>102</v>
      </c>
      <c r="Q438" s="18" t="s">
        <v>103</v>
      </c>
      <c r="R438" s="17" t="s">
        <v>104</v>
      </c>
      <c r="S438" s="18" t="s">
        <v>33</v>
      </c>
      <c r="T438" s="17" t="s">
        <v>34</v>
      </c>
      <c r="U438" s="18" t="s">
        <v>39</v>
      </c>
      <c r="V438" s="19" t="n">
        <v>224560842</v>
      </c>
      <c r="W438" s="17" t="s">
        <v>123</v>
      </c>
      <c r="X438" s="17" t="n">
        <v>0</v>
      </c>
      <c r="Y438" s="17"/>
      <c r="Z438" s="17" t="n">
        <v>0</v>
      </c>
      <c r="AA438" s="17" t="s">
        <v>38</v>
      </c>
      <c r="AB438" s="17"/>
    </row>
    <row r="439" customFormat="false" ht="15" hidden="false" customHeight="false" outlineLevel="0" collapsed="false">
      <c r="A439" s="1" t="str">
        <f aca="false">OFFSET(Table22,438,14,1,1)&amp;OFFSET(Table22,438,21,1,1)</f>
        <v>43354224560842</v>
      </c>
      <c r="B439" s="1" t="str">
        <f aca="false">OFFSET(Table22,438,14,1,1)&amp;OFFSET(Table22,438,22,1,1)</f>
        <v>43354Facebook»Developers/ITPros-Azure Direct-Sponsored Post-Link Ad-FreeAcctRetargetingOSSFB-Logos-ChG»1x1»SocialBan»LIA»ALL»CPC»BT»X»UNK»SS»NA»Trials_ID</v>
      </c>
      <c r="C439" s="1" t="s">
        <v>28</v>
      </c>
      <c r="D439" s="3" t="n">
        <f aca="false">O439+(7-WEEKDAY(O439))</f>
        <v>43358</v>
      </c>
      <c r="E439" s="1" t="str">
        <f aca="false">VLOOKUP(OFFSET(Table22,438,16,1,1),Key!B:D,2,0)</f>
        <v>France</v>
      </c>
      <c r="F439" s="1" t="str">
        <f aca="false">IF(ISNUMBER(SEARCH("Canvas",U439)),"Link",IF(ISNUMBER(SEARCH("Link",U439)),"Link","Not filled properly"))</f>
        <v>Link</v>
      </c>
      <c r="G439" s="1" t="str">
        <f aca="false">IFERROR(VLOOKUP(OFFSET(Table22,438,21,1,1),OFFSET(Table2,0,1,ROWS(Table2),8),2,0),VLOOKUP(OFFSET(Table22,438,22,1,1),Table2,3,0))</f>
        <v>FRA_gaPMG_AZR_AZR_Q1_19_AzureDirect-Trial-Social</v>
      </c>
      <c r="H439" s="1" t="n">
        <f aca="false">IFERROR(VLOOKUP(OFFSET(Table22,438,21,1,1),OFFSET(Table2,0,1,ROWS(Table2),8),3,0),VLOOKUP(OFFSET(Table22,438,22,1,1),Table2,4,0))</f>
        <v>21356941</v>
      </c>
      <c r="I439" s="2" t="n">
        <f aca="false">IFERROR(VLOOKUP(OFFSET(Table22,438,21,1,1),OFFSET(Table2,0,1,ROWS(Table2),8),4,0),VLOOKUP(OFFSET(Table22,438,22,1,1),Table2,5,0))</f>
        <v>720193</v>
      </c>
      <c r="J439" s="3" t="str">
        <f aca="false">IF(ISNUMBER(SEARCH("FACEBOOK",W439)),"Facebook",IF(ISNUMBER(SEARCH("INSTAGRAM",W439)),"Facebook-Instagram","Look at taxonomy"))</f>
        <v>Facebook</v>
      </c>
      <c r="K439" s="3" t="str">
        <f aca="false">IF(ISNUMBER(SEARCH("Facebook",J439)),"3654128","Not Facebook")</f>
        <v>3654128</v>
      </c>
      <c r="L439" s="3" t="str">
        <f aca="false">IFERROR(VLOOKUP(OFFSET(Table22,438,21,1,1),OFFSET(Table2,0,1,ROWS(Table2),8),7,0),VLOOKUP(OFFSET(Table22,438,22,1,1),Table2,8,0))</f>
        <v>AZR_FreeAcctRetargetingOSSFB-Logos-ChG_FRA_1200x628_SOC_AZRDirect_French_NA_Facebook_SBAN_SINU_T2_1</v>
      </c>
      <c r="M439" s="2" t="n">
        <f aca="false">IFERROR(VLOOKUP(OFFSET(Table22,438,21,1,1),OFFSET(Table2,0,1,ROWS(Table2),8),8,0),VLOOKUP(OFFSET(Table22,438,22,1,1),Table2,9,0))</f>
        <v>103259769</v>
      </c>
      <c r="N439" s="15" t="s">
        <v>29</v>
      </c>
      <c r="O439" s="16" t="n">
        <v>43354</v>
      </c>
      <c r="P439" s="17" t="s">
        <v>102</v>
      </c>
      <c r="Q439" s="18" t="s">
        <v>103</v>
      </c>
      <c r="R439" s="17" t="s">
        <v>104</v>
      </c>
      <c r="S439" s="18" t="s">
        <v>33</v>
      </c>
      <c r="T439" s="17" t="s">
        <v>34</v>
      </c>
      <c r="U439" s="18" t="s">
        <v>39</v>
      </c>
      <c r="V439" s="19" t="n">
        <v>224560842</v>
      </c>
      <c r="W439" s="17" t="s">
        <v>123</v>
      </c>
      <c r="X439" s="17" t="n">
        <v>0</v>
      </c>
      <c r="Y439" s="17"/>
      <c r="Z439" s="17" t="n">
        <v>0</v>
      </c>
      <c r="AA439" s="17" t="s">
        <v>38</v>
      </c>
      <c r="AB439" s="17"/>
    </row>
    <row r="440" customFormat="false" ht="15" hidden="false" customHeight="false" outlineLevel="0" collapsed="false">
      <c r="A440" s="1" t="str">
        <f aca="false">OFFSET(Table22,439,14,1,1)&amp;OFFSET(Table22,439,21,1,1)</f>
        <v>43353224560842</v>
      </c>
      <c r="B440" s="1" t="str">
        <f aca="false">OFFSET(Table22,439,14,1,1)&amp;OFFSET(Table22,439,22,1,1)</f>
        <v>43353Facebook»Developers/ITPros-Azure Direct-Sponsored Post-Link Ad-FreeAcctRetargetingOSSFB-Logos-ChG»1x1»SocialBan»LIA»ALL»CPC»BT»X»UNK»SS»NA»Trials_ID</v>
      </c>
      <c r="C440" s="1" t="s">
        <v>28</v>
      </c>
      <c r="D440" s="3" t="n">
        <f aca="false">O440+(7-WEEKDAY(O440))</f>
        <v>43358</v>
      </c>
      <c r="E440" s="1" t="str">
        <f aca="false">VLOOKUP(OFFSET(Table22,439,16,1,1),Key!B:D,2,0)</f>
        <v>France</v>
      </c>
      <c r="F440" s="1" t="str">
        <f aca="false">IF(ISNUMBER(SEARCH("Canvas",U440)),"Link",IF(ISNUMBER(SEARCH("Link",U440)),"Link","Not filled properly"))</f>
        <v>Link</v>
      </c>
      <c r="G440" s="1" t="str">
        <f aca="false">IFERROR(VLOOKUP(OFFSET(Table22,439,21,1,1),OFFSET(Table2,0,1,ROWS(Table2),8),2,0),VLOOKUP(OFFSET(Table22,439,22,1,1),Table2,3,0))</f>
        <v>FRA_gaPMG_AZR_AZR_Q1_19_AzureDirect-Trial-Social</v>
      </c>
      <c r="H440" s="1" t="n">
        <f aca="false">IFERROR(VLOOKUP(OFFSET(Table22,439,21,1,1),OFFSET(Table2,0,1,ROWS(Table2),8),3,0),VLOOKUP(OFFSET(Table22,439,22,1,1),Table2,4,0))</f>
        <v>21356941</v>
      </c>
      <c r="I440" s="2" t="n">
        <f aca="false">IFERROR(VLOOKUP(OFFSET(Table22,439,21,1,1),OFFSET(Table2,0,1,ROWS(Table2),8),4,0),VLOOKUP(OFFSET(Table22,439,22,1,1),Table2,5,0))</f>
        <v>720193</v>
      </c>
      <c r="J440" s="3" t="str">
        <f aca="false">IF(ISNUMBER(SEARCH("FACEBOOK",W440)),"Facebook",IF(ISNUMBER(SEARCH("INSTAGRAM",W440)),"Facebook-Instagram","Look at taxonomy"))</f>
        <v>Facebook</v>
      </c>
      <c r="K440" s="3" t="str">
        <f aca="false">IF(ISNUMBER(SEARCH("Facebook",J440)),"3654128","Not Facebook")</f>
        <v>3654128</v>
      </c>
      <c r="L440" s="3" t="str">
        <f aca="false">IFERROR(VLOOKUP(OFFSET(Table22,439,21,1,1),OFFSET(Table2,0,1,ROWS(Table2),8),7,0),VLOOKUP(OFFSET(Table22,439,22,1,1),Table2,8,0))</f>
        <v>AZR_FreeAcctRetargetingOSSFB-Logos-ChG_FRA_1200x628_SOC_AZRDirect_French_NA_Facebook_SBAN_SINU_T2_1</v>
      </c>
      <c r="M440" s="2" t="n">
        <f aca="false">IFERROR(VLOOKUP(OFFSET(Table22,439,21,1,1),OFFSET(Table2,0,1,ROWS(Table2),8),8,0),VLOOKUP(OFFSET(Table22,439,22,1,1),Table2,9,0))</f>
        <v>103259769</v>
      </c>
      <c r="N440" s="15" t="s">
        <v>29</v>
      </c>
      <c r="O440" s="16" t="n">
        <v>43353</v>
      </c>
      <c r="P440" s="17" t="s">
        <v>102</v>
      </c>
      <c r="Q440" s="18" t="s">
        <v>103</v>
      </c>
      <c r="R440" s="17" t="s">
        <v>104</v>
      </c>
      <c r="S440" s="18" t="s">
        <v>33</v>
      </c>
      <c r="T440" s="17" t="s">
        <v>34</v>
      </c>
      <c r="U440" s="18" t="s">
        <v>39</v>
      </c>
      <c r="V440" s="19" t="n">
        <v>224560842</v>
      </c>
      <c r="W440" s="17" t="s">
        <v>123</v>
      </c>
      <c r="X440" s="17" t="n">
        <v>0</v>
      </c>
      <c r="Y440" s="17"/>
      <c r="Z440" s="17" t="n">
        <v>0</v>
      </c>
      <c r="AA440" s="17" t="s">
        <v>38</v>
      </c>
      <c r="AB440" s="17"/>
    </row>
    <row r="441" customFormat="false" ht="15" hidden="false" customHeight="false" outlineLevel="0" collapsed="false">
      <c r="A441" s="1" t="str">
        <f aca="false">OFFSET(Table22,440,14,1,1)&amp;OFFSET(Table22,440,21,1,1)</f>
        <v>43352224560842</v>
      </c>
      <c r="B441" s="1" t="str">
        <f aca="false">OFFSET(Table22,440,14,1,1)&amp;OFFSET(Table22,440,22,1,1)</f>
        <v>43352Facebook»Developers/ITPros-Azure Direct-Sponsored Post-Link Ad-FreeAcctRetargetingOSSFB-Logos-ChG»1x1»SocialBan»LIA»ALL»CPC»BT»X»UNK»SS»NA»Trials_ID</v>
      </c>
      <c r="C441" s="1" t="s">
        <v>28</v>
      </c>
      <c r="D441" s="3" t="n">
        <f aca="false">O441+(7-WEEKDAY(O441))</f>
        <v>43358</v>
      </c>
      <c r="E441" s="1" t="str">
        <f aca="false">VLOOKUP(OFFSET(Table22,440,16,1,1),Key!B:D,2,0)</f>
        <v>France</v>
      </c>
      <c r="F441" s="1" t="str">
        <f aca="false">IF(ISNUMBER(SEARCH("Canvas",U441)),"Link",IF(ISNUMBER(SEARCH("Link",U441)),"Link","Not filled properly"))</f>
        <v>Link</v>
      </c>
      <c r="G441" s="1" t="str">
        <f aca="false">IFERROR(VLOOKUP(OFFSET(Table22,440,21,1,1),OFFSET(Table2,0,1,ROWS(Table2),8),2,0),VLOOKUP(OFFSET(Table22,440,22,1,1),Table2,3,0))</f>
        <v>FRA_gaPMG_AZR_AZR_Q1_19_AzureDirect-Trial-Social</v>
      </c>
      <c r="H441" s="1" t="n">
        <f aca="false">IFERROR(VLOOKUP(OFFSET(Table22,440,21,1,1),OFFSET(Table2,0,1,ROWS(Table2),8),3,0),VLOOKUP(OFFSET(Table22,440,22,1,1),Table2,4,0))</f>
        <v>21356941</v>
      </c>
      <c r="I441" s="2" t="n">
        <f aca="false">IFERROR(VLOOKUP(OFFSET(Table22,440,21,1,1),OFFSET(Table2,0,1,ROWS(Table2),8),4,0),VLOOKUP(OFFSET(Table22,440,22,1,1),Table2,5,0))</f>
        <v>720193</v>
      </c>
      <c r="J441" s="3" t="str">
        <f aca="false">IF(ISNUMBER(SEARCH("FACEBOOK",W441)),"Facebook",IF(ISNUMBER(SEARCH("INSTAGRAM",W441)),"Facebook-Instagram","Look at taxonomy"))</f>
        <v>Facebook</v>
      </c>
      <c r="K441" s="3" t="str">
        <f aca="false">IF(ISNUMBER(SEARCH("Facebook",J441)),"3654128","Not Facebook")</f>
        <v>3654128</v>
      </c>
      <c r="L441" s="3" t="str">
        <f aca="false">IFERROR(VLOOKUP(OFFSET(Table22,440,21,1,1),OFFSET(Table2,0,1,ROWS(Table2),8),7,0),VLOOKUP(OFFSET(Table22,440,22,1,1),Table2,8,0))</f>
        <v>AZR_FreeAcctRetargetingOSSFB-Logos-ChG_FRA_1200x628_SOC_AZRDirect_French_NA_Facebook_SBAN_SINU_T2_1</v>
      </c>
      <c r="M441" s="2" t="n">
        <f aca="false">IFERROR(VLOOKUP(OFFSET(Table22,440,21,1,1),OFFSET(Table2,0,1,ROWS(Table2),8),8,0),VLOOKUP(OFFSET(Table22,440,22,1,1),Table2,9,0))</f>
        <v>103259769</v>
      </c>
      <c r="N441" s="15" t="s">
        <v>29</v>
      </c>
      <c r="O441" s="16" t="n">
        <v>43352</v>
      </c>
      <c r="P441" s="17" t="s">
        <v>102</v>
      </c>
      <c r="Q441" s="18" t="s">
        <v>103</v>
      </c>
      <c r="R441" s="17" t="s">
        <v>104</v>
      </c>
      <c r="S441" s="18" t="s">
        <v>33</v>
      </c>
      <c r="T441" s="17" t="s">
        <v>34</v>
      </c>
      <c r="U441" s="18" t="s">
        <v>39</v>
      </c>
      <c r="V441" s="19" t="n">
        <v>224560842</v>
      </c>
      <c r="W441" s="17" t="s">
        <v>123</v>
      </c>
      <c r="X441" s="17" t="n">
        <v>0</v>
      </c>
      <c r="Y441" s="17"/>
      <c r="Z441" s="17" t="n">
        <v>0</v>
      </c>
      <c r="AA441" s="17" t="s">
        <v>38</v>
      </c>
      <c r="AB441" s="17"/>
    </row>
    <row r="442" customFormat="false" ht="15" hidden="false" customHeight="false" outlineLevel="0" collapsed="false">
      <c r="A442" s="1" t="str">
        <f aca="false">OFFSET(Table22,441,14,1,1)&amp;OFFSET(Table22,441,21,1,1)</f>
        <v>43358224560839</v>
      </c>
      <c r="B442" s="1" t="str">
        <f aca="false">OFFSET(Table22,441,14,1,1)&amp;OFFSET(Table22,441,22,1,1)</f>
        <v>43358Facebook»Developers/ITPros-Azure Direct-Sponsored Post-Link Ad-FreeAcctRetargetingOSSFB-Text-ChF»1x1»SocialBan»LIA»ALL»CPC»BT»X»UNK»SS»NA»Trials_ID</v>
      </c>
      <c r="C442" s="1" t="s">
        <v>28</v>
      </c>
      <c r="D442" s="3" t="n">
        <f aca="false">O442+(7-WEEKDAY(O442))</f>
        <v>43358</v>
      </c>
      <c r="E442" s="1" t="str">
        <f aca="false">VLOOKUP(OFFSET(Table22,441,16,1,1),Key!B:D,2,0)</f>
        <v>France</v>
      </c>
      <c r="F442" s="1" t="str">
        <f aca="false">IF(ISNUMBER(SEARCH("Canvas",U442)),"Link",IF(ISNUMBER(SEARCH("Link",U442)),"Link","Not filled properly"))</f>
        <v>Link</v>
      </c>
      <c r="G442" s="1" t="str">
        <f aca="false">IFERROR(VLOOKUP(OFFSET(Table22,441,21,1,1),OFFSET(Table2,0,1,ROWS(Table2),8),2,0),VLOOKUP(OFFSET(Table22,441,22,1,1),Table2,3,0))</f>
        <v>FRA_gaPMG_AZR_AZR_Q1_19_AzureDirect-Trial-Social</v>
      </c>
      <c r="H442" s="1" t="n">
        <f aca="false">IFERROR(VLOOKUP(OFFSET(Table22,441,21,1,1),OFFSET(Table2,0,1,ROWS(Table2),8),3,0),VLOOKUP(OFFSET(Table22,441,22,1,1),Table2,4,0))</f>
        <v>21356941</v>
      </c>
      <c r="I442" s="2" t="n">
        <f aca="false">IFERROR(VLOOKUP(OFFSET(Table22,441,21,1,1),OFFSET(Table2,0,1,ROWS(Table2),8),4,0),VLOOKUP(OFFSET(Table22,441,22,1,1),Table2,5,0))</f>
        <v>720193</v>
      </c>
      <c r="J442" s="3" t="str">
        <f aca="false">IF(ISNUMBER(SEARCH("FACEBOOK",W442)),"Facebook",IF(ISNUMBER(SEARCH("INSTAGRAM",W442)),"Facebook-Instagram","Look at taxonomy"))</f>
        <v>Facebook</v>
      </c>
      <c r="K442" s="3" t="str">
        <f aca="false">IF(ISNUMBER(SEARCH("Facebook",J442)),"3654128","Not Facebook")</f>
        <v>3654128</v>
      </c>
      <c r="L442" s="3" t="str">
        <f aca="false">IFERROR(VLOOKUP(OFFSET(Table22,441,21,1,1),OFFSET(Table2,0,1,ROWS(Table2),8),7,0),VLOOKUP(OFFSET(Table22,441,22,1,1),Table2,8,0))</f>
        <v>AZR_FreeAcctRetargetingOSSFB-Text-ChF_FRA_1200x628_SOC_AZRDirect_French_NA_Facebook_SBAN_SINU_T1_1</v>
      </c>
      <c r="M442" s="2" t="n">
        <f aca="false">IFERROR(VLOOKUP(OFFSET(Table22,441,21,1,1),OFFSET(Table2,0,1,ROWS(Table2),8),8,0),VLOOKUP(OFFSET(Table22,441,22,1,1),Table2,9,0))</f>
        <v>103257810</v>
      </c>
      <c r="N442" s="15" t="s">
        <v>29</v>
      </c>
      <c r="O442" s="16" t="n">
        <v>43358</v>
      </c>
      <c r="P442" s="17" t="s">
        <v>102</v>
      </c>
      <c r="Q442" s="18" t="s">
        <v>103</v>
      </c>
      <c r="R442" s="17" t="s">
        <v>104</v>
      </c>
      <c r="S442" s="18" t="s">
        <v>33</v>
      </c>
      <c r="T442" s="17" t="s">
        <v>34</v>
      </c>
      <c r="U442" s="18" t="s">
        <v>39</v>
      </c>
      <c r="V442" s="19" t="n">
        <v>224560839</v>
      </c>
      <c r="W442" s="17" t="s">
        <v>124</v>
      </c>
      <c r="X442" s="17" t="n">
        <v>0</v>
      </c>
      <c r="Y442" s="17"/>
      <c r="Z442" s="17" t="n">
        <v>0</v>
      </c>
      <c r="AA442" s="17" t="s">
        <v>38</v>
      </c>
      <c r="AB442" s="17"/>
    </row>
    <row r="443" customFormat="false" ht="15" hidden="false" customHeight="false" outlineLevel="0" collapsed="false">
      <c r="A443" s="1" t="str">
        <f aca="false">OFFSET(Table22,442,14,1,1)&amp;OFFSET(Table22,442,21,1,1)</f>
        <v>43357224560839</v>
      </c>
      <c r="B443" s="1" t="str">
        <f aca="false">OFFSET(Table22,442,14,1,1)&amp;OFFSET(Table22,442,22,1,1)</f>
        <v>43357Facebook»Developers/ITPros-Azure Direct-Sponsored Post-Link Ad-FreeAcctRetargetingOSSFB-Text-ChF»1x1»SocialBan»LIA»ALL»CPC»BT»X»UNK»SS»NA»Trials_ID</v>
      </c>
      <c r="C443" s="1" t="s">
        <v>28</v>
      </c>
      <c r="D443" s="3" t="n">
        <f aca="false">O443+(7-WEEKDAY(O443))</f>
        <v>43358</v>
      </c>
      <c r="E443" s="1" t="str">
        <f aca="false">VLOOKUP(OFFSET(Table22,442,16,1,1),Key!B:D,2,0)</f>
        <v>France</v>
      </c>
      <c r="F443" s="1" t="str">
        <f aca="false">IF(ISNUMBER(SEARCH("Canvas",U443)),"Link",IF(ISNUMBER(SEARCH("Link",U443)),"Link","Not filled properly"))</f>
        <v>Link</v>
      </c>
      <c r="G443" s="1" t="str">
        <f aca="false">IFERROR(VLOOKUP(OFFSET(Table22,442,21,1,1),OFFSET(Table2,0,1,ROWS(Table2),8),2,0),VLOOKUP(OFFSET(Table22,442,22,1,1),Table2,3,0))</f>
        <v>FRA_gaPMG_AZR_AZR_Q1_19_AzureDirect-Trial-Social</v>
      </c>
      <c r="H443" s="1" t="n">
        <f aca="false">IFERROR(VLOOKUP(OFFSET(Table22,442,21,1,1),OFFSET(Table2,0,1,ROWS(Table2),8),3,0),VLOOKUP(OFFSET(Table22,442,22,1,1),Table2,4,0))</f>
        <v>21356941</v>
      </c>
      <c r="I443" s="2" t="n">
        <f aca="false">IFERROR(VLOOKUP(OFFSET(Table22,442,21,1,1),OFFSET(Table2,0,1,ROWS(Table2),8),4,0),VLOOKUP(OFFSET(Table22,442,22,1,1),Table2,5,0))</f>
        <v>720193</v>
      </c>
      <c r="J443" s="3" t="str">
        <f aca="false">IF(ISNUMBER(SEARCH("FACEBOOK",W443)),"Facebook",IF(ISNUMBER(SEARCH("INSTAGRAM",W443)),"Facebook-Instagram","Look at taxonomy"))</f>
        <v>Facebook</v>
      </c>
      <c r="K443" s="3" t="str">
        <f aca="false">IF(ISNUMBER(SEARCH("Facebook",J443)),"3654128","Not Facebook")</f>
        <v>3654128</v>
      </c>
      <c r="L443" s="3" t="str">
        <f aca="false">IFERROR(VLOOKUP(OFFSET(Table22,442,21,1,1),OFFSET(Table2,0,1,ROWS(Table2),8),7,0),VLOOKUP(OFFSET(Table22,442,22,1,1),Table2,8,0))</f>
        <v>AZR_FreeAcctRetargetingOSSFB-Text-ChF_FRA_1200x628_SOC_AZRDirect_French_NA_Facebook_SBAN_SINU_T1_1</v>
      </c>
      <c r="M443" s="2" t="n">
        <f aca="false">IFERROR(VLOOKUP(OFFSET(Table22,442,21,1,1),OFFSET(Table2,0,1,ROWS(Table2),8),8,0),VLOOKUP(OFFSET(Table22,442,22,1,1),Table2,9,0))</f>
        <v>103257810</v>
      </c>
      <c r="N443" s="15" t="s">
        <v>29</v>
      </c>
      <c r="O443" s="16" t="n">
        <v>43357</v>
      </c>
      <c r="P443" s="17" t="s">
        <v>102</v>
      </c>
      <c r="Q443" s="18" t="s">
        <v>103</v>
      </c>
      <c r="R443" s="17" t="s">
        <v>104</v>
      </c>
      <c r="S443" s="18" t="s">
        <v>33</v>
      </c>
      <c r="T443" s="17" t="s">
        <v>34</v>
      </c>
      <c r="U443" s="18" t="s">
        <v>39</v>
      </c>
      <c r="V443" s="19" t="n">
        <v>224560839</v>
      </c>
      <c r="W443" s="17" t="s">
        <v>124</v>
      </c>
      <c r="X443" s="17" t="n">
        <v>0</v>
      </c>
      <c r="Y443" s="17"/>
      <c r="Z443" s="17" t="n">
        <v>0</v>
      </c>
      <c r="AA443" s="17" t="s">
        <v>38</v>
      </c>
      <c r="AB443" s="17"/>
    </row>
    <row r="444" customFormat="false" ht="15" hidden="false" customHeight="false" outlineLevel="0" collapsed="false">
      <c r="A444" s="1" t="str">
        <f aca="false">OFFSET(Table22,443,14,1,1)&amp;OFFSET(Table22,443,21,1,1)</f>
        <v>43356224560839</v>
      </c>
      <c r="B444" s="1" t="str">
        <f aca="false">OFFSET(Table22,443,14,1,1)&amp;OFFSET(Table22,443,22,1,1)</f>
        <v>43356Facebook»Developers/ITPros-Azure Direct-Sponsored Post-Link Ad-FreeAcctRetargetingOSSFB-Text-ChF»1x1»SocialBan»LIA»ALL»CPC»BT»X»UNK»SS»NA»Trials_ID</v>
      </c>
      <c r="C444" s="1" t="s">
        <v>28</v>
      </c>
      <c r="D444" s="3" t="n">
        <f aca="false">O444+(7-WEEKDAY(O444))</f>
        <v>43358</v>
      </c>
      <c r="E444" s="1" t="str">
        <f aca="false">VLOOKUP(OFFSET(Table22,443,16,1,1),Key!B:D,2,0)</f>
        <v>France</v>
      </c>
      <c r="F444" s="1" t="str">
        <f aca="false">IF(ISNUMBER(SEARCH("Canvas",U444)),"Link",IF(ISNUMBER(SEARCH("Link",U444)),"Link","Not filled properly"))</f>
        <v>Link</v>
      </c>
      <c r="G444" s="1" t="str">
        <f aca="false">IFERROR(VLOOKUP(OFFSET(Table22,443,21,1,1),OFFSET(Table2,0,1,ROWS(Table2),8),2,0),VLOOKUP(OFFSET(Table22,443,22,1,1),Table2,3,0))</f>
        <v>FRA_gaPMG_AZR_AZR_Q1_19_AzureDirect-Trial-Social</v>
      </c>
      <c r="H444" s="1" t="n">
        <f aca="false">IFERROR(VLOOKUP(OFFSET(Table22,443,21,1,1),OFFSET(Table2,0,1,ROWS(Table2),8),3,0),VLOOKUP(OFFSET(Table22,443,22,1,1),Table2,4,0))</f>
        <v>21356941</v>
      </c>
      <c r="I444" s="2" t="n">
        <f aca="false">IFERROR(VLOOKUP(OFFSET(Table22,443,21,1,1),OFFSET(Table2,0,1,ROWS(Table2),8),4,0),VLOOKUP(OFFSET(Table22,443,22,1,1),Table2,5,0))</f>
        <v>720193</v>
      </c>
      <c r="J444" s="3" t="str">
        <f aca="false">IF(ISNUMBER(SEARCH("FACEBOOK",W444)),"Facebook",IF(ISNUMBER(SEARCH("INSTAGRAM",W444)),"Facebook-Instagram","Look at taxonomy"))</f>
        <v>Facebook</v>
      </c>
      <c r="K444" s="3" t="str">
        <f aca="false">IF(ISNUMBER(SEARCH("Facebook",J444)),"3654128","Not Facebook")</f>
        <v>3654128</v>
      </c>
      <c r="L444" s="3" t="str">
        <f aca="false">IFERROR(VLOOKUP(OFFSET(Table22,443,21,1,1),OFFSET(Table2,0,1,ROWS(Table2),8),7,0),VLOOKUP(OFFSET(Table22,443,22,1,1),Table2,8,0))</f>
        <v>AZR_FreeAcctRetargetingOSSFB-Text-ChF_FRA_1200x628_SOC_AZRDirect_French_NA_Facebook_SBAN_SINU_T1_1</v>
      </c>
      <c r="M444" s="2" t="n">
        <f aca="false">IFERROR(VLOOKUP(OFFSET(Table22,443,21,1,1),OFFSET(Table2,0,1,ROWS(Table2),8),8,0),VLOOKUP(OFFSET(Table22,443,22,1,1),Table2,9,0))</f>
        <v>103257810</v>
      </c>
      <c r="N444" s="15" t="s">
        <v>29</v>
      </c>
      <c r="O444" s="16" t="n">
        <v>43356</v>
      </c>
      <c r="P444" s="17" t="s">
        <v>102</v>
      </c>
      <c r="Q444" s="18" t="s">
        <v>103</v>
      </c>
      <c r="R444" s="17" t="s">
        <v>104</v>
      </c>
      <c r="S444" s="18" t="s">
        <v>33</v>
      </c>
      <c r="T444" s="17" t="s">
        <v>34</v>
      </c>
      <c r="U444" s="18" t="s">
        <v>39</v>
      </c>
      <c r="V444" s="19" t="n">
        <v>224560839</v>
      </c>
      <c r="W444" s="17" t="s">
        <v>124</v>
      </c>
      <c r="X444" s="17" t="n">
        <v>0</v>
      </c>
      <c r="Y444" s="17"/>
      <c r="Z444" s="17" t="n">
        <v>0</v>
      </c>
      <c r="AA444" s="17" t="s">
        <v>38</v>
      </c>
      <c r="AB444" s="17"/>
    </row>
    <row r="445" customFormat="false" ht="15" hidden="false" customHeight="false" outlineLevel="0" collapsed="false">
      <c r="A445" s="1" t="str">
        <f aca="false">OFFSET(Table22,444,14,1,1)&amp;OFFSET(Table22,444,21,1,1)</f>
        <v>43355224560839</v>
      </c>
      <c r="B445" s="1" t="str">
        <f aca="false">OFFSET(Table22,444,14,1,1)&amp;OFFSET(Table22,444,22,1,1)</f>
        <v>43355Facebook»Developers/ITPros-Azure Direct-Sponsored Post-Link Ad-FreeAcctRetargetingOSSFB-Text-ChF»1x1»SocialBan»LIA»ALL»CPC»BT»X»UNK»SS»NA»Trials_ID</v>
      </c>
      <c r="C445" s="1" t="s">
        <v>28</v>
      </c>
      <c r="D445" s="3" t="n">
        <f aca="false">O445+(7-WEEKDAY(O445))</f>
        <v>43358</v>
      </c>
      <c r="E445" s="1" t="str">
        <f aca="false">VLOOKUP(OFFSET(Table22,444,16,1,1),Key!B:D,2,0)</f>
        <v>France</v>
      </c>
      <c r="F445" s="1" t="str">
        <f aca="false">IF(ISNUMBER(SEARCH("Canvas",U445)),"Link",IF(ISNUMBER(SEARCH("Link",U445)),"Link","Not filled properly"))</f>
        <v>Link</v>
      </c>
      <c r="G445" s="1" t="str">
        <f aca="false">IFERROR(VLOOKUP(OFFSET(Table22,444,21,1,1),OFFSET(Table2,0,1,ROWS(Table2),8),2,0),VLOOKUP(OFFSET(Table22,444,22,1,1),Table2,3,0))</f>
        <v>FRA_gaPMG_AZR_AZR_Q1_19_AzureDirect-Trial-Social</v>
      </c>
      <c r="H445" s="1" t="n">
        <f aca="false">IFERROR(VLOOKUP(OFFSET(Table22,444,21,1,1),OFFSET(Table2,0,1,ROWS(Table2),8),3,0),VLOOKUP(OFFSET(Table22,444,22,1,1),Table2,4,0))</f>
        <v>21356941</v>
      </c>
      <c r="I445" s="2" t="n">
        <f aca="false">IFERROR(VLOOKUP(OFFSET(Table22,444,21,1,1),OFFSET(Table2,0,1,ROWS(Table2),8),4,0),VLOOKUP(OFFSET(Table22,444,22,1,1),Table2,5,0))</f>
        <v>720193</v>
      </c>
      <c r="J445" s="3" t="str">
        <f aca="false">IF(ISNUMBER(SEARCH("FACEBOOK",W445)),"Facebook",IF(ISNUMBER(SEARCH("INSTAGRAM",W445)),"Facebook-Instagram","Look at taxonomy"))</f>
        <v>Facebook</v>
      </c>
      <c r="K445" s="3" t="str">
        <f aca="false">IF(ISNUMBER(SEARCH("Facebook",J445)),"3654128","Not Facebook")</f>
        <v>3654128</v>
      </c>
      <c r="L445" s="3" t="str">
        <f aca="false">IFERROR(VLOOKUP(OFFSET(Table22,444,21,1,1),OFFSET(Table2,0,1,ROWS(Table2),8),7,0),VLOOKUP(OFFSET(Table22,444,22,1,1),Table2,8,0))</f>
        <v>AZR_FreeAcctRetargetingOSSFB-Text-ChF_FRA_1200x628_SOC_AZRDirect_French_NA_Facebook_SBAN_SINU_T1_1</v>
      </c>
      <c r="M445" s="2" t="n">
        <f aca="false">IFERROR(VLOOKUP(OFFSET(Table22,444,21,1,1),OFFSET(Table2,0,1,ROWS(Table2),8),8,0),VLOOKUP(OFFSET(Table22,444,22,1,1),Table2,9,0))</f>
        <v>103257810</v>
      </c>
      <c r="N445" s="15" t="s">
        <v>29</v>
      </c>
      <c r="O445" s="16" t="n">
        <v>43355</v>
      </c>
      <c r="P445" s="17" t="s">
        <v>102</v>
      </c>
      <c r="Q445" s="18" t="s">
        <v>103</v>
      </c>
      <c r="R445" s="17" t="s">
        <v>104</v>
      </c>
      <c r="S445" s="18" t="s">
        <v>33</v>
      </c>
      <c r="T445" s="17" t="s">
        <v>34</v>
      </c>
      <c r="U445" s="18" t="s">
        <v>39</v>
      </c>
      <c r="V445" s="19" t="n">
        <v>224560839</v>
      </c>
      <c r="W445" s="17" t="s">
        <v>124</v>
      </c>
      <c r="X445" s="17" t="n">
        <v>0</v>
      </c>
      <c r="Y445" s="17"/>
      <c r="Z445" s="17" t="n">
        <v>0</v>
      </c>
      <c r="AA445" s="17" t="s">
        <v>38</v>
      </c>
      <c r="AB445" s="17"/>
    </row>
    <row r="446" customFormat="false" ht="15" hidden="false" customHeight="false" outlineLevel="0" collapsed="false">
      <c r="A446" s="1" t="str">
        <f aca="false">OFFSET(Table22,445,14,1,1)&amp;OFFSET(Table22,445,21,1,1)</f>
        <v>43354224560839</v>
      </c>
      <c r="B446" s="1" t="str">
        <f aca="false">OFFSET(Table22,445,14,1,1)&amp;OFFSET(Table22,445,22,1,1)</f>
        <v>43354Facebook»Developers/ITPros-Azure Direct-Sponsored Post-Link Ad-FreeAcctRetargetingOSSFB-Text-ChF»1x1»SocialBan»LIA»ALL»CPC»BT»X»UNK»SS»NA»Trials_ID</v>
      </c>
      <c r="C446" s="1" t="s">
        <v>28</v>
      </c>
      <c r="D446" s="3" t="n">
        <f aca="false">O446+(7-WEEKDAY(O446))</f>
        <v>43358</v>
      </c>
      <c r="E446" s="1" t="str">
        <f aca="false">VLOOKUP(OFFSET(Table22,445,16,1,1),Key!B:D,2,0)</f>
        <v>France</v>
      </c>
      <c r="F446" s="1" t="str">
        <f aca="false">IF(ISNUMBER(SEARCH("Canvas",U446)),"Link",IF(ISNUMBER(SEARCH("Link",U446)),"Link","Not filled properly"))</f>
        <v>Link</v>
      </c>
      <c r="G446" s="1" t="str">
        <f aca="false">IFERROR(VLOOKUP(OFFSET(Table22,445,21,1,1),OFFSET(Table2,0,1,ROWS(Table2),8),2,0),VLOOKUP(OFFSET(Table22,445,22,1,1),Table2,3,0))</f>
        <v>FRA_gaPMG_AZR_AZR_Q1_19_AzureDirect-Trial-Social</v>
      </c>
      <c r="H446" s="1" t="n">
        <f aca="false">IFERROR(VLOOKUP(OFFSET(Table22,445,21,1,1),OFFSET(Table2,0,1,ROWS(Table2),8),3,0),VLOOKUP(OFFSET(Table22,445,22,1,1),Table2,4,0))</f>
        <v>21356941</v>
      </c>
      <c r="I446" s="2" t="n">
        <f aca="false">IFERROR(VLOOKUP(OFFSET(Table22,445,21,1,1),OFFSET(Table2,0,1,ROWS(Table2),8),4,0),VLOOKUP(OFFSET(Table22,445,22,1,1),Table2,5,0))</f>
        <v>720193</v>
      </c>
      <c r="J446" s="3" t="str">
        <f aca="false">IF(ISNUMBER(SEARCH("FACEBOOK",W446)),"Facebook",IF(ISNUMBER(SEARCH("INSTAGRAM",W446)),"Facebook-Instagram","Look at taxonomy"))</f>
        <v>Facebook</v>
      </c>
      <c r="K446" s="3" t="str">
        <f aca="false">IF(ISNUMBER(SEARCH("Facebook",J446)),"3654128","Not Facebook")</f>
        <v>3654128</v>
      </c>
      <c r="L446" s="3" t="str">
        <f aca="false">IFERROR(VLOOKUP(OFFSET(Table22,445,21,1,1),OFFSET(Table2,0,1,ROWS(Table2),8),7,0),VLOOKUP(OFFSET(Table22,445,22,1,1),Table2,8,0))</f>
        <v>AZR_FreeAcctRetargetingOSSFB-Text-ChF_FRA_1200x628_SOC_AZRDirect_French_NA_Facebook_SBAN_SINU_T1_1</v>
      </c>
      <c r="M446" s="2" t="n">
        <f aca="false">IFERROR(VLOOKUP(OFFSET(Table22,445,21,1,1),OFFSET(Table2,0,1,ROWS(Table2),8),8,0),VLOOKUP(OFFSET(Table22,445,22,1,1),Table2,9,0))</f>
        <v>103257810</v>
      </c>
      <c r="N446" s="15" t="s">
        <v>29</v>
      </c>
      <c r="O446" s="16" t="n">
        <v>43354</v>
      </c>
      <c r="P446" s="17" t="s">
        <v>102</v>
      </c>
      <c r="Q446" s="18" t="s">
        <v>103</v>
      </c>
      <c r="R446" s="17" t="s">
        <v>104</v>
      </c>
      <c r="S446" s="18" t="s">
        <v>33</v>
      </c>
      <c r="T446" s="17" t="s">
        <v>34</v>
      </c>
      <c r="U446" s="18" t="s">
        <v>39</v>
      </c>
      <c r="V446" s="19" t="n">
        <v>224560839</v>
      </c>
      <c r="W446" s="17" t="s">
        <v>124</v>
      </c>
      <c r="X446" s="17" t="n">
        <v>0</v>
      </c>
      <c r="Y446" s="17"/>
      <c r="Z446" s="17" t="n">
        <v>0</v>
      </c>
      <c r="AA446" s="17" t="s">
        <v>38</v>
      </c>
      <c r="AB446" s="17"/>
    </row>
    <row r="447" customFormat="false" ht="15" hidden="false" customHeight="false" outlineLevel="0" collapsed="false">
      <c r="A447" s="1" t="str">
        <f aca="false">OFFSET(Table22,446,14,1,1)&amp;OFFSET(Table22,446,21,1,1)</f>
        <v>43353224560839</v>
      </c>
      <c r="B447" s="1" t="str">
        <f aca="false">OFFSET(Table22,446,14,1,1)&amp;OFFSET(Table22,446,22,1,1)</f>
        <v>43353Facebook»Developers/ITPros-Azure Direct-Sponsored Post-Link Ad-FreeAcctRetargetingOSSFB-Text-ChF»1x1»SocialBan»LIA»ALL»CPC»BT»X»UNK»SS»NA»Trials_ID</v>
      </c>
      <c r="C447" s="1" t="s">
        <v>28</v>
      </c>
      <c r="D447" s="3" t="n">
        <f aca="false">O447+(7-WEEKDAY(O447))</f>
        <v>43358</v>
      </c>
      <c r="E447" s="1" t="str">
        <f aca="false">VLOOKUP(OFFSET(Table22,446,16,1,1),Key!B:D,2,0)</f>
        <v>France</v>
      </c>
      <c r="F447" s="1" t="str">
        <f aca="false">IF(ISNUMBER(SEARCH("Canvas",U447)),"Link",IF(ISNUMBER(SEARCH("Link",U447)),"Link","Not filled properly"))</f>
        <v>Link</v>
      </c>
      <c r="G447" s="1" t="str">
        <f aca="false">IFERROR(VLOOKUP(OFFSET(Table22,446,21,1,1),OFFSET(Table2,0,1,ROWS(Table2),8),2,0),VLOOKUP(OFFSET(Table22,446,22,1,1),Table2,3,0))</f>
        <v>FRA_gaPMG_AZR_AZR_Q1_19_AzureDirect-Trial-Social</v>
      </c>
      <c r="H447" s="1" t="n">
        <f aca="false">IFERROR(VLOOKUP(OFFSET(Table22,446,21,1,1),OFFSET(Table2,0,1,ROWS(Table2),8),3,0),VLOOKUP(OFFSET(Table22,446,22,1,1),Table2,4,0))</f>
        <v>21356941</v>
      </c>
      <c r="I447" s="2" t="n">
        <f aca="false">IFERROR(VLOOKUP(OFFSET(Table22,446,21,1,1),OFFSET(Table2,0,1,ROWS(Table2),8),4,0),VLOOKUP(OFFSET(Table22,446,22,1,1),Table2,5,0))</f>
        <v>720193</v>
      </c>
      <c r="J447" s="3" t="str">
        <f aca="false">IF(ISNUMBER(SEARCH("FACEBOOK",W447)),"Facebook",IF(ISNUMBER(SEARCH("INSTAGRAM",W447)),"Facebook-Instagram","Look at taxonomy"))</f>
        <v>Facebook</v>
      </c>
      <c r="K447" s="3" t="str">
        <f aca="false">IF(ISNUMBER(SEARCH("Facebook",J447)),"3654128","Not Facebook")</f>
        <v>3654128</v>
      </c>
      <c r="L447" s="3" t="str">
        <f aca="false">IFERROR(VLOOKUP(OFFSET(Table22,446,21,1,1),OFFSET(Table2,0,1,ROWS(Table2),8),7,0),VLOOKUP(OFFSET(Table22,446,22,1,1),Table2,8,0))</f>
        <v>AZR_FreeAcctRetargetingOSSFB-Text-ChF_FRA_1200x628_SOC_AZRDirect_French_NA_Facebook_SBAN_SINU_T1_1</v>
      </c>
      <c r="M447" s="2" t="n">
        <f aca="false">IFERROR(VLOOKUP(OFFSET(Table22,446,21,1,1),OFFSET(Table2,0,1,ROWS(Table2),8),8,0),VLOOKUP(OFFSET(Table22,446,22,1,1),Table2,9,0))</f>
        <v>103257810</v>
      </c>
      <c r="N447" s="15" t="s">
        <v>29</v>
      </c>
      <c r="O447" s="16" t="n">
        <v>43353</v>
      </c>
      <c r="P447" s="17" t="s">
        <v>102</v>
      </c>
      <c r="Q447" s="18" t="s">
        <v>103</v>
      </c>
      <c r="R447" s="17" t="s">
        <v>104</v>
      </c>
      <c r="S447" s="18" t="s">
        <v>33</v>
      </c>
      <c r="T447" s="17" t="s">
        <v>34</v>
      </c>
      <c r="U447" s="18" t="s">
        <v>39</v>
      </c>
      <c r="V447" s="19" t="n">
        <v>224560839</v>
      </c>
      <c r="W447" s="17" t="s">
        <v>124</v>
      </c>
      <c r="X447" s="17" t="n">
        <v>0</v>
      </c>
      <c r="Y447" s="17"/>
      <c r="Z447" s="17" t="n">
        <v>0</v>
      </c>
      <c r="AA447" s="17" t="s">
        <v>38</v>
      </c>
      <c r="AB447" s="17"/>
    </row>
    <row r="448" customFormat="false" ht="15" hidden="false" customHeight="false" outlineLevel="0" collapsed="false">
      <c r="A448" s="1" t="str">
        <f aca="false">OFFSET(Table22,447,14,1,1)&amp;OFFSET(Table22,447,21,1,1)</f>
        <v>43352224560839</v>
      </c>
      <c r="B448" s="1" t="str">
        <f aca="false">OFFSET(Table22,447,14,1,1)&amp;OFFSET(Table22,447,22,1,1)</f>
        <v>43352Facebook»Developers/ITPros-Azure Direct-Sponsored Post-Link Ad-FreeAcctRetargetingOSSFB-Text-ChF»1x1»SocialBan»LIA»ALL»CPC»BT»X»UNK»SS»NA»Trials_ID</v>
      </c>
      <c r="C448" s="1" t="s">
        <v>28</v>
      </c>
      <c r="D448" s="3" t="n">
        <f aca="false">O448+(7-WEEKDAY(O448))</f>
        <v>43358</v>
      </c>
      <c r="E448" s="1" t="str">
        <f aca="false">VLOOKUP(OFFSET(Table22,447,16,1,1),Key!B:D,2,0)</f>
        <v>France</v>
      </c>
      <c r="F448" s="1" t="str">
        <f aca="false">IF(ISNUMBER(SEARCH("Canvas",U448)),"Link",IF(ISNUMBER(SEARCH("Link",U448)),"Link","Not filled properly"))</f>
        <v>Link</v>
      </c>
      <c r="G448" s="1" t="str">
        <f aca="false">IFERROR(VLOOKUP(OFFSET(Table22,447,21,1,1),OFFSET(Table2,0,1,ROWS(Table2),8),2,0),VLOOKUP(OFFSET(Table22,447,22,1,1),Table2,3,0))</f>
        <v>FRA_gaPMG_AZR_AZR_Q1_19_AzureDirect-Trial-Social</v>
      </c>
      <c r="H448" s="1" t="n">
        <f aca="false">IFERROR(VLOOKUP(OFFSET(Table22,447,21,1,1),OFFSET(Table2,0,1,ROWS(Table2),8),3,0),VLOOKUP(OFFSET(Table22,447,22,1,1),Table2,4,0))</f>
        <v>21356941</v>
      </c>
      <c r="I448" s="2" t="n">
        <f aca="false">IFERROR(VLOOKUP(OFFSET(Table22,447,21,1,1),OFFSET(Table2,0,1,ROWS(Table2),8),4,0),VLOOKUP(OFFSET(Table22,447,22,1,1),Table2,5,0))</f>
        <v>720193</v>
      </c>
      <c r="J448" s="3" t="str">
        <f aca="false">IF(ISNUMBER(SEARCH("FACEBOOK",W448)),"Facebook",IF(ISNUMBER(SEARCH("INSTAGRAM",W448)),"Facebook-Instagram","Look at taxonomy"))</f>
        <v>Facebook</v>
      </c>
      <c r="K448" s="3" t="str">
        <f aca="false">IF(ISNUMBER(SEARCH("Facebook",J448)),"3654128","Not Facebook")</f>
        <v>3654128</v>
      </c>
      <c r="L448" s="3" t="str">
        <f aca="false">IFERROR(VLOOKUP(OFFSET(Table22,447,21,1,1),OFFSET(Table2,0,1,ROWS(Table2),8),7,0),VLOOKUP(OFFSET(Table22,447,22,1,1),Table2,8,0))</f>
        <v>AZR_FreeAcctRetargetingOSSFB-Text-ChF_FRA_1200x628_SOC_AZRDirect_French_NA_Facebook_SBAN_SINU_T1_1</v>
      </c>
      <c r="M448" s="2" t="n">
        <f aca="false">IFERROR(VLOOKUP(OFFSET(Table22,447,21,1,1),OFFSET(Table2,0,1,ROWS(Table2),8),8,0),VLOOKUP(OFFSET(Table22,447,22,1,1),Table2,9,0))</f>
        <v>103257810</v>
      </c>
      <c r="N448" s="15" t="s">
        <v>29</v>
      </c>
      <c r="O448" s="16" t="n">
        <v>43352</v>
      </c>
      <c r="P448" s="17" t="s">
        <v>102</v>
      </c>
      <c r="Q448" s="18" t="s">
        <v>103</v>
      </c>
      <c r="R448" s="17" t="s">
        <v>104</v>
      </c>
      <c r="S448" s="18" t="s">
        <v>33</v>
      </c>
      <c r="T448" s="17" t="s">
        <v>34</v>
      </c>
      <c r="U448" s="18" t="s">
        <v>39</v>
      </c>
      <c r="V448" s="19" t="n">
        <v>224560839</v>
      </c>
      <c r="W448" s="17" t="s">
        <v>124</v>
      </c>
      <c r="X448" s="17" t="n">
        <v>0</v>
      </c>
      <c r="Y448" s="17"/>
      <c r="Z448" s="17" t="n">
        <v>0</v>
      </c>
      <c r="AA448" s="17" t="s">
        <v>38</v>
      </c>
      <c r="AB448" s="17"/>
    </row>
    <row r="449" customFormat="false" ht="15" hidden="false" customHeight="false" outlineLevel="0" collapsed="false">
      <c r="A449" s="1" t="str">
        <f aca="false">OFFSET(Table22,448,14,1,1)&amp;OFFSET(Table22,448,21,1,1)</f>
        <v>43358224560836</v>
      </c>
      <c r="B449" s="1" t="str">
        <f aca="false">OFFSET(Table22,448,14,1,1)&amp;OFFSET(Table22,448,22,1,1)</f>
        <v>43358Facebook»Developers/ITPros-Azure Direct-Sponsored Post-Link Ad-FreeAcctRetargetingVMFB-750Hrs-ChD»1x1»SocialBan»LIA»ALL»CPC»BT»X»UNK»SS»NA»Trials_ID</v>
      </c>
      <c r="C449" s="1" t="s">
        <v>28</v>
      </c>
      <c r="D449" s="3" t="n">
        <f aca="false">O449+(7-WEEKDAY(O449))</f>
        <v>43358</v>
      </c>
      <c r="E449" s="1" t="str">
        <f aca="false">VLOOKUP(OFFSET(Table22,448,16,1,1),Key!B:D,2,0)</f>
        <v>France</v>
      </c>
      <c r="F449" s="1" t="str">
        <f aca="false">IF(ISNUMBER(SEARCH("Canvas",U449)),"Link",IF(ISNUMBER(SEARCH("Link",U449)),"Link","Not filled properly"))</f>
        <v>Link</v>
      </c>
      <c r="G449" s="1" t="str">
        <f aca="false">IFERROR(VLOOKUP(OFFSET(Table22,448,21,1,1),OFFSET(Table2,0,1,ROWS(Table2),8),2,0),VLOOKUP(OFFSET(Table22,448,22,1,1),Table2,3,0))</f>
        <v>FRA_gaPMG_AZR_AZR_Q1_19_AzureDirect-Trial-Social</v>
      </c>
      <c r="H449" s="1" t="n">
        <f aca="false">IFERROR(VLOOKUP(OFFSET(Table22,448,21,1,1),OFFSET(Table2,0,1,ROWS(Table2),8),3,0),VLOOKUP(OFFSET(Table22,448,22,1,1),Table2,4,0))</f>
        <v>21356941</v>
      </c>
      <c r="I449" s="2" t="n">
        <f aca="false">IFERROR(VLOOKUP(OFFSET(Table22,448,21,1,1),OFFSET(Table2,0,1,ROWS(Table2),8),4,0),VLOOKUP(OFFSET(Table22,448,22,1,1),Table2,5,0))</f>
        <v>720193</v>
      </c>
      <c r="J449" s="3" t="str">
        <f aca="false">IF(ISNUMBER(SEARCH("FACEBOOK",W449)),"Facebook",IF(ISNUMBER(SEARCH("INSTAGRAM",W449)),"Facebook-Instagram","Look at taxonomy"))</f>
        <v>Facebook</v>
      </c>
      <c r="K449" s="3" t="str">
        <f aca="false">IF(ISNUMBER(SEARCH("Facebook",J449)),"3654128","Not Facebook")</f>
        <v>3654128</v>
      </c>
      <c r="L449" s="3" t="str">
        <f aca="false">IFERROR(VLOOKUP(OFFSET(Table22,448,21,1,1),OFFSET(Table2,0,1,ROWS(Table2),8),7,0),VLOOKUP(OFFSET(Table22,448,22,1,1),Table2,8,0))</f>
        <v>AZR_FreeAcctRetargetingVMFB-750Hrs-ChD_FRA_1200x628_SOC_AZRDirect_French_NA_Facebook_SBAN_SINU_T1_1</v>
      </c>
      <c r="M449" s="2" t="n">
        <f aca="false">IFERROR(VLOOKUP(OFFSET(Table22,448,21,1,1),OFFSET(Table2,0,1,ROWS(Table2),8),8,0),VLOOKUP(OFFSET(Table22,448,22,1,1),Table2,9,0))</f>
        <v>103259010</v>
      </c>
      <c r="N449" s="15" t="s">
        <v>29</v>
      </c>
      <c r="O449" s="16" t="n">
        <v>43358</v>
      </c>
      <c r="P449" s="17" t="s">
        <v>102</v>
      </c>
      <c r="Q449" s="18" t="s">
        <v>103</v>
      </c>
      <c r="R449" s="17" t="s">
        <v>104</v>
      </c>
      <c r="S449" s="18" t="s">
        <v>33</v>
      </c>
      <c r="T449" s="17" t="s">
        <v>34</v>
      </c>
      <c r="U449" s="18" t="s">
        <v>39</v>
      </c>
      <c r="V449" s="19" t="n">
        <v>224560836</v>
      </c>
      <c r="W449" s="17" t="s">
        <v>125</v>
      </c>
      <c r="X449" s="17" t="n">
        <v>0</v>
      </c>
      <c r="Y449" s="17"/>
      <c r="Z449" s="17" t="n">
        <v>0</v>
      </c>
      <c r="AA449" s="17" t="s">
        <v>38</v>
      </c>
      <c r="AB449" s="17"/>
    </row>
    <row r="450" customFormat="false" ht="15" hidden="false" customHeight="false" outlineLevel="0" collapsed="false">
      <c r="A450" s="1" t="str">
        <f aca="false">OFFSET(Table22,449,14,1,1)&amp;OFFSET(Table22,449,21,1,1)</f>
        <v>43357224560836</v>
      </c>
      <c r="B450" s="1" t="str">
        <f aca="false">OFFSET(Table22,449,14,1,1)&amp;OFFSET(Table22,449,22,1,1)</f>
        <v>43357Facebook»Developers/ITPros-Azure Direct-Sponsored Post-Link Ad-FreeAcctRetargetingVMFB-750Hrs-ChD»1x1»SocialBan»LIA»ALL»CPC»BT»X»UNK»SS»NA»Trials_ID</v>
      </c>
      <c r="C450" s="1" t="s">
        <v>28</v>
      </c>
      <c r="D450" s="3" t="n">
        <f aca="false">O450+(7-WEEKDAY(O450))</f>
        <v>43358</v>
      </c>
      <c r="E450" s="1" t="str">
        <f aca="false">VLOOKUP(OFFSET(Table22,449,16,1,1),Key!B:D,2,0)</f>
        <v>France</v>
      </c>
      <c r="F450" s="1" t="str">
        <f aca="false">IF(ISNUMBER(SEARCH("Canvas",U450)),"Link",IF(ISNUMBER(SEARCH("Link",U450)),"Link","Not filled properly"))</f>
        <v>Link</v>
      </c>
      <c r="G450" s="1" t="str">
        <f aca="false">IFERROR(VLOOKUP(OFFSET(Table22,449,21,1,1),OFFSET(Table2,0,1,ROWS(Table2),8),2,0),VLOOKUP(OFFSET(Table22,449,22,1,1),Table2,3,0))</f>
        <v>FRA_gaPMG_AZR_AZR_Q1_19_AzureDirect-Trial-Social</v>
      </c>
      <c r="H450" s="1" t="n">
        <f aca="false">IFERROR(VLOOKUP(OFFSET(Table22,449,21,1,1),OFFSET(Table2,0,1,ROWS(Table2),8),3,0),VLOOKUP(OFFSET(Table22,449,22,1,1),Table2,4,0))</f>
        <v>21356941</v>
      </c>
      <c r="I450" s="2" t="n">
        <f aca="false">IFERROR(VLOOKUP(OFFSET(Table22,449,21,1,1),OFFSET(Table2,0,1,ROWS(Table2),8),4,0),VLOOKUP(OFFSET(Table22,449,22,1,1),Table2,5,0))</f>
        <v>720193</v>
      </c>
      <c r="J450" s="3" t="str">
        <f aca="false">IF(ISNUMBER(SEARCH("FACEBOOK",W450)),"Facebook",IF(ISNUMBER(SEARCH("INSTAGRAM",W450)),"Facebook-Instagram","Look at taxonomy"))</f>
        <v>Facebook</v>
      </c>
      <c r="K450" s="3" t="str">
        <f aca="false">IF(ISNUMBER(SEARCH("Facebook",J450)),"3654128","Not Facebook")</f>
        <v>3654128</v>
      </c>
      <c r="L450" s="3" t="str">
        <f aca="false">IFERROR(VLOOKUP(OFFSET(Table22,449,21,1,1),OFFSET(Table2,0,1,ROWS(Table2),8),7,0),VLOOKUP(OFFSET(Table22,449,22,1,1),Table2,8,0))</f>
        <v>AZR_FreeAcctRetargetingVMFB-750Hrs-ChD_FRA_1200x628_SOC_AZRDirect_French_NA_Facebook_SBAN_SINU_T1_1</v>
      </c>
      <c r="M450" s="2" t="n">
        <f aca="false">IFERROR(VLOOKUP(OFFSET(Table22,449,21,1,1),OFFSET(Table2,0,1,ROWS(Table2),8),8,0),VLOOKUP(OFFSET(Table22,449,22,1,1),Table2,9,0))</f>
        <v>103259010</v>
      </c>
      <c r="N450" s="15" t="s">
        <v>29</v>
      </c>
      <c r="O450" s="16" t="n">
        <v>43357</v>
      </c>
      <c r="P450" s="17" t="s">
        <v>102</v>
      </c>
      <c r="Q450" s="18" t="s">
        <v>103</v>
      </c>
      <c r="R450" s="17" t="s">
        <v>104</v>
      </c>
      <c r="S450" s="18" t="s">
        <v>33</v>
      </c>
      <c r="T450" s="17" t="s">
        <v>34</v>
      </c>
      <c r="U450" s="18" t="s">
        <v>39</v>
      </c>
      <c r="V450" s="19" t="n">
        <v>224560836</v>
      </c>
      <c r="W450" s="17" t="s">
        <v>125</v>
      </c>
      <c r="X450" s="17" t="n">
        <v>0</v>
      </c>
      <c r="Y450" s="17"/>
      <c r="Z450" s="17" t="n">
        <v>0</v>
      </c>
      <c r="AA450" s="17" t="s">
        <v>38</v>
      </c>
      <c r="AB450" s="17"/>
    </row>
    <row r="451" customFormat="false" ht="15" hidden="false" customHeight="false" outlineLevel="0" collapsed="false">
      <c r="A451" s="1" t="str">
        <f aca="false">OFFSET(Table22,450,14,1,1)&amp;OFFSET(Table22,450,21,1,1)</f>
        <v>43356224560836</v>
      </c>
      <c r="B451" s="1" t="str">
        <f aca="false">OFFSET(Table22,450,14,1,1)&amp;OFFSET(Table22,450,22,1,1)</f>
        <v>43356Facebook»Developers/ITPros-Azure Direct-Sponsored Post-Link Ad-FreeAcctRetargetingVMFB-750Hrs-ChD»1x1»SocialBan»LIA»ALL»CPC»BT»X»UNK»SS»NA»Trials_ID</v>
      </c>
      <c r="C451" s="1" t="s">
        <v>28</v>
      </c>
      <c r="D451" s="3" t="n">
        <f aca="false">O451+(7-WEEKDAY(O451))</f>
        <v>43358</v>
      </c>
      <c r="E451" s="1" t="str">
        <f aca="false">VLOOKUP(OFFSET(Table22,450,16,1,1),Key!B:D,2,0)</f>
        <v>France</v>
      </c>
      <c r="F451" s="1" t="str">
        <f aca="false">IF(ISNUMBER(SEARCH("Canvas",U451)),"Link",IF(ISNUMBER(SEARCH("Link",U451)),"Link","Not filled properly"))</f>
        <v>Link</v>
      </c>
      <c r="G451" s="1" t="str">
        <f aca="false">IFERROR(VLOOKUP(OFFSET(Table22,450,21,1,1),OFFSET(Table2,0,1,ROWS(Table2),8),2,0),VLOOKUP(OFFSET(Table22,450,22,1,1),Table2,3,0))</f>
        <v>FRA_gaPMG_AZR_AZR_Q1_19_AzureDirect-Trial-Social</v>
      </c>
      <c r="H451" s="1" t="n">
        <f aca="false">IFERROR(VLOOKUP(OFFSET(Table22,450,21,1,1),OFFSET(Table2,0,1,ROWS(Table2),8),3,0),VLOOKUP(OFFSET(Table22,450,22,1,1),Table2,4,0))</f>
        <v>21356941</v>
      </c>
      <c r="I451" s="2" t="n">
        <f aca="false">IFERROR(VLOOKUP(OFFSET(Table22,450,21,1,1),OFFSET(Table2,0,1,ROWS(Table2),8),4,0),VLOOKUP(OFFSET(Table22,450,22,1,1),Table2,5,0))</f>
        <v>720193</v>
      </c>
      <c r="J451" s="3" t="str">
        <f aca="false">IF(ISNUMBER(SEARCH("FACEBOOK",W451)),"Facebook",IF(ISNUMBER(SEARCH("INSTAGRAM",W451)),"Facebook-Instagram","Look at taxonomy"))</f>
        <v>Facebook</v>
      </c>
      <c r="K451" s="3" t="str">
        <f aca="false">IF(ISNUMBER(SEARCH("Facebook",J451)),"3654128","Not Facebook")</f>
        <v>3654128</v>
      </c>
      <c r="L451" s="3" t="str">
        <f aca="false">IFERROR(VLOOKUP(OFFSET(Table22,450,21,1,1),OFFSET(Table2,0,1,ROWS(Table2),8),7,0),VLOOKUP(OFFSET(Table22,450,22,1,1),Table2,8,0))</f>
        <v>AZR_FreeAcctRetargetingVMFB-750Hrs-ChD_FRA_1200x628_SOC_AZRDirect_French_NA_Facebook_SBAN_SINU_T1_1</v>
      </c>
      <c r="M451" s="2" t="n">
        <f aca="false">IFERROR(VLOOKUP(OFFSET(Table22,450,21,1,1),OFFSET(Table2,0,1,ROWS(Table2),8),8,0),VLOOKUP(OFFSET(Table22,450,22,1,1),Table2,9,0))</f>
        <v>103259010</v>
      </c>
      <c r="N451" s="15" t="s">
        <v>29</v>
      </c>
      <c r="O451" s="16" t="n">
        <v>43356</v>
      </c>
      <c r="P451" s="17" t="s">
        <v>102</v>
      </c>
      <c r="Q451" s="18" t="s">
        <v>103</v>
      </c>
      <c r="R451" s="17" t="s">
        <v>104</v>
      </c>
      <c r="S451" s="18" t="s">
        <v>33</v>
      </c>
      <c r="T451" s="17" t="s">
        <v>34</v>
      </c>
      <c r="U451" s="18" t="s">
        <v>39</v>
      </c>
      <c r="V451" s="19" t="n">
        <v>224560836</v>
      </c>
      <c r="W451" s="17" t="s">
        <v>125</v>
      </c>
      <c r="X451" s="17" t="n">
        <v>0</v>
      </c>
      <c r="Y451" s="17"/>
      <c r="Z451" s="17" t="n">
        <v>0</v>
      </c>
      <c r="AA451" s="17" t="s">
        <v>38</v>
      </c>
      <c r="AB451" s="17"/>
    </row>
    <row r="452" customFormat="false" ht="15" hidden="false" customHeight="false" outlineLevel="0" collapsed="false">
      <c r="A452" s="1" t="str">
        <f aca="false">OFFSET(Table22,451,14,1,1)&amp;OFFSET(Table22,451,21,1,1)</f>
        <v>43355224560836</v>
      </c>
      <c r="B452" s="1" t="str">
        <f aca="false">OFFSET(Table22,451,14,1,1)&amp;OFFSET(Table22,451,22,1,1)</f>
        <v>43355Facebook»Developers/ITPros-Azure Direct-Sponsored Post-Link Ad-FreeAcctRetargetingVMFB-750Hrs-ChD»1x1»SocialBan»LIA»ALL»CPC»BT»X»UNK»SS»NA»Trials_ID</v>
      </c>
      <c r="C452" s="1" t="s">
        <v>28</v>
      </c>
      <c r="D452" s="3" t="n">
        <f aca="false">O452+(7-WEEKDAY(O452))</f>
        <v>43358</v>
      </c>
      <c r="E452" s="1" t="str">
        <f aca="false">VLOOKUP(OFFSET(Table22,451,16,1,1),Key!B:D,2,0)</f>
        <v>France</v>
      </c>
      <c r="F452" s="1" t="str">
        <f aca="false">IF(ISNUMBER(SEARCH("Canvas",U452)),"Link",IF(ISNUMBER(SEARCH("Link",U452)),"Link","Not filled properly"))</f>
        <v>Link</v>
      </c>
      <c r="G452" s="1" t="str">
        <f aca="false">IFERROR(VLOOKUP(OFFSET(Table22,451,21,1,1),OFFSET(Table2,0,1,ROWS(Table2),8),2,0),VLOOKUP(OFFSET(Table22,451,22,1,1),Table2,3,0))</f>
        <v>FRA_gaPMG_AZR_AZR_Q1_19_AzureDirect-Trial-Social</v>
      </c>
      <c r="H452" s="1" t="n">
        <f aca="false">IFERROR(VLOOKUP(OFFSET(Table22,451,21,1,1),OFFSET(Table2,0,1,ROWS(Table2),8),3,0),VLOOKUP(OFFSET(Table22,451,22,1,1),Table2,4,0))</f>
        <v>21356941</v>
      </c>
      <c r="I452" s="2" t="n">
        <f aca="false">IFERROR(VLOOKUP(OFFSET(Table22,451,21,1,1),OFFSET(Table2,0,1,ROWS(Table2),8),4,0),VLOOKUP(OFFSET(Table22,451,22,1,1),Table2,5,0))</f>
        <v>720193</v>
      </c>
      <c r="J452" s="3" t="str">
        <f aca="false">IF(ISNUMBER(SEARCH("FACEBOOK",W452)),"Facebook",IF(ISNUMBER(SEARCH("INSTAGRAM",W452)),"Facebook-Instagram","Look at taxonomy"))</f>
        <v>Facebook</v>
      </c>
      <c r="K452" s="3" t="str">
        <f aca="false">IF(ISNUMBER(SEARCH("Facebook",J452)),"3654128","Not Facebook")</f>
        <v>3654128</v>
      </c>
      <c r="L452" s="3" t="str">
        <f aca="false">IFERROR(VLOOKUP(OFFSET(Table22,451,21,1,1),OFFSET(Table2,0,1,ROWS(Table2),8),7,0),VLOOKUP(OFFSET(Table22,451,22,1,1),Table2,8,0))</f>
        <v>AZR_FreeAcctRetargetingVMFB-750Hrs-ChD_FRA_1200x628_SOC_AZRDirect_French_NA_Facebook_SBAN_SINU_T1_1</v>
      </c>
      <c r="M452" s="2" t="n">
        <f aca="false">IFERROR(VLOOKUP(OFFSET(Table22,451,21,1,1),OFFSET(Table2,0,1,ROWS(Table2),8),8,0),VLOOKUP(OFFSET(Table22,451,22,1,1),Table2,9,0))</f>
        <v>103259010</v>
      </c>
      <c r="N452" s="15" t="s">
        <v>29</v>
      </c>
      <c r="O452" s="16" t="n">
        <v>43355</v>
      </c>
      <c r="P452" s="17" t="s">
        <v>102</v>
      </c>
      <c r="Q452" s="18" t="s">
        <v>103</v>
      </c>
      <c r="R452" s="17" t="s">
        <v>104</v>
      </c>
      <c r="S452" s="18" t="s">
        <v>33</v>
      </c>
      <c r="T452" s="17" t="s">
        <v>34</v>
      </c>
      <c r="U452" s="18" t="s">
        <v>39</v>
      </c>
      <c r="V452" s="19" t="n">
        <v>224560836</v>
      </c>
      <c r="W452" s="17" t="s">
        <v>125</v>
      </c>
      <c r="X452" s="17" t="n">
        <v>0</v>
      </c>
      <c r="Y452" s="17"/>
      <c r="Z452" s="17" t="n">
        <v>0</v>
      </c>
      <c r="AA452" s="17" t="s">
        <v>38</v>
      </c>
      <c r="AB452" s="17"/>
    </row>
    <row r="453" customFormat="false" ht="15" hidden="false" customHeight="false" outlineLevel="0" collapsed="false">
      <c r="A453" s="1" t="str">
        <f aca="false">OFFSET(Table22,452,14,1,1)&amp;OFFSET(Table22,452,21,1,1)</f>
        <v>43354224560836</v>
      </c>
      <c r="B453" s="1" t="str">
        <f aca="false">OFFSET(Table22,452,14,1,1)&amp;OFFSET(Table22,452,22,1,1)</f>
        <v>43354Facebook»Developers/ITPros-Azure Direct-Sponsored Post-Link Ad-FreeAcctRetargetingVMFB-750Hrs-ChD»1x1»SocialBan»LIA»ALL»CPC»BT»X»UNK»SS»NA»Trials_ID</v>
      </c>
      <c r="C453" s="1" t="s">
        <v>28</v>
      </c>
      <c r="D453" s="3" t="n">
        <f aca="false">O453+(7-WEEKDAY(O453))</f>
        <v>43358</v>
      </c>
      <c r="E453" s="1" t="str">
        <f aca="false">VLOOKUP(OFFSET(Table22,452,16,1,1),Key!B:D,2,0)</f>
        <v>France</v>
      </c>
      <c r="F453" s="1" t="str">
        <f aca="false">IF(ISNUMBER(SEARCH("Canvas",U453)),"Link",IF(ISNUMBER(SEARCH("Link",U453)),"Link","Not filled properly"))</f>
        <v>Link</v>
      </c>
      <c r="G453" s="1" t="str">
        <f aca="false">IFERROR(VLOOKUP(OFFSET(Table22,452,21,1,1),OFFSET(Table2,0,1,ROWS(Table2),8),2,0),VLOOKUP(OFFSET(Table22,452,22,1,1),Table2,3,0))</f>
        <v>FRA_gaPMG_AZR_AZR_Q1_19_AzureDirect-Trial-Social</v>
      </c>
      <c r="H453" s="1" t="n">
        <f aca="false">IFERROR(VLOOKUP(OFFSET(Table22,452,21,1,1),OFFSET(Table2,0,1,ROWS(Table2),8),3,0),VLOOKUP(OFFSET(Table22,452,22,1,1),Table2,4,0))</f>
        <v>21356941</v>
      </c>
      <c r="I453" s="2" t="n">
        <f aca="false">IFERROR(VLOOKUP(OFFSET(Table22,452,21,1,1),OFFSET(Table2,0,1,ROWS(Table2),8),4,0),VLOOKUP(OFFSET(Table22,452,22,1,1),Table2,5,0))</f>
        <v>720193</v>
      </c>
      <c r="J453" s="3" t="str">
        <f aca="false">IF(ISNUMBER(SEARCH("FACEBOOK",W453)),"Facebook",IF(ISNUMBER(SEARCH("INSTAGRAM",W453)),"Facebook-Instagram","Look at taxonomy"))</f>
        <v>Facebook</v>
      </c>
      <c r="K453" s="3" t="str">
        <f aca="false">IF(ISNUMBER(SEARCH("Facebook",J453)),"3654128","Not Facebook")</f>
        <v>3654128</v>
      </c>
      <c r="L453" s="3" t="str">
        <f aca="false">IFERROR(VLOOKUP(OFFSET(Table22,452,21,1,1),OFFSET(Table2,0,1,ROWS(Table2),8),7,0),VLOOKUP(OFFSET(Table22,452,22,1,1),Table2,8,0))</f>
        <v>AZR_FreeAcctRetargetingVMFB-750Hrs-ChD_FRA_1200x628_SOC_AZRDirect_French_NA_Facebook_SBAN_SINU_T1_1</v>
      </c>
      <c r="M453" s="2" t="n">
        <f aca="false">IFERROR(VLOOKUP(OFFSET(Table22,452,21,1,1),OFFSET(Table2,0,1,ROWS(Table2),8),8,0),VLOOKUP(OFFSET(Table22,452,22,1,1),Table2,9,0))</f>
        <v>103259010</v>
      </c>
      <c r="N453" s="15" t="s">
        <v>29</v>
      </c>
      <c r="O453" s="16" t="n">
        <v>43354</v>
      </c>
      <c r="P453" s="17" t="s">
        <v>102</v>
      </c>
      <c r="Q453" s="18" t="s">
        <v>103</v>
      </c>
      <c r="R453" s="17" t="s">
        <v>104</v>
      </c>
      <c r="S453" s="18" t="s">
        <v>33</v>
      </c>
      <c r="T453" s="17" t="s">
        <v>34</v>
      </c>
      <c r="U453" s="18" t="s">
        <v>39</v>
      </c>
      <c r="V453" s="19" t="n">
        <v>224560836</v>
      </c>
      <c r="W453" s="17" t="s">
        <v>125</v>
      </c>
      <c r="X453" s="17" t="n">
        <v>0</v>
      </c>
      <c r="Y453" s="17"/>
      <c r="Z453" s="17" t="n">
        <v>0</v>
      </c>
      <c r="AA453" s="17" t="s">
        <v>38</v>
      </c>
      <c r="AB453" s="17"/>
    </row>
    <row r="454" customFormat="false" ht="15" hidden="false" customHeight="false" outlineLevel="0" collapsed="false">
      <c r="A454" s="1" t="str">
        <f aca="false">OFFSET(Table22,453,14,1,1)&amp;OFFSET(Table22,453,21,1,1)</f>
        <v>43353224560836</v>
      </c>
      <c r="B454" s="1" t="str">
        <f aca="false">OFFSET(Table22,453,14,1,1)&amp;OFFSET(Table22,453,22,1,1)</f>
        <v>43353Facebook»Developers/ITPros-Azure Direct-Sponsored Post-Link Ad-FreeAcctRetargetingVMFB-750Hrs-ChD»1x1»SocialBan»LIA»ALL»CPC»BT»X»UNK»SS»NA»Trials_ID</v>
      </c>
      <c r="C454" s="1" t="s">
        <v>28</v>
      </c>
      <c r="D454" s="3" t="n">
        <f aca="false">O454+(7-WEEKDAY(O454))</f>
        <v>43358</v>
      </c>
      <c r="E454" s="1" t="str">
        <f aca="false">VLOOKUP(OFFSET(Table22,453,16,1,1),Key!B:D,2,0)</f>
        <v>France</v>
      </c>
      <c r="F454" s="1" t="str">
        <f aca="false">IF(ISNUMBER(SEARCH("Canvas",U454)),"Link",IF(ISNUMBER(SEARCH("Link",U454)),"Link","Not filled properly"))</f>
        <v>Link</v>
      </c>
      <c r="G454" s="1" t="str">
        <f aca="false">IFERROR(VLOOKUP(OFFSET(Table22,453,21,1,1),OFFSET(Table2,0,1,ROWS(Table2),8),2,0),VLOOKUP(OFFSET(Table22,453,22,1,1),Table2,3,0))</f>
        <v>FRA_gaPMG_AZR_AZR_Q1_19_AzureDirect-Trial-Social</v>
      </c>
      <c r="H454" s="1" t="n">
        <f aca="false">IFERROR(VLOOKUP(OFFSET(Table22,453,21,1,1),OFFSET(Table2,0,1,ROWS(Table2),8),3,0),VLOOKUP(OFFSET(Table22,453,22,1,1),Table2,4,0))</f>
        <v>21356941</v>
      </c>
      <c r="I454" s="2" t="n">
        <f aca="false">IFERROR(VLOOKUP(OFFSET(Table22,453,21,1,1),OFFSET(Table2,0,1,ROWS(Table2),8),4,0),VLOOKUP(OFFSET(Table22,453,22,1,1),Table2,5,0))</f>
        <v>720193</v>
      </c>
      <c r="J454" s="3" t="str">
        <f aca="false">IF(ISNUMBER(SEARCH("FACEBOOK",W454)),"Facebook",IF(ISNUMBER(SEARCH("INSTAGRAM",W454)),"Facebook-Instagram","Look at taxonomy"))</f>
        <v>Facebook</v>
      </c>
      <c r="K454" s="3" t="str">
        <f aca="false">IF(ISNUMBER(SEARCH("Facebook",J454)),"3654128","Not Facebook")</f>
        <v>3654128</v>
      </c>
      <c r="L454" s="3" t="str">
        <f aca="false">IFERROR(VLOOKUP(OFFSET(Table22,453,21,1,1),OFFSET(Table2,0,1,ROWS(Table2),8),7,0),VLOOKUP(OFFSET(Table22,453,22,1,1),Table2,8,0))</f>
        <v>AZR_FreeAcctRetargetingVMFB-750Hrs-ChD_FRA_1200x628_SOC_AZRDirect_French_NA_Facebook_SBAN_SINU_T1_1</v>
      </c>
      <c r="M454" s="2" t="n">
        <f aca="false">IFERROR(VLOOKUP(OFFSET(Table22,453,21,1,1),OFFSET(Table2,0,1,ROWS(Table2),8),8,0),VLOOKUP(OFFSET(Table22,453,22,1,1),Table2,9,0))</f>
        <v>103259010</v>
      </c>
      <c r="N454" s="15" t="s">
        <v>29</v>
      </c>
      <c r="O454" s="16" t="n">
        <v>43353</v>
      </c>
      <c r="P454" s="17" t="s">
        <v>102</v>
      </c>
      <c r="Q454" s="18" t="s">
        <v>103</v>
      </c>
      <c r="R454" s="17" t="s">
        <v>104</v>
      </c>
      <c r="S454" s="18" t="s">
        <v>33</v>
      </c>
      <c r="T454" s="17" t="s">
        <v>34</v>
      </c>
      <c r="U454" s="18" t="s">
        <v>39</v>
      </c>
      <c r="V454" s="19" t="n">
        <v>224560836</v>
      </c>
      <c r="W454" s="17" t="s">
        <v>125</v>
      </c>
      <c r="X454" s="17" t="n">
        <v>0</v>
      </c>
      <c r="Y454" s="17"/>
      <c r="Z454" s="17" t="n">
        <v>0</v>
      </c>
      <c r="AA454" s="17" t="s">
        <v>38</v>
      </c>
      <c r="AB454" s="17"/>
    </row>
    <row r="455" customFormat="false" ht="15" hidden="false" customHeight="false" outlineLevel="0" collapsed="false">
      <c r="A455" s="1" t="str">
        <f aca="false">OFFSET(Table22,454,14,1,1)&amp;OFFSET(Table22,454,21,1,1)</f>
        <v>43352224560836</v>
      </c>
      <c r="B455" s="1" t="str">
        <f aca="false">OFFSET(Table22,454,14,1,1)&amp;OFFSET(Table22,454,22,1,1)</f>
        <v>43352Facebook»Developers/ITPros-Azure Direct-Sponsored Post-Link Ad-FreeAcctRetargetingVMFB-750Hrs-ChD»1x1»SocialBan»LIA»ALL»CPC»BT»X»UNK»SS»NA»Trials_ID</v>
      </c>
      <c r="C455" s="1" t="s">
        <v>28</v>
      </c>
      <c r="D455" s="3" t="n">
        <f aca="false">O455+(7-WEEKDAY(O455))</f>
        <v>43358</v>
      </c>
      <c r="E455" s="1" t="str">
        <f aca="false">VLOOKUP(OFFSET(Table22,454,16,1,1),Key!B:D,2,0)</f>
        <v>France</v>
      </c>
      <c r="F455" s="1" t="str">
        <f aca="false">IF(ISNUMBER(SEARCH("Canvas",U455)),"Link",IF(ISNUMBER(SEARCH("Link",U455)),"Link","Not filled properly"))</f>
        <v>Link</v>
      </c>
      <c r="G455" s="1" t="str">
        <f aca="false">IFERROR(VLOOKUP(OFFSET(Table22,454,21,1,1),OFFSET(Table2,0,1,ROWS(Table2),8),2,0),VLOOKUP(OFFSET(Table22,454,22,1,1),Table2,3,0))</f>
        <v>FRA_gaPMG_AZR_AZR_Q1_19_AzureDirect-Trial-Social</v>
      </c>
      <c r="H455" s="1" t="n">
        <f aca="false">IFERROR(VLOOKUP(OFFSET(Table22,454,21,1,1),OFFSET(Table2,0,1,ROWS(Table2),8),3,0),VLOOKUP(OFFSET(Table22,454,22,1,1),Table2,4,0))</f>
        <v>21356941</v>
      </c>
      <c r="I455" s="2" t="n">
        <f aca="false">IFERROR(VLOOKUP(OFFSET(Table22,454,21,1,1),OFFSET(Table2,0,1,ROWS(Table2),8),4,0),VLOOKUP(OFFSET(Table22,454,22,1,1),Table2,5,0))</f>
        <v>720193</v>
      </c>
      <c r="J455" s="3" t="str">
        <f aca="false">IF(ISNUMBER(SEARCH("FACEBOOK",W455)),"Facebook",IF(ISNUMBER(SEARCH("INSTAGRAM",W455)),"Facebook-Instagram","Look at taxonomy"))</f>
        <v>Facebook</v>
      </c>
      <c r="K455" s="3" t="str">
        <f aca="false">IF(ISNUMBER(SEARCH("Facebook",J455)),"3654128","Not Facebook")</f>
        <v>3654128</v>
      </c>
      <c r="L455" s="3" t="str">
        <f aca="false">IFERROR(VLOOKUP(OFFSET(Table22,454,21,1,1),OFFSET(Table2,0,1,ROWS(Table2),8),7,0),VLOOKUP(OFFSET(Table22,454,22,1,1),Table2,8,0))</f>
        <v>AZR_FreeAcctRetargetingVMFB-750Hrs-ChD_FRA_1200x628_SOC_AZRDirect_French_NA_Facebook_SBAN_SINU_T1_1</v>
      </c>
      <c r="M455" s="2" t="n">
        <f aca="false">IFERROR(VLOOKUP(OFFSET(Table22,454,21,1,1),OFFSET(Table2,0,1,ROWS(Table2),8),8,0),VLOOKUP(OFFSET(Table22,454,22,1,1),Table2,9,0))</f>
        <v>103259010</v>
      </c>
      <c r="N455" s="15" t="s">
        <v>29</v>
      </c>
      <c r="O455" s="16" t="n">
        <v>43352</v>
      </c>
      <c r="P455" s="17" t="s">
        <v>102</v>
      </c>
      <c r="Q455" s="18" t="s">
        <v>103</v>
      </c>
      <c r="R455" s="17" t="s">
        <v>104</v>
      </c>
      <c r="S455" s="18" t="s">
        <v>33</v>
      </c>
      <c r="T455" s="17" t="s">
        <v>34</v>
      </c>
      <c r="U455" s="18" t="s">
        <v>39</v>
      </c>
      <c r="V455" s="19" t="n">
        <v>224560836</v>
      </c>
      <c r="W455" s="17" t="s">
        <v>125</v>
      </c>
      <c r="X455" s="17" t="n">
        <v>0</v>
      </c>
      <c r="Y455" s="17"/>
      <c r="Z455" s="17" t="n">
        <v>0</v>
      </c>
      <c r="AA455" s="17" t="s">
        <v>38</v>
      </c>
      <c r="AB455" s="17"/>
    </row>
    <row r="456" customFormat="false" ht="15" hidden="false" customHeight="false" outlineLevel="0" collapsed="false">
      <c r="A456" s="1" t="str">
        <f aca="false">OFFSET(Table22,455,14,1,1)&amp;OFFSET(Table22,455,21,1,1)</f>
        <v>43358224560833</v>
      </c>
      <c r="B456" s="1" t="str">
        <f aca="false">OFFSET(Table22,455,14,1,1)&amp;OFFSET(Table22,455,22,1,1)</f>
        <v>43358Facebook»Developers/ITPros-Azure Direct-Sponsored Post-Link Ad-FreeAcctRetargetingVMFB-OnDemand-ChE»1x1»SocialBan»LIA»ALL»CPC»BT»X»UNK»SS»NA»Trials_ID</v>
      </c>
      <c r="C456" s="1" t="s">
        <v>28</v>
      </c>
      <c r="D456" s="3" t="n">
        <f aca="false">O456+(7-WEEKDAY(O456))</f>
        <v>43358</v>
      </c>
      <c r="E456" s="1" t="str">
        <f aca="false">VLOOKUP(OFFSET(Table22,455,16,1,1),Key!B:D,2,0)</f>
        <v>France</v>
      </c>
      <c r="F456" s="1" t="str">
        <f aca="false">IF(ISNUMBER(SEARCH("Canvas",U456)),"Link",IF(ISNUMBER(SEARCH("Link",U456)),"Link","Not filled properly"))</f>
        <v>Link</v>
      </c>
      <c r="G456" s="1" t="str">
        <f aca="false">IFERROR(VLOOKUP(OFFSET(Table22,455,21,1,1),OFFSET(Table2,0,1,ROWS(Table2),8),2,0),VLOOKUP(OFFSET(Table22,455,22,1,1),Table2,3,0))</f>
        <v>FRA_gaPMG_AZR_AZR_Q1_19_AzureDirect-Trial-Social</v>
      </c>
      <c r="H456" s="1" t="n">
        <f aca="false">IFERROR(VLOOKUP(OFFSET(Table22,455,21,1,1),OFFSET(Table2,0,1,ROWS(Table2),8),3,0),VLOOKUP(OFFSET(Table22,455,22,1,1),Table2,4,0))</f>
        <v>21356941</v>
      </c>
      <c r="I456" s="2" t="n">
        <f aca="false">IFERROR(VLOOKUP(OFFSET(Table22,455,21,1,1),OFFSET(Table2,0,1,ROWS(Table2),8),4,0),VLOOKUP(OFFSET(Table22,455,22,1,1),Table2,5,0))</f>
        <v>720193</v>
      </c>
      <c r="J456" s="3" t="str">
        <f aca="false">IF(ISNUMBER(SEARCH("FACEBOOK",W456)),"Facebook",IF(ISNUMBER(SEARCH("INSTAGRAM",W456)),"Facebook-Instagram","Look at taxonomy"))</f>
        <v>Facebook</v>
      </c>
      <c r="K456" s="3" t="str">
        <f aca="false">IF(ISNUMBER(SEARCH("Facebook",J456)),"3654128","Not Facebook")</f>
        <v>3654128</v>
      </c>
      <c r="L456" s="3" t="str">
        <f aca="false">IFERROR(VLOOKUP(OFFSET(Table22,455,21,1,1),OFFSET(Table2,0,1,ROWS(Table2),8),7,0),VLOOKUP(OFFSET(Table22,455,22,1,1),Table2,8,0))</f>
        <v>AZR_FreeAcctRetargetingVMFB-OnDemand-ChE_FRA_1200x628_SOC_AZRDirect_French_NA_Facebook_SBAN_SINU_T2_1</v>
      </c>
      <c r="M456" s="2" t="n">
        <f aca="false">IFERROR(VLOOKUP(OFFSET(Table22,455,21,1,1),OFFSET(Table2,0,1,ROWS(Table2),8),8,0),VLOOKUP(OFFSET(Table22,455,22,1,1),Table2,9,0))</f>
        <v>103376990</v>
      </c>
      <c r="N456" s="15" t="s">
        <v>29</v>
      </c>
      <c r="O456" s="16" t="n">
        <v>43358</v>
      </c>
      <c r="P456" s="17" t="s">
        <v>102</v>
      </c>
      <c r="Q456" s="18" t="s">
        <v>103</v>
      </c>
      <c r="R456" s="17" t="s">
        <v>104</v>
      </c>
      <c r="S456" s="18" t="s">
        <v>33</v>
      </c>
      <c r="T456" s="17" t="s">
        <v>34</v>
      </c>
      <c r="U456" s="18" t="s">
        <v>39</v>
      </c>
      <c r="V456" s="19" t="n">
        <v>224560833</v>
      </c>
      <c r="W456" s="17" t="s">
        <v>126</v>
      </c>
      <c r="X456" s="17" t="n">
        <v>0</v>
      </c>
      <c r="Y456" s="17"/>
      <c r="Z456" s="17" t="n">
        <v>0</v>
      </c>
      <c r="AA456" s="17" t="s">
        <v>38</v>
      </c>
      <c r="AB456" s="17"/>
    </row>
    <row r="457" customFormat="false" ht="15" hidden="false" customHeight="false" outlineLevel="0" collapsed="false">
      <c r="A457" s="1" t="str">
        <f aca="false">OFFSET(Table22,456,14,1,1)&amp;OFFSET(Table22,456,21,1,1)</f>
        <v>43357224560833</v>
      </c>
      <c r="B457" s="1" t="str">
        <f aca="false">OFFSET(Table22,456,14,1,1)&amp;OFFSET(Table22,456,22,1,1)</f>
        <v>43357Facebook»Developers/ITPros-Azure Direct-Sponsored Post-Link Ad-FreeAcctRetargetingVMFB-OnDemand-ChE»1x1»SocialBan»LIA»ALL»CPC»BT»X»UNK»SS»NA»Trials_ID</v>
      </c>
      <c r="C457" s="1" t="s">
        <v>28</v>
      </c>
      <c r="D457" s="3" t="n">
        <f aca="false">O457+(7-WEEKDAY(O457))</f>
        <v>43358</v>
      </c>
      <c r="E457" s="1" t="str">
        <f aca="false">VLOOKUP(OFFSET(Table22,456,16,1,1),Key!B:D,2,0)</f>
        <v>France</v>
      </c>
      <c r="F457" s="1" t="str">
        <f aca="false">IF(ISNUMBER(SEARCH("Canvas",U457)),"Link",IF(ISNUMBER(SEARCH("Link",U457)),"Link","Not filled properly"))</f>
        <v>Link</v>
      </c>
      <c r="G457" s="1" t="str">
        <f aca="false">IFERROR(VLOOKUP(OFFSET(Table22,456,21,1,1),OFFSET(Table2,0,1,ROWS(Table2),8),2,0),VLOOKUP(OFFSET(Table22,456,22,1,1),Table2,3,0))</f>
        <v>FRA_gaPMG_AZR_AZR_Q1_19_AzureDirect-Trial-Social</v>
      </c>
      <c r="H457" s="1" t="n">
        <f aca="false">IFERROR(VLOOKUP(OFFSET(Table22,456,21,1,1),OFFSET(Table2,0,1,ROWS(Table2),8),3,0),VLOOKUP(OFFSET(Table22,456,22,1,1),Table2,4,0))</f>
        <v>21356941</v>
      </c>
      <c r="I457" s="2" t="n">
        <f aca="false">IFERROR(VLOOKUP(OFFSET(Table22,456,21,1,1),OFFSET(Table2,0,1,ROWS(Table2),8),4,0),VLOOKUP(OFFSET(Table22,456,22,1,1),Table2,5,0))</f>
        <v>720193</v>
      </c>
      <c r="J457" s="3" t="str">
        <f aca="false">IF(ISNUMBER(SEARCH("FACEBOOK",W457)),"Facebook",IF(ISNUMBER(SEARCH("INSTAGRAM",W457)),"Facebook-Instagram","Look at taxonomy"))</f>
        <v>Facebook</v>
      </c>
      <c r="K457" s="3" t="str">
        <f aca="false">IF(ISNUMBER(SEARCH("Facebook",J457)),"3654128","Not Facebook")</f>
        <v>3654128</v>
      </c>
      <c r="L457" s="3" t="str">
        <f aca="false">IFERROR(VLOOKUP(OFFSET(Table22,456,21,1,1),OFFSET(Table2,0,1,ROWS(Table2),8),7,0),VLOOKUP(OFFSET(Table22,456,22,1,1),Table2,8,0))</f>
        <v>AZR_FreeAcctRetargetingVMFB-OnDemand-ChE_FRA_1200x628_SOC_AZRDirect_French_NA_Facebook_SBAN_SINU_T2_1</v>
      </c>
      <c r="M457" s="2" t="n">
        <f aca="false">IFERROR(VLOOKUP(OFFSET(Table22,456,21,1,1),OFFSET(Table2,0,1,ROWS(Table2),8),8,0),VLOOKUP(OFFSET(Table22,456,22,1,1),Table2,9,0))</f>
        <v>103376990</v>
      </c>
      <c r="N457" s="15" t="s">
        <v>29</v>
      </c>
      <c r="O457" s="16" t="n">
        <v>43357</v>
      </c>
      <c r="P457" s="17" t="s">
        <v>102</v>
      </c>
      <c r="Q457" s="18" t="s">
        <v>103</v>
      </c>
      <c r="R457" s="17" t="s">
        <v>104</v>
      </c>
      <c r="S457" s="18" t="s">
        <v>33</v>
      </c>
      <c r="T457" s="17" t="s">
        <v>34</v>
      </c>
      <c r="U457" s="18" t="s">
        <v>39</v>
      </c>
      <c r="V457" s="19" t="n">
        <v>224560833</v>
      </c>
      <c r="W457" s="17" t="s">
        <v>126</v>
      </c>
      <c r="X457" s="17" t="n">
        <v>0</v>
      </c>
      <c r="Y457" s="17"/>
      <c r="Z457" s="17" t="n">
        <v>0</v>
      </c>
      <c r="AA457" s="17" t="s">
        <v>38</v>
      </c>
      <c r="AB457" s="17"/>
    </row>
    <row r="458" customFormat="false" ht="15" hidden="false" customHeight="false" outlineLevel="0" collapsed="false">
      <c r="A458" s="1" t="str">
        <f aca="false">OFFSET(Table22,457,14,1,1)&amp;OFFSET(Table22,457,21,1,1)</f>
        <v>43356224560833</v>
      </c>
      <c r="B458" s="1" t="str">
        <f aca="false">OFFSET(Table22,457,14,1,1)&amp;OFFSET(Table22,457,22,1,1)</f>
        <v>43356Facebook»Developers/ITPros-Azure Direct-Sponsored Post-Link Ad-FreeAcctRetargetingVMFB-OnDemand-ChE»1x1»SocialBan»LIA»ALL»CPC»BT»X»UNK»SS»NA»Trials_ID</v>
      </c>
      <c r="C458" s="1" t="s">
        <v>28</v>
      </c>
      <c r="D458" s="3" t="n">
        <f aca="false">O458+(7-WEEKDAY(O458))</f>
        <v>43358</v>
      </c>
      <c r="E458" s="1" t="str">
        <f aca="false">VLOOKUP(OFFSET(Table22,457,16,1,1),Key!B:D,2,0)</f>
        <v>France</v>
      </c>
      <c r="F458" s="1" t="str">
        <f aca="false">IF(ISNUMBER(SEARCH("Canvas",U458)),"Link",IF(ISNUMBER(SEARCH("Link",U458)),"Link","Not filled properly"))</f>
        <v>Link</v>
      </c>
      <c r="G458" s="1" t="str">
        <f aca="false">IFERROR(VLOOKUP(OFFSET(Table22,457,21,1,1),OFFSET(Table2,0,1,ROWS(Table2),8),2,0),VLOOKUP(OFFSET(Table22,457,22,1,1),Table2,3,0))</f>
        <v>FRA_gaPMG_AZR_AZR_Q1_19_AzureDirect-Trial-Social</v>
      </c>
      <c r="H458" s="1" t="n">
        <f aca="false">IFERROR(VLOOKUP(OFFSET(Table22,457,21,1,1),OFFSET(Table2,0,1,ROWS(Table2),8),3,0),VLOOKUP(OFFSET(Table22,457,22,1,1),Table2,4,0))</f>
        <v>21356941</v>
      </c>
      <c r="I458" s="2" t="n">
        <f aca="false">IFERROR(VLOOKUP(OFFSET(Table22,457,21,1,1),OFFSET(Table2,0,1,ROWS(Table2),8),4,0),VLOOKUP(OFFSET(Table22,457,22,1,1),Table2,5,0))</f>
        <v>720193</v>
      </c>
      <c r="J458" s="3" t="str">
        <f aca="false">IF(ISNUMBER(SEARCH("FACEBOOK",W458)),"Facebook",IF(ISNUMBER(SEARCH("INSTAGRAM",W458)),"Facebook-Instagram","Look at taxonomy"))</f>
        <v>Facebook</v>
      </c>
      <c r="K458" s="3" t="str">
        <f aca="false">IF(ISNUMBER(SEARCH("Facebook",J458)),"3654128","Not Facebook")</f>
        <v>3654128</v>
      </c>
      <c r="L458" s="3" t="str">
        <f aca="false">IFERROR(VLOOKUP(OFFSET(Table22,457,21,1,1),OFFSET(Table2,0,1,ROWS(Table2),8),7,0),VLOOKUP(OFFSET(Table22,457,22,1,1),Table2,8,0))</f>
        <v>AZR_FreeAcctRetargetingVMFB-OnDemand-ChE_FRA_1200x628_SOC_AZRDirect_French_NA_Facebook_SBAN_SINU_T2_1</v>
      </c>
      <c r="M458" s="2" t="n">
        <f aca="false">IFERROR(VLOOKUP(OFFSET(Table22,457,21,1,1),OFFSET(Table2,0,1,ROWS(Table2),8),8,0),VLOOKUP(OFFSET(Table22,457,22,1,1),Table2,9,0))</f>
        <v>103376990</v>
      </c>
      <c r="N458" s="15" t="s">
        <v>29</v>
      </c>
      <c r="O458" s="16" t="n">
        <v>43356</v>
      </c>
      <c r="P458" s="17" t="s">
        <v>102</v>
      </c>
      <c r="Q458" s="18" t="s">
        <v>103</v>
      </c>
      <c r="R458" s="17" t="s">
        <v>104</v>
      </c>
      <c r="S458" s="18" t="s">
        <v>33</v>
      </c>
      <c r="T458" s="17" t="s">
        <v>34</v>
      </c>
      <c r="U458" s="18" t="s">
        <v>39</v>
      </c>
      <c r="V458" s="19" t="n">
        <v>224560833</v>
      </c>
      <c r="W458" s="17" t="s">
        <v>126</v>
      </c>
      <c r="X458" s="17" t="n">
        <v>0</v>
      </c>
      <c r="Y458" s="17"/>
      <c r="Z458" s="17" t="n">
        <v>0</v>
      </c>
      <c r="AA458" s="17" t="s">
        <v>38</v>
      </c>
      <c r="AB458" s="17"/>
    </row>
    <row r="459" customFormat="false" ht="15" hidden="false" customHeight="false" outlineLevel="0" collapsed="false">
      <c r="A459" s="1" t="str">
        <f aca="false">OFFSET(Table22,458,14,1,1)&amp;OFFSET(Table22,458,21,1,1)</f>
        <v>43355224560833</v>
      </c>
      <c r="B459" s="1" t="str">
        <f aca="false">OFFSET(Table22,458,14,1,1)&amp;OFFSET(Table22,458,22,1,1)</f>
        <v>43355Facebook»Developers/ITPros-Azure Direct-Sponsored Post-Link Ad-FreeAcctRetargetingVMFB-OnDemand-ChE»1x1»SocialBan»LIA»ALL»CPC»BT»X»UNK»SS»NA»Trials_ID</v>
      </c>
      <c r="C459" s="1" t="s">
        <v>28</v>
      </c>
      <c r="D459" s="3" t="n">
        <f aca="false">O459+(7-WEEKDAY(O459))</f>
        <v>43358</v>
      </c>
      <c r="E459" s="1" t="str">
        <f aca="false">VLOOKUP(OFFSET(Table22,458,16,1,1),Key!B:D,2,0)</f>
        <v>France</v>
      </c>
      <c r="F459" s="1" t="str">
        <f aca="false">IF(ISNUMBER(SEARCH("Canvas",U459)),"Link",IF(ISNUMBER(SEARCH("Link",U459)),"Link","Not filled properly"))</f>
        <v>Link</v>
      </c>
      <c r="G459" s="1" t="str">
        <f aca="false">IFERROR(VLOOKUP(OFFSET(Table22,458,21,1,1),OFFSET(Table2,0,1,ROWS(Table2),8),2,0),VLOOKUP(OFFSET(Table22,458,22,1,1),Table2,3,0))</f>
        <v>FRA_gaPMG_AZR_AZR_Q1_19_AzureDirect-Trial-Social</v>
      </c>
      <c r="H459" s="1" t="n">
        <f aca="false">IFERROR(VLOOKUP(OFFSET(Table22,458,21,1,1),OFFSET(Table2,0,1,ROWS(Table2),8),3,0),VLOOKUP(OFFSET(Table22,458,22,1,1),Table2,4,0))</f>
        <v>21356941</v>
      </c>
      <c r="I459" s="2" t="n">
        <f aca="false">IFERROR(VLOOKUP(OFFSET(Table22,458,21,1,1),OFFSET(Table2,0,1,ROWS(Table2),8),4,0),VLOOKUP(OFFSET(Table22,458,22,1,1),Table2,5,0))</f>
        <v>720193</v>
      </c>
      <c r="J459" s="3" t="str">
        <f aca="false">IF(ISNUMBER(SEARCH("FACEBOOK",W459)),"Facebook",IF(ISNUMBER(SEARCH("INSTAGRAM",W459)),"Facebook-Instagram","Look at taxonomy"))</f>
        <v>Facebook</v>
      </c>
      <c r="K459" s="3" t="str">
        <f aca="false">IF(ISNUMBER(SEARCH("Facebook",J459)),"3654128","Not Facebook")</f>
        <v>3654128</v>
      </c>
      <c r="L459" s="3" t="str">
        <f aca="false">IFERROR(VLOOKUP(OFFSET(Table22,458,21,1,1),OFFSET(Table2,0,1,ROWS(Table2),8),7,0),VLOOKUP(OFFSET(Table22,458,22,1,1),Table2,8,0))</f>
        <v>AZR_FreeAcctRetargetingVMFB-OnDemand-ChE_FRA_1200x628_SOC_AZRDirect_French_NA_Facebook_SBAN_SINU_T2_1</v>
      </c>
      <c r="M459" s="2" t="n">
        <f aca="false">IFERROR(VLOOKUP(OFFSET(Table22,458,21,1,1),OFFSET(Table2,0,1,ROWS(Table2),8),8,0),VLOOKUP(OFFSET(Table22,458,22,1,1),Table2,9,0))</f>
        <v>103376990</v>
      </c>
      <c r="N459" s="15" t="s">
        <v>29</v>
      </c>
      <c r="O459" s="16" t="n">
        <v>43355</v>
      </c>
      <c r="P459" s="17" t="s">
        <v>102</v>
      </c>
      <c r="Q459" s="18" t="s">
        <v>103</v>
      </c>
      <c r="R459" s="17" t="s">
        <v>104</v>
      </c>
      <c r="S459" s="18" t="s">
        <v>33</v>
      </c>
      <c r="T459" s="17" t="s">
        <v>34</v>
      </c>
      <c r="U459" s="18" t="s">
        <v>39</v>
      </c>
      <c r="V459" s="19" t="n">
        <v>224560833</v>
      </c>
      <c r="W459" s="17" t="s">
        <v>126</v>
      </c>
      <c r="X459" s="17" t="n">
        <v>0</v>
      </c>
      <c r="Y459" s="17"/>
      <c r="Z459" s="17" t="n">
        <v>0</v>
      </c>
      <c r="AA459" s="17" t="s">
        <v>38</v>
      </c>
      <c r="AB459" s="17"/>
    </row>
    <row r="460" customFormat="false" ht="15" hidden="false" customHeight="false" outlineLevel="0" collapsed="false">
      <c r="A460" s="1" t="str">
        <f aca="false">OFFSET(Table22,459,14,1,1)&amp;OFFSET(Table22,459,21,1,1)</f>
        <v>43354224560833</v>
      </c>
      <c r="B460" s="1" t="str">
        <f aca="false">OFFSET(Table22,459,14,1,1)&amp;OFFSET(Table22,459,22,1,1)</f>
        <v>43354Facebook»Developers/ITPros-Azure Direct-Sponsored Post-Link Ad-FreeAcctRetargetingVMFB-OnDemand-ChE»1x1»SocialBan»LIA»ALL»CPC»BT»X»UNK»SS»NA»Trials_ID</v>
      </c>
      <c r="C460" s="1" t="s">
        <v>28</v>
      </c>
      <c r="D460" s="3" t="n">
        <f aca="false">O460+(7-WEEKDAY(O460))</f>
        <v>43358</v>
      </c>
      <c r="E460" s="1" t="str">
        <f aca="false">VLOOKUP(OFFSET(Table22,459,16,1,1),Key!B:D,2,0)</f>
        <v>France</v>
      </c>
      <c r="F460" s="1" t="str">
        <f aca="false">IF(ISNUMBER(SEARCH("Canvas",U460)),"Link",IF(ISNUMBER(SEARCH("Link",U460)),"Link","Not filled properly"))</f>
        <v>Link</v>
      </c>
      <c r="G460" s="1" t="str">
        <f aca="false">IFERROR(VLOOKUP(OFFSET(Table22,459,21,1,1),OFFSET(Table2,0,1,ROWS(Table2),8),2,0),VLOOKUP(OFFSET(Table22,459,22,1,1),Table2,3,0))</f>
        <v>FRA_gaPMG_AZR_AZR_Q1_19_AzureDirect-Trial-Social</v>
      </c>
      <c r="H460" s="1" t="n">
        <f aca="false">IFERROR(VLOOKUP(OFFSET(Table22,459,21,1,1),OFFSET(Table2,0,1,ROWS(Table2),8),3,0),VLOOKUP(OFFSET(Table22,459,22,1,1),Table2,4,0))</f>
        <v>21356941</v>
      </c>
      <c r="I460" s="2" t="n">
        <f aca="false">IFERROR(VLOOKUP(OFFSET(Table22,459,21,1,1),OFFSET(Table2,0,1,ROWS(Table2),8),4,0),VLOOKUP(OFFSET(Table22,459,22,1,1),Table2,5,0))</f>
        <v>720193</v>
      </c>
      <c r="J460" s="3" t="str">
        <f aca="false">IF(ISNUMBER(SEARCH("FACEBOOK",W460)),"Facebook",IF(ISNUMBER(SEARCH("INSTAGRAM",W460)),"Facebook-Instagram","Look at taxonomy"))</f>
        <v>Facebook</v>
      </c>
      <c r="K460" s="3" t="str">
        <f aca="false">IF(ISNUMBER(SEARCH("Facebook",J460)),"3654128","Not Facebook")</f>
        <v>3654128</v>
      </c>
      <c r="L460" s="3" t="str">
        <f aca="false">IFERROR(VLOOKUP(OFFSET(Table22,459,21,1,1),OFFSET(Table2,0,1,ROWS(Table2),8),7,0),VLOOKUP(OFFSET(Table22,459,22,1,1),Table2,8,0))</f>
        <v>AZR_FreeAcctRetargetingVMFB-OnDemand-ChE_FRA_1200x628_SOC_AZRDirect_French_NA_Facebook_SBAN_SINU_T2_1</v>
      </c>
      <c r="M460" s="2" t="n">
        <f aca="false">IFERROR(VLOOKUP(OFFSET(Table22,459,21,1,1),OFFSET(Table2,0,1,ROWS(Table2),8),8,0),VLOOKUP(OFFSET(Table22,459,22,1,1),Table2,9,0))</f>
        <v>103376990</v>
      </c>
      <c r="N460" s="15" t="s">
        <v>29</v>
      </c>
      <c r="O460" s="16" t="n">
        <v>43354</v>
      </c>
      <c r="P460" s="17" t="s">
        <v>102</v>
      </c>
      <c r="Q460" s="18" t="s">
        <v>103</v>
      </c>
      <c r="R460" s="17" t="s">
        <v>104</v>
      </c>
      <c r="S460" s="18" t="s">
        <v>33</v>
      </c>
      <c r="T460" s="17" t="s">
        <v>34</v>
      </c>
      <c r="U460" s="18" t="s">
        <v>39</v>
      </c>
      <c r="V460" s="19" t="n">
        <v>224560833</v>
      </c>
      <c r="W460" s="17" t="s">
        <v>126</v>
      </c>
      <c r="X460" s="17" t="n">
        <v>0</v>
      </c>
      <c r="Y460" s="17"/>
      <c r="Z460" s="17" t="n">
        <v>0</v>
      </c>
      <c r="AA460" s="17" t="s">
        <v>38</v>
      </c>
      <c r="AB460" s="17"/>
    </row>
    <row r="461" customFormat="false" ht="15" hidden="false" customHeight="false" outlineLevel="0" collapsed="false">
      <c r="A461" s="1" t="str">
        <f aca="false">OFFSET(Table22,460,14,1,1)&amp;OFFSET(Table22,460,21,1,1)</f>
        <v>43353224560833</v>
      </c>
      <c r="B461" s="1" t="str">
        <f aca="false">OFFSET(Table22,460,14,1,1)&amp;OFFSET(Table22,460,22,1,1)</f>
        <v>43353Facebook»Developers/ITPros-Azure Direct-Sponsored Post-Link Ad-FreeAcctRetargetingVMFB-OnDemand-ChE»1x1»SocialBan»LIA»ALL»CPC»BT»X»UNK»SS»NA»Trials_ID</v>
      </c>
      <c r="C461" s="1" t="s">
        <v>28</v>
      </c>
      <c r="D461" s="3" t="n">
        <f aca="false">O461+(7-WEEKDAY(O461))</f>
        <v>43358</v>
      </c>
      <c r="E461" s="1" t="str">
        <f aca="false">VLOOKUP(OFFSET(Table22,460,16,1,1),Key!B:D,2,0)</f>
        <v>France</v>
      </c>
      <c r="F461" s="1" t="str">
        <f aca="false">IF(ISNUMBER(SEARCH("Canvas",U461)),"Link",IF(ISNUMBER(SEARCH("Link",U461)),"Link","Not filled properly"))</f>
        <v>Link</v>
      </c>
      <c r="G461" s="1" t="str">
        <f aca="false">IFERROR(VLOOKUP(OFFSET(Table22,460,21,1,1),OFFSET(Table2,0,1,ROWS(Table2),8),2,0),VLOOKUP(OFFSET(Table22,460,22,1,1),Table2,3,0))</f>
        <v>FRA_gaPMG_AZR_AZR_Q1_19_AzureDirect-Trial-Social</v>
      </c>
      <c r="H461" s="1" t="n">
        <f aca="false">IFERROR(VLOOKUP(OFFSET(Table22,460,21,1,1),OFFSET(Table2,0,1,ROWS(Table2),8),3,0),VLOOKUP(OFFSET(Table22,460,22,1,1),Table2,4,0))</f>
        <v>21356941</v>
      </c>
      <c r="I461" s="2" t="n">
        <f aca="false">IFERROR(VLOOKUP(OFFSET(Table22,460,21,1,1),OFFSET(Table2,0,1,ROWS(Table2),8),4,0),VLOOKUP(OFFSET(Table22,460,22,1,1),Table2,5,0))</f>
        <v>720193</v>
      </c>
      <c r="J461" s="3" t="str">
        <f aca="false">IF(ISNUMBER(SEARCH("FACEBOOK",W461)),"Facebook",IF(ISNUMBER(SEARCH("INSTAGRAM",W461)),"Facebook-Instagram","Look at taxonomy"))</f>
        <v>Facebook</v>
      </c>
      <c r="K461" s="3" t="str">
        <f aca="false">IF(ISNUMBER(SEARCH("Facebook",J461)),"3654128","Not Facebook")</f>
        <v>3654128</v>
      </c>
      <c r="L461" s="3" t="str">
        <f aca="false">IFERROR(VLOOKUP(OFFSET(Table22,460,21,1,1),OFFSET(Table2,0,1,ROWS(Table2),8),7,0),VLOOKUP(OFFSET(Table22,460,22,1,1),Table2,8,0))</f>
        <v>AZR_FreeAcctRetargetingVMFB-OnDemand-ChE_FRA_1200x628_SOC_AZRDirect_French_NA_Facebook_SBAN_SINU_T2_1</v>
      </c>
      <c r="M461" s="2" t="n">
        <f aca="false">IFERROR(VLOOKUP(OFFSET(Table22,460,21,1,1),OFFSET(Table2,0,1,ROWS(Table2),8),8,0),VLOOKUP(OFFSET(Table22,460,22,1,1),Table2,9,0))</f>
        <v>103376990</v>
      </c>
      <c r="N461" s="15" t="s">
        <v>29</v>
      </c>
      <c r="O461" s="16" t="n">
        <v>43353</v>
      </c>
      <c r="P461" s="17" t="s">
        <v>102</v>
      </c>
      <c r="Q461" s="18" t="s">
        <v>103</v>
      </c>
      <c r="R461" s="17" t="s">
        <v>104</v>
      </c>
      <c r="S461" s="18" t="s">
        <v>33</v>
      </c>
      <c r="T461" s="17" t="s">
        <v>34</v>
      </c>
      <c r="U461" s="18" t="s">
        <v>39</v>
      </c>
      <c r="V461" s="19" t="n">
        <v>224560833</v>
      </c>
      <c r="W461" s="17" t="s">
        <v>126</v>
      </c>
      <c r="X461" s="17" t="n">
        <v>0</v>
      </c>
      <c r="Y461" s="17"/>
      <c r="Z461" s="17" t="n">
        <v>0</v>
      </c>
      <c r="AA461" s="17" t="s">
        <v>38</v>
      </c>
      <c r="AB461" s="17"/>
    </row>
    <row r="462" customFormat="false" ht="15" hidden="false" customHeight="false" outlineLevel="0" collapsed="false">
      <c r="A462" s="1" t="str">
        <f aca="false">OFFSET(Table22,461,14,1,1)&amp;OFFSET(Table22,461,21,1,1)</f>
        <v>43352224560833</v>
      </c>
      <c r="B462" s="1" t="str">
        <f aca="false">OFFSET(Table22,461,14,1,1)&amp;OFFSET(Table22,461,22,1,1)</f>
        <v>43352Facebook»Developers/ITPros-Azure Direct-Sponsored Post-Link Ad-FreeAcctRetargetingVMFB-OnDemand-ChE»1x1»SocialBan»LIA»ALL»CPC»BT»X»UNK»SS»NA»Trials_ID</v>
      </c>
      <c r="C462" s="1" t="s">
        <v>28</v>
      </c>
      <c r="D462" s="3" t="n">
        <f aca="false">O462+(7-WEEKDAY(O462))</f>
        <v>43358</v>
      </c>
      <c r="E462" s="1" t="str">
        <f aca="false">VLOOKUP(OFFSET(Table22,461,16,1,1),Key!B:D,2,0)</f>
        <v>France</v>
      </c>
      <c r="F462" s="1" t="str">
        <f aca="false">IF(ISNUMBER(SEARCH("Canvas",U462)),"Link",IF(ISNUMBER(SEARCH("Link",U462)),"Link","Not filled properly"))</f>
        <v>Link</v>
      </c>
      <c r="G462" s="1" t="str">
        <f aca="false">IFERROR(VLOOKUP(OFFSET(Table22,461,21,1,1),OFFSET(Table2,0,1,ROWS(Table2),8),2,0),VLOOKUP(OFFSET(Table22,461,22,1,1),Table2,3,0))</f>
        <v>FRA_gaPMG_AZR_AZR_Q1_19_AzureDirect-Trial-Social</v>
      </c>
      <c r="H462" s="1" t="n">
        <f aca="false">IFERROR(VLOOKUP(OFFSET(Table22,461,21,1,1),OFFSET(Table2,0,1,ROWS(Table2),8),3,0),VLOOKUP(OFFSET(Table22,461,22,1,1),Table2,4,0))</f>
        <v>21356941</v>
      </c>
      <c r="I462" s="2" t="n">
        <f aca="false">IFERROR(VLOOKUP(OFFSET(Table22,461,21,1,1),OFFSET(Table2,0,1,ROWS(Table2),8),4,0),VLOOKUP(OFFSET(Table22,461,22,1,1),Table2,5,0))</f>
        <v>720193</v>
      </c>
      <c r="J462" s="3" t="str">
        <f aca="false">IF(ISNUMBER(SEARCH("FACEBOOK",W462)),"Facebook",IF(ISNUMBER(SEARCH("INSTAGRAM",W462)),"Facebook-Instagram","Look at taxonomy"))</f>
        <v>Facebook</v>
      </c>
      <c r="K462" s="3" t="str">
        <f aca="false">IF(ISNUMBER(SEARCH("Facebook",J462)),"3654128","Not Facebook")</f>
        <v>3654128</v>
      </c>
      <c r="L462" s="3" t="str">
        <f aca="false">IFERROR(VLOOKUP(OFFSET(Table22,461,21,1,1),OFFSET(Table2,0,1,ROWS(Table2),8),7,0),VLOOKUP(OFFSET(Table22,461,22,1,1),Table2,8,0))</f>
        <v>AZR_FreeAcctRetargetingVMFB-OnDemand-ChE_FRA_1200x628_SOC_AZRDirect_French_NA_Facebook_SBAN_SINU_T2_1</v>
      </c>
      <c r="M462" s="2" t="n">
        <f aca="false">IFERROR(VLOOKUP(OFFSET(Table22,461,21,1,1),OFFSET(Table2,0,1,ROWS(Table2),8),8,0),VLOOKUP(OFFSET(Table22,461,22,1,1),Table2,9,0))</f>
        <v>103376990</v>
      </c>
      <c r="N462" s="15" t="s">
        <v>29</v>
      </c>
      <c r="O462" s="16" t="n">
        <v>43352</v>
      </c>
      <c r="P462" s="17" t="s">
        <v>102</v>
      </c>
      <c r="Q462" s="18" t="s">
        <v>103</v>
      </c>
      <c r="R462" s="17" t="s">
        <v>104</v>
      </c>
      <c r="S462" s="18" t="s">
        <v>33</v>
      </c>
      <c r="T462" s="17" t="s">
        <v>34</v>
      </c>
      <c r="U462" s="18" t="s">
        <v>39</v>
      </c>
      <c r="V462" s="19" t="n">
        <v>224560833</v>
      </c>
      <c r="W462" s="17" t="s">
        <v>126</v>
      </c>
      <c r="X462" s="17" t="n">
        <v>0</v>
      </c>
      <c r="Y462" s="17"/>
      <c r="Z462" s="17" t="n">
        <v>0</v>
      </c>
      <c r="AA462" s="17" t="s">
        <v>38</v>
      </c>
      <c r="AB462" s="17"/>
    </row>
    <row r="463" customFormat="false" ht="15" hidden="false" customHeight="false" outlineLevel="0" collapsed="false">
      <c r="A463" s="1" t="str">
        <f aca="false">OFFSET(Table22,462,14,1,1)&amp;OFFSET(Table22,462,21,1,1)</f>
        <v>43358224416915</v>
      </c>
      <c r="B463" s="1" t="str">
        <f aca="false">OFFSET(Table22,462,14,1,1)&amp;OFFSET(Table22,462,22,1,1)</f>
        <v>43358Facebook»Developers/ITPros-Azure Direct-Sponsored Post-Video Ad-FBCTCBasicMotion_FRA_10s_RTG Landing Page»1x1»10s»VIA»ALL»CPC»BT»X»UNK»SS»NA»Trials_ID</v>
      </c>
      <c r="C463" s="1" t="s">
        <v>28</v>
      </c>
      <c r="D463" s="3" t="n">
        <f aca="false">O463+(7-WEEKDAY(O463))</f>
        <v>43358</v>
      </c>
      <c r="E463" s="1" t="str">
        <f aca="false">VLOOKUP(OFFSET(Table22,462,16,1,1),Key!B:D,2,0)</f>
        <v>France</v>
      </c>
      <c r="F463" s="1" t="str">
        <f aca="false">IF(ISNUMBER(SEARCH("Canvas",U463)),"Link",IF(ISNUMBER(SEARCH("Link",U463)),"Link","Not filled properly"))</f>
        <v>Link</v>
      </c>
      <c r="G463" s="1" t="str">
        <f aca="false">IFERROR(VLOOKUP(OFFSET(Table22,462,21,1,1),OFFSET(Table2,0,1,ROWS(Table2),8),2,0),VLOOKUP(OFFSET(Table22,462,22,1,1),Table2,3,0))</f>
        <v>FRA_gaPMG_AZR_AZR_Q1_19_AzureDirect-Trial-Social</v>
      </c>
      <c r="H463" s="1" t="n">
        <f aca="false">IFERROR(VLOOKUP(OFFSET(Table22,462,21,1,1),OFFSET(Table2,0,1,ROWS(Table2),8),3,0),VLOOKUP(OFFSET(Table22,462,22,1,1),Table2,4,0))</f>
        <v>21356941</v>
      </c>
      <c r="I463" s="2" t="n">
        <f aca="false">IFERROR(VLOOKUP(OFFSET(Table22,462,21,1,1),OFFSET(Table2,0,1,ROWS(Table2),8),4,0),VLOOKUP(OFFSET(Table22,462,22,1,1),Table2,5,0))</f>
        <v>720193</v>
      </c>
      <c r="J463" s="3" t="str">
        <f aca="false">IF(ISNUMBER(SEARCH("FACEBOOK",W463)),"Facebook",IF(ISNUMBER(SEARCH("INSTAGRAM",W463)),"Facebook-Instagram","Look at taxonomy"))</f>
        <v>Facebook</v>
      </c>
      <c r="K463" s="3" t="str">
        <f aca="false">IF(ISNUMBER(SEARCH("Facebook",J463)),"3654128","Not Facebook")</f>
        <v>3654128</v>
      </c>
      <c r="L463" s="3" t="str">
        <f aca="false">IFERROR(VLOOKUP(OFFSET(Table22,462,21,1,1),OFFSET(Table2,0,1,ROWS(Table2),8),7,0),VLOOKUP(OFFSET(Table22,462,22,1,1),Table2,8,0))</f>
        <v>AZR_FBCTCBasicMotion_FRA_10s_VIA_AZRDirect_French_NA_Facebook_STAN_TIN_T1_1</v>
      </c>
      <c r="M463" s="2" t="n">
        <f aca="false">IFERROR(VLOOKUP(OFFSET(Table22,462,21,1,1),OFFSET(Table2,0,1,ROWS(Table2),8),8,0),VLOOKUP(OFFSET(Table22,462,22,1,1),Table2,9,0))</f>
        <v>103376981</v>
      </c>
      <c r="N463" s="15" t="s">
        <v>29</v>
      </c>
      <c r="O463" s="16" t="n">
        <v>43358</v>
      </c>
      <c r="P463" s="17" t="s">
        <v>102</v>
      </c>
      <c r="Q463" s="18" t="s">
        <v>103</v>
      </c>
      <c r="R463" s="17" t="s">
        <v>104</v>
      </c>
      <c r="S463" s="18" t="s">
        <v>33</v>
      </c>
      <c r="T463" s="17" t="s">
        <v>34</v>
      </c>
      <c r="U463" s="18" t="s">
        <v>127</v>
      </c>
      <c r="V463" s="19" t="n">
        <v>224416915</v>
      </c>
      <c r="W463" s="17" t="s">
        <v>128</v>
      </c>
      <c r="X463" s="17" t="n">
        <v>0</v>
      </c>
      <c r="Y463" s="17"/>
      <c r="Z463" s="17" t="n">
        <v>0</v>
      </c>
      <c r="AA463" s="17" t="s">
        <v>38</v>
      </c>
      <c r="AB463" s="17"/>
    </row>
    <row r="464" customFormat="false" ht="15" hidden="false" customHeight="false" outlineLevel="0" collapsed="false">
      <c r="A464" s="1" t="str">
        <f aca="false">OFFSET(Table22,463,14,1,1)&amp;OFFSET(Table22,463,21,1,1)</f>
        <v>43358224416915</v>
      </c>
      <c r="B464" s="1" t="str">
        <f aca="false">OFFSET(Table22,463,14,1,1)&amp;OFFSET(Table22,463,22,1,1)</f>
        <v>43358Facebook»Developers/ITPros-Azure Direct-Sponsored Post-Video Ad-FBCTCBasicMotion_FRA_10s_RTG Landing Page»1x1»10s»VIA»ALL»CPC»BT»X»UNK»SS»NA»Trials_ID</v>
      </c>
      <c r="C464" s="1" t="s">
        <v>28</v>
      </c>
      <c r="D464" s="3" t="n">
        <f aca="false">O464+(7-WEEKDAY(O464))</f>
        <v>43358</v>
      </c>
      <c r="E464" s="1" t="str">
        <f aca="false">VLOOKUP(OFFSET(Table22,463,16,1,1),Key!B:D,2,0)</f>
        <v>France</v>
      </c>
      <c r="F464" s="1" t="str">
        <f aca="false">IF(ISNUMBER(SEARCH("Canvas",U464)),"Link",IF(ISNUMBER(SEARCH("Link",U464)),"Link","Not filled properly"))</f>
        <v>Link</v>
      </c>
      <c r="G464" s="1" t="str">
        <f aca="false">IFERROR(VLOOKUP(OFFSET(Table22,463,21,1,1),OFFSET(Table2,0,1,ROWS(Table2),8),2,0),VLOOKUP(OFFSET(Table22,463,22,1,1),Table2,3,0))</f>
        <v>FRA_gaPMG_AZR_AZR_Q1_19_AzureDirect-Trial-Social</v>
      </c>
      <c r="H464" s="1" t="n">
        <f aca="false">IFERROR(VLOOKUP(OFFSET(Table22,463,21,1,1),OFFSET(Table2,0,1,ROWS(Table2),8),3,0),VLOOKUP(OFFSET(Table22,463,22,1,1),Table2,4,0))</f>
        <v>21356941</v>
      </c>
      <c r="I464" s="2" t="n">
        <f aca="false">IFERROR(VLOOKUP(OFFSET(Table22,463,21,1,1),OFFSET(Table2,0,1,ROWS(Table2),8),4,0),VLOOKUP(OFFSET(Table22,463,22,1,1),Table2,5,0))</f>
        <v>720193</v>
      </c>
      <c r="J464" s="3" t="str">
        <f aca="false">IF(ISNUMBER(SEARCH("FACEBOOK",W464)),"Facebook",IF(ISNUMBER(SEARCH("INSTAGRAM",W464)),"Facebook-Instagram","Look at taxonomy"))</f>
        <v>Facebook</v>
      </c>
      <c r="K464" s="3" t="str">
        <f aca="false">IF(ISNUMBER(SEARCH("Facebook",J464)),"3654128","Not Facebook")</f>
        <v>3654128</v>
      </c>
      <c r="L464" s="3" t="str">
        <f aca="false">IFERROR(VLOOKUP(OFFSET(Table22,463,21,1,1),OFFSET(Table2,0,1,ROWS(Table2),8),7,0),VLOOKUP(OFFSET(Table22,463,22,1,1),Table2,8,0))</f>
        <v>AZR_FBCTCBasicMotion_FRA_10s_VIA_AZRDirect_French_NA_Facebook_STAN_TIN_T1_1</v>
      </c>
      <c r="M464" s="2" t="n">
        <f aca="false">IFERROR(VLOOKUP(OFFSET(Table22,463,21,1,1),OFFSET(Table2,0,1,ROWS(Table2),8),8,0),VLOOKUP(OFFSET(Table22,463,22,1,1),Table2,9,0))</f>
        <v>103376981</v>
      </c>
      <c r="N464" s="15" t="s">
        <v>29</v>
      </c>
      <c r="O464" s="16" t="n">
        <v>43358</v>
      </c>
      <c r="P464" s="17" t="s">
        <v>102</v>
      </c>
      <c r="Q464" s="18" t="s">
        <v>103</v>
      </c>
      <c r="R464" s="17" t="s">
        <v>104</v>
      </c>
      <c r="S464" s="18" t="s">
        <v>33</v>
      </c>
      <c r="T464" s="17" t="s">
        <v>34</v>
      </c>
      <c r="U464" s="18" t="s">
        <v>127</v>
      </c>
      <c r="V464" s="19" t="n">
        <v>224416915</v>
      </c>
      <c r="W464" s="17" t="s">
        <v>128</v>
      </c>
      <c r="X464" s="17" t="n">
        <v>0</v>
      </c>
      <c r="Y464" s="17"/>
      <c r="Z464" s="17" t="n">
        <v>0</v>
      </c>
      <c r="AA464" s="17" t="s">
        <v>38</v>
      </c>
      <c r="AB464" s="17"/>
    </row>
    <row r="465" customFormat="false" ht="15" hidden="false" customHeight="false" outlineLevel="0" collapsed="false">
      <c r="A465" s="1" t="str">
        <f aca="false">OFFSET(Table22,464,14,1,1)&amp;OFFSET(Table22,464,21,1,1)</f>
        <v>43358224416915</v>
      </c>
      <c r="B465" s="1" t="str">
        <f aca="false">OFFSET(Table22,464,14,1,1)&amp;OFFSET(Table22,464,22,1,1)</f>
        <v>43358Facebook»Developers/ITPros-Azure Direct-Sponsored Post-Video Ad-FBCTCBasicMotion_FRA_10s_RTG Landing Page»1x1»10s»VIA»ALL»CPC»BT»X»UNK»SS»NA»Trials_ID</v>
      </c>
      <c r="C465" s="1" t="s">
        <v>28</v>
      </c>
      <c r="D465" s="3" t="n">
        <f aca="false">O465+(7-WEEKDAY(O465))</f>
        <v>43358</v>
      </c>
      <c r="E465" s="1" t="str">
        <f aca="false">VLOOKUP(OFFSET(Table22,464,16,1,1),Key!B:D,2,0)</f>
        <v>France</v>
      </c>
      <c r="F465" s="1" t="str">
        <f aca="false">IF(ISNUMBER(SEARCH("Canvas",U465)),"Link",IF(ISNUMBER(SEARCH("Link",U465)),"Link","Not filled properly"))</f>
        <v>Link</v>
      </c>
      <c r="G465" s="1" t="str">
        <f aca="false">IFERROR(VLOOKUP(OFFSET(Table22,464,21,1,1),OFFSET(Table2,0,1,ROWS(Table2),8),2,0),VLOOKUP(OFFSET(Table22,464,22,1,1),Table2,3,0))</f>
        <v>FRA_gaPMG_AZR_AZR_Q1_19_AzureDirect-Trial-Social</v>
      </c>
      <c r="H465" s="1" t="n">
        <f aca="false">IFERROR(VLOOKUP(OFFSET(Table22,464,21,1,1),OFFSET(Table2,0,1,ROWS(Table2),8),3,0),VLOOKUP(OFFSET(Table22,464,22,1,1),Table2,4,0))</f>
        <v>21356941</v>
      </c>
      <c r="I465" s="2" t="n">
        <f aca="false">IFERROR(VLOOKUP(OFFSET(Table22,464,21,1,1),OFFSET(Table2,0,1,ROWS(Table2),8),4,0),VLOOKUP(OFFSET(Table22,464,22,1,1),Table2,5,0))</f>
        <v>720193</v>
      </c>
      <c r="J465" s="3" t="str">
        <f aca="false">IF(ISNUMBER(SEARCH("FACEBOOK",W465)),"Facebook",IF(ISNUMBER(SEARCH("INSTAGRAM",W465)),"Facebook-Instagram","Look at taxonomy"))</f>
        <v>Facebook</v>
      </c>
      <c r="K465" s="3" t="str">
        <f aca="false">IF(ISNUMBER(SEARCH("Facebook",J465)),"3654128","Not Facebook")</f>
        <v>3654128</v>
      </c>
      <c r="L465" s="3" t="str">
        <f aca="false">IFERROR(VLOOKUP(OFFSET(Table22,464,21,1,1),OFFSET(Table2,0,1,ROWS(Table2),8),7,0),VLOOKUP(OFFSET(Table22,464,22,1,1),Table2,8,0))</f>
        <v>AZR_FBCTCBasicMotion_FRA_10s_VIA_AZRDirect_French_NA_Facebook_STAN_TIN_T1_1</v>
      </c>
      <c r="M465" s="2" t="n">
        <f aca="false">IFERROR(VLOOKUP(OFFSET(Table22,464,21,1,1),OFFSET(Table2,0,1,ROWS(Table2),8),8,0),VLOOKUP(OFFSET(Table22,464,22,1,1),Table2,9,0))</f>
        <v>103376981</v>
      </c>
      <c r="N465" s="15" t="s">
        <v>29</v>
      </c>
      <c r="O465" s="16" t="n">
        <v>43358</v>
      </c>
      <c r="P465" s="17" t="s">
        <v>102</v>
      </c>
      <c r="Q465" s="18" t="s">
        <v>103</v>
      </c>
      <c r="R465" s="17" t="s">
        <v>104</v>
      </c>
      <c r="S465" s="18" t="s">
        <v>33</v>
      </c>
      <c r="T465" s="17" t="s">
        <v>34</v>
      </c>
      <c r="U465" s="18" t="s">
        <v>127</v>
      </c>
      <c r="V465" s="19" t="n">
        <v>224416915</v>
      </c>
      <c r="W465" s="17" t="s">
        <v>128</v>
      </c>
      <c r="X465" s="17" t="n">
        <v>8592</v>
      </c>
      <c r="Y465" s="17" t="n">
        <v>117</v>
      </c>
      <c r="Z465" s="17" t="n">
        <v>85.54</v>
      </c>
      <c r="AA465" s="17" t="s">
        <v>38</v>
      </c>
      <c r="AB465" s="17"/>
    </row>
    <row r="466" customFormat="false" ht="15" hidden="false" customHeight="false" outlineLevel="0" collapsed="false">
      <c r="A466" s="1" t="str">
        <f aca="false">OFFSET(Table22,465,14,1,1)&amp;OFFSET(Table22,465,21,1,1)</f>
        <v>43358224416915</v>
      </c>
      <c r="B466" s="1" t="str">
        <f aca="false">OFFSET(Table22,465,14,1,1)&amp;OFFSET(Table22,465,22,1,1)</f>
        <v>43358Facebook»Developers/ITPros-Azure Direct-Sponsored Post-Video Ad-FBCTCBasicMotion_FRA_10s_RTG Landing Page»1x1»10s»VIA»ALL»CPC»BT»X»UNK»SS»NA»Trials_ID</v>
      </c>
      <c r="C466" s="1" t="s">
        <v>28</v>
      </c>
      <c r="D466" s="3" t="n">
        <f aca="false">O466+(7-WEEKDAY(O466))</f>
        <v>43358</v>
      </c>
      <c r="E466" s="1" t="str">
        <f aca="false">VLOOKUP(OFFSET(Table22,465,16,1,1),Key!B:D,2,0)</f>
        <v>France</v>
      </c>
      <c r="F466" s="1" t="str">
        <f aca="false">IF(ISNUMBER(SEARCH("Canvas",U466)),"Link",IF(ISNUMBER(SEARCH("Link",U466)),"Link","Not filled properly"))</f>
        <v>Link</v>
      </c>
      <c r="G466" s="1" t="str">
        <f aca="false">IFERROR(VLOOKUP(OFFSET(Table22,465,21,1,1),OFFSET(Table2,0,1,ROWS(Table2),8),2,0),VLOOKUP(OFFSET(Table22,465,22,1,1),Table2,3,0))</f>
        <v>FRA_gaPMG_AZR_AZR_Q1_19_AzureDirect-Trial-Social</v>
      </c>
      <c r="H466" s="1" t="n">
        <f aca="false">IFERROR(VLOOKUP(OFFSET(Table22,465,21,1,1),OFFSET(Table2,0,1,ROWS(Table2),8),3,0),VLOOKUP(OFFSET(Table22,465,22,1,1),Table2,4,0))</f>
        <v>21356941</v>
      </c>
      <c r="I466" s="2" t="n">
        <f aca="false">IFERROR(VLOOKUP(OFFSET(Table22,465,21,1,1),OFFSET(Table2,0,1,ROWS(Table2),8),4,0),VLOOKUP(OFFSET(Table22,465,22,1,1),Table2,5,0))</f>
        <v>720193</v>
      </c>
      <c r="J466" s="3" t="str">
        <f aca="false">IF(ISNUMBER(SEARCH("FACEBOOK",W466)),"Facebook",IF(ISNUMBER(SEARCH("INSTAGRAM",W466)),"Facebook-Instagram","Look at taxonomy"))</f>
        <v>Facebook</v>
      </c>
      <c r="K466" s="3" t="str">
        <f aca="false">IF(ISNUMBER(SEARCH("Facebook",J466)),"3654128","Not Facebook")</f>
        <v>3654128</v>
      </c>
      <c r="L466" s="3" t="str">
        <f aca="false">IFERROR(VLOOKUP(OFFSET(Table22,465,21,1,1),OFFSET(Table2,0,1,ROWS(Table2),8),7,0),VLOOKUP(OFFSET(Table22,465,22,1,1),Table2,8,0))</f>
        <v>AZR_FBCTCBasicMotion_FRA_10s_VIA_AZRDirect_French_NA_Facebook_STAN_TIN_T1_1</v>
      </c>
      <c r="M466" s="2" t="n">
        <f aca="false">IFERROR(VLOOKUP(OFFSET(Table22,465,21,1,1),OFFSET(Table2,0,1,ROWS(Table2),8),8,0),VLOOKUP(OFFSET(Table22,465,22,1,1),Table2,9,0))</f>
        <v>103376981</v>
      </c>
      <c r="N466" s="15" t="s">
        <v>29</v>
      </c>
      <c r="O466" s="16" t="n">
        <v>43358</v>
      </c>
      <c r="P466" s="17" t="s">
        <v>102</v>
      </c>
      <c r="Q466" s="18" t="s">
        <v>103</v>
      </c>
      <c r="R466" s="17" t="s">
        <v>104</v>
      </c>
      <c r="S466" s="18" t="s">
        <v>33</v>
      </c>
      <c r="T466" s="17" t="s">
        <v>34</v>
      </c>
      <c r="U466" s="18" t="s">
        <v>127</v>
      </c>
      <c r="V466" s="19" t="n">
        <v>224416915</v>
      </c>
      <c r="W466" s="17" t="s">
        <v>128</v>
      </c>
      <c r="X466" s="17" t="n">
        <v>52</v>
      </c>
      <c r="Y466" s="17" t="n">
        <v>2</v>
      </c>
      <c r="Z466" s="17" t="n">
        <v>0.46</v>
      </c>
      <c r="AA466" s="17" t="s">
        <v>38</v>
      </c>
      <c r="AB466" s="17"/>
    </row>
    <row r="467" customFormat="false" ht="15" hidden="false" customHeight="false" outlineLevel="0" collapsed="false">
      <c r="A467" s="1" t="str">
        <f aca="false">OFFSET(Table22,466,14,1,1)&amp;OFFSET(Table22,466,21,1,1)</f>
        <v>43357224416915</v>
      </c>
      <c r="B467" s="1" t="str">
        <f aca="false">OFFSET(Table22,466,14,1,1)&amp;OFFSET(Table22,466,22,1,1)</f>
        <v>43357Facebook»Developers/ITPros-Azure Direct-Sponsored Post-Video Ad-FBCTCBasicMotion_FRA_10s_RTG Landing Page»1x1»10s»VIA»ALL»CPC»BT»X»UNK»SS»NA»Trials_ID</v>
      </c>
      <c r="C467" s="1" t="s">
        <v>28</v>
      </c>
      <c r="D467" s="3" t="n">
        <f aca="false">O467+(7-WEEKDAY(O467))</f>
        <v>43358</v>
      </c>
      <c r="E467" s="1" t="str">
        <f aca="false">VLOOKUP(OFFSET(Table22,466,16,1,1),Key!B:D,2,0)</f>
        <v>France</v>
      </c>
      <c r="F467" s="1" t="str">
        <f aca="false">IF(ISNUMBER(SEARCH("Canvas",U467)),"Link",IF(ISNUMBER(SEARCH("Link",U467)),"Link","Not filled properly"))</f>
        <v>Link</v>
      </c>
      <c r="G467" s="1" t="str">
        <f aca="false">IFERROR(VLOOKUP(OFFSET(Table22,466,21,1,1),OFFSET(Table2,0,1,ROWS(Table2),8),2,0),VLOOKUP(OFFSET(Table22,466,22,1,1),Table2,3,0))</f>
        <v>FRA_gaPMG_AZR_AZR_Q1_19_AzureDirect-Trial-Social</v>
      </c>
      <c r="H467" s="1" t="n">
        <f aca="false">IFERROR(VLOOKUP(OFFSET(Table22,466,21,1,1),OFFSET(Table2,0,1,ROWS(Table2),8),3,0),VLOOKUP(OFFSET(Table22,466,22,1,1),Table2,4,0))</f>
        <v>21356941</v>
      </c>
      <c r="I467" s="2" t="n">
        <f aca="false">IFERROR(VLOOKUP(OFFSET(Table22,466,21,1,1),OFFSET(Table2,0,1,ROWS(Table2),8),4,0),VLOOKUP(OFFSET(Table22,466,22,1,1),Table2,5,0))</f>
        <v>720193</v>
      </c>
      <c r="J467" s="3" t="str">
        <f aca="false">IF(ISNUMBER(SEARCH("FACEBOOK",W467)),"Facebook",IF(ISNUMBER(SEARCH("INSTAGRAM",W467)),"Facebook-Instagram","Look at taxonomy"))</f>
        <v>Facebook</v>
      </c>
      <c r="K467" s="3" t="str">
        <f aca="false">IF(ISNUMBER(SEARCH("Facebook",J467)),"3654128","Not Facebook")</f>
        <v>3654128</v>
      </c>
      <c r="L467" s="3" t="str">
        <f aca="false">IFERROR(VLOOKUP(OFFSET(Table22,466,21,1,1),OFFSET(Table2,0,1,ROWS(Table2),8),7,0),VLOOKUP(OFFSET(Table22,466,22,1,1),Table2,8,0))</f>
        <v>AZR_FBCTCBasicMotion_FRA_10s_VIA_AZRDirect_French_NA_Facebook_STAN_TIN_T1_1</v>
      </c>
      <c r="M467" s="2" t="n">
        <f aca="false">IFERROR(VLOOKUP(OFFSET(Table22,466,21,1,1),OFFSET(Table2,0,1,ROWS(Table2),8),8,0),VLOOKUP(OFFSET(Table22,466,22,1,1),Table2,9,0))</f>
        <v>103376981</v>
      </c>
      <c r="N467" s="15" t="s">
        <v>29</v>
      </c>
      <c r="O467" s="16" t="n">
        <v>43357</v>
      </c>
      <c r="P467" s="17" t="s">
        <v>102</v>
      </c>
      <c r="Q467" s="18" t="s">
        <v>103</v>
      </c>
      <c r="R467" s="17" t="s">
        <v>104</v>
      </c>
      <c r="S467" s="18" t="s">
        <v>33</v>
      </c>
      <c r="T467" s="17" t="s">
        <v>34</v>
      </c>
      <c r="U467" s="18" t="s">
        <v>127</v>
      </c>
      <c r="V467" s="19" t="n">
        <v>224416915</v>
      </c>
      <c r="W467" s="17" t="s">
        <v>128</v>
      </c>
      <c r="X467" s="17" t="n">
        <v>7702</v>
      </c>
      <c r="Y467" s="17" t="n">
        <v>99</v>
      </c>
      <c r="Z467" s="17" t="n">
        <v>85.15</v>
      </c>
      <c r="AA467" s="17" t="s">
        <v>38</v>
      </c>
      <c r="AB467" s="17"/>
    </row>
    <row r="468" customFormat="false" ht="15" hidden="false" customHeight="false" outlineLevel="0" collapsed="false">
      <c r="A468" s="1" t="str">
        <f aca="false">OFFSET(Table22,467,14,1,1)&amp;OFFSET(Table22,467,21,1,1)</f>
        <v>43357224416915</v>
      </c>
      <c r="B468" s="1" t="str">
        <f aca="false">OFFSET(Table22,467,14,1,1)&amp;OFFSET(Table22,467,22,1,1)</f>
        <v>43357Facebook»Developers/ITPros-Azure Direct-Sponsored Post-Video Ad-FBCTCBasicMotion_FRA_10s_RTG Landing Page»1x1»10s»VIA»ALL»CPC»BT»X»UNK»SS»NA»Trials_ID</v>
      </c>
      <c r="C468" s="1" t="s">
        <v>28</v>
      </c>
      <c r="D468" s="3" t="n">
        <f aca="false">O468+(7-WEEKDAY(O468))</f>
        <v>43358</v>
      </c>
      <c r="E468" s="1" t="str">
        <f aca="false">VLOOKUP(OFFSET(Table22,467,16,1,1),Key!B:D,2,0)</f>
        <v>France</v>
      </c>
      <c r="F468" s="1" t="str">
        <f aca="false">IF(ISNUMBER(SEARCH("Canvas",U468)),"Link",IF(ISNUMBER(SEARCH("Link",U468)),"Link","Not filled properly"))</f>
        <v>Link</v>
      </c>
      <c r="G468" s="1" t="str">
        <f aca="false">IFERROR(VLOOKUP(OFFSET(Table22,467,21,1,1),OFFSET(Table2,0,1,ROWS(Table2),8),2,0),VLOOKUP(OFFSET(Table22,467,22,1,1),Table2,3,0))</f>
        <v>FRA_gaPMG_AZR_AZR_Q1_19_AzureDirect-Trial-Social</v>
      </c>
      <c r="H468" s="1" t="n">
        <f aca="false">IFERROR(VLOOKUP(OFFSET(Table22,467,21,1,1),OFFSET(Table2,0,1,ROWS(Table2),8),3,0),VLOOKUP(OFFSET(Table22,467,22,1,1),Table2,4,0))</f>
        <v>21356941</v>
      </c>
      <c r="I468" s="2" t="n">
        <f aca="false">IFERROR(VLOOKUP(OFFSET(Table22,467,21,1,1),OFFSET(Table2,0,1,ROWS(Table2),8),4,0),VLOOKUP(OFFSET(Table22,467,22,1,1),Table2,5,0))</f>
        <v>720193</v>
      </c>
      <c r="J468" s="3" t="str">
        <f aca="false">IF(ISNUMBER(SEARCH("FACEBOOK",W468)),"Facebook",IF(ISNUMBER(SEARCH("INSTAGRAM",W468)),"Facebook-Instagram","Look at taxonomy"))</f>
        <v>Facebook</v>
      </c>
      <c r="K468" s="3" t="str">
        <f aca="false">IF(ISNUMBER(SEARCH("Facebook",J468)),"3654128","Not Facebook")</f>
        <v>3654128</v>
      </c>
      <c r="L468" s="3" t="str">
        <f aca="false">IFERROR(VLOOKUP(OFFSET(Table22,467,21,1,1),OFFSET(Table2,0,1,ROWS(Table2),8),7,0),VLOOKUP(OFFSET(Table22,467,22,1,1),Table2,8,0))</f>
        <v>AZR_FBCTCBasicMotion_FRA_10s_VIA_AZRDirect_French_NA_Facebook_STAN_TIN_T1_1</v>
      </c>
      <c r="M468" s="2" t="n">
        <f aca="false">IFERROR(VLOOKUP(OFFSET(Table22,467,21,1,1),OFFSET(Table2,0,1,ROWS(Table2),8),8,0),VLOOKUP(OFFSET(Table22,467,22,1,1),Table2,9,0))</f>
        <v>103376981</v>
      </c>
      <c r="N468" s="15" t="s">
        <v>29</v>
      </c>
      <c r="O468" s="16" t="n">
        <v>43357</v>
      </c>
      <c r="P468" s="17" t="s">
        <v>102</v>
      </c>
      <c r="Q468" s="18" t="s">
        <v>103</v>
      </c>
      <c r="R468" s="17" t="s">
        <v>104</v>
      </c>
      <c r="S468" s="18" t="s">
        <v>33</v>
      </c>
      <c r="T468" s="17" t="s">
        <v>34</v>
      </c>
      <c r="U468" s="18" t="s">
        <v>127</v>
      </c>
      <c r="V468" s="19" t="n">
        <v>224416915</v>
      </c>
      <c r="W468" s="17" t="s">
        <v>128</v>
      </c>
      <c r="X468" s="17" t="n">
        <v>51</v>
      </c>
      <c r="Y468" s="17"/>
      <c r="Z468" s="17" t="n">
        <v>0.41</v>
      </c>
      <c r="AA468" s="17" t="s">
        <v>38</v>
      </c>
      <c r="AB468" s="17"/>
    </row>
    <row r="469" customFormat="false" ht="15" hidden="false" customHeight="false" outlineLevel="0" collapsed="false">
      <c r="A469" s="1" t="str">
        <f aca="false">OFFSET(Table22,468,14,1,1)&amp;OFFSET(Table22,468,21,1,1)</f>
        <v>43357224416915</v>
      </c>
      <c r="B469" s="1" t="str">
        <f aca="false">OFFSET(Table22,468,14,1,1)&amp;OFFSET(Table22,468,22,1,1)</f>
        <v>43357Facebook»Developers/ITPros-Azure Direct-Sponsored Post-Video Ad-FBCTCBasicMotion_FRA_10s_RTG Landing Page»1x1»10s»VIA»ALL»CPC»BT»X»UNK»SS»NA»Trials_ID</v>
      </c>
      <c r="C469" s="1" t="s">
        <v>28</v>
      </c>
      <c r="D469" s="3" t="n">
        <f aca="false">O469+(7-WEEKDAY(O469))</f>
        <v>43358</v>
      </c>
      <c r="E469" s="1" t="str">
        <f aca="false">VLOOKUP(OFFSET(Table22,468,16,1,1),Key!B:D,2,0)</f>
        <v>France</v>
      </c>
      <c r="F469" s="1" t="str">
        <f aca="false">IF(ISNUMBER(SEARCH("Canvas",U469)),"Link",IF(ISNUMBER(SEARCH("Link",U469)),"Link","Not filled properly"))</f>
        <v>Link</v>
      </c>
      <c r="G469" s="1" t="str">
        <f aca="false">IFERROR(VLOOKUP(OFFSET(Table22,468,21,1,1),OFFSET(Table2,0,1,ROWS(Table2),8),2,0),VLOOKUP(OFFSET(Table22,468,22,1,1),Table2,3,0))</f>
        <v>FRA_gaPMG_AZR_AZR_Q1_19_AzureDirect-Trial-Social</v>
      </c>
      <c r="H469" s="1" t="n">
        <f aca="false">IFERROR(VLOOKUP(OFFSET(Table22,468,21,1,1),OFFSET(Table2,0,1,ROWS(Table2),8),3,0),VLOOKUP(OFFSET(Table22,468,22,1,1),Table2,4,0))</f>
        <v>21356941</v>
      </c>
      <c r="I469" s="2" t="n">
        <f aca="false">IFERROR(VLOOKUP(OFFSET(Table22,468,21,1,1),OFFSET(Table2,0,1,ROWS(Table2),8),4,0),VLOOKUP(OFFSET(Table22,468,22,1,1),Table2,5,0))</f>
        <v>720193</v>
      </c>
      <c r="J469" s="3" t="str">
        <f aca="false">IF(ISNUMBER(SEARCH("FACEBOOK",W469)),"Facebook",IF(ISNUMBER(SEARCH("INSTAGRAM",W469)),"Facebook-Instagram","Look at taxonomy"))</f>
        <v>Facebook</v>
      </c>
      <c r="K469" s="3" t="str">
        <f aca="false">IF(ISNUMBER(SEARCH("Facebook",J469)),"3654128","Not Facebook")</f>
        <v>3654128</v>
      </c>
      <c r="L469" s="3" t="str">
        <f aca="false">IFERROR(VLOOKUP(OFFSET(Table22,468,21,1,1),OFFSET(Table2,0,1,ROWS(Table2),8),7,0),VLOOKUP(OFFSET(Table22,468,22,1,1),Table2,8,0))</f>
        <v>AZR_FBCTCBasicMotion_FRA_10s_VIA_AZRDirect_French_NA_Facebook_STAN_TIN_T1_1</v>
      </c>
      <c r="M469" s="2" t="n">
        <f aca="false">IFERROR(VLOOKUP(OFFSET(Table22,468,21,1,1),OFFSET(Table2,0,1,ROWS(Table2),8),8,0),VLOOKUP(OFFSET(Table22,468,22,1,1),Table2,9,0))</f>
        <v>103376981</v>
      </c>
      <c r="N469" s="15" t="s">
        <v>29</v>
      </c>
      <c r="O469" s="16" t="n">
        <v>43357</v>
      </c>
      <c r="P469" s="17" t="s">
        <v>102</v>
      </c>
      <c r="Q469" s="18" t="s">
        <v>103</v>
      </c>
      <c r="R469" s="17" t="s">
        <v>104</v>
      </c>
      <c r="S469" s="18" t="s">
        <v>33</v>
      </c>
      <c r="T469" s="17" t="s">
        <v>34</v>
      </c>
      <c r="U469" s="18" t="s">
        <v>127</v>
      </c>
      <c r="V469" s="19" t="n">
        <v>224416915</v>
      </c>
      <c r="W469" s="17" t="s">
        <v>128</v>
      </c>
      <c r="X469" s="17" t="n">
        <v>0</v>
      </c>
      <c r="Y469" s="17"/>
      <c r="Z469" s="17" t="n">
        <v>0</v>
      </c>
      <c r="AA469" s="17" t="s">
        <v>38</v>
      </c>
      <c r="AB469" s="17"/>
    </row>
    <row r="470" customFormat="false" ht="15" hidden="false" customHeight="false" outlineLevel="0" collapsed="false">
      <c r="A470" s="1" t="str">
        <f aca="false">OFFSET(Table22,469,14,1,1)&amp;OFFSET(Table22,469,21,1,1)</f>
        <v>43357224416915</v>
      </c>
      <c r="B470" s="1" t="str">
        <f aca="false">OFFSET(Table22,469,14,1,1)&amp;OFFSET(Table22,469,22,1,1)</f>
        <v>43357Facebook»Developers/ITPros-Azure Direct-Sponsored Post-Video Ad-FBCTCBasicMotion_FRA_10s_RTG Landing Page»1x1»10s»VIA»ALL»CPC»BT»X»UNK»SS»NA»Trials_ID</v>
      </c>
      <c r="C470" s="1" t="s">
        <v>28</v>
      </c>
      <c r="D470" s="3" t="n">
        <f aca="false">O470+(7-WEEKDAY(O470))</f>
        <v>43358</v>
      </c>
      <c r="E470" s="1" t="str">
        <f aca="false">VLOOKUP(OFFSET(Table22,469,16,1,1),Key!B:D,2,0)</f>
        <v>France</v>
      </c>
      <c r="F470" s="1" t="str">
        <f aca="false">IF(ISNUMBER(SEARCH("Canvas",U470)),"Link",IF(ISNUMBER(SEARCH("Link",U470)),"Link","Not filled properly"))</f>
        <v>Link</v>
      </c>
      <c r="G470" s="1" t="str">
        <f aca="false">IFERROR(VLOOKUP(OFFSET(Table22,469,21,1,1),OFFSET(Table2,0,1,ROWS(Table2),8),2,0),VLOOKUP(OFFSET(Table22,469,22,1,1),Table2,3,0))</f>
        <v>FRA_gaPMG_AZR_AZR_Q1_19_AzureDirect-Trial-Social</v>
      </c>
      <c r="H470" s="1" t="n">
        <f aca="false">IFERROR(VLOOKUP(OFFSET(Table22,469,21,1,1),OFFSET(Table2,0,1,ROWS(Table2),8),3,0),VLOOKUP(OFFSET(Table22,469,22,1,1),Table2,4,0))</f>
        <v>21356941</v>
      </c>
      <c r="I470" s="2" t="n">
        <f aca="false">IFERROR(VLOOKUP(OFFSET(Table22,469,21,1,1),OFFSET(Table2,0,1,ROWS(Table2),8),4,0),VLOOKUP(OFFSET(Table22,469,22,1,1),Table2,5,0))</f>
        <v>720193</v>
      </c>
      <c r="J470" s="3" t="str">
        <f aca="false">IF(ISNUMBER(SEARCH("FACEBOOK",W470)),"Facebook",IF(ISNUMBER(SEARCH("INSTAGRAM",W470)),"Facebook-Instagram","Look at taxonomy"))</f>
        <v>Facebook</v>
      </c>
      <c r="K470" s="3" t="str">
        <f aca="false">IF(ISNUMBER(SEARCH("Facebook",J470)),"3654128","Not Facebook")</f>
        <v>3654128</v>
      </c>
      <c r="L470" s="3" t="str">
        <f aca="false">IFERROR(VLOOKUP(OFFSET(Table22,469,21,1,1),OFFSET(Table2,0,1,ROWS(Table2),8),7,0),VLOOKUP(OFFSET(Table22,469,22,1,1),Table2,8,0))</f>
        <v>AZR_FBCTCBasicMotion_FRA_10s_VIA_AZRDirect_French_NA_Facebook_STAN_TIN_T1_1</v>
      </c>
      <c r="M470" s="2" t="n">
        <f aca="false">IFERROR(VLOOKUP(OFFSET(Table22,469,21,1,1),OFFSET(Table2,0,1,ROWS(Table2),8),8,0),VLOOKUP(OFFSET(Table22,469,22,1,1),Table2,9,0))</f>
        <v>103376981</v>
      </c>
      <c r="N470" s="15" t="s">
        <v>29</v>
      </c>
      <c r="O470" s="16" t="n">
        <v>43357</v>
      </c>
      <c r="P470" s="17" t="s">
        <v>102</v>
      </c>
      <c r="Q470" s="18" t="s">
        <v>103</v>
      </c>
      <c r="R470" s="17" t="s">
        <v>104</v>
      </c>
      <c r="S470" s="18" t="s">
        <v>33</v>
      </c>
      <c r="T470" s="17" t="s">
        <v>34</v>
      </c>
      <c r="U470" s="18" t="s">
        <v>127</v>
      </c>
      <c r="V470" s="19" t="n">
        <v>224416915</v>
      </c>
      <c r="W470" s="17" t="s">
        <v>128</v>
      </c>
      <c r="X470" s="17" t="n">
        <v>0</v>
      </c>
      <c r="Y470" s="17"/>
      <c r="Z470" s="17" t="n">
        <v>0</v>
      </c>
      <c r="AA470" s="17" t="s">
        <v>38</v>
      </c>
      <c r="AB470" s="17"/>
    </row>
    <row r="471" customFormat="false" ht="15" hidden="false" customHeight="false" outlineLevel="0" collapsed="false">
      <c r="A471" s="1" t="str">
        <f aca="false">OFFSET(Table22,470,14,1,1)&amp;OFFSET(Table22,470,21,1,1)</f>
        <v>43356224416915</v>
      </c>
      <c r="B471" s="1" t="str">
        <f aca="false">OFFSET(Table22,470,14,1,1)&amp;OFFSET(Table22,470,22,1,1)</f>
        <v>43356Facebook»Developers/ITPros-Azure Direct-Sponsored Post-Video Ad-FBCTCBasicMotion_FRA_10s_RTG Landing Page»1x1»10s»VIA»ALL»CPC»BT»X»UNK»SS»NA»Trials_ID</v>
      </c>
      <c r="C471" s="1" t="s">
        <v>28</v>
      </c>
      <c r="D471" s="3" t="n">
        <f aca="false">O471+(7-WEEKDAY(O471))</f>
        <v>43358</v>
      </c>
      <c r="E471" s="1" t="str">
        <f aca="false">VLOOKUP(OFFSET(Table22,470,16,1,1),Key!B:D,2,0)</f>
        <v>France</v>
      </c>
      <c r="F471" s="1" t="str">
        <f aca="false">IF(ISNUMBER(SEARCH("Canvas",U471)),"Link",IF(ISNUMBER(SEARCH("Link",U471)),"Link","Not filled properly"))</f>
        <v>Link</v>
      </c>
      <c r="G471" s="1" t="str">
        <f aca="false">IFERROR(VLOOKUP(OFFSET(Table22,470,21,1,1),OFFSET(Table2,0,1,ROWS(Table2),8),2,0),VLOOKUP(OFFSET(Table22,470,22,1,1),Table2,3,0))</f>
        <v>FRA_gaPMG_AZR_AZR_Q1_19_AzureDirect-Trial-Social</v>
      </c>
      <c r="H471" s="1" t="n">
        <f aca="false">IFERROR(VLOOKUP(OFFSET(Table22,470,21,1,1),OFFSET(Table2,0,1,ROWS(Table2),8),3,0),VLOOKUP(OFFSET(Table22,470,22,1,1),Table2,4,0))</f>
        <v>21356941</v>
      </c>
      <c r="I471" s="2" t="n">
        <f aca="false">IFERROR(VLOOKUP(OFFSET(Table22,470,21,1,1),OFFSET(Table2,0,1,ROWS(Table2),8),4,0),VLOOKUP(OFFSET(Table22,470,22,1,1),Table2,5,0))</f>
        <v>720193</v>
      </c>
      <c r="J471" s="3" t="str">
        <f aca="false">IF(ISNUMBER(SEARCH("FACEBOOK",W471)),"Facebook",IF(ISNUMBER(SEARCH("INSTAGRAM",W471)),"Facebook-Instagram","Look at taxonomy"))</f>
        <v>Facebook</v>
      </c>
      <c r="K471" s="3" t="str">
        <f aca="false">IF(ISNUMBER(SEARCH("Facebook",J471)),"3654128","Not Facebook")</f>
        <v>3654128</v>
      </c>
      <c r="L471" s="3" t="str">
        <f aca="false">IFERROR(VLOOKUP(OFFSET(Table22,470,21,1,1),OFFSET(Table2,0,1,ROWS(Table2),8),7,0),VLOOKUP(OFFSET(Table22,470,22,1,1),Table2,8,0))</f>
        <v>AZR_FBCTCBasicMotion_FRA_10s_VIA_AZRDirect_French_NA_Facebook_STAN_TIN_T1_1</v>
      </c>
      <c r="M471" s="2" t="n">
        <f aca="false">IFERROR(VLOOKUP(OFFSET(Table22,470,21,1,1),OFFSET(Table2,0,1,ROWS(Table2),8),8,0),VLOOKUP(OFFSET(Table22,470,22,1,1),Table2,9,0))</f>
        <v>103376981</v>
      </c>
      <c r="N471" s="15" t="s">
        <v>29</v>
      </c>
      <c r="O471" s="16" t="n">
        <v>43356</v>
      </c>
      <c r="P471" s="17" t="s">
        <v>102</v>
      </c>
      <c r="Q471" s="18" t="s">
        <v>103</v>
      </c>
      <c r="R471" s="17" t="s">
        <v>104</v>
      </c>
      <c r="S471" s="18" t="s">
        <v>33</v>
      </c>
      <c r="T471" s="17" t="s">
        <v>34</v>
      </c>
      <c r="U471" s="18" t="s">
        <v>127</v>
      </c>
      <c r="V471" s="19" t="n">
        <v>224416915</v>
      </c>
      <c r="W471" s="17" t="s">
        <v>128</v>
      </c>
      <c r="X471" s="17" t="n">
        <v>0</v>
      </c>
      <c r="Y471" s="17"/>
      <c r="Z471" s="17" t="n">
        <v>0</v>
      </c>
      <c r="AA471" s="17" t="s">
        <v>38</v>
      </c>
      <c r="AB471" s="17"/>
    </row>
    <row r="472" customFormat="false" ht="15" hidden="false" customHeight="false" outlineLevel="0" collapsed="false">
      <c r="A472" s="1" t="str">
        <f aca="false">OFFSET(Table22,471,14,1,1)&amp;OFFSET(Table22,471,21,1,1)</f>
        <v>43356224416915</v>
      </c>
      <c r="B472" s="1" t="str">
        <f aca="false">OFFSET(Table22,471,14,1,1)&amp;OFFSET(Table22,471,22,1,1)</f>
        <v>43356Facebook»Developers/ITPros-Azure Direct-Sponsored Post-Video Ad-FBCTCBasicMotion_FRA_10s_RTG Landing Page»1x1»10s»VIA»ALL»CPC»BT»X»UNK»SS»NA»Trials_ID</v>
      </c>
      <c r="C472" s="1" t="s">
        <v>28</v>
      </c>
      <c r="D472" s="3" t="n">
        <f aca="false">O472+(7-WEEKDAY(O472))</f>
        <v>43358</v>
      </c>
      <c r="E472" s="1" t="str">
        <f aca="false">VLOOKUP(OFFSET(Table22,471,16,1,1),Key!B:D,2,0)</f>
        <v>France</v>
      </c>
      <c r="F472" s="1" t="str">
        <f aca="false">IF(ISNUMBER(SEARCH("Canvas",U472)),"Link",IF(ISNUMBER(SEARCH("Link",U472)),"Link","Not filled properly"))</f>
        <v>Link</v>
      </c>
      <c r="G472" s="1" t="str">
        <f aca="false">IFERROR(VLOOKUP(OFFSET(Table22,471,21,1,1),OFFSET(Table2,0,1,ROWS(Table2),8),2,0),VLOOKUP(OFFSET(Table22,471,22,1,1),Table2,3,0))</f>
        <v>FRA_gaPMG_AZR_AZR_Q1_19_AzureDirect-Trial-Social</v>
      </c>
      <c r="H472" s="1" t="n">
        <f aca="false">IFERROR(VLOOKUP(OFFSET(Table22,471,21,1,1),OFFSET(Table2,0,1,ROWS(Table2),8),3,0),VLOOKUP(OFFSET(Table22,471,22,1,1),Table2,4,0))</f>
        <v>21356941</v>
      </c>
      <c r="I472" s="2" t="n">
        <f aca="false">IFERROR(VLOOKUP(OFFSET(Table22,471,21,1,1),OFFSET(Table2,0,1,ROWS(Table2),8),4,0),VLOOKUP(OFFSET(Table22,471,22,1,1),Table2,5,0))</f>
        <v>720193</v>
      </c>
      <c r="J472" s="3" t="str">
        <f aca="false">IF(ISNUMBER(SEARCH("FACEBOOK",W472)),"Facebook",IF(ISNUMBER(SEARCH("INSTAGRAM",W472)),"Facebook-Instagram","Look at taxonomy"))</f>
        <v>Facebook</v>
      </c>
      <c r="K472" s="3" t="str">
        <f aca="false">IF(ISNUMBER(SEARCH("Facebook",J472)),"3654128","Not Facebook")</f>
        <v>3654128</v>
      </c>
      <c r="L472" s="3" t="str">
        <f aca="false">IFERROR(VLOOKUP(OFFSET(Table22,471,21,1,1),OFFSET(Table2,0,1,ROWS(Table2),8),7,0),VLOOKUP(OFFSET(Table22,471,22,1,1),Table2,8,0))</f>
        <v>AZR_FBCTCBasicMotion_FRA_10s_VIA_AZRDirect_French_NA_Facebook_STAN_TIN_T1_1</v>
      </c>
      <c r="M472" s="2" t="n">
        <f aca="false">IFERROR(VLOOKUP(OFFSET(Table22,471,21,1,1),OFFSET(Table2,0,1,ROWS(Table2),8),8,0),VLOOKUP(OFFSET(Table22,471,22,1,1),Table2,9,0))</f>
        <v>103376981</v>
      </c>
      <c r="N472" s="15" t="s">
        <v>29</v>
      </c>
      <c r="O472" s="16" t="n">
        <v>43356</v>
      </c>
      <c r="P472" s="17" t="s">
        <v>102</v>
      </c>
      <c r="Q472" s="18" t="s">
        <v>103</v>
      </c>
      <c r="R472" s="17" t="s">
        <v>104</v>
      </c>
      <c r="S472" s="18" t="s">
        <v>33</v>
      </c>
      <c r="T472" s="17" t="s">
        <v>34</v>
      </c>
      <c r="U472" s="18" t="s">
        <v>127</v>
      </c>
      <c r="V472" s="19" t="n">
        <v>224416915</v>
      </c>
      <c r="W472" s="17" t="s">
        <v>128</v>
      </c>
      <c r="X472" s="17" t="n">
        <v>105</v>
      </c>
      <c r="Y472" s="17" t="n">
        <v>1</v>
      </c>
      <c r="Z472" s="17" t="n">
        <v>0.76</v>
      </c>
      <c r="AA472" s="17" t="s">
        <v>38</v>
      </c>
      <c r="AB472" s="17"/>
    </row>
    <row r="473" customFormat="false" ht="15" hidden="false" customHeight="false" outlineLevel="0" collapsed="false">
      <c r="A473" s="1" t="str">
        <f aca="false">OFFSET(Table22,472,14,1,1)&amp;OFFSET(Table22,472,21,1,1)</f>
        <v>43356224416915</v>
      </c>
      <c r="B473" s="1" t="str">
        <f aca="false">OFFSET(Table22,472,14,1,1)&amp;OFFSET(Table22,472,22,1,1)</f>
        <v>43356Facebook»Developers/ITPros-Azure Direct-Sponsored Post-Video Ad-FBCTCBasicMotion_FRA_10s_RTG Landing Page»1x1»10s»VIA»ALL»CPC»BT»X»UNK»SS»NA»Trials_ID</v>
      </c>
      <c r="C473" s="1" t="s">
        <v>28</v>
      </c>
      <c r="D473" s="3" t="n">
        <f aca="false">O473+(7-WEEKDAY(O473))</f>
        <v>43358</v>
      </c>
      <c r="E473" s="1" t="str">
        <f aca="false">VLOOKUP(OFFSET(Table22,472,16,1,1),Key!B:D,2,0)</f>
        <v>France</v>
      </c>
      <c r="F473" s="1" t="str">
        <f aca="false">IF(ISNUMBER(SEARCH("Canvas",U473)),"Link",IF(ISNUMBER(SEARCH("Link",U473)),"Link","Not filled properly"))</f>
        <v>Link</v>
      </c>
      <c r="G473" s="1" t="str">
        <f aca="false">IFERROR(VLOOKUP(OFFSET(Table22,472,21,1,1),OFFSET(Table2,0,1,ROWS(Table2),8),2,0),VLOOKUP(OFFSET(Table22,472,22,1,1),Table2,3,0))</f>
        <v>FRA_gaPMG_AZR_AZR_Q1_19_AzureDirect-Trial-Social</v>
      </c>
      <c r="H473" s="1" t="n">
        <f aca="false">IFERROR(VLOOKUP(OFFSET(Table22,472,21,1,1),OFFSET(Table2,0,1,ROWS(Table2),8),3,0),VLOOKUP(OFFSET(Table22,472,22,1,1),Table2,4,0))</f>
        <v>21356941</v>
      </c>
      <c r="I473" s="2" t="n">
        <f aca="false">IFERROR(VLOOKUP(OFFSET(Table22,472,21,1,1),OFFSET(Table2,0,1,ROWS(Table2),8),4,0),VLOOKUP(OFFSET(Table22,472,22,1,1),Table2,5,0))</f>
        <v>720193</v>
      </c>
      <c r="J473" s="3" t="str">
        <f aca="false">IF(ISNUMBER(SEARCH("FACEBOOK",W473)),"Facebook",IF(ISNUMBER(SEARCH("INSTAGRAM",W473)),"Facebook-Instagram","Look at taxonomy"))</f>
        <v>Facebook</v>
      </c>
      <c r="K473" s="3" t="str">
        <f aca="false">IF(ISNUMBER(SEARCH("Facebook",J473)),"3654128","Not Facebook")</f>
        <v>3654128</v>
      </c>
      <c r="L473" s="3" t="str">
        <f aca="false">IFERROR(VLOOKUP(OFFSET(Table22,472,21,1,1),OFFSET(Table2,0,1,ROWS(Table2),8),7,0),VLOOKUP(OFFSET(Table22,472,22,1,1),Table2,8,0))</f>
        <v>AZR_FBCTCBasicMotion_FRA_10s_VIA_AZRDirect_French_NA_Facebook_STAN_TIN_T1_1</v>
      </c>
      <c r="M473" s="2" t="n">
        <f aca="false">IFERROR(VLOOKUP(OFFSET(Table22,472,21,1,1),OFFSET(Table2,0,1,ROWS(Table2),8),8,0),VLOOKUP(OFFSET(Table22,472,22,1,1),Table2,9,0))</f>
        <v>103376981</v>
      </c>
      <c r="N473" s="15" t="s">
        <v>29</v>
      </c>
      <c r="O473" s="16" t="n">
        <v>43356</v>
      </c>
      <c r="P473" s="17" t="s">
        <v>102</v>
      </c>
      <c r="Q473" s="18" t="s">
        <v>103</v>
      </c>
      <c r="R473" s="17" t="s">
        <v>104</v>
      </c>
      <c r="S473" s="18" t="s">
        <v>33</v>
      </c>
      <c r="T473" s="17" t="s">
        <v>34</v>
      </c>
      <c r="U473" s="18" t="s">
        <v>127</v>
      </c>
      <c r="V473" s="19" t="n">
        <v>224416915</v>
      </c>
      <c r="W473" s="17" t="s">
        <v>128</v>
      </c>
      <c r="X473" s="17" t="n">
        <v>6970</v>
      </c>
      <c r="Y473" s="17" t="n">
        <v>82</v>
      </c>
      <c r="Z473" s="17" t="n">
        <v>65.88</v>
      </c>
      <c r="AA473" s="17" t="s">
        <v>38</v>
      </c>
      <c r="AB473" s="17"/>
    </row>
    <row r="474" customFormat="false" ht="15" hidden="false" customHeight="false" outlineLevel="0" collapsed="false">
      <c r="A474" s="1" t="str">
        <f aca="false">OFFSET(Table22,473,14,1,1)&amp;OFFSET(Table22,473,21,1,1)</f>
        <v>43356224416915</v>
      </c>
      <c r="B474" s="1" t="str">
        <f aca="false">OFFSET(Table22,473,14,1,1)&amp;OFFSET(Table22,473,22,1,1)</f>
        <v>43356Facebook»Developers/ITPros-Azure Direct-Sponsored Post-Video Ad-FBCTCBasicMotion_FRA_10s_RTG Landing Page»1x1»10s»VIA»ALL»CPC»BT»X»UNK»SS»NA»Trials_ID</v>
      </c>
      <c r="C474" s="1" t="s">
        <v>28</v>
      </c>
      <c r="D474" s="3" t="n">
        <f aca="false">O474+(7-WEEKDAY(O474))</f>
        <v>43358</v>
      </c>
      <c r="E474" s="1" t="str">
        <f aca="false">VLOOKUP(OFFSET(Table22,473,16,1,1),Key!B:D,2,0)</f>
        <v>France</v>
      </c>
      <c r="F474" s="1" t="str">
        <f aca="false">IF(ISNUMBER(SEARCH("Canvas",U474)),"Link",IF(ISNUMBER(SEARCH("Link",U474)),"Link","Not filled properly"))</f>
        <v>Link</v>
      </c>
      <c r="G474" s="1" t="str">
        <f aca="false">IFERROR(VLOOKUP(OFFSET(Table22,473,21,1,1),OFFSET(Table2,0,1,ROWS(Table2),8),2,0),VLOOKUP(OFFSET(Table22,473,22,1,1),Table2,3,0))</f>
        <v>FRA_gaPMG_AZR_AZR_Q1_19_AzureDirect-Trial-Social</v>
      </c>
      <c r="H474" s="1" t="n">
        <f aca="false">IFERROR(VLOOKUP(OFFSET(Table22,473,21,1,1),OFFSET(Table2,0,1,ROWS(Table2),8),3,0),VLOOKUP(OFFSET(Table22,473,22,1,1),Table2,4,0))</f>
        <v>21356941</v>
      </c>
      <c r="I474" s="2" t="n">
        <f aca="false">IFERROR(VLOOKUP(OFFSET(Table22,473,21,1,1),OFFSET(Table2,0,1,ROWS(Table2),8),4,0),VLOOKUP(OFFSET(Table22,473,22,1,1),Table2,5,0))</f>
        <v>720193</v>
      </c>
      <c r="J474" s="3" t="str">
        <f aca="false">IF(ISNUMBER(SEARCH("FACEBOOK",W474)),"Facebook",IF(ISNUMBER(SEARCH("INSTAGRAM",W474)),"Facebook-Instagram","Look at taxonomy"))</f>
        <v>Facebook</v>
      </c>
      <c r="K474" s="3" t="str">
        <f aca="false">IF(ISNUMBER(SEARCH("Facebook",J474)),"3654128","Not Facebook")</f>
        <v>3654128</v>
      </c>
      <c r="L474" s="3" t="str">
        <f aca="false">IFERROR(VLOOKUP(OFFSET(Table22,473,21,1,1),OFFSET(Table2,0,1,ROWS(Table2),8),7,0),VLOOKUP(OFFSET(Table22,473,22,1,1),Table2,8,0))</f>
        <v>AZR_FBCTCBasicMotion_FRA_10s_VIA_AZRDirect_French_NA_Facebook_STAN_TIN_T1_1</v>
      </c>
      <c r="M474" s="2" t="n">
        <f aca="false">IFERROR(VLOOKUP(OFFSET(Table22,473,21,1,1),OFFSET(Table2,0,1,ROWS(Table2),8),8,0),VLOOKUP(OFFSET(Table22,473,22,1,1),Table2,9,0))</f>
        <v>103376981</v>
      </c>
      <c r="N474" s="15" t="s">
        <v>29</v>
      </c>
      <c r="O474" s="16" t="n">
        <v>43356</v>
      </c>
      <c r="P474" s="17" t="s">
        <v>102</v>
      </c>
      <c r="Q474" s="18" t="s">
        <v>103</v>
      </c>
      <c r="R474" s="17" t="s">
        <v>104</v>
      </c>
      <c r="S474" s="18" t="s">
        <v>33</v>
      </c>
      <c r="T474" s="17" t="s">
        <v>34</v>
      </c>
      <c r="U474" s="18" t="s">
        <v>127</v>
      </c>
      <c r="V474" s="19" t="n">
        <v>224416915</v>
      </c>
      <c r="W474" s="17" t="s">
        <v>128</v>
      </c>
      <c r="X474" s="17" t="n">
        <v>0</v>
      </c>
      <c r="Y474" s="17"/>
      <c r="Z474" s="17" t="n">
        <v>0</v>
      </c>
      <c r="AA474" s="17" t="s">
        <v>38</v>
      </c>
      <c r="AB474" s="17"/>
    </row>
    <row r="475" customFormat="false" ht="15" hidden="false" customHeight="false" outlineLevel="0" collapsed="false">
      <c r="A475" s="1" t="str">
        <f aca="false">OFFSET(Table22,474,14,1,1)&amp;OFFSET(Table22,474,21,1,1)</f>
        <v>43355224416915</v>
      </c>
      <c r="B475" s="1" t="str">
        <f aca="false">OFFSET(Table22,474,14,1,1)&amp;OFFSET(Table22,474,22,1,1)</f>
        <v>43355Facebook»Developers/ITPros-Azure Direct-Sponsored Post-Video Ad-FBCTCBasicMotion_FRA_10s_RTG Landing Page»1x1»10s»VIA»ALL»CPC»BT»X»UNK»SS»NA»Trials_ID</v>
      </c>
      <c r="C475" s="1" t="s">
        <v>28</v>
      </c>
      <c r="D475" s="3" t="n">
        <f aca="false">O475+(7-WEEKDAY(O475))</f>
        <v>43358</v>
      </c>
      <c r="E475" s="1" t="str">
        <f aca="false">VLOOKUP(OFFSET(Table22,474,16,1,1),Key!B:D,2,0)</f>
        <v>France</v>
      </c>
      <c r="F475" s="1" t="str">
        <f aca="false">IF(ISNUMBER(SEARCH("Canvas",U475)),"Link",IF(ISNUMBER(SEARCH("Link",U475)),"Link","Not filled properly"))</f>
        <v>Link</v>
      </c>
      <c r="G475" s="1" t="str">
        <f aca="false">IFERROR(VLOOKUP(OFFSET(Table22,474,21,1,1),OFFSET(Table2,0,1,ROWS(Table2),8),2,0),VLOOKUP(OFFSET(Table22,474,22,1,1),Table2,3,0))</f>
        <v>FRA_gaPMG_AZR_AZR_Q1_19_AzureDirect-Trial-Social</v>
      </c>
      <c r="H475" s="1" t="n">
        <f aca="false">IFERROR(VLOOKUP(OFFSET(Table22,474,21,1,1),OFFSET(Table2,0,1,ROWS(Table2),8),3,0),VLOOKUP(OFFSET(Table22,474,22,1,1),Table2,4,0))</f>
        <v>21356941</v>
      </c>
      <c r="I475" s="2" t="n">
        <f aca="false">IFERROR(VLOOKUP(OFFSET(Table22,474,21,1,1),OFFSET(Table2,0,1,ROWS(Table2),8),4,0),VLOOKUP(OFFSET(Table22,474,22,1,1),Table2,5,0))</f>
        <v>720193</v>
      </c>
      <c r="J475" s="3" t="str">
        <f aca="false">IF(ISNUMBER(SEARCH("FACEBOOK",W475)),"Facebook",IF(ISNUMBER(SEARCH("INSTAGRAM",W475)),"Facebook-Instagram","Look at taxonomy"))</f>
        <v>Facebook</v>
      </c>
      <c r="K475" s="3" t="str">
        <f aca="false">IF(ISNUMBER(SEARCH("Facebook",J475)),"3654128","Not Facebook")</f>
        <v>3654128</v>
      </c>
      <c r="L475" s="3" t="str">
        <f aca="false">IFERROR(VLOOKUP(OFFSET(Table22,474,21,1,1),OFFSET(Table2,0,1,ROWS(Table2),8),7,0),VLOOKUP(OFFSET(Table22,474,22,1,1),Table2,8,0))</f>
        <v>AZR_FBCTCBasicMotion_FRA_10s_VIA_AZRDirect_French_NA_Facebook_STAN_TIN_T1_1</v>
      </c>
      <c r="M475" s="2" t="n">
        <f aca="false">IFERROR(VLOOKUP(OFFSET(Table22,474,21,1,1),OFFSET(Table2,0,1,ROWS(Table2),8),8,0),VLOOKUP(OFFSET(Table22,474,22,1,1),Table2,9,0))</f>
        <v>103376981</v>
      </c>
      <c r="N475" s="15" t="s">
        <v>29</v>
      </c>
      <c r="O475" s="16" t="n">
        <v>43355</v>
      </c>
      <c r="P475" s="17" t="s">
        <v>102</v>
      </c>
      <c r="Q475" s="18" t="s">
        <v>103</v>
      </c>
      <c r="R475" s="17" t="s">
        <v>104</v>
      </c>
      <c r="S475" s="18" t="s">
        <v>33</v>
      </c>
      <c r="T475" s="17" t="s">
        <v>34</v>
      </c>
      <c r="U475" s="18" t="s">
        <v>127</v>
      </c>
      <c r="V475" s="19" t="n">
        <v>224416915</v>
      </c>
      <c r="W475" s="17" t="s">
        <v>128</v>
      </c>
      <c r="X475" s="17" t="n">
        <v>106</v>
      </c>
      <c r="Y475" s="17"/>
      <c r="Z475" s="17" t="n">
        <v>0.88</v>
      </c>
      <c r="AA475" s="17" t="s">
        <v>38</v>
      </c>
      <c r="AB475" s="17"/>
    </row>
    <row r="476" customFormat="false" ht="15" hidden="false" customHeight="false" outlineLevel="0" collapsed="false">
      <c r="A476" s="1" t="str">
        <f aca="false">OFFSET(Table22,475,14,1,1)&amp;OFFSET(Table22,475,21,1,1)</f>
        <v>43355224416915</v>
      </c>
      <c r="B476" s="1" t="str">
        <f aca="false">OFFSET(Table22,475,14,1,1)&amp;OFFSET(Table22,475,22,1,1)</f>
        <v>43355Facebook»Developers/ITPros-Azure Direct-Sponsored Post-Video Ad-FBCTCBasicMotion_FRA_10s_RTG Landing Page»1x1»10s»VIA»ALL»CPC»BT»X»UNK»SS»NA»Trials_ID</v>
      </c>
      <c r="C476" s="1" t="s">
        <v>28</v>
      </c>
      <c r="D476" s="3" t="n">
        <f aca="false">O476+(7-WEEKDAY(O476))</f>
        <v>43358</v>
      </c>
      <c r="E476" s="1" t="str">
        <f aca="false">VLOOKUP(OFFSET(Table22,475,16,1,1),Key!B:D,2,0)</f>
        <v>France</v>
      </c>
      <c r="F476" s="1" t="str">
        <f aca="false">IF(ISNUMBER(SEARCH("Canvas",U476)),"Link",IF(ISNUMBER(SEARCH("Link",U476)),"Link","Not filled properly"))</f>
        <v>Link</v>
      </c>
      <c r="G476" s="1" t="str">
        <f aca="false">IFERROR(VLOOKUP(OFFSET(Table22,475,21,1,1),OFFSET(Table2,0,1,ROWS(Table2),8),2,0),VLOOKUP(OFFSET(Table22,475,22,1,1),Table2,3,0))</f>
        <v>FRA_gaPMG_AZR_AZR_Q1_19_AzureDirect-Trial-Social</v>
      </c>
      <c r="H476" s="1" t="n">
        <f aca="false">IFERROR(VLOOKUP(OFFSET(Table22,475,21,1,1),OFFSET(Table2,0,1,ROWS(Table2),8),3,0),VLOOKUP(OFFSET(Table22,475,22,1,1),Table2,4,0))</f>
        <v>21356941</v>
      </c>
      <c r="I476" s="2" t="n">
        <f aca="false">IFERROR(VLOOKUP(OFFSET(Table22,475,21,1,1),OFFSET(Table2,0,1,ROWS(Table2),8),4,0),VLOOKUP(OFFSET(Table22,475,22,1,1),Table2,5,0))</f>
        <v>720193</v>
      </c>
      <c r="J476" s="3" t="str">
        <f aca="false">IF(ISNUMBER(SEARCH("FACEBOOK",W476)),"Facebook",IF(ISNUMBER(SEARCH("INSTAGRAM",W476)),"Facebook-Instagram","Look at taxonomy"))</f>
        <v>Facebook</v>
      </c>
      <c r="K476" s="3" t="str">
        <f aca="false">IF(ISNUMBER(SEARCH("Facebook",J476)),"3654128","Not Facebook")</f>
        <v>3654128</v>
      </c>
      <c r="L476" s="3" t="str">
        <f aca="false">IFERROR(VLOOKUP(OFFSET(Table22,475,21,1,1),OFFSET(Table2,0,1,ROWS(Table2),8),7,0),VLOOKUP(OFFSET(Table22,475,22,1,1),Table2,8,0))</f>
        <v>AZR_FBCTCBasicMotion_FRA_10s_VIA_AZRDirect_French_NA_Facebook_STAN_TIN_T1_1</v>
      </c>
      <c r="M476" s="2" t="n">
        <f aca="false">IFERROR(VLOOKUP(OFFSET(Table22,475,21,1,1),OFFSET(Table2,0,1,ROWS(Table2),8),8,0),VLOOKUP(OFFSET(Table22,475,22,1,1),Table2,9,0))</f>
        <v>103376981</v>
      </c>
      <c r="N476" s="15" t="s">
        <v>29</v>
      </c>
      <c r="O476" s="16" t="n">
        <v>43355</v>
      </c>
      <c r="P476" s="17" t="s">
        <v>102</v>
      </c>
      <c r="Q476" s="18" t="s">
        <v>103</v>
      </c>
      <c r="R476" s="17" t="s">
        <v>104</v>
      </c>
      <c r="S476" s="18" t="s">
        <v>33</v>
      </c>
      <c r="T476" s="17" t="s">
        <v>34</v>
      </c>
      <c r="U476" s="18" t="s">
        <v>127</v>
      </c>
      <c r="V476" s="19" t="n">
        <v>224416915</v>
      </c>
      <c r="W476" s="17" t="s">
        <v>128</v>
      </c>
      <c r="X476" s="17" t="n">
        <v>0</v>
      </c>
      <c r="Y476" s="17"/>
      <c r="Z476" s="17" t="n">
        <v>0</v>
      </c>
      <c r="AA476" s="17" t="s">
        <v>38</v>
      </c>
      <c r="AB476" s="17"/>
    </row>
    <row r="477" customFormat="false" ht="15" hidden="false" customHeight="false" outlineLevel="0" collapsed="false">
      <c r="A477" s="1" t="str">
        <f aca="false">OFFSET(Table22,476,14,1,1)&amp;OFFSET(Table22,476,21,1,1)</f>
        <v>43355224416915</v>
      </c>
      <c r="B477" s="1" t="str">
        <f aca="false">OFFSET(Table22,476,14,1,1)&amp;OFFSET(Table22,476,22,1,1)</f>
        <v>43355Facebook»Developers/ITPros-Azure Direct-Sponsored Post-Video Ad-FBCTCBasicMotion_FRA_10s_RTG Landing Page»1x1»10s»VIA»ALL»CPC»BT»X»UNK»SS»NA»Trials_ID</v>
      </c>
      <c r="C477" s="1" t="s">
        <v>28</v>
      </c>
      <c r="D477" s="3" t="n">
        <f aca="false">O477+(7-WEEKDAY(O477))</f>
        <v>43358</v>
      </c>
      <c r="E477" s="1" t="str">
        <f aca="false">VLOOKUP(OFFSET(Table22,476,16,1,1),Key!B:D,2,0)</f>
        <v>France</v>
      </c>
      <c r="F477" s="1" t="str">
        <f aca="false">IF(ISNUMBER(SEARCH("Canvas",U477)),"Link",IF(ISNUMBER(SEARCH("Link",U477)),"Link","Not filled properly"))</f>
        <v>Link</v>
      </c>
      <c r="G477" s="1" t="str">
        <f aca="false">IFERROR(VLOOKUP(OFFSET(Table22,476,21,1,1),OFFSET(Table2,0,1,ROWS(Table2),8),2,0),VLOOKUP(OFFSET(Table22,476,22,1,1),Table2,3,0))</f>
        <v>FRA_gaPMG_AZR_AZR_Q1_19_AzureDirect-Trial-Social</v>
      </c>
      <c r="H477" s="1" t="n">
        <f aca="false">IFERROR(VLOOKUP(OFFSET(Table22,476,21,1,1),OFFSET(Table2,0,1,ROWS(Table2),8),3,0),VLOOKUP(OFFSET(Table22,476,22,1,1),Table2,4,0))</f>
        <v>21356941</v>
      </c>
      <c r="I477" s="2" t="n">
        <f aca="false">IFERROR(VLOOKUP(OFFSET(Table22,476,21,1,1),OFFSET(Table2,0,1,ROWS(Table2),8),4,0),VLOOKUP(OFFSET(Table22,476,22,1,1),Table2,5,0))</f>
        <v>720193</v>
      </c>
      <c r="J477" s="3" t="str">
        <f aca="false">IF(ISNUMBER(SEARCH("FACEBOOK",W477)),"Facebook",IF(ISNUMBER(SEARCH("INSTAGRAM",W477)),"Facebook-Instagram","Look at taxonomy"))</f>
        <v>Facebook</v>
      </c>
      <c r="K477" s="3" t="str">
        <f aca="false">IF(ISNUMBER(SEARCH("Facebook",J477)),"3654128","Not Facebook")</f>
        <v>3654128</v>
      </c>
      <c r="L477" s="3" t="str">
        <f aca="false">IFERROR(VLOOKUP(OFFSET(Table22,476,21,1,1),OFFSET(Table2,0,1,ROWS(Table2),8),7,0),VLOOKUP(OFFSET(Table22,476,22,1,1),Table2,8,0))</f>
        <v>AZR_FBCTCBasicMotion_FRA_10s_VIA_AZRDirect_French_NA_Facebook_STAN_TIN_T1_1</v>
      </c>
      <c r="M477" s="2" t="n">
        <f aca="false">IFERROR(VLOOKUP(OFFSET(Table22,476,21,1,1),OFFSET(Table2,0,1,ROWS(Table2),8),8,0),VLOOKUP(OFFSET(Table22,476,22,1,1),Table2,9,0))</f>
        <v>103376981</v>
      </c>
      <c r="N477" s="15" t="s">
        <v>29</v>
      </c>
      <c r="O477" s="16" t="n">
        <v>43355</v>
      </c>
      <c r="P477" s="17" t="s">
        <v>102</v>
      </c>
      <c r="Q477" s="18" t="s">
        <v>103</v>
      </c>
      <c r="R477" s="17" t="s">
        <v>104</v>
      </c>
      <c r="S477" s="18" t="s">
        <v>33</v>
      </c>
      <c r="T477" s="17" t="s">
        <v>34</v>
      </c>
      <c r="U477" s="18" t="s">
        <v>127</v>
      </c>
      <c r="V477" s="19" t="n">
        <v>224416915</v>
      </c>
      <c r="W477" s="17" t="s">
        <v>128</v>
      </c>
      <c r="X477" s="17" t="n">
        <v>0</v>
      </c>
      <c r="Y477" s="17"/>
      <c r="Z477" s="17" t="n">
        <v>0</v>
      </c>
      <c r="AA477" s="17" t="s">
        <v>38</v>
      </c>
      <c r="AB477" s="17"/>
    </row>
    <row r="478" customFormat="false" ht="15" hidden="false" customHeight="false" outlineLevel="0" collapsed="false">
      <c r="A478" s="1" t="str">
        <f aca="false">OFFSET(Table22,477,14,1,1)&amp;OFFSET(Table22,477,21,1,1)</f>
        <v>43355224416915</v>
      </c>
      <c r="B478" s="1" t="str">
        <f aca="false">OFFSET(Table22,477,14,1,1)&amp;OFFSET(Table22,477,22,1,1)</f>
        <v>43355Facebook»Developers/ITPros-Azure Direct-Sponsored Post-Video Ad-FBCTCBasicMotion_FRA_10s_RTG Landing Page»1x1»10s»VIA»ALL»CPC»BT»X»UNK»SS»NA»Trials_ID</v>
      </c>
      <c r="C478" s="1" t="s">
        <v>28</v>
      </c>
      <c r="D478" s="3" t="n">
        <f aca="false">O478+(7-WEEKDAY(O478))</f>
        <v>43358</v>
      </c>
      <c r="E478" s="1" t="str">
        <f aca="false">VLOOKUP(OFFSET(Table22,477,16,1,1),Key!B:D,2,0)</f>
        <v>France</v>
      </c>
      <c r="F478" s="1" t="str">
        <f aca="false">IF(ISNUMBER(SEARCH("Canvas",U478)),"Link",IF(ISNUMBER(SEARCH("Link",U478)),"Link","Not filled properly"))</f>
        <v>Link</v>
      </c>
      <c r="G478" s="1" t="str">
        <f aca="false">IFERROR(VLOOKUP(OFFSET(Table22,477,21,1,1),OFFSET(Table2,0,1,ROWS(Table2),8),2,0),VLOOKUP(OFFSET(Table22,477,22,1,1),Table2,3,0))</f>
        <v>FRA_gaPMG_AZR_AZR_Q1_19_AzureDirect-Trial-Social</v>
      </c>
      <c r="H478" s="1" t="n">
        <f aca="false">IFERROR(VLOOKUP(OFFSET(Table22,477,21,1,1),OFFSET(Table2,0,1,ROWS(Table2),8),3,0),VLOOKUP(OFFSET(Table22,477,22,1,1),Table2,4,0))</f>
        <v>21356941</v>
      </c>
      <c r="I478" s="2" t="n">
        <f aca="false">IFERROR(VLOOKUP(OFFSET(Table22,477,21,1,1),OFFSET(Table2,0,1,ROWS(Table2),8),4,0),VLOOKUP(OFFSET(Table22,477,22,1,1),Table2,5,0))</f>
        <v>720193</v>
      </c>
      <c r="J478" s="3" t="str">
        <f aca="false">IF(ISNUMBER(SEARCH("FACEBOOK",W478)),"Facebook",IF(ISNUMBER(SEARCH("INSTAGRAM",W478)),"Facebook-Instagram","Look at taxonomy"))</f>
        <v>Facebook</v>
      </c>
      <c r="K478" s="3" t="str">
        <f aca="false">IF(ISNUMBER(SEARCH("Facebook",J478)),"3654128","Not Facebook")</f>
        <v>3654128</v>
      </c>
      <c r="L478" s="3" t="str">
        <f aca="false">IFERROR(VLOOKUP(OFFSET(Table22,477,21,1,1),OFFSET(Table2,0,1,ROWS(Table2),8),7,0),VLOOKUP(OFFSET(Table22,477,22,1,1),Table2,8,0))</f>
        <v>AZR_FBCTCBasicMotion_FRA_10s_VIA_AZRDirect_French_NA_Facebook_STAN_TIN_T1_1</v>
      </c>
      <c r="M478" s="2" t="n">
        <f aca="false">IFERROR(VLOOKUP(OFFSET(Table22,477,21,1,1),OFFSET(Table2,0,1,ROWS(Table2),8),8,0),VLOOKUP(OFFSET(Table22,477,22,1,1),Table2,9,0))</f>
        <v>103376981</v>
      </c>
      <c r="N478" s="15" t="s">
        <v>29</v>
      </c>
      <c r="O478" s="16" t="n">
        <v>43355</v>
      </c>
      <c r="P478" s="17" t="s">
        <v>102</v>
      </c>
      <c r="Q478" s="18" t="s">
        <v>103</v>
      </c>
      <c r="R478" s="17" t="s">
        <v>104</v>
      </c>
      <c r="S478" s="18" t="s">
        <v>33</v>
      </c>
      <c r="T478" s="17" t="s">
        <v>34</v>
      </c>
      <c r="U478" s="18" t="s">
        <v>127</v>
      </c>
      <c r="V478" s="19" t="n">
        <v>224416915</v>
      </c>
      <c r="W478" s="17" t="s">
        <v>128</v>
      </c>
      <c r="X478" s="17" t="n">
        <v>4902</v>
      </c>
      <c r="Y478" s="17" t="n">
        <v>55</v>
      </c>
      <c r="Z478" s="17" t="n">
        <v>40.82</v>
      </c>
      <c r="AA478" s="17" t="s">
        <v>38</v>
      </c>
      <c r="AB478" s="17"/>
    </row>
    <row r="479" customFormat="false" ht="15" hidden="false" customHeight="false" outlineLevel="0" collapsed="false">
      <c r="A479" s="1" t="str">
        <f aca="false">OFFSET(Table22,478,14,1,1)&amp;OFFSET(Table22,478,21,1,1)</f>
        <v>43354224416915</v>
      </c>
      <c r="B479" s="1" t="str">
        <f aca="false">OFFSET(Table22,478,14,1,1)&amp;OFFSET(Table22,478,22,1,1)</f>
        <v>43354Facebook»Developers/ITPros-Azure Direct-Sponsored Post-Video Ad-FBCTCBasicMotion_FRA_10s_RTG Landing Page»1x1»10s»VIA»ALL»CPC»BT»X»UNK»SS»NA»Trials_ID</v>
      </c>
      <c r="C479" s="1" t="s">
        <v>28</v>
      </c>
      <c r="D479" s="3" t="n">
        <f aca="false">O479+(7-WEEKDAY(O479))</f>
        <v>43358</v>
      </c>
      <c r="E479" s="1" t="str">
        <f aca="false">VLOOKUP(OFFSET(Table22,478,16,1,1),Key!B:D,2,0)</f>
        <v>France</v>
      </c>
      <c r="F479" s="1" t="str">
        <f aca="false">IF(ISNUMBER(SEARCH("Canvas",U479)),"Link",IF(ISNUMBER(SEARCH("Link",U479)),"Link","Not filled properly"))</f>
        <v>Link</v>
      </c>
      <c r="G479" s="1" t="str">
        <f aca="false">IFERROR(VLOOKUP(OFFSET(Table22,478,21,1,1),OFFSET(Table2,0,1,ROWS(Table2),8),2,0),VLOOKUP(OFFSET(Table22,478,22,1,1),Table2,3,0))</f>
        <v>FRA_gaPMG_AZR_AZR_Q1_19_AzureDirect-Trial-Social</v>
      </c>
      <c r="H479" s="1" t="n">
        <f aca="false">IFERROR(VLOOKUP(OFFSET(Table22,478,21,1,1),OFFSET(Table2,0,1,ROWS(Table2),8),3,0),VLOOKUP(OFFSET(Table22,478,22,1,1),Table2,4,0))</f>
        <v>21356941</v>
      </c>
      <c r="I479" s="2" t="n">
        <f aca="false">IFERROR(VLOOKUP(OFFSET(Table22,478,21,1,1),OFFSET(Table2,0,1,ROWS(Table2),8),4,0),VLOOKUP(OFFSET(Table22,478,22,1,1),Table2,5,0))</f>
        <v>720193</v>
      </c>
      <c r="J479" s="3" t="str">
        <f aca="false">IF(ISNUMBER(SEARCH("FACEBOOK",W479)),"Facebook",IF(ISNUMBER(SEARCH("INSTAGRAM",W479)),"Facebook-Instagram","Look at taxonomy"))</f>
        <v>Facebook</v>
      </c>
      <c r="K479" s="3" t="str">
        <f aca="false">IF(ISNUMBER(SEARCH("Facebook",J479)),"3654128","Not Facebook")</f>
        <v>3654128</v>
      </c>
      <c r="L479" s="3" t="str">
        <f aca="false">IFERROR(VLOOKUP(OFFSET(Table22,478,21,1,1),OFFSET(Table2,0,1,ROWS(Table2),8),7,0),VLOOKUP(OFFSET(Table22,478,22,1,1),Table2,8,0))</f>
        <v>AZR_FBCTCBasicMotion_FRA_10s_VIA_AZRDirect_French_NA_Facebook_STAN_TIN_T1_1</v>
      </c>
      <c r="M479" s="2" t="n">
        <f aca="false">IFERROR(VLOOKUP(OFFSET(Table22,478,21,1,1),OFFSET(Table2,0,1,ROWS(Table2),8),8,0),VLOOKUP(OFFSET(Table22,478,22,1,1),Table2,9,0))</f>
        <v>103376981</v>
      </c>
      <c r="N479" s="15" t="s">
        <v>29</v>
      </c>
      <c r="O479" s="16" t="n">
        <v>43354</v>
      </c>
      <c r="P479" s="17" t="s">
        <v>102</v>
      </c>
      <c r="Q479" s="18" t="s">
        <v>103</v>
      </c>
      <c r="R479" s="17" t="s">
        <v>104</v>
      </c>
      <c r="S479" s="18" t="s">
        <v>33</v>
      </c>
      <c r="T479" s="17" t="s">
        <v>34</v>
      </c>
      <c r="U479" s="18" t="s">
        <v>127</v>
      </c>
      <c r="V479" s="19" t="n">
        <v>224416915</v>
      </c>
      <c r="W479" s="17" t="s">
        <v>128</v>
      </c>
      <c r="X479" s="17" t="n">
        <v>477</v>
      </c>
      <c r="Y479" s="17" t="n">
        <v>4</v>
      </c>
      <c r="Z479" s="17" t="n">
        <v>3.74</v>
      </c>
      <c r="AA479" s="17" t="s">
        <v>38</v>
      </c>
      <c r="AB479" s="17"/>
    </row>
    <row r="480" customFormat="false" ht="15" hidden="false" customHeight="false" outlineLevel="0" collapsed="false">
      <c r="A480" s="1" t="str">
        <f aca="false">OFFSET(Table22,479,14,1,1)&amp;OFFSET(Table22,479,21,1,1)</f>
        <v>43354224416915</v>
      </c>
      <c r="B480" s="1" t="str">
        <f aca="false">OFFSET(Table22,479,14,1,1)&amp;OFFSET(Table22,479,22,1,1)</f>
        <v>43354Facebook»Developers/ITPros-Azure Direct-Sponsored Post-Video Ad-FBCTCBasicMotion_FRA_10s_RTG Landing Page»1x1»10s»VIA»ALL»CPC»BT»X»UNK»SS»NA»Trials_ID</v>
      </c>
      <c r="C480" s="1" t="s">
        <v>28</v>
      </c>
      <c r="D480" s="3" t="n">
        <f aca="false">O480+(7-WEEKDAY(O480))</f>
        <v>43358</v>
      </c>
      <c r="E480" s="1" t="str">
        <f aca="false">VLOOKUP(OFFSET(Table22,479,16,1,1),Key!B:D,2,0)</f>
        <v>France</v>
      </c>
      <c r="F480" s="1" t="str">
        <f aca="false">IF(ISNUMBER(SEARCH("Canvas",U480)),"Link",IF(ISNUMBER(SEARCH("Link",U480)),"Link","Not filled properly"))</f>
        <v>Link</v>
      </c>
      <c r="G480" s="1" t="str">
        <f aca="false">IFERROR(VLOOKUP(OFFSET(Table22,479,21,1,1),OFFSET(Table2,0,1,ROWS(Table2),8),2,0),VLOOKUP(OFFSET(Table22,479,22,1,1),Table2,3,0))</f>
        <v>FRA_gaPMG_AZR_AZR_Q1_19_AzureDirect-Trial-Social</v>
      </c>
      <c r="H480" s="1" t="n">
        <f aca="false">IFERROR(VLOOKUP(OFFSET(Table22,479,21,1,1),OFFSET(Table2,0,1,ROWS(Table2),8),3,0),VLOOKUP(OFFSET(Table22,479,22,1,1),Table2,4,0))</f>
        <v>21356941</v>
      </c>
      <c r="I480" s="2" t="n">
        <f aca="false">IFERROR(VLOOKUP(OFFSET(Table22,479,21,1,1),OFFSET(Table2,0,1,ROWS(Table2),8),4,0),VLOOKUP(OFFSET(Table22,479,22,1,1),Table2,5,0))</f>
        <v>720193</v>
      </c>
      <c r="J480" s="3" t="str">
        <f aca="false">IF(ISNUMBER(SEARCH("FACEBOOK",W480)),"Facebook",IF(ISNUMBER(SEARCH("INSTAGRAM",W480)),"Facebook-Instagram","Look at taxonomy"))</f>
        <v>Facebook</v>
      </c>
      <c r="K480" s="3" t="str">
        <f aca="false">IF(ISNUMBER(SEARCH("Facebook",J480)),"3654128","Not Facebook")</f>
        <v>3654128</v>
      </c>
      <c r="L480" s="3" t="str">
        <f aca="false">IFERROR(VLOOKUP(OFFSET(Table22,479,21,1,1),OFFSET(Table2,0,1,ROWS(Table2),8),7,0),VLOOKUP(OFFSET(Table22,479,22,1,1),Table2,8,0))</f>
        <v>AZR_FBCTCBasicMotion_FRA_10s_VIA_AZRDirect_French_NA_Facebook_STAN_TIN_T1_1</v>
      </c>
      <c r="M480" s="2" t="n">
        <f aca="false">IFERROR(VLOOKUP(OFFSET(Table22,479,21,1,1),OFFSET(Table2,0,1,ROWS(Table2),8),8,0),VLOOKUP(OFFSET(Table22,479,22,1,1),Table2,9,0))</f>
        <v>103376981</v>
      </c>
      <c r="N480" s="15" t="s">
        <v>29</v>
      </c>
      <c r="O480" s="16" t="n">
        <v>43354</v>
      </c>
      <c r="P480" s="17" t="s">
        <v>102</v>
      </c>
      <c r="Q480" s="18" t="s">
        <v>103</v>
      </c>
      <c r="R480" s="17" t="s">
        <v>104</v>
      </c>
      <c r="S480" s="18" t="s">
        <v>33</v>
      </c>
      <c r="T480" s="17" t="s">
        <v>34</v>
      </c>
      <c r="U480" s="18" t="s">
        <v>127</v>
      </c>
      <c r="V480" s="19" t="n">
        <v>224416915</v>
      </c>
      <c r="W480" s="17" t="s">
        <v>128</v>
      </c>
      <c r="X480" s="17" t="n">
        <v>7351</v>
      </c>
      <c r="Y480" s="17" t="n">
        <v>65</v>
      </c>
      <c r="Z480" s="17" t="n">
        <v>52.46</v>
      </c>
      <c r="AA480" s="17" t="s">
        <v>38</v>
      </c>
      <c r="AB480" s="17"/>
    </row>
    <row r="481" customFormat="false" ht="15" hidden="false" customHeight="false" outlineLevel="0" collapsed="false">
      <c r="A481" s="1" t="str">
        <f aca="false">OFFSET(Table22,480,14,1,1)&amp;OFFSET(Table22,480,21,1,1)</f>
        <v>43354224416915</v>
      </c>
      <c r="B481" s="1" t="str">
        <f aca="false">OFFSET(Table22,480,14,1,1)&amp;OFFSET(Table22,480,22,1,1)</f>
        <v>43354Facebook»Developers/ITPros-Azure Direct-Sponsored Post-Video Ad-FBCTCBasicMotion_FRA_10s_RTG Landing Page»1x1»10s»VIA»ALL»CPC»BT»X»UNK»SS»NA»Trials_ID</v>
      </c>
      <c r="C481" s="1" t="s">
        <v>28</v>
      </c>
      <c r="D481" s="3" t="n">
        <f aca="false">O481+(7-WEEKDAY(O481))</f>
        <v>43358</v>
      </c>
      <c r="E481" s="1" t="str">
        <f aca="false">VLOOKUP(OFFSET(Table22,480,16,1,1),Key!B:D,2,0)</f>
        <v>France</v>
      </c>
      <c r="F481" s="1" t="str">
        <f aca="false">IF(ISNUMBER(SEARCH("Canvas",U481)),"Link",IF(ISNUMBER(SEARCH("Link",U481)),"Link","Not filled properly"))</f>
        <v>Link</v>
      </c>
      <c r="G481" s="1" t="str">
        <f aca="false">IFERROR(VLOOKUP(OFFSET(Table22,480,21,1,1),OFFSET(Table2,0,1,ROWS(Table2),8),2,0),VLOOKUP(OFFSET(Table22,480,22,1,1),Table2,3,0))</f>
        <v>FRA_gaPMG_AZR_AZR_Q1_19_AzureDirect-Trial-Social</v>
      </c>
      <c r="H481" s="1" t="n">
        <f aca="false">IFERROR(VLOOKUP(OFFSET(Table22,480,21,1,1),OFFSET(Table2,0,1,ROWS(Table2),8),3,0),VLOOKUP(OFFSET(Table22,480,22,1,1),Table2,4,0))</f>
        <v>21356941</v>
      </c>
      <c r="I481" s="2" t="n">
        <f aca="false">IFERROR(VLOOKUP(OFFSET(Table22,480,21,1,1),OFFSET(Table2,0,1,ROWS(Table2),8),4,0),VLOOKUP(OFFSET(Table22,480,22,1,1),Table2,5,0))</f>
        <v>720193</v>
      </c>
      <c r="J481" s="3" t="str">
        <f aca="false">IF(ISNUMBER(SEARCH("FACEBOOK",W481)),"Facebook",IF(ISNUMBER(SEARCH("INSTAGRAM",W481)),"Facebook-Instagram","Look at taxonomy"))</f>
        <v>Facebook</v>
      </c>
      <c r="K481" s="3" t="str">
        <f aca="false">IF(ISNUMBER(SEARCH("Facebook",J481)),"3654128","Not Facebook")</f>
        <v>3654128</v>
      </c>
      <c r="L481" s="3" t="str">
        <f aca="false">IFERROR(VLOOKUP(OFFSET(Table22,480,21,1,1),OFFSET(Table2,0,1,ROWS(Table2),8),7,0),VLOOKUP(OFFSET(Table22,480,22,1,1),Table2,8,0))</f>
        <v>AZR_FBCTCBasicMotion_FRA_10s_VIA_AZRDirect_French_NA_Facebook_STAN_TIN_T1_1</v>
      </c>
      <c r="M481" s="2" t="n">
        <f aca="false">IFERROR(VLOOKUP(OFFSET(Table22,480,21,1,1),OFFSET(Table2,0,1,ROWS(Table2),8),8,0),VLOOKUP(OFFSET(Table22,480,22,1,1),Table2,9,0))</f>
        <v>103376981</v>
      </c>
      <c r="N481" s="15" t="s">
        <v>29</v>
      </c>
      <c r="O481" s="16" t="n">
        <v>43354</v>
      </c>
      <c r="P481" s="17" t="s">
        <v>102</v>
      </c>
      <c r="Q481" s="18" t="s">
        <v>103</v>
      </c>
      <c r="R481" s="17" t="s">
        <v>104</v>
      </c>
      <c r="S481" s="18" t="s">
        <v>33</v>
      </c>
      <c r="T481" s="17" t="s">
        <v>34</v>
      </c>
      <c r="U481" s="18" t="s">
        <v>127</v>
      </c>
      <c r="V481" s="19" t="n">
        <v>224416915</v>
      </c>
      <c r="W481" s="17" t="s">
        <v>128</v>
      </c>
      <c r="X481" s="17" t="n">
        <v>0</v>
      </c>
      <c r="Y481" s="17"/>
      <c r="Z481" s="17" t="n">
        <v>0</v>
      </c>
      <c r="AA481" s="17" t="s">
        <v>38</v>
      </c>
      <c r="AB481" s="17"/>
    </row>
    <row r="482" customFormat="false" ht="15" hidden="false" customHeight="false" outlineLevel="0" collapsed="false">
      <c r="A482" s="1" t="str">
        <f aca="false">OFFSET(Table22,481,14,1,1)&amp;OFFSET(Table22,481,21,1,1)</f>
        <v>43354224416915</v>
      </c>
      <c r="B482" s="1" t="str">
        <f aca="false">OFFSET(Table22,481,14,1,1)&amp;OFFSET(Table22,481,22,1,1)</f>
        <v>43354Facebook»Developers/ITPros-Azure Direct-Sponsored Post-Video Ad-FBCTCBasicMotion_FRA_10s_RTG Landing Page»1x1»10s»VIA»ALL»CPC»BT»X»UNK»SS»NA»Trials_ID</v>
      </c>
      <c r="C482" s="1" t="s">
        <v>28</v>
      </c>
      <c r="D482" s="3" t="n">
        <f aca="false">O482+(7-WEEKDAY(O482))</f>
        <v>43358</v>
      </c>
      <c r="E482" s="1" t="str">
        <f aca="false">VLOOKUP(OFFSET(Table22,481,16,1,1),Key!B:D,2,0)</f>
        <v>France</v>
      </c>
      <c r="F482" s="1" t="str">
        <f aca="false">IF(ISNUMBER(SEARCH("Canvas",U482)),"Link",IF(ISNUMBER(SEARCH("Link",U482)),"Link","Not filled properly"))</f>
        <v>Link</v>
      </c>
      <c r="G482" s="1" t="str">
        <f aca="false">IFERROR(VLOOKUP(OFFSET(Table22,481,21,1,1),OFFSET(Table2,0,1,ROWS(Table2),8),2,0),VLOOKUP(OFFSET(Table22,481,22,1,1),Table2,3,0))</f>
        <v>FRA_gaPMG_AZR_AZR_Q1_19_AzureDirect-Trial-Social</v>
      </c>
      <c r="H482" s="1" t="n">
        <f aca="false">IFERROR(VLOOKUP(OFFSET(Table22,481,21,1,1),OFFSET(Table2,0,1,ROWS(Table2),8),3,0),VLOOKUP(OFFSET(Table22,481,22,1,1),Table2,4,0))</f>
        <v>21356941</v>
      </c>
      <c r="I482" s="2" t="n">
        <f aca="false">IFERROR(VLOOKUP(OFFSET(Table22,481,21,1,1),OFFSET(Table2,0,1,ROWS(Table2),8),4,0),VLOOKUP(OFFSET(Table22,481,22,1,1),Table2,5,0))</f>
        <v>720193</v>
      </c>
      <c r="J482" s="3" t="str">
        <f aca="false">IF(ISNUMBER(SEARCH("FACEBOOK",W482)),"Facebook",IF(ISNUMBER(SEARCH("INSTAGRAM",W482)),"Facebook-Instagram","Look at taxonomy"))</f>
        <v>Facebook</v>
      </c>
      <c r="K482" s="3" t="str">
        <f aca="false">IF(ISNUMBER(SEARCH("Facebook",J482)),"3654128","Not Facebook")</f>
        <v>3654128</v>
      </c>
      <c r="L482" s="3" t="str">
        <f aca="false">IFERROR(VLOOKUP(OFFSET(Table22,481,21,1,1),OFFSET(Table2,0,1,ROWS(Table2),8),7,0),VLOOKUP(OFFSET(Table22,481,22,1,1),Table2,8,0))</f>
        <v>AZR_FBCTCBasicMotion_FRA_10s_VIA_AZRDirect_French_NA_Facebook_STAN_TIN_T1_1</v>
      </c>
      <c r="M482" s="2" t="n">
        <f aca="false">IFERROR(VLOOKUP(OFFSET(Table22,481,21,1,1),OFFSET(Table2,0,1,ROWS(Table2),8),8,0),VLOOKUP(OFFSET(Table22,481,22,1,1),Table2,9,0))</f>
        <v>103376981</v>
      </c>
      <c r="N482" s="15" t="s">
        <v>29</v>
      </c>
      <c r="O482" s="16" t="n">
        <v>43354</v>
      </c>
      <c r="P482" s="17" t="s">
        <v>102</v>
      </c>
      <c r="Q482" s="18" t="s">
        <v>103</v>
      </c>
      <c r="R482" s="17" t="s">
        <v>104</v>
      </c>
      <c r="S482" s="18" t="s">
        <v>33</v>
      </c>
      <c r="T482" s="17" t="s">
        <v>34</v>
      </c>
      <c r="U482" s="18" t="s">
        <v>127</v>
      </c>
      <c r="V482" s="19" t="n">
        <v>224416915</v>
      </c>
      <c r="W482" s="17" t="s">
        <v>128</v>
      </c>
      <c r="X482" s="17" t="n">
        <v>0</v>
      </c>
      <c r="Y482" s="17"/>
      <c r="Z482" s="17" t="n">
        <v>0</v>
      </c>
      <c r="AA482" s="17" t="s">
        <v>38</v>
      </c>
      <c r="AB482" s="17"/>
    </row>
    <row r="483" customFormat="false" ht="15" hidden="false" customHeight="false" outlineLevel="0" collapsed="false">
      <c r="A483" s="1" t="str">
        <f aca="false">OFFSET(Table22,482,14,1,1)&amp;OFFSET(Table22,482,21,1,1)</f>
        <v>43353224416915</v>
      </c>
      <c r="B483" s="1" t="str">
        <f aca="false">OFFSET(Table22,482,14,1,1)&amp;OFFSET(Table22,482,22,1,1)</f>
        <v>43353Facebook»Developers/ITPros-Azure Direct-Sponsored Post-Video Ad-FBCTCBasicMotion_FRA_10s_RTG Landing Page»1x1»10s»VIA»ALL»CPC»BT»X»UNK»SS»NA»Trials_ID</v>
      </c>
      <c r="C483" s="1" t="s">
        <v>28</v>
      </c>
      <c r="D483" s="3" t="n">
        <f aca="false">O483+(7-WEEKDAY(O483))</f>
        <v>43358</v>
      </c>
      <c r="E483" s="1" t="str">
        <f aca="false">VLOOKUP(OFFSET(Table22,482,16,1,1),Key!B:D,2,0)</f>
        <v>France</v>
      </c>
      <c r="F483" s="1" t="str">
        <f aca="false">IF(ISNUMBER(SEARCH("Canvas",U483)),"Link",IF(ISNUMBER(SEARCH("Link",U483)),"Link","Not filled properly"))</f>
        <v>Link</v>
      </c>
      <c r="G483" s="1" t="str">
        <f aca="false">IFERROR(VLOOKUP(OFFSET(Table22,482,21,1,1),OFFSET(Table2,0,1,ROWS(Table2),8),2,0),VLOOKUP(OFFSET(Table22,482,22,1,1),Table2,3,0))</f>
        <v>FRA_gaPMG_AZR_AZR_Q1_19_AzureDirect-Trial-Social</v>
      </c>
      <c r="H483" s="1" t="n">
        <f aca="false">IFERROR(VLOOKUP(OFFSET(Table22,482,21,1,1),OFFSET(Table2,0,1,ROWS(Table2),8),3,0),VLOOKUP(OFFSET(Table22,482,22,1,1),Table2,4,0))</f>
        <v>21356941</v>
      </c>
      <c r="I483" s="2" t="n">
        <f aca="false">IFERROR(VLOOKUP(OFFSET(Table22,482,21,1,1),OFFSET(Table2,0,1,ROWS(Table2),8),4,0),VLOOKUP(OFFSET(Table22,482,22,1,1),Table2,5,0))</f>
        <v>720193</v>
      </c>
      <c r="J483" s="3" t="str">
        <f aca="false">IF(ISNUMBER(SEARCH("FACEBOOK",W483)),"Facebook",IF(ISNUMBER(SEARCH("INSTAGRAM",W483)),"Facebook-Instagram","Look at taxonomy"))</f>
        <v>Facebook</v>
      </c>
      <c r="K483" s="3" t="str">
        <f aca="false">IF(ISNUMBER(SEARCH("Facebook",J483)),"3654128","Not Facebook")</f>
        <v>3654128</v>
      </c>
      <c r="L483" s="3" t="str">
        <f aca="false">IFERROR(VLOOKUP(OFFSET(Table22,482,21,1,1),OFFSET(Table2,0,1,ROWS(Table2),8),7,0),VLOOKUP(OFFSET(Table22,482,22,1,1),Table2,8,0))</f>
        <v>AZR_FBCTCBasicMotion_FRA_10s_VIA_AZRDirect_French_NA_Facebook_STAN_TIN_T1_1</v>
      </c>
      <c r="M483" s="2" t="n">
        <f aca="false">IFERROR(VLOOKUP(OFFSET(Table22,482,21,1,1),OFFSET(Table2,0,1,ROWS(Table2),8),8,0),VLOOKUP(OFFSET(Table22,482,22,1,1),Table2,9,0))</f>
        <v>103376981</v>
      </c>
      <c r="N483" s="15" t="s">
        <v>29</v>
      </c>
      <c r="O483" s="16" t="n">
        <v>43353</v>
      </c>
      <c r="P483" s="17" t="s">
        <v>102</v>
      </c>
      <c r="Q483" s="18" t="s">
        <v>103</v>
      </c>
      <c r="R483" s="17" t="s">
        <v>104</v>
      </c>
      <c r="S483" s="18" t="s">
        <v>33</v>
      </c>
      <c r="T483" s="17" t="s">
        <v>34</v>
      </c>
      <c r="U483" s="18" t="s">
        <v>127</v>
      </c>
      <c r="V483" s="19" t="n">
        <v>224416915</v>
      </c>
      <c r="W483" s="17" t="s">
        <v>128</v>
      </c>
      <c r="X483" s="17" t="n">
        <v>556</v>
      </c>
      <c r="Y483" s="17" t="n">
        <v>9</v>
      </c>
      <c r="Z483" s="17" t="n">
        <v>3.58</v>
      </c>
      <c r="AA483" s="17" t="s">
        <v>38</v>
      </c>
      <c r="AB483" s="17"/>
    </row>
    <row r="484" customFormat="false" ht="15" hidden="false" customHeight="false" outlineLevel="0" collapsed="false">
      <c r="A484" s="1" t="str">
        <f aca="false">OFFSET(Table22,483,14,1,1)&amp;OFFSET(Table22,483,21,1,1)</f>
        <v>43353224416915</v>
      </c>
      <c r="B484" s="1" t="str">
        <f aca="false">OFFSET(Table22,483,14,1,1)&amp;OFFSET(Table22,483,22,1,1)</f>
        <v>43353Facebook»Developers/ITPros-Azure Direct-Sponsored Post-Video Ad-FBCTCBasicMotion_FRA_10s_RTG Landing Page»1x1»10s»VIA»ALL»CPC»BT»X»UNK»SS»NA»Trials_ID</v>
      </c>
      <c r="C484" s="1" t="s">
        <v>28</v>
      </c>
      <c r="D484" s="3" t="n">
        <f aca="false">O484+(7-WEEKDAY(O484))</f>
        <v>43358</v>
      </c>
      <c r="E484" s="1" t="str">
        <f aca="false">VLOOKUP(OFFSET(Table22,483,16,1,1),Key!B:D,2,0)</f>
        <v>France</v>
      </c>
      <c r="F484" s="1" t="str">
        <f aca="false">IF(ISNUMBER(SEARCH("Canvas",U484)),"Link",IF(ISNUMBER(SEARCH("Link",U484)),"Link","Not filled properly"))</f>
        <v>Link</v>
      </c>
      <c r="G484" s="1" t="str">
        <f aca="false">IFERROR(VLOOKUP(OFFSET(Table22,483,21,1,1),OFFSET(Table2,0,1,ROWS(Table2),8),2,0),VLOOKUP(OFFSET(Table22,483,22,1,1),Table2,3,0))</f>
        <v>FRA_gaPMG_AZR_AZR_Q1_19_AzureDirect-Trial-Social</v>
      </c>
      <c r="H484" s="1" t="n">
        <f aca="false">IFERROR(VLOOKUP(OFFSET(Table22,483,21,1,1),OFFSET(Table2,0,1,ROWS(Table2),8),3,0),VLOOKUP(OFFSET(Table22,483,22,1,1),Table2,4,0))</f>
        <v>21356941</v>
      </c>
      <c r="I484" s="2" t="n">
        <f aca="false">IFERROR(VLOOKUP(OFFSET(Table22,483,21,1,1),OFFSET(Table2,0,1,ROWS(Table2),8),4,0),VLOOKUP(OFFSET(Table22,483,22,1,1),Table2,5,0))</f>
        <v>720193</v>
      </c>
      <c r="J484" s="3" t="str">
        <f aca="false">IF(ISNUMBER(SEARCH("FACEBOOK",W484)),"Facebook",IF(ISNUMBER(SEARCH("INSTAGRAM",W484)),"Facebook-Instagram","Look at taxonomy"))</f>
        <v>Facebook</v>
      </c>
      <c r="K484" s="3" t="str">
        <f aca="false">IF(ISNUMBER(SEARCH("Facebook",J484)),"3654128","Not Facebook")</f>
        <v>3654128</v>
      </c>
      <c r="L484" s="3" t="str">
        <f aca="false">IFERROR(VLOOKUP(OFFSET(Table22,483,21,1,1),OFFSET(Table2,0,1,ROWS(Table2),8),7,0),VLOOKUP(OFFSET(Table22,483,22,1,1),Table2,8,0))</f>
        <v>AZR_FBCTCBasicMotion_FRA_10s_VIA_AZRDirect_French_NA_Facebook_STAN_TIN_T1_1</v>
      </c>
      <c r="M484" s="2" t="n">
        <f aca="false">IFERROR(VLOOKUP(OFFSET(Table22,483,21,1,1),OFFSET(Table2,0,1,ROWS(Table2),8),8,0),VLOOKUP(OFFSET(Table22,483,22,1,1),Table2,9,0))</f>
        <v>103376981</v>
      </c>
      <c r="N484" s="15" t="s">
        <v>29</v>
      </c>
      <c r="O484" s="16" t="n">
        <v>43353</v>
      </c>
      <c r="P484" s="17" t="s">
        <v>102</v>
      </c>
      <c r="Q484" s="18" t="s">
        <v>103</v>
      </c>
      <c r="R484" s="17" t="s">
        <v>104</v>
      </c>
      <c r="S484" s="18" t="s">
        <v>33</v>
      </c>
      <c r="T484" s="17" t="s">
        <v>34</v>
      </c>
      <c r="U484" s="18" t="s">
        <v>127</v>
      </c>
      <c r="V484" s="19" t="n">
        <v>224416915</v>
      </c>
      <c r="W484" s="17" t="s">
        <v>128</v>
      </c>
      <c r="X484" s="17" t="n">
        <v>0</v>
      </c>
      <c r="Y484" s="17"/>
      <c r="Z484" s="17" t="n">
        <v>0</v>
      </c>
      <c r="AA484" s="17" t="s">
        <v>38</v>
      </c>
      <c r="AB484" s="17"/>
    </row>
    <row r="485" customFormat="false" ht="15" hidden="false" customHeight="false" outlineLevel="0" collapsed="false">
      <c r="A485" s="1" t="str">
        <f aca="false">OFFSET(Table22,484,14,1,1)&amp;OFFSET(Table22,484,21,1,1)</f>
        <v>43353224416915</v>
      </c>
      <c r="B485" s="1" t="str">
        <f aca="false">OFFSET(Table22,484,14,1,1)&amp;OFFSET(Table22,484,22,1,1)</f>
        <v>43353Facebook»Developers/ITPros-Azure Direct-Sponsored Post-Video Ad-FBCTCBasicMotion_FRA_10s_RTG Landing Page»1x1»10s»VIA»ALL»CPC»BT»X»UNK»SS»NA»Trials_ID</v>
      </c>
      <c r="C485" s="1" t="s">
        <v>28</v>
      </c>
      <c r="D485" s="3" t="n">
        <f aca="false">O485+(7-WEEKDAY(O485))</f>
        <v>43358</v>
      </c>
      <c r="E485" s="1" t="str">
        <f aca="false">VLOOKUP(OFFSET(Table22,484,16,1,1),Key!B:D,2,0)</f>
        <v>France</v>
      </c>
      <c r="F485" s="1" t="str">
        <f aca="false">IF(ISNUMBER(SEARCH("Canvas",U485)),"Link",IF(ISNUMBER(SEARCH("Link",U485)),"Link","Not filled properly"))</f>
        <v>Link</v>
      </c>
      <c r="G485" s="1" t="str">
        <f aca="false">IFERROR(VLOOKUP(OFFSET(Table22,484,21,1,1),OFFSET(Table2,0,1,ROWS(Table2),8),2,0),VLOOKUP(OFFSET(Table22,484,22,1,1),Table2,3,0))</f>
        <v>FRA_gaPMG_AZR_AZR_Q1_19_AzureDirect-Trial-Social</v>
      </c>
      <c r="H485" s="1" t="n">
        <f aca="false">IFERROR(VLOOKUP(OFFSET(Table22,484,21,1,1),OFFSET(Table2,0,1,ROWS(Table2),8),3,0),VLOOKUP(OFFSET(Table22,484,22,1,1),Table2,4,0))</f>
        <v>21356941</v>
      </c>
      <c r="I485" s="2" t="n">
        <f aca="false">IFERROR(VLOOKUP(OFFSET(Table22,484,21,1,1),OFFSET(Table2,0,1,ROWS(Table2),8),4,0),VLOOKUP(OFFSET(Table22,484,22,1,1),Table2,5,0))</f>
        <v>720193</v>
      </c>
      <c r="J485" s="3" t="str">
        <f aca="false">IF(ISNUMBER(SEARCH("FACEBOOK",W485)),"Facebook",IF(ISNUMBER(SEARCH("INSTAGRAM",W485)),"Facebook-Instagram","Look at taxonomy"))</f>
        <v>Facebook</v>
      </c>
      <c r="K485" s="3" t="str">
        <f aca="false">IF(ISNUMBER(SEARCH("Facebook",J485)),"3654128","Not Facebook")</f>
        <v>3654128</v>
      </c>
      <c r="L485" s="3" t="str">
        <f aca="false">IFERROR(VLOOKUP(OFFSET(Table22,484,21,1,1),OFFSET(Table2,0,1,ROWS(Table2),8),7,0),VLOOKUP(OFFSET(Table22,484,22,1,1),Table2,8,0))</f>
        <v>AZR_FBCTCBasicMotion_FRA_10s_VIA_AZRDirect_French_NA_Facebook_STAN_TIN_T1_1</v>
      </c>
      <c r="M485" s="2" t="n">
        <f aca="false">IFERROR(VLOOKUP(OFFSET(Table22,484,21,1,1),OFFSET(Table2,0,1,ROWS(Table2),8),8,0),VLOOKUP(OFFSET(Table22,484,22,1,1),Table2,9,0))</f>
        <v>103376981</v>
      </c>
      <c r="N485" s="15" t="s">
        <v>29</v>
      </c>
      <c r="O485" s="16" t="n">
        <v>43353</v>
      </c>
      <c r="P485" s="17" t="s">
        <v>102</v>
      </c>
      <c r="Q485" s="18" t="s">
        <v>103</v>
      </c>
      <c r="R485" s="17" t="s">
        <v>104</v>
      </c>
      <c r="S485" s="18" t="s">
        <v>33</v>
      </c>
      <c r="T485" s="17" t="s">
        <v>34</v>
      </c>
      <c r="U485" s="18" t="s">
        <v>127</v>
      </c>
      <c r="V485" s="19" t="n">
        <v>224416915</v>
      </c>
      <c r="W485" s="17" t="s">
        <v>128</v>
      </c>
      <c r="X485" s="17" t="n">
        <v>0</v>
      </c>
      <c r="Y485" s="17"/>
      <c r="Z485" s="17" t="n">
        <v>0</v>
      </c>
      <c r="AA485" s="17" t="s">
        <v>38</v>
      </c>
      <c r="AB485" s="17"/>
    </row>
    <row r="486" customFormat="false" ht="15" hidden="false" customHeight="false" outlineLevel="0" collapsed="false">
      <c r="A486" s="1" t="str">
        <f aca="false">OFFSET(Table22,485,14,1,1)&amp;OFFSET(Table22,485,21,1,1)</f>
        <v>43353224416915</v>
      </c>
      <c r="B486" s="1" t="str">
        <f aca="false">OFFSET(Table22,485,14,1,1)&amp;OFFSET(Table22,485,22,1,1)</f>
        <v>43353Facebook»Developers/ITPros-Azure Direct-Sponsored Post-Video Ad-FBCTCBasicMotion_FRA_10s_RTG Landing Page»1x1»10s»VIA»ALL»CPC»BT»X»UNK»SS»NA»Trials_ID</v>
      </c>
      <c r="C486" s="1" t="s">
        <v>28</v>
      </c>
      <c r="D486" s="3" t="n">
        <f aca="false">O486+(7-WEEKDAY(O486))</f>
        <v>43358</v>
      </c>
      <c r="E486" s="1" t="str">
        <f aca="false">VLOOKUP(OFFSET(Table22,485,16,1,1),Key!B:D,2,0)</f>
        <v>France</v>
      </c>
      <c r="F486" s="1" t="str">
        <f aca="false">IF(ISNUMBER(SEARCH("Canvas",U486)),"Link",IF(ISNUMBER(SEARCH("Link",U486)),"Link","Not filled properly"))</f>
        <v>Link</v>
      </c>
      <c r="G486" s="1" t="str">
        <f aca="false">IFERROR(VLOOKUP(OFFSET(Table22,485,21,1,1),OFFSET(Table2,0,1,ROWS(Table2),8),2,0),VLOOKUP(OFFSET(Table22,485,22,1,1),Table2,3,0))</f>
        <v>FRA_gaPMG_AZR_AZR_Q1_19_AzureDirect-Trial-Social</v>
      </c>
      <c r="H486" s="1" t="n">
        <f aca="false">IFERROR(VLOOKUP(OFFSET(Table22,485,21,1,1),OFFSET(Table2,0,1,ROWS(Table2),8),3,0),VLOOKUP(OFFSET(Table22,485,22,1,1),Table2,4,0))</f>
        <v>21356941</v>
      </c>
      <c r="I486" s="2" t="n">
        <f aca="false">IFERROR(VLOOKUP(OFFSET(Table22,485,21,1,1),OFFSET(Table2,0,1,ROWS(Table2),8),4,0),VLOOKUP(OFFSET(Table22,485,22,1,1),Table2,5,0))</f>
        <v>720193</v>
      </c>
      <c r="J486" s="3" t="str">
        <f aca="false">IF(ISNUMBER(SEARCH("FACEBOOK",W486)),"Facebook",IF(ISNUMBER(SEARCH("INSTAGRAM",W486)),"Facebook-Instagram","Look at taxonomy"))</f>
        <v>Facebook</v>
      </c>
      <c r="K486" s="3" t="str">
        <f aca="false">IF(ISNUMBER(SEARCH("Facebook",J486)),"3654128","Not Facebook")</f>
        <v>3654128</v>
      </c>
      <c r="L486" s="3" t="str">
        <f aca="false">IFERROR(VLOOKUP(OFFSET(Table22,485,21,1,1),OFFSET(Table2,0,1,ROWS(Table2),8),7,0),VLOOKUP(OFFSET(Table22,485,22,1,1),Table2,8,0))</f>
        <v>AZR_FBCTCBasicMotion_FRA_10s_VIA_AZRDirect_French_NA_Facebook_STAN_TIN_T1_1</v>
      </c>
      <c r="M486" s="2" t="n">
        <f aca="false">IFERROR(VLOOKUP(OFFSET(Table22,485,21,1,1),OFFSET(Table2,0,1,ROWS(Table2),8),8,0),VLOOKUP(OFFSET(Table22,485,22,1,1),Table2,9,0))</f>
        <v>103376981</v>
      </c>
      <c r="N486" s="15" t="s">
        <v>29</v>
      </c>
      <c r="O486" s="16" t="n">
        <v>43353</v>
      </c>
      <c r="P486" s="17" t="s">
        <v>102</v>
      </c>
      <c r="Q486" s="18" t="s">
        <v>103</v>
      </c>
      <c r="R486" s="17" t="s">
        <v>104</v>
      </c>
      <c r="S486" s="18" t="s">
        <v>33</v>
      </c>
      <c r="T486" s="17" t="s">
        <v>34</v>
      </c>
      <c r="U486" s="18" t="s">
        <v>127</v>
      </c>
      <c r="V486" s="19" t="n">
        <v>224416915</v>
      </c>
      <c r="W486" s="17" t="s">
        <v>128</v>
      </c>
      <c r="X486" s="17" t="n">
        <v>5113</v>
      </c>
      <c r="Y486" s="17" t="n">
        <v>51</v>
      </c>
      <c r="Z486" s="17" t="n">
        <v>35.48</v>
      </c>
      <c r="AA486" s="17" t="s">
        <v>38</v>
      </c>
      <c r="AB486" s="17"/>
    </row>
    <row r="487" customFormat="false" ht="15" hidden="false" customHeight="false" outlineLevel="0" collapsed="false">
      <c r="A487" s="1" t="str">
        <f aca="false">OFFSET(Table22,486,14,1,1)&amp;OFFSET(Table22,486,21,1,1)</f>
        <v>43352224416915</v>
      </c>
      <c r="B487" s="1" t="str">
        <f aca="false">OFFSET(Table22,486,14,1,1)&amp;OFFSET(Table22,486,22,1,1)</f>
        <v>43352Facebook»Developers/ITPros-Azure Direct-Sponsored Post-Video Ad-FBCTCBasicMotion_FRA_10s_RTG Landing Page»1x1»10s»VIA»ALL»CPC»BT»X»UNK»SS»NA»Trials_ID</v>
      </c>
      <c r="C487" s="1" t="s">
        <v>28</v>
      </c>
      <c r="D487" s="3" t="n">
        <f aca="false">O487+(7-WEEKDAY(O487))</f>
        <v>43358</v>
      </c>
      <c r="E487" s="1" t="str">
        <f aca="false">VLOOKUP(OFFSET(Table22,486,16,1,1),Key!B:D,2,0)</f>
        <v>France</v>
      </c>
      <c r="F487" s="1" t="str">
        <f aca="false">IF(ISNUMBER(SEARCH("Canvas",U487)),"Link",IF(ISNUMBER(SEARCH("Link",U487)),"Link","Not filled properly"))</f>
        <v>Link</v>
      </c>
      <c r="G487" s="1" t="str">
        <f aca="false">IFERROR(VLOOKUP(OFFSET(Table22,486,21,1,1),OFFSET(Table2,0,1,ROWS(Table2),8),2,0),VLOOKUP(OFFSET(Table22,486,22,1,1),Table2,3,0))</f>
        <v>FRA_gaPMG_AZR_AZR_Q1_19_AzureDirect-Trial-Social</v>
      </c>
      <c r="H487" s="1" t="n">
        <f aca="false">IFERROR(VLOOKUP(OFFSET(Table22,486,21,1,1),OFFSET(Table2,0,1,ROWS(Table2),8),3,0),VLOOKUP(OFFSET(Table22,486,22,1,1),Table2,4,0))</f>
        <v>21356941</v>
      </c>
      <c r="I487" s="2" t="n">
        <f aca="false">IFERROR(VLOOKUP(OFFSET(Table22,486,21,1,1),OFFSET(Table2,0,1,ROWS(Table2),8),4,0),VLOOKUP(OFFSET(Table22,486,22,1,1),Table2,5,0))</f>
        <v>720193</v>
      </c>
      <c r="J487" s="3" t="str">
        <f aca="false">IF(ISNUMBER(SEARCH("FACEBOOK",W487)),"Facebook",IF(ISNUMBER(SEARCH("INSTAGRAM",W487)),"Facebook-Instagram","Look at taxonomy"))</f>
        <v>Facebook</v>
      </c>
      <c r="K487" s="3" t="str">
        <f aca="false">IF(ISNUMBER(SEARCH("Facebook",J487)),"3654128","Not Facebook")</f>
        <v>3654128</v>
      </c>
      <c r="L487" s="3" t="str">
        <f aca="false">IFERROR(VLOOKUP(OFFSET(Table22,486,21,1,1),OFFSET(Table2,0,1,ROWS(Table2),8),7,0),VLOOKUP(OFFSET(Table22,486,22,1,1),Table2,8,0))</f>
        <v>AZR_FBCTCBasicMotion_FRA_10s_VIA_AZRDirect_French_NA_Facebook_STAN_TIN_T1_1</v>
      </c>
      <c r="M487" s="2" t="n">
        <f aca="false">IFERROR(VLOOKUP(OFFSET(Table22,486,21,1,1),OFFSET(Table2,0,1,ROWS(Table2),8),8,0),VLOOKUP(OFFSET(Table22,486,22,1,1),Table2,9,0))</f>
        <v>103376981</v>
      </c>
      <c r="N487" s="15" t="s">
        <v>29</v>
      </c>
      <c r="O487" s="16" t="n">
        <v>43352</v>
      </c>
      <c r="P487" s="17" t="s">
        <v>102</v>
      </c>
      <c r="Q487" s="18" t="s">
        <v>103</v>
      </c>
      <c r="R487" s="17" t="s">
        <v>104</v>
      </c>
      <c r="S487" s="18" t="s">
        <v>33</v>
      </c>
      <c r="T487" s="17" t="s">
        <v>34</v>
      </c>
      <c r="U487" s="18" t="s">
        <v>127</v>
      </c>
      <c r="V487" s="19" t="n">
        <v>224416915</v>
      </c>
      <c r="W487" s="17" t="s">
        <v>128</v>
      </c>
      <c r="X487" s="17" t="n">
        <v>0</v>
      </c>
      <c r="Y487" s="17"/>
      <c r="Z487" s="17" t="n">
        <v>0</v>
      </c>
      <c r="AA487" s="17" t="s">
        <v>38</v>
      </c>
      <c r="AB487" s="17"/>
    </row>
    <row r="488" customFormat="false" ht="15" hidden="false" customHeight="false" outlineLevel="0" collapsed="false">
      <c r="A488" s="1" t="str">
        <f aca="false">OFFSET(Table22,487,14,1,1)&amp;OFFSET(Table22,487,21,1,1)</f>
        <v>43352224416915</v>
      </c>
      <c r="B488" s="1" t="str">
        <f aca="false">OFFSET(Table22,487,14,1,1)&amp;OFFSET(Table22,487,22,1,1)</f>
        <v>43352Facebook»Developers/ITPros-Azure Direct-Sponsored Post-Video Ad-FBCTCBasicMotion_FRA_10s_RTG Landing Page»1x1»10s»VIA»ALL»CPC»BT»X»UNK»SS»NA»Trials_ID</v>
      </c>
      <c r="C488" s="1" t="s">
        <v>28</v>
      </c>
      <c r="D488" s="3" t="n">
        <f aca="false">O488+(7-WEEKDAY(O488))</f>
        <v>43358</v>
      </c>
      <c r="E488" s="1" t="str">
        <f aca="false">VLOOKUP(OFFSET(Table22,487,16,1,1),Key!B:D,2,0)</f>
        <v>France</v>
      </c>
      <c r="F488" s="1" t="str">
        <f aca="false">IF(ISNUMBER(SEARCH("Canvas",U488)),"Link",IF(ISNUMBER(SEARCH("Link",U488)),"Link","Not filled properly"))</f>
        <v>Link</v>
      </c>
      <c r="G488" s="1" t="str">
        <f aca="false">IFERROR(VLOOKUP(OFFSET(Table22,487,21,1,1),OFFSET(Table2,0,1,ROWS(Table2),8),2,0),VLOOKUP(OFFSET(Table22,487,22,1,1),Table2,3,0))</f>
        <v>FRA_gaPMG_AZR_AZR_Q1_19_AzureDirect-Trial-Social</v>
      </c>
      <c r="H488" s="1" t="n">
        <f aca="false">IFERROR(VLOOKUP(OFFSET(Table22,487,21,1,1),OFFSET(Table2,0,1,ROWS(Table2),8),3,0),VLOOKUP(OFFSET(Table22,487,22,1,1),Table2,4,0))</f>
        <v>21356941</v>
      </c>
      <c r="I488" s="2" t="n">
        <f aca="false">IFERROR(VLOOKUP(OFFSET(Table22,487,21,1,1),OFFSET(Table2,0,1,ROWS(Table2),8),4,0),VLOOKUP(OFFSET(Table22,487,22,1,1),Table2,5,0))</f>
        <v>720193</v>
      </c>
      <c r="J488" s="3" t="str">
        <f aca="false">IF(ISNUMBER(SEARCH("FACEBOOK",W488)),"Facebook",IF(ISNUMBER(SEARCH("INSTAGRAM",W488)),"Facebook-Instagram","Look at taxonomy"))</f>
        <v>Facebook</v>
      </c>
      <c r="K488" s="3" t="str">
        <f aca="false">IF(ISNUMBER(SEARCH("Facebook",J488)),"3654128","Not Facebook")</f>
        <v>3654128</v>
      </c>
      <c r="L488" s="3" t="str">
        <f aca="false">IFERROR(VLOOKUP(OFFSET(Table22,487,21,1,1),OFFSET(Table2,0,1,ROWS(Table2),8),7,0),VLOOKUP(OFFSET(Table22,487,22,1,1),Table2,8,0))</f>
        <v>AZR_FBCTCBasicMotion_FRA_10s_VIA_AZRDirect_French_NA_Facebook_STAN_TIN_T1_1</v>
      </c>
      <c r="M488" s="2" t="n">
        <f aca="false">IFERROR(VLOOKUP(OFFSET(Table22,487,21,1,1),OFFSET(Table2,0,1,ROWS(Table2),8),8,0),VLOOKUP(OFFSET(Table22,487,22,1,1),Table2,9,0))</f>
        <v>103376981</v>
      </c>
      <c r="N488" s="15" t="s">
        <v>29</v>
      </c>
      <c r="O488" s="16" t="n">
        <v>43352</v>
      </c>
      <c r="P488" s="17" t="s">
        <v>102</v>
      </c>
      <c r="Q488" s="18" t="s">
        <v>103</v>
      </c>
      <c r="R488" s="17" t="s">
        <v>104</v>
      </c>
      <c r="S488" s="18" t="s">
        <v>33</v>
      </c>
      <c r="T488" s="17" t="s">
        <v>34</v>
      </c>
      <c r="U488" s="18" t="s">
        <v>127</v>
      </c>
      <c r="V488" s="19" t="n">
        <v>224416915</v>
      </c>
      <c r="W488" s="17" t="s">
        <v>128</v>
      </c>
      <c r="X488" s="17" t="n">
        <v>0</v>
      </c>
      <c r="Y488" s="17"/>
      <c r="Z488" s="17" t="n">
        <v>0</v>
      </c>
      <c r="AA488" s="17" t="s">
        <v>38</v>
      </c>
      <c r="AB488" s="17"/>
    </row>
    <row r="489" customFormat="false" ht="15" hidden="false" customHeight="false" outlineLevel="0" collapsed="false">
      <c r="A489" s="1" t="str">
        <f aca="false">OFFSET(Table22,488,14,1,1)&amp;OFFSET(Table22,488,21,1,1)</f>
        <v>43352224416915</v>
      </c>
      <c r="B489" s="1" t="str">
        <f aca="false">OFFSET(Table22,488,14,1,1)&amp;OFFSET(Table22,488,22,1,1)</f>
        <v>43352Facebook»Developers/ITPros-Azure Direct-Sponsored Post-Video Ad-FBCTCBasicMotion_FRA_10s_RTG Landing Page»1x1»10s»VIA»ALL»CPC»BT»X»UNK»SS»NA»Trials_ID</v>
      </c>
      <c r="C489" s="1" t="s">
        <v>28</v>
      </c>
      <c r="D489" s="3" t="n">
        <f aca="false">O489+(7-WEEKDAY(O489))</f>
        <v>43358</v>
      </c>
      <c r="E489" s="1" t="str">
        <f aca="false">VLOOKUP(OFFSET(Table22,488,16,1,1),Key!B:D,2,0)</f>
        <v>France</v>
      </c>
      <c r="F489" s="1" t="str">
        <f aca="false">IF(ISNUMBER(SEARCH("Canvas",U489)),"Link",IF(ISNUMBER(SEARCH("Link",U489)),"Link","Not filled properly"))</f>
        <v>Link</v>
      </c>
      <c r="G489" s="1" t="str">
        <f aca="false">IFERROR(VLOOKUP(OFFSET(Table22,488,21,1,1),OFFSET(Table2,0,1,ROWS(Table2),8),2,0),VLOOKUP(OFFSET(Table22,488,22,1,1),Table2,3,0))</f>
        <v>FRA_gaPMG_AZR_AZR_Q1_19_AzureDirect-Trial-Social</v>
      </c>
      <c r="H489" s="1" t="n">
        <f aca="false">IFERROR(VLOOKUP(OFFSET(Table22,488,21,1,1),OFFSET(Table2,0,1,ROWS(Table2),8),3,0),VLOOKUP(OFFSET(Table22,488,22,1,1),Table2,4,0))</f>
        <v>21356941</v>
      </c>
      <c r="I489" s="2" t="n">
        <f aca="false">IFERROR(VLOOKUP(OFFSET(Table22,488,21,1,1),OFFSET(Table2,0,1,ROWS(Table2),8),4,0),VLOOKUP(OFFSET(Table22,488,22,1,1),Table2,5,0))</f>
        <v>720193</v>
      </c>
      <c r="J489" s="3" t="str">
        <f aca="false">IF(ISNUMBER(SEARCH("FACEBOOK",W489)),"Facebook",IF(ISNUMBER(SEARCH("INSTAGRAM",W489)),"Facebook-Instagram","Look at taxonomy"))</f>
        <v>Facebook</v>
      </c>
      <c r="K489" s="3" t="str">
        <f aca="false">IF(ISNUMBER(SEARCH("Facebook",J489)),"3654128","Not Facebook")</f>
        <v>3654128</v>
      </c>
      <c r="L489" s="3" t="str">
        <f aca="false">IFERROR(VLOOKUP(OFFSET(Table22,488,21,1,1),OFFSET(Table2,0,1,ROWS(Table2),8),7,0),VLOOKUP(OFFSET(Table22,488,22,1,1),Table2,8,0))</f>
        <v>AZR_FBCTCBasicMotion_FRA_10s_VIA_AZRDirect_French_NA_Facebook_STAN_TIN_T1_1</v>
      </c>
      <c r="M489" s="2" t="n">
        <f aca="false">IFERROR(VLOOKUP(OFFSET(Table22,488,21,1,1),OFFSET(Table2,0,1,ROWS(Table2),8),8,0),VLOOKUP(OFFSET(Table22,488,22,1,1),Table2,9,0))</f>
        <v>103376981</v>
      </c>
      <c r="N489" s="15" t="s">
        <v>29</v>
      </c>
      <c r="O489" s="16" t="n">
        <v>43352</v>
      </c>
      <c r="P489" s="17" t="s">
        <v>102</v>
      </c>
      <c r="Q489" s="18" t="s">
        <v>103</v>
      </c>
      <c r="R489" s="17" t="s">
        <v>104</v>
      </c>
      <c r="S489" s="18" t="s">
        <v>33</v>
      </c>
      <c r="T489" s="17" t="s">
        <v>34</v>
      </c>
      <c r="U489" s="18" t="s">
        <v>127</v>
      </c>
      <c r="V489" s="19" t="n">
        <v>224416915</v>
      </c>
      <c r="W489" s="17" t="s">
        <v>128</v>
      </c>
      <c r="X489" s="17" t="n">
        <v>3</v>
      </c>
      <c r="Y489" s="17"/>
      <c r="Z489" s="17" t="n">
        <v>0.01</v>
      </c>
      <c r="AA489" s="17" t="s">
        <v>38</v>
      </c>
      <c r="AB489" s="17"/>
    </row>
    <row r="490" customFormat="false" ht="15" hidden="false" customHeight="false" outlineLevel="0" collapsed="false">
      <c r="A490" s="1" t="str">
        <f aca="false">OFFSET(Table22,489,14,1,1)&amp;OFFSET(Table22,489,21,1,1)</f>
        <v>43352224416915</v>
      </c>
      <c r="B490" s="1" t="str">
        <f aca="false">OFFSET(Table22,489,14,1,1)&amp;OFFSET(Table22,489,22,1,1)</f>
        <v>43352Facebook»Developers/ITPros-Azure Direct-Sponsored Post-Video Ad-FBCTCBasicMotion_FRA_10s_RTG Landing Page»1x1»10s»VIA»ALL»CPC»BT»X»UNK»SS»NA»Trials_ID</v>
      </c>
      <c r="C490" s="1" t="s">
        <v>28</v>
      </c>
      <c r="D490" s="3" t="n">
        <f aca="false">O490+(7-WEEKDAY(O490))</f>
        <v>43358</v>
      </c>
      <c r="E490" s="1" t="str">
        <f aca="false">VLOOKUP(OFFSET(Table22,489,16,1,1),Key!B:D,2,0)</f>
        <v>France</v>
      </c>
      <c r="F490" s="1" t="str">
        <f aca="false">IF(ISNUMBER(SEARCH("Canvas",U490)),"Link",IF(ISNUMBER(SEARCH("Link",U490)),"Link","Not filled properly"))</f>
        <v>Link</v>
      </c>
      <c r="G490" s="1" t="str">
        <f aca="false">IFERROR(VLOOKUP(OFFSET(Table22,489,21,1,1),OFFSET(Table2,0,1,ROWS(Table2),8),2,0),VLOOKUP(OFFSET(Table22,489,22,1,1),Table2,3,0))</f>
        <v>FRA_gaPMG_AZR_AZR_Q1_19_AzureDirect-Trial-Social</v>
      </c>
      <c r="H490" s="1" t="n">
        <f aca="false">IFERROR(VLOOKUP(OFFSET(Table22,489,21,1,1),OFFSET(Table2,0,1,ROWS(Table2),8),3,0),VLOOKUP(OFFSET(Table22,489,22,1,1),Table2,4,0))</f>
        <v>21356941</v>
      </c>
      <c r="I490" s="2" t="n">
        <f aca="false">IFERROR(VLOOKUP(OFFSET(Table22,489,21,1,1),OFFSET(Table2,0,1,ROWS(Table2),8),4,0),VLOOKUP(OFFSET(Table22,489,22,1,1),Table2,5,0))</f>
        <v>720193</v>
      </c>
      <c r="J490" s="3" t="str">
        <f aca="false">IF(ISNUMBER(SEARCH("FACEBOOK",W490)),"Facebook",IF(ISNUMBER(SEARCH("INSTAGRAM",W490)),"Facebook-Instagram","Look at taxonomy"))</f>
        <v>Facebook</v>
      </c>
      <c r="K490" s="3" t="str">
        <f aca="false">IF(ISNUMBER(SEARCH("Facebook",J490)),"3654128","Not Facebook")</f>
        <v>3654128</v>
      </c>
      <c r="L490" s="3" t="str">
        <f aca="false">IFERROR(VLOOKUP(OFFSET(Table22,489,21,1,1),OFFSET(Table2,0,1,ROWS(Table2),8),7,0),VLOOKUP(OFFSET(Table22,489,22,1,1),Table2,8,0))</f>
        <v>AZR_FBCTCBasicMotion_FRA_10s_VIA_AZRDirect_French_NA_Facebook_STAN_TIN_T1_1</v>
      </c>
      <c r="M490" s="2" t="n">
        <f aca="false">IFERROR(VLOOKUP(OFFSET(Table22,489,21,1,1),OFFSET(Table2,0,1,ROWS(Table2),8),8,0),VLOOKUP(OFFSET(Table22,489,22,1,1),Table2,9,0))</f>
        <v>103376981</v>
      </c>
      <c r="N490" s="15" t="s">
        <v>29</v>
      </c>
      <c r="O490" s="16" t="n">
        <v>43352</v>
      </c>
      <c r="P490" s="17" t="s">
        <v>102</v>
      </c>
      <c r="Q490" s="18" t="s">
        <v>103</v>
      </c>
      <c r="R490" s="17" t="s">
        <v>104</v>
      </c>
      <c r="S490" s="18" t="s">
        <v>33</v>
      </c>
      <c r="T490" s="17" t="s">
        <v>34</v>
      </c>
      <c r="U490" s="18" t="s">
        <v>127</v>
      </c>
      <c r="V490" s="19" t="n">
        <v>224416915</v>
      </c>
      <c r="W490" s="17" t="s">
        <v>128</v>
      </c>
      <c r="X490" s="17" t="n">
        <v>4</v>
      </c>
      <c r="Y490" s="17"/>
      <c r="Z490" s="17" t="n">
        <v>0.02</v>
      </c>
      <c r="AA490" s="17" t="s">
        <v>38</v>
      </c>
      <c r="AB490" s="17"/>
    </row>
    <row r="491" customFormat="false" ht="15" hidden="false" customHeight="false" outlineLevel="0" collapsed="false">
      <c r="A491" s="1" t="str">
        <f aca="false">OFFSET(Table22,490,14,1,1)&amp;OFFSET(Table22,490,21,1,1)</f>
        <v>43358224560875</v>
      </c>
      <c r="B491" s="1" t="str">
        <f aca="false">OFFSET(Table22,490,14,1,1)&amp;OFFSET(Table22,490,22,1,1)</f>
        <v>43358Facebook»Developers/ITPros-Azure Direct-Sponsored Post-Video Ad-FBCTCBenefit2inMotion_FRA_14s_RTG Landing Page»1x1»14s»VIA»ALL»CPC»BT»X»UNK»SS»NA»Trials_ID</v>
      </c>
      <c r="C491" s="1" t="s">
        <v>28</v>
      </c>
      <c r="D491" s="3" t="n">
        <f aca="false">O491+(7-WEEKDAY(O491))</f>
        <v>43358</v>
      </c>
      <c r="E491" s="1" t="str">
        <f aca="false">VLOOKUP(OFFSET(Table22,490,16,1,1),Key!B:D,2,0)</f>
        <v>France</v>
      </c>
      <c r="F491" s="1" t="str">
        <f aca="false">IF(ISNUMBER(SEARCH("Canvas",U491)),"Link",IF(ISNUMBER(SEARCH("Link",U491)),"Link","Not filled properly"))</f>
        <v>Link</v>
      </c>
      <c r="G491" s="1" t="str">
        <f aca="false">IFERROR(VLOOKUP(OFFSET(Table22,490,21,1,1),OFFSET(Table2,0,1,ROWS(Table2),8),2,0),VLOOKUP(OFFSET(Table22,490,22,1,1),Table2,3,0))</f>
        <v>FRA_gaPMG_AZR_AZR_Q1_19_AzureDirect-Trial-Social</v>
      </c>
      <c r="H491" s="1" t="n">
        <f aca="false">IFERROR(VLOOKUP(OFFSET(Table22,490,21,1,1),OFFSET(Table2,0,1,ROWS(Table2),8),3,0),VLOOKUP(OFFSET(Table22,490,22,1,1),Table2,4,0))</f>
        <v>21356941</v>
      </c>
      <c r="I491" s="2" t="n">
        <f aca="false">IFERROR(VLOOKUP(OFFSET(Table22,490,21,1,1),OFFSET(Table2,0,1,ROWS(Table2),8),4,0),VLOOKUP(OFFSET(Table22,490,22,1,1),Table2,5,0))</f>
        <v>720193</v>
      </c>
      <c r="J491" s="3" t="str">
        <f aca="false">IF(ISNUMBER(SEARCH("FACEBOOK",W491)),"Facebook",IF(ISNUMBER(SEARCH("INSTAGRAM",W491)),"Facebook-Instagram","Look at taxonomy"))</f>
        <v>Facebook</v>
      </c>
      <c r="K491" s="3" t="str">
        <f aca="false">IF(ISNUMBER(SEARCH("Facebook",J491)),"3654128","Not Facebook")</f>
        <v>3654128</v>
      </c>
      <c r="L491" s="3" t="str">
        <f aca="false">IFERROR(VLOOKUP(OFFSET(Table22,490,21,1,1),OFFSET(Table2,0,1,ROWS(Table2),8),7,0),VLOOKUP(OFFSET(Table22,490,22,1,1),Table2,8,0))</f>
        <v>AZR_FBCTCBenefit2inMotion_FRA_14s_VIA_AZRDirect_French_NA_Facebook_STAN_TIN_T4_1</v>
      </c>
      <c r="M491" s="2" t="n">
        <f aca="false">IFERROR(VLOOKUP(OFFSET(Table22,490,21,1,1),OFFSET(Table2,0,1,ROWS(Table2),8),8,0),VLOOKUP(OFFSET(Table22,490,22,1,1),Table2,9,0))</f>
        <v>103259766</v>
      </c>
      <c r="N491" s="15" t="s">
        <v>29</v>
      </c>
      <c r="O491" s="16" t="n">
        <v>43358</v>
      </c>
      <c r="P491" s="17" t="s">
        <v>102</v>
      </c>
      <c r="Q491" s="18" t="s">
        <v>103</v>
      </c>
      <c r="R491" s="17" t="s">
        <v>104</v>
      </c>
      <c r="S491" s="18" t="s">
        <v>33</v>
      </c>
      <c r="T491" s="17" t="s">
        <v>34</v>
      </c>
      <c r="U491" s="18" t="s">
        <v>127</v>
      </c>
      <c r="V491" s="19" t="n">
        <v>224560875</v>
      </c>
      <c r="W491" s="17" t="s">
        <v>129</v>
      </c>
      <c r="X491" s="17" t="n">
        <v>0</v>
      </c>
      <c r="Y491" s="17"/>
      <c r="Z491" s="17" t="n">
        <v>0</v>
      </c>
      <c r="AA491" s="17" t="s">
        <v>38</v>
      </c>
      <c r="AB491" s="17"/>
    </row>
    <row r="492" customFormat="false" ht="15" hidden="false" customHeight="false" outlineLevel="0" collapsed="false">
      <c r="A492" s="1" t="str">
        <f aca="false">OFFSET(Table22,491,14,1,1)&amp;OFFSET(Table22,491,21,1,1)</f>
        <v>43358224560875</v>
      </c>
      <c r="B492" s="1" t="str">
        <f aca="false">OFFSET(Table22,491,14,1,1)&amp;OFFSET(Table22,491,22,1,1)</f>
        <v>43358Facebook»Developers/ITPros-Azure Direct-Sponsored Post-Video Ad-FBCTCBenefit2inMotion_FRA_14s_RTG Landing Page»1x1»14s»VIA»ALL»CPC»BT»X»UNK»SS»NA»Trials_ID</v>
      </c>
      <c r="C492" s="1" t="s">
        <v>28</v>
      </c>
      <c r="D492" s="3" t="n">
        <f aca="false">O492+(7-WEEKDAY(O492))</f>
        <v>43358</v>
      </c>
      <c r="E492" s="1" t="str">
        <f aca="false">VLOOKUP(OFFSET(Table22,491,16,1,1),Key!B:D,2,0)</f>
        <v>France</v>
      </c>
      <c r="F492" s="1" t="str">
        <f aca="false">IF(ISNUMBER(SEARCH("Canvas",U492)),"Link",IF(ISNUMBER(SEARCH("Link",U492)),"Link","Not filled properly"))</f>
        <v>Link</v>
      </c>
      <c r="G492" s="1" t="str">
        <f aca="false">IFERROR(VLOOKUP(OFFSET(Table22,491,21,1,1),OFFSET(Table2,0,1,ROWS(Table2),8),2,0),VLOOKUP(OFFSET(Table22,491,22,1,1),Table2,3,0))</f>
        <v>FRA_gaPMG_AZR_AZR_Q1_19_AzureDirect-Trial-Social</v>
      </c>
      <c r="H492" s="1" t="n">
        <f aca="false">IFERROR(VLOOKUP(OFFSET(Table22,491,21,1,1),OFFSET(Table2,0,1,ROWS(Table2),8),3,0),VLOOKUP(OFFSET(Table22,491,22,1,1),Table2,4,0))</f>
        <v>21356941</v>
      </c>
      <c r="I492" s="2" t="n">
        <f aca="false">IFERROR(VLOOKUP(OFFSET(Table22,491,21,1,1),OFFSET(Table2,0,1,ROWS(Table2),8),4,0),VLOOKUP(OFFSET(Table22,491,22,1,1),Table2,5,0))</f>
        <v>720193</v>
      </c>
      <c r="J492" s="3" t="str">
        <f aca="false">IF(ISNUMBER(SEARCH("FACEBOOK",W492)),"Facebook",IF(ISNUMBER(SEARCH("INSTAGRAM",W492)),"Facebook-Instagram","Look at taxonomy"))</f>
        <v>Facebook</v>
      </c>
      <c r="K492" s="3" t="str">
        <f aca="false">IF(ISNUMBER(SEARCH("Facebook",J492)),"3654128","Not Facebook")</f>
        <v>3654128</v>
      </c>
      <c r="L492" s="3" t="str">
        <f aca="false">IFERROR(VLOOKUP(OFFSET(Table22,491,21,1,1),OFFSET(Table2,0,1,ROWS(Table2),8),7,0),VLOOKUP(OFFSET(Table22,491,22,1,1),Table2,8,0))</f>
        <v>AZR_FBCTCBenefit2inMotion_FRA_14s_VIA_AZRDirect_French_NA_Facebook_STAN_TIN_T4_1</v>
      </c>
      <c r="M492" s="2" t="n">
        <f aca="false">IFERROR(VLOOKUP(OFFSET(Table22,491,21,1,1),OFFSET(Table2,0,1,ROWS(Table2),8),8,0),VLOOKUP(OFFSET(Table22,491,22,1,1),Table2,9,0))</f>
        <v>103259766</v>
      </c>
      <c r="N492" s="15" t="s">
        <v>29</v>
      </c>
      <c r="O492" s="16" t="n">
        <v>43358</v>
      </c>
      <c r="P492" s="17" t="s">
        <v>102</v>
      </c>
      <c r="Q492" s="18" t="s">
        <v>103</v>
      </c>
      <c r="R492" s="17" t="s">
        <v>104</v>
      </c>
      <c r="S492" s="18" t="s">
        <v>33</v>
      </c>
      <c r="T492" s="17" t="s">
        <v>34</v>
      </c>
      <c r="U492" s="18" t="s">
        <v>127</v>
      </c>
      <c r="V492" s="19" t="n">
        <v>224560875</v>
      </c>
      <c r="W492" s="17" t="s">
        <v>129</v>
      </c>
      <c r="X492" s="17" t="n">
        <v>0</v>
      </c>
      <c r="Y492" s="17"/>
      <c r="Z492" s="17" t="n">
        <v>0</v>
      </c>
      <c r="AA492" s="17" t="s">
        <v>38</v>
      </c>
      <c r="AB492" s="17"/>
    </row>
    <row r="493" customFormat="false" ht="15" hidden="false" customHeight="false" outlineLevel="0" collapsed="false">
      <c r="A493" s="1" t="str">
        <f aca="false">OFFSET(Table22,492,14,1,1)&amp;OFFSET(Table22,492,21,1,1)</f>
        <v>43358224560875</v>
      </c>
      <c r="B493" s="1" t="str">
        <f aca="false">OFFSET(Table22,492,14,1,1)&amp;OFFSET(Table22,492,22,1,1)</f>
        <v>43358Facebook»Developers/ITPros-Azure Direct-Sponsored Post-Video Ad-FBCTCBenefit2inMotion_FRA_14s_RTG Landing Page»1x1»14s»VIA»ALL»CPC»BT»X»UNK»SS»NA»Trials_ID</v>
      </c>
      <c r="C493" s="1" t="s">
        <v>28</v>
      </c>
      <c r="D493" s="3" t="n">
        <f aca="false">O493+(7-WEEKDAY(O493))</f>
        <v>43358</v>
      </c>
      <c r="E493" s="1" t="str">
        <f aca="false">VLOOKUP(OFFSET(Table22,492,16,1,1),Key!B:D,2,0)</f>
        <v>France</v>
      </c>
      <c r="F493" s="1" t="str">
        <f aca="false">IF(ISNUMBER(SEARCH("Canvas",U493)),"Link",IF(ISNUMBER(SEARCH("Link",U493)),"Link","Not filled properly"))</f>
        <v>Link</v>
      </c>
      <c r="G493" s="1" t="str">
        <f aca="false">IFERROR(VLOOKUP(OFFSET(Table22,492,21,1,1),OFFSET(Table2,0,1,ROWS(Table2),8),2,0),VLOOKUP(OFFSET(Table22,492,22,1,1),Table2,3,0))</f>
        <v>FRA_gaPMG_AZR_AZR_Q1_19_AzureDirect-Trial-Social</v>
      </c>
      <c r="H493" s="1" t="n">
        <f aca="false">IFERROR(VLOOKUP(OFFSET(Table22,492,21,1,1),OFFSET(Table2,0,1,ROWS(Table2),8),3,0),VLOOKUP(OFFSET(Table22,492,22,1,1),Table2,4,0))</f>
        <v>21356941</v>
      </c>
      <c r="I493" s="2" t="n">
        <f aca="false">IFERROR(VLOOKUP(OFFSET(Table22,492,21,1,1),OFFSET(Table2,0,1,ROWS(Table2),8),4,0),VLOOKUP(OFFSET(Table22,492,22,1,1),Table2,5,0))</f>
        <v>720193</v>
      </c>
      <c r="J493" s="3" t="str">
        <f aca="false">IF(ISNUMBER(SEARCH("FACEBOOK",W493)),"Facebook",IF(ISNUMBER(SEARCH("INSTAGRAM",W493)),"Facebook-Instagram","Look at taxonomy"))</f>
        <v>Facebook</v>
      </c>
      <c r="K493" s="3" t="str">
        <f aca="false">IF(ISNUMBER(SEARCH("Facebook",J493)),"3654128","Not Facebook")</f>
        <v>3654128</v>
      </c>
      <c r="L493" s="3" t="str">
        <f aca="false">IFERROR(VLOOKUP(OFFSET(Table22,492,21,1,1),OFFSET(Table2,0,1,ROWS(Table2),8),7,0),VLOOKUP(OFFSET(Table22,492,22,1,1),Table2,8,0))</f>
        <v>AZR_FBCTCBenefit2inMotion_FRA_14s_VIA_AZRDirect_French_NA_Facebook_STAN_TIN_T4_1</v>
      </c>
      <c r="M493" s="2" t="n">
        <f aca="false">IFERROR(VLOOKUP(OFFSET(Table22,492,21,1,1),OFFSET(Table2,0,1,ROWS(Table2),8),8,0),VLOOKUP(OFFSET(Table22,492,22,1,1),Table2,9,0))</f>
        <v>103259766</v>
      </c>
      <c r="N493" s="15" t="s">
        <v>29</v>
      </c>
      <c r="O493" s="16" t="n">
        <v>43358</v>
      </c>
      <c r="P493" s="17" t="s">
        <v>102</v>
      </c>
      <c r="Q493" s="18" t="s">
        <v>103</v>
      </c>
      <c r="R493" s="17" t="s">
        <v>104</v>
      </c>
      <c r="S493" s="18" t="s">
        <v>33</v>
      </c>
      <c r="T493" s="17" t="s">
        <v>34</v>
      </c>
      <c r="U493" s="18" t="s">
        <v>127</v>
      </c>
      <c r="V493" s="19" t="n">
        <v>224560875</v>
      </c>
      <c r="W493" s="17" t="s">
        <v>129</v>
      </c>
      <c r="X493" s="17" t="n">
        <v>5</v>
      </c>
      <c r="Y493" s="17"/>
      <c r="Z493" s="17" t="n">
        <v>0.04</v>
      </c>
      <c r="AA493" s="17" t="s">
        <v>38</v>
      </c>
      <c r="AB493" s="17"/>
    </row>
    <row r="494" customFormat="false" ht="15" hidden="false" customHeight="false" outlineLevel="0" collapsed="false">
      <c r="A494" s="1" t="str">
        <f aca="false">OFFSET(Table22,493,14,1,1)&amp;OFFSET(Table22,493,21,1,1)</f>
        <v>43358224560875</v>
      </c>
      <c r="B494" s="1" t="str">
        <f aca="false">OFFSET(Table22,493,14,1,1)&amp;OFFSET(Table22,493,22,1,1)</f>
        <v>43358Facebook»Developers/ITPros-Azure Direct-Sponsored Post-Video Ad-FBCTCBenefit2inMotion_FRA_14s_RTG Landing Page»1x1»14s»VIA»ALL»CPC»BT»X»UNK»SS»NA»Trials_ID</v>
      </c>
      <c r="C494" s="1" t="s">
        <v>28</v>
      </c>
      <c r="D494" s="3" t="n">
        <f aca="false">O494+(7-WEEKDAY(O494))</f>
        <v>43358</v>
      </c>
      <c r="E494" s="1" t="str">
        <f aca="false">VLOOKUP(OFFSET(Table22,493,16,1,1),Key!B:D,2,0)</f>
        <v>France</v>
      </c>
      <c r="F494" s="1" t="str">
        <f aca="false">IF(ISNUMBER(SEARCH("Canvas",U494)),"Link",IF(ISNUMBER(SEARCH("Link",U494)),"Link","Not filled properly"))</f>
        <v>Link</v>
      </c>
      <c r="G494" s="1" t="str">
        <f aca="false">IFERROR(VLOOKUP(OFFSET(Table22,493,21,1,1),OFFSET(Table2,0,1,ROWS(Table2),8),2,0),VLOOKUP(OFFSET(Table22,493,22,1,1),Table2,3,0))</f>
        <v>FRA_gaPMG_AZR_AZR_Q1_19_AzureDirect-Trial-Social</v>
      </c>
      <c r="H494" s="1" t="n">
        <f aca="false">IFERROR(VLOOKUP(OFFSET(Table22,493,21,1,1),OFFSET(Table2,0,1,ROWS(Table2),8),3,0),VLOOKUP(OFFSET(Table22,493,22,1,1),Table2,4,0))</f>
        <v>21356941</v>
      </c>
      <c r="I494" s="2" t="n">
        <f aca="false">IFERROR(VLOOKUP(OFFSET(Table22,493,21,1,1),OFFSET(Table2,0,1,ROWS(Table2),8),4,0),VLOOKUP(OFFSET(Table22,493,22,1,1),Table2,5,0))</f>
        <v>720193</v>
      </c>
      <c r="J494" s="3" t="str">
        <f aca="false">IF(ISNUMBER(SEARCH("FACEBOOK",W494)),"Facebook",IF(ISNUMBER(SEARCH("INSTAGRAM",W494)),"Facebook-Instagram","Look at taxonomy"))</f>
        <v>Facebook</v>
      </c>
      <c r="K494" s="3" t="str">
        <f aca="false">IF(ISNUMBER(SEARCH("Facebook",J494)),"3654128","Not Facebook")</f>
        <v>3654128</v>
      </c>
      <c r="L494" s="3" t="str">
        <f aca="false">IFERROR(VLOOKUP(OFFSET(Table22,493,21,1,1),OFFSET(Table2,0,1,ROWS(Table2),8),7,0),VLOOKUP(OFFSET(Table22,493,22,1,1),Table2,8,0))</f>
        <v>AZR_FBCTCBenefit2inMotion_FRA_14s_VIA_AZRDirect_French_NA_Facebook_STAN_TIN_T4_1</v>
      </c>
      <c r="M494" s="2" t="n">
        <f aca="false">IFERROR(VLOOKUP(OFFSET(Table22,493,21,1,1),OFFSET(Table2,0,1,ROWS(Table2),8),8,0),VLOOKUP(OFFSET(Table22,493,22,1,1),Table2,9,0))</f>
        <v>103259766</v>
      </c>
      <c r="N494" s="15" t="s">
        <v>29</v>
      </c>
      <c r="O494" s="16" t="n">
        <v>43358</v>
      </c>
      <c r="P494" s="17" t="s">
        <v>102</v>
      </c>
      <c r="Q494" s="18" t="s">
        <v>103</v>
      </c>
      <c r="R494" s="17" t="s">
        <v>104</v>
      </c>
      <c r="S494" s="18" t="s">
        <v>33</v>
      </c>
      <c r="T494" s="17" t="s">
        <v>34</v>
      </c>
      <c r="U494" s="18" t="s">
        <v>127</v>
      </c>
      <c r="V494" s="19" t="n">
        <v>224560875</v>
      </c>
      <c r="W494" s="17" t="s">
        <v>129</v>
      </c>
      <c r="X494" s="17" t="n">
        <v>191</v>
      </c>
      <c r="Y494" s="17"/>
      <c r="Z494" s="17" t="n">
        <v>1.78</v>
      </c>
      <c r="AA494" s="17" t="s">
        <v>38</v>
      </c>
      <c r="AB494" s="17"/>
    </row>
    <row r="495" customFormat="false" ht="15" hidden="false" customHeight="false" outlineLevel="0" collapsed="false">
      <c r="A495" s="1" t="str">
        <f aca="false">OFFSET(Table22,494,14,1,1)&amp;OFFSET(Table22,494,21,1,1)</f>
        <v>43357224560875</v>
      </c>
      <c r="B495" s="1" t="str">
        <f aca="false">OFFSET(Table22,494,14,1,1)&amp;OFFSET(Table22,494,22,1,1)</f>
        <v>43357Facebook»Developers/ITPros-Azure Direct-Sponsored Post-Video Ad-FBCTCBenefit2inMotion_FRA_14s_RTG Landing Page»1x1»14s»VIA»ALL»CPC»BT»X»UNK»SS»NA»Trials_ID</v>
      </c>
      <c r="C495" s="1" t="s">
        <v>28</v>
      </c>
      <c r="D495" s="3" t="n">
        <f aca="false">O495+(7-WEEKDAY(O495))</f>
        <v>43358</v>
      </c>
      <c r="E495" s="1" t="str">
        <f aca="false">VLOOKUP(OFFSET(Table22,494,16,1,1),Key!B:D,2,0)</f>
        <v>France</v>
      </c>
      <c r="F495" s="1" t="str">
        <f aca="false">IF(ISNUMBER(SEARCH("Canvas",U495)),"Link",IF(ISNUMBER(SEARCH("Link",U495)),"Link","Not filled properly"))</f>
        <v>Link</v>
      </c>
      <c r="G495" s="1" t="str">
        <f aca="false">IFERROR(VLOOKUP(OFFSET(Table22,494,21,1,1),OFFSET(Table2,0,1,ROWS(Table2),8),2,0),VLOOKUP(OFFSET(Table22,494,22,1,1),Table2,3,0))</f>
        <v>FRA_gaPMG_AZR_AZR_Q1_19_AzureDirect-Trial-Social</v>
      </c>
      <c r="H495" s="1" t="n">
        <f aca="false">IFERROR(VLOOKUP(OFFSET(Table22,494,21,1,1),OFFSET(Table2,0,1,ROWS(Table2),8),3,0),VLOOKUP(OFFSET(Table22,494,22,1,1),Table2,4,0))</f>
        <v>21356941</v>
      </c>
      <c r="I495" s="2" t="n">
        <f aca="false">IFERROR(VLOOKUP(OFFSET(Table22,494,21,1,1),OFFSET(Table2,0,1,ROWS(Table2),8),4,0),VLOOKUP(OFFSET(Table22,494,22,1,1),Table2,5,0))</f>
        <v>720193</v>
      </c>
      <c r="J495" s="3" t="str">
        <f aca="false">IF(ISNUMBER(SEARCH("FACEBOOK",W495)),"Facebook",IF(ISNUMBER(SEARCH("INSTAGRAM",W495)),"Facebook-Instagram","Look at taxonomy"))</f>
        <v>Facebook</v>
      </c>
      <c r="K495" s="3" t="str">
        <f aca="false">IF(ISNUMBER(SEARCH("Facebook",J495)),"3654128","Not Facebook")</f>
        <v>3654128</v>
      </c>
      <c r="L495" s="3" t="str">
        <f aca="false">IFERROR(VLOOKUP(OFFSET(Table22,494,21,1,1),OFFSET(Table2,0,1,ROWS(Table2),8),7,0),VLOOKUP(OFFSET(Table22,494,22,1,1),Table2,8,0))</f>
        <v>AZR_FBCTCBenefit2inMotion_FRA_14s_VIA_AZRDirect_French_NA_Facebook_STAN_TIN_T4_1</v>
      </c>
      <c r="M495" s="2" t="n">
        <f aca="false">IFERROR(VLOOKUP(OFFSET(Table22,494,21,1,1),OFFSET(Table2,0,1,ROWS(Table2),8),8,0),VLOOKUP(OFFSET(Table22,494,22,1,1),Table2,9,0))</f>
        <v>103259766</v>
      </c>
      <c r="N495" s="15" t="s">
        <v>29</v>
      </c>
      <c r="O495" s="16" t="n">
        <v>43357</v>
      </c>
      <c r="P495" s="17" t="s">
        <v>102</v>
      </c>
      <c r="Q495" s="18" t="s">
        <v>103</v>
      </c>
      <c r="R495" s="17" t="s">
        <v>104</v>
      </c>
      <c r="S495" s="18" t="s">
        <v>33</v>
      </c>
      <c r="T495" s="17" t="s">
        <v>34</v>
      </c>
      <c r="U495" s="18" t="s">
        <v>127</v>
      </c>
      <c r="V495" s="19" t="n">
        <v>224560875</v>
      </c>
      <c r="W495" s="17" t="s">
        <v>129</v>
      </c>
      <c r="X495" s="17" t="n">
        <v>0</v>
      </c>
      <c r="Y495" s="17"/>
      <c r="Z495" s="17" t="n">
        <v>0</v>
      </c>
      <c r="AA495" s="17" t="s">
        <v>38</v>
      </c>
      <c r="AB495" s="17"/>
    </row>
    <row r="496" customFormat="false" ht="15" hidden="false" customHeight="false" outlineLevel="0" collapsed="false">
      <c r="A496" s="1" t="str">
        <f aca="false">OFFSET(Table22,495,14,1,1)&amp;OFFSET(Table22,495,21,1,1)</f>
        <v>43357224560875</v>
      </c>
      <c r="B496" s="1" t="str">
        <f aca="false">OFFSET(Table22,495,14,1,1)&amp;OFFSET(Table22,495,22,1,1)</f>
        <v>43357Facebook»Developers/ITPros-Azure Direct-Sponsored Post-Video Ad-FBCTCBenefit2inMotion_FRA_14s_RTG Landing Page»1x1»14s»VIA»ALL»CPC»BT»X»UNK»SS»NA»Trials_ID</v>
      </c>
      <c r="C496" s="1" t="s">
        <v>28</v>
      </c>
      <c r="D496" s="3" t="n">
        <f aca="false">O496+(7-WEEKDAY(O496))</f>
        <v>43358</v>
      </c>
      <c r="E496" s="1" t="str">
        <f aca="false">VLOOKUP(OFFSET(Table22,495,16,1,1),Key!B:D,2,0)</f>
        <v>France</v>
      </c>
      <c r="F496" s="1" t="str">
        <f aca="false">IF(ISNUMBER(SEARCH("Canvas",U496)),"Link",IF(ISNUMBER(SEARCH("Link",U496)),"Link","Not filled properly"))</f>
        <v>Link</v>
      </c>
      <c r="G496" s="1" t="str">
        <f aca="false">IFERROR(VLOOKUP(OFFSET(Table22,495,21,1,1),OFFSET(Table2,0,1,ROWS(Table2),8),2,0),VLOOKUP(OFFSET(Table22,495,22,1,1),Table2,3,0))</f>
        <v>FRA_gaPMG_AZR_AZR_Q1_19_AzureDirect-Trial-Social</v>
      </c>
      <c r="H496" s="1" t="n">
        <f aca="false">IFERROR(VLOOKUP(OFFSET(Table22,495,21,1,1),OFFSET(Table2,0,1,ROWS(Table2),8),3,0),VLOOKUP(OFFSET(Table22,495,22,1,1),Table2,4,0))</f>
        <v>21356941</v>
      </c>
      <c r="I496" s="2" t="n">
        <f aca="false">IFERROR(VLOOKUP(OFFSET(Table22,495,21,1,1),OFFSET(Table2,0,1,ROWS(Table2),8),4,0),VLOOKUP(OFFSET(Table22,495,22,1,1),Table2,5,0))</f>
        <v>720193</v>
      </c>
      <c r="J496" s="3" t="str">
        <f aca="false">IF(ISNUMBER(SEARCH("FACEBOOK",W496)),"Facebook",IF(ISNUMBER(SEARCH("INSTAGRAM",W496)),"Facebook-Instagram","Look at taxonomy"))</f>
        <v>Facebook</v>
      </c>
      <c r="K496" s="3" t="str">
        <f aca="false">IF(ISNUMBER(SEARCH("Facebook",J496)),"3654128","Not Facebook")</f>
        <v>3654128</v>
      </c>
      <c r="L496" s="3" t="str">
        <f aca="false">IFERROR(VLOOKUP(OFFSET(Table22,495,21,1,1),OFFSET(Table2,0,1,ROWS(Table2),8),7,0),VLOOKUP(OFFSET(Table22,495,22,1,1),Table2,8,0))</f>
        <v>AZR_FBCTCBenefit2inMotion_FRA_14s_VIA_AZRDirect_French_NA_Facebook_STAN_TIN_T4_1</v>
      </c>
      <c r="M496" s="2" t="n">
        <f aca="false">IFERROR(VLOOKUP(OFFSET(Table22,495,21,1,1),OFFSET(Table2,0,1,ROWS(Table2),8),8,0),VLOOKUP(OFFSET(Table22,495,22,1,1),Table2,9,0))</f>
        <v>103259766</v>
      </c>
      <c r="N496" s="15" t="s">
        <v>29</v>
      </c>
      <c r="O496" s="16" t="n">
        <v>43357</v>
      </c>
      <c r="P496" s="17" t="s">
        <v>102</v>
      </c>
      <c r="Q496" s="18" t="s">
        <v>103</v>
      </c>
      <c r="R496" s="17" t="s">
        <v>104</v>
      </c>
      <c r="S496" s="18" t="s">
        <v>33</v>
      </c>
      <c r="T496" s="17" t="s">
        <v>34</v>
      </c>
      <c r="U496" s="18" t="s">
        <v>127</v>
      </c>
      <c r="V496" s="19" t="n">
        <v>224560875</v>
      </c>
      <c r="W496" s="17" t="s">
        <v>129</v>
      </c>
      <c r="X496" s="17" t="n">
        <v>225</v>
      </c>
      <c r="Y496" s="17" t="n">
        <v>2</v>
      </c>
      <c r="Z496" s="17" t="n">
        <v>2.03</v>
      </c>
      <c r="AA496" s="17" t="s">
        <v>38</v>
      </c>
      <c r="AB496" s="17"/>
    </row>
    <row r="497" customFormat="false" ht="15" hidden="false" customHeight="false" outlineLevel="0" collapsed="false">
      <c r="A497" s="1" t="str">
        <f aca="false">OFFSET(Table22,496,14,1,1)&amp;OFFSET(Table22,496,21,1,1)</f>
        <v>43357224560875</v>
      </c>
      <c r="B497" s="1" t="str">
        <f aca="false">OFFSET(Table22,496,14,1,1)&amp;OFFSET(Table22,496,22,1,1)</f>
        <v>43357Facebook»Developers/ITPros-Azure Direct-Sponsored Post-Video Ad-FBCTCBenefit2inMotion_FRA_14s_RTG Landing Page»1x1»14s»VIA»ALL»CPC»BT»X»UNK»SS»NA»Trials_ID</v>
      </c>
      <c r="C497" s="1" t="s">
        <v>28</v>
      </c>
      <c r="D497" s="3" t="n">
        <f aca="false">O497+(7-WEEKDAY(O497))</f>
        <v>43358</v>
      </c>
      <c r="E497" s="1" t="str">
        <f aca="false">VLOOKUP(OFFSET(Table22,496,16,1,1),Key!B:D,2,0)</f>
        <v>France</v>
      </c>
      <c r="F497" s="1" t="str">
        <f aca="false">IF(ISNUMBER(SEARCH("Canvas",U497)),"Link",IF(ISNUMBER(SEARCH("Link",U497)),"Link","Not filled properly"))</f>
        <v>Link</v>
      </c>
      <c r="G497" s="1" t="str">
        <f aca="false">IFERROR(VLOOKUP(OFFSET(Table22,496,21,1,1),OFFSET(Table2,0,1,ROWS(Table2),8),2,0),VLOOKUP(OFFSET(Table22,496,22,1,1),Table2,3,0))</f>
        <v>FRA_gaPMG_AZR_AZR_Q1_19_AzureDirect-Trial-Social</v>
      </c>
      <c r="H497" s="1" t="n">
        <f aca="false">IFERROR(VLOOKUP(OFFSET(Table22,496,21,1,1),OFFSET(Table2,0,1,ROWS(Table2),8),3,0),VLOOKUP(OFFSET(Table22,496,22,1,1),Table2,4,0))</f>
        <v>21356941</v>
      </c>
      <c r="I497" s="2" t="n">
        <f aca="false">IFERROR(VLOOKUP(OFFSET(Table22,496,21,1,1),OFFSET(Table2,0,1,ROWS(Table2),8),4,0),VLOOKUP(OFFSET(Table22,496,22,1,1),Table2,5,0))</f>
        <v>720193</v>
      </c>
      <c r="J497" s="3" t="str">
        <f aca="false">IF(ISNUMBER(SEARCH("FACEBOOK",W497)),"Facebook",IF(ISNUMBER(SEARCH("INSTAGRAM",W497)),"Facebook-Instagram","Look at taxonomy"))</f>
        <v>Facebook</v>
      </c>
      <c r="K497" s="3" t="str">
        <f aca="false">IF(ISNUMBER(SEARCH("Facebook",J497)),"3654128","Not Facebook")</f>
        <v>3654128</v>
      </c>
      <c r="L497" s="3" t="str">
        <f aca="false">IFERROR(VLOOKUP(OFFSET(Table22,496,21,1,1),OFFSET(Table2,0,1,ROWS(Table2),8),7,0),VLOOKUP(OFFSET(Table22,496,22,1,1),Table2,8,0))</f>
        <v>AZR_FBCTCBenefit2inMotion_FRA_14s_VIA_AZRDirect_French_NA_Facebook_STAN_TIN_T4_1</v>
      </c>
      <c r="M497" s="2" t="n">
        <f aca="false">IFERROR(VLOOKUP(OFFSET(Table22,496,21,1,1),OFFSET(Table2,0,1,ROWS(Table2),8),8,0),VLOOKUP(OFFSET(Table22,496,22,1,1),Table2,9,0))</f>
        <v>103259766</v>
      </c>
      <c r="N497" s="15" t="s">
        <v>29</v>
      </c>
      <c r="O497" s="16" t="n">
        <v>43357</v>
      </c>
      <c r="P497" s="17" t="s">
        <v>102</v>
      </c>
      <c r="Q497" s="18" t="s">
        <v>103</v>
      </c>
      <c r="R497" s="17" t="s">
        <v>104</v>
      </c>
      <c r="S497" s="18" t="s">
        <v>33</v>
      </c>
      <c r="T497" s="17" t="s">
        <v>34</v>
      </c>
      <c r="U497" s="18" t="s">
        <v>127</v>
      </c>
      <c r="V497" s="19" t="n">
        <v>224560875</v>
      </c>
      <c r="W497" s="17" t="s">
        <v>129</v>
      </c>
      <c r="X497" s="17" t="n">
        <v>608</v>
      </c>
      <c r="Y497" s="17" t="n">
        <v>5</v>
      </c>
      <c r="Z497" s="17" t="n">
        <v>6.23</v>
      </c>
      <c r="AA497" s="17" t="s">
        <v>38</v>
      </c>
      <c r="AB497" s="17"/>
    </row>
    <row r="498" customFormat="false" ht="15" hidden="false" customHeight="false" outlineLevel="0" collapsed="false">
      <c r="A498" s="1" t="str">
        <f aca="false">OFFSET(Table22,497,14,1,1)&amp;OFFSET(Table22,497,21,1,1)</f>
        <v>43357224560875</v>
      </c>
      <c r="B498" s="1" t="str">
        <f aca="false">OFFSET(Table22,497,14,1,1)&amp;OFFSET(Table22,497,22,1,1)</f>
        <v>43357Facebook»Developers/ITPros-Azure Direct-Sponsored Post-Video Ad-FBCTCBenefit2inMotion_FRA_14s_RTG Landing Page»1x1»14s»VIA»ALL»CPC»BT»X»UNK»SS»NA»Trials_ID</v>
      </c>
      <c r="C498" s="1" t="s">
        <v>28</v>
      </c>
      <c r="D498" s="3" t="n">
        <f aca="false">O498+(7-WEEKDAY(O498))</f>
        <v>43358</v>
      </c>
      <c r="E498" s="1" t="str">
        <f aca="false">VLOOKUP(OFFSET(Table22,497,16,1,1),Key!B:D,2,0)</f>
        <v>France</v>
      </c>
      <c r="F498" s="1" t="str">
        <f aca="false">IF(ISNUMBER(SEARCH("Canvas",U498)),"Link",IF(ISNUMBER(SEARCH("Link",U498)),"Link","Not filled properly"))</f>
        <v>Link</v>
      </c>
      <c r="G498" s="1" t="str">
        <f aca="false">IFERROR(VLOOKUP(OFFSET(Table22,497,21,1,1),OFFSET(Table2,0,1,ROWS(Table2),8),2,0),VLOOKUP(OFFSET(Table22,497,22,1,1),Table2,3,0))</f>
        <v>FRA_gaPMG_AZR_AZR_Q1_19_AzureDirect-Trial-Social</v>
      </c>
      <c r="H498" s="1" t="n">
        <f aca="false">IFERROR(VLOOKUP(OFFSET(Table22,497,21,1,1),OFFSET(Table2,0,1,ROWS(Table2),8),3,0),VLOOKUP(OFFSET(Table22,497,22,1,1),Table2,4,0))</f>
        <v>21356941</v>
      </c>
      <c r="I498" s="2" t="n">
        <f aca="false">IFERROR(VLOOKUP(OFFSET(Table22,497,21,1,1),OFFSET(Table2,0,1,ROWS(Table2),8),4,0),VLOOKUP(OFFSET(Table22,497,22,1,1),Table2,5,0))</f>
        <v>720193</v>
      </c>
      <c r="J498" s="3" t="str">
        <f aca="false">IF(ISNUMBER(SEARCH("FACEBOOK",W498)),"Facebook",IF(ISNUMBER(SEARCH("INSTAGRAM",W498)),"Facebook-Instagram","Look at taxonomy"))</f>
        <v>Facebook</v>
      </c>
      <c r="K498" s="3" t="str">
        <f aca="false">IF(ISNUMBER(SEARCH("Facebook",J498)),"3654128","Not Facebook")</f>
        <v>3654128</v>
      </c>
      <c r="L498" s="3" t="str">
        <f aca="false">IFERROR(VLOOKUP(OFFSET(Table22,497,21,1,1),OFFSET(Table2,0,1,ROWS(Table2),8),7,0),VLOOKUP(OFFSET(Table22,497,22,1,1),Table2,8,0))</f>
        <v>AZR_FBCTCBenefit2inMotion_FRA_14s_VIA_AZRDirect_French_NA_Facebook_STAN_TIN_T4_1</v>
      </c>
      <c r="M498" s="2" t="n">
        <f aca="false">IFERROR(VLOOKUP(OFFSET(Table22,497,21,1,1),OFFSET(Table2,0,1,ROWS(Table2),8),8,0),VLOOKUP(OFFSET(Table22,497,22,1,1),Table2,9,0))</f>
        <v>103259766</v>
      </c>
      <c r="N498" s="15" t="s">
        <v>29</v>
      </c>
      <c r="O498" s="16" t="n">
        <v>43357</v>
      </c>
      <c r="P498" s="17" t="s">
        <v>102</v>
      </c>
      <c r="Q498" s="18" t="s">
        <v>103</v>
      </c>
      <c r="R498" s="17" t="s">
        <v>104</v>
      </c>
      <c r="S498" s="18" t="s">
        <v>33</v>
      </c>
      <c r="T498" s="17" t="s">
        <v>34</v>
      </c>
      <c r="U498" s="18" t="s">
        <v>127</v>
      </c>
      <c r="V498" s="19" t="n">
        <v>224560875</v>
      </c>
      <c r="W498" s="17" t="s">
        <v>129</v>
      </c>
      <c r="X498" s="17" t="n">
        <v>0</v>
      </c>
      <c r="Y498" s="17"/>
      <c r="Z498" s="17" t="n">
        <v>0</v>
      </c>
      <c r="AA498" s="17" t="s">
        <v>38</v>
      </c>
      <c r="AB498" s="17"/>
    </row>
    <row r="499" customFormat="false" ht="15" hidden="false" customHeight="false" outlineLevel="0" collapsed="false">
      <c r="A499" s="1" t="str">
        <f aca="false">OFFSET(Table22,498,14,1,1)&amp;OFFSET(Table22,498,21,1,1)</f>
        <v>43356224560875</v>
      </c>
      <c r="B499" s="1" t="str">
        <f aca="false">OFFSET(Table22,498,14,1,1)&amp;OFFSET(Table22,498,22,1,1)</f>
        <v>43356Facebook»Developers/ITPros-Azure Direct-Sponsored Post-Video Ad-FBCTCBenefit2inMotion_FRA_14s_RTG Landing Page»1x1»14s»VIA»ALL»CPC»BT»X»UNK»SS»NA»Trials_ID</v>
      </c>
      <c r="C499" s="1" t="s">
        <v>28</v>
      </c>
      <c r="D499" s="3" t="n">
        <f aca="false">O499+(7-WEEKDAY(O499))</f>
        <v>43358</v>
      </c>
      <c r="E499" s="1" t="str">
        <f aca="false">VLOOKUP(OFFSET(Table22,498,16,1,1),Key!B:D,2,0)</f>
        <v>France</v>
      </c>
      <c r="F499" s="1" t="str">
        <f aca="false">IF(ISNUMBER(SEARCH("Canvas",U499)),"Link",IF(ISNUMBER(SEARCH("Link",U499)),"Link","Not filled properly"))</f>
        <v>Link</v>
      </c>
      <c r="G499" s="1" t="str">
        <f aca="false">IFERROR(VLOOKUP(OFFSET(Table22,498,21,1,1),OFFSET(Table2,0,1,ROWS(Table2),8),2,0),VLOOKUP(OFFSET(Table22,498,22,1,1),Table2,3,0))</f>
        <v>FRA_gaPMG_AZR_AZR_Q1_19_AzureDirect-Trial-Social</v>
      </c>
      <c r="H499" s="1" t="n">
        <f aca="false">IFERROR(VLOOKUP(OFFSET(Table22,498,21,1,1),OFFSET(Table2,0,1,ROWS(Table2),8),3,0),VLOOKUP(OFFSET(Table22,498,22,1,1),Table2,4,0))</f>
        <v>21356941</v>
      </c>
      <c r="I499" s="2" t="n">
        <f aca="false">IFERROR(VLOOKUP(OFFSET(Table22,498,21,1,1),OFFSET(Table2,0,1,ROWS(Table2),8),4,0),VLOOKUP(OFFSET(Table22,498,22,1,1),Table2,5,0))</f>
        <v>720193</v>
      </c>
      <c r="J499" s="3" t="str">
        <f aca="false">IF(ISNUMBER(SEARCH("FACEBOOK",W499)),"Facebook",IF(ISNUMBER(SEARCH("INSTAGRAM",W499)),"Facebook-Instagram","Look at taxonomy"))</f>
        <v>Facebook</v>
      </c>
      <c r="K499" s="3" t="str">
        <f aca="false">IF(ISNUMBER(SEARCH("Facebook",J499)),"3654128","Not Facebook")</f>
        <v>3654128</v>
      </c>
      <c r="L499" s="3" t="str">
        <f aca="false">IFERROR(VLOOKUP(OFFSET(Table22,498,21,1,1),OFFSET(Table2,0,1,ROWS(Table2),8),7,0),VLOOKUP(OFFSET(Table22,498,22,1,1),Table2,8,0))</f>
        <v>AZR_FBCTCBenefit2inMotion_FRA_14s_VIA_AZRDirect_French_NA_Facebook_STAN_TIN_T4_1</v>
      </c>
      <c r="M499" s="2" t="n">
        <f aca="false">IFERROR(VLOOKUP(OFFSET(Table22,498,21,1,1),OFFSET(Table2,0,1,ROWS(Table2),8),8,0),VLOOKUP(OFFSET(Table22,498,22,1,1),Table2,9,0))</f>
        <v>103259766</v>
      </c>
      <c r="N499" s="15" t="s">
        <v>29</v>
      </c>
      <c r="O499" s="16" t="n">
        <v>43356</v>
      </c>
      <c r="P499" s="17" t="s">
        <v>102</v>
      </c>
      <c r="Q499" s="18" t="s">
        <v>103</v>
      </c>
      <c r="R499" s="17" t="s">
        <v>104</v>
      </c>
      <c r="S499" s="18" t="s">
        <v>33</v>
      </c>
      <c r="T499" s="17" t="s">
        <v>34</v>
      </c>
      <c r="U499" s="18" t="s">
        <v>127</v>
      </c>
      <c r="V499" s="19" t="n">
        <v>224560875</v>
      </c>
      <c r="W499" s="17" t="s">
        <v>129</v>
      </c>
      <c r="X499" s="17" t="n">
        <v>1215</v>
      </c>
      <c r="Y499" s="17" t="n">
        <v>8</v>
      </c>
      <c r="Z499" s="17" t="n">
        <v>8.86</v>
      </c>
      <c r="AA499" s="17" t="s">
        <v>38</v>
      </c>
      <c r="AB499" s="17"/>
    </row>
    <row r="500" customFormat="false" ht="15" hidden="false" customHeight="false" outlineLevel="0" collapsed="false">
      <c r="A500" s="1" t="str">
        <f aca="false">OFFSET(Table22,499,14,1,1)&amp;OFFSET(Table22,499,21,1,1)</f>
        <v>43356224560875</v>
      </c>
      <c r="B500" s="1" t="str">
        <f aca="false">OFFSET(Table22,499,14,1,1)&amp;OFFSET(Table22,499,22,1,1)</f>
        <v>43356Facebook»Developers/ITPros-Azure Direct-Sponsored Post-Video Ad-FBCTCBenefit2inMotion_FRA_14s_RTG Landing Page»1x1»14s»VIA»ALL»CPC»BT»X»UNK»SS»NA»Trials_ID</v>
      </c>
      <c r="C500" s="1" t="s">
        <v>28</v>
      </c>
      <c r="D500" s="3" t="n">
        <f aca="false">O500+(7-WEEKDAY(O500))</f>
        <v>43358</v>
      </c>
      <c r="E500" s="1" t="str">
        <f aca="false">VLOOKUP(OFFSET(Table22,499,16,1,1),Key!B:D,2,0)</f>
        <v>France</v>
      </c>
      <c r="F500" s="1" t="str">
        <f aca="false">IF(ISNUMBER(SEARCH("Canvas",U500)),"Link",IF(ISNUMBER(SEARCH("Link",U500)),"Link","Not filled properly"))</f>
        <v>Link</v>
      </c>
      <c r="G500" s="1" t="str">
        <f aca="false">IFERROR(VLOOKUP(OFFSET(Table22,499,21,1,1),OFFSET(Table2,0,1,ROWS(Table2),8),2,0),VLOOKUP(OFFSET(Table22,499,22,1,1),Table2,3,0))</f>
        <v>FRA_gaPMG_AZR_AZR_Q1_19_AzureDirect-Trial-Social</v>
      </c>
      <c r="H500" s="1" t="n">
        <f aca="false">IFERROR(VLOOKUP(OFFSET(Table22,499,21,1,1),OFFSET(Table2,0,1,ROWS(Table2),8),3,0),VLOOKUP(OFFSET(Table22,499,22,1,1),Table2,4,0))</f>
        <v>21356941</v>
      </c>
      <c r="I500" s="2" t="n">
        <f aca="false">IFERROR(VLOOKUP(OFFSET(Table22,499,21,1,1),OFFSET(Table2,0,1,ROWS(Table2),8),4,0),VLOOKUP(OFFSET(Table22,499,22,1,1),Table2,5,0))</f>
        <v>720193</v>
      </c>
      <c r="J500" s="3" t="str">
        <f aca="false">IF(ISNUMBER(SEARCH("FACEBOOK",W500)),"Facebook",IF(ISNUMBER(SEARCH("INSTAGRAM",W500)),"Facebook-Instagram","Look at taxonomy"))</f>
        <v>Facebook</v>
      </c>
      <c r="K500" s="3" t="str">
        <f aca="false">IF(ISNUMBER(SEARCH("Facebook",J500)),"3654128","Not Facebook")</f>
        <v>3654128</v>
      </c>
      <c r="L500" s="3" t="str">
        <f aca="false">IFERROR(VLOOKUP(OFFSET(Table22,499,21,1,1),OFFSET(Table2,0,1,ROWS(Table2),8),7,0),VLOOKUP(OFFSET(Table22,499,22,1,1),Table2,8,0))</f>
        <v>AZR_FBCTCBenefit2inMotion_FRA_14s_VIA_AZRDirect_French_NA_Facebook_STAN_TIN_T4_1</v>
      </c>
      <c r="M500" s="2" t="n">
        <f aca="false">IFERROR(VLOOKUP(OFFSET(Table22,499,21,1,1),OFFSET(Table2,0,1,ROWS(Table2),8),8,0),VLOOKUP(OFFSET(Table22,499,22,1,1),Table2,9,0))</f>
        <v>103259766</v>
      </c>
      <c r="N500" s="15" t="s">
        <v>29</v>
      </c>
      <c r="O500" s="16" t="n">
        <v>43356</v>
      </c>
      <c r="P500" s="17" t="s">
        <v>102</v>
      </c>
      <c r="Q500" s="18" t="s">
        <v>103</v>
      </c>
      <c r="R500" s="17" t="s">
        <v>104</v>
      </c>
      <c r="S500" s="18" t="s">
        <v>33</v>
      </c>
      <c r="T500" s="17" t="s">
        <v>34</v>
      </c>
      <c r="U500" s="18" t="s">
        <v>127</v>
      </c>
      <c r="V500" s="19" t="n">
        <v>224560875</v>
      </c>
      <c r="W500" s="17" t="s">
        <v>129</v>
      </c>
      <c r="X500" s="17" t="n">
        <v>0</v>
      </c>
      <c r="Y500" s="17"/>
      <c r="Z500" s="17" t="n">
        <v>0</v>
      </c>
      <c r="AA500" s="17" t="s">
        <v>38</v>
      </c>
      <c r="AB500" s="17"/>
    </row>
    <row r="501" customFormat="false" ht="15" hidden="false" customHeight="false" outlineLevel="0" collapsed="false">
      <c r="A501" s="1" t="str">
        <f aca="false">OFFSET(Table22,500,14,1,1)&amp;OFFSET(Table22,500,21,1,1)</f>
        <v>43356224560875</v>
      </c>
      <c r="B501" s="1" t="str">
        <f aca="false">OFFSET(Table22,500,14,1,1)&amp;OFFSET(Table22,500,22,1,1)</f>
        <v>43356Facebook»Developers/ITPros-Azure Direct-Sponsored Post-Video Ad-FBCTCBenefit2inMotion_FRA_14s_RTG Landing Page»1x1»14s»VIA»ALL»CPC»BT»X»UNK»SS»NA»Trials_ID</v>
      </c>
      <c r="C501" s="1" t="s">
        <v>28</v>
      </c>
      <c r="D501" s="3" t="n">
        <f aca="false">O501+(7-WEEKDAY(O501))</f>
        <v>43358</v>
      </c>
      <c r="E501" s="1" t="str">
        <f aca="false">VLOOKUP(OFFSET(Table22,500,16,1,1),Key!B:D,2,0)</f>
        <v>France</v>
      </c>
      <c r="F501" s="1" t="str">
        <f aca="false">IF(ISNUMBER(SEARCH("Canvas",U501)),"Link",IF(ISNUMBER(SEARCH("Link",U501)),"Link","Not filled properly"))</f>
        <v>Link</v>
      </c>
      <c r="G501" s="1" t="str">
        <f aca="false">IFERROR(VLOOKUP(OFFSET(Table22,500,21,1,1),OFFSET(Table2,0,1,ROWS(Table2),8),2,0),VLOOKUP(OFFSET(Table22,500,22,1,1),Table2,3,0))</f>
        <v>FRA_gaPMG_AZR_AZR_Q1_19_AzureDirect-Trial-Social</v>
      </c>
      <c r="H501" s="1" t="n">
        <f aca="false">IFERROR(VLOOKUP(OFFSET(Table22,500,21,1,1),OFFSET(Table2,0,1,ROWS(Table2),8),3,0),VLOOKUP(OFFSET(Table22,500,22,1,1),Table2,4,0))</f>
        <v>21356941</v>
      </c>
      <c r="I501" s="2" t="n">
        <f aca="false">IFERROR(VLOOKUP(OFFSET(Table22,500,21,1,1),OFFSET(Table2,0,1,ROWS(Table2),8),4,0),VLOOKUP(OFFSET(Table22,500,22,1,1),Table2,5,0))</f>
        <v>720193</v>
      </c>
      <c r="J501" s="3" t="str">
        <f aca="false">IF(ISNUMBER(SEARCH("FACEBOOK",W501)),"Facebook",IF(ISNUMBER(SEARCH("INSTAGRAM",W501)),"Facebook-Instagram","Look at taxonomy"))</f>
        <v>Facebook</v>
      </c>
      <c r="K501" s="3" t="str">
        <f aca="false">IF(ISNUMBER(SEARCH("Facebook",J501)),"3654128","Not Facebook")</f>
        <v>3654128</v>
      </c>
      <c r="L501" s="3" t="str">
        <f aca="false">IFERROR(VLOOKUP(OFFSET(Table22,500,21,1,1),OFFSET(Table2,0,1,ROWS(Table2),8),7,0),VLOOKUP(OFFSET(Table22,500,22,1,1),Table2,8,0))</f>
        <v>AZR_FBCTCBenefit2inMotion_FRA_14s_VIA_AZRDirect_French_NA_Facebook_STAN_TIN_T4_1</v>
      </c>
      <c r="M501" s="2" t="n">
        <f aca="false">IFERROR(VLOOKUP(OFFSET(Table22,500,21,1,1),OFFSET(Table2,0,1,ROWS(Table2),8),8,0),VLOOKUP(OFFSET(Table22,500,22,1,1),Table2,9,0))</f>
        <v>103259766</v>
      </c>
      <c r="N501" s="15" t="s">
        <v>29</v>
      </c>
      <c r="O501" s="16" t="n">
        <v>43356</v>
      </c>
      <c r="P501" s="17" t="s">
        <v>102</v>
      </c>
      <c r="Q501" s="18" t="s">
        <v>103</v>
      </c>
      <c r="R501" s="17" t="s">
        <v>104</v>
      </c>
      <c r="S501" s="18" t="s">
        <v>33</v>
      </c>
      <c r="T501" s="17" t="s">
        <v>34</v>
      </c>
      <c r="U501" s="18" t="s">
        <v>127</v>
      </c>
      <c r="V501" s="19" t="n">
        <v>224560875</v>
      </c>
      <c r="W501" s="17" t="s">
        <v>129</v>
      </c>
      <c r="X501" s="17" t="n">
        <v>2265</v>
      </c>
      <c r="Y501" s="17" t="n">
        <v>24</v>
      </c>
      <c r="Z501" s="17" t="n">
        <v>17.82</v>
      </c>
      <c r="AA501" s="17" t="s">
        <v>38</v>
      </c>
      <c r="AB501" s="17"/>
    </row>
    <row r="502" customFormat="false" ht="15" hidden="false" customHeight="false" outlineLevel="0" collapsed="false">
      <c r="A502" s="1" t="str">
        <f aca="false">OFFSET(Table22,501,14,1,1)&amp;OFFSET(Table22,501,21,1,1)</f>
        <v>43356224560875</v>
      </c>
      <c r="B502" s="1" t="str">
        <f aca="false">OFFSET(Table22,501,14,1,1)&amp;OFFSET(Table22,501,22,1,1)</f>
        <v>43356Facebook»Developers/ITPros-Azure Direct-Sponsored Post-Video Ad-FBCTCBenefit2inMotion_FRA_14s_RTG Landing Page»1x1»14s»VIA»ALL»CPC»BT»X»UNK»SS»NA»Trials_ID</v>
      </c>
      <c r="C502" s="1" t="s">
        <v>28</v>
      </c>
      <c r="D502" s="3" t="n">
        <f aca="false">O502+(7-WEEKDAY(O502))</f>
        <v>43358</v>
      </c>
      <c r="E502" s="1" t="str">
        <f aca="false">VLOOKUP(OFFSET(Table22,501,16,1,1),Key!B:D,2,0)</f>
        <v>France</v>
      </c>
      <c r="F502" s="1" t="str">
        <f aca="false">IF(ISNUMBER(SEARCH("Canvas",U502)),"Link",IF(ISNUMBER(SEARCH("Link",U502)),"Link","Not filled properly"))</f>
        <v>Link</v>
      </c>
      <c r="G502" s="1" t="str">
        <f aca="false">IFERROR(VLOOKUP(OFFSET(Table22,501,21,1,1),OFFSET(Table2,0,1,ROWS(Table2),8),2,0),VLOOKUP(OFFSET(Table22,501,22,1,1),Table2,3,0))</f>
        <v>FRA_gaPMG_AZR_AZR_Q1_19_AzureDirect-Trial-Social</v>
      </c>
      <c r="H502" s="1" t="n">
        <f aca="false">IFERROR(VLOOKUP(OFFSET(Table22,501,21,1,1),OFFSET(Table2,0,1,ROWS(Table2),8),3,0),VLOOKUP(OFFSET(Table22,501,22,1,1),Table2,4,0))</f>
        <v>21356941</v>
      </c>
      <c r="I502" s="2" t="n">
        <f aca="false">IFERROR(VLOOKUP(OFFSET(Table22,501,21,1,1),OFFSET(Table2,0,1,ROWS(Table2),8),4,0),VLOOKUP(OFFSET(Table22,501,22,1,1),Table2,5,0))</f>
        <v>720193</v>
      </c>
      <c r="J502" s="3" t="str">
        <f aca="false">IF(ISNUMBER(SEARCH("FACEBOOK",W502)),"Facebook",IF(ISNUMBER(SEARCH("INSTAGRAM",W502)),"Facebook-Instagram","Look at taxonomy"))</f>
        <v>Facebook</v>
      </c>
      <c r="K502" s="3" t="str">
        <f aca="false">IF(ISNUMBER(SEARCH("Facebook",J502)),"3654128","Not Facebook")</f>
        <v>3654128</v>
      </c>
      <c r="L502" s="3" t="str">
        <f aca="false">IFERROR(VLOOKUP(OFFSET(Table22,501,21,1,1),OFFSET(Table2,0,1,ROWS(Table2),8),7,0),VLOOKUP(OFFSET(Table22,501,22,1,1),Table2,8,0))</f>
        <v>AZR_FBCTCBenefit2inMotion_FRA_14s_VIA_AZRDirect_French_NA_Facebook_STAN_TIN_T4_1</v>
      </c>
      <c r="M502" s="2" t="n">
        <f aca="false">IFERROR(VLOOKUP(OFFSET(Table22,501,21,1,1),OFFSET(Table2,0,1,ROWS(Table2),8),8,0),VLOOKUP(OFFSET(Table22,501,22,1,1),Table2,9,0))</f>
        <v>103259766</v>
      </c>
      <c r="N502" s="15" t="s">
        <v>29</v>
      </c>
      <c r="O502" s="16" t="n">
        <v>43356</v>
      </c>
      <c r="P502" s="17" t="s">
        <v>102</v>
      </c>
      <c r="Q502" s="18" t="s">
        <v>103</v>
      </c>
      <c r="R502" s="17" t="s">
        <v>104</v>
      </c>
      <c r="S502" s="18" t="s">
        <v>33</v>
      </c>
      <c r="T502" s="17" t="s">
        <v>34</v>
      </c>
      <c r="U502" s="18" t="s">
        <v>127</v>
      </c>
      <c r="V502" s="19" t="n">
        <v>224560875</v>
      </c>
      <c r="W502" s="17" t="s">
        <v>129</v>
      </c>
      <c r="X502" s="17" t="n">
        <v>0</v>
      </c>
      <c r="Y502" s="17"/>
      <c r="Z502" s="17" t="n">
        <v>0</v>
      </c>
      <c r="AA502" s="17" t="s">
        <v>38</v>
      </c>
      <c r="AB502" s="17"/>
    </row>
    <row r="503" customFormat="false" ht="15" hidden="false" customHeight="false" outlineLevel="0" collapsed="false">
      <c r="A503" s="1" t="str">
        <f aca="false">OFFSET(Table22,502,14,1,1)&amp;OFFSET(Table22,502,21,1,1)</f>
        <v>43355224560875</v>
      </c>
      <c r="B503" s="1" t="str">
        <f aca="false">OFFSET(Table22,502,14,1,1)&amp;OFFSET(Table22,502,22,1,1)</f>
        <v>43355Facebook»Developers/ITPros-Azure Direct-Sponsored Post-Video Ad-FBCTCBenefit2inMotion_FRA_14s_RTG Landing Page»1x1»14s»VIA»ALL»CPC»BT»X»UNK»SS»NA»Trials_ID</v>
      </c>
      <c r="C503" s="1" t="s">
        <v>28</v>
      </c>
      <c r="D503" s="3" t="n">
        <f aca="false">O503+(7-WEEKDAY(O503))</f>
        <v>43358</v>
      </c>
      <c r="E503" s="1" t="str">
        <f aca="false">VLOOKUP(OFFSET(Table22,502,16,1,1),Key!B:D,2,0)</f>
        <v>France</v>
      </c>
      <c r="F503" s="1" t="str">
        <f aca="false">IF(ISNUMBER(SEARCH("Canvas",U503)),"Link",IF(ISNUMBER(SEARCH("Link",U503)),"Link","Not filled properly"))</f>
        <v>Link</v>
      </c>
      <c r="G503" s="1" t="str">
        <f aca="false">IFERROR(VLOOKUP(OFFSET(Table22,502,21,1,1),OFFSET(Table2,0,1,ROWS(Table2),8),2,0),VLOOKUP(OFFSET(Table22,502,22,1,1),Table2,3,0))</f>
        <v>FRA_gaPMG_AZR_AZR_Q1_19_AzureDirect-Trial-Social</v>
      </c>
      <c r="H503" s="1" t="n">
        <f aca="false">IFERROR(VLOOKUP(OFFSET(Table22,502,21,1,1),OFFSET(Table2,0,1,ROWS(Table2),8),3,0),VLOOKUP(OFFSET(Table22,502,22,1,1),Table2,4,0))</f>
        <v>21356941</v>
      </c>
      <c r="I503" s="2" t="n">
        <f aca="false">IFERROR(VLOOKUP(OFFSET(Table22,502,21,1,1),OFFSET(Table2,0,1,ROWS(Table2),8),4,0),VLOOKUP(OFFSET(Table22,502,22,1,1),Table2,5,0))</f>
        <v>720193</v>
      </c>
      <c r="J503" s="3" t="str">
        <f aca="false">IF(ISNUMBER(SEARCH("FACEBOOK",W503)),"Facebook",IF(ISNUMBER(SEARCH("INSTAGRAM",W503)),"Facebook-Instagram","Look at taxonomy"))</f>
        <v>Facebook</v>
      </c>
      <c r="K503" s="3" t="str">
        <f aca="false">IF(ISNUMBER(SEARCH("Facebook",J503)),"3654128","Not Facebook")</f>
        <v>3654128</v>
      </c>
      <c r="L503" s="3" t="str">
        <f aca="false">IFERROR(VLOOKUP(OFFSET(Table22,502,21,1,1),OFFSET(Table2,0,1,ROWS(Table2),8),7,0),VLOOKUP(OFFSET(Table22,502,22,1,1),Table2,8,0))</f>
        <v>AZR_FBCTCBenefit2inMotion_FRA_14s_VIA_AZRDirect_French_NA_Facebook_STAN_TIN_T4_1</v>
      </c>
      <c r="M503" s="2" t="n">
        <f aca="false">IFERROR(VLOOKUP(OFFSET(Table22,502,21,1,1),OFFSET(Table2,0,1,ROWS(Table2),8),8,0),VLOOKUP(OFFSET(Table22,502,22,1,1),Table2,9,0))</f>
        <v>103259766</v>
      </c>
      <c r="N503" s="15" t="s">
        <v>29</v>
      </c>
      <c r="O503" s="16" t="n">
        <v>43355</v>
      </c>
      <c r="P503" s="17" t="s">
        <v>102</v>
      </c>
      <c r="Q503" s="18" t="s">
        <v>103</v>
      </c>
      <c r="R503" s="17" t="s">
        <v>104</v>
      </c>
      <c r="S503" s="18" t="s">
        <v>33</v>
      </c>
      <c r="T503" s="17" t="s">
        <v>34</v>
      </c>
      <c r="U503" s="18" t="s">
        <v>127</v>
      </c>
      <c r="V503" s="19" t="n">
        <v>224560875</v>
      </c>
      <c r="W503" s="17" t="s">
        <v>129</v>
      </c>
      <c r="X503" s="17" t="n">
        <v>0</v>
      </c>
      <c r="Y503" s="17"/>
      <c r="Z503" s="17" t="n">
        <v>0</v>
      </c>
      <c r="AA503" s="17" t="s">
        <v>38</v>
      </c>
      <c r="AB503" s="17"/>
    </row>
    <row r="504" customFormat="false" ht="15" hidden="false" customHeight="false" outlineLevel="0" collapsed="false">
      <c r="A504" s="1" t="str">
        <f aca="false">OFFSET(Table22,503,14,1,1)&amp;OFFSET(Table22,503,21,1,1)</f>
        <v>43355224560875</v>
      </c>
      <c r="B504" s="1" t="str">
        <f aca="false">OFFSET(Table22,503,14,1,1)&amp;OFFSET(Table22,503,22,1,1)</f>
        <v>43355Facebook»Developers/ITPros-Azure Direct-Sponsored Post-Video Ad-FBCTCBenefit2inMotion_FRA_14s_RTG Landing Page»1x1»14s»VIA»ALL»CPC»BT»X»UNK»SS»NA»Trials_ID</v>
      </c>
      <c r="C504" s="1" t="s">
        <v>28</v>
      </c>
      <c r="D504" s="3" t="n">
        <f aca="false">O504+(7-WEEKDAY(O504))</f>
        <v>43358</v>
      </c>
      <c r="E504" s="1" t="str">
        <f aca="false">VLOOKUP(OFFSET(Table22,503,16,1,1),Key!B:D,2,0)</f>
        <v>France</v>
      </c>
      <c r="F504" s="1" t="str">
        <f aca="false">IF(ISNUMBER(SEARCH("Canvas",U504)),"Link",IF(ISNUMBER(SEARCH("Link",U504)),"Link","Not filled properly"))</f>
        <v>Link</v>
      </c>
      <c r="G504" s="1" t="str">
        <f aca="false">IFERROR(VLOOKUP(OFFSET(Table22,503,21,1,1),OFFSET(Table2,0,1,ROWS(Table2),8),2,0),VLOOKUP(OFFSET(Table22,503,22,1,1),Table2,3,0))</f>
        <v>FRA_gaPMG_AZR_AZR_Q1_19_AzureDirect-Trial-Social</v>
      </c>
      <c r="H504" s="1" t="n">
        <f aca="false">IFERROR(VLOOKUP(OFFSET(Table22,503,21,1,1),OFFSET(Table2,0,1,ROWS(Table2),8),3,0),VLOOKUP(OFFSET(Table22,503,22,1,1),Table2,4,0))</f>
        <v>21356941</v>
      </c>
      <c r="I504" s="2" t="n">
        <f aca="false">IFERROR(VLOOKUP(OFFSET(Table22,503,21,1,1),OFFSET(Table2,0,1,ROWS(Table2),8),4,0),VLOOKUP(OFFSET(Table22,503,22,1,1),Table2,5,0))</f>
        <v>720193</v>
      </c>
      <c r="J504" s="3" t="str">
        <f aca="false">IF(ISNUMBER(SEARCH("FACEBOOK",W504)),"Facebook",IF(ISNUMBER(SEARCH("INSTAGRAM",W504)),"Facebook-Instagram","Look at taxonomy"))</f>
        <v>Facebook</v>
      </c>
      <c r="K504" s="3" t="str">
        <f aca="false">IF(ISNUMBER(SEARCH("Facebook",J504)),"3654128","Not Facebook")</f>
        <v>3654128</v>
      </c>
      <c r="L504" s="3" t="str">
        <f aca="false">IFERROR(VLOOKUP(OFFSET(Table22,503,21,1,1),OFFSET(Table2,0,1,ROWS(Table2),8),7,0),VLOOKUP(OFFSET(Table22,503,22,1,1),Table2,8,0))</f>
        <v>AZR_FBCTCBenefit2inMotion_FRA_14s_VIA_AZRDirect_French_NA_Facebook_STAN_TIN_T4_1</v>
      </c>
      <c r="M504" s="2" t="n">
        <f aca="false">IFERROR(VLOOKUP(OFFSET(Table22,503,21,1,1),OFFSET(Table2,0,1,ROWS(Table2),8),8,0),VLOOKUP(OFFSET(Table22,503,22,1,1),Table2,9,0))</f>
        <v>103259766</v>
      </c>
      <c r="N504" s="15" t="s">
        <v>29</v>
      </c>
      <c r="O504" s="16" t="n">
        <v>43355</v>
      </c>
      <c r="P504" s="17" t="s">
        <v>102</v>
      </c>
      <c r="Q504" s="18" t="s">
        <v>103</v>
      </c>
      <c r="R504" s="17" t="s">
        <v>104</v>
      </c>
      <c r="S504" s="18" t="s">
        <v>33</v>
      </c>
      <c r="T504" s="17" t="s">
        <v>34</v>
      </c>
      <c r="U504" s="18" t="s">
        <v>127</v>
      </c>
      <c r="V504" s="19" t="n">
        <v>224560875</v>
      </c>
      <c r="W504" s="17" t="s">
        <v>129</v>
      </c>
      <c r="X504" s="17" t="n">
        <v>261</v>
      </c>
      <c r="Y504" s="17" t="n">
        <v>2</v>
      </c>
      <c r="Z504" s="17" t="n">
        <v>1.97</v>
      </c>
      <c r="AA504" s="17" t="s">
        <v>38</v>
      </c>
      <c r="AB504" s="17"/>
    </row>
    <row r="505" customFormat="false" ht="15" hidden="false" customHeight="false" outlineLevel="0" collapsed="false">
      <c r="A505" s="1" t="str">
        <f aca="false">OFFSET(Table22,504,14,1,1)&amp;OFFSET(Table22,504,21,1,1)</f>
        <v>43355224560875</v>
      </c>
      <c r="B505" s="1" t="str">
        <f aca="false">OFFSET(Table22,504,14,1,1)&amp;OFFSET(Table22,504,22,1,1)</f>
        <v>43355Facebook»Developers/ITPros-Azure Direct-Sponsored Post-Video Ad-FBCTCBenefit2inMotion_FRA_14s_RTG Landing Page»1x1»14s»VIA»ALL»CPC»BT»X»UNK»SS»NA»Trials_ID</v>
      </c>
      <c r="C505" s="1" t="s">
        <v>28</v>
      </c>
      <c r="D505" s="3" t="n">
        <f aca="false">O505+(7-WEEKDAY(O505))</f>
        <v>43358</v>
      </c>
      <c r="E505" s="1" t="str">
        <f aca="false">VLOOKUP(OFFSET(Table22,504,16,1,1),Key!B:D,2,0)</f>
        <v>France</v>
      </c>
      <c r="F505" s="1" t="str">
        <f aca="false">IF(ISNUMBER(SEARCH("Canvas",U505)),"Link",IF(ISNUMBER(SEARCH("Link",U505)),"Link","Not filled properly"))</f>
        <v>Link</v>
      </c>
      <c r="G505" s="1" t="str">
        <f aca="false">IFERROR(VLOOKUP(OFFSET(Table22,504,21,1,1),OFFSET(Table2,0,1,ROWS(Table2),8),2,0),VLOOKUP(OFFSET(Table22,504,22,1,1),Table2,3,0))</f>
        <v>FRA_gaPMG_AZR_AZR_Q1_19_AzureDirect-Trial-Social</v>
      </c>
      <c r="H505" s="1" t="n">
        <f aca="false">IFERROR(VLOOKUP(OFFSET(Table22,504,21,1,1),OFFSET(Table2,0,1,ROWS(Table2),8),3,0),VLOOKUP(OFFSET(Table22,504,22,1,1),Table2,4,0))</f>
        <v>21356941</v>
      </c>
      <c r="I505" s="2" t="n">
        <f aca="false">IFERROR(VLOOKUP(OFFSET(Table22,504,21,1,1),OFFSET(Table2,0,1,ROWS(Table2),8),4,0),VLOOKUP(OFFSET(Table22,504,22,1,1),Table2,5,0))</f>
        <v>720193</v>
      </c>
      <c r="J505" s="3" t="str">
        <f aca="false">IF(ISNUMBER(SEARCH("FACEBOOK",W505)),"Facebook",IF(ISNUMBER(SEARCH("INSTAGRAM",W505)),"Facebook-Instagram","Look at taxonomy"))</f>
        <v>Facebook</v>
      </c>
      <c r="K505" s="3" t="str">
        <f aca="false">IF(ISNUMBER(SEARCH("Facebook",J505)),"3654128","Not Facebook")</f>
        <v>3654128</v>
      </c>
      <c r="L505" s="3" t="str">
        <f aca="false">IFERROR(VLOOKUP(OFFSET(Table22,504,21,1,1),OFFSET(Table2,0,1,ROWS(Table2),8),7,0),VLOOKUP(OFFSET(Table22,504,22,1,1),Table2,8,0))</f>
        <v>AZR_FBCTCBenefit2inMotion_FRA_14s_VIA_AZRDirect_French_NA_Facebook_STAN_TIN_T4_1</v>
      </c>
      <c r="M505" s="2" t="n">
        <f aca="false">IFERROR(VLOOKUP(OFFSET(Table22,504,21,1,1),OFFSET(Table2,0,1,ROWS(Table2),8),8,0),VLOOKUP(OFFSET(Table22,504,22,1,1),Table2,9,0))</f>
        <v>103259766</v>
      </c>
      <c r="N505" s="15" t="s">
        <v>29</v>
      </c>
      <c r="O505" s="16" t="n">
        <v>43355</v>
      </c>
      <c r="P505" s="17" t="s">
        <v>102</v>
      </c>
      <c r="Q505" s="18" t="s">
        <v>103</v>
      </c>
      <c r="R505" s="17" t="s">
        <v>104</v>
      </c>
      <c r="S505" s="18" t="s">
        <v>33</v>
      </c>
      <c r="T505" s="17" t="s">
        <v>34</v>
      </c>
      <c r="U505" s="18" t="s">
        <v>127</v>
      </c>
      <c r="V505" s="19" t="n">
        <v>224560875</v>
      </c>
      <c r="W505" s="17" t="s">
        <v>129</v>
      </c>
      <c r="X505" s="17" t="n">
        <v>5873</v>
      </c>
      <c r="Y505" s="17" t="n">
        <v>57</v>
      </c>
      <c r="Z505" s="17" t="n">
        <v>45.51</v>
      </c>
      <c r="AA505" s="17" t="s">
        <v>38</v>
      </c>
      <c r="AB505" s="17"/>
    </row>
    <row r="506" customFormat="false" ht="15" hidden="false" customHeight="false" outlineLevel="0" collapsed="false">
      <c r="A506" s="1" t="str">
        <f aca="false">OFFSET(Table22,505,14,1,1)&amp;OFFSET(Table22,505,21,1,1)</f>
        <v>43355224560875</v>
      </c>
      <c r="B506" s="1" t="str">
        <f aca="false">OFFSET(Table22,505,14,1,1)&amp;OFFSET(Table22,505,22,1,1)</f>
        <v>43355Facebook»Developers/ITPros-Azure Direct-Sponsored Post-Video Ad-FBCTCBenefit2inMotion_FRA_14s_RTG Landing Page»1x1»14s»VIA»ALL»CPC»BT»X»UNK»SS»NA»Trials_ID</v>
      </c>
      <c r="C506" s="1" t="s">
        <v>28</v>
      </c>
      <c r="D506" s="3" t="n">
        <f aca="false">O506+(7-WEEKDAY(O506))</f>
        <v>43358</v>
      </c>
      <c r="E506" s="1" t="str">
        <f aca="false">VLOOKUP(OFFSET(Table22,505,16,1,1),Key!B:D,2,0)</f>
        <v>France</v>
      </c>
      <c r="F506" s="1" t="str">
        <f aca="false">IF(ISNUMBER(SEARCH("Canvas",U506)),"Link",IF(ISNUMBER(SEARCH("Link",U506)),"Link","Not filled properly"))</f>
        <v>Link</v>
      </c>
      <c r="G506" s="1" t="str">
        <f aca="false">IFERROR(VLOOKUP(OFFSET(Table22,505,21,1,1),OFFSET(Table2,0,1,ROWS(Table2),8),2,0),VLOOKUP(OFFSET(Table22,505,22,1,1),Table2,3,0))</f>
        <v>FRA_gaPMG_AZR_AZR_Q1_19_AzureDirect-Trial-Social</v>
      </c>
      <c r="H506" s="1" t="n">
        <f aca="false">IFERROR(VLOOKUP(OFFSET(Table22,505,21,1,1),OFFSET(Table2,0,1,ROWS(Table2),8),3,0),VLOOKUP(OFFSET(Table22,505,22,1,1),Table2,4,0))</f>
        <v>21356941</v>
      </c>
      <c r="I506" s="2" t="n">
        <f aca="false">IFERROR(VLOOKUP(OFFSET(Table22,505,21,1,1),OFFSET(Table2,0,1,ROWS(Table2),8),4,0),VLOOKUP(OFFSET(Table22,505,22,1,1),Table2,5,0))</f>
        <v>720193</v>
      </c>
      <c r="J506" s="3" t="str">
        <f aca="false">IF(ISNUMBER(SEARCH("FACEBOOK",W506)),"Facebook",IF(ISNUMBER(SEARCH("INSTAGRAM",W506)),"Facebook-Instagram","Look at taxonomy"))</f>
        <v>Facebook</v>
      </c>
      <c r="K506" s="3" t="str">
        <f aca="false">IF(ISNUMBER(SEARCH("Facebook",J506)),"3654128","Not Facebook")</f>
        <v>3654128</v>
      </c>
      <c r="L506" s="3" t="str">
        <f aca="false">IFERROR(VLOOKUP(OFFSET(Table22,505,21,1,1),OFFSET(Table2,0,1,ROWS(Table2),8),7,0),VLOOKUP(OFFSET(Table22,505,22,1,1),Table2,8,0))</f>
        <v>AZR_FBCTCBenefit2inMotion_FRA_14s_VIA_AZRDirect_French_NA_Facebook_STAN_TIN_T4_1</v>
      </c>
      <c r="M506" s="2" t="n">
        <f aca="false">IFERROR(VLOOKUP(OFFSET(Table22,505,21,1,1),OFFSET(Table2,0,1,ROWS(Table2),8),8,0),VLOOKUP(OFFSET(Table22,505,22,1,1),Table2,9,0))</f>
        <v>103259766</v>
      </c>
      <c r="N506" s="15" t="s">
        <v>29</v>
      </c>
      <c r="O506" s="16" t="n">
        <v>43355</v>
      </c>
      <c r="P506" s="17" t="s">
        <v>102</v>
      </c>
      <c r="Q506" s="18" t="s">
        <v>103</v>
      </c>
      <c r="R506" s="17" t="s">
        <v>104</v>
      </c>
      <c r="S506" s="18" t="s">
        <v>33</v>
      </c>
      <c r="T506" s="17" t="s">
        <v>34</v>
      </c>
      <c r="U506" s="18" t="s">
        <v>127</v>
      </c>
      <c r="V506" s="19" t="n">
        <v>224560875</v>
      </c>
      <c r="W506" s="17" t="s">
        <v>129</v>
      </c>
      <c r="X506" s="17" t="n">
        <v>0</v>
      </c>
      <c r="Y506" s="17"/>
      <c r="Z506" s="17" t="n">
        <v>0</v>
      </c>
      <c r="AA506" s="17" t="s">
        <v>38</v>
      </c>
      <c r="AB506" s="17"/>
    </row>
    <row r="507" customFormat="false" ht="15" hidden="false" customHeight="false" outlineLevel="0" collapsed="false">
      <c r="A507" s="1" t="str">
        <f aca="false">OFFSET(Table22,506,14,1,1)&amp;OFFSET(Table22,506,21,1,1)</f>
        <v>43354224560875</v>
      </c>
      <c r="B507" s="1" t="str">
        <f aca="false">OFFSET(Table22,506,14,1,1)&amp;OFFSET(Table22,506,22,1,1)</f>
        <v>43354Facebook»Developers/ITPros-Azure Direct-Sponsored Post-Video Ad-FBCTCBenefit2inMotion_FRA_14s_RTG Landing Page»1x1»14s»VIA»ALL»CPC»BT»X»UNK»SS»NA»Trials_ID</v>
      </c>
      <c r="C507" s="1" t="s">
        <v>28</v>
      </c>
      <c r="D507" s="3" t="n">
        <f aca="false">O507+(7-WEEKDAY(O507))</f>
        <v>43358</v>
      </c>
      <c r="E507" s="1" t="str">
        <f aca="false">VLOOKUP(OFFSET(Table22,506,16,1,1),Key!B:D,2,0)</f>
        <v>France</v>
      </c>
      <c r="F507" s="1" t="str">
        <f aca="false">IF(ISNUMBER(SEARCH("Canvas",U507)),"Link",IF(ISNUMBER(SEARCH("Link",U507)),"Link","Not filled properly"))</f>
        <v>Link</v>
      </c>
      <c r="G507" s="1" t="str">
        <f aca="false">IFERROR(VLOOKUP(OFFSET(Table22,506,21,1,1),OFFSET(Table2,0,1,ROWS(Table2),8),2,0),VLOOKUP(OFFSET(Table22,506,22,1,1),Table2,3,0))</f>
        <v>FRA_gaPMG_AZR_AZR_Q1_19_AzureDirect-Trial-Social</v>
      </c>
      <c r="H507" s="1" t="n">
        <f aca="false">IFERROR(VLOOKUP(OFFSET(Table22,506,21,1,1),OFFSET(Table2,0,1,ROWS(Table2),8),3,0),VLOOKUP(OFFSET(Table22,506,22,1,1),Table2,4,0))</f>
        <v>21356941</v>
      </c>
      <c r="I507" s="2" t="n">
        <f aca="false">IFERROR(VLOOKUP(OFFSET(Table22,506,21,1,1),OFFSET(Table2,0,1,ROWS(Table2),8),4,0),VLOOKUP(OFFSET(Table22,506,22,1,1),Table2,5,0))</f>
        <v>720193</v>
      </c>
      <c r="J507" s="3" t="str">
        <f aca="false">IF(ISNUMBER(SEARCH("FACEBOOK",W507)),"Facebook",IF(ISNUMBER(SEARCH("INSTAGRAM",W507)),"Facebook-Instagram","Look at taxonomy"))</f>
        <v>Facebook</v>
      </c>
      <c r="K507" s="3" t="str">
        <f aca="false">IF(ISNUMBER(SEARCH("Facebook",J507)),"3654128","Not Facebook")</f>
        <v>3654128</v>
      </c>
      <c r="L507" s="3" t="str">
        <f aca="false">IFERROR(VLOOKUP(OFFSET(Table22,506,21,1,1),OFFSET(Table2,0,1,ROWS(Table2),8),7,0),VLOOKUP(OFFSET(Table22,506,22,1,1),Table2,8,0))</f>
        <v>AZR_FBCTCBenefit2inMotion_FRA_14s_VIA_AZRDirect_French_NA_Facebook_STAN_TIN_T4_1</v>
      </c>
      <c r="M507" s="2" t="n">
        <f aca="false">IFERROR(VLOOKUP(OFFSET(Table22,506,21,1,1),OFFSET(Table2,0,1,ROWS(Table2),8),8,0),VLOOKUP(OFFSET(Table22,506,22,1,1),Table2,9,0))</f>
        <v>103259766</v>
      </c>
      <c r="N507" s="15" t="s">
        <v>29</v>
      </c>
      <c r="O507" s="16" t="n">
        <v>43354</v>
      </c>
      <c r="P507" s="17" t="s">
        <v>102</v>
      </c>
      <c r="Q507" s="18" t="s">
        <v>103</v>
      </c>
      <c r="R507" s="17" t="s">
        <v>104</v>
      </c>
      <c r="S507" s="18" t="s">
        <v>33</v>
      </c>
      <c r="T507" s="17" t="s">
        <v>34</v>
      </c>
      <c r="U507" s="18" t="s">
        <v>127</v>
      </c>
      <c r="V507" s="19" t="n">
        <v>224560875</v>
      </c>
      <c r="W507" s="17" t="s">
        <v>129</v>
      </c>
      <c r="X507" s="17" t="n">
        <v>1806</v>
      </c>
      <c r="Y507" s="17" t="n">
        <v>16</v>
      </c>
      <c r="Z507" s="17" t="n">
        <v>11.79</v>
      </c>
      <c r="AA507" s="17" t="s">
        <v>38</v>
      </c>
      <c r="AB507" s="17"/>
    </row>
    <row r="508" customFormat="false" ht="15" hidden="false" customHeight="false" outlineLevel="0" collapsed="false">
      <c r="A508" s="1" t="str">
        <f aca="false">OFFSET(Table22,507,14,1,1)&amp;OFFSET(Table22,507,21,1,1)</f>
        <v>43354224560875</v>
      </c>
      <c r="B508" s="1" t="str">
        <f aca="false">OFFSET(Table22,507,14,1,1)&amp;OFFSET(Table22,507,22,1,1)</f>
        <v>43354Facebook»Developers/ITPros-Azure Direct-Sponsored Post-Video Ad-FBCTCBenefit2inMotion_FRA_14s_RTG Landing Page»1x1»14s»VIA»ALL»CPC»BT»X»UNK»SS»NA»Trials_ID</v>
      </c>
      <c r="C508" s="1" t="s">
        <v>28</v>
      </c>
      <c r="D508" s="3" t="n">
        <f aca="false">O508+(7-WEEKDAY(O508))</f>
        <v>43358</v>
      </c>
      <c r="E508" s="1" t="str">
        <f aca="false">VLOOKUP(OFFSET(Table22,507,16,1,1),Key!B:D,2,0)</f>
        <v>France</v>
      </c>
      <c r="F508" s="1" t="str">
        <f aca="false">IF(ISNUMBER(SEARCH("Canvas",U508)),"Link",IF(ISNUMBER(SEARCH("Link",U508)),"Link","Not filled properly"))</f>
        <v>Link</v>
      </c>
      <c r="G508" s="1" t="str">
        <f aca="false">IFERROR(VLOOKUP(OFFSET(Table22,507,21,1,1),OFFSET(Table2,0,1,ROWS(Table2),8),2,0),VLOOKUP(OFFSET(Table22,507,22,1,1),Table2,3,0))</f>
        <v>FRA_gaPMG_AZR_AZR_Q1_19_AzureDirect-Trial-Social</v>
      </c>
      <c r="H508" s="1" t="n">
        <f aca="false">IFERROR(VLOOKUP(OFFSET(Table22,507,21,1,1),OFFSET(Table2,0,1,ROWS(Table2),8),3,0),VLOOKUP(OFFSET(Table22,507,22,1,1),Table2,4,0))</f>
        <v>21356941</v>
      </c>
      <c r="I508" s="2" t="n">
        <f aca="false">IFERROR(VLOOKUP(OFFSET(Table22,507,21,1,1),OFFSET(Table2,0,1,ROWS(Table2),8),4,0),VLOOKUP(OFFSET(Table22,507,22,1,1),Table2,5,0))</f>
        <v>720193</v>
      </c>
      <c r="J508" s="3" t="str">
        <f aca="false">IF(ISNUMBER(SEARCH("FACEBOOK",W508)),"Facebook",IF(ISNUMBER(SEARCH("INSTAGRAM",W508)),"Facebook-Instagram","Look at taxonomy"))</f>
        <v>Facebook</v>
      </c>
      <c r="K508" s="3" t="str">
        <f aca="false">IF(ISNUMBER(SEARCH("Facebook",J508)),"3654128","Not Facebook")</f>
        <v>3654128</v>
      </c>
      <c r="L508" s="3" t="str">
        <f aca="false">IFERROR(VLOOKUP(OFFSET(Table22,507,21,1,1),OFFSET(Table2,0,1,ROWS(Table2),8),7,0),VLOOKUP(OFFSET(Table22,507,22,1,1),Table2,8,0))</f>
        <v>AZR_FBCTCBenefit2inMotion_FRA_14s_VIA_AZRDirect_French_NA_Facebook_STAN_TIN_T4_1</v>
      </c>
      <c r="M508" s="2" t="n">
        <f aca="false">IFERROR(VLOOKUP(OFFSET(Table22,507,21,1,1),OFFSET(Table2,0,1,ROWS(Table2),8),8,0),VLOOKUP(OFFSET(Table22,507,22,1,1),Table2,9,0))</f>
        <v>103259766</v>
      </c>
      <c r="N508" s="15" t="s">
        <v>29</v>
      </c>
      <c r="O508" s="16" t="n">
        <v>43354</v>
      </c>
      <c r="P508" s="17" t="s">
        <v>102</v>
      </c>
      <c r="Q508" s="18" t="s">
        <v>103</v>
      </c>
      <c r="R508" s="17" t="s">
        <v>104</v>
      </c>
      <c r="S508" s="18" t="s">
        <v>33</v>
      </c>
      <c r="T508" s="17" t="s">
        <v>34</v>
      </c>
      <c r="U508" s="18" t="s">
        <v>127</v>
      </c>
      <c r="V508" s="19" t="n">
        <v>224560875</v>
      </c>
      <c r="W508" s="17" t="s">
        <v>129</v>
      </c>
      <c r="X508" s="17" t="n">
        <v>0</v>
      </c>
      <c r="Y508" s="17"/>
      <c r="Z508" s="17" t="n">
        <v>0</v>
      </c>
      <c r="AA508" s="17" t="s">
        <v>38</v>
      </c>
      <c r="AB508" s="17"/>
    </row>
    <row r="509" customFormat="false" ht="15" hidden="false" customHeight="false" outlineLevel="0" collapsed="false">
      <c r="A509" s="1" t="str">
        <f aca="false">OFFSET(Table22,508,14,1,1)&amp;OFFSET(Table22,508,21,1,1)</f>
        <v>43354224560875</v>
      </c>
      <c r="B509" s="1" t="str">
        <f aca="false">OFFSET(Table22,508,14,1,1)&amp;OFFSET(Table22,508,22,1,1)</f>
        <v>43354Facebook»Developers/ITPros-Azure Direct-Sponsored Post-Video Ad-FBCTCBenefit2inMotion_FRA_14s_RTG Landing Page»1x1»14s»VIA»ALL»CPC»BT»X»UNK»SS»NA»Trials_ID</v>
      </c>
      <c r="C509" s="1" t="s">
        <v>28</v>
      </c>
      <c r="D509" s="3" t="n">
        <f aca="false">O509+(7-WEEKDAY(O509))</f>
        <v>43358</v>
      </c>
      <c r="E509" s="1" t="str">
        <f aca="false">VLOOKUP(OFFSET(Table22,508,16,1,1),Key!B:D,2,0)</f>
        <v>France</v>
      </c>
      <c r="F509" s="1" t="str">
        <f aca="false">IF(ISNUMBER(SEARCH("Canvas",U509)),"Link",IF(ISNUMBER(SEARCH("Link",U509)),"Link","Not filled properly"))</f>
        <v>Link</v>
      </c>
      <c r="G509" s="1" t="str">
        <f aca="false">IFERROR(VLOOKUP(OFFSET(Table22,508,21,1,1),OFFSET(Table2,0,1,ROWS(Table2),8),2,0),VLOOKUP(OFFSET(Table22,508,22,1,1),Table2,3,0))</f>
        <v>FRA_gaPMG_AZR_AZR_Q1_19_AzureDirect-Trial-Social</v>
      </c>
      <c r="H509" s="1" t="n">
        <f aca="false">IFERROR(VLOOKUP(OFFSET(Table22,508,21,1,1),OFFSET(Table2,0,1,ROWS(Table2),8),3,0),VLOOKUP(OFFSET(Table22,508,22,1,1),Table2,4,0))</f>
        <v>21356941</v>
      </c>
      <c r="I509" s="2" t="n">
        <f aca="false">IFERROR(VLOOKUP(OFFSET(Table22,508,21,1,1),OFFSET(Table2,0,1,ROWS(Table2),8),4,0),VLOOKUP(OFFSET(Table22,508,22,1,1),Table2,5,0))</f>
        <v>720193</v>
      </c>
      <c r="J509" s="3" t="str">
        <f aca="false">IF(ISNUMBER(SEARCH("FACEBOOK",W509)),"Facebook",IF(ISNUMBER(SEARCH("INSTAGRAM",W509)),"Facebook-Instagram","Look at taxonomy"))</f>
        <v>Facebook</v>
      </c>
      <c r="K509" s="3" t="str">
        <f aca="false">IF(ISNUMBER(SEARCH("Facebook",J509)),"3654128","Not Facebook")</f>
        <v>3654128</v>
      </c>
      <c r="L509" s="3" t="str">
        <f aca="false">IFERROR(VLOOKUP(OFFSET(Table22,508,21,1,1),OFFSET(Table2,0,1,ROWS(Table2),8),7,0),VLOOKUP(OFFSET(Table22,508,22,1,1),Table2,8,0))</f>
        <v>AZR_FBCTCBenefit2inMotion_FRA_14s_VIA_AZRDirect_French_NA_Facebook_STAN_TIN_T4_1</v>
      </c>
      <c r="M509" s="2" t="n">
        <f aca="false">IFERROR(VLOOKUP(OFFSET(Table22,508,21,1,1),OFFSET(Table2,0,1,ROWS(Table2),8),8,0),VLOOKUP(OFFSET(Table22,508,22,1,1),Table2,9,0))</f>
        <v>103259766</v>
      </c>
      <c r="N509" s="15" t="s">
        <v>29</v>
      </c>
      <c r="O509" s="16" t="n">
        <v>43354</v>
      </c>
      <c r="P509" s="17" t="s">
        <v>102</v>
      </c>
      <c r="Q509" s="18" t="s">
        <v>103</v>
      </c>
      <c r="R509" s="17" t="s">
        <v>104</v>
      </c>
      <c r="S509" s="18" t="s">
        <v>33</v>
      </c>
      <c r="T509" s="17" t="s">
        <v>34</v>
      </c>
      <c r="U509" s="18" t="s">
        <v>127</v>
      </c>
      <c r="V509" s="19" t="n">
        <v>224560875</v>
      </c>
      <c r="W509" s="17" t="s">
        <v>129</v>
      </c>
      <c r="X509" s="17" t="n">
        <v>0</v>
      </c>
      <c r="Y509" s="17"/>
      <c r="Z509" s="17" t="n">
        <v>0</v>
      </c>
      <c r="AA509" s="17" t="s">
        <v>38</v>
      </c>
      <c r="AB509" s="17"/>
    </row>
    <row r="510" customFormat="false" ht="15" hidden="false" customHeight="false" outlineLevel="0" collapsed="false">
      <c r="A510" s="1" t="str">
        <f aca="false">OFFSET(Table22,509,14,1,1)&amp;OFFSET(Table22,509,21,1,1)</f>
        <v>43354224560875</v>
      </c>
      <c r="B510" s="1" t="str">
        <f aca="false">OFFSET(Table22,509,14,1,1)&amp;OFFSET(Table22,509,22,1,1)</f>
        <v>43354Facebook»Developers/ITPros-Azure Direct-Sponsored Post-Video Ad-FBCTCBenefit2inMotion_FRA_14s_RTG Landing Page»1x1»14s»VIA»ALL»CPC»BT»X»UNK»SS»NA»Trials_ID</v>
      </c>
      <c r="C510" s="1" t="s">
        <v>28</v>
      </c>
      <c r="D510" s="3" t="n">
        <f aca="false">O510+(7-WEEKDAY(O510))</f>
        <v>43358</v>
      </c>
      <c r="E510" s="1" t="str">
        <f aca="false">VLOOKUP(OFFSET(Table22,509,16,1,1),Key!B:D,2,0)</f>
        <v>France</v>
      </c>
      <c r="F510" s="1" t="str">
        <f aca="false">IF(ISNUMBER(SEARCH("Canvas",U510)),"Link",IF(ISNUMBER(SEARCH("Link",U510)),"Link","Not filled properly"))</f>
        <v>Link</v>
      </c>
      <c r="G510" s="1" t="str">
        <f aca="false">IFERROR(VLOOKUP(OFFSET(Table22,509,21,1,1),OFFSET(Table2,0,1,ROWS(Table2),8),2,0),VLOOKUP(OFFSET(Table22,509,22,1,1),Table2,3,0))</f>
        <v>FRA_gaPMG_AZR_AZR_Q1_19_AzureDirect-Trial-Social</v>
      </c>
      <c r="H510" s="1" t="n">
        <f aca="false">IFERROR(VLOOKUP(OFFSET(Table22,509,21,1,1),OFFSET(Table2,0,1,ROWS(Table2),8),3,0),VLOOKUP(OFFSET(Table22,509,22,1,1),Table2,4,0))</f>
        <v>21356941</v>
      </c>
      <c r="I510" s="2" t="n">
        <f aca="false">IFERROR(VLOOKUP(OFFSET(Table22,509,21,1,1),OFFSET(Table2,0,1,ROWS(Table2),8),4,0),VLOOKUP(OFFSET(Table22,509,22,1,1),Table2,5,0))</f>
        <v>720193</v>
      </c>
      <c r="J510" s="3" t="str">
        <f aca="false">IF(ISNUMBER(SEARCH("FACEBOOK",W510)),"Facebook",IF(ISNUMBER(SEARCH("INSTAGRAM",W510)),"Facebook-Instagram","Look at taxonomy"))</f>
        <v>Facebook</v>
      </c>
      <c r="K510" s="3" t="str">
        <f aca="false">IF(ISNUMBER(SEARCH("Facebook",J510)),"3654128","Not Facebook")</f>
        <v>3654128</v>
      </c>
      <c r="L510" s="3" t="str">
        <f aca="false">IFERROR(VLOOKUP(OFFSET(Table22,509,21,1,1),OFFSET(Table2,0,1,ROWS(Table2),8),7,0),VLOOKUP(OFFSET(Table22,509,22,1,1),Table2,8,0))</f>
        <v>AZR_FBCTCBenefit2inMotion_FRA_14s_VIA_AZRDirect_French_NA_Facebook_STAN_TIN_T4_1</v>
      </c>
      <c r="M510" s="2" t="n">
        <f aca="false">IFERROR(VLOOKUP(OFFSET(Table22,509,21,1,1),OFFSET(Table2,0,1,ROWS(Table2),8),8,0),VLOOKUP(OFFSET(Table22,509,22,1,1),Table2,9,0))</f>
        <v>103259766</v>
      </c>
      <c r="N510" s="15" t="s">
        <v>29</v>
      </c>
      <c r="O510" s="16" t="n">
        <v>43354</v>
      </c>
      <c r="P510" s="17" t="s">
        <v>102</v>
      </c>
      <c r="Q510" s="18" t="s">
        <v>103</v>
      </c>
      <c r="R510" s="17" t="s">
        <v>104</v>
      </c>
      <c r="S510" s="18" t="s">
        <v>33</v>
      </c>
      <c r="T510" s="17" t="s">
        <v>34</v>
      </c>
      <c r="U510" s="18" t="s">
        <v>127</v>
      </c>
      <c r="V510" s="19" t="n">
        <v>224560875</v>
      </c>
      <c r="W510" s="17" t="s">
        <v>129</v>
      </c>
      <c r="X510" s="17" t="n">
        <v>1440</v>
      </c>
      <c r="Y510" s="17" t="n">
        <v>15</v>
      </c>
      <c r="Z510" s="17" t="n">
        <v>11.02</v>
      </c>
      <c r="AA510" s="17" t="s">
        <v>38</v>
      </c>
      <c r="AB510" s="17"/>
    </row>
    <row r="511" customFormat="false" ht="15" hidden="false" customHeight="false" outlineLevel="0" collapsed="false">
      <c r="A511" s="1" t="str">
        <f aca="false">OFFSET(Table22,510,14,1,1)&amp;OFFSET(Table22,510,21,1,1)</f>
        <v>43353224560875</v>
      </c>
      <c r="B511" s="1" t="str">
        <f aca="false">OFFSET(Table22,510,14,1,1)&amp;OFFSET(Table22,510,22,1,1)</f>
        <v>43353Facebook»Developers/ITPros-Azure Direct-Sponsored Post-Video Ad-FBCTCBenefit2inMotion_FRA_14s_RTG Landing Page»1x1»14s»VIA»ALL»CPC»BT»X»UNK»SS»NA»Trials_ID</v>
      </c>
      <c r="C511" s="1" t="s">
        <v>28</v>
      </c>
      <c r="D511" s="3" t="n">
        <f aca="false">O511+(7-WEEKDAY(O511))</f>
        <v>43358</v>
      </c>
      <c r="E511" s="1" t="str">
        <f aca="false">VLOOKUP(OFFSET(Table22,510,16,1,1),Key!B:D,2,0)</f>
        <v>France</v>
      </c>
      <c r="F511" s="1" t="str">
        <f aca="false">IF(ISNUMBER(SEARCH("Canvas",U511)),"Link",IF(ISNUMBER(SEARCH("Link",U511)),"Link","Not filled properly"))</f>
        <v>Link</v>
      </c>
      <c r="G511" s="1" t="str">
        <f aca="false">IFERROR(VLOOKUP(OFFSET(Table22,510,21,1,1),OFFSET(Table2,0,1,ROWS(Table2),8),2,0),VLOOKUP(OFFSET(Table22,510,22,1,1),Table2,3,0))</f>
        <v>FRA_gaPMG_AZR_AZR_Q1_19_AzureDirect-Trial-Social</v>
      </c>
      <c r="H511" s="1" t="n">
        <f aca="false">IFERROR(VLOOKUP(OFFSET(Table22,510,21,1,1),OFFSET(Table2,0,1,ROWS(Table2),8),3,0),VLOOKUP(OFFSET(Table22,510,22,1,1),Table2,4,0))</f>
        <v>21356941</v>
      </c>
      <c r="I511" s="2" t="n">
        <f aca="false">IFERROR(VLOOKUP(OFFSET(Table22,510,21,1,1),OFFSET(Table2,0,1,ROWS(Table2),8),4,0),VLOOKUP(OFFSET(Table22,510,22,1,1),Table2,5,0))</f>
        <v>720193</v>
      </c>
      <c r="J511" s="3" t="str">
        <f aca="false">IF(ISNUMBER(SEARCH("FACEBOOK",W511)),"Facebook",IF(ISNUMBER(SEARCH("INSTAGRAM",W511)),"Facebook-Instagram","Look at taxonomy"))</f>
        <v>Facebook</v>
      </c>
      <c r="K511" s="3" t="str">
        <f aca="false">IF(ISNUMBER(SEARCH("Facebook",J511)),"3654128","Not Facebook")</f>
        <v>3654128</v>
      </c>
      <c r="L511" s="3" t="str">
        <f aca="false">IFERROR(VLOOKUP(OFFSET(Table22,510,21,1,1),OFFSET(Table2,0,1,ROWS(Table2),8),7,0),VLOOKUP(OFFSET(Table22,510,22,1,1),Table2,8,0))</f>
        <v>AZR_FBCTCBenefit2inMotion_FRA_14s_VIA_AZRDirect_French_NA_Facebook_STAN_TIN_T4_1</v>
      </c>
      <c r="M511" s="2" t="n">
        <f aca="false">IFERROR(VLOOKUP(OFFSET(Table22,510,21,1,1),OFFSET(Table2,0,1,ROWS(Table2),8),8,0),VLOOKUP(OFFSET(Table22,510,22,1,1),Table2,9,0))</f>
        <v>103259766</v>
      </c>
      <c r="N511" s="15" t="s">
        <v>29</v>
      </c>
      <c r="O511" s="16" t="n">
        <v>43353</v>
      </c>
      <c r="P511" s="17" t="s">
        <v>102</v>
      </c>
      <c r="Q511" s="18" t="s">
        <v>103</v>
      </c>
      <c r="R511" s="17" t="s">
        <v>104</v>
      </c>
      <c r="S511" s="18" t="s">
        <v>33</v>
      </c>
      <c r="T511" s="17" t="s">
        <v>34</v>
      </c>
      <c r="U511" s="18" t="s">
        <v>127</v>
      </c>
      <c r="V511" s="19" t="n">
        <v>224560875</v>
      </c>
      <c r="W511" s="17" t="s">
        <v>129</v>
      </c>
      <c r="X511" s="17" t="n">
        <v>1583</v>
      </c>
      <c r="Y511" s="17" t="n">
        <v>17</v>
      </c>
      <c r="Z511" s="17" t="n">
        <v>8.7</v>
      </c>
      <c r="AA511" s="17" t="s">
        <v>38</v>
      </c>
      <c r="AB511" s="17"/>
    </row>
    <row r="512" customFormat="false" ht="15" hidden="false" customHeight="false" outlineLevel="0" collapsed="false">
      <c r="A512" s="1" t="str">
        <f aca="false">OFFSET(Table22,511,14,1,1)&amp;OFFSET(Table22,511,21,1,1)</f>
        <v>43353224560875</v>
      </c>
      <c r="B512" s="1" t="str">
        <f aca="false">OFFSET(Table22,511,14,1,1)&amp;OFFSET(Table22,511,22,1,1)</f>
        <v>43353Facebook»Developers/ITPros-Azure Direct-Sponsored Post-Video Ad-FBCTCBenefit2inMotion_FRA_14s_RTG Landing Page»1x1»14s»VIA»ALL»CPC»BT»X»UNK»SS»NA»Trials_ID</v>
      </c>
      <c r="C512" s="1" t="s">
        <v>28</v>
      </c>
      <c r="D512" s="3" t="n">
        <f aca="false">O512+(7-WEEKDAY(O512))</f>
        <v>43358</v>
      </c>
      <c r="E512" s="1" t="str">
        <f aca="false">VLOOKUP(OFFSET(Table22,511,16,1,1),Key!B:D,2,0)</f>
        <v>France</v>
      </c>
      <c r="F512" s="1" t="str">
        <f aca="false">IF(ISNUMBER(SEARCH("Canvas",U512)),"Link",IF(ISNUMBER(SEARCH("Link",U512)),"Link","Not filled properly"))</f>
        <v>Link</v>
      </c>
      <c r="G512" s="1" t="str">
        <f aca="false">IFERROR(VLOOKUP(OFFSET(Table22,511,21,1,1),OFFSET(Table2,0,1,ROWS(Table2),8),2,0),VLOOKUP(OFFSET(Table22,511,22,1,1),Table2,3,0))</f>
        <v>FRA_gaPMG_AZR_AZR_Q1_19_AzureDirect-Trial-Social</v>
      </c>
      <c r="H512" s="1" t="n">
        <f aca="false">IFERROR(VLOOKUP(OFFSET(Table22,511,21,1,1),OFFSET(Table2,0,1,ROWS(Table2),8),3,0),VLOOKUP(OFFSET(Table22,511,22,1,1),Table2,4,0))</f>
        <v>21356941</v>
      </c>
      <c r="I512" s="2" t="n">
        <f aca="false">IFERROR(VLOOKUP(OFFSET(Table22,511,21,1,1),OFFSET(Table2,0,1,ROWS(Table2),8),4,0),VLOOKUP(OFFSET(Table22,511,22,1,1),Table2,5,0))</f>
        <v>720193</v>
      </c>
      <c r="J512" s="3" t="str">
        <f aca="false">IF(ISNUMBER(SEARCH("FACEBOOK",W512)),"Facebook",IF(ISNUMBER(SEARCH("INSTAGRAM",W512)),"Facebook-Instagram","Look at taxonomy"))</f>
        <v>Facebook</v>
      </c>
      <c r="K512" s="3" t="str">
        <f aca="false">IF(ISNUMBER(SEARCH("Facebook",J512)),"3654128","Not Facebook")</f>
        <v>3654128</v>
      </c>
      <c r="L512" s="3" t="str">
        <f aca="false">IFERROR(VLOOKUP(OFFSET(Table22,511,21,1,1),OFFSET(Table2,0,1,ROWS(Table2),8),7,0),VLOOKUP(OFFSET(Table22,511,22,1,1),Table2,8,0))</f>
        <v>AZR_FBCTCBenefit2inMotion_FRA_14s_VIA_AZRDirect_French_NA_Facebook_STAN_TIN_T4_1</v>
      </c>
      <c r="M512" s="2" t="n">
        <f aca="false">IFERROR(VLOOKUP(OFFSET(Table22,511,21,1,1),OFFSET(Table2,0,1,ROWS(Table2),8),8,0),VLOOKUP(OFFSET(Table22,511,22,1,1),Table2,9,0))</f>
        <v>103259766</v>
      </c>
      <c r="N512" s="15" t="s">
        <v>29</v>
      </c>
      <c r="O512" s="16" t="n">
        <v>43353</v>
      </c>
      <c r="P512" s="17" t="s">
        <v>102</v>
      </c>
      <c r="Q512" s="18" t="s">
        <v>103</v>
      </c>
      <c r="R512" s="17" t="s">
        <v>104</v>
      </c>
      <c r="S512" s="18" t="s">
        <v>33</v>
      </c>
      <c r="T512" s="17" t="s">
        <v>34</v>
      </c>
      <c r="U512" s="18" t="s">
        <v>127</v>
      </c>
      <c r="V512" s="19" t="n">
        <v>224560875</v>
      </c>
      <c r="W512" s="17" t="s">
        <v>129</v>
      </c>
      <c r="X512" s="17" t="n">
        <v>1083</v>
      </c>
      <c r="Y512" s="17" t="n">
        <v>14</v>
      </c>
      <c r="Z512" s="17" t="n">
        <v>6.23</v>
      </c>
      <c r="AA512" s="17" t="s">
        <v>38</v>
      </c>
      <c r="AB512" s="17"/>
    </row>
    <row r="513" customFormat="false" ht="15" hidden="false" customHeight="false" outlineLevel="0" collapsed="false">
      <c r="A513" s="1" t="str">
        <f aca="false">OFFSET(Table22,512,14,1,1)&amp;OFFSET(Table22,512,21,1,1)</f>
        <v>43353224560875</v>
      </c>
      <c r="B513" s="1" t="str">
        <f aca="false">OFFSET(Table22,512,14,1,1)&amp;OFFSET(Table22,512,22,1,1)</f>
        <v>43353Facebook»Developers/ITPros-Azure Direct-Sponsored Post-Video Ad-FBCTCBenefit2inMotion_FRA_14s_RTG Landing Page»1x1»14s»VIA»ALL»CPC»BT»X»UNK»SS»NA»Trials_ID</v>
      </c>
      <c r="C513" s="1" t="s">
        <v>28</v>
      </c>
      <c r="D513" s="3" t="n">
        <f aca="false">O513+(7-WEEKDAY(O513))</f>
        <v>43358</v>
      </c>
      <c r="E513" s="1" t="str">
        <f aca="false">VLOOKUP(OFFSET(Table22,512,16,1,1),Key!B:D,2,0)</f>
        <v>France</v>
      </c>
      <c r="F513" s="1" t="str">
        <f aca="false">IF(ISNUMBER(SEARCH("Canvas",U513)),"Link",IF(ISNUMBER(SEARCH("Link",U513)),"Link","Not filled properly"))</f>
        <v>Link</v>
      </c>
      <c r="G513" s="1" t="str">
        <f aca="false">IFERROR(VLOOKUP(OFFSET(Table22,512,21,1,1),OFFSET(Table2,0,1,ROWS(Table2),8),2,0),VLOOKUP(OFFSET(Table22,512,22,1,1),Table2,3,0))</f>
        <v>FRA_gaPMG_AZR_AZR_Q1_19_AzureDirect-Trial-Social</v>
      </c>
      <c r="H513" s="1" t="n">
        <f aca="false">IFERROR(VLOOKUP(OFFSET(Table22,512,21,1,1),OFFSET(Table2,0,1,ROWS(Table2),8),3,0),VLOOKUP(OFFSET(Table22,512,22,1,1),Table2,4,0))</f>
        <v>21356941</v>
      </c>
      <c r="I513" s="2" t="n">
        <f aca="false">IFERROR(VLOOKUP(OFFSET(Table22,512,21,1,1),OFFSET(Table2,0,1,ROWS(Table2),8),4,0),VLOOKUP(OFFSET(Table22,512,22,1,1),Table2,5,0))</f>
        <v>720193</v>
      </c>
      <c r="J513" s="3" t="str">
        <f aca="false">IF(ISNUMBER(SEARCH("FACEBOOK",W513)),"Facebook",IF(ISNUMBER(SEARCH("INSTAGRAM",W513)),"Facebook-Instagram","Look at taxonomy"))</f>
        <v>Facebook</v>
      </c>
      <c r="K513" s="3" t="str">
        <f aca="false">IF(ISNUMBER(SEARCH("Facebook",J513)),"3654128","Not Facebook")</f>
        <v>3654128</v>
      </c>
      <c r="L513" s="3" t="str">
        <f aca="false">IFERROR(VLOOKUP(OFFSET(Table22,512,21,1,1),OFFSET(Table2,0,1,ROWS(Table2),8),7,0),VLOOKUP(OFFSET(Table22,512,22,1,1),Table2,8,0))</f>
        <v>AZR_FBCTCBenefit2inMotion_FRA_14s_VIA_AZRDirect_French_NA_Facebook_STAN_TIN_T4_1</v>
      </c>
      <c r="M513" s="2" t="n">
        <f aca="false">IFERROR(VLOOKUP(OFFSET(Table22,512,21,1,1),OFFSET(Table2,0,1,ROWS(Table2),8),8,0),VLOOKUP(OFFSET(Table22,512,22,1,1),Table2,9,0))</f>
        <v>103259766</v>
      </c>
      <c r="N513" s="15" t="s">
        <v>29</v>
      </c>
      <c r="O513" s="16" t="n">
        <v>43353</v>
      </c>
      <c r="P513" s="17" t="s">
        <v>102</v>
      </c>
      <c r="Q513" s="18" t="s">
        <v>103</v>
      </c>
      <c r="R513" s="17" t="s">
        <v>104</v>
      </c>
      <c r="S513" s="18" t="s">
        <v>33</v>
      </c>
      <c r="T513" s="17" t="s">
        <v>34</v>
      </c>
      <c r="U513" s="18" t="s">
        <v>127</v>
      </c>
      <c r="V513" s="19" t="n">
        <v>224560875</v>
      </c>
      <c r="W513" s="17" t="s">
        <v>129</v>
      </c>
      <c r="X513" s="17" t="n">
        <v>0</v>
      </c>
      <c r="Y513" s="17"/>
      <c r="Z513" s="17" t="n">
        <v>0</v>
      </c>
      <c r="AA513" s="17" t="s">
        <v>38</v>
      </c>
      <c r="AB513" s="17"/>
    </row>
    <row r="514" customFormat="false" ht="15" hidden="false" customHeight="false" outlineLevel="0" collapsed="false">
      <c r="A514" s="1" t="str">
        <f aca="false">OFFSET(Table22,513,14,1,1)&amp;OFFSET(Table22,513,21,1,1)</f>
        <v>43353224560875</v>
      </c>
      <c r="B514" s="1" t="str">
        <f aca="false">OFFSET(Table22,513,14,1,1)&amp;OFFSET(Table22,513,22,1,1)</f>
        <v>43353Facebook»Developers/ITPros-Azure Direct-Sponsored Post-Video Ad-FBCTCBenefit2inMotion_FRA_14s_RTG Landing Page»1x1»14s»VIA»ALL»CPC»BT»X»UNK»SS»NA»Trials_ID</v>
      </c>
      <c r="C514" s="1" t="s">
        <v>28</v>
      </c>
      <c r="D514" s="3" t="n">
        <f aca="false">O514+(7-WEEKDAY(O514))</f>
        <v>43358</v>
      </c>
      <c r="E514" s="1" t="str">
        <f aca="false">VLOOKUP(OFFSET(Table22,513,16,1,1),Key!B:D,2,0)</f>
        <v>France</v>
      </c>
      <c r="F514" s="1" t="str">
        <f aca="false">IF(ISNUMBER(SEARCH("Canvas",U514)),"Link",IF(ISNUMBER(SEARCH("Link",U514)),"Link","Not filled properly"))</f>
        <v>Link</v>
      </c>
      <c r="G514" s="1" t="str">
        <f aca="false">IFERROR(VLOOKUP(OFFSET(Table22,513,21,1,1),OFFSET(Table2,0,1,ROWS(Table2),8),2,0),VLOOKUP(OFFSET(Table22,513,22,1,1),Table2,3,0))</f>
        <v>FRA_gaPMG_AZR_AZR_Q1_19_AzureDirect-Trial-Social</v>
      </c>
      <c r="H514" s="1" t="n">
        <f aca="false">IFERROR(VLOOKUP(OFFSET(Table22,513,21,1,1),OFFSET(Table2,0,1,ROWS(Table2),8),3,0),VLOOKUP(OFFSET(Table22,513,22,1,1),Table2,4,0))</f>
        <v>21356941</v>
      </c>
      <c r="I514" s="2" t="n">
        <f aca="false">IFERROR(VLOOKUP(OFFSET(Table22,513,21,1,1),OFFSET(Table2,0,1,ROWS(Table2),8),4,0),VLOOKUP(OFFSET(Table22,513,22,1,1),Table2,5,0))</f>
        <v>720193</v>
      </c>
      <c r="J514" s="3" t="str">
        <f aca="false">IF(ISNUMBER(SEARCH("FACEBOOK",W514)),"Facebook",IF(ISNUMBER(SEARCH("INSTAGRAM",W514)),"Facebook-Instagram","Look at taxonomy"))</f>
        <v>Facebook</v>
      </c>
      <c r="K514" s="3" t="str">
        <f aca="false">IF(ISNUMBER(SEARCH("Facebook",J514)),"3654128","Not Facebook")</f>
        <v>3654128</v>
      </c>
      <c r="L514" s="3" t="str">
        <f aca="false">IFERROR(VLOOKUP(OFFSET(Table22,513,21,1,1),OFFSET(Table2,0,1,ROWS(Table2),8),7,0),VLOOKUP(OFFSET(Table22,513,22,1,1),Table2,8,0))</f>
        <v>AZR_FBCTCBenefit2inMotion_FRA_14s_VIA_AZRDirect_French_NA_Facebook_STAN_TIN_T4_1</v>
      </c>
      <c r="M514" s="2" t="n">
        <f aca="false">IFERROR(VLOOKUP(OFFSET(Table22,513,21,1,1),OFFSET(Table2,0,1,ROWS(Table2),8),8,0),VLOOKUP(OFFSET(Table22,513,22,1,1),Table2,9,0))</f>
        <v>103259766</v>
      </c>
      <c r="N514" s="15" t="s">
        <v>29</v>
      </c>
      <c r="O514" s="16" t="n">
        <v>43353</v>
      </c>
      <c r="P514" s="17" t="s">
        <v>102</v>
      </c>
      <c r="Q514" s="18" t="s">
        <v>103</v>
      </c>
      <c r="R514" s="17" t="s">
        <v>104</v>
      </c>
      <c r="S514" s="18" t="s">
        <v>33</v>
      </c>
      <c r="T514" s="17" t="s">
        <v>34</v>
      </c>
      <c r="U514" s="18" t="s">
        <v>127</v>
      </c>
      <c r="V514" s="19" t="n">
        <v>224560875</v>
      </c>
      <c r="W514" s="17" t="s">
        <v>129</v>
      </c>
      <c r="X514" s="17" t="n">
        <v>0</v>
      </c>
      <c r="Y514" s="17"/>
      <c r="Z514" s="17" t="n">
        <v>0</v>
      </c>
      <c r="AA514" s="17" t="s">
        <v>38</v>
      </c>
      <c r="AB514" s="17"/>
    </row>
    <row r="515" customFormat="false" ht="15" hidden="false" customHeight="false" outlineLevel="0" collapsed="false">
      <c r="A515" s="1" t="str">
        <f aca="false">OFFSET(Table22,514,14,1,1)&amp;OFFSET(Table22,514,21,1,1)</f>
        <v>43352224560875</v>
      </c>
      <c r="B515" s="1" t="str">
        <f aca="false">OFFSET(Table22,514,14,1,1)&amp;OFFSET(Table22,514,22,1,1)</f>
        <v>43352Facebook»Developers/ITPros-Azure Direct-Sponsored Post-Video Ad-FBCTCBenefit2inMotion_FRA_14s_RTG Landing Page»1x1»14s»VIA»ALL»CPC»BT»X»UNK»SS»NA»Trials_ID</v>
      </c>
      <c r="C515" s="1" t="s">
        <v>28</v>
      </c>
      <c r="D515" s="3" t="n">
        <f aca="false">O515+(7-WEEKDAY(O515))</f>
        <v>43358</v>
      </c>
      <c r="E515" s="1" t="str">
        <f aca="false">VLOOKUP(OFFSET(Table22,514,16,1,1),Key!B:D,2,0)</f>
        <v>France</v>
      </c>
      <c r="F515" s="1" t="str">
        <f aca="false">IF(ISNUMBER(SEARCH("Canvas",U515)),"Link",IF(ISNUMBER(SEARCH("Link",U515)),"Link","Not filled properly"))</f>
        <v>Link</v>
      </c>
      <c r="G515" s="1" t="str">
        <f aca="false">IFERROR(VLOOKUP(OFFSET(Table22,514,21,1,1),OFFSET(Table2,0,1,ROWS(Table2),8),2,0),VLOOKUP(OFFSET(Table22,514,22,1,1),Table2,3,0))</f>
        <v>FRA_gaPMG_AZR_AZR_Q1_19_AzureDirect-Trial-Social</v>
      </c>
      <c r="H515" s="1" t="n">
        <f aca="false">IFERROR(VLOOKUP(OFFSET(Table22,514,21,1,1),OFFSET(Table2,0,1,ROWS(Table2),8),3,0),VLOOKUP(OFFSET(Table22,514,22,1,1),Table2,4,0))</f>
        <v>21356941</v>
      </c>
      <c r="I515" s="2" t="n">
        <f aca="false">IFERROR(VLOOKUP(OFFSET(Table22,514,21,1,1),OFFSET(Table2,0,1,ROWS(Table2),8),4,0),VLOOKUP(OFFSET(Table22,514,22,1,1),Table2,5,0))</f>
        <v>720193</v>
      </c>
      <c r="J515" s="3" t="str">
        <f aca="false">IF(ISNUMBER(SEARCH("FACEBOOK",W515)),"Facebook",IF(ISNUMBER(SEARCH("INSTAGRAM",W515)),"Facebook-Instagram","Look at taxonomy"))</f>
        <v>Facebook</v>
      </c>
      <c r="K515" s="3" t="str">
        <f aca="false">IF(ISNUMBER(SEARCH("Facebook",J515)),"3654128","Not Facebook")</f>
        <v>3654128</v>
      </c>
      <c r="L515" s="3" t="str">
        <f aca="false">IFERROR(VLOOKUP(OFFSET(Table22,514,21,1,1),OFFSET(Table2,0,1,ROWS(Table2),8),7,0),VLOOKUP(OFFSET(Table22,514,22,1,1),Table2,8,0))</f>
        <v>AZR_FBCTCBenefit2inMotion_FRA_14s_VIA_AZRDirect_French_NA_Facebook_STAN_TIN_T4_1</v>
      </c>
      <c r="M515" s="2" t="n">
        <f aca="false">IFERROR(VLOOKUP(OFFSET(Table22,514,21,1,1),OFFSET(Table2,0,1,ROWS(Table2),8),8,0),VLOOKUP(OFFSET(Table22,514,22,1,1),Table2,9,0))</f>
        <v>103259766</v>
      </c>
      <c r="N515" s="15" t="s">
        <v>29</v>
      </c>
      <c r="O515" s="16" t="n">
        <v>43352</v>
      </c>
      <c r="P515" s="17" t="s">
        <v>102</v>
      </c>
      <c r="Q515" s="18" t="s">
        <v>103</v>
      </c>
      <c r="R515" s="17" t="s">
        <v>104</v>
      </c>
      <c r="S515" s="18" t="s">
        <v>33</v>
      </c>
      <c r="T515" s="17" t="s">
        <v>34</v>
      </c>
      <c r="U515" s="18" t="s">
        <v>127</v>
      </c>
      <c r="V515" s="19" t="n">
        <v>224560875</v>
      </c>
      <c r="W515" s="17" t="s">
        <v>129</v>
      </c>
      <c r="X515" s="17" t="n">
        <v>0</v>
      </c>
      <c r="Y515" s="17"/>
      <c r="Z515" s="17" t="n">
        <v>0</v>
      </c>
      <c r="AA515" s="17" t="s">
        <v>38</v>
      </c>
      <c r="AB515" s="17"/>
    </row>
    <row r="516" customFormat="false" ht="15" hidden="false" customHeight="false" outlineLevel="0" collapsed="false">
      <c r="A516" s="1" t="str">
        <f aca="false">OFFSET(Table22,515,14,1,1)&amp;OFFSET(Table22,515,21,1,1)</f>
        <v>43352224560875</v>
      </c>
      <c r="B516" s="1" t="str">
        <f aca="false">OFFSET(Table22,515,14,1,1)&amp;OFFSET(Table22,515,22,1,1)</f>
        <v>43352Facebook»Developers/ITPros-Azure Direct-Sponsored Post-Video Ad-FBCTCBenefit2inMotion_FRA_14s_RTG Landing Page»1x1»14s»VIA»ALL»CPC»BT»X»UNK»SS»NA»Trials_ID</v>
      </c>
      <c r="C516" s="1" t="s">
        <v>28</v>
      </c>
      <c r="D516" s="3" t="n">
        <f aca="false">O516+(7-WEEKDAY(O516))</f>
        <v>43358</v>
      </c>
      <c r="E516" s="1" t="str">
        <f aca="false">VLOOKUP(OFFSET(Table22,515,16,1,1),Key!B:D,2,0)</f>
        <v>France</v>
      </c>
      <c r="F516" s="1" t="str">
        <f aca="false">IF(ISNUMBER(SEARCH("Canvas",U516)),"Link",IF(ISNUMBER(SEARCH("Link",U516)),"Link","Not filled properly"))</f>
        <v>Link</v>
      </c>
      <c r="G516" s="1" t="str">
        <f aca="false">IFERROR(VLOOKUP(OFFSET(Table22,515,21,1,1),OFFSET(Table2,0,1,ROWS(Table2),8),2,0),VLOOKUP(OFFSET(Table22,515,22,1,1),Table2,3,0))</f>
        <v>FRA_gaPMG_AZR_AZR_Q1_19_AzureDirect-Trial-Social</v>
      </c>
      <c r="H516" s="1" t="n">
        <f aca="false">IFERROR(VLOOKUP(OFFSET(Table22,515,21,1,1),OFFSET(Table2,0,1,ROWS(Table2),8),3,0),VLOOKUP(OFFSET(Table22,515,22,1,1),Table2,4,0))</f>
        <v>21356941</v>
      </c>
      <c r="I516" s="2" t="n">
        <f aca="false">IFERROR(VLOOKUP(OFFSET(Table22,515,21,1,1),OFFSET(Table2,0,1,ROWS(Table2),8),4,0),VLOOKUP(OFFSET(Table22,515,22,1,1),Table2,5,0))</f>
        <v>720193</v>
      </c>
      <c r="J516" s="3" t="str">
        <f aca="false">IF(ISNUMBER(SEARCH("FACEBOOK",W516)),"Facebook",IF(ISNUMBER(SEARCH("INSTAGRAM",W516)),"Facebook-Instagram","Look at taxonomy"))</f>
        <v>Facebook</v>
      </c>
      <c r="K516" s="3" t="str">
        <f aca="false">IF(ISNUMBER(SEARCH("Facebook",J516)),"3654128","Not Facebook")</f>
        <v>3654128</v>
      </c>
      <c r="L516" s="3" t="str">
        <f aca="false">IFERROR(VLOOKUP(OFFSET(Table22,515,21,1,1),OFFSET(Table2,0,1,ROWS(Table2),8),7,0),VLOOKUP(OFFSET(Table22,515,22,1,1),Table2,8,0))</f>
        <v>AZR_FBCTCBenefit2inMotion_FRA_14s_VIA_AZRDirect_French_NA_Facebook_STAN_TIN_T4_1</v>
      </c>
      <c r="M516" s="2" t="n">
        <f aca="false">IFERROR(VLOOKUP(OFFSET(Table22,515,21,1,1),OFFSET(Table2,0,1,ROWS(Table2),8),8,0),VLOOKUP(OFFSET(Table22,515,22,1,1),Table2,9,0))</f>
        <v>103259766</v>
      </c>
      <c r="N516" s="15" t="s">
        <v>29</v>
      </c>
      <c r="O516" s="16" t="n">
        <v>43352</v>
      </c>
      <c r="P516" s="17" t="s">
        <v>102</v>
      </c>
      <c r="Q516" s="18" t="s">
        <v>103</v>
      </c>
      <c r="R516" s="17" t="s">
        <v>104</v>
      </c>
      <c r="S516" s="18" t="s">
        <v>33</v>
      </c>
      <c r="T516" s="17" t="s">
        <v>34</v>
      </c>
      <c r="U516" s="18" t="s">
        <v>127</v>
      </c>
      <c r="V516" s="19" t="n">
        <v>224560875</v>
      </c>
      <c r="W516" s="17" t="s">
        <v>129</v>
      </c>
      <c r="X516" s="17" t="n">
        <v>0</v>
      </c>
      <c r="Y516" s="17"/>
      <c r="Z516" s="17" t="n">
        <v>0</v>
      </c>
      <c r="AA516" s="17" t="s">
        <v>38</v>
      </c>
      <c r="AB516" s="17"/>
    </row>
    <row r="517" customFormat="false" ht="15" hidden="false" customHeight="false" outlineLevel="0" collapsed="false">
      <c r="A517" s="1" t="str">
        <f aca="false">OFFSET(Table22,516,14,1,1)&amp;OFFSET(Table22,516,21,1,1)</f>
        <v>43352224560875</v>
      </c>
      <c r="B517" s="1" t="str">
        <f aca="false">OFFSET(Table22,516,14,1,1)&amp;OFFSET(Table22,516,22,1,1)</f>
        <v>43352Facebook»Developers/ITPros-Azure Direct-Sponsored Post-Video Ad-FBCTCBenefit2inMotion_FRA_14s_RTG Landing Page»1x1»14s»VIA»ALL»CPC»BT»X»UNK»SS»NA»Trials_ID</v>
      </c>
      <c r="C517" s="1" t="s">
        <v>28</v>
      </c>
      <c r="D517" s="3" t="n">
        <f aca="false">O517+(7-WEEKDAY(O517))</f>
        <v>43358</v>
      </c>
      <c r="E517" s="1" t="str">
        <f aca="false">VLOOKUP(OFFSET(Table22,516,16,1,1),Key!B:D,2,0)</f>
        <v>France</v>
      </c>
      <c r="F517" s="1" t="str">
        <f aca="false">IF(ISNUMBER(SEARCH("Canvas",U517)),"Link",IF(ISNUMBER(SEARCH("Link",U517)),"Link","Not filled properly"))</f>
        <v>Link</v>
      </c>
      <c r="G517" s="1" t="str">
        <f aca="false">IFERROR(VLOOKUP(OFFSET(Table22,516,21,1,1),OFFSET(Table2,0,1,ROWS(Table2),8),2,0),VLOOKUP(OFFSET(Table22,516,22,1,1),Table2,3,0))</f>
        <v>FRA_gaPMG_AZR_AZR_Q1_19_AzureDirect-Trial-Social</v>
      </c>
      <c r="H517" s="1" t="n">
        <f aca="false">IFERROR(VLOOKUP(OFFSET(Table22,516,21,1,1),OFFSET(Table2,0,1,ROWS(Table2),8),3,0),VLOOKUP(OFFSET(Table22,516,22,1,1),Table2,4,0))</f>
        <v>21356941</v>
      </c>
      <c r="I517" s="2" t="n">
        <f aca="false">IFERROR(VLOOKUP(OFFSET(Table22,516,21,1,1),OFFSET(Table2,0,1,ROWS(Table2),8),4,0),VLOOKUP(OFFSET(Table22,516,22,1,1),Table2,5,0))</f>
        <v>720193</v>
      </c>
      <c r="J517" s="3" t="str">
        <f aca="false">IF(ISNUMBER(SEARCH("FACEBOOK",W517)),"Facebook",IF(ISNUMBER(SEARCH("INSTAGRAM",W517)),"Facebook-Instagram","Look at taxonomy"))</f>
        <v>Facebook</v>
      </c>
      <c r="K517" s="3" t="str">
        <f aca="false">IF(ISNUMBER(SEARCH("Facebook",J517)),"3654128","Not Facebook")</f>
        <v>3654128</v>
      </c>
      <c r="L517" s="3" t="str">
        <f aca="false">IFERROR(VLOOKUP(OFFSET(Table22,516,21,1,1),OFFSET(Table2,0,1,ROWS(Table2),8),7,0),VLOOKUP(OFFSET(Table22,516,22,1,1),Table2,8,0))</f>
        <v>AZR_FBCTCBenefit2inMotion_FRA_14s_VIA_AZRDirect_French_NA_Facebook_STAN_TIN_T4_1</v>
      </c>
      <c r="M517" s="2" t="n">
        <f aca="false">IFERROR(VLOOKUP(OFFSET(Table22,516,21,1,1),OFFSET(Table2,0,1,ROWS(Table2),8),8,0),VLOOKUP(OFFSET(Table22,516,22,1,1),Table2,9,0))</f>
        <v>103259766</v>
      </c>
      <c r="N517" s="15" t="s">
        <v>29</v>
      </c>
      <c r="O517" s="16" t="n">
        <v>43352</v>
      </c>
      <c r="P517" s="17" t="s">
        <v>102</v>
      </c>
      <c r="Q517" s="18" t="s">
        <v>103</v>
      </c>
      <c r="R517" s="17" t="s">
        <v>104</v>
      </c>
      <c r="S517" s="18" t="s">
        <v>33</v>
      </c>
      <c r="T517" s="17" t="s">
        <v>34</v>
      </c>
      <c r="U517" s="18" t="s">
        <v>127</v>
      </c>
      <c r="V517" s="19" t="n">
        <v>224560875</v>
      </c>
      <c r="W517" s="17" t="s">
        <v>129</v>
      </c>
      <c r="X517" s="17" t="n">
        <v>23</v>
      </c>
      <c r="Y517" s="17"/>
      <c r="Z517" s="17" t="n">
        <v>0.07</v>
      </c>
      <c r="AA517" s="17" t="s">
        <v>38</v>
      </c>
      <c r="AB517" s="17"/>
    </row>
    <row r="518" customFormat="false" ht="15" hidden="false" customHeight="false" outlineLevel="0" collapsed="false">
      <c r="A518" s="1" t="str">
        <f aca="false">OFFSET(Table22,517,14,1,1)&amp;OFFSET(Table22,517,21,1,1)</f>
        <v>43352224560875</v>
      </c>
      <c r="B518" s="1" t="str">
        <f aca="false">OFFSET(Table22,517,14,1,1)&amp;OFFSET(Table22,517,22,1,1)</f>
        <v>43352Facebook»Developers/ITPros-Azure Direct-Sponsored Post-Video Ad-FBCTCBenefit2inMotion_FRA_14s_RTG Landing Page»1x1»14s»VIA»ALL»CPC»BT»X»UNK»SS»NA»Trials_ID</v>
      </c>
      <c r="C518" s="1" t="s">
        <v>28</v>
      </c>
      <c r="D518" s="3" t="n">
        <f aca="false">O518+(7-WEEKDAY(O518))</f>
        <v>43358</v>
      </c>
      <c r="E518" s="1" t="str">
        <f aca="false">VLOOKUP(OFFSET(Table22,517,16,1,1),Key!B:D,2,0)</f>
        <v>France</v>
      </c>
      <c r="F518" s="1" t="str">
        <f aca="false">IF(ISNUMBER(SEARCH("Canvas",U518)),"Link",IF(ISNUMBER(SEARCH("Link",U518)),"Link","Not filled properly"))</f>
        <v>Link</v>
      </c>
      <c r="G518" s="1" t="str">
        <f aca="false">IFERROR(VLOOKUP(OFFSET(Table22,517,21,1,1),OFFSET(Table2,0,1,ROWS(Table2),8),2,0),VLOOKUP(OFFSET(Table22,517,22,1,1),Table2,3,0))</f>
        <v>FRA_gaPMG_AZR_AZR_Q1_19_AzureDirect-Trial-Social</v>
      </c>
      <c r="H518" s="1" t="n">
        <f aca="false">IFERROR(VLOOKUP(OFFSET(Table22,517,21,1,1),OFFSET(Table2,0,1,ROWS(Table2),8),3,0),VLOOKUP(OFFSET(Table22,517,22,1,1),Table2,4,0))</f>
        <v>21356941</v>
      </c>
      <c r="I518" s="2" t="n">
        <f aca="false">IFERROR(VLOOKUP(OFFSET(Table22,517,21,1,1),OFFSET(Table2,0,1,ROWS(Table2),8),4,0),VLOOKUP(OFFSET(Table22,517,22,1,1),Table2,5,0))</f>
        <v>720193</v>
      </c>
      <c r="J518" s="3" t="str">
        <f aca="false">IF(ISNUMBER(SEARCH("FACEBOOK",W518)),"Facebook",IF(ISNUMBER(SEARCH("INSTAGRAM",W518)),"Facebook-Instagram","Look at taxonomy"))</f>
        <v>Facebook</v>
      </c>
      <c r="K518" s="3" t="str">
        <f aca="false">IF(ISNUMBER(SEARCH("Facebook",J518)),"3654128","Not Facebook")</f>
        <v>3654128</v>
      </c>
      <c r="L518" s="3" t="str">
        <f aca="false">IFERROR(VLOOKUP(OFFSET(Table22,517,21,1,1),OFFSET(Table2,0,1,ROWS(Table2),8),7,0),VLOOKUP(OFFSET(Table22,517,22,1,1),Table2,8,0))</f>
        <v>AZR_FBCTCBenefit2inMotion_FRA_14s_VIA_AZRDirect_French_NA_Facebook_STAN_TIN_T4_1</v>
      </c>
      <c r="M518" s="2" t="n">
        <f aca="false">IFERROR(VLOOKUP(OFFSET(Table22,517,21,1,1),OFFSET(Table2,0,1,ROWS(Table2),8),8,0),VLOOKUP(OFFSET(Table22,517,22,1,1),Table2,9,0))</f>
        <v>103259766</v>
      </c>
      <c r="N518" s="15" t="s">
        <v>29</v>
      </c>
      <c r="O518" s="16" t="n">
        <v>43352</v>
      </c>
      <c r="P518" s="17" t="s">
        <v>102</v>
      </c>
      <c r="Q518" s="18" t="s">
        <v>103</v>
      </c>
      <c r="R518" s="17" t="s">
        <v>104</v>
      </c>
      <c r="S518" s="18" t="s">
        <v>33</v>
      </c>
      <c r="T518" s="17" t="s">
        <v>34</v>
      </c>
      <c r="U518" s="18" t="s">
        <v>127</v>
      </c>
      <c r="V518" s="19" t="n">
        <v>224560875</v>
      </c>
      <c r="W518" s="17" t="s">
        <v>129</v>
      </c>
      <c r="X518" s="17" t="n">
        <v>2</v>
      </c>
      <c r="Y518" s="17"/>
      <c r="Z518" s="17" t="n">
        <v>0</v>
      </c>
      <c r="AA518" s="17" t="s">
        <v>38</v>
      </c>
      <c r="AB518" s="17"/>
    </row>
    <row r="519" customFormat="false" ht="15" hidden="false" customHeight="false" outlineLevel="0" collapsed="false">
      <c r="A519" s="1" t="str">
        <f aca="false">OFFSET(Table22,518,14,1,1)&amp;OFFSET(Table22,518,21,1,1)</f>
        <v>43358224560863</v>
      </c>
      <c r="B519" s="1" t="str">
        <f aca="false">OFFSET(Table22,518,14,1,1)&amp;OFFSET(Table22,518,22,1,1)</f>
        <v>43358Facebook»Developers/ITPros-Azure Direct-Sponsored Post-Video Ad-FBCTCBrandinMotion_FRA_12s_RTG Landing Page»1x1»12s»VIA»ALL»CPC»BT»X»UNK»SS»NA»Trials_ID</v>
      </c>
      <c r="C519" s="1" t="s">
        <v>28</v>
      </c>
      <c r="D519" s="3" t="n">
        <f aca="false">O519+(7-WEEKDAY(O519))</f>
        <v>43358</v>
      </c>
      <c r="E519" s="1" t="str">
        <f aca="false">VLOOKUP(OFFSET(Table22,518,16,1,1),Key!B:D,2,0)</f>
        <v>France</v>
      </c>
      <c r="F519" s="1" t="str">
        <f aca="false">IF(ISNUMBER(SEARCH("Canvas",U519)),"Link",IF(ISNUMBER(SEARCH("Link",U519)),"Link","Not filled properly"))</f>
        <v>Link</v>
      </c>
      <c r="G519" s="1" t="str">
        <f aca="false">IFERROR(VLOOKUP(OFFSET(Table22,518,21,1,1),OFFSET(Table2,0,1,ROWS(Table2),8),2,0),VLOOKUP(OFFSET(Table22,518,22,1,1),Table2,3,0))</f>
        <v>FRA_gaPMG_AZR_AZR_Q1_19_AzureDirect-Trial-Social</v>
      </c>
      <c r="H519" s="1" t="n">
        <f aca="false">IFERROR(VLOOKUP(OFFSET(Table22,518,21,1,1),OFFSET(Table2,0,1,ROWS(Table2),8),3,0),VLOOKUP(OFFSET(Table22,518,22,1,1),Table2,4,0))</f>
        <v>21356941</v>
      </c>
      <c r="I519" s="2" t="n">
        <f aca="false">IFERROR(VLOOKUP(OFFSET(Table22,518,21,1,1),OFFSET(Table2,0,1,ROWS(Table2),8),4,0),VLOOKUP(OFFSET(Table22,518,22,1,1),Table2,5,0))</f>
        <v>720193</v>
      </c>
      <c r="J519" s="3" t="str">
        <f aca="false">IF(ISNUMBER(SEARCH("FACEBOOK",W519)),"Facebook",IF(ISNUMBER(SEARCH("INSTAGRAM",W519)),"Facebook-Instagram","Look at taxonomy"))</f>
        <v>Facebook</v>
      </c>
      <c r="K519" s="3" t="str">
        <f aca="false">IF(ISNUMBER(SEARCH("Facebook",J519)),"3654128","Not Facebook")</f>
        <v>3654128</v>
      </c>
      <c r="L519" s="3" t="str">
        <f aca="false">IFERROR(VLOOKUP(OFFSET(Table22,518,21,1,1),OFFSET(Table2,0,1,ROWS(Table2),8),7,0),VLOOKUP(OFFSET(Table22,518,22,1,1),Table2,8,0))</f>
        <v>AZR_FBCTCBrandinMotion_FRA_12s_VIA_AZRDirect_French_NA_Facebook_STAN_TIN_T2_1</v>
      </c>
      <c r="M519" s="2" t="n">
        <f aca="false">IFERROR(VLOOKUP(OFFSET(Table22,518,21,1,1),OFFSET(Table2,0,1,ROWS(Table2),8),8,0),VLOOKUP(OFFSET(Table22,518,22,1,1),Table2,9,0))</f>
        <v>103256577</v>
      </c>
      <c r="N519" s="15" t="s">
        <v>29</v>
      </c>
      <c r="O519" s="16" t="n">
        <v>43358</v>
      </c>
      <c r="P519" s="17" t="s">
        <v>102</v>
      </c>
      <c r="Q519" s="18" t="s">
        <v>103</v>
      </c>
      <c r="R519" s="17" t="s">
        <v>104</v>
      </c>
      <c r="S519" s="18" t="s">
        <v>33</v>
      </c>
      <c r="T519" s="17" t="s">
        <v>34</v>
      </c>
      <c r="U519" s="18" t="s">
        <v>127</v>
      </c>
      <c r="V519" s="19" t="n">
        <v>224560863</v>
      </c>
      <c r="W519" s="17" t="s">
        <v>130</v>
      </c>
      <c r="X519" s="17" t="n">
        <v>0</v>
      </c>
      <c r="Y519" s="17"/>
      <c r="Z519" s="17" t="n">
        <v>0</v>
      </c>
      <c r="AA519" s="17" t="s">
        <v>38</v>
      </c>
      <c r="AB519" s="17"/>
    </row>
    <row r="520" customFormat="false" ht="15" hidden="false" customHeight="false" outlineLevel="0" collapsed="false">
      <c r="A520" s="1" t="str">
        <f aca="false">OFFSET(Table22,519,14,1,1)&amp;OFFSET(Table22,519,21,1,1)</f>
        <v>43358224560863</v>
      </c>
      <c r="B520" s="1" t="str">
        <f aca="false">OFFSET(Table22,519,14,1,1)&amp;OFFSET(Table22,519,22,1,1)</f>
        <v>43358Facebook»Developers/ITPros-Azure Direct-Sponsored Post-Video Ad-FBCTCBrandinMotion_FRA_12s_RTG Landing Page»1x1»12s»VIA»ALL»CPC»BT»X»UNK»SS»NA»Trials_ID</v>
      </c>
      <c r="C520" s="1" t="s">
        <v>28</v>
      </c>
      <c r="D520" s="3" t="n">
        <f aca="false">O520+(7-WEEKDAY(O520))</f>
        <v>43358</v>
      </c>
      <c r="E520" s="1" t="str">
        <f aca="false">VLOOKUP(OFFSET(Table22,519,16,1,1),Key!B:D,2,0)</f>
        <v>France</v>
      </c>
      <c r="F520" s="1" t="str">
        <f aca="false">IF(ISNUMBER(SEARCH("Canvas",U520)),"Link",IF(ISNUMBER(SEARCH("Link",U520)),"Link","Not filled properly"))</f>
        <v>Link</v>
      </c>
      <c r="G520" s="1" t="str">
        <f aca="false">IFERROR(VLOOKUP(OFFSET(Table22,519,21,1,1),OFFSET(Table2,0,1,ROWS(Table2),8),2,0),VLOOKUP(OFFSET(Table22,519,22,1,1),Table2,3,0))</f>
        <v>FRA_gaPMG_AZR_AZR_Q1_19_AzureDirect-Trial-Social</v>
      </c>
      <c r="H520" s="1" t="n">
        <f aca="false">IFERROR(VLOOKUP(OFFSET(Table22,519,21,1,1),OFFSET(Table2,0,1,ROWS(Table2),8),3,0),VLOOKUP(OFFSET(Table22,519,22,1,1),Table2,4,0))</f>
        <v>21356941</v>
      </c>
      <c r="I520" s="2" t="n">
        <f aca="false">IFERROR(VLOOKUP(OFFSET(Table22,519,21,1,1),OFFSET(Table2,0,1,ROWS(Table2),8),4,0),VLOOKUP(OFFSET(Table22,519,22,1,1),Table2,5,0))</f>
        <v>720193</v>
      </c>
      <c r="J520" s="3" t="str">
        <f aca="false">IF(ISNUMBER(SEARCH("FACEBOOK",W520)),"Facebook",IF(ISNUMBER(SEARCH("INSTAGRAM",W520)),"Facebook-Instagram","Look at taxonomy"))</f>
        <v>Facebook</v>
      </c>
      <c r="K520" s="3" t="str">
        <f aca="false">IF(ISNUMBER(SEARCH("Facebook",J520)),"3654128","Not Facebook")</f>
        <v>3654128</v>
      </c>
      <c r="L520" s="3" t="str">
        <f aca="false">IFERROR(VLOOKUP(OFFSET(Table22,519,21,1,1),OFFSET(Table2,0,1,ROWS(Table2),8),7,0),VLOOKUP(OFFSET(Table22,519,22,1,1),Table2,8,0))</f>
        <v>AZR_FBCTCBrandinMotion_FRA_12s_VIA_AZRDirect_French_NA_Facebook_STAN_TIN_T2_1</v>
      </c>
      <c r="M520" s="2" t="n">
        <f aca="false">IFERROR(VLOOKUP(OFFSET(Table22,519,21,1,1),OFFSET(Table2,0,1,ROWS(Table2),8),8,0),VLOOKUP(OFFSET(Table22,519,22,1,1),Table2,9,0))</f>
        <v>103256577</v>
      </c>
      <c r="N520" s="15" t="s">
        <v>29</v>
      </c>
      <c r="O520" s="16" t="n">
        <v>43358</v>
      </c>
      <c r="P520" s="17" t="s">
        <v>102</v>
      </c>
      <c r="Q520" s="18" t="s">
        <v>103</v>
      </c>
      <c r="R520" s="17" t="s">
        <v>104</v>
      </c>
      <c r="S520" s="18" t="s">
        <v>33</v>
      </c>
      <c r="T520" s="17" t="s">
        <v>34</v>
      </c>
      <c r="U520" s="18" t="s">
        <v>127</v>
      </c>
      <c r="V520" s="19" t="n">
        <v>224560863</v>
      </c>
      <c r="W520" s="17" t="s">
        <v>130</v>
      </c>
      <c r="X520" s="17" t="n">
        <v>0</v>
      </c>
      <c r="Y520" s="17"/>
      <c r="Z520" s="17" t="n">
        <v>0</v>
      </c>
      <c r="AA520" s="17" t="s">
        <v>38</v>
      </c>
      <c r="AB520" s="17"/>
    </row>
    <row r="521" customFormat="false" ht="15" hidden="false" customHeight="false" outlineLevel="0" collapsed="false">
      <c r="A521" s="1" t="str">
        <f aca="false">OFFSET(Table22,520,14,1,1)&amp;OFFSET(Table22,520,21,1,1)</f>
        <v>43358224560863</v>
      </c>
      <c r="B521" s="1" t="str">
        <f aca="false">OFFSET(Table22,520,14,1,1)&amp;OFFSET(Table22,520,22,1,1)</f>
        <v>43358Facebook»Developers/ITPros-Azure Direct-Sponsored Post-Video Ad-FBCTCBrandinMotion_FRA_12s_RTG Landing Page»1x1»12s»VIA»ALL»CPC»BT»X»UNK»SS»NA»Trials_ID</v>
      </c>
      <c r="C521" s="1" t="s">
        <v>28</v>
      </c>
      <c r="D521" s="3" t="n">
        <f aca="false">O521+(7-WEEKDAY(O521))</f>
        <v>43358</v>
      </c>
      <c r="E521" s="1" t="str">
        <f aca="false">VLOOKUP(OFFSET(Table22,520,16,1,1),Key!B:D,2,0)</f>
        <v>France</v>
      </c>
      <c r="F521" s="1" t="str">
        <f aca="false">IF(ISNUMBER(SEARCH("Canvas",U521)),"Link",IF(ISNUMBER(SEARCH("Link",U521)),"Link","Not filled properly"))</f>
        <v>Link</v>
      </c>
      <c r="G521" s="1" t="str">
        <f aca="false">IFERROR(VLOOKUP(OFFSET(Table22,520,21,1,1),OFFSET(Table2,0,1,ROWS(Table2),8),2,0),VLOOKUP(OFFSET(Table22,520,22,1,1),Table2,3,0))</f>
        <v>FRA_gaPMG_AZR_AZR_Q1_19_AzureDirect-Trial-Social</v>
      </c>
      <c r="H521" s="1" t="n">
        <f aca="false">IFERROR(VLOOKUP(OFFSET(Table22,520,21,1,1),OFFSET(Table2,0,1,ROWS(Table2),8),3,0),VLOOKUP(OFFSET(Table22,520,22,1,1),Table2,4,0))</f>
        <v>21356941</v>
      </c>
      <c r="I521" s="2" t="n">
        <f aca="false">IFERROR(VLOOKUP(OFFSET(Table22,520,21,1,1),OFFSET(Table2,0,1,ROWS(Table2),8),4,0),VLOOKUP(OFFSET(Table22,520,22,1,1),Table2,5,0))</f>
        <v>720193</v>
      </c>
      <c r="J521" s="3" t="str">
        <f aca="false">IF(ISNUMBER(SEARCH("FACEBOOK",W521)),"Facebook",IF(ISNUMBER(SEARCH("INSTAGRAM",W521)),"Facebook-Instagram","Look at taxonomy"))</f>
        <v>Facebook</v>
      </c>
      <c r="K521" s="3" t="str">
        <f aca="false">IF(ISNUMBER(SEARCH("Facebook",J521)),"3654128","Not Facebook")</f>
        <v>3654128</v>
      </c>
      <c r="L521" s="3" t="str">
        <f aca="false">IFERROR(VLOOKUP(OFFSET(Table22,520,21,1,1),OFFSET(Table2,0,1,ROWS(Table2),8),7,0),VLOOKUP(OFFSET(Table22,520,22,1,1),Table2,8,0))</f>
        <v>AZR_FBCTCBrandinMotion_FRA_12s_VIA_AZRDirect_French_NA_Facebook_STAN_TIN_T2_1</v>
      </c>
      <c r="M521" s="2" t="n">
        <f aca="false">IFERROR(VLOOKUP(OFFSET(Table22,520,21,1,1),OFFSET(Table2,0,1,ROWS(Table2),8),8,0),VLOOKUP(OFFSET(Table22,520,22,1,1),Table2,9,0))</f>
        <v>103256577</v>
      </c>
      <c r="N521" s="15" t="s">
        <v>29</v>
      </c>
      <c r="O521" s="16" t="n">
        <v>43358</v>
      </c>
      <c r="P521" s="17" t="s">
        <v>102</v>
      </c>
      <c r="Q521" s="18" t="s">
        <v>103</v>
      </c>
      <c r="R521" s="17" t="s">
        <v>104</v>
      </c>
      <c r="S521" s="18" t="s">
        <v>33</v>
      </c>
      <c r="T521" s="17" t="s">
        <v>34</v>
      </c>
      <c r="U521" s="18" t="s">
        <v>127</v>
      </c>
      <c r="V521" s="19" t="n">
        <v>224560863</v>
      </c>
      <c r="W521" s="17" t="s">
        <v>130</v>
      </c>
      <c r="X521" s="17" t="n">
        <v>0</v>
      </c>
      <c r="Y521" s="17"/>
      <c r="Z521" s="17" t="n">
        <v>0</v>
      </c>
      <c r="AA521" s="17" t="s">
        <v>38</v>
      </c>
      <c r="AB521" s="17"/>
    </row>
    <row r="522" customFormat="false" ht="15" hidden="false" customHeight="false" outlineLevel="0" collapsed="false">
      <c r="A522" s="1" t="str">
        <f aca="false">OFFSET(Table22,521,14,1,1)&amp;OFFSET(Table22,521,21,1,1)</f>
        <v>43358224560863</v>
      </c>
      <c r="B522" s="1" t="str">
        <f aca="false">OFFSET(Table22,521,14,1,1)&amp;OFFSET(Table22,521,22,1,1)</f>
        <v>43358Facebook»Developers/ITPros-Azure Direct-Sponsored Post-Video Ad-FBCTCBrandinMotion_FRA_12s_RTG Landing Page»1x1»12s»VIA»ALL»CPC»BT»X»UNK»SS»NA»Trials_ID</v>
      </c>
      <c r="C522" s="1" t="s">
        <v>28</v>
      </c>
      <c r="D522" s="3" t="n">
        <f aca="false">O522+(7-WEEKDAY(O522))</f>
        <v>43358</v>
      </c>
      <c r="E522" s="1" t="str">
        <f aca="false">VLOOKUP(OFFSET(Table22,521,16,1,1),Key!B:D,2,0)</f>
        <v>France</v>
      </c>
      <c r="F522" s="1" t="str">
        <f aca="false">IF(ISNUMBER(SEARCH("Canvas",U522)),"Link",IF(ISNUMBER(SEARCH("Link",U522)),"Link","Not filled properly"))</f>
        <v>Link</v>
      </c>
      <c r="G522" s="1" t="str">
        <f aca="false">IFERROR(VLOOKUP(OFFSET(Table22,521,21,1,1),OFFSET(Table2,0,1,ROWS(Table2),8),2,0),VLOOKUP(OFFSET(Table22,521,22,1,1),Table2,3,0))</f>
        <v>FRA_gaPMG_AZR_AZR_Q1_19_AzureDirect-Trial-Social</v>
      </c>
      <c r="H522" s="1" t="n">
        <f aca="false">IFERROR(VLOOKUP(OFFSET(Table22,521,21,1,1),OFFSET(Table2,0,1,ROWS(Table2),8),3,0),VLOOKUP(OFFSET(Table22,521,22,1,1),Table2,4,0))</f>
        <v>21356941</v>
      </c>
      <c r="I522" s="2" t="n">
        <f aca="false">IFERROR(VLOOKUP(OFFSET(Table22,521,21,1,1),OFFSET(Table2,0,1,ROWS(Table2),8),4,0),VLOOKUP(OFFSET(Table22,521,22,1,1),Table2,5,0))</f>
        <v>720193</v>
      </c>
      <c r="J522" s="3" t="str">
        <f aca="false">IF(ISNUMBER(SEARCH("FACEBOOK",W522)),"Facebook",IF(ISNUMBER(SEARCH("INSTAGRAM",W522)),"Facebook-Instagram","Look at taxonomy"))</f>
        <v>Facebook</v>
      </c>
      <c r="K522" s="3" t="str">
        <f aca="false">IF(ISNUMBER(SEARCH("Facebook",J522)),"3654128","Not Facebook")</f>
        <v>3654128</v>
      </c>
      <c r="L522" s="3" t="str">
        <f aca="false">IFERROR(VLOOKUP(OFFSET(Table22,521,21,1,1),OFFSET(Table2,0,1,ROWS(Table2),8),7,0),VLOOKUP(OFFSET(Table22,521,22,1,1),Table2,8,0))</f>
        <v>AZR_FBCTCBrandinMotion_FRA_12s_VIA_AZRDirect_French_NA_Facebook_STAN_TIN_T2_1</v>
      </c>
      <c r="M522" s="2" t="n">
        <f aca="false">IFERROR(VLOOKUP(OFFSET(Table22,521,21,1,1),OFFSET(Table2,0,1,ROWS(Table2),8),8,0),VLOOKUP(OFFSET(Table22,521,22,1,1),Table2,9,0))</f>
        <v>103256577</v>
      </c>
      <c r="N522" s="15" t="s">
        <v>29</v>
      </c>
      <c r="O522" s="16" t="n">
        <v>43358</v>
      </c>
      <c r="P522" s="17" t="s">
        <v>102</v>
      </c>
      <c r="Q522" s="18" t="s">
        <v>103</v>
      </c>
      <c r="R522" s="17" t="s">
        <v>104</v>
      </c>
      <c r="S522" s="18" t="s">
        <v>33</v>
      </c>
      <c r="T522" s="17" t="s">
        <v>34</v>
      </c>
      <c r="U522" s="18" t="s">
        <v>127</v>
      </c>
      <c r="V522" s="19" t="n">
        <v>224560863</v>
      </c>
      <c r="W522" s="17" t="s">
        <v>130</v>
      </c>
      <c r="X522" s="17" t="n">
        <v>0</v>
      </c>
      <c r="Y522" s="17"/>
      <c r="Z522" s="17" t="n">
        <v>0</v>
      </c>
      <c r="AA522" s="17" t="s">
        <v>38</v>
      </c>
      <c r="AB522" s="17"/>
    </row>
    <row r="523" customFormat="false" ht="15" hidden="false" customHeight="false" outlineLevel="0" collapsed="false">
      <c r="A523" s="1" t="str">
        <f aca="false">OFFSET(Table22,522,14,1,1)&amp;OFFSET(Table22,522,21,1,1)</f>
        <v>43357224560863</v>
      </c>
      <c r="B523" s="1" t="str">
        <f aca="false">OFFSET(Table22,522,14,1,1)&amp;OFFSET(Table22,522,22,1,1)</f>
        <v>43357Facebook»Developers/ITPros-Azure Direct-Sponsored Post-Video Ad-FBCTCBrandinMotion_FRA_12s_RTG Landing Page»1x1»12s»VIA»ALL»CPC»BT»X»UNK»SS»NA»Trials_ID</v>
      </c>
      <c r="C523" s="1" t="s">
        <v>28</v>
      </c>
      <c r="D523" s="3" t="n">
        <f aca="false">O523+(7-WEEKDAY(O523))</f>
        <v>43358</v>
      </c>
      <c r="E523" s="1" t="str">
        <f aca="false">VLOOKUP(OFFSET(Table22,522,16,1,1),Key!B:D,2,0)</f>
        <v>France</v>
      </c>
      <c r="F523" s="1" t="str">
        <f aca="false">IF(ISNUMBER(SEARCH("Canvas",U523)),"Link",IF(ISNUMBER(SEARCH("Link",U523)),"Link","Not filled properly"))</f>
        <v>Link</v>
      </c>
      <c r="G523" s="1" t="str">
        <f aca="false">IFERROR(VLOOKUP(OFFSET(Table22,522,21,1,1),OFFSET(Table2,0,1,ROWS(Table2),8),2,0),VLOOKUP(OFFSET(Table22,522,22,1,1),Table2,3,0))</f>
        <v>FRA_gaPMG_AZR_AZR_Q1_19_AzureDirect-Trial-Social</v>
      </c>
      <c r="H523" s="1" t="n">
        <f aca="false">IFERROR(VLOOKUP(OFFSET(Table22,522,21,1,1),OFFSET(Table2,0,1,ROWS(Table2),8),3,0),VLOOKUP(OFFSET(Table22,522,22,1,1),Table2,4,0))</f>
        <v>21356941</v>
      </c>
      <c r="I523" s="2" t="n">
        <f aca="false">IFERROR(VLOOKUP(OFFSET(Table22,522,21,1,1),OFFSET(Table2,0,1,ROWS(Table2),8),4,0),VLOOKUP(OFFSET(Table22,522,22,1,1),Table2,5,0))</f>
        <v>720193</v>
      </c>
      <c r="J523" s="3" t="str">
        <f aca="false">IF(ISNUMBER(SEARCH("FACEBOOK",W523)),"Facebook",IF(ISNUMBER(SEARCH("INSTAGRAM",W523)),"Facebook-Instagram","Look at taxonomy"))</f>
        <v>Facebook</v>
      </c>
      <c r="K523" s="3" t="str">
        <f aca="false">IF(ISNUMBER(SEARCH("Facebook",J523)),"3654128","Not Facebook")</f>
        <v>3654128</v>
      </c>
      <c r="L523" s="3" t="str">
        <f aca="false">IFERROR(VLOOKUP(OFFSET(Table22,522,21,1,1),OFFSET(Table2,0,1,ROWS(Table2),8),7,0),VLOOKUP(OFFSET(Table22,522,22,1,1),Table2,8,0))</f>
        <v>AZR_FBCTCBrandinMotion_FRA_12s_VIA_AZRDirect_French_NA_Facebook_STAN_TIN_T2_1</v>
      </c>
      <c r="M523" s="2" t="n">
        <f aca="false">IFERROR(VLOOKUP(OFFSET(Table22,522,21,1,1),OFFSET(Table2,0,1,ROWS(Table2),8),8,0),VLOOKUP(OFFSET(Table22,522,22,1,1),Table2,9,0))</f>
        <v>103256577</v>
      </c>
      <c r="N523" s="15" t="s">
        <v>29</v>
      </c>
      <c r="O523" s="16" t="n">
        <v>43357</v>
      </c>
      <c r="P523" s="17" t="s">
        <v>102</v>
      </c>
      <c r="Q523" s="18" t="s">
        <v>103</v>
      </c>
      <c r="R523" s="17" t="s">
        <v>104</v>
      </c>
      <c r="S523" s="18" t="s">
        <v>33</v>
      </c>
      <c r="T523" s="17" t="s">
        <v>34</v>
      </c>
      <c r="U523" s="18" t="s">
        <v>127</v>
      </c>
      <c r="V523" s="19" t="n">
        <v>224560863</v>
      </c>
      <c r="W523" s="17" t="s">
        <v>130</v>
      </c>
      <c r="X523" s="17" t="n">
        <v>0</v>
      </c>
      <c r="Y523" s="17"/>
      <c r="Z523" s="17" t="n">
        <v>0</v>
      </c>
      <c r="AA523" s="17" t="s">
        <v>38</v>
      </c>
      <c r="AB523" s="17"/>
    </row>
    <row r="524" customFormat="false" ht="15" hidden="false" customHeight="false" outlineLevel="0" collapsed="false">
      <c r="A524" s="1" t="str">
        <f aca="false">OFFSET(Table22,523,14,1,1)&amp;OFFSET(Table22,523,21,1,1)</f>
        <v>43357224560863</v>
      </c>
      <c r="B524" s="1" t="str">
        <f aca="false">OFFSET(Table22,523,14,1,1)&amp;OFFSET(Table22,523,22,1,1)</f>
        <v>43357Facebook»Developers/ITPros-Azure Direct-Sponsored Post-Video Ad-FBCTCBrandinMotion_FRA_12s_RTG Landing Page»1x1»12s»VIA»ALL»CPC»BT»X»UNK»SS»NA»Trials_ID</v>
      </c>
      <c r="C524" s="1" t="s">
        <v>28</v>
      </c>
      <c r="D524" s="3" t="n">
        <f aca="false">O524+(7-WEEKDAY(O524))</f>
        <v>43358</v>
      </c>
      <c r="E524" s="1" t="str">
        <f aca="false">VLOOKUP(OFFSET(Table22,523,16,1,1),Key!B:D,2,0)</f>
        <v>France</v>
      </c>
      <c r="F524" s="1" t="str">
        <f aca="false">IF(ISNUMBER(SEARCH("Canvas",U524)),"Link",IF(ISNUMBER(SEARCH("Link",U524)),"Link","Not filled properly"))</f>
        <v>Link</v>
      </c>
      <c r="G524" s="1" t="str">
        <f aca="false">IFERROR(VLOOKUP(OFFSET(Table22,523,21,1,1),OFFSET(Table2,0,1,ROWS(Table2),8),2,0),VLOOKUP(OFFSET(Table22,523,22,1,1),Table2,3,0))</f>
        <v>FRA_gaPMG_AZR_AZR_Q1_19_AzureDirect-Trial-Social</v>
      </c>
      <c r="H524" s="1" t="n">
        <f aca="false">IFERROR(VLOOKUP(OFFSET(Table22,523,21,1,1),OFFSET(Table2,0,1,ROWS(Table2),8),3,0),VLOOKUP(OFFSET(Table22,523,22,1,1),Table2,4,0))</f>
        <v>21356941</v>
      </c>
      <c r="I524" s="2" t="n">
        <f aca="false">IFERROR(VLOOKUP(OFFSET(Table22,523,21,1,1),OFFSET(Table2,0,1,ROWS(Table2),8),4,0),VLOOKUP(OFFSET(Table22,523,22,1,1),Table2,5,0))</f>
        <v>720193</v>
      </c>
      <c r="J524" s="3" t="str">
        <f aca="false">IF(ISNUMBER(SEARCH("FACEBOOK",W524)),"Facebook",IF(ISNUMBER(SEARCH("INSTAGRAM",W524)),"Facebook-Instagram","Look at taxonomy"))</f>
        <v>Facebook</v>
      </c>
      <c r="K524" s="3" t="str">
        <f aca="false">IF(ISNUMBER(SEARCH("Facebook",J524)),"3654128","Not Facebook")</f>
        <v>3654128</v>
      </c>
      <c r="L524" s="3" t="str">
        <f aca="false">IFERROR(VLOOKUP(OFFSET(Table22,523,21,1,1),OFFSET(Table2,0,1,ROWS(Table2),8),7,0),VLOOKUP(OFFSET(Table22,523,22,1,1),Table2,8,0))</f>
        <v>AZR_FBCTCBrandinMotion_FRA_12s_VIA_AZRDirect_French_NA_Facebook_STAN_TIN_T2_1</v>
      </c>
      <c r="M524" s="2" t="n">
        <f aca="false">IFERROR(VLOOKUP(OFFSET(Table22,523,21,1,1),OFFSET(Table2,0,1,ROWS(Table2),8),8,0),VLOOKUP(OFFSET(Table22,523,22,1,1),Table2,9,0))</f>
        <v>103256577</v>
      </c>
      <c r="N524" s="15" t="s">
        <v>29</v>
      </c>
      <c r="O524" s="16" t="n">
        <v>43357</v>
      </c>
      <c r="P524" s="17" t="s">
        <v>102</v>
      </c>
      <c r="Q524" s="18" t="s">
        <v>103</v>
      </c>
      <c r="R524" s="17" t="s">
        <v>104</v>
      </c>
      <c r="S524" s="18" t="s">
        <v>33</v>
      </c>
      <c r="T524" s="17" t="s">
        <v>34</v>
      </c>
      <c r="U524" s="18" t="s">
        <v>127</v>
      </c>
      <c r="V524" s="19" t="n">
        <v>224560863</v>
      </c>
      <c r="W524" s="17" t="s">
        <v>130</v>
      </c>
      <c r="X524" s="17" t="n">
        <v>0</v>
      </c>
      <c r="Y524" s="17"/>
      <c r="Z524" s="17" t="n">
        <v>0</v>
      </c>
      <c r="AA524" s="17" t="s">
        <v>38</v>
      </c>
      <c r="AB524" s="17"/>
    </row>
    <row r="525" customFormat="false" ht="15" hidden="false" customHeight="false" outlineLevel="0" collapsed="false">
      <c r="A525" s="1" t="str">
        <f aca="false">OFFSET(Table22,524,14,1,1)&amp;OFFSET(Table22,524,21,1,1)</f>
        <v>43357224560863</v>
      </c>
      <c r="B525" s="1" t="str">
        <f aca="false">OFFSET(Table22,524,14,1,1)&amp;OFFSET(Table22,524,22,1,1)</f>
        <v>43357Facebook»Developers/ITPros-Azure Direct-Sponsored Post-Video Ad-FBCTCBrandinMotion_FRA_12s_RTG Landing Page»1x1»12s»VIA»ALL»CPC»BT»X»UNK»SS»NA»Trials_ID</v>
      </c>
      <c r="C525" s="1" t="s">
        <v>28</v>
      </c>
      <c r="D525" s="3" t="n">
        <f aca="false">O525+(7-WEEKDAY(O525))</f>
        <v>43358</v>
      </c>
      <c r="E525" s="1" t="str">
        <f aca="false">VLOOKUP(OFFSET(Table22,524,16,1,1),Key!B:D,2,0)</f>
        <v>France</v>
      </c>
      <c r="F525" s="1" t="str">
        <f aca="false">IF(ISNUMBER(SEARCH("Canvas",U525)),"Link",IF(ISNUMBER(SEARCH("Link",U525)),"Link","Not filled properly"))</f>
        <v>Link</v>
      </c>
      <c r="G525" s="1" t="str">
        <f aca="false">IFERROR(VLOOKUP(OFFSET(Table22,524,21,1,1),OFFSET(Table2,0,1,ROWS(Table2),8),2,0),VLOOKUP(OFFSET(Table22,524,22,1,1),Table2,3,0))</f>
        <v>FRA_gaPMG_AZR_AZR_Q1_19_AzureDirect-Trial-Social</v>
      </c>
      <c r="H525" s="1" t="n">
        <f aca="false">IFERROR(VLOOKUP(OFFSET(Table22,524,21,1,1),OFFSET(Table2,0,1,ROWS(Table2),8),3,0),VLOOKUP(OFFSET(Table22,524,22,1,1),Table2,4,0))</f>
        <v>21356941</v>
      </c>
      <c r="I525" s="2" t="n">
        <f aca="false">IFERROR(VLOOKUP(OFFSET(Table22,524,21,1,1),OFFSET(Table2,0,1,ROWS(Table2),8),4,0),VLOOKUP(OFFSET(Table22,524,22,1,1),Table2,5,0))</f>
        <v>720193</v>
      </c>
      <c r="J525" s="3" t="str">
        <f aca="false">IF(ISNUMBER(SEARCH("FACEBOOK",W525)),"Facebook",IF(ISNUMBER(SEARCH("INSTAGRAM",W525)),"Facebook-Instagram","Look at taxonomy"))</f>
        <v>Facebook</v>
      </c>
      <c r="K525" s="3" t="str">
        <f aca="false">IF(ISNUMBER(SEARCH("Facebook",J525)),"3654128","Not Facebook")</f>
        <v>3654128</v>
      </c>
      <c r="L525" s="3" t="str">
        <f aca="false">IFERROR(VLOOKUP(OFFSET(Table22,524,21,1,1),OFFSET(Table2,0,1,ROWS(Table2),8),7,0),VLOOKUP(OFFSET(Table22,524,22,1,1),Table2,8,0))</f>
        <v>AZR_FBCTCBrandinMotion_FRA_12s_VIA_AZRDirect_French_NA_Facebook_STAN_TIN_T2_1</v>
      </c>
      <c r="M525" s="2" t="n">
        <f aca="false">IFERROR(VLOOKUP(OFFSET(Table22,524,21,1,1),OFFSET(Table2,0,1,ROWS(Table2),8),8,0),VLOOKUP(OFFSET(Table22,524,22,1,1),Table2,9,0))</f>
        <v>103256577</v>
      </c>
      <c r="N525" s="15" t="s">
        <v>29</v>
      </c>
      <c r="O525" s="16" t="n">
        <v>43357</v>
      </c>
      <c r="P525" s="17" t="s">
        <v>102</v>
      </c>
      <c r="Q525" s="18" t="s">
        <v>103</v>
      </c>
      <c r="R525" s="17" t="s">
        <v>104</v>
      </c>
      <c r="S525" s="18" t="s">
        <v>33</v>
      </c>
      <c r="T525" s="17" t="s">
        <v>34</v>
      </c>
      <c r="U525" s="18" t="s">
        <v>127</v>
      </c>
      <c r="V525" s="19" t="n">
        <v>224560863</v>
      </c>
      <c r="W525" s="17" t="s">
        <v>130</v>
      </c>
      <c r="X525" s="17" t="n">
        <v>0</v>
      </c>
      <c r="Y525" s="17"/>
      <c r="Z525" s="17" t="n">
        <v>0</v>
      </c>
      <c r="AA525" s="17" t="s">
        <v>38</v>
      </c>
      <c r="AB525" s="17"/>
    </row>
    <row r="526" customFormat="false" ht="15" hidden="false" customHeight="false" outlineLevel="0" collapsed="false">
      <c r="A526" s="1" t="str">
        <f aca="false">OFFSET(Table22,525,14,1,1)&amp;OFFSET(Table22,525,21,1,1)</f>
        <v>43357224560863</v>
      </c>
      <c r="B526" s="1" t="str">
        <f aca="false">OFFSET(Table22,525,14,1,1)&amp;OFFSET(Table22,525,22,1,1)</f>
        <v>43357Facebook»Developers/ITPros-Azure Direct-Sponsored Post-Video Ad-FBCTCBrandinMotion_FRA_12s_RTG Landing Page»1x1»12s»VIA»ALL»CPC»BT»X»UNK»SS»NA»Trials_ID</v>
      </c>
      <c r="C526" s="1" t="s">
        <v>28</v>
      </c>
      <c r="D526" s="3" t="n">
        <f aca="false">O526+(7-WEEKDAY(O526))</f>
        <v>43358</v>
      </c>
      <c r="E526" s="1" t="str">
        <f aca="false">VLOOKUP(OFFSET(Table22,525,16,1,1),Key!B:D,2,0)</f>
        <v>France</v>
      </c>
      <c r="F526" s="1" t="str">
        <f aca="false">IF(ISNUMBER(SEARCH("Canvas",U526)),"Link",IF(ISNUMBER(SEARCH("Link",U526)),"Link","Not filled properly"))</f>
        <v>Link</v>
      </c>
      <c r="G526" s="1" t="str">
        <f aca="false">IFERROR(VLOOKUP(OFFSET(Table22,525,21,1,1),OFFSET(Table2,0,1,ROWS(Table2),8),2,0),VLOOKUP(OFFSET(Table22,525,22,1,1),Table2,3,0))</f>
        <v>FRA_gaPMG_AZR_AZR_Q1_19_AzureDirect-Trial-Social</v>
      </c>
      <c r="H526" s="1" t="n">
        <f aca="false">IFERROR(VLOOKUP(OFFSET(Table22,525,21,1,1),OFFSET(Table2,0,1,ROWS(Table2),8),3,0),VLOOKUP(OFFSET(Table22,525,22,1,1),Table2,4,0))</f>
        <v>21356941</v>
      </c>
      <c r="I526" s="2" t="n">
        <f aca="false">IFERROR(VLOOKUP(OFFSET(Table22,525,21,1,1),OFFSET(Table2,0,1,ROWS(Table2),8),4,0),VLOOKUP(OFFSET(Table22,525,22,1,1),Table2,5,0))</f>
        <v>720193</v>
      </c>
      <c r="J526" s="3" t="str">
        <f aca="false">IF(ISNUMBER(SEARCH("FACEBOOK",W526)),"Facebook",IF(ISNUMBER(SEARCH("INSTAGRAM",W526)),"Facebook-Instagram","Look at taxonomy"))</f>
        <v>Facebook</v>
      </c>
      <c r="K526" s="3" t="str">
        <f aca="false">IF(ISNUMBER(SEARCH("Facebook",J526)),"3654128","Not Facebook")</f>
        <v>3654128</v>
      </c>
      <c r="L526" s="3" t="str">
        <f aca="false">IFERROR(VLOOKUP(OFFSET(Table22,525,21,1,1),OFFSET(Table2,0,1,ROWS(Table2),8),7,0),VLOOKUP(OFFSET(Table22,525,22,1,1),Table2,8,0))</f>
        <v>AZR_FBCTCBrandinMotion_FRA_12s_VIA_AZRDirect_French_NA_Facebook_STAN_TIN_T2_1</v>
      </c>
      <c r="M526" s="2" t="n">
        <f aca="false">IFERROR(VLOOKUP(OFFSET(Table22,525,21,1,1),OFFSET(Table2,0,1,ROWS(Table2),8),8,0),VLOOKUP(OFFSET(Table22,525,22,1,1),Table2,9,0))</f>
        <v>103256577</v>
      </c>
      <c r="N526" s="15" t="s">
        <v>29</v>
      </c>
      <c r="O526" s="16" t="n">
        <v>43357</v>
      </c>
      <c r="P526" s="17" t="s">
        <v>102</v>
      </c>
      <c r="Q526" s="18" t="s">
        <v>103</v>
      </c>
      <c r="R526" s="17" t="s">
        <v>104</v>
      </c>
      <c r="S526" s="18" t="s">
        <v>33</v>
      </c>
      <c r="T526" s="17" t="s">
        <v>34</v>
      </c>
      <c r="U526" s="18" t="s">
        <v>127</v>
      </c>
      <c r="V526" s="19" t="n">
        <v>224560863</v>
      </c>
      <c r="W526" s="17" t="s">
        <v>130</v>
      </c>
      <c r="X526" s="17" t="n">
        <v>0</v>
      </c>
      <c r="Y526" s="17"/>
      <c r="Z526" s="17" t="n">
        <v>0</v>
      </c>
      <c r="AA526" s="17" t="s">
        <v>38</v>
      </c>
      <c r="AB526" s="17"/>
    </row>
    <row r="527" customFormat="false" ht="15" hidden="false" customHeight="false" outlineLevel="0" collapsed="false">
      <c r="A527" s="1" t="str">
        <f aca="false">OFFSET(Table22,526,14,1,1)&amp;OFFSET(Table22,526,21,1,1)</f>
        <v>43356224560863</v>
      </c>
      <c r="B527" s="1" t="str">
        <f aca="false">OFFSET(Table22,526,14,1,1)&amp;OFFSET(Table22,526,22,1,1)</f>
        <v>43356Facebook»Developers/ITPros-Azure Direct-Sponsored Post-Video Ad-FBCTCBrandinMotion_FRA_12s_RTG Landing Page»1x1»12s»VIA»ALL»CPC»BT»X»UNK»SS»NA»Trials_ID</v>
      </c>
      <c r="C527" s="1" t="s">
        <v>28</v>
      </c>
      <c r="D527" s="3" t="n">
        <f aca="false">O527+(7-WEEKDAY(O527))</f>
        <v>43358</v>
      </c>
      <c r="E527" s="1" t="str">
        <f aca="false">VLOOKUP(OFFSET(Table22,526,16,1,1),Key!B:D,2,0)</f>
        <v>France</v>
      </c>
      <c r="F527" s="1" t="str">
        <f aca="false">IF(ISNUMBER(SEARCH("Canvas",U527)),"Link",IF(ISNUMBER(SEARCH("Link",U527)),"Link","Not filled properly"))</f>
        <v>Link</v>
      </c>
      <c r="G527" s="1" t="str">
        <f aca="false">IFERROR(VLOOKUP(OFFSET(Table22,526,21,1,1),OFFSET(Table2,0,1,ROWS(Table2),8),2,0),VLOOKUP(OFFSET(Table22,526,22,1,1),Table2,3,0))</f>
        <v>FRA_gaPMG_AZR_AZR_Q1_19_AzureDirect-Trial-Social</v>
      </c>
      <c r="H527" s="1" t="n">
        <f aca="false">IFERROR(VLOOKUP(OFFSET(Table22,526,21,1,1),OFFSET(Table2,0,1,ROWS(Table2),8),3,0),VLOOKUP(OFFSET(Table22,526,22,1,1),Table2,4,0))</f>
        <v>21356941</v>
      </c>
      <c r="I527" s="2" t="n">
        <f aca="false">IFERROR(VLOOKUP(OFFSET(Table22,526,21,1,1),OFFSET(Table2,0,1,ROWS(Table2),8),4,0),VLOOKUP(OFFSET(Table22,526,22,1,1),Table2,5,0))</f>
        <v>720193</v>
      </c>
      <c r="J527" s="3" t="str">
        <f aca="false">IF(ISNUMBER(SEARCH("FACEBOOK",W527)),"Facebook",IF(ISNUMBER(SEARCH("INSTAGRAM",W527)),"Facebook-Instagram","Look at taxonomy"))</f>
        <v>Facebook</v>
      </c>
      <c r="K527" s="3" t="str">
        <f aca="false">IF(ISNUMBER(SEARCH("Facebook",J527)),"3654128","Not Facebook")</f>
        <v>3654128</v>
      </c>
      <c r="L527" s="3" t="str">
        <f aca="false">IFERROR(VLOOKUP(OFFSET(Table22,526,21,1,1),OFFSET(Table2,0,1,ROWS(Table2),8),7,0),VLOOKUP(OFFSET(Table22,526,22,1,1),Table2,8,0))</f>
        <v>AZR_FBCTCBrandinMotion_FRA_12s_VIA_AZRDirect_French_NA_Facebook_STAN_TIN_T2_1</v>
      </c>
      <c r="M527" s="2" t="n">
        <f aca="false">IFERROR(VLOOKUP(OFFSET(Table22,526,21,1,1),OFFSET(Table2,0,1,ROWS(Table2),8),8,0),VLOOKUP(OFFSET(Table22,526,22,1,1),Table2,9,0))</f>
        <v>103256577</v>
      </c>
      <c r="N527" s="15" t="s">
        <v>29</v>
      </c>
      <c r="O527" s="16" t="n">
        <v>43356</v>
      </c>
      <c r="P527" s="17" t="s">
        <v>102</v>
      </c>
      <c r="Q527" s="18" t="s">
        <v>103</v>
      </c>
      <c r="R527" s="17" t="s">
        <v>104</v>
      </c>
      <c r="S527" s="18" t="s">
        <v>33</v>
      </c>
      <c r="T527" s="17" t="s">
        <v>34</v>
      </c>
      <c r="U527" s="18" t="s">
        <v>127</v>
      </c>
      <c r="V527" s="19" t="n">
        <v>224560863</v>
      </c>
      <c r="W527" s="17" t="s">
        <v>130</v>
      </c>
      <c r="X527" s="17" t="n">
        <v>0</v>
      </c>
      <c r="Y527" s="17"/>
      <c r="Z527" s="17" t="n">
        <v>0</v>
      </c>
      <c r="AA527" s="17" t="s">
        <v>38</v>
      </c>
      <c r="AB527" s="17"/>
    </row>
    <row r="528" customFormat="false" ht="15" hidden="false" customHeight="false" outlineLevel="0" collapsed="false">
      <c r="A528" s="1" t="str">
        <f aca="false">OFFSET(Table22,527,14,1,1)&amp;OFFSET(Table22,527,21,1,1)</f>
        <v>43356224560863</v>
      </c>
      <c r="B528" s="1" t="str">
        <f aca="false">OFFSET(Table22,527,14,1,1)&amp;OFFSET(Table22,527,22,1,1)</f>
        <v>43356Facebook»Developers/ITPros-Azure Direct-Sponsored Post-Video Ad-FBCTCBrandinMotion_FRA_12s_RTG Landing Page»1x1»12s»VIA»ALL»CPC»BT»X»UNK»SS»NA»Trials_ID</v>
      </c>
      <c r="C528" s="1" t="s">
        <v>28</v>
      </c>
      <c r="D528" s="3" t="n">
        <f aca="false">O528+(7-WEEKDAY(O528))</f>
        <v>43358</v>
      </c>
      <c r="E528" s="1" t="str">
        <f aca="false">VLOOKUP(OFFSET(Table22,527,16,1,1),Key!B:D,2,0)</f>
        <v>France</v>
      </c>
      <c r="F528" s="1" t="str">
        <f aca="false">IF(ISNUMBER(SEARCH("Canvas",U528)),"Link",IF(ISNUMBER(SEARCH("Link",U528)),"Link","Not filled properly"))</f>
        <v>Link</v>
      </c>
      <c r="G528" s="1" t="str">
        <f aca="false">IFERROR(VLOOKUP(OFFSET(Table22,527,21,1,1),OFFSET(Table2,0,1,ROWS(Table2),8),2,0),VLOOKUP(OFFSET(Table22,527,22,1,1),Table2,3,0))</f>
        <v>FRA_gaPMG_AZR_AZR_Q1_19_AzureDirect-Trial-Social</v>
      </c>
      <c r="H528" s="1" t="n">
        <f aca="false">IFERROR(VLOOKUP(OFFSET(Table22,527,21,1,1),OFFSET(Table2,0,1,ROWS(Table2),8),3,0),VLOOKUP(OFFSET(Table22,527,22,1,1),Table2,4,0))</f>
        <v>21356941</v>
      </c>
      <c r="I528" s="2" t="n">
        <f aca="false">IFERROR(VLOOKUP(OFFSET(Table22,527,21,1,1),OFFSET(Table2,0,1,ROWS(Table2),8),4,0),VLOOKUP(OFFSET(Table22,527,22,1,1),Table2,5,0))</f>
        <v>720193</v>
      </c>
      <c r="J528" s="3" t="str">
        <f aca="false">IF(ISNUMBER(SEARCH("FACEBOOK",W528)),"Facebook",IF(ISNUMBER(SEARCH("INSTAGRAM",W528)),"Facebook-Instagram","Look at taxonomy"))</f>
        <v>Facebook</v>
      </c>
      <c r="K528" s="3" t="str">
        <f aca="false">IF(ISNUMBER(SEARCH("Facebook",J528)),"3654128","Not Facebook")</f>
        <v>3654128</v>
      </c>
      <c r="L528" s="3" t="str">
        <f aca="false">IFERROR(VLOOKUP(OFFSET(Table22,527,21,1,1),OFFSET(Table2,0,1,ROWS(Table2),8),7,0),VLOOKUP(OFFSET(Table22,527,22,1,1),Table2,8,0))</f>
        <v>AZR_FBCTCBrandinMotion_FRA_12s_VIA_AZRDirect_French_NA_Facebook_STAN_TIN_T2_1</v>
      </c>
      <c r="M528" s="2" t="n">
        <f aca="false">IFERROR(VLOOKUP(OFFSET(Table22,527,21,1,1),OFFSET(Table2,0,1,ROWS(Table2),8),8,0),VLOOKUP(OFFSET(Table22,527,22,1,1),Table2,9,0))</f>
        <v>103256577</v>
      </c>
      <c r="N528" s="15" t="s">
        <v>29</v>
      </c>
      <c r="O528" s="16" t="n">
        <v>43356</v>
      </c>
      <c r="P528" s="17" t="s">
        <v>102</v>
      </c>
      <c r="Q528" s="18" t="s">
        <v>103</v>
      </c>
      <c r="R528" s="17" t="s">
        <v>104</v>
      </c>
      <c r="S528" s="18" t="s">
        <v>33</v>
      </c>
      <c r="T528" s="17" t="s">
        <v>34</v>
      </c>
      <c r="U528" s="18" t="s">
        <v>127</v>
      </c>
      <c r="V528" s="19" t="n">
        <v>224560863</v>
      </c>
      <c r="W528" s="17" t="s">
        <v>130</v>
      </c>
      <c r="X528" s="17" t="n">
        <v>0</v>
      </c>
      <c r="Y528" s="17"/>
      <c r="Z528" s="17" t="n">
        <v>0</v>
      </c>
      <c r="AA528" s="17" t="s">
        <v>38</v>
      </c>
      <c r="AB528" s="17"/>
    </row>
    <row r="529" customFormat="false" ht="15" hidden="false" customHeight="false" outlineLevel="0" collapsed="false">
      <c r="A529" s="1" t="str">
        <f aca="false">OFFSET(Table22,528,14,1,1)&amp;OFFSET(Table22,528,21,1,1)</f>
        <v>43356224560863</v>
      </c>
      <c r="B529" s="1" t="str">
        <f aca="false">OFFSET(Table22,528,14,1,1)&amp;OFFSET(Table22,528,22,1,1)</f>
        <v>43356Facebook»Developers/ITPros-Azure Direct-Sponsored Post-Video Ad-FBCTCBrandinMotion_FRA_12s_RTG Landing Page»1x1»12s»VIA»ALL»CPC»BT»X»UNK»SS»NA»Trials_ID</v>
      </c>
      <c r="C529" s="1" t="s">
        <v>28</v>
      </c>
      <c r="D529" s="3" t="n">
        <f aca="false">O529+(7-WEEKDAY(O529))</f>
        <v>43358</v>
      </c>
      <c r="E529" s="1" t="str">
        <f aca="false">VLOOKUP(OFFSET(Table22,528,16,1,1),Key!B:D,2,0)</f>
        <v>France</v>
      </c>
      <c r="F529" s="1" t="str">
        <f aca="false">IF(ISNUMBER(SEARCH("Canvas",U529)),"Link",IF(ISNUMBER(SEARCH("Link",U529)),"Link","Not filled properly"))</f>
        <v>Link</v>
      </c>
      <c r="G529" s="1" t="str">
        <f aca="false">IFERROR(VLOOKUP(OFFSET(Table22,528,21,1,1),OFFSET(Table2,0,1,ROWS(Table2),8),2,0),VLOOKUP(OFFSET(Table22,528,22,1,1),Table2,3,0))</f>
        <v>FRA_gaPMG_AZR_AZR_Q1_19_AzureDirect-Trial-Social</v>
      </c>
      <c r="H529" s="1" t="n">
        <f aca="false">IFERROR(VLOOKUP(OFFSET(Table22,528,21,1,1),OFFSET(Table2,0,1,ROWS(Table2),8),3,0),VLOOKUP(OFFSET(Table22,528,22,1,1),Table2,4,0))</f>
        <v>21356941</v>
      </c>
      <c r="I529" s="2" t="n">
        <f aca="false">IFERROR(VLOOKUP(OFFSET(Table22,528,21,1,1),OFFSET(Table2,0,1,ROWS(Table2),8),4,0),VLOOKUP(OFFSET(Table22,528,22,1,1),Table2,5,0))</f>
        <v>720193</v>
      </c>
      <c r="J529" s="3" t="str">
        <f aca="false">IF(ISNUMBER(SEARCH("FACEBOOK",W529)),"Facebook",IF(ISNUMBER(SEARCH("INSTAGRAM",W529)),"Facebook-Instagram","Look at taxonomy"))</f>
        <v>Facebook</v>
      </c>
      <c r="K529" s="3" t="str">
        <f aca="false">IF(ISNUMBER(SEARCH("Facebook",J529)),"3654128","Not Facebook")</f>
        <v>3654128</v>
      </c>
      <c r="L529" s="3" t="str">
        <f aca="false">IFERROR(VLOOKUP(OFFSET(Table22,528,21,1,1),OFFSET(Table2,0,1,ROWS(Table2),8),7,0),VLOOKUP(OFFSET(Table22,528,22,1,1),Table2,8,0))</f>
        <v>AZR_FBCTCBrandinMotion_FRA_12s_VIA_AZRDirect_French_NA_Facebook_STAN_TIN_T2_1</v>
      </c>
      <c r="M529" s="2" t="n">
        <f aca="false">IFERROR(VLOOKUP(OFFSET(Table22,528,21,1,1),OFFSET(Table2,0,1,ROWS(Table2),8),8,0),VLOOKUP(OFFSET(Table22,528,22,1,1),Table2,9,0))</f>
        <v>103256577</v>
      </c>
      <c r="N529" s="15" t="s">
        <v>29</v>
      </c>
      <c r="O529" s="16" t="n">
        <v>43356</v>
      </c>
      <c r="P529" s="17" t="s">
        <v>102</v>
      </c>
      <c r="Q529" s="18" t="s">
        <v>103</v>
      </c>
      <c r="R529" s="17" t="s">
        <v>104</v>
      </c>
      <c r="S529" s="18" t="s">
        <v>33</v>
      </c>
      <c r="T529" s="17" t="s">
        <v>34</v>
      </c>
      <c r="U529" s="18" t="s">
        <v>127</v>
      </c>
      <c r="V529" s="19" t="n">
        <v>224560863</v>
      </c>
      <c r="W529" s="17" t="s">
        <v>130</v>
      </c>
      <c r="X529" s="17" t="n">
        <v>0</v>
      </c>
      <c r="Y529" s="17"/>
      <c r="Z529" s="17" t="n">
        <v>0</v>
      </c>
      <c r="AA529" s="17" t="s">
        <v>38</v>
      </c>
      <c r="AB529" s="17"/>
    </row>
    <row r="530" customFormat="false" ht="15" hidden="false" customHeight="false" outlineLevel="0" collapsed="false">
      <c r="A530" s="1" t="str">
        <f aca="false">OFFSET(Table22,529,14,1,1)&amp;OFFSET(Table22,529,21,1,1)</f>
        <v>43356224560863</v>
      </c>
      <c r="B530" s="1" t="str">
        <f aca="false">OFFSET(Table22,529,14,1,1)&amp;OFFSET(Table22,529,22,1,1)</f>
        <v>43356Facebook»Developers/ITPros-Azure Direct-Sponsored Post-Video Ad-FBCTCBrandinMotion_FRA_12s_RTG Landing Page»1x1»12s»VIA»ALL»CPC»BT»X»UNK»SS»NA»Trials_ID</v>
      </c>
      <c r="C530" s="1" t="s">
        <v>28</v>
      </c>
      <c r="D530" s="3" t="n">
        <f aca="false">O530+(7-WEEKDAY(O530))</f>
        <v>43358</v>
      </c>
      <c r="E530" s="1" t="str">
        <f aca="false">VLOOKUP(OFFSET(Table22,529,16,1,1),Key!B:D,2,0)</f>
        <v>France</v>
      </c>
      <c r="F530" s="1" t="str">
        <f aca="false">IF(ISNUMBER(SEARCH("Canvas",U530)),"Link",IF(ISNUMBER(SEARCH("Link",U530)),"Link","Not filled properly"))</f>
        <v>Link</v>
      </c>
      <c r="G530" s="1" t="str">
        <f aca="false">IFERROR(VLOOKUP(OFFSET(Table22,529,21,1,1),OFFSET(Table2,0,1,ROWS(Table2),8),2,0),VLOOKUP(OFFSET(Table22,529,22,1,1),Table2,3,0))</f>
        <v>FRA_gaPMG_AZR_AZR_Q1_19_AzureDirect-Trial-Social</v>
      </c>
      <c r="H530" s="1" t="n">
        <f aca="false">IFERROR(VLOOKUP(OFFSET(Table22,529,21,1,1),OFFSET(Table2,0,1,ROWS(Table2),8),3,0),VLOOKUP(OFFSET(Table22,529,22,1,1),Table2,4,0))</f>
        <v>21356941</v>
      </c>
      <c r="I530" s="2" t="n">
        <f aca="false">IFERROR(VLOOKUP(OFFSET(Table22,529,21,1,1),OFFSET(Table2,0,1,ROWS(Table2),8),4,0),VLOOKUP(OFFSET(Table22,529,22,1,1),Table2,5,0))</f>
        <v>720193</v>
      </c>
      <c r="J530" s="3" t="str">
        <f aca="false">IF(ISNUMBER(SEARCH("FACEBOOK",W530)),"Facebook",IF(ISNUMBER(SEARCH("INSTAGRAM",W530)),"Facebook-Instagram","Look at taxonomy"))</f>
        <v>Facebook</v>
      </c>
      <c r="K530" s="3" t="str">
        <f aca="false">IF(ISNUMBER(SEARCH("Facebook",J530)),"3654128","Not Facebook")</f>
        <v>3654128</v>
      </c>
      <c r="L530" s="3" t="str">
        <f aca="false">IFERROR(VLOOKUP(OFFSET(Table22,529,21,1,1),OFFSET(Table2,0,1,ROWS(Table2),8),7,0),VLOOKUP(OFFSET(Table22,529,22,1,1),Table2,8,0))</f>
        <v>AZR_FBCTCBrandinMotion_FRA_12s_VIA_AZRDirect_French_NA_Facebook_STAN_TIN_T2_1</v>
      </c>
      <c r="M530" s="2" t="n">
        <f aca="false">IFERROR(VLOOKUP(OFFSET(Table22,529,21,1,1),OFFSET(Table2,0,1,ROWS(Table2),8),8,0),VLOOKUP(OFFSET(Table22,529,22,1,1),Table2,9,0))</f>
        <v>103256577</v>
      </c>
      <c r="N530" s="15" t="s">
        <v>29</v>
      </c>
      <c r="O530" s="16" t="n">
        <v>43356</v>
      </c>
      <c r="P530" s="17" t="s">
        <v>102</v>
      </c>
      <c r="Q530" s="18" t="s">
        <v>103</v>
      </c>
      <c r="R530" s="17" t="s">
        <v>104</v>
      </c>
      <c r="S530" s="18" t="s">
        <v>33</v>
      </c>
      <c r="T530" s="17" t="s">
        <v>34</v>
      </c>
      <c r="U530" s="18" t="s">
        <v>127</v>
      </c>
      <c r="V530" s="19" t="n">
        <v>224560863</v>
      </c>
      <c r="W530" s="17" t="s">
        <v>130</v>
      </c>
      <c r="X530" s="17" t="n">
        <v>0</v>
      </c>
      <c r="Y530" s="17"/>
      <c r="Z530" s="17" t="n">
        <v>0</v>
      </c>
      <c r="AA530" s="17" t="s">
        <v>38</v>
      </c>
      <c r="AB530" s="17"/>
    </row>
    <row r="531" customFormat="false" ht="15" hidden="false" customHeight="false" outlineLevel="0" collapsed="false">
      <c r="A531" s="1" t="str">
        <f aca="false">OFFSET(Table22,530,14,1,1)&amp;OFFSET(Table22,530,21,1,1)</f>
        <v>43355224560863</v>
      </c>
      <c r="B531" s="1" t="str">
        <f aca="false">OFFSET(Table22,530,14,1,1)&amp;OFFSET(Table22,530,22,1,1)</f>
        <v>43355Facebook»Developers/ITPros-Azure Direct-Sponsored Post-Video Ad-FBCTCBrandinMotion_FRA_12s_RTG Landing Page»1x1»12s»VIA»ALL»CPC»BT»X»UNK»SS»NA»Trials_ID</v>
      </c>
      <c r="C531" s="1" t="s">
        <v>28</v>
      </c>
      <c r="D531" s="3" t="n">
        <f aca="false">O531+(7-WEEKDAY(O531))</f>
        <v>43358</v>
      </c>
      <c r="E531" s="1" t="str">
        <f aca="false">VLOOKUP(OFFSET(Table22,530,16,1,1),Key!B:D,2,0)</f>
        <v>France</v>
      </c>
      <c r="F531" s="1" t="str">
        <f aca="false">IF(ISNUMBER(SEARCH("Canvas",U531)),"Link",IF(ISNUMBER(SEARCH("Link",U531)),"Link","Not filled properly"))</f>
        <v>Link</v>
      </c>
      <c r="G531" s="1" t="str">
        <f aca="false">IFERROR(VLOOKUP(OFFSET(Table22,530,21,1,1),OFFSET(Table2,0,1,ROWS(Table2),8),2,0),VLOOKUP(OFFSET(Table22,530,22,1,1),Table2,3,0))</f>
        <v>FRA_gaPMG_AZR_AZR_Q1_19_AzureDirect-Trial-Social</v>
      </c>
      <c r="H531" s="1" t="n">
        <f aca="false">IFERROR(VLOOKUP(OFFSET(Table22,530,21,1,1),OFFSET(Table2,0,1,ROWS(Table2),8),3,0),VLOOKUP(OFFSET(Table22,530,22,1,1),Table2,4,0))</f>
        <v>21356941</v>
      </c>
      <c r="I531" s="2" t="n">
        <f aca="false">IFERROR(VLOOKUP(OFFSET(Table22,530,21,1,1),OFFSET(Table2,0,1,ROWS(Table2),8),4,0),VLOOKUP(OFFSET(Table22,530,22,1,1),Table2,5,0))</f>
        <v>720193</v>
      </c>
      <c r="J531" s="3" t="str">
        <f aca="false">IF(ISNUMBER(SEARCH("FACEBOOK",W531)),"Facebook",IF(ISNUMBER(SEARCH("INSTAGRAM",W531)),"Facebook-Instagram","Look at taxonomy"))</f>
        <v>Facebook</v>
      </c>
      <c r="K531" s="3" t="str">
        <f aca="false">IF(ISNUMBER(SEARCH("Facebook",J531)),"3654128","Not Facebook")</f>
        <v>3654128</v>
      </c>
      <c r="L531" s="3" t="str">
        <f aca="false">IFERROR(VLOOKUP(OFFSET(Table22,530,21,1,1),OFFSET(Table2,0,1,ROWS(Table2),8),7,0),VLOOKUP(OFFSET(Table22,530,22,1,1),Table2,8,0))</f>
        <v>AZR_FBCTCBrandinMotion_FRA_12s_VIA_AZRDirect_French_NA_Facebook_STAN_TIN_T2_1</v>
      </c>
      <c r="M531" s="2" t="n">
        <f aca="false">IFERROR(VLOOKUP(OFFSET(Table22,530,21,1,1),OFFSET(Table2,0,1,ROWS(Table2),8),8,0),VLOOKUP(OFFSET(Table22,530,22,1,1),Table2,9,0))</f>
        <v>103256577</v>
      </c>
      <c r="N531" s="15" t="s">
        <v>29</v>
      </c>
      <c r="O531" s="16" t="n">
        <v>43355</v>
      </c>
      <c r="P531" s="17" t="s">
        <v>102</v>
      </c>
      <c r="Q531" s="18" t="s">
        <v>103</v>
      </c>
      <c r="R531" s="17" t="s">
        <v>104</v>
      </c>
      <c r="S531" s="18" t="s">
        <v>33</v>
      </c>
      <c r="T531" s="17" t="s">
        <v>34</v>
      </c>
      <c r="U531" s="18" t="s">
        <v>127</v>
      </c>
      <c r="V531" s="19" t="n">
        <v>224560863</v>
      </c>
      <c r="W531" s="17" t="s">
        <v>130</v>
      </c>
      <c r="X531" s="17" t="n">
        <v>0</v>
      </c>
      <c r="Y531" s="17"/>
      <c r="Z531" s="17" t="n">
        <v>0</v>
      </c>
      <c r="AA531" s="17" t="s">
        <v>38</v>
      </c>
      <c r="AB531" s="17"/>
    </row>
    <row r="532" customFormat="false" ht="15" hidden="false" customHeight="false" outlineLevel="0" collapsed="false">
      <c r="A532" s="1" t="str">
        <f aca="false">OFFSET(Table22,531,14,1,1)&amp;OFFSET(Table22,531,21,1,1)</f>
        <v>43355224560863</v>
      </c>
      <c r="B532" s="1" t="str">
        <f aca="false">OFFSET(Table22,531,14,1,1)&amp;OFFSET(Table22,531,22,1,1)</f>
        <v>43355Facebook»Developers/ITPros-Azure Direct-Sponsored Post-Video Ad-FBCTCBrandinMotion_FRA_12s_RTG Landing Page»1x1»12s»VIA»ALL»CPC»BT»X»UNK»SS»NA»Trials_ID</v>
      </c>
      <c r="C532" s="1" t="s">
        <v>28</v>
      </c>
      <c r="D532" s="3" t="n">
        <f aca="false">O532+(7-WEEKDAY(O532))</f>
        <v>43358</v>
      </c>
      <c r="E532" s="1" t="str">
        <f aca="false">VLOOKUP(OFFSET(Table22,531,16,1,1),Key!B:D,2,0)</f>
        <v>France</v>
      </c>
      <c r="F532" s="1" t="str">
        <f aca="false">IF(ISNUMBER(SEARCH("Canvas",U532)),"Link",IF(ISNUMBER(SEARCH("Link",U532)),"Link","Not filled properly"))</f>
        <v>Link</v>
      </c>
      <c r="G532" s="1" t="str">
        <f aca="false">IFERROR(VLOOKUP(OFFSET(Table22,531,21,1,1),OFFSET(Table2,0,1,ROWS(Table2),8),2,0),VLOOKUP(OFFSET(Table22,531,22,1,1),Table2,3,0))</f>
        <v>FRA_gaPMG_AZR_AZR_Q1_19_AzureDirect-Trial-Social</v>
      </c>
      <c r="H532" s="1" t="n">
        <f aca="false">IFERROR(VLOOKUP(OFFSET(Table22,531,21,1,1),OFFSET(Table2,0,1,ROWS(Table2),8),3,0),VLOOKUP(OFFSET(Table22,531,22,1,1),Table2,4,0))</f>
        <v>21356941</v>
      </c>
      <c r="I532" s="2" t="n">
        <f aca="false">IFERROR(VLOOKUP(OFFSET(Table22,531,21,1,1),OFFSET(Table2,0,1,ROWS(Table2),8),4,0),VLOOKUP(OFFSET(Table22,531,22,1,1),Table2,5,0))</f>
        <v>720193</v>
      </c>
      <c r="J532" s="3" t="str">
        <f aca="false">IF(ISNUMBER(SEARCH("FACEBOOK",W532)),"Facebook",IF(ISNUMBER(SEARCH("INSTAGRAM",W532)),"Facebook-Instagram","Look at taxonomy"))</f>
        <v>Facebook</v>
      </c>
      <c r="K532" s="3" t="str">
        <f aca="false">IF(ISNUMBER(SEARCH("Facebook",J532)),"3654128","Not Facebook")</f>
        <v>3654128</v>
      </c>
      <c r="L532" s="3" t="str">
        <f aca="false">IFERROR(VLOOKUP(OFFSET(Table22,531,21,1,1),OFFSET(Table2,0,1,ROWS(Table2),8),7,0),VLOOKUP(OFFSET(Table22,531,22,1,1),Table2,8,0))</f>
        <v>AZR_FBCTCBrandinMotion_FRA_12s_VIA_AZRDirect_French_NA_Facebook_STAN_TIN_T2_1</v>
      </c>
      <c r="M532" s="2" t="n">
        <f aca="false">IFERROR(VLOOKUP(OFFSET(Table22,531,21,1,1),OFFSET(Table2,0,1,ROWS(Table2),8),8,0),VLOOKUP(OFFSET(Table22,531,22,1,1),Table2,9,0))</f>
        <v>103256577</v>
      </c>
      <c r="N532" s="15" t="s">
        <v>29</v>
      </c>
      <c r="O532" s="16" t="n">
        <v>43355</v>
      </c>
      <c r="P532" s="17" t="s">
        <v>102</v>
      </c>
      <c r="Q532" s="18" t="s">
        <v>103</v>
      </c>
      <c r="R532" s="17" t="s">
        <v>104</v>
      </c>
      <c r="S532" s="18" t="s">
        <v>33</v>
      </c>
      <c r="T532" s="17" t="s">
        <v>34</v>
      </c>
      <c r="U532" s="18" t="s">
        <v>127</v>
      </c>
      <c r="V532" s="19" t="n">
        <v>224560863</v>
      </c>
      <c r="W532" s="17" t="s">
        <v>130</v>
      </c>
      <c r="X532" s="17" t="n">
        <v>0</v>
      </c>
      <c r="Y532" s="17"/>
      <c r="Z532" s="17" t="n">
        <v>0</v>
      </c>
      <c r="AA532" s="17" t="s">
        <v>38</v>
      </c>
      <c r="AB532" s="17"/>
    </row>
    <row r="533" customFormat="false" ht="15" hidden="false" customHeight="false" outlineLevel="0" collapsed="false">
      <c r="A533" s="1" t="str">
        <f aca="false">OFFSET(Table22,532,14,1,1)&amp;OFFSET(Table22,532,21,1,1)</f>
        <v>43355224560863</v>
      </c>
      <c r="B533" s="1" t="str">
        <f aca="false">OFFSET(Table22,532,14,1,1)&amp;OFFSET(Table22,532,22,1,1)</f>
        <v>43355Facebook»Developers/ITPros-Azure Direct-Sponsored Post-Video Ad-FBCTCBrandinMotion_FRA_12s_RTG Landing Page»1x1»12s»VIA»ALL»CPC»BT»X»UNK»SS»NA»Trials_ID</v>
      </c>
      <c r="C533" s="1" t="s">
        <v>28</v>
      </c>
      <c r="D533" s="3" t="n">
        <f aca="false">O533+(7-WEEKDAY(O533))</f>
        <v>43358</v>
      </c>
      <c r="E533" s="1" t="str">
        <f aca="false">VLOOKUP(OFFSET(Table22,532,16,1,1),Key!B:D,2,0)</f>
        <v>France</v>
      </c>
      <c r="F533" s="1" t="str">
        <f aca="false">IF(ISNUMBER(SEARCH("Canvas",U533)),"Link",IF(ISNUMBER(SEARCH("Link",U533)),"Link","Not filled properly"))</f>
        <v>Link</v>
      </c>
      <c r="G533" s="1" t="str">
        <f aca="false">IFERROR(VLOOKUP(OFFSET(Table22,532,21,1,1),OFFSET(Table2,0,1,ROWS(Table2),8),2,0),VLOOKUP(OFFSET(Table22,532,22,1,1),Table2,3,0))</f>
        <v>FRA_gaPMG_AZR_AZR_Q1_19_AzureDirect-Trial-Social</v>
      </c>
      <c r="H533" s="1" t="n">
        <f aca="false">IFERROR(VLOOKUP(OFFSET(Table22,532,21,1,1),OFFSET(Table2,0,1,ROWS(Table2),8),3,0),VLOOKUP(OFFSET(Table22,532,22,1,1),Table2,4,0))</f>
        <v>21356941</v>
      </c>
      <c r="I533" s="2" t="n">
        <f aca="false">IFERROR(VLOOKUP(OFFSET(Table22,532,21,1,1),OFFSET(Table2,0,1,ROWS(Table2),8),4,0),VLOOKUP(OFFSET(Table22,532,22,1,1),Table2,5,0))</f>
        <v>720193</v>
      </c>
      <c r="J533" s="3" t="str">
        <f aca="false">IF(ISNUMBER(SEARCH("FACEBOOK",W533)),"Facebook",IF(ISNUMBER(SEARCH("INSTAGRAM",W533)),"Facebook-Instagram","Look at taxonomy"))</f>
        <v>Facebook</v>
      </c>
      <c r="K533" s="3" t="str">
        <f aca="false">IF(ISNUMBER(SEARCH("Facebook",J533)),"3654128","Not Facebook")</f>
        <v>3654128</v>
      </c>
      <c r="L533" s="3" t="str">
        <f aca="false">IFERROR(VLOOKUP(OFFSET(Table22,532,21,1,1),OFFSET(Table2,0,1,ROWS(Table2),8),7,0),VLOOKUP(OFFSET(Table22,532,22,1,1),Table2,8,0))</f>
        <v>AZR_FBCTCBrandinMotion_FRA_12s_VIA_AZRDirect_French_NA_Facebook_STAN_TIN_T2_1</v>
      </c>
      <c r="M533" s="2" t="n">
        <f aca="false">IFERROR(VLOOKUP(OFFSET(Table22,532,21,1,1),OFFSET(Table2,0,1,ROWS(Table2),8),8,0),VLOOKUP(OFFSET(Table22,532,22,1,1),Table2,9,0))</f>
        <v>103256577</v>
      </c>
      <c r="N533" s="15" t="s">
        <v>29</v>
      </c>
      <c r="O533" s="16" t="n">
        <v>43355</v>
      </c>
      <c r="P533" s="17" t="s">
        <v>102</v>
      </c>
      <c r="Q533" s="18" t="s">
        <v>103</v>
      </c>
      <c r="R533" s="17" t="s">
        <v>104</v>
      </c>
      <c r="S533" s="18" t="s">
        <v>33</v>
      </c>
      <c r="T533" s="17" t="s">
        <v>34</v>
      </c>
      <c r="U533" s="18" t="s">
        <v>127</v>
      </c>
      <c r="V533" s="19" t="n">
        <v>224560863</v>
      </c>
      <c r="W533" s="17" t="s">
        <v>130</v>
      </c>
      <c r="X533" s="17" t="n">
        <v>0</v>
      </c>
      <c r="Y533" s="17"/>
      <c r="Z533" s="17" t="n">
        <v>0</v>
      </c>
      <c r="AA533" s="17" t="s">
        <v>38</v>
      </c>
      <c r="AB533" s="17"/>
    </row>
    <row r="534" customFormat="false" ht="15" hidden="false" customHeight="false" outlineLevel="0" collapsed="false">
      <c r="A534" s="1" t="str">
        <f aca="false">OFFSET(Table22,533,14,1,1)&amp;OFFSET(Table22,533,21,1,1)</f>
        <v>43355224560863</v>
      </c>
      <c r="B534" s="1" t="str">
        <f aca="false">OFFSET(Table22,533,14,1,1)&amp;OFFSET(Table22,533,22,1,1)</f>
        <v>43355Facebook»Developers/ITPros-Azure Direct-Sponsored Post-Video Ad-FBCTCBrandinMotion_FRA_12s_RTG Landing Page»1x1»12s»VIA»ALL»CPC»BT»X»UNK»SS»NA»Trials_ID</v>
      </c>
      <c r="C534" s="1" t="s">
        <v>28</v>
      </c>
      <c r="D534" s="3" t="n">
        <f aca="false">O534+(7-WEEKDAY(O534))</f>
        <v>43358</v>
      </c>
      <c r="E534" s="1" t="str">
        <f aca="false">VLOOKUP(OFFSET(Table22,533,16,1,1),Key!B:D,2,0)</f>
        <v>France</v>
      </c>
      <c r="F534" s="1" t="str">
        <f aca="false">IF(ISNUMBER(SEARCH("Canvas",U534)),"Link",IF(ISNUMBER(SEARCH("Link",U534)),"Link","Not filled properly"))</f>
        <v>Link</v>
      </c>
      <c r="G534" s="1" t="str">
        <f aca="false">IFERROR(VLOOKUP(OFFSET(Table22,533,21,1,1),OFFSET(Table2,0,1,ROWS(Table2),8),2,0),VLOOKUP(OFFSET(Table22,533,22,1,1),Table2,3,0))</f>
        <v>FRA_gaPMG_AZR_AZR_Q1_19_AzureDirect-Trial-Social</v>
      </c>
      <c r="H534" s="1" t="n">
        <f aca="false">IFERROR(VLOOKUP(OFFSET(Table22,533,21,1,1),OFFSET(Table2,0,1,ROWS(Table2),8),3,0),VLOOKUP(OFFSET(Table22,533,22,1,1),Table2,4,0))</f>
        <v>21356941</v>
      </c>
      <c r="I534" s="2" t="n">
        <f aca="false">IFERROR(VLOOKUP(OFFSET(Table22,533,21,1,1),OFFSET(Table2,0,1,ROWS(Table2),8),4,0),VLOOKUP(OFFSET(Table22,533,22,1,1),Table2,5,0))</f>
        <v>720193</v>
      </c>
      <c r="J534" s="3" t="str">
        <f aca="false">IF(ISNUMBER(SEARCH("FACEBOOK",W534)),"Facebook",IF(ISNUMBER(SEARCH("INSTAGRAM",W534)),"Facebook-Instagram","Look at taxonomy"))</f>
        <v>Facebook</v>
      </c>
      <c r="K534" s="3" t="str">
        <f aca="false">IF(ISNUMBER(SEARCH("Facebook",J534)),"3654128","Not Facebook")</f>
        <v>3654128</v>
      </c>
      <c r="L534" s="3" t="str">
        <f aca="false">IFERROR(VLOOKUP(OFFSET(Table22,533,21,1,1),OFFSET(Table2,0,1,ROWS(Table2),8),7,0),VLOOKUP(OFFSET(Table22,533,22,1,1),Table2,8,0))</f>
        <v>AZR_FBCTCBrandinMotion_FRA_12s_VIA_AZRDirect_French_NA_Facebook_STAN_TIN_T2_1</v>
      </c>
      <c r="M534" s="2" t="n">
        <f aca="false">IFERROR(VLOOKUP(OFFSET(Table22,533,21,1,1),OFFSET(Table2,0,1,ROWS(Table2),8),8,0),VLOOKUP(OFFSET(Table22,533,22,1,1),Table2,9,0))</f>
        <v>103256577</v>
      </c>
      <c r="N534" s="15" t="s">
        <v>29</v>
      </c>
      <c r="O534" s="16" t="n">
        <v>43355</v>
      </c>
      <c r="P534" s="17" t="s">
        <v>102</v>
      </c>
      <c r="Q534" s="18" t="s">
        <v>103</v>
      </c>
      <c r="R534" s="17" t="s">
        <v>104</v>
      </c>
      <c r="S534" s="18" t="s">
        <v>33</v>
      </c>
      <c r="T534" s="17" t="s">
        <v>34</v>
      </c>
      <c r="U534" s="18" t="s">
        <v>127</v>
      </c>
      <c r="V534" s="19" t="n">
        <v>224560863</v>
      </c>
      <c r="W534" s="17" t="s">
        <v>130</v>
      </c>
      <c r="X534" s="17" t="n">
        <v>0</v>
      </c>
      <c r="Y534" s="17"/>
      <c r="Z534" s="17" t="n">
        <v>0</v>
      </c>
      <c r="AA534" s="17" t="s">
        <v>38</v>
      </c>
      <c r="AB534" s="17"/>
    </row>
    <row r="535" customFormat="false" ht="15" hidden="false" customHeight="false" outlineLevel="0" collapsed="false">
      <c r="A535" s="1" t="str">
        <f aca="false">OFFSET(Table22,534,14,1,1)&amp;OFFSET(Table22,534,21,1,1)</f>
        <v>43354224560863</v>
      </c>
      <c r="B535" s="1" t="str">
        <f aca="false">OFFSET(Table22,534,14,1,1)&amp;OFFSET(Table22,534,22,1,1)</f>
        <v>43354Facebook»Developers/ITPros-Azure Direct-Sponsored Post-Video Ad-FBCTCBrandinMotion_FRA_12s_RTG Landing Page»1x1»12s»VIA»ALL»CPC»BT»X»UNK»SS»NA»Trials_ID</v>
      </c>
      <c r="C535" s="1" t="s">
        <v>28</v>
      </c>
      <c r="D535" s="3" t="n">
        <f aca="false">O535+(7-WEEKDAY(O535))</f>
        <v>43358</v>
      </c>
      <c r="E535" s="1" t="str">
        <f aca="false">VLOOKUP(OFFSET(Table22,534,16,1,1),Key!B:D,2,0)</f>
        <v>France</v>
      </c>
      <c r="F535" s="1" t="str">
        <f aca="false">IF(ISNUMBER(SEARCH("Canvas",U535)),"Link",IF(ISNUMBER(SEARCH("Link",U535)),"Link","Not filled properly"))</f>
        <v>Link</v>
      </c>
      <c r="G535" s="1" t="str">
        <f aca="false">IFERROR(VLOOKUP(OFFSET(Table22,534,21,1,1),OFFSET(Table2,0,1,ROWS(Table2),8),2,0),VLOOKUP(OFFSET(Table22,534,22,1,1),Table2,3,0))</f>
        <v>FRA_gaPMG_AZR_AZR_Q1_19_AzureDirect-Trial-Social</v>
      </c>
      <c r="H535" s="1" t="n">
        <f aca="false">IFERROR(VLOOKUP(OFFSET(Table22,534,21,1,1),OFFSET(Table2,0,1,ROWS(Table2),8),3,0),VLOOKUP(OFFSET(Table22,534,22,1,1),Table2,4,0))</f>
        <v>21356941</v>
      </c>
      <c r="I535" s="2" t="n">
        <f aca="false">IFERROR(VLOOKUP(OFFSET(Table22,534,21,1,1),OFFSET(Table2,0,1,ROWS(Table2),8),4,0),VLOOKUP(OFFSET(Table22,534,22,1,1),Table2,5,0))</f>
        <v>720193</v>
      </c>
      <c r="J535" s="3" t="str">
        <f aca="false">IF(ISNUMBER(SEARCH("FACEBOOK",W535)),"Facebook",IF(ISNUMBER(SEARCH("INSTAGRAM",W535)),"Facebook-Instagram","Look at taxonomy"))</f>
        <v>Facebook</v>
      </c>
      <c r="K535" s="3" t="str">
        <f aca="false">IF(ISNUMBER(SEARCH("Facebook",J535)),"3654128","Not Facebook")</f>
        <v>3654128</v>
      </c>
      <c r="L535" s="3" t="str">
        <f aca="false">IFERROR(VLOOKUP(OFFSET(Table22,534,21,1,1),OFFSET(Table2,0,1,ROWS(Table2),8),7,0),VLOOKUP(OFFSET(Table22,534,22,1,1),Table2,8,0))</f>
        <v>AZR_FBCTCBrandinMotion_FRA_12s_VIA_AZRDirect_French_NA_Facebook_STAN_TIN_T2_1</v>
      </c>
      <c r="M535" s="2" t="n">
        <f aca="false">IFERROR(VLOOKUP(OFFSET(Table22,534,21,1,1),OFFSET(Table2,0,1,ROWS(Table2),8),8,0),VLOOKUP(OFFSET(Table22,534,22,1,1),Table2,9,0))</f>
        <v>103256577</v>
      </c>
      <c r="N535" s="15" t="s">
        <v>29</v>
      </c>
      <c r="O535" s="16" t="n">
        <v>43354</v>
      </c>
      <c r="P535" s="17" t="s">
        <v>102</v>
      </c>
      <c r="Q535" s="18" t="s">
        <v>103</v>
      </c>
      <c r="R535" s="17" t="s">
        <v>104</v>
      </c>
      <c r="S535" s="18" t="s">
        <v>33</v>
      </c>
      <c r="T535" s="17" t="s">
        <v>34</v>
      </c>
      <c r="U535" s="18" t="s">
        <v>127</v>
      </c>
      <c r="V535" s="19" t="n">
        <v>224560863</v>
      </c>
      <c r="W535" s="17" t="s">
        <v>130</v>
      </c>
      <c r="X535" s="17" t="n">
        <v>0</v>
      </c>
      <c r="Y535" s="17"/>
      <c r="Z535" s="17" t="n">
        <v>0</v>
      </c>
      <c r="AA535" s="17" t="s">
        <v>38</v>
      </c>
      <c r="AB535" s="17"/>
    </row>
    <row r="536" customFormat="false" ht="15" hidden="false" customHeight="false" outlineLevel="0" collapsed="false">
      <c r="A536" s="1" t="str">
        <f aca="false">OFFSET(Table22,535,14,1,1)&amp;OFFSET(Table22,535,21,1,1)</f>
        <v>43354224560863</v>
      </c>
      <c r="B536" s="1" t="str">
        <f aca="false">OFFSET(Table22,535,14,1,1)&amp;OFFSET(Table22,535,22,1,1)</f>
        <v>43354Facebook»Developers/ITPros-Azure Direct-Sponsored Post-Video Ad-FBCTCBrandinMotion_FRA_12s_RTG Landing Page»1x1»12s»VIA»ALL»CPC»BT»X»UNK»SS»NA»Trials_ID</v>
      </c>
      <c r="C536" s="1" t="s">
        <v>28</v>
      </c>
      <c r="D536" s="3" t="n">
        <f aca="false">O536+(7-WEEKDAY(O536))</f>
        <v>43358</v>
      </c>
      <c r="E536" s="1" t="str">
        <f aca="false">VLOOKUP(OFFSET(Table22,535,16,1,1),Key!B:D,2,0)</f>
        <v>France</v>
      </c>
      <c r="F536" s="1" t="str">
        <f aca="false">IF(ISNUMBER(SEARCH("Canvas",U536)),"Link",IF(ISNUMBER(SEARCH("Link",U536)),"Link","Not filled properly"))</f>
        <v>Link</v>
      </c>
      <c r="G536" s="1" t="str">
        <f aca="false">IFERROR(VLOOKUP(OFFSET(Table22,535,21,1,1),OFFSET(Table2,0,1,ROWS(Table2),8),2,0),VLOOKUP(OFFSET(Table22,535,22,1,1),Table2,3,0))</f>
        <v>FRA_gaPMG_AZR_AZR_Q1_19_AzureDirect-Trial-Social</v>
      </c>
      <c r="H536" s="1" t="n">
        <f aca="false">IFERROR(VLOOKUP(OFFSET(Table22,535,21,1,1),OFFSET(Table2,0,1,ROWS(Table2),8),3,0),VLOOKUP(OFFSET(Table22,535,22,1,1),Table2,4,0))</f>
        <v>21356941</v>
      </c>
      <c r="I536" s="2" t="n">
        <f aca="false">IFERROR(VLOOKUP(OFFSET(Table22,535,21,1,1),OFFSET(Table2,0,1,ROWS(Table2),8),4,0),VLOOKUP(OFFSET(Table22,535,22,1,1),Table2,5,0))</f>
        <v>720193</v>
      </c>
      <c r="J536" s="3" t="str">
        <f aca="false">IF(ISNUMBER(SEARCH("FACEBOOK",W536)),"Facebook",IF(ISNUMBER(SEARCH("INSTAGRAM",W536)),"Facebook-Instagram","Look at taxonomy"))</f>
        <v>Facebook</v>
      </c>
      <c r="K536" s="3" t="str">
        <f aca="false">IF(ISNUMBER(SEARCH("Facebook",J536)),"3654128","Not Facebook")</f>
        <v>3654128</v>
      </c>
      <c r="L536" s="3" t="str">
        <f aca="false">IFERROR(VLOOKUP(OFFSET(Table22,535,21,1,1),OFFSET(Table2,0,1,ROWS(Table2),8),7,0),VLOOKUP(OFFSET(Table22,535,22,1,1),Table2,8,0))</f>
        <v>AZR_FBCTCBrandinMotion_FRA_12s_VIA_AZRDirect_French_NA_Facebook_STAN_TIN_T2_1</v>
      </c>
      <c r="M536" s="2" t="n">
        <f aca="false">IFERROR(VLOOKUP(OFFSET(Table22,535,21,1,1),OFFSET(Table2,0,1,ROWS(Table2),8),8,0),VLOOKUP(OFFSET(Table22,535,22,1,1),Table2,9,0))</f>
        <v>103256577</v>
      </c>
      <c r="N536" s="15" t="s">
        <v>29</v>
      </c>
      <c r="O536" s="16" t="n">
        <v>43354</v>
      </c>
      <c r="P536" s="17" t="s">
        <v>102</v>
      </c>
      <c r="Q536" s="18" t="s">
        <v>103</v>
      </c>
      <c r="R536" s="17" t="s">
        <v>104</v>
      </c>
      <c r="S536" s="18" t="s">
        <v>33</v>
      </c>
      <c r="T536" s="17" t="s">
        <v>34</v>
      </c>
      <c r="U536" s="18" t="s">
        <v>127</v>
      </c>
      <c r="V536" s="19" t="n">
        <v>224560863</v>
      </c>
      <c r="W536" s="17" t="s">
        <v>130</v>
      </c>
      <c r="X536" s="17" t="n">
        <v>0</v>
      </c>
      <c r="Y536" s="17"/>
      <c r="Z536" s="17" t="n">
        <v>0</v>
      </c>
      <c r="AA536" s="17" t="s">
        <v>38</v>
      </c>
      <c r="AB536" s="17"/>
    </row>
    <row r="537" customFormat="false" ht="15" hidden="false" customHeight="false" outlineLevel="0" collapsed="false">
      <c r="A537" s="1" t="str">
        <f aca="false">OFFSET(Table22,536,14,1,1)&amp;OFFSET(Table22,536,21,1,1)</f>
        <v>43354224560863</v>
      </c>
      <c r="B537" s="1" t="str">
        <f aca="false">OFFSET(Table22,536,14,1,1)&amp;OFFSET(Table22,536,22,1,1)</f>
        <v>43354Facebook»Developers/ITPros-Azure Direct-Sponsored Post-Video Ad-FBCTCBrandinMotion_FRA_12s_RTG Landing Page»1x1»12s»VIA»ALL»CPC»BT»X»UNK»SS»NA»Trials_ID</v>
      </c>
      <c r="C537" s="1" t="s">
        <v>28</v>
      </c>
      <c r="D537" s="3" t="n">
        <f aca="false">O537+(7-WEEKDAY(O537))</f>
        <v>43358</v>
      </c>
      <c r="E537" s="1" t="str">
        <f aca="false">VLOOKUP(OFFSET(Table22,536,16,1,1),Key!B:D,2,0)</f>
        <v>France</v>
      </c>
      <c r="F537" s="1" t="str">
        <f aca="false">IF(ISNUMBER(SEARCH("Canvas",U537)),"Link",IF(ISNUMBER(SEARCH("Link",U537)),"Link","Not filled properly"))</f>
        <v>Link</v>
      </c>
      <c r="G537" s="1" t="str">
        <f aca="false">IFERROR(VLOOKUP(OFFSET(Table22,536,21,1,1),OFFSET(Table2,0,1,ROWS(Table2),8),2,0),VLOOKUP(OFFSET(Table22,536,22,1,1),Table2,3,0))</f>
        <v>FRA_gaPMG_AZR_AZR_Q1_19_AzureDirect-Trial-Social</v>
      </c>
      <c r="H537" s="1" t="n">
        <f aca="false">IFERROR(VLOOKUP(OFFSET(Table22,536,21,1,1),OFFSET(Table2,0,1,ROWS(Table2),8),3,0),VLOOKUP(OFFSET(Table22,536,22,1,1),Table2,4,0))</f>
        <v>21356941</v>
      </c>
      <c r="I537" s="2" t="n">
        <f aca="false">IFERROR(VLOOKUP(OFFSET(Table22,536,21,1,1),OFFSET(Table2,0,1,ROWS(Table2),8),4,0),VLOOKUP(OFFSET(Table22,536,22,1,1),Table2,5,0))</f>
        <v>720193</v>
      </c>
      <c r="J537" s="3" t="str">
        <f aca="false">IF(ISNUMBER(SEARCH("FACEBOOK",W537)),"Facebook",IF(ISNUMBER(SEARCH("INSTAGRAM",W537)),"Facebook-Instagram","Look at taxonomy"))</f>
        <v>Facebook</v>
      </c>
      <c r="K537" s="3" t="str">
        <f aca="false">IF(ISNUMBER(SEARCH("Facebook",J537)),"3654128","Not Facebook")</f>
        <v>3654128</v>
      </c>
      <c r="L537" s="3" t="str">
        <f aca="false">IFERROR(VLOOKUP(OFFSET(Table22,536,21,1,1),OFFSET(Table2,0,1,ROWS(Table2),8),7,0),VLOOKUP(OFFSET(Table22,536,22,1,1),Table2,8,0))</f>
        <v>AZR_FBCTCBrandinMotion_FRA_12s_VIA_AZRDirect_French_NA_Facebook_STAN_TIN_T2_1</v>
      </c>
      <c r="M537" s="2" t="n">
        <f aca="false">IFERROR(VLOOKUP(OFFSET(Table22,536,21,1,1),OFFSET(Table2,0,1,ROWS(Table2),8),8,0),VLOOKUP(OFFSET(Table22,536,22,1,1),Table2,9,0))</f>
        <v>103256577</v>
      </c>
      <c r="N537" s="15" t="s">
        <v>29</v>
      </c>
      <c r="O537" s="16" t="n">
        <v>43354</v>
      </c>
      <c r="P537" s="17" t="s">
        <v>102</v>
      </c>
      <c r="Q537" s="18" t="s">
        <v>103</v>
      </c>
      <c r="R537" s="17" t="s">
        <v>104</v>
      </c>
      <c r="S537" s="18" t="s">
        <v>33</v>
      </c>
      <c r="T537" s="17" t="s">
        <v>34</v>
      </c>
      <c r="U537" s="18" t="s">
        <v>127</v>
      </c>
      <c r="V537" s="19" t="n">
        <v>224560863</v>
      </c>
      <c r="W537" s="17" t="s">
        <v>130</v>
      </c>
      <c r="X537" s="17" t="n">
        <v>0</v>
      </c>
      <c r="Y537" s="17"/>
      <c r="Z537" s="17" t="n">
        <v>0</v>
      </c>
      <c r="AA537" s="17" t="s">
        <v>38</v>
      </c>
      <c r="AB537" s="17"/>
    </row>
    <row r="538" customFormat="false" ht="15" hidden="false" customHeight="false" outlineLevel="0" collapsed="false">
      <c r="A538" s="1" t="str">
        <f aca="false">OFFSET(Table22,537,14,1,1)&amp;OFFSET(Table22,537,21,1,1)</f>
        <v>43354224560863</v>
      </c>
      <c r="B538" s="1" t="str">
        <f aca="false">OFFSET(Table22,537,14,1,1)&amp;OFFSET(Table22,537,22,1,1)</f>
        <v>43354Facebook»Developers/ITPros-Azure Direct-Sponsored Post-Video Ad-FBCTCBrandinMotion_FRA_12s_RTG Landing Page»1x1»12s»VIA»ALL»CPC»BT»X»UNK»SS»NA»Trials_ID</v>
      </c>
      <c r="C538" s="1" t="s">
        <v>28</v>
      </c>
      <c r="D538" s="3" t="n">
        <f aca="false">O538+(7-WEEKDAY(O538))</f>
        <v>43358</v>
      </c>
      <c r="E538" s="1" t="str">
        <f aca="false">VLOOKUP(OFFSET(Table22,537,16,1,1),Key!B:D,2,0)</f>
        <v>France</v>
      </c>
      <c r="F538" s="1" t="str">
        <f aca="false">IF(ISNUMBER(SEARCH("Canvas",U538)),"Link",IF(ISNUMBER(SEARCH("Link",U538)),"Link","Not filled properly"))</f>
        <v>Link</v>
      </c>
      <c r="G538" s="1" t="str">
        <f aca="false">IFERROR(VLOOKUP(OFFSET(Table22,537,21,1,1),OFFSET(Table2,0,1,ROWS(Table2),8),2,0),VLOOKUP(OFFSET(Table22,537,22,1,1),Table2,3,0))</f>
        <v>FRA_gaPMG_AZR_AZR_Q1_19_AzureDirect-Trial-Social</v>
      </c>
      <c r="H538" s="1" t="n">
        <f aca="false">IFERROR(VLOOKUP(OFFSET(Table22,537,21,1,1),OFFSET(Table2,0,1,ROWS(Table2),8),3,0),VLOOKUP(OFFSET(Table22,537,22,1,1),Table2,4,0))</f>
        <v>21356941</v>
      </c>
      <c r="I538" s="2" t="n">
        <f aca="false">IFERROR(VLOOKUP(OFFSET(Table22,537,21,1,1),OFFSET(Table2,0,1,ROWS(Table2),8),4,0),VLOOKUP(OFFSET(Table22,537,22,1,1),Table2,5,0))</f>
        <v>720193</v>
      </c>
      <c r="J538" s="3" t="str">
        <f aca="false">IF(ISNUMBER(SEARCH("FACEBOOK",W538)),"Facebook",IF(ISNUMBER(SEARCH("INSTAGRAM",W538)),"Facebook-Instagram","Look at taxonomy"))</f>
        <v>Facebook</v>
      </c>
      <c r="K538" s="3" t="str">
        <f aca="false">IF(ISNUMBER(SEARCH("Facebook",J538)),"3654128","Not Facebook")</f>
        <v>3654128</v>
      </c>
      <c r="L538" s="3" t="str">
        <f aca="false">IFERROR(VLOOKUP(OFFSET(Table22,537,21,1,1),OFFSET(Table2,0,1,ROWS(Table2),8),7,0),VLOOKUP(OFFSET(Table22,537,22,1,1),Table2,8,0))</f>
        <v>AZR_FBCTCBrandinMotion_FRA_12s_VIA_AZRDirect_French_NA_Facebook_STAN_TIN_T2_1</v>
      </c>
      <c r="M538" s="2" t="n">
        <f aca="false">IFERROR(VLOOKUP(OFFSET(Table22,537,21,1,1),OFFSET(Table2,0,1,ROWS(Table2),8),8,0),VLOOKUP(OFFSET(Table22,537,22,1,1),Table2,9,0))</f>
        <v>103256577</v>
      </c>
      <c r="N538" s="15" t="s">
        <v>29</v>
      </c>
      <c r="O538" s="16" t="n">
        <v>43354</v>
      </c>
      <c r="P538" s="17" t="s">
        <v>102</v>
      </c>
      <c r="Q538" s="18" t="s">
        <v>103</v>
      </c>
      <c r="R538" s="17" t="s">
        <v>104</v>
      </c>
      <c r="S538" s="18" t="s">
        <v>33</v>
      </c>
      <c r="T538" s="17" t="s">
        <v>34</v>
      </c>
      <c r="U538" s="18" t="s">
        <v>127</v>
      </c>
      <c r="V538" s="19" t="n">
        <v>224560863</v>
      </c>
      <c r="W538" s="17" t="s">
        <v>130</v>
      </c>
      <c r="X538" s="17" t="n">
        <v>0</v>
      </c>
      <c r="Y538" s="17"/>
      <c r="Z538" s="17" t="n">
        <v>0</v>
      </c>
      <c r="AA538" s="17" t="s">
        <v>38</v>
      </c>
      <c r="AB538" s="17"/>
    </row>
    <row r="539" customFormat="false" ht="15" hidden="false" customHeight="false" outlineLevel="0" collapsed="false">
      <c r="A539" s="1" t="str">
        <f aca="false">OFFSET(Table22,538,14,1,1)&amp;OFFSET(Table22,538,21,1,1)</f>
        <v>43353224560863</v>
      </c>
      <c r="B539" s="1" t="str">
        <f aca="false">OFFSET(Table22,538,14,1,1)&amp;OFFSET(Table22,538,22,1,1)</f>
        <v>43353Facebook»Developers/ITPros-Azure Direct-Sponsored Post-Video Ad-FBCTCBrandinMotion_FRA_12s_RTG Landing Page»1x1»12s»VIA»ALL»CPC»BT»X»UNK»SS»NA»Trials_ID</v>
      </c>
      <c r="C539" s="1" t="s">
        <v>28</v>
      </c>
      <c r="D539" s="3" t="n">
        <f aca="false">O539+(7-WEEKDAY(O539))</f>
        <v>43358</v>
      </c>
      <c r="E539" s="1" t="str">
        <f aca="false">VLOOKUP(OFFSET(Table22,538,16,1,1),Key!B:D,2,0)</f>
        <v>France</v>
      </c>
      <c r="F539" s="1" t="str">
        <f aca="false">IF(ISNUMBER(SEARCH("Canvas",U539)),"Link",IF(ISNUMBER(SEARCH("Link",U539)),"Link","Not filled properly"))</f>
        <v>Link</v>
      </c>
      <c r="G539" s="1" t="str">
        <f aca="false">IFERROR(VLOOKUP(OFFSET(Table22,538,21,1,1),OFFSET(Table2,0,1,ROWS(Table2),8),2,0),VLOOKUP(OFFSET(Table22,538,22,1,1),Table2,3,0))</f>
        <v>FRA_gaPMG_AZR_AZR_Q1_19_AzureDirect-Trial-Social</v>
      </c>
      <c r="H539" s="1" t="n">
        <f aca="false">IFERROR(VLOOKUP(OFFSET(Table22,538,21,1,1),OFFSET(Table2,0,1,ROWS(Table2),8),3,0),VLOOKUP(OFFSET(Table22,538,22,1,1),Table2,4,0))</f>
        <v>21356941</v>
      </c>
      <c r="I539" s="2" t="n">
        <f aca="false">IFERROR(VLOOKUP(OFFSET(Table22,538,21,1,1),OFFSET(Table2,0,1,ROWS(Table2),8),4,0),VLOOKUP(OFFSET(Table22,538,22,1,1),Table2,5,0))</f>
        <v>720193</v>
      </c>
      <c r="J539" s="3" t="str">
        <f aca="false">IF(ISNUMBER(SEARCH("FACEBOOK",W539)),"Facebook",IF(ISNUMBER(SEARCH("INSTAGRAM",W539)),"Facebook-Instagram","Look at taxonomy"))</f>
        <v>Facebook</v>
      </c>
      <c r="K539" s="3" t="str">
        <f aca="false">IF(ISNUMBER(SEARCH("Facebook",J539)),"3654128","Not Facebook")</f>
        <v>3654128</v>
      </c>
      <c r="L539" s="3" t="str">
        <f aca="false">IFERROR(VLOOKUP(OFFSET(Table22,538,21,1,1),OFFSET(Table2,0,1,ROWS(Table2),8),7,0),VLOOKUP(OFFSET(Table22,538,22,1,1),Table2,8,0))</f>
        <v>AZR_FBCTCBrandinMotion_FRA_12s_VIA_AZRDirect_French_NA_Facebook_STAN_TIN_T2_1</v>
      </c>
      <c r="M539" s="2" t="n">
        <f aca="false">IFERROR(VLOOKUP(OFFSET(Table22,538,21,1,1),OFFSET(Table2,0,1,ROWS(Table2),8),8,0),VLOOKUP(OFFSET(Table22,538,22,1,1),Table2,9,0))</f>
        <v>103256577</v>
      </c>
      <c r="N539" s="15" t="s">
        <v>29</v>
      </c>
      <c r="O539" s="16" t="n">
        <v>43353</v>
      </c>
      <c r="P539" s="17" t="s">
        <v>102</v>
      </c>
      <c r="Q539" s="18" t="s">
        <v>103</v>
      </c>
      <c r="R539" s="17" t="s">
        <v>104</v>
      </c>
      <c r="S539" s="18" t="s">
        <v>33</v>
      </c>
      <c r="T539" s="17" t="s">
        <v>34</v>
      </c>
      <c r="U539" s="18" t="s">
        <v>127</v>
      </c>
      <c r="V539" s="19" t="n">
        <v>224560863</v>
      </c>
      <c r="W539" s="17" t="s">
        <v>130</v>
      </c>
      <c r="X539" s="17" t="n">
        <v>0</v>
      </c>
      <c r="Y539" s="17"/>
      <c r="Z539" s="17" t="n">
        <v>0</v>
      </c>
      <c r="AA539" s="17" t="s">
        <v>38</v>
      </c>
      <c r="AB539" s="17"/>
    </row>
    <row r="540" customFormat="false" ht="15" hidden="false" customHeight="false" outlineLevel="0" collapsed="false">
      <c r="A540" s="1" t="str">
        <f aca="false">OFFSET(Table22,539,14,1,1)&amp;OFFSET(Table22,539,21,1,1)</f>
        <v>43353224560863</v>
      </c>
      <c r="B540" s="1" t="str">
        <f aca="false">OFFSET(Table22,539,14,1,1)&amp;OFFSET(Table22,539,22,1,1)</f>
        <v>43353Facebook»Developers/ITPros-Azure Direct-Sponsored Post-Video Ad-FBCTCBrandinMotion_FRA_12s_RTG Landing Page»1x1»12s»VIA»ALL»CPC»BT»X»UNK»SS»NA»Trials_ID</v>
      </c>
      <c r="C540" s="1" t="s">
        <v>28</v>
      </c>
      <c r="D540" s="3" t="n">
        <f aca="false">O540+(7-WEEKDAY(O540))</f>
        <v>43358</v>
      </c>
      <c r="E540" s="1" t="str">
        <f aca="false">VLOOKUP(OFFSET(Table22,539,16,1,1),Key!B:D,2,0)</f>
        <v>France</v>
      </c>
      <c r="F540" s="1" t="str">
        <f aca="false">IF(ISNUMBER(SEARCH("Canvas",U540)),"Link",IF(ISNUMBER(SEARCH("Link",U540)),"Link","Not filled properly"))</f>
        <v>Link</v>
      </c>
      <c r="G540" s="1" t="str">
        <f aca="false">IFERROR(VLOOKUP(OFFSET(Table22,539,21,1,1),OFFSET(Table2,0,1,ROWS(Table2),8),2,0),VLOOKUP(OFFSET(Table22,539,22,1,1),Table2,3,0))</f>
        <v>FRA_gaPMG_AZR_AZR_Q1_19_AzureDirect-Trial-Social</v>
      </c>
      <c r="H540" s="1" t="n">
        <f aca="false">IFERROR(VLOOKUP(OFFSET(Table22,539,21,1,1),OFFSET(Table2,0,1,ROWS(Table2),8),3,0),VLOOKUP(OFFSET(Table22,539,22,1,1),Table2,4,0))</f>
        <v>21356941</v>
      </c>
      <c r="I540" s="2" t="n">
        <f aca="false">IFERROR(VLOOKUP(OFFSET(Table22,539,21,1,1),OFFSET(Table2,0,1,ROWS(Table2),8),4,0),VLOOKUP(OFFSET(Table22,539,22,1,1),Table2,5,0))</f>
        <v>720193</v>
      </c>
      <c r="J540" s="3" t="str">
        <f aca="false">IF(ISNUMBER(SEARCH("FACEBOOK",W540)),"Facebook",IF(ISNUMBER(SEARCH("INSTAGRAM",W540)),"Facebook-Instagram","Look at taxonomy"))</f>
        <v>Facebook</v>
      </c>
      <c r="K540" s="3" t="str">
        <f aca="false">IF(ISNUMBER(SEARCH("Facebook",J540)),"3654128","Not Facebook")</f>
        <v>3654128</v>
      </c>
      <c r="L540" s="3" t="str">
        <f aca="false">IFERROR(VLOOKUP(OFFSET(Table22,539,21,1,1),OFFSET(Table2,0,1,ROWS(Table2),8),7,0),VLOOKUP(OFFSET(Table22,539,22,1,1),Table2,8,0))</f>
        <v>AZR_FBCTCBrandinMotion_FRA_12s_VIA_AZRDirect_French_NA_Facebook_STAN_TIN_T2_1</v>
      </c>
      <c r="M540" s="2" t="n">
        <f aca="false">IFERROR(VLOOKUP(OFFSET(Table22,539,21,1,1),OFFSET(Table2,0,1,ROWS(Table2),8),8,0),VLOOKUP(OFFSET(Table22,539,22,1,1),Table2,9,0))</f>
        <v>103256577</v>
      </c>
      <c r="N540" s="15" t="s">
        <v>29</v>
      </c>
      <c r="O540" s="16" t="n">
        <v>43353</v>
      </c>
      <c r="P540" s="17" t="s">
        <v>102</v>
      </c>
      <c r="Q540" s="18" t="s">
        <v>103</v>
      </c>
      <c r="R540" s="17" t="s">
        <v>104</v>
      </c>
      <c r="S540" s="18" t="s">
        <v>33</v>
      </c>
      <c r="T540" s="17" t="s">
        <v>34</v>
      </c>
      <c r="U540" s="18" t="s">
        <v>127</v>
      </c>
      <c r="V540" s="19" t="n">
        <v>224560863</v>
      </c>
      <c r="W540" s="17" t="s">
        <v>130</v>
      </c>
      <c r="X540" s="17" t="n">
        <v>1</v>
      </c>
      <c r="Y540" s="17"/>
      <c r="Z540" s="17" t="n">
        <v>0.01</v>
      </c>
      <c r="AA540" s="17" t="s">
        <v>38</v>
      </c>
      <c r="AB540" s="17"/>
    </row>
    <row r="541" customFormat="false" ht="15" hidden="false" customHeight="false" outlineLevel="0" collapsed="false">
      <c r="A541" s="1" t="str">
        <f aca="false">OFFSET(Table22,540,14,1,1)&amp;OFFSET(Table22,540,21,1,1)</f>
        <v>43353224560863</v>
      </c>
      <c r="B541" s="1" t="str">
        <f aca="false">OFFSET(Table22,540,14,1,1)&amp;OFFSET(Table22,540,22,1,1)</f>
        <v>43353Facebook»Developers/ITPros-Azure Direct-Sponsored Post-Video Ad-FBCTCBrandinMotion_FRA_12s_RTG Landing Page»1x1»12s»VIA»ALL»CPC»BT»X»UNK»SS»NA»Trials_ID</v>
      </c>
      <c r="C541" s="1" t="s">
        <v>28</v>
      </c>
      <c r="D541" s="3" t="n">
        <f aca="false">O541+(7-WEEKDAY(O541))</f>
        <v>43358</v>
      </c>
      <c r="E541" s="1" t="str">
        <f aca="false">VLOOKUP(OFFSET(Table22,540,16,1,1),Key!B:D,2,0)</f>
        <v>France</v>
      </c>
      <c r="F541" s="1" t="str">
        <f aca="false">IF(ISNUMBER(SEARCH("Canvas",U541)),"Link",IF(ISNUMBER(SEARCH("Link",U541)),"Link","Not filled properly"))</f>
        <v>Link</v>
      </c>
      <c r="G541" s="1" t="str">
        <f aca="false">IFERROR(VLOOKUP(OFFSET(Table22,540,21,1,1),OFFSET(Table2,0,1,ROWS(Table2),8),2,0),VLOOKUP(OFFSET(Table22,540,22,1,1),Table2,3,0))</f>
        <v>FRA_gaPMG_AZR_AZR_Q1_19_AzureDirect-Trial-Social</v>
      </c>
      <c r="H541" s="1" t="n">
        <f aca="false">IFERROR(VLOOKUP(OFFSET(Table22,540,21,1,1),OFFSET(Table2,0,1,ROWS(Table2),8),3,0),VLOOKUP(OFFSET(Table22,540,22,1,1),Table2,4,0))</f>
        <v>21356941</v>
      </c>
      <c r="I541" s="2" t="n">
        <f aca="false">IFERROR(VLOOKUP(OFFSET(Table22,540,21,1,1),OFFSET(Table2,0,1,ROWS(Table2),8),4,0),VLOOKUP(OFFSET(Table22,540,22,1,1),Table2,5,0))</f>
        <v>720193</v>
      </c>
      <c r="J541" s="3" t="str">
        <f aca="false">IF(ISNUMBER(SEARCH("FACEBOOK",W541)),"Facebook",IF(ISNUMBER(SEARCH("INSTAGRAM",W541)),"Facebook-Instagram","Look at taxonomy"))</f>
        <v>Facebook</v>
      </c>
      <c r="K541" s="3" t="str">
        <f aca="false">IF(ISNUMBER(SEARCH("Facebook",J541)),"3654128","Not Facebook")</f>
        <v>3654128</v>
      </c>
      <c r="L541" s="3" t="str">
        <f aca="false">IFERROR(VLOOKUP(OFFSET(Table22,540,21,1,1),OFFSET(Table2,0,1,ROWS(Table2),8),7,0),VLOOKUP(OFFSET(Table22,540,22,1,1),Table2,8,0))</f>
        <v>AZR_FBCTCBrandinMotion_FRA_12s_VIA_AZRDirect_French_NA_Facebook_STAN_TIN_T2_1</v>
      </c>
      <c r="M541" s="2" t="n">
        <f aca="false">IFERROR(VLOOKUP(OFFSET(Table22,540,21,1,1),OFFSET(Table2,0,1,ROWS(Table2),8),8,0),VLOOKUP(OFFSET(Table22,540,22,1,1),Table2,9,0))</f>
        <v>103256577</v>
      </c>
      <c r="N541" s="15" t="s">
        <v>29</v>
      </c>
      <c r="O541" s="16" t="n">
        <v>43353</v>
      </c>
      <c r="P541" s="17" t="s">
        <v>102</v>
      </c>
      <c r="Q541" s="18" t="s">
        <v>103</v>
      </c>
      <c r="R541" s="17" t="s">
        <v>104</v>
      </c>
      <c r="S541" s="18" t="s">
        <v>33</v>
      </c>
      <c r="T541" s="17" t="s">
        <v>34</v>
      </c>
      <c r="U541" s="18" t="s">
        <v>127</v>
      </c>
      <c r="V541" s="19" t="n">
        <v>224560863</v>
      </c>
      <c r="W541" s="17" t="s">
        <v>130</v>
      </c>
      <c r="X541" s="17" t="n">
        <v>6</v>
      </c>
      <c r="Y541" s="17"/>
      <c r="Z541" s="17" t="n">
        <v>0.04</v>
      </c>
      <c r="AA541" s="17" t="s">
        <v>38</v>
      </c>
      <c r="AB541" s="17"/>
    </row>
    <row r="542" customFormat="false" ht="15" hidden="false" customHeight="false" outlineLevel="0" collapsed="false">
      <c r="A542" s="1" t="str">
        <f aca="false">OFFSET(Table22,541,14,1,1)&amp;OFFSET(Table22,541,21,1,1)</f>
        <v>43353224560863</v>
      </c>
      <c r="B542" s="1" t="str">
        <f aca="false">OFFSET(Table22,541,14,1,1)&amp;OFFSET(Table22,541,22,1,1)</f>
        <v>43353Facebook»Developers/ITPros-Azure Direct-Sponsored Post-Video Ad-FBCTCBrandinMotion_FRA_12s_RTG Landing Page»1x1»12s»VIA»ALL»CPC»BT»X»UNK»SS»NA»Trials_ID</v>
      </c>
      <c r="C542" s="1" t="s">
        <v>28</v>
      </c>
      <c r="D542" s="3" t="n">
        <f aca="false">O542+(7-WEEKDAY(O542))</f>
        <v>43358</v>
      </c>
      <c r="E542" s="1" t="str">
        <f aca="false">VLOOKUP(OFFSET(Table22,541,16,1,1),Key!B:D,2,0)</f>
        <v>France</v>
      </c>
      <c r="F542" s="1" t="str">
        <f aca="false">IF(ISNUMBER(SEARCH("Canvas",U542)),"Link",IF(ISNUMBER(SEARCH("Link",U542)),"Link","Not filled properly"))</f>
        <v>Link</v>
      </c>
      <c r="G542" s="1" t="str">
        <f aca="false">IFERROR(VLOOKUP(OFFSET(Table22,541,21,1,1),OFFSET(Table2,0,1,ROWS(Table2),8),2,0),VLOOKUP(OFFSET(Table22,541,22,1,1),Table2,3,0))</f>
        <v>FRA_gaPMG_AZR_AZR_Q1_19_AzureDirect-Trial-Social</v>
      </c>
      <c r="H542" s="1" t="n">
        <f aca="false">IFERROR(VLOOKUP(OFFSET(Table22,541,21,1,1),OFFSET(Table2,0,1,ROWS(Table2),8),3,0),VLOOKUP(OFFSET(Table22,541,22,1,1),Table2,4,0))</f>
        <v>21356941</v>
      </c>
      <c r="I542" s="2" t="n">
        <f aca="false">IFERROR(VLOOKUP(OFFSET(Table22,541,21,1,1),OFFSET(Table2,0,1,ROWS(Table2),8),4,0),VLOOKUP(OFFSET(Table22,541,22,1,1),Table2,5,0))</f>
        <v>720193</v>
      </c>
      <c r="J542" s="3" t="str">
        <f aca="false">IF(ISNUMBER(SEARCH("FACEBOOK",W542)),"Facebook",IF(ISNUMBER(SEARCH("INSTAGRAM",W542)),"Facebook-Instagram","Look at taxonomy"))</f>
        <v>Facebook</v>
      </c>
      <c r="K542" s="3" t="str">
        <f aca="false">IF(ISNUMBER(SEARCH("Facebook",J542)),"3654128","Not Facebook")</f>
        <v>3654128</v>
      </c>
      <c r="L542" s="3" t="str">
        <f aca="false">IFERROR(VLOOKUP(OFFSET(Table22,541,21,1,1),OFFSET(Table2,0,1,ROWS(Table2),8),7,0),VLOOKUP(OFFSET(Table22,541,22,1,1),Table2,8,0))</f>
        <v>AZR_FBCTCBrandinMotion_FRA_12s_VIA_AZRDirect_French_NA_Facebook_STAN_TIN_T2_1</v>
      </c>
      <c r="M542" s="2" t="n">
        <f aca="false">IFERROR(VLOOKUP(OFFSET(Table22,541,21,1,1),OFFSET(Table2,0,1,ROWS(Table2),8),8,0),VLOOKUP(OFFSET(Table22,541,22,1,1),Table2,9,0))</f>
        <v>103256577</v>
      </c>
      <c r="N542" s="15" t="s">
        <v>29</v>
      </c>
      <c r="O542" s="16" t="n">
        <v>43353</v>
      </c>
      <c r="P542" s="17" t="s">
        <v>102</v>
      </c>
      <c r="Q542" s="18" t="s">
        <v>103</v>
      </c>
      <c r="R542" s="17" t="s">
        <v>104</v>
      </c>
      <c r="S542" s="18" t="s">
        <v>33</v>
      </c>
      <c r="T542" s="17" t="s">
        <v>34</v>
      </c>
      <c r="U542" s="18" t="s">
        <v>127</v>
      </c>
      <c r="V542" s="19" t="n">
        <v>224560863</v>
      </c>
      <c r="W542" s="17" t="s">
        <v>130</v>
      </c>
      <c r="X542" s="17" t="n">
        <v>0</v>
      </c>
      <c r="Y542" s="17"/>
      <c r="Z542" s="17" t="n">
        <v>0</v>
      </c>
      <c r="AA542" s="17" t="s">
        <v>38</v>
      </c>
      <c r="AB542" s="17"/>
    </row>
    <row r="543" customFormat="false" ht="15" hidden="false" customHeight="false" outlineLevel="0" collapsed="false">
      <c r="A543" s="1" t="str">
        <f aca="false">OFFSET(Table22,542,14,1,1)&amp;OFFSET(Table22,542,21,1,1)</f>
        <v>43352224560863</v>
      </c>
      <c r="B543" s="1" t="str">
        <f aca="false">OFFSET(Table22,542,14,1,1)&amp;OFFSET(Table22,542,22,1,1)</f>
        <v>43352Facebook»Developers/ITPros-Azure Direct-Sponsored Post-Video Ad-FBCTCBrandinMotion_FRA_12s_RTG Landing Page»1x1»12s»VIA»ALL»CPC»BT»X»UNK»SS»NA»Trials_ID</v>
      </c>
      <c r="C543" s="1" t="s">
        <v>28</v>
      </c>
      <c r="D543" s="3" t="n">
        <f aca="false">O543+(7-WEEKDAY(O543))</f>
        <v>43358</v>
      </c>
      <c r="E543" s="1" t="str">
        <f aca="false">VLOOKUP(OFFSET(Table22,542,16,1,1),Key!B:D,2,0)</f>
        <v>France</v>
      </c>
      <c r="F543" s="1" t="str">
        <f aca="false">IF(ISNUMBER(SEARCH("Canvas",U543)),"Link",IF(ISNUMBER(SEARCH("Link",U543)),"Link","Not filled properly"))</f>
        <v>Link</v>
      </c>
      <c r="G543" s="1" t="str">
        <f aca="false">IFERROR(VLOOKUP(OFFSET(Table22,542,21,1,1),OFFSET(Table2,0,1,ROWS(Table2),8),2,0),VLOOKUP(OFFSET(Table22,542,22,1,1),Table2,3,0))</f>
        <v>FRA_gaPMG_AZR_AZR_Q1_19_AzureDirect-Trial-Social</v>
      </c>
      <c r="H543" s="1" t="n">
        <f aca="false">IFERROR(VLOOKUP(OFFSET(Table22,542,21,1,1),OFFSET(Table2,0,1,ROWS(Table2),8),3,0),VLOOKUP(OFFSET(Table22,542,22,1,1),Table2,4,0))</f>
        <v>21356941</v>
      </c>
      <c r="I543" s="2" t="n">
        <f aca="false">IFERROR(VLOOKUP(OFFSET(Table22,542,21,1,1),OFFSET(Table2,0,1,ROWS(Table2),8),4,0),VLOOKUP(OFFSET(Table22,542,22,1,1),Table2,5,0))</f>
        <v>720193</v>
      </c>
      <c r="J543" s="3" t="str">
        <f aca="false">IF(ISNUMBER(SEARCH("FACEBOOK",W543)),"Facebook",IF(ISNUMBER(SEARCH("INSTAGRAM",W543)),"Facebook-Instagram","Look at taxonomy"))</f>
        <v>Facebook</v>
      </c>
      <c r="K543" s="3" t="str">
        <f aca="false">IF(ISNUMBER(SEARCH("Facebook",J543)),"3654128","Not Facebook")</f>
        <v>3654128</v>
      </c>
      <c r="L543" s="3" t="str">
        <f aca="false">IFERROR(VLOOKUP(OFFSET(Table22,542,21,1,1),OFFSET(Table2,0,1,ROWS(Table2),8),7,0),VLOOKUP(OFFSET(Table22,542,22,1,1),Table2,8,0))</f>
        <v>AZR_FBCTCBrandinMotion_FRA_12s_VIA_AZRDirect_French_NA_Facebook_STAN_TIN_T2_1</v>
      </c>
      <c r="M543" s="2" t="n">
        <f aca="false">IFERROR(VLOOKUP(OFFSET(Table22,542,21,1,1),OFFSET(Table2,0,1,ROWS(Table2),8),8,0),VLOOKUP(OFFSET(Table22,542,22,1,1),Table2,9,0))</f>
        <v>103256577</v>
      </c>
      <c r="N543" s="15" t="s">
        <v>29</v>
      </c>
      <c r="O543" s="16" t="n">
        <v>43352</v>
      </c>
      <c r="P543" s="17" t="s">
        <v>102</v>
      </c>
      <c r="Q543" s="18" t="s">
        <v>103</v>
      </c>
      <c r="R543" s="17" t="s">
        <v>104</v>
      </c>
      <c r="S543" s="18" t="s">
        <v>33</v>
      </c>
      <c r="T543" s="17" t="s">
        <v>34</v>
      </c>
      <c r="U543" s="18" t="s">
        <v>127</v>
      </c>
      <c r="V543" s="19" t="n">
        <v>224560863</v>
      </c>
      <c r="W543" s="17" t="s">
        <v>130</v>
      </c>
      <c r="X543" s="17" t="n">
        <v>0</v>
      </c>
      <c r="Y543" s="17"/>
      <c r="Z543" s="17" t="n">
        <v>0</v>
      </c>
      <c r="AA543" s="17" t="s">
        <v>38</v>
      </c>
      <c r="AB543" s="17"/>
    </row>
    <row r="544" customFormat="false" ht="15" hidden="false" customHeight="false" outlineLevel="0" collapsed="false">
      <c r="A544" s="1" t="str">
        <f aca="false">OFFSET(Table22,543,14,1,1)&amp;OFFSET(Table22,543,21,1,1)</f>
        <v>43352224560863</v>
      </c>
      <c r="B544" s="1" t="str">
        <f aca="false">OFFSET(Table22,543,14,1,1)&amp;OFFSET(Table22,543,22,1,1)</f>
        <v>43352Facebook»Developers/ITPros-Azure Direct-Sponsored Post-Video Ad-FBCTCBrandinMotion_FRA_12s_RTG Landing Page»1x1»12s»VIA»ALL»CPC»BT»X»UNK»SS»NA»Trials_ID</v>
      </c>
      <c r="C544" s="1" t="s">
        <v>28</v>
      </c>
      <c r="D544" s="3" t="n">
        <f aca="false">O544+(7-WEEKDAY(O544))</f>
        <v>43358</v>
      </c>
      <c r="E544" s="1" t="str">
        <f aca="false">VLOOKUP(OFFSET(Table22,543,16,1,1),Key!B:D,2,0)</f>
        <v>France</v>
      </c>
      <c r="F544" s="1" t="str">
        <f aca="false">IF(ISNUMBER(SEARCH("Canvas",U544)),"Link",IF(ISNUMBER(SEARCH("Link",U544)),"Link","Not filled properly"))</f>
        <v>Link</v>
      </c>
      <c r="G544" s="1" t="str">
        <f aca="false">IFERROR(VLOOKUP(OFFSET(Table22,543,21,1,1),OFFSET(Table2,0,1,ROWS(Table2),8),2,0),VLOOKUP(OFFSET(Table22,543,22,1,1),Table2,3,0))</f>
        <v>FRA_gaPMG_AZR_AZR_Q1_19_AzureDirect-Trial-Social</v>
      </c>
      <c r="H544" s="1" t="n">
        <f aca="false">IFERROR(VLOOKUP(OFFSET(Table22,543,21,1,1),OFFSET(Table2,0,1,ROWS(Table2),8),3,0),VLOOKUP(OFFSET(Table22,543,22,1,1),Table2,4,0))</f>
        <v>21356941</v>
      </c>
      <c r="I544" s="2" t="n">
        <f aca="false">IFERROR(VLOOKUP(OFFSET(Table22,543,21,1,1),OFFSET(Table2,0,1,ROWS(Table2),8),4,0),VLOOKUP(OFFSET(Table22,543,22,1,1),Table2,5,0))</f>
        <v>720193</v>
      </c>
      <c r="J544" s="3" t="str">
        <f aca="false">IF(ISNUMBER(SEARCH("FACEBOOK",W544)),"Facebook",IF(ISNUMBER(SEARCH("INSTAGRAM",W544)),"Facebook-Instagram","Look at taxonomy"))</f>
        <v>Facebook</v>
      </c>
      <c r="K544" s="3" t="str">
        <f aca="false">IF(ISNUMBER(SEARCH("Facebook",J544)),"3654128","Not Facebook")</f>
        <v>3654128</v>
      </c>
      <c r="L544" s="3" t="str">
        <f aca="false">IFERROR(VLOOKUP(OFFSET(Table22,543,21,1,1),OFFSET(Table2,0,1,ROWS(Table2),8),7,0),VLOOKUP(OFFSET(Table22,543,22,1,1),Table2,8,0))</f>
        <v>AZR_FBCTCBrandinMotion_FRA_12s_VIA_AZRDirect_French_NA_Facebook_STAN_TIN_T2_1</v>
      </c>
      <c r="M544" s="2" t="n">
        <f aca="false">IFERROR(VLOOKUP(OFFSET(Table22,543,21,1,1),OFFSET(Table2,0,1,ROWS(Table2),8),8,0),VLOOKUP(OFFSET(Table22,543,22,1,1),Table2,9,0))</f>
        <v>103256577</v>
      </c>
      <c r="N544" s="15" t="s">
        <v>29</v>
      </c>
      <c r="O544" s="16" t="n">
        <v>43352</v>
      </c>
      <c r="P544" s="17" t="s">
        <v>102</v>
      </c>
      <c r="Q544" s="18" t="s">
        <v>103</v>
      </c>
      <c r="R544" s="17" t="s">
        <v>104</v>
      </c>
      <c r="S544" s="18" t="s">
        <v>33</v>
      </c>
      <c r="T544" s="17" t="s">
        <v>34</v>
      </c>
      <c r="U544" s="18" t="s">
        <v>127</v>
      </c>
      <c r="V544" s="19" t="n">
        <v>224560863</v>
      </c>
      <c r="W544" s="17" t="s">
        <v>130</v>
      </c>
      <c r="X544" s="17" t="n">
        <v>0</v>
      </c>
      <c r="Y544" s="17"/>
      <c r="Z544" s="17" t="n">
        <v>0</v>
      </c>
      <c r="AA544" s="17" t="s">
        <v>38</v>
      </c>
      <c r="AB544" s="17"/>
    </row>
    <row r="545" customFormat="false" ht="15" hidden="false" customHeight="false" outlineLevel="0" collapsed="false">
      <c r="A545" s="1" t="str">
        <f aca="false">OFFSET(Table22,544,14,1,1)&amp;OFFSET(Table22,544,21,1,1)</f>
        <v>43352224560863</v>
      </c>
      <c r="B545" s="1" t="str">
        <f aca="false">OFFSET(Table22,544,14,1,1)&amp;OFFSET(Table22,544,22,1,1)</f>
        <v>43352Facebook»Developers/ITPros-Azure Direct-Sponsored Post-Video Ad-FBCTCBrandinMotion_FRA_12s_RTG Landing Page»1x1»12s»VIA»ALL»CPC»BT»X»UNK»SS»NA»Trials_ID</v>
      </c>
      <c r="C545" s="1" t="s">
        <v>28</v>
      </c>
      <c r="D545" s="3" t="n">
        <f aca="false">O545+(7-WEEKDAY(O545))</f>
        <v>43358</v>
      </c>
      <c r="E545" s="1" t="str">
        <f aca="false">VLOOKUP(OFFSET(Table22,544,16,1,1),Key!B:D,2,0)</f>
        <v>France</v>
      </c>
      <c r="F545" s="1" t="str">
        <f aca="false">IF(ISNUMBER(SEARCH("Canvas",U545)),"Link",IF(ISNUMBER(SEARCH("Link",U545)),"Link","Not filled properly"))</f>
        <v>Link</v>
      </c>
      <c r="G545" s="1" t="str">
        <f aca="false">IFERROR(VLOOKUP(OFFSET(Table22,544,21,1,1),OFFSET(Table2,0,1,ROWS(Table2),8),2,0),VLOOKUP(OFFSET(Table22,544,22,1,1),Table2,3,0))</f>
        <v>FRA_gaPMG_AZR_AZR_Q1_19_AzureDirect-Trial-Social</v>
      </c>
      <c r="H545" s="1" t="n">
        <f aca="false">IFERROR(VLOOKUP(OFFSET(Table22,544,21,1,1),OFFSET(Table2,0,1,ROWS(Table2),8),3,0),VLOOKUP(OFFSET(Table22,544,22,1,1),Table2,4,0))</f>
        <v>21356941</v>
      </c>
      <c r="I545" s="2" t="n">
        <f aca="false">IFERROR(VLOOKUP(OFFSET(Table22,544,21,1,1),OFFSET(Table2,0,1,ROWS(Table2),8),4,0),VLOOKUP(OFFSET(Table22,544,22,1,1),Table2,5,0))</f>
        <v>720193</v>
      </c>
      <c r="J545" s="3" t="str">
        <f aca="false">IF(ISNUMBER(SEARCH("FACEBOOK",W545)),"Facebook",IF(ISNUMBER(SEARCH("INSTAGRAM",W545)),"Facebook-Instagram","Look at taxonomy"))</f>
        <v>Facebook</v>
      </c>
      <c r="K545" s="3" t="str">
        <f aca="false">IF(ISNUMBER(SEARCH("Facebook",J545)),"3654128","Not Facebook")</f>
        <v>3654128</v>
      </c>
      <c r="L545" s="3" t="str">
        <f aca="false">IFERROR(VLOOKUP(OFFSET(Table22,544,21,1,1),OFFSET(Table2,0,1,ROWS(Table2),8),7,0),VLOOKUP(OFFSET(Table22,544,22,1,1),Table2,8,0))</f>
        <v>AZR_FBCTCBrandinMotion_FRA_12s_VIA_AZRDirect_French_NA_Facebook_STAN_TIN_T2_1</v>
      </c>
      <c r="M545" s="2" t="n">
        <f aca="false">IFERROR(VLOOKUP(OFFSET(Table22,544,21,1,1),OFFSET(Table2,0,1,ROWS(Table2),8),8,0),VLOOKUP(OFFSET(Table22,544,22,1,1),Table2,9,0))</f>
        <v>103256577</v>
      </c>
      <c r="N545" s="15" t="s">
        <v>29</v>
      </c>
      <c r="O545" s="16" t="n">
        <v>43352</v>
      </c>
      <c r="P545" s="17" t="s">
        <v>102</v>
      </c>
      <c r="Q545" s="18" t="s">
        <v>103</v>
      </c>
      <c r="R545" s="17" t="s">
        <v>104</v>
      </c>
      <c r="S545" s="18" t="s">
        <v>33</v>
      </c>
      <c r="T545" s="17" t="s">
        <v>34</v>
      </c>
      <c r="U545" s="18" t="s">
        <v>127</v>
      </c>
      <c r="V545" s="19" t="n">
        <v>224560863</v>
      </c>
      <c r="W545" s="17" t="s">
        <v>130</v>
      </c>
      <c r="X545" s="17" t="n">
        <v>15</v>
      </c>
      <c r="Y545" s="17" t="n">
        <v>1</v>
      </c>
      <c r="Z545" s="17" t="n">
        <v>0.06</v>
      </c>
      <c r="AA545" s="17" t="s">
        <v>38</v>
      </c>
      <c r="AB545" s="17"/>
    </row>
    <row r="546" customFormat="false" ht="15" hidden="false" customHeight="false" outlineLevel="0" collapsed="false">
      <c r="A546" s="1" t="str">
        <f aca="false">OFFSET(Table22,545,14,1,1)&amp;OFFSET(Table22,545,21,1,1)</f>
        <v>43352224560863</v>
      </c>
      <c r="B546" s="1" t="str">
        <f aca="false">OFFSET(Table22,545,14,1,1)&amp;OFFSET(Table22,545,22,1,1)</f>
        <v>43352Facebook»Developers/ITPros-Azure Direct-Sponsored Post-Video Ad-FBCTCBrandinMotion_FRA_12s_RTG Landing Page»1x1»12s»VIA»ALL»CPC»BT»X»UNK»SS»NA»Trials_ID</v>
      </c>
      <c r="C546" s="1" t="s">
        <v>28</v>
      </c>
      <c r="D546" s="3" t="n">
        <f aca="false">O546+(7-WEEKDAY(O546))</f>
        <v>43358</v>
      </c>
      <c r="E546" s="1" t="str">
        <f aca="false">VLOOKUP(OFFSET(Table22,545,16,1,1),Key!B:D,2,0)</f>
        <v>France</v>
      </c>
      <c r="F546" s="1" t="str">
        <f aca="false">IF(ISNUMBER(SEARCH("Canvas",U546)),"Link",IF(ISNUMBER(SEARCH("Link",U546)),"Link","Not filled properly"))</f>
        <v>Link</v>
      </c>
      <c r="G546" s="1" t="str">
        <f aca="false">IFERROR(VLOOKUP(OFFSET(Table22,545,21,1,1),OFFSET(Table2,0,1,ROWS(Table2),8),2,0),VLOOKUP(OFFSET(Table22,545,22,1,1),Table2,3,0))</f>
        <v>FRA_gaPMG_AZR_AZR_Q1_19_AzureDirect-Trial-Social</v>
      </c>
      <c r="H546" s="1" t="n">
        <f aca="false">IFERROR(VLOOKUP(OFFSET(Table22,545,21,1,1),OFFSET(Table2,0,1,ROWS(Table2),8),3,0),VLOOKUP(OFFSET(Table22,545,22,1,1),Table2,4,0))</f>
        <v>21356941</v>
      </c>
      <c r="I546" s="2" t="n">
        <f aca="false">IFERROR(VLOOKUP(OFFSET(Table22,545,21,1,1),OFFSET(Table2,0,1,ROWS(Table2),8),4,0),VLOOKUP(OFFSET(Table22,545,22,1,1),Table2,5,0))</f>
        <v>720193</v>
      </c>
      <c r="J546" s="3" t="str">
        <f aca="false">IF(ISNUMBER(SEARCH("FACEBOOK",W546)),"Facebook",IF(ISNUMBER(SEARCH("INSTAGRAM",W546)),"Facebook-Instagram","Look at taxonomy"))</f>
        <v>Facebook</v>
      </c>
      <c r="K546" s="3" t="str">
        <f aca="false">IF(ISNUMBER(SEARCH("Facebook",J546)),"3654128","Not Facebook")</f>
        <v>3654128</v>
      </c>
      <c r="L546" s="3" t="str">
        <f aca="false">IFERROR(VLOOKUP(OFFSET(Table22,545,21,1,1),OFFSET(Table2,0,1,ROWS(Table2),8),7,0),VLOOKUP(OFFSET(Table22,545,22,1,1),Table2,8,0))</f>
        <v>AZR_FBCTCBrandinMotion_FRA_12s_VIA_AZRDirect_French_NA_Facebook_STAN_TIN_T2_1</v>
      </c>
      <c r="M546" s="2" t="n">
        <f aca="false">IFERROR(VLOOKUP(OFFSET(Table22,545,21,1,1),OFFSET(Table2,0,1,ROWS(Table2),8),8,0),VLOOKUP(OFFSET(Table22,545,22,1,1),Table2,9,0))</f>
        <v>103256577</v>
      </c>
      <c r="N546" s="15" t="s">
        <v>29</v>
      </c>
      <c r="O546" s="16" t="n">
        <v>43352</v>
      </c>
      <c r="P546" s="17" t="s">
        <v>102</v>
      </c>
      <c r="Q546" s="18" t="s">
        <v>103</v>
      </c>
      <c r="R546" s="17" t="s">
        <v>104</v>
      </c>
      <c r="S546" s="18" t="s">
        <v>33</v>
      </c>
      <c r="T546" s="17" t="s">
        <v>34</v>
      </c>
      <c r="U546" s="18" t="s">
        <v>127</v>
      </c>
      <c r="V546" s="19" t="n">
        <v>224560863</v>
      </c>
      <c r="W546" s="17" t="s">
        <v>130</v>
      </c>
      <c r="X546" s="17" t="n">
        <v>71</v>
      </c>
      <c r="Y546" s="17" t="n">
        <v>1</v>
      </c>
      <c r="Z546" s="17" t="n">
        <v>0.35</v>
      </c>
      <c r="AA546" s="17" t="s">
        <v>38</v>
      </c>
      <c r="AB546" s="17"/>
    </row>
    <row r="547" customFormat="false" ht="15" hidden="false" customHeight="false" outlineLevel="0" collapsed="false">
      <c r="A547" s="1" t="str">
        <f aca="false">OFFSET(Table22,546,14,1,1)&amp;OFFSET(Table22,546,21,1,1)</f>
        <v>43358226359947</v>
      </c>
      <c r="B547" s="1" t="str">
        <f aca="false">OFFSET(Table22,546,14,1,1)&amp;OFFSET(Table22,546,22,1,1)</f>
        <v>43358Facebook»Developers-Azure Direct-Sponsored Post_Trial_PayGo-Video Ad-Free Account Developer - AI»1x1»30s»SOC»ALL»CPC»LAL»D»UNK»SS»NA»Trials_ID</v>
      </c>
      <c r="C547" s="1" t="s">
        <v>28</v>
      </c>
      <c r="D547" s="3" t="n">
        <f aca="false">O547+(7-WEEKDAY(O547))</f>
        <v>43358</v>
      </c>
      <c r="E547" s="1" t="str">
        <f aca="false">VLOOKUP(OFFSET(Table22,546,16,1,1),Key!B:D,2,0)</f>
        <v>France</v>
      </c>
      <c r="F547" s="1" t="str">
        <f aca="false">IF(ISNUMBER(SEARCH("Canvas",U547)),"Link",IF(ISNUMBER(SEARCH("Link",U547)),"Link","Not filled properly"))</f>
        <v>Link</v>
      </c>
      <c r="G547" s="1" t="str">
        <f aca="false">IFERROR(VLOOKUP(OFFSET(Table22,546,21,1,1),OFFSET(Table2,0,1,ROWS(Table2),8),2,0),VLOOKUP(OFFSET(Table22,546,22,1,1),Table2,3,0))</f>
        <v>FRA_gaPMG_AZR_AZR_Q1_19_AzureDirect-Trial-Social</v>
      </c>
      <c r="H547" s="1" t="n">
        <f aca="false">IFERROR(VLOOKUP(OFFSET(Table22,546,21,1,1),OFFSET(Table2,0,1,ROWS(Table2),8),3,0),VLOOKUP(OFFSET(Table22,546,22,1,1),Table2,4,0))</f>
        <v>21356941</v>
      </c>
      <c r="I547" s="2" t="n">
        <f aca="false">IFERROR(VLOOKUP(OFFSET(Table22,546,21,1,1),OFFSET(Table2,0,1,ROWS(Table2),8),4,0),VLOOKUP(OFFSET(Table22,546,22,1,1),Table2,5,0))</f>
        <v>720193</v>
      </c>
      <c r="J547" s="3" t="str">
        <f aca="false">IF(ISNUMBER(SEARCH("FACEBOOK",W547)),"Facebook",IF(ISNUMBER(SEARCH("INSTAGRAM",W547)),"Facebook-Instagram","Look at taxonomy"))</f>
        <v>Facebook</v>
      </c>
      <c r="K547" s="3" t="str">
        <f aca="false">IF(ISNUMBER(SEARCH("Facebook",J547)),"3654128","Not Facebook")</f>
        <v>3654128</v>
      </c>
      <c r="L547" s="3" t="str">
        <f aca="false">IFERROR(VLOOKUP(OFFSET(Table22,546,21,1,1),OFFSET(Table2,0,1,ROWS(Table2),8),7,0),VLOOKUP(OFFSET(Table22,546,22,1,1),Table2,8,0))</f>
        <v>AZR_FreeAcctDeveloperFB-AnimatedAI-Ch3_FRA_1200x1200_VIA_AZRDirect_French_NA_Facebook_STAN_LEA_T3_1</v>
      </c>
      <c r="M547" s="2" t="n">
        <f aca="false">IFERROR(VLOOKUP(OFFSET(Table22,546,21,1,1),OFFSET(Table2,0,1,ROWS(Table2),8),8,0),VLOOKUP(OFFSET(Table22,546,22,1,1),Table2,9,0))</f>
        <v>104537813</v>
      </c>
      <c r="N547" s="15" t="s">
        <v>29</v>
      </c>
      <c r="O547" s="16" t="n">
        <v>43358</v>
      </c>
      <c r="P547" s="17" t="s">
        <v>102</v>
      </c>
      <c r="Q547" s="18" t="s">
        <v>103</v>
      </c>
      <c r="R547" s="17" t="s">
        <v>104</v>
      </c>
      <c r="S547" s="18" t="s">
        <v>33</v>
      </c>
      <c r="T547" s="17" t="s">
        <v>34</v>
      </c>
      <c r="U547" s="18" t="s">
        <v>131</v>
      </c>
      <c r="V547" s="19" t="n">
        <v>226359947</v>
      </c>
      <c r="W547" s="17" t="s">
        <v>132</v>
      </c>
      <c r="X547" s="17" t="n">
        <v>174</v>
      </c>
      <c r="Y547" s="17" t="n">
        <v>5</v>
      </c>
      <c r="Z547" s="17" t="n">
        <v>1.17</v>
      </c>
      <c r="AA547" s="17" t="s">
        <v>38</v>
      </c>
      <c r="AB547" s="17"/>
    </row>
    <row r="548" customFormat="false" ht="15" hidden="false" customHeight="false" outlineLevel="0" collapsed="false">
      <c r="A548" s="1" t="str">
        <f aca="false">OFFSET(Table22,547,14,1,1)&amp;OFFSET(Table22,547,21,1,1)</f>
        <v>43357226359947</v>
      </c>
      <c r="B548" s="1" t="str">
        <f aca="false">OFFSET(Table22,547,14,1,1)&amp;OFFSET(Table22,547,22,1,1)</f>
        <v>43357Facebook»Developers-Azure Direct-Sponsored Post_Trial_PayGo-Video Ad-Free Account Developer - AI»1x1»30s»SOC»ALL»CPC»LAL»D»UNK»SS»NA»Trials_ID</v>
      </c>
      <c r="C548" s="1" t="s">
        <v>28</v>
      </c>
      <c r="D548" s="3" t="n">
        <f aca="false">O548+(7-WEEKDAY(O548))</f>
        <v>43358</v>
      </c>
      <c r="E548" s="1" t="str">
        <f aca="false">VLOOKUP(OFFSET(Table22,547,16,1,1),Key!B:D,2,0)</f>
        <v>France</v>
      </c>
      <c r="F548" s="1" t="str">
        <f aca="false">IF(ISNUMBER(SEARCH("Canvas",U548)),"Link",IF(ISNUMBER(SEARCH("Link",U548)),"Link","Not filled properly"))</f>
        <v>Link</v>
      </c>
      <c r="G548" s="1" t="str">
        <f aca="false">IFERROR(VLOOKUP(OFFSET(Table22,547,21,1,1),OFFSET(Table2,0,1,ROWS(Table2),8),2,0),VLOOKUP(OFFSET(Table22,547,22,1,1),Table2,3,0))</f>
        <v>FRA_gaPMG_AZR_AZR_Q1_19_AzureDirect-Trial-Social</v>
      </c>
      <c r="H548" s="1" t="n">
        <f aca="false">IFERROR(VLOOKUP(OFFSET(Table22,547,21,1,1),OFFSET(Table2,0,1,ROWS(Table2),8),3,0),VLOOKUP(OFFSET(Table22,547,22,1,1),Table2,4,0))</f>
        <v>21356941</v>
      </c>
      <c r="I548" s="2" t="n">
        <f aca="false">IFERROR(VLOOKUP(OFFSET(Table22,547,21,1,1),OFFSET(Table2,0,1,ROWS(Table2),8),4,0),VLOOKUP(OFFSET(Table22,547,22,1,1),Table2,5,0))</f>
        <v>720193</v>
      </c>
      <c r="J548" s="3" t="str">
        <f aca="false">IF(ISNUMBER(SEARCH("FACEBOOK",W548)),"Facebook",IF(ISNUMBER(SEARCH("INSTAGRAM",W548)),"Facebook-Instagram","Look at taxonomy"))</f>
        <v>Facebook</v>
      </c>
      <c r="K548" s="3" t="str">
        <f aca="false">IF(ISNUMBER(SEARCH("Facebook",J548)),"3654128","Not Facebook")</f>
        <v>3654128</v>
      </c>
      <c r="L548" s="3" t="str">
        <f aca="false">IFERROR(VLOOKUP(OFFSET(Table22,547,21,1,1),OFFSET(Table2,0,1,ROWS(Table2),8),7,0),VLOOKUP(OFFSET(Table22,547,22,1,1),Table2,8,0))</f>
        <v>AZR_FreeAcctDeveloperFB-AnimatedAI-Ch3_FRA_1200x1200_VIA_AZRDirect_French_NA_Facebook_STAN_LEA_T3_1</v>
      </c>
      <c r="M548" s="2" t="n">
        <f aca="false">IFERROR(VLOOKUP(OFFSET(Table22,547,21,1,1),OFFSET(Table2,0,1,ROWS(Table2),8),8,0),VLOOKUP(OFFSET(Table22,547,22,1,1),Table2,9,0))</f>
        <v>104537813</v>
      </c>
      <c r="N548" s="15" t="s">
        <v>29</v>
      </c>
      <c r="O548" s="16" t="n">
        <v>43357</v>
      </c>
      <c r="P548" s="17" t="s">
        <v>102</v>
      </c>
      <c r="Q548" s="18" t="s">
        <v>103</v>
      </c>
      <c r="R548" s="17" t="s">
        <v>104</v>
      </c>
      <c r="S548" s="18" t="s">
        <v>33</v>
      </c>
      <c r="T548" s="17" t="s">
        <v>34</v>
      </c>
      <c r="U548" s="18" t="s">
        <v>131</v>
      </c>
      <c r="V548" s="19" t="n">
        <v>226359947</v>
      </c>
      <c r="W548" s="17" t="s">
        <v>132</v>
      </c>
      <c r="X548" s="17" t="n">
        <v>114</v>
      </c>
      <c r="Y548" s="17" t="n">
        <v>3</v>
      </c>
      <c r="Z548" s="17" t="n">
        <v>0.7</v>
      </c>
      <c r="AA548" s="17" t="s">
        <v>38</v>
      </c>
      <c r="AB548" s="17"/>
    </row>
    <row r="549" customFormat="false" ht="15" hidden="false" customHeight="false" outlineLevel="0" collapsed="false">
      <c r="A549" s="1" t="str">
        <f aca="false">OFFSET(Table22,548,14,1,1)&amp;OFFSET(Table22,548,21,1,1)</f>
        <v>43356226359947</v>
      </c>
      <c r="B549" s="1" t="str">
        <f aca="false">OFFSET(Table22,548,14,1,1)&amp;OFFSET(Table22,548,22,1,1)</f>
        <v>43356Facebook»Developers-Azure Direct-Sponsored Post_Trial_PayGo-Video Ad-Free Account Developer - AI»1x1»30s»SOC»ALL»CPC»LAL»D»UNK»SS»NA»Trials_ID</v>
      </c>
      <c r="C549" s="1" t="s">
        <v>28</v>
      </c>
      <c r="D549" s="3" t="n">
        <f aca="false">O549+(7-WEEKDAY(O549))</f>
        <v>43358</v>
      </c>
      <c r="E549" s="1" t="str">
        <f aca="false">VLOOKUP(OFFSET(Table22,548,16,1,1),Key!B:D,2,0)</f>
        <v>France</v>
      </c>
      <c r="F549" s="1" t="str">
        <f aca="false">IF(ISNUMBER(SEARCH("Canvas",U549)),"Link",IF(ISNUMBER(SEARCH("Link",U549)),"Link","Not filled properly"))</f>
        <v>Link</v>
      </c>
      <c r="G549" s="1" t="str">
        <f aca="false">IFERROR(VLOOKUP(OFFSET(Table22,548,21,1,1),OFFSET(Table2,0,1,ROWS(Table2),8),2,0),VLOOKUP(OFFSET(Table22,548,22,1,1),Table2,3,0))</f>
        <v>FRA_gaPMG_AZR_AZR_Q1_19_AzureDirect-Trial-Social</v>
      </c>
      <c r="H549" s="1" t="n">
        <f aca="false">IFERROR(VLOOKUP(OFFSET(Table22,548,21,1,1),OFFSET(Table2,0,1,ROWS(Table2),8),3,0),VLOOKUP(OFFSET(Table22,548,22,1,1),Table2,4,0))</f>
        <v>21356941</v>
      </c>
      <c r="I549" s="2" t="n">
        <f aca="false">IFERROR(VLOOKUP(OFFSET(Table22,548,21,1,1),OFFSET(Table2,0,1,ROWS(Table2),8),4,0),VLOOKUP(OFFSET(Table22,548,22,1,1),Table2,5,0))</f>
        <v>720193</v>
      </c>
      <c r="J549" s="3" t="str">
        <f aca="false">IF(ISNUMBER(SEARCH("FACEBOOK",W549)),"Facebook",IF(ISNUMBER(SEARCH("INSTAGRAM",W549)),"Facebook-Instagram","Look at taxonomy"))</f>
        <v>Facebook</v>
      </c>
      <c r="K549" s="3" t="str">
        <f aca="false">IF(ISNUMBER(SEARCH("Facebook",J549)),"3654128","Not Facebook")</f>
        <v>3654128</v>
      </c>
      <c r="L549" s="3" t="str">
        <f aca="false">IFERROR(VLOOKUP(OFFSET(Table22,548,21,1,1),OFFSET(Table2,0,1,ROWS(Table2),8),7,0),VLOOKUP(OFFSET(Table22,548,22,1,1),Table2,8,0))</f>
        <v>AZR_FreeAcctDeveloperFB-AnimatedAI-Ch3_FRA_1200x1200_VIA_AZRDirect_French_NA_Facebook_STAN_LEA_T3_1</v>
      </c>
      <c r="M549" s="2" t="n">
        <f aca="false">IFERROR(VLOOKUP(OFFSET(Table22,548,21,1,1),OFFSET(Table2,0,1,ROWS(Table2),8),8,0),VLOOKUP(OFFSET(Table22,548,22,1,1),Table2,9,0))</f>
        <v>104537813</v>
      </c>
      <c r="N549" s="15" t="s">
        <v>29</v>
      </c>
      <c r="O549" s="16" t="n">
        <v>43356</v>
      </c>
      <c r="P549" s="17" t="s">
        <v>102</v>
      </c>
      <c r="Q549" s="18" t="s">
        <v>103</v>
      </c>
      <c r="R549" s="17" t="s">
        <v>104</v>
      </c>
      <c r="S549" s="18" t="s">
        <v>33</v>
      </c>
      <c r="T549" s="17" t="s">
        <v>34</v>
      </c>
      <c r="U549" s="18" t="s">
        <v>131</v>
      </c>
      <c r="V549" s="19" t="n">
        <v>226359947</v>
      </c>
      <c r="W549" s="17" t="s">
        <v>132</v>
      </c>
      <c r="X549" s="17" t="n">
        <v>63</v>
      </c>
      <c r="Y549" s="17" t="n">
        <v>1</v>
      </c>
      <c r="Z549" s="17" t="n">
        <v>0.53</v>
      </c>
      <c r="AA549" s="17" t="s">
        <v>38</v>
      </c>
      <c r="AB549" s="17"/>
    </row>
    <row r="550" customFormat="false" ht="15" hidden="false" customHeight="false" outlineLevel="0" collapsed="false">
      <c r="A550" s="1" t="str">
        <f aca="false">OFFSET(Table22,549,14,1,1)&amp;OFFSET(Table22,549,21,1,1)</f>
        <v>43355226359947</v>
      </c>
      <c r="B550" s="1" t="str">
        <f aca="false">OFFSET(Table22,549,14,1,1)&amp;OFFSET(Table22,549,22,1,1)</f>
        <v>43355Facebook»Developers-Azure Direct-Sponsored Post_Trial_PayGo-Video Ad-Free Account Developer - AI»1x1»30s»SOC»ALL»CPC»LAL»D»UNK»SS»NA»Trials_ID</v>
      </c>
      <c r="C550" s="1" t="s">
        <v>28</v>
      </c>
      <c r="D550" s="3" t="n">
        <f aca="false">O550+(7-WEEKDAY(O550))</f>
        <v>43358</v>
      </c>
      <c r="E550" s="1" t="str">
        <f aca="false">VLOOKUP(OFFSET(Table22,549,16,1,1),Key!B:D,2,0)</f>
        <v>France</v>
      </c>
      <c r="F550" s="1" t="str">
        <f aca="false">IF(ISNUMBER(SEARCH("Canvas",U550)),"Link",IF(ISNUMBER(SEARCH("Link",U550)),"Link","Not filled properly"))</f>
        <v>Link</v>
      </c>
      <c r="G550" s="1" t="str">
        <f aca="false">IFERROR(VLOOKUP(OFFSET(Table22,549,21,1,1),OFFSET(Table2,0,1,ROWS(Table2),8),2,0),VLOOKUP(OFFSET(Table22,549,22,1,1),Table2,3,0))</f>
        <v>FRA_gaPMG_AZR_AZR_Q1_19_AzureDirect-Trial-Social</v>
      </c>
      <c r="H550" s="1" t="n">
        <f aca="false">IFERROR(VLOOKUP(OFFSET(Table22,549,21,1,1),OFFSET(Table2,0,1,ROWS(Table2),8),3,0),VLOOKUP(OFFSET(Table22,549,22,1,1),Table2,4,0))</f>
        <v>21356941</v>
      </c>
      <c r="I550" s="2" t="n">
        <f aca="false">IFERROR(VLOOKUP(OFFSET(Table22,549,21,1,1),OFFSET(Table2,0,1,ROWS(Table2),8),4,0),VLOOKUP(OFFSET(Table22,549,22,1,1),Table2,5,0))</f>
        <v>720193</v>
      </c>
      <c r="J550" s="3" t="str">
        <f aca="false">IF(ISNUMBER(SEARCH("FACEBOOK",W550)),"Facebook",IF(ISNUMBER(SEARCH("INSTAGRAM",W550)),"Facebook-Instagram","Look at taxonomy"))</f>
        <v>Facebook</v>
      </c>
      <c r="K550" s="3" t="str">
        <f aca="false">IF(ISNUMBER(SEARCH("Facebook",J550)),"3654128","Not Facebook")</f>
        <v>3654128</v>
      </c>
      <c r="L550" s="3" t="str">
        <f aca="false">IFERROR(VLOOKUP(OFFSET(Table22,549,21,1,1),OFFSET(Table2,0,1,ROWS(Table2),8),7,0),VLOOKUP(OFFSET(Table22,549,22,1,1),Table2,8,0))</f>
        <v>AZR_FreeAcctDeveloperFB-AnimatedAI-Ch3_FRA_1200x1200_VIA_AZRDirect_French_NA_Facebook_STAN_LEA_T3_1</v>
      </c>
      <c r="M550" s="2" t="n">
        <f aca="false">IFERROR(VLOOKUP(OFFSET(Table22,549,21,1,1),OFFSET(Table2,0,1,ROWS(Table2),8),8,0),VLOOKUP(OFFSET(Table22,549,22,1,1),Table2,9,0))</f>
        <v>104537813</v>
      </c>
      <c r="N550" s="15" t="s">
        <v>29</v>
      </c>
      <c r="O550" s="16" t="n">
        <v>43355</v>
      </c>
      <c r="P550" s="17" t="s">
        <v>102</v>
      </c>
      <c r="Q550" s="18" t="s">
        <v>103</v>
      </c>
      <c r="R550" s="17" t="s">
        <v>104</v>
      </c>
      <c r="S550" s="18" t="s">
        <v>33</v>
      </c>
      <c r="T550" s="17" t="s">
        <v>34</v>
      </c>
      <c r="U550" s="18" t="s">
        <v>131</v>
      </c>
      <c r="V550" s="19" t="n">
        <v>226359947</v>
      </c>
      <c r="W550" s="17" t="s">
        <v>132</v>
      </c>
      <c r="X550" s="17" t="n">
        <v>53</v>
      </c>
      <c r="Y550" s="17" t="n">
        <v>1</v>
      </c>
      <c r="Z550" s="17" t="n">
        <v>0.43</v>
      </c>
      <c r="AA550" s="17" t="s">
        <v>38</v>
      </c>
      <c r="AB550" s="17"/>
    </row>
    <row r="551" customFormat="false" ht="15" hidden="false" customHeight="false" outlineLevel="0" collapsed="false">
      <c r="A551" s="1" t="str">
        <f aca="false">OFFSET(Table22,550,14,1,1)&amp;OFFSET(Table22,550,21,1,1)</f>
        <v>43354226359947</v>
      </c>
      <c r="B551" s="1" t="str">
        <f aca="false">OFFSET(Table22,550,14,1,1)&amp;OFFSET(Table22,550,22,1,1)</f>
        <v>43354Facebook»Developers-Azure Direct-Sponsored Post_Trial_PayGo-Video Ad-Free Account Developer - AI»1x1»30s»SOC»ALL»CPC»LAL»D»UNK»SS»NA»Trials_ID</v>
      </c>
      <c r="C551" s="1" t="s">
        <v>28</v>
      </c>
      <c r="D551" s="3" t="n">
        <f aca="false">O551+(7-WEEKDAY(O551))</f>
        <v>43358</v>
      </c>
      <c r="E551" s="1" t="str">
        <f aca="false">VLOOKUP(OFFSET(Table22,550,16,1,1),Key!B:D,2,0)</f>
        <v>France</v>
      </c>
      <c r="F551" s="1" t="str">
        <f aca="false">IF(ISNUMBER(SEARCH("Canvas",U551)),"Link",IF(ISNUMBER(SEARCH("Link",U551)),"Link","Not filled properly"))</f>
        <v>Link</v>
      </c>
      <c r="G551" s="1" t="str">
        <f aca="false">IFERROR(VLOOKUP(OFFSET(Table22,550,21,1,1),OFFSET(Table2,0,1,ROWS(Table2),8),2,0),VLOOKUP(OFFSET(Table22,550,22,1,1),Table2,3,0))</f>
        <v>FRA_gaPMG_AZR_AZR_Q1_19_AzureDirect-Trial-Social</v>
      </c>
      <c r="H551" s="1" t="n">
        <f aca="false">IFERROR(VLOOKUP(OFFSET(Table22,550,21,1,1),OFFSET(Table2,0,1,ROWS(Table2),8),3,0),VLOOKUP(OFFSET(Table22,550,22,1,1),Table2,4,0))</f>
        <v>21356941</v>
      </c>
      <c r="I551" s="2" t="n">
        <f aca="false">IFERROR(VLOOKUP(OFFSET(Table22,550,21,1,1),OFFSET(Table2,0,1,ROWS(Table2),8),4,0),VLOOKUP(OFFSET(Table22,550,22,1,1),Table2,5,0))</f>
        <v>720193</v>
      </c>
      <c r="J551" s="3" t="str">
        <f aca="false">IF(ISNUMBER(SEARCH("FACEBOOK",W551)),"Facebook",IF(ISNUMBER(SEARCH("INSTAGRAM",W551)),"Facebook-Instagram","Look at taxonomy"))</f>
        <v>Facebook</v>
      </c>
      <c r="K551" s="3" t="str">
        <f aca="false">IF(ISNUMBER(SEARCH("Facebook",J551)),"3654128","Not Facebook")</f>
        <v>3654128</v>
      </c>
      <c r="L551" s="3" t="str">
        <f aca="false">IFERROR(VLOOKUP(OFFSET(Table22,550,21,1,1),OFFSET(Table2,0,1,ROWS(Table2),8),7,0),VLOOKUP(OFFSET(Table22,550,22,1,1),Table2,8,0))</f>
        <v>AZR_FreeAcctDeveloperFB-AnimatedAI-Ch3_FRA_1200x1200_VIA_AZRDirect_French_NA_Facebook_STAN_LEA_T3_1</v>
      </c>
      <c r="M551" s="2" t="n">
        <f aca="false">IFERROR(VLOOKUP(OFFSET(Table22,550,21,1,1),OFFSET(Table2,0,1,ROWS(Table2),8),8,0),VLOOKUP(OFFSET(Table22,550,22,1,1),Table2,9,0))</f>
        <v>104537813</v>
      </c>
      <c r="N551" s="15" t="s">
        <v>29</v>
      </c>
      <c r="O551" s="16" t="n">
        <v>43354</v>
      </c>
      <c r="P551" s="17" t="s">
        <v>102</v>
      </c>
      <c r="Q551" s="18" t="s">
        <v>103</v>
      </c>
      <c r="R551" s="17" t="s">
        <v>104</v>
      </c>
      <c r="S551" s="18" t="s">
        <v>33</v>
      </c>
      <c r="T551" s="17" t="s">
        <v>34</v>
      </c>
      <c r="U551" s="18" t="s">
        <v>131</v>
      </c>
      <c r="V551" s="19" t="n">
        <v>226359947</v>
      </c>
      <c r="W551" s="17" t="s">
        <v>132</v>
      </c>
      <c r="X551" s="17" t="n">
        <v>4</v>
      </c>
      <c r="Y551" s="17" t="n">
        <v>1</v>
      </c>
      <c r="Z551" s="17" t="n">
        <v>0.01</v>
      </c>
      <c r="AA551" s="17" t="s">
        <v>38</v>
      </c>
      <c r="AB551" s="17"/>
    </row>
    <row r="552" customFormat="false" ht="15" hidden="false" customHeight="false" outlineLevel="0" collapsed="false">
      <c r="A552" s="1" t="str">
        <f aca="false">OFFSET(Table22,551,14,1,1)&amp;OFFSET(Table22,551,21,1,1)</f>
        <v>43353226359947</v>
      </c>
      <c r="B552" s="1" t="str">
        <f aca="false">OFFSET(Table22,551,14,1,1)&amp;OFFSET(Table22,551,22,1,1)</f>
        <v>43353Facebook»Developers-Azure Direct-Sponsored Post_Trial_PayGo-Video Ad-Free Account Developer - AI»1x1»30s»SOC»ALL»CPC»LAL»D»UNK»SS»NA»Trials_ID</v>
      </c>
      <c r="C552" s="1" t="s">
        <v>28</v>
      </c>
      <c r="D552" s="3" t="n">
        <f aca="false">O552+(7-WEEKDAY(O552))</f>
        <v>43358</v>
      </c>
      <c r="E552" s="1" t="str">
        <f aca="false">VLOOKUP(OFFSET(Table22,551,16,1,1),Key!B:D,2,0)</f>
        <v>France</v>
      </c>
      <c r="F552" s="1" t="str">
        <f aca="false">IF(ISNUMBER(SEARCH("Canvas",U552)),"Link",IF(ISNUMBER(SEARCH("Link",U552)),"Link","Not filled properly"))</f>
        <v>Link</v>
      </c>
      <c r="G552" s="1" t="str">
        <f aca="false">IFERROR(VLOOKUP(OFFSET(Table22,551,21,1,1),OFFSET(Table2,0,1,ROWS(Table2),8),2,0),VLOOKUP(OFFSET(Table22,551,22,1,1),Table2,3,0))</f>
        <v>FRA_gaPMG_AZR_AZR_Q1_19_AzureDirect-Trial-Social</v>
      </c>
      <c r="H552" s="1" t="n">
        <f aca="false">IFERROR(VLOOKUP(OFFSET(Table22,551,21,1,1),OFFSET(Table2,0,1,ROWS(Table2),8),3,0),VLOOKUP(OFFSET(Table22,551,22,1,1),Table2,4,0))</f>
        <v>21356941</v>
      </c>
      <c r="I552" s="2" t="n">
        <f aca="false">IFERROR(VLOOKUP(OFFSET(Table22,551,21,1,1),OFFSET(Table2,0,1,ROWS(Table2),8),4,0),VLOOKUP(OFFSET(Table22,551,22,1,1),Table2,5,0))</f>
        <v>720193</v>
      </c>
      <c r="J552" s="3" t="str">
        <f aca="false">IF(ISNUMBER(SEARCH("FACEBOOK",W552)),"Facebook",IF(ISNUMBER(SEARCH("INSTAGRAM",W552)),"Facebook-Instagram","Look at taxonomy"))</f>
        <v>Facebook</v>
      </c>
      <c r="K552" s="3" t="str">
        <f aca="false">IF(ISNUMBER(SEARCH("Facebook",J552)),"3654128","Not Facebook")</f>
        <v>3654128</v>
      </c>
      <c r="L552" s="3" t="str">
        <f aca="false">IFERROR(VLOOKUP(OFFSET(Table22,551,21,1,1),OFFSET(Table2,0,1,ROWS(Table2),8),7,0),VLOOKUP(OFFSET(Table22,551,22,1,1),Table2,8,0))</f>
        <v>AZR_FreeAcctDeveloperFB-AnimatedAI-Ch3_FRA_1200x1200_VIA_AZRDirect_French_NA_Facebook_STAN_LEA_T3_1</v>
      </c>
      <c r="M552" s="2" t="n">
        <f aca="false">IFERROR(VLOOKUP(OFFSET(Table22,551,21,1,1),OFFSET(Table2,0,1,ROWS(Table2),8),8,0),VLOOKUP(OFFSET(Table22,551,22,1,1),Table2,9,0))</f>
        <v>104537813</v>
      </c>
      <c r="N552" s="15" t="s">
        <v>29</v>
      </c>
      <c r="O552" s="16" t="n">
        <v>43353</v>
      </c>
      <c r="P552" s="17" t="s">
        <v>102</v>
      </c>
      <c r="Q552" s="18" t="s">
        <v>103</v>
      </c>
      <c r="R552" s="17" t="s">
        <v>104</v>
      </c>
      <c r="S552" s="18" t="s">
        <v>33</v>
      </c>
      <c r="T552" s="17" t="s">
        <v>34</v>
      </c>
      <c r="U552" s="18" t="s">
        <v>131</v>
      </c>
      <c r="V552" s="19" t="n">
        <v>226359947</v>
      </c>
      <c r="W552" s="17" t="s">
        <v>132</v>
      </c>
      <c r="X552" s="17" t="n">
        <v>3</v>
      </c>
      <c r="Y552" s="17"/>
      <c r="Z552" s="17" t="n">
        <v>0.02</v>
      </c>
      <c r="AA552" s="17" t="s">
        <v>38</v>
      </c>
      <c r="AB552" s="17"/>
    </row>
    <row r="553" customFormat="false" ht="15" hidden="false" customHeight="false" outlineLevel="0" collapsed="false">
      <c r="A553" s="1" t="str">
        <f aca="false">OFFSET(Table22,552,14,1,1)&amp;OFFSET(Table22,552,21,1,1)</f>
        <v>43352226359947</v>
      </c>
      <c r="B553" s="1" t="str">
        <f aca="false">OFFSET(Table22,552,14,1,1)&amp;OFFSET(Table22,552,22,1,1)</f>
        <v>43352Facebook»Developers-Azure Direct-Sponsored Post_Trial_PayGo-Video Ad-Free Account Developer - AI»1x1»30s»SOC»ALL»CPC»LAL»D»UNK»SS»NA»Trials_ID</v>
      </c>
      <c r="C553" s="1" t="s">
        <v>28</v>
      </c>
      <c r="D553" s="3" t="n">
        <f aca="false">O553+(7-WEEKDAY(O553))</f>
        <v>43358</v>
      </c>
      <c r="E553" s="1" t="str">
        <f aca="false">VLOOKUP(OFFSET(Table22,552,16,1,1),Key!B:D,2,0)</f>
        <v>France</v>
      </c>
      <c r="F553" s="1" t="str">
        <f aca="false">IF(ISNUMBER(SEARCH("Canvas",U553)),"Link",IF(ISNUMBER(SEARCH("Link",U553)),"Link","Not filled properly"))</f>
        <v>Link</v>
      </c>
      <c r="G553" s="1" t="str">
        <f aca="false">IFERROR(VLOOKUP(OFFSET(Table22,552,21,1,1),OFFSET(Table2,0,1,ROWS(Table2),8),2,0),VLOOKUP(OFFSET(Table22,552,22,1,1),Table2,3,0))</f>
        <v>FRA_gaPMG_AZR_AZR_Q1_19_AzureDirect-Trial-Social</v>
      </c>
      <c r="H553" s="1" t="n">
        <f aca="false">IFERROR(VLOOKUP(OFFSET(Table22,552,21,1,1),OFFSET(Table2,0,1,ROWS(Table2),8),3,0),VLOOKUP(OFFSET(Table22,552,22,1,1),Table2,4,0))</f>
        <v>21356941</v>
      </c>
      <c r="I553" s="2" t="n">
        <f aca="false">IFERROR(VLOOKUP(OFFSET(Table22,552,21,1,1),OFFSET(Table2,0,1,ROWS(Table2),8),4,0),VLOOKUP(OFFSET(Table22,552,22,1,1),Table2,5,0))</f>
        <v>720193</v>
      </c>
      <c r="J553" s="3" t="str">
        <f aca="false">IF(ISNUMBER(SEARCH("FACEBOOK",W553)),"Facebook",IF(ISNUMBER(SEARCH("INSTAGRAM",W553)),"Facebook-Instagram","Look at taxonomy"))</f>
        <v>Facebook</v>
      </c>
      <c r="K553" s="3" t="str">
        <f aca="false">IF(ISNUMBER(SEARCH("Facebook",J553)),"3654128","Not Facebook")</f>
        <v>3654128</v>
      </c>
      <c r="L553" s="3" t="str">
        <f aca="false">IFERROR(VLOOKUP(OFFSET(Table22,552,21,1,1),OFFSET(Table2,0,1,ROWS(Table2),8),7,0),VLOOKUP(OFFSET(Table22,552,22,1,1),Table2,8,0))</f>
        <v>AZR_FreeAcctDeveloperFB-AnimatedAI-Ch3_FRA_1200x1200_VIA_AZRDirect_French_NA_Facebook_STAN_LEA_T3_1</v>
      </c>
      <c r="M553" s="2" t="n">
        <f aca="false">IFERROR(VLOOKUP(OFFSET(Table22,552,21,1,1),OFFSET(Table2,0,1,ROWS(Table2),8),8,0),VLOOKUP(OFFSET(Table22,552,22,1,1),Table2,9,0))</f>
        <v>104537813</v>
      </c>
      <c r="N553" s="15" t="s">
        <v>29</v>
      </c>
      <c r="O553" s="16" t="n">
        <v>43352</v>
      </c>
      <c r="P553" s="17" t="s">
        <v>102</v>
      </c>
      <c r="Q553" s="18" t="s">
        <v>103</v>
      </c>
      <c r="R553" s="17" t="s">
        <v>104</v>
      </c>
      <c r="S553" s="18" t="s">
        <v>33</v>
      </c>
      <c r="T553" s="17" t="s">
        <v>34</v>
      </c>
      <c r="U553" s="18" t="s">
        <v>131</v>
      </c>
      <c r="V553" s="19" t="n">
        <v>226359947</v>
      </c>
      <c r="W553" s="17" t="s">
        <v>132</v>
      </c>
      <c r="X553" s="17" t="n">
        <v>7</v>
      </c>
      <c r="Y553" s="17"/>
      <c r="Z553" s="17" t="n">
        <v>0.05</v>
      </c>
      <c r="AA553" s="17" t="s">
        <v>38</v>
      </c>
      <c r="AB553" s="17"/>
    </row>
    <row r="554" customFormat="false" ht="15" hidden="false" customHeight="false" outlineLevel="0" collapsed="false">
      <c r="A554" s="1" t="str">
        <f aca="false">OFFSET(Table22,553,14,1,1)&amp;OFFSET(Table22,553,21,1,1)</f>
        <v>43358226359953</v>
      </c>
      <c r="B554" s="1" t="str">
        <f aca="false">OFFSET(Table22,553,14,1,1)&amp;OFFSET(Table22,553,22,1,1)</f>
        <v>43358Facebook»Developers-Azure Direct-Sponsored Post_Trial_PayGo-Video Ad-Free Account Developer - Generic»1x1»30s»SOC»ALL»CPC»LAL»D»UNK»SS»NA»Trials_ID</v>
      </c>
      <c r="C554" s="1" t="s">
        <v>28</v>
      </c>
      <c r="D554" s="3" t="n">
        <f aca="false">O554+(7-WEEKDAY(O554))</f>
        <v>43358</v>
      </c>
      <c r="E554" s="1" t="str">
        <f aca="false">VLOOKUP(OFFSET(Table22,553,16,1,1),Key!B:D,2,0)</f>
        <v>France</v>
      </c>
      <c r="F554" s="1" t="str">
        <f aca="false">IF(ISNUMBER(SEARCH("Canvas",U554)),"Link",IF(ISNUMBER(SEARCH("Link",U554)),"Link","Not filled properly"))</f>
        <v>Link</v>
      </c>
      <c r="G554" s="1" t="str">
        <f aca="false">IFERROR(VLOOKUP(OFFSET(Table22,553,21,1,1),OFFSET(Table2,0,1,ROWS(Table2),8),2,0),VLOOKUP(OFFSET(Table22,553,22,1,1),Table2,3,0))</f>
        <v>FRA_gaPMG_AZR_AZR_Q1_19_AzureDirect-Trial-Social</v>
      </c>
      <c r="H554" s="1" t="n">
        <f aca="false">IFERROR(VLOOKUP(OFFSET(Table22,553,21,1,1),OFFSET(Table2,0,1,ROWS(Table2),8),3,0),VLOOKUP(OFFSET(Table22,553,22,1,1),Table2,4,0))</f>
        <v>21356941</v>
      </c>
      <c r="I554" s="2" t="n">
        <f aca="false">IFERROR(VLOOKUP(OFFSET(Table22,553,21,1,1),OFFSET(Table2,0,1,ROWS(Table2),8),4,0),VLOOKUP(OFFSET(Table22,553,22,1,1),Table2,5,0))</f>
        <v>720193</v>
      </c>
      <c r="J554" s="3" t="str">
        <f aca="false">IF(ISNUMBER(SEARCH("FACEBOOK",W554)),"Facebook",IF(ISNUMBER(SEARCH("INSTAGRAM",W554)),"Facebook-Instagram","Look at taxonomy"))</f>
        <v>Facebook</v>
      </c>
      <c r="K554" s="3" t="str">
        <f aca="false">IF(ISNUMBER(SEARCH("Facebook",J554)),"3654128","Not Facebook")</f>
        <v>3654128</v>
      </c>
      <c r="L554" s="3" t="str">
        <f aca="false">IFERROR(VLOOKUP(OFFSET(Table22,553,21,1,1),OFFSET(Table2,0,1,ROWS(Table2),8),7,0),VLOOKUP(OFFSET(Table22,553,22,1,1),Table2,8,0))</f>
        <v>AZR_FreeAcctDeveloperFB-AnimatedGeneric-Ch1_FRA_1200x1200_VIA_AZRDirect_French_NA_Facebook_STAN_LEA_T1_1</v>
      </c>
      <c r="M554" s="2" t="n">
        <f aca="false">IFERROR(VLOOKUP(OFFSET(Table22,553,21,1,1),OFFSET(Table2,0,1,ROWS(Table2),8),8,0),VLOOKUP(OFFSET(Table22,553,22,1,1),Table2,9,0))</f>
        <v>104537129</v>
      </c>
      <c r="N554" s="15" t="s">
        <v>29</v>
      </c>
      <c r="O554" s="16" t="n">
        <v>43358</v>
      </c>
      <c r="P554" s="17" t="s">
        <v>102</v>
      </c>
      <c r="Q554" s="18" t="s">
        <v>103</v>
      </c>
      <c r="R554" s="17" t="s">
        <v>104</v>
      </c>
      <c r="S554" s="18" t="s">
        <v>33</v>
      </c>
      <c r="T554" s="17" t="s">
        <v>34</v>
      </c>
      <c r="U554" s="18" t="s">
        <v>131</v>
      </c>
      <c r="V554" s="19" t="n">
        <v>226359953</v>
      </c>
      <c r="W554" s="17" t="s">
        <v>133</v>
      </c>
      <c r="X554" s="17" t="n">
        <v>10</v>
      </c>
      <c r="Y554" s="17" t="n">
        <v>2</v>
      </c>
      <c r="Z554" s="17" t="n">
        <v>0.08</v>
      </c>
      <c r="AA554" s="17" t="s">
        <v>38</v>
      </c>
      <c r="AB554" s="17"/>
    </row>
    <row r="555" customFormat="false" ht="15" hidden="false" customHeight="false" outlineLevel="0" collapsed="false">
      <c r="A555" s="1" t="str">
        <f aca="false">OFFSET(Table22,554,14,1,1)&amp;OFFSET(Table22,554,21,1,1)</f>
        <v>43357226359953</v>
      </c>
      <c r="B555" s="1" t="str">
        <f aca="false">OFFSET(Table22,554,14,1,1)&amp;OFFSET(Table22,554,22,1,1)</f>
        <v>43357Facebook»Developers-Azure Direct-Sponsored Post_Trial_PayGo-Video Ad-Free Account Developer - Generic»1x1»30s»SOC»ALL»CPC»LAL»D»UNK»SS»NA»Trials_ID</v>
      </c>
      <c r="C555" s="1" t="s">
        <v>28</v>
      </c>
      <c r="D555" s="3" t="n">
        <f aca="false">O555+(7-WEEKDAY(O555))</f>
        <v>43358</v>
      </c>
      <c r="E555" s="1" t="str">
        <f aca="false">VLOOKUP(OFFSET(Table22,554,16,1,1),Key!B:D,2,0)</f>
        <v>France</v>
      </c>
      <c r="F555" s="1" t="str">
        <f aca="false">IF(ISNUMBER(SEARCH("Canvas",U555)),"Link",IF(ISNUMBER(SEARCH("Link",U555)),"Link","Not filled properly"))</f>
        <v>Link</v>
      </c>
      <c r="G555" s="1" t="str">
        <f aca="false">IFERROR(VLOOKUP(OFFSET(Table22,554,21,1,1),OFFSET(Table2,0,1,ROWS(Table2),8),2,0),VLOOKUP(OFFSET(Table22,554,22,1,1),Table2,3,0))</f>
        <v>FRA_gaPMG_AZR_AZR_Q1_19_AzureDirect-Trial-Social</v>
      </c>
      <c r="H555" s="1" t="n">
        <f aca="false">IFERROR(VLOOKUP(OFFSET(Table22,554,21,1,1),OFFSET(Table2,0,1,ROWS(Table2),8),3,0),VLOOKUP(OFFSET(Table22,554,22,1,1),Table2,4,0))</f>
        <v>21356941</v>
      </c>
      <c r="I555" s="2" t="n">
        <f aca="false">IFERROR(VLOOKUP(OFFSET(Table22,554,21,1,1),OFFSET(Table2,0,1,ROWS(Table2),8),4,0),VLOOKUP(OFFSET(Table22,554,22,1,1),Table2,5,0))</f>
        <v>720193</v>
      </c>
      <c r="J555" s="3" t="str">
        <f aca="false">IF(ISNUMBER(SEARCH("FACEBOOK",W555)),"Facebook",IF(ISNUMBER(SEARCH("INSTAGRAM",W555)),"Facebook-Instagram","Look at taxonomy"))</f>
        <v>Facebook</v>
      </c>
      <c r="K555" s="3" t="str">
        <f aca="false">IF(ISNUMBER(SEARCH("Facebook",J555)),"3654128","Not Facebook")</f>
        <v>3654128</v>
      </c>
      <c r="L555" s="3" t="str">
        <f aca="false">IFERROR(VLOOKUP(OFFSET(Table22,554,21,1,1),OFFSET(Table2,0,1,ROWS(Table2),8),7,0),VLOOKUP(OFFSET(Table22,554,22,1,1),Table2,8,0))</f>
        <v>AZR_FreeAcctDeveloperFB-AnimatedGeneric-Ch1_FRA_1200x1200_VIA_AZRDirect_French_NA_Facebook_STAN_LEA_T1_1</v>
      </c>
      <c r="M555" s="2" t="n">
        <f aca="false">IFERROR(VLOOKUP(OFFSET(Table22,554,21,1,1),OFFSET(Table2,0,1,ROWS(Table2),8),8,0),VLOOKUP(OFFSET(Table22,554,22,1,1),Table2,9,0))</f>
        <v>104537129</v>
      </c>
      <c r="N555" s="15" t="s">
        <v>29</v>
      </c>
      <c r="O555" s="16" t="n">
        <v>43357</v>
      </c>
      <c r="P555" s="17" t="s">
        <v>102</v>
      </c>
      <c r="Q555" s="18" t="s">
        <v>103</v>
      </c>
      <c r="R555" s="17" t="s">
        <v>104</v>
      </c>
      <c r="S555" s="18" t="s">
        <v>33</v>
      </c>
      <c r="T555" s="17" t="s">
        <v>34</v>
      </c>
      <c r="U555" s="18" t="s">
        <v>131</v>
      </c>
      <c r="V555" s="19" t="n">
        <v>226359953</v>
      </c>
      <c r="W555" s="17" t="s">
        <v>133</v>
      </c>
      <c r="X555" s="17" t="n">
        <v>5</v>
      </c>
      <c r="Y555" s="17"/>
      <c r="Z555" s="17" t="n">
        <v>0.02</v>
      </c>
      <c r="AA555" s="17" t="s">
        <v>38</v>
      </c>
      <c r="AB555" s="17"/>
    </row>
    <row r="556" customFormat="false" ht="15" hidden="false" customHeight="false" outlineLevel="0" collapsed="false">
      <c r="A556" s="1" t="str">
        <f aca="false">OFFSET(Table22,555,14,1,1)&amp;OFFSET(Table22,555,21,1,1)</f>
        <v>43356226359953</v>
      </c>
      <c r="B556" s="1" t="str">
        <f aca="false">OFFSET(Table22,555,14,1,1)&amp;OFFSET(Table22,555,22,1,1)</f>
        <v>43356Facebook»Developers-Azure Direct-Sponsored Post_Trial_PayGo-Video Ad-Free Account Developer - Generic»1x1»30s»SOC»ALL»CPC»LAL»D»UNK»SS»NA»Trials_ID</v>
      </c>
      <c r="C556" s="1" t="s">
        <v>28</v>
      </c>
      <c r="D556" s="3" t="n">
        <f aca="false">O556+(7-WEEKDAY(O556))</f>
        <v>43358</v>
      </c>
      <c r="E556" s="1" t="str">
        <f aca="false">VLOOKUP(OFFSET(Table22,555,16,1,1),Key!B:D,2,0)</f>
        <v>France</v>
      </c>
      <c r="F556" s="1" t="str">
        <f aca="false">IF(ISNUMBER(SEARCH("Canvas",U556)),"Link",IF(ISNUMBER(SEARCH("Link",U556)),"Link","Not filled properly"))</f>
        <v>Link</v>
      </c>
      <c r="G556" s="1" t="str">
        <f aca="false">IFERROR(VLOOKUP(OFFSET(Table22,555,21,1,1),OFFSET(Table2,0,1,ROWS(Table2),8),2,0),VLOOKUP(OFFSET(Table22,555,22,1,1),Table2,3,0))</f>
        <v>FRA_gaPMG_AZR_AZR_Q1_19_AzureDirect-Trial-Social</v>
      </c>
      <c r="H556" s="1" t="n">
        <f aca="false">IFERROR(VLOOKUP(OFFSET(Table22,555,21,1,1),OFFSET(Table2,0,1,ROWS(Table2),8),3,0),VLOOKUP(OFFSET(Table22,555,22,1,1),Table2,4,0))</f>
        <v>21356941</v>
      </c>
      <c r="I556" s="2" t="n">
        <f aca="false">IFERROR(VLOOKUP(OFFSET(Table22,555,21,1,1),OFFSET(Table2,0,1,ROWS(Table2),8),4,0),VLOOKUP(OFFSET(Table22,555,22,1,1),Table2,5,0))</f>
        <v>720193</v>
      </c>
      <c r="J556" s="3" t="str">
        <f aca="false">IF(ISNUMBER(SEARCH("FACEBOOK",W556)),"Facebook",IF(ISNUMBER(SEARCH("INSTAGRAM",W556)),"Facebook-Instagram","Look at taxonomy"))</f>
        <v>Facebook</v>
      </c>
      <c r="K556" s="3" t="str">
        <f aca="false">IF(ISNUMBER(SEARCH("Facebook",J556)),"3654128","Not Facebook")</f>
        <v>3654128</v>
      </c>
      <c r="L556" s="3" t="str">
        <f aca="false">IFERROR(VLOOKUP(OFFSET(Table22,555,21,1,1),OFFSET(Table2,0,1,ROWS(Table2),8),7,0),VLOOKUP(OFFSET(Table22,555,22,1,1),Table2,8,0))</f>
        <v>AZR_FreeAcctDeveloperFB-AnimatedGeneric-Ch1_FRA_1200x1200_VIA_AZRDirect_French_NA_Facebook_STAN_LEA_T1_1</v>
      </c>
      <c r="M556" s="2" t="n">
        <f aca="false">IFERROR(VLOOKUP(OFFSET(Table22,555,21,1,1),OFFSET(Table2,0,1,ROWS(Table2),8),8,0),VLOOKUP(OFFSET(Table22,555,22,1,1),Table2,9,0))</f>
        <v>104537129</v>
      </c>
      <c r="N556" s="15" t="s">
        <v>29</v>
      </c>
      <c r="O556" s="16" t="n">
        <v>43356</v>
      </c>
      <c r="P556" s="17" t="s">
        <v>102</v>
      </c>
      <c r="Q556" s="18" t="s">
        <v>103</v>
      </c>
      <c r="R556" s="17" t="s">
        <v>104</v>
      </c>
      <c r="S556" s="18" t="s">
        <v>33</v>
      </c>
      <c r="T556" s="17" t="s">
        <v>34</v>
      </c>
      <c r="U556" s="18" t="s">
        <v>131</v>
      </c>
      <c r="V556" s="19" t="n">
        <v>226359953</v>
      </c>
      <c r="W556" s="17" t="s">
        <v>133</v>
      </c>
      <c r="X556" s="17" t="n">
        <v>3</v>
      </c>
      <c r="Y556" s="17"/>
      <c r="Z556" s="17" t="n">
        <v>0.02</v>
      </c>
      <c r="AA556" s="17" t="s">
        <v>38</v>
      </c>
      <c r="AB556" s="17"/>
    </row>
    <row r="557" customFormat="false" ht="15" hidden="false" customHeight="false" outlineLevel="0" collapsed="false">
      <c r="A557" s="1" t="str">
        <f aca="false">OFFSET(Table22,556,14,1,1)&amp;OFFSET(Table22,556,21,1,1)</f>
        <v>43355226359953</v>
      </c>
      <c r="B557" s="1" t="str">
        <f aca="false">OFFSET(Table22,556,14,1,1)&amp;OFFSET(Table22,556,22,1,1)</f>
        <v>43355Facebook»Developers-Azure Direct-Sponsored Post_Trial_PayGo-Video Ad-Free Account Developer - Generic»1x1»30s»SOC»ALL»CPC»LAL»D»UNK»SS»NA»Trials_ID</v>
      </c>
      <c r="C557" s="1" t="s">
        <v>28</v>
      </c>
      <c r="D557" s="3" t="n">
        <f aca="false">O557+(7-WEEKDAY(O557))</f>
        <v>43358</v>
      </c>
      <c r="E557" s="1" t="str">
        <f aca="false">VLOOKUP(OFFSET(Table22,556,16,1,1),Key!B:D,2,0)</f>
        <v>France</v>
      </c>
      <c r="F557" s="1" t="str">
        <f aca="false">IF(ISNUMBER(SEARCH("Canvas",U557)),"Link",IF(ISNUMBER(SEARCH("Link",U557)),"Link","Not filled properly"))</f>
        <v>Link</v>
      </c>
      <c r="G557" s="1" t="str">
        <f aca="false">IFERROR(VLOOKUP(OFFSET(Table22,556,21,1,1),OFFSET(Table2,0,1,ROWS(Table2),8),2,0),VLOOKUP(OFFSET(Table22,556,22,1,1),Table2,3,0))</f>
        <v>FRA_gaPMG_AZR_AZR_Q1_19_AzureDirect-Trial-Social</v>
      </c>
      <c r="H557" s="1" t="n">
        <f aca="false">IFERROR(VLOOKUP(OFFSET(Table22,556,21,1,1),OFFSET(Table2,0,1,ROWS(Table2),8),3,0),VLOOKUP(OFFSET(Table22,556,22,1,1),Table2,4,0))</f>
        <v>21356941</v>
      </c>
      <c r="I557" s="2" t="n">
        <f aca="false">IFERROR(VLOOKUP(OFFSET(Table22,556,21,1,1),OFFSET(Table2,0,1,ROWS(Table2),8),4,0),VLOOKUP(OFFSET(Table22,556,22,1,1),Table2,5,0))</f>
        <v>720193</v>
      </c>
      <c r="J557" s="3" t="str">
        <f aca="false">IF(ISNUMBER(SEARCH("FACEBOOK",W557)),"Facebook",IF(ISNUMBER(SEARCH("INSTAGRAM",W557)),"Facebook-Instagram","Look at taxonomy"))</f>
        <v>Facebook</v>
      </c>
      <c r="K557" s="3" t="str">
        <f aca="false">IF(ISNUMBER(SEARCH("Facebook",J557)),"3654128","Not Facebook")</f>
        <v>3654128</v>
      </c>
      <c r="L557" s="3" t="str">
        <f aca="false">IFERROR(VLOOKUP(OFFSET(Table22,556,21,1,1),OFFSET(Table2,0,1,ROWS(Table2),8),7,0),VLOOKUP(OFFSET(Table22,556,22,1,1),Table2,8,0))</f>
        <v>AZR_FreeAcctDeveloperFB-AnimatedGeneric-Ch1_FRA_1200x1200_VIA_AZRDirect_French_NA_Facebook_STAN_LEA_T1_1</v>
      </c>
      <c r="M557" s="2" t="n">
        <f aca="false">IFERROR(VLOOKUP(OFFSET(Table22,556,21,1,1),OFFSET(Table2,0,1,ROWS(Table2),8),8,0),VLOOKUP(OFFSET(Table22,556,22,1,1),Table2,9,0))</f>
        <v>104537129</v>
      </c>
      <c r="N557" s="15" t="s">
        <v>29</v>
      </c>
      <c r="O557" s="16" t="n">
        <v>43355</v>
      </c>
      <c r="P557" s="17" t="s">
        <v>102</v>
      </c>
      <c r="Q557" s="18" t="s">
        <v>103</v>
      </c>
      <c r="R557" s="17" t="s">
        <v>104</v>
      </c>
      <c r="S557" s="18" t="s">
        <v>33</v>
      </c>
      <c r="T557" s="17" t="s">
        <v>34</v>
      </c>
      <c r="U557" s="18" t="s">
        <v>131</v>
      </c>
      <c r="V557" s="19" t="n">
        <v>226359953</v>
      </c>
      <c r="W557" s="17" t="s">
        <v>133</v>
      </c>
      <c r="X557" s="17" t="n">
        <v>5</v>
      </c>
      <c r="Y557" s="17"/>
      <c r="Z557" s="17" t="n">
        <v>0.02</v>
      </c>
      <c r="AA557" s="17" t="s">
        <v>38</v>
      </c>
      <c r="AB557" s="17"/>
    </row>
    <row r="558" customFormat="false" ht="15" hidden="false" customHeight="false" outlineLevel="0" collapsed="false">
      <c r="A558" s="1" t="str">
        <f aca="false">OFFSET(Table22,557,14,1,1)&amp;OFFSET(Table22,557,21,1,1)</f>
        <v>43354226359953</v>
      </c>
      <c r="B558" s="1" t="str">
        <f aca="false">OFFSET(Table22,557,14,1,1)&amp;OFFSET(Table22,557,22,1,1)</f>
        <v>43354Facebook»Developers-Azure Direct-Sponsored Post_Trial_PayGo-Video Ad-Free Account Developer - Generic»1x1»30s»SOC»ALL»CPC»LAL»D»UNK»SS»NA»Trials_ID</v>
      </c>
      <c r="C558" s="1" t="s">
        <v>28</v>
      </c>
      <c r="D558" s="3" t="n">
        <f aca="false">O558+(7-WEEKDAY(O558))</f>
        <v>43358</v>
      </c>
      <c r="E558" s="1" t="str">
        <f aca="false">VLOOKUP(OFFSET(Table22,557,16,1,1),Key!B:D,2,0)</f>
        <v>France</v>
      </c>
      <c r="F558" s="1" t="str">
        <f aca="false">IF(ISNUMBER(SEARCH("Canvas",U558)),"Link",IF(ISNUMBER(SEARCH("Link",U558)),"Link","Not filled properly"))</f>
        <v>Link</v>
      </c>
      <c r="G558" s="1" t="str">
        <f aca="false">IFERROR(VLOOKUP(OFFSET(Table22,557,21,1,1),OFFSET(Table2,0,1,ROWS(Table2),8),2,0),VLOOKUP(OFFSET(Table22,557,22,1,1),Table2,3,0))</f>
        <v>FRA_gaPMG_AZR_AZR_Q1_19_AzureDirect-Trial-Social</v>
      </c>
      <c r="H558" s="1" t="n">
        <f aca="false">IFERROR(VLOOKUP(OFFSET(Table22,557,21,1,1),OFFSET(Table2,0,1,ROWS(Table2),8),3,0),VLOOKUP(OFFSET(Table22,557,22,1,1),Table2,4,0))</f>
        <v>21356941</v>
      </c>
      <c r="I558" s="2" t="n">
        <f aca="false">IFERROR(VLOOKUP(OFFSET(Table22,557,21,1,1),OFFSET(Table2,0,1,ROWS(Table2),8),4,0),VLOOKUP(OFFSET(Table22,557,22,1,1),Table2,5,0))</f>
        <v>720193</v>
      </c>
      <c r="J558" s="3" t="str">
        <f aca="false">IF(ISNUMBER(SEARCH("FACEBOOK",W558)),"Facebook",IF(ISNUMBER(SEARCH("INSTAGRAM",W558)),"Facebook-Instagram","Look at taxonomy"))</f>
        <v>Facebook</v>
      </c>
      <c r="K558" s="3" t="str">
        <f aca="false">IF(ISNUMBER(SEARCH("Facebook",J558)),"3654128","Not Facebook")</f>
        <v>3654128</v>
      </c>
      <c r="L558" s="3" t="str">
        <f aca="false">IFERROR(VLOOKUP(OFFSET(Table22,557,21,1,1),OFFSET(Table2,0,1,ROWS(Table2),8),7,0),VLOOKUP(OFFSET(Table22,557,22,1,1),Table2,8,0))</f>
        <v>AZR_FreeAcctDeveloperFB-AnimatedGeneric-Ch1_FRA_1200x1200_VIA_AZRDirect_French_NA_Facebook_STAN_LEA_T1_1</v>
      </c>
      <c r="M558" s="2" t="n">
        <f aca="false">IFERROR(VLOOKUP(OFFSET(Table22,557,21,1,1),OFFSET(Table2,0,1,ROWS(Table2),8),8,0),VLOOKUP(OFFSET(Table22,557,22,1,1),Table2,9,0))</f>
        <v>104537129</v>
      </c>
      <c r="N558" s="15" t="s">
        <v>29</v>
      </c>
      <c r="O558" s="16" t="n">
        <v>43354</v>
      </c>
      <c r="P558" s="17" t="s">
        <v>102</v>
      </c>
      <c r="Q558" s="18" t="s">
        <v>103</v>
      </c>
      <c r="R558" s="17" t="s">
        <v>104</v>
      </c>
      <c r="S558" s="18" t="s">
        <v>33</v>
      </c>
      <c r="T558" s="17" t="s">
        <v>34</v>
      </c>
      <c r="U558" s="18" t="s">
        <v>131</v>
      </c>
      <c r="V558" s="19" t="n">
        <v>226359953</v>
      </c>
      <c r="W558" s="17" t="s">
        <v>133</v>
      </c>
      <c r="X558" s="17" t="n">
        <v>6</v>
      </c>
      <c r="Y558" s="17"/>
      <c r="Z558" s="17" t="n">
        <v>0.04</v>
      </c>
      <c r="AA558" s="17" t="s">
        <v>38</v>
      </c>
      <c r="AB558" s="17"/>
    </row>
    <row r="559" customFormat="false" ht="15" hidden="false" customHeight="false" outlineLevel="0" collapsed="false">
      <c r="A559" s="1" t="str">
        <f aca="false">OFFSET(Table22,558,14,1,1)&amp;OFFSET(Table22,558,21,1,1)</f>
        <v>43353226359953</v>
      </c>
      <c r="B559" s="1" t="str">
        <f aca="false">OFFSET(Table22,558,14,1,1)&amp;OFFSET(Table22,558,22,1,1)</f>
        <v>43353Facebook»Developers-Azure Direct-Sponsored Post_Trial_PayGo-Video Ad-Free Account Developer - Generic»1x1»30s»SOC»ALL»CPC»LAL»D»UNK»SS»NA»Trials_ID</v>
      </c>
      <c r="C559" s="1" t="s">
        <v>28</v>
      </c>
      <c r="D559" s="3" t="n">
        <f aca="false">O559+(7-WEEKDAY(O559))</f>
        <v>43358</v>
      </c>
      <c r="E559" s="1" t="str">
        <f aca="false">VLOOKUP(OFFSET(Table22,558,16,1,1),Key!B:D,2,0)</f>
        <v>France</v>
      </c>
      <c r="F559" s="1" t="str">
        <f aca="false">IF(ISNUMBER(SEARCH("Canvas",U559)),"Link",IF(ISNUMBER(SEARCH("Link",U559)),"Link","Not filled properly"))</f>
        <v>Link</v>
      </c>
      <c r="G559" s="1" t="str">
        <f aca="false">IFERROR(VLOOKUP(OFFSET(Table22,558,21,1,1),OFFSET(Table2,0,1,ROWS(Table2),8),2,0),VLOOKUP(OFFSET(Table22,558,22,1,1),Table2,3,0))</f>
        <v>FRA_gaPMG_AZR_AZR_Q1_19_AzureDirect-Trial-Social</v>
      </c>
      <c r="H559" s="1" t="n">
        <f aca="false">IFERROR(VLOOKUP(OFFSET(Table22,558,21,1,1),OFFSET(Table2,0,1,ROWS(Table2),8),3,0),VLOOKUP(OFFSET(Table22,558,22,1,1),Table2,4,0))</f>
        <v>21356941</v>
      </c>
      <c r="I559" s="2" t="n">
        <f aca="false">IFERROR(VLOOKUP(OFFSET(Table22,558,21,1,1),OFFSET(Table2,0,1,ROWS(Table2),8),4,0),VLOOKUP(OFFSET(Table22,558,22,1,1),Table2,5,0))</f>
        <v>720193</v>
      </c>
      <c r="J559" s="3" t="str">
        <f aca="false">IF(ISNUMBER(SEARCH("FACEBOOK",W559)),"Facebook",IF(ISNUMBER(SEARCH("INSTAGRAM",W559)),"Facebook-Instagram","Look at taxonomy"))</f>
        <v>Facebook</v>
      </c>
      <c r="K559" s="3" t="str">
        <f aca="false">IF(ISNUMBER(SEARCH("Facebook",J559)),"3654128","Not Facebook")</f>
        <v>3654128</v>
      </c>
      <c r="L559" s="3" t="str">
        <f aca="false">IFERROR(VLOOKUP(OFFSET(Table22,558,21,1,1),OFFSET(Table2,0,1,ROWS(Table2),8),7,0),VLOOKUP(OFFSET(Table22,558,22,1,1),Table2,8,0))</f>
        <v>AZR_FreeAcctDeveloperFB-AnimatedGeneric-Ch1_FRA_1200x1200_VIA_AZRDirect_French_NA_Facebook_STAN_LEA_T1_1</v>
      </c>
      <c r="M559" s="2" t="n">
        <f aca="false">IFERROR(VLOOKUP(OFFSET(Table22,558,21,1,1),OFFSET(Table2,0,1,ROWS(Table2),8),8,0),VLOOKUP(OFFSET(Table22,558,22,1,1),Table2,9,0))</f>
        <v>104537129</v>
      </c>
      <c r="N559" s="15" t="s">
        <v>29</v>
      </c>
      <c r="O559" s="16" t="n">
        <v>43353</v>
      </c>
      <c r="P559" s="17" t="s">
        <v>102</v>
      </c>
      <c r="Q559" s="18" t="s">
        <v>103</v>
      </c>
      <c r="R559" s="17" t="s">
        <v>104</v>
      </c>
      <c r="S559" s="18" t="s">
        <v>33</v>
      </c>
      <c r="T559" s="17" t="s">
        <v>34</v>
      </c>
      <c r="U559" s="18" t="s">
        <v>131</v>
      </c>
      <c r="V559" s="19" t="n">
        <v>226359953</v>
      </c>
      <c r="W559" s="17" t="s">
        <v>133</v>
      </c>
      <c r="X559" s="17" t="n">
        <v>6</v>
      </c>
      <c r="Y559" s="17"/>
      <c r="Z559" s="17" t="n">
        <v>0.04</v>
      </c>
      <c r="AA559" s="17" t="s">
        <v>38</v>
      </c>
      <c r="AB559" s="17"/>
    </row>
    <row r="560" customFormat="false" ht="15" hidden="false" customHeight="false" outlineLevel="0" collapsed="false">
      <c r="A560" s="1" t="str">
        <f aca="false">OFFSET(Table22,559,14,1,1)&amp;OFFSET(Table22,559,21,1,1)</f>
        <v>43352226359953</v>
      </c>
      <c r="B560" s="1" t="str">
        <f aca="false">OFFSET(Table22,559,14,1,1)&amp;OFFSET(Table22,559,22,1,1)</f>
        <v>43352Facebook»Developers-Azure Direct-Sponsored Post_Trial_PayGo-Video Ad-Free Account Developer - Generic»1x1»30s»SOC»ALL»CPC»LAL»D»UNK»SS»NA»Trials_ID</v>
      </c>
      <c r="C560" s="1" t="s">
        <v>28</v>
      </c>
      <c r="D560" s="3" t="n">
        <f aca="false">O560+(7-WEEKDAY(O560))</f>
        <v>43358</v>
      </c>
      <c r="E560" s="1" t="str">
        <f aca="false">VLOOKUP(OFFSET(Table22,559,16,1,1),Key!B:D,2,0)</f>
        <v>France</v>
      </c>
      <c r="F560" s="1" t="str">
        <f aca="false">IF(ISNUMBER(SEARCH("Canvas",U560)),"Link",IF(ISNUMBER(SEARCH("Link",U560)),"Link","Not filled properly"))</f>
        <v>Link</v>
      </c>
      <c r="G560" s="1" t="str">
        <f aca="false">IFERROR(VLOOKUP(OFFSET(Table22,559,21,1,1),OFFSET(Table2,0,1,ROWS(Table2),8),2,0),VLOOKUP(OFFSET(Table22,559,22,1,1),Table2,3,0))</f>
        <v>FRA_gaPMG_AZR_AZR_Q1_19_AzureDirect-Trial-Social</v>
      </c>
      <c r="H560" s="1" t="n">
        <f aca="false">IFERROR(VLOOKUP(OFFSET(Table22,559,21,1,1),OFFSET(Table2,0,1,ROWS(Table2),8),3,0),VLOOKUP(OFFSET(Table22,559,22,1,1),Table2,4,0))</f>
        <v>21356941</v>
      </c>
      <c r="I560" s="2" t="n">
        <f aca="false">IFERROR(VLOOKUP(OFFSET(Table22,559,21,1,1),OFFSET(Table2,0,1,ROWS(Table2),8),4,0),VLOOKUP(OFFSET(Table22,559,22,1,1),Table2,5,0))</f>
        <v>720193</v>
      </c>
      <c r="J560" s="3" t="str">
        <f aca="false">IF(ISNUMBER(SEARCH("FACEBOOK",W560)),"Facebook",IF(ISNUMBER(SEARCH("INSTAGRAM",W560)),"Facebook-Instagram","Look at taxonomy"))</f>
        <v>Facebook</v>
      </c>
      <c r="K560" s="3" t="str">
        <f aca="false">IF(ISNUMBER(SEARCH("Facebook",J560)),"3654128","Not Facebook")</f>
        <v>3654128</v>
      </c>
      <c r="L560" s="3" t="str">
        <f aca="false">IFERROR(VLOOKUP(OFFSET(Table22,559,21,1,1),OFFSET(Table2,0,1,ROWS(Table2),8),7,0),VLOOKUP(OFFSET(Table22,559,22,1,1),Table2,8,0))</f>
        <v>AZR_FreeAcctDeveloperFB-AnimatedGeneric-Ch1_FRA_1200x1200_VIA_AZRDirect_French_NA_Facebook_STAN_LEA_T1_1</v>
      </c>
      <c r="M560" s="2" t="n">
        <f aca="false">IFERROR(VLOOKUP(OFFSET(Table22,559,21,1,1),OFFSET(Table2,0,1,ROWS(Table2),8),8,0),VLOOKUP(OFFSET(Table22,559,22,1,1),Table2,9,0))</f>
        <v>104537129</v>
      </c>
      <c r="N560" s="15" t="s">
        <v>29</v>
      </c>
      <c r="O560" s="16" t="n">
        <v>43352</v>
      </c>
      <c r="P560" s="17" t="s">
        <v>102</v>
      </c>
      <c r="Q560" s="18" t="s">
        <v>103</v>
      </c>
      <c r="R560" s="17" t="s">
        <v>104</v>
      </c>
      <c r="S560" s="18" t="s">
        <v>33</v>
      </c>
      <c r="T560" s="17" t="s">
        <v>34</v>
      </c>
      <c r="U560" s="18" t="s">
        <v>131</v>
      </c>
      <c r="V560" s="19" t="n">
        <v>226359953</v>
      </c>
      <c r="W560" s="17" t="s">
        <v>133</v>
      </c>
      <c r="X560" s="17" t="n">
        <v>3</v>
      </c>
      <c r="Y560" s="17"/>
      <c r="Z560" s="17" t="n">
        <v>0.02</v>
      </c>
      <c r="AA560" s="17" t="s">
        <v>38</v>
      </c>
      <c r="AB560" s="17"/>
    </row>
    <row r="561" customFormat="false" ht="15" hidden="false" customHeight="false" outlineLevel="0" collapsed="false">
      <c r="A561" s="1" t="str">
        <f aca="false">OFFSET(Table22,560,14,1,1)&amp;OFFSET(Table22,560,21,1,1)</f>
        <v>43358226359944</v>
      </c>
      <c r="B561" s="1" t="str">
        <f aca="false">OFFSET(Table22,560,14,1,1)&amp;OFFSET(Table22,560,22,1,1)</f>
        <v>43358Facebook»Developers-Azure Direct-Sponsored Post_Trial_PayGo-Video Ad-Free Account Developer - Intelligent Data»1x1»30s»SOC»ALL»CPC»LAL»D»UNK»SS»NA»Trials_ID</v>
      </c>
      <c r="C561" s="1" t="s">
        <v>28</v>
      </c>
      <c r="D561" s="3" t="n">
        <f aca="false">O561+(7-WEEKDAY(O561))</f>
        <v>43358</v>
      </c>
      <c r="E561" s="1" t="str">
        <f aca="false">VLOOKUP(OFFSET(Table22,560,16,1,1),Key!B:D,2,0)</f>
        <v>France</v>
      </c>
      <c r="F561" s="1" t="str">
        <f aca="false">IF(ISNUMBER(SEARCH("Canvas",U561)),"Link",IF(ISNUMBER(SEARCH("Link",U561)),"Link","Not filled properly"))</f>
        <v>Link</v>
      </c>
      <c r="G561" s="1" t="str">
        <f aca="false">IFERROR(VLOOKUP(OFFSET(Table22,560,21,1,1),OFFSET(Table2,0,1,ROWS(Table2),8),2,0),VLOOKUP(OFFSET(Table22,560,22,1,1),Table2,3,0))</f>
        <v>FRA_gaPMG_AZR_AZR_Q1_19_AzureDirect-Trial-Social</v>
      </c>
      <c r="H561" s="1" t="n">
        <f aca="false">IFERROR(VLOOKUP(OFFSET(Table22,560,21,1,1),OFFSET(Table2,0,1,ROWS(Table2),8),3,0),VLOOKUP(OFFSET(Table22,560,22,1,1),Table2,4,0))</f>
        <v>21356941</v>
      </c>
      <c r="I561" s="2" t="n">
        <f aca="false">IFERROR(VLOOKUP(OFFSET(Table22,560,21,1,1),OFFSET(Table2,0,1,ROWS(Table2),8),4,0),VLOOKUP(OFFSET(Table22,560,22,1,1),Table2,5,0))</f>
        <v>720193</v>
      </c>
      <c r="J561" s="3" t="str">
        <f aca="false">IF(ISNUMBER(SEARCH("FACEBOOK",W561)),"Facebook",IF(ISNUMBER(SEARCH("INSTAGRAM",W561)),"Facebook-Instagram","Look at taxonomy"))</f>
        <v>Facebook</v>
      </c>
      <c r="K561" s="3" t="str">
        <f aca="false">IF(ISNUMBER(SEARCH("Facebook",J561)),"3654128","Not Facebook")</f>
        <v>3654128</v>
      </c>
      <c r="L561" s="3" t="str">
        <f aca="false">IFERROR(VLOOKUP(OFFSET(Table22,560,21,1,1),OFFSET(Table2,0,1,ROWS(Table2),8),7,0),VLOOKUP(OFFSET(Table22,560,22,1,1),Table2,8,0))</f>
        <v>AZR_FreeAcctDeveloperFB-AnimatedData-Ch4_FRA_1200x1200_VIA_AZRDirect_French_NA_Facebook_STAN_LEA_T4_1</v>
      </c>
      <c r="M561" s="2" t="n">
        <f aca="false">IFERROR(VLOOKUP(OFFSET(Table22,560,21,1,1),OFFSET(Table2,0,1,ROWS(Table2),8),8,0),VLOOKUP(OFFSET(Table22,560,22,1,1),Table2,9,0))</f>
        <v>104537816</v>
      </c>
      <c r="N561" s="15" t="s">
        <v>29</v>
      </c>
      <c r="O561" s="16" t="n">
        <v>43358</v>
      </c>
      <c r="P561" s="17" t="s">
        <v>102</v>
      </c>
      <c r="Q561" s="18" t="s">
        <v>103</v>
      </c>
      <c r="R561" s="17" t="s">
        <v>104</v>
      </c>
      <c r="S561" s="18" t="s">
        <v>33</v>
      </c>
      <c r="T561" s="17" t="s">
        <v>34</v>
      </c>
      <c r="U561" s="18" t="s">
        <v>131</v>
      </c>
      <c r="V561" s="19" t="n">
        <v>226359944</v>
      </c>
      <c r="W561" s="17" t="s">
        <v>134</v>
      </c>
      <c r="X561" s="17" t="n">
        <v>2</v>
      </c>
      <c r="Y561" s="17"/>
      <c r="Z561" s="17" t="n">
        <v>0.02</v>
      </c>
      <c r="AA561" s="17" t="s">
        <v>38</v>
      </c>
      <c r="AB561" s="17"/>
    </row>
    <row r="562" customFormat="false" ht="15" hidden="false" customHeight="false" outlineLevel="0" collapsed="false">
      <c r="A562" s="1" t="str">
        <f aca="false">OFFSET(Table22,561,14,1,1)&amp;OFFSET(Table22,561,21,1,1)</f>
        <v>43357226359944</v>
      </c>
      <c r="B562" s="1" t="str">
        <f aca="false">OFFSET(Table22,561,14,1,1)&amp;OFFSET(Table22,561,22,1,1)</f>
        <v>43357Facebook»Developers-Azure Direct-Sponsored Post_Trial_PayGo-Video Ad-Free Account Developer - Intelligent Data»1x1»30s»SOC»ALL»CPC»LAL»D»UNK»SS»NA»Trials_ID</v>
      </c>
      <c r="C562" s="1" t="s">
        <v>28</v>
      </c>
      <c r="D562" s="3" t="n">
        <f aca="false">O562+(7-WEEKDAY(O562))</f>
        <v>43358</v>
      </c>
      <c r="E562" s="1" t="str">
        <f aca="false">VLOOKUP(OFFSET(Table22,561,16,1,1),Key!B:D,2,0)</f>
        <v>France</v>
      </c>
      <c r="F562" s="1" t="str">
        <f aca="false">IF(ISNUMBER(SEARCH("Canvas",U562)),"Link",IF(ISNUMBER(SEARCH("Link",U562)),"Link","Not filled properly"))</f>
        <v>Link</v>
      </c>
      <c r="G562" s="1" t="str">
        <f aca="false">IFERROR(VLOOKUP(OFFSET(Table22,561,21,1,1),OFFSET(Table2,0,1,ROWS(Table2),8),2,0),VLOOKUP(OFFSET(Table22,561,22,1,1),Table2,3,0))</f>
        <v>FRA_gaPMG_AZR_AZR_Q1_19_AzureDirect-Trial-Social</v>
      </c>
      <c r="H562" s="1" t="n">
        <f aca="false">IFERROR(VLOOKUP(OFFSET(Table22,561,21,1,1),OFFSET(Table2,0,1,ROWS(Table2),8),3,0),VLOOKUP(OFFSET(Table22,561,22,1,1),Table2,4,0))</f>
        <v>21356941</v>
      </c>
      <c r="I562" s="2" t="n">
        <f aca="false">IFERROR(VLOOKUP(OFFSET(Table22,561,21,1,1),OFFSET(Table2,0,1,ROWS(Table2),8),4,0),VLOOKUP(OFFSET(Table22,561,22,1,1),Table2,5,0))</f>
        <v>720193</v>
      </c>
      <c r="J562" s="3" t="str">
        <f aca="false">IF(ISNUMBER(SEARCH("FACEBOOK",W562)),"Facebook",IF(ISNUMBER(SEARCH("INSTAGRAM",W562)),"Facebook-Instagram","Look at taxonomy"))</f>
        <v>Facebook</v>
      </c>
      <c r="K562" s="3" t="str">
        <f aca="false">IF(ISNUMBER(SEARCH("Facebook",J562)),"3654128","Not Facebook")</f>
        <v>3654128</v>
      </c>
      <c r="L562" s="3" t="str">
        <f aca="false">IFERROR(VLOOKUP(OFFSET(Table22,561,21,1,1),OFFSET(Table2,0,1,ROWS(Table2),8),7,0),VLOOKUP(OFFSET(Table22,561,22,1,1),Table2,8,0))</f>
        <v>AZR_FreeAcctDeveloperFB-AnimatedData-Ch4_FRA_1200x1200_VIA_AZRDirect_French_NA_Facebook_STAN_LEA_T4_1</v>
      </c>
      <c r="M562" s="2" t="n">
        <f aca="false">IFERROR(VLOOKUP(OFFSET(Table22,561,21,1,1),OFFSET(Table2,0,1,ROWS(Table2),8),8,0),VLOOKUP(OFFSET(Table22,561,22,1,1),Table2,9,0))</f>
        <v>104537816</v>
      </c>
      <c r="N562" s="15" t="s">
        <v>29</v>
      </c>
      <c r="O562" s="16" t="n">
        <v>43357</v>
      </c>
      <c r="P562" s="17" t="s">
        <v>102</v>
      </c>
      <c r="Q562" s="18" t="s">
        <v>103</v>
      </c>
      <c r="R562" s="17" t="s">
        <v>104</v>
      </c>
      <c r="S562" s="18" t="s">
        <v>33</v>
      </c>
      <c r="T562" s="17" t="s">
        <v>34</v>
      </c>
      <c r="U562" s="18" t="s">
        <v>131</v>
      </c>
      <c r="V562" s="19" t="n">
        <v>226359944</v>
      </c>
      <c r="W562" s="17" t="s">
        <v>134</v>
      </c>
      <c r="X562" s="17" t="n">
        <v>0</v>
      </c>
      <c r="Y562" s="17"/>
      <c r="Z562" s="17" t="n">
        <v>0</v>
      </c>
      <c r="AA562" s="17" t="s">
        <v>38</v>
      </c>
      <c r="AB562" s="17"/>
    </row>
    <row r="563" customFormat="false" ht="15" hidden="false" customHeight="false" outlineLevel="0" collapsed="false">
      <c r="A563" s="1" t="str">
        <f aca="false">OFFSET(Table22,562,14,1,1)&amp;OFFSET(Table22,562,21,1,1)</f>
        <v>43356226359944</v>
      </c>
      <c r="B563" s="1" t="str">
        <f aca="false">OFFSET(Table22,562,14,1,1)&amp;OFFSET(Table22,562,22,1,1)</f>
        <v>43356Facebook»Developers-Azure Direct-Sponsored Post_Trial_PayGo-Video Ad-Free Account Developer - Intelligent Data»1x1»30s»SOC»ALL»CPC»LAL»D»UNK»SS»NA»Trials_ID</v>
      </c>
      <c r="C563" s="1" t="s">
        <v>28</v>
      </c>
      <c r="D563" s="3" t="n">
        <f aca="false">O563+(7-WEEKDAY(O563))</f>
        <v>43358</v>
      </c>
      <c r="E563" s="1" t="str">
        <f aca="false">VLOOKUP(OFFSET(Table22,562,16,1,1),Key!B:D,2,0)</f>
        <v>France</v>
      </c>
      <c r="F563" s="1" t="str">
        <f aca="false">IF(ISNUMBER(SEARCH("Canvas",U563)),"Link",IF(ISNUMBER(SEARCH("Link",U563)),"Link","Not filled properly"))</f>
        <v>Link</v>
      </c>
      <c r="G563" s="1" t="str">
        <f aca="false">IFERROR(VLOOKUP(OFFSET(Table22,562,21,1,1),OFFSET(Table2,0,1,ROWS(Table2),8),2,0),VLOOKUP(OFFSET(Table22,562,22,1,1),Table2,3,0))</f>
        <v>FRA_gaPMG_AZR_AZR_Q1_19_AzureDirect-Trial-Social</v>
      </c>
      <c r="H563" s="1" t="n">
        <f aca="false">IFERROR(VLOOKUP(OFFSET(Table22,562,21,1,1),OFFSET(Table2,0,1,ROWS(Table2),8),3,0),VLOOKUP(OFFSET(Table22,562,22,1,1),Table2,4,0))</f>
        <v>21356941</v>
      </c>
      <c r="I563" s="2" t="n">
        <f aca="false">IFERROR(VLOOKUP(OFFSET(Table22,562,21,1,1),OFFSET(Table2,0,1,ROWS(Table2),8),4,0),VLOOKUP(OFFSET(Table22,562,22,1,1),Table2,5,0))</f>
        <v>720193</v>
      </c>
      <c r="J563" s="3" t="str">
        <f aca="false">IF(ISNUMBER(SEARCH("FACEBOOK",W563)),"Facebook",IF(ISNUMBER(SEARCH("INSTAGRAM",W563)),"Facebook-Instagram","Look at taxonomy"))</f>
        <v>Facebook</v>
      </c>
      <c r="K563" s="3" t="str">
        <f aca="false">IF(ISNUMBER(SEARCH("Facebook",J563)),"3654128","Not Facebook")</f>
        <v>3654128</v>
      </c>
      <c r="L563" s="3" t="str">
        <f aca="false">IFERROR(VLOOKUP(OFFSET(Table22,562,21,1,1),OFFSET(Table2,0,1,ROWS(Table2),8),7,0),VLOOKUP(OFFSET(Table22,562,22,1,1),Table2,8,0))</f>
        <v>AZR_FreeAcctDeveloperFB-AnimatedData-Ch4_FRA_1200x1200_VIA_AZRDirect_French_NA_Facebook_STAN_LEA_T4_1</v>
      </c>
      <c r="M563" s="2" t="n">
        <f aca="false">IFERROR(VLOOKUP(OFFSET(Table22,562,21,1,1),OFFSET(Table2,0,1,ROWS(Table2),8),8,0),VLOOKUP(OFFSET(Table22,562,22,1,1),Table2,9,0))</f>
        <v>104537816</v>
      </c>
      <c r="N563" s="15" t="s">
        <v>29</v>
      </c>
      <c r="O563" s="16" t="n">
        <v>43356</v>
      </c>
      <c r="P563" s="17" t="s">
        <v>102</v>
      </c>
      <c r="Q563" s="18" t="s">
        <v>103</v>
      </c>
      <c r="R563" s="17" t="s">
        <v>104</v>
      </c>
      <c r="S563" s="18" t="s">
        <v>33</v>
      </c>
      <c r="T563" s="17" t="s">
        <v>34</v>
      </c>
      <c r="U563" s="18" t="s">
        <v>131</v>
      </c>
      <c r="V563" s="19" t="n">
        <v>226359944</v>
      </c>
      <c r="W563" s="17" t="s">
        <v>134</v>
      </c>
      <c r="X563" s="17" t="n">
        <v>0</v>
      </c>
      <c r="Y563" s="17"/>
      <c r="Z563" s="17" t="n">
        <v>0</v>
      </c>
      <c r="AA563" s="17" t="s">
        <v>38</v>
      </c>
      <c r="AB563" s="17"/>
    </row>
    <row r="564" customFormat="false" ht="15" hidden="false" customHeight="false" outlineLevel="0" collapsed="false">
      <c r="A564" s="1" t="str">
        <f aca="false">OFFSET(Table22,563,14,1,1)&amp;OFFSET(Table22,563,21,1,1)</f>
        <v>43355226359944</v>
      </c>
      <c r="B564" s="1" t="str">
        <f aca="false">OFFSET(Table22,563,14,1,1)&amp;OFFSET(Table22,563,22,1,1)</f>
        <v>43355Facebook»Developers-Azure Direct-Sponsored Post_Trial_PayGo-Video Ad-Free Account Developer - Intelligent Data»1x1»30s»SOC»ALL»CPC»LAL»D»UNK»SS»NA»Trials_ID</v>
      </c>
      <c r="C564" s="1" t="s">
        <v>28</v>
      </c>
      <c r="D564" s="3" t="n">
        <f aca="false">O564+(7-WEEKDAY(O564))</f>
        <v>43358</v>
      </c>
      <c r="E564" s="1" t="str">
        <f aca="false">VLOOKUP(OFFSET(Table22,563,16,1,1),Key!B:D,2,0)</f>
        <v>France</v>
      </c>
      <c r="F564" s="1" t="str">
        <f aca="false">IF(ISNUMBER(SEARCH("Canvas",U564)),"Link",IF(ISNUMBER(SEARCH("Link",U564)),"Link","Not filled properly"))</f>
        <v>Link</v>
      </c>
      <c r="G564" s="1" t="str">
        <f aca="false">IFERROR(VLOOKUP(OFFSET(Table22,563,21,1,1),OFFSET(Table2,0,1,ROWS(Table2),8),2,0),VLOOKUP(OFFSET(Table22,563,22,1,1),Table2,3,0))</f>
        <v>FRA_gaPMG_AZR_AZR_Q1_19_AzureDirect-Trial-Social</v>
      </c>
      <c r="H564" s="1" t="n">
        <f aca="false">IFERROR(VLOOKUP(OFFSET(Table22,563,21,1,1),OFFSET(Table2,0,1,ROWS(Table2),8),3,0),VLOOKUP(OFFSET(Table22,563,22,1,1),Table2,4,0))</f>
        <v>21356941</v>
      </c>
      <c r="I564" s="2" t="n">
        <f aca="false">IFERROR(VLOOKUP(OFFSET(Table22,563,21,1,1),OFFSET(Table2,0,1,ROWS(Table2),8),4,0),VLOOKUP(OFFSET(Table22,563,22,1,1),Table2,5,0))</f>
        <v>720193</v>
      </c>
      <c r="J564" s="3" t="str">
        <f aca="false">IF(ISNUMBER(SEARCH("FACEBOOK",W564)),"Facebook",IF(ISNUMBER(SEARCH("INSTAGRAM",W564)),"Facebook-Instagram","Look at taxonomy"))</f>
        <v>Facebook</v>
      </c>
      <c r="K564" s="3" t="str">
        <f aca="false">IF(ISNUMBER(SEARCH("Facebook",J564)),"3654128","Not Facebook")</f>
        <v>3654128</v>
      </c>
      <c r="L564" s="3" t="str">
        <f aca="false">IFERROR(VLOOKUP(OFFSET(Table22,563,21,1,1),OFFSET(Table2,0,1,ROWS(Table2),8),7,0),VLOOKUP(OFFSET(Table22,563,22,1,1),Table2,8,0))</f>
        <v>AZR_FreeAcctDeveloperFB-AnimatedData-Ch4_FRA_1200x1200_VIA_AZRDirect_French_NA_Facebook_STAN_LEA_T4_1</v>
      </c>
      <c r="M564" s="2" t="n">
        <f aca="false">IFERROR(VLOOKUP(OFFSET(Table22,563,21,1,1),OFFSET(Table2,0,1,ROWS(Table2),8),8,0),VLOOKUP(OFFSET(Table22,563,22,1,1),Table2,9,0))</f>
        <v>104537816</v>
      </c>
      <c r="N564" s="15" t="s">
        <v>29</v>
      </c>
      <c r="O564" s="16" t="n">
        <v>43355</v>
      </c>
      <c r="P564" s="17" t="s">
        <v>102</v>
      </c>
      <c r="Q564" s="18" t="s">
        <v>103</v>
      </c>
      <c r="R564" s="17" t="s">
        <v>104</v>
      </c>
      <c r="S564" s="18" t="s">
        <v>33</v>
      </c>
      <c r="T564" s="17" t="s">
        <v>34</v>
      </c>
      <c r="U564" s="18" t="s">
        <v>131</v>
      </c>
      <c r="V564" s="19" t="n">
        <v>226359944</v>
      </c>
      <c r="W564" s="17" t="s">
        <v>134</v>
      </c>
      <c r="X564" s="17" t="n">
        <v>2</v>
      </c>
      <c r="Y564" s="17"/>
      <c r="Z564" s="17" t="n">
        <v>0</v>
      </c>
      <c r="AA564" s="17" t="s">
        <v>38</v>
      </c>
      <c r="AB564" s="17"/>
    </row>
    <row r="565" customFormat="false" ht="15" hidden="false" customHeight="false" outlineLevel="0" collapsed="false">
      <c r="A565" s="1" t="str">
        <f aca="false">OFFSET(Table22,564,14,1,1)&amp;OFFSET(Table22,564,21,1,1)</f>
        <v>43354226359944</v>
      </c>
      <c r="B565" s="1" t="str">
        <f aca="false">OFFSET(Table22,564,14,1,1)&amp;OFFSET(Table22,564,22,1,1)</f>
        <v>43354Facebook»Developers-Azure Direct-Sponsored Post_Trial_PayGo-Video Ad-Free Account Developer - Intelligent Data»1x1»30s»SOC»ALL»CPC»LAL»D»UNK»SS»NA»Trials_ID</v>
      </c>
      <c r="C565" s="1" t="s">
        <v>28</v>
      </c>
      <c r="D565" s="3" t="n">
        <f aca="false">O565+(7-WEEKDAY(O565))</f>
        <v>43358</v>
      </c>
      <c r="E565" s="1" t="str">
        <f aca="false">VLOOKUP(OFFSET(Table22,564,16,1,1),Key!B:D,2,0)</f>
        <v>France</v>
      </c>
      <c r="F565" s="1" t="str">
        <f aca="false">IF(ISNUMBER(SEARCH("Canvas",U565)),"Link",IF(ISNUMBER(SEARCH("Link",U565)),"Link","Not filled properly"))</f>
        <v>Link</v>
      </c>
      <c r="G565" s="1" t="str">
        <f aca="false">IFERROR(VLOOKUP(OFFSET(Table22,564,21,1,1),OFFSET(Table2,0,1,ROWS(Table2),8),2,0),VLOOKUP(OFFSET(Table22,564,22,1,1),Table2,3,0))</f>
        <v>FRA_gaPMG_AZR_AZR_Q1_19_AzureDirect-Trial-Social</v>
      </c>
      <c r="H565" s="1" t="n">
        <f aca="false">IFERROR(VLOOKUP(OFFSET(Table22,564,21,1,1),OFFSET(Table2,0,1,ROWS(Table2),8),3,0),VLOOKUP(OFFSET(Table22,564,22,1,1),Table2,4,0))</f>
        <v>21356941</v>
      </c>
      <c r="I565" s="2" t="n">
        <f aca="false">IFERROR(VLOOKUP(OFFSET(Table22,564,21,1,1),OFFSET(Table2,0,1,ROWS(Table2),8),4,0),VLOOKUP(OFFSET(Table22,564,22,1,1),Table2,5,0))</f>
        <v>720193</v>
      </c>
      <c r="J565" s="3" t="str">
        <f aca="false">IF(ISNUMBER(SEARCH("FACEBOOK",W565)),"Facebook",IF(ISNUMBER(SEARCH("INSTAGRAM",W565)),"Facebook-Instagram","Look at taxonomy"))</f>
        <v>Facebook</v>
      </c>
      <c r="K565" s="3" t="str">
        <f aca="false">IF(ISNUMBER(SEARCH("Facebook",J565)),"3654128","Not Facebook")</f>
        <v>3654128</v>
      </c>
      <c r="L565" s="3" t="str">
        <f aca="false">IFERROR(VLOOKUP(OFFSET(Table22,564,21,1,1),OFFSET(Table2,0,1,ROWS(Table2),8),7,0),VLOOKUP(OFFSET(Table22,564,22,1,1),Table2,8,0))</f>
        <v>AZR_FreeAcctDeveloperFB-AnimatedData-Ch4_FRA_1200x1200_VIA_AZRDirect_French_NA_Facebook_STAN_LEA_T4_1</v>
      </c>
      <c r="M565" s="2" t="n">
        <f aca="false">IFERROR(VLOOKUP(OFFSET(Table22,564,21,1,1),OFFSET(Table2,0,1,ROWS(Table2),8),8,0),VLOOKUP(OFFSET(Table22,564,22,1,1),Table2,9,0))</f>
        <v>104537816</v>
      </c>
      <c r="N565" s="15" t="s">
        <v>29</v>
      </c>
      <c r="O565" s="16" t="n">
        <v>43354</v>
      </c>
      <c r="P565" s="17" t="s">
        <v>102</v>
      </c>
      <c r="Q565" s="18" t="s">
        <v>103</v>
      </c>
      <c r="R565" s="17" t="s">
        <v>104</v>
      </c>
      <c r="S565" s="18" t="s">
        <v>33</v>
      </c>
      <c r="T565" s="17" t="s">
        <v>34</v>
      </c>
      <c r="U565" s="18" t="s">
        <v>131</v>
      </c>
      <c r="V565" s="19" t="n">
        <v>226359944</v>
      </c>
      <c r="W565" s="17" t="s">
        <v>134</v>
      </c>
      <c r="X565" s="17" t="n">
        <v>1</v>
      </c>
      <c r="Y565" s="17"/>
      <c r="Z565" s="17" t="n">
        <v>0.01</v>
      </c>
      <c r="AA565" s="17" t="s">
        <v>38</v>
      </c>
      <c r="AB565" s="17"/>
    </row>
    <row r="566" customFormat="false" ht="15" hidden="false" customHeight="false" outlineLevel="0" collapsed="false">
      <c r="A566" s="1" t="str">
        <f aca="false">OFFSET(Table22,565,14,1,1)&amp;OFFSET(Table22,565,21,1,1)</f>
        <v>43353226359944</v>
      </c>
      <c r="B566" s="1" t="str">
        <f aca="false">OFFSET(Table22,565,14,1,1)&amp;OFFSET(Table22,565,22,1,1)</f>
        <v>43353Facebook»Developers-Azure Direct-Sponsored Post_Trial_PayGo-Video Ad-Free Account Developer - Intelligent Data»1x1»30s»SOC»ALL»CPC»LAL»D»UNK»SS»NA»Trials_ID</v>
      </c>
      <c r="C566" s="1" t="s">
        <v>28</v>
      </c>
      <c r="D566" s="3" t="n">
        <f aca="false">O566+(7-WEEKDAY(O566))</f>
        <v>43358</v>
      </c>
      <c r="E566" s="1" t="str">
        <f aca="false">VLOOKUP(OFFSET(Table22,565,16,1,1),Key!B:D,2,0)</f>
        <v>France</v>
      </c>
      <c r="F566" s="1" t="str">
        <f aca="false">IF(ISNUMBER(SEARCH("Canvas",U566)),"Link",IF(ISNUMBER(SEARCH("Link",U566)),"Link","Not filled properly"))</f>
        <v>Link</v>
      </c>
      <c r="G566" s="1" t="str">
        <f aca="false">IFERROR(VLOOKUP(OFFSET(Table22,565,21,1,1),OFFSET(Table2,0,1,ROWS(Table2),8),2,0),VLOOKUP(OFFSET(Table22,565,22,1,1),Table2,3,0))</f>
        <v>FRA_gaPMG_AZR_AZR_Q1_19_AzureDirect-Trial-Social</v>
      </c>
      <c r="H566" s="1" t="n">
        <f aca="false">IFERROR(VLOOKUP(OFFSET(Table22,565,21,1,1),OFFSET(Table2,0,1,ROWS(Table2),8),3,0),VLOOKUP(OFFSET(Table22,565,22,1,1),Table2,4,0))</f>
        <v>21356941</v>
      </c>
      <c r="I566" s="2" t="n">
        <f aca="false">IFERROR(VLOOKUP(OFFSET(Table22,565,21,1,1),OFFSET(Table2,0,1,ROWS(Table2),8),4,0),VLOOKUP(OFFSET(Table22,565,22,1,1),Table2,5,0))</f>
        <v>720193</v>
      </c>
      <c r="J566" s="3" t="str">
        <f aca="false">IF(ISNUMBER(SEARCH("FACEBOOK",W566)),"Facebook",IF(ISNUMBER(SEARCH("INSTAGRAM",W566)),"Facebook-Instagram","Look at taxonomy"))</f>
        <v>Facebook</v>
      </c>
      <c r="K566" s="3" t="str">
        <f aca="false">IF(ISNUMBER(SEARCH("Facebook",J566)),"3654128","Not Facebook")</f>
        <v>3654128</v>
      </c>
      <c r="L566" s="3" t="str">
        <f aca="false">IFERROR(VLOOKUP(OFFSET(Table22,565,21,1,1),OFFSET(Table2,0,1,ROWS(Table2),8),7,0),VLOOKUP(OFFSET(Table22,565,22,1,1),Table2,8,0))</f>
        <v>AZR_FreeAcctDeveloperFB-AnimatedData-Ch4_FRA_1200x1200_VIA_AZRDirect_French_NA_Facebook_STAN_LEA_T4_1</v>
      </c>
      <c r="M566" s="2" t="n">
        <f aca="false">IFERROR(VLOOKUP(OFFSET(Table22,565,21,1,1),OFFSET(Table2,0,1,ROWS(Table2),8),8,0),VLOOKUP(OFFSET(Table22,565,22,1,1),Table2,9,0))</f>
        <v>104537816</v>
      </c>
      <c r="N566" s="15" t="s">
        <v>29</v>
      </c>
      <c r="O566" s="16" t="n">
        <v>43353</v>
      </c>
      <c r="P566" s="17" t="s">
        <v>102</v>
      </c>
      <c r="Q566" s="18" t="s">
        <v>103</v>
      </c>
      <c r="R566" s="17" t="s">
        <v>104</v>
      </c>
      <c r="S566" s="18" t="s">
        <v>33</v>
      </c>
      <c r="T566" s="17" t="s">
        <v>34</v>
      </c>
      <c r="U566" s="18" t="s">
        <v>131</v>
      </c>
      <c r="V566" s="19" t="n">
        <v>226359944</v>
      </c>
      <c r="W566" s="17" t="s">
        <v>134</v>
      </c>
      <c r="X566" s="17" t="n">
        <v>6</v>
      </c>
      <c r="Y566" s="17"/>
      <c r="Z566" s="17" t="n">
        <v>0.01</v>
      </c>
      <c r="AA566" s="17" t="s">
        <v>38</v>
      </c>
      <c r="AB566" s="17"/>
    </row>
    <row r="567" customFormat="false" ht="15" hidden="false" customHeight="false" outlineLevel="0" collapsed="false">
      <c r="A567" s="1" t="str">
        <f aca="false">OFFSET(Table22,566,14,1,1)&amp;OFFSET(Table22,566,21,1,1)</f>
        <v>43352226359944</v>
      </c>
      <c r="B567" s="1" t="str">
        <f aca="false">OFFSET(Table22,566,14,1,1)&amp;OFFSET(Table22,566,22,1,1)</f>
        <v>43352Facebook»Developers-Azure Direct-Sponsored Post_Trial_PayGo-Video Ad-Free Account Developer - Intelligent Data»1x1»30s»SOC»ALL»CPC»LAL»D»UNK»SS»NA»Trials_ID</v>
      </c>
      <c r="C567" s="1" t="s">
        <v>28</v>
      </c>
      <c r="D567" s="3" t="n">
        <f aca="false">O567+(7-WEEKDAY(O567))</f>
        <v>43358</v>
      </c>
      <c r="E567" s="1" t="str">
        <f aca="false">VLOOKUP(OFFSET(Table22,566,16,1,1),Key!B:D,2,0)</f>
        <v>France</v>
      </c>
      <c r="F567" s="1" t="str">
        <f aca="false">IF(ISNUMBER(SEARCH("Canvas",U567)),"Link",IF(ISNUMBER(SEARCH("Link",U567)),"Link","Not filled properly"))</f>
        <v>Link</v>
      </c>
      <c r="G567" s="1" t="str">
        <f aca="false">IFERROR(VLOOKUP(OFFSET(Table22,566,21,1,1),OFFSET(Table2,0,1,ROWS(Table2),8),2,0),VLOOKUP(OFFSET(Table22,566,22,1,1),Table2,3,0))</f>
        <v>FRA_gaPMG_AZR_AZR_Q1_19_AzureDirect-Trial-Social</v>
      </c>
      <c r="H567" s="1" t="n">
        <f aca="false">IFERROR(VLOOKUP(OFFSET(Table22,566,21,1,1),OFFSET(Table2,0,1,ROWS(Table2),8),3,0),VLOOKUP(OFFSET(Table22,566,22,1,1),Table2,4,0))</f>
        <v>21356941</v>
      </c>
      <c r="I567" s="2" t="n">
        <f aca="false">IFERROR(VLOOKUP(OFFSET(Table22,566,21,1,1),OFFSET(Table2,0,1,ROWS(Table2),8),4,0),VLOOKUP(OFFSET(Table22,566,22,1,1),Table2,5,0))</f>
        <v>720193</v>
      </c>
      <c r="J567" s="3" t="str">
        <f aca="false">IF(ISNUMBER(SEARCH("FACEBOOK",W567)),"Facebook",IF(ISNUMBER(SEARCH("INSTAGRAM",W567)),"Facebook-Instagram","Look at taxonomy"))</f>
        <v>Facebook</v>
      </c>
      <c r="K567" s="3" t="str">
        <f aca="false">IF(ISNUMBER(SEARCH("Facebook",J567)),"3654128","Not Facebook")</f>
        <v>3654128</v>
      </c>
      <c r="L567" s="3" t="str">
        <f aca="false">IFERROR(VLOOKUP(OFFSET(Table22,566,21,1,1),OFFSET(Table2,0,1,ROWS(Table2),8),7,0),VLOOKUP(OFFSET(Table22,566,22,1,1),Table2,8,0))</f>
        <v>AZR_FreeAcctDeveloperFB-AnimatedData-Ch4_FRA_1200x1200_VIA_AZRDirect_French_NA_Facebook_STAN_LEA_T4_1</v>
      </c>
      <c r="M567" s="2" t="n">
        <f aca="false">IFERROR(VLOOKUP(OFFSET(Table22,566,21,1,1),OFFSET(Table2,0,1,ROWS(Table2),8),8,0),VLOOKUP(OFFSET(Table22,566,22,1,1),Table2,9,0))</f>
        <v>104537816</v>
      </c>
      <c r="N567" s="15" t="s">
        <v>29</v>
      </c>
      <c r="O567" s="16" t="n">
        <v>43352</v>
      </c>
      <c r="P567" s="17" t="s">
        <v>102</v>
      </c>
      <c r="Q567" s="18" t="s">
        <v>103</v>
      </c>
      <c r="R567" s="17" t="s">
        <v>104</v>
      </c>
      <c r="S567" s="18" t="s">
        <v>33</v>
      </c>
      <c r="T567" s="17" t="s">
        <v>34</v>
      </c>
      <c r="U567" s="18" t="s">
        <v>131</v>
      </c>
      <c r="V567" s="19" t="n">
        <v>226359944</v>
      </c>
      <c r="W567" s="17" t="s">
        <v>134</v>
      </c>
      <c r="X567" s="17" t="n">
        <v>30</v>
      </c>
      <c r="Y567" s="17"/>
      <c r="Z567" s="17" t="n">
        <v>0.18</v>
      </c>
      <c r="AA567" s="17" t="s">
        <v>38</v>
      </c>
      <c r="AB567" s="17"/>
    </row>
    <row r="568" customFormat="false" ht="15" hidden="false" customHeight="false" outlineLevel="0" collapsed="false">
      <c r="A568" s="1" t="str">
        <f aca="false">OFFSET(Table22,567,14,1,1)&amp;OFFSET(Table22,567,21,1,1)</f>
        <v>43358226359950</v>
      </c>
      <c r="B568" s="1" t="str">
        <f aca="false">OFFSET(Table22,567,14,1,1)&amp;OFFSET(Table22,567,22,1,1)</f>
        <v>43358Facebook»Developers-Azure Direct-Sponsored Post_Trial_PayGo-Video Ad-Free Account Developer - Open Source»1x1»30s»SOC»ALL»CPC»LAL»D»UNK»SS»NA»Trials_ID</v>
      </c>
      <c r="C568" s="1" t="s">
        <v>28</v>
      </c>
      <c r="D568" s="3" t="n">
        <f aca="false">O568+(7-WEEKDAY(O568))</f>
        <v>43358</v>
      </c>
      <c r="E568" s="1" t="str">
        <f aca="false">VLOOKUP(OFFSET(Table22,567,16,1,1),Key!B:D,2,0)</f>
        <v>France</v>
      </c>
      <c r="F568" s="1" t="str">
        <f aca="false">IF(ISNUMBER(SEARCH("Canvas",U568)),"Link",IF(ISNUMBER(SEARCH("Link",U568)),"Link","Not filled properly"))</f>
        <v>Link</v>
      </c>
      <c r="G568" s="1" t="str">
        <f aca="false">IFERROR(VLOOKUP(OFFSET(Table22,567,21,1,1),OFFSET(Table2,0,1,ROWS(Table2),8),2,0),VLOOKUP(OFFSET(Table22,567,22,1,1),Table2,3,0))</f>
        <v>FRA_gaPMG_AZR_AZR_Q1_19_AzureDirect-Trial-Social</v>
      </c>
      <c r="H568" s="1" t="n">
        <f aca="false">IFERROR(VLOOKUP(OFFSET(Table22,567,21,1,1),OFFSET(Table2,0,1,ROWS(Table2),8),3,0),VLOOKUP(OFFSET(Table22,567,22,1,1),Table2,4,0))</f>
        <v>21356941</v>
      </c>
      <c r="I568" s="2" t="n">
        <f aca="false">IFERROR(VLOOKUP(OFFSET(Table22,567,21,1,1),OFFSET(Table2,0,1,ROWS(Table2),8),4,0),VLOOKUP(OFFSET(Table22,567,22,1,1),Table2,5,0))</f>
        <v>720193</v>
      </c>
      <c r="J568" s="3" t="str">
        <f aca="false">IF(ISNUMBER(SEARCH("FACEBOOK",W568)),"Facebook",IF(ISNUMBER(SEARCH("INSTAGRAM",W568)),"Facebook-Instagram","Look at taxonomy"))</f>
        <v>Facebook</v>
      </c>
      <c r="K568" s="3" t="str">
        <f aca="false">IF(ISNUMBER(SEARCH("Facebook",J568)),"3654128","Not Facebook")</f>
        <v>3654128</v>
      </c>
      <c r="L568" s="3" t="str">
        <f aca="false">IFERROR(VLOOKUP(OFFSET(Table22,567,21,1,1),OFFSET(Table2,0,1,ROWS(Table2),8),7,0),VLOOKUP(OFFSET(Table22,567,22,1,1),Table2,8,0))</f>
        <v>AZR_FreeAcctDeveloperFB-AnimatedOpenSource-Ch2_FRA_1200x1200_VIA_AZRDirect_French_NA_Facebook_STAN_LEA_T2_1</v>
      </c>
      <c r="M568" s="2" t="n">
        <f aca="false">IFERROR(VLOOKUP(OFFSET(Table22,567,21,1,1),OFFSET(Table2,0,1,ROWS(Table2),8),8,0),VLOOKUP(OFFSET(Table22,567,22,1,1),Table2,9,0))</f>
        <v>104537132</v>
      </c>
      <c r="N568" s="15" t="s">
        <v>29</v>
      </c>
      <c r="O568" s="16" t="n">
        <v>43358</v>
      </c>
      <c r="P568" s="17" t="s">
        <v>102</v>
      </c>
      <c r="Q568" s="18" t="s">
        <v>103</v>
      </c>
      <c r="R568" s="17" t="s">
        <v>104</v>
      </c>
      <c r="S568" s="18" t="s">
        <v>33</v>
      </c>
      <c r="T568" s="17" t="s">
        <v>34</v>
      </c>
      <c r="U568" s="18" t="s">
        <v>131</v>
      </c>
      <c r="V568" s="19" t="n">
        <v>226359950</v>
      </c>
      <c r="W568" s="17" t="s">
        <v>135</v>
      </c>
      <c r="X568" s="17" t="n">
        <v>1</v>
      </c>
      <c r="Y568" s="17"/>
      <c r="Z568" s="17" t="n">
        <v>0</v>
      </c>
      <c r="AA568" s="17" t="s">
        <v>38</v>
      </c>
      <c r="AB568" s="17"/>
    </row>
    <row r="569" customFormat="false" ht="15" hidden="false" customHeight="false" outlineLevel="0" collapsed="false">
      <c r="A569" s="1" t="str">
        <f aca="false">OFFSET(Table22,568,14,1,1)&amp;OFFSET(Table22,568,21,1,1)</f>
        <v>43357226359950</v>
      </c>
      <c r="B569" s="1" t="str">
        <f aca="false">OFFSET(Table22,568,14,1,1)&amp;OFFSET(Table22,568,22,1,1)</f>
        <v>43357Facebook»Developers-Azure Direct-Sponsored Post_Trial_PayGo-Video Ad-Free Account Developer - Open Source»1x1»30s»SOC»ALL»CPC»LAL»D»UNK»SS»NA»Trials_ID</v>
      </c>
      <c r="C569" s="1" t="s">
        <v>28</v>
      </c>
      <c r="D569" s="3" t="n">
        <f aca="false">O569+(7-WEEKDAY(O569))</f>
        <v>43358</v>
      </c>
      <c r="E569" s="1" t="str">
        <f aca="false">VLOOKUP(OFFSET(Table22,568,16,1,1),Key!B:D,2,0)</f>
        <v>France</v>
      </c>
      <c r="F569" s="1" t="str">
        <f aca="false">IF(ISNUMBER(SEARCH("Canvas",U569)),"Link",IF(ISNUMBER(SEARCH("Link",U569)),"Link","Not filled properly"))</f>
        <v>Link</v>
      </c>
      <c r="G569" s="1" t="str">
        <f aca="false">IFERROR(VLOOKUP(OFFSET(Table22,568,21,1,1),OFFSET(Table2,0,1,ROWS(Table2),8),2,0),VLOOKUP(OFFSET(Table22,568,22,1,1),Table2,3,0))</f>
        <v>FRA_gaPMG_AZR_AZR_Q1_19_AzureDirect-Trial-Social</v>
      </c>
      <c r="H569" s="1" t="n">
        <f aca="false">IFERROR(VLOOKUP(OFFSET(Table22,568,21,1,1),OFFSET(Table2,0,1,ROWS(Table2),8),3,0),VLOOKUP(OFFSET(Table22,568,22,1,1),Table2,4,0))</f>
        <v>21356941</v>
      </c>
      <c r="I569" s="2" t="n">
        <f aca="false">IFERROR(VLOOKUP(OFFSET(Table22,568,21,1,1),OFFSET(Table2,0,1,ROWS(Table2),8),4,0),VLOOKUP(OFFSET(Table22,568,22,1,1),Table2,5,0))</f>
        <v>720193</v>
      </c>
      <c r="J569" s="3" t="str">
        <f aca="false">IF(ISNUMBER(SEARCH("FACEBOOK",W569)),"Facebook",IF(ISNUMBER(SEARCH("INSTAGRAM",W569)),"Facebook-Instagram","Look at taxonomy"))</f>
        <v>Facebook</v>
      </c>
      <c r="K569" s="3" t="str">
        <f aca="false">IF(ISNUMBER(SEARCH("Facebook",J569)),"3654128","Not Facebook")</f>
        <v>3654128</v>
      </c>
      <c r="L569" s="3" t="str">
        <f aca="false">IFERROR(VLOOKUP(OFFSET(Table22,568,21,1,1),OFFSET(Table2,0,1,ROWS(Table2),8),7,0),VLOOKUP(OFFSET(Table22,568,22,1,1),Table2,8,0))</f>
        <v>AZR_FreeAcctDeveloperFB-AnimatedOpenSource-Ch2_FRA_1200x1200_VIA_AZRDirect_French_NA_Facebook_STAN_LEA_T2_1</v>
      </c>
      <c r="M569" s="2" t="n">
        <f aca="false">IFERROR(VLOOKUP(OFFSET(Table22,568,21,1,1),OFFSET(Table2,0,1,ROWS(Table2),8),8,0),VLOOKUP(OFFSET(Table22,568,22,1,1),Table2,9,0))</f>
        <v>104537132</v>
      </c>
      <c r="N569" s="15" t="s">
        <v>29</v>
      </c>
      <c r="O569" s="16" t="n">
        <v>43357</v>
      </c>
      <c r="P569" s="17" t="s">
        <v>102</v>
      </c>
      <c r="Q569" s="18" t="s">
        <v>103</v>
      </c>
      <c r="R569" s="17" t="s">
        <v>104</v>
      </c>
      <c r="S569" s="18" t="s">
        <v>33</v>
      </c>
      <c r="T569" s="17" t="s">
        <v>34</v>
      </c>
      <c r="U569" s="18" t="s">
        <v>131</v>
      </c>
      <c r="V569" s="19" t="n">
        <v>226359950</v>
      </c>
      <c r="W569" s="17" t="s">
        <v>135</v>
      </c>
      <c r="X569" s="17" t="n">
        <v>3</v>
      </c>
      <c r="Y569" s="17"/>
      <c r="Z569" s="17" t="n">
        <v>0</v>
      </c>
      <c r="AA569" s="17" t="s">
        <v>38</v>
      </c>
      <c r="AB569" s="17"/>
    </row>
    <row r="570" customFormat="false" ht="15" hidden="false" customHeight="false" outlineLevel="0" collapsed="false">
      <c r="A570" s="1" t="str">
        <f aca="false">OFFSET(Table22,569,14,1,1)&amp;OFFSET(Table22,569,21,1,1)</f>
        <v>43356226359950</v>
      </c>
      <c r="B570" s="1" t="str">
        <f aca="false">OFFSET(Table22,569,14,1,1)&amp;OFFSET(Table22,569,22,1,1)</f>
        <v>43356Facebook»Developers-Azure Direct-Sponsored Post_Trial_PayGo-Video Ad-Free Account Developer - Open Source»1x1»30s»SOC»ALL»CPC»LAL»D»UNK»SS»NA»Trials_ID</v>
      </c>
      <c r="C570" s="1" t="s">
        <v>28</v>
      </c>
      <c r="D570" s="3" t="n">
        <f aca="false">O570+(7-WEEKDAY(O570))</f>
        <v>43358</v>
      </c>
      <c r="E570" s="1" t="str">
        <f aca="false">VLOOKUP(OFFSET(Table22,569,16,1,1),Key!B:D,2,0)</f>
        <v>France</v>
      </c>
      <c r="F570" s="1" t="str">
        <f aca="false">IF(ISNUMBER(SEARCH("Canvas",U570)),"Link",IF(ISNUMBER(SEARCH("Link",U570)),"Link","Not filled properly"))</f>
        <v>Link</v>
      </c>
      <c r="G570" s="1" t="str">
        <f aca="false">IFERROR(VLOOKUP(OFFSET(Table22,569,21,1,1),OFFSET(Table2,0,1,ROWS(Table2),8),2,0),VLOOKUP(OFFSET(Table22,569,22,1,1),Table2,3,0))</f>
        <v>FRA_gaPMG_AZR_AZR_Q1_19_AzureDirect-Trial-Social</v>
      </c>
      <c r="H570" s="1" t="n">
        <f aca="false">IFERROR(VLOOKUP(OFFSET(Table22,569,21,1,1),OFFSET(Table2,0,1,ROWS(Table2),8),3,0),VLOOKUP(OFFSET(Table22,569,22,1,1),Table2,4,0))</f>
        <v>21356941</v>
      </c>
      <c r="I570" s="2" t="n">
        <f aca="false">IFERROR(VLOOKUP(OFFSET(Table22,569,21,1,1),OFFSET(Table2,0,1,ROWS(Table2),8),4,0),VLOOKUP(OFFSET(Table22,569,22,1,1),Table2,5,0))</f>
        <v>720193</v>
      </c>
      <c r="J570" s="3" t="str">
        <f aca="false">IF(ISNUMBER(SEARCH("FACEBOOK",W570)),"Facebook",IF(ISNUMBER(SEARCH("INSTAGRAM",W570)),"Facebook-Instagram","Look at taxonomy"))</f>
        <v>Facebook</v>
      </c>
      <c r="K570" s="3" t="str">
        <f aca="false">IF(ISNUMBER(SEARCH("Facebook",J570)),"3654128","Not Facebook")</f>
        <v>3654128</v>
      </c>
      <c r="L570" s="3" t="str">
        <f aca="false">IFERROR(VLOOKUP(OFFSET(Table22,569,21,1,1),OFFSET(Table2,0,1,ROWS(Table2),8),7,0),VLOOKUP(OFFSET(Table22,569,22,1,1),Table2,8,0))</f>
        <v>AZR_FreeAcctDeveloperFB-AnimatedOpenSource-Ch2_FRA_1200x1200_VIA_AZRDirect_French_NA_Facebook_STAN_LEA_T2_1</v>
      </c>
      <c r="M570" s="2" t="n">
        <f aca="false">IFERROR(VLOOKUP(OFFSET(Table22,569,21,1,1),OFFSET(Table2,0,1,ROWS(Table2),8),8,0),VLOOKUP(OFFSET(Table22,569,22,1,1),Table2,9,0))</f>
        <v>104537132</v>
      </c>
      <c r="N570" s="15" t="s">
        <v>29</v>
      </c>
      <c r="O570" s="16" t="n">
        <v>43356</v>
      </c>
      <c r="P570" s="17" t="s">
        <v>102</v>
      </c>
      <c r="Q570" s="18" t="s">
        <v>103</v>
      </c>
      <c r="R570" s="17" t="s">
        <v>104</v>
      </c>
      <c r="S570" s="18" t="s">
        <v>33</v>
      </c>
      <c r="T570" s="17" t="s">
        <v>34</v>
      </c>
      <c r="U570" s="18" t="s">
        <v>131</v>
      </c>
      <c r="V570" s="19" t="n">
        <v>226359950</v>
      </c>
      <c r="W570" s="17" t="s">
        <v>135</v>
      </c>
      <c r="X570" s="17" t="n">
        <v>1</v>
      </c>
      <c r="Y570" s="17"/>
      <c r="Z570" s="17" t="n">
        <v>0</v>
      </c>
      <c r="AA570" s="17" t="s">
        <v>38</v>
      </c>
      <c r="AB570" s="17"/>
    </row>
    <row r="571" customFormat="false" ht="15" hidden="false" customHeight="false" outlineLevel="0" collapsed="false">
      <c r="A571" s="1" t="str">
        <f aca="false">OFFSET(Table22,570,14,1,1)&amp;OFFSET(Table22,570,21,1,1)</f>
        <v>43355226359950</v>
      </c>
      <c r="B571" s="1" t="str">
        <f aca="false">OFFSET(Table22,570,14,1,1)&amp;OFFSET(Table22,570,22,1,1)</f>
        <v>43355Facebook»Developers-Azure Direct-Sponsored Post_Trial_PayGo-Video Ad-Free Account Developer - Open Source»1x1»30s»SOC»ALL»CPC»LAL»D»UNK»SS»NA»Trials_ID</v>
      </c>
      <c r="C571" s="1" t="s">
        <v>28</v>
      </c>
      <c r="D571" s="3" t="n">
        <f aca="false">O571+(7-WEEKDAY(O571))</f>
        <v>43358</v>
      </c>
      <c r="E571" s="1" t="str">
        <f aca="false">VLOOKUP(OFFSET(Table22,570,16,1,1),Key!B:D,2,0)</f>
        <v>France</v>
      </c>
      <c r="F571" s="1" t="str">
        <f aca="false">IF(ISNUMBER(SEARCH("Canvas",U571)),"Link",IF(ISNUMBER(SEARCH("Link",U571)),"Link","Not filled properly"))</f>
        <v>Link</v>
      </c>
      <c r="G571" s="1" t="str">
        <f aca="false">IFERROR(VLOOKUP(OFFSET(Table22,570,21,1,1),OFFSET(Table2,0,1,ROWS(Table2),8),2,0),VLOOKUP(OFFSET(Table22,570,22,1,1),Table2,3,0))</f>
        <v>FRA_gaPMG_AZR_AZR_Q1_19_AzureDirect-Trial-Social</v>
      </c>
      <c r="H571" s="1" t="n">
        <f aca="false">IFERROR(VLOOKUP(OFFSET(Table22,570,21,1,1),OFFSET(Table2,0,1,ROWS(Table2),8),3,0),VLOOKUP(OFFSET(Table22,570,22,1,1),Table2,4,0))</f>
        <v>21356941</v>
      </c>
      <c r="I571" s="2" t="n">
        <f aca="false">IFERROR(VLOOKUP(OFFSET(Table22,570,21,1,1),OFFSET(Table2,0,1,ROWS(Table2),8),4,0),VLOOKUP(OFFSET(Table22,570,22,1,1),Table2,5,0))</f>
        <v>720193</v>
      </c>
      <c r="J571" s="3" t="str">
        <f aca="false">IF(ISNUMBER(SEARCH("FACEBOOK",W571)),"Facebook",IF(ISNUMBER(SEARCH("INSTAGRAM",W571)),"Facebook-Instagram","Look at taxonomy"))</f>
        <v>Facebook</v>
      </c>
      <c r="K571" s="3" t="str">
        <f aca="false">IF(ISNUMBER(SEARCH("Facebook",J571)),"3654128","Not Facebook")</f>
        <v>3654128</v>
      </c>
      <c r="L571" s="3" t="str">
        <f aca="false">IFERROR(VLOOKUP(OFFSET(Table22,570,21,1,1),OFFSET(Table2,0,1,ROWS(Table2),8),7,0),VLOOKUP(OFFSET(Table22,570,22,1,1),Table2,8,0))</f>
        <v>AZR_FreeAcctDeveloperFB-AnimatedOpenSource-Ch2_FRA_1200x1200_VIA_AZRDirect_French_NA_Facebook_STAN_LEA_T2_1</v>
      </c>
      <c r="M571" s="2" t="n">
        <f aca="false">IFERROR(VLOOKUP(OFFSET(Table22,570,21,1,1),OFFSET(Table2,0,1,ROWS(Table2),8),8,0),VLOOKUP(OFFSET(Table22,570,22,1,1),Table2,9,0))</f>
        <v>104537132</v>
      </c>
      <c r="N571" s="15" t="s">
        <v>29</v>
      </c>
      <c r="O571" s="16" t="n">
        <v>43355</v>
      </c>
      <c r="P571" s="17" t="s">
        <v>102</v>
      </c>
      <c r="Q571" s="18" t="s">
        <v>103</v>
      </c>
      <c r="R571" s="17" t="s">
        <v>104</v>
      </c>
      <c r="S571" s="18" t="s">
        <v>33</v>
      </c>
      <c r="T571" s="17" t="s">
        <v>34</v>
      </c>
      <c r="U571" s="18" t="s">
        <v>131</v>
      </c>
      <c r="V571" s="19" t="n">
        <v>226359950</v>
      </c>
      <c r="W571" s="17" t="s">
        <v>135</v>
      </c>
      <c r="X571" s="17" t="n">
        <v>0</v>
      </c>
      <c r="Y571" s="17"/>
      <c r="Z571" s="17" t="n">
        <v>0</v>
      </c>
      <c r="AA571" s="17" t="s">
        <v>38</v>
      </c>
      <c r="AB571" s="17"/>
    </row>
    <row r="572" customFormat="false" ht="15" hidden="false" customHeight="false" outlineLevel="0" collapsed="false">
      <c r="A572" s="1" t="str">
        <f aca="false">OFFSET(Table22,571,14,1,1)&amp;OFFSET(Table22,571,21,1,1)</f>
        <v>43354226359950</v>
      </c>
      <c r="B572" s="1" t="str">
        <f aca="false">OFFSET(Table22,571,14,1,1)&amp;OFFSET(Table22,571,22,1,1)</f>
        <v>43354Facebook»Developers-Azure Direct-Sponsored Post_Trial_PayGo-Video Ad-Free Account Developer - Open Source»1x1»30s»SOC»ALL»CPC»LAL»D»UNK»SS»NA»Trials_ID</v>
      </c>
      <c r="C572" s="1" t="s">
        <v>28</v>
      </c>
      <c r="D572" s="3" t="n">
        <f aca="false">O572+(7-WEEKDAY(O572))</f>
        <v>43358</v>
      </c>
      <c r="E572" s="1" t="str">
        <f aca="false">VLOOKUP(OFFSET(Table22,571,16,1,1),Key!B:D,2,0)</f>
        <v>France</v>
      </c>
      <c r="F572" s="1" t="str">
        <f aca="false">IF(ISNUMBER(SEARCH("Canvas",U572)),"Link",IF(ISNUMBER(SEARCH("Link",U572)),"Link","Not filled properly"))</f>
        <v>Link</v>
      </c>
      <c r="G572" s="1" t="str">
        <f aca="false">IFERROR(VLOOKUP(OFFSET(Table22,571,21,1,1),OFFSET(Table2,0,1,ROWS(Table2),8),2,0),VLOOKUP(OFFSET(Table22,571,22,1,1),Table2,3,0))</f>
        <v>FRA_gaPMG_AZR_AZR_Q1_19_AzureDirect-Trial-Social</v>
      </c>
      <c r="H572" s="1" t="n">
        <f aca="false">IFERROR(VLOOKUP(OFFSET(Table22,571,21,1,1),OFFSET(Table2,0,1,ROWS(Table2),8),3,0),VLOOKUP(OFFSET(Table22,571,22,1,1),Table2,4,0))</f>
        <v>21356941</v>
      </c>
      <c r="I572" s="2" t="n">
        <f aca="false">IFERROR(VLOOKUP(OFFSET(Table22,571,21,1,1),OFFSET(Table2,0,1,ROWS(Table2),8),4,0),VLOOKUP(OFFSET(Table22,571,22,1,1),Table2,5,0))</f>
        <v>720193</v>
      </c>
      <c r="J572" s="3" t="str">
        <f aca="false">IF(ISNUMBER(SEARCH("FACEBOOK",W572)),"Facebook",IF(ISNUMBER(SEARCH("INSTAGRAM",W572)),"Facebook-Instagram","Look at taxonomy"))</f>
        <v>Facebook</v>
      </c>
      <c r="K572" s="3" t="str">
        <f aca="false">IF(ISNUMBER(SEARCH("Facebook",J572)),"3654128","Not Facebook")</f>
        <v>3654128</v>
      </c>
      <c r="L572" s="3" t="str">
        <f aca="false">IFERROR(VLOOKUP(OFFSET(Table22,571,21,1,1),OFFSET(Table2,0,1,ROWS(Table2),8),7,0),VLOOKUP(OFFSET(Table22,571,22,1,1),Table2,8,0))</f>
        <v>AZR_FreeAcctDeveloperFB-AnimatedOpenSource-Ch2_FRA_1200x1200_VIA_AZRDirect_French_NA_Facebook_STAN_LEA_T2_1</v>
      </c>
      <c r="M572" s="2" t="n">
        <f aca="false">IFERROR(VLOOKUP(OFFSET(Table22,571,21,1,1),OFFSET(Table2,0,1,ROWS(Table2),8),8,0),VLOOKUP(OFFSET(Table22,571,22,1,1),Table2,9,0))</f>
        <v>104537132</v>
      </c>
      <c r="N572" s="15" t="s">
        <v>29</v>
      </c>
      <c r="O572" s="16" t="n">
        <v>43354</v>
      </c>
      <c r="P572" s="17" t="s">
        <v>102</v>
      </c>
      <c r="Q572" s="18" t="s">
        <v>103</v>
      </c>
      <c r="R572" s="17" t="s">
        <v>104</v>
      </c>
      <c r="S572" s="18" t="s">
        <v>33</v>
      </c>
      <c r="T572" s="17" t="s">
        <v>34</v>
      </c>
      <c r="U572" s="18" t="s">
        <v>131</v>
      </c>
      <c r="V572" s="19" t="n">
        <v>226359950</v>
      </c>
      <c r="W572" s="17" t="s">
        <v>135</v>
      </c>
      <c r="X572" s="17" t="n">
        <v>0</v>
      </c>
      <c r="Y572" s="17"/>
      <c r="Z572" s="17" t="n">
        <v>0</v>
      </c>
      <c r="AA572" s="17" t="s">
        <v>38</v>
      </c>
      <c r="AB572" s="17"/>
    </row>
    <row r="573" customFormat="false" ht="15" hidden="false" customHeight="false" outlineLevel="0" collapsed="false">
      <c r="A573" s="1" t="str">
        <f aca="false">OFFSET(Table22,572,14,1,1)&amp;OFFSET(Table22,572,21,1,1)</f>
        <v>43353226359950</v>
      </c>
      <c r="B573" s="1" t="str">
        <f aca="false">OFFSET(Table22,572,14,1,1)&amp;OFFSET(Table22,572,22,1,1)</f>
        <v>43353Facebook»Developers-Azure Direct-Sponsored Post_Trial_PayGo-Video Ad-Free Account Developer - Open Source»1x1»30s»SOC»ALL»CPC»LAL»D»UNK»SS»NA»Trials_ID</v>
      </c>
      <c r="C573" s="1" t="s">
        <v>28</v>
      </c>
      <c r="D573" s="3" t="n">
        <f aca="false">O573+(7-WEEKDAY(O573))</f>
        <v>43358</v>
      </c>
      <c r="E573" s="1" t="str">
        <f aca="false">VLOOKUP(OFFSET(Table22,572,16,1,1),Key!B:D,2,0)</f>
        <v>France</v>
      </c>
      <c r="F573" s="1" t="str">
        <f aca="false">IF(ISNUMBER(SEARCH("Canvas",U573)),"Link",IF(ISNUMBER(SEARCH("Link",U573)),"Link","Not filled properly"))</f>
        <v>Link</v>
      </c>
      <c r="G573" s="1" t="str">
        <f aca="false">IFERROR(VLOOKUP(OFFSET(Table22,572,21,1,1),OFFSET(Table2,0,1,ROWS(Table2),8),2,0),VLOOKUP(OFFSET(Table22,572,22,1,1),Table2,3,0))</f>
        <v>FRA_gaPMG_AZR_AZR_Q1_19_AzureDirect-Trial-Social</v>
      </c>
      <c r="H573" s="1" t="n">
        <f aca="false">IFERROR(VLOOKUP(OFFSET(Table22,572,21,1,1),OFFSET(Table2,0,1,ROWS(Table2),8),3,0),VLOOKUP(OFFSET(Table22,572,22,1,1),Table2,4,0))</f>
        <v>21356941</v>
      </c>
      <c r="I573" s="2" t="n">
        <f aca="false">IFERROR(VLOOKUP(OFFSET(Table22,572,21,1,1),OFFSET(Table2,0,1,ROWS(Table2),8),4,0),VLOOKUP(OFFSET(Table22,572,22,1,1),Table2,5,0))</f>
        <v>720193</v>
      </c>
      <c r="J573" s="3" t="str">
        <f aca="false">IF(ISNUMBER(SEARCH("FACEBOOK",W573)),"Facebook",IF(ISNUMBER(SEARCH("INSTAGRAM",W573)),"Facebook-Instagram","Look at taxonomy"))</f>
        <v>Facebook</v>
      </c>
      <c r="K573" s="3" t="str">
        <f aca="false">IF(ISNUMBER(SEARCH("Facebook",J573)),"3654128","Not Facebook")</f>
        <v>3654128</v>
      </c>
      <c r="L573" s="3" t="str">
        <f aca="false">IFERROR(VLOOKUP(OFFSET(Table22,572,21,1,1),OFFSET(Table2,0,1,ROWS(Table2),8),7,0),VLOOKUP(OFFSET(Table22,572,22,1,1),Table2,8,0))</f>
        <v>AZR_FreeAcctDeveloperFB-AnimatedOpenSource-Ch2_FRA_1200x1200_VIA_AZRDirect_French_NA_Facebook_STAN_LEA_T2_1</v>
      </c>
      <c r="M573" s="2" t="n">
        <f aca="false">IFERROR(VLOOKUP(OFFSET(Table22,572,21,1,1),OFFSET(Table2,0,1,ROWS(Table2),8),8,0),VLOOKUP(OFFSET(Table22,572,22,1,1),Table2,9,0))</f>
        <v>104537132</v>
      </c>
      <c r="N573" s="15" t="s">
        <v>29</v>
      </c>
      <c r="O573" s="16" t="n">
        <v>43353</v>
      </c>
      <c r="P573" s="17" t="s">
        <v>102</v>
      </c>
      <c r="Q573" s="18" t="s">
        <v>103</v>
      </c>
      <c r="R573" s="17" t="s">
        <v>104</v>
      </c>
      <c r="S573" s="18" t="s">
        <v>33</v>
      </c>
      <c r="T573" s="17" t="s">
        <v>34</v>
      </c>
      <c r="U573" s="18" t="s">
        <v>131</v>
      </c>
      <c r="V573" s="19" t="n">
        <v>226359950</v>
      </c>
      <c r="W573" s="17" t="s">
        <v>135</v>
      </c>
      <c r="X573" s="17" t="n">
        <v>5</v>
      </c>
      <c r="Y573" s="17"/>
      <c r="Z573" s="17" t="n">
        <v>0.05</v>
      </c>
      <c r="AA573" s="17" t="s">
        <v>38</v>
      </c>
      <c r="AB573" s="17"/>
    </row>
    <row r="574" customFormat="false" ht="15" hidden="false" customHeight="false" outlineLevel="0" collapsed="false">
      <c r="A574" s="1" t="str">
        <f aca="false">OFFSET(Table22,573,14,1,1)&amp;OFFSET(Table22,573,21,1,1)</f>
        <v>43352226359950</v>
      </c>
      <c r="B574" s="1" t="str">
        <f aca="false">OFFSET(Table22,573,14,1,1)&amp;OFFSET(Table22,573,22,1,1)</f>
        <v>43352Facebook»Developers-Azure Direct-Sponsored Post_Trial_PayGo-Video Ad-Free Account Developer - Open Source»1x1»30s»SOC»ALL»CPC»LAL»D»UNK»SS»NA»Trials_ID</v>
      </c>
      <c r="C574" s="1" t="s">
        <v>28</v>
      </c>
      <c r="D574" s="3" t="n">
        <f aca="false">O574+(7-WEEKDAY(O574))</f>
        <v>43358</v>
      </c>
      <c r="E574" s="1" t="str">
        <f aca="false">VLOOKUP(OFFSET(Table22,573,16,1,1),Key!B:D,2,0)</f>
        <v>France</v>
      </c>
      <c r="F574" s="1" t="str">
        <f aca="false">IF(ISNUMBER(SEARCH("Canvas",U574)),"Link",IF(ISNUMBER(SEARCH("Link",U574)),"Link","Not filled properly"))</f>
        <v>Link</v>
      </c>
      <c r="G574" s="1" t="str">
        <f aca="false">IFERROR(VLOOKUP(OFFSET(Table22,573,21,1,1),OFFSET(Table2,0,1,ROWS(Table2),8),2,0),VLOOKUP(OFFSET(Table22,573,22,1,1),Table2,3,0))</f>
        <v>FRA_gaPMG_AZR_AZR_Q1_19_AzureDirect-Trial-Social</v>
      </c>
      <c r="H574" s="1" t="n">
        <f aca="false">IFERROR(VLOOKUP(OFFSET(Table22,573,21,1,1),OFFSET(Table2,0,1,ROWS(Table2),8),3,0),VLOOKUP(OFFSET(Table22,573,22,1,1),Table2,4,0))</f>
        <v>21356941</v>
      </c>
      <c r="I574" s="2" t="n">
        <f aca="false">IFERROR(VLOOKUP(OFFSET(Table22,573,21,1,1),OFFSET(Table2,0,1,ROWS(Table2),8),4,0),VLOOKUP(OFFSET(Table22,573,22,1,1),Table2,5,0))</f>
        <v>720193</v>
      </c>
      <c r="J574" s="3" t="str">
        <f aca="false">IF(ISNUMBER(SEARCH("FACEBOOK",W574)),"Facebook",IF(ISNUMBER(SEARCH("INSTAGRAM",W574)),"Facebook-Instagram","Look at taxonomy"))</f>
        <v>Facebook</v>
      </c>
      <c r="K574" s="3" t="str">
        <f aca="false">IF(ISNUMBER(SEARCH("Facebook",J574)),"3654128","Not Facebook")</f>
        <v>3654128</v>
      </c>
      <c r="L574" s="3" t="str">
        <f aca="false">IFERROR(VLOOKUP(OFFSET(Table22,573,21,1,1),OFFSET(Table2,0,1,ROWS(Table2),8),7,0),VLOOKUP(OFFSET(Table22,573,22,1,1),Table2,8,0))</f>
        <v>AZR_FreeAcctDeveloperFB-AnimatedOpenSource-Ch2_FRA_1200x1200_VIA_AZRDirect_French_NA_Facebook_STAN_LEA_T2_1</v>
      </c>
      <c r="M574" s="2" t="n">
        <f aca="false">IFERROR(VLOOKUP(OFFSET(Table22,573,21,1,1),OFFSET(Table2,0,1,ROWS(Table2),8),8,0),VLOOKUP(OFFSET(Table22,573,22,1,1),Table2,9,0))</f>
        <v>104537132</v>
      </c>
      <c r="N574" s="15" t="s">
        <v>29</v>
      </c>
      <c r="O574" s="16" t="n">
        <v>43352</v>
      </c>
      <c r="P574" s="17" t="s">
        <v>102</v>
      </c>
      <c r="Q574" s="18" t="s">
        <v>103</v>
      </c>
      <c r="R574" s="17" t="s">
        <v>104</v>
      </c>
      <c r="S574" s="18" t="s">
        <v>33</v>
      </c>
      <c r="T574" s="17" t="s">
        <v>34</v>
      </c>
      <c r="U574" s="18" t="s">
        <v>131</v>
      </c>
      <c r="V574" s="19" t="n">
        <v>226359950</v>
      </c>
      <c r="W574" s="17" t="s">
        <v>135</v>
      </c>
      <c r="X574" s="17" t="n">
        <v>9</v>
      </c>
      <c r="Y574" s="17"/>
      <c r="Z574" s="17" t="n">
        <v>0.02</v>
      </c>
      <c r="AA574" s="17" t="s">
        <v>38</v>
      </c>
      <c r="AB574" s="17"/>
    </row>
    <row r="575" customFormat="false" ht="15" hidden="false" customHeight="false" outlineLevel="0" collapsed="false">
      <c r="A575" s="1" t="str">
        <f aca="false">OFFSET(Table22,574,14,1,1)&amp;OFFSET(Table22,574,21,1,1)</f>
        <v>43358226360019</v>
      </c>
      <c r="B575" s="1" t="str">
        <f aca="false">OFFSET(Table22,574,14,1,1)&amp;OFFSET(Table22,574,22,1,1)</f>
        <v>43358Facebook»Developers-Azure Direct-Sponsored Post_Trial-Video Ad-Free Account Developer - AI»1x1»30s»SOC»ALL»CPC»LAL»D»UNK»SS»NA»Trials_ID</v>
      </c>
      <c r="C575" s="1" t="s">
        <v>28</v>
      </c>
      <c r="D575" s="3" t="n">
        <f aca="false">O575+(7-WEEKDAY(O575))</f>
        <v>43358</v>
      </c>
      <c r="E575" s="1" t="str">
        <f aca="false">VLOOKUP(OFFSET(Table22,574,16,1,1),Key!B:D,2,0)</f>
        <v>France</v>
      </c>
      <c r="F575" s="1" t="str">
        <f aca="false">IF(ISNUMBER(SEARCH("Canvas",U575)),"Link",IF(ISNUMBER(SEARCH("Link",U575)),"Link","Not filled properly"))</f>
        <v>Link</v>
      </c>
      <c r="G575" s="1" t="str">
        <f aca="false">IFERROR(VLOOKUP(OFFSET(Table22,574,21,1,1),OFFSET(Table2,0,1,ROWS(Table2),8),2,0),VLOOKUP(OFFSET(Table22,574,22,1,1),Table2,3,0))</f>
        <v>FRA_gaPMG_AZR_AZR_Q1_19_AzureDirect-Trial-Social</v>
      </c>
      <c r="H575" s="1" t="n">
        <f aca="false">IFERROR(VLOOKUP(OFFSET(Table22,574,21,1,1),OFFSET(Table2,0,1,ROWS(Table2),8),3,0),VLOOKUP(OFFSET(Table22,574,22,1,1),Table2,4,0))</f>
        <v>21356941</v>
      </c>
      <c r="I575" s="2" t="n">
        <f aca="false">IFERROR(VLOOKUP(OFFSET(Table22,574,21,1,1),OFFSET(Table2,0,1,ROWS(Table2),8),4,0),VLOOKUP(OFFSET(Table22,574,22,1,1),Table2,5,0))</f>
        <v>720193</v>
      </c>
      <c r="J575" s="3" t="str">
        <f aca="false">IF(ISNUMBER(SEARCH("FACEBOOK",W575)),"Facebook",IF(ISNUMBER(SEARCH("INSTAGRAM",W575)),"Facebook-Instagram","Look at taxonomy"))</f>
        <v>Facebook</v>
      </c>
      <c r="K575" s="3" t="str">
        <f aca="false">IF(ISNUMBER(SEARCH("Facebook",J575)),"3654128","Not Facebook")</f>
        <v>3654128</v>
      </c>
      <c r="L575" s="3" t="str">
        <f aca="false">IFERROR(VLOOKUP(OFFSET(Table22,574,21,1,1),OFFSET(Table2,0,1,ROWS(Table2),8),7,0),VLOOKUP(OFFSET(Table22,574,22,1,1),Table2,8,0))</f>
        <v>AZR_FreeAcctDeveloperFB-AnimatedAI-Ch3_FRA_1200x1200_VIA_AZRDirect_French_NA_Facebook_STAN_LEA_T3_1</v>
      </c>
      <c r="M575" s="2" t="n">
        <f aca="false">IFERROR(VLOOKUP(OFFSET(Table22,574,21,1,1),OFFSET(Table2,0,1,ROWS(Table2),8),8,0),VLOOKUP(OFFSET(Table22,574,22,1,1),Table2,9,0))</f>
        <v>104537813</v>
      </c>
      <c r="N575" s="15" t="s">
        <v>29</v>
      </c>
      <c r="O575" s="16" t="n">
        <v>43358</v>
      </c>
      <c r="P575" s="17" t="s">
        <v>102</v>
      </c>
      <c r="Q575" s="18" t="s">
        <v>103</v>
      </c>
      <c r="R575" s="17" t="s">
        <v>104</v>
      </c>
      <c r="S575" s="18" t="s">
        <v>33</v>
      </c>
      <c r="T575" s="17" t="s">
        <v>34</v>
      </c>
      <c r="U575" s="18" t="s">
        <v>131</v>
      </c>
      <c r="V575" s="19" t="n">
        <v>226360019</v>
      </c>
      <c r="W575" s="17" t="s">
        <v>136</v>
      </c>
      <c r="X575" s="17" t="n">
        <v>0</v>
      </c>
      <c r="Y575" s="17"/>
      <c r="Z575" s="17" t="n">
        <v>0</v>
      </c>
      <c r="AA575" s="17" t="s">
        <v>38</v>
      </c>
      <c r="AB575" s="17"/>
    </row>
    <row r="576" customFormat="false" ht="15" hidden="false" customHeight="false" outlineLevel="0" collapsed="false">
      <c r="A576" s="1" t="str">
        <f aca="false">OFFSET(Table22,575,14,1,1)&amp;OFFSET(Table22,575,21,1,1)</f>
        <v>43357226360019</v>
      </c>
      <c r="B576" s="1" t="str">
        <f aca="false">OFFSET(Table22,575,14,1,1)&amp;OFFSET(Table22,575,22,1,1)</f>
        <v>43357Facebook»Developers-Azure Direct-Sponsored Post_Trial-Video Ad-Free Account Developer - AI»1x1»30s»SOC»ALL»CPC»LAL»D»UNK»SS»NA»Trials_ID</v>
      </c>
      <c r="C576" s="1" t="s">
        <v>28</v>
      </c>
      <c r="D576" s="3" t="n">
        <f aca="false">O576+(7-WEEKDAY(O576))</f>
        <v>43358</v>
      </c>
      <c r="E576" s="1" t="str">
        <f aca="false">VLOOKUP(OFFSET(Table22,575,16,1,1),Key!B:D,2,0)</f>
        <v>France</v>
      </c>
      <c r="F576" s="1" t="str">
        <f aca="false">IF(ISNUMBER(SEARCH("Canvas",U576)),"Link",IF(ISNUMBER(SEARCH("Link",U576)),"Link","Not filled properly"))</f>
        <v>Link</v>
      </c>
      <c r="G576" s="1" t="str">
        <f aca="false">IFERROR(VLOOKUP(OFFSET(Table22,575,21,1,1),OFFSET(Table2,0,1,ROWS(Table2),8),2,0),VLOOKUP(OFFSET(Table22,575,22,1,1),Table2,3,0))</f>
        <v>FRA_gaPMG_AZR_AZR_Q1_19_AzureDirect-Trial-Social</v>
      </c>
      <c r="H576" s="1" t="n">
        <f aca="false">IFERROR(VLOOKUP(OFFSET(Table22,575,21,1,1),OFFSET(Table2,0,1,ROWS(Table2),8),3,0),VLOOKUP(OFFSET(Table22,575,22,1,1),Table2,4,0))</f>
        <v>21356941</v>
      </c>
      <c r="I576" s="2" t="n">
        <f aca="false">IFERROR(VLOOKUP(OFFSET(Table22,575,21,1,1),OFFSET(Table2,0,1,ROWS(Table2),8),4,0),VLOOKUP(OFFSET(Table22,575,22,1,1),Table2,5,0))</f>
        <v>720193</v>
      </c>
      <c r="J576" s="3" t="str">
        <f aca="false">IF(ISNUMBER(SEARCH("FACEBOOK",W576)),"Facebook",IF(ISNUMBER(SEARCH("INSTAGRAM",W576)),"Facebook-Instagram","Look at taxonomy"))</f>
        <v>Facebook</v>
      </c>
      <c r="K576" s="3" t="str">
        <f aca="false">IF(ISNUMBER(SEARCH("Facebook",J576)),"3654128","Not Facebook")</f>
        <v>3654128</v>
      </c>
      <c r="L576" s="3" t="str">
        <f aca="false">IFERROR(VLOOKUP(OFFSET(Table22,575,21,1,1),OFFSET(Table2,0,1,ROWS(Table2),8),7,0),VLOOKUP(OFFSET(Table22,575,22,1,1),Table2,8,0))</f>
        <v>AZR_FreeAcctDeveloperFB-AnimatedAI-Ch3_FRA_1200x1200_VIA_AZRDirect_French_NA_Facebook_STAN_LEA_T3_1</v>
      </c>
      <c r="M576" s="2" t="n">
        <f aca="false">IFERROR(VLOOKUP(OFFSET(Table22,575,21,1,1),OFFSET(Table2,0,1,ROWS(Table2),8),8,0),VLOOKUP(OFFSET(Table22,575,22,1,1),Table2,9,0))</f>
        <v>104537813</v>
      </c>
      <c r="N576" s="15" t="s">
        <v>29</v>
      </c>
      <c r="O576" s="16" t="n">
        <v>43357</v>
      </c>
      <c r="P576" s="17" t="s">
        <v>102</v>
      </c>
      <c r="Q576" s="18" t="s">
        <v>103</v>
      </c>
      <c r="R576" s="17" t="s">
        <v>104</v>
      </c>
      <c r="S576" s="18" t="s">
        <v>33</v>
      </c>
      <c r="T576" s="17" t="s">
        <v>34</v>
      </c>
      <c r="U576" s="18" t="s">
        <v>131</v>
      </c>
      <c r="V576" s="19" t="n">
        <v>226360019</v>
      </c>
      <c r="W576" s="17" t="s">
        <v>136</v>
      </c>
      <c r="X576" s="17" t="n">
        <v>0</v>
      </c>
      <c r="Y576" s="17"/>
      <c r="Z576" s="17" t="n">
        <v>0</v>
      </c>
      <c r="AA576" s="17" t="s">
        <v>38</v>
      </c>
      <c r="AB576" s="17"/>
    </row>
    <row r="577" customFormat="false" ht="15" hidden="false" customHeight="false" outlineLevel="0" collapsed="false">
      <c r="A577" s="1" t="str">
        <f aca="false">OFFSET(Table22,576,14,1,1)&amp;OFFSET(Table22,576,21,1,1)</f>
        <v>43356226360019</v>
      </c>
      <c r="B577" s="1" t="str">
        <f aca="false">OFFSET(Table22,576,14,1,1)&amp;OFFSET(Table22,576,22,1,1)</f>
        <v>43356Facebook»Developers-Azure Direct-Sponsored Post_Trial-Video Ad-Free Account Developer - AI»1x1»30s»SOC»ALL»CPC»LAL»D»UNK»SS»NA»Trials_ID</v>
      </c>
      <c r="C577" s="1" t="s">
        <v>28</v>
      </c>
      <c r="D577" s="3" t="n">
        <f aca="false">O577+(7-WEEKDAY(O577))</f>
        <v>43358</v>
      </c>
      <c r="E577" s="1" t="str">
        <f aca="false">VLOOKUP(OFFSET(Table22,576,16,1,1),Key!B:D,2,0)</f>
        <v>France</v>
      </c>
      <c r="F577" s="1" t="str">
        <f aca="false">IF(ISNUMBER(SEARCH("Canvas",U577)),"Link",IF(ISNUMBER(SEARCH("Link",U577)),"Link","Not filled properly"))</f>
        <v>Link</v>
      </c>
      <c r="G577" s="1" t="str">
        <f aca="false">IFERROR(VLOOKUP(OFFSET(Table22,576,21,1,1),OFFSET(Table2,0,1,ROWS(Table2),8),2,0),VLOOKUP(OFFSET(Table22,576,22,1,1),Table2,3,0))</f>
        <v>FRA_gaPMG_AZR_AZR_Q1_19_AzureDirect-Trial-Social</v>
      </c>
      <c r="H577" s="1" t="n">
        <f aca="false">IFERROR(VLOOKUP(OFFSET(Table22,576,21,1,1),OFFSET(Table2,0,1,ROWS(Table2),8),3,0),VLOOKUP(OFFSET(Table22,576,22,1,1),Table2,4,0))</f>
        <v>21356941</v>
      </c>
      <c r="I577" s="2" t="n">
        <f aca="false">IFERROR(VLOOKUP(OFFSET(Table22,576,21,1,1),OFFSET(Table2,0,1,ROWS(Table2),8),4,0),VLOOKUP(OFFSET(Table22,576,22,1,1),Table2,5,0))</f>
        <v>720193</v>
      </c>
      <c r="J577" s="3" t="str">
        <f aca="false">IF(ISNUMBER(SEARCH("FACEBOOK",W577)),"Facebook",IF(ISNUMBER(SEARCH("INSTAGRAM",W577)),"Facebook-Instagram","Look at taxonomy"))</f>
        <v>Facebook</v>
      </c>
      <c r="K577" s="3" t="str">
        <f aca="false">IF(ISNUMBER(SEARCH("Facebook",J577)),"3654128","Not Facebook")</f>
        <v>3654128</v>
      </c>
      <c r="L577" s="3" t="str">
        <f aca="false">IFERROR(VLOOKUP(OFFSET(Table22,576,21,1,1),OFFSET(Table2,0,1,ROWS(Table2),8),7,0),VLOOKUP(OFFSET(Table22,576,22,1,1),Table2,8,0))</f>
        <v>AZR_FreeAcctDeveloperFB-AnimatedAI-Ch3_FRA_1200x1200_VIA_AZRDirect_French_NA_Facebook_STAN_LEA_T3_1</v>
      </c>
      <c r="M577" s="2" t="n">
        <f aca="false">IFERROR(VLOOKUP(OFFSET(Table22,576,21,1,1),OFFSET(Table2,0,1,ROWS(Table2),8),8,0),VLOOKUP(OFFSET(Table22,576,22,1,1),Table2,9,0))</f>
        <v>104537813</v>
      </c>
      <c r="N577" s="15" t="s">
        <v>29</v>
      </c>
      <c r="O577" s="16" t="n">
        <v>43356</v>
      </c>
      <c r="P577" s="17" t="s">
        <v>102</v>
      </c>
      <c r="Q577" s="18" t="s">
        <v>103</v>
      </c>
      <c r="R577" s="17" t="s">
        <v>104</v>
      </c>
      <c r="S577" s="18" t="s">
        <v>33</v>
      </c>
      <c r="T577" s="17" t="s">
        <v>34</v>
      </c>
      <c r="U577" s="18" t="s">
        <v>131</v>
      </c>
      <c r="V577" s="19" t="n">
        <v>226360019</v>
      </c>
      <c r="W577" s="17" t="s">
        <v>136</v>
      </c>
      <c r="X577" s="17" t="n">
        <v>0</v>
      </c>
      <c r="Y577" s="17"/>
      <c r="Z577" s="17" t="n">
        <v>0</v>
      </c>
      <c r="AA577" s="17" t="s">
        <v>38</v>
      </c>
      <c r="AB577" s="17"/>
    </row>
    <row r="578" customFormat="false" ht="15" hidden="false" customHeight="false" outlineLevel="0" collapsed="false">
      <c r="A578" s="1" t="str">
        <f aca="false">OFFSET(Table22,577,14,1,1)&amp;OFFSET(Table22,577,21,1,1)</f>
        <v>43355226360019</v>
      </c>
      <c r="B578" s="1" t="str">
        <f aca="false">OFFSET(Table22,577,14,1,1)&amp;OFFSET(Table22,577,22,1,1)</f>
        <v>43355Facebook»Developers-Azure Direct-Sponsored Post_Trial-Video Ad-Free Account Developer - AI»1x1»30s»SOC»ALL»CPC»LAL»D»UNK»SS»NA»Trials_ID</v>
      </c>
      <c r="C578" s="1" t="s">
        <v>28</v>
      </c>
      <c r="D578" s="3" t="n">
        <f aca="false">O578+(7-WEEKDAY(O578))</f>
        <v>43358</v>
      </c>
      <c r="E578" s="1" t="str">
        <f aca="false">VLOOKUP(OFFSET(Table22,577,16,1,1),Key!B:D,2,0)</f>
        <v>France</v>
      </c>
      <c r="F578" s="1" t="str">
        <f aca="false">IF(ISNUMBER(SEARCH("Canvas",U578)),"Link",IF(ISNUMBER(SEARCH("Link",U578)),"Link","Not filled properly"))</f>
        <v>Link</v>
      </c>
      <c r="G578" s="1" t="str">
        <f aca="false">IFERROR(VLOOKUP(OFFSET(Table22,577,21,1,1),OFFSET(Table2,0,1,ROWS(Table2),8),2,0),VLOOKUP(OFFSET(Table22,577,22,1,1),Table2,3,0))</f>
        <v>FRA_gaPMG_AZR_AZR_Q1_19_AzureDirect-Trial-Social</v>
      </c>
      <c r="H578" s="1" t="n">
        <f aca="false">IFERROR(VLOOKUP(OFFSET(Table22,577,21,1,1),OFFSET(Table2,0,1,ROWS(Table2),8),3,0),VLOOKUP(OFFSET(Table22,577,22,1,1),Table2,4,0))</f>
        <v>21356941</v>
      </c>
      <c r="I578" s="2" t="n">
        <f aca="false">IFERROR(VLOOKUP(OFFSET(Table22,577,21,1,1),OFFSET(Table2,0,1,ROWS(Table2),8),4,0),VLOOKUP(OFFSET(Table22,577,22,1,1),Table2,5,0))</f>
        <v>720193</v>
      </c>
      <c r="J578" s="3" t="str">
        <f aca="false">IF(ISNUMBER(SEARCH("FACEBOOK",W578)),"Facebook",IF(ISNUMBER(SEARCH("INSTAGRAM",W578)),"Facebook-Instagram","Look at taxonomy"))</f>
        <v>Facebook</v>
      </c>
      <c r="K578" s="3" t="str">
        <f aca="false">IF(ISNUMBER(SEARCH("Facebook",J578)),"3654128","Not Facebook")</f>
        <v>3654128</v>
      </c>
      <c r="L578" s="3" t="str">
        <f aca="false">IFERROR(VLOOKUP(OFFSET(Table22,577,21,1,1),OFFSET(Table2,0,1,ROWS(Table2),8),7,0),VLOOKUP(OFFSET(Table22,577,22,1,1),Table2,8,0))</f>
        <v>AZR_FreeAcctDeveloperFB-AnimatedAI-Ch3_FRA_1200x1200_VIA_AZRDirect_French_NA_Facebook_STAN_LEA_T3_1</v>
      </c>
      <c r="M578" s="2" t="n">
        <f aca="false">IFERROR(VLOOKUP(OFFSET(Table22,577,21,1,1),OFFSET(Table2,0,1,ROWS(Table2),8),8,0),VLOOKUP(OFFSET(Table22,577,22,1,1),Table2,9,0))</f>
        <v>104537813</v>
      </c>
      <c r="N578" s="15" t="s">
        <v>29</v>
      </c>
      <c r="O578" s="16" t="n">
        <v>43355</v>
      </c>
      <c r="P578" s="17" t="s">
        <v>102</v>
      </c>
      <c r="Q578" s="18" t="s">
        <v>103</v>
      </c>
      <c r="R578" s="17" t="s">
        <v>104</v>
      </c>
      <c r="S578" s="18" t="s">
        <v>33</v>
      </c>
      <c r="T578" s="17" t="s">
        <v>34</v>
      </c>
      <c r="U578" s="18" t="s">
        <v>131</v>
      </c>
      <c r="V578" s="19" t="n">
        <v>226360019</v>
      </c>
      <c r="W578" s="17" t="s">
        <v>136</v>
      </c>
      <c r="X578" s="17" t="n">
        <v>0</v>
      </c>
      <c r="Y578" s="17"/>
      <c r="Z578" s="17" t="n">
        <v>0</v>
      </c>
      <c r="AA578" s="17" t="s">
        <v>38</v>
      </c>
      <c r="AB578" s="17"/>
    </row>
    <row r="579" customFormat="false" ht="15" hidden="false" customHeight="false" outlineLevel="0" collapsed="false">
      <c r="A579" s="1" t="str">
        <f aca="false">OFFSET(Table22,578,14,1,1)&amp;OFFSET(Table22,578,21,1,1)</f>
        <v>43354226360019</v>
      </c>
      <c r="B579" s="1" t="str">
        <f aca="false">OFFSET(Table22,578,14,1,1)&amp;OFFSET(Table22,578,22,1,1)</f>
        <v>43354Facebook»Developers-Azure Direct-Sponsored Post_Trial-Video Ad-Free Account Developer - AI»1x1»30s»SOC»ALL»CPC»LAL»D»UNK»SS»NA»Trials_ID</v>
      </c>
      <c r="C579" s="1" t="s">
        <v>28</v>
      </c>
      <c r="D579" s="3" t="n">
        <f aca="false">O579+(7-WEEKDAY(O579))</f>
        <v>43358</v>
      </c>
      <c r="E579" s="1" t="str">
        <f aca="false">VLOOKUP(OFFSET(Table22,578,16,1,1),Key!B:D,2,0)</f>
        <v>France</v>
      </c>
      <c r="F579" s="1" t="str">
        <f aca="false">IF(ISNUMBER(SEARCH("Canvas",U579)),"Link",IF(ISNUMBER(SEARCH("Link",U579)),"Link","Not filled properly"))</f>
        <v>Link</v>
      </c>
      <c r="G579" s="1" t="str">
        <f aca="false">IFERROR(VLOOKUP(OFFSET(Table22,578,21,1,1),OFFSET(Table2,0,1,ROWS(Table2),8),2,0),VLOOKUP(OFFSET(Table22,578,22,1,1),Table2,3,0))</f>
        <v>FRA_gaPMG_AZR_AZR_Q1_19_AzureDirect-Trial-Social</v>
      </c>
      <c r="H579" s="1" t="n">
        <f aca="false">IFERROR(VLOOKUP(OFFSET(Table22,578,21,1,1),OFFSET(Table2,0,1,ROWS(Table2),8),3,0),VLOOKUP(OFFSET(Table22,578,22,1,1),Table2,4,0))</f>
        <v>21356941</v>
      </c>
      <c r="I579" s="2" t="n">
        <f aca="false">IFERROR(VLOOKUP(OFFSET(Table22,578,21,1,1),OFFSET(Table2,0,1,ROWS(Table2),8),4,0),VLOOKUP(OFFSET(Table22,578,22,1,1),Table2,5,0))</f>
        <v>720193</v>
      </c>
      <c r="J579" s="3" t="str">
        <f aca="false">IF(ISNUMBER(SEARCH("FACEBOOK",W579)),"Facebook",IF(ISNUMBER(SEARCH("INSTAGRAM",W579)),"Facebook-Instagram","Look at taxonomy"))</f>
        <v>Facebook</v>
      </c>
      <c r="K579" s="3" t="str">
        <f aca="false">IF(ISNUMBER(SEARCH("Facebook",J579)),"3654128","Not Facebook")</f>
        <v>3654128</v>
      </c>
      <c r="L579" s="3" t="str">
        <f aca="false">IFERROR(VLOOKUP(OFFSET(Table22,578,21,1,1),OFFSET(Table2,0,1,ROWS(Table2),8),7,0),VLOOKUP(OFFSET(Table22,578,22,1,1),Table2,8,0))</f>
        <v>AZR_FreeAcctDeveloperFB-AnimatedAI-Ch3_FRA_1200x1200_VIA_AZRDirect_French_NA_Facebook_STAN_LEA_T3_1</v>
      </c>
      <c r="M579" s="2" t="n">
        <f aca="false">IFERROR(VLOOKUP(OFFSET(Table22,578,21,1,1),OFFSET(Table2,0,1,ROWS(Table2),8),8,0),VLOOKUP(OFFSET(Table22,578,22,1,1),Table2,9,0))</f>
        <v>104537813</v>
      </c>
      <c r="N579" s="15" t="s">
        <v>29</v>
      </c>
      <c r="O579" s="16" t="n">
        <v>43354</v>
      </c>
      <c r="P579" s="17" t="s">
        <v>102</v>
      </c>
      <c r="Q579" s="18" t="s">
        <v>103</v>
      </c>
      <c r="R579" s="17" t="s">
        <v>104</v>
      </c>
      <c r="S579" s="18" t="s">
        <v>33</v>
      </c>
      <c r="T579" s="17" t="s">
        <v>34</v>
      </c>
      <c r="U579" s="18" t="s">
        <v>131</v>
      </c>
      <c r="V579" s="19" t="n">
        <v>226360019</v>
      </c>
      <c r="W579" s="17" t="s">
        <v>136</v>
      </c>
      <c r="X579" s="17" t="n">
        <v>0</v>
      </c>
      <c r="Y579" s="17"/>
      <c r="Z579" s="17" t="n">
        <v>0</v>
      </c>
      <c r="AA579" s="17" t="s">
        <v>38</v>
      </c>
      <c r="AB579" s="17"/>
    </row>
    <row r="580" customFormat="false" ht="15" hidden="false" customHeight="false" outlineLevel="0" collapsed="false">
      <c r="A580" s="1" t="str">
        <f aca="false">OFFSET(Table22,579,14,1,1)&amp;OFFSET(Table22,579,21,1,1)</f>
        <v>43353226360019</v>
      </c>
      <c r="B580" s="1" t="str">
        <f aca="false">OFFSET(Table22,579,14,1,1)&amp;OFFSET(Table22,579,22,1,1)</f>
        <v>43353Facebook»Developers-Azure Direct-Sponsored Post_Trial-Video Ad-Free Account Developer - AI»1x1»30s»SOC»ALL»CPC»LAL»D»UNK»SS»NA»Trials_ID</v>
      </c>
      <c r="C580" s="1" t="s">
        <v>28</v>
      </c>
      <c r="D580" s="3" t="n">
        <f aca="false">O580+(7-WEEKDAY(O580))</f>
        <v>43358</v>
      </c>
      <c r="E580" s="1" t="str">
        <f aca="false">VLOOKUP(OFFSET(Table22,579,16,1,1),Key!B:D,2,0)</f>
        <v>France</v>
      </c>
      <c r="F580" s="1" t="str">
        <f aca="false">IF(ISNUMBER(SEARCH("Canvas",U580)),"Link",IF(ISNUMBER(SEARCH("Link",U580)),"Link","Not filled properly"))</f>
        <v>Link</v>
      </c>
      <c r="G580" s="1" t="str">
        <f aca="false">IFERROR(VLOOKUP(OFFSET(Table22,579,21,1,1),OFFSET(Table2,0,1,ROWS(Table2),8),2,0),VLOOKUP(OFFSET(Table22,579,22,1,1),Table2,3,0))</f>
        <v>FRA_gaPMG_AZR_AZR_Q1_19_AzureDirect-Trial-Social</v>
      </c>
      <c r="H580" s="1" t="n">
        <f aca="false">IFERROR(VLOOKUP(OFFSET(Table22,579,21,1,1),OFFSET(Table2,0,1,ROWS(Table2),8),3,0),VLOOKUP(OFFSET(Table22,579,22,1,1),Table2,4,0))</f>
        <v>21356941</v>
      </c>
      <c r="I580" s="2" t="n">
        <f aca="false">IFERROR(VLOOKUP(OFFSET(Table22,579,21,1,1),OFFSET(Table2,0,1,ROWS(Table2),8),4,0),VLOOKUP(OFFSET(Table22,579,22,1,1),Table2,5,0))</f>
        <v>720193</v>
      </c>
      <c r="J580" s="3" t="str">
        <f aca="false">IF(ISNUMBER(SEARCH("FACEBOOK",W580)),"Facebook",IF(ISNUMBER(SEARCH("INSTAGRAM",W580)),"Facebook-Instagram","Look at taxonomy"))</f>
        <v>Facebook</v>
      </c>
      <c r="K580" s="3" t="str">
        <f aca="false">IF(ISNUMBER(SEARCH("Facebook",J580)),"3654128","Not Facebook")</f>
        <v>3654128</v>
      </c>
      <c r="L580" s="3" t="str">
        <f aca="false">IFERROR(VLOOKUP(OFFSET(Table22,579,21,1,1),OFFSET(Table2,0,1,ROWS(Table2),8),7,0),VLOOKUP(OFFSET(Table22,579,22,1,1),Table2,8,0))</f>
        <v>AZR_FreeAcctDeveloperFB-AnimatedAI-Ch3_FRA_1200x1200_VIA_AZRDirect_French_NA_Facebook_STAN_LEA_T3_1</v>
      </c>
      <c r="M580" s="2" t="n">
        <f aca="false">IFERROR(VLOOKUP(OFFSET(Table22,579,21,1,1),OFFSET(Table2,0,1,ROWS(Table2),8),8,0),VLOOKUP(OFFSET(Table22,579,22,1,1),Table2,9,0))</f>
        <v>104537813</v>
      </c>
      <c r="N580" s="15" t="s">
        <v>29</v>
      </c>
      <c r="O580" s="16" t="n">
        <v>43353</v>
      </c>
      <c r="P580" s="17" t="s">
        <v>102</v>
      </c>
      <c r="Q580" s="18" t="s">
        <v>103</v>
      </c>
      <c r="R580" s="17" t="s">
        <v>104</v>
      </c>
      <c r="S580" s="18" t="s">
        <v>33</v>
      </c>
      <c r="T580" s="17" t="s">
        <v>34</v>
      </c>
      <c r="U580" s="18" t="s">
        <v>131</v>
      </c>
      <c r="V580" s="19" t="n">
        <v>226360019</v>
      </c>
      <c r="W580" s="17" t="s">
        <v>136</v>
      </c>
      <c r="X580" s="17" t="n">
        <v>0</v>
      </c>
      <c r="Y580" s="17"/>
      <c r="Z580" s="17" t="n">
        <v>0</v>
      </c>
      <c r="AA580" s="17" t="s">
        <v>38</v>
      </c>
      <c r="AB580" s="17"/>
    </row>
    <row r="581" customFormat="false" ht="15" hidden="false" customHeight="false" outlineLevel="0" collapsed="false">
      <c r="A581" s="1" t="str">
        <f aca="false">OFFSET(Table22,580,14,1,1)&amp;OFFSET(Table22,580,21,1,1)</f>
        <v>43352226360019</v>
      </c>
      <c r="B581" s="1" t="str">
        <f aca="false">OFFSET(Table22,580,14,1,1)&amp;OFFSET(Table22,580,22,1,1)</f>
        <v>43352Facebook»Developers-Azure Direct-Sponsored Post_Trial-Video Ad-Free Account Developer - AI»1x1»30s»SOC»ALL»CPC»LAL»D»UNK»SS»NA»Trials_ID</v>
      </c>
      <c r="C581" s="1" t="s">
        <v>28</v>
      </c>
      <c r="D581" s="3" t="n">
        <f aca="false">O581+(7-WEEKDAY(O581))</f>
        <v>43358</v>
      </c>
      <c r="E581" s="1" t="str">
        <f aca="false">VLOOKUP(OFFSET(Table22,580,16,1,1),Key!B:D,2,0)</f>
        <v>France</v>
      </c>
      <c r="F581" s="1" t="str">
        <f aca="false">IF(ISNUMBER(SEARCH("Canvas",U581)),"Link",IF(ISNUMBER(SEARCH("Link",U581)),"Link","Not filled properly"))</f>
        <v>Link</v>
      </c>
      <c r="G581" s="1" t="str">
        <f aca="false">IFERROR(VLOOKUP(OFFSET(Table22,580,21,1,1),OFFSET(Table2,0,1,ROWS(Table2),8),2,0),VLOOKUP(OFFSET(Table22,580,22,1,1),Table2,3,0))</f>
        <v>FRA_gaPMG_AZR_AZR_Q1_19_AzureDirect-Trial-Social</v>
      </c>
      <c r="H581" s="1" t="n">
        <f aca="false">IFERROR(VLOOKUP(OFFSET(Table22,580,21,1,1),OFFSET(Table2,0,1,ROWS(Table2),8),3,0),VLOOKUP(OFFSET(Table22,580,22,1,1),Table2,4,0))</f>
        <v>21356941</v>
      </c>
      <c r="I581" s="2" t="n">
        <f aca="false">IFERROR(VLOOKUP(OFFSET(Table22,580,21,1,1),OFFSET(Table2,0,1,ROWS(Table2),8),4,0),VLOOKUP(OFFSET(Table22,580,22,1,1),Table2,5,0))</f>
        <v>720193</v>
      </c>
      <c r="J581" s="3" t="str">
        <f aca="false">IF(ISNUMBER(SEARCH("FACEBOOK",W581)),"Facebook",IF(ISNUMBER(SEARCH("INSTAGRAM",W581)),"Facebook-Instagram","Look at taxonomy"))</f>
        <v>Facebook</v>
      </c>
      <c r="K581" s="3" t="str">
        <f aca="false">IF(ISNUMBER(SEARCH("Facebook",J581)),"3654128","Not Facebook")</f>
        <v>3654128</v>
      </c>
      <c r="L581" s="3" t="str">
        <f aca="false">IFERROR(VLOOKUP(OFFSET(Table22,580,21,1,1),OFFSET(Table2,0,1,ROWS(Table2),8),7,0),VLOOKUP(OFFSET(Table22,580,22,1,1),Table2,8,0))</f>
        <v>AZR_FreeAcctDeveloperFB-AnimatedAI-Ch3_FRA_1200x1200_VIA_AZRDirect_French_NA_Facebook_STAN_LEA_T3_1</v>
      </c>
      <c r="M581" s="2" t="n">
        <f aca="false">IFERROR(VLOOKUP(OFFSET(Table22,580,21,1,1),OFFSET(Table2,0,1,ROWS(Table2),8),8,0),VLOOKUP(OFFSET(Table22,580,22,1,1),Table2,9,0))</f>
        <v>104537813</v>
      </c>
      <c r="N581" s="15" t="s">
        <v>29</v>
      </c>
      <c r="O581" s="16" t="n">
        <v>43352</v>
      </c>
      <c r="P581" s="17" t="s">
        <v>102</v>
      </c>
      <c r="Q581" s="18" t="s">
        <v>103</v>
      </c>
      <c r="R581" s="17" t="s">
        <v>104</v>
      </c>
      <c r="S581" s="18" t="s">
        <v>33</v>
      </c>
      <c r="T581" s="17" t="s">
        <v>34</v>
      </c>
      <c r="U581" s="18" t="s">
        <v>131</v>
      </c>
      <c r="V581" s="19" t="n">
        <v>226360019</v>
      </c>
      <c r="W581" s="17" t="s">
        <v>136</v>
      </c>
      <c r="X581" s="17" t="n">
        <v>0</v>
      </c>
      <c r="Y581" s="17"/>
      <c r="Z581" s="17" t="n">
        <v>0</v>
      </c>
      <c r="AA581" s="17" t="s">
        <v>38</v>
      </c>
      <c r="AB581" s="17"/>
    </row>
    <row r="582" customFormat="false" ht="15" hidden="false" customHeight="false" outlineLevel="0" collapsed="false">
      <c r="A582" s="1" t="str">
        <f aca="false">OFFSET(Table22,581,14,1,1)&amp;OFFSET(Table22,581,21,1,1)</f>
        <v>43358226359881</v>
      </c>
      <c r="B582" s="1" t="str">
        <f aca="false">OFFSET(Table22,581,14,1,1)&amp;OFFSET(Table22,581,22,1,1)</f>
        <v>43358Facebook»Developers-Azure Direct-Sponsored Post_Trial-Video Ad-Free Account Developer - AI»1x1»30s»SOC»ALL»CPC»RT»D»UNK»SS»NA»Trials_ID</v>
      </c>
      <c r="C582" s="1" t="s">
        <v>28</v>
      </c>
      <c r="D582" s="3" t="n">
        <f aca="false">O582+(7-WEEKDAY(O582))</f>
        <v>43358</v>
      </c>
      <c r="E582" s="1" t="str">
        <f aca="false">VLOOKUP(OFFSET(Table22,581,16,1,1),Key!B:D,2,0)</f>
        <v>France</v>
      </c>
      <c r="F582" s="1" t="str">
        <f aca="false">IF(ISNUMBER(SEARCH("Canvas",U582)),"Link",IF(ISNUMBER(SEARCH("Link",U582)),"Link","Not filled properly"))</f>
        <v>Link</v>
      </c>
      <c r="G582" s="1" t="str">
        <f aca="false">IFERROR(VLOOKUP(OFFSET(Table22,581,21,1,1),OFFSET(Table2,0,1,ROWS(Table2),8),2,0),VLOOKUP(OFFSET(Table22,581,22,1,1),Table2,3,0))</f>
        <v>FRA_gaPMG_AZR_AZR_Q1_19_AzureDirect-Trial-Social</v>
      </c>
      <c r="H582" s="1" t="n">
        <f aca="false">IFERROR(VLOOKUP(OFFSET(Table22,581,21,1,1),OFFSET(Table2,0,1,ROWS(Table2),8),3,0),VLOOKUP(OFFSET(Table22,581,22,1,1),Table2,4,0))</f>
        <v>21356941</v>
      </c>
      <c r="I582" s="2" t="n">
        <f aca="false">IFERROR(VLOOKUP(OFFSET(Table22,581,21,1,1),OFFSET(Table2,0,1,ROWS(Table2),8),4,0),VLOOKUP(OFFSET(Table22,581,22,1,1),Table2,5,0))</f>
        <v>720193</v>
      </c>
      <c r="J582" s="3" t="str">
        <f aca="false">IF(ISNUMBER(SEARCH("FACEBOOK",W582)),"Facebook",IF(ISNUMBER(SEARCH("INSTAGRAM",W582)),"Facebook-Instagram","Look at taxonomy"))</f>
        <v>Facebook</v>
      </c>
      <c r="K582" s="3" t="str">
        <f aca="false">IF(ISNUMBER(SEARCH("Facebook",J582)),"3654128","Not Facebook")</f>
        <v>3654128</v>
      </c>
      <c r="L582" s="3" t="str">
        <f aca="false">IFERROR(VLOOKUP(OFFSET(Table22,581,21,1,1),OFFSET(Table2,0,1,ROWS(Table2),8),7,0),VLOOKUP(OFFSET(Table22,581,22,1,1),Table2,8,0))</f>
        <v>AZR_FreeAcctDeveloperFB-AnimatedAI-Ch3_FRA_1200x1200_VIA_AZRDirect_French_NA_Facebook_STAN_LEA_T3_1</v>
      </c>
      <c r="M582" s="2" t="n">
        <f aca="false">IFERROR(VLOOKUP(OFFSET(Table22,581,21,1,1),OFFSET(Table2,0,1,ROWS(Table2),8),8,0),VLOOKUP(OFFSET(Table22,581,22,1,1),Table2,9,0))</f>
        <v>104537813</v>
      </c>
      <c r="N582" s="15" t="s">
        <v>29</v>
      </c>
      <c r="O582" s="16" t="n">
        <v>43358</v>
      </c>
      <c r="P582" s="17" t="s">
        <v>102</v>
      </c>
      <c r="Q582" s="18" t="s">
        <v>103</v>
      </c>
      <c r="R582" s="17" t="s">
        <v>104</v>
      </c>
      <c r="S582" s="18" t="s">
        <v>33</v>
      </c>
      <c r="T582" s="17" t="s">
        <v>34</v>
      </c>
      <c r="U582" s="18" t="s">
        <v>131</v>
      </c>
      <c r="V582" s="19" t="n">
        <v>226359881</v>
      </c>
      <c r="W582" s="17" t="s">
        <v>137</v>
      </c>
      <c r="X582" s="17" t="n">
        <v>0</v>
      </c>
      <c r="Y582" s="17"/>
      <c r="Z582" s="17" t="n">
        <v>0</v>
      </c>
      <c r="AA582" s="17" t="s">
        <v>38</v>
      </c>
      <c r="AB582" s="17"/>
    </row>
    <row r="583" customFormat="false" ht="15" hidden="false" customHeight="false" outlineLevel="0" collapsed="false">
      <c r="A583" s="1" t="str">
        <f aca="false">OFFSET(Table22,582,14,1,1)&amp;OFFSET(Table22,582,21,1,1)</f>
        <v>43357226359881</v>
      </c>
      <c r="B583" s="1" t="str">
        <f aca="false">OFFSET(Table22,582,14,1,1)&amp;OFFSET(Table22,582,22,1,1)</f>
        <v>43357Facebook»Developers-Azure Direct-Sponsored Post_Trial-Video Ad-Free Account Developer - AI»1x1»30s»SOC»ALL»CPC»RT»D»UNK»SS»NA»Trials_ID</v>
      </c>
      <c r="C583" s="1" t="s">
        <v>28</v>
      </c>
      <c r="D583" s="3" t="n">
        <f aca="false">O583+(7-WEEKDAY(O583))</f>
        <v>43358</v>
      </c>
      <c r="E583" s="1" t="str">
        <f aca="false">VLOOKUP(OFFSET(Table22,582,16,1,1),Key!B:D,2,0)</f>
        <v>France</v>
      </c>
      <c r="F583" s="1" t="str">
        <f aca="false">IF(ISNUMBER(SEARCH("Canvas",U583)),"Link",IF(ISNUMBER(SEARCH("Link",U583)),"Link","Not filled properly"))</f>
        <v>Link</v>
      </c>
      <c r="G583" s="1" t="str">
        <f aca="false">IFERROR(VLOOKUP(OFFSET(Table22,582,21,1,1),OFFSET(Table2,0,1,ROWS(Table2),8),2,0),VLOOKUP(OFFSET(Table22,582,22,1,1),Table2,3,0))</f>
        <v>FRA_gaPMG_AZR_AZR_Q1_19_AzureDirect-Trial-Social</v>
      </c>
      <c r="H583" s="1" t="n">
        <f aca="false">IFERROR(VLOOKUP(OFFSET(Table22,582,21,1,1),OFFSET(Table2,0,1,ROWS(Table2),8),3,0),VLOOKUP(OFFSET(Table22,582,22,1,1),Table2,4,0))</f>
        <v>21356941</v>
      </c>
      <c r="I583" s="2" t="n">
        <f aca="false">IFERROR(VLOOKUP(OFFSET(Table22,582,21,1,1),OFFSET(Table2,0,1,ROWS(Table2),8),4,0),VLOOKUP(OFFSET(Table22,582,22,1,1),Table2,5,0))</f>
        <v>720193</v>
      </c>
      <c r="J583" s="3" t="str">
        <f aca="false">IF(ISNUMBER(SEARCH("FACEBOOK",W583)),"Facebook",IF(ISNUMBER(SEARCH("INSTAGRAM",W583)),"Facebook-Instagram","Look at taxonomy"))</f>
        <v>Facebook</v>
      </c>
      <c r="K583" s="3" t="str">
        <f aca="false">IF(ISNUMBER(SEARCH("Facebook",J583)),"3654128","Not Facebook")</f>
        <v>3654128</v>
      </c>
      <c r="L583" s="3" t="str">
        <f aca="false">IFERROR(VLOOKUP(OFFSET(Table22,582,21,1,1),OFFSET(Table2,0,1,ROWS(Table2),8),7,0),VLOOKUP(OFFSET(Table22,582,22,1,1),Table2,8,0))</f>
        <v>AZR_FreeAcctDeveloperFB-AnimatedAI-Ch3_FRA_1200x1200_VIA_AZRDirect_French_NA_Facebook_STAN_LEA_T3_1</v>
      </c>
      <c r="M583" s="2" t="n">
        <f aca="false">IFERROR(VLOOKUP(OFFSET(Table22,582,21,1,1),OFFSET(Table2,0,1,ROWS(Table2),8),8,0),VLOOKUP(OFFSET(Table22,582,22,1,1),Table2,9,0))</f>
        <v>104537813</v>
      </c>
      <c r="N583" s="15" t="s">
        <v>29</v>
      </c>
      <c r="O583" s="16" t="n">
        <v>43357</v>
      </c>
      <c r="P583" s="17" t="s">
        <v>102</v>
      </c>
      <c r="Q583" s="18" t="s">
        <v>103</v>
      </c>
      <c r="R583" s="17" t="s">
        <v>104</v>
      </c>
      <c r="S583" s="18" t="s">
        <v>33</v>
      </c>
      <c r="T583" s="17" t="s">
        <v>34</v>
      </c>
      <c r="U583" s="18" t="s">
        <v>131</v>
      </c>
      <c r="V583" s="19" t="n">
        <v>226359881</v>
      </c>
      <c r="W583" s="17" t="s">
        <v>137</v>
      </c>
      <c r="X583" s="17" t="n">
        <v>0</v>
      </c>
      <c r="Y583" s="17"/>
      <c r="Z583" s="17" t="n">
        <v>0</v>
      </c>
      <c r="AA583" s="17" t="s">
        <v>38</v>
      </c>
      <c r="AB583" s="17"/>
    </row>
    <row r="584" customFormat="false" ht="15" hidden="false" customHeight="false" outlineLevel="0" collapsed="false">
      <c r="A584" s="1" t="str">
        <f aca="false">OFFSET(Table22,583,14,1,1)&amp;OFFSET(Table22,583,21,1,1)</f>
        <v>43356226359881</v>
      </c>
      <c r="B584" s="1" t="str">
        <f aca="false">OFFSET(Table22,583,14,1,1)&amp;OFFSET(Table22,583,22,1,1)</f>
        <v>43356Facebook»Developers-Azure Direct-Sponsored Post_Trial-Video Ad-Free Account Developer - AI»1x1»30s»SOC»ALL»CPC»RT»D»UNK»SS»NA»Trials_ID</v>
      </c>
      <c r="C584" s="1" t="s">
        <v>28</v>
      </c>
      <c r="D584" s="3" t="n">
        <f aca="false">O584+(7-WEEKDAY(O584))</f>
        <v>43358</v>
      </c>
      <c r="E584" s="1" t="str">
        <f aca="false">VLOOKUP(OFFSET(Table22,583,16,1,1),Key!B:D,2,0)</f>
        <v>France</v>
      </c>
      <c r="F584" s="1" t="str">
        <f aca="false">IF(ISNUMBER(SEARCH("Canvas",U584)),"Link",IF(ISNUMBER(SEARCH("Link",U584)),"Link","Not filled properly"))</f>
        <v>Link</v>
      </c>
      <c r="G584" s="1" t="str">
        <f aca="false">IFERROR(VLOOKUP(OFFSET(Table22,583,21,1,1),OFFSET(Table2,0,1,ROWS(Table2),8),2,0),VLOOKUP(OFFSET(Table22,583,22,1,1),Table2,3,0))</f>
        <v>FRA_gaPMG_AZR_AZR_Q1_19_AzureDirect-Trial-Social</v>
      </c>
      <c r="H584" s="1" t="n">
        <f aca="false">IFERROR(VLOOKUP(OFFSET(Table22,583,21,1,1),OFFSET(Table2,0,1,ROWS(Table2),8),3,0),VLOOKUP(OFFSET(Table22,583,22,1,1),Table2,4,0))</f>
        <v>21356941</v>
      </c>
      <c r="I584" s="2" t="n">
        <f aca="false">IFERROR(VLOOKUP(OFFSET(Table22,583,21,1,1),OFFSET(Table2,0,1,ROWS(Table2),8),4,0),VLOOKUP(OFFSET(Table22,583,22,1,1),Table2,5,0))</f>
        <v>720193</v>
      </c>
      <c r="J584" s="3" t="str">
        <f aca="false">IF(ISNUMBER(SEARCH("FACEBOOK",W584)),"Facebook",IF(ISNUMBER(SEARCH("INSTAGRAM",W584)),"Facebook-Instagram","Look at taxonomy"))</f>
        <v>Facebook</v>
      </c>
      <c r="K584" s="3" t="str">
        <f aca="false">IF(ISNUMBER(SEARCH("Facebook",J584)),"3654128","Not Facebook")</f>
        <v>3654128</v>
      </c>
      <c r="L584" s="3" t="str">
        <f aca="false">IFERROR(VLOOKUP(OFFSET(Table22,583,21,1,1),OFFSET(Table2,0,1,ROWS(Table2),8),7,0),VLOOKUP(OFFSET(Table22,583,22,1,1),Table2,8,0))</f>
        <v>AZR_FreeAcctDeveloperFB-AnimatedAI-Ch3_FRA_1200x1200_VIA_AZRDirect_French_NA_Facebook_STAN_LEA_T3_1</v>
      </c>
      <c r="M584" s="2" t="n">
        <f aca="false">IFERROR(VLOOKUP(OFFSET(Table22,583,21,1,1),OFFSET(Table2,0,1,ROWS(Table2),8),8,0),VLOOKUP(OFFSET(Table22,583,22,1,1),Table2,9,0))</f>
        <v>104537813</v>
      </c>
      <c r="N584" s="15" t="s">
        <v>29</v>
      </c>
      <c r="O584" s="16" t="n">
        <v>43356</v>
      </c>
      <c r="P584" s="17" t="s">
        <v>102</v>
      </c>
      <c r="Q584" s="18" t="s">
        <v>103</v>
      </c>
      <c r="R584" s="17" t="s">
        <v>104</v>
      </c>
      <c r="S584" s="18" t="s">
        <v>33</v>
      </c>
      <c r="T584" s="17" t="s">
        <v>34</v>
      </c>
      <c r="U584" s="18" t="s">
        <v>131</v>
      </c>
      <c r="V584" s="19" t="n">
        <v>226359881</v>
      </c>
      <c r="W584" s="17" t="s">
        <v>137</v>
      </c>
      <c r="X584" s="17" t="n">
        <v>0</v>
      </c>
      <c r="Y584" s="17"/>
      <c r="Z584" s="17" t="n">
        <v>0</v>
      </c>
      <c r="AA584" s="17" t="s">
        <v>38</v>
      </c>
      <c r="AB584" s="17"/>
    </row>
    <row r="585" customFormat="false" ht="15" hidden="false" customHeight="false" outlineLevel="0" collapsed="false">
      <c r="A585" s="1" t="str">
        <f aca="false">OFFSET(Table22,584,14,1,1)&amp;OFFSET(Table22,584,21,1,1)</f>
        <v>43355226359881</v>
      </c>
      <c r="B585" s="1" t="str">
        <f aca="false">OFFSET(Table22,584,14,1,1)&amp;OFFSET(Table22,584,22,1,1)</f>
        <v>43355Facebook»Developers-Azure Direct-Sponsored Post_Trial-Video Ad-Free Account Developer - AI»1x1»30s»SOC»ALL»CPC»RT»D»UNK»SS»NA»Trials_ID</v>
      </c>
      <c r="C585" s="1" t="s">
        <v>28</v>
      </c>
      <c r="D585" s="3" t="n">
        <f aca="false">O585+(7-WEEKDAY(O585))</f>
        <v>43358</v>
      </c>
      <c r="E585" s="1" t="str">
        <f aca="false">VLOOKUP(OFFSET(Table22,584,16,1,1),Key!B:D,2,0)</f>
        <v>France</v>
      </c>
      <c r="F585" s="1" t="str">
        <f aca="false">IF(ISNUMBER(SEARCH("Canvas",U585)),"Link",IF(ISNUMBER(SEARCH("Link",U585)),"Link","Not filled properly"))</f>
        <v>Link</v>
      </c>
      <c r="G585" s="1" t="str">
        <f aca="false">IFERROR(VLOOKUP(OFFSET(Table22,584,21,1,1),OFFSET(Table2,0,1,ROWS(Table2),8),2,0),VLOOKUP(OFFSET(Table22,584,22,1,1),Table2,3,0))</f>
        <v>FRA_gaPMG_AZR_AZR_Q1_19_AzureDirect-Trial-Social</v>
      </c>
      <c r="H585" s="1" t="n">
        <f aca="false">IFERROR(VLOOKUP(OFFSET(Table22,584,21,1,1),OFFSET(Table2,0,1,ROWS(Table2),8),3,0),VLOOKUP(OFFSET(Table22,584,22,1,1),Table2,4,0))</f>
        <v>21356941</v>
      </c>
      <c r="I585" s="2" t="n">
        <f aca="false">IFERROR(VLOOKUP(OFFSET(Table22,584,21,1,1),OFFSET(Table2,0,1,ROWS(Table2),8),4,0),VLOOKUP(OFFSET(Table22,584,22,1,1),Table2,5,0))</f>
        <v>720193</v>
      </c>
      <c r="J585" s="3" t="str">
        <f aca="false">IF(ISNUMBER(SEARCH("FACEBOOK",W585)),"Facebook",IF(ISNUMBER(SEARCH("INSTAGRAM",W585)),"Facebook-Instagram","Look at taxonomy"))</f>
        <v>Facebook</v>
      </c>
      <c r="K585" s="3" t="str">
        <f aca="false">IF(ISNUMBER(SEARCH("Facebook",J585)),"3654128","Not Facebook")</f>
        <v>3654128</v>
      </c>
      <c r="L585" s="3" t="str">
        <f aca="false">IFERROR(VLOOKUP(OFFSET(Table22,584,21,1,1),OFFSET(Table2,0,1,ROWS(Table2),8),7,0),VLOOKUP(OFFSET(Table22,584,22,1,1),Table2,8,0))</f>
        <v>AZR_FreeAcctDeveloperFB-AnimatedAI-Ch3_FRA_1200x1200_VIA_AZRDirect_French_NA_Facebook_STAN_LEA_T3_1</v>
      </c>
      <c r="M585" s="2" t="n">
        <f aca="false">IFERROR(VLOOKUP(OFFSET(Table22,584,21,1,1),OFFSET(Table2,0,1,ROWS(Table2),8),8,0),VLOOKUP(OFFSET(Table22,584,22,1,1),Table2,9,0))</f>
        <v>104537813</v>
      </c>
      <c r="N585" s="15" t="s">
        <v>29</v>
      </c>
      <c r="O585" s="16" t="n">
        <v>43355</v>
      </c>
      <c r="P585" s="17" t="s">
        <v>102</v>
      </c>
      <c r="Q585" s="18" t="s">
        <v>103</v>
      </c>
      <c r="R585" s="17" t="s">
        <v>104</v>
      </c>
      <c r="S585" s="18" t="s">
        <v>33</v>
      </c>
      <c r="T585" s="17" t="s">
        <v>34</v>
      </c>
      <c r="U585" s="18" t="s">
        <v>131</v>
      </c>
      <c r="V585" s="19" t="n">
        <v>226359881</v>
      </c>
      <c r="W585" s="17" t="s">
        <v>137</v>
      </c>
      <c r="X585" s="17" t="n">
        <v>0</v>
      </c>
      <c r="Y585" s="17"/>
      <c r="Z585" s="17" t="n">
        <v>0</v>
      </c>
      <c r="AA585" s="17" t="s">
        <v>38</v>
      </c>
      <c r="AB585" s="17"/>
    </row>
    <row r="586" customFormat="false" ht="15" hidden="false" customHeight="false" outlineLevel="0" collapsed="false">
      <c r="A586" s="1" t="str">
        <f aca="false">OFFSET(Table22,585,14,1,1)&amp;OFFSET(Table22,585,21,1,1)</f>
        <v>43354226359881</v>
      </c>
      <c r="B586" s="1" t="str">
        <f aca="false">OFFSET(Table22,585,14,1,1)&amp;OFFSET(Table22,585,22,1,1)</f>
        <v>43354Facebook»Developers-Azure Direct-Sponsored Post_Trial-Video Ad-Free Account Developer - AI»1x1»30s»SOC»ALL»CPC»RT»D»UNK»SS»NA»Trials_ID</v>
      </c>
      <c r="C586" s="1" t="s">
        <v>28</v>
      </c>
      <c r="D586" s="3" t="n">
        <f aca="false">O586+(7-WEEKDAY(O586))</f>
        <v>43358</v>
      </c>
      <c r="E586" s="1" t="str">
        <f aca="false">VLOOKUP(OFFSET(Table22,585,16,1,1),Key!B:D,2,0)</f>
        <v>France</v>
      </c>
      <c r="F586" s="1" t="str">
        <f aca="false">IF(ISNUMBER(SEARCH("Canvas",U586)),"Link",IF(ISNUMBER(SEARCH("Link",U586)),"Link","Not filled properly"))</f>
        <v>Link</v>
      </c>
      <c r="G586" s="1" t="str">
        <f aca="false">IFERROR(VLOOKUP(OFFSET(Table22,585,21,1,1),OFFSET(Table2,0,1,ROWS(Table2),8),2,0),VLOOKUP(OFFSET(Table22,585,22,1,1),Table2,3,0))</f>
        <v>FRA_gaPMG_AZR_AZR_Q1_19_AzureDirect-Trial-Social</v>
      </c>
      <c r="H586" s="1" t="n">
        <f aca="false">IFERROR(VLOOKUP(OFFSET(Table22,585,21,1,1),OFFSET(Table2,0,1,ROWS(Table2),8),3,0),VLOOKUP(OFFSET(Table22,585,22,1,1),Table2,4,0))</f>
        <v>21356941</v>
      </c>
      <c r="I586" s="2" t="n">
        <f aca="false">IFERROR(VLOOKUP(OFFSET(Table22,585,21,1,1),OFFSET(Table2,0,1,ROWS(Table2),8),4,0),VLOOKUP(OFFSET(Table22,585,22,1,1),Table2,5,0))</f>
        <v>720193</v>
      </c>
      <c r="J586" s="3" t="str">
        <f aca="false">IF(ISNUMBER(SEARCH("FACEBOOK",W586)),"Facebook",IF(ISNUMBER(SEARCH("INSTAGRAM",W586)),"Facebook-Instagram","Look at taxonomy"))</f>
        <v>Facebook</v>
      </c>
      <c r="K586" s="3" t="str">
        <f aca="false">IF(ISNUMBER(SEARCH("Facebook",J586)),"3654128","Not Facebook")</f>
        <v>3654128</v>
      </c>
      <c r="L586" s="3" t="str">
        <f aca="false">IFERROR(VLOOKUP(OFFSET(Table22,585,21,1,1),OFFSET(Table2,0,1,ROWS(Table2),8),7,0),VLOOKUP(OFFSET(Table22,585,22,1,1),Table2,8,0))</f>
        <v>AZR_FreeAcctDeveloperFB-AnimatedAI-Ch3_FRA_1200x1200_VIA_AZRDirect_French_NA_Facebook_STAN_LEA_T3_1</v>
      </c>
      <c r="M586" s="2" t="n">
        <f aca="false">IFERROR(VLOOKUP(OFFSET(Table22,585,21,1,1),OFFSET(Table2,0,1,ROWS(Table2),8),8,0),VLOOKUP(OFFSET(Table22,585,22,1,1),Table2,9,0))</f>
        <v>104537813</v>
      </c>
      <c r="N586" s="15" t="s">
        <v>29</v>
      </c>
      <c r="O586" s="16" t="n">
        <v>43354</v>
      </c>
      <c r="P586" s="17" t="s">
        <v>102</v>
      </c>
      <c r="Q586" s="18" t="s">
        <v>103</v>
      </c>
      <c r="R586" s="17" t="s">
        <v>104</v>
      </c>
      <c r="S586" s="18" t="s">
        <v>33</v>
      </c>
      <c r="T586" s="17" t="s">
        <v>34</v>
      </c>
      <c r="U586" s="18" t="s">
        <v>131</v>
      </c>
      <c r="V586" s="19" t="n">
        <v>226359881</v>
      </c>
      <c r="W586" s="17" t="s">
        <v>137</v>
      </c>
      <c r="X586" s="17" t="n">
        <v>0</v>
      </c>
      <c r="Y586" s="17"/>
      <c r="Z586" s="17" t="n">
        <v>0</v>
      </c>
      <c r="AA586" s="17" t="s">
        <v>38</v>
      </c>
      <c r="AB586" s="17"/>
    </row>
    <row r="587" customFormat="false" ht="15" hidden="false" customHeight="false" outlineLevel="0" collapsed="false">
      <c r="A587" s="1" t="str">
        <f aca="false">OFFSET(Table22,586,14,1,1)&amp;OFFSET(Table22,586,21,1,1)</f>
        <v>43353226359881</v>
      </c>
      <c r="B587" s="1" t="str">
        <f aca="false">OFFSET(Table22,586,14,1,1)&amp;OFFSET(Table22,586,22,1,1)</f>
        <v>43353Facebook»Developers-Azure Direct-Sponsored Post_Trial-Video Ad-Free Account Developer - AI»1x1»30s»SOC»ALL»CPC»RT»D»UNK»SS»NA»Trials_ID</v>
      </c>
      <c r="C587" s="1" t="s">
        <v>28</v>
      </c>
      <c r="D587" s="3" t="n">
        <f aca="false">O587+(7-WEEKDAY(O587))</f>
        <v>43358</v>
      </c>
      <c r="E587" s="1" t="str">
        <f aca="false">VLOOKUP(OFFSET(Table22,586,16,1,1),Key!B:D,2,0)</f>
        <v>France</v>
      </c>
      <c r="F587" s="1" t="str">
        <f aca="false">IF(ISNUMBER(SEARCH("Canvas",U587)),"Link",IF(ISNUMBER(SEARCH("Link",U587)),"Link","Not filled properly"))</f>
        <v>Link</v>
      </c>
      <c r="G587" s="1" t="str">
        <f aca="false">IFERROR(VLOOKUP(OFFSET(Table22,586,21,1,1),OFFSET(Table2,0,1,ROWS(Table2),8),2,0),VLOOKUP(OFFSET(Table22,586,22,1,1),Table2,3,0))</f>
        <v>FRA_gaPMG_AZR_AZR_Q1_19_AzureDirect-Trial-Social</v>
      </c>
      <c r="H587" s="1" t="n">
        <f aca="false">IFERROR(VLOOKUP(OFFSET(Table22,586,21,1,1),OFFSET(Table2,0,1,ROWS(Table2),8),3,0),VLOOKUP(OFFSET(Table22,586,22,1,1),Table2,4,0))</f>
        <v>21356941</v>
      </c>
      <c r="I587" s="2" t="n">
        <f aca="false">IFERROR(VLOOKUP(OFFSET(Table22,586,21,1,1),OFFSET(Table2,0,1,ROWS(Table2),8),4,0),VLOOKUP(OFFSET(Table22,586,22,1,1),Table2,5,0))</f>
        <v>720193</v>
      </c>
      <c r="J587" s="3" t="str">
        <f aca="false">IF(ISNUMBER(SEARCH("FACEBOOK",W587)),"Facebook",IF(ISNUMBER(SEARCH("INSTAGRAM",W587)),"Facebook-Instagram","Look at taxonomy"))</f>
        <v>Facebook</v>
      </c>
      <c r="K587" s="3" t="str">
        <f aca="false">IF(ISNUMBER(SEARCH("Facebook",J587)),"3654128","Not Facebook")</f>
        <v>3654128</v>
      </c>
      <c r="L587" s="3" t="str">
        <f aca="false">IFERROR(VLOOKUP(OFFSET(Table22,586,21,1,1),OFFSET(Table2,0,1,ROWS(Table2),8),7,0),VLOOKUP(OFFSET(Table22,586,22,1,1),Table2,8,0))</f>
        <v>AZR_FreeAcctDeveloperFB-AnimatedAI-Ch3_FRA_1200x1200_VIA_AZRDirect_French_NA_Facebook_STAN_LEA_T3_1</v>
      </c>
      <c r="M587" s="2" t="n">
        <f aca="false">IFERROR(VLOOKUP(OFFSET(Table22,586,21,1,1),OFFSET(Table2,0,1,ROWS(Table2),8),8,0),VLOOKUP(OFFSET(Table22,586,22,1,1),Table2,9,0))</f>
        <v>104537813</v>
      </c>
      <c r="N587" s="15" t="s">
        <v>29</v>
      </c>
      <c r="O587" s="16" t="n">
        <v>43353</v>
      </c>
      <c r="P587" s="17" t="s">
        <v>102</v>
      </c>
      <c r="Q587" s="18" t="s">
        <v>103</v>
      </c>
      <c r="R587" s="17" t="s">
        <v>104</v>
      </c>
      <c r="S587" s="18" t="s">
        <v>33</v>
      </c>
      <c r="T587" s="17" t="s">
        <v>34</v>
      </c>
      <c r="U587" s="18" t="s">
        <v>131</v>
      </c>
      <c r="V587" s="19" t="n">
        <v>226359881</v>
      </c>
      <c r="W587" s="17" t="s">
        <v>137</v>
      </c>
      <c r="X587" s="17" t="n">
        <v>0</v>
      </c>
      <c r="Y587" s="17"/>
      <c r="Z587" s="17" t="n">
        <v>0</v>
      </c>
      <c r="AA587" s="17" t="s">
        <v>38</v>
      </c>
      <c r="AB587" s="17"/>
    </row>
    <row r="588" customFormat="false" ht="15" hidden="false" customHeight="false" outlineLevel="0" collapsed="false">
      <c r="A588" s="1" t="str">
        <f aca="false">OFFSET(Table22,587,14,1,1)&amp;OFFSET(Table22,587,21,1,1)</f>
        <v>43352226359881</v>
      </c>
      <c r="B588" s="1" t="str">
        <f aca="false">OFFSET(Table22,587,14,1,1)&amp;OFFSET(Table22,587,22,1,1)</f>
        <v>43352Facebook»Developers-Azure Direct-Sponsored Post_Trial-Video Ad-Free Account Developer - AI»1x1»30s»SOC»ALL»CPC»RT»D»UNK»SS»NA»Trials_ID</v>
      </c>
      <c r="C588" s="1" t="s">
        <v>28</v>
      </c>
      <c r="D588" s="3" t="n">
        <f aca="false">O588+(7-WEEKDAY(O588))</f>
        <v>43358</v>
      </c>
      <c r="E588" s="1" t="str">
        <f aca="false">VLOOKUP(OFFSET(Table22,587,16,1,1),Key!B:D,2,0)</f>
        <v>France</v>
      </c>
      <c r="F588" s="1" t="str">
        <f aca="false">IF(ISNUMBER(SEARCH("Canvas",U588)),"Link",IF(ISNUMBER(SEARCH("Link",U588)),"Link","Not filled properly"))</f>
        <v>Link</v>
      </c>
      <c r="G588" s="1" t="str">
        <f aca="false">IFERROR(VLOOKUP(OFFSET(Table22,587,21,1,1),OFFSET(Table2,0,1,ROWS(Table2),8),2,0),VLOOKUP(OFFSET(Table22,587,22,1,1),Table2,3,0))</f>
        <v>FRA_gaPMG_AZR_AZR_Q1_19_AzureDirect-Trial-Social</v>
      </c>
      <c r="H588" s="1" t="n">
        <f aca="false">IFERROR(VLOOKUP(OFFSET(Table22,587,21,1,1),OFFSET(Table2,0,1,ROWS(Table2),8),3,0),VLOOKUP(OFFSET(Table22,587,22,1,1),Table2,4,0))</f>
        <v>21356941</v>
      </c>
      <c r="I588" s="2" t="n">
        <f aca="false">IFERROR(VLOOKUP(OFFSET(Table22,587,21,1,1),OFFSET(Table2,0,1,ROWS(Table2),8),4,0),VLOOKUP(OFFSET(Table22,587,22,1,1),Table2,5,0))</f>
        <v>720193</v>
      </c>
      <c r="J588" s="3" t="str">
        <f aca="false">IF(ISNUMBER(SEARCH("FACEBOOK",W588)),"Facebook",IF(ISNUMBER(SEARCH("INSTAGRAM",W588)),"Facebook-Instagram","Look at taxonomy"))</f>
        <v>Facebook</v>
      </c>
      <c r="K588" s="3" t="str">
        <f aca="false">IF(ISNUMBER(SEARCH("Facebook",J588)),"3654128","Not Facebook")</f>
        <v>3654128</v>
      </c>
      <c r="L588" s="3" t="str">
        <f aca="false">IFERROR(VLOOKUP(OFFSET(Table22,587,21,1,1),OFFSET(Table2,0,1,ROWS(Table2),8),7,0),VLOOKUP(OFFSET(Table22,587,22,1,1),Table2,8,0))</f>
        <v>AZR_FreeAcctDeveloperFB-AnimatedAI-Ch3_FRA_1200x1200_VIA_AZRDirect_French_NA_Facebook_STAN_LEA_T3_1</v>
      </c>
      <c r="M588" s="2" t="n">
        <f aca="false">IFERROR(VLOOKUP(OFFSET(Table22,587,21,1,1),OFFSET(Table2,0,1,ROWS(Table2),8),8,0),VLOOKUP(OFFSET(Table22,587,22,1,1),Table2,9,0))</f>
        <v>104537813</v>
      </c>
      <c r="N588" s="15" t="s">
        <v>29</v>
      </c>
      <c r="O588" s="16" t="n">
        <v>43352</v>
      </c>
      <c r="P588" s="17" t="s">
        <v>102</v>
      </c>
      <c r="Q588" s="18" t="s">
        <v>103</v>
      </c>
      <c r="R588" s="17" t="s">
        <v>104</v>
      </c>
      <c r="S588" s="18" t="s">
        <v>33</v>
      </c>
      <c r="T588" s="17" t="s">
        <v>34</v>
      </c>
      <c r="U588" s="18" t="s">
        <v>131</v>
      </c>
      <c r="V588" s="19" t="n">
        <v>226359881</v>
      </c>
      <c r="W588" s="17" t="s">
        <v>137</v>
      </c>
      <c r="X588" s="17" t="n">
        <v>0</v>
      </c>
      <c r="Y588" s="17"/>
      <c r="Z588" s="17" t="n">
        <v>0</v>
      </c>
      <c r="AA588" s="17" t="s">
        <v>38</v>
      </c>
      <c r="AB588" s="17"/>
    </row>
    <row r="589" customFormat="false" ht="15" hidden="false" customHeight="false" outlineLevel="0" collapsed="false">
      <c r="A589" s="1" t="str">
        <f aca="false">OFFSET(Table22,588,14,1,1)&amp;OFFSET(Table22,588,21,1,1)</f>
        <v>43358226360031</v>
      </c>
      <c r="B589" s="1" t="str">
        <f aca="false">OFFSET(Table22,588,14,1,1)&amp;OFFSET(Table22,588,22,1,1)</f>
        <v>43358Facebook»Developers-Azure Direct-Sponsored Post_Trial-Video Ad-Free Account Developer - Generic»1x1»30s»SOC»ALL»CPC»LAL»D»UNK»SS»NA»Trials_ID</v>
      </c>
      <c r="C589" s="1" t="s">
        <v>28</v>
      </c>
      <c r="D589" s="3" t="n">
        <f aca="false">O589+(7-WEEKDAY(O589))</f>
        <v>43358</v>
      </c>
      <c r="E589" s="1" t="str">
        <f aca="false">VLOOKUP(OFFSET(Table22,588,16,1,1),Key!B:D,2,0)</f>
        <v>France</v>
      </c>
      <c r="F589" s="1" t="str">
        <f aca="false">IF(ISNUMBER(SEARCH("Canvas",U589)),"Link",IF(ISNUMBER(SEARCH("Link",U589)),"Link","Not filled properly"))</f>
        <v>Link</v>
      </c>
      <c r="G589" s="1" t="str">
        <f aca="false">IFERROR(VLOOKUP(OFFSET(Table22,588,21,1,1),OFFSET(Table2,0,1,ROWS(Table2),8),2,0),VLOOKUP(OFFSET(Table22,588,22,1,1),Table2,3,0))</f>
        <v>FRA_gaPMG_AZR_AZR_Q1_19_AzureDirect-Trial-Social</v>
      </c>
      <c r="H589" s="1" t="n">
        <f aca="false">IFERROR(VLOOKUP(OFFSET(Table22,588,21,1,1),OFFSET(Table2,0,1,ROWS(Table2),8),3,0),VLOOKUP(OFFSET(Table22,588,22,1,1),Table2,4,0))</f>
        <v>21356941</v>
      </c>
      <c r="I589" s="2" t="n">
        <f aca="false">IFERROR(VLOOKUP(OFFSET(Table22,588,21,1,1),OFFSET(Table2,0,1,ROWS(Table2),8),4,0),VLOOKUP(OFFSET(Table22,588,22,1,1),Table2,5,0))</f>
        <v>720193</v>
      </c>
      <c r="J589" s="3" t="str">
        <f aca="false">IF(ISNUMBER(SEARCH("FACEBOOK",W589)),"Facebook",IF(ISNUMBER(SEARCH("INSTAGRAM",W589)),"Facebook-Instagram","Look at taxonomy"))</f>
        <v>Facebook</v>
      </c>
      <c r="K589" s="3" t="str">
        <f aca="false">IF(ISNUMBER(SEARCH("Facebook",J589)),"3654128","Not Facebook")</f>
        <v>3654128</v>
      </c>
      <c r="L589" s="3" t="str">
        <f aca="false">IFERROR(VLOOKUP(OFFSET(Table22,588,21,1,1),OFFSET(Table2,0,1,ROWS(Table2),8),7,0),VLOOKUP(OFFSET(Table22,588,22,1,1),Table2,8,0))</f>
        <v>AZR_FreeAcctDeveloperFB-AnimatedGeneric-Ch1_FRA_1200x1200_VIA_AZRDirect_French_NA_Facebook_STAN_LEA_T1_1</v>
      </c>
      <c r="M589" s="2" t="n">
        <f aca="false">IFERROR(VLOOKUP(OFFSET(Table22,588,21,1,1),OFFSET(Table2,0,1,ROWS(Table2),8),8,0),VLOOKUP(OFFSET(Table22,588,22,1,1),Table2,9,0))</f>
        <v>104537129</v>
      </c>
      <c r="N589" s="15" t="s">
        <v>29</v>
      </c>
      <c r="O589" s="16" t="n">
        <v>43358</v>
      </c>
      <c r="P589" s="17" t="s">
        <v>102</v>
      </c>
      <c r="Q589" s="18" t="s">
        <v>103</v>
      </c>
      <c r="R589" s="17" t="s">
        <v>104</v>
      </c>
      <c r="S589" s="18" t="s">
        <v>33</v>
      </c>
      <c r="T589" s="17" t="s">
        <v>34</v>
      </c>
      <c r="U589" s="18" t="s">
        <v>131</v>
      </c>
      <c r="V589" s="19" t="n">
        <v>226360031</v>
      </c>
      <c r="W589" s="17" t="s">
        <v>138</v>
      </c>
      <c r="X589" s="17" t="n">
        <v>19</v>
      </c>
      <c r="Y589" s="17"/>
      <c r="Z589" s="17" t="n">
        <v>0.1</v>
      </c>
      <c r="AA589" s="17" t="s">
        <v>38</v>
      </c>
      <c r="AB589" s="17"/>
    </row>
    <row r="590" customFormat="false" ht="15" hidden="false" customHeight="false" outlineLevel="0" collapsed="false">
      <c r="A590" s="1" t="str">
        <f aca="false">OFFSET(Table22,589,14,1,1)&amp;OFFSET(Table22,589,21,1,1)</f>
        <v>43357226360031</v>
      </c>
      <c r="B590" s="1" t="str">
        <f aca="false">OFFSET(Table22,589,14,1,1)&amp;OFFSET(Table22,589,22,1,1)</f>
        <v>43357Facebook»Developers-Azure Direct-Sponsored Post_Trial-Video Ad-Free Account Developer - Generic»1x1»30s»SOC»ALL»CPC»LAL»D»UNK»SS»NA»Trials_ID</v>
      </c>
      <c r="C590" s="1" t="s">
        <v>28</v>
      </c>
      <c r="D590" s="3" t="n">
        <f aca="false">O590+(7-WEEKDAY(O590))</f>
        <v>43358</v>
      </c>
      <c r="E590" s="1" t="str">
        <f aca="false">VLOOKUP(OFFSET(Table22,589,16,1,1),Key!B:D,2,0)</f>
        <v>France</v>
      </c>
      <c r="F590" s="1" t="str">
        <f aca="false">IF(ISNUMBER(SEARCH("Canvas",U590)),"Link",IF(ISNUMBER(SEARCH("Link",U590)),"Link","Not filled properly"))</f>
        <v>Link</v>
      </c>
      <c r="G590" s="1" t="str">
        <f aca="false">IFERROR(VLOOKUP(OFFSET(Table22,589,21,1,1),OFFSET(Table2,0,1,ROWS(Table2),8),2,0),VLOOKUP(OFFSET(Table22,589,22,1,1),Table2,3,0))</f>
        <v>FRA_gaPMG_AZR_AZR_Q1_19_AzureDirect-Trial-Social</v>
      </c>
      <c r="H590" s="1" t="n">
        <f aca="false">IFERROR(VLOOKUP(OFFSET(Table22,589,21,1,1),OFFSET(Table2,0,1,ROWS(Table2),8),3,0),VLOOKUP(OFFSET(Table22,589,22,1,1),Table2,4,0))</f>
        <v>21356941</v>
      </c>
      <c r="I590" s="2" t="n">
        <f aca="false">IFERROR(VLOOKUP(OFFSET(Table22,589,21,1,1),OFFSET(Table2,0,1,ROWS(Table2),8),4,0),VLOOKUP(OFFSET(Table22,589,22,1,1),Table2,5,0))</f>
        <v>720193</v>
      </c>
      <c r="J590" s="3" t="str">
        <f aca="false">IF(ISNUMBER(SEARCH("FACEBOOK",W590)),"Facebook",IF(ISNUMBER(SEARCH("INSTAGRAM",W590)),"Facebook-Instagram","Look at taxonomy"))</f>
        <v>Facebook</v>
      </c>
      <c r="K590" s="3" t="str">
        <f aca="false">IF(ISNUMBER(SEARCH("Facebook",J590)),"3654128","Not Facebook")</f>
        <v>3654128</v>
      </c>
      <c r="L590" s="3" t="str">
        <f aca="false">IFERROR(VLOOKUP(OFFSET(Table22,589,21,1,1),OFFSET(Table2,0,1,ROWS(Table2),8),7,0),VLOOKUP(OFFSET(Table22,589,22,1,1),Table2,8,0))</f>
        <v>AZR_FreeAcctDeveloperFB-AnimatedGeneric-Ch1_FRA_1200x1200_VIA_AZRDirect_French_NA_Facebook_STAN_LEA_T1_1</v>
      </c>
      <c r="M590" s="2" t="n">
        <f aca="false">IFERROR(VLOOKUP(OFFSET(Table22,589,21,1,1),OFFSET(Table2,0,1,ROWS(Table2),8),8,0),VLOOKUP(OFFSET(Table22,589,22,1,1),Table2,9,0))</f>
        <v>104537129</v>
      </c>
      <c r="N590" s="15" t="s">
        <v>29</v>
      </c>
      <c r="O590" s="16" t="n">
        <v>43357</v>
      </c>
      <c r="P590" s="17" t="s">
        <v>102</v>
      </c>
      <c r="Q590" s="18" t="s">
        <v>103</v>
      </c>
      <c r="R590" s="17" t="s">
        <v>104</v>
      </c>
      <c r="S590" s="18" t="s">
        <v>33</v>
      </c>
      <c r="T590" s="17" t="s">
        <v>34</v>
      </c>
      <c r="U590" s="18" t="s">
        <v>131</v>
      </c>
      <c r="V590" s="19" t="n">
        <v>226360031</v>
      </c>
      <c r="W590" s="17" t="s">
        <v>138</v>
      </c>
      <c r="X590" s="17" t="n">
        <v>26</v>
      </c>
      <c r="Y590" s="17"/>
      <c r="Z590" s="17" t="n">
        <v>0.16</v>
      </c>
      <c r="AA590" s="17" t="s">
        <v>38</v>
      </c>
      <c r="AB590" s="17"/>
    </row>
    <row r="591" customFormat="false" ht="15" hidden="false" customHeight="false" outlineLevel="0" collapsed="false">
      <c r="A591" s="1" t="str">
        <f aca="false">OFFSET(Table22,590,14,1,1)&amp;OFFSET(Table22,590,21,1,1)</f>
        <v>43356226360031</v>
      </c>
      <c r="B591" s="1" t="str">
        <f aca="false">OFFSET(Table22,590,14,1,1)&amp;OFFSET(Table22,590,22,1,1)</f>
        <v>43356Facebook»Developers-Azure Direct-Sponsored Post_Trial-Video Ad-Free Account Developer - Generic»1x1»30s»SOC»ALL»CPC»LAL»D»UNK»SS»NA»Trials_ID</v>
      </c>
      <c r="C591" s="1" t="s">
        <v>28</v>
      </c>
      <c r="D591" s="3" t="n">
        <f aca="false">O591+(7-WEEKDAY(O591))</f>
        <v>43358</v>
      </c>
      <c r="E591" s="1" t="str">
        <f aca="false">VLOOKUP(OFFSET(Table22,590,16,1,1),Key!B:D,2,0)</f>
        <v>France</v>
      </c>
      <c r="F591" s="1" t="str">
        <f aca="false">IF(ISNUMBER(SEARCH("Canvas",U591)),"Link",IF(ISNUMBER(SEARCH("Link",U591)),"Link","Not filled properly"))</f>
        <v>Link</v>
      </c>
      <c r="G591" s="1" t="str">
        <f aca="false">IFERROR(VLOOKUP(OFFSET(Table22,590,21,1,1),OFFSET(Table2,0,1,ROWS(Table2),8),2,0),VLOOKUP(OFFSET(Table22,590,22,1,1),Table2,3,0))</f>
        <v>FRA_gaPMG_AZR_AZR_Q1_19_AzureDirect-Trial-Social</v>
      </c>
      <c r="H591" s="1" t="n">
        <f aca="false">IFERROR(VLOOKUP(OFFSET(Table22,590,21,1,1),OFFSET(Table2,0,1,ROWS(Table2),8),3,0),VLOOKUP(OFFSET(Table22,590,22,1,1),Table2,4,0))</f>
        <v>21356941</v>
      </c>
      <c r="I591" s="2" t="n">
        <f aca="false">IFERROR(VLOOKUP(OFFSET(Table22,590,21,1,1),OFFSET(Table2,0,1,ROWS(Table2),8),4,0),VLOOKUP(OFFSET(Table22,590,22,1,1),Table2,5,0))</f>
        <v>720193</v>
      </c>
      <c r="J591" s="3" t="str">
        <f aca="false">IF(ISNUMBER(SEARCH("FACEBOOK",W591)),"Facebook",IF(ISNUMBER(SEARCH("INSTAGRAM",W591)),"Facebook-Instagram","Look at taxonomy"))</f>
        <v>Facebook</v>
      </c>
      <c r="K591" s="3" t="str">
        <f aca="false">IF(ISNUMBER(SEARCH("Facebook",J591)),"3654128","Not Facebook")</f>
        <v>3654128</v>
      </c>
      <c r="L591" s="3" t="str">
        <f aca="false">IFERROR(VLOOKUP(OFFSET(Table22,590,21,1,1),OFFSET(Table2,0,1,ROWS(Table2),8),7,0),VLOOKUP(OFFSET(Table22,590,22,1,1),Table2,8,0))</f>
        <v>AZR_FreeAcctDeveloperFB-AnimatedGeneric-Ch1_FRA_1200x1200_VIA_AZRDirect_French_NA_Facebook_STAN_LEA_T1_1</v>
      </c>
      <c r="M591" s="2" t="n">
        <f aca="false">IFERROR(VLOOKUP(OFFSET(Table22,590,21,1,1),OFFSET(Table2,0,1,ROWS(Table2),8),8,0),VLOOKUP(OFFSET(Table22,590,22,1,1),Table2,9,0))</f>
        <v>104537129</v>
      </c>
      <c r="N591" s="15" t="s">
        <v>29</v>
      </c>
      <c r="O591" s="16" t="n">
        <v>43356</v>
      </c>
      <c r="P591" s="17" t="s">
        <v>102</v>
      </c>
      <c r="Q591" s="18" t="s">
        <v>103</v>
      </c>
      <c r="R591" s="17" t="s">
        <v>104</v>
      </c>
      <c r="S591" s="18" t="s">
        <v>33</v>
      </c>
      <c r="T591" s="17" t="s">
        <v>34</v>
      </c>
      <c r="U591" s="18" t="s">
        <v>131</v>
      </c>
      <c r="V591" s="19" t="n">
        <v>226360031</v>
      </c>
      <c r="W591" s="17" t="s">
        <v>138</v>
      </c>
      <c r="X591" s="17" t="n">
        <v>22</v>
      </c>
      <c r="Y591" s="17"/>
      <c r="Z591" s="17" t="n">
        <v>0.11</v>
      </c>
      <c r="AA591" s="17" t="s">
        <v>38</v>
      </c>
      <c r="AB591" s="17"/>
    </row>
    <row r="592" customFormat="false" ht="15" hidden="false" customHeight="false" outlineLevel="0" collapsed="false">
      <c r="A592" s="1" t="str">
        <f aca="false">OFFSET(Table22,591,14,1,1)&amp;OFFSET(Table22,591,21,1,1)</f>
        <v>43355226360031</v>
      </c>
      <c r="B592" s="1" t="str">
        <f aca="false">OFFSET(Table22,591,14,1,1)&amp;OFFSET(Table22,591,22,1,1)</f>
        <v>43355Facebook»Developers-Azure Direct-Sponsored Post_Trial-Video Ad-Free Account Developer - Generic»1x1»30s»SOC»ALL»CPC»LAL»D»UNK»SS»NA»Trials_ID</v>
      </c>
      <c r="C592" s="1" t="s">
        <v>28</v>
      </c>
      <c r="D592" s="3" t="n">
        <f aca="false">O592+(7-WEEKDAY(O592))</f>
        <v>43358</v>
      </c>
      <c r="E592" s="1" t="str">
        <f aca="false">VLOOKUP(OFFSET(Table22,591,16,1,1),Key!B:D,2,0)</f>
        <v>France</v>
      </c>
      <c r="F592" s="1" t="str">
        <f aca="false">IF(ISNUMBER(SEARCH("Canvas",U592)),"Link",IF(ISNUMBER(SEARCH("Link",U592)),"Link","Not filled properly"))</f>
        <v>Link</v>
      </c>
      <c r="G592" s="1" t="str">
        <f aca="false">IFERROR(VLOOKUP(OFFSET(Table22,591,21,1,1),OFFSET(Table2,0,1,ROWS(Table2),8),2,0),VLOOKUP(OFFSET(Table22,591,22,1,1),Table2,3,0))</f>
        <v>FRA_gaPMG_AZR_AZR_Q1_19_AzureDirect-Trial-Social</v>
      </c>
      <c r="H592" s="1" t="n">
        <f aca="false">IFERROR(VLOOKUP(OFFSET(Table22,591,21,1,1),OFFSET(Table2,0,1,ROWS(Table2),8),3,0),VLOOKUP(OFFSET(Table22,591,22,1,1),Table2,4,0))</f>
        <v>21356941</v>
      </c>
      <c r="I592" s="2" t="n">
        <f aca="false">IFERROR(VLOOKUP(OFFSET(Table22,591,21,1,1),OFFSET(Table2,0,1,ROWS(Table2),8),4,0),VLOOKUP(OFFSET(Table22,591,22,1,1),Table2,5,0))</f>
        <v>720193</v>
      </c>
      <c r="J592" s="3" t="str">
        <f aca="false">IF(ISNUMBER(SEARCH("FACEBOOK",W592)),"Facebook",IF(ISNUMBER(SEARCH("INSTAGRAM",W592)),"Facebook-Instagram","Look at taxonomy"))</f>
        <v>Facebook</v>
      </c>
      <c r="K592" s="3" t="str">
        <f aca="false">IF(ISNUMBER(SEARCH("Facebook",J592)),"3654128","Not Facebook")</f>
        <v>3654128</v>
      </c>
      <c r="L592" s="3" t="str">
        <f aca="false">IFERROR(VLOOKUP(OFFSET(Table22,591,21,1,1),OFFSET(Table2,0,1,ROWS(Table2),8),7,0),VLOOKUP(OFFSET(Table22,591,22,1,1),Table2,8,0))</f>
        <v>AZR_FreeAcctDeveloperFB-AnimatedGeneric-Ch1_FRA_1200x1200_VIA_AZRDirect_French_NA_Facebook_STAN_LEA_T1_1</v>
      </c>
      <c r="M592" s="2" t="n">
        <f aca="false">IFERROR(VLOOKUP(OFFSET(Table22,591,21,1,1),OFFSET(Table2,0,1,ROWS(Table2),8),8,0),VLOOKUP(OFFSET(Table22,591,22,1,1),Table2,9,0))</f>
        <v>104537129</v>
      </c>
      <c r="N592" s="15" t="s">
        <v>29</v>
      </c>
      <c r="O592" s="16" t="n">
        <v>43355</v>
      </c>
      <c r="P592" s="17" t="s">
        <v>102</v>
      </c>
      <c r="Q592" s="18" t="s">
        <v>103</v>
      </c>
      <c r="R592" s="17" t="s">
        <v>104</v>
      </c>
      <c r="S592" s="18" t="s">
        <v>33</v>
      </c>
      <c r="T592" s="17" t="s">
        <v>34</v>
      </c>
      <c r="U592" s="18" t="s">
        <v>131</v>
      </c>
      <c r="V592" s="19" t="n">
        <v>226360031</v>
      </c>
      <c r="W592" s="17" t="s">
        <v>138</v>
      </c>
      <c r="X592" s="17" t="n">
        <v>7</v>
      </c>
      <c r="Y592" s="17"/>
      <c r="Z592" s="17" t="n">
        <v>0.04</v>
      </c>
      <c r="AA592" s="17" t="s">
        <v>38</v>
      </c>
      <c r="AB592" s="17"/>
    </row>
    <row r="593" customFormat="false" ht="15" hidden="false" customHeight="false" outlineLevel="0" collapsed="false">
      <c r="A593" s="1" t="str">
        <f aca="false">OFFSET(Table22,592,14,1,1)&amp;OFFSET(Table22,592,21,1,1)</f>
        <v>43354226360031</v>
      </c>
      <c r="B593" s="1" t="str">
        <f aca="false">OFFSET(Table22,592,14,1,1)&amp;OFFSET(Table22,592,22,1,1)</f>
        <v>43354Facebook»Developers-Azure Direct-Sponsored Post_Trial-Video Ad-Free Account Developer - Generic»1x1»30s»SOC»ALL»CPC»LAL»D»UNK»SS»NA»Trials_ID</v>
      </c>
      <c r="C593" s="1" t="s">
        <v>28</v>
      </c>
      <c r="D593" s="3" t="n">
        <f aca="false">O593+(7-WEEKDAY(O593))</f>
        <v>43358</v>
      </c>
      <c r="E593" s="1" t="str">
        <f aca="false">VLOOKUP(OFFSET(Table22,592,16,1,1),Key!B:D,2,0)</f>
        <v>France</v>
      </c>
      <c r="F593" s="1" t="str">
        <f aca="false">IF(ISNUMBER(SEARCH("Canvas",U593)),"Link",IF(ISNUMBER(SEARCH("Link",U593)),"Link","Not filled properly"))</f>
        <v>Link</v>
      </c>
      <c r="G593" s="1" t="str">
        <f aca="false">IFERROR(VLOOKUP(OFFSET(Table22,592,21,1,1),OFFSET(Table2,0,1,ROWS(Table2),8),2,0),VLOOKUP(OFFSET(Table22,592,22,1,1),Table2,3,0))</f>
        <v>FRA_gaPMG_AZR_AZR_Q1_19_AzureDirect-Trial-Social</v>
      </c>
      <c r="H593" s="1" t="n">
        <f aca="false">IFERROR(VLOOKUP(OFFSET(Table22,592,21,1,1),OFFSET(Table2,0,1,ROWS(Table2),8),3,0),VLOOKUP(OFFSET(Table22,592,22,1,1),Table2,4,0))</f>
        <v>21356941</v>
      </c>
      <c r="I593" s="2" t="n">
        <f aca="false">IFERROR(VLOOKUP(OFFSET(Table22,592,21,1,1),OFFSET(Table2,0,1,ROWS(Table2),8),4,0),VLOOKUP(OFFSET(Table22,592,22,1,1),Table2,5,0))</f>
        <v>720193</v>
      </c>
      <c r="J593" s="3" t="str">
        <f aca="false">IF(ISNUMBER(SEARCH("FACEBOOK",W593)),"Facebook",IF(ISNUMBER(SEARCH("INSTAGRAM",W593)),"Facebook-Instagram","Look at taxonomy"))</f>
        <v>Facebook</v>
      </c>
      <c r="K593" s="3" t="str">
        <f aca="false">IF(ISNUMBER(SEARCH("Facebook",J593)),"3654128","Not Facebook")</f>
        <v>3654128</v>
      </c>
      <c r="L593" s="3" t="str">
        <f aca="false">IFERROR(VLOOKUP(OFFSET(Table22,592,21,1,1),OFFSET(Table2,0,1,ROWS(Table2),8),7,0),VLOOKUP(OFFSET(Table22,592,22,1,1),Table2,8,0))</f>
        <v>AZR_FreeAcctDeveloperFB-AnimatedGeneric-Ch1_FRA_1200x1200_VIA_AZRDirect_French_NA_Facebook_STAN_LEA_T1_1</v>
      </c>
      <c r="M593" s="2" t="n">
        <f aca="false">IFERROR(VLOOKUP(OFFSET(Table22,592,21,1,1),OFFSET(Table2,0,1,ROWS(Table2),8),8,0),VLOOKUP(OFFSET(Table22,592,22,1,1),Table2,9,0))</f>
        <v>104537129</v>
      </c>
      <c r="N593" s="15" t="s">
        <v>29</v>
      </c>
      <c r="O593" s="16" t="n">
        <v>43354</v>
      </c>
      <c r="P593" s="17" t="s">
        <v>102</v>
      </c>
      <c r="Q593" s="18" t="s">
        <v>103</v>
      </c>
      <c r="R593" s="17" t="s">
        <v>104</v>
      </c>
      <c r="S593" s="18" t="s">
        <v>33</v>
      </c>
      <c r="T593" s="17" t="s">
        <v>34</v>
      </c>
      <c r="U593" s="18" t="s">
        <v>131</v>
      </c>
      <c r="V593" s="19" t="n">
        <v>226360031</v>
      </c>
      <c r="W593" s="17" t="s">
        <v>138</v>
      </c>
      <c r="X593" s="17" t="n">
        <v>52</v>
      </c>
      <c r="Y593" s="17"/>
      <c r="Z593" s="17" t="n">
        <v>0.22</v>
      </c>
      <c r="AA593" s="17" t="s">
        <v>38</v>
      </c>
      <c r="AB593" s="17"/>
    </row>
    <row r="594" customFormat="false" ht="15" hidden="false" customHeight="false" outlineLevel="0" collapsed="false">
      <c r="A594" s="1" t="str">
        <f aca="false">OFFSET(Table22,593,14,1,1)&amp;OFFSET(Table22,593,21,1,1)</f>
        <v>43353226360031</v>
      </c>
      <c r="B594" s="1" t="str">
        <f aca="false">OFFSET(Table22,593,14,1,1)&amp;OFFSET(Table22,593,22,1,1)</f>
        <v>43353Facebook»Developers-Azure Direct-Sponsored Post_Trial-Video Ad-Free Account Developer - Generic»1x1»30s»SOC»ALL»CPC»LAL»D»UNK»SS»NA»Trials_ID</v>
      </c>
      <c r="C594" s="1" t="s">
        <v>28</v>
      </c>
      <c r="D594" s="3" t="n">
        <f aca="false">O594+(7-WEEKDAY(O594))</f>
        <v>43358</v>
      </c>
      <c r="E594" s="1" t="str">
        <f aca="false">VLOOKUP(OFFSET(Table22,593,16,1,1),Key!B:D,2,0)</f>
        <v>France</v>
      </c>
      <c r="F594" s="1" t="str">
        <f aca="false">IF(ISNUMBER(SEARCH("Canvas",U594)),"Link",IF(ISNUMBER(SEARCH("Link",U594)),"Link","Not filled properly"))</f>
        <v>Link</v>
      </c>
      <c r="G594" s="1" t="str">
        <f aca="false">IFERROR(VLOOKUP(OFFSET(Table22,593,21,1,1),OFFSET(Table2,0,1,ROWS(Table2),8),2,0),VLOOKUP(OFFSET(Table22,593,22,1,1),Table2,3,0))</f>
        <v>FRA_gaPMG_AZR_AZR_Q1_19_AzureDirect-Trial-Social</v>
      </c>
      <c r="H594" s="1" t="n">
        <f aca="false">IFERROR(VLOOKUP(OFFSET(Table22,593,21,1,1),OFFSET(Table2,0,1,ROWS(Table2),8),3,0),VLOOKUP(OFFSET(Table22,593,22,1,1),Table2,4,0))</f>
        <v>21356941</v>
      </c>
      <c r="I594" s="2" t="n">
        <f aca="false">IFERROR(VLOOKUP(OFFSET(Table22,593,21,1,1),OFFSET(Table2,0,1,ROWS(Table2),8),4,0),VLOOKUP(OFFSET(Table22,593,22,1,1),Table2,5,0))</f>
        <v>720193</v>
      </c>
      <c r="J594" s="3" t="str">
        <f aca="false">IF(ISNUMBER(SEARCH("FACEBOOK",W594)),"Facebook",IF(ISNUMBER(SEARCH("INSTAGRAM",W594)),"Facebook-Instagram","Look at taxonomy"))</f>
        <v>Facebook</v>
      </c>
      <c r="K594" s="3" t="str">
        <f aca="false">IF(ISNUMBER(SEARCH("Facebook",J594)),"3654128","Not Facebook")</f>
        <v>3654128</v>
      </c>
      <c r="L594" s="3" t="str">
        <f aca="false">IFERROR(VLOOKUP(OFFSET(Table22,593,21,1,1),OFFSET(Table2,0,1,ROWS(Table2),8),7,0),VLOOKUP(OFFSET(Table22,593,22,1,1),Table2,8,0))</f>
        <v>AZR_FreeAcctDeveloperFB-AnimatedGeneric-Ch1_FRA_1200x1200_VIA_AZRDirect_French_NA_Facebook_STAN_LEA_T1_1</v>
      </c>
      <c r="M594" s="2" t="n">
        <f aca="false">IFERROR(VLOOKUP(OFFSET(Table22,593,21,1,1),OFFSET(Table2,0,1,ROWS(Table2),8),8,0),VLOOKUP(OFFSET(Table22,593,22,1,1),Table2,9,0))</f>
        <v>104537129</v>
      </c>
      <c r="N594" s="15" t="s">
        <v>29</v>
      </c>
      <c r="O594" s="16" t="n">
        <v>43353</v>
      </c>
      <c r="P594" s="17" t="s">
        <v>102</v>
      </c>
      <c r="Q594" s="18" t="s">
        <v>103</v>
      </c>
      <c r="R594" s="17" t="s">
        <v>104</v>
      </c>
      <c r="S594" s="18" t="s">
        <v>33</v>
      </c>
      <c r="T594" s="17" t="s">
        <v>34</v>
      </c>
      <c r="U594" s="18" t="s">
        <v>131</v>
      </c>
      <c r="V594" s="19" t="n">
        <v>226360031</v>
      </c>
      <c r="W594" s="17" t="s">
        <v>138</v>
      </c>
      <c r="X594" s="17" t="n">
        <v>114</v>
      </c>
      <c r="Y594" s="17"/>
      <c r="Z594" s="17" t="n">
        <v>0.6</v>
      </c>
      <c r="AA594" s="17" t="s">
        <v>38</v>
      </c>
      <c r="AB594" s="17"/>
    </row>
    <row r="595" customFormat="false" ht="15" hidden="false" customHeight="false" outlineLevel="0" collapsed="false">
      <c r="A595" s="1" t="str">
        <f aca="false">OFFSET(Table22,594,14,1,1)&amp;OFFSET(Table22,594,21,1,1)</f>
        <v>43352226360031</v>
      </c>
      <c r="B595" s="1" t="str">
        <f aca="false">OFFSET(Table22,594,14,1,1)&amp;OFFSET(Table22,594,22,1,1)</f>
        <v>43352Facebook»Developers-Azure Direct-Sponsored Post_Trial-Video Ad-Free Account Developer - Generic»1x1»30s»SOC»ALL»CPC»LAL»D»UNK»SS»NA»Trials_ID</v>
      </c>
      <c r="C595" s="1" t="s">
        <v>28</v>
      </c>
      <c r="D595" s="3" t="n">
        <f aca="false">O595+(7-WEEKDAY(O595))</f>
        <v>43358</v>
      </c>
      <c r="E595" s="1" t="str">
        <f aca="false">VLOOKUP(OFFSET(Table22,594,16,1,1),Key!B:D,2,0)</f>
        <v>France</v>
      </c>
      <c r="F595" s="1" t="str">
        <f aca="false">IF(ISNUMBER(SEARCH("Canvas",U595)),"Link",IF(ISNUMBER(SEARCH("Link",U595)),"Link","Not filled properly"))</f>
        <v>Link</v>
      </c>
      <c r="G595" s="1" t="str">
        <f aca="false">IFERROR(VLOOKUP(OFFSET(Table22,594,21,1,1),OFFSET(Table2,0,1,ROWS(Table2),8),2,0),VLOOKUP(OFFSET(Table22,594,22,1,1),Table2,3,0))</f>
        <v>FRA_gaPMG_AZR_AZR_Q1_19_AzureDirect-Trial-Social</v>
      </c>
      <c r="H595" s="1" t="n">
        <f aca="false">IFERROR(VLOOKUP(OFFSET(Table22,594,21,1,1),OFFSET(Table2,0,1,ROWS(Table2),8),3,0),VLOOKUP(OFFSET(Table22,594,22,1,1),Table2,4,0))</f>
        <v>21356941</v>
      </c>
      <c r="I595" s="2" t="n">
        <f aca="false">IFERROR(VLOOKUP(OFFSET(Table22,594,21,1,1),OFFSET(Table2,0,1,ROWS(Table2),8),4,0),VLOOKUP(OFFSET(Table22,594,22,1,1),Table2,5,0))</f>
        <v>720193</v>
      </c>
      <c r="J595" s="3" t="str">
        <f aca="false">IF(ISNUMBER(SEARCH("FACEBOOK",W595)),"Facebook",IF(ISNUMBER(SEARCH("INSTAGRAM",W595)),"Facebook-Instagram","Look at taxonomy"))</f>
        <v>Facebook</v>
      </c>
      <c r="K595" s="3" t="str">
        <f aca="false">IF(ISNUMBER(SEARCH("Facebook",J595)),"3654128","Not Facebook")</f>
        <v>3654128</v>
      </c>
      <c r="L595" s="3" t="str">
        <f aca="false">IFERROR(VLOOKUP(OFFSET(Table22,594,21,1,1),OFFSET(Table2,0,1,ROWS(Table2),8),7,0),VLOOKUP(OFFSET(Table22,594,22,1,1),Table2,8,0))</f>
        <v>AZR_FreeAcctDeveloperFB-AnimatedGeneric-Ch1_FRA_1200x1200_VIA_AZRDirect_French_NA_Facebook_STAN_LEA_T1_1</v>
      </c>
      <c r="M595" s="2" t="n">
        <f aca="false">IFERROR(VLOOKUP(OFFSET(Table22,594,21,1,1),OFFSET(Table2,0,1,ROWS(Table2),8),8,0),VLOOKUP(OFFSET(Table22,594,22,1,1),Table2,9,0))</f>
        <v>104537129</v>
      </c>
      <c r="N595" s="15" t="s">
        <v>29</v>
      </c>
      <c r="O595" s="16" t="n">
        <v>43352</v>
      </c>
      <c r="P595" s="17" t="s">
        <v>102</v>
      </c>
      <c r="Q595" s="18" t="s">
        <v>103</v>
      </c>
      <c r="R595" s="17" t="s">
        <v>104</v>
      </c>
      <c r="S595" s="18" t="s">
        <v>33</v>
      </c>
      <c r="T595" s="17" t="s">
        <v>34</v>
      </c>
      <c r="U595" s="18" t="s">
        <v>131</v>
      </c>
      <c r="V595" s="19" t="n">
        <v>226360031</v>
      </c>
      <c r="W595" s="17" t="s">
        <v>138</v>
      </c>
      <c r="X595" s="17" t="n">
        <v>500</v>
      </c>
      <c r="Y595" s="17" t="n">
        <v>4</v>
      </c>
      <c r="Z595" s="17" t="n">
        <v>2.49</v>
      </c>
      <c r="AA595" s="17" t="s">
        <v>38</v>
      </c>
      <c r="AB595" s="17"/>
    </row>
    <row r="596" customFormat="false" ht="15" hidden="false" customHeight="false" outlineLevel="0" collapsed="false">
      <c r="A596" s="1" t="str">
        <f aca="false">OFFSET(Table22,595,14,1,1)&amp;OFFSET(Table22,595,21,1,1)</f>
        <v>43358226359887</v>
      </c>
      <c r="B596" s="1" t="str">
        <f aca="false">OFFSET(Table22,595,14,1,1)&amp;OFFSET(Table22,595,22,1,1)</f>
        <v>43358Facebook»Developers-Azure Direct-Sponsored Post_Trial-Video Ad-Free Account Developer - Generic»1x1»30s»SOC»ALL»CPC»RT»D»UNK»SS»NA»Trials_ID</v>
      </c>
      <c r="C596" s="1" t="s">
        <v>28</v>
      </c>
      <c r="D596" s="3" t="n">
        <f aca="false">O596+(7-WEEKDAY(O596))</f>
        <v>43358</v>
      </c>
      <c r="E596" s="1" t="str">
        <f aca="false">VLOOKUP(OFFSET(Table22,595,16,1,1),Key!B:D,2,0)</f>
        <v>France</v>
      </c>
      <c r="F596" s="1" t="str">
        <f aca="false">IF(ISNUMBER(SEARCH("Canvas",U596)),"Link",IF(ISNUMBER(SEARCH("Link",U596)),"Link","Not filled properly"))</f>
        <v>Link</v>
      </c>
      <c r="G596" s="1" t="str">
        <f aca="false">IFERROR(VLOOKUP(OFFSET(Table22,595,21,1,1),OFFSET(Table2,0,1,ROWS(Table2),8),2,0),VLOOKUP(OFFSET(Table22,595,22,1,1),Table2,3,0))</f>
        <v>FRA_gaPMG_AZR_AZR_Q1_19_AzureDirect-Trial-Social</v>
      </c>
      <c r="H596" s="1" t="n">
        <f aca="false">IFERROR(VLOOKUP(OFFSET(Table22,595,21,1,1),OFFSET(Table2,0,1,ROWS(Table2),8),3,0),VLOOKUP(OFFSET(Table22,595,22,1,1),Table2,4,0))</f>
        <v>21356941</v>
      </c>
      <c r="I596" s="2" t="n">
        <f aca="false">IFERROR(VLOOKUP(OFFSET(Table22,595,21,1,1),OFFSET(Table2,0,1,ROWS(Table2),8),4,0),VLOOKUP(OFFSET(Table22,595,22,1,1),Table2,5,0))</f>
        <v>720193</v>
      </c>
      <c r="J596" s="3" t="str">
        <f aca="false">IF(ISNUMBER(SEARCH("FACEBOOK",W596)),"Facebook",IF(ISNUMBER(SEARCH("INSTAGRAM",W596)),"Facebook-Instagram","Look at taxonomy"))</f>
        <v>Facebook</v>
      </c>
      <c r="K596" s="3" t="str">
        <f aca="false">IF(ISNUMBER(SEARCH("Facebook",J596)),"3654128","Not Facebook")</f>
        <v>3654128</v>
      </c>
      <c r="L596" s="3" t="str">
        <f aca="false">IFERROR(VLOOKUP(OFFSET(Table22,595,21,1,1),OFFSET(Table2,0,1,ROWS(Table2),8),7,0),VLOOKUP(OFFSET(Table22,595,22,1,1),Table2,8,0))</f>
        <v>AZR_FreeAcctDeveloperFB-AnimatedGeneric-Ch1_FRA_1200x1200_VIA_AZRDirect_French_NA_Facebook_STAN_LEA_T1_1</v>
      </c>
      <c r="M596" s="2" t="n">
        <f aca="false">IFERROR(VLOOKUP(OFFSET(Table22,595,21,1,1),OFFSET(Table2,0,1,ROWS(Table2),8),8,0),VLOOKUP(OFFSET(Table22,595,22,1,1),Table2,9,0))</f>
        <v>104537129</v>
      </c>
      <c r="N596" s="15" t="s">
        <v>29</v>
      </c>
      <c r="O596" s="16" t="n">
        <v>43358</v>
      </c>
      <c r="P596" s="17" t="s">
        <v>102</v>
      </c>
      <c r="Q596" s="18" t="s">
        <v>103</v>
      </c>
      <c r="R596" s="17" t="s">
        <v>104</v>
      </c>
      <c r="S596" s="18" t="s">
        <v>33</v>
      </c>
      <c r="T596" s="17" t="s">
        <v>34</v>
      </c>
      <c r="U596" s="18" t="s">
        <v>131</v>
      </c>
      <c r="V596" s="19" t="n">
        <v>226359887</v>
      </c>
      <c r="W596" s="17" t="s">
        <v>139</v>
      </c>
      <c r="X596" s="17" t="n">
        <v>0</v>
      </c>
      <c r="Y596" s="17"/>
      <c r="Z596" s="17" t="n">
        <v>0</v>
      </c>
      <c r="AA596" s="17" t="s">
        <v>38</v>
      </c>
      <c r="AB596" s="17"/>
    </row>
    <row r="597" customFormat="false" ht="15" hidden="false" customHeight="false" outlineLevel="0" collapsed="false">
      <c r="A597" s="1" t="str">
        <f aca="false">OFFSET(Table22,596,14,1,1)&amp;OFFSET(Table22,596,21,1,1)</f>
        <v>43357226359887</v>
      </c>
      <c r="B597" s="1" t="str">
        <f aca="false">OFFSET(Table22,596,14,1,1)&amp;OFFSET(Table22,596,22,1,1)</f>
        <v>43357Facebook»Developers-Azure Direct-Sponsored Post_Trial-Video Ad-Free Account Developer - Generic»1x1»30s»SOC»ALL»CPC»RT»D»UNK»SS»NA»Trials_ID</v>
      </c>
      <c r="C597" s="1" t="s">
        <v>28</v>
      </c>
      <c r="D597" s="3" t="n">
        <f aca="false">O597+(7-WEEKDAY(O597))</f>
        <v>43358</v>
      </c>
      <c r="E597" s="1" t="str">
        <f aca="false">VLOOKUP(OFFSET(Table22,596,16,1,1),Key!B:D,2,0)</f>
        <v>France</v>
      </c>
      <c r="F597" s="1" t="str">
        <f aca="false">IF(ISNUMBER(SEARCH("Canvas",U597)),"Link",IF(ISNUMBER(SEARCH("Link",U597)),"Link","Not filled properly"))</f>
        <v>Link</v>
      </c>
      <c r="G597" s="1" t="str">
        <f aca="false">IFERROR(VLOOKUP(OFFSET(Table22,596,21,1,1),OFFSET(Table2,0,1,ROWS(Table2),8),2,0),VLOOKUP(OFFSET(Table22,596,22,1,1),Table2,3,0))</f>
        <v>FRA_gaPMG_AZR_AZR_Q1_19_AzureDirect-Trial-Social</v>
      </c>
      <c r="H597" s="1" t="n">
        <f aca="false">IFERROR(VLOOKUP(OFFSET(Table22,596,21,1,1),OFFSET(Table2,0,1,ROWS(Table2),8),3,0),VLOOKUP(OFFSET(Table22,596,22,1,1),Table2,4,0))</f>
        <v>21356941</v>
      </c>
      <c r="I597" s="2" t="n">
        <f aca="false">IFERROR(VLOOKUP(OFFSET(Table22,596,21,1,1),OFFSET(Table2,0,1,ROWS(Table2),8),4,0),VLOOKUP(OFFSET(Table22,596,22,1,1),Table2,5,0))</f>
        <v>720193</v>
      </c>
      <c r="J597" s="3" t="str">
        <f aca="false">IF(ISNUMBER(SEARCH("FACEBOOK",W597)),"Facebook",IF(ISNUMBER(SEARCH("INSTAGRAM",W597)),"Facebook-Instagram","Look at taxonomy"))</f>
        <v>Facebook</v>
      </c>
      <c r="K597" s="3" t="str">
        <f aca="false">IF(ISNUMBER(SEARCH("Facebook",J597)),"3654128","Not Facebook")</f>
        <v>3654128</v>
      </c>
      <c r="L597" s="3" t="str">
        <f aca="false">IFERROR(VLOOKUP(OFFSET(Table22,596,21,1,1),OFFSET(Table2,0,1,ROWS(Table2),8),7,0),VLOOKUP(OFFSET(Table22,596,22,1,1),Table2,8,0))</f>
        <v>AZR_FreeAcctDeveloperFB-AnimatedGeneric-Ch1_FRA_1200x1200_VIA_AZRDirect_French_NA_Facebook_STAN_LEA_T1_1</v>
      </c>
      <c r="M597" s="2" t="n">
        <f aca="false">IFERROR(VLOOKUP(OFFSET(Table22,596,21,1,1),OFFSET(Table2,0,1,ROWS(Table2),8),8,0),VLOOKUP(OFFSET(Table22,596,22,1,1),Table2,9,0))</f>
        <v>104537129</v>
      </c>
      <c r="N597" s="15" t="s">
        <v>29</v>
      </c>
      <c r="O597" s="16" t="n">
        <v>43357</v>
      </c>
      <c r="P597" s="17" t="s">
        <v>102</v>
      </c>
      <c r="Q597" s="18" t="s">
        <v>103</v>
      </c>
      <c r="R597" s="17" t="s">
        <v>104</v>
      </c>
      <c r="S597" s="18" t="s">
        <v>33</v>
      </c>
      <c r="T597" s="17" t="s">
        <v>34</v>
      </c>
      <c r="U597" s="18" t="s">
        <v>131</v>
      </c>
      <c r="V597" s="19" t="n">
        <v>226359887</v>
      </c>
      <c r="W597" s="17" t="s">
        <v>139</v>
      </c>
      <c r="X597" s="17" t="n">
        <v>0</v>
      </c>
      <c r="Y597" s="17"/>
      <c r="Z597" s="17" t="n">
        <v>0</v>
      </c>
      <c r="AA597" s="17" t="s">
        <v>38</v>
      </c>
      <c r="AB597" s="17"/>
    </row>
    <row r="598" customFormat="false" ht="15" hidden="false" customHeight="false" outlineLevel="0" collapsed="false">
      <c r="A598" s="1" t="str">
        <f aca="false">OFFSET(Table22,597,14,1,1)&amp;OFFSET(Table22,597,21,1,1)</f>
        <v>43356226359887</v>
      </c>
      <c r="B598" s="1" t="str">
        <f aca="false">OFFSET(Table22,597,14,1,1)&amp;OFFSET(Table22,597,22,1,1)</f>
        <v>43356Facebook»Developers-Azure Direct-Sponsored Post_Trial-Video Ad-Free Account Developer - Generic»1x1»30s»SOC»ALL»CPC»RT»D»UNK»SS»NA»Trials_ID</v>
      </c>
      <c r="C598" s="1" t="s">
        <v>28</v>
      </c>
      <c r="D598" s="3" t="n">
        <f aca="false">O598+(7-WEEKDAY(O598))</f>
        <v>43358</v>
      </c>
      <c r="E598" s="1" t="str">
        <f aca="false">VLOOKUP(OFFSET(Table22,597,16,1,1),Key!B:D,2,0)</f>
        <v>France</v>
      </c>
      <c r="F598" s="1" t="str">
        <f aca="false">IF(ISNUMBER(SEARCH("Canvas",U598)),"Link",IF(ISNUMBER(SEARCH("Link",U598)),"Link","Not filled properly"))</f>
        <v>Link</v>
      </c>
      <c r="G598" s="1" t="str">
        <f aca="false">IFERROR(VLOOKUP(OFFSET(Table22,597,21,1,1),OFFSET(Table2,0,1,ROWS(Table2),8),2,0),VLOOKUP(OFFSET(Table22,597,22,1,1),Table2,3,0))</f>
        <v>FRA_gaPMG_AZR_AZR_Q1_19_AzureDirect-Trial-Social</v>
      </c>
      <c r="H598" s="1" t="n">
        <f aca="false">IFERROR(VLOOKUP(OFFSET(Table22,597,21,1,1),OFFSET(Table2,0,1,ROWS(Table2),8),3,0),VLOOKUP(OFFSET(Table22,597,22,1,1),Table2,4,0))</f>
        <v>21356941</v>
      </c>
      <c r="I598" s="2" t="n">
        <f aca="false">IFERROR(VLOOKUP(OFFSET(Table22,597,21,1,1),OFFSET(Table2,0,1,ROWS(Table2),8),4,0),VLOOKUP(OFFSET(Table22,597,22,1,1),Table2,5,0))</f>
        <v>720193</v>
      </c>
      <c r="J598" s="3" t="str">
        <f aca="false">IF(ISNUMBER(SEARCH("FACEBOOK",W598)),"Facebook",IF(ISNUMBER(SEARCH("INSTAGRAM",W598)),"Facebook-Instagram","Look at taxonomy"))</f>
        <v>Facebook</v>
      </c>
      <c r="K598" s="3" t="str">
        <f aca="false">IF(ISNUMBER(SEARCH("Facebook",J598)),"3654128","Not Facebook")</f>
        <v>3654128</v>
      </c>
      <c r="L598" s="3" t="str">
        <f aca="false">IFERROR(VLOOKUP(OFFSET(Table22,597,21,1,1),OFFSET(Table2,0,1,ROWS(Table2),8),7,0),VLOOKUP(OFFSET(Table22,597,22,1,1),Table2,8,0))</f>
        <v>AZR_FreeAcctDeveloperFB-AnimatedGeneric-Ch1_FRA_1200x1200_VIA_AZRDirect_French_NA_Facebook_STAN_LEA_T1_1</v>
      </c>
      <c r="M598" s="2" t="n">
        <f aca="false">IFERROR(VLOOKUP(OFFSET(Table22,597,21,1,1),OFFSET(Table2,0,1,ROWS(Table2),8),8,0),VLOOKUP(OFFSET(Table22,597,22,1,1),Table2,9,0))</f>
        <v>104537129</v>
      </c>
      <c r="N598" s="15" t="s">
        <v>29</v>
      </c>
      <c r="O598" s="16" t="n">
        <v>43356</v>
      </c>
      <c r="P598" s="17" t="s">
        <v>102</v>
      </c>
      <c r="Q598" s="18" t="s">
        <v>103</v>
      </c>
      <c r="R598" s="17" t="s">
        <v>104</v>
      </c>
      <c r="S598" s="18" t="s">
        <v>33</v>
      </c>
      <c r="T598" s="17" t="s">
        <v>34</v>
      </c>
      <c r="U598" s="18" t="s">
        <v>131</v>
      </c>
      <c r="V598" s="19" t="n">
        <v>226359887</v>
      </c>
      <c r="W598" s="17" t="s">
        <v>139</v>
      </c>
      <c r="X598" s="17" t="n">
        <v>0</v>
      </c>
      <c r="Y598" s="17"/>
      <c r="Z598" s="17" t="n">
        <v>0</v>
      </c>
      <c r="AA598" s="17" t="s">
        <v>38</v>
      </c>
      <c r="AB598" s="17"/>
    </row>
    <row r="599" customFormat="false" ht="15" hidden="false" customHeight="false" outlineLevel="0" collapsed="false">
      <c r="A599" s="1" t="str">
        <f aca="false">OFFSET(Table22,598,14,1,1)&amp;OFFSET(Table22,598,21,1,1)</f>
        <v>43355226359887</v>
      </c>
      <c r="B599" s="1" t="str">
        <f aca="false">OFFSET(Table22,598,14,1,1)&amp;OFFSET(Table22,598,22,1,1)</f>
        <v>43355Facebook»Developers-Azure Direct-Sponsored Post_Trial-Video Ad-Free Account Developer - Generic»1x1»30s»SOC»ALL»CPC»RT»D»UNK»SS»NA»Trials_ID</v>
      </c>
      <c r="C599" s="1" t="s">
        <v>28</v>
      </c>
      <c r="D599" s="3" t="n">
        <f aca="false">O599+(7-WEEKDAY(O599))</f>
        <v>43358</v>
      </c>
      <c r="E599" s="1" t="str">
        <f aca="false">VLOOKUP(OFFSET(Table22,598,16,1,1),Key!B:D,2,0)</f>
        <v>France</v>
      </c>
      <c r="F599" s="1" t="str">
        <f aca="false">IF(ISNUMBER(SEARCH("Canvas",U599)),"Link",IF(ISNUMBER(SEARCH("Link",U599)),"Link","Not filled properly"))</f>
        <v>Link</v>
      </c>
      <c r="G599" s="1" t="str">
        <f aca="false">IFERROR(VLOOKUP(OFFSET(Table22,598,21,1,1),OFFSET(Table2,0,1,ROWS(Table2),8),2,0),VLOOKUP(OFFSET(Table22,598,22,1,1),Table2,3,0))</f>
        <v>FRA_gaPMG_AZR_AZR_Q1_19_AzureDirect-Trial-Social</v>
      </c>
      <c r="H599" s="1" t="n">
        <f aca="false">IFERROR(VLOOKUP(OFFSET(Table22,598,21,1,1),OFFSET(Table2,0,1,ROWS(Table2),8),3,0),VLOOKUP(OFFSET(Table22,598,22,1,1),Table2,4,0))</f>
        <v>21356941</v>
      </c>
      <c r="I599" s="2" t="n">
        <f aca="false">IFERROR(VLOOKUP(OFFSET(Table22,598,21,1,1),OFFSET(Table2,0,1,ROWS(Table2),8),4,0),VLOOKUP(OFFSET(Table22,598,22,1,1),Table2,5,0))</f>
        <v>720193</v>
      </c>
      <c r="J599" s="3" t="str">
        <f aca="false">IF(ISNUMBER(SEARCH("FACEBOOK",W599)),"Facebook",IF(ISNUMBER(SEARCH("INSTAGRAM",W599)),"Facebook-Instagram","Look at taxonomy"))</f>
        <v>Facebook</v>
      </c>
      <c r="K599" s="3" t="str">
        <f aca="false">IF(ISNUMBER(SEARCH("Facebook",J599)),"3654128","Not Facebook")</f>
        <v>3654128</v>
      </c>
      <c r="L599" s="3" t="str">
        <f aca="false">IFERROR(VLOOKUP(OFFSET(Table22,598,21,1,1),OFFSET(Table2,0,1,ROWS(Table2),8),7,0),VLOOKUP(OFFSET(Table22,598,22,1,1),Table2,8,0))</f>
        <v>AZR_FreeAcctDeveloperFB-AnimatedGeneric-Ch1_FRA_1200x1200_VIA_AZRDirect_French_NA_Facebook_STAN_LEA_T1_1</v>
      </c>
      <c r="M599" s="2" t="n">
        <f aca="false">IFERROR(VLOOKUP(OFFSET(Table22,598,21,1,1),OFFSET(Table2,0,1,ROWS(Table2),8),8,0),VLOOKUP(OFFSET(Table22,598,22,1,1),Table2,9,0))</f>
        <v>104537129</v>
      </c>
      <c r="N599" s="15" t="s">
        <v>29</v>
      </c>
      <c r="O599" s="16" t="n">
        <v>43355</v>
      </c>
      <c r="P599" s="17" t="s">
        <v>102</v>
      </c>
      <c r="Q599" s="18" t="s">
        <v>103</v>
      </c>
      <c r="R599" s="17" t="s">
        <v>104</v>
      </c>
      <c r="S599" s="18" t="s">
        <v>33</v>
      </c>
      <c r="T599" s="17" t="s">
        <v>34</v>
      </c>
      <c r="U599" s="18" t="s">
        <v>131</v>
      </c>
      <c r="V599" s="19" t="n">
        <v>226359887</v>
      </c>
      <c r="W599" s="17" t="s">
        <v>139</v>
      </c>
      <c r="X599" s="17" t="n">
        <v>0</v>
      </c>
      <c r="Y599" s="17"/>
      <c r="Z599" s="17" t="n">
        <v>0</v>
      </c>
      <c r="AA599" s="17" t="s">
        <v>38</v>
      </c>
      <c r="AB599" s="17"/>
    </row>
    <row r="600" customFormat="false" ht="15" hidden="false" customHeight="false" outlineLevel="0" collapsed="false">
      <c r="A600" s="1" t="str">
        <f aca="false">OFFSET(Table22,599,14,1,1)&amp;OFFSET(Table22,599,21,1,1)</f>
        <v>43354226359887</v>
      </c>
      <c r="B600" s="1" t="str">
        <f aca="false">OFFSET(Table22,599,14,1,1)&amp;OFFSET(Table22,599,22,1,1)</f>
        <v>43354Facebook»Developers-Azure Direct-Sponsored Post_Trial-Video Ad-Free Account Developer - Generic»1x1»30s»SOC»ALL»CPC»RT»D»UNK»SS»NA»Trials_ID</v>
      </c>
      <c r="C600" s="1" t="s">
        <v>28</v>
      </c>
      <c r="D600" s="3" t="n">
        <f aca="false">O600+(7-WEEKDAY(O600))</f>
        <v>43358</v>
      </c>
      <c r="E600" s="1" t="str">
        <f aca="false">VLOOKUP(OFFSET(Table22,599,16,1,1),Key!B:D,2,0)</f>
        <v>France</v>
      </c>
      <c r="F600" s="1" t="str">
        <f aca="false">IF(ISNUMBER(SEARCH("Canvas",U600)),"Link",IF(ISNUMBER(SEARCH("Link",U600)),"Link","Not filled properly"))</f>
        <v>Link</v>
      </c>
      <c r="G600" s="1" t="str">
        <f aca="false">IFERROR(VLOOKUP(OFFSET(Table22,599,21,1,1),OFFSET(Table2,0,1,ROWS(Table2),8),2,0),VLOOKUP(OFFSET(Table22,599,22,1,1),Table2,3,0))</f>
        <v>FRA_gaPMG_AZR_AZR_Q1_19_AzureDirect-Trial-Social</v>
      </c>
      <c r="H600" s="1" t="n">
        <f aca="false">IFERROR(VLOOKUP(OFFSET(Table22,599,21,1,1),OFFSET(Table2,0,1,ROWS(Table2),8),3,0),VLOOKUP(OFFSET(Table22,599,22,1,1),Table2,4,0))</f>
        <v>21356941</v>
      </c>
      <c r="I600" s="2" t="n">
        <f aca="false">IFERROR(VLOOKUP(OFFSET(Table22,599,21,1,1),OFFSET(Table2,0,1,ROWS(Table2),8),4,0),VLOOKUP(OFFSET(Table22,599,22,1,1),Table2,5,0))</f>
        <v>720193</v>
      </c>
      <c r="J600" s="3" t="str">
        <f aca="false">IF(ISNUMBER(SEARCH("FACEBOOK",W600)),"Facebook",IF(ISNUMBER(SEARCH("INSTAGRAM",W600)),"Facebook-Instagram","Look at taxonomy"))</f>
        <v>Facebook</v>
      </c>
      <c r="K600" s="3" t="str">
        <f aca="false">IF(ISNUMBER(SEARCH("Facebook",J600)),"3654128","Not Facebook")</f>
        <v>3654128</v>
      </c>
      <c r="L600" s="3" t="str">
        <f aca="false">IFERROR(VLOOKUP(OFFSET(Table22,599,21,1,1),OFFSET(Table2,0,1,ROWS(Table2),8),7,0),VLOOKUP(OFFSET(Table22,599,22,1,1),Table2,8,0))</f>
        <v>AZR_FreeAcctDeveloperFB-AnimatedGeneric-Ch1_FRA_1200x1200_VIA_AZRDirect_French_NA_Facebook_STAN_LEA_T1_1</v>
      </c>
      <c r="M600" s="2" t="n">
        <f aca="false">IFERROR(VLOOKUP(OFFSET(Table22,599,21,1,1),OFFSET(Table2,0,1,ROWS(Table2),8),8,0),VLOOKUP(OFFSET(Table22,599,22,1,1),Table2,9,0))</f>
        <v>104537129</v>
      </c>
      <c r="N600" s="15" t="s">
        <v>29</v>
      </c>
      <c r="O600" s="16" t="n">
        <v>43354</v>
      </c>
      <c r="P600" s="17" t="s">
        <v>102</v>
      </c>
      <c r="Q600" s="18" t="s">
        <v>103</v>
      </c>
      <c r="R600" s="17" t="s">
        <v>104</v>
      </c>
      <c r="S600" s="18" t="s">
        <v>33</v>
      </c>
      <c r="T600" s="17" t="s">
        <v>34</v>
      </c>
      <c r="U600" s="18" t="s">
        <v>131</v>
      </c>
      <c r="V600" s="19" t="n">
        <v>226359887</v>
      </c>
      <c r="W600" s="17" t="s">
        <v>139</v>
      </c>
      <c r="X600" s="17" t="n">
        <v>0</v>
      </c>
      <c r="Y600" s="17"/>
      <c r="Z600" s="17" t="n">
        <v>0</v>
      </c>
      <c r="AA600" s="17" t="s">
        <v>38</v>
      </c>
      <c r="AB600" s="17"/>
    </row>
    <row r="601" customFormat="false" ht="15" hidden="false" customHeight="false" outlineLevel="0" collapsed="false">
      <c r="A601" s="1" t="str">
        <f aca="false">OFFSET(Table22,600,14,1,1)&amp;OFFSET(Table22,600,21,1,1)</f>
        <v>43353226359887</v>
      </c>
      <c r="B601" s="1" t="str">
        <f aca="false">OFFSET(Table22,600,14,1,1)&amp;OFFSET(Table22,600,22,1,1)</f>
        <v>43353Facebook»Developers-Azure Direct-Sponsored Post_Trial-Video Ad-Free Account Developer - Generic»1x1»30s»SOC»ALL»CPC»RT»D»UNK»SS»NA»Trials_ID</v>
      </c>
      <c r="C601" s="1" t="s">
        <v>28</v>
      </c>
      <c r="D601" s="3" t="n">
        <f aca="false">O601+(7-WEEKDAY(O601))</f>
        <v>43358</v>
      </c>
      <c r="E601" s="1" t="str">
        <f aca="false">VLOOKUP(OFFSET(Table22,600,16,1,1),Key!B:D,2,0)</f>
        <v>France</v>
      </c>
      <c r="F601" s="1" t="str">
        <f aca="false">IF(ISNUMBER(SEARCH("Canvas",U601)),"Link",IF(ISNUMBER(SEARCH("Link",U601)),"Link","Not filled properly"))</f>
        <v>Link</v>
      </c>
      <c r="G601" s="1" t="str">
        <f aca="false">IFERROR(VLOOKUP(OFFSET(Table22,600,21,1,1),OFFSET(Table2,0,1,ROWS(Table2),8),2,0),VLOOKUP(OFFSET(Table22,600,22,1,1),Table2,3,0))</f>
        <v>FRA_gaPMG_AZR_AZR_Q1_19_AzureDirect-Trial-Social</v>
      </c>
      <c r="H601" s="1" t="n">
        <f aca="false">IFERROR(VLOOKUP(OFFSET(Table22,600,21,1,1),OFFSET(Table2,0,1,ROWS(Table2),8),3,0),VLOOKUP(OFFSET(Table22,600,22,1,1),Table2,4,0))</f>
        <v>21356941</v>
      </c>
      <c r="I601" s="2" t="n">
        <f aca="false">IFERROR(VLOOKUP(OFFSET(Table22,600,21,1,1),OFFSET(Table2,0,1,ROWS(Table2),8),4,0),VLOOKUP(OFFSET(Table22,600,22,1,1),Table2,5,0))</f>
        <v>720193</v>
      </c>
      <c r="J601" s="3" t="str">
        <f aca="false">IF(ISNUMBER(SEARCH("FACEBOOK",W601)),"Facebook",IF(ISNUMBER(SEARCH("INSTAGRAM",W601)),"Facebook-Instagram","Look at taxonomy"))</f>
        <v>Facebook</v>
      </c>
      <c r="K601" s="3" t="str">
        <f aca="false">IF(ISNUMBER(SEARCH("Facebook",J601)),"3654128","Not Facebook")</f>
        <v>3654128</v>
      </c>
      <c r="L601" s="3" t="str">
        <f aca="false">IFERROR(VLOOKUP(OFFSET(Table22,600,21,1,1),OFFSET(Table2,0,1,ROWS(Table2),8),7,0),VLOOKUP(OFFSET(Table22,600,22,1,1),Table2,8,0))</f>
        <v>AZR_FreeAcctDeveloperFB-AnimatedGeneric-Ch1_FRA_1200x1200_VIA_AZRDirect_French_NA_Facebook_STAN_LEA_T1_1</v>
      </c>
      <c r="M601" s="2" t="n">
        <f aca="false">IFERROR(VLOOKUP(OFFSET(Table22,600,21,1,1),OFFSET(Table2,0,1,ROWS(Table2),8),8,0),VLOOKUP(OFFSET(Table22,600,22,1,1),Table2,9,0))</f>
        <v>104537129</v>
      </c>
      <c r="N601" s="15" t="s">
        <v>29</v>
      </c>
      <c r="O601" s="16" t="n">
        <v>43353</v>
      </c>
      <c r="P601" s="17" t="s">
        <v>102</v>
      </c>
      <c r="Q601" s="18" t="s">
        <v>103</v>
      </c>
      <c r="R601" s="17" t="s">
        <v>104</v>
      </c>
      <c r="S601" s="18" t="s">
        <v>33</v>
      </c>
      <c r="T601" s="17" t="s">
        <v>34</v>
      </c>
      <c r="U601" s="18" t="s">
        <v>131</v>
      </c>
      <c r="V601" s="19" t="n">
        <v>226359887</v>
      </c>
      <c r="W601" s="17" t="s">
        <v>139</v>
      </c>
      <c r="X601" s="17" t="n">
        <v>0</v>
      </c>
      <c r="Y601" s="17"/>
      <c r="Z601" s="17" t="n">
        <v>0</v>
      </c>
      <c r="AA601" s="17" t="s">
        <v>38</v>
      </c>
      <c r="AB601" s="17"/>
    </row>
    <row r="602" customFormat="false" ht="15" hidden="false" customHeight="false" outlineLevel="0" collapsed="false">
      <c r="A602" s="1" t="str">
        <f aca="false">OFFSET(Table22,601,14,1,1)&amp;OFFSET(Table22,601,21,1,1)</f>
        <v>43352226359887</v>
      </c>
      <c r="B602" s="1" t="str">
        <f aca="false">OFFSET(Table22,601,14,1,1)&amp;OFFSET(Table22,601,22,1,1)</f>
        <v>43352Facebook»Developers-Azure Direct-Sponsored Post_Trial-Video Ad-Free Account Developer - Generic»1x1»30s»SOC»ALL»CPC»RT»D»UNK»SS»NA»Trials_ID</v>
      </c>
      <c r="C602" s="1" t="s">
        <v>28</v>
      </c>
      <c r="D602" s="3" t="n">
        <f aca="false">O602+(7-WEEKDAY(O602))</f>
        <v>43358</v>
      </c>
      <c r="E602" s="1" t="str">
        <f aca="false">VLOOKUP(OFFSET(Table22,601,16,1,1),Key!B:D,2,0)</f>
        <v>France</v>
      </c>
      <c r="F602" s="1" t="str">
        <f aca="false">IF(ISNUMBER(SEARCH("Canvas",U602)),"Link",IF(ISNUMBER(SEARCH("Link",U602)),"Link","Not filled properly"))</f>
        <v>Link</v>
      </c>
      <c r="G602" s="1" t="str">
        <f aca="false">IFERROR(VLOOKUP(OFFSET(Table22,601,21,1,1),OFFSET(Table2,0,1,ROWS(Table2),8),2,0),VLOOKUP(OFFSET(Table22,601,22,1,1),Table2,3,0))</f>
        <v>FRA_gaPMG_AZR_AZR_Q1_19_AzureDirect-Trial-Social</v>
      </c>
      <c r="H602" s="1" t="n">
        <f aca="false">IFERROR(VLOOKUP(OFFSET(Table22,601,21,1,1),OFFSET(Table2,0,1,ROWS(Table2),8),3,0),VLOOKUP(OFFSET(Table22,601,22,1,1),Table2,4,0))</f>
        <v>21356941</v>
      </c>
      <c r="I602" s="2" t="n">
        <f aca="false">IFERROR(VLOOKUP(OFFSET(Table22,601,21,1,1),OFFSET(Table2,0,1,ROWS(Table2),8),4,0),VLOOKUP(OFFSET(Table22,601,22,1,1),Table2,5,0))</f>
        <v>720193</v>
      </c>
      <c r="J602" s="3" t="str">
        <f aca="false">IF(ISNUMBER(SEARCH("FACEBOOK",W602)),"Facebook",IF(ISNUMBER(SEARCH("INSTAGRAM",W602)),"Facebook-Instagram","Look at taxonomy"))</f>
        <v>Facebook</v>
      </c>
      <c r="K602" s="3" t="str">
        <f aca="false">IF(ISNUMBER(SEARCH("Facebook",J602)),"3654128","Not Facebook")</f>
        <v>3654128</v>
      </c>
      <c r="L602" s="3" t="str">
        <f aca="false">IFERROR(VLOOKUP(OFFSET(Table22,601,21,1,1),OFFSET(Table2,0,1,ROWS(Table2),8),7,0),VLOOKUP(OFFSET(Table22,601,22,1,1),Table2,8,0))</f>
        <v>AZR_FreeAcctDeveloperFB-AnimatedGeneric-Ch1_FRA_1200x1200_VIA_AZRDirect_French_NA_Facebook_STAN_LEA_T1_1</v>
      </c>
      <c r="M602" s="2" t="n">
        <f aca="false">IFERROR(VLOOKUP(OFFSET(Table22,601,21,1,1),OFFSET(Table2,0,1,ROWS(Table2),8),8,0),VLOOKUP(OFFSET(Table22,601,22,1,1),Table2,9,0))</f>
        <v>104537129</v>
      </c>
      <c r="N602" s="15" t="s">
        <v>29</v>
      </c>
      <c r="O602" s="16" t="n">
        <v>43352</v>
      </c>
      <c r="P602" s="17" t="s">
        <v>102</v>
      </c>
      <c r="Q602" s="18" t="s">
        <v>103</v>
      </c>
      <c r="R602" s="17" t="s">
        <v>104</v>
      </c>
      <c r="S602" s="18" t="s">
        <v>33</v>
      </c>
      <c r="T602" s="17" t="s">
        <v>34</v>
      </c>
      <c r="U602" s="18" t="s">
        <v>131</v>
      </c>
      <c r="V602" s="19" t="n">
        <v>226359887</v>
      </c>
      <c r="W602" s="17" t="s">
        <v>139</v>
      </c>
      <c r="X602" s="17" t="n">
        <v>0</v>
      </c>
      <c r="Y602" s="17"/>
      <c r="Z602" s="17" t="n">
        <v>0</v>
      </c>
      <c r="AA602" s="17" t="s">
        <v>38</v>
      </c>
      <c r="AB602" s="17"/>
    </row>
    <row r="603" customFormat="false" ht="15" hidden="false" customHeight="false" outlineLevel="0" collapsed="false">
      <c r="A603" s="1" t="str">
        <f aca="false">OFFSET(Table22,602,14,1,1)&amp;OFFSET(Table22,602,21,1,1)</f>
        <v>43358226360013</v>
      </c>
      <c r="B603" s="1" t="str">
        <f aca="false">OFFSET(Table22,602,14,1,1)&amp;OFFSET(Table22,602,22,1,1)</f>
        <v>43358Facebook»Developers-Azure Direct-Sponsored Post_Trial-Video Ad-Free Account Developer - Intelligent Data»1x1»30s»SOC»ALL»CPC»LAL»D»UNK»SS»NA»Trials_ID</v>
      </c>
      <c r="C603" s="1" t="s">
        <v>28</v>
      </c>
      <c r="D603" s="3" t="n">
        <f aca="false">O603+(7-WEEKDAY(O603))</f>
        <v>43358</v>
      </c>
      <c r="E603" s="1" t="str">
        <f aca="false">VLOOKUP(OFFSET(Table22,602,16,1,1),Key!B:D,2,0)</f>
        <v>France</v>
      </c>
      <c r="F603" s="1" t="str">
        <f aca="false">IF(ISNUMBER(SEARCH("Canvas",U603)),"Link",IF(ISNUMBER(SEARCH("Link",U603)),"Link","Not filled properly"))</f>
        <v>Link</v>
      </c>
      <c r="G603" s="1" t="str">
        <f aca="false">IFERROR(VLOOKUP(OFFSET(Table22,602,21,1,1),OFFSET(Table2,0,1,ROWS(Table2),8),2,0),VLOOKUP(OFFSET(Table22,602,22,1,1),Table2,3,0))</f>
        <v>FRA_gaPMG_AZR_AZR_Q1_19_AzureDirect-Trial-Social</v>
      </c>
      <c r="H603" s="1" t="n">
        <f aca="false">IFERROR(VLOOKUP(OFFSET(Table22,602,21,1,1),OFFSET(Table2,0,1,ROWS(Table2),8),3,0),VLOOKUP(OFFSET(Table22,602,22,1,1),Table2,4,0))</f>
        <v>21356941</v>
      </c>
      <c r="I603" s="2" t="n">
        <f aca="false">IFERROR(VLOOKUP(OFFSET(Table22,602,21,1,1),OFFSET(Table2,0,1,ROWS(Table2),8),4,0),VLOOKUP(OFFSET(Table22,602,22,1,1),Table2,5,0))</f>
        <v>720193</v>
      </c>
      <c r="J603" s="3" t="str">
        <f aca="false">IF(ISNUMBER(SEARCH("FACEBOOK",W603)),"Facebook",IF(ISNUMBER(SEARCH("INSTAGRAM",W603)),"Facebook-Instagram","Look at taxonomy"))</f>
        <v>Facebook</v>
      </c>
      <c r="K603" s="3" t="str">
        <f aca="false">IF(ISNUMBER(SEARCH("Facebook",J603)),"3654128","Not Facebook")</f>
        <v>3654128</v>
      </c>
      <c r="L603" s="3" t="str">
        <f aca="false">IFERROR(VLOOKUP(OFFSET(Table22,602,21,1,1),OFFSET(Table2,0,1,ROWS(Table2),8),7,0),VLOOKUP(OFFSET(Table22,602,22,1,1),Table2,8,0))</f>
        <v>AZR_FreeAcctDeveloperFB-AnimatedData-Ch4_FRA_1200x1200_VIA_AZRDirect_French_NA_Facebook_STAN_LEA_T4_1</v>
      </c>
      <c r="M603" s="2" t="n">
        <f aca="false">IFERROR(VLOOKUP(OFFSET(Table22,602,21,1,1),OFFSET(Table2,0,1,ROWS(Table2),8),8,0),VLOOKUP(OFFSET(Table22,602,22,1,1),Table2,9,0))</f>
        <v>104537816</v>
      </c>
      <c r="N603" s="15" t="s">
        <v>29</v>
      </c>
      <c r="O603" s="16" t="n">
        <v>43358</v>
      </c>
      <c r="P603" s="17" t="s">
        <v>102</v>
      </c>
      <c r="Q603" s="18" t="s">
        <v>103</v>
      </c>
      <c r="R603" s="17" t="s">
        <v>104</v>
      </c>
      <c r="S603" s="18" t="s">
        <v>33</v>
      </c>
      <c r="T603" s="17" t="s">
        <v>34</v>
      </c>
      <c r="U603" s="18" t="s">
        <v>131</v>
      </c>
      <c r="V603" s="19" t="n">
        <v>226360013</v>
      </c>
      <c r="W603" s="17" t="s">
        <v>140</v>
      </c>
      <c r="X603" s="17" t="n">
        <v>0</v>
      </c>
      <c r="Y603" s="17"/>
      <c r="Z603" s="17" t="n">
        <v>0</v>
      </c>
      <c r="AA603" s="17" t="s">
        <v>38</v>
      </c>
      <c r="AB603" s="17"/>
    </row>
    <row r="604" customFormat="false" ht="15" hidden="false" customHeight="false" outlineLevel="0" collapsed="false">
      <c r="A604" s="1" t="str">
        <f aca="false">OFFSET(Table22,603,14,1,1)&amp;OFFSET(Table22,603,21,1,1)</f>
        <v>43357226360013</v>
      </c>
      <c r="B604" s="1" t="str">
        <f aca="false">OFFSET(Table22,603,14,1,1)&amp;OFFSET(Table22,603,22,1,1)</f>
        <v>43357Facebook»Developers-Azure Direct-Sponsored Post_Trial-Video Ad-Free Account Developer - Intelligent Data»1x1»30s»SOC»ALL»CPC»LAL»D»UNK»SS»NA»Trials_ID</v>
      </c>
      <c r="C604" s="1" t="s">
        <v>28</v>
      </c>
      <c r="D604" s="3" t="n">
        <f aca="false">O604+(7-WEEKDAY(O604))</f>
        <v>43358</v>
      </c>
      <c r="E604" s="1" t="str">
        <f aca="false">VLOOKUP(OFFSET(Table22,603,16,1,1),Key!B:D,2,0)</f>
        <v>France</v>
      </c>
      <c r="F604" s="1" t="str">
        <f aca="false">IF(ISNUMBER(SEARCH("Canvas",U604)),"Link",IF(ISNUMBER(SEARCH("Link",U604)),"Link","Not filled properly"))</f>
        <v>Link</v>
      </c>
      <c r="G604" s="1" t="str">
        <f aca="false">IFERROR(VLOOKUP(OFFSET(Table22,603,21,1,1),OFFSET(Table2,0,1,ROWS(Table2),8),2,0),VLOOKUP(OFFSET(Table22,603,22,1,1),Table2,3,0))</f>
        <v>FRA_gaPMG_AZR_AZR_Q1_19_AzureDirect-Trial-Social</v>
      </c>
      <c r="H604" s="1" t="n">
        <f aca="false">IFERROR(VLOOKUP(OFFSET(Table22,603,21,1,1),OFFSET(Table2,0,1,ROWS(Table2),8),3,0),VLOOKUP(OFFSET(Table22,603,22,1,1),Table2,4,0))</f>
        <v>21356941</v>
      </c>
      <c r="I604" s="2" t="n">
        <f aca="false">IFERROR(VLOOKUP(OFFSET(Table22,603,21,1,1),OFFSET(Table2,0,1,ROWS(Table2),8),4,0),VLOOKUP(OFFSET(Table22,603,22,1,1),Table2,5,0))</f>
        <v>720193</v>
      </c>
      <c r="J604" s="3" t="str">
        <f aca="false">IF(ISNUMBER(SEARCH("FACEBOOK",W604)),"Facebook",IF(ISNUMBER(SEARCH("INSTAGRAM",W604)),"Facebook-Instagram","Look at taxonomy"))</f>
        <v>Facebook</v>
      </c>
      <c r="K604" s="3" t="str">
        <f aca="false">IF(ISNUMBER(SEARCH("Facebook",J604)),"3654128","Not Facebook")</f>
        <v>3654128</v>
      </c>
      <c r="L604" s="3" t="str">
        <f aca="false">IFERROR(VLOOKUP(OFFSET(Table22,603,21,1,1),OFFSET(Table2,0,1,ROWS(Table2),8),7,0),VLOOKUP(OFFSET(Table22,603,22,1,1),Table2,8,0))</f>
        <v>AZR_FreeAcctDeveloperFB-AnimatedData-Ch4_FRA_1200x1200_VIA_AZRDirect_French_NA_Facebook_STAN_LEA_T4_1</v>
      </c>
      <c r="M604" s="2" t="n">
        <f aca="false">IFERROR(VLOOKUP(OFFSET(Table22,603,21,1,1),OFFSET(Table2,0,1,ROWS(Table2),8),8,0),VLOOKUP(OFFSET(Table22,603,22,1,1),Table2,9,0))</f>
        <v>104537816</v>
      </c>
      <c r="N604" s="15" t="s">
        <v>29</v>
      </c>
      <c r="O604" s="16" t="n">
        <v>43357</v>
      </c>
      <c r="P604" s="17" t="s">
        <v>102</v>
      </c>
      <c r="Q604" s="18" t="s">
        <v>103</v>
      </c>
      <c r="R604" s="17" t="s">
        <v>104</v>
      </c>
      <c r="S604" s="18" t="s">
        <v>33</v>
      </c>
      <c r="T604" s="17" t="s">
        <v>34</v>
      </c>
      <c r="U604" s="18" t="s">
        <v>131</v>
      </c>
      <c r="V604" s="19" t="n">
        <v>226360013</v>
      </c>
      <c r="W604" s="17" t="s">
        <v>140</v>
      </c>
      <c r="X604" s="17" t="n">
        <v>4</v>
      </c>
      <c r="Y604" s="17"/>
      <c r="Z604" s="17" t="n">
        <v>0.02</v>
      </c>
      <c r="AA604" s="17" t="s">
        <v>38</v>
      </c>
      <c r="AB604" s="17"/>
    </row>
    <row r="605" customFormat="false" ht="15" hidden="false" customHeight="false" outlineLevel="0" collapsed="false">
      <c r="A605" s="1" t="str">
        <f aca="false">OFFSET(Table22,604,14,1,1)&amp;OFFSET(Table22,604,21,1,1)</f>
        <v>43356226360013</v>
      </c>
      <c r="B605" s="1" t="str">
        <f aca="false">OFFSET(Table22,604,14,1,1)&amp;OFFSET(Table22,604,22,1,1)</f>
        <v>43356Facebook»Developers-Azure Direct-Sponsored Post_Trial-Video Ad-Free Account Developer - Intelligent Data»1x1»30s»SOC»ALL»CPC»LAL»D»UNK»SS»NA»Trials_ID</v>
      </c>
      <c r="C605" s="1" t="s">
        <v>28</v>
      </c>
      <c r="D605" s="3" t="n">
        <f aca="false">O605+(7-WEEKDAY(O605))</f>
        <v>43358</v>
      </c>
      <c r="E605" s="1" t="str">
        <f aca="false">VLOOKUP(OFFSET(Table22,604,16,1,1),Key!B:D,2,0)</f>
        <v>France</v>
      </c>
      <c r="F605" s="1" t="str">
        <f aca="false">IF(ISNUMBER(SEARCH("Canvas",U605)),"Link",IF(ISNUMBER(SEARCH("Link",U605)),"Link","Not filled properly"))</f>
        <v>Link</v>
      </c>
      <c r="G605" s="1" t="str">
        <f aca="false">IFERROR(VLOOKUP(OFFSET(Table22,604,21,1,1),OFFSET(Table2,0,1,ROWS(Table2),8),2,0),VLOOKUP(OFFSET(Table22,604,22,1,1),Table2,3,0))</f>
        <v>FRA_gaPMG_AZR_AZR_Q1_19_AzureDirect-Trial-Social</v>
      </c>
      <c r="H605" s="1" t="n">
        <f aca="false">IFERROR(VLOOKUP(OFFSET(Table22,604,21,1,1),OFFSET(Table2,0,1,ROWS(Table2),8),3,0),VLOOKUP(OFFSET(Table22,604,22,1,1),Table2,4,0))</f>
        <v>21356941</v>
      </c>
      <c r="I605" s="2" t="n">
        <f aca="false">IFERROR(VLOOKUP(OFFSET(Table22,604,21,1,1),OFFSET(Table2,0,1,ROWS(Table2),8),4,0),VLOOKUP(OFFSET(Table22,604,22,1,1),Table2,5,0))</f>
        <v>720193</v>
      </c>
      <c r="J605" s="3" t="str">
        <f aca="false">IF(ISNUMBER(SEARCH("FACEBOOK",W605)),"Facebook",IF(ISNUMBER(SEARCH("INSTAGRAM",W605)),"Facebook-Instagram","Look at taxonomy"))</f>
        <v>Facebook</v>
      </c>
      <c r="K605" s="3" t="str">
        <f aca="false">IF(ISNUMBER(SEARCH("Facebook",J605)),"3654128","Not Facebook")</f>
        <v>3654128</v>
      </c>
      <c r="L605" s="3" t="str">
        <f aca="false">IFERROR(VLOOKUP(OFFSET(Table22,604,21,1,1),OFFSET(Table2,0,1,ROWS(Table2),8),7,0),VLOOKUP(OFFSET(Table22,604,22,1,1),Table2,8,0))</f>
        <v>AZR_FreeAcctDeveloperFB-AnimatedData-Ch4_FRA_1200x1200_VIA_AZRDirect_French_NA_Facebook_STAN_LEA_T4_1</v>
      </c>
      <c r="M605" s="2" t="n">
        <f aca="false">IFERROR(VLOOKUP(OFFSET(Table22,604,21,1,1),OFFSET(Table2,0,1,ROWS(Table2),8),8,0),VLOOKUP(OFFSET(Table22,604,22,1,1),Table2,9,0))</f>
        <v>104537816</v>
      </c>
      <c r="N605" s="15" t="s">
        <v>29</v>
      </c>
      <c r="O605" s="16" t="n">
        <v>43356</v>
      </c>
      <c r="P605" s="17" t="s">
        <v>102</v>
      </c>
      <c r="Q605" s="18" t="s">
        <v>103</v>
      </c>
      <c r="R605" s="17" t="s">
        <v>104</v>
      </c>
      <c r="S605" s="18" t="s">
        <v>33</v>
      </c>
      <c r="T605" s="17" t="s">
        <v>34</v>
      </c>
      <c r="U605" s="18" t="s">
        <v>131</v>
      </c>
      <c r="V605" s="19" t="n">
        <v>226360013</v>
      </c>
      <c r="W605" s="17" t="s">
        <v>140</v>
      </c>
      <c r="X605" s="17" t="n">
        <v>0</v>
      </c>
      <c r="Y605" s="17"/>
      <c r="Z605" s="17" t="n">
        <v>0</v>
      </c>
      <c r="AA605" s="17" t="s">
        <v>38</v>
      </c>
      <c r="AB605" s="17"/>
    </row>
    <row r="606" customFormat="false" ht="15" hidden="false" customHeight="false" outlineLevel="0" collapsed="false">
      <c r="A606" s="1" t="str">
        <f aca="false">OFFSET(Table22,605,14,1,1)&amp;OFFSET(Table22,605,21,1,1)</f>
        <v>43355226360013</v>
      </c>
      <c r="B606" s="1" t="str">
        <f aca="false">OFFSET(Table22,605,14,1,1)&amp;OFFSET(Table22,605,22,1,1)</f>
        <v>43355Facebook»Developers-Azure Direct-Sponsored Post_Trial-Video Ad-Free Account Developer - Intelligent Data»1x1»30s»SOC»ALL»CPC»LAL»D»UNK»SS»NA»Trials_ID</v>
      </c>
      <c r="C606" s="1" t="s">
        <v>28</v>
      </c>
      <c r="D606" s="3" t="n">
        <f aca="false">O606+(7-WEEKDAY(O606))</f>
        <v>43358</v>
      </c>
      <c r="E606" s="1" t="str">
        <f aca="false">VLOOKUP(OFFSET(Table22,605,16,1,1),Key!B:D,2,0)</f>
        <v>France</v>
      </c>
      <c r="F606" s="1" t="str">
        <f aca="false">IF(ISNUMBER(SEARCH("Canvas",U606)),"Link",IF(ISNUMBER(SEARCH("Link",U606)),"Link","Not filled properly"))</f>
        <v>Link</v>
      </c>
      <c r="G606" s="1" t="str">
        <f aca="false">IFERROR(VLOOKUP(OFFSET(Table22,605,21,1,1),OFFSET(Table2,0,1,ROWS(Table2),8),2,0),VLOOKUP(OFFSET(Table22,605,22,1,1),Table2,3,0))</f>
        <v>FRA_gaPMG_AZR_AZR_Q1_19_AzureDirect-Trial-Social</v>
      </c>
      <c r="H606" s="1" t="n">
        <f aca="false">IFERROR(VLOOKUP(OFFSET(Table22,605,21,1,1),OFFSET(Table2,0,1,ROWS(Table2),8),3,0),VLOOKUP(OFFSET(Table22,605,22,1,1),Table2,4,0))</f>
        <v>21356941</v>
      </c>
      <c r="I606" s="2" t="n">
        <f aca="false">IFERROR(VLOOKUP(OFFSET(Table22,605,21,1,1),OFFSET(Table2,0,1,ROWS(Table2),8),4,0),VLOOKUP(OFFSET(Table22,605,22,1,1),Table2,5,0))</f>
        <v>720193</v>
      </c>
      <c r="J606" s="3" t="str">
        <f aca="false">IF(ISNUMBER(SEARCH("FACEBOOK",W606)),"Facebook",IF(ISNUMBER(SEARCH("INSTAGRAM",W606)),"Facebook-Instagram","Look at taxonomy"))</f>
        <v>Facebook</v>
      </c>
      <c r="K606" s="3" t="str">
        <f aca="false">IF(ISNUMBER(SEARCH("Facebook",J606)),"3654128","Not Facebook")</f>
        <v>3654128</v>
      </c>
      <c r="L606" s="3" t="str">
        <f aca="false">IFERROR(VLOOKUP(OFFSET(Table22,605,21,1,1),OFFSET(Table2,0,1,ROWS(Table2),8),7,0),VLOOKUP(OFFSET(Table22,605,22,1,1),Table2,8,0))</f>
        <v>AZR_FreeAcctDeveloperFB-AnimatedData-Ch4_FRA_1200x1200_VIA_AZRDirect_French_NA_Facebook_STAN_LEA_T4_1</v>
      </c>
      <c r="M606" s="2" t="n">
        <f aca="false">IFERROR(VLOOKUP(OFFSET(Table22,605,21,1,1),OFFSET(Table2,0,1,ROWS(Table2),8),8,0),VLOOKUP(OFFSET(Table22,605,22,1,1),Table2,9,0))</f>
        <v>104537816</v>
      </c>
      <c r="N606" s="15" t="s">
        <v>29</v>
      </c>
      <c r="O606" s="16" t="n">
        <v>43355</v>
      </c>
      <c r="P606" s="17" t="s">
        <v>102</v>
      </c>
      <c r="Q606" s="18" t="s">
        <v>103</v>
      </c>
      <c r="R606" s="17" t="s">
        <v>104</v>
      </c>
      <c r="S606" s="18" t="s">
        <v>33</v>
      </c>
      <c r="T606" s="17" t="s">
        <v>34</v>
      </c>
      <c r="U606" s="18" t="s">
        <v>131</v>
      </c>
      <c r="V606" s="19" t="n">
        <v>226360013</v>
      </c>
      <c r="W606" s="17" t="s">
        <v>140</v>
      </c>
      <c r="X606" s="17" t="n">
        <v>0</v>
      </c>
      <c r="Y606" s="17"/>
      <c r="Z606" s="17" t="n">
        <v>0</v>
      </c>
      <c r="AA606" s="17" t="s">
        <v>38</v>
      </c>
      <c r="AB606" s="17"/>
    </row>
    <row r="607" customFormat="false" ht="15" hidden="false" customHeight="false" outlineLevel="0" collapsed="false">
      <c r="A607" s="1" t="str">
        <f aca="false">OFFSET(Table22,606,14,1,1)&amp;OFFSET(Table22,606,21,1,1)</f>
        <v>43354226360013</v>
      </c>
      <c r="B607" s="1" t="str">
        <f aca="false">OFFSET(Table22,606,14,1,1)&amp;OFFSET(Table22,606,22,1,1)</f>
        <v>43354Facebook»Developers-Azure Direct-Sponsored Post_Trial-Video Ad-Free Account Developer - Intelligent Data»1x1»30s»SOC»ALL»CPC»LAL»D»UNK»SS»NA»Trials_ID</v>
      </c>
      <c r="C607" s="1" t="s">
        <v>28</v>
      </c>
      <c r="D607" s="3" t="n">
        <f aca="false">O607+(7-WEEKDAY(O607))</f>
        <v>43358</v>
      </c>
      <c r="E607" s="1" t="str">
        <f aca="false">VLOOKUP(OFFSET(Table22,606,16,1,1),Key!B:D,2,0)</f>
        <v>France</v>
      </c>
      <c r="F607" s="1" t="str">
        <f aca="false">IF(ISNUMBER(SEARCH("Canvas",U607)),"Link",IF(ISNUMBER(SEARCH("Link",U607)),"Link","Not filled properly"))</f>
        <v>Link</v>
      </c>
      <c r="G607" s="1" t="str">
        <f aca="false">IFERROR(VLOOKUP(OFFSET(Table22,606,21,1,1),OFFSET(Table2,0,1,ROWS(Table2),8),2,0),VLOOKUP(OFFSET(Table22,606,22,1,1),Table2,3,0))</f>
        <v>FRA_gaPMG_AZR_AZR_Q1_19_AzureDirect-Trial-Social</v>
      </c>
      <c r="H607" s="1" t="n">
        <f aca="false">IFERROR(VLOOKUP(OFFSET(Table22,606,21,1,1),OFFSET(Table2,0,1,ROWS(Table2),8),3,0),VLOOKUP(OFFSET(Table22,606,22,1,1),Table2,4,0))</f>
        <v>21356941</v>
      </c>
      <c r="I607" s="2" t="n">
        <f aca="false">IFERROR(VLOOKUP(OFFSET(Table22,606,21,1,1),OFFSET(Table2,0,1,ROWS(Table2),8),4,0),VLOOKUP(OFFSET(Table22,606,22,1,1),Table2,5,0))</f>
        <v>720193</v>
      </c>
      <c r="J607" s="3" t="str">
        <f aca="false">IF(ISNUMBER(SEARCH("FACEBOOK",W607)),"Facebook",IF(ISNUMBER(SEARCH("INSTAGRAM",W607)),"Facebook-Instagram","Look at taxonomy"))</f>
        <v>Facebook</v>
      </c>
      <c r="K607" s="3" t="str">
        <f aca="false">IF(ISNUMBER(SEARCH("Facebook",J607)),"3654128","Not Facebook")</f>
        <v>3654128</v>
      </c>
      <c r="L607" s="3" t="str">
        <f aca="false">IFERROR(VLOOKUP(OFFSET(Table22,606,21,1,1),OFFSET(Table2,0,1,ROWS(Table2),8),7,0),VLOOKUP(OFFSET(Table22,606,22,1,1),Table2,8,0))</f>
        <v>AZR_FreeAcctDeveloperFB-AnimatedData-Ch4_FRA_1200x1200_VIA_AZRDirect_French_NA_Facebook_STAN_LEA_T4_1</v>
      </c>
      <c r="M607" s="2" t="n">
        <f aca="false">IFERROR(VLOOKUP(OFFSET(Table22,606,21,1,1),OFFSET(Table2,0,1,ROWS(Table2),8),8,0),VLOOKUP(OFFSET(Table22,606,22,1,1),Table2,9,0))</f>
        <v>104537816</v>
      </c>
      <c r="N607" s="15" t="s">
        <v>29</v>
      </c>
      <c r="O607" s="16" t="n">
        <v>43354</v>
      </c>
      <c r="P607" s="17" t="s">
        <v>102</v>
      </c>
      <c r="Q607" s="18" t="s">
        <v>103</v>
      </c>
      <c r="R607" s="17" t="s">
        <v>104</v>
      </c>
      <c r="S607" s="18" t="s">
        <v>33</v>
      </c>
      <c r="T607" s="17" t="s">
        <v>34</v>
      </c>
      <c r="U607" s="18" t="s">
        <v>131</v>
      </c>
      <c r="V607" s="19" t="n">
        <v>226360013</v>
      </c>
      <c r="W607" s="17" t="s">
        <v>140</v>
      </c>
      <c r="X607" s="17" t="n">
        <v>0</v>
      </c>
      <c r="Y607" s="17"/>
      <c r="Z607" s="17" t="n">
        <v>0</v>
      </c>
      <c r="AA607" s="17" t="s">
        <v>38</v>
      </c>
      <c r="AB607" s="17"/>
    </row>
    <row r="608" customFormat="false" ht="15" hidden="false" customHeight="false" outlineLevel="0" collapsed="false">
      <c r="A608" s="1" t="str">
        <f aca="false">OFFSET(Table22,607,14,1,1)&amp;OFFSET(Table22,607,21,1,1)</f>
        <v>43353226360013</v>
      </c>
      <c r="B608" s="1" t="str">
        <f aca="false">OFFSET(Table22,607,14,1,1)&amp;OFFSET(Table22,607,22,1,1)</f>
        <v>43353Facebook»Developers-Azure Direct-Sponsored Post_Trial-Video Ad-Free Account Developer - Intelligent Data»1x1»30s»SOC»ALL»CPC»LAL»D»UNK»SS»NA»Trials_ID</v>
      </c>
      <c r="C608" s="1" t="s">
        <v>28</v>
      </c>
      <c r="D608" s="3" t="n">
        <f aca="false">O608+(7-WEEKDAY(O608))</f>
        <v>43358</v>
      </c>
      <c r="E608" s="1" t="str">
        <f aca="false">VLOOKUP(OFFSET(Table22,607,16,1,1),Key!B:D,2,0)</f>
        <v>France</v>
      </c>
      <c r="F608" s="1" t="str">
        <f aca="false">IF(ISNUMBER(SEARCH("Canvas",U608)),"Link",IF(ISNUMBER(SEARCH("Link",U608)),"Link","Not filled properly"))</f>
        <v>Link</v>
      </c>
      <c r="G608" s="1" t="str">
        <f aca="false">IFERROR(VLOOKUP(OFFSET(Table22,607,21,1,1),OFFSET(Table2,0,1,ROWS(Table2),8),2,0),VLOOKUP(OFFSET(Table22,607,22,1,1),Table2,3,0))</f>
        <v>FRA_gaPMG_AZR_AZR_Q1_19_AzureDirect-Trial-Social</v>
      </c>
      <c r="H608" s="1" t="n">
        <f aca="false">IFERROR(VLOOKUP(OFFSET(Table22,607,21,1,1),OFFSET(Table2,0,1,ROWS(Table2),8),3,0),VLOOKUP(OFFSET(Table22,607,22,1,1),Table2,4,0))</f>
        <v>21356941</v>
      </c>
      <c r="I608" s="2" t="n">
        <f aca="false">IFERROR(VLOOKUP(OFFSET(Table22,607,21,1,1),OFFSET(Table2,0,1,ROWS(Table2),8),4,0),VLOOKUP(OFFSET(Table22,607,22,1,1),Table2,5,0))</f>
        <v>720193</v>
      </c>
      <c r="J608" s="3" t="str">
        <f aca="false">IF(ISNUMBER(SEARCH("FACEBOOK",W608)),"Facebook",IF(ISNUMBER(SEARCH("INSTAGRAM",W608)),"Facebook-Instagram","Look at taxonomy"))</f>
        <v>Facebook</v>
      </c>
      <c r="K608" s="3" t="str">
        <f aca="false">IF(ISNUMBER(SEARCH("Facebook",J608)),"3654128","Not Facebook")</f>
        <v>3654128</v>
      </c>
      <c r="L608" s="3" t="str">
        <f aca="false">IFERROR(VLOOKUP(OFFSET(Table22,607,21,1,1),OFFSET(Table2,0,1,ROWS(Table2),8),7,0),VLOOKUP(OFFSET(Table22,607,22,1,1),Table2,8,0))</f>
        <v>AZR_FreeAcctDeveloperFB-AnimatedData-Ch4_FRA_1200x1200_VIA_AZRDirect_French_NA_Facebook_STAN_LEA_T4_1</v>
      </c>
      <c r="M608" s="2" t="n">
        <f aca="false">IFERROR(VLOOKUP(OFFSET(Table22,607,21,1,1),OFFSET(Table2,0,1,ROWS(Table2),8),8,0),VLOOKUP(OFFSET(Table22,607,22,1,1),Table2,9,0))</f>
        <v>104537816</v>
      </c>
      <c r="N608" s="15" t="s">
        <v>29</v>
      </c>
      <c r="O608" s="16" t="n">
        <v>43353</v>
      </c>
      <c r="P608" s="17" t="s">
        <v>102</v>
      </c>
      <c r="Q608" s="18" t="s">
        <v>103</v>
      </c>
      <c r="R608" s="17" t="s">
        <v>104</v>
      </c>
      <c r="S608" s="18" t="s">
        <v>33</v>
      </c>
      <c r="T608" s="17" t="s">
        <v>34</v>
      </c>
      <c r="U608" s="18" t="s">
        <v>131</v>
      </c>
      <c r="V608" s="19" t="n">
        <v>226360013</v>
      </c>
      <c r="W608" s="17" t="s">
        <v>140</v>
      </c>
      <c r="X608" s="17" t="n">
        <v>2</v>
      </c>
      <c r="Y608" s="17"/>
      <c r="Z608" s="17" t="n">
        <v>0.01</v>
      </c>
      <c r="AA608" s="17" t="s">
        <v>38</v>
      </c>
      <c r="AB608" s="17"/>
    </row>
    <row r="609" customFormat="false" ht="15" hidden="false" customHeight="false" outlineLevel="0" collapsed="false">
      <c r="A609" s="1" t="str">
        <f aca="false">OFFSET(Table22,608,14,1,1)&amp;OFFSET(Table22,608,21,1,1)</f>
        <v>43352226360013</v>
      </c>
      <c r="B609" s="1" t="str">
        <f aca="false">OFFSET(Table22,608,14,1,1)&amp;OFFSET(Table22,608,22,1,1)</f>
        <v>43352Facebook»Developers-Azure Direct-Sponsored Post_Trial-Video Ad-Free Account Developer - Intelligent Data»1x1»30s»SOC»ALL»CPC»LAL»D»UNK»SS»NA»Trials_ID</v>
      </c>
      <c r="C609" s="1" t="s">
        <v>28</v>
      </c>
      <c r="D609" s="3" t="n">
        <f aca="false">O609+(7-WEEKDAY(O609))</f>
        <v>43358</v>
      </c>
      <c r="E609" s="1" t="str">
        <f aca="false">VLOOKUP(OFFSET(Table22,608,16,1,1),Key!B:D,2,0)</f>
        <v>France</v>
      </c>
      <c r="F609" s="1" t="str">
        <f aca="false">IF(ISNUMBER(SEARCH("Canvas",U609)),"Link",IF(ISNUMBER(SEARCH("Link",U609)),"Link","Not filled properly"))</f>
        <v>Link</v>
      </c>
      <c r="G609" s="1" t="str">
        <f aca="false">IFERROR(VLOOKUP(OFFSET(Table22,608,21,1,1),OFFSET(Table2,0,1,ROWS(Table2),8),2,0),VLOOKUP(OFFSET(Table22,608,22,1,1),Table2,3,0))</f>
        <v>FRA_gaPMG_AZR_AZR_Q1_19_AzureDirect-Trial-Social</v>
      </c>
      <c r="H609" s="1" t="n">
        <f aca="false">IFERROR(VLOOKUP(OFFSET(Table22,608,21,1,1),OFFSET(Table2,0,1,ROWS(Table2),8),3,0),VLOOKUP(OFFSET(Table22,608,22,1,1),Table2,4,0))</f>
        <v>21356941</v>
      </c>
      <c r="I609" s="2" t="n">
        <f aca="false">IFERROR(VLOOKUP(OFFSET(Table22,608,21,1,1),OFFSET(Table2,0,1,ROWS(Table2),8),4,0),VLOOKUP(OFFSET(Table22,608,22,1,1),Table2,5,0))</f>
        <v>720193</v>
      </c>
      <c r="J609" s="3" t="str">
        <f aca="false">IF(ISNUMBER(SEARCH("FACEBOOK",W609)),"Facebook",IF(ISNUMBER(SEARCH("INSTAGRAM",W609)),"Facebook-Instagram","Look at taxonomy"))</f>
        <v>Facebook</v>
      </c>
      <c r="K609" s="3" t="str">
        <f aca="false">IF(ISNUMBER(SEARCH("Facebook",J609)),"3654128","Not Facebook")</f>
        <v>3654128</v>
      </c>
      <c r="L609" s="3" t="str">
        <f aca="false">IFERROR(VLOOKUP(OFFSET(Table22,608,21,1,1),OFFSET(Table2,0,1,ROWS(Table2),8),7,0),VLOOKUP(OFFSET(Table22,608,22,1,1),Table2,8,0))</f>
        <v>AZR_FreeAcctDeveloperFB-AnimatedData-Ch4_FRA_1200x1200_VIA_AZRDirect_French_NA_Facebook_STAN_LEA_T4_1</v>
      </c>
      <c r="M609" s="2" t="n">
        <f aca="false">IFERROR(VLOOKUP(OFFSET(Table22,608,21,1,1),OFFSET(Table2,0,1,ROWS(Table2),8),8,0),VLOOKUP(OFFSET(Table22,608,22,1,1),Table2,9,0))</f>
        <v>104537816</v>
      </c>
      <c r="N609" s="15" t="s">
        <v>29</v>
      </c>
      <c r="O609" s="16" t="n">
        <v>43352</v>
      </c>
      <c r="P609" s="17" t="s">
        <v>102</v>
      </c>
      <c r="Q609" s="18" t="s">
        <v>103</v>
      </c>
      <c r="R609" s="17" t="s">
        <v>104</v>
      </c>
      <c r="S609" s="18" t="s">
        <v>33</v>
      </c>
      <c r="T609" s="17" t="s">
        <v>34</v>
      </c>
      <c r="U609" s="18" t="s">
        <v>131</v>
      </c>
      <c r="V609" s="19" t="n">
        <v>226360013</v>
      </c>
      <c r="W609" s="17" t="s">
        <v>140</v>
      </c>
      <c r="X609" s="17" t="n">
        <v>2</v>
      </c>
      <c r="Y609" s="17"/>
      <c r="Z609" s="17" t="n">
        <v>0</v>
      </c>
      <c r="AA609" s="17" t="s">
        <v>38</v>
      </c>
      <c r="AB609" s="17"/>
    </row>
    <row r="610" customFormat="false" ht="15" hidden="false" customHeight="false" outlineLevel="0" collapsed="false">
      <c r="A610" s="1" t="str">
        <f aca="false">OFFSET(Table22,609,14,1,1)&amp;OFFSET(Table22,609,21,1,1)</f>
        <v>43358226496146</v>
      </c>
      <c r="B610" s="1" t="str">
        <f aca="false">OFFSET(Table22,609,14,1,1)&amp;OFFSET(Table22,609,22,1,1)</f>
        <v>43358Facebook»Developers-Azure Direct-Sponsored Post_Trial-Video Ad-Free Account Developer - Intelligent Data»1x1»30s»SOC»ALL»CPC»RT»D»UNK»SS»NA»Trials_ID</v>
      </c>
      <c r="C610" s="1" t="s">
        <v>28</v>
      </c>
      <c r="D610" s="3" t="n">
        <f aca="false">O610+(7-WEEKDAY(O610))</f>
        <v>43358</v>
      </c>
      <c r="E610" s="1" t="str">
        <f aca="false">VLOOKUP(OFFSET(Table22,609,16,1,1),Key!B:D,2,0)</f>
        <v>France</v>
      </c>
      <c r="F610" s="1" t="str">
        <f aca="false">IF(ISNUMBER(SEARCH("Canvas",U610)),"Link",IF(ISNUMBER(SEARCH("Link",U610)),"Link","Not filled properly"))</f>
        <v>Link</v>
      </c>
      <c r="G610" s="1" t="str">
        <f aca="false">IFERROR(VLOOKUP(OFFSET(Table22,609,21,1,1),OFFSET(Table2,0,1,ROWS(Table2),8),2,0),VLOOKUP(OFFSET(Table22,609,22,1,1),Table2,3,0))</f>
        <v>FRA_gaPMG_AZR_AZR_Q1_19_AzureDirect-Trial-Social</v>
      </c>
      <c r="H610" s="1" t="n">
        <f aca="false">IFERROR(VLOOKUP(OFFSET(Table22,609,21,1,1),OFFSET(Table2,0,1,ROWS(Table2),8),3,0),VLOOKUP(OFFSET(Table22,609,22,1,1),Table2,4,0))</f>
        <v>21356941</v>
      </c>
      <c r="I610" s="2" t="n">
        <f aca="false">IFERROR(VLOOKUP(OFFSET(Table22,609,21,1,1),OFFSET(Table2,0,1,ROWS(Table2),8),4,0),VLOOKUP(OFFSET(Table22,609,22,1,1),Table2,5,0))</f>
        <v>720193</v>
      </c>
      <c r="J610" s="3" t="str">
        <f aca="false">IF(ISNUMBER(SEARCH("FACEBOOK",W610)),"Facebook",IF(ISNUMBER(SEARCH("INSTAGRAM",W610)),"Facebook-Instagram","Look at taxonomy"))</f>
        <v>Facebook</v>
      </c>
      <c r="K610" s="3" t="str">
        <f aca="false">IF(ISNUMBER(SEARCH("Facebook",J610)),"3654128","Not Facebook")</f>
        <v>3654128</v>
      </c>
      <c r="L610" s="3" t="str">
        <f aca="false">IFERROR(VLOOKUP(OFFSET(Table22,609,21,1,1),OFFSET(Table2,0,1,ROWS(Table2),8),7,0),VLOOKUP(OFFSET(Table22,609,22,1,1),Table2,8,0))</f>
        <v>AZR_FreeAcctDeveloperFB-AnimatedData-Ch4_FRA_1200x1200_VIA_AZRDirect_French_NA_Facebook_STAN_LEA_T4_1</v>
      </c>
      <c r="M610" s="2" t="n">
        <f aca="false">IFERROR(VLOOKUP(OFFSET(Table22,609,21,1,1),OFFSET(Table2,0,1,ROWS(Table2),8),8,0),VLOOKUP(OFFSET(Table22,609,22,1,1),Table2,9,0))</f>
        <v>104537816</v>
      </c>
      <c r="N610" s="15" t="s">
        <v>29</v>
      </c>
      <c r="O610" s="16" t="n">
        <v>43358</v>
      </c>
      <c r="P610" s="17" t="s">
        <v>102</v>
      </c>
      <c r="Q610" s="18" t="s">
        <v>103</v>
      </c>
      <c r="R610" s="17" t="s">
        <v>104</v>
      </c>
      <c r="S610" s="18" t="s">
        <v>33</v>
      </c>
      <c r="T610" s="17" t="s">
        <v>34</v>
      </c>
      <c r="U610" s="18" t="s">
        <v>131</v>
      </c>
      <c r="V610" s="19" t="n">
        <v>226496146</v>
      </c>
      <c r="W610" s="17" t="s">
        <v>141</v>
      </c>
      <c r="X610" s="17" t="n">
        <v>0</v>
      </c>
      <c r="Y610" s="17"/>
      <c r="Z610" s="17" t="n">
        <v>0</v>
      </c>
      <c r="AA610" s="17" t="s">
        <v>38</v>
      </c>
      <c r="AB610" s="17"/>
    </row>
    <row r="611" customFormat="false" ht="15" hidden="false" customHeight="false" outlineLevel="0" collapsed="false">
      <c r="A611" s="1" t="str">
        <f aca="false">OFFSET(Table22,610,14,1,1)&amp;OFFSET(Table22,610,21,1,1)</f>
        <v>43357226496146</v>
      </c>
      <c r="B611" s="1" t="str">
        <f aca="false">OFFSET(Table22,610,14,1,1)&amp;OFFSET(Table22,610,22,1,1)</f>
        <v>43357Facebook»Developers-Azure Direct-Sponsored Post_Trial-Video Ad-Free Account Developer - Intelligent Data»1x1»30s»SOC»ALL»CPC»RT»D»UNK»SS»NA»Trials_ID</v>
      </c>
      <c r="C611" s="1" t="s">
        <v>28</v>
      </c>
      <c r="D611" s="3" t="n">
        <f aca="false">O611+(7-WEEKDAY(O611))</f>
        <v>43358</v>
      </c>
      <c r="E611" s="1" t="str">
        <f aca="false">VLOOKUP(OFFSET(Table22,610,16,1,1),Key!B:D,2,0)</f>
        <v>France</v>
      </c>
      <c r="F611" s="1" t="str">
        <f aca="false">IF(ISNUMBER(SEARCH("Canvas",U611)),"Link",IF(ISNUMBER(SEARCH("Link",U611)),"Link","Not filled properly"))</f>
        <v>Link</v>
      </c>
      <c r="G611" s="1" t="str">
        <f aca="false">IFERROR(VLOOKUP(OFFSET(Table22,610,21,1,1),OFFSET(Table2,0,1,ROWS(Table2),8),2,0),VLOOKUP(OFFSET(Table22,610,22,1,1),Table2,3,0))</f>
        <v>FRA_gaPMG_AZR_AZR_Q1_19_AzureDirect-Trial-Social</v>
      </c>
      <c r="H611" s="1" t="n">
        <f aca="false">IFERROR(VLOOKUP(OFFSET(Table22,610,21,1,1),OFFSET(Table2,0,1,ROWS(Table2),8),3,0),VLOOKUP(OFFSET(Table22,610,22,1,1),Table2,4,0))</f>
        <v>21356941</v>
      </c>
      <c r="I611" s="2" t="n">
        <f aca="false">IFERROR(VLOOKUP(OFFSET(Table22,610,21,1,1),OFFSET(Table2,0,1,ROWS(Table2),8),4,0),VLOOKUP(OFFSET(Table22,610,22,1,1),Table2,5,0))</f>
        <v>720193</v>
      </c>
      <c r="J611" s="3" t="str">
        <f aca="false">IF(ISNUMBER(SEARCH("FACEBOOK",W611)),"Facebook",IF(ISNUMBER(SEARCH("INSTAGRAM",W611)),"Facebook-Instagram","Look at taxonomy"))</f>
        <v>Facebook</v>
      </c>
      <c r="K611" s="3" t="str">
        <f aca="false">IF(ISNUMBER(SEARCH("Facebook",J611)),"3654128","Not Facebook")</f>
        <v>3654128</v>
      </c>
      <c r="L611" s="3" t="str">
        <f aca="false">IFERROR(VLOOKUP(OFFSET(Table22,610,21,1,1),OFFSET(Table2,0,1,ROWS(Table2),8),7,0),VLOOKUP(OFFSET(Table22,610,22,1,1),Table2,8,0))</f>
        <v>AZR_FreeAcctDeveloperFB-AnimatedData-Ch4_FRA_1200x1200_VIA_AZRDirect_French_NA_Facebook_STAN_LEA_T4_1</v>
      </c>
      <c r="M611" s="2" t="n">
        <f aca="false">IFERROR(VLOOKUP(OFFSET(Table22,610,21,1,1),OFFSET(Table2,0,1,ROWS(Table2),8),8,0),VLOOKUP(OFFSET(Table22,610,22,1,1),Table2,9,0))</f>
        <v>104537816</v>
      </c>
      <c r="N611" s="15" t="s">
        <v>29</v>
      </c>
      <c r="O611" s="16" t="n">
        <v>43357</v>
      </c>
      <c r="P611" s="17" t="s">
        <v>102</v>
      </c>
      <c r="Q611" s="18" t="s">
        <v>103</v>
      </c>
      <c r="R611" s="17" t="s">
        <v>104</v>
      </c>
      <c r="S611" s="18" t="s">
        <v>33</v>
      </c>
      <c r="T611" s="17" t="s">
        <v>34</v>
      </c>
      <c r="U611" s="18" t="s">
        <v>131</v>
      </c>
      <c r="V611" s="19" t="n">
        <v>226496146</v>
      </c>
      <c r="W611" s="17" t="s">
        <v>141</v>
      </c>
      <c r="X611" s="17" t="n">
        <v>0</v>
      </c>
      <c r="Y611" s="17"/>
      <c r="Z611" s="17" t="n">
        <v>0</v>
      </c>
      <c r="AA611" s="17" t="s">
        <v>38</v>
      </c>
      <c r="AB611" s="17"/>
    </row>
    <row r="612" customFormat="false" ht="15" hidden="false" customHeight="false" outlineLevel="0" collapsed="false">
      <c r="A612" s="1" t="str">
        <f aca="false">OFFSET(Table22,611,14,1,1)&amp;OFFSET(Table22,611,21,1,1)</f>
        <v>43356226496146</v>
      </c>
      <c r="B612" s="1" t="str">
        <f aca="false">OFFSET(Table22,611,14,1,1)&amp;OFFSET(Table22,611,22,1,1)</f>
        <v>43356Facebook»Developers-Azure Direct-Sponsored Post_Trial-Video Ad-Free Account Developer - Intelligent Data»1x1»30s»SOC»ALL»CPC»RT»D»UNK»SS»NA»Trials_ID</v>
      </c>
      <c r="C612" s="1" t="s">
        <v>28</v>
      </c>
      <c r="D612" s="3" t="n">
        <f aca="false">O612+(7-WEEKDAY(O612))</f>
        <v>43358</v>
      </c>
      <c r="E612" s="1" t="str">
        <f aca="false">VLOOKUP(OFFSET(Table22,611,16,1,1),Key!B:D,2,0)</f>
        <v>France</v>
      </c>
      <c r="F612" s="1" t="str">
        <f aca="false">IF(ISNUMBER(SEARCH("Canvas",U612)),"Link",IF(ISNUMBER(SEARCH("Link",U612)),"Link","Not filled properly"))</f>
        <v>Link</v>
      </c>
      <c r="G612" s="1" t="str">
        <f aca="false">IFERROR(VLOOKUP(OFFSET(Table22,611,21,1,1),OFFSET(Table2,0,1,ROWS(Table2),8),2,0),VLOOKUP(OFFSET(Table22,611,22,1,1),Table2,3,0))</f>
        <v>FRA_gaPMG_AZR_AZR_Q1_19_AzureDirect-Trial-Social</v>
      </c>
      <c r="H612" s="1" t="n">
        <f aca="false">IFERROR(VLOOKUP(OFFSET(Table22,611,21,1,1),OFFSET(Table2,0,1,ROWS(Table2),8),3,0),VLOOKUP(OFFSET(Table22,611,22,1,1),Table2,4,0))</f>
        <v>21356941</v>
      </c>
      <c r="I612" s="2" t="n">
        <f aca="false">IFERROR(VLOOKUP(OFFSET(Table22,611,21,1,1),OFFSET(Table2,0,1,ROWS(Table2),8),4,0),VLOOKUP(OFFSET(Table22,611,22,1,1),Table2,5,0))</f>
        <v>720193</v>
      </c>
      <c r="J612" s="3" t="str">
        <f aca="false">IF(ISNUMBER(SEARCH("FACEBOOK",W612)),"Facebook",IF(ISNUMBER(SEARCH("INSTAGRAM",W612)),"Facebook-Instagram","Look at taxonomy"))</f>
        <v>Facebook</v>
      </c>
      <c r="K612" s="3" t="str">
        <f aca="false">IF(ISNUMBER(SEARCH("Facebook",J612)),"3654128","Not Facebook")</f>
        <v>3654128</v>
      </c>
      <c r="L612" s="3" t="str">
        <f aca="false">IFERROR(VLOOKUP(OFFSET(Table22,611,21,1,1),OFFSET(Table2,0,1,ROWS(Table2),8),7,0),VLOOKUP(OFFSET(Table22,611,22,1,1),Table2,8,0))</f>
        <v>AZR_FreeAcctDeveloperFB-AnimatedData-Ch4_FRA_1200x1200_VIA_AZRDirect_French_NA_Facebook_STAN_LEA_T4_1</v>
      </c>
      <c r="M612" s="2" t="n">
        <f aca="false">IFERROR(VLOOKUP(OFFSET(Table22,611,21,1,1),OFFSET(Table2,0,1,ROWS(Table2),8),8,0),VLOOKUP(OFFSET(Table22,611,22,1,1),Table2,9,0))</f>
        <v>104537816</v>
      </c>
      <c r="N612" s="15" t="s">
        <v>29</v>
      </c>
      <c r="O612" s="16" t="n">
        <v>43356</v>
      </c>
      <c r="P612" s="17" t="s">
        <v>102</v>
      </c>
      <c r="Q612" s="18" t="s">
        <v>103</v>
      </c>
      <c r="R612" s="17" t="s">
        <v>104</v>
      </c>
      <c r="S612" s="18" t="s">
        <v>33</v>
      </c>
      <c r="T612" s="17" t="s">
        <v>34</v>
      </c>
      <c r="U612" s="18" t="s">
        <v>131</v>
      </c>
      <c r="V612" s="19" t="n">
        <v>226496146</v>
      </c>
      <c r="W612" s="17" t="s">
        <v>141</v>
      </c>
      <c r="X612" s="17" t="n">
        <v>0</v>
      </c>
      <c r="Y612" s="17"/>
      <c r="Z612" s="17" t="n">
        <v>0</v>
      </c>
      <c r="AA612" s="17" t="s">
        <v>38</v>
      </c>
      <c r="AB612" s="17"/>
    </row>
    <row r="613" customFormat="false" ht="15" hidden="false" customHeight="false" outlineLevel="0" collapsed="false">
      <c r="A613" s="1" t="str">
        <f aca="false">OFFSET(Table22,612,14,1,1)&amp;OFFSET(Table22,612,21,1,1)</f>
        <v>43355226496146</v>
      </c>
      <c r="B613" s="1" t="str">
        <f aca="false">OFFSET(Table22,612,14,1,1)&amp;OFFSET(Table22,612,22,1,1)</f>
        <v>43355Facebook»Developers-Azure Direct-Sponsored Post_Trial-Video Ad-Free Account Developer - Intelligent Data»1x1»30s»SOC»ALL»CPC»RT»D»UNK»SS»NA»Trials_ID</v>
      </c>
      <c r="C613" s="1" t="s">
        <v>28</v>
      </c>
      <c r="D613" s="3" t="n">
        <f aca="false">O613+(7-WEEKDAY(O613))</f>
        <v>43358</v>
      </c>
      <c r="E613" s="1" t="str">
        <f aca="false">VLOOKUP(OFFSET(Table22,612,16,1,1),Key!B:D,2,0)</f>
        <v>France</v>
      </c>
      <c r="F613" s="1" t="str">
        <f aca="false">IF(ISNUMBER(SEARCH("Canvas",U613)),"Link",IF(ISNUMBER(SEARCH("Link",U613)),"Link","Not filled properly"))</f>
        <v>Link</v>
      </c>
      <c r="G613" s="1" t="str">
        <f aca="false">IFERROR(VLOOKUP(OFFSET(Table22,612,21,1,1),OFFSET(Table2,0,1,ROWS(Table2),8),2,0),VLOOKUP(OFFSET(Table22,612,22,1,1),Table2,3,0))</f>
        <v>FRA_gaPMG_AZR_AZR_Q1_19_AzureDirect-Trial-Social</v>
      </c>
      <c r="H613" s="1" t="n">
        <f aca="false">IFERROR(VLOOKUP(OFFSET(Table22,612,21,1,1),OFFSET(Table2,0,1,ROWS(Table2),8),3,0),VLOOKUP(OFFSET(Table22,612,22,1,1),Table2,4,0))</f>
        <v>21356941</v>
      </c>
      <c r="I613" s="2" t="n">
        <f aca="false">IFERROR(VLOOKUP(OFFSET(Table22,612,21,1,1),OFFSET(Table2,0,1,ROWS(Table2),8),4,0),VLOOKUP(OFFSET(Table22,612,22,1,1),Table2,5,0))</f>
        <v>720193</v>
      </c>
      <c r="J613" s="3" t="str">
        <f aca="false">IF(ISNUMBER(SEARCH("FACEBOOK",W613)),"Facebook",IF(ISNUMBER(SEARCH("INSTAGRAM",W613)),"Facebook-Instagram","Look at taxonomy"))</f>
        <v>Facebook</v>
      </c>
      <c r="K613" s="3" t="str">
        <f aca="false">IF(ISNUMBER(SEARCH("Facebook",J613)),"3654128","Not Facebook")</f>
        <v>3654128</v>
      </c>
      <c r="L613" s="3" t="str">
        <f aca="false">IFERROR(VLOOKUP(OFFSET(Table22,612,21,1,1),OFFSET(Table2,0,1,ROWS(Table2),8),7,0),VLOOKUP(OFFSET(Table22,612,22,1,1),Table2,8,0))</f>
        <v>AZR_FreeAcctDeveloperFB-AnimatedData-Ch4_FRA_1200x1200_VIA_AZRDirect_French_NA_Facebook_STAN_LEA_T4_1</v>
      </c>
      <c r="M613" s="2" t="n">
        <f aca="false">IFERROR(VLOOKUP(OFFSET(Table22,612,21,1,1),OFFSET(Table2,0,1,ROWS(Table2),8),8,0),VLOOKUP(OFFSET(Table22,612,22,1,1),Table2,9,0))</f>
        <v>104537816</v>
      </c>
      <c r="N613" s="15" t="s">
        <v>29</v>
      </c>
      <c r="O613" s="16" t="n">
        <v>43355</v>
      </c>
      <c r="P613" s="17" t="s">
        <v>102</v>
      </c>
      <c r="Q613" s="18" t="s">
        <v>103</v>
      </c>
      <c r="R613" s="17" t="s">
        <v>104</v>
      </c>
      <c r="S613" s="18" t="s">
        <v>33</v>
      </c>
      <c r="T613" s="17" t="s">
        <v>34</v>
      </c>
      <c r="U613" s="18" t="s">
        <v>131</v>
      </c>
      <c r="V613" s="19" t="n">
        <v>226496146</v>
      </c>
      <c r="W613" s="17" t="s">
        <v>141</v>
      </c>
      <c r="X613" s="17" t="n">
        <v>0</v>
      </c>
      <c r="Y613" s="17"/>
      <c r="Z613" s="17" t="n">
        <v>0</v>
      </c>
      <c r="AA613" s="17" t="s">
        <v>38</v>
      </c>
      <c r="AB613" s="17"/>
    </row>
    <row r="614" customFormat="false" ht="15" hidden="false" customHeight="false" outlineLevel="0" collapsed="false">
      <c r="A614" s="1" t="str">
        <f aca="false">OFFSET(Table22,613,14,1,1)&amp;OFFSET(Table22,613,21,1,1)</f>
        <v>43354226496146</v>
      </c>
      <c r="B614" s="1" t="str">
        <f aca="false">OFFSET(Table22,613,14,1,1)&amp;OFFSET(Table22,613,22,1,1)</f>
        <v>43354Facebook»Developers-Azure Direct-Sponsored Post_Trial-Video Ad-Free Account Developer - Intelligent Data»1x1»30s»SOC»ALL»CPC»RT»D»UNK»SS»NA»Trials_ID</v>
      </c>
      <c r="C614" s="1" t="s">
        <v>28</v>
      </c>
      <c r="D614" s="3" t="n">
        <f aca="false">O614+(7-WEEKDAY(O614))</f>
        <v>43358</v>
      </c>
      <c r="E614" s="1" t="str">
        <f aca="false">VLOOKUP(OFFSET(Table22,613,16,1,1),Key!B:D,2,0)</f>
        <v>France</v>
      </c>
      <c r="F614" s="1" t="str">
        <f aca="false">IF(ISNUMBER(SEARCH("Canvas",U614)),"Link",IF(ISNUMBER(SEARCH("Link",U614)),"Link","Not filled properly"))</f>
        <v>Link</v>
      </c>
      <c r="G614" s="1" t="str">
        <f aca="false">IFERROR(VLOOKUP(OFFSET(Table22,613,21,1,1),OFFSET(Table2,0,1,ROWS(Table2),8),2,0),VLOOKUP(OFFSET(Table22,613,22,1,1),Table2,3,0))</f>
        <v>FRA_gaPMG_AZR_AZR_Q1_19_AzureDirect-Trial-Social</v>
      </c>
      <c r="H614" s="1" t="n">
        <f aca="false">IFERROR(VLOOKUP(OFFSET(Table22,613,21,1,1),OFFSET(Table2,0,1,ROWS(Table2),8),3,0),VLOOKUP(OFFSET(Table22,613,22,1,1),Table2,4,0))</f>
        <v>21356941</v>
      </c>
      <c r="I614" s="2" t="n">
        <f aca="false">IFERROR(VLOOKUP(OFFSET(Table22,613,21,1,1),OFFSET(Table2,0,1,ROWS(Table2),8),4,0),VLOOKUP(OFFSET(Table22,613,22,1,1),Table2,5,0))</f>
        <v>720193</v>
      </c>
      <c r="J614" s="3" t="str">
        <f aca="false">IF(ISNUMBER(SEARCH("FACEBOOK",W614)),"Facebook",IF(ISNUMBER(SEARCH("INSTAGRAM",W614)),"Facebook-Instagram","Look at taxonomy"))</f>
        <v>Facebook</v>
      </c>
      <c r="K614" s="3" t="str">
        <f aca="false">IF(ISNUMBER(SEARCH("Facebook",J614)),"3654128","Not Facebook")</f>
        <v>3654128</v>
      </c>
      <c r="L614" s="3" t="str">
        <f aca="false">IFERROR(VLOOKUP(OFFSET(Table22,613,21,1,1),OFFSET(Table2,0,1,ROWS(Table2),8),7,0),VLOOKUP(OFFSET(Table22,613,22,1,1),Table2,8,0))</f>
        <v>AZR_FreeAcctDeveloperFB-AnimatedData-Ch4_FRA_1200x1200_VIA_AZRDirect_French_NA_Facebook_STAN_LEA_T4_1</v>
      </c>
      <c r="M614" s="2" t="n">
        <f aca="false">IFERROR(VLOOKUP(OFFSET(Table22,613,21,1,1),OFFSET(Table2,0,1,ROWS(Table2),8),8,0),VLOOKUP(OFFSET(Table22,613,22,1,1),Table2,9,0))</f>
        <v>104537816</v>
      </c>
      <c r="N614" s="15" t="s">
        <v>29</v>
      </c>
      <c r="O614" s="16" t="n">
        <v>43354</v>
      </c>
      <c r="P614" s="17" t="s">
        <v>102</v>
      </c>
      <c r="Q614" s="18" t="s">
        <v>103</v>
      </c>
      <c r="R614" s="17" t="s">
        <v>104</v>
      </c>
      <c r="S614" s="18" t="s">
        <v>33</v>
      </c>
      <c r="T614" s="17" t="s">
        <v>34</v>
      </c>
      <c r="U614" s="18" t="s">
        <v>131</v>
      </c>
      <c r="V614" s="19" t="n">
        <v>226496146</v>
      </c>
      <c r="W614" s="17" t="s">
        <v>141</v>
      </c>
      <c r="X614" s="17" t="n">
        <v>0</v>
      </c>
      <c r="Y614" s="17"/>
      <c r="Z614" s="17" t="n">
        <v>0</v>
      </c>
      <c r="AA614" s="17" t="s">
        <v>38</v>
      </c>
      <c r="AB614" s="17"/>
    </row>
    <row r="615" customFormat="false" ht="15" hidden="false" customHeight="false" outlineLevel="0" collapsed="false">
      <c r="A615" s="1" t="str">
        <f aca="false">OFFSET(Table22,614,14,1,1)&amp;OFFSET(Table22,614,21,1,1)</f>
        <v>43353226496146</v>
      </c>
      <c r="B615" s="1" t="str">
        <f aca="false">OFFSET(Table22,614,14,1,1)&amp;OFFSET(Table22,614,22,1,1)</f>
        <v>43353Facebook»Developers-Azure Direct-Sponsored Post_Trial-Video Ad-Free Account Developer - Intelligent Data»1x1»30s»SOC»ALL»CPC»RT»D»UNK»SS»NA»Trials_ID</v>
      </c>
      <c r="C615" s="1" t="s">
        <v>28</v>
      </c>
      <c r="D615" s="3" t="n">
        <f aca="false">O615+(7-WEEKDAY(O615))</f>
        <v>43358</v>
      </c>
      <c r="E615" s="1" t="str">
        <f aca="false">VLOOKUP(OFFSET(Table22,614,16,1,1),Key!B:D,2,0)</f>
        <v>France</v>
      </c>
      <c r="F615" s="1" t="str">
        <f aca="false">IF(ISNUMBER(SEARCH("Canvas",U615)),"Link",IF(ISNUMBER(SEARCH("Link",U615)),"Link","Not filled properly"))</f>
        <v>Link</v>
      </c>
      <c r="G615" s="1" t="str">
        <f aca="false">IFERROR(VLOOKUP(OFFSET(Table22,614,21,1,1),OFFSET(Table2,0,1,ROWS(Table2),8),2,0),VLOOKUP(OFFSET(Table22,614,22,1,1),Table2,3,0))</f>
        <v>FRA_gaPMG_AZR_AZR_Q1_19_AzureDirect-Trial-Social</v>
      </c>
      <c r="H615" s="1" t="n">
        <f aca="false">IFERROR(VLOOKUP(OFFSET(Table22,614,21,1,1),OFFSET(Table2,0,1,ROWS(Table2),8),3,0),VLOOKUP(OFFSET(Table22,614,22,1,1),Table2,4,0))</f>
        <v>21356941</v>
      </c>
      <c r="I615" s="2" t="n">
        <f aca="false">IFERROR(VLOOKUP(OFFSET(Table22,614,21,1,1),OFFSET(Table2,0,1,ROWS(Table2),8),4,0),VLOOKUP(OFFSET(Table22,614,22,1,1),Table2,5,0))</f>
        <v>720193</v>
      </c>
      <c r="J615" s="3" t="str">
        <f aca="false">IF(ISNUMBER(SEARCH("FACEBOOK",W615)),"Facebook",IF(ISNUMBER(SEARCH("INSTAGRAM",W615)),"Facebook-Instagram","Look at taxonomy"))</f>
        <v>Facebook</v>
      </c>
      <c r="K615" s="3" t="str">
        <f aca="false">IF(ISNUMBER(SEARCH("Facebook",J615)),"3654128","Not Facebook")</f>
        <v>3654128</v>
      </c>
      <c r="L615" s="3" t="str">
        <f aca="false">IFERROR(VLOOKUP(OFFSET(Table22,614,21,1,1),OFFSET(Table2,0,1,ROWS(Table2),8),7,0),VLOOKUP(OFFSET(Table22,614,22,1,1),Table2,8,0))</f>
        <v>AZR_FreeAcctDeveloperFB-AnimatedData-Ch4_FRA_1200x1200_VIA_AZRDirect_French_NA_Facebook_STAN_LEA_T4_1</v>
      </c>
      <c r="M615" s="2" t="n">
        <f aca="false">IFERROR(VLOOKUP(OFFSET(Table22,614,21,1,1),OFFSET(Table2,0,1,ROWS(Table2),8),8,0),VLOOKUP(OFFSET(Table22,614,22,1,1),Table2,9,0))</f>
        <v>104537816</v>
      </c>
      <c r="N615" s="15" t="s">
        <v>29</v>
      </c>
      <c r="O615" s="16" t="n">
        <v>43353</v>
      </c>
      <c r="P615" s="17" t="s">
        <v>102</v>
      </c>
      <c r="Q615" s="18" t="s">
        <v>103</v>
      </c>
      <c r="R615" s="17" t="s">
        <v>104</v>
      </c>
      <c r="S615" s="18" t="s">
        <v>33</v>
      </c>
      <c r="T615" s="17" t="s">
        <v>34</v>
      </c>
      <c r="U615" s="18" t="s">
        <v>131</v>
      </c>
      <c r="V615" s="19" t="n">
        <v>226496146</v>
      </c>
      <c r="W615" s="17" t="s">
        <v>141</v>
      </c>
      <c r="X615" s="17" t="n">
        <v>0</v>
      </c>
      <c r="Y615" s="17"/>
      <c r="Z615" s="17" t="n">
        <v>0</v>
      </c>
      <c r="AA615" s="17" t="s">
        <v>38</v>
      </c>
      <c r="AB615" s="17"/>
    </row>
    <row r="616" customFormat="false" ht="15" hidden="false" customHeight="false" outlineLevel="0" collapsed="false">
      <c r="A616" s="1" t="str">
        <f aca="false">OFFSET(Table22,615,14,1,1)&amp;OFFSET(Table22,615,21,1,1)</f>
        <v>43352226496146</v>
      </c>
      <c r="B616" s="1" t="str">
        <f aca="false">OFFSET(Table22,615,14,1,1)&amp;OFFSET(Table22,615,22,1,1)</f>
        <v>43352Facebook»Developers-Azure Direct-Sponsored Post_Trial-Video Ad-Free Account Developer - Intelligent Data»1x1»30s»SOC»ALL»CPC»RT»D»UNK»SS»NA»Trials_ID</v>
      </c>
      <c r="C616" s="1" t="s">
        <v>28</v>
      </c>
      <c r="D616" s="3" t="n">
        <f aca="false">O616+(7-WEEKDAY(O616))</f>
        <v>43358</v>
      </c>
      <c r="E616" s="1" t="str">
        <f aca="false">VLOOKUP(OFFSET(Table22,615,16,1,1),Key!B:D,2,0)</f>
        <v>France</v>
      </c>
      <c r="F616" s="1" t="str">
        <f aca="false">IF(ISNUMBER(SEARCH("Canvas",U616)),"Link",IF(ISNUMBER(SEARCH("Link",U616)),"Link","Not filled properly"))</f>
        <v>Link</v>
      </c>
      <c r="G616" s="1" t="str">
        <f aca="false">IFERROR(VLOOKUP(OFFSET(Table22,615,21,1,1),OFFSET(Table2,0,1,ROWS(Table2),8),2,0),VLOOKUP(OFFSET(Table22,615,22,1,1),Table2,3,0))</f>
        <v>FRA_gaPMG_AZR_AZR_Q1_19_AzureDirect-Trial-Social</v>
      </c>
      <c r="H616" s="1" t="n">
        <f aca="false">IFERROR(VLOOKUP(OFFSET(Table22,615,21,1,1),OFFSET(Table2,0,1,ROWS(Table2),8),3,0),VLOOKUP(OFFSET(Table22,615,22,1,1),Table2,4,0))</f>
        <v>21356941</v>
      </c>
      <c r="I616" s="2" t="n">
        <f aca="false">IFERROR(VLOOKUP(OFFSET(Table22,615,21,1,1),OFFSET(Table2,0,1,ROWS(Table2),8),4,0),VLOOKUP(OFFSET(Table22,615,22,1,1),Table2,5,0))</f>
        <v>720193</v>
      </c>
      <c r="J616" s="3" t="str">
        <f aca="false">IF(ISNUMBER(SEARCH("FACEBOOK",W616)),"Facebook",IF(ISNUMBER(SEARCH("INSTAGRAM",W616)),"Facebook-Instagram","Look at taxonomy"))</f>
        <v>Facebook</v>
      </c>
      <c r="K616" s="3" t="str">
        <f aca="false">IF(ISNUMBER(SEARCH("Facebook",J616)),"3654128","Not Facebook")</f>
        <v>3654128</v>
      </c>
      <c r="L616" s="3" t="str">
        <f aca="false">IFERROR(VLOOKUP(OFFSET(Table22,615,21,1,1),OFFSET(Table2,0,1,ROWS(Table2),8),7,0),VLOOKUP(OFFSET(Table22,615,22,1,1),Table2,8,0))</f>
        <v>AZR_FreeAcctDeveloperFB-AnimatedData-Ch4_FRA_1200x1200_VIA_AZRDirect_French_NA_Facebook_STAN_LEA_T4_1</v>
      </c>
      <c r="M616" s="2" t="n">
        <f aca="false">IFERROR(VLOOKUP(OFFSET(Table22,615,21,1,1),OFFSET(Table2,0,1,ROWS(Table2),8),8,0),VLOOKUP(OFFSET(Table22,615,22,1,1),Table2,9,0))</f>
        <v>104537816</v>
      </c>
      <c r="N616" s="15" t="s">
        <v>29</v>
      </c>
      <c r="O616" s="16" t="n">
        <v>43352</v>
      </c>
      <c r="P616" s="17" t="s">
        <v>102</v>
      </c>
      <c r="Q616" s="18" t="s">
        <v>103</v>
      </c>
      <c r="R616" s="17" t="s">
        <v>104</v>
      </c>
      <c r="S616" s="18" t="s">
        <v>33</v>
      </c>
      <c r="T616" s="17" t="s">
        <v>34</v>
      </c>
      <c r="U616" s="18" t="s">
        <v>131</v>
      </c>
      <c r="V616" s="19" t="n">
        <v>226496146</v>
      </c>
      <c r="W616" s="17" t="s">
        <v>141</v>
      </c>
      <c r="X616" s="17" t="n">
        <v>0</v>
      </c>
      <c r="Y616" s="17"/>
      <c r="Z616" s="17" t="n">
        <v>0</v>
      </c>
      <c r="AA616" s="17" t="s">
        <v>38</v>
      </c>
      <c r="AB616" s="17"/>
    </row>
    <row r="617" customFormat="false" ht="15" hidden="false" customHeight="false" outlineLevel="0" collapsed="false">
      <c r="A617" s="1" t="str">
        <f aca="false">OFFSET(Table22,616,14,1,1)&amp;OFFSET(Table22,616,21,1,1)</f>
        <v>43358226359884</v>
      </c>
      <c r="B617" s="1" t="str">
        <f aca="false">OFFSET(Table22,616,14,1,1)&amp;OFFSET(Table22,616,22,1,1)</f>
        <v>43358Facebook»Developers-Azure Direct-Sponsored Post_Trial-Video Ad-Free Account Developer - Open Source»1x1»30s»SOC»ALL»CPC»RT»D»UNK»SS»NA»Trials_ID</v>
      </c>
      <c r="C617" s="1" t="s">
        <v>28</v>
      </c>
      <c r="D617" s="3" t="n">
        <f aca="false">O617+(7-WEEKDAY(O617))</f>
        <v>43358</v>
      </c>
      <c r="E617" s="1" t="str">
        <f aca="false">VLOOKUP(OFFSET(Table22,616,16,1,1),Key!B:D,2,0)</f>
        <v>France</v>
      </c>
      <c r="F617" s="1" t="str">
        <f aca="false">IF(ISNUMBER(SEARCH("Canvas",U617)),"Link",IF(ISNUMBER(SEARCH("Link",U617)),"Link","Not filled properly"))</f>
        <v>Link</v>
      </c>
      <c r="G617" s="1" t="str">
        <f aca="false">IFERROR(VLOOKUP(OFFSET(Table22,616,21,1,1),OFFSET(Table2,0,1,ROWS(Table2),8),2,0),VLOOKUP(OFFSET(Table22,616,22,1,1),Table2,3,0))</f>
        <v>FRA_gaPMG_AZR_AZR_Q1_19_AzureDirect-Trial-Social</v>
      </c>
      <c r="H617" s="1" t="n">
        <f aca="false">IFERROR(VLOOKUP(OFFSET(Table22,616,21,1,1),OFFSET(Table2,0,1,ROWS(Table2),8),3,0),VLOOKUP(OFFSET(Table22,616,22,1,1),Table2,4,0))</f>
        <v>21356941</v>
      </c>
      <c r="I617" s="2" t="n">
        <f aca="false">IFERROR(VLOOKUP(OFFSET(Table22,616,21,1,1),OFFSET(Table2,0,1,ROWS(Table2),8),4,0),VLOOKUP(OFFSET(Table22,616,22,1,1),Table2,5,0))</f>
        <v>720193</v>
      </c>
      <c r="J617" s="3" t="str">
        <f aca="false">IF(ISNUMBER(SEARCH("FACEBOOK",W617)),"Facebook",IF(ISNUMBER(SEARCH("INSTAGRAM",W617)),"Facebook-Instagram","Look at taxonomy"))</f>
        <v>Facebook</v>
      </c>
      <c r="K617" s="3" t="str">
        <f aca="false">IF(ISNUMBER(SEARCH("Facebook",J617)),"3654128","Not Facebook")</f>
        <v>3654128</v>
      </c>
      <c r="L617" s="3" t="str">
        <f aca="false">IFERROR(VLOOKUP(OFFSET(Table22,616,21,1,1),OFFSET(Table2,0,1,ROWS(Table2),8),7,0),VLOOKUP(OFFSET(Table22,616,22,1,1),Table2,8,0))</f>
        <v>AZR_FreeAcctDeveloperFB-AnimatedOpenSource-Ch2_FRA_1200x1200_VIA_AZRDirect_French_NA_Facebook_STAN_LEA_T2_1</v>
      </c>
      <c r="M617" s="2" t="n">
        <f aca="false">IFERROR(VLOOKUP(OFFSET(Table22,616,21,1,1),OFFSET(Table2,0,1,ROWS(Table2),8),8,0),VLOOKUP(OFFSET(Table22,616,22,1,1),Table2,9,0))</f>
        <v>104537132</v>
      </c>
      <c r="N617" s="15" t="s">
        <v>29</v>
      </c>
      <c r="O617" s="16" t="n">
        <v>43358</v>
      </c>
      <c r="P617" s="17" t="s">
        <v>102</v>
      </c>
      <c r="Q617" s="18" t="s">
        <v>103</v>
      </c>
      <c r="R617" s="17" t="s">
        <v>104</v>
      </c>
      <c r="S617" s="18" t="s">
        <v>33</v>
      </c>
      <c r="T617" s="17" t="s">
        <v>34</v>
      </c>
      <c r="U617" s="18" t="s">
        <v>131</v>
      </c>
      <c r="V617" s="19" t="n">
        <v>226359884</v>
      </c>
      <c r="W617" s="17" t="s">
        <v>142</v>
      </c>
      <c r="X617" s="17" t="n">
        <v>0</v>
      </c>
      <c r="Y617" s="17"/>
      <c r="Z617" s="17" t="n">
        <v>0</v>
      </c>
      <c r="AA617" s="17" t="s">
        <v>38</v>
      </c>
      <c r="AB617" s="17"/>
    </row>
    <row r="618" customFormat="false" ht="15" hidden="false" customHeight="false" outlineLevel="0" collapsed="false">
      <c r="A618" s="1" t="str">
        <f aca="false">OFFSET(Table22,617,14,1,1)&amp;OFFSET(Table22,617,21,1,1)</f>
        <v>43358226359884</v>
      </c>
      <c r="B618" s="1" t="str">
        <f aca="false">OFFSET(Table22,617,14,1,1)&amp;OFFSET(Table22,617,22,1,1)</f>
        <v>43358Facebook»Developers-Azure Direct-Sponsored Post_Trial-Video Ad-Free Account Developer - Open Source»1x1»30s»SOC»ALL»CPC»RT»D»UNK»SS»NA»Trials_ID</v>
      </c>
      <c r="C618" s="1" t="s">
        <v>28</v>
      </c>
      <c r="D618" s="3" t="n">
        <f aca="false">O618+(7-WEEKDAY(O618))</f>
        <v>43358</v>
      </c>
      <c r="E618" s="1" t="str">
        <f aca="false">VLOOKUP(OFFSET(Table22,617,16,1,1),Key!B:D,2,0)</f>
        <v>France</v>
      </c>
      <c r="F618" s="1" t="str">
        <f aca="false">IF(ISNUMBER(SEARCH("Canvas",U618)),"Link",IF(ISNUMBER(SEARCH("Link",U618)),"Link","Not filled properly"))</f>
        <v>Link</v>
      </c>
      <c r="G618" s="1" t="str">
        <f aca="false">IFERROR(VLOOKUP(OFFSET(Table22,617,21,1,1),OFFSET(Table2,0,1,ROWS(Table2),8),2,0),VLOOKUP(OFFSET(Table22,617,22,1,1),Table2,3,0))</f>
        <v>FRA_gaPMG_AZR_AZR_Q1_19_AzureDirect-Trial-Social</v>
      </c>
      <c r="H618" s="1" t="n">
        <f aca="false">IFERROR(VLOOKUP(OFFSET(Table22,617,21,1,1),OFFSET(Table2,0,1,ROWS(Table2),8),3,0),VLOOKUP(OFFSET(Table22,617,22,1,1),Table2,4,0))</f>
        <v>21356941</v>
      </c>
      <c r="I618" s="2" t="n">
        <f aca="false">IFERROR(VLOOKUP(OFFSET(Table22,617,21,1,1),OFFSET(Table2,0,1,ROWS(Table2),8),4,0),VLOOKUP(OFFSET(Table22,617,22,1,1),Table2,5,0))</f>
        <v>720193</v>
      </c>
      <c r="J618" s="3" t="str">
        <f aca="false">IF(ISNUMBER(SEARCH("FACEBOOK",W618)),"Facebook",IF(ISNUMBER(SEARCH("INSTAGRAM",W618)),"Facebook-Instagram","Look at taxonomy"))</f>
        <v>Facebook</v>
      </c>
      <c r="K618" s="3" t="str">
        <f aca="false">IF(ISNUMBER(SEARCH("Facebook",J618)),"3654128","Not Facebook")</f>
        <v>3654128</v>
      </c>
      <c r="L618" s="3" t="str">
        <f aca="false">IFERROR(VLOOKUP(OFFSET(Table22,617,21,1,1),OFFSET(Table2,0,1,ROWS(Table2),8),7,0),VLOOKUP(OFFSET(Table22,617,22,1,1),Table2,8,0))</f>
        <v>AZR_FreeAcctDeveloperFB-AnimatedOpenSource-Ch2_FRA_1200x1200_VIA_AZRDirect_French_NA_Facebook_STAN_LEA_T2_1</v>
      </c>
      <c r="M618" s="2" t="n">
        <f aca="false">IFERROR(VLOOKUP(OFFSET(Table22,617,21,1,1),OFFSET(Table2,0,1,ROWS(Table2),8),8,0),VLOOKUP(OFFSET(Table22,617,22,1,1),Table2,9,0))</f>
        <v>104537132</v>
      </c>
      <c r="N618" s="15" t="s">
        <v>29</v>
      </c>
      <c r="O618" s="16" t="n">
        <v>43358</v>
      </c>
      <c r="P618" s="17" t="s">
        <v>102</v>
      </c>
      <c r="Q618" s="18" t="s">
        <v>103</v>
      </c>
      <c r="R618" s="17" t="s">
        <v>104</v>
      </c>
      <c r="S618" s="18" t="s">
        <v>33</v>
      </c>
      <c r="T618" s="17" t="s">
        <v>34</v>
      </c>
      <c r="U618" s="18" t="s">
        <v>131</v>
      </c>
      <c r="V618" s="19" t="n">
        <v>226359884</v>
      </c>
      <c r="W618" s="17" t="s">
        <v>142</v>
      </c>
      <c r="X618" s="17" t="n">
        <v>8</v>
      </c>
      <c r="Y618" s="17"/>
      <c r="Z618" s="17" t="n">
        <v>0.03</v>
      </c>
      <c r="AA618" s="17" t="s">
        <v>38</v>
      </c>
      <c r="AB618" s="17"/>
    </row>
    <row r="619" customFormat="false" ht="15" hidden="false" customHeight="false" outlineLevel="0" collapsed="false">
      <c r="A619" s="1" t="str">
        <f aca="false">OFFSET(Table22,618,14,1,1)&amp;OFFSET(Table22,618,21,1,1)</f>
        <v>43357226359884</v>
      </c>
      <c r="B619" s="1" t="str">
        <f aca="false">OFFSET(Table22,618,14,1,1)&amp;OFFSET(Table22,618,22,1,1)</f>
        <v>43357Facebook»Developers-Azure Direct-Sponsored Post_Trial-Video Ad-Free Account Developer - Open Source»1x1»30s»SOC»ALL»CPC»RT»D»UNK»SS»NA»Trials_ID</v>
      </c>
      <c r="C619" s="1" t="s">
        <v>28</v>
      </c>
      <c r="D619" s="3" t="n">
        <f aca="false">O619+(7-WEEKDAY(O619))</f>
        <v>43358</v>
      </c>
      <c r="E619" s="1" t="str">
        <f aca="false">VLOOKUP(OFFSET(Table22,618,16,1,1),Key!B:D,2,0)</f>
        <v>France</v>
      </c>
      <c r="F619" s="1" t="str">
        <f aca="false">IF(ISNUMBER(SEARCH("Canvas",U619)),"Link",IF(ISNUMBER(SEARCH("Link",U619)),"Link","Not filled properly"))</f>
        <v>Link</v>
      </c>
      <c r="G619" s="1" t="str">
        <f aca="false">IFERROR(VLOOKUP(OFFSET(Table22,618,21,1,1),OFFSET(Table2,0,1,ROWS(Table2),8),2,0),VLOOKUP(OFFSET(Table22,618,22,1,1),Table2,3,0))</f>
        <v>FRA_gaPMG_AZR_AZR_Q1_19_AzureDirect-Trial-Social</v>
      </c>
      <c r="H619" s="1" t="n">
        <f aca="false">IFERROR(VLOOKUP(OFFSET(Table22,618,21,1,1),OFFSET(Table2,0,1,ROWS(Table2),8),3,0),VLOOKUP(OFFSET(Table22,618,22,1,1),Table2,4,0))</f>
        <v>21356941</v>
      </c>
      <c r="I619" s="2" t="n">
        <f aca="false">IFERROR(VLOOKUP(OFFSET(Table22,618,21,1,1),OFFSET(Table2,0,1,ROWS(Table2),8),4,0),VLOOKUP(OFFSET(Table22,618,22,1,1),Table2,5,0))</f>
        <v>720193</v>
      </c>
      <c r="J619" s="3" t="str">
        <f aca="false">IF(ISNUMBER(SEARCH("FACEBOOK",W619)),"Facebook",IF(ISNUMBER(SEARCH("INSTAGRAM",W619)),"Facebook-Instagram","Look at taxonomy"))</f>
        <v>Facebook</v>
      </c>
      <c r="K619" s="3" t="str">
        <f aca="false">IF(ISNUMBER(SEARCH("Facebook",J619)),"3654128","Not Facebook")</f>
        <v>3654128</v>
      </c>
      <c r="L619" s="3" t="str">
        <f aca="false">IFERROR(VLOOKUP(OFFSET(Table22,618,21,1,1),OFFSET(Table2,0,1,ROWS(Table2),8),7,0),VLOOKUP(OFFSET(Table22,618,22,1,1),Table2,8,0))</f>
        <v>AZR_FreeAcctDeveloperFB-AnimatedOpenSource-Ch2_FRA_1200x1200_VIA_AZRDirect_French_NA_Facebook_STAN_LEA_T2_1</v>
      </c>
      <c r="M619" s="2" t="n">
        <f aca="false">IFERROR(VLOOKUP(OFFSET(Table22,618,21,1,1),OFFSET(Table2,0,1,ROWS(Table2),8),8,0),VLOOKUP(OFFSET(Table22,618,22,1,1),Table2,9,0))</f>
        <v>104537132</v>
      </c>
      <c r="N619" s="15" t="s">
        <v>29</v>
      </c>
      <c r="O619" s="16" t="n">
        <v>43357</v>
      </c>
      <c r="P619" s="17" t="s">
        <v>102</v>
      </c>
      <c r="Q619" s="18" t="s">
        <v>103</v>
      </c>
      <c r="R619" s="17" t="s">
        <v>104</v>
      </c>
      <c r="S619" s="18" t="s">
        <v>33</v>
      </c>
      <c r="T619" s="17" t="s">
        <v>34</v>
      </c>
      <c r="U619" s="18" t="s">
        <v>131</v>
      </c>
      <c r="V619" s="19" t="n">
        <v>226359884</v>
      </c>
      <c r="W619" s="17" t="s">
        <v>142</v>
      </c>
      <c r="X619" s="17" t="n">
        <v>7</v>
      </c>
      <c r="Y619" s="17" t="n">
        <v>1</v>
      </c>
      <c r="Z619" s="17" t="n">
        <v>0.06</v>
      </c>
      <c r="AA619" s="17" t="s">
        <v>38</v>
      </c>
      <c r="AB619" s="17"/>
    </row>
    <row r="620" customFormat="false" ht="15" hidden="false" customHeight="false" outlineLevel="0" collapsed="false">
      <c r="A620" s="1" t="str">
        <f aca="false">OFFSET(Table22,619,14,1,1)&amp;OFFSET(Table22,619,21,1,1)</f>
        <v>43357226359884</v>
      </c>
      <c r="B620" s="1" t="str">
        <f aca="false">OFFSET(Table22,619,14,1,1)&amp;OFFSET(Table22,619,22,1,1)</f>
        <v>43357Facebook»Developers-Azure Direct-Sponsored Post_Trial-Video Ad-Free Account Developer - Open Source»1x1»30s»SOC»ALL»CPC»RT»D»UNK»SS»NA»Trials_ID</v>
      </c>
      <c r="C620" s="1" t="s">
        <v>28</v>
      </c>
      <c r="D620" s="3" t="n">
        <f aca="false">O620+(7-WEEKDAY(O620))</f>
        <v>43358</v>
      </c>
      <c r="E620" s="1" t="str">
        <f aca="false">VLOOKUP(OFFSET(Table22,619,16,1,1),Key!B:D,2,0)</f>
        <v>France</v>
      </c>
      <c r="F620" s="1" t="str">
        <f aca="false">IF(ISNUMBER(SEARCH("Canvas",U620)),"Link",IF(ISNUMBER(SEARCH("Link",U620)),"Link","Not filled properly"))</f>
        <v>Link</v>
      </c>
      <c r="G620" s="1" t="str">
        <f aca="false">IFERROR(VLOOKUP(OFFSET(Table22,619,21,1,1),OFFSET(Table2,0,1,ROWS(Table2),8),2,0),VLOOKUP(OFFSET(Table22,619,22,1,1),Table2,3,0))</f>
        <v>FRA_gaPMG_AZR_AZR_Q1_19_AzureDirect-Trial-Social</v>
      </c>
      <c r="H620" s="1" t="n">
        <f aca="false">IFERROR(VLOOKUP(OFFSET(Table22,619,21,1,1),OFFSET(Table2,0,1,ROWS(Table2),8),3,0),VLOOKUP(OFFSET(Table22,619,22,1,1),Table2,4,0))</f>
        <v>21356941</v>
      </c>
      <c r="I620" s="2" t="n">
        <f aca="false">IFERROR(VLOOKUP(OFFSET(Table22,619,21,1,1),OFFSET(Table2,0,1,ROWS(Table2),8),4,0),VLOOKUP(OFFSET(Table22,619,22,1,1),Table2,5,0))</f>
        <v>720193</v>
      </c>
      <c r="J620" s="3" t="str">
        <f aca="false">IF(ISNUMBER(SEARCH("FACEBOOK",W620)),"Facebook",IF(ISNUMBER(SEARCH("INSTAGRAM",W620)),"Facebook-Instagram","Look at taxonomy"))</f>
        <v>Facebook</v>
      </c>
      <c r="K620" s="3" t="str">
        <f aca="false">IF(ISNUMBER(SEARCH("Facebook",J620)),"3654128","Not Facebook")</f>
        <v>3654128</v>
      </c>
      <c r="L620" s="3" t="str">
        <f aca="false">IFERROR(VLOOKUP(OFFSET(Table22,619,21,1,1),OFFSET(Table2,0,1,ROWS(Table2),8),7,0),VLOOKUP(OFFSET(Table22,619,22,1,1),Table2,8,0))</f>
        <v>AZR_FreeAcctDeveloperFB-AnimatedOpenSource-Ch2_FRA_1200x1200_VIA_AZRDirect_French_NA_Facebook_STAN_LEA_T2_1</v>
      </c>
      <c r="M620" s="2" t="n">
        <f aca="false">IFERROR(VLOOKUP(OFFSET(Table22,619,21,1,1),OFFSET(Table2,0,1,ROWS(Table2),8),8,0),VLOOKUP(OFFSET(Table22,619,22,1,1),Table2,9,0))</f>
        <v>104537132</v>
      </c>
      <c r="N620" s="15" t="s">
        <v>29</v>
      </c>
      <c r="O620" s="16" t="n">
        <v>43357</v>
      </c>
      <c r="P620" s="17" t="s">
        <v>102</v>
      </c>
      <c r="Q620" s="18" t="s">
        <v>103</v>
      </c>
      <c r="R620" s="17" t="s">
        <v>104</v>
      </c>
      <c r="S620" s="18" t="s">
        <v>33</v>
      </c>
      <c r="T620" s="17" t="s">
        <v>34</v>
      </c>
      <c r="U620" s="18" t="s">
        <v>131</v>
      </c>
      <c r="V620" s="19" t="n">
        <v>226359884</v>
      </c>
      <c r="W620" s="17" t="s">
        <v>142</v>
      </c>
      <c r="X620" s="17" t="n">
        <v>0</v>
      </c>
      <c r="Y620" s="17"/>
      <c r="Z620" s="17" t="n">
        <v>0</v>
      </c>
      <c r="AA620" s="17" t="s">
        <v>38</v>
      </c>
      <c r="AB620" s="17"/>
    </row>
    <row r="621" customFormat="false" ht="15" hidden="false" customHeight="false" outlineLevel="0" collapsed="false">
      <c r="A621" s="1" t="str">
        <f aca="false">OFFSET(Table22,620,14,1,1)&amp;OFFSET(Table22,620,21,1,1)</f>
        <v>43356226359884</v>
      </c>
      <c r="B621" s="1" t="str">
        <f aca="false">OFFSET(Table22,620,14,1,1)&amp;OFFSET(Table22,620,22,1,1)</f>
        <v>43356Facebook»Developers-Azure Direct-Sponsored Post_Trial-Video Ad-Free Account Developer - Open Source»1x1»30s»SOC»ALL»CPC»RT»D»UNK»SS»NA»Trials_ID</v>
      </c>
      <c r="C621" s="1" t="s">
        <v>28</v>
      </c>
      <c r="D621" s="3" t="n">
        <f aca="false">O621+(7-WEEKDAY(O621))</f>
        <v>43358</v>
      </c>
      <c r="E621" s="1" t="str">
        <f aca="false">VLOOKUP(OFFSET(Table22,620,16,1,1),Key!B:D,2,0)</f>
        <v>France</v>
      </c>
      <c r="F621" s="1" t="str">
        <f aca="false">IF(ISNUMBER(SEARCH("Canvas",U621)),"Link",IF(ISNUMBER(SEARCH("Link",U621)),"Link","Not filled properly"))</f>
        <v>Link</v>
      </c>
      <c r="G621" s="1" t="str">
        <f aca="false">IFERROR(VLOOKUP(OFFSET(Table22,620,21,1,1),OFFSET(Table2,0,1,ROWS(Table2),8),2,0),VLOOKUP(OFFSET(Table22,620,22,1,1),Table2,3,0))</f>
        <v>FRA_gaPMG_AZR_AZR_Q1_19_AzureDirect-Trial-Social</v>
      </c>
      <c r="H621" s="1" t="n">
        <f aca="false">IFERROR(VLOOKUP(OFFSET(Table22,620,21,1,1),OFFSET(Table2,0,1,ROWS(Table2),8),3,0),VLOOKUP(OFFSET(Table22,620,22,1,1),Table2,4,0))</f>
        <v>21356941</v>
      </c>
      <c r="I621" s="2" t="n">
        <f aca="false">IFERROR(VLOOKUP(OFFSET(Table22,620,21,1,1),OFFSET(Table2,0,1,ROWS(Table2),8),4,0),VLOOKUP(OFFSET(Table22,620,22,1,1),Table2,5,0))</f>
        <v>720193</v>
      </c>
      <c r="J621" s="3" t="str">
        <f aca="false">IF(ISNUMBER(SEARCH("FACEBOOK",W621)),"Facebook",IF(ISNUMBER(SEARCH("INSTAGRAM",W621)),"Facebook-Instagram","Look at taxonomy"))</f>
        <v>Facebook</v>
      </c>
      <c r="K621" s="3" t="str">
        <f aca="false">IF(ISNUMBER(SEARCH("Facebook",J621)),"3654128","Not Facebook")</f>
        <v>3654128</v>
      </c>
      <c r="L621" s="3" t="str">
        <f aca="false">IFERROR(VLOOKUP(OFFSET(Table22,620,21,1,1),OFFSET(Table2,0,1,ROWS(Table2),8),7,0),VLOOKUP(OFFSET(Table22,620,22,1,1),Table2,8,0))</f>
        <v>AZR_FreeAcctDeveloperFB-AnimatedOpenSource-Ch2_FRA_1200x1200_VIA_AZRDirect_French_NA_Facebook_STAN_LEA_T2_1</v>
      </c>
      <c r="M621" s="2" t="n">
        <f aca="false">IFERROR(VLOOKUP(OFFSET(Table22,620,21,1,1),OFFSET(Table2,0,1,ROWS(Table2),8),8,0),VLOOKUP(OFFSET(Table22,620,22,1,1),Table2,9,0))</f>
        <v>104537132</v>
      </c>
      <c r="N621" s="15" t="s">
        <v>29</v>
      </c>
      <c r="O621" s="16" t="n">
        <v>43356</v>
      </c>
      <c r="P621" s="17" t="s">
        <v>102</v>
      </c>
      <c r="Q621" s="18" t="s">
        <v>103</v>
      </c>
      <c r="R621" s="17" t="s">
        <v>104</v>
      </c>
      <c r="S621" s="18" t="s">
        <v>33</v>
      </c>
      <c r="T621" s="17" t="s">
        <v>34</v>
      </c>
      <c r="U621" s="18" t="s">
        <v>131</v>
      </c>
      <c r="V621" s="19" t="n">
        <v>226359884</v>
      </c>
      <c r="W621" s="17" t="s">
        <v>142</v>
      </c>
      <c r="X621" s="17" t="n">
        <v>0</v>
      </c>
      <c r="Y621" s="17"/>
      <c r="Z621" s="17" t="n">
        <v>0</v>
      </c>
      <c r="AA621" s="17" t="s">
        <v>38</v>
      </c>
      <c r="AB621" s="17"/>
    </row>
    <row r="622" customFormat="false" ht="15" hidden="false" customHeight="false" outlineLevel="0" collapsed="false">
      <c r="A622" s="1" t="str">
        <f aca="false">OFFSET(Table22,621,14,1,1)&amp;OFFSET(Table22,621,21,1,1)</f>
        <v>43356226359884</v>
      </c>
      <c r="B622" s="1" t="str">
        <f aca="false">OFFSET(Table22,621,14,1,1)&amp;OFFSET(Table22,621,22,1,1)</f>
        <v>43356Facebook»Developers-Azure Direct-Sponsored Post_Trial-Video Ad-Free Account Developer - Open Source»1x1»30s»SOC»ALL»CPC»RT»D»UNK»SS»NA»Trials_ID</v>
      </c>
      <c r="C622" s="1" t="s">
        <v>28</v>
      </c>
      <c r="D622" s="3" t="n">
        <f aca="false">O622+(7-WEEKDAY(O622))</f>
        <v>43358</v>
      </c>
      <c r="E622" s="1" t="str">
        <f aca="false">VLOOKUP(OFFSET(Table22,621,16,1,1),Key!B:D,2,0)</f>
        <v>France</v>
      </c>
      <c r="F622" s="1" t="str">
        <f aca="false">IF(ISNUMBER(SEARCH("Canvas",U622)),"Link",IF(ISNUMBER(SEARCH("Link",U622)),"Link","Not filled properly"))</f>
        <v>Link</v>
      </c>
      <c r="G622" s="1" t="str">
        <f aca="false">IFERROR(VLOOKUP(OFFSET(Table22,621,21,1,1),OFFSET(Table2,0,1,ROWS(Table2),8),2,0),VLOOKUP(OFFSET(Table22,621,22,1,1),Table2,3,0))</f>
        <v>FRA_gaPMG_AZR_AZR_Q1_19_AzureDirect-Trial-Social</v>
      </c>
      <c r="H622" s="1" t="n">
        <f aca="false">IFERROR(VLOOKUP(OFFSET(Table22,621,21,1,1),OFFSET(Table2,0,1,ROWS(Table2),8),3,0),VLOOKUP(OFFSET(Table22,621,22,1,1),Table2,4,0))</f>
        <v>21356941</v>
      </c>
      <c r="I622" s="2" t="n">
        <f aca="false">IFERROR(VLOOKUP(OFFSET(Table22,621,21,1,1),OFFSET(Table2,0,1,ROWS(Table2),8),4,0),VLOOKUP(OFFSET(Table22,621,22,1,1),Table2,5,0))</f>
        <v>720193</v>
      </c>
      <c r="J622" s="3" t="str">
        <f aca="false">IF(ISNUMBER(SEARCH("FACEBOOK",W622)),"Facebook",IF(ISNUMBER(SEARCH("INSTAGRAM",W622)),"Facebook-Instagram","Look at taxonomy"))</f>
        <v>Facebook</v>
      </c>
      <c r="K622" s="3" t="str">
        <f aca="false">IF(ISNUMBER(SEARCH("Facebook",J622)),"3654128","Not Facebook")</f>
        <v>3654128</v>
      </c>
      <c r="L622" s="3" t="str">
        <f aca="false">IFERROR(VLOOKUP(OFFSET(Table22,621,21,1,1),OFFSET(Table2,0,1,ROWS(Table2),8),7,0),VLOOKUP(OFFSET(Table22,621,22,1,1),Table2,8,0))</f>
        <v>AZR_FreeAcctDeveloperFB-AnimatedOpenSource-Ch2_FRA_1200x1200_VIA_AZRDirect_French_NA_Facebook_STAN_LEA_T2_1</v>
      </c>
      <c r="M622" s="2" t="n">
        <f aca="false">IFERROR(VLOOKUP(OFFSET(Table22,621,21,1,1),OFFSET(Table2,0,1,ROWS(Table2),8),8,0),VLOOKUP(OFFSET(Table22,621,22,1,1),Table2,9,0))</f>
        <v>104537132</v>
      </c>
      <c r="N622" s="15" t="s">
        <v>29</v>
      </c>
      <c r="O622" s="16" t="n">
        <v>43356</v>
      </c>
      <c r="P622" s="17" t="s">
        <v>102</v>
      </c>
      <c r="Q622" s="18" t="s">
        <v>103</v>
      </c>
      <c r="R622" s="17" t="s">
        <v>104</v>
      </c>
      <c r="S622" s="18" t="s">
        <v>33</v>
      </c>
      <c r="T622" s="17" t="s">
        <v>34</v>
      </c>
      <c r="U622" s="18" t="s">
        <v>131</v>
      </c>
      <c r="V622" s="19" t="n">
        <v>226359884</v>
      </c>
      <c r="W622" s="17" t="s">
        <v>142</v>
      </c>
      <c r="X622" s="17" t="n">
        <v>10</v>
      </c>
      <c r="Y622" s="17" t="n">
        <v>1</v>
      </c>
      <c r="Z622" s="17" t="n">
        <v>0.05</v>
      </c>
      <c r="AA622" s="17" t="s">
        <v>38</v>
      </c>
      <c r="AB622" s="17"/>
    </row>
    <row r="623" customFormat="false" ht="15" hidden="false" customHeight="false" outlineLevel="0" collapsed="false">
      <c r="A623" s="1" t="str">
        <f aca="false">OFFSET(Table22,622,14,1,1)&amp;OFFSET(Table22,622,21,1,1)</f>
        <v>43355226359884</v>
      </c>
      <c r="B623" s="1" t="str">
        <f aca="false">OFFSET(Table22,622,14,1,1)&amp;OFFSET(Table22,622,22,1,1)</f>
        <v>43355Facebook»Developers-Azure Direct-Sponsored Post_Trial-Video Ad-Free Account Developer - Open Source»1x1»30s»SOC»ALL»CPC»RT»D»UNK»SS»NA»Trials_ID</v>
      </c>
      <c r="C623" s="1" t="s">
        <v>28</v>
      </c>
      <c r="D623" s="3" t="n">
        <f aca="false">O623+(7-WEEKDAY(O623))</f>
        <v>43358</v>
      </c>
      <c r="E623" s="1" t="str">
        <f aca="false">VLOOKUP(OFFSET(Table22,622,16,1,1),Key!B:D,2,0)</f>
        <v>France</v>
      </c>
      <c r="F623" s="1" t="str">
        <f aca="false">IF(ISNUMBER(SEARCH("Canvas",U623)),"Link",IF(ISNUMBER(SEARCH("Link",U623)),"Link","Not filled properly"))</f>
        <v>Link</v>
      </c>
      <c r="G623" s="1" t="str">
        <f aca="false">IFERROR(VLOOKUP(OFFSET(Table22,622,21,1,1),OFFSET(Table2,0,1,ROWS(Table2),8),2,0),VLOOKUP(OFFSET(Table22,622,22,1,1),Table2,3,0))</f>
        <v>FRA_gaPMG_AZR_AZR_Q1_19_AzureDirect-Trial-Social</v>
      </c>
      <c r="H623" s="1" t="n">
        <f aca="false">IFERROR(VLOOKUP(OFFSET(Table22,622,21,1,1),OFFSET(Table2,0,1,ROWS(Table2),8),3,0),VLOOKUP(OFFSET(Table22,622,22,1,1),Table2,4,0))</f>
        <v>21356941</v>
      </c>
      <c r="I623" s="2" t="n">
        <f aca="false">IFERROR(VLOOKUP(OFFSET(Table22,622,21,1,1),OFFSET(Table2,0,1,ROWS(Table2),8),4,0),VLOOKUP(OFFSET(Table22,622,22,1,1),Table2,5,0))</f>
        <v>720193</v>
      </c>
      <c r="J623" s="3" t="str">
        <f aca="false">IF(ISNUMBER(SEARCH("FACEBOOK",W623)),"Facebook",IF(ISNUMBER(SEARCH("INSTAGRAM",W623)),"Facebook-Instagram","Look at taxonomy"))</f>
        <v>Facebook</v>
      </c>
      <c r="K623" s="3" t="str">
        <f aca="false">IF(ISNUMBER(SEARCH("Facebook",J623)),"3654128","Not Facebook")</f>
        <v>3654128</v>
      </c>
      <c r="L623" s="3" t="str">
        <f aca="false">IFERROR(VLOOKUP(OFFSET(Table22,622,21,1,1),OFFSET(Table2,0,1,ROWS(Table2),8),7,0),VLOOKUP(OFFSET(Table22,622,22,1,1),Table2,8,0))</f>
        <v>AZR_FreeAcctDeveloperFB-AnimatedOpenSource-Ch2_FRA_1200x1200_VIA_AZRDirect_French_NA_Facebook_STAN_LEA_T2_1</v>
      </c>
      <c r="M623" s="2" t="n">
        <f aca="false">IFERROR(VLOOKUP(OFFSET(Table22,622,21,1,1),OFFSET(Table2,0,1,ROWS(Table2),8),8,0),VLOOKUP(OFFSET(Table22,622,22,1,1),Table2,9,0))</f>
        <v>104537132</v>
      </c>
      <c r="N623" s="15" t="s">
        <v>29</v>
      </c>
      <c r="O623" s="16" t="n">
        <v>43355</v>
      </c>
      <c r="P623" s="17" t="s">
        <v>102</v>
      </c>
      <c r="Q623" s="18" t="s">
        <v>103</v>
      </c>
      <c r="R623" s="17" t="s">
        <v>104</v>
      </c>
      <c r="S623" s="18" t="s">
        <v>33</v>
      </c>
      <c r="T623" s="17" t="s">
        <v>34</v>
      </c>
      <c r="U623" s="18" t="s">
        <v>131</v>
      </c>
      <c r="V623" s="19" t="n">
        <v>226359884</v>
      </c>
      <c r="W623" s="17" t="s">
        <v>142</v>
      </c>
      <c r="X623" s="17" t="n">
        <v>99</v>
      </c>
      <c r="Y623" s="17"/>
      <c r="Z623" s="17" t="n">
        <v>0.6</v>
      </c>
      <c r="AA623" s="17" t="s">
        <v>38</v>
      </c>
      <c r="AB623" s="17"/>
    </row>
    <row r="624" customFormat="false" ht="15" hidden="false" customHeight="false" outlineLevel="0" collapsed="false">
      <c r="A624" s="1" t="str">
        <f aca="false">OFFSET(Table22,623,14,1,1)&amp;OFFSET(Table22,623,21,1,1)</f>
        <v>43355226359884</v>
      </c>
      <c r="B624" s="1" t="str">
        <f aca="false">OFFSET(Table22,623,14,1,1)&amp;OFFSET(Table22,623,22,1,1)</f>
        <v>43355Facebook»Developers-Azure Direct-Sponsored Post_Trial-Video Ad-Free Account Developer - Open Source»1x1»30s»SOC»ALL»CPC»RT»D»UNK»SS»NA»Trials_ID</v>
      </c>
      <c r="C624" s="1" t="s">
        <v>28</v>
      </c>
      <c r="D624" s="3" t="n">
        <f aca="false">O624+(7-WEEKDAY(O624))</f>
        <v>43358</v>
      </c>
      <c r="E624" s="1" t="str">
        <f aca="false">VLOOKUP(OFFSET(Table22,623,16,1,1),Key!B:D,2,0)</f>
        <v>France</v>
      </c>
      <c r="F624" s="1" t="str">
        <f aca="false">IF(ISNUMBER(SEARCH("Canvas",U624)),"Link",IF(ISNUMBER(SEARCH("Link",U624)),"Link","Not filled properly"))</f>
        <v>Link</v>
      </c>
      <c r="G624" s="1" t="str">
        <f aca="false">IFERROR(VLOOKUP(OFFSET(Table22,623,21,1,1),OFFSET(Table2,0,1,ROWS(Table2),8),2,0),VLOOKUP(OFFSET(Table22,623,22,1,1),Table2,3,0))</f>
        <v>FRA_gaPMG_AZR_AZR_Q1_19_AzureDirect-Trial-Social</v>
      </c>
      <c r="H624" s="1" t="n">
        <f aca="false">IFERROR(VLOOKUP(OFFSET(Table22,623,21,1,1),OFFSET(Table2,0,1,ROWS(Table2),8),3,0),VLOOKUP(OFFSET(Table22,623,22,1,1),Table2,4,0))</f>
        <v>21356941</v>
      </c>
      <c r="I624" s="2" t="n">
        <f aca="false">IFERROR(VLOOKUP(OFFSET(Table22,623,21,1,1),OFFSET(Table2,0,1,ROWS(Table2),8),4,0),VLOOKUP(OFFSET(Table22,623,22,1,1),Table2,5,0))</f>
        <v>720193</v>
      </c>
      <c r="J624" s="3" t="str">
        <f aca="false">IF(ISNUMBER(SEARCH("FACEBOOK",W624)),"Facebook",IF(ISNUMBER(SEARCH("INSTAGRAM",W624)),"Facebook-Instagram","Look at taxonomy"))</f>
        <v>Facebook</v>
      </c>
      <c r="K624" s="3" t="str">
        <f aca="false">IF(ISNUMBER(SEARCH("Facebook",J624)),"3654128","Not Facebook")</f>
        <v>3654128</v>
      </c>
      <c r="L624" s="3" t="str">
        <f aca="false">IFERROR(VLOOKUP(OFFSET(Table22,623,21,1,1),OFFSET(Table2,0,1,ROWS(Table2),8),7,0),VLOOKUP(OFFSET(Table22,623,22,1,1),Table2,8,0))</f>
        <v>AZR_FreeAcctDeveloperFB-AnimatedOpenSource-Ch2_FRA_1200x1200_VIA_AZRDirect_French_NA_Facebook_STAN_LEA_T2_1</v>
      </c>
      <c r="M624" s="2" t="n">
        <f aca="false">IFERROR(VLOOKUP(OFFSET(Table22,623,21,1,1),OFFSET(Table2,0,1,ROWS(Table2),8),8,0),VLOOKUP(OFFSET(Table22,623,22,1,1),Table2,9,0))</f>
        <v>104537132</v>
      </c>
      <c r="N624" s="15" t="s">
        <v>29</v>
      </c>
      <c r="O624" s="16" t="n">
        <v>43355</v>
      </c>
      <c r="P624" s="17" t="s">
        <v>102</v>
      </c>
      <c r="Q624" s="18" t="s">
        <v>103</v>
      </c>
      <c r="R624" s="17" t="s">
        <v>104</v>
      </c>
      <c r="S624" s="18" t="s">
        <v>33</v>
      </c>
      <c r="T624" s="17" t="s">
        <v>34</v>
      </c>
      <c r="U624" s="18" t="s">
        <v>131</v>
      </c>
      <c r="V624" s="19" t="n">
        <v>226359884</v>
      </c>
      <c r="W624" s="17" t="s">
        <v>142</v>
      </c>
      <c r="X624" s="17" t="n">
        <v>0</v>
      </c>
      <c r="Y624" s="17"/>
      <c r="Z624" s="17" t="n">
        <v>0</v>
      </c>
      <c r="AA624" s="17" t="s">
        <v>38</v>
      </c>
      <c r="AB624" s="17"/>
    </row>
    <row r="625" customFormat="false" ht="15" hidden="false" customHeight="false" outlineLevel="0" collapsed="false">
      <c r="A625" s="1" t="str">
        <f aca="false">OFFSET(Table22,624,14,1,1)&amp;OFFSET(Table22,624,21,1,1)</f>
        <v>43354226359884</v>
      </c>
      <c r="B625" s="1" t="str">
        <f aca="false">OFFSET(Table22,624,14,1,1)&amp;OFFSET(Table22,624,22,1,1)</f>
        <v>43354Facebook»Developers-Azure Direct-Sponsored Post_Trial-Video Ad-Free Account Developer - Open Source»1x1»30s»SOC»ALL»CPC»RT»D»UNK»SS»NA»Trials_ID</v>
      </c>
      <c r="C625" s="1" t="s">
        <v>28</v>
      </c>
      <c r="D625" s="3" t="n">
        <f aca="false">O625+(7-WEEKDAY(O625))</f>
        <v>43358</v>
      </c>
      <c r="E625" s="1" t="str">
        <f aca="false">VLOOKUP(OFFSET(Table22,624,16,1,1),Key!B:D,2,0)</f>
        <v>France</v>
      </c>
      <c r="F625" s="1" t="str">
        <f aca="false">IF(ISNUMBER(SEARCH("Canvas",U625)),"Link",IF(ISNUMBER(SEARCH("Link",U625)),"Link","Not filled properly"))</f>
        <v>Link</v>
      </c>
      <c r="G625" s="1" t="str">
        <f aca="false">IFERROR(VLOOKUP(OFFSET(Table22,624,21,1,1),OFFSET(Table2,0,1,ROWS(Table2),8),2,0),VLOOKUP(OFFSET(Table22,624,22,1,1),Table2,3,0))</f>
        <v>FRA_gaPMG_AZR_AZR_Q1_19_AzureDirect-Trial-Social</v>
      </c>
      <c r="H625" s="1" t="n">
        <f aca="false">IFERROR(VLOOKUP(OFFSET(Table22,624,21,1,1),OFFSET(Table2,0,1,ROWS(Table2),8),3,0),VLOOKUP(OFFSET(Table22,624,22,1,1),Table2,4,0))</f>
        <v>21356941</v>
      </c>
      <c r="I625" s="2" t="n">
        <f aca="false">IFERROR(VLOOKUP(OFFSET(Table22,624,21,1,1),OFFSET(Table2,0,1,ROWS(Table2),8),4,0),VLOOKUP(OFFSET(Table22,624,22,1,1),Table2,5,0))</f>
        <v>720193</v>
      </c>
      <c r="J625" s="3" t="str">
        <f aca="false">IF(ISNUMBER(SEARCH("FACEBOOK",W625)),"Facebook",IF(ISNUMBER(SEARCH("INSTAGRAM",W625)),"Facebook-Instagram","Look at taxonomy"))</f>
        <v>Facebook</v>
      </c>
      <c r="K625" s="3" t="str">
        <f aca="false">IF(ISNUMBER(SEARCH("Facebook",J625)),"3654128","Not Facebook")</f>
        <v>3654128</v>
      </c>
      <c r="L625" s="3" t="str">
        <f aca="false">IFERROR(VLOOKUP(OFFSET(Table22,624,21,1,1),OFFSET(Table2,0,1,ROWS(Table2),8),7,0),VLOOKUP(OFFSET(Table22,624,22,1,1),Table2,8,0))</f>
        <v>AZR_FreeAcctDeveloperFB-AnimatedOpenSource-Ch2_FRA_1200x1200_VIA_AZRDirect_French_NA_Facebook_STAN_LEA_T2_1</v>
      </c>
      <c r="M625" s="2" t="n">
        <f aca="false">IFERROR(VLOOKUP(OFFSET(Table22,624,21,1,1),OFFSET(Table2,0,1,ROWS(Table2),8),8,0),VLOOKUP(OFFSET(Table22,624,22,1,1),Table2,9,0))</f>
        <v>104537132</v>
      </c>
      <c r="N625" s="15" t="s">
        <v>29</v>
      </c>
      <c r="O625" s="16" t="n">
        <v>43354</v>
      </c>
      <c r="P625" s="17" t="s">
        <v>102</v>
      </c>
      <c r="Q625" s="18" t="s">
        <v>103</v>
      </c>
      <c r="R625" s="17" t="s">
        <v>104</v>
      </c>
      <c r="S625" s="18" t="s">
        <v>33</v>
      </c>
      <c r="T625" s="17" t="s">
        <v>34</v>
      </c>
      <c r="U625" s="18" t="s">
        <v>131</v>
      </c>
      <c r="V625" s="19" t="n">
        <v>226359884</v>
      </c>
      <c r="W625" s="17" t="s">
        <v>142</v>
      </c>
      <c r="X625" s="17" t="n">
        <v>103</v>
      </c>
      <c r="Y625" s="17"/>
      <c r="Z625" s="17" t="n">
        <v>0.55</v>
      </c>
      <c r="AA625" s="17" t="s">
        <v>38</v>
      </c>
      <c r="AB625" s="17"/>
    </row>
    <row r="626" customFormat="false" ht="15" hidden="false" customHeight="false" outlineLevel="0" collapsed="false">
      <c r="A626" s="1" t="str">
        <f aca="false">OFFSET(Table22,625,14,1,1)&amp;OFFSET(Table22,625,21,1,1)</f>
        <v>43354226359884</v>
      </c>
      <c r="B626" s="1" t="str">
        <f aca="false">OFFSET(Table22,625,14,1,1)&amp;OFFSET(Table22,625,22,1,1)</f>
        <v>43354Facebook»Developers-Azure Direct-Sponsored Post_Trial-Video Ad-Free Account Developer - Open Source»1x1»30s»SOC»ALL»CPC»RT»D»UNK»SS»NA»Trials_ID</v>
      </c>
      <c r="C626" s="1" t="s">
        <v>28</v>
      </c>
      <c r="D626" s="3" t="n">
        <f aca="false">O626+(7-WEEKDAY(O626))</f>
        <v>43358</v>
      </c>
      <c r="E626" s="1" t="str">
        <f aca="false">VLOOKUP(OFFSET(Table22,625,16,1,1),Key!B:D,2,0)</f>
        <v>France</v>
      </c>
      <c r="F626" s="1" t="str">
        <f aca="false">IF(ISNUMBER(SEARCH("Canvas",U626)),"Link",IF(ISNUMBER(SEARCH("Link",U626)),"Link","Not filled properly"))</f>
        <v>Link</v>
      </c>
      <c r="G626" s="1" t="str">
        <f aca="false">IFERROR(VLOOKUP(OFFSET(Table22,625,21,1,1),OFFSET(Table2,0,1,ROWS(Table2),8),2,0),VLOOKUP(OFFSET(Table22,625,22,1,1),Table2,3,0))</f>
        <v>FRA_gaPMG_AZR_AZR_Q1_19_AzureDirect-Trial-Social</v>
      </c>
      <c r="H626" s="1" t="n">
        <f aca="false">IFERROR(VLOOKUP(OFFSET(Table22,625,21,1,1),OFFSET(Table2,0,1,ROWS(Table2),8),3,0),VLOOKUP(OFFSET(Table22,625,22,1,1),Table2,4,0))</f>
        <v>21356941</v>
      </c>
      <c r="I626" s="2" t="n">
        <f aca="false">IFERROR(VLOOKUP(OFFSET(Table22,625,21,1,1),OFFSET(Table2,0,1,ROWS(Table2),8),4,0),VLOOKUP(OFFSET(Table22,625,22,1,1),Table2,5,0))</f>
        <v>720193</v>
      </c>
      <c r="J626" s="3" t="str">
        <f aca="false">IF(ISNUMBER(SEARCH("FACEBOOK",W626)),"Facebook",IF(ISNUMBER(SEARCH("INSTAGRAM",W626)),"Facebook-Instagram","Look at taxonomy"))</f>
        <v>Facebook</v>
      </c>
      <c r="K626" s="3" t="str">
        <f aca="false">IF(ISNUMBER(SEARCH("Facebook",J626)),"3654128","Not Facebook")</f>
        <v>3654128</v>
      </c>
      <c r="L626" s="3" t="str">
        <f aca="false">IFERROR(VLOOKUP(OFFSET(Table22,625,21,1,1),OFFSET(Table2,0,1,ROWS(Table2),8),7,0),VLOOKUP(OFFSET(Table22,625,22,1,1),Table2,8,0))</f>
        <v>AZR_FreeAcctDeveloperFB-AnimatedOpenSource-Ch2_FRA_1200x1200_VIA_AZRDirect_French_NA_Facebook_STAN_LEA_T2_1</v>
      </c>
      <c r="M626" s="2" t="n">
        <f aca="false">IFERROR(VLOOKUP(OFFSET(Table22,625,21,1,1),OFFSET(Table2,0,1,ROWS(Table2),8),8,0),VLOOKUP(OFFSET(Table22,625,22,1,1),Table2,9,0))</f>
        <v>104537132</v>
      </c>
      <c r="N626" s="15" t="s">
        <v>29</v>
      </c>
      <c r="O626" s="16" t="n">
        <v>43354</v>
      </c>
      <c r="P626" s="17" t="s">
        <v>102</v>
      </c>
      <c r="Q626" s="18" t="s">
        <v>103</v>
      </c>
      <c r="R626" s="17" t="s">
        <v>104</v>
      </c>
      <c r="S626" s="18" t="s">
        <v>33</v>
      </c>
      <c r="T626" s="17" t="s">
        <v>34</v>
      </c>
      <c r="U626" s="18" t="s">
        <v>131</v>
      </c>
      <c r="V626" s="19" t="n">
        <v>226359884</v>
      </c>
      <c r="W626" s="17" t="s">
        <v>142</v>
      </c>
      <c r="X626" s="17" t="n">
        <v>0</v>
      </c>
      <c r="Y626" s="17"/>
      <c r="Z626" s="17" t="n">
        <v>0</v>
      </c>
      <c r="AA626" s="17" t="s">
        <v>38</v>
      </c>
      <c r="AB626" s="17"/>
    </row>
    <row r="627" customFormat="false" ht="15" hidden="false" customHeight="false" outlineLevel="0" collapsed="false">
      <c r="A627" s="1" t="str">
        <f aca="false">OFFSET(Table22,626,14,1,1)&amp;OFFSET(Table22,626,21,1,1)</f>
        <v>43353226359884</v>
      </c>
      <c r="B627" s="1" t="str">
        <f aca="false">OFFSET(Table22,626,14,1,1)&amp;OFFSET(Table22,626,22,1,1)</f>
        <v>43353Facebook»Developers-Azure Direct-Sponsored Post_Trial-Video Ad-Free Account Developer - Open Source»1x1»30s»SOC»ALL»CPC»RT»D»UNK»SS»NA»Trials_ID</v>
      </c>
      <c r="C627" s="1" t="s">
        <v>28</v>
      </c>
      <c r="D627" s="3" t="n">
        <f aca="false">O627+(7-WEEKDAY(O627))</f>
        <v>43358</v>
      </c>
      <c r="E627" s="1" t="str">
        <f aca="false">VLOOKUP(OFFSET(Table22,626,16,1,1),Key!B:D,2,0)</f>
        <v>France</v>
      </c>
      <c r="F627" s="1" t="str">
        <f aca="false">IF(ISNUMBER(SEARCH("Canvas",U627)),"Link",IF(ISNUMBER(SEARCH("Link",U627)),"Link","Not filled properly"))</f>
        <v>Link</v>
      </c>
      <c r="G627" s="1" t="str">
        <f aca="false">IFERROR(VLOOKUP(OFFSET(Table22,626,21,1,1),OFFSET(Table2,0,1,ROWS(Table2),8),2,0),VLOOKUP(OFFSET(Table22,626,22,1,1),Table2,3,0))</f>
        <v>FRA_gaPMG_AZR_AZR_Q1_19_AzureDirect-Trial-Social</v>
      </c>
      <c r="H627" s="1" t="n">
        <f aca="false">IFERROR(VLOOKUP(OFFSET(Table22,626,21,1,1),OFFSET(Table2,0,1,ROWS(Table2),8),3,0),VLOOKUP(OFFSET(Table22,626,22,1,1),Table2,4,0))</f>
        <v>21356941</v>
      </c>
      <c r="I627" s="2" t="n">
        <f aca="false">IFERROR(VLOOKUP(OFFSET(Table22,626,21,1,1),OFFSET(Table2,0,1,ROWS(Table2),8),4,0),VLOOKUP(OFFSET(Table22,626,22,1,1),Table2,5,0))</f>
        <v>720193</v>
      </c>
      <c r="J627" s="3" t="str">
        <f aca="false">IF(ISNUMBER(SEARCH("FACEBOOK",W627)),"Facebook",IF(ISNUMBER(SEARCH("INSTAGRAM",W627)),"Facebook-Instagram","Look at taxonomy"))</f>
        <v>Facebook</v>
      </c>
      <c r="K627" s="3" t="str">
        <f aca="false">IF(ISNUMBER(SEARCH("Facebook",J627)),"3654128","Not Facebook")</f>
        <v>3654128</v>
      </c>
      <c r="L627" s="3" t="str">
        <f aca="false">IFERROR(VLOOKUP(OFFSET(Table22,626,21,1,1),OFFSET(Table2,0,1,ROWS(Table2),8),7,0),VLOOKUP(OFFSET(Table22,626,22,1,1),Table2,8,0))</f>
        <v>AZR_FreeAcctDeveloperFB-AnimatedOpenSource-Ch2_FRA_1200x1200_VIA_AZRDirect_French_NA_Facebook_STAN_LEA_T2_1</v>
      </c>
      <c r="M627" s="2" t="n">
        <f aca="false">IFERROR(VLOOKUP(OFFSET(Table22,626,21,1,1),OFFSET(Table2,0,1,ROWS(Table2),8),8,0),VLOOKUP(OFFSET(Table22,626,22,1,1),Table2,9,0))</f>
        <v>104537132</v>
      </c>
      <c r="N627" s="15" t="s">
        <v>29</v>
      </c>
      <c r="O627" s="16" t="n">
        <v>43353</v>
      </c>
      <c r="P627" s="17" t="s">
        <v>102</v>
      </c>
      <c r="Q627" s="18" t="s">
        <v>103</v>
      </c>
      <c r="R627" s="17" t="s">
        <v>104</v>
      </c>
      <c r="S627" s="18" t="s">
        <v>33</v>
      </c>
      <c r="T627" s="17" t="s">
        <v>34</v>
      </c>
      <c r="U627" s="18" t="s">
        <v>131</v>
      </c>
      <c r="V627" s="19" t="n">
        <v>226359884</v>
      </c>
      <c r="W627" s="17" t="s">
        <v>142</v>
      </c>
      <c r="X627" s="17" t="n">
        <v>105</v>
      </c>
      <c r="Y627" s="17" t="n">
        <v>3</v>
      </c>
      <c r="Z627" s="17" t="n">
        <v>0.52</v>
      </c>
      <c r="AA627" s="17" t="s">
        <v>38</v>
      </c>
      <c r="AB627" s="17"/>
    </row>
    <row r="628" customFormat="false" ht="15" hidden="false" customHeight="false" outlineLevel="0" collapsed="false">
      <c r="A628" s="1" t="str">
        <f aca="false">OFFSET(Table22,627,14,1,1)&amp;OFFSET(Table22,627,21,1,1)</f>
        <v>43353226359884</v>
      </c>
      <c r="B628" s="1" t="str">
        <f aca="false">OFFSET(Table22,627,14,1,1)&amp;OFFSET(Table22,627,22,1,1)</f>
        <v>43353Facebook»Developers-Azure Direct-Sponsored Post_Trial-Video Ad-Free Account Developer - Open Source»1x1»30s»SOC»ALL»CPC»RT»D»UNK»SS»NA»Trials_ID</v>
      </c>
      <c r="C628" s="1" t="s">
        <v>28</v>
      </c>
      <c r="D628" s="3" t="n">
        <f aca="false">O628+(7-WEEKDAY(O628))</f>
        <v>43358</v>
      </c>
      <c r="E628" s="1" t="str">
        <f aca="false">VLOOKUP(OFFSET(Table22,627,16,1,1),Key!B:D,2,0)</f>
        <v>France</v>
      </c>
      <c r="F628" s="1" t="str">
        <f aca="false">IF(ISNUMBER(SEARCH("Canvas",U628)),"Link",IF(ISNUMBER(SEARCH("Link",U628)),"Link","Not filled properly"))</f>
        <v>Link</v>
      </c>
      <c r="G628" s="1" t="str">
        <f aca="false">IFERROR(VLOOKUP(OFFSET(Table22,627,21,1,1),OFFSET(Table2,0,1,ROWS(Table2),8),2,0),VLOOKUP(OFFSET(Table22,627,22,1,1),Table2,3,0))</f>
        <v>FRA_gaPMG_AZR_AZR_Q1_19_AzureDirect-Trial-Social</v>
      </c>
      <c r="H628" s="1" t="n">
        <f aca="false">IFERROR(VLOOKUP(OFFSET(Table22,627,21,1,1),OFFSET(Table2,0,1,ROWS(Table2),8),3,0),VLOOKUP(OFFSET(Table22,627,22,1,1),Table2,4,0))</f>
        <v>21356941</v>
      </c>
      <c r="I628" s="2" t="n">
        <f aca="false">IFERROR(VLOOKUP(OFFSET(Table22,627,21,1,1),OFFSET(Table2,0,1,ROWS(Table2),8),4,0),VLOOKUP(OFFSET(Table22,627,22,1,1),Table2,5,0))</f>
        <v>720193</v>
      </c>
      <c r="J628" s="3" t="str">
        <f aca="false">IF(ISNUMBER(SEARCH("FACEBOOK",W628)),"Facebook",IF(ISNUMBER(SEARCH("INSTAGRAM",W628)),"Facebook-Instagram","Look at taxonomy"))</f>
        <v>Facebook</v>
      </c>
      <c r="K628" s="3" t="str">
        <f aca="false">IF(ISNUMBER(SEARCH("Facebook",J628)),"3654128","Not Facebook")</f>
        <v>3654128</v>
      </c>
      <c r="L628" s="3" t="str">
        <f aca="false">IFERROR(VLOOKUP(OFFSET(Table22,627,21,1,1),OFFSET(Table2,0,1,ROWS(Table2),8),7,0),VLOOKUP(OFFSET(Table22,627,22,1,1),Table2,8,0))</f>
        <v>AZR_FreeAcctDeveloperFB-AnimatedOpenSource-Ch2_FRA_1200x1200_VIA_AZRDirect_French_NA_Facebook_STAN_LEA_T2_1</v>
      </c>
      <c r="M628" s="2" t="n">
        <f aca="false">IFERROR(VLOOKUP(OFFSET(Table22,627,21,1,1),OFFSET(Table2,0,1,ROWS(Table2),8),8,0),VLOOKUP(OFFSET(Table22,627,22,1,1),Table2,9,0))</f>
        <v>104537132</v>
      </c>
      <c r="N628" s="15" t="s">
        <v>29</v>
      </c>
      <c r="O628" s="16" t="n">
        <v>43353</v>
      </c>
      <c r="P628" s="17" t="s">
        <v>102</v>
      </c>
      <c r="Q628" s="18" t="s">
        <v>103</v>
      </c>
      <c r="R628" s="17" t="s">
        <v>104</v>
      </c>
      <c r="S628" s="18" t="s">
        <v>33</v>
      </c>
      <c r="T628" s="17" t="s">
        <v>34</v>
      </c>
      <c r="U628" s="18" t="s">
        <v>131</v>
      </c>
      <c r="V628" s="19" t="n">
        <v>226359884</v>
      </c>
      <c r="W628" s="17" t="s">
        <v>142</v>
      </c>
      <c r="X628" s="17" t="n">
        <v>0</v>
      </c>
      <c r="Y628" s="17"/>
      <c r="Z628" s="17" t="n">
        <v>0</v>
      </c>
      <c r="AA628" s="17" t="s">
        <v>38</v>
      </c>
      <c r="AB628" s="17"/>
    </row>
    <row r="629" customFormat="false" ht="15" hidden="false" customHeight="false" outlineLevel="0" collapsed="false">
      <c r="A629" s="1" t="str">
        <f aca="false">OFFSET(Table22,628,14,1,1)&amp;OFFSET(Table22,628,21,1,1)</f>
        <v>43352226359884</v>
      </c>
      <c r="B629" s="1" t="str">
        <f aca="false">OFFSET(Table22,628,14,1,1)&amp;OFFSET(Table22,628,22,1,1)</f>
        <v>43352Facebook»Developers-Azure Direct-Sponsored Post_Trial-Video Ad-Free Account Developer - Open Source»1x1»30s»SOC»ALL»CPC»RT»D»UNK»SS»NA»Trials_ID</v>
      </c>
      <c r="C629" s="1" t="s">
        <v>28</v>
      </c>
      <c r="D629" s="3" t="n">
        <f aca="false">O629+(7-WEEKDAY(O629))</f>
        <v>43358</v>
      </c>
      <c r="E629" s="1" t="str">
        <f aca="false">VLOOKUP(OFFSET(Table22,628,16,1,1),Key!B:D,2,0)</f>
        <v>France</v>
      </c>
      <c r="F629" s="1" t="str">
        <f aca="false">IF(ISNUMBER(SEARCH("Canvas",U629)),"Link",IF(ISNUMBER(SEARCH("Link",U629)),"Link","Not filled properly"))</f>
        <v>Link</v>
      </c>
      <c r="G629" s="1" t="str">
        <f aca="false">IFERROR(VLOOKUP(OFFSET(Table22,628,21,1,1),OFFSET(Table2,0,1,ROWS(Table2),8),2,0),VLOOKUP(OFFSET(Table22,628,22,1,1),Table2,3,0))</f>
        <v>FRA_gaPMG_AZR_AZR_Q1_19_AzureDirect-Trial-Social</v>
      </c>
      <c r="H629" s="1" t="n">
        <f aca="false">IFERROR(VLOOKUP(OFFSET(Table22,628,21,1,1),OFFSET(Table2,0,1,ROWS(Table2),8),3,0),VLOOKUP(OFFSET(Table22,628,22,1,1),Table2,4,0))</f>
        <v>21356941</v>
      </c>
      <c r="I629" s="2" t="n">
        <f aca="false">IFERROR(VLOOKUP(OFFSET(Table22,628,21,1,1),OFFSET(Table2,0,1,ROWS(Table2),8),4,0),VLOOKUP(OFFSET(Table22,628,22,1,1),Table2,5,0))</f>
        <v>720193</v>
      </c>
      <c r="J629" s="3" t="str">
        <f aca="false">IF(ISNUMBER(SEARCH("FACEBOOK",W629)),"Facebook",IF(ISNUMBER(SEARCH("INSTAGRAM",W629)),"Facebook-Instagram","Look at taxonomy"))</f>
        <v>Facebook</v>
      </c>
      <c r="K629" s="3" t="str">
        <f aca="false">IF(ISNUMBER(SEARCH("Facebook",J629)),"3654128","Not Facebook")</f>
        <v>3654128</v>
      </c>
      <c r="L629" s="3" t="str">
        <f aca="false">IFERROR(VLOOKUP(OFFSET(Table22,628,21,1,1),OFFSET(Table2,0,1,ROWS(Table2),8),7,0),VLOOKUP(OFFSET(Table22,628,22,1,1),Table2,8,0))</f>
        <v>AZR_FreeAcctDeveloperFB-AnimatedOpenSource-Ch2_FRA_1200x1200_VIA_AZRDirect_French_NA_Facebook_STAN_LEA_T2_1</v>
      </c>
      <c r="M629" s="2" t="n">
        <f aca="false">IFERROR(VLOOKUP(OFFSET(Table22,628,21,1,1),OFFSET(Table2,0,1,ROWS(Table2),8),8,0),VLOOKUP(OFFSET(Table22,628,22,1,1),Table2,9,0))</f>
        <v>104537132</v>
      </c>
      <c r="N629" s="15" t="s">
        <v>29</v>
      </c>
      <c r="O629" s="16" t="n">
        <v>43352</v>
      </c>
      <c r="P629" s="17" t="s">
        <v>102</v>
      </c>
      <c r="Q629" s="18" t="s">
        <v>103</v>
      </c>
      <c r="R629" s="17" t="s">
        <v>104</v>
      </c>
      <c r="S629" s="18" t="s">
        <v>33</v>
      </c>
      <c r="T629" s="17" t="s">
        <v>34</v>
      </c>
      <c r="U629" s="18" t="s">
        <v>131</v>
      </c>
      <c r="V629" s="19" t="n">
        <v>226359884</v>
      </c>
      <c r="W629" s="17" t="s">
        <v>142</v>
      </c>
      <c r="X629" s="17" t="n">
        <v>217</v>
      </c>
      <c r="Y629" s="17" t="n">
        <v>5</v>
      </c>
      <c r="Z629" s="17" t="n">
        <v>1.2</v>
      </c>
      <c r="AA629" s="17" t="s">
        <v>38</v>
      </c>
      <c r="AB629" s="17"/>
    </row>
    <row r="630" customFormat="false" ht="15" hidden="false" customHeight="false" outlineLevel="0" collapsed="false">
      <c r="A630" s="1" t="str">
        <f aca="false">OFFSET(Table22,629,14,1,1)&amp;OFFSET(Table22,629,21,1,1)</f>
        <v>43352226359884</v>
      </c>
      <c r="B630" s="1" t="str">
        <f aca="false">OFFSET(Table22,629,14,1,1)&amp;OFFSET(Table22,629,22,1,1)</f>
        <v>43352Facebook»Developers-Azure Direct-Sponsored Post_Trial-Video Ad-Free Account Developer - Open Source»1x1»30s»SOC»ALL»CPC»RT»D»UNK»SS»NA»Trials_ID</v>
      </c>
      <c r="C630" s="1" t="s">
        <v>28</v>
      </c>
      <c r="D630" s="3" t="n">
        <f aca="false">O630+(7-WEEKDAY(O630))</f>
        <v>43358</v>
      </c>
      <c r="E630" s="1" t="str">
        <f aca="false">VLOOKUP(OFFSET(Table22,629,16,1,1),Key!B:D,2,0)</f>
        <v>France</v>
      </c>
      <c r="F630" s="1" t="str">
        <f aca="false">IF(ISNUMBER(SEARCH("Canvas",U630)),"Link",IF(ISNUMBER(SEARCH("Link",U630)),"Link","Not filled properly"))</f>
        <v>Link</v>
      </c>
      <c r="G630" s="1" t="str">
        <f aca="false">IFERROR(VLOOKUP(OFFSET(Table22,629,21,1,1),OFFSET(Table2,0,1,ROWS(Table2),8),2,0),VLOOKUP(OFFSET(Table22,629,22,1,1),Table2,3,0))</f>
        <v>FRA_gaPMG_AZR_AZR_Q1_19_AzureDirect-Trial-Social</v>
      </c>
      <c r="H630" s="1" t="n">
        <f aca="false">IFERROR(VLOOKUP(OFFSET(Table22,629,21,1,1),OFFSET(Table2,0,1,ROWS(Table2),8),3,0),VLOOKUP(OFFSET(Table22,629,22,1,1),Table2,4,0))</f>
        <v>21356941</v>
      </c>
      <c r="I630" s="2" t="n">
        <f aca="false">IFERROR(VLOOKUP(OFFSET(Table22,629,21,1,1),OFFSET(Table2,0,1,ROWS(Table2),8),4,0),VLOOKUP(OFFSET(Table22,629,22,1,1),Table2,5,0))</f>
        <v>720193</v>
      </c>
      <c r="J630" s="3" t="str">
        <f aca="false">IF(ISNUMBER(SEARCH("FACEBOOK",W630)),"Facebook",IF(ISNUMBER(SEARCH("INSTAGRAM",W630)),"Facebook-Instagram","Look at taxonomy"))</f>
        <v>Facebook</v>
      </c>
      <c r="K630" s="3" t="str">
        <f aca="false">IF(ISNUMBER(SEARCH("Facebook",J630)),"3654128","Not Facebook")</f>
        <v>3654128</v>
      </c>
      <c r="L630" s="3" t="str">
        <f aca="false">IFERROR(VLOOKUP(OFFSET(Table22,629,21,1,1),OFFSET(Table2,0,1,ROWS(Table2),8),7,0),VLOOKUP(OFFSET(Table22,629,22,1,1),Table2,8,0))</f>
        <v>AZR_FreeAcctDeveloperFB-AnimatedOpenSource-Ch2_FRA_1200x1200_VIA_AZRDirect_French_NA_Facebook_STAN_LEA_T2_1</v>
      </c>
      <c r="M630" s="2" t="n">
        <f aca="false">IFERROR(VLOOKUP(OFFSET(Table22,629,21,1,1),OFFSET(Table2,0,1,ROWS(Table2),8),8,0),VLOOKUP(OFFSET(Table22,629,22,1,1),Table2,9,0))</f>
        <v>104537132</v>
      </c>
      <c r="N630" s="15" t="s">
        <v>29</v>
      </c>
      <c r="O630" s="16" t="n">
        <v>43352</v>
      </c>
      <c r="P630" s="17" t="s">
        <v>102</v>
      </c>
      <c r="Q630" s="18" t="s">
        <v>103</v>
      </c>
      <c r="R630" s="17" t="s">
        <v>104</v>
      </c>
      <c r="S630" s="18" t="s">
        <v>33</v>
      </c>
      <c r="T630" s="17" t="s">
        <v>34</v>
      </c>
      <c r="U630" s="18" t="s">
        <v>131</v>
      </c>
      <c r="V630" s="19" t="n">
        <v>226359884</v>
      </c>
      <c r="W630" s="17" t="s">
        <v>142</v>
      </c>
      <c r="X630" s="17" t="n">
        <v>0</v>
      </c>
      <c r="Y630" s="17"/>
      <c r="Z630" s="17" t="n">
        <v>0</v>
      </c>
      <c r="AA630" s="17" t="s">
        <v>38</v>
      </c>
      <c r="AB630" s="17"/>
    </row>
    <row r="631" customFormat="false" ht="15" hidden="false" customHeight="false" outlineLevel="0" collapsed="false">
      <c r="A631" s="1" t="str">
        <f aca="false">OFFSET(Table22,630,14,1,1)&amp;OFFSET(Table22,630,21,1,1)</f>
        <v>43358226360034</v>
      </c>
      <c r="B631" s="1" t="str">
        <f aca="false">OFFSET(Table22,630,14,1,1)&amp;OFFSET(Table22,630,22,1,1)</f>
        <v>43358Facebook»Developers-Azure Direct-Sponsored Post-Video Ad-Free Account Developer - AI»1x1»30s»SOC»ALL»CPC»BT»D»UNK»SS»NA»Trials_ID</v>
      </c>
      <c r="C631" s="1" t="s">
        <v>28</v>
      </c>
      <c r="D631" s="3" t="n">
        <f aca="false">O631+(7-WEEKDAY(O631))</f>
        <v>43358</v>
      </c>
      <c r="E631" s="1" t="str">
        <f aca="false">VLOOKUP(OFFSET(Table22,630,16,1,1),Key!B:D,2,0)</f>
        <v>France</v>
      </c>
      <c r="F631" s="1" t="str">
        <f aca="false">IF(ISNUMBER(SEARCH("Canvas",U631)),"Link",IF(ISNUMBER(SEARCH("Link",U631)),"Link","Not filled properly"))</f>
        <v>Link</v>
      </c>
      <c r="G631" s="1" t="str">
        <f aca="false">IFERROR(VLOOKUP(OFFSET(Table22,630,21,1,1),OFFSET(Table2,0,1,ROWS(Table2),8),2,0),VLOOKUP(OFFSET(Table22,630,22,1,1),Table2,3,0))</f>
        <v>FRA_gaPMG_AZR_AZR_Q1_19_AzureDirect-Trial-Social</v>
      </c>
      <c r="H631" s="1" t="n">
        <f aca="false">IFERROR(VLOOKUP(OFFSET(Table22,630,21,1,1),OFFSET(Table2,0,1,ROWS(Table2),8),3,0),VLOOKUP(OFFSET(Table22,630,22,1,1),Table2,4,0))</f>
        <v>21356941</v>
      </c>
      <c r="I631" s="2" t="n">
        <f aca="false">IFERROR(VLOOKUP(OFFSET(Table22,630,21,1,1),OFFSET(Table2,0,1,ROWS(Table2),8),4,0),VLOOKUP(OFFSET(Table22,630,22,1,1),Table2,5,0))</f>
        <v>720193</v>
      </c>
      <c r="J631" s="3" t="str">
        <f aca="false">IF(ISNUMBER(SEARCH("FACEBOOK",W631)),"Facebook",IF(ISNUMBER(SEARCH("INSTAGRAM",W631)),"Facebook-Instagram","Look at taxonomy"))</f>
        <v>Facebook</v>
      </c>
      <c r="K631" s="3" t="str">
        <f aca="false">IF(ISNUMBER(SEARCH("Facebook",J631)),"3654128","Not Facebook")</f>
        <v>3654128</v>
      </c>
      <c r="L631" s="3" t="str">
        <f aca="false">IFERROR(VLOOKUP(OFFSET(Table22,630,21,1,1),OFFSET(Table2,0,1,ROWS(Table2),8),7,0),VLOOKUP(OFFSET(Table22,630,22,1,1),Table2,8,0))</f>
        <v>AZR_FreeAcctDeveloperFB-AnimatedAI-Ch3_FRA_1200x1200_VIA_AZRDirect_French_NA_Facebook_STAN_LEA_T3_1</v>
      </c>
      <c r="M631" s="2" t="n">
        <f aca="false">IFERROR(VLOOKUP(OFFSET(Table22,630,21,1,1),OFFSET(Table2,0,1,ROWS(Table2),8),8,0),VLOOKUP(OFFSET(Table22,630,22,1,1),Table2,9,0))</f>
        <v>104537813</v>
      </c>
      <c r="N631" s="15" t="s">
        <v>29</v>
      </c>
      <c r="O631" s="16" t="n">
        <v>43358</v>
      </c>
      <c r="P631" s="17" t="s">
        <v>102</v>
      </c>
      <c r="Q631" s="18" t="s">
        <v>103</v>
      </c>
      <c r="R631" s="17" t="s">
        <v>104</v>
      </c>
      <c r="S631" s="18" t="s">
        <v>33</v>
      </c>
      <c r="T631" s="17" t="s">
        <v>34</v>
      </c>
      <c r="U631" s="18" t="s">
        <v>131</v>
      </c>
      <c r="V631" s="19" t="n">
        <v>226360034</v>
      </c>
      <c r="W631" s="17" t="s">
        <v>143</v>
      </c>
      <c r="X631" s="17" t="n">
        <v>0</v>
      </c>
      <c r="Y631" s="17"/>
      <c r="Z631" s="17" t="n">
        <v>0</v>
      </c>
      <c r="AA631" s="17" t="s">
        <v>38</v>
      </c>
      <c r="AB631" s="17"/>
    </row>
    <row r="632" customFormat="false" ht="15" hidden="false" customHeight="false" outlineLevel="0" collapsed="false">
      <c r="A632" s="1" t="str">
        <f aca="false">OFFSET(Table22,631,14,1,1)&amp;OFFSET(Table22,631,21,1,1)</f>
        <v>43357226360034</v>
      </c>
      <c r="B632" s="1" t="str">
        <f aca="false">OFFSET(Table22,631,14,1,1)&amp;OFFSET(Table22,631,22,1,1)</f>
        <v>43357Facebook»Developers-Azure Direct-Sponsored Post-Video Ad-Free Account Developer - AI»1x1»30s»SOC»ALL»CPC»BT»D»UNK»SS»NA»Trials_ID</v>
      </c>
      <c r="C632" s="1" t="s">
        <v>28</v>
      </c>
      <c r="D632" s="3" t="n">
        <f aca="false">O632+(7-WEEKDAY(O632))</f>
        <v>43358</v>
      </c>
      <c r="E632" s="1" t="str">
        <f aca="false">VLOOKUP(OFFSET(Table22,631,16,1,1),Key!B:D,2,0)</f>
        <v>France</v>
      </c>
      <c r="F632" s="1" t="str">
        <f aca="false">IF(ISNUMBER(SEARCH("Canvas",U632)),"Link",IF(ISNUMBER(SEARCH("Link",U632)),"Link","Not filled properly"))</f>
        <v>Link</v>
      </c>
      <c r="G632" s="1" t="str">
        <f aca="false">IFERROR(VLOOKUP(OFFSET(Table22,631,21,1,1),OFFSET(Table2,0,1,ROWS(Table2),8),2,0),VLOOKUP(OFFSET(Table22,631,22,1,1),Table2,3,0))</f>
        <v>FRA_gaPMG_AZR_AZR_Q1_19_AzureDirect-Trial-Social</v>
      </c>
      <c r="H632" s="1" t="n">
        <f aca="false">IFERROR(VLOOKUP(OFFSET(Table22,631,21,1,1),OFFSET(Table2,0,1,ROWS(Table2),8),3,0),VLOOKUP(OFFSET(Table22,631,22,1,1),Table2,4,0))</f>
        <v>21356941</v>
      </c>
      <c r="I632" s="2" t="n">
        <f aca="false">IFERROR(VLOOKUP(OFFSET(Table22,631,21,1,1),OFFSET(Table2,0,1,ROWS(Table2),8),4,0),VLOOKUP(OFFSET(Table22,631,22,1,1),Table2,5,0))</f>
        <v>720193</v>
      </c>
      <c r="J632" s="3" t="str">
        <f aca="false">IF(ISNUMBER(SEARCH("FACEBOOK",W632)),"Facebook",IF(ISNUMBER(SEARCH("INSTAGRAM",W632)),"Facebook-Instagram","Look at taxonomy"))</f>
        <v>Facebook</v>
      </c>
      <c r="K632" s="3" t="str">
        <f aca="false">IF(ISNUMBER(SEARCH("Facebook",J632)),"3654128","Not Facebook")</f>
        <v>3654128</v>
      </c>
      <c r="L632" s="3" t="str">
        <f aca="false">IFERROR(VLOOKUP(OFFSET(Table22,631,21,1,1),OFFSET(Table2,0,1,ROWS(Table2),8),7,0),VLOOKUP(OFFSET(Table22,631,22,1,1),Table2,8,0))</f>
        <v>AZR_FreeAcctDeveloperFB-AnimatedAI-Ch3_FRA_1200x1200_VIA_AZRDirect_French_NA_Facebook_STAN_LEA_T3_1</v>
      </c>
      <c r="M632" s="2" t="n">
        <f aca="false">IFERROR(VLOOKUP(OFFSET(Table22,631,21,1,1),OFFSET(Table2,0,1,ROWS(Table2),8),8,0),VLOOKUP(OFFSET(Table22,631,22,1,1),Table2,9,0))</f>
        <v>104537813</v>
      </c>
      <c r="N632" s="15" t="s">
        <v>29</v>
      </c>
      <c r="O632" s="16" t="n">
        <v>43357</v>
      </c>
      <c r="P632" s="17" t="s">
        <v>102</v>
      </c>
      <c r="Q632" s="18" t="s">
        <v>103</v>
      </c>
      <c r="R632" s="17" t="s">
        <v>104</v>
      </c>
      <c r="S632" s="18" t="s">
        <v>33</v>
      </c>
      <c r="T632" s="17" t="s">
        <v>34</v>
      </c>
      <c r="U632" s="18" t="s">
        <v>131</v>
      </c>
      <c r="V632" s="19" t="n">
        <v>226360034</v>
      </c>
      <c r="W632" s="17" t="s">
        <v>143</v>
      </c>
      <c r="X632" s="17" t="n">
        <v>0</v>
      </c>
      <c r="Y632" s="17"/>
      <c r="Z632" s="17" t="n">
        <v>0</v>
      </c>
      <c r="AA632" s="17" t="s">
        <v>38</v>
      </c>
      <c r="AB632" s="17"/>
    </row>
    <row r="633" customFormat="false" ht="15" hidden="false" customHeight="false" outlineLevel="0" collapsed="false">
      <c r="A633" s="1" t="str">
        <f aca="false">OFFSET(Table22,632,14,1,1)&amp;OFFSET(Table22,632,21,1,1)</f>
        <v>43356226360034</v>
      </c>
      <c r="B633" s="1" t="str">
        <f aca="false">OFFSET(Table22,632,14,1,1)&amp;OFFSET(Table22,632,22,1,1)</f>
        <v>43356Facebook»Developers-Azure Direct-Sponsored Post-Video Ad-Free Account Developer - AI»1x1»30s»SOC»ALL»CPC»BT»D»UNK»SS»NA»Trials_ID</v>
      </c>
      <c r="C633" s="1" t="s">
        <v>28</v>
      </c>
      <c r="D633" s="3" t="n">
        <f aca="false">O633+(7-WEEKDAY(O633))</f>
        <v>43358</v>
      </c>
      <c r="E633" s="1" t="str">
        <f aca="false">VLOOKUP(OFFSET(Table22,632,16,1,1),Key!B:D,2,0)</f>
        <v>France</v>
      </c>
      <c r="F633" s="1" t="str">
        <f aca="false">IF(ISNUMBER(SEARCH("Canvas",U633)),"Link",IF(ISNUMBER(SEARCH("Link",U633)),"Link","Not filled properly"))</f>
        <v>Link</v>
      </c>
      <c r="G633" s="1" t="str">
        <f aca="false">IFERROR(VLOOKUP(OFFSET(Table22,632,21,1,1),OFFSET(Table2,0,1,ROWS(Table2),8),2,0),VLOOKUP(OFFSET(Table22,632,22,1,1),Table2,3,0))</f>
        <v>FRA_gaPMG_AZR_AZR_Q1_19_AzureDirect-Trial-Social</v>
      </c>
      <c r="H633" s="1" t="n">
        <f aca="false">IFERROR(VLOOKUP(OFFSET(Table22,632,21,1,1),OFFSET(Table2,0,1,ROWS(Table2),8),3,0),VLOOKUP(OFFSET(Table22,632,22,1,1),Table2,4,0))</f>
        <v>21356941</v>
      </c>
      <c r="I633" s="2" t="n">
        <f aca="false">IFERROR(VLOOKUP(OFFSET(Table22,632,21,1,1),OFFSET(Table2,0,1,ROWS(Table2),8),4,0),VLOOKUP(OFFSET(Table22,632,22,1,1),Table2,5,0))</f>
        <v>720193</v>
      </c>
      <c r="J633" s="3" t="str">
        <f aca="false">IF(ISNUMBER(SEARCH("FACEBOOK",W633)),"Facebook",IF(ISNUMBER(SEARCH("INSTAGRAM",W633)),"Facebook-Instagram","Look at taxonomy"))</f>
        <v>Facebook</v>
      </c>
      <c r="K633" s="3" t="str">
        <f aca="false">IF(ISNUMBER(SEARCH("Facebook",J633)),"3654128","Not Facebook")</f>
        <v>3654128</v>
      </c>
      <c r="L633" s="3" t="str">
        <f aca="false">IFERROR(VLOOKUP(OFFSET(Table22,632,21,1,1),OFFSET(Table2,0,1,ROWS(Table2),8),7,0),VLOOKUP(OFFSET(Table22,632,22,1,1),Table2,8,0))</f>
        <v>AZR_FreeAcctDeveloperFB-AnimatedAI-Ch3_FRA_1200x1200_VIA_AZRDirect_French_NA_Facebook_STAN_LEA_T3_1</v>
      </c>
      <c r="M633" s="2" t="n">
        <f aca="false">IFERROR(VLOOKUP(OFFSET(Table22,632,21,1,1),OFFSET(Table2,0,1,ROWS(Table2),8),8,0),VLOOKUP(OFFSET(Table22,632,22,1,1),Table2,9,0))</f>
        <v>104537813</v>
      </c>
      <c r="N633" s="15" t="s">
        <v>29</v>
      </c>
      <c r="O633" s="16" t="n">
        <v>43356</v>
      </c>
      <c r="P633" s="17" t="s">
        <v>102</v>
      </c>
      <c r="Q633" s="18" t="s">
        <v>103</v>
      </c>
      <c r="R633" s="17" t="s">
        <v>104</v>
      </c>
      <c r="S633" s="18" t="s">
        <v>33</v>
      </c>
      <c r="T633" s="17" t="s">
        <v>34</v>
      </c>
      <c r="U633" s="18" t="s">
        <v>131</v>
      </c>
      <c r="V633" s="19" t="n">
        <v>226360034</v>
      </c>
      <c r="W633" s="17" t="s">
        <v>143</v>
      </c>
      <c r="X633" s="17" t="n">
        <v>0</v>
      </c>
      <c r="Y633" s="17"/>
      <c r="Z633" s="17" t="n">
        <v>0</v>
      </c>
      <c r="AA633" s="17" t="s">
        <v>38</v>
      </c>
      <c r="AB633" s="17"/>
    </row>
    <row r="634" customFormat="false" ht="15" hidden="false" customHeight="false" outlineLevel="0" collapsed="false">
      <c r="A634" s="1" t="str">
        <f aca="false">OFFSET(Table22,633,14,1,1)&amp;OFFSET(Table22,633,21,1,1)</f>
        <v>43355226360034</v>
      </c>
      <c r="B634" s="1" t="str">
        <f aca="false">OFFSET(Table22,633,14,1,1)&amp;OFFSET(Table22,633,22,1,1)</f>
        <v>43355Facebook»Developers-Azure Direct-Sponsored Post-Video Ad-Free Account Developer - AI»1x1»30s»SOC»ALL»CPC»BT»D»UNK»SS»NA»Trials_ID</v>
      </c>
      <c r="C634" s="1" t="s">
        <v>28</v>
      </c>
      <c r="D634" s="3" t="n">
        <f aca="false">O634+(7-WEEKDAY(O634))</f>
        <v>43358</v>
      </c>
      <c r="E634" s="1" t="str">
        <f aca="false">VLOOKUP(OFFSET(Table22,633,16,1,1),Key!B:D,2,0)</f>
        <v>France</v>
      </c>
      <c r="F634" s="1" t="str">
        <f aca="false">IF(ISNUMBER(SEARCH("Canvas",U634)),"Link",IF(ISNUMBER(SEARCH("Link",U634)),"Link","Not filled properly"))</f>
        <v>Link</v>
      </c>
      <c r="G634" s="1" t="str">
        <f aca="false">IFERROR(VLOOKUP(OFFSET(Table22,633,21,1,1),OFFSET(Table2,0,1,ROWS(Table2),8),2,0),VLOOKUP(OFFSET(Table22,633,22,1,1),Table2,3,0))</f>
        <v>FRA_gaPMG_AZR_AZR_Q1_19_AzureDirect-Trial-Social</v>
      </c>
      <c r="H634" s="1" t="n">
        <f aca="false">IFERROR(VLOOKUP(OFFSET(Table22,633,21,1,1),OFFSET(Table2,0,1,ROWS(Table2),8),3,0),VLOOKUP(OFFSET(Table22,633,22,1,1),Table2,4,0))</f>
        <v>21356941</v>
      </c>
      <c r="I634" s="2" t="n">
        <f aca="false">IFERROR(VLOOKUP(OFFSET(Table22,633,21,1,1),OFFSET(Table2,0,1,ROWS(Table2),8),4,0),VLOOKUP(OFFSET(Table22,633,22,1,1),Table2,5,0))</f>
        <v>720193</v>
      </c>
      <c r="J634" s="3" t="str">
        <f aca="false">IF(ISNUMBER(SEARCH("FACEBOOK",W634)),"Facebook",IF(ISNUMBER(SEARCH("INSTAGRAM",W634)),"Facebook-Instagram","Look at taxonomy"))</f>
        <v>Facebook</v>
      </c>
      <c r="K634" s="3" t="str">
        <f aca="false">IF(ISNUMBER(SEARCH("Facebook",J634)),"3654128","Not Facebook")</f>
        <v>3654128</v>
      </c>
      <c r="L634" s="3" t="str">
        <f aca="false">IFERROR(VLOOKUP(OFFSET(Table22,633,21,1,1),OFFSET(Table2,0,1,ROWS(Table2),8),7,0),VLOOKUP(OFFSET(Table22,633,22,1,1),Table2,8,0))</f>
        <v>AZR_FreeAcctDeveloperFB-AnimatedAI-Ch3_FRA_1200x1200_VIA_AZRDirect_French_NA_Facebook_STAN_LEA_T3_1</v>
      </c>
      <c r="M634" s="2" t="n">
        <f aca="false">IFERROR(VLOOKUP(OFFSET(Table22,633,21,1,1),OFFSET(Table2,0,1,ROWS(Table2),8),8,0),VLOOKUP(OFFSET(Table22,633,22,1,1),Table2,9,0))</f>
        <v>104537813</v>
      </c>
      <c r="N634" s="15" t="s">
        <v>29</v>
      </c>
      <c r="O634" s="16" t="n">
        <v>43355</v>
      </c>
      <c r="P634" s="17" t="s">
        <v>102</v>
      </c>
      <c r="Q634" s="18" t="s">
        <v>103</v>
      </c>
      <c r="R634" s="17" t="s">
        <v>104</v>
      </c>
      <c r="S634" s="18" t="s">
        <v>33</v>
      </c>
      <c r="T634" s="17" t="s">
        <v>34</v>
      </c>
      <c r="U634" s="18" t="s">
        <v>131</v>
      </c>
      <c r="V634" s="19" t="n">
        <v>226360034</v>
      </c>
      <c r="W634" s="17" t="s">
        <v>143</v>
      </c>
      <c r="X634" s="17" t="n">
        <v>0</v>
      </c>
      <c r="Y634" s="17"/>
      <c r="Z634" s="17" t="n">
        <v>0</v>
      </c>
      <c r="AA634" s="17" t="s">
        <v>38</v>
      </c>
      <c r="AB634" s="17"/>
    </row>
    <row r="635" customFormat="false" ht="15" hidden="false" customHeight="false" outlineLevel="0" collapsed="false">
      <c r="A635" s="1" t="str">
        <f aca="false">OFFSET(Table22,634,14,1,1)&amp;OFFSET(Table22,634,21,1,1)</f>
        <v>43354226360034</v>
      </c>
      <c r="B635" s="1" t="str">
        <f aca="false">OFFSET(Table22,634,14,1,1)&amp;OFFSET(Table22,634,22,1,1)</f>
        <v>43354Facebook»Developers-Azure Direct-Sponsored Post-Video Ad-Free Account Developer - AI»1x1»30s»SOC»ALL»CPC»BT»D»UNK»SS»NA»Trials_ID</v>
      </c>
      <c r="C635" s="1" t="s">
        <v>28</v>
      </c>
      <c r="D635" s="3" t="n">
        <f aca="false">O635+(7-WEEKDAY(O635))</f>
        <v>43358</v>
      </c>
      <c r="E635" s="1" t="str">
        <f aca="false">VLOOKUP(OFFSET(Table22,634,16,1,1),Key!B:D,2,0)</f>
        <v>France</v>
      </c>
      <c r="F635" s="1" t="str">
        <f aca="false">IF(ISNUMBER(SEARCH("Canvas",U635)),"Link",IF(ISNUMBER(SEARCH("Link",U635)),"Link","Not filled properly"))</f>
        <v>Link</v>
      </c>
      <c r="G635" s="1" t="str">
        <f aca="false">IFERROR(VLOOKUP(OFFSET(Table22,634,21,1,1),OFFSET(Table2,0,1,ROWS(Table2),8),2,0),VLOOKUP(OFFSET(Table22,634,22,1,1),Table2,3,0))</f>
        <v>FRA_gaPMG_AZR_AZR_Q1_19_AzureDirect-Trial-Social</v>
      </c>
      <c r="H635" s="1" t="n">
        <f aca="false">IFERROR(VLOOKUP(OFFSET(Table22,634,21,1,1),OFFSET(Table2,0,1,ROWS(Table2),8),3,0),VLOOKUP(OFFSET(Table22,634,22,1,1),Table2,4,0))</f>
        <v>21356941</v>
      </c>
      <c r="I635" s="2" t="n">
        <f aca="false">IFERROR(VLOOKUP(OFFSET(Table22,634,21,1,1),OFFSET(Table2,0,1,ROWS(Table2),8),4,0),VLOOKUP(OFFSET(Table22,634,22,1,1),Table2,5,0))</f>
        <v>720193</v>
      </c>
      <c r="J635" s="3" t="str">
        <f aca="false">IF(ISNUMBER(SEARCH("FACEBOOK",W635)),"Facebook",IF(ISNUMBER(SEARCH("INSTAGRAM",W635)),"Facebook-Instagram","Look at taxonomy"))</f>
        <v>Facebook</v>
      </c>
      <c r="K635" s="3" t="str">
        <f aca="false">IF(ISNUMBER(SEARCH("Facebook",J635)),"3654128","Not Facebook")</f>
        <v>3654128</v>
      </c>
      <c r="L635" s="3" t="str">
        <f aca="false">IFERROR(VLOOKUP(OFFSET(Table22,634,21,1,1),OFFSET(Table2,0,1,ROWS(Table2),8),7,0),VLOOKUP(OFFSET(Table22,634,22,1,1),Table2,8,0))</f>
        <v>AZR_FreeAcctDeveloperFB-AnimatedAI-Ch3_FRA_1200x1200_VIA_AZRDirect_French_NA_Facebook_STAN_LEA_T3_1</v>
      </c>
      <c r="M635" s="2" t="n">
        <f aca="false">IFERROR(VLOOKUP(OFFSET(Table22,634,21,1,1),OFFSET(Table2,0,1,ROWS(Table2),8),8,0),VLOOKUP(OFFSET(Table22,634,22,1,1),Table2,9,0))</f>
        <v>104537813</v>
      </c>
      <c r="N635" s="15" t="s">
        <v>29</v>
      </c>
      <c r="O635" s="16" t="n">
        <v>43354</v>
      </c>
      <c r="P635" s="17" t="s">
        <v>102</v>
      </c>
      <c r="Q635" s="18" t="s">
        <v>103</v>
      </c>
      <c r="R635" s="17" t="s">
        <v>104</v>
      </c>
      <c r="S635" s="18" t="s">
        <v>33</v>
      </c>
      <c r="T635" s="17" t="s">
        <v>34</v>
      </c>
      <c r="U635" s="18" t="s">
        <v>131</v>
      </c>
      <c r="V635" s="19" t="n">
        <v>226360034</v>
      </c>
      <c r="W635" s="17" t="s">
        <v>143</v>
      </c>
      <c r="X635" s="17" t="n">
        <v>0</v>
      </c>
      <c r="Y635" s="17"/>
      <c r="Z635" s="17" t="n">
        <v>0</v>
      </c>
      <c r="AA635" s="17" t="s">
        <v>38</v>
      </c>
      <c r="AB635" s="17"/>
    </row>
    <row r="636" customFormat="false" ht="15" hidden="false" customHeight="false" outlineLevel="0" collapsed="false">
      <c r="A636" s="1" t="str">
        <f aca="false">OFFSET(Table22,635,14,1,1)&amp;OFFSET(Table22,635,21,1,1)</f>
        <v>43353226360034</v>
      </c>
      <c r="B636" s="1" t="str">
        <f aca="false">OFFSET(Table22,635,14,1,1)&amp;OFFSET(Table22,635,22,1,1)</f>
        <v>43353Facebook»Developers-Azure Direct-Sponsored Post-Video Ad-Free Account Developer - AI»1x1»30s»SOC»ALL»CPC»BT»D»UNK»SS»NA»Trials_ID</v>
      </c>
      <c r="C636" s="1" t="s">
        <v>28</v>
      </c>
      <c r="D636" s="3" t="n">
        <f aca="false">O636+(7-WEEKDAY(O636))</f>
        <v>43358</v>
      </c>
      <c r="E636" s="1" t="str">
        <f aca="false">VLOOKUP(OFFSET(Table22,635,16,1,1),Key!B:D,2,0)</f>
        <v>France</v>
      </c>
      <c r="F636" s="1" t="str">
        <f aca="false">IF(ISNUMBER(SEARCH("Canvas",U636)),"Link",IF(ISNUMBER(SEARCH("Link",U636)),"Link","Not filled properly"))</f>
        <v>Link</v>
      </c>
      <c r="G636" s="1" t="str">
        <f aca="false">IFERROR(VLOOKUP(OFFSET(Table22,635,21,1,1),OFFSET(Table2,0,1,ROWS(Table2),8),2,0),VLOOKUP(OFFSET(Table22,635,22,1,1),Table2,3,0))</f>
        <v>FRA_gaPMG_AZR_AZR_Q1_19_AzureDirect-Trial-Social</v>
      </c>
      <c r="H636" s="1" t="n">
        <f aca="false">IFERROR(VLOOKUP(OFFSET(Table22,635,21,1,1),OFFSET(Table2,0,1,ROWS(Table2),8),3,0),VLOOKUP(OFFSET(Table22,635,22,1,1),Table2,4,0))</f>
        <v>21356941</v>
      </c>
      <c r="I636" s="2" t="n">
        <f aca="false">IFERROR(VLOOKUP(OFFSET(Table22,635,21,1,1),OFFSET(Table2,0,1,ROWS(Table2),8),4,0),VLOOKUP(OFFSET(Table22,635,22,1,1),Table2,5,0))</f>
        <v>720193</v>
      </c>
      <c r="J636" s="3" t="str">
        <f aca="false">IF(ISNUMBER(SEARCH("FACEBOOK",W636)),"Facebook",IF(ISNUMBER(SEARCH("INSTAGRAM",W636)),"Facebook-Instagram","Look at taxonomy"))</f>
        <v>Facebook</v>
      </c>
      <c r="K636" s="3" t="str">
        <f aca="false">IF(ISNUMBER(SEARCH("Facebook",J636)),"3654128","Not Facebook")</f>
        <v>3654128</v>
      </c>
      <c r="L636" s="3" t="str">
        <f aca="false">IFERROR(VLOOKUP(OFFSET(Table22,635,21,1,1),OFFSET(Table2,0,1,ROWS(Table2),8),7,0),VLOOKUP(OFFSET(Table22,635,22,1,1),Table2,8,0))</f>
        <v>AZR_FreeAcctDeveloperFB-AnimatedAI-Ch3_FRA_1200x1200_VIA_AZRDirect_French_NA_Facebook_STAN_LEA_T3_1</v>
      </c>
      <c r="M636" s="2" t="n">
        <f aca="false">IFERROR(VLOOKUP(OFFSET(Table22,635,21,1,1),OFFSET(Table2,0,1,ROWS(Table2),8),8,0),VLOOKUP(OFFSET(Table22,635,22,1,1),Table2,9,0))</f>
        <v>104537813</v>
      </c>
      <c r="N636" s="15" t="s">
        <v>29</v>
      </c>
      <c r="O636" s="16" t="n">
        <v>43353</v>
      </c>
      <c r="P636" s="17" t="s">
        <v>102</v>
      </c>
      <c r="Q636" s="18" t="s">
        <v>103</v>
      </c>
      <c r="R636" s="17" t="s">
        <v>104</v>
      </c>
      <c r="S636" s="18" t="s">
        <v>33</v>
      </c>
      <c r="T636" s="17" t="s">
        <v>34</v>
      </c>
      <c r="U636" s="18" t="s">
        <v>131</v>
      </c>
      <c r="V636" s="19" t="n">
        <v>226360034</v>
      </c>
      <c r="W636" s="17" t="s">
        <v>143</v>
      </c>
      <c r="X636" s="17" t="n">
        <v>0</v>
      </c>
      <c r="Y636" s="17"/>
      <c r="Z636" s="17" t="n">
        <v>0</v>
      </c>
      <c r="AA636" s="17" t="s">
        <v>38</v>
      </c>
      <c r="AB636" s="17"/>
    </row>
    <row r="637" customFormat="false" ht="15" hidden="false" customHeight="false" outlineLevel="0" collapsed="false">
      <c r="A637" s="1" t="str">
        <f aca="false">OFFSET(Table22,636,14,1,1)&amp;OFFSET(Table22,636,21,1,1)</f>
        <v>43352226360034</v>
      </c>
      <c r="B637" s="1" t="str">
        <f aca="false">OFFSET(Table22,636,14,1,1)&amp;OFFSET(Table22,636,22,1,1)</f>
        <v>43352Facebook»Developers-Azure Direct-Sponsored Post-Video Ad-Free Account Developer - AI»1x1»30s»SOC»ALL»CPC»BT»D»UNK»SS»NA»Trials_ID</v>
      </c>
      <c r="C637" s="1" t="s">
        <v>28</v>
      </c>
      <c r="D637" s="3" t="n">
        <f aca="false">O637+(7-WEEKDAY(O637))</f>
        <v>43358</v>
      </c>
      <c r="E637" s="1" t="str">
        <f aca="false">VLOOKUP(OFFSET(Table22,636,16,1,1),Key!B:D,2,0)</f>
        <v>France</v>
      </c>
      <c r="F637" s="1" t="str">
        <f aca="false">IF(ISNUMBER(SEARCH("Canvas",U637)),"Link",IF(ISNUMBER(SEARCH("Link",U637)),"Link","Not filled properly"))</f>
        <v>Link</v>
      </c>
      <c r="G637" s="1" t="str">
        <f aca="false">IFERROR(VLOOKUP(OFFSET(Table22,636,21,1,1),OFFSET(Table2,0,1,ROWS(Table2),8),2,0),VLOOKUP(OFFSET(Table22,636,22,1,1),Table2,3,0))</f>
        <v>FRA_gaPMG_AZR_AZR_Q1_19_AzureDirect-Trial-Social</v>
      </c>
      <c r="H637" s="1" t="n">
        <f aca="false">IFERROR(VLOOKUP(OFFSET(Table22,636,21,1,1),OFFSET(Table2,0,1,ROWS(Table2),8),3,0),VLOOKUP(OFFSET(Table22,636,22,1,1),Table2,4,0))</f>
        <v>21356941</v>
      </c>
      <c r="I637" s="2" t="n">
        <f aca="false">IFERROR(VLOOKUP(OFFSET(Table22,636,21,1,1),OFFSET(Table2,0,1,ROWS(Table2),8),4,0),VLOOKUP(OFFSET(Table22,636,22,1,1),Table2,5,0))</f>
        <v>720193</v>
      </c>
      <c r="J637" s="3" t="str">
        <f aca="false">IF(ISNUMBER(SEARCH("FACEBOOK",W637)),"Facebook",IF(ISNUMBER(SEARCH("INSTAGRAM",W637)),"Facebook-Instagram","Look at taxonomy"))</f>
        <v>Facebook</v>
      </c>
      <c r="K637" s="3" t="str">
        <f aca="false">IF(ISNUMBER(SEARCH("Facebook",J637)),"3654128","Not Facebook")</f>
        <v>3654128</v>
      </c>
      <c r="L637" s="3" t="str">
        <f aca="false">IFERROR(VLOOKUP(OFFSET(Table22,636,21,1,1),OFFSET(Table2,0,1,ROWS(Table2),8),7,0),VLOOKUP(OFFSET(Table22,636,22,1,1),Table2,8,0))</f>
        <v>AZR_FreeAcctDeveloperFB-AnimatedAI-Ch3_FRA_1200x1200_VIA_AZRDirect_French_NA_Facebook_STAN_LEA_T3_1</v>
      </c>
      <c r="M637" s="2" t="n">
        <f aca="false">IFERROR(VLOOKUP(OFFSET(Table22,636,21,1,1),OFFSET(Table2,0,1,ROWS(Table2),8),8,0),VLOOKUP(OFFSET(Table22,636,22,1,1),Table2,9,0))</f>
        <v>104537813</v>
      </c>
      <c r="N637" s="15" t="s">
        <v>29</v>
      </c>
      <c r="O637" s="16" t="n">
        <v>43352</v>
      </c>
      <c r="P637" s="17" t="s">
        <v>102</v>
      </c>
      <c r="Q637" s="18" t="s">
        <v>103</v>
      </c>
      <c r="R637" s="17" t="s">
        <v>104</v>
      </c>
      <c r="S637" s="18" t="s">
        <v>33</v>
      </c>
      <c r="T637" s="17" t="s">
        <v>34</v>
      </c>
      <c r="U637" s="18" t="s">
        <v>131</v>
      </c>
      <c r="V637" s="19" t="n">
        <v>226360034</v>
      </c>
      <c r="W637" s="17" t="s">
        <v>143</v>
      </c>
      <c r="X637" s="17" t="n">
        <v>0</v>
      </c>
      <c r="Y637" s="17"/>
      <c r="Z637" s="17" t="n">
        <v>0</v>
      </c>
      <c r="AA637" s="17" t="s">
        <v>38</v>
      </c>
      <c r="AB637" s="17"/>
    </row>
    <row r="638" customFormat="false" ht="15" hidden="false" customHeight="false" outlineLevel="0" collapsed="false">
      <c r="A638" s="1" t="str">
        <f aca="false">OFFSET(Table22,637,14,1,1)&amp;OFFSET(Table22,637,21,1,1)</f>
        <v>43358226420298</v>
      </c>
      <c r="B638" s="1" t="str">
        <f aca="false">OFFSET(Table22,637,14,1,1)&amp;OFFSET(Table22,637,22,1,1)</f>
        <v>43358Facebook»Developers-Azure Direct-Sponsored Post-Video Ad-Free Account Developer - Generic»1x1»30s»SOC»ALL»CPC»BT»D»UNK»SS»NA»Trials_ID</v>
      </c>
      <c r="C638" s="1" t="s">
        <v>28</v>
      </c>
      <c r="D638" s="3" t="n">
        <f aca="false">O638+(7-WEEKDAY(O638))</f>
        <v>43358</v>
      </c>
      <c r="E638" s="1" t="str">
        <f aca="false">VLOOKUP(OFFSET(Table22,637,16,1,1),Key!B:D,2,0)</f>
        <v>France</v>
      </c>
      <c r="F638" s="1" t="str">
        <f aca="false">IF(ISNUMBER(SEARCH("Canvas",U638)),"Link",IF(ISNUMBER(SEARCH("Link",U638)),"Link","Not filled properly"))</f>
        <v>Link</v>
      </c>
      <c r="G638" s="1" t="str">
        <f aca="false">IFERROR(VLOOKUP(OFFSET(Table22,637,21,1,1),OFFSET(Table2,0,1,ROWS(Table2),8),2,0),VLOOKUP(OFFSET(Table22,637,22,1,1),Table2,3,0))</f>
        <v>FRA_gaPMG_AZR_AZR_Q1_19_AzureDirect-Trial-Social</v>
      </c>
      <c r="H638" s="1" t="n">
        <f aca="false">IFERROR(VLOOKUP(OFFSET(Table22,637,21,1,1),OFFSET(Table2,0,1,ROWS(Table2),8),3,0),VLOOKUP(OFFSET(Table22,637,22,1,1),Table2,4,0))</f>
        <v>21356941</v>
      </c>
      <c r="I638" s="2" t="n">
        <f aca="false">IFERROR(VLOOKUP(OFFSET(Table22,637,21,1,1),OFFSET(Table2,0,1,ROWS(Table2),8),4,0),VLOOKUP(OFFSET(Table22,637,22,1,1),Table2,5,0))</f>
        <v>720193</v>
      </c>
      <c r="J638" s="3" t="str">
        <f aca="false">IF(ISNUMBER(SEARCH("FACEBOOK",W638)),"Facebook",IF(ISNUMBER(SEARCH("INSTAGRAM",W638)),"Facebook-Instagram","Look at taxonomy"))</f>
        <v>Facebook</v>
      </c>
      <c r="K638" s="3" t="str">
        <f aca="false">IF(ISNUMBER(SEARCH("Facebook",J638)),"3654128","Not Facebook")</f>
        <v>3654128</v>
      </c>
      <c r="L638" s="3" t="str">
        <f aca="false">IFERROR(VLOOKUP(OFFSET(Table22,637,21,1,1),OFFSET(Table2,0,1,ROWS(Table2),8),7,0),VLOOKUP(OFFSET(Table22,637,22,1,1),Table2,8,0))</f>
        <v>AZR_FreeAcctDeveloperFB-AnimatedGeneric-Ch1_FRA_1200x1200_VIA_AZRDirect_French_NA_Facebook_STAN_LEA_T1_1</v>
      </c>
      <c r="M638" s="2" t="n">
        <f aca="false">IFERROR(VLOOKUP(OFFSET(Table22,637,21,1,1),OFFSET(Table2,0,1,ROWS(Table2),8),8,0),VLOOKUP(OFFSET(Table22,637,22,1,1),Table2,9,0))</f>
        <v>104537129</v>
      </c>
      <c r="N638" s="15" t="s">
        <v>29</v>
      </c>
      <c r="O638" s="16" t="n">
        <v>43358</v>
      </c>
      <c r="P638" s="17" t="s">
        <v>102</v>
      </c>
      <c r="Q638" s="18" t="s">
        <v>103</v>
      </c>
      <c r="R638" s="17" t="s">
        <v>104</v>
      </c>
      <c r="S638" s="18" t="s">
        <v>33</v>
      </c>
      <c r="T638" s="17" t="s">
        <v>34</v>
      </c>
      <c r="U638" s="18" t="s">
        <v>131</v>
      </c>
      <c r="V638" s="19" t="n">
        <v>226420298</v>
      </c>
      <c r="W638" s="17" t="s">
        <v>144</v>
      </c>
      <c r="X638" s="17" t="n">
        <v>0</v>
      </c>
      <c r="Y638" s="17"/>
      <c r="Z638" s="17" t="n">
        <v>0</v>
      </c>
      <c r="AA638" s="17" t="s">
        <v>38</v>
      </c>
      <c r="AB638" s="17"/>
    </row>
    <row r="639" customFormat="false" ht="15" hidden="false" customHeight="false" outlineLevel="0" collapsed="false">
      <c r="A639" s="1" t="str">
        <f aca="false">OFFSET(Table22,638,14,1,1)&amp;OFFSET(Table22,638,21,1,1)</f>
        <v>43357226420298</v>
      </c>
      <c r="B639" s="1" t="str">
        <f aca="false">OFFSET(Table22,638,14,1,1)&amp;OFFSET(Table22,638,22,1,1)</f>
        <v>43357Facebook»Developers-Azure Direct-Sponsored Post-Video Ad-Free Account Developer - Generic»1x1»30s»SOC»ALL»CPC»BT»D»UNK»SS»NA»Trials_ID</v>
      </c>
      <c r="C639" s="1" t="s">
        <v>28</v>
      </c>
      <c r="D639" s="3" t="n">
        <f aca="false">O639+(7-WEEKDAY(O639))</f>
        <v>43358</v>
      </c>
      <c r="E639" s="1" t="str">
        <f aca="false">VLOOKUP(OFFSET(Table22,638,16,1,1),Key!B:D,2,0)</f>
        <v>France</v>
      </c>
      <c r="F639" s="1" t="str">
        <f aca="false">IF(ISNUMBER(SEARCH("Canvas",U639)),"Link",IF(ISNUMBER(SEARCH("Link",U639)),"Link","Not filled properly"))</f>
        <v>Link</v>
      </c>
      <c r="G639" s="1" t="str">
        <f aca="false">IFERROR(VLOOKUP(OFFSET(Table22,638,21,1,1),OFFSET(Table2,0,1,ROWS(Table2),8),2,0),VLOOKUP(OFFSET(Table22,638,22,1,1),Table2,3,0))</f>
        <v>FRA_gaPMG_AZR_AZR_Q1_19_AzureDirect-Trial-Social</v>
      </c>
      <c r="H639" s="1" t="n">
        <f aca="false">IFERROR(VLOOKUP(OFFSET(Table22,638,21,1,1),OFFSET(Table2,0,1,ROWS(Table2),8),3,0),VLOOKUP(OFFSET(Table22,638,22,1,1),Table2,4,0))</f>
        <v>21356941</v>
      </c>
      <c r="I639" s="2" t="n">
        <f aca="false">IFERROR(VLOOKUP(OFFSET(Table22,638,21,1,1),OFFSET(Table2,0,1,ROWS(Table2),8),4,0),VLOOKUP(OFFSET(Table22,638,22,1,1),Table2,5,0))</f>
        <v>720193</v>
      </c>
      <c r="J639" s="3" t="str">
        <f aca="false">IF(ISNUMBER(SEARCH("FACEBOOK",W639)),"Facebook",IF(ISNUMBER(SEARCH("INSTAGRAM",W639)),"Facebook-Instagram","Look at taxonomy"))</f>
        <v>Facebook</v>
      </c>
      <c r="K639" s="3" t="str">
        <f aca="false">IF(ISNUMBER(SEARCH("Facebook",J639)),"3654128","Not Facebook")</f>
        <v>3654128</v>
      </c>
      <c r="L639" s="3" t="str">
        <f aca="false">IFERROR(VLOOKUP(OFFSET(Table22,638,21,1,1),OFFSET(Table2,0,1,ROWS(Table2),8),7,0),VLOOKUP(OFFSET(Table22,638,22,1,1),Table2,8,0))</f>
        <v>AZR_FreeAcctDeveloperFB-AnimatedGeneric-Ch1_FRA_1200x1200_VIA_AZRDirect_French_NA_Facebook_STAN_LEA_T1_1</v>
      </c>
      <c r="M639" s="2" t="n">
        <f aca="false">IFERROR(VLOOKUP(OFFSET(Table22,638,21,1,1),OFFSET(Table2,0,1,ROWS(Table2),8),8,0),VLOOKUP(OFFSET(Table22,638,22,1,1),Table2,9,0))</f>
        <v>104537129</v>
      </c>
      <c r="N639" s="15" t="s">
        <v>29</v>
      </c>
      <c r="O639" s="16" t="n">
        <v>43357</v>
      </c>
      <c r="P639" s="17" t="s">
        <v>102</v>
      </c>
      <c r="Q639" s="18" t="s">
        <v>103</v>
      </c>
      <c r="R639" s="17" t="s">
        <v>104</v>
      </c>
      <c r="S639" s="18" t="s">
        <v>33</v>
      </c>
      <c r="T639" s="17" t="s">
        <v>34</v>
      </c>
      <c r="U639" s="18" t="s">
        <v>131</v>
      </c>
      <c r="V639" s="19" t="n">
        <v>226420298</v>
      </c>
      <c r="W639" s="17" t="s">
        <v>144</v>
      </c>
      <c r="X639" s="17" t="n">
        <v>0</v>
      </c>
      <c r="Y639" s="17"/>
      <c r="Z639" s="17" t="n">
        <v>0</v>
      </c>
      <c r="AA639" s="17" t="s">
        <v>38</v>
      </c>
      <c r="AB639" s="17"/>
    </row>
    <row r="640" customFormat="false" ht="15" hidden="false" customHeight="false" outlineLevel="0" collapsed="false">
      <c r="A640" s="1" t="str">
        <f aca="false">OFFSET(Table22,639,14,1,1)&amp;OFFSET(Table22,639,21,1,1)</f>
        <v>43356226420298</v>
      </c>
      <c r="B640" s="1" t="str">
        <f aca="false">OFFSET(Table22,639,14,1,1)&amp;OFFSET(Table22,639,22,1,1)</f>
        <v>43356Facebook»Developers-Azure Direct-Sponsored Post-Video Ad-Free Account Developer - Generic»1x1»30s»SOC»ALL»CPC»BT»D»UNK»SS»NA»Trials_ID</v>
      </c>
      <c r="C640" s="1" t="s">
        <v>28</v>
      </c>
      <c r="D640" s="3" t="n">
        <f aca="false">O640+(7-WEEKDAY(O640))</f>
        <v>43358</v>
      </c>
      <c r="E640" s="1" t="str">
        <f aca="false">VLOOKUP(OFFSET(Table22,639,16,1,1),Key!B:D,2,0)</f>
        <v>France</v>
      </c>
      <c r="F640" s="1" t="str">
        <f aca="false">IF(ISNUMBER(SEARCH("Canvas",U640)),"Link",IF(ISNUMBER(SEARCH("Link",U640)),"Link","Not filled properly"))</f>
        <v>Link</v>
      </c>
      <c r="G640" s="1" t="str">
        <f aca="false">IFERROR(VLOOKUP(OFFSET(Table22,639,21,1,1),OFFSET(Table2,0,1,ROWS(Table2),8),2,0),VLOOKUP(OFFSET(Table22,639,22,1,1),Table2,3,0))</f>
        <v>FRA_gaPMG_AZR_AZR_Q1_19_AzureDirect-Trial-Social</v>
      </c>
      <c r="H640" s="1" t="n">
        <f aca="false">IFERROR(VLOOKUP(OFFSET(Table22,639,21,1,1),OFFSET(Table2,0,1,ROWS(Table2),8),3,0),VLOOKUP(OFFSET(Table22,639,22,1,1),Table2,4,0))</f>
        <v>21356941</v>
      </c>
      <c r="I640" s="2" t="n">
        <f aca="false">IFERROR(VLOOKUP(OFFSET(Table22,639,21,1,1),OFFSET(Table2,0,1,ROWS(Table2),8),4,0),VLOOKUP(OFFSET(Table22,639,22,1,1),Table2,5,0))</f>
        <v>720193</v>
      </c>
      <c r="J640" s="3" t="str">
        <f aca="false">IF(ISNUMBER(SEARCH("FACEBOOK",W640)),"Facebook",IF(ISNUMBER(SEARCH("INSTAGRAM",W640)),"Facebook-Instagram","Look at taxonomy"))</f>
        <v>Facebook</v>
      </c>
      <c r="K640" s="3" t="str">
        <f aca="false">IF(ISNUMBER(SEARCH("Facebook",J640)),"3654128","Not Facebook")</f>
        <v>3654128</v>
      </c>
      <c r="L640" s="3" t="str">
        <f aca="false">IFERROR(VLOOKUP(OFFSET(Table22,639,21,1,1),OFFSET(Table2,0,1,ROWS(Table2),8),7,0),VLOOKUP(OFFSET(Table22,639,22,1,1),Table2,8,0))</f>
        <v>AZR_FreeAcctDeveloperFB-AnimatedGeneric-Ch1_FRA_1200x1200_VIA_AZRDirect_French_NA_Facebook_STAN_LEA_T1_1</v>
      </c>
      <c r="M640" s="2" t="n">
        <f aca="false">IFERROR(VLOOKUP(OFFSET(Table22,639,21,1,1),OFFSET(Table2,0,1,ROWS(Table2),8),8,0),VLOOKUP(OFFSET(Table22,639,22,1,1),Table2,9,0))</f>
        <v>104537129</v>
      </c>
      <c r="N640" s="15" t="s">
        <v>29</v>
      </c>
      <c r="O640" s="16" t="n">
        <v>43356</v>
      </c>
      <c r="P640" s="17" t="s">
        <v>102</v>
      </c>
      <c r="Q640" s="18" t="s">
        <v>103</v>
      </c>
      <c r="R640" s="17" t="s">
        <v>104</v>
      </c>
      <c r="S640" s="18" t="s">
        <v>33</v>
      </c>
      <c r="T640" s="17" t="s">
        <v>34</v>
      </c>
      <c r="U640" s="18" t="s">
        <v>131</v>
      </c>
      <c r="V640" s="19" t="n">
        <v>226420298</v>
      </c>
      <c r="W640" s="17" t="s">
        <v>144</v>
      </c>
      <c r="X640" s="17" t="n">
        <v>0</v>
      </c>
      <c r="Y640" s="17"/>
      <c r="Z640" s="17" t="n">
        <v>0</v>
      </c>
      <c r="AA640" s="17" t="s">
        <v>38</v>
      </c>
      <c r="AB640" s="17"/>
    </row>
    <row r="641" customFormat="false" ht="15" hidden="false" customHeight="false" outlineLevel="0" collapsed="false">
      <c r="A641" s="1" t="str">
        <f aca="false">OFFSET(Table22,640,14,1,1)&amp;OFFSET(Table22,640,21,1,1)</f>
        <v>43355226420298</v>
      </c>
      <c r="B641" s="1" t="str">
        <f aca="false">OFFSET(Table22,640,14,1,1)&amp;OFFSET(Table22,640,22,1,1)</f>
        <v>43355Facebook»Developers-Azure Direct-Sponsored Post-Video Ad-Free Account Developer - Generic»1x1»30s»SOC»ALL»CPC»BT»D»UNK»SS»NA»Trials_ID</v>
      </c>
      <c r="C641" s="1" t="s">
        <v>28</v>
      </c>
      <c r="D641" s="3" t="n">
        <f aca="false">O641+(7-WEEKDAY(O641))</f>
        <v>43358</v>
      </c>
      <c r="E641" s="1" t="str">
        <f aca="false">VLOOKUP(OFFSET(Table22,640,16,1,1),Key!B:D,2,0)</f>
        <v>France</v>
      </c>
      <c r="F641" s="1" t="str">
        <f aca="false">IF(ISNUMBER(SEARCH("Canvas",U641)),"Link",IF(ISNUMBER(SEARCH("Link",U641)),"Link","Not filled properly"))</f>
        <v>Link</v>
      </c>
      <c r="G641" s="1" t="str">
        <f aca="false">IFERROR(VLOOKUP(OFFSET(Table22,640,21,1,1),OFFSET(Table2,0,1,ROWS(Table2),8),2,0),VLOOKUP(OFFSET(Table22,640,22,1,1),Table2,3,0))</f>
        <v>FRA_gaPMG_AZR_AZR_Q1_19_AzureDirect-Trial-Social</v>
      </c>
      <c r="H641" s="1" t="n">
        <f aca="false">IFERROR(VLOOKUP(OFFSET(Table22,640,21,1,1),OFFSET(Table2,0,1,ROWS(Table2),8),3,0),VLOOKUP(OFFSET(Table22,640,22,1,1),Table2,4,0))</f>
        <v>21356941</v>
      </c>
      <c r="I641" s="2" t="n">
        <f aca="false">IFERROR(VLOOKUP(OFFSET(Table22,640,21,1,1),OFFSET(Table2,0,1,ROWS(Table2),8),4,0),VLOOKUP(OFFSET(Table22,640,22,1,1),Table2,5,0))</f>
        <v>720193</v>
      </c>
      <c r="J641" s="3" t="str">
        <f aca="false">IF(ISNUMBER(SEARCH("FACEBOOK",W641)),"Facebook",IF(ISNUMBER(SEARCH("INSTAGRAM",W641)),"Facebook-Instagram","Look at taxonomy"))</f>
        <v>Facebook</v>
      </c>
      <c r="K641" s="3" t="str">
        <f aca="false">IF(ISNUMBER(SEARCH("Facebook",J641)),"3654128","Not Facebook")</f>
        <v>3654128</v>
      </c>
      <c r="L641" s="3" t="str">
        <f aca="false">IFERROR(VLOOKUP(OFFSET(Table22,640,21,1,1),OFFSET(Table2,0,1,ROWS(Table2),8),7,0),VLOOKUP(OFFSET(Table22,640,22,1,1),Table2,8,0))</f>
        <v>AZR_FreeAcctDeveloperFB-AnimatedGeneric-Ch1_FRA_1200x1200_VIA_AZRDirect_French_NA_Facebook_STAN_LEA_T1_1</v>
      </c>
      <c r="M641" s="2" t="n">
        <f aca="false">IFERROR(VLOOKUP(OFFSET(Table22,640,21,1,1),OFFSET(Table2,0,1,ROWS(Table2),8),8,0),VLOOKUP(OFFSET(Table22,640,22,1,1),Table2,9,0))</f>
        <v>104537129</v>
      </c>
      <c r="N641" s="15" t="s">
        <v>29</v>
      </c>
      <c r="O641" s="16" t="n">
        <v>43355</v>
      </c>
      <c r="P641" s="17" t="s">
        <v>102</v>
      </c>
      <c r="Q641" s="18" t="s">
        <v>103</v>
      </c>
      <c r="R641" s="17" t="s">
        <v>104</v>
      </c>
      <c r="S641" s="18" t="s">
        <v>33</v>
      </c>
      <c r="T641" s="17" t="s">
        <v>34</v>
      </c>
      <c r="U641" s="18" t="s">
        <v>131</v>
      </c>
      <c r="V641" s="19" t="n">
        <v>226420298</v>
      </c>
      <c r="W641" s="17" t="s">
        <v>144</v>
      </c>
      <c r="X641" s="17" t="n">
        <v>0</v>
      </c>
      <c r="Y641" s="17"/>
      <c r="Z641" s="17" t="n">
        <v>0</v>
      </c>
      <c r="AA641" s="17" t="s">
        <v>38</v>
      </c>
      <c r="AB641" s="17"/>
    </row>
    <row r="642" customFormat="false" ht="15" hidden="false" customHeight="false" outlineLevel="0" collapsed="false">
      <c r="A642" s="1" t="str">
        <f aca="false">OFFSET(Table22,641,14,1,1)&amp;OFFSET(Table22,641,21,1,1)</f>
        <v>43354226420298</v>
      </c>
      <c r="B642" s="1" t="str">
        <f aca="false">OFFSET(Table22,641,14,1,1)&amp;OFFSET(Table22,641,22,1,1)</f>
        <v>43354Facebook»Developers-Azure Direct-Sponsored Post-Video Ad-Free Account Developer - Generic»1x1»30s»SOC»ALL»CPC»BT»D»UNK»SS»NA»Trials_ID</v>
      </c>
      <c r="C642" s="1" t="s">
        <v>28</v>
      </c>
      <c r="D642" s="3" t="n">
        <f aca="false">O642+(7-WEEKDAY(O642))</f>
        <v>43358</v>
      </c>
      <c r="E642" s="1" t="str">
        <f aca="false">VLOOKUP(OFFSET(Table22,641,16,1,1),Key!B:D,2,0)</f>
        <v>France</v>
      </c>
      <c r="F642" s="1" t="str">
        <f aca="false">IF(ISNUMBER(SEARCH("Canvas",U642)),"Link",IF(ISNUMBER(SEARCH("Link",U642)),"Link","Not filled properly"))</f>
        <v>Link</v>
      </c>
      <c r="G642" s="1" t="str">
        <f aca="false">IFERROR(VLOOKUP(OFFSET(Table22,641,21,1,1),OFFSET(Table2,0,1,ROWS(Table2),8),2,0),VLOOKUP(OFFSET(Table22,641,22,1,1),Table2,3,0))</f>
        <v>FRA_gaPMG_AZR_AZR_Q1_19_AzureDirect-Trial-Social</v>
      </c>
      <c r="H642" s="1" t="n">
        <f aca="false">IFERROR(VLOOKUP(OFFSET(Table22,641,21,1,1),OFFSET(Table2,0,1,ROWS(Table2),8),3,0),VLOOKUP(OFFSET(Table22,641,22,1,1),Table2,4,0))</f>
        <v>21356941</v>
      </c>
      <c r="I642" s="2" t="n">
        <f aca="false">IFERROR(VLOOKUP(OFFSET(Table22,641,21,1,1),OFFSET(Table2,0,1,ROWS(Table2),8),4,0),VLOOKUP(OFFSET(Table22,641,22,1,1),Table2,5,0))</f>
        <v>720193</v>
      </c>
      <c r="J642" s="3" t="str">
        <f aca="false">IF(ISNUMBER(SEARCH("FACEBOOK",W642)),"Facebook",IF(ISNUMBER(SEARCH("INSTAGRAM",W642)),"Facebook-Instagram","Look at taxonomy"))</f>
        <v>Facebook</v>
      </c>
      <c r="K642" s="3" t="str">
        <f aca="false">IF(ISNUMBER(SEARCH("Facebook",J642)),"3654128","Not Facebook")</f>
        <v>3654128</v>
      </c>
      <c r="L642" s="3" t="str">
        <f aca="false">IFERROR(VLOOKUP(OFFSET(Table22,641,21,1,1),OFFSET(Table2,0,1,ROWS(Table2),8),7,0),VLOOKUP(OFFSET(Table22,641,22,1,1),Table2,8,0))</f>
        <v>AZR_FreeAcctDeveloperFB-AnimatedGeneric-Ch1_FRA_1200x1200_VIA_AZRDirect_French_NA_Facebook_STAN_LEA_T1_1</v>
      </c>
      <c r="M642" s="2" t="n">
        <f aca="false">IFERROR(VLOOKUP(OFFSET(Table22,641,21,1,1),OFFSET(Table2,0,1,ROWS(Table2),8),8,0),VLOOKUP(OFFSET(Table22,641,22,1,1),Table2,9,0))</f>
        <v>104537129</v>
      </c>
      <c r="N642" s="15" t="s">
        <v>29</v>
      </c>
      <c r="O642" s="16" t="n">
        <v>43354</v>
      </c>
      <c r="P642" s="17" t="s">
        <v>102</v>
      </c>
      <c r="Q642" s="18" t="s">
        <v>103</v>
      </c>
      <c r="R642" s="17" t="s">
        <v>104</v>
      </c>
      <c r="S642" s="18" t="s">
        <v>33</v>
      </c>
      <c r="T642" s="17" t="s">
        <v>34</v>
      </c>
      <c r="U642" s="18" t="s">
        <v>131</v>
      </c>
      <c r="V642" s="19" t="n">
        <v>226420298</v>
      </c>
      <c r="W642" s="17" t="s">
        <v>144</v>
      </c>
      <c r="X642" s="17" t="n">
        <v>0</v>
      </c>
      <c r="Y642" s="17"/>
      <c r="Z642" s="17" t="n">
        <v>0</v>
      </c>
      <c r="AA642" s="17" t="s">
        <v>38</v>
      </c>
      <c r="AB642" s="17"/>
    </row>
    <row r="643" customFormat="false" ht="15" hidden="false" customHeight="false" outlineLevel="0" collapsed="false">
      <c r="A643" s="1" t="str">
        <f aca="false">OFFSET(Table22,642,14,1,1)&amp;OFFSET(Table22,642,21,1,1)</f>
        <v>43353226420298</v>
      </c>
      <c r="B643" s="1" t="str">
        <f aca="false">OFFSET(Table22,642,14,1,1)&amp;OFFSET(Table22,642,22,1,1)</f>
        <v>43353Facebook»Developers-Azure Direct-Sponsored Post-Video Ad-Free Account Developer - Generic»1x1»30s»SOC»ALL»CPC»BT»D»UNK»SS»NA»Trials_ID</v>
      </c>
      <c r="C643" s="1" t="s">
        <v>28</v>
      </c>
      <c r="D643" s="3" t="n">
        <f aca="false">O643+(7-WEEKDAY(O643))</f>
        <v>43358</v>
      </c>
      <c r="E643" s="1" t="str">
        <f aca="false">VLOOKUP(OFFSET(Table22,642,16,1,1),Key!B:D,2,0)</f>
        <v>France</v>
      </c>
      <c r="F643" s="1" t="str">
        <f aca="false">IF(ISNUMBER(SEARCH("Canvas",U643)),"Link",IF(ISNUMBER(SEARCH("Link",U643)),"Link","Not filled properly"))</f>
        <v>Link</v>
      </c>
      <c r="G643" s="1" t="str">
        <f aca="false">IFERROR(VLOOKUP(OFFSET(Table22,642,21,1,1),OFFSET(Table2,0,1,ROWS(Table2),8),2,0),VLOOKUP(OFFSET(Table22,642,22,1,1),Table2,3,0))</f>
        <v>FRA_gaPMG_AZR_AZR_Q1_19_AzureDirect-Trial-Social</v>
      </c>
      <c r="H643" s="1" t="n">
        <f aca="false">IFERROR(VLOOKUP(OFFSET(Table22,642,21,1,1),OFFSET(Table2,0,1,ROWS(Table2),8),3,0),VLOOKUP(OFFSET(Table22,642,22,1,1),Table2,4,0))</f>
        <v>21356941</v>
      </c>
      <c r="I643" s="2" t="n">
        <f aca="false">IFERROR(VLOOKUP(OFFSET(Table22,642,21,1,1),OFFSET(Table2,0,1,ROWS(Table2),8),4,0),VLOOKUP(OFFSET(Table22,642,22,1,1),Table2,5,0))</f>
        <v>720193</v>
      </c>
      <c r="J643" s="3" t="str">
        <f aca="false">IF(ISNUMBER(SEARCH("FACEBOOK",W643)),"Facebook",IF(ISNUMBER(SEARCH("INSTAGRAM",W643)),"Facebook-Instagram","Look at taxonomy"))</f>
        <v>Facebook</v>
      </c>
      <c r="K643" s="3" t="str">
        <f aca="false">IF(ISNUMBER(SEARCH("Facebook",J643)),"3654128","Not Facebook")</f>
        <v>3654128</v>
      </c>
      <c r="L643" s="3" t="str">
        <f aca="false">IFERROR(VLOOKUP(OFFSET(Table22,642,21,1,1),OFFSET(Table2,0,1,ROWS(Table2),8),7,0),VLOOKUP(OFFSET(Table22,642,22,1,1),Table2,8,0))</f>
        <v>AZR_FreeAcctDeveloperFB-AnimatedGeneric-Ch1_FRA_1200x1200_VIA_AZRDirect_French_NA_Facebook_STAN_LEA_T1_1</v>
      </c>
      <c r="M643" s="2" t="n">
        <f aca="false">IFERROR(VLOOKUP(OFFSET(Table22,642,21,1,1),OFFSET(Table2,0,1,ROWS(Table2),8),8,0),VLOOKUP(OFFSET(Table22,642,22,1,1),Table2,9,0))</f>
        <v>104537129</v>
      </c>
      <c r="N643" s="15" t="s">
        <v>29</v>
      </c>
      <c r="O643" s="16" t="n">
        <v>43353</v>
      </c>
      <c r="P643" s="17" t="s">
        <v>102</v>
      </c>
      <c r="Q643" s="18" t="s">
        <v>103</v>
      </c>
      <c r="R643" s="17" t="s">
        <v>104</v>
      </c>
      <c r="S643" s="18" t="s">
        <v>33</v>
      </c>
      <c r="T643" s="17" t="s">
        <v>34</v>
      </c>
      <c r="U643" s="18" t="s">
        <v>131</v>
      </c>
      <c r="V643" s="19" t="n">
        <v>226420298</v>
      </c>
      <c r="W643" s="17" t="s">
        <v>144</v>
      </c>
      <c r="X643" s="17" t="n">
        <v>0</v>
      </c>
      <c r="Y643" s="17"/>
      <c r="Z643" s="17" t="n">
        <v>0</v>
      </c>
      <c r="AA643" s="17" t="s">
        <v>38</v>
      </c>
      <c r="AB643" s="17"/>
    </row>
    <row r="644" customFormat="false" ht="15" hidden="false" customHeight="false" outlineLevel="0" collapsed="false">
      <c r="A644" s="1" t="str">
        <f aca="false">OFFSET(Table22,643,14,1,1)&amp;OFFSET(Table22,643,21,1,1)</f>
        <v>43352226420298</v>
      </c>
      <c r="B644" s="1" t="str">
        <f aca="false">OFFSET(Table22,643,14,1,1)&amp;OFFSET(Table22,643,22,1,1)</f>
        <v>43352Facebook»Developers-Azure Direct-Sponsored Post-Video Ad-Free Account Developer - Generic»1x1»30s»SOC»ALL»CPC»BT»D»UNK»SS»NA»Trials_ID</v>
      </c>
      <c r="C644" s="1" t="s">
        <v>28</v>
      </c>
      <c r="D644" s="3" t="n">
        <f aca="false">O644+(7-WEEKDAY(O644))</f>
        <v>43358</v>
      </c>
      <c r="E644" s="1" t="str">
        <f aca="false">VLOOKUP(OFFSET(Table22,643,16,1,1),Key!B:D,2,0)</f>
        <v>France</v>
      </c>
      <c r="F644" s="1" t="str">
        <f aca="false">IF(ISNUMBER(SEARCH("Canvas",U644)),"Link",IF(ISNUMBER(SEARCH("Link",U644)),"Link","Not filled properly"))</f>
        <v>Link</v>
      </c>
      <c r="G644" s="1" t="str">
        <f aca="false">IFERROR(VLOOKUP(OFFSET(Table22,643,21,1,1),OFFSET(Table2,0,1,ROWS(Table2),8),2,0),VLOOKUP(OFFSET(Table22,643,22,1,1),Table2,3,0))</f>
        <v>FRA_gaPMG_AZR_AZR_Q1_19_AzureDirect-Trial-Social</v>
      </c>
      <c r="H644" s="1" t="n">
        <f aca="false">IFERROR(VLOOKUP(OFFSET(Table22,643,21,1,1),OFFSET(Table2,0,1,ROWS(Table2),8),3,0),VLOOKUP(OFFSET(Table22,643,22,1,1),Table2,4,0))</f>
        <v>21356941</v>
      </c>
      <c r="I644" s="2" t="n">
        <f aca="false">IFERROR(VLOOKUP(OFFSET(Table22,643,21,1,1),OFFSET(Table2,0,1,ROWS(Table2),8),4,0),VLOOKUP(OFFSET(Table22,643,22,1,1),Table2,5,0))</f>
        <v>720193</v>
      </c>
      <c r="J644" s="3" t="str">
        <f aca="false">IF(ISNUMBER(SEARCH("FACEBOOK",W644)),"Facebook",IF(ISNUMBER(SEARCH("INSTAGRAM",W644)),"Facebook-Instagram","Look at taxonomy"))</f>
        <v>Facebook</v>
      </c>
      <c r="K644" s="3" t="str">
        <f aca="false">IF(ISNUMBER(SEARCH("Facebook",J644)),"3654128","Not Facebook")</f>
        <v>3654128</v>
      </c>
      <c r="L644" s="3" t="str">
        <f aca="false">IFERROR(VLOOKUP(OFFSET(Table22,643,21,1,1),OFFSET(Table2,0,1,ROWS(Table2),8),7,0),VLOOKUP(OFFSET(Table22,643,22,1,1),Table2,8,0))</f>
        <v>AZR_FreeAcctDeveloperFB-AnimatedGeneric-Ch1_FRA_1200x1200_VIA_AZRDirect_French_NA_Facebook_STAN_LEA_T1_1</v>
      </c>
      <c r="M644" s="2" t="n">
        <f aca="false">IFERROR(VLOOKUP(OFFSET(Table22,643,21,1,1),OFFSET(Table2,0,1,ROWS(Table2),8),8,0),VLOOKUP(OFFSET(Table22,643,22,1,1),Table2,9,0))</f>
        <v>104537129</v>
      </c>
      <c r="N644" s="15" t="s">
        <v>29</v>
      </c>
      <c r="O644" s="16" t="n">
        <v>43352</v>
      </c>
      <c r="P644" s="17" t="s">
        <v>102</v>
      </c>
      <c r="Q644" s="18" t="s">
        <v>103</v>
      </c>
      <c r="R644" s="17" t="s">
        <v>104</v>
      </c>
      <c r="S644" s="18" t="s">
        <v>33</v>
      </c>
      <c r="T644" s="17" t="s">
        <v>34</v>
      </c>
      <c r="U644" s="18" t="s">
        <v>131</v>
      </c>
      <c r="V644" s="19" t="n">
        <v>226420298</v>
      </c>
      <c r="W644" s="17" t="s">
        <v>144</v>
      </c>
      <c r="X644" s="17" t="n">
        <v>0</v>
      </c>
      <c r="Y644" s="17"/>
      <c r="Z644" s="17" t="n">
        <v>0</v>
      </c>
      <c r="AA644" s="17" t="s">
        <v>38</v>
      </c>
      <c r="AB644" s="17"/>
    </row>
    <row r="645" customFormat="false" ht="15" hidden="false" customHeight="false" outlineLevel="0" collapsed="false">
      <c r="A645" s="1" t="str">
        <f aca="false">OFFSET(Table22,644,14,1,1)&amp;OFFSET(Table22,644,21,1,1)</f>
        <v>43358226360028</v>
      </c>
      <c r="B645" s="1" t="str">
        <f aca="false">OFFSET(Table22,644,14,1,1)&amp;OFFSET(Table22,644,22,1,1)</f>
        <v>43358Facebook»Developers-Azure Direct-Sponsored Post-Video Ad-Free Account Developer - Intelligent Data»1x1»30s»SOC»ALL»CPC»BT»D»UNK»SS»NA»Trials_ID</v>
      </c>
      <c r="C645" s="1" t="s">
        <v>28</v>
      </c>
      <c r="D645" s="3" t="n">
        <f aca="false">O645+(7-WEEKDAY(O645))</f>
        <v>43358</v>
      </c>
      <c r="E645" s="1" t="str">
        <f aca="false">VLOOKUP(OFFSET(Table22,644,16,1,1),Key!B:D,2,0)</f>
        <v>France</v>
      </c>
      <c r="F645" s="1" t="str">
        <f aca="false">IF(ISNUMBER(SEARCH("Canvas",U645)),"Link",IF(ISNUMBER(SEARCH("Link",U645)),"Link","Not filled properly"))</f>
        <v>Link</v>
      </c>
      <c r="G645" s="1" t="str">
        <f aca="false">IFERROR(VLOOKUP(OFFSET(Table22,644,21,1,1),OFFSET(Table2,0,1,ROWS(Table2),8),2,0),VLOOKUP(OFFSET(Table22,644,22,1,1),Table2,3,0))</f>
        <v>FRA_gaPMG_AZR_AZR_Q1_19_AzureDirect-Trial-Social</v>
      </c>
      <c r="H645" s="1" t="n">
        <f aca="false">IFERROR(VLOOKUP(OFFSET(Table22,644,21,1,1),OFFSET(Table2,0,1,ROWS(Table2),8),3,0),VLOOKUP(OFFSET(Table22,644,22,1,1),Table2,4,0))</f>
        <v>21356941</v>
      </c>
      <c r="I645" s="2" t="n">
        <f aca="false">IFERROR(VLOOKUP(OFFSET(Table22,644,21,1,1),OFFSET(Table2,0,1,ROWS(Table2),8),4,0),VLOOKUP(OFFSET(Table22,644,22,1,1),Table2,5,0))</f>
        <v>720193</v>
      </c>
      <c r="J645" s="3" t="str">
        <f aca="false">IF(ISNUMBER(SEARCH("FACEBOOK",W645)),"Facebook",IF(ISNUMBER(SEARCH("INSTAGRAM",W645)),"Facebook-Instagram","Look at taxonomy"))</f>
        <v>Facebook</v>
      </c>
      <c r="K645" s="3" t="str">
        <f aca="false">IF(ISNUMBER(SEARCH("Facebook",J645)),"3654128","Not Facebook")</f>
        <v>3654128</v>
      </c>
      <c r="L645" s="3" t="str">
        <f aca="false">IFERROR(VLOOKUP(OFFSET(Table22,644,21,1,1),OFFSET(Table2,0,1,ROWS(Table2),8),7,0),VLOOKUP(OFFSET(Table22,644,22,1,1),Table2,8,0))</f>
        <v>AZR_FreeAcctDeveloperFB-AnimatedData-Ch4_FRA_1200x1200_VIA_AZRDirect_French_NA_Facebook_STAN_LEA_T4_1</v>
      </c>
      <c r="M645" s="2" t="n">
        <f aca="false">IFERROR(VLOOKUP(OFFSET(Table22,644,21,1,1),OFFSET(Table2,0,1,ROWS(Table2),8),8,0),VLOOKUP(OFFSET(Table22,644,22,1,1),Table2,9,0))</f>
        <v>104537816</v>
      </c>
      <c r="N645" s="15" t="s">
        <v>29</v>
      </c>
      <c r="O645" s="16" t="n">
        <v>43358</v>
      </c>
      <c r="P645" s="17" t="s">
        <v>102</v>
      </c>
      <c r="Q645" s="18" t="s">
        <v>103</v>
      </c>
      <c r="R645" s="17" t="s">
        <v>104</v>
      </c>
      <c r="S645" s="18" t="s">
        <v>33</v>
      </c>
      <c r="T645" s="17" t="s">
        <v>34</v>
      </c>
      <c r="U645" s="18" t="s">
        <v>131</v>
      </c>
      <c r="V645" s="19" t="n">
        <v>226360028</v>
      </c>
      <c r="W645" s="17" t="s">
        <v>145</v>
      </c>
      <c r="X645" s="17" t="n">
        <v>0</v>
      </c>
      <c r="Y645" s="17"/>
      <c r="Z645" s="17" t="n">
        <v>0</v>
      </c>
      <c r="AA645" s="17" t="s">
        <v>38</v>
      </c>
      <c r="AB645" s="17"/>
    </row>
    <row r="646" customFormat="false" ht="15" hidden="false" customHeight="false" outlineLevel="0" collapsed="false">
      <c r="A646" s="1" t="str">
        <f aca="false">OFFSET(Table22,645,14,1,1)&amp;OFFSET(Table22,645,21,1,1)</f>
        <v>43357226360028</v>
      </c>
      <c r="B646" s="1" t="str">
        <f aca="false">OFFSET(Table22,645,14,1,1)&amp;OFFSET(Table22,645,22,1,1)</f>
        <v>43357Facebook»Developers-Azure Direct-Sponsored Post-Video Ad-Free Account Developer - Intelligent Data»1x1»30s»SOC»ALL»CPC»BT»D»UNK»SS»NA»Trials_ID</v>
      </c>
      <c r="C646" s="1" t="s">
        <v>28</v>
      </c>
      <c r="D646" s="3" t="n">
        <f aca="false">O646+(7-WEEKDAY(O646))</f>
        <v>43358</v>
      </c>
      <c r="E646" s="1" t="str">
        <f aca="false">VLOOKUP(OFFSET(Table22,645,16,1,1),Key!B:D,2,0)</f>
        <v>France</v>
      </c>
      <c r="F646" s="1" t="str">
        <f aca="false">IF(ISNUMBER(SEARCH("Canvas",U646)),"Link",IF(ISNUMBER(SEARCH("Link",U646)),"Link","Not filled properly"))</f>
        <v>Link</v>
      </c>
      <c r="G646" s="1" t="str">
        <f aca="false">IFERROR(VLOOKUP(OFFSET(Table22,645,21,1,1),OFFSET(Table2,0,1,ROWS(Table2),8),2,0),VLOOKUP(OFFSET(Table22,645,22,1,1),Table2,3,0))</f>
        <v>FRA_gaPMG_AZR_AZR_Q1_19_AzureDirect-Trial-Social</v>
      </c>
      <c r="H646" s="1" t="n">
        <f aca="false">IFERROR(VLOOKUP(OFFSET(Table22,645,21,1,1),OFFSET(Table2,0,1,ROWS(Table2),8),3,0),VLOOKUP(OFFSET(Table22,645,22,1,1),Table2,4,0))</f>
        <v>21356941</v>
      </c>
      <c r="I646" s="2" t="n">
        <f aca="false">IFERROR(VLOOKUP(OFFSET(Table22,645,21,1,1),OFFSET(Table2,0,1,ROWS(Table2),8),4,0),VLOOKUP(OFFSET(Table22,645,22,1,1),Table2,5,0))</f>
        <v>720193</v>
      </c>
      <c r="J646" s="3" t="str">
        <f aca="false">IF(ISNUMBER(SEARCH("FACEBOOK",W646)),"Facebook",IF(ISNUMBER(SEARCH("INSTAGRAM",W646)),"Facebook-Instagram","Look at taxonomy"))</f>
        <v>Facebook</v>
      </c>
      <c r="K646" s="3" t="str">
        <f aca="false">IF(ISNUMBER(SEARCH("Facebook",J646)),"3654128","Not Facebook")</f>
        <v>3654128</v>
      </c>
      <c r="L646" s="3" t="str">
        <f aca="false">IFERROR(VLOOKUP(OFFSET(Table22,645,21,1,1),OFFSET(Table2,0,1,ROWS(Table2),8),7,0),VLOOKUP(OFFSET(Table22,645,22,1,1),Table2,8,0))</f>
        <v>AZR_FreeAcctDeveloperFB-AnimatedData-Ch4_FRA_1200x1200_VIA_AZRDirect_French_NA_Facebook_STAN_LEA_T4_1</v>
      </c>
      <c r="M646" s="2" t="n">
        <f aca="false">IFERROR(VLOOKUP(OFFSET(Table22,645,21,1,1),OFFSET(Table2,0,1,ROWS(Table2),8),8,0),VLOOKUP(OFFSET(Table22,645,22,1,1),Table2,9,0))</f>
        <v>104537816</v>
      </c>
      <c r="N646" s="15" t="s">
        <v>29</v>
      </c>
      <c r="O646" s="16" t="n">
        <v>43357</v>
      </c>
      <c r="P646" s="17" t="s">
        <v>102</v>
      </c>
      <c r="Q646" s="18" t="s">
        <v>103</v>
      </c>
      <c r="R646" s="17" t="s">
        <v>104</v>
      </c>
      <c r="S646" s="18" t="s">
        <v>33</v>
      </c>
      <c r="T646" s="17" t="s">
        <v>34</v>
      </c>
      <c r="U646" s="18" t="s">
        <v>131</v>
      </c>
      <c r="V646" s="19" t="n">
        <v>226360028</v>
      </c>
      <c r="W646" s="17" t="s">
        <v>145</v>
      </c>
      <c r="X646" s="17" t="n">
        <v>0</v>
      </c>
      <c r="Y646" s="17"/>
      <c r="Z646" s="17" t="n">
        <v>0</v>
      </c>
      <c r="AA646" s="17" t="s">
        <v>38</v>
      </c>
      <c r="AB646" s="17"/>
    </row>
    <row r="647" customFormat="false" ht="15" hidden="false" customHeight="false" outlineLevel="0" collapsed="false">
      <c r="A647" s="1" t="str">
        <f aca="false">OFFSET(Table22,646,14,1,1)&amp;OFFSET(Table22,646,21,1,1)</f>
        <v>43356226360028</v>
      </c>
      <c r="B647" s="1" t="str">
        <f aca="false">OFFSET(Table22,646,14,1,1)&amp;OFFSET(Table22,646,22,1,1)</f>
        <v>43356Facebook»Developers-Azure Direct-Sponsored Post-Video Ad-Free Account Developer - Intelligent Data»1x1»30s»SOC»ALL»CPC»BT»D»UNK»SS»NA»Trials_ID</v>
      </c>
      <c r="C647" s="1" t="s">
        <v>28</v>
      </c>
      <c r="D647" s="3" t="n">
        <f aca="false">O647+(7-WEEKDAY(O647))</f>
        <v>43358</v>
      </c>
      <c r="E647" s="1" t="str">
        <f aca="false">VLOOKUP(OFFSET(Table22,646,16,1,1),Key!B:D,2,0)</f>
        <v>France</v>
      </c>
      <c r="F647" s="1" t="str">
        <f aca="false">IF(ISNUMBER(SEARCH("Canvas",U647)),"Link",IF(ISNUMBER(SEARCH("Link",U647)),"Link","Not filled properly"))</f>
        <v>Link</v>
      </c>
      <c r="G647" s="1" t="str">
        <f aca="false">IFERROR(VLOOKUP(OFFSET(Table22,646,21,1,1),OFFSET(Table2,0,1,ROWS(Table2),8),2,0),VLOOKUP(OFFSET(Table22,646,22,1,1),Table2,3,0))</f>
        <v>FRA_gaPMG_AZR_AZR_Q1_19_AzureDirect-Trial-Social</v>
      </c>
      <c r="H647" s="1" t="n">
        <f aca="false">IFERROR(VLOOKUP(OFFSET(Table22,646,21,1,1),OFFSET(Table2,0,1,ROWS(Table2),8),3,0),VLOOKUP(OFFSET(Table22,646,22,1,1),Table2,4,0))</f>
        <v>21356941</v>
      </c>
      <c r="I647" s="2" t="n">
        <f aca="false">IFERROR(VLOOKUP(OFFSET(Table22,646,21,1,1),OFFSET(Table2,0,1,ROWS(Table2),8),4,0),VLOOKUP(OFFSET(Table22,646,22,1,1),Table2,5,0))</f>
        <v>720193</v>
      </c>
      <c r="J647" s="3" t="str">
        <f aca="false">IF(ISNUMBER(SEARCH("FACEBOOK",W647)),"Facebook",IF(ISNUMBER(SEARCH("INSTAGRAM",W647)),"Facebook-Instagram","Look at taxonomy"))</f>
        <v>Facebook</v>
      </c>
      <c r="K647" s="3" t="str">
        <f aca="false">IF(ISNUMBER(SEARCH("Facebook",J647)),"3654128","Not Facebook")</f>
        <v>3654128</v>
      </c>
      <c r="L647" s="3" t="str">
        <f aca="false">IFERROR(VLOOKUP(OFFSET(Table22,646,21,1,1),OFFSET(Table2,0,1,ROWS(Table2),8),7,0),VLOOKUP(OFFSET(Table22,646,22,1,1),Table2,8,0))</f>
        <v>AZR_FreeAcctDeveloperFB-AnimatedData-Ch4_FRA_1200x1200_VIA_AZRDirect_French_NA_Facebook_STAN_LEA_T4_1</v>
      </c>
      <c r="M647" s="2" t="n">
        <f aca="false">IFERROR(VLOOKUP(OFFSET(Table22,646,21,1,1),OFFSET(Table2,0,1,ROWS(Table2),8),8,0),VLOOKUP(OFFSET(Table22,646,22,1,1),Table2,9,0))</f>
        <v>104537816</v>
      </c>
      <c r="N647" s="15" t="s">
        <v>29</v>
      </c>
      <c r="O647" s="16" t="n">
        <v>43356</v>
      </c>
      <c r="P647" s="17" t="s">
        <v>102</v>
      </c>
      <c r="Q647" s="18" t="s">
        <v>103</v>
      </c>
      <c r="R647" s="17" t="s">
        <v>104</v>
      </c>
      <c r="S647" s="18" t="s">
        <v>33</v>
      </c>
      <c r="T647" s="17" t="s">
        <v>34</v>
      </c>
      <c r="U647" s="18" t="s">
        <v>131</v>
      </c>
      <c r="V647" s="19" t="n">
        <v>226360028</v>
      </c>
      <c r="W647" s="17" t="s">
        <v>145</v>
      </c>
      <c r="X647" s="17" t="n">
        <v>0</v>
      </c>
      <c r="Y647" s="17"/>
      <c r="Z647" s="17" t="n">
        <v>0</v>
      </c>
      <c r="AA647" s="17" t="s">
        <v>38</v>
      </c>
      <c r="AB647" s="17"/>
    </row>
    <row r="648" customFormat="false" ht="15" hidden="false" customHeight="false" outlineLevel="0" collapsed="false">
      <c r="A648" s="1" t="str">
        <f aca="false">OFFSET(Table22,647,14,1,1)&amp;OFFSET(Table22,647,21,1,1)</f>
        <v>43355226360028</v>
      </c>
      <c r="B648" s="1" t="str">
        <f aca="false">OFFSET(Table22,647,14,1,1)&amp;OFFSET(Table22,647,22,1,1)</f>
        <v>43355Facebook»Developers-Azure Direct-Sponsored Post-Video Ad-Free Account Developer - Intelligent Data»1x1»30s»SOC»ALL»CPC»BT»D»UNK»SS»NA»Trials_ID</v>
      </c>
      <c r="C648" s="1" t="s">
        <v>28</v>
      </c>
      <c r="D648" s="3" t="n">
        <f aca="false">O648+(7-WEEKDAY(O648))</f>
        <v>43358</v>
      </c>
      <c r="E648" s="1" t="str">
        <f aca="false">VLOOKUP(OFFSET(Table22,647,16,1,1),Key!B:D,2,0)</f>
        <v>France</v>
      </c>
      <c r="F648" s="1" t="str">
        <f aca="false">IF(ISNUMBER(SEARCH("Canvas",U648)),"Link",IF(ISNUMBER(SEARCH("Link",U648)),"Link","Not filled properly"))</f>
        <v>Link</v>
      </c>
      <c r="G648" s="1" t="str">
        <f aca="false">IFERROR(VLOOKUP(OFFSET(Table22,647,21,1,1),OFFSET(Table2,0,1,ROWS(Table2),8),2,0),VLOOKUP(OFFSET(Table22,647,22,1,1),Table2,3,0))</f>
        <v>FRA_gaPMG_AZR_AZR_Q1_19_AzureDirect-Trial-Social</v>
      </c>
      <c r="H648" s="1" t="n">
        <f aca="false">IFERROR(VLOOKUP(OFFSET(Table22,647,21,1,1),OFFSET(Table2,0,1,ROWS(Table2),8),3,0),VLOOKUP(OFFSET(Table22,647,22,1,1),Table2,4,0))</f>
        <v>21356941</v>
      </c>
      <c r="I648" s="2" t="n">
        <f aca="false">IFERROR(VLOOKUP(OFFSET(Table22,647,21,1,1),OFFSET(Table2,0,1,ROWS(Table2),8),4,0),VLOOKUP(OFFSET(Table22,647,22,1,1),Table2,5,0))</f>
        <v>720193</v>
      </c>
      <c r="J648" s="3" t="str">
        <f aca="false">IF(ISNUMBER(SEARCH("FACEBOOK",W648)),"Facebook",IF(ISNUMBER(SEARCH("INSTAGRAM",W648)),"Facebook-Instagram","Look at taxonomy"))</f>
        <v>Facebook</v>
      </c>
      <c r="K648" s="3" t="str">
        <f aca="false">IF(ISNUMBER(SEARCH("Facebook",J648)),"3654128","Not Facebook")</f>
        <v>3654128</v>
      </c>
      <c r="L648" s="3" t="str">
        <f aca="false">IFERROR(VLOOKUP(OFFSET(Table22,647,21,1,1),OFFSET(Table2,0,1,ROWS(Table2),8),7,0),VLOOKUP(OFFSET(Table22,647,22,1,1),Table2,8,0))</f>
        <v>AZR_FreeAcctDeveloperFB-AnimatedData-Ch4_FRA_1200x1200_VIA_AZRDirect_French_NA_Facebook_STAN_LEA_T4_1</v>
      </c>
      <c r="M648" s="2" t="n">
        <f aca="false">IFERROR(VLOOKUP(OFFSET(Table22,647,21,1,1),OFFSET(Table2,0,1,ROWS(Table2),8),8,0),VLOOKUP(OFFSET(Table22,647,22,1,1),Table2,9,0))</f>
        <v>104537816</v>
      </c>
      <c r="N648" s="15" t="s">
        <v>29</v>
      </c>
      <c r="O648" s="16" t="n">
        <v>43355</v>
      </c>
      <c r="P648" s="17" t="s">
        <v>102</v>
      </c>
      <c r="Q648" s="18" t="s">
        <v>103</v>
      </c>
      <c r="R648" s="17" t="s">
        <v>104</v>
      </c>
      <c r="S648" s="18" t="s">
        <v>33</v>
      </c>
      <c r="T648" s="17" t="s">
        <v>34</v>
      </c>
      <c r="U648" s="18" t="s">
        <v>131</v>
      </c>
      <c r="V648" s="19" t="n">
        <v>226360028</v>
      </c>
      <c r="W648" s="17" t="s">
        <v>145</v>
      </c>
      <c r="X648" s="17" t="n">
        <v>0</v>
      </c>
      <c r="Y648" s="17"/>
      <c r="Z648" s="17" t="n">
        <v>0</v>
      </c>
      <c r="AA648" s="17" t="s">
        <v>38</v>
      </c>
      <c r="AB648" s="17"/>
    </row>
    <row r="649" customFormat="false" ht="15" hidden="false" customHeight="false" outlineLevel="0" collapsed="false">
      <c r="A649" s="1" t="str">
        <f aca="false">OFFSET(Table22,648,14,1,1)&amp;OFFSET(Table22,648,21,1,1)</f>
        <v>43354226360028</v>
      </c>
      <c r="B649" s="1" t="str">
        <f aca="false">OFFSET(Table22,648,14,1,1)&amp;OFFSET(Table22,648,22,1,1)</f>
        <v>43354Facebook»Developers-Azure Direct-Sponsored Post-Video Ad-Free Account Developer - Intelligent Data»1x1»30s»SOC»ALL»CPC»BT»D»UNK»SS»NA»Trials_ID</v>
      </c>
      <c r="C649" s="1" t="s">
        <v>28</v>
      </c>
      <c r="D649" s="3" t="n">
        <f aca="false">O649+(7-WEEKDAY(O649))</f>
        <v>43358</v>
      </c>
      <c r="E649" s="1" t="str">
        <f aca="false">VLOOKUP(OFFSET(Table22,648,16,1,1),Key!B:D,2,0)</f>
        <v>France</v>
      </c>
      <c r="F649" s="1" t="str">
        <f aca="false">IF(ISNUMBER(SEARCH("Canvas",U649)),"Link",IF(ISNUMBER(SEARCH("Link",U649)),"Link","Not filled properly"))</f>
        <v>Link</v>
      </c>
      <c r="G649" s="1" t="str">
        <f aca="false">IFERROR(VLOOKUP(OFFSET(Table22,648,21,1,1),OFFSET(Table2,0,1,ROWS(Table2),8),2,0),VLOOKUP(OFFSET(Table22,648,22,1,1),Table2,3,0))</f>
        <v>FRA_gaPMG_AZR_AZR_Q1_19_AzureDirect-Trial-Social</v>
      </c>
      <c r="H649" s="1" t="n">
        <f aca="false">IFERROR(VLOOKUP(OFFSET(Table22,648,21,1,1),OFFSET(Table2,0,1,ROWS(Table2),8),3,0),VLOOKUP(OFFSET(Table22,648,22,1,1),Table2,4,0))</f>
        <v>21356941</v>
      </c>
      <c r="I649" s="2" t="n">
        <f aca="false">IFERROR(VLOOKUP(OFFSET(Table22,648,21,1,1),OFFSET(Table2,0,1,ROWS(Table2),8),4,0),VLOOKUP(OFFSET(Table22,648,22,1,1),Table2,5,0))</f>
        <v>720193</v>
      </c>
      <c r="J649" s="3" t="str">
        <f aca="false">IF(ISNUMBER(SEARCH("FACEBOOK",W649)),"Facebook",IF(ISNUMBER(SEARCH("INSTAGRAM",W649)),"Facebook-Instagram","Look at taxonomy"))</f>
        <v>Facebook</v>
      </c>
      <c r="K649" s="3" t="str">
        <f aca="false">IF(ISNUMBER(SEARCH("Facebook",J649)),"3654128","Not Facebook")</f>
        <v>3654128</v>
      </c>
      <c r="L649" s="3" t="str">
        <f aca="false">IFERROR(VLOOKUP(OFFSET(Table22,648,21,1,1),OFFSET(Table2,0,1,ROWS(Table2),8),7,0),VLOOKUP(OFFSET(Table22,648,22,1,1),Table2,8,0))</f>
        <v>AZR_FreeAcctDeveloperFB-AnimatedData-Ch4_FRA_1200x1200_VIA_AZRDirect_French_NA_Facebook_STAN_LEA_T4_1</v>
      </c>
      <c r="M649" s="2" t="n">
        <f aca="false">IFERROR(VLOOKUP(OFFSET(Table22,648,21,1,1),OFFSET(Table2,0,1,ROWS(Table2),8),8,0),VLOOKUP(OFFSET(Table22,648,22,1,1),Table2,9,0))</f>
        <v>104537816</v>
      </c>
      <c r="N649" s="15" t="s">
        <v>29</v>
      </c>
      <c r="O649" s="16" t="n">
        <v>43354</v>
      </c>
      <c r="P649" s="17" t="s">
        <v>102</v>
      </c>
      <c r="Q649" s="18" t="s">
        <v>103</v>
      </c>
      <c r="R649" s="17" t="s">
        <v>104</v>
      </c>
      <c r="S649" s="18" t="s">
        <v>33</v>
      </c>
      <c r="T649" s="17" t="s">
        <v>34</v>
      </c>
      <c r="U649" s="18" t="s">
        <v>131</v>
      </c>
      <c r="V649" s="19" t="n">
        <v>226360028</v>
      </c>
      <c r="W649" s="17" t="s">
        <v>145</v>
      </c>
      <c r="X649" s="17" t="n">
        <v>0</v>
      </c>
      <c r="Y649" s="17"/>
      <c r="Z649" s="17" t="n">
        <v>0</v>
      </c>
      <c r="AA649" s="17" t="s">
        <v>38</v>
      </c>
      <c r="AB649" s="17"/>
    </row>
    <row r="650" customFormat="false" ht="15" hidden="false" customHeight="false" outlineLevel="0" collapsed="false">
      <c r="A650" s="1" t="str">
        <f aca="false">OFFSET(Table22,649,14,1,1)&amp;OFFSET(Table22,649,21,1,1)</f>
        <v>43353226360028</v>
      </c>
      <c r="B650" s="1" t="str">
        <f aca="false">OFFSET(Table22,649,14,1,1)&amp;OFFSET(Table22,649,22,1,1)</f>
        <v>43353Facebook»Developers-Azure Direct-Sponsored Post-Video Ad-Free Account Developer - Intelligent Data»1x1»30s»SOC»ALL»CPC»BT»D»UNK»SS»NA»Trials_ID</v>
      </c>
      <c r="C650" s="1" t="s">
        <v>28</v>
      </c>
      <c r="D650" s="3" t="n">
        <f aca="false">O650+(7-WEEKDAY(O650))</f>
        <v>43358</v>
      </c>
      <c r="E650" s="1" t="str">
        <f aca="false">VLOOKUP(OFFSET(Table22,649,16,1,1),Key!B:D,2,0)</f>
        <v>France</v>
      </c>
      <c r="F650" s="1" t="str">
        <f aca="false">IF(ISNUMBER(SEARCH("Canvas",U650)),"Link",IF(ISNUMBER(SEARCH("Link",U650)),"Link","Not filled properly"))</f>
        <v>Link</v>
      </c>
      <c r="G650" s="1" t="str">
        <f aca="false">IFERROR(VLOOKUP(OFFSET(Table22,649,21,1,1),OFFSET(Table2,0,1,ROWS(Table2),8),2,0),VLOOKUP(OFFSET(Table22,649,22,1,1),Table2,3,0))</f>
        <v>FRA_gaPMG_AZR_AZR_Q1_19_AzureDirect-Trial-Social</v>
      </c>
      <c r="H650" s="1" t="n">
        <f aca="false">IFERROR(VLOOKUP(OFFSET(Table22,649,21,1,1),OFFSET(Table2,0,1,ROWS(Table2),8),3,0),VLOOKUP(OFFSET(Table22,649,22,1,1),Table2,4,0))</f>
        <v>21356941</v>
      </c>
      <c r="I650" s="2" t="n">
        <f aca="false">IFERROR(VLOOKUP(OFFSET(Table22,649,21,1,1),OFFSET(Table2,0,1,ROWS(Table2),8),4,0),VLOOKUP(OFFSET(Table22,649,22,1,1),Table2,5,0))</f>
        <v>720193</v>
      </c>
      <c r="J650" s="3" t="str">
        <f aca="false">IF(ISNUMBER(SEARCH("FACEBOOK",W650)),"Facebook",IF(ISNUMBER(SEARCH("INSTAGRAM",W650)),"Facebook-Instagram","Look at taxonomy"))</f>
        <v>Facebook</v>
      </c>
      <c r="K650" s="3" t="str">
        <f aca="false">IF(ISNUMBER(SEARCH("Facebook",J650)),"3654128","Not Facebook")</f>
        <v>3654128</v>
      </c>
      <c r="L650" s="3" t="str">
        <f aca="false">IFERROR(VLOOKUP(OFFSET(Table22,649,21,1,1),OFFSET(Table2,0,1,ROWS(Table2),8),7,0),VLOOKUP(OFFSET(Table22,649,22,1,1),Table2,8,0))</f>
        <v>AZR_FreeAcctDeveloperFB-AnimatedData-Ch4_FRA_1200x1200_VIA_AZRDirect_French_NA_Facebook_STAN_LEA_T4_1</v>
      </c>
      <c r="M650" s="2" t="n">
        <f aca="false">IFERROR(VLOOKUP(OFFSET(Table22,649,21,1,1),OFFSET(Table2,0,1,ROWS(Table2),8),8,0),VLOOKUP(OFFSET(Table22,649,22,1,1),Table2,9,0))</f>
        <v>104537816</v>
      </c>
      <c r="N650" s="15" t="s">
        <v>29</v>
      </c>
      <c r="O650" s="16" t="n">
        <v>43353</v>
      </c>
      <c r="P650" s="17" t="s">
        <v>102</v>
      </c>
      <c r="Q650" s="18" t="s">
        <v>103</v>
      </c>
      <c r="R650" s="17" t="s">
        <v>104</v>
      </c>
      <c r="S650" s="18" t="s">
        <v>33</v>
      </c>
      <c r="T650" s="17" t="s">
        <v>34</v>
      </c>
      <c r="U650" s="18" t="s">
        <v>131</v>
      </c>
      <c r="V650" s="19" t="n">
        <v>226360028</v>
      </c>
      <c r="W650" s="17" t="s">
        <v>145</v>
      </c>
      <c r="X650" s="17" t="n">
        <v>0</v>
      </c>
      <c r="Y650" s="17"/>
      <c r="Z650" s="17" t="n">
        <v>0</v>
      </c>
      <c r="AA650" s="17" t="s">
        <v>38</v>
      </c>
      <c r="AB650" s="17"/>
    </row>
    <row r="651" customFormat="false" ht="15" hidden="false" customHeight="false" outlineLevel="0" collapsed="false">
      <c r="A651" s="1" t="str">
        <f aca="false">OFFSET(Table22,650,14,1,1)&amp;OFFSET(Table22,650,21,1,1)</f>
        <v>43352226360028</v>
      </c>
      <c r="B651" s="1" t="str">
        <f aca="false">OFFSET(Table22,650,14,1,1)&amp;OFFSET(Table22,650,22,1,1)</f>
        <v>43352Facebook»Developers-Azure Direct-Sponsored Post-Video Ad-Free Account Developer - Intelligent Data»1x1»30s»SOC»ALL»CPC»BT»D»UNK»SS»NA»Trials_ID</v>
      </c>
      <c r="C651" s="1" t="s">
        <v>28</v>
      </c>
      <c r="D651" s="3" t="n">
        <f aca="false">O651+(7-WEEKDAY(O651))</f>
        <v>43358</v>
      </c>
      <c r="E651" s="1" t="str">
        <f aca="false">VLOOKUP(OFFSET(Table22,650,16,1,1),Key!B:D,2,0)</f>
        <v>France</v>
      </c>
      <c r="F651" s="1" t="str">
        <f aca="false">IF(ISNUMBER(SEARCH("Canvas",U651)),"Link",IF(ISNUMBER(SEARCH("Link",U651)),"Link","Not filled properly"))</f>
        <v>Link</v>
      </c>
      <c r="G651" s="1" t="str">
        <f aca="false">IFERROR(VLOOKUP(OFFSET(Table22,650,21,1,1),OFFSET(Table2,0,1,ROWS(Table2),8),2,0),VLOOKUP(OFFSET(Table22,650,22,1,1),Table2,3,0))</f>
        <v>FRA_gaPMG_AZR_AZR_Q1_19_AzureDirect-Trial-Social</v>
      </c>
      <c r="H651" s="1" t="n">
        <f aca="false">IFERROR(VLOOKUP(OFFSET(Table22,650,21,1,1),OFFSET(Table2,0,1,ROWS(Table2),8),3,0),VLOOKUP(OFFSET(Table22,650,22,1,1),Table2,4,0))</f>
        <v>21356941</v>
      </c>
      <c r="I651" s="2" t="n">
        <f aca="false">IFERROR(VLOOKUP(OFFSET(Table22,650,21,1,1),OFFSET(Table2,0,1,ROWS(Table2),8),4,0),VLOOKUP(OFFSET(Table22,650,22,1,1),Table2,5,0))</f>
        <v>720193</v>
      </c>
      <c r="J651" s="3" t="str">
        <f aca="false">IF(ISNUMBER(SEARCH("FACEBOOK",W651)),"Facebook",IF(ISNUMBER(SEARCH("INSTAGRAM",W651)),"Facebook-Instagram","Look at taxonomy"))</f>
        <v>Facebook</v>
      </c>
      <c r="K651" s="3" t="str">
        <f aca="false">IF(ISNUMBER(SEARCH("Facebook",J651)),"3654128","Not Facebook")</f>
        <v>3654128</v>
      </c>
      <c r="L651" s="3" t="str">
        <f aca="false">IFERROR(VLOOKUP(OFFSET(Table22,650,21,1,1),OFFSET(Table2,0,1,ROWS(Table2),8),7,0),VLOOKUP(OFFSET(Table22,650,22,1,1),Table2,8,0))</f>
        <v>AZR_FreeAcctDeveloperFB-AnimatedData-Ch4_FRA_1200x1200_VIA_AZRDirect_French_NA_Facebook_STAN_LEA_T4_1</v>
      </c>
      <c r="M651" s="2" t="n">
        <f aca="false">IFERROR(VLOOKUP(OFFSET(Table22,650,21,1,1),OFFSET(Table2,0,1,ROWS(Table2),8),8,0),VLOOKUP(OFFSET(Table22,650,22,1,1),Table2,9,0))</f>
        <v>104537816</v>
      </c>
      <c r="N651" s="15" t="s">
        <v>29</v>
      </c>
      <c r="O651" s="16" t="n">
        <v>43352</v>
      </c>
      <c r="P651" s="17" t="s">
        <v>102</v>
      </c>
      <c r="Q651" s="18" t="s">
        <v>103</v>
      </c>
      <c r="R651" s="17" t="s">
        <v>104</v>
      </c>
      <c r="S651" s="18" t="s">
        <v>33</v>
      </c>
      <c r="T651" s="17" t="s">
        <v>34</v>
      </c>
      <c r="U651" s="18" t="s">
        <v>131</v>
      </c>
      <c r="V651" s="19" t="n">
        <v>226360028</v>
      </c>
      <c r="W651" s="17" t="s">
        <v>145</v>
      </c>
      <c r="X651" s="17" t="n">
        <v>0</v>
      </c>
      <c r="Y651" s="17"/>
      <c r="Z651" s="17" t="n">
        <v>0</v>
      </c>
      <c r="AA651" s="17" t="s">
        <v>38</v>
      </c>
      <c r="AB651" s="17"/>
    </row>
    <row r="652" customFormat="false" ht="15" hidden="false" customHeight="false" outlineLevel="0" collapsed="false">
      <c r="A652" s="1" t="str">
        <f aca="false">OFFSET(Table22,651,14,1,1)&amp;OFFSET(Table22,651,21,1,1)</f>
        <v>43358226360040</v>
      </c>
      <c r="B652" s="1" t="str">
        <f aca="false">OFFSET(Table22,651,14,1,1)&amp;OFFSET(Table22,651,22,1,1)</f>
        <v>43358Facebook»Developers-Azure Direct-Sponsored Post-Video Ad-Free Account Developer - Open Source»1x1»30s»SOC»ALL»CPC»BT»D»UNK»SS»NA»Trials_ID</v>
      </c>
      <c r="C652" s="1" t="s">
        <v>28</v>
      </c>
      <c r="D652" s="3" t="n">
        <f aca="false">O652+(7-WEEKDAY(O652))</f>
        <v>43358</v>
      </c>
      <c r="E652" s="1" t="str">
        <f aca="false">VLOOKUP(OFFSET(Table22,651,16,1,1),Key!B:D,2,0)</f>
        <v>France</v>
      </c>
      <c r="F652" s="1" t="str">
        <f aca="false">IF(ISNUMBER(SEARCH("Canvas",U652)),"Link",IF(ISNUMBER(SEARCH("Link",U652)),"Link","Not filled properly"))</f>
        <v>Link</v>
      </c>
      <c r="G652" s="1" t="str">
        <f aca="false">IFERROR(VLOOKUP(OFFSET(Table22,651,21,1,1),OFFSET(Table2,0,1,ROWS(Table2),8),2,0),VLOOKUP(OFFSET(Table22,651,22,1,1),Table2,3,0))</f>
        <v>FRA_gaPMG_AZR_AZR_Q1_19_AzureDirect-Trial-Social</v>
      </c>
      <c r="H652" s="1" t="n">
        <f aca="false">IFERROR(VLOOKUP(OFFSET(Table22,651,21,1,1),OFFSET(Table2,0,1,ROWS(Table2),8),3,0),VLOOKUP(OFFSET(Table22,651,22,1,1),Table2,4,0))</f>
        <v>21356941</v>
      </c>
      <c r="I652" s="2" t="n">
        <f aca="false">IFERROR(VLOOKUP(OFFSET(Table22,651,21,1,1),OFFSET(Table2,0,1,ROWS(Table2),8),4,0),VLOOKUP(OFFSET(Table22,651,22,1,1),Table2,5,0))</f>
        <v>720193</v>
      </c>
      <c r="J652" s="3" t="str">
        <f aca="false">IF(ISNUMBER(SEARCH("FACEBOOK",W652)),"Facebook",IF(ISNUMBER(SEARCH("INSTAGRAM",W652)),"Facebook-Instagram","Look at taxonomy"))</f>
        <v>Facebook</v>
      </c>
      <c r="K652" s="3" t="str">
        <f aca="false">IF(ISNUMBER(SEARCH("Facebook",J652)),"3654128","Not Facebook")</f>
        <v>3654128</v>
      </c>
      <c r="L652" s="3" t="str">
        <f aca="false">IFERROR(VLOOKUP(OFFSET(Table22,651,21,1,1),OFFSET(Table2,0,1,ROWS(Table2),8),7,0),VLOOKUP(OFFSET(Table22,651,22,1,1),Table2,8,0))</f>
        <v>AZR_FreeAcctDeveloperFB-AnimatedOpenSource-Ch2_FRA_1200x1200_VIA_AZRDirect_French_NA_Facebook_STAN_LEA_T2_1</v>
      </c>
      <c r="M652" s="2" t="n">
        <f aca="false">IFERROR(VLOOKUP(OFFSET(Table22,651,21,1,1),OFFSET(Table2,0,1,ROWS(Table2),8),8,0),VLOOKUP(OFFSET(Table22,651,22,1,1),Table2,9,0))</f>
        <v>104537132</v>
      </c>
      <c r="N652" s="15" t="s">
        <v>29</v>
      </c>
      <c r="O652" s="16" t="n">
        <v>43358</v>
      </c>
      <c r="P652" s="17" t="s">
        <v>102</v>
      </c>
      <c r="Q652" s="18" t="s">
        <v>103</v>
      </c>
      <c r="R652" s="17" t="s">
        <v>104</v>
      </c>
      <c r="S652" s="18" t="s">
        <v>33</v>
      </c>
      <c r="T652" s="17" t="s">
        <v>34</v>
      </c>
      <c r="U652" s="18" t="s">
        <v>131</v>
      </c>
      <c r="V652" s="19" t="n">
        <v>226360040</v>
      </c>
      <c r="W652" s="17" t="s">
        <v>146</v>
      </c>
      <c r="X652" s="17" t="n">
        <v>0</v>
      </c>
      <c r="Y652" s="17"/>
      <c r="Z652" s="17" t="n">
        <v>0</v>
      </c>
      <c r="AA652" s="17" t="s">
        <v>38</v>
      </c>
      <c r="AB652" s="17"/>
    </row>
    <row r="653" customFormat="false" ht="15" hidden="false" customHeight="false" outlineLevel="0" collapsed="false">
      <c r="A653" s="1" t="str">
        <f aca="false">OFFSET(Table22,652,14,1,1)&amp;OFFSET(Table22,652,21,1,1)</f>
        <v>43357226360040</v>
      </c>
      <c r="B653" s="1" t="str">
        <f aca="false">OFFSET(Table22,652,14,1,1)&amp;OFFSET(Table22,652,22,1,1)</f>
        <v>43357Facebook»Developers-Azure Direct-Sponsored Post-Video Ad-Free Account Developer - Open Source»1x1»30s»SOC»ALL»CPC»BT»D»UNK»SS»NA»Trials_ID</v>
      </c>
      <c r="C653" s="1" t="s">
        <v>28</v>
      </c>
      <c r="D653" s="3" t="n">
        <f aca="false">O653+(7-WEEKDAY(O653))</f>
        <v>43358</v>
      </c>
      <c r="E653" s="1" t="str">
        <f aca="false">VLOOKUP(OFFSET(Table22,652,16,1,1),Key!B:D,2,0)</f>
        <v>France</v>
      </c>
      <c r="F653" s="1" t="str">
        <f aca="false">IF(ISNUMBER(SEARCH("Canvas",U653)),"Link",IF(ISNUMBER(SEARCH("Link",U653)),"Link","Not filled properly"))</f>
        <v>Link</v>
      </c>
      <c r="G653" s="1" t="str">
        <f aca="false">IFERROR(VLOOKUP(OFFSET(Table22,652,21,1,1),OFFSET(Table2,0,1,ROWS(Table2),8),2,0),VLOOKUP(OFFSET(Table22,652,22,1,1),Table2,3,0))</f>
        <v>FRA_gaPMG_AZR_AZR_Q1_19_AzureDirect-Trial-Social</v>
      </c>
      <c r="H653" s="1" t="n">
        <f aca="false">IFERROR(VLOOKUP(OFFSET(Table22,652,21,1,1),OFFSET(Table2,0,1,ROWS(Table2),8),3,0),VLOOKUP(OFFSET(Table22,652,22,1,1),Table2,4,0))</f>
        <v>21356941</v>
      </c>
      <c r="I653" s="2" t="n">
        <f aca="false">IFERROR(VLOOKUP(OFFSET(Table22,652,21,1,1),OFFSET(Table2,0,1,ROWS(Table2),8),4,0),VLOOKUP(OFFSET(Table22,652,22,1,1),Table2,5,0))</f>
        <v>720193</v>
      </c>
      <c r="J653" s="3" t="str">
        <f aca="false">IF(ISNUMBER(SEARCH("FACEBOOK",W653)),"Facebook",IF(ISNUMBER(SEARCH("INSTAGRAM",W653)),"Facebook-Instagram","Look at taxonomy"))</f>
        <v>Facebook</v>
      </c>
      <c r="K653" s="3" t="str">
        <f aca="false">IF(ISNUMBER(SEARCH("Facebook",J653)),"3654128","Not Facebook")</f>
        <v>3654128</v>
      </c>
      <c r="L653" s="3" t="str">
        <f aca="false">IFERROR(VLOOKUP(OFFSET(Table22,652,21,1,1),OFFSET(Table2,0,1,ROWS(Table2),8),7,0),VLOOKUP(OFFSET(Table22,652,22,1,1),Table2,8,0))</f>
        <v>AZR_FreeAcctDeveloperFB-AnimatedOpenSource-Ch2_FRA_1200x1200_VIA_AZRDirect_French_NA_Facebook_STAN_LEA_T2_1</v>
      </c>
      <c r="M653" s="2" t="n">
        <f aca="false">IFERROR(VLOOKUP(OFFSET(Table22,652,21,1,1),OFFSET(Table2,0,1,ROWS(Table2),8),8,0),VLOOKUP(OFFSET(Table22,652,22,1,1),Table2,9,0))</f>
        <v>104537132</v>
      </c>
      <c r="N653" s="15" t="s">
        <v>29</v>
      </c>
      <c r="O653" s="16" t="n">
        <v>43357</v>
      </c>
      <c r="P653" s="17" t="s">
        <v>102</v>
      </c>
      <c r="Q653" s="18" t="s">
        <v>103</v>
      </c>
      <c r="R653" s="17" t="s">
        <v>104</v>
      </c>
      <c r="S653" s="18" t="s">
        <v>33</v>
      </c>
      <c r="T653" s="17" t="s">
        <v>34</v>
      </c>
      <c r="U653" s="18" t="s">
        <v>131</v>
      </c>
      <c r="V653" s="19" t="n">
        <v>226360040</v>
      </c>
      <c r="W653" s="17" t="s">
        <v>146</v>
      </c>
      <c r="X653" s="17" t="n">
        <v>0</v>
      </c>
      <c r="Y653" s="17"/>
      <c r="Z653" s="17" t="n">
        <v>0</v>
      </c>
      <c r="AA653" s="17" t="s">
        <v>38</v>
      </c>
      <c r="AB653" s="17"/>
    </row>
    <row r="654" customFormat="false" ht="15" hidden="false" customHeight="false" outlineLevel="0" collapsed="false">
      <c r="A654" s="1" t="str">
        <f aca="false">OFFSET(Table22,653,14,1,1)&amp;OFFSET(Table22,653,21,1,1)</f>
        <v>43356226360040</v>
      </c>
      <c r="B654" s="1" t="str">
        <f aca="false">OFFSET(Table22,653,14,1,1)&amp;OFFSET(Table22,653,22,1,1)</f>
        <v>43356Facebook»Developers-Azure Direct-Sponsored Post-Video Ad-Free Account Developer - Open Source»1x1»30s»SOC»ALL»CPC»BT»D»UNK»SS»NA»Trials_ID</v>
      </c>
      <c r="C654" s="1" t="s">
        <v>28</v>
      </c>
      <c r="D654" s="3" t="n">
        <f aca="false">O654+(7-WEEKDAY(O654))</f>
        <v>43358</v>
      </c>
      <c r="E654" s="1" t="str">
        <f aca="false">VLOOKUP(OFFSET(Table22,653,16,1,1),Key!B:D,2,0)</f>
        <v>France</v>
      </c>
      <c r="F654" s="1" t="str">
        <f aca="false">IF(ISNUMBER(SEARCH("Canvas",U654)),"Link",IF(ISNUMBER(SEARCH("Link",U654)),"Link","Not filled properly"))</f>
        <v>Link</v>
      </c>
      <c r="G654" s="1" t="str">
        <f aca="false">IFERROR(VLOOKUP(OFFSET(Table22,653,21,1,1),OFFSET(Table2,0,1,ROWS(Table2),8),2,0),VLOOKUP(OFFSET(Table22,653,22,1,1),Table2,3,0))</f>
        <v>FRA_gaPMG_AZR_AZR_Q1_19_AzureDirect-Trial-Social</v>
      </c>
      <c r="H654" s="1" t="n">
        <f aca="false">IFERROR(VLOOKUP(OFFSET(Table22,653,21,1,1),OFFSET(Table2,0,1,ROWS(Table2),8),3,0),VLOOKUP(OFFSET(Table22,653,22,1,1),Table2,4,0))</f>
        <v>21356941</v>
      </c>
      <c r="I654" s="2" t="n">
        <f aca="false">IFERROR(VLOOKUP(OFFSET(Table22,653,21,1,1),OFFSET(Table2,0,1,ROWS(Table2),8),4,0),VLOOKUP(OFFSET(Table22,653,22,1,1),Table2,5,0))</f>
        <v>720193</v>
      </c>
      <c r="J654" s="3" t="str">
        <f aca="false">IF(ISNUMBER(SEARCH("FACEBOOK",W654)),"Facebook",IF(ISNUMBER(SEARCH("INSTAGRAM",W654)),"Facebook-Instagram","Look at taxonomy"))</f>
        <v>Facebook</v>
      </c>
      <c r="K654" s="3" t="str">
        <f aca="false">IF(ISNUMBER(SEARCH("Facebook",J654)),"3654128","Not Facebook")</f>
        <v>3654128</v>
      </c>
      <c r="L654" s="3" t="str">
        <f aca="false">IFERROR(VLOOKUP(OFFSET(Table22,653,21,1,1),OFFSET(Table2,0,1,ROWS(Table2),8),7,0),VLOOKUP(OFFSET(Table22,653,22,1,1),Table2,8,0))</f>
        <v>AZR_FreeAcctDeveloperFB-AnimatedOpenSource-Ch2_FRA_1200x1200_VIA_AZRDirect_French_NA_Facebook_STAN_LEA_T2_1</v>
      </c>
      <c r="M654" s="2" t="n">
        <f aca="false">IFERROR(VLOOKUP(OFFSET(Table22,653,21,1,1),OFFSET(Table2,0,1,ROWS(Table2),8),8,0),VLOOKUP(OFFSET(Table22,653,22,1,1),Table2,9,0))</f>
        <v>104537132</v>
      </c>
      <c r="N654" s="15" t="s">
        <v>29</v>
      </c>
      <c r="O654" s="16" t="n">
        <v>43356</v>
      </c>
      <c r="P654" s="17" t="s">
        <v>102</v>
      </c>
      <c r="Q654" s="18" t="s">
        <v>103</v>
      </c>
      <c r="R654" s="17" t="s">
        <v>104</v>
      </c>
      <c r="S654" s="18" t="s">
        <v>33</v>
      </c>
      <c r="T654" s="17" t="s">
        <v>34</v>
      </c>
      <c r="U654" s="18" t="s">
        <v>131</v>
      </c>
      <c r="V654" s="19" t="n">
        <v>226360040</v>
      </c>
      <c r="W654" s="17" t="s">
        <v>146</v>
      </c>
      <c r="X654" s="17" t="n">
        <v>0</v>
      </c>
      <c r="Y654" s="17"/>
      <c r="Z654" s="17" t="n">
        <v>0</v>
      </c>
      <c r="AA654" s="17" t="s">
        <v>38</v>
      </c>
      <c r="AB654" s="17"/>
    </row>
    <row r="655" customFormat="false" ht="15" hidden="false" customHeight="false" outlineLevel="0" collapsed="false">
      <c r="A655" s="1" t="str">
        <f aca="false">OFFSET(Table22,654,14,1,1)&amp;OFFSET(Table22,654,21,1,1)</f>
        <v>43355226360040</v>
      </c>
      <c r="B655" s="1" t="str">
        <f aca="false">OFFSET(Table22,654,14,1,1)&amp;OFFSET(Table22,654,22,1,1)</f>
        <v>43355Facebook»Developers-Azure Direct-Sponsored Post-Video Ad-Free Account Developer - Open Source»1x1»30s»SOC»ALL»CPC»BT»D»UNK»SS»NA»Trials_ID</v>
      </c>
      <c r="C655" s="1" t="s">
        <v>28</v>
      </c>
      <c r="D655" s="3" t="n">
        <f aca="false">O655+(7-WEEKDAY(O655))</f>
        <v>43358</v>
      </c>
      <c r="E655" s="1" t="str">
        <f aca="false">VLOOKUP(OFFSET(Table22,654,16,1,1),Key!B:D,2,0)</f>
        <v>France</v>
      </c>
      <c r="F655" s="1" t="str">
        <f aca="false">IF(ISNUMBER(SEARCH("Canvas",U655)),"Link",IF(ISNUMBER(SEARCH("Link",U655)),"Link","Not filled properly"))</f>
        <v>Link</v>
      </c>
      <c r="G655" s="1" t="str">
        <f aca="false">IFERROR(VLOOKUP(OFFSET(Table22,654,21,1,1),OFFSET(Table2,0,1,ROWS(Table2),8),2,0),VLOOKUP(OFFSET(Table22,654,22,1,1),Table2,3,0))</f>
        <v>FRA_gaPMG_AZR_AZR_Q1_19_AzureDirect-Trial-Social</v>
      </c>
      <c r="H655" s="1" t="n">
        <f aca="false">IFERROR(VLOOKUP(OFFSET(Table22,654,21,1,1),OFFSET(Table2,0,1,ROWS(Table2),8),3,0),VLOOKUP(OFFSET(Table22,654,22,1,1),Table2,4,0))</f>
        <v>21356941</v>
      </c>
      <c r="I655" s="2" t="n">
        <f aca="false">IFERROR(VLOOKUP(OFFSET(Table22,654,21,1,1),OFFSET(Table2,0,1,ROWS(Table2),8),4,0),VLOOKUP(OFFSET(Table22,654,22,1,1),Table2,5,0))</f>
        <v>720193</v>
      </c>
      <c r="J655" s="3" t="str">
        <f aca="false">IF(ISNUMBER(SEARCH("FACEBOOK",W655)),"Facebook",IF(ISNUMBER(SEARCH("INSTAGRAM",W655)),"Facebook-Instagram","Look at taxonomy"))</f>
        <v>Facebook</v>
      </c>
      <c r="K655" s="3" t="str">
        <f aca="false">IF(ISNUMBER(SEARCH("Facebook",J655)),"3654128","Not Facebook")</f>
        <v>3654128</v>
      </c>
      <c r="L655" s="3" t="str">
        <f aca="false">IFERROR(VLOOKUP(OFFSET(Table22,654,21,1,1),OFFSET(Table2,0,1,ROWS(Table2),8),7,0),VLOOKUP(OFFSET(Table22,654,22,1,1),Table2,8,0))</f>
        <v>AZR_FreeAcctDeveloperFB-AnimatedOpenSource-Ch2_FRA_1200x1200_VIA_AZRDirect_French_NA_Facebook_STAN_LEA_T2_1</v>
      </c>
      <c r="M655" s="2" t="n">
        <f aca="false">IFERROR(VLOOKUP(OFFSET(Table22,654,21,1,1),OFFSET(Table2,0,1,ROWS(Table2),8),8,0),VLOOKUP(OFFSET(Table22,654,22,1,1),Table2,9,0))</f>
        <v>104537132</v>
      </c>
      <c r="N655" s="15" t="s">
        <v>29</v>
      </c>
      <c r="O655" s="16" t="n">
        <v>43355</v>
      </c>
      <c r="P655" s="17" t="s">
        <v>102</v>
      </c>
      <c r="Q655" s="18" t="s">
        <v>103</v>
      </c>
      <c r="R655" s="17" t="s">
        <v>104</v>
      </c>
      <c r="S655" s="18" t="s">
        <v>33</v>
      </c>
      <c r="T655" s="17" t="s">
        <v>34</v>
      </c>
      <c r="U655" s="18" t="s">
        <v>131</v>
      </c>
      <c r="V655" s="19" t="n">
        <v>226360040</v>
      </c>
      <c r="W655" s="17" t="s">
        <v>146</v>
      </c>
      <c r="X655" s="17" t="n">
        <v>0</v>
      </c>
      <c r="Y655" s="17"/>
      <c r="Z655" s="17" t="n">
        <v>0</v>
      </c>
      <c r="AA655" s="17" t="s">
        <v>38</v>
      </c>
      <c r="AB655" s="17"/>
    </row>
    <row r="656" customFormat="false" ht="15" hidden="false" customHeight="false" outlineLevel="0" collapsed="false">
      <c r="A656" s="1" t="str">
        <f aca="false">OFFSET(Table22,655,14,1,1)&amp;OFFSET(Table22,655,21,1,1)</f>
        <v>43354226360040</v>
      </c>
      <c r="B656" s="1" t="str">
        <f aca="false">OFFSET(Table22,655,14,1,1)&amp;OFFSET(Table22,655,22,1,1)</f>
        <v>43354Facebook»Developers-Azure Direct-Sponsored Post-Video Ad-Free Account Developer - Open Source»1x1»30s»SOC»ALL»CPC»BT»D»UNK»SS»NA»Trials_ID</v>
      </c>
      <c r="C656" s="1" t="s">
        <v>28</v>
      </c>
      <c r="D656" s="3" t="n">
        <f aca="false">O656+(7-WEEKDAY(O656))</f>
        <v>43358</v>
      </c>
      <c r="E656" s="1" t="str">
        <f aca="false">VLOOKUP(OFFSET(Table22,655,16,1,1),Key!B:D,2,0)</f>
        <v>France</v>
      </c>
      <c r="F656" s="1" t="str">
        <f aca="false">IF(ISNUMBER(SEARCH("Canvas",U656)),"Link",IF(ISNUMBER(SEARCH("Link",U656)),"Link","Not filled properly"))</f>
        <v>Link</v>
      </c>
      <c r="G656" s="1" t="str">
        <f aca="false">IFERROR(VLOOKUP(OFFSET(Table22,655,21,1,1),OFFSET(Table2,0,1,ROWS(Table2),8),2,0),VLOOKUP(OFFSET(Table22,655,22,1,1),Table2,3,0))</f>
        <v>FRA_gaPMG_AZR_AZR_Q1_19_AzureDirect-Trial-Social</v>
      </c>
      <c r="H656" s="1" t="n">
        <f aca="false">IFERROR(VLOOKUP(OFFSET(Table22,655,21,1,1),OFFSET(Table2,0,1,ROWS(Table2),8),3,0),VLOOKUP(OFFSET(Table22,655,22,1,1),Table2,4,0))</f>
        <v>21356941</v>
      </c>
      <c r="I656" s="2" t="n">
        <f aca="false">IFERROR(VLOOKUP(OFFSET(Table22,655,21,1,1),OFFSET(Table2,0,1,ROWS(Table2),8),4,0),VLOOKUP(OFFSET(Table22,655,22,1,1),Table2,5,0))</f>
        <v>720193</v>
      </c>
      <c r="J656" s="3" t="str">
        <f aca="false">IF(ISNUMBER(SEARCH("FACEBOOK",W656)),"Facebook",IF(ISNUMBER(SEARCH("INSTAGRAM",W656)),"Facebook-Instagram","Look at taxonomy"))</f>
        <v>Facebook</v>
      </c>
      <c r="K656" s="3" t="str">
        <f aca="false">IF(ISNUMBER(SEARCH("Facebook",J656)),"3654128","Not Facebook")</f>
        <v>3654128</v>
      </c>
      <c r="L656" s="3" t="str">
        <f aca="false">IFERROR(VLOOKUP(OFFSET(Table22,655,21,1,1),OFFSET(Table2,0,1,ROWS(Table2),8),7,0),VLOOKUP(OFFSET(Table22,655,22,1,1),Table2,8,0))</f>
        <v>AZR_FreeAcctDeveloperFB-AnimatedOpenSource-Ch2_FRA_1200x1200_VIA_AZRDirect_French_NA_Facebook_STAN_LEA_T2_1</v>
      </c>
      <c r="M656" s="2" t="n">
        <f aca="false">IFERROR(VLOOKUP(OFFSET(Table22,655,21,1,1),OFFSET(Table2,0,1,ROWS(Table2),8),8,0),VLOOKUP(OFFSET(Table22,655,22,1,1),Table2,9,0))</f>
        <v>104537132</v>
      </c>
      <c r="N656" s="15" t="s">
        <v>29</v>
      </c>
      <c r="O656" s="16" t="n">
        <v>43354</v>
      </c>
      <c r="P656" s="17" t="s">
        <v>102</v>
      </c>
      <c r="Q656" s="18" t="s">
        <v>103</v>
      </c>
      <c r="R656" s="17" t="s">
        <v>104</v>
      </c>
      <c r="S656" s="18" t="s">
        <v>33</v>
      </c>
      <c r="T656" s="17" t="s">
        <v>34</v>
      </c>
      <c r="U656" s="18" t="s">
        <v>131</v>
      </c>
      <c r="V656" s="19" t="n">
        <v>226360040</v>
      </c>
      <c r="W656" s="17" t="s">
        <v>146</v>
      </c>
      <c r="X656" s="17" t="n">
        <v>0</v>
      </c>
      <c r="Y656" s="17"/>
      <c r="Z656" s="17" t="n">
        <v>0</v>
      </c>
      <c r="AA656" s="17" t="s">
        <v>38</v>
      </c>
      <c r="AB656" s="17"/>
    </row>
    <row r="657" customFormat="false" ht="15" hidden="false" customHeight="false" outlineLevel="0" collapsed="false">
      <c r="A657" s="1" t="str">
        <f aca="false">OFFSET(Table22,656,14,1,1)&amp;OFFSET(Table22,656,21,1,1)</f>
        <v>43353226360040</v>
      </c>
      <c r="B657" s="1" t="str">
        <f aca="false">OFFSET(Table22,656,14,1,1)&amp;OFFSET(Table22,656,22,1,1)</f>
        <v>43353Facebook»Developers-Azure Direct-Sponsored Post-Video Ad-Free Account Developer - Open Source»1x1»30s»SOC»ALL»CPC»BT»D»UNK»SS»NA»Trials_ID</v>
      </c>
      <c r="C657" s="1" t="s">
        <v>28</v>
      </c>
      <c r="D657" s="3" t="n">
        <f aca="false">O657+(7-WEEKDAY(O657))</f>
        <v>43358</v>
      </c>
      <c r="E657" s="1" t="str">
        <f aca="false">VLOOKUP(OFFSET(Table22,656,16,1,1),Key!B:D,2,0)</f>
        <v>France</v>
      </c>
      <c r="F657" s="1" t="str">
        <f aca="false">IF(ISNUMBER(SEARCH("Canvas",U657)),"Link",IF(ISNUMBER(SEARCH("Link",U657)),"Link","Not filled properly"))</f>
        <v>Link</v>
      </c>
      <c r="G657" s="1" t="str">
        <f aca="false">IFERROR(VLOOKUP(OFFSET(Table22,656,21,1,1),OFFSET(Table2,0,1,ROWS(Table2),8),2,0),VLOOKUP(OFFSET(Table22,656,22,1,1),Table2,3,0))</f>
        <v>FRA_gaPMG_AZR_AZR_Q1_19_AzureDirect-Trial-Social</v>
      </c>
      <c r="H657" s="1" t="n">
        <f aca="false">IFERROR(VLOOKUP(OFFSET(Table22,656,21,1,1),OFFSET(Table2,0,1,ROWS(Table2),8),3,0),VLOOKUP(OFFSET(Table22,656,22,1,1),Table2,4,0))</f>
        <v>21356941</v>
      </c>
      <c r="I657" s="2" t="n">
        <f aca="false">IFERROR(VLOOKUP(OFFSET(Table22,656,21,1,1),OFFSET(Table2,0,1,ROWS(Table2),8),4,0),VLOOKUP(OFFSET(Table22,656,22,1,1),Table2,5,0))</f>
        <v>720193</v>
      </c>
      <c r="J657" s="3" t="str">
        <f aca="false">IF(ISNUMBER(SEARCH("FACEBOOK",W657)),"Facebook",IF(ISNUMBER(SEARCH("INSTAGRAM",W657)),"Facebook-Instagram","Look at taxonomy"))</f>
        <v>Facebook</v>
      </c>
      <c r="K657" s="3" t="str">
        <f aca="false">IF(ISNUMBER(SEARCH("Facebook",J657)),"3654128","Not Facebook")</f>
        <v>3654128</v>
      </c>
      <c r="L657" s="3" t="str">
        <f aca="false">IFERROR(VLOOKUP(OFFSET(Table22,656,21,1,1),OFFSET(Table2,0,1,ROWS(Table2),8),7,0),VLOOKUP(OFFSET(Table22,656,22,1,1),Table2,8,0))</f>
        <v>AZR_FreeAcctDeveloperFB-AnimatedOpenSource-Ch2_FRA_1200x1200_VIA_AZRDirect_French_NA_Facebook_STAN_LEA_T2_1</v>
      </c>
      <c r="M657" s="2" t="n">
        <f aca="false">IFERROR(VLOOKUP(OFFSET(Table22,656,21,1,1),OFFSET(Table2,0,1,ROWS(Table2),8),8,0),VLOOKUP(OFFSET(Table22,656,22,1,1),Table2,9,0))</f>
        <v>104537132</v>
      </c>
      <c r="N657" s="15" t="s">
        <v>29</v>
      </c>
      <c r="O657" s="16" t="n">
        <v>43353</v>
      </c>
      <c r="P657" s="17" t="s">
        <v>102</v>
      </c>
      <c r="Q657" s="18" t="s">
        <v>103</v>
      </c>
      <c r="R657" s="17" t="s">
        <v>104</v>
      </c>
      <c r="S657" s="18" t="s">
        <v>33</v>
      </c>
      <c r="T657" s="17" t="s">
        <v>34</v>
      </c>
      <c r="U657" s="18" t="s">
        <v>131</v>
      </c>
      <c r="V657" s="19" t="n">
        <v>226360040</v>
      </c>
      <c r="W657" s="17" t="s">
        <v>146</v>
      </c>
      <c r="X657" s="17" t="n">
        <v>0</v>
      </c>
      <c r="Y657" s="17"/>
      <c r="Z657" s="17" t="n">
        <v>0</v>
      </c>
      <c r="AA657" s="17" t="s">
        <v>38</v>
      </c>
      <c r="AB657" s="17"/>
    </row>
    <row r="658" customFormat="false" ht="15" hidden="false" customHeight="false" outlineLevel="0" collapsed="false">
      <c r="A658" s="1" t="str">
        <f aca="false">OFFSET(Table22,657,14,1,1)&amp;OFFSET(Table22,657,21,1,1)</f>
        <v>43352226360040</v>
      </c>
      <c r="B658" s="1" t="str">
        <f aca="false">OFFSET(Table22,657,14,1,1)&amp;OFFSET(Table22,657,22,1,1)</f>
        <v>43352Facebook»Developers-Azure Direct-Sponsored Post-Video Ad-Free Account Developer - Open Source»1x1»30s»SOC»ALL»CPC»BT»D»UNK»SS»NA»Trials_ID</v>
      </c>
      <c r="C658" s="1" t="s">
        <v>28</v>
      </c>
      <c r="D658" s="3" t="n">
        <f aca="false">O658+(7-WEEKDAY(O658))</f>
        <v>43358</v>
      </c>
      <c r="E658" s="1" t="str">
        <f aca="false">VLOOKUP(OFFSET(Table22,657,16,1,1),Key!B:D,2,0)</f>
        <v>France</v>
      </c>
      <c r="F658" s="1" t="str">
        <f aca="false">IF(ISNUMBER(SEARCH("Canvas",U658)),"Link",IF(ISNUMBER(SEARCH("Link",U658)),"Link","Not filled properly"))</f>
        <v>Link</v>
      </c>
      <c r="G658" s="1" t="str">
        <f aca="false">IFERROR(VLOOKUP(OFFSET(Table22,657,21,1,1),OFFSET(Table2,0,1,ROWS(Table2),8),2,0),VLOOKUP(OFFSET(Table22,657,22,1,1),Table2,3,0))</f>
        <v>FRA_gaPMG_AZR_AZR_Q1_19_AzureDirect-Trial-Social</v>
      </c>
      <c r="H658" s="1" t="n">
        <f aca="false">IFERROR(VLOOKUP(OFFSET(Table22,657,21,1,1),OFFSET(Table2,0,1,ROWS(Table2),8),3,0),VLOOKUP(OFFSET(Table22,657,22,1,1),Table2,4,0))</f>
        <v>21356941</v>
      </c>
      <c r="I658" s="2" t="n">
        <f aca="false">IFERROR(VLOOKUP(OFFSET(Table22,657,21,1,1),OFFSET(Table2,0,1,ROWS(Table2),8),4,0),VLOOKUP(OFFSET(Table22,657,22,1,1),Table2,5,0))</f>
        <v>720193</v>
      </c>
      <c r="J658" s="3" t="str">
        <f aca="false">IF(ISNUMBER(SEARCH("FACEBOOK",W658)),"Facebook",IF(ISNUMBER(SEARCH("INSTAGRAM",W658)),"Facebook-Instagram","Look at taxonomy"))</f>
        <v>Facebook</v>
      </c>
      <c r="K658" s="3" t="str">
        <f aca="false">IF(ISNUMBER(SEARCH("Facebook",J658)),"3654128","Not Facebook")</f>
        <v>3654128</v>
      </c>
      <c r="L658" s="3" t="str">
        <f aca="false">IFERROR(VLOOKUP(OFFSET(Table22,657,21,1,1),OFFSET(Table2,0,1,ROWS(Table2),8),7,0),VLOOKUP(OFFSET(Table22,657,22,1,1),Table2,8,0))</f>
        <v>AZR_FreeAcctDeveloperFB-AnimatedOpenSource-Ch2_FRA_1200x1200_VIA_AZRDirect_French_NA_Facebook_STAN_LEA_T2_1</v>
      </c>
      <c r="M658" s="2" t="n">
        <f aca="false">IFERROR(VLOOKUP(OFFSET(Table22,657,21,1,1),OFFSET(Table2,0,1,ROWS(Table2),8),8,0),VLOOKUP(OFFSET(Table22,657,22,1,1),Table2,9,0))</f>
        <v>104537132</v>
      </c>
      <c r="N658" s="15" t="s">
        <v>29</v>
      </c>
      <c r="O658" s="16" t="n">
        <v>43352</v>
      </c>
      <c r="P658" s="17" t="s">
        <v>102</v>
      </c>
      <c r="Q658" s="18" t="s">
        <v>103</v>
      </c>
      <c r="R658" s="17" t="s">
        <v>104</v>
      </c>
      <c r="S658" s="18" t="s">
        <v>33</v>
      </c>
      <c r="T658" s="17" t="s">
        <v>34</v>
      </c>
      <c r="U658" s="18" t="s">
        <v>131</v>
      </c>
      <c r="V658" s="19" t="n">
        <v>226360040</v>
      </c>
      <c r="W658" s="17" t="s">
        <v>146</v>
      </c>
      <c r="X658" s="17" t="n">
        <v>0</v>
      </c>
      <c r="Y658" s="17"/>
      <c r="Z658" s="17" t="n">
        <v>0</v>
      </c>
      <c r="AA658" s="17" t="s">
        <v>38</v>
      </c>
      <c r="AB658" s="17"/>
    </row>
    <row r="659" customFormat="false" ht="15" hidden="false" customHeight="false" outlineLevel="0" collapsed="false">
      <c r="A659" s="1" t="str">
        <f aca="false">OFFSET(Table22,658,14,1,1)&amp;OFFSET(Table22,658,21,1,1)</f>
        <v>43358226359938</v>
      </c>
      <c r="B659" s="1" t="str">
        <f aca="false">OFFSET(Table22,658,14,1,1)&amp;OFFSET(Table22,658,22,1,1)</f>
        <v>43358Facebook»ITPros-Azure Direct-Sponsored Post_Trial_PayGo-Video Ad-Free Account IT Pro - Hybrid»1x1»30s»SOC»ALL»CPC»LAL»D»UNK»SS»NA»Trials_ID</v>
      </c>
      <c r="C659" s="1" t="s">
        <v>28</v>
      </c>
      <c r="D659" s="3" t="n">
        <f aca="false">O659+(7-WEEKDAY(O659))</f>
        <v>43358</v>
      </c>
      <c r="E659" s="1" t="str">
        <f aca="false">VLOOKUP(OFFSET(Table22,658,16,1,1),Key!B:D,2,0)</f>
        <v>France</v>
      </c>
      <c r="F659" s="1" t="str">
        <f aca="false">IF(ISNUMBER(SEARCH("Canvas",U659)),"Link",IF(ISNUMBER(SEARCH("Link",U659)),"Link","Not filled properly"))</f>
        <v>Link</v>
      </c>
      <c r="G659" s="1" t="str">
        <f aca="false">IFERROR(VLOOKUP(OFFSET(Table22,658,21,1,1),OFFSET(Table2,0,1,ROWS(Table2),8),2,0),VLOOKUP(OFFSET(Table22,658,22,1,1),Table2,3,0))</f>
        <v>FRA_gaPMG_AZR_AZR_Q1_19_AzureDirect-Trial-Social</v>
      </c>
      <c r="H659" s="1" t="n">
        <f aca="false">IFERROR(VLOOKUP(OFFSET(Table22,658,21,1,1),OFFSET(Table2,0,1,ROWS(Table2),8),3,0),VLOOKUP(OFFSET(Table22,658,22,1,1),Table2,4,0))</f>
        <v>21356941</v>
      </c>
      <c r="I659" s="2" t="n">
        <f aca="false">IFERROR(VLOOKUP(OFFSET(Table22,658,21,1,1),OFFSET(Table2,0,1,ROWS(Table2),8),4,0),VLOOKUP(OFFSET(Table22,658,22,1,1),Table2,5,0))</f>
        <v>720193</v>
      </c>
      <c r="J659" s="3" t="str">
        <f aca="false">IF(ISNUMBER(SEARCH("FACEBOOK",W659)),"Facebook",IF(ISNUMBER(SEARCH("INSTAGRAM",W659)),"Facebook-Instagram","Look at taxonomy"))</f>
        <v>Facebook</v>
      </c>
      <c r="K659" s="3" t="str">
        <f aca="false">IF(ISNUMBER(SEARCH("Facebook",J659)),"3654128","Not Facebook")</f>
        <v>3654128</v>
      </c>
      <c r="L659" s="3" t="str">
        <f aca="false">IFERROR(VLOOKUP(OFFSET(Table22,658,21,1,1),OFFSET(Table2,0,1,ROWS(Table2),8),7,0),VLOOKUP(OFFSET(Table22,658,22,1,1),Table2,8,0))</f>
        <v>AZR_FreeAcctITProFB-AnimatedHybrid-Ch2_FRA_1200x1200_VIA_AZRDirect_French_NA_Facebook_STAN_LEA_T2_1</v>
      </c>
      <c r="M659" s="2" t="n">
        <f aca="false">IFERROR(VLOOKUP(OFFSET(Table22,658,21,1,1),OFFSET(Table2,0,1,ROWS(Table2),8),8,0),VLOOKUP(OFFSET(Table22,658,22,1,1),Table2,9,0))</f>
        <v>104456278</v>
      </c>
      <c r="N659" s="15" t="s">
        <v>29</v>
      </c>
      <c r="O659" s="16" t="n">
        <v>43358</v>
      </c>
      <c r="P659" s="17" t="s">
        <v>102</v>
      </c>
      <c r="Q659" s="18" t="s">
        <v>103</v>
      </c>
      <c r="R659" s="17" t="s">
        <v>104</v>
      </c>
      <c r="S659" s="18" t="s">
        <v>33</v>
      </c>
      <c r="T659" s="17" t="s">
        <v>34</v>
      </c>
      <c r="U659" s="18" t="s">
        <v>131</v>
      </c>
      <c r="V659" s="19" t="n">
        <v>226359938</v>
      </c>
      <c r="W659" s="17" t="s">
        <v>147</v>
      </c>
      <c r="X659" s="17" t="n">
        <v>6229</v>
      </c>
      <c r="Y659" s="17" t="n">
        <v>115</v>
      </c>
      <c r="Z659" s="17" t="n">
        <v>44.75</v>
      </c>
      <c r="AA659" s="17" t="s">
        <v>38</v>
      </c>
      <c r="AB659" s="17"/>
    </row>
    <row r="660" customFormat="false" ht="15" hidden="false" customHeight="false" outlineLevel="0" collapsed="false">
      <c r="A660" s="1" t="str">
        <f aca="false">OFFSET(Table22,659,14,1,1)&amp;OFFSET(Table22,659,21,1,1)</f>
        <v>43357226359938</v>
      </c>
      <c r="B660" s="1" t="str">
        <f aca="false">OFFSET(Table22,659,14,1,1)&amp;OFFSET(Table22,659,22,1,1)</f>
        <v>43357Facebook»ITPros-Azure Direct-Sponsored Post_Trial_PayGo-Video Ad-Free Account IT Pro - Hybrid»1x1»30s»SOC»ALL»CPC»LAL»D»UNK»SS»NA»Trials_ID</v>
      </c>
      <c r="C660" s="1" t="s">
        <v>28</v>
      </c>
      <c r="D660" s="3" t="n">
        <f aca="false">O660+(7-WEEKDAY(O660))</f>
        <v>43358</v>
      </c>
      <c r="E660" s="1" t="str">
        <f aca="false">VLOOKUP(OFFSET(Table22,659,16,1,1),Key!B:D,2,0)</f>
        <v>France</v>
      </c>
      <c r="F660" s="1" t="str">
        <f aca="false">IF(ISNUMBER(SEARCH("Canvas",U660)),"Link",IF(ISNUMBER(SEARCH("Link",U660)),"Link","Not filled properly"))</f>
        <v>Link</v>
      </c>
      <c r="G660" s="1" t="str">
        <f aca="false">IFERROR(VLOOKUP(OFFSET(Table22,659,21,1,1),OFFSET(Table2,0,1,ROWS(Table2),8),2,0),VLOOKUP(OFFSET(Table22,659,22,1,1),Table2,3,0))</f>
        <v>FRA_gaPMG_AZR_AZR_Q1_19_AzureDirect-Trial-Social</v>
      </c>
      <c r="H660" s="1" t="n">
        <f aca="false">IFERROR(VLOOKUP(OFFSET(Table22,659,21,1,1),OFFSET(Table2,0,1,ROWS(Table2),8),3,0),VLOOKUP(OFFSET(Table22,659,22,1,1),Table2,4,0))</f>
        <v>21356941</v>
      </c>
      <c r="I660" s="2" t="n">
        <f aca="false">IFERROR(VLOOKUP(OFFSET(Table22,659,21,1,1),OFFSET(Table2,0,1,ROWS(Table2),8),4,0),VLOOKUP(OFFSET(Table22,659,22,1,1),Table2,5,0))</f>
        <v>720193</v>
      </c>
      <c r="J660" s="3" t="str">
        <f aca="false">IF(ISNUMBER(SEARCH("FACEBOOK",W660)),"Facebook",IF(ISNUMBER(SEARCH("INSTAGRAM",W660)),"Facebook-Instagram","Look at taxonomy"))</f>
        <v>Facebook</v>
      </c>
      <c r="K660" s="3" t="str">
        <f aca="false">IF(ISNUMBER(SEARCH("Facebook",J660)),"3654128","Not Facebook")</f>
        <v>3654128</v>
      </c>
      <c r="L660" s="3" t="str">
        <f aca="false">IFERROR(VLOOKUP(OFFSET(Table22,659,21,1,1),OFFSET(Table2,0,1,ROWS(Table2),8),7,0),VLOOKUP(OFFSET(Table22,659,22,1,1),Table2,8,0))</f>
        <v>AZR_FreeAcctITProFB-AnimatedHybrid-Ch2_FRA_1200x1200_VIA_AZRDirect_French_NA_Facebook_STAN_LEA_T2_1</v>
      </c>
      <c r="M660" s="2" t="n">
        <f aca="false">IFERROR(VLOOKUP(OFFSET(Table22,659,21,1,1),OFFSET(Table2,0,1,ROWS(Table2),8),8,0),VLOOKUP(OFFSET(Table22,659,22,1,1),Table2,9,0))</f>
        <v>104456278</v>
      </c>
      <c r="N660" s="15" t="s">
        <v>29</v>
      </c>
      <c r="O660" s="16" t="n">
        <v>43357</v>
      </c>
      <c r="P660" s="17" t="s">
        <v>102</v>
      </c>
      <c r="Q660" s="18" t="s">
        <v>103</v>
      </c>
      <c r="R660" s="17" t="s">
        <v>104</v>
      </c>
      <c r="S660" s="18" t="s">
        <v>33</v>
      </c>
      <c r="T660" s="17" t="s">
        <v>34</v>
      </c>
      <c r="U660" s="18" t="s">
        <v>131</v>
      </c>
      <c r="V660" s="19" t="n">
        <v>226359938</v>
      </c>
      <c r="W660" s="17" t="s">
        <v>147</v>
      </c>
      <c r="X660" s="17" t="n">
        <v>6430</v>
      </c>
      <c r="Y660" s="17" t="n">
        <v>105</v>
      </c>
      <c r="Z660" s="17" t="n">
        <v>44.9</v>
      </c>
      <c r="AA660" s="17" t="s">
        <v>38</v>
      </c>
      <c r="AB660" s="17"/>
    </row>
    <row r="661" customFormat="false" ht="15" hidden="false" customHeight="false" outlineLevel="0" collapsed="false">
      <c r="A661" s="1" t="str">
        <f aca="false">OFFSET(Table22,660,14,1,1)&amp;OFFSET(Table22,660,21,1,1)</f>
        <v>43356226359938</v>
      </c>
      <c r="B661" s="1" t="str">
        <f aca="false">OFFSET(Table22,660,14,1,1)&amp;OFFSET(Table22,660,22,1,1)</f>
        <v>43356Facebook»ITPros-Azure Direct-Sponsored Post_Trial_PayGo-Video Ad-Free Account IT Pro - Hybrid»1x1»30s»SOC»ALL»CPC»LAL»D»UNK»SS»NA»Trials_ID</v>
      </c>
      <c r="C661" s="1" t="s">
        <v>28</v>
      </c>
      <c r="D661" s="3" t="n">
        <f aca="false">O661+(7-WEEKDAY(O661))</f>
        <v>43358</v>
      </c>
      <c r="E661" s="1" t="str">
        <f aca="false">VLOOKUP(OFFSET(Table22,660,16,1,1),Key!B:D,2,0)</f>
        <v>France</v>
      </c>
      <c r="F661" s="1" t="str">
        <f aca="false">IF(ISNUMBER(SEARCH("Canvas",U661)),"Link",IF(ISNUMBER(SEARCH("Link",U661)),"Link","Not filled properly"))</f>
        <v>Link</v>
      </c>
      <c r="G661" s="1" t="str">
        <f aca="false">IFERROR(VLOOKUP(OFFSET(Table22,660,21,1,1),OFFSET(Table2,0,1,ROWS(Table2),8),2,0),VLOOKUP(OFFSET(Table22,660,22,1,1),Table2,3,0))</f>
        <v>FRA_gaPMG_AZR_AZR_Q1_19_AzureDirect-Trial-Social</v>
      </c>
      <c r="H661" s="1" t="n">
        <f aca="false">IFERROR(VLOOKUP(OFFSET(Table22,660,21,1,1),OFFSET(Table2,0,1,ROWS(Table2),8),3,0),VLOOKUP(OFFSET(Table22,660,22,1,1),Table2,4,0))</f>
        <v>21356941</v>
      </c>
      <c r="I661" s="2" t="n">
        <f aca="false">IFERROR(VLOOKUP(OFFSET(Table22,660,21,1,1),OFFSET(Table2,0,1,ROWS(Table2),8),4,0),VLOOKUP(OFFSET(Table22,660,22,1,1),Table2,5,0))</f>
        <v>720193</v>
      </c>
      <c r="J661" s="3" t="str">
        <f aca="false">IF(ISNUMBER(SEARCH("FACEBOOK",W661)),"Facebook",IF(ISNUMBER(SEARCH("INSTAGRAM",W661)),"Facebook-Instagram","Look at taxonomy"))</f>
        <v>Facebook</v>
      </c>
      <c r="K661" s="3" t="str">
        <f aca="false">IF(ISNUMBER(SEARCH("Facebook",J661)),"3654128","Not Facebook")</f>
        <v>3654128</v>
      </c>
      <c r="L661" s="3" t="str">
        <f aca="false">IFERROR(VLOOKUP(OFFSET(Table22,660,21,1,1),OFFSET(Table2,0,1,ROWS(Table2),8),7,0),VLOOKUP(OFFSET(Table22,660,22,1,1),Table2,8,0))</f>
        <v>AZR_FreeAcctITProFB-AnimatedHybrid-Ch2_FRA_1200x1200_VIA_AZRDirect_French_NA_Facebook_STAN_LEA_T2_1</v>
      </c>
      <c r="M661" s="2" t="n">
        <f aca="false">IFERROR(VLOOKUP(OFFSET(Table22,660,21,1,1),OFFSET(Table2,0,1,ROWS(Table2),8),8,0),VLOOKUP(OFFSET(Table22,660,22,1,1),Table2,9,0))</f>
        <v>104456278</v>
      </c>
      <c r="N661" s="15" t="s">
        <v>29</v>
      </c>
      <c r="O661" s="16" t="n">
        <v>43356</v>
      </c>
      <c r="P661" s="17" t="s">
        <v>102</v>
      </c>
      <c r="Q661" s="18" t="s">
        <v>103</v>
      </c>
      <c r="R661" s="17" t="s">
        <v>104</v>
      </c>
      <c r="S661" s="18" t="s">
        <v>33</v>
      </c>
      <c r="T661" s="17" t="s">
        <v>34</v>
      </c>
      <c r="U661" s="18" t="s">
        <v>131</v>
      </c>
      <c r="V661" s="19" t="n">
        <v>226359938</v>
      </c>
      <c r="W661" s="17" t="s">
        <v>147</v>
      </c>
      <c r="X661" s="17" t="n">
        <v>7296</v>
      </c>
      <c r="Y661" s="17" t="n">
        <v>91</v>
      </c>
      <c r="Z661" s="17" t="n">
        <v>44.8</v>
      </c>
      <c r="AA661" s="17" t="s">
        <v>38</v>
      </c>
      <c r="AB661" s="17"/>
    </row>
    <row r="662" customFormat="false" ht="15" hidden="false" customHeight="false" outlineLevel="0" collapsed="false">
      <c r="A662" s="1" t="str">
        <f aca="false">OFFSET(Table22,661,14,1,1)&amp;OFFSET(Table22,661,21,1,1)</f>
        <v>43355226359938</v>
      </c>
      <c r="B662" s="1" t="str">
        <f aca="false">OFFSET(Table22,661,14,1,1)&amp;OFFSET(Table22,661,22,1,1)</f>
        <v>43355Facebook»ITPros-Azure Direct-Sponsored Post_Trial_PayGo-Video Ad-Free Account IT Pro - Hybrid»1x1»30s»SOC»ALL»CPC»LAL»D»UNK»SS»NA»Trials_ID</v>
      </c>
      <c r="C662" s="1" t="s">
        <v>28</v>
      </c>
      <c r="D662" s="3" t="n">
        <f aca="false">O662+(7-WEEKDAY(O662))</f>
        <v>43358</v>
      </c>
      <c r="E662" s="1" t="str">
        <f aca="false">VLOOKUP(OFFSET(Table22,661,16,1,1),Key!B:D,2,0)</f>
        <v>France</v>
      </c>
      <c r="F662" s="1" t="str">
        <f aca="false">IF(ISNUMBER(SEARCH("Canvas",U662)),"Link",IF(ISNUMBER(SEARCH("Link",U662)),"Link","Not filled properly"))</f>
        <v>Link</v>
      </c>
      <c r="G662" s="1" t="str">
        <f aca="false">IFERROR(VLOOKUP(OFFSET(Table22,661,21,1,1),OFFSET(Table2,0,1,ROWS(Table2),8),2,0),VLOOKUP(OFFSET(Table22,661,22,1,1),Table2,3,0))</f>
        <v>FRA_gaPMG_AZR_AZR_Q1_19_AzureDirect-Trial-Social</v>
      </c>
      <c r="H662" s="1" t="n">
        <f aca="false">IFERROR(VLOOKUP(OFFSET(Table22,661,21,1,1),OFFSET(Table2,0,1,ROWS(Table2),8),3,0),VLOOKUP(OFFSET(Table22,661,22,1,1),Table2,4,0))</f>
        <v>21356941</v>
      </c>
      <c r="I662" s="2" t="n">
        <f aca="false">IFERROR(VLOOKUP(OFFSET(Table22,661,21,1,1),OFFSET(Table2,0,1,ROWS(Table2),8),4,0),VLOOKUP(OFFSET(Table22,661,22,1,1),Table2,5,0))</f>
        <v>720193</v>
      </c>
      <c r="J662" s="3" t="str">
        <f aca="false">IF(ISNUMBER(SEARCH("FACEBOOK",W662)),"Facebook",IF(ISNUMBER(SEARCH("INSTAGRAM",W662)),"Facebook-Instagram","Look at taxonomy"))</f>
        <v>Facebook</v>
      </c>
      <c r="K662" s="3" t="str">
        <f aca="false">IF(ISNUMBER(SEARCH("Facebook",J662)),"3654128","Not Facebook")</f>
        <v>3654128</v>
      </c>
      <c r="L662" s="3" t="str">
        <f aca="false">IFERROR(VLOOKUP(OFFSET(Table22,661,21,1,1),OFFSET(Table2,0,1,ROWS(Table2),8),7,0),VLOOKUP(OFFSET(Table22,661,22,1,1),Table2,8,0))</f>
        <v>AZR_FreeAcctITProFB-AnimatedHybrid-Ch2_FRA_1200x1200_VIA_AZRDirect_French_NA_Facebook_STAN_LEA_T2_1</v>
      </c>
      <c r="M662" s="2" t="n">
        <f aca="false">IFERROR(VLOOKUP(OFFSET(Table22,661,21,1,1),OFFSET(Table2,0,1,ROWS(Table2),8),8,0),VLOOKUP(OFFSET(Table22,661,22,1,1),Table2,9,0))</f>
        <v>104456278</v>
      </c>
      <c r="N662" s="15" t="s">
        <v>29</v>
      </c>
      <c r="O662" s="16" t="n">
        <v>43355</v>
      </c>
      <c r="P662" s="17" t="s">
        <v>102</v>
      </c>
      <c r="Q662" s="18" t="s">
        <v>103</v>
      </c>
      <c r="R662" s="17" t="s">
        <v>104</v>
      </c>
      <c r="S662" s="18" t="s">
        <v>33</v>
      </c>
      <c r="T662" s="17" t="s">
        <v>34</v>
      </c>
      <c r="U662" s="18" t="s">
        <v>131</v>
      </c>
      <c r="V662" s="19" t="n">
        <v>226359938</v>
      </c>
      <c r="W662" s="17" t="s">
        <v>147</v>
      </c>
      <c r="X662" s="17" t="n">
        <v>6981</v>
      </c>
      <c r="Y662" s="17" t="n">
        <v>132</v>
      </c>
      <c r="Z662" s="17" t="n">
        <v>45.69</v>
      </c>
      <c r="AA662" s="17" t="s">
        <v>38</v>
      </c>
      <c r="AB662" s="17"/>
    </row>
    <row r="663" customFormat="false" ht="15" hidden="false" customHeight="false" outlineLevel="0" collapsed="false">
      <c r="A663" s="1" t="str">
        <f aca="false">OFFSET(Table22,662,14,1,1)&amp;OFFSET(Table22,662,21,1,1)</f>
        <v>43354226359938</v>
      </c>
      <c r="B663" s="1" t="str">
        <f aca="false">OFFSET(Table22,662,14,1,1)&amp;OFFSET(Table22,662,22,1,1)</f>
        <v>43354Facebook»ITPros-Azure Direct-Sponsored Post_Trial_PayGo-Video Ad-Free Account IT Pro - Hybrid»1x1»30s»SOC»ALL»CPC»LAL»D»UNK»SS»NA»Trials_ID</v>
      </c>
      <c r="C663" s="1" t="s">
        <v>28</v>
      </c>
      <c r="D663" s="3" t="n">
        <f aca="false">O663+(7-WEEKDAY(O663))</f>
        <v>43358</v>
      </c>
      <c r="E663" s="1" t="str">
        <f aca="false">VLOOKUP(OFFSET(Table22,662,16,1,1),Key!B:D,2,0)</f>
        <v>France</v>
      </c>
      <c r="F663" s="1" t="str">
        <f aca="false">IF(ISNUMBER(SEARCH("Canvas",U663)),"Link",IF(ISNUMBER(SEARCH("Link",U663)),"Link","Not filled properly"))</f>
        <v>Link</v>
      </c>
      <c r="G663" s="1" t="str">
        <f aca="false">IFERROR(VLOOKUP(OFFSET(Table22,662,21,1,1),OFFSET(Table2,0,1,ROWS(Table2),8),2,0),VLOOKUP(OFFSET(Table22,662,22,1,1),Table2,3,0))</f>
        <v>FRA_gaPMG_AZR_AZR_Q1_19_AzureDirect-Trial-Social</v>
      </c>
      <c r="H663" s="1" t="n">
        <f aca="false">IFERROR(VLOOKUP(OFFSET(Table22,662,21,1,1),OFFSET(Table2,0,1,ROWS(Table2),8),3,0),VLOOKUP(OFFSET(Table22,662,22,1,1),Table2,4,0))</f>
        <v>21356941</v>
      </c>
      <c r="I663" s="2" t="n">
        <f aca="false">IFERROR(VLOOKUP(OFFSET(Table22,662,21,1,1),OFFSET(Table2,0,1,ROWS(Table2),8),4,0),VLOOKUP(OFFSET(Table22,662,22,1,1),Table2,5,0))</f>
        <v>720193</v>
      </c>
      <c r="J663" s="3" t="str">
        <f aca="false">IF(ISNUMBER(SEARCH("FACEBOOK",W663)),"Facebook",IF(ISNUMBER(SEARCH("INSTAGRAM",W663)),"Facebook-Instagram","Look at taxonomy"))</f>
        <v>Facebook</v>
      </c>
      <c r="K663" s="3" t="str">
        <f aca="false">IF(ISNUMBER(SEARCH("Facebook",J663)),"3654128","Not Facebook")</f>
        <v>3654128</v>
      </c>
      <c r="L663" s="3" t="str">
        <f aca="false">IFERROR(VLOOKUP(OFFSET(Table22,662,21,1,1),OFFSET(Table2,0,1,ROWS(Table2),8),7,0),VLOOKUP(OFFSET(Table22,662,22,1,1),Table2,8,0))</f>
        <v>AZR_FreeAcctITProFB-AnimatedHybrid-Ch2_FRA_1200x1200_VIA_AZRDirect_French_NA_Facebook_STAN_LEA_T2_1</v>
      </c>
      <c r="M663" s="2" t="n">
        <f aca="false">IFERROR(VLOOKUP(OFFSET(Table22,662,21,1,1),OFFSET(Table2,0,1,ROWS(Table2),8),8,0),VLOOKUP(OFFSET(Table22,662,22,1,1),Table2,9,0))</f>
        <v>104456278</v>
      </c>
      <c r="N663" s="15" t="s">
        <v>29</v>
      </c>
      <c r="O663" s="16" t="n">
        <v>43354</v>
      </c>
      <c r="P663" s="17" t="s">
        <v>102</v>
      </c>
      <c r="Q663" s="18" t="s">
        <v>103</v>
      </c>
      <c r="R663" s="17" t="s">
        <v>104</v>
      </c>
      <c r="S663" s="18" t="s">
        <v>33</v>
      </c>
      <c r="T663" s="17" t="s">
        <v>34</v>
      </c>
      <c r="U663" s="18" t="s">
        <v>131</v>
      </c>
      <c r="V663" s="19" t="n">
        <v>226359938</v>
      </c>
      <c r="W663" s="17" t="s">
        <v>147</v>
      </c>
      <c r="X663" s="17" t="n">
        <v>7296</v>
      </c>
      <c r="Y663" s="17" t="n">
        <v>130</v>
      </c>
      <c r="Z663" s="17" t="n">
        <v>41.31</v>
      </c>
      <c r="AA663" s="17" t="s">
        <v>38</v>
      </c>
      <c r="AB663" s="17"/>
    </row>
    <row r="664" customFormat="false" ht="15" hidden="false" customHeight="false" outlineLevel="0" collapsed="false">
      <c r="A664" s="1" t="str">
        <f aca="false">OFFSET(Table22,663,14,1,1)&amp;OFFSET(Table22,663,21,1,1)</f>
        <v>43353226359938</v>
      </c>
      <c r="B664" s="1" t="str">
        <f aca="false">OFFSET(Table22,663,14,1,1)&amp;OFFSET(Table22,663,22,1,1)</f>
        <v>43353Facebook»ITPros-Azure Direct-Sponsored Post_Trial_PayGo-Video Ad-Free Account IT Pro - Hybrid»1x1»30s»SOC»ALL»CPC»LAL»D»UNK»SS»NA»Trials_ID</v>
      </c>
      <c r="C664" s="1" t="s">
        <v>28</v>
      </c>
      <c r="D664" s="3" t="n">
        <f aca="false">O664+(7-WEEKDAY(O664))</f>
        <v>43358</v>
      </c>
      <c r="E664" s="1" t="str">
        <f aca="false">VLOOKUP(OFFSET(Table22,663,16,1,1),Key!B:D,2,0)</f>
        <v>France</v>
      </c>
      <c r="F664" s="1" t="str">
        <f aca="false">IF(ISNUMBER(SEARCH("Canvas",U664)),"Link",IF(ISNUMBER(SEARCH("Link",U664)),"Link","Not filled properly"))</f>
        <v>Link</v>
      </c>
      <c r="G664" s="1" t="str">
        <f aca="false">IFERROR(VLOOKUP(OFFSET(Table22,663,21,1,1),OFFSET(Table2,0,1,ROWS(Table2),8),2,0),VLOOKUP(OFFSET(Table22,663,22,1,1),Table2,3,0))</f>
        <v>FRA_gaPMG_AZR_AZR_Q1_19_AzureDirect-Trial-Social</v>
      </c>
      <c r="H664" s="1" t="n">
        <f aca="false">IFERROR(VLOOKUP(OFFSET(Table22,663,21,1,1),OFFSET(Table2,0,1,ROWS(Table2),8),3,0),VLOOKUP(OFFSET(Table22,663,22,1,1),Table2,4,0))</f>
        <v>21356941</v>
      </c>
      <c r="I664" s="2" t="n">
        <f aca="false">IFERROR(VLOOKUP(OFFSET(Table22,663,21,1,1),OFFSET(Table2,0,1,ROWS(Table2),8),4,0),VLOOKUP(OFFSET(Table22,663,22,1,1),Table2,5,0))</f>
        <v>720193</v>
      </c>
      <c r="J664" s="3" t="str">
        <f aca="false">IF(ISNUMBER(SEARCH("FACEBOOK",W664)),"Facebook",IF(ISNUMBER(SEARCH("INSTAGRAM",W664)),"Facebook-Instagram","Look at taxonomy"))</f>
        <v>Facebook</v>
      </c>
      <c r="K664" s="3" t="str">
        <f aca="false">IF(ISNUMBER(SEARCH("Facebook",J664)),"3654128","Not Facebook")</f>
        <v>3654128</v>
      </c>
      <c r="L664" s="3" t="str">
        <f aca="false">IFERROR(VLOOKUP(OFFSET(Table22,663,21,1,1),OFFSET(Table2,0,1,ROWS(Table2),8),7,0),VLOOKUP(OFFSET(Table22,663,22,1,1),Table2,8,0))</f>
        <v>AZR_FreeAcctITProFB-AnimatedHybrid-Ch2_FRA_1200x1200_VIA_AZRDirect_French_NA_Facebook_STAN_LEA_T2_1</v>
      </c>
      <c r="M664" s="2" t="n">
        <f aca="false">IFERROR(VLOOKUP(OFFSET(Table22,663,21,1,1),OFFSET(Table2,0,1,ROWS(Table2),8),8,0),VLOOKUP(OFFSET(Table22,663,22,1,1),Table2,9,0))</f>
        <v>104456278</v>
      </c>
      <c r="N664" s="15" t="s">
        <v>29</v>
      </c>
      <c r="O664" s="16" t="n">
        <v>43353</v>
      </c>
      <c r="P664" s="17" t="s">
        <v>102</v>
      </c>
      <c r="Q664" s="18" t="s">
        <v>103</v>
      </c>
      <c r="R664" s="17" t="s">
        <v>104</v>
      </c>
      <c r="S664" s="18" t="s">
        <v>33</v>
      </c>
      <c r="T664" s="17" t="s">
        <v>34</v>
      </c>
      <c r="U664" s="18" t="s">
        <v>131</v>
      </c>
      <c r="V664" s="19" t="n">
        <v>226359938</v>
      </c>
      <c r="W664" s="17" t="s">
        <v>147</v>
      </c>
      <c r="X664" s="17" t="n">
        <v>7849</v>
      </c>
      <c r="Y664" s="17" t="n">
        <v>131</v>
      </c>
      <c r="Z664" s="17" t="n">
        <v>42.98</v>
      </c>
      <c r="AA664" s="17" t="s">
        <v>38</v>
      </c>
      <c r="AB664" s="17"/>
    </row>
    <row r="665" customFormat="false" ht="15" hidden="false" customHeight="false" outlineLevel="0" collapsed="false">
      <c r="A665" s="1" t="str">
        <f aca="false">OFFSET(Table22,664,14,1,1)&amp;OFFSET(Table22,664,21,1,1)</f>
        <v>43352226359938</v>
      </c>
      <c r="B665" s="1" t="str">
        <f aca="false">OFFSET(Table22,664,14,1,1)&amp;OFFSET(Table22,664,22,1,1)</f>
        <v>43352Facebook»ITPros-Azure Direct-Sponsored Post_Trial_PayGo-Video Ad-Free Account IT Pro - Hybrid»1x1»30s»SOC»ALL»CPC»LAL»D»UNK»SS»NA»Trials_ID</v>
      </c>
      <c r="C665" s="1" t="s">
        <v>28</v>
      </c>
      <c r="D665" s="3" t="n">
        <f aca="false">O665+(7-WEEKDAY(O665))</f>
        <v>43358</v>
      </c>
      <c r="E665" s="1" t="str">
        <f aca="false">VLOOKUP(OFFSET(Table22,664,16,1,1),Key!B:D,2,0)</f>
        <v>France</v>
      </c>
      <c r="F665" s="1" t="str">
        <f aca="false">IF(ISNUMBER(SEARCH("Canvas",U665)),"Link",IF(ISNUMBER(SEARCH("Link",U665)),"Link","Not filled properly"))</f>
        <v>Link</v>
      </c>
      <c r="G665" s="1" t="str">
        <f aca="false">IFERROR(VLOOKUP(OFFSET(Table22,664,21,1,1),OFFSET(Table2,0,1,ROWS(Table2),8),2,0),VLOOKUP(OFFSET(Table22,664,22,1,1),Table2,3,0))</f>
        <v>FRA_gaPMG_AZR_AZR_Q1_19_AzureDirect-Trial-Social</v>
      </c>
      <c r="H665" s="1" t="n">
        <f aca="false">IFERROR(VLOOKUP(OFFSET(Table22,664,21,1,1),OFFSET(Table2,0,1,ROWS(Table2),8),3,0),VLOOKUP(OFFSET(Table22,664,22,1,1),Table2,4,0))</f>
        <v>21356941</v>
      </c>
      <c r="I665" s="2" t="n">
        <f aca="false">IFERROR(VLOOKUP(OFFSET(Table22,664,21,1,1),OFFSET(Table2,0,1,ROWS(Table2),8),4,0),VLOOKUP(OFFSET(Table22,664,22,1,1),Table2,5,0))</f>
        <v>720193</v>
      </c>
      <c r="J665" s="3" t="str">
        <f aca="false">IF(ISNUMBER(SEARCH("FACEBOOK",W665)),"Facebook",IF(ISNUMBER(SEARCH("INSTAGRAM",W665)),"Facebook-Instagram","Look at taxonomy"))</f>
        <v>Facebook</v>
      </c>
      <c r="K665" s="3" t="str">
        <f aca="false">IF(ISNUMBER(SEARCH("Facebook",J665)),"3654128","Not Facebook")</f>
        <v>3654128</v>
      </c>
      <c r="L665" s="3" t="str">
        <f aca="false">IFERROR(VLOOKUP(OFFSET(Table22,664,21,1,1),OFFSET(Table2,0,1,ROWS(Table2),8),7,0),VLOOKUP(OFFSET(Table22,664,22,1,1),Table2,8,0))</f>
        <v>AZR_FreeAcctITProFB-AnimatedHybrid-Ch2_FRA_1200x1200_VIA_AZRDirect_French_NA_Facebook_STAN_LEA_T2_1</v>
      </c>
      <c r="M665" s="2" t="n">
        <f aca="false">IFERROR(VLOOKUP(OFFSET(Table22,664,21,1,1),OFFSET(Table2,0,1,ROWS(Table2),8),8,0),VLOOKUP(OFFSET(Table22,664,22,1,1),Table2,9,0))</f>
        <v>104456278</v>
      </c>
      <c r="N665" s="15" t="s">
        <v>29</v>
      </c>
      <c r="O665" s="16" t="n">
        <v>43352</v>
      </c>
      <c r="P665" s="17" t="s">
        <v>102</v>
      </c>
      <c r="Q665" s="18" t="s">
        <v>103</v>
      </c>
      <c r="R665" s="17" t="s">
        <v>104</v>
      </c>
      <c r="S665" s="18" t="s">
        <v>33</v>
      </c>
      <c r="T665" s="17" t="s">
        <v>34</v>
      </c>
      <c r="U665" s="18" t="s">
        <v>131</v>
      </c>
      <c r="V665" s="19" t="n">
        <v>226359938</v>
      </c>
      <c r="W665" s="17" t="s">
        <v>147</v>
      </c>
      <c r="X665" s="17" t="n">
        <v>8495</v>
      </c>
      <c r="Y665" s="17" t="n">
        <v>157</v>
      </c>
      <c r="Z665" s="17" t="n">
        <v>47.42</v>
      </c>
      <c r="AA665" s="17" t="s">
        <v>38</v>
      </c>
      <c r="AB665" s="17"/>
    </row>
    <row r="666" customFormat="false" ht="15" hidden="false" customHeight="false" outlineLevel="0" collapsed="false">
      <c r="A666" s="1" t="str">
        <f aca="false">OFFSET(Table22,665,14,1,1)&amp;OFFSET(Table22,665,21,1,1)</f>
        <v>43358226359935</v>
      </c>
      <c r="B666" s="1" t="str">
        <f aca="false">OFFSET(Table22,665,14,1,1)&amp;OFFSET(Table22,665,22,1,1)</f>
        <v>43358Facebook»ITPros-Azure Direct-Sponsored Post_Trial_PayGo-Video Ad-Free Account IT Pro - Migration»1x1»30s»SOC»ALL»CPC»LAL»D»UNK»SS»NA»Trials_ID</v>
      </c>
      <c r="C666" s="1" t="s">
        <v>28</v>
      </c>
      <c r="D666" s="3" t="n">
        <f aca="false">O666+(7-WEEKDAY(O666))</f>
        <v>43358</v>
      </c>
      <c r="E666" s="1" t="str">
        <f aca="false">VLOOKUP(OFFSET(Table22,665,16,1,1),Key!B:D,2,0)</f>
        <v>France</v>
      </c>
      <c r="F666" s="1" t="str">
        <f aca="false">IF(ISNUMBER(SEARCH("Canvas",U666)),"Link",IF(ISNUMBER(SEARCH("Link",U666)),"Link","Not filled properly"))</f>
        <v>Link</v>
      </c>
      <c r="G666" s="1" t="str">
        <f aca="false">IFERROR(VLOOKUP(OFFSET(Table22,665,21,1,1),OFFSET(Table2,0,1,ROWS(Table2),8),2,0),VLOOKUP(OFFSET(Table22,665,22,1,1),Table2,3,0))</f>
        <v>FRA_gaPMG_AZR_AZR_Q1_19_AzureDirect-Trial-Social</v>
      </c>
      <c r="H666" s="1" t="n">
        <f aca="false">IFERROR(VLOOKUP(OFFSET(Table22,665,21,1,1),OFFSET(Table2,0,1,ROWS(Table2),8),3,0),VLOOKUP(OFFSET(Table22,665,22,1,1),Table2,4,0))</f>
        <v>21356941</v>
      </c>
      <c r="I666" s="2" t="n">
        <f aca="false">IFERROR(VLOOKUP(OFFSET(Table22,665,21,1,1),OFFSET(Table2,0,1,ROWS(Table2),8),4,0),VLOOKUP(OFFSET(Table22,665,22,1,1),Table2,5,0))</f>
        <v>720193</v>
      </c>
      <c r="J666" s="3" t="str">
        <f aca="false">IF(ISNUMBER(SEARCH("FACEBOOK",W666)),"Facebook",IF(ISNUMBER(SEARCH("INSTAGRAM",W666)),"Facebook-Instagram","Look at taxonomy"))</f>
        <v>Facebook</v>
      </c>
      <c r="K666" s="3" t="str">
        <f aca="false">IF(ISNUMBER(SEARCH("Facebook",J666)),"3654128","Not Facebook")</f>
        <v>3654128</v>
      </c>
      <c r="L666" s="3" t="str">
        <f aca="false">IFERROR(VLOOKUP(OFFSET(Table22,665,21,1,1),OFFSET(Table2,0,1,ROWS(Table2),8),7,0),VLOOKUP(OFFSET(Table22,665,22,1,1),Table2,8,0))</f>
        <v>AZR_FreeAcctITProFB-AnimatedMigration-Ch3_FRA_1200x1200_VIA_AZRDirect_French_NA_Facebook_STAN_LEA_T3_1</v>
      </c>
      <c r="M666" s="2" t="n">
        <f aca="false">IFERROR(VLOOKUP(OFFSET(Table22,665,21,1,1),OFFSET(Table2,0,1,ROWS(Table2),8),8,0),VLOOKUP(OFFSET(Table22,665,22,1,1),Table2,9,0))</f>
        <v>104458003</v>
      </c>
      <c r="N666" s="15" t="s">
        <v>29</v>
      </c>
      <c r="O666" s="16" t="n">
        <v>43358</v>
      </c>
      <c r="P666" s="17" t="s">
        <v>102</v>
      </c>
      <c r="Q666" s="18" t="s">
        <v>103</v>
      </c>
      <c r="R666" s="17" t="s">
        <v>104</v>
      </c>
      <c r="S666" s="18" t="s">
        <v>33</v>
      </c>
      <c r="T666" s="17" t="s">
        <v>34</v>
      </c>
      <c r="U666" s="18" t="s">
        <v>131</v>
      </c>
      <c r="V666" s="19" t="n">
        <v>226359935</v>
      </c>
      <c r="W666" s="17" t="s">
        <v>148</v>
      </c>
      <c r="X666" s="17" t="n">
        <v>1</v>
      </c>
      <c r="Y666" s="17"/>
      <c r="Z666" s="17" t="n">
        <v>0</v>
      </c>
      <c r="AA666" s="17" t="s">
        <v>38</v>
      </c>
      <c r="AB666" s="17"/>
    </row>
    <row r="667" customFormat="false" ht="15" hidden="false" customHeight="false" outlineLevel="0" collapsed="false">
      <c r="A667" s="1" t="str">
        <f aca="false">OFFSET(Table22,666,14,1,1)&amp;OFFSET(Table22,666,21,1,1)</f>
        <v>43357226359935</v>
      </c>
      <c r="B667" s="1" t="str">
        <f aca="false">OFFSET(Table22,666,14,1,1)&amp;OFFSET(Table22,666,22,1,1)</f>
        <v>43357Facebook»ITPros-Azure Direct-Sponsored Post_Trial_PayGo-Video Ad-Free Account IT Pro - Migration»1x1»30s»SOC»ALL»CPC»LAL»D»UNK»SS»NA»Trials_ID</v>
      </c>
      <c r="C667" s="1" t="s">
        <v>28</v>
      </c>
      <c r="D667" s="3" t="n">
        <f aca="false">O667+(7-WEEKDAY(O667))</f>
        <v>43358</v>
      </c>
      <c r="E667" s="1" t="str">
        <f aca="false">VLOOKUP(OFFSET(Table22,666,16,1,1),Key!B:D,2,0)</f>
        <v>France</v>
      </c>
      <c r="F667" s="1" t="str">
        <f aca="false">IF(ISNUMBER(SEARCH("Canvas",U667)),"Link",IF(ISNUMBER(SEARCH("Link",U667)),"Link","Not filled properly"))</f>
        <v>Link</v>
      </c>
      <c r="G667" s="1" t="str">
        <f aca="false">IFERROR(VLOOKUP(OFFSET(Table22,666,21,1,1),OFFSET(Table2,0,1,ROWS(Table2),8),2,0),VLOOKUP(OFFSET(Table22,666,22,1,1),Table2,3,0))</f>
        <v>FRA_gaPMG_AZR_AZR_Q1_19_AzureDirect-Trial-Social</v>
      </c>
      <c r="H667" s="1" t="n">
        <f aca="false">IFERROR(VLOOKUP(OFFSET(Table22,666,21,1,1),OFFSET(Table2,0,1,ROWS(Table2),8),3,0),VLOOKUP(OFFSET(Table22,666,22,1,1),Table2,4,0))</f>
        <v>21356941</v>
      </c>
      <c r="I667" s="2" t="n">
        <f aca="false">IFERROR(VLOOKUP(OFFSET(Table22,666,21,1,1),OFFSET(Table2,0,1,ROWS(Table2),8),4,0),VLOOKUP(OFFSET(Table22,666,22,1,1),Table2,5,0))</f>
        <v>720193</v>
      </c>
      <c r="J667" s="3" t="str">
        <f aca="false">IF(ISNUMBER(SEARCH("FACEBOOK",W667)),"Facebook",IF(ISNUMBER(SEARCH("INSTAGRAM",W667)),"Facebook-Instagram","Look at taxonomy"))</f>
        <v>Facebook</v>
      </c>
      <c r="K667" s="3" t="str">
        <f aca="false">IF(ISNUMBER(SEARCH("Facebook",J667)),"3654128","Not Facebook")</f>
        <v>3654128</v>
      </c>
      <c r="L667" s="3" t="str">
        <f aca="false">IFERROR(VLOOKUP(OFFSET(Table22,666,21,1,1),OFFSET(Table2,0,1,ROWS(Table2),8),7,0),VLOOKUP(OFFSET(Table22,666,22,1,1),Table2,8,0))</f>
        <v>AZR_FreeAcctITProFB-AnimatedMigration-Ch3_FRA_1200x1200_VIA_AZRDirect_French_NA_Facebook_STAN_LEA_T3_1</v>
      </c>
      <c r="M667" s="2" t="n">
        <f aca="false">IFERROR(VLOOKUP(OFFSET(Table22,666,21,1,1),OFFSET(Table2,0,1,ROWS(Table2),8),8,0),VLOOKUP(OFFSET(Table22,666,22,1,1),Table2,9,0))</f>
        <v>104458003</v>
      </c>
      <c r="N667" s="15" t="s">
        <v>29</v>
      </c>
      <c r="O667" s="16" t="n">
        <v>43357</v>
      </c>
      <c r="P667" s="17" t="s">
        <v>102</v>
      </c>
      <c r="Q667" s="18" t="s">
        <v>103</v>
      </c>
      <c r="R667" s="17" t="s">
        <v>104</v>
      </c>
      <c r="S667" s="18" t="s">
        <v>33</v>
      </c>
      <c r="T667" s="17" t="s">
        <v>34</v>
      </c>
      <c r="U667" s="18" t="s">
        <v>131</v>
      </c>
      <c r="V667" s="19" t="n">
        <v>226359935</v>
      </c>
      <c r="W667" s="17" t="s">
        <v>148</v>
      </c>
      <c r="X667" s="17" t="n">
        <v>1</v>
      </c>
      <c r="Y667" s="17"/>
      <c r="Z667" s="17" t="n">
        <v>0</v>
      </c>
      <c r="AA667" s="17" t="s">
        <v>38</v>
      </c>
      <c r="AB667" s="17"/>
    </row>
    <row r="668" customFormat="false" ht="15" hidden="false" customHeight="false" outlineLevel="0" collapsed="false">
      <c r="A668" s="1" t="str">
        <f aca="false">OFFSET(Table22,667,14,1,1)&amp;OFFSET(Table22,667,21,1,1)</f>
        <v>43356226359935</v>
      </c>
      <c r="B668" s="1" t="str">
        <f aca="false">OFFSET(Table22,667,14,1,1)&amp;OFFSET(Table22,667,22,1,1)</f>
        <v>43356Facebook»ITPros-Azure Direct-Sponsored Post_Trial_PayGo-Video Ad-Free Account IT Pro - Migration»1x1»30s»SOC»ALL»CPC»LAL»D»UNK»SS»NA»Trials_ID</v>
      </c>
      <c r="C668" s="1" t="s">
        <v>28</v>
      </c>
      <c r="D668" s="3" t="n">
        <f aca="false">O668+(7-WEEKDAY(O668))</f>
        <v>43358</v>
      </c>
      <c r="E668" s="1" t="str">
        <f aca="false">VLOOKUP(OFFSET(Table22,667,16,1,1),Key!B:D,2,0)</f>
        <v>France</v>
      </c>
      <c r="F668" s="1" t="str">
        <f aca="false">IF(ISNUMBER(SEARCH("Canvas",U668)),"Link",IF(ISNUMBER(SEARCH("Link",U668)),"Link","Not filled properly"))</f>
        <v>Link</v>
      </c>
      <c r="G668" s="1" t="str">
        <f aca="false">IFERROR(VLOOKUP(OFFSET(Table22,667,21,1,1),OFFSET(Table2,0,1,ROWS(Table2),8),2,0),VLOOKUP(OFFSET(Table22,667,22,1,1),Table2,3,0))</f>
        <v>FRA_gaPMG_AZR_AZR_Q1_19_AzureDirect-Trial-Social</v>
      </c>
      <c r="H668" s="1" t="n">
        <f aca="false">IFERROR(VLOOKUP(OFFSET(Table22,667,21,1,1),OFFSET(Table2,0,1,ROWS(Table2),8),3,0),VLOOKUP(OFFSET(Table22,667,22,1,1),Table2,4,0))</f>
        <v>21356941</v>
      </c>
      <c r="I668" s="2" t="n">
        <f aca="false">IFERROR(VLOOKUP(OFFSET(Table22,667,21,1,1),OFFSET(Table2,0,1,ROWS(Table2),8),4,0),VLOOKUP(OFFSET(Table22,667,22,1,1),Table2,5,0))</f>
        <v>720193</v>
      </c>
      <c r="J668" s="3" t="str">
        <f aca="false">IF(ISNUMBER(SEARCH("FACEBOOK",W668)),"Facebook",IF(ISNUMBER(SEARCH("INSTAGRAM",W668)),"Facebook-Instagram","Look at taxonomy"))</f>
        <v>Facebook</v>
      </c>
      <c r="K668" s="3" t="str">
        <f aca="false">IF(ISNUMBER(SEARCH("Facebook",J668)),"3654128","Not Facebook")</f>
        <v>3654128</v>
      </c>
      <c r="L668" s="3" t="str">
        <f aca="false">IFERROR(VLOOKUP(OFFSET(Table22,667,21,1,1),OFFSET(Table2,0,1,ROWS(Table2),8),7,0),VLOOKUP(OFFSET(Table22,667,22,1,1),Table2,8,0))</f>
        <v>AZR_FreeAcctITProFB-AnimatedMigration-Ch3_FRA_1200x1200_VIA_AZRDirect_French_NA_Facebook_STAN_LEA_T3_1</v>
      </c>
      <c r="M668" s="2" t="n">
        <f aca="false">IFERROR(VLOOKUP(OFFSET(Table22,667,21,1,1),OFFSET(Table2,0,1,ROWS(Table2),8),8,0),VLOOKUP(OFFSET(Table22,667,22,1,1),Table2,9,0))</f>
        <v>104458003</v>
      </c>
      <c r="N668" s="15" t="s">
        <v>29</v>
      </c>
      <c r="O668" s="16" t="n">
        <v>43356</v>
      </c>
      <c r="P668" s="17" t="s">
        <v>102</v>
      </c>
      <c r="Q668" s="18" t="s">
        <v>103</v>
      </c>
      <c r="R668" s="17" t="s">
        <v>104</v>
      </c>
      <c r="S668" s="18" t="s">
        <v>33</v>
      </c>
      <c r="T668" s="17" t="s">
        <v>34</v>
      </c>
      <c r="U668" s="18" t="s">
        <v>131</v>
      </c>
      <c r="V668" s="19" t="n">
        <v>226359935</v>
      </c>
      <c r="W668" s="17" t="s">
        <v>148</v>
      </c>
      <c r="X668" s="17" t="n">
        <v>1</v>
      </c>
      <c r="Y668" s="17"/>
      <c r="Z668" s="17" t="n">
        <v>0</v>
      </c>
      <c r="AA668" s="17" t="s">
        <v>38</v>
      </c>
      <c r="AB668" s="17"/>
    </row>
    <row r="669" customFormat="false" ht="15" hidden="false" customHeight="false" outlineLevel="0" collapsed="false">
      <c r="A669" s="1" t="str">
        <f aca="false">OFFSET(Table22,668,14,1,1)&amp;OFFSET(Table22,668,21,1,1)</f>
        <v>43355226359935</v>
      </c>
      <c r="B669" s="1" t="str">
        <f aca="false">OFFSET(Table22,668,14,1,1)&amp;OFFSET(Table22,668,22,1,1)</f>
        <v>43355Facebook»ITPros-Azure Direct-Sponsored Post_Trial_PayGo-Video Ad-Free Account IT Pro - Migration»1x1»30s»SOC»ALL»CPC»LAL»D»UNK»SS»NA»Trials_ID</v>
      </c>
      <c r="C669" s="1" t="s">
        <v>28</v>
      </c>
      <c r="D669" s="3" t="n">
        <f aca="false">O669+(7-WEEKDAY(O669))</f>
        <v>43358</v>
      </c>
      <c r="E669" s="1" t="str">
        <f aca="false">VLOOKUP(OFFSET(Table22,668,16,1,1),Key!B:D,2,0)</f>
        <v>France</v>
      </c>
      <c r="F669" s="1" t="str">
        <f aca="false">IF(ISNUMBER(SEARCH("Canvas",U669)),"Link",IF(ISNUMBER(SEARCH("Link",U669)),"Link","Not filled properly"))</f>
        <v>Link</v>
      </c>
      <c r="G669" s="1" t="str">
        <f aca="false">IFERROR(VLOOKUP(OFFSET(Table22,668,21,1,1),OFFSET(Table2,0,1,ROWS(Table2),8),2,0),VLOOKUP(OFFSET(Table22,668,22,1,1),Table2,3,0))</f>
        <v>FRA_gaPMG_AZR_AZR_Q1_19_AzureDirect-Trial-Social</v>
      </c>
      <c r="H669" s="1" t="n">
        <f aca="false">IFERROR(VLOOKUP(OFFSET(Table22,668,21,1,1),OFFSET(Table2,0,1,ROWS(Table2),8),3,0),VLOOKUP(OFFSET(Table22,668,22,1,1),Table2,4,0))</f>
        <v>21356941</v>
      </c>
      <c r="I669" s="2" t="n">
        <f aca="false">IFERROR(VLOOKUP(OFFSET(Table22,668,21,1,1),OFFSET(Table2,0,1,ROWS(Table2),8),4,0),VLOOKUP(OFFSET(Table22,668,22,1,1),Table2,5,0))</f>
        <v>720193</v>
      </c>
      <c r="J669" s="3" t="str">
        <f aca="false">IF(ISNUMBER(SEARCH("FACEBOOK",W669)),"Facebook",IF(ISNUMBER(SEARCH("INSTAGRAM",W669)),"Facebook-Instagram","Look at taxonomy"))</f>
        <v>Facebook</v>
      </c>
      <c r="K669" s="3" t="str">
        <f aca="false">IF(ISNUMBER(SEARCH("Facebook",J669)),"3654128","Not Facebook")</f>
        <v>3654128</v>
      </c>
      <c r="L669" s="3" t="str">
        <f aca="false">IFERROR(VLOOKUP(OFFSET(Table22,668,21,1,1),OFFSET(Table2,0,1,ROWS(Table2),8),7,0),VLOOKUP(OFFSET(Table22,668,22,1,1),Table2,8,0))</f>
        <v>AZR_FreeAcctITProFB-AnimatedMigration-Ch3_FRA_1200x1200_VIA_AZRDirect_French_NA_Facebook_STAN_LEA_T3_1</v>
      </c>
      <c r="M669" s="2" t="n">
        <f aca="false">IFERROR(VLOOKUP(OFFSET(Table22,668,21,1,1),OFFSET(Table2,0,1,ROWS(Table2),8),8,0),VLOOKUP(OFFSET(Table22,668,22,1,1),Table2,9,0))</f>
        <v>104458003</v>
      </c>
      <c r="N669" s="15" t="s">
        <v>29</v>
      </c>
      <c r="O669" s="16" t="n">
        <v>43355</v>
      </c>
      <c r="P669" s="17" t="s">
        <v>102</v>
      </c>
      <c r="Q669" s="18" t="s">
        <v>103</v>
      </c>
      <c r="R669" s="17" t="s">
        <v>104</v>
      </c>
      <c r="S669" s="18" t="s">
        <v>33</v>
      </c>
      <c r="T669" s="17" t="s">
        <v>34</v>
      </c>
      <c r="U669" s="18" t="s">
        <v>131</v>
      </c>
      <c r="V669" s="19" t="n">
        <v>226359935</v>
      </c>
      <c r="W669" s="17" t="s">
        <v>148</v>
      </c>
      <c r="X669" s="17" t="n">
        <v>0</v>
      </c>
      <c r="Y669" s="17"/>
      <c r="Z669" s="17" t="n">
        <v>0</v>
      </c>
      <c r="AA669" s="17" t="s">
        <v>38</v>
      </c>
      <c r="AB669" s="17"/>
    </row>
    <row r="670" customFormat="false" ht="15" hidden="false" customHeight="false" outlineLevel="0" collapsed="false">
      <c r="A670" s="1" t="str">
        <f aca="false">OFFSET(Table22,669,14,1,1)&amp;OFFSET(Table22,669,21,1,1)</f>
        <v>43354226359935</v>
      </c>
      <c r="B670" s="1" t="str">
        <f aca="false">OFFSET(Table22,669,14,1,1)&amp;OFFSET(Table22,669,22,1,1)</f>
        <v>43354Facebook»ITPros-Azure Direct-Sponsored Post_Trial_PayGo-Video Ad-Free Account IT Pro - Migration»1x1»30s»SOC»ALL»CPC»LAL»D»UNK»SS»NA»Trials_ID</v>
      </c>
      <c r="C670" s="1" t="s">
        <v>28</v>
      </c>
      <c r="D670" s="3" t="n">
        <f aca="false">O670+(7-WEEKDAY(O670))</f>
        <v>43358</v>
      </c>
      <c r="E670" s="1" t="str">
        <f aca="false">VLOOKUP(OFFSET(Table22,669,16,1,1),Key!B:D,2,0)</f>
        <v>France</v>
      </c>
      <c r="F670" s="1" t="str">
        <f aca="false">IF(ISNUMBER(SEARCH("Canvas",U670)),"Link",IF(ISNUMBER(SEARCH("Link",U670)),"Link","Not filled properly"))</f>
        <v>Link</v>
      </c>
      <c r="G670" s="1" t="str">
        <f aca="false">IFERROR(VLOOKUP(OFFSET(Table22,669,21,1,1),OFFSET(Table2,0,1,ROWS(Table2),8),2,0),VLOOKUP(OFFSET(Table22,669,22,1,1),Table2,3,0))</f>
        <v>FRA_gaPMG_AZR_AZR_Q1_19_AzureDirect-Trial-Social</v>
      </c>
      <c r="H670" s="1" t="n">
        <f aca="false">IFERROR(VLOOKUP(OFFSET(Table22,669,21,1,1),OFFSET(Table2,0,1,ROWS(Table2),8),3,0),VLOOKUP(OFFSET(Table22,669,22,1,1),Table2,4,0))</f>
        <v>21356941</v>
      </c>
      <c r="I670" s="2" t="n">
        <f aca="false">IFERROR(VLOOKUP(OFFSET(Table22,669,21,1,1),OFFSET(Table2,0,1,ROWS(Table2),8),4,0),VLOOKUP(OFFSET(Table22,669,22,1,1),Table2,5,0))</f>
        <v>720193</v>
      </c>
      <c r="J670" s="3" t="str">
        <f aca="false">IF(ISNUMBER(SEARCH("FACEBOOK",W670)),"Facebook",IF(ISNUMBER(SEARCH("INSTAGRAM",W670)),"Facebook-Instagram","Look at taxonomy"))</f>
        <v>Facebook</v>
      </c>
      <c r="K670" s="3" t="str">
        <f aca="false">IF(ISNUMBER(SEARCH("Facebook",J670)),"3654128","Not Facebook")</f>
        <v>3654128</v>
      </c>
      <c r="L670" s="3" t="str">
        <f aca="false">IFERROR(VLOOKUP(OFFSET(Table22,669,21,1,1),OFFSET(Table2,0,1,ROWS(Table2),8),7,0),VLOOKUP(OFFSET(Table22,669,22,1,1),Table2,8,0))</f>
        <v>AZR_FreeAcctITProFB-AnimatedMigration-Ch3_FRA_1200x1200_VIA_AZRDirect_French_NA_Facebook_STAN_LEA_T3_1</v>
      </c>
      <c r="M670" s="2" t="n">
        <f aca="false">IFERROR(VLOOKUP(OFFSET(Table22,669,21,1,1),OFFSET(Table2,0,1,ROWS(Table2),8),8,0),VLOOKUP(OFFSET(Table22,669,22,1,1),Table2,9,0))</f>
        <v>104458003</v>
      </c>
      <c r="N670" s="15" t="s">
        <v>29</v>
      </c>
      <c r="O670" s="16" t="n">
        <v>43354</v>
      </c>
      <c r="P670" s="17" t="s">
        <v>102</v>
      </c>
      <c r="Q670" s="18" t="s">
        <v>103</v>
      </c>
      <c r="R670" s="17" t="s">
        <v>104</v>
      </c>
      <c r="S670" s="18" t="s">
        <v>33</v>
      </c>
      <c r="T670" s="17" t="s">
        <v>34</v>
      </c>
      <c r="U670" s="18" t="s">
        <v>131</v>
      </c>
      <c r="V670" s="19" t="n">
        <v>226359935</v>
      </c>
      <c r="W670" s="17" t="s">
        <v>148</v>
      </c>
      <c r="X670" s="17" t="n">
        <v>6</v>
      </c>
      <c r="Y670" s="17"/>
      <c r="Z670" s="17" t="n">
        <v>0.03</v>
      </c>
      <c r="AA670" s="17" t="s">
        <v>38</v>
      </c>
      <c r="AB670" s="17"/>
    </row>
    <row r="671" customFormat="false" ht="15" hidden="false" customHeight="false" outlineLevel="0" collapsed="false">
      <c r="A671" s="1" t="str">
        <f aca="false">OFFSET(Table22,670,14,1,1)&amp;OFFSET(Table22,670,21,1,1)</f>
        <v>43353226359935</v>
      </c>
      <c r="B671" s="1" t="str">
        <f aca="false">OFFSET(Table22,670,14,1,1)&amp;OFFSET(Table22,670,22,1,1)</f>
        <v>43353Facebook»ITPros-Azure Direct-Sponsored Post_Trial_PayGo-Video Ad-Free Account IT Pro - Migration»1x1»30s»SOC»ALL»CPC»LAL»D»UNK»SS»NA»Trials_ID</v>
      </c>
      <c r="C671" s="1" t="s">
        <v>28</v>
      </c>
      <c r="D671" s="3" t="n">
        <f aca="false">O671+(7-WEEKDAY(O671))</f>
        <v>43358</v>
      </c>
      <c r="E671" s="1" t="str">
        <f aca="false">VLOOKUP(OFFSET(Table22,670,16,1,1),Key!B:D,2,0)</f>
        <v>France</v>
      </c>
      <c r="F671" s="1" t="str">
        <f aca="false">IF(ISNUMBER(SEARCH("Canvas",U671)),"Link",IF(ISNUMBER(SEARCH("Link",U671)),"Link","Not filled properly"))</f>
        <v>Link</v>
      </c>
      <c r="G671" s="1" t="str">
        <f aca="false">IFERROR(VLOOKUP(OFFSET(Table22,670,21,1,1),OFFSET(Table2,0,1,ROWS(Table2),8),2,0),VLOOKUP(OFFSET(Table22,670,22,1,1),Table2,3,0))</f>
        <v>FRA_gaPMG_AZR_AZR_Q1_19_AzureDirect-Trial-Social</v>
      </c>
      <c r="H671" s="1" t="n">
        <f aca="false">IFERROR(VLOOKUP(OFFSET(Table22,670,21,1,1),OFFSET(Table2,0,1,ROWS(Table2),8),3,0),VLOOKUP(OFFSET(Table22,670,22,1,1),Table2,4,0))</f>
        <v>21356941</v>
      </c>
      <c r="I671" s="2" t="n">
        <f aca="false">IFERROR(VLOOKUP(OFFSET(Table22,670,21,1,1),OFFSET(Table2,0,1,ROWS(Table2),8),4,0),VLOOKUP(OFFSET(Table22,670,22,1,1),Table2,5,0))</f>
        <v>720193</v>
      </c>
      <c r="J671" s="3" t="str">
        <f aca="false">IF(ISNUMBER(SEARCH("FACEBOOK",W671)),"Facebook",IF(ISNUMBER(SEARCH("INSTAGRAM",W671)),"Facebook-Instagram","Look at taxonomy"))</f>
        <v>Facebook</v>
      </c>
      <c r="K671" s="3" t="str">
        <f aca="false">IF(ISNUMBER(SEARCH("Facebook",J671)),"3654128","Not Facebook")</f>
        <v>3654128</v>
      </c>
      <c r="L671" s="3" t="str">
        <f aca="false">IFERROR(VLOOKUP(OFFSET(Table22,670,21,1,1),OFFSET(Table2,0,1,ROWS(Table2),8),7,0),VLOOKUP(OFFSET(Table22,670,22,1,1),Table2,8,0))</f>
        <v>AZR_FreeAcctITProFB-AnimatedMigration-Ch3_FRA_1200x1200_VIA_AZRDirect_French_NA_Facebook_STAN_LEA_T3_1</v>
      </c>
      <c r="M671" s="2" t="n">
        <f aca="false">IFERROR(VLOOKUP(OFFSET(Table22,670,21,1,1),OFFSET(Table2,0,1,ROWS(Table2),8),8,0),VLOOKUP(OFFSET(Table22,670,22,1,1),Table2,9,0))</f>
        <v>104458003</v>
      </c>
      <c r="N671" s="15" t="s">
        <v>29</v>
      </c>
      <c r="O671" s="16" t="n">
        <v>43353</v>
      </c>
      <c r="P671" s="17" t="s">
        <v>102</v>
      </c>
      <c r="Q671" s="18" t="s">
        <v>103</v>
      </c>
      <c r="R671" s="17" t="s">
        <v>104</v>
      </c>
      <c r="S671" s="18" t="s">
        <v>33</v>
      </c>
      <c r="T671" s="17" t="s">
        <v>34</v>
      </c>
      <c r="U671" s="18" t="s">
        <v>131</v>
      </c>
      <c r="V671" s="19" t="n">
        <v>226359935</v>
      </c>
      <c r="W671" s="17" t="s">
        <v>148</v>
      </c>
      <c r="X671" s="17" t="n">
        <v>5</v>
      </c>
      <c r="Y671" s="17"/>
      <c r="Z671" s="17" t="n">
        <v>0.05</v>
      </c>
      <c r="AA671" s="17" t="s">
        <v>38</v>
      </c>
      <c r="AB671" s="17"/>
    </row>
    <row r="672" customFormat="false" ht="15" hidden="false" customHeight="false" outlineLevel="0" collapsed="false">
      <c r="A672" s="1" t="str">
        <f aca="false">OFFSET(Table22,671,14,1,1)&amp;OFFSET(Table22,671,21,1,1)</f>
        <v>43352226359935</v>
      </c>
      <c r="B672" s="1" t="str">
        <f aca="false">OFFSET(Table22,671,14,1,1)&amp;OFFSET(Table22,671,22,1,1)</f>
        <v>43352Facebook»ITPros-Azure Direct-Sponsored Post_Trial_PayGo-Video Ad-Free Account IT Pro - Migration»1x1»30s»SOC»ALL»CPC»LAL»D»UNK»SS»NA»Trials_ID</v>
      </c>
      <c r="C672" s="1" t="s">
        <v>28</v>
      </c>
      <c r="D672" s="3" t="n">
        <f aca="false">O672+(7-WEEKDAY(O672))</f>
        <v>43358</v>
      </c>
      <c r="E672" s="1" t="str">
        <f aca="false">VLOOKUP(OFFSET(Table22,671,16,1,1),Key!B:D,2,0)</f>
        <v>France</v>
      </c>
      <c r="F672" s="1" t="str">
        <f aca="false">IF(ISNUMBER(SEARCH("Canvas",U672)),"Link",IF(ISNUMBER(SEARCH("Link",U672)),"Link","Not filled properly"))</f>
        <v>Link</v>
      </c>
      <c r="G672" s="1" t="str">
        <f aca="false">IFERROR(VLOOKUP(OFFSET(Table22,671,21,1,1),OFFSET(Table2,0,1,ROWS(Table2),8),2,0),VLOOKUP(OFFSET(Table22,671,22,1,1),Table2,3,0))</f>
        <v>FRA_gaPMG_AZR_AZR_Q1_19_AzureDirect-Trial-Social</v>
      </c>
      <c r="H672" s="1" t="n">
        <f aca="false">IFERROR(VLOOKUP(OFFSET(Table22,671,21,1,1),OFFSET(Table2,0,1,ROWS(Table2),8),3,0),VLOOKUP(OFFSET(Table22,671,22,1,1),Table2,4,0))</f>
        <v>21356941</v>
      </c>
      <c r="I672" s="2" t="n">
        <f aca="false">IFERROR(VLOOKUP(OFFSET(Table22,671,21,1,1),OFFSET(Table2,0,1,ROWS(Table2),8),4,0),VLOOKUP(OFFSET(Table22,671,22,1,1),Table2,5,0))</f>
        <v>720193</v>
      </c>
      <c r="J672" s="3" t="str">
        <f aca="false">IF(ISNUMBER(SEARCH("FACEBOOK",W672)),"Facebook",IF(ISNUMBER(SEARCH("INSTAGRAM",W672)),"Facebook-Instagram","Look at taxonomy"))</f>
        <v>Facebook</v>
      </c>
      <c r="K672" s="3" t="str">
        <f aca="false">IF(ISNUMBER(SEARCH("Facebook",J672)),"3654128","Not Facebook")</f>
        <v>3654128</v>
      </c>
      <c r="L672" s="3" t="str">
        <f aca="false">IFERROR(VLOOKUP(OFFSET(Table22,671,21,1,1),OFFSET(Table2,0,1,ROWS(Table2),8),7,0),VLOOKUP(OFFSET(Table22,671,22,1,1),Table2,8,0))</f>
        <v>AZR_FreeAcctITProFB-AnimatedMigration-Ch3_FRA_1200x1200_VIA_AZRDirect_French_NA_Facebook_STAN_LEA_T3_1</v>
      </c>
      <c r="M672" s="2" t="n">
        <f aca="false">IFERROR(VLOOKUP(OFFSET(Table22,671,21,1,1),OFFSET(Table2,0,1,ROWS(Table2),8),8,0),VLOOKUP(OFFSET(Table22,671,22,1,1),Table2,9,0))</f>
        <v>104458003</v>
      </c>
      <c r="N672" s="15" t="s">
        <v>29</v>
      </c>
      <c r="O672" s="16" t="n">
        <v>43352</v>
      </c>
      <c r="P672" s="17" t="s">
        <v>102</v>
      </c>
      <c r="Q672" s="18" t="s">
        <v>103</v>
      </c>
      <c r="R672" s="17" t="s">
        <v>104</v>
      </c>
      <c r="S672" s="18" t="s">
        <v>33</v>
      </c>
      <c r="T672" s="17" t="s">
        <v>34</v>
      </c>
      <c r="U672" s="18" t="s">
        <v>131</v>
      </c>
      <c r="V672" s="19" t="n">
        <v>226359935</v>
      </c>
      <c r="W672" s="17" t="s">
        <v>148</v>
      </c>
      <c r="X672" s="17" t="n">
        <v>8</v>
      </c>
      <c r="Y672" s="17"/>
      <c r="Z672" s="17" t="n">
        <v>0.04</v>
      </c>
      <c r="AA672" s="17" t="s">
        <v>38</v>
      </c>
      <c r="AB672" s="17"/>
    </row>
    <row r="673" customFormat="false" ht="15" hidden="false" customHeight="false" outlineLevel="0" collapsed="false">
      <c r="A673" s="1" t="str">
        <f aca="false">OFFSET(Table22,672,14,1,1)&amp;OFFSET(Table22,672,21,1,1)</f>
        <v>43358226359941</v>
      </c>
      <c r="B673" s="1" t="str">
        <f aca="false">OFFSET(Table22,672,14,1,1)&amp;OFFSET(Table22,672,22,1,1)</f>
        <v>43358Facebook»ITPros-Azure Direct-Sponsored Post_Trial_PayGo-Video Ad-Free Account IT Pro - Secure»1x1»30s»SOC»ALL»CPC»LAL»D»UNK»SS»NA»Trials_ID</v>
      </c>
      <c r="C673" s="1" t="s">
        <v>28</v>
      </c>
      <c r="D673" s="3" t="n">
        <f aca="false">O673+(7-WEEKDAY(O673))</f>
        <v>43358</v>
      </c>
      <c r="E673" s="1" t="str">
        <f aca="false">VLOOKUP(OFFSET(Table22,672,16,1,1),Key!B:D,2,0)</f>
        <v>France</v>
      </c>
      <c r="F673" s="1" t="str">
        <f aca="false">IF(ISNUMBER(SEARCH("Canvas",U673)),"Link",IF(ISNUMBER(SEARCH("Link",U673)),"Link","Not filled properly"))</f>
        <v>Link</v>
      </c>
      <c r="G673" s="1" t="str">
        <f aca="false">IFERROR(VLOOKUP(OFFSET(Table22,672,21,1,1),OFFSET(Table2,0,1,ROWS(Table2),8),2,0),VLOOKUP(OFFSET(Table22,672,22,1,1),Table2,3,0))</f>
        <v>FRA_gaPMG_AZR_AZR_Q1_19_AzureDirect-Trial-Social</v>
      </c>
      <c r="H673" s="1" t="n">
        <f aca="false">IFERROR(VLOOKUP(OFFSET(Table22,672,21,1,1),OFFSET(Table2,0,1,ROWS(Table2),8),3,0),VLOOKUP(OFFSET(Table22,672,22,1,1),Table2,4,0))</f>
        <v>21356941</v>
      </c>
      <c r="I673" s="2" t="n">
        <f aca="false">IFERROR(VLOOKUP(OFFSET(Table22,672,21,1,1),OFFSET(Table2,0,1,ROWS(Table2),8),4,0),VLOOKUP(OFFSET(Table22,672,22,1,1),Table2,5,0))</f>
        <v>720193</v>
      </c>
      <c r="J673" s="3" t="str">
        <f aca="false">IF(ISNUMBER(SEARCH("FACEBOOK",W673)),"Facebook",IF(ISNUMBER(SEARCH("INSTAGRAM",W673)),"Facebook-Instagram","Look at taxonomy"))</f>
        <v>Facebook</v>
      </c>
      <c r="K673" s="3" t="str">
        <f aca="false">IF(ISNUMBER(SEARCH("Facebook",J673)),"3654128","Not Facebook")</f>
        <v>3654128</v>
      </c>
      <c r="L673" s="3" t="str">
        <f aca="false">IFERROR(VLOOKUP(OFFSET(Table22,672,21,1,1),OFFSET(Table2,0,1,ROWS(Table2),8),7,0),VLOOKUP(OFFSET(Table22,672,22,1,1),Table2,8,0))</f>
        <v>AZR_FreeAcctITProFB-AnimatedSecureMngd-Ch1_FRA_1200x1200_VIA_AZRDirect_French_NA_Facebook_STAN_LEA_T1_1</v>
      </c>
      <c r="M673" s="2" t="n">
        <f aca="false">IFERROR(VLOOKUP(OFFSET(Table22,672,21,1,1),OFFSET(Table2,0,1,ROWS(Table2),8),8,0),VLOOKUP(OFFSET(Table22,672,22,1,1),Table2,9,0))</f>
        <v>104455906</v>
      </c>
      <c r="N673" s="15" t="s">
        <v>29</v>
      </c>
      <c r="O673" s="16" t="n">
        <v>43358</v>
      </c>
      <c r="P673" s="17" t="s">
        <v>102</v>
      </c>
      <c r="Q673" s="18" t="s">
        <v>103</v>
      </c>
      <c r="R673" s="17" t="s">
        <v>104</v>
      </c>
      <c r="S673" s="18" t="s">
        <v>33</v>
      </c>
      <c r="T673" s="17" t="s">
        <v>34</v>
      </c>
      <c r="U673" s="18" t="s">
        <v>131</v>
      </c>
      <c r="V673" s="19" t="n">
        <v>226359941</v>
      </c>
      <c r="W673" s="17" t="s">
        <v>149</v>
      </c>
      <c r="X673" s="17" t="n">
        <v>0</v>
      </c>
      <c r="Y673" s="17"/>
      <c r="Z673" s="17" t="n">
        <v>0</v>
      </c>
      <c r="AA673" s="17" t="s">
        <v>38</v>
      </c>
      <c r="AB673" s="17"/>
    </row>
    <row r="674" customFormat="false" ht="15" hidden="false" customHeight="false" outlineLevel="0" collapsed="false">
      <c r="A674" s="1" t="str">
        <f aca="false">OFFSET(Table22,673,14,1,1)&amp;OFFSET(Table22,673,21,1,1)</f>
        <v>43357226359941</v>
      </c>
      <c r="B674" s="1" t="str">
        <f aca="false">OFFSET(Table22,673,14,1,1)&amp;OFFSET(Table22,673,22,1,1)</f>
        <v>43357Facebook»ITPros-Azure Direct-Sponsored Post_Trial_PayGo-Video Ad-Free Account IT Pro - Secure»1x1»30s»SOC»ALL»CPC»LAL»D»UNK»SS»NA»Trials_ID</v>
      </c>
      <c r="C674" s="1" t="s">
        <v>28</v>
      </c>
      <c r="D674" s="3" t="n">
        <f aca="false">O674+(7-WEEKDAY(O674))</f>
        <v>43358</v>
      </c>
      <c r="E674" s="1" t="str">
        <f aca="false">VLOOKUP(OFFSET(Table22,673,16,1,1),Key!B:D,2,0)</f>
        <v>France</v>
      </c>
      <c r="F674" s="1" t="str">
        <f aca="false">IF(ISNUMBER(SEARCH("Canvas",U674)),"Link",IF(ISNUMBER(SEARCH("Link",U674)),"Link","Not filled properly"))</f>
        <v>Link</v>
      </c>
      <c r="G674" s="1" t="str">
        <f aca="false">IFERROR(VLOOKUP(OFFSET(Table22,673,21,1,1),OFFSET(Table2,0,1,ROWS(Table2),8),2,0),VLOOKUP(OFFSET(Table22,673,22,1,1),Table2,3,0))</f>
        <v>FRA_gaPMG_AZR_AZR_Q1_19_AzureDirect-Trial-Social</v>
      </c>
      <c r="H674" s="1" t="n">
        <f aca="false">IFERROR(VLOOKUP(OFFSET(Table22,673,21,1,1),OFFSET(Table2,0,1,ROWS(Table2),8),3,0),VLOOKUP(OFFSET(Table22,673,22,1,1),Table2,4,0))</f>
        <v>21356941</v>
      </c>
      <c r="I674" s="2" t="n">
        <f aca="false">IFERROR(VLOOKUP(OFFSET(Table22,673,21,1,1),OFFSET(Table2,0,1,ROWS(Table2),8),4,0),VLOOKUP(OFFSET(Table22,673,22,1,1),Table2,5,0))</f>
        <v>720193</v>
      </c>
      <c r="J674" s="3" t="str">
        <f aca="false">IF(ISNUMBER(SEARCH("FACEBOOK",W674)),"Facebook",IF(ISNUMBER(SEARCH("INSTAGRAM",W674)),"Facebook-Instagram","Look at taxonomy"))</f>
        <v>Facebook</v>
      </c>
      <c r="K674" s="3" t="str">
        <f aca="false">IF(ISNUMBER(SEARCH("Facebook",J674)),"3654128","Not Facebook")</f>
        <v>3654128</v>
      </c>
      <c r="L674" s="3" t="str">
        <f aca="false">IFERROR(VLOOKUP(OFFSET(Table22,673,21,1,1),OFFSET(Table2,0,1,ROWS(Table2),8),7,0),VLOOKUP(OFFSET(Table22,673,22,1,1),Table2,8,0))</f>
        <v>AZR_FreeAcctITProFB-AnimatedSecureMngd-Ch1_FRA_1200x1200_VIA_AZRDirect_French_NA_Facebook_STAN_LEA_T1_1</v>
      </c>
      <c r="M674" s="2" t="n">
        <f aca="false">IFERROR(VLOOKUP(OFFSET(Table22,673,21,1,1),OFFSET(Table2,0,1,ROWS(Table2),8),8,0),VLOOKUP(OFFSET(Table22,673,22,1,1),Table2,9,0))</f>
        <v>104455906</v>
      </c>
      <c r="N674" s="15" t="s">
        <v>29</v>
      </c>
      <c r="O674" s="16" t="n">
        <v>43357</v>
      </c>
      <c r="P674" s="17" t="s">
        <v>102</v>
      </c>
      <c r="Q674" s="18" t="s">
        <v>103</v>
      </c>
      <c r="R674" s="17" t="s">
        <v>104</v>
      </c>
      <c r="S674" s="18" t="s">
        <v>33</v>
      </c>
      <c r="T674" s="17" t="s">
        <v>34</v>
      </c>
      <c r="U674" s="18" t="s">
        <v>131</v>
      </c>
      <c r="V674" s="19" t="n">
        <v>226359941</v>
      </c>
      <c r="W674" s="17" t="s">
        <v>149</v>
      </c>
      <c r="X674" s="17" t="n">
        <v>0</v>
      </c>
      <c r="Y674" s="17"/>
      <c r="Z674" s="17" t="n">
        <v>0</v>
      </c>
      <c r="AA674" s="17" t="s">
        <v>38</v>
      </c>
      <c r="AB674" s="17"/>
    </row>
    <row r="675" customFormat="false" ht="15" hidden="false" customHeight="false" outlineLevel="0" collapsed="false">
      <c r="A675" s="1" t="str">
        <f aca="false">OFFSET(Table22,674,14,1,1)&amp;OFFSET(Table22,674,21,1,1)</f>
        <v>43356226359941</v>
      </c>
      <c r="B675" s="1" t="str">
        <f aca="false">OFFSET(Table22,674,14,1,1)&amp;OFFSET(Table22,674,22,1,1)</f>
        <v>43356Facebook»ITPros-Azure Direct-Sponsored Post_Trial_PayGo-Video Ad-Free Account IT Pro - Secure»1x1»30s»SOC»ALL»CPC»LAL»D»UNK»SS»NA»Trials_ID</v>
      </c>
      <c r="C675" s="1" t="s">
        <v>28</v>
      </c>
      <c r="D675" s="3" t="n">
        <f aca="false">O675+(7-WEEKDAY(O675))</f>
        <v>43358</v>
      </c>
      <c r="E675" s="1" t="str">
        <f aca="false">VLOOKUP(OFFSET(Table22,674,16,1,1),Key!B:D,2,0)</f>
        <v>France</v>
      </c>
      <c r="F675" s="1" t="str">
        <f aca="false">IF(ISNUMBER(SEARCH("Canvas",U675)),"Link",IF(ISNUMBER(SEARCH("Link",U675)),"Link","Not filled properly"))</f>
        <v>Link</v>
      </c>
      <c r="G675" s="1" t="str">
        <f aca="false">IFERROR(VLOOKUP(OFFSET(Table22,674,21,1,1),OFFSET(Table2,0,1,ROWS(Table2),8),2,0),VLOOKUP(OFFSET(Table22,674,22,1,1),Table2,3,0))</f>
        <v>FRA_gaPMG_AZR_AZR_Q1_19_AzureDirect-Trial-Social</v>
      </c>
      <c r="H675" s="1" t="n">
        <f aca="false">IFERROR(VLOOKUP(OFFSET(Table22,674,21,1,1),OFFSET(Table2,0,1,ROWS(Table2),8),3,0),VLOOKUP(OFFSET(Table22,674,22,1,1),Table2,4,0))</f>
        <v>21356941</v>
      </c>
      <c r="I675" s="2" t="n">
        <f aca="false">IFERROR(VLOOKUP(OFFSET(Table22,674,21,1,1),OFFSET(Table2,0,1,ROWS(Table2),8),4,0),VLOOKUP(OFFSET(Table22,674,22,1,1),Table2,5,0))</f>
        <v>720193</v>
      </c>
      <c r="J675" s="3" t="str">
        <f aca="false">IF(ISNUMBER(SEARCH("FACEBOOK",W675)),"Facebook",IF(ISNUMBER(SEARCH("INSTAGRAM",W675)),"Facebook-Instagram","Look at taxonomy"))</f>
        <v>Facebook</v>
      </c>
      <c r="K675" s="3" t="str">
        <f aca="false">IF(ISNUMBER(SEARCH("Facebook",J675)),"3654128","Not Facebook")</f>
        <v>3654128</v>
      </c>
      <c r="L675" s="3" t="str">
        <f aca="false">IFERROR(VLOOKUP(OFFSET(Table22,674,21,1,1),OFFSET(Table2,0,1,ROWS(Table2),8),7,0),VLOOKUP(OFFSET(Table22,674,22,1,1),Table2,8,0))</f>
        <v>AZR_FreeAcctITProFB-AnimatedSecureMngd-Ch1_FRA_1200x1200_VIA_AZRDirect_French_NA_Facebook_STAN_LEA_T1_1</v>
      </c>
      <c r="M675" s="2" t="n">
        <f aca="false">IFERROR(VLOOKUP(OFFSET(Table22,674,21,1,1),OFFSET(Table2,0,1,ROWS(Table2),8),8,0),VLOOKUP(OFFSET(Table22,674,22,1,1),Table2,9,0))</f>
        <v>104455906</v>
      </c>
      <c r="N675" s="15" t="s">
        <v>29</v>
      </c>
      <c r="O675" s="16" t="n">
        <v>43356</v>
      </c>
      <c r="P675" s="17" t="s">
        <v>102</v>
      </c>
      <c r="Q675" s="18" t="s">
        <v>103</v>
      </c>
      <c r="R675" s="17" t="s">
        <v>104</v>
      </c>
      <c r="S675" s="18" t="s">
        <v>33</v>
      </c>
      <c r="T675" s="17" t="s">
        <v>34</v>
      </c>
      <c r="U675" s="18" t="s">
        <v>131</v>
      </c>
      <c r="V675" s="19" t="n">
        <v>226359941</v>
      </c>
      <c r="W675" s="17" t="s">
        <v>149</v>
      </c>
      <c r="X675" s="17" t="n">
        <v>1</v>
      </c>
      <c r="Y675" s="17"/>
      <c r="Z675" s="17" t="n">
        <v>0</v>
      </c>
      <c r="AA675" s="17" t="s">
        <v>38</v>
      </c>
      <c r="AB675" s="17"/>
    </row>
    <row r="676" customFormat="false" ht="15" hidden="false" customHeight="false" outlineLevel="0" collapsed="false">
      <c r="A676" s="1" t="str">
        <f aca="false">OFFSET(Table22,675,14,1,1)&amp;OFFSET(Table22,675,21,1,1)</f>
        <v>43355226359941</v>
      </c>
      <c r="B676" s="1" t="str">
        <f aca="false">OFFSET(Table22,675,14,1,1)&amp;OFFSET(Table22,675,22,1,1)</f>
        <v>43355Facebook»ITPros-Azure Direct-Sponsored Post_Trial_PayGo-Video Ad-Free Account IT Pro - Secure»1x1»30s»SOC»ALL»CPC»LAL»D»UNK»SS»NA»Trials_ID</v>
      </c>
      <c r="C676" s="1" t="s">
        <v>28</v>
      </c>
      <c r="D676" s="3" t="n">
        <f aca="false">O676+(7-WEEKDAY(O676))</f>
        <v>43358</v>
      </c>
      <c r="E676" s="1" t="str">
        <f aca="false">VLOOKUP(OFFSET(Table22,675,16,1,1),Key!B:D,2,0)</f>
        <v>France</v>
      </c>
      <c r="F676" s="1" t="str">
        <f aca="false">IF(ISNUMBER(SEARCH("Canvas",U676)),"Link",IF(ISNUMBER(SEARCH("Link",U676)),"Link","Not filled properly"))</f>
        <v>Link</v>
      </c>
      <c r="G676" s="1" t="str">
        <f aca="false">IFERROR(VLOOKUP(OFFSET(Table22,675,21,1,1),OFFSET(Table2,0,1,ROWS(Table2),8),2,0),VLOOKUP(OFFSET(Table22,675,22,1,1),Table2,3,0))</f>
        <v>FRA_gaPMG_AZR_AZR_Q1_19_AzureDirect-Trial-Social</v>
      </c>
      <c r="H676" s="1" t="n">
        <f aca="false">IFERROR(VLOOKUP(OFFSET(Table22,675,21,1,1),OFFSET(Table2,0,1,ROWS(Table2),8),3,0),VLOOKUP(OFFSET(Table22,675,22,1,1),Table2,4,0))</f>
        <v>21356941</v>
      </c>
      <c r="I676" s="2" t="n">
        <f aca="false">IFERROR(VLOOKUP(OFFSET(Table22,675,21,1,1),OFFSET(Table2,0,1,ROWS(Table2),8),4,0),VLOOKUP(OFFSET(Table22,675,22,1,1),Table2,5,0))</f>
        <v>720193</v>
      </c>
      <c r="J676" s="3" t="str">
        <f aca="false">IF(ISNUMBER(SEARCH("FACEBOOK",W676)),"Facebook",IF(ISNUMBER(SEARCH("INSTAGRAM",W676)),"Facebook-Instagram","Look at taxonomy"))</f>
        <v>Facebook</v>
      </c>
      <c r="K676" s="3" t="str">
        <f aca="false">IF(ISNUMBER(SEARCH("Facebook",J676)),"3654128","Not Facebook")</f>
        <v>3654128</v>
      </c>
      <c r="L676" s="3" t="str">
        <f aca="false">IFERROR(VLOOKUP(OFFSET(Table22,675,21,1,1),OFFSET(Table2,0,1,ROWS(Table2),8),7,0),VLOOKUP(OFFSET(Table22,675,22,1,1),Table2,8,0))</f>
        <v>AZR_FreeAcctITProFB-AnimatedSecureMngd-Ch1_FRA_1200x1200_VIA_AZRDirect_French_NA_Facebook_STAN_LEA_T1_1</v>
      </c>
      <c r="M676" s="2" t="n">
        <f aca="false">IFERROR(VLOOKUP(OFFSET(Table22,675,21,1,1),OFFSET(Table2,0,1,ROWS(Table2),8),8,0),VLOOKUP(OFFSET(Table22,675,22,1,1),Table2,9,0))</f>
        <v>104455906</v>
      </c>
      <c r="N676" s="15" t="s">
        <v>29</v>
      </c>
      <c r="O676" s="16" t="n">
        <v>43355</v>
      </c>
      <c r="P676" s="17" t="s">
        <v>102</v>
      </c>
      <c r="Q676" s="18" t="s">
        <v>103</v>
      </c>
      <c r="R676" s="17" t="s">
        <v>104</v>
      </c>
      <c r="S676" s="18" t="s">
        <v>33</v>
      </c>
      <c r="T676" s="17" t="s">
        <v>34</v>
      </c>
      <c r="U676" s="18" t="s">
        <v>131</v>
      </c>
      <c r="V676" s="19" t="n">
        <v>226359941</v>
      </c>
      <c r="W676" s="17" t="s">
        <v>149</v>
      </c>
      <c r="X676" s="17" t="n">
        <v>1</v>
      </c>
      <c r="Y676" s="17"/>
      <c r="Z676" s="17" t="n">
        <v>0</v>
      </c>
      <c r="AA676" s="17" t="s">
        <v>38</v>
      </c>
      <c r="AB676" s="17"/>
    </row>
    <row r="677" customFormat="false" ht="15" hidden="false" customHeight="false" outlineLevel="0" collapsed="false">
      <c r="A677" s="1" t="str">
        <f aca="false">OFFSET(Table22,676,14,1,1)&amp;OFFSET(Table22,676,21,1,1)</f>
        <v>43354226359941</v>
      </c>
      <c r="B677" s="1" t="str">
        <f aca="false">OFFSET(Table22,676,14,1,1)&amp;OFFSET(Table22,676,22,1,1)</f>
        <v>43354Facebook»ITPros-Azure Direct-Sponsored Post_Trial_PayGo-Video Ad-Free Account IT Pro - Secure»1x1»30s»SOC»ALL»CPC»LAL»D»UNK»SS»NA»Trials_ID</v>
      </c>
      <c r="C677" s="1" t="s">
        <v>28</v>
      </c>
      <c r="D677" s="3" t="n">
        <f aca="false">O677+(7-WEEKDAY(O677))</f>
        <v>43358</v>
      </c>
      <c r="E677" s="1" t="str">
        <f aca="false">VLOOKUP(OFFSET(Table22,676,16,1,1),Key!B:D,2,0)</f>
        <v>France</v>
      </c>
      <c r="F677" s="1" t="str">
        <f aca="false">IF(ISNUMBER(SEARCH("Canvas",U677)),"Link",IF(ISNUMBER(SEARCH("Link",U677)),"Link","Not filled properly"))</f>
        <v>Link</v>
      </c>
      <c r="G677" s="1" t="str">
        <f aca="false">IFERROR(VLOOKUP(OFFSET(Table22,676,21,1,1),OFFSET(Table2,0,1,ROWS(Table2),8),2,0),VLOOKUP(OFFSET(Table22,676,22,1,1),Table2,3,0))</f>
        <v>FRA_gaPMG_AZR_AZR_Q1_19_AzureDirect-Trial-Social</v>
      </c>
      <c r="H677" s="1" t="n">
        <f aca="false">IFERROR(VLOOKUP(OFFSET(Table22,676,21,1,1),OFFSET(Table2,0,1,ROWS(Table2),8),3,0),VLOOKUP(OFFSET(Table22,676,22,1,1),Table2,4,0))</f>
        <v>21356941</v>
      </c>
      <c r="I677" s="2" t="n">
        <f aca="false">IFERROR(VLOOKUP(OFFSET(Table22,676,21,1,1),OFFSET(Table2,0,1,ROWS(Table2),8),4,0),VLOOKUP(OFFSET(Table22,676,22,1,1),Table2,5,0))</f>
        <v>720193</v>
      </c>
      <c r="J677" s="3" t="str">
        <f aca="false">IF(ISNUMBER(SEARCH("FACEBOOK",W677)),"Facebook",IF(ISNUMBER(SEARCH("INSTAGRAM",W677)),"Facebook-Instagram","Look at taxonomy"))</f>
        <v>Facebook</v>
      </c>
      <c r="K677" s="3" t="str">
        <f aca="false">IF(ISNUMBER(SEARCH("Facebook",J677)),"3654128","Not Facebook")</f>
        <v>3654128</v>
      </c>
      <c r="L677" s="3" t="str">
        <f aca="false">IFERROR(VLOOKUP(OFFSET(Table22,676,21,1,1),OFFSET(Table2,0,1,ROWS(Table2),8),7,0),VLOOKUP(OFFSET(Table22,676,22,1,1),Table2,8,0))</f>
        <v>AZR_FreeAcctITProFB-AnimatedSecureMngd-Ch1_FRA_1200x1200_VIA_AZRDirect_French_NA_Facebook_STAN_LEA_T1_1</v>
      </c>
      <c r="M677" s="2" t="n">
        <f aca="false">IFERROR(VLOOKUP(OFFSET(Table22,676,21,1,1),OFFSET(Table2,0,1,ROWS(Table2),8),8,0),VLOOKUP(OFFSET(Table22,676,22,1,1),Table2,9,0))</f>
        <v>104455906</v>
      </c>
      <c r="N677" s="15" t="s">
        <v>29</v>
      </c>
      <c r="O677" s="16" t="n">
        <v>43354</v>
      </c>
      <c r="P677" s="17" t="s">
        <v>102</v>
      </c>
      <c r="Q677" s="18" t="s">
        <v>103</v>
      </c>
      <c r="R677" s="17" t="s">
        <v>104</v>
      </c>
      <c r="S677" s="18" t="s">
        <v>33</v>
      </c>
      <c r="T677" s="17" t="s">
        <v>34</v>
      </c>
      <c r="U677" s="18" t="s">
        <v>131</v>
      </c>
      <c r="V677" s="19" t="n">
        <v>226359941</v>
      </c>
      <c r="W677" s="17" t="s">
        <v>149</v>
      </c>
      <c r="X677" s="17" t="n">
        <v>7</v>
      </c>
      <c r="Y677" s="17"/>
      <c r="Z677" s="17" t="n">
        <v>0.05</v>
      </c>
      <c r="AA677" s="17" t="s">
        <v>38</v>
      </c>
      <c r="AB677" s="17"/>
    </row>
    <row r="678" customFormat="false" ht="15" hidden="false" customHeight="false" outlineLevel="0" collapsed="false">
      <c r="A678" s="1" t="str">
        <f aca="false">OFFSET(Table22,677,14,1,1)&amp;OFFSET(Table22,677,21,1,1)</f>
        <v>43353226359941</v>
      </c>
      <c r="B678" s="1" t="str">
        <f aca="false">OFFSET(Table22,677,14,1,1)&amp;OFFSET(Table22,677,22,1,1)</f>
        <v>43353Facebook»ITPros-Azure Direct-Sponsored Post_Trial_PayGo-Video Ad-Free Account IT Pro - Secure»1x1»30s»SOC»ALL»CPC»LAL»D»UNK»SS»NA»Trials_ID</v>
      </c>
      <c r="C678" s="1" t="s">
        <v>28</v>
      </c>
      <c r="D678" s="3" t="n">
        <f aca="false">O678+(7-WEEKDAY(O678))</f>
        <v>43358</v>
      </c>
      <c r="E678" s="1" t="str">
        <f aca="false">VLOOKUP(OFFSET(Table22,677,16,1,1),Key!B:D,2,0)</f>
        <v>France</v>
      </c>
      <c r="F678" s="1" t="str">
        <f aca="false">IF(ISNUMBER(SEARCH("Canvas",U678)),"Link",IF(ISNUMBER(SEARCH("Link",U678)),"Link","Not filled properly"))</f>
        <v>Link</v>
      </c>
      <c r="G678" s="1" t="str">
        <f aca="false">IFERROR(VLOOKUP(OFFSET(Table22,677,21,1,1),OFFSET(Table2,0,1,ROWS(Table2),8),2,0),VLOOKUP(OFFSET(Table22,677,22,1,1),Table2,3,0))</f>
        <v>FRA_gaPMG_AZR_AZR_Q1_19_AzureDirect-Trial-Social</v>
      </c>
      <c r="H678" s="1" t="n">
        <f aca="false">IFERROR(VLOOKUP(OFFSET(Table22,677,21,1,1),OFFSET(Table2,0,1,ROWS(Table2),8),3,0),VLOOKUP(OFFSET(Table22,677,22,1,1),Table2,4,0))</f>
        <v>21356941</v>
      </c>
      <c r="I678" s="2" t="n">
        <f aca="false">IFERROR(VLOOKUP(OFFSET(Table22,677,21,1,1),OFFSET(Table2,0,1,ROWS(Table2),8),4,0),VLOOKUP(OFFSET(Table22,677,22,1,1),Table2,5,0))</f>
        <v>720193</v>
      </c>
      <c r="J678" s="3" t="str">
        <f aca="false">IF(ISNUMBER(SEARCH("FACEBOOK",W678)),"Facebook",IF(ISNUMBER(SEARCH("INSTAGRAM",W678)),"Facebook-Instagram","Look at taxonomy"))</f>
        <v>Facebook</v>
      </c>
      <c r="K678" s="3" t="str">
        <f aca="false">IF(ISNUMBER(SEARCH("Facebook",J678)),"3654128","Not Facebook")</f>
        <v>3654128</v>
      </c>
      <c r="L678" s="3" t="str">
        <f aca="false">IFERROR(VLOOKUP(OFFSET(Table22,677,21,1,1),OFFSET(Table2,0,1,ROWS(Table2),8),7,0),VLOOKUP(OFFSET(Table22,677,22,1,1),Table2,8,0))</f>
        <v>AZR_FreeAcctITProFB-AnimatedSecureMngd-Ch1_FRA_1200x1200_VIA_AZRDirect_French_NA_Facebook_STAN_LEA_T1_1</v>
      </c>
      <c r="M678" s="2" t="n">
        <f aca="false">IFERROR(VLOOKUP(OFFSET(Table22,677,21,1,1),OFFSET(Table2,0,1,ROWS(Table2),8),8,0),VLOOKUP(OFFSET(Table22,677,22,1,1),Table2,9,0))</f>
        <v>104455906</v>
      </c>
      <c r="N678" s="15" t="s">
        <v>29</v>
      </c>
      <c r="O678" s="16" t="n">
        <v>43353</v>
      </c>
      <c r="P678" s="17" t="s">
        <v>102</v>
      </c>
      <c r="Q678" s="18" t="s">
        <v>103</v>
      </c>
      <c r="R678" s="17" t="s">
        <v>104</v>
      </c>
      <c r="S678" s="18" t="s">
        <v>33</v>
      </c>
      <c r="T678" s="17" t="s">
        <v>34</v>
      </c>
      <c r="U678" s="18" t="s">
        <v>131</v>
      </c>
      <c r="V678" s="19" t="n">
        <v>226359941</v>
      </c>
      <c r="W678" s="17" t="s">
        <v>149</v>
      </c>
      <c r="X678" s="17" t="n">
        <v>32</v>
      </c>
      <c r="Y678" s="17"/>
      <c r="Z678" s="17" t="n">
        <v>0.27</v>
      </c>
      <c r="AA678" s="17" t="s">
        <v>38</v>
      </c>
      <c r="AB678" s="17"/>
    </row>
    <row r="679" customFormat="false" ht="15" hidden="false" customHeight="false" outlineLevel="0" collapsed="false">
      <c r="A679" s="1" t="str">
        <f aca="false">OFFSET(Table22,678,14,1,1)&amp;OFFSET(Table22,678,21,1,1)</f>
        <v>43352226359941</v>
      </c>
      <c r="B679" s="1" t="str">
        <f aca="false">OFFSET(Table22,678,14,1,1)&amp;OFFSET(Table22,678,22,1,1)</f>
        <v>43352Facebook»ITPros-Azure Direct-Sponsored Post_Trial_PayGo-Video Ad-Free Account IT Pro - Secure»1x1»30s»SOC»ALL»CPC»LAL»D»UNK»SS»NA»Trials_ID</v>
      </c>
      <c r="C679" s="1" t="s">
        <v>28</v>
      </c>
      <c r="D679" s="3" t="n">
        <f aca="false">O679+(7-WEEKDAY(O679))</f>
        <v>43358</v>
      </c>
      <c r="E679" s="1" t="str">
        <f aca="false">VLOOKUP(OFFSET(Table22,678,16,1,1),Key!B:D,2,0)</f>
        <v>France</v>
      </c>
      <c r="F679" s="1" t="str">
        <f aca="false">IF(ISNUMBER(SEARCH("Canvas",U679)),"Link",IF(ISNUMBER(SEARCH("Link",U679)),"Link","Not filled properly"))</f>
        <v>Link</v>
      </c>
      <c r="G679" s="1" t="str">
        <f aca="false">IFERROR(VLOOKUP(OFFSET(Table22,678,21,1,1),OFFSET(Table2,0,1,ROWS(Table2),8),2,0),VLOOKUP(OFFSET(Table22,678,22,1,1),Table2,3,0))</f>
        <v>FRA_gaPMG_AZR_AZR_Q1_19_AzureDirect-Trial-Social</v>
      </c>
      <c r="H679" s="1" t="n">
        <f aca="false">IFERROR(VLOOKUP(OFFSET(Table22,678,21,1,1),OFFSET(Table2,0,1,ROWS(Table2),8),3,0),VLOOKUP(OFFSET(Table22,678,22,1,1),Table2,4,0))</f>
        <v>21356941</v>
      </c>
      <c r="I679" s="2" t="n">
        <f aca="false">IFERROR(VLOOKUP(OFFSET(Table22,678,21,1,1),OFFSET(Table2,0,1,ROWS(Table2),8),4,0),VLOOKUP(OFFSET(Table22,678,22,1,1),Table2,5,0))</f>
        <v>720193</v>
      </c>
      <c r="J679" s="3" t="str">
        <f aca="false">IF(ISNUMBER(SEARCH("FACEBOOK",W679)),"Facebook",IF(ISNUMBER(SEARCH("INSTAGRAM",W679)),"Facebook-Instagram","Look at taxonomy"))</f>
        <v>Facebook</v>
      </c>
      <c r="K679" s="3" t="str">
        <f aca="false">IF(ISNUMBER(SEARCH("Facebook",J679)),"3654128","Not Facebook")</f>
        <v>3654128</v>
      </c>
      <c r="L679" s="3" t="str">
        <f aca="false">IFERROR(VLOOKUP(OFFSET(Table22,678,21,1,1),OFFSET(Table2,0,1,ROWS(Table2),8),7,0),VLOOKUP(OFFSET(Table22,678,22,1,1),Table2,8,0))</f>
        <v>AZR_FreeAcctITProFB-AnimatedSecureMngd-Ch1_FRA_1200x1200_VIA_AZRDirect_French_NA_Facebook_STAN_LEA_T1_1</v>
      </c>
      <c r="M679" s="2" t="n">
        <f aca="false">IFERROR(VLOOKUP(OFFSET(Table22,678,21,1,1),OFFSET(Table2,0,1,ROWS(Table2),8),8,0),VLOOKUP(OFFSET(Table22,678,22,1,1),Table2,9,0))</f>
        <v>104455906</v>
      </c>
      <c r="N679" s="15" t="s">
        <v>29</v>
      </c>
      <c r="O679" s="16" t="n">
        <v>43352</v>
      </c>
      <c r="P679" s="17" t="s">
        <v>102</v>
      </c>
      <c r="Q679" s="18" t="s">
        <v>103</v>
      </c>
      <c r="R679" s="17" t="s">
        <v>104</v>
      </c>
      <c r="S679" s="18" t="s">
        <v>33</v>
      </c>
      <c r="T679" s="17" t="s">
        <v>34</v>
      </c>
      <c r="U679" s="18" t="s">
        <v>131</v>
      </c>
      <c r="V679" s="19" t="n">
        <v>226359941</v>
      </c>
      <c r="W679" s="17" t="s">
        <v>149</v>
      </c>
      <c r="X679" s="17" t="n">
        <v>39</v>
      </c>
      <c r="Y679" s="17" t="n">
        <v>3</v>
      </c>
      <c r="Z679" s="17" t="n">
        <v>0.31</v>
      </c>
      <c r="AA679" s="17" t="s">
        <v>38</v>
      </c>
      <c r="AB679" s="17"/>
    </row>
    <row r="680" customFormat="false" ht="15" hidden="false" customHeight="false" outlineLevel="0" collapsed="false">
      <c r="A680" s="1" t="str">
        <f aca="false">OFFSET(Table22,679,14,1,1)&amp;OFFSET(Table22,679,21,1,1)</f>
        <v>43358226360001</v>
      </c>
      <c r="B680" s="1" t="str">
        <f aca="false">OFFSET(Table22,679,14,1,1)&amp;OFFSET(Table22,679,22,1,1)</f>
        <v>43358Facebook»ITPros-Azure Direct-Sponsored Post_Trial-Video Ad-Free Account IT Pro - Hybrid»1x1»30s»SOC»ALL»CPC»LAL»D»UNK»SS»NA»Trials_ID</v>
      </c>
      <c r="C680" s="1" t="s">
        <v>28</v>
      </c>
      <c r="D680" s="3" t="n">
        <f aca="false">O680+(7-WEEKDAY(O680))</f>
        <v>43358</v>
      </c>
      <c r="E680" s="1" t="str">
        <f aca="false">VLOOKUP(OFFSET(Table22,679,16,1,1),Key!B:D,2,0)</f>
        <v>France</v>
      </c>
      <c r="F680" s="1" t="str">
        <f aca="false">IF(ISNUMBER(SEARCH("Canvas",U680)),"Link",IF(ISNUMBER(SEARCH("Link",U680)),"Link","Not filled properly"))</f>
        <v>Link</v>
      </c>
      <c r="G680" s="1" t="str">
        <f aca="false">IFERROR(VLOOKUP(OFFSET(Table22,679,21,1,1),OFFSET(Table2,0,1,ROWS(Table2),8),2,0),VLOOKUP(OFFSET(Table22,679,22,1,1),Table2,3,0))</f>
        <v>FRA_gaPMG_AZR_AZR_Q1_19_AzureDirect-Trial-Social</v>
      </c>
      <c r="H680" s="1" t="n">
        <f aca="false">IFERROR(VLOOKUP(OFFSET(Table22,679,21,1,1),OFFSET(Table2,0,1,ROWS(Table2),8),3,0),VLOOKUP(OFFSET(Table22,679,22,1,1),Table2,4,0))</f>
        <v>21356941</v>
      </c>
      <c r="I680" s="2" t="n">
        <f aca="false">IFERROR(VLOOKUP(OFFSET(Table22,679,21,1,1),OFFSET(Table2,0,1,ROWS(Table2),8),4,0),VLOOKUP(OFFSET(Table22,679,22,1,1),Table2,5,0))</f>
        <v>720193</v>
      </c>
      <c r="J680" s="3" t="str">
        <f aca="false">IF(ISNUMBER(SEARCH("FACEBOOK",W680)),"Facebook",IF(ISNUMBER(SEARCH("INSTAGRAM",W680)),"Facebook-Instagram","Look at taxonomy"))</f>
        <v>Facebook</v>
      </c>
      <c r="K680" s="3" t="str">
        <f aca="false">IF(ISNUMBER(SEARCH("Facebook",J680)),"3654128","Not Facebook")</f>
        <v>3654128</v>
      </c>
      <c r="L680" s="3" t="str">
        <f aca="false">IFERROR(VLOOKUP(OFFSET(Table22,679,21,1,1),OFFSET(Table2,0,1,ROWS(Table2),8),7,0),VLOOKUP(OFFSET(Table22,679,22,1,1),Table2,8,0))</f>
        <v>AZR_FreeAcctITProFB-AnimatedHybrid-Ch2_FRA_1200x1200_VIA_AZRDirect_French_NA_Facebook_STAN_LEA_T2_1</v>
      </c>
      <c r="M680" s="2" t="n">
        <f aca="false">IFERROR(VLOOKUP(OFFSET(Table22,679,21,1,1),OFFSET(Table2,0,1,ROWS(Table2),8),8,0),VLOOKUP(OFFSET(Table22,679,22,1,1),Table2,9,0))</f>
        <v>104456278</v>
      </c>
      <c r="N680" s="15" t="s">
        <v>29</v>
      </c>
      <c r="O680" s="16" t="n">
        <v>43358</v>
      </c>
      <c r="P680" s="17" t="s">
        <v>102</v>
      </c>
      <c r="Q680" s="18" t="s">
        <v>103</v>
      </c>
      <c r="R680" s="17" t="s">
        <v>104</v>
      </c>
      <c r="S680" s="18" t="s">
        <v>33</v>
      </c>
      <c r="T680" s="17" t="s">
        <v>34</v>
      </c>
      <c r="U680" s="18" t="s">
        <v>131</v>
      </c>
      <c r="V680" s="19" t="n">
        <v>226360001</v>
      </c>
      <c r="W680" s="17" t="s">
        <v>150</v>
      </c>
      <c r="X680" s="17" t="n">
        <v>6888</v>
      </c>
      <c r="Y680" s="17" t="n">
        <v>110</v>
      </c>
      <c r="Z680" s="17" t="n">
        <v>45.47</v>
      </c>
      <c r="AA680" s="17" t="s">
        <v>38</v>
      </c>
      <c r="AB680" s="17"/>
    </row>
    <row r="681" customFormat="false" ht="15" hidden="false" customHeight="false" outlineLevel="0" collapsed="false">
      <c r="A681" s="1" t="str">
        <f aca="false">OFFSET(Table22,680,14,1,1)&amp;OFFSET(Table22,680,21,1,1)</f>
        <v>43357226360001</v>
      </c>
      <c r="B681" s="1" t="str">
        <f aca="false">OFFSET(Table22,680,14,1,1)&amp;OFFSET(Table22,680,22,1,1)</f>
        <v>43357Facebook»ITPros-Azure Direct-Sponsored Post_Trial-Video Ad-Free Account IT Pro - Hybrid»1x1»30s»SOC»ALL»CPC»LAL»D»UNK»SS»NA»Trials_ID</v>
      </c>
      <c r="C681" s="1" t="s">
        <v>28</v>
      </c>
      <c r="D681" s="3" t="n">
        <f aca="false">O681+(7-WEEKDAY(O681))</f>
        <v>43358</v>
      </c>
      <c r="E681" s="1" t="str">
        <f aca="false">VLOOKUP(OFFSET(Table22,680,16,1,1),Key!B:D,2,0)</f>
        <v>France</v>
      </c>
      <c r="F681" s="1" t="str">
        <f aca="false">IF(ISNUMBER(SEARCH("Canvas",U681)),"Link",IF(ISNUMBER(SEARCH("Link",U681)),"Link","Not filled properly"))</f>
        <v>Link</v>
      </c>
      <c r="G681" s="1" t="str">
        <f aca="false">IFERROR(VLOOKUP(OFFSET(Table22,680,21,1,1),OFFSET(Table2,0,1,ROWS(Table2),8),2,0),VLOOKUP(OFFSET(Table22,680,22,1,1),Table2,3,0))</f>
        <v>FRA_gaPMG_AZR_AZR_Q1_19_AzureDirect-Trial-Social</v>
      </c>
      <c r="H681" s="1" t="n">
        <f aca="false">IFERROR(VLOOKUP(OFFSET(Table22,680,21,1,1),OFFSET(Table2,0,1,ROWS(Table2),8),3,0),VLOOKUP(OFFSET(Table22,680,22,1,1),Table2,4,0))</f>
        <v>21356941</v>
      </c>
      <c r="I681" s="2" t="n">
        <f aca="false">IFERROR(VLOOKUP(OFFSET(Table22,680,21,1,1),OFFSET(Table2,0,1,ROWS(Table2),8),4,0),VLOOKUP(OFFSET(Table22,680,22,1,1),Table2,5,0))</f>
        <v>720193</v>
      </c>
      <c r="J681" s="3" t="str">
        <f aca="false">IF(ISNUMBER(SEARCH("FACEBOOK",W681)),"Facebook",IF(ISNUMBER(SEARCH("INSTAGRAM",W681)),"Facebook-Instagram","Look at taxonomy"))</f>
        <v>Facebook</v>
      </c>
      <c r="K681" s="3" t="str">
        <f aca="false">IF(ISNUMBER(SEARCH("Facebook",J681)),"3654128","Not Facebook")</f>
        <v>3654128</v>
      </c>
      <c r="L681" s="3" t="str">
        <f aca="false">IFERROR(VLOOKUP(OFFSET(Table22,680,21,1,1),OFFSET(Table2,0,1,ROWS(Table2),8),7,0),VLOOKUP(OFFSET(Table22,680,22,1,1),Table2,8,0))</f>
        <v>AZR_FreeAcctITProFB-AnimatedHybrid-Ch2_FRA_1200x1200_VIA_AZRDirect_French_NA_Facebook_STAN_LEA_T2_1</v>
      </c>
      <c r="M681" s="2" t="n">
        <f aca="false">IFERROR(VLOOKUP(OFFSET(Table22,680,21,1,1),OFFSET(Table2,0,1,ROWS(Table2),8),8,0),VLOOKUP(OFFSET(Table22,680,22,1,1),Table2,9,0))</f>
        <v>104456278</v>
      </c>
      <c r="N681" s="15" t="s">
        <v>29</v>
      </c>
      <c r="O681" s="16" t="n">
        <v>43357</v>
      </c>
      <c r="P681" s="17" t="s">
        <v>102</v>
      </c>
      <c r="Q681" s="18" t="s">
        <v>103</v>
      </c>
      <c r="R681" s="17" t="s">
        <v>104</v>
      </c>
      <c r="S681" s="18" t="s">
        <v>33</v>
      </c>
      <c r="T681" s="17" t="s">
        <v>34</v>
      </c>
      <c r="U681" s="18" t="s">
        <v>131</v>
      </c>
      <c r="V681" s="19" t="n">
        <v>226360001</v>
      </c>
      <c r="W681" s="17" t="s">
        <v>150</v>
      </c>
      <c r="X681" s="17" t="n">
        <v>7004</v>
      </c>
      <c r="Y681" s="17" t="n">
        <v>114</v>
      </c>
      <c r="Z681" s="17" t="n">
        <v>45.61</v>
      </c>
      <c r="AA681" s="17" t="s">
        <v>38</v>
      </c>
      <c r="AB681" s="17"/>
    </row>
    <row r="682" customFormat="false" ht="15" hidden="false" customHeight="false" outlineLevel="0" collapsed="false">
      <c r="A682" s="1" t="str">
        <f aca="false">OFFSET(Table22,681,14,1,1)&amp;OFFSET(Table22,681,21,1,1)</f>
        <v>43356226360001</v>
      </c>
      <c r="B682" s="1" t="str">
        <f aca="false">OFFSET(Table22,681,14,1,1)&amp;OFFSET(Table22,681,22,1,1)</f>
        <v>43356Facebook»ITPros-Azure Direct-Sponsored Post_Trial-Video Ad-Free Account IT Pro - Hybrid»1x1»30s»SOC»ALL»CPC»LAL»D»UNK»SS»NA»Trials_ID</v>
      </c>
      <c r="C682" s="1" t="s">
        <v>28</v>
      </c>
      <c r="D682" s="3" t="n">
        <f aca="false">O682+(7-WEEKDAY(O682))</f>
        <v>43358</v>
      </c>
      <c r="E682" s="1" t="str">
        <f aca="false">VLOOKUP(OFFSET(Table22,681,16,1,1),Key!B:D,2,0)</f>
        <v>France</v>
      </c>
      <c r="F682" s="1" t="str">
        <f aca="false">IF(ISNUMBER(SEARCH("Canvas",U682)),"Link",IF(ISNUMBER(SEARCH("Link",U682)),"Link","Not filled properly"))</f>
        <v>Link</v>
      </c>
      <c r="G682" s="1" t="str">
        <f aca="false">IFERROR(VLOOKUP(OFFSET(Table22,681,21,1,1),OFFSET(Table2,0,1,ROWS(Table2),8),2,0),VLOOKUP(OFFSET(Table22,681,22,1,1),Table2,3,0))</f>
        <v>FRA_gaPMG_AZR_AZR_Q1_19_AzureDirect-Trial-Social</v>
      </c>
      <c r="H682" s="1" t="n">
        <f aca="false">IFERROR(VLOOKUP(OFFSET(Table22,681,21,1,1),OFFSET(Table2,0,1,ROWS(Table2),8),3,0),VLOOKUP(OFFSET(Table22,681,22,1,1),Table2,4,0))</f>
        <v>21356941</v>
      </c>
      <c r="I682" s="2" t="n">
        <f aca="false">IFERROR(VLOOKUP(OFFSET(Table22,681,21,1,1),OFFSET(Table2,0,1,ROWS(Table2),8),4,0),VLOOKUP(OFFSET(Table22,681,22,1,1),Table2,5,0))</f>
        <v>720193</v>
      </c>
      <c r="J682" s="3" t="str">
        <f aca="false">IF(ISNUMBER(SEARCH("FACEBOOK",W682)),"Facebook",IF(ISNUMBER(SEARCH("INSTAGRAM",W682)),"Facebook-Instagram","Look at taxonomy"))</f>
        <v>Facebook</v>
      </c>
      <c r="K682" s="3" t="str">
        <f aca="false">IF(ISNUMBER(SEARCH("Facebook",J682)),"3654128","Not Facebook")</f>
        <v>3654128</v>
      </c>
      <c r="L682" s="3" t="str">
        <f aca="false">IFERROR(VLOOKUP(OFFSET(Table22,681,21,1,1),OFFSET(Table2,0,1,ROWS(Table2),8),7,0),VLOOKUP(OFFSET(Table22,681,22,1,1),Table2,8,0))</f>
        <v>AZR_FreeAcctITProFB-AnimatedHybrid-Ch2_FRA_1200x1200_VIA_AZRDirect_French_NA_Facebook_STAN_LEA_T2_1</v>
      </c>
      <c r="M682" s="2" t="n">
        <f aca="false">IFERROR(VLOOKUP(OFFSET(Table22,681,21,1,1),OFFSET(Table2,0,1,ROWS(Table2),8),8,0),VLOOKUP(OFFSET(Table22,681,22,1,1),Table2,9,0))</f>
        <v>104456278</v>
      </c>
      <c r="N682" s="15" t="s">
        <v>29</v>
      </c>
      <c r="O682" s="16" t="n">
        <v>43356</v>
      </c>
      <c r="P682" s="17" t="s">
        <v>102</v>
      </c>
      <c r="Q682" s="18" t="s">
        <v>103</v>
      </c>
      <c r="R682" s="17" t="s">
        <v>104</v>
      </c>
      <c r="S682" s="18" t="s">
        <v>33</v>
      </c>
      <c r="T682" s="17" t="s">
        <v>34</v>
      </c>
      <c r="U682" s="18" t="s">
        <v>131</v>
      </c>
      <c r="V682" s="19" t="n">
        <v>226360001</v>
      </c>
      <c r="W682" s="17" t="s">
        <v>150</v>
      </c>
      <c r="X682" s="17" t="n">
        <v>7214</v>
      </c>
      <c r="Y682" s="17" t="n">
        <v>117</v>
      </c>
      <c r="Z682" s="17" t="n">
        <v>45.08</v>
      </c>
      <c r="AA682" s="17" t="s">
        <v>38</v>
      </c>
      <c r="AB682" s="17"/>
    </row>
    <row r="683" customFormat="false" ht="15" hidden="false" customHeight="false" outlineLevel="0" collapsed="false">
      <c r="A683" s="1" t="str">
        <f aca="false">OFFSET(Table22,682,14,1,1)&amp;OFFSET(Table22,682,21,1,1)</f>
        <v>43355226360001</v>
      </c>
      <c r="B683" s="1" t="str">
        <f aca="false">OFFSET(Table22,682,14,1,1)&amp;OFFSET(Table22,682,22,1,1)</f>
        <v>43355Facebook»ITPros-Azure Direct-Sponsored Post_Trial-Video Ad-Free Account IT Pro - Hybrid»1x1»30s»SOC»ALL»CPC»LAL»D»UNK»SS»NA»Trials_ID</v>
      </c>
      <c r="C683" s="1" t="s">
        <v>28</v>
      </c>
      <c r="D683" s="3" t="n">
        <f aca="false">O683+(7-WEEKDAY(O683))</f>
        <v>43358</v>
      </c>
      <c r="E683" s="1" t="str">
        <f aca="false">VLOOKUP(OFFSET(Table22,682,16,1,1),Key!B:D,2,0)</f>
        <v>France</v>
      </c>
      <c r="F683" s="1" t="str">
        <f aca="false">IF(ISNUMBER(SEARCH("Canvas",U683)),"Link",IF(ISNUMBER(SEARCH("Link",U683)),"Link","Not filled properly"))</f>
        <v>Link</v>
      </c>
      <c r="G683" s="1" t="str">
        <f aca="false">IFERROR(VLOOKUP(OFFSET(Table22,682,21,1,1),OFFSET(Table2,0,1,ROWS(Table2),8),2,0),VLOOKUP(OFFSET(Table22,682,22,1,1),Table2,3,0))</f>
        <v>FRA_gaPMG_AZR_AZR_Q1_19_AzureDirect-Trial-Social</v>
      </c>
      <c r="H683" s="1" t="n">
        <f aca="false">IFERROR(VLOOKUP(OFFSET(Table22,682,21,1,1),OFFSET(Table2,0,1,ROWS(Table2),8),3,0),VLOOKUP(OFFSET(Table22,682,22,1,1),Table2,4,0))</f>
        <v>21356941</v>
      </c>
      <c r="I683" s="2" t="n">
        <f aca="false">IFERROR(VLOOKUP(OFFSET(Table22,682,21,1,1),OFFSET(Table2,0,1,ROWS(Table2),8),4,0),VLOOKUP(OFFSET(Table22,682,22,1,1),Table2,5,0))</f>
        <v>720193</v>
      </c>
      <c r="J683" s="3" t="str">
        <f aca="false">IF(ISNUMBER(SEARCH("FACEBOOK",W683)),"Facebook",IF(ISNUMBER(SEARCH("INSTAGRAM",W683)),"Facebook-Instagram","Look at taxonomy"))</f>
        <v>Facebook</v>
      </c>
      <c r="K683" s="3" t="str">
        <f aca="false">IF(ISNUMBER(SEARCH("Facebook",J683)),"3654128","Not Facebook")</f>
        <v>3654128</v>
      </c>
      <c r="L683" s="3" t="str">
        <f aca="false">IFERROR(VLOOKUP(OFFSET(Table22,682,21,1,1),OFFSET(Table2,0,1,ROWS(Table2),8),7,0),VLOOKUP(OFFSET(Table22,682,22,1,1),Table2,8,0))</f>
        <v>AZR_FreeAcctITProFB-AnimatedHybrid-Ch2_FRA_1200x1200_VIA_AZRDirect_French_NA_Facebook_STAN_LEA_T2_1</v>
      </c>
      <c r="M683" s="2" t="n">
        <f aca="false">IFERROR(VLOOKUP(OFFSET(Table22,682,21,1,1),OFFSET(Table2,0,1,ROWS(Table2),8),8,0),VLOOKUP(OFFSET(Table22,682,22,1,1),Table2,9,0))</f>
        <v>104456278</v>
      </c>
      <c r="N683" s="15" t="s">
        <v>29</v>
      </c>
      <c r="O683" s="16" t="n">
        <v>43355</v>
      </c>
      <c r="P683" s="17" t="s">
        <v>102</v>
      </c>
      <c r="Q683" s="18" t="s">
        <v>103</v>
      </c>
      <c r="R683" s="17" t="s">
        <v>104</v>
      </c>
      <c r="S683" s="18" t="s">
        <v>33</v>
      </c>
      <c r="T683" s="17" t="s">
        <v>34</v>
      </c>
      <c r="U683" s="18" t="s">
        <v>131</v>
      </c>
      <c r="V683" s="19" t="n">
        <v>226360001</v>
      </c>
      <c r="W683" s="17" t="s">
        <v>150</v>
      </c>
      <c r="X683" s="17" t="n">
        <v>7333</v>
      </c>
      <c r="Y683" s="17" t="n">
        <v>130</v>
      </c>
      <c r="Z683" s="17" t="n">
        <v>45.64</v>
      </c>
      <c r="AA683" s="17" t="s">
        <v>38</v>
      </c>
      <c r="AB683" s="17"/>
    </row>
    <row r="684" customFormat="false" ht="15" hidden="false" customHeight="false" outlineLevel="0" collapsed="false">
      <c r="A684" s="1" t="str">
        <f aca="false">OFFSET(Table22,683,14,1,1)&amp;OFFSET(Table22,683,21,1,1)</f>
        <v>43354226360001</v>
      </c>
      <c r="B684" s="1" t="str">
        <f aca="false">OFFSET(Table22,683,14,1,1)&amp;OFFSET(Table22,683,22,1,1)</f>
        <v>43354Facebook»ITPros-Azure Direct-Sponsored Post_Trial-Video Ad-Free Account IT Pro - Hybrid»1x1»30s»SOC»ALL»CPC»LAL»D»UNK»SS»NA»Trials_ID</v>
      </c>
      <c r="C684" s="1" t="s">
        <v>28</v>
      </c>
      <c r="D684" s="3" t="n">
        <f aca="false">O684+(7-WEEKDAY(O684))</f>
        <v>43358</v>
      </c>
      <c r="E684" s="1" t="str">
        <f aca="false">VLOOKUP(OFFSET(Table22,683,16,1,1),Key!B:D,2,0)</f>
        <v>France</v>
      </c>
      <c r="F684" s="1" t="str">
        <f aca="false">IF(ISNUMBER(SEARCH("Canvas",U684)),"Link",IF(ISNUMBER(SEARCH("Link",U684)),"Link","Not filled properly"))</f>
        <v>Link</v>
      </c>
      <c r="G684" s="1" t="str">
        <f aca="false">IFERROR(VLOOKUP(OFFSET(Table22,683,21,1,1),OFFSET(Table2,0,1,ROWS(Table2),8),2,0),VLOOKUP(OFFSET(Table22,683,22,1,1),Table2,3,0))</f>
        <v>FRA_gaPMG_AZR_AZR_Q1_19_AzureDirect-Trial-Social</v>
      </c>
      <c r="H684" s="1" t="n">
        <f aca="false">IFERROR(VLOOKUP(OFFSET(Table22,683,21,1,1),OFFSET(Table2,0,1,ROWS(Table2),8),3,0),VLOOKUP(OFFSET(Table22,683,22,1,1),Table2,4,0))</f>
        <v>21356941</v>
      </c>
      <c r="I684" s="2" t="n">
        <f aca="false">IFERROR(VLOOKUP(OFFSET(Table22,683,21,1,1),OFFSET(Table2,0,1,ROWS(Table2),8),4,0),VLOOKUP(OFFSET(Table22,683,22,1,1),Table2,5,0))</f>
        <v>720193</v>
      </c>
      <c r="J684" s="3" t="str">
        <f aca="false">IF(ISNUMBER(SEARCH("FACEBOOK",W684)),"Facebook",IF(ISNUMBER(SEARCH("INSTAGRAM",W684)),"Facebook-Instagram","Look at taxonomy"))</f>
        <v>Facebook</v>
      </c>
      <c r="K684" s="3" t="str">
        <f aca="false">IF(ISNUMBER(SEARCH("Facebook",J684)),"3654128","Not Facebook")</f>
        <v>3654128</v>
      </c>
      <c r="L684" s="3" t="str">
        <f aca="false">IFERROR(VLOOKUP(OFFSET(Table22,683,21,1,1),OFFSET(Table2,0,1,ROWS(Table2),8),7,0),VLOOKUP(OFFSET(Table22,683,22,1,1),Table2,8,0))</f>
        <v>AZR_FreeAcctITProFB-AnimatedHybrid-Ch2_FRA_1200x1200_VIA_AZRDirect_French_NA_Facebook_STAN_LEA_T2_1</v>
      </c>
      <c r="M684" s="2" t="n">
        <f aca="false">IFERROR(VLOOKUP(OFFSET(Table22,683,21,1,1),OFFSET(Table2,0,1,ROWS(Table2),8),8,0),VLOOKUP(OFFSET(Table22,683,22,1,1),Table2,9,0))</f>
        <v>104456278</v>
      </c>
      <c r="N684" s="15" t="s">
        <v>29</v>
      </c>
      <c r="O684" s="16" t="n">
        <v>43354</v>
      </c>
      <c r="P684" s="17" t="s">
        <v>102</v>
      </c>
      <c r="Q684" s="18" t="s">
        <v>103</v>
      </c>
      <c r="R684" s="17" t="s">
        <v>104</v>
      </c>
      <c r="S684" s="18" t="s">
        <v>33</v>
      </c>
      <c r="T684" s="17" t="s">
        <v>34</v>
      </c>
      <c r="U684" s="18" t="s">
        <v>131</v>
      </c>
      <c r="V684" s="19" t="n">
        <v>226360001</v>
      </c>
      <c r="W684" s="17" t="s">
        <v>150</v>
      </c>
      <c r="X684" s="17" t="n">
        <v>7731</v>
      </c>
      <c r="Y684" s="17" t="n">
        <v>113</v>
      </c>
      <c r="Z684" s="17" t="n">
        <v>42.06</v>
      </c>
      <c r="AA684" s="17" t="s">
        <v>38</v>
      </c>
      <c r="AB684" s="17"/>
    </row>
    <row r="685" customFormat="false" ht="15" hidden="false" customHeight="false" outlineLevel="0" collapsed="false">
      <c r="A685" s="1" t="str">
        <f aca="false">OFFSET(Table22,684,14,1,1)&amp;OFFSET(Table22,684,21,1,1)</f>
        <v>43353226360001</v>
      </c>
      <c r="B685" s="1" t="str">
        <f aca="false">OFFSET(Table22,684,14,1,1)&amp;OFFSET(Table22,684,22,1,1)</f>
        <v>43353Facebook»ITPros-Azure Direct-Sponsored Post_Trial-Video Ad-Free Account IT Pro - Hybrid»1x1»30s»SOC»ALL»CPC»LAL»D»UNK»SS»NA»Trials_ID</v>
      </c>
      <c r="C685" s="1" t="s">
        <v>28</v>
      </c>
      <c r="D685" s="3" t="n">
        <f aca="false">O685+(7-WEEKDAY(O685))</f>
        <v>43358</v>
      </c>
      <c r="E685" s="1" t="str">
        <f aca="false">VLOOKUP(OFFSET(Table22,684,16,1,1),Key!B:D,2,0)</f>
        <v>France</v>
      </c>
      <c r="F685" s="1" t="str">
        <f aca="false">IF(ISNUMBER(SEARCH("Canvas",U685)),"Link",IF(ISNUMBER(SEARCH("Link",U685)),"Link","Not filled properly"))</f>
        <v>Link</v>
      </c>
      <c r="G685" s="1" t="str">
        <f aca="false">IFERROR(VLOOKUP(OFFSET(Table22,684,21,1,1),OFFSET(Table2,0,1,ROWS(Table2),8),2,0),VLOOKUP(OFFSET(Table22,684,22,1,1),Table2,3,0))</f>
        <v>FRA_gaPMG_AZR_AZR_Q1_19_AzureDirect-Trial-Social</v>
      </c>
      <c r="H685" s="1" t="n">
        <f aca="false">IFERROR(VLOOKUP(OFFSET(Table22,684,21,1,1),OFFSET(Table2,0,1,ROWS(Table2),8),3,0),VLOOKUP(OFFSET(Table22,684,22,1,1),Table2,4,0))</f>
        <v>21356941</v>
      </c>
      <c r="I685" s="2" t="n">
        <f aca="false">IFERROR(VLOOKUP(OFFSET(Table22,684,21,1,1),OFFSET(Table2,0,1,ROWS(Table2),8),4,0),VLOOKUP(OFFSET(Table22,684,22,1,1),Table2,5,0))</f>
        <v>720193</v>
      </c>
      <c r="J685" s="3" t="str">
        <f aca="false">IF(ISNUMBER(SEARCH("FACEBOOK",W685)),"Facebook",IF(ISNUMBER(SEARCH("INSTAGRAM",W685)),"Facebook-Instagram","Look at taxonomy"))</f>
        <v>Facebook</v>
      </c>
      <c r="K685" s="3" t="str">
        <f aca="false">IF(ISNUMBER(SEARCH("Facebook",J685)),"3654128","Not Facebook")</f>
        <v>3654128</v>
      </c>
      <c r="L685" s="3" t="str">
        <f aca="false">IFERROR(VLOOKUP(OFFSET(Table22,684,21,1,1),OFFSET(Table2,0,1,ROWS(Table2),8),7,0),VLOOKUP(OFFSET(Table22,684,22,1,1),Table2,8,0))</f>
        <v>AZR_FreeAcctITProFB-AnimatedHybrid-Ch2_FRA_1200x1200_VIA_AZRDirect_French_NA_Facebook_STAN_LEA_T2_1</v>
      </c>
      <c r="M685" s="2" t="n">
        <f aca="false">IFERROR(VLOOKUP(OFFSET(Table22,684,21,1,1),OFFSET(Table2,0,1,ROWS(Table2),8),8,0),VLOOKUP(OFFSET(Table22,684,22,1,1),Table2,9,0))</f>
        <v>104456278</v>
      </c>
      <c r="N685" s="15" t="s">
        <v>29</v>
      </c>
      <c r="O685" s="16" t="n">
        <v>43353</v>
      </c>
      <c r="P685" s="17" t="s">
        <v>102</v>
      </c>
      <c r="Q685" s="18" t="s">
        <v>103</v>
      </c>
      <c r="R685" s="17" t="s">
        <v>104</v>
      </c>
      <c r="S685" s="18" t="s">
        <v>33</v>
      </c>
      <c r="T685" s="17" t="s">
        <v>34</v>
      </c>
      <c r="U685" s="18" t="s">
        <v>131</v>
      </c>
      <c r="V685" s="19" t="n">
        <v>226360001</v>
      </c>
      <c r="W685" s="17" t="s">
        <v>150</v>
      </c>
      <c r="X685" s="17" t="n">
        <v>7328</v>
      </c>
      <c r="Y685" s="17" t="n">
        <v>123</v>
      </c>
      <c r="Z685" s="17" t="n">
        <v>42.17</v>
      </c>
      <c r="AA685" s="17" t="s">
        <v>38</v>
      </c>
      <c r="AB685" s="17"/>
    </row>
    <row r="686" customFormat="false" ht="15" hidden="false" customHeight="false" outlineLevel="0" collapsed="false">
      <c r="A686" s="1" t="str">
        <f aca="false">OFFSET(Table22,685,14,1,1)&amp;OFFSET(Table22,685,21,1,1)</f>
        <v>43352226360001</v>
      </c>
      <c r="B686" s="1" t="str">
        <f aca="false">OFFSET(Table22,685,14,1,1)&amp;OFFSET(Table22,685,22,1,1)</f>
        <v>43352Facebook»ITPros-Azure Direct-Sponsored Post_Trial-Video Ad-Free Account IT Pro - Hybrid»1x1»30s»SOC»ALL»CPC»LAL»D»UNK»SS»NA»Trials_ID</v>
      </c>
      <c r="C686" s="1" t="s">
        <v>28</v>
      </c>
      <c r="D686" s="3" t="n">
        <f aca="false">O686+(7-WEEKDAY(O686))</f>
        <v>43358</v>
      </c>
      <c r="E686" s="1" t="str">
        <f aca="false">VLOOKUP(OFFSET(Table22,685,16,1,1),Key!B:D,2,0)</f>
        <v>France</v>
      </c>
      <c r="F686" s="1" t="str">
        <f aca="false">IF(ISNUMBER(SEARCH("Canvas",U686)),"Link",IF(ISNUMBER(SEARCH("Link",U686)),"Link","Not filled properly"))</f>
        <v>Link</v>
      </c>
      <c r="G686" s="1" t="str">
        <f aca="false">IFERROR(VLOOKUP(OFFSET(Table22,685,21,1,1),OFFSET(Table2,0,1,ROWS(Table2),8),2,0),VLOOKUP(OFFSET(Table22,685,22,1,1),Table2,3,0))</f>
        <v>FRA_gaPMG_AZR_AZR_Q1_19_AzureDirect-Trial-Social</v>
      </c>
      <c r="H686" s="1" t="n">
        <f aca="false">IFERROR(VLOOKUP(OFFSET(Table22,685,21,1,1),OFFSET(Table2,0,1,ROWS(Table2),8),3,0),VLOOKUP(OFFSET(Table22,685,22,1,1),Table2,4,0))</f>
        <v>21356941</v>
      </c>
      <c r="I686" s="2" t="n">
        <f aca="false">IFERROR(VLOOKUP(OFFSET(Table22,685,21,1,1),OFFSET(Table2,0,1,ROWS(Table2),8),4,0),VLOOKUP(OFFSET(Table22,685,22,1,1),Table2,5,0))</f>
        <v>720193</v>
      </c>
      <c r="J686" s="3" t="str">
        <f aca="false">IF(ISNUMBER(SEARCH("FACEBOOK",W686)),"Facebook",IF(ISNUMBER(SEARCH("INSTAGRAM",W686)),"Facebook-Instagram","Look at taxonomy"))</f>
        <v>Facebook</v>
      </c>
      <c r="K686" s="3" t="str">
        <f aca="false">IF(ISNUMBER(SEARCH("Facebook",J686)),"3654128","Not Facebook")</f>
        <v>3654128</v>
      </c>
      <c r="L686" s="3" t="str">
        <f aca="false">IFERROR(VLOOKUP(OFFSET(Table22,685,21,1,1),OFFSET(Table2,0,1,ROWS(Table2),8),7,0),VLOOKUP(OFFSET(Table22,685,22,1,1),Table2,8,0))</f>
        <v>AZR_FreeAcctITProFB-AnimatedHybrid-Ch2_FRA_1200x1200_VIA_AZRDirect_French_NA_Facebook_STAN_LEA_T2_1</v>
      </c>
      <c r="M686" s="2" t="n">
        <f aca="false">IFERROR(VLOOKUP(OFFSET(Table22,685,21,1,1),OFFSET(Table2,0,1,ROWS(Table2),8),8,0),VLOOKUP(OFFSET(Table22,685,22,1,1),Table2,9,0))</f>
        <v>104456278</v>
      </c>
      <c r="N686" s="15" t="s">
        <v>29</v>
      </c>
      <c r="O686" s="16" t="n">
        <v>43352</v>
      </c>
      <c r="P686" s="17" t="s">
        <v>102</v>
      </c>
      <c r="Q686" s="18" t="s">
        <v>103</v>
      </c>
      <c r="R686" s="17" t="s">
        <v>104</v>
      </c>
      <c r="S686" s="18" t="s">
        <v>33</v>
      </c>
      <c r="T686" s="17" t="s">
        <v>34</v>
      </c>
      <c r="U686" s="18" t="s">
        <v>131</v>
      </c>
      <c r="V686" s="19" t="n">
        <v>226360001</v>
      </c>
      <c r="W686" s="17" t="s">
        <v>150</v>
      </c>
      <c r="X686" s="17" t="n">
        <v>7181</v>
      </c>
      <c r="Y686" s="17" t="n">
        <v>145</v>
      </c>
      <c r="Z686" s="17" t="n">
        <v>43.96</v>
      </c>
      <c r="AA686" s="17" t="s">
        <v>38</v>
      </c>
      <c r="AB686" s="17"/>
    </row>
    <row r="687" customFormat="false" ht="15" hidden="false" customHeight="false" outlineLevel="0" collapsed="false">
      <c r="A687" s="1" t="str">
        <f aca="false">OFFSET(Table22,686,14,1,1)&amp;OFFSET(Table22,686,21,1,1)</f>
        <v>43358226496140</v>
      </c>
      <c r="B687" s="1" t="str">
        <f aca="false">OFFSET(Table22,686,14,1,1)&amp;OFFSET(Table22,686,22,1,1)</f>
        <v>43358Facebook»ITPros-Azure Direct-Sponsored Post_Trial-Video Ad-Free Account IT Pro - Hybrid»1x1»30s»SOC»ALL»CPC»RT»D»UNK»SS»NA»Trials_ID</v>
      </c>
      <c r="C687" s="1" t="s">
        <v>28</v>
      </c>
      <c r="D687" s="3" t="n">
        <f aca="false">O687+(7-WEEKDAY(O687))</f>
        <v>43358</v>
      </c>
      <c r="E687" s="1" t="str">
        <f aca="false">VLOOKUP(OFFSET(Table22,686,16,1,1),Key!B:D,2,0)</f>
        <v>France</v>
      </c>
      <c r="F687" s="1" t="str">
        <f aca="false">IF(ISNUMBER(SEARCH("Canvas",U687)),"Link",IF(ISNUMBER(SEARCH("Link",U687)),"Link","Not filled properly"))</f>
        <v>Link</v>
      </c>
      <c r="G687" s="1" t="str">
        <f aca="false">IFERROR(VLOOKUP(OFFSET(Table22,686,21,1,1),OFFSET(Table2,0,1,ROWS(Table2),8),2,0),VLOOKUP(OFFSET(Table22,686,22,1,1),Table2,3,0))</f>
        <v>FRA_gaPMG_AZR_AZR_Q1_19_AzureDirect-Trial-Social</v>
      </c>
      <c r="H687" s="1" t="n">
        <f aca="false">IFERROR(VLOOKUP(OFFSET(Table22,686,21,1,1),OFFSET(Table2,0,1,ROWS(Table2),8),3,0),VLOOKUP(OFFSET(Table22,686,22,1,1),Table2,4,0))</f>
        <v>21356941</v>
      </c>
      <c r="I687" s="2" t="n">
        <f aca="false">IFERROR(VLOOKUP(OFFSET(Table22,686,21,1,1),OFFSET(Table2,0,1,ROWS(Table2),8),4,0),VLOOKUP(OFFSET(Table22,686,22,1,1),Table2,5,0))</f>
        <v>720193</v>
      </c>
      <c r="J687" s="3" t="str">
        <f aca="false">IF(ISNUMBER(SEARCH("FACEBOOK",W687)),"Facebook",IF(ISNUMBER(SEARCH("INSTAGRAM",W687)),"Facebook-Instagram","Look at taxonomy"))</f>
        <v>Facebook</v>
      </c>
      <c r="K687" s="3" t="str">
        <f aca="false">IF(ISNUMBER(SEARCH("Facebook",J687)),"3654128","Not Facebook")</f>
        <v>3654128</v>
      </c>
      <c r="L687" s="3" t="str">
        <f aca="false">IFERROR(VLOOKUP(OFFSET(Table22,686,21,1,1),OFFSET(Table2,0,1,ROWS(Table2),8),7,0),VLOOKUP(OFFSET(Table22,686,22,1,1),Table2,8,0))</f>
        <v>AZR_FreeAcctITProFB-AnimatedHybrid-Ch2_FRA_1200x1200_VIA_AZRDirect_French_NA_Facebook_STAN_LEA_T2_1</v>
      </c>
      <c r="M687" s="2" t="n">
        <f aca="false">IFERROR(VLOOKUP(OFFSET(Table22,686,21,1,1),OFFSET(Table2,0,1,ROWS(Table2),8),8,0),VLOOKUP(OFFSET(Table22,686,22,1,1),Table2,9,0))</f>
        <v>104456278</v>
      </c>
      <c r="N687" s="15" t="s">
        <v>29</v>
      </c>
      <c r="O687" s="16" t="n">
        <v>43358</v>
      </c>
      <c r="P687" s="17" t="s">
        <v>102</v>
      </c>
      <c r="Q687" s="18" t="s">
        <v>103</v>
      </c>
      <c r="R687" s="17" t="s">
        <v>104</v>
      </c>
      <c r="S687" s="18" t="s">
        <v>33</v>
      </c>
      <c r="T687" s="17" t="s">
        <v>34</v>
      </c>
      <c r="U687" s="18" t="s">
        <v>131</v>
      </c>
      <c r="V687" s="19" t="n">
        <v>226496140</v>
      </c>
      <c r="W687" s="17" t="s">
        <v>151</v>
      </c>
      <c r="X687" s="17" t="n">
        <v>0</v>
      </c>
      <c r="Y687" s="17"/>
      <c r="Z687" s="17" t="n">
        <v>0</v>
      </c>
      <c r="AA687" s="17" t="s">
        <v>38</v>
      </c>
      <c r="AB687" s="17"/>
    </row>
    <row r="688" customFormat="false" ht="15" hidden="false" customHeight="false" outlineLevel="0" collapsed="false">
      <c r="A688" s="1" t="str">
        <f aca="false">OFFSET(Table22,687,14,1,1)&amp;OFFSET(Table22,687,21,1,1)</f>
        <v>43357226496140</v>
      </c>
      <c r="B688" s="1" t="str">
        <f aca="false">OFFSET(Table22,687,14,1,1)&amp;OFFSET(Table22,687,22,1,1)</f>
        <v>43357Facebook»ITPros-Azure Direct-Sponsored Post_Trial-Video Ad-Free Account IT Pro - Hybrid»1x1»30s»SOC»ALL»CPC»RT»D»UNK»SS»NA»Trials_ID</v>
      </c>
      <c r="C688" s="1" t="s">
        <v>28</v>
      </c>
      <c r="D688" s="3" t="n">
        <f aca="false">O688+(7-WEEKDAY(O688))</f>
        <v>43358</v>
      </c>
      <c r="E688" s="1" t="str">
        <f aca="false">VLOOKUP(OFFSET(Table22,687,16,1,1),Key!B:D,2,0)</f>
        <v>France</v>
      </c>
      <c r="F688" s="1" t="str">
        <f aca="false">IF(ISNUMBER(SEARCH("Canvas",U688)),"Link",IF(ISNUMBER(SEARCH("Link",U688)),"Link","Not filled properly"))</f>
        <v>Link</v>
      </c>
      <c r="G688" s="1" t="str">
        <f aca="false">IFERROR(VLOOKUP(OFFSET(Table22,687,21,1,1),OFFSET(Table2,0,1,ROWS(Table2),8),2,0),VLOOKUP(OFFSET(Table22,687,22,1,1),Table2,3,0))</f>
        <v>FRA_gaPMG_AZR_AZR_Q1_19_AzureDirect-Trial-Social</v>
      </c>
      <c r="H688" s="1" t="n">
        <f aca="false">IFERROR(VLOOKUP(OFFSET(Table22,687,21,1,1),OFFSET(Table2,0,1,ROWS(Table2),8),3,0),VLOOKUP(OFFSET(Table22,687,22,1,1),Table2,4,0))</f>
        <v>21356941</v>
      </c>
      <c r="I688" s="2" t="n">
        <f aca="false">IFERROR(VLOOKUP(OFFSET(Table22,687,21,1,1),OFFSET(Table2,0,1,ROWS(Table2),8),4,0),VLOOKUP(OFFSET(Table22,687,22,1,1),Table2,5,0))</f>
        <v>720193</v>
      </c>
      <c r="J688" s="3" t="str">
        <f aca="false">IF(ISNUMBER(SEARCH("FACEBOOK",W688)),"Facebook",IF(ISNUMBER(SEARCH("INSTAGRAM",W688)),"Facebook-Instagram","Look at taxonomy"))</f>
        <v>Facebook</v>
      </c>
      <c r="K688" s="3" t="str">
        <f aca="false">IF(ISNUMBER(SEARCH("Facebook",J688)),"3654128","Not Facebook")</f>
        <v>3654128</v>
      </c>
      <c r="L688" s="3" t="str">
        <f aca="false">IFERROR(VLOOKUP(OFFSET(Table22,687,21,1,1),OFFSET(Table2,0,1,ROWS(Table2),8),7,0),VLOOKUP(OFFSET(Table22,687,22,1,1),Table2,8,0))</f>
        <v>AZR_FreeAcctITProFB-AnimatedHybrid-Ch2_FRA_1200x1200_VIA_AZRDirect_French_NA_Facebook_STAN_LEA_T2_1</v>
      </c>
      <c r="M688" s="2" t="n">
        <f aca="false">IFERROR(VLOOKUP(OFFSET(Table22,687,21,1,1),OFFSET(Table2,0,1,ROWS(Table2),8),8,0),VLOOKUP(OFFSET(Table22,687,22,1,1),Table2,9,0))</f>
        <v>104456278</v>
      </c>
      <c r="N688" s="15" t="s">
        <v>29</v>
      </c>
      <c r="O688" s="16" t="n">
        <v>43357</v>
      </c>
      <c r="P688" s="17" t="s">
        <v>102</v>
      </c>
      <c r="Q688" s="18" t="s">
        <v>103</v>
      </c>
      <c r="R688" s="17" t="s">
        <v>104</v>
      </c>
      <c r="S688" s="18" t="s">
        <v>33</v>
      </c>
      <c r="T688" s="17" t="s">
        <v>34</v>
      </c>
      <c r="U688" s="18" t="s">
        <v>131</v>
      </c>
      <c r="V688" s="19" t="n">
        <v>226496140</v>
      </c>
      <c r="W688" s="17" t="s">
        <v>151</v>
      </c>
      <c r="X688" s="17" t="n">
        <v>0</v>
      </c>
      <c r="Y688" s="17"/>
      <c r="Z688" s="17" t="n">
        <v>0</v>
      </c>
      <c r="AA688" s="17" t="s">
        <v>38</v>
      </c>
      <c r="AB688" s="17"/>
    </row>
    <row r="689" customFormat="false" ht="15" hidden="false" customHeight="false" outlineLevel="0" collapsed="false">
      <c r="A689" s="1" t="str">
        <f aca="false">OFFSET(Table22,688,14,1,1)&amp;OFFSET(Table22,688,21,1,1)</f>
        <v>43356226496140</v>
      </c>
      <c r="B689" s="1" t="str">
        <f aca="false">OFFSET(Table22,688,14,1,1)&amp;OFFSET(Table22,688,22,1,1)</f>
        <v>43356Facebook»ITPros-Azure Direct-Sponsored Post_Trial-Video Ad-Free Account IT Pro - Hybrid»1x1»30s»SOC»ALL»CPC»RT»D»UNK»SS»NA»Trials_ID</v>
      </c>
      <c r="C689" s="1" t="s">
        <v>28</v>
      </c>
      <c r="D689" s="3" t="n">
        <f aca="false">O689+(7-WEEKDAY(O689))</f>
        <v>43358</v>
      </c>
      <c r="E689" s="1" t="str">
        <f aca="false">VLOOKUP(OFFSET(Table22,688,16,1,1),Key!B:D,2,0)</f>
        <v>France</v>
      </c>
      <c r="F689" s="1" t="str">
        <f aca="false">IF(ISNUMBER(SEARCH("Canvas",U689)),"Link",IF(ISNUMBER(SEARCH("Link",U689)),"Link","Not filled properly"))</f>
        <v>Link</v>
      </c>
      <c r="G689" s="1" t="str">
        <f aca="false">IFERROR(VLOOKUP(OFFSET(Table22,688,21,1,1),OFFSET(Table2,0,1,ROWS(Table2),8),2,0),VLOOKUP(OFFSET(Table22,688,22,1,1),Table2,3,0))</f>
        <v>FRA_gaPMG_AZR_AZR_Q1_19_AzureDirect-Trial-Social</v>
      </c>
      <c r="H689" s="1" t="n">
        <f aca="false">IFERROR(VLOOKUP(OFFSET(Table22,688,21,1,1),OFFSET(Table2,0,1,ROWS(Table2),8),3,0),VLOOKUP(OFFSET(Table22,688,22,1,1),Table2,4,0))</f>
        <v>21356941</v>
      </c>
      <c r="I689" s="2" t="n">
        <f aca="false">IFERROR(VLOOKUP(OFFSET(Table22,688,21,1,1),OFFSET(Table2,0,1,ROWS(Table2),8),4,0),VLOOKUP(OFFSET(Table22,688,22,1,1),Table2,5,0))</f>
        <v>720193</v>
      </c>
      <c r="J689" s="3" t="str">
        <f aca="false">IF(ISNUMBER(SEARCH("FACEBOOK",W689)),"Facebook",IF(ISNUMBER(SEARCH("INSTAGRAM",W689)),"Facebook-Instagram","Look at taxonomy"))</f>
        <v>Facebook</v>
      </c>
      <c r="K689" s="3" t="str">
        <f aca="false">IF(ISNUMBER(SEARCH("Facebook",J689)),"3654128","Not Facebook")</f>
        <v>3654128</v>
      </c>
      <c r="L689" s="3" t="str">
        <f aca="false">IFERROR(VLOOKUP(OFFSET(Table22,688,21,1,1),OFFSET(Table2,0,1,ROWS(Table2),8),7,0),VLOOKUP(OFFSET(Table22,688,22,1,1),Table2,8,0))</f>
        <v>AZR_FreeAcctITProFB-AnimatedHybrid-Ch2_FRA_1200x1200_VIA_AZRDirect_French_NA_Facebook_STAN_LEA_T2_1</v>
      </c>
      <c r="M689" s="2" t="n">
        <f aca="false">IFERROR(VLOOKUP(OFFSET(Table22,688,21,1,1),OFFSET(Table2,0,1,ROWS(Table2),8),8,0),VLOOKUP(OFFSET(Table22,688,22,1,1),Table2,9,0))</f>
        <v>104456278</v>
      </c>
      <c r="N689" s="15" t="s">
        <v>29</v>
      </c>
      <c r="O689" s="16" t="n">
        <v>43356</v>
      </c>
      <c r="P689" s="17" t="s">
        <v>102</v>
      </c>
      <c r="Q689" s="18" t="s">
        <v>103</v>
      </c>
      <c r="R689" s="17" t="s">
        <v>104</v>
      </c>
      <c r="S689" s="18" t="s">
        <v>33</v>
      </c>
      <c r="T689" s="17" t="s">
        <v>34</v>
      </c>
      <c r="U689" s="18" t="s">
        <v>131</v>
      </c>
      <c r="V689" s="19" t="n">
        <v>226496140</v>
      </c>
      <c r="W689" s="17" t="s">
        <v>151</v>
      </c>
      <c r="X689" s="17" t="n">
        <v>0</v>
      </c>
      <c r="Y689" s="17"/>
      <c r="Z689" s="17" t="n">
        <v>0</v>
      </c>
      <c r="AA689" s="17" t="s">
        <v>38</v>
      </c>
      <c r="AB689" s="17"/>
    </row>
    <row r="690" customFormat="false" ht="15" hidden="false" customHeight="false" outlineLevel="0" collapsed="false">
      <c r="A690" s="1" t="str">
        <f aca="false">OFFSET(Table22,689,14,1,1)&amp;OFFSET(Table22,689,21,1,1)</f>
        <v>43355226496140</v>
      </c>
      <c r="B690" s="1" t="str">
        <f aca="false">OFFSET(Table22,689,14,1,1)&amp;OFFSET(Table22,689,22,1,1)</f>
        <v>43355Facebook»ITPros-Azure Direct-Sponsored Post_Trial-Video Ad-Free Account IT Pro - Hybrid»1x1»30s»SOC»ALL»CPC»RT»D»UNK»SS»NA»Trials_ID</v>
      </c>
      <c r="C690" s="1" t="s">
        <v>28</v>
      </c>
      <c r="D690" s="3" t="n">
        <f aca="false">O690+(7-WEEKDAY(O690))</f>
        <v>43358</v>
      </c>
      <c r="E690" s="1" t="str">
        <f aca="false">VLOOKUP(OFFSET(Table22,689,16,1,1),Key!B:D,2,0)</f>
        <v>France</v>
      </c>
      <c r="F690" s="1" t="str">
        <f aca="false">IF(ISNUMBER(SEARCH("Canvas",U690)),"Link",IF(ISNUMBER(SEARCH("Link",U690)),"Link","Not filled properly"))</f>
        <v>Link</v>
      </c>
      <c r="G690" s="1" t="str">
        <f aca="false">IFERROR(VLOOKUP(OFFSET(Table22,689,21,1,1),OFFSET(Table2,0,1,ROWS(Table2),8),2,0),VLOOKUP(OFFSET(Table22,689,22,1,1),Table2,3,0))</f>
        <v>FRA_gaPMG_AZR_AZR_Q1_19_AzureDirect-Trial-Social</v>
      </c>
      <c r="H690" s="1" t="n">
        <f aca="false">IFERROR(VLOOKUP(OFFSET(Table22,689,21,1,1),OFFSET(Table2,0,1,ROWS(Table2),8),3,0),VLOOKUP(OFFSET(Table22,689,22,1,1),Table2,4,0))</f>
        <v>21356941</v>
      </c>
      <c r="I690" s="2" t="n">
        <f aca="false">IFERROR(VLOOKUP(OFFSET(Table22,689,21,1,1),OFFSET(Table2,0,1,ROWS(Table2),8),4,0),VLOOKUP(OFFSET(Table22,689,22,1,1),Table2,5,0))</f>
        <v>720193</v>
      </c>
      <c r="J690" s="3" t="str">
        <f aca="false">IF(ISNUMBER(SEARCH("FACEBOOK",W690)),"Facebook",IF(ISNUMBER(SEARCH("INSTAGRAM",W690)),"Facebook-Instagram","Look at taxonomy"))</f>
        <v>Facebook</v>
      </c>
      <c r="K690" s="3" t="str">
        <f aca="false">IF(ISNUMBER(SEARCH("Facebook",J690)),"3654128","Not Facebook")</f>
        <v>3654128</v>
      </c>
      <c r="L690" s="3" t="str">
        <f aca="false">IFERROR(VLOOKUP(OFFSET(Table22,689,21,1,1),OFFSET(Table2,0,1,ROWS(Table2),8),7,0),VLOOKUP(OFFSET(Table22,689,22,1,1),Table2,8,0))</f>
        <v>AZR_FreeAcctITProFB-AnimatedHybrid-Ch2_FRA_1200x1200_VIA_AZRDirect_French_NA_Facebook_STAN_LEA_T2_1</v>
      </c>
      <c r="M690" s="2" t="n">
        <f aca="false">IFERROR(VLOOKUP(OFFSET(Table22,689,21,1,1),OFFSET(Table2,0,1,ROWS(Table2),8),8,0),VLOOKUP(OFFSET(Table22,689,22,1,1),Table2,9,0))</f>
        <v>104456278</v>
      </c>
      <c r="N690" s="15" t="s">
        <v>29</v>
      </c>
      <c r="O690" s="16" t="n">
        <v>43355</v>
      </c>
      <c r="P690" s="17" t="s">
        <v>102</v>
      </c>
      <c r="Q690" s="18" t="s">
        <v>103</v>
      </c>
      <c r="R690" s="17" t="s">
        <v>104</v>
      </c>
      <c r="S690" s="18" t="s">
        <v>33</v>
      </c>
      <c r="T690" s="17" t="s">
        <v>34</v>
      </c>
      <c r="U690" s="18" t="s">
        <v>131</v>
      </c>
      <c r="V690" s="19" t="n">
        <v>226496140</v>
      </c>
      <c r="W690" s="17" t="s">
        <v>151</v>
      </c>
      <c r="X690" s="17" t="n">
        <v>0</v>
      </c>
      <c r="Y690" s="17"/>
      <c r="Z690" s="17" t="n">
        <v>0</v>
      </c>
      <c r="AA690" s="17" t="s">
        <v>38</v>
      </c>
      <c r="AB690" s="17"/>
    </row>
    <row r="691" customFormat="false" ht="15" hidden="false" customHeight="false" outlineLevel="0" collapsed="false">
      <c r="A691" s="1" t="str">
        <f aca="false">OFFSET(Table22,690,14,1,1)&amp;OFFSET(Table22,690,21,1,1)</f>
        <v>43354226496140</v>
      </c>
      <c r="B691" s="1" t="str">
        <f aca="false">OFFSET(Table22,690,14,1,1)&amp;OFFSET(Table22,690,22,1,1)</f>
        <v>43354Facebook»ITPros-Azure Direct-Sponsored Post_Trial-Video Ad-Free Account IT Pro - Hybrid»1x1»30s»SOC»ALL»CPC»RT»D»UNK»SS»NA»Trials_ID</v>
      </c>
      <c r="C691" s="1" t="s">
        <v>28</v>
      </c>
      <c r="D691" s="3" t="n">
        <f aca="false">O691+(7-WEEKDAY(O691))</f>
        <v>43358</v>
      </c>
      <c r="E691" s="1" t="str">
        <f aca="false">VLOOKUP(OFFSET(Table22,690,16,1,1),Key!B:D,2,0)</f>
        <v>France</v>
      </c>
      <c r="F691" s="1" t="str">
        <f aca="false">IF(ISNUMBER(SEARCH("Canvas",U691)),"Link",IF(ISNUMBER(SEARCH("Link",U691)),"Link","Not filled properly"))</f>
        <v>Link</v>
      </c>
      <c r="G691" s="1" t="str">
        <f aca="false">IFERROR(VLOOKUP(OFFSET(Table22,690,21,1,1),OFFSET(Table2,0,1,ROWS(Table2),8),2,0),VLOOKUP(OFFSET(Table22,690,22,1,1),Table2,3,0))</f>
        <v>FRA_gaPMG_AZR_AZR_Q1_19_AzureDirect-Trial-Social</v>
      </c>
      <c r="H691" s="1" t="n">
        <f aca="false">IFERROR(VLOOKUP(OFFSET(Table22,690,21,1,1),OFFSET(Table2,0,1,ROWS(Table2),8),3,0),VLOOKUP(OFFSET(Table22,690,22,1,1),Table2,4,0))</f>
        <v>21356941</v>
      </c>
      <c r="I691" s="2" t="n">
        <f aca="false">IFERROR(VLOOKUP(OFFSET(Table22,690,21,1,1),OFFSET(Table2,0,1,ROWS(Table2),8),4,0),VLOOKUP(OFFSET(Table22,690,22,1,1),Table2,5,0))</f>
        <v>720193</v>
      </c>
      <c r="J691" s="3" t="str">
        <f aca="false">IF(ISNUMBER(SEARCH("FACEBOOK",W691)),"Facebook",IF(ISNUMBER(SEARCH("INSTAGRAM",W691)),"Facebook-Instagram","Look at taxonomy"))</f>
        <v>Facebook</v>
      </c>
      <c r="K691" s="3" t="str">
        <f aca="false">IF(ISNUMBER(SEARCH("Facebook",J691)),"3654128","Not Facebook")</f>
        <v>3654128</v>
      </c>
      <c r="L691" s="3" t="str">
        <f aca="false">IFERROR(VLOOKUP(OFFSET(Table22,690,21,1,1),OFFSET(Table2,0,1,ROWS(Table2),8),7,0),VLOOKUP(OFFSET(Table22,690,22,1,1),Table2,8,0))</f>
        <v>AZR_FreeAcctITProFB-AnimatedHybrid-Ch2_FRA_1200x1200_VIA_AZRDirect_French_NA_Facebook_STAN_LEA_T2_1</v>
      </c>
      <c r="M691" s="2" t="n">
        <f aca="false">IFERROR(VLOOKUP(OFFSET(Table22,690,21,1,1),OFFSET(Table2,0,1,ROWS(Table2),8),8,0),VLOOKUP(OFFSET(Table22,690,22,1,1),Table2,9,0))</f>
        <v>104456278</v>
      </c>
      <c r="N691" s="15" t="s">
        <v>29</v>
      </c>
      <c r="O691" s="16" t="n">
        <v>43354</v>
      </c>
      <c r="P691" s="17" t="s">
        <v>102</v>
      </c>
      <c r="Q691" s="18" t="s">
        <v>103</v>
      </c>
      <c r="R691" s="17" t="s">
        <v>104</v>
      </c>
      <c r="S691" s="18" t="s">
        <v>33</v>
      </c>
      <c r="T691" s="17" t="s">
        <v>34</v>
      </c>
      <c r="U691" s="18" t="s">
        <v>131</v>
      </c>
      <c r="V691" s="19" t="n">
        <v>226496140</v>
      </c>
      <c r="W691" s="17" t="s">
        <v>151</v>
      </c>
      <c r="X691" s="17" t="n">
        <v>0</v>
      </c>
      <c r="Y691" s="17"/>
      <c r="Z691" s="17" t="n">
        <v>0</v>
      </c>
      <c r="AA691" s="17" t="s">
        <v>38</v>
      </c>
      <c r="AB691" s="17"/>
    </row>
    <row r="692" customFormat="false" ht="15" hidden="false" customHeight="false" outlineLevel="0" collapsed="false">
      <c r="A692" s="1" t="str">
        <f aca="false">OFFSET(Table22,691,14,1,1)&amp;OFFSET(Table22,691,21,1,1)</f>
        <v>43353226496140</v>
      </c>
      <c r="B692" s="1" t="str">
        <f aca="false">OFFSET(Table22,691,14,1,1)&amp;OFFSET(Table22,691,22,1,1)</f>
        <v>43353Facebook»ITPros-Azure Direct-Sponsored Post_Trial-Video Ad-Free Account IT Pro - Hybrid»1x1»30s»SOC»ALL»CPC»RT»D»UNK»SS»NA»Trials_ID</v>
      </c>
      <c r="C692" s="1" t="s">
        <v>28</v>
      </c>
      <c r="D692" s="3" t="n">
        <f aca="false">O692+(7-WEEKDAY(O692))</f>
        <v>43358</v>
      </c>
      <c r="E692" s="1" t="str">
        <f aca="false">VLOOKUP(OFFSET(Table22,691,16,1,1),Key!B:D,2,0)</f>
        <v>France</v>
      </c>
      <c r="F692" s="1" t="str">
        <f aca="false">IF(ISNUMBER(SEARCH("Canvas",U692)),"Link",IF(ISNUMBER(SEARCH("Link",U692)),"Link","Not filled properly"))</f>
        <v>Link</v>
      </c>
      <c r="G692" s="1" t="str">
        <f aca="false">IFERROR(VLOOKUP(OFFSET(Table22,691,21,1,1),OFFSET(Table2,0,1,ROWS(Table2),8),2,0),VLOOKUP(OFFSET(Table22,691,22,1,1),Table2,3,0))</f>
        <v>FRA_gaPMG_AZR_AZR_Q1_19_AzureDirect-Trial-Social</v>
      </c>
      <c r="H692" s="1" t="n">
        <f aca="false">IFERROR(VLOOKUP(OFFSET(Table22,691,21,1,1),OFFSET(Table2,0,1,ROWS(Table2),8),3,0),VLOOKUP(OFFSET(Table22,691,22,1,1),Table2,4,0))</f>
        <v>21356941</v>
      </c>
      <c r="I692" s="2" t="n">
        <f aca="false">IFERROR(VLOOKUP(OFFSET(Table22,691,21,1,1),OFFSET(Table2,0,1,ROWS(Table2),8),4,0),VLOOKUP(OFFSET(Table22,691,22,1,1),Table2,5,0))</f>
        <v>720193</v>
      </c>
      <c r="J692" s="3" t="str">
        <f aca="false">IF(ISNUMBER(SEARCH("FACEBOOK",W692)),"Facebook",IF(ISNUMBER(SEARCH("INSTAGRAM",W692)),"Facebook-Instagram","Look at taxonomy"))</f>
        <v>Facebook</v>
      </c>
      <c r="K692" s="3" t="str">
        <f aca="false">IF(ISNUMBER(SEARCH("Facebook",J692)),"3654128","Not Facebook")</f>
        <v>3654128</v>
      </c>
      <c r="L692" s="3" t="str">
        <f aca="false">IFERROR(VLOOKUP(OFFSET(Table22,691,21,1,1),OFFSET(Table2,0,1,ROWS(Table2),8),7,0),VLOOKUP(OFFSET(Table22,691,22,1,1),Table2,8,0))</f>
        <v>AZR_FreeAcctITProFB-AnimatedHybrid-Ch2_FRA_1200x1200_VIA_AZRDirect_French_NA_Facebook_STAN_LEA_T2_1</v>
      </c>
      <c r="M692" s="2" t="n">
        <f aca="false">IFERROR(VLOOKUP(OFFSET(Table22,691,21,1,1),OFFSET(Table2,0,1,ROWS(Table2),8),8,0),VLOOKUP(OFFSET(Table22,691,22,1,1),Table2,9,0))</f>
        <v>104456278</v>
      </c>
      <c r="N692" s="15" t="s">
        <v>29</v>
      </c>
      <c r="O692" s="16" t="n">
        <v>43353</v>
      </c>
      <c r="P692" s="17" t="s">
        <v>102</v>
      </c>
      <c r="Q692" s="18" t="s">
        <v>103</v>
      </c>
      <c r="R692" s="17" t="s">
        <v>104</v>
      </c>
      <c r="S692" s="18" t="s">
        <v>33</v>
      </c>
      <c r="T692" s="17" t="s">
        <v>34</v>
      </c>
      <c r="U692" s="18" t="s">
        <v>131</v>
      </c>
      <c r="V692" s="19" t="n">
        <v>226496140</v>
      </c>
      <c r="W692" s="17" t="s">
        <v>151</v>
      </c>
      <c r="X692" s="17" t="n">
        <v>0</v>
      </c>
      <c r="Y692" s="17"/>
      <c r="Z692" s="17" t="n">
        <v>0</v>
      </c>
      <c r="AA692" s="17" t="s">
        <v>38</v>
      </c>
      <c r="AB692" s="17"/>
    </row>
    <row r="693" customFormat="false" ht="15" hidden="false" customHeight="false" outlineLevel="0" collapsed="false">
      <c r="A693" s="1" t="str">
        <f aca="false">OFFSET(Table22,692,14,1,1)&amp;OFFSET(Table22,692,21,1,1)</f>
        <v>43352226496140</v>
      </c>
      <c r="B693" s="1" t="str">
        <f aca="false">OFFSET(Table22,692,14,1,1)&amp;OFFSET(Table22,692,22,1,1)</f>
        <v>43352Facebook»ITPros-Azure Direct-Sponsored Post_Trial-Video Ad-Free Account IT Pro - Hybrid»1x1»30s»SOC»ALL»CPC»RT»D»UNK»SS»NA»Trials_ID</v>
      </c>
      <c r="C693" s="1" t="s">
        <v>28</v>
      </c>
      <c r="D693" s="3" t="n">
        <f aca="false">O693+(7-WEEKDAY(O693))</f>
        <v>43358</v>
      </c>
      <c r="E693" s="1" t="str">
        <f aca="false">VLOOKUP(OFFSET(Table22,692,16,1,1),Key!B:D,2,0)</f>
        <v>France</v>
      </c>
      <c r="F693" s="1" t="str">
        <f aca="false">IF(ISNUMBER(SEARCH("Canvas",U693)),"Link",IF(ISNUMBER(SEARCH("Link",U693)),"Link","Not filled properly"))</f>
        <v>Link</v>
      </c>
      <c r="G693" s="1" t="str">
        <f aca="false">IFERROR(VLOOKUP(OFFSET(Table22,692,21,1,1),OFFSET(Table2,0,1,ROWS(Table2),8),2,0),VLOOKUP(OFFSET(Table22,692,22,1,1),Table2,3,0))</f>
        <v>FRA_gaPMG_AZR_AZR_Q1_19_AzureDirect-Trial-Social</v>
      </c>
      <c r="H693" s="1" t="n">
        <f aca="false">IFERROR(VLOOKUP(OFFSET(Table22,692,21,1,1),OFFSET(Table2,0,1,ROWS(Table2),8),3,0),VLOOKUP(OFFSET(Table22,692,22,1,1),Table2,4,0))</f>
        <v>21356941</v>
      </c>
      <c r="I693" s="2" t="n">
        <f aca="false">IFERROR(VLOOKUP(OFFSET(Table22,692,21,1,1),OFFSET(Table2,0,1,ROWS(Table2),8),4,0),VLOOKUP(OFFSET(Table22,692,22,1,1),Table2,5,0))</f>
        <v>720193</v>
      </c>
      <c r="J693" s="3" t="str">
        <f aca="false">IF(ISNUMBER(SEARCH("FACEBOOK",W693)),"Facebook",IF(ISNUMBER(SEARCH("INSTAGRAM",W693)),"Facebook-Instagram","Look at taxonomy"))</f>
        <v>Facebook</v>
      </c>
      <c r="K693" s="3" t="str">
        <f aca="false">IF(ISNUMBER(SEARCH("Facebook",J693)),"3654128","Not Facebook")</f>
        <v>3654128</v>
      </c>
      <c r="L693" s="3" t="str">
        <f aca="false">IFERROR(VLOOKUP(OFFSET(Table22,692,21,1,1),OFFSET(Table2,0,1,ROWS(Table2),8),7,0),VLOOKUP(OFFSET(Table22,692,22,1,1),Table2,8,0))</f>
        <v>AZR_FreeAcctITProFB-AnimatedHybrid-Ch2_FRA_1200x1200_VIA_AZRDirect_French_NA_Facebook_STAN_LEA_T2_1</v>
      </c>
      <c r="M693" s="2" t="n">
        <f aca="false">IFERROR(VLOOKUP(OFFSET(Table22,692,21,1,1),OFFSET(Table2,0,1,ROWS(Table2),8),8,0),VLOOKUP(OFFSET(Table22,692,22,1,1),Table2,9,0))</f>
        <v>104456278</v>
      </c>
      <c r="N693" s="15" t="s">
        <v>29</v>
      </c>
      <c r="O693" s="16" t="n">
        <v>43352</v>
      </c>
      <c r="P693" s="17" t="s">
        <v>102</v>
      </c>
      <c r="Q693" s="18" t="s">
        <v>103</v>
      </c>
      <c r="R693" s="17" t="s">
        <v>104</v>
      </c>
      <c r="S693" s="18" t="s">
        <v>33</v>
      </c>
      <c r="T693" s="17" t="s">
        <v>34</v>
      </c>
      <c r="U693" s="18" t="s">
        <v>131</v>
      </c>
      <c r="V693" s="19" t="n">
        <v>226496140</v>
      </c>
      <c r="W693" s="17" t="s">
        <v>151</v>
      </c>
      <c r="X693" s="17" t="n">
        <v>0</v>
      </c>
      <c r="Y693" s="17"/>
      <c r="Z693" s="17" t="n">
        <v>0</v>
      </c>
      <c r="AA693" s="17" t="s">
        <v>38</v>
      </c>
      <c r="AB693" s="17"/>
    </row>
    <row r="694" customFormat="false" ht="15" hidden="false" customHeight="false" outlineLevel="0" collapsed="false">
      <c r="A694" s="1" t="str">
        <f aca="false">OFFSET(Table22,693,14,1,1)&amp;OFFSET(Table22,693,21,1,1)</f>
        <v>43358226359995</v>
      </c>
      <c r="B694" s="1" t="str">
        <f aca="false">OFFSET(Table22,693,14,1,1)&amp;OFFSET(Table22,693,22,1,1)</f>
        <v>43358Facebook»ITPros-Azure Direct-Sponsored Post_Trial-Video Ad-Free Account IT Pro - Migration»1x1»30s»SOC»ALL»CPC»LAL»D»UNK»SS»NA»Trials_ID</v>
      </c>
      <c r="C694" s="1" t="s">
        <v>28</v>
      </c>
      <c r="D694" s="3" t="n">
        <f aca="false">O694+(7-WEEKDAY(O694))</f>
        <v>43358</v>
      </c>
      <c r="E694" s="1" t="str">
        <f aca="false">VLOOKUP(OFFSET(Table22,693,16,1,1),Key!B:D,2,0)</f>
        <v>France</v>
      </c>
      <c r="F694" s="1" t="str">
        <f aca="false">IF(ISNUMBER(SEARCH("Canvas",U694)),"Link",IF(ISNUMBER(SEARCH("Link",U694)),"Link","Not filled properly"))</f>
        <v>Link</v>
      </c>
      <c r="G694" s="1" t="str">
        <f aca="false">IFERROR(VLOOKUP(OFFSET(Table22,693,21,1,1),OFFSET(Table2,0,1,ROWS(Table2),8),2,0),VLOOKUP(OFFSET(Table22,693,22,1,1),Table2,3,0))</f>
        <v>FRA_gaPMG_AZR_AZR_Q1_19_AzureDirect-Trial-Social</v>
      </c>
      <c r="H694" s="1" t="n">
        <f aca="false">IFERROR(VLOOKUP(OFFSET(Table22,693,21,1,1),OFFSET(Table2,0,1,ROWS(Table2),8),3,0),VLOOKUP(OFFSET(Table22,693,22,1,1),Table2,4,0))</f>
        <v>21356941</v>
      </c>
      <c r="I694" s="2" t="n">
        <f aca="false">IFERROR(VLOOKUP(OFFSET(Table22,693,21,1,1),OFFSET(Table2,0,1,ROWS(Table2),8),4,0),VLOOKUP(OFFSET(Table22,693,22,1,1),Table2,5,0))</f>
        <v>720193</v>
      </c>
      <c r="J694" s="3" t="str">
        <f aca="false">IF(ISNUMBER(SEARCH("FACEBOOK",W694)),"Facebook",IF(ISNUMBER(SEARCH("INSTAGRAM",W694)),"Facebook-Instagram","Look at taxonomy"))</f>
        <v>Facebook</v>
      </c>
      <c r="K694" s="3" t="str">
        <f aca="false">IF(ISNUMBER(SEARCH("Facebook",J694)),"3654128","Not Facebook")</f>
        <v>3654128</v>
      </c>
      <c r="L694" s="3" t="str">
        <f aca="false">IFERROR(VLOOKUP(OFFSET(Table22,693,21,1,1),OFFSET(Table2,0,1,ROWS(Table2),8),7,0),VLOOKUP(OFFSET(Table22,693,22,1,1),Table2,8,0))</f>
        <v>AZR_FreeAcctITProFB-AnimatedMigration-Ch3_FRA_1200x1200_VIA_AZRDirect_French_NA_Facebook_STAN_LEA_T3_1</v>
      </c>
      <c r="M694" s="2" t="n">
        <f aca="false">IFERROR(VLOOKUP(OFFSET(Table22,693,21,1,1),OFFSET(Table2,0,1,ROWS(Table2),8),8,0),VLOOKUP(OFFSET(Table22,693,22,1,1),Table2,9,0))</f>
        <v>104458003</v>
      </c>
      <c r="N694" s="15" t="s">
        <v>29</v>
      </c>
      <c r="O694" s="16" t="n">
        <v>43358</v>
      </c>
      <c r="P694" s="17" t="s">
        <v>102</v>
      </c>
      <c r="Q694" s="18" t="s">
        <v>103</v>
      </c>
      <c r="R694" s="17" t="s">
        <v>104</v>
      </c>
      <c r="S694" s="18" t="s">
        <v>33</v>
      </c>
      <c r="T694" s="17" t="s">
        <v>34</v>
      </c>
      <c r="U694" s="18" t="s">
        <v>131</v>
      </c>
      <c r="V694" s="19" t="n">
        <v>226359995</v>
      </c>
      <c r="W694" s="17" t="s">
        <v>152</v>
      </c>
      <c r="X694" s="17" t="n">
        <v>1</v>
      </c>
      <c r="Y694" s="17"/>
      <c r="Z694" s="17" t="n">
        <v>0.01</v>
      </c>
      <c r="AA694" s="17" t="s">
        <v>38</v>
      </c>
      <c r="AB694" s="17"/>
    </row>
    <row r="695" customFormat="false" ht="15" hidden="false" customHeight="false" outlineLevel="0" collapsed="false">
      <c r="A695" s="1" t="str">
        <f aca="false">OFFSET(Table22,694,14,1,1)&amp;OFFSET(Table22,694,21,1,1)</f>
        <v>43357226359995</v>
      </c>
      <c r="B695" s="1" t="str">
        <f aca="false">OFFSET(Table22,694,14,1,1)&amp;OFFSET(Table22,694,22,1,1)</f>
        <v>43357Facebook»ITPros-Azure Direct-Sponsored Post_Trial-Video Ad-Free Account IT Pro - Migration»1x1»30s»SOC»ALL»CPC»LAL»D»UNK»SS»NA»Trials_ID</v>
      </c>
      <c r="C695" s="1" t="s">
        <v>28</v>
      </c>
      <c r="D695" s="3" t="n">
        <f aca="false">O695+(7-WEEKDAY(O695))</f>
        <v>43358</v>
      </c>
      <c r="E695" s="1" t="str">
        <f aca="false">VLOOKUP(OFFSET(Table22,694,16,1,1),Key!B:D,2,0)</f>
        <v>France</v>
      </c>
      <c r="F695" s="1" t="str">
        <f aca="false">IF(ISNUMBER(SEARCH("Canvas",U695)),"Link",IF(ISNUMBER(SEARCH("Link",U695)),"Link","Not filled properly"))</f>
        <v>Link</v>
      </c>
      <c r="G695" s="1" t="str">
        <f aca="false">IFERROR(VLOOKUP(OFFSET(Table22,694,21,1,1),OFFSET(Table2,0,1,ROWS(Table2),8),2,0),VLOOKUP(OFFSET(Table22,694,22,1,1),Table2,3,0))</f>
        <v>FRA_gaPMG_AZR_AZR_Q1_19_AzureDirect-Trial-Social</v>
      </c>
      <c r="H695" s="1" t="n">
        <f aca="false">IFERROR(VLOOKUP(OFFSET(Table22,694,21,1,1),OFFSET(Table2,0,1,ROWS(Table2),8),3,0),VLOOKUP(OFFSET(Table22,694,22,1,1),Table2,4,0))</f>
        <v>21356941</v>
      </c>
      <c r="I695" s="2" t="n">
        <f aca="false">IFERROR(VLOOKUP(OFFSET(Table22,694,21,1,1),OFFSET(Table2,0,1,ROWS(Table2),8),4,0),VLOOKUP(OFFSET(Table22,694,22,1,1),Table2,5,0))</f>
        <v>720193</v>
      </c>
      <c r="J695" s="3" t="str">
        <f aca="false">IF(ISNUMBER(SEARCH("FACEBOOK",W695)),"Facebook",IF(ISNUMBER(SEARCH("INSTAGRAM",W695)),"Facebook-Instagram","Look at taxonomy"))</f>
        <v>Facebook</v>
      </c>
      <c r="K695" s="3" t="str">
        <f aca="false">IF(ISNUMBER(SEARCH("Facebook",J695)),"3654128","Not Facebook")</f>
        <v>3654128</v>
      </c>
      <c r="L695" s="3" t="str">
        <f aca="false">IFERROR(VLOOKUP(OFFSET(Table22,694,21,1,1),OFFSET(Table2,0,1,ROWS(Table2),8),7,0),VLOOKUP(OFFSET(Table22,694,22,1,1),Table2,8,0))</f>
        <v>AZR_FreeAcctITProFB-AnimatedMigration-Ch3_FRA_1200x1200_VIA_AZRDirect_French_NA_Facebook_STAN_LEA_T3_1</v>
      </c>
      <c r="M695" s="2" t="n">
        <f aca="false">IFERROR(VLOOKUP(OFFSET(Table22,694,21,1,1),OFFSET(Table2,0,1,ROWS(Table2),8),8,0),VLOOKUP(OFFSET(Table22,694,22,1,1),Table2,9,0))</f>
        <v>104458003</v>
      </c>
      <c r="N695" s="15" t="s">
        <v>29</v>
      </c>
      <c r="O695" s="16" t="n">
        <v>43357</v>
      </c>
      <c r="P695" s="17" t="s">
        <v>102</v>
      </c>
      <c r="Q695" s="18" t="s">
        <v>103</v>
      </c>
      <c r="R695" s="17" t="s">
        <v>104</v>
      </c>
      <c r="S695" s="18" t="s">
        <v>33</v>
      </c>
      <c r="T695" s="17" t="s">
        <v>34</v>
      </c>
      <c r="U695" s="18" t="s">
        <v>131</v>
      </c>
      <c r="V695" s="19" t="n">
        <v>226359995</v>
      </c>
      <c r="W695" s="17" t="s">
        <v>152</v>
      </c>
      <c r="X695" s="17" t="n">
        <v>0</v>
      </c>
      <c r="Y695" s="17"/>
      <c r="Z695" s="17" t="n">
        <v>0</v>
      </c>
      <c r="AA695" s="17" t="s">
        <v>38</v>
      </c>
      <c r="AB695" s="17"/>
    </row>
    <row r="696" customFormat="false" ht="15" hidden="false" customHeight="false" outlineLevel="0" collapsed="false">
      <c r="A696" s="1" t="str">
        <f aca="false">OFFSET(Table22,695,14,1,1)&amp;OFFSET(Table22,695,21,1,1)</f>
        <v>43356226359995</v>
      </c>
      <c r="B696" s="1" t="str">
        <f aca="false">OFFSET(Table22,695,14,1,1)&amp;OFFSET(Table22,695,22,1,1)</f>
        <v>43356Facebook»ITPros-Azure Direct-Sponsored Post_Trial-Video Ad-Free Account IT Pro - Migration»1x1»30s»SOC»ALL»CPC»LAL»D»UNK»SS»NA»Trials_ID</v>
      </c>
      <c r="C696" s="1" t="s">
        <v>28</v>
      </c>
      <c r="D696" s="3" t="n">
        <f aca="false">O696+(7-WEEKDAY(O696))</f>
        <v>43358</v>
      </c>
      <c r="E696" s="1" t="str">
        <f aca="false">VLOOKUP(OFFSET(Table22,695,16,1,1),Key!B:D,2,0)</f>
        <v>France</v>
      </c>
      <c r="F696" s="1" t="str">
        <f aca="false">IF(ISNUMBER(SEARCH("Canvas",U696)),"Link",IF(ISNUMBER(SEARCH("Link",U696)),"Link","Not filled properly"))</f>
        <v>Link</v>
      </c>
      <c r="G696" s="1" t="str">
        <f aca="false">IFERROR(VLOOKUP(OFFSET(Table22,695,21,1,1),OFFSET(Table2,0,1,ROWS(Table2),8),2,0),VLOOKUP(OFFSET(Table22,695,22,1,1),Table2,3,0))</f>
        <v>FRA_gaPMG_AZR_AZR_Q1_19_AzureDirect-Trial-Social</v>
      </c>
      <c r="H696" s="1" t="n">
        <f aca="false">IFERROR(VLOOKUP(OFFSET(Table22,695,21,1,1),OFFSET(Table2,0,1,ROWS(Table2),8),3,0),VLOOKUP(OFFSET(Table22,695,22,1,1),Table2,4,0))</f>
        <v>21356941</v>
      </c>
      <c r="I696" s="2" t="n">
        <f aca="false">IFERROR(VLOOKUP(OFFSET(Table22,695,21,1,1),OFFSET(Table2,0,1,ROWS(Table2),8),4,0),VLOOKUP(OFFSET(Table22,695,22,1,1),Table2,5,0))</f>
        <v>720193</v>
      </c>
      <c r="J696" s="3" t="str">
        <f aca="false">IF(ISNUMBER(SEARCH("FACEBOOK",W696)),"Facebook",IF(ISNUMBER(SEARCH("INSTAGRAM",W696)),"Facebook-Instagram","Look at taxonomy"))</f>
        <v>Facebook</v>
      </c>
      <c r="K696" s="3" t="str">
        <f aca="false">IF(ISNUMBER(SEARCH("Facebook",J696)),"3654128","Not Facebook")</f>
        <v>3654128</v>
      </c>
      <c r="L696" s="3" t="str">
        <f aca="false">IFERROR(VLOOKUP(OFFSET(Table22,695,21,1,1),OFFSET(Table2,0,1,ROWS(Table2),8),7,0),VLOOKUP(OFFSET(Table22,695,22,1,1),Table2,8,0))</f>
        <v>AZR_FreeAcctITProFB-AnimatedMigration-Ch3_FRA_1200x1200_VIA_AZRDirect_French_NA_Facebook_STAN_LEA_T3_1</v>
      </c>
      <c r="M696" s="2" t="n">
        <f aca="false">IFERROR(VLOOKUP(OFFSET(Table22,695,21,1,1),OFFSET(Table2,0,1,ROWS(Table2),8),8,0),VLOOKUP(OFFSET(Table22,695,22,1,1),Table2,9,0))</f>
        <v>104458003</v>
      </c>
      <c r="N696" s="15" t="s">
        <v>29</v>
      </c>
      <c r="O696" s="16" t="n">
        <v>43356</v>
      </c>
      <c r="P696" s="17" t="s">
        <v>102</v>
      </c>
      <c r="Q696" s="18" t="s">
        <v>103</v>
      </c>
      <c r="R696" s="17" t="s">
        <v>104</v>
      </c>
      <c r="S696" s="18" t="s">
        <v>33</v>
      </c>
      <c r="T696" s="17" t="s">
        <v>34</v>
      </c>
      <c r="U696" s="18" t="s">
        <v>131</v>
      </c>
      <c r="V696" s="19" t="n">
        <v>226359995</v>
      </c>
      <c r="W696" s="17" t="s">
        <v>152</v>
      </c>
      <c r="X696" s="17" t="n">
        <v>0</v>
      </c>
      <c r="Y696" s="17"/>
      <c r="Z696" s="17" t="n">
        <v>0</v>
      </c>
      <c r="AA696" s="17" t="s">
        <v>38</v>
      </c>
      <c r="AB696" s="17"/>
    </row>
    <row r="697" customFormat="false" ht="15" hidden="false" customHeight="false" outlineLevel="0" collapsed="false">
      <c r="A697" s="1" t="str">
        <f aca="false">OFFSET(Table22,696,14,1,1)&amp;OFFSET(Table22,696,21,1,1)</f>
        <v>43355226359995</v>
      </c>
      <c r="B697" s="1" t="str">
        <f aca="false">OFFSET(Table22,696,14,1,1)&amp;OFFSET(Table22,696,22,1,1)</f>
        <v>43355Facebook»ITPros-Azure Direct-Sponsored Post_Trial-Video Ad-Free Account IT Pro - Migration»1x1»30s»SOC»ALL»CPC»LAL»D»UNK»SS»NA»Trials_ID</v>
      </c>
      <c r="C697" s="1" t="s">
        <v>28</v>
      </c>
      <c r="D697" s="3" t="n">
        <f aca="false">O697+(7-WEEKDAY(O697))</f>
        <v>43358</v>
      </c>
      <c r="E697" s="1" t="str">
        <f aca="false">VLOOKUP(OFFSET(Table22,696,16,1,1),Key!B:D,2,0)</f>
        <v>France</v>
      </c>
      <c r="F697" s="1" t="str">
        <f aca="false">IF(ISNUMBER(SEARCH("Canvas",U697)),"Link",IF(ISNUMBER(SEARCH("Link",U697)),"Link","Not filled properly"))</f>
        <v>Link</v>
      </c>
      <c r="G697" s="1" t="str">
        <f aca="false">IFERROR(VLOOKUP(OFFSET(Table22,696,21,1,1),OFFSET(Table2,0,1,ROWS(Table2),8),2,0),VLOOKUP(OFFSET(Table22,696,22,1,1),Table2,3,0))</f>
        <v>FRA_gaPMG_AZR_AZR_Q1_19_AzureDirect-Trial-Social</v>
      </c>
      <c r="H697" s="1" t="n">
        <f aca="false">IFERROR(VLOOKUP(OFFSET(Table22,696,21,1,1),OFFSET(Table2,0,1,ROWS(Table2),8),3,0),VLOOKUP(OFFSET(Table22,696,22,1,1),Table2,4,0))</f>
        <v>21356941</v>
      </c>
      <c r="I697" s="2" t="n">
        <f aca="false">IFERROR(VLOOKUP(OFFSET(Table22,696,21,1,1),OFFSET(Table2,0,1,ROWS(Table2),8),4,0),VLOOKUP(OFFSET(Table22,696,22,1,1),Table2,5,0))</f>
        <v>720193</v>
      </c>
      <c r="J697" s="3" t="str">
        <f aca="false">IF(ISNUMBER(SEARCH("FACEBOOK",W697)),"Facebook",IF(ISNUMBER(SEARCH("INSTAGRAM",W697)),"Facebook-Instagram","Look at taxonomy"))</f>
        <v>Facebook</v>
      </c>
      <c r="K697" s="3" t="str">
        <f aca="false">IF(ISNUMBER(SEARCH("Facebook",J697)),"3654128","Not Facebook")</f>
        <v>3654128</v>
      </c>
      <c r="L697" s="3" t="str">
        <f aca="false">IFERROR(VLOOKUP(OFFSET(Table22,696,21,1,1),OFFSET(Table2,0,1,ROWS(Table2),8),7,0),VLOOKUP(OFFSET(Table22,696,22,1,1),Table2,8,0))</f>
        <v>AZR_FreeAcctITProFB-AnimatedMigration-Ch3_FRA_1200x1200_VIA_AZRDirect_French_NA_Facebook_STAN_LEA_T3_1</v>
      </c>
      <c r="M697" s="2" t="n">
        <f aca="false">IFERROR(VLOOKUP(OFFSET(Table22,696,21,1,1),OFFSET(Table2,0,1,ROWS(Table2),8),8,0),VLOOKUP(OFFSET(Table22,696,22,1,1),Table2,9,0))</f>
        <v>104458003</v>
      </c>
      <c r="N697" s="15" t="s">
        <v>29</v>
      </c>
      <c r="O697" s="16" t="n">
        <v>43355</v>
      </c>
      <c r="P697" s="17" t="s">
        <v>102</v>
      </c>
      <c r="Q697" s="18" t="s">
        <v>103</v>
      </c>
      <c r="R697" s="17" t="s">
        <v>104</v>
      </c>
      <c r="S697" s="18" t="s">
        <v>33</v>
      </c>
      <c r="T697" s="17" t="s">
        <v>34</v>
      </c>
      <c r="U697" s="18" t="s">
        <v>131</v>
      </c>
      <c r="V697" s="19" t="n">
        <v>226359995</v>
      </c>
      <c r="W697" s="17" t="s">
        <v>152</v>
      </c>
      <c r="X697" s="17" t="n">
        <v>1</v>
      </c>
      <c r="Y697" s="17"/>
      <c r="Z697" s="17" t="n">
        <v>0</v>
      </c>
      <c r="AA697" s="17" t="s">
        <v>38</v>
      </c>
      <c r="AB697" s="17"/>
    </row>
    <row r="698" customFormat="false" ht="15" hidden="false" customHeight="false" outlineLevel="0" collapsed="false">
      <c r="A698" s="1" t="str">
        <f aca="false">OFFSET(Table22,697,14,1,1)&amp;OFFSET(Table22,697,21,1,1)</f>
        <v>43354226359995</v>
      </c>
      <c r="B698" s="1" t="str">
        <f aca="false">OFFSET(Table22,697,14,1,1)&amp;OFFSET(Table22,697,22,1,1)</f>
        <v>43354Facebook»ITPros-Azure Direct-Sponsored Post_Trial-Video Ad-Free Account IT Pro - Migration»1x1»30s»SOC»ALL»CPC»LAL»D»UNK»SS»NA»Trials_ID</v>
      </c>
      <c r="C698" s="1" t="s">
        <v>28</v>
      </c>
      <c r="D698" s="3" t="n">
        <f aca="false">O698+(7-WEEKDAY(O698))</f>
        <v>43358</v>
      </c>
      <c r="E698" s="1" t="str">
        <f aca="false">VLOOKUP(OFFSET(Table22,697,16,1,1),Key!B:D,2,0)</f>
        <v>France</v>
      </c>
      <c r="F698" s="1" t="str">
        <f aca="false">IF(ISNUMBER(SEARCH("Canvas",U698)),"Link",IF(ISNUMBER(SEARCH("Link",U698)),"Link","Not filled properly"))</f>
        <v>Link</v>
      </c>
      <c r="G698" s="1" t="str">
        <f aca="false">IFERROR(VLOOKUP(OFFSET(Table22,697,21,1,1),OFFSET(Table2,0,1,ROWS(Table2),8),2,0),VLOOKUP(OFFSET(Table22,697,22,1,1),Table2,3,0))</f>
        <v>FRA_gaPMG_AZR_AZR_Q1_19_AzureDirect-Trial-Social</v>
      </c>
      <c r="H698" s="1" t="n">
        <f aca="false">IFERROR(VLOOKUP(OFFSET(Table22,697,21,1,1),OFFSET(Table2,0,1,ROWS(Table2),8),3,0),VLOOKUP(OFFSET(Table22,697,22,1,1),Table2,4,0))</f>
        <v>21356941</v>
      </c>
      <c r="I698" s="2" t="n">
        <f aca="false">IFERROR(VLOOKUP(OFFSET(Table22,697,21,1,1),OFFSET(Table2,0,1,ROWS(Table2),8),4,0),VLOOKUP(OFFSET(Table22,697,22,1,1),Table2,5,0))</f>
        <v>720193</v>
      </c>
      <c r="J698" s="3" t="str">
        <f aca="false">IF(ISNUMBER(SEARCH("FACEBOOK",W698)),"Facebook",IF(ISNUMBER(SEARCH("INSTAGRAM",W698)),"Facebook-Instagram","Look at taxonomy"))</f>
        <v>Facebook</v>
      </c>
      <c r="K698" s="3" t="str">
        <f aca="false">IF(ISNUMBER(SEARCH("Facebook",J698)),"3654128","Not Facebook")</f>
        <v>3654128</v>
      </c>
      <c r="L698" s="3" t="str">
        <f aca="false">IFERROR(VLOOKUP(OFFSET(Table22,697,21,1,1),OFFSET(Table2,0,1,ROWS(Table2),8),7,0),VLOOKUP(OFFSET(Table22,697,22,1,1),Table2,8,0))</f>
        <v>AZR_FreeAcctITProFB-AnimatedMigration-Ch3_FRA_1200x1200_VIA_AZRDirect_French_NA_Facebook_STAN_LEA_T3_1</v>
      </c>
      <c r="M698" s="2" t="n">
        <f aca="false">IFERROR(VLOOKUP(OFFSET(Table22,697,21,1,1),OFFSET(Table2,0,1,ROWS(Table2),8),8,0),VLOOKUP(OFFSET(Table22,697,22,1,1),Table2,9,0))</f>
        <v>104458003</v>
      </c>
      <c r="N698" s="15" t="s">
        <v>29</v>
      </c>
      <c r="O698" s="16" t="n">
        <v>43354</v>
      </c>
      <c r="P698" s="17" t="s">
        <v>102</v>
      </c>
      <c r="Q698" s="18" t="s">
        <v>103</v>
      </c>
      <c r="R698" s="17" t="s">
        <v>104</v>
      </c>
      <c r="S698" s="18" t="s">
        <v>33</v>
      </c>
      <c r="T698" s="17" t="s">
        <v>34</v>
      </c>
      <c r="U698" s="18" t="s">
        <v>131</v>
      </c>
      <c r="V698" s="19" t="n">
        <v>226359995</v>
      </c>
      <c r="W698" s="17" t="s">
        <v>152</v>
      </c>
      <c r="X698" s="17" t="n">
        <v>0</v>
      </c>
      <c r="Y698" s="17"/>
      <c r="Z698" s="17" t="n">
        <v>0</v>
      </c>
      <c r="AA698" s="17" t="s">
        <v>38</v>
      </c>
      <c r="AB698" s="17"/>
    </row>
    <row r="699" customFormat="false" ht="15" hidden="false" customHeight="false" outlineLevel="0" collapsed="false">
      <c r="A699" s="1" t="str">
        <f aca="false">OFFSET(Table22,698,14,1,1)&amp;OFFSET(Table22,698,21,1,1)</f>
        <v>43353226359995</v>
      </c>
      <c r="B699" s="1" t="str">
        <f aca="false">OFFSET(Table22,698,14,1,1)&amp;OFFSET(Table22,698,22,1,1)</f>
        <v>43353Facebook»ITPros-Azure Direct-Sponsored Post_Trial-Video Ad-Free Account IT Pro - Migration»1x1»30s»SOC»ALL»CPC»LAL»D»UNK»SS»NA»Trials_ID</v>
      </c>
      <c r="C699" s="1" t="s">
        <v>28</v>
      </c>
      <c r="D699" s="3" t="n">
        <f aca="false">O699+(7-WEEKDAY(O699))</f>
        <v>43358</v>
      </c>
      <c r="E699" s="1" t="str">
        <f aca="false">VLOOKUP(OFFSET(Table22,698,16,1,1),Key!B:D,2,0)</f>
        <v>France</v>
      </c>
      <c r="F699" s="1" t="str">
        <f aca="false">IF(ISNUMBER(SEARCH("Canvas",U699)),"Link",IF(ISNUMBER(SEARCH("Link",U699)),"Link","Not filled properly"))</f>
        <v>Link</v>
      </c>
      <c r="G699" s="1" t="str">
        <f aca="false">IFERROR(VLOOKUP(OFFSET(Table22,698,21,1,1),OFFSET(Table2,0,1,ROWS(Table2),8),2,0),VLOOKUP(OFFSET(Table22,698,22,1,1),Table2,3,0))</f>
        <v>FRA_gaPMG_AZR_AZR_Q1_19_AzureDirect-Trial-Social</v>
      </c>
      <c r="H699" s="1" t="n">
        <f aca="false">IFERROR(VLOOKUP(OFFSET(Table22,698,21,1,1),OFFSET(Table2,0,1,ROWS(Table2),8),3,0),VLOOKUP(OFFSET(Table22,698,22,1,1),Table2,4,0))</f>
        <v>21356941</v>
      </c>
      <c r="I699" s="2" t="n">
        <f aca="false">IFERROR(VLOOKUP(OFFSET(Table22,698,21,1,1),OFFSET(Table2,0,1,ROWS(Table2),8),4,0),VLOOKUP(OFFSET(Table22,698,22,1,1),Table2,5,0))</f>
        <v>720193</v>
      </c>
      <c r="J699" s="3" t="str">
        <f aca="false">IF(ISNUMBER(SEARCH("FACEBOOK",W699)),"Facebook",IF(ISNUMBER(SEARCH("INSTAGRAM",W699)),"Facebook-Instagram","Look at taxonomy"))</f>
        <v>Facebook</v>
      </c>
      <c r="K699" s="3" t="str">
        <f aca="false">IF(ISNUMBER(SEARCH("Facebook",J699)),"3654128","Not Facebook")</f>
        <v>3654128</v>
      </c>
      <c r="L699" s="3" t="str">
        <f aca="false">IFERROR(VLOOKUP(OFFSET(Table22,698,21,1,1),OFFSET(Table2,0,1,ROWS(Table2),8),7,0),VLOOKUP(OFFSET(Table22,698,22,1,1),Table2,8,0))</f>
        <v>AZR_FreeAcctITProFB-AnimatedMigration-Ch3_FRA_1200x1200_VIA_AZRDirect_French_NA_Facebook_STAN_LEA_T3_1</v>
      </c>
      <c r="M699" s="2" t="n">
        <f aca="false">IFERROR(VLOOKUP(OFFSET(Table22,698,21,1,1),OFFSET(Table2,0,1,ROWS(Table2),8),8,0),VLOOKUP(OFFSET(Table22,698,22,1,1),Table2,9,0))</f>
        <v>104458003</v>
      </c>
      <c r="N699" s="15" t="s">
        <v>29</v>
      </c>
      <c r="O699" s="16" t="n">
        <v>43353</v>
      </c>
      <c r="P699" s="17" t="s">
        <v>102</v>
      </c>
      <c r="Q699" s="18" t="s">
        <v>103</v>
      </c>
      <c r="R699" s="17" t="s">
        <v>104</v>
      </c>
      <c r="S699" s="18" t="s">
        <v>33</v>
      </c>
      <c r="T699" s="17" t="s">
        <v>34</v>
      </c>
      <c r="U699" s="18" t="s">
        <v>131</v>
      </c>
      <c r="V699" s="19" t="n">
        <v>226359995</v>
      </c>
      <c r="W699" s="17" t="s">
        <v>152</v>
      </c>
      <c r="X699" s="17" t="n">
        <v>0</v>
      </c>
      <c r="Y699" s="17"/>
      <c r="Z699" s="17" t="n">
        <v>0</v>
      </c>
      <c r="AA699" s="17" t="s">
        <v>38</v>
      </c>
      <c r="AB699" s="17"/>
    </row>
    <row r="700" customFormat="false" ht="15" hidden="false" customHeight="false" outlineLevel="0" collapsed="false">
      <c r="A700" s="1" t="str">
        <f aca="false">OFFSET(Table22,699,14,1,1)&amp;OFFSET(Table22,699,21,1,1)</f>
        <v>43352226359995</v>
      </c>
      <c r="B700" s="1" t="str">
        <f aca="false">OFFSET(Table22,699,14,1,1)&amp;OFFSET(Table22,699,22,1,1)</f>
        <v>43352Facebook»ITPros-Azure Direct-Sponsored Post_Trial-Video Ad-Free Account IT Pro - Migration»1x1»30s»SOC»ALL»CPC»LAL»D»UNK»SS»NA»Trials_ID</v>
      </c>
      <c r="C700" s="1" t="s">
        <v>28</v>
      </c>
      <c r="D700" s="3" t="n">
        <f aca="false">O700+(7-WEEKDAY(O700))</f>
        <v>43358</v>
      </c>
      <c r="E700" s="1" t="str">
        <f aca="false">VLOOKUP(OFFSET(Table22,699,16,1,1),Key!B:D,2,0)</f>
        <v>France</v>
      </c>
      <c r="F700" s="1" t="str">
        <f aca="false">IF(ISNUMBER(SEARCH("Canvas",U700)),"Link",IF(ISNUMBER(SEARCH("Link",U700)),"Link","Not filled properly"))</f>
        <v>Link</v>
      </c>
      <c r="G700" s="1" t="str">
        <f aca="false">IFERROR(VLOOKUP(OFFSET(Table22,699,21,1,1),OFFSET(Table2,0,1,ROWS(Table2),8),2,0),VLOOKUP(OFFSET(Table22,699,22,1,1),Table2,3,0))</f>
        <v>FRA_gaPMG_AZR_AZR_Q1_19_AzureDirect-Trial-Social</v>
      </c>
      <c r="H700" s="1" t="n">
        <f aca="false">IFERROR(VLOOKUP(OFFSET(Table22,699,21,1,1),OFFSET(Table2,0,1,ROWS(Table2),8),3,0),VLOOKUP(OFFSET(Table22,699,22,1,1),Table2,4,0))</f>
        <v>21356941</v>
      </c>
      <c r="I700" s="2" t="n">
        <f aca="false">IFERROR(VLOOKUP(OFFSET(Table22,699,21,1,1),OFFSET(Table2,0,1,ROWS(Table2),8),4,0),VLOOKUP(OFFSET(Table22,699,22,1,1),Table2,5,0))</f>
        <v>720193</v>
      </c>
      <c r="J700" s="3" t="str">
        <f aca="false">IF(ISNUMBER(SEARCH("FACEBOOK",W700)),"Facebook",IF(ISNUMBER(SEARCH("INSTAGRAM",W700)),"Facebook-Instagram","Look at taxonomy"))</f>
        <v>Facebook</v>
      </c>
      <c r="K700" s="3" t="str">
        <f aca="false">IF(ISNUMBER(SEARCH("Facebook",J700)),"3654128","Not Facebook")</f>
        <v>3654128</v>
      </c>
      <c r="L700" s="3" t="str">
        <f aca="false">IFERROR(VLOOKUP(OFFSET(Table22,699,21,1,1),OFFSET(Table2,0,1,ROWS(Table2),8),7,0),VLOOKUP(OFFSET(Table22,699,22,1,1),Table2,8,0))</f>
        <v>AZR_FreeAcctITProFB-AnimatedMigration-Ch3_FRA_1200x1200_VIA_AZRDirect_French_NA_Facebook_STAN_LEA_T3_1</v>
      </c>
      <c r="M700" s="2" t="n">
        <f aca="false">IFERROR(VLOOKUP(OFFSET(Table22,699,21,1,1),OFFSET(Table2,0,1,ROWS(Table2),8),8,0),VLOOKUP(OFFSET(Table22,699,22,1,1),Table2,9,0))</f>
        <v>104458003</v>
      </c>
      <c r="N700" s="15" t="s">
        <v>29</v>
      </c>
      <c r="O700" s="16" t="n">
        <v>43352</v>
      </c>
      <c r="P700" s="17" t="s">
        <v>102</v>
      </c>
      <c r="Q700" s="18" t="s">
        <v>103</v>
      </c>
      <c r="R700" s="17" t="s">
        <v>104</v>
      </c>
      <c r="S700" s="18" t="s">
        <v>33</v>
      </c>
      <c r="T700" s="17" t="s">
        <v>34</v>
      </c>
      <c r="U700" s="18" t="s">
        <v>131</v>
      </c>
      <c r="V700" s="19" t="n">
        <v>226359995</v>
      </c>
      <c r="W700" s="17" t="s">
        <v>152</v>
      </c>
      <c r="X700" s="17" t="n">
        <v>4</v>
      </c>
      <c r="Y700" s="17"/>
      <c r="Z700" s="17" t="n">
        <v>0.03</v>
      </c>
      <c r="AA700" s="17" t="s">
        <v>38</v>
      </c>
      <c r="AB700" s="17"/>
    </row>
    <row r="701" customFormat="false" ht="15" hidden="false" customHeight="false" outlineLevel="0" collapsed="false">
      <c r="A701" s="1" t="str">
        <f aca="false">OFFSET(Table22,700,14,1,1)&amp;OFFSET(Table22,700,21,1,1)</f>
        <v>43358226496137</v>
      </c>
      <c r="B701" s="1" t="str">
        <f aca="false">OFFSET(Table22,700,14,1,1)&amp;OFFSET(Table22,700,22,1,1)</f>
        <v>43358Facebook»ITPros-Azure Direct-Sponsored Post_Trial-Video Ad-Free Account IT Pro - Migration»1x1»30s»SOC»ALL»CPC»RT»D»UNK»SS»NA»Trials_ID</v>
      </c>
      <c r="C701" s="1" t="s">
        <v>28</v>
      </c>
      <c r="D701" s="3" t="n">
        <f aca="false">O701+(7-WEEKDAY(O701))</f>
        <v>43358</v>
      </c>
      <c r="E701" s="1" t="str">
        <f aca="false">VLOOKUP(OFFSET(Table22,700,16,1,1),Key!B:D,2,0)</f>
        <v>France</v>
      </c>
      <c r="F701" s="1" t="str">
        <f aca="false">IF(ISNUMBER(SEARCH("Canvas",U701)),"Link",IF(ISNUMBER(SEARCH("Link",U701)),"Link","Not filled properly"))</f>
        <v>Link</v>
      </c>
      <c r="G701" s="1" t="str">
        <f aca="false">IFERROR(VLOOKUP(OFFSET(Table22,700,21,1,1),OFFSET(Table2,0,1,ROWS(Table2),8),2,0),VLOOKUP(OFFSET(Table22,700,22,1,1),Table2,3,0))</f>
        <v>FRA_gaPMG_AZR_AZR_Q1_19_AzureDirect-Trial-Social</v>
      </c>
      <c r="H701" s="1" t="n">
        <f aca="false">IFERROR(VLOOKUP(OFFSET(Table22,700,21,1,1),OFFSET(Table2,0,1,ROWS(Table2),8),3,0),VLOOKUP(OFFSET(Table22,700,22,1,1),Table2,4,0))</f>
        <v>21356941</v>
      </c>
      <c r="I701" s="2" t="n">
        <f aca="false">IFERROR(VLOOKUP(OFFSET(Table22,700,21,1,1),OFFSET(Table2,0,1,ROWS(Table2),8),4,0),VLOOKUP(OFFSET(Table22,700,22,1,1),Table2,5,0))</f>
        <v>720193</v>
      </c>
      <c r="J701" s="3" t="str">
        <f aca="false">IF(ISNUMBER(SEARCH("FACEBOOK",W701)),"Facebook",IF(ISNUMBER(SEARCH("INSTAGRAM",W701)),"Facebook-Instagram","Look at taxonomy"))</f>
        <v>Facebook</v>
      </c>
      <c r="K701" s="3" t="str">
        <f aca="false">IF(ISNUMBER(SEARCH("Facebook",J701)),"3654128","Not Facebook")</f>
        <v>3654128</v>
      </c>
      <c r="L701" s="3" t="str">
        <f aca="false">IFERROR(VLOOKUP(OFFSET(Table22,700,21,1,1),OFFSET(Table2,0,1,ROWS(Table2),8),7,0),VLOOKUP(OFFSET(Table22,700,22,1,1),Table2,8,0))</f>
        <v>AZR_FreeAcctITProFB-AnimatedMigration-Ch3_FRA_1200x1200_VIA_AZRDirect_French_NA_Facebook_STAN_LEA_T3_1</v>
      </c>
      <c r="M701" s="2" t="n">
        <f aca="false">IFERROR(VLOOKUP(OFFSET(Table22,700,21,1,1),OFFSET(Table2,0,1,ROWS(Table2),8),8,0),VLOOKUP(OFFSET(Table22,700,22,1,1),Table2,9,0))</f>
        <v>104458003</v>
      </c>
      <c r="N701" s="15" t="s">
        <v>29</v>
      </c>
      <c r="O701" s="16" t="n">
        <v>43358</v>
      </c>
      <c r="P701" s="17" t="s">
        <v>102</v>
      </c>
      <c r="Q701" s="18" t="s">
        <v>103</v>
      </c>
      <c r="R701" s="17" t="s">
        <v>104</v>
      </c>
      <c r="S701" s="18" t="s">
        <v>33</v>
      </c>
      <c r="T701" s="17" t="s">
        <v>34</v>
      </c>
      <c r="U701" s="18" t="s">
        <v>131</v>
      </c>
      <c r="V701" s="19" t="n">
        <v>226496137</v>
      </c>
      <c r="W701" s="17" t="s">
        <v>153</v>
      </c>
      <c r="X701" s="17" t="n">
        <v>0</v>
      </c>
      <c r="Y701" s="17"/>
      <c r="Z701" s="17" t="n">
        <v>0</v>
      </c>
      <c r="AA701" s="17" t="s">
        <v>38</v>
      </c>
      <c r="AB701" s="17"/>
    </row>
    <row r="702" customFormat="false" ht="15" hidden="false" customHeight="false" outlineLevel="0" collapsed="false">
      <c r="A702" s="1" t="str">
        <f aca="false">OFFSET(Table22,701,14,1,1)&amp;OFFSET(Table22,701,21,1,1)</f>
        <v>43357226496137</v>
      </c>
      <c r="B702" s="1" t="str">
        <f aca="false">OFFSET(Table22,701,14,1,1)&amp;OFFSET(Table22,701,22,1,1)</f>
        <v>43357Facebook»ITPros-Azure Direct-Sponsored Post_Trial-Video Ad-Free Account IT Pro - Migration»1x1»30s»SOC»ALL»CPC»RT»D»UNK»SS»NA»Trials_ID</v>
      </c>
      <c r="C702" s="1" t="s">
        <v>28</v>
      </c>
      <c r="D702" s="3" t="n">
        <f aca="false">O702+(7-WEEKDAY(O702))</f>
        <v>43358</v>
      </c>
      <c r="E702" s="1" t="str">
        <f aca="false">VLOOKUP(OFFSET(Table22,701,16,1,1),Key!B:D,2,0)</f>
        <v>France</v>
      </c>
      <c r="F702" s="1" t="str">
        <f aca="false">IF(ISNUMBER(SEARCH("Canvas",U702)),"Link",IF(ISNUMBER(SEARCH("Link",U702)),"Link","Not filled properly"))</f>
        <v>Link</v>
      </c>
      <c r="G702" s="1" t="str">
        <f aca="false">IFERROR(VLOOKUP(OFFSET(Table22,701,21,1,1),OFFSET(Table2,0,1,ROWS(Table2),8),2,0),VLOOKUP(OFFSET(Table22,701,22,1,1),Table2,3,0))</f>
        <v>FRA_gaPMG_AZR_AZR_Q1_19_AzureDirect-Trial-Social</v>
      </c>
      <c r="H702" s="1" t="n">
        <f aca="false">IFERROR(VLOOKUP(OFFSET(Table22,701,21,1,1),OFFSET(Table2,0,1,ROWS(Table2),8),3,0),VLOOKUP(OFFSET(Table22,701,22,1,1),Table2,4,0))</f>
        <v>21356941</v>
      </c>
      <c r="I702" s="2" t="n">
        <f aca="false">IFERROR(VLOOKUP(OFFSET(Table22,701,21,1,1),OFFSET(Table2,0,1,ROWS(Table2),8),4,0),VLOOKUP(OFFSET(Table22,701,22,1,1),Table2,5,0))</f>
        <v>720193</v>
      </c>
      <c r="J702" s="3" t="str">
        <f aca="false">IF(ISNUMBER(SEARCH("FACEBOOK",W702)),"Facebook",IF(ISNUMBER(SEARCH("INSTAGRAM",W702)),"Facebook-Instagram","Look at taxonomy"))</f>
        <v>Facebook</v>
      </c>
      <c r="K702" s="3" t="str">
        <f aca="false">IF(ISNUMBER(SEARCH("Facebook",J702)),"3654128","Not Facebook")</f>
        <v>3654128</v>
      </c>
      <c r="L702" s="3" t="str">
        <f aca="false">IFERROR(VLOOKUP(OFFSET(Table22,701,21,1,1),OFFSET(Table2,0,1,ROWS(Table2),8),7,0),VLOOKUP(OFFSET(Table22,701,22,1,1),Table2,8,0))</f>
        <v>AZR_FreeAcctITProFB-AnimatedMigration-Ch3_FRA_1200x1200_VIA_AZRDirect_French_NA_Facebook_STAN_LEA_T3_1</v>
      </c>
      <c r="M702" s="2" t="n">
        <f aca="false">IFERROR(VLOOKUP(OFFSET(Table22,701,21,1,1),OFFSET(Table2,0,1,ROWS(Table2),8),8,0),VLOOKUP(OFFSET(Table22,701,22,1,1),Table2,9,0))</f>
        <v>104458003</v>
      </c>
      <c r="N702" s="15" t="s">
        <v>29</v>
      </c>
      <c r="O702" s="16" t="n">
        <v>43357</v>
      </c>
      <c r="P702" s="17" t="s">
        <v>102</v>
      </c>
      <c r="Q702" s="18" t="s">
        <v>103</v>
      </c>
      <c r="R702" s="17" t="s">
        <v>104</v>
      </c>
      <c r="S702" s="18" t="s">
        <v>33</v>
      </c>
      <c r="T702" s="17" t="s">
        <v>34</v>
      </c>
      <c r="U702" s="18" t="s">
        <v>131</v>
      </c>
      <c r="V702" s="19" t="n">
        <v>226496137</v>
      </c>
      <c r="W702" s="17" t="s">
        <v>153</v>
      </c>
      <c r="X702" s="17" t="n">
        <v>0</v>
      </c>
      <c r="Y702" s="17"/>
      <c r="Z702" s="17" t="n">
        <v>0</v>
      </c>
      <c r="AA702" s="17" t="s">
        <v>38</v>
      </c>
      <c r="AB702" s="17"/>
    </row>
    <row r="703" customFormat="false" ht="15" hidden="false" customHeight="false" outlineLevel="0" collapsed="false">
      <c r="A703" s="1" t="str">
        <f aca="false">OFFSET(Table22,702,14,1,1)&amp;OFFSET(Table22,702,21,1,1)</f>
        <v>43356226496137</v>
      </c>
      <c r="B703" s="1" t="str">
        <f aca="false">OFFSET(Table22,702,14,1,1)&amp;OFFSET(Table22,702,22,1,1)</f>
        <v>43356Facebook»ITPros-Azure Direct-Sponsored Post_Trial-Video Ad-Free Account IT Pro - Migration»1x1»30s»SOC»ALL»CPC»RT»D»UNK»SS»NA»Trials_ID</v>
      </c>
      <c r="C703" s="1" t="s">
        <v>28</v>
      </c>
      <c r="D703" s="3" t="n">
        <f aca="false">O703+(7-WEEKDAY(O703))</f>
        <v>43358</v>
      </c>
      <c r="E703" s="1" t="str">
        <f aca="false">VLOOKUP(OFFSET(Table22,702,16,1,1),Key!B:D,2,0)</f>
        <v>France</v>
      </c>
      <c r="F703" s="1" t="str">
        <f aca="false">IF(ISNUMBER(SEARCH("Canvas",U703)),"Link",IF(ISNUMBER(SEARCH("Link",U703)),"Link","Not filled properly"))</f>
        <v>Link</v>
      </c>
      <c r="G703" s="1" t="str">
        <f aca="false">IFERROR(VLOOKUP(OFFSET(Table22,702,21,1,1),OFFSET(Table2,0,1,ROWS(Table2),8),2,0),VLOOKUP(OFFSET(Table22,702,22,1,1),Table2,3,0))</f>
        <v>FRA_gaPMG_AZR_AZR_Q1_19_AzureDirect-Trial-Social</v>
      </c>
      <c r="H703" s="1" t="n">
        <f aca="false">IFERROR(VLOOKUP(OFFSET(Table22,702,21,1,1),OFFSET(Table2,0,1,ROWS(Table2),8),3,0),VLOOKUP(OFFSET(Table22,702,22,1,1),Table2,4,0))</f>
        <v>21356941</v>
      </c>
      <c r="I703" s="2" t="n">
        <f aca="false">IFERROR(VLOOKUP(OFFSET(Table22,702,21,1,1),OFFSET(Table2,0,1,ROWS(Table2),8),4,0),VLOOKUP(OFFSET(Table22,702,22,1,1),Table2,5,0))</f>
        <v>720193</v>
      </c>
      <c r="J703" s="3" t="str">
        <f aca="false">IF(ISNUMBER(SEARCH("FACEBOOK",W703)),"Facebook",IF(ISNUMBER(SEARCH("INSTAGRAM",W703)),"Facebook-Instagram","Look at taxonomy"))</f>
        <v>Facebook</v>
      </c>
      <c r="K703" s="3" t="str">
        <f aca="false">IF(ISNUMBER(SEARCH("Facebook",J703)),"3654128","Not Facebook")</f>
        <v>3654128</v>
      </c>
      <c r="L703" s="3" t="str">
        <f aca="false">IFERROR(VLOOKUP(OFFSET(Table22,702,21,1,1),OFFSET(Table2,0,1,ROWS(Table2),8),7,0),VLOOKUP(OFFSET(Table22,702,22,1,1),Table2,8,0))</f>
        <v>AZR_FreeAcctITProFB-AnimatedMigration-Ch3_FRA_1200x1200_VIA_AZRDirect_French_NA_Facebook_STAN_LEA_T3_1</v>
      </c>
      <c r="M703" s="2" t="n">
        <f aca="false">IFERROR(VLOOKUP(OFFSET(Table22,702,21,1,1),OFFSET(Table2,0,1,ROWS(Table2),8),8,0),VLOOKUP(OFFSET(Table22,702,22,1,1),Table2,9,0))</f>
        <v>104458003</v>
      </c>
      <c r="N703" s="15" t="s">
        <v>29</v>
      </c>
      <c r="O703" s="16" t="n">
        <v>43356</v>
      </c>
      <c r="P703" s="17" t="s">
        <v>102</v>
      </c>
      <c r="Q703" s="18" t="s">
        <v>103</v>
      </c>
      <c r="R703" s="17" t="s">
        <v>104</v>
      </c>
      <c r="S703" s="18" t="s">
        <v>33</v>
      </c>
      <c r="T703" s="17" t="s">
        <v>34</v>
      </c>
      <c r="U703" s="18" t="s">
        <v>131</v>
      </c>
      <c r="V703" s="19" t="n">
        <v>226496137</v>
      </c>
      <c r="W703" s="17" t="s">
        <v>153</v>
      </c>
      <c r="X703" s="17" t="n">
        <v>0</v>
      </c>
      <c r="Y703" s="17"/>
      <c r="Z703" s="17" t="n">
        <v>0</v>
      </c>
      <c r="AA703" s="17" t="s">
        <v>38</v>
      </c>
      <c r="AB703" s="17"/>
    </row>
    <row r="704" customFormat="false" ht="15" hidden="false" customHeight="false" outlineLevel="0" collapsed="false">
      <c r="A704" s="1" t="str">
        <f aca="false">OFFSET(Table22,703,14,1,1)&amp;OFFSET(Table22,703,21,1,1)</f>
        <v>43355226496137</v>
      </c>
      <c r="B704" s="1" t="str">
        <f aca="false">OFFSET(Table22,703,14,1,1)&amp;OFFSET(Table22,703,22,1,1)</f>
        <v>43355Facebook»ITPros-Azure Direct-Sponsored Post_Trial-Video Ad-Free Account IT Pro - Migration»1x1»30s»SOC»ALL»CPC»RT»D»UNK»SS»NA»Trials_ID</v>
      </c>
      <c r="C704" s="1" t="s">
        <v>28</v>
      </c>
      <c r="D704" s="3" t="n">
        <f aca="false">O704+(7-WEEKDAY(O704))</f>
        <v>43358</v>
      </c>
      <c r="E704" s="1" t="str">
        <f aca="false">VLOOKUP(OFFSET(Table22,703,16,1,1),Key!B:D,2,0)</f>
        <v>France</v>
      </c>
      <c r="F704" s="1" t="str">
        <f aca="false">IF(ISNUMBER(SEARCH("Canvas",U704)),"Link",IF(ISNUMBER(SEARCH("Link",U704)),"Link","Not filled properly"))</f>
        <v>Link</v>
      </c>
      <c r="G704" s="1" t="str">
        <f aca="false">IFERROR(VLOOKUP(OFFSET(Table22,703,21,1,1),OFFSET(Table2,0,1,ROWS(Table2),8),2,0),VLOOKUP(OFFSET(Table22,703,22,1,1),Table2,3,0))</f>
        <v>FRA_gaPMG_AZR_AZR_Q1_19_AzureDirect-Trial-Social</v>
      </c>
      <c r="H704" s="1" t="n">
        <f aca="false">IFERROR(VLOOKUP(OFFSET(Table22,703,21,1,1),OFFSET(Table2,0,1,ROWS(Table2),8),3,0),VLOOKUP(OFFSET(Table22,703,22,1,1),Table2,4,0))</f>
        <v>21356941</v>
      </c>
      <c r="I704" s="2" t="n">
        <f aca="false">IFERROR(VLOOKUP(OFFSET(Table22,703,21,1,1),OFFSET(Table2,0,1,ROWS(Table2),8),4,0),VLOOKUP(OFFSET(Table22,703,22,1,1),Table2,5,0))</f>
        <v>720193</v>
      </c>
      <c r="J704" s="3" t="str">
        <f aca="false">IF(ISNUMBER(SEARCH("FACEBOOK",W704)),"Facebook",IF(ISNUMBER(SEARCH("INSTAGRAM",W704)),"Facebook-Instagram","Look at taxonomy"))</f>
        <v>Facebook</v>
      </c>
      <c r="K704" s="3" t="str">
        <f aca="false">IF(ISNUMBER(SEARCH("Facebook",J704)),"3654128","Not Facebook")</f>
        <v>3654128</v>
      </c>
      <c r="L704" s="3" t="str">
        <f aca="false">IFERROR(VLOOKUP(OFFSET(Table22,703,21,1,1),OFFSET(Table2,0,1,ROWS(Table2),8),7,0),VLOOKUP(OFFSET(Table22,703,22,1,1),Table2,8,0))</f>
        <v>AZR_FreeAcctITProFB-AnimatedMigration-Ch3_FRA_1200x1200_VIA_AZRDirect_French_NA_Facebook_STAN_LEA_T3_1</v>
      </c>
      <c r="M704" s="2" t="n">
        <f aca="false">IFERROR(VLOOKUP(OFFSET(Table22,703,21,1,1),OFFSET(Table2,0,1,ROWS(Table2),8),8,0),VLOOKUP(OFFSET(Table22,703,22,1,1),Table2,9,0))</f>
        <v>104458003</v>
      </c>
      <c r="N704" s="15" t="s">
        <v>29</v>
      </c>
      <c r="O704" s="16" t="n">
        <v>43355</v>
      </c>
      <c r="P704" s="17" t="s">
        <v>102</v>
      </c>
      <c r="Q704" s="18" t="s">
        <v>103</v>
      </c>
      <c r="R704" s="17" t="s">
        <v>104</v>
      </c>
      <c r="S704" s="18" t="s">
        <v>33</v>
      </c>
      <c r="T704" s="17" t="s">
        <v>34</v>
      </c>
      <c r="U704" s="18" t="s">
        <v>131</v>
      </c>
      <c r="V704" s="19" t="n">
        <v>226496137</v>
      </c>
      <c r="W704" s="17" t="s">
        <v>153</v>
      </c>
      <c r="X704" s="17" t="n">
        <v>0</v>
      </c>
      <c r="Y704" s="17"/>
      <c r="Z704" s="17" t="n">
        <v>0</v>
      </c>
      <c r="AA704" s="17" t="s">
        <v>38</v>
      </c>
      <c r="AB704" s="17"/>
    </row>
    <row r="705" customFormat="false" ht="15" hidden="false" customHeight="false" outlineLevel="0" collapsed="false">
      <c r="A705" s="1" t="str">
        <f aca="false">OFFSET(Table22,704,14,1,1)&amp;OFFSET(Table22,704,21,1,1)</f>
        <v>43354226496137</v>
      </c>
      <c r="B705" s="1" t="str">
        <f aca="false">OFFSET(Table22,704,14,1,1)&amp;OFFSET(Table22,704,22,1,1)</f>
        <v>43354Facebook»ITPros-Azure Direct-Sponsored Post_Trial-Video Ad-Free Account IT Pro - Migration»1x1»30s»SOC»ALL»CPC»RT»D»UNK»SS»NA»Trials_ID</v>
      </c>
      <c r="C705" s="1" t="s">
        <v>28</v>
      </c>
      <c r="D705" s="3" t="n">
        <f aca="false">O705+(7-WEEKDAY(O705))</f>
        <v>43358</v>
      </c>
      <c r="E705" s="1" t="str">
        <f aca="false">VLOOKUP(OFFSET(Table22,704,16,1,1),Key!B:D,2,0)</f>
        <v>France</v>
      </c>
      <c r="F705" s="1" t="str">
        <f aca="false">IF(ISNUMBER(SEARCH("Canvas",U705)),"Link",IF(ISNUMBER(SEARCH("Link",U705)),"Link","Not filled properly"))</f>
        <v>Link</v>
      </c>
      <c r="G705" s="1" t="str">
        <f aca="false">IFERROR(VLOOKUP(OFFSET(Table22,704,21,1,1),OFFSET(Table2,0,1,ROWS(Table2),8),2,0),VLOOKUP(OFFSET(Table22,704,22,1,1),Table2,3,0))</f>
        <v>FRA_gaPMG_AZR_AZR_Q1_19_AzureDirect-Trial-Social</v>
      </c>
      <c r="H705" s="1" t="n">
        <f aca="false">IFERROR(VLOOKUP(OFFSET(Table22,704,21,1,1),OFFSET(Table2,0,1,ROWS(Table2),8),3,0),VLOOKUP(OFFSET(Table22,704,22,1,1),Table2,4,0))</f>
        <v>21356941</v>
      </c>
      <c r="I705" s="2" t="n">
        <f aca="false">IFERROR(VLOOKUP(OFFSET(Table22,704,21,1,1),OFFSET(Table2,0,1,ROWS(Table2),8),4,0),VLOOKUP(OFFSET(Table22,704,22,1,1),Table2,5,0))</f>
        <v>720193</v>
      </c>
      <c r="J705" s="3" t="str">
        <f aca="false">IF(ISNUMBER(SEARCH("FACEBOOK",W705)),"Facebook",IF(ISNUMBER(SEARCH("INSTAGRAM",W705)),"Facebook-Instagram","Look at taxonomy"))</f>
        <v>Facebook</v>
      </c>
      <c r="K705" s="3" t="str">
        <f aca="false">IF(ISNUMBER(SEARCH("Facebook",J705)),"3654128","Not Facebook")</f>
        <v>3654128</v>
      </c>
      <c r="L705" s="3" t="str">
        <f aca="false">IFERROR(VLOOKUP(OFFSET(Table22,704,21,1,1),OFFSET(Table2,0,1,ROWS(Table2),8),7,0),VLOOKUP(OFFSET(Table22,704,22,1,1),Table2,8,0))</f>
        <v>AZR_FreeAcctITProFB-AnimatedMigration-Ch3_FRA_1200x1200_VIA_AZRDirect_French_NA_Facebook_STAN_LEA_T3_1</v>
      </c>
      <c r="M705" s="2" t="n">
        <f aca="false">IFERROR(VLOOKUP(OFFSET(Table22,704,21,1,1),OFFSET(Table2,0,1,ROWS(Table2),8),8,0),VLOOKUP(OFFSET(Table22,704,22,1,1),Table2,9,0))</f>
        <v>104458003</v>
      </c>
      <c r="N705" s="15" t="s">
        <v>29</v>
      </c>
      <c r="O705" s="16" t="n">
        <v>43354</v>
      </c>
      <c r="P705" s="17" t="s">
        <v>102</v>
      </c>
      <c r="Q705" s="18" t="s">
        <v>103</v>
      </c>
      <c r="R705" s="17" t="s">
        <v>104</v>
      </c>
      <c r="S705" s="18" t="s">
        <v>33</v>
      </c>
      <c r="T705" s="17" t="s">
        <v>34</v>
      </c>
      <c r="U705" s="18" t="s">
        <v>131</v>
      </c>
      <c r="V705" s="19" t="n">
        <v>226496137</v>
      </c>
      <c r="W705" s="17" t="s">
        <v>153</v>
      </c>
      <c r="X705" s="17" t="n">
        <v>0</v>
      </c>
      <c r="Y705" s="17"/>
      <c r="Z705" s="17" t="n">
        <v>0</v>
      </c>
      <c r="AA705" s="17" t="s">
        <v>38</v>
      </c>
      <c r="AB705" s="17"/>
    </row>
    <row r="706" customFormat="false" ht="15" hidden="false" customHeight="false" outlineLevel="0" collapsed="false">
      <c r="A706" s="1" t="str">
        <f aca="false">OFFSET(Table22,705,14,1,1)&amp;OFFSET(Table22,705,21,1,1)</f>
        <v>43353226496137</v>
      </c>
      <c r="B706" s="1" t="str">
        <f aca="false">OFFSET(Table22,705,14,1,1)&amp;OFFSET(Table22,705,22,1,1)</f>
        <v>43353Facebook»ITPros-Azure Direct-Sponsored Post_Trial-Video Ad-Free Account IT Pro - Migration»1x1»30s»SOC»ALL»CPC»RT»D»UNK»SS»NA»Trials_ID</v>
      </c>
      <c r="C706" s="1" t="s">
        <v>28</v>
      </c>
      <c r="D706" s="3" t="n">
        <f aca="false">O706+(7-WEEKDAY(O706))</f>
        <v>43358</v>
      </c>
      <c r="E706" s="1" t="str">
        <f aca="false">VLOOKUP(OFFSET(Table22,705,16,1,1),Key!B:D,2,0)</f>
        <v>France</v>
      </c>
      <c r="F706" s="1" t="str">
        <f aca="false">IF(ISNUMBER(SEARCH("Canvas",U706)),"Link",IF(ISNUMBER(SEARCH("Link",U706)),"Link","Not filled properly"))</f>
        <v>Link</v>
      </c>
      <c r="G706" s="1" t="str">
        <f aca="false">IFERROR(VLOOKUP(OFFSET(Table22,705,21,1,1),OFFSET(Table2,0,1,ROWS(Table2),8),2,0),VLOOKUP(OFFSET(Table22,705,22,1,1),Table2,3,0))</f>
        <v>FRA_gaPMG_AZR_AZR_Q1_19_AzureDirect-Trial-Social</v>
      </c>
      <c r="H706" s="1" t="n">
        <f aca="false">IFERROR(VLOOKUP(OFFSET(Table22,705,21,1,1),OFFSET(Table2,0,1,ROWS(Table2),8),3,0),VLOOKUP(OFFSET(Table22,705,22,1,1),Table2,4,0))</f>
        <v>21356941</v>
      </c>
      <c r="I706" s="2" t="n">
        <f aca="false">IFERROR(VLOOKUP(OFFSET(Table22,705,21,1,1),OFFSET(Table2,0,1,ROWS(Table2),8),4,0),VLOOKUP(OFFSET(Table22,705,22,1,1),Table2,5,0))</f>
        <v>720193</v>
      </c>
      <c r="J706" s="3" t="str">
        <f aca="false">IF(ISNUMBER(SEARCH("FACEBOOK",W706)),"Facebook",IF(ISNUMBER(SEARCH("INSTAGRAM",W706)),"Facebook-Instagram","Look at taxonomy"))</f>
        <v>Facebook</v>
      </c>
      <c r="K706" s="3" t="str">
        <f aca="false">IF(ISNUMBER(SEARCH("Facebook",J706)),"3654128","Not Facebook")</f>
        <v>3654128</v>
      </c>
      <c r="L706" s="3" t="str">
        <f aca="false">IFERROR(VLOOKUP(OFFSET(Table22,705,21,1,1),OFFSET(Table2,0,1,ROWS(Table2),8),7,0),VLOOKUP(OFFSET(Table22,705,22,1,1),Table2,8,0))</f>
        <v>AZR_FreeAcctITProFB-AnimatedMigration-Ch3_FRA_1200x1200_VIA_AZRDirect_French_NA_Facebook_STAN_LEA_T3_1</v>
      </c>
      <c r="M706" s="2" t="n">
        <f aca="false">IFERROR(VLOOKUP(OFFSET(Table22,705,21,1,1),OFFSET(Table2,0,1,ROWS(Table2),8),8,0),VLOOKUP(OFFSET(Table22,705,22,1,1),Table2,9,0))</f>
        <v>104458003</v>
      </c>
      <c r="N706" s="15" t="s">
        <v>29</v>
      </c>
      <c r="O706" s="16" t="n">
        <v>43353</v>
      </c>
      <c r="P706" s="17" t="s">
        <v>102</v>
      </c>
      <c r="Q706" s="18" t="s">
        <v>103</v>
      </c>
      <c r="R706" s="17" t="s">
        <v>104</v>
      </c>
      <c r="S706" s="18" t="s">
        <v>33</v>
      </c>
      <c r="T706" s="17" t="s">
        <v>34</v>
      </c>
      <c r="U706" s="18" t="s">
        <v>131</v>
      </c>
      <c r="V706" s="19" t="n">
        <v>226496137</v>
      </c>
      <c r="W706" s="17" t="s">
        <v>153</v>
      </c>
      <c r="X706" s="17" t="n">
        <v>0</v>
      </c>
      <c r="Y706" s="17"/>
      <c r="Z706" s="17" t="n">
        <v>0</v>
      </c>
      <c r="AA706" s="17" t="s">
        <v>38</v>
      </c>
      <c r="AB706" s="17"/>
    </row>
    <row r="707" customFormat="false" ht="15" hidden="false" customHeight="false" outlineLevel="0" collapsed="false">
      <c r="A707" s="1" t="str">
        <f aca="false">OFFSET(Table22,706,14,1,1)&amp;OFFSET(Table22,706,21,1,1)</f>
        <v>43352226496137</v>
      </c>
      <c r="B707" s="1" t="str">
        <f aca="false">OFFSET(Table22,706,14,1,1)&amp;OFFSET(Table22,706,22,1,1)</f>
        <v>43352Facebook»ITPros-Azure Direct-Sponsored Post_Trial-Video Ad-Free Account IT Pro - Migration»1x1»30s»SOC»ALL»CPC»RT»D»UNK»SS»NA»Trials_ID</v>
      </c>
      <c r="C707" s="1" t="s">
        <v>28</v>
      </c>
      <c r="D707" s="3" t="n">
        <f aca="false">O707+(7-WEEKDAY(O707))</f>
        <v>43358</v>
      </c>
      <c r="E707" s="1" t="str">
        <f aca="false">VLOOKUP(OFFSET(Table22,706,16,1,1),Key!B:D,2,0)</f>
        <v>France</v>
      </c>
      <c r="F707" s="1" t="str">
        <f aca="false">IF(ISNUMBER(SEARCH("Canvas",U707)),"Link",IF(ISNUMBER(SEARCH("Link",U707)),"Link","Not filled properly"))</f>
        <v>Link</v>
      </c>
      <c r="G707" s="1" t="str">
        <f aca="false">IFERROR(VLOOKUP(OFFSET(Table22,706,21,1,1),OFFSET(Table2,0,1,ROWS(Table2),8),2,0),VLOOKUP(OFFSET(Table22,706,22,1,1),Table2,3,0))</f>
        <v>FRA_gaPMG_AZR_AZR_Q1_19_AzureDirect-Trial-Social</v>
      </c>
      <c r="H707" s="1" t="n">
        <f aca="false">IFERROR(VLOOKUP(OFFSET(Table22,706,21,1,1),OFFSET(Table2,0,1,ROWS(Table2),8),3,0),VLOOKUP(OFFSET(Table22,706,22,1,1),Table2,4,0))</f>
        <v>21356941</v>
      </c>
      <c r="I707" s="2" t="n">
        <f aca="false">IFERROR(VLOOKUP(OFFSET(Table22,706,21,1,1),OFFSET(Table2,0,1,ROWS(Table2),8),4,0),VLOOKUP(OFFSET(Table22,706,22,1,1),Table2,5,0))</f>
        <v>720193</v>
      </c>
      <c r="J707" s="3" t="str">
        <f aca="false">IF(ISNUMBER(SEARCH("FACEBOOK",W707)),"Facebook",IF(ISNUMBER(SEARCH("INSTAGRAM",W707)),"Facebook-Instagram","Look at taxonomy"))</f>
        <v>Facebook</v>
      </c>
      <c r="K707" s="3" t="str">
        <f aca="false">IF(ISNUMBER(SEARCH("Facebook",J707)),"3654128","Not Facebook")</f>
        <v>3654128</v>
      </c>
      <c r="L707" s="3" t="str">
        <f aca="false">IFERROR(VLOOKUP(OFFSET(Table22,706,21,1,1),OFFSET(Table2,0,1,ROWS(Table2),8),7,0),VLOOKUP(OFFSET(Table22,706,22,1,1),Table2,8,0))</f>
        <v>AZR_FreeAcctITProFB-AnimatedMigration-Ch3_FRA_1200x1200_VIA_AZRDirect_French_NA_Facebook_STAN_LEA_T3_1</v>
      </c>
      <c r="M707" s="2" t="n">
        <f aca="false">IFERROR(VLOOKUP(OFFSET(Table22,706,21,1,1),OFFSET(Table2,0,1,ROWS(Table2),8),8,0),VLOOKUP(OFFSET(Table22,706,22,1,1),Table2,9,0))</f>
        <v>104458003</v>
      </c>
      <c r="N707" s="15" t="s">
        <v>29</v>
      </c>
      <c r="O707" s="16" t="n">
        <v>43352</v>
      </c>
      <c r="P707" s="17" t="s">
        <v>102</v>
      </c>
      <c r="Q707" s="18" t="s">
        <v>103</v>
      </c>
      <c r="R707" s="17" t="s">
        <v>104</v>
      </c>
      <c r="S707" s="18" t="s">
        <v>33</v>
      </c>
      <c r="T707" s="17" t="s">
        <v>34</v>
      </c>
      <c r="U707" s="18" t="s">
        <v>131</v>
      </c>
      <c r="V707" s="19" t="n">
        <v>226496137</v>
      </c>
      <c r="W707" s="17" t="s">
        <v>153</v>
      </c>
      <c r="X707" s="17" t="n">
        <v>0</v>
      </c>
      <c r="Y707" s="17"/>
      <c r="Z707" s="17" t="n">
        <v>0</v>
      </c>
      <c r="AA707" s="17" t="s">
        <v>38</v>
      </c>
      <c r="AB707" s="17"/>
    </row>
    <row r="708" customFormat="false" ht="15" hidden="false" customHeight="false" outlineLevel="0" collapsed="false">
      <c r="A708" s="1" t="str">
        <f aca="false">OFFSET(Table22,707,14,1,1)&amp;OFFSET(Table22,707,21,1,1)</f>
        <v>43358226360007</v>
      </c>
      <c r="B708" s="1" t="str">
        <f aca="false">OFFSET(Table22,707,14,1,1)&amp;OFFSET(Table22,707,22,1,1)</f>
        <v>43358Facebook»ITPros-Azure Direct-Sponsored Post_Trial-Video Ad-Free Account IT Pro - Secure»1x1»30s»SOC»ALL»CPC»LAL»D»UNK»SS»NA»Trials_ID</v>
      </c>
      <c r="C708" s="1" t="s">
        <v>28</v>
      </c>
      <c r="D708" s="3" t="n">
        <f aca="false">O708+(7-WEEKDAY(O708))</f>
        <v>43358</v>
      </c>
      <c r="E708" s="1" t="str">
        <f aca="false">VLOOKUP(OFFSET(Table22,707,16,1,1),Key!B:D,2,0)</f>
        <v>France</v>
      </c>
      <c r="F708" s="1" t="str">
        <f aca="false">IF(ISNUMBER(SEARCH("Canvas",U708)),"Link",IF(ISNUMBER(SEARCH("Link",U708)),"Link","Not filled properly"))</f>
        <v>Link</v>
      </c>
      <c r="G708" s="1" t="str">
        <f aca="false">IFERROR(VLOOKUP(OFFSET(Table22,707,21,1,1),OFFSET(Table2,0,1,ROWS(Table2),8),2,0),VLOOKUP(OFFSET(Table22,707,22,1,1),Table2,3,0))</f>
        <v>FRA_gaPMG_AZR_AZR_Q1_19_AzureDirect-Trial-Social</v>
      </c>
      <c r="H708" s="1" t="n">
        <f aca="false">IFERROR(VLOOKUP(OFFSET(Table22,707,21,1,1),OFFSET(Table2,0,1,ROWS(Table2),8),3,0),VLOOKUP(OFFSET(Table22,707,22,1,1),Table2,4,0))</f>
        <v>21356941</v>
      </c>
      <c r="I708" s="2" t="n">
        <f aca="false">IFERROR(VLOOKUP(OFFSET(Table22,707,21,1,1),OFFSET(Table2,0,1,ROWS(Table2),8),4,0),VLOOKUP(OFFSET(Table22,707,22,1,1),Table2,5,0))</f>
        <v>720193</v>
      </c>
      <c r="J708" s="3" t="str">
        <f aca="false">IF(ISNUMBER(SEARCH("FACEBOOK",W708)),"Facebook",IF(ISNUMBER(SEARCH("INSTAGRAM",W708)),"Facebook-Instagram","Look at taxonomy"))</f>
        <v>Facebook</v>
      </c>
      <c r="K708" s="3" t="str">
        <f aca="false">IF(ISNUMBER(SEARCH("Facebook",J708)),"3654128","Not Facebook")</f>
        <v>3654128</v>
      </c>
      <c r="L708" s="3" t="str">
        <f aca="false">IFERROR(VLOOKUP(OFFSET(Table22,707,21,1,1),OFFSET(Table2,0,1,ROWS(Table2),8),7,0),VLOOKUP(OFFSET(Table22,707,22,1,1),Table2,8,0))</f>
        <v>AZR_FreeAcctITProFB-AnimatedSecureMngd-Ch1_FRA_1200x1200_VIA_AZRDirect_French_NA_Facebook_STAN_LEA_T1_1</v>
      </c>
      <c r="M708" s="2" t="n">
        <f aca="false">IFERROR(VLOOKUP(OFFSET(Table22,707,21,1,1),OFFSET(Table2,0,1,ROWS(Table2),8),8,0),VLOOKUP(OFFSET(Table22,707,22,1,1),Table2,9,0))</f>
        <v>104455906</v>
      </c>
      <c r="N708" s="15" t="s">
        <v>29</v>
      </c>
      <c r="O708" s="16" t="n">
        <v>43358</v>
      </c>
      <c r="P708" s="17" t="s">
        <v>102</v>
      </c>
      <c r="Q708" s="18" t="s">
        <v>103</v>
      </c>
      <c r="R708" s="17" t="s">
        <v>104</v>
      </c>
      <c r="S708" s="18" t="s">
        <v>33</v>
      </c>
      <c r="T708" s="17" t="s">
        <v>34</v>
      </c>
      <c r="U708" s="18" t="s">
        <v>131</v>
      </c>
      <c r="V708" s="19" t="n">
        <v>226360007</v>
      </c>
      <c r="W708" s="17" t="s">
        <v>154</v>
      </c>
      <c r="X708" s="17" t="n">
        <v>3</v>
      </c>
      <c r="Y708" s="17"/>
      <c r="Z708" s="17" t="n">
        <v>0.02</v>
      </c>
      <c r="AA708" s="17" t="s">
        <v>38</v>
      </c>
      <c r="AB708" s="17"/>
    </row>
    <row r="709" customFormat="false" ht="15" hidden="false" customHeight="false" outlineLevel="0" collapsed="false">
      <c r="A709" s="1" t="str">
        <f aca="false">OFFSET(Table22,708,14,1,1)&amp;OFFSET(Table22,708,21,1,1)</f>
        <v>43357226360007</v>
      </c>
      <c r="B709" s="1" t="str">
        <f aca="false">OFFSET(Table22,708,14,1,1)&amp;OFFSET(Table22,708,22,1,1)</f>
        <v>43357Facebook»ITPros-Azure Direct-Sponsored Post_Trial-Video Ad-Free Account IT Pro - Secure»1x1»30s»SOC»ALL»CPC»LAL»D»UNK»SS»NA»Trials_ID</v>
      </c>
      <c r="C709" s="1" t="s">
        <v>28</v>
      </c>
      <c r="D709" s="3" t="n">
        <f aca="false">O709+(7-WEEKDAY(O709))</f>
        <v>43358</v>
      </c>
      <c r="E709" s="1" t="str">
        <f aca="false">VLOOKUP(OFFSET(Table22,708,16,1,1),Key!B:D,2,0)</f>
        <v>France</v>
      </c>
      <c r="F709" s="1" t="str">
        <f aca="false">IF(ISNUMBER(SEARCH("Canvas",U709)),"Link",IF(ISNUMBER(SEARCH("Link",U709)),"Link","Not filled properly"))</f>
        <v>Link</v>
      </c>
      <c r="G709" s="1" t="str">
        <f aca="false">IFERROR(VLOOKUP(OFFSET(Table22,708,21,1,1),OFFSET(Table2,0,1,ROWS(Table2),8),2,0),VLOOKUP(OFFSET(Table22,708,22,1,1),Table2,3,0))</f>
        <v>FRA_gaPMG_AZR_AZR_Q1_19_AzureDirect-Trial-Social</v>
      </c>
      <c r="H709" s="1" t="n">
        <f aca="false">IFERROR(VLOOKUP(OFFSET(Table22,708,21,1,1),OFFSET(Table2,0,1,ROWS(Table2),8),3,0),VLOOKUP(OFFSET(Table22,708,22,1,1),Table2,4,0))</f>
        <v>21356941</v>
      </c>
      <c r="I709" s="2" t="n">
        <f aca="false">IFERROR(VLOOKUP(OFFSET(Table22,708,21,1,1),OFFSET(Table2,0,1,ROWS(Table2),8),4,0),VLOOKUP(OFFSET(Table22,708,22,1,1),Table2,5,0))</f>
        <v>720193</v>
      </c>
      <c r="J709" s="3" t="str">
        <f aca="false">IF(ISNUMBER(SEARCH("FACEBOOK",W709)),"Facebook",IF(ISNUMBER(SEARCH("INSTAGRAM",W709)),"Facebook-Instagram","Look at taxonomy"))</f>
        <v>Facebook</v>
      </c>
      <c r="K709" s="3" t="str">
        <f aca="false">IF(ISNUMBER(SEARCH("Facebook",J709)),"3654128","Not Facebook")</f>
        <v>3654128</v>
      </c>
      <c r="L709" s="3" t="str">
        <f aca="false">IFERROR(VLOOKUP(OFFSET(Table22,708,21,1,1),OFFSET(Table2,0,1,ROWS(Table2),8),7,0),VLOOKUP(OFFSET(Table22,708,22,1,1),Table2,8,0))</f>
        <v>AZR_FreeAcctITProFB-AnimatedSecureMngd-Ch1_FRA_1200x1200_VIA_AZRDirect_French_NA_Facebook_STAN_LEA_T1_1</v>
      </c>
      <c r="M709" s="2" t="n">
        <f aca="false">IFERROR(VLOOKUP(OFFSET(Table22,708,21,1,1),OFFSET(Table2,0,1,ROWS(Table2),8),8,0),VLOOKUP(OFFSET(Table22,708,22,1,1),Table2,9,0))</f>
        <v>104455906</v>
      </c>
      <c r="N709" s="15" t="s">
        <v>29</v>
      </c>
      <c r="O709" s="16" t="n">
        <v>43357</v>
      </c>
      <c r="P709" s="17" t="s">
        <v>102</v>
      </c>
      <c r="Q709" s="18" t="s">
        <v>103</v>
      </c>
      <c r="R709" s="17" t="s">
        <v>104</v>
      </c>
      <c r="S709" s="18" t="s">
        <v>33</v>
      </c>
      <c r="T709" s="17" t="s">
        <v>34</v>
      </c>
      <c r="U709" s="18" t="s">
        <v>131</v>
      </c>
      <c r="V709" s="19" t="n">
        <v>226360007</v>
      </c>
      <c r="W709" s="17" t="s">
        <v>154</v>
      </c>
      <c r="X709" s="17" t="n">
        <v>1</v>
      </c>
      <c r="Y709" s="17"/>
      <c r="Z709" s="17" t="n">
        <v>0.02</v>
      </c>
      <c r="AA709" s="17" t="s">
        <v>38</v>
      </c>
      <c r="AB709" s="17"/>
    </row>
    <row r="710" customFormat="false" ht="15" hidden="false" customHeight="false" outlineLevel="0" collapsed="false">
      <c r="A710" s="1" t="str">
        <f aca="false">OFFSET(Table22,709,14,1,1)&amp;OFFSET(Table22,709,21,1,1)</f>
        <v>43356226360007</v>
      </c>
      <c r="B710" s="1" t="str">
        <f aca="false">OFFSET(Table22,709,14,1,1)&amp;OFFSET(Table22,709,22,1,1)</f>
        <v>43356Facebook»ITPros-Azure Direct-Sponsored Post_Trial-Video Ad-Free Account IT Pro - Secure»1x1»30s»SOC»ALL»CPC»LAL»D»UNK»SS»NA»Trials_ID</v>
      </c>
      <c r="C710" s="1" t="s">
        <v>28</v>
      </c>
      <c r="D710" s="3" t="n">
        <f aca="false">O710+(7-WEEKDAY(O710))</f>
        <v>43358</v>
      </c>
      <c r="E710" s="1" t="str">
        <f aca="false">VLOOKUP(OFFSET(Table22,709,16,1,1),Key!B:D,2,0)</f>
        <v>France</v>
      </c>
      <c r="F710" s="1" t="str">
        <f aca="false">IF(ISNUMBER(SEARCH("Canvas",U710)),"Link",IF(ISNUMBER(SEARCH("Link",U710)),"Link","Not filled properly"))</f>
        <v>Link</v>
      </c>
      <c r="G710" s="1" t="str">
        <f aca="false">IFERROR(VLOOKUP(OFFSET(Table22,709,21,1,1),OFFSET(Table2,0,1,ROWS(Table2),8),2,0),VLOOKUP(OFFSET(Table22,709,22,1,1),Table2,3,0))</f>
        <v>FRA_gaPMG_AZR_AZR_Q1_19_AzureDirect-Trial-Social</v>
      </c>
      <c r="H710" s="1" t="n">
        <f aca="false">IFERROR(VLOOKUP(OFFSET(Table22,709,21,1,1),OFFSET(Table2,0,1,ROWS(Table2),8),3,0),VLOOKUP(OFFSET(Table22,709,22,1,1),Table2,4,0))</f>
        <v>21356941</v>
      </c>
      <c r="I710" s="2" t="n">
        <f aca="false">IFERROR(VLOOKUP(OFFSET(Table22,709,21,1,1),OFFSET(Table2,0,1,ROWS(Table2),8),4,0),VLOOKUP(OFFSET(Table22,709,22,1,1),Table2,5,0))</f>
        <v>720193</v>
      </c>
      <c r="J710" s="3" t="str">
        <f aca="false">IF(ISNUMBER(SEARCH("FACEBOOK",W710)),"Facebook",IF(ISNUMBER(SEARCH("INSTAGRAM",W710)),"Facebook-Instagram","Look at taxonomy"))</f>
        <v>Facebook</v>
      </c>
      <c r="K710" s="3" t="str">
        <f aca="false">IF(ISNUMBER(SEARCH("Facebook",J710)),"3654128","Not Facebook")</f>
        <v>3654128</v>
      </c>
      <c r="L710" s="3" t="str">
        <f aca="false">IFERROR(VLOOKUP(OFFSET(Table22,709,21,1,1),OFFSET(Table2,0,1,ROWS(Table2),8),7,0),VLOOKUP(OFFSET(Table22,709,22,1,1),Table2,8,0))</f>
        <v>AZR_FreeAcctITProFB-AnimatedSecureMngd-Ch1_FRA_1200x1200_VIA_AZRDirect_French_NA_Facebook_STAN_LEA_T1_1</v>
      </c>
      <c r="M710" s="2" t="n">
        <f aca="false">IFERROR(VLOOKUP(OFFSET(Table22,709,21,1,1),OFFSET(Table2,0,1,ROWS(Table2),8),8,0),VLOOKUP(OFFSET(Table22,709,22,1,1),Table2,9,0))</f>
        <v>104455906</v>
      </c>
      <c r="N710" s="15" t="s">
        <v>29</v>
      </c>
      <c r="O710" s="16" t="n">
        <v>43356</v>
      </c>
      <c r="P710" s="17" t="s">
        <v>102</v>
      </c>
      <c r="Q710" s="18" t="s">
        <v>103</v>
      </c>
      <c r="R710" s="17" t="s">
        <v>104</v>
      </c>
      <c r="S710" s="18" t="s">
        <v>33</v>
      </c>
      <c r="T710" s="17" t="s">
        <v>34</v>
      </c>
      <c r="U710" s="18" t="s">
        <v>131</v>
      </c>
      <c r="V710" s="19" t="n">
        <v>226360007</v>
      </c>
      <c r="W710" s="17" t="s">
        <v>154</v>
      </c>
      <c r="X710" s="17" t="n">
        <v>0</v>
      </c>
      <c r="Y710" s="17"/>
      <c r="Z710" s="17" t="n">
        <v>0</v>
      </c>
      <c r="AA710" s="17" t="s">
        <v>38</v>
      </c>
      <c r="AB710" s="17"/>
    </row>
    <row r="711" customFormat="false" ht="15" hidden="false" customHeight="false" outlineLevel="0" collapsed="false">
      <c r="A711" s="1" t="str">
        <f aca="false">OFFSET(Table22,710,14,1,1)&amp;OFFSET(Table22,710,21,1,1)</f>
        <v>43355226360007</v>
      </c>
      <c r="B711" s="1" t="str">
        <f aca="false">OFFSET(Table22,710,14,1,1)&amp;OFFSET(Table22,710,22,1,1)</f>
        <v>43355Facebook»ITPros-Azure Direct-Sponsored Post_Trial-Video Ad-Free Account IT Pro - Secure»1x1»30s»SOC»ALL»CPC»LAL»D»UNK»SS»NA»Trials_ID</v>
      </c>
      <c r="C711" s="1" t="s">
        <v>28</v>
      </c>
      <c r="D711" s="3" t="n">
        <f aca="false">O711+(7-WEEKDAY(O711))</f>
        <v>43358</v>
      </c>
      <c r="E711" s="1" t="str">
        <f aca="false">VLOOKUP(OFFSET(Table22,710,16,1,1),Key!B:D,2,0)</f>
        <v>France</v>
      </c>
      <c r="F711" s="1" t="str">
        <f aca="false">IF(ISNUMBER(SEARCH("Canvas",U711)),"Link",IF(ISNUMBER(SEARCH("Link",U711)),"Link","Not filled properly"))</f>
        <v>Link</v>
      </c>
      <c r="G711" s="1" t="str">
        <f aca="false">IFERROR(VLOOKUP(OFFSET(Table22,710,21,1,1),OFFSET(Table2,0,1,ROWS(Table2),8),2,0),VLOOKUP(OFFSET(Table22,710,22,1,1),Table2,3,0))</f>
        <v>FRA_gaPMG_AZR_AZR_Q1_19_AzureDirect-Trial-Social</v>
      </c>
      <c r="H711" s="1" t="n">
        <f aca="false">IFERROR(VLOOKUP(OFFSET(Table22,710,21,1,1),OFFSET(Table2,0,1,ROWS(Table2),8),3,0),VLOOKUP(OFFSET(Table22,710,22,1,1),Table2,4,0))</f>
        <v>21356941</v>
      </c>
      <c r="I711" s="2" t="n">
        <f aca="false">IFERROR(VLOOKUP(OFFSET(Table22,710,21,1,1),OFFSET(Table2,0,1,ROWS(Table2),8),4,0),VLOOKUP(OFFSET(Table22,710,22,1,1),Table2,5,0))</f>
        <v>720193</v>
      </c>
      <c r="J711" s="3" t="str">
        <f aca="false">IF(ISNUMBER(SEARCH("FACEBOOK",W711)),"Facebook",IF(ISNUMBER(SEARCH("INSTAGRAM",W711)),"Facebook-Instagram","Look at taxonomy"))</f>
        <v>Facebook</v>
      </c>
      <c r="K711" s="3" t="str">
        <f aca="false">IF(ISNUMBER(SEARCH("Facebook",J711)),"3654128","Not Facebook")</f>
        <v>3654128</v>
      </c>
      <c r="L711" s="3" t="str">
        <f aca="false">IFERROR(VLOOKUP(OFFSET(Table22,710,21,1,1),OFFSET(Table2,0,1,ROWS(Table2),8),7,0),VLOOKUP(OFFSET(Table22,710,22,1,1),Table2,8,0))</f>
        <v>AZR_FreeAcctITProFB-AnimatedSecureMngd-Ch1_FRA_1200x1200_VIA_AZRDirect_French_NA_Facebook_STAN_LEA_T1_1</v>
      </c>
      <c r="M711" s="2" t="n">
        <f aca="false">IFERROR(VLOOKUP(OFFSET(Table22,710,21,1,1),OFFSET(Table2,0,1,ROWS(Table2),8),8,0),VLOOKUP(OFFSET(Table22,710,22,1,1),Table2,9,0))</f>
        <v>104455906</v>
      </c>
      <c r="N711" s="15" t="s">
        <v>29</v>
      </c>
      <c r="O711" s="16" t="n">
        <v>43355</v>
      </c>
      <c r="P711" s="17" t="s">
        <v>102</v>
      </c>
      <c r="Q711" s="18" t="s">
        <v>103</v>
      </c>
      <c r="R711" s="17" t="s">
        <v>104</v>
      </c>
      <c r="S711" s="18" t="s">
        <v>33</v>
      </c>
      <c r="T711" s="17" t="s">
        <v>34</v>
      </c>
      <c r="U711" s="18" t="s">
        <v>131</v>
      </c>
      <c r="V711" s="19" t="n">
        <v>226360007</v>
      </c>
      <c r="W711" s="17" t="s">
        <v>154</v>
      </c>
      <c r="X711" s="17" t="n">
        <v>0</v>
      </c>
      <c r="Y711" s="17"/>
      <c r="Z711" s="17" t="n">
        <v>0</v>
      </c>
      <c r="AA711" s="17" t="s">
        <v>38</v>
      </c>
      <c r="AB711" s="17"/>
    </row>
    <row r="712" customFormat="false" ht="15" hidden="false" customHeight="false" outlineLevel="0" collapsed="false">
      <c r="A712" s="1" t="str">
        <f aca="false">OFFSET(Table22,711,14,1,1)&amp;OFFSET(Table22,711,21,1,1)</f>
        <v>43354226360007</v>
      </c>
      <c r="B712" s="1" t="str">
        <f aca="false">OFFSET(Table22,711,14,1,1)&amp;OFFSET(Table22,711,22,1,1)</f>
        <v>43354Facebook»ITPros-Azure Direct-Sponsored Post_Trial-Video Ad-Free Account IT Pro - Secure»1x1»30s»SOC»ALL»CPC»LAL»D»UNK»SS»NA»Trials_ID</v>
      </c>
      <c r="C712" s="1" t="s">
        <v>28</v>
      </c>
      <c r="D712" s="3" t="n">
        <f aca="false">O712+(7-WEEKDAY(O712))</f>
        <v>43358</v>
      </c>
      <c r="E712" s="1" t="str">
        <f aca="false">VLOOKUP(OFFSET(Table22,711,16,1,1),Key!B:D,2,0)</f>
        <v>France</v>
      </c>
      <c r="F712" s="1" t="str">
        <f aca="false">IF(ISNUMBER(SEARCH("Canvas",U712)),"Link",IF(ISNUMBER(SEARCH("Link",U712)),"Link","Not filled properly"))</f>
        <v>Link</v>
      </c>
      <c r="G712" s="1" t="str">
        <f aca="false">IFERROR(VLOOKUP(OFFSET(Table22,711,21,1,1),OFFSET(Table2,0,1,ROWS(Table2),8),2,0),VLOOKUP(OFFSET(Table22,711,22,1,1),Table2,3,0))</f>
        <v>FRA_gaPMG_AZR_AZR_Q1_19_AzureDirect-Trial-Social</v>
      </c>
      <c r="H712" s="1" t="n">
        <f aca="false">IFERROR(VLOOKUP(OFFSET(Table22,711,21,1,1),OFFSET(Table2,0,1,ROWS(Table2),8),3,0),VLOOKUP(OFFSET(Table22,711,22,1,1),Table2,4,0))</f>
        <v>21356941</v>
      </c>
      <c r="I712" s="2" t="n">
        <f aca="false">IFERROR(VLOOKUP(OFFSET(Table22,711,21,1,1),OFFSET(Table2,0,1,ROWS(Table2),8),4,0),VLOOKUP(OFFSET(Table22,711,22,1,1),Table2,5,0))</f>
        <v>720193</v>
      </c>
      <c r="J712" s="3" t="str">
        <f aca="false">IF(ISNUMBER(SEARCH("FACEBOOK",W712)),"Facebook",IF(ISNUMBER(SEARCH("INSTAGRAM",W712)),"Facebook-Instagram","Look at taxonomy"))</f>
        <v>Facebook</v>
      </c>
      <c r="K712" s="3" t="str">
        <f aca="false">IF(ISNUMBER(SEARCH("Facebook",J712)),"3654128","Not Facebook")</f>
        <v>3654128</v>
      </c>
      <c r="L712" s="3" t="str">
        <f aca="false">IFERROR(VLOOKUP(OFFSET(Table22,711,21,1,1),OFFSET(Table2,0,1,ROWS(Table2),8),7,0),VLOOKUP(OFFSET(Table22,711,22,1,1),Table2,8,0))</f>
        <v>AZR_FreeAcctITProFB-AnimatedSecureMngd-Ch1_FRA_1200x1200_VIA_AZRDirect_French_NA_Facebook_STAN_LEA_T1_1</v>
      </c>
      <c r="M712" s="2" t="n">
        <f aca="false">IFERROR(VLOOKUP(OFFSET(Table22,711,21,1,1),OFFSET(Table2,0,1,ROWS(Table2),8),8,0),VLOOKUP(OFFSET(Table22,711,22,1,1),Table2,9,0))</f>
        <v>104455906</v>
      </c>
      <c r="N712" s="15" t="s">
        <v>29</v>
      </c>
      <c r="O712" s="16" t="n">
        <v>43354</v>
      </c>
      <c r="P712" s="17" t="s">
        <v>102</v>
      </c>
      <c r="Q712" s="18" t="s">
        <v>103</v>
      </c>
      <c r="R712" s="17" t="s">
        <v>104</v>
      </c>
      <c r="S712" s="18" t="s">
        <v>33</v>
      </c>
      <c r="T712" s="17" t="s">
        <v>34</v>
      </c>
      <c r="U712" s="18" t="s">
        <v>131</v>
      </c>
      <c r="V712" s="19" t="n">
        <v>226360007</v>
      </c>
      <c r="W712" s="17" t="s">
        <v>154</v>
      </c>
      <c r="X712" s="17" t="n">
        <v>0</v>
      </c>
      <c r="Y712" s="17"/>
      <c r="Z712" s="17" t="n">
        <v>0</v>
      </c>
      <c r="AA712" s="17" t="s">
        <v>38</v>
      </c>
      <c r="AB712" s="17"/>
    </row>
    <row r="713" customFormat="false" ht="15" hidden="false" customHeight="false" outlineLevel="0" collapsed="false">
      <c r="A713" s="1" t="str">
        <f aca="false">OFFSET(Table22,712,14,1,1)&amp;OFFSET(Table22,712,21,1,1)</f>
        <v>43353226360007</v>
      </c>
      <c r="B713" s="1" t="str">
        <f aca="false">OFFSET(Table22,712,14,1,1)&amp;OFFSET(Table22,712,22,1,1)</f>
        <v>43353Facebook»ITPros-Azure Direct-Sponsored Post_Trial-Video Ad-Free Account IT Pro - Secure»1x1»30s»SOC»ALL»CPC»LAL»D»UNK»SS»NA»Trials_ID</v>
      </c>
      <c r="C713" s="1" t="s">
        <v>28</v>
      </c>
      <c r="D713" s="3" t="n">
        <f aca="false">O713+(7-WEEKDAY(O713))</f>
        <v>43358</v>
      </c>
      <c r="E713" s="1" t="str">
        <f aca="false">VLOOKUP(OFFSET(Table22,712,16,1,1),Key!B:D,2,0)</f>
        <v>France</v>
      </c>
      <c r="F713" s="1" t="str">
        <f aca="false">IF(ISNUMBER(SEARCH("Canvas",U713)),"Link",IF(ISNUMBER(SEARCH("Link",U713)),"Link","Not filled properly"))</f>
        <v>Link</v>
      </c>
      <c r="G713" s="1" t="str">
        <f aca="false">IFERROR(VLOOKUP(OFFSET(Table22,712,21,1,1),OFFSET(Table2,0,1,ROWS(Table2),8),2,0),VLOOKUP(OFFSET(Table22,712,22,1,1),Table2,3,0))</f>
        <v>FRA_gaPMG_AZR_AZR_Q1_19_AzureDirect-Trial-Social</v>
      </c>
      <c r="H713" s="1" t="n">
        <f aca="false">IFERROR(VLOOKUP(OFFSET(Table22,712,21,1,1),OFFSET(Table2,0,1,ROWS(Table2),8),3,0),VLOOKUP(OFFSET(Table22,712,22,1,1),Table2,4,0))</f>
        <v>21356941</v>
      </c>
      <c r="I713" s="2" t="n">
        <f aca="false">IFERROR(VLOOKUP(OFFSET(Table22,712,21,1,1),OFFSET(Table2,0,1,ROWS(Table2),8),4,0),VLOOKUP(OFFSET(Table22,712,22,1,1),Table2,5,0))</f>
        <v>720193</v>
      </c>
      <c r="J713" s="3" t="str">
        <f aca="false">IF(ISNUMBER(SEARCH("FACEBOOK",W713)),"Facebook",IF(ISNUMBER(SEARCH("INSTAGRAM",W713)),"Facebook-Instagram","Look at taxonomy"))</f>
        <v>Facebook</v>
      </c>
      <c r="K713" s="3" t="str">
        <f aca="false">IF(ISNUMBER(SEARCH("Facebook",J713)),"3654128","Not Facebook")</f>
        <v>3654128</v>
      </c>
      <c r="L713" s="3" t="str">
        <f aca="false">IFERROR(VLOOKUP(OFFSET(Table22,712,21,1,1),OFFSET(Table2,0,1,ROWS(Table2),8),7,0),VLOOKUP(OFFSET(Table22,712,22,1,1),Table2,8,0))</f>
        <v>AZR_FreeAcctITProFB-AnimatedSecureMngd-Ch1_FRA_1200x1200_VIA_AZRDirect_French_NA_Facebook_STAN_LEA_T1_1</v>
      </c>
      <c r="M713" s="2" t="n">
        <f aca="false">IFERROR(VLOOKUP(OFFSET(Table22,712,21,1,1),OFFSET(Table2,0,1,ROWS(Table2),8),8,0),VLOOKUP(OFFSET(Table22,712,22,1,1),Table2,9,0))</f>
        <v>104455906</v>
      </c>
      <c r="N713" s="15" t="s">
        <v>29</v>
      </c>
      <c r="O713" s="16" t="n">
        <v>43353</v>
      </c>
      <c r="P713" s="17" t="s">
        <v>102</v>
      </c>
      <c r="Q713" s="18" t="s">
        <v>103</v>
      </c>
      <c r="R713" s="17" t="s">
        <v>104</v>
      </c>
      <c r="S713" s="18" t="s">
        <v>33</v>
      </c>
      <c r="T713" s="17" t="s">
        <v>34</v>
      </c>
      <c r="U713" s="18" t="s">
        <v>131</v>
      </c>
      <c r="V713" s="19" t="n">
        <v>226360007</v>
      </c>
      <c r="W713" s="17" t="s">
        <v>154</v>
      </c>
      <c r="X713" s="17" t="n">
        <v>0</v>
      </c>
      <c r="Y713" s="17"/>
      <c r="Z713" s="17" t="n">
        <v>0</v>
      </c>
      <c r="AA713" s="17" t="s">
        <v>38</v>
      </c>
      <c r="AB713" s="17"/>
    </row>
    <row r="714" customFormat="false" ht="15" hidden="false" customHeight="false" outlineLevel="0" collapsed="false">
      <c r="A714" s="1" t="str">
        <f aca="false">OFFSET(Table22,713,14,1,1)&amp;OFFSET(Table22,713,21,1,1)</f>
        <v>43352226360007</v>
      </c>
      <c r="B714" s="1" t="str">
        <f aca="false">OFFSET(Table22,713,14,1,1)&amp;OFFSET(Table22,713,22,1,1)</f>
        <v>43352Facebook»ITPros-Azure Direct-Sponsored Post_Trial-Video Ad-Free Account IT Pro - Secure»1x1»30s»SOC»ALL»CPC»LAL»D»UNK»SS»NA»Trials_ID</v>
      </c>
      <c r="C714" s="1" t="s">
        <v>28</v>
      </c>
      <c r="D714" s="3" t="n">
        <f aca="false">O714+(7-WEEKDAY(O714))</f>
        <v>43358</v>
      </c>
      <c r="E714" s="1" t="str">
        <f aca="false">VLOOKUP(OFFSET(Table22,713,16,1,1),Key!B:D,2,0)</f>
        <v>France</v>
      </c>
      <c r="F714" s="1" t="str">
        <f aca="false">IF(ISNUMBER(SEARCH("Canvas",U714)),"Link",IF(ISNUMBER(SEARCH("Link",U714)),"Link","Not filled properly"))</f>
        <v>Link</v>
      </c>
      <c r="G714" s="1" t="str">
        <f aca="false">IFERROR(VLOOKUP(OFFSET(Table22,713,21,1,1),OFFSET(Table2,0,1,ROWS(Table2),8),2,0),VLOOKUP(OFFSET(Table22,713,22,1,1),Table2,3,0))</f>
        <v>FRA_gaPMG_AZR_AZR_Q1_19_AzureDirect-Trial-Social</v>
      </c>
      <c r="H714" s="1" t="n">
        <f aca="false">IFERROR(VLOOKUP(OFFSET(Table22,713,21,1,1),OFFSET(Table2,0,1,ROWS(Table2),8),3,0),VLOOKUP(OFFSET(Table22,713,22,1,1),Table2,4,0))</f>
        <v>21356941</v>
      </c>
      <c r="I714" s="2" t="n">
        <f aca="false">IFERROR(VLOOKUP(OFFSET(Table22,713,21,1,1),OFFSET(Table2,0,1,ROWS(Table2),8),4,0),VLOOKUP(OFFSET(Table22,713,22,1,1),Table2,5,0))</f>
        <v>720193</v>
      </c>
      <c r="J714" s="3" t="str">
        <f aca="false">IF(ISNUMBER(SEARCH("FACEBOOK",W714)),"Facebook",IF(ISNUMBER(SEARCH("INSTAGRAM",W714)),"Facebook-Instagram","Look at taxonomy"))</f>
        <v>Facebook</v>
      </c>
      <c r="K714" s="3" t="str">
        <f aca="false">IF(ISNUMBER(SEARCH("Facebook",J714)),"3654128","Not Facebook")</f>
        <v>3654128</v>
      </c>
      <c r="L714" s="3" t="str">
        <f aca="false">IFERROR(VLOOKUP(OFFSET(Table22,713,21,1,1),OFFSET(Table2,0,1,ROWS(Table2),8),7,0),VLOOKUP(OFFSET(Table22,713,22,1,1),Table2,8,0))</f>
        <v>AZR_FreeAcctITProFB-AnimatedSecureMngd-Ch1_FRA_1200x1200_VIA_AZRDirect_French_NA_Facebook_STAN_LEA_T1_1</v>
      </c>
      <c r="M714" s="2" t="n">
        <f aca="false">IFERROR(VLOOKUP(OFFSET(Table22,713,21,1,1),OFFSET(Table2,0,1,ROWS(Table2),8),8,0),VLOOKUP(OFFSET(Table22,713,22,1,1),Table2,9,0))</f>
        <v>104455906</v>
      </c>
      <c r="N714" s="15" t="s">
        <v>29</v>
      </c>
      <c r="O714" s="16" t="n">
        <v>43352</v>
      </c>
      <c r="P714" s="17" t="s">
        <v>102</v>
      </c>
      <c r="Q714" s="18" t="s">
        <v>103</v>
      </c>
      <c r="R714" s="17" t="s">
        <v>104</v>
      </c>
      <c r="S714" s="18" t="s">
        <v>33</v>
      </c>
      <c r="T714" s="17" t="s">
        <v>34</v>
      </c>
      <c r="U714" s="18" t="s">
        <v>131</v>
      </c>
      <c r="V714" s="19" t="n">
        <v>226360007</v>
      </c>
      <c r="W714" s="17" t="s">
        <v>154</v>
      </c>
      <c r="X714" s="17" t="n">
        <v>1</v>
      </c>
      <c r="Y714" s="17"/>
      <c r="Z714" s="17" t="n">
        <v>0</v>
      </c>
      <c r="AA714" s="17" t="s">
        <v>38</v>
      </c>
      <c r="AB714" s="17"/>
    </row>
    <row r="715" customFormat="false" ht="15" hidden="false" customHeight="false" outlineLevel="0" collapsed="false">
      <c r="A715" s="1" t="str">
        <f aca="false">OFFSET(Table22,714,14,1,1)&amp;OFFSET(Table22,714,21,1,1)</f>
        <v>43358226496143</v>
      </c>
      <c r="B715" s="1" t="str">
        <f aca="false">OFFSET(Table22,714,14,1,1)&amp;OFFSET(Table22,714,22,1,1)</f>
        <v>43358Facebook»ITPros-Azure Direct-Sponsored Post_Trial-Video Ad-Free Account IT Pro - Secure»1x1»30s»SOC»ALL»CPC»RT»D»UNK»SS»NA»Trials_ID</v>
      </c>
      <c r="C715" s="1" t="s">
        <v>28</v>
      </c>
      <c r="D715" s="3" t="n">
        <f aca="false">O715+(7-WEEKDAY(O715))</f>
        <v>43358</v>
      </c>
      <c r="E715" s="1" t="str">
        <f aca="false">VLOOKUP(OFFSET(Table22,714,16,1,1),Key!B:D,2,0)</f>
        <v>France</v>
      </c>
      <c r="F715" s="1" t="str">
        <f aca="false">IF(ISNUMBER(SEARCH("Canvas",U715)),"Link",IF(ISNUMBER(SEARCH("Link",U715)),"Link","Not filled properly"))</f>
        <v>Link</v>
      </c>
      <c r="G715" s="1" t="str">
        <f aca="false">IFERROR(VLOOKUP(OFFSET(Table22,714,21,1,1),OFFSET(Table2,0,1,ROWS(Table2),8),2,0),VLOOKUP(OFFSET(Table22,714,22,1,1),Table2,3,0))</f>
        <v>FRA_gaPMG_AZR_AZR_Q1_19_AzureDirect-Trial-Social</v>
      </c>
      <c r="H715" s="1" t="n">
        <f aca="false">IFERROR(VLOOKUP(OFFSET(Table22,714,21,1,1),OFFSET(Table2,0,1,ROWS(Table2),8),3,0),VLOOKUP(OFFSET(Table22,714,22,1,1),Table2,4,0))</f>
        <v>21356941</v>
      </c>
      <c r="I715" s="2" t="n">
        <f aca="false">IFERROR(VLOOKUP(OFFSET(Table22,714,21,1,1),OFFSET(Table2,0,1,ROWS(Table2),8),4,0),VLOOKUP(OFFSET(Table22,714,22,1,1),Table2,5,0))</f>
        <v>720193</v>
      </c>
      <c r="J715" s="3" t="str">
        <f aca="false">IF(ISNUMBER(SEARCH("FACEBOOK",W715)),"Facebook",IF(ISNUMBER(SEARCH("INSTAGRAM",W715)),"Facebook-Instagram","Look at taxonomy"))</f>
        <v>Facebook</v>
      </c>
      <c r="K715" s="3" t="str">
        <f aca="false">IF(ISNUMBER(SEARCH("Facebook",J715)),"3654128","Not Facebook")</f>
        <v>3654128</v>
      </c>
      <c r="L715" s="3" t="str">
        <f aca="false">IFERROR(VLOOKUP(OFFSET(Table22,714,21,1,1),OFFSET(Table2,0,1,ROWS(Table2),8),7,0),VLOOKUP(OFFSET(Table22,714,22,1,1),Table2,8,0))</f>
        <v>AZR_FreeAcctITProFB-AnimatedSecureMngd-Ch1_FRA_1200x1200_VIA_AZRDirect_French_NA_Facebook_STAN_LEA_T1_1</v>
      </c>
      <c r="M715" s="2" t="n">
        <f aca="false">IFERROR(VLOOKUP(OFFSET(Table22,714,21,1,1),OFFSET(Table2,0,1,ROWS(Table2),8),8,0),VLOOKUP(OFFSET(Table22,714,22,1,1),Table2,9,0))</f>
        <v>104455906</v>
      </c>
      <c r="N715" s="15" t="s">
        <v>29</v>
      </c>
      <c r="O715" s="16" t="n">
        <v>43358</v>
      </c>
      <c r="P715" s="17" t="s">
        <v>102</v>
      </c>
      <c r="Q715" s="18" t="s">
        <v>103</v>
      </c>
      <c r="R715" s="17" t="s">
        <v>104</v>
      </c>
      <c r="S715" s="18" t="s">
        <v>33</v>
      </c>
      <c r="T715" s="17" t="s">
        <v>34</v>
      </c>
      <c r="U715" s="18" t="s">
        <v>131</v>
      </c>
      <c r="V715" s="19" t="n">
        <v>226496143</v>
      </c>
      <c r="W715" s="17" t="s">
        <v>155</v>
      </c>
      <c r="X715" s="17" t="n">
        <v>0</v>
      </c>
      <c r="Y715" s="17"/>
      <c r="Z715" s="17" t="n">
        <v>0</v>
      </c>
      <c r="AA715" s="17" t="s">
        <v>38</v>
      </c>
      <c r="AB715" s="17"/>
    </row>
    <row r="716" customFormat="false" ht="15" hidden="false" customHeight="false" outlineLevel="0" collapsed="false">
      <c r="A716" s="1" t="str">
        <f aca="false">OFFSET(Table22,715,14,1,1)&amp;OFFSET(Table22,715,21,1,1)</f>
        <v>43357226496143</v>
      </c>
      <c r="B716" s="1" t="str">
        <f aca="false">OFFSET(Table22,715,14,1,1)&amp;OFFSET(Table22,715,22,1,1)</f>
        <v>43357Facebook»ITPros-Azure Direct-Sponsored Post_Trial-Video Ad-Free Account IT Pro - Secure»1x1»30s»SOC»ALL»CPC»RT»D»UNK»SS»NA»Trials_ID</v>
      </c>
      <c r="C716" s="1" t="s">
        <v>28</v>
      </c>
      <c r="D716" s="3" t="n">
        <f aca="false">O716+(7-WEEKDAY(O716))</f>
        <v>43358</v>
      </c>
      <c r="E716" s="1" t="str">
        <f aca="false">VLOOKUP(OFFSET(Table22,715,16,1,1),Key!B:D,2,0)</f>
        <v>France</v>
      </c>
      <c r="F716" s="1" t="str">
        <f aca="false">IF(ISNUMBER(SEARCH("Canvas",U716)),"Link",IF(ISNUMBER(SEARCH("Link",U716)),"Link","Not filled properly"))</f>
        <v>Link</v>
      </c>
      <c r="G716" s="1" t="str">
        <f aca="false">IFERROR(VLOOKUP(OFFSET(Table22,715,21,1,1),OFFSET(Table2,0,1,ROWS(Table2),8),2,0),VLOOKUP(OFFSET(Table22,715,22,1,1),Table2,3,0))</f>
        <v>FRA_gaPMG_AZR_AZR_Q1_19_AzureDirect-Trial-Social</v>
      </c>
      <c r="H716" s="1" t="n">
        <f aca="false">IFERROR(VLOOKUP(OFFSET(Table22,715,21,1,1),OFFSET(Table2,0,1,ROWS(Table2),8),3,0),VLOOKUP(OFFSET(Table22,715,22,1,1),Table2,4,0))</f>
        <v>21356941</v>
      </c>
      <c r="I716" s="2" t="n">
        <f aca="false">IFERROR(VLOOKUP(OFFSET(Table22,715,21,1,1),OFFSET(Table2,0,1,ROWS(Table2),8),4,0),VLOOKUP(OFFSET(Table22,715,22,1,1),Table2,5,0))</f>
        <v>720193</v>
      </c>
      <c r="J716" s="3" t="str">
        <f aca="false">IF(ISNUMBER(SEARCH("FACEBOOK",W716)),"Facebook",IF(ISNUMBER(SEARCH("INSTAGRAM",W716)),"Facebook-Instagram","Look at taxonomy"))</f>
        <v>Facebook</v>
      </c>
      <c r="K716" s="3" t="str">
        <f aca="false">IF(ISNUMBER(SEARCH("Facebook",J716)),"3654128","Not Facebook")</f>
        <v>3654128</v>
      </c>
      <c r="L716" s="3" t="str">
        <f aca="false">IFERROR(VLOOKUP(OFFSET(Table22,715,21,1,1),OFFSET(Table2,0,1,ROWS(Table2),8),7,0),VLOOKUP(OFFSET(Table22,715,22,1,1),Table2,8,0))</f>
        <v>AZR_FreeAcctITProFB-AnimatedSecureMngd-Ch1_FRA_1200x1200_VIA_AZRDirect_French_NA_Facebook_STAN_LEA_T1_1</v>
      </c>
      <c r="M716" s="2" t="n">
        <f aca="false">IFERROR(VLOOKUP(OFFSET(Table22,715,21,1,1),OFFSET(Table2,0,1,ROWS(Table2),8),8,0),VLOOKUP(OFFSET(Table22,715,22,1,1),Table2,9,0))</f>
        <v>104455906</v>
      </c>
      <c r="N716" s="15" t="s">
        <v>29</v>
      </c>
      <c r="O716" s="16" t="n">
        <v>43357</v>
      </c>
      <c r="P716" s="17" t="s">
        <v>102</v>
      </c>
      <c r="Q716" s="18" t="s">
        <v>103</v>
      </c>
      <c r="R716" s="17" t="s">
        <v>104</v>
      </c>
      <c r="S716" s="18" t="s">
        <v>33</v>
      </c>
      <c r="T716" s="17" t="s">
        <v>34</v>
      </c>
      <c r="U716" s="18" t="s">
        <v>131</v>
      </c>
      <c r="V716" s="19" t="n">
        <v>226496143</v>
      </c>
      <c r="W716" s="17" t="s">
        <v>155</v>
      </c>
      <c r="X716" s="17" t="n">
        <v>0</v>
      </c>
      <c r="Y716" s="17"/>
      <c r="Z716" s="17" t="n">
        <v>0</v>
      </c>
      <c r="AA716" s="17" t="s">
        <v>38</v>
      </c>
      <c r="AB716" s="17"/>
    </row>
    <row r="717" customFormat="false" ht="15" hidden="false" customHeight="false" outlineLevel="0" collapsed="false">
      <c r="A717" s="1" t="str">
        <f aca="false">OFFSET(Table22,716,14,1,1)&amp;OFFSET(Table22,716,21,1,1)</f>
        <v>43356226496143</v>
      </c>
      <c r="B717" s="1" t="str">
        <f aca="false">OFFSET(Table22,716,14,1,1)&amp;OFFSET(Table22,716,22,1,1)</f>
        <v>43356Facebook»ITPros-Azure Direct-Sponsored Post_Trial-Video Ad-Free Account IT Pro - Secure»1x1»30s»SOC»ALL»CPC»RT»D»UNK»SS»NA»Trials_ID</v>
      </c>
      <c r="C717" s="1" t="s">
        <v>28</v>
      </c>
      <c r="D717" s="3" t="n">
        <f aca="false">O717+(7-WEEKDAY(O717))</f>
        <v>43358</v>
      </c>
      <c r="E717" s="1" t="str">
        <f aca="false">VLOOKUP(OFFSET(Table22,716,16,1,1),Key!B:D,2,0)</f>
        <v>France</v>
      </c>
      <c r="F717" s="1" t="str">
        <f aca="false">IF(ISNUMBER(SEARCH("Canvas",U717)),"Link",IF(ISNUMBER(SEARCH("Link",U717)),"Link","Not filled properly"))</f>
        <v>Link</v>
      </c>
      <c r="G717" s="1" t="str">
        <f aca="false">IFERROR(VLOOKUP(OFFSET(Table22,716,21,1,1),OFFSET(Table2,0,1,ROWS(Table2),8),2,0),VLOOKUP(OFFSET(Table22,716,22,1,1),Table2,3,0))</f>
        <v>FRA_gaPMG_AZR_AZR_Q1_19_AzureDirect-Trial-Social</v>
      </c>
      <c r="H717" s="1" t="n">
        <f aca="false">IFERROR(VLOOKUP(OFFSET(Table22,716,21,1,1),OFFSET(Table2,0,1,ROWS(Table2),8),3,0),VLOOKUP(OFFSET(Table22,716,22,1,1),Table2,4,0))</f>
        <v>21356941</v>
      </c>
      <c r="I717" s="2" t="n">
        <f aca="false">IFERROR(VLOOKUP(OFFSET(Table22,716,21,1,1),OFFSET(Table2,0,1,ROWS(Table2),8),4,0),VLOOKUP(OFFSET(Table22,716,22,1,1),Table2,5,0))</f>
        <v>720193</v>
      </c>
      <c r="J717" s="3" t="str">
        <f aca="false">IF(ISNUMBER(SEARCH("FACEBOOK",W717)),"Facebook",IF(ISNUMBER(SEARCH("INSTAGRAM",W717)),"Facebook-Instagram","Look at taxonomy"))</f>
        <v>Facebook</v>
      </c>
      <c r="K717" s="3" t="str">
        <f aca="false">IF(ISNUMBER(SEARCH("Facebook",J717)),"3654128","Not Facebook")</f>
        <v>3654128</v>
      </c>
      <c r="L717" s="3" t="str">
        <f aca="false">IFERROR(VLOOKUP(OFFSET(Table22,716,21,1,1),OFFSET(Table2,0,1,ROWS(Table2),8),7,0),VLOOKUP(OFFSET(Table22,716,22,1,1),Table2,8,0))</f>
        <v>AZR_FreeAcctITProFB-AnimatedSecureMngd-Ch1_FRA_1200x1200_VIA_AZRDirect_French_NA_Facebook_STAN_LEA_T1_1</v>
      </c>
      <c r="M717" s="2" t="n">
        <f aca="false">IFERROR(VLOOKUP(OFFSET(Table22,716,21,1,1),OFFSET(Table2,0,1,ROWS(Table2),8),8,0),VLOOKUP(OFFSET(Table22,716,22,1,1),Table2,9,0))</f>
        <v>104455906</v>
      </c>
      <c r="N717" s="15" t="s">
        <v>29</v>
      </c>
      <c r="O717" s="16" t="n">
        <v>43356</v>
      </c>
      <c r="P717" s="17" t="s">
        <v>102</v>
      </c>
      <c r="Q717" s="18" t="s">
        <v>103</v>
      </c>
      <c r="R717" s="17" t="s">
        <v>104</v>
      </c>
      <c r="S717" s="18" t="s">
        <v>33</v>
      </c>
      <c r="T717" s="17" t="s">
        <v>34</v>
      </c>
      <c r="U717" s="18" t="s">
        <v>131</v>
      </c>
      <c r="V717" s="19" t="n">
        <v>226496143</v>
      </c>
      <c r="W717" s="17" t="s">
        <v>155</v>
      </c>
      <c r="X717" s="17" t="n">
        <v>0</v>
      </c>
      <c r="Y717" s="17"/>
      <c r="Z717" s="17" t="n">
        <v>0</v>
      </c>
      <c r="AA717" s="17" t="s">
        <v>38</v>
      </c>
      <c r="AB717" s="17"/>
    </row>
    <row r="718" customFormat="false" ht="15" hidden="false" customHeight="false" outlineLevel="0" collapsed="false">
      <c r="A718" s="1" t="str">
        <f aca="false">OFFSET(Table22,717,14,1,1)&amp;OFFSET(Table22,717,21,1,1)</f>
        <v>43355226496143</v>
      </c>
      <c r="B718" s="1" t="str">
        <f aca="false">OFFSET(Table22,717,14,1,1)&amp;OFFSET(Table22,717,22,1,1)</f>
        <v>43355Facebook»ITPros-Azure Direct-Sponsored Post_Trial-Video Ad-Free Account IT Pro - Secure»1x1»30s»SOC»ALL»CPC»RT»D»UNK»SS»NA»Trials_ID</v>
      </c>
      <c r="C718" s="1" t="s">
        <v>28</v>
      </c>
      <c r="D718" s="3" t="n">
        <f aca="false">O718+(7-WEEKDAY(O718))</f>
        <v>43358</v>
      </c>
      <c r="E718" s="1" t="str">
        <f aca="false">VLOOKUP(OFFSET(Table22,717,16,1,1),Key!B:D,2,0)</f>
        <v>France</v>
      </c>
      <c r="F718" s="1" t="str">
        <f aca="false">IF(ISNUMBER(SEARCH("Canvas",U718)),"Link",IF(ISNUMBER(SEARCH("Link",U718)),"Link","Not filled properly"))</f>
        <v>Link</v>
      </c>
      <c r="G718" s="1" t="str">
        <f aca="false">IFERROR(VLOOKUP(OFFSET(Table22,717,21,1,1),OFFSET(Table2,0,1,ROWS(Table2),8),2,0),VLOOKUP(OFFSET(Table22,717,22,1,1),Table2,3,0))</f>
        <v>FRA_gaPMG_AZR_AZR_Q1_19_AzureDirect-Trial-Social</v>
      </c>
      <c r="H718" s="1" t="n">
        <f aca="false">IFERROR(VLOOKUP(OFFSET(Table22,717,21,1,1),OFFSET(Table2,0,1,ROWS(Table2),8),3,0),VLOOKUP(OFFSET(Table22,717,22,1,1),Table2,4,0))</f>
        <v>21356941</v>
      </c>
      <c r="I718" s="2" t="n">
        <f aca="false">IFERROR(VLOOKUP(OFFSET(Table22,717,21,1,1),OFFSET(Table2,0,1,ROWS(Table2),8),4,0),VLOOKUP(OFFSET(Table22,717,22,1,1),Table2,5,0))</f>
        <v>720193</v>
      </c>
      <c r="J718" s="3" t="str">
        <f aca="false">IF(ISNUMBER(SEARCH("FACEBOOK",W718)),"Facebook",IF(ISNUMBER(SEARCH("INSTAGRAM",W718)),"Facebook-Instagram","Look at taxonomy"))</f>
        <v>Facebook</v>
      </c>
      <c r="K718" s="3" t="str">
        <f aca="false">IF(ISNUMBER(SEARCH("Facebook",J718)),"3654128","Not Facebook")</f>
        <v>3654128</v>
      </c>
      <c r="L718" s="3" t="str">
        <f aca="false">IFERROR(VLOOKUP(OFFSET(Table22,717,21,1,1),OFFSET(Table2,0,1,ROWS(Table2),8),7,0),VLOOKUP(OFFSET(Table22,717,22,1,1),Table2,8,0))</f>
        <v>AZR_FreeAcctITProFB-AnimatedSecureMngd-Ch1_FRA_1200x1200_VIA_AZRDirect_French_NA_Facebook_STAN_LEA_T1_1</v>
      </c>
      <c r="M718" s="2" t="n">
        <f aca="false">IFERROR(VLOOKUP(OFFSET(Table22,717,21,1,1),OFFSET(Table2,0,1,ROWS(Table2),8),8,0),VLOOKUP(OFFSET(Table22,717,22,1,1),Table2,9,0))</f>
        <v>104455906</v>
      </c>
      <c r="N718" s="15" t="s">
        <v>29</v>
      </c>
      <c r="O718" s="16" t="n">
        <v>43355</v>
      </c>
      <c r="P718" s="17" t="s">
        <v>102</v>
      </c>
      <c r="Q718" s="18" t="s">
        <v>103</v>
      </c>
      <c r="R718" s="17" t="s">
        <v>104</v>
      </c>
      <c r="S718" s="18" t="s">
        <v>33</v>
      </c>
      <c r="T718" s="17" t="s">
        <v>34</v>
      </c>
      <c r="U718" s="18" t="s">
        <v>131</v>
      </c>
      <c r="V718" s="19" t="n">
        <v>226496143</v>
      </c>
      <c r="W718" s="17" t="s">
        <v>155</v>
      </c>
      <c r="X718" s="17" t="n">
        <v>0</v>
      </c>
      <c r="Y718" s="17"/>
      <c r="Z718" s="17" t="n">
        <v>0</v>
      </c>
      <c r="AA718" s="17" t="s">
        <v>38</v>
      </c>
      <c r="AB718" s="17"/>
    </row>
    <row r="719" customFormat="false" ht="15" hidden="false" customHeight="false" outlineLevel="0" collapsed="false">
      <c r="A719" s="1" t="str">
        <f aca="false">OFFSET(Table22,718,14,1,1)&amp;OFFSET(Table22,718,21,1,1)</f>
        <v>43354226496143</v>
      </c>
      <c r="B719" s="1" t="str">
        <f aca="false">OFFSET(Table22,718,14,1,1)&amp;OFFSET(Table22,718,22,1,1)</f>
        <v>43354Facebook»ITPros-Azure Direct-Sponsored Post_Trial-Video Ad-Free Account IT Pro - Secure»1x1»30s»SOC»ALL»CPC»RT»D»UNK»SS»NA»Trials_ID</v>
      </c>
      <c r="C719" s="1" t="s">
        <v>28</v>
      </c>
      <c r="D719" s="3" t="n">
        <f aca="false">O719+(7-WEEKDAY(O719))</f>
        <v>43358</v>
      </c>
      <c r="E719" s="1" t="str">
        <f aca="false">VLOOKUP(OFFSET(Table22,718,16,1,1),Key!B:D,2,0)</f>
        <v>France</v>
      </c>
      <c r="F719" s="1" t="str">
        <f aca="false">IF(ISNUMBER(SEARCH("Canvas",U719)),"Link",IF(ISNUMBER(SEARCH("Link",U719)),"Link","Not filled properly"))</f>
        <v>Link</v>
      </c>
      <c r="G719" s="1" t="str">
        <f aca="false">IFERROR(VLOOKUP(OFFSET(Table22,718,21,1,1),OFFSET(Table2,0,1,ROWS(Table2),8),2,0),VLOOKUP(OFFSET(Table22,718,22,1,1),Table2,3,0))</f>
        <v>FRA_gaPMG_AZR_AZR_Q1_19_AzureDirect-Trial-Social</v>
      </c>
      <c r="H719" s="1" t="n">
        <f aca="false">IFERROR(VLOOKUP(OFFSET(Table22,718,21,1,1),OFFSET(Table2,0,1,ROWS(Table2),8),3,0),VLOOKUP(OFFSET(Table22,718,22,1,1),Table2,4,0))</f>
        <v>21356941</v>
      </c>
      <c r="I719" s="2" t="n">
        <f aca="false">IFERROR(VLOOKUP(OFFSET(Table22,718,21,1,1),OFFSET(Table2,0,1,ROWS(Table2),8),4,0),VLOOKUP(OFFSET(Table22,718,22,1,1),Table2,5,0))</f>
        <v>720193</v>
      </c>
      <c r="J719" s="3" t="str">
        <f aca="false">IF(ISNUMBER(SEARCH("FACEBOOK",W719)),"Facebook",IF(ISNUMBER(SEARCH("INSTAGRAM",W719)),"Facebook-Instagram","Look at taxonomy"))</f>
        <v>Facebook</v>
      </c>
      <c r="K719" s="3" t="str">
        <f aca="false">IF(ISNUMBER(SEARCH("Facebook",J719)),"3654128","Not Facebook")</f>
        <v>3654128</v>
      </c>
      <c r="L719" s="3" t="str">
        <f aca="false">IFERROR(VLOOKUP(OFFSET(Table22,718,21,1,1),OFFSET(Table2,0,1,ROWS(Table2),8),7,0),VLOOKUP(OFFSET(Table22,718,22,1,1),Table2,8,0))</f>
        <v>AZR_FreeAcctITProFB-AnimatedSecureMngd-Ch1_FRA_1200x1200_VIA_AZRDirect_French_NA_Facebook_STAN_LEA_T1_1</v>
      </c>
      <c r="M719" s="2" t="n">
        <f aca="false">IFERROR(VLOOKUP(OFFSET(Table22,718,21,1,1),OFFSET(Table2,0,1,ROWS(Table2),8),8,0),VLOOKUP(OFFSET(Table22,718,22,1,1),Table2,9,0))</f>
        <v>104455906</v>
      </c>
      <c r="N719" s="15" t="s">
        <v>29</v>
      </c>
      <c r="O719" s="16" t="n">
        <v>43354</v>
      </c>
      <c r="P719" s="17" t="s">
        <v>102</v>
      </c>
      <c r="Q719" s="18" t="s">
        <v>103</v>
      </c>
      <c r="R719" s="17" t="s">
        <v>104</v>
      </c>
      <c r="S719" s="18" t="s">
        <v>33</v>
      </c>
      <c r="T719" s="17" t="s">
        <v>34</v>
      </c>
      <c r="U719" s="18" t="s">
        <v>131</v>
      </c>
      <c r="V719" s="19" t="n">
        <v>226496143</v>
      </c>
      <c r="W719" s="17" t="s">
        <v>155</v>
      </c>
      <c r="X719" s="17" t="n">
        <v>0</v>
      </c>
      <c r="Y719" s="17"/>
      <c r="Z719" s="17" t="n">
        <v>0</v>
      </c>
      <c r="AA719" s="17" t="s">
        <v>38</v>
      </c>
      <c r="AB719" s="17"/>
    </row>
    <row r="720" customFormat="false" ht="15" hidden="false" customHeight="false" outlineLevel="0" collapsed="false">
      <c r="A720" s="1" t="str">
        <f aca="false">OFFSET(Table22,719,14,1,1)&amp;OFFSET(Table22,719,21,1,1)</f>
        <v>43353226496143</v>
      </c>
      <c r="B720" s="1" t="str">
        <f aca="false">OFFSET(Table22,719,14,1,1)&amp;OFFSET(Table22,719,22,1,1)</f>
        <v>43353Facebook»ITPros-Azure Direct-Sponsored Post_Trial-Video Ad-Free Account IT Pro - Secure»1x1»30s»SOC»ALL»CPC»RT»D»UNK»SS»NA»Trials_ID</v>
      </c>
      <c r="C720" s="1" t="s">
        <v>28</v>
      </c>
      <c r="D720" s="3" t="n">
        <f aca="false">O720+(7-WEEKDAY(O720))</f>
        <v>43358</v>
      </c>
      <c r="E720" s="1" t="str">
        <f aca="false">VLOOKUP(OFFSET(Table22,719,16,1,1),Key!B:D,2,0)</f>
        <v>France</v>
      </c>
      <c r="F720" s="1" t="str">
        <f aca="false">IF(ISNUMBER(SEARCH("Canvas",U720)),"Link",IF(ISNUMBER(SEARCH("Link",U720)),"Link","Not filled properly"))</f>
        <v>Link</v>
      </c>
      <c r="G720" s="1" t="str">
        <f aca="false">IFERROR(VLOOKUP(OFFSET(Table22,719,21,1,1),OFFSET(Table2,0,1,ROWS(Table2),8),2,0),VLOOKUP(OFFSET(Table22,719,22,1,1),Table2,3,0))</f>
        <v>FRA_gaPMG_AZR_AZR_Q1_19_AzureDirect-Trial-Social</v>
      </c>
      <c r="H720" s="1" t="n">
        <f aca="false">IFERROR(VLOOKUP(OFFSET(Table22,719,21,1,1),OFFSET(Table2,0,1,ROWS(Table2),8),3,0),VLOOKUP(OFFSET(Table22,719,22,1,1),Table2,4,0))</f>
        <v>21356941</v>
      </c>
      <c r="I720" s="2" t="n">
        <f aca="false">IFERROR(VLOOKUP(OFFSET(Table22,719,21,1,1),OFFSET(Table2,0,1,ROWS(Table2),8),4,0),VLOOKUP(OFFSET(Table22,719,22,1,1),Table2,5,0))</f>
        <v>720193</v>
      </c>
      <c r="J720" s="3" t="str">
        <f aca="false">IF(ISNUMBER(SEARCH("FACEBOOK",W720)),"Facebook",IF(ISNUMBER(SEARCH("INSTAGRAM",W720)),"Facebook-Instagram","Look at taxonomy"))</f>
        <v>Facebook</v>
      </c>
      <c r="K720" s="3" t="str">
        <f aca="false">IF(ISNUMBER(SEARCH("Facebook",J720)),"3654128","Not Facebook")</f>
        <v>3654128</v>
      </c>
      <c r="L720" s="3" t="str">
        <f aca="false">IFERROR(VLOOKUP(OFFSET(Table22,719,21,1,1),OFFSET(Table2,0,1,ROWS(Table2),8),7,0),VLOOKUP(OFFSET(Table22,719,22,1,1),Table2,8,0))</f>
        <v>AZR_FreeAcctITProFB-AnimatedSecureMngd-Ch1_FRA_1200x1200_VIA_AZRDirect_French_NA_Facebook_STAN_LEA_T1_1</v>
      </c>
      <c r="M720" s="2" t="n">
        <f aca="false">IFERROR(VLOOKUP(OFFSET(Table22,719,21,1,1),OFFSET(Table2,0,1,ROWS(Table2),8),8,0),VLOOKUP(OFFSET(Table22,719,22,1,1),Table2,9,0))</f>
        <v>104455906</v>
      </c>
      <c r="N720" s="15" t="s">
        <v>29</v>
      </c>
      <c r="O720" s="16" t="n">
        <v>43353</v>
      </c>
      <c r="P720" s="17" t="s">
        <v>102</v>
      </c>
      <c r="Q720" s="18" t="s">
        <v>103</v>
      </c>
      <c r="R720" s="17" t="s">
        <v>104</v>
      </c>
      <c r="S720" s="18" t="s">
        <v>33</v>
      </c>
      <c r="T720" s="17" t="s">
        <v>34</v>
      </c>
      <c r="U720" s="18" t="s">
        <v>131</v>
      </c>
      <c r="V720" s="19" t="n">
        <v>226496143</v>
      </c>
      <c r="W720" s="17" t="s">
        <v>155</v>
      </c>
      <c r="X720" s="17" t="n">
        <v>0</v>
      </c>
      <c r="Y720" s="17"/>
      <c r="Z720" s="17" t="n">
        <v>0</v>
      </c>
      <c r="AA720" s="17" t="s">
        <v>38</v>
      </c>
      <c r="AB720" s="17"/>
    </row>
    <row r="721" customFormat="false" ht="15" hidden="false" customHeight="false" outlineLevel="0" collapsed="false">
      <c r="A721" s="1" t="str">
        <f aca="false">OFFSET(Table22,720,14,1,1)&amp;OFFSET(Table22,720,21,1,1)</f>
        <v>43352226496143</v>
      </c>
      <c r="B721" s="1" t="str">
        <f aca="false">OFFSET(Table22,720,14,1,1)&amp;OFFSET(Table22,720,22,1,1)</f>
        <v>43352Facebook»ITPros-Azure Direct-Sponsored Post_Trial-Video Ad-Free Account IT Pro - Secure»1x1»30s»SOC»ALL»CPC»RT»D»UNK»SS»NA»Trials_ID</v>
      </c>
      <c r="C721" s="1" t="s">
        <v>28</v>
      </c>
      <c r="D721" s="3" t="n">
        <f aca="false">O721+(7-WEEKDAY(O721))</f>
        <v>43358</v>
      </c>
      <c r="E721" s="1" t="str">
        <f aca="false">VLOOKUP(OFFSET(Table22,720,16,1,1),Key!B:D,2,0)</f>
        <v>France</v>
      </c>
      <c r="F721" s="1" t="str">
        <f aca="false">IF(ISNUMBER(SEARCH("Canvas",U721)),"Link",IF(ISNUMBER(SEARCH("Link",U721)),"Link","Not filled properly"))</f>
        <v>Link</v>
      </c>
      <c r="G721" s="1" t="str">
        <f aca="false">IFERROR(VLOOKUP(OFFSET(Table22,720,21,1,1),OFFSET(Table2,0,1,ROWS(Table2),8),2,0),VLOOKUP(OFFSET(Table22,720,22,1,1),Table2,3,0))</f>
        <v>FRA_gaPMG_AZR_AZR_Q1_19_AzureDirect-Trial-Social</v>
      </c>
      <c r="H721" s="1" t="n">
        <f aca="false">IFERROR(VLOOKUP(OFFSET(Table22,720,21,1,1),OFFSET(Table2,0,1,ROWS(Table2),8),3,0),VLOOKUP(OFFSET(Table22,720,22,1,1),Table2,4,0))</f>
        <v>21356941</v>
      </c>
      <c r="I721" s="2" t="n">
        <f aca="false">IFERROR(VLOOKUP(OFFSET(Table22,720,21,1,1),OFFSET(Table2,0,1,ROWS(Table2),8),4,0),VLOOKUP(OFFSET(Table22,720,22,1,1),Table2,5,0))</f>
        <v>720193</v>
      </c>
      <c r="J721" s="3" t="str">
        <f aca="false">IF(ISNUMBER(SEARCH("FACEBOOK",W721)),"Facebook",IF(ISNUMBER(SEARCH("INSTAGRAM",W721)),"Facebook-Instagram","Look at taxonomy"))</f>
        <v>Facebook</v>
      </c>
      <c r="K721" s="3" t="str">
        <f aca="false">IF(ISNUMBER(SEARCH("Facebook",J721)),"3654128","Not Facebook")</f>
        <v>3654128</v>
      </c>
      <c r="L721" s="3" t="str">
        <f aca="false">IFERROR(VLOOKUP(OFFSET(Table22,720,21,1,1),OFFSET(Table2,0,1,ROWS(Table2),8),7,0),VLOOKUP(OFFSET(Table22,720,22,1,1),Table2,8,0))</f>
        <v>AZR_FreeAcctITProFB-AnimatedSecureMngd-Ch1_FRA_1200x1200_VIA_AZRDirect_French_NA_Facebook_STAN_LEA_T1_1</v>
      </c>
      <c r="M721" s="2" t="n">
        <f aca="false">IFERROR(VLOOKUP(OFFSET(Table22,720,21,1,1),OFFSET(Table2,0,1,ROWS(Table2),8),8,0),VLOOKUP(OFFSET(Table22,720,22,1,1),Table2,9,0))</f>
        <v>104455906</v>
      </c>
      <c r="N721" s="15" t="s">
        <v>29</v>
      </c>
      <c r="O721" s="16" t="n">
        <v>43352</v>
      </c>
      <c r="P721" s="17" t="s">
        <v>102</v>
      </c>
      <c r="Q721" s="18" t="s">
        <v>103</v>
      </c>
      <c r="R721" s="17" t="s">
        <v>104</v>
      </c>
      <c r="S721" s="18" t="s">
        <v>33</v>
      </c>
      <c r="T721" s="17" t="s">
        <v>34</v>
      </c>
      <c r="U721" s="18" t="s">
        <v>131</v>
      </c>
      <c r="V721" s="19" t="n">
        <v>226496143</v>
      </c>
      <c r="W721" s="17" t="s">
        <v>155</v>
      </c>
      <c r="X721" s="17" t="n">
        <v>0</v>
      </c>
      <c r="Y721" s="17"/>
      <c r="Z721" s="17" t="n">
        <v>0</v>
      </c>
      <c r="AA721" s="17" t="s">
        <v>38</v>
      </c>
      <c r="AB721" s="17"/>
    </row>
    <row r="722" customFormat="false" ht="15" hidden="false" customHeight="false" outlineLevel="0" collapsed="false">
      <c r="A722" s="1" t="str">
        <f aca="false">OFFSET(Table22,721,14,1,1)&amp;OFFSET(Table22,721,21,1,1)</f>
        <v>43358226360016</v>
      </c>
      <c r="B722" s="1" t="str">
        <f aca="false">OFFSET(Table22,721,14,1,1)&amp;OFFSET(Table22,721,22,1,1)</f>
        <v>43358Facebook»ITPros-Azure Direct-Sponsored Post-Video Ad-Free Account IT Pro - hybrid»1x1»30s»SOC»ALL»CPC»AUT»D»UNK»SS»NA»Trials_ID</v>
      </c>
      <c r="C722" s="1" t="s">
        <v>28</v>
      </c>
      <c r="D722" s="3" t="n">
        <f aca="false">O722+(7-WEEKDAY(O722))</f>
        <v>43358</v>
      </c>
      <c r="E722" s="1" t="str">
        <f aca="false">VLOOKUP(OFFSET(Table22,721,16,1,1),Key!B:D,2,0)</f>
        <v>France</v>
      </c>
      <c r="F722" s="1" t="str">
        <f aca="false">IF(ISNUMBER(SEARCH("Canvas",U722)),"Link",IF(ISNUMBER(SEARCH("Link",U722)),"Link","Not filled properly"))</f>
        <v>Link</v>
      </c>
      <c r="G722" s="1" t="str">
        <f aca="false">IFERROR(VLOOKUP(OFFSET(Table22,721,21,1,1),OFFSET(Table2,0,1,ROWS(Table2),8),2,0),VLOOKUP(OFFSET(Table22,721,22,1,1),Table2,3,0))</f>
        <v>FRA_gaPMG_AZR_AZR_Q1_19_AzureDirect-Trial-Social</v>
      </c>
      <c r="H722" s="1" t="n">
        <f aca="false">IFERROR(VLOOKUP(OFFSET(Table22,721,21,1,1),OFFSET(Table2,0,1,ROWS(Table2),8),3,0),VLOOKUP(OFFSET(Table22,721,22,1,1),Table2,4,0))</f>
        <v>21356941</v>
      </c>
      <c r="I722" s="2" t="n">
        <f aca="false">IFERROR(VLOOKUP(OFFSET(Table22,721,21,1,1),OFFSET(Table2,0,1,ROWS(Table2),8),4,0),VLOOKUP(OFFSET(Table22,721,22,1,1),Table2,5,0))</f>
        <v>720193</v>
      </c>
      <c r="J722" s="3" t="str">
        <f aca="false">IF(ISNUMBER(SEARCH("FACEBOOK",W722)),"Facebook",IF(ISNUMBER(SEARCH("INSTAGRAM",W722)),"Facebook-Instagram","Look at taxonomy"))</f>
        <v>Facebook</v>
      </c>
      <c r="K722" s="3" t="str">
        <f aca="false">IF(ISNUMBER(SEARCH("Facebook",J722)),"3654128","Not Facebook")</f>
        <v>3654128</v>
      </c>
      <c r="L722" s="3" t="str">
        <f aca="false">IFERROR(VLOOKUP(OFFSET(Table22,721,21,1,1),OFFSET(Table2,0,1,ROWS(Table2),8),7,0),VLOOKUP(OFFSET(Table22,721,22,1,1),Table2,8,0))</f>
        <v>AZR_FreeAcctITProFB-AnimatedHybrid-Ch2_FRA_1200x1200_VIA_AZRDirect_French_NA_Facebook_STAN_LEA_T2_1</v>
      </c>
      <c r="M722" s="2" t="n">
        <f aca="false">IFERROR(VLOOKUP(OFFSET(Table22,721,21,1,1),OFFSET(Table2,0,1,ROWS(Table2),8),8,0),VLOOKUP(OFFSET(Table22,721,22,1,1),Table2,9,0))</f>
        <v>104456278</v>
      </c>
      <c r="N722" s="15" t="s">
        <v>29</v>
      </c>
      <c r="O722" s="16" t="n">
        <v>43358</v>
      </c>
      <c r="P722" s="17" t="s">
        <v>102</v>
      </c>
      <c r="Q722" s="18" t="s">
        <v>103</v>
      </c>
      <c r="R722" s="17" t="s">
        <v>104</v>
      </c>
      <c r="S722" s="18" t="s">
        <v>33</v>
      </c>
      <c r="T722" s="17" t="s">
        <v>34</v>
      </c>
      <c r="U722" s="18" t="s">
        <v>131</v>
      </c>
      <c r="V722" s="19" t="n">
        <v>226360016</v>
      </c>
      <c r="W722" s="17" t="s">
        <v>156</v>
      </c>
      <c r="X722" s="17" t="n">
        <v>0</v>
      </c>
      <c r="Y722" s="17"/>
      <c r="Z722" s="17" t="n">
        <v>0</v>
      </c>
      <c r="AA722" s="17" t="s">
        <v>38</v>
      </c>
      <c r="AB722" s="17"/>
    </row>
    <row r="723" customFormat="false" ht="15" hidden="false" customHeight="false" outlineLevel="0" collapsed="false">
      <c r="A723" s="1" t="str">
        <f aca="false">OFFSET(Table22,722,14,1,1)&amp;OFFSET(Table22,722,21,1,1)</f>
        <v>43357226360016</v>
      </c>
      <c r="B723" s="1" t="str">
        <f aca="false">OFFSET(Table22,722,14,1,1)&amp;OFFSET(Table22,722,22,1,1)</f>
        <v>43357Facebook»ITPros-Azure Direct-Sponsored Post-Video Ad-Free Account IT Pro - hybrid»1x1»30s»SOC»ALL»CPC»AUT»D»UNK»SS»NA»Trials_ID</v>
      </c>
      <c r="C723" s="1" t="s">
        <v>28</v>
      </c>
      <c r="D723" s="3" t="n">
        <f aca="false">O723+(7-WEEKDAY(O723))</f>
        <v>43358</v>
      </c>
      <c r="E723" s="1" t="str">
        <f aca="false">VLOOKUP(OFFSET(Table22,722,16,1,1),Key!B:D,2,0)</f>
        <v>France</v>
      </c>
      <c r="F723" s="1" t="str">
        <f aca="false">IF(ISNUMBER(SEARCH("Canvas",U723)),"Link",IF(ISNUMBER(SEARCH("Link",U723)),"Link","Not filled properly"))</f>
        <v>Link</v>
      </c>
      <c r="G723" s="1" t="str">
        <f aca="false">IFERROR(VLOOKUP(OFFSET(Table22,722,21,1,1),OFFSET(Table2,0,1,ROWS(Table2),8),2,0),VLOOKUP(OFFSET(Table22,722,22,1,1),Table2,3,0))</f>
        <v>FRA_gaPMG_AZR_AZR_Q1_19_AzureDirect-Trial-Social</v>
      </c>
      <c r="H723" s="1" t="n">
        <f aca="false">IFERROR(VLOOKUP(OFFSET(Table22,722,21,1,1),OFFSET(Table2,0,1,ROWS(Table2),8),3,0),VLOOKUP(OFFSET(Table22,722,22,1,1),Table2,4,0))</f>
        <v>21356941</v>
      </c>
      <c r="I723" s="2" t="n">
        <f aca="false">IFERROR(VLOOKUP(OFFSET(Table22,722,21,1,1),OFFSET(Table2,0,1,ROWS(Table2),8),4,0),VLOOKUP(OFFSET(Table22,722,22,1,1),Table2,5,0))</f>
        <v>720193</v>
      </c>
      <c r="J723" s="3" t="str">
        <f aca="false">IF(ISNUMBER(SEARCH("FACEBOOK",W723)),"Facebook",IF(ISNUMBER(SEARCH("INSTAGRAM",W723)),"Facebook-Instagram","Look at taxonomy"))</f>
        <v>Facebook</v>
      </c>
      <c r="K723" s="3" t="str">
        <f aca="false">IF(ISNUMBER(SEARCH("Facebook",J723)),"3654128","Not Facebook")</f>
        <v>3654128</v>
      </c>
      <c r="L723" s="3" t="str">
        <f aca="false">IFERROR(VLOOKUP(OFFSET(Table22,722,21,1,1),OFFSET(Table2,0,1,ROWS(Table2),8),7,0),VLOOKUP(OFFSET(Table22,722,22,1,1),Table2,8,0))</f>
        <v>AZR_FreeAcctITProFB-AnimatedHybrid-Ch2_FRA_1200x1200_VIA_AZRDirect_French_NA_Facebook_STAN_LEA_T2_1</v>
      </c>
      <c r="M723" s="2" t="n">
        <f aca="false">IFERROR(VLOOKUP(OFFSET(Table22,722,21,1,1),OFFSET(Table2,0,1,ROWS(Table2),8),8,0),VLOOKUP(OFFSET(Table22,722,22,1,1),Table2,9,0))</f>
        <v>104456278</v>
      </c>
      <c r="N723" s="15" t="s">
        <v>29</v>
      </c>
      <c r="O723" s="16" t="n">
        <v>43357</v>
      </c>
      <c r="P723" s="17" t="s">
        <v>102</v>
      </c>
      <c r="Q723" s="18" t="s">
        <v>103</v>
      </c>
      <c r="R723" s="17" t="s">
        <v>104</v>
      </c>
      <c r="S723" s="18" t="s">
        <v>33</v>
      </c>
      <c r="T723" s="17" t="s">
        <v>34</v>
      </c>
      <c r="U723" s="18" t="s">
        <v>131</v>
      </c>
      <c r="V723" s="19" t="n">
        <v>226360016</v>
      </c>
      <c r="W723" s="17" t="s">
        <v>156</v>
      </c>
      <c r="X723" s="17" t="n">
        <v>0</v>
      </c>
      <c r="Y723" s="17"/>
      <c r="Z723" s="17" t="n">
        <v>0</v>
      </c>
      <c r="AA723" s="17" t="s">
        <v>38</v>
      </c>
      <c r="AB723" s="17"/>
    </row>
    <row r="724" customFormat="false" ht="15" hidden="false" customHeight="false" outlineLevel="0" collapsed="false">
      <c r="A724" s="1" t="str">
        <f aca="false">OFFSET(Table22,723,14,1,1)&amp;OFFSET(Table22,723,21,1,1)</f>
        <v>43356226360016</v>
      </c>
      <c r="B724" s="1" t="str">
        <f aca="false">OFFSET(Table22,723,14,1,1)&amp;OFFSET(Table22,723,22,1,1)</f>
        <v>43356Facebook»ITPros-Azure Direct-Sponsored Post-Video Ad-Free Account IT Pro - hybrid»1x1»30s»SOC»ALL»CPC»AUT»D»UNK»SS»NA»Trials_ID</v>
      </c>
      <c r="C724" s="1" t="s">
        <v>28</v>
      </c>
      <c r="D724" s="3" t="n">
        <f aca="false">O724+(7-WEEKDAY(O724))</f>
        <v>43358</v>
      </c>
      <c r="E724" s="1" t="str">
        <f aca="false">VLOOKUP(OFFSET(Table22,723,16,1,1),Key!B:D,2,0)</f>
        <v>France</v>
      </c>
      <c r="F724" s="1" t="str">
        <f aca="false">IF(ISNUMBER(SEARCH("Canvas",U724)),"Link",IF(ISNUMBER(SEARCH("Link",U724)),"Link","Not filled properly"))</f>
        <v>Link</v>
      </c>
      <c r="G724" s="1" t="str">
        <f aca="false">IFERROR(VLOOKUP(OFFSET(Table22,723,21,1,1),OFFSET(Table2,0,1,ROWS(Table2),8),2,0),VLOOKUP(OFFSET(Table22,723,22,1,1),Table2,3,0))</f>
        <v>FRA_gaPMG_AZR_AZR_Q1_19_AzureDirect-Trial-Social</v>
      </c>
      <c r="H724" s="1" t="n">
        <f aca="false">IFERROR(VLOOKUP(OFFSET(Table22,723,21,1,1),OFFSET(Table2,0,1,ROWS(Table2),8),3,0),VLOOKUP(OFFSET(Table22,723,22,1,1),Table2,4,0))</f>
        <v>21356941</v>
      </c>
      <c r="I724" s="2" t="n">
        <f aca="false">IFERROR(VLOOKUP(OFFSET(Table22,723,21,1,1),OFFSET(Table2,0,1,ROWS(Table2),8),4,0),VLOOKUP(OFFSET(Table22,723,22,1,1),Table2,5,0))</f>
        <v>720193</v>
      </c>
      <c r="J724" s="3" t="str">
        <f aca="false">IF(ISNUMBER(SEARCH("FACEBOOK",W724)),"Facebook",IF(ISNUMBER(SEARCH("INSTAGRAM",W724)),"Facebook-Instagram","Look at taxonomy"))</f>
        <v>Facebook</v>
      </c>
      <c r="K724" s="3" t="str">
        <f aca="false">IF(ISNUMBER(SEARCH("Facebook",J724)),"3654128","Not Facebook")</f>
        <v>3654128</v>
      </c>
      <c r="L724" s="3" t="str">
        <f aca="false">IFERROR(VLOOKUP(OFFSET(Table22,723,21,1,1),OFFSET(Table2,0,1,ROWS(Table2),8),7,0),VLOOKUP(OFFSET(Table22,723,22,1,1),Table2,8,0))</f>
        <v>AZR_FreeAcctITProFB-AnimatedHybrid-Ch2_FRA_1200x1200_VIA_AZRDirect_French_NA_Facebook_STAN_LEA_T2_1</v>
      </c>
      <c r="M724" s="2" t="n">
        <f aca="false">IFERROR(VLOOKUP(OFFSET(Table22,723,21,1,1),OFFSET(Table2,0,1,ROWS(Table2),8),8,0),VLOOKUP(OFFSET(Table22,723,22,1,1),Table2,9,0))</f>
        <v>104456278</v>
      </c>
      <c r="N724" s="15" t="s">
        <v>29</v>
      </c>
      <c r="O724" s="16" t="n">
        <v>43356</v>
      </c>
      <c r="P724" s="17" t="s">
        <v>102</v>
      </c>
      <c r="Q724" s="18" t="s">
        <v>103</v>
      </c>
      <c r="R724" s="17" t="s">
        <v>104</v>
      </c>
      <c r="S724" s="18" t="s">
        <v>33</v>
      </c>
      <c r="T724" s="17" t="s">
        <v>34</v>
      </c>
      <c r="U724" s="18" t="s">
        <v>131</v>
      </c>
      <c r="V724" s="19" t="n">
        <v>226360016</v>
      </c>
      <c r="W724" s="17" t="s">
        <v>156</v>
      </c>
      <c r="X724" s="17" t="n">
        <v>0</v>
      </c>
      <c r="Y724" s="17"/>
      <c r="Z724" s="17" t="n">
        <v>0</v>
      </c>
      <c r="AA724" s="17" t="s">
        <v>38</v>
      </c>
      <c r="AB724" s="17"/>
    </row>
    <row r="725" customFormat="false" ht="15" hidden="false" customHeight="false" outlineLevel="0" collapsed="false">
      <c r="A725" s="1" t="str">
        <f aca="false">OFFSET(Table22,724,14,1,1)&amp;OFFSET(Table22,724,21,1,1)</f>
        <v>43355226360016</v>
      </c>
      <c r="B725" s="1" t="str">
        <f aca="false">OFFSET(Table22,724,14,1,1)&amp;OFFSET(Table22,724,22,1,1)</f>
        <v>43355Facebook»ITPros-Azure Direct-Sponsored Post-Video Ad-Free Account IT Pro - hybrid»1x1»30s»SOC»ALL»CPC»AUT»D»UNK»SS»NA»Trials_ID</v>
      </c>
      <c r="C725" s="1" t="s">
        <v>28</v>
      </c>
      <c r="D725" s="3" t="n">
        <f aca="false">O725+(7-WEEKDAY(O725))</f>
        <v>43358</v>
      </c>
      <c r="E725" s="1" t="str">
        <f aca="false">VLOOKUP(OFFSET(Table22,724,16,1,1),Key!B:D,2,0)</f>
        <v>France</v>
      </c>
      <c r="F725" s="1" t="str">
        <f aca="false">IF(ISNUMBER(SEARCH("Canvas",U725)),"Link",IF(ISNUMBER(SEARCH("Link",U725)),"Link","Not filled properly"))</f>
        <v>Link</v>
      </c>
      <c r="G725" s="1" t="str">
        <f aca="false">IFERROR(VLOOKUP(OFFSET(Table22,724,21,1,1),OFFSET(Table2,0,1,ROWS(Table2),8),2,0),VLOOKUP(OFFSET(Table22,724,22,1,1),Table2,3,0))</f>
        <v>FRA_gaPMG_AZR_AZR_Q1_19_AzureDirect-Trial-Social</v>
      </c>
      <c r="H725" s="1" t="n">
        <f aca="false">IFERROR(VLOOKUP(OFFSET(Table22,724,21,1,1),OFFSET(Table2,0,1,ROWS(Table2),8),3,0),VLOOKUP(OFFSET(Table22,724,22,1,1),Table2,4,0))</f>
        <v>21356941</v>
      </c>
      <c r="I725" s="2" t="n">
        <f aca="false">IFERROR(VLOOKUP(OFFSET(Table22,724,21,1,1),OFFSET(Table2,0,1,ROWS(Table2),8),4,0),VLOOKUP(OFFSET(Table22,724,22,1,1),Table2,5,0))</f>
        <v>720193</v>
      </c>
      <c r="J725" s="3" t="str">
        <f aca="false">IF(ISNUMBER(SEARCH("FACEBOOK",W725)),"Facebook",IF(ISNUMBER(SEARCH("INSTAGRAM",W725)),"Facebook-Instagram","Look at taxonomy"))</f>
        <v>Facebook</v>
      </c>
      <c r="K725" s="3" t="str">
        <f aca="false">IF(ISNUMBER(SEARCH("Facebook",J725)),"3654128","Not Facebook")</f>
        <v>3654128</v>
      </c>
      <c r="L725" s="3" t="str">
        <f aca="false">IFERROR(VLOOKUP(OFFSET(Table22,724,21,1,1),OFFSET(Table2,0,1,ROWS(Table2),8),7,0),VLOOKUP(OFFSET(Table22,724,22,1,1),Table2,8,0))</f>
        <v>AZR_FreeAcctITProFB-AnimatedHybrid-Ch2_FRA_1200x1200_VIA_AZRDirect_French_NA_Facebook_STAN_LEA_T2_1</v>
      </c>
      <c r="M725" s="2" t="n">
        <f aca="false">IFERROR(VLOOKUP(OFFSET(Table22,724,21,1,1),OFFSET(Table2,0,1,ROWS(Table2),8),8,0),VLOOKUP(OFFSET(Table22,724,22,1,1),Table2,9,0))</f>
        <v>104456278</v>
      </c>
      <c r="N725" s="15" t="s">
        <v>29</v>
      </c>
      <c r="O725" s="16" t="n">
        <v>43355</v>
      </c>
      <c r="P725" s="17" t="s">
        <v>102</v>
      </c>
      <c r="Q725" s="18" t="s">
        <v>103</v>
      </c>
      <c r="R725" s="17" t="s">
        <v>104</v>
      </c>
      <c r="S725" s="18" t="s">
        <v>33</v>
      </c>
      <c r="T725" s="17" t="s">
        <v>34</v>
      </c>
      <c r="U725" s="18" t="s">
        <v>131</v>
      </c>
      <c r="V725" s="19" t="n">
        <v>226360016</v>
      </c>
      <c r="W725" s="17" t="s">
        <v>156</v>
      </c>
      <c r="X725" s="17" t="n">
        <v>0</v>
      </c>
      <c r="Y725" s="17"/>
      <c r="Z725" s="17" t="n">
        <v>0</v>
      </c>
      <c r="AA725" s="17" t="s">
        <v>38</v>
      </c>
      <c r="AB725" s="17"/>
    </row>
    <row r="726" customFormat="false" ht="15" hidden="false" customHeight="false" outlineLevel="0" collapsed="false">
      <c r="A726" s="1" t="str">
        <f aca="false">OFFSET(Table22,725,14,1,1)&amp;OFFSET(Table22,725,21,1,1)</f>
        <v>43354226360016</v>
      </c>
      <c r="B726" s="1" t="str">
        <f aca="false">OFFSET(Table22,725,14,1,1)&amp;OFFSET(Table22,725,22,1,1)</f>
        <v>43354Facebook»ITPros-Azure Direct-Sponsored Post-Video Ad-Free Account IT Pro - hybrid»1x1»30s»SOC»ALL»CPC»AUT»D»UNK»SS»NA»Trials_ID</v>
      </c>
      <c r="C726" s="1" t="s">
        <v>28</v>
      </c>
      <c r="D726" s="3" t="n">
        <f aca="false">O726+(7-WEEKDAY(O726))</f>
        <v>43358</v>
      </c>
      <c r="E726" s="1" t="str">
        <f aca="false">VLOOKUP(OFFSET(Table22,725,16,1,1),Key!B:D,2,0)</f>
        <v>France</v>
      </c>
      <c r="F726" s="1" t="str">
        <f aca="false">IF(ISNUMBER(SEARCH("Canvas",U726)),"Link",IF(ISNUMBER(SEARCH("Link",U726)),"Link","Not filled properly"))</f>
        <v>Link</v>
      </c>
      <c r="G726" s="1" t="str">
        <f aca="false">IFERROR(VLOOKUP(OFFSET(Table22,725,21,1,1),OFFSET(Table2,0,1,ROWS(Table2),8),2,0),VLOOKUP(OFFSET(Table22,725,22,1,1),Table2,3,0))</f>
        <v>FRA_gaPMG_AZR_AZR_Q1_19_AzureDirect-Trial-Social</v>
      </c>
      <c r="H726" s="1" t="n">
        <f aca="false">IFERROR(VLOOKUP(OFFSET(Table22,725,21,1,1),OFFSET(Table2,0,1,ROWS(Table2),8),3,0),VLOOKUP(OFFSET(Table22,725,22,1,1),Table2,4,0))</f>
        <v>21356941</v>
      </c>
      <c r="I726" s="2" t="n">
        <f aca="false">IFERROR(VLOOKUP(OFFSET(Table22,725,21,1,1),OFFSET(Table2,0,1,ROWS(Table2),8),4,0),VLOOKUP(OFFSET(Table22,725,22,1,1),Table2,5,0))</f>
        <v>720193</v>
      </c>
      <c r="J726" s="3" t="str">
        <f aca="false">IF(ISNUMBER(SEARCH("FACEBOOK",W726)),"Facebook",IF(ISNUMBER(SEARCH("INSTAGRAM",W726)),"Facebook-Instagram","Look at taxonomy"))</f>
        <v>Facebook</v>
      </c>
      <c r="K726" s="3" t="str">
        <f aca="false">IF(ISNUMBER(SEARCH("Facebook",J726)),"3654128","Not Facebook")</f>
        <v>3654128</v>
      </c>
      <c r="L726" s="3" t="str">
        <f aca="false">IFERROR(VLOOKUP(OFFSET(Table22,725,21,1,1),OFFSET(Table2,0,1,ROWS(Table2),8),7,0),VLOOKUP(OFFSET(Table22,725,22,1,1),Table2,8,0))</f>
        <v>AZR_FreeAcctITProFB-AnimatedHybrid-Ch2_FRA_1200x1200_VIA_AZRDirect_French_NA_Facebook_STAN_LEA_T2_1</v>
      </c>
      <c r="M726" s="2" t="n">
        <f aca="false">IFERROR(VLOOKUP(OFFSET(Table22,725,21,1,1),OFFSET(Table2,0,1,ROWS(Table2),8),8,0),VLOOKUP(OFFSET(Table22,725,22,1,1),Table2,9,0))</f>
        <v>104456278</v>
      </c>
      <c r="N726" s="15" t="s">
        <v>29</v>
      </c>
      <c r="O726" s="16" t="n">
        <v>43354</v>
      </c>
      <c r="P726" s="17" t="s">
        <v>102</v>
      </c>
      <c r="Q726" s="18" t="s">
        <v>103</v>
      </c>
      <c r="R726" s="17" t="s">
        <v>104</v>
      </c>
      <c r="S726" s="18" t="s">
        <v>33</v>
      </c>
      <c r="T726" s="17" t="s">
        <v>34</v>
      </c>
      <c r="U726" s="18" t="s">
        <v>131</v>
      </c>
      <c r="V726" s="19" t="n">
        <v>226360016</v>
      </c>
      <c r="W726" s="17" t="s">
        <v>156</v>
      </c>
      <c r="X726" s="17" t="n">
        <v>0</v>
      </c>
      <c r="Y726" s="17"/>
      <c r="Z726" s="17" t="n">
        <v>0</v>
      </c>
      <c r="AA726" s="17" t="s">
        <v>38</v>
      </c>
      <c r="AB726" s="17"/>
    </row>
    <row r="727" customFormat="false" ht="15" hidden="false" customHeight="false" outlineLevel="0" collapsed="false">
      <c r="A727" s="1" t="str">
        <f aca="false">OFFSET(Table22,726,14,1,1)&amp;OFFSET(Table22,726,21,1,1)</f>
        <v>43353226360016</v>
      </c>
      <c r="B727" s="1" t="str">
        <f aca="false">OFFSET(Table22,726,14,1,1)&amp;OFFSET(Table22,726,22,1,1)</f>
        <v>43353Facebook»ITPros-Azure Direct-Sponsored Post-Video Ad-Free Account IT Pro - hybrid»1x1»30s»SOC»ALL»CPC»AUT»D»UNK»SS»NA»Trials_ID</v>
      </c>
      <c r="C727" s="1" t="s">
        <v>28</v>
      </c>
      <c r="D727" s="3" t="n">
        <f aca="false">O727+(7-WEEKDAY(O727))</f>
        <v>43358</v>
      </c>
      <c r="E727" s="1" t="str">
        <f aca="false">VLOOKUP(OFFSET(Table22,726,16,1,1),Key!B:D,2,0)</f>
        <v>France</v>
      </c>
      <c r="F727" s="1" t="str">
        <f aca="false">IF(ISNUMBER(SEARCH("Canvas",U727)),"Link",IF(ISNUMBER(SEARCH("Link",U727)),"Link","Not filled properly"))</f>
        <v>Link</v>
      </c>
      <c r="G727" s="1" t="str">
        <f aca="false">IFERROR(VLOOKUP(OFFSET(Table22,726,21,1,1),OFFSET(Table2,0,1,ROWS(Table2),8),2,0),VLOOKUP(OFFSET(Table22,726,22,1,1),Table2,3,0))</f>
        <v>FRA_gaPMG_AZR_AZR_Q1_19_AzureDirect-Trial-Social</v>
      </c>
      <c r="H727" s="1" t="n">
        <f aca="false">IFERROR(VLOOKUP(OFFSET(Table22,726,21,1,1),OFFSET(Table2,0,1,ROWS(Table2),8),3,0),VLOOKUP(OFFSET(Table22,726,22,1,1),Table2,4,0))</f>
        <v>21356941</v>
      </c>
      <c r="I727" s="2" t="n">
        <f aca="false">IFERROR(VLOOKUP(OFFSET(Table22,726,21,1,1),OFFSET(Table2,0,1,ROWS(Table2),8),4,0),VLOOKUP(OFFSET(Table22,726,22,1,1),Table2,5,0))</f>
        <v>720193</v>
      </c>
      <c r="J727" s="3" t="str">
        <f aca="false">IF(ISNUMBER(SEARCH("FACEBOOK",W727)),"Facebook",IF(ISNUMBER(SEARCH("INSTAGRAM",W727)),"Facebook-Instagram","Look at taxonomy"))</f>
        <v>Facebook</v>
      </c>
      <c r="K727" s="3" t="str">
        <f aca="false">IF(ISNUMBER(SEARCH("Facebook",J727)),"3654128","Not Facebook")</f>
        <v>3654128</v>
      </c>
      <c r="L727" s="3" t="str">
        <f aca="false">IFERROR(VLOOKUP(OFFSET(Table22,726,21,1,1),OFFSET(Table2,0,1,ROWS(Table2),8),7,0),VLOOKUP(OFFSET(Table22,726,22,1,1),Table2,8,0))</f>
        <v>AZR_FreeAcctITProFB-AnimatedHybrid-Ch2_FRA_1200x1200_VIA_AZRDirect_French_NA_Facebook_STAN_LEA_T2_1</v>
      </c>
      <c r="M727" s="2" t="n">
        <f aca="false">IFERROR(VLOOKUP(OFFSET(Table22,726,21,1,1),OFFSET(Table2,0,1,ROWS(Table2),8),8,0),VLOOKUP(OFFSET(Table22,726,22,1,1),Table2,9,0))</f>
        <v>104456278</v>
      </c>
      <c r="N727" s="15" t="s">
        <v>29</v>
      </c>
      <c r="O727" s="16" t="n">
        <v>43353</v>
      </c>
      <c r="P727" s="17" t="s">
        <v>102</v>
      </c>
      <c r="Q727" s="18" t="s">
        <v>103</v>
      </c>
      <c r="R727" s="17" t="s">
        <v>104</v>
      </c>
      <c r="S727" s="18" t="s">
        <v>33</v>
      </c>
      <c r="T727" s="17" t="s">
        <v>34</v>
      </c>
      <c r="U727" s="18" t="s">
        <v>131</v>
      </c>
      <c r="V727" s="19" t="n">
        <v>226360016</v>
      </c>
      <c r="W727" s="17" t="s">
        <v>156</v>
      </c>
      <c r="X727" s="17" t="n">
        <v>2525</v>
      </c>
      <c r="Y727" s="17" t="n">
        <v>40</v>
      </c>
      <c r="Z727" s="17" t="n">
        <v>16.1</v>
      </c>
      <c r="AA727" s="17" t="s">
        <v>38</v>
      </c>
      <c r="AB727" s="17"/>
    </row>
    <row r="728" customFormat="false" ht="15" hidden="false" customHeight="false" outlineLevel="0" collapsed="false">
      <c r="A728" s="1" t="str">
        <f aca="false">OFFSET(Table22,727,14,1,1)&amp;OFFSET(Table22,727,21,1,1)</f>
        <v>43352226360016</v>
      </c>
      <c r="B728" s="1" t="str">
        <f aca="false">OFFSET(Table22,727,14,1,1)&amp;OFFSET(Table22,727,22,1,1)</f>
        <v>43352Facebook»ITPros-Azure Direct-Sponsored Post-Video Ad-Free Account IT Pro - hybrid»1x1»30s»SOC»ALL»CPC»AUT»D»UNK»SS»NA»Trials_ID</v>
      </c>
      <c r="C728" s="1" t="s">
        <v>28</v>
      </c>
      <c r="D728" s="3" t="n">
        <f aca="false">O728+(7-WEEKDAY(O728))</f>
        <v>43358</v>
      </c>
      <c r="E728" s="1" t="str">
        <f aca="false">VLOOKUP(OFFSET(Table22,727,16,1,1),Key!B:D,2,0)</f>
        <v>France</v>
      </c>
      <c r="F728" s="1" t="str">
        <f aca="false">IF(ISNUMBER(SEARCH("Canvas",U728)),"Link",IF(ISNUMBER(SEARCH("Link",U728)),"Link","Not filled properly"))</f>
        <v>Link</v>
      </c>
      <c r="G728" s="1" t="str">
        <f aca="false">IFERROR(VLOOKUP(OFFSET(Table22,727,21,1,1),OFFSET(Table2,0,1,ROWS(Table2),8),2,0),VLOOKUP(OFFSET(Table22,727,22,1,1),Table2,3,0))</f>
        <v>FRA_gaPMG_AZR_AZR_Q1_19_AzureDirect-Trial-Social</v>
      </c>
      <c r="H728" s="1" t="n">
        <f aca="false">IFERROR(VLOOKUP(OFFSET(Table22,727,21,1,1),OFFSET(Table2,0,1,ROWS(Table2),8),3,0),VLOOKUP(OFFSET(Table22,727,22,1,1),Table2,4,0))</f>
        <v>21356941</v>
      </c>
      <c r="I728" s="2" t="n">
        <f aca="false">IFERROR(VLOOKUP(OFFSET(Table22,727,21,1,1),OFFSET(Table2,0,1,ROWS(Table2),8),4,0),VLOOKUP(OFFSET(Table22,727,22,1,1),Table2,5,0))</f>
        <v>720193</v>
      </c>
      <c r="J728" s="3" t="str">
        <f aca="false">IF(ISNUMBER(SEARCH("FACEBOOK",W728)),"Facebook",IF(ISNUMBER(SEARCH("INSTAGRAM",W728)),"Facebook-Instagram","Look at taxonomy"))</f>
        <v>Facebook</v>
      </c>
      <c r="K728" s="3" t="str">
        <f aca="false">IF(ISNUMBER(SEARCH("Facebook",J728)),"3654128","Not Facebook")</f>
        <v>3654128</v>
      </c>
      <c r="L728" s="3" t="str">
        <f aca="false">IFERROR(VLOOKUP(OFFSET(Table22,727,21,1,1),OFFSET(Table2,0,1,ROWS(Table2),8),7,0),VLOOKUP(OFFSET(Table22,727,22,1,1),Table2,8,0))</f>
        <v>AZR_FreeAcctITProFB-AnimatedHybrid-Ch2_FRA_1200x1200_VIA_AZRDirect_French_NA_Facebook_STAN_LEA_T2_1</v>
      </c>
      <c r="M728" s="2" t="n">
        <f aca="false">IFERROR(VLOOKUP(OFFSET(Table22,727,21,1,1),OFFSET(Table2,0,1,ROWS(Table2),8),8,0),VLOOKUP(OFFSET(Table22,727,22,1,1),Table2,9,0))</f>
        <v>104456278</v>
      </c>
      <c r="N728" s="15" t="s">
        <v>29</v>
      </c>
      <c r="O728" s="16" t="n">
        <v>43352</v>
      </c>
      <c r="P728" s="17" t="s">
        <v>102</v>
      </c>
      <c r="Q728" s="18" t="s">
        <v>103</v>
      </c>
      <c r="R728" s="17" t="s">
        <v>104</v>
      </c>
      <c r="S728" s="18" t="s">
        <v>33</v>
      </c>
      <c r="T728" s="17" t="s">
        <v>34</v>
      </c>
      <c r="U728" s="18" t="s">
        <v>131</v>
      </c>
      <c r="V728" s="19" t="n">
        <v>226360016</v>
      </c>
      <c r="W728" s="17" t="s">
        <v>156</v>
      </c>
      <c r="X728" s="17" t="n">
        <v>9360</v>
      </c>
      <c r="Y728" s="17" t="n">
        <v>147</v>
      </c>
      <c r="Z728" s="17" t="n">
        <v>60.7</v>
      </c>
      <c r="AA728" s="17" t="s">
        <v>38</v>
      </c>
      <c r="AB728" s="17"/>
    </row>
    <row r="729" customFormat="false" ht="15" hidden="false" customHeight="false" outlineLevel="0" collapsed="false">
      <c r="A729" s="1" t="str">
        <f aca="false">OFFSET(Table22,728,14,1,1)&amp;OFFSET(Table22,728,21,1,1)</f>
        <v>43358226360010</v>
      </c>
      <c r="B729" s="1" t="str">
        <f aca="false">OFFSET(Table22,728,14,1,1)&amp;OFFSET(Table22,728,22,1,1)</f>
        <v>43358Facebook»ITPros-Azure Direct-Sponsored Post-Video Ad-Free Account IT Pro - Migration»1x1»30s»SOC»ALL»CPC»AUT»D»UNK»SS»NA»Trials_ID</v>
      </c>
      <c r="C729" s="1" t="s">
        <v>28</v>
      </c>
      <c r="D729" s="3" t="n">
        <f aca="false">O729+(7-WEEKDAY(O729))</f>
        <v>43358</v>
      </c>
      <c r="E729" s="1" t="str">
        <f aca="false">VLOOKUP(OFFSET(Table22,728,16,1,1),Key!B:D,2,0)</f>
        <v>France</v>
      </c>
      <c r="F729" s="1" t="str">
        <f aca="false">IF(ISNUMBER(SEARCH("Canvas",U729)),"Link",IF(ISNUMBER(SEARCH("Link",U729)),"Link","Not filled properly"))</f>
        <v>Link</v>
      </c>
      <c r="G729" s="1" t="str">
        <f aca="false">IFERROR(VLOOKUP(OFFSET(Table22,728,21,1,1),OFFSET(Table2,0,1,ROWS(Table2),8),2,0),VLOOKUP(OFFSET(Table22,728,22,1,1),Table2,3,0))</f>
        <v>FRA_gaPMG_AZR_AZR_Q1_19_AzureDirect-Trial-Social</v>
      </c>
      <c r="H729" s="1" t="n">
        <f aca="false">IFERROR(VLOOKUP(OFFSET(Table22,728,21,1,1),OFFSET(Table2,0,1,ROWS(Table2),8),3,0),VLOOKUP(OFFSET(Table22,728,22,1,1),Table2,4,0))</f>
        <v>21356941</v>
      </c>
      <c r="I729" s="2" t="n">
        <f aca="false">IFERROR(VLOOKUP(OFFSET(Table22,728,21,1,1),OFFSET(Table2,0,1,ROWS(Table2),8),4,0),VLOOKUP(OFFSET(Table22,728,22,1,1),Table2,5,0))</f>
        <v>720193</v>
      </c>
      <c r="J729" s="3" t="str">
        <f aca="false">IF(ISNUMBER(SEARCH("FACEBOOK",W729)),"Facebook",IF(ISNUMBER(SEARCH("INSTAGRAM",W729)),"Facebook-Instagram","Look at taxonomy"))</f>
        <v>Facebook</v>
      </c>
      <c r="K729" s="3" t="str">
        <f aca="false">IF(ISNUMBER(SEARCH("Facebook",J729)),"3654128","Not Facebook")</f>
        <v>3654128</v>
      </c>
      <c r="L729" s="3" t="str">
        <f aca="false">IFERROR(VLOOKUP(OFFSET(Table22,728,21,1,1),OFFSET(Table2,0,1,ROWS(Table2),8),7,0),VLOOKUP(OFFSET(Table22,728,22,1,1),Table2,8,0))</f>
        <v>AZR_FreeAcctITProFB-AnimatedMigration-Ch3_FRA_1200x1200_VIA_AZRDirect_French_NA_Facebook_STAN_LEA_T3_1</v>
      </c>
      <c r="M729" s="2" t="n">
        <f aca="false">IFERROR(VLOOKUP(OFFSET(Table22,728,21,1,1),OFFSET(Table2,0,1,ROWS(Table2),8),8,0),VLOOKUP(OFFSET(Table22,728,22,1,1),Table2,9,0))</f>
        <v>104458003</v>
      </c>
      <c r="N729" s="15" t="s">
        <v>29</v>
      </c>
      <c r="O729" s="16" t="n">
        <v>43358</v>
      </c>
      <c r="P729" s="17" t="s">
        <v>102</v>
      </c>
      <c r="Q729" s="18" t="s">
        <v>103</v>
      </c>
      <c r="R729" s="17" t="s">
        <v>104</v>
      </c>
      <c r="S729" s="18" t="s">
        <v>33</v>
      </c>
      <c r="T729" s="17" t="s">
        <v>34</v>
      </c>
      <c r="U729" s="18" t="s">
        <v>131</v>
      </c>
      <c r="V729" s="19" t="n">
        <v>226360010</v>
      </c>
      <c r="W729" s="17" t="s">
        <v>157</v>
      </c>
      <c r="X729" s="17" t="n">
        <v>0</v>
      </c>
      <c r="Y729" s="17"/>
      <c r="Z729" s="17" t="n">
        <v>0</v>
      </c>
      <c r="AA729" s="17" t="s">
        <v>38</v>
      </c>
      <c r="AB729" s="17"/>
    </row>
    <row r="730" customFormat="false" ht="15" hidden="false" customHeight="false" outlineLevel="0" collapsed="false">
      <c r="A730" s="1" t="str">
        <f aca="false">OFFSET(Table22,729,14,1,1)&amp;OFFSET(Table22,729,21,1,1)</f>
        <v>43357226360010</v>
      </c>
      <c r="B730" s="1" t="str">
        <f aca="false">OFFSET(Table22,729,14,1,1)&amp;OFFSET(Table22,729,22,1,1)</f>
        <v>43357Facebook»ITPros-Azure Direct-Sponsored Post-Video Ad-Free Account IT Pro - Migration»1x1»30s»SOC»ALL»CPC»AUT»D»UNK»SS»NA»Trials_ID</v>
      </c>
      <c r="C730" s="1" t="s">
        <v>28</v>
      </c>
      <c r="D730" s="3" t="n">
        <f aca="false">O730+(7-WEEKDAY(O730))</f>
        <v>43358</v>
      </c>
      <c r="E730" s="1" t="str">
        <f aca="false">VLOOKUP(OFFSET(Table22,729,16,1,1),Key!B:D,2,0)</f>
        <v>France</v>
      </c>
      <c r="F730" s="1" t="str">
        <f aca="false">IF(ISNUMBER(SEARCH("Canvas",U730)),"Link",IF(ISNUMBER(SEARCH("Link",U730)),"Link","Not filled properly"))</f>
        <v>Link</v>
      </c>
      <c r="G730" s="1" t="str">
        <f aca="false">IFERROR(VLOOKUP(OFFSET(Table22,729,21,1,1),OFFSET(Table2,0,1,ROWS(Table2),8),2,0),VLOOKUP(OFFSET(Table22,729,22,1,1),Table2,3,0))</f>
        <v>FRA_gaPMG_AZR_AZR_Q1_19_AzureDirect-Trial-Social</v>
      </c>
      <c r="H730" s="1" t="n">
        <f aca="false">IFERROR(VLOOKUP(OFFSET(Table22,729,21,1,1),OFFSET(Table2,0,1,ROWS(Table2),8),3,0),VLOOKUP(OFFSET(Table22,729,22,1,1),Table2,4,0))</f>
        <v>21356941</v>
      </c>
      <c r="I730" s="2" t="n">
        <f aca="false">IFERROR(VLOOKUP(OFFSET(Table22,729,21,1,1),OFFSET(Table2,0,1,ROWS(Table2),8),4,0),VLOOKUP(OFFSET(Table22,729,22,1,1),Table2,5,0))</f>
        <v>720193</v>
      </c>
      <c r="J730" s="3" t="str">
        <f aca="false">IF(ISNUMBER(SEARCH("FACEBOOK",W730)),"Facebook",IF(ISNUMBER(SEARCH("INSTAGRAM",W730)),"Facebook-Instagram","Look at taxonomy"))</f>
        <v>Facebook</v>
      </c>
      <c r="K730" s="3" t="str">
        <f aca="false">IF(ISNUMBER(SEARCH("Facebook",J730)),"3654128","Not Facebook")</f>
        <v>3654128</v>
      </c>
      <c r="L730" s="3" t="str">
        <f aca="false">IFERROR(VLOOKUP(OFFSET(Table22,729,21,1,1),OFFSET(Table2,0,1,ROWS(Table2),8),7,0),VLOOKUP(OFFSET(Table22,729,22,1,1),Table2,8,0))</f>
        <v>AZR_FreeAcctITProFB-AnimatedMigration-Ch3_FRA_1200x1200_VIA_AZRDirect_French_NA_Facebook_STAN_LEA_T3_1</v>
      </c>
      <c r="M730" s="2" t="n">
        <f aca="false">IFERROR(VLOOKUP(OFFSET(Table22,729,21,1,1),OFFSET(Table2,0,1,ROWS(Table2),8),8,0),VLOOKUP(OFFSET(Table22,729,22,1,1),Table2,9,0))</f>
        <v>104458003</v>
      </c>
      <c r="N730" s="15" t="s">
        <v>29</v>
      </c>
      <c r="O730" s="16" t="n">
        <v>43357</v>
      </c>
      <c r="P730" s="17" t="s">
        <v>102</v>
      </c>
      <c r="Q730" s="18" t="s">
        <v>103</v>
      </c>
      <c r="R730" s="17" t="s">
        <v>104</v>
      </c>
      <c r="S730" s="18" t="s">
        <v>33</v>
      </c>
      <c r="T730" s="17" t="s">
        <v>34</v>
      </c>
      <c r="U730" s="18" t="s">
        <v>131</v>
      </c>
      <c r="V730" s="19" t="n">
        <v>226360010</v>
      </c>
      <c r="W730" s="17" t="s">
        <v>157</v>
      </c>
      <c r="X730" s="17" t="n">
        <v>0</v>
      </c>
      <c r="Y730" s="17"/>
      <c r="Z730" s="17" t="n">
        <v>0</v>
      </c>
      <c r="AA730" s="17" t="s">
        <v>38</v>
      </c>
      <c r="AB730" s="17"/>
    </row>
    <row r="731" customFormat="false" ht="15" hidden="false" customHeight="false" outlineLevel="0" collapsed="false">
      <c r="A731" s="1" t="str">
        <f aca="false">OFFSET(Table22,730,14,1,1)&amp;OFFSET(Table22,730,21,1,1)</f>
        <v>43356226360010</v>
      </c>
      <c r="B731" s="1" t="str">
        <f aca="false">OFFSET(Table22,730,14,1,1)&amp;OFFSET(Table22,730,22,1,1)</f>
        <v>43356Facebook»ITPros-Azure Direct-Sponsored Post-Video Ad-Free Account IT Pro - Migration»1x1»30s»SOC»ALL»CPC»AUT»D»UNK»SS»NA»Trials_ID</v>
      </c>
      <c r="C731" s="1" t="s">
        <v>28</v>
      </c>
      <c r="D731" s="3" t="n">
        <f aca="false">O731+(7-WEEKDAY(O731))</f>
        <v>43358</v>
      </c>
      <c r="E731" s="1" t="str">
        <f aca="false">VLOOKUP(OFFSET(Table22,730,16,1,1),Key!B:D,2,0)</f>
        <v>France</v>
      </c>
      <c r="F731" s="1" t="str">
        <f aca="false">IF(ISNUMBER(SEARCH("Canvas",U731)),"Link",IF(ISNUMBER(SEARCH("Link",U731)),"Link","Not filled properly"))</f>
        <v>Link</v>
      </c>
      <c r="G731" s="1" t="str">
        <f aca="false">IFERROR(VLOOKUP(OFFSET(Table22,730,21,1,1),OFFSET(Table2,0,1,ROWS(Table2),8),2,0),VLOOKUP(OFFSET(Table22,730,22,1,1),Table2,3,0))</f>
        <v>FRA_gaPMG_AZR_AZR_Q1_19_AzureDirect-Trial-Social</v>
      </c>
      <c r="H731" s="1" t="n">
        <f aca="false">IFERROR(VLOOKUP(OFFSET(Table22,730,21,1,1),OFFSET(Table2,0,1,ROWS(Table2),8),3,0),VLOOKUP(OFFSET(Table22,730,22,1,1),Table2,4,0))</f>
        <v>21356941</v>
      </c>
      <c r="I731" s="2" t="n">
        <f aca="false">IFERROR(VLOOKUP(OFFSET(Table22,730,21,1,1),OFFSET(Table2,0,1,ROWS(Table2),8),4,0),VLOOKUP(OFFSET(Table22,730,22,1,1),Table2,5,0))</f>
        <v>720193</v>
      </c>
      <c r="J731" s="3" t="str">
        <f aca="false">IF(ISNUMBER(SEARCH("FACEBOOK",W731)),"Facebook",IF(ISNUMBER(SEARCH("INSTAGRAM",W731)),"Facebook-Instagram","Look at taxonomy"))</f>
        <v>Facebook</v>
      </c>
      <c r="K731" s="3" t="str">
        <f aca="false">IF(ISNUMBER(SEARCH("Facebook",J731)),"3654128","Not Facebook")</f>
        <v>3654128</v>
      </c>
      <c r="L731" s="3" t="str">
        <f aca="false">IFERROR(VLOOKUP(OFFSET(Table22,730,21,1,1),OFFSET(Table2,0,1,ROWS(Table2),8),7,0),VLOOKUP(OFFSET(Table22,730,22,1,1),Table2,8,0))</f>
        <v>AZR_FreeAcctITProFB-AnimatedMigration-Ch3_FRA_1200x1200_VIA_AZRDirect_French_NA_Facebook_STAN_LEA_T3_1</v>
      </c>
      <c r="M731" s="2" t="n">
        <f aca="false">IFERROR(VLOOKUP(OFFSET(Table22,730,21,1,1),OFFSET(Table2,0,1,ROWS(Table2),8),8,0),VLOOKUP(OFFSET(Table22,730,22,1,1),Table2,9,0))</f>
        <v>104458003</v>
      </c>
      <c r="N731" s="15" t="s">
        <v>29</v>
      </c>
      <c r="O731" s="16" t="n">
        <v>43356</v>
      </c>
      <c r="P731" s="17" t="s">
        <v>102</v>
      </c>
      <c r="Q731" s="18" t="s">
        <v>103</v>
      </c>
      <c r="R731" s="17" t="s">
        <v>104</v>
      </c>
      <c r="S731" s="18" t="s">
        <v>33</v>
      </c>
      <c r="T731" s="17" t="s">
        <v>34</v>
      </c>
      <c r="U731" s="18" t="s">
        <v>131</v>
      </c>
      <c r="V731" s="19" t="n">
        <v>226360010</v>
      </c>
      <c r="W731" s="17" t="s">
        <v>157</v>
      </c>
      <c r="X731" s="17" t="n">
        <v>0</v>
      </c>
      <c r="Y731" s="17"/>
      <c r="Z731" s="17" t="n">
        <v>0</v>
      </c>
      <c r="AA731" s="17" t="s">
        <v>38</v>
      </c>
      <c r="AB731" s="17"/>
    </row>
    <row r="732" customFormat="false" ht="15" hidden="false" customHeight="false" outlineLevel="0" collapsed="false">
      <c r="A732" s="1" t="str">
        <f aca="false">OFFSET(Table22,731,14,1,1)&amp;OFFSET(Table22,731,21,1,1)</f>
        <v>43355226360010</v>
      </c>
      <c r="B732" s="1" t="str">
        <f aca="false">OFFSET(Table22,731,14,1,1)&amp;OFFSET(Table22,731,22,1,1)</f>
        <v>43355Facebook»ITPros-Azure Direct-Sponsored Post-Video Ad-Free Account IT Pro - Migration»1x1»30s»SOC»ALL»CPC»AUT»D»UNK»SS»NA»Trials_ID</v>
      </c>
      <c r="C732" s="1" t="s">
        <v>28</v>
      </c>
      <c r="D732" s="3" t="n">
        <f aca="false">O732+(7-WEEKDAY(O732))</f>
        <v>43358</v>
      </c>
      <c r="E732" s="1" t="str">
        <f aca="false">VLOOKUP(OFFSET(Table22,731,16,1,1),Key!B:D,2,0)</f>
        <v>France</v>
      </c>
      <c r="F732" s="1" t="str">
        <f aca="false">IF(ISNUMBER(SEARCH("Canvas",U732)),"Link",IF(ISNUMBER(SEARCH("Link",U732)),"Link","Not filled properly"))</f>
        <v>Link</v>
      </c>
      <c r="G732" s="1" t="str">
        <f aca="false">IFERROR(VLOOKUP(OFFSET(Table22,731,21,1,1),OFFSET(Table2,0,1,ROWS(Table2),8),2,0),VLOOKUP(OFFSET(Table22,731,22,1,1),Table2,3,0))</f>
        <v>FRA_gaPMG_AZR_AZR_Q1_19_AzureDirect-Trial-Social</v>
      </c>
      <c r="H732" s="1" t="n">
        <f aca="false">IFERROR(VLOOKUP(OFFSET(Table22,731,21,1,1),OFFSET(Table2,0,1,ROWS(Table2),8),3,0),VLOOKUP(OFFSET(Table22,731,22,1,1),Table2,4,0))</f>
        <v>21356941</v>
      </c>
      <c r="I732" s="2" t="n">
        <f aca="false">IFERROR(VLOOKUP(OFFSET(Table22,731,21,1,1),OFFSET(Table2,0,1,ROWS(Table2),8),4,0),VLOOKUP(OFFSET(Table22,731,22,1,1),Table2,5,0))</f>
        <v>720193</v>
      </c>
      <c r="J732" s="3" t="str">
        <f aca="false">IF(ISNUMBER(SEARCH("FACEBOOK",W732)),"Facebook",IF(ISNUMBER(SEARCH("INSTAGRAM",W732)),"Facebook-Instagram","Look at taxonomy"))</f>
        <v>Facebook</v>
      </c>
      <c r="K732" s="3" t="str">
        <f aca="false">IF(ISNUMBER(SEARCH("Facebook",J732)),"3654128","Not Facebook")</f>
        <v>3654128</v>
      </c>
      <c r="L732" s="3" t="str">
        <f aca="false">IFERROR(VLOOKUP(OFFSET(Table22,731,21,1,1),OFFSET(Table2,0,1,ROWS(Table2),8),7,0),VLOOKUP(OFFSET(Table22,731,22,1,1),Table2,8,0))</f>
        <v>AZR_FreeAcctITProFB-AnimatedMigration-Ch3_FRA_1200x1200_VIA_AZRDirect_French_NA_Facebook_STAN_LEA_T3_1</v>
      </c>
      <c r="M732" s="2" t="n">
        <f aca="false">IFERROR(VLOOKUP(OFFSET(Table22,731,21,1,1),OFFSET(Table2,0,1,ROWS(Table2),8),8,0),VLOOKUP(OFFSET(Table22,731,22,1,1),Table2,9,0))</f>
        <v>104458003</v>
      </c>
      <c r="N732" s="15" t="s">
        <v>29</v>
      </c>
      <c r="O732" s="16" t="n">
        <v>43355</v>
      </c>
      <c r="P732" s="17" t="s">
        <v>102</v>
      </c>
      <c r="Q732" s="18" t="s">
        <v>103</v>
      </c>
      <c r="R732" s="17" t="s">
        <v>104</v>
      </c>
      <c r="S732" s="18" t="s">
        <v>33</v>
      </c>
      <c r="T732" s="17" t="s">
        <v>34</v>
      </c>
      <c r="U732" s="18" t="s">
        <v>131</v>
      </c>
      <c r="V732" s="19" t="n">
        <v>226360010</v>
      </c>
      <c r="W732" s="17" t="s">
        <v>157</v>
      </c>
      <c r="X732" s="17" t="n">
        <v>0</v>
      </c>
      <c r="Y732" s="17"/>
      <c r="Z732" s="17" t="n">
        <v>0</v>
      </c>
      <c r="AA732" s="17" t="s">
        <v>38</v>
      </c>
      <c r="AB732" s="17"/>
    </row>
    <row r="733" customFormat="false" ht="15" hidden="false" customHeight="false" outlineLevel="0" collapsed="false">
      <c r="A733" s="1" t="str">
        <f aca="false">OFFSET(Table22,732,14,1,1)&amp;OFFSET(Table22,732,21,1,1)</f>
        <v>43354226360010</v>
      </c>
      <c r="B733" s="1" t="str">
        <f aca="false">OFFSET(Table22,732,14,1,1)&amp;OFFSET(Table22,732,22,1,1)</f>
        <v>43354Facebook»ITPros-Azure Direct-Sponsored Post-Video Ad-Free Account IT Pro - Migration»1x1»30s»SOC»ALL»CPC»AUT»D»UNK»SS»NA»Trials_ID</v>
      </c>
      <c r="C733" s="1" t="s">
        <v>28</v>
      </c>
      <c r="D733" s="3" t="n">
        <f aca="false">O733+(7-WEEKDAY(O733))</f>
        <v>43358</v>
      </c>
      <c r="E733" s="1" t="str">
        <f aca="false">VLOOKUP(OFFSET(Table22,732,16,1,1),Key!B:D,2,0)</f>
        <v>France</v>
      </c>
      <c r="F733" s="1" t="str">
        <f aca="false">IF(ISNUMBER(SEARCH("Canvas",U733)),"Link",IF(ISNUMBER(SEARCH("Link",U733)),"Link","Not filled properly"))</f>
        <v>Link</v>
      </c>
      <c r="G733" s="1" t="str">
        <f aca="false">IFERROR(VLOOKUP(OFFSET(Table22,732,21,1,1),OFFSET(Table2,0,1,ROWS(Table2),8),2,0),VLOOKUP(OFFSET(Table22,732,22,1,1),Table2,3,0))</f>
        <v>FRA_gaPMG_AZR_AZR_Q1_19_AzureDirect-Trial-Social</v>
      </c>
      <c r="H733" s="1" t="n">
        <f aca="false">IFERROR(VLOOKUP(OFFSET(Table22,732,21,1,1),OFFSET(Table2,0,1,ROWS(Table2),8),3,0),VLOOKUP(OFFSET(Table22,732,22,1,1),Table2,4,0))</f>
        <v>21356941</v>
      </c>
      <c r="I733" s="2" t="n">
        <f aca="false">IFERROR(VLOOKUP(OFFSET(Table22,732,21,1,1),OFFSET(Table2,0,1,ROWS(Table2),8),4,0),VLOOKUP(OFFSET(Table22,732,22,1,1),Table2,5,0))</f>
        <v>720193</v>
      </c>
      <c r="J733" s="3" t="str">
        <f aca="false">IF(ISNUMBER(SEARCH("FACEBOOK",W733)),"Facebook",IF(ISNUMBER(SEARCH("INSTAGRAM",W733)),"Facebook-Instagram","Look at taxonomy"))</f>
        <v>Facebook</v>
      </c>
      <c r="K733" s="3" t="str">
        <f aca="false">IF(ISNUMBER(SEARCH("Facebook",J733)),"3654128","Not Facebook")</f>
        <v>3654128</v>
      </c>
      <c r="L733" s="3" t="str">
        <f aca="false">IFERROR(VLOOKUP(OFFSET(Table22,732,21,1,1),OFFSET(Table2,0,1,ROWS(Table2),8),7,0),VLOOKUP(OFFSET(Table22,732,22,1,1),Table2,8,0))</f>
        <v>AZR_FreeAcctITProFB-AnimatedMigration-Ch3_FRA_1200x1200_VIA_AZRDirect_French_NA_Facebook_STAN_LEA_T3_1</v>
      </c>
      <c r="M733" s="2" t="n">
        <f aca="false">IFERROR(VLOOKUP(OFFSET(Table22,732,21,1,1),OFFSET(Table2,0,1,ROWS(Table2),8),8,0),VLOOKUP(OFFSET(Table22,732,22,1,1),Table2,9,0))</f>
        <v>104458003</v>
      </c>
      <c r="N733" s="15" t="s">
        <v>29</v>
      </c>
      <c r="O733" s="16" t="n">
        <v>43354</v>
      </c>
      <c r="P733" s="17" t="s">
        <v>102</v>
      </c>
      <c r="Q733" s="18" t="s">
        <v>103</v>
      </c>
      <c r="R733" s="17" t="s">
        <v>104</v>
      </c>
      <c r="S733" s="18" t="s">
        <v>33</v>
      </c>
      <c r="T733" s="17" t="s">
        <v>34</v>
      </c>
      <c r="U733" s="18" t="s">
        <v>131</v>
      </c>
      <c r="V733" s="19" t="n">
        <v>226360010</v>
      </c>
      <c r="W733" s="17" t="s">
        <v>157</v>
      </c>
      <c r="X733" s="17" t="n">
        <v>0</v>
      </c>
      <c r="Y733" s="17"/>
      <c r="Z733" s="17" t="n">
        <v>0</v>
      </c>
      <c r="AA733" s="17" t="s">
        <v>38</v>
      </c>
      <c r="AB733" s="17"/>
    </row>
    <row r="734" customFormat="false" ht="15" hidden="false" customHeight="false" outlineLevel="0" collapsed="false">
      <c r="A734" s="1" t="str">
        <f aca="false">OFFSET(Table22,733,14,1,1)&amp;OFFSET(Table22,733,21,1,1)</f>
        <v>43353226360010</v>
      </c>
      <c r="B734" s="1" t="str">
        <f aca="false">OFFSET(Table22,733,14,1,1)&amp;OFFSET(Table22,733,22,1,1)</f>
        <v>43353Facebook»ITPros-Azure Direct-Sponsored Post-Video Ad-Free Account IT Pro - Migration»1x1»30s»SOC»ALL»CPC»AUT»D»UNK»SS»NA»Trials_ID</v>
      </c>
      <c r="C734" s="1" t="s">
        <v>28</v>
      </c>
      <c r="D734" s="3" t="n">
        <f aca="false">O734+(7-WEEKDAY(O734))</f>
        <v>43358</v>
      </c>
      <c r="E734" s="1" t="str">
        <f aca="false">VLOOKUP(OFFSET(Table22,733,16,1,1),Key!B:D,2,0)</f>
        <v>France</v>
      </c>
      <c r="F734" s="1" t="str">
        <f aca="false">IF(ISNUMBER(SEARCH("Canvas",U734)),"Link",IF(ISNUMBER(SEARCH("Link",U734)),"Link","Not filled properly"))</f>
        <v>Link</v>
      </c>
      <c r="G734" s="1" t="str">
        <f aca="false">IFERROR(VLOOKUP(OFFSET(Table22,733,21,1,1),OFFSET(Table2,0,1,ROWS(Table2),8),2,0),VLOOKUP(OFFSET(Table22,733,22,1,1),Table2,3,0))</f>
        <v>FRA_gaPMG_AZR_AZR_Q1_19_AzureDirect-Trial-Social</v>
      </c>
      <c r="H734" s="1" t="n">
        <f aca="false">IFERROR(VLOOKUP(OFFSET(Table22,733,21,1,1),OFFSET(Table2,0,1,ROWS(Table2),8),3,0),VLOOKUP(OFFSET(Table22,733,22,1,1),Table2,4,0))</f>
        <v>21356941</v>
      </c>
      <c r="I734" s="2" t="n">
        <f aca="false">IFERROR(VLOOKUP(OFFSET(Table22,733,21,1,1),OFFSET(Table2,0,1,ROWS(Table2),8),4,0),VLOOKUP(OFFSET(Table22,733,22,1,1),Table2,5,0))</f>
        <v>720193</v>
      </c>
      <c r="J734" s="3" t="str">
        <f aca="false">IF(ISNUMBER(SEARCH("FACEBOOK",W734)),"Facebook",IF(ISNUMBER(SEARCH("INSTAGRAM",W734)),"Facebook-Instagram","Look at taxonomy"))</f>
        <v>Facebook</v>
      </c>
      <c r="K734" s="3" t="str">
        <f aca="false">IF(ISNUMBER(SEARCH("Facebook",J734)),"3654128","Not Facebook")</f>
        <v>3654128</v>
      </c>
      <c r="L734" s="3" t="str">
        <f aca="false">IFERROR(VLOOKUP(OFFSET(Table22,733,21,1,1),OFFSET(Table2,0,1,ROWS(Table2),8),7,0),VLOOKUP(OFFSET(Table22,733,22,1,1),Table2,8,0))</f>
        <v>AZR_FreeAcctITProFB-AnimatedMigration-Ch3_FRA_1200x1200_VIA_AZRDirect_French_NA_Facebook_STAN_LEA_T3_1</v>
      </c>
      <c r="M734" s="2" t="n">
        <f aca="false">IFERROR(VLOOKUP(OFFSET(Table22,733,21,1,1),OFFSET(Table2,0,1,ROWS(Table2),8),8,0),VLOOKUP(OFFSET(Table22,733,22,1,1),Table2,9,0))</f>
        <v>104458003</v>
      </c>
      <c r="N734" s="15" t="s">
        <v>29</v>
      </c>
      <c r="O734" s="16" t="n">
        <v>43353</v>
      </c>
      <c r="P734" s="17" t="s">
        <v>102</v>
      </c>
      <c r="Q734" s="18" t="s">
        <v>103</v>
      </c>
      <c r="R734" s="17" t="s">
        <v>104</v>
      </c>
      <c r="S734" s="18" t="s">
        <v>33</v>
      </c>
      <c r="T734" s="17" t="s">
        <v>34</v>
      </c>
      <c r="U734" s="18" t="s">
        <v>131</v>
      </c>
      <c r="V734" s="19" t="n">
        <v>226360010</v>
      </c>
      <c r="W734" s="17" t="s">
        <v>157</v>
      </c>
      <c r="X734" s="17" t="n">
        <v>6</v>
      </c>
      <c r="Y734" s="17"/>
      <c r="Z734" s="17" t="n">
        <v>0.01</v>
      </c>
      <c r="AA734" s="17" t="s">
        <v>38</v>
      </c>
      <c r="AB734" s="17"/>
    </row>
    <row r="735" customFormat="false" ht="15" hidden="false" customHeight="false" outlineLevel="0" collapsed="false">
      <c r="A735" s="1" t="str">
        <f aca="false">OFFSET(Table22,734,14,1,1)&amp;OFFSET(Table22,734,21,1,1)</f>
        <v>43352226360010</v>
      </c>
      <c r="B735" s="1" t="str">
        <f aca="false">OFFSET(Table22,734,14,1,1)&amp;OFFSET(Table22,734,22,1,1)</f>
        <v>43352Facebook»ITPros-Azure Direct-Sponsored Post-Video Ad-Free Account IT Pro - Migration»1x1»30s»SOC»ALL»CPC»AUT»D»UNK»SS»NA»Trials_ID</v>
      </c>
      <c r="C735" s="1" t="s">
        <v>28</v>
      </c>
      <c r="D735" s="3" t="n">
        <f aca="false">O735+(7-WEEKDAY(O735))</f>
        <v>43358</v>
      </c>
      <c r="E735" s="1" t="str">
        <f aca="false">VLOOKUP(OFFSET(Table22,734,16,1,1),Key!B:D,2,0)</f>
        <v>France</v>
      </c>
      <c r="F735" s="1" t="str">
        <f aca="false">IF(ISNUMBER(SEARCH("Canvas",U735)),"Link",IF(ISNUMBER(SEARCH("Link",U735)),"Link","Not filled properly"))</f>
        <v>Link</v>
      </c>
      <c r="G735" s="1" t="str">
        <f aca="false">IFERROR(VLOOKUP(OFFSET(Table22,734,21,1,1),OFFSET(Table2,0,1,ROWS(Table2),8),2,0),VLOOKUP(OFFSET(Table22,734,22,1,1),Table2,3,0))</f>
        <v>FRA_gaPMG_AZR_AZR_Q1_19_AzureDirect-Trial-Social</v>
      </c>
      <c r="H735" s="1" t="n">
        <f aca="false">IFERROR(VLOOKUP(OFFSET(Table22,734,21,1,1),OFFSET(Table2,0,1,ROWS(Table2),8),3,0),VLOOKUP(OFFSET(Table22,734,22,1,1),Table2,4,0))</f>
        <v>21356941</v>
      </c>
      <c r="I735" s="2" t="n">
        <f aca="false">IFERROR(VLOOKUP(OFFSET(Table22,734,21,1,1),OFFSET(Table2,0,1,ROWS(Table2),8),4,0),VLOOKUP(OFFSET(Table22,734,22,1,1),Table2,5,0))</f>
        <v>720193</v>
      </c>
      <c r="J735" s="3" t="str">
        <f aca="false">IF(ISNUMBER(SEARCH("FACEBOOK",W735)),"Facebook",IF(ISNUMBER(SEARCH("INSTAGRAM",W735)),"Facebook-Instagram","Look at taxonomy"))</f>
        <v>Facebook</v>
      </c>
      <c r="K735" s="3" t="str">
        <f aca="false">IF(ISNUMBER(SEARCH("Facebook",J735)),"3654128","Not Facebook")</f>
        <v>3654128</v>
      </c>
      <c r="L735" s="3" t="str">
        <f aca="false">IFERROR(VLOOKUP(OFFSET(Table22,734,21,1,1),OFFSET(Table2,0,1,ROWS(Table2),8),7,0),VLOOKUP(OFFSET(Table22,734,22,1,1),Table2,8,0))</f>
        <v>AZR_FreeAcctITProFB-AnimatedMigration-Ch3_FRA_1200x1200_VIA_AZRDirect_French_NA_Facebook_STAN_LEA_T3_1</v>
      </c>
      <c r="M735" s="2" t="n">
        <f aca="false">IFERROR(VLOOKUP(OFFSET(Table22,734,21,1,1),OFFSET(Table2,0,1,ROWS(Table2),8),8,0),VLOOKUP(OFFSET(Table22,734,22,1,1),Table2,9,0))</f>
        <v>104458003</v>
      </c>
      <c r="N735" s="15" t="s">
        <v>29</v>
      </c>
      <c r="O735" s="16" t="n">
        <v>43352</v>
      </c>
      <c r="P735" s="17" t="s">
        <v>102</v>
      </c>
      <c r="Q735" s="18" t="s">
        <v>103</v>
      </c>
      <c r="R735" s="17" t="s">
        <v>104</v>
      </c>
      <c r="S735" s="18" t="s">
        <v>33</v>
      </c>
      <c r="T735" s="17" t="s">
        <v>34</v>
      </c>
      <c r="U735" s="18" t="s">
        <v>131</v>
      </c>
      <c r="V735" s="19" t="n">
        <v>226360010</v>
      </c>
      <c r="W735" s="17" t="s">
        <v>157</v>
      </c>
      <c r="X735" s="17" t="n">
        <v>22</v>
      </c>
      <c r="Y735" s="17" t="n">
        <v>1</v>
      </c>
      <c r="Z735" s="17" t="n">
        <v>0.23</v>
      </c>
      <c r="AA735" s="17" t="s">
        <v>38</v>
      </c>
      <c r="AB735" s="17"/>
    </row>
    <row r="736" customFormat="false" ht="15" hidden="false" customHeight="false" outlineLevel="0" collapsed="false">
      <c r="A736" s="1" t="str">
        <f aca="false">OFFSET(Table22,735,14,1,1)&amp;OFFSET(Table22,735,21,1,1)</f>
        <v>43358226360022</v>
      </c>
      <c r="B736" s="1" t="str">
        <f aca="false">OFFSET(Table22,735,14,1,1)&amp;OFFSET(Table22,735,22,1,1)</f>
        <v>43358Facebook»ITPros-Azure Direct-Sponsored Post-Video Ad-Free Account IT Pro - Secure»1x1»30s»SOC»ALL»CPC»AUT»D»UNK»SS»NA»Trials_ID</v>
      </c>
      <c r="C736" s="1" t="s">
        <v>28</v>
      </c>
      <c r="D736" s="3" t="n">
        <f aca="false">O736+(7-WEEKDAY(O736))</f>
        <v>43358</v>
      </c>
      <c r="E736" s="1" t="str">
        <f aca="false">VLOOKUP(OFFSET(Table22,735,16,1,1),Key!B:D,2,0)</f>
        <v>France</v>
      </c>
      <c r="F736" s="1" t="str">
        <f aca="false">IF(ISNUMBER(SEARCH("Canvas",U736)),"Link",IF(ISNUMBER(SEARCH("Link",U736)),"Link","Not filled properly"))</f>
        <v>Link</v>
      </c>
      <c r="G736" s="1" t="str">
        <f aca="false">IFERROR(VLOOKUP(OFFSET(Table22,735,21,1,1),OFFSET(Table2,0,1,ROWS(Table2),8),2,0),VLOOKUP(OFFSET(Table22,735,22,1,1),Table2,3,0))</f>
        <v>FRA_gaPMG_AZR_AZR_Q1_19_AzureDirect-Trial-Social</v>
      </c>
      <c r="H736" s="1" t="n">
        <f aca="false">IFERROR(VLOOKUP(OFFSET(Table22,735,21,1,1),OFFSET(Table2,0,1,ROWS(Table2),8),3,0),VLOOKUP(OFFSET(Table22,735,22,1,1),Table2,4,0))</f>
        <v>21356941</v>
      </c>
      <c r="I736" s="2" t="n">
        <f aca="false">IFERROR(VLOOKUP(OFFSET(Table22,735,21,1,1),OFFSET(Table2,0,1,ROWS(Table2),8),4,0),VLOOKUP(OFFSET(Table22,735,22,1,1),Table2,5,0))</f>
        <v>720193</v>
      </c>
      <c r="J736" s="3" t="str">
        <f aca="false">IF(ISNUMBER(SEARCH("FACEBOOK",W736)),"Facebook",IF(ISNUMBER(SEARCH("INSTAGRAM",W736)),"Facebook-Instagram","Look at taxonomy"))</f>
        <v>Facebook</v>
      </c>
      <c r="K736" s="3" t="str">
        <f aca="false">IF(ISNUMBER(SEARCH("Facebook",J736)),"3654128","Not Facebook")</f>
        <v>3654128</v>
      </c>
      <c r="L736" s="3" t="str">
        <f aca="false">IFERROR(VLOOKUP(OFFSET(Table22,735,21,1,1),OFFSET(Table2,0,1,ROWS(Table2),8),7,0),VLOOKUP(OFFSET(Table22,735,22,1,1),Table2,8,0))</f>
        <v>AZR_FreeAcctITProFB-AnimatedSecureMngd-Ch1_FRA_1200x1200_VIA_AZRDirect_French_NA_Facebook_STAN_LEA_T1_1</v>
      </c>
      <c r="M736" s="2" t="n">
        <f aca="false">IFERROR(VLOOKUP(OFFSET(Table22,735,21,1,1),OFFSET(Table2,0,1,ROWS(Table2),8),8,0),VLOOKUP(OFFSET(Table22,735,22,1,1),Table2,9,0))</f>
        <v>104455906</v>
      </c>
      <c r="N736" s="15" t="s">
        <v>29</v>
      </c>
      <c r="O736" s="16" t="n">
        <v>43358</v>
      </c>
      <c r="P736" s="17" t="s">
        <v>102</v>
      </c>
      <c r="Q736" s="18" t="s">
        <v>103</v>
      </c>
      <c r="R736" s="17" t="s">
        <v>104</v>
      </c>
      <c r="S736" s="18" t="s">
        <v>33</v>
      </c>
      <c r="T736" s="17" t="s">
        <v>34</v>
      </c>
      <c r="U736" s="18" t="s">
        <v>131</v>
      </c>
      <c r="V736" s="19" t="n">
        <v>226360022</v>
      </c>
      <c r="W736" s="17" t="s">
        <v>158</v>
      </c>
      <c r="X736" s="17" t="n">
        <v>0</v>
      </c>
      <c r="Y736" s="17"/>
      <c r="Z736" s="17" t="n">
        <v>0</v>
      </c>
      <c r="AA736" s="17" t="s">
        <v>38</v>
      </c>
      <c r="AB736" s="17"/>
    </row>
    <row r="737" customFormat="false" ht="15" hidden="false" customHeight="false" outlineLevel="0" collapsed="false">
      <c r="A737" s="1" t="str">
        <f aca="false">OFFSET(Table22,736,14,1,1)&amp;OFFSET(Table22,736,21,1,1)</f>
        <v>43357226360022</v>
      </c>
      <c r="B737" s="1" t="str">
        <f aca="false">OFFSET(Table22,736,14,1,1)&amp;OFFSET(Table22,736,22,1,1)</f>
        <v>43357Facebook»ITPros-Azure Direct-Sponsored Post-Video Ad-Free Account IT Pro - Secure»1x1»30s»SOC»ALL»CPC»AUT»D»UNK»SS»NA»Trials_ID</v>
      </c>
      <c r="C737" s="1" t="s">
        <v>28</v>
      </c>
      <c r="D737" s="3" t="n">
        <f aca="false">O737+(7-WEEKDAY(O737))</f>
        <v>43358</v>
      </c>
      <c r="E737" s="1" t="str">
        <f aca="false">VLOOKUP(OFFSET(Table22,736,16,1,1),Key!B:D,2,0)</f>
        <v>France</v>
      </c>
      <c r="F737" s="1" t="str">
        <f aca="false">IF(ISNUMBER(SEARCH("Canvas",U737)),"Link",IF(ISNUMBER(SEARCH("Link",U737)),"Link","Not filled properly"))</f>
        <v>Link</v>
      </c>
      <c r="G737" s="1" t="str">
        <f aca="false">IFERROR(VLOOKUP(OFFSET(Table22,736,21,1,1),OFFSET(Table2,0,1,ROWS(Table2),8),2,0),VLOOKUP(OFFSET(Table22,736,22,1,1),Table2,3,0))</f>
        <v>FRA_gaPMG_AZR_AZR_Q1_19_AzureDirect-Trial-Social</v>
      </c>
      <c r="H737" s="1" t="n">
        <f aca="false">IFERROR(VLOOKUP(OFFSET(Table22,736,21,1,1),OFFSET(Table2,0,1,ROWS(Table2),8),3,0),VLOOKUP(OFFSET(Table22,736,22,1,1),Table2,4,0))</f>
        <v>21356941</v>
      </c>
      <c r="I737" s="2" t="n">
        <f aca="false">IFERROR(VLOOKUP(OFFSET(Table22,736,21,1,1),OFFSET(Table2,0,1,ROWS(Table2),8),4,0),VLOOKUP(OFFSET(Table22,736,22,1,1),Table2,5,0))</f>
        <v>720193</v>
      </c>
      <c r="J737" s="3" t="str">
        <f aca="false">IF(ISNUMBER(SEARCH("FACEBOOK",W737)),"Facebook",IF(ISNUMBER(SEARCH("INSTAGRAM",W737)),"Facebook-Instagram","Look at taxonomy"))</f>
        <v>Facebook</v>
      </c>
      <c r="K737" s="3" t="str">
        <f aca="false">IF(ISNUMBER(SEARCH("Facebook",J737)),"3654128","Not Facebook")</f>
        <v>3654128</v>
      </c>
      <c r="L737" s="3" t="str">
        <f aca="false">IFERROR(VLOOKUP(OFFSET(Table22,736,21,1,1),OFFSET(Table2,0,1,ROWS(Table2),8),7,0),VLOOKUP(OFFSET(Table22,736,22,1,1),Table2,8,0))</f>
        <v>AZR_FreeAcctITProFB-AnimatedSecureMngd-Ch1_FRA_1200x1200_VIA_AZRDirect_French_NA_Facebook_STAN_LEA_T1_1</v>
      </c>
      <c r="M737" s="2" t="n">
        <f aca="false">IFERROR(VLOOKUP(OFFSET(Table22,736,21,1,1),OFFSET(Table2,0,1,ROWS(Table2),8),8,0),VLOOKUP(OFFSET(Table22,736,22,1,1),Table2,9,0))</f>
        <v>104455906</v>
      </c>
      <c r="N737" s="15" t="s">
        <v>29</v>
      </c>
      <c r="O737" s="16" t="n">
        <v>43357</v>
      </c>
      <c r="P737" s="17" t="s">
        <v>102</v>
      </c>
      <c r="Q737" s="18" t="s">
        <v>103</v>
      </c>
      <c r="R737" s="17" t="s">
        <v>104</v>
      </c>
      <c r="S737" s="18" t="s">
        <v>33</v>
      </c>
      <c r="T737" s="17" t="s">
        <v>34</v>
      </c>
      <c r="U737" s="18" t="s">
        <v>131</v>
      </c>
      <c r="V737" s="19" t="n">
        <v>226360022</v>
      </c>
      <c r="W737" s="17" t="s">
        <v>158</v>
      </c>
      <c r="X737" s="17" t="n">
        <v>0</v>
      </c>
      <c r="Y737" s="17"/>
      <c r="Z737" s="17" t="n">
        <v>0</v>
      </c>
      <c r="AA737" s="17" t="s">
        <v>38</v>
      </c>
      <c r="AB737" s="17"/>
    </row>
    <row r="738" customFormat="false" ht="15" hidden="false" customHeight="false" outlineLevel="0" collapsed="false">
      <c r="A738" s="1" t="str">
        <f aca="false">OFFSET(Table22,737,14,1,1)&amp;OFFSET(Table22,737,21,1,1)</f>
        <v>43356226360022</v>
      </c>
      <c r="B738" s="1" t="str">
        <f aca="false">OFFSET(Table22,737,14,1,1)&amp;OFFSET(Table22,737,22,1,1)</f>
        <v>43356Facebook»ITPros-Azure Direct-Sponsored Post-Video Ad-Free Account IT Pro - Secure»1x1»30s»SOC»ALL»CPC»AUT»D»UNK»SS»NA»Trials_ID</v>
      </c>
      <c r="C738" s="1" t="s">
        <v>28</v>
      </c>
      <c r="D738" s="3" t="n">
        <f aca="false">O738+(7-WEEKDAY(O738))</f>
        <v>43358</v>
      </c>
      <c r="E738" s="1" t="str">
        <f aca="false">VLOOKUP(OFFSET(Table22,737,16,1,1),Key!B:D,2,0)</f>
        <v>France</v>
      </c>
      <c r="F738" s="1" t="str">
        <f aca="false">IF(ISNUMBER(SEARCH("Canvas",U738)),"Link",IF(ISNUMBER(SEARCH("Link",U738)),"Link","Not filled properly"))</f>
        <v>Link</v>
      </c>
      <c r="G738" s="1" t="str">
        <f aca="false">IFERROR(VLOOKUP(OFFSET(Table22,737,21,1,1),OFFSET(Table2,0,1,ROWS(Table2),8),2,0),VLOOKUP(OFFSET(Table22,737,22,1,1),Table2,3,0))</f>
        <v>FRA_gaPMG_AZR_AZR_Q1_19_AzureDirect-Trial-Social</v>
      </c>
      <c r="H738" s="1" t="n">
        <f aca="false">IFERROR(VLOOKUP(OFFSET(Table22,737,21,1,1),OFFSET(Table2,0,1,ROWS(Table2),8),3,0),VLOOKUP(OFFSET(Table22,737,22,1,1),Table2,4,0))</f>
        <v>21356941</v>
      </c>
      <c r="I738" s="2" t="n">
        <f aca="false">IFERROR(VLOOKUP(OFFSET(Table22,737,21,1,1),OFFSET(Table2,0,1,ROWS(Table2),8),4,0),VLOOKUP(OFFSET(Table22,737,22,1,1),Table2,5,0))</f>
        <v>720193</v>
      </c>
      <c r="J738" s="3" t="str">
        <f aca="false">IF(ISNUMBER(SEARCH("FACEBOOK",W738)),"Facebook",IF(ISNUMBER(SEARCH("INSTAGRAM",W738)),"Facebook-Instagram","Look at taxonomy"))</f>
        <v>Facebook</v>
      </c>
      <c r="K738" s="3" t="str">
        <f aca="false">IF(ISNUMBER(SEARCH("Facebook",J738)),"3654128","Not Facebook")</f>
        <v>3654128</v>
      </c>
      <c r="L738" s="3" t="str">
        <f aca="false">IFERROR(VLOOKUP(OFFSET(Table22,737,21,1,1),OFFSET(Table2,0,1,ROWS(Table2),8),7,0),VLOOKUP(OFFSET(Table22,737,22,1,1),Table2,8,0))</f>
        <v>AZR_FreeAcctITProFB-AnimatedSecureMngd-Ch1_FRA_1200x1200_VIA_AZRDirect_French_NA_Facebook_STAN_LEA_T1_1</v>
      </c>
      <c r="M738" s="2" t="n">
        <f aca="false">IFERROR(VLOOKUP(OFFSET(Table22,737,21,1,1),OFFSET(Table2,0,1,ROWS(Table2),8),8,0),VLOOKUP(OFFSET(Table22,737,22,1,1),Table2,9,0))</f>
        <v>104455906</v>
      </c>
      <c r="N738" s="15" t="s">
        <v>29</v>
      </c>
      <c r="O738" s="16" t="n">
        <v>43356</v>
      </c>
      <c r="P738" s="17" t="s">
        <v>102</v>
      </c>
      <c r="Q738" s="18" t="s">
        <v>103</v>
      </c>
      <c r="R738" s="17" t="s">
        <v>104</v>
      </c>
      <c r="S738" s="18" t="s">
        <v>33</v>
      </c>
      <c r="T738" s="17" t="s">
        <v>34</v>
      </c>
      <c r="U738" s="18" t="s">
        <v>131</v>
      </c>
      <c r="V738" s="19" t="n">
        <v>226360022</v>
      </c>
      <c r="W738" s="17" t="s">
        <v>158</v>
      </c>
      <c r="X738" s="17" t="n">
        <v>0</v>
      </c>
      <c r="Y738" s="17"/>
      <c r="Z738" s="17" t="n">
        <v>0</v>
      </c>
      <c r="AA738" s="17" t="s">
        <v>38</v>
      </c>
      <c r="AB738" s="17"/>
    </row>
    <row r="739" customFormat="false" ht="15" hidden="false" customHeight="false" outlineLevel="0" collapsed="false">
      <c r="A739" s="1" t="str">
        <f aca="false">OFFSET(Table22,738,14,1,1)&amp;OFFSET(Table22,738,21,1,1)</f>
        <v>43355226360022</v>
      </c>
      <c r="B739" s="1" t="str">
        <f aca="false">OFFSET(Table22,738,14,1,1)&amp;OFFSET(Table22,738,22,1,1)</f>
        <v>43355Facebook»ITPros-Azure Direct-Sponsored Post-Video Ad-Free Account IT Pro - Secure»1x1»30s»SOC»ALL»CPC»AUT»D»UNK»SS»NA»Trials_ID</v>
      </c>
      <c r="C739" s="1" t="s">
        <v>28</v>
      </c>
      <c r="D739" s="3" t="n">
        <f aca="false">O739+(7-WEEKDAY(O739))</f>
        <v>43358</v>
      </c>
      <c r="E739" s="1" t="str">
        <f aca="false">VLOOKUP(OFFSET(Table22,738,16,1,1),Key!B:D,2,0)</f>
        <v>France</v>
      </c>
      <c r="F739" s="1" t="str">
        <f aca="false">IF(ISNUMBER(SEARCH("Canvas",U739)),"Link",IF(ISNUMBER(SEARCH("Link",U739)),"Link","Not filled properly"))</f>
        <v>Link</v>
      </c>
      <c r="G739" s="1" t="str">
        <f aca="false">IFERROR(VLOOKUP(OFFSET(Table22,738,21,1,1),OFFSET(Table2,0,1,ROWS(Table2),8),2,0),VLOOKUP(OFFSET(Table22,738,22,1,1),Table2,3,0))</f>
        <v>FRA_gaPMG_AZR_AZR_Q1_19_AzureDirect-Trial-Social</v>
      </c>
      <c r="H739" s="1" t="n">
        <f aca="false">IFERROR(VLOOKUP(OFFSET(Table22,738,21,1,1),OFFSET(Table2,0,1,ROWS(Table2),8),3,0),VLOOKUP(OFFSET(Table22,738,22,1,1),Table2,4,0))</f>
        <v>21356941</v>
      </c>
      <c r="I739" s="2" t="n">
        <f aca="false">IFERROR(VLOOKUP(OFFSET(Table22,738,21,1,1),OFFSET(Table2,0,1,ROWS(Table2),8),4,0),VLOOKUP(OFFSET(Table22,738,22,1,1),Table2,5,0))</f>
        <v>720193</v>
      </c>
      <c r="J739" s="3" t="str">
        <f aca="false">IF(ISNUMBER(SEARCH("FACEBOOK",W739)),"Facebook",IF(ISNUMBER(SEARCH("INSTAGRAM",W739)),"Facebook-Instagram","Look at taxonomy"))</f>
        <v>Facebook</v>
      </c>
      <c r="K739" s="3" t="str">
        <f aca="false">IF(ISNUMBER(SEARCH("Facebook",J739)),"3654128","Not Facebook")</f>
        <v>3654128</v>
      </c>
      <c r="L739" s="3" t="str">
        <f aca="false">IFERROR(VLOOKUP(OFFSET(Table22,738,21,1,1),OFFSET(Table2,0,1,ROWS(Table2),8),7,0),VLOOKUP(OFFSET(Table22,738,22,1,1),Table2,8,0))</f>
        <v>AZR_FreeAcctITProFB-AnimatedSecureMngd-Ch1_FRA_1200x1200_VIA_AZRDirect_French_NA_Facebook_STAN_LEA_T1_1</v>
      </c>
      <c r="M739" s="2" t="n">
        <f aca="false">IFERROR(VLOOKUP(OFFSET(Table22,738,21,1,1),OFFSET(Table2,0,1,ROWS(Table2),8),8,0),VLOOKUP(OFFSET(Table22,738,22,1,1),Table2,9,0))</f>
        <v>104455906</v>
      </c>
      <c r="N739" s="15" t="s">
        <v>29</v>
      </c>
      <c r="O739" s="16" t="n">
        <v>43355</v>
      </c>
      <c r="P739" s="17" t="s">
        <v>102</v>
      </c>
      <c r="Q739" s="18" t="s">
        <v>103</v>
      </c>
      <c r="R739" s="17" t="s">
        <v>104</v>
      </c>
      <c r="S739" s="18" t="s">
        <v>33</v>
      </c>
      <c r="T739" s="17" t="s">
        <v>34</v>
      </c>
      <c r="U739" s="18" t="s">
        <v>131</v>
      </c>
      <c r="V739" s="19" t="n">
        <v>226360022</v>
      </c>
      <c r="W739" s="17" t="s">
        <v>158</v>
      </c>
      <c r="X739" s="17" t="n">
        <v>0</v>
      </c>
      <c r="Y739" s="17"/>
      <c r="Z739" s="17" t="n">
        <v>0</v>
      </c>
      <c r="AA739" s="17" t="s">
        <v>38</v>
      </c>
      <c r="AB739" s="17"/>
    </row>
    <row r="740" customFormat="false" ht="15" hidden="false" customHeight="false" outlineLevel="0" collapsed="false">
      <c r="A740" s="1" t="str">
        <f aca="false">OFFSET(Table22,739,14,1,1)&amp;OFFSET(Table22,739,21,1,1)</f>
        <v>43354226360022</v>
      </c>
      <c r="B740" s="1" t="str">
        <f aca="false">OFFSET(Table22,739,14,1,1)&amp;OFFSET(Table22,739,22,1,1)</f>
        <v>43354Facebook»ITPros-Azure Direct-Sponsored Post-Video Ad-Free Account IT Pro - Secure»1x1»30s»SOC»ALL»CPC»AUT»D»UNK»SS»NA»Trials_ID</v>
      </c>
      <c r="C740" s="1" t="s">
        <v>28</v>
      </c>
      <c r="D740" s="3" t="n">
        <f aca="false">O740+(7-WEEKDAY(O740))</f>
        <v>43358</v>
      </c>
      <c r="E740" s="1" t="str">
        <f aca="false">VLOOKUP(OFFSET(Table22,739,16,1,1),Key!B:D,2,0)</f>
        <v>France</v>
      </c>
      <c r="F740" s="1" t="str">
        <f aca="false">IF(ISNUMBER(SEARCH("Canvas",U740)),"Link",IF(ISNUMBER(SEARCH("Link",U740)),"Link","Not filled properly"))</f>
        <v>Link</v>
      </c>
      <c r="G740" s="1" t="str">
        <f aca="false">IFERROR(VLOOKUP(OFFSET(Table22,739,21,1,1),OFFSET(Table2,0,1,ROWS(Table2),8),2,0),VLOOKUP(OFFSET(Table22,739,22,1,1),Table2,3,0))</f>
        <v>FRA_gaPMG_AZR_AZR_Q1_19_AzureDirect-Trial-Social</v>
      </c>
      <c r="H740" s="1" t="n">
        <f aca="false">IFERROR(VLOOKUP(OFFSET(Table22,739,21,1,1),OFFSET(Table2,0,1,ROWS(Table2),8),3,0),VLOOKUP(OFFSET(Table22,739,22,1,1),Table2,4,0))</f>
        <v>21356941</v>
      </c>
      <c r="I740" s="2" t="n">
        <f aca="false">IFERROR(VLOOKUP(OFFSET(Table22,739,21,1,1),OFFSET(Table2,0,1,ROWS(Table2),8),4,0),VLOOKUP(OFFSET(Table22,739,22,1,1),Table2,5,0))</f>
        <v>720193</v>
      </c>
      <c r="J740" s="3" t="str">
        <f aca="false">IF(ISNUMBER(SEARCH("FACEBOOK",W740)),"Facebook",IF(ISNUMBER(SEARCH("INSTAGRAM",W740)),"Facebook-Instagram","Look at taxonomy"))</f>
        <v>Facebook</v>
      </c>
      <c r="K740" s="3" t="str">
        <f aca="false">IF(ISNUMBER(SEARCH("Facebook",J740)),"3654128","Not Facebook")</f>
        <v>3654128</v>
      </c>
      <c r="L740" s="3" t="str">
        <f aca="false">IFERROR(VLOOKUP(OFFSET(Table22,739,21,1,1),OFFSET(Table2,0,1,ROWS(Table2),8),7,0),VLOOKUP(OFFSET(Table22,739,22,1,1),Table2,8,0))</f>
        <v>AZR_FreeAcctITProFB-AnimatedSecureMngd-Ch1_FRA_1200x1200_VIA_AZRDirect_French_NA_Facebook_STAN_LEA_T1_1</v>
      </c>
      <c r="M740" s="2" t="n">
        <f aca="false">IFERROR(VLOOKUP(OFFSET(Table22,739,21,1,1),OFFSET(Table2,0,1,ROWS(Table2),8),8,0),VLOOKUP(OFFSET(Table22,739,22,1,1),Table2,9,0))</f>
        <v>104455906</v>
      </c>
      <c r="N740" s="15" t="s">
        <v>29</v>
      </c>
      <c r="O740" s="16" t="n">
        <v>43354</v>
      </c>
      <c r="P740" s="17" t="s">
        <v>102</v>
      </c>
      <c r="Q740" s="18" t="s">
        <v>103</v>
      </c>
      <c r="R740" s="17" t="s">
        <v>104</v>
      </c>
      <c r="S740" s="18" t="s">
        <v>33</v>
      </c>
      <c r="T740" s="17" t="s">
        <v>34</v>
      </c>
      <c r="U740" s="18" t="s">
        <v>131</v>
      </c>
      <c r="V740" s="19" t="n">
        <v>226360022</v>
      </c>
      <c r="W740" s="17" t="s">
        <v>158</v>
      </c>
      <c r="X740" s="17" t="n">
        <v>0</v>
      </c>
      <c r="Y740" s="17"/>
      <c r="Z740" s="17" t="n">
        <v>0</v>
      </c>
      <c r="AA740" s="17" t="s">
        <v>38</v>
      </c>
      <c r="AB740" s="17"/>
    </row>
    <row r="741" customFormat="false" ht="15" hidden="false" customHeight="false" outlineLevel="0" collapsed="false">
      <c r="A741" s="1" t="str">
        <f aca="false">OFFSET(Table22,740,14,1,1)&amp;OFFSET(Table22,740,21,1,1)</f>
        <v>43353226360022</v>
      </c>
      <c r="B741" s="1" t="str">
        <f aca="false">OFFSET(Table22,740,14,1,1)&amp;OFFSET(Table22,740,22,1,1)</f>
        <v>43353Facebook»ITPros-Azure Direct-Sponsored Post-Video Ad-Free Account IT Pro - Secure»1x1»30s»SOC»ALL»CPC»AUT»D»UNK»SS»NA»Trials_ID</v>
      </c>
      <c r="C741" s="1" t="s">
        <v>28</v>
      </c>
      <c r="D741" s="3" t="n">
        <f aca="false">O741+(7-WEEKDAY(O741))</f>
        <v>43358</v>
      </c>
      <c r="E741" s="1" t="str">
        <f aca="false">VLOOKUP(OFFSET(Table22,740,16,1,1),Key!B:D,2,0)</f>
        <v>France</v>
      </c>
      <c r="F741" s="1" t="str">
        <f aca="false">IF(ISNUMBER(SEARCH("Canvas",U741)),"Link",IF(ISNUMBER(SEARCH("Link",U741)),"Link","Not filled properly"))</f>
        <v>Link</v>
      </c>
      <c r="G741" s="1" t="str">
        <f aca="false">IFERROR(VLOOKUP(OFFSET(Table22,740,21,1,1),OFFSET(Table2,0,1,ROWS(Table2),8),2,0),VLOOKUP(OFFSET(Table22,740,22,1,1),Table2,3,0))</f>
        <v>FRA_gaPMG_AZR_AZR_Q1_19_AzureDirect-Trial-Social</v>
      </c>
      <c r="H741" s="1" t="n">
        <f aca="false">IFERROR(VLOOKUP(OFFSET(Table22,740,21,1,1),OFFSET(Table2,0,1,ROWS(Table2),8),3,0),VLOOKUP(OFFSET(Table22,740,22,1,1),Table2,4,0))</f>
        <v>21356941</v>
      </c>
      <c r="I741" s="2" t="n">
        <f aca="false">IFERROR(VLOOKUP(OFFSET(Table22,740,21,1,1),OFFSET(Table2,0,1,ROWS(Table2),8),4,0),VLOOKUP(OFFSET(Table22,740,22,1,1),Table2,5,0))</f>
        <v>720193</v>
      </c>
      <c r="J741" s="3" t="str">
        <f aca="false">IF(ISNUMBER(SEARCH("FACEBOOK",W741)),"Facebook",IF(ISNUMBER(SEARCH("INSTAGRAM",W741)),"Facebook-Instagram","Look at taxonomy"))</f>
        <v>Facebook</v>
      </c>
      <c r="K741" s="3" t="str">
        <f aca="false">IF(ISNUMBER(SEARCH("Facebook",J741)),"3654128","Not Facebook")</f>
        <v>3654128</v>
      </c>
      <c r="L741" s="3" t="str">
        <f aca="false">IFERROR(VLOOKUP(OFFSET(Table22,740,21,1,1),OFFSET(Table2,0,1,ROWS(Table2),8),7,0),VLOOKUP(OFFSET(Table22,740,22,1,1),Table2,8,0))</f>
        <v>AZR_FreeAcctITProFB-AnimatedSecureMngd-Ch1_FRA_1200x1200_VIA_AZRDirect_French_NA_Facebook_STAN_LEA_T1_1</v>
      </c>
      <c r="M741" s="2" t="n">
        <f aca="false">IFERROR(VLOOKUP(OFFSET(Table22,740,21,1,1),OFFSET(Table2,0,1,ROWS(Table2),8),8,0),VLOOKUP(OFFSET(Table22,740,22,1,1),Table2,9,0))</f>
        <v>104455906</v>
      </c>
      <c r="N741" s="15" t="s">
        <v>29</v>
      </c>
      <c r="O741" s="16" t="n">
        <v>43353</v>
      </c>
      <c r="P741" s="17" t="s">
        <v>102</v>
      </c>
      <c r="Q741" s="18" t="s">
        <v>103</v>
      </c>
      <c r="R741" s="17" t="s">
        <v>104</v>
      </c>
      <c r="S741" s="18" t="s">
        <v>33</v>
      </c>
      <c r="T741" s="17" t="s">
        <v>34</v>
      </c>
      <c r="U741" s="18" t="s">
        <v>131</v>
      </c>
      <c r="V741" s="19" t="n">
        <v>226360022</v>
      </c>
      <c r="W741" s="17" t="s">
        <v>158</v>
      </c>
      <c r="X741" s="17" t="n">
        <v>250</v>
      </c>
      <c r="Y741" s="17" t="n">
        <v>6</v>
      </c>
      <c r="Z741" s="17" t="n">
        <v>1.78</v>
      </c>
      <c r="AA741" s="17" t="s">
        <v>38</v>
      </c>
      <c r="AB741" s="17"/>
    </row>
    <row r="742" customFormat="false" ht="15" hidden="false" customHeight="false" outlineLevel="0" collapsed="false">
      <c r="A742" s="1" t="str">
        <f aca="false">OFFSET(Table22,741,14,1,1)&amp;OFFSET(Table22,741,21,1,1)</f>
        <v>43352226360022</v>
      </c>
      <c r="B742" s="1" t="str">
        <f aca="false">OFFSET(Table22,741,14,1,1)&amp;OFFSET(Table22,741,22,1,1)</f>
        <v>43352Facebook»ITPros-Azure Direct-Sponsored Post-Video Ad-Free Account IT Pro - Secure»1x1»30s»SOC»ALL»CPC»AUT»D»UNK»SS»NA»Trials_ID</v>
      </c>
      <c r="C742" s="1" t="s">
        <v>28</v>
      </c>
      <c r="D742" s="3" t="n">
        <f aca="false">O742+(7-WEEKDAY(O742))</f>
        <v>43358</v>
      </c>
      <c r="E742" s="1" t="str">
        <f aca="false">VLOOKUP(OFFSET(Table22,741,16,1,1),Key!B:D,2,0)</f>
        <v>France</v>
      </c>
      <c r="F742" s="1" t="str">
        <f aca="false">IF(ISNUMBER(SEARCH("Canvas",U742)),"Link",IF(ISNUMBER(SEARCH("Link",U742)),"Link","Not filled properly"))</f>
        <v>Link</v>
      </c>
      <c r="G742" s="1" t="str">
        <f aca="false">IFERROR(VLOOKUP(OFFSET(Table22,741,21,1,1),OFFSET(Table2,0,1,ROWS(Table2),8),2,0),VLOOKUP(OFFSET(Table22,741,22,1,1),Table2,3,0))</f>
        <v>FRA_gaPMG_AZR_AZR_Q1_19_AzureDirect-Trial-Social</v>
      </c>
      <c r="H742" s="1" t="n">
        <f aca="false">IFERROR(VLOOKUP(OFFSET(Table22,741,21,1,1),OFFSET(Table2,0,1,ROWS(Table2),8),3,0),VLOOKUP(OFFSET(Table22,741,22,1,1),Table2,4,0))</f>
        <v>21356941</v>
      </c>
      <c r="I742" s="2" t="n">
        <f aca="false">IFERROR(VLOOKUP(OFFSET(Table22,741,21,1,1),OFFSET(Table2,0,1,ROWS(Table2),8),4,0),VLOOKUP(OFFSET(Table22,741,22,1,1),Table2,5,0))</f>
        <v>720193</v>
      </c>
      <c r="J742" s="3" t="str">
        <f aca="false">IF(ISNUMBER(SEARCH("FACEBOOK",W742)),"Facebook",IF(ISNUMBER(SEARCH("INSTAGRAM",W742)),"Facebook-Instagram","Look at taxonomy"))</f>
        <v>Facebook</v>
      </c>
      <c r="K742" s="3" t="str">
        <f aca="false">IF(ISNUMBER(SEARCH("Facebook",J742)),"3654128","Not Facebook")</f>
        <v>3654128</v>
      </c>
      <c r="L742" s="3" t="str">
        <f aca="false">IFERROR(VLOOKUP(OFFSET(Table22,741,21,1,1),OFFSET(Table2,0,1,ROWS(Table2),8),7,0),VLOOKUP(OFFSET(Table22,741,22,1,1),Table2,8,0))</f>
        <v>AZR_FreeAcctITProFB-AnimatedSecureMngd-Ch1_FRA_1200x1200_VIA_AZRDirect_French_NA_Facebook_STAN_LEA_T1_1</v>
      </c>
      <c r="M742" s="2" t="n">
        <f aca="false">IFERROR(VLOOKUP(OFFSET(Table22,741,21,1,1),OFFSET(Table2,0,1,ROWS(Table2),8),8,0),VLOOKUP(OFFSET(Table22,741,22,1,1),Table2,9,0))</f>
        <v>104455906</v>
      </c>
      <c r="N742" s="15" t="s">
        <v>29</v>
      </c>
      <c r="O742" s="16" t="n">
        <v>43352</v>
      </c>
      <c r="P742" s="17" t="s">
        <v>102</v>
      </c>
      <c r="Q742" s="18" t="s">
        <v>103</v>
      </c>
      <c r="R742" s="17" t="s">
        <v>104</v>
      </c>
      <c r="S742" s="18" t="s">
        <v>33</v>
      </c>
      <c r="T742" s="17" t="s">
        <v>34</v>
      </c>
      <c r="U742" s="18" t="s">
        <v>131</v>
      </c>
      <c r="V742" s="19" t="n">
        <v>226360022</v>
      </c>
      <c r="W742" s="17" t="s">
        <v>158</v>
      </c>
      <c r="X742" s="17" t="n">
        <v>923</v>
      </c>
      <c r="Y742" s="17" t="n">
        <v>19</v>
      </c>
      <c r="Z742" s="17" t="n">
        <v>6.64</v>
      </c>
      <c r="AA742" s="17" t="s">
        <v>38</v>
      </c>
      <c r="AB742" s="17"/>
    </row>
    <row r="743" customFormat="false" ht="15" hidden="false" customHeight="false" outlineLevel="0" collapsed="false">
      <c r="A743" s="1" t="str">
        <f aca="false">OFFSET(Table22,742,14,1,1)&amp;OFFSET(Table22,742,21,1,1)</f>
        <v>43352223297413</v>
      </c>
      <c r="B743" s="1" t="str">
        <f aca="false">OFFSET(Table22,742,14,1,1)&amp;OFFSET(Table22,742,22,1,1)</f>
        <v>43352Facebook»AZP-Canvas-Look a Like-Trial»1x1»Canvas»OTH»MO»CPM»PRO»X»UNK»TP»OT»Canvas-Trial</v>
      </c>
      <c r="C743" s="1" t="s">
        <v>28</v>
      </c>
      <c r="D743" s="3" t="n">
        <f aca="false">O743+(7-WEEKDAY(O743))</f>
        <v>43358</v>
      </c>
      <c r="E743" s="1" t="str">
        <f aca="false">VLOOKUP(OFFSET(Table22,742,16,1,1),Key!B:D,2,0)</f>
        <v>Japan</v>
      </c>
      <c r="F743" s="1" t="str">
        <f aca="false">IF(ISNUMBER(SEARCH("Canvas",U743)),"Link",IF(ISNUMBER(SEARCH("Link",U743)),"Link","Not filled properly"))</f>
        <v>Link</v>
      </c>
      <c r="G743" s="1" t="str">
        <f aca="false">IFERROR(VLOOKUP(OFFSET(Table22,742,21,1,1),OFFSET(Table2,0,1,ROWS(Table2),8),2,0),VLOOKUP(OFFSET(Table22,742,22,1,1),Table2,3,0))</f>
        <v>JPN_gaPMG_AZR_AZR_Q1_19_Trial-Social</v>
      </c>
      <c r="H743" s="1" t="n">
        <f aca="false">IFERROR(VLOOKUP(OFFSET(Table22,742,21,1,1),OFFSET(Table2,0,1,ROWS(Table2),8),3,0),VLOOKUP(OFFSET(Table22,742,22,1,1),Table2,4,0))</f>
        <v>21276694</v>
      </c>
      <c r="I743" s="2" t="n">
        <f aca="false">IFERROR(VLOOKUP(OFFSET(Table22,742,21,1,1),OFFSET(Table2,0,1,ROWS(Table2),8),4,0),VLOOKUP(OFFSET(Table22,742,22,1,1),Table2,5,0))</f>
        <v>720195</v>
      </c>
      <c r="J743" s="3" t="str">
        <f aca="false">IF(ISNUMBER(SEARCH("FACEBOOK",W743)),"Facebook",IF(ISNUMBER(SEARCH("INSTAGRAM",W743)),"Facebook-Instagram","Look at taxonomy"))</f>
        <v>Facebook</v>
      </c>
      <c r="K743" s="3" t="str">
        <f aca="false">IF(ISNUMBER(SEARCH("Facebook",J743)),"3654128","Not Facebook")</f>
        <v>3654128</v>
      </c>
      <c r="L743" s="3" t="str">
        <f aca="false">IFERROR(VLOOKUP(OFFSET(Table22,742,21,1,1),OFFSET(Table2,0,1,ROWS(Table2),8),7,0),VLOOKUP(OFFSET(Table22,742,22,1,1),Table2,8,0))</f>
        <v>AzurePlatform_FBCTCcanvaspage-StartFreeCTA-Img2_JPN_1080x143 _SOC_Plat_Japanese_NA_Standard_NA_NA_T2_1</v>
      </c>
      <c r="M743" s="2" t="n">
        <f aca="false">IFERROR(VLOOKUP(OFFSET(Table22,742,21,1,1),OFFSET(Table2,0,1,ROWS(Table2),8),8,0),VLOOKUP(OFFSET(Table22,742,22,1,1),Table2,9,0))</f>
        <v>102609621</v>
      </c>
      <c r="N743" s="15" t="s">
        <v>29</v>
      </c>
      <c r="O743" s="16" t="n">
        <v>43352</v>
      </c>
      <c r="P743" s="17" t="s">
        <v>159</v>
      </c>
      <c r="Q743" s="18" t="s">
        <v>160</v>
      </c>
      <c r="R743" s="17" t="s">
        <v>161</v>
      </c>
      <c r="S743" s="18" t="s">
        <v>33</v>
      </c>
      <c r="T743" s="17" t="s">
        <v>34</v>
      </c>
      <c r="U743" s="18" t="s">
        <v>35</v>
      </c>
      <c r="V743" s="19" t="n">
        <v>223297413</v>
      </c>
      <c r="W743" s="17" t="s">
        <v>162</v>
      </c>
      <c r="X743" s="17" t="n">
        <v>2507</v>
      </c>
      <c r="Y743" s="17" t="n">
        <v>10</v>
      </c>
      <c r="Z743" s="17" t="n">
        <v>2170</v>
      </c>
      <c r="AA743" s="17" t="s">
        <v>163</v>
      </c>
      <c r="AB743" s="17"/>
    </row>
    <row r="744" customFormat="false" ht="15" hidden="false" customHeight="false" outlineLevel="0" collapsed="false">
      <c r="A744" s="1" t="str">
        <f aca="false">OFFSET(Table22,743,14,1,1)&amp;OFFSET(Table22,743,21,1,1)</f>
        <v>43352223298805</v>
      </c>
      <c r="B744" s="1" t="str">
        <f aca="false">OFFSET(Table22,743,14,1,1)&amp;OFFSET(Table22,743,22,1,1)</f>
        <v>43352Facebook»AZP-Canvas-Interest&amp;Role-Trial»1x1»Canvas»OTH»MO»CPM»PRO»X»UNK»TP»OT»Canvas-Trial</v>
      </c>
      <c r="C744" s="1" t="s">
        <v>28</v>
      </c>
      <c r="D744" s="3" t="n">
        <f aca="false">O744+(7-WEEKDAY(O744))</f>
        <v>43358</v>
      </c>
      <c r="E744" s="1" t="str">
        <f aca="false">VLOOKUP(OFFSET(Table22,743,16,1,1),Key!B:D,2,0)</f>
        <v>Japan</v>
      </c>
      <c r="F744" s="1" t="str">
        <f aca="false">IF(ISNUMBER(SEARCH("Canvas",U744)),"Link",IF(ISNUMBER(SEARCH("Link",U744)),"Link","Not filled properly"))</f>
        <v>Link</v>
      </c>
      <c r="G744" s="1" t="str">
        <f aca="false">IFERROR(VLOOKUP(OFFSET(Table22,743,21,1,1),OFFSET(Table2,0,1,ROWS(Table2),8),2,0),VLOOKUP(OFFSET(Table22,743,22,1,1),Table2,3,0))</f>
        <v>JPN_gaPMG_AZR_AZR_Q1_19_Trial-Social</v>
      </c>
      <c r="H744" s="1" t="n">
        <f aca="false">IFERROR(VLOOKUP(OFFSET(Table22,743,21,1,1),OFFSET(Table2,0,1,ROWS(Table2),8),3,0),VLOOKUP(OFFSET(Table22,743,22,1,1),Table2,4,0))</f>
        <v>21276694</v>
      </c>
      <c r="I744" s="2" t="n">
        <f aca="false">IFERROR(VLOOKUP(OFFSET(Table22,743,21,1,1),OFFSET(Table2,0,1,ROWS(Table2),8),4,0),VLOOKUP(OFFSET(Table22,743,22,1,1),Table2,5,0))</f>
        <v>720195</v>
      </c>
      <c r="J744" s="3" t="str">
        <f aca="false">IF(ISNUMBER(SEARCH("FACEBOOK",W744)),"Facebook",IF(ISNUMBER(SEARCH("INSTAGRAM",W744)),"Facebook-Instagram","Look at taxonomy"))</f>
        <v>Facebook</v>
      </c>
      <c r="K744" s="3" t="str">
        <f aca="false">IF(ISNUMBER(SEARCH("Facebook",J744)),"3654128","Not Facebook")</f>
        <v>3654128</v>
      </c>
      <c r="L744" s="3" t="str">
        <f aca="false">IFERROR(VLOOKUP(OFFSET(Table22,743,21,1,1),OFFSET(Table2,0,1,ROWS(Table2),8),7,0),VLOOKUP(OFFSET(Table22,743,22,1,1),Table2,8,0))</f>
        <v>AzurePlatform_FBCTCcanvaspage-BuyNowCTA-Img3_JPN_1080x162_SOC_Plat_Japanese_NA_Standard_NA_BN_T3_1</v>
      </c>
      <c r="M744" s="2" t="n">
        <f aca="false">IFERROR(VLOOKUP(OFFSET(Table22,743,21,1,1),OFFSET(Table2,0,1,ROWS(Table2),8),8,0),VLOOKUP(OFFSET(Table22,743,22,1,1),Table2,9,0))</f>
        <v>102630373</v>
      </c>
      <c r="N744" s="15" t="s">
        <v>29</v>
      </c>
      <c r="O744" s="16" t="n">
        <v>43352</v>
      </c>
      <c r="P744" s="17" t="s">
        <v>159</v>
      </c>
      <c r="Q744" s="18" t="s">
        <v>160</v>
      </c>
      <c r="R744" s="17" t="s">
        <v>161</v>
      </c>
      <c r="S744" s="18" t="s">
        <v>33</v>
      </c>
      <c r="T744" s="17" t="s">
        <v>34</v>
      </c>
      <c r="U744" s="18" t="s">
        <v>35</v>
      </c>
      <c r="V744" s="19" t="n">
        <v>223298805</v>
      </c>
      <c r="W744" s="17" t="s">
        <v>164</v>
      </c>
      <c r="X744" s="17" t="n">
        <v>7306</v>
      </c>
      <c r="Y744" s="17" t="n">
        <v>57</v>
      </c>
      <c r="Z744" s="17" t="n">
        <v>9290</v>
      </c>
      <c r="AA744" s="17" t="s">
        <v>163</v>
      </c>
      <c r="AB744" s="17"/>
    </row>
    <row r="745" customFormat="false" ht="15" hidden="false" customHeight="false" outlineLevel="0" collapsed="false">
      <c r="A745" s="1" t="str">
        <f aca="false">OFFSET(Table22,744,14,1,1)&amp;OFFSET(Table22,744,21,1,1)</f>
        <v>43352226269941</v>
      </c>
      <c r="B745" s="1" t="str">
        <f aca="false">OFFSET(Table22,744,14,1,1)&amp;OFFSET(Table22,744,22,1,1)</f>
        <v>43352Facebook»AZP-Canvas-Retargeting-Trial»1x1»Canvas»SOC»MO»CPM»PRO»W»UNK»SS»OT»Canvas-Trial</v>
      </c>
      <c r="C745" s="1" t="s">
        <v>28</v>
      </c>
      <c r="D745" s="3" t="n">
        <f aca="false">O745+(7-WEEKDAY(O745))</f>
        <v>43358</v>
      </c>
      <c r="E745" s="1" t="str">
        <f aca="false">VLOOKUP(OFFSET(Table22,744,16,1,1),Key!B:D,2,0)</f>
        <v>Japan</v>
      </c>
      <c r="F745" s="1" t="str">
        <f aca="false">IF(ISNUMBER(SEARCH("Canvas",U745)),"Link",IF(ISNUMBER(SEARCH("Link",U745)),"Link","Not filled properly"))</f>
        <v>Link</v>
      </c>
      <c r="G745" s="1" t="str">
        <f aca="false">IFERROR(VLOOKUP(OFFSET(Table22,744,21,1,1),OFFSET(Table2,0,1,ROWS(Table2),8),2,0),VLOOKUP(OFFSET(Table22,744,22,1,1),Table2,3,0))</f>
        <v>JPN_gaPMG_AZR_AZR_Q1_19_Trial-Social</v>
      </c>
      <c r="H745" s="1" t="n">
        <f aca="false">IFERROR(VLOOKUP(OFFSET(Table22,744,21,1,1),OFFSET(Table2,0,1,ROWS(Table2),8),3,0),VLOOKUP(OFFSET(Table22,744,22,1,1),Table2,4,0))</f>
        <v>21276694</v>
      </c>
      <c r="I745" s="2" t="n">
        <f aca="false">IFERROR(VLOOKUP(OFFSET(Table22,744,21,1,1),OFFSET(Table2,0,1,ROWS(Table2),8),4,0),VLOOKUP(OFFSET(Table22,744,22,1,1),Table2,5,0))</f>
        <v>720195</v>
      </c>
      <c r="J745" s="3" t="str">
        <f aca="false">IF(ISNUMBER(SEARCH("FACEBOOK",W745)),"Facebook",IF(ISNUMBER(SEARCH("INSTAGRAM",W745)),"Facebook-Instagram","Look at taxonomy"))</f>
        <v>Facebook</v>
      </c>
      <c r="K745" s="3" t="str">
        <f aca="false">IF(ISNUMBER(SEARCH("Facebook",J745)),"3654128","Not Facebook")</f>
        <v>3654128</v>
      </c>
      <c r="L745" s="3" t="str">
        <f aca="false">IFERROR(VLOOKUP(OFFSET(Table22,744,21,1,1),OFFSET(Table2,0,1,ROWS(Table2),8),7,0),VLOOKUP(OFFSET(Table22,744,22,1,1),Table2,8,0))</f>
        <v>AZR_FBCTCcanvaspage-BuyNowCTA-Img3_JPN_1080x162_SOC_Plat_Japanese_NA_Standard_NA_BN_T3_1</v>
      </c>
      <c r="M745" s="2" t="n">
        <f aca="false">IFERROR(VLOOKUP(OFFSET(Table22,744,21,1,1),OFFSET(Table2,0,1,ROWS(Table2),8),8,0),VLOOKUP(OFFSET(Table22,744,22,1,1),Table2,9,0))</f>
        <v>104060547</v>
      </c>
      <c r="N745" s="15" t="s">
        <v>29</v>
      </c>
      <c r="O745" s="16" t="n">
        <v>43352</v>
      </c>
      <c r="P745" s="17" t="s">
        <v>159</v>
      </c>
      <c r="Q745" s="18" t="s">
        <v>160</v>
      </c>
      <c r="R745" s="17" t="s">
        <v>161</v>
      </c>
      <c r="S745" s="18" t="s">
        <v>33</v>
      </c>
      <c r="T745" s="17" t="s">
        <v>34</v>
      </c>
      <c r="U745" s="18" t="s">
        <v>35</v>
      </c>
      <c r="V745" s="19" t="n">
        <v>226269941</v>
      </c>
      <c r="W745" s="17" t="s">
        <v>165</v>
      </c>
      <c r="X745" s="17" t="n">
        <v>3306</v>
      </c>
      <c r="Y745" s="17" t="n">
        <v>12</v>
      </c>
      <c r="Z745" s="17" t="n">
        <v>5778</v>
      </c>
      <c r="AA745" s="17" t="s">
        <v>163</v>
      </c>
      <c r="AB745" s="17"/>
    </row>
    <row r="746" customFormat="false" ht="15" hidden="false" customHeight="false" outlineLevel="0" collapsed="false">
      <c r="A746" s="1" t="str">
        <f aca="false">OFFSET(Table22,745,14,1,1)&amp;OFFSET(Table22,745,21,1,1)</f>
        <v>43352227208508</v>
      </c>
      <c r="B746" s="1" t="str">
        <f aca="false">OFFSET(Table22,745,14,1,1)&amp;OFFSET(Table22,745,22,1,1)</f>
        <v>43352Facebook»AZP-Canvas-iine-Trial»1x1»Canvas»SOC»MO»CPM»AUT»W»NA»SS»NA»Canvas-Trial</v>
      </c>
      <c r="C746" s="1" t="s">
        <v>28</v>
      </c>
      <c r="D746" s="3" t="n">
        <f aca="false">O746+(7-WEEKDAY(O746))</f>
        <v>43358</v>
      </c>
      <c r="E746" s="1" t="str">
        <f aca="false">VLOOKUP(OFFSET(Table22,745,16,1,1),Key!B:D,2,0)</f>
        <v>Japan</v>
      </c>
      <c r="F746" s="1" t="str">
        <f aca="false">IF(ISNUMBER(SEARCH("Canvas",U746)),"Link",IF(ISNUMBER(SEARCH("Link",U746)),"Link","Not filled properly"))</f>
        <v>Link</v>
      </c>
      <c r="G746" s="1" t="str">
        <f aca="false">IFERROR(VLOOKUP(OFFSET(Table22,745,21,1,1),OFFSET(Table2,0,1,ROWS(Table2),8),2,0),VLOOKUP(OFFSET(Table22,745,22,1,1),Table2,3,0))</f>
        <v>JPN_gaPMG_AZR_AZR_Q1_19_Trial-Social</v>
      </c>
      <c r="H746" s="1" t="n">
        <f aca="false">IFERROR(VLOOKUP(OFFSET(Table22,745,21,1,1),OFFSET(Table2,0,1,ROWS(Table2),8),3,0),VLOOKUP(OFFSET(Table22,745,22,1,1),Table2,4,0))</f>
        <v>21276694</v>
      </c>
      <c r="I746" s="2" t="n">
        <f aca="false">IFERROR(VLOOKUP(OFFSET(Table22,745,21,1,1),OFFSET(Table2,0,1,ROWS(Table2),8),4,0),VLOOKUP(OFFSET(Table22,745,22,1,1),Table2,5,0))</f>
        <v>720195</v>
      </c>
      <c r="J746" s="3" t="str">
        <f aca="false">IF(ISNUMBER(SEARCH("FACEBOOK",W746)),"Facebook",IF(ISNUMBER(SEARCH("INSTAGRAM",W746)),"Facebook-Instagram","Look at taxonomy"))</f>
        <v>Facebook</v>
      </c>
      <c r="K746" s="3" t="str">
        <f aca="false">IF(ISNUMBER(SEARCH("Facebook",J746)),"3654128","Not Facebook")</f>
        <v>3654128</v>
      </c>
      <c r="L746" s="3" t="str">
        <f aca="false">IFERROR(VLOOKUP(OFFSET(Table22,745,21,1,1),OFFSET(Table2,0,1,ROWS(Table2),8),7,0),VLOOKUP(OFFSET(Table22,745,22,1,1),Table2,8,0))</f>
        <v>AzurePlatform_FBCTCcanvaspage-BuyNowCTA-Img3_JPN_1080x162_SOC_Plat_Japanese_NA_Standard_NA_BN_T3_1</v>
      </c>
      <c r="M746" s="2" t="n">
        <f aca="false">IFERROR(VLOOKUP(OFFSET(Table22,745,21,1,1),OFFSET(Table2,0,1,ROWS(Table2),8),8,0),VLOOKUP(OFFSET(Table22,745,22,1,1),Table2,9,0))</f>
        <v>102630373</v>
      </c>
      <c r="N746" s="15" t="s">
        <v>29</v>
      </c>
      <c r="O746" s="16" t="n">
        <v>43352</v>
      </c>
      <c r="P746" s="17" t="s">
        <v>159</v>
      </c>
      <c r="Q746" s="18" t="s">
        <v>160</v>
      </c>
      <c r="R746" s="17" t="s">
        <v>161</v>
      </c>
      <c r="S746" s="18" t="s">
        <v>33</v>
      </c>
      <c r="T746" s="17" t="s">
        <v>34</v>
      </c>
      <c r="U746" s="18" t="s">
        <v>35</v>
      </c>
      <c r="V746" s="19" t="n">
        <v>227208508</v>
      </c>
      <c r="W746" s="17" t="s">
        <v>166</v>
      </c>
      <c r="X746" s="17" t="n">
        <v>3399</v>
      </c>
      <c r="Y746" s="17" t="n">
        <v>6</v>
      </c>
      <c r="Z746" s="17" t="n">
        <v>2088</v>
      </c>
      <c r="AA746" s="17" t="s">
        <v>163</v>
      </c>
      <c r="AB746" s="17"/>
    </row>
    <row r="747" customFormat="false" ht="15" hidden="false" customHeight="false" outlineLevel="0" collapsed="false">
      <c r="A747" s="1" t="str">
        <f aca="false">OFFSET(Table22,746,14,1,1)&amp;OFFSET(Table22,746,21,1,1)</f>
        <v>43353223297413</v>
      </c>
      <c r="B747" s="1" t="str">
        <f aca="false">OFFSET(Table22,746,14,1,1)&amp;OFFSET(Table22,746,22,1,1)</f>
        <v>43353Facebook»AZP-Canvas-Look a Like-Trial»1x1»Canvas»OTH»MO»CPM»PRO»X»UNK»TP»OT»Canvas-Trial</v>
      </c>
      <c r="C747" s="1" t="s">
        <v>28</v>
      </c>
      <c r="D747" s="3" t="n">
        <f aca="false">O747+(7-WEEKDAY(O747))</f>
        <v>43358</v>
      </c>
      <c r="E747" s="1" t="str">
        <f aca="false">VLOOKUP(OFFSET(Table22,746,16,1,1),Key!B:D,2,0)</f>
        <v>Japan</v>
      </c>
      <c r="F747" s="1" t="str">
        <f aca="false">IF(ISNUMBER(SEARCH("Canvas",U747)),"Link",IF(ISNUMBER(SEARCH("Link",U747)),"Link","Not filled properly"))</f>
        <v>Link</v>
      </c>
      <c r="G747" s="1" t="str">
        <f aca="false">IFERROR(VLOOKUP(OFFSET(Table22,746,21,1,1),OFFSET(Table2,0,1,ROWS(Table2),8),2,0),VLOOKUP(OFFSET(Table22,746,22,1,1),Table2,3,0))</f>
        <v>JPN_gaPMG_AZR_AZR_Q1_19_Trial-Social</v>
      </c>
      <c r="H747" s="1" t="n">
        <f aca="false">IFERROR(VLOOKUP(OFFSET(Table22,746,21,1,1),OFFSET(Table2,0,1,ROWS(Table2),8),3,0),VLOOKUP(OFFSET(Table22,746,22,1,1),Table2,4,0))</f>
        <v>21276694</v>
      </c>
      <c r="I747" s="2" t="n">
        <f aca="false">IFERROR(VLOOKUP(OFFSET(Table22,746,21,1,1),OFFSET(Table2,0,1,ROWS(Table2),8),4,0),VLOOKUP(OFFSET(Table22,746,22,1,1),Table2,5,0))</f>
        <v>720195</v>
      </c>
      <c r="J747" s="3" t="str">
        <f aca="false">IF(ISNUMBER(SEARCH("FACEBOOK",W747)),"Facebook",IF(ISNUMBER(SEARCH("INSTAGRAM",W747)),"Facebook-Instagram","Look at taxonomy"))</f>
        <v>Facebook</v>
      </c>
      <c r="K747" s="3" t="str">
        <f aca="false">IF(ISNUMBER(SEARCH("Facebook",J747)),"3654128","Not Facebook")</f>
        <v>3654128</v>
      </c>
      <c r="L747" s="3" t="str">
        <f aca="false">IFERROR(VLOOKUP(OFFSET(Table22,746,21,1,1),OFFSET(Table2,0,1,ROWS(Table2),8),7,0),VLOOKUP(OFFSET(Table22,746,22,1,1),Table2,8,0))</f>
        <v>AzurePlatform_FBCTCcanvaspage-StartFreeCTA-Img2_JPN_1080x143 _SOC_Plat_Japanese_NA_Standard_NA_NA_T2_1</v>
      </c>
      <c r="M747" s="2" t="n">
        <f aca="false">IFERROR(VLOOKUP(OFFSET(Table22,746,21,1,1),OFFSET(Table2,0,1,ROWS(Table2),8),8,0),VLOOKUP(OFFSET(Table22,746,22,1,1),Table2,9,0))</f>
        <v>102609621</v>
      </c>
      <c r="N747" s="15" t="s">
        <v>29</v>
      </c>
      <c r="O747" s="16" t="n">
        <v>43353</v>
      </c>
      <c r="P747" s="17" t="s">
        <v>159</v>
      </c>
      <c r="Q747" s="18" t="s">
        <v>160</v>
      </c>
      <c r="R747" s="17" t="s">
        <v>161</v>
      </c>
      <c r="S747" s="18" t="s">
        <v>33</v>
      </c>
      <c r="T747" s="17" t="s">
        <v>34</v>
      </c>
      <c r="U747" s="18" t="s">
        <v>35</v>
      </c>
      <c r="V747" s="19" t="n">
        <v>223297413</v>
      </c>
      <c r="W747" s="17" t="s">
        <v>162</v>
      </c>
      <c r="X747" s="17" t="n">
        <v>4091</v>
      </c>
      <c r="Y747" s="17" t="n">
        <v>9</v>
      </c>
      <c r="Z747" s="17" t="n">
        <v>3171</v>
      </c>
      <c r="AA747" s="17" t="s">
        <v>163</v>
      </c>
      <c r="AB747" s="17"/>
    </row>
    <row r="748" customFormat="false" ht="15" hidden="false" customHeight="false" outlineLevel="0" collapsed="false">
      <c r="A748" s="1" t="str">
        <f aca="false">OFFSET(Table22,747,14,1,1)&amp;OFFSET(Table22,747,21,1,1)</f>
        <v>43353223298805</v>
      </c>
      <c r="B748" s="1" t="str">
        <f aca="false">OFFSET(Table22,747,14,1,1)&amp;OFFSET(Table22,747,22,1,1)</f>
        <v>43353Facebook»AZP-Canvas-Interest&amp;Role-Trial»1x1»Canvas»OTH»MO»CPM»PRO»X»UNK»TP»OT»Canvas-Trial</v>
      </c>
      <c r="C748" s="1" t="s">
        <v>28</v>
      </c>
      <c r="D748" s="3" t="n">
        <f aca="false">O748+(7-WEEKDAY(O748))</f>
        <v>43358</v>
      </c>
      <c r="E748" s="1" t="str">
        <f aca="false">VLOOKUP(OFFSET(Table22,747,16,1,1),Key!B:D,2,0)</f>
        <v>Japan</v>
      </c>
      <c r="F748" s="1" t="str">
        <f aca="false">IF(ISNUMBER(SEARCH("Canvas",U748)),"Link",IF(ISNUMBER(SEARCH("Link",U748)),"Link","Not filled properly"))</f>
        <v>Link</v>
      </c>
      <c r="G748" s="1" t="str">
        <f aca="false">IFERROR(VLOOKUP(OFFSET(Table22,747,21,1,1),OFFSET(Table2,0,1,ROWS(Table2),8),2,0),VLOOKUP(OFFSET(Table22,747,22,1,1),Table2,3,0))</f>
        <v>JPN_gaPMG_AZR_AZR_Q1_19_Trial-Social</v>
      </c>
      <c r="H748" s="1" t="n">
        <f aca="false">IFERROR(VLOOKUP(OFFSET(Table22,747,21,1,1),OFFSET(Table2,0,1,ROWS(Table2),8),3,0),VLOOKUP(OFFSET(Table22,747,22,1,1),Table2,4,0))</f>
        <v>21276694</v>
      </c>
      <c r="I748" s="2" t="n">
        <f aca="false">IFERROR(VLOOKUP(OFFSET(Table22,747,21,1,1),OFFSET(Table2,0,1,ROWS(Table2),8),4,0),VLOOKUP(OFFSET(Table22,747,22,1,1),Table2,5,0))</f>
        <v>720195</v>
      </c>
      <c r="J748" s="3" t="str">
        <f aca="false">IF(ISNUMBER(SEARCH("FACEBOOK",W748)),"Facebook",IF(ISNUMBER(SEARCH("INSTAGRAM",W748)),"Facebook-Instagram","Look at taxonomy"))</f>
        <v>Facebook</v>
      </c>
      <c r="K748" s="3" t="str">
        <f aca="false">IF(ISNUMBER(SEARCH("Facebook",J748)),"3654128","Not Facebook")</f>
        <v>3654128</v>
      </c>
      <c r="L748" s="3" t="str">
        <f aca="false">IFERROR(VLOOKUP(OFFSET(Table22,747,21,1,1),OFFSET(Table2,0,1,ROWS(Table2),8),7,0),VLOOKUP(OFFSET(Table22,747,22,1,1),Table2,8,0))</f>
        <v>AzurePlatform_FBCTCcanvaspage-BuyNowCTA-Img3_JPN_1080x162_SOC_Plat_Japanese_NA_Standard_NA_BN_T3_1</v>
      </c>
      <c r="M748" s="2" t="n">
        <f aca="false">IFERROR(VLOOKUP(OFFSET(Table22,747,21,1,1),OFFSET(Table2,0,1,ROWS(Table2),8),8,0),VLOOKUP(OFFSET(Table22,747,22,1,1),Table2,9,0))</f>
        <v>102630373</v>
      </c>
      <c r="N748" s="15" t="s">
        <v>29</v>
      </c>
      <c r="O748" s="16" t="n">
        <v>43353</v>
      </c>
      <c r="P748" s="17" t="s">
        <v>159</v>
      </c>
      <c r="Q748" s="18" t="s">
        <v>160</v>
      </c>
      <c r="R748" s="17" t="s">
        <v>161</v>
      </c>
      <c r="S748" s="18" t="s">
        <v>33</v>
      </c>
      <c r="T748" s="17" t="s">
        <v>34</v>
      </c>
      <c r="U748" s="18" t="s">
        <v>35</v>
      </c>
      <c r="V748" s="19" t="n">
        <v>223298805</v>
      </c>
      <c r="W748" s="17" t="s">
        <v>164</v>
      </c>
      <c r="X748" s="17" t="n">
        <v>7573</v>
      </c>
      <c r="Y748" s="17" t="n">
        <v>35</v>
      </c>
      <c r="Z748" s="17" t="n">
        <v>8429</v>
      </c>
      <c r="AA748" s="17" t="s">
        <v>163</v>
      </c>
      <c r="AB748" s="17"/>
    </row>
    <row r="749" customFormat="false" ht="15" hidden="false" customHeight="false" outlineLevel="0" collapsed="false">
      <c r="A749" s="1" t="str">
        <f aca="false">OFFSET(Table22,748,14,1,1)&amp;OFFSET(Table22,748,21,1,1)</f>
        <v>43353226269941</v>
      </c>
      <c r="B749" s="1" t="str">
        <f aca="false">OFFSET(Table22,748,14,1,1)&amp;OFFSET(Table22,748,22,1,1)</f>
        <v>43353Facebook»AZP-Canvas-Retargeting-Trial»1x1»Canvas»SOC»MO»CPM»PRO»W»UNK»SS»OT»Canvas-Trial</v>
      </c>
      <c r="C749" s="1" t="s">
        <v>28</v>
      </c>
      <c r="D749" s="3" t="n">
        <f aca="false">O749+(7-WEEKDAY(O749))</f>
        <v>43358</v>
      </c>
      <c r="E749" s="1" t="str">
        <f aca="false">VLOOKUP(OFFSET(Table22,748,16,1,1),Key!B:D,2,0)</f>
        <v>Japan</v>
      </c>
      <c r="F749" s="1" t="str">
        <f aca="false">IF(ISNUMBER(SEARCH("Canvas",U749)),"Link",IF(ISNUMBER(SEARCH("Link",U749)),"Link","Not filled properly"))</f>
        <v>Link</v>
      </c>
      <c r="G749" s="1" t="str">
        <f aca="false">IFERROR(VLOOKUP(OFFSET(Table22,748,21,1,1),OFFSET(Table2,0,1,ROWS(Table2),8),2,0),VLOOKUP(OFFSET(Table22,748,22,1,1),Table2,3,0))</f>
        <v>JPN_gaPMG_AZR_AZR_Q1_19_Trial-Social</v>
      </c>
      <c r="H749" s="1" t="n">
        <f aca="false">IFERROR(VLOOKUP(OFFSET(Table22,748,21,1,1),OFFSET(Table2,0,1,ROWS(Table2),8),3,0),VLOOKUP(OFFSET(Table22,748,22,1,1),Table2,4,0))</f>
        <v>21276694</v>
      </c>
      <c r="I749" s="2" t="n">
        <f aca="false">IFERROR(VLOOKUP(OFFSET(Table22,748,21,1,1),OFFSET(Table2,0,1,ROWS(Table2),8),4,0),VLOOKUP(OFFSET(Table22,748,22,1,1),Table2,5,0))</f>
        <v>720195</v>
      </c>
      <c r="J749" s="3" t="str">
        <f aca="false">IF(ISNUMBER(SEARCH("FACEBOOK",W749)),"Facebook",IF(ISNUMBER(SEARCH("INSTAGRAM",W749)),"Facebook-Instagram","Look at taxonomy"))</f>
        <v>Facebook</v>
      </c>
      <c r="K749" s="3" t="str">
        <f aca="false">IF(ISNUMBER(SEARCH("Facebook",J749)),"3654128","Not Facebook")</f>
        <v>3654128</v>
      </c>
      <c r="L749" s="3" t="str">
        <f aca="false">IFERROR(VLOOKUP(OFFSET(Table22,748,21,1,1),OFFSET(Table2,0,1,ROWS(Table2),8),7,0),VLOOKUP(OFFSET(Table22,748,22,1,1),Table2,8,0))</f>
        <v>AZR_FBCTCcanvaspage-BuyNowCTA-Img3_JPN_1080x162_SOC_Plat_Japanese_NA_Standard_NA_BN_T3_1</v>
      </c>
      <c r="M749" s="2" t="n">
        <f aca="false">IFERROR(VLOOKUP(OFFSET(Table22,748,21,1,1),OFFSET(Table2,0,1,ROWS(Table2),8),8,0),VLOOKUP(OFFSET(Table22,748,22,1,1),Table2,9,0))</f>
        <v>104060547</v>
      </c>
      <c r="N749" s="15" t="s">
        <v>29</v>
      </c>
      <c r="O749" s="16" t="n">
        <v>43353</v>
      </c>
      <c r="P749" s="17" t="s">
        <v>159</v>
      </c>
      <c r="Q749" s="18" t="s">
        <v>160</v>
      </c>
      <c r="R749" s="17" t="s">
        <v>161</v>
      </c>
      <c r="S749" s="18" t="s">
        <v>33</v>
      </c>
      <c r="T749" s="17" t="s">
        <v>34</v>
      </c>
      <c r="U749" s="18" t="s">
        <v>35</v>
      </c>
      <c r="V749" s="19" t="n">
        <v>226269941</v>
      </c>
      <c r="W749" s="17" t="s">
        <v>165</v>
      </c>
      <c r="X749" s="17" t="n">
        <v>3519</v>
      </c>
      <c r="Y749" s="17" t="n">
        <v>16</v>
      </c>
      <c r="Z749" s="17" t="n">
        <v>5883</v>
      </c>
      <c r="AA749" s="17" t="s">
        <v>163</v>
      </c>
      <c r="AB749" s="17"/>
    </row>
    <row r="750" customFormat="false" ht="15" hidden="false" customHeight="false" outlineLevel="0" collapsed="false">
      <c r="A750" s="1" t="str">
        <f aca="false">OFFSET(Table22,749,14,1,1)&amp;OFFSET(Table22,749,21,1,1)</f>
        <v>43353227208508</v>
      </c>
      <c r="B750" s="1" t="str">
        <f aca="false">OFFSET(Table22,749,14,1,1)&amp;OFFSET(Table22,749,22,1,1)</f>
        <v>43353Facebook»AZP-Canvas-iine-Trial»1x1»Canvas»SOC»MO»CPM»AUT»W»NA»SS»NA»Canvas-Trial</v>
      </c>
      <c r="C750" s="1" t="s">
        <v>28</v>
      </c>
      <c r="D750" s="3" t="n">
        <f aca="false">O750+(7-WEEKDAY(O750))</f>
        <v>43358</v>
      </c>
      <c r="E750" s="1" t="str">
        <f aca="false">VLOOKUP(OFFSET(Table22,749,16,1,1),Key!B:D,2,0)</f>
        <v>Japan</v>
      </c>
      <c r="F750" s="1" t="str">
        <f aca="false">IF(ISNUMBER(SEARCH("Canvas",U750)),"Link",IF(ISNUMBER(SEARCH("Link",U750)),"Link","Not filled properly"))</f>
        <v>Link</v>
      </c>
      <c r="G750" s="1" t="str">
        <f aca="false">IFERROR(VLOOKUP(OFFSET(Table22,749,21,1,1),OFFSET(Table2,0,1,ROWS(Table2),8),2,0),VLOOKUP(OFFSET(Table22,749,22,1,1),Table2,3,0))</f>
        <v>JPN_gaPMG_AZR_AZR_Q1_19_Trial-Social</v>
      </c>
      <c r="H750" s="1" t="n">
        <f aca="false">IFERROR(VLOOKUP(OFFSET(Table22,749,21,1,1),OFFSET(Table2,0,1,ROWS(Table2),8),3,0),VLOOKUP(OFFSET(Table22,749,22,1,1),Table2,4,0))</f>
        <v>21276694</v>
      </c>
      <c r="I750" s="2" t="n">
        <f aca="false">IFERROR(VLOOKUP(OFFSET(Table22,749,21,1,1),OFFSET(Table2,0,1,ROWS(Table2),8),4,0),VLOOKUP(OFFSET(Table22,749,22,1,1),Table2,5,0))</f>
        <v>720195</v>
      </c>
      <c r="J750" s="3" t="str">
        <f aca="false">IF(ISNUMBER(SEARCH("FACEBOOK",W750)),"Facebook",IF(ISNUMBER(SEARCH("INSTAGRAM",W750)),"Facebook-Instagram","Look at taxonomy"))</f>
        <v>Facebook</v>
      </c>
      <c r="K750" s="3" t="str">
        <f aca="false">IF(ISNUMBER(SEARCH("Facebook",J750)),"3654128","Not Facebook")</f>
        <v>3654128</v>
      </c>
      <c r="L750" s="3" t="str">
        <f aca="false">IFERROR(VLOOKUP(OFFSET(Table22,749,21,1,1),OFFSET(Table2,0,1,ROWS(Table2),8),7,0),VLOOKUP(OFFSET(Table22,749,22,1,1),Table2,8,0))</f>
        <v>AzurePlatform_FBCTCcanvaspage-BuyNowCTA-Img3_JPN_1080x162_SOC_Plat_Japanese_NA_Standard_NA_BN_T3_1</v>
      </c>
      <c r="M750" s="2" t="n">
        <f aca="false">IFERROR(VLOOKUP(OFFSET(Table22,749,21,1,1),OFFSET(Table2,0,1,ROWS(Table2),8),8,0),VLOOKUP(OFFSET(Table22,749,22,1,1),Table2,9,0))</f>
        <v>102630373</v>
      </c>
      <c r="N750" s="15" t="s">
        <v>29</v>
      </c>
      <c r="O750" s="16" t="n">
        <v>43353</v>
      </c>
      <c r="P750" s="17" t="s">
        <v>159</v>
      </c>
      <c r="Q750" s="18" t="s">
        <v>160</v>
      </c>
      <c r="R750" s="17" t="s">
        <v>161</v>
      </c>
      <c r="S750" s="18" t="s">
        <v>33</v>
      </c>
      <c r="T750" s="17" t="s">
        <v>34</v>
      </c>
      <c r="U750" s="18" t="s">
        <v>35</v>
      </c>
      <c r="V750" s="19" t="n">
        <v>227208508</v>
      </c>
      <c r="W750" s="17" t="s">
        <v>166</v>
      </c>
      <c r="X750" s="17" t="n">
        <v>3230</v>
      </c>
      <c r="Y750" s="17" t="n">
        <v>5</v>
      </c>
      <c r="Z750" s="17" t="n">
        <v>1777</v>
      </c>
      <c r="AA750" s="17" t="s">
        <v>163</v>
      </c>
      <c r="AB750" s="17"/>
    </row>
    <row r="751" customFormat="false" ht="15" hidden="false" customHeight="false" outlineLevel="0" collapsed="false">
      <c r="A751" s="1" t="str">
        <f aca="false">OFFSET(Table22,750,14,1,1)&amp;OFFSET(Table22,750,21,1,1)</f>
        <v>43354223297413</v>
      </c>
      <c r="B751" s="1" t="str">
        <f aca="false">OFFSET(Table22,750,14,1,1)&amp;OFFSET(Table22,750,22,1,1)</f>
        <v>43354Facebook»AZP-Canvas-Look a Like-Trial»1x1»Canvas»OTH»MO»CPM»PRO»X»UNK»TP»OT»Canvas-Trial</v>
      </c>
      <c r="C751" s="1" t="s">
        <v>28</v>
      </c>
      <c r="D751" s="3" t="n">
        <f aca="false">O751+(7-WEEKDAY(O751))</f>
        <v>43358</v>
      </c>
      <c r="E751" s="1" t="str">
        <f aca="false">VLOOKUP(OFFSET(Table22,750,16,1,1),Key!B:D,2,0)</f>
        <v>Japan</v>
      </c>
      <c r="F751" s="1" t="str">
        <f aca="false">IF(ISNUMBER(SEARCH("Canvas",U751)),"Link",IF(ISNUMBER(SEARCH("Link",U751)),"Link","Not filled properly"))</f>
        <v>Link</v>
      </c>
      <c r="G751" s="1" t="str">
        <f aca="false">IFERROR(VLOOKUP(OFFSET(Table22,750,21,1,1),OFFSET(Table2,0,1,ROWS(Table2),8),2,0),VLOOKUP(OFFSET(Table22,750,22,1,1),Table2,3,0))</f>
        <v>JPN_gaPMG_AZR_AZR_Q1_19_Trial-Social</v>
      </c>
      <c r="H751" s="1" t="n">
        <f aca="false">IFERROR(VLOOKUP(OFFSET(Table22,750,21,1,1),OFFSET(Table2,0,1,ROWS(Table2),8),3,0),VLOOKUP(OFFSET(Table22,750,22,1,1),Table2,4,0))</f>
        <v>21276694</v>
      </c>
      <c r="I751" s="2" t="n">
        <f aca="false">IFERROR(VLOOKUP(OFFSET(Table22,750,21,1,1),OFFSET(Table2,0,1,ROWS(Table2),8),4,0),VLOOKUP(OFFSET(Table22,750,22,1,1),Table2,5,0))</f>
        <v>720195</v>
      </c>
      <c r="J751" s="3" t="str">
        <f aca="false">IF(ISNUMBER(SEARCH("FACEBOOK",W751)),"Facebook",IF(ISNUMBER(SEARCH("INSTAGRAM",W751)),"Facebook-Instagram","Look at taxonomy"))</f>
        <v>Facebook</v>
      </c>
      <c r="K751" s="3" t="str">
        <f aca="false">IF(ISNUMBER(SEARCH("Facebook",J751)),"3654128","Not Facebook")</f>
        <v>3654128</v>
      </c>
      <c r="L751" s="3" t="str">
        <f aca="false">IFERROR(VLOOKUP(OFFSET(Table22,750,21,1,1),OFFSET(Table2,0,1,ROWS(Table2),8),7,0),VLOOKUP(OFFSET(Table22,750,22,1,1),Table2,8,0))</f>
        <v>AzurePlatform_FBCTCcanvaspage-StartFreeCTA-Img2_JPN_1080x143 _SOC_Plat_Japanese_NA_Standard_NA_NA_T2_1</v>
      </c>
      <c r="M751" s="2" t="n">
        <f aca="false">IFERROR(VLOOKUP(OFFSET(Table22,750,21,1,1),OFFSET(Table2,0,1,ROWS(Table2),8),8,0),VLOOKUP(OFFSET(Table22,750,22,1,1),Table2,9,0))</f>
        <v>102609621</v>
      </c>
      <c r="N751" s="15" t="s">
        <v>29</v>
      </c>
      <c r="O751" s="16" t="n">
        <v>43354</v>
      </c>
      <c r="P751" s="17" t="s">
        <v>159</v>
      </c>
      <c r="Q751" s="18" t="s">
        <v>160</v>
      </c>
      <c r="R751" s="17" t="s">
        <v>161</v>
      </c>
      <c r="S751" s="18" t="s">
        <v>33</v>
      </c>
      <c r="T751" s="17" t="s">
        <v>34</v>
      </c>
      <c r="U751" s="18" t="s">
        <v>35</v>
      </c>
      <c r="V751" s="19" t="n">
        <v>223297413</v>
      </c>
      <c r="W751" s="17" t="s">
        <v>162</v>
      </c>
      <c r="X751" s="17" t="n">
        <v>3127</v>
      </c>
      <c r="Y751" s="17" t="n">
        <v>6</v>
      </c>
      <c r="Z751" s="17" t="n">
        <v>2186</v>
      </c>
      <c r="AA751" s="17" t="s">
        <v>163</v>
      </c>
      <c r="AB751" s="17"/>
    </row>
    <row r="752" customFormat="false" ht="15" hidden="false" customHeight="false" outlineLevel="0" collapsed="false">
      <c r="A752" s="1" t="str">
        <f aca="false">OFFSET(Table22,751,14,1,1)&amp;OFFSET(Table22,751,21,1,1)</f>
        <v>43354223298805</v>
      </c>
      <c r="B752" s="1" t="str">
        <f aca="false">OFFSET(Table22,751,14,1,1)&amp;OFFSET(Table22,751,22,1,1)</f>
        <v>43354Facebook»AZP-Canvas-Interest&amp;Role-Trial»1x1»Canvas»OTH»MO»CPM»PRO»X»UNK»TP»OT»Canvas-Trial</v>
      </c>
      <c r="C752" s="1" t="s">
        <v>28</v>
      </c>
      <c r="D752" s="3" t="n">
        <f aca="false">O752+(7-WEEKDAY(O752))</f>
        <v>43358</v>
      </c>
      <c r="E752" s="1" t="str">
        <f aca="false">VLOOKUP(OFFSET(Table22,751,16,1,1),Key!B:D,2,0)</f>
        <v>Japan</v>
      </c>
      <c r="F752" s="1" t="str">
        <f aca="false">IF(ISNUMBER(SEARCH("Canvas",U752)),"Link",IF(ISNUMBER(SEARCH("Link",U752)),"Link","Not filled properly"))</f>
        <v>Link</v>
      </c>
      <c r="G752" s="1" t="str">
        <f aca="false">IFERROR(VLOOKUP(OFFSET(Table22,751,21,1,1),OFFSET(Table2,0,1,ROWS(Table2),8),2,0),VLOOKUP(OFFSET(Table22,751,22,1,1),Table2,3,0))</f>
        <v>JPN_gaPMG_AZR_AZR_Q1_19_Trial-Social</v>
      </c>
      <c r="H752" s="1" t="n">
        <f aca="false">IFERROR(VLOOKUP(OFFSET(Table22,751,21,1,1),OFFSET(Table2,0,1,ROWS(Table2),8),3,0),VLOOKUP(OFFSET(Table22,751,22,1,1),Table2,4,0))</f>
        <v>21276694</v>
      </c>
      <c r="I752" s="2" t="n">
        <f aca="false">IFERROR(VLOOKUP(OFFSET(Table22,751,21,1,1),OFFSET(Table2,0,1,ROWS(Table2),8),4,0),VLOOKUP(OFFSET(Table22,751,22,1,1),Table2,5,0))</f>
        <v>720195</v>
      </c>
      <c r="J752" s="3" t="str">
        <f aca="false">IF(ISNUMBER(SEARCH("FACEBOOK",W752)),"Facebook",IF(ISNUMBER(SEARCH("INSTAGRAM",W752)),"Facebook-Instagram","Look at taxonomy"))</f>
        <v>Facebook</v>
      </c>
      <c r="K752" s="3" t="str">
        <f aca="false">IF(ISNUMBER(SEARCH("Facebook",J752)),"3654128","Not Facebook")</f>
        <v>3654128</v>
      </c>
      <c r="L752" s="3" t="str">
        <f aca="false">IFERROR(VLOOKUP(OFFSET(Table22,751,21,1,1),OFFSET(Table2,0,1,ROWS(Table2),8),7,0),VLOOKUP(OFFSET(Table22,751,22,1,1),Table2,8,0))</f>
        <v>AzurePlatform_FBCTCcanvaspage-BuyNowCTA-Img3_JPN_1080x162_SOC_Plat_Japanese_NA_Standard_NA_BN_T3_1</v>
      </c>
      <c r="M752" s="2" t="n">
        <f aca="false">IFERROR(VLOOKUP(OFFSET(Table22,751,21,1,1),OFFSET(Table2,0,1,ROWS(Table2),8),8,0),VLOOKUP(OFFSET(Table22,751,22,1,1),Table2,9,0))</f>
        <v>102630373</v>
      </c>
      <c r="N752" s="15" t="s">
        <v>29</v>
      </c>
      <c r="O752" s="16" t="n">
        <v>43354</v>
      </c>
      <c r="P752" s="17" t="s">
        <v>159</v>
      </c>
      <c r="Q752" s="18" t="s">
        <v>160</v>
      </c>
      <c r="R752" s="17" t="s">
        <v>161</v>
      </c>
      <c r="S752" s="18" t="s">
        <v>33</v>
      </c>
      <c r="T752" s="17" t="s">
        <v>34</v>
      </c>
      <c r="U752" s="18" t="s">
        <v>35</v>
      </c>
      <c r="V752" s="19" t="n">
        <v>223298805</v>
      </c>
      <c r="W752" s="17" t="s">
        <v>164</v>
      </c>
      <c r="X752" s="17" t="n">
        <v>12418</v>
      </c>
      <c r="Y752" s="17" t="n">
        <v>53</v>
      </c>
      <c r="Z752" s="17" t="n">
        <v>11061</v>
      </c>
      <c r="AA752" s="17" t="s">
        <v>163</v>
      </c>
      <c r="AB752" s="17"/>
    </row>
    <row r="753" customFormat="false" ht="15" hidden="false" customHeight="false" outlineLevel="0" collapsed="false">
      <c r="A753" s="1" t="str">
        <f aca="false">OFFSET(Table22,752,14,1,1)&amp;OFFSET(Table22,752,21,1,1)</f>
        <v>43354226269941</v>
      </c>
      <c r="B753" s="1" t="str">
        <f aca="false">OFFSET(Table22,752,14,1,1)&amp;OFFSET(Table22,752,22,1,1)</f>
        <v>43354Facebook»AZP-Canvas-Retargeting-Trial»1x1»Canvas»SOC»MO»CPM»PRO»W»UNK»SS»OT»Canvas-Trial</v>
      </c>
      <c r="C753" s="1" t="s">
        <v>28</v>
      </c>
      <c r="D753" s="3" t="n">
        <f aca="false">O753+(7-WEEKDAY(O753))</f>
        <v>43358</v>
      </c>
      <c r="E753" s="1" t="str">
        <f aca="false">VLOOKUP(OFFSET(Table22,752,16,1,1),Key!B:D,2,0)</f>
        <v>Japan</v>
      </c>
      <c r="F753" s="1" t="str">
        <f aca="false">IF(ISNUMBER(SEARCH("Canvas",U753)),"Link",IF(ISNUMBER(SEARCH("Link",U753)),"Link","Not filled properly"))</f>
        <v>Link</v>
      </c>
      <c r="G753" s="1" t="str">
        <f aca="false">IFERROR(VLOOKUP(OFFSET(Table22,752,21,1,1),OFFSET(Table2,0,1,ROWS(Table2),8),2,0),VLOOKUP(OFFSET(Table22,752,22,1,1),Table2,3,0))</f>
        <v>JPN_gaPMG_AZR_AZR_Q1_19_Trial-Social</v>
      </c>
      <c r="H753" s="1" t="n">
        <f aca="false">IFERROR(VLOOKUP(OFFSET(Table22,752,21,1,1),OFFSET(Table2,0,1,ROWS(Table2),8),3,0),VLOOKUP(OFFSET(Table22,752,22,1,1),Table2,4,0))</f>
        <v>21276694</v>
      </c>
      <c r="I753" s="2" t="n">
        <f aca="false">IFERROR(VLOOKUP(OFFSET(Table22,752,21,1,1),OFFSET(Table2,0,1,ROWS(Table2),8),4,0),VLOOKUP(OFFSET(Table22,752,22,1,1),Table2,5,0))</f>
        <v>720195</v>
      </c>
      <c r="J753" s="3" t="str">
        <f aca="false">IF(ISNUMBER(SEARCH("FACEBOOK",W753)),"Facebook",IF(ISNUMBER(SEARCH("INSTAGRAM",W753)),"Facebook-Instagram","Look at taxonomy"))</f>
        <v>Facebook</v>
      </c>
      <c r="K753" s="3" t="str">
        <f aca="false">IF(ISNUMBER(SEARCH("Facebook",J753)),"3654128","Not Facebook")</f>
        <v>3654128</v>
      </c>
      <c r="L753" s="3" t="str">
        <f aca="false">IFERROR(VLOOKUP(OFFSET(Table22,752,21,1,1),OFFSET(Table2,0,1,ROWS(Table2),8),7,0),VLOOKUP(OFFSET(Table22,752,22,1,1),Table2,8,0))</f>
        <v>AZR_FBCTCcanvaspage-BuyNowCTA-Img3_JPN_1080x162_SOC_Plat_Japanese_NA_Standard_NA_BN_T3_1</v>
      </c>
      <c r="M753" s="2" t="n">
        <f aca="false">IFERROR(VLOOKUP(OFFSET(Table22,752,21,1,1),OFFSET(Table2,0,1,ROWS(Table2),8),8,0),VLOOKUP(OFFSET(Table22,752,22,1,1),Table2,9,0))</f>
        <v>104060547</v>
      </c>
      <c r="N753" s="15" t="s">
        <v>29</v>
      </c>
      <c r="O753" s="16" t="n">
        <v>43354</v>
      </c>
      <c r="P753" s="17" t="s">
        <v>159</v>
      </c>
      <c r="Q753" s="18" t="s">
        <v>160</v>
      </c>
      <c r="R753" s="17" t="s">
        <v>161</v>
      </c>
      <c r="S753" s="18" t="s">
        <v>33</v>
      </c>
      <c r="T753" s="17" t="s">
        <v>34</v>
      </c>
      <c r="U753" s="18" t="s">
        <v>35</v>
      </c>
      <c r="V753" s="19" t="n">
        <v>226269941</v>
      </c>
      <c r="W753" s="17" t="s">
        <v>165</v>
      </c>
      <c r="X753" s="17" t="n">
        <v>3717</v>
      </c>
      <c r="Y753" s="17" t="n">
        <v>17</v>
      </c>
      <c r="Z753" s="17" t="n">
        <v>5772</v>
      </c>
      <c r="AA753" s="17" t="s">
        <v>163</v>
      </c>
      <c r="AB753" s="17"/>
    </row>
    <row r="754" customFormat="false" ht="15" hidden="false" customHeight="false" outlineLevel="0" collapsed="false">
      <c r="A754" s="1" t="str">
        <f aca="false">OFFSET(Table22,753,14,1,1)&amp;OFFSET(Table22,753,21,1,1)</f>
        <v>43354227208508</v>
      </c>
      <c r="B754" s="1" t="str">
        <f aca="false">OFFSET(Table22,753,14,1,1)&amp;OFFSET(Table22,753,22,1,1)</f>
        <v>43354Facebook»AZP-Canvas-iine-Trial»1x1»Canvas»SOC»MO»CPM»AUT»W»NA»SS»NA»Canvas-Trial</v>
      </c>
      <c r="C754" s="1" t="s">
        <v>28</v>
      </c>
      <c r="D754" s="3" t="n">
        <f aca="false">O754+(7-WEEKDAY(O754))</f>
        <v>43358</v>
      </c>
      <c r="E754" s="1" t="str">
        <f aca="false">VLOOKUP(OFFSET(Table22,753,16,1,1),Key!B:D,2,0)</f>
        <v>Japan</v>
      </c>
      <c r="F754" s="1" t="str">
        <f aca="false">IF(ISNUMBER(SEARCH("Canvas",U754)),"Link",IF(ISNUMBER(SEARCH("Link",U754)),"Link","Not filled properly"))</f>
        <v>Link</v>
      </c>
      <c r="G754" s="1" t="str">
        <f aca="false">IFERROR(VLOOKUP(OFFSET(Table22,753,21,1,1),OFFSET(Table2,0,1,ROWS(Table2),8),2,0),VLOOKUP(OFFSET(Table22,753,22,1,1),Table2,3,0))</f>
        <v>JPN_gaPMG_AZR_AZR_Q1_19_Trial-Social</v>
      </c>
      <c r="H754" s="1" t="n">
        <f aca="false">IFERROR(VLOOKUP(OFFSET(Table22,753,21,1,1),OFFSET(Table2,0,1,ROWS(Table2),8),3,0),VLOOKUP(OFFSET(Table22,753,22,1,1),Table2,4,0))</f>
        <v>21276694</v>
      </c>
      <c r="I754" s="2" t="n">
        <f aca="false">IFERROR(VLOOKUP(OFFSET(Table22,753,21,1,1),OFFSET(Table2,0,1,ROWS(Table2),8),4,0),VLOOKUP(OFFSET(Table22,753,22,1,1),Table2,5,0))</f>
        <v>720195</v>
      </c>
      <c r="J754" s="3" t="str">
        <f aca="false">IF(ISNUMBER(SEARCH("FACEBOOK",W754)),"Facebook",IF(ISNUMBER(SEARCH("INSTAGRAM",W754)),"Facebook-Instagram","Look at taxonomy"))</f>
        <v>Facebook</v>
      </c>
      <c r="K754" s="3" t="str">
        <f aca="false">IF(ISNUMBER(SEARCH("Facebook",J754)),"3654128","Not Facebook")</f>
        <v>3654128</v>
      </c>
      <c r="L754" s="3" t="str">
        <f aca="false">IFERROR(VLOOKUP(OFFSET(Table22,753,21,1,1),OFFSET(Table2,0,1,ROWS(Table2),8),7,0),VLOOKUP(OFFSET(Table22,753,22,1,1),Table2,8,0))</f>
        <v>AzurePlatform_FBCTCcanvaspage-BuyNowCTA-Img3_JPN_1080x162_SOC_Plat_Japanese_NA_Standard_NA_BN_T3_1</v>
      </c>
      <c r="M754" s="2" t="n">
        <f aca="false">IFERROR(VLOOKUP(OFFSET(Table22,753,21,1,1),OFFSET(Table2,0,1,ROWS(Table2),8),8,0),VLOOKUP(OFFSET(Table22,753,22,1,1),Table2,9,0))</f>
        <v>102630373</v>
      </c>
      <c r="N754" s="15" t="s">
        <v>29</v>
      </c>
      <c r="O754" s="16" t="n">
        <v>43354</v>
      </c>
      <c r="P754" s="17" t="s">
        <v>159</v>
      </c>
      <c r="Q754" s="18" t="s">
        <v>160</v>
      </c>
      <c r="R754" s="17" t="s">
        <v>161</v>
      </c>
      <c r="S754" s="18" t="s">
        <v>33</v>
      </c>
      <c r="T754" s="17" t="s">
        <v>34</v>
      </c>
      <c r="U754" s="18" t="s">
        <v>35</v>
      </c>
      <c r="V754" s="19" t="n">
        <v>227208508</v>
      </c>
      <c r="W754" s="17" t="s">
        <v>166</v>
      </c>
      <c r="X754" s="17" t="n">
        <v>2541</v>
      </c>
      <c r="Y754" s="17" t="n">
        <v>6</v>
      </c>
      <c r="Z754" s="17" t="n">
        <v>1512</v>
      </c>
      <c r="AA754" s="17" t="s">
        <v>163</v>
      </c>
      <c r="AB754" s="17"/>
    </row>
    <row r="755" customFormat="false" ht="15" hidden="false" customHeight="false" outlineLevel="0" collapsed="false">
      <c r="A755" s="1" t="str">
        <f aca="false">OFFSET(Table22,754,14,1,1)&amp;OFFSET(Table22,754,21,1,1)</f>
        <v>43355223297413</v>
      </c>
      <c r="B755" s="1" t="str">
        <f aca="false">OFFSET(Table22,754,14,1,1)&amp;OFFSET(Table22,754,22,1,1)</f>
        <v>43355Facebook»AZP-Canvas-Look a Like-Trial»1x1»Canvas»OTH»MO»CPM»PRO»X»UNK»TP»OT»Canvas-Trial</v>
      </c>
      <c r="C755" s="1" t="s">
        <v>28</v>
      </c>
      <c r="D755" s="3" t="n">
        <f aca="false">O755+(7-WEEKDAY(O755))</f>
        <v>43358</v>
      </c>
      <c r="E755" s="1" t="str">
        <f aca="false">VLOOKUP(OFFSET(Table22,754,16,1,1),Key!B:D,2,0)</f>
        <v>Japan</v>
      </c>
      <c r="F755" s="1" t="str">
        <f aca="false">IF(ISNUMBER(SEARCH("Canvas",U755)),"Link",IF(ISNUMBER(SEARCH("Link",U755)),"Link","Not filled properly"))</f>
        <v>Link</v>
      </c>
      <c r="G755" s="1" t="str">
        <f aca="false">IFERROR(VLOOKUP(OFFSET(Table22,754,21,1,1),OFFSET(Table2,0,1,ROWS(Table2),8),2,0),VLOOKUP(OFFSET(Table22,754,22,1,1),Table2,3,0))</f>
        <v>JPN_gaPMG_AZR_AZR_Q1_19_Trial-Social</v>
      </c>
      <c r="H755" s="1" t="n">
        <f aca="false">IFERROR(VLOOKUP(OFFSET(Table22,754,21,1,1),OFFSET(Table2,0,1,ROWS(Table2),8),3,0),VLOOKUP(OFFSET(Table22,754,22,1,1),Table2,4,0))</f>
        <v>21276694</v>
      </c>
      <c r="I755" s="2" t="n">
        <f aca="false">IFERROR(VLOOKUP(OFFSET(Table22,754,21,1,1),OFFSET(Table2,0,1,ROWS(Table2),8),4,0),VLOOKUP(OFFSET(Table22,754,22,1,1),Table2,5,0))</f>
        <v>720195</v>
      </c>
      <c r="J755" s="3" t="str">
        <f aca="false">IF(ISNUMBER(SEARCH("FACEBOOK",W755)),"Facebook",IF(ISNUMBER(SEARCH("INSTAGRAM",W755)),"Facebook-Instagram","Look at taxonomy"))</f>
        <v>Facebook</v>
      </c>
      <c r="K755" s="3" t="str">
        <f aca="false">IF(ISNUMBER(SEARCH("Facebook",J755)),"3654128","Not Facebook")</f>
        <v>3654128</v>
      </c>
      <c r="L755" s="3" t="str">
        <f aca="false">IFERROR(VLOOKUP(OFFSET(Table22,754,21,1,1),OFFSET(Table2,0,1,ROWS(Table2),8),7,0),VLOOKUP(OFFSET(Table22,754,22,1,1),Table2,8,0))</f>
        <v>AzurePlatform_FBCTCcanvaspage-StartFreeCTA-Img2_JPN_1080x143 _SOC_Plat_Japanese_NA_Standard_NA_NA_T2_1</v>
      </c>
      <c r="M755" s="2" t="n">
        <f aca="false">IFERROR(VLOOKUP(OFFSET(Table22,754,21,1,1),OFFSET(Table2,0,1,ROWS(Table2),8),8,0),VLOOKUP(OFFSET(Table22,754,22,1,1),Table2,9,0))</f>
        <v>102609621</v>
      </c>
      <c r="N755" s="15" t="s">
        <v>29</v>
      </c>
      <c r="O755" s="16" t="n">
        <v>43355</v>
      </c>
      <c r="P755" s="17" t="s">
        <v>159</v>
      </c>
      <c r="Q755" s="18" t="s">
        <v>160</v>
      </c>
      <c r="R755" s="17" t="s">
        <v>161</v>
      </c>
      <c r="S755" s="18" t="s">
        <v>33</v>
      </c>
      <c r="T755" s="17" t="s">
        <v>34</v>
      </c>
      <c r="U755" s="18" t="s">
        <v>35</v>
      </c>
      <c r="V755" s="19" t="n">
        <v>223297413</v>
      </c>
      <c r="W755" s="17" t="s">
        <v>162</v>
      </c>
      <c r="X755" s="17" t="n">
        <v>5380</v>
      </c>
      <c r="Y755" s="17" t="n">
        <v>13</v>
      </c>
      <c r="Z755" s="17" t="n">
        <v>3567</v>
      </c>
      <c r="AA755" s="17" t="s">
        <v>163</v>
      </c>
      <c r="AB755" s="17"/>
    </row>
    <row r="756" customFormat="false" ht="15" hidden="false" customHeight="false" outlineLevel="0" collapsed="false">
      <c r="A756" s="1" t="str">
        <f aca="false">OFFSET(Table22,755,14,1,1)&amp;OFFSET(Table22,755,21,1,1)</f>
        <v>43355223298805</v>
      </c>
      <c r="B756" s="1" t="str">
        <f aca="false">OFFSET(Table22,755,14,1,1)&amp;OFFSET(Table22,755,22,1,1)</f>
        <v>43355Facebook»AZP-Canvas-Interest&amp;Role-Trial»1x1»Canvas»OTH»MO»CPM»PRO»X»UNK»TP»OT»Canvas-Trial</v>
      </c>
      <c r="C756" s="1" t="s">
        <v>28</v>
      </c>
      <c r="D756" s="3" t="n">
        <f aca="false">O756+(7-WEEKDAY(O756))</f>
        <v>43358</v>
      </c>
      <c r="E756" s="1" t="str">
        <f aca="false">VLOOKUP(OFFSET(Table22,755,16,1,1),Key!B:D,2,0)</f>
        <v>Japan</v>
      </c>
      <c r="F756" s="1" t="str">
        <f aca="false">IF(ISNUMBER(SEARCH("Canvas",U756)),"Link",IF(ISNUMBER(SEARCH("Link",U756)),"Link","Not filled properly"))</f>
        <v>Link</v>
      </c>
      <c r="G756" s="1" t="str">
        <f aca="false">IFERROR(VLOOKUP(OFFSET(Table22,755,21,1,1),OFFSET(Table2,0,1,ROWS(Table2),8),2,0),VLOOKUP(OFFSET(Table22,755,22,1,1),Table2,3,0))</f>
        <v>JPN_gaPMG_AZR_AZR_Q1_19_Trial-Social</v>
      </c>
      <c r="H756" s="1" t="n">
        <f aca="false">IFERROR(VLOOKUP(OFFSET(Table22,755,21,1,1),OFFSET(Table2,0,1,ROWS(Table2),8),3,0),VLOOKUP(OFFSET(Table22,755,22,1,1),Table2,4,0))</f>
        <v>21276694</v>
      </c>
      <c r="I756" s="2" t="n">
        <f aca="false">IFERROR(VLOOKUP(OFFSET(Table22,755,21,1,1),OFFSET(Table2,0,1,ROWS(Table2),8),4,0),VLOOKUP(OFFSET(Table22,755,22,1,1),Table2,5,0))</f>
        <v>720195</v>
      </c>
      <c r="J756" s="3" t="str">
        <f aca="false">IF(ISNUMBER(SEARCH("FACEBOOK",W756)),"Facebook",IF(ISNUMBER(SEARCH("INSTAGRAM",W756)),"Facebook-Instagram","Look at taxonomy"))</f>
        <v>Facebook</v>
      </c>
      <c r="K756" s="3" t="str">
        <f aca="false">IF(ISNUMBER(SEARCH("Facebook",J756)),"3654128","Not Facebook")</f>
        <v>3654128</v>
      </c>
      <c r="L756" s="3" t="str">
        <f aca="false">IFERROR(VLOOKUP(OFFSET(Table22,755,21,1,1),OFFSET(Table2,0,1,ROWS(Table2),8),7,0),VLOOKUP(OFFSET(Table22,755,22,1,1),Table2,8,0))</f>
        <v>AzurePlatform_FBCTCcanvaspage-BuyNowCTA-Img3_JPN_1080x162_SOC_Plat_Japanese_NA_Standard_NA_BN_T3_1</v>
      </c>
      <c r="M756" s="2" t="n">
        <f aca="false">IFERROR(VLOOKUP(OFFSET(Table22,755,21,1,1),OFFSET(Table2,0,1,ROWS(Table2),8),8,0),VLOOKUP(OFFSET(Table22,755,22,1,1),Table2,9,0))</f>
        <v>102630373</v>
      </c>
      <c r="N756" s="15" t="s">
        <v>29</v>
      </c>
      <c r="O756" s="16" t="n">
        <v>43355</v>
      </c>
      <c r="P756" s="17" t="s">
        <v>159</v>
      </c>
      <c r="Q756" s="18" t="s">
        <v>160</v>
      </c>
      <c r="R756" s="17" t="s">
        <v>161</v>
      </c>
      <c r="S756" s="18" t="s">
        <v>33</v>
      </c>
      <c r="T756" s="17" t="s">
        <v>34</v>
      </c>
      <c r="U756" s="18" t="s">
        <v>35</v>
      </c>
      <c r="V756" s="19" t="n">
        <v>223298805</v>
      </c>
      <c r="W756" s="17" t="s">
        <v>164</v>
      </c>
      <c r="X756" s="17" t="n">
        <v>9206</v>
      </c>
      <c r="Y756" s="17" t="n">
        <v>43</v>
      </c>
      <c r="Z756" s="17" t="n">
        <v>8302</v>
      </c>
      <c r="AA756" s="17" t="s">
        <v>163</v>
      </c>
      <c r="AB756" s="17"/>
    </row>
    <row r="757" customFormat="false" ht="15" hidden="false" customHeight="false" outlineLevel="0" collapsed="false">
      <c r="A757" s="1" t="str">
        <f aca="false">OFFSET(Table22,756,14,1,1)&amp;OFFSET(Table22,756,21,1,1)</f>
        <v>43355226269941</v>
      </c>
      <c r="B757" s="1" t="str">
        <f aca="false">OFFSET(Table22,756,14,1,1)&amp;OFFSET(Table22,756,22,1,1)</f>
        <v>43355Facebook»AZP-Canvas-Retargeting-Trial»1x1»Canvas»SOC»MO»CPM»PRO»W»UNK»SS»OT»Canvas-Trial</v>
      </c>
      <c r="C757" s="1" t="s">
        <v>28</v>
      </c>
      <c r="D757" s="3" t="n">
        <f aca="false">O757+(7-WEEKDAY(O757))</f>
        <v>43358</v>
      </c>
      <c r="E757" s="1" t="str">
        <f aca="false">VLOOKUP(OFFSET(Table22,756,16,1,1),Key!B:D,2,0)</f>
        <v>Japan</v>
      </c>
      <c r="F757" s="1" t="str">
        <f aca="false">IF(ISNUMBER(SEARCH("Canvas",U757)),"Link",IF(ISNUMBER(SEARCH("Link",U757)),"Link","Not filled properly"))</f>
        <v>Link</v>
      </c>
      <c r="G757" s="1" t="str">
        <f aca="false">IFERROR(VLOOKUP(OFFSET(Table22,756,21,1,1),OFFSET(Table2,0,1,ROWS(Table2),8),2,0),VLOOKUP(OFFSET(Table22,756,22,1,1),Table2,3,0))</f>
        <v>JPN_gaPMG_AZR_AZR_Q1_19_Trial-Social</v>
      </c>
      <c r="H757" s="1" t="n">
        <f aca="false">IFERROR(VLOOKUP(OFFSET(Table22,756,21,1,1),OFFSET(Table2,0,1,ROWS(Table2),8),3,0),VLOOKUP(OFFSET(Table22,756,22,1,1),Table2,4,0))</f>
        <v>21276694</v>
      </c>
      <c r="I757" s="2" t="n">
        <f aca="false">IFERROR(VLOOKUP(OFFSET(Table22,756,21,1,1),OFFSET(Table2,0,1,ROWS(Table2),8),4,0),VLOOKUP(OFFSET(Table22,756,22,1,1),Table2,5,0))</f>
        <v>720195</v>
      </c>
      <c r="J757" s="3" t="str">
        <f aca="false">IF(ISNUMBER(SEARCH("FACEBOOK",W757)),"Facebook",IF(ISNUMBER(SEARCH("INSTAGRAM",W757)),"Facebook-Instagram","Look at taxonomy"))</f>
        <v>Facebook</v>
      </c>
      <c r="K757" s="3" t="str">
        <f aca="false">IF(ISNUMBER(SEARCH("Facebook",J757)),"3654128","Not Facebook")</f>
        <v>3654128</v>
      </c>
      <c r="L757" s="3" t="str">
        <f aca="false">IFERROR(VLOOKUP(OFFSET(Table22,756,21,1,1),OFFSET(Table2,0,1,ROWS(Table2),8),7,0),VLOOKUP(OFFSET(Table22,756,22,1,1),Table2,8,0))</f>
        <v>AZR_FBCTCcanvaspage-BuyNowCTA-Img3_JPN_1080x162_SOC_Plat_Japanese_NA_Standard_NA_BN_T3_1</v>
      </c>
      <c r="M757" s="2" t="n">
        <f aca="false">IFERROR(VLOOKUP(OFFSET(Table22,756,21,1,1),OFFSET(Table2,0,1,ROWS(Table2),8),8,0),VLOOKUP(OFFSET(Table22,756,22,1,1),Table2,9,0))</f>
        <v>104060547</v>
      </c>
      <c r="N757" s="15" t="s">
        <v>29</v>
      </c>
      <c r="O757" s="16" t="n">
        <v>43355</v>
      </c>
      <c r="P757" s="17" t="s">
        <v>159</v>
      </c>
      <c r="Q757" s="18" t="s">
        <v>160</v>
      </c>
      <c r="R757" s="17" t="s">
        <v>161</v>
      </c>
      <c r="S757" s="18" t="s">
        <v>33</v>
      </c>
      <c r="T757" s="17" t="s">
        <v>34</v>
      </c>
      <c r="U757" s="18" t="s">
        <v>35</v>
      </c>
      <c r="V757" s="19" t="n">
        <v>226269941</v>
      </c>
      <c r="W757" s="17" t="s">
        <v>165</v>
      </c>
      <c r="X757" s="17" t="n">
        <v>3944</v>
      </c>
      <c r="Y757" s="17" t="n">
        <v>14</v>
      </c>
      <c r="Z757" s="17" t="n">
        <v>6183</v>
      </c>
      <c r="AA757" s="17" t="s">
        <v>163</v>
      </c>
      <c r="AB757" s="17"/>
    </row>
    <row r="758" customFormat="false" ht="15" hidden="false" customHeight="false" outlineLevel="0" collapsed="false">
      <c r="A758" s="1" t="str">
        <f aca="false">OFFSET(Table22,757,14,1,1)&amp;OFFSET(Table22,757,21,1,1)</f>
        <v>43355227208508</v>
      </c>
      <c r="B758" s="1" t="str">
        <f aca="false">OFFSET(Table22,757,14,1,1)&amp;OFFSET(Table22,757,22,1,1)</f>
        <v>43355Facebook»AZP-Canvas-iine-Trial»1x1»Canvas»SOC»MO»CPM»AUT»W»NA»SS»NA»Canvas-Trial</v>
      </c>
      <c r="C758" s="1" t="s">
        <v>28</v>
      </c>
      <c r="D758" s="3" t="n">
        <f aca="false">O758+(7-WEEKDAY(O758))</f>
        <v>43358</v>
      </c>
      <c r="E758" s="1" t="str">
        <f aca="false">VLOOKUP(OFFSET(Table22,757,16,1,1),Key!B:D,2,0)</f>
        <v>Japan</v>
      </c>
      <c r="F758" s="1" t="str">
        <f aca="false">IF(ISNUMBER(SEARCH("Canvas",U758)),"Link",IF(ISNUMBER(SEARCH("Link",U758)),"Link","Not filled properly"))</f>
        <v>Link</v>
      </c>
      <c r="G758" s="1" t="str">
        <f aca="false">IFERROR(VLOOKUP(OFFSET(Table22,757,21,1,1),OFFSET(Table2,0,1,ROWS(Table2),8),2,0),VLOOKUP(OFFSET(Table22,757,22,1,1),Table2,3,0))</f>
        <v>JPN_gaPMG_AZR_AZR_Q1_19_Trial-Social</v>
      </c>
      <c r="H758" s="1" t="n">
        <f aca="false">IFERROR(VLOOKUP(OFFSET(Table22,757,21,1,1),OFFSET(Table2,0,1,ROWS(Table2),8),3,0),VLOOKUP(OFFSET(Table22,757,22,1,1),Table2,4,0))</f>
        <v>21276694</v>
      </c>
      <c r="I758" s="2" t="n">
        <f aca="false">IFERROR(VLOOKUP(OFFSET(Table22,757,21,1,1),OFFSET(Table2,0,1,ROWS(Table2),8),4,0),VLOOKUP(OFFSET(Table22,757,22,1,1),Table2,5,0))</f>
        <v>720195</v>
      </c>
      <c r="J758" s="3" t="str">
        <f aca="false">IF(ISNUMBER(SEARCH("FACEBOOK",W758)),"Facebook",IF(ISNUMBER(SEARCH("INSTAGRAM",W758)),"Facebook-Instagram","Look at taxonomy"))</f>
        <v>Facebook</v>
      </c>
      <c r="K758" s="3" t="str">
        <f aca="false">IF(ISNUMBER(SEARCH("Facebook",J758)),"3654128","Not Facebook")</f>
        <v>3654128</v>
      </c>
      <c r="L758" s="3" t="str">
        <f aca="false">IFERROR(VLOOKUP(OFFSET(Table22,757,21,1,1),OFFSET(Table2,0,1,ROWS(Table2),8),7,0),VLOOKUP(OFFSET(Table22,757,22,1,1),Table2,8,0))</f>
        <v>AzurePlatform_FBCTCcanvaspage-BuyNowCTA-Img3_JPN_1080x162_SOC_Plat_Japanese_NA_Standard_NA_BN_T3_1</v>
      </c>
      <c r="M758" s="2" t="n">
        <f aca="false">IFERROR(VLOOKUP(OFFSET(Table22,757,21,1,1),OFFSET(Table2,0,1,ROWS(Table2),8),8,0),VLOOKUP(OFFSET(Table22,757,22,1,1),Table2,9,0))</f>
        <v>102630373</v>
      </c>
      <c r="N758" s="15" t="s">
        <v>29</v>
      </c>
      <c r="O758" s="16" t="n">
        <v>43355</v>
      </c>
      <c r="P758" s="17" t="s">
        <v>159</v>
      </c>
      <c r="Q758" s="18" t="s">
        <v>160</v>
      </c>
      <c r="R758" s="17" t="s">
        <v>161</v>
      </c>
      <c r="S758" s="18" t="s">
        <v>33</v>
      </c>
      <c r="T758" s="17" t="s">
        <v>34</v>
      </c>
      <c r="U758" s="18" t="s">
        <v>35</v>
      </c>
      <c r="V758" s="19" t="n">
        <v>227208508</v>
      </c>
      <c r="W758" s="17" t="s">
        <v>166</v>
      </c>
      <c r="X758" s="17" t="n">
        <v>2682</v>
      </c>
      <c r="Y758" s="17" t="n">
        <v>4</v>
      </c>
      <c r="Z758" s="17" t="n">
        <v>1537</v>
      </c>
      <c r="AA758" s="17" t="s">
        <v>163</v>
      </c>
      <c r="AB758" s="17"/>
    </row>
    <row r="759" customFormat="false" ht="15" hidden="false" customHeight="false" outlineLevel="0" collapsed="false">
      <c r="A759" s="1" t="str">
        <f aca="false">OFFSET(Table22,758,14,1,1)&amp;OFFSET(Table22,758,21,1,1)</f>
        <v>43356223297413</v>
      </c>
      <c r="B759" s="1" t="str">
        <f aca="false">OFFSET(Table22,758,14,1,1)&amp;OFFSET(Table22,758,22,1,1)</f>
        <v>43356Facebook»AZP-Canvas-Look a Like-Trial»1x1»Canvas»OTH»MO»CPM»PRO»X»UNK»TP»OT»Canvas-Trial</v>
      </c>
      <c r="C759" s="1" t="s">
        <v>28</v>
      </c>
      <c r="D759" s="3" t="n">
        <f aca="false">O759+(7-WEEKDAY(O759))</f>
        <v>43358</v>
      </c>
      <c r="E759" s="1" t="str">
        <f aca="false">VLOOKUP(OFFSET(Table22,758,16,1,1),Key!B:D,2,0)</f>
        <v>Japan</v>
      </c>
      <c r="F759" s="1" t="str">
        <f aca="false">IF(ISNUMBER(SEARCH("Canvas",U759)),"Link",IF(ISNUMBER(SEARCH("Link",U759)),"Link","Not filled properly"))</f>
        <v>Link</v>
      </c>
      <c r="G759" s="1" t="str">
        <f aca="false">IFERROR(VLOOKUP(OFFSET(Table22,758,21,1,1),OFFSET(Table2,0,1,ROWS(Table2),8),2,0),VLOOKUP(OFFSET(Table22,758,22,1,1),Table2,3,0))</f>
        <v>JPN_gaPMG_AZR_AZR_Q1_19_Trial-Social</v>
      </c>
      <c r="H759" s="1" t="n">
        <f aca="false">IFERROR(VLOOKUP(OFFSET(Table22,758,21,1,1),OFFSET(Table2,0,1,ROWS(Table2),8),3,0),VLOOKUP(OFFSET(Table22,758,22,1,1),Table2,4,0))</f>
        <v>21276694</v>
      </c>
      <c r="I759" s="2" t="n">
        <f aca="false">IFERROR(VLOOKUP(OFFSET(Table22,758,21,1,1),OFFSET(Table2,0,1,ROWS(Table2),8),4,0),VLOOKUP(OFFSET(Table22,758,22,1,1),Table2,5,0))</f>
        <v>720195</v>
      </c>
      <c r="J759" s="3" t="str">
        <f aca="false">IF(ISNUMBER(SEARCH("FACEBOOK",W759)),"Facebook",IF(ISNUMBER(SEARCH("INSTAGRAM",W759)),"Facebook-Instagram","Look at taxonomy"))</f>
        <v>Facebook</v>
      </c>
      <c r="K759" s="3" t="str">
        <f aca="false">IF(ISNUMBER(SEARCH("Facebook",J759)),"3654128","Not Facebook")</f>
        <v>3654128</v>
      </c>
      <c r="L759" s="3" t="str">
        <f aca="false">IFERROR(VLOOKUP(OFFSET(Table22,758,21,1,1),OFFSET(Table2,0,1,ROWS(Table2),8),7,0),VLOOKUP(OFFSET(Table22,758,22,1,1),Table2,8,0))</f>
        <v>AzurePlatform_FBCTCcanvaspage-StartFreeCTA-Img2_JPN_1080x143 _SOC_Plat_Japanese_NA_Standard_NA_NA_T2_1</v>
      </c>
      <c r="M759" s="2" t="n">
        <f aca="false">IFERROR(VLOOKUP(OFFSET(Table22,758,21,1,1),OFFSET(Table2,0,1,ROWS(Table2),8),8,0),VLOOKUP(OFFSET(Table22,758,22,1,1),Table2,9,0))</f>
        <v>102609621</v>
      </c>
      <c r="N759" s="15" t="s">
        <v>29</v>
      </c>
      <c r="O759" s="16" t="n">
        <v>43356</v>
      </c>
      <c r="P759" s="17" t="s">
        <v>159</v>
      </c>
      <c r="Q759" s="18" t="s">
        <v>160</v>
      </c>
      <c r="R759" s="17" t="s">
        <v>161</v>
      </c>
      <c r="S759" s="18" t="s">
        <v>33</v>
      </c>
      <c r="T759" s="17" t="s">
        <v>34</v>
      </c>
      <c r="U759" s="18" t="s">
        <v>35</v>
      </c>
      <c r="V759" s="19" t="n">
        <v>223297413</v>
      </c>
      <c r="W759" s="17" t="s">
        <v>162</v>
      </c>
      <c r="X759" s="17" t="n">
        <v>3437</v>
      </c>
      <c r="Y759" s="17" t="n">
        <v>11</v>
      </c>
      <c r="Z759" s="17" t="n">
        <v>2046</v>
      </c>
      <c r="AA759" s="17" t="s">
        <v>163</v>
      </c>
      <c r="AB759" s="17"/>
    </row>
    <row r="760" customFormat="false" ht="15" hidden="false" customHeight="false" outlineLevel="0" collapsed="false">
      <c r="A760" s="1" t="str">
        <f aca="false">OFFSET(Table22,759,14,1,1)&amp;OFFSET(Table22,759,21,1,1)</f>
        <v>43356223298805</v>
      </c>
      <c r="B760" s="1" t="str">
        <f aca="false">OFFSET(Table22,759,14,1,1)&amp;OFFSET(Table22,759,22,1,1)</f>
        <v>43356Facebook»AZP-Canvas-Interest&amp;Role-Trial»1x1»Canvas»OTH»MO»CPM»PRO»X»UNK»TP»OT»Canvas-Trial</v>
      </c>
      <c r="C760" s="1" t="s">
        <v>28</v>
      </c>
      <c r="D760" s="3" t="n">
        <f aca="false">O760+(7-WEEKDAY(O760))</f>
        <v>43358</v>
      </c>
      <c r="E760" s="1" t="str">
        <f aca="false">VLOOKUP(OFFSET(Table22,759,16,1,1),Key!B:D,2,0)</f>
        <v>Japan</v>
      </c>
      <c r="F760" s="1" t="str">
        <f aca="false">IF(ISNUMBER(SEARCH("Canvas",U760)),"Link",IF(ISNUMBER(SEARCH("Link",U760)),"Link","Not filled properly"))</f>
        <v>Link</v>
      </c>
      <c r="G760" s="1" t="str">
        <f aca="false">IFERROR(VLOOKUP(OFFSET(Table22,759,21,1,1),OFFSET(Table2,0,1,ROWS(Table2),8),2,0),VLOOKUP(OFFSET(Table22,759,22,1,1),Table2,3,0))</f>
        <v>JPN_gaPMG_AZR_AZR_Q1_19_Trial-Social</v>
      </c>
      <c r="H760" s="1" t="n">
        <f aca="false">IFERROR(VLOOKUP(OFFSET(Table22,759,21,1,1),OFFSET(Table2,0,1,ROWS(Table2),8),3,0),VLOOKUP(OFFSET(Table22,759,22,1,1),Table2,4,0))</f>
        <v>21276694</v>
      </c>
      <c r="I760" s="2" t="n">
        <f aca="false">IFERROR(VLOOKUP(OFFSET(Table22,759,21,1,1),OFFSET(Table2,0,1,ROWS(Table2),8),4,0),VLOOKUP(OFFSET(Table22,759,22,1,1),Table2,5,0))</f>
        <v>720195</v>
      </c>
      <c r="J760" s="3" t="str">
        <f aca="false">IF(ISNUMBER(SEARCH("FACEBOOK",W760)),"Facebook",IF(ISNUMBER(SEARCH("INSTAGRAM",W760)),"Facebook-Instagram","Look at taxonomy"))</f>
        <v>Facebook</v>
      </c>
      <c r="K760" s="3" t="str">
        <f aca="false">IF(ISNUMBER(SEARCH("Facebook",J760)),"3654128","Not Facebook")</f>
        <v>3654128</v>
      </c>
      <c r="L760" s="3" t="str">
        <f aca="false">IFERROR(VLOOKUP(OFFSET(Table22,759,21,1,1),OFFSET(Table2,0,1,ROWS(Table2),8),7,0),VLOOKUP(OFFSET(Table22,759,22,1,1),Table2,8,0))</f>
        <v>AzurePlatform_FBCTCcanvaspage-BuyNowCTA-Img3_JPN_1080x162_SOC_Plat_Japanese_NA_Standard_NA_BN_T3_1</v>
      </c>
      <c r="M760" s="2" t="n">
        <f aca="false">IFERROR(VLOOKUP(OFFSET(Table22,759,21,1,1),OFFSET(Table2,0,1,ROWS(Table2),8),8,0),VLOOKUP(OFFSET(Table22,759,22,1,1),Table2,9,0))</f>
        <v>102630373</v>
      </c>
      <c r="N760" s="15" t="s">
        <v>29</v>
      </c>
      <c r="O760" s="16" t="n">
        <v>43356</v>
      </c>
      <c r="P760" s="17" t="s">
        <v>159</v>
      </c>
      <c r="Q760" s="18" t="s">
        <v>160</v>
      </c>
      <c r="R760" s="17" t="s">
        <v>161</v>
      </c>
      <c r="S760" s="18" t="s">
        <v>33</v>
      </c>
      <c r="T760" s="17" t="s">
        <v>34</v>
      </c>
      <c r="U760" s="18" t="s">
        <v>35</v>
      </c>
      <c r="V760" s="19" t="n">
        <v>223298805</v>
      </c>
      <c r="W760" s="17" t="s">
        <v>164</v>
      </c>
      <c r="X760" s="17" t="n">
        <v>8321</v>
      </c>
      <c r="Y760" s="17" t="n">
        <v>33</v>
      </c>
      <c r="Z760" s="17" t="n">
        <v>7487</v>
      </c>
      <c r="AA760" s="17" t="s">
        <v>163</v>
      </c>
      <c r="AB760" s="17"/>
    </row>
    <row r="761" customFormat="false" ht="15" hidden="false" customHeight="false" outlineLevel="0" collapsed="false">
      <c r="A761" s="1" t="str">
        <f aca="false">OFFSET(Table22,760,14,1,1)&amp;OFFSET(Table22,760,21,1,1)</f>
        <v>43356226269941</v>
      </c>
      <c r="B761" s="1" t="str">
        <f aca="false">OFFSET(Table22,760,14,1,1)&amp;OFFSET(Table22,760,22,1,1)</f>
        <v>43356Facebook»AZP-Canvas-Retargeting-Trial»1x1»Canvas»SOC»MO»CPM»PRO»W»UNK»SS»OT»Canvas-Trial</v>
      </c>
      <c r="C761" s="1" t="s">
        <v>28</v>
      </c>
      <c r="D761" s="3" t="n">
        <f aca="false">O761+(7-WEEKDAY(O761))</f>
        <v>43358</v>
      </c>
      <c r="E761" s="1" t="str">
        <f aca="false">VLOOKUP(OFFSET(Table22,760,16,1,1),Key!B:D,2,0)</f>
        <v>Japan</v>
      </c>
      <c r="F761" s="1" t="str">
        <f aca="false">IF(ISNUMBER(SEARCH("Canvas",U761)),"Link",IF(ISNUMBER(SEARCH("Link",U761)),"Link","Not filled properly"))</f>
        <v>Link</v>
      </c>
      <c r="G761" s="1" t="str">
        <f aca="false">IFERROR(VLOOKUP(OFFSET(Table22,760,21,1,1),OFFSET(Table2,0,1,ROWS(Table2),8),2,0),VLOOKUP(OFFSET(Table22,760,22,1,1),Table2,3,0))</f>
        <v>JPN_gaPMG_AZR_AZR_Q1_19_Trial-Social</v>
      </c>
      <c r="H761" s="1" t="n">
        <f aca="false">IFERROR(VLOOKUP(OFFSET(Table22,760,21,1,1),OFFSET(Table2,0,1,ROWS(Table2),8),3,0),VLOOKUP(OFFSET(Table22,760,22,1,1),Table2,4,0))</f>
        <v>21276694</v>
      </c>
      <c r="I761" s="2" t="n">
        <f aca="false">IFERROR(VLOOKUP(OFFSET(Table22,760,21,1,1),OFFSET(Table2,0,1,ROWS(Table2),8),4,0),VLOOKUP(OFFSET(Table22,760,22,1,1),Table2,5,0))</f>
        <v>720195</v>
      </c>
      <c r="J761" s="3" t="str">
        <f aca="false">IF(ISNUMBER(SEARCH("FACEBOOK",W761)),"Facebook",IF(ISNUMBER(SEARCH("INSTAGRAM",W761)),"Facebook-Instagram","Look at taxonomy"))</f>
        <v>Facebook</v>
      </c>
      <c r="K761" s="3" t="str">
        <f aca="false">IF(ISNUMBER(SEARCH("Facebook",J761)),"3654128","Not Facebook")</f>
        <v>3654128</v>
      </c>
      <c r="L761" s="3" t="str">
        <f aca="false">IFERROR(VLOOKUP(OFFSET(Table22,760,21,1,1),OFFSET(Table2,0,1,ROWS(Table2),8),7,0),VLOOKUP(OFFSET(Table22,760,22,1,1),Table2,8,0))</f>
        <v>AZR_FBCTCcanvaspage-BuyNowCTA-Img3_JPN_1080x162_SOC_Plat_Japanese_NA_Standard_NA_BN_T3_1</v>
      </c>
      <c r="M761" s="2" t="n">
        <f aca="false">IFERROR(VLOOKUP(OFFSET(Table22,760,21,1,1),OFFSET(Table2,0,1,ROWS(Table2),8),8,0),VLOOKUP(OFFSET(Table22,760,22,1,1),Table2,9,0))</f>
        <v>104060547</v>
      </c>
      <c r="N761" s="15" t="s">
        <v>29</v>
      </c>
      <c r="O761" s="16" t="n">
        <v>43356</v>
      </c>
      <c r="P761" s="17" t="s">
        <v>159</v>
      </c>
      <c r="Q761" s="18" t="s">
        <v>160</v>
      </c>
      <c r="R761" s="17" t="s">
        <v>161</v>
      </c>
      <c r="S761" s="18" t="s">
        <v>33</v>
      </c>
      <c r="T761" s="17" t="s">
        <v>34</v>
      </c>
      <c r="U761" s="18" t="s">
        <v>35</v>
      </c>
      <c r="V761" s="19" t="n">
        <v>226269941</v>
      </c>
      <c r="W761" s="17" t="s">
        <v>165</v>
      </c>
      <c r="X761" s="17" t="n">
        <v>5155</v>
      </c>
      <c r="Y761" s="17" t="n">
        <v>26</v>
      </c>
      <c r="Z761" s="17" t="n">
        <v>9186</v>
      </c>
      <c r="AA761" s="17" t="s">
        <v>163</v>
      </c>
      <c r="AB761" s="17"/>
    </row>
    <row r="762" customFormat="false" ht="15" hidden="false" customHeight="false" outlineLevel="0" collapsed="false">
      <c r="A762" s="1" t="str">
        <f aca="false">OFFSET(Table22,761,14,1,1)&amp;OFFSET(Table22,761,21,1,1)</f>
        <v>43356227208508</v>
      </c>
      <c r="B762" s="1" t="str">
        <f aca="false">OFFSET(Table22,761,14,1,1)&amp;OFFSET(Table22,761,22,1,1)</f>
        <v>43356Facebook»AZP-Canvas-iine-Trial»1x1»Canvas»SOC»MO»CPM»AUT»W»NA»SS»NA»Canvas-Trial</v>
      </c>
      <c r="C762" s="1" t="s">
        <v>28</v>
      </c>
      <c r="D762" s="3" t="n">
        <f aca="false">O762+(7-WEEKDAY(O762))</f>
        <v>43358</v>
      </c>
      <c r="E762" s="1" t="str">
        <f aca="false">VLOOKUP(OFFSET(Table22,761,16,1,1),Key!B:D,2,0)</f>
        <v>Japan</v>
      </c>
      <c r="F762" s="1" t="str">
        <f aca="false">IF(ISNUMBER(SEARCH("Canvas",U762)),"Link",IF(ISNUMBER(SEARCH("Link",U762)),"Link","Not filled properly"))</f>
        <v>Link</v>
      </c>
      <c r="G762" s="1" t="str">
        <f aca="false">IFERROR(VLOOKUP(OFFSET(Table22,761,21,1,1),OFFSET(Table2,0,1,ROWS(Table2),8),2,0),VLOOKUP(OFFSET(Table22,761,22,1,1),Table2,3,0))</f>
        <v>JPN_gaPMG_AZR_AZR_Q1_19_Trial-Social</v>
      </c>
      <c r="H762" s="1" t="n">
        <f aca="false">IFERROR(VLOOKUP(OFFSET(Table22,761,21,1,1),OFFSET(Table2,0,1,ROWS(Table2),8),3,0),VLOOKUP(OFFSET(Table22,761,22,1,1),Table2,4,0))</f>
        <v>21276694</v>
      </c>
      <c r="I762" s="2" t="n">
        <f aca="false">IFERROR(VLOOKUP(OFFSET(Table22,761,21,1,1),OFFSET(Table2,0,1,ROWS(Table2),8),4,0),VLOOKUP(OFFSET(Table22,761,22,1,1),Table2,5,0))</f>
        <v>720195</v>
      </c>
      <c r="J762" s="3" t="str">
        <f aca="false">IF(ISNUMBER(SEARCH("FACEBOOK",W762)),"Facebook",IF(ISNUMBER(SEARCH("INSTAGRAM",W762)),"Facebook-Instagram","Look at taxonomy"))</f>
        <v>Facebook</v>
      </c>
      <c r="K762" s="3" t="str">
        <f aca="false">IF(ISNUMBER(SEARCH("Facebook",J762)),"3654128","Not Facebook")</f>
        <v>3654128</v>
      </c>
      <c r="L762" s="3" t="str">
        <f aca="false">IFERROR(VLOOKUP(OFFSET(Table22,761,21,1,1),OFFSET(Table2,0,1,ROWS(Table2),8),7,0),VLOOKUP(OFFSET(Table22,761,22,1,1),Table2,8,0))</f>
        <v>AzurePlatform_FBCTCcanvaspage-BuyNowCTA-Img3_JPN_1080x162_SOC_Plat_Japanese_NA_Standard_NA_BN_T3_1</v>
      </c>
      <c r="M762" s="2" t="n">
        <f aca="false">IFERROR(VLOOKUP(OFFSET(Table22,761,21,1,1),OFFSET(Table2,0,1,ROWS(Table2),8),8,0),VLOOKUP(OFFSET(Table22,761,22,1,1),Table2,9,0))</f>
        <v>102630373</v>
      </c>
      <c r="N762" s="15" t="s">
        <v>29</v>
      </c>
      <c r="O762" s="16" t="n">
        <v>43356</v>
      </c>
      <c r="P762" s="17" t="s">
        <v>159</v>
      </c>
      <c r="Q762" s="18" t="s">
        <v>160</v>
      </c>
      <c r="R762" s="17" t="s">
        <v>161</v>
      </c>
      <c r="S762" s="18" t="s">
        <v>33</v>
      </c>
      <c r="T762" s="17" t="s">
        <v>34</v>
      </c>
      <c r="U762" s="18" t="s">
        <v>35</v>
      </c>
      <c r="V762" s="19" t="n">
        <v>227208508</v>
      </c>
      <c r="W762" s="17" t="s">
        <v>166</v>
      </c>
      <c r="X762" s="17" t="n">
        <v>2487</v>
      </c>
      <c r="Y762" s="17" t="n">
        <v>9</v>
      </c>
      <c r="Z762" s="17" t="n">
        <v>1468</v>
      </c>
      <c r="AA762" s="17" t="s">
        <v>163</v>
      </c>
      <c r="AB762" s="17"/>
    </row>
    <row r="763" customFormat="false" ht="15" hidden="false" customHeight="false" outlineLevel="0" collapsed="false">
      <c r="A763" s="1" t="str">
        <f aca="false">OFFSET(Table22,762,14,1,1)&amp;OFFSET(Table22,762,21,1,1)</f>
        <v>43357223297413</v>
      </c>
      <c r="B763" s="1" t="str">
        <f aca="false">OFFSET(Table22,762,14,1,1)&amp;OFFSET(Table22,762,22,1,1)</f>
        <v>43357Facebook»AZP-Canvas-Look a Like-Trial»1x1»Canvas»OTH»MO»CPM»PRO»X»UNK»TP»OT»Canvas-Trial</v>
      </c>
      <c r="C763" s="1" t="s">
        <v>28</v>
      </c>
      <c r="D763" s="3" t="n">
        <f aca="false">O763+(7-WEEKDAY(O763))</f>
        <v>43358</v>
      </c>
      <c r="E763" s="1" t="str">
        <f aca="false">VLOOKUP(OFFSET(Table22,762,16,1,1),Key!B:D,2,0)</f>
        <v>Japan</v>
      </c>
      <c r="F763" s="1" t="str">
        <f aca="false">IF(ISNUMBER(SEARCH("Canvas",U763)),"Link",IF(ISNUMBER(SEARCH("Link",U763)),"Link","Not filled properly"))</f>
        <v>Link</v>
      </c>
      <c r="G763" s="1" t="str">
        <f aca="false">IFERROR(VLOOKUP(OFFSET(Table22,762,21,1,1),OFFSET(Table2,0,1,ROWS(Table2),8),2,0),VLOOKUP(OFFSET(Table22,762,22,1,1),Table2,3,0))</f>
        <v>JPN_gaPMG_AZR_AZR_Q1_19_Trial-Social</v>
      </c>
      <c r="H763" s="1" t="n">
        <f aca="false">IFERROR(VLOOKUP(OFFSET(Table22,762,21,1,1),OFFSET(Table2,0,1,ROWS(Table2),8),3,0),VLOOKUP(OFFSET(Table22,762,22,1,1),Table2,4,0))</f>
        <v>21276694</v>
      </c>
      <c r="I763" s="2" t="n">
        <f aca="false">IFERROR(VLOOKUP(OFFSET(Table22,762,21,1,1),OFFSET(Table2,0,1,ROWS(Table2),8),4,0),VLOOKUP(OFFSET(Table22,762,22,1,1),Table2,5,0))</f>
        <v>720195</v>
      </c>
      <c r="J763" s="3" t="str">
        <f aca="false">IF(ISNUMBER(SEARCH("FACEBOOK",W763)),"Facebook",IF(ISNUMBER(SEARCH("INSTAGRAM",W763)),"Facebook-Instagram","Look at taxonomy"))</f>
        <v>Facebook</v>
      </c>
      <c r="K763" s="3" t="str">
        <f aca="false">IF(ISNUMBER(SEARCH("Facebook",J763)),"3654128","Not Facebook")</f>
        <v>3654128</v>
      </c>
      <c r="L763" s="3" t="str">
        <f aca="false">IFERROR(VLOOKUP(OFFSET(Table22,762,21,1,1),OFFSET(Table2,0,1,ROWS(Table2),8),7,0),VLOOKUP(OFFSET(Table22,762,22,1,1),Table2,8,0))</f>
        <v>AzurePlatform_FBCTCcanvaspage-StartFreeCTA-Img2_JPN_1080x143 _SOC_Plat_Japanese_NA_Standard_NA_NA_T2_1</v>
      </c>
      <c r="M763" s="2" t="n">
        <f aca="false">IFERROR(VLOOKUP(OFFSET(Table22,762,21,1,1),OFFSET(Table2,0,1,ROWS(Table2),8),8,0),VLOOKUP(OFFSET(Table22,762,22,1,1),Table2,9,0))</f>
        <v>102609621</v>
      </c>
      <c r="N763" s="15" t="s">
        <v>29</v>
      </c>
      <c r="O763" s="16" t="n">
        <v>43357</v>
      </c>
      <c r="P763" s="17" t="s">
        <v>159</v>
      </c>
      <c r="Q763" s="18" t="s">
        <v>160</v>
      </c>
      <c r="R763" s="17" t="s">
        <v>161</v>
      </c>
      <c r="S763" s="18" t="s">
        <v>33</v>
      </c>
      <c r="T763" s="17" t="s">
        <v>34</v>
      </c>
      <c r="U763" s="18" t="s">
        <v>35</v>
      </c>
      <c r="V763" s="19" t="n">
        <v>223297413</v>
      </c>
      <c r="W763" s="17" t="s">
        <v>162</v>
      </c>
      <c r="X763" s="17" t="n">
        <v>2620</v>
      </c>
      <c r="Y763" s="17" t="n">
        <v>2</v>
      </c>
      <c r="Z763" s="17" t="n">
        <v>1834</v>
      </c>
      <c r="AA763" s="17" t="s">
        <v>163</v>
      </c>
      <c r="AB763" s="17"/>
    </row>
    <row r="764" customFormat="false" ht="15" hidden="false" customHeight="false" outlineLevel="0" collapsed="false">
      <c r="A764" s="1" t="str">
        <f aca="false">OFFSET(Table22,763,14,1,1)&amp;OFFSET(Table22,763,21,1,1)</f>
        <v>43357223298805</v>
      </c>
      <c r="B764" s="1" t="str">
        <f aca="false">OFFSET(Table22,763,14,1,1)&amp;OFFSET(Table22,763,22,1,1)</f>
        <v>43357Facebook»AZP-Canvas-Interest&amp;Role-Trial»1x1»Canvas»OTH»MO»CPM»PRO»X»UNK»TP»OT»Canvas-Trial</v>
      </c>
      <c r="C764" s="1" t="s">
        <v>28</v>
      </c>
      <c r="D764" s="3" t="n">
        <f aca="false">O764+(7-WEEKDAY(O764))</f>
        <v>43358</v>
      </c>
      <c r="E764" s="1" t="str">
        <f aca="false">VLOOKUP(OFFSET(Table22,763,16,1,1),Key!B:D,2,0)</f>
        <v>Japan</v>
      </c>
      <c r="F764" s="1" t="str">
        <f aca="false">IF(ISNUMBER(SEARCH("Canvas",U764)),"Link",IF(ISNUMBER(SEARCH("Link",U764)),"Link","Not filled properly"))</f>
        <v>Link</v>
      </c>
      <c r="G764" s="1" t="str">
        <f aca="false">IFERROR(VLOOKUP(OFFSET(Table22,763,21,1,1),OFFSET(Table2,0,1,ROWS(Table2),8),2,0),VLOOKUP(OFFSET(Table22,763,22,1,1),Table2,3,0))</f>
        <v>JPN_gaPMG_AZR_AZR_Q1_19_Trial-Social</v>
      </c>
      <c r="H764" s="1" t="n">
        <f aca="false">IFERROR(VLOOKUP(OFFSET(Table22,763,21,1,1),OFFSET(Table2,0,1,ROWS(Table2),8),3,0),VLOOKUP(OFFSET(Table22,763,22,1,1),Table2,4,0))</f>
        <v>21276694</v>
      </c>
      <c r="I764" s="2" t="n">
        <f aca="false">IFERROR(VLOOKUP(OFFSET(Table22,763,21,1,1),OFFSET(Table2,0,1,ROWS(Table2),8),4,0),VLOOKUP(OFFSET(Table22,763,22,1,1),Table2,5,0))</f>
        <v>720195</v>
      </c>
      <c r="J764" s="3" t="str">
        <f aca="false">IF(ISNUMBER(SEARCH("FACEBOOK",W764)),"Facebook",IF(ISNUMBER(SEARCH("INSTAGRAM",W764)),"Facebook-Instagram","Look at taxonomy"))</f>
        <v>Facebook</v>
      </c>
      <c r="K764" s="3" t="str">
        <f aca="false">IF(ISNUMBER(SEARCH("Facebook",J764)),"3654128","Not Facebook")</f>
        <v>3654128</v>
      </c>
      <c r="L764" s="3" t="str">
        <f aca="false">IFERROR(VLOOKUP(OFFSET(Table22,763,21,1,1),OFFSET(Table2,0,1,ROWS(Table2),8),7,0),VLOOKUP(OFFSET(Table22,763,22,1,1),Table2,8,0))</f>
        <v>AzurePlatform_FBCTCcanvaspage-BuyNowCTA-Img3_JPN_1080x162_SOC_Plat_Japanese_NA_Standard_NA_BN_T3_1</v>
      </c>
      <c r="M764" s="2" t="n">
        <f aca="false">IFERROR(VLOOKUP(OFFSET(Table22,763,21,1,1),OFFSET(Table2,0,1,ROWS(Table2),8),8,0),VLOOKUP(OFFSET(Table22,763,22,1,1),Table2,9,0))</f>
        <v>102630373</v>
      </c>
      <c r="N764" s="15" t="s">
        <v>29</v>
      </c>
      <c r="O764" s="16" t="n">
        <v>43357</v>
      </c>
      <c r="P764" s="17" t="s">
        <v>159</v>
      </c>
      <c r="Q764" s="18" t="s">
        <v>160</v>
      </c>
      <c r="R764" s="17" t="s">
        <v>161</v>
      </c>
      <c r="S764" s="18" t="s">
        <v>33</v>
      </c>
      <c r="T764" s="17" t="s">
        <v>34</v>
      </c>
      <c r="U764" s="18" t="s">
        <v>35</v>
      </c>
      <c r="V764" s="19" t="n">
        <v>223298805</v>
      </c>
      <c r="W764" s="17" t="s">
        <v>164</v>
      </c>
      <c r="X764" s="17" t="n">
        <v>5430</v>
      </c>
      <c r="Y764" s="17" t="n">
        <v>22</v>
      </c>
      <c r="Z764" s="17" t="n">
        <v>5470</v>
      </c>
      <c r="AA764" s="17" t="s">
        <v>163</v>
      </c>
      <c r="AB764" s="17"/>
    </row>
    <row r="765" customFormat="false" ht="15" hidden="false" customHeight="false" outlineLevel="0" collapsed="false">
      <c r="A765" s="1" t="str">
        <f aca="false">OFFSET(Table22,764,14,1,1)&amp;OFFSET(Table22,764,21,1,1)</f>
        <v>43357226269941</v>
      </c>
      <c r="B765" s="1" t="str">
        <f aca="false">OFFSET(Table22,764,14,1,1)&amp;OFFSET(Table22,764,22,1,1)</f>
        <v>43357Facebook»AZP-Canvas-Retargeting-Trial»1x1»Canvas»SOC»MO»CPM»PRO»W»UNK»SS»OT»Canvas-Trial</v>
      </c>
      <c r="C765" s="1" t="s">
        <v>28</v>
      </c>
      <c r="D765" s="3" t="n">
        <f aca="false">O765+(7-WEEKDAY(O765))</f>
        <v>43358</v>
      </c>
      <c r="E765" s="1" t="str">
        <f aca="false">VLOOKUP(OFFSET(Table22,764,16,1,1),Key!B:D,2,0)</f>
        <v>Japan</v>
      </c>
      <c r="F765" s="1" t="str">
        <f aca="false">IF(ISNUMBER(SEARCH("Canvas",U765)),"Link",IF(ISNUMBER(SEARCH("Link",U765)),"Link","Not filled properly"))</f>
        <v>Link</v>
      </c>
      <c r="G765" s="1" t="str">
        <f aca="false">IFERROR(VLOOKUP(OFFSET(Table22,764,21,1,1),OFFSET(Table2,0,1,ROWS(Table2),8),2,0),VLOOKUP(OFFSET(Table22,764,22,1,1),Table2,3,0))</f>
        <v>JPN_gaPMG_AZR_AZR_Q1_19_Trial-Social</v>
      </c>
      <c r="H765" s="1" t="n">
        <f aca="false">IFERROR(VLOOKUP(OFFSET(Table22,764,21,1,1),OFFSET(Table2,0,1,ROWS(Table2),8),3,0),VLOOKUP(OFFSET(Table22,764,22,1,1),Table2,4,0))</f>
        <v>21276694</v>
      </c>
      <c r="I765" s="2" t="n">
        <f aca="false">IFERROR(VLOOKUP(OFFSET(Table22,764,21,1,1),OFFSET(Table2,0,1,ROWS(Table2),8),4,0),VLOOKUP(OFFSET(Table22,764,22,1,1),Table2,5,0))</f>
        <v>720195</v>
      </c>
      <c r="J765" s="3" t="str">
        <f aca="false">IF(ISNUMBER(SEARCH("FACEBOOK",W765)),"Facebook",IF(ISNUMBER(SEARCH("INSTAGRAM",W765)),"Facebook-Instagram","Look at taxonomy"))</f>
        <v>Facebook</v>
      </c>
      <c r="K765" s="3" t="str">
        <f aca="false">IF(ISNUMBER(SEARCH("Facebook",J765)),"3654128","Not Facebook")</f>
        <v>3654128</v>
      </c>
      <c r="L765" s="3" t="str">
        <f aca="false">IFERROR(VLOOKUP(OFFSET(Table22,764,21,1,1),OFFSET(Table2,0,1,ROWS(Table2),8),7,0),VLOOKUP(OFFSET(Table22,764,22,1,1),Table2,8,0))</f>
        <v>AZR_FBCTCcanvaspage-BuyNowCTA-Img3_JPN_1080x162_SOC_Plat_Japanese_NA_Standard_NA_BN_T3_1</v>
      </c>
      <c r="M765" s="2" t="n">
        <f aca="false">IFERROR(VLOOKUP(OFFSET(Table22,764,21,1,1),OFFSET(Table2,0,1,ROWS(Table2),8),8,0),VLOOKUP(OFFSET(Table22,764,22,1,1),Table2,9,0))</f>
        <v>104060547</v>
      </c>
      <c r="N765" s="15" t="s">
        <v>29</v>
      </c>
      <c r="O765" s="16" t="n">
        <v>43357</v>
      </c>
      <c r="P765" s="17" t="s">
        <v>159</v>
      </c>
      <c r="Q765" s="18" t="s">
        <v>160</v>
      </c>
      <c r="R765" s="17" t="s">
        <v>161</v>
      </c>
      <c r="S765" s="18" t="s">
        <v>33</v>
      </c>
      <c r="T765" s="17" t="s">
        <v>34</v>
      </c>
      <c r="U765" s="18" t="s">
        <v>35</v>
      </c>
      <c r="V765" s="19" t="n">
        <v>226269941</v>
      </c>
      <c r="W765" s="17" t="s">
        <v>165</v>
      </c>
      <c r="X765" s="17" t="n">
        <v>5418</v>
      </c>
      <c r="Y765" s="17" t="n">
        <v>32</v>
      </c>
      <c r="Z765" s="17" t="n">
        <v>10930</v>
      </c>
      <c r="AA765" s="17" t="s">
        <v>163</v>
      </c>
      <c r="AB765" s="17"/>
    </row>
    <row r="766" customFormat="false" ht="15" hidden="false" customHeight="false" outlineLevel="0" collapsed="false">
      <c r="A766" s="1" t="str">
        <f aca="false">OFFSET(Table22,765,14,1,1)&amp;OFFSET(Table22,765,21,1,1)</f>
        <v>43357227208508</v>
      </c>
      <c r="B766" s="1" t="str">
        <f aca="false">OFFSET(Table22,765,14,1,1)&amp;OFFSET(Table22,765,22,1,1)</f>
        <v>43357Facebook»AZP-Canvas-iine-Trial»1x1»Canvas»SOC»MO»CPM»AUT»W»NA»SS»NA»Canvas-Trial</v>
      </c>
      <c r="C766" s="1" t="s">
        <v>28</v>
      </c>
      <c r="D766" s="3" t="n">
        <f aca="false">O766+(7-WEEKDAY(O766))</f>
        <v>43358</v>
      </c>
      <c r="E766" s="1" t="str">
        <f aca="false">VLOOKUP(OFFSET(Table22,765,16,1,1),Key!B:D,2,0)</f>
        <v>Japan</v>
      </c>
      <c r="F766" s="1" t="str">
        <f aca="false">IF(ISNUMBER(SEARCH("Canvas",U766)),"Link",IF(ISNUMBER(SEARCH("Link",U766)),"Link","Not filled properly"))</f>
        <v>Link</v>
      </c>
      <c r="G766" s="1" t="str">
        <f aca="false">IFERROR(VLOOKUP(OFFSET(Table22,765,21,1,1),OFFSET(Table2,0,1,ROWS(Table2),8),2,0),VLOOKUP(OFFSET(Table22,765,22,1,1),Table2,3,0))</f>
        <v>JPN_gaPMG_AZR_AZR_Q1_19_Trial-Social</v>
      </c>
      <c r="H766" s="1" t="n">
        <f aca="false">IFERROR(VLOOKUP(OFFSET(Table22,765,21,1,1),OFFSET(Table2,0,1,ROWS(Table2),8),3,0),VLOOKUP(OFFSET(Table22,765,22,1,1),Table2,4,0))</f>
        <v>21276694</v>
      </c>
      <c r="I766" s="2" t="n">
        <f aca="false">IFERROR(VLOOKUP(OFFSET(Table22,765,21,1,1),OFFSET(Table2,0,1,ROWS(Table2),8),4,0),VLOOKUP(OFFSET(Table22,765,22,1,1),Table2,5,0))</f>
        <v>720195</v>
      </c>
      <c r="J766" s="3" t="str">
        <f aca="false">IF(ISNUMBER(SEARCH("FACEBOOK",W766)),"Facebook",IF(ISNUMBER(SEARCH("INSTAGRAM",W766)),"Facebook-Instagram","Look at taxonomy"))</f>
        <v>Facebook</v>
      </c>
      <c r="K766" s="3" t="str">
        <f aca="false">IF(ISNUMBER(SEARCH("Facebook",J766)),"3654128","Not Facebook")</f>
        <v>3654128</v>
      </c>
      <c r="L766" s="3" t="str">
        <f aca="false">IFERROR(VLOOKUP(OFFSET(Table22,765,21,1,1),OFFSET(Table2,0,1,ROWS(Table2),8),7,0),VLOOKUP(OFFSET(Table22,765,22,1,1),Table2,8,0))</f>
        <v>AzurePlatform_FBCTCcanvaspage-BuyNowCTA-Img3_JPN_1080x162_SOC_Plat_Japanese_NA_Standard_NA_BN_T3_1</v>
      </c>
      <c r="M766" s="2" t="n">
        <f aca="false">IFERROR(VLOOKUP(OFFSET(Table22,765,21,1,1),OFFSET(Table2,0,1,ROWS(Table2),8),8,0),VLOOKUP(OFFSET(Table22,765,22,1,1),Table2,9,0))</f>
        <v>102630373</v>
      </c>
      <c r="N766" s="15" t="s">
        <v>29</v>
      </c>
      <c r="O766" s="16" t="n">
        <v>43357</v>
      </c>
      <c r="P766" s="17" t="s">
        <v>159</v>
      </c>
      <c r="Q766" s="18" t="s">
        <v>160</v>
      </c>
      <c r="R766" s="17" t="s">
        <v>161</v>
      </c>
      <c r="S766" s="18" t="s">
        <v>33</v>
      </c>
      <c r="T766" s="17" t="s">
        <v>34</v>
      </c>
      <c r="U766" s="18" t="s">
        <v>35</v>
      </c>
      <c r="V766" s="19" t="n">
        <v>227208508</v>
      </c>
      <c r="W766" s="17" t="s">
        <v>166</v>
      </c>
      <c r="X766" s="17" t="n">
        <v>1683</v>
      </c>
      <c r="Y766" s="17" t="n">
        <v>9</v>
      </c>
      <c r="Z766" s="17" t="n">
        <v>1548</v>
      </c>
      <c r="AA766" s="17" t="s">
        <v>163</v>
      </c>
      <c r="AB766" s="17"/>
    </row>
    <row r="767" customFormat="false" ht="15" hidden="false" customHeight="false" outlineLevel="0" collapsed="false">
      <c r="A767" s="1" t="str">
        <f aca="false">OFFSET(Table22,766,14,1,1)&amp;OFFSET(Table22,766,21,1,1)</f>
        <v>43358223297413</v>
      </c>
      <c r="B767" s="1" t="str">
        <f aca="false">OFFSET(Table22,766,14,1,1)&amp;OFFSET(Table22,766,22,1,1)</f>
        <v>43358Facebook»AZP-Canvas-Look a Like-Trial»1x1»Canvas»OTH»MO»CPM»PRO»X»UNK»TP»OT»Canvas-Trial</v>
      </c>
      <c r="C767" s="1" t="s">
        <v>28</v>
      </c>
      <c r="D767" s="3" t="n">
        <f aca="false">O767+(7-WEEKDAY(O767))</f>
        <v>43358</v>
      </c>
      <c r="E767" s="1" t="str">
        <f aca="false">VLOOKUP(OFFSET(Table22,766,16,1,1),Key!B:D,2,0)</f>
        <v>Japan</v>
      </c>
      <c r="F767" s="1" t="str">
        <f aca="false">IF(ISNUMBER(SEARCH("Canvas",U767)),"Link",IF(ISNUMBER(SEARCH("Link",U767)),"Link","Not filled properly"))</f>
        <v>Link</v>
      </c>
      <c r="G767" s="1" t="str">
        <f aca="false">IFERROR(VLOOKUP(OFFSET(Table22,766,21,1,1),OFFSET(Table2,0,1,ROWS(Table2),8),2,0),VLOOKUP(OFFSET(Table22,766,22,1,1),Table2,3,0))</f>
        <v>JPN_gaPMG_AZR_AZR_Q1_19_Trial-Social</v>
      </c>
      <c r="H767" s="1" t="n">
        <f aca="false">IFERROR(VLOOKUP(OFFSET(Table22,766,21,1,1),OFFSET(Table2,0,1,ROWS(Table2),8),3,0),VLOOKUP(OFFSET(Table22,766,22,1,1),Table2,4,0))</f>
        <v>21276694</v>
      </c>
      <c r="I767" s="2" t="n">
        <f aca="false">IFERROR(VLOOKUP(OFFSET(Table22,766,21,1,1),OFFSET(Table2,0,1,ROWS(Table2),8),4,0),VLOOKUP(OFFSET(Table22,766,22,1,1),Table2,5,0))</f>
        <v>720195</v>
      </c>
      <c r="J767" s="3" t="str">
        <f aca="false">IF(ISNUMBER(SEARCH("FACEBOOK",W767)),"Facebook",IF(ISNUMBER(SEARCH("INSTAGRAM",W767)),"Facebook-Instagram","Look at taxonomy"))</f>
        <v>Facebook</v>
      </c>
      <c r="K767" s="3" t="str">
        <f aca="false">IF(ISNUMBER(SEARCH("Facebook",J767)),"3654128","Not Facebook")</f>
        <v>3654128</v>
      </c>
      <c r="L767" s="3" t="str">
        <f aca="false">IFERROR(VLOOKUP(OFFSET(Table22,766,21,1,1),OFFSET(Table2,0,1,ROWS(Table2),8),7,0),VLOOKUP(OFFSET(Table22,766,22,1,1),Table2,8,0))</f>
        <v>AzurePlatform_FBCTCcanvaspage-StartFreeCTA-Img2_JPN_1080x143 _SOC_Plat_Japanese_NA_Standard_NA_NA_T2_1</v>
      </c>
      <c r="M767" s="2" t="n">
        <f aca="false">IFERROR(VLOOKUP(OFFSET(Table22,766,21,1,1),OFFSET(Table2,0,1,ROWS(Table2),8),8,0),VLOOKUP(OFFSET(Table22,766,22,1,1),Table2,9,0))</f>
        <v>102609621</v>
      </c>
      <c r="N767" s="15" t="s">
        <v>29</v>
      </c>
      <c r="O767" s="16" t="n">
        <v>43358</v>
      </c>
      <c r="P767" s="17" t="s">
        <v>159</v>
      </c>
      <c r="Q767" s="18" t="s">
        <v>160</v>
      </c>
      <c r="R767" s="17" t="s">
        <v>161</v>
      </c>
      <c r="S767" s="18" t="s">
        <v>33</v>
      </c>
      <c r="T767" s="17" t="s">
        <v>34</v>
      </c>
      <c r="U767" s="18" t="s">
        <v>35</v>
      </c>
      <c r="V767" s="19" t="n">
        <v>223297413</v>
      </c>
      <c r="W767" s="17" t="s">
        <v>162</v>
      </c>
      <c r="X767" s="17" t="n">
        <v>2025</v>
      </c>
      <c r="Y767" s="17" t="n">
        <v>5</v>
      </c>
      <c r="Z767" s="17" t="n">
        <v>1623</v>
      </c>
      <c r="AA767" s="17" t="s">
        <v>163</v>
      </c>
      <c r="AB767" s="17"/>
    </row>
    <row r="768" customFormat="false" ht="15" hidden="false" customHeight="false" outlineLevel="0" collapsed="false">
      <c r="A768" s="1" t="str">
        <f aca="false">OFFSET(Table22,767,14,1,1)&amp;OFFSET(Table22,767,21,1,1)</f>
        <v>43358223298805</v>
      </c>
      <c r="B768" s="1" t="str">
        <f aca="false">OFFSET(Table22,767,14,1,1)&amp;OFFSET(Table22,767,22,1,1)</f>
        <v>43358Facebook»AZP-Canvas-Interest&amp;Role-Trial»1x1»Canvas»OTH»MO»CPM»PRO»X»UNK»TP»OT»Canvas-Trial</v>
      </c>
      <c r="C768" s="1" t="s">
        <v>28</v>
      </c>
      <c r="D768" s="3" t="n">
        <f aca="false">O768+(7-WEEKDAY(O768))</f>
        <v>43358</v>
      </c>
      <c r="E768" s="1" t="str">
        <f aca="false">VLOOKUP(OFFSET(Table22,767,16,1,1),Key!B:D,2,0)</f>
        <v>Japan</v>
      </c>
      <c r="F768" s="1" t="str">
        <f aca="false">IF(ISNUMBER(SEARCH("Canvas",U768)),"Link",IF(ISNUMBER(SEARCH("Link",U768)),"Link","Not filled properly"))</f>
        <v>Link</v>
      </c>
      <c r="G768" s="1" t="str">
        <f aca="false">IFERROR(VLOOKUP(OFFSET(Table22,767,21,1,1),OFFSET(Table2,0,1,ROWS(Table2),8),2,0),VLOOKUP(OFFSET(Table22,767,22,1,1),Table2,3,0))</f>
        <v>JPN_gaPMG_AZR_AZR_Q1_19_Trial-Social</v>
      </c>
      <c r="H768" s="1" t="n">
        <f aca="false">IFERROR(VLOOKUP(OFFSET(Table22,767,21,1,1),OFFSET(Table2,0,1,ROWS(Table2),8),3,0),VLOOKUP(OFFSET(Table22,767,22,1,1),Table2,4,0))</f>
        <v>21276694</v>
      </c>
      <c r="I768" s="2" t="n">
        <f aca="false">IFERROR(VLOOKUP(OFFSET(Table22,767,21,1,1),OFFSET(Table2,0,1,ROWS(Table2),8),4,0),VLOOKUP(OFFSET(Table22,767,22,1,1),Table2,5,0))</f>
        <v>720195</v>
      </c>
      <c r="J768" s="3" t="str">
        <f aca="false">IF(ISNUMBER(SEARCH("FACEBOOK",W768)),"Facebook",IF(ISNUMBER(SEARCH("INSTAGRAM",W768)),"Facebook-Instagram","Look at taxonomy"))</f>
        <v>Facebook</v>
      </c>
      <c r="K768" s="3" t="str">
        <f aca="false">IF(ISNUMBER(SEARCH("Facebook",J768)),"3654128","Not Facebook")</f>
        <v>3654128</v>
      </c>
      <c r="L768" s="3" t="str">
        <f aca="false">IFERROR(VLOOKUP(OFFSET(Table22,767,21,1,1),OFFSET(Table2,0,1,ROWS(Table2),8),7,0),VLOOKUP(OFFSET(Table22,767,22,1,1),Table2,8,0))</f>
        <v>AzurePlatform_FBCTCcanvaspage-BuyNowCTA-Img3_JPN_1080x162_SOC_Plat_Japanese_NA_Standard_NA_BN_T3_1</v>
      </c>
      <c r="M768" s="2" t="n">
        <f aca="false">IFERROR(VLOOKUP(OFFSET(Table22,767,21,1,1),OFFSET(Table2,0,1,ROWS(Table2),8),8,0),VLOOKUP(OFFSET(Table22,767,22,1,1),Table2,9,0))</f>
        <v>102630373</v>
      </c>
      <c r="N768" s="15" t="s">
        <v>29</v>
      </c>
      <c r="O768" s="16" t="n">
        <v>43358</v>
      </c>
      <c r="P768" s="17" t="s">
        <v>159</v>
      </c>
      <c r="Q768" s="18" t="s">
        <v>160</v>
      </c>
      <c r="R768" s="17" t="s">
        <v>161</v>
      </c>
      <c r="S768" s="18" t="s">
        <v>33</v>
      </c>
      <c r="T768" s="17" t="s">
        <v>34</v>
      </c>
      <c r="U768" s="18" t="s">
        <v>35</v>
      </c>
      <c r="V768" s="19" t="n">
        <v>223298805</v>
      </c>
      <c r="W768" s="17" t="s">
        <v>164</v>
      </c>
      <c r="X768" s="17" t="n">
        <v>5078</v>
      </c>
      <c r="Y768" s="17" t="n">
        <v>41</v>
      </c>
      <c r="Z768" s="17" t="n">
        <v>6797</v>
      </c>
      <c r="AA768" s="17" t="s">
        <v>163</v>
      </c>
      <c r="AB768" s="17"/>
    </row>
    <row r="769" customFormat="false" ht="15" hidden="false" customHeight="false" outlineLevel="0" collapsed="false">
      <c r="A769" s="1" t="str">
        <f aca="false">OFFSET(Table22,768,14,1,1)&amp;OFFSET(Table22,768,21,1,1)</f>
        <v>43358226269941</v>
      </c>
      <c r="B769" s="1" t="str">
        <f aca="false">OFFSET(Table22,768,14,1,1)&amp;OFFSET(Table22,768,22,1,1)</f>
        <v>43358Facebook»AZP-Canvas-Retargeting-Trial»1x1»Canvas»SOC»MO»CPM»PRO»W»UNK»SS»OT»Canvas-Trial</v>
      </c>
      <c r="C769" s="1" t="s">
        <v>28</v>
      </c>
      <c r="D769" s="3" t="n">
        <f aca="false">O769+(7-WEEKDAY(O769))</f>
        <v>43358</v>
      </c>
      <c r="E769" s="1" t="str">
        <f aca="false">VLOOKUP(OFFSET(Table22,768,16,1,1),Key!B:D,2,0)</f>
        <v>Japan</v>
      </c>
      <c r="F769" s="1" t="str">
        <f aca="false">IF(ISNUMBER(SEARCH("Canvas",U769)),"Link",IF(ISNUMBER(SEARCH("Link",U769)),"Link","Not filled properly"))</f>
        <v>Link</v>
      </c>
      <c r="G769" s="1" t="str">
        <f aca="false">IFERROR(VLOOKUP(OFFSET(Table22,768,21,1,1),OFFSET(Table2,0,1,ROWS(Table2),8),2,0),VLOOKUP(OFFSET(Table22,768,22,1,1),Table2,3,0))</f>
        <v>JPN_gaPMG_AZR_AZR_Q1_19_Trial-Social</v>
      </c>
      <c r="H769" s="1" t="n">
        <f aca="false">IFERROR(VLOOKUP(OFFSET(Table22,768,21,1,1),OFFSET(Table2,0,1,ROWS(Table2),8),3,0),VLOOKUP(OFFSET(Table22,768,22,1,1),Table2,4,0))</f>
        <v>21276694</v>
      </c>
      <c r="I769" s="2" t="n">
        <f aca="false">IFERROR(VLOOKUP(OFFSET(Table22,768,21,1,1),OFFSET(Table2,0,1,ROWS(Table2),8),4,0),VLOOKUP(OFFSET(Table22,768,22,1,1),Table2,5,0))</f>
        <v>720195</v>
      </c>
      <c r="J769" s="3" t="str">
        <f aca="false">IF(ISNUMBER(SEARCH("FACEBOOK",W769)),"Facebook",IF(ISNUMBER(SEARCH("INSTAGRAM",W769)),"Facebook-Instagram","Look at taxonomy"))</f>
        <v>Facebook</v>
      </c>
      <c r="K769" s="3" t="str">
        <f aca="false">IF(ISNUMBER(SEARCH("Facebook",J769)),"3654128","Not Facebook")</f>
        <v>3654128</v>
      </c>
      <c r="L769" s="3" t="str">
        <f aca="false">IFERROR(VLOOKUP(OFFSET(Table22,768,21,1,1),OFFSET(Table2,0,1,ROWS(Table2),8),7,0),VLOOKUP(OFFSET(Table22,768,22,1,1),Table2,8,0))</f>
        <v>AZR_FBCTCcanvaspage-BuyNowCTA-Img3_JPN_1080x162_SOC_Plat_Japanese_NA_Standard_NA_BN_T3_1</v>
      </c>
      <c r="M769" s="2" t="n">
        <f aca="false">IFERROR(VLOOKUP(OFFSET(Table22,768,21,1,1),OFFSET(Table2,0,1,ROWS(Table2),8),8,0),VLOOKUP(OFFSET(Table22,768,22,1,1),Table2,9,0))</f>
        <v>104060547</v>
      </c>
      <c r="N769" s="15" t="s">
        <v>29</v>
      </c>
      <c r="O769" s="16" t="n">
        <v>43358</v>
      </c>
      <c r="P769" s="17" t="s">
        <v>159</v>
      </c>
      <c r="Q769" s="18" t="s">
        <v>160</v>
      </c>
      <c r="R769" s="17" t="s">
        <v>161</v>
      </c>
      <c r="S769" s="18" t="s">
        <v>33</v>
      </c>
      <c r="T769" s="17" t="s">
        <v>34</v>
      </c>
      <c r="U769" s="18" t="s">
        <v>35</v>
      </c>
      <c r="V769" s="19" t="n">
        <v>226269941</v>
      </c>
      <c r="W769" s="17" t="s">
        <v>165</v>
      </c>
      <c r="X769" s="17" t="n">
        <v>5222</v>
      </c>
      <c r="Y769" s="17" t="n">
        <v>35</v>
      </c>
      <c r="Z769" s="17" t="n">
        <v>11235</v>
      </c>
      <c r="AA769" s="17" t="s">
        <v>163</v>
      </c>
      <c r="AB769" s="17"/>
    </row>
    <row r="770" customFormat="false" ht="15" hidden="false" customHeight="false" outlineLevel="0" collapsed="false">
      <c r="A770" s="1" t="str">
        <f aca="false">OFFSET(Table22,769,14,1,1)&amp;OFFSET(Table22,769,21,1,1)</f>
        <v>43358227208508</v>
      </c>
      <c r="B770" s="1" t="str">
        <f aca="false">OFFSET(Table22,769,14,1,1)&amp;OFFSET(Table22,769,22,1,1)</f>
        <v>43358Facebook»AZP-Canvas-iine-Trial»1x1»Canvas»SOC»MO»CPM»AUT»W»NA»SS»NA»Canvas-Trial</v>
      </c>
      <c r="C770" s="1" t="s">
        <v>28</v>
      </c>
      <c r="D770" s="3" t="n">
        <f aca="false">O770+(7-WEEKDAY(O770))</f>
        <v>43358</v>
      </c>
      <c r="E770" s="1" t="str">
        <f aca="false">VLOOKUP(OFFSET(Table22,769,16,1,1),Key!B:D,2,0)</f>
        <v>Japan</v>
      </c>
      <c r="F770" s="1" t="str">
        <f aca="false">IF(ISNUMBER(SEARCH("Canvas",U770)),"Link",IF(ISNUMBER(SEARCH("Link",U770)),"Link","Not filled properly"))</f>
        <v>Link</v>
      </c>
      <c r="G770" s="1" t="str">
        <f aca="false">IFERROR(VLOOKUP(OFFSET(Table22,769,21,1,1),OFFSET(Table2,0,1,ROWS(Table2),8),2,0),VLOOKUP(OFFSET(Table22,769,22,1,1),Table2,3,0))</f>
        <v>JPN_gaPMG_AZR_AZR_Q1_19_Trial-Social</v>
      </c>
      <c r="H770" s="1" t="n">
        <f aca="false">IFERROR(VLOOKUP(OFFSET(Table22,769,21,1,1),OFFSET(Table2,0,1,ROWS(Table2),8),3,0),VLOOKUP(OFFSET(Table22,769,22,1,1),Table2,4,0))</f>
        <v>21276694</v>
      </c>
      <c r="I770" s="2" t="n">
        <f aca="false">IFERROR(VLOOKUP(OFFSET(Table22,769,21,1,1),OFFSET(Table2,0,1,ROWS(Table2),8),4,0),VLOOKUP(OFFSET(Table22,769,22,1,1),Table2,5,0))</f>
        <v>720195</v>
      </c>
      <c r="J770" s="3" t="str">
        <f aca="false">IF(ISNUMBER(SEARCH("FACEBOOK",W770)),"Facebook",IF(ISNUMBER(SEARCH("INSTAGRAM",W770)),"Facebook-Instagram","Look at taxonomy"))</f>
        <v>Facebook</v>
      </c>
      <c r="K770" s="3" t="str">
        <f aca="false">IF(ISNUMBER(SEARCH("Facebook",J770)),"3654128","Not Facebook")</f>
        <v>3654128</v>
      </c>
      <c r="L770" s="3" t="str">
        <f aca="false">IFERROR(VLOOKUP(OFFSET(Table22,769,21,1,1),OFFSET(Table2,0,1,ROWS(Table2),8),7,0),VLOOKUP(OFFSET(Table22,769,22,1,1),Table2,8,0))</f>
        <v>AzurePlatform_FBCTCcanvaspage-BuyNowCTA-Img3_JPN_1080x162_SOC_Plat_Japanese_NA_Standard_NA_BN_T3_1</v>
      </c>
      <c r="M770" s="2" t="n">
        <f aca="false">IFERROR(VLOOKUP(OFFSET(Table22,769,21,1,1),OFFSET(Table2,0,1,ROWS(Table2),8),8,0),VLOOKUP(OFFSET(Table22,769,22,1,1),Table2,9,0))</f>
        <v>102630373</v>
      </c>
      <c r="N770" s="15" t="s">
        <v>29</v>
      </c>
      <c r="O770" s="16" t="n">
        <v>43358</v>
      </c>
      <c r="P770" s="17" t="s">
        <v>159</v>
      </c>
      <c r="Q770" s="18" t="s">
        <v>160</v>
      </c>
      <c r="R770" s="17" t="s">
        <v>161</v>
      </c>
      <c r="S770" s="18" t="s">
        <v>33</v>
      </c>
      <c r="T770" s="17" t="s">
        <v>34</v>
      </c>
      <c r="U770" s="18" t="s">
        <v>35</v>
      </c>
      <c r="V770" s="19" t="n">
        <v>227208508</v>
      </c>
      <c r="W770" s="17" t="s">
        <v>166</v>
      </c>
      <c r="X770" s="17" t="n">
        <v>1909</v>
      </c>
      <c r="Y770" s="17" t="n">
        <v>10</v>
      </c>
      <c r="Z770" s="17" t="n">
        <v>1670</v>
      </c>
      <c r="AA770" s="17" t="s">
        <v>163</v>
      </c>
      <c r="AB770" s="1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70AD47"/>
    <pageSetUpPr fitToPage="false"/>
  </sheetPr>
  <dimension ref="A1:O655"/>
  <sheetViews>
    <sheetView windowProtection="false" showFormulas="false" showGridLines="true" showRowColHeaders="true" showZeros="true" rightToLeft="false" tabSelected="false" showOutlineSymbols="true" defaultGridColor="true" view="normal" topLeftCell="E619" colorId="64" zoomScale="100" zoomScaleNormal="100" zoomScalePageLayoutView="100" workbookViewId="0">
      <selection pane="topLeft" activeCell="A3" activeCellId="0" sqref="A3"/>
    </sheetView>
  </sheetViews>
  <sheetFormatPr defaultRowHeight="15"/>
  <cols>
    <col collapsed="false" hidden="false" max="1" min="1" style="0" width="16.3886639676113"/>
    <col collapsed="false" hidden="false" max="2" min="2" style="0" width="15.6396761133603"/>
    <col collapsed="false" hidden="false" max="3" min="3" style="0" width="11.4615384615385"/>
    <col collapsed="false" hidden="false" max="4" min="4" style="0" width="13.9271255060729"/>
    <col collapsed="false" hidden="false" max="5" min="5" style="0" width="21.6396761133603"/>
    <col collapsed="false" hidden="false" max="6" min="6" style="0" width="20.4615384615385"/>
    <col collapsed="false" hidden="false" max="7" min="7" style="0" width="22.4939271255061"/>
    <col collapsed="false" hidden="false" max="8" min="8" style="0" width="17.4615384615385"/>
    <col collapsed="false" hidden="false" max="10" min="10" style="0" width="23.0323886639676"/>
    <col collapsed="false" hidden="false" max="11" min="11" style="0" width="20.5668016194332"/>
    <col collapsed="false" hidden="false" max="13" min="12" style="0" width="13.0688259109312"/>
    <col collapsed="false" hidden="false" max="14" min="14" style="0" width="27.8502024291498"/>
    <col collapsed="false" hidden="false" max="15" min="15" style="0" width="21.8542510121457"/>
    <col collapsed="false" hidden="false" max="1025" min="16" style="0" width="8.57085020242915"/>
  </cols>
  <sheetData>
    <row r="1" customFormat="false" ht="73.5" hidden="false" customHeight="true" outlineLevel="0" collapsed="false">
      <c r="A1" s="20"/>
      <c r="B1" s="20"/>
      <c r="C1" s="20"/>
      <c r="D1" s="21"/>
      <c r="E1" s="22" t="s">
        <v>167</v>
      </c>
      <c r="F1" s="22"/>
      <c r="G1" s="22"/>
      <c r="H1" s="22"/>
      <c r="I1" s="22" t="s">
        <v>168</v>
      </c>
      <c r="J1" s="22"/>
      <c r="K1" s="22"/>
      <c r="L1" s="22"/>
      <c r="M1" s="22"/>
      <c r="N1" s="22"/>
      <c r="O1" s="22"/>
    </row>
    <row r="2" customFormat="false" ht="15" hidden="false" customHeight="false" outlineLevel="0" collapsed="false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5"/>
      <c r="N2" s="26" t="s">
        <v>169</v>
      </c>
      <c r="O2" s="27"/>
    </row>
    <row r="3" customFormat="false" ht="15" hidden="false" customHeight="false" outlineLevel="0" collapsed="false">
      <c r="A3" s="28" t="s">
        <v>0</v>
      </c>
      <c r="B3" s="29" t="s">
        <v>1</v>
      </c>
      <c r="C3" s="29" t="s">
        <v>2</v>
      </c>
      <c r="D3" s="29" t="s">
        <v>14</v>
      </c>
      <c r="E3" s="29" t="s">
        <v>15</v>
      </c>
      <c r="F3" s="29" t="s">
        <v>7</v>
      </c>
      <c r="G3" s="29" t="s">
        <v>8</v>
      </c>
      <c r="H3" s="29" t="s">
        <v>9</v>
      </c>
      <c r="I3" s="29" t="s">
        <v>10</v>
      </c>
      <c r="J3" s="29" t="s">
        <v>22</v>
      </c>
      <c r="K3" s="29" t="s">
        <v>21</v>
      </c>
      <c r="L3" s="29" t="s">
        <v>11</v>
      </c>
      <c r="M3" s="29" t="s">
        <v>12</v>
      </c>
      <c r="N3" s="30" t="s">
        <v>170</v>
      </c>
      <c r="O3" s="31" t="s">
        <v>171</v>
      </c>
    </row>
    <row r="4" customFormat="false" ht="15" hidden="false" customHeight="false" outlineLevel="0" collapsed="false">
      <c r="A4" s="32" t="s">
        <v>172</v>
      </c>
      <c r="B4" s="33" t="s">
        <v>173</v>
      </c>
      <c r="C4" s="33" t="s">
        <v>28</v>
      </c>
      <c r="D4" s="34" t="n">
        <v>43352</v>
      </c>
      <c r="E4" s="33" t="s">
        <v>30</v>
      </c>
      <c r="F4" s="33" t="n">
        <v>21359477</v>
      </c>
      <c r="G4" s="33" t="n">
        <v>720194</v>
      </c>
      <c r="H4" s="33" t="s">
        <v>34</v>
      </c>
      <c r="I4" s="33" t="s">
        <v>174</v>
      </c>
      <c r="J4" s="33" t="s">
        <v>37</v>
      </c>
      <c r="K4" s="35" t="s">
        <v>36</v>
      </c>
      <c r="L4" s="33" t="s">
        <v>175</v>
      </c>
      <c r="M4" s="33" t="n">
        <v>103235787</v>
      </c>
      <c r="N4" s="36" t="n">
        <v>8009</v>
      </c>
      <c r="O4" s="37" t="n">
        <v>134.53</v>
      </c>
    </row>
    <row r="5" customFormat="false" ht="15" hidden="false" customHeight="false" outlineLevel="0" collapsed="false">
      <c r="A5" s="32" t="s">
        <v>176</v>
      </c>
      <c r="B5" s="33" t="s">
        <v>177</v>
      </c>
      <c r="C5" s="33" t="s">
        <v>28</v>
      </c>
      <c r="D5" s="34" t="n">
        <v>43353</v>
      </c>
      <c r="E5" s="33" t="s">
        <v>30</v>
      </c>
      <c r="F5" s="33" t="n">
        <v>21359477</v>
      </c>
      <c r="G5" s="33" t="n">
        <v>720194</v>
      </c>
      <c r="H5" s="33" t="s">
        <v>34</v>
      </c>
      <c r="I5" s="33" t="s">
        <v>174</v>
      </c>
      <c r="J5" s="33" t="s">
        <v>37</v>
      </c>
      <c r="K5" s="35" t="s">
        <v>36</v>
      </c>
      <c r="L5" s="33" t="s">
        <v>175</v>
      </c>
      <c r="M5" s="33" t="n">
        <v>103235787</v>
      </c>
      <c r="N5" s="36" t="n">
        <v>20102</v>
      </c>
      <c r="O5" s="37" t="n">
        <v>145.47</v>
      </c>
    </row>
    <row r="6" customFormat="false" ht="15" hidden="false" customHeight="false" outlineLevel="0" collapsed="false">
      <c r="A6" s="32" t="s">
        <v>178</v>
      </c>
      <c r="B6" s="33" t="s">
        <v>179</v>
      </c>
      <c r="C6" s="33" t="s">
        <v>28</v>
      </c>
      <c r="D6" s="34" t="n">
        <v>43354</v>
      </c>
      <c r="E6" s="33" t="s">
        <v>30</v>
      </c>
      <c r="F6" s="33" t="n">
        <v>21359477</v>
      </c>
      <c r="G6" s="33" t="n">
        <v>720194</v>
      </c>
      <c r="H6" s="33" t="s">
        <v>34</v>
      </c>
      <c r="I6" s="33" t="s">
        <v>174</v>
      </c>
      <c r="J6" s="33" t="s">
        <v>37</v>
      </c>
      <c r="K6" s="35" t="s">
        <v>36</v>
      </c>
      <c r="L6" s="33" t="s">
        <v>175</v>
      </c>
      <c r="M6" s="33" t="n">
        <v>103235787</v>
      </c>
      <c r="N6" s="36" t="n">
        <v>20832</v>
      </c>
      <c r="O6" s="37" t="n">
        <v>199.72</v>
      </c>
    </row>
    <row r="7" customFormat="false" ht="15" hidden="false" customHeight="false" outlineLevel="0" collapsed="false">
      <c r="A7" s="32" t="s">
        <v>180</v>
      </c>
      <c r="B7" s="33" t="s">
        <v>181</v>
      </c>
      <c r="C7" s="33" t="s">
        <v>28</v>
      </c>
      <c r="D7" s="34" t="n">
        <v>43355</v>
      </c>
      <c r="E7" s="33" t="s">
        <v>30</v>
      </c>
      <c r="F7" s="33" t="n">
        <v>21359477</v>
      </c>
      <c r="G7" s="33" t="n">
        <v>720194</v>
      </c>
      <c r="H7" s="33" t="s">
        <v>34</v>
      </c>
      <c r="I7" s="33" t="s">
        <v>174</v>
      </c>
      <c r="J7" s="33" t="s">
        <v>37</v>
      </c>
      <c r="K7" s="35" t="s">
        <v>36</v>
      </c>
      <c r="L7" s="33" t="s">
        <v>175</v>
      </c>
      <c r="M7" s="33" t="n">
        <v>103235787</v>
      </c>
      <c r="N7" s="36" t="n">
        <v>11509</v>
      </c>
      <c r="O7" s="37" t="n">
        <v>111.2</v>
      </c>
    </row>
    <row r="8" customFormat="false" ht="15" hidden="false" customHeight="false" outlineLevel="0" collapsed="false">
      <c r="A8" s="32" t="s">
        <v>182</v>
      </c>
      <c r="B8" s="33" t="s">
        <v>183</v>
      </c>
      <c r="C8" s="33" t="s">
        <v>28</v>
      </c>
      <c r="D8" s="34" t="n">
        <v>43356</v>
      </c>
      <c r="E8" s="33" t="s">
        <v>30</v>
      </c>
      <c r="F8" s="33" t="n">
        <v>21359477</v>
      </c>
      <c r="G8" s="33" t="n">
        <v>720194</v>
      </c>
      <c r="H8" s="33" t="s">
        <v>34</v>
      </c>
      <c r="I8" s="33" t="s">
        <v>174</v>
      </c>
      <c r="J8" s="33" t="s">
        <v>37</v>
      </c>
      <c r="K8" s="35" t="s">
        <v>36</v>
      </c>
      <c r="L8" s="33" t="s">
        <v>175</v>
      </c>
      <c r="M8" s="33" t="n">
        <v>103235787</v>
      </c>
      <c r="N8" s="36" t="n">
        <v>13274</v>
      </c>
      <c r="O8" s="37" t="n">
        <v>110.62</v>
      </c>
    </row>
    <row r="9" customFormat="false" ht="15" hidden="false" customHeight="false" outlineLevel="0" collapsed="false">
      <c r="A9" s="32" t="s">
        <v>184</v>
      </c>
      <c r="B9" s="33" t="s">
        <v>185</v>
      </c>
      <c r="C9" s="33" t="s">
        <v>28</v>
      </c>
      <c r="D9" s="34" t="n">
        <v>43357</v>
      </c>
      <c r="E9" s="33" t="s">
        <v>30</v>
      </c>
      <c r="F9" s="33" t="n">
        <v>21359477</v>
      </c>
      <c r="G9" s="33" t="n">
        <v>720194</v>
      </c>
      <c r="H9" s="33" t="s">
        <v>34</v>
      </c>
      <c r="I9" s="33" t="s">
        <v>174</v>
      </c>
      <c r="J9" s="33" t="s">
        <v>37</v>
      </c>
      <c r="K9" s="35" t="s">
        <v>36</v>
      </c>
      <c r="L9" s="33" t="s">
        <v>175</v>
      </c>
      <c r="M9" s="33" t="n">
        <v>103235787</v>
      </c>
      <c r="N9" s="36" t="n">
        <v>10568</v>
      </c>
      <c r="O9" s="37" t="n">
        <v>124.78</v>
      </c>
    </row>
    <row r="10" customFormat="false" ht="15" hidden="false" customHeight="false" outlineLevel="0" collapsed="false">
      <c r="A10" s="32" t="s">
        <v>186</v>
      </c>
      <c r="B10" s="33" t="s">
        <v>187</v>
      </c>
      <c r="C10" s="33" t="s">
        <v>28</v>
      </c>
      <c r="D10" s="34" t="n">
        <v>43358</v>
      </c>
      <c r="E10" s="33" t="s">
        <v>30</v>
      </c>
      <c r="F10" s="33" t="n">
        <v>21359477</v>
      </c>
      <c r="G10" s="33" t="n">
        <v>720194</v>
      </c>
      <c r="H10" s="33" t="s">
        <v>34</v>
      </c>
      <c r="I10" s="33" t="s">
        <v>174</v>
      </c>
      <c r="J10" s="33" t="s">
        <v>37</v>
      </c>
      <c r="K10" s="35" t="s">
        <v>36</v>
      </c>
      <c r="L10" s="33" t="s">
        <v>175</v>
      </c>
      <c r="M10" s="33" t="n">
        <v>103235787</v>
      </c>
      <c r="N10" s="36" t="n">
        <v>9575</v>
      </c>
      <c r="O10" s="37" t="n">
        <v>116.09</v>
      </c>
    </row>
    <row r="11" customFormat="false" ht="15" hidden="false" customHeight="false" outlineLevel="0" collapsed="false">
      <c r="A11" s="32" t="s">
        <v>188</v>
      </c>
      <c r="B11" s="33" t="s">
        <v>189</v>
      </c>
      <c r="C11" s="33" t="s">
        <v>28</v>
      </c>
      <c r="D11" s="34" t="n">
        <v>43352</v>
      </c>
      <c r="E11" s="33" t="s">
        <v>30</v>
      </c>
      <c r="F11" s="33" t="n">
        <v>21359477</v>
      </c>
      <c r="G11" s="33" t="n">
        <v>720194</v>
      </c>
      <c r="H11" s="33" t="s">
        <v>34</v>
      </c>
      <c r="I11" s="33" t="s">
        <v>174</v>
      </c>
      <c r="J11" s="33" t="s">
        <v>41</v>
      </c>
      <c r="K11" s="35" t="s">
        <v>40</v>
      </c>
      <c r="L11" s="33" t="s">
        <v>190</v>
      </c>
      <c r="M11" s="33" t="n">
        <v>103048548</v>
      </c>
      <c r="N11" s="36" t="n">
        <v>7439</v>
      </c>
      <c r="O11" s="37" t="n">
        <v>90.74</v>
      </c>
    </row>
    <row r="12" customFormat="false" ht="15" hidden="false" customHeight="false" outlineLevel="0" collapsed="false">
      <c r="A12" s="32" t="s">
        <v>191</v>
      </c>
      <c r="B12" s="33" t="s">
        <v>192</v>
      </c>
      <c r="C12" s="33" t="s">
        <v>28</v>
      </c>
      <c r="D12" s="34" t="n">
        <v>43353</v>
      </c>
      <c r="E12" s="33" t="s">
        <v>30</v>
      </c>
      <c r="F12" s="33" t="n">
        <v>21359477</v>
      </c>
      <c r="G12" s="33" t="n">
        <v>720194</v>
      </c>
      <c r="H12" s="33" t="s">
        <v>34</v>
      </c>
      <c r="I12" s="33" t="s">
        <v>174</v>
      </c>
      <c r="J12" s="33" t="s">
        <v>41</v>
      </c>
      <c r="K12" s="35" t="s">
        <v>40</v>
      </c>
      <c r="L12" s="33" t="s">
        <v>190</v>
      </c>
      <c r="M12" s="33" t="n">
        <v>103048548</v>
      </c>
      <c r="N12" s="36" t="n">
        <v>6890</v>
      </c>
      <c r="O12" s="37" t="n">
        <v>79.15</v>
      </c>
    </row>
    <row r="13" customFormat="false" ht="15" hidden="false" customHeight="false" outlineLevel="0" collapsed="false">
      <c r="A13" s="32" t="s">
        <v>193</v>
      </c>
      <c r="B13" s="33" t="s">
        <v>194</v>
      </c>
      <c r="C13" s="33" t="s">
        <v>28</v>
      </c>
      <c r="D13" s="34" t="n">
        <v>43354</v>
      </c>
      <c r="E13" s="33" t="s">
        <v>30</v>
      </c>
      <c r="F13" s="33" t="n">
        <v>21359477</v>
      </c>
      <c r="G13" s="33" t="n">
        <v>720194</v>
      </c>
      <c r="H13" s="33" t="s">
        <v>34</v>
      </c>
      <c r="I13" s="33" t="s">
        <v>174</v>
      </c>
      <c r="J13" s="33" t="s">
        <v>41</v>
      </c>
      <c r="K13" s="35" t="s">
        <v>40</v>
      </c>
      <c r="L13" s="33" t="s">
        <v>190</v>
      </c>
      <c r="M13" s="33" t="n">
        <v>103048548</v>
      </c>
      <c r="N13" s="36" t="n">
        <v>6117</v>
      </c>
      <c r="O13" s="37" t="n">
        <v>72.23</v>
      </c>
    </row>
    <row r="14" customFormat="false" ht="15" hidden="false" customHeight="false" outlineLevel="0" collapsed="false">
      <c r="A14" s="32" t="s">
        <v>195</v>
      </c>
      <c r="B14" s="33" t="s">
        <v>196</v>
      </c>
      <c r="C14" s="33" t="s">
        <v>28</v>
      </c>
      <c r="D14" s="34" t="n">
        <v>43355</v>
      </c>
      <c r="E14" s="33" t="s">
        <v>30</v>
      </c>
      <c r="F14" s="33" t="n">
        <v>21359477</v>
      </c>
      <c r="G14" s="33" t="n">
        <v>720194</v>
      </c>
      <c r="H14" s="33" t="s">
        <v>34</v>
      </c>
      <c r="I14" s="33" t="s">
        <v>174</v>
      </c>
      <c r="J14" s="33" t="s">
        <v>41</v>
      </c>
      <c r="K14" s="35" t="s">
        <v>40</v>
      </c>
      <c r="L14" s="33" t="s">
        <v>190</v>
      </c>
      <c r="M14" s="33" t="n">
        <v>103048548</v>
      </c>
      <c r="N14" s="36" t="n">
        <v>6883</v>
      </c>
      <c r="O14" s="37" t="n">
        <v>94.71</v>
      </c>
    </row>
    <row r="15" customFormat="false" ht="15" hidden="false" customHeight="false" outlineLevel="0" collapsed="false">
      <c r="A15" s="32" t="s">
        <v>197</v>
      </c>
      <c r="B15" s="33" t="s">
        <v>198</v>
      </c>
      <c r="C15" s="33" t="s">
        <v>28</v>
      </c>
      <c r="D15" s="34" t="n">
        <v>43356</v>
      </c>
      <c r="E15" s="33" t="s">
        <v>30</v>
      </c>
      <c r="F15" s="33" t="n">
        <v>21359477</v>
      </c>
      <c r="G15" s="33" t="n">
        <v>720194</v>
      </c>
      <c r="H15" s="33" t="s">
        <v>34</v>
      </c>
      <c r="I15" s="33" t="s">
        <v>174</v>
      </c>
      <c r="J15" s="33" t="s">
        <v>41</v>
      </c>
      <c r="K15" s="35" t="s">
        <v>40</v>
      </c>
      <c r="L15" s="33" t="s">
        <v>190</v>
      </c>
      <c r="M15" s="33" t="n">
        <v>103048548</v>
      </c>
      <c r="N15" s="36" t="n">
        <v>6867</v>
      </c>
      <c r="O15" s="37" t="n">
        <v>93</v>
      </c>
    </row>
    <row r="16" customFormat="false" ht="15" hidden="false" customHeight="false" outlineLevel="0" collapsed="false">
      <c r="A16" s="32" t="s">
        <v>199</v>
      </c>
      <c r="B16" s="33" t="s">
        <v>200</v>
      </c>
      <c r="C16" s="33" t="s">
        <v>28</v>
      </c>
      <c r="D16" s="34" t="n">
        <v>43357</v>
      </c>
      <c r="E16" s="33" t="s">
        <v>30</v>
      </c>
      <c r="F16" s="33" t="n">
        <v>21359477</v>
      </c>
      <c r="G16" s="33" t="n">
        <v>720194</v>
      </c>
      <c r="H16" s="33" t="s">
        <v>34</v>
      </c>
      <c r="I16" s="33" t="s">
        <v>174</v>
      </c>
      <c r="J16" s="33" t="s">
        <v>41</v>
      </c>
      <c r="K16" s="35" t="s">
        <v>40</v>
      </c>
      <c r="L16" s="33" t="s">
        <v>190</v>
      </c>
      <c r="M16" s="33" t="n">
        <v>103048548</v>
      </c>
      <c r="N16" s="36" t="n">
        <v>7052</v>
      </c>
      <c r="O16" s="37" t="n">
        <v>96.11</v>
      </c>
    </row>
    <row r="17" customFormat="false" ht="15" hidden="false" customHeight="false" outlineLevel="0" collapsed="false">
      <c r="A17" s="32" t="s">
        <v>201</v>
      </c>
      <c r="B17" s="33" t="s">
        <v>202</v>
      </c>
      <c r="C17" s="33" t="s">
        <v>28</v>
      </c>
      <c r="D17" s="34" t="n">
        <v>43358</v>
      </c>
      <c r="E17" s="33" t="s">
        <v>30</v>
      </c>
      <c r="F17" s="33" t="n">
        <v>21359477</v>
      </c>
      <c r="G17" s="33" t="n">
        <v>720194</v>
      </c>
      <c r="H17" s="33" t="s">
        <v>34</v>
      </c>
      <c r="I17" s="33" t="s">
        <v>174</v>
      </c>
      <c r="J17" s="33" t="s">
        <v>41</v>
      </c>
      <c r="K17" s="35" t="s">
        <v>40</v>
      </c>
      <c r="L17" s="33" t="s">
        <v>190</v>
      </c>
      <c r="M17" s="33" t="n">
        <v>103048548</v>
      </c>
      <c r="N17" s="36" t="n">
        <v>7104</v>
      </c>
      <c r="O17" s="37" t="n">
        <v>96.08</v>
      </c>
    </row>
    <row r="18" customFormat="false" ht="15" hidden="false" customHeight="false" outlineLevel="0" collapsed="false">
      <c r="A18" s="32" t="s">
        <v>203</v>
      </c>
      <c r="B18" s="33" t="s">
        <v>204</v>
      </c>
      <c r="C18" s="33" t="s">
        <v>28</v>
      </c>
      <c r="D18" s="34" t="n">
        <v>43352</v>
      </c>
      <c r="E18" s="33" t="s">
        <v>42</v>
      </c>
      <c r="F18" s="33" t="n">
        <v>21337013</v>
      </c>
      <c r="G18" s="33" t="n">
        <v>720196</v>
      </c>
      <c r="H18" s="33" t="s">
        <v>34</v>
      </c>
      <c r="I18" s="33" t="s">
        <v>174</v>
      </c>
      <c r="J18" s="33" t="s">
        <v>47</v>
      </c>
      <c r="K18" s="35" t="n">
        <v>223560299</v>
      </c>
      <c r="L18" s="33" t="s">
        <v>205</v>
      </c>
      <c r="M18" s="33" t="n">
        <v>102854019</v>
      </c>
      <c r="N18" s="36" t="n">
        <v>514.92</v>
      </c>
      <c r="O18" s="37" t="n">
        <v>13.4</v>
      </c>
    </row>
    <row r="19" customFormat="false" ht="15" hidden="false" customHeight="false" outlineLevel="0" collapsed="false">
      <c r="A19" s="32" t="s">
        <v>206</v>
      </c>
      <c r="B19" s="33" t="s">
        <v>207</v>
      </c>
      <c r="C19" s="33" t="s">
        <v>28</v>
      </c>
      <c r="D19" s="34" t="n">
        <v>43352</v>
      </c>
      <c r="E19" s="33" t="s">
        <v>42</v>
      </c>
      <c r="F19" s="33" t="n">
        <v>21337013</v>
      </c>
      <c r="G19" s="33" t="n">
        <v>720196</v>
      </c>
      <c r="H19" s="33" t="s">
        <v>34</v>
      </c>
      <c r="I19" s="33" t="s">
        <v>174</v>
      </c>
      <c r="J19" s="33" t="s">
        <v>50</v>
      </c>
      <c r="K19" s="35" t="n">
        <v>223560332</v>
      </c>
      <c r="L19" s="33" t="s">
        <v>208</v>
      </c>
      <c r="M19" s="33" t="n">
        <v>102854037</v>
      </c>
      <c r="N19" s="36" t="n">
        <v>514.92</v>
      </c>
      <c r="O19" s="37" t="n">
        <v>13.4</v>
      </c>
    </row>
    <row r="20" customFormat="false" ht="15" hidden="false" customHeight="false" outlineLevel="0" collapsed="false">
      <c r="A20" s="32" t="s">
        <v>209</v>
      </c>
      <c r="B20" s="33" t="s">
        <v>210</v>
      </c>
      <c r="C20" s="33" t="s">
        <v>28</v>
      </c>
      <c r="D20" s="34" t="n">
        <v>43352</v>
      </c>
      <c r="E20" s="33" t="s">
        <v>42</v>
      </c>
      <c r="F20" s="33" t="n">
        <v>21337013</v>
      </c>
      <c r="G20" s="33" t="n">
        <v>720196</v>
      </c>
      <c r="H20" s="33" t="s">
        <v>34</v>
      </c>
      <c r="I20" s="33" t="s">
        <v>174</v>
      </c>
      <c r="J20" s="33" t="s">
        <v>51</v>
      </c>
      <c r="K20" s="35" t="n">
        <v>223560338</v>
      </c>
      <c r="L20" s="33" t="s">
        <v>211</v>
      </c>
      <c r="M20" s="33" t="n">
        <v>102853603</v>
      </c>
      <c r="N20" s="36" t="n">
        <v>514.92</v>
      </c>
      <c r="O20" s="37" t="n">
        <v>13.4</v>
      </c>
    </row>
    <row r="21" customFormat="false" ht="15" hidden="false" customHeight="false" outlineLevel="0" collapsed="false">
      <c r="A21" s="32" t="s">
        <v>212</v>
      </c>
      <c r="B21" s="33" t="s">
        <v>213</v>
      </c>
      <c r="C21" s="33" t="s">
        <v>28</v>
      </c>
      <c r="D21" s="34" t="n">
        <v>43352</v>
      </c>
      <c r="E21" s="33" t="s">
        <v>42</v>
      </c>
      <c r="F21" s="33" t="n">
        <v>21337013</v>
      </c>
      <c r="G21" s="33" t="n">
        <v>720196</v>
      </c>
      <c r="H21" s="33" t="s">
        <v>34</v>
      </c>
      <c r="I21" s="33" t="s">
        <v>174</v>
      </c>
      <c r="J21" s="33" t="s">
        <v>52</v>
      </c>
      <c r="K21" s="35" t="n">
        <v>223560344</v>
      </c>
      <c r="L21" s="33" t="s">
        <v>214</v>
      </c>
      <c r="M21" s="33" t="n">
        <v>102861246</v>
      </c>
      <c r="N21" s="36" t="n">
        <v>514.92</v>
      </c>
      <c r="O21" s="37" t="n">
        <v>13.4</v>
      </c>
    </row>
    <row r="22" customFormat="false" ht="15" hidden="false" customHeight="false" outlineLevel="0" collapsed="false">
      <c r="A22" s="32" t="s">
        <v>215</v>
      </c>
      <c r="B22" s="33" t="s">
        <v>216</v>
      </c>
      <c r="C22" s="33" t="s">
        <v>28</v>
      </c>
      <c r="D22" s="34" t="n">
        <v>43352</v>
      </c>
      <c r="E22" s="33" t="s">
        <v>42</v>
      </c>
      <c r="F22" s="33" t="n">
        <v>21337013</v>
      </c>
      <c r="G22" s="33" t="n">
        <v>720196</v>
      </c>
      <c r="H22" s="33" t="s">
        <v>34</v>
      </c>
      <c r="I22" s="33" t="s">
        <v>174</v>
      </c>
      <c r="J22" s="33" t="s">
        <v>53</v>
      </c>
      <c r="K22" s="35" t="n">
        <v>223560350</v>
      </c>
      <c r="L22" s="33" t="s">
        <v>217</v>
      </c>
      <c r="M22" s="33" t="n">
        <v>103006547</v>
      </c>
      <c r="N22" s="36" t="n">
        <v>514.92</v>
      </c>
      <c r="O22" s="37" t="n">
        <v>13.4</v>
      </c>
    </row>
    <row r="23" customFormat="false" ht="15" hidden="false" customHeight="false" outlineLevel="0" collapsed="false">
      <c r="A23" s="32" t="s">
        <v>218</v>
      </c>
      <c r="B23" s="33" t="s">
        <v>219</v>
      </c>
      <c r="C23" s="33" t="s">
        <v>28</v>
      </c>
      <c r="D23" s="34" t="n">
        <v>43352</v>
      </c>
      <c r="E23" s="33" t="s">
        <v>42</v>
      </c>
      <c r="F23" s="33" t="n">
        <v>21337013</v>
      </c>
      <c r="G23" s="33" t="n">
        <v>720196</v>
      </c>
      <c r="H23" s="33" t="s">
        <v>34</v>
      </c>
      <c r="I23" s="33" t="s">
        <v>174</v>
      </c>
      <c r="J23" s="33" t="s">
        <v>54</v>
      </c>
      <c r="K23" s="35" t="n">
        <v>223560356</v>
      </c>
      <c r="L23" s="33" t="s">
        <v>220</v>
      </c>
      <c r="M23" s="33" t="n">
        <v>102854016</v>
      </c>
      <c r="N23" s="36" t="n">
        <v>514.92</v>
      </c>
      <c r="O23" s="37" t="n">
        <v>13.4</v>
      </c>
    </row>
    <row r="24" customFormat="false" ht="15" hidden="false" customHeight="false" outlineLevel="0" collapsed="false">
      <c r="A24" s="32" t="s">
        <v>221</v>
      </c>
      <c r="B24" s="33" t="s">
        <v>222</v>
      </c>
      <c r="C24" s="33" t="s">
        <v>28</v>
      </c>
      <c r="D24" s="34" t="n">
        <v>43352</v>
      </c>
      <c r="E24" s="33" t="s">
        <v>42</v>
      </c>
      <c r="F24" s="33" t="n">
        <v>21337013</v>
      </c>
      <c r="G24" s="33" t="n">
        <v>720196</v>
      </c>
      <c r="H24" s="33" t="s">
        <v>34</v>
      </c>
      <c r="I24" s="33" t="s">
        <v>174</v>
      </c>
      <c r="J24" s="33" t="s">
        <v>56</v>
      </c>
      <c r="K24" s="35" t="n">
        <v>224334170</v>
      </c>
      <c r="L24" s="33" t="s">
        <v>223</v>
      </c>
      <c r="M24" s="33" t="n">
        <v>103230847</v>
      </c>
      <c r="N24" s="36" t="n">
        <v>10993.84</v>
      </c>
      <c r="O24" s="37" t="n">
        <v>156.86</v>
      </c>
    </row>
    <row r="25" customFormat="false" ht="15" hidden="false" customHeight="false" outlineLevel="0" collapsed="false">
      <c r="A25" s="32" t="s">
        <v>224</v>
      </c>
      <c r="B25" s="33" t="s">
        <v>225</v>
      </c>
      <c r="C25" s="33" t="s">
        <v>28</v>
      </c>
      <c r="D25" s="34" t="n">
        <v>43352</v>
      </c>
      <c r="E25" s="33" t="s">
        <v>42</v>
      </c>
      <c r="F25" s="33" t="n">
        <v>21337013</v>
      </c>
      <c r="G25" s="33" t="n">
        <v>720196</v>
      </c>
      <c r="H25" s="33" t="s">
        <v>34</v>
      </c>
      <c r="I25" s="33" t="s">
        <v>174</v>
      </c>
      <c r="J25" s="33" t="s">
        <v>57</v>
      </c>
      <c r="K25" s="35" t="n">
        <v>224399962</v>
      </c>
      <c r="L25" s="33" t="s">
        <v>223</v>
      </c>
      <c r="M25" s="33" t="n">
        <v>103230847</v>
      </c>
      <c r="N25" s="36" t="n">
        <v>5496.92</v>
      </c>
      <c r="O25" s="37" t="n">
        <v>78.43</v>
      </c>
    </row>
    <row r="26" customFormat="false" ht="15" hidden="false" customHeight="false" outlineLevel="0" collapsed="false">
      <c r="A26" s="32" t="s">
        <v>226</v>
      </c>
      <c r="B26" s="33" t="s">
        <v>227</v>
      </c>
      <c r="C26" s="33" t="s">
        <v>28</v>
      </c>
      <c r="D26" s="34" t="n">
        <v>43353</v>
      </c>
      <c r="E26" s="33" t="s">
        <v>42</v>
      </c>
      <c r="F26" s="33" t="n">
        <v>21337013</v>
      </c>
      <c r="G26" s="33" t="n">
        <v>720196</v>
      </c>
      <c r="H26" s="33" t="s">
        <v>34</v>
      </c>
      <c r="I26" s="33" t="s">
        <v>174</v>
      </c>
      <c r="J26" s="33" t="s">
        <v>47</v>
      </c>
      <c r="K26" s="35" t="n">
        <v>223560299</v>
      </c>
      <c r="L26" s="33" t="s">
        <v>205</v>
      </c>
      <c r="M26" s="33" t="n">
        <v>102854019</v>
      </c>
      <c r="N26" s="36" t="n">
        <v>514.92</v>
      </c>
      <c r="O26" s="37" t="n">
        <v>13.4</v>
      </c>
    </row>
    <row r="27" customFormat="false" ht="15" hidden="false" customHeight="false" outlineLevel="0" collapsed="false">
      <c r="A27" s="32" t="s">
        <v>228</v>
      </c>
      <c r="B27" s="33" t="s">
        <v>229</v>
      </c>
      <c r="C27" s="33" t="s">
        <v>28</v>
      </c>
      <c r="D27" s="34" t="n">
        <v>43353</v>
      </c>
      <c r="E27" s="33" t="s">
        <v>42</v>
      </c>
      <c r="F27" s="33" t="n">
        <v>21337013</v>
      </c>
      <c r="G27" s="33" t="n">
        <v>720196</v>
      </c>
      <c r="H27" s="33" t="s">
        <v>34</v>
      </c>
      <c r="I27" s="33" t="s">
        <v>174</v>
      </c>
      <c r="J27" s="33" t="s">
        <v>50</v>
      </c>
      <c r="K27" s="35" t="n">
        <v>223560332</v>
      </c>
      <c r="L27" s="33" t="s">
        <v>208</v>
      </c>
      <c r="M27" s="33" t="n">
        <v>102854037</v>
      </c>
      <c r="N27" s="36" t="n">
        <v>514.92</v>
      </c>
      <c r="O27" s="37" t="n">
        <v>13.4</v>
      </c>
    </row>
    <row r="28" customFormat="false" ht="15" hidden="false" customHeight="false" outlineLevel="0" collapsed="false">
      <c r="A28" s="32" t="s">
        <v>230</v>
      </c>
      <c r="B28" s="33" t="s">
        <v>231</v>
      </c>
      <c r="C28" s="33" t="s">
        <v>28</v>
      </c>
      <c r="D28" s="34" t="n">
        <v>43353</v>
      </c>
      <c r="E28" s="33" t="s">
        <v>42</v>
      </c>
      <c r="F28" s="33" t="n">
        <v>21337013</v>
      </c>
      <c r="G28" s="33" t="n">
        <v>720196</v>
      </c>
      <c r="H28" s="33" t="s">
        <v>34</v>
      </c>
      <c r="I28" s="33" t="s">
        <v>174</v>
      </c>
      <c r="J28" s="33" t="s">
        <v>51</v>
      </c>
      <c r="K28" s="35" t="n">
        <v>223560338</v>
      </c>
      <c r="L28" s="33" t="s">
        <v>211</v>
      </c>
      <c r="M28" s="33" t="n">
        <v>102853603</v>
      </c>
      <c r="N28" s="36" t="n">
        <v>514.92</v>
      </c>
      <c r="O28" s="37" t="n">
        <v>13.4</v>
      </c>
    </row>
    <row r="29" customFormat="false" ht="15" hidden="false" customHeight="false" outlineLevel="0" collapsed="false">
      <c r="A29" s="32" t="s">
        <v>232</v>
      </c>
      <c r="B29" s="33" t="s">
        <v>233</v>
      </c>
      <c r="C29" s="33" t="s">
        <v>28</v>
      </c>
      <c r="D29" s="34" t="n">
        <v>43353</v>
      </c>
      <c r="E29" s="33" t="s">
        <v>42</v>
      </c>
      <c r="F29" s="33" t="n">
        <v>21337013</v>
      </c>
      <c r="G29" s="33" t="n">
        <v>720196</v>
      </c>
      <c r="H29" s="33" t="s">
        <v>34</v>
      </c>
      <c r="I29" s="33" t="s">
        <v>174</v>
      </c>
      <c r="J29" s="33" t="s">
        <v>52</v>
      </c>
      <c r="K29" s="35" t="n">
        <v>223560344</v>
      </c>
      <c r="L29" s="33" t="s">
        <v>214</v>
      </c>
      <c r="M29" s="33" t="n">
        <v>102861246</v>
      </c>
      <c r="N29" s="36" t="n">
        <v>514.92</v>
      </c>
      <c r="O29" s="37" t="n">
        <v>13.4</v>
      </c>
    </row>
    <row r="30" customFormat="false" ht="15" hidden="false" customHeight="false" outlineLevel="0" collapsed="false">
      <c r="A30" s="32" t="s">
        <v>234</v>
      </c>
      <c r="B30" s="33" t="s">
        <v>235</v>
      </c>
      <c r="C30" s="33" t="s">
        <v>28</v>
      </c>
      <c r="D30" s="34" t="n">
        <v>43353</v>
      </c>
      <c r="E30" s="33" t="s">
        <v>42</v>
      </c>
      <c r="F30" s="33" t="n">
        <v>21337013</v>
      </c>
      <c r="G30" s="33" t="n">
        <v>720196</v>
      </c>
      <c r="H30" s="33" t="s">
        <v>34</v>
      </c>
      <c r="I30" s="33" t="s">
        <v>174</v>
      </c>
      <c r="J30" s="33" t="s">
        <v>54</v>
      </c>
      <c r="K30" s="35" t="n">
        <v>223560356</v>
      </c>
      <c r="L30" s="33" t="s">
        <v>220</v>
      </c>
      <c r="M30" s="33" t="n">
        <v>102854016</v>
      </c>
      <c r="N30" s="36" t="n">
        <v>514.92</v>
      </c>
      <c r="O30" s="37" t="n">
        <v>13.4</v>
      </c>
    </row>
    <row r="31" customFormat="false" ht="15" hidden="false" customHeight="false" outlineLevel="0" collapsed="false">
      <c r="A31" s="32" t="s">
        <v>236</v>
      </c>
      <c r="B31" s="33" t="s">
        <v>237</v>
      </c>
      <c r="C31" s="33" t="s">
        <v>28</v>
      </c>
      <c r="D31" s="34" t="n">
        <v>43353</v>
      </c>
      <c r="E31" s="33" t="s">
        <v>42</v>
      </c>
      <c r="F31" s="33" t="n">
        <v>21337013</v>
      </c>
      <c r="G31" s="33" t="n">
        <v>720196</v>
      </c>
      <c r="H31" s="33" t="s">
        <v>34</v>
      </c>
      <c r="I31" s="33" t="s">
        <v>174</v>
      </c>
      <c r="J31" s="33" t="s">
        <v>56</v>
      </c>
      <c r="K31" s="35" t="n">
        <v>224334170</v>
      </c>
      <c r="L31" s="33" t="s">
        <v>223</v>
      </c>
      <c r="M31" s="33" t="n">
        <v>103230847</v>
      </c>
      <c r="N31" s="36" t="n">
        <v>5496.92</v>
      </c>
      <c r="O31" s="37" t="n">
        <v>78.43</v>
      </c>
    </row>
    <row r="32" customFormat="false" ht="15" hidden="false" customHeight="false" outlineLevel="0" collapsed="false">
      <c r="A32" s="32" t="s">
        <v>238</v>
      </c>
      <c r="B32" s="33" t="s">
        <v>239</v>
      </c>
      <c r="C32" s="33" t="s">
        <v>28</v>
      </c>
      <c r="D32" s="34" t="n">
        <v>43353</v>
      </c>
      <c r="E32" s="33" t="s">
        <v>42</v>
      </c>
      <c r="F32" s="33" t="n">
        <v>21337013</v>
      </c>
      <c r="G32" s="33" t="n">
        <v>720196</v>
      </c>
      <c r="H32" s="33" t="s">
        <v>34</v>
      </c>
      <c r="I32" s="33" t="s">
        <v>174</v>
      </c>
      <c r="J32" s="33" t="s">
        <v>57</v>
      </c>
      <c r="K32" s="35" t="n">
        <v>224399962</v>
      </c>
      <c r="L32" s="33" t="s">
        <v>223</v>
      </c>
      <c r="M32" s="33" t="n">
        <v>103230847</v>
      </c>
      <c r="N32" s="36" t="n">
        <v>5496.92</v>
      </c>
      <c r="O32" s="37" t="n">
        <v>78.43</v>
      </c>
    </row>
    <row r="33" customFormat="false" ht="15" hidden="false" customHeight="false" outlineLevel="0" collapsed="false">
      <c r="A33" s="32" t="s">
        <v>240</v>
      </c>
      <c r="B33" s="33" t="s">
        <v>241</v>
      </c>
      <c r="C33" s="33" t="s">
        <v>28</v>
      </c>
      <c r="D33" s="34" t="n">
        <v>43353</v>
      </c>
      <c r="E33" s="33" t="s">
        <v>42</v>
      </c>
      <c r="F33" s="33" t="n">
        <v>21337013</v>
      </c>
      <c r="G33" s="33" t="n">
        <v>720196</v>
      </c>
      <c r="H33" s="33" t="s">
        <v>34</v>
      </c>
      <c r="I33" s="33" t="s">
        <v>174</v>
      </c>
      <c r="J33" s="33" t="s">
        <v>58</v>
      </c>
      <c r="K33" s="35" t="n">
        <v>224549481</v>
      </c>
      <c r="L33" s="33" t="s">
        <v>223</v>
      </c>
      <c r="M33" s="33" t="n">
        <v>103230847</v>
      </c>
      <c r="N33" s="36" t="n">
        <v>5496.92</v>
      </c>
      <c r="O33" s="37" t="n">
        <v>78.43</v>
      </c>
    </row>
    <row r="34" customFormat="false" ht="15" hidden="false" customHeight="false" outlineLevel="0" collapsed="false">
      <c r="A34" s="32" t="s">
        <v>242</v>
      </c>
      <c r="B34" s="33" t="s">
        <v>243</v>
      </c>
      <c r="C34" s="33" t="s">
        <v>28</v>
      </c>
      <c r="D34" s="34" t="n">
        <v>43353</v>
      </c>
      <c r="E34" s="33" t="s">
        <v>42</v>
      </c>
      <c r="F34" s="33" t="n">
        <v>21337013</v>
      </c>
      <c r="G34" s="33" t="n">
        <v>720196</v>
      </c>
      <c r="H34" s="33" t="s">
        <v>34</v>
      </c>
      <c r="I34" s="33" t="s">
        <v>174</v>
      </c>
      <c r="J34" s="33" t="s">
        <v>59</v>
      </c>
      <c r="K34" s="35" t="n">
        <v>227035833</v>
      </c>
      <c r="L34" s="33" t="s">
        <v>223</v>
      </c>
      <c r="M34" s="33" t="n">
        <v>103230847</v>
      </c>
      <c r="N34" s="36" t="n">
        <v>10993.84</v>
      </c>
      <c r="O34" s="37" t="n">
        <v>156.86</v>
      </c>
    </row>
    <row r="35" customFormat="false" ht="15" hidden="false" customHeight="false" outlineLevel="0" collapsed="false">
      <c r="A35" s="32" t="s">
        <v>244</v>
      </c>
      <c r="B35" s="33" t="s">
        <v>245</v>
      </c>
      <c r="C35" s="33" t="s">
        <v>28</v>
      </c>
      <c r="D35" s="34" t="n">
        <v>43354</v>
      </c>
      <c r="E35" s="33" t="s">
        <v>42</v>
      </c>
      <c r="F35" s="33" t="n">
        <v>21337013</v>
      </c>
      <c r="G35" s="33" t="n">
        <v>720196</v>
      </c>
      <c r="H35" s="33" t="s">
        <v>34</v>
      </c>
      <c r="I35" s="33" t="s">
        <v>174</v>
      </c>
      <c r="J35" s="33" t="s">
        <v>47</v>
      </c>
      <c r="K35" s="35" t="n">
        <v>223560299</v>
      </c>
      <c r="L35" s="33" t="s">
        <v>205</v>
      </c>
      <c r="M35" s="33" t="n">
        <v>102854019</v>
      </c>
      <c r="N35" s="36" t="n">
        <v>514.92</v>
      </c>
      <c r="O35" s="37" t="n">
        <v>13.4</v>
      </c>
    </row>
    <row r="36" customFormat="false" ht="15" hidden="false" customHeight="false" outlineLevel="0" collapsed="false">
      <c r="A36" s="32" t="s">
        <v>246</v>
      </c>
      <c r="B36" s="33" t="s">
        <v>247</v>
      </c>
      <c r="C36" s="33" t="s">
        <v>28</v>
      </c>
      <c r="D36" s="34" t="n">
        <v>43354</v>
      </c>
      <c r="E36" s="33" t="s">
        <v>42</v>
      </c>
      <c r="F36" s="33" t="n">
        <v>21337013</v>
      </c>
      <c r="G36" s="33" t="n">
        <v>720196</v>
      </c>
      <c r="H36" s="33" t="s">
        <v>34</v>
      </c>
      <c r="I36" s="33" t="s">
        <v>174</v>
      </c>
      <c r="J36" s="33" t="s">
        <v>50</v>
      </c>
      <c r="K36" s="35" t="n">
        <v>223560332</v>
      </c>
      <c r="L36" s="33" t="s">
        <v>208</v>
      </c>
      <c r="M36" s="33" t="n">
        <v>102854037</v>
      </c>
      <c r="N36" s="36" t="n">
        <v>514.92</v>
      </c>
      <c r="O36" s="37" t="n">
        <v>13.4</v>
      </c>
    </row>
    <row r="37" customFormat="false" ht="15" hidden="false" customHeight="false" outlineLevel="0" collapsed="false">
      <c r="A37" s="32" t="s">
        <v>248</v>
      </c>
      <c r="B37" s="33" t="s">
        <v>249</v>
      </c>
      <c r="C37" s="33" t="s">
        <v>28</v>
      </c>
      <c r="D37" s="34" t="n">
        <v>43354</v>
      </c>
      <c r="E37" s="33" t="s">
        <v>42</v>
      </c>
      <c r="F37" s="33" t="n">
        <v>21337013</v>
      </c>
      <c r="G37" s="33" t="n">
        <v>720196</v>
      </c>
      <c r="H37" s="33" t="s">
        <v>34</v>
      </c>
      <c r="I37" s="33" t="s">
        <v>174</v>
      </c>
      <c r="J37" s="33" t="s">
        <v>51</v>
      </c>
      <c r="K37" s="35" t="n">
        <v>223560338</v>
      </c>
      <c r="L37" s="33" t="s">
        <v>211</v>
      </c>
      <c r="M37" s="33" t="n">
        <v>102853603</v>
      </c>
      <c r="N37" s="36" t="n">
        <v>514.92</v>
      </c>
      <c r="O37" s="37" t="n">
        <v>13.4</v>
      </c>
    </row>
    <row r="38" customFormat="false" ht="15" hidden="false" customHeight="false" outlineLevel="0" collapsed="false">
      <c r="A38" s="32" t="s">
        <v>250</v>
      </c>
      <c r="B38" s="33" t="s">
        <v>251</v>
      </c>
      <c r="C38" s="33" t="s">
        <v>28</v>
      </c>
      <c r="D38" s="34" t="n">
        <v>43354</v>
      </c>
      <c r="E38" s="33" t="s">
        <v>42</v>
      </c>
      <c r="F38" s="33" t="n">
        <v>21337013</v>
      </c>
      <c r="G38" s="33" t="n">
        <v>720196</v>
      </c>
      <c r="H38" s="33" t="s">
        <v>34</v>
      </c>
      <c r="I38" s="33" t="s">
        <v>174</v>
      </c>
      <c r="J38" s="33" t="s">
        <v>52</v>
      </c>
      <c r="K38" s="35" t="n">
        <v>223560344</v>
      </c>
      <c r="L38" s="33" t="s">
        <v>214</v>
      </c>
      <c r="M38" s="33" t="n">
        <v>102861246</v>
      </c>
      <c r="N38" s="36" t="n">
        <v>514.92</v>
      </c>
      <c r="O38" s="37" t="n">
        <v>13.4</v>
      </c>
    </row>
    <row r="39" customFormat="false" ht="15" hidden="false" customHeight="false" outlineLevel="0" collapsed="false">
      <c r="A39" s="32" t="s">
        <v>252</v>
      </c>
      <c r="B39" s="33" t="s">
        <v>253</v>
      </c>
      <c r="C39" s="33" t="s">
        <v>28</v>
      </c>
      <c r="D39" s="34" t="n">
        <v>43354</v>
      </c>
      <c r="E39" s="33" t="s">
        <v>42</v>
      </c>
      <c r="F39" s="33" t="n">
        <v>21337013</v>
      </c>
      <c r="G39" s="33" t="n">
        <v>720196</v>
      </c>
      <c r="H39" s="33" t="s">
        <v>34</v>
      </c>
      <c r="I39" s="33" t="s">
        <v>174</v>
      </c>
      <c r="J39" s="33" t="s">
        <v>53</v>
      </c>
      <c r="K39" s="35" t="n">
        <v>223560350</v>
      </c>
      <c r="L39" s="33" t="s">
        <v>217</v>
      </c>
      <c r="M39" s="33" t="n">
        <v>103006547</v>
      </c>
      <c r="N39" s="36" t="n">
        <v>514.92</v>
      </c>
      <c r="O39" s="37" t="n">
        <v>13.4</v>
      </c>
    </row>
    <row r="40" customFormat="false" ht="15" hidden="false" customHeight="false" outlineLevel="0" collapsed="false">
      <c r="A40" s="32" t="s">
        <v>254</v>
      </c>
      <c r="B40" s="33" t="s">
        <v>255</v>
      </c>
      <c r="C40" s="33" t="s">
        <v>28</v>
      </c>
      <c r="D40" s="34" t="n">
        <v>43354</v>
      </c>
      <c r="E40" s="33" t="s">
        <v>42</v>
      </c>
      <c r="F40" s="33" t="n">
        <v>21337013</v>
      </c>
      <c r="G40" s="33" t="n">
        <v>720196</v>
      </c>
      <c r="H40" s="33" t="s">
        <v>34</v>
      </c>
      <c r="I40" s="33" t="s">
        <v>174</v>
      </c>
      <c r="J40" s="33" t="s">
        <v>54</v>
      </c>
      <c r="K40" s="35" t="n">
        <v>223560356</v>
      </c>
      <c r="L40" s="33" t="s">
        <v>220</v>
      </c>
      <c r="M40" s="33" t="n">
        <v>102854016</v>
      </c>
      <c r="N40" s="36" t="n">
        <v>514.92</v>
      </c>
      <c r="O40" s="37" t="n">
        <v>13.4</v>
      </c>
    </row>
    <row r="41" customFormat="false" ht="15" hidden="false" customHeight="false" outlineLevel="0" collapsed="false">
      <c r="A41" s="32" t="s">
        <v>256</v>
      </c>
      <c r="B41" s="33" t="s">
        <v>257</v>
      </c>
      <c r="C41" s="33" t="s">
        <v>28</v>
      </c>
      <c r="D41" s="34" t="n">
        <v>43354</v>
      </c>
      <c r="E41" s="33" t="s">
        <v>42</v>
      </c>
      <c r="F41" s="33" t="n">
        <v>21337013</v>
      </c>
      <c r="G41" s="33" t="n">
        <v>720196</v>
      </c>
      <c r="H41" s="33" t="s">
        <v>34</v>
      </c>
      <c r="I41" s="33" t="s">
        <v>174</v>
      </c>
      <c r="J41" s="33" t="s">
        <v>56</v>
      </c>
      <c r="K41" s="35" t="n">
        <v>224334170</v>
      </c>
      <c r="L41" s="33" t="s">
        <v>223</v>
      </c>
      <c r="M41" s="33" t="n">
        <v>103230847</v>
      </c>
      <c r="N41" s="36" t="n">
        <v>5496.92</v>
      </c>
      <c r="O41" s="37" t="n">
        <v>78.43</v>
      </c>
    </row>
    <row r="42" customFormat="false" ht="15" hidden="false" customHeight="false" outlineLevel="0" collapsed="false">
      <c r="A42" s="32" t="s">
        <v>258</v>
      </c>
      <c r="B42" s="33" t="s">
        <v>259</v>
      </c>
      <c r="C42" s="33" t="s">
        <v>28</v>
      </c>
      <c r="D42" s="34" t="n">
        <v>43354</v>
      </c>
      <c r="E42" s="33" t="s">
        <v>42</v>
      </c>
      <c r="F42" s="33" t="n">
        <v>21337013</v>
      </c>
      <c r="G42" s="33" t="n">
        <v>720196</v>
      </c>
      <c r="H42" s="33" t="s">
        <v>34</v>
      </c>
      <c r="I42" s="33" t="s">
        <v>174</v>
      </c>
      <c r="J42" s="33" t="s">
        <v>57</v>
      </c>
      <c r="K42" s="35" t="n">
        <v>224399962</v>
      </c>
      <c r="L42" s="33" t="s">
        <v>223</v>
      </c>
      <c r="M42" s="33" t="n">
        <v>103230847</v>
      </c>
      <c r="N42" s="36" t="n">
        <v>10993.84</v>
      </c>
      <c r="O42" s="37" t="n">
        <v>156.86</v>
      </c>
    </row>
    <row r="43" customFormat="false" ht="15" hidden="false" customHeight="false" outlineLevel="0" collapsed="false">
      <c r="A43" s="32" t="s">
        <v>260</v>
      </c>
      <c r="B43" s="33" t="s">
        <v>261</v>
      </c>
      <c r="C43" s="33" t="s">
        <v>28</v>
      </c>
      <c r="D43" s="34" t="n">
        <v>43354</v>
      </c>
      <c r="E43" s="33" t="s">
        <v>42</v>
      </c>
      <c r="F43" s="33" t="n">
        <v>21337013</v>
      </c>
      <c r="G43" s="33" t="n">
        <v>720196</v>
      </c>
      <c r="H43" s="33" t="s">
        <v>34</v>
      </c>
      <c r="I43" s="33" t="s">
        <v>174</v>
      </c>
      <c r="J43" s="33" t="s">
        <v>60</v>
      </c>
      <c r="K43" s="35" t="n">
        <v>226889143</v>
      </c>
      <c r="L43" s="33" t="s">
        <v>262</v>
      </c>
      <c r="M43" s="33" t="n">
        <v>103235146</v>
      </c>
      <c r="N43" s="36" t="n">
        <v>5496.92</v>
      </c>
      <c r="O43" s="37" t="n">
        <v>78.43</v>
      </c>
    </row>
    <row r="44" customFormat="false" ht="15" hidden="false" customHeight="false" outlineLevel="0" collapsed="false">
      <c r="A44" s="32" t="s">
        <v>263</v>
      </c>
      <c r="B44" s="33" t="s">
        <v>264</v>
      </c>
      <c r="C44" s="33" t="s">
        <v>28</v>
      </c>
      <c r="D44" s="34" t="n">
        <v>43355</v>
      </c>
      <c r="E44" s="33" t="s">
        <v>42</v>
      </c>
      <c r="F44" s="33" t="n">
        <v>21337013</v>
      </c>
      <c r="G44" s="33" t="n">
        <v>720196</v>
      </c>
      <c r="H44" s="33" t="s">
        <v>34</v>
      </c>
      <c r="I44" s="33" t="s">
        <v>174</v>
      </c>
      <c r="J44" s="33" t="s">
        <v>47</v>
      </c>
      <c r="K44" s="35" t="n">
        <v>223560299</v>
      </c>
      <c r="L44" s="33" t="s">
        <v>205</v>
      </c>
      <c r="M44" s="33" t="n">
        <v>102854019</v>
      </c>
      <c r="N44" s="36" t="n">
        <v>514.92</v>
      </c>
      <c r="O44" s="37" t="n">
        <v>13.4</v>
      </c>
    </row>
    <row r="45" customFormat="false" ht="15" hidden="false" customHeight="false" outlineLevel="0" collapsed="false">
      <c r="A45" s="32" t="s">
        <v>265</v>
      </c>
      <c r="B45" s="33" t="s">
        <v>266</v>
      </c>
      <c r="C45" s="33" t="s">
        <v>28</v>
      </c>
      <c r="D45" s="34" t="n">
        <v>43355</v>
      </c>
      <c r="E45" s="33" t="s">
        <v>42</v>
      </c>
      <c r="F45" s="33" t="n">
        <v>21337013</v>
      </c>
      <c r="G45" s="33" t="n">
        <v>720196</v>
      </c>
      <c r="H45" s="33" t="s">
        <v>34</v>
      </c>
      <c r="I45" s="33" t="s">
        <v>174</v>
      </c>
      <c r="J45" s="33" t="s">
        <v>50</v>
      </c>
      <c r="K45" s="35" t="n">
        <v>223560332</v>
      </c>
      <c r="L45" s="33" t="s">
        <v>208</v>
      </c>
      <c r="M45" s="33" t="n">
        <v>102854037</v>
      </c>
      <c r="N45" s="36" t="n">
        <v>514.92</v>
      </c>
      <c r="O45" s="37" t="n">
        <v>13.4</v>
      </c>
    </row>
    <row r="46" customFormat="false" ht="15" hidden="false" customHeight="false" outlineLevel="0" collapsed="false">
      <c r="A46" s="32" t="s">
        <v>267</v>
      </c>
      <c r="B46" s="33" t="s">
        <v>268</v>
      </c>
      <c r="C46" s="33" t="s">
        <v>28</v>
      </c>
      <c r="D46" s="34" t="n">
        <v>43355</v>
      </c>
      <c r="E46" s="33" t="s">
        <v>42</v>
      </c>
      <c r="F46" s="33" t="n">
        <v>21337013</v>
      </c>
      <c r="G46" s="33" t="n">
        <v>720196</v>
      </c>
      <c r="H46" s="33" t="s">
        <v>34</v>
      </c>
      <c r="I46" s="33" t="s">
        <v>174</v>
      </c>
      <c r="J46" s="33" t="s">
        <v>51</v>
      </c>
      <c r="K46" s="35" t="n">
        <v>223560338</v>
      </c>
      <c r="L46" s="33" t="s">
        <v>211</v>
      </c>
      <c r="M46" s="33" t="n">
        <v>102853603</v>
      </c>
      <c r="N46" s="36" t="n">
        <v>514.92</v>
      </c>
      <c r="O46" s="37" t="n">
        <v>13.4</v>
      </c>
    </row>
    <row r="47" customFormat="false" ht="15" hidden="false" customHeight="false" outlineLevel="0" collapsed="false">
      <c r="A47" s="32" t="s">
        <v>269</v>
      </c>
      <c r="B47" s="33" t="s">
        <v>270</v>
      </c>
      <c r="C47" s="33" t="s">
        <v>28</v>
      </c>
      <c r="D47" s="34" t="n">
        <v>43355</v>
      </c>
      <c r="E47" s="33" t="s">
        <v>42</v>
      </c>
      <c r="F47" s="33" t="n">
        <v>21337013</v>
      </c>
      <c r="G47" s="33" t="n">
        <v>720196</v>
      </c>
      <c r="H47" s="33" t="s">
        <v>34</v>
      </c>
      <c r="I47" s="33" t="s">
        <v>174</v>
      </c>
      <c r="J47" s="33" t="s">
        <v>52</v>
      </c>
      <c r="K47" s="35" t="n">
        <v>223560344</v>
      </c>
      <c r="L47" s="33" t="s">
        <v>214</v>
      </c>
      <c r="M47" s="33" t="n">
        <v>102861246</v>
      </c>
      <c r="N47" s="36" t="n">
        <v>514.92</v>
      </c>
      <c r="O47" s="37" t="n">
        <v>13.4</v>
      </c>
    </row>
    <row r="48" customFormat="false" ht="15" hidden="false" customHeight="false" outlineLevel="0" collapsed="false">
      <c r="A48" s="32" t="s">
        <v>271</v>
      </c>
      <c r="B48" s="33" t="s">
        <v>272</v>
      </c>
      <c r="C48" s="33" t="s">
        <v>28</v>
      </c>
      <c r="D48" s="34" t="n">
        <v>43355</v>
      </c>
      <c r="E48" s="33" t="s">
        <v>42</v>
      </c>
      <c r="F48" s="33" t="n">
        <v>21337013</v>
      </c>
      <c r="G48" s="33" t="n">
        <v>720196</v>
      </c>
      <c r="H48" s="33" t="s">
        <v>34</v>
      </c>
      <c r="I48" s="33" t="s">
        <v>174</v>
      </c>
      <c r="J48" s="33" t="s">
        <v>53</v>
      </c>
      <c r="K48" s="35" t="n">
        <v>223560350</v>
      </c>
      <c r="L48" s="33" t="s">
        <v>217</v>
      </c>
      <c r="M48" s="33" t="n">
        <v>103006547</v>
      </c>
      <c r="N48" s="36" t="n">
        <v>514.92</v>
      </c>
      <c r="O48" s="37" t="n">
        <v>13.4</v>
      </c>
    </row>
    <row r="49" customFormat="false" ht="15" hidden="false" customHeight="false" outlineLevel="0" collapsed="false">
      <c r="A49" s="32" t="s">
        <v>273</v>
      </c>
      <c r="B49" s="33" t="s">
        <v>274</v>
      </c>
      <c r="C49" s="33" t="s">
        <v>28</v>
      </c>
      <c r="D49" s="34" t="n">
        <v>43355</v>
      </c>
      <c r="E49" s="33" t="s">
        <v>42</v>
      </c>
      <c r="F49" s="33" t="n">
        <v>21337013</v>
      </c>
      <c r="G49" s="33" t="n">
        <v>720196</v>
      </c>
      <c r="H49" s="33" t="s">
        <v>34</v>
      </c>
      <c r="I49" s="33" t="s">
        <v>174</v>
      </c>
      <c r="J49" s="33" t="s">
        <v>56</v>
      </c>
      <c r="K49" s="35" t="n">
        <v>224334170</v>
      </c>
      <c r="L49" s="33" t="s">
        <v>223</v>
      </c>
      <c r="M49" s="33" t="n">
        <v>103230847</v>
      </c>
      <c r="N49" s="36" t="n">
        <v>5496.92</v>
      </c>
      <c r="O49" s="37" t="n">
        <v>78.43</v>
      </c>
    </row>
    <row r="50" customFormat="false" ht="15" hidden="false" customHeight="false" outlineLevel="0" collapsed="false">
      <c r="A50" s="32" t="s">
        <v>275</v>
      </c>
      <c r="B50" s="33" t="s">
        <v>276</v>
      </c>
      <c r="C50" s="33" t="s">
        <v>28</v>
      </c>
      <c r="D50" s="34" t="n">
        <v>43355</v>
      </c>
      <c r="E50" s="33" t="s">
        <v>42</v>
      </c>
      <c r="F50" s="33" t="n">
        <v>21337013</v>
      </c>
      <c r="G50" s="33" t="n">
        <v>720196</v>
      </c>
      <c r="H50" s="33" t="s">
        <v>34</v>
      </c>
      <c r="I50" s="33" t="s">
        <v>174</v>
      </c>
      <c r="J50" s="33" t="s">
        <v>58</v>
      </c>
      <c r="K50" s="35" t="n">
        <v>224549481</v>
      </c>
      <c r="L50" s="33" t="s">
        <v>223</v>
      </c>
      <c r="M50" s="33" t="n">
        <v>103230847</v>
      </c>
      <c r="N50" s="36" t="n">
        <v>5496.92</v>
      </c>
      <c r="O50" s="37" t="n">
        <v>78.43</v>
      </c>
    </row>
    <row r="51" customFormat="false" ht="15" hidden="false" customHeight="false" outlineLevel="0" collapsed="false">
      <c r="A51" s="32" t="s">
        <v>277</v>
      </c>
      <c r="B51" s="33" t="s">
        <v>278</v>
      </c>
      <c r="C51" s="33" t="s">
        <v>28</v>
      </c>
      <c r="D51" s="34" t="n">
        <v>43355</v>
      </c>
      <c r="E51" s="33" t="s">
        <v>42</v>
      </c>
      <c r="F51" s="33" t="n">
        <v>21337013</v>
      </c>
      <c r="G51" s="33" t="n">
        <v>720196</v>
      </c>
      <c r="H51" s="33" t="s">
        <v>34</v>
      </c>
      <c r="I51" s="33" t="s">
        <v>174</v>
      </c>
      <c r="J51" s="33" t="s">
        <v>61</v>
      </c>
      <c r="K51" s="35" t="n">
        <v>227036847</v>
      </c>
      <c r="L51" s="33" t="s">
        <v>223</v>
      </c>
      <c r="M51" s="33" t="n">
        <v>103230847</v>
      </c>
      <c r="N51" s="36" t="n">
        <v>5496.92</v>
      </c>
      <c r="O51" s="37" t="n">
        <v>78.43</v>
      </c>
    </row>
    <row r="52" customFormat="false" ht="15" hidden="false" customHeight="false" outlineLevel="0" collapsed="false">
      <c r="A52" s="32" t="s">
        <v>279</v>
      </c>
      <c r="B52" s="33" t="s">
        <v>280</v>
      </c>
      <c r="C52" s="33" t="s">
        <v>28</v>
      </c>
      <c r="D52" s="34" t="n">
        <v>43356</v>
      </c>
      <c r="E52" s="33" t="s">
        <v>42</v>
      </c>
      <c r="F52" s="33" t="n">
        <v>21337013</v>
      </c>
      <c r="G52" s="33" t="n">
        <v>720196</v>
      </c>
      <c r="H52" s="33" t="s">
        <v>34</v>
      </c>
      <c r="I52" s="33" t="s">
        <v>174</v>
      </c>
      <c r="J52" s="33" t="s">
        <v>47</v>
      </c>
      <c r="K52" s="35" t="n">
        <v>223560299</v>
      </c>
      <c r="L52" s="33" t="s">
        <v>205</v>
      </c>
      <c r="M52" s="33" t="n">
        <v>102854019</v>
      </c>
      <c r="N52" s="36" t="n">
        <v>514.92</v>
      </c>
      <c r="O52" s="37" t="n">
        <v>13.4</v>
      </c>
    </row>
    <row r="53" customFormat="false" ht="15" hidden="false" customHeight="false" outlineLevel="0" collapsed="false">
      <c r="A53" s="32" t="s">
        <v>281</v>
      </c>
      <c r="B53" s="33" t="s">
        <v>282</v>
      </c>
      <c r="C53" s="33" t="s">
        <v>28</v>
      </c>
      <c r="D53" s="34" t="n">
        <v>43356</v>
      </c>
      <c r="E53" s="33" t="s">
        <v>42</v>
      </c>
      <c r="F53" s="33" t="n">
        <v>21337013</v>
      </c>
      <c r="G53" s="33" t="n">
        <v>720196</v>
      </c>
      <c r="H53" s="33" t="s">
        <v>34</v>
      </c>
      <c r="I53" s="33" t="s">
        <v>174</v>
      </c>
      <c r="J53" s="33" t="s">
        <v>52</v>
      </c>
      <c r="K53" s="35" t="n">
        <v>223560344</v>
      </c>
      <c r="L53" s="33" t="s">
        <v>214</v>
      </c>
      <c r="M53" s="33" t="n">
        <v>102861246</v>
      </c>
      <c r="N53" s="36" t="n">
        <v>514.92</v>
      </c>
      <c r="O53" s="37" t="n">
        <v>13.4</v>
      </c>
    </row>
    <row r="54" customFormat="false" ht="15" hidden="false" customHeight="false" outlineLevel="0" collapsed="false">
      <c r="A54" s="32" t="s">
        <v>283</v>
      </c>
      <c r="B54" s="33" t="s">
        <v>284</v>
      </c>
      <c r="C54" s="33" t="s">
        <v>28</v>
      </c>
      <c r="D54" s="34" t="n">
        <v>43356</v>
      </c>
      <c r="E54" s="33" t="s">
        <v>42</v>
      </c>
      <c r="F54" s="33" t="n">
        <v>21337013</v>
      </c>
      <c r="G54" s="33" t="n">
        <v>720196</v>
      </c>
      <c r="H54" s="33" t="s">
        <v>34</v>
      </c>
      <c r="I54" s="33" t="s">
        <v>174</v>
      </c>
      <c r="J54" s="33" t="s">
        <v>53</v>
      </c>
      <c r="K54" s="35" t="n">
        <v>223560350</v>
      </c>
      <c r="L54" s="33" t="s">
        <v>217</v>
      </c>
      <c r="M54" s="33" t="n">
        <v>103006547</v>
      </c>
      <c r="N54" s="36" t="n">
        <v>514.92</v>
      </c>
      <c r="O54" s="37" t="n">
        <v>13.4</v>
      </c>
    </row>
    <row r="55" customFormat="false" ht="15" hidden="false" customHeight="false" outlineLevel="0" collapsed="false">
      <c r="A55" s="32" t="s">
        <v>285</v>
      </c>
      <c r="B55" s="33" t="s">
        <v>286</v>
      </c>
      <c r="C55" s="33" t="s">
        <v>28</v>
      </c>
      <c r="D55" s="34" t="n">
        <v>43356</v>
      </c>
      <c r="E55" s="33" t="s">
        <v>42</v>
      </c>
      <c r="F55" s="33" t="n">
        <v>21337013</v>
      </c>
      <c r="G55" s="33" t="n">
        <v>720196</v>
      </c>
      <c r="H55" s="33" t="s">
        <v>34</v>
      </c>
      <c r="I55" s="33" t="s">
        <v>174</v>
      </c>
      <c r="J55" s="33" t="s">
        <v>54</v>
      </c>
      <c r="K55" s="35" t="n">
        <v>223560356</v>
      </c>
      <c r="L55" s="33" t="s">
        <v>220</v>
      </c>
      <c r="M55" s="33" t="n">
        <v>102854016</v>
      </c>
      <c r="N55" s="36" t="n">
        <v>514.92</v>
      </c>
      <c r="O55" s="37" t="n">
        <v>13.4</v>
      </c>
    </row>
    <row r="56" customFormat="false" ht="15" hidden="false" customHeight="false" outlineLevel="0" collapsed="false">
      <c r="A56" s="32" t="s">
        <v>287</v>
      </c>
      <c r="B56" s="33" t="s">
        <v>288</v>
      </c>
      <c r="C56" s="33" t="s">
        <v>28</v>
      </c>
      <c r="D56" s="34" t="n">
        <v>43356</v>
      </c>
      <c r="E56" s="33" t="s">
        <v>42</v>
      </c>
      <c r="F56" s="33" t="n">
        <v>21337013</v>
      </c>
      <c r="G56" s="33" t="n">
        <v>720196</v>
      </c>
      <c r="H56" s="33" t="s">
        <v>34</v>
      </c>
      <c r="I56" s="33" t="s">
        <v>174</v>
      </c>
      <c r="J56" s="33" t="s">
        <v>56</v>
      </c>
      <c r="K56" s="35" t="n">
        <v>224334170</v>
      </c>
      <c r="L56" s="33" t="s">
        <v>223</v>
      </c>
      <c r="M56" s="33" t="n">
        <v>103230847</v>
      </c>
      <c r="N56" s="36" t="n">
        <v>5496.92</v>
      </c>
      <c r="O56" s="37" t="n">
        <v>78.43</v>
      </c>
    </row>
    <row r="57" customFormat="false" ht="15" hidden="false" customHeight="false" outlineLevel="0" collapsed="false">
      <c r="A57" s="32" t="s">
        <v>289</v>
      </c>
      <c r="B57" s="33" t="s">
        <v>290</v>
      </c>
      <c r="C57" s="33" t="s">
        <v>28</v>
      </c>
      <c r="D57" s="34" t="n">
        <v>43356</v>
      </c>
      <c r="E57" s="33" t="s">
        <v>42</v>
      </c>
      <c r="F57" s="33" t="n">
        <v>21337013</v>
      </c>
      <c r="G57" s="33" t="n">
        <v>720196</v>
      </c>
      <c r="H57" s="33" t="s">
        <v>34</v>
      </c>
      <c r="I57" s="33" t="s">
        <v>174</v>
      </c>
      <c r="J57" s="33" t="s">
        <v>57</v>
      </c>
      <c r="K57" s="35" t="n">
        <v>224399962</v>
      </c>
      <c r="L57" s="33" t="s">
        <v>223</v>
      </c>
      <c r="M57" s="33" t="n">
        <v>103230847</v>
      </c>
      <c r="N57" s="36" t="n">
        <v>5496.92</v>
      </c>
      <c r="O57" s="37" t="n">
        <v>78.43</v>
      </c>
    </row>
    <row r="58" customFormat="false" ht="15" hidden="false" customHeight="false" outlineLevel="0" collapsed="false">
      <c r="A58" s="32" t="s">
        <v>291</v>
      </c>
      <c r="B58" s="33" t="s">
        <v>292</v>
      </c>
      <c r="C58" s="33" t="s">
        <v>28</v>
      </c>
      <c r="D58" s="34" t="n">
        <v>43356</v>
      </c>
      <c r="E58" s="33" t="s">
        <v>42</v>
      </c>
      <c r="F58" s="33" t="n">
        <v>21337013</v>
      </c>
      <c r="G58" s="33" t="n">
        <v>720196</v>
      </c>
      <c r="H58" s="33" t="s">
        <v>34</v>
      </c>
      <c r="I58" s="33" t="s">
        <v>174</v>
      </c>
      <c r="J58" s="33" t="s">
        <v>62</v>
      </c>
      <c r="K58" s="35" t="n">
        <v>226887148</v>
      </c>
      <c r="L58" s="33" t="s">
        <v>262</v>
      </c>
      <c r="M58" s="33" t="n">
        <v>103235146</v>
      </c>
      <c r="N58" s="36" t="n">
        <v>5496.92</v>
      </c>
      <c r="O58" s="37" t="n">
        <v>78.43</v>
      </c>
    </row>
    <row r="59" customFormat="false" ht="15" hidden="false" customHeight="false" outlineLevel="0" collapsed="false">
      <c r="A59" s="32" t="s">
        <v>293</v>
      </c>
      <c r="B59" s="33" t="s">
        <v>294</v>
      </c>
      <c r="C59" s="33" t="s">
        <v>28</v>
      </c>
      <c r="D59" s="34" t="n">
        <v>43357</v>
      </c>
      <c r="E59" s="33" t="s">
        <v>42</v>
      </c>
      <c r="F59" s="33" t="n">
        <v>21337013</v>
      </c>
      <c r="G59" s="33" t="n">
        <v>720196</v>
      </c>
      <c r="H59" s="33" t="s">
        <v>34</v>
      </c>
      <c r="I59" s="33" t="s">
        <v>174</v>
      </c>
      <c r="J59" s="33" t="s">
        <v>47</v>
      </c>
      <c r="K59" s="35" t="n">
        <v>223560299</v>
      </c>
      <c r="L59" s="33" t="s">
        <v>205</v>
      </c>
      <c r="M59" s="33" t="n">
        <v>102854019</v>
      </c>
      <c r="N59" s="36" t="n">
        <v>514.92</v>
      </c>
      <c r="O59" s="37" t="n">
        <v>13.4</v>
      </c>
    </row>
    <row r="60" customFormat="false" ht="15" hidden="false" customHeight="false" outlineLevel="0" collapsed="false">
      <c r="A60" s="32" t="s">
        <v>295</v>
      </c>
      <c r="B60" s="33" t="s">
        <v>296</v>
      </c>
      <c r="C60" s="33" t="s">
        <v>28</v>
      </c>
      <c r="D60" s="34" t="n">
        <v>43357</v>
      </c>
      <c r="E60" s="33" t="s">
        <v>42</v>
      </c>
      <c r="F60" s="33" t="n">
        <v>21337013</v>
      </c>
      <c r="G60" s="33" t="n">
        <v>720196</v>
      </c>
      <c r="H60" s="33" t="s">
        <v>34</v>
      </c>
      <c r="I60" s="33" t="s">
        <v>174</v>
      </c>
      <c r="J60" s="33" t="s">
        <v>50</v>
      </c>
      <c r="K60" s="35" t="n">
        <v>223560332</v>
      </c>
      <c r="L60" s="33" t="s">
        <v>208</v>
      </c>
      <c r="M60" s="33" t="n">
        <v>102854037</v>
      </c>
      <c r="N60" s="36" t="n">
        <v>514.92</v>
      </c>
      <c r="O60" s="37" t="n">
        <v>13.4</v>
      </c>
    </row>
    <row r="61" customFormat="false" ht="15" hidden="false" customHeight="false" outlineLevel="0" collapsed="false">
      <c r="A61" s="32" t="s">
        <v>297</v>
      </c>
      <c r="B61" s="33" t="s">
        <v>298</v>
      </c>
      <c r="C61" s="33" t="s">
        <v>28</v>
      </c>
      <c r="D61" s="34" t="n">
        <v>43357</v>
      </c>
      <c r="E61" s="33" t="s">
        <v>42</v>
      </c>
      <c r="F61" s="33" t="n">
        <v>21337013</v>
      </c>
      <c r="G61" s="33" t="n">
        <v>720196</v>
      </c>
      <c r="H61" s="33" t="s">
        <v>34</v>
      </c>
      <c r="I61" s="33" t="s">
        <v>174</v>
      </c>
      <c r="J61" s="33" t="s">
        <v>51</v>
      </c>
      <c r="K61" s="35" t="n">
        <v>223560338</v>
      </c>
      <c r="L61" s="33" t="s">
        <v>211</v>
      </c>
      <c r="M61" s="33" t="n">
        <v>102853603</v>
      </c>
      <c r="N61" s="36" t="n">
        <v>514.92</v>
      </c>
      <c r="O61" s="37" t="n">
        <v>13.4</v>
      </c>
    </row>
    <row r="62" customFormat="false" ht="15" hidden="false" customHeight="false" outlineLevel="0" collapsed="false">
      <c r="A62" s="32" t="s">
        <v>299</v>
      </c>
      <c r="B62" s="33" t="s">
        <v>300</v>
      </c>
      <c r="C62" s="33" t="s">
        <v>28</v>
      </c>
      <c r="D62" s="34" t="n">
        <v>43357</v>
      </c>
      <c r="E62" s="33" t="s">
        <v>42</v>
      </c>
      <c r="F62" s="33" t="n">
        <v>21337013</v>
      </c>
      <c r="G62" s="33" t="n">
        <v>720196</v>
      </c>
      <c r="H62" s="33" t="s">
        <v>34</v>
      </c>
      <c r="I62" s="33" t="s">
        <v>174</v>
      </c>
      <c r="J62" s="33" t="s">
        <v>52</v>
      </c>
      <c r="K62" s="35" t="n">
        <v>223560344</v>
      </c>
      <c r="L62" s="33" t="s">
        <v>214</v>
      </c>
      <c r="M62" s="33" t="n">
        <v>102861246</v>
      </c>
      <c r="N62" s="36" t="n">
        <v>514.92</v>
      </c>
      <c r="O62" s="37" t="n">
        <v>13.4</v>
      </c>
    </row>
    <row r="63" customFormat="false" ht="15" hidden="false" customHeight="false" outlineLevel="0" collapsed="false">
      <c r="A63" s="32" t="s">
        <v>301</v>
      </c>
      <c r="B63" s="33" t="s">
        <v>302</v>
      </c>
      <c r="C63" s="33" t="s">
        <v>28</v>
      </c>
      <c r="D63" s="34" t="n">
        <v>43357</v>
      </c>
      <c r="E63" s="33" t="s">
        <v>42</v>
      </c>
      <c r="F63" s="33" t="n">
        <v>21337013</v>
      </c>
      <c r="G63" s="33" t="n">
        <v>720196</v>
      </c>
      <c r="H63" s="33" t="s">
        <v>34</v>
      </c>
      <c r="I63" s="33" t="s">
        <v>174</v>
      </c>
      <c r="J63" s="33" t="s">
        <v>54</v>
      </c>
      <c r="K63" s="35" t="n">
        <v>223560356</v>
      </c>
      <c r="L63" s="33" t="s">
        <v>220</v>
      </c>
      <c r="M63" s="33" t="n">
        <v>102854016</v>
      </c>
      <c r="N63" s="36" t="n">
        <v>514.92</v>
      </c>
      <c r="O63" s="37" t="n">
        <v>13.4</v>
      </c>
    </row>
    <row r="64" customFormat="false" ht="15" hidden="false" customHeight="false" outlineLevel="0" collapsed="false">
      <c r="A64" s="32" t="s">
        <v>303</v>
      </c>
      <c r="B64" s="33" t="s">
        <v>304</v>
      </c>
      <c r="C64" s="33" t="s">
        <v>28</v>
      </c>
      <c r="D64" s="34" t="n">
        <v>43357</v>
      </c>
      <c r="E64" s="33" t="s">
        <v>42</v>
      </c>
      <c r="F64" s="33" t="n">
        <v>21337013</v>
      </c>
      <c r="G64" s="33" t="n">
        <v>720196</v>
      </c>
      <c r="H64" s="33" t="s">
        <v>34</v>
      </c>
      <c r="I64" s="33" t="s">
        <v>174</v>
      </c>
      <c r="J64" s="33" t="s">
        <v>56</v>
      </c>
      <c r="K64" s="35" t="n">
        <v>224334170</v>
      </c>
      <c r="L64" s="33" t="s">
        <v>223</v>
      </c>
      <c r="M64" s="33" t="n">
        <v>103230847</v>
      </c>
      <c r="N64" s="36" t="n">
        <v>5496.92</v>
      </c>
      <c r="O64" s="37" t="n">
        <v>78.43</v>
      </c>
    </row>
    <row r="65" customFormat="false" ht="15" hidden="false" customHeight="false" outlineLevel="0" collapsed="false">
      <c r="A65" s="32" t="s">
        <v>305</v>
      </c>
      <c r="B65" s="33" t="s">
        <v>306</v>
      </c>
      <c r="C65" s="33" t="s">
        <v>28</v>
      </c>
      <c r="D65" s="34" t="n">
        <v>43357</v>
      </c>
      <c r="E65" s="33" t="s">
        <v>42</v>
      </c>
      <c r="F65" s="33" t="n">
        <v>21337013</v>
      </c>
      <c r="G65" s="33" t="n">
        <v>720196</v>
      </c>
      <c r="H65" s="33" t="s">
        <v>34</v>
      </c>
      <c r="I65" s="33" t="s">
        <v>174</v>
      </c>
      <c r="J65" s="33" t="s">
        <v>57</v>
      </c>
      <c r="K65" s="35" t="n">
        <v>224399962</v>
      </c>
      <c r="L65" s="33" t="s">
        <v>223</v>
      </c>
      <c r="M65" s="33" t="n">
        <v>103230847</v>
      </c>
      <c r="N65" s="36" t="n">
        <v>10993.84</v>
      </c>
      <c r="O65" s="37" t="n">
        <v>156.86</v>
      </c>
    </row>
    <row r="66" customFormat="false" ht="15" hidden="false" customHeight="false" outlineLevel="0" collapsed="false">
      <c r="A66" s="32" t="s">
        <v>307</v>
      </c>
      <c r="B66" s="33" t="s">
        <v>308</v>
      </c>
      <c r="C66" s="33" t="s">
        <v>28</v>
      </c>
      <c r="D66" s="34" t="n">
        <v>43358</v>
      </c>
      <c r="E66" s="33" t="s">
        <v>42</v>
      </c>
      <c r="F66" s="33" t="n">
        <v>21337013</v>
      </c>
      <c r="G66" s="33" t="n">
        <v>720196</v>
      </c>
      <c r="H66" s="33" t="s">
        <v>34</v>
      </c>
      <c r="I66" s="33" t="s">
        <v>174</v>
      </c>
      <c r="J66" s="33" t="s">
        <v>47</v>
      </c>
      <c r="K66" s="35" t="n">
        <v>223560299</v>
      </c>
      <c r="L66" s="33" t="s">
        <v>205</v>
      </c>
      <c r="M66" s="33" t="n">
        <v>102854019</v>
      </c>
      <c r="N66" s="36" t="n">
        <v>514.92</v>
      </c>
      <c r="O66" s="37" t="n">
        <v>13.4</v>
      </c>
    </row>
    <row r="67" customFormat="false" ht="15" hidden="false" customHeight="false" outlineLevel="0" collapsed="false">
      <c r="A67" s="32" t="s">
        <v>309</v>
      </c>
      <c r="B67" s="33" t="s">
        <v>310</v>
      </c>
      <c r="C67" s="33" t="s">
        <v>28</v>
      </c>
      <c r="D67" s="34" t="n">
        <v>43358</v>
      </c>
      <c r="E67" s="33" t="s">
        <v>42</v>
      </c>
      <c r="F67" s="33" t="n">
        <v>21337013</v>
      </c>
      <c r="G67" s="33" t="n">
        <v>720196</v>
      </c>
      <c r="H67" s="33" t="s">
        <v>34</v>
      </c>
      <c r="I67" s="33" t="s">
        <v>174</v>
      </c>
      <c r="J67" s="33" t="s">
        <v>50</v>
      </c>
      <c r="K67" s="35" t="n">
        <v>223560332</v>
      </c>
      <c r="L67" s="33" t="s">
        <v>208</v>
      </c>
      <c r="M67" s="33" t="n">
        <v>102854037</v>
      </c>
      <c r="N67" s="36" t="n">
        <v>514.92</v>
      </c>
      <c r="O67" s="37" t="n">
        <v>13.4</v>
      </c>
    </row>
    <row r="68" customFormat="false" ht="15" hidden="false" customHeight="false" outlineLevel="0" collapsed="false">
      <c r="A68" s="32" t="s">
        <v>311</v>
      </c>
      <c r="B68" s="33" t="s">
        <v>312</v>
      </c>
      <c r="C68" s="33" t="s">
        <v>28</v>
      </c>
      <c r="D68" s="34" t="n">
        <v>43358</v>
      </c>
      <c r="E68" s="33" t="s">
        <v>42</v>
      </c>
      <c r="F68" s="33" t="n">
        <v>21337013</v>
      </c>
      <c r="G68" s="33" t="n">
        <v>720196</v>
      </c>
      <c r="H68" s="33" t="s">
        <v>34</v>
      </c>
      <c r="I68" s="33" t="s">
        <v>174</v>
      </c>
      <c r="J68" s="33" t="s">
        <v>51</v>
      </c>
      <c r="K68" s="35" t="n">
        <v>223560338</v>
      </c>
      <c r="L68" s="33" t="s">
        <v>211</v>
      </c>
      <c r="M68" s="33" t="n">
        <v>102853603</v>
      </c>
      <c r="N68" s="36" t="n">
        <v>514.92</v>
      </c>
      <c r="O68" s="37" t="n">
        <v>13.4</v>
      </c>
    </row>
    <row r="69" customFormat="false" ht="15" hidden="false" customHeight="false" outlineLevel="0" collapsed="false">
      <c r="A69" s="32" t="s">
        <v>313</v>
      </c>
      <c r="B69" s="33" t="s">
        <v>314</v>
      </c>
      <c r="C69" s="33" t="s">
        <v>28</v>
      </c>
      <c r="D69" s="34" t="n">
        <v>43358</v>
      </c>
      <c r="E69" s="33" t="s">
        <v>42</v>
      </c>
      <c r="F69" s="33" t="n">
        <v>21337013</v>
      </c>
      <c r="G69" s="33" t="n">
        <v>720196</v>
      </c>
      <c r="H69" s="33" t="s">
        <v>34</v>
      </c>
      <c r="I69" s="33" t="s">
        <v>174</v>
      </c>
      <c r="J69" s="33" t="s">
        <v>52</v>
      </c>
      <c r="K69" s="35" t="n">
        <v>223560344</v>
      </c>
      <c r="L69" s="33" t="s">
        <v>214</v>
      </c>
      <c r="M69" s="33" t="n">
        <v>102861246</v>
      </c>
      <c r="N69" s="36" t="n">
        <v>514.92</v>
      </c>
      <c r="O69" s="37" t="n">
        <v>13.4</v>
      </c>
    </row>
    <row r="70" customFormat="false" ht="15" hidden="false" customHeight="false" outlineLevel="0" collapsed="false">
      <c r="A70" s="32" t="s">
        <v>315</v>
      </c>
      <c r="B70" s="33" t="s">
        <v>316</v>
      </c>
      <c r="C70" s="33" t="s">
        <v>28</v>
      </c>
      <c r="D70" s="34" t="n">
        <v>43358</v>
      </c>
      <c r="E70" s="33" t="s">
        <v>42</v>
      </c>
      <c r="F70" s="33" t="n">
        <v>21337013</v>
      </c>
      <c r="G70" s="33" t="n">
        <v>720196</v>
      </c>
      <c r="H70" s="33" t="s">
        <v>34</v>
      </c>
      <c r="I70" s="33" t="s">
        <v>174</v>
      </c>
      <c r="J70" s="33" t="s">
        <v>63</v>
      </c>
      <c r="K70" s="35" t="n">
        <v>223560347</v>
      </c>
      <c r="L70" s="33" t="s">
        <v>317</v>
      </c>
      <c r="M70" s="33" t="n">
        <v>102857037</v>
      </c>
      <c r="N70" s="36" t="n">
        <v>5496.92</v>
      </c>
      <c r="O70" s="37" t="n">
        <v>78.43</v>
      </c>
    </row>
    <row r="71" customFormat="false" ht="15" hidden="false" customHeight="false" outlineLevel="0" collapsed="false">
      <c r="A71" s="32" t="s">
        <v>318</v>
      </c>
      <c r="B71" s="33" t="s">
        <v>319</v>
      </c>
      <c r="C71" s="33" t="s">
        <v>28</v>
      </c>
      <c r="D71" s="34" t="n">
        <v>43358</v>
      </c>
      <c r="E71" s="33" t="s">
        <v>42</v>
      </c>
      <c r="F71" s="33" t="n">
        <v>21337013</v>
      </c>
      <c r="G71" s="33" t="n">
        <v>720196</v>
      </c>
      <c r="H71" s="33" t="s">
        <v>34</v>
      </c>
      <c r="I71" s="33" t="s">
        <v>174</v>
      </c>
      <c r="J71" s="33" t="s">
        <v>53</v>
      </c>
      <c r="K71" s="35" t="n">
        <v>223560350</v>
      </c>
      <c r="L71" s="33" t="s">
        <v>217</v>
      </c>
      <c r="M71" s="33" t="n">
        <v>103006547</v>
      </c>
      <c r="N71" s="36" t="n">
        <v>514.92</v>
      </c>
      <c r="O71" s="37" t="n">
        <v>13.4</v>
      </c>
    </row>
    <row r="72" customFormat="false" ht="15" hidden="false" customHeight="false" outlineLevel="0" collapsed="false">
      <c r="A72" s="32" t="s">
        <v>320</v>
      </c>
      <c r="B72" s="33" t="s">
        <v>321</v>
      </c>
      <c r="C72" s="33" t="s">
        <v>28</v>
      </c>
      <c r="D72" s="34" t="n">
        <v>43358</v>
      </c>
      <c r="E72" s="33" t="s">
        <v>42</v>
      </c>
      <c r="F72" s="33" t="n">
        <v>21337013</v>
      </c>
      <c r="G72" s="33" t="n">
        <v>720196</v>
      </c>
      <c r="H72" s="33" t="s">
        <v>34</v>
      </c>
      <c r="I72" s="33" t="s">
        <v>174</v>
      </c>
      <c r="J72" s="33" t="s">
        <v>54</v>
      </c>
      <c r="K72" s="35" t="n">
        <v>223560356</v>
      </c>
      <c r="L72" s="33" t="s">
        <v>220</v>
      </c>
      <c r="M72" s="33" t="n">
        <v>102854016</v>
      </c>
      <c r="N72" s="36" t="n">
        <v>514.92</v>
      </c>
      <c r="O72" s="37" t="n">
        <v>13.4</v>
      </c>
    </row>
    <row r="73" customFormat="false" ht="15" hidden="false" customHeight="false" outlineLevel="0" collapsed="false">
      <c r="A73" s="32" t="s">
        <v>322</v>
      </c>
      <c r="B73" s="33" t="s">
        <v>323</v>
      </c>
      <c r="C73" s="33" t="s">
        <v>28</v>
      </c>
      <c r="D73" s="34" t="n">
        <v>43358</v>
      </c>
      <c r="E73" s="33" t="s">
        <v>42</v>
      </c>
      <c r="F73" s="33" t="n">
        <v>21337013</v>
      </c>
      <c r="G73" s="33" t="n">
        <v>720196</v>
      </c>
      <c r="H73" s="33" t="s">
        <v>34</v>
      </c>
      <c r="I73" s="33" t="s">
        <v>174</v>
      </c>
      <c r="J73" s="33" t="s">
        <v>56</v>
      </c>
      <c r="K73" s="35" t="n">
        <v>224334170</v>
      </c>
      <c r="L73" s="33" t="s">
        <v>223</v>
      </c>
      <c r="M73" s="33" t="n">
        <v>103230847</v>
      </c>
      <c r="N73" s="36" t="n">
        <v>10993.84</v>
      </c>
      <c r="O73" s="37" t="n">
        <v>156.86</v>
      </c>
    </row>
    <row r="74" customFormat="false" ht="15" hidden="false" customHeight="false" outlineLevel="0" collapsed="false">
      <c r="A74" s="32" t="s">
        <v>324</v>
      </c>
      <c r="B74" s="33" t="s">
        <v>325</v>
      </c>
      <c r="C74" s="33" t="s">
        <v>28</v>
      </c>
      <c r="D74" s="34" t="n">
        <v>43358</v>
      </c>
      <c r="E74" s="33" t="s">
        <v>42</v>
      </c>
      <c r="F74" s="33" t="n">
        <v>21337013</v>
      </c>
      <c r="G74" s="33" t="n">
        <v>720196</v>
      </c>
      <c r="H74" s="33" t="s">
        <v>34</v>
      </c>
      <c r="I74" s="33" t="s">
        <v>174</v>
      </c>
      <c r="J74" s="33" t="s">
        <v>57</v>
      </c>
      <c r="K74" s="35" t="n">
        <v>224399962</v>
      </c>
      <c r="L74" s="33" t="s">
        <v>223</v>
      </c>
      <c r="M74" s="33" t="n">
        <v>103230847</v>
      </c>
      <c r="N74" s="36" t="n">
        <v>5496.92</v>
      </c>
      <c r="O74" s="37" t="n">
        <v>78.43</v>
      </c>
    </row>
    <row r="75" customFormat="false" ht="15" hidden="false" customHeight="false" outlineLevel="0" collapsed="false">
      <c r="A75" s="32" t="s">
        <v>326</v>
      </c>
      <c r="B75" s="33" t="s">
        <v>327</v>
      </c>
      <c r="C75" s="33" t="s">
        <v>28</v>
      </c>
      <c r="D75" s="34" t="n">
        <v>43358</v>
      </c>
      <c r="E75" s="33" t="s">
        <v>42</v>
      </c>
      <c r="F75" s="33" t="n">
        <v>21337013</v>
      </c>
      <c r="G75" s="33" t="n">
        <v>720196</v>
      </c>
      <c r="H75" s="33" t="s">
        <v>34</v>
      </c>
      <c r="I75" s="33" t="s">
        <v>174</v>
      </c>
      <c r="J75" s="33" t="s">
        <v>58</v>
      </c>
      <c r="K75" s="35" t="n">
        <v>224549481</v>
      </c>
      <c r="L75" s="33" t="s">
        <v>223</v>
      </c>
      <c r="M75" s="33" t="n">
        <v>103230847</v>
      </c>
      <c r="N75" s="36" t="n">
        <v>5496.92</v>
      </c>
      <c r="O75" s="37" t="n">
        <v>78.43</v>
      </c>
    </row>
    <row r="76" customFormat="false" ht="15" hidden="false" customHeight="false" outlineLevel="0" collapsed="false">
      <c r="A76" s="32" t="s">
        <v>328</v>
      </c>
      <c r="B76" s="33" t="s">
        <v>329</v>
      </c>
      <c r="C76" s="33" t="s">
        <v>28</v>
      </c>
      <c r="D76" s="34" t="n">
        <v>43358</v>
      </c>
      <c r="E76" s="33" t="s">
        <v>64</v>
      </c>
      <c r="F76" s="33" t="n">
        <v>21337220</v>
      </c>
      <c r="G76" s="33" t="n">
        <v>720192</v>
      </c>
      <c r="H76" s="33" t="s">
        <v>34</v>
      </c>
      <c r="I76" s="33" t="s">
        <v>174</v>
      </c>
      <c r="J76" s="33" t="s">
        <v>67</v>
      </c>
      <c r="K76" s="35" t="n">
        <v>227618695</v>
      </c>
      <c r="L76" s="33" t="s">
        <v>330</v>
      </c>
      <c r="M76" s="33" t="n">
        <v>105127638</v>
      </c>
      <c r="N76" s="36" t="n">
        <v>316</v>
      </c>
      <c r="O76" s="37" t="n">
        <v>6.49</v>
      </c>
    </row>
    <row r="77" customFormat="false" ht="15" hidden="false" customHeight="false" outlineLevel="0" collapsed="false">
      <c r="A77" s="32" t="s">
        <v>331</v>
      </c>
      <c r="B77" s="33" t="s">
        <v>332</v>
      </c>
      <c r="C77" s="33" t="s">
        <v>28</v>
      </c>
      <c r="D77" s="34" t="n">
        <v>43358</v>
      </c>
      <c r="E77" s="33" t="s">
        <v>64</v>
      </c>
      <c r="F77" s="33" t="n">
        <v>21337220</v>
      </c>
      <c r="G77" s="33" t="n">
        <v>720192</v>
      </c>
      <c r="H77" s="33" t="s">
        <v>34</v>
      </c>
      <c r="I77" s="33" t="s">
        <v>174</v>
      </c>
      <c r="J77" s="33" t="s">
        <v>69</v>
      </c>
      <c r="K77" s="35" t="n">
        <v>223691798</v>
      </c>
      <c r="L77" s="33" t="s">
        <v>333</v>
      </c>
      <c r="M77" s="33" t="n">
        <v>102916347</v>
      </c>
      <c r="N77" s="36" t="n">
        <v>1898</v>
      </c>
      <c r="O77" s="37" t="n">
        <v>39.8</v>
      </c>
    </row>
    <row r="78" customFormat="false" ht="15" hidden="false" customHeight="false" outlineLevel="0" collapsed="false">
      <c r="A78" s="32" t="s">
        <v>334</v>
      </c>
      <c r="B78" s="33" t="s">
        <v>335</v>
      </c>
      <c r="C78" s="33" t="s">
        <v>28</v>
      </c>
      <c r="D78" s="34" t="n">
        <v>43358</v>
      </c>
      <c r="E78" s="33" t="s">
        <v>64</v>
      </c>
      <c r="F78" s="33" t="n">
        <v>21337220</v>
      </c>
      <c r="G78" s="33" t="n">
        <v>720192</v>
      </c>
      <c r="H78" s="33" t="s">
        <v>34</v>
      </c>
      <c r="I78" s="33" t="s">
        <v>174</v>
      </c>
      <c r="J78" s="33" t="s">
        <v>70</v>
      </c>
      <c r="K78" s="35" t="n">
        <v>223691831</v>
      </c>
      <c r="L78" s="33" t="s">
        <v>336</v>
      </c>
      <c r="M78" s="33" t="n">
        <v>102913800</v>
      </c>
      <c r="N78" s="36" t="n">
        <v>4056</v>
      </c>
      <c r="O78" s="37" t="n">
        <v>107.48</v>
      </c>
    </row>
    <row r="79" customFormat="false" ht="15" hidden="false" customHeight="false" outlineLevel="0" collapsed="false">
      <c r="A79" s="32" t="s">
        <v>337</v>
      </c>
      <c r="B79" s="33" t="s">
        <v>338</v>
      </c>
      <c r="C79" s="33" t="s">
        <v>28</v>
      </c>
      <c r="D79" s="34" t="n">
        <v>43358</v>
      </c>
      <c r="E79" s="33" t="s">
        <v>64</v>
      </c>
      <c r="F79" s="33" t="n">
        <v>21337220</v>
      </c>
      <c r="G79" s="33" t="n">
        <v>720192</v>
      </c>
      <c r="H79" s="33" t="s">
        <v>34</v>
      </c>
      <c r="I79" s="33" t="s">
        <v>174</v>
      </c>
      <c r="J79" s="33" t="s">
        <v>71</v>
      </c>
      <c r="K79" s="35" t="n">
        <v>225322324</v>
      </c>
      <c r="L79" s="33" t="s">
        <v>339</v>
      </c>
      <c r="M79" s="33" t="n">
        <v>103789915</v>
      </c>
      <c r="N79" s="36" t="n">
        <v>268</v>
      </c>
      <c r="O79" s="37" t="n">
        <v>6.52</v>
      </c>
    </row>
    <row r="80" customFormat="false" ht="15" hidden="false" customHeight="false" outlineLevel="0" collapsed="false">
      <c r="A80" s="32" t="s">
        <v>340</v>
      </c>
      <c r="B80" s="33" t="s">
        <v>341</v>
      </c>
      <c r="C80" s="33" t="s">
        <v>28</v>
      </c>
      <c r="D80" s="34" t="n">
        <v>43358</v>
      </c>
      <c r="E80" s="33" t="s">
        <v>64</v>
      </c>
      <c r="F80" s="33" t="n">
        <v>21337220</v>
      </c>
      <c r="G80" s="33" t="n">
        <v>720192</v>
      </c>
      <c r="H80" s="33" t="s">
        <v>34</v>
      </c>
      <c r="I80" s="33" t="s">
        <v>174</v>
      </c>
      <c r="J80" s="33" t="s">
        <v>72</v>
      </c>
      <c r="K80" s="35" t="n">
        <v>223691777</v>
      </c>
      <c r="L80" s="33" t="s">
        <v>342</v>
      </c>
      <c r="M80" s="33" t="n">
        <v>102900697</v>
      </c>
      <c r="N80" s="36" t="n">
        <v>562</v>
      </c>
      <c r="O80" s="37" t="n">
        <v>18.67</v>
      </c>
    </row>
    <row r="81" customFormat="false" ht="15" hidden="false" customHeight="false" outlineLevel="0" collapsed="false">
      <c r="A81" s="32" t="s">
        <v>343</v>
      </c>
      <c r="B81" s="33" t="s">
        <v>344</v>
      </c>
      <c r="C81" s="33" t="s">
        <v>28</v>
      </c>
      <c r="D81" s="34" t="n">
        <v>43358</v>
      </c>
      <c r="E81" s="33" t="s">
        <v>64</v>
      </c>
      <c r="F81" s="33" t="n">
        <v>21337220</v>
      </c>
      <c r="G81" s="33" t="n">
        <v>720192</v>
      </c>
      <c r="H81" s="33" t="s">
        <v>34</v>
      </c>
      <c r="I81" s="33" t="s">
        <v>174</v>
      </c>
      <c r="J81" s="33" t="s">
        <v>73</v>
      </c>
      <c r="K81" s="35" t="n">
        <v>223691792</v>
      </c>
      <c r="L81" s="33" t="s">
        <v>345</v>
      </c>
      <c r="M81" s="33" t="n">
        <v>102901894</v>
      </c>
      <c r="N81" s="36" t="n">
        <v>723</v>
      </c>
      <c r="O81" s="37" t="n">
        <v>15.21</v>
      </c>
    </row>
    <row r="82" customFormat="false" ht="15" hidden="false" customHeight="false" outlineLevel="0" collapsed="false">
      <c r="A82" s="32" t="s">
        <v>346</v>
      </c>
      <c r="B82" s="33" t="s">
        <v>347</v>
      </c>
      <c r="C82" s="33" t="s">
        <v>28</v>
      </c>
      <c r="D82" s="34" t="n">
        <v>43358</v>
      </c>
      <c r="E82" s="33" t="s">
        <v>64</v>
      </c>
      <c r="F82" s="33" t="n">
        <v>21337220</v>
      </c>
      <c r="G82" s="33" t="n">
        <v>720192</v>
      </c>
      <c r="H82" s="33" t="s">
        <v>34</v>
      </c>
      <c r="I82" s="33" t="s">
        <v>174</v>
      </c>
      <c r="J82" s="33" t="s">
        <v>74</v>
      </c>
      <c r="K82" s="35" t="n">
        <v>223691789</v>
      </c>
      <c r="L82" s="33" t="s">
        <v>348</v>
      </c>
      <c r="M82" s="33" t="n">
        <v>102900691</v>
      </c>
      <c r="N82" s="36" t="n">
        <v>869</v>
      </c>
      <c r="O82" s="37" t="n">
        <v>30.6</v>
      </c>
    </row>
    <row r="83" customFormat="false" ht="15" hidden="false" customHeight="false" outlineLevel="0" collapsed="false">
      <c r="A83" s="32" t="s">
        <v>349</v>
      </c>
      <c r="B83" s="33" t="s">
        <v>350</v>
      </c>
      <c r="C83" s="33" t="s">
        <v>28</v>
      </c>
      <c r="D83" s="34" t="n">
        <v>43358</v>
      </c>
      <c r="E83" s="33" t="s">
        <v>64</v>
      </c>
      <c r="F83" s="33" t="n">
        <v>21337220</v>
      </c>
      <c r="G83" s="33" t="n">
        <v>720192</v>
      </c>
      <c r="H83" s="33" t="s">
        <v>34</v>
      </c>
      <c r="I83" s="33" t="s">
        <v>174</v>
      </c>
      <c r="J83" s="33" t="s">
        <v>75</v>
      </c>
      <c r="K83" s="35" t="n">
        <v>223691780</v>
      </c>
      <c r="L83" s="33" t="s">
        <v>351</v>
      </c>
      <c r="M83" s="33" t="n">
        <v>103058726</v>
      </c>
      <c r="N83" s="36" t="n">
        <v>561</v>
      </c>
      <c r="O83" s="37" t="n">
        <v>23.16</v>
      </c>
    </row>
    <row r="84" customFormat="false" ht="15" hidden="false" customHeight="false" outlineLevel="0" collapsed="false">
      <c r="A84" s="32" t="s">
        <v>352</v>
      </c>
      <c r="B84" s="33" t="s">
        <v>353</v>
      </c>
      <c r="C84" s="33" t="s">
        <v>28</v>
      </c>
      <c r="D84" s="34" t="n">
        <v>43358</v>
      </c>
      <c r="E84" s="33" t="s">
        <v>64</v>
      </c>
      <c r="F84" s="33" t="n">
        <v>21337220</v>
      </c>
      <c r="G84" s="33" t="n">
        <v>720192</v>
      </c>
      <c r="H84" s="33" t="s">
        <v>34</v>
      </c>
      <c r="I84" s="33" t="s">
        <v>174</v>
      </c>
      <c r="J84" s="33" t="s">
        <v>76</v>
      </c>
      <c r="K84" s="35" t="n">
        <v>223691783</v>
      </c>
      <c r="L84" s="33" t="s">
        <v>354</v>
      </c>
      <c r="M84" s="33" t="n">
        <v>103058723</v>
      </c>
      <c r="N84" s="36" t="n">
        <v>231</v>
      </c>
      <c r="O84" s="37" t="n">
        <v>9.67</v>
      </c>
    </row>
    <row r="85" customFormat="false" ht="15" hidden="false" customHeight="false" outlineLevel="0" collapsed="false">
      <c r="A85" s="32" t="s">
        <v>355</v>
      </c>
      <c r="B85" s="33" t="s">
        <v>356</v>
      </c>
      <c r="C85" s="33" t="s">
        <v>28</v>
      </c>
      <c r="D85" s="34" t="n">
        <v>43358</v>
      </c>
      <c r="E85" s="33" t="s">
        <v>64</v>
      </c>
      <c r="F85" s="33" t="n">
        <v>21337220</v>
      </c>
      <c r="G85" s="33" t="n">
        <v>720192</v>
      </c>
      <c r="H85" s="33" t="s">
        <v>34</v>
      </c>
      <c r="I85" s="33" t="s">
        <v>174</v>
      </c>
      <c r="J85" s="33" t="s">
        <v>77</v>
      </c>
      <c r="K85" s="35" t="n">
        <v>223691840</v>
      </c>
      <c r="L85" s="33" t="s">
        <v>357</v>
      </c>
      <c r="M85" s="33" t="n">
        <v>102902950</v>
      </c>
      <c r="N85" s="36" t="n">
        <v>2512</v>
      </c>
      <c r="O85" s="37" t="n">
        <v>48.06</v>
      </c>
    </row>
    <row r="86" customFormat="false" ht="15" hidden="false" customHeight="false" outlineLevel="0" collapsed="false">
      <c r="A86" s="32" t="s">
        <v>358</v>
      </c>
      <c r="B86" s="33" t="s">
        <v>359</v>
      </c>
      <c r="C86" s="33" t="s">
        <v>28</v>
      </c>
      <c r="D86" s="34" t="n">
        <v>43358</v>
      </c>
      <c r="E86" s="33" t="s">
        <v>64</v>
      </c>
      <c r="F86" s="33" t="n">
        <v>21337220</v>
      </c>
      <c r="G86" s="33" t="n">
        <v>720192</v>
      </c>
      <c r="H86" s="33" t="s">
        <v>34</v>
      </c>
      <c r="I86" s="33" t="s">
        <v>174</v>
      </c>
      <c r="J86" s="33" t="s">
        <v>78</v>
      </c>
      <c r="K86" s="35" t="n">
        <v>227522771</v>
      </c>
      <c r="L86" s="33" t="s">
        <v>360</v>
      </c>
      <c r="M86" s="33" t="n">
        <v>105130128</v>
      </c>
      <c r="N86" s="36" t="n">
        <v>394</v>
      </c>
      <c r="O86" s="37" t="n">
        <v>6.89</v>
      </c>
    </row>
    <row r="87" customFormat="false" ht="15" hidden="false" customHeight="false" outlineLevel="0" collapsed="false">
      <c r="A87" s="32" t="s">
        <v>361</v>
      </c>
      <c r="B87" s="33" t="s">
        <v>362</v>
      </c>
      <c r="C87" s="33" t="s">
        <v>28</v>
      </c>
      <c r="D87" s="34" t="n">
        <v>43358</v>
      </c>
      <c r="E87" s="33" t="s">
        <v>64</v>
      </c>
      <c r="F87" s="33" t="n">
        <v>21337220</v>
      </c>
      <c r="G87" s="33" t="n">
        <v>720192</v>
      </c>
      <c r="H87" s="33" t="s">
        <v>34</v>
      </c>
      <c r="I87" s="33" t="s">
        <v>174</v>
      </c>
      <c r="J87" s="33" t="s">
        <v>79</v>
      </c>
      <c r="K87" s="35" t="n">
        <v>223691801</v>
      </c>
      <c r="L87" s="33" t="s">
        <v>363</v>
      </c>
      <c r="M87" s="33" t="n">
        <v>103053323</v>
      </c>
      <c r="N87" s="36" t="n">
        <v>1441</v>
      </c>
      <c r="O87" s="37" t="n">
        <v>38.53</v>
      </c>
    </row>
    <row r="88" customFormat="false" ht="15" hidden="false" customHeight="false" outlineLevel="0" collapsed="false">
      <c r="A88" s="32" t="s">
        <v>364</v>
      </c>
      <c r="B88" s="33" t="s">
        <v>365</v>
      </c>
      <c r="C88" s="33" t="s">
        <v>28</v>
      </c>
      <c r="D88" s="34" t="n">
        <v>43358</v>
      </c>
      <c r="E88" s="33" t="s">
        <v>64</v>
      </c>
      <c r="F88" s="33" t="n">
        <v>21337220</v>
      </c>
      <c r="G88" s="33" t="n">
        <v>720192</v>
      </c>
      <c r="H88" s="33" t="s">
        <v>34</v>
      </c>
      <c r="I88" s="33" t="s">
        <v>174</v>
      </c>
      <c r="J88" s="33" t="s">
        <v>80</v>
      </c>
      <c r="K88" s="35" t="n">
        <v>223691825</v>
      </c>
      <c r="L88" s="33" t="s">
        <v>366</v>
      </c>
      <c r="M88" s="33" t="n">
        <v>102916338</v>
      </c>
      <c r="N88" s="36" t="n">
        <v>4938</v>
      </c>
      <c r="O88" s="37" t="n">
        <v>189.02</v>
      </c>
    </row>
    <row r="89" customFormat="false" ht="15" hidden="false" customHeight="false" outlineLevel="0" collapsed="false">
      <c r="A89" s="32" t="s">
        <v>367</v>
      </c>
      <c r="B89" s="33" t="s">
        <v>368</v>
      </c>
      <c r="C89" s="33" t="s">
        <v>28</v>
      </c>
      <c r="D89" s="34" t="n">
        <v>43358</v>
      </c>
      <c r="E89" s="33" t="s">
        <v>64</v>
      </c>
      <c r="F89" s="33" t="n">
        <v>21337220</v>
      </c>
      <c r="G89" s="33" t="n">
        <v>720192</v>
      </c>
      <c r="H89" s="33" t="s">
        <v>34</v>
      </c>
      <c r="I89" s="33" t="s">
        <v>174</v>
      </c>
      <c r="J89" s="33" t="s">
        <v>81</v>
      </c>
      <c r="K89" s="35" t="n">
        <v>223691786</v>
      </c>
      <c r="L89" s="33" t="s">
        <v>369</v>
      </c>
      <c r="M89" s="33" t="n">
        <v>103058720</v>
      </c>
      <c r="N89" s="36" t="n">
        <v>292</v>
      </c>
      <c r="O89" s="37" t="n">
        <v>6.92</v>
      </c>
    </row>
    <row r="90" customFormat="false" ht="15" hidden="false" customHeight="false" outlineLevel="0" collapsed="false">
      <c r="A90" s="32" t="s">
        <v>370</v>
      </c>
      <c r="B90" s="33" t="s">
        <v>371</v>
      </c>
      <c r="C90" s="33" t="s">
        <v>28</v>
      </c>
      <c r="D90" s="34" t="n">
        <v>43358</v>
      </c>
      <c r="E90" s="33" t="s">
        <v>64</v>
      </c>
      <c r="F90" s="33" t="n">
        <v>21337220</v>
      </c>
      <c r="G90" s="33" t="n">
        <v>720192</v>
      </c>
      <c r="H90" s="33" t="s">
        <v>34</v>
      </c>
      <c r="I90" s="33" t="s">
        <v>174</v>
      </c>
      <c r="J90" s="33" t="s">
        <v>82</v>
      </c>
      <c r="K90" s="35" t="n">
        <v>225322327</v>
      </c>
      <c r="L90" s="33" t="s">
        <v>372</v>
      </c>
      <c r="M90" s="33" t="n">
        <v>103902287</v>
      </c>
      <c r="N90" s="36" t="n">
        <v>984</v>
      </c>
      <c r="O90" s="37" t="n">
        <v>22.55</v>
      </c>
    </row>
    <row r="91" customFormat="false" ht="15" hidden="false" customHeight="false" outlineLevel="0" collapsed="false">
      <c r="A91" s="32" t="s">
        <v>373</v>
      </c>
      <c r="B91" s="33" t="s">
        <v>374</v>
      </c>
      <c r="C91" s="33" t="s">
        <v>28</v>
      </c>
      <c r="D91" s="34" t="n">
        <v>43358</v>
      </c>
      <c r="E91" s="33" t="s">
        <v>64</v>
      </c>
      <c r="F91" s="33" t="n">
        <v>21337220</v>
      </c>
      <c r="G91" s="33" t="n">
        <v>720192</v>
      </c>
      <c r="H91" s="33" t="s">
        <v>34</v>
      </c>
      <c r="I91" s="33" t="s">
        <v>174</v>
      </c>
      <c r="J91" s="33" t="s">
        <v>83</v>
      </c>
      <c r="K91" s="35" t="n">
        <v>223691837</v>
      </c>
      <c r="L91" s="33" t="s">
        <v>375</v>
      </c>
      <c r="M91" s="33" t="n">
        <v>103053314</v>
      </c>
      <c r="N91" s="36" t="n">
        <v>4598</v>
      </c>
      <c r="O91" s="37" t="n">
        <v>102.01</v>
      </c>
    </row>
    <row r="92" customFormat="false" ht="15" hidden="false" customHeight="false" outlineLevel="0" collapsed="false">
      <c r="A92" s="32" t="s">
        <v>376</v>
      </c>
      <c r="B92" s="33" t="s">
        <v>377</v>
      </c>
      <c r="C92" s="33" t="s">
        <v>28</v>
      </c>
      <c r="D92" s="34" t="n">
        <v>43358</v>
      </c>
      <c r="E92" s="33" t="s">
        <v>64</v>
      </c>
      <c r="F92" s="33" t="n">
        <v>21337220</v>
      </c>
      <c r="G92" s="33" t="n">
        <v>720192</v>
      </c>
      <c r="H92" s="33" t="s">
        <v>34</v>
      </c>
      <c r="I92" s="33" t="s">
        <v>174</v>
      </c>
      <c r="J92" s="33" t="s">
        <v>84</v>
      </c>
      <c r="K92" s="35" t="n">
        <v>223684451</v>
      </c>
      <c r="L92" s="33" t="s">
        <v>378</v>
      </c>
      <c r="M92" s="33" t="n">
        <v>102901882</v>
      </c>
      <c r="N92" s="36" t="n">
        <v>683</v>
      </c>
      <c r="O92" s="37" t="n">
        <v>13.33</v>
      </c>
    </row>
    <row r="93" customFormat="false" ht="15" hidden="false" customHeight="false" outlineLevel="0" collapsed="false">
      <c r="A93" s="32" t="s">
        <v>379</v>
      </c>
      <c r="B93" s="33" t="s">
        <v>380</v>
      </c>
      <c r="C93" s="33" t="s">
        <v>28</v>
      </c>
      <c r="D93" s="34" t="n">
        <v>43358</v>
      </c>
      <c r="E93" s="33" t="s">
        <v>64</v>
      </c>
      <c r="F93" s="33" t="n">
        <v>21337220</v>
      </c>
      <c r="G93" s="33" t="n">
        <v>720192</v>
      </c>
      <c r="H93" s="33" t="s">
        <v>34</v>
      </c>
      <c r="I93" s="33" t="s">
        <v>174</v>
      </c>
      <c r="J93" s="33" t="s">
        <v>85</v>
      </c>
      <c r="K93" s="35" t="n">
        <v>227525720</v>
      </c>
      <c r="L93" s="33" t="s">
        <v>381</v>
      </c>
      <c r="M93" s="33" t="n">
        <v>105130125</v>
      </c>
      <c r="N93" s="36" t="n">
        <v>377</v>
      </c>
      <c r="O93" s="37" t="n">
        <v>8.41</v>
      </c>
    </row>
    <row r="94" customFormat="false" ht="15" hidden="false" customHeight="false" outlineLevel="0" collapsed="false">
      <c r="A94" s="32" t="s">
        <v>382</v>
      </c>
      <c r="B94" s="33" t="s">
        <v>383</v>
      </c>
      <c r="C94" s="33" t="s">
        <v>28</v>
      </c>
      <c r="D94" s="34" t="n">
        <v>43358</v>
      </c>
      <c r="E94" s="33" t="s">
        <v>64</v>
      </c>
      <c r="F94" s="33" t="n">
        <v>21337220</v>
      </c>
      <c r="G94" s="33" t="n">
        <v>720192</v>
      </c>
      <c r="H94" s="33" t="s">
        <v>34</v>
      </c>
      <c r="I94" s="33" t="s">
        <v>174</v>
      </c>
      <c r="J94" s="33" t="s">
        <v>86</v>
      </c>
      <c r="K94" s="35" t="n">
        <v>227522762</v>
      </c>
      <c r="L94" s="33" t="s">
        <v>384</v>
      </c>
      <c r="M94" s="33" t="n">
        <v>105216992</v>
      </c>
      <c r="N94" s="36" t="n">
        <v>14087</v>
      </c>
      <c r="O94" s="37" t="n">
        <v>215.56</v>
      </c>
    </row>
    <row r="95" customFormat="false" ht="15" hidden="false" customHeight="false" outlineLevel="0" collapsed="false">
      <c r="A95" s="32" t="s">
        <v>385</v>
      </c>
      <c r="B95" s="33" t="s">
        <v>386</v>
      </c>
      <c r="C95" s="33" t="s">
        <v>28</v>
      </c>
      <c r="D95" s="34" t="n">
        <v>43358</v>
      </c>
      <c r="E95" s="33" t="s">
        <v>64</v>
      </c>
      <c r="F95" s="33" t="n">
        <v>21337220</v>
      </c>
      <c r="G95" s="33" t="n">
        <v>720192</v>
      </c>
      <c r="H95" s="33" t="s">
        <v>34</v>
      </c>
      <c r="I95" s="33" t="s">
        <v>174</v>
      </c>
      <c r="J95" s="33" t="s">
        <v>87</v>
      </c>
      <c r="K95" s="35" t="n">
        <v>223691795</v>
      </c>
      <c r="L95" s="33" t="s">
        <v>387</v>
      </c>
      <c r="M95" s="33" t="n">
        <v>102900688</v>
      </c>
      <c r="N95" s="36" t="n">
        <v>148</v>
      </c>
      <c r="O95" s="37" t="n">
        <v>4.26</v>
      </c>
    </row>
    <row r="96" customFormat="false" ht="15" hidden="false" customHeight="false" outlineLevel="0" collapsed="false">
      <c r="A96" s="32" t="s">
        <v>388</v>
      </c>
      <c r="B96" s="33" t="s">
        <v>389</v>
      </c>
      <c r="C96" s="33" t="s">
        <v>28</v>
      </c>
      <c r="D96" s="34" t="n">
        <v>43358</v>
      </c>
      <c r="E96" s="33" t="s">
        <v>64</v>
      </c>
      <c r="F96" s="33" t="n">
        <v>21337220</v>
      </c>
      <c r="G96" s="33" t="n">
        <v>720192</v>
      </c>
      <c r="H96" s="33" t="s">
        <v>34</v>
      </c>
      <c r="I96" s="33" t="s">
        <v>174</v>
      </c>
      <c r="J96" s="33" t="s">
        <v>88</v>
      </c>
      <c r="K96" s="35" t="n">
        <v>223691834</v>
      </c>
      <c r="L96" s="33" t="s">
        <v>390</v>
      </c>
      <c r="M96" s="33" t="n">
        <v>102902953</v>
      </c>
      <c r="N96" s="36" t="n">
        <v>316</v>
      </c>
      <c r="O96" s="37" t="n">
        <v>9.55</v>
      </c>
    </row>
    <row r="97" customFormat="false" ht="15" hidden="false" customHeight="false" outlineLevel="0" collapsed="false">
      <c r="A97" s="32" t="s">
        <v>391</v>
      </c>
      <c r="B97" s="33" t="s">
        <v>392</v>
      </c>
      <c r="C97" s="33" t="s">
        <v>28</v>
      </c>
      <c r="D97" s="34" t="n">
        <v>43358</v>
      </c>
      <c r="E97" s="33" t="s">
        <v>64</v>
      </c>
      <c r="F97" s="33" t="n">
        <v>21337220</v>
      </c>
      <c r="G97" s="33" t="n">
        <v>720192</v>
      </c>
      <c r="H97" s="33" t="s">
        <v>34</v>
      </c>
      <c r="I97" s="33" t="s">
        <v>174</v>
      </c>
      <c r="J97" s="33" t="s">
        <v>89</v>
      </c>
      <c r="K97" s="35" t="n">
        <v>223691822</v>
      </c>
      <c r="L97" s="33" t="s">
        <v>393</v>
      </c>
      <c r="M97" s="33" t="n">
        <v>103058708</v>
      </c>
      <c r="N97" s="36" t="n">
        <v>847</v>
      </c>
      <c r="O97" s="37" t="n">
        <v>18.14</v>
      </c>
    </row>
    <row r="98" customFormat="false" ht="15" hidden="false" customHeight="false" outlineLevel="0" collapsed="false">
      <c r="A98" s="32" t="s">
        <v>394</v>
      </c>
      <c r="B98" s="33" t="s">
        <v>395</v>
      </c>
      <c r="C98" s="33" t="s">
        <v>28</v>
      </c>
      <c r="D98" s="34" t="n">
        <v>43358</v>
      </c>
      <c r="E98" s="33" t="s">
        <v>64</v>
      </c>
      <c r="F98" s="33" t="n">
        <v>21337220</v>
      </c>
      <c r="G98" s="33" t="n">
        <v>720192</v>
      </c>
      <c r="H98" s="33" t="s">
        <v>34</v>
      </c>
      <c r="I98" s="33" t="s">
        <v>174</v>
      </c>
      <c r="J98" s="33" t="s">
        <v>90</v>
      </c>
      <c r="K98" s="35" t="n">
        <v>223691819</v>
      </c>
      <c r="L98" s="33" t="s">
        <v>396</v>
      </c>
      <c r="M98" s="33" t="n">
        <v>102900682</v>
      </c>
      <c r="N98" s="36" t="n">
        <v>1824</v>
      </c>
      <c r="O98" s="37" t="n">
        <v>74.88</v>
      </c>
    </row>
    <row r="99" customFormat="false" ht="15" hidden="false" customHeight="false" outlineLevel="0" collapsed="false">
      <c r="A99" s="32" t="s">
        <v>397</v>
      </c>
      <c r="B99" s="33" t="s">
        <v>398</v>
      </c>
      <c r="C99" s="33" t="s">
        <v>28</v>
      </c>
      <c r="D99" s="34" t="n">
        <v>43358</v>
      </c>
      <c r="E99" s="33" t="s">
        <v>64</v>
      </c>
      <c r="F99" s="33" t="n">
        <v>21337220</v>
      </c>
      <c r="G99" s="33" t="n">
        <v>720192</v>
      </c>
      <c r="H99" s="33" t="s">
        <v>34</v>
      </c>
      <c r="I99" s="33" t="s">
        <v>174</v>
      </c>
      <c r="J99" s="33" t="s">
        <v>91</v>
      </c>
      <c r="K99" s="35" t="n">
        <v>223691828</v>
      </c>
      <c r="L99" s="33" t="s">
        <v>399</v>
      </c>
      <c r="M99" s="33" t="n">
        <v>102902956</v>
      </c>
      <c r="N99" s="36" t="n">
        <v>245</v>
      </c>
      <c r="O99" s="37" t="n">
        <v>4.52</v>
      </c>
    </row>
    <row r="100" customFormat="false" ht="15" hidden="false" customHeight="false" outlineLevel="0" collapsed="false">
      <c r="A100" s="32" t="s">
        <v>400</v>
      </c>
      <c r="B100" s="33" t="s">
        <v>401</v>
      </c>
      <c r="C100" s="33" t="s">
        <v>28</v>
      </c>
      <c r="D100" s="34" t="n">
        <v>43357</v>
      </c>
      <c r="E100" s="33" t="s">
        <v>64</v>
      </c>
      <c r="F100" s="33" t="n">
        <v>21337220</v>
      </c>
      <c r="G100" s="33" t="n">
        <v>720192</v>
      </c>
      <c r="H100" s="33" t="s">
        <v>34</v>
      </c>
      <c r="I100" s="33" t="s">
        <v>174</v>
      </c>
      <c r="J100" s="33" t="s">
        <v>78</v>
      </c>
      <c r="K100" s="35" t="n">
        <v>227522771</v>
      </c>
      <c r="L100" s="33" t="s">
        <v>360</v>
      </c>
      <c r="M100" s="33" t="n">
        <v>105130128</v>
      </c>
      <c r="N100" s="36" t="n">
        <v>67</v>
      </c>
      <c r="O100" s="37" t="n">
        <v>0.89</v>
      </c>
    </row>
    <row r="101" customFormat="false" ht="15" hidden="false" customHeight="false" outlineLevel="0" collapsed="false">
      <c r="A101" s="32" t="s">
        <v>402</v>
      </c>
      <c r="B101" s="33" t="s">
        <v>403</v>
      </c>
      <c r="C101" s="33" t="s">
        <v>28</v>
      </c>
      <c r="D101" s="34" t="n">
        <v>43357</v>
      </c>
      <c r="E101" s="33" t="s">
        <v>64</v>
      </c>
      <c r="F101" s="33" t="n">
        <v>21337220</v>
      </c>
      <c r="G101" s="33" t="n">
        <v>720192</v>
      </c>
      <c r="H101" s="33" t="s">
        <v>34</v>
      </c>
      <c r="I101" s="33" t="s">
        <v>174</v>
      </c>
      <c r="J101" s="33" t="s">
        <v>82</v>
      </c>
      <c r="K101" s="35" t="n">
        <v>225322327</v>
      </c>
      <c r="L101" s="33" t="s">
        <v>372</v>
      </c>
      <c r="M101" s="33" t="n">
        <v>103902287</v>
      </c>
      <c r="N101" s="36" t="n">
        <v>377</v>
      </c>
      <c r="O101" s="37" t="n">
        <v>9.12</v>
      </c>
    </row>
    <row r="102" customFormat="false" ht="15" hidden="false" customHeight="false" outlineLevel="0" collapsed="false">
      <c r="A102" s="32" t="s">
        <v>404</v>
      </c>
      <c r="B102" s="33" t="s">
        <v>405</v>
      </c>
      <c r="C102" s="33" t="s">
        <v>28</v>
      </c>
      <c r="D102" s="34" t="n">
        <v>43357</v>
      </c>
      <c r="E102" s="33" t="s">
        <v>64</v>
      </c>
      <c r="F102" s="33" t="n">
        <v>21337220</v>
      </c>
      <c r="G102" s="33" t="n">
        <v>720192</v>
      </c>
      <c r="H102" s="33" t="s">
        <v>34</v>
      </c>
      <c r="I102" s="33" t="s">
        <v>174</v>
      </c>
      <c r="J102" s="33" t="s">
        <v>73</v>
      </c>
      <c r="K102" s="35" t="n">
        <v>223691792</v>
      </c>
      <c r="L102" s="33" t="s">
        <v>345</v>
      </c>
      <c r="M102" s="33" t="n">
        <v>102901894</v>
      </c>
      <c r="N102" s="36" t="n">
        <v>340</v>
      </c>
      <c r="O102" s="37" t="n">
        <v>8.17</v>
      </c>
    </row>
    <row r="103" customFormat="false" ht="15" hidden="false" customHeight="false" outlineLevel="0" collapsed="false">
      <c r="A103" s="32" t="s">
        <v>406</v>
      </c>
      <c r="B103" s="33" t="s">
        <v>407</v>
      </c>
      <c r="C103" s="33" t="s">
        <v>28</v>
      </c>
      <c r="D103" s="34" t="n">
        <v>43357</v>
      </c>
      <c r="E103" s="33" t="s">
        <v>64</v>
      </c>
      <c r="F103" s="33" t="n">
        <v>21337220</v>
      </c>
      <c r="G103" s="33" t="n">
        <v>720192</v>
      </c>
      <c r="H103" s="33" t="s">
        <v>34</v>
      </c>
      <c r="I103" s="33" t="s">
        <v>174</v>
      </c>
      <c r="J103" s="33" t="s">
        <v>90</v>
      </c>
      <c r="K103" s="35" t="n">
        <v>223691819</v>
      </c>
      <c r="L103" s="33" t="s">
        <v>396</v>
      </c>
      <c r="M103" s="33" t="n">
        <v>102900682</v>
      </c>
      <c r="N103" s="36" t="n">
        <v>1251</v>
      </c>
      <c r="O103" s="37" t="n">
        <v>38.45</v>
      </c>
    </row>
    <row r="104" customFormat="false" ht="15" hidden="false" customHeight="false" outlineLevel="0" collapsed="false">
      <c r="A104" s="32" t="s">
        <v>408</v>
      </c>
      <c r="B104" s="33" t="s">
        <v>409</v>
      </c>
      <c r="C104" s="33" t="s">
        <v>28</v>
      </c>
      <c r="D104" s="34" t="n">
        <v>43357</v>
      </c>
      <c r="E104" s="33" t="s">
        <v>64</v>
      </c>
      <c r="F104" s="33" t="n">
        <v>21337220</v>
      </c>
      <c r="G104" s="33" t="n">
        <v>720192</v>
      </c>
      <c r="H104" s="33" t="s">
        <v>34</v>
      </c>
      <c r="I104" s="33" t="s">
        <v>174</v>
      </c>
      <c r="J104" s="33" t="s">
        <v>74</v>
      </c>
      <c r="K104" s="35" t="n">
        <v>223691789</v>
      </c>
      <c r="L104" s="33" t="s">
        <v>348</v>
      </c>
      <c r="M104" s="33" t="n">
        <v>102900691</v>
      </c>
      <c r="N104" s="36" t="n">
        <v>1592</v>
      </c>
      <c r="O104" s="37" t="n">
        <v>59.42</v>
      </c>
    </row>
    <row r="105" customFormat="false" ht="15" hidden="false" customHeight="false" outlineLevel="0" collapsed="false">
      <c r="A105" s="32" t="s">
        <v>410</v>
      </c>
      <c r="B105" s="33" t="s">
        <v>411</v>
      </c>
      <c r="C105" s="33" t="s">
        <v>28</v>
      </c>
      <c r="D105" s="34" t="n">
        <v>43357</v>
      </c>
      <c r="E105" s="33" t="s">
        <v>64</v>
      </c>
      <c r="F105" s="33" t="n">
        <v>21337220</v>
      </c>
      <c r="G105" s="33" t="n">
        <v>720192</v>
      </c>
      <c r="H105" s="33" t="s">
        <v>34</v>
      </c>
      <c r="I105" s="33" t="s">
        <v>174</v>
      </c>
      <c r="J105" s="33" t="s">
        <v>86</v>
      </c>
      <c r="K105" s="35" t="n">
        <v>227522762</v>
      </c>
      <c r="L105" s="33" t="s">
        <v>384</v>
      </c>
      <c r="M105" s="33" t="n">
        <v>105216992</v>
      </c>
      <c r="N105" s="36" t="n">
        <v>4875</v>
      </c>
      <c r="O105" s="37" t="n">
        <v>71.33</v>
      </c>
    </row>
    <row r="106" customFormat="false" ht="15" hidden="false" customHeight="false" outlineLevel="0" collapsed="false">
      <c r="A106" s="32" t="s">
        <v>412</v>
      </c>
      <c r="B106" s="33" t="s">
        <v>413</v>
      </c>
      <c r="C106" s="33" t="s">
        <v>28</v>
      </c>
      <c r="D106" s="34" t="n">
        <v>43357</v>
      </c>
      <c r="E106" s="33" t="s">
        <v>64</v>
      </c>
      <c r="F106" s="33" t="n">
        <v>21337220</v>
      </c>
      <c r="G106" s="33" t="n">
        <v>720192</v>
      </c>
      <c r="H106" s="33" t="s">
        <v>34</v>
      </c>
      <c r="I106" s="33" t="s">
        <v>174</v>
      </c>
      <c r="J106" s="33" t="s">
        <v>72</v>
      </c>
      <c r="K106" s="35" t="n">
        <v>223691777</v>
      </c>
      <c r="L106" s="33" t="s">
        <v>342</v>
      </c>
      <c r="M106" s="33" t="n">
        <v>102900697</v>
      </c>
      <c r="N106" s="36" t="n">
        <v>386</v>
      </c>
      <c r="O106" s="37" t="n">
        <v>14.15</v>
      </c>
    </row>
    <row r="107" customFormat="false" ht="15" hidden="false" customHeight="false" outlineLevel="0" collapsed="false">
      <c r="A107" s="32" t="s">
        <v>414</v>
      </c>
      <c r="B107" s="33" t="s">
        <v>415</v>
      </c>
      <c r="C107" s="33" t="s">
        <v>28</v>
      </c>
      <c r="D107" s="34" t="n">
        <v>43357</v>
      </c>
      <c r="E107" s="33" t="s">
        <v>64</v>
      </c>
      <c r="F107" s="33" t="n">
        <v>21337220</v>
      </c>
      <c r="G107" s="33" t="n">
        <v>720192</v>
      </c>
      <c r="H107" s="33" t="s">
        <v>34</v>
      </c>
      <c r="I107" s="33" t="s">
        <v>174</v>
      </c>
      <c r="J107" s="33" t="s">
        <v>75</v>
      </c>
      <c r="K107" s="35" t="n">
        <v>223691780</v>
      </c>
      <c r="L107" s="33" t="s">
        <v>351</v>
      </c>
      <c r="M107" s="33" t="n">
        <v>103058726</v>
      </c>
      <c r="N107" s="36" t="n">
        <v>232</v>
      </c>
      <c r="O107" s="37" t="n">
        <v>10.65</v>
      </c>
    </row>
    <row r="108" customFormat="false" ht="15" hidden="false" customHeight="false" outlineLevel="0" collapsed="false">
      <c r="A108" s="32" t="s">
        <v>416</v>
      </c>
      <c r="B108" s="33" t="s">
        <v>417</v>
      </c>
      <c r="C108" s="33" t="s">
        <v>28</v>
      </c>
      <c r="D108" s="34" t="n">
        <v>43357</v>
      </c>
      <c r="E108" s="33" t="s">
        <v>64</v>
      </c>
      <c r="F108" s="33" t="n">
        <v>21337220</v>
      </c>
      <c r="G108" s="33" t="n">
        <v>720192</v>
      </c>
      <c r="H108" s="33" t="s">
        <v>34</v>
      </c>
      <c r="I108" s="33" t="s">
        <v>174</v>
      </c>
      <c r="J108" s="33" t="s">
        <v>88</v>
      </c>
      <c r="K108" s="35" t="n">
        <v>223691834</v>
      </c>
      <c r="L108" s="33" t="s">
        <v>390</v>
      </c>
      <c r="M108" s="33" t="n">
        <v>102902953</v>
      </c>
      <c r="N108" s="36" t="n">
        <v>430</v>
      </c>
      <c r="O108" s="37" t="n">
        <v>16.96</v>
      </c>
    </row>
    <row r="109" customFormat="false" ht="15" hidden="false" customHeight="false" outlineLevel="0" collapsed="false">
      <c r="A109" s="32" t="s">
        <v>418</v>
      </c>
      <c r="B109" s="33" t="s">
        <v>419</v>
      </c>
      <c r="C109" s="33" t="s">
        <v>28</v>
      </c>
      <c r="D109" s="34" t="n">
        <v>43357</v>
      </c>
      <c r="E109" s="33" t="s">
        <v>64</v>
      </c>
      <c r="F109" s="33" t="n">
        <v>21337220</v>
      </c>
      <c r="G109" s="33" t="n">
        <v>720192</v>
      </c>
      <c r="H109" s="33" t="s">
        <v>34</v>
      </c>
      <c r="I109" s="33" t="s">
        <v>174</v>
      </c>
      <c r="J109" s="33" t="s">
        <v>83</v>
      </c>
      <c r="K109" s="35" t="n">
        <v>223691837</v>
      </c>
      <c r="L109" s="33" t="s">
        <v>375</v>
      </c>
      <c r="M109" s="33" t="n">
        <v>103053314</v>
      </c>
      <c r="N109" s="36" t="n">
        <v>9645</v>
      </c>
      <c r="O109" s="37" t="n">
        <v>196.09</v>
      </c>
    </row>
    <row r="110" customFormat="false" ht="15" hidden="false" customHeight="false" outlineLevel="0" collapsed="false">
      <c r="A110" s="32" t="s">
        <v>420</v>
      </c>
      <c r="B110" s="33" t="s">
        <v>421</v>
      </c>
      <c r="C110" s="33" t="s">
        <v>28</v>
      </c>
      <c r="D110" s="34" t="n">
        <v>43357</v>
      </c>
      <c r="E110" s="33" t="s">
        <v>64</v>
      </c>
      <c r="F110" s="33" t="n">
        <v>21337220</v>
      </c>
      <c r="G110" s="33" t="n">
        <v>720192</v>
      </c>
      <c r="H110" s="33" t="s">
        <v>34</v>
      </c>
      <c r="I110" s="33" t="s">
        <v>174</v>
      </c>
      <c r="J110" s="33" t="s">
        <v>76</v>
      </c>
      <c r="K110" s="35" t="n">
        <v>223691783</v>
      </c>
      <c r="L110" s="33" t="s">
        <v>354</v>
      </c>
      <c r="M110" s="33" t="n">
        <v>103058723</v>
      </c>
      <c r="N110" s="36" t="n">
        <v>147</v>
      </c>
      <c r="O110" s="37" t="n">
        <v>6.89</v>
      </c>
    </row>
    <row r="111" customFormat="false" ht="15" hidden="false" customHeight="false" outlineLevel="0" collapsed="false">
      <c r="A111" s="32" t="s">
        <v>422</v>
      </c>
      <c r="B111" s="33" t="s">
        <v>423</v>
      </c>
      <c r="C111" s="33" t="s">
        <v>28</v>
      </c>
      <c r="D111" s="34" t="n">
        <v>43357</v>
      </c>
      <c r="E111" s="33" t="s">
        <v>64</v>
      </c>
      <c r="F111" s="33" t="n">
        <v>21337220</v>
      </c>
      <c r="G111" s="33" t="n">
        <v>720192</v>
      </c>
      <c r="H111" s="33" t="s">
        <v>34</v>
      </c>
      <c r="I111" s="33" t="s">
        <v>174</v>
      </c>
      <c r="J111" s="33" t="s">
        <v>67</v>
      </c>
      <c r="K111" s="35" t="n">
        <v>227618695</v>
      </c>
      <c r="L111" s="33" t="s">
        <v>330</v>
      </c>
      <c r="M111" s="33" t="n">
        <v>105127638</v>
      </c>
      <c r="N111" s="36" t="n">
        <v>278</v>
      </c>
      <c r="O111" s="37" t="n">
        <v>6</v>
      </c>
    </row>
    <row r="112" customFormat="false" ht="15" hidden="false" customHeight="false" outlineLevel="0" collapsed="false">
      <c r="A112" s="32" t="s">
        <v>424</v>
      </c>
      <c r="B112" s="33" t="s">
        <v>425</v>
      </c>
      <c r="C112" s="33" t="s">
        <v>28</v>
      </c>
      <c r="D112" s="34" t="n">
        <v>43357</v>
      </c>
      <c r="E112" s="33" t="s">
        <v>64</v>
      </c>
      <c r="F112" s="33" t="n">
        <v>21337220</v>
      </c>
      <c r="G112" s="33" t="n">
        <v>720192</v>
      </c>
      <c r="H112" s="33" t="s">
        <v>34</v>
      </c>
      <c r="I112" s="33" t="s">
        <v>174</v>
      </c>
      <c r="J112" s="33" t="s">
        <v>71</v>
      </c>
      <c r="K112" s="35" t="n">
        <v>225322324</v>
      </c>
      <c r="L112" s="33" t="s">
        <v>339</v>
      </c>
      <c r="M112" s="33" t="n">
        <v>103789915</v>
      </c>
      <c r="N112" s="36" t="n">
        <v>51</v>
      </c>
      <c r="O112" s="37" t="n">
        <v>1.22</v>
      </c>
    </row>
    <row r="113" customFormat="false" ht="15" hidden="false" customHeight="false" outlineLevel="0" collapsed="false">
      <c r="A113" s="32" t="s">
        <v>426</v>
      </c>
      <c r="B113" s="33" t="s">
        <v>427</v>
      </c>
      <c r="C113" s="33" t="s">
        <v>28</v>
      </c>
      <c r="D113" s="34" t="n">
        <v>43357</v>
      </c>
      <c r="E113" s="33" t="s">
        <v>64</v>
      </c>
      <c r="F113" s="33" t="n">
        <v>21337220</v>
      </c>
      <c r="G113" s="33" t="n">
        <v>720192</v>
      </c>
      <c r="H113" s="33" t="s">
        <v>34</v>
      </c>
      <c r="I113" s="33" t="s">
        <v>174</v>
      </c>
      <c r="J113" s="33" t="s">
        <v>77</v>
      </c>
      <c r="K113" s="35" t="n">
        <v>223691840</v>
      </c>
      <c r="L113" s="33" t="s">
        <v>357</v>
      </c>
      <c r="M113" s="33" t="n">
        <v>102902950</v>
      </c>
      <c r="N113" s="36" t="n">
        <v>2385</v>
      </c>
      <c r="O113" s="37" t="n">
        <v>45.8</v>
      </c>
    </row>
    <row r="114" customFormat="false" ht="15" hidden="false" customHeight="false" outlineLevel="0" collapsed="false">
      <c r="A114" s="32" t="s">
        <v>428</v>
      </c>
      <c r="B114" s="33" t="s">
        <v>429</v>
      </c>
      <c r="C114" s="33" t="s">
        <v>28</v>
      </c>
      <c r="D114" s="34" t="n">
        <v>43357</v>
      </c>
      <c r="E114" s="33" t="s">
        <v>64</v>
      </c>
      <c r="F114" s="33" t="n">
        <v>21337220</v>
      </c>
      <c r="G114" s="33" t="n">
        <v>720192</v>
      </c>
      <c r="H114" s="33" t="s">
        <v>34</v>
      </c>
      <c r="I114" s="33" t="s">
        <v>174</v>
      </c>
      <c r="J114" s="33" t="s">
        <v>69</v>
      </c>
      <c r="K114" s="35" t="n">
        <v>223691798</v>
      </c>
      <c r="L114" s="33" t="s">
        <v>333</v>
      </c>
      <c r="M114" s="33" t="n">
        <v>102916347</v>
      </c>
      <c r="N114" s="36" t="n">
        <v>1678</v>
      </c>
      <c r="O114" s="37" t="n">
        <v>37.12</v>
      </c>
    </row>
    <row r="115" customFormat="false" ht="15" hidden="false" customHeight="false" outlineLevel="0" collapsed="false">
      <c r="A115" s="32" t="s">
        <v>430</v>
      </c>
      <c r="B115" s="33" t="s">
        <v>431</v>
      </c>
      <c r="C115" s="33" t="s">
        <v>28</v>
      </c>
      <c r="D115" s="34" t="n">
        <v>43357</v>
      </c>
      <c r="E115" s="33" t="s">
        <v>64</v>
      </c>
      <c r="F115" s="33" t="n">
        <v>21337220</v>
      </c>
      <c r="G115" s="33" t="n">
        <v>720192</v>
      </c>
      <c r="H115" s="33" t="s">
        <v>34</v>
      </c>
      <c r="I115" s="33" t="s">
        <v>174</v>
      </c>
      <c r="J115" s="33" t="s">
        <v>79</v>
      </c>
      <c r="K115" s="35" t="n">
        <v>223691801</v>
      </c>
      <c r="L115" s="33" t="s">
        <v>363</v>
      </c>
      <c r="M115" s="33" t="n">
        <v>103053323</v>
      </c>
      <c r="N115" s="36" t="n">
        <v>404</v>
      </c>
      <c r="O115" s="37" t="n">
        <v>13.76</v>
      </c>
    </row>
    <row r="116" customFormat="false" ht="15" hidden="false" customHeight="false" outlineLevel="0" collapsed="false">
      <c r="A116" s="32" t="s">
        <v>432</v>
      </c>
      <c r="B116" s="33" t="s">
        <v>433</v>
      </c>
      <c r="C116" s="33" t="s">
        <v>28</v>
      </c>
      <c r="D116" s="34" t="n">
        <v>43357</v>
      </c>
      <c r="E116" s="33" t="s">
        <v>64</v>
      </c>
      <c r="F116" s="33" t="n">
        <v>21337220</v>
      </c>
      <c r="G116" s="33" t="n">
        <v>720192</v>
      </c>
      <c r="H116" s="33" t="s">
        <v>34</v>
      </c>
      <c r="I116" s="33" t="s">
        <v>174</v>
      </c>
      <c r="J116" s="33" t="s">
        <v>91</v>
      </c>
      <c r="K116" s="35" t="n">
        <v>223691828</v>
      </c>
      <c r="L116" s="33" t="s">
        <v>399</v>
      </c>
      <c r="M116" s="33" t="n">
        <v>102902956</v>
      </c>
      <c r="N116" s="36" t="n">
        <v>286</v>
      </c>
      <c r="O116" s="37" t="n">
        <v>5.46</v>
      </c>
    </row>
    <row r="117" customFormat="false" ht="15" hidden="false" customHeight="false" outlineLevel="0" collapsed="false">
      <c r="A117" s="32" t="s">
        <v>434</v>
      </c>
      <c r="B117" s="33" t="s">
        <v>435</v>
      </c>
      <c r="C117" s="33" t="s">
        <v>28</v>
      </c>
      <c r="D117" s="34" t="n">
        <v>43357</v>
      </c>
      <c r="E117" s="33" t="s">
        <v>64</v>
      </c>
      <c r="F117" s="33" t="n">
        <v>21337220</v>
      </c>
      <c r="G117" s="33" t="n">
        <v>720192</v>
      </c>
      <c r="H117" s="33" t="s">
        <v>34</v>
      </c>
      <c r="I117" s="33" t="s">
        <v>174</v>
      </c>
      <c r="J117" s="33" t="s">
        <v>80</v>
      </c>
      <c r="K117" s="35" t="n">
        <v>223691825</v>
      </c>
      <c r="L117" s="33" t="s">
        <v>366</v>
      </c>
      <c r="M117" s="33" t="n">
        <v>102916338</v>
      </c>
      <c r="N117" s="36" t="n">
        <v>3424</v>
      </c>
      <c r="O117" s="37" t="n">
        <v>154.02</v>
      </c>
    </row>
    <row r="118" customFormat="false" ht="15" hidden="false" customHeight="false" outlineLevel="0" collapsed="false">
      <c r="A118" s="32" t="s">
        <v>436</v>
      </c>
      <c r="B118" s="33" t="s">
        <v>437</v>
      </c>
      <c r="C118" s="33" t="s">
        <v>28</v>
      </c>
      <c r="D118" s="34" t="n">
        <v>43357</v>
      </c>
      <c r="E118" s="33" t="s">
        <v>64</v>
      </c>
      <c r="F118" s="33" t="n">
        <v>21337220</v>
      </c>
      <c r="G118" s="33" t="n">
        <v>720192</v>
      </c>
      <c r="H118" s="33" t="s">
        <v>34</v>
      </c>
      <c r="I118" s="33" t="s">
        <v>174</v>
      </c>
      <c r="J118" s="33" t="s">
        <v>81</v>
      </c>
      <c r="K118" s="35" t="n">
        <v>223691786</v>
      </c>
      <c r="L118" s="33" t="s">
        <v>369</v>
      </c>
      <c r="M118" s="33" t="n">
        <v>103058720</v>
      </c>
      <c r="N118" s="36" t="n">
        <v>165</v>
      </c>
      <c r="O118" s="37" t="n">
        <v>4.13</v>
      </c>
    </row>
    <row r="119" customFormat="false" ht="15" hidden="false" customHeight="false" outlineLevel="0" collapsed="false">
      <c r="A119" s="32" t="s">
        <v>438</v>
      </c>
      <c r="B119" s="33" t="s">
        <v>439</v>
      </c>
      <c r="C119" s="33" t="s">
        <v>28</v>
      </c>
      <c r="D119" s="34" t="n">
        <v>43357</v>
      </c>
      <c r="E119" s="33" t="s">
        <v>64</v>
      </c>
      <c r="F119" s="33" t="n">
        <v>21337220</v>
      </c>
      <c r="G119" s="33" t="n">
        <v>720192</v>
      </c>
      <c r="H119" s="33" t="s">
        <v>34</v>
      </c>
      <c r="I119" s="33" t="s">
        <v>174</v>
      </c>
      <c r="J119" s="33" t="s">
        <v>87</v>
      </c>
      <c r="K119" s="35" t="n">
        <v>223691795</v>
      </c>
      <c r="L119" s="33" t="s">
        <v>387</v>
      </c>
      <c r="M119" s="33" t="n">
        <v>102900688</v>
      </c>
      <c r="N119" s="36" t="n">
        <v>2082</v>
      </c>
      <c r="O119" s="37" t="n">
        <v>47.64</v>
      </c>
    </row>
    <row r="120" customFormat="false" ht="15" hidden="false" customHeight="false" outlineLevel="0" collapsed="false">
      <c r="A120" s="32" t="s">
        <v>440</v>
      </c>
      <c r="B120" s="33" t="s">
        <v>441</v>
      </c>
      <c r="C120" s="33" t="s">
        <v>28</v>
      </c>
      <c r="D120" s="34" t="n">
        <v>43357</v>
      </c>
      <c r="E120" s="33" t="s">
        <v>64</v>
      </c>
      <c r="F120" s="33" t="n">
        <v>21337220</v>
      </c>
      <c r="G120" s="33" t="n">
        <v>720192</v>
      </c>
      <c r="H120" s="33" t="s">
        <v>34</v>
      </c>
      <c r="I120" s="33" t="s">
        <v>174</v>
      </c>
      <c r="J120" s="33" t="s">
        <v>85</v>
      </c>
      <c r="K120" s="35" t="n">
        <v>227525720</v>
      </c>
      <c r="L120" s="33" t="s">
        <v>381</v>
      </c>
      <c r="M120" s="33" t="n">
        <v>105130125</v>
      </c>
      <c r="N120" s="36" t="n">
        <v>2413</v>
      </c>
      <c r="O120" s="37" t="n">
        <v>31.88</v>
      </c>
    </row>
    <row r="121" customFormat="false" ht="15" hidden="false" customHeight="false" outlineLevel="0" collapsed="false">
      <c r="A121" s="32" t="s">
        <v>442</v>
      </c>
      <c r="B121" s="33" t="s">
        <v>443</v>
      </c>
      <c r="C121" s="33" t="s">
        <v>28</v>
      </c>
      <c r="D121" s="34" t="n">
        <v>43357</v>
      </c>
      <c r="E121" s="33" t="s">
        <v>64</v>
      </c>
      <c r="F121" s="33" t="n">
        <v>21337220</v>
      </c>
      <c r="G121" s="33" t="n">
        <v>720192</v>
      </c>
      <c r="H121" s="33" t="s">
        <v>34</v>
      </c>
      <c r="I121" s="33" t="s">
        <v>174</v>
      </c>
      <c r="J121" s="33" t="s">
        <v>70</v>
      </c>
      <c r="K121" s="35" t="n">
        <v>223691831</v>
      </c>
      <c r="L121" s="33" t="s">
        <v>336</v>
      </c>
      <c r="M121" s="33" t="n">
        <v>102913800</v>
      </c>
      <c r="N121" s="36" t="n">
        <v>5867</v>
      </c>
      <c r="O121" s="37" t="n">
        <v>160.47</v>
      </c>
    </row>
    <row r="122" customFormat="false" ht="15" hidden="false" customHeight="false" outlineLevel="0" collapsed="false">
      <c r="A122" s="32" t="s">
        <v>444</v>
      </c>
      <c r="B122" s="33" t="s">
        <v>445</v>
      </c>
      <c r="C122" s="33" t="s">
        <v>28</v>
      </c>
      <c r="D122" s="34" t="n">
        <v>43357</v>
      </c>
      <c r="E122" s="33" t="s">
        <v>64</v>
      </c>
      <c r="F122" s="33" t="n">
        <v>21337220</v>
      </c>
      <c r="G122" s="33" t="n">
        <v>720192</v>
      </c>
      <c r="H122" s="33" t="s">
        <v>34</v>
      </c>
      <c r="I122" s="33" t="s">
        <v>174</v>
      </c>
      <c r="J122" s="33" t="s">
        <v>84</v>
      </c>
      <c r="K122" s="35" t="n">
        <v>223684451</v>
      </c>
      <c r="L122" s="33" t="s">
        <v>378</v>
      </c>
      <c r="M122" s="33" t="n">
        <v>102901882</v>
      </c>
      <c r="N122" s="36" t="n">
        <v>3479</v>
      </c>
      <c r="O122" s="37" t="n">
        <v>63.93</v>
      </c>
    </row>
    <row r="123" customFormat="false" ht="15" hidden="false" customHeight="false" outlineLevel="0" collapsed="false">
      <c r="A123" s="32" t="s">
        <v>446</v>
      </c>
      <c r="B123" s="33" t="s">
        <v>447</v>
      </c>
      <c r="C123" s="33" t="s">
        <v>28</v>
      </c>
      <c r="D123" s="34" t="n">
        <v>43357</v>
      </c>
      <c r="E123" s="33" t="s">
        <v>64</v>
      </c>
      <c r="F123" s="33" t="n">
        <v>21337220</v>
      </c>
      <c r="G123" s="33" t="n">
        <v>720192</v>
      </c>
      <c r="H123" s="33" t="s">
        <v>34</v>
      </c>
      <c r="I123" s="33" t="s">
        <v>174</v>
      </c>
      <c r="J123" s="33" t="s">
        <v>89</v>
      </c>
      <c r="K123" s="35" t="n">
        <v>223691822</v>
      </c>
      <c r="L123" s="33" t="s">
        <v>393</v>
      </c>
      <c r="M123" s="33" t="n">
        <v>103058708</v>
      </c>
      <c r="N123" s="36" t="n">
        <v>1137</v>
      </c>
      <c r="O123" s="37" t="n">
        <v>32.29</v>
      </c>
    </row>
    <row r="124" customFormat="false" ht="15" hidden="false" customHeight="false" outlineLevel="0" collapsed="false">
      <c r="A124" s="32" t="s">
        <v>448</v>
      </c>
      <c r="B124" s="33" t="s">
        <v>449</v>
      </c>
      <c r="C124" s="33" t="s">
        <v>28</v>
      </c>
      <c r="D124" s="34" t="n">
        <v>43356</v>
      </c>
      <c r="E124" s="33" t="s">
        <v>64</v>
      </c>
      <c r="F124" s="33" t="n">
        <v>21337220</v>
      </c>
      <c r="G124" s="33" t="n">
        <v>720192</v>
      </c>
      <c r="H124" s="33" t="s">
        <v>34</v>
      </c>
      <c r="I124" s="33" t="s">
        <v>174</v>
      </c>
      <c r="J124" s="33" t="s">
        <v>88</v>
      </c>
      <c r="K124" s="35" t="n">
        <v>223691834</v>
      </c>
      <c r="L124" s="33" t="s">
        <v>390</v>
      </c>
      <c r="M124" s="33" t="n">
        <v>102902953</v>
      </c>
      <c r="N124" s="36" t="n">
        <v>386</v>
      </c>
      <c r="O124" s="37" t="n">
        <v>13.97</v>
      </c>
    </row>
    <row r="125" customFormat="false" ht="15" hidden="false" customHeight="false" outlineLevel="0" collapsed="false">
      <c r="A125" s="32" t="s">
        <v>450</v>
      </c>
      <c r="B125" s="33" t="s">
        <v>451</v>
      </c>
      <c r="C125" s="33" t="s">
        <v>28</v>
      </c>
      <c r="D125" s="34" t="n">
        <v>43356</v>
      </c>
      <c r="E125" s="33" t="s">
        <v>64</v>
      </c>
      <c r="F125" s="33" t="n">
        <v>21337220</v>
      </c>
      <c r="G125" s="33" t="n">
        <v>720192</v>
      </c>
      <c r="H125" s="33" t="s">
        <v>34</v>
      </c>
      <c r="I125" s="33" t="s">
        <v>174</v>
      </c>
      <c r="J125" s="33" t="s">
        <v>77</v>
      </c>
      <c r="K125" s="35" t="n">
        <v>223691840</v>
      </c>
      <c r="L125" s="33" t="s">
        <v>357</v>
      </c>
      <c r="M125" s="33" t="n">
        <v>102902950</v>
      </c>
      <c r="N125" s="36" t="n">
        <v>946</v>
      </c>
      <c r="O125" s="37" t="n">
        <v>18.26</v>
      </c>
    </row>
    <row r="126" customFormat="false" ht="15" hidden="false" customHeight="false" outlineLevel="0" collapsed="false">
      <c r="A126" s="32" t="s">
        <v>452</v>
      </c>
      <c r="B126" s="33" t="s">
        <v>453</v>
      </c>
      <c r="C126" s="33" t="s">
        <v>28</v>
      </c>
      <c r="D126" s="34" t="n">
        <v>43356</v>
      </c>
      <c r="E126" s="33" t="s">
        <v>64</v>
      </c>
      <c r="F126" s="33" t="n">
        <v>21337220</v>
      </c>
      <c r="G126" s="33" t="n">
        <v>720192</v>
      </c>
      <c r="H126" s="33" t="s">
        <v>34</v>
      </c>
      <c r="I126" s="33" t="s">
        <v>174</v>
      </c>
      <c r="J126" s="33" t="s">
        <v>81</v>
      </c>
      <c r="K126" s="35" t="n">
        <v>223691786</v>
      </c>
      <c r="L126" s="33" t="s">
        <v>369</v>
      </c>
      <c r="M126" s="33" t="n">
        <v>103058720</v>
      </c>
      <c r="N126" s="36" t="n">
        <v>586</v>
      </c>
      <c r="O126" s="37" t="n">
        <v>14.17</v>
      </c>
    </row>
    <row r="127" customFormat="false" ht="15" hidden="false" customHeight="false" outlineLevel="0" collapsed="false">
      <c r="A127" s="32" t="s">
        <v>454</v>
      </c>
      <c r="B127" s="33" t="s">
        <v>455</v>
      </c>
      <c r="C127" s="33" t="s">
        <v>28</v>
      </c>
      <c r="D127" s="34" t="n">
        <v>43356</v>
      </c>
      <c r="E127" s="33" t="s">
        <v>64</v>
      </c>
      <c r="F127" s="33" t="n">
        <v>21337220</v>
      </c>
      <c r="G127" s="33" t="n">
        <v>720192</v>
      </c>
      <c r="H127" s="33" t="s">
        <v>34</v>
      </c>
      <c r="I127" s="33" t="s">
        <v>174</v>
      </c>
      <c r="J127" s="33" t="s">
        <v>91</v>
      </c>
      <c r="K127" s="35" t="n">
        <v>223691828</v>
      </c>
      <c r="L127" s="33" t="s">
        <v>399</v>
      </c>
      <c r="M127" s="33" t="n">
        <v>102902956</v>
      </c>
      <c r="N127" s="36" t="n">
        <v>106</v>
      </c>
      <c r="O127" s="37" t="n">
        <v>2.19</v>
      </c>
    </row>
    <row r="128" customFormat="false" ht="15" hidden="false" customHeight="false" outlineLevel="0" collapsed="false">
      <c r="A128" s="32" t="s">
        <v>456</v>
      </c>
      <c r="B128" s="33" t="s">
        <v>457</v>
      </c>
      <c r="C128" s="33" t="s">
        <v>28</v>
      </c>
      <c r="D128" s="34" t="n">
        <v>43356</v>
      </c>
      <c r="E128" s="33" t="s">
        <v>64</v>
      </c>
      <c r="F128" s="33" t="n">
        <v>21337220</v>
      </c>
      <c r="G128" s="33" t="n">
        <v>720192</v>
      </c>
      <c r="H128" s="33" t="s">
        <v>34</v>
      </c>
      <c r="I128" s="33" t="s">
        <v>174</v>
      </c>
      <c r="J128" s="33" t="s">
        <v>79</v>
      </c>
      <c r="K128" s="35" t="n">
        <v>223691801</v>
      </c>
      <c r="L128" s="33" t="s">
        <v>363</v>
      </c>
      <c r="M128" s="33" t="n">
        <v>103053323</v>
      </c>
      <c r="N128" s="36" t="n">
        <v>144</v>
      </c>
      <c r="O128" s="37" t="n">
        <v>2.99</v>
      </c>
    </row>
    <row r="129" customFormat="false" ht="15" hidden="false" customHeight="false" outlineLevel="0" collapsed="false">
      <c r="A129" s="32" t="s">
        <v>458</v>
      </c>
      <c r="B129" s="33" t="s">
        <v>459</v>
      </c>
      <c r="C129" s="33" t="s">
        <v>28</v>
      </c>
      <c r="D129" s="34" t="n">
        <v>43356</v>
      </c>
      <c r="E129" s="33" t="s">
        <v>64</v>
      </c>
      <c r="F129" s="33" t="n">
        <v>21337220</v>
      </c>
      <c r="G129" s="33" t="n">
        <v>720192</v>
      </c>
      <c r="H129" s="33" t="s">
        <v>34</v>
      </c>
      <c r="I129" s="33" t="s">
        <v>174</v>
      </c>
      <c r="J129" s="33" t="s">
        <v>69</v>
      </c>
      <c r="K129" s="35" t="n">
        <v>223691798</v>
      </c>
      <c r="L129" s="33" t="s">
        <v>333</v>
      </c>
      <c r="M129" s="33" t="n">
        <v>102916347</v>
      </c>
      <c r="N129" s="36" t="n">
        <v>1250</v>
      </c>
      <c r="O129" s="37" t="n">
        <v>26.2</v>
      </c>
    </row>
    <row r="130" customFormat="false" ht="15" hidden="false" customHeight="false" outlineLevel="0" collapsed="false">
      <c r="A130" s="32" t="s">
        <v>460</v>
      </c>
      <c r="B130" s="33" t="s">
        <v>461</v>
      </c>
      <c r="C130" s="33" t="s">
        <v>28</v>
      </c>
      <c r="D130" s="34" t="n">
        <v>43356</v>
      </c>
      <c r="E130" s="33" t="s">
        <v>64</v>
      </c>
      <c r="F130" s="33" t="n">
        <v>21337220</v>
      </c>
      <c r="G130" s="33" t="n">
        <v>720192</v>
      </c>
      <c r="H130" s="33" t="s">
        <v>34</v>
      </c>
      <c r="I130" s="33" t="s">
        <v>174</v>
      </c>
      <c r="J130" s="33" t="s">
        <v>67</v>
      </c>
      <c r="K130" s="35" t="n">
        <v>227618695</v>
      </c>
      <c r="L130" s="33" t="s">
        <v>330</v>
      </c>
      <c r="M130" s="33" t="n">
        <v>105127638</v>
      </c>
      <c r="N130" s="36" t="n">
        <v>124</v>
      </c>
      <c r="O130" s="37" t="n">
        <v>1.52</v>
      </c>
    </row>
    <row r="131" customFormat="false" ht="15" hidden="false" customHeight="false" outlineLevel="0" collapsed="false">
      <c r="A131" s="32" t="s">
        <v>462</v>
      </c>
      <c r="B131" s="33" t="s">
        <v>463</v>
      </c>
      <c r="C131" s="33" t="s">
        <v>28</v>
      </c>
      <c r="D131" s="34" t="n">
        <v>43356</v>
      </c>
      <c r="E131" s="33" t="s">
        <v>64</v>
      </c>
      <c r="F131" s="33" t="n">
        <v>21337220</v>
      </c>
      <c r="G131" s="33" t="n">
        <v>720192</v>
      </c>
      <c r="H131" s="33" t="s">
        <v>34</v>
      </c>
      <c r="I131" s="33" t="s">
        <v>174</v>
      </c>
      <c r="J131" s="33" t="s">
        <v>78</v>
      </c>
      <c r="K131" s="35" t="n">
        <v>227522771</v>
      </c>
      <c r="L131" s="33" t="s">
        <v>360</v>
      </c>
      <c r="M131" s="33" t="n">
        <v>105130128</v>
      </c>
      <c r="N131" s="36" t="n">
        <v>79</v>
      </c>
      <c r="O131" s="37" t="n">
        <v>1.19</v>
      </c>
    </row>
    <row r="132" customFormat="false" ht="15" hidden="false" customHeight="false" outlineLevel="0" collapsed="false">
      <c r="A132" s="32" t="s">
        <v>464</v>
      </c>
      <c r="B132" s="33" t="s">
        <v>465</v>
      </c>
      <c r="C132" s="33" t="s">
        <v>28</v>
      </c>
      <c r="D132" s="34" t="n">
        <v>43356</v>
      </c>
      <c r="E132" s="33" t="s">
        <v>64</v>
      </c>
      <c r="F132" s="33" t="n">
        <v>21337220</v>
      </c>
      <c r="G132" s="33" t="n">
        <v>720192</v>
      </c>
      <c r="H132" s="33" t="s">
        <v>34</v>
      </c>
      <c r="I132" s="33" t="s">
        <v>174</v>
      </c>
      <c r="J132" s="33" t="s">
        <v>82</v>
      </c>
      <c r="K132" s="35" t="n">
        <v>225322327</v>
      </c>
      <c r="L132" s="33" t="s">
        <v>372</v>
      </c>
      <c r="M132" s="33" t="n">
        <v>103902287</v>
      </c>
      <c r="N132" s="36" t="n">
        <v>620</v>
      </c>
      <c r="O132" s="37" t="n">
        <v>12.21</v>
      </c>
    </row>
    <row r="133" customFormat="false" ht="15" hidden="false" customHeight="false" outlineLevel="0" collapsed="false">
      <c r="A133" s="32" t="s">
        <v>466</v>
      </c>
      <c r="B133" s="33" t="s">
        <v>467</v>
      </c>
      <c r="C133" s="33" t="s">
        <v>28</v>
      </c>
      <c r="D133" s="34" t="n">
        <v>43356</v>
      </c>
      <c r="E133" s="33" t="s">
        <v>64</v>
      </c>
      <c r="F133" s="33" t="n">
        <v>21337220</v>
      </c>
      <c r="G133" s="33" t="n">
        <v>720192</v>
      </c>
      <c r="H133" s="33" t="s">
        <v>34</v>
      </c>
      <c r="I133" s="33" t="s">
        <v>174</v>
      </c>
      <c r="J133" s="33" t="s">
        <v>86</v>
      </c>
      <c r="K133" s="35" t="n">
        <v>227522762</v>
      </c>
      <c r="L133" s="33" t="s">
        <v>384</v>
      </c>
      <c r="M133" s="33" t="n">
        <v>105216992</v>
      </c>
      <c r="N133" s="36" t="n">
        <v>209</v>
      </c>
      <c r="O133" s="37" t="n">
        <v>3.19</v>
      </c>
    </row>
    <row r="134" customFormat="false" ht="15" hidden="false" customHeight="false" outlineLevel="0" collapsed="false">
      <c r="A134" s="32" t="s">
        <v>468</v>
      </c>
      <c r="B134" s="33" t="s">
        <v>469</v>
      </c>
      <c r="C134" s="33" t="s">
        <v>28</v>
      </c>
      <c r="D134" s="34" t="n">
        <v>43356</v>
      </c>
      <c r="E134" s="33" t="s">
        <v>64</v>
      </c>
      <c r="F134" s="33" t="n">
        <v>21337220</v>
      </c>
      <c r="G134" s="33" t="n">
        <v>720192</v>
      </c>
      <c r="H134" s="33" t="s">
        <v>34</v>
      </c>
      <c r="I134" s="33" t="s">
        <v>174</v>
      </c>
      <c r="J134" s="33" t="s">
        <v>84</v>
      </c>
      <c r="K134" s="35" t="n">
        <v>223684451</v>
      </c>
      <c r="L134" s="33" t="s">
        <v>378</v>
      </c>
      <c r="M134" s="33" t="n">
        <v>102901882</v>
      </c>
      <c r="N134" s="36" t="n">
        <v>4505</v>
      </c>
      <c r="O134" s="37" t="n">
        <v>81.51</v>
      </c>
    </row>
    <row r="135" customFormat="false" ht="15" hidden="false" customHeight="false" outlineLevel="0" collapsed="false">
      <c r="A135" s="32" t="s">
        <v>470</v>
      </c>
      <c r="B135" s="33" t="s">
        <v>471</v>
      </c>
      <c r="C135" s="33" t="s">
        <v>28</v>
      </c>
      <c r="D135" s="34" t="n">
        <v>43356</v>
      </c>
      <c r="E135" s="33" t="s">
        <v>64</v>
      </c>
      <c r="F135" s="33" t="n">
        <v>21337220</v>
      </c>
      <c r="G135" s="33" t="n">
        <v>720192</v>
      </c>
      <c r="H135" s="33" t="s">
        <v>34</v>
      </c>
      <c r="I135" s="33" t="s">
        <v>174</v>
      </c>
      <c r="J135" s="33" t="s">
        <v>70</v>
      </c>
      <c r="K135" s="35" t="n">
        <v>223691831</v>
      </c>
      <c r="L135" s="33" t="s">
        <v>336</v>
      </c>
      <c r="M135" s="33" t="n">
        <v>102913800</v>
      </c>
      <c r="N135" s="36" t="n">
        <v>4596</v>
      </c>
      <c r="O135" s="37" t="n">
        <v>113.42</v>
      </c>
    </row>
    <row r="136" customFormat="false" ht="15" hidden="false" customHeight="false" outlineLevel="0" collapsed="false">
      <c r="A136" s="32" t="s">
        <v>472</v>
      </c>
      <c r="B136" s="33" t="s">
        <v>473</v>
      </c>
      <c r="C136" s="33" t="s">
        <v>28</v>
      </c>
      <c r="D136" s="34" t="n">
        <v>43356</v>
      </c>
      <c r="E136" s="33" t="s">
        <v>64</v>
      </c>
      <c r="F136" s="33" t="n">
        <v>21337220</v>
      </c>
      <c r="G136" s="33" t="n">
        <v>720192</v>
      </c>
      <c r="H136" s="33" t="s">
        <v>34</v>
      </c>
      <c r="I136" s="33" t="s">
        <v>174</v>
      </c>
      <c r="J136" s="33" t="s">
        <v>74</v>
      </c>
      <c r="K136" s="35" t="n">
        <v>223691789</v>
      </c>
      <c r="L136" s="33" t="s">
        <v>348</v>
      </c>
      <c r="M136" s="33" t="n">
        <v>102900691</v>
      </c>
      <c r="N136" s="36" t="n">
        <v>1383</v>
      </c>
      <c r="O136" s="37" t="n">
        <v>49.42</v>
      </c>
    </row>
    <row r="137" customFormat="false" ht="15" hidden="false" customHeight="false" outlineLevel="0" collapsed="false">
      <c r="A137" s="32" t="s">
        <v>474</v>
      </c>
      <c r="B137" s="33" t="s">
        <v>475</v>
      </c>
      <c r="C137" s="33" t="s">
        <v>28</v>
      </c>
      <c r="D137" s="34" t="n">
        <v>43356</v>
      </c>
      <c r="E137" s="33" t="s">
        <v>64</v>
      </c>
      <c r="F137" s="33" t="n">
        <v>21337220</v>
      </c>
      <c r="G137" s="33" t="n">
        <v>720192</v>
      </c>
      <c r="H137" s="33" t="s">
        <v>34</v>
      </c>
      <c r="I137" s="33" t="s">
        <v>174</v>
      </c>
      <c r="J137" s="33" t="s">
        <v>90</v>
      </c>
      <c r="K137" s="35" t="n">
        <v>223691819</v>
      </c>
      <c r="L137" s="33" t="s">
        <v>396</v>
      </c>
      <c r="M137" s="33" t="n">
        <v>102900682</v>
      </c>
      <c r="N137" s="36" t="n">
        <v>3095</v>
      </c>
      <c r="O137" s="37" t="n">
        <v>77.73</v>
      </c>
    </row>
    <row r="138" customFormat="false" ht="15" hidden="false" customHeight="false" outlineLevel="0" collapsed="false">
      <c r="A138" s="32" t="s">
        <v>476</v>
      </c>
      <c r="B138" s="33" t="s">
        <v>477</v>
      </c>
      <c r="C138" s="33" t="s">
        <v>28</v>
      </c>
      <c r="D138" s="34" t="n">
        <v>43356</v>
      </c>
      <c r="E138" s="33" t="s">
        <v>64</v>
      </c>
      <c r="F138" s="33" t="n">
        <v>21337220</v>
      </c>
      <c r="G138" s="33" t="n">
        <v>720192</v>
      </c>
      <c r="H138" s="33" t="s">
        <v>34</v>
      </c>
      <c r="I138" s="33" t="s">
        <v>174</v>
      </c>
      <c r="J138" s="33" t="s">
        <v>75</v>
      </c>
      <c r="K138" s="35" t="n">
        <v>223691780</v>
      </c>
      <c r="L138" s="33" t="s">
        <v>351</v>
      </c>
      <c r="M138" s="33" t="n">
        <v>103058726</v>
      </c>
      <c r="N138" s="36" t="n">
        <v>355</v>
      </c>
      <c r="O138" s="37" t="n">
        <v>13.05</v>
      </c>
    </row>
    <row r="139" customFormat="false" ht="15" hidden="false" customHeight="false" outlineLevel="0" collapsed="false">
      <c r="A139" s="32" t="s">
        <v>478</v>
      </c>
      <c r="B139" s="33" t="s">
        <v>479</v>
      </c>
      <c r="C139" s="33" t="s">
        <v>28</v>
      </c>
      <c r="D139" s="34" t="n">
        <v>43356</v>
      </c>
      <c r="E139" s="33" t="s">
        <v>64</v>
      </c>
      <c r="F139" s="33" t="n">
        <v>21337220</v>
      </c>
      <c r="G139" s="33" t="n">
        <v>720192</v>
      </c>
      <c r="H139" s="33" t="s">
        <v>34</v>
      </c>
      <c r="I139" s="33" t="s">
        <v>174</v>
      </c>
      <c r="J139" s="33" t="s">
        <v>72</v>
      </c>
      <c r="K139" s="35" t="n">
        <v>223691777</v>
      </c>
      <c r="L139" s="33" t="s">
        <v>342</v>
      </c>
      <c r="M139" s="33" t="n">
        <v>102900697</v>
      </c>
      <c r="N139" s="36" t="n">
        <v>133</v>
      </c>
      <c r="O139" s="37" t="n">
        <v>6.26</v>
      </c>
    </row>
    <row r="140" customFormat="false" ht="15" hidden="false" customHeight="false" outlineLevel="0" collapsed="false">
      <c r="A140" s="32" t="s">
        <v>480</v>
      </c>
      <c r="B140" s="33" t="s">
        <v>481</v>
      </c>
      <c r="C140" s="33" t="s">
        <v>28</v>
      </c>
      <c r="D140" s="34" t="n">
        <v>43356</v>
      </c>
      <c r="E140" s="33" t="s">
        <v>64</v>
      </c>
      <c r="F140" s="33" t="n">
        <v>21337220</v>
      </c>
      <c r="G140" s="33" t="n">
        <v>720192</v>
      </c>
      <c r="H140" s="33" t="s">
        <v>34</v>
      </c>
      <c r="I140" s="33" t="s">
        <v>174</v>
      </c>
      <c r="J140" s="33" t="s">
        <v>85</v>
      </c>
      <c r="K140" s="35" t="n">
        <v>227525720</v>
      </c>
      <c r="L140" s="33" t="s">
        <v>381</v>
      </c>
      <c r="M140" s="33" t="n">
        <v>105130125</v>
      </c>
      <c r="N140" s="36" t="n">
        <v>9036</v>
      </c>
      <c r="O140" s="37" t="n">
        <v>121.39</v>
      </c>
    </row>
    <row r="141" customFormat="false" ht="15" hidden="false" customHeight="false" outlineLevel="0" collapsed="false">
      <c r="A141" s="32" t="s">
        <v>482</v>
      </c>
      <c r="B141" s="33" t="s">
        <v>483</v>
      </c>
      <c r="C141" s="33" t="s">
        <v>28</v>
      </c>
      <c r="D141" s="34" t="n">
        <v>43356</v>
      </c>
      <c r="E141" s="33" t="s">
        <v>64</v>
      </c>
      <c r="F141" s="33" t="n">
        <v>21337220</v>
      </c>
      <c r="G141" s="33" t="n">
        <v>720192</v>
      </c>
      <c r="H141" s="33" t="s">
        <v>34</v>
      </c>
      <c r="I141" s="33" t="s">
        <v>174</v>
      </c>
      <c r="J141" s="33" t="s">
        <v>87</v>
      </c>
      <c r="K141" s="35" t="n">
        <v>223691795</v>
      </c>
      <c r="L141" s="33" t="s">
        <v>387</v>
      </c>
      <c r="M141" s="33" t="n">
        <v>102900688</v>
      </c>
      <c r="N141" s="36" t="n">
        <v>2654</v>
      </c>
      <c r="O141" s="37" t="n">
        <v>66.13</v>
      </c>
    </row>
    <row r="142" customFormat="false" ht="15" hidden="false" customHeight="false" outlineLevel="0" collapsed="false">
      <c r="A142" s="32" t="s">
        <v>484</v>
      </c>
      <c r="B142" s="33" t="s">
        <v>485</v>
      </c>
      <c r="C142" s="33" t="s">
        <v>28</v>
      </c>
      <c r="D142" s="34" t="n">
        <v>43356</v>
      </c>
      <c r="E142" s="33" t="s">
        <v>64</v>
      </c>
      <c r="F142" s="33" t="n">
        <v>21337220</v>
      </c>
      <c r="G142" s="33" t="n">
        <v>720192</v>
      </c>
      <c r="H142" s="33" t="s">
        <v>34</v>
      </c>
      <c r="I142" s="33" t="s">
        <v>174</v>
      </c>
      <c r="J142" s="33" t="s">
        <v>76</v>
      </c>
      <c r="K142" s="35" t="n">
        <v>223691783</v>
      </c>
      <c r="L142" s="33" t="s">
        <v>354</v>
      </c>
      <c r="M142" s="33" t="n">
        <v>103058723</v>
      </c>
      <c r="N142" s="36" t="n">
        <v>152</v>
      </c>
      <c r="O142" s="37" t="n">
        <v>5.92</v>
      </c>
    </row>
    <row r="143" customFormat="false" ht="15" hidden="false" customHeight="false" outlineLevel="0" collapsed="false">
      <c r="A143" s="32" t="s">
        <v>486</v>
      </c>
      <c r="B143" s="33" t="s">
        <v>487</v>
      </c>
      <c r="C143" s="33" t="s">
        <v>28</v>
      </c>
      <c r="D143" s="34" t="n">
        <v>43356</v>
      </c>
      <c r="E143" s="33" t="s">
        <v>64</v>
      </c>
      <c r="F143" s="33" t="n">
        <v>21337220</v>
      </c>
      <c r="G143" s="33" t="n">
        <v>720192</v>
      </c>
      <c r="H143" s="33" t="s">
        <v>34</v>
      </c>
      <c r="I143" s="33" t="s">
        <v>174</v>
      </c>
      <c r="J143" s="33" t="s">
        <v>71</v>
      </c>
      <c r="K143" s="35" t="n">
        <v>225322324</v>
      </c>
      <c r="L143" s="33" t="s">
        <v>339</v>
      </c>
      <c r="M143" s="33" t="n">
        <v>103789915</v>
      </c>
      <c r="N143" s="36" t="n">
        <v>53</v>
      </c>
      <c r="O143" s="37" t="n">
        <v>1.18</v>
      </c>
    </row>
    <row r="144" customFormat="false" ht="15" hidden="false" customHeight="false" outlineLevel="0" collapsed="false">
      <c r="A144" s="32" t="s">
        <v>488</v>
      </c>
      <c r="B144" s="33" t="s">
        <v>489</v>
      </c>
      <c r="C144" s="33" t="s">
        <v>28</v>
      </c>
      <c r="D144" s="34" t="n">
        <v>43356</v>
      </c>
      <c r="E144" s="33" t="s">
        <v>64</v>
      </c>
      <c r="F144" s="33" t="n">
        <v>21337220</v>
      </c>
      <c r="G144" s="33" t="n">
        <v>720192</v>
      </c>
      <c r="H144" s="33" t="s">
        <v>34</v>
      </c>
      <c r="I144" s="33" t="s">
        <v>174</v>
      </c>
      <c r="J144" s="33" t="s">
        <v>89</v>
      </c>
      <c r="K144" s="35" t="n">
        <v>223691822</v>
      </c>
      <c r="L144" s="33" t="s">
        <v>393</v>
      </c>
      <c r="M144" s="33" t="n">
        <v>103058708</v>
      </c>
      <c r="N144" s="36" t="n">
        <v>3574</v>
      </c>
      <c r="O144" s="37" t="n">
        <v>66.76</v>
      </c>
    </row>
    <row r="145" customFormat="false" ht="15" hidden="false" customHeight="false" outlineLevel="0" collapsed="false">
      <c r="A145" s="32" t="s">
        <v>490</v>
      </c>
      <c r="B145" s="33" t="s">
        <v>491</v>
      </c>
      <c r="C145" s="33" t="s">
        <v>28</v>
      </c>
      <c r="D145" s="34" t="n">
        <v>43356</v>
      </c>
      <c r="E145" s="33" t="s">
        <v>64</v>
      </c>
      <c r="F145" s="33" t="n">
        <v>21337220</v>
      </c>
      <c r="G145" s="33" t="n">
        <v>720192</v>
      </c>
      <c r="H145" s="33" t="s">
        <v>34</v>
      </c>
      <c r="I145" s="33" t="s">
        <v>174</v>
      </c>
      <c r="J145" s="33" t="s">
        <v>83</v>
      </c>
      <c r="K145" s="35" t="n">
        <v>223691837</v>
      </c>
      <c r="L145" s="33" t="s">
        <v>375</v>
      </c>
      <c r="M145" s="33" t="n">
        <v>103053314</v>
      </c>
      <c r="N145" s="36" t="n">
        <v>7343</v>
      </c>
      <c r="O145" s="37" t="n">
        <v>150.85</v>
      </c>
    </row>
    <row r="146" customFormat="false" ht="15" hidden="false" customHeight="false" outlineLevel="0" collapsed="false">
      <c r="A146" s="32" t="s">
        <v>492</v>
      </c>
      <c r="B146" s="33" t="s">
        <v>493</v>
      </c>
      <c r="C146" s="33" t="s">
        <v>28</v>
      </c>
      <c r="D146" s="34" t="n">
        <v>43356</v>
      </c>
      <c r="E146" s="33" t="s">
        <v>64</v>
      </c>
      <c r="F146" s="33" t="n">
        <v>21337220</v>
      </c>
      <c r="G146" s="33" t="n">
        <v>720192</v>
      </c>
      <c r="H146" s="33" t="s">
        <v>34</v>
      </c>
      <c r="I146" s="33" t="s">
        <v>174</v>
      </c>
      <c r="J146" s="33" t="s">
        <v>73</v>
      </c>
      <c r="K146" s="35" t="n">
        <v>223691792</v>
      </c>
      <c r="L146" s="33" t="s">
        <v>345</v>
      </c>
      <c r="M146" s="33" t="n">
        <v>102901894</v>
      </c>
      <c r="N146" s="36" t="n">
        <v>438</v>
      </c>
      <c r="O146" s="37" t="n">
        <v>10.45</v>
      </c>
    </row>
    <row r="147" customFormat="false" ht="15" hidden="false" customHeight="false" outlineLevel="0" collapsed="false">
      <c r="A147" s="32" t="s">
        <v>494</v>
      </c>
      <c r="B147" s="33" t="s">
        <v>495</v>
      </c>
      <c r="C147" s="33" t="s">
        <v>28</v>
      </c>
      <c r="D147" s="34" t="n">
        <v>43356</v>
      </c>
      <c r="E147" s="33" t="s">
        <v>64</v>
      </c>
      <c r="F147" s="33" t="n">
        <v>21337220</v>
      </c>
      <c r="G147" s="33" t="n">
        <v>720192</v>
      </c>
      <c r="H147" s="33" t="s">
        <v>34</v>
      </c>
      <c r="I147" s="33" t="s">
        <v>174</v>
      </c>
      <c r="J147" s="33" t="s">
        <v>80</v>
      </c>
      <c r="K147" s="35" t="n">
        <v>223691825</v>
      </c>
      <c r="L147" s="33" t="s">
        <v>366</v>
      </c>
      <c r="M147" s="33" t="n">
        <v>102916338</v>
      </c>
      <c r="N147" s="36" t="n">
        <v>3054</v>
      </c>
      <c r="O147" s="37" t="n">
        <v>108.06</v>
      </c>
    </row>
    <row r="148" customFormat="false" ht="15" hidden="false" customHeight="false" outlineLevel="0" collapsed="false">
      <c r="A148" s="32" t="s">
        <v>496</v>
      </c>
      <c r="B148" s="33" t="s">
        <v>497</v>
      </c>
      <c r="C148" s="33" t="s">
        <v>28</v>
      </c>
      <c r="D148" s="34" t="n">
        <v>43355</v>
      </c>
      <c r="E148" s="33" t="s">
        <v>64</v>
      </c>
      <c r="F148" s="33" t="n">
        <v>21337220</v>
      </c>
      <c r="G148" s="33" t="n">
        <v>720192</v>
      </c>
      <c r="H148" s="33" t="s">
        <v>34</v>
      </c>
      <c r="I148" s="33" t="s">
        <v>174</v>
      </c>
      <c r="J148" s="33" t="s">
        <v>78</v>
      </c>
      <c r="K148" s="35" t="n">
        <v>227522771</v>
      </c>
      <c r="L148" s="33" t="s">
        <v>360</v>
      </c>
      <c r="M148" s="33" t="n">
        <v>105130128</v>
      </c>
      <c r="N148" s="36" t="n">
        <v>147</v>
      </c>
      <c r="O148" s="37" t="n">
        <v>1.93</v>
      </c>
    </row>
    <row r="149" customFormat="false" ht="15" hidden="false" customHeight="false" outlineLevel="0" collapsed="false">
      <c r="A149" s="32" t="s">
        <v>498</v>
      </c>
      <c r="B149" s="33" t="s">
        <v>499</v>
      </c>
      <c r="C149" s="33" t="s">
        <v>28</v>
      </c>
      <c r="D149" s="34" t="n">
        <v>43355</v>
      </c>
      <c r="E149" s="33" t="s">
        <v>64</v>
      </c>
      <c r="F149" s="33" t="n">
        <v>21337220</v>
      </c>
      <c r="G149" s="33" t="n">
        <v>720192</v>
      </c>
      <c r="H149" s="33" t="s">
        <v>34</v>
      </c>
      <c r="I149" s="33" t="s">
        <v>174</v>
      </c>
      <c r="J149" s="33" t="s">
        <v>72</v>
      </c>
      <c r="K149" s="35" t="n">
        <v>223691777</v>
      </c>
      <c r="L149" s="33" t="s">
        <v>342</v>
      </c>
      <c r="M149" s="33" t="n">
        <v>102900697</v>
      </c>
      <c r="N149" s="36" t="n">
        <v>1152</v>
      </c>
      <c r="O149" s="37" t="n">
        <v>41.56</v>
      </c>
    </row>
    <row r="150" customFormat="false" ht="15" hidden="false" customHeight="false" outlineLevel="0" collapsed="false">
      <c r="A150" s="32" t="s">
        <v>500</v>
      </c>
      <c r="B150" s="33" t="s">
        <v>501</v>
      </c>
      <c r="C150" s="33" t="s">
        <v>28</v>
      </c>
      <c r="D150" s="34" t="n">
        <v>43355</v>
      </c>
      <c r="E150" s="33" t="s">
        <v>64</v>
      </c>
      <c r="F150" s="33" t="n">
        <v>21337220</v>
      </c>
      <c r="G150" s="33" t="n">
        <v>720192</v>
      </c>
      <c r="H150" s="33" t="s">
        <v>34</v>
      </c>
      <c r="I150" s="33" t="s">
        <v>174</v>
      </c>
      <c r="J150" s="33" t="s">
        <v>69</v>
      </c>
      <c r="K150" s="35" t="n">
        <v>223691798</v>
      </c>
      <c r="L150" s="33" t="s">
        <v>333</v>
      </c>
      <c r="M150" s="33" t="n">
        <v>102916347</v>
      </c>
      <c r="N150" s="36" t="n">
        <v>1250</v>
      </c>
      <c r="O150" s="37" t="n">
        <v>32.62</v>
      </c>
    </row>
    <row r="151" customFormat="false" ht="15" hidden="false" customHeight="false" outlineLevel="0" collapsed="false">
      <c r="A151" s="32" t="s">
        <v>502</v>
      </c>
      <c r="B151" s="33" t="s">
        <v>503</v>
      </c>
      <c r="C151" s="33" t="s">
        <v>28</v>
      </c>
      <c r="D151" s="34" t="n">
        <v>43355</v>
      </c>
      <c r="E151" s="33" t="s">
        <v>64</v>
      </c>
      <c r="F151" s="33" t="n">
        <v>21337220</v>
      </c>
      <c r="G151" s="33" t="n">
        <v>720192</v>
      </c>
      <c r="H151" s="33" t="s">
        <v>34</v>
      </c>
      <c r="I151" s="33" t="s">
        <v>174</v>
      </c>
      <c r="J151" s="33" t="s">
        <v>77</v>
      </c>
      <c r="K151" s="35" t="n">
        <v>223691840</v>
      </c>
      <c r="L151" s="33" t="s">
        <v>357</v>
      </c>
      <c r="M151" s="33" t="n">
        <v>102902950</v>
      </c>
      <c r="N151" s="36" t="n">
        <v>839</v>
      </c>
      <c r="O151" s="37" t="n">
        <v>16.11</v>
      </c>
    </row>
    <row r="152" customFormat="false" ht="15" hidden="false" customHeight="false" outlineLevel="0" collapsed="false">
      <c r="A152" s="32" t="s">
        <v>504</v>
      </c>
      <c r="B152" s="33" t="s">
        <v>505</v>
      </c>
      <c r="C152" s="33" t="s">
        <v>28</v>
      </c>
      <c r="D152" s="34" t="n">
        <v>43355</v>
      </c>
      <c r="E152" s="33" t="s">
        <v>64</v>
      </c>
      <c r="F152" s="33" t="n">
        <v>21337220</v>
      </c>
      <c r="G152" s="33" t="n">
        <v>720192</v>
      </c>
      <c r="H152" s="33" t="s">
        <v>34</v>
      </c>
      <c r="I152" s="33" t="s">
        <v>174</v>
      </c>
      <c r="J152" s="33" t="s">
        <v>79</v>
      </c>
      <c r="K152" s="35" t="n">
        <v>223691801</v>
      </c>
      <c r="L152" s="33" t="s">
        <v>363</v>
      </c>
      <c r="M152" s="33" t="n">
        <v>103053323</v>
      </c>
      <c r="N152" s="36" t="n">
        <v>196</v>
      </c>
      <c r="O152" s="37" t="n">
        <v>4.43</v>
      </c>
    </row>
    <row r="153" customFormat="false" ht="15" hidden="false" customHeight="false" outlineLevel="0" collapsed="false">
      <c r="A153" s="32" t="s">
        <v>506</v>
      </c>
      <c r="B153" s="33" t="s">
        <v>507</v>
      </c>
      <c r="C153" s="33" t="s">
        <v>28</v>
      </c>
      <c r="D153" s="34" t="n">
        <v>43355</v>
      </c>
      <c r="E153" s="33" t="s">
        <v>64</v>
      </c>
      <c r="F153" s="33" t="n">
        <v>21337220</v>
      </c>
      <c r="G153" s="33" t="n">
        <v>720192</v>
      </c>
      <c r="H153" s="33" t="s">
        <v>34</v>
      </c>
      <c r="I153" s="33" t="s">
        <v>174</v>
      </c>
      <c r="J153" s="33" t="s">
        <v>70</v>
      </c>
      <c r="K153" s="35" t="n">
        <v>223691831</v>
      </c>
      <c r="L153" s="33" t="s">
        <v>336</v>
      </c>
      <c r="M153" s="33" t="n">
        <v>102913800</v>
      </c>
      <c r="N153" s="36" t="n">
        <v>2054</v>
      </c>
      <c r="O153" s="37" t="n">
        <v>55.17</v>
      </c>
    </row>
    <row r="154" customFormat="false" ht="15" hidden="false" customHeight="false" outlineLevel="0" collapsed="false">
      <c r="A154" s="32" t="s">
        <v>508</v>
      </c>
      <c r="B154" s="33" t="s">
        <v>509</v>
      </c>
      <c r="C154" s="33" t="s">
        <v>28</v>
      </c>
      <c r="D154" s="34" t="n">
        <v>43355</v>
      </c>
      <c r="E154" s="33" t="s">
        <v>64</v>
      </c>
      <c r="F154" s="33" t="n">
        <v>21337220</v>
      </c>
      <c r="G154" s="33" t="n">
        <v>720192</v>
      </c>
      <c r="H154" s="33" t="s">
        <v>34</v>
      </c>
      <c r="I154" s="33" t="s">
        <v>174</v>
      </c>
      <c r="J154" s="33" t="s">
        <v>80</v>
      </c>
      <c r="K154" s="35" t="n">
        <v>223691825</v>
      </c>
      <c r="L154" s="33" t="s">
        <v>366</v>
      </c>
      <c r="M154" s="33" t="n">
        <v>102916338</v>
      </c>
      <c r="N154" s="36" t="n">
        <v>2093</v>
      </c>
      <c r="O154" s="37" t="n">
        <v>75.04</v>
      </c>
    </row>
    <row r="155" customFormat="false" ht="15" hidden="false" customHeight="false" outlineLevel="0" collapsed="false">
      <c r="A155" s="32" t="s">
        <v>510</v>
      </c>
      <c r="B155" s="33" t="s">
        <v>511</v>
      </c>
      <c r="C155" s="33" t="s">
        <v>28</v>
      </c>
      <c r="D155" s="34" t="n">
        <v>43355</v>
      </c>
      <c r="E155" s="33" t="s">
        <v>64</v>
      </c>
      <c r="F155" s="33" t="n">
        <v>21337220</v>
      </c>
      <c r="G155" s="33" t="n">
        <v>720192</v>
      </c>
      <c r="H155" s="33" t="s">
        <v>34</v>
      </c>
      <c r="I155" s="33" t="s">
        <v>174</v>
      </c>
      <c r="J155" s="33" t="s">
        <v>91</v>
      </c>
      <c r="K155" s="35" t="n">
        <v>223691828</v>
      </c>
      <c r="L155" s="33" t="s">
        <v>399</v>
      </c>
      <c r="M155" s="33" t="n">
        <v>102902956</v>
      </c>
      <c r="N155" s="36" t="n">
        <v>70</v>
      </c>
      <c r="O155" s="37" t="n">
        <v>1.01</v>
      </c>
    </row>
    <row r="156" customFormat="false" ht="15" hidden="false" customHeight="false" outlineLevel="0" collapsed="false">
      <c r="A156" s="32" t="s">
        <v>512</v>
      </c>
      <c r="B156" s="33" t="s">
        <v>513</v>
      </c>
      <c r="C156" s="33" t="s">
        <v>28</v>
      </c>
      <c r="D156" s="34" t="n">
        <v>43355</v>
      </c>
      <c r="E156" s="33" t="s">
        <v>64</v>
      </c>
      <c r="F156" s="33" t="n">
        <v>21337220</v>
      </c>
      <c r="G156" s="33" t="n">
        <v>720192</v>
      </c>
      <c r="H156" s="33" t="s">
        <v>34</v>
      </c>
      <c r="I156" s="33" t="s">
        <v>174</v>
      </c>
      <c r="J156" s="33" t="s">
        <v>85</v>
      </c>
      <c r="K156" s="35" t="n">
        <v>227525720</v>
      </c>
      <c r="L156" s="33" t="s">
        <v>381</v>
      </c>
      <c r="M156" s="33" t="n">
        <v>105130125</v>
      </c>
      <c r="N156" s="36" t="n">
        <v>12718</v>
      </c>
      <c r="O156" s="37" t="n">
        <v>171.51</v>
      </c>
    </row>
    <row r="157" customFormat="false" ht="15" hidden="false" customHeight="false" outlineLevel="0" collapsed="false">
      <c r="A157" s="32" t="s">
        <v>514</v>
      </c>
      <c r="B157" s="33" t="s">
        <v>515</v>
      </c>
      <c r="C157" s="33" t="s">
        <v>28</v>
      </c>
      <c r="D157" s="34" t="n">
        <v>43355</v>
      </c>
      <c r="E157" s="33" t="s">
        <v>64</v>
      </c>
      <c r="F157" s="33" t="n">
        <v>21337220</v>
      </c>
      <c r="G157" s="33" t="n">
        <v>720192</v>
      </c>
      <c r="H157" s="33" t="s">
        <v>34</v>
      </c>
      <c r="I157" s="33" t="s">
        <v>174</v>
      </c>
      <c r="J157" s="33" t="s">
        <v>87</v>
      </c>
      <c r="K157" s="35" t="n">
        <v>223691795</v>
      </c>
      <c r="L157" s="33" t="s">
        <v>387</v>
      </c>
      <c r="M157" s="33" t="n">
        <v>102900688</v>
      </c>
      <c r="N157" s="36" t="n">
        <v>1267</v>
      </c>
      <c r="O157" s="37" t="n">
        <v>32.28</v>
      </c>
    </row>
    <row r="158" customFormat="false" ht="15" hidden="false" customHeight="false" outlineLevel="0" collapsed="false">
      <c r="A158" s="32" t="s">
        <v>516</v>
      </c>
      <c r="B158" s="33" t="s">
        <v>517</v>
      </c>
      <c r="C158" s="33" t="s">
        <v>28</v>
      </c>
      <c r="D158" s="34" t="n">
        <v>43355</v>
      </c>
      <c r="E158" s="33" t="s">
        <v>64</v>
      </c>
      <c r="F158" s="33" t="n">
        <v>21337220</v>
      </c>
      <c r="G158" s="33" t="n">
        <v>720192</v>
      </c>
      <c r="H158" s="33" t="s">
        <v>34</v>
      </c>
      <c r="I158" s="33" t="s">
        <v>174</v>
      </c>
      <c r="J158" s="33" t="s">
        <v>90</v>
      </c>
      <c r="K158" s="35" t="n">
        <v>223691819</v>
      </c>
      <c r="L158" s="33" t="s">
        <v>396</v>
      </c>
      <c r="M158" s="33" t="n">
        <v>102900682</v>
      </c>
      <c r="N158" s="36" t="n">
        <v>5169</v>
      </c>
      <c r="O158" s="37" t="n">
        <v>118.28</v>
      </c>
    </row>
    <row r="159" customFormat="false" ht="15" hidden="false" customHeight="false" outlineLevel="0" collapsed="false">
      <c r="A159" s="32" t="s">
        <v>518</v>
      </c>
      <c r="B159" s="33" t="s">
        <v>519</v>
      </c>
      <c r="C159" s="33" t="s">
        <v>28</v>
      </c>
      <c r="D159" s="34" t="n">
        <v>43355</v>
      </c>
      <c r="E159" s="33" t="s">
        <v>64</v>
      </c>
      <c r="F159" s="33" t="n">
        <v>21337220</v>
      </c>
      <c r="G159" s="33" t="n">
        <v>720192</v>
      </c>
      <c r="H159" s="33" t="s">
        <v>34</v>
      </c>
      <c r="I159" s="33" t="s">
        <v>174</v>
      </c>
      <c r="J159" s="33" t="s">
        <v>81</v>
      </c>
      <c r="K159" s="35" t="n">
        <v>223691786</v>
      </c>
      <c r="L159" s="33" t="s">
        <v>369</v>
      </c>
      <c r="M159" s="33" t="n">
        <v>103058720</v>
      </c>
      <c r="N159" s="36" t="n">
        <v>315</v>
      </c>
      <c r="O159" s="37" t="n">
        <v>7.64</v>
      </c>
    </row>
    <row r="160" customFormat="false" ht="15" hidden="false" customHeight="false" outlineLevel="0" collapsed="false">
      <c r="A160" s="32" t="s">
        <v>520</v>
      </c>
      <c r="B160" s="33" t="s">
        <v>521</v>
      </c>
      <c r="C160" s="33" t="s">
        <v>28</v>
      </c>
      <c r="D160" s="34" t="n">
        <v>43355</v>
      </c>
      <c r="E160" s="33" t="s">
        <v>64</v>
      </c>
      <c r="F160" s="33" t="n">
        <v>21337220</v>
      </c>
      <c r="G160" s="33" t="n">
        <v>720192</v>
      </c>
      <c r="H160" s="33" t="s">
        <v>34</v>
      </c>
      <c r="I160" s="33" t="s">
        <v>174</v>
      </c>
      <c r="J160" s="33" t="s">
        <v>86</v>
      </c>
      <c r="K160" s="35" t="n">
        <v>227522762</v>
      </c>
      <c r="L160" s="33" t="s">
        <v>384</v>
      </c>
      <c r="M160" s="33" t="n">
        <v>105216992</v>
      </c>
      <c r="N160" s="36" t="n">
        <v>1073</v>
      </c>
      <c r="O160" s="37" t="n">
        <v>9.89</v>
      </c>
    </row>
    <row r="161" customFormat="false" ht="15" hidden="false" customHeight="false" outlineLevel="0" collapsed="false">
      <c r="A161" s="32" t="s">
        <v>522</v>
      </c>
      <c r="B161" s="33" t="s">
        <v>523</v>
      </c>
      <c r="C161" s="33" t="s">
        <v>28</v>
      </c>
      <c r="D161" s="34" t="n">
        <v>43355</v>
      </c>
      <c r="E161" s="33" t="s">
        <v>64</v>
      </c>
      <c r="F161" s="33" t="n">
        <v>21337220</v>
      </c>
      <c r="G161" s="33" t="n">
        <v>720192</v>
      </c>
      <c r="H161" s="33" t="s">
        <v>34</v>
      </c>
      <c r="I161" s="33" t="s">
        <v>174</v>
      </c>
      <c r="J161" s="33" t="s">
        <v>84</v>
      </c>
      <c r="K161" s="35" t="n">
        <v>223684451</v>
      </c>
      <c r="L161" s="33" t="s">
        <v>378</v>
      </c>
      <c r="M161" s="33" t="n">
        <v>102901882</v>
      </c>
      <c r="N161" s="36" t="n">
        <v>4392</v>
      </c>
      <c r="O161" s="37" t="n">
        <v>81.76</v>
      </c>
    </row>
    <row r="162" customFormat="false" ht="15" hidden="false" customHeight="false" outlineLevel="0" collapsed="false">
      <c r="A162" s="32" t="s">
        <v>524</v>
      </c>
      <c r="B162" s="33" t="s">
        <v>525</v>
      </c>
      <c r="C162" s="33" t="s">
        <v>28</v>
      </c>
      <c r="D162" s="34" t="n">
        <v>43355</v>
      </c>
      <c r="E162" s="33" t="s">
        <v>64</v>
      </c>
      <c r="F162" s="33" t="n">
        <v>21337220</v>
      </c>
      <c r="G162" s="33" t="n">
        <v>720192</v>
      </c>
      <c r="H162" s="33" t="s">
        <v>34</v>
      </c>
      <c r="I162" s="33" t="s">
        <v>174</v>
      </c>
      <c r="J162" s="33" t="s">
        <v>71</v>
      </c>
      <c r="K162" s="35" t="n">
        <v>225322324</v>
      </c>
      <c r="L162" s="33" t="s">
        <v>339</v>
      </c>
      <c r="M162" s="33" t="n">
        <v>103789915</v>
      </c>
      <c r="N162" s="36" t="n">
        <v>644</v>
      </c>
      <c r="O162" s="37" t="n">
        <v>11.49</v>
      </c>
    </row>
    <row r="163" customFormat="false" ht="15" hidden="false" customHeight="false" outlineLevel="0" collapsed="false">
      <c r="A163" s="32" t="s">
        <v>526</v>
      </c>
      <c r="B163" s="33" t="s">
        <v>527</v>
      </c>
      <c r="C163" s="33" t="s">
        <v>28</v>
      </c>
      <c r="D163" s="34" t="n">
        <v>43355</v>
      </c>
      <c r="E163" s="33" t="s">
        <v>64</v>
      </c>
      <c r="F163" s="33" t="n">
        <v>21337220</v>
      </c>
      <c r="G163" s="33" t="n">
        <v>720192</v>
      </c>
      <c r="H163" s="33" t="s">
        <v>34</v>
      </c>
      <c r="I163" s="33" t="s">
        <v>174</v>
      </c>
      <c r="J163" s="33" t="s">
        <v>83</v>
      </c>
      <c r="K163" s="35" t="n">
        <v>223691837</v>
      </c>
      <c r="L163" s="33" t="s">
        <v>375</v>
      </c>
      <c r="M163" s="33" t="n">
        <v>103053314</v>
      </c>
      <c r="N163" s="36" t="n">
        <v>3481</v>
      </c>
      <c r="O163" s="37" t="n">
        <v>64.75</v>
      </c>
    </row>
    <row r="164" customFormat="false" ht="15" hidden="false" customHeight="false" outlineLevel="0" collapsed="false">
      <c r="A164" s="32" t="s">
        <v>528</v>
      </c>
      <c r="B164" s="33" t="s">
        <v>529</v>
      </c>
      <c r="C164" s="33" t="s">
        <v>28</v>
      </c>
      <c r="D164" s="34" t="n">
        <v>43355</v>
      </c>
      <c r="E164" s="33" t="s">
        <v>64</v>
      </c>
      <c r="F164" s="33" t="n">
        <v>21337220</v>
      </c>
      <c r="G164" s="33" t="n">
        <v>720192</v>
      </c>
      <c r="H164" s="33" t="s">
        <v>34</v>
      </c>
      <c r="I164" s="33" t="s">
        <v>174</v>
      </c>
      <c r="J164" s="33" t="s">
        <v>82</v>
      </c>
      <c r="K164" s="35" t="n">
        <v>225322327</v>
      </c>
      <c r="L164" s="33" t="s">
        <v>372</v>
      </c>
      <c r="M164" s="33" t="n">
        <v>103902287</v>
      </c>
      <c r="N164" s="36" t="n">
        <v>803</v>
      </c>
      <c r="O164" s="37" t="n">
        <v>12.95</v>
      </c>
    </row>
    <row r="165" customFormat="false" ht="15" hidden="false" customHeight="false" outlineLevel="0" collapsed="false">
      <c r="A165" s="32" t="s">
        <v>530</v>
      </c>
      <c r="B165" s="33" t="s">
        <v>531</v>
      </c>
      <c r="C165" s="33" t="s">
        <v>28</v>
      </c>
      <c r="D165" s="34" t="n">
        <v>43355</v>
      </c>
      <c r="E165" s="33" t="s">
        <v>64</v>
      </c>
      <c r="F165" s="33" t="n">
        <v>21337220</v>
      </c>
      <c r="G165" s="33" t="n">
        <v>720192</v>
      </c>
      <c r="H165" s="33" t="s">
        <v>34</v>
      </c>
      <c r="I165" s="33" t="s">
        <v>174</v>
      </c>
      <c r="J165" s="33" t="s">
        <v>67</v>
      </c>
      <c r="K165" s="35" t="n">
        <v>227618695</v>
      </c>
      <c r="L165" s="33" t="s">
        <v>330</v>
      </c>
      <c r="M165" s="33" t="n">
        <v>105127638</v>
      </c>
      <c r="N165" s="36" t="n">
        <v>236</v>
      </c>
      <c r="O165" s="37" t="n">
        <v>3.71</v>
      </c>
    </row>
    <row r="166" customFormat="false" ht="15" hidden="false" customHeight="false" outlineLevel="0" collapsed="false">
      <c r="A166" s="32" t="s">
        <v>532</v>
      </c>
      <c r="B166" s="33" t="s">
        <v>533</v>
      </c>
      <c r="C166" s="33" t="s">
        <v>28</v>
      </c>
      <c r="D166" s="34" t="n">
        <v>43355</v>
      </c>
      <c r="E166" s="33" t="s">
        <v>64</v>
      </c>
      <c r="F166" s="33" t="n">
        <v>21337220</v>
      </c>
      <c r="G166" s="33" t="n">
        <v>720192</v>
      </c>
      <c r="H166" s="33" t="s">
        <v>34</v>
      </c>
      <c r="I166" s="33" t="s">
        <v>174</v>
      </c>
      <c r="J166" s="33" t="s">
        <v>76</v>
      </c>
      <c r="K166" s="35" t="n">
        <v>223691783</v>
      </c>
      <c r="L166" s="33" t="s">
        <v>354</v>
      </c>
      <c r="M166" s="33" t="n">
        <v>103058723</v>
      </c>
      <c r="N166" s="36" t="n">
        <v>78</v>
      </c>
      <c r="O166" s="37" t="n">
        <v>1.85</v>
      </c>
    </row>
    <row r="167" customFormat="false" ht="15" hidden="false" customHeight="false" outlineLevel="0" collapsed="false">
      <c r="A167" s="32" t="s">
        <v>534</v>
      </c>
      <c r="B167" s="33" t="s">
        <v>535</v>
      </c>
      <c r="C167" s="33" t="s">
        <v>28</v>
      </c>
      <c r="D167" s="34" t="n">
        <v>43355</v>
      </c>
      <c r="E167" s="33" t="s">
        <v>64</v>
      </c>
      <c r="F167" s="33" t="n">
        <v>21337220</v>
      </c>
      <c r="G167" s="33" t="n">
        <v>720192</v>
      </c>
      <c r="H167" s="33" t="s">
        <v>34</v>
      </c>
      <c r="I167" s="33" t="s">
        <v>174</v>
      </c>
      <c r="J167" s="33" t="s">
        <v>75</v>
      </c>
      <c r="K167" s="35" t="n">
        <v>223691780</v>
      </c>
      <c r="L167" s="33" t="s">
        <v>351</v>
      </c>
      <c r="M167" s="33" t="n">
        <v>103058726</v>
      </c>
      <c r="N167" s="36" t="n">
        <v>286</v>
      </c>
      <c r="O167" s="37" t="n">
        <v>10.03</v>
      </c>
    </row>
    <row r="168" customFormat="false" ht="15" hidden="false" customHeight="false" outlineLevel="0" collapsed="false">
      <c r="A168" s="32" t="s">
        <v>536</v>
      </c>
      <c r="B168" s="33" t="s">
        <v>537</v>
      </c>
      <c r="C168" s="33" t="s">
        <v>28</v>
      </c>
      <c r="D168" s="34" t="n">
        <v>43355</v>
      </c>
      <c r="E168" s="33" t="s">
        <v>64</v>
      </c>
      <c r="F168" s="33" t="n">
        <v>21337220</v>
      </c>
      <c r="G168" s="33" t="n">
        <v>720192</v>
      </c>
      <c r="H168" s="33" t="s">
        <v>34</v>
      </c>
      <c r="I168" s="33" t="s">
        <v>174</v>
      </c>
      <c r="J168" s="33" t="s">
        <v>89</v>
      </c>
      <c r="K168" s="35" t="n">
        <v>223691822</v>
      </c>
      <c r="L168" s="33" t="s">
        <v>393</v>
      </c>
      <c r="M168" s="33" t="n">
        <v>103058708</v>
      </c>
      <c r="N168" s="36" t="n">
        <v>6261</v>
      </c>
      <c r="O168" s="37" t="n">
        <v>128.49</v>
      </c>
    </row>
    <row r="169" customFormat="false" ht="15" hidden="false" customHeight="false" outlineLevel="0" collapsed="false">
      <c r="A169" s="32" t="s">
        <v>538</v>
      </c>
      <c r="B169" s="33" t="s">
        <v>539</v>
      </c>
      <c r="C169" s="33" t="s">
        <v>28</v>
      </c>
      <c r="D169" s="34" t="n">
        <v>43355</v>
      </c>
      <c r="E169" s="33" t="s">
        <v>64</v>
      </c>
      <c r="F169" s="33" t="n">
        <v>21337220</v>
      </c>
      <c r="G169" s="33" t="n">
        <v>720192</v>
      </c>
      <c r="H169" s="33" t="s">
        <v>34</v>
      </c>
      <c r="I169" s="33" t="s">
        <v>174</v>
      </c>
      <c r="J169" s="33" t="s">
        <v>74</v>
      </c>
      <c r="K169" s="35" t="n">
        <v>223691789</v>
      </c>
      <c r="L169" s="33" t="s">
        <v>348</v>
      </c>
      <c r="M169" s="33" t="n">
        <v>102900691</v>
      </c>
      <c r="N169" s="36" t="n">
        <v>512</v>
      </c>
      <c r="O169" s="37" t="n">
        <v>16.52</v>
      </c>
    </row>
    <row r="170" customFormat="false" ht="15" hidden="false" customHeight="false" outlineLevel="0" collapsed="false">
      <c r="A170" s="32" t="s">
        <v>540</v>
      </c>
      <c r="B170" s="33" t="s">
        <v>541</v>
      </c>
      <c r="C170" s="33" t="s">
        <v>28</v>
      </c>
      <c r="D170" s="34" t="n">
        <v>43355</v>
      </c>
      <c r="E170" s="33" t="s">
        <v>64</v>
      </c>
      <c r="F170" s="33" t="n">
        <v>21337220</v>
      </c>
      <c r="G170" s="33" t="n">
        <v>720192</v>
      </c>
      <c r="H170" s="33" t="s">
        <v>34</v>
      </c>
      <c r="I170" s="33" t="s">
        <v>174</v>
      </c>
      <c r="J170" s="33" t="s">
        <v>73</v>
      </c>
      <c r="K170" s="35" t="n">
        <v>223691792</v>
      </c>
      <c r="L170" s="33" t="s">
        <v>345</v>
      </c>
      <c r="M170" s="33" t="n">
        <v>102901894</v>
      </c>
      <c r="N170" s="36" t="n">
        <v>260</v>
      </c>
      <c r="O170" s="37" t="n">
        <v>5.07</v>
      </c>
    </row>
    <row r="171" customFormat="false" ht="15" hidden="false" customHeight="false" outlineLevel="0" collapsed="false">
      <c r="A171" s="32" t="s">
        <v>542</v>
      </c>
      <c r="B171" s="33" t="s">
        <v>543</v>
      </c>
      <c r="C171" s="33" t="s">
        <v>28</v>
      </c>
      <c r="D171" s="34" t="n">
        <v>43355</v>
      </c>
      <c r="E171" s="33" t="s">
        <v>64</v>
      </c>
      <c r="F171" s="33" t="n">
        <v>21337220</v>
      </c>
      <c r="G171" s="33" t="n">
        <v>720192</v>
      </c>
      <c r="H171" s="33" t="s">
        <v>34</v>
      </c>
      <c r="I171" s="33" t="s">
        <v>174</v>
      </c>
      <c r="J171" s="33" t="s">
        <v>88</v>
      </c>
      <c r="K171" s="35" t="n">
        <v>223691834</v>
      </c>
      <c r="L171" s="33" t="s">
        <v>390</v>
      </c>
      <c r="M171" s="33" t="n">
        <v>102902953</v>
      </c>
      <c r="N171" s="36" t="n">
        <v>95</v>
      </c>
      <c r="O171" s="37" t="n">
        <v>3.11</v>
      </c>
    </row>
    <row r="172" customFormat="false" ht="15" hidden="false" customHeight="false" outlineLevel="0" collapsed="false">
      <c r="A172" s="32" t="s">
        <v>544</v>
      </c>
      <c r="B172" s="33" t="s">
        <v>545</v>
      </c>
      <c r="C172" s="33" t="s">
        <v>28</v>
      </c>
      <c r="D172" s="34" t="n">
        <v>43354</v>
      </c>
      <c r="E172" s="33" t="s">
        <v>64</v>
      </c>
      <c r="F172" s="33" t="n">
        <v>21337220</v>
      </c>
      <c r="G172" s="33" t="n">
        <v>720192</v>
      </c>
      <c r="H172" s="33" t="s">
        <v>34</v>
      </c>
      <c r="I172" s="33" t="s">
        <v>174</v>
      </c>
      <c r="J172" s="33" t="s">
        <v>86</v>
      </c>
      <c r="K172" s="35" t="n">
        <v>227522762</v>
      </c>
      <c r="L172" s="33" t="s">
        <v>384</v>
      </c>
      <c r="M172" s="33" t="n">
        <v>105216992</v>
      </c>
      <c r="N172" s="36" t="n">
        <v>1485</v>
      </c>
      <c r="O172" s="37" t="n">
        <v>16.98</v>
      </c>
    </row>
    <row r="173" customFormat="false" ht="15" hidden="false" customHeight="false" outlineLevel="0" collapsed="false">
      <c r="A173" s="32" t="s">
        <v>546</v>
      </c>
      <c r="B173" s="33" t="s">
        <v>547</v>
      </c>
      <c r="C173" s="33" t="s">
        <v>28</v>
      </c>
      <c r="D173" s="34" t="n">
        <v>43354</v>
      </c>
      <c r="E173" s="33" t="s">
        <v>64</v>
      </c>
      <c r="F173" s="33" t="n">
        <v>21337220</v>
      </c>
      <c r="G173" s="33" t="n">
        <v>720192</v>
      </c>
      <c r="H173" s="33" t="s">
        <v>34</v>
      </c>
      <c r="I173" s="33" t="s">
        <v>174</v>
      </c>
      <c r="J173" s="33" t="s">
        <v>90</v>
      </c>
      <c r="K173" s="35" t="n">
        <v>223691819</v>
      </c>
      <c r="L173" s="33" t="s">
        <v>396</v>
      </c>
      <c r="M173" s="33" t="n">
        <v>102900682</v>
      </c>
      <c r="N173" s="36" t="n">
        <v>483</v>
      </c>
      <c r="O173" s="37" t="n">
        <v>14.09</v>
      </c>
    </row>
    <row r="174" customFormat="false" ht="15" hidden="false" customHeight="false" outlineLevel="0" collapsed="false">
      <c r="A174" s="32" t="s">
        <v>548</v>
      </c>
      <c r="B174" s="33" t="s">
        <v>549</v>
      </c>
      <c r="C174" s="33" t="s">
        <v>28</v>
      </c>
      <c r="D174" s="34" t="n">
        <v>43354</v>
      </c>
      <c r="E174" s="33" t="s">
        <v>64</v>
      </c>
      <c r="F174" s="33" t="n">
        <v>21337220</v>
      </c>
      <c r="G174" s="33" t="n">
        <v>720192</v>
      </c>
      <c r="H174" s="33" t="s">
        <v>34</v>
      </c>
      <c r="I174" s="33" t="s">
        <v>174</v>
      </c>
      <c r="J174" s="33" t="s">
        <v>91</v>
      </c>
      <c r="K174" s="35" t="n">
        <v>223691828</v>
      </c>
      <c r="L174" s="33" t="s">
        <v>399</v>
      </c>
      <c r="M174" s="33" t="n">
        <v>102902956</v>
      </c>
      <c r="N174" s="36" t="n">
        <v>663</v>
      </c>
      <c r="O174" s="37" t="n">
        <v>10.93</v>
      </c>
    </row>
    <row r="175" customFormat="false" ht="15" hidden="false" customHeight="false" outlineLevel="0" collapsed="false">
      <c r="A175" s="32" t="s">
        <v>550</v>
      </c>
      <c r="B175" s="33" t="s">
        <v>551</v>
      </c>
      <c r="C175" s="33" t="s">
        <v>28</v>
      </c>
      <c r="D175" s="34" t="n">
        <v>43354</v>
      </c>
      <c r="E175" s="33" t="s">
        <v>64</v>
      </c>
      <c r="F175" s="33" t="n">
        <v>21337220</v>
      </c>
      <c r="G175" s="33" t="n">
        <v>720192</v>
      </c>
      <c r="H175" s="33" t="s">
        <v>34</v>
      </c>
      <c r="I175" s="33" t="s">
        <v>174</v>
      </c>
      <c r="J175" s="33" t="s">
        <v>84</v>
      </c>
      <c r="K175" s="35" t="n">
        <v>223684451</v>
      </c>
      <c r="L175" s="33" t="s">
        <v>378</v>
      </c>
      <c r="M175" s="33" t="n">
        <v>102901882</v>
      </c>
      <c r="N175" s="36" t="n">
        <v>4078</v>
      </c>
      <c r="O175" s="37" t="n">
        <v>69.83</v>
      </c>
    </row>
    <row r="176" customFormat="false" ht="15" hidden="false" customHeight="false" outlineLevel="0" collapsed="false">
      <c r="A176" s="32" t="s">
        <v>552</v>
      </c>
      <c r="B176" s="33" t="s">
        <v>553</v>
      </c>
      <c r="C176" s="33" t="s">
        <v>28</v>
      </c>
      <c r="D176" s="34" t="n">
        <v>43354</v>
      </c>
      <c r="E176" s="33" t="s">
        <v>64</v>
      </c>
      <c r="F176" s="33" t="n">
        <v>21337220</v>
      </c>
      <c r="G176" s="33" t="n">
        <v>720192</v>
      </c>
      <c r="H176" s="33" t="s">
        <v>34</v>
      </c>
      <c r="I176" s="33" t="s">
        <v>174</v>
      </c>
      <c r="J176" s="33" t="s">
        <v>83</v>
      </c>
      <c r="K176" s="35" t="n">
        <v>223691837</v>
      </c>
      <c r="L176" s="33" t="s">
        <v>375</v>
      </c>
      <c r="M176" s="33" t="n">
        <v>103053314</v>
      </c>
      <c r="N176" s="36" t="n">
        <v>8936</v>
      </c>
      <c r="O176" s="37" t="n">
        <v>147.17</v>
      </c>
    </row>
    <row r="177" customFormat="false" ht="15" hidden="false" customHeight="false" outlineLevel="0" collapsed="false">
      <c r="A177" s="32" t="s">
        <v>554</v>
      </c>
      <c r="B177" s="33" t="s">
        <v>555</v>
      </c>
      <c r="C177" s="33" t="s">
        <v>28</v>
      </c>
      <c r="D177" s="34" t="n">
        <v>43354</v>
      </c>
      <c r="E177" s="33" t="s">
        <v>64</v>
      </c>
      <c r="F177" s="33" t="n">
        <v>21337220</v>
      </c>
      <c r="G177" s="33" t="n">
        <v>720192</v>
      </c>
      <c r="H177" s="33" t="s">
        <v>34</v>
      </c>
      <c r="I177" s="33" t="s">
        <v>174</v>
      </c>
      <c r="J177" s="33" t="s">
        <v>85</v>
      </c>
      <c r="K177" s="35" t="n">
        <v>227525720</v>
      </c>
      <c r="L177" s="33" t="s">
        <v>381</v>
      </c>
      <c r="M177" s="33" t="n">
        <v>105130125</v>
      </c>
      <c r="N177" s="36" t="n">
        <v>2627</v>
      </c>
      <c r="O177" s="37" t="n">
        <v>41.23</v>
      </c>
    </row>
    <row r="178" customFormat="false" ht="15" hidden="false" customHeight="false" outlineLevel="0" collapsed="false">
      <c r="A178" s="32" t="s">
        <v>556</v>
      </c>
      <c r="B178" s="33" t="s">
        <v>557</v>
      </c>
      <c r="C178" s="33" t="s">
        <v>28</v>
      </c>
      <c r="D178" s="34" t="n">
        <v>43354</v>
      </c>
      <c r="E178" s="33" t="s">
        <v>64</v>
      </c>
      <c r="F178" s="33" t="n">
        <v>21337220</v>
      </c>
      <c r="G178" s="33" t="n">
        <v>720192</v>
      </c>
      <c r="H178" s="33" t="s">
        <v>34</v>
      </c>
      <c r="I178" s="33" t="s">
        <v>174</v>
      </c>
      <c r="J178" s="33" t="s">
        <v>82</v>
      </c>
      <c r="K178" s="35" t="n">
        <v>225322327</v>
      </c>
      <c r="L178" s="33" t="s">
        <v>372</v>
      </c>
      <c r="M178" s="33" t="n">
        <v>103902287</v>
      </c>
      <c r="N178" s="36" t="n">
        <v>675</v>
      </c>
      <c r="O178" s="37" t="n">
        <v>8.9</v>
      </c>
    </row>
    <row r="179" customFormat="false" ht="15" hidden="false" customHeight="false" outlineLevel="0" collapsed="false">
      <c r="A179" s="32" t="s">
        <v>558</v>
      </c>
      <c r="B179" s="33" t="s">
        <v>559</v>
      </c>
      <c r="C179" s="33" t="s">
        <v>28</v>
      </c>
      <c r="D179" s="34" t="n">
        <v>43354</v>
      </c>
      <c r="E179" s="33" t="s">
        <v>64</v>
      </c>
      <c r="F179" s="33" t="n">
        <v>21337220</v>
      </c>
      <c r="G179" s="33" t="n">
        <v>720192</v>
      </c>
      <c r="H179" s="33" t="s">
        <v>34</v>
      </c>
      <c r="I179" s="33" t="s">
        <v>174</v>
      </c>
      <c r="J179" s="33" t="s">
        <v>80</v>
      </c>
      <c r="K179" s="35" t="n">
        <v>223691825</v>
      </c>
      <c r="L179" s="33" t="s">
        <v>366</v>
      </c>
      <c r="M179" s="33" t="n">
        <v>102916338</v>
      </c>
      <c r="N179" s="36" t="n">
        <v>2375</v>
      </c>
      <c r="O179" s="37" t="n">
        <v>84.87</v>
      </c>
    </row>
    <row r="180" customFormat="false" ht="15" hidden="false" customHeight="false" outlineLevel="0" collapsed="false">
      <c r="A180" s="32" t="s">
        <v>560</v>
      </c>
      <c r="B180" s="33" t="s">
        <v>561</v>
      </c>
      <c r="C180" s="33" t="s">
        <v>28</v>
      </c>
      <c r="D180" s="34" t="n">
        <v>43354</v>
      </c>
      <c r="E180" s="33" t="s">
        <v>64</v>
      </c>
      <c r="F180" s="33" t="n">
        <v>21337220</v>
      </c>
      <c r="G180" s="33" t="n">
        <v>720192</v>
      </c>
      <c r="H180" s="33" t="s">
        <v>34</v>
      </c>
      <c r="I180" s="33" t="s">
        <v>174</v>
      </c>
      <c r="J180" s="33" t="s">
        <v>71</v>
      </c>
      <c r="K180" s="35" t="n">
        <v>225322324</v>
      </c>
      <c r="L180" s="33" t="s">
        <v>339</v>
      </c>
      <c r="M180" s="33" t="n">
        <v>103789915</v>
      </c>
      <c r="N180" s="36" t="n">
        <v>449</v>
      </c>
      <c r="O180" s="37" t="n">
        <v>6.13</v>
      </c>
    </row>
    <row r="181" customFormat="false" ht="15" hidden="false" customHeight="false" outlineLevel="0" collapsed="false">
      <c r="A181" s="32" t="s">
        <v>562</v>
      </c>
      <c r="B181" s="33" t="s">
        <v>563</v>
      </c>
      <c r="C181" s="33" t="s">
        <v>28</v>
      </c>
      <c r="D181" s="34" t="n">
        <v>43354</v>
      </c>
      <c r="E181" s="33" t="s">
        <v>64</v>
      </c>
      <c r="F181" s="33" t="n">
        <v>21337220</v>
      </c>
      <c r="G181" s="33" t="n">
        <v>720192</v>
      </c>
      <c r="H181" s="33" t="s">
        <v>34</v>
      </c>
      <c r="I181" s="33" t="s">
        <v>174</v>
      </c>
      <c r="J181" s="33" t="s">
        <v>72</v>
      </c>
      <c r="K181" s="35" t="n">
        <v>223691777</v>
      </c>
      <c r="L181" s="33" t="s">
        <v>342</v>
      </c>
      <c r="M181" s="33" t="n">
        <v>102900697</v>
      </c>
      <c r="N181" s="36" t="n">
        <v>2043</v>
      </c>
      <c r="O181" s="37" t="n">
        <v>62.42</v>
      </c>
    </row>
    <row r="182" customFormat="false" ht="15" hidden="false" customHeight="false" outlineLevel="0" collapsed="false">
      <c r="A182" s="32" t="s">
        <v>564</v>
      </c>
      <c r="B182" s="33" t="s">
        <v>565</v>
      </c>
      <c r="C182" s="33" t="s">
        <v>28</v>
      </c>
      <c r="D182" s="34" t="n">
        <v>43354</v>
      </c>
      <c r="E182" s="33" t="s">
        <v>64</v>
      </c>
      <c r="F182" s="33" t="n">
        <v>21337220</v>
      </c>
      <c r="G182" s="33" t="n">
        <v>720192</v>
      </c>
      <c r="H182" s="33" t="s">
        <v>34</v>
      </c>
      <c r="I182" s="33" t="s">
        <v>174</v>
      </c>
      <c r="J182" s="33" t="s">
        <v>75</v>
      </c>
      <c r="K182" s="35" t="n">
        <v>223691780</v>
      </c>
      <c r="L182" s="33" t="s">
        <v>351</v>
      </c>
      <c r="M182" s="33" t="n">
        <v>103058726</v>
      </c>
      <c r="N182" s="36" t="n">
        <v>126</v>
      </c>
      <c r="O182" s="37" t="n">
        <v>4.87</v>
      </c>
    </row>
    <row r="183" customFormat="false" ht="15" hidden="false" customHeight="false" outlineLevel="0" collapsed="false">
      <c r="A183" s="32" t="s">
        <v>566</v>
      </c>
      <c r="B183" s="33" t="s">
        <v>567</v>
      </c>
      <c r="C183" s="33" t="s">
        <v>28</v>
      </c>
      <c r="D183" s="34" t="n">
        <v>43354</v>
      </c>
      <c r="E183" s="33" t="s">
        <v>64</v>
      </c>
      <c r="F183" s="33" t="n">
        <v>21337220</v>
      </c>
      <c r="G183" s="33" t="n">
        <v>720192</v>
      </c>
      <c r="H183" s="33" t="s">
        <v>34</v>
      </c>
      <c r="I183" s="33" t="s">
        <v>174</v>
      </c>
      <c r="J183" s="33" t="s">
        <v>88</v>
      </c>
      <c r="K183" s="35" t="n">
        <v>223691834</v>
      </c>
      <c r="L183" s="33" t="s">
        <v>390</v>
      </c>
      <c r="M183" s="33" t="n">
        <v>102902953</v>
      </c>
      <c r="N183" s="36" t="n">
        <v>662</v>
      </c>
      <c r="O183" s="37" t="n">
        <v>17.66</v>
      </c>
    </row>
    <row r="184" customFormat="false" ht="15" hidden="false" customHeight="false" outlineLevel="0" collapsed="false">
      <c r="A184" s="32" t="s">
        <v>568</v>
      </c>
      <c r="B184" s="33" t="s">
        <v>569</v>
      </c>
      <c r="C184" s="33" t="s">
        <v>28</v>
      </c>
      <c r="D184" s="34" t="n">
        <v>43354</v>
      </c>
      <c r="E184" s="33" t="s">
        <v>64</v>
      </c>
      <c r="F184" s="33" t="n">
        <v>21337220</v>
      </c>
      <c r="G184" s="33" t="n">
        <v>720192</v>
      </c>
      <c r="H184" s="33" t="s">
        <v>34</v>
      </c>
      <c r="I184" s="33" t="s">
        <v>174</v>
      </c>
      <c r="J184" s="33" t="s">
        <v>70</v>
      </c>
      <c r="K184" s="35" t="n">
        <v>223691831</v>
      </c>
      <c r="L184" s="33" t="s">
        <v>336</v>
      </c>
      <c r="M184" s="33" t="n">
        <v>102913800</v>
      </c>
      <c r="N184" s="36" t="n">
        <v>5121</v>
      </c>
      <c r="O184" s="37" t="n">
        <v>127.76</v>
      </c>
    </row>
    <row r="185" customFormat="false" ht="15" hidden="false" customHeight="false" outlineLevel="0" collapsed="false">
      <c r="A185" s="32" t="s">
        <v>570</v>
      </c>
      <c r="B185" s="33" t="s">
        <v>571</v>
      </c>
      <c r="C185" s="33" t="s">
        <v>28</v>
      </c>
      <c r="D185" s="34" t="n">
        <v>43354</v>
      </c>
      <c r="E185" s="33" t="s">
        <v>64</v>
      </c>
      <c r="F185" s="33" t="n">
        <v>21337220</v>
      </c>
      <c r="G185" s="33" t="n">
        <v>720192</v>
      </c>
      <c r="H185" s="33" t="s">
        <v>34</v>
      </c>
      <c r="I185" s="33" t="s">
        <v>174</v>
      </c>
      <c r="J185" s="33" t="s">
        <v>77</v>
      </c>
      <c r="K185" s="35" t="n">
        <v>223691840</v>
      </c>
      <c r="L185" s="33" t="s">
        <v>357</v>
      </c>
      <c r="M185" s="33" t="n">
        <v>102902950</v>
      </c>
      <c r="N185" s="36" t="n">
        <v>1200</v>
      </c>
      <c r="O185" s="37" t="n">
        <v>20.03</v>
      </c>
    </row>
    <row r="186" customFormat="false" ht="15" hidden="false" customHeight="false" outlineLevel="0" collapsed="false">
      <c r="A186" s="32" t="s">
        <v>572</v>
      </c>
      <c r="B186" s="33" t="s">
        <v>573</v>
      </c>
      <c r="C186" s="33" t="s">
        <v>28</v>
      </c>
      <c r="D186" s="34" t="n">
        <v>43354</v>
      </c>
      <c r="E186" s="33" t="s">
        <v>64</v>
      </c>
      <c r="F186" s="33" t="n">
        <v>21337220</v>
      </c>
      <c r="G186" s="33" t="n">
        <v>720192</v>
      </c>
      <c r="H186" s="33" t="s">
        <v>34</v>
      </c>
      <c r="I186" s="33" t="s">
        <v>174</v>
      </c>
      <c r="J186" s="33" t="s">
        <v>69</v>
      </c>
      <c r="K186" s="35" t="n">
        <v>223691798</v>
      </c>
      <c r="L186" s="33" t="s">
        <v>333</v>
      </c>
      <c r="M186" s="33" t="n">
        <v>102916347</v>
      </c>
      <c r="N186" s="36" t="n">
        <v>1594</v>
      </c>
      <c r="O186" s="37" t="n">
        <v>38.32</v>
      </c>
    </row>
    <row r="187" customFormat="false" ht="15" hidden="false" customHeight="false" outlineLevel="0" collapsed="false">
      <c r="A187" s="32" t="s">
        <v>574</v>
      </c>
      <c r="B187" s="33" t="s">
        <v>575</v>
      </c>
      <c r="C187" s="33" t="s">
        <v>28</v>
      </c>
      <c r="D187" s="34" t="n">
        <v>43354</v>
      </c>
      <c r="E187" s="33" t="s">
        <v>64</v>
      </c>
      <c r="F187" s="33" t="n">
        <v>21337220</v>
      </c>
      <c r="G187" s="33" t="n">
        <v>720192</v>
      </c>
      <c r="H187" s="33" t="s">
        <v>34</v>
      </c>
      <c r="I187" s="33" t="s">
        <v>174</v>
      </c>
      <c r="J187" s="33" t="s">
        <v>67</v>
      </c>
      <c r="K187" s="35" t="n">
        <v>227618695</v>
      </c>
      <c r="L187" s="33" t="s">
        <v>330</v>
      </c>
      <c r="M187" s="33" t="n">
        <v>105127638</v>
      </c>
      <c r="N187" s="36" t="n">
        <v>265</v>
      </c>
      <c r="O187" s="37" t="n">
        <v>3.64</v>
      </c>
    </row>
    <row r="188" customFormat="false" ht="15" hidden="false" customHeight="false" outlineLevel="0" collapsed="false">
      <c r="A188" s="32" t="s">
        <v>576</v>
      </c>
      <c r="B188" s="33" t="s">
        <v>577</v>
      </c>
      <c r="C188" s="33" t="s">
        <v>28</v>
      </c>
      <c r="D188" s="34" t="n">
        <v>43354</v>
      </c>
      <c r="E188" s="33" t="s">
        <v>64</v>
      </c>
      <c r="F188" s="33" t="n">
        <v>21337220</v>
      </c>
      <c r="G188" s="33" t="n">
        <v>720192</v>
      </c>
      <c r="H188" s="33" t="s">
        <v>34</v>
      </c>
      <c r="I188" s="33" t="s">
        <v>174</v>
      </c>
      <c r="J188" s="33" t="s">
        <v>87</v>
      </c>
      <c r="K188" s="35" t="n">
        <v>223691795</v>
      </c>
      <c r="L188" s="33" t="s">
        <v>387</v>
      </c>
      <c r="M188" s="33" t="n">
        <v>102900688</v>
      </c>
      <c r="N188" s="36" t="n">
        <v>868</v>
      </c>
      <c r="O188" s="37" t="n">
        <v>15.8</v>
      </c>
    </row>
    <row r="189" customFormat="false" ht="15" hidden="false" customHeight="false" outlineLevel="0" collapsed="false">
      <c r="A189" s="32" t="s">
        <v>578</v>
      </c>
      <c r="B189" s="33" t="s">
        <v>579</v>
      </c>
      <c r="C189" s="33" t="s">
        <v>28</v>
      </c>
      <c r="D189" s="34" t="n">
        <v>43354</v>
      </c>
      <c r="E189" s="33" t="s">
        <v>64</v>
      </c>
      <c r="F189" s="33" t="n">
        <v>21337220</v>
      </c>
      <c r="G189" s="33" t="n">
        <v>720192</v>
      </c>
      <c r="H189" s="33" t="s">
        <v>34</v>
      </c>
      <c r="I189" s="33" t="s">
        <v>174</v>
      </c>
      <c r="J189" s="33" t="s">
        <v>79</v>
      </c>
      <c r="K189" s="35" t="n">
        <v>223691801</v>
      </c>
      <c r="L189" s="33" t="s">
        <v>363</v>
      </c>
      <c r="M189" s="33" t="n">
        <v>103053323</v>
      </c>
      <c r="N189" s="36" t="n">
        <v>340</v>
      </c>
      <c r="O189" s="37" t="n">
        <v>6.38</v>
      </c>
    </row>
    <row r="190" customFormat="false" ht="15" hidden="false" customHeight="false" outlineLevel="0" collapsed="false">
      <c r="A190" s="32" t="s">
        <v>580</v>
      </c>
      <c r="B190" s="33" t="s">
        <v>581</v>
      </c>
      <c r="C190" s="33" t="s">
        <v>28</v>
      </c>
      <c r="D190" s="34" t="n">
        <v>43354</v>
      </c>
      <c r="E190" s="33" t="s">
        <v>64</v>
      </c>
      <c r="F190" s="33" t="n">
        <v>21337220</v>
      </c>
      <c r="G190" s="33" t="n">
        <v>720192</v>
      </c>
      <c r="H190" s="33" t="s">
        <v>34</v>
      </c>
      <c r="I190" s="33" t="s">
        <v>174</v>
      </c>
      <c r="J190" s="33" t="s">
        <v>78</v>
      </c>
      <c r="K190" s="35" t="n">
        <v>227522771</v>
      </c>
      <c r="L190" s="33" t="s">
        <v>360</v>
      </c>
      <c r="M190" s="33" t="n">
        <v>105130128</v>
      </c>
      <c r="N190" s="36" t="n">
        <v>556</v>
      </c>
      <c r="O190" s="37" t="n">
        <v>5.83</v>
      </c>
    </row>
    <row r="191" customFormat="false" ht="15" hidden="false" customHeight="false" outlineLevel="0" collapsed="false">
      <c r="A191" s="32" t="s">
        <v>582</v>
      </c>
      <c r="B191" s="33" t="s">
        <v>583</v>
      </c>
      <c r="C191" s="33" t="s">
        <v>28</v>
      </c>
      <c r="D191" s="34" t="n">
        <v>43354</v>
      </c>
      <c r="E191" s="33" t="s">
        <v>64</v>
      </c>
      <c r="F191" s="33" t="n">
        <v>21337220</v>
      </c>
      <c r="G191" s="33" t="n">
        <v>720192</v>
      </c>
      <c r="H191" s="33" t="s">
        <v>34</v>
      </c>
      <c r="I191" s="33" t="s">
        <v>174</v>
      </c>
      <c r="J191" s="33" t="s">
        <v>74</v>
      </c>
      <c r="K191" s="35" t="n">
        <v>223691789</v>
      </c>
      <c r="L191" s="33" t="s">
        <v>348</v>
      </c>
      <c r="M191" s="33" t="n">
        <v>102900691</v>
      </c>
      <c r="N191" s="36" t="n">
        <v>222</v>
      </c>
      <c r="O191" s="37" t="n">
        <v>8.26</v>
      </c>
    </row>
    <row r="192" customFormat="false" ht="15" hidden="false" customHeight="false" outlineLevel="0" collapsed="false">
      <c r="A192" s="32" t="s">
        <v>584</v>
      </c>
      <c r="B192" s="33" t="s">
        <v>585</v>
      </c>
      <c r="C192" s="33" t="s">
        <v>28</v>
      </c>
      <c r="D192" s="34" t="n">
        <v>43354</v>
      </c>
      <c r="E192" s="33" t="s">
        <v>64</v>
      </c>
      <c r="F192" s="33" t="n">
        <v>21337220</v>
      </c>
      <c r="G192" s="33" t="n">
        <v>720192</v>
      </c>
      <c r="H192" s="33" t="s">
        <v>34</v>
      </c>
      <c r="I192" s="33" t="s">
        <v>174</v>
      </c>
      <c r="J192" s="33" t="s">
        <v>89</v>
      </c>
      <c r="K192" s="35" t="n">
        <v>223691822</v>
      </c>
      <c r="L192" s="33" t="s">
        <v>393</v>
      </c>
      <c r="M192" s="33" t="n">
        <v>103058708</v>
      </c>
      <c r="N192" s="36" t="n">
        <v>2921</v>
      </c>
      <c r="O192" s="37" t="n">
        <v>77.35</v>
      </c>
    </row>
    <row r="193" customFormat="false" ht="15" hidden="false" customHeight="false" outlineLevel="0" collapsed="false">
      <c r="A193" s="32" t="s">
        <v>586</v>
      </c>
      <c r="B193" s="33" t="s">
        <v>587</v>
      </c>
      <c r="C193" s="33" t="s">
        <v>28</v>
      </c>
      <c r="D193" s="34" t="n">
        <v>43354</v>
      </c>
      <c r="E193" s="33" t="s">
        <v>64</v>
      </c>
      <c r="F193" s="33" t="n">
        <v>21337220</v>
      </c>
      <c r="G193" s="33" t="n">
        <v>720192</v>
      </c>
      <c r="H193" s="33" t="s">
        <v>34</v>
      </c>
      <c r="I193" s="33" t="s">
        <v>174</v>
      </c>
      <c r="J193" s="33" t="s">
        <v>76</v>
      </c>
      <c r="K193" s="35" t="n">
        <v>223691783</v>
      </c>
      <c r="L193" s="33" t="s">
        <v>354</v>
      </c>
      <c r="M193" s="33" t="n">
        <v>103058723</v>
      </c>
      <c r="N193" s="36" t="n">
        <v>58</v>
      </c>
      <c r="O193" s="37" t="n">
        <v>1.46</v>
      </c>
    </row>
    <row r="194" customFormat="false" ht="15" hidden="false" customHeight="false" outlineLevel="0" collapsed="false">
      <c r="A194" s="32" t="s">
        <v>588</v>
      </c>
      <c r="B194" s="33" t="s">
        <v>589</v>
      </c>
      <c r="C194" s="33" t="s">
        <v>28</v>
      </c>
      <c r="D194" s="34" t="n">
        <v>43354</v>
      </c>
      <c r="E194" s="33" t="s">
        <v>64</v>
      </c>
      <c r="F194" s="33" t="n">
        <v>21337220</v>
      </c>
      <c r="G194" s="33" t="n">
        <v>720192</v>
      </c>
      <c r="H194" s="33" t="s">
        <v>34</v>
      </c>
      <c r="I194" s="33" t="s">
        <v>174</v>
      </c>
      <c r="J194" s="33" t="s">
        <v>81</v>
      </c>
      <c r="K194" s="35" t="n">
        <v>223691786</v>
      </c>
      <c r="L194" s="33" t="s">
        <v>369</v>
      </c>
      <c r="M194" s="33" t="n">
        <v>103058720</v>
      </c>
      <c r="N194" s="36" t="n">
        <v>108</v>
      </c>
      <c r="O194" s="37" t="n">
        <v>2.73</v>
      </c>
    </row>
    <row r="195" customFormat="false" ht="15" hidden="false" customHeight="false" outlineLevel="0" collapsed="false">
      <c r="A195" s="32" t="s">
        <v>590</v>
      </c>
      <c r="B195" s="33" t="s">
        <v>591</v>
      </c>
      <c r="C195" s="33" t="s">
        <v>28</v>
      </c>
      <c r="D195" s="34" t="n">
        <v>43354</v>
      </c>
      <c r="E195" s="33" t="s">
        <v>64</v>
      </c>
      <c r="F195" s="33" t="n">
        <v>21337220</v>
      </c>
      <c r="G195" s="33" t="n">
        <v>720192</v>
      </c>
      <c r="H195" s="33" t="s">
        <v>34</v>
      </c>
      <c r="I195" s="33" t="s">
        <v>174</v>
      </c>
      <c r="J195" s="33" t="s">
        <v>73</v>
      </c>
      <c r="K195" s="35" t="n">
        <v>223691792</v>
      </c>
      <c r="L195" s="33" t="s">
        <v>345</v>
      </c>
      <c r="M195" s="33" t="n">
        <v>102901894</v>
      </c>
      <c r="N195" s="36" t="n">
        <v>117</v>
      </c>
      <c r="O195" s="37" t="n">
        <v>2.19</v>
      </c>
    </row>
    <row r="196" customFormat="false" ht="15" hidden="false" customHeight="false" outlineLevel="0" collapsed="false">
      <c r="A196" s="32" t="s">
        <v>592</v>
      </c>
      <c r="B196" s="33" t="s">
        <v>593</v>
      </c>
      <c r="C196" s="33" t="s">
        <v>28</v>
      </c>
      <c r="D196" s="34" t="n">
        <v>43353</v>
      </c>
      <c r="E196" s="33" t="s">
        <v>64</v>
      </c>
      <c r="F196" s="33" t="n">
        <v>21337220</v>
      </c>
      <c r="G196" s="33" t="n">
        <v>720192</v>
      </c>
      <c r="H196" s="33" t="s">
        <v>34</v>
      </c>
      <c r="I196" s="33" t="s">
        <v>174</v>
      </c>
      <c r="J196" s="33" t="s">
        <v>82</v>
      </c>
      <c r="K196" s="35" t="n">
        <v>225322327</v>
      </c>
      <c r="L196" s="33" t="s">
        <v>372</v>
      </c>
      <c r="M196" s="33" t="n">
        <v>103902287</v>
      </c>
      <c r="N196" s="36" t="n">
        <v>910</v>
      </c>
      <c r="O196" s="37" t="n">
        <v>10.9</v>
      </c>
    </row>
    <row r="197" customFormat="false" ht="15" hidden="false" customHeight="false" outlineLevel="0" collapsed="false">
      <c r="A197" s="32" t="s">
        <v>594</v>
      </c>
      <c r="B197" s="33" t="s">
        <v>595</v>
      </c>
      <c r="C197" s="33" t="s">
        <v>28</v>
      </c>
      <c r="D197" s="34" t="n">
        <v>43353</v>
      </c>
      <c r="E197" s="33" t="s">
        <v>64</v>
      </c>
      <c r="F197" s="33" t="n">
        <v>21337220</v>
      </c>
      <c r="G197" s="33" t="n">
        <v>720192</v>
      </c>
      <c r="H197" s="33" t="s">
        <v>34</v>
      </c>
      <c r="I197" s="33" t="s">
        <v>174</v>
      </c>
      <c r="J197" s="33" t="s">
        <v>75</v>
      </c>
      <c r="K197" s="35" t="n">
        <v>223691780</v>
      </c>
      <c r="L197" s="33" t="s">
        <v>351</v>
      </c>
      <c r="M197" s="33" t="n">
        <v>103058726</v>
      </c>
      <c r="N197" s="36" t="n">
        <v>530</v>
      </c>
      <c r="O197" s="37" t="n">
        <v>18.78</v>
      </c>
    </row>
    <row r="198" customFormat="false" ht="15" hidden="false" customHeight="false" outlineLevel="0" collapsed="false">
      <c r="A198" s="32" t="s">
        <v>596</v>
      </c>
      <c r="B198" s="33" t="s">
        <v>597</v>
      </c>
      <c r="C198" s="33" t="s">
        <v>28</v>
      </c>
      <c r="D198" s="34" t="n">
        <v>43353</v>
      </c>
      <c r="E198" s="33" t="s">
        <v>64</v>
      </c>
      <c r="F198" s="33" t="n">
        <v>21337220</v>
      </c>
      <c r="G198" s="33" t="n">
        <v>720192</v>
      </c>
      <c r="H198" s="33" t="s">
        <v>34</v>
      </c>
      <c r="I198" s="33" t="s">
        <v>174</v>
      </c>
      <c r="J198" s="33" t="s">
        <v>84</v>
      </c>
      <c r="K198" s="35" t="n">
        <v>223684451</v>
      </c>
      <c r="L198" s="33" t="s">
        <v>378</v>
      </c>
      <c r="M198" s="33" t="n">
        <v>102901882</v>
      </c>
      <c r="N198" s="36" t="n">
        <v>2726</v>
      </c>
      <c r="O198" s="37" t="n">
        <v>48.69</v>
      </c>
    </row>
    <row r="199" customFormat="false" ht="15" hidden="false" customHeight="false" outlineLevel="0" collapsed="false">
      <c r="A199" s="32" t="s">
        <v>598</v>
      </c>
      <c r="B199" s="33" t="s">
        <v>599</v>
      </c>
      <c r="C199" s="33" t="s">
        <v>28</v>
      </c>
      <c r="D199" s="34" t="n">
        <v>43353</v>
      </c>
      <c r="E199" s="33" t="s">
        <v>64</v>
      </c>
      <c r="F199" s="33" t="n">
        <v>21337220</v>
      </c>
      <c r="G199" s="33" t="n">
        <v>720192</v>
      </c>
      <c r="H199" s="33" t="s">
        <v>34</v>
      </c>
      <c r="I199" s="33" t="s">
        <v>174</v>
      </c>
      <c r="J199" s="33" t="s">
        <v>92</v>
      </c>
      <c r="K199" s="35" t="n">
        <v>223691762</v>
      </c>
      <c r="L199" s="33" t="s">
        <v>600</v>
      </c>
      <c r="M199" s="33" t="n">
        <v>102902974</v>
      </c>
      <c r="N199" s="36" t="n">
        <v>210</v>
      </c>
      <c r="O199" s="37" t="n">
        <v>4.01</v>
      </c>
    </row>
    <row r="200" customFormat="false" ht="15" hidden="false" customHeight="false" outlineLevel="0" collapsed="false">
      <c r="A200" s="32" t="s">
        <v>601</v>
      </c>
      <c r="B200" s="33" t="s">
        <v>602</v>
      </c>
      <c r="C200" s="33" t="s">
        <v>28</v>
      </c>
      <c r="D200" s="34" t="n">
        <v>43353</v>
      </c>
      <c r="E200" s="33" t="s">
        <v>64</v>
      </c>
      <c r="F200" s="33" t="n">
        <v>21337220</v>
      </c>
      <c r="G200" s="33" t="n">
        <v>720192</v>
      </c>
      <c r="H200" s="33" t="s">
        <v>34</v>
      </c>
      <c r="I200" s="33" t="s">
        <v>174</v>
      </c>
      <c r="J200" s="33" t="s">
        <v>74</v>
      </c>
      <c r="K200" s="35" t="n">
        <v>223691789</v>
      </c>
      <c r="L200" s="33" t="s">
        <v>348</v>
      </c>
      <c r="M200" s="33" t="n">
        <v>102900691</v>
      </c>
      <c r="N200" s="36" t="n">
        <v>499</v>
      </c>
      <c r="O200" s="37" t="n">
        <v>18.9</v>
      </c>
    </row>
    <row r="201" customFormat="false" ht="15" hidden="false" customHeight="false" outlineLevel="0" collapsed="false">
      <c r="A201" s="32" t="s">
        <v>603</v>
      </c>
      <c r="B201" s="33" t="s">
        <v>604</v>
      </c>
      <c r="C201" s="33" t="s">
        <v>28</v>
      </c>
      <c r="D201" s="34" t="n">
        <v>43353</v>
      </c>
      <c r="E201" s="33" t="s">
        <v>64</v>
      </c>
      <c r="F201" s="33" t="n">
        <v>21337220</v>
      </c>
      <c r="G201" s="33" t="n">
        <v>720192</v>
      </c>
      <c r="H201" s="33" t="s">
        <v>34</v>
      </c>
      <c r="I201" s="33" t="s">
        <v>174</v>
      </c>
      <c r="J201" s="33" t="s">
        <v>73</v>
      </c>
      <c r="K201" s="35" t="n">
        <v>223691792</v>
      </c>
      <c r="L201" s="33" t="s">
        <v>345</v>
      </c>
      <c r="M201" s="33" t="n">
        <v>102901894</v>
      </c>
      <c r="N201" s="36" t="n">
        <v>489</v>
      </c>
      <c r="O201" s="37" t="n">
        <v>9.94</v>
      </c>
    </row>
    <row r="202" customFormat="false" ht="15" hidden="false" customHeight="false" outlineLevel="0" collapsed="false">
      <c r="A202" s="32" t="s">
        <v>605</v>
      </c>
      <c r="B202" s="33" t="s">
        <v>606</v>
      </c>
      <c r="C202" s="33" t="s">
        <v>28</v>
      </c>
      <c r="D202" s="34" t="n">
        <v>43353</v>
      </c>
      <c r="E202" s="33" t="s">
        <v>64</v>
      </c>
      <c r="F202" s="33" t="n">
        <v>21337220</v>
      </c>
      <c r="G202" s="33" t="n">
        <v>720192</v>
      </c>
      <c r="H202" s="33" t="s">
        <v>34</v>
      </c>
      <c r="I202" s="33" t="s">
        <v>174</v>
      </c>
      <c r="J202" s="33" t="s">
        <v>72</v>
      </c>
      <c r="K202" s="35" t="n">
        <v>223691777</v>
      </c>
      <c r="L202" s="33" t="s">
        <v>342</v>
      </c>
      <c r="M202" s="33" t="n">
        <v>102900697</v>
      </c>
      <c r="N202" s="36" t="n">
        <v>1016</v>
      </c>
      <c r="O202" s="37" t="n">
        <v>30.57</v>
      </c>
    </row>
    <row r="203" customFormat="false" ht="15" hidden="false" customHeight="false" outlineLevel="0" collapsed="false">
      <c r="A203" s="32" t="s">
        <v>607</v>
      </c>
      <c r="B203" s="33" t="s">
        <v>608</v>
      </c>
      <c r="C203" s="33" t="s">
        <v>28</v>
      </c>
      <c r="D203" s="34" t="n">
        <v>43353</v>
      </c>
      <c r="E203" s="33" t="s">
        <v>64</v>
      </c>
      <c r="F203" s="33" t="n">
        <v>21337220</v>
      </c>
      <c r="G203" s="33" t="n">
        <v>720192</v>
      </c>
      <c r="H203" s="33" t="s">
        <v>34</v>
      </c>
      <c r="I203" s="33" t="s">
        <v>174</v>
      </c>
      <c r="J203" s="33" t="s">
        <v>70</v>
      </c>
      <c r="K203" s="35" t="n">
        <v>223691831</v>
      </c>
      <c r="L203" s="33" t="s">
        <v>336</v>
      </c>
      <c r="M203" s="33" t="n">
        <v>102913800</v>
      </c>
      <c r="N203" s="36" t="n">
        <v>6693</v>
      </c>
      <c r="O203" s="37" t="n">
        <v>170.5</v>
      </c>
    </row>
    <row r="204" customFormat="false" ht="15" hidden="false" customHeight="false" outlineLevel="0" collapsed="false">
      <c r="A204" s="32" t="s">
        <v>609</v>
      </c>
      <c r="B204" s="33" t="s">
        <v>610</v>
      </c>
      <c r="C204" s="33" t="s">
        <v>28</v>
      </c>
      <c r="D204" s="34" t="n">
        <v>43353</v>
      </c>
      <c r="E204" s="33" t="s">
        <v>64</v>
      </c>
      <c r="F204" s="33" t="n">
        <v>21337220</v>
      </c>
      <c r="G204" s="33" t="n">
        <v>720192</v>
      </c>
      <c r="H204" s="33" t="s">
        <v>34</v>
      </c>
      <c r="I204" s="33" t="s">
        <v>174</v>
      </c>
      <c r="J204" s="33" t="s">
        <v>87</v>
      </c>
      <c r="K204" s="35" t="n">
        <v>223691795</v>
      </c>
      <c r="L204" s="33" t="s">
        <v>387</v>
      </c>
      <c r="M204" s="33" t="n">
        <v>102900688</v>
      </c>
      <c r="N204" s="36" t="n">
        <v>520</v>
      </c>
      <c r="O204" s="37" t="n">
        <v>9.24</v>
      </c>
    </row>
    <row r="205" customFormat="false" ht="15" hidden="false" customHeight="false" outlineLevel="0" collapsed="false">
      <c r="A205" s="32" t="s">
        <v>611</v>
      </c>
      <c r="B205" s="33" t="s">
        <v>612</v>
      </c>
      <c r="C205" s="33" t="s">
        <v>28</v>
      </c>
      <c r="D205" s="34" t="n">
        <v>43353</v>
      </c>
      <c r="E205" s="33" t="s">
        <v>64</v>
      </c>
      <c r="F205" s="33" t="n">
        <v>21337220</v>
      </c>
      <c r="G205" s="33" t="n">
        <v>720192</v>
      </c>
      <c r="H205" s="33" t="s">
        <v>34</v>
      </c>
      <c r="I205" s="33" t="s">
        <v>174</v>
      </c>
      <c r="J205" s="33" t="s">
        <v>86</v>
      </c>
      <c r="K205" s="35" t="n">
        <v>227522762</v>
      </c>
      <c r="L205" s="33" t="s">
        <v>384</v>
      </c>
      <c r="M205" s="33" t="n">
        <v>105216992</v>
      </c>
      <c r="N205" s="36" t="n">
        <v>1030</v>
      </c>
      <c r="O205" s="37" t="n">
        <v>12.67</v>
      </c>
    </row>
    <row r="206" customFormat="false" ht="15" hidden="false" customHeight="false" outlineLevel="0" collapsed="false">
      <c r="A206" s="32" t="s">
        <v>613</v>
      </c>
      <c r="B206" s="33" t="s">
        <v>614</v>
      </c>
      <c r="C206" s="33" t="s">
        <v>28</v>
      </c>
      <c r="D206" s="34" t="n">
        <v>43353</v>
      </c>
      <c r="E206" s="33" t="s">
        <v>64</v>
      </c>
      <c r="F206" s="33" t="n">
        <v>21337220</v>
      </c>
      <c r="G206" s="33" t="n">
        <v>720192</v>
      </c>
      <c r="H206" s="33" t="s">
        <v>34</v>
      </c>
      <c r="I206" s="33" t="s">
        <v>174</v>
      </c>
      <c r="J206" s="33" t="s">
        <v>67</v>
      </c>
      <c r="K206" s="35" t="n">
        <v>227618695</v>
      </c>
      <c r="L206" s="33" t="s">
        <v>330</v>
      </c>
      <c r="M206" s="33" t="n">
        <v>105127638</v>
      </c>
      <c r="N206" s="36" t="n">
        <v>559</v>
      </c>
      <c r="O206" s="37" t="n">
        <v>8.9</v>
      </c>
    </row>
    <row r="207" customFormat="false" ht="15" hidden="false" customHeight="false" outlineLevel="0" collapsed="false">
      <c r="A207" s="32" t="s">
        <v>615</v>
      </c>
      <c r="B207" s="33" t="s">
        <v>616</v>
      </c>
      <c r="C207" s="33" t="s">
        <v>28</v>
      </c>
      <c r="D207" s="34" t="n">
        <v>43353</v>
      </c>
      <c r="E207" s="33" t="s">
        <v>64</v>
      </c>
      <c r="F207" s="33" t="n">
        <v>21337220</v>
      </c>
      <c r="G207" s="33" t="n">
        <v>720192</v>
      </c>
      <c r="H207" s="33" t="s">
        <v>34</v>
      </c>
      <c r="I207" s="33" t="s">
        <v>174</v>
      </c>
      <c r="J207" s="33" t="s">
        <v>80</v>
      </c>
      <c r="K207" s="35" t="n">
        <v>223691825</v>
      </c>
      <c r="L207" s="33" t="s">
        <v>366</v>
      </c>
      <c r="M207" s="33" t="n">
        <v>102916338</v>
      </c>
      <c r="N207" s="36" t="n">
        <v>3174</v>
      </c>
      <c r="O207" s="37" t="n">
        <v>128.12</v>
      </c>
    </row>
    <row r="208" customFormat="false" ht="15" hidden="false" customHeight="false" outlineLevel="0" collapsed="false">
      <c r="A208" s="32" t="s">
        <v>617</v>
      </c>
      <c r="B208" s="33" t="s">
        <v>618</v>
      </c>
      <c r="C208" s="33" t="s">
        <v>28</v>
      </c>
      <c r="D208" s="34" t="n">
        <v>43353</v>
      </c>
      <c r="E208" s="33" t="s">
        <v>64</v>
      </c>
      <c r="F208" s="33" t="n">
        <v>21337220</v>
      </c>
      <c r="G208" s="33" t="n">
        <v>720192</v>
      </c>
      <c r="H208" s="33" t="s">
        <v>34</v>
      </c>
      <c r="I208" s="33" t="s">
        <v>174</v>
      </c>
      <c r="J208" s="33" t="s">
        <v>85</v>
      </c>
      <c r="K208" s="35" t="n">
        <v>227525720</v>
      </c>
      <c r="L208" s="33" t="s">
        <v>381</v>
      </c>
      <c r="M208" s="33" t="n">
        <v>105130125</v>
      </c>
      <c r="N208" s="36" t="n">
        <v>1242</v>
      </c>
      <c r="O208" s="37" t="n">
        <v>20.68</v>
      </c>
    </row>
    <row r="209" customFormat="false" ht="15" hidden="false" customHeight="false" outlineLevel="0" collapsed="false">
      <c r="A209" s="32" t="s">
        <v>619</v>
      </c>
      <c r="B209" s="33" t="s">
        <v>620</v>
      </c>
      <c r="C209" s="33" t="s">
        <v>28</v>
      </c>
      <c r="D209" s="34" t="n">
        <v>43353</v>
      </c>
      <c r="E209" s="33" t="s">
        <v>64</v>
      </c>
      <c r="F209" s="33" t="n">
        <v>21337220</v>
      </c>
      <c r="G209" s="33" t="n">
        <v>720192</v>
      </c>
      <c r="H209" s="33" t="s">
        <v>34</v>
      </c>
      <c r="I209" s="33" t="s">
        <v>174</v>
      </c>
      <c r="J209" s="33" t="s">
        <v>77</v>
      </c>
      <c r="K209" s="35" t="n">
        <v>223691840</v>
      </c>
      <c r="L209" s="33" t="s">
        <v>357</v>
      </c>
      <c r="M209" s="33" t="n">
        <v>102902950</v>
      </c>
      <c r="N209" s="36" t="n">
        <v>1095</v>
      </c>
      <c r="O209" s="37" t="n">
        <v>18.06</v>
      </c>
    </row>
    <row r="210" customFormat="false" ht="15" hidden="false" customHeight="false" outlineLevel="0" collapsed="false">
      <c r="A210" s="32" t="s">
        <v>621</v>
      </c>
      <c r="B210" s="33" t="s">
        <v>622</v>
      </c>
      <c r="C210" s="33" t="s">
        <v>28</v>
      </c>
      <c r="D210" s="34" t="n">
        <v>43353</v>
      </c>
      <c r="E210" s="33" t="s">
        <v>64</v>
      </c>
      <c r="F210" s="33" t="n">
        <v>21337220</v>
      </c>
      <c r="G210" s="33" t="n">
        <v>720192</v>
      </c>
      <c r="H210" s="33" t="s">
        <v>34</v>
      </c>
      <c r="I210" s="33" t="s">
        <v>174</v>
      </c>
      <c r="J210" s="33" t="s">
        <v>89</v>
      </c>
      <c r="K210" s="35" t="n">
        <v>223691822</v>
      </c>
      <c r="L210" s="33" t="s">
        <v>393</v>
      </c>
      <c r="M210" s="33" t="n">
        <v>103058708</v>
      </c>
      <c r="N210" s="36" t="n">
        <v>191</v>
      </c>
      <c r="O210" s="37" t="n">
        <v>5.11</v>
      </c>
    </row>
    <row r="211" customFormat="false" ht="15" hidden="false" customHeight="false" outlineLevel="0" collapsed="false">
      <c r="A211" s="32" t="s">
        <v>623</v>
      </c>
      <c r="B211" s="33" t="s">
        <v>624</v>
      </c>
      <c r="C211" s="33" t="s">
        <v>28</v>
      </c>
      <c r="D211" s="34" t="n">
        <v>43353</v>
      </c>
      <c r="E211" s="33" t="s">
        <v>64</v>
      </c>
      <c r="F211" s="33" t="n">
        <v>21337220</v>
      </c>
      <c r="G211" s="33" t="n">
        <v>720192</v>
      </c>
      <c r="H211" s="33" t="s">
        <v>34</v>
      </c>
      <c r="I211" s="33" t="s">
        <v>174</v>
      </c>
      <c r="J211" s="33" t="s">
        <v>93</v>
      </c>
      <c r="K211" s="35" t="n">
        <v>223691816</v>
      </c>
      <c r="L211" s="33" t="s">
        <v>625</v>
      </c>
      <c r="M211" s="33" t="n">
        <v>102916341</v>
      </c>
      <c r="N211" s="36" t="n">
        <v>890</v>
      </c>
      <c r="O211" s="37" t="n">
        <v>13.44</v>
      </c>
    </row>
    <row r="212" customFormat="false" ht="15" hidden="false" customHeight="false" outlineLevel="0" collapsed="false">
      <c r="A212" s="32" t="s">
        <v>626</v>
      </c>
      <c r="B212" s="33" t="s">
        <v>627</v>
      </c>
      <c r="C212" s="33" t="s">
        <v>28</v>
      </c>
      <c r="D212" s="34" t="n">
        <v>43353</v>
      </c>
      <c r="E212" s="33" t="s">
        <v>64</v>
      </c>
      <c r="F212" s="33" t="n">
        <v>21337220</v>
      </c>
      <c r="G212" s="33" t="n">
        <v>720192</v>
      </c>
      <c r="H212" s="33" t="s">
        <v>34</v>
      </c>
      <c r="I212" s="33" t="s">
        <v>174</v>
      </c>
      <c r="J212" s="33" t="s">
        <v>81</v>
      </c>
      <c r="K212" s="35" t="n">
        <v>223691786</v>
      </c>
      <c r="L212" s="33" t="s">
        <v>369</v>
      </c>
      <c r="M212" s="33" t="n">
        <v>103058720</v>
      </c>
      <c r="N212" s="36" t="n">
        <v>804</v>
      </c>
      <c r="O212" s="37" t="n">
        <v>16.62</v>
      </c>
    </row>
    <row r="213" customFormat="false" ht="15" hidden="false" customHeight="false" outlineLevel="0" collapsed="false">
      <c r="A213" s="32" t="s">
        <v>628</v>
      </c>
      <c r="B213" s="33" t="s">
        <v>629</v>
      </c>
      <c r="C213" s="33" t="s">
        <v>28</v>
      </c>
      <c r="D213" s="34" t="n">
        <v>43353</v>
      </c>
      <c r="E213" s="33" t="s">
        <v>64</v>
      </c>
      <c r="F213" s="33" t="n">
        <v>21337220</v>
      </c>
      <c r="G213" s="33" t="n">
        <v>720192</v>
      </c>
      <c r="H213" s="33" t="s">
        <v>34</v>
      </c>
      <c r="I213" s="33" t="s">
        <v>174</v>
      </c>
      <c r="J213" s="33" t="s">
        <v>78</v>
      </c>
      <c r="K213" s="35" t="n">
        <v>227522771</v>
      </c>
      <c r="L213" s="33" t="s">
        <v>360</v>
      </c>
      <c r="M213" s="33" t="n">
        <v>105130128</v>
      </c>
      <c r="N213" s="36" t="n">
        <v>466</v>
      </c>
      <c r="O213" s="37" t="n">
        <v>5.7</v>
      </c>
    </row>
    <row r="214" customFormat="false" ht="15" hidden="false" customHeight="false" outlineLevel="0" collapsed="false">
      <c r="A214" s="32" t="s">
        <v>630</v>
      </c>
      <c r="B214" s="33" t="s">
        <v>631</v>
      </c>
      <c r="C214" s="33" t="s">
        <v>28</v>
      </c>
      <c r="D214" s="34" t="n">
        <v>43353</v>
      </c>
      <c r="E214" s="33" t="s">
        <v>64</v>
      </c>
      <c r="F214" s="33" t="n">
        <v>21337220</v>
      </c>
      <c r="G214" s="33" t="n">
        <v>720192</v>
      </c>
      <c r="H214" s="33" t="s">
        <v>34</v>
      </c>
      <c r="I214" s="33" t="s">
        <v>174</v>
      </c>
      <c r="J214" s="33" t="s">
        <v>94</v>
      </c>
      <c r="K214" s="35" t="n">
        <v>223691810</v>
      </c>
      <c r="L214" s="33" t="s">
        <v>632</v>
      </c>
      <c r="M214" s="33" t="n">
        <v>103058711</v>
      </c>
      <c r="N214" s="36" t="n">
        <v>683</v>
      </c>
      <c r="O214" s="37" t="n">
        <v>11.49</v>
      </c>
    </row>
    <row r="215" customFormat="false" ht="15" hidden="false" customHeight="false" outlineLevel="0" collapsed="false">
      <c r="A215" s="32" t="s">
        <v>633</v>
      </c>
      <c r="B215" s="33" t="s">
        <v>634</v>
      </c>
      <c r="C215" s="33" t="s">
        <v>28</v>
      </c>
      <c r="D215" s="34" t="n">
        <v>43353</v>
      </c>
      <c r="E215" s="33" t="s">
        <v>64</v>
      </c>
      <c r="F215" s="33" t="n">
        <v>21337220</v>
      </c>
      <c r="G215" s="33" t="n">
        <v>720192</v>
      </c>
      <c r="H215" s="33" t="s">
        <v>34</v>
      </c>
      <c r="I215" s="33" t="s">
        <v>174</v>
      </c>
      <c r="J215" s="33" t="s">
        <v>95</v>
      </c>
      <c r="K215" s="35" t="n">
        <v>223691807</v>
      </c>
      <c r="L215" s="33" t="s">
        <v>635</v>
      </c>
      <c r="M215" s="33" t="n">
        <v>102900685</v>
      </c>
      <c r="N215" s="36" t="n">
        <v>644</v>
      </c>
      <c r="O215" s="37" t="n">
        <v>10.02</v>
      </c>
    </row>
    <row r="216" customFormat="false" ht="15" hidden="false" customHeight="false" outlineLevel="0" collapsed="false">
      <c r="A216" s="32" t="s">
        <v>636</v>
      </c>
      <c r="B216" s="33" t="s">
        <v>637</v>
      </c>
      <c r="C216" s="33" t="s">
        <v>28</v>
      </c>
      <c r="D216" s="34" t="n">
        <v>43353</v>
      </c>
      <c r="E216" s="33" t="s">
        <v>64</v>
      </c>
      <c r="F216" s="33" t="n">
        <v>21337220</v>
      </c>
      <c r="G216" s="33" t="n">
        <v>720192</v>
      </c>
      <c r="H216" s="33" t="s">
        <v>34</v>
      </c>
      <c r="I216" s="33" t="s">
        <v>174</v>
      </c>
      <c r="J216" s="33" t="s">
        <v>79</v>
      </c>
      <c r="K216" s="35" t="n">
        <v>223691801</v>
      </c>
      <c r="L216" s="33" t="s">
        <v>363</v>
      </c>
      <c r="M216" s="33" t="n">
        <v>103053323</v>
      </c>
      <c r="N216" s="36" t="n">
        <v>218</v>
      </c>
      <c r="O216" s="37" t="n">
        <v>4.92</v>
      </c>
    </row>
    <row r="217" customFormat="false" ht="15" hidden="false" customHeight="false" outlineLevel="0" collapsed="false">
      <c r="A217" s="32" t="s">
        <v>638</v>
      </c>
      <c r="B217" s="33" t="s">
        <v>639</v>
      </c>
      <c r="C217" s="33" t="s">
        <v>28</v>
      </c>
      <c r="D217" s="34" t="n">
        <v>43353</v>
      </c>
      <c r="E217" s="33" t="s">
        <v>64</v>
      </c>
      <c r="F217" s="33" t="n">
        <v>21337220</v>
      </c>
      <c r="G217" s="33" t="n">
        <v>720192</v>
      </c>
      <c r="H217" s="33" t="s">
        <v>34</v>
      </c>
      <c r="I217" s="33" t="s">
        <v>174</v>
      </c>
      <c r="J217" s="33" t="s">
        <v>88</v>
      </c>
      <c r="K217" s="35" t="n">
        <v>223691834</v>
      </c>
      <c r="L217" s="33" t="s">
        <v>390</v>
      </c>
      <c r="M217" s="33" t="n">
        <v>102902953</v>
      </c>
      <c r="N217" s="36" t="n">
        <v>631</v>
      </c>
      <c r="O217" s="37" t="n">
        <v>17.48</v>
      </c>
    </row>
    <row r="218" customFormat="false" ht="15" hidden="false" customHeight="false" outlineLevel="0" collapsed="false">
      <c r="A218" s="32" t="s">
        <v>640</v>
      </c>
      <c r="B218" s="33" t="s">
        <v>641</v>
      </c>
      <c r="C218" s="33" t="s">
        <v>28</v>
      </c>
      <c r="D218" s="34" t="n">
        <v>43353</v>
      </c>
      <c r="E218" s="33" t="s">
        <v>64</v>
      </c>
      <c r="F218" s="33" t="n">
        <v>21337220</v>
      </c>
      <c r="G218" s="33" t="n">
        <v>720192</v>
      </c>
      <c r="H218" s="33" t="s">
        <v>34</v>
      </c>
      <c r="I218" s="33" t="s">
        <v>174</v>
      </c>
      <c r="J218" s="33" t="s">
        <v>96</v>
      </c>
      <c r="K218" s="35" t="n">
        <v>223691804</v>
      </c>
      <c r="L218" s="33" t="s">
        <v>642</v>
      </c>
      <c r="M218" s="33" t="n">
        <v>103058717</v>
      </c>
      <c r="N218" s="36" t="n">
        <v>709</v>
      </c>
      <c r="O218" s="37" t="n">
        <v>10.52</v>
      </c>
    </row>
    <row r="219" customFormat="false" ht="15" hidden="false" customHeight="false" outlineLevel="0" collapsed="false">
      <c r="A219" s="32" t="s">
        <v>643</v>
      </c>
      <c r="B219" s="33" t="s">
        <v>644</v>
      </c>
      <c r="C219" s="33" t="s">
        <v>28</v>
      </c>
      <c r="D219" s="34" t="n">
        <v>43353</v>
      </c>
      <c r="E219" s="33" t="s">
        <v>64</v>
      </c>
      <c r="F219" s="33" t="n">
        <v>21337220</v>
      </c>
      <c r="G219" s="33" t="n">
        <v>720192</v>
      </c>
      <c r="H219" s="33" t="s">
        <v>34</v>
      </c>
      <c r="I219" s="33" t="s">
        <v>174</v>
      </c>
      <c r="J219" s="33" t="s">
        <v>69</v>
      </c>
      <c r="K219" s="35" t="n">
        <v>223691798</v>
      </c>
      <c r="L219" s="33" t="s">
        <v>333</v>
      </c>
      <c r="M219" s="33" t="n">
        <v>102916347</v>
      </c>
      <c r="N219" s="36" t="n">
        <v>1029</v>
      </c>
      <c r="O219" s="37" t="n">
        <v>19.16</v>
      </c>
    </row>
    <row r="220" customFormat="false" ht="15" hidden="false" customHeight="false" outlineLevel="0" collapsed="false">
      <c r="A220" s="32" t="s">
        <v>645</v>
      </c>
      <c r="B220" s="33" t="s">
        <v>646</v>
      </c>
      <c r="C220" s="33" t="s">
        <v>28</v>
      </c>
      <c r="D220" s="34" t="n">
        <v>43353</v>
      </c>
      <c r="E220" s="33" t="s">
        <v>64</v>
      </c>
      <c r="F220" s="33" t="n">
        <v>21337220</v>
      </c>
      <c r="G220" s="33" t="n">
        <v>720192</v>
      </c>
      <c r="H220" s="33" t="s">
        <v>34</v>
      </c>
      <c r="I220" s="33" t="s">
        <v>174</v>
      </c>
      <c r="J220" s="33" t="s">
        <v>97</v>
      </c>
      <c r="K220" s="35" t="n">
        <v>223691774</v>
      </c>
      <c r="L220" s="33" t="s">
        <v>647</v>
      </c>
      <c r="M220" s="33" t="n">
        <v>102916356</v>
      </c>
      <c r="N220" s="36" t="n">
        <v>651</v>
      </c>
      <c r="O220" s="37" t="n">
        <v>11.4</v>
      </c>
    </row>
    <row r="221" customFormat="false" ht="15" hidden="false" customHeight="false" outlineLevel="0" collapsed="false">
      <c r="A221" s="32" t="s">
        <v>648</v>
      </c>
      <c r="B221" s="33" t="s">
        <v>649</v>
      </c>
      <c r="C221" s="33" t="s">
        <v>28</v>
      </c>
      <c r="D221" s="34" t="n">
        <v>43353</v>
      </c>
      <c r="E221" s="33" t="s">
        <v>64</v>
      </c>
      <c r="F221" s="33" t="n">
        <v>21337220</v>
      </c>
      <c r="G221" s="33" t="n">
        <v>720192</v>
      </c>
      <c r="H221" s="33" t="s">
        <v>34</v>
      </c>
      <c r="I221" s="33" t="s">
        <v>174</v>
      </c>
      <c r="J221" s="33" t="s">
        <v>90</v>
      </c>
      <c r="K221" s="35" t="n">
        <v>223691819</v>
      </c>
      <c r="L221" s="33" t="s">
        <v>396</v>
      </c>
      <c r="M221" s="33" t="n">
        <v>102900682</v>
      </c>
      <c r="N221" s="36" t="n">
        <v>364</v>
      </c>
      <c r="O221" s="37" t="n">
        <v>16.56</v>
      </c>
    </row>
    <row r="222" customFormat="false" ht="15" hidden="false" customHeight="false" outlineLevel="0" collapsed="false">
      <c r="A222" s="32" t="s">
        <v>650</v>
      </c>
      <c r="B222" s="33" t="s">
        <v>651</v>
      </c>
      <c r="C222" s="33" t="s">
        <v>28</v>
      </c>
      <c r="D222" s="34" t="n">
        <v>43353</v>
      </c>
      <c r="E222" s="33" t="s">
        <v>64</v>
      </c>
      <c r="F222" s="33" t="n">
        <v>21337220</v>
      </c>
      <c r="G222" s="33" t="n">
        <v>720192</v>
      </c>
      <c r="H222" s="33" t="s">
        <v>34</v>
      </c>
      <c r="I222" s="33" t="s">
        <v>174</v>
      </c>
      <c r="J222" s="33" t="s">
        <v>91</v>
      </c>
      <c r="K222" s="35" t="n">
        <v>223691828</v>
      </c>
      <c r="L222" s="33" t="s">
        <v>399</v>
      </c>
      <c r="M222" s="33" t="n">
        <v>102902956</v>
      </c>
      <c r="N222" s="36" t="n">
        <v>623</v>
      </c>
      <c r="O222" s="37" t="n">
        <v>10.89</v>
      </c>
    </row>
    <row r="223" customFormat="false" ht="15" hidden="false" customHeight="false" outlineLevel="0" collapsed="false">
      <c r="A223" s="32" t="s">
        <v>652</v>
      </c>
      <c r="B223" s="33" t="s">
        <v>653</v>
      </c>
      <c r="C223" s="33" t="s">
        <v>28</v>
      </c>
      <c r="D223" s="34" t="n">
        <v>43353</v>
      </c>
      <c r="E223" s="33" t="s">
        <v>64</v>
      </c>
      <c r="F223" s="33" t="n">
        <v>21337220</v>
      </c>
      <c r="G223" s="33" t="n">
        <v>720192</v>
      </c>
      <c r="H223" s="33" t="s">
        <v>34</v>
      </c>
      <c r="I223" s="33" t="s">
        <v>174</v>
      </c>
      <c r="J223" s="33" t="s">
        <v>98</v>
      </c>
      <c r="K223" s="35" t="n">
        <v>223691813</v>
      </c>
      <c r="L223" s="33" t="s">
        <v>654</v>
      </c>
      <c r="M223" s="33" t="n">
        <v>103053320</v>
      </c>
      <c r="N223" s="36" t="n">
        <v>4802</v>
      </c>
      <c r="O223" s="37" t="n">
        <v>66.02</v>
      </c>
    </row>
    <row r="224" customFormat="false" ht="15" hidden="false" customHeight="false" outlineLevel="0" collapsed="false">
      <c r="A224" s="32" t="s">
        <v>655</v>
      </c>
      <c r="B224" s="33" t="s">
        <v>656</v>
      </c>
      <c r="C224" s="33" t="s">
        <v>28</v>
      </c>
      <c r="D224" s="34" t="n">
        <v>43353</v>
      </c>
      <c r="E224" s="33" t="s">
        <v>64</v>
      </c>
      <c r="F224" s="33" t="n">
        <v>21337220</v>
      </c>
      <c r="G224" s="33" t="n">
        <v>720192</v>
      </c>
      <c r="H224" s="33" t="s">
        <v>34</v>
      </c>
      <c r="I224" s="33" t="s">
        <v>174</v>
      </c>
      <c r="J224" s="33" t="s">
        <v>99</v>
      </c>
      <c r="K224" s="35" t="n">
        <v>223691771</v>
      </c>
      <c r="L224" s="33" t="s">
        <v>657</v>
      </c>
      <c r="M224" s="33" t="n">
        <v>102902968</v>
      </c>
      <c r="N224" s="36" t="n">
        <v>613</v>
      </c>
      <c r="O224" s="37" t="n">
        <v>8.44</v>
      </c>
    </row>
    <row r="225" customFormat="false" ht="15" hidden="false" customHeight="false" outlineLevel="0" collapsed="false">
      <c r="A225" s="32" t="s">
        <v>658</v>
      </c>
      <c r="B225" s="33" t="s">
        <v>659</v>
      </c>
      <c r="C225" s="33" t="s">
        <v>28</v>
      </c>
      <c r="D225" s="34" t="n">
        <v>43353</v>
      </c>
      <c r="E225" s="33" t="s">
        <v>64</v>
      </c>
      <c r="F225" s="33" t="n">
        <v>21337220</v>
      </c>
      <c r="G225" s="33" t="n">
        <v>720192</v>
      </c>
      <c r="H225" s="33" t="s">
        <v>34</v>
      </c>
      <c r="I225" s="33" t="s">
        <v>174</v>
      </c>
      <c r="J225" s="33" t="s">
        <v>100</v>
      </c>
      <c r="K225" s="35" t="n">
        <v>223691765</v>
      </c>
      <c r="L225" s="33" t="s">
        <v>660</v>
      </c>
      <c r="M225" s="33" t="n">
        <v>103053332</v>
      </c>
      <c r="N225" s="36" t="n">
        <v>193</v>
      </c>
      <c r="O225" s="37" t="n">
        <v>2.76</v>
      </c>
    </row>
    <row r="226" customFormat="false" ht="15" hidden="false" customHeight="false" outlineLevel="0" collapsed="false">
      <c r="A226" s="32" t="s">
        <v>661</v>
      </c>
      <c r="B226" s="33" t="s">
        <v>662</v>
      </c>
      <c r="C226" s="33" t="s">
        <v>28</v>
      </c>
      <c r="D226" s="34" t="n">
        <v>43353</v>
      </c>
      <c r="E226" s="33" t="s">
        <v>64</v>
      </c>
      <c r="F226" s="33" t="n">
        <v>21337220</v>
      </c>
      <c r="G226" s="33" t="n">
        <v>720192</v>
      </c>
      <c r="H226" s="33" t="s">
        <v>34</v>
      </c>
      <c r="I226" s="33" t="s">
        <v>174</v>
      </c>
      <c r="J226" s="33" t="s">
        <v>101</v>
      </c>
      <c r="K226" s="35" t="n">
        <v>223691768</v>
      </c>
      <c r="L226" s="33" t="s">
        <v>663</v>
      </c>
      <c r="M226" s="33" t="n">
        <v>102902971</v>
      </c>
      <c r="N226" s="36" t="n">
        <v>258</v>
      </c>
      <c r="O226" s="37" t="n">
        <v>4.93</v>
      </c>
    </row>
    <row r="227" customFormat="false" ht="15" hidden="false" customHeight="false" outlineLevel="0" collapsed="false">
      <c r="A227" s="32" t="s">
        <v>664</v>
      </c>
      <c r="B227" s="33" t="s">
        <v>665</v>
      </c>
      <c r="C227" s="33" t="s">
        <v>28</v>
      </c>
      <c r="D227" s="34" t="n">
        <v>43353</v>
      </c>
      <c r="E227" s="33" t="s">
        <v>64</v>
      </c>
      <c r="F227" s="33" t="n">
        <v>21337220</v>
      </c>
      <c r="G227" s="33" t="n">
        <v>720192</v>
      </c>
      <c r="H227" s="33" t="s">
        <v>34</v>
      </c>
      <c r="I227" s="33" t="s">
        <v>174</v>
      </c>
      <c r="J227" s="33" t="s">
        <v>83</v>
      </c>
      <c r="K227" s="35" t="n">
        <v>223691837</v>
      </c>
      <c r="L227" s="33" t="s">
        <v>375</v>
      </c>
      <c r="M227" s="33" t="n">
        <v>103053314</v>
      </c>
      <c r="N227" s="36" t="n">
        <v>7358</v>
      </c>
      <c r="O227" s="37" t="n">
        <v>123.57</v>
      </c>
    </row>
    <row r="228" customFormat="false" ht="15" hidden="false" customHeight="false" outlineLevel="0" collapsed="false">
      <c r="A228" s="32" t="s">
        <v>666</v>
      </c>
      <c r="B228" s="33" t="s">
        <v>667</v>
      </c>
      <c r="C228" s="33" t="s">
        <v>28</v>
      </c>
      <c r="D228" s="34" t="n">
        <v>43353</v>
      </c>
      <c r="E228" s="33" t="s">
        <v>64</v>
      </c>
      <c r="F228" s="33" t="n">
        <v>21337220</v>
      </c>
      <c r="G228" s="33" t="n">
        <v>720192</v>
      </c>
      <c r="H228" s="33" t="s">
        <v>34</v>
      </c>
      <c r="I228" s="33" t="s">
        <v>174</v>
      </c>
      <c r="J228" s="33" t="s">
        <v>71</v>
      </c>
      <c r="K228" s="35" t="n">
        <v>225322324</v>
      </c>
      <c r="L228" s="33" t="s">
        <v>339</v>
      </c>
      <c r="M228" s="33" t="n">
        <v>103789915</v>
      </c>
      <c r="N228" s="36" t="n">
        <v>385</v>
      </c>
      <c r="O228" s="37" t="n">
        <v>5.95</v>
      </c>
    </row>
    <row r="229" customFormat="false" ht="15" hidden="false" customHeight="false" outlineLevel="0" collapsed="false">
      <c r="A229" s="32" t="s">
        <v>668</v>
      </c>
      <c r="B229" s="33" t="s">
        <v>669</v>
      </c>
      <c r="C229" s="33" t="s">
        <v>28</v>
      </c>
      <c r="D229" s="34" t="n">
        <v>43353</v>
      </c>
      <c r="E229" s="33" t="s">
        <v>64</v>
      </c>
      <c r="F229" s="33" t="n">
        <v>21337220</v>
      </c>
      <c r="G229" s="33" t="n">
        <v>720192</v>
      </c>
      <c r="H229" s="33" t="s">
        <v>34</v>
      </c>
      <c r="I229" s="33" t="s">
        <v>174</v>
      </c>
      <c r="J229" s="33" t="s">
        <v>76</v>
      </c>
      <c r="K229" s="35" t="n">
        <v>223691783</v>
      </c>
      <c r="L229" s="33" t="s">
        <v>354</v>
      </c>
      <c r="M229" s="33" t="n">
        <v>103058723</v>
      </c>
      <c r="N229" s="36" t="n">
        <v>166</v>
      </c>
      <c r="O229" s="37" t="n">
        <v>5.01</v>
      </c>
    </row>
    <row r="230" customFormat="false" ht="15" hidden="false" customHeight="false" outlineLevel="0" collapsed="false">
      <c r="A230" s="32" t="s">
        <v>670</v>
      </c>
      <c r="B230" s="33" t="s">
        <v>671</v>
      </c>
      <c r="C230" s="33" t="s">
        <v>28</v>
      </c>
      <c r="D230" s="34" t="n">
        <v>43352</v>
      </c>
      <c r="E230" s="33" t="s">
        <v>64</v>
      </c>
      <c r="F230" s="33" t="n">
        <v>21337220</v>
      </c>
      <c r="G230" s="33" t="n">
        <v>720192</v>
      </c>
      <c r="H230" s="33" t="s">
        <v>34</v>
      </c>
      <c r="I230" s="33" t="s">
        <v>174</v>
      </c>
      <c r="J230" s="33" t="s">
        <v>67</v>
      </c>
      <c r="K230" s="35" t="n">
        <v>227618695</v>
      </c>
      <c r="L230" s="33" t="s">
        <v>330</v>
      </c>
      <c r="M230" s="33" t="n">
        <v>105127638</v>
      </c>
      <c r="N230" s="36" t="n">
        <v>331</v>
      </c>
      <c r="O230" s="37" t="n">
        <v>5.06</v>
      </c>
    </row>
    <row r="231" customFormat="false" ht="15" hidden="false" customHeight="false" outlineLevel="0" collapsed="false">
      <c r="A231" s="32" t="s">
        <v>672</v>
      </c>
      <c r="B231" s="33" t="s">
        <v>673</v>
      </c>
      <c r="C231" s="33" t="s">
        <v>28</v>
      </c>
      <c r="D231" s="34" t="n">
        <v>43352</v>
      </c>
      <c r="E231" s="33" t="s">
        <v>64</v>
      </c>
      <c r="F231" s="33" t="n">
        <v>21337220</v>
      </c>
      <c r="G231" s="33" t="n">
        <v>720192</v>
      </c>
      <c r="H231" s="33" t="s">
        <v>34</v>
      </c>
      <c r="I231" s="33" t="s">
        <v>174</v>
      </c>
      <c r="J231" s="33" t="s">
        <v>71</v>
      </c>
      <c r="K231" s="35" t="n">
        <v>225322324</v>
      </c>
      <c r="L231" s="33" t="s">
        <v>339</v>
      </c>
      <c r="M231" s="33" t="n">
        <v>103789915</v>
      </c>
      <c r="N231" s="36" t="n">
        <v>826</v>
      </c>
      <c r="O231" s="37" t="n">
        <v>14.01</v>
      </c>
    </row>
    <row r="232" customFormat="false" ht="15" hidden="false" customHeight="false" outlineLevel="0" collapsed="false">
      <c r="A232" s="32" t="s">
        <v>674</v>
      </c>
      <c r="B232" s="33" t="s">
        <v>675</v>
      </c>
      <c r="C232" s="33" t="s">
        <v>28</v>
      </c>
      <c r="D232" s="34" t="n">
        <v>43352</v>
      </c>
      <c r="E232" s="33" t="s">
        <v>64</v>
      </c>
      <c r="F232" s="33" t="n">
        <v>21337220</v>
      </c>
      <c r="G232" s="33" t="n">
        <v>720192</v>
      </c>
      <c r="H232" s="33" t="s">
        <v>34</v>
      </c>
      <c r="I232" s="33" t="s">
        <v>174</v>
      </c>
      <c r="J232" s="33" t="s">
        <v>78</v>
      </c>
      <c r="K232" s="35" t="n">
        <v>227522771</v>
      </c>
      <c r="L232" s="33" t="s">
        <v>360</v>
      </c>
      <c r="M232" s="33" t="n">
        <v>105130128</v>
      </c>
      <c r="N232" s="36" t="n">
        <v>201</v>
      </c>
      <c r="O232" s="37" t="n">
        <v>3.6</v>
      </c>
    </row>
    <row r="233" customFormat="false" ht="15" hidden="false" customHeight="false" outlineLevel="0" collapsed="false">
      <c r="A233" s="32" t="s">
        <v>676</v>
      </c>
      <c r="B233" s="33" t="s">
        <v>677</v>
      </c>
      <c r="C233" s="33" t="s">
        <v>28</v>
      </c>
      <c r="D233" s="34" t="n">
        <v>43352</v>
      </c>
      <c r="E233" s="33" t="s">
        <v>64</v>
      </c>
      <c r="F233" s="33" t="n">
        <v>21337220</v>
      </c>
      <c r="G233" s="33" t="n">
        <v>720192</v>
      </c>
      <c r="H233" s="33" t="s">
        <v>34</v>
      </c>
      <c r="I233" s="33" t="s">
        <v>174</v>
      </c>
      <c r="J233" s="33" t="s">
        <v>82</v>
      </c>
      <c r="K233" s="35" t="n">
        <v>225322327</v>
      </c>
      <c r="L233" s="33" t="s">
        <v>372</v>
      </c>
      <c r="M233" s="33" t="n">
        <v>103902287</v>
      </c>
      <c r="N233" s="36" t="n">
        <v>937</v>
      </c>
      <c r="O233" s="37" t="n">
        <v>17</v>
      </c>
    </row>
    <row r="234" customFormat="false" ht="15" hidden="false" customHeight="false" outlineLevel="0" collapsed="false">
      <c r="A234" s="32" t="s">
        <v>678</v>
      </c>
      <c r="B234" s="33" t="s">
        <v>679</v>
      </c>
      <c r="C234" s="33" t="s">
        <v>28</v>
      </c>
      <c r="D234" s="34" t="n">
        <v>43352</v>
      </c>
      <c r="E234" s="33" t="s">
        <v>64</v>
      </c>
      <c r="F234" s="33" t="n">
        <v>21337220</v>
      </c>
      <c r="G234" s="33" t="n">
        <v>720192</v>
      </c>
      <c r="H234" s="33" t="s">
        <v>34</v>
      </c>
      <c r="I234" s="33" t="s">
        <v>174</v>
      </c>
      <c r="J234" s="33" t="s">
        <v>90</v>
      </c>
      <c r="K234" s="35" t="n">
        <v>223691819</v>
      </c>
      <c r="L234" s="33" t="s">
        <v>396</v>
      </c>
      <c r="M234" s="33" t="n">
        <v>102900682</v>
      </c>
      <c r="N234" s="36" t="n">
        <v>364</v>
      </c>
      <c r="O234" s="37" t="n">
        <v>9.92</v>
      </c>
    </row>
    <row r="235" customFormat="false" ht="15" hidden="false" customHeight="false" outlineLevel="0" collapsed="false">
      <c r="A235" s="32" t="s">
        <v>680</v>
      </c>
      <c r="B235" s="33" t="s">
        <v>681</v>
      </c>
      <c r="C235" s="33" t="s">
        <v>28</v>
      </c>
      <c r="D235" s="34" t="n">
        <v>43352</v>
      </c>
      <c r="E235" s="33" t="s">
        <v>64</v>
      </c>
      <c r="F235" s="33" t="n">
        <v>21337220</v>
      </c>
      <c r="G235" s="33" t="n">
        <v>720192</v>
      </c>
      <c r="H235" s="33" t="s">
        <v>34</v>
      </c>
      <c r="I235" s="33" t="s">
        <v>174</v>
      </c>
      <c r="J235" s="33" t="s">
        <v>86</v>
      </c>
      <c r="K235" s="35" t="n">
        <v>227522762</v>
      </c>
      <c r="L235" s="33" t="s">
        <v>384</v>
      </c>
      <c r="M235" s="33" t="n">
        <v>105216992</v>
      </c>
      <c r="N235" s="36" t="n">
        <v>799</v>
      </c>
      <c r="O235" s="37" t="n">
        <v>14.41</v>
      </c>
    </row>
    <row r="236" customFormat="false" ht="15" hidden="false" customHeight="false" outlineLevel="0" collapsed="false">
      <c r="A236" s="32" t="s">
        <v>682</v>
      </c>
      <c r="B236" s="33" t="s">
        <v>683</v>
      </c>
      <c r="C236" s="33" t="s">
        <v>28</v>
      </c>
      <c r="D236" s="34" t="n">
        <v>43352</v>
      </c>
      <c r="E236" s="33" t="s">
        <v>64</v>
      </c>
      <c r="F236" s="33" t="n">
        <v>21337220</v>
      </c>
      <c r="G236" s="33" t="n">
        <v>720192</v>
      </c>
      <c r="H236" s="33" t="s">
        <v>34</v>
      </c>
      <c r="I236" s="33" t="s">
        <v>174</v>
      </c>
      <c r="J236" s="33" t="s">
        <v>101</v>
      </c>
      <c r="K236" s="35" t="n">
        <v>223691768</v>
      </c>
      <c r="L236" s="33" t="s">
        <v>663</v>
      </c>
      <c r="M236" s="33" t="n">
        <v>102902971</v>
      </c>
      <c r="N236" s="36" t="n">
        <v>248</v>
      </c>
      <c r="O236" s="37" t="n">
        <v>4.43</v>
      </c>
    </row>
    <row r="237" customFormat="false" ht="15" hidden="false" customHeight="false" outlineLevel="0" collapsed="false">
      <c r="A237" s="32" t="s">
        <v>684</v>
      </c>
      <c r="B237" s="33" t="s">
        <v>685</v>
      </c>
      <c r="C237" s="33" t="s">
        <v>28</v>
      </c>
      <c r="D237" s="34" t="n">
        <v>43352</v>
      </c>
      <c r="E237" s="33" t="s">
        <v>64</v>
      </c>
      <c r="F237" s="33" t="n">
        <v>21337220</v>
      </c>
      <c r="G237" s="33" t="n">
        <v>720192</v>
      </c>
      <c r="H237" s="33" t="s">
        <v>34</v>
      </c>
      <c r="I237" s="33" t="s">
        <v>174</v>
      </c>
      <c r="J237" s="33" t="s">
        <v>91</v>
      </c>
      <c r="K237" s="35" t="n">
        <v>223691828</v>
      </c>
      <c r="L237" s="33" t="s">
        <v>399</v>
      </c>
      <c r="M237" s="33" t="n">
        <v>102902956</v>
      </c>
      <c r="N237" s="36" t="n">
        <v>375</v>
      </c>
      <c r="O237" s="37" t="n">
        <v>5.82</v>
      </c>
    </row>
    <row r="238" customFormat="false" ht="15" hidden="false" customHeight="false" outlineLevel="0" collapsed="false">
      <c r="A238" s="32" t="s">
        <v>686</v>
      </c>
      <c r="B238" s="33" t="s">
        <v>687</v>
      </c>
      <c r="C238" s="33" t="s">
        <v>28</v>
      </c>
      <c r="D238" s="34" t="n">
        <v>43352</v>
      </c>
      <c r="E238" s="33" t="s">
        <v>64</v>
      </c>
      <c r="F238" s="33" t="n">
        <v>21337220</v>
      </c>
      <c r="G238" s="33" t="n">
        <v>720192</v>
      </c>
      <c r="H238" s="33" t="s">
        <v>34</v>
      </c>
      <c r="I238" s="33" t="s">
        <v>174</v>
      </c>
      <c r="J238" s="33" t="s">
        <v>88</v>
      </c>
      <c r="K238" s="35" t="n">
        <v>223691834</v>
      </c>
      <c r="L238" s="33" t="s">
        <v>390</v>
      </c>
      <c r="M238" s="33" t="n">
        <v>102902953</v>
      </c>
      <c r="N238" s="36" t="n">
        <v>417</v>
      </c>
      <c r="O238" s="37" t="n">
        <v>8.58</v>
      </c>
    </row>
    <row r="239" customFormat="false" ht="15" hidden="false" customHeight="false" outlineLevel="0" collapsed="false">
      <c r="A239" s="32" t="s">
        <v>688</v>
      </c>
      <c r="B239" s="33" t="s">
        <v>689</v>
      </c>
      <c r="C239" s="33" t="s">
        <v>28</v>
      </c>
      <c r="D239" s="34" t="n">
        <v>43352</v>
      </c>
      <c r="E239" s="33" t="s">
        <v>64</v>
      </c>
      <c r="F239" s="33" t="n">
        <v>21337220</v>
      </c>
      <c r="G239" s="33" t="n">
        <v>720192</v>
      </c>
      <c r="H239" s="33" t="s">
        <v>34</v>
      </c>
      <c r="I239" s="33" t="s">
        <v>174</v>
      </c>
      <c r="J239" s="33" t="s">
        <v>89</v>
      </c>
      <c r="K239" s="35" t="n">
        <v>223691822</v>
      </c>
      <c r="L239" s="33" t="s">
        <v>393</v>
      </c>
      <c r="M239" s="33" t="n">
        <v>103058708</v>
      </c>
      <c r="N239" s="36" t="n">
        <v>1206</v>
      </c>
      <c r="O239" s="37" t="n">
        <v>30.87</v>
      </c>
    </row>
    <row r="240" customFormat="false" ht="15" hidden="false" customHeight="false" outlineLevel="0" collapsed="false">
      <c r="A240" s="32" t="s">
        <v>690</v>
      </c>
      <c r="B240" s="33" t="s">
        <v>691</v>
      </c>
      <c r="C240" s="33" t="s">
        <v>28</v>
      </c>
      <c r="D240" s="34" t="n">
        <v>43352</v>
      </c>
      <c r="E240" s="33" t="s">
        <v>64</v>
      </c>
      <c r="F240" s="33" t="n">
        <v>21337220</v>
      </c>
      <c r="G240" s="33" t="n">
        <v>720192</v>
      </c>
      <c r="H240" s="33" t="s">
        <v>34</v>
      </c>
      <c r="I240" s="33" t="s">
        <v>174</v>
      </c>
      <c r="J240" s="33" t="s">
        <v>80</v>
      </c>
      <c r="K240" s="35" t="n">
        <v>223691825</v>
      </c>
      <c r="L240" s="33" t="s">
        <v>366</v>
      </c>
      <c r="M240" s="33" t="n">
        <v>102916338</v>
      </c>
      <c r="N240" s="36" t="n">
        <v>4079</v>
      </c>
      <c r="O240" s="37" t="n">
        <v>166.56</v>
      </c>
    </row>
    <row r="241" customFormat="false" ht="15" hidden="false" customHeight="false" outlineLevel="0" collapsed="false">
      <c r="A241" s="32" t="s">
        <v>692</v>
      </c>
      <c r="B241" s="33" t="s">
        <v>693</v>
      </c>
      <c r="C241" s="33" t="s">
        <v>28</v>
      </c>
      <c r="D241" s="34" t="n">
        <v>43352</v>
      </c>
      <c r="E241" s="33" t="s">
        <v>64</v>
      </c>
      <c r="F241" s="33" t="n">
        <v>21337220</v>
      </c>
      <c r="G241" s="33" t="n">
        <v>720192</v>
      </c>
      <c r="H241" s="33" t="s">
        <v>34</v>
      </c>
      <c r="I241" s="33" t="s">
        <v>174</v>
      </c>
      <c r="J241" s="33" t="s">
        <v>87</v>
      </c>
      <c r="K241" s="35" t="n">
        <v>223691795</v>
      </c>
      <c r="L241" s="33" t="s">
        <v>387</v>
      </c>
      <c r="M241" s="33" t="n">
        <v>102900688</v>
      </c>
      <c r="N241" s="36" t="n">
        <v>201</v>
      </c>
      <c r="O241" s="37" t="n">
        <v>3.54</v>
      </c>
    </row>
    <row r="242" customFormat="false" ht="15" hidden="false" customHeight="false" outlineLevel="0" collapsed="false">
      <c r="A242" s="32" t="s">
        <v>694</v>
      </c>
      <c r="B242" s="33" t="s">
        <v>695</v>
      </c>
      <c r="C242" s="33" t="s">
        <v>28</v>
      </c>
      <c r="D242" s="34" t="n">
        <v>43352</v>
      </c>
      <c r="E242" s="33" t="s">
        <v>64</v>
      </c>
      <c r="F242" s="33" t="n">
        <v>21337220</v>
      </c>
      <c r="G242" s="33" t="n">
        <v>720192</v>
      </c>
      <c r="H242" s="33" t="s">
        <v>34</v>
      </c>
      <c r="I242" s="33" t="s">
        <v>174</v>
      </c>
      <c r="J242" s="33" t="s">
        <v>70</v>
      </c>
      <c r="K242" s="35" t="n">
        <v>223691831</v>
      </c>
      <c r="L242" s="33" t="s">
        <v>336</v>
      </c>
      <c r="M242" s="33" t="n">
        <v>102913800</v>
      </c>
      <c r="N242" s="36" t="n">
        <v>4140</v>
      </c>
      <c r="O242" s="37" t="n">
        <v>95.92</v>
      </c>
    </row>
    <row r="243" customFormat="false" ht="15" hidden="false" customHeight="false" outlineLevel="0" collapsed="false">
      <c r="A243" s="32" t="s">
        <v>696</v>
      </c>
      <c r="B243" s="33" t="s">
        <v>697</v>
      </c>
      <c r="C243" s="33" t="s">
        <v>28</v>
      </c>
      <c r="D243" s="34" t="n">
        <v>43352</v>
      </c>
      <c r="E243" s="33" t="s">
        <v>64</v>
      </c>
      <c r="F243" s="33" t="n">
        <v>21337220</v>
      </c>
      <c r="G243" s="33" t="n">
        <v>720192</v>
      </c>
      <c r="H243" s="33" t="s">
        <v>34</v>
      </c>
      <c r="I243" s="33" t="s">
        <v>174</v>
      </c>
      <c r="J243" s="33" t="s">
        <v>72</v>
      </c>
      <c r="K243" s="35" t="n">
        <v>223691777</v>
      </c>
      <c r="L243" s="33" t="s">
        <v>342</v>
      </c>
      <c r="M243" s="33" t="n">
        <v>102900697</v>
      </c>
      <c r="N243" s="36" t="n">
        <v>500</v>
      </c>
      <c r="O243" s="37" t="n">
        <v>20.27</v>
      </c>
    </row>
    <row r="244" customFormat="false" ht="15" hidden="false" customHeight="false" outlineLevel="0" collapsed="false">
      <c r="A244" s="32" t="s">
        <v>698</v>
      </c>
      <c r="B244" s="33" t="s">
        <v>699</v>
      </c>
      <c r="C244" s="33" t="s">
        <v>28</v>
      </c>
      <c r="D244" s="34" t="n">
        <v>43352</v>
      </c>
      <c r="E244" s="33" t="s">
        <v>64</v>
      </c>
      <c r="F244" s="33" t="n">
        <v>21337220</v>
      </c>
      <c r="G244" s="33" t="n">
        <v>720192</v>
      </c>
      <c r="H244" s="33" t="s">
        <v>34</v>
      </c>
      <c r="I244" s="33" t="s">
        <v>174</v>
      </c>
      <c r="J244" s="33" t="s">
        <v>73</v>
      </c>
      <c r="K244" s="35" t="n">
        <v>223691792</v>
      </c>
      <c r="L244" s="33" t="s">
        <v>345</v>
      </c>
      <c r="M244" s="33" t="n">
        <v>102901894</v>
      </c>
      <c r="N244" s="36" t="n">
        <v>666</v>
      </c>
      <c r="O244" s="37" t="n">
        <v>13.92</v>
      </c>
    </row>
    <row r="245" customFormat="false" ht="15" hidden="false" customHeight="false" outlineLevel="0" collapsed="false">
      <c r="A245" s="32" t="s">
        <v>700</v>
      </c>
      <c r="B245" s="33" t="s">
        <v>701</v>
      </c>
      <c r="C245" s="33" t="s">
        <v>28</v>
      </c>
      <c r="D245" s="34" t="n">
        <v>43352</v>
      </c>
      <c r="E245" s="33" t="s">
        <v>64</v>
      </c>
      <c r="F245" s="33" t="n">
        <v>21337220</v>
      </c>
      <c r="G245" s="33" t="n">
        <v>720192</v>
      </c>
      <c r="H245" s="33" t="s">
        <v>34</v>
      </c>
      <c r="I245" s="33" t="s">
        <v>174</v>
      </c>
      <c r="J245" s="33" t="s">
        <v>74</v>
      </c>
      <c r="K245" s="35" t="n">
        <v>223691789</v>
      </c>
      <c r="L245" s="33" t="s">
        <v>348</v>
      </c>
      <c r="M245" s="33" t="n">
        <v>102900691</v>
      </c>
      <c r="N245" s="36" t="n">
        <v>474</v>
      </c>
      <c r="O245" s="37" t="n">
        <v>15.83</v>
      </c>
    </row>
    <row r="246" customFormat="false" ht="15" hidden="false" customHeight="false" outlineLevel="0" collapsed="false">
      <c r="A246" s="32" t="s">
        <v>702</v>
      </c>
      <c r="B246" s="33" t="s">
        <v>703</v>
      </c>
      <c r="C246" s="33" t="s">
        <v>28</v>
      </c>
      <c r="D246" s="34" t="n">
        <v>43352</v>
      </c>
      <c r="E246" s="33" t="s">
        <v>64</v>
      </c>
      <c r="F246" s="33" t="n">
        <v>21337220</v>
      </c>
      <c r="G246" s="33" t="n">
        <v>720192</v>
      </c>
      <c r="H246" s="33" t="s">
        <v>34</v>
      </c>
      <c r="I246" s="33" t="s">
        <v>174</v>
      </c>
      <c r="J246" s="33" t="s">
        <v>75</v>
      </c>
      <c r="K246" s="35" t="n">
        <v>223691780</v>
      </c>
      <c r="L246" s="33" t="s">
        <v>351</v>
      </c>
      <c r="M246" s="33" t="n">
        <v>103058726</v>
      </c>
      <c r="N246" s="36" t="n">
        <v>681</v>
      </c>
      <c r="O246" s="37" t="n">
        <v>21.83</v>
      </c>
    </row>
    <row r="247" customFormat="false" ht="15" hidden="false" customHeight="false" outlineLevel="0" collapsed="false">
      <c r="A247" s="32" t="s">
        <v>704</v>
      </c>
      <c r="B247" s="33" t="s">
        <v>705</v>
      </c>
      <c r="C247" s="33" t="s">
        <v>28</v>
      </c>
      <c r="D247" s="34" t="n">
        <v>43352</v>
      </c>
      <c r="E247" s="33" t="s">
        <v>64</v>
      </c>
      <c r="F247" s="33" t="n">
        <v>21337220</v>
      </c>
      <c r="G247" s="33" t="n">
        <v>720192</v>
      </c>
      <c r="H247" s="33" t="s">
        <v>34</v>
      </c>
      <c r="I247" s="33" t="s">
        <v>174</v>
      </c>
      <c r="J247" s="33" t="s">
        <v>76</v>
      </c>
      <c r="K247" s="35" t="n">
        <v>223691783</v>
      </c>
      <c r="L247" s="33" t="s">
        <v>354</v>
      </c>
      <c r="M247" s="33" t="n">
        <v>103058723</v>
      </c>
      <c r="N247" s="36" t="n">
        <v>140</v>
      </c>
      <c r="O247" s="37" t="n">
        <v>4.98</v>
      </c>
    </row>
    <row r="248" customFormat="false" ht="15" hidden="false" customHeight="false" outlineLevel="0" collapsed="false">
      <c r="A248" s="32" t="s">
        <v>706</v>
      </c>
      <c r="B248" s="33" t="s">
        <v>707</v>
      </c>
      <c r="C248" s="33" t="s">
        <v>28</v>
      </c>
      <c r="D248" s="34" t="n">
        <v>43352</v>
      </c>
      <c r="E248" s="33" t="s">
        <v>64</v>
      </c>
      <c r="F248" s="33" t="n">
        <v>21337220</v>
      </c>
      <c r="G248" s="33" t="n">
        <v>720192</v>
      </c>
      <c r="H248" s="33" t="s">
        <v>34</v>
      </c>
      <c r="I248" s="33" t="s">
        <v>174</v>
      </c>
      <c r="J248" s="33" t="s">
        <v>77</v>
      </c>
      <c r="K248" s="35" t="n">
        <v>223691840</v>
      </c>
      <c r="L248" s="33" t="s">
        <v>357</v>
      </c>
      <c r="M248" s="33" t="n">
        <v>102902950</v>
      </c>
      <c r="N248" s="36" t="n">
        <v>1236</v>
      </c>
      <c r="O248" s="37" t="n">
        <v>26.02</v>
      </c>
    </row>
    <row r="249" customFormat="false" ht="15" hidden="false" customHeight="false" outlineLevel="0" collapsed="false">
      <c r="A249" s="32" t="s">
        <v>708</v>
      </c>
      <c r="B249" s="33" t="s">
        <v>709</v>
      </c>
      <c r="C249" s="33" t="s">
        <v>28</v>
      </c>
      <c r="D249" s="34" t="n">
        <v>43352</v>
      </c>
      <c r="E249" s="33" t="s">
        <v>64</v>
      </c>
      <c r="F249" s="33" t="n">
        <v>21337220</v>
      </c>
      <c r="G249" s="33" t="n">
        <v>720192</v>
      </c>
      <c r="H249" s="33" t="s">
        <v>34</v>
      </c>
      <c r="I249" s="33" t="s">
        <v>174</v>
      </c>
      <c r="J249" s="33" t="s">
        <v>100</v>
      </c>
      <c r="K249" s="35" t="n">
        <v>223691765</v>
      </c>
      <c r="L249" s="33" t="s">
        <v>660</v>
      </c>
      <c r="M249" s="33" t="n">
        <v>103053332</v>
      </c>
      <c r="N249" s="36" t="n">
        <v>59</v>
      </c>
      <c r="O249" s="37" t="n">
        <v>2.36</v>
      </c>
    </row>
    <row r="250" customFormat="false" ht="15" hidden="false" customHeight="false" outlineLevel="0" collapsed="false">
      <c r="A250" s="32" t="s">
        <v>710</v>
      </c>
      <c r="B250" s="33" t="s">
        <v>711</v>
      </c>
      <c r="C250" s="33" t="s">
        <v>28</v>
      </c>
      <c r="D250" s="34" t="n">
        <v>43352</v>
      </c>
      <c r="E250" s="33" t="s">
        <v>64</v>
      </c>
      <c r="F250" s="33" t="n">
        <v>21337220</v>
      </c>
      <c r="G250" s="33" t="n">
        <v>720192</v>
      </c>
      <c r="H250" s="33" t="s">
        <v>34</v>
      </c>
      <c r="I250" s="33" t="s">
        <v>174</v>
      </c>
      <c r="J250" s="33" t="s">
        <v>85</v>
      </c>
      <c r="K250" s="35" t="n">
        <v>227525720</v>
      </c>
      <c r="L250" s="33" t="s">
        <v>381</v>
      </c>
      <c r="M250" s="33" t="n">
        <v>105130125</v>
      </c>
      <c r="N250" s="36" t="n">
        <v>790</v>
      </c>
      <c r="O250" s="37" t="n">
        <v>13.6</v>
      </c>
    </row>
    <row r="251" customFormat="false" ht="15" hidden="false" customHeight="false" outlineLevel="0" collapsed="false">
      <c r="A251" s="32" t="s">
        <v>712</v>
      </c>
      <c r="B251" s="33" t="s">
        <v>713</v>
      </c>
      <c r="C251" s="33" t="s">
        <v>28</v>
      </c>
      <c r="D251" s="34" t="n">
        <v>43352</v>
      </c>
      <c r="E251" s="33" t="s">
        <v>64</v>
      </c>
      <c r="F251" s="33" t="n">
        <v>21337220</v>
      </c>
      <c r="G251" s="33" t="n">
        <v>720192</v>
      </c>
      <c r="H251" s="33" t="s">
        <v>34</v>
      </c>
      <c r="I251" s="33" t="s">
        <v>174</v>
      </c>
      <c r="J251" s="33" t="s">
        <v>99</v>
      </c>
      <c r="K251" s="35" t="n">
        <v>223691771</v>
      </c>
      <c r="L251" s="33" t="s">
        <v>657</v>
      </c>
      <c r="M251" s="33" t="n">
        <v>102902968</v>
      </c>
      <c r="N251" s="36" t="n">
        <v>241</v>
      </c>
      <c r="O251" s="37" t="n">
        <v>4.06</v>
      </c>
    </row>
    <row r="252" customFormat="false" ht="15" hidden="false" customHeight="false" outlineLevel="0" collapsed="false">
      <c r="A252" s="32" t="s">
        <v>714</v>
      </c>
      <c r="B252" s="33" t="s">
        <v>715</v>
      </c>
      <c r="C252" s="33" t="s">
        <v>28</v>
      </c>
      <c r="D252" s="34" t="n">
        <v>43352</v>
      </c>
      <c r="E252" s="33" t="s">
        <v>64</v>
      </c>
      <c r="F252" s="33" t="n">
        <v>21337220</v>
      </c>
      <c r="G252" s="33" t="n">
        <v>720192</v>
      </c>
      <c r="H252" s="33" t="s">
        <v>34</v>
      </c>
      <c r="I252" s="33" t="s">
        <v>174</v>
      </c>
      <c r="J252" s="33" t="s">
        <v>97</v>
      </c>
      <c r="K252" s="35" t="n">
        <v>223691774</v>
      </c>
      <c r="L252" s="33" t="s">
        <v>647</v>
      </c>
      <c r="M252" s="33" t="n">
        <v>102916356</v>
      </c>
      <c r="N252" s="36" t="n">
        <v>770</v>
      </c>
      <c r="O252" s="37" t="n">
        <v>13.49</v>
      </c>
    </row>
    <row r="253" customFormat="false" ht="15" hidden="false" customHeight="false" outlineLevel="0" collapsed="false">
      <c r="A253" s="32" t="s">
        <v>716</v>
      </c>
      <c r="B253" s="33" t="s">
        <v>717</v>
      </c>
      <c r="C253" s="33" t="s">
        <v>28</v>
      </c>
      <c r="D253" s="34" t="n">
        <v>43352</v>
      </c>
      <c r="E253" s="33" t="s">
        <v>64</v>
      </c>
      <c r="F253" s="33" t="n">
        <v>21337220</v>
      </c>
      <c r="G253" s="33" t="n">
        <v>720192</v>
      </c>
      <c r="H253" s="33" t="s">
        <v>34</v>
      </c>
      <c r="I253" s="33" t="s">
        <v>174</v>
      </c>
      <c r="J253" s="33" t="s">
        <v>79</v>
      </c>
      <c r="K253" s="35" t="n">
        <v>223691801</v>
      </c>
      <c r="L253" s="33" t="s">
        <v>363</v>
      </c>
      <c r="M253" s="33" t="n">
        <v>103053323</v>
      </c>
      <c r="N253" s="36" t="n">
        <v>133</v>
      </c>
      <c r="O253" s="37" t="n">
        <v>3.09</v>
      </c>
    </row>
    <row r="254" customFormat="false" ht="15" hidden="false" customHeight="false" outlineLevel="0" collapsed="false">
      <c r="A254" s="32" t="s">
        <v>718</v>
      </c>
      <c r="B254" s="33" t="s">
        <v>719</v>
      </c>
      <c r="C254" s="33" t="s">
        <v>28</v>
      </c>
      <c r="D254" s="34" t="n">
        <v>43352</v>
      </c>
      <c r="E254" s="33" t="s">
        <v>64</v>
      </c>
      <c r="F254" s="33" t="n">
        <v>21337220</v>
      </c>
      <c r="G254" s="33" t="n">
        <v>720192</v>
      </c>
      <c r="H254" s="33" t="s">
        <v>34</v>
      </c>
      <c r="I254" s="33" t="s">
        <v>174</v>
      </c>
      <c r="J254" s="33" t="s">
        <v>95</v>
      </c>
      <c r="K254" s="35" t="n">
        <v>223691807</v>
      </c>
      <c r="L254" s="33" t="s">
        <v>635</v>
      </c>
      <c r="M254" s="33" t="n">
        <v>102900685</v>
      </c>
      <c r="N254" s="36" t="n">
        <v>555</v>
      </c>
      <c r="O254" s="37" t="n">
        <v>13.17</v>
      </c>
    </row>
    <row r="255" customFormat="false" ht="15" hidden="false" customHeight="false" outlineLevel="0" collapsed="false">
      <c r="A255" s="32" t="s">
        <v>720</v>
      </c>
      <c r="B255" s="33" t="s">
        <v>721</v>
      </c>
      <c r="C255" s="33" t="s">
        <v>28</v>
      </c>
      <c r="D255" s="34" t="n">
        <v>43352</v>
      </c>
      <c r="E255" s="33" t="s">
        <v>64</v>
      </c>
      <c r="F255" s="33" t="n">
        <v>21337220</v>
      </c>
      <c r="G255" s="33" t="n">
        <v>720192</v>
      </c>
      <c r="H255" s="33" t="s">
        <v>34</v>
      </c>
      <c r="I255" s="33" t="s">
        <v>174</v>
      </c>
      <c r="J255" s="33" t="s">
        <v>81</v>
      </c>
      <c r="K255" s="35" t="n">
        <v>223691786</v>
      </c>
      <c r="L255" s="33" t="s">
        <v>369</v>
      </c>
      <c r="M255" s="33" t="n">
        <v>103058720</v>
      </c>
      <c r="N255" s="36" t="n">
        <v>276</v>
      </c>
      <c r="O255" s="37" t="n">
        <v>7.35</v>
      </c>
    </row>
    <row r="256" customFormat="false" ht="15" hidden="false" customHeight="false" outlineLevel="0" collapsed="false">
      <c r="A256" s="32" t="s">
        <v>722</v>
      </c>
      <c r="B256" s="33" t="s">
        <v>723</v>
      </c>
      <c r="C256" s="33" t="s">
        <v>28</v>
      </c>
      <c r="D256" s="34" t="n">
        <v>43352</v>
      </c>
      <c r="E256" s="33" t="s">
        <v>64</v>
      </c>
      <c r="F256" s="33" t="n">
        <v>21337220</v>
      </c>
      <c r="G256" s="33" t="n">
        <v>720192</v>
      </c>
      <c r="H256" s="33" t="s">
        <v>34</v>
      </c>
      <c r="I256" s="33" t="s">
        <v>174</v>
      </c>
      <c r="J256" s="33" t="s">
        <v>92</v>
      </c>
      <c r="K256" s="35" t="n">
        <v>223691762</v>
      </c>
      <c r="L256" s="33" t="s">
        <v>600</v>
      </c>
      <c r="M256" s="33" t="n">
        <v>102902974</v>
      </c>
      <c r="N256" s="36" t="n">
        <v>209</v>
      </c>
      <c r="O256" s="37" t="n">
        <v>3.46</v>
      </c>
    </row>
    <row r="257" customFormat="false" ht="15" hidden="false" customHeight="false" outlineLevel="0" collapsed="false">
      <c r="A257" s="32" t="s">
        <v>724</v>
      </c>
      <c r="B257" s="33" t="s">
        <v>725</v>
      </c>
      <c r="C257" s="33" t="s">
        <v>28</v>
      </c>
      <c r="D257" s="34" t="n">
        <v>43352</v>
      </c>
      <c r="E257" s="33" t="s">
        <v>64</v>
      </c>
      <c r="F257" s="33" t="n">
        <v>21337220</v>
      </c>
      <c r="G257" s="33" t="n">
        <v>720192</v>
      </c>
      <c r="H257" s="33" t="s">
        <v>34</v>
      </c>
      <c r="I257" s="33" t="s">
        <v>174</v>
      </c>
      <c r="J257" s="33" t="s">
        <v>94</v>
      </c>
      <c r="K257" s="35" t="n">
        <v>223691810</v>
      </c>
      <c r="L257" s="33" t="s">
        <v>632</v>
      </c>
      <c r="M257" s="33" t="n">
        <v>103058711</v>
      </c>
      <c r="N257" s="36" t="n">
        <v>1295</v>
      </c>
      <c r="O257" s="37" t="n">
        <v>28.89</v>
      </c>
    </row>
    <row r="258" customFormat="false" ht="15" hidden="false" customHeight="false" outlineLevel="0" collapsed="false">
      <c r="A258" s="32" t="s">
        <v>726</v>
      </c>
      <c r="B258" s="33" t="s">
        <v>727</v>
      </c>
      <c r="C258" s="33" t="s">
        <v>28</v>
      </c>
      <c r="D258" s="34" t="n">
        <v>43352</v>
      </c>
      <c r="E258" s="33" t="s">
        <v>64</v>
      </c>
      <c r="F258" s="33" t="n">
        <v>21337220</v>
      </c>
      <c r="G258" s="33" t="n">
        <v>720192</v>
      </c>
      <c r="H258" s="33" t="s">
        <v>34</v>
      </c>
      <c r="I258" s="33" t="s">
        <v>174</v>
      </c>
      <c r="J258" s="33" t="s">
        <v>96</v>
      </c>
      <c r="K258" s="35" t="n">
        <v>223691804</v>
      </c>
      <c r="L258" s="33" t="s">
        <v>642</v>
      </c>
      <c r="M258" s="33" t="n">
        <v>103058717</v>
      </c>
      <c r="N258" s="36" t="n">
        <v>527</v>
      </c>
      <c r="O258" s="37" t="n">
        <v>10.61</v>
      </c>
    </row>
    <row r="259" customFormat="false" ht="15" hidden="false" customHeight="false" outlineLevel="0" collapsed="false">
      <c r="A259" s="32" t="s">
        <v>728</v>
      </c>
      <c r="B259" s="33" t="s">
        <v>729</v>
      </c>
      <c r="C259" s="33" t="s">
        <v>28</v>
      </c>
      <c r="D259" s="34" t="n">
        <v>43352</v>
      </c>
      <c r="E259" s="33" t="s">
        <v>64</v>
      </c>
      <c r="F259" s="33" t="n">
        <v>21337220</v>
      </c>
      <c r="G259" s="33" t="n">
        <v>720192</v>
      </c>
      <c r="H259" s="33" t="s">
        <v>34</v>
      </c>
      <c r="I259" s="33" t="s">
        <v>174</v>
      </c>
      <c r="J259" s="33" t="s">
        <v>98</v>
      </c>
      <c r="K259" s="35" t="n">
        <v>223691813</v>
      </c>
      <c r="L259" s="33" t="s">
        <v>654</v>
      </c>
      <c r="M259" s="33" t="n">
        <v>103053320</v>
      </c>
      <c r="N259" s="36" t="n">
        <v>5032</v>
      </c>
      <c r="O259" s="37" t="n">
        <v>83.89</v>
      </c>
    </row>
    <row r="260" customFormat="false" ht="15" hidden="false" customHeight="false" outlineLevel="0" collapsed="false">
      <c r="A260" s="32" t="s">
        <v>730</v>
      </c>
      <c r="B260" s="33" t="s">
        <v>731</v>
      </c>
      <c r="C260" s="33" t="s">
        <v>28</v>
      </c>
      <c r="D260" s="34" t="n">
        <v>43352</v>
      </c>
      <c r="E260" s="33" t="s">
        <v>64</v>
      </c>
      <c r="F260" s="33" t="n">
        <v>21337220</v>
      </c>
      <c r="G260" s="33" t="n">
        <v>720192</v>
      </c>
      <c r="H260" s="33" t="s">
        <v>34</v>
      </c>
      <c r="I260" s="33" t="s">
        <v>174</v>
      </c>
      <c r="J260" s="33" t="s">
        <v>83</v>
      </c>
      <c r="K260" s="35" t="n">
        <v>223691837</v>
      </c>
      <c r="L260" s="33" t="s">
        <v>375</v>
      </c>
      <c r="M260" s="33" t="n">
        <v>103053314</v>
      </c>
      <c r="N260" s="36" t="n">
        <v>2639</v>
      </c>
      <c r="O260" s="37" t="n">
        <v>65.11</v>
      </c>
    </row>
    <row r="261" customFormat="false" ht="15" hidden="false" customHeight="false" outlineLevel="0" collapsed="false">
      <c r="A261" s="32" t="s">
        <v>732</v>
      </c>
      <c r="B261" s="33" t="s">
        <v>733</v>
      </c>
      <c r="C261" s="33" t="s">
        <v>28</v>
      </c>
      <c r="D261" s="34" t="n">
        <v>43352</v>
      </c>
      <c r="E261" s="33" t="s">
        <v>64</v>
      </c>
      <c r="F261" s="33" t="n">
        <v>21337220</v>
      </c>
      <c r="G261" s="33" t="n">
        <v>720192</v>
      </c>
      <c r="H261" s="33" t="s">
        <v>34</v>
      </c>
      <c r="I261" s="33" t="s">
        <v>174</v>
      </c>
      <c r="J261" s="33" t="s">
        <v>93</v>
      </c>
      <c r="K261" s="35" t="n">
        <v>223691816</v>
      </c>
      <c r="L261" s="33" t="s">
        <v>625</v>
      </c>
      <c r="M261" s="33" t="n">
        <v>102916341</v>
      </c>
      <c r="N261" s="36" t="n">
        <v>1123</v>
      </c>
      <c r="O261" s="37" t="n">
        <v>30.99</v>
      </c>
    </row>
    <row r="262" customFormat="false" ht="15" hidden="false" customHeight="false" outlineLevel="0" collapsed="false">
      <c r="A262" s="32" t="s">
        <v>734</v>
      </c>
      <c r="B262" s="33" t="s">
        <v>735</v>
      </c>
      <c r="C262" s="33" t="s">
        <v>28</v>
      </c>
      <c r="D262" s="34" t="n">
        <v>43352</v>
      </c>
      <c r="E262" s="33" t="s">
        <v>64</v>
      </c>
      <c r="F262" s="33" t="n">
        <v>21337220</v>
      </c>
      <c r="G262" s="33" t="n">
        <v>720192</v>
      </c>
      <c r="H262" s="33" t="s">
        <v>34</v>
      </c>
      <c r="I262" s="33" t="s">
        <v>174</v>
      </c>
      <c r="J262" s="33" t="s">
        <v>84</v>
      </c>
      <c r="K262" s="35" t="n">
        <v>223684451</v>
      </c>
      <c r="L262" s="33" t="s">
        <v>378</v>
      </c>
      <c r="M262" s="33" t="n">
        <v>102901882</v>
      </c>
      <c r="N262" s="36" t="n">
        <v>2336</v>
      </c>
      <c r="O262" s="37" t="n">
        <v>49.64</v>
      </c>
    </row>
    <row r="263" customFormat="false" ht="15" hidden="false" customHeight="false" outlineLevel="0" collapsed="false">
      <c r="A263" s="32" t="s">
        <v>736</v>
      </c>
      <c r="B263" s="33" t="s">
        <v>737</v>
      </c>
      <c r="C263" s="33" t="s">
        <v>28</v>
      </c>
      <c r="D263" s="34" t="n">
        <v>43352</v>
      </c>
      <c r="E263" s="33" t="s">
        <v>64</v>
      </c>
      <c r="F263" s="33" t="n">
        <v>21337220</v>
      </c>
      <c r="G263" s="33" t="n">
        <v>720192</v>
      </c>
      <c r="H263" s="33" t="s">
        <v>34</v>
      </c>
      <c r="I263" s="33" t="s">
        <v>174</v>
      </c>
      <c r="J263" s="33" t="s">
        <v>69</v>
      </c>
      <c r="K263" s="35" t="n">
        <v>223691798</v>
      </c>
      <c r="L263" s="33" t="s">
        <v>333</v>
      </c>
      <c r="M263" s="33" t="n">
        <v>102916347</v>
      </c>
      <c r="N263" s="36" t="n">
        <v>1213</v>
      </c>
      <c r="O263" s="37" t="n">
        <v>25.81</v>
      </c>
    </row>
    <row r="264" customFormat="false" ht="15" hidden="false" customHeight="false" outlineLevel="0" collapsed="false">
      <c r="A264" s="32" t="s">
        <v>738</v>
      </c>
      <c r="B264" s="33" t="s">
        <v>739</v>
      </c>
      <c r="C264" s="33" t="s">
        <v>28</v>
      </c>
      <c r="D264" s="34" t="n">
        <v>43358</v>
      </c>
      <c r="E264" s="33" t="s">
        <v>102</v>
      </c>
      <c r="F264" s="33" t="n">
        <v>21356941</v>
      </c>
      <c r="G264" s="33" t="n">
        <v>720193</v>
      </c>
      <c r="H264" s="33" t="s">
        <v>34</v>
      </c>
      <c r="I264" s="33" t="s">
        <v>174</v>
      </c>
      <c r="J264" s="33" t="s">
        <v>105</v>
      </c>
      <c r="K264" s="35" t="n">
        <v>226359956</v>
      </c>
      <c r="L264" s="33" t="s">
        <v>740</v>
      </c>
      <c r="M264" s="33" t="n">
        <v>103259775</v>
      </c>
      <c r="N264" s="36" t="n">
        <v>0</v>
      </c>
      <c r="O264" s="37" t="n">
        <v>0</v>
      </c>
    </row>
    <row r="265" customFormat="false" ht="15" hidden="false" customHeight="false" outlineLevel="0" collapsed="false">
      <c r="A265" s="32" t="s">
        <v>741</v>
      </c>
      <c r="B265" s="33" t="s">
        <v>742</v>
      </c>
      <c r="C265" s="33" t="s">
        <v>28</v>
      </c>
      <c r="D265" s="34" t="n">
        <v>43357</v>
      </c>
      <c r="E265" s="33" t="s">
        <v>102</v>
      </c>
      <c r="F265" s="33" t="n">
        <v>21356941</v>
      </c>
      <c r="G265" s="33" t="n">
        <v>720193</v>
      </c>
      <c r="H265" s="33" t="s">
        <v>34</v>
      </c>
      <c r="I265" s="33" t="s">
        <v>174</v>
      </c>
      <c r="J265" s="33" t="s">
        <v>105</v>
      </c>
      <c r="K265" s="35" t="n">
        <v>226359956</v>
      </c>
      <c r="L265" s="33" t="s">
        <v>740</v>
      </c>
      <c r="M265" s="33" t="n">
        <v>103259775</v>
      </c>
      <c r="N265" s="36" t="n">
        <v>0</v>
      </c>
      <c r="O265" s="37" t="n">
        <v>0</v>
      </c>
    </row>
    <row r="266" customFormat="false" ht="15" hidden="false" customHeight="false" outlineLevel="0" collapsed="false">
      <c r="A266" s="32" t="s">
        <v>743</v>
      </c>
      <c r="B266" s="33" t="s">
        <v>744</v>
      </c>
      <c r="C266" s="33" t="s">
        <v>28</v>
      </c>
      <c r="D266" s="34" t="n">
        <v>43356</v>
      </c>
      <c r="E266" s="33" t="s">
        <v>102</v>
      </c>
      <c r="F266" s="33" t="n">
        <v>21356941</v>
      </c>
      <c r="G266" s="33" t="n">
        <v>720193</v>
      </c>
      <c r="H266" s="33" t="s">
        <v>34</v>
      </c>
      <c r="I266" s="33" t="s">
        <v>174</v>
      </c>
      <c r="J266" s="33" t="s">
        <v>105</v>
      </c>
      <c r="K266" s="35" t="n">
        <v>226359956</v>
      </c>
      <c r="L266" s="33" t="s">
        <v>740</v>
      </c>
      <c r="M266" s="33" t="n">
        <v>103259775</v>
      </c>
      <c r="N266" s="36" t="n">
        <v>0</v>
      </c>
      <c r="O266" s="37" t="n">
        <v>0</v>
      </c>
    </row>
    <row r="267" customFormat="false" ht="15" hidden="false" customHeight="false" outlineLevel="0" collapsed="false">
      <c r="A267" s="32" t="s">
        <v>745</v>
      </c>
      <c r="B267" s="33" t="s">
        <v>746</v>
      </c>
      <c r="C267" s="33" t="s">
        <v>28</v>
      </c>
      <c r="D267" s="34" t="n">
        <v>43355</v>
      </c>
      <c r="E267" s="33" t="s">
        <v>102</v>
      </c>
      <c r="F267" s="33" t="n">
        <v>21356941</v>
      </c>
      <c r="G267" s="33" t="n">
        <v>720193</v>
      </c>
      <c r="H267" s="33" t="s">
        <v>34</v>
      </c>
      <c r="I267" s="33" t="s">
        <v>174</v>
      </c>
      <c r="J267" s="33" t="s">
        <v>105</v>
      </c>
      <c r="K267" s="35" t="n">
        <v>226359956</v>
      </c>
      <c r="L267" s="33" t="s">
        <v>740</v>
      </c>
      <c r="M267" s="33" t="n">
        <v>103259775</v>
      </c>
      <c r="N267" s="36" t="n">
        <v>0</v>
      </c>
      <c r="O267" s="37" t="n">
        <v>0</v>
      </c>
    </row>
    <row r="268" customFormat="false" ht="15" hidden="false" customHeight="false" outlineLevel="0" collapsed="false">
      <c r="A268" s="32" t="s">
        <v>747</v>
      </c>
      <c r="B268" s="33" t="s">
        <v>748</v>
      </c>
      <c r="C268" s="33" t="s">
        <v>28</v>
      </c>
      <c r="D268" s="34" t="n">
        <v>43354</v>
      </c>
      <c r="E268" s="33" t="s">
        <v>102</v>
      </c>
      <c r="F268" s="33" t="n">
        <v>21356941</v>
      </c>
      <c r="G268" s="33" t="n">
        <v>720193</v>
      </c>
      <c r="H268" s="33" t="s">
        <v>34</v>
      </c>
      <c r="I268" s="33" t="s">
        <v>174</v>
      </c>
      <c r="J268" s="33" t="s">
        <v>105</v>
      </c>
      <c r="K268" s="35" t="n">
        <v>226359956</v>
      </c>
      <c r="L268" s="33" t="s">
        <v>740</v>
      </c>
      <c r="M268" s="33" t="n">
        <v>103259775</v>
      </c>
      <c r="N268" s="36" t="n">
        <v>0</v>
      </c>
      <c r="O268" s="37" t="n">
        <v>0</v>
      </c>
    </row>
    <row r="269" customFormat="false" ht="15" hidden="false" customHeight="false" outlineLevel="0" collapsed="false">
      <c r="A269" s="32" t="s">
        <v>749</v>
      </c>
      <c r="B269" s="33" t="s">
        <v>750</v>
      </c>
      <c r="C269" s="33" t="s">
        <v>28</v>
      </c>
      <c r="D269" s="34" t="n">
        <v>43353</v>
      </c>
      <c r="E269" s="33" t="s">
        <v>102</v>
      </c>
      <c r="F269" s="33" t="n">
        <v>21356941</v>
      </c>
      <c r="G269" s="33" t="n">
        <v>720193</v>
      </c>
      <c r="H269" s="33" t="s">
        <v>34</v>
      </c>
      <c r="I269" s="33" t="s">
        <v>174</v>
      </c>
      <c r="J269" s="33" t="s">
        <v>105</v>
      </c>
      <c r="K269" s="35" t="n">
        <v>226359956</v>
      </c>
      <c r="L269" s="33" t="s">
        <v>740</v>
      </c>
      <c r="M269" s="33" t="n">
        <v>103259775</v>
      </c>
      <c r="N269" s="36" t="n">
        <v>0</v>
      </c>
      <c r="O269" s="37" t="n">
        <v>0</v>
      </c>
    </row>
    <row r="270" customFormat="false" ht="15" hidden="false" customHeight="false" outlineLevel="0" collapsed="false">
      <c r="A270" s="32" t="s">
        <v>751</v>
      </c>
      <c r="B270" s="33" t="s">
        <v>752</v>
      </c>
      <c r="C270" s="33" t="s">
        <v>28</v>
      </c>
      <c r="D270" s="34" t="n">
        <v>43352</v>
      </c>
      <c r="E270" s="33" t="s">
        <v>102</v>
      </c>
      <c r="F270" s="33" t="n">
        <v>21356941</v>
      </c>
      <c r="G270" s="33" t="n">
        <v>720193</v>
      </c>
      <c r="H270" s="33" t="s">
        <v>34</v>
      </c>
      <c r="I270" s="33" t="s">
        <v>174</v>
      </c>
      <c r="J270" s="33" t="s">
        <v>105</v>
      </c>
      <c r="K270" s="35" t="n">
        <v>226359956</v>
      </c>
      <c r="L270" s="33" t="s">
        <v>740</v>
      </c>
      <c r="M270" s="33" t="n">
        <v>103259775</v>
      </c>
      <c r="N270" s="36" t="n">
        <v>0</v>
      </c>
      <c r="O270" s="37" t="n">
        <v>0</v>
      </c>
    </row>
    <row r="271" customFormat="false" ht="15" hidden="false" customHeight="false" outlineLevel="0" collapsed="false">
      <c r="A271" s="32" t="s">
        <v>753</v>
      </c>
      <c r="B271" s="33" t="s">
        <v>754</v>
      </c>
      <c r="C271" s="33" t="s">
        <v>28</v>
      </c>
      <c r="D271" s="34" t="n">
        <v>43358</v>
      </c>
      <c r="E271" s="33" t="s">
        <v>102</v>
      </c>
      <c r="F271" s="33" t="n">
        <v>21356941</v>
      </c>
      <c r="G271" s="33" t="n">
        <v>720193</v>
      </c>
      <c r="H271" s="33" t="s">
        <v>34</v>
      </c>
      <c r="I271" s="33" t="s">
        <v>174</v>
      </c>
      <c r="J271" s="33" t="s">
        <v>106</v>
      </c>
      <c r="K271" s="35" t="n">
        <v>226359971</v>
      </c>
      <c r="L271" s="33" t="s">
        <v>755</v>
      </c>
      <c r="M271" s="33" t="n">
        <v>103259520</v>
      </c>
      <c r="N271" s="36" t="n">
        <v>0</v>
      </c>
      <c r="O271" s="37" t="n">
        <v>0</v>
      </c>
    </row>
    <row r="272" customFormat="false" ht="15" hidden="false" customHeight="false" outlineLevel="0" collapsed="false">
      <c r="A272" s="32" t="s">
        <v>756</v>
      </c>
      <c r="B272" s="33" t="s">
        <v>757</v>
      </c>
      <c r="C272" s="33" t="s">
        <v>28</v>
      </c>
      <c r="D272" s="34" t="n">
        <v>43357</v>
      </c>
      <c r="E272" s="33" t="s">
        <v>102</v>
      </c>
      <c r="F272" s="33" t="n">
        <v>21356941</v>
      </c>
      <c r="G272" s="33" t="n">
        <v>720193</v>
      </c>
      <c r="H272" s="33" t="s">
        <v>34</v>
      </c>
      <c r="I272" s="33" t="s">
        <v>174</v>
      </c>
      <c r="J272" s="33" t="s">
        <v>106</v>
      </c>
      <c r="K272" s="35" t="n">
        <v>226359971</v>
      </c>
      <c r="L272" s="33" t="s">
        <v>755</v>
      </c>
      <c r="M272" s="33" t="n">
        <v>103259520</v>
      </c>
      <c r="N272" s="36" t="n">
        <v>0</v>
      </c>
      <c r="O272" s="37" t="n">
        <v>0</v>
      </c>
    </row>
    <row r="273" customFormat="false" ht="15" hidden="false" customHeight="false" outlineLevel="0" collapsed="false">
      <c r="A273" s="32" t="s">
        <v>758</v>
      </c>
      <c r="B273" s="33" t="s">
        <v>759</v>
      </c>
      <c r="C273" s="33" t="s">
        <v>28</v>
      </c>
      <c r="D273" s="34" t="n">
        <v>43356</v>
      </c>
      <c r="E273" s="33" t="s">
        <v>102</v>
      </c>
      <c r="F273" s="33" t="n">
        <v>21356941</v>
      </c>
      <c r="G273" s="33" t="n">
        <v>720193</v>
      </c>
      <c r="H273" s="33" t="s">
        <v>34</v>
      </c>
      <c r="I273" s="33" t="s">
        <v>174</v>
      </c>
      <c r="J273" s="33" t="s">
        <v>106</v>
      </c>
      <c r="K273" s="35" t="n">
        <v>226359971</v>
      </c>
      <c r="L273" s="33" t="s">
        <v>755</v>
      </c>
      <c r="M273" s="33" t="n">
        <v>103259520</v>
      </c>
      <c r="N273" s="36" t="n">
        <v>0</v>
      </c>
      <c r="O273" s="37" t="n">
        <v>0</v>
      </c>
    </row>
    <row r="274" customFormat="false" ht="15" hidden="false" customHeight="false" outlineLevel="0" collapsed="false">
      <c r="A274" s="32" t="s">
        <v>760</v>
      </c>
      <c r="B274" s="33" t="s">
        <v>761</v>
      </c>
      <c r="C274" s="33" t="s">
        <v>28</v>
      </c>
      <c r="D274" s="34" t="n">
        <v>43355</v>
      </c>
      <c r="E274" s="33" t="s">
        <v>102</v>
      </c>
      <c r="F274" s="33" t="n">
        <v>21356941</v>
      </c>
      <c r="G274" s="33" t="n">
        <v>720193</v>
      </c>
      <c r="H274" s="33" t="s">
        <v>34</v>
      </c>
      <c r="I274" s="33" t="s">
        <v>174</v>
      </c>
      <c r="J274" s="33" t="s">
        <v>106</v>
      </c>
      <c r="K274" s="35" t="n">
        <v>226359971</v>
      </c>
      <c r="L274" s="33" t="s">
        <v>755</v>
      </c>
      <c r="M274" s="33" t="n">
        <v>103259520</v>
      </c>
      <c r="N274" s="36" t="n">
        <v>0</v>
      </c>
      <c r="O274" s="37" t="n">
        <v>0</v>
      </c>
    </row>
    <row r="275" customFormat="false" ht="15" hidden="false" customHeight="false" outlineLevel="0" collapsed="false">
      <c r="A275" s="32" t="s">
        <v>762</v>
      </c>
      <c r="B275" s="33" t="s">
        <v>763</v>
      </c>
      <c r="C275" s="33" t="s">
        <v>28</v>
      </c>
      <c r="D275" s="34" t="n">
        <v>43354</v>
      </c>
      <c r="E275" s="33" t="s">
        <v>102</v>
      </c>
      <c r="F275" s="33" t="n">
        <v>21356941</v>
      </c>
      <c r="G275" s="33" t="n">
        <v>720193</v>
      </c>
      <c r="H275" s="33" t="s">
        <v>34</v>
      </c>
      <c r="I275" s="33" t="s">
        <v>174</v>
      </c>
      <c r="J275" s="33" t="s">
        <v>106</v>
      </c>
      <c r="K275" s="35" t="n">
        <v>226359971</v>
      </c>
      <c r="L275" s="33" t="s">
        <v>755</v>
      </c>
      <c r="M275" s="33" t="n">
        <v>103259520</v>
      </c>
      <c r="N275" s="36" t="n">
        <v>0</v>
      </c>
      <c r="O275" s="37" t="n">
        <v>0</v>
      </c>
    </row>
    <row r="276" customFormat="false" ht="15" hidden="false" customHeight="false" outlineLevel="0" collapsed="false">
      <c r="A276" s="32" t="s">
        <v>764</v>
      </c>
      <c r="B276" s="33" t="s">
        <v>765</v>
      </c>
      <c r="C276" s="33" t="s">
        <v>28</v>
      </c>
      <c r="D276" s="34" t="n">
        <v>43353</v>
      </c>
      <c r="E276" s="33" t="s">
        <v>102</v>
      </c>
      <c r="F276" s="33" t="n">
        <v>21356941</v>
      </c>
      <c r="G276" s="33" t="n">
        <v>720193</v>
      </c>
      <c r="H276" s="33" t="s">
        <v>34</v>
      </c>
      <c r="I276" s="33" t="s">
        <v>174</v>
      </c>
      <c r="J276" s="33" t="s">
        <v>106</v>
      </c>
      <c r="K276" s="35" t="n">
        <v>226359971</v>
      </c>
      <c r="L276" s="33" t="s">
        <v>755</v>
      </c>
      <c r="M276" s="33" t="n">
        <v>103259520</v>
      </c>
      <c r="N276" s="36" t="n">
        <v>0</v>
      </c>
      <c r="O276" s="37" t="n">
        <v>0</v>
      </c>
    </row>
    <row r="277" customFormat="false" ht="15" hidden="false" customHeight="false" outlineLevel="0" collapsed="false">
      <c r="A277" s="32" t="s">
        <v>766</v>
      </c>
      <c r="B277" s="33" t="s">
        <v>767</v>
      </c>
      <c r="C277" s="33" t="s">
        <v>28</v>
      </c>
      <c r="D277" s="34" t="n">
        <v>43352</v>
      </c>
      <c r="E277" s="33" t="s">
        <v>102</v>
      </c>
      <c r="F277" s="33" t="n">
        <v>21356941</v>
      </c>
      <c r="G277" s="33" t="n">
        <v>720193</v>
      </c>
      <c r="H277" s="33" t="s">
        <v>34</v>
      </c>
      <c r="I277" s="33" t="s">
        <v>174</v>
      </c>
      <c r="J277" s="33" t="s">
        <v>106</v>
      </c>
      <c r="K277" s="35" t="n">
        <v>226359971</v>
      </c>
      <c r="L277" s="33" t="s">
        <v>755</v>
      </c>
      <c r="M277" s="33" t="n">
        <v>103259520</v>
      </c>
      <c r="N277" s="36" t="n">
        <v>0</v>
      </c>
      <c r="O277" s="37" t="n">
        <v>0</v>
      </c>
    </row>
    <row r="278" customFormat="false" ht="15" hidden="false" customHeight="false" outlineLevel="0" collapsed="false">
      <c r="A278" s="32" t="s">
        <v>768</v>
      </c>
      <c r="B278" s="33" t="s">
        <v>769</v>
      </c>
      <c r="C278" s="33" t="s">
        <v>28</v>
      </c>
      <c r="D278" s="34" t="n">
        <v>43358</v>
      </c>
      <c r="E278" s="33" t="s">
        <v>102</v>
      </c>
      <c r="F278" s="33" t="n">
        <v>21356941</v>
      </c>
      <c r="G278" s="33" t="n">
        <v>720193</v>
      </c>
      <c r="H278" s="33" t="s">
        <v>34</v>
      </c>
      <c r="I278" s="33" t="s">
        <v>174</v>
      </c>
      <c r="J278" s="33" t="s">
        <v>107</v>
      </c>
      <c r="K278" s="35" t="n">
        <v>226359968</v>
      </c>
      <c r="L278" s="33" t="s">
        <v>770</v>
      </c>
      <c r="M278" s="33" t="n">
        <v>103259769</v>
      </c>
      <c r="N278" s="36" t="n">
        <v>0</v>
      </c>
      <c r="O278" s="37" t="n">
        <v>0</v>
      </c>
    </row>
    <row r="279" customFormat="false" ht="15" hidden="false" customHeight="false" outlineLevel="0" collapsed="false">
      <c r="A279" s="32" t="s">
        <v>771</v>
      </c>
      <c r="B279" s="33" t="s">
        <v>772</v>
      </c>
      <c r="C279" s="33" t="s">
        <v>28</v>
      </c>
      <c r="D279" s="34" t="n">
        <v>43357</v>
      </c>
      <c r="E279" s="33" t="s">
        <v>102</v>
      </c>
      <c r="F279" s="33" t="n">
        <v>21356941</v>
      </c>
      <c r="G279" s="33" t="n">
        <v>720193</v>
      </c>
      <c r="H279" s="33" t="s">
        <v>34</v>
      </c>
      <c r="I279" s="33" t="s">
        <v>174</v>
      </c>
      <c r="J279" s="33" t="s">
        <v>107</v>
      </c>
      <c r="K279" s="35" t="n">
        <v>226359968</v>
      </c>
      <c r="L279" s="33" t="s">
        <v>770</v>
      </c>
      <c r="M279" s="33" t="n">
        <v>103259769</v>
      </c>
      <c r="N279" s="36" t="n">
        <v>0</v>
      </c>
      <c r="O279" s="37" t="n">
        <v>0</v>
      </c>
    </row>
    <row r="280" customFormat="false" ht="15" hidden="false" customHeight="false" outlineLevel="0" collapsed="false">
      <c r="A280" s="32" t="s">
        <v>773</v>
      </c>
      <c r="B280" s="33" t="s">
        <v>774</v>
      </c>
      <c r="C280" s="33" t="s">
        <v>28</v>
      </c>
      <c r="D280" s="34" t="n">
        <v>43356</v>
      </c>
      <c r="E280" s="33" t="s">
        <v>102</v>
      </c>
      <c r="F280" s="33" t="n">
        <v>21356941</v>
      </c>
      <c r="G280" s="33" t="n">
        <v>720193</v>
      </c>
      <c r="H280" s="33" t="s">
        <v>34</v>
      </c>
      <c r="I280" s="33" t="s">
        <v>174</v>
      </c>
      <c r="J280" s="33" t="s">
        <v>107</v>
      </c>
      <c r="K280" s="35" t="n">
        <v>226359968</v>
      </c>
      <c r="L280" s="33" t="s">
        <v>770</v>
      </c>
      <c r="M280" s="33" t="n">
        <v>103259769</v>
      </c>
      <c r="N280" s="36" t="n">
        <v>0</v>
      </c>
      <c r="O280" s="37" t="n">
        <v>0</v>
      </c>
    </row>
    <row r="281" customFormat="false" ht="15" hidden="false" customHeight="false" outlineLevel="0" collapsed="false">
      <c r="A281" s="32" t="s">
        <v>775</v>
      </c>
      <c r="B281" s="33" t="s">
        <v>776</v>
      </c>
      <c r="C281" s="33" t="s">
        <v>28</v>
      </c>
      <c r="D281" s="34" t="n">
        <v>43355</v>
      </c>
      <c r="E281" s="33" t="s">
        <v>102</v>
      </c>
      <c r="F281" s="33" t="n">
        <v>21356941</v>
      </c>
      <c r="G281" s="33" t="n">
        <v>720193</v>
      </c>
      <c r="H281" s="33" t="s">
        <v>34</v>
      </c>
      <c r="I281" s="33" t="s">
        <v>174</v>
      </c>
      <c r="J281" s="33" t="s">
        <v>107</v>
      </c>
      <c r="K281" s="35" t="n">
        <v>226359968</v>
      </c>
      <c r="L281" s="33" t="s">
        <v>770</v>
      </c>
      <c r="M281" s="33" t="n">
        <v>103259769</v>
      </c>
      <c r="N281" s="36" t="n">
        <v>0</v>
      </c>
      <c r="O281" s="37" t="n">
        <v>0</v>
      </c>
    </row>
    <row r="282" customFormat="false" ht="15" hidden="false" customHeight="false" outlineLevel="0" collapsed="false">
      <c r="A282" s="32" t="s">
        <v>777</v>
      </c>
      <c r="B282" s="33" t="s">
        <v>778</v>
      </c>
      <c r="C282" s="33" t="s">
        <v>28</v>
      </c>
      <c r="D282" s="34" t="n">
        <v>43354</v>
      </c>
      <c r="E282" s="33" t="s">
        <v>102</v>
      </c>
      <c r="F282" s="33" t="n">
        <v>21356941</v>
      </c>
      <c r="G282" s="33" t="n">
        <v>720193</v>
      </c>
      <c r="H282" s="33" t="s">
        <v>34</v>
      </c>
      <c r="I282" s="33" t="s">
        <v>174</v>
      </c>
      <c r="J282" s="33" t="s">
        <v>107</v>
      </c>
      <c r="K282" s="35" t="n">
        <v>226359968</v>
      </c>
      <c r="L282" s="33" t="s">
        <v>770</v>
      </c>
      <c r="M282" s="33" t="n">
        <v>103259769</v>
      </c>
      <c r="N282" s="36" t="n">
        <v>0</v>
      </c>
      <c r="O282" s="37" t="n">
        <v>0</v>
      </c>
    </row>
    <row r="283" customFormat="false" ht="15" hidden="false" customHeight="false" outlineLevel="0" collapsed="false">
      <c r="A283" s="32" t="s">
        <v>779</v>
      </c>
      <c r="B283" s="33" t="s">
        <v>780</v>
      </c>
      <c r="C283" s="33" t="s">
        <v>28</v>
      </c>
      <c r="D283" s="34" t="n">
        <v>43353</v>
      </c>
      <c r="E283" s="33" t="s">
        <v>102</v>
      </c>
      <c r="F283" s="33" t="n">
        <v>21356941</v>
      </c>
      <c r="G283" s="33" t="n">
        <v>720193</v>
      </c>
      <c r="H283" s="33" t="s">
        <v>34</v>
      </c>
      <c r="I283" s="33" t="s">
        <v>174</v>
      </c>
      <c r="J283" s="33" t="s">
        <v>107</v>
      </c>
      <c r="K283" s="35" t="n">
        <v>226359968</v>
      </c>
      <c r="L283" s="33" t="s">
        <v>770</v>
      </c>
      <c r="M283" s="33" t="n">
        <v>103259769</v>
      </c>
      <c r="N283" s="36" t="n">
        <v>1</v>
      </c>
      <c r="O283" s="37" t="n">
        <v>0</v>
      </c>
    </row>
    <row r="284" customFormat="false" ht="15" hidden="false" customHeight="false" outlineLevel="0" collapsed="false">
      <c r="A284" s="32" t="s">
        <v>781</v>
      </c>
      <c r="B284" s="33" t="s">
        <v>782</v>
      </c>
      <c r="C284" s="33" t="s">
        <v>28</v>
      </c>
      <c r="D284" s="34" t="n">
        <v>43352</v>
      </c>
      <c r="E284" s="33" t="s">
        <v>102</v>
      </c>
      <c r="F284" s="33" t="n">
        <v>21356941</v>
      </c>
      <c r="G284" s="33" t="n">
        <v>720193</v>
      </c>
      <c r="H284" s="33" t="s">
        <v>34</v>
      </c>
      <c r="I284" s="33" t="s">
        <v>174</v>
      </c>
      <c r="J284" s="33" t="s">
        <v>107</v>
      </c>
      <c r="K284" s="35" t="n">
        <v>226359968</v>
      </c>
      <c r="L284" s="33" t="s">
        <v>770</v>
      </c>
      <c r="M284" s="33" t="n">
        <v>103259769</v>
      </c>
      <c r="N284" s="36" t="n">
        <v>1</v>
      </c>
      <c r="O284" s="37" t="n">
        <v>0.01</v>
      </c>
    </row>
    <row r="285" customFormat="false" ht="15" hidden="false" customHeight="false" outlineLevel="0" collapsed="false">
      <c r="A285" s="32" t="s">
        <v>783</v>
      </c>
      <c r="B285" s="33" t="s">
        <v>784</v>
      </c>
      <c r="C285" s="33" t="s">
        <v>28</v>
      </c>
      <c r="D285" s="34" t="n">
        <v>43358</v>
      </c>
      <c r="E285" s="33" t="s">
        <v>102</v>
      </c>
      <c r="F285" s="33" t="n">
        <v>21356941</v>
      </c>
      <c r="G285" s="33" t="n">
        <v>720193</v>
      </c>
      <c r="H285" s="33" t="s">
        <v>34</v>
      </c>
      <c r="I285" s="33" t="s">
        <v>174</v>
      </c>
      <c r="J285" s="33" t="s">
        <v>108</v>
      </c>
      <c r="K285" s="35" t="n">
        <v>226359965</v>
      </c>
      <c r="L285" s="33" t="s">
        <v>785</v>
      </c>
      <c r="M285" s="33" t="n">
        <v>103257810</v>
      </c>
      <c r="N285" s="36" t="n">
        <v>0</v>
      </c>
      <c r="O285" s="37" t="n">
        <v>0</v>
      </c>
    </row>
    <row r="286" customFormat="false" ht="15" hidden="false" customHeight="false" outlineLevel="0" collapsed="false">
      <c r="A286" s="32" t="s">
        <v>786</v>
      </c>
      <c r="B286" s="33" t="s">
        <v>787</v>
      </c>
      <c r="C286" s="33" t="s">
        <v>28</v>
      </c>
      <c r="D286" s="34" t="n">
        <v>43357</v>
      </c>
      <c r="E286" s="33" t="s">
        <v>102</v>
      </c>
      <c r="F286" s="33" t="n">
        <v>21356941</v>
      </c>
      <c r="G286" s="33" t="n">
        <v>720193</v>
      </c>
      <c r="H286" s="33" t="s">
        <v>34</v>
      </c>
      <c r="I286" s="33" t="s">
        <v>174</v>
      </c>
      <c r="J286" s="33" t="s">
        <v>108</v>
      </c>
      <c r="K286" s="35" t="n">
        <v>226359965</v>
      </c>
      <c r="L286" s="33" t="s">
        <v>785</v>
      </c>
      <c r="M286" s="33" t="n">
        <v>103257810</v>
      </c>
      <c r="N286" s="36" t="n">
        <v>0</v>
      </c>
      <c r="O286" s="37" t="n">
        <v>0</v>
      </c>
    </row>
    <row r="287" customFormat="false" ht="15" hidden="false" customHeight="false" outlineLevel="0" collapsed="false">
      <c r="A287" s="32" t="s">
        <v>788</v>
      </c>
      <c r="B287" s="33" t="s">
        <v>789</v>
      </c>
      <c r="C287" s="33" t="s">
        <v>28</v>
      </c>
      <c r="D287" s="34" t="n">
        <v>43356</v>
      </c>
      <c r="E287" s="33" t="s">
        <v>102</v>
      </c>
      <c r="F287" s="33" t="n">
        <v>21356941</v>
      </c>
      <c r="G287" s="33" t="n">
        <v>720193</v>
      </c>
      <c r="H287" s="33" t="s">
        <v>34</v>
      </c>
      <c r="I287" s="33" t="s">
        <v>174</v>
      </c>
      <c r="J287" s="33" t="s">
        <v>108</v>
      </c>
      <c r="K287" s="35" t="n">
        <v>226359965</v>
      </c>
      <c r="L287" s="33" t="s">
        <v>785</v>
      </c>
      <c r="M287" s="33" t="n">
        <v>103257810</v>
      </c>
      <c r="N287" s="36" t="n">
        <v>0</v>
      </c>
      <c r="O287" s="37" t="n">
        <v>0</v>
      </c>
    </row>
    <row r="288" customFormat="false" ht="15" hidden="false" customHeight="false" outlineLevel="0" collapsed="false">
      <c r="A288" s="32" t="s">
        <v>790</v>
      </c>
      <c r="B288" s="33" t="s">
        <v>791</v>
      </c>
      <c r="C288" s="33" t="s">
        <v>28</v>
      </c>
      <c r="D288" s="34" t="n">
        <v>43355</v>
      </c>
      <c r="E288" s="33" t="s">
        <v>102</v>
      </c>
      <c r="F288" s="33" t="n">
        <v>21356941</v>
      </c>
      <c r="G288" s="33" t="n">
        <v>720193</v>
      </c>
      <c r="H288" s="33" t="s">
        <v>34</v>
      </c>
      <c r="I288" s="33" t="s">
        <v>174</v>
      </c>
      <c r="J288" s="33" t="s">
        <v>108</v>
      </c>
      <c r="K288" s="35" t="n">
        <v>226359965</v>
      </c>
      <c r="L288" s="33" t="s">
        <v>785</v>
      </c>
      <c r="M288" s="33" t="n">
        <v>103257810</v>
      </c>
      <c r="N288" s="36" t="n">
        <v>0</v>
      </c>
      <c r="O288" s="37" t="n">
        <v>0</v>
      </c>
    </row>
    <row r="289" customFormat="false" ht="15" hidden="false" customHeight="false" outlineLevel="0" collapsed="false">
      <c r="A289" s="32" t="s">
        <v>792</v>
      </c>
      <c r="B289" s="33" t="s">
        <v>793</v>
      </c>
      <c r="C289" s="33" t="s">
        <v>28</v>
      </c>
      <c r="D289" s="34" t="n">
        <v>43354</v>
      </c>
      <c r="E289" s="33" t="s">
        <v>102</v>
      </c>
      <c r="F289" s="33" t="n">
        <v>21356941</v>
      </c>
      <c r="G289" s="33" t="n">
        <v>720193</v>
      </c>
      <c r="H289" s="33" t="s">
        <v>34</v>
      </c>
      <c r="I289" s="33" t="s">
        <v>174</v>
      </c>
      <c r="J289" s="33" t="s">
        <v>108</v>
      </c>
      <c r="K289" s="35" t="n">
        <v>226359965</v>
      </c>
      <c r="L289" s="33" t="s">
        <v>785</v>
      </c>
      <c r="M289" s="33" t="n">
        <v>103257810</v>
      </c>
      <c r="N289" s="36" t="n">
        <v>0</v>
      </c>
      <c r="O289" s="37" t="n">
        <v>0</v>
      </c>
    </row>
    <row r="290" customFormat="false" ht="15" hidden="false" customHeight="false" outlineLevel="0" collapsed="false">
      <c r="A290" s="32" t="s">
        <v>794</v>
      </c>
      <c r="B290" s="33" t="s">
        <v>795</v>
      </c>
      <c r="C290" s="33" t="s">
        <v>28</v>
      </c>
      <c r="D290" s="34" t="n">
        <v>43353</v>
      </c>
      <c r="E290" s="33" t="s">
        <v>102</v>
      </c>
      <c r="F290" s="33" t="n">
        <v>21356941</v>
      </c>
      <c r="G290" s="33" t="n">
        <v>720193</v>
      </c>
      <c r="H290" s="33" t="s">
        <v>34</v>
      </c>
      <c r="I290" s="33" t="s">
        <v>174</v>
      </c>
      <c r="J290" s="33" t="s">
        <v>108</v>
      </c>
      <c r="K290" s="35" t="n">
        <v>226359965</v>
      </c>
      <c r="L290" s="33" t="s">
        <v>785</v>
      </c>
      <c r="M290" s="33" t="n">
        <v>103257810</v>
      </c>
      <c r="N290" s="36" t="n">
        <v>0</v>
      </c>
      <c r="O290" s="37" t="n">
        <v>0</v>
      </c>
    </row>
    <row r="291" customFormat="false" ht="15" hidden="false" customHeight="false" outlineLevel="0" collapsed="false">
      <c r="A291" s="32" t="s">
        <v>796</v>
      </c>
      <c r="B291" s="33" t="s">
        <v>797</v>
      </c>
      <c r="C291" s="33" t="s">
        <v>28</v>
      </c>
      <c r="D291" s="34" t="n">
        <v>43352</v>
      </c>
      <c r="E291" s="33" t="s">
        <v>102</v>
      </c>
      <c r="F291" s="33" t="n">
        <v>21356941</v>
      </c>
      <c r="G291" s="33" t="n">
        <v>720193</v>
      </c>
      <c r="H291" s="33" t="s">
        <v>34</v>
      </c>
      <c r="I291" s="33" t="s">
        <v>174</v>
      </c>
      <c r="J291" s="33" t="s">
        <v>108</v>
      </c>
      <c r="K291" s="35" t="n">
        <v>226359965</v>
      </c>
      <c r="L291" s="33" t="s">
        <v>785</v>
      </c>
      <c r="M291" s="33" t="n">
        <v>103257810</v>
      </c>
      <c r="N291" s="36" t="n">
        <v>0</v>
      </c>
      <c r="O291" s="37" t="n">
        <v>0</v>
      </c>
    </row>
    <row r="292" customFormat="false" ht="15" hidden="false" customHeight="false" outlineLevel="0" collapsed="false">
      <c r="A292" s="32" t="s">
        <v>798</v>
      </c>
      <c r="B292" s="33" t="s">
        <v>799</v>
      </c>
      <c r="C292" s="33" t="s">
        <v>28</v>
      </c>
      <c r="D292" s="34" t="n">
        <v>43358</v>
      </c>
      <c r="E292" s="33" t="s">
        <v>102</v>
      </c>
      <c r="F292" s="33" t="n">
        <v>21356941</v>
      </c>
      <c r="G292" s="33" t="n">
        <v>720193</v>
      </c>
      <c r="H292" s="33" t="s">
        <v>34</v>
      </c>
      <c r="I292" s="33" t="s">
        <v>174</v>
      </c>
      <c r="J292" s="33" t="s">
        <v>109</v>
      </c>
      <c r="K292" s="35" t="n">
        <v>226359962</v>
      </c>
      <c r="L292" s="33" t="s">
        <v>800</v>
      </c>
      <c r="M292" s="33" t="n">
        <v>103259010</v>
      </c>
      <c r="N292" s="36" t="n">
        <v>0</v>
      </c>
      <c r="O292" s="37" t="n">
        <v>0</v>
      </c>
    </row>
    <row r="293" customFormat="false" ht="15" hidden="false" customHeight="false" outlineLevel="0" collapsed="false">
      <c r="A293" s="32" t="s">
        <v>801</v>
      </c>
      <c r="B293" s="33" t="s">
        <v>802</v>
      </c>
      <c r="C293" s="33" t="s">
        <v>28</v>
      </c>
      <c r="D293" s="34" t="n">
        <v>43357</v>
      </c>
      <c r="E293" s="33" t="s">
        <v>102</v>
      </c>
      <c r="F293" s="33" t="n">
        <v>21356941</v>
      </c>
      <c r="G293" s="33" t="n">
        <v>720193</v>
      </c>
      <c r="H293" s="33" t="s">
        <v>34</v>
      </c>
      <c r="I293" s="33" t="s">
        <v>174</v>
      </c>
      <c r="J293" s="33" t="s">
        <v>109</v>
      </c>
      <c r="K293" s="35" t="n">
        <v>226359962</v>
      </c>
      <c r="L293" s="33" t="s">
        <v>800</v>
      </c>
      <c r="M293" s="33" t="n">
        <v>103259010</v>
      </c>
      <c r="N293" s="36" t="n">
        <v>0</v>
      </c>
      <c r="O293" s="37" t="n">
        <v>0</v>
      </c>
    </row>
    <row r="294" customFormat="false" ht="15" hidden="false" customHeight="false" outlineLevel="0" collapsed="false">
      <c r="A294" s="32" t="s">
        <v>803</v>
      </c>
      <c r="B294" s="33" t="s">
        <v>804</v>
      </c>
      <c r="C294" s="33" t="s">
        <v>28</v>
      </c>
      <c r="D294" s="34" t="n">
        <v>43356</v>
      </c>
      <c r="E294" s="33" t="s">
        <v>102</v>
      </c>
      <c r="F294" s="33" t="n">
        <v>21356941</v>
      </c>
      <c r="G294" s="33" t="n">
        <v>720193</v>
      </c>
      <c r="H294" s="33" t="s">
        <v>34</v>
      </c>
      <c r="I294" s="33" t="s">
        <v>174</v>
      </c>
      <c r="J294" s="33" t="s">
        <v>109</v>
      </c>
      <c r="K294" s="35" t="n">
        <v>226359962</v>
      </c>
      <c r="L294" s="33" t="s">
        <v>800</v>
      </c>
      <c r="M294" s="33" t="n">
        <v>103259010</v>
      </c>
      <c r="N294" s="36" t="n">
        <v>0</v>
      </c>
      <c r="O294" s="37" t="n">
        <v>0</v>
      </c>
    </row>
    <row r="295" customFormat="false" ht="15" hidden="false" customHeight="false" outlineLevel="0" collapsed="false">
      <c r="A295" s="32" t="s">
        <v>805</v>
      </c>
      <c r="B295" s="33" t="s">
        <v>806</v>
      </c>
      <c r="C295" s="33" t="s">
        <v>28</v>
      </c>
      <c r="D295" s="34" t="n">
        <v>43355</v>
      </c>
      <c r="E295" s="33" t="s">
        <v>102</v>
      </c>
      <c r="F295" s="33" t="n">
        <v>21356941</v>
      </c>
      <c r="G295" s="33" t="n">
        <v>720193</v>
      </c>
      <c r="H295" s="33" t="s">
        <v>34</v>
      </c>
      <c r="I295" s="33" t="s">
        <v>174</v>
      </c>
      <c r="J295" s="33" t="s">
        <v>109</v>
      </c>
      <c r="K295" s="35" t="n">
        <v>226359962</v>
      </c>
      <c r="L295" s="33" t="s">
        <v>800</v>
      </c>
      <c r="M295" s="33" t="n">
        <v>103259010</v>
      </c>
      <c r="N295" s="36" t="n">
        <v>0</v>
      </c>
      <c r="O295" s="37" t="n">
        <v>0</v>
      </c>
    </row>
    <row r="296" customFormat="false" ht="15" hidden="false" customHeight="false" outlineLevel="0" collapsed="false">
      <c r="A296" s="32" t="s">
        <v>807</v>
      </c>
      <c r="B296" s="33" t="s">
        <v>808</v>
      </c>
      <c r="C296" s="33" t="s">
        <v>28</v>
      </c>
      <c r="D296" s="34" t="n">
        <v>43354</v>
      </c>
      <c r="E296" s="33" t="s">
        <v>102</v>
      </c>
      <c r="F296" s="33" t="n">
        <v>21356941</v>
      </c>
      <c r="G296" s="33" t="n">
        <v>720193</v>
      </c>
      <c r="H296" s="33" t="s">
        <v>34</v>
      </c>
      <c r="I296" s="33" t="s">
        <v>174</v>
      </c>
      <c r="J296" s="33" t="s">
        <v>109</v>
      </c>
      <c r="K296" s="35" t="n">
        <v>226359962</v>
      </c>
      <c r="L296" s="33" t="s">
        <v>800</v>
      </c>
      <c r="M296" s="33" t="n">
        <v>103259010</v>
      </c>
      <c r="N296" s="36" t="n">
        <v>0</v>
      </c>
      <c r="O296" s="37" t="n">
        <v>0</v>
      </c>
    </row>
    <row r="297" customFormat="false" ht="15" hidden="false" customHeight="false" outlineLevel="0" collapsed="false">
      <c r="A297" s="32" t="s">
        <v>809</v>
      </c>
      <c r="B297" s="33" t="s">
        <v>810</v>
      </c>
      <c r="C297" s="33" t="s">
        <v>28</v>
      </c>
      <c r="D297" s="34" t="n">
        <v>43353</v>
      </c>
      <c r="E297" s="33" t="s">
        <v>102</v>
      </c>
      <c r="F297" s="33" t="n">
        <v>21356941</v>
      </c>
      <c r="G297" s="33" t="n">
        <v>720193</v>
      </c>
      <c r="H297" s="33" t="s">
        <v>34</v>
      </c>
      <c r="I297" s="33" t="s">
        <v>174</v>
      </c>
      <c r="J297" s="33" t="s">
        <v>109</v>
      </c>
      <c r="K297" s="35" t="n">
        <v>226359962</v>
      </c>
      <c r="L297" s="33" t="s">
        <v>800</v>
      </c>
      <c r="M297" s="33" t="n">
        <v>103259010</v>
      </c>
      <c r="N297" s="36" t="n">
        <v>0</v>
      </c>
      <c r="O297" s="37" t="n">
        <v>0</v>
      </c>
    </row>
    <row r="298" customFormat="false" ht="15" hidden="false" customHeight="false" outlineLevel="0" collapsed="false">
      <c r="A298" s="32" t="s">
        <v>811</v>
      </c>
      <c r="B298" s="33" t="s">
        <v>812</v>
      </c>
      <c r="C298" s="33" t="s">
        <v>28</v>
      </c>
      <c r="D298" s="34" t="n">
        <v>43352</v>
      </c>
      <c r="E298" s="33" t="s">
        <v>102</v>
      </c>
      <c r="F298" s="33" t="n">
        <v>21356941</v>
      </c>
      <c r="G298" s="33" t="n">
        <v>720193</v>
      </c>
      <c r="H298" s="33" t="s">
        <v>34</v>
      </c>
      <c r="I298" s="33" t="s">
        <v>174</v>
      </c>
      <c r="J298" s="33" t="s">
        <v>109</v>
      </c>
      <c r="K298" s="35" t="n">
        <v>226359962</v>
      </c>
      <c r="L298" s="33" t="s">
        <v>800</v>
      </c>
      <c r="M298" s="33" t="n">
        <v>103259010</v>
      </c>
      <c r="N298" s="36" t="n">
        <v>0</v>
      </c>
      <c r="O298" s="37" t="n">
        <v>0</v>
      </c>
    </row>
    <row r="299" customFormat="false" ht="15" hidden="false" customHeight="false" outlineLevel="0" collapsed="false">
      <c r="A299" s="32" t="s">
        <v>813</v>
      </c>
      <c r="B299" s="33" t="s">
        <v>814</v>
      </c>
      <c r="C299" s="33" t="s">
        <v>28</v>
      </c>
      <c r="D299" s="34" t="n">
        <v>43358</v>
      </c>
      <c r="E299" s="33" t="s">
        <v>102</v>
      </c>
      <c r="F299" s="33" t="n">
        <v>21356941</v>
      </c>
      <c r="G299" s="33" t="n">
        <v>720193</v>
      </c>
      <c r="H299" s="33" t="s">
        <v>34</v>
      </c>
      <c r="I299" s="33" t="s">
        <v>174</v>
      </c>
      <c r="J299" s="33" t="s">
        <v>110</v>
      </c>
      <c r="K299" s="35" t="n">
        <v>226359959</v>
      </c>
      <c r="L299" s="33" t="s">
        <v>815</v>
      </c>
      <c r="M299" s="33" t="n">
        <v>103376990</v>
      </c>
      <c r="N299" s="36" t="n">
        <v>0</v>
      </c>
      <c r="O299" s="37" t="n">
        <v>0</v>
      </c>
    </row>
    <row r="300" customFormat="false" ht="15" hidden="false" customHeight="false" outlineLevel="0" collapsed="false">
      <c r="A300" s="32" t="s">
        <v>816</v>
      </c>
      <c r="B300" s="33" t="s">
        <v>817</v>
      </c>
      <c r="C300" s="33" t="s">
        <v>28</v>
      </c>
      <c r="D300" s="34" t="n">
        <v>43357</v>
      </c>
      <c r="E300" s="33" t="s">
        <v>102</v>
      </c>
      <c r="F300" s="33" t="n">
        <v>21356941</v>
      </c>
      <c r="G300" s="33" t="n">
        <v>720193</v>
      </c>
      <c r="H300" s="33" t="s">
        <v>34</v>
      </c>
      <c r="I300" s="33" t="s">
        <v>174</v>
      </c>
      <c r="J300" s="33" t="s">
        <v>110</v>
      </c>
      <c r="K300" s="35" t="n">
        <v>226359959</v>
      </c>
      <c r="L300" s="33" t="s">
        <v>815</v>
      </c>
      <c r="M300" s="33" t="n">
        <v>103376990</v>
      </c>
      <c r="N300" s="36" t="n">
        <v>0</v>
      </c>
      <c r="O300" s="37" t="n">
        <v>0</v>
      </c>
    </row>
    <row r="301" customFormat="false" ht="15" hidden="false" customHeight="false" outlineLevel="0" collapsed="false">
      <c r="A301" s="32" t="s">
        <v>818</v>
      </c>
      <c r="B301" s="33" t="s">
        <v>819</v>
      </c>
      <c r="C301" s="33" t="s">
        <v>28</v>
      </c>
      <c r="D301" s="34" t="n">
        <v>43356</v>
      </c>
      <c r="E301" s="33" t="s">
        <v>102</v>
      </c>
      <c r="F301" s="33" t="n">
        <v>21356941</v>
      </c>
      <c r="G301" s="33" t="n">
        <v>720193</v>
      </c>
      <c r="H301" s="33" t="s">
        <v>34</v>
      </c>
      <c r="I301" s="33" t="s">
        <v>174</v>
      </c>
      <c r="J301" s="33" t="s">
        <v>110</v>
      </c>
      <c r="K301" s="35" t="n">
        <v>226359959</v>
      </c>
      <c r="L301" s="33" t="s">
        <v>815</v>
      </c>
      <c r="M301" s="33" t="n">
        <v>103376990</v>
      </c>
      <c r="N301" s="36" t="n">
        <v>0</v>
      </c>
      <c r="O301" s="37" t="n">
        <v>0</v>
      </c>
    </row>
    <row r="302" customFormat="false" ht="15" hidden="false" customHeight="false" outlineLevel="0" collapsed="false">
      <c r="A302" s="32" t="s">
        <v>820</v>
      </c>
      <c r="B302" s="33" t="s">
        <v>821</v>
      </c>
      <c r="C302" s="33" t="s">
        <v>28</v>
      </c>
      <c r="D302" s="34" t="n">
        <v>43355</v>
      </c>
      <c r="E302" s="33" t="s">
        <v>102</v>
      </c>
      <c r="F302" s="33" t="n">
        <v>21356941</v>
      </c>
      <c r="G302" s="33" t="n">
        <v>720193</v>
      </c>
      <c r="H302" s="33" t="s">
        <v>34</v>
      </c>
      <c r="I302" s="33" t="s">
        <v>174</v>
      </c>
      <c r="J302" s="33" t="s">
        <v>110</v>
      </c>
      <c r="K302" s="35" t="n">
        <v>226359959</v>
      </c>
      <c r="L302" s="33" t="s">
        <v>815</v>
      </c>
      <c r="M302" s="33" t="n">
        <v>103376990</v>
      </c>
      <c r="N302" s="36" t="n">
        <v>2</v>
      </c>
      <c r="O302" s="37" t="n">
        <v>0.02</v>
      </c>
    </row>
    <row r="303" customFormat="false" ht="15" hidden="false" customHeight="false" outlineLevel="0" collapsed="false">
      <c r="A303" s="32" t="s">
        <v>822</v>
      </c>
      <c r="B303" s="33" t="s">
        <v>823</v>
      </c>
      <c r="C303" s="33" t="s">
        <v>28</v>
      </c>
      <c r="D303" s="34" t="n">
        <v>43354</v>
      </c>
      <c r="E303" s="33" t="s">
        <v>102</v>
      </c>
      <c r="F303" s="33" t="n">
        <v>21356941</v>
      </c>
      <c r="G303" s="33" t="n">
        <v>720193</v>
      </c>
      <c r="H303" s="33" t="s">
        <v>34</v>
      </c>
      <c r="I303" s="33" t="s">
        <v>174</v>
      </c>
      <c r="J303" s="33" t="s">
        <v>110</v>
      </c>
      <c r="K303" s="35" t="n">
        <v>226359959</v>
      </c>
      <c r="L303" s="33" t="s">
        <v>815</v>
      </c>
      <c r="M303" s="33" t="n">
        <v>103376990</v>
      </c>
      <c r="N303" s="36" t="n">
        <v>0</v>
      </c>
      <c r="O303" s="37" t="n">
        <v>0</v>
      </c>
    </row>
    <row r="304" customFormat="false" ht="15" hidden="false" customHeight="false" outlineLevel="0" collapsed="false">
      <c r="A304" s="32" t="s">
        <v>824</v>
      </c>
      <c r="B304" s="33" t="s">
        <v>825</v>
      </c>
      <c r="C304" s="33" t="s">
        <v>28</v>
      </c>
      <c r="D304" s="34" t="n">
        <v>43353</v>
      </c>
      <c r="E304" s="33" t="s">
        <v>102</v>
      </c>
      <c r="F304" s="33" t="n">
        <v>21356941</v>
      </c>
      <c r="G304" s="33" t="n">
        <v>720193</v>
      </c>
      <c r="H304" s="33" t="s">
        <v>34</v>
      </c>
      <c r="I304" s="33" t="s">
        <v>174</v>
      </c>
      <c r="J304" s="33" t="s">
        <v>110</v>
      </c>
      <c r="K304" s="35" t="n">
        <v>226359959</v>
      </c>
      <c r="L304" s="33" t="s">
        <v>815</v>
      </c>
      <c r="M304" s="33" t="n">
        <v>103376990</v>
      </c>
      <c r="N304" s="36" t="n">
        <v>1</v>
      </c>
      <c r="O304" s="37" t="n">
        <v>0</v>
      </c>
    </row>
    <row r="305" customFormat="false" ht="15" hidden="false" customHeight="false" outlineLevel="0" collapsed="false">
      <c r="A305" s="32" t="s">
        <v>826</v>
      </c>
      <c r="B305" s="33" t="s">
        <v>827</v>
      </c>
      <c r="C305" s="33" t="s">
        <v>28</v>
      </c>
      <c r="D305" s="34" t="n">
        <v>43352</v>
      </c>
      <c r="E305" s="33" t="s">
        <v>102</v>
      </c>
      <c r="F305" s="33" t="n">
        <v>21356941</v>
      </c>
      <c r="G305" s="33" t="n">
        <v>720193</v>
      </c>
      <c r="H305" s="33" t="s">
        <v>34</v>
      </c>
      <c r="I305" s="33" t="s">
        <v>174</v>
      </c>
      <c r="J305" s="33" t="s">
        <v>110</v>
      </c>
      <c r="K305" s="35" t="n">
        <v>226359959</v>
      </c>
      <c r="L305" s="33" t="s">
        <v>815</v>
      </c>
      <c r="M305" s="33" t="n">
        <v>103376990</v>
      </c>
      <c r="N305" s="36" t="n">
        <v>0</v>
      </c>
      <c r="O305" s="37" t="n">
        <v>0</v>
      </c>
    </row>
    <row r="306" customFormat="false" ht="15" hidden="false" customHeight="false" outlineLevel="0" collapsed="false">
      <c r="A306" s="32" t="s">
        <v>828</v>
      </c>
      <c r="B306" s="33" t="s">
        <v>829</v>
      </c>
      <c r="C306" s="33" t="s">
        <v>28</v>
      </c>
      <c r="D306" s="34" t="n">
        <v>43358</v>
      </c>
      <c r="E306" s="33" t="s">
        <v>102</v>
      </c>
      <c r="F306" s="33" t="n">
        <v>21356941</v>
      </c>
      <c r="G306" s="33" t="n">
        <v>720193</v>
      </c>
      <c r="H306" s="33" t="s">
        <v>34</v>
      </c>
      <c r="I306" s="33" t="s">
        <v>174</v>
      </c>
      <c r="J306" s="33" t="s">
        <v>111</v>
      </c>
      <c r="K306" s="35" t="n">
        <v>226360037</v>
      </c>
      <c r="L306" s="33" t="s">
        <v>740</v>
      </c>
      <c r="M306" s="33" t="n">
        <v>103259775</v>
      </c>
      <c r="N306" s="36" t="n">
        <v>0</v>
      </c>
      <c r="O306" s="37" t="n">
        <v>0</v>
      </c>
    </row>
    <row r="307" customFormat="false" ht="15" hidden="false" customHeight="false" outlineLevel="0" collapsed="false">
      <c r="A307" s="32" t="s">
        <v>830</v>
      </c>
      <c r="B307" s="33" t="s">
        <v>831</v>
      </c>
      <c r="C307" s="33" t="s">
        <v>28</v>
      </c>
      <c r="D307" s="34" t="n">
        <v>43357</v>
      </c>
      <c r="E307" s="33" t="s">
        <v>102</v>
      </c>
      <c r="F307" s="33" t="n">
        <v>21356941</v>
      </c>
      <c r="G307" s="33" t="n">
        <v>720193</v>
      </c>
      <c r="H307" s="33" t="s">
        <v>34</v>
      </c>
      <c r="I307" s="33" t="s">
        <v>174</v>
      </c>
      <c r="J307" s="33" t="s">
        <v>111</v>
      </c>
      <c r="K307" s="35" t="n">
        <v>226360037</v>
      </c>
      <c r="L307" s="33" t="s">
        <v>740</v>
      </c>
      <c r="M307" s="33" t="n">
        <v>103259775</v>
      </c>
      <c r="N307" s="36" t="n">
        <v>0</v>
      </c>
      <c r="O307" s="37" t="n">
        <v>0</v>
      </c>
    </row>
    <row r="308" customFormat="false" ht="15" hidden="false" customHeight="false" outlineLevel="0" collapsed="false">
      <c r="A308" s="32" t="s">
        <v>832</v>
      </c>
      <c r="B308" s="33" t="s">
        <v>833</v>
      </c>
      <c r="C308" s="33" t="s">
        <v>28</v>
      </c>
      <c r="D308" s="34" t="n">
        <v>43356</v>
      </c>
      <c r="E308" s="33" t="s">
        <v>102</v>
      </c>
      <c r="F308" s="33" t="n">
        <v>21356941</v>
      </c>
      <c r="G308" s="33" t="n">
        <v>720193</v>
      </c>
      <c r="H308" s="33" t="s">
        <v>34</v>
      </c>
      <c r="I308" s="33" t="s">
        <v>174</v>
      </c>
      <c r="J308" s="33" t="s">
        <v>111</v>
      </c>
      <c r="K308" s="35" t="n">
        <v>226360037</v>
      </c>
      <c r="L308" s="33" t="s">
        <v>740</v>
      </c>
      <c r="M308" s="33" t="n">
        <v>103259775</v>
      </c>
      <c r="N308" s="36" t="n">
        <v>0</v>
      </c>
      <c r="O308" s="37" t="n">
        <v>0</v>
      </c>
    </row>
    <row r="309" customFormat="false" ht="15" hidden="false" customHeight="false" outlineLevel="0" collapsed="false">
      <c r="A309" s="32" t="s">
        <v>834</v>
      </c>
      <c r="B309" s="33" t="s">
        <v>835</v>
      </c>
      <c r="C309" s="33" t="s">
        <v>28</v>
      </c>
      <c r="D309" s="34" t="n">
        <v>43355</v>
      </c>
      <c r="E309" s="33" t="s">
        <v>102</v>
      </c>
      <c r="F309" s="33" t="n">
        <v>21356941</v>
      </c>
      <c r="G309" s="33" t="n">
        <v>720193</v>
      </c>
      <c r="H309" s="33" t="s">
        <v>34</v>
      </c>
      <c r="I309" s="33" t="s">
        <v>174</v>
      </c>
      <c r="J309" s="33" t="s">
        <v>111</v>
      </c>
      <c r="K309" s="35" t="n">
        <v>226360037</v>
      </c>
      <c r="L309" s="33" t="s">
        <v>740</v>
      </c>
      <c r="M309" s="33" t="n">
        <v>103259775</v>
      </c>
      <c r="N309" s="36" t="n">
        <v>0</v>
      </c>
      <c r="O309" s="37" t="n">
        <v>0</v>
      </c>
    </row>
    <row r="310" customFormat="false" ht="15" hidden="false" customHeight="false" outlineLevel="0" collapsed="false">
      <c r="A310" s="32" t="s">
        <v>836</v>
      </c>
      <c r="B310" s="33" t="s">
        <v>837</v>
      </c>
      <c r="C310" s="33" t="s">
        <v>28</v>
      </c>
      <c r="D310" s="34" t="n">
        <v>43354</v>
      </c>
      <c r="E310" s="33" t="s">
        <v>102</v>
      </c>
      <c r="F310" s="33" t="n">
        <v>21356941</v>
      </c>
      <c r="G310" s="33" t="n">
        <v>720193</v>
      </c>
      <c r="H310" s="33" t="s">
        <v>34</v>
      </c>
      <c r="I310" s="33" t="s">
        <v>174</v>
      </c>
      <c r="J310" s="33" t="s">
        <v>111</v>
      </c>
      <c r="K310" s="35" t="n">
        <v>226360037</v>
      </c>
      <c r="L310" s="33" t="s">
        <v>740</v>
      </c>
      <c r="M310" s="33" t="n">
        <v>103259775</v>
      </c>
      <c r="N310" s="36" t="n">
        <v>0</v>
      </c>
      <c r="O310" s="37" t="n">
        <v>0</v>
      </c>
    </row>
    <row r="311" customFormat="false" ht="15" hidden="false" customHeight="false" outlineLevel="0" collapsed="false">
      <c r="A311" s="32" t="s">
        <v>838</v>
      </c>
      <c r="B311" s="33" t="s">
        <v>839</v>
      </c>
      <c r="C311" s="33" t="s">
        <v>28</v>
      </c>
      <c r="D311" s="34" t="n">
        <v>43353</v>
      </c>
      <c r="E311" s="33" t="s">
        <v>102</v>
      </c>
      <c r="F311" s="33" t="n">
        <v>21356941</v>
      </c>
      <c r="G311" s="33" t="n">
        <v>720193</v>
      </c>
      <c r="H311" s="33" t="s">
        <v>34</v>
      </c>
      <c r="I311" s="33" t="s">
        <v>174</v>
      </c>
      <c r="J311" s="33" t="s">
        <v>111</v>
      </c>
      <c r="K311" s="35" t="n">
        <v>226360037</v>
      </c>
      <c r="L311" s="33" t="s">
        <v>740</v>
      </c>
      <c r="M311" s="33" t="n">
        <v>103259775</v>
      </c>
      <c r="N311" s="36" t="n">
        <v>0</v>
      </c>
      <c r="O311" s="37" t="n">
        <v>0</v>
      </c>
    </row>
    <row r="312" customFormat="false" ht="15" hidden="false" customHeight="false" outlineLevel="0" collapsed="false">
      <c r="A312" s="32" t="s">
        <v>840</v>
      </c>
      <c r="B312" s="33" t="s">
        <v>841</v>
      </c>
      <c r="C312" s="33" t="s">
        <v>28</v>
      </c>
      <c r="D312" s="34" t="n">
        <v>43352</v>
      </c>
      <c r="E312" s="33" t="s">
        <v>102</v>
      </c>
      <c r="F312" s="33" t="n">
        <v>21356941</v>
      </c>
      <c r="G312" s="33" t="n">
        <v>720193</v>
      </c>
      <c r="H312" s="33" t="s">
        <v>34</v>
      </c>
      <c r="I312" s="33" t="s">
        <v>174</v>
      </c>
      <c r="J312" s="33" t="s">
        <v>111</v>
      </c>
      <c r="K312" s="35" t="n">
        <v>226360037</v>
      </c>
      <c r="L312" s="33" t="s">
        <v>740</v>
      </c>
      <c r="M312" s="33" t="n">
        <v>103259775</v>
      </c>
      <c r="N312" s="36" t="n">
        <v>0</v>
      </c>
      <c r="O312" s="37" t="n">
        <v>0</v>
      </c>
    </row>
    <row r="313" customFormat="false" ht="15" hidden="false" customHeight="false" outlineLevel="0" collapsed="false">
      <c r="A313" s="32" t="s">
        <v>842</v>
      </c>
      <c r="B313" s="33" t="s">
        <v>843</v>
      </c>
      <c r="C313" s="33" t="s">
        <v>28</v>
      </c>
      <c r="D313" s="34" t="n">
        <v>43358</v>
      </c>
      <c r="E313" s="33" t="s">
        <v>102</v>
      </c>
      <c r="F313" s="33" t="n">
        <v>21356941</v>
      </c>
      <c r="G313" s="33" t="n">
        <v>720193</v>
      </c>
      <c r="H313" s="33" t="s">
        <v>34</v>
      </c>
      <c r="I313" s="33" t="s">
        <v>174</v>
      </c>
      <c r="J313" s="33" t="s">
        <v>112</v>
      </c>
      <c r="K313" s="35" t="n">
        <v>226496107</v>
      </c>
      <c r="L313" s="33" t="s">
        <v>755</v>
      </c>
      <c r="M313" s="33" t="n">
        <v>103259520</v>
      </c>
      <c r="N313" s="36" t="n">
        <v>0</v>
      </c>
      <c r="O313" s="37" t="n">
        <v>0</v>
      </c>
    </row>
    <row r="314" customFormat="false" ht="15" hidden="false" customHeight="false" outlineLevel="0" collapsed="false">
      <c r="A314" s="32" t="s">
        <v>844</v>
      </c>
      <c r="B314" s="33" t="s">
        <v>845</v>
      </c>
      <c r="C314" s="33" t="s">
        <v>28</v>
      </c>
      <c r="D314" s="34" t="n">
        <v>43357</v>
      </c>
      <c r="E314" s="33" t="s">
        <v>102</v>
      </c>
      <c r="F314" s="33" t="n">
        <v>21356941</v>
      </c>
      <c r="G314" s="33" t="n">
        <v>720193</v>
      </c>
      <c r="H314" s="33" t="s">
        <v>34</v>
      </c>
      <c r="I314" s="33" t="s">
        <v>174</v>
      </c>
      <c r="J314" s="33" t="s">
        <v>112</v>
      </c>
      <c r="K314" s="35" t="n">
        <v>226496107</v>
      </c>
      <c r="L314" s="33" t="s">
        <v>755</v>
      </c>
      <c r="M314" s="33" t="n">
        <v>103259520</v>
      </c>
      <c r="N314" s="36" t="n">
        <v>0</v>
      </c>
      <c r="O314" s="37" t="n">
        <v>0</v>
      </c>
    </row>
    <row r="315" customFormat="false" ht="15" hidden="false" customHeight="false" outlineLevel="0" collapsed="false">
      <c r="A315" s="32" t="s">
        <v>846</v>
      </c>
      <c r="B315" s="33" t="s">
        <v>847</v>
      </c>
      <c r="C315" s="33" t="s">
        <v>28</v>
      </c>
      <c r="D315" s="34" t="n">
        <v>43356</v>
      </c>
      <c r="E315" s="33" t="s">
        <v>102</v>
      </c>
      <c r="F315" s="33" t="n">
        <v>21356941</v>
      </c>
      <c r="G315" s="33" t="n">
        <v>720193</v>
      </c>
      <c r="H315" s="33" t="s">
        <v>34</v>
      </c>
      <c r="I315" s="33" t="s">
        <v>174</v>
      </c>
      <c r="J315" s="33" t="s">
        <v>112</v>
      </c>
      <c r="K315" s="35" t="n">
        <v>226496107</v>
      </c>
      <c r="L315" s="33" t="s">
        <v>755</v>
      </c>
      <c r="M315" s="33" t="n">
        <v>103259520</v>
      </c>
      <c r="N315" s="36" t="n">
        <v>0</v>
      </c>
      <c r="O315" s="37" t="n">
        <v>0</v>
      </c>
    </row>
    <row r="316" customFormat="false" ht="15" hidden="false" customHeight="false" outlineLevel="0" collapsed="false">
      <c r="A316" s="32" t="s">
        <v>848</v>
      </c>
      <c r="B316" s="33" t="s">
        <v>849</v>
      </c>
      <c r="C316" s="33" t="s">
        <v>28</v>
      </c>
      <c r="D316" s="34" t="n">
        <v>43355</v>
      </c>
      <c r="E316" s="33" t="s">
        <v>102</v>
      </c>
      <c r="F316" s="33" t="n">
        <v>21356941</v>
      </c>
      <c r="G316" s="33" t="n">
        <v>720193</v>
      </c>
      <c r="H316" s="33" t="s">
        <v>34</v>
      </c>
      <c r="I316" s="33" t="s">
        <v>174</v>
      </c>
      <c r="J316" s="33" t="s">
        <v>112</v>
      </c>
      <c r="K316" s="35" t="n">
        <v>226496107</v>
      </c>
      <c r="L316" s="33" t="s">
        <v>755</v>
      </c>
      <c r="M316" s="33" t="n">
        <v>103259520</v>
      </c>
      <c r="N316" s="36" t="n">
        <v>0</v>
      </c>
      <c r="O316" s="37" t="n">
        <v>0</v>
      </c>
    </row>
    <row r="317" customFormat="false" ht="15" hidden="false" customHeight="false" outlineLevel="0" collapsed="false">
      <c r="A317" s="32" t="s">
        <v>850</v>
      </c>
      <c r="B317" s="33" t="s">
        <v>851</v>
      </c>
      <c r="C317" s="33" t="s">
        <v>28</v>
      </c>
      <c r="D317" s="34" t="n">
        <v>43354</v>
      </c>
      <c r="E317" s="33" t="s">
        <v>102</v>
      </c>
      <c r="F317" s="33" t="n">
        <v>21356941</v>
      </c>
      <c r="G317" s="33" t="n">
        <v>720193</v>
      </c>
      <c r="H317" s="33" t="s">
        <v>34</v>
      </c>
      <c r="I317" s="33" t="s">
        <v>174</v>
      </c>
      <c r="J317" s="33" t="s">
        <v>112</v>
      </c>
      <c r="K317" s="35" t="n">
        <v>226496107</v>
      </c>
      <c r="L317" s="33" t="s">
        <v>755</v>
      </c>
      <c r="M317" s="33" t="n">
        <v>103259520</v>
      </c>
      <c r="N317" s="36" t="n">
        <v>0</v>
      </c>
      <c r="O317" s="37" t="n">
        <v>0</v>
      </c>
    </row>
    <row r="318" customFormat="false" ht="15" hidden="false" customHeight="false" outlineLevel="0" collapsed="false">
      <c r="A318" s="32" t="s">
        <v>852</v>
      </c>
      <c r="B318" s="33" t="s">
        <v>853</v>
      </c>
      <c r="C318" s="33" t="s">
        <v>28</v>
      </c>
      <c r="D318" s="34" t="n">
        <v>43353</v>
      </c>
      <c r="E318" s="33" t="s">
        <v>102</v>
      </c>
      <c r="F318" s="33" t="n">
        <v>21356941</v>
      </c>
      <c r="G318" s="33" t="n">
        <v>720193</v>
      </c>
      <c r="H318" s="33" t="s">
        <v>34</v>
      </c>
      <c r="I318" s="33" t="s">
        <v>174</v>
      </c>
      <c r="J318" s="33" t="s">
        <v>112</v>
      </c>
      <c r="K318" s="35" t="n">
        <v>226496107</v>
      </c>
      <c r="L318" s="33" t="s">
        <v>755</v>
      </c>
      <c r="M318" s="33" t="n">
        <v>103259520</v>
      </c>
      <c r="N318" s="36" t="n">
        <v>0</v>
      </c>
      <c r="O318" s="37" t="n">
        <v>0</v>
      </c>
    </row>
    <row r="319" customFormat="false" ht="15" hidden="false" customHeight="false" outlineLevel="0" collapsed="false">
      <c r="A319" s="32" t="s">
        <v>854</v>
      </c>
      <c r="B319" s="33" t="s">
        <v>855</v>
      </c>
      <c r="C319" s="33" t="s">
        <v>28</v>
      </c>
      <c r="D319" s="34" t="n">
        <v>43352</v>
      </c>
      <c r="E319" s="33" t="s">
        <v>102</v>
      </c>
      <c r="F319" s="33" t="n">
        <v>21356941</v>
      </c>
      <c r="G319" s="33" t="n">
        <v>720193</v>
      </c>
      <c r="H319" s="33" t="s">
        <v>34</v>
      </c>
      <c r="I319" s="33" t="s">
        <v>174</v>
      </c>
      <c r="J319" s="33" t="s">
        <v>112</v>
      </c>
      <c r="K319" s="35" t="n">
        <v>226496107</v>
      </c>
      <c r="L319" s="33" t="s">
        <v>755</v>
      </c>
      <c r="M319" s="33" t="n">
        <v>103259520</v>
      </c>
      <c r="N319" s="36" t="n">
        <v>0</v>
      </c>
      <c r="O319" s="37" t="n">
        <v>0</v>
      </c>
    </row>
    <row r="320" customFormat="false" ht="15" hidden="false" customHeight="false" outlineLevel="0" collapsed="false">
      <c r="A320" s="32" t="s">
        <v>856</v>
      </c>
      <c r="B320" s="33" t="s">
        <v>857</v>
      </c>
      <c r="C320" s="33" t="s">
        <v>28</v>
      </c>
      <c r="D320" s="34" t="n">
        <v>43358</v>
      </c>
      <c r="E320" s="33" t="s">
        <v>102</v>
      </c>
      <c r="F320" s="33" t="n">
        <v>21356941</v>
      </c>
      <c r="G320" s="33" t="n">
        <v>720193</v>
      </c>
      <c r="H320" s="33" t="s">
        <v>34</v>
      </c>
      <c r="I320" s="33" t="s">
        <v>174</v>
      </c>
      <c r="J320" s="33" t="s">
        <v>113</v>
      </c>
      <c r="K320" s="35" t="n">
        <v>226496104</v>
      </c>
      <c r="L320" s="33" t="s">
        <v>770</v>
      </c>
      <c r="M320" s="33" t="n">
        <v>103259769</v>
      </c>
      <c r="N320" s="36" t="n">
        <v>1</v>
      </c>
      <c r="O320" s="37" t="n">
        <v>0</v>
      </c>
    </row>
    <row r="321" customFormat="false" ht="15" hidden="false" customHeight="false" outlineLevel="0" collapsed="false">
      <c r="A321" s="32" t="s">
        <v>858</v>
      </c>
      <c r="B321" s="33" t="s">
        <v>859</v>
      </c>
      <c r="C321" s="33" t="s">
        <v>28</v>
      </c>
      <c r="D321" s="34" t="n">
        <v>43357</v>
      </c>
      <c r="E321" s="33" t="s">
        <v>102</v>
      </c>
      <c r="F321" s="33" t="n">
        <v>21356941</v>
      </c>
      <c r="G321" s="33" t="n">
        <v>720193</v>
      </c>
      <c r="H321" s="33" t="s">
        <v>34</v>
      </c>
      <c r="I321" s="33" t="s">
        <v>174</v>
      </c>
      <c r="J321" s="33" t="s">
        <v>113</v>
      </c>
      <c r="K321" s="35" t="n">
        <v>226496104</v>
      </c>
      <c r="L321" s="33" t="s">
        <v>770</v>
      </c>
      <c r="M321" s="33" t="n">
        <v>103259769</v>
      </c>
      <c r="N321" s="36" t="n">
        <v>0</v>
      </c>
      <c r="O321" s="37" t="n">
        <v>0</v>
      </c>
    </row>
    <row r="322" customFormat="false" ht="15" hidden="false" customHeight="false" outlineLevel="0" collapsed="false">
      <c r="A322" s="32" t="s">
        <v>860</v>
      </c>
      <c r="B322" s="33" t="s">
        <v>861</v>
      </c>
      <c r="C322" s="33" t="s">
        <v>28</v>
      </c>
      <c r="D322" s="34" t="n">
        <v>43356</v>
      </c>
      <c r="E322" s="33" t="s">
        <v>102</v>
      </c>
      <c r="F322" s="33" t="n">
        <v>21356941</v>
      </c>
      <c r="G322" s="33" t="n">
        <v>720193</v>
      </c>
      <c r="H322" s="33" t="s">
        <v>34</v>
      </c>
      <c r="I322" s="33" t="s">
        <v>174</v>
      </c>
      <c r="J322" s="33" t="s">
        <v>113</v>
      </c>
      <c r="K322" s="35" t="n">
        <v>226496104</v>
      </c>
      <c r="L322" s="33" t="s">
        <v>770</v>
      </c>
      <c r="M322" s="33" t="n">
        <v>103259769</v>
      </c>
      <c r="N322" s="36" t="n">
        <v>0</v>
      </c>
      <c r="O322" s="37" t="n">
        <v>0</v>
      </c>
    </row>
    <row r="323" customFormat="false" ht="15" hidden="false" customHeight="false" outlineLevel="0" collapsed="false">
      <c r="A323" s="32" t="s">
        <v>862</v>
      </c>
      <c r="B323" s="33" t="s">
        <v>863</v>
      </c>
      <c r="C323" s="33" t="s">
        <v>28</v>
      </c>
      <c r="D323" s="34" t="n">
        <v>43355</v>
      </c>
      <c r="E323" s="33" t="s">
        <v>102</v>
      </c>
      <c r="F323" s="33" t="n">
        <v>21356941</v>
      </c>
      <c r="G323" s="33" t="n">
        <v>720193</v>
      </c>
      <c r="H323" s="33" t="s">
        <v>34</v>
      </c>
      <c r="I323" s="33" t="s">
        <v>174</v>
      </c>
      <c r="J323" s="33" t="s">
        <v>113</v>
      </c>
      <c r="K323" s="35" t="n">
        <v>226496104</v>
      </c>
      <c r="L323" s="33" t="s">
        <v>770</v>
      </c>
      <c r="M323" s="33" t="n">
        <v>103259769</v>
      </c>
      <c r="N323" s="36" t="n">
        <v>0</v>
      </c>
      <c r="O323" s="37" t="n">
        <v>0</v>
      </c>
    </row>
    <row r="324" customFormat="false" ht="15" hidden="false" customHeight="false" outlineLevel="0" collapsed="false">
      <c r="A324" s="32" t="s">
        <v>864</v>
      </c>
      <c r="B324" s="33" t="s">
        <v>865</v>
      </c>
      <c r="C324" s="33" t="s">
        <v>28</v>
      </c>
      <c r="D324" s="34" t="n">
        <v>43354</v>
      </c>
      <c r="E324" s="33" t="s">
        <v>102</v>
      </c>
      <c r="F324" s="33" t="n">
        <v>21356941</v>
      </c>
      <c r="G324" s="33" t="n">
        <v>720193</v>
      </c>
      <c r="H324" s="33" t="s">
        <v>34</v>
      </c>
      <c r="I324" s="33" t="s">
        <v>174</v>
      </c>
      <c r="J324" s="33" t="s">
        <v>113</v>
      </c>
      <c r="K324" s="35" t="n">
        <v>226496104</v>
      </c>
      <c r="L324" s="33" t="s">
        <v>770</v>
      </c>
      <c r="M324" s="33" t="n">
        <v>103259769</v>
      </c>
      <c r="N324" s="36" t="n">
        <v>0</v>
      </c>
      <c r="O324" s="37" t="n">
        <v>0</v>
      </c>
    </row>
    <row r="325" customFormat="false" ht="15" hidden="false" customHeight="false" outlineLevel="0" collapsed="false">
      <c r="A325" s="32" t="s">
        <v>866</v>
      </c>
      <c r="B325" s="33" t="s">
        <v>867</v>
      </c>
      <c r="C325" s="33" t="s">
        <v>28</v>
      </c>
      <c r="D325" s="34" t="n">
        <v>43353</v>
      </c>
      <c r="E325" s="33" t="s">
        <v>102</v>
      </c>
      <c r="F325" s="33" t="n">
        <v>21356941</v>
      </c>
      <c r="G325" s="33" t="n">
        <v>720193</v>
      </c>
      <c r="H325" s="33" t="s">
        <v>34</v>
      </c>
      <c r="I325" s="33" t="s">
        <v>174</v>
      </c>
      <c r="J325" s="33" t="s">
        <v>113</v>
      </c>
      <c r="K325" s="35" t="n">
        <v>226496104</v>
      </c>
      <c r="L325" s="33" t="s">
        <v>770</v>
      </c>
      <c r="M325" s="33" t="n">
        <v>103259769</v>
      </c>
      <c r="N325" s="36" t="n">
        <v>0</v>
      </c>
      <c r="O325" s="37" t="n">
        <v>0</v>
      </c>
    </row>
    <row r="326" customFormat="false" ht="15" hidden="false" customHeight="false" outlineLevel="0" collapsed="false">
      <c r="A326" s="32" t="s">
        <v>868</v>
      </c>
      <c r="B326" s="33" t="s">
        <v>869</v>
      </c>
      <c r="C326" s="33" t="s">
        <v>28</v>
      </c>
      <c r="D326" s="34" t="n">
        <v>43352</v>
      </c>
      <c r="E326" s="33" t="s">
        <v>102</v>
      </c>
      <c r="F326" s="33" t="n">
        <v>21356941</v>
      </c>
      <c r="G326" s="33" t="n">
        <v>720193</v>
      </c>
      <c r="H326" s="33" t="s">
        <v>34</v>
      </c>
      <c r="I326" s="33" t="s">
        <v>174</v>
      </c>
      <c r="J326" s="33" t="s">
        <v>113</v>
      </c>
      <c r="K326" s="35" t="n">
        <v>226496104</v>
      </c>
      <c r="L326" s="33" t="s">
        <v>770</v>
      </c>
      <c r="M326" s="33" t="n">
        <v>103259769</v>
      </c>
      <c r="N326" s="36" t="n">
        <v>0</v>
      </c>
      <c r="O326" s="37" t="n">
        <v>0</v>
      </c>
    </row>
    <row r="327" customFormat="false" ht="15" hidden="false" customHeight="false" outlineLevel="0" collapsed="false">
      <c r="A327" s="32" t="s">
        <v>870</v>
      </c>
      <c r="B327" s="33" t="s">
        <v>871</v>
      </c>
      <c r="C327" s="33" t="s">
        <v>28</v>
      </c>
      <c r="D327" s="34" t="n">
        <v>43358</v>
      </c>
      <c r="E327" s="33" t="s">
        <v>102</v>
      </c>
      <c r="F327" s="33" t="n">
        <v>21356941</v>
      </c>
      <c r="G327" s="33" t="n">
        <v>720193</v>
      </c>
      <c r="H327" s="33" t="s">
        <v>34</v>
      </c>
      <c r="I327" s="33" t="s">
        <v>174</v>
      </c>
      <c r="J327" s="33" t="s">
        <v>114</v>
      </c>
      <c r="K327" s="35" t="n">
        <v>226496101</v>
      </c>
      <c r="L327" s="33" t="s">
        <v>785</v>
      </c>
      <c r="M327" s="33" t="n">
        <v>103257810</v>
      </c>
      <c r="N327" s="36" t="n">
        <v>1</v>
      </c>
      <c r="O327" s="37" t="n">
        <v>0</v>
      </c>
    </row>
    <row r="328" customFormat="false" ht="15" hidden="false" customHeight="false" outlineLevel="0" collapsed="false">
      <c r="A328" s="32" t="s">
        <v>872</v>
      </c>
      <c r="B328" s="33" t="s">
        <v>873</v>
      </c>
      <c r="C328" s="33" t="s">
        <v>28</v>
      </c>
      <c r="D328" s="34" t="n">
        <v>43357</v>
      </c>
      <c r="E328" s="33" t="s">
        <v>102</v>
      </c>
      <c r="F328" s="33" t="n">
        <v>21356941</v>
      </c>
      <c r="G328" s="33" t="n">
        <v>720193</v>
      </c>
      <c r="H328" s="33" t="s">
        <v>34</v>
      </c>
      <c r="I328" s="33" t="s">
        <v>174</v>
      </c>
      <c r="J328" s="33" t="s">
        <v>114</v>
      </c>
      <c r="K328" s="35" t="n">
        <v>226496101</v>
      </c>
      <c r="L328" s="33" t="s">
        <v>785</v>
      </c>
      <c r="M328" s="33" t="n">
        <v>103257810</v>
      </c>
      <c r="N328" s="36" t="n">
        <v>0</v>
      </c>
      <c r="O328" s="37" t="n">
        <v>0</v>
      </c>
    </row>
    <row r="329" customFormat="false" ht="15" hidden="false" customHeight="false" outlineLevel="0" collapsed="false">
      <c r="A329" s="32" t="s">
        <v>874</v>
      </c>
      <c r="B329" s="33" t="s">
        <v>875</v>
      </c>
      <c r="C329" s="33" t="s">
        <v>28</v>
      </c>
      <c r="D329" s="34" t="n">
        <v>43356</v>
      </c>
      <c r="E329" s="33" t="s">
        <v>102</v>
      </c>
      <c r="F329" s="33" t="n">
        <v>21356941</v>
      </c>
      <c r="G329" s="33" t="n">
        <v>720193</v>
      </c>
      <c r="H329" s="33" t="s">
        <v>34</v>
      </c>
      <c r="I329" s="33" t="s">
        <v>174</v>
      </c>
      <c r="J329" s="33" t="s">
        <v>114</v>
      </c>
      <c r="K329" s="35" t="n">
        <v>226496101</v>
      </c>
      <c r="L329" s="33" t="s">
        <v>785</v>
      </c>
      <c r="M329" s="33" t="n">
        <v>103257810</v>
      </c>
      <c r="N329" s="36" t="n">
        <v>0</v>
      </c>
      <c r="O329" s="37" t="n">
        <v>0</v>
      </c>
    </row>
    <row r="330" customFormat="false" ht="15" hidden="false" customHeight="false" outlineLevel="0" collapsed="false">
      <c r="A330" s="32" t="s">
        <v>876</v>
      </c>
      <c r="B330" s="33" t="s">
        <v>877</v>
      </c>
      <c r="C330" s="33" t="s">
        <v>28</v>
      </c>
      <c r="D330" s="34" t="n">
        <v>43355</v>
      </c>
      <c r="E330" s="33" t="s">
        <v>102</v>
      </c>
      <c r="F330" s="33" t="n">
        <v>21356941</v>
      </c>
      <c r="G330" s="33" t="n">
        <v>720193</v>
      </c>
      <c r="H330" s="33" t="s">
        <v>34</v>
      </c>
      <c r="I330" s="33" t="s">
        <v>174</v>
      </c>
      <c r="J330" s="33" t="s">
        <v>114</v>
      </c>
      <c r="K330" s="35" t="n">
        <v>226496101</v>
      </c>
      <c r="L330" s="33" t="s">
        <v>785</v>
      </c>
      <c r="M330" s="33" t="n">
        <v>103257810</v>
      </c>
      <c r="N330" s="36" t="n">
        <v>1</v>
      </c>
      <c r="O330" s="37" t="n">
        <v>0</v>
      </c>
    </row>
    <row r="331" customFormat="false" ht="15" hidden="false" customHeight="false" outlineLevel="0" collapsed="false">
      <c r="A331" s="32" t="s">
        <v>878</v>
      </c>
      <c r="B331" s="33" t="s">
        <v>879</v>
      </c>
      <c r="C331" s="33" t="s">
        <v>28</v>
      </c>
      <c r="D331" s="34" t="n">
        <v>43354</v>
      </c>
      <c r="E331" s="33" t="s">
        <v>102</v>
      </c>
      <c r="F331" s="33" t="n">
        <v>21356941</v>
      </c>
      <c r="G331" s="33" t="n">
        <v>720193</v>
      </c>
      <c r="H331" s="33" t="s">
        <v>34</v>
      </c>
      <c r="I331" s="33" t="s">
        <v>174</v>
      </c>
      <c r="J331" s="33" t="s">
        <v>114</v>
      </c>
      <c r="K331" s="35" t="n">
        <v>226496101</v>
      </c>
      <c r="L331" s="33" t="s">
        <v>785</v>
      </c>
      <c r="M331" s="33" t="n">
        <v>103257810</v>
      </c>
      <c r="N331" s="36" t="n">
        <v>1</v>
      </c>
      <c r="O331" s="37" t="n">
        <v>0.01</v>
      </c>
    </row>
    <row r="332" customFormat="false" ht="15" hidden="false" customHeight="false" outlineLevel="0" collapsed="false">
      <c r="A332" s="32" t="s">
        <v>880</v>
      </c>
      <c r="B332" s="33" t="s">
        <v>881</v>
      </c>
      <c r="C332" s="33" t="s">
        <v>28</v>
      </c>
      <c r="D332" s="34" t="n">
        <v>43353</v>
      </c>
      <c r="E332" s="33" t="s">
        <v>102</v>
      </c>
      <c r="F332" s="33" t="n">
        <v>21356941</v>
      </c>
      <c r="G332" s="33" t="n">
        <v>720193</v>
      </c>
      <c r="H332" s="33" t="s">
        <v>34</v>
      </c>
      <c r="I332" s="33" t="s">
        <v>174</v>
      </c>
      <c r="J332" s="33" t="s">
        <v>114</v>
      </c>
      <c r="K332" s="35" t="n">
        <v>226496101</v>
      </c>
      <c r="L332" s="33" t="s">
        <v>785</v>
      </c>
      <c r="M332" s="33" t="n">
        <v>103257810</v>
      </c>
      <c r="N332" s="36" t="n">
        <v>0</v>
      </c>
      <c r="O332" s="37" t="n">
        <v>0</v>
      </c>
    </row>
    <row r="333" customFormat="false" ht="15" hidden="false" customHeight="false" outlineLevel="0" collapsed="false">
      <c r="A333" s="32" t="s">
        <v>882</v>
      </c>
      <c r="B333" s="33" t="s">
        <v>883</v>
      </c>
      <c r="C333" s="33" t="s">
        <v>28</v>
      </c>
      <c r="D333" s="34" t="n">
        <v>43352</v>
      </c>
      <c r="E333" s="33" t="s">
        <v>102</v>
      </c>
      <c r="F333" s="33" t="n">
        <v>21356941</v>
      </c>
      <c r="G333" s="33" t="n">
        <v>720193</v>
      </c>
      <c r="H333" s="33" t="s">
        <v>34</v>
      </c>
      <c r="I333" s="33" t="s">
        <v>174</v>
      </c>
      <c r="J333" s="33" t="s">
        <v>114</v>
      </c>
      <c r="K333" s="35" t="n">
        <v>226496101</v>
      </c>
      <c r="L333" s="33" t="s">
        <v>785</v>
      </c>
      <c r="M333" s="33" t="n">
        <v>103257810</v>
      </c>
      <c r="N333" s="36" t="n">
        <v>3</v>
      </c>
      <c r="O333" s="37" t="n">
        <v>0</v>
      </c>
    </row>
    <row r="334" customFormat="false" ht="15" hidden="false" customHeight="false" outlineLevel="0" collapsed="false">
      <c r="A334" s="32" t="s">
        <v>884</v>
      </c>
      <c r="B334" s="33" t="s">
        <v>885</v>
      </c>
      <c r="C334" s="33" t="s">
        <v>28</v>
      </c>
      <c r="D334" s="34" t="n">
        <v>43358</v>
      </c>
      <c r="E334" s="33" t="s">
        <v>102</v>
      </c>
      <c r="F334" s="33" t="n">
        <v>21356941</v>
      </c>
      <c r="G334" s="33" t="n">
        <v>720193</v>
      </c>
      <c r="H334" s="33" t="s">
        <v>34</v>
      </c>
      <c r="I334" s="33" t="s">
        <v>174</v>
      </c>
      <c r="J334" s="33" t="s">
        <v>115</v>
      </c>
      <c r="K334" s="35" t="n">
        <v>226496098</v>
      </c>
      <c r="L334" s="33" t="s">
        <v>886</v>
      </c>
      <c r="M334" s="33" t="n">
        <v>104458165</v>
      </c>
      <c r="N334" s="36" t="n">
        <v>0</v>
      </c>
      <c r="O334" s="37" t="n">
        <v>0</v>
      </c>
    </row>
    <row r="335" customFormat="false" ht="15" hidden="false" customHeight="false" outlineLevel="0" collapsed="false">
      <c r="A335" s="32" t="s">
        <v>887</v>
      </c>
      <c r="B335" s="33" t="s">
        <v>888</v>
      </c>
      <c r="C335" s="33" t="s">
        <v>28</v>
      </c>
      <c r="D335" s="34" t="n">
        <v>43357</v>
      </c>
      <c r="E335" s="33" t="s">
        <v>102</v>
      </c>
      <c r="F335" s="33" t="n">
        <v>21356941</v>
      </c>
      <c r="G335" s="33" t="n">
        <v>720193</v>
      </c>
      <c r="H335" s="33" t="s">
        <v>34</v>
      </c>
      <c r="I335" s="33" t="s">
        <v>174</v>
      </c>
      <c r="J335" s="33" t="s">
        <v>115</v>
      </c>
      <c r="K335" s="35" t="n">
        <v>226496098</v>
      </c>
      <c r="L335" s="33" t="s">
        <v>886</v>
      </c>
      <c r="M335" s="33" t="n">
        <v>104458165</v>
      </c>
      <c r="N335" s="36" t="n">
        <v>0</v>
      </c>
      <c r="O335" s="37" t="n">
        <v>0</v>
      </c>
    </row>
    <row r="336" customFormat="false" ht="15" hidden="false" customHeight="false" outlineLevel="0" collapsed="false">
      <c r="A336" s="32" t="s">
        <v>889</v>
      </c>
      <c r="B336" s="33" t="s">
        <v>890</v>
      </c>
      <c r="C336" s="33" t="s">
        <v>28</v>
      </c>
      <c r="D336" s="34" t="n">
        <v>43356</v>
      </c>
      <c r="E336" s="33" t="s">
        <v>102</v>
      </c>
      <c r="F336" s="33" t="n">
        <v>21356941</v>
      </c>
      <c r="G336" s="33" t="n">
        <v>720193</v>
      </c>
      <c r="H336" s="33" t="s">
        <v>34</v>
      </c>
      <c r="I336" s="33" t="s">
        <v>174</v>
      </c>
      <c r="J336" s="33" t="s">
        <v>115</v>
      </c>
      <c r="K336" s="35" t="n">
        <v>226496098</v>
      </c>
      <c r="L336" s="33" t="s">
        <v>886</v>
      </c>
      <c r="M336" s="33" t="n">
        <v>104458165</v>
      </c>
      <c r="N336" s="36" t="n">
        <v>0</v>
      </c>
      <c r="O336" s="37" t="n">
        <v>0</v>
      </c>
    </row>
    <row r="337" customFormat="false" ht="15" hidden="false" customHeight="false" outlineLevel="0" collapsed="false">
      <c r="A337" s="32" t="s">
        <v>891</v>
      </c>
      <c r="B337" s="33" t="s">
        <v>892</v>
      </c>
      <c r="C337" s="33" t="s">
        <v>28</v>
      </c>
      <c r="D337" s="34" t="n">
        <v>43355</v>
      </c>
      <c r="E337" s="33" t="s">
        <v>102</v>
      </c>
      <c r="F337" s="33" t="n">
        <v>21356941</v>
      </c>
      <c r="G337" s="33" t="n">
        <v>720193</v>
      </c>
      <c r="H337" s="33" t="s">
        <v>34</v>
      </c>
      <c r="I337" s="33" t="s">
        <v>174</v>
      </c>
      <c r="J337" s="33" t="s">
        <v>115</v>
      </c>
      <c r="K337" s="35" t="n">
        <v>226496098</v>
      </c>
      <c r="L337" s="33" t="s">
        <v>886</v>
      </c>
      <c r="M337" s="33" t="n">
        <v>104458165</v>
      </c>
      <c r="N337" s="36" t="n">
        <v>0</v>
      </c>
      <c r="O337" s="37" t="n">
        <v>0</v>
      </c>
    </row>
    <row r="338" customFormat="false" ht="15" hidden="false" customHeight="false" outlineLevel="0" collapsed="false">
      <c r="A338" s="32" t="s">
        <v>893</v>
      </c>
      <c r="B338" s="33" t="s">
        <v>894</v>
      </c>
      <c r="C338" s="33" t="s">
        <v>28</v>
      </c>
      <c r="D338" s="34" t="n">
        <v>43354</v>
      </c>
      <c r="E338" s="33" t="s">
        <v>102</v>
      </c>
      <c r="F338" s="33" t="n">
        <v>21356941</v>
      </c>
      <c r="G338" s="33" t="n">
        <v>720193</v>
      </c>
      <c r="H338" s="33" t="s">
        <v>34</v>
      </c>
      <c r="I338" s="33" t="s">
        <v>174</v>
      </c>
      <c r="J338" s="33" t="s">
        <v>115</v>
      </c>
      <c r="K338" s="35" t="n">
        <v>226496098</v>
      </c>
      <c r="L338" s="33" t="s">
        <v>886</v>
      </c>
      <c r="M338" s="33" t="n">
        <v>104458165</v>
      </c>
      <c r="N338" s="36" t="n">
        <v>0</v>
      </c>
      <c r="O338" s="37" t="n">
        <v>0</v>
      </c>
    </row>
    <row r="339" customFormat="false" ht="15" hidden="false" customHeight="false" outlineLevel="0" collapsed="false">
      <c r="A339" s="32" t="s">
        <v>895</v>
      </c>
      <c r="B339" s="33" t="s">
        <v>896</v>
      </c>
      <c r="C339" s="33" t="s">
        <v>28</v>
      </c>
      <c r="D339" s="34" t="n">
        <v>43353</v>
      </c>
      <c r="E339" s="33" t="s">
        <v>102</v>
      </c>
      <c r="F339" s="33" t="n">
        <v>21356941</v>
      </c>
      <c r="G339" s="33" t="n">
        <v>720193</v>
      </c>
      <c r="H339" s="33" t="s">
        <v>34</v>
      </c>
      <c r="I339" s="33" t="s">
        <v>174</v>
      </c>
      <c r="J339" s="33" t="s">
        <v>115</v>
      </c>
      <c r="K339" s="35" t="n">
        <v>226496098</v>
      </c>
      <c r="L339" s="33" t="s">
        <v>886</v>
      </c>
      <c r="M339" s="33" t="n">
        <v>104458165</v>
      </c>
      <c r="N339" s="36" t="n">
        <v>0</v>
      </c>
      <c r="O339" s="37" t="n">
        <v>0</v>
      </c>
    </row>
    <row r="340" customFormat="false" ht="15" hidden="false" customHeight="false" outlineLevel="0" collapsed="false">
      <c r="A340" s="32" t="s">
        <v>897</v>
      </c>
      <c r="B340" s="33" t="s">
        <v>898</v>
      </c>
      <c r="C340" s="33" t="s">
        <v>28</v>
      </c>
      <c r="D340" s="34" t="n">
        <v>43352</v>
      </c>
      <c r="E340" s="33" t="s">
        <v>102</v>
      </c>
      <c r="F340" s="33" t="n">
        <v>21356941</v>
      </c>
      <c r="G340" s="33" t="n">
        <v>720193</v>
      </c>
      <c r="H340" s="33" t="s">
        <v>34</v>
      </c>
      <c r="I340" s="33" t="s">
        <v>174</v>
      </c>
      <c r="J340" s="33" t="s">
        <v>115</v>
      </c>
      <c r="K340" s="35" t="n">
        <v>226496098</v>
      </c>
      <c r="L340" s="33" t="s">
        <v>886</v>
      </c>
      <c r="M340" s="33" t="n">
        <v>104458165</v>
      </c>
      <c r="N340" s="36" t="n">
        <v>0</v>
      </c>
      <c r="O340" s="37" t="n">
        <v>0</v>
      </c>
    </row>
    <row r="341" customFormat="false" ht="15" hidden="false" customHeight="false" outlineLevel="0" collapsed="false">
      <c r="A341" s="32" t="s">
        <v>899</v>
      </c>
      <c r="B341" s="33" t="s">
        <v>900</v>
      </c>
      <c r="C341" s="33" t="s">
        <v>28</v>
      </c>
      <c r="D341" s="34" t="n">
        <v>43358</v>
      </c>
      <c r="E341" s="33" t="s">
        <v>102</v>
      </c>
      <c r="F341" s="33" t="n">
        <v>21356941</v>
      </c>
      <c r="G341" s="33" t="n">
        <v>720193</v>
      </c>
      <c r="H341" s="33" t="s">
        <v>34</v>
      </c>
      <c r="I341" s="33" t="s">
        <v>174</v>
      </c>
      <c r="J341" s="33" t="s">
        <v>116</v>
      </c>
      <c r="K341" s="35" t="n">
        <v>226496095</v>
      </c>
      <c r="L341" s="33" t="s">
        <v>815</v>
      </c>
      <c r="M341" s="33" t="n">
        <v>103376990</v>
      </c>
      <c r="N341" s="36" t="n">
        <v>0</v>
      </c>
      <c r="O341" s="37" t="n">
        <v>0</v>
      </c>
    </row>
    <row r="342" customFormat="false" ht="15" hidden="false" customHeight="false" outlineLevel="0" collapsed="false">
      <c r="A342" s="32" t="s">
        <v>901</v>
      </c>
      <c r="B342" s="33" t="s">
        <v>902</v>
      </c>
      <c r="C342" s="33" t="s">
        <v>28</v>
      </c>
      <c r="D342" s="34" t="n">
        <v>43357</v>
      </c>
      <c r="E342" s="33" t="s">
        <v>102</v>
      </c>
      <c r="F342" s="33" t="n">
        <v>21356941</v>
      </c>
      <c r="G342" s="33" t="n">
        <v>720193</v>
      </c>
      <c r="H342" s="33" t="s">
        <v>34</v>
      </c>
      <c r="I342" s="33" t="s">
        <v>174</v>
      </c>
      <c r="J342" s="33" t="s">
        <v>116</v>
      </c>
      <c r="K342" s="35" t="n">
        <v>226496095</v>
      </c>
      <c r="L342" s="33" t="s">
        <v>815</v>
      </c>
      <c r="M342" s="33" t="n">
        <v>103376990</v>
      </c>
      <c r="N342" s="36" t="n">
        <v>1</v>
      </c>
      <c r="O342" s="37" t="n">
        <v>0.01</v>
      </c>
    </row>
    <row r="343" customFormat="false" ht="15" hidden="false" customHeight="false" outlineLevel="0" collapsed="false">
      <c r="A343" s="32" t="s">
        <v>903</v>
      </c>
      <c r="B343" s="33" t="s">
        <v>904</v>
      </c>
      <c r="C343" s="33" t="s">
        <v>28</v>
      </c>
      <c r="D343" s="34" t="n">
        <v>43356</v>
      </c>
      <c r="E343" s="33" t="s">
        <v>102</v>
      </c>
      <c r="F343" s="33" t="n">
        <v>21356941</v>
      </c>
      <c r="G343" s="33" t="n">
        <v>720193</v>
      </c>
      <c r="H343" s="33" t="s">
        <v>34</v>
      </c>
      <c r="I343" s="33" t="s">
        <v>174</v>
      </c>
      <c r="J343" s="33" t="s">
        <v>116</v>
      </c>
      <c r="K343" s="35" t="n">
        <v>226496095</v>
      </c>
      <c r="L343" s="33" t="s">
        <v>815</v>
      </c>
      <c r="M343" s="33" t="n">
        <v>103376990</v>
      </c>
      <c r="N343" s="36" t="n">
        <v>1</v>
      </c>
      <c r="O343" s="37" t="n">
        <v>0.01</v>
      </c>
    </row>
    <row r="344" customFormat="false" ht="15" hidden="false" customHeight="false" outlineLevel="0" collapsed="false">
      <c r="A344" s="32" t="s">
        <v>905</v>
      </c>
      <c r="B344" s="33" t="s">
        <v>906</v>
      </c>
      <c r="C344" s="33" t="s">
        <v>28</v>
      </c>
      <c r="D344" s="34" t="n">
        <v>43355</v>
      </c>
      <c r="E344" s="33" t="s">
        <v>102</v>
      </c>
      <c r="F344" s="33" t="n">
        <v>21356941</v>
      </c>
      <c r="G344" s="33" t="n">
        <v>720193</v>
      </c>
      <c r="H344" s="33" t="s">
        <v>34</v>
      </c>
      <c r="I344" s="33" t="s">
        <v>174</v>
      </c>
      <c r="J344" s="33" t="s">
        <v>116</v>
      </c>
      <c r="K344" s="35" t="n">
        <v>226496095</v>
      </c>
      <c r="L344" s="33" t="s">
        <v>815</v>
      </c>
      <c r="M344" s="33" t="n">
        <v>103376990</v>
      </c>
      <c r="N344" s="36" t="n">
        <v>0</v>
      </c>
      <c r="O344" s="37" t="n">
        <v>0</v>
      </c>
    </row>
    <row r="345" customFormat="false" ht="15" hidden="false" customHeight="false" outlineLevel="0" collapsed="false">
      <c r="A345" s="32" t="s">
        <v>907</v>
      </c>
      <c r="B345" s="33" t="s">
        <v>908</v>
      </c>
      <c r="C345" s="33" t="s">
        <v>28</v>
      </c>
      <c r="D345" s="34" t="n">
        <v>43354</v>
      </c>
      <c r="E345" s="33" t="s">
        <v>102</v>
      </c>
      <c r="F345" s="33" t="n">
        <v>21356941</v>
      </c>
      <c r="G345" s="33" t="n">
        <v>720193</v>
      </c>
      <c r="H345" s="33" t="s">
        <v>34</v>
      </c>
      <c r="I345" s="33" t="s">
        <v>174</v>
      </c>
      <c r="J345" s="33" t="s">
        <v>116</v>
      </c>
      <c r="K345" s="35" t="n">
        <v>226496095</v>
      </c>
      <c r="L345" s="33" t="s">
        <v>815</v>
      </c>
      <c r="M345" s="33" t="n">
        <v>103376990</v>
      </c>
      <c r="N345" s="36" t="n">
        <v>1</v>
      </c>
      <c r="O345" s="37" t="n">
        <v>0</v>
      </c>
    </row>
    <row r="346" customFormat="false" ht="15" hidden="false" customHeight="false" outlineLevel="0" collapsed="false">
      <c r="A346" s="32" t="s">
        <v>909</v>
      </c>
      <c r="B346" s="33" t="s">
        <v>910</v>
      </c>
      <c r="C346" s="33" t="s">
        <v>28</v>
      </c>
      <c r="D346" s="34" t="n">
        <v>43353</v>
      </c>
      <c r="E346" s="33" t="s">
        <v>102</v>
      </c>
      <c r="F346" s="33" t="n">
        <v>21356941</v>
      </c>
      <c r="G346" s="33" t="n">
        <v>720193</v>
      </c>
      <c r="H346" s="33" t="s">
        <v>34</v>
      </c>
      <c r="I346" s="33" t="s">
        <v>174</v>
      </c>
      <c r="J346" s="33" t="s">
        <v>116</v>
      </c>
      <c r="K346" s="35" t="n">
        <v>226496095</v>
      </c>
      <c r="L346" s="33" t="s">
        <v>815</v>
      </c>
      <c r="M346" s="33" t="n">
        <v>103376990</v>
      </c>
      <c r="N346" s="36" t="n">
        <v>2</v>
      </c>
      <c r="O346" s="37" t="n">
        <v>0.01</v>
      </c>
    </row>
    <row r="347" customFormat="false" ht="15" hidden="false" customHeight="false" outlineLevel="0" collapsed="false">
      <c r="A347" s="32" t="s">
        <v>911</v>
      </c>
      <c r="B347" s="33" t="s">
        <v>912</v>
      </c>
      <c r="C347" s="33" t="s">
        <v>28</v>
      </c>
      <c r="D347" s="34" t="n">
        <v>43352</v>
      </c>
      <c r="E347" s="33" t="s">
        <v>102</v>
      </c>
      <c r="F347" s="33" t="n">
        <v>21356941</v>
      </c>
      <c r="G347" s="33" t="n">
        <v>720193</v>
      </c>
      <c r="H347" s="33" t="s">
        <v>34</v>
      </c>
      <c r="I347" s="33" t="s">
        <v>174</v>
      </c>
      <c r="J347" s="33" t="s">
        <v>116</v>
      </c>
      <c r="K347" s="35" t="n">
        <v>226496095</v>
      </c>
      <c r="L347" s="33" t="s">
        <v>815</v>
      </c>
      <c r="M347" s="33" t="n">
        <v>103376990</v>
      </c>
      <c r="N347" s="36" t="n">
        <v>0</v>
      </c>
      <c r="O347" s="37" t="n">
        <v>0</v>
      </c>
    </row>
    <row r="348" customFormat="false" ht="15" hidden="false" customHeight="false" outlineLevel="0" collapsed="false">
      <c r="A348" s="32" t="s">
        <v>913</v>
      </c>
      <c r="B348" s="33" t="s">
        <v>914</v>
      </c>
      <c r="C348" s="33" t="s">
        <v>28</v>
      </c>
      <c r="D348" s="34" t="n">
        <v>43358</v>
      </c>
      <c r="E348" s="33" t="s">
        <v>102</v>
      </c>
      <c r="F348" s="33" t="n">
        <v>21356941</v>
      </c>
      <c r="G348" s="33" t="n">
        <v>720193</v>
      </c>
      <c r="H348" s="33" t="s">
        <v>34</v>
      </c>
      <c r="I348" s="33" t="s">
        <v>174</v>
      </c>
      <c r="J348" s="33" t="s">
        <v>117</v>
      </c>
      <c r="K348" s="35" t="n">
        <v>224560866</v>
      </c>
      <c r="L348" s="33" t="s">
        <v>915</v>
      </c>
      <c r="M348" s="33" t="n">
        <v>103259784</v>
      </c>
      <c r="N348" s="36" t="n">
        <v>0</v>
      </c>
      <c r="O348" s="37" t="n">
        <v>0</v>
      </c>
    </row>
    <row r="349" customFormat="false" ht="15" hidden="false" customHeight="false" outlineLevel="0" collapsed="false">
      <c r="A349" s="32" t="s">
        <v>916</v>
      </c>
      <c r="B349" s="33" t="s">
        <v>917</v>
      </c>
      <c r="C349" s="33" t="s">
        <v>28</v>
      </c>
      <c r="D349" s="34" t="n">
        <v>43357</v>
      </c>
      <c r="E349" s="33" t="s">
        <v>102</v>
      </c>
      <c r="F349" s="33" t="n">
        <v>21356941</v>
      </c>
      <c r="G349" s="33" t="n">
        <v>720193</v>
      </c>
      <c r="H349" s="33" t="s">
        <v>34</v>
      </c>
      <c r="I349" s="33" t="s">
        <v>174</v>
      </c>
      <c r="J349" s="33" t="s">
        <v>117</v>
      </c>
      <c r="K349" s="35" t="n">
        <v>224560866</v>
      </c>
      <c r="L349" s="33" t="s">
        <v>915</v>
      </c>
      <c r="M349" s="33" t="n">
        <v>103259784</v>
      </c>
      <c r="N349" s="36" t="n">
        <v>0</v>
      </c>
      <c r="O349" s="37" t="n">
        <v>0</v>
      </c>
    </row>
    <row r="350" customFormat="false" ht="15" hidden="false" customHeight="false" outlineLevel="0" collapsed="false">
      <c r="A350" s="32" t="s">
        <v>918</v>
      </c>
      <c r="B350" s="33" t="s">
        <v>919</v>
      </c>
      <c r="C350" s="33" t="s">
        <v>28</v>
      </c>
      <c r="D350" s="34" t="n">
        <v>43356</v>
      </c>
      <c r="E350" s="33" t="s">
        <v>102</v>
      </c>
      <c r="F350" s="33" t="n">
        <v>21356941</v>
      </c>
      <c r="G350" s="33" t="n">
        <v>720193</v>
      </c>
      <c r="H350" s="33" t="s">
        <v>34</v>
      </c>
      <c r="I350" s="33" t="s">
        <v>174</v>
      </c>
      <c r="J350" s="33" t="s">
        <v>117</v>
      </c>
      <c r="K350" s="35" t="n">
        <v>224560866</v>
      </c>
      <c r="L350" s="33" t="s">
        <v>915</v>
      </c>
      <c r="M350" s="33" t="n">
        <v>103259784</v>
      </c>
      <c r="N350" s="36" t="n">
        <v>0</v>
      </c>
      <c r="O350" s="37" t="n">
        <v>0</v>
      </c>
    </row>
    <row r="351" customFormat="false" ht="15" hidden="false" customHeight="false" outlineLevel="0" collapsed="false">
      <c r="A351" s="32" t="s">
        <v>920</v>
      </c>
      <c r="B351" s="33" t="s">
        <v>921</v>
      </c>
      <c r="C351" s="33" t="s">
        <v>28</v>
      </c>
      <c r="D351" s="34" t="n">
        <v>43355</v>
      </c>
      <c r="E351" s="33" t="s">
        <v>102</v>
      </c>
      <c r="F351" s="33" t="n">
        <v>21356941</v>
      </c>
      <c r="G351" s="33" t="n">
        <v>720193</v>
      </c>
      <c r="H351" s="33" t="s">
        <v>34</v>
      </c>
      <c r="I351" s="33" t="s">
        <v>174</v>
      </c>
      <c r="J351" s="33" t="s">
        <v>117</v>
      </c>
      <c r="K351" s="35" t="n">
        <v>224560866</v>
      </c>
      <c r="L351" s="33" t="s">
        <v>915</v>
      </c>
      <c r="M351" s="33" t="n">
        <v>103259784</v>
      </c>
      <c r="N351" s="36" t="n">
        <v>0</v>
      </c>
      <c r="O351" s="37" t="n">
        <v>0</v>
      </c>
    </row>
    <row r="352" customFormat="false" ht="15" hidden="false" customHeight="false" outlineLevel="0" collapsed="false">
      <c r="A352" s="32" t="s">
        <v>922</v>
      </c>
      <c r="B352" s="33" t="s">
        <v>923</v>
      </c>
      <c r="C352" s="33" t="s">
        <v>28</v>
      </c>
      <c r="D352" s="34" t="n">
        <v>43354</v>
      </c>
      <c r="E352" s="33" t="s">
        <v>102</v>
      </c>
      <c r="F352" s="33" t="n">
        <v>21356941</v>
      </c>
      <c r="G352" s="33" t="n">
        <v>720193</v>
      </c>
      <c r="H352" s="33" t="s">
        <v>34</v>
      </c>
      <c r="I352" s="33" t="s">
        <v>174</v>
      </c>
      <c r="J352" s="33" t="s">
        <v>117</v>
      </c>
      <c r="K352" s="35" t="n">
        <v>224560866</v>
      </c>
      <c r="L352" s="33" t="s">
        <v>915</v>
      </c>
      <c r="M352" s="33" t="n">
        <v>103259784</v>
      </c>
      <c r="N352" s="36" t="n">
        <v>0</v>
      </c>
      <c r="O352" s="37" t="n">
        <v>0</v>
      </c>
    </row>
    <row r="353" customFormat="false" ht="15" hidden="false" customHeight="false" outlineLevel="0" collapsed="false">
      <c r="A353" s="32" t="s">
        <v>924</v>
      </c>
      <c r="B353" s="33" t="s">
        <v>925</v>
      </c>
      <c r="C353" s="33" t="s">
        <v>28</v>
      </c>
      <c r="D353" s="34" t="n">
        <v>43353</v>
      </c>
      <c r="E353" s="33" t="s">
        <v>102</v>
      </c>
      <c r="F353" s="33" t="n">
        <v>21356941</v>
      </c>
      <c r="G353" s="33" t="n">
        <v>720193</v>
      </c>
      <c r="H353" s="33" t="s">
        <v>34</v>
      </c>
      <c r="I353" s="33" t="s">
        <v>174</v>
      </c>
      <c r="J353" s="33" t="s">
        <v>117</v>
      </c>
      <c r="K353" s="35" t="n">
        <v>224560866</v>
      </c>
      <c r="L353" s="33" t="s">
        <v>915</v>
      </c>
      <c r="M353" s="33" t="n">
        <v>103259784</v>
      </c>
      <c r="N353" s="36" t="n">
        <v>0</v>
      </c>
      <c r="O353" s="37" t="n">
        <v>0</v>
      </c>
    </row>
    <row r="354" customFormat="false" ht="15" hidden="false" customHeight="false" outlineLevel="0" collapsed="false">
      <c r="A354" s="32" t="s">
        <v>926</v>
      </c>
      <c r="B354" s="33" t="s">
        <v>927</v>
      </c>
      <c r="C354" s="33" t="s">
        <v>28</v>
      </c>
      <c r="D354" s="34" t="n">
        <v>43352</v>
      </c>
      <c r="E354" s="33" t="s">
        <v>102</v>
      </c>
      <c r="F354" s="33" t="n">
        <v>21356941</v>
      </c>
      <c r="G354" s="33" t="n">
        <v>720193</v>
      </c>
      <c r="H354" s="33" t="s">
        <v>34</v>
      </c>
      <c r="I354" s="33" t="s">
        <v>174</v>
      </c>
      <c r="J354" s="33" t="s">
        <v>117</v>
      </c>
      <c r="K354" s="35" t="n">
        <v>224560866</v>
      </c>
      <c r="L354" s="33" t="s">
        <v>915</v>
      </c>
      <c r="M354" s="33" t="n">
        <v>103259784</v>
      </c>
      <c r="N354" s="36" t="n">
        <v>0</v>
      </c>
      <c r="O354" s="37" t="n">
        <v>0</v>
      </c>
    </row>
    <row r="355" customFormat="false" ht="15" hidden="false" customHeight="false" outlineLevel="0" collapsed="false">
      <c r="A355" s="32" t="s">
        <v>928</v>
      </c>
      <c r="B355" s="33" t="s">
        <v>929</v>
      </c>
      <c r="C355" s="33" t="s">
        <v>28</v>
      </c>
      <c r="D355" s="34" t="n">
        <v>43358</v>
      </c>
      <c r="E355" s="33" t="s">
        <v>102</v>
      </c>
      <c r="F355" s="33" t="n">
        <v>21356941</v>
      </c>
      <c r="G355" s="33" t="n">
        <v>720193</v>
      </c>
      <c r="H355" s="33" t="s">
        <v>34</v>
      </c>
      <c r="I355" s="33" t="s">
        <v>174</v>
      </c>
      <c r="J355" s="33" t="s">
        <v>118</v>
      </c>
      <c r="K355" s="35" t="n">
        <v>224560860</v>
      </c>
      <c r="L355" s="33" t="s">
        <v>930</v>
      </c>
      <c r="M355" s="33" t="n">
        <v>103377773</v>
      </c>
      <c r="N355" s="36" t="n">
        <v>0</v>
      </c>
      <c r="O355" s="37" t="n">
        <v>0</v>
      </c>
    </row>
    <row r="356" customFormat="false" ht="15" hidden="false" customHeight="false" outlineLevel="0" collapsed="false">
      <c r="A356" s="32" t="s">
        <v>931</v>
      </c>
      <c r="B356" s="33" t="s">
        <v>932</v>
      </c>
      <c r="C356" s="33" t="s">
        <v>28</v>
      </c>
      <c r="D356" s="34" t="n">
        <v>43357</v>
      </c>
      <c r="E356" s="33" t="s">
        <v>102</v>
      </c>
      <c r="F356" s="33" t="n">
        <v>21356941</v>
      </c>
      <c r="G356" s="33" t="n">
        <v>720193</v>
      </c>
      <c r="H356" s="33" t="s">
        <v>34</v>
      </c>
      <c r="I356" s="33" t="s">
        <v>174</v>
      </c>
      <c r="J356" s="33" t="s">
        <v>118</v>
      </c>
      <c r="K356" s="35" t="n">
        <v>224560860</v>
      </c>
      <c r="L356" s="33" t="s">
        <v>930</v>
      </c>
      <c r="M356" s="33" t="n">
        <v>103377773</v>
      </c>
      <c r="N356" s="36" t="n">
        <v>0</v>
      </c>
      <c r="O356" s="37" t="n">
        <v>0</v>
      </c>
    </row>
    <row r="357" customFormat="false" ht="15" hidden="false" customHeight="false" outlineLevel="0" collapsed="false">
      <c r="A357" s="32" t="s">
        <v>933</v>
      </c>
      <c r="B357" s="33" t="s">
        <v>934</v>
      </c>
      <c r="C357" s="33" t="s">
        <v>28</v>
      </c>
      <c r="D357" s="34" t="n">
        <v>43356</v>
      </c>
      <c r="E357" s="33" t="s">
        <v>102</v>
      </c>
      <c r="F357" s="33" t="n">
        <v>21356941</v>
      </c>
      <c r="G357" s="33" t="n">
        <v>720193</v>
      </c>
      <c r="H357" s="33" t="s">
        <v>34</v>
      </c>
      <c r="I357" s="33" t="s">
        <v>174</v>
      </c>
      <c r="J357" s="33" t="s">
        <v>118</v>
      </c>
      <c r="K357" s="35" t="n">
        <v>224560860</v>
      </c>
      <c r="L357" s="33" t="s">
        <v>930</v>
      </c>
      <c r="M357" s="33" t="n">
        <v>103377773</v>
      </c>
      <c r="N357" s="36" t="n">
        <v>0</v>
      </c>
      <c r="O357" s="37" t="n">
        <v>0</v>
      </c>
    </row>
    <row r="358" customFormat="false" ht="15" hidden="false" customHeight="false" outlineLevel="0" collapsed="false">
      <c r="A358" s="32" t="s">
        <v>935</v>
      </c>
      <c r="B358" s="33" t="s">
        <v>936</v>
      </c>
      <c r="C358" s="33" t="s">
        <v>28</v>
      </c>
      <c r="D358" s="34" t="n">
        <v>43355</v>
      </c>
      <c r="E358" s="33" t="s">
        <v>102</v>
      </c>
      <c r="F358" s="33" t="n">
        <v>21356941</v>
      </c>
      <c r="G358" s="33" t="n">
        <v>720193</v>
      </c>
      <c r="H358" s="33" t="s">
        <v>34</v>
      </c>
      <c r="I358" s="33" t="s">
        <v>174</v>
      </c>
      <c r="J358" s="33" t="s">
        <v>118</v>
      </c>
      <c r="K358" s="35" t="n">
        <v>224560860</v>
      </c>
      <c r="L358" s="33" t="s">
        <v>930</v>
      </c>
      <c r="M358" s="33" t="n">
        <v>103377773</v>
      </c>
      <c r="N358" s="36" t="n">
        <v>0</v>
      </c>
      <c r="O358" s="37" t="n">
        <v>0</v>
      </c>
    </row>
    <row r="359" customFormat="false" ht="15" hidden="false" customHeight="false" outlineLevel="0" collapsed="false">
      <c r="A359" s="32" t="s">
        <v>937</v>
      </c>
      <c r="B359" s="33" t="s">
        <v>938</v>
      </c>
      <c r="C359" s="33" t="s">
        <v>28</v>
      </c>
      <c r="D359" s="34" t="n">
        <v>43354</v>
      </c>
      <c r="E359" s="33" t="s">
        <v>102</v>
      </c>
      <c r="F359" s="33" t="n">
        <v>21356941</v>
      </c>
      <c r="G359" s="33" t="n">
        <v>720193</v>
      </c>
      <c r="H359" s="33" t="s">
        <v>34</v>
      </c>
      <c r="I359" s="33" t="s">
        <v>174</v>
      </c>
      <c r="J359" s="33" t="s">
        <v>118</v>
      </c>
      <c r="K359" s="35" t="n">
        <v>224560860</v>
      </c>
      <c r="L359" s="33" t="s">
        <v>930</v>
      </c>
      <c r="M359" s="33" t="n">
        <v>103377773</v>
      </c>
      <c r="N359" s="36" t="n">
        <v>0</v>
      </c>
      <c r="O359" s="37" t="n">
        <v>0</v>
      </c>
    </row>
    <row r="360" customFormat="false" ht="15" hidden="false" customHeight="false" outlineLevel="0" collapsed="false">
      <c r="A360" s="32" t="s">
        <v>939</v>
      </c>
      <c r="B360" s="33" t="s">
        <v>940</v>
      </c>
      <c r="C360" s="33" t="s">
        <v>28</v>
      </c>
      <c r="D360" s="34" t="n">
        <v>43353</v>
      </c>
      <c r="E360" s="33" t="s">
        <v>102</v>
      </c>
      <c r="F360" s="33" t="n">
        <v>21356941</v>
      </c>
      <c r="G360" s="33" t="n">
        <v>720193</v>
      </c>
      <c r="H360" s="33" t="s">
        <v>34</v>
      </c>
      <c r="I360" s="33" t="s">
        <v>174</v>
      </c>
      <c r="J360" s="33" t="s">
        <v>118</v>
      </c>
      <c r="K360" s="35" t="n">
        <v>224560860</v>
      </c>
      <c r="L360" s="33" t="s">
        <v>930</v>
      </c>
      <c r="M360" s="33" t="n">
        <v>103377773</v>
      </c>
      <c r="N360" s="36" t="n">
        <v>0</v>
      </c>
      <c r="O360" s="37" t="n">
        <v>0</v>
      </c>
    </row>
    <row r="361" customFormat="false" ht="15" hidden="false" customHeight="false" outlineLevel="0" collapsed="false">
      <c r="A361" s="32" t="s">
        <v>941</v>
      </c>
      <c r="B361" s="33" t="s">
        <v>942</v>
      </c>
      <c r="C361" s="33" t="s">
        <v>28</v>
      </c>
      <c r="D361" s="34" t="n">
        <v>43352</v>
      </c>
      <c r="E361" s="33" t="s">
        <v>102</v>
      </c>
      <c r="F361" s="33" t="n">
        <v>21356941</v>
      </c>
      <c r="G361" s="33" t="n">
        <v>720193</v>
      </c>
      <c r="H361" s="33" t="s">
        <v>34</v>
      </c>
      <c r="I361" s="33" t="s">
        <v>174</v>
      </c>
      <c r="J361" s="33" t="s">
        <v>118</v>
      </c>
      <c r="K361" s="35" t="n">
        <v>224560860</v>
      </c>
      <c r="L361" s="33" t="s">
        <v>930</v>
      </c>
      <c r="M361" s="33" t="n">
        <v>103377773</v>
      </c>
      <c r="N361" s="36" t="n">
        <v>0</v>
      </c>
      <c r="O361" s="37" t="n">
        <v>0</v>
      </c>
    </row>
    <row r="362" customFormat="false" ht="15" hidden="false" customHeight="false" outlineLevel="0" collapsed="false">
      <c r="A362" s="32" t="s">
        <v>943</v>
      </c>
      <c r="B362" s="33" t="s">
        <v>944</v>
      </c>
      <c r="C362" s="33" t="s">
        <v>28</v>
      </c>
      <c r="D362" s="34" t="n">
        <v>43358</v>
      </c>
      <c r="E362" s="33" t="s">
        <v>102</v>
      </c>
      <c r="F362" s="33" t="n">
        <v>21356941</v>
      </c>
      <c r="G362" s="33" t="n">
        <v>720193</v>
      </c>
      <c r="H362" s="33" t="s">
        <v>34</v>
      </c>
      <c r="I362" s="33" t="s">
        <v>174</v>
      </c>
      <c r="J362" s="33" t="s">
        <v>119</v>
      </c>
      <c r="K362" s="35" t="n">
        <v>224560857</v>
      </c>
      <c r="L362" s="33" t="s">
        <v>945</v>
      </c>
      <c r="M362" s="33" t="n">
        <v>103377002</v>
      </c>
      <c r="N362" s="36" t="n">
        <v>0</v>
      </c>
      <c r="O362" s="37" t="n">
        <v>0</v>
      </c>
    </row>
    <row r="363" customFormat="false" ht="15" hidden="false" customHeight="false" outlineLevel="0" collapsed="false">
      <c r="A363" s="32" t="s">
        <v>946</v>
      </c>
      <c r="B363" s="33" t="s">
        <v>947</v>
      </c>
      <c r="C363" s="33" t="s">
        <v>28</v>
      </c>
      <c r="D363" s="34" t="n">
        <v>43357</v>
      </c>
      <c r="E363" s="33" t="s">
        <v>102</v>
      </c>
      <c r="F363" s="33" t="n">
        <v>21356941</v>
      </c>
      <c r="G363" s="33" t="n">
        <v>720193</v>
      </c>
      <c r="H363" s="33" t="s">
        <v>34</v>
      </c>
      <c r="I363" s="33" t="s">
        <v>174</v>
      </c>
      <c r="J363" s="33" t="s">
        <v>119</v>
      </c>
      <c r="K363" s="35" t="n">
        <v>224560857</v>
      </c>
      <c r="L363" s="33" t="s">
        <v>945</v>
      </c>
      <c r="M363" s="33" t="n">
        <v>103377002</v>
      </c>
      <c r="N363" s="36" t="n">
        <v>0</v>
      </c>
      <c r="O363" s="37" t="n">
        <v>0</v>
      </c>
    </row>
    <row r="364" customFormat="false" ht="15" hidden="false" customHeight="false" outlineLevel="0" collapsed="false">
      <c r="A364" s="32" t="s">
        <v>948</v>
      </c>
      <c r="B364" s="33" t="s">
        <v>949</v>
      </c>
      <c r="C364" s="33" t="s">
        <v>28</v>
      </c>
      <c r="D364" s="34" t="n">
        <v>43356</v>
      </c>
      <c r="E364" s="33" t="s">
        <v>102</v>
      </c>
      <c r="F364" s="33" t="n">
        <v>21356941</v>
      </c>
      <c r="G364" s="33" t="n">
        <v>720193</v>
      </c>
      <c r="H364" s="33" t="s">
        <v>34</v>
      </c>
      <c r="I364" s="33" t="s">
        <v>174</v>
      </c>
      <c r="J364" s="33" t="s">
        <v>119</v>
      </c>
      <c r="K364" s="35" t="n">
        <v>224560857</v>
      </c>
      <c r="L364" s="33" t="s">
        <v>945</v>
      </c>
      <c r="M364" s="33" t="n">
        <v>103377002</v>
      </c>
      <c r="N364" s="36" t="n">
        <v>0</v>
      </c>
      <c r="O364" s="37" t="n">
        <v>0</v>
      </c>
    </row>
    <row r="365" customFormat="false" ht="15" hidden="false" customHeight="false" outlineLevel="0" collapsed="false">
      <c r="A365" s="32" t="s">
        <v>950</v>
      </c>
      <c r="B365" s="33" t="s">
        <v>951</v>
      </c>
      <c r="C365" s="33" t="s">
        <v>28</v>
      </c>
      <c r="D365" s="34" t="n">
        <v>43355</v>
      </c>
      <c r="E365" s="33" t="s">
        <v>102</v>
      </c>
      <c r="F365" s="33" t="n">
        <v>21356941</v>
      </c>
      <c r="G365" s="33" t="n">
        <v>720193</v>
      </c>
      <c r="H365" s="33" t="s">
        <v>34</v>
      </c>
      <c r="I365" s="33" t="s">
        <v>174</v>
      </c>
      <c r="J365" s="33" t="s">
        <v>119</v>
      </c>
      <c r="K365" s="35" t="n">
        <v>224560857</v>
      </c>
      <c r="L365" s="33" t="s">
        <v>945</v>
      </c>
      <c r="M365" s="33" t="n">
        <v>103377002</v>
      </c>
      <c r="N365" s="36" t="n">
        <v>0</v>
      </c>
      <c r="O365" s="37" t="n">
        <v>0</v>
      </c>
    </row>
    <row r="366" customFormat="false" ht="15" hidden="false" customHeight="false" outlineLevel="0" collapsed="false">
      <c r="A366" s="32" t="s">
        <v>952</v>
      </c>
      <c r="B366" s="33" t="s">
        <v>953</v>
      </c>
      <c r="C366" s="33" t="s">
        <v>28</v>
      </c>
      <c r="D366" s="34" t="n">
        <v>43354</v>
      </c>
      <c r="E366" s="33" t="s">
        <v>102</v>
      </c>
      <c r="F366" s="33" t="n">
        <v>21356941</v>
      </c>
      <c r="G366" s="33" t="n">
        <v>720193</v>
      </c>
      <c r="H366" s="33" t="s">
        <v>34</v>
      </c>
      <c r="I366" s="33" t="s">
        <v>174</v>
      </c>
      <c r="J366" s="33" t="s">
        <v>119</v>
      </c>
      <c r="K366" s="35" t="n">
        <v>224560857</v>
      </c>
      <c r="L366" s="33" t="s">
        <v>945</v>
      </c>
      <c r="M366" s="33" t="n">
        <v>103377002</v>
      </c>
      <c r="N366" s="36" t="n">
        <v>0</v>
      </c>
      <c r="O366" s="37" t="n">
        <v>0</v>
      </c>
    </row>
    <row r="367" customFormat="false" ht="15" hidden="false" customHeight="false" outlineLevel="0" collapsed="false">
      <c r="A367" s="32" t="s">
        <v>954</v>
      </c>
      <c r="B367" s="33" t="s">
        <v>955</v>
      </c>
      <c r="C367" s="33" t="s">
        <v>28</v>
      </c>
      <c r="D367" s="34" t="n">
        <v>43353</v>
      </c>
      <c r="E367" s="33" t="s">
        <v>102</v>
      </c>
      <c r="F367" s="33" t="n">
        <v>21356941</v>
      </c>
      <c r="G367" s="33" t="n">
        <v>720193</v>
      </c>
      <c r="H367" s="33" t="s">
        <v>34</v>
      </c>
      <c r="I367" s="33" t="s">
        <v>174</v>
      </c>
      <c r="J367" s="33" t="s">
        <v>119</v>
      </c>
      <c r="K367" s="35" t="n">
        <v>224560857</v>
      </c>
      <c r="L367" s="33" t="s">
        <v>945</v>
      </c>
      <c r="M367" s="33" t="n">
        <v>103377002</v>
      </c>
      <c r="N367" s="36" t="n">
        <v>0</v>
      </c>
      <c r="O367" s="37" t="n">
        <v>0</v>
      </c>
    </row>
    <row r="368" customFormat="false" ht="15" hidden="false" customHeight="false" outlineLevel="0" collapsed="false">
      <c r="A368" s="32" t="s">
        <v>956</v>
      </c>
      <c r="B368" s="33" t="s">
        <v>957</v>
      </c>
      <c r="C368" s="33" t="s">
        <v>28</v>
      </c>
      <c r="D368" s="34" t="n">
        <v>43352</v>
      </c>
      <c r="E368" s="33" t="s">
        <v>102</v>
      </c>
      <c r="F368" s="33" t="n">
        <v>21356941</v>
      </c>
      <c r="G368" s="33" t="n">
        <v>720193</v>
      </c>
      <c r="H368" s="33" t="s">
        <v>34</v>
      </c>
      <c r="I368" s="33" t="s">
        <v>174</v>
      </c>
      <c r="J368" s="33" t="s">
        <v>119</v>
      </c>
      <c r="K368" s="35" t="n">
        <v>224560857</v>
      </c>
      <c r="L368" s="33" t="s">
        <v>945</v>
      </c>
      <c r="M368" s="33" t="n">
        <v>103377002</v>
      </c>
      <c r="N368" s="36" t="n">
        <v>0</v>
      </c>
      <c r="O368" s="37" t="n">
        <v>0</v>
      </c>
    </row>
    <row r="369" customFormat="false" ht="15" hidden="false" customHeight="false" outlineLevel="0" collapsed="false">
      <c r="A369" s="32" t="s">
        <v>958</v>
      </c>
      <c r="B369" s="33" t="s">
        <v>959</v>
      </c>
      <c r="C369" s="33" t="s">
        <v>28</v>
      </c>
      <c r="D369" s="34" t="n">
        <v>43358</v>
      </c>
      <c r="E369" s="33" t="s">
        <v>102</v>
      </c>
      <c r="F369" s="33" t="n">
        <v>21356941</v>
      </c>
      <c r="G369" s="33" t="n">
        <v>720193</v>
      </c>
      <c r="H369" s="33" t="s">
        <v>34</v>
      </c>
      <c r="I369" s="33" t="s">
        <v>174</v>
      </c>
      <c r="J369" s="33" t="s">
        <v>120</v>
      </c>
      <c r="K369" s="35" t="n">
        <v>224560854</v>
      </c>
      <c r="L369" s="33" t="s">
        <v>960</v>
      </c>
      <c r="M369" s="33" t="n">
        <v>103259550</v>
      </c>
      <c r="N369" s="36" t="n">
        <v>0</v>
      </c>
      <c r="O369" s="37" t="n">
        <v>0</v>
      </c>
    </row>
    <row r="370" customFormat="false" ht="15" hidden="false" customHeight="false" outlineLevel="0" collapsed="false">
      <c r="A370" s="32" t="s">
        <v>961</v>
      </c>
      <c r="B370" s="33" t="s">
        <v>962</v>
      </c>
      <c r="C370" s="33" t="s">
        <v>28</v>
      </c>
      <c r="D370" s="34" t="n">
        <v>43357</v>
      </c>
      <c r="E370" s="33" t="s">
        <v>102</v>
      </c>
      <c r="F370" s="33" t="n">
        <v>21356941</v>
      </c>
      <c r="G370" s="33" t="n">
        <v>720193</v>
      </c>
      <c r="H370" s="33" t="s">
        <v>34</v>
      </c>
      <c r="I370" s="33" t="s">
        <v>174</v>
      </c>
      <c r="J370" s="33" t="s">
        <v>120</v>
      </c>
      <c r="K370" s="35" t="n">
        <v>224560854</v>
      </c>
      <c r="L370" s="33" t="s">
        <v>960</v>
      </c>
      <c r="M370" s="33" t="n">
        <v>103259550</v>
      </c>
      <c r="N370" s="36" t="n">
        <v>0</v>
      </c>
      <c r="O370" s="37" t="n">
        <v>0</v>
      </c>
    </row>
    <row r="371" customFormat="false" ht="15" hidden="false" customHeight="false" outlineLevel="0" collapsed="false">
      <c r="A371" s="32" t="s">
        <v>963</v>
      </c>
      <c r="B371" s="33" t="s">
        <v>964</v>
      </c>
      <c r="C371" s="33" t="s">
        <v>28</v>
      </c>
      <c r="D371" s="34" t="n">
        <v>43356</v>
      </c>
      <c r="E371" s="33" t="s">
        <v>102</v>
      </c>
      <c r="F371" s="33" t="n">
        <v>21356941</v>
      </c>
      <c r="G371" s="33" t="n">
        <v>720193</v>
      </c>
      <c r="H371" s="33" t="s">
        <v>34</v>
      </c>
      <c r="I371" s="33" t="s">
        <v>174</v>
      </c>
      <c r="J371" s="33" t="s">
        <v>120</v>
      </c>
      <c r="K371" s="35" t="n">
        <v>224560854</v>
      </c>
      <c r="L371" s="33" t="s">
        <v>960</v>
      </c>
      <c r="M371" s="33" t="n">
        <v>103259550</v>
      </c>
      <c r="N371" s="36" t="n">
        <v>0</v>
      </c>
      <c r="O371" s="37" t="n">
        <v>0</v>
      </c>
    </row>
    <row r="372" customFormat="false" ht="15" hidden="false" customHeight="false" outlineLevel="0" collapsed="false">
      <c r="A372" s="32" t="s">
        <v>965</v>
      </c>
      <c r="B372" s="33" t="s">
        <v>966</v>
      </c>
      <c r="C372" s="33" t="s">
        <v>28</v>
      </c>
      <c r="D372" s="34" t="n">
        <v>43355</v>
      </c>
      <c r="E372" s="33" t="s">
        <v>102</v>
      </c>
      <c r="F372" s="33" t="n">
        <v>21356941</v>
      </c>
      <c r="G372" s="33" t="n">
        <v>720193</v>
      </c>
      <c r="H372" s="33" t="s">
        <v>34</v>
      </c>
      <c r="I372" s="33" t="s">
        <v>174</v>
      </c>
      <c r="J372" s="33" t="s">
        <v>120</v>
      </c>
      <c r="K372" s="35" t="n">
        <v>224560854</v>
      </c>
      <c r="L372" s="33" t="s">
        <v>960</v>
      </c>
      <c r="M372" s="33" t="n">
        <v>103259550</v>
      </c>
      <c r="N372" s="36" t="n">
        <v>0</v>
      </c>
      <c r="O372" s="37" t="n">
        <v>0</v>
      </c>
    </row>
    <row r="373" customFormat="false" ht="15" hidden="false" customHeight="false" outlineLevel="0" collapsed="false">
      <c r="A373" s="32" t="s">
        <v>967</v>
      </c>
      <c r="B373" s="33" t="s">
        <v>968</v>
      </c>
      <c r="C373" s="33" t="s">
        <v>28</v>
      </c>
      <c r="D373" s="34" t="n">
        <v>43354</v>
      </c>
      <c r="E373" s="33" t="s">
        <v>102</v>
      </c>
      <c r="F373" s="33" t="n">
        <v>21356941</v>
      </c>
      <c r="G373" s="33" t="n">
        <v>720193</v>
      </c>
      <c r="H373" s="33" t="s">
        <v>34</v>
      </c>
      <c r="I373" s="33" t="s">
        <v>174</v>
      </c>
      <c r="J373" s="33" t="s">
        <v>120</v>
      </c>
      <c r="K373" s="35" t="n">
        <v>224560854</v>
      </c>
      <c r="L373" s="33" t="s">
        <v>960</v>
      </c>
      <c r="M373" s="33" t="n">
        <v>103259550</v>
      </c>
      <c r="N373" s="36" t="n">
        <v>0</v>
      </c>
      <c r="O373" s="37" t="n">
        <v>0</v>
      </c>
    </row>
    <row r="374" customFormat="false" ht="15" hidden="false" customHeight="false" outlineLevel="0" collapsed="false">
      <c r="A374" s="32" t="s">
        <v>969</v>
      </c>
      <c r="B374" s="33" t="s">
        <v>970</v>
      </c>
      <c r="C374" s="33" t="s">
        <v>28</v>
      </c>
      <c r="D374" s="34" t="n">
        <v>43353</v>
      </c>
      <c r="E374" s="33" t="s">
        <v>102</v>
      </c>
      <c r="F374" s="33" t="n">
        <v>21356941</v>
      </c>
      <c r="G374" s="33" t="n">
        <v>720193</v>
      </c>
      <c r="H374" s="33" t="s">
        <v>34</v>
      </c>
      <c r="I374" s="33" t="s">
        <v>174</v>
      </c>
      <c r="J374" s="33" t="s">
        <v>120</v>
      </c>
      <c r="K374" s="35" t="n">
        <v>224560854</v>
      </c>
      <c r="L374" s="33" t="s">
        <v>960</v>
      </c>
      <c r="M374" s="33" t="n">
        <v>103259550</v>
      </c>
      <c r="N374" s="36" t="n">
        <v>0</v>
      </c>
      <c r="O374" s="37" t="n">
        <v>0</v>
      </c>
    </row>
    <row r="375" customFormat="false" ht="15" hidden="false" customHeight="false" outlineLevel="0" collapsed="false">
      <c r="A375" s="32" t="s">
        <v>971</v>
      </c>
      <c r="B375" s="33" t="s">
        <v>972</v>
      </c>
      <c r="C375" s="33" t="s">
        <v>28</v>
      </c>
      <c r="D375" s="34" t="n">
        <v>43352</v>
      </c>
      <c r="E375" s="33" t="s">
        <v>102</v>
      </c>
      <c r="F375" s="33" t="n">
        <v>21356941</v>
      </c>
      <c r="G375" s="33" t="n">
        <v>720193</v>
      </c>
      <c r="H375" s="33" t="s">
        <v>34</v>
      </c>
      <c r="I375" s="33" t="s">
        <v>174</v>
      </c>
      <c r="J375" s="33" t="s">
        <v>120</v>
      </c>
      <c r="K375" s="35" t="n">
        <v>224560854</v>
      </c>
      <c r="L375" s="33" t="s">
        <v>960</v>
      </c>
      <c r="M375" s="33" t="n">
        <v>103259550</v>
      </c>
      <c r="N375" s="36" t="n">
        <v>0</v>
      </c>
      <c r="O375" s="37" t="n">
        <v>0</v>
      </c>
    </row>
    <row r="376" customFormat="false" ht="15" hidden="false" customHeight="false" outlineLevel="0" collapsed="false">
      <c r="A376" s="32" t="s">
        <v>973</v>
      </c>
      <c r="B376" s="33" t="s">
        <v>974</v>
      </c>
      <c r="C376" s="33" t="s">
        <v>28</v>
      </c>
      <c r="D376" s="34" t="n">
        <v>43358</v>
      </c>
      <c r="E376" s="33" t="s">
        <v>102</v>
      </c>
      <c r="F376" s="33" t="n">
        <v>21356941</v>
      </c>
      <c r="G376" s="33" t="n">
        <v>720193</v>
      </c>
      <c r="H376" s="33" t="s">
        <v>34</v>
      </c>
      <c r="I376" s="33" t="s">
        <v>174</v>
      </c>
      <c r="J376" s="33" t="s">
        <v>121</v>
      </c>
      <c r="K376" s="35" t="n">
        <v>224560851</v>
      </c>
      <c r="L376" s="33" t="s">
        <v>975</v>
      </c>
      <c r="M376" s="33" t="n">
        <v>103259562</v>
      </c>
      <c r="N376" s="36" t="n">
        <v>0</v>
      </c>
      <c r="O376" s="37" t="n">
        <v>0</v>
      </c>
    </row>
    <row r="377" customFormat="false" ht="15" hidden="false" customHeight="false" outlineLevel="0" collapsed="false">
      <c r="A377" s="32" t="s">
        <v>976</v>
      </c>
      <c r="B377" s="33" t="s">
        <v>977</v>
      </c>
      <c r="C377" s="33" t="s">
        <v>28</v>
      </c>
      <c r="D377" s="34" t="n">
        <v>43357</v>
      </c>
      <c r="E377" s="33" t="s">
        <v>102</v>
      </c>
      <c r="F377" s="33" t="n">
        <v>21356941</v>
      </c>
      <c r="G377" s="33" t="n">
        <v>720193</v>
      </c>
      <c r="H377" s="33" t="s">
        <v>34</v>
      </c>
      <c r="I377" s="33" t="s">
        <v>174</v>
      </c>
      <c r="J377" s="33" t="s">
        <v>121</v>
      </c>
      <c r="K377" s="35" t="n">
        <v>224560851</v>
      </c>
      <c r="L377" s="33" t="s">
        <v>975</v>
      </c>
      <c r="M377" s="33" t="n">
        <v>103259562</v>
      </c>
      <c r="N377" s="36" t="n">
        <v>0</v>
      </c>
      <c r="O377" s="37" t="n">
        <v>0</v>
      </c>
    </row>
    <row r="378" customFormat="false" ht="15" hidden="false" customHeight="false" outlineLevel="0" collapsed="false">
      <c r="A378" s="32" t="s">
        <v>978</v>
      </c>
      <c r="B378" s="33" t="s">
        <v>979</v>
      </c>
      <c r="C378" s="33" t="s">
        <v>28</v>
      </c>
      <c r="D378" s="34" t="n">
        <v>43356</v>
      </c>
      <c r="E378" s="33" t="s">
        <v>102</v>
      </c>
      <c r="F378" s="33" t="n">
        <v>21356941</v>
      </c>
      <c r="G378" s="33" t="n">
        <v>720193</v>
      </c>
      <c r="H378" s="33" t="s">
        <v>34</v>
      </c>
      <c r="I378" s="33" t="s">
        <v>174</v>
      </c>
      <c r="J378" s="33" t="s">
        <v>121</v>
      </c>
      <c r="K378" s="35" t="n">
        <v>224560851</v>
      </c>
      <c r="L378" s="33" t="s">
        <v>975</v>
      </c>
      <c r="M378" s="33" t="n">
        <v>103259562</v>
      </c>
      <c r="N378" s="36" t="n">
        <v>0</v>
      </c>
      <c r="O378" s="37" t="n">
        <v>0</v>
      </c>
    </row>
    <row r="379" customFormat="false" ht="15" hidden="false" customHeight="false" outlineLevel="0" collapsed="false">
      <c r="A379" s="32" t="s">
        <v>980</v>
      </c>
      <c r="B379" s="33" t="s">
        <v>981</v>
      </c>
      <c r="C379" s="33" t="s">
        <v>28</v>
      </c>
      <c r="D379" s="34" t="n">
        <v>43355</v>
      </c>
      <c r="E379" s="33" t="s">
        <v>102</v>
      </c>
      <c r="F379" s="33" t="n">
        <v>21356941</v>
      </c>
      <c r="G379" s="33" t="n">
        <v>720193</v>
      </c>
      <c r="H379" s="33" t="s">
        <v>34</v>
      </c>
      <c r="I379" s="33" t="s">
        <v>174</v>
      </c>
      <c r="J379" s="33" t="s">
        <v>121</v>
      </c>
      <c r="K379" s="35" t="n">
        <v>224560851</v>
      </c>
      <c r="L379" s="33" t="s">
        <v>975</v>
      </c>
      <c r="M379" s="33" t="n">
        <v>103259562</v>
      </c>
      <c r="N379" s="36" t="n">
        <v>0</v>
      </c>
      <c r="O379" s="37" t="n">
        <v>0</v>
      </c>
    </row>
    <row r="380" customFormat="false" ht="15" hidden="false" customHeight="false" outlineLevel="0" collapsed="false">
      <c r="A380" s="32" t="s">
        <v>982</v>
      </c>
      <c r="B380" s="33" t="s">
        <v>983</v>
      </c>
      <c r="C380" s="33" t="s">
        <v>28</v>
      </c>
      <c r="D380" s="34" t="n">
        <v>43354</v>
      </c>
      <c r="E380" s="33" t="s">
        <v>102</v>
      </c>
      <c r="F380" s="33" t="n">
        <v>21356941</v>
      </c>
      <c r="G380" s="33" t="n">
        <v>720193</v>
      </c>
      <c r="H380" s="33" t="s">
        <v>34</v>
      </c>
      <c r="I380" s="33" t="s">
        <v>174</v>
      </c>
      <c r="J380" s="33" t="s">
        <v>121</v>
      </c>
      <c r="K380" s="35" t="n">
        <v>224560851</v>
      </c>
      <c r="L380" s="33" t="s">
        <v>975</v>
      </c>
      <c r="M380" s="33" t="n">
        <v>103259562</v>
      </c>
      <c r="N380" s="36" t="n">
        <v>0</v>
      </c>
      <c r="O380" s="37" t="n">
        <v>0</v>
      </c>
    </row>
    <row r="381" customFormat="false" ht="15" hidden="false" customHeight="false" outlineLevel="0" collapsed="false">
      <c r="A381" s="32" t="s">
        <v>984</v>
      </c>
      <c r="B381" s="33" t="s">
        <v>985</v>
      </c>
      <c r="C381" s="33" t="s">
        <v>28</v>
      </c>
      <c r="D381" s="34" t="n">
        <v>43353</v>
      </c>
      <c r="E381" s="33" t="s">
        <v>102</v>
      </c>
      <c r="F381" s="33" t="n">
        <v>21356941</v>
      </c>
      <c r="G381" s="33" t="n">
        <v>720193</v>
      </c>
      <c r="H381" s="33" t="s">
        <v>34</v>
      </c>
      <c r="I381" s="33" t="s">
        <v>174</v>
      </c>
      <c r="J381" s="33" t="s">
        <v>121</v>
      </c>
      <c r="K381" s="35" t="n">
        <v>224560851</v>
      </c>
      <c r="L381" s="33" t="s">
        <v>975</v>
      </c>
      <c r="M381" s="33" t="n">
        <v>103259562</v>
      </c>
      <c r="N381" s="36" t="n">
        <v>0</v>
      </c>
      <c r="O381" s="37" t="n">
        <v>0</v>
      </c>
    </row>
    <row r="382" customFormat="false" ht="15" hidden="false" customHeight="false" outlineLevel="0" collapsed="false">
      <c r="A382" s="32" t="s">
        <v>986</v>
      </c>
      <c r="B382" s="33" t="s">
        <v>987</v>
      </c>
      <c r="C382" s="33" t="s">
        <v>28</v>
      </c>
      <c r="D382" s="34" t="n">
        <v>43352</v>
      </c>
      <c r="E382" s="33" t="s">
        <v>102</v>
      </c>
      <c r="F382" s="33" t="n">
        <v>21356941</v>
      </c>
      <c r="G382" s="33" t="n">
        <v>720193</v>
      </c>
      <c r="H382" s="33" t="s">
        <v>34</v>
      </c>
      <c r="I382" s="33" t="s">
        <v>174</v>
      </c>
      <c r="J382" s="33" t="s">
        <v>121</v>
      </c>
      <c r="K382" s="35" t="n">
        <v>224560851</v>
      </c>
      <c r="L382" s="33" t="s">
        <v>975</v>
      </c>
      <c r="M382" s="33" t="n">
        <v>103259562</v>
      </c>
      <c r="N382" s="36" t="n">
        <v>0</v>
      </c>
      <c r="O382" s="37" t="n">
        <v>0</v>
      </c>
    </row>
    <row r="383" customFormat="false" ht="15" hidden="false" customHeight="false" outlineLevel="0" collapsed="false">
      <c r="A383" s="32" t="s">
        <v>988</v>
      </c>
      <c r="B383" s="33" t="s">
        <v>989</v>
      </c>
      <c r="C383" s="33" t="s">
        <v>28</v>
      </c>
      <c r="D383" s="34" t="n">
        <v>43358</v>
      </c>
      <c r="E383" s="33" t="s">
        <v>102</v>
      </c>
      <c r="F383" s="33" t="n">
        <v>21356941</v>
      </c>
      <c r="G383" s="33" t="n">
        <v>720193</v>
      </c>
      <c r="H383" s="33" t="s">
        <v>34</v>
      </c>
      <c r="I383" s="33" t="s">
        <v>174</v>
      </c>
      <c r="J383" s="33" t="s">
        <v>122</v>
      </c>
      <c r="K383" s="35" t="n">
        <v>224560845</v>
      </c>
      <c r="L383" s="33" t="s">
        <v>755</v>
      </c>
      <c r="M383" s="33" t="n">
        <v>103259520</v>
      </c>
      <c r="N383" s="36" t="n">
        <v>0</v>
      </c>
      <c r="O383" s="37" t="n">
        <v>0</v>
      </c>
    </row>
    <row r="384" customFormat="false" ht="15" hidden="false" customHeight="false" outlineLevel="0" collapsed="false">
      <c r="A384" s="32" t="s">
        <v>990</v>
      </c>
      <c r="B384" s="33" t="s">
        <v>991</v>
      </c>
      <c r="C384" s="33" t="s">
        <v>28</v>
      </c>
      <c r="D384" s="34" t="n">
        <v>43357</v>
      </c>
      <c r="E384" s="33" t="s">
        <v>102</v>
      </c>
      <c r="F384" s="33" t="n">
        <v>21356941</v>
      </c>
      <c r="G384" s="33" t="n">
        <v>720193</v>
      </c>
      <c r="H384" s="33" t="s">
        <v>34</v>
      </c>
      <c r="I384" s="33" t="s">
        <v>174</v>
      </c>
      <c r="J384" s="33" t="s">
        <v>122</v>
      </c>
      <c r="K384" s="35" t="n">
        <v>224560845</v>
      </c>
      <c r="L384" s="33" t="s">
        <v>755</v>
      </c>
      <c r="M384" s="33" t="n">
        <v>103259520</v>
      </c>
      <c r="N384" s="36" t="n">
        <v>0</v>
      </c>
      <c r="O384" s="37" t="n">
        <v>0</v>
      </c>
    </row>
    <row r="385" customFormat="false" ht="15" hidden="false" customHeight="false" outlineLevel="0" collapsed="false">
      <c r="A385" s="32" t="s">
        <v>992</v>
      </c>
      <c r="B385" s="33" t="s">
        <v>993</v>
      </c>
      <c r="C385" s="33" t="s">
        <v>28</v>
      </c>
      <c r="D385" s="34" t="n">
        <v>43356</v>
      </c>
      <c r="E385" s="33" t="s">
        <v>102</v>
      </c>
      <c r="F385" s="33" t="n">
        <v>21356941</v>
      </c>
      <c r="G385" s="33" t="n">
        <v>720193</v>
      </c>
      <c r="H385" s="33" t="s">
        <v>34</v>
      </c>
      <c r="I385" s="33" t="s">
        <v>174</v>
      </c>
      <c r="J385" s="33" t="s">
        <v>122</v>
      </c>
      <c r="K385" s="35" t="n">
        <v>224560845</v>
      </c>
      <c r="L385" s="33" t="s">
        <v>755</v>
      </c>
      <c r="M385" s="33" t="n">
        <v>103259520</v>
      </c>
      <c r="N385" s="36" t="n">
        <v>0</v>
      </c>
      <c r="O385" s="37" t="n">
        <v>0</v>
      </c>
    </row>
    <row r="386" customFormat="false" ht="15" hidden="false" customHeight="false" outlineLevel="0" collapsed="false">
      <c r="A386" s="32" t="s">
        <v>994</v>
      </c>
      <c r="B386" s="33" t="s">
        <v>995</v>
      </c>
      <c r="C386" s="33" t="s">
        <v>28</v>
      </c>
      <c r="D386" s="34" t="n">
        <v>43355</v>
      </c>
      <c r="E386" s="33" t="s">
        <v>102</v>
      </c>
      <c r="F386" s="33" t="n">
        <v>21356941</v>
      </c>
      <c r="G386" s="33" t="n">
        <v>720193</v>
      </c>
      <c r="H386" s="33" t="s">
        <v>34</v>
      </c>
      <c r="I386" s="33" t="s">
        <v>174</v>
      </c>
      <c r="J386" s="33" t="s">
        <v>122</v>
      </c>
      <c r="K386" s="35" t="n">
        <v>224560845</v>
      </c>
      <c r="L386" s="33" t="s">
        <v>755</v>
      </c>
      <c r="M386" s="33" t="n">
        <v>103259520</v>
      </c>
      <c r="N386" s="36" t="n">
        <v>0</v>
      </c>
      <c r="O386" s="37" t="n">
        <v>0</v>
      </c>
    </row>
    <row r="387" customFormat="false" ht="15" hidden="false" customHeight="false" outlineLevel="0" collapsed="false">
      <c r="A387" s="32" t="s">
        <v>996</v>
      </c>
      <c r="B387" s="33" t="s">
        <v>997</v>
      </c>
      <c r="C387" s="33" t="s">
        <v>28</v>
      </c>
      <c r="D387" s="34" t="n">
        <v>43354</v>
      </c>
      <c r="E387" s="33" t="s">
        <v>102</v>
      </c>
      <c r="F387" s="33" t="n">
        <v>21356941</v>
      </c>
      <c r="G387" s="33" t="n">
        <v>720193</v>
      </c>
      <c r="H387" s="33" t="s">
        <v>34</v>
      </c>
      <c r="I387" s="33" t="s">
        <v>174</v>
      </c>
      <c r="J387" s="33" t="s">
        <v>122</v>
      </c>
      <c r="K387" s="35" t="n">
        <v>224560845</v>
      </c>
      <c r="L387" s="33" t="s">
        <v>755</v>
      </c>
      <c r="M387" s="33" t="n">
        <v>103259520</v>
      </c>
      <c r="N387" s="36" t="n">
        <v>0</v>
      </c>
      <c r="O387" s="37" t="n">
        <v>0</v>
      </c>
    </row>
    <row r="388" customFormat="false" ht="15" hidden="false" customHeight="false" outlineLevel="0" collapsed="false">
      <c r="A388" s="32" t="s">
        <v>998</v>
      </c>
      <c r="B388" s="33" t="s">
        <v>999</v>
      </c>
      <c r="C388" s="33" t="s">
        <v>28</v>
      </c>
      <c r="D388" s="34" t="n">
        <v>43353</v>
      </c>
      <c r="E388" s="33" t="s">
        <v>102</v>
      </c>
      <c r="F388" s="33" t="n">
        <v>21356941</v>
      </c>
      <c r="G388" s="33" t="n">
        <v>720193</v>
      </c>
      <c r="H388" s="33" t="s">
        <v>34</v>
      </c>
      <c r="I388" s="33" t="s">
        <v>174</v>
      </c>
      <c r="J388" s="33" t="s">
        <v>122</v>
      </c>
      <c r="K388" s="35" t="n">
        <v>224560845</v>
      </c>
      <c r="L388" s="33" t="s">
        <v>755</v>
      </c>
      <c r="M388" s="33" t="n">
        <v>103259520</v>
      </c>
      <c r="N388" s="36" t="n">
        <v>0</v>
      </c>
      <c r="O388" s="37" t="n">
        <v>0</v>
      </c>
    </row>
    <row r="389" customFormat="false" ht="15" hidden="false" customHeight="false" outlineLevel="0" collapsed="false">
      <c r="A389" s="32" t="s">
        <v>1000</v>
      </c>
      <c r="B389" s="33" t="s">
        <v>1001</v>
      </c>
      <c r="C389" s="33" t="s">
        <v>28</v>
      </c>
      <c r="D389" s="34" t="n">
        <v>43352</v>
      </c>
      <c r="E389" s="33" t="s">
        <v>102</v>
      </c>
      <c r="F389" s="33" t="n">
        <v>21356941</v>
      </c>
      <c r="G389" s="33" t="n">
        <v>720193</v>
      </c>
      <c r="H389" s="33" t="s">
        <v>34</v>
      </c>
      <c r="I389" s="33" t="s">
        <v>174</v>
      </c>
      <c r="J389" s="33" t="s">
        <v>122</v>
      </c>
      <c r="K389" s="35" t="n">
        <v>224560845</v>
      </c>
      <c r="L389" s="33" t="s">
        <v>755</v>
      </c>
      <c r="M389" s="33" t="n">
        <v>103259520</v>
      </c>
      <c r="N389" s="36" t="n">
        <v>0</v>
      </c>
      <c r="O389" s="37" t="n">
        <v>0</v>
      </c>
    </row>
    <row r="390" customFormat="false" ht="15" hidden="false" customHeight="false" outlineLevel="0" collapsed="false">
      <c r="A390" s="32" t="s">
        <v>1002</v>
      </c>
      <c r="B390" s="33" t="s">
        <v>1003</v>
      </c>
      <c r="C390" s="33" t="s">
        <v>28</v>
      </c>
      <c r="D390" s="34" t="n">
        <v>43358</v>
      </c>
      <c r="E390" s="33" t="s">
        <v>102</v>
      </c>
      <c r="F390" s="33" t="n">
        <v>21356941</v>
      </c>
      <c r="G390" s="33" t="n">
        <v>720193</v>
      </c>
      <c r="H390" s="33" t="s">
        <v>34</v>
      </c>
      <c r="I390" s="33" t="s">
        <v>174</v>
      </c>
      <c r="J390" s="33" t="s">
        <v>123</v>
      </c>
      <c r="K390" s="35" t="n">
        <v>224560842</v>
      </c>
      <c r="L390" s="33" t="s">
        <v>770</v>
      </c>
      <c r="M390" s="33" t="n">
        <v>103259769</v>
      </c>
      <c r="N390" s="36" t="n">
        <v>0</v>
      </c>
      <c r="O390" s="37" t="n">
        <v>0</v>
      </c>
    </row>
    <row r="391" customFormat="false" ht="15" hidden="false" customHeight="false" outlineLevel="0" collapsed="false">
      <c r="A391" s="32" t="s">
        <v>1004</v>
      </c>
      <c r="B391" s="33" t="s">
        <v>1005</v>
      </c>
      <c r="C391" s="33" t="s">
        <v>28</v>
      </c>
      <c r="D391" s="34" t="n">
        <v>43357</v>
      </c>
      <c r="E391" s="33" t="s">
        <v>102</v>
      </c>
      <c r="F391" s="33" t="n">
        <v>21356941</v>
      </c>
      <c r="G391" s="33" t="n">
        <v>720193</v>
      </c>
      <c r="H391" s="33" t="s">
        <v>34</v>
      </c>
      <c r="I391" s="33" t="s">
        <v>174</v>
      </c>
      <c r="J391" s="33" t="s">
        <v>123</v>
      </c>
      <c r="K391" s="35" t="n">
        <v>224560842</v>
      </c>
      <c r="L391" s="33" t="s">
        <v>770</v>
      </c>
      <c r="M391" s="33" t="n">
        <v>103259769</v>
      </c>
      <c r="N391" s="36" t="n">
        <v>0</v>
      </c>
      <c r="O391" s="37" t="n">
        <v>0</v>
      </c>
    </row>
    <row r="392" customFormat="false" ht="15" hidden="false" customHeight="false" outlineLevel="0" collapsed="false">
      <c r="A392" s="32" t="s">
        <v>1006</v>
      </c>
      <c r="B392" s="33" t="s">
        <v>1007</v>
      </c>
      <c r="C392" s="33" t="s">
        <v>28</v>
      </c>
      <c r="D392" s="34" t="n">
        <v>43356</v>
      </c>
      <c r="E392" s="33" t="s">
        <v>102</v>
      </c>
      <c r="F392" s="33" t="n">
        <v>21356941</v>
      </c>
      <c r="G392" s="33" t="n">
        <v>720193</v>
      </c>
      <c r="H392" s="33" t="s">
        <v>34</v>
      </c>
      <c r="I392" s="33" t="s">
        <v>174</v>
      </c>
      <c r="J392" s="33" t="s">
        <v>123</v>
      </c>
      <c r="K392" s="35" t="n">
        <v>224560842</v>
      </c>
      <c r="L392" s="33" t="s">
        <v>770</v>
      </c>
      <c r="M392" s="33" t="n">
        <v>103259769</v>
      </c>
      <c r="N392" s="36" t="n">
        <v>0</v>
      </c>
      <c r="O392" s="37" t="n">
        <v>0</v>
      </c>
    </row>
    <row r="393" customFormat="false" ht="15" hidden="false" customHeight="false" outlineLevel="0" collapsed="false">
      <c r="A393" s="32" t="s">
        <v>1008</v>
      </c>
      <c r="B393" s="33" t="s">
        <v>1009</v>
      </c>
      <c r="C393" s="33" t="s">
        <v>28</v>
      </c>
      <c r="D393" s="34" t="n">
        <v>43355</v>
      </c>
      <c r="E393" s="33" t="s">
        <v>102</v>
      </c>
      <c r="F393" s="33" t="n">
        <v>21356941</v>
      </c>
      <c r="G393" s="33" t="n">
        <v>720193</v>
      </c>
      <c r="H393" s="33" t="s">
        <v>34</v>
      </c>
      <c r="I393" s="33" t="s">
        <v>174</v>
      </c>
      <c r="J393" s="33" t="s">
        <v>123</v>
      </c>
      <c r="K393" s="35" t="n">
        <v>224560842</v>
      </c>
      <c r="L393" s="33" t="s">
        <v>770</v>
      </c>
      <c r="M393" s="33" t="n">
        <v>103259769</v>
      </c>
      <c r="N393" s="36" t="n">
        <v>0</v>
      </c>
      <c r="O393" s="37" t="n">
        <v>0</v>
      </c>
    </row>
    <row r="394" customFormat="false" ht="15" hidden="false" customHeight="false" outlineLevel="0" collapsed="false">
      <c r="A394" s="32" t="s">
        <v>1010</v>
      </c>
      <c r="B394" s="33" t="s">
        <v>1011</v>
      </c>
      <c r="C394" s="33" t="s">
        <v>28</v>
      </c>
      <c r="D394" s="34" t="n">
        <v>43354</v>
      </c>
      <c r="E394" s="33" t="s">
        <v>102</v>
      </c>
      <c r="F394" s="33" t="n">
        <v>21356941</v>
      </c>
      <c r="G394" s="33" t="n">
        <v>720193</v>
      </c>
      <c r="H394" s="33" t="s">
        <v>34</v>
      </c>
      <c r="I394" s="33" t="s">
        <v>174</v>
      </c>
      <c r="J394" s="33" t="s">
        <v>123</v>
      </c>
      <c r="K394" s="35" t="n">
        <v>224560842</v>
      </c>
      <c r="L394" s="33" t="s">
        <v>770</v>
      </c>
      <c r="M394" s="33" t="n">
        <v>103259769</v>
      </c>
      <c r="N394" s="36" t="n">
        <v>0</v>
      </c>
      <c r="O394" s="37" t="n">
        <v>0</v>
      </c>
    </row>
    <row r="395" customFormat="false" ht="15" hidden="false" customHeight="false" outlineLevel="0" collapsed="false">
      <c r="A395" s="32" t="s">
        <v>1012</v>
      </c>
      <c r="B395" s="33" t="s">
        <v>1013</v>
      </c>
      <c r="C395" s="33" t="s">
        <v>28</v>
      </c>
      <c r="D395" s="34" t="n">
        <v>43353</v>
      </c>
      <c r="E395" s="33" t="s">
        <v>102</v>
      </c>
      <c r="F395" s="33" t="n">
        <v>21356941</v>
      </c>
      <c r="G395" s="33" t="n">
        <v>720193</v>
      </c>
      <c r="H395" s="33" t="s">
        <v>34</v>
      </c>
      <c r="I395" s="33" t="s">
        <v>174</v>
      </c>
      <c r="J395" s="33" t="s">
        <v>123</v>
      </c>
      <c r="K395" s="35" t="n">
        <v>224560842</v>
      </c>
      <c r="L395" s="33" t="s">
        <v>770</v>
      </c>
      <c r="M395" s="33" t="n">
        <v>103259769</v>
      </c>
      <c r="N395" s="36" t="n">
        <v>0</v>
      </c>
      <c r="O395" s="37" t="n">
        <v>0</v>
      </c>
    </row>
    <row r="396" customFormat="false" ht="15" hidden="false" customHeight="false" outlineLevel="0" collapsed="false">
      <c r="A396" s="32" t="s">
        <v>1014</v>
      </c>
      <c r="B396" s="33" t="s">
        <v>1015</v>
      </c>
      <c r="C396" s="33" t="s">
        <v>28</v>
      </c>
      <c r="D396" s="34" t="n">
        <v>43352</v>
      </c>
      <c r="E396" s="33" t="s">
        <v>102</v>
      </c>
      <c r="F396" s="33" t="n">
        <v>21356941</v>
      </c>
      <c r="G396" s="33" t="n">
        <v>720193</v>
      </c>
      <c r="H396" s="33" t="s">
        <v>34</v>
      </c>
      <c r="I396" s="33" t="s">
        <v>174</v>
      </c>
      <c r="J396" s="33" t="s">
        <v>123</v>
      </c>
      <c r="K396" s="35" t="n">
        <v>224560842</v>
      </c>
      <c r="L396" s="33" t="s">
        <v>770</v>
      </c>
      <c r="M396" s="33" t="n">
        <v>103259769</v>
      </c>
      <c r="N396" s="36" t="n">
        <v>0</v>
      </c>
      <c r="O396" s="37" t="n">
        <v>0</v>
      </c>
    </row>
    <row r="397" customFormat="false" ht="15" hidden="false" customHeight="false" outlineLevel="0" collapsed="false">
      <c r="A397" s="32" t="s">
        <v>1016</v>
      </c>
      <c r="B397" s="33" t="s">
        <v>1017</v>
      </c>
      <c r="C397" s="33" t="s">
        <v>28</v>
      </c>
      <c r="D397" s="34" t="n">
        <v>43358</v>
      </c>
      <c r="E397" s="33" t="s">
        <v>102</v>
      </c>
      <c r="F397" s="33" t="n">
        <v>21356941</v>
      </c>
      <c r="G397" s="33" t="n">
        <v>720193</v>
      </c>
      <c r="H397" s="33" t="s">
        <v>34</v>
      </c>
      <c r="I397" s="33" t="s">
        <v>174</v>
      </c>
      <c r="J397" s="33" t="s">
        <v>124</v>
      </c>
      <c r="K397" s="35" t="n">
        <v>224560839</v>
      </c>
      <c r="L397" s="33" t="s">
        <v>785</v>
      </c>
      <c r="M397" s="33" t="n">
        <v>103257810</v>
      </c>
      <c r="N397" s="36" t="n">
        <v>0</v>
      </c>
      <c r="O397" s="37" t="n">
        <v>0</v>
      </c>
    </row>
    <row r="398" customFormat="false" ht="15" hidden="false" customHeight="false" outlineLevel="0" collapsed="false">
      <c r="A398" s="32" t="s">
        <v>1018</v>
      </c>
      <c r="B398" s="33" t="s">
        <v>1019</v>
      </c>
      <c r="C398" s="33" t="s">
        <v>28</v>
      </c>
      <c r="D398" s="34" t="n">
        <v>43357</v>
      </c>
      <c r="E398" s="33" t="s">
        <v>102</v>
      </c>
      <c r="F398" s="33" t="n">
        <v>21356941</v>
      </c>
      <c r="G398" s="33" t="n">
        <v>720193</v>
      </c>
      <c r="H398" s="33" t="s">
        <v>34</v>
      </c>
      <c r="I398" s="33" t="s">
        <v>174</v>
      </c>
      <c r="J398" s="33" t="s">
        <v>124</v>
      </c>
      <c r="K398" s="35" t="n">
        <v>224560839</v>
      </c>
      <c r="L398" s="33" t="s">
        <v>785</v>
      </c>
      <c r="M398" s="33" t="n">
        <v>103257810</v>
      </c>
      <c r="N398" s="36" t="n">
        <v>0</v>
      </c>
      <c r="O398" s="37" t="n">
        <v>0</v>
      </c>
    </row>
    <row r="399" customFormat="false" ht="15" hidden="false" customHeight="false" outlineLevel="0" collapsed="false">
      <c r="A399" s="32" t="s">
        <v>1020</v>
      </c>
      <c r="B399" s="33" t="s">
        <v>1021</v>
      </c>
      <c r="C399" s="33" t="s">
        <v>28</v>
      </c>
      <c r="D399" s="34" t="n">
        <v>43356</v>
      </c>
      <c r="E399" s="33" t="s">
        <v>102</v>
      </c>
      <c r="F399" s="33" t="n">
        <v>21356941</v>
      </c>
      <c r="G399" s="33" t="n">
        <v>720193</v>
      </c>
      <c r="H399" s="33" t="s">
        <v>34</v>
      </c>
      <c r="I399" s="33" t="s">
        <v>174</v>
      </c>
      <c r="J399" s="33" t="s">
        <v>124</v>
      </c>
      <c r="K399" s="35" t="n">
        <v>224560839</v>
      </c>
      <c r="L399" s="33" t="s">
        <v>785</v>
      </c>
      <c r="M399" s="33" t="n">
        <v>103257810</v>
      </c>
      <c r="N399" s="36" t="n">
        <v>0</v>
      </c>
      <c r="O399" s="37" t="n">
        <v>0</v>
      </c>
    </row>
    <row r="400" customFormat="false" ht="15" hidden="false" customHeight="false" outlineLevel="0" collapsed="false">
      <c r="A400" s="32" t="s">
        <v>1022</v>
      </c>
      <c r="B400" s="33" t="s">
        <v>1023</v>
      </c>
      <c r="C400" s="33" t="s">
        <v>28</v>
      </c>
      <c r="D400" s="34" t="n">
        <v>43355</v>
      </c>
      <c r="E400" s="33" t="s">
        <v>102</v>
      </c>
      <c r="F400" s="33" t="n">
        <v>21356941</v>
      </c>
      <c r="G400" s="33" t="n">
        <v>720193</v>
      </c>
      <c r="H400" s="33" t="s">
        <v>34</v>
      </c>
      <c r="I400" s="33" t="s">
        <v>174</v>
      </c>
      <c r="J400" s="33" t="s">
        <v>124</v>
      </c>
      <c r="K400" s="35" t="n">
        <v>224560839</v>
      </c>
      <c r="L400" s="33" t="s">
        <v>785</v>
      </c>
      <c r="M400" s="33" t="n">
        <v>103257810</v>
      </c>
      <c r="N400" s="36" t="n">
        <v>0</v>
      </c>
      <c r="O400" s="37" t="n">
        <v>0</v>
      </c>
    </row>
    <row r="401" customFormat="false" ht="15" hidden="false" customHeight="false" outlineLevel="0" collapsed="false">
      <c r="A401" s="32" t="s">
        <v>1024</v>
      </c>
      <c r="B401" s="33" t="s">
        <v>1025</v>
      </c>
      <c r="C401" s="33" t="s">
        <v>28</v>
      </c>
      <c r="D401" s="34" t="n">
        <v>43354</v>
      </c>
      <c r="E401" s="33" t="s">
        <v>102</v>
      </c>
      <c r="F401" s="33" t="n">
        <v>21356941</v>
      </c>
      <c r="G401" s="33" t="n">
        <v>720193</v>
      </c>
      <c r="H401" s="33" t="s">
        <v>34</v>
      </c>
      <c r="I401" s="33" t="s">
        <v>174</v>
      </c>
      <c r="J401" s="33" t="s">
        <v>124</v>
      </c>
      <c r="K401" s="35" t="n">
        <v>224560839</v>
      </c>
      <c r="L401" s="33" t="s">
        <v>785</v>
      </c>
      <c r="M401" s="33" t="n">
        <v>103257810</v>
      </c>
      <c r="N401" s="36" t="n">
        <v>0</v>
      </c>
      <c r="O401" s="37" t="n">
        <v>0</v>
      </c>
    </row>
    <row r="402" customFormat="false" ht="15" hidden="false" customHeight="false" outlineLevel="0" collapsed="false">
      <c r="A402" s="32" t="s">
        <v>1026</v>
      </c>
      <c r="B402" s="33" t="s">
        <v>1027</v>
      </c>
      <c r="C402" s="33" t="s">
        <v>28</v>
      </c>
      <c r="D402" s="34" t="n">
        <v>43353</v>
      </c>
      <c r="E402" s="33" t="s">
        <v>102</v>
      </c>
      <c r="F402" s="33" t="n">
        <v>21356941</v>
      </c>
      <c r="G402" s="33" t="n">
        <v>720193</v>
      </c>
      <c r="H402" s="33" t="s">
        <v>34</v>
      </c>
      <c r="I402" s="33" t="s">
        <v>174</v>
      </c>
      <c r="J402" s="33" t="s">
        <v>124</v>
      </c>
      <c r="K402" s="35" t="n">
        <v>224560839</v>
      </c>
      <c r="L402" s="33" t="s">
        <v>785</v>
      </c>
      <c r="M402" s="33" t="n">
        <v>103257810</v>
      </c>
      <c r="N402" s="36" t="n">
        <v>0</v>
      </c>
      <c r="O402" s="37" t="n">
        <v>0</v>
      </c>
    </row>
    <row r="403" customFormat="false" ht="15" hidden="false" customHeight="false" outlineLevel="0" collapsed="false">
      <c r="A403" s="32" t="s">
        <v>1028</v>
      </c>
      <c r="B403" s="33" t="s">
        <v>1029</v>
      </c>
      <c r="C403" s="33" t="s">
        <v>28</v>
      </c>
      <c r="D403" s="34" t="n">
        <v>43352</v>
      </c>
      <c r="E403" s="33" t="s">
        <v>102</v>
      </c>
      <c r="F403" s="33" t="n">
        <v>21356941</v>
      </c>
      <c r="G403" s="33" t="n">
        <v>720193</v>
      </c>
      <c r="H403" s="33" t="s">
        <v>34</v>
      </c>
      <c r="I403" s="33" t="s">
        <v>174</v>
      </c>
      <c r="J403" s="33" t="s">
        <v>124</v>
      </c>
      <c r="K403" s="35" t="n">
        <v>224560839</v>
      </c>
      <c r="L403" s="33" t="s">
        <v>785</v>
      </c>
      <c r="M403" s="33" t="n">
        <v>103257810</v>
      </c>
      <c r="N403" s="36" t="n">
        <v>0</v>
      </c>
      <c r="O403" s="37" t="n">
        <v>0</v>
      </c>
    </row>
    <row r="404" customFormat="false" ht="15" hidden="false" customHeight="false" outlineLevel="0" collapsed="false">
      <c r="A404" s="32" t="s">
        <v>1030</v>
      </c>
      <c r="B404" s="33" t="s">
        <v>1031</v>
      </c>
      <c r="C404" s="33" t="s">
        <v>28</v>
      </c>
      <c r="D404" s="34" t="n">
        <v>43358</v>
      </c>
      <c r="E404" s="33" t="s">
        <v>102</v>
      </c>
      <c r="F404" s="33" t="n">
        <v>21356941</v>
      </c>
      <c r="G404" s="33" t="n">
        <v>720193</v>
      </c>
      <c r="H404" s="33" t="s">
        <v>34</v>
      </c>
      <c r="I404" s="33" t="s">
        <v>174</v>
      </c>
      <c r="J404" s="33" t="s">
        <v>125</v>
      </c>
      <c r="K404" s="35" t="n">
        <v>224560836</v>
      </c>
      <c r="L404" s="33" t="s">
        <v>800</v>
      </c>
      <c r="M404" s="33" t="n">
        <v>103259010</v>
      </c>
      <c r="N404" s="36" t="n">
        <v>0</v>
      </c>
      <c r="O404" s="37" t="n">
        <v>0</v>
      </c>
    </row>
    <row r="405" customFormat="false" ht="15" hidden="false" customHeight="false" outlineLevel="0" collapsed="false">
      <c r="A405" s="32" t="s">
        <v>1032</v>
      </c>
      <c r="B405" s="33" t="s">
        <v>1033</v>
      </c>
      <c r="C405" s="33" t="s">
        <v>28</v>
      </c>
      <c r="D405" s="34" t="n">
        <v>43357</v>
      </c>
      <c r="E405" s="33" t="s">
        <v>102</v>
      </c>
      <c r="F405" s="33" t="n">
        <v>21356941</v>
      </c>
      <c r="G405" s="33" t="n">
        <v>720193</v>
      </c>
      <c r="H405" s="33" t="s">
        <v>34</v>
      </c>
      <c r="I405" s="33" t="s">
        <v>174</v>
      </c>
      <c r="J405" s="33" t="s">
        <v>125</v>
      </c>
      <c r="K405" s="35" t="n">
        <v>224560836</v>
      </c>
      <c r="L405" s="33" t="s">
        <v>800</v>
      </c>
      <c r="M405" s="33" t="n">
        <v>103259010</v>
      </c>
      <c r="N405" s="36" t="n">
        <v>0</v>
      </c>
      <c r="O405" s="37" t="n">
        <v>0</v>
      </c>
    </row>
    <row r="406" customFormat="false" ht="15" hidden="false" customHeight="false" outlineLevel="0" collapsed="false">
      <c r="A406" s="32" t="s">
        <v>1034</v>
      </c>
      <c r="B406" s="33" t="s">
        <v>1035</v>
      </c>
      <c r="C406" s="33" t="s">
        <v>28</v>
      </c>
      <c r="D406" s="34" t="n">
        <v>43356</v>
      </c>
      <c r="E406" s="33" t="s">
        <v>102</v>
      </c>
      <c r="F406" s="33" t="n">
        <v>21356941</v>
      </c>
      <c r="G406" s="33" t="n">
        <v>720193</v>
      </c>
      <c r="H406" s="33" t="s">
        <v>34</v>
      </c>
      <c r="I406" s="33" t="s">
        <v>174</v>
      </c>
      <c r="J406" s="33" t="s">
        <v>125</v>
      </c>
      <c r="K406" s="35" t="n">
        <v>224560836</v>
      </c>
      <c r="L406" s="33" t="s">
        <v>800</v>
      </c>
      <c r="M406" s="33" t="n">
        <v>103259010</v>
      </c>
      <c r="N406" s="36" t="n">
        <v>0</v>
      </c>
      <c r="O406" s="37" t="n">
        <v>0</v>
      </c>
    </row>
    <row r="407" customFormat="false" ht="15" hidden="false" customHeight="false" outlineLevel="0" collapsed="false">
      <c r="A407" s="32" t="s">
        <v>1036</v>
      </c>
      <c r="B407" s="33" t="s">
        <v>1037</v>
      </c>
      <c r="C407" s="33" t="s">
        <v>28</v>
      </c>
      <c r="D407" s="34" t="n">
        <v>43355</v>
      </c>
      <c r="E407" s="33" t="s">
        <v>102</v>
      </c>
      <c r="F407" s="33" t="n">
        <v>21356941</v>
      </c>
      <c r="G407" s="33" t="n">
        <v>720193</v>
      </c>
      <c r="H407" s="33" t="s">
        <v>34</v>
      </c>
      <c r="I407" s="33" t="s">
        <v>174</v>
      </c>
      <c r="J407" s="33" t="s">
        <v>125</v>
      </c>
      <c r="K407" s="35" t="n">
        <v>224560836</v>
      </c>
      <c r="L407" s="33" t="s">
        <v>800</v>
      </c>
      <c r="M407" s="33" t="n">
        <v>103259010</v>
      </c>
      <c r="N407" s="36" t="n">
        <v>0</v>
      </c>
      <c r="O407" s="37" t="n">
        <v>0</v>
      </c>
    </row>
    <row r="408" customFormat="false" ht="15" hidden="false" customHeight="false" outlineLevel="0" collapsed="false">
      <c r="A408" s="32" t="s">
        <v>1038</v>
      </c>
      <c r="B408" s="33" t="s">
        <v>1039</v>
      </c>
      <c r="C408" s="33" t="s">
        <v>28</v>
      </c>
      <c r="D408" s="34" t="n">
        <v>43354</v>
      </c>
      <c r="E408" s="33" t="s">
        <v>102</v>
      </c>
      <c r="F408" s="33" t="n">
        <v>21356941</v>
      </c>
      <c r="G408" s="33" t="n">
        <v>720193</v>
      </c>
      <c r="H408" s="33" t="s">
        <v>34</v>
      </c>
      <c r="I408" s="33" t="s">
        <v>174</v>
      </c>
      <c r="J408" s="33" t="s">
        <v>125</v>
      </c>
      <c r="K408" s="35" t="n">
        <v>224560836</v>
      </c>
      <c r="L408" s="33" t="s">
        <v>800</v>
      </c>
      <c r="M408" s="33" t="n">
        <v>103259010</v>
      </c>
      <c r="N408" s="36" t="n">
        <v>0</v>
      </c>
      <c r="O408" s="37" t="n">
        <v>0</v>
      </c>
    </row>
    <row r="409" customFormat="false" ht="15" hidden="false" customHeight="false" outlineLevel="0" collapsed="false">
      <c r="A409" s="32" t="s">
        <v>1040</v>
      </c>
      <c r="B409" s="33" t="s">
        <v>1041</v>
      </c>
      <c r="C409" s="33" t="s">
        <v>28</v>
      </c>
      <c r="D409" s="34" t="n">
        <v>43353</v>
      </c>
      <c r="E409" s="33" t="s">
        <v>102</v>
      </c>
      <c r="F409" s="33" t="n">
        <v>21356941</v>
      </c>
      <c r="G409" s="33" t="n">
        <v>720193</v>
      </c>
      <c r="H409" s="33" t="s">
        <v>34</v>
      </c>
      <c r="I409" s="33" t="s">
        <v>174</v>
      </c>
      <c r="J409" s="33" t="s">
        <v>125</v>
      </c>
      <c r="K409" s="35" t="n">
        <v>224560836</v>
      </c>
      <c r="L409" s="33" t="s">
        <v>800</v>
      </c>
      <c r="M409" s="33" t="n">
        <v>103259010</v>
      </c>
      <c r="N409" s="36" t="n">
        <v>0</v>
      </c>
      <c r="O409" s="37" t="n">
        <v>0</v>
      </c>
    </row>
    <row r="410" customFormat="false" ht="15" hidden="false" customHeight="false" outlineLevel="0" collapsed="false">
      <c r="A410" s="32" t="s">
        <v>1042</v>
      </c>
      <c r="B410" s="33" t="s">
        <v>1043</v>
      </c>
      <c r="C410" s="33" t="s">
        <v>28</v>
      </c>
      <c r="D410" s="34" t="n">
        <v>43352</v>
      </c>
      <c r="E410" s="33" t="s">
        <v>102</v>
      </c>
      <c r="F410" s="33" t="n">
        <v>21356941</v>
      </c>
      <c r="G410" s="33" t="n">
        <v>720193</v>
      </c>
      <c r="H410" s="33" t="s">
        <v>34</v>
      </c>
      <c r="I410" s="33" t="s">
        <v>174</v>
      </c>
      <c r="J410" s="33" t="s">
        <v>125</v>
      </c>
      <c r="K410" s="35" t="n">
        <v>224560836</v>
      </c>
      <c r="L410" s="33" t="s">
        <v>800</v>
      </c>
      <c r="M410" s="33" t="n">
        <v>103259010</v>
      </c>
      <c r="N410" s="36" t="n">
        <v>0</v>
      </c>
      <c r="O410" s="37" t="n">
        <v>0</v>
      </c>
    </row>
    <row r="411" customFormat="false" ht="15" hidden="false" customHeight="false" outlineLevel="0" collapsed="false">
      <c r="A411" s="32" t="s">
        <v>1044</v>
      </c>
      <c r="B411" s="33" t="s">
        <v>1045</v>
      </c>
      <c r="C411" s="33" t="s">
        <v>28</v>
      </c>
      <c r="D411" s="34" t="n">
        <v>43358</v>
      </c>
      <c r="E411" s="33" t="s">
        <v>102</v>
      </c>
      <c r="F411" s="33" t="n">
        <v>21356941</v>
      </c>
      <c r="G411" s="33" t="n">
        <v>720193</v>
      </c>
      <c r="H411" s="33" t="s">
        <v>34</v>
      </c>
      <c r="I411" s="33" t="s">
        <v>174</v>
      </c>
      <c r="J411" s="33" t="s">
        <v>126</v>
      </c>
      <c r="K411" s="35" t="n">
        <v>224560833</v>
      </c>
      <c r="L411" s="33" t="s">
        <v>815</v>
      </c>
      <c r="M411" s="33" t="n">
        <v>103376990</v>
      </c>
      <c r="N411" s="36" t="n">
        <v>0</v>
      </c>
      <c r="O411" s="37" t="n">
        <v>0</v>
      </c>
    </row>
    <row r="412" customFormat="false" ht="15" hidden="false" customHeight="false" outlineLevel="0" collapsed="false">
      <c r="A412" s="32" t="s">
        <v>1046</v>
      </c>
      <c r="B412" s="33" t="s">
        <v>1047</v>
      </c>
      <c r="C412" s="33" t="s">
        <v>28</v>
      </c>
      <c r="D412" s="34" t="n">
        <v>43357</v>
      </c>
      <c r="E412" s="33" t="s">
        <v>102</v>
      </c>
      <c r="F412" s="33" t="n">
        <v>21356941</v>
      </c>
      <c r="G412" s="33" t="n">
        <v>720193</v>
      </c>
      <c r="H412" s="33" t="s">
        <v>34</v>
      </c>
      <c r="I412" s="33" t="s">
        <v>174</v>
      </c>
      <c r="J412" s="33" t="s">
        <v>126</v>
      </c>
      <c r="K412" s="35" t="n">
        <v>224560833</v>
      </c>
      <c r="L412" s="33" t="s">
        <v>815</v>
      </c>
      <c r="M412" s="33" t="n">
        <v>103376990</v>
      </c>
      <c r="N412" s="36" t="n">
        <v>0</v>
      </c>
      <c r="O412" s="37" t="n">
        <v>0</v>
      </c>
    </row>
    <row r="413" customFormat="false" ht="15" hidden="false" customHeight="false" outlineLevel="0" collapsed="false">
      <c r="A413" s="32" t="s">
        <v>1048</v>
      </c>
      <c r="B413" s="33" t="s">
        <v>1049</v>
      </c>
      <c r="C413" s="33" t="s">
        <v>28</v>
      </c>
      <c r="D413" s="34" t="n">
        <v>43356</v>
      </c>
      <c r="E413" s="33" t="s">
        <v>102</v>
      </c>
      <c r="F413" s="33" t="n">
        <v>21356941</v>
      </c>
      <c r="G413" s="33" t="n">
        <v>720193</v>
      </c>
      <c r="H413" s="33" t="s">
        <v>34</v>
      </c>
      <c r="I413" s="33" t="s">
        <v>174</v>
      </c>
      <c r="J413" s="33" t="s">
        <v>126</v>
      </c>
      <c r="K413" s="35" t="n">
        <v>224560833</v>
      </c>
      <c r="L413" s="33" t="s">
        <v>815</v>
      </c>
      <c r="M413" s="33" t="n">
        <v>103376990</v>
      </c>
      <c r="N413" s="36" t="n">
        <v>0</v>
      </c>
      <c r="O413" s="37" t="n">
        <v>0</v>
      </c>
    </row>
    <row r="414" customFormat="false" ht="15" hidden="false" customHeight="false" outlineLevel="0" collapsed="false">
      <c r="A414" s="32" t="s">
        <v>1050</v>
      </c>
      <c r="B414" s="33" t="s">
        <v>1051</v>
      </c>
      <c r="C414" s="33" t="s">
        <v>28</v>
      </c>
      <c r="D414" s="34" t="n">
        <v>43355</v>
      </c>
      <c r="E414" s="33" t="s">
        <v>102</v>
      </c>
      <c r="F414" s="33" t="n">
        <v>21356941</v>
      </c>
      <c r="G414" s="33" t="n">
        <v>720193</v>
      </c>
      <c r="H414" s="33" t="s">
        <v>34</v>
      </c>
      <c r="I414" s="33" t="s">
        <v>174</v>
      </c>
      <c r="J414" s="33" t="s">
        <v>126</v>
      </c>
      <c r="K414" s="35" t="n">
        <v>224560833</v>
      </c>
      <c r="L414" s="33" t="s">
        <v>815</v>
      </c>
      <c r="M414" s="33" t="n">
        <v>103376990</v>
      </c>
      <c r="N414" s="36" t="n">
        <v>0</v>
      </c>
      <c r="O414" s="37" t="n">
        <v>0</v>
      </c>
    </row>
    <row r="415" customFormat="false" ht="15" hidden="false" customHeight="false" outlineLevel="0" collapsed="false">
      <c r="A415" s="32" t="s">
        <v>1052</v>
      </c>
      <c r="B415" s="33" t="s">
        <v>1053</v>
      </c>
      <c r="C415" s="33" t="s">
        <v>28</v>
      </c>
      <c r="D415" s="34" t="n">
        <v>43354</v>
      </c>
      <c r="E415" s="33" t="s">
        <v>102</v>
      </c>
      <c r="F415" s="33" t="n">
        <v>21356941</v>
      </c>
      <c r="G415" s="33" t="n">
        <v>720193</v>
      </c>
      <c r="H415" s="33" t="s">
        <v>34</v>
      </c>
      <c r="I415" s="33" t="s">
        <v>174</v>
      </c>
      <c r="J415" s="33" t="s">
        <v>126</v>
      </c>
      <c r="K415" s="35" t="n">
        <v>224560833</v>
      </c>
      <c r="L415" s="33" t="s">
        <v>815</v>
      </c>
      <c r="M415" s="33" t="n">
        <v>103376990</v>
      </c>
      <c r="N415" s="36" t="n">
        <v>0</v>
      </c>
      <c r="O415" s="37" t="n">
        <v>0</v>
      </c>
    </row>
    <row r="416" customFormat="false" ht="15" hidden="false" customHeight="false" outlineLevel="0" collapsed="false">
      <c r="A416" s="32" t="s">
        <v>1054</v>
      </c>
      <c r="B416" s="33" t="s">
        <v>1055</v>
      </c>
      <c r="C416" s="33" t="s">
        <v>28</v>
      </c>
      <c r="D416" s="34" t="n">
        <v>43353</v>
      </c>
      <c r="E416" s="33" t="s">
        <v>102</v>
      </c>
      <c r="F416" s="33" t="n">
        <v>21356941</v>
      </c>
      <c r="G416" s="33" t="n">
        <v>720193</v>
      </c>
      <c r="H416" s="33" t="s">
        <v>34</v>
      </c>
      <c r="I416" s="33" t="s">
        <v>174</v>
      </c>
      <c r="J416" s="33" t="s">
        <v>126</v>
      </c>
      <c r="K416" s="35" t="n">
        <v>224560833</v>
      </c>
      <c r="L416" s="33" t="s">
        <v>815</v>
      </c>
      <c r="M416" s="33" t="n">
        <v>103376990</v>
      </c>
      <c r="N416" s="36" t="n">
        <v>0</v>
      </c>
      <c r="O416" s="37" t="n">
        <v>0</v>
      </c>
    </row>
    <row r="417" customFormat="false" ht="15" hidden="false" customHeight="false" outlineLevel="0" collapsed="false">
      <c r="A417" s="32" t="s">
        <v>1056</v>
      </c>
      <c r="B417" s="33" t="s">
        <v>1057</v>
      </c>
      <c r="C417" s="33" t="s">
        <v>28</v>
      </c>
      <c r="D417" s="34" t="n">
        <v>43352</v>
      </c>
      <c r="E417" s="33" t="s">
        <v>102</v>
      </c>
      <c r="F417" s="33" t="n">
        <v>21356941</v>
      </c>
      <c r="G417" s="33" t="n">
        <v>720193</v>
      </c>
      <c r="H417" s="33" t="s">
        <v>34</v>
      </c>
      <c r="I417" s="33" t="s">
        <v>174</v>
      </c>
      <c r="J417" s="33" t="s">
        <v>126</v>
      </c>
      <c r="K417" s="35" t="n">
        <v>224560833</v>
      </c>
      <c r="L417" s="33" t="s">
        <v>815</v>
      </c>
      <c r="M417" s="33" t="n">
        <v>103376990</v>
      </c>
      <c r="N417" s="36" t="n">
        <v>0</v>
      </c>
      <c r="O417" s="37" t="n">
        <v>0</v>
      </c>
    </row>
    <row r="418" customFormat="false" ht="15" hidden="false" customHeight="false" outlineLevel="0" collapsed="false">
      <c r="A418" s="32" t="s">
        <v>1058</v>
      </c>
      <c r="B418" s="33" t="s">
        <v>1059</v>
      </c>
      <c r="C418" s="33" t="s">
        <v>28</v>
      </c>
      <c r="D418" s="34" t="n">
        <v>43358</v>
      </c>
      <c r="E418" s="33" t="s">
        <v>102</v>
      </c>
      <c r="F418" s="33" t="n">
        <v>21356941</v>
      </c>
      <c r="G418" s="33" t="n">
        <v>720193</v>
      </c>
      <c r="H418" s="33" t="s">
        <v>34</v>
      </c>
      <c r="I418" s="33" t="s">
        <v>174</v>
      </c>
      <c r="J418" s="33" t="s">
        <v>128</v>
      </c>
      <c r="K418" s="35" t="n">
        <v>224416915</v>
      </c>
      <c r="L418" s="33" t="s">
        <v>1060</v>
      </c>
      <c r="M418" s="33" t="n">
        <v>103376981</v>
      </c>
      <c r="N418" s="36" t="n">
        <v>8644</v>
      </c>
      <c r="O418" s="37" t="n">
        <v>86</v>
      </c>
    </row>
    <row r="419" customFormat="false" ht="15" hidden="false" customHeight="false" outlineLevel="0" collapsed="false">
      <c r="A419" s="32" t="s">
        <v>1061</v>
      </c>
      <c r="B419" s="33" t="s">
        <v>1062</v>
      </c>
      <c r="C419" s="33" t="s">
        <v>28</v>
      </c>
      <c r="D419" s="34" t="n">
        <v>43357</v>
      </c>
      <c r="E419" s="33" t="s">
        <v>102</v>
      </c>
      <c r="F419" s="33" t="n">
        <v>21356941</v>
      </c>
      <c r="G419" s="33" t="n">
        <v>720193</v>
      </c>
      <c r="H419" s="33" t="s">
        <v>34</v>
      </c>
      <c r="I419" s="33" t="s">
        <v>174</v>
      </c>
      <c r="J419" s="33" t="s">
        <v>128</v>
      </c>
      <c r="K419" s="35" t="n">
        <v>224416915</v>
      </c>
      <c r="L419" s="33" t="s">
        <v>1060</v>
      </c>
      <c r="M419" s="33" t="n">
        <v>103376981</v>
      </c>
      <c r="N419" s="36" t="n">
        <v>7753</v>
      </c>
      <c r="O419" s="37" t="n">
        <v>85.56</v>
      </c>
    </row>
    <row r="420" customFormat="false" ht="15" hidden="false" customHeight="false" outlineLevel="0" collapsed="false">
      <c r="A420" s="32" t="s">
        <v>1063</v>
      </c>
      <c r="B420" s="33" t="s">
        <v>1064</v>
      </c>
      <c r="C420" s="33" t="s">
        <v>28</v>
      </c>
      <c r="D420" s="34" t="n">
        <v>43356</v>
      </c>
      <c r="E420" s="33" t="s">
        <v>102</v>
      </c>
      <c r="F420" s="33" t="n">
        <v>21356941</v>
      </c>
      <c r="G420" s="33" t="n">
        <v>720193</v>
      </c>
      <c r="H420" s="33" t="s">
        <v>34</v>
      </c>
      <c r="I420" s="33" t="s">
        <v>174</v>
      </c>
      <c r="J420" s="33" t="s">
        <v>128</v>
      </c>
      <c r="K420" s="35" t="n">
        <v>224416915</v>
      </c>
      <c r="L420" s="33" t="s">
        <v>1060</v>
      </c>
      <c r="M420" s="33" t="n">
        <v>103376981</v>
      </c>
      <c r="N420" s="36" t="n">
        <v>7075</v>
      </c>
      <c r="O420" s="37" t="n">
        <v>66.64</v>
      </c>
    </row>
    <row r="421" customFormat="false" ht="15" hidden="false" customHeight="false" outlineLevel="0" collapsed="false">
      <c r="A421" s="32" t="s">
        <v>1065</v>
      </c>
      <c r="B421" s="33" t="s">
        <v>1066</v>
      </c>
      <c r="C421" s="33" t="s">
        <v>28</v>
      </c>
      <c r="D421" s="34" t="n">
        <v>43355</v>
      </c>
      <c r="E421" s="33" t="s">
        <v>102</v>
      </c>
      <c r="F421" s="33" t="n">
        <v>21356941</v>
      </c>
      <c r="G421" s="33" t="n">
        <v>720193</v>
      </c>
      <c r="H421" s="33" t="s">
        <v>34</v>
      </c>
      <c r="I421" s="33" t="s">
        <v>174</v>
      </c>
      <c r="J421" s="33" t="s">
        <v>128</v>
      </c>
      <c r="K421" s="35" t="n">
        <v>224416915</v>
      </c>
      <c r="L421" s="33" t="s">
        <v>1060</v>
      </c>
      <c r="M421" s="33" t="n">
        <v>103376981</v>
      </c>
      <c r="N421" s="36" t="n">
        <v>5008</v>
      </c>
      <c r="O421" s="37" t="n">
        <v>41.7</v>
      </c>
    </row>
    <row r="422" customFormat="false" ht="15" hidden="false" customHeight="false" outlineLevel="0" collapsed="false">
      <c r="A422" s="32" t="s">
        <v>1067</v>
      </c>
      <c r="B422" s="33" t="s">
        <v>1068</v>
      </c>
      <c r="C422" s="33" t="s">
        <v>28</v>
      </c>
      <c r="D422" s="34" t="n">
        <v>43354</v>
      </c>
      <c r="E422" s="33" t="s">
        <v>102</v>
      </c>
      <c r="F422" s="33" t="n">
        <v>21356941</v>
      </c>
      <c r="G422" s="33" t="n">
        <v>720193</v>
      </c>
      <c r="H422" s="33" t="s">
        <v>34</v>
      </c>
      <c r="I422" s="33" t="s">
        <v>174</v>
      </c>
      <c r="J422" s="33" t="s">
        <v>128</v>
      </c>
      <c r="K422" s="35" t="n">
        <v>224416915</v>
      </c>
      <c r="L422" s="33" t="s">
        <v>1060</v>
      </c>
      <c r="M422" s="33" t="n">
        <v>103376981</v>
      </c>
      <c r="N422" s="36" t="n">
        <v>7828</v>
      </c>
      <c r="O422" s="37" t="n">
        <v>56.2</v>
      </c>
    </row>
    <row r="423" customFormat="false" ht="15" hidden="false" customHeight="false" outlineLevel="0" collapsed="false">
      <c r="A423" s="32" t="s">
        <v>1069</v>
      </c>
      <c r="B423" s="33" t="s">
        <v>1070</v>
      </c>
      <c r="C423" s="33" t="s">
        <v>28</v>
      </c>
      <c r="D423" s="34" t="n">
        <v>43353</v>
      </c>
      <c r="E423" s="33" t="s">
        <v>102</v>
      </c>
      <c r="F423" s="33" t="n">
        <v>21356941</v>
      </c>
      <c r="G423" s="33" t="n">
        <v>720193</v>
      </c>
      <c r="H423" s="33" t="s">
        <v>34</v>
      </c>
      <c r="I423" s="33" t="s">
        <v>174</v>
      </c>
      <c r="J423" s="33" t="s">
        <v>128</v>
      </c>
      <c r="K423" s="35" t="n">
        <v>224416915</v>
      </c>
      <c r="L423" s="33" t="s">
        <v>1060</v>
      </c>
      <c r="M423" s="33" t="n">
        <v>103376981</v>
      </c>
      <c r="N423" s="36" t="n">
        <v>5669</v>
      </c>
      <c r="O423" s="37" t="n">
        <v>39.06</v>
      </c>
    </row>
    <row r="424" customFormat="false" ht="15" hidden="false" customHeight="false" outlineLevel="0" collapsed="false">
      <c r="A424" s="32" t="s">
        <v>1071</v>
      </c>
      <c r="B424" s="33" t="s">
        <v>1072</v>
      </c>
      <c r="C424" s="33" t="s">
        <v>28</v>
      </c>
      <c r="D424" s="34" t="n">
        <v>43352</v>
      </c>
      <c r="E424" s="33" t="s">
        <v>102</v>
      </c>
      <c r="F424" s="33" t="n">
        <v>21356941</v>
      </c>
      <c r="G424" s="33" t="n">
        <v>720193</v>
      </c>
      <c r="H424" s="33" t="s">
        <v>34</v>
      </c>
      <c r="I424" s="33" t="s">
        <v>174</v>
      </c>
      <c r="J424" s="33" t="s">
        <v>128</v>
      </c>
      <c r="K424" s="35" t="n">
        <v>224416915</v>
      </c>
      <c r="L424" s="33" t="s">
        <v>1060</v>
      </c>
      <c r="M424" s="33" t="n">
        <v>103376981</v>
      </c>
      <c r="N424" s="36" t="n">
        <v>7</v>
      </c>
      <c r="O424" s="37" t="n">
        <v>0.03</v>
      </c>
    </row>
    <row r="425" customFormat="false" ht="15" hidden="false" customHeight="false" outlineLevel="0" collapsed="false">
      <c r="A425" s="32" t="s">
        <v>1073</v>
      </c>
      <c r="B425" s="33" t="s">
        <v>1074</v>
      </c>
      <c r="C425" s="33" t="s">
        <v>28</v>
      </c>
      <c r="D425" s="34" t="n">
        <v>43358</v>
      </c>
      <c r="E425" s="33" t="s">
        <v>102</v>
      </c>
      <c r="F425" s="33" t="n">
        <v>21356941</v>
      </c>
      <c r="G425" s="33" t="n">
        <v>720193</v>
      </c>
      <c r="H425" s="33" t="s">
        <v>34</v>
      </c>
      <c r="I425" s="33" t="s">
        <v>174</v>
      </c>
      <c r="J425" s="33" t="s">
        <v>129</v>
      </c>
      <c r="K425" s="35" t="n">
        <v>224560875</v>
      </c>
      <c r="L425" s="33" t="s">
        <v>1075</v>
      </c>
      <c r="M425" s="33" t="n">
        <v>103259766</v>
      </c>
      <c r="N425" s="36" t="n">
        <v>196</v>
      </c>
      <c r="O425" s="37" t="n">
        <v>1.82</v>
      </c>
    </row>
    <row r="426" customFormat="false" ht="15" hidden="false" customHeight="false" outlineLevel="0" collapsed="false">
      <c r="A426" s="32" t="s">
        <v>1076</v>
      </c>
      <c r="B426" s="33" t="s">
        <v>1077</v>
      </c>
      <c r="C426" s="33" t="s">
        <v>28</v>
      </c>
      <c r="D426" s="34" t="n">
        <v>43357</v>
      </c>
      <c r="E426" s="33" t="s">
        <v>102</v>
      </c>
      <c r="F426" s="33" t="n">
        <v>21356941</v>
      </c>
      <c r="G426" s="33" t="n">
        <v>720193</v>
      </c>
      <c r="H426" s="33" t="s">
        <v>34</v>
      </c>
      <c r="I426" s="33" t="s">
        <v>174</v>
      </c>
      <c r="J426" s="33" t="s">
        <v>129</v>
      </c>
      <c r="K426" s="35" t="n">
        <v>224560875</v>
      </c>
      <c r="L426" s="33" t="s">
        <v>1075</v>
      </c>
      <c r="M426" s="33" t="n">
        <v>103259766</v>
      </c>
      <c r="N426" s="36" t="n">
        <v>833</v>
      </c>
      <c r="O426" s="37" t="n">
        <v>8.26</v>
      </c>
    </row>
    <row r="427" customFormat="false" ht="15" hidden="false" customHeight="false" outlineLevel="0" collapsed="false">
      <c r="A427" s="32" t="s">
        <v>1078</v>
      </c>
      <c r="B427" s="33" t="s">
        <v>1079</v>
      </c>
      <c r="C427" s="33" t="s">
        <v>28</v>
      </c>
      <c r="D427" s="34" t="n">
        <v>43356</v>
      </c>
      <c r="E427" s="33" t="s">
        <v>102</v>
      </c>
      <c r="F427" s="33" t="n">
        <v>21356941</v>
      </c>
      <c r="G427" s="33" t="n">
        <v>720193</v>
      </c>
      <c r="H427" s="33" t="s">
        <v>34</v>
      </c>
      <c r="I427" s="33" t="s">
        <v>174</v>
      </c>
      <c r="J427" s="33" t="s">
        <v>129</v>
      </c>
      <c r="K427" s="35" t="n">
        <v>224560875</v>
      </c>
      <c r="L427" s="33" t="s">
        <v>1075</v>
      </c>
      <c r="M427" s="33" t="n">
        <v>103259766</v>
      </c>
      <c r="N427" s="36" t="n">
        <v>3480</v>
      </c>
      <c r="O427" s="37" t="n">
        <v>26.68</v>
      </c>
    </row>
    <row r="428" customFormat="false" ht="15" hidden="false" customHeight="false" outlineLevel="0" collapsed="false">
      <c r="A428" s="32" t="s">
        <v>1080</v>
      </c>
      <c r="B428" s="33" t="s">
        <v>1081</v>
      </c>
      <c r="C428" s="33" t="s">
        <v>28</v>
      </c>
      <c r="D428" s="34" t="n">
        <v>43355</v>
      </c>
      <c r="E428" s="33" t="s">
        <v>102</v>
      </c>
      <c r="F428" s="33" t="n">
        <v>21356941</v>
      </c>
      <c r="G428" s="33" t="n">
        <v>720193</v>
      </c>
      <c r="H428" s="33" t="s">
        <v>34</v>
      </c>
      <c r="I428" s="33" t="s">
        <v>174</v>
      </c>
      <c r="J428" s="33" t="s">
        <v>129</v>
      </c>
      <c r="K428" s="35" t="n">
        <v>224560875</v>
      </c>
      <c r="L428" s="33" t="s">
        <v>1075</v>
      </c>
      <c r="M428" s="33" t="n">
        <v>103259766</v>
      </c>
      <c r="N428" s="36" t="n">
        <v>6134</v>
      </c>
      <c r="O428" s="37" t="n">
        <v>47.48</v>
      </c>
    </row>
    <row r="429" customFormat="false" ht="15" hidden="false" customHeight="false" outlineLevel="0" collapsed="false">
      <c r="A429" s="32" t="s">
        <v>1082</v>
      </c>
      <c r="B429" s="33" t="s">
        <v>1083</v>
      </c>
      <c r="C429" s="33" t="s">
        <v>28</v>
      </c>
      <c r="D429" s="34" t="n">
        <v>43354</v>
      </c>
      <c r="E429" s="33" t="s">
        <v>102</v>
      </c>
      <c r="F429" s="33" t="n">
        <v>21356941</v>
      </c>
      <c r="G429" s="33" t="n">
        <v>720193</v>
      </c>
      <c r="H429" s="33" t="s">
        <v>34</v>
      </c>
      <c r="I429" s="33" t="s">
        <v>174</v>
      </c>
      <c r="J429" s="33" t="s">
        <v>129</v>
      </c>
      <c r="K429" s="35" t="n">
        <v>224560875</v>
      </c>
      <c r="L429" s="33" t="s">
        <v>1075</v>
      </c>
      <c r="M429" s="33" t="n">
        <v>103259766</v>
      </c>
      <c r="N429" s="36" t="n">
        <v>3246</v>
      </c>
      <c r="O429" s="37" t="n">
        <v>22.81</v>
      </c>
    </row>
    <row r="430" customFormat="false" ht="15" hidden="false" customHeight="false" outlineLevel="0" collapsed="false">
      <c r="A430" s="32" t="s">
        <v>1084</v>
      </c>
      <c r="B430" s="33" t="s">
        <v>1085</v>
      </c>
      <c r="C430" s="33" t="s">
        <v>28</v>
      </c>
      <c r="D430" s="34" t="n">
        <v>43353</v>
      </c>
      <c r="E430" s="33" t="s">
        <v>102</v>
      </c>
      <c r="F430" s="33" t="n">
        <v>21356941</v>
      </c>
      <c r="G430" s="33" t="n">
        <v>720193</v>
      </c>
      <c r="H430" s="33" t="s">
        <v>34</v>
      </c>
      <c r="I430" s="33" t="s">
        <v>174</v>
      </c>
      <c r="J430" s="33" t="s">
        <v>129</v>
      </c>
      <c r="K430" s="35" t="n">
        <v>224560875</v>
      </c>
      <c r="L430" s="33" t="s">
        <v>1075</v>
      </c>
      <c r="M430" s="33" t="n">
        <v>103259766</v>
      </c>
      <c r="N430" s="36" t="n">
        <v>2666</v>
      </c>
      <c r="O430" s="37" t="n">
        <v>14.93</v>
      </c>
    </row>
    <row r="431" customFormat="false" ht="15" hidden="false" customHeight="false" outlineLevel="0" collapsed="false">
      <c r="A431" s="32" t="s">
        <v>1086</v>
      </c>
      <c r="B431" s="33" t="s">
        <v>1087</v>
      </c>
      <c r="C431" s="33" t="s">
        <v>28</v>
      </c>
      <c r="D431" s="34" t="n">
        <v>43352</v>
      </c>
      <c r="E431" s="33" t="s">
        <v>102</v>
      </c>
      <c r="F431" s="33" t="n">
        <v>21356941</v>
      </c>
      <c r="G431" s="33" t="n">
        <v>720193</v>
      </c>
      <c r="H431" s="33" t="s">
        <v>34</v>
      </c>
      <c r="I431" s="33" t="s">
        <v>174</v>
      </c>
      <c r="J431" s="33" t="s">
        <v>129</v>
      </c>
      <c r="K431" s="35" t="n">
        <v>224560875</v>
      </c>
      <c r="L431" s="33" t="s">
        <v>1075</v>
      </c>
      <c r="M431" s="33" t="n">
        <v>103259766</v>
      </c>
      <c r="N431" s="36" t="n">
        <v>25</v>
      </c>
      <c r="O431" s="37" t="n">
        <v>0.07</v>
      </c>
    </row>
    <row r="432" customFormat="false" ht="15" hidden="false" customHeight="false" outlineLevel="0" collapsed="false">
      <c r="A432" s="32" t="s">
        <v>1088</v>
      </c>
      <c r="B432" s="33" t="s">
        <v>1089</v>
      </c>
      <c r="C432" s="33" t="s">
        <v>28</v>
      </c>
      <c r="D432" s="34" t="n">
        <v>43358</v>
      </c>
      <c r="E432" s="33" t="s">
        <v>102</v>
      </c>
      <c r="F432" s="33" t="n">
        <v>21356941</v>
      </c>
      <c r="G432" s="33" t="n">
        <v>720193</v>
      </c>
      <c r="H432" s="33" t="s">
        <v>34</v>
      </c>
      <c r="I432" s="33" t="s">
        <v>174</v>
      </c>
      <c r="J432" s="33" t="s">
        <v>130</v>
      </c>
      <c r="K432" s="35" t="n">
        <v>224560863</v>
      </c>
      <c r="L432" s="33" t="s">
        <v>1090</v>
      </c>
      <c r="M432" s="33" t="n">
        <v>103256577</v>
      </c>
      <c r="N432" s="36" t="n">
        <v>0</v>
      </c>
      <c r="O432" s="37" t="n">
        <v>0</v>
      </c>
    </row>
    <row r="433" customFormat="false" ht="15" hidden="false" customHeight="false" outlineLevel="0" collapsed="false">
      <c r="A433" s="32" t="s">
        <v>1091</v>
      </c>
      <c r="B433" s="33" t="s">
        <v>1092</v>
      </c>
      <c r="C433" s="33" t="s">
        <v>28</v>
      </c>
      <c r="D433" s="34" t="n">
        <v>43357</v>
      </c>
      <c r="E433" s="33" t="s">
        <v>102</v>
      </c>
      <c r="F433" s="33" t="n">
        <v>21356941</v>
      </c>
      <c r="G433" s="33" t="n">
        <v>720193</v>
      </c>
      <c r="H433" s="33" t="s">
        <v>34</v>
      </c>
      <c r="I433" s="33" t="s">
        <v>174</v>
      </c>
      <c r="J433" s="33" t="s">
        <v>130</v>
      </c>
      <c r="K433" s="35" t="n">
        <v>224560863</v>
      </c>
      <c r="L433" s="33" t="s">
        <v>1090</v>
      </c>
      <c r="M433" s="33" t="n">
        <v>103256577</v>
      </c>
      <c r="N433" s="36" t="n">
        <v>0</v>
      </c>
      <c r="O433" s="37" t="n">
        <v>0</v>
      </c>
    </row>
    <row r="434" customFormat="false" ht="15" hidden="false" customHeight="false" outlineLevel="0" collapsed="false">
      <c r="A434" s="32" t="s">
        <v>1093</v>
      </c>
      <c r="B434" s="33" t="s">
        <v>1094</v>
      </c>
      <c r="C434" s="33" t="s">
        <v>28</v>
      </c>
      <c r="D434" s="34" t="n">
        <v>43356</v>
      </c>
      <c r="E434" s="33" t="s">
        <v>102</v>
      </c>
      <c r="F434" s="33" t="n">
        <v>21356941</v>
      </c>
      <c r="G434" s="33" t="n">
        <v>720193</v>
      </c>
      <c r="H434" s="33" t="s">
        <v>34</v>
      </c>
      <c r="I434" s="33" t="s">
        <v>174</v>
      </c>
      <c r="J434" s="33" t="s">
        <v>130</v>
      </c>
      <c r="K434" s="35" t="n">
        <v>224560863</v>
      </c>
      <c r="L434" s="33" t="s">
        <v>1090</v>
      </c>
      <c r="M434" s="33" t="n">
        <v>103256577</v>
      </c>
      <c r="N434" s="36" t="n">
        <v>0</v>
      </c>
      <c r="O434" s="37" t="n">
        <v>0</v>
      </c>
    </row>
    <row r="435" customFormat="false" ht="15" hidden="false" customHeight="false" outlineLevel="0" collapsed="false">
      <c r="A435" s="32" t="s">
        <v>1095</v>
      </c>
      <c r="B435" s="33" t="s">
        <v>1096</v>
      </c>
      <c r="C435" s="33" t="s">
        <v>28</v>
      </c>
      <c r="D435" s="34" t="n">
        <v>43355</v>
      </c>
      <c r="E435" s="33" t="s">
        <v>102</v>
      </c>
      <c r="F435" s="33" t="n">
        <v>21356941</v>
      </c>
      <c r="G435" s="33" t="n">
        <v>720193</v>
      </c>
      <c r="H435" s="33" t="s">
        <v>34</v>
      </c>
      <c r="I435" s="33" t="s">
        <v>174</v>
      </c>
      <c r="J435" s="33" t="s">
        <v>130</v>
      </c>
      <c r="K435" s="35" t="n">
        <v>224560863</v>
      </c>
      <c r="L435" s="33" t="s">
        <v>1090</v>
      </c>
      <c r="M435" s="33" t="n">
        <v>103256577</v>
      </c>
      <c r="N435" s="36" t="n">
        <v>0</v>
      </c>
      <c r="O435" s="37" t="n">
        <v>0</v>
      </c>
    </row>
    <row r="436" customFormat="false" ht="15" hidden="false" customHeight="false" outlineLevel="0" collapsed="false">
      <c r="A436" s="32" t="s">
        <v>1097</v>
      </c>
      <c r="B436" s="33" t="s">
        <v>1098</v>
      </c>
      <c r="C436" s="33" t="s">
        <v>28</v>
      </c>
      <c r="D436" s="34" t="n">
        <v>43354</v>
      </c>
      <c r="E436" s="33" t="s">
        <v>102</v>
      </c>
      <c r="F436" s="33" t="n">
        <v>21356941</v>
      </c>
      <c r="G436" s="33" t="n">
        <v>720193</v>
      </c>
      <c r="H436" s="33" t="s">
        <v>34</v>
      </c>
      <c r="I436" s="33" t="s">
        <v>174</v>
      </c>
      <c r="J436" s="33" t="s">
        <v>130</v>
      </c>
      <c r="K436" s="35" t="n">
        <v>224560863</v>
      </c>
      <c r="L436" s="33" t="s">
        <v>1090</v>
      </c>
      <c r="M436" s="33" t="n">
        <v>103256577</v>
      </c>
      <c r="N436" s="36" t="n">
        <v>0</v>
      </c>
      <c r="O436" s="37" t="n">
        <v>0</v>
      </c>
    </row>
    <row r="437" customFormat="false" ht="15" hidden="false" customHeight="false" outlineLevel="0" collapsed="false">
      <c r="A437" s="32" t="s">
        <v>1099</v>
      </c>
      <c r="B437" s="33" t="s">
        <v>1100</v>
      </c>
      <c r="C437" s="33" t="s">
        <v>28</v>
      </c>
      <c r="D437" s="34" t="n">
        <v>43353</v>
      </c>
      <c r="E437" s="33" t="s">
        <v>102</v>
      </c>
      <c r="F437" s="33" t="n">
        <v>21356941</v>
      </c>
      <c r="G437" s="33" t="n">
        <v>720193</v>
      </c>
      <c r="H437" s="33" t="s">
        <v>34</v>
      </c>
      <c r="I437" s="33" t="s">
        <v>174</v>
      </c>
      <c r="J437" s="33" t="s">
        <v>130</v>
      </c>
      <c r="K437" s="35" t="n">
        <v>224560863</v>
      </c>
      <c r="L437" s="33" t="s">
        <v>1090</v>
      </c>
      <c r="M437" s="33" t="n">
        <v>103256577</v>
      </c>
      <c r="N437" s="36" t="n">
        <v>7</v>
      </c>
      <c r="O437" s="37" t="n">
        <v>0.05</v>
      </c>
    </row>
    <row r="438" customFormat="false" ht="15" hidden="false" customHeight="false" outlineLevel="0" collapsed="false">
      <c r="A438" s="32" t="s">
        <v>1101</v>
      </c>
      <c r="B438" s="33" t="s">
        <v>1102</v>
      </c>
      <c r="C438" s="33" t="s">
        <v>28</v>
      </c>
      <c r="D438" s="34" t="n">
        <v>43352</v>
      </c>
      <c r="E438" s="33" t="s">
        <v>102</v>
      </c>
      <c r="F438" s="33" t="n">
        <v>21356941</v>
      </c>
      <c r="G438" s="33" t="n">
        <v>720193</v>
      </c>
      <c r="H438" s="33" t="s">
        <v>34</v>
      </c>
      <c r="I438" s="33" t="s">
        <v>174</v>
      </c>
      <c r="J438" s="33" t="s">
        <v>130</v>
      </c>
      <c r="K438" s="35" t="n">
        <v>224560863</v>
      </c>
      <c r="L438" s="33" t="s">
        <v>1090</v>
      </c>
      <c r="M438" s="33" t="n">
        <v>103256577</v>
      </c>
      <c r="N438" s="36" t="n">
        <v>86</v>
      </c>
      <c r="O438" s="37" t="n">
        <v>0.41</v>
      </c>
    </row>
    <row r="439" customFormat="false" ht="15" hidden="false" customHeight="false" outlineLevel="0" collapsed="false">
      <c r="A439" s="32" t="s">
        <v>1103</v>
      </c>
      <c r="B439" s="33" t="s">
        <v>1104</v>
      </c>
      <c r="C439" s="33" t="s">
        <v>28</v>
      </c>
      <c r="D439" s="34" t="n">
        <v>43358</v>
      </c>
      <c r="E439" s="33" t="s">
        <v>102</v>
      </c>
      <c r="F439" s="33" t="n">
        <v>21356941</v>
      </c>
      <c r="G439" s="33" t="n">
        <v>720193</v>
      </c>
      <c r="H439" s="33" t="s">
        <v>34</v>
      </c>
      <c r="I439" s="33" t="s">
        <v>174</v>
      </c>
      <c r="J439" s="33" t="s">
        <v>132</v>
      </c>
      <c r="K439" s="35" t="n">
        <v>226359947</v>
      </c>
      <c r="L439" s="33" t="s">
        <v>1105</v>
      </c>
      <c r="M439" s="33" t="n">
        <v>104537813</v>
      </c>
      <c r="N439" s="36" t="n">
        <v>174</v>
      </c>
      <c r="O439" s="37" t="n">
        <v>1.17</v>
      </c>
    </row>
    <row r="440" customFormat="false" ht="15" hidden="false" customHeight="false" outlineLevel="0" collapsed="false">
      <c r="A440" s="32" t="s">
        <v>1106</v>
      </c>
      <c r="B440" s="33" t="s">
        <v>1107</v>
      </c>
      <c r="C440" s="33" t="s">
        <v>28</v>
      </c>
      <c r="D440" s="34" t="n">
        <v>43357</v>
      </c>
      <c r="E440" s="33" t="s">
        <v>102</v>
      </c>
      <c r="F440" s="33" t="n">
        <v>21356941</v>
      </c>
      <c r="G440" s="33" t="n">
        <v>720193</v>
      </c>
      <c r="H440" s="33" t="s">
        <v>34</v>
      </c>
      <c r="I440" s="33" t="s">
        <v>174</v>
      </c>
      <c r="J440" s="33" t="s">
        <v>132</v>
      </c>
      <c r="K440" s="35" t="n">
        <v>226359947</v>
      </c>
      <c r="L440" s="33" t="s">
        <v>1105</v>
      </c>
      <c r="M440" s="33" t="n">
        <v>104537813</v>
      </c>
      <c r="N440" s="36" t="n">
        <v>114</v>
      </c>
      <c r="O440" s="37" t="n">
        <v>0.7</v>
      </c>
    </row>
    <row r="441" customFormat="false" ht="15" hidden="false" customHeight="false" outlineLevel="0" collapsed="false">
      <c r="A441" s="32" t="s">
        <v>1108</v>
      </c>
      <c r="B441" s="33" t="s">
        <v>1109</v>
      </c>
      <c r="C441" s="33" t="s">
        <v>28</v>
      </c>
      <c r="D441" s="34" t="n">
        <v>43356</v>
      </c>
      <c r="E441" s="33" t="s">
        <v>102</v>
      </c>
      <c r="F441" s="33" t="n">
        <v>21356941</v>
      </c>
      <c r="G441" s="33" t="n">
        <v>720193</v>
      </c>
      <c r="H441" s="33" t="s">
        <v>34</v>
      </c>
      <c r="I441" s="33" t="s">
        <v>174</v>
      </c>
      <c r="J441" s="33" t="s">
        <v>132</v>
      </c>
      <c r="K441" s="35" t="n">
        <v>226359947</v>
      </c>
      <c r="L441" s="33" t="s">
        <v>1105</v>
      </c>
      <c r="M441" s="33" t="n">
        <v>104537813</v>
      </c>
      <c r="N441" s="36" t="n">
        <v>63</v>
      </c>
      <c r="O441" s="37" t="n">
        <v>0.53</v>
      </c>
    </row>
    <row r="442" customFormat="false" ht="15" hidden="false" customHeight="false" outlineLevel="0" collapsed="false">
      <c r="A442" s="32" t="s">
        <v>1110</v>
      </c>
      <c r="B442" s="33" t="s">
        <v>1111</v>
      </c>
      <c r="C442" s="33" t="s">
        <v>28</v>
      </c>
      <c r="D442" s="34" t="n">
        <v>43355</v>
      </c>
      <c r="E442" s="33" t="s">
        <v>102</v>
      </c>
      <c r="F442" s="33" t="n">
        <v>21356941</v>
      </c>
      <c r="G442" s="33" t="n">
        <v>720193</v>
      </c>
      <c r="H442" s="33" t="s">
        <v>34</v>
      </c>
      <c r="I442" s="33" t="s">
        <v>174</v>
      </c>
      <c r="J442" s="33" t="s">
        <v>132</v>
      </c>
      <c r="K442" s="35" t="n">
        <v>226359947</v>
      </c>
      <c r="L442" s="33" t="s">
        <v>1105</v>
      </c>
      <c r="M442" s="33" t="n">
        <v>104537813</v>
      </c>
      <c r="N442" s="36" t="n">
        <v>53</v>
      </c>
      <c r="O442" s="37" t="n">
        <v>0.43</v>
      </c>
    </row>
    <row r="443" customFormat="false" ht="15" hidden="false" customHeight="false" outlineLevel="0" collapsed="false">
      <c r="A443" s="32" t="s">
        <v>1112</v>
      </c>
      <c r="B443" s="33" t="s">
        <v>1113</v>
      </c>
      <c r="C443" s="33" t="s">
        <v>28</v>
      </c>
      <c r="D443" s="34" t="n">
        <v>43354</v>
      </c>
      <c r="E443" s="33" t="s">
        <v>102</v>
      </c>
      <c r="F443" s="33" t="n">
        <v>21356941</v>
      </c>
      <c r="G443" s="33" t="n">
        <v>720193</v>
      </c>
      <c r="H443" s="33" t="s">
        <v>34</v>
      </c>
      <c r="I443" s="33" t="s">
        <v>174</v>
      </c>
      <c r="J443" s="33" t="s">
        <v>132</v>
      </c>
      <c r="K443" s="35" t="n">
        <v>226359947</v>
      </c>
      <c r="L443" s="33" t="s">
        <v>1105</v>
      </c>
      <c r="M443" s="33" t="n">
        <v>104537813</v>
      </c>
      <c r="N443" s="36" t="n">
        <v>4</v>
      </c>
      <c r="O443" s="37" t="n">
        <v>0.01</v>
      </c>
    </row>
    <row r="444" customFormat="false" ht="15" hidden="false" customHeight="false" outlineLevel="0" collapsed="false">
      <c r="A444" s="32" t="s">
        <v>1114</v>
      </c>
      <c r="B444" s="33" t="s">
        <v>1115</v>
      </c>
      <c r="C444" s="33" t="s">
        <v>28</v>
      </c>
      <c r="D444" s="34" t="n">
        <v>43353</v>
      </c>
      <c r="E444" s="33" t="s">
        <v>102</v>
      </c>
      <c r="F444" s="33" t="n">
        <v>21356941</v>
      </c>
      <c r="G444" s="33" t="n">
        <v>720193</v>
      </c>
      <c r="H444" s="33" t="s">
        <v>34</v>
      </c>
      <c r="I444" s="33" t="s">
        <v>174</v>
      </c>
      <c r="J444" s="33" t="s">
        <v>132</v>
      </c>
      <c r="K444" s="35" t="n">
        <v>226359947</v>
      </c>
      <c r="L444" s="33" t="s">
        <v>1105</v>
      </c>
      <c r="M444" s="33" t="n">
        <v>104537813</v>
      </c>
      <c r="N444" s="36" t="n">
        <v>3</v>
      </c>
      <c r="O444" s="37" t="n">
        <v>0.02</v>
      </c>
    </row>
    <row r="445" customFormat="false" ht="15" hidden="false" customHeight="false" outlineLevel="0" collapsed="false">
      <c r="A445" s="32" t="s">
        <v>1116</v>
      </c>
      <c r="B445" s="33" t="s">
        <v>1117</v>
      </c>
      <c r="C445" s="33" t="s">
        <v>28</v>
      </c>
      <c r="D445" s="34" t="n">
        <v>43352</v>
      </c>
      <c r="E445" s="33" t="s">
        <v>102</v>
      </c>
      <c r="F445" s="33" t="n">
        <v>21356941</v>
      </c>
      <c r="G445" s="33" t="n">
        <v>720193</v>
      </c>
      <c r="H445" s="33" t="s">
        <v>34</v>
      </c>
      <c r="I445" s="33" t="s">
        <v>174</v>
      </c>
      <c r="J445" s="33" t="s">
        <v>132</v>
      </c>
      <c r="K445" s="35" t="n">
        <v>226359947</v>
      </c>
      <c r="L445" s="33" t="s">
        <v>1105</v>
      </c>
      <c r="M445" s="33" t="n">
        <v>104537813</v>
      </c>
      <c r="N445" s="36" t="n">
        <v>7</v>
      </c>
      <c r="O445" s="37" t="n">
        <v>0.05</v>
      </c>
    </row>
    <row r="446" customFormat="false" ht="15" hidden="false" customHeight="false" outlineLevel="0" collapsed="false">
      <c r="A446" s="32" t="s">
        <v>1118</v>
      </c>
      <c r="B446" s="33" t="s">
        <v>1119</v>
      </c>
      <c r="C446" s="33" t="s">
        <v>28</v>
      </c>
      <c r="D446" s="34" t="n">
        <v>43358</v>
      </c>
      <c r="E446" s="33" t="s">
        <v>102</v>
      </c>
      <c r="F446" s="33" t="n">
        <v>21356941</v>
      </c>
      <c r="G446" s="33" t="n">
        <v>720193</v>
      </c>
      <c r="H446" s="33" t="s">
        <v>34</v>
      </c>
      <c r="I446" s="33" t="s">
        <v>174</v>
      </c>
      <c r="J446" s="33" t="s">
        <v>133</v>
      </c>
      <c r="K446" s="35" t="n">
        <v>226359953</v>
      </c>
      <c r="L446" s="33" t="s">
        <v>1120</v>
      </c>
      <c r="M446" s="33" t="n">
        <v>104537129</v>
      </c>
      <c r="N446" s="36" t="n">
        <v>10</v>
      </c>
      <c r="O446" s="37" t="n">
        <v>0.08</v>
      </c>
    </row>
    <row r="447" customFormat="false" ht="15" hidden="false" customHeight="false" outlineLevel="0" collapsed="false">
      <c r="A447" s="32" t="s">
        <v>1121</v>
      </c>
      <c r="B447" s="33" t="s">
        <v>1122</v>
      </c>
      <c r="C447" s="33" t="s">
        <v>28</v>
      </c>
      <c r="D447" s="34" t="n">
        <v>43357</v>
      </c>
      <c r="E447" s="33" t="s">
        <v>102</v>
      </c>
      <c r="F447" s="33" t="n">
        <v>21356941</v>
      </c>
      <c r="G447" s="33" t="n">
        <v>720193</v>
      </c>
      <c r="H447" s="33" t="s">
        <v>34</v>
      </c>
      <c r="I447" s="33" t="s">
        <v>174</v>
      </c>
      <c r="J447" s="33" t="s">
        <v>133</v>
      </c>
      <c r="K447" s="35" t="n">
        <v>226359953</v>
      </c>
      <c r="L447" s="33" t="s">
        <v>1120</v>
      </c>
      <c r="M447" s="33" t="n">
        <v>104537129</v>
      </c>
      <c r="N447" s="36" t="n">
        <v>5</v>
      </c>
      <c r="O447" s="37" t="n">
        <v>0.02</v>
      </c>
    </row>
    <row r="448" customFormat="false" ht="15" hidden="false" customHeight="false" outlineLevel="0" collapsed="false">
      <c r="A448" s="32" t="s">
        <v>1123</v>
      </c>
      <c r="B448" s="33" t="s">
        <v>1124</v>
      </c>
      <c r="C448" s="33" t="s">
        <v>28</v>
      </c>
      <c r="D448" s="34" t="n">
        <v>43356</v>
      </c>
      <c r="E448" s="33" t="s">
        <v>102</v>
      </c>
      <c r="F448" s="33" t="n">
        <v>21356941</v>
      </c>
      <c r="G448" s="33" t="n">
        <v>720193</v>
      </c>
      <c r="H448" s="33" t="s">
        <v>34</v>
      </c>
      <c r="I448" s="33" t="s">
        <v>174</v>
      </c>
      <c r="J448" s="33" t="s">
        <v>133</v>
      </c>
      <c r="K448" s="35" t="n">
        <v>226359953</v>
      </c>
      <c r="L448" s="33" t="s">
        <v>1120</v>
      </c>
      <c r="M448" s="33" t="n">
        <v>104537129</v>
      </c>
      <c r="N448" s="36" t="n">
        <v>3</v>
      </c>
      <c r="O448" s="37" t="n">
        <v>0.02</v>
      </c>
    </row>
    <row r="449" customFormat="false" ht="15" hidden="false" customHeight="false" outlineLevel="0" collapsed="false">
      <c r="A449" s="32" t="s">
        <v>1125</v>
      </c>
      <c r="B449" s="33" t="s">
        <v>1126</v>
      </c>
      <c r="C449" s="33" t="s">
        <v>28</v>
      </c>
      <c r="D449" s="34" t="n">
        <v>43355</v>
      </c>
      <c r="E449" s="33" t="s">
        <v>102</v>
      </c>
      <c r="F449" s="33" t="n">
        <v>21356941</v>
      </c>
      <c r="G449" s="33" t="n">
        <v>720193</v>
      </c>
      <c r="H449" s="33" t="s">
        <v>34</v>
      </c>
      <c r="I449" s="33" t="s">
        <v>174</v>
      </c>
      <c r="J449" s="33" t="s">
        <v>133</v>
      </c>
      <c r="K449" s="35" t="n">
        <v>226359953</v>
      </c>
      <c r="L449" s="33" t="s">
        <v>1120</v>
      </c>
      <c r="M449" s="33" t="n">
        <v>104537129</v>
      </c>
      <c r="N449" s="36" t="n">
        <v>5</v>
      </c>
      <c r="O449" s="37" t="n">
        <v>0.02</v>
      </c>
    </row>
    <row r="450" customFormat="false" ht="15" hidden="false" customHeight="false" outlineLevel="0" collapsed="false">
      <c r="A450" s="32" t="s">
        <v>1127</v>
      </c>
      <c r="B450" s="33" t="s">
        <v>1128</v>
      </c>
      <c r="C450" s="33" t="s">
        <v>28</v>
      </c>
      <c r="D450" s="34" t="n">
        <v>43354</v>
      </c>
      <c r="E450" s="33" t="s">
        <v>102</v>
      </c>
      <c r="F450" s="33" t="n">
        <v>21356941</v>
      </c>
      <c r="G450" s="33" t="n">
        <v>720193</v>
      </c>
      <c r="H450" s="33" t="s">
        <v>34</v>
      </c>
      <c r="I450" s="33" t="s">
        <v>174</v>
      </c>
      <c r="J450" s="33" t="s">
        <v>133</v>
      </c>
      <c r="K450" s="35" t="n">
        <v>226359953</v>
      </c>
      <c r="L450" s="33" t="s">
        <v>1120</v>
      </c>
      <c r="M450" s="33" t="n">
        <v>104537129</v>
      </c>
      <c r="N450" s="36" t="n">
        <v>6</v>
      </c>
      <c r="O450" s="37" t="n">
        <v>0.04</v>
      </c>
    </row>
    <row r="451" customFormat="false" ht="15" hidden="false" customHeight="false" outlineLevel="0" collapsed="false">
      <c r="A451" s="32" t="s">
        <v>1129</v>
      </c>
      <c r="B451" s="33" t="s">
        <v>1130</v>
      </c>
      <c r="C451" s="33" t="s">
        <v>28</v>
      </c>
      <c r="D451" s="34" t="n">
        <v>43353</v>
      </c>
      <c r="E451" s="33" t="s">
        <v>102</v>
      </c>
      <c r="F451" s="33" t="n">
        <v>21356941</v>
      </c>
      <c r="G451" s="33" t="n">
        <v>720193</v>
      </c>
      <c r="H451" s="33" t="s">
        <v>34</v>
      </c>
      <c r="I451" s="33" t="s">
        <v>174</v>
      </c>
      <c r="J451" s="33" t="s">
        <v>133</v>
      </c>
      <c r="K451" s="35" t="n">
        <v>226359953</v>
      </c>
      <c r="L451" s="33" t="s">
        <v>1120</v>
      </c>
      <c r="M451" s="33" t="n">
        <v>104537129</v>
      </c>
      <c r="N451" s="36" t="n">
        <v>6</v>
      </c>
      <c r="O451" s="37" t="n">
        <v>0.04</v>
      </c>
    </row>
    <row r="452" customFormat="false" ht="15" hidden="false" customHeight="false" outlineLevel="0" collapsed="false">
      <c r="A452" s="32" t="s">
        <v>1131</v>
      </c>
      <c r="B452" s="33" t="s">
        <v>1132</v>
      </c>
      <c r="C452" s="33" t="s">
        <v>28</v>
      </c>
      <c r="D452" s="34" t="n">
        <v>43352</v>
      </c>
      <c r="E452" s="33" t="s">
        <v>102</v>
      </c>
      <c r="F452" s="33" t="n">
        <v>21356941</v>
      </c>
      <c r="G452" s="33" t="n">
        <v>720193</v>
      </c>
      <c r="H452" s="33" t="s">
        <v>34</v>
      </c>
      <c r="I452" s="33" t="s">
        <v>174</v>
      </c>
      <c r="J452" s="33" t="s">
        <v>133</v>
      </c>
      <c r="K452" s="35" t="n">
        <v>226359953</v>
      </c>
      <c r="L452" s="33" t="s">
        <v>1120</v>
      </c>
      <c r="M452" s="33" t="n">
        <v>104537129</v>
      </c>
      <c r="N452" s="36" t="n">
        <v>3</v>
      </c>
      <c r="O452" s="37" t="n">
        <v>0.02</v>
      </c>
    </row>
    <row r="453" customFormat="false" ht="15" hidden="false" customHeight="false" outlineLevel="0" collapsed="false">
      <c r="A453" s="32" t="s">
        <v>1133</v>
      </c>
      <c r="B453" s="33" t="s">
        <v>1134</v>
      </c>
      <c r="C453" s="33" t="s">
        <v>28</v>
      </c>
      <c r="D453" s="34" t="n">
        <v>43358</v>
      </c>
      <c r="E453" s="33" t="s">
        <v>102</v>
      </c>
      <c r="F453" s="33" t="n">
        <v>21356941</v>
      </c>
      <c r="G453" s="33" t="n">
        <v>720193</v>
      </c>
      <c r="H453" s="33" t="s">
        <v>34</v>
      </c>
      <c r="I453" s="33" t="s">
        <v>174</v>
      </c>
      <c r="J453" s="33" t="s">
        <v>134</v>
      </c>
      <c r="K453" s="35" t="n">
        <v>226359944</v>
      </c>
      <c r="L453" s="33" t="s">
        <v>1135</v>
      </c>
      <c r="M453" s="33" t="n">
        <v>104537816</v>
      </c>
      <c r="N453" s="36" t="n">
        <v>2</v>
      </c>
      <c r="O453" s="37" t="n">
        <v>0.02</v>
      </c>
    </row>
    <row r="454" customFormat="false" ht="15" hidden="false" customHeight="false" outlineLevel="0" collapsed="false">
      <c r="A454" s="32" t="s">
        <v>1136</v>
      </c>
      <c r="B454" s="33" t="s">
        <v>1137</v>
      </c>
      <c r="C454" s="33" t="s">
        <v>28</v>
      </c>
      <c r="D454" s="34" t="n">
        <v>43357</v>
      </c>
      <c r="E454" s="33" t="s">
        <v>102</v>
      </c>
      <c r="F454" s="33" t="n">
        <v>21356941</v>
      </c>
      <c r="G454" s="33" t="n">
        <v>720193</v>
      </c>
      <c r="H454" s="33" t="s">
        <v>34</v>
      </c>
      <c r="I454" s="33" t="s">
        <v>174</v>
      </c>
      <c r="J454" s="33" t="s">
        <v>134</v>
      </c>
      <c r="K454" s="35" t="n">
        <v>226359944</v>
      </c>
      <c r="L454" s="33" t="s">
        <v>1135</v>
      </c>
      <c r="M454" s="33" t="n">
        <v>104537816</v>
      </c>
      <c r="N454" s="36" t="n">
        <v>0</v>
      </c>
      <c r="O454" s="37" t="n">
        <v>0</v>
      </c>
    </row>
    <row r="455" customFormat="false" ht="15" hidden="false" customHeight="false" outlineLevel="0" collapsed="false">
      <c r="A455" s="32" t="s">
        <v>1138</v>
      </c>
      <c r="B455" s="33" t="s">
        <v>1139</v>
      </c>
      <c r="C455" s="33" t="s">
        <v>28</v>
      </c>
      <c r="D455" s="34" t="n">
        <v>43356</v>
      </c>
      <c r="E455" s="33" t="s">
        <v>102</v>
      </c>
      <c r="F455" s="33" t="n">
        <v>21356941</v>
      </c>
      <c r="G455" s="33" t="n">
        <v>720193</v>
      </c>
      <c r="H455" s="33" t="s">
        <v>34</v>
      </c>
      <c r="I455" s="33" t="s">
        <v>174</v>
      </c>
      <c r="J455" s="33" t="s">
        <v>134</v>
      </c>
      <c r="K455" s="35" t="n">
        <v>226359944</v>
      </c>
      <c r="L455" s="33" t="s">
        <v>1135</v>
      </c>
      <c r="M455" s="33" t="n">
        <v>104537816</v>
      </c>
      <c r="N455" s="36" t="n">
        <v>0</v>
      </c>
      <c r="O455" s="37" t="n">
        <v>0</v>
      </c>
    </row>
    <row r="456" customFormat="false" ht="15" hidden="false" customHeight="false" outlineLevel="0" collapsed="false">
      <c r="A456" s="32" t="s">
        <v>1140</v>
      </c>
      <c r="B456" s="33" t="s">
        <v>1141</v>
      </c>
      <c r="C456" s="33" t="s">
        <v>28</v>
      </c>
      <c r="D456" s="34" t="n">
        <v>43355</v>
      </c>
      <c r="E456" s="33" t="s">
        <v>102</v>
      </c>
      <c r="F456" s="33" t="n">
        <v>21356941</v>
      </c>
      <c r="G456" s="33" t="n">
        <v>720193</v>
      </c>
      <c r="H456" s="33" t="s">
        <v>34</v>
      </c>
      <c r="I456" s="33" t="s">
        <v>174</v>
      </c>
      <c r="J456" s="33" t="s">
        <v>134</v>
      </c>
      <c r="K456" s="35" t="n">
        <v>226359944</v>
      </c>
      <c r="L456" s="33" t="s">
        <v>1135</v>
      </c>
      <c r="M456" s="33" t="n">
        <v>104537816</v>
      </c>
      <c r="N456" s="36" t="n">
        <v>2</v>
      </c>
      <c r="O456" s="37" t="n">
        <v>0</v>
      </c>
    </row>
    <row r="457" customFormat="false" ht="15" hidden="false" customHeight="false" outlineLevel="0" collapsed="false">
      <c r="A457" s="32" t="s">
        <v>1142</v>
      </c>
      <c r="B457" s="33" t="s">
        <v>1143</v>
      </c>
      <c r="C457" s="33" t="s">
        <v>28</v>
      </c>
      <c r="D457" s="34" t="n">
        <v>43354</v>
      </c>
      <c r="E457" s="33" t="s">
        <v>102</v>
      </c>
      <c r="F457" s="33" t="n">
        <v>21356941</v>
      </c>
      <c r="G457" s="33" t="n">
        <v>720193</v>
      </c>
      <c r="H457" s="33" t="s">
        <v>34</v>
      </c>
      <c r="I457" s="33" t="s">
        <v>174</v>
      </c>
      <c r="J457" s="33" t="s">
        <v>134</v>
      </c>
      <c r="K457" s="35" t="n">
        <v>226359944</v>
      </c>
      <c r="L457" s="33" t="s">
        <v>1135</v>
      </c>
      <c r="M457" s="33" t="n">
        <v>104537816</v>
      </c>
      <c r="N457" s="36" t="n">
        <v>1</v>
      </c>
      <c r="O457" s="37" t="n">
        <v>0.01</v>
      </c>
    </row>
    <row r="458" customFormat="false" ht="15" hidden="false" customHeight="false" outlineLevel="0" collapsed="false">
      <c r="A458" s="32" t="s">
        <v>1144</v>
      </c>
      <c r="B458" s="33" t="s">
        <v>1145</v>
      </c>
      <c r="C458" s="33" t="s">
        <v>28</v>
      </c>
      <c r="D458" s="34" t="n">
        <v>43353</v>
      </c>
      <c r="E458" s="33" t="s">
        <v>102</v>
      </c>
      <c r="F458" s="33" t="n">
        <v>21356941</v>
      </c>
      <c r="G458" s="33" t="n">
        <v>720193</v>
      </c>
      <c r="H458" s="33" t="s">
        <v>34</v>
      </c>
      <c r="I458" s="33" t="s">
        <v>174</v>
      </c>
      <c r="J458" s="33" t="s">
        <v>134</v>
      </c>
      <c r="K458" s="35" t="n">
        <v>226359944</v>
      </c>
      <c r="L458" s="33" t="s">
        <v>1135</v>
      </c>
      <c r="M458" s="33" t="n">
        <v>104537816</v>
      </c>
      <c r="N458" s="36" t="n">
        <v>6</v>
      </c>
      <c r="O458" s="37" t="n">
        <v>0.01</v>
      </c>
    </row>
    <row r="459" customFormat="false" ht="15" hidden="false" customHeight="false" outlineLevel="0" collapsed="false">
      <c r="A459" s="32" t="s">
        <v>1146</v>
      </c>
      <c r="B459" s="33" t="s">
        <v>1147</v>
      </c>
      <c r="C459" s="33" t="s">
        <v>28</v>
      </c>
      <c r="D459" s="34" t="n">
        <v>43352</v>
      </c>
      <c r="E459" s="33" t="s">
        <v>102</v>
      </c>
      <c r="F459" s="33" t="n">
        <v>21356941</v>
      </c>
      <c r="G459" s="33" t="n">
        <v>720193</v>
      </c>
      <c r="H459" s="33" t="s">
        <v>34</v>
      </c>
      <c r="I459" s="33" t="s">
        <v>174</v>
      </c>
      <c r="J459" s="33" t="s">
        <v>134</v>
      </c>
      <c r="K459" s="35" t="n">
        <v>226359944</v>
      </c>
      <c r="L459" s="33" t="s">
        <v>1135</v>
      </c>
      <c r="M459" s="33" t="n">
        <v>104537816</v>
      </c>
      <c r="N459" s="36" t="n">
        <v>30</v>
      </c>
      <c r="O459" s="37" t="n">
        <v>0.18</v>
      </c>
    </row>
    <row r="460" customFormat="false" ht="15" hidden="false" customHeight="false" outlineLevel="0" collapsed="false">
      <c r="A460" s="32" t="s">
        <v>1148</v>
      </c>
      <c r="B460" s="33" t="s">
        <v>1149</v>
      </c>
      <c r="C460" s="33" t="s">
        <v>28</v>
      </c>
      <c r="D460" s="34" t="n">
        <v>43358</v>
      </c>
      <c r="E460" s="33" t="s">
        <v>102</v>
      </c>
      <c r="F460" s="33" t="n">
        <v>21356941</v>
      </c>
      <c r="G460" s="33" t="n">
        <v>720193</v>
      </c>
      <c r="H460" s="33" t="s">
        <v>34</v>
      </c>
      <c r="I460" s="33" t="s">
        <v>174</v>
      </c>
      <c r="J460" s="33" t="s">
        <v>135</v>
      </c>
      <c r="K460" s="35" t="n">
        <v>226359950</v>
      </c>
      <c r="L460" s="33" t="s">
        <v>1150</v>
      </c>
      <c r="M460" s="33" t="n">
        <v>104537132</v>
      </c>
      <c r="N460" s="36" t="n">
        <v>1</v>
      </c>
      <c r="O460" s="37" t="n">
        <v>0</v>
      </c>
    </row>
    <row r="461" customFormat="false" ht="15" hidden="false" customHeight="false" outlineLevel="0" collapsed="false">
      <c r="A461" s="32" t="s">
        <v>1151</v>
      </c>
      <c r="B461" s="33" t="s">
        <v>1152</v>
      </c>
      <c r="C461" s="33" t="s">
        <v>28</v>
      </c>
      <c r="D461" s="34" t="n">
        <v>43357</v>
      </c>
      <c r="E461" s="33" t="s">
        <v>102</v>
      </c>
      <c r="F461" s="33" t="n">
        <v>21356941</v>
      </c>
      <c r="G461" s="33" t="n">
        <v>720193</v>
      </c>
      <c r="H461" s="33" t="s">
        <v>34</v>
      </c>
      <c r="I461" s="33" t="s">
        <v>174</v>
      </c>
      <c r="J461" s="33" t="s">
        <v>135</v>
      </c>
      <c r="K461" s="35" t="n">
        <v>226359950</v>
      </c>
      <c r="L461" s="33" t="s">
        <v>1150</v>
      </c>
      <c r="M461" s="33" t="n">
        <v>104537132</v>
      </c>
      <c r="N461" s="36" t="n">
        <v>3</v>
      </c>
      <c r="O461" s="37" t="n">
        <v>0</v>
      </c>
    </row>
    <row r="462" customFormat="false" ht="15" hidden="false" customHeight="false" outlineLevel="0" collapsed="false">
      <c r="A462" s="32" t="s">
        <v>1153</v>
      </c>
      <c r="B462" s="33" t="s">
        <v>1154</v>
      </c>
      <c r="C462" s="33" t="s">
        <v>28</v>
      </c>
      <c r="D462" s="34" t="n">
        <v>43356</v>
      </c>
      <c r="E462" s="33" t="s">
        <v>102</v>
      </c>
      <c r="F462" s="33" t="n">
        <v>21356941</v>
      </c>
      <c r="G462" s="33" t="n">
        <v>720193</v>
      </c>
      <c r="H462" s="33" t="s">
        <v>34</v>
      </c>
      <c r="I462" s="33" t="s">
        <v>174</v>
      </c>
      <c r="J462" s="33" t="s">
        <v>135</v>
      </c>
      <c r="K462" s="35" t="n">
        <v>226359950</v>
      </c>
      <c r="L462" s="33" t="s">
        <v>1150</v>
      </c>
      <c r="M462" s="33" t="n">
        <v>104537132</v>
      </c>
      <c r="N462" s="36" t="n">
        <v>1</v>
      </c>
      <c r="O462" s="37" t="n">
        <v>0</v>
      </c>
    </row>
    <row r="463" customFormat="false" ht="15" hidden="false" customHeight="false" outlineLevel="0" collapsed="false">
      <c r="A463" s="32" t="s">
        <v>1155</v>
      </c>
      <c r="B463" s="33" t="s">
        <v>1156</v>
      </c>
      <c r="C463" s="33" t="s">
        <v>28</v>
      </c>
      <c r="D463" s="34" t="n">
        <v>43355</v>
      </c>
      <c r="E463" s="33" t="s">
        <v>102</v>
      </c>
      <c r="F463" s="33" t="n">
        <v>21356941</v>
      </c>
      <c r="G463" s="33" t="n">
        <v>720193</v>
      </c>
      <c r="H463" s="33" t="s">
        <v>34</v>
      </c>
      <c r="I463" s="33" t="s">
        <v>174</v>
      </c>
      <c r="J463" s="33" t="s">
        <v>135</v>
      </c>
      <c r="K463" s="35" t="n">
        <v>226359950</v>
      </c>
      <c r="L463" s="33" t="s">
        <v>1150</v>
      </c>
      <c r="M463" s="33" t="n">
        <v>104537132</v>
      </c>
      <c r="N463" s="36" t="n">
        <v>0</v>
      </c>
      <c r="O463" s="37" t="n">
        <v>0</v>
      </c>
    </row>
    <row r="464" customFormat="false" ht="15" hidden="false" customHeight="false" outlineLevel="0" collapsed="false">
      <c r="A464" s="32" t="s">
        <v>1157</v>
      </c>
      <c r="B464" s="33" t="s">
        <v>1158</v>
      </c>
      <c r="C464" s="33" t="s">
        <v>28</v>
      </c>
      <c r="D464" s="34" t="n">
        <v>43354</v>
      </c>
      <c r="E464" s="33" t="s">
        <v>102</v>
      </c>
      <c r="F464" s="33" t="n">
        <v>21356941</v>
      </c>
      <c r="G464" s="33" t="n">
        <v>720193</v>
      </c>
      <c r="H464" s="33" t="s">
        <v>34</v>
      </c>
      <c r="I464" s="33" t="s">
        <v>174</v>
      </c>
      <c r="J464" s="33" t="s">
        <v>135</v>
      </c>
      <c r="K464" s="35" t="n">
        <v>226359950</v>
      </c>
      <c r="L464" s="33" t="s">
        <v>1150</v>
      </c>
      <c r="M464" s="33" t="n">
        <v>104537132</v>
      </c>
      <c r="N464" s="36" t="n">
        <v>0</v>
      </c>
      <c r="O464" s="37" t="n">
        <v>0</v>
      </c>
    </row>
    <row r="465" customFormat="false" ht="15" hidden="false" customHeight="false" outlineLevel="0" collapsed="false">
      <c r="A465" s="32" t="s">
        <v>1159</v>
      </c>
      <c r="B465" s="33" t="s">
        <v>1160</v>
      </c>
      <c r="C465" s="33" t="s">
        <v>28</v>
      </c>
      <c r="D465" s="34" t="n">
        <v>43353</v>
      </c>
      <c r="E465" s="33" t="s">
        <v>102</v>
      </c>
      <c r="F465" s="33" t="n">
        <v>21356941</v>
      </c>
      <c r="G465" s="33" t="n">
        <v>720193</v>
      </c>
      <c r="H465" s="33" t="s">
        <v>34</v>
      </c>
      <c r="I465" s="33" t="s">
        <v>174</v>
      </c>
      <c r="J465" s="33" t="s">
        <v>135</v>
      </c>
      <c r="K465" s="35" t="n">
        <v>226359950</v>
      </c>
      <c r="L465" s="33" t="s">
        <v>1150</v>
      </c>
      <c r="M465" s="33" t="n">
        <v>104537132</v>
      </c>
      <c r="N465" s="36" t="n">
        <v>5</v>
      </c>
      <c r="O465" s="37" t="n">
        <v>0.05</v>
      </c>
    </row>
    <row r="466" customFormat="false" ht="15" hidden="false" customHeight="false" outlineLevel="0" collapsed="false">
      <c r="A466" s="32" t="s">
        <v>1161</v>
      </c>
      <c r="B466" s="33" t="s">
        <v>1162</v>
      </c>
      <c r="C466" s="33" t="s">
        <v>28</v>
      </c>
      <c r="D466" s="34" t="n">
        <v>43352</v>
      </c>
      <c r="E466" s="33" t="s">
        <v>102</v>
      </c>
      <c r="F466" s="33" t="n">
        <v>21356941</v>
      </c>
      <c r="G466" s="33" t="n">
        <v>720193</v>
      </c>
      <c r="H466" s="33" t="s">
        <v>34</v>
      </c>
      <c r="I466" s="33" t="s">
        <v>174</v>
      </c>
      <c r="J466" s="33" t="s">
        <v>135</v>
      </c>
      <c r="K466" s="35" t="n">
        <v>226359950</v>
      </c>
      <c r="L466" s="33" t="s">
        <v>1150</v>
      </c>
      <c r="M466" s="33" t="n">
        <v>104537132</v>
      </c>
      <c r="N466" s="36" t="n">
        <v>9</v>
      </c>
      <c r="O466" s="37" t="n">
        <v>0.02</v>
      </c>
    </row>
    <row r="467" customFormat="false" ht="15" hidden="false" customHeight="false" outlineLevel="0" collapsed="false">
      <c r="A467" s="32" t="s">
        <v>1163</v>
      </c>
      <c r="B467" s="33" t="s">
        <v>1164</v>
      </c>
      <c r="C467" s="33" t="s">
        <v>28</v>
      </c>
      <c r="D467" s="34" t="n">
        <v>43358</v>
      </c>
      <c r="E467" s="33" t="s">
        <v>102</v>
      </c>
      <c r="F467" s="33" t="n">
        <v>21356941</v>
      </c>
      <c r="G467" s="33" t="n">
        <v>720193</v>
      </c>
      <c r="H467" s="33" t="s">
        <v>34</v>
      </c>
      <c r="I467" s="33" t="s">
        <v>174</v>
      </c>
      <c r="J467" s="33" t="s">
        <v>136</v>
      </c>
      <c r="K467" s="35" t="n">
        <v>226360019</v>
      </c>
      <c r="L467" s="33" t="s">
        <v>1105</v>
      </c>
      <c r="M467" s="33" t="n">
        <v>104537813</v>
      </c>
      <c r="N467" s="36" t="n">
        <v>0</v>
      </c>
      <c r="O467" s="37" t="n">
        <v>0</v>
      </c>
    </row>
    <row r="468" customFormat="false" ht="15" hidden="false" customHeight="false" outlineLevel="0" collapsed="false">
      <c r="A468" s="32" t="s">
        <v>1165</v>
      </c>
      <c r="B468" s="33" t="s">
        <v>1166</v>
      </c>
      <c r="C468" s="33" t="s">
        <v>28</v>
      </c>
      <c r="D468" s="34" t="n">
        <v>43357</v>
      </c>
      <c r="E468" s="33" t="s">
        <v>102</v>
      </c>
      <c r="F468" s="33" t="n">
        <v>21356941</v>
      </c>
      <c r="G468" s="33" t="n">
        <v>720193</v>
      </c>
      <c r="H468" s="33" t="s">
        <v>34</v>
      </c>
      <c r="I468" s="33" t="s">
        <v>174</v>
      </c>
      <c r="J468" s="33" t="s">
        <v>136</v>
      </c>
      <c r="K468" s="35" t="n">
        <v>226360019</v>
      </c>
      <c r="L468" s="33" t="s">
        <v>1105</v>
      </c>
      <c r="M468" s="33" t="n">
        <v>104537813</v>
      </c>
      <c r="N468" s="36" t="n">
        <v>0</v>
      </c>
      <c r="O468" s="37" t="n">
        <v>0</v>
      </c>
    </row>
    <row r="469" customFormat="false" ht="15" hidden="false" customHeight="false" outlineLevel="0" collapsed="false">
      <c r="A469" s="32" t="s">
        <v>1167</v>
      </c>
      <c r="B469" s="33" t="s">
        <v>1168</v>
      </c>
      <c r="C469" s="33" t="s">
        <v>28</v>
      </c>
      <c r="D469" s="34" t="n">
        <v>43356</v>
      </c>
      <c r="E469" s="33" t="s">
        <v>102</v>
      </c>
      <c r="F469" s="33" t="n">
        <v>21356941</v>
      </c>
      <c r="G469" s="33" t="n">
        <v>720193</v>
      </c>
      <c r="H469" s="33" t="s">
        <v>34</v>
      </c>
      <c r="I469" s="33" t="s">
        <v>174</v>
      </c>
      <c r="J469" s="33" t="s">
        <v>136</v>
      </c>
      <c r="K469" s="35" t="n">
        <v>226360019</v>
      </c>
      <c r="L469" s="33" t="s">
        <v>1105</v>
      </c>
      <c r="M469" s="33" t="n">
        <v>104537813</v>
      </c>
      <c r="N469" s="36" t="n">
        <v>0</v>
      </c>
      <c r="O469" s="37" t="n">
        <v>0</v>
      </c>
    </row>
    <row r="470" customFormat="false" ht="15" hidden="false" customHeight="false" outlineLevel="0" collapsed="false">
      <c r="A470" s="32" t="s">
        <v>1169</v>
      </c>
      <c r="B470" s="33" t="s">
        <v>1170</v>
      </c>
      <c r="C470" s="33" t="s">
        <v>28</v>
      </c>
      <c r="D470" s="34" t="n">
        <v>43355</v>
      </c>
      <c r="E470" s="33" t="s">
        <v>102</v>
      </c>
      <c r="F470" s="33" t="n">
        <v>21356941</v>
      </c>
      <c r="G470" s="33" t="n">
        <v>720193</v>
      </c>
      <c r="H470" s="33" t="s">
        <v>34</v>
      </c>
      <c r="I470" s="33" t="s">
        <v>174</v>
      </c>
      <c r="J470" s="33" t="s">
        <v>136</v>
      </c>
      <c r="K470" s="35" t="n">
        <v>226360019</v>
      </c>
      <c r="L470" s="33" t="s">
        <v>1105</v>
      </c>
      <c r="M470" s="33" t="n">
        <v>104537813</v>
      </c>
      <c r="N470" s="36" t="n">
        <v>0</v>
      </c>
      <c r="O470" s="37" t="n">
        <v>0</v>
      </c>
    </row>
    <row r="471" customFormat="false" ht="15" hidden="false" customHeight="false" outlineLevel="0" collapsed="false">
      <c r="A471" s="32" t="s">
        <v>1171</v>
      </c>
      <c r="B471" s="33" t="s">
        <v>1172</v>
      </c>
      <c r="C471" s="33" t="s">
        <v>28</v>
      </c>
      <c r="D471" s="34" t="n">
        <v>43354</v>
      </c>
      <c r="E471" s="33" t="s">
        <v>102</v>
      </c>
      <c r="F471" s="33" t="n">
        <v>21356941</v>
      </c>
      <c r="G471" s="33" t="n">
        <v>720193</v>
      </c>
      <c r="H471" s="33" t="s">
        <v>34</v>
      </c>
      <c r="I471" s="33" t="s">
        <v>174</v>
      </c>
      <c r="J471" s="33" t="s">
        <v>136</v>
      </c>
      <c r="K471" s="35" t="n">
        <v>226360019</v>
      </c>
      <c r="L471" s="33" t="s">
        <v>1105</v>
      </c>
      <c r="M471" s="33" t="n">
        <v>104537813</v>
      </c>
      <c r="N471" s="36" t="n">
        <v>0</v>
      </c>
      <c r="O471" s="37" t="n">
        <v>0</v>
      </c>
    </row>
    <row r="472" customFormat="false" ht="15" hidden="false" customHeight="false" outlineLevel="0" collapsed="false">
      <c r="A472" s="32" t="s">
        <v>1173</v>
      </c>
      <c r="B472" s="33" t="s">
        <v>1174</v>
      </c>
      <c r="C472" s="33" t="s">
        <v>28</v>
      </c>
      <c r="D472" s="34" t="n">
        <v>43353</v>
      </c>
      <c r="E472" s="33" t="s">
        <v>102</v>
      </c>
      <c r="F472" s="33" t="n">
        <v>21356941</v>
      </c>
      <c r="G472" s="33" t="n">
        <v>720193</v>
      </c>
      <c r="H472" s="33" t="s">
        <v>34</v>
      </c>
      <c r="I472" s="33" t="s">
        <v>174</v>
      </c>
      <c r="J472" s="33" t="s">
        <v>136</v>
      </c>
      <c r="K472" s="35" t="n">
        <v>226360019</v>
      </c>
      <c r="L472" s="33" t="s">
        <v>1105</v>
      </c>
      <c r="M472" s="33" t="n">
        <v>104537813</v>
      </c>
      <c r="N472" s="36" t="n">
        <v>0</v>
      </c>
      <c r="O472" s="37" t="n">
        <v>0</v>
      </c>
    </row>
    <row r="473" customFormat="false" ht="15" hidden="false" customHeight="false" outlineLevel="0" collapsed="false">
      <c r="A473" s="32" t="s">
        <v>1175</v>
      </c>
      <c r="B473" s="33" t="s">
        <v>1176</v>
      </c>
      <c r="C473" s="33" t="s">
        <v>28</v>
      </c>
      <c r="D473" s="34" t="n">
        <v>43352</v>
      </c>
      <c r="E473" s="33" t="s">
        <v>102</v>
      </c>
      <c r="F473" s="33" t="n">
        <v>21356941</v>
      </c>
      <c r="G473" s="33" t="n">
        <v>720193</v>
      </c>
      <c r="H473" s="33" t="s">
        <v>34</v>
      </c>
      <c r="I473" s="33" t="s">
        <v>174</v>
      </c>
      <c r="J473" s="33" t="s">
        <v>136</v>
      </c>
      <c r="K473" s="35" t="n">
        <v>226360019</v>
      </c>
      <c r="L473" s="33" t="s">
        <v>1105</v>
      </c>
      <c r="M473" s="33" t="n">
        <v>104537813</v>
      </c>
      <c r="N473" s="36" t="n">
        <v>0</v>
      </c>
      <c r="O473" s="37" t="n">
        <v>0</v>
      </c>
    </row>
    <row r="474" customFormat="false" ht="15" hidden="false" customHeight="false" outlineLevel="0" collapsed="false">
      <c r="A474" s="32" t="s">
        <v>1177</v>
      </c>
      <c r="B474" s="33" t="s">
        <v>1178</v>
      </c>
      <c r="C474" s="33" t="s">
        <v>28</v>
      </c>
      <c r="D474" s="34" t="n">
        <v>43358</v>
      </c>
      <c r="E474" s="33" t="s">
        <v>102</v>
      </c>
      <c r="F474" s="33" t="n">
        <v>21356941</v>
      </c>
      <c r="G474" s="33" t="n">
        <v>720193</v>
      </c>
      <c r="H474" s="33" t="s">
        <v>34</v>
      </c>
      <c r="I474" s="33" t="s">
        <v>174</v>
      </c>
      <c r="J474" s="33" t="s">
        <v>137</v>
      </c>
      <c r="K474" s="35" t="n">
        <v>226359881</v>
      </c>
      <c r="L474" s="33" t="s">
        <v>1105</v>
      </c>
      <c r="M474" s="33" t="n">
        <v>104537813</v>
      </c>
      <c r="N474" s="36" t="n">
        <v>0</v>
      </c>
      <c r="O474" s="37" t="n">
        <v>0</v>
      </c>
    </row>
    <row r="475" customFormat="false" ht="15" hidden="false" customHeight="false" outlineLevel="0" collapsed="false">
      <c r="A475" s="32" t="s">
        <v>1179</v>
      </c>
      <c r="B475" s="33" t="s">
        <v>1180</v>
      </c>
      <c r="C475" s="33" t="s">
        <v>28</v>
      </c>
      <c r="D475" s="34" t="n">
        <v>43357</v>
      </c>
      <c r="E475" s="33" t="s">
        <v>102</v>
      </c>
      <c r="F475" s="33" t="n">
        <v>21356941</v>
      </c>
      <c r="G475" s="33" t="n">
        <v>720193</v>
      </c>
      <c r="H475" s="33" t="s">
        <v>34</v>
      </c>
      <c r="I475" s="33" t="s">
        <v>174</v>
      </c>
      <c r="J475" s="33" t="s">
        <v>137</v>
      </c>
      <c r="K475" s="35" t="n">
        <v>226359881</v>
      </c>
      <c r="L475" s="33" t="s">
        <v>1105</v>
      </c>
      <c r="M475" s="33" t="n">
        <v>104537813</v>
      </c>
      <c r="N475" s="36" t="n">
        <v>0</v>
      </c>
      <c r="O475" s="37" t="n">
        <v>0</v>
      </c>
    </row>
    <row r="476" customFormat="false" ht="15" hidden="false" customHeight="false" outlineLevel="0" collapsed="false">
      <c r="A476" s="32" t="s">
        <v>1181</v>
      </c>
      <c r="B476" s="33" t="s">
        <v>1182</v>
      </c>
      <c r="C476" s="33" t="s">
        <v>28</v>
      </c>
      <c r="D476" s="34" t="n">
        <v>43356</v>
      </c>
      <c r="E476" s="33" t="s">
        <v>102</v>
      </c>
      <c r="F476" s="33" t="n">
        <v>21356941</v>
      </c>
      <c r="G476" s="33" t="n">
        <v>720193</v>
      </c>
      <c r="H476" s="33" t="s">
        <v>34</v>
      </c>
      <c r="I476" s="33" t="s">
        <v>174</v>
      </c>
      <c r="J476" s="33" t="s">
        <v>137</v>
      </c>
      <c r="K476" s="35" t="n">
        <v>226359881</v>
      </c>
      <c r="L476" s="33" t="s">
        <v>1105</v>
      </c>
      <c r="M476" s="33" t="n">
        <v>104537813</v>
      </c>
      <c r="N476" s="36" t="n">
        <v>0</v>
      </c>
      <c r="O476" s="37" t="n">
        <v>0</v>
      </c>
    </row>
    <row r="477" customFormat="false" ht="15" hidden="false" customHeight="false" outlineLevel="0" collapsed="false">
      <c r="A477" s="32" t="s">
        <v>1183</v>
      </c>
      <c r="B477" s="33" t="s">
        <v>1184</v>
      </c>
      <c r="C477" s="33" t="s">
        <v>28</v>
      </c>
      <c r="D477" s="34" t="n">
        <v>43355</v>
      </c>
      <c r="E477" s="33" t="s">
        <v>102</v>
      </c>
      <c r="F477" s="33" t="n">
        <v>21356941</v>
      </c>
      <c r="G477" s="33" t="n">
        <v>720193</v>
      </c>
      <c r="H477" s="33" t="s">
        <v>34</v>
      </c>
      <c r="I477" s="33" t="s">
        <v>174</v>
      </c>
      <c r="J477" s="33" t="s">
        <v>137</v>
      </c>
      <c r="K477" s="35" t="n">
        <v>226359881</v>
      </c>
      <c r="L477" s="33" t="s">
        <v>1105</v>
      </c>
      <c r="M477" s="33" t="n">
        <v>104537813</v>
      </c>
      <c r="N477" s="36" t="n">
        <v>0</v>
      </c>
      <c r="O477" s="37" t="n">
        <v>0</v>
      </c>
    </row>
    <row r="478" customFormat="false" ht="15" hidden="false" customHeight="false" outlineLevel="0" collapsed="false">
      <c r="A478" s="32" t="s">
        <v>1185</v>
      </c>
      <c r="B478" s="33" t="s">
        <v>1186</v>
      </c>
      <c r="C478" s="33" t="s">
        <v>28</v>
      </c>
      <c r="D478" s="34" t="n">
        <v>43354</v>
      </c>
      <c r="E478" s="33" t="s">
        <v>102</v>
      </c>
      <c r="F478" s="33" t="n">
        <v>21356941</v>
      </c>
      <c r="G478" s="33" t="n">
        <v>720193</v>
      </c>
      <c r="H478" s="33" t="s">
        <v>34</v>
      </c>
      <c r="I478" s="33" t="s">
        <v>174</v>
      </c>
      <c r="J478" s="33" t="s">
        <v>137</v>
      </c>
      <c r="K478" s="35" t="n">
        <v>226359881</v>
      </c>
      <c r="L478" s="33" t="s">
        <v>1105</v>
      </c>
      <c r="M478" s="33" t="n">
        <v>104537813</v>
      </c>
      <c r="N478" s="36" t="n">
        <v>0</v>
      </c>
      <c r="O478" s="37" t="n">
        <v>0</v>
      </c>
    </row>
    <row r="479" customFormat="false" ht="15" hidden="false" customHeight="false" outlineLevel="0" collapsed="false">
      <c r="A479" s="32" t="s">
        <v>1187</v>
      </c>
      <c r="B479" s="33" t="s">
        <v>1188</v>
      </c>
      <c r="C479" s="33" t="s">
        <v>28</v>
      </c>
      <c r="D479" s="34" t="n">
        <v>43353</v>
      </c>
      <c r="E479" s="33" t="s">
        <v>102</v>
      </c>
      <c r="F479" s="33" t="n">
        <v>21356941</v>
      </c>
      <c r="G479" s="33" t="n">
        <v>720193</v>
      </c>
      <c r="H479" s="33" t="s">
        <v>34</v>
      </c>
      <c r="I479" s="33" t="s">
        <v>174</v>
      </c>
      <c r="J479" s="33" t="s">
        <v>137</v>
      </c>
      <c r="K479" s="35" t="n">
        <v>226359881</v>
      </c>
      <c r="L479" s="33" t="s">
        <v>1105</v>
      </c>
      <c r="M479" s="33" t="n">
        <v>104537813</v>
      </c>
      <c r="N479" s="36" t="n">
        <v>0</v>
      </c>
      <c r="O479" s="37" t="n">
        <v>0</v>
      </c>
    </row>
    <row r="480" customFormat="false" ht="15" hidden="false" customHeight="false" outlineLevel="0" collapsed="false">
      <c r="A480" s="32" t="s">
        <v>1189</v>
      </c>
      <c r="B480" s="33" t="s">
        <v>1190</v>
      </c>
      <c r="C480" s="33" t="s">
        <v>28</v>
      </c>
      <c r="D480" s="34" t="n">
        <v>43352</v>
      </c>
      <c r="E480" s="33" t="s">
        <v>102</v>
      </c>
      <c r="F480" s="33" t="n">
        <v>21356941</v>
      </c>
      <c r="G480" s="33" t="n">
        <v>720193</v>
      </c>
      <c r="H480" s="33" t="s">
        <v>34</v>
      </c>
      <c r="I480" s="33" t="s">
        <v>174</v>
      </c>
      <c r="J480" s="33" t="s">
        <v>137</v>
      </c>
      <c r="K480" s="35" t="n">
        <v>226359881</v>
      </c>
      <c r="L480" s="33" t="s">
        <v>1105</v>
      </c>
      <c r="M480" s="33" t="n">
        <v>104537813</v>
      </c>
      <c r="N480" s="36" t="n">
        <v>0</v>
      </c>
      <c r="O480" s="37" t="n">
        <v>0</v>
      </c>
    </row>
    <row r="481" customFormat="false" ht="15" hidden="false" customHeight="false" outlineLevel="0" collapsed="false">
      <c r="A481" s="32" t="s">
        <v>1191</v>
      </c>
      <c r="B481" s="33" t="s">
        <v>1192</v>
      </c>
      <c r="C481" s="33" t="s">
        <v>28</v>
      </c>
      <c r="D481" s="34" t="n">
        <v>43358</v>
      </c>
      <c r="E481" s="33" t="s">
        <v>102</v>
      </c>
      <c r="F481" s="33" t="n">
        <v>21356941</v>
      </c>
      <c r="G481" s="33" t="n">
        <v>720193</v>
      </c>
      <c r="H481" s="33" t="s">
        <v>34</v>
      </c>
      <c r="I481" s="33" t="s">
        <v>174</v>
      </c>
      <c r="J481" s="33" t="s">
        <v>138</v>
      </c>
      <c r="K481" s="35" t="n">
        <v>226360031</v>
      </c>
      <c r="L481" s="33" t="s">
        <v>1120</v>
      </c>
      <c r="M481" s="33" t="n">
        <v>104537129</v>
      </c>
      <c r="N481" s="36" t="n">
        <v>19</v>
      </c>
      <c r="O481" s="37" t="n">
        <v>0.1</v>
      </c>
    </row>
    <row r="482" customFormat="false" ht="15" hidden="false" customHeight="false" outlineLevel="0" collapsed="false">
      <c r="A482" s="32" t="s">
        <v>1193</v>
      </c>
      <c r="B482" s="33" t="s">
        <v>1194</v>
      </c>
      <c r="C482" s="33" t="s">
        <v>28</v>
      </c>
      <c r="D482" s="34" t="n">
        <v>43357</v>
      </c>
      <c r="E482" s="33" t="s">
        <v>102</v>
      </c>
      <c r="F482" s="33" t="n">
        <v>21356941</v>
      </c>
      <c r="G482" s="33" t="n">
        <v>720193</v>
      </c>
      <c r="H482" s="33" t="s">
        <v>34</v>
      </c>
      <c r="I482" s="33" t="s">
        <v>174</v>
      </c>
      <c r="J482" s="33" t="s">
        <v>138</v>
      </c>
      <c r="K482" s="35" t="n">
        <v>226360031</v>
      </c>
      <c r="L482" s="33" t="s">
        <v>1120</v>
      </c>
      <c r="M482" s="33" t="n">
        <v>104537129</v>
      </c>
      <c r="N482" s="36" t="n">
        <v>26</v>
      </c>
      <c r="O482" s="37" t="n">
        <v>0.16</v>
      </c>
    </row>
    <row r="483" customFormat="false" ht="15" hidden="false" customHeight="false" outlineLevel="0" collapsed="false">
      <c r="A483" s="32" t="s">
        <v>1195</v>
      </c>
      <c r="B483" s="33" t="s">
        <v>1196</v>
      </c>
      <c r="C483" s="33" t="s">
        <v>28</v>
      </c>
      <c r="D483" s="34" t="n">
        <v>43356</v>
      </c>
      <c r="E483" s="33" t="s">
        <v>102</v>
      </c>
      <c r="F483" s="33" t="n">
        <v>21356941</v>
      </c>
      <c r="G483" s="33" t="n">
        <v>720193</v>
      </c>
      <c r="H483" s="33" t="s">
        <v>34</v>
      </c>
      <c r="I483" s="33" t="s">
        <v>174</v>
      </c>
      <c r="J483" s="33" t="s">
        <v>138</v>
      </c>
      <c r="K483" s="35" t="n">
        <v>226360031</v>
      </c>
      <c r="L483" s="33" t="s">
        <v>1120</v>
      </c>
      <c r="M483" s="33" t="n">
        <v>104537129</v>
      </c>
      <c r="N483" s="36" t="n">
        <v>22</v>
      </c>
      <c r="O483" s="37" t="n">
        <v>0.11</v>
      </c>
    </row>
    <row r="484" customFormat="false" ht="15" hidden="false" customHeight="false" outlineLevel="0" collapsed="false">
      <c r="A484" s="32" t="s">
        <v>1197</v>
      </c>
      <c r="B484" s="33" t="s">
        <v>1198</v>
      </c>
      <c r="C484" s="33" t="s">
        <v>28</v>
      </c>
      <c r="D484" s="34" t="n">
        <v>43355</v>
      </c>
      <c r="E484" s="33" t="s">
        <v>102</v>
      </c>
      <c r="F484" s="33" t="n">
        <v>21356941</v>
      </c>
      <c r="G484" s="33" t="n">
        <v>720193</v>
      </c>
      <c r="H484" s="33" t="s">
        <v>34</v>
      </c>
      <c r="I484" s="33" t="s">
        <v>174</v>
      </c>
      <c r="J484" s="33" t="s">
        <v>138</v>
      </c>
      <c r="K484" s="35" t="n">
        <v>226360031</v>
      </c>
      <c r="L484" s="33" t="s">
        <v>1120</v>
      </c>
      <c r="M484" s="33" t="n">
        <v>104537129</v>
      </c>
      <c r="N484" s="36" t="n">
        <v>7</v>
      </c>
      <c r="O484" s="37" t="n">
        <v>0.04</v>
      </c>
    </row>
    <row r="485" customFormat="false" ht="15" hidden="false" customHeight="false" outlineLevel="0" collapsed="false">
      <c r="A485" s="32" t="s">
        <v>1199</v>
      </c>
      <c r="B485" s="33" t="s">
        <v>1200</v>
      </c>
      <c r="C485" s="33" t="s">
        <v>28</v>
      </c>
      <c r="D485" s="34" t="n">
        <v>43354</v>
      </c>
      <c r="E485" s="33" t="s">
        <v>102</v>
      </c>
      <c r="F485" s="33" t="n">
        <v>21356941</v>
      </c>
      <c r="G485" s="33" t="n">
        <v>720193</v>
      </c>
      <c r="H485" s="33" t="s">
        <v>34</v>
      </c>
      <c r="I485" s="33" t="s">
        <v>174</v>
      </c>
      <c r="J485" s="33" t="s">
        <v>138</v>
      </c>
      <c r="K485" s="35" t="n">
        <v>226360031</v>
      </c>
      <c r="L485" s="33" t="s">
        <v>1120</v>
      </c>
      <c r="M485" s="33" t="n">
        <v>104537129</v>
      </c>
      <c r="N485" s="36" t="n">
        <v>52</v>
      </c>
      <c r="O485" s="37" t="n">
        <v>0.22</v>
      </c>
    </row>
    <row r="486" customFormat="false" ht="15" hidden="false" customHeight="false" outlineLevel="0" collapsed="false">
      <c r="A486" s="32" t="s">
        <v>1201</v>
      </c>
      <c r="B486" s="33" t="s">
        <v>1202</v>
      </c>
      <c r="C486" s="33" t="s">
        <v>28</v>
      </c>
      <c r="D486" s="34" t="n">
        <v>43353</v>
      </c>
      <c r="E486" s="33" t="s">
        <v>102</v>
      </c>
      <c r="F486" s="33" t="n">
        <v>21356941</v>
      </c>
      <c r="G486" s="33" t="n">
        <v>720193</v>
      </c>
      <c r="H486" s="33" t="s">
        <v>34</v>
      </c>
      <c r="I486" s="33" t="s">
        <v>174</v>
      </c>
      <c r="J486" s="33" t="s">
        <v>138</v>
      </c>
      <c r="K486" s="35" t="n">
        <v>226360031</v>
      </c>
      <c r="L486" s="33" t="s">
        <v>1120</v>
      </c>
      <c r="M486" s="33" t="n">
        <v>104537129</v>
      </c>
      <c r="N486" s="36" t="n">
        <v>114</v>
      </c>
      <c r="O486" s="37" t="n">
        <v>0.6</v>
      </c>
    </row>
    <row r="487" customFormat="false" ht="15" hidden="false" customHeight="false" outlineLevel="0" collapsed="false">
      <c r="A487" s="32" t="s">
        <v>1203</v>
      </c>
      <c r="B487" s="33" t="s">
        <v>1204</v>
      </c>
      <c r="C487" s="33" t="s">
        <v>28</v>
      </c>
      <c r="D487" s="34" t="n">
        <v>43352</v>
      </c>
      <c r="E487" s="33" t="s">
        <v>102</v>
      </c>
      <c r="F487" s="33" t="n">
        <v>21356941</v>
      </c>
      <c r="G487" s="33" t="n">
        <v>720193</v>
      </c>
      <c r="H487" s="33" t="s">
        <v>34</v>
      </c>
      <c r="I487" s="33" t="s">
        <v>174</v>
      </c>
      <c r="J487" s="33" t="s">
        <v>138</v>
      </c>
      <c r="K487" s="35" t="n">
        <v>226360031</v>
      </c>
      <c r="L487" s="33" t="s">
        <v>1120</v>
      </c>
      <c r="M487" s="33" t="n">
        <v>104537129</v>
      </c>
      <c r="N487" s="36" t="n">
        <v>500</v>
      </c>
      <c r="O487" s="37" t="n">
        <v>2.49</v>
      </c>
    </row>
    <row r="488" customFormat="false" ht="15" hidden="false" customHeight="false" outlineLevel="0" collapsed="false">
      <c r="A488" s="32" t="s">
        <v>1205</v>
      </c>
      <c r="B488" s="33" t="s">
        <v>1206</v>
      </c>
      <c r="C488" s="33" t="s">
        <v>28</v>
      </c>
      <c r="D488" s="34" t="n">
        <v>43358</v>
      </c>
      <c r="E488" s="33" t="s">
        <v>102</v>
      </c>
      <c r="F488" s="33" t="n">
        <v>21356941</v>
      </c>
      <c r="G488" s="33" t="n">
        <v>720193</v>
      </c>
      <c r="H488" s="33" t="s">
        <v>34</v>
      </c>
      <c r="I488" s="33" t="s">
        <v>174</v>
      </c>
      <c r="J488" s="33" t="s">
        <v>139</v>
      </c>
      <c r="K488" s="35" t="n">
        <v>226359887</v>
      </c>
      <c r="L488" s="33" t="s">
        <v>1120</v>
      </c>
      <c r="M488" s="33" t="n">
        <v>104537129</v>
      </c>
      <c r="N488" s="36" t="n">
        <v>0</v>
      </c>
      <c r="O488" s="37" t="n">
        <v>0</v>
      </c>
    </row>
    <row r="489" customFormat="false" ht="15" hidden="false" customHeight="false" outlineLevel="0" collapsed="false">
      <c r="A489" s="32" t="s">
        <v>1207</v>
      </c>
      <c r="B489" s="33" t="s">
        <v>1208</v>
      </c>
      <c r="C489" s="33" t="s">
        <v>28</v>
      </c>
      <c r="D489" s="34" t="n">
        <v>43357</v>
      </c>
      <c r="E489" s="33" t="s">
        <v>102</v>
      </c>
      <c r="F489" s="33" t="n">
        <v>21356941</v>
      </c>
      <c r="G489" s="33" t="n">
        <v>720193</v>
      </c>
      <c r="H489" s="33" t="s">
        <v>34</v>
      </c>
      <c r="I489" s="33" t="s">
        <v>174</v>
      </c>
      <c r="J489" s="33" t="s">
        <v>139</v>
      </c>
      <c r="K489" s="35" t="n">
        <v>226359887</v>
      </c>
      <c r="L489" s="33" t="s">
        <v>1120</v>
      </c>
      <c r="M489" s="33" t="n">
        <v>104537129</v>
      </c>
      <c r="N489" s="36" t="n">
        <v>0</v>
      </c>
      <c r="O489" s="37" t="n">
        <v>0</v>
      </c>
    </row>
    <row r="490" customFormat="false" ht="15" hidden="false" customHeight="false" outlineLevel="0" collapsed="false">
      <c r="A490" s="32" t="s">
        <v>1209</v>
      </c>
      <c r="B490" s="33" t="s">
        <v>1210</v>
      </c>
      <c r="C490" s="33" t="s">
        <v>28</v>
      </c>
      <c r="D490" s="34" t="n">
        <v>43356</v>
      </c>
      <c r="E490" s="33" t="s">
        <v>102</v>
      </c>
      <c r="F490" s="33" t="n">
        <v>21356941</v>
      </c>
      <c r="G490" s="33" t="n">
        <v>720193</v>
      </c>
      <c r="H490" s="33" t="s">
        <v>34</v>
      </c>
      <c r="I490" s="33" t="s">
        <v>174</v>
      </c>
      <c r="J490" s="33" t="s">
        <v>139</v>
      </c>
      <c r="K490" s="35" t="n">
        <v>226359887</v>
      </c>
      <c r="L490" s="33" t="s">
        <v>1120</v>
      </c>
      <c r="M490" s="33" t="n">
        <v>104537129</v>
      </c>
      <c r="N490" s="36" t="n">
        <v>0</v>
      </c>
      <c r="O490" s="37" t="n">
        <v>0</v>
      </c>
    </row>
    <row r="491" customFormat="false" ht="15" hidden="false" customHeight="false" outlineLevel="0" collapsed="false">
      <c r="A491" s="32" t="s">
        <v>1211</v>
      </c>
      <c r="B491" s="33" t="s">
        <v>1212</v>
      </c>
      <c r="C491" s="33" t="s">
        <v>28</v>
      </c>
      <c r="D491" s="34" t="n">
        <v>43355</v>
      </c>
      <c r="E491" s="33" t="s">
        <v>102</v>
      </c>
      <c r="F491" s="33" t="n">
        <v>21356941</v>
      </c>
      <c r="G491" s="33" t="n">
        <v>720193</v>
      </c>
      <c r="H491" s="33" t="s">
        <v>34</v>
      </c>
      <c r="I491" s="33" t="s">
        <v>174</v>
      </c>
      <c r="J491" s="33" t="s">
        <v>139</v>
      </c>
      <c r="K491" s="35" t="n">
        <v>226359887</v>
      </c>
      <c r="L491" s="33" t="s">
        <v>1120</v>
      </c>
      <c r="M491" s="33" t="n">
        <v>104537129</v>
      </c>
      <c r="N491" s="36" t="n">
        <v>0</v>
      </c>
      <c r="O491" s="37" t="n">
        <v>0</v>
      </c>
    </row>
    <row r="492" customFormat="false" ht="15" hidden="false" customHeight="false" outlineLevel="0" collapsed="false">
      <c r="A492" s="32" t="s">
        <v>1213</v>
      </c>
      <c r="B492" s="33" t="s">
        <v>1214</v>
      </c>
      <c r="C492" s="33" t="s">
        <v>28</v>
      </c>
      <c r="D492" s="34" t="n">
        <v>43354</v>
      </c>
      <c r="E492" s="33" t="s">
        <v>102</v>
      </c>
      <c r="F492" s="33" t="n">
        <v>21356941</v>
      </c>
      <c r="G492" s="33" t="n">
        <v>720193</v>
      </c>
      <c r="H492" s="33" t="s">
        <v>34</v>
      </c>
      <c r="I492" s="33" t="s">
        <v>174</v>
      </c>
      <c r="J492" s="33" t="s">
        <v>139</v>
      </c>
      <c r="K492" s="35" t="n">
        <v>226359887</v>
      </c>
      <c r="L492" s="33" t="s">
        <v>1120</v>
      </c>
      <c r="M492" s="33" t="n">
        <v>104537129</v>
      </c>
      <c r="N492" s="36" t="n">
        <v>0</v>
      </c>
      <c r="O492" s="37" t="n">
        <v>0</v>
      </c>
    </row>
    <row r="493" customFormat="false" ht="15" hidden="false" customHeight="false" outlineLevel="0" collapsed="false">
      <c r="A493" s="32" t="s">
        <v>1215</v>
      </c>
      <c r="B493" s="33" t="s">
        <v>1216</v>
      </c>
      <c r="C493" s="33" t="s">
        <v>28</v>
      </c>
      <c r="D493" s="34" t="n">
        <v>43353</v>
      </c>
      <c r="E493" s="33" t="s">
        <v>102</v>
      </c>
      <c r="F493" s="33" t="n">
        <v>21356941</v>
      </c>
      <c r="G493" s="33" t="n">
        <v>720193</v>
      </c>
      <c r="H493" s="33" t="s">
        <v>34</v>
      </c>
      <c r="I493" s="33" t="s">
        <v>174</v>
      </c>
      <c r="J493" s="33" t="s">
        <v>139</v>
      </c>
      <c r="K493" s="35" t="n">
        <v>226359887</v>
      </c>
      <c r="L493" s="33" t="s">
        <v>1120</v>
      </c>
      <c r="M493" s="33" t="n">
        <v>104537129</v>
      </c>
      <c r="N493" s="36" t="n">
        <v>0</v>
      </c>
      <c r="O493" s="37" t="n">
        <v>0</v>
      </c>
    </row>
    <row r="494" customFormat="false" ht="15" hidden="false" customHeight="false" outlineLevel="0" collapsed="false">
      <c r="A494" s="32" t="s">
        <v>1217</v>
      </c>
      <c r="B494" s="33" t="s">
        <v>1218</v>
      </c>
      <c r="C494" s="33" t="s">
        <v>28</v>
      </c>
      <c r="D494" s="34" t="n">
        <v>43352</v>
      </c>
      <c r="E494" s="33" t="s">
        <v>102</v>
      </c>
      <c r="F494" s="33" t="n">
        <v>21356941</v>
      </c>
      <c r="G494" s="33" t="n">
        <v>720193</v>
      </c>
      <c r="H494" s="33" t="s">
        <v>34</v>
      </c>
      <c r="I494" s="33" t="s">
        <v>174</v>
      </c>
      <c r="J494" s="33" t="s">
        <v>139</v>
      </c>
      <c r="K494" s="35" t="n">
        <v>226359887</v>
      </c>
      <c r="L494" s="33" t="s">
        <v>1120</v>
      </c>
      <c r="M494" s="33" t="n">
        <v>104537129</v>
      </c>
      <c r="N494" s="36" t="n">
        <v>0</v>
      </c>
      <c r="O494" s="37" t="n">
        <v>0</v>
      </c>
    </row>
    <row r="495" customFormat="false" ht="15" hidden="false" customHeight="false" outlineLevel="0" collapsed="false">
      <c r="A495" s="32" t="s">
        <v>1219</v>
      </c>
      <c r="B495" s="33" t="s">
        <v>1220</v>
      </c>
      <c r="C495" s="33" t="s">
        <v>28</v>
      </c>
      <c r="D495" s="34" t="n">
        <v>43358</v>
      </c>
      <c r="E495" s="33" t="s">
        <v>102</v>
      </c>
      <c r="F495" s="33" t="n">
        <v>21356941</v>
      </c>
      <c r="G495" s="33" t="n">
        <v>720193</v>
      </c>
      <c r="H495" s="33" t="s">
        <v>34</v>
      </c>
      <c r="I495" s="33" t="s">
        <v>174</v>
      </c>
      <c r="J495" s="33" t="s">
        <v>140</v>
      </c>
      <c r="K495" s="35" t="n">
        <v>226360013</v>
      </c>
      <c r="L495" s="33" t="s">
        <v>1135</v>
      </c>
      <c r="M495" s="33" t="n">
        <v>104537816</v>
      </c>
      <c r="N495" s="36" t="n">
        <v>0</v>
      </c>
      <c r="O495" s="37" t="n">
        <v>0</v>
      </c>
    </row>
    <row r="496" customFormat="false" ht="15" hidden="false" customHeight="false" outlineLevel="0" collapsed="false">
      <c r="A496" s="32" t="s">
        <v>1221</v>
      </c>
      <c r="B496" s="33" t="s">
        <v>1222</v>
      </c>
      <c r="C496" s="33" t="s">
        <v>28</v>
      </c>
      <c r="D496" s="34" t="n">
        <v>43357</v>
      </c>
      <c r="E496" s="33" t="s">
        <v>102</v>
      </c>
      <c r="F496" s="33" t="n">
        <v>21356941</v>
      </c>
      <c r="G496" s="33" t="n">
        <v>720193</v>
      </c>
      <c r="H496" s="33" t="s">
        <v>34</v>
      </c>
      <c r="I496" s="33" t="s">
        <v>174</v>
      </c>
      <c r="J496" s="33" t="s">
        <v>140</v>
      </c>
      <c r="K496" s="35" t="n">
        <v>226360013</v>
      </c>
      <c r="L496" s="33" t="s">
        <v>1135</v>
      </c>
      <c r="M496" s="33" t="n">
        <v>104537816</v>
      </c>
      <c r="N496" s="36" t="n">
        <v>4</v>
      </c>
      <c r="O496" s="37" t="n">
        <v>0.02</v>
      </c>
    </row>
    <row r="497" customFormat="false" ht="15" hidden="false" customHeight="false" outlineLevel="0" collapsed="false">
      <c r="A497" s="32" t="s">
        <v>1223</v>
      </c>
      <c r="B497" s="33" t="s">
        <v>1224</v>
      </c>
      <c r="C497" s="33" t="s">
        <v>28</v>
      </c>
      <c r="D497" s="34" t="n">
        <v>43356</v>
      </c>
      <c r="E497" s="33" t="s">
        <v>102</v>
      </c>
      <c r="F497" s="33" t="n">
        <v>21356941</v>
      </c>
      <c r="G497" s="33" t="n">
        <v>720193</v>
      </c>
      <c r="H497" s="33" t="s">
        <v>34</v>
      </c>
      <c r="I497" s="33" t="s">
        <v>174</v>
      </c>
      <c r="J497" s="33" t="s">
        <v>140</v>
      </c>
      <c r="K497" s="35" t="n">
        <v>226360013</v>
      </c>
      <c r="L497" s="33" t="s">
        <v>1135</v>
      </c>
      <c r="M497" s="33" t="n">
        <v>104537816</v>
      </c>
      <c r="N497" s="36" t="n">
        <v>0</v>
      </c>
      <c r="O497" s="37" t="n">
        <v>0</v>
      </c>
    </row>
    <row r="498" customFormat="false" ht="15" hidden="false" customHeight="false" outlineLevel="0" collapsed="false">
      <c r="A498" s="32" t="s">
        <v>1225</v>
      </c>
      <c r="B498" s="33" t="s">
        <v>1226</v>
      </c>
      <c r="C498" s="33" t="s">
        <v>28</v>
      </c>
      <c r="D498" s="34" t="n">
        <v>43355</v>
      </c>
      <c r="E498" s="33" t="s">
        <v>102</v>
      </c>
      <c r="F498" s="33" t="n">
        <v>21356941</v>
      </c>
      <c r="G498" s="33" t="n">
        <v>720193</v>
      </c>
      <c r="H498" s="33" t="s">
        <v>34</v>
      </c>
      <c r="I498" s="33" t="s">
        <v>174</v>
      </c>
      <c r="J498" s="33" t="s">
        <v>140</v>
      </c>
      <c r="K498" s="35" t="n">
        <v>226360013</v>
      </c>
      <c r="L498" s="33" t="s">
        <v>1135</v>
      </c>
      <c r="M498" s="33" t="n">
        <v>104537816</v>
      </c>
      <c r="N498" s="36" t="n">
        <v>0</v>
      </c>
      <c r="O498" s="37" t="n">
        <v>0</v>
      </c>
    </row>
    <row r="499" customFormat="false" ht="15" hidden="false" customHeight="false" outlineLevel="0" collapsed="false">
      <c r="A499" s="32" t="s">
        <v>1227</v>
      </c>
      <c r="B499" s="33" t="s">
        <v>1228</v>
      </c>
      <c r="C499" s="33" t="s">
        <v>28</v>
      </c>
      <c r="D499" s="34" t="n">
        <v>43354</v>
      </c>
      <c r="E499" s="33" t="s">
        <v>102</v>
      </c>
      <c r="F499" s="33" t="n">
        <v>21356941</v>
      </c>
      <c r="G499" s="33" t="n">
        <v>720193</v>
      </c>
      <c r="H499" s="33" t="s">
        <v>34</v>
      </c>
      <c r="I499" s="33" t="s">
        <v>174</v>
      </c>
      <c r="J499" s="33" t="s">
        <v>140</v>
      </c>
      <c r="K499" s="35" t="n">
        <v>226360013</v>
      </c>
      <c r="L499" s="33" t="s">
        <v>1135</v>
      </c>
      <c r="M499" s="33" t="n">
        <v>104537816</v>
      </c>
      <c r="N499" s="36" t="n">
        <v>0</v>
      </c>
      <c r="O499" s="37" t="n">
        <v>0</v>
      </c>
    </row>
    <row r="500" customFormat="false" ht="15" hidden="false" customHeight="false" outlineLevel="0" collapsed="false">
      <c r="A500" s="32" t="s">
        <v>1229</v>
      </c>
      <c r="B500" s="33" t="s">
        <v>1230</v>
      </c>
      <c r="C500" s="33" t="s">
        <v>28</v>
      </c>
      <c r="D500" s="34" t="n">
        <v>43353</v>
      </c>
      <c r="E500" s="33" t="s">
        <v>102</v>
      </c>
      <c r="F500" s="33" t="n">
        <v>21356941</v>
      </c>
      <c r="G500" s="33" t="n">
        <v>720193</v>
      </c>
      <c r="H500" s="33" t="s">
        <v>34</v>
      </c>
      <c r="I500" s="33" t="s">
        <v>174</v>
      </c>
      <c r="J500" s="33" t="s">
        <v>140</v>
      </c>
      <c r="K500" s="35" t="n">
        <v>226360013</v>
      </c>
      <c r="L500" s="33" t="s">
        <v>1135</v>
      </c>
      <c r="M500" s="33" t="n">
        <v>104537816</v>
      </c>
      <c r="N500" s="36" t="n">
        <v>2</v>
      </c>
      <c r="O500" s="37" t="n">
        <v>0.01</v>
      </c>
    </row>
    <row r="501" customFormat="false" ht="15" hidden="false" customHeight="false" outlineLevel="0" collapsed="false">
      <c r="A501" s="32" t="s">
        <v>1231</v>
      </c>
      <c r="B501" s="33" t="s">
        <v>1232</v>
      </c>
      <c r="C501" s="33" t="s">
        <v>28</v>
      </c>
      <c r="D501" s="34" t="n">
        <v>43352</v>
      </c>
      <c r="E501" s="33" t="s">
        <v>102</v>
      </c>
      <c r="F501" s="33" t="n">
        <v>21356941</v>
      </c>
      <c r="G501" s="33" t="n">
        <v>720193</v>
      </c>
      <c r="H501" s="33" t="s">
        <v>34</v>
      </c>
      <c r="I501" s="33" t="s">
        <v>174</v>
      </c>
      <c r="J501" s="33" t="s">
        <v>140</v>
      </c>
      <c r="K501" s="35" t="n">
        <v>226360013</v>
      </c>
      <c r="L501" s="33" t="s">
        <v>1135</v>
      </c>
      <c r="M501" s="33" t="n">
        <v>104537816</v>
      </c>
      <c r="N501" s="36" t="n">
        <v>2</v>
      </c>
      <c r="O501" s="37" t="n">
        <v>0</v>
      </c>
    </row>
    <row r="502" customFormat="false" ht="15" hidden="false" customHeight="false" outlineLevel="0" collapsed="false">
      <c r="A502" s="32" t="s">
        <v>1233</v>
      </c>
      <c r="B502" s="33" t="s">
        <v>1234</v>
      </c>
      <c r="C502" s="33" t="s">
        <v>28</v>
      </c>
      <c r="D502" s="34" t="n">
        <v>43358</v>
      </c>
      <c r="E502" s="33" t="s">
        <v>102</v>
      </c>
      <c r="F502" s="33" t="n">
        <v>21356941</v>
      </c>
      <c r="G502" s="33" t="n">
        <v>720193</v>
      </c>
      <c r="H502" s="33" t="s">
        <v>34</v>
      </c>
      <c r="I502" s="33" t="s">
        <v>174</v>
      </c>
      <c r="J502" s="33" t="s">
        <v>141</v>
      </c>
      <c r="K502" s="35" t="n">
        <v>226496146</v>
      </c>
      <c r="L502" s="33" t="s">
        <v>1135</v>
      </c>
      <c r="M502" s="33" t="n">
        <v>104537816</v>
      </c>
      <c r="N502" s="36" t="n">
        <v>0</v>
      </c>
      <c r="O502" s="37" t="n">
        <v>0</v>
      </c>
    </row>
    <row r="503" customFormat="false" ht="15" hidden="false" customHeight="false" outlineLevel="0" collapsed="false">
      <c r="A503" s="32" t="s">
        <v>1235</v>
      </c>
      <c r="B503" s="33" t="s">
        <v>1236</v>
      </c>
      <c r="C503" s="33" t="s">
        <v>28</v>
      </c>
      <c r="D503" s="34" t="n">
        <v>43357</v>
      </c>
      <c r="E503" s="33" t="s">
        <v>102</v>
      </c>
      <c r="F503" s="33" t="n">
        <v>21356941</v>
      </c>
      <c r="G503" s="33" t="n">
        <v>720193</v>
      </c>
      <c r="H503" s="33" t="s">
        <v>34</v>
      </c>
      <c r="I503" s="33" t="s">
        <v>174</v>
      </c>
      <c r="J503" s="33" t="s">
        <v>141</v>
      </c>
      <c r="K503" s="35" t="n">
        <v>226496146</v>
      </c>
      <c r="L503" s="33" t="s">
        <v>1135</v>
      </c>
      <c r="M503" s="33" t="n">
        <v>104537816</v>
      </c>
      <c r="N503" s="36" t="n">
        <v>0</v>
      </c>
      <c r="O503" s="37" t="n">
        <v>0</v>
      </c>
    </row>
    <row r="504" customFormat="false" ht="15" hidden="false" customHeight="false" outlineLevel="0" collapsed="false">
      <c r="A504" s="32" t="s">
        <v>1237</v>
      </c>
      <c r="B504" s="33" t="s">
        <v>1238</v>
      </c>
      <c r="C504" s="33" t="s">
        <v>28</v>
      </c>
      <c r="D504" s="34" t="n">
        <v>43356</v>
      </c>
      <c r="E504" s="33" t="s">
        <v>102</v>
      </c>
      <c r="F504" s="33" t="n">
        <v>21356941</v>
      </c>
      <c r="G504" s="33" t="n">
        <v>720193</v>
      </c>
      <c r="H504" s="33" t="s">
        <v>34</v>
      </c>
      <c r="I504" s="33" t="s">
        <v>174</v>
      </c>
      <c r="J504" s="33" t="s">
        <v>141</v>
      </c>
      <c r="K504" s="35" t="n">
        <v>226496146</v>
      </c>
      <c r="L504" s="33" t="s">
        <v>1135</v>
      </c>
      <c r="M504" s="33" t="n">
        <v>104537816</v>
      </c>
      <c r="N504" s="36" t="n">
        <v>0</v>
      </c>
      <c r="O504" s="37" t="n">
        <v>0</v>
      </c>
    </row>
    <row r="505" customFormat="false" ht="15" hidden="false" customHeight="false" outlineLevel="0" collapsed="false">
      <c r="A505" s="32" t="s">
        <v>1239</v>
      </c>
      <c r="B505" s="33" t="s">
        <v>1240</v>
      </c>
      <c r="C505" s="33" t="s">
        <v>28</v>
      </c>
      <c r="D505" s="34" t="n">
        <v>43355</v>
      </c>
      <c r="E505" s="33" t="s">
        <v>102</v>
      </c>
      <c r="F505" s="33" t="n">
        <v>21356941</v>
      </c>
      <c r="G505" s="33" t="n">
        <v>720193</v>
      </c>
      <c r="H505" s="33" t="s">
        <v>34</v>
      </c>
      <c r="I505" s="33" t="s">
        <v>174</v>
      </c>
      <c r="J505" s="33" t="s">
        <v>141</v>
      </c>
      <c r="K505" s="35" t="n">
        <v>226496146</v>
      </c>
      <c r="L505" s="33" t="s">
        <v>1135</v>
      </c>
      <c r="M505" s="33" t="n">
        <v>104537816</v>
      </c>
      <c r="N505" s="36" t="n">
        <v>0</v>
      </c>
      <c r="O505" s="37" t="n">
        <v>0</v>
      </c>
    </row>
    <row r="506" customFormat="false" ht="15" hidden="false" customHeight="false" outlineLevel="0" collapsed="false">
      <c r="A506" s="32" t="s">
        <v>1241</v>
      </c>
      <c r="B506" s="33" t="s">
        <v>1242</v>
      </c>
      <c r="C506" s="33" t="s">
        <v>28</v>
      </c>
      <c r="D506" s="34" t="n">
        <v>43354</v>
      </c>
      <c r="E506" s="33" t="s">
        <v>102</v>
      </c>
      <c r="F506" s="33" t="n">
        <v>21356941</v>
      </c>
      <c r="G506" s="33" t="n">
        <v>720193</v>
      </c>
      <c r="H506" s="33" t="s">
        <v>34</v>
      </c>
      <c r="I506" s="33" t="s">
        <v>174</v>
      </c>
      <c r="J506" s="33" t="s">
        <v>141</v>
      </c>
      <c r="K506" s="35" t="n">
        <v>226496146</v>
      </c>
      <c r="L506" s="33" t="s">
        <v>1135</v>
      </c>
      <c r="M506" s="33" t="n">
        <v>104537816</v>
      </c>
      <c r="N506" s="36" t="n">
        <v>0</v>
      </c>
      <c r="O506" s="37" t="n">
        <v>0</v>
      </c>
    </row>
    <row r="507" customFormat="false" ht="15" hidden="false" customHeight="false" outlineLevel="0" collapsed="false">
      <c r="A507" s="32" t="s">
        <v>1243</v>
      </c>
      <c r="B507" s="33" t="s">
        <v>1244</v>
      </c>
      <c r="C507" s="33" t="s">
        <v>28</v>
      </c>
      <c r="D507" s="34" t="n">
        <v>43353</v>
      </c>
      <c r="E507" s="33" t="s">
        <v>102</v>
      </c>
      <c r="F507" s="33" t="n">
        <v>21356941</v>
      </c>
      <c r="G507" s="33" t="n">
        <v>720193</v>
      </c>
      <c r="H507" s="33" t="s">
        <v>34</v>
      </c>
      <c r="I507" s="33" t="s">
        <v>174</v>
      </c>
      <c r="J507" s="33" t="s">
        <v>141</v>
      </c>
      <c r="K507" s="35" t="n">
        <v>226496146</v>
      </c>
      <c r="L507" s="33" t="s">
        <v>1135</v>
      </c>
      <c r="M507" s="33" t="n">
        <v>104537816</v>
      </c>
      <c r="N507" s="36" t="n">
        <v>0</v>
      </c>
      <c r="O507" s="37" t="n">
        <v>0</v>
      </c>
    </row>
    <row r="508" customFormat="false" ht="15" hidden="false" customHeight="false" outlineLevel="0" collapsed="false">
      <c r="A508" s="32" t="s">
        <v>1245</v>
      </c>
      <c r="B508" s="33" t="s">
        <v>1246</v>
      </c>
      <c r="C508" s="33" t="s">
        <v>28</v>
      </c>
      <c r="D508" s="34" t="n">
        <v>43352</v>
      </c>
      <c r="E508" s="33" t="s">
        <v>102</v>
      </c>
      <c r="F508" s="33" t="n">
        <v>21356941</v>
      </c>
      <c r="G508" s="33" t="n">
        <v>720193</v>
      </c>
      <c r="H508" s="33" t="s">
        <v>34</v>
      </c>
      <c r="I508" s="33" t="s">
        <v>174</v>
      </c>
      <c r="J508" s="33" t="s">
        <v>141</v>
      </c>
      <c r="K508" s="35" t="n">
        <v>226496146</v>
      </c>
      <c r="L508" s="33" t="s">
        <v>1135</v>
      </c>
      <c r="M508" s="33" t="n">
        <v>104537816</v>
      </c>
      <c r="N508" s="36" t="n">
        <v>0</v>
      </c>
      <c r="O508" s="37" t="n">
        <v>0</v>
      </c>
    </row>
    <row r="509" customFormat="false" ht="15" hidden="false" customHeight="false" outlineLevel="0" collapsed="false">
      <c r="A509" s="32" t="s">
        <v>1247</v>
      </c>
      <c r="B509" s="33" t="s">
        <v>1248</v>
      </c>
      <c r="C509" s="33" t="s">
        <v>28</v>
      </c>
      <c r="D509" s="34" t="n">
        <v>43358</v>
      </c>
      <c r="E509" s="33" t="s">
        <v>102</v>
      </c>
      <c r="F509" s="33" t="n">
        <v>21356941</v>
      </c>
      <c r="G509" s="33" t="n">
        <v>720193</v>
      </c>
      <c r="H509" s="33" t="s">
        <v>34</v>
      </c>
      <c r="I509" s="33" t="s">
        <v>174</v>
      </c>
      <c r="J509" s="33" t="s">
        <v>142</v>
      </c>
      <c r="K509" s="35" t="n">
        <v>226359884</v>
      </c>
      <c r="L509" s="33" t="s">
        <v>1150</v>
      </c>
      <c r="M509" s="33" t="n">
        <v>104537132</v>
      </c>
      <c r="N509" s="36" t="n">
        <v>8</v>
      </c>
      <c r="O509" s="37" t="n">
        <v>0.03</v>
      </c>
    </row>
    <row r="510" customFormat="false" ht="15" hidden="false" customHeight="false" outlineLevel="0" collapsed="false">
      <c r="A510" s="32" t="s">
        <v>1249</v>
      </c>
      <c r="B510" s="33" t="s">
        <v>1250</v>
      </c>
      <c r="C510" s="33" t="s">
        <v>28</v>
      </c>
      <c r="D510" s="34" t="n">
        <v>43357</v>
      </c>
      <c r="E510" s="33" t="s">
        <v>102</v>
      </c>
      <c r="F510" s="33" t="n">
        <v>21356941</v>
      </c>
      <c r="G510" s="33" t="n">
        <v>720193</v>
      </c>
      <c r="H510" s="33" t="s">
        <v>34</v>
      </c>
      <c r="I510" s="33" t="s">
        <v>174</v>
      </c>
      <c r="J510" s="33" t="s">
        <v>142</v>
      </c>
      <c r="K510" s="35" t="n">
        <v>226359884</v>
      </c>
      <c r="L510" s="33" t="s">
        <v>1150</v>
      </c>
      <c r="M510" s="33" t="n">
        <v>104537132</v>
      </c>
      <c r="N510" s="36" t="n">
        <v>7</v>
      </c>
      <c r="O510" s="37" t="n">
        <v>0.06</v>
      </c>
    </row>
    <row r="511" customFormat="false" ht="15" hidden="false" customHeight="false" outlineLevel="0" collapsed="false">
      <c r="A511" s="32" t="s">
        <v>1251</v>
      </c>
      <c r="B511" s="33" t="s">
        <v>1252</v>
      </c>
      <c r="C511" s="33" t="s">
        <v>28</v>
      </c>
      <c r="D511" s="34" t="n">
        <v>43356</v>
      </c>
      <c r="E511" s="33" t="s">
        <v>102</v>
      </c>
      <c r="F511" s="33" t="n">
        <v>21356941</v>
      </c>
      <c r="G511" s="33" t="n">
        <v>720193</v>
      </c>
      <c r="H511" s="33" t="s">
        <v>34</v>
      </c>
      <c r="I511" s="33" t="s">
        <v>174</v>
      </c>
      <c r="J511" s="33" t="s">
        <v>142</v>
      </c>
      <c r="K511" s="35" t="n">
        <v>226359884</v>
      </c>
      <c r="L511" s="33" t="s">
        <v>1150</v>
      </c>
      <c r="M511" s="33" t="n">
        <v>104537132</v>
      </c>
      <c r="N511" s="36" t="n">
        <v>10</v>
      </c>
      <c r="O511" s="37" t="n">
        <v>0.05</v>
      </c>
    </row>
    <row r="512" customFormat="false" ht="15" hidden="false" customHeight="false" outlineLevel="0" collapsed="false">
      <c r="A512" s="32" t="s">
        <v>1253</v>
      </c>
      <c r="B512" s="33" t="s">
        <v>1254</v>
      </c>
      <c r="C512" s="33" t="s">
        <v>28</v>
      </c>
      <c r="D512" s="34" t="n">
        <v>43355</v>
      </c>
      <c r="E512" s="33" t="s">
        <v>102</v>
      </c>
      <c r="F512" s="33" t="n">
        <v>21356941</v>
      </c>
      <c r="G512" s="33" t="n">
        <v>720193</v>
      </c>
      <c r="H512" s="33" t="s">
        <v>34</v>
      </c>
      <c r="I512" s="33" t="s">
        <v>174</v>
      </c>
      <c r="J512" s="33" t="s">
        <v>142</v>
      </c>
      <c r="K512" s="35" t="n">
        <v>226359884</v>
      </c>
      <c r="L512" s="33" t="s">
        <v>1150</v>
      </c>
      <c r="M512" s="33" t="n">
        <v>104537132</v>
      </c>
      <c r="N512" s="36" t="n">
        <v>99</v>
      </c>
      <c r="O512" s="37" t="n">
        <v>0.6</v>
      </c>
    </row>
    <row r="513" customFormat="false" ht="15" hidden="false" customHeight="false" outlineLevel="0" collapsed="false">
      <c r="A513" s="32" t="s">
        <v>1255</v>
      </c>
      <c r="B513" s="33" t="s">
        <v>1256</v>
      </c>
      <c r="C513" s="33" t="s">
        <v>28</v>
      </c>
      <c r="D513" s="34" t="n">
        <v>43354</v>
      </c>
      <c r="E513" s="33" t="s">
        <v>102</v>
      </c>
      <c r="F513" s="33" t="n">
        <v>21356941</v>
      </c>
      <c r="G513" s="33" t="n">
        <v>720193</v>
      </c>
      <c r="H513" s="33" t="s">
        <v>34</v>
      </c>
      <c r="I513" s="33" t="s">
        <v>174</v>
      </c>
      <c r="J513" s="33" t="s">
        <v>142</v>
      </c>
      <c r="K513" s="35" t="n">
        <v>226359884</v>
      </c>
      <c r="L513" s="33" t="s">
        <v>1150</v>
      </c>
      <c r="M513" s="33" t="n">
        <v>104537132</v>
      </c>
      <c r="N513" s="36" t="n">
        <v>103</v>
      </c>
      <c r="O513" s="37" t="n">
        <v>0.55</v>
      </c>
    </row>
    <row r="514" customFormat="false" ht="15" hidden="false" customHeight="false" outlineLevel="0" collapsed="false">
      <c r="A514" s="32" t="s">
        <v>1257</v>
      </c>
      <c r="B514" s="33" t="s">
        <v>1258</v>
      </c>
      <c r="C514" s="33" t="s">
        <v>28</v>
      </c>
      <c r="D514" s="34" t="n">
        <v>43353</v>
      </c>
      <c r="E514" s="33" t="s">
        <v>102</v>
      </c>
      <c r="F514" s="33" t="n">
        <v>21356941</v>
      </c>
      <c r="G514" s="33" t="n">
        <v>720193</v>
      </c>
      <c r="H514" s="33" t="s">
        <v>34</v>
      </c>
      <c r="I514" s="33" t="s">
        <v>174</v>
      </c>
      <c r="J514" s="33" t="s">
        <v>142</v>
      </c>
      <c r="K514" s="35" t="n">
        <v>226359884</v>
      </c>
      <c r="L514" s="33" t="s">
        <v>1150</v>
      </c>
      <c r="M514" s="33" t="n">
        <v>104537132</v>
      </c>
      <c r="N514" s="36" t="n">
        <v>105</v>
      </c>
      <c r="O514" s="37" t="n">
        <v>0.52</v>
      </c>
    </row>
    <row r="515" customFormat="false" ht="15" hidden="false" customHeight="false" outlineLevel="0" collapsed="false">
      <c r="A515" s="32" t="s">
        <v>1259</v>
      </c>
      <c r="B515" s="33" t="s">
        <v>1260</v>
      </c>
      <c r="C515" s="33" t="s">
        <v>28</v>
      </c>
      <c r="D515" s="34" t="n">
        <v>43352</v>
      </c>
      <c r="E515" s="33" t="s">
        <v>102</v>
      </c>
      <c r="F515" s="33" t="n">
        <v>21356941</v>
      </c>
      <c r="G515" s="33" t="n">
        <v>720193</v>
      </c>
      <c r="H515" s="33" t="s">
        <v>34</v>
      </c>
      <c r="I515" s="33" t="s">
        <v>174</v>
      </c>
      <c r="J515" s="33" t="s">
        <v>142</v>
      </c>
      <c r="K515" s="35" t="n">
        <v>226359884</v>
      </c>
      <c r="L515" s="33" t="s">
        <v>1150</v>
      </c>
      <c r="M515" s="33" t="n">
        <v>104537132</v>
      </c>
      <c r="N515" s="36" t="n">
        <v>217</v>
      </c>
      <c r="O515" s="37" t="n">
        <v>1.2</v>
      </c>
    </row>
    <row r="516" customFormat="false" ht="15" hidden="false" customHeight="false" outlineLevel="0" collapsed="false">
      <c r="A516" s="32" t="s">
        <v>1261</v>
      </c>
      <c r="B516" s="33" t="s">
        <v>1262</v>
      </c>
      <c r="C516" s="33" t="s">
        <v>28</v>
      </c>
      <c r="D516" s="34" t="n">
        <v>43358</v>
      </c>
      <c r="E516" s="33" t="s">
        <v>102</v>
      </c>
      <c r="F516" s="33" t="n">
        <v>21356941</v>
      </c>
      <c r="G516" s="33" t="n">
        <v>720193</v>
      </c>
      <c r="H516" s="33" t="s">
        <v>34</v>
      </c>
      <c r="I516" s="33" t="s">
        <v>174</v>
      </c>
      <c r="J516" s="33" t="s">
        <v>143</v>
      </c>
      <c r="K516" s="35" t="n">
        <v>226360034</v>
      </c>
      <c r="L516" s="33" t="s">
        <v>1105</v>
      </c>
      <c r="M516" s="33" t="n">
        <v>104537813</v>
      </c>
      <c r="N516" s="36" t="n">
        <v>0</v>
      </c>
      <c r="O516" s="37" t="n">
        <v>0</v>
      </c>
    </row>
    <row r="517" customFormat="false" ht="15" hidden="false" customHeight="false" outlineLevel="0" collapsed="false">
      <c r="A517" s="32" t="s">
        <v>1263</v>
      </c>
      <c r="B517" s="33" t="s">
        <v>1264</v>
      </c>
      <c r="C517" s="33" t="s">
        <v>28</v>
      </c>
      <c r="D517" s="34" t="n">
        <v>43357</v>
      </c>
      <c r="E517" s="33" t="s">
        <v>102</v>
      </c>
      <c r="F517" s="33" t="n">
        <v>21356941</v>
      </c>
      <c r="G517" s="33" t="n">
        <v>720193</v>
      </c>
      <c r="H517" s="33" t="s">
        <v>34</v>
      </c>
      <c r="I517" s="33" t="s">
        <v>174</v>
      </c>
      <c r="J517" s="33" t="s">
        <v>143</v>
      </c>
      <c r="K517" s="35" t="n">
        <v>226360034</v>
      </c>
      <c r="L517" s="33" t="s">
        <v>1105</v>
      </c>
      <c r="M517" s="33" t="n">
        <v>104537813</v>
      </c>
      <c r="N517" s="36" t="n">
        <v>0</v>
      </c>
      <c r="O517" s="37" t="n">
        <v>0</v>
      </c>
    </row>
    <row r="518" customFormat="false" ht="15" hidden="false" customHeight="false" outlineLevel="0" collapsed="false">
      <c r="A518" s="32" t="s">
        <v>1265</v>
      </c>
      <c r="B518" s="33" t="s">
        <v>1266</v>
      </c>
      <c r="C518" s="33" t="s">
        <v>28</v>
      </c>
      <c r="D518" s="34" t="n">
        <v>43356</v>
      </c>
      <c r="E518" s="33" t="s">
        <v>102</v>
      </c>
      <c r="F518" s="33" t="n">
        <v>21356941</v>
      </c>
      <c r="G518" s="33" t="n">
        <v>720193</v>
      </c>
      <c r="H518" s="33" t="s">
        <v>34</v>
      </c>
      <c r="I518" s="33" t="s">
        <v>174</v>
      </c>
      <c r="J518" s="33" t="s">
        <v>143</v>
      </c>
      <c r="K518" s="35" t="n">
        <v>226360034</v>
      </c>
      <c r="L518" s="33" t="s">
        <v>1105</v>
      </c>
      <c r="M518" s="33" t="n">
        <v>104537813</v>
      </c>
      <c r="N518" s="36" t="n">
        <v>0</v>
      </c>
      <c r="O518" s="37" t="n">
        <v>0</v>
      </c>
    </row>
    <row r="519" customFormat="false" ht="15" hidden="false" customHeight="false" outlineLevel="0" collapsed="false">
      <c r="A519" s="32" t="s">
        <v>1267</v>
      </c>
      <c r="B519" s="33" t="s">
        <v>1268</v>
      </c>
      <c r="C519" s="33" t="s">
        <v>28</v>
      </c>
      <c r="D519" s="34" t="n">
        <v>43355</v>
      </c>
      <c r="E519" s="33" t="s">
        <v>102</v>
      </c>
      <c r="F519" s="33" t="n">
        <v>21356941</v>
      </c>
      <c r="G519" s="33" t="n">
        <v>720193</v>
      </c>
      <c r="H519" s="33" t="s">
        <v>34</v>
      </c>
      <c r="I519" s="33" t="s">
        <v>174</v>
      </c>
      <c r="J519" s="33" t="s">
        <v>143</v>
      </c>
      <c r="K519" s="35" t="n">
        <v>226360034</v>
      </c>
      <c r="L519" s="33" t="s">
        <v>1105</v>
      </c>
      <c r="M519" s="33" t="n">
        <v>104537813</v>
      </c>
      <c r="N519" s="36" t="n">
        <v>0</v>
      </c>
      <c r="O519" s="37" t="n">
        <v>0</v>
      </c>
    </row>
    <row r="520" customFormat="false" ht="15" hidden="false" customHeight="false" outlineLevel="0" collapsed="false">
      <c r="A520" s="32" t="s">
        <v>1269</v>
      </c>
      <c r="B520" s="33" t="s">
        <v>1270</v>
      </c>
      <c r="C520" s="33" t="s">
        <v>28</v>
      </c>
      <c r="D520" s="34" t="n">
        <v>43354</v>
      </c>
      <c r="E520" s="33" t="s">
        <v>102</v>
      </c>
      <c r="F520" s="33" t="n">
        <v>21356941</v>
      </c>
      <c r="G520" s="33" t="n">
        <v>720193</v>
      </c>
      <c r="H520" s="33" t="s">
        <v>34</v>
      </c>
      <c r="I520" s="33" t="s">
        <v>174</v>
      </c>
      <c r="J520" s="33" t="s">
        <v>143</v>
      </c>
      <c r="K520" s="35" t="n">
        <v>226360034</v>
      </c>
      <c r="L520" s="33" t="s">
        <v>1105</v>
      </c>
      <c r="M520" s="33" t="n">
        <v>104537813</v>
      </c>
      <c r="N520" s="36" t="n">
        <v>0</v>
      </c>
      <c r="O520" s="37" t="n">
        <v>0</v>
      </c>
    </row>
    <row r="521" customFormat="false" ht="15" hidden="false" customHeight="false" outlineLevel="0" collapsed="false">
      <c r="A521" s="32" t="s">
        <v>1271</v>
      </c>
      <c r="B521" s="33" t="s">
        <v>1272</v>
      </c>
      <c r="C521" s="33" t="s">
        <v>28</v>
      </c>
      <c r="D521" s="34" t="n">
        <v>43353</v>
      </c>
      <c r="E521" s="33" t="s">
        <v>102</v>
      </c>
      <c r="F521" s="33" t="n">
        <v>21356941</v>
      </c>
      <c r="G521" s="33" t="n">
        <v>720193</v>
      </c>
      <c r="H521" s="33" t="s">
        <v>34</v>
      </c>
      <c r="I521" s="33" t="s">
        <v>174</v>
      </c>
      <c r="J521" s="33" t="s">
        <v>143</v>
      </c>
      <c r="K521" s="35" t="n">
        <v>226360034</v>
      </c>
      <c r="L521" s="33" t="s">
        <v>1105</v>
      </c>
      <c r="M521" s="33" t="n">
        <v>104537813</v>
      </c>
      <c r="N521" s="36" t="n">
        <v>0</v>
      </c>
      <c r="O521" s="37" t="n">
        <v>0</v>
      </c>
    </row>
    <row r="522" customFormat="false" ht="15" hidden="false" customHeight="false" outlineLevel="0" collapsed="false">
      <c r="A522" s="32" t="s">
        <v>1273</v>
      </c>
      <c r="B522" s="33" t="s">
        <v>1274</v>
      </c>
      <c r="C522" s="33" t="s">
        <v>28</v>
      </c>
      <c r="D522" s="34" t="n">
        <v>43352</v>
      </c>
      <c r="E522" s="33" t="s">
        <v>102</v>
      </c>
      <c r="F522" s="33" t="n">
        <v>21356941</v>
      </c>
      <c r="G522" s="33" t="n">
        <v>720193</v>
      </c>
      <c r="H522" s="33" t="s">
        <v>34</v>
      </c>
      <c r="I522" s="33" t="s">
        <v>174</v>
      </c>
      <c r="J522" s="33" t="s">
        <v>143</v>
      </c>
      <c r="K522" s="35" t="n">
        <v>226360034</v>
      </c>
      <c r="L522" s="33" t="s">
        <v>1105</v>
      </c>
      <c r="M522" s="33" t="n">
        <v>104537813</v>
      </c>
      <c r="N522" s="36" t="n">
        <v>0</v>
      </c>
      <c r="O522" s="37" t="n">
        <v>0</v>
      </c>
    </row>
    <row r="523" customFormat="false" ht="15" hidden="false" customHeight="false" outlineLevel="0" collapsed="false">
      <c r="A523" s="32" t="s">
        <v>1275</v>
      </c>
      <c r="B523" s="33" t="s">
        <v>1276</v>
      </c>
      <c r="C523" s="33" t="s">
        <v>28</v>
      </c>
      <c r="D523" s="34" t="n">
        <v>43358</v>
      </c>
      <c r="E523" s="33" t="s">
        <v>102</v>
      </c>
      <c r="F523" s="33" t="n">
        <v>21356941</v>
      </c>
      <c r="G523" s="33" t="n">
        <v>720193</v>
      </c>
      <c r="H523" s="33" t="s">
        <v>34</v>
      </c>
      <c r="I523" s="33" t="s">
        <v>174</v>
      </c>
      <c r="J523" s="33" t="s">
        <v>144</v>
      </c>
      <c r="K523" s="35" t="n">
        <v>226420298</v>
      </c>
      <c r="L523" s="33" t="s">
        <v>1120</v>
      </c>
      <c r="M523" s="33" t="n">
        <v>104537129</v>
      </c>
      <c r="N523" s="36" t="n">
        <v>0</v>
      </c>
      <c r="O523" s="37" t="n">
        <v>0</v>
      </c>
    </row>
    <row r="524" customFormat="false" ht="15" hidden="false" customHeight="false" outlineLevel="0" collapsed="false">
      <c r="A524" s="32" t="s">
        <v>1277</v>
      </c>
      <c r="B524" s="33" t="s">
        <v>1278</v>
      </c>
      <c r="C524" s="33" t="s">
        <v>28</v>
      </c>
      <c r="D524" s="34" t="n">
        <v>43357</v>
      </c>
      <c r="E524" s="33" t="s">
        <v>102</v>
      </c>
      <c r="F524" s="33" t="n">
        <v>21356941</v>
      </c>
      <c r="G524" s="33" t="n">
        <v>720193</v>
      </c>
      <c r="H524" s="33" t="s">
        <v>34</v>
      </c>
      <c r="I524" s="33" t="s">
        <v>174</v>
      </c>
      <c r="J524" s="33" t="s">
        <v>144</v>
      </c>
      <c r="K524" s="35" t="n">
        <v>226420298</v>
      </c>
      <c r="L524" s="33" t="s">
        <v>1120</v>
      </c>
      <c r="M524" s="33" t="n">
        <v>104537129</v>
      </c>
      <c r="N524" s="36" t="n">
        <v>0</v>
      </c>
      <c r="O524" s="37" t="n">
        <v>0</v>
      </c>
    </row>
    <row r="525" customFormat="false" ht="15" hidden="false" customHeight="false" outlineLevel="0" collapsed="false">
      <c r="A525" s="32" t="s">
        <v>1279</v>
      </c>
      <c r="B525" s="33" t="s">
        <v>1280</v>
      </c>
      <c r="C525" s="33" t="s">
        <v>28</v>
      </c>
      <c r="D525" s="34" t="n">
        <v>43356</v>
      </c>
      <c r="E525" s="33" t="s">
        <v>102</v>
      </c>
      <c r="F525" s="33" t="n">
        <v>21356941</v>
      </c>
      <c r="G525" s="33" t="n">
        <v>720193</v>
      </c>
      <c r="H525" s="33" t="s">
        <v>34</v>
      </c>
      <c r="I525" s="33" t="s">
        <v>174</v>
      </c>
      <c r="J525" s="33" t="s">
        <v>144</v>
      </c>
      <c r="K525" s="35" t="n">
        <v>226420298</v>
      </c>
      <c r="L525" s="33" t="s">
        <v>1120</v>
      </c>
      <c r="M525" s="33" t="n">
        <v>104537129</v>
      </c>
      <c r="N525" s="36" t="n">
        <v>0</v>
      </c>
      <c r="O525" s="37" t="n">
        <v>0</v>
      </c>
    </row>
    <row r="526" customFormat="false" ht="15" hidden="false" customHeight="false" outlineLevel="0" collapsed="false">
      <c r="A526" s="32" t="s">
        <v>1281</v>
      </c>
      <c r="B526" s="33" t="s">
        <v>1282</v>
      </c>
      <c r="C526" s="33" t="s">
        <v>28</v>
      </c>
      <c r="D526" s="34" t="n">
        <v>43355</v>
      </c>
      <c r="E526" s="33" t="s">
        <v>102</v>
      </c>
      <c r="F526" s="33" t="n">
        <v>21356941</v>
      </c>
      <c r="G526" s="33" t="n">
        <v>720193</v>
      </c>
      <c r="H526" s="33" t="s">
        <v>34</v>
      </c>
      <c r="I526" s="33" t="s">
        <v>174</v>
      </c>
      <c r="J526" s="33" t="s">
        <v>144</v>
      </c>
      <c r="K526" s="35" t="n">
        <v>226420298</v>
      </c>
      <c r="L526" s="33" t="s">
        <v>1120</v>
      </c>
      <c r="M526" s="33" t="n">
        <v>104537129</v>
      </c>
      <c r="N526" s="36" t="n">
        <v>0</v>
      </c>
      <c r="O526" s="37" t="n">
        <v>0</v>
      </c>
    </row>
    <row r="527" customFormat="false" ht="15" hidden="false" customHeight="false" outlineLevel="0" collapsed="false">
      <c r="A527" s="32" t="s">
        <v>1283</v>
      </c>
      <c r="B527" s="33" t="s">
        <v>1284</v>
      </c>
      <c r="C527" s="33" t="s">
        <v>28</v>
      </c>
      <c r="D527" s="34" t="n">
        <v>43354</v>
      </c>
      <c r="E527" s="33" t="s">
        <v>102</v>
      </c>
      <c r="F527" s="33" t="n">
        <v>21356941</v>
      </c>
      <c r="G527" s="33" t="n">
        <v>720193</v>
      </c>
      <c r="H527" s="33" t="s">
        <v>34</v>
      </c>
      <c r="I527" s="33" t="s">
        <v>174</v>
      </c>
      <c r="J527" s="33" t="s">
        <v>144</v>
      </c>
      <c r="K527" s="35" t="n">
        <v>226420298</v>
      </c>
      <c r="L527" s="33" t="s">
        <v>1120</v>
      </c>
      <c r="M527" s="33" t="n">
        <v>104537129</v>
      </c>
      <c r="N527" s="36" t="n">
        <v>0</v>
      </c>
      <c r="O527" s="37" t="n">
        <v>0</v>
      </c>
    </row>
    <row r="528" customFormat="false" ht="15" hidden="false" customHeight="false" outlineLevel="0" collapsed="false">
      <c r="A528" s="32" t="s">
        <v>1285</v>
      </c>
      <c r="B528" s="33" t="s">
        <v>1286</v>
      </c>
      <c r="C528" s="33" t="s">
        <v>28</v>
      </c>
      <c r="D528" s="34" t="n">
        <v>43353</v>
      </c>
      <c r="E528" s="33" t="s">
        <v>102</v>
      </c>
      <c r="F528" s="33" t="n">
        <v>21356941</v>
      </c>
      <c r="G528" s="33" t="n">
        <v>720193</v>
      </c>
      <c r="H528" s="33" t="s">
        <v>34</v>
      </c>
      <c r="I528" s="33" t="s">
        <v>174</v>
      </c>
      <c r="J528" s="33" t="s">
        <v>144</v>
      </c>
      <c r="K528" s="35" t="n">
        <v>226420298</v>
      </c>
      <c r="L528" s="33" t="s">
        <v>1120</v>
      </c>
      <c r="M528" s="33" t="n">
        <v>104537129</v>
      </c>
      <c r="N528" s="36" t="n">
        <v>0</v>
      </c>
      <c r="O528" s="37" t="n">
        <v>0</v>
      </c>
    </row>
    <row r="529" customFormat="false" ht="15" hidden="false" customHeight="false" outlineLevel="0" collapsed="false">
      <c r="A529" s="32" t="s">
        <v>1287</v>
      </c>
      <c r="B529" s="33" t="s">
        <v>1288</v>
      </c>
      <c r="C529" s="33" t="s">
        <v>28</v>
      </c>
      <c r="D529" s="34" t="n">
        <v>43352</v>
      </c>
      <c r="E529" s="33" t="s">
        <v>102</v>
      </c>
      <c r="F529" s="33" t="n">
        <v>21356941</v>
      </c>
      <c r="G529" s="33" t="n">
        <v>720193</v>
      </c>
      <c r="H529" s="33" t="s">
        <v>34</v>
      </c>
      <c r="I529" s="33" t="s">
        <v>174</v>
      </c>
      <c r="J529" s="33" t="s">
        <v>144</v>
      </c>
      <c r="K529" s="35" t="n">
        <v>226420298</v>
      </c>
      <c r="L529" s="33" t="s">
        <v>1120</v>
      </c>
      <c r="M529" s="33" t="n">
        <v>104537129</v>
      </c>
      <c r="N529" s="36" t="n">
        <v>0</v>
      </c>
      <c r="O529" s="37" t="n">
        <v>0</v>
      </c>
    </row>
    <row r="530" customFormat="false" ht="15" hidden="false" customHeight="false" outlineLevel="0" collapsed="false">
      <c r="A530" s="32" t="s">
        <v>1289</v>
      </c>
      <c r="B530" s="33" t="s">
        <v>1290</v>
      </c>
      <c r="C530" s="33" t="s">
        <v>28</v>
      </c>
      <c r="D530" s="34" t="n">
        <v>43358</v>
      </c>
      <c r="E530" s="33" t="s">
        <v>102</v>
      </c>
      <c r="F530" s="33" t="n">
        <v>21356941</v>
      </c>
      <c r="G530" s="33" t="n">
        <v>720193</v>
      </c>
      <c r="H530" s="33" t="s">
        <v>34</v>
      </c>
      <c r="I530" s="33" t="s">
        <v>174</v>
      </c>
      <c r="J530" s="33" t="s">
        <v>145</v>
      </c>
      <c r="K530" s="35" t="n">
        <v>226360028</v>
      </c>
      <c r="L530" s="33" t="s">
        <v>1135</v>
      </c>
      <c r="M530" s="33" t="n">
        <v>104537816</v>
      </c>
      <c r="N530" s="36" t="n">
        <v>0</v>
      </c>
      <c r="O530" s="37" t="n">
        <v>0</v>
      </c>
    </row>
    <row r="531" customFormat="false" ht="15" hidden="false" customHeight="false" outlineLevel="0" collapsed="false">
      <c r="A531" s="32" t="s">
        <v>1291</v>
      </c>
      <c r="B531" s="33" t="s">
        <v>1292</v>
      </c>
      <c r="C531" s="33" t="s">
        <v>28</v>
      </c>
      <c r="D531" s="34" t="n">
        <v>43357</v>
      </c>
      <c r="E531" s="33" t="s">
        <v>102</v>
      </c>
      <c r="F531" s="33" t="n">
        <v>21356941</v>
      </c>
      <c r="G531" s="33" t="n">
        <v>720193</v>
      </c>
      <c r="H531" s="33" t="s">
        <v>34</v>
      </c>
      <c r="I531" s="33" t="s">
        <v>174</v>
      </c>
      <c r="J531" s="33" t="s">
        <v>145</v>
      </c>
      <c r="K531" s="35" t="n">
        <v>226360028</v>
      </c>
      <c r="L531" s="33" t="s">
        <v>1135</v>
      </c>
      <c r="M531" s="33" t="n">
        <v>104537816</v>
      </c>
      <c r="N531" s="36" t="n">
        <v>0</v>
      </c>
      <c r="O531" s="37" t="n">
        <v>0</v>
      </c>
    </row>
    <row r="532" customFormat="false" ht="15" hidden="false" customHeight="false" outlineLevel="0" collapsed="false">
      <c r="A532" s="32" t="s">
        <v>1293</v>
      </c>
      <c r="B532" s="33" t="s">
        <v>1294</v>
      </c>
      <c r="C532" s="33" t="s">
        <v>28</v>
      </c>
      <c r="D532" s="34" t="n">
        <v>43356</v>
      </c>
      <c r="E532" s="33" t="s">
        <v>102</v>
      </c>
      <c r="F532" s="33" t="n">
        <v>21356941</v>
      </c>
      <c r="G532" s="33" t="n">
        <v>720193</v>
      </c>
      <c r="H532" s="33" t="s">
        <v>34</v>
      </c>
      <c r="I532" s="33" t="s">
        <v>174</v>
      </c>
      <c r="J532" s="33" t="s">
        <v>145</v>
      </c>
      <c r="K532" s="35" t="n">
        <v>226360028</v>
      </c>
      <c r="L532" s="33" t="s">
        <v>1135</v>
      </c>
      <c r="M532" s="33" t="n">
        <v>104537816</v>
      </c>
      <c r="N532" s="36" t="n">
        <v>0</v>
      </c>
      <c r="O532" s="37" t="n">
        <v>0</v>
      </c>
    </row>
    <row r="533" customFormat="false" ht="15" hidden="false" customHeight="false" outlineLevel="0" collapsed="false">
      <c r="A533" s="32" t="s">
        <v>1295</v>
      </c>
      <c r="B533" s="33" t="s">
        <v>1296</v>
      </c>
      <c r="C533" s="33" t="s">
        <v>28</v>
      </c>
      <c r="D533" s="34" t="n">
        <v>43355</v>
      </c>
      <c r="E533" s="33" t="s">
        <v>102</v>
      </c>
      <c r="F533" s="33" t="n">
        <v>21356941</v>
      </c>
      <c r="G533" s="33" t="n">
        <v>720193</v>
      </c>
      <c r="H533" s="33" t="s">
        <v>34</v>
      </c>
      <c r="I533" s="33" t="s">
        <v>174</v>
      </c>
      <c r="J533" s="33" t="s">
        <v>145</v>
      </c>
      <c r="K533" s="35" t="n">
        <v>226360028</v>
      </c>
      <c r="L533" s="33" t="s">
        <v>1135</v>
      </c>
      <c r="M533" s="33" t="n">
        <v>104537816</v>
      </c>
      <c r="N533" s="36" t="n">
        <v>0</v>
      </c>
      <c r="O533" s="37" t="n">
        <v>0</v>
      </c>
    </row>
    <row r="534" customFormat="false" ht="15" hidden="false" customHeight="false" outlineLevel="0" collapsed="false">
      <c r="A534" s="32" t="s">
        <v>1297</v>
      </c>
      <c r="B534" s="33" t="s">
        <v>1298</v>
      </c>
      <c r="C534" s="33" t="s">
        <v>28</v>
      </c>
      <c r="D534" s="34" t="n">
        <v>43354</v>
      </c>
      <c r="E534" s="33" t="s">
        <v>102</v>
      </c>
      <c r="F534" s="33" t="n">
        <v>21356941</v>
      </c>
      <c r="G534" s="33" t="n">
        <v>720193</v>
      </c>
      <c r="H534" s="33" t="s">
        <v>34</v>
      </c>
      <c r="I534" s="33" t="s">
        <v>174</v>
      </c>
      <c r="J534" s="33" t="s">
        <v>145</v>
      </c>
      <c r="K534" s="35" t="n">
        <v>226360028</v>
      </c>
      <c r="L534" s="33" t="s">
        <v>1135</v>
      </c>
      <c r="M534" s="33" t="n">
        <v>104537816</v>
      </c>
      <c r="N534" s="36" t="n">
        <v>0</v>
      </c>
      <c r="O534" s="37" t="n">
        <v>0</v>
      </c>
    </row>
    <row r="535" customFormat="false" ht="15" hidden="false" customHeight="false" outlineLevel="0" collapsed="false">
      <c r="A535" s="32" t="s">
        <v>1299</v>
      </c>
      <c r="B535" s="33" t="s">
        <v>1300</v>
      </c>
      <c r="C535" s="33" t="s">
        <v>28</v>
      </c>
      <c r="D535" s="34" t="n">
        <v>43353</v>
      </c>
      <c r="E535" s="33" t="s">
        <v>102</v>
      </c>
      <c r="F535" s="33" t="n">
        <v>21356941</v>
      </c>
      <c r="G535" s="33" t="n">
        <v>720193</v>
      </c>
      <c r="H535" s="33" t="s">
        <v>34</v>
      </c>
      <c r="I535" s="33" t="s">
        <v>174</v>
      </c>
      <c r="J535" s="33" t="s">
        <v>145</v>
      </c>
      <c r="K535" s="35" t="n">
        <v>226360028</v>
      </c>
      <c r="L535" s="33" t="s">
        <v>1135</v>
      </c>
      <c r="M535" s="33" t="n">
        <v>104537816</v>
      </c>
      <c r="N535" s="36" t="n">
        <v>0</v>
      </c>
      <c r="O535" s="37" t="n">
        <v>0</v>
      </c>
    </row>
    <row r="536" customFormat="false" ht="15" hidden="false" customHeight="false" outlineLevel="0" collapsed="false">
      <c r="A536" s="32" t="s">
        <v>1301</v>
      </c>
      <c r="B536" s="33" t="s">
        <v>1302</v>
      </c>
      <c r="C536" s="33" t="s">
        <v>28</v>
      </c>
      <c r="D536" s="34" t="n">
        <v>43352</v>
      </c>
      <c r="E536" s="33" t="s">
        <v>102</v>
      </c>
      <c r="F536" s="33" t="n">
        <v>21356941</v>
      </c>
      <c r="G536" s="33" t="n">
        <v>720193</v>
      </c>
      <c r="H536" s="33" t="s">
        <v>34</v>
      </c>
      <c r="I536" s="33" t="s">
        <v>174</v>
      </c>
      <c r="J536" s="33" t="s">
        <v>145</v>
      </c>
      <c r="K536" s="35" t="n">
        <v>226360028</v>
      </c>
      <c r="L536" s="33" t="s">
        <v>1135</v>
      </c>
      <c r="M536" s="33" t="n">
        <v>104537816</v>
      </c>
      <c r="N536" s="36" t="n">
        <v>0</v>
      </c>
      <c r="O536" s="37" t="n">
        <v>0</v>
      </c>
    </row>
    <row r="537" customFormat="false" ht="15" hidden="false" customHeight="false" outlineLevel="0" collapsed="false">
      <c r="A537" s="32" t="s">
        <v>1303</v>
      </c>
      <c r="B537" s="33" t="s">
        <v>1304</v>
      </c>
      <c r="C537" s="33" t="s">
        <v>28</v>
      </c>
      <c r="D537" s="34" t="n">
        <v>43358</v>
      </c>
      <c r="E537" s="33" t="s">
        <v>102</v>
      </c>
      <c r="F537" s="33" t="n">
        <v>21356941</v>
      </c>
      <c r="G537" s="33" t="n">
        <v>720193</v>
      </c>
      <c r="H537" s="33" t="s">
        <v>34</v>
      </c>
      <c r="I537" s="33" t="s">
        <v>174</v>
      </c>
      <c r="J537" s="33" t="s">
        <v>146</v>
      </c>
      <c r="K537" s="35" t="n">
        <v>226360040</v>
      </c>
      <c r="L537" s="33" t="s">
        <v>1150</v>
      </c>
      <c r="M537" s="33" t="n">
        <v>104537132</v>
      </c>
      <c r="N537" s="36" t="n">
        <v>0</v>
      </c>
      <c r="O537" s="37" t="n">
        <v>0</v>
      </c>
    </row>
    <row r="538" customFormat="false" ht="15" hidden="false" customHeight="false" outlineLevel="0" collapsed="false">
      <c r="A538" s="32" t="s">
        <v>1305</v>
      </c>
      <c r="B538" s="33" t="s">
        <v>1306</v>
      </c>
      <c r="C538" s="33" t="s">
        <v>28</v>
      </c>
      <c r="D538" s="34" t="n">
        <v>43357</v>
      </c>
      <c r="E538" s="33" t="s">
        <v>102</v>
      </c>
      <c r="F538" s="33" t="n">
        <v>21356941</v>
      </c>
      <c r="G538" s="33" t="n">
        <v>720193</v>
      </c>
      <c r="H538" s="33" t="s">
        <v>34</v>
      </c>
      <c r="I538" s="33" t="s">
        <v>174</v>
      </c>
      <c r="J538" s="33" t="s">
        <v>146</v>
      </c>
      <c r="K538" s="35" t="n">
        <v>226360040</v>
      </c>
      <c r="L538" s="33" t="s">
        <v>1150</v>
      </c>
      <c r="M538" s="33" t="n">
        <v>104537132</v>
      </c>
      <c r="N538" s="36" t="n">
        <v>0</v>
      </c>
      <c r="O538" s="37" t="n">
        <v>0</v>
      </c>
    </row>
    <row r="539" customFormat="false" ht="15" hidden="false" customHeight="false" outlineLevel="0" collapsed="false">
      <c r="A539" s="32" t="s">
        <v>1307</v>
      </c>
      <c r="B539" s="33" t="s">
        <v>1308</v>
      </c>
      <c r="C539" s="33" t="s">
        <v>28</v>
      </c>
      <c r="D539" s="34" t="n">
        <v>43356</v>
      </c>
      <c r="E539" s="33" t="s">
        <v>102</v>
      </c>
      <c r="F539" s="33" t="n">
        <v>21356941</v>
      </c>
      <c r="G539" s="33" t="n">
        <v>720193</v>
      </c>
      <c r="H539" s="33" t="s">
        <v>34</v>
      </c>
      <c r="I539" s="33" t="s">
        <v>174</v>
      </c>
      <c r="J539" s="33" t="s">
        <v>146</v>
      </c>
      <c r="K539" s="35" t="n">
        <v>226360040</v>
      </c>
      <c r="L539" s="33" t="s">
        <v>1150</v>
      </c>
      <c r="M539" s="33" t="n">
        <v>104537132</v>
      </c>
      <c r="N539" s="36" t="n">
        <v>0</v>
      </c>
      <c r="O539" s="37" t="n">
        <v>0</v>
      </c>
    </row>
    <row r="540" customFormat="false" ht="15" hidden="false" customHeight="false" outlineLevel="0" collapsed="false">
      <c r="A540" s="32" t="s">
        <v>1309</v>
      </c>
      <c r="B540" s="33" t="s">
        <v>1310</v>
      </c>
      <c r="C540" s="33" t="s">
        <v>28</v>
      </c>
      <c r="D540" s="34" t="n">
        <v>43355</v>
      </c>
      <c r="E540" s="33" t="s">
        <v>102</v>
      </c>
      <c r="F540" s="33" t="n">
        <v>21356941</v>
      </c>
      <c r="G540" s="33" t="n">
        <v>720193</v>
      </c>
      <c r="H540" s="33" t="s">
        <v>34</v>
      </c>
      <c r="I540" s="33" t="s">
        <v>174</v>
      </c>
      <c r="J540" s="33" t="s">
        <v>146</v>
      </c>
      <c r="K540" s="35" t="n">
        <v>226360040</v>
      </c>
      <c r="L540" s="33" t="s">
        <v>1150</v>
      </c>
      <c r="M540" s="33" t="n">
        <v>104537132</v>
      </c>
      <c r="N540" s="36" t="n">
        <v>0</v>
      </c>
      <c r="O540" s="37" t="n">
        <v>0</v>
      </c>
    </row>
    <row r="541" customFormat="false" ht="15" hidden="false" customHeight="false" outlineLevel="0" collapsed="false">
      <c r="A541" s="32" t="s">
        <v>1311</v>
      </c>
      <c r="B541" s="33" t="s">
        <v>1312</v>
      </c>
      <c r="C541" s="33" t="s">
        <v>28</v>
      </c>
      <c r="D541" s="34" t="n">
        <v>43354</v>
      </c>
      <c r="E541" s="33" t="s">
        <v>102</v>
      </c>
      <c r="F541" s="33" t="n">
        <v>21356941</v>
      </c>
      <c r="G541" s="33" t="n">
        <v>720193</v>
      </c>
      <c r="H541" s="33" t="s">
        <v>34</v>
      </c>
      <c r="I541" s="33" t="s">
        <v>174</v>
      </c>
      <c r="J541" s="33" t="s">
        <v>146</v>
      </c>
      <c r="K541" s="35" t="n">
        <v>226360040</v>
      </c>
      <c r="L541" s="33" t="s">
        <v>1150</v>
      </c>
      <c r="M541" s="33" t="n">
        <v>104537132</v>
      </c>
      <c r="N541" s="36" t="n">
        <v>0</v>
      </c>
      <c r="O541" s="37" t="n">
        <v>0</v>
      </c>
    </row>
    <row r="542" customFormat="false" ht="15" hidden="false" customHeight="false" outlineLevel="0" collapsed="false">
      <c r="A542" s="32" t="s">
        <v>1313</v>
      </c>
      <c r="B542" s="33" t="s">
        <v>1314</v>
      </c>
      <c r="C542" s="33" t="s">
        <v>28</v>
      </c>
      <c r="D542" s="34" t="n">
        <v>43353</v>
      </c>
      <c r="E542" s="33" t="s">
        <v>102</v>
      </c>
      <c r="F542" s="33" t="n">
        <v>21356941</v>
      </c>
      <c r="G542" s="33" t="n">
        <v>720193</v>
      </c>
      <c r="H542" s="33" t="s">
        <v>34</v>
      </c>
      <c r="I542" s="33" t="s">
        <v>174</v>
      </c>
      <c r="J542" s="33" t="s">
        <v>146</v>
      </c>
      <c r="K542" s="35" t="n">
        <v>226360040</v>
      </c>
      <c r="L542" s="33" t="s">
        <v>1150</v>
      </c>
      <c r="M542" s="33" t="n">
        <v>104537132</v>
      </c>
      <c r="N542" s="36" t="n">
        <v>0</v>
      </c>
      <c r="O542" s="37" t="n">
        <v>0</v>
      </c>
    </row>
    <row r="543" customFormat="false" ht="15" hidden="false" customHeight="false" outlineLevel="0" collapsed="false">
      <c r="A543" s="32" t="s">
        <v>1315</v>
      </c>
      <c r="B543" s="33" t="s">
        <v>1316</v>
      </c>
      <c r="C543" s="33" t="s">
        <v>28</v>
      </c>
      <c r="D543" s="34" t="n">
        <v>43352</v>
      </c>
      <c r="E543" s="33" t="s">
        <v>102</v>
      </c>
      <c r="F543" s="33" t="n">
        <v>21356941</v>
      </c>
      <c r="G543" s="33" t="n">
        <v>720193</v>
      </c>
      <c r="H543" s="33" t="s">
        <v>34</v>
      </c>
      <c r="I543" s="33" t="s">
        <v>174</v>
      </c>
      <c r="J543" s="33" t="s">
        <v>146</v>
      </c>
      <c r="K543" s="35" t="n">
        <v>226360040</v>
      </c>
      <c r="L543" s="33" t="s">
        <v>1150</v>
      </c>
      <c r="M543" s="33" t="n">
        <v>104537132</v>
      </c>
      <c r="N543" s="36" t="n">
        <v>0</v>
      </c>
      <c r="O543" s="37" t="n">
        <v>0</v>
      </c>
    </row>
    <row r="544" customFormat="false" ht="15" hidden="false" customHeight="false" outlineLevel="0" collapsed="false">
      <c r="A544" s="32" t="s">
        <v>1317</v>
      </c>
      <c r="B544" s="33" t="s">
        <v>1318</v>
      </c>
      <c r="C544" s="33" t="s">
        <v>28</v>
      </c>
      <c r="D544" s="34" t="n">
        <v>43358</v>
      </c>
      <c r="E544" s="33" t="s">
        <v>102</v>
      </c>
      <c r="F544" s="33" t="n">
        <v>21356941</v>
      </c>
      <c r="G544" s="33" t="n">
        <v>720193</v>
      </c>
      <c r="H544" s="33" t="s">
        <v>34</v>
      </c>
      <c r="I544" s="33" t="s">
        <v>174</v>
      </c>
      <c r="J544" s="33" t="s">
        <v>147</v>
      </c>
      <c r="K544" s="35" t="n">
        <v>226359938</v>
      </c>
      <c r="L544" s="33" t="s">
        <v>1319</v>
      </c>
      <c r="M544" s="33" t="n">
        <v>104456278</v>
      </c>
      <c r="N544" s="36" t="n">
        <v>6229</v>
      </c>
      <c r="O544" s="37" t="n">
        <v>44.75</v>
      </c>
    </row>
    <row r="545" customFormat="false" ht="15" hidden="false" customHeight="false" outlineLevel="0" collapsed="false">
      <c r="A545" s="32" t="s">
        <v>1320</v>
      </c>
      <c r="B545" s="33" t="s">
        <v>1321</v>
      </c>
      <c r="C545" s="33" t="s">
        <v>28</v>
      </c>
      <c r="D545" s="34" t="n">
        <v>43357</v>
      </c>
      <c r="E545" s="33" t="s">
        <v>102</v>
      </c>
      <c r="F545" s="33" t="n">
        <v>21356941</v>
      </c>
      <c r="G545" s="33" t="n">
        <v>720193</v>
      </c>
      <c r="H545" s="33" t="s">
        <v>34</v>
      </c>
      <c r="I545" s="33" t="s">
        <v>174</v>
      </c>
      <c r="J545" s="33" t="s">
        <v>147</v>
      </c>
      <c r="K545" s="35" t="n">
        <v>226359938</v>
      </c>
      <c r="L545" s="33" t="s">
        <v>1319</v>
      </c>
      <c r="M545" s="33" t="n">
        <v>104456278</v>
      </c>
      <c r="N545" s="36" t="n">
        <v>6430</v>
      </c>
      <c r="O545" s="37" t="n">
        <v>44.9</v>
      </c>
    </row>
    <row r="546" customFormat="false" ht="15" hidden="false" customHeight="false" outlineLevel="0" collapsed="false">
      <c r="A546" s="32" t="s">
        <v>1322</v>
      </c>
      <c r="B546" s="33" t="s">
        <v>1323</v>
      </c>
      <c r="C546" s="33" t="s">
        <v>28</v>
      </c>
      <c r="D546" s="34" t="n">
        <v>43356</v>
      </c>
      <c r="E546" s="33" t="s">
        <v>102</v>
      </c>
      <c r="F546" s="33" t="n">
        <v>21356941</v>
      </c>
      <c r="G546" s="33" t="n">
        <v>720193</v>
      </c>
      <c r="H546" s="33" t="s">
        <v>34</v>
      </c>
      <c r="I546" s="33" t="s">
        <v>174</v>
      </c>
      <c r="J546" s="33" t="s">
        <v>147</v>
      </c>
      <c r="K546" s="35" t="n">
        <v>226359938</v>
      </c>
      <c r="L546" s="33" t="s">
        <v>1319</v>
      </c>
      <c r="M546" s="33" t="n">
        <v>104456278</v>
      </c>
      <c r="N546" s="36" t="n">
        <v>7296</v>
      </c>
      <c r="O546" s="37" t="n">
        <v>44.8</v>
      </c>
    </row>
    <row r="547" customFormat="false" ht="15" hidden="false" customHeight="false" outlineLevel="0" collapsed="false">
      <c r="A547" s="32" t="s">
        <v>1324</v>
      </c>
      <c r="B547" s="33" t="s">
        <v>1325</v>
      </c>
      <c r="C547" s="33" t="s">
        <v>28</v>
      </c>
      <c r="D547" s="34" t="n">
        <v>43355</v>
      </c>
      <c r="E547" s="33" t="s">
        <v>102</v>
      </c>
      <c r="F547" s="33" t="n">
        <v>21356941</v>
      </c>
      <c r="G547" s="33" t="n">
        <v>720193</v>
      </c>
      <c r="H547" s="33" t="s">
        <v>34</v>
      </c>
      <c r="I547" s="33" t="s">
        <v>174</v>
      </c>
      <c r="J547" s="33" t="s">
        <v>147</v>
      </c>
      <c r="K547" s="35" t="n">
        <v>226359938</v>
      </c>
      <c r="L547" s="33" t="s">
        <v>1319</v>
      </c>
      <c r="M547" s="33" t="n">
        <v>104456278</v>
      </c>
      <c r="N547" s="36" t="n">
        <v>6981</v>
      </c>
      <c r="O547" s="37" t="n">
        <v>45.69</v>
      </c>
    </row>
    <row r="548" customFormat="false" ht="15" hidden="false" customHeight="false" outlineLevel="0" collapsed="false">
      <c r="A548" s="32" t="s">
        <v>1326</v>
      </c>
      <c r="B548" s="33" t="s">
        <v>1327</v>
      </c>
      <c r="C548" s="33" t="s">
        <v>28</v>
      </c>
      <c r="D548" s="34" t="n">
        <v>43354</v>
      </c>
      <c r="E548" s="33" t="s">
        <v>102</v>
      </c>
      <c r="F548" s="33" t="n">
        <v>21356941</v>
      </c>
      <c r="G548" s="33" t="n">
        <v>720193</v>
      </c>
      <c r="H548" s="33" t="s">
        <v>34</v>
      </c>
      <c r="I548" s="33" t="s">
        <v>174</v>
      </c>
      <c r="J548" s="33" t="s">
        <v>147</v>
      </c>
      <c r="K548" s="35" t="n">
        <v>226359938</v>
      </c>
      <c r="L548" s="33" t="s">
        <v>1319</v>
      </c>
      <c r="M548" s="33" t="n">
        <v>104456278</v>
      </c>
      <c r="N548" s="36" t="n">
        <v>7296</v>
      </c>
      <c r="O548" s="37" t="n">
        <v>41.31</v>
      </c>
    </row>
    <row r="549" customFormat="false" ht="15" hidden="false" customHeight="false" outlineLevel="0" collapsed="false">
      <c r="A549" s="32" t="s">
        <v>1328</v>
      </c>
      <c r="B549" s="33" t="s">
        <v>1329</v>
      </c>
      <c r="C549" s="33" t="s">
        <v>28</v>
      </c>
      <c r="D549" s="34" t="n">
        <v>43353</v>
      </c>
      <c r="E549" s="33" t="s">
        <v>102</v>
      </c>
      <c r="F549" s="33" t="n">
        <v>21356941</v>
      </c>
      <c r="G549" s="33" t="n">
        <v>720193</v>
      </c>
      <c r="H549" s="33" t="s">
        <v>34</v>
      </c>
      <c r="I549" s="33" t="s">
        <v>174</v>
      </c>
      <c r="J549" s="33" t="s">
        <v>147</v>
      </c>
      <c r="K549" s="35" t="n">
        <v>226359938</v>
      </c>
      <c r="L549" s="33" t="s">
        <v>1319</v>
      </c>
      <c r="M549" s="33" t="n">
        <v>104456278</v>
      </c>
      <c r="N549" s="36" t="n">
        <v>7849</v>
      </c>
      <c r="O549" s="37" t="n">
        <v>42.98</v>
      </c>
    </row>
    <row r="550" customFormat="false" ht="15" hidden="false" customHeight="false" outlineLevel="0" collapsed="false">
      <c r="A550" s="32" t="s">
        <v>1330</v>
      </c>
      <c r="B550" s="33" t="s">
        <v>1331</v>
      </c>
      <c r="C550" s="33" t="s">
        <v>28</v>
      </c>
      <c r="D550" s="34" t="n">
        <v>43352</v>
      </c>
      <c r="E550" s="33" t="s">
        <v>102</v>
      </c>
      <c r="F550" s="33" t="n">
        <v>21356941</v>
      </c>
      <c r="G550" s="33" t="n">
        <v>720193</v>
      </c>
      <c r="H550" s="33" t="s">
        <v>34</v>
      </c>
      <c r="I550" s="33" t="s">
        <v>174</v>
      </c>
      <c r="J550" s="33" t="s">
        <v>147</v>
      </c>
      <c r="K550" s="35" t="n">
        <v>226359938</v>
      </c>
      <c r="L550" s="33" t="s">
        <v>1319</v>
      </c>
      <c r="M550" s="33" t="n">
        <v>104456278</v>
      </c>
      <c r="N550" s="36" t="n">
        <v>8495</v>
      </c>
      <c r="O550" s="37" t="n">
        <v>47.42</v>
      </c>
    </row>
    <row r="551" customFormat="false" ht="15" hidden="false" customHeight="false" outlineLevel="0" collapsed="false">
      <c r="A551" s="32" t="s">
        <v>1332</v>
      </c>
      <c r="B551" s="33" t="s">
        <v>1333</v>
      </c>
      <c r="C551" s="33" t="s">
        <v>28</v>
      </c>
      <c r="D551" s="34" t="n">
        <v>43358</v>
      </c>
      <c r="E551" s="33" t="s">
        <v>102</v>
      </c>
      <c r="F551" s="33" t="n">
        <v>21356941</v>
      </c>
      <c r="G551" s="33" t="n">
        <v>720193</v>
      </c>
      <c r="H551" s="33" t="s">
        <v>34</v>
      </c>
      <c r="I551" s="33" t="s">
        <v>174</v>
      </c>
      <c r="J551" s="33" t="s">
        <v>148</v>
      </c>
      <c r="K551" s="35" t="n">
        <v>226359935</v>
      </c>
      <c r="L551" s="33" t="s">
        <v>1334</v>
      </c>
      <c r="M551" s="33" t="n">
        <v>104458003</v>
      </c>
      <c r="N551" s="36" t="n">
        <v>1</v>
      </c>
      <c r="O551" s="37" t="n">
        <v>0</v>
      </c>
    </row>
    <row r="552" customFormat="false" ht="15" hidden="false" customHeight="false" outlineLevel="0" collapsed="false">
      <c r="A552" s="32" t="s">
        <v>1335</v>
      </c>
      <c r="B552" s="33" t="s">
        <v>1336</v>
      </c>
      <c r="C552" s="33" t="s">
        <v>28</v>
      </c>
      <c r="D552" s="34" t="n">
        <v>43357</v>
      </c>
      <c r="E552" s="33" t="s">
        <v>102</v>
      </c>
      <c r="F552" s="33" t="n">
        <v>21356941</v>
      </c>
      <c r="G552" s="33" t="n">
        <v>720193</v>
      </c>
      <c r="H552" s="33" t="s">
        <v>34</v>
      </c>
      <c r="I552" s="33" t="s">
        <v>174</v>
      </c>
      <c r="J552" s="33" t="s">
        <v>148</v>
      </c>
      <c r="K552" s="35" t="n">
        <v>226359935</v>
      </c>
      <c r="L552" s="33" t="s">
        <v>1334</v>
      </c>
      <c r="M552" s="33" t="n">
        <v>104458003</v>
      </c>
      <c r="N552" s="36" t="n">
        <v>1</v>
      </c>
      <c r="O552" s="37" t="n">
        <v>0</v>
      </c>
    </row>
    <row r="553" customFormat="false" ht="15" hidden="false" customHeight="false" outlineLevel="0" collapsed="false">
      <c r="A553" s="32" t="s">
        <v>1337</v>
      </c>
      <c r="B553" s="33" t="s">
        <v>1338</v>
      </c>
      <c r="C553" s="33" t="s">
        <v>28</v>
      </c>
      <c r="D553" s="34" t="n">
        <v>43356</v>
      </c>
      <c r="E553" s="33" t="s">
        <v>102</v>
      </c>
      <c r="F553" s="33" t="n">
        <v>21356941</v>
      </c>
      <c r="G553" s="33" t="n">
        <v>720193</v>
      </c>
      <c r="H553" s="33" t="s">
        <v>34</v>
      </c>
      <c r="I553" s="33" t="s">
        <v>174</v>
      </c>
      <c r="J553" s="33" t="s">
        <v>148</v>
      </c>
      <c r="K553" s="35" t="n">
        <v>226359935</v>
      </c>
      <c r="L553" s="33" t="s">
        <v>1334</v>
      </c>
      <c r="M553" s="33" t="n">
        <v>104458003</v>
      </c>
      <c r="N553" s="36" t="n">
        <v>1</v>
      </c>
      <c r="O553" s="37" t="n">
        <v>0</v>
      </c>
    </row>
    <row r="554" customFormat="false" ht="15" hidden="false" customHeight="false" outlineLevel="0" collapsed="false">
      <c r="A554" s="32" t="s">
        <v>1339</v>
      </c>
      <c r="B554" s="33" t="s">
        <v>1340</v>
      </c>
      <c r="C554" s="33" t="s">
        <v>28</v>
      </c>
      <c r="D554" s="34" t="n">
        <v>43355</v>
      </c>
      <c r="E554" s="33" t="s">
        <v>102</v>
      </c>
      <c r="F554" s="33" t="n">
        <v>21356941</v>
      </c>
      <c r="G554" s="33" t="n">
        <v>720193</v>
      </c>
      <c r="H554" s="33" t="s">
        <v>34</v>
      </c>
      <c r="I554" s="33" t="s">
        <v>174</v>
      </c>
      <c r="J554" s="33" t="s">
        <v>148</v>
      </c>
      <c r="K554" s="35" t="n">
        <v>226359935</v>
      </c>
      <c r="L554" s="33" t="s">
        <v>1334</v>
      </c>
      <c r="M554" s="33" t="n">
        <v>104458003</v>
      </c>
      <c r="N554" s="36" t="n">
        <v>0</v>
      </c>
      <c r="O554" s="37" t="n">
        <v>0</v>
      </c>
    </row>
    <row r="555" customFormat="false" ht="15" hidden="false" customHeight="false" outlineLevel="0" collapsed="false">
      <c r="A555" s="32" t="s">
        <v>1341</v>
      </c>
      <c r="B555" s="33" t="s">
        <v>1342</v>
      </c>
      <c r="C555" s="33" t="s">
        <v>28</v>
      </c>
      <c r="D555" s="34" t="n">
        <v>43354</v>
      </c>
      <c r="E555" s="33" t="s">
        <v>102</v>
      </c>
      <c r="F555" s="33" t="n">
        <v>21356941</v>
      </c>
      <c r="G555" s="33" t="n">
        <v>720193</v>
      </c>
      <c r="H555" s="33" t="s">
        <v>34</v>
      </c>
      <c r="I555" s="33" t="s">
        <v>174</v>
      </c>
      <c r="J555" s="33" t="s">
        <v>148</v>
      </c>
      <c r="K555" s="35" t="n">
        <v>226359935</v>
      </c>
      <c r="L555" s="33" t="s">
        <v>1334</v>
      </c>
      <c r="M555" s="33" t="n">
        <v>104458003</v>
      </c>
      <c r="N555" s="36" t="n">
        <v>6</v>
      </c>
      <c r="O555" s="37" t="n">
        <v>0.03</v>
      </c>
    </row>
    <row r="556" customFormat="false" ht="15" hidden="false" customHeight="false" outlineLevel="0" collapsed="false">
      <c r="A556" s="32" t="s">
        <v>1343</v>
      </c>
      <c r="B556" s="33" t="s">
        <v>1344</v>
      </c>
      <c r="C556" s="33" t="s">
        <v>28</v>
      </c>
      <c r="D556" s="34" t="n">
        <v>43353</v>
      </c>
      <c r="E556" s="33" t="s">
        <v>102</v>
      </c>
      <c r="F556" s="33" t="n">
        <v>21356941</v>
      </c>
      <c r="G556" s="33" t="n">
        <v>720193</v>
      </c>
      <c r="H556" s="33" t="s">
        <v>34</v>
      </c>
      <c r="I556" s="33" t="s">
        <v>174</v>
      </c>
      <c r="J556" s="33" t="s">
        <v>148</v>
      </c>
      <c r="K556" s="35" t="n">
        <v>226359935</v>
      </c>
      <c r="L556" s="33" t="s">
        <v>1334</v>
      </c>
      <c r="M556" s="33" t="n">
        <v>104458003</v>
      </c>
      <c r="N556" s="36" t="n">
        <v>5</v>
      </c>
      <c r="O556" s="37" t="n">
        <v>0.05</v>
      </c>
    </row>
    <row r="557" customFormat="false" ht="15" hidden="false" customHeight="false" outlineLevel="0" collapsed="false">
      <c r="A557" s="32" t="s">
        <v>1345</v>
      </c>
      <c r="B557" s="33" t="s">
        <v>1346</v>
      </c>
      <c r="C557" s="33" t="s">
        <v>28</v>
      </c>
      <c r="D557" s="34" t="n">
        <v>43352</v>
      </c>
      <c r="E557" s="33" t="s">
        <v>102</v>
      </c>
      <c r="F557" s="33" t="n">
        <v>21356941</v>
      </c>
      <c r="G557" s="33" t="n">
        <v>720193</v>
      </c>
      <c r="H557" s="33" t="s">
        <v>34</v>
      </c>
      <c r="I557" s="33" t="s">
        <v>174</v>
      </c>
      <c r="J557" s="33" t="s">
        <v>148</v>
      </c>
      <c r="K557" s="35" t="n">
        <v>226359935</v>
      </c>
      <c r="L557" s="33" t="s">
        <v>1334</v>
      </c>
      <c r="M557" s="33" t="n">
        <v>104458003</v>
      </c>
      <c r="N557" s="36" t="n">
        <v>8</v>
      </c>
      <c r="O557" s="37" t="n">
        <v>0.04</v>
      </c>
    </row>
    <row r="558" customFormat="false" ht="15" hidden="false" customHeight="false" outlineLevel="0" collapsed="false">
      <c r="A558" s="32" t="s">
        <v>1347</v>
      </c>
      <c r="B558" s="33" t="s">
        <v>1348</v>
      </c>
      <c r="C558" s="33" t="s">
        <v>28</v>
      </c>
      <c r="D558" s="34" t="n">
        <v>43358</v>
      </c>
      <c r="E558" s="33" t="s">
        <v>102</v>
      </c>
      <c r="F558" s="33" t="n">
        <v>21356941</v>
      </c>
      <c r="G558" s="33" t="n">
        <v>720193</v>
      </c>
      <c r="H558" s="33" t="s">
        <v>34</v>
      </c>
      <c r="I558" s="33" t="s">
        <v>174</v>
      </c>
      <c r="J558" s="33" t="s">
        <v>149</v>
      </c>
      <c r="K558" s="35" t="n">
        <v>226359941</v>
      </c>
      <c r="L558" s="33" t="s">
        <v>1349</v>
      </c>
      <c r="M558" s="33" t="n">
        <v>104455906</v>
      </c>
      <c r="N558" s="36" t="n">
        <v>0</v>
      </c>
      <c r="O558" s="37" t="n">
        <v>0</v>
      </c>
    </row>
    <row r="559" customFormat="false" ht="15" hidden="false" customHeight="false" outlineLevel="0" collapsed="false">
      <c r="A559" s="32" t="s">
        <v>1350</v>
      </c>
      <c r="B559" s="33" t="s">
        <v>1351</v>
      </c>
      <c r="C559" s="33" t="s">
        <v>28</v>
      </c>
      <c r="D559" s="34" t="n">
        <v>43357</v>
      </c>
      <c r="E559" s="33" t="s">
        <v>102</v>
      </c>
      <c r="F559" s="33" t="n">
        <v>21356941</v>
      </c>
      <c r="G559" s="33" t="n">
        <v>720193</v>
      </c>
      <c r="H559" s="33" t="s">
        <v>34</v>
      </c>
      <c r="I559" s="33" t="s">
        <v>174</v>
      </c>
      <c r="J559" s="33" t="s">
        <v>149</v>
      </c>
      <c r="K559" s="35" t="n">
        <v>226359941</v>
      </c>
      <c r="L559" s="33" t="s">
        <v>1349</v>
      </c>
      <c r="M559" s="33" t="n">
        <v>104455906</v>
      </c>
      <c r="N559" s="36" t="n">
        <v>0</v>
      </c>
      <c r="O559" s="37" t="n">
        <v>0</v>
      </c>
    </row>
    <row r="560" customFormat="false" ht="15" hidden="false" customHeight="false" outlineLevel="0" collapsed="false">
      <c r="A560" s="32" t="s">
        <v>1352</v>
      </c>
      <c r="B560" s="33" t="s">
        <v>1353</v>
      </c>
      <c r="C560" s="33" t="s">
        <v>28</v>
      </c>
      <c r="D560" s="34" t="n">
        <v>43356</v>
      </c>
      <c r="E560" s="33" t="s">
        <v>102</v>
      </c>
      <c r="F560" s="33" t="n">
        <v>21356941</v>
      </c>
      <c r="G560" s="33" t="n">
        <v>720193</v>
      </c>
      <c r="H560" s="33" t="s">
        <v>34</v>
      </c>
      <c r="I560" s="33" t="s">
        <v>174</v>
      </c>
      <c r="J560" s="33" t="s">
        <v>149</v>
      </c>
      <c r="K560" s="35" t="n">
        <v>226359941</v>
      </c>
      <c r="L560" s="33" t="s">
        <v>1349</v>
      </c>
      <c r="M560" s="33" t="n">
        <v>104455906</v>
      </c>
      <c r="N560" s="36" t="n">
        <v>1</v>
      </c>
      <c r="O560" s="37" t="n">
        <v>0</v>
      </c>
    </row>
    <row r="561" customFormat="false" ht="15" hidden="false" customHeight="false" outlineLevel="0" collapsed="false">
      <c r="A561" s="32" t="s">
        <v>1354</v>
      </c>
      <c r="B561" s="33" t="s">
        <v>1355</v>
      </c>
      <c r="C561" s="33" t="s">
        <v>28</v>
      </c>
      <c r="D561" s="34" t="n">
        <v>43355</v>
      </c>
      <c r="E561" s="33" t="s">
        <v>102</v>
      </c>
      <c r="F561" s="33" t="n">
        <v>21356941</v>
      </c>
      <c r="G561" s="33" t="n">
        <v>720193</v>
      </c>
      <c r="H561" s="33" t="s">
        <v>34</v>
      </c>
      <c r="I561" s="33" t="s">
        <v>174</v>
      </c>
      <c r="J561" s="33" t="s">
        <v>149</v>
      </c>
      <c r="K561" s="35" t="n">
        <v>226359941</v>
      </c>
      <c r="L561" s="33" t="s">
        <v>1349</v>
      </c>
      <c r="M561" s="33" t="n">
        <v>104455906</v>
      </c>
      <c r="N561" s="36" t="n">
        <v>1</v>
      </c>
      <c r="O561" s="37" t="n">
        <v>0</v>
      </c>
    </row>
    <row r="562" customFormat="false" ht="15" hidden="false" customHeight="false" outlineLevel="0" collapsed="false">
      <c r="A562" s="32" t="s">
        <v>1356</v>
      </c>
      <c r="B562" s="33" t="s">
        <v>1357</v>
      </c>
      <c r="C562" s="33" t="s">
        <v>28</v>
      </c>
      <c r="D562" s="34" t="n">
        <v>43354</v>
      </c>
      <c r="E562" s="33" t="s">
        <v>102</v>
      </c>
      <c r="F562" s="33" t="n">
        <v>21356941</v>
      </c>
      <c r="G562" s="33" t="n">
        <v>720193</v>
      </c>
      <c r="H562" s="33" t="s">
        <v>34</v>
      </c>
      <c r="I562" s="33" t="s">
        <v>174</v>
      </c>
      <c r="J562" s="33" t="s">
        <v>149</v>
      </c>
      <c r="K562" s="35" t="n">
        <v>226359941</v>
      </c>
      <c r="L562" s="33" t="s">
        <v>1349</v>
      </c>
      <c r="M562" s="33" t="n">
        <v>104455906</v>
      </c>
      <c r="N562" s="36" t="n">
        <v>7</v>
      </c>
      <c r="O562" s="37" t="n">
        <v>0.05</v>
      </c>
    </row>
    <row r="563" customFormat="false" ht="15" hidden="false" customHeight="false" outlineLevel="0" collapsed="false">
      <c r="A563" s="32" t="s">
        <v>1358</v>
      </c>
      <c r="B563" s="33" t="s">
        <v>1359</v>
      </c>
      <c r="C563" s="33" t="s">
        <v>28</v>
      </c>
      <c r="D563" s="34" t="n">
        <v>43353</v>
      </c>
      <c r="E563" s="33" t="s">
        <v>102</v>
      </c>
      <c r="F563" s="33" t="n">
        <v>21356941</v>
      </c>
      <c r="G563" s="33" t="n">
        <v>720193</v>
      </c>
      <c r="H563" s="33" t="s">
        <v>34</v>
      </c>
      <c r="I563" s="33" t="s">
        <v>174</v>
      </c>
      <c r="J563" s="33" t="s">
        <v>149</v>
      </c>
      <c r="K563" s="35" t="n">
        <v>226359941</v>
      </c>
      <c r="L563" s="33" t="s">
        <v>1349</v>
      </c>
      <c r="M563" s="33" t="n">
        <v>104455906</v>
      </c>
      <c r="N563" s="36" t="n">
        <v>32</v>
      </c>
      <c r="O563" s="37" t="n">
        <v>0.27</v>
      </c>
    </row>
    <row r="564" customFormat="false" ht="15" hidden="false" customHeight="false" outlineLevel="0" collapsed="false">
      <c r="A564" s="32" t="s">
        <v>1360</v>
      </c>
      <c r="B564" s="33" t="s">
        <v>1361</v>
      </c>
      <c r="C564" s="33" t="s">
        <v>28</v>
      </c>
      <c r="D564" s="34" t="n">
        <v>43352</v>
      </c>
      <c r="E564" s="33" t="s">
        <v>102</v>
      </c>
      <c r="F564" s="33" t="n">
        <v>21356941</v>
      </c>
      <c r="G564" s="33" t="n">
        <v>720193</v>
      </c>
      <c r="H564" s="33" t="s">
        <v>34</v>
      </c>
      <c r="I564" s="33" t="s">
        <v>174</v>
      </c>
      <c r="J564" s="33" t="s">
        <v>149</v>
      </c>
      <c r="K564" s="35" t="n">
        <v>226359941</v>
      </c>
      <c r="L564" s="33" t="s">
        <v>1349</v>
      </c>
      <c r="M564" s="33" t="n">
        <v>104455906</v>
      </c>
      <c r="N564" s="36" t="n">
        <v>39</v>
      </c>
      <c r="O564" s="37" t="n">
        <v>0.31</v>
      </c>
    </row>
    <row r="565" customFormat="false" ht="15" hidden="false" customHeight="false" outlineLevel="0" collapsed="false">
      <c r="A565" s="32" t="s">
        <v>1362</v>
      </c>
      <c r="B565" s="33" t="s">
        <v>1363</v>
      </c>
      <c r="C565" s="33" t="s">
        <v>28</v>
      </c>
      <c r="D565" s="34" t="n">
        <v>43358</v>
      </c>
      <c r="E565" s="33" t="s">
        <v>102</v>
      </c>
      <c r="F565" s="33" t="n">
        <v>21356941</v>
      </c>
      <c r="G565" s="33" t="n">
        <v>720193</v>
      </c>
      <c r="H565" s="33" t="s">
        <v>34</v>
      </c>
      <c r="I565" s="33" t="s">
        <v>174</v>
      </c>
      <c r="J565" s="33" t="s">
        <v>150</v>
      </c>
      <c r="K565" s="35" t="n">
        <v>226360001</v>
      </c>
      <c r="L565" s="33" t="s">
        <v>1319</v>
      </c>
      <c r="M565" s="33" t="n">
        <v>104456278</v>
      </c>
      <c r="N565" s="36" t="n">
        <v>6888</v>
      </c>
      <c r="O565" s="37" t="n">
        <v>45.47</v>
      </c>
    </row>
    <row r="566" customFormat="false" ht="15" hidden="false" customHeight="false" outlineLevel="0" collapsed="false">
      <c r="A566" s="32" t="s">
        <v>1364</v>
      </c>
      <c r="B566" s="33" t="s">
        <v>1365</v>
      </c>
      <c r="C566" s="33" t="s">
        <v>28</v>
      </c>
      <c r="D566" s="34" t="n">
        <v>43357</v>
      </c>
      <c r="E566" s="33" t="s">
        <v>102</v>
      </c>
      <c r="F566" s="33" t="n">
        <v>21356941</v>
      </c>
      <c r="G566" s="33" t="n">
        <v>720193</v>
      </c>
      <c r="H566" s="33" t="s">
        <v>34</v>
      </c>
      <c r="I566" s="33" t="s">
        <v>174</v>
      </c>
      <c r="J566" s="33" t="s">
        <v>150</v>
      </c>
      <c r="K566" s="35" t="n">
        <v>226360001</v>
      </c>
      <c r="L566" s="33" t="s">
        <v>1319</v>
      </c>
      <c r="M566" s="33" t="n">
        <v>104456278</v>
      </c>
      <c r="N566" s="36" t="n">
        <v>7004</v>
      </c>
      <c r="O566" s="37" t="n">
        <v>45.61</v>
      </c>
    </row>
    <row r="567" customFormat="false" ht="15" hidden="false" customHeight="false" outlineLevel="0" collapsed="false">
      <c r="A567" s="32" t="s">
        <v>1366</v>
      </c>
      <c r="B567" s="33" t="s">
        <v>1367</v>
      </c>
      <c r="C567" s="33" t="s">
        <v>28</v>
      </c>
      <c r="D567" s="34" t="n">
        <v>43356</v>
      </c>
      <c r="E567" s="33" t="s">
        <v>102</v>
      </c>
      <c r="F567" s="33" t="n">
        <v>21356941</v>
      </c>
      <c r="G567" s="33" t="n">
        <v>720193</v>
      </c>
      <c r="H567" s="33" t="s">
        <v>34</v>
      </c>
      <c r="I567" s="33" t="s">
        <v>174</v>
      </c>
      <c r="J567" s="33" t="s">
        <v>150</v>
      </c>
      <c r="K567" s="35" t="n">
        <v>226360001</v>
      </c>
      <c r="L567" s="33" t="s">
        <v>1319</v>
      </c>
      <c r="M567" s="33" t="n">
        <v>104456278</v>
      </c>
      <c r="N567" s="36" t="n">
        <v>7214</v>
      </c>
      <c r="O567" s="37" t="n">
        <v>45.08</v>
      </c>
    </row>
    <row r="568" customFormat="false" ht="15" hidden="false" customHeight="false" outlineLevel="0" collapsed="false">
      <c r="A568" s="32" t="s">
        <v>1368</v>
      </c>
      <c r="B568" s="33" t="s">
        <v>1369</v>
      </c>
      <c r="C568" s="33" t="s">
        <v>28</v>
      </c>
      <c r="D568" s="34" t="n">
        <v>43355</v>
      </c>
      <c r="E568" s="33" t="s">
        <v>102</v>
      </c>
      <c r="F568" s="33" t="n">
        <v>21356941</v>
      </c>
      <c r="G568" s="33" t="n">
        <v>720193</v>
      </c>
      <c r="H568" s="33" t="s">
        <v>34</v>
      </c>
      <c r="I568" s="33" t="s">
        <v>174</v>
      </c>
      <c r="J568" s="33" t="s">
        <v>150</v>
      </c>
      <c r="K568" s="35" t="n">
        <v>226360001</v>
      </c>
      <c r="L568" s="33" t="s">
        <v>1319</v>
      </c>
      <c r="M568" s="33" t="n">
        <v>104456278</v>
      </c>
      <c r="N568" s="36" t="n">
        <v>7333</v>
      </c>
      <c r="O568" s="37" t="n">
        <v>45.64</v>
      </c>
    </row>
    <row r="569" customFormat="false" ht="15" hidden="false" customHeight="false" outlineLevel="0" collapsed="false">
      <c r="A569" s="32" t="s">
        <v>1370</v>
      </c>
      <c r="B569" s="33" t="s">
        <v>1371</v>
      </c>
      <c r="C569" s="33" t="s">
        <v>28</v>
      </c>
      <c r="D569" s="34" t="n">
        <v>43354</v>
      </c>
      <c r="E569" s="33" t="s">
        <v>102</v>
      </c>
      <c r="F569" s="33" t="n">
        <v>21356941</v>
      </c>
      <c r="G569" s="33" t="n">
        <v>720193</v>
      </c>
      <c r="H569" s="33" t="s">
        <v>34</v>
      </c>
      <c r="I569" s="33" t="s">
        <v>174</v>
      </c>
      <c r="J569" s="33" t="s">
        <v>150</v>
      </c>
      <c r="K569" s="35" t="n">
        <v>226360001</v>
      </c>
      <c r="L569" s="33" t="s">
        <v>1319</v>
      </c>
      <c r="M569" s="33" t="n">
        <v>104456278</v>
      </c>
      <c r="N569" s="36" t="n">
        <v>7731</v>
      </c>
      <c r="O569" s="37" t="n">
        <v>42.06</v>
      </c>
    </row>
    <row r="570" customFormat="false" ht="15" hidden="false" customHeight="false" outlineLevel="0" collapsed="false">
      <c r="A570" s="32" t="s">
        <v>1372</v>
      </c>
      <c r="B570" s="33" t="s">
        <v>1373</v>
      </c>
      <c r="C570" s="33" t="s">
        <v>28</v>
      </c>
      <c r="D570" s="34" t="n">
        <v>43353</v>
      </c>
      <c r="E570" s="33" t="s">
        <v>102</v>
      </c>
      <c r="F570" s="33" t="n">
        <v>21356941</v>
      </c>
      <c r="G570" s="33" t="n">
        <v>720193</v>
      </c>
      <c r="H570" s="33" t="s">
        <v>34</v>
      </c>
      <c r="I570" s="33" t="s">
        <v>174</v>
      </c>
      <c r="J570" s="33" t="s">
        <v>150</v>
      </c>
      <c r="K570" s="35" t="n">
        <v>226360001</v>
      </c>
      <c r="L570" s="33" t="s">
        <v>1319</v>
      </c>
      <c r="M570" s="33" t="n">
        <v>104456278</v>
      </c>
      <c r="N570" s="36" t="n">
        <v>7328</v>
      </c>
      <c r="O570" s="37" t="n">
        <v>42.17</v>
      </c>
    </row>
    <row r="571" customFormat="false" ht="15" hidden="false" customHeight="false" outlineLevel="0" collapsed="false">
      <c r="A571" s="32" t="s">
        <v>1374</v>
      </c>
      <c r="B571" s="33" t="s">
        <v>1375</v>
      </c>
      <c r="C571" s="33" t="s">
        <v>28</v>
      </c>
      <c r="D571" s="34" t="n">
        <v>43352</v>
      </c>
      <c r="E571" s="33" t="s">
        <v>102</v>
      </c>
      <c r="F571" s="33" t="n">
        <v>21356941</v>
      </c>
      <c r="G571" s="33" t="n">
        <v>720193</v>
      </c>
      <c r="H571" s="33" t="s">
        <v>34</v>
      </c>
      <c r="I571" s="33" t="s">
        <v>174</v>
      </c>
      <c r="J571" s="33" t="s">
        <v>150</v>
      </c>
      <c r="K571" s="35" t="n">
        <v>226360001</v>
      </c>
      <c r="L571" s="33" t="s">
        <v>1319</v>
      </c>
      <c r="M571" s="33" t="n">
        <v>104456278</v>
      </c>
      <c r="N571" s="36" t="n">
        <v>7181</v>
      </c>
      <c r="O571" s="37" t="n">
        <v>43.96</v>
      </c>
    </row>
    <row r="572" customFormat="false" ht="15" hidden="false" customHeight="false" outlineLevel="0" collapsed="false">
      <c r="A572" s="32" t="s">
        <v>1376</v>
      </c>
      <c r="B572" s="33" t="s">
        <v>1377</v>
      </c>
      <c r="C572" s="33" t="s">
        <v>28</v>
      </c>
      <c r="D572" s="34" t="n">
        <v>43358</v>
      </c>
      <c r="E572" s="33" t="s">
        <v>102</v>
      </c>
      <c r="F572" s="33" t="n">
        <v>21356941</v>
      </c>
      <c r="G572" s="33" t="n">
        <v>720193</v>
      </c>
      <c r="H572" s="33" t="s">
        <v>34</v>
      </c>
      <c r="I572" s="33" t="s">
        <v>174</v>
      </c>
      <c r="J572" s="33" t="s">
        <v>151</v>
      </c>
      <c r="K572" s="35" t="n">
        <v>226496140</v>
      </c>
      <c r="L572" s="33" t="s">
        <v>1319</v>
      </c>
      <c r="M572" s="33" t="n">
        <v>104456278</v>
      </c>
      <c r="N572" s="36" t="n">
        <v>0</v>
      </c>
      <c r="O572" s="37" t="n">
        <v>0</v>
      </c>
    </row>
    <row r="573" customFormat="false" ht="15" hidden="false" customHeight="false" outlineLevel="0" collapsed="false">
      <c r="A573" s="32" t="s">
        <v>1378</v>
      </c>
      <c r="B573" s="33" t="s">
        <v>1379</v>
      </c>
      <c r="C573" s="33" t="s">
        <v>28</v>
      </c>
      <c r="D573" s="34" t="n">
        <v>43357</v>
      </c>
      <c r="E573" s="33" t="s">
        <v>102</v>
      </c>
      <c r="F573" s="33" t="n">
        <v>21356941</v>
      </c>
      <c r="G573" s="33" t="n">
        <v>720193</v>
      </c>
      <c r="H573" s="33" t="s">
        <v>34</v>
      </c>
      <c r="I573" s="33" t="s">
        <v>174</v>
      </c>
      <c r="J573" s="33" t="s">
        <v>151</v>
      </c>
      <c r="K573" s="35" t="n">
        <v>226496140</v>
      </c>
      <c r="L573" s="33" t="s">
        <v>1319</v>
      </c>
      <c r="M573" s="33" t="n">
        <v>104456278</v>
      </c>
      <c r="N573" s="36" t="n">
        <v>0</v>
      </c>
      <c r="O573" s="37" t="n">
        <v>0</v>
      </c>
    </row>
    <row r="574" customFormat="false" ht="15" hidden="false" customHeight="false" outlineLevel="0" collapsed="false">
      <c r="A574" s="32" t="s">
        <v>1380</v>
      </c>
      <c r="B574" s="33" t="s">
        <v>1381</v>
      </c>
      <c r="C574" s="33" t="s">
        <v>28</v>
      </c>
      <c r="D574" s="34" t="n">
        <v>43356</v>
      </c>
      <c r="E574" s="33" t="s">
        <v>102</v>
      </c>
      <c r="F574" s="33" t="n">
        <v>21356941</v>
      </c>
      <c r="G574" s="33" t="n">
        <v>720193</v>
      </c>
      <c r="H574" s="33" t="s">
        <v>34</v>
      </c>
      <c r="I574" s="33" t="s">
        <v>174</v>
      </c>
      <c r="J574" s="33" t="s">
        <v>151</v>
      </c>
      <c r="K574" s="35" t="n">
        <v>226496140</v>
      </c>
      <c r="L574" s="33" t="s">
        <v>1319</v>
      </c>
      <c r="M574" s="33" t="n">
        <v>104456278</v>
      </c>
      <c r="N574" s="36" t="n">
        <v>0</v>
      </c>
      <c r="O574" s="37" t="n">
        <v>0</v>
      </c>
    </row>
    <row r="575" customFormat="false" ht="15" hidden="false" customHeight="false" outlineLevel="0" collapsed="false">
      <c r="A575" s="32" t="s">
        <v>1382</v>
      </c>
      <c r="B575" s="33" t="s">
        <v>1383</v>
      </c>
      <c r="C575" s="33" t="s">
        <v>28</v>
      </c>
      <c r="D575" s="34" t="n">
        <v>43355</v>
      </c>
      <c r="E575" s="33" t="s">
        <v>102</v>
      </c>
      <c r="F575" s="33" t="n">
        <v>21356941</v>
      </c>
      <c r="G575" s="33" t="n">
        <v>720193</v>
      </c>
      <c r="H575" s="33" t="s">
        <v>34</v>
      </c>
      <c r="I575" s="33" t="s">
        <v>174</v>
      </c>
      <c r="J575" s="33" t="s">
        <v>151</v>
      </c>
      <c r="K575" s="35" t="n">
        <v>226496140</v>
      </c>
      <c r="L575" s="33" t="s">
        <v>1319</v>
      </c>
      <c r="M575" s="33" t="n">
        <v>104456278</v>
      </c>
      <c r="N575" s="36" t="n">
        <v>0</v>
      </c>
      <c r="O575" s="37" t="n">
        <v>0</v>
      </c>
    </row>
    <row r="576" customFormat="false" ht="15" hidden="false" customHeight="false" outlineLevel="0" collapsed="false">
      <c r="A576" s="32" t="s">
        <v>1384</v>
      </c>
      <c r="B576" s="33" t="s">
        <v>1385</v>
      </c>
      <c r="C576" s="33" t="s">
        <v>28</v>
      </c>
      <c r="D576" s="34" t="n">
        <v>43354</v>
      </c>
      <c r="E576" s="33" t="s">
        <v>102</v>
      </c>
      <c r="F576" s="33" t="n">
        <v>21356941</v>
      </c>
      <c r="G576" s="33" t="n">
        <v>720193</v>
      </c>
      <c r="H576" s="33" t="s">
        <v>34</v>
      </c>
      <c r="I576" s="33" t="s">
        <v>174</v>
      </c>
      <c r="J576" s="33" t="s">
        <v>151</v>
      </c>
      <c r="K576" s="35" t="n">
        <v>226496140</v>
      </c>
      <c r="L576" s="33" t="s">
        <v>1319</v>
      </c>
      <c r="M576" s="33" t="n">
        <v>104456278</v>
      </c>
      <c r="N576" s="36" t="n">
        <v>0</v>
      </c>
      <c r="O576" s="37" t="n">
        <v>0</v>
      </c>
    </row>
    <row r="577" customFormat="false" ht="15" hidden="false" customHeight="false" outlineLevel="0" collapsed="false">
      <c r="A577" s="32" t="s">
        <v>1386</v>
      </c>
      <c r="B577" s="33" t="s">
        <v>1387</v>
      </c>
      <c r="C577" s="33" t="s">
        <v>28</v>
      </c>
      <c r="D577" s="34" t="n">
        <v>43353</v>
      </c>
      <c r="E577" s="33" t="s">
        <v>102</v>
      </c>
      <c r="F577" s="33" t="n">
        <v>21356941</v>
      </c>
      <c r="G577" s="33" t="n">
        <v>720193</v>
      </c>
      <c r="H577" s="33" t="s">
        <v>34</v>
      </c>
      <c r="I577" s="33" t="s">
        <v>174</v>
      </c>
      <c r="J577" s="33" t="s">
        <v>151</v>
      </c>
      <c r="K577" s="35" t="n">
        <v>226496140</v>
      </c>
      <c r="L577" s="33" t="s">
        <v>1319</v>
      </c>
      <c r="M577" s="33" t="n">
        <v>104456278</v>
      </c>
      <c r="N577" s="36" t="n">
        <v>0</v>
      </c>
      <c r="O577" s="37" t="n">
        <v>0</v>
      </c>
    </row>
    <row r="578" customFormat="false" ht="15" hidden="false" customHeight="false" outlineLevel="0" collapsed="false">
      <c r="A578" s="32" t="s">
        <v>1388</v>
      </c>
      <c r="B578" s="33" t="s">
        <v>1389</v>
      </c>
      <c r="C578" s="33" t="s">
        <v>28</v>
      </c>
      <c r="D578" s="34" t="n">
        <v>43352</v>
      </c>
      <c r="E578" s="33" t="s">
        <v>102</v>
      </c>
      <c r="F578" s="33" t="n">
        <v>21356941</v>
      </c>
      <c r="G578" s="33" t="n">
        <v>720193</v>
      </c>
      <c r="H578" s="33" t="s">
        <v>34</v>
      </c>
      <c r="I578" s="33" t="s">
        <v>174</v>
      </c>
      <c r="J578" s="33" t="s">
        <v>151</v>
      </c>
      <c r="K578" s="35" t="n">
        <v>226496140</v>
      </c>
      <c r="L578" s="33" t="s">
        <v>1319</v>
      </c>
      <c r="M578" s="33" t="n">
        <v>104456278</v>
      </c>
      <c r="N578" s="36" t="n">
        <v>0</v>
      </c>
      <c r="O578" s="37" t="n">
        <v>0</v>
      </c>
    </row>
    <row r="579" customFormat="false" ht="15" hidden="false" customHeight="false" outlineLevel="0" collapsed="false">
      <c r="A579" s="32" t="s">
        <v>1390</v>
      </c>
      <c r="B579" s="33" t="s">
        <v>1391</v>
      </c>
      <c r="C579" s="33" t="s">
        <v>28</v>
      </c>
      <c r="D579" s="34" t="n">
        <v>43358</v>
      </c>
      <c r="E579" s="33" t="s">
        <v>102</v>
      </c>
      <c r="F579" s="33" t="n">
        <v>21356941</v>
      </c>
      <c r="G579" s="33" t="n">
        <v>720193</v>
      </c>
      <c r="H579" s="33" t="s">
        <v>34</v>
      </c>
      <c r="I579" s="33" t="s">
        <v>174</v>
      </c>
      <c r="J579" s="33" t="s">
        <v>152</v>
      </c>
      <c r="K579" s="35" t="n">
        <v>226359995</v>
      </c>
      <c r="L579" s="33" t="s">
        <v>1334</v>
      </c>
      <c r="M579" s="33" t="n">
        <v>104458003</v>
      </c>
      <c r="N579" s="36" t="n">
        <v>1</v>
      </c>
      <c r="O579" s="37" t="n">
        <v>0.01</v>
      </c>
    </row>
    <row r="580" customFormat="false" ht="15" hidden="false" customHeight="false" outlineLevel="0" collapsed="false">
      <c r="A580" s="32" t="s">
        <v>1392</v>
      </c>
      <c r="B580" s="33" t="s">
        <v>1393</v>
      </c>
      <c r="C580" s="33" t="s">
        <v>28</v>
      </c>
      <c r="D580" s="34" t="n">
        <v>43357</v>
      </c>
      <c r="E580" s="33" t="s">
        <v>102</v>
      </c>
      <c r="F580" s="33" t="n">
        <v>21356941</v>
      </c>
      <c r="G580" s="33" t="n">
        <v>720193</v>
      </c>
      <c r="H580" s="33" t="s">
        <v>34</v>
      </c>
      <c r="I580" s="33" t="s">
        <v>174</v>
      </c>
      <c r="J580" s="33" t="s">
        <v>152</v>
      </c>
      <c r="K580" s="35" t="n">
        <v>226359995</v>
      </c>
      <c r="L580" s="33" t="s">
        <v>1334</v>
      </c>
      <c r="M580" s="33" t="n">
        <v>104458003</v>
      </c>
      <c r="N580" s="36" t="n">
        <v>0</v>
      </c>
      <c r="O580" s="37" t="n">
        <v>0</v>
      </c>
    </row>
    <row r="581" customFormat="false" ht="15" hidden="false" customHeight="false" outlineLevel="0" collapsed="false">
      <c r="A581" s="32" t="s">
        <v>1394</v>
      </c>
      <c r="B581" s="33" t="s">
        <v>1395</v>
      </c>
      <c r="C581" s="33" t="s">
        <v>28</v>
      </c>
      <c r="D581" s="34" t="n">
        <v>43356</v>
      </c>
      <c r="E581" s="33" t="s">
        <v>102</v>
      </c>
      <c r="F581" s="33" t="n">
        <v>21356941</v>
      </c>
      <c r="G581" s="33" t="n">
        <v>720193</v>
      </c>
      <c r="H581" s="33" t="s">
        <v>34</v>
      </c>
      <c r="I581" s="33" t="s">
        <v>174</v>
      </c>
      <c r="J581" s="33" t="s">
        <v>152</v>
      </c>
      <c r="K581" s="35" t="n">
        <v>226359995</v>
      </c>
      <c r="L581" s="33" t="s">
        <v>1334</v>
      </c>
      <c r="M581" s="33" t="n">
        <v>104458003</v>
      </c>
      <c r="N581" s="36" t="n">
        <v>0</v>
      </c>
      <c r="O581" s="37" t="n">
        <v>0</v>
      </c>
    </row>
    <row r="582" customFormat="false" ht="15" hidden="false" customHeight="false" outlineLevel="0" collapsed="false">
      <c r="A582" s="32" t="s">
        <v>1396</v>
      </c>
      <c r="B582" s="33" t="s">
        <v>1397</v>
      </c>
      <c r="C582" s="33" t="s">
        <v>28</v>
      </c>
      <c r="D582" s="34" t="n">
        <v>43355</v>
      </c>
      <c r="E582" s="33" t="s">
        <v>102</v>
      </c>
      <c r="F582" s="33" t="n">
        <v>21356941</v>
      </c>
      <c r="G582" s="33" t="n">
        <v>720193</v>
      </c>
      <c r="H582" s="33" t="s">
        <v>34</v>
      </c>
      <c r="I582" s="33" t="s">
        <v>174</v>
      </c>
      <c r="J582" s="33" t="s">
        <v>152</v>
      </c>
      <c r="K582" s="35" t="n">
        <v>226359995</v>
      </c>
      <c r="L582" s="33" t="s">
        <v>1334</v>
      </c>
      <c r="M582" s="33" t="n">
        <v>104458003</v>
      </c>
      <c r="N582" s="36" t="n">
        <v>1</v>
      </c>
      <c r="O582" s="37" t="n">
        <v>0</v>
      </c>
    </row>
    <row r="583" customFormat="false" ht="15" hidden="false" customHeight="false" outlineLevel="0" collapsed="false">
      <c r="A583" s="32" t="s">
        <v>1398</v>
      </c>
      <c r="B583" s="33" t="s">
        <v>1399</v>
      </c>
      <c r="C583" s="33" t="s">
        <v>28</v>
      </c>
      <c r="D583" s="34" t="n">
        <v>43354</v>
      </c>
      <c r="E583" s="33" t="s">
        <v>102</v>
      </c>
      <c r="F583" s="33" t="n">
        <v>21356941</v>
      </c>
      <c r="G583" s="33" t="n">
        <v>720193</v>
      </c>
      <c r="H583" s="33" t="s">
        <v>34</v>
      </c>
      <c r="I583" s="33" t="s">
        <v>174</v>
      </c>
      <c r="J583" s="33" t="s">
        <v>152</v>
      </c>
      <c r="K583" s="35" t="n">
        <v>226359995</v>
      </c>
      <c r="L583" s="33" t="s">
        <v>1334</v>
      </c>
      <c r="M583" s="33" t="n">
        <v>104458003</v>
      </c>
      <c r="N583" s="36" t="n">
        <v>0</v>
      </c>
      <c r="O583" s="37" t="n">
        <v>0</v>
      </c>
    </row>
    <row r="584" customFormat="false" ht="15" hidden="false" customHeight="false" outlineLevel="0" collapsed="false">
      <c r="A584" s="32" t="s">
        <v>1400</v>
      </c>
      <c r="B584" s="33" t="s">
        <v>1401</v>
      </c>
      <c r="C584" s="33" t="s">
        <v>28</v>
      </c>
      <c r="D584" s="34" t="n">
        <v>43353</v>
      </c>
      <c r="E584" s="33" t="s">
        <v>102</v>
      </c>
      <c r="F584" s="33" t="n">
        <v>21356941</v>
      </c>
      <c r="G584" s="33" t="n">
        <v>720193</v>
      </c>
      <c r="H584" s="33" t="s">
        <v>34</v>
      </c>
      <c r="I584" s="33" t="s">
        <v>174</v>
      </c>
      <c r="J584" s="33" t="s">
        <v>152</v>
      </c>
      <c r="K584" s="35" t="n">
        <v>226359995</v>
      </c>
      <c r="L584" s="33" t="s">
        <v>1334</v>
      </c>
      <c r="M584" s="33" t="n">
        <v>104458003</v>
      </c>
      <c r="N584" s="36" t="n">
        <v>0</v>
      </c>
      <c r="O584" s="37" t="n">
        <v>0</v>
      </c>
    </row>
    <row r="585" customFormat="false" ht="15" hidden="false" customHeight="false" outlineLevel="0" collapsed="false">
      <c r="A585" s="32" t="s">
        <v>1402</v>
      </c>
      <c r="B585" s="33" t="s">
        <v>1403</v>
      </c>
      <c r="C585" s="33" t="s">
        <v>28</v>
      </c>
      <c r="D585" s="34" t="n">
        <v>43352</v>
      </c>
      <c r="E585" s="33" t="s">
        <v>102</v>
      </c>
      <c r="F585" s="33" t="n">
        <v>21356941</v>
      </c>
      <c r="G585" s="33" t="n">
        <v>720193</v>
      </c>
      <c r="H585" s="33" t="s">
        <v>34</v>
      </c>
      <c r="I585" s="33" t="s">
        <v>174</v>
      </c>
      <c r="J585" s="33" t="s">
        <v>152</v>
      </c>
      <c r="K585" s="35" t="n">
        <v>226359995</v>
      </c>
      <c r="L585" s="33" t="s">
        <v>1334</v>
      </c>
      <c r="M585" s="33" t="n">
        <v>104458003</v>
      </c>
      <c r="N585" s="36" t="n">
        <v>4</v>
      </c>
      <c r="O585" s="37" t="n">
        <v>0.03</v>
      </c>
    </row>
    <row r="586" customFormat="false" ht="15" hidden="false" customHeight="false" outlineLevel="0" collapsed="false">
      <c r="A586" s="32" t="s">
        <v>1404</v>
      </c>
      <c r="B586" s="33" t="s">
        <v>1405</v>
      </c>
      <c r="C586" s="33" t="s">
        <v>28</v>
      </c>
      <c r="D586" s="34" t="n">
        <v>43358</v>
      </c>
      <c r="E586" s="33" t="s">
        <v>102</v>
      </c>
      <c r="F586" s="33" t="n">
        <v>21356941</v>
      </c>
      <c r="G586" s="33" t="n">
        <v>720193</v>
      </c>
      <c r="H586" s="33" t="s">
        <v>34</v>
      </c>
      <c r="I586" s="33" t="s">
        <v>174</v>
      </c>
      <c r="J586" s="33" t="s">
        <v>153</v>
      </c>
      <c r="K586" s="35" t="n">
        <v>226496137</v>
      </c>
      <c r="L586" s="33" t="s">
        <v>1334</v>
      </c>
      <c r="M586" s="33" t="n">
        <v>104458003</v>
      </c>
      <c r="N586" s="36" t="n">
        <v>0</v>
      </c>
      <c r="O586" s="37" t="n">
        <v>0</v>
      </c>
    </row>
    <row r="587" customFormat="false" ht="15" hidden="false" customHeight="false" outlineLevel="0" collapsed="false">
      <c r="A587" s="32" t="s">
        <v>1406</v>
      </c>
      <c r="B587" s="33" t="s">
        <v>1407</v>
      </c>
      <c r="C587" s="33" t="s">
        <v>28</v>
      </c>
      <c r="D587" s="34" t="n">
        <v>43357</v>
      </c>
      <c r="E587" s="33" t="s">
        <v>102</v>
      </c>
      <c r="F587" s="33" t="n">
        <v>21356941</v>
      </c>
      <c r="G587" s="33" t="n">
        <v>720193</v>
      </c>
      <c r="H587" s="33" t="s">
        <v>34</v>
      </c>
      <c r="I587" s="33" t="s">
        <v>174</v>
      </c>
      <c r="J587" s="33" t="s">
        <v>153</v>
      </c>
      <c r="K587" s="35" t="n">
        <v>226496137</v>
      </c>
      <c r="L587" s="33" t="s">
        <v>1334</v>
      </c>
      <c r="M587" s="33" t="n">
        <v>104458003</v>
      </c>
      <c r="N587" s="36" t="n">
        <v>0</v>
      </c>
      <c r="O587" s="37" t="n">
        <v>0</v>
      </c>
    </row>
    <row r="588" customFormat="false" ht="15" hidden="false" customHeight="false" outlineLevel="0" collapsed="false">
      <c r="A588" s="32" t="s">
        <v>1408</v>
      </c>
      <c r="B588" s="33" t="s">
        <v>1409</v>
      </c>
      <c r="C588" s="33" t="s">
        <v>28</v>
      </c>
      <c r="D588" s="34" t="n">
        <v>43356</v>
      </c>
      <c r="E588" s="33" t="s">
        <v>102</v>
      </c>
      <c r="F588" s="33" t="n">
        <v>21356941</v>
      </c>
      <c r="G588" s="33" t="n">
        <v>720193</v>
      </c>
      <c r="H588" s="33" t="s">
        <v>34</v>
      </c>
      <c r="I588" s="33" t="s">
        <v>174</v>
      </c>
      <c r="J588" s="33" t="s">
        <v>153</v>
      </c>
      <c r="K588" s="35" t="n">
        <v>226496137</v>
      </c>
      <c r="L588" s="33" t="s">
        <v>1334</v>
      </c>
      <c r="M588" s="33" t="n">
        <v>104458003</v>
      </c>
      <c r="N588" s="36" t="n">
        <v>0</v>
      </c>
      <c r="O588" s="37" t="n">
        <v>0</v>
      </c>
    </row>
    <row r="589" customFormat="false" ht="15" hidden="false" customHeight="false" outlineLevel="0" collapsed="false">
      <c r="A589" s="32" t="s">
        <v>1410</v>
      </c>
      <c r="B589" s="33" t="s">
        <v>1411</v>
      </c>
      <c r="C589" s="33" t="s">
        <v>28</v>
      </c>
      <c r="D589" s="34" t="n">
        <v>43355</v>
      </c>
      <c r="E589" s="33" t="s">
        <v>102</v>
      </c>
      <c r="F589" s="33" t="n">
        <v>21356941</v>
      </c>
      <c r="G589" s="33" t="n">
        <v>720193</v>
      </c>
      <c r="H589" s="33" t="s">
        <v>34</v>
      </c>
      <c r="I589" s="33" t="s">
        <v>174</v>
      </c>
      <c r="J589" s="33" t="s">
        <v>153</v>
      </c>
      <c r="K589" s="35" t="n">
        <v>226496137</v>
      </c>
      <c r="L589" s="33" t="s">
        <v>1334</v>
      </c>
      <c r="M589" s="33" t="n">
        <v>104458003</v>
      </c>
      <c r="N589" s="36" t="n">
        <v>0</v>
      </c>
      <c r="O589" s="37" t="n">
        <v>0</v>
      </c>
    </row>
    <row r="590" customFormat="false" ht="15" hidden="false" customHeight="false" outlineLevel="0" collapsed="false">
      <c r="A590" s="32" t="s">
        <v>1412</v>
      </c>
      <c r="B590" s="33" t="s">
        <v>1413</v>
      </c>
      <c r="C590" s="33" t="s">
        <v>28</v>
      </c>
      <c r="D590" s="34" t="n">
        <v>43354</v>
      </c>
      <c r="E590" s="33" t="s">
        <v>102</v>
      </c>
      <c r="F590" s="33" t="n">
        <v>21356941</v>
      </c>
      <c r="G590" s="33" t="n">
        <v>720193</v>
      </c>
      <c r="H590" s="33" t="s">
        <v>34</v>
      </c>
      <c r="I590" s="33" t="s">
        <v>174</v>
      </c>
      <c r="J590" s="33" t="s">
        <v>153</v>
      </c>
      <c r="K590" s="35" t="n">
        <v>226496137</v>
      </c>
      <c r="L590" s="33" t="s">
        <v>1334</v>
      </c>
      <c r="M590" s="33" t="n">
        <v>104458003</v>
      </c>
      <c r="N590" s="36" t="n">
        <v>0</v>
      </c>
      <c r="O590" s="37" t="n">
        <v>0</v>
      </c>
    </row>
    <row r="591" customFormat="false" ht="15" hidden="false" customHeight="false" outlineLevel="0" collapsed="false">
      <c r="A591" s="32" t="s">
        <v>1414</v>
      </c>
      <c r="B591" s="33" t="s">
        <v>1415</v>
      </c>
      <c r="C591" s="33" t="s">
        <v>28</v>
      </c>
      <c r="D591" s="34" t="n">
        <v>43353</v>
      </c>
      <c r="E591" s="33" t="s">
        <v>102</v>
      </c>
      <c r="F591" s="33" t="n">
        <v>21356941</v>
      </c>
      <c r="G591" s="33" t="n">
        <v>720193</v>
      </c>
      <c r="H591" s="33" t="s">
        <v>34</v>
      </c>
      <c r="I591" s="33" t="s">
        <v>174</v>
      </c>
      <c r="J591" s="33" t="s">
        <v>153</v>
      </c>
      <c r="K591" s="35" t="n">
        <v>226496137</v>
      </c>
      <c r="L591" s="33" t="s">
        <v>1334</v>
      </c>
      <c r="M591" s="33" t="n">
        <v>104458003</v>
      </c>
      <c r="N591" s="36" t="n">
        <v>0</v>
      </c>
      <c r="O591" s="37" t="n">
        <v>0</v>
      </c>
    </row>
    <row r="592" customFormat="false" ht="15" hidden="false" customHeight="false" outlineLevel="0" collapsed="false">
      <c r="A592" s="32" t="s">
        <v>1416</v>
      </c>
      <c r="B592" s="33" t="s">
        <v>1417</v>
      </c>
      <c r="C592" s="33" t="s">
        <v>28</v>
      </c>
      <c r="D592" s="34" t="n">
        <v>43352</v>
      </c>
      <c r="E592" s="33" t="s">
        <v>102</v>
      </c>
      <c r="F592" s="33" t="n">
        <v>21356941</v>
      </c>
      <c r="G592" s="33" t="n">
        <v>720193</v>
      </c>
      <c r="H592" s="33" t="s">
        <v>34</v>
      </c>
      <c r="I592" s="33" t="s">
        <v>174</v>
      </c>
      <c r="J592" s="33" t="s">
        <v>153</v>
      </c>
      <c r="K592" s="35" t="n">
        <v>226496137</v>
      </c>
      <c r="L592" s="33" t="s">
        <v>1334</v>
      </c>
      <c r="M592" s="33" t="n">
        <v>104458003</v>
      </c>
      <c r="N592" s="36" t="n">
        <v>0</v>
      </c>
      <c r="O592" s="37" t="n">
        <v>0</v>
      </c>
    </row>
    <row r="593" customFormat="false" ht="15" hidden="false" customHeight="false" outlineLevel="0" collapsed="false">
      <c r="A593" s="32" t="s">
        <v>1418</v>
      </c>
      <c r="B593" s="33" t="s">
        <v>1419</v>
      </c>
      <c r="C593" s="33" t="s">
        <v>28</v>
      </c>
      <c r="D593" s="34" t="n">
        <v>43358</v>
      </c>
      <c r="E593" s="33" t="s">
        <v>102</v>
      </c>
      <c r="F593" s="33" t="n">
        <v>21356941</v>
      </c>
      <c r="G593" s="33" t="n">
        <v>720193</v>
      </c>
      <c r="H593" s="33" t="s">
        <v>34</v>
      </c>
      <c r="I593" s="33" t="s">
        <v>174</v>
      </c>
      <c r="J593" s="33" t="s">
        <v>154</v>
      </c>
      <c r="K593" s="35" t="n">
        <v>226360007</v>
      </c>
      <c r="L593" s="33" t="s">
        <v>1349</v>
      </c>
      <c r="M593" s="33" t="n">
        <v>104455906</v>
      </c>
      <c r="N593" s="36" t="n">
        <v>3</v>
      </c>
      <c r="O593" s="37" t="n">
        <v>0.02</v>
      </c>
    </row>
    <row r="594" customFormat="false" ht="15" hidden="false" customHeight="false" outlineLevel="0" collapsed="false">
      <c r="A594" s="32" t="s">
        <v>1420</v>
      </c>
      <c r="B594" s="33" t="s">
        <v>1421</v>
      </c>
      <c r="C594" s="33" t="s">
        <v>28</v>
      </c>
      <c r="D594" s="34" t="n">
        <v>43357</v>
      </c>
      <c r="E594" s="33" t="s">
        <v>102</v>
      </c>
      <c r="F594" s="33" t="n">
        <v>21356941</v>
      </c>
      <c r="G594" s="33" t="n">
        <v>720193</v>
      </c>
      <c r="H594" s="33" t="s">
        <v>34</v>
      </c>
      <c r="I594" s="33" t="s">
        <v>174</v>
      </c>
      <c r="J594" s="33" t="s">
        <v>154</v>
      </c>
      <c r="K594" s="35" t="n">
        <v>226360007</v>
      </c>
      <c r="L594" s="33" t="s">
        <v>1349</v>
      </c>
      <c r="M594" s="33" t="n">
        <v>104455906</v>
      </c>
      <c r="N594" s="36" t="n">
        <v>1</v>
      </c>
      <c r="O594" s="37" t="n">
        <v>0.02</v>
      </c>
    </row>
    <row r="595" customFormat="false" ht="15" hidden="false" customHeight="false" outlineLevel="0" collapsed="false">
      <c r="A595" s="32" t="s">
        <v>1422</v>
      </c>
      <c r="B595" s="33" t="s">
        <v>1423</v>
      </c>
      <c r="C595" s="33" t="s">
        <v>28</v>
      </c>
      <c r="D595" s="34" t="n">
        <v>43356</v>
      </c>
      <c r="E595" s="33" t="s">
        <v>102</v>
      </c>
      <c r="F595" s="33" t="n">
        <v>21356941</v>
      </c>
      <c r="G595" s="33" t="n">
        <v>720193</v>
      </c>
      <c r="H595" s="33" t="s">
        <v>34</v>
      </c>
      <c r="I595" s="33" t="s">
        <v>174</v>
      </c>
      <c r="J595" s="33" t="s">
        <v>154</v>
      </c>
      <c r="K595" s="35" t="n">
        <v>226360007</v>
      </c>
      <c r="L595" s="33" t="s">
        <v>1349</v>
      </c>
      <c r="M595" s="33" t="n">
        <v>104455906</v>
      </c>
      <c r="N595" s="36" t="n">
        <v>0</v>
      </c>
      <c r="O595" s="37" t="n">
        <v>0</v>
      </c>
    </row>
    <row r="596" customFormat="false" ht="15" hidden="false" customHeight="false" outlineLevel="0" collapsed="false">
      <c r="A596" s="32" t="s">
        <v>1424</v>
      </c>
      <c r="B596" s="33" t="s">
        <v>1425</v>
      </c>
      <c r="C596" s="33" t="s">
        <v>28</v>
      </c>
      <c r="D596" s="34" t="n">
        <v>43355</v>
      </c>
      <c r="E596" s="33" t="s">
        <v>102</v>
      </c>
      <c r="F596" s="33" t="n">
        <v>21356941</v>
      </c>
      <c r="G596" s="33" t="n">
        <v>720193</v>
      </c>
      <c r="H596" s="33" t="s">
        <v>34</v>
      </c>
      <c r="I596" s="33" t="s">
        <v>174</v>
      </c>
      <c r="J596" s="33" t="s">
        <v>154</v>
      </c>
      <c r="K596" s="35" t="n">
        <v>226360007</v>
      </c>
      <c r="L596" s="33" t="s">
        <v>1349</v>
      </c>
      <c r="M596" s="33" t="n">
        <v>104455906</v>
      </c>
      <c r="N596" s="36" t="n">
        <v>0</v>
      </c>
      <c r="O596" s="37" t="n">
        <v>0</v>
      </c>
    </row>
    <row r="597" customFormat="false" ht="15" hidden="false" customHeight="false" outlineLevel="0" collapsed="false">
      <c r="A597" s="32" t="s">
        <v>1426</v>
      </c>
      <c r="B597" s="33" t="s">
        <v>1427</v>
      </c>
      <c r="C597" s="33" t="s">
        <v>28</v>
      </c>
      <c r="D597" s="34" t="n">
        <v>43354</v>
      </c>
      <c r="E597" s="33" t="s">
        <v>102</v>
      </c>
      <c r="F597" s="33" t="n">
        <v>21356941</v>
      </c>
      <c r="G597" s="33" t="n">
        <v>720193</v>
      </c>
      <c r="H597" s="33" t="s">
        <v>34</v>
      </c>
      <c r="I597" s="33" t="s">
        <v>174</v>
      </c>
      <c r="J597" s="33" t="s">
        <v>154</v>
      </c>
      <c r="K597" s="35" t="n">
        <v>226360007</v>
      </c>
      <c r="L597" s="33" t="s">
        <v>1349</v>
      </c>
      <c r="M597" s="33" t="n">
        <v>104455906</v>
      </c>
      <c r="N597" s="36" t="n">
        <v>0</v>
      </c>
      <c r="O597" s="37" t="n">
        <v>0</v>
      </c>
    </row>
    <row r="598" customFormat="false" ht="15" hidden="false" customHeight="false" outlineLevel="0" collapsed="false">
      <c r="A598" s="32" t="s">
        <v>1428</v>
      </c>
      <c r="B598" s="33" t="s">
        <v>1429</v>
      </c>
      <c r="C598" s="33" t="s">
        <v>28</v>
      </c>
      <c r="D598" s="34" t="n">
        <v>43353</v>
      </c>
      <c r="E598" s="33" t="s">
        <v>102</v>
      </c>
      <c r="F598" s="33" t="n">
        <v>21356941</v>
      </c>
      <c r="G598" s="33" t="n">
        <v>720193</v>
      </c>
      <c r="H598" s="33" t="s">
        <v>34</v>
      </c>
      <c r="I598" s="33" t="s">
        <v>174</v>
      </c>
      <c r="J598" s="33" t="s">
        <v>154</v>
      </c>
      <c r="K598" s="35" t="n">
        <v>226360007</v>
      </c>
      <c r="L598" s="33" t="s">
        <v>1349</v>
      </c>
      <c r="M598" s="33" t="n">
        <v>104455906</v>
      </c>
      <c r="N598" s="36" t="n">
        <v>0</v>
      </c>
      <c r="O598" s="37" t="n">
        <v>0</v>
      </c>
    </row>
    <row r="599" customFormat="false" ht="15" hidden="false" customHeight="false" outlineLevel="0" collapsed="false">
      <c r="A599" s="32" t="s">
        <v>1430</v>
      </c>
      <c r="B599" s="33" t="s">
        <v>1431</v>
      </c>
      <c r="C599" s="33" t="s">
        <v>28</v>
      </c>
      <c r="D599" s="34" t="n">
        <v>43352</v>
      </c>
      <c r="E599" s="33" t="s">
        <v>102</v>
      </c>
      <c r="F599" s="33" t="n">
        <v>21356941</v>
      </c>
      <c r="G599" s="33" t="n">
        <v>720193</v>
      </c>
      <c r="H599" s="33" t="s">
        <v>34</v>
      </c>
      <c r="I599" s="33" t="s">
        <v>174</v>
      </c>
      <c r="J599" s="33" t="s">
        <v>154</v>
      </c>
      <c r="K599" s="35" t="n">
        <v>226360007</v>
      </c>
      <c r="L599" s="33" t="s">
        <v>1349</v>
      </c>
      <c r="M599" s="33" t="n">
        <v>104455906</v>
      </c>
      <c r="N599" s="36" t="n">
        <v>1</v>
      </c>
      <c r="O599" s="37" t="n">
        <v>0</v>
      </c>
    </row>
    <row r="600" customFormat="false" ht="15" hidden="false" customHeight="false" outlineLevel="0" collapsed="false">
      <c r="A600" s="32" t="s">
        <v>1432</v>
      </c>
      <c r="B600" s="33" t="s">
        <v>1433</v>
      </c>
      <c r="C600" s="33" t="s">
        <v>28</v>
      </c>
      <c r="D600" s="34" t="n">
        <v>43358</v>
      </c>
      <c r="E600" s="33" t="s">
        <v>102</v>
      </c>
      <c r="F600" s="33" t="n">
        <v>21356941</v>
      </c>
      <c r="G600" s="33" t="n">
        <v>720193</v>
      </c>
      <c r="H600" s="33" t="s">
        <v>34</v>
      </c>
      <c r="I600" s="33" t="s">
        <v>174</v>
      </c>
      <c r="J600" s="33" t="s">
        <v>155</v>
      </c>
      <c r="K600" s="35" t="n">
        <v>226496143</v>
      </c>
      <c r="L600" s="33" t="s">
        <v>1349</v>
      </c>
      <c r="M600" s="33" t="n">
        <v>104455906</v>
      </c>
      <c r="N600" s="36" t="n">
        <v>0</v>
      </c>
      <c r="O600" s="37" t="n">
        <v>0</v>
      </c>
    </row>
    <row r="601" customFormat="false" ht="15" hidden="false" customHeight="false" outlineLevel="0" collapsed="false">
      <c r="A601" s="32" t="s">
        <v>1434</v>
      </c>
      <c r="B601" s="33" t="s">
        <v>1435</v>
      </c>
      <c r="C601" s="33" t="s">
        <v>28</v>
      </c>
      <c r="D601" s="34" t="n">
        <v>43357</v>
      </c>
      <c r="E601" s="33" t="s">
        <v>102</v>
      </c>
      <c r="F601" s="33" t="n">
        <v>21356941</v>
      </c>
      <c r="G601" s="33" t="n">
        <v>720193</v>
      </c>
      <c r="H601" s="33" t="s">
        <v>34</v>
      </c>
      <c r="I601" s="33" t="s">
        <v>174</v>
      </c>
      <c r="J601" s="33" t="s">
        <v>155</v>
      </c>
      <c r="K601" s="35" t="n">
        <v>226496143</v>
      </c>
      <c r="L601" s="33" t="s">
        <v>1349</v>
      </c>
      <c r="M601" s="33" t="n">
        <v>104455906</v>
      </c>
      <c r="N601" s="36" t="n">
        <v>0</v>
      </c>
      <c r="O601" s="37" t="n">
        <v>0</v>
      </c>
    </row>
    <row r="602" customFormat="false" ht="15" hidden="false" customHeight="false" outlineLevel="0" collapsed="false">
      <c r="A602" s="32" t="s">
        <v>1436</v>
      </c>
      <c r="B602" s="33" t="s">
        <v>1437</v>
      </c>
      <c r="C602" s="33" t="s">
        <v>28</v>
      </c>
      <c r="D602" s="34" t="n">
        <v>43356</v>
      </c>
      <c r="E602" s="33" t="s">
        <v>102</v>
      </c>
      <c r="F602" s="33" t="n">
        <v>21356941</v>
      </c>
      <c r="G602" s="33" t="n">
        <v>720193</v>
      </c>
      <c r="H602" s="33" t="s">
        <v>34</v>
      </c>
      <c r="I602" s="33" t="s">
        <v>174</v>
      </c>
      <c r="J602" s="33" t="s">
        <v>155</v>
      </c>
      <c r="K602" s="35" t="n">
        <v>226496143</v>
      </c>
      <c r="L602" s="33" t="s">
        <v>1349</v>
      </c>
      <c r="M602" s="33" t="n">
        <v>104455906</v>
      </c>
      <c r="N602" s="36" t="n">
        <v>0</v>
      </c>
      <c r="O602" s="37" t="n">
        <v>0</v>
      </c>
    </row>
    <row r="603" customFormat="false" ht="15" hidden="false" customHeight="false" outlineLevel="0" collapsed="false">
      <c r="A603" s="32" t="s">
        <v>1438</v>
      </c>
      <c r="B603" s="33" t="s">
        <v>1439</v>
      </c>
      <c r="C603" s="33" t="s">
        <v>28</v>
      </c>
      <c r="D603" s="34" t="n">
        <v>43355</v>
      </c>
      <c r="E603" s="33" t="s">
        <v>102</v>
      </c>
      <c r="F603" s="33" t="n">
        <v>21356941</v>
      </c>
      <c r="G603" s="33" t="n">
        <v>720193</v>
      </c>
      <c r="H603" s="33" t="s">
        <v>34</v>
      </c>
      <c r="I603" s="33" t="s">
        <v>174</v>
      </c>
      <c r="J603" s="33" t="s">
        <v>155</v>
      </c>
      <c r="K603" s="35" t="n">
        <v>226496143</v>
      </c>
      <c r="L603" s="33" t="s">
        <v>1349</v>
      </c>
      <c r="M603" s="33" t="n">
        <v>104455906</v>
      </c>
      <c r="N603" s="36" t="n">
        <v>0</v>
      </c>
      <c r="O603" s="37" t="n">
        <v>0</v>
      </c>
    </row>
    <row r="604" customFormat="false" ht="15" hidden="false" customHeight="false" outlineLevel="0" collapsed="false">
      <c r="A604" s="32" t="s">
        <v>1440</v>
      </c>
      <c r="B604" s="33" t="s">
        <v>1441</v>
      </c>
      <c r="C604" s="33" t="s">
        <v>28</v>
      </c>
      <c r="D604" s="34" t="n">
        <v>43354</v>
      </c>
      <c r="E604" s="33" t="s">
        <v>102</v>
      </c>
      <c r="F604" s="33" t="n">
        <v>21356941</v>
      </c>
      <c r="G604" s="33" t="n">
        <v>720193</v>
      </c>
      <c r="H604" s="33" t="s">
        <v>34</v>
      </c>
      <c r="I604" s="33" t="s">
        <v>174</v>
      </c>
      <c r="J604" s="33" t="s">
        <v>155</v>
      </c>
      <c r="K604" s="35" t="n">
        <v>226496143</v>
      </c>
      <c r="L604" s="33" t="s">
        <v>1349</v>
      </c>
      <c r="M604" s="33" t="n">
        <v>104455906</v>
      </c>
      <c r="N604" s="36" t="n">
        <v>0</v>
      </c>
      <c r="O604" s="37" t="n">
        <v>0</v>
      </c>
    </row>
    <row r="605" customFormat="false" ht="15" hidden="false" customHeight="false" outlineLevel="0" collapsed="false">
      <c r="A605" s="32" t="s">
        <v>1442</v>
      </c>
      <c r="B605" s="33" t="s">
        <v>1443</v>
      </c>
      <c r="C605" s="33" t="s">
        <v>28</v>
      </c>
      <c r="D605" s="34" t="n">
        <v>43353</v>
      </c>
      <c r="E605" s="33" t="s">
        <v>102</v>
      </c>
      <c r="F605" s="33" t="n">
        <v>21356941</v>
      </c>
      <c r="G605" s="33" t="n">
        <v>720193</v>
      </c>
      <c r="H605" s="33" t="s">
        <v>34</v>
      </c>
      <c r="I605" s="33" t="s">
        <v>174</v>
      </c>
      <c r="J605" s="33" t="s">
        <v>155</v>
      </c>
      <c r="K605" s="35" t="n">
        <v>226496143</v>
      </c>
      <c r="L605" s="33" t="s">
        <v>1349</v>
      </c>
      <c r="M605" s="33" t="n">
        <v>104455906</v>
      </c>
      <c r="N605" s="36" t="n">
        <v>0</v>
      </c>
      <c r="O605" s="37" t="n">
        <v>0</v>
      </c>
    </row>
    <row r="606" customFormat="false" ht="15" hidden="false" customHeight="false" outlineLevel="0" collapsed="false">
      <c r="A606" s="32" t="s">
        <v>1444</v>
      </c>
      <c r="B606" s="33" t="s">
        <v>1445</v>
      </c>
      <c r="C606" s="33" t="s">
        <v>28</v>
      </c>
      <c r="D606" s="34" t="n">
        <v>43352</v>
      </c>
      <c r="E606" s="33" t="s">
        <v>102</v>
      </c>
      <c r="F606" s="33" t="n">
        <v>21356941</v>
      </c>
      <c r="G606" s="33" t="n">
        <v>720193</v>
      </c>
      <c r="H606" s="33" t="s">
        <v>34</v>
      </c>
      <c r="I606" s="33" t="s">
        <v>174</v>
      </c>
      <c r="J606" s="33" t="s">
        <v>155</v>
      </c>
      <c r="K606" s="35" t="n">
        <v>226496143</v>
      </c>
      <c r="L606" s="33" t="s">
        <v>1349</v>
      </c>
      <c r="M606" s="33" t="n">
        <v>104455906</v>
      </c>
      <c r="N606" s="36" t="n">
        <v>0</v>
      </c>
      <c r="O606" s="37" t="n">
        <v>0</v>
      </c>
    </row>
    <row r="607" customFormat="false" ht="15" hidden="false" customHeight="false" outlineLevel="0" collapsed="false">
      <c r="A607" s="32" t="s">
        <v>1446</v>
      </c>
      <c r="B607" s="33" t="s">
        <v>1447</v>
      </c>
      <c r="C607" s="33" t="s">
        <v>28</v>
      </c>
      <c r="D607" s="34" t="n">
        <v>43358</v>
      </c>
      <c r="E607" s="33" t="s">
        <v>102</v>
      </c>
      <c r="F607" s="33" t="n">
        <v>21356941</v>
      </c>
      <c r="G607" s="33" t="n">
        <v>720193</v>
      </c>
      <c r="H607" s="33" t="s">
        <v>34</v>
      </c>
      <c r="I607" s="33" t="s">
        <v>174</v>
      </c>
      <c r="J607" s="33" t="s">
        <v>156</v>
      </c>
      <c r="K607" s="35" t="n">
        <v>226360016</v>
      </c>
      <c r="L607" s="33" t="s">
        <v>1319</v>
      </c>
      <c r="M607" s="33" t="n">
        <v>104456278</v>
      </c>
      <c r="N607" s="36" t="n">
        <v>0</v>
      </c>
      <c r="O607" s="37" t="n">
        <v>0</v>
      </c>
    </row>
    <row r="608" customFormat="false" ht="15" hidden="false" customHeight="false" outlineLevel="0" collapsed="false">
      <c r="A608" s="32" t="s">
        <v>1448</v>
      </c>
      <c r="B608" s="33" t="s">
        <v>1449</v>
      </c>
      <c r="C608" s="33" t="s">
        <v>28</v>
      </c>
      <c r="D608" s="34" t="n">
        <v>43357</v>
      </c>
      <c r="E608" s="33" t="s">
        <v>102</v>
      </c>
      <c r="F608" s="33" t="n">
        <v>21356941</v>
      </c>
      <c r="G608" s="33" t="n">
        <v>720193</v>
      </c>
      <c r="H608" s="33" t="s">
        <v>34</v>
      </c>
      <c r="I608" s="33" t="s">
        <v>174</v>
      </c>
      <c r="J608" s="33" t="s">
        <v>156</v>
      </c>
      <c r="K608" s="35" t="n">
        <v>226360016</v>
      </c>
      <c r="L608" s="33" t="s">
        <v>1319</v>
      </c>
      <c r="M608" s="33" t="n">
        <v>104456278</v>
      </c>
      <c r="N608" s="36" t="n">
        <v>0</v>
      </c>
      <c r="O608" s="37" t="n">
        <v>0</v>
      </c>
    </row>
    <row r="609" customFormat="false" ht="15" hidden="false" customHeight="false" outlineLevel="0" collapsed="false">
      <c r="A609" s="32" t="s">
        <v>1450</v>
      </c>
      <c r="B609" s="33" t="s">
        <v>1451</v>
      </c>
      <c r="C609" s="33" t="s">
        <v>28</v>
      </c>
      <c r="D609" s="34" t="n">
        <v>43356</v>
      </c>
      <c r="E609" s="33" t="s">
        <v>102</v>
      </c>
      <c r="F609" s="33" t="n">
        <v>21356941</v>
      </c>
      <c r="G609" s="33" t="n">
        <v>720193</v>
      </c>
      <c r="H609" s="33" t="s">
        <v>34</v>
      </c>
      <c r="I609" s="33" t="s">
        <v>174</v>
      </c>
      <c r="J609" s="33" t="s">
        <v>156</v>
      </c>
      <c r="K609" s="35" t="n">
        <v>226360016</v>
      </c>
      <c r="L609" s="33" t="s">
        <v>1319</v>
      </c>
      <c r="M609" s="33" t="n">
        <v>104456278</v>
      </c>
      <c r="N609" s="36" t="n">
        <v>0</v>
      </c>
      <c r="O609" s="37" t="n">
        <v>0</v>
      </c>
    </row>
    <row r="610" customFormat="false" ht="15" hidden="false" customHeight="false" outlineLevel="0" collapsed="false">
      <c r="A610" s="32" t="s">
        <v>1452</v>
      </c>
      <c r="B610" s="33" t="s">
        <v>1453</v>
      </c>
      <c r="C610" s="33" t="s">
        <v>28</v>
      </c>
      <c r="D610" s="34" t="n">
        <v>43355</v>
      </c>
      <c r="E610" s="33" t="s">
        <v>102</v>
      </c>
      <c r="F610" s="33" t="n">
        <v>21356941</v>
      </c>
      <c r="G610" s="33" t="n">
        <v>720193</v>
      </c>
      <c r="H610" s="33" t="s">
        <v>34</v>
      </c>
      <c r="I610" s="33" t="s">
        <v>174</v>
      </c>
      <c r="J610" s="33" t="s">
        <v>156</v>
      </c>
      <c r="K610" s="35" t="n">
        <v>226360016</v>
      </c>
      <c r="L610" s="33" t="s">
        <v>1319</v>
      </c>
      <c r="M610" s="33" t="n">
        <v>104456278</v>
      </c>
      <c r="N610" s="36" t="n">
        <v>0</v>
      </c>
      <c r="O610" s="37" t="n">
        <v>0</v>
      </c>
    </row>
    <row r="611" customFormat="false" ht="15" hidden="false" customHeight="false" outlineLevel="0" collapsed="false">
      <c r="A611" s="32" t="s">
        <v>1454</v>
      </c>
      <c r="B611" s="33" t="s">
        <v>1455</v>
      </c>
      <c r="C611" s="33" t="s">
        <v>28</v>
      </c>
      <c r="D611" s="34" t="n">
        <v>43354</v>
      </c>
      <c r="E611" s="33" t="s">
        <v>102</v>
      </c>
      <c r="F611" s="33" t="n">
        <v>21356941</v>
      </c>
      <c r="G611" s="33" t="n">
        <v>720193</v>
      </c>
      <c r="H611" s="33" t="s">
        <v>34</v>
      </c>
      <c r="I611" s="33" t="s">
        <v>174</v>
      </c>
      <c r="J611" s="33" t="s">
        <v>156</v>
      </c>
      <c r="K611" s="35" t="n">
        <v>226360016</v>
      </c>
      <c r="L611" s="33" t="s">
        <v>1319</v>
      </c>
      <c r="M611" s="33" t="n">
        <v>104456278</v>
      </c>
      <c r="N611" s="36" t="n">
        <v>0</v>
      </c>
      <c r="O611" s="37" t="n">
        <v>0</v>
      </c>
    </row>
    <row r="612" customFormat="false" ht="15" hidden="false" customHeight="false" outlineLevel="0" collapsed="false">
      <c r="A612" s="32" t="s">
        <v>1456</v>
      </c>
      <c r="B612" s="33" t="s">
        <v>1457</v>
      </c>
      <c r="C612" s="33" t="s">
        <v>28</v>
      </c>
      <c r="D612" s="34" t="n">
        <v>43353</v>
      </c>
      <c r="E612" s="33" t="s">
        <v>102</v>
      </c>
      <c r="F612" s="33" t="n">
        <v>21356941</v>
      </c>
      <c r="G612" s="33" t="n">
        <v>720193</v>
      </c>
      <c r="H612" s="33" t="s">
        <v>34</v>
      </c>
      <c r="I612" s="33" t="s">
        <v>174</v>
      </c>
      <c r="J612" s="33" t="s">
        <v>156</v>
      </c>
      <c r="K612" s="35" t="n">
        <v>226360016</v>
      </c>
      <c r="L612" s="33" t="s">
        <v>1319</v>
      </c>
      <c r="M612" s="33" t="n">
        <v>104456278</v>
      </c>
      <c r="N612" s="36" t="n">
        <v>2525</v>
      </c>
      <c r="O612" s="37" t="n">
        <v>16.1</v>
      </c>
    </row>
    <row r="613" customFormat="false" ht="15" hidden="false" customHeight="false" outlineLevel="0" collapsed="false">
      <c r="A613" s="32" t="s">
        <v>1458</v>
      </c>
      <c r="B613" s="33" t="s">
        <v>1459</v>
      </c>
      <c r="C613" s="33" t="s">
        <v>28</v>
      </c>
      <c r="D613" s="34" t="n">
        <v>43352</v>
      </c>
      <c r="E613" s="33" t="s">
        <v>102</v>
      </c>
      <c r="F613" s="33" t="n">
        <v>21356941</v>
      </c>
      <c r="G613" s="33" t="n">
        <v>720193</v>
      </c>
      <c r="H613" s="33" t="s">
        <v>34</v>
      </c>
      <c r="I613" s="33" t="s">
        <v>174</v>
      </c>
      <c r="J613" s="33" t="s">
        <v>156</v>
      </c>
      <c r="K613" s="35" t="n">
        <v>226360016</v>
      </c>
      <c r="L613" s="33" t="s">
        <v>1319</v>
      </c>
      <c r="M613" s="33" t="n">
        <v>104456278</v>
      </c>
      <c r="N613" s="36" t="n">
        <v>9360</v>
      </c>
      <c r="O613" s="37" t="n">
        <v>60.7</v>
      </c>
    </row>
    <row r="614" customFormat="false" ht="15" hidden="false" customHeight="false" outlineLevel="0" collapsed="false">
      <c r="A614" s="32" t="s">
        <v>1460</v>
      </c>
      <c r="B614" s="33" t="s">
        <v>1461</v>
      </c>
      <c r="C614" s="33" t="s">
        <v>28</v>
      </c>
      <c r="D614" s="34" t="n">
        <v>43358</v>
      </c>
      <c r="E614" s="33" t="s">
        <v>102</v>
      </c>
      <c r="F614" s="33" t="n">
        <v>21356941</v>
      </c>
      <c r="G614" s="33" t="n">
        <v>720193</v>
      </c>
      <c r="H614" s="33" t="s">
        <v>34</v>
      </c>
      <c r="I614" s="33" t="s">
        <v>174</v>
      </c>
      <c r="J614" s="33" t="s">
        <v>157</v>
      </c>
      <c r="K614" s="35" t="n">
        <v>226360010</v>
      </c>
      <c r="L614" s="33" t="s">
        <v>1334</v>
      </c>
      <c r="M614" s="33" t="n">
        <v>104458003</v>
      </c>
      <c r="N614" s="36" t="n">
        <v>0</v>
      </c>
      <c r="O614" s="37" t="n">
        <v>0</v>
      </c>
    </row>
    <row r="615" customFormat="false" ht="15" hidden="false" customHeight="false" outlineLevel="0" collapsed="false">
      <c r="A615" s="32" t="s">
        <v>1462</v>
      </c>
      <c r="B615" s="33" t="s">
        <v>1463</v>
      </c>
      <c r="C615" s="33" t="s">
        <v>28</v>
      </c>
      <c r="D615" s="34" t="n">
        <v>43357</v>
      </c>
      <c r="E615" s="33" t="s">
        <v>102</v>
      </c>
      <c r="F615" s="33" t="n">
        <v>21356941</v>
      </c>
      <c r="G615" s="33" t="n">
        <v>720193</v>
      </c>
      <c r="H615" s="33" t="s">
        <v>34</v>
      </c>
      <c r="I615" s="33" t="s">
        <v>174</v>
      </c>
      <c r="J615" s="33" t="s">
        <v>157</v>
      </c>
      <c r="K615" s="35" t="n">
        <v>226360010</v>
      </c>
      <c r="L615" s="33" t="s">
        <v>1334</v>
      </c>
      <c r="M615" s="33" t="n">
        <v>104458003</v>
      </c>
      <c r="N615" s="36" t="n">
        <v>0</v>
      </c>
      <c r="O615" s="37" t="n">
        <v>0</v>
      </c>
    </row>
    <row r="616" customFormat="false" ht="15" hidden="false" customHeight="false" outlineLevel="0" collapsed="false">
      <c r="A616" s="32" t="s">
        <v>1464</v>
      </c>
      <c r="B616" s="33" t="s">
        <v>1465</v>
      </c>
      <c r="C616" s="33" t="s">
        <v>28</v>
      </c>
      <c r="D616" s="34" t="n">
        <v>43356</v>
      </c>
      <c r="E616" s="33" t="s">
        <v>102</v>
      </c>
      <c r="F616" s="33" t="n">
        <v>21356941</v>
      </c>
      <c r="G616" s="33" t="n">
        <v>720193</v>
      </c>
      <c r="H616" s="33" t="s">
        <v>34</v>
      </c>
      <c r="I616" s="33" t="s">
        <v>174</v>
      </c>
      <c r="J616" s="33" t="s">
        <v>157</v>
      </c>
      <c r="K616" s="35" t="n">
        <v>226360010</v>
      </c>
      <c r="L616" s="33" t="s">
        <v>1334</v>
      </c>
      <c r="M616" s="33" t="n">
        <v>104458003</v>
      </c>
      <c r="N616" s="36" t="n">
        <v>0</v>
      </c>
      <c r="O616" s="37" t="n">
        <v>0</v>
      </c>
    </row>
    <row r="617" customFormat="false" ht="15" hidden="false" customHeight="false" outlineLevel="0" collapsed="false">
      <c r="A617" s="32" t="s">
        <v>1466</v>
      </c>
      <c r="B617" s="33" t="s">
        <v>1467</v>
      </c>
      <c r="C617" s="33" t="s">
        <v>28</v>
      </c>
      <c r="D617" s="34" t="n">
        <v>43355</v>
      </c>
      <c r="E617" s="33" t="s">
        <v>102</v>
      </c>
      <c r="F617" s="33" t="n">
        <v>21356941</v>
      </c>
      <c r="G617" s="33" t="n">
        <v>720193</v>
      </c>
      <c r="H617" s="33" t="s">
        <v>34</v>
      </c>
      <c r="I617" s="33" t="s">
        <v>174</v>
      </c>
      <c r="J617" s="33" t="s">
        <v>157</v>
      </c>
      <c r="K617" s="35" t="n">
        <v>226360010</v>
      </c>
      <c r="L617" s="33" t="s">
        <v>1334</v>
      </c>
      <c r="M617" s="33" t="n">
        <v>104458003</v>
      </c>
      <c r="N617" s="36" t="n">
        <v>0</v>
      </c>
      <c r="O617" s="37" t="n">
        <v>0</v>
      </c>
    </row>
    <row r="618" customFormat="false" ht="15" hidden="false" customHeight="false" outlineLevel="0" collapsed="false">
      <c r="A618" s="32" t="s">
        <v>1468</v>
      </c>
      <c r="B618" s="33" t="s">
        <v>1469</v>
      </c>
      <c r="C618" s="33" t="s">
        <v>28</v>
      </c>
      <c r="D618" s="34" t="n">
        <v>43354</v>
      </c>
      <c r="E618" s="33" t="s">
        <v>102</v>
      </c>
      <c r="F618" s="33" t="n">
        <v>21356941</v>
      </c>
      <c r="G618" s="33" t="n">
        <v>720193</v>
      </c>
      <c r="H618" s="33" t="s">
        <v>34</v>
      </c>
      <c r="I618" s="33" t="s">
        <v>174</v>
      </c>
      <c r="J618" s="33" t="s">
        <v>157</v>
      </c>
      <c r="K618" s="35" t="n">
        <v>226360010</v>
      </c>
      <c r="L618" s="33" t="s">
        <v>1334</v>
      </c>
      <c r="M618" s="33" t="n">
        <v>104458003</v>
      </c>
      <c r="N618" s="36" t="n">
        <v>0</v>
      </c>
      <c r="O618" s="37" t="n">
        <v>0</v>
      </c>
    </row>
    <row r="619" customFormat="false" ht="15" hidden="false" customHeight="false" outlineLevel="0" collapsed="false">
      <c r="A619" s="32" t="s">
        <v>1470</v>
      </c>
      <c r="B619" s="33" t="s">
        <v>1471</v>
      </c>
      <c r="C619" s="33" t="s">
        <v>28</v>
      </c>
      <c r="D619" s="34" t="n">
        <v>43353</v>
      </c>
      <c r="E619" s="33" t="s">
        <v>102</v>
      </c>
      <c r="F619" s="33" t="n">
        <v>21356941</v>
      </c>
      <c r="G619" s="33" t="n">
        <v>720193</v>
      </c>
      <c r="H619" s="33" t="s">
        <v>34</v>
      </c>
      <c r="I619" s="33" t="s">
        <v>174</v>
      </c>
      <c r="J619" s="33" t="s">
        <v>157</v>
      </c>
      <c r="K619" s="35" t="n">
        <v>226360010</v>
      </c>
      <c r="L619" s="33" t="s">
        <v>1334</v>
      </c>
      <c r="M619" s="33" t="n">
        <v>104458003</v>
      </c>
      <c r="N619" s="36" t="n">
        <v>6</v>
      </c>
      <c r="O619" s="37" t="n">
        <v>0.01</v>
      </c>
    </row>
    <row r="620" customFormat="false" ht="15" hidden="false" customHeight="false" outlineLevel="0" collapsed="false">
      <c r="A620" s="32" t="s">
        <v>1472</v>
      </c>
      <c r="B620" s="33" t="s">
        <v>1473</v>
      </c>
      <c r="C620" s="33" t="s">
        <v>28</v>
      </c>
      <c r="D620" s="34" t="n">
        <v>43352</v>
      </c>
      <c r="E620" s="33" t="s">
        <v>102</v>
      </c>
      <c r="F620" s="33" t="n">
        <v>21356941</v>
      </c>
      <c r="G620" s="33" t="n">
        <v>720193</v>
      </c>
      <c r="H620" s="33" t="s">
        <v>34</v>
      </c>
      <c r="I620" s="33" t="s">
        <v>174</v>
      </c>
      <c r="J620" s="33" t="s">
        <v>157</v>
      </c>
      <c r="K620" s="35" t="n">
        <v>226360010</v>
      </c>
      <c r="L620" s="33" t="s">
        <v>1334</v>
      </c>
      <c r="M620" s="33" t="n">
        <v>104458003</v>
      </c>
      <c r="N620" s="36" t="n">
        <v>22</v>
      </c>
      <c r="O620" s="37" t="n">
        <v>0.23</v>
      </c>
    </row>
    <row r="621" customFormat="false" ht="15" hidden="false" customHeight="false" outlineLevel="0" collapsed="false">
      <c r="A621" s="32" t="s">
        <v>1474</v>
      </c>
      <c r="B621" s="33" t="s">
        <v>1475</v>
      </c>
      <c r="C621" s="33" t="s">
        <v>28</v>
      </c>
      <c r="D621" s="34" t="n">
        <v>43358</v>
      </c>
      <c r="E621" s="33" t="s">
        <v>102</v>
      </c>
      <c r="F621" s="33" t="n">
        <v>21356941</v>
      </c>
      <c r="G621" s="33" t="n">
        <v>720193</v>
      </c>
      <c r="H621" s="33" t="s">
        <v>34</v>
      </c>
      <c r="I621" s="33" t="s">
        <v>174</v>
      </c>
      <c r="J621" s="33" t="s">
        <v>158</v>
      </c>
      <c r="K621" s="35" t="n">
        <v>226360022</v>
      </c>
      <c r="L621" s="33" t="s">
        <v>1349</v>
      </c>
      <c r="M621" s="33" t="n">
        <v>104455906</v>
      </c>
      <c r="N621" s="36" t="n">
        <v>0</v>
      </c>
      <c r="O621" s="37" t="n">
        <v>0</v>
      </c>
    </row>
    <row r="622" customFormat="false" ht="15" hidden="false" customHeight="false" outlineLevel="0" collapsed="false">
      <c r="A622" s="32" t="s">
        <v>1476</v>
      </c>
      <c r="B622" s="33" t="s">
        <v>1477</v>
      </c>
      <c r="C622" s="33" t="s">
        <v>28</v>
      </c>
      <c r="D622" s="34" t="n">
        <v>43357</v>
      </c>
      <c r="E622" s="33" t="s">
        <v>102</v>
      </c>
      <c r="F622" s="33" t="n">
        <v>21356941</v>
      </c>
      <c r="G622" s="33" t="n">
        <v>720193</v>
      </c>
      <c r="H622" s="33" t="s">
        <v>34</v>
      </c>
      <c r="I622" s="33" t="s">
        <v>174</v>
      </c>
      <c r="J622" s="33" t="s">
        <v>158</v>
      </c>
      <c r="K622" s="35" t="n">
        <v>226360022</v>
      </c>
      <c r="L622" s="33" t="s">
        <v>1349</v>
      </c>
      <c r="M622" s="33" t="n">
        <v>104455906</v>
      </c>
      <c r="N622" s="36" t="n">
        <v>0</v>
      </c>
      <c r="O622" s="37" t="n">
        <v>0</v>
      </c>
    </row>
    <row r="623" customFormat="false" ht="15" hidden="false" customHeight="false" outlineLevel="0" collapsed="false">
      <c r="A623" s="32" t="s">
        <v>1478</v>
      </c>
      <c r="B623" s="33" t="s">
        <v>1479</v>
      </c>
      <c r="C623" s="33" t="s">
        <v>28</v>
      </c>
      <c r="D623" s="34" t="n">
        <v>43356</v>
      </c>
      <c r="E623" s="33" t="s">
        <v>102</v>
      </c>
      <c r="F623" s="33" t="n">
        <v>21356941</v>
      </c>
      <c r="G623" s="33" t="n">
        <v>720193</v>
      </c>
      <c r="H623" s="33" t="s">
        <v>34</v>
      </c>
      <c r="I623" s="33" t="s">
        <v>174</v>
      </c>
      <c r="J623" s="33" t="s">
        <v>158</v>
      </c>
      <c r="K623" s="35" t="n">
        <v>226360022</v>
      </c>
      <c r="L623" s="33" t="s">
        <v>1349</v>
      </c>
      <c r="M623" s="33" t="n">
        <v>104455906</v>
      </c>
      <c r="N623" s="36" t="n">
        <v>0</v>
      </c>
      <c r="O623" s="37" t="n">
        <v>0</v>
      </c>
    </row>
    <row r="624" customFormat="false" ht="15" hidden="false" customHeight="false" outlineLevel="0" collapsed="false">
      <c r="A624" s="32" t="s">
        <v>1480</v>
      </c>
      <c r="B624" s="33" t="s">
        <v>1481</v>
      </c>
      <c r="C624" s="33" t="s">
        <v>28</v>
      </c>
      <c r="D624" s="34" t="n">
        <v>43355</v>
      </c>
      <c r="E624" s="33" t="s">
        <v>102</v>
      </c>
      <c r="F624" s="33" t="n">
        <v>21356941</v>
      </c>
      <c r="G624" s="33" t="n">
        <v>720193</v>
      </c>
      <c r="H624" s="33" t="s">
        <v>34</v>
      </c>
      <c r="I624" s="33" t="s">
        <v>174</v>
      </c>
      <c r="J624" s="33" t="s">
        <v>158</v>
      </c>
      <c r="K624" s="35" t="n">
        <v>226360022</v>
      </c>
      <c r="L624" s="33" t="s">
        <v>1349</v>
      </c>
      <c r="M624" s="33" t="n">
        <v>104455906</v>
      </c>
      <c r="N624" s="36" t="n">
        <v>0</v>
      </c>
      <c r="O624" s="37" t="n">
        <v>0</v>
      </c>
    </row>
    <row r="625" customFormat="false" ht="15" hidden="false" customHeight="false" outlineLevel="0" collapsed="false">
      <c r="A625" s="32" t="s">
        <v>1482</v>
      </c>
      <c r="B625" s="33" t="s">
        <v>1483</v>
      </c>
      <c r="C625" s="33" t="s">
        <v>28</v>
      </c>
      <c r="D625" s="34" t="n">
        <v>43354</v>
      </c>
      <c r="E625" s="33" t="s">
        <v>102</v>
      </c>
      <c r="F625" s="33" t="n">
        <v>21356941</v>
      </c>
      <c r="G625" s="33" t="n">
        <v>720193</v>
      </c>
      <c r="H625" s="33" t="s">
        <v>34</v>
      </c>
      <c r="I625" s="33" t="s">
        <v>174</v>
      </c>
      <c r="J625" s="33" t="s">
        <v>158</v>
      </c>
      <c r="K625" s="35" t="n">
        <v>226360022</v>
      </c>
      <c r="L625" s="33" t="s">
        <v>1349</v>
      </c>
      <c r="M625" s="33" t="n">
        <v>104455906</v>
      </c>
      <c r="N625" s="36" t="n">
        <v>0</v>
      </c>
      <c r="O625" s="37" t="n">
        <v>0</v>
      </c>
    </row>
    <row r="626" customFormat="false" ht="15" hidden="false" customHeight="false" outlineLevel="0" collapsed="false">
      <c r="A626" s="32" t="s">
        <v>1484</v>
      </c>
      <c r="B626" s="33" t="s">
        <v>1485</v>
      </c>
      <c r="C626" s="33" t="s">
        <v>28</v>
      </c>
      <c r="D626" s="34" t="n">
        <v>43353</v>
      </c>
      <c r="E626" s="33" t="s">
        <v>102</v>
      </c>
      <c r="F626" s="33" t="n">
        <v>21356941</v>
      </c>
      <c r="G626" s="33" t="n">
        <v>720193</v>
      </c>
      <c r="H626" s="33" t="s">
        <v>34</v>
      </c>
      <c r="I626" s="33" t="s">
        <v>174</v>
      </c>
      <c r="J626" s="33" t="s">
        <v>158</v>
      </c>
      <c r="K626" s="35" t="n">
        <v>226360022</v>
      </c>
      <c r="L626" s="33" t="s">
        <v>1349</v>
      </c>
      <c r="M626" s="33" t="n">
        <v>104455906</v>
      </c>
      <c r="N626" s="36" t="n">
        <v>250</v>
      </c>
      <c r="O626" s="37" t="n">
        <v>1.78</v>
      </c>
    </row>
    <row r="627" customFormat="false" ht="15" hidden="false" customHeight="false" outlineLevel="0" collapsed="false">
      <c r="A627" s="32" t="s">
        <v>1486</v>
      </c>
      <c r="B627" s="33" t="s">
        <v>1487</v>
      </c>
      <c r="C627" s="33" t="s">
        <v>28</v>
      </c>
      <c r="D627" s="34" t="n">
        <v>43352</v>
      </c>
      <c r="E627" s="33" t="s">
        <v>102</v>
      </c>
      <c r="F627" s="33" t="n">
        <v>21356941</v>
      </c>
      <c r="G627" s="33" t="n">
        <v>720193</v>
      </c>
      <c r="H627" s="33" t="s">
        <v>34</v>
      </c>
      <c r="I627" s="33" t="s">
        <v>174</v>
      </c>
      <c r="J627" s="33" t="s">
        <v>158</v>
      </c>
      <c r="K627" s="35" t="n">
        <v>226360022</v>
      </c>
      <c r="L627" s="33" t="s">
        <v>1349</v>
      </c>
      <c r="M627" s="33" t="n">
        <v>104455906</v>
      </c>
      <c r="N627" s="36" t="n">
        <v>923</v>
      </c>
      <c r="O627" s="37" t="n">
        <v>6.64</v>
      </c>
    </row>
    <row r="628" customFormat="false" ht="15" hidden="false" customHeight="false" outlineLevel="0" collapsed="false">
      <c r="A628" s="32" t="s">
        <v>1488</v>
      </c>
      <c r="B628" s="33" t="s">
        <v>1489</v>
      </c>
      <c r="C628" s="33" t="s">
        <v>28</v>
      </c>
      <c r="D628" s="34" t="n">
        <v>43352</v>
      </c>
      <c r="E628" s="33" t="s">
        <v>159</v>
      </c>
      <c r="F628" s="33" t="n">
        <v>21276694</v>
      </c>
      <c r="G628" s="33" t="n">
        <v>720195</v>
      </c>
      <c r="H628" s="33" t="s">
        <v>34</v>
      </c>
      <c r="I628" s="33" t="s">
        <v>174</v>
      </c>
      <c r="J628" s="33" t="s">
        <v>162</v>
      </c>
      <c r="K628" s="35" t="n">
        <v>223297413</v>
      </c>
      <c r="L628" s="33" t="s">
        <v>1490</v>
      </c>
      <c r="M628" s="33" t="n">
        <v>102609621</v>
      </c>
      <c r="N628" s="36" t="n">
        <v>2507</v>
      </c>
      <c r="O628" s="37" t="n">
        <v>2170</v>
      </c>
    </row>
    <row r="629" customFormat="false" ht="15" hidden="false" customHeight="false" outlineLevel="0" collapsed="false">
      <c r="A629" s="32" t="s">
        <v>1491</v>
      </c>
      <c r="B629" s="33" t="s">
        <v>1492</v>
      </c>
      <c r="C629" s="33" t="s">
        <v>28</v>
      </c>
      <c r="D629" s="34" t="n">
        <v>43352</v>
      </c>
      <c r="E629" s="33" t="s">
        <v>159</v>
      </c>
      <c r="F629" s="33" t="n">
        <v>21276694</v>
      </c>
      <c r="G629" s="33" t="n">
        <v>720195</v>
      </c>
      <c r="H629" s="33" t="s">
        <v>34</v>
      </c>
      <c r="I629" s="33" t="s">
        <v>174</v>
      </c>
      <c r="J629" s="33" t="s">
        <v>164</v>
      </c>
      <c r="K629" s="35" t="n">
        <v>223298805</v>
      </c>
      <c r="L629" s="33" t="s">
        <v>1493</v>
      </c>
      <c r="M629" s="33" t="n">
        <v>102630373</v>
      </c>
      <c r="N629" s="36" t="n">
        <v>7306</v>
      </c>
      <c r="O629" s="37" t="n">
        <v>9290</v>
      </c>
    </row>
    <row r="630" customFormat="false" ht="15" hidden="false" customHeight="false" outlineLevel="0" collapsed="false">
      <c r="A630" s="32" t="s">
        <v>1494</v>
      </c>
      <c r="B630" s="33" t="s">
        <v>1495</v>
      </c>
      <c r="C630" s="33" t="s">
        <v>28</v>
      </c>
      <c r="D630" s="34" t="n">
        <v>43352</v>
      </c>
      <c r="E630" s="33" t="s">
        <v>159</v>
      </c>
      <c r="F630" s="33" t="n">
        <v>21276694</v>
      </c>
      <c r="G630" s="33" t="n">
        <v>720195</v>
      </c>
      <c r="H630" s="33" t="s">
        <v>34</v>
      </c>
      <c r="I630" s="33" t="s">
        <v>174</v>
      </c>
      <c r="J630" s="33" t="s">
        <v>165</v>
      </c>
      <c r="K630" s="35" t="n">
        <v>226269941</v>
      </c>
      <c r="L630" s="33" t="s">
        <v>1496</v>
      </c>
      <c r="M630" s="33" t="n">
        <v>104060547</v>
      </c>
      <c r="N630" s="36" t="n">
        <v>3306</v>
      </c>
      <c r="O630" s="37" t="n">
        <v>5778</v>
      </c>
    </row>
    <row r="631" customFormat="false" ht="15" hidden="false" customHeight="false" outlineLevel="0" collapsed="false">
      <c r="A631" s="32" t="s">
        <v>1497</v>
      </c>
      <c r="B631" s="33" t="s">
        <v>1498</v>
      </c>
      <c r="C631" s="33" t="s">
        <v>28</v>
      </c>
      <c r="D631" s="34" t="n">
        <v>43352</v>
      </c>
      <c r="E631" s="33" t="s">
        <v>159</v>
      </c>
      <c r="F631" s="33" t="n">
        <v>21276694</v>
      </c>
      <c r="G631" s="33" t="n">
        <v>720195</v>
      </c>
      <c r="H631" s="33" t="s">
        <v>34</v>
      </c>
      <c r="I631" s="33" t="s">
        <v>174</v>
      </c>
      <c r="J631" s="33" t="s">
        <v>166</v>
      </c>
      <c r="K631" s="35" t="n">
        <v>227208508</v>
      </c>
      <c r="L631" s="33" t="s">
        <v>1493</v>
      </c>
      <c r="M631" s="33" t="n">
        <v>102630373</v>
      </c>
      <c r="N631" s="36" t="n">
        <v>3399</v>
      </c>
      <c r="O631" s="37" t="n">
        <v>2088</v>
      </c>
    </row>
    <row r="632" customFormat="false" ht="15" hidden="false" customHeight="false" outlineLevel="0" collapsed="false">
      <c r="A632" s="32" t="s">
        <v>1499</v>
      </c>
      <c r="B632" s="33" t="s">
        <v>1500</v>
      </c>
      <c r="C632" s="33" t="s">
        <v>28</v>
      </c>
      <c r="D632" s="34" t="n">
        <v>43353</v>
      </c>
      <c r="E632" s="33" t="s">
        <v>159</v>
      </c>
      <c r="F632" s="33" t="n">
        <v>21276694</v>
      </c>
      <c r="G632" s="33" t="n">
        <v>720195</v>
      </c>
      <c r="H632" s="33" t="s">
        <v>34</v>
      </c>
      <c r="I632" s="33" t="s">
        <v>174</v>
      </c>
      <c r="J632" s="33" t="s">
        <v>162</v>
      </c>
      <c r="K632" s="35" t="n">
        <v>223297413</v>
      </c>
      <c r="L632" s="33" t="s">
        <v>1490</v>
      </c>
      <c r="M632" s="33" t="n">
        <v>102609621</v>
      </c>
      <c r="N632" s="36" t="n">
        <v>4091</v>
      </c>
      <c r="O632" s="37" t="n">
        <v>3171</v>
      </c>
    </row>
    <row r="633" customFormat="false" ht="15" hidden="false" customHeight="false" outlineLevel="0" collapsed="false">
      <c r="A633" s="32" t="s">
        <v>1501</v>
      </c>
      <c r="B633" s="33" t="s">
        <v>1502</v>
      </c>
      <c r="C633" s="33" t="s">
        <v>28</v>
      </c>
      <c r="D633" s="34" t="n">
        <v>43353</v>
      </c>
      <c r="E633" s="33" t="s">
        <v>159</v>
      </c>
      <c r="F633" s="33" t="n">
        <v>21276694</v>
      </c>
      <c r="G633" s="33" t="n">
        <v>720195</v>
      </c>
      <c r="H633" s="33" t="s">
        <v>34</v>
      </c>
      <c r="I633" s="33" t="s">
        <v>174</v>
      </c>
      <c r="J633" s="33" t="s">
        <v>164</v>
      </c>
      <c r="K633" s="35" t="n">
        <v>223298805</v>
      </c>
      <c r="L633" s="33" t="s">
        <v>1493</v>
      </c>
      <c r="M633" s="33" t="n">
        <v>102630373</v>
      </c>
      <c r="N633" s="36" t="n">
        <v>7573</v>
      </c>
      <c r="O633" s="37" t="n">
        <v>8429</v>
      </c>
    </row>
    <row r="634" customFormat="false" ht="15" hidden="false" customHeight="false" outlineLevel="0" collapsed="false">
      <c r="A634" s="32" t="s">
        <v>1503</v>
      </c>
      <c r="B634" s="33" t="s">
        <v>1504</v>
      </c>
      <c r="C634" s="33" t="s">
        <v>28</v>
      </c>
      <c r="D634" s="34" t="n">
        <v>43353</v>
      </c>
      <c r="E634" s="33" t="s">
        <v>159</v>
      </c>
      <c r="F634" s="33" t="n">
        <v>21276694</v>
      </c>
      <c r="G634" s="33" t="n">
        <v>720195</v>
      </c>
      <c r="H634" s="33" t="s">
        <v>34</v>
      </c>
      <c r="I634" s="33" t="s">
        <v>174</v>
      </c>
      <c r="J634" s="33" t="s">
        <v>165</v>
      </c>
      <c r="K634" s="35" t="n">
        <v>226269941</v>
      </c>
      <c r="L634" s="33" t="s">
        <v>1496</v>
      </c>
      <c r="M634" s="33" t="n">
        <v>104060547</v>
      </c>
      <c r="N634" s="36" t="n">
        <v>3519</v>
      </c>
      <c r="O634" s="37" t="n">
        <v>5883</v>
      </c>
    </row>
    <row r="635" customFormat="false" ht="15" hidden="false" customHeight="false" outlineLevel="0" collapsed="false">
      <c r="A635" s="32" t="s">
        <v>1505</v>
      </c>
      <c r="B635" s="33" t="s">
        <v>1506</v>
      </c>
      <c r="C635" s="33" t="s">
        <v>28</v>
      </c>
      <c r="D635" s="34" t="n">
        <v>43353</v>
      </c>
      <c r="E635" s="33" t="s">
        <v>159</v>
      </c>
      <c r="F635" s="33" t="n">
        <v>21276694</v>
      </c>
      <c r="G635" s="33" t="n">
        <v>720195</v>
      </c>
      <c r="H635" s="33" t="s">
        <v>34</v>
      </c>
      <c r="I635" s="33" t="s">
        <v>174</v>
      </c>
      <c r="J635" s="33" t="s">
        <v>166</v>
      </c>
      <c r="K635" s="35" t="n">
        <v>227208508</v>
      </c>
      <c r="L635" s="33" t="s">
        <v>1493</v>
      </c>
      <c r="M635" s="33" t="n">
        <v>102630373</v>
      </c>
      <c r="N635" s="36" t="n">
        <v>3230</v>
      </c>
      <c r="O635" s="37" t="n">
        <v>1777</v>
      </c>
    </row>
    <row r="636" customFormat="false" ht="15" hidden="false" customHeight="false" outlineLevel="0" collapsed="false">
      <c r="A636" s="32" t="s">
        <v>1507</v>
      </c>
      <c r="B636" s="33" t="s">
        <v>1508</v>
      </c>
      <c r="C636" s="33" t="s">
        <v>28</v>
      </c>
      <c r="D636" s="34" t="n">
        <v>43354</v>
      </c>
      <c r="E636" s="33" t="s">
        <v>159</v>
      </c>
      <c r="F636" s="33" t="n">
        <v>21276694</v>
      </c>
      <c r="G636" s="33" t="n">
        <v>720195</v>
      </c>
      <c r="H636" s="33" t="s">
        <v>34</v>
      </c>
      <c r="I636" s="33" t="s">
        <v>174</v>
      </c>
      <c r="J636" s="33" t="s">
        <v>162</v>
      </c>
      <c r="K636" s="35" t="n">
        <v>223297413</v>
      </c>
      <c r="L636" s="33" t="s">
        <v>1490</v>
      </c>
      <c r="M636" s="33" t="n">
        <v>102609621</v>
      </c>
      <c r="N636" s="36" t="n">
        <v>3127</v>
      </c>
      <c r="O636" s="37" t="n">
        <v>2186</v>
      </c>
    </row>
    <row r="637" customFormat="false" ht="15" hidden="false" customHeight="false" outlineLevel="0" collapsed="false">
      <c r="A637" s="32" t="s">
        <v>1509</v>
      </c>
      <c r="B637" s="33" t="s">
        <v>1510</v>
      </c>
      <c r="C637" s="33" t="s">
        <v>28</v>
      </c>
      <c r="D637" s="34" t="n">
        <v>43354</v>
      </c>
      <c r="E637" s="33" t="s">
        <v>159</v>
      </c>
      <c r="F637" s="33" t="n">
        <v>21276694</v>
      </c>
      <c r="G637" s="33" t="n">
        <v>720195</v>
      </c>
      <c r="H637" s="33" t="s">
        <v>34</v>
      </c>
      <c r="I637" s="33" t="s">
        <v>174</v>
      </c>
      <c r="J637" s="33" t="s">
        <v>164</v>
      </c>
      <c r="K637" s="35" t="n">
        <v>223298805</v>
      </c>
      <c r="L637" s="33" t="s">
        <v>1493</v>
      </c>
      <c r="M637" s="33" t="n">
        <v>102630373</v>
      </c>
      <c r="N637" s="36" t="n">
        <v>12418</v>
      </c>
      <c r="O637" s="37" t="n">
        <v>11061</v>
      </c>
    </row>
    <row r="638" customFormat="false" ht="15" hidden="false" customHeight="false" outlineLevel="0" collapsed="false">
      <c r="A638" s="32" t="s">
        <v>1511</v>
      </c>
      <c r="B638" s="33" t="s">
        <v>1512</v>
      </c>
      <c r="C638" s="33" t="s">
        <v>28</v>
      </c>
      <c r="D638" s="34" t="n">
        <v>43354</v>
      </c>
      <c r="E638" s="33" t="s">
        <v>159</v>
      </c>
      <c r="F638" s="33" t="n">
        <v>21276694</v>
      </c>
      <c r="G638" s="33" t="n">
        <v>720195</v>
      </c>
      <c r="H638" s="33" t="s">
        <v>34</v>
      </c>
      <c r="I638" s="33" t="s">
        <v>174</v>
      </c>
      <c r="J638" s="33" t="s">
        <v>165</v>
      </c>
      <c r="K638" s="35" t="n">
        <v>226269941</v>
      </c>
      <c r="L638" s="33" t="s">
        <v>1496</v>
      </c>
      <c r="M638" s="33" t="n">
        <v>104060547</v>
      </c>
      <c r="N638" s="36" t="n">
        <v>3717</v>
      </c>
      <c r="O638" s="37" t="n">
        <v>5772</v>
      </c>
    </row>
    <row r="639" customFormat="false" ht="15" hidden="false" customHeight="false" outlineLevel="0" collapsed="false">
      <c r="A639" s="32" t="s">
        <v>1513</v>
      </c>
      <c r="B639" s="33" t="s">
        <v>1514</v>
      </c>
      <c r="C639" s="33" t="s">
        <v>28</v>
      </c>
      <c r="D639" s="34" t="n">
        <v>43354</v>
      </c>
      <c r="E639" s="33" t="s">
        <v>159</v>
      </c>
      <c r="F639" s="33" t="n">
        <v>21276694</v>
      </c>
      <c r="G639" s="33" t="n">
        <v>720195</v>
      </c>
      <c r="H639" s="33" t="s">
        <v>34</v>
      </c>
      <c r="I639" s="33" t="s">
        <v>174</v>
      </c>
      <c r="J639" s="33" t="s">
        <v>166</v>
      </c>
      <c r="K639" s="35" t="n">
        <v>227208508</v>
      </c>
      <c r="L639" s="33" t="s">
        <v>1493</v>
      </c>
      <c r="M639" s="33" t="n">
        <v>102630373</v>
      </c>
      <c r="N639" s="36" t="n">
        <v>2541</v>
      </c>
      <c r="O639" s="37" t="n">
        <v>1512</v>
      </c>
    </row>
    <row r="640" customFormat="false" ht="15" hidden="false" customHeight="false" outlineLevel="0" collapsed="false">
      <c r="A640" s="32" t="s">
        <v>1515</v>
      </c>
      <c r="B640" s="33" t="s">
        <v>1516</v>
      </c>
      <c r="C640" s="33" t="s">
        <v>28</v>
      </c>
      <c r="D640" s="34" t="n">
        <v>43355</v>
      </c>
      <c r="E640" s="33" t="s">
        <v>159</v>
      </c>
      <c r="F640" s="33" t="n">
        <v>21276694</v>
      </c>
      <c r="G640" s="33" t="n">
        <v>720195</v>
      </c>
      <c r="H640" s="33" t="s">
        <v>34</v>
      </c>
      <c r="I640" s="33" t="s">
        <v>174</v>
      </c>
      <c r="J640" s="33" t="s">
        <v>162</v>
      </c>
      <c r="K640" s="35" t="n">
        <v>223297413</v>
      </c>
      <c r="L640" s="33" t="s">
        <v>1490</v>
      </c>
      <c r="M640" s="33" t="n">
        <v>102609621</v>
      </c>
      <c r="N640" s="36" t="n">
        <v>5380</v>
      </c>
      <c r="O640" s="37" t="n">
        <v>3567</v>
      </c>
    </row>
    <row r="641" customFormat="false" ht="15" hidden="false" customHeight="false" outlineLevel="0" collapsed="false">
      <c r="A641" s="32" t="s">
        <v>1517</v>
      </c>
      <c r="B641" s="33" t="s">
        <v>1518</v>
      </c>
      <c r="C641" s="33" t="s">
        <v>28</v>
      </c>
      <c r="D641" s="34" t="n">
        <v>43355</v>
      </c>
      <c r="E641" s="33" t="s">
        <v>159</v>
      </c>
      <c r="F641" s="33" t="n">
        <v>21276694</v>
      </c>
      <c r="G641" s="33" t="n">
        <v>720195</v>
      </c>
      <c r="H641" s="33" t="s">
        <v>34</v>
      </c>
      <c r="I641" s="33" t="s">
        <v>174</v>
      </c>
      <c r="J641" s="33" t="s">
        <v>164</v>
      </c>
      <c r="K641" s="35" t="n">
        <v>223298805</v>
      </c>
      <c r="L641" s="33" t="s">
        <v>1493</v>
      </c>
      <c r="M641" s="33" t="n">
        <v>102630373</v>
      </c>
      <c r="N641" s="36" t="n">
        <v>9206</v>
      </c>
      <c r="O641" s="37" t="n">
        <v>8302</v>
      </c>
    </row>
    <row r="642" customFormat="false" ht="15" hidden="false" customHeight="false" outlineLevel="0" collapsed="false">
      <c r="A642" s="32" t="s">
        <v>1519</v>
      </c>
      <c r="B642" s="33" t="s">
        <v>1520</v>
      </c>
      <c r="C642" s="33" t="s">
        <v>28</v>
      </c>
      <c r="D642" s="34" t="n">
        <v>43355</v>
      </c>
      <c r="E642" s="33" t="s">
        <v>159</v>
      </c>
      <c r="F642" s="33" t="n">
        <v>21276694</v>
      </c>
      <c r="G642" s="33" t="n">
        <v>720195</v>
      </c>
      <c r="H642" s="33" t="s">
        <v>34</v>
      </c>
      <c r="I642" s="33" t="s">
        <v>174</v>
      </c>
      <c r="J642" s="33" t="s">
        <v>165</v>
      </c>
      <c r="K642" s="35" t="n">
        <v>226269941</v>
      </c>
      <c r="L642" s="33" t="s">
        <v>1496</v>
      </c>
      <c r="M642" s="33" t="n">
        <v>104060547</v>
      </c>
      <c r="N642" s="36" t="n">
        <v>3944</v>
      </c>
      <c r="O642" s="37" t="n">
        <v>6183</v>
      </c>
    </row>
    <row r="643" customFormat="false" ht="15" hidden="false" customHeight="false" outlineLevel="0" collapsed="false">
      <c r="A643" s="32" t="s">
        <v>1521</v>
      </c>
      <c r="B643" s="33" t="s">
        <v>1522</v>
      </c>
      <c r="C643" s="33" t="s">
        <v>28</v>
      </c>
      <c r="D643" s="34" t="n">
        <v>43355</v>
      </c>
      <c r="E643" s="33" t="s">
        <v>159</v>
      </c>
      <c r="F643" s="33" t="n">
        <v>21276694</v>
      </c>
      <c r="G643" s="33" t="n">
        <v>720195</v>
      </c>
      <c r="H643" s="33" t="s">
        <v>34</v>
      </c>
      <c r="I643" s="33" t="s">
        <v>174</v>
      </c>
      <c r="J643" s="33" t="s">
        <v>166</v>
      </c>
      <c r="K643" s="35" t="n">
        <v>227208508</v>
      </c>
      <c r="L643" s="33" t="s">
        <v>1493</v>
      </c>
      <c r="M643" s="33" t="n">
        <v>102630373</v>
      </c>
      <c r="N643" s="36" t="n">
        <v>2682</v>
      </c>
      <c r="O643" s="37" t="n">
        <v>1537</v>
      </c>
    </row>
    <row r="644" customFormat="false" ht="15" hidden="false" customHeight="false" outlineLevel="0" collapsed="false">
      <c r="A644" s="32" t="s">
        <v>1523</v>
      </c>
      <c r="B644" s="33" t="s">
        <v>1524</v>
      </c>
      <c r="C644" s="33" t="s">
        <v>28</v>
      </c>
      <c r="D644" s="34" t="n">
        <v>43356</v>
      </c>
      <c r="E644" s="33" t="s">
        <v>159</v>
      </c>
      <c r="F644" s="33" t="n">
        <v>21276694</v>
      </c>
      <c r="G644" s="33" t="n">
        <v>720195</v>
      </c>
      <c r="H644" s="33" t="s">
        <v>34</v>
      </c>
      <c r="I644" s="33" t="s">
        <v>174</v>
      </c>
      <c r="J644" s="33" t="s">
        <v>162</v>
      </c>
      <c r="K644" s="35" t="n">
        <v>223297413</v>
      </c>
      <c r="L644" s="33" t="s">
        <v>1490</v>
      </c>
      <c r="M644" s="33" t="n">
        <v>102609621</v>
      </c>
      <c r="N644" s="36" t="n">
        <v>3437</v>
      </c>
      <c r="O644" s="37" t="n">
        <v>2046</v>
      </c>
    </row>
    <row r="645" customFormat="false" ht="15" hidden="false" customHeight="false" outlineLevel="0" collapsed="false">
      <c r="A645" s="32" t="s">
        <v>1525</v>
      </c>
      <c r="B645" s="33" t="s">
        <v>1526</v>
      </c>
      <c r="C645" s="33" t="s">
        <v>28</v>
      </c>
      <c r="D645" s="34" t="n">
        <v>43356</v>
      </c>
      <c r="E645" s="33" t="s">
        <v>159</v>
      </c>
      <c r="F645" s="33" t="n">
        <v>21276694</v>
      </c>
      <c r="G645" s="33" t="n">
        <v>720195</v>
      </c>
      <c r="H645" s="33" t="s">
        <v>34</v>
      </c>
      <c r="I645" s="33" t="s">
        <v>174</v>
      </c>
      <c r="J645" s="33" t="s">
        <v>164</v>
      </c>
      <c r="K645" s="35" t="n">
        <v>223298805</v>
      </c>
      <c r="L645" s="33" t="s">
        <v>1493</v>
      </c>
      <c r="M645" s="33" t="n">
        <v>102630373</v>
      </c>
      <c r="N645" s="36" t="n">
        <v>8321</v>
      </c>
      <c r="O645" s="37" t="n">
        <v>7487</v>
      </c>
    </row>
    <row r="646" customFormat="false" ht="15" hidden="false" customHeight="false" outlineLevel="0" collapsed="false">
      <c r="A646" s="32" t="s">
        <v>1527</v>
      </c>
      <c r="B646" s="33" t="s">
        <v>1528</v>
      </c>
      <c r="C646" s="33" t="s">
        <v>28</v>
      </c>
      <c r="D646" s="34" t="n">
        <v>43356</v>
      </c>
      <c r="E646" s="33" t="s">
        <v>159</v>
      </c>
      <c r="F646" s="33" t="n">
        <v>21276694</v>
      </c>
      <c r="G646" s="33" t="n">
        <v>720195</v>
      </c>
      <c r="H646" s="33" t="s">
        <v>34</v>
      </c>
      <c r="I646" s="33" t="s">
        <v>174</v>
      </c>
      <c r="J646" s="33" t="s">
        <v>165</v>
      </c>
      <c r="K646" s="35" t="n">
        <v>226269941</v>
      </c>
      <c r="L646" s="33" t="s">
        <v>1496</v>
      </c>
      <c r="M646" s="33" t="n">
        <v>104060547</v>
      </c>
      <c r="N646" s="36" t="n">
        <v>5155</v>
      </c>
      <c r="O646" s="37" t="n">
        <v>9186</v>
      </c>
    </row>
    <row r="647" customFormat="false" ht="15" hidden="false" customHeight="false" outlineLevel="0" collapsed="false">
      <c r="A647" s="32" t="s">
        <v>1529</v>
      </c>
      <c r="B647" s="33" t="s">
        <v>1530</v>
      </c>
      <c r="C647" s="33" t="s">
        <v>28</v>
      </c>
      <c r="D647" s="34" t="n">
        <v>43356</v>
      </c>
      <c r="E647" s="33" t="s">
        <v>159</v>
      </c>
      <c r="F647" s="33" t="n">
        <v>21276694</v>
      </c>
      <c r="G647" s="33" t="n">
        <v>720195</v>
      </c>
      <c r="H647" s="33" t="s">
        <v>34</v>
      </c>
      <c r="I647" s="33" t="s">
        <v>174</v>
      </c>
      <c r="J647" s="33" t="s">
        <v>166</v>
      </c>
      <c r="K647" s="35" t="n">
        <v>227208508</v>
      </c>
      <c r="L647" s="33" t="s">
        <v>1493</v>
      </c>
      <c r="M647" s="33" t="n">
        <v>102630373</v>
      </c>
      <c r="N647" s="36" t="n">
        <v>2487</v>
      </c>
      <c r="O647" s="37" t="n">
        <v>1468</v>
      </c>
    </row>
    <row r="648" customFormat="false" ht="15" hidden="false" customHeight="false" outlineLevel="0" collapsed="false">
      <c r="A648" s="32" t="s">
        <v>1531</v>
      </c>
      <c r="B648" s="33" t="s">
        <v>1532</v>
      </c>
      <c r="C648" s="33" t="s">
        <v>28</v>
      </c>
      <c r="D648" s="34" t="n">
        <v>43357</v>
      </c>
      <c r="E648" s="33" t="s">
        <v>159</v>
      </c>
      <c r="F648" s="33" t="n">
        <v>21276694</v>
      </c>
      <c r="G648" s="33" t="n">
        <v>720195</v>
      </c>
      <c r="H648" s="33" t="s">
        <v>34</v>
      </c>
      <c r="I648" s="33" t="s">
        <v>174</v>
      </c>
      <c r="J648" s="33" t="s">
        <v>162</v>
      </c>
      <c r="K648" s="35" t="n">
        <v>223297413</v>
      </c>
      <c r="L648" s="33" t="s">
        <v>1490</v>
      </c>
      <c r="M648" s="33" t="n">
        <v>102609621</v>
      </c>
      <c r="N648" s="36" t="n">
        <v>2620</v>
      </c>
      <c r="O648" s="37" t="n">
        <v>1834</v>
      </c>
    </row>
    <row r="649" customFormat="false" ht="15" hidden="false" customHeight="false" outlineLevel="0" collapsed="false">
      <c r="A649" s="32" t="s">
        <v>1533</v>
      </c>
      <c r="B649" s="33" t="s">
        <v>1534</v>
      </c>
      <c r="C649" s="33" t="s">
        <v>28</v>
      </c>
      <c r="D649" s="34" t="n">
        <v>43357</v>
      </c>
      <c r="E649" s="33" t="s">
        <v>159</v>
      </c>
      <c r="F649" s="33" t="n">
        <v>21276694</v>
      </c>
      <c r="G649" s="33" t="n">
        <v>720195</v>
      </c>
      <c r="H649" s="33" t="s">
        <v>34</v>
      </c>
      <c r="I649" s="33" t="s">
        <v>174</v>
      </c>
      <c r="J649" s="33" t="s">
        <v>164</v>
      </c>
      <c r="K649" s="35" t="n">
        <v>223298805</v>
      </c>
      <c r="L649" s="33" t="s">
        <v>1493</v>
      </c>
      <c r="M649" s="33" t="n">
        <v>102630373</v>
      </c>
      <c r="N649" s="36" t="n">
        <v>5430</v>
      </c>
      <c r="O649" s="37" t="n">
        <v>5470</v>
      </c>
    </row>
    <row r="650" customFormat="false" ht="15" hidden="false" customHeight="false" outlineLevel="0" collapsed="false">
      <c r="A650" s="32" t="s">
        <v>1535</v>
      </c>
      <c r="B650" s="33" t="s">
        <v>1536</v>
      </c>
      <c r="C650" s="33" t="s">
        <v>28</v>
      </c>
      <c r="D650" s="34" t="n">
        <v>43357</v>
      </c>
      <c r="E650" s="33" t="s">
        <v>159</v>
      </c>
      <c r="F650" s="33" t="n">
        <v>21276694</v>
      </c>
      <c r="G650" s="33" t="n">
        <v>720195</v>
      </c>
      <c r="H650" s="33" t="s">
        <v>34</v>
      </c>
      <c r="I650" s="33" t="s">
        <v>174</v>
      </c>
      <c r="J650" s="33" t="s">
        <v>165</v>
      </c>
      <c r="K650" s="35" t="n">
        <v>226269941</v>
      </c>
      <c r="L650" s="33" t="s">
        <v>1496</v>
      </c>
      <c r="M650" s="33" t="n">
        <v>104060547</v>
      </c>
      <c r="N650" s="36" t="n">
        <v>5418</v>
      </c>
      <c r="O650" s="37" t="n">
        <v>10930</v>
      </c>
    </row>
    <row r="651" customFormat="false" ht="15" hidden="false" customHeight="false" outlineLevel="0" collapsed="false">
      <c r="A651" s="32" t="s">
        <v>1537</v>
      </c>
      <c r="B651" s="33" t="s">
        <v>1538</v>
      </c>
      <c r="C651" s="33" t="s">
        <v>28</v>
      </c>
      <c r="D651" s="34" t="n">
        <v>43357</v>
      </c>
      <c r="E651" s="33" t="s">
        <v>159</v>
      </c>
      <c r="F651" s="33" t="n">
        <v>21276694</v>
      </c>
      <c r="G651" s="33" t="n">
        <v>720195</v>
      </c>
      <c r="H651" s="33" t="s">
        <v>34</v>
      </c>
      <c r="I651" s="33" t="s">
        <v>174</v>
      </c>
      <c r="J651" s="33" t="s">
        <v>166</v>
      </c>
      <c r="K651" s="35" t="n">
        <v>227208508</v>
      </c>
      <c r="L651" s="33" t="s">
        <v>1493</v>
      </c>
      <c r="M651" s="33" t="n">
        <v>102630373</v>
      </c>
      <c r="N651" s="36" t="n">
        <v>1683</v>
      </c>
      <c r="O651" s="37" t="n">
        <v>1548</v>
      </c>
    </row>
    <row r="652" customFormat="false" ht="15" hidden="false" customHeight="false" outlineLevel="0" collapsed="false">
      <c r="A652" s="32" t="s">
        <v>1539</v>
      </c>
      <c r="B652" s="33" t="s">
        <v>1540</v>
      </c>
      <c r="C652" s="33" t="s">
        <v>28</v>
      </c>
      <c r="D652" s="34" t="n">
        <v>43358</v>
      </c>
      <c r="E652" s="33" t="s">
        <v>159</v>
      </c>
      <c r="F652" s="33" t="n">
        <v>21276694</v>
      </c>
      <c r="G652" s="33" t="n">
        <v>720195</v>
      </c>
      <c r="H652" s="33" t="s">
        <v>34</v>
      </c>
      <c r="I652" s="33" t="s">
        <v>174</v>
      </c>
      <c r="J652" s="33" t="s">
        <v>162</v>
      </c>
      <c r="K652" s="35" t="n">
        <v>223297413</v>
      </c>
      <c r="L652" s="33" t="s">
        <v>1490</v>
      </c>
      <c r="M652" s="33" t="n">
        <v>102609621</v>
      </c>
      <c r="N652" s="36" t="n">
        <v>2025</v>
      </c>
      <c r="O652" s="37" t="n">
        <v>1623</v>
      </c>
    </row>
    <row r="653" customFormat="false" ht="15" hidden="false" customHeight="false" outlineLevel="0" collapsed="false">
      <c r="A653" s="32" t="s">
        <v>1541</v>
      </c>
      <c r="B653" s="33" t="s">
        <v>1542</v>
      </c>
      <c r="C653" s="33" t="s">
        <v>28</v>
      </c>
      <c r="D653" s="34" t="n">
        <v>43358</v>
      </c>
      <c r="E653" s="33" t="s">
        <v>159</v>
      </c>
      <c r="F653" s="33" t="n">
        <v>21276694</v>
      </c>
      <c r="G653" s="33" t="n">
        <v>720195</v>
      </c>
      <c r="H653" s="33" t="s">
        <v>34</v>
      </c>
      <c r="I653" s="33" t="s">
        <v>174</v>
      </c>
      <c r="J653" s="33" t="s">
        <v>164</v>
      </c>
      <c r="K653" s="35" t="n">
        <v>223298805</v>
      </c>
      <c r="L653" s="33" t="s">
        <v>1493</v>
      </c>
      <c r="M653" s="33" t="n">
        <v>102630373</v>
      </c>
      <c r="N653" s="36" t="n">
        <v>5078</v>
      </c>
      <c r="O653" s="37" t="n">
        <v>6797</v>
      </c>
    </row>
    <row r="654" customFormat="false" ht="15" hidden="false" customHeight="false" outlineLevel="0" collapsed="false">
      <c r="A654" s="32" t="s">
        <v>1543</v>
      </c>
      <c r="B654" s="33" t="s">
        <v>1544</v>
      </c>
      <c r="C654" s="33" t="s">
        <v>28</v>
      </c>
      <c r="D654" s="34" t="n">
        <v>43358</v>
      </c>
      <c r="E654" s="33" t="s">
        <v>159</v>
      </c>
      <c r="F654" s="33" t="n">
        <v>21276694</v>
      </c>
      <c r="G654" s="33" t="n">
        <v>720195</v>
      </c>
      <c r="H654" s="33" t="s">
        <v>34</v>
      </c>
      <c r="I654" s="33" t="s">
        <v>174</v>
      </c>
      <c r="J654" s="33" t="s">
        <v>165</v>
      </c>
      <c r="K654" s="35" t="n">
        <v>226269941</v>
      </c>
      <c r="L654" s="33" t="s">
        <v>1496</v>
      </c>
      <c r="M654" s="33" t="n">
        <v>104060547</v>
      </c>
      <c r="N654" s="36" t="n">
        <v>5222</v>
      </c>
      <c r="O654" s="37" t="n">
        <v>11235</v>
      </c>
    </row>
    <row r="655" customFormat="false" ht="15" hidden="false" customHeight="false" outlineLevel="0" collapsed="false">
      <c r="A655" s="38" t="s">
        <v>1545</v>
      </c>
      <c r="B655" s="39" t="s">
        <v>1546</v>
      </c>
      <c r="C655" s="39" t="s">
        <v>28</v>
      </c>
      <c r="D655" s="40" t="n">
        <v>43358</v>
      </c>
      <c r="E655" s="39" t="s">
        <v>159</v>
      </c>
      <c r="F655" s="39" t="n">
        <v>21276694</v>
      </c>
      <c r="G655" s="39" t="n">
        <v>720195</v>
      </c>
      <c r="H655" s="39" t="s">
        <v>34</v>
      </c>
      <c r="I655" s="39" t="s">
        <v>174</v>
      </c>
      <c r="J655" s="39" t="s">
        <v>166</v>
      </c>
      <c r="K655" s="41" t="n">
        <v>227208508</v>
      </c>
      <c r="L655" s="39" t="s">
        <v>1493</v>
      </c>
      <c r="M655" s="39" t="n">
        <v>102630373</v>
      </c>
      <c r="N655" s="42" t="n">
        <v>1909</v>
      </c>
      <c r="O655" s="43" t="n">
        <v>1670</v>
      </c>
    </row>
  </sheetData>
  <mergeCells count="2">
    <mergeCell ref="E1:H1"/>
    <mergeCell ref="I1:O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C5E0B4"/>
    <pageSetUpPr fitToPage="false"/>
  </sheetPr>
  <dimension ref="A1:Q1030"/>
  <sheetViews>
    <sheetView windowProtection="false" showFormulas="false" showGridLines="true" showRowColHeaders="true" showZeros="true" rightToLeft="false" tabSelected="false" showOutlineSymbols="true" defaultGridColor="true" view="normal" topLeftCell="H588" colorId="64" zoomScale="100" zoomScaleNormal="100" zoomScalePageLayoutView="100" workbookViewId="0">
      <selection pane="topLeft" activeCell="P75" activeCellId="0" sqref="P75"/>
    </sheetView>
  </sheetViews>
  <sheetFormatPr defaultRowHeight="15"/>
  <cols>
    <col collapsed="false" hidden="false" max="1" min="1" style="0" width="18.1012145748988"/>
    <col collapsed="false" hidden="false" max="2" min="2" style="0" width="32.3481781376518"/>
    <col collapsed="false" hidden="false" max="3" min="3" style="0" width="13.7125506072874"/>
    <col collapsed="false" hidden="false" max="4" min="4" style="0" width="11.4615384615385"/>
    <col collapsed="false" hidden="false" max="5" min="5" style="44" width="14.1417004048583"/>
    <col collapsed="false" hidden="false" max="6" min="6" style="0" width="50.4534412955466"/>
    <col collapsed="false" hidden="false" max="7" min="7" style="0" width="21.7449392712551"/>
    <col collapsed="false" hidden="false" max="8" min="8" style="0" width="14.1417004048583"/>
    <col collapsed="false" hidden="false" max="9" min="9" style="0" width="20.4615384615385"/>
    <col collapsed="false" hidden="false" max="10" min="10" style="0" width="11.3562753036437"/>
    <col collapsed="false" hidden="false" max="11" min="11" style="0" width="114.080971659919"/>
    <col collapsed="false" hidden="false" max="12" min="12" style="0" width="18.5303643724696"/>
    <col collapsed="false" hidden="false" max="13" min="13" style="0" width="16.8178137651822"/>
    <col collapsed="false" hidden="false" max="14" min="14" style="0" width="17.0323886639676"/>
    <col collapsed="false" hidden="false" max="15" min="15" style="0" width="22.0647773279352"/>
    <col collapsed="false" hidden="false" max="16" min="16" style="0" width="8.57085020242915"/>
    <col collapsed="false" hidden="false" max="17" min="17" style="0" width="22.1740890688259"/>
    <col collapsed="false" hidden="false" max="1025" min="18" style="0" width="8.57085020242915"/>
  </cols>
  <sheetData>
    <row r="1" s="46" customFormat="true" ht="76.5" hidden="false" customHeight="true" outlineLevel="0" collapsed="false">
      <c r="A1" s="45" t="s">
        <v>1547</v>
      </c>
      <c r="B1" s="45"/>
      <c r="C1" s="45"/>
      <c r="D1" s="45"/>
      <c r="E1" s="45"/>
      <c r="F1" s="45"/>
      <c r="G1" s="45"/>
      <c r="H1" s="45" t="s">
        <v>1548</v>
      </c>
      <c r="I1" s="45"/>
      <c r="J1" s="45"/>
      <c r="K1" s="45"/>
      <c r="L1" s="45"/>
      <c r="M1" s="45"/>
      <c r="N1" s="45"/>
      <c r="O1" s="45"/>
      <c r="P1" s="45"/>
      <c r="Q1" s="45"/>
    </row>
    <row r="2" customFormat="false" ht="15" hidden="false" customHeight="false" outlineLevel="0" collapsed="false">
      <c r="A2" s="47" t="s">
        <v>1549</v>
      </c>
      <c r="B2" s="48" t="s">
        <v>0</v>
      </c>
      <c r="C2" s="48" t="s">
        <v>1</v>
      </c>
      <c r="D2" s="49" t="s">
        <v>2</v>
      </c>
      <c r="E2" s="50" t="s">
        <v>14</v>
      </c>
      <c r="F2" s="50" t="s">
        <v>15</v>
      </c>
      <c r="G2" s="50" t="s">
        <v>6</v>
      </c>
      <c r="H2" s="50" t="s">
        <v>8</v>
      </c>
      <c r="I2" s="51" t="s">
        <v>9</v>
      </c>
      <c r="J2" s="50" t="s">
        <v>10</v>
      </c>
      <c r="K2" s="50" t="s">
        <v>22</v>
      </c>
      <c r="L2" s="50" t="s">
        <v>21</v>
      </c>
      <c r="M2" s="50" t="s">
        <v>11</v>
      </c>
      <c r="N2" s="50" t="s">
        <v>12</v>
      </c>
      <c r="O2" s="50" t="s">
        <v>1550</v>
      </c>
      <c r="P2" s="52" t="s">
        <v>1551</v>
      </c>
      <c r="Q2" s="53" t="s">
        <v>12</v>
      </c>
    </row>
    <row r="3" customFormat="false" ht="15" hidden="true" customHeight="false" outlineLevel="0" collapsed="false">
      <c r="A3" s="0" t="str">
        <f aca="false">E3&amp;L3&amp;Q3</f>
        <v>43352224009494103236186</v>
      </c>
      <c r="B3" s="0" t="s">
        <v>172</v>
      </c>
      <c r="C3" s="0" t="s">
        <v>173</v>
      </c>
      <c r="D3" s="0" t="s">
        <v>28</v>
      </c>
      <c r="E3" s="44" t="n">
        <v>43352</v>
      </c>
      <c r="F3" s="0" t="s">
        <v>30</v>
      </c>
      <c r="G3" s="0" t="n">
        <v>21359477</v>
      </c>
      <c r="H3" s="0" t="n">
        <v>720194</v>
      </c>
      <c r="I3" s="0" t="s">
        <v>34</v>
      </c>
      <c r="J3" s="0" t="s">
        <v>174</v>
      </c>
      <c r="K3" s="0" t="s">
        <v>37</v>
      </c>
      <c r="L3" s="0" t="s">
        <v>36</v>
      </c>
      <c r="M3" s="0" t="s">
        <v>175</v>
      </c>
      <c r="N3" s="0" t="n">
        <v>103235787</v>
      </c>
      <c r="O3" s="0" t="n">
        <v>8009</v>
      </c>
      <c r="P3" s="0" t="n">
        <v>134.53</v>
      </c>
      <c r="Q3" s="0" t="n">
        <f aca="false">IFERROR(VLOOKUP(B3,[2]'Cost Correction'!$D$2:$AJ$1627,33,0),"")</f>
        <v>103236186</v>
      </c>
    </row>
    <row r="4" customFormat="false" ht="15" hidden="true" customHeight="false" outlineLevel="0" collapsed="false">
      <c r="A4" s="0" t="str">
        <f aca="false">E4&amp;L4&amp;Q4</f>
        <v>43353224009494103236186</v>
      </c>
      <c r="B4" s="0" t="s">
        <v>176</v>
      </c>
      <c r="C4" s="0" t="s">
        <v>177</v>
      </c>
      <c r="D4" s="0" t="s">
        <v>28</v>
      </c>
      <c r="E4" s="44" t="n">
        <v>43353</v>
      </c>
      <c r="F4" s="0" t="s">
        <v>30</v>
      </c>
      <c r="G4" s="0" t="n">
        <v>21359477</v>
      </c>
      <c r="H4" s="0" t="n">
        <v>720194</v>
      </c>
      <c r="I4" s="0" t="s">
        <v>34</v>
      </c>
      <c r="J4" s="0" t="s">
        <v>174</v>
      </c>
      <c r="K4" s="0" t="s">
        <v>37</v>
      </c>
      <c r="L4" s="0" t="s">
        <v>36</v>
      </c>
      <c r="M4" s="0" t="s">
        <v>175</v>
      </c>
      <c r="N4" s="0" t="n">
        <v>103235787</v>
      </c>
      <c r="O4" s="0" t="n">
        <v>20102</v>
      </c>
      <c r="P4" s="0" t="n">
        <v>145.47</v>
      </c>
      <c r="Q4" s="0" t="n">
        <f aca="false">IFERROR(VLOOKUP(B4,[2]'Cost Correction'!$D$2:$AJ$1627,33,0),"")</f>
        <v>103236186</v>
      </c>
    </row>
    <row r="5" customFormat="false" ht="15" hidden="true" customHeight="false" outlineLevel="0" collapsed="false">
      <c r="A5" s="0" t="str">
        <f aca="false">E5&amp;L5&amp;Q5</f>
        <v>43354224009494103236186</v>
      </c>
      <c r="B5" s="0" t="s">
        <v>178</v>
      </c>
      <c r="C5" s="0" t="s">
        <v>179</v>
      </c>
      <c r="D5" s="0" t="s">
        <v>28</v>
      </c>
      <c r="E5" s="44" t="n">
        <v>43354</v>
      </c>
      <c r="F5" s="0" t="s">
        <v>30</v>
      </c>
      <c r="G5" s="0" t="n">
        <v>21359477</v>
      </c>
      <c r="H5" s="0" t="n">
        <v>720194</v>
      </c>
      <c r="I5" s="0" t="s">
        <v>34</v>
      </c>
      <c r="J5" s="0" t="s">
        <v>174</v>
      </c>
      <c r="K5" s="0" t="s">
        <v>37</v>
      </c>
      <c r="L5" s="0" t="s">
        <v>36</v>
      </c>
      <c r="M5" s="0" t="s">
        <v>175</v>
      </c>
      <c r="N5" s="0" t="n">
        <v>103235787</v>
      </c>
      <c r="O5" s="0" t="n">
        <v>20832</v>
      </c>
      <c r="P5" s="0" t="n">
        <v>199.72</v>
      </c>
      <c r="Q5" s="0" t="n">
        <f aca="false">IFERROR(VLOOKUP(B5,[2]'Cost Correction'!$D$2:$AJ$1627,33,0),"")</f>
        <v>103236186</v>
      </c>
    </row>
    <row r="6" customFormat="false" ht="15" hidden="true" customHeight="false" outlineLevel="0" collapsed="false">
      <c r="A6" s="0" t="str">
        <f aca="false">E6&amp;L6&amp;Q6</f>
        <v>43355224009494103236186</v>
      </c>
      <c r="B6" s="0" t="s">
        <v>180</v>
      </c>
      <c r="C6" s="0" t="s">
        <v>181</v>
      </c>
      <c r="D6" s="0" t="s">
        <v>28</v>
      </c>
      <c r="E6" s="44" t="n">
        <v>43355</v>
      </c>
      <c r="F6" s="0" t="s">
        <v>30</v>
      </c>
      <c r="G6" s="0" t="n">
        <v>21359477</v>
      </c>
      <c r="H6" s="0" t="n">
        <v>720194</v>
      </c>
      <c r="I6" s="0" t="s">
        <v>34</v>
      </c>
      <c r="J6" s="0" t="s">
        <v>174</v>
      </c>
      <c r="K6" s="0" t="s">
        <v>37</v>
      </c>
      <c r="L6" s="0" t="s">
        <v>36</v>
      </c>
      <c r="M6" s="0" t="s">
        <v>175</v>
      </c>
      <c r="N6" s="0" t="n">
        <v>103235787</v>
      </c>
      <c r="O6" s="0" t="n">
        <v>11509</v>
      </c>
      <c r="P6" s="0" t="n">
        <v>111.2</v>
      </c>
      <c r="Q6" s="0" t="n">
        <f aca="false">IFERROR(VLOOKUP(B6,[2]'Cost Correction'!$D$2:$AJ$1627,33,0),"")</f>
        <v>103236186</v>
      </c>
    </row>
    <row r="7" customFormat="false" ht="15" hidden="true" customHeight="false" outlineLevel="0" collapsed="false">
      <c r="A7" s="0" t="str">
        <f aca="false">E7&amp;L7&amp;Q7</f>
        <v>43356224009494103236186</v>
      </c>
      <c r="B7" s="0" t="s">
        <v>182</v>
      </c>
      <c r="C7" s="0" t="s">
        <v>183</v>
      </c>
      <c r="D7" s="0" t="s">
        <v>28</v>
      </c>
      <c r="E7" s="44" t="n">
        <v>43356</v>
      </c>
      <c r="F7" s="0" t="s">
        <v>30</v>
      </c>
      <c r="G7" s="0" t="n">
        <v>21359477</v>
      </c>
      <c r="H7" s="0" t="n">
        <v>720194</v>
      </c>
      <c r="I7" s="0" t="s">
        <v>34</v>
      </c>
      <c r="J7" s="0" t="s">
        <v>174</v>
      </c>
      <c r="K7" s="0" t="s">
        <v>37</v>
      </c>
      <c r="L7" s="0" t="s">
        <v>36</v>
      </c>
      <c r="M7" s="0" t="s">
        <v>175</v>
      </c>
      <c r="N7" s="0" t="n">
        <v>103235787</v>
      </c>
      <c r="O7" s="0" t="n">
        <v>13274</v>
      </c>
      <c r="P7" s="0" t="n">
        <v>110.62</v>
      </c>
      <c r="Q7" s="0" t="n">
        <f aca="false">IFERROR(VLOOKUP(B7,[2]'Cost Correction'!$D$2:$AJ$1627,33,0),"")</f>
        <v>103236186</v>
      </c>
    </row>
    <row r="8" customFormat="false" ht="15" hidden="true" customHeight="false" outlineLevel="0" collapsed="false">
      <c r="A8" s="0" t="str">
        <f aca="false">E8&amp;L8&amp;Q8</f>
        <v>43357224009494103236186</v>
      </c>
      <c r="B8" s="0" t="s">
        <v>184</v>
      </c>
      <c r="C8" s="0" t="s">
        <v>185</v>
      </c>
      <c r="D8" s="0" t="s">
        <v>28</v>
      </c>
      <c r="E8" s="44" t="n">
        <v>43357</v>
      </c>
      <c r="F8" s="0" t="s">
        <v>30</v>
      </c>
      <c r="G8" s="0" t="n">
        <v>21359477</v>
      </c>
      <c r="H8" s="0" t="n">
        <v>720194</v>
      </c>
      <c r="I8" s="0" t="s">
        <v>34</v>
      </c>
      <c r="J8" s="0" t="s">
        <v>174</v>
      </c>
      <c r="K8" s="0" t="s">
        <v>37</v>
      </c>
      <c r="L8" s="0" t="s">
        <v>36</v>
      </c>
      <c r="M8" s="0" t="s">
        <v>175</v>
      </c>
      <c r="N8" s="0" t="n">
        <v>103235787</v>
      </c>
      <c r="O8" s="0" t="n">
        <v>10568</v>
      </c>
      <c r="P8" s="0" t="n">
        <v>124.78</v>
      </c>
      <c r="Q8" s="0" t="n">
        <f aca="false">IFERROR(VLOOKUP(B8,[2]'Cost Correction'!$D$2:$AJ$1627,33,0),"")</f>
        <v>103236186</v>
      </c>
    </row>
    <row r="9" customFormat="false" ht="15" hidden="true" customHeight="false" outlineLevel="0" collapsed="false">
      <c r="A9" s="0" t="str">
        <f aca="false">E9&amp;L9&amp;Q9</f>
        <v>43358224009494103236186</v>
      </c>
      <c r="B9" s="0" t="s">
        <v>186</v>
      </c>
      <c r="C9" s="0" t="s">
        <v>187</v>
      </c>
      <c r="D9" s="0" t="s">
        <v>28</v>
      </c>
      <c r="E9" s="44" t="n">
        <v>43358</v>
      </c>
      <c r="F9" s="0" t="s">
        <v>30</v>
      </c>
      <c r="G9" s="0" t="n">
        <v>21359477</v>
      </c>
      <c r="H9" s="0" t="n">
        <v>720194</v>
      </c>
      <c r="I9" s="0" t="s">
        <v>34</v>
      </c>
      <c r="J9" s="0" t="s">
        <v>174</v>
      </c>
      <c r="K9" s="0" t="s">
        <v>37</v>
      </c>
      <c r="L9" s="0" t="s">
        <v>36</v>
      </c>
      <c r="M9" s="0" t="s">
        <v>175</v>
      </c>
      <c r="N9" s="0" t="n">
        <v>103235787</v>
      </c>
      <c r="O9" s="0" t="n">
        <v>9575</v>
      </c>
      <c r="P9" s="0" t="n">
        <v>116.09</v>
      </c>
      <c r="Q9" s="0" t="n">
        <f aca="false">IFERROR(VLOOKUP(B9,[2]'Cost Correction'!$D$2:$AJ$1627,33,0),"")</f>
        <v>103236186</v>
      </c>
    </row>
    <row r="10" customFormat="false" ht="15" hidden="true" customHeight="false" outlineLevel="0" collapsed="false">
      <c r="A10" s="0" t="str">
        <f aca="false">E10&amp;L10&amp;Q10</f>
        <v>43352224010415103040320</v>
      </c>
      <c r="B10" s="0" t="s">
        <v>188</v>
      </c>
      <c r="C10" s="0" t="s">
        <v>189</v>
      </c>
      <c r="D10" s="0" t="s">
        <v>28</v>
      </c>
      <c r="E10" s="44" t="n">
        <v>43352</v>
      </c>
      <c r="F10" s="0" t="s">
        <v>30</v>
      </c>
      <c r="G10" s="0" t="n">
        <v>21359477</v>
      </c>
      <c r="H10" s="0" t="n">
        <v>720194</v>
      </c>
      <c r="I10" s="0" t="s">
        <v>34</v>
      </c>
      <c r="J10" s="0" t="s">
        <v>174</v>
      </c>
      <c r="K10" s="0" t="s">
        <v>41</v>
      </c>
      <c r="L10" s="0" t="s">
        <v>40</v>
      </c>
      <c r="M10" s="0" t="s">
        <v>190</v>
      </c>
      <c r="N10" s="0" t="n">
        <v>103048548</v>
      </c>
      <c r="O10" s="0" t="n">
        <v>7439</v>
      </c>
      <c r="P10" s="0" t="n">
        <v>90.74</v>
      </c>
      <c r="Q10" s="0" t="n">
        <f aca="false">IFERROR(VLOOKUP(B10,[2]'Cost Correction'!$D$2:$AJ$1627,33,0),"")</f>
        <v>103040320</v>
      </c>
    </row>
    <row r="11" customFormat="false" ht="15" hidden="true" customHeight="false" outlineLevel="0" collapsed="false">
      <c r="A11" s="0" t="str">
        <f aca="false">E11&amp;L11&amp;Q11</f>
        <v>43353224010415103040320</v>
      </c>
      <c r="B11" s="0" t="s">
        <v>191</v>
      </c>
      <c r="C11" s="0" t="s">
        <v>192</v>
      </c>
      <c r="D11" s="0" t="s">
        <v>28</v>
      </c>
      <c r="E11" s="44" t="n">
        <v>43353</v>
      </c>
      <c r="F11" s="0" t="s">
        <v>30</v>
      </c>
      <c r="G11" s="0" t="n">
        <v>21359477</v>
      </c>
      <c r="H11" s="0" t="n">
        <v>720194</v>
      </c>
      <c r="I11" s="0" t="s">
        <v>34</v>
      </c>
      <c r="J11" s="0" t="s">
        <v>174</v>
      </c>
      <c r="K11" s="0" t="s">
        <v>41</v>
      </c>
      <c r="L11" s="0" t="s">
        <v>40</v>
      </c>
      <c r="M11" s="0" t="s">
        <v>190</v>
      </c>
      <c r="N11" s="0" t="n">
        <v>103048548</v>
      </c>
      <c r="O11" s="0" t="n">
        <v>6890</v>
      </c>
      <c r="P11" s="0" t="n">
        <v>79.15</v>
      </c>
      <c r="Q11" s="0" t="n">
        <f aca="false">IFERROR(VLOOKUP(B11,[2]'Cost Correction'!$D$2:$AJ$1627,33,0),"")</f>
        <v>103040320</v>
      </c>
    </row>
    <row r="12" customFormat="false" ht="15" hidden="true" customHeight="false" outlineLevel="0" collapsed="false">
      <c r="A12" s="0" t="str">
        <f aca="false">E12&amp;L12&amp;Q12</f>
        <v>43354224010415103040320</v>
      </c>
      <c r="B12" s="0" t="s">
        <v>193</v>
      </c>
      <c r="C12" s="0" t="s">
        <v>194</v>
      </c>
      <c r="D12" s="0" t="s">
        <v>28</v>
      </c>
      <c r="E12" s="44" t="n">
        <v>43354</v>
      </c>
      <c r="F12" s="0" t="s">
        <v>30</v>
      </c>
      <c r="G12" s="0" t="n">
        <v>21359477</v>
      </c>
      <c r="H12" s="0" t="n">
        <v>720194</v>
      </c>
      <c r="I12" s="0" t="s">
        <v>34</v>
      </c>
      <c r="J12" s="0" t="s">
        <v>174</v>
      </c>
      <c r="K12" s="0" t="s">
        <v>41</v>
      </c>
      <c r="L12" s="0" t="s">
        <v>40</v>
      </c>
      <c r="M12" s="0" t="s">
        <v>190</v>
      </c>
      <c r="N12" s="0" t="n">
        <v>103048548</v>
      </c>
      <c r="O12" s="0" t="n">
        <v>6117</v>
      </c>
      <c r="P12" s="0" t="n">
        <v>72.23</v>
      </c>
      <c r="Q12" s="0" t="n">
        <f aca="false">IFERROR(VLOOKUP(B12,[2]'Cost Correction'!$D$2:$AJ$1627,33,0),"")</f>
        <v>103040320</v>
      </c>
    </row>
    <row r="13" customFormat="false" ht="15" hidden="true" customHeight="false" outlineLevel="0" collapsed="false">
      <c r="A13" s="0" t="str">
        <f aca="false">E13&amp;L13&amp;Q13</f>
        <v>43355224010415103040320</v>
      </c>
      <c r="B13" s="0" t="s">
        <v>195</v>
      </c>
      <c r="C13" s="0" t="s">
        <v>196</v>
      </c>
      <c r="D13" s="0" t="s">
        <v>28</v>
      </c>
      <c r="E13" s="44" t="n">
        <v>43355</v>
      </c>
      <c r="F13" s="0" t="s">
        <v>30</v>
      </c>
      <c r="G13" s="0" t="n">
        <v>21359477</v>
      </c>
      <c r="H13" s="0" t="n">
        <v>720194</v>
      </c>
      <c r="I13" s="0" t="s">
        <v>34</v>
      </c>
      <c r="J13" s="0" t="s">
        <v>174</v>
      </c>
      <c r="K13" s="0" t="s">
        <v>41</v>
      </c>
      <c r="L13" s="0" t="s">
        <v>40</v>
      </c>
      <c r="M13" s="0" t="s">
        <v>190</v>
      </c>
      <c r="N13" s="0" t="n">
        <v>103048548</v>
      </c>
      <c r="O13" s="0" t="n">
        <v>6883</v>
      </c>
      <c r="P13" s="0" t="n">
        <v>94.71</v>
      </c>
      <c r="Q13" s="0" t="n">
        <f aca="false">IFERROR(VLOOKUP(B13,[2]'Cost Correction'!$D$2:$AJ$1627,33,0),"")</f>
        <v>103040320</v>
      </c>
    </row>
    <row r="14" customFormat="false" ht="15" hidden="true" customHeight="false" outlineLevel="0" collapsed="false">
      <c r="A14" s="0" t="str">
        <f aca="false">E14&amp;L14&amp;Q14</f>
        <v>43356224010415103040320</v>
      </c>
      <c r="B14" s="0" t="s">
        <v>197</v>
      </c>
      <c r="C14" s="0" t="s">
        <v>198</v>
      </c>
      <c r="D14" s="0" t="s">
        <v>28</v>
      </c>
      <c r="E14" s="44" t="n">
        <v>43356</v>
      </c>
      <c r="F14" s="0" t="s">
        <v>30</v>
      </c>
      <c r="G14" s="0" t="n">
        <v>21359477</v>
      </c>
      <c r="H14" s="0" t="n">
        <v>720194</v>
      </c>
      <c r="I14" s="0" t="s">
        <v>34</v>
      </c>
      <c r="J14" s="0" t="s">
        <v>174</v>
      </c>
      <c r="K14" s="0" t="s">
        <v>41</v>
      </c>
      <c r="L14" s="0" t="s">
        <v>40</v>
      </c>
      <c r="M14" s="0" t="s">
        <v>190</v>
      </c>
      <c r="N14" s="0" t="n">
        <v>103048548</v>
      </c>
      <c r="O14" s="0" t="n">
        <v>6867</v>
      </c>
      <c r="P14" s="0" t="n">
        <v>93</v>
      </c>
      <c r="Q14" s="0" t="n">
        <f aca="false">IFERROR(VLOOKUP(B14,[2]'Cost Correction'!$D$2:$AJ$1627,33,0),"")</f>
        <v>103040320</v>
      </c>
    </row>
    <row r="15" customFormat="false" ht="15" hidden="true" customHeight="false" outlineLevel="0" collapsed="false">
      <c r="A15" s="0" t="str">
        <f aca="false">E15&amp;L15&amp;Q15</f>
        <v>43357224010415103040320</v>
      </c>
      <c r="B15" s="0" t="s">
        <v>199</v>
      </c>
      <c r="C15" s="0" t="s">
        <v>200</v>
      </c>
      <c r="D15" s="0" t="s">
        <v>28</v>
      </c>
      <c r="E15" s="44" t="n">
        <v>43357</v>
      </c>
      <c r="F15" s="0" t="s">
        <v>30</v>
      </c>
      <c r="G15" s="0" t="n">
        <v>21359477</v>
      </c>
      <c r="H15" s="0" t="n">
        <v>720194</v>
      </c>
      <c r="I15" s="0" t="s">
        <v>34</v>
      </c>
      <c r="J15" s="0" t="s">
        <v>174</v>
      </c>
      <c r="K15" s="0" t="s">
        <v>41</v>
      </c>
      <c r="L15" s="0" t="s">
        <v>40</v>
      </c>
      <c r="M15" s="0" t="s">
        <v>190</v>
      </c>
      <c r="N15" s="0" t="n">
        <v>103048548</v>
      </c>
      <c r="O15" s="0" t="n">
        <v>7052</v>
      </c>
      <c r="P15" s="0" t="n">
        <v>96.11</v>
      </c>
      <c r="Q15" s="0" t="n">
        <f aca="false">IFERROR(VLOOKUP(B15,[2]'Cost Correction'!$D$2:$AJ$1627,33,0),"")</f>
        <v>103040320</v>
      </c>
    </row>
    <row r="16" customFormat="false" ht="15" hidden="true" customHeight="false" outlineLevel="0" collapsed="false">
      <c r="A16" s="0" t="str">
        <f aca="false">E16&amp;L16&amp;Q16</f>
        <v>43358224010415103040320</v>
      </c>
      <c r="B16" s="0" t="s">
        <v>201</v>
      </c>
      <c r="C16" s="0" t="s">
        <v>202</v>
      </c>
      <c r="D16" s="0" t="s">
        <v>28</v>
      </c>
      <c r="E16" s="44" t="n">
        <v>43358</v>
      </c>
      <c r="F16" s="0" t="s">
        <v>30</v>
      </c>
      <c r="G16" s="0" t="n">
        <v>21359477</v>
      </c>
      <c r="H16" s="0" t="n">
        <v>720194</v>
      </c>
      <c r="I16" s="0" t="s">
        <v>34</v>
      </c>
      <c r="J16" s="0" t="s">
        <v>174</v>
      </c>
      <c r="K16" s="0" t="s">
        <v>41</v>
      </c>
      <c r="L16" s="0" t="s">
        <v>40</v>
      </c>
      <c r="M16" s="0" t="s">
        <v>190</v>
      </c>
      <c r="N16" s="0" t="n">
        <v>103048548</v>
      </c>
      <c r="O16" s="0" t="n">
        <v>7104</v>
      </c>
      <c r="P16" s="0" t="n">
        <v>96.08</v>
      </c>
      <c r="Q16" s="0" t="n">
        <f aca="false">IFERROR(VLOOKUP(B16,[2]'Cost Correction'!$D$2:$AJ$1627,33,0),"")</f>
        <v>103040320</v>
      </c>
    </row>
    <row r="17" customFormat="false" ht="15" hidden="true" customHeight="false" outlineLevel="0" collapsed="false">
      <c r="A17" s="0" t="str">
        <f aca="false">E17&amp;L17&amp;Q17</f>
        <v>43352223560299102854019</v>
      </c>
      <c r="B17" s="0" t="s">
        <v>203</v>
      </c>
      <c r="C17" s="0" t="s">
        <v>204</v>
      </c>
      <c r="D17" s="0" t="s">
        <v>28</v>
      </c>
      <c r="E17" s="44" t="n">
        <v>43352</v>
      </c>
      <c r="F17" s="0" t="s">
        <v>42</v>
      </c>
      <c r="G17" s="0" t="n">
        <v>21337013</v>
      </c>
      <c r="H17" s="0" t="n">
        <v>720196</v>
      </c>
      <c r="I17" s="0" t="s">
        <v>34</v>
      </c>
      <c r="J17" s="0" t="s">
        <v>174</v>
      </c>
      <c r="K17" s="0" t="s">
        <v>47</v>
      </c>
      <c r="L17" s="0" t="n">
        <v>223560299</v>
      </c>
      <c r="M17" s="0" t="s">
        <v>205</v>
      </c>
      <c r="N17" s="0" t="n">
        <v>102854019</v>
      </c>
      <c r="O17" s="0" t="n">
        <v>514.92</v>
      </c>
      <c r="P17" s="0" t="n">
        <v>13.4</v>
      </c>
      <c r="Q17" s="0" t="n">
        <f aca="false">IFERROR(VLOOKUP(B17,[2]'Cost Correction'!$D$2:$AJ$1627,33,0),"")</f>
        <v>102854019</v>
      </c>
    </row>
    <row r="18" customFormat="false" ht="15" hidden="true" customHeight="false" outlineLevel="0" collapsed="false">
      <c r="A18" s="0" t="str">
        <f aca="false">E18&amp;L18&amp;Q18</f>
        <v>43352223560332102854037</v>
      </c>
      <c r="B18" s="0" t="s">
        <v>206</v>
      </c>
      <c r="C18" s="0" t="s">
        <v>207</v>
      </c>
      <c r="D18" s="0" t="s">
        <v>28</v>
      </c>
      <c r="E18" s="44" t="n">
        <v>43352</v>
      </c>
      <c r="F18" s="0" t="s">
        <v>42</v>
      </c>
      <c r="G18" s="0" t="n">
        <v>21337013</v>
      </c>
      <c r="H18" s="0" t="n">
        <v>720196</v>
      </c>
      <c r="I18" s="0" t="s">
        <v>34</v>
      </c>
      <c r="J18" s="0" t="s">
        <v>174</v>
      </c>
      <c r="K18" s="0" t="s">
        <v>50</v>
      </c>
      <c r="L18" s="0" t="n">
        <v>223560332</v>
      </c>
      <c r="M18" s="0" t="s">
        <v>208</v>
      </c>
      <c r="N18" s="0" t="n">
        <v>102854037</v>
      </c>
      <c r="O18" s="0" t="n">
        <v>514.92</v>
      </c>
      <c r="P18" s="0" t="n">
        <v>13.4</v>
      </c>
      <c r="Q18" s="0" t="n">
        <f aca="false">IFERROR(VLOOKUP(B18,[2]'Cost Correction'!$D$2:$AJ$1627,33,0),"")</f>
        <v>102854037</v>
      </c>
    </row>
    <row r="19" customFormat="false" ht="15" hidden="true" customHeight="false" outlineLevel="0" collapsed="false">
      <c r="A19" s="0" t="str">
        <f aca="false">E19&amp;L19&amp;Q19</f>
        <v>43352223560338102853603</v>
      </c>
      <c r="B19" s="0" t="s">
        <v>209</v>
      </c>
      <c r="C19" s="0" t="s">
        <v>210</v>
      </c>
      <c r="D19" s="0" t="s">
        <v>28</v>
      </c>
      <c r="E19" s="44" t="n">
        <v>43352</v>
      </c>
      <c r="F19" s="0" t="s">
        <v>42</v>
      </c>
      <c r="G19" s="0" t="n">
        <v>21337013</v>
      </c>
      <c r="H19" s="0" t="n">
        <v>720196</v>
      </c>
      <c r="I19" s="0" t="s">
        <v>34</v>
      </c>
      <c r="J19" s="0" t="s">
        <v>174</v>
      </c>
      <c r="K19" s="0" t="s">
        <v>51</v>
      </c>
      <c r="L19" s="0" t="n">
        <v>223560338</v>
      </c>
      <c r="M19" s="0" t="s">
        <v>211</v>
      </c>
      <c r="N19" s="0" t="n">
        <v>102853603</v>
      </c>
      <c r="O19" s="0" t="n">
        <v>514.92</v>
      </c>
      <c r="P19" s="0" t="n">
        <v>13.4</v>
      </c>
      <c r="Q19" s="0" t="n">
        <f aca="false">IFERROR(VLOOKUP(B19,[2]'Cost Correction'!$D$2:$AJ$1627,33,0),"")</f>
        <v>102853603</v>
      </c>
    </row>
    <row r="20" customFormat="false" ht="15" hidden="true" customHeight="false" outlineLevel="0" collapsed="false">
      <c r="A20" s="0" t="str">
        <f aca="false">E20&amp;L20&amp;Q20</f>
        <v>43352223560344102861246</v>
      </c>
      <c r="B20" s="0" t="s">
        <v>212</v>
      </c>
      <c r="C20" s="0" t="s">
        <v>213</v>
      </c>
      <c r="D20" s="0" t="s">
        <v>28</v>
      </c>
      <c r="E20" s="44" t="n">
        <v>43352</v>
      </c>
      <c r="F20" s="0" t="s">
        <v>42</v>
      </c>
      <c r="G20" s="0" t="n">
        <v>21337013</v>
      </c>
      <c r="H20" s="0" t="n">
        <v>720196</v>
      </c>
      <c r="I20" s="0" t="s">
        <v>34</v>
      </c>
      <c r="J20" s="0" t="s">
        <v>174</v>
      </c>
      <c r="K20" s="0" t="s">
        <v>52</v>
      </c>
      <c r="L20" s="0" t="n">
        <v>223560344</v>
      </c>
      <c r="M20" s="0" t="s">
        <v>214</v>
      </c>
      <c r="N20" s="0" t="n">
        <v>102861246</v>
      </c>
      <c r="O20" s="0" t="n">
        <v>514.92</v>
      </c>
      <c r="P20" s="0" t="n">
        <v>13.4</v>
      </c>
      <c r="Q20" s="0" t="n">
        <f aca="false">IFERROR(VLOOKUP(B20,[2]'Cost Correction'!$D$2:$AJ$1627,33,0),"")</f>
        <v>102861246</v>
      </c>
    </row>
    <row r="21" customFormat="false" ht="15" hidden="true" customHeight="false" outlineLevel="0" collapsed="false">
      <c r="A21" s="0" t="str">
        <f aca="false">E21&amp;L21&amp;Q21</f>
        <v>43352223560350103006547</v>
      </c>
      <c r="B21" s="0" t="s">
        <v>215</v>
      </c>
      <c r="C21" s="0" t="s">
        <v>216</v>
      </c>
      <c r="D21" s="0" t="s">
        <v>28</v>
      </c>
      <c r="E21" s="44" t="n">
        <v>43352</v>
      </c>
      <c r="F21" s="0" t="s">
        <v>42</v>
      </c>
      <c r="G21" s="0" t="n">
        <v>21337013</v>
      </c>
      <c r="H21" s="0" t="n">
        <v>720196</v>
      </c>
      <c r="I21" s="0" t="s">
        <v>34</v>
      </c>
      <c r="J21" s="0" t="s">
        <v>174</v>
      </c>
      <c r="K21" s="0" t="s">
        <v>53</v>
      </c>
      <c r="L21" s="0" t="n">
        <v>223560350</v>
      </c>
      <c r="M21" s="0" t="s">
        <v>217</v>
      </c>
      <c r="N21" s="0" t="n">
        <v>103006547</v>
      </c>
      <c r="O21" s="0" t="n">
        <v>514.92</v>
      </c>
      <c r="P21" s="0" t="n">
        <v>13.4</v>
      </c>
      <c r="Q21" s="0" t="n">
        <f aca="false">IFERROR(VLOOKUP(B21,[2]'Cost Correction'!$D$2:$AJ$1627,33,0),"")</f>
        <v>103006547</v>
      </c>
    </row>
    <row r="22" customFormat="false" ht="15" hidden="true" customHeight="false" outlineLevel="0" collapsed="false">
      <c r="A22" s="0" t="str">
        <f aca="false">E22&amp;L22&amp;Q22</f>
        <v>43352223560356102854016</v>
      </c>
      <c r="B22" s="0" t="s">
        <v>218</v>
      </c>
      <c r="C22" s="0" t="s">
        <v>219</v>
      </c>
      <c r="D22" s="0" t="s">
        <v>28</v>
      </c>
      <c r="E22" s="44" t="n">
        <v>43352</v>
      </c>
      <c r="F22" s="0" t="s">
        <v>42</v>
      </c>
      <c r="G22" s="0" t="n">
        <v>21337013</v>
      </c>
      <c r="H22" s="0" t="n">
        <v>720196</v>
      </c>
      <c r="I22" s="0" t="s">
        <v>34</v>
      </c>
      <c r="J22" s="0" t="s">
        <v>174</v>
      </c>
      <c r="K22" s="0" t="s">
        <v>54</v>
      </c>
      <c r="L22" s="0" t="n">
        <v>223560356</v>
      </c>
      <c r="M22" s="0" t="s">
        <v>220</v>
      </c>
      <c r="N22" s="0" t="n">
        <v>102854016</v>
      </c>
      <c r="O22" s="0" t="n">
        <v>514.92</v>
      </c>
      <c r="P22" s="0" t="n">
        <v>13.4</v>
      </c>
      <c r="Q22" s="0" t="n">
        <f aca="false">IFERROR(VLOOKUP(B22,[2]'Cost Correction'!$D$2:$AJ$1627,33,0),"")</f>
        <v>102854016</v>
      </c>
    </row>
    <row r="23" customFormat="false" ht="15" hidden="true" customHeight="false" outlineLevel="0" collapsed="false">
      <c r="A23" s="0" t="str">
        <f aca="false">E23&amp;L23&amp;Q23</f>
        <v>43352224334170103235146</v>
      </c>
      <c r="B23" s="0" t="s">
        <v>221</v>
      </c>
      <c r="C23" s="0" t="s">
        <v>222</v>
      </c>
      <c r="D23" s="0" t="s">
        <v>28</v>
      </c>
      <c r="E23" s="44" t="n">
        <v>43352</v>
      </c>
      <c r="F23" s="0" t="s">
        <v>42</v>
      </c>
      <c r="G23" s="0" t="n">
        <v>21337013</v>
      </c>
      <c r="H23" s="0" t="n">
        <v>720196</v>
      </c>
      <c r="I23" s="0" t="s">
        <v>34</v>
      </c>
      <c r="J23" s="0" t="s">
        <v>174</v>
      </c>
      <c r="K23" s="0" t="s">
        <v>56</v>
      </c>
      <c r="L23" s="0" t="n">
        <v>224334170</v>
      </c>
      <c r="M23" s="0" t="s">
        <v>223</v>
      </c>
      <c r="N23" s="0" t="n">
        <v>103230847</v>
      </c>
      <c r="O23" s="0" t="n">
        <v>10993.84</v>
      </c>
      <c r="P23" s="0" t="n">
        <v>156.86</v>
      </c>
      <c r="Q23" s="0" t="n">
        <f aca="false">IFERROR(VLOOKUP(B23,[2]'Cost Correction'!$D$2:$AJ$1627,33,0),"")</f>
        <v>103235146</v>
      </c>
    </row>
    <row r="24" customFormat="false" ht="15" hidden="true" customHeight="false" outlineLevel="0" collapsed="false">
      <c r="A24" s="0" t="str">
        <f aca="false">E24&amp;L24&amp;Q24</f>
        <v>43352224399962103235146</v>
      </c>
      <c r="B24" s="0" t="s">
        <v>224</v>
      </c>
      <c r="C24" s="0" t="s">
        <v>225</v>
      </c>
      <c r="D24" s="0" t="s">
        <v>28</v>
      </c>
      <c r="E24" s="44" t="n">
        <v>43352</v>
      </c>
      <c r="F24" s="0" t="s">
        <v>42</v>
      </c>
      <c r="G24" s="0" t="n">
        <v>21337013</v>
      </c>
      <c r="H24" s="0" t="n">
        <v>720196</v>
      </c>
      <c r="I24" s="0" t="s">
        <v>34</v>
      </c>
      <c r="J24" s="0" t="s">
        <v>174</v>
      </c>
      <c r="K24" s="0" t="s">
        <v>57</v>
      </c>
      <c r="L24" s="0" t="n">
        <v>224399962</v>
      </c>
      <c r="M24" s="0" t="s">
        <v>223</v>
      </c>
      <c r="N24" s="0" t="n">
        <v>103230847</v>
      </c>
      <c r="O24" s="0" t="n">
        <v>5496.92</v>
      </c>
      <c r="P24" s="0" t="n">
        <v>78.43</v>
      </c>
      <c r="Q24" s="0" t="n">
        <f aca="false">IFERROR(VLOOKUP(B24,[2]'Cost Correction'!$D$2:$AJ$1627,33,0),"")</f>
        <v>103235146</v>
      </c>
    </row>
    <row r="25" customFormat="false" ht="15" hidden="true" customHeight="false" outlineLevel="0" collapsed="false">
      <c r="A25" s="0" t="str">
        <f aca="false">E25&amp;L25&amp;Q25</f>
        <v>43353223560299102854019</v>
      </c>
      <c r="B25" s="0" t="s">
        <v>226</v>
      </c>
      <c r="C25" s="0" t="s">
        <v>227</v>
      </c>
      <c r="D25" s="0" t="s">
        <v>28</v>
      </c>
      <c r="E25" s="44" t="n">
        <v>43353</v>
      </c>
      <c r="F25" s="0" t="s">
        <v>42</v>
      </c>
      <c r="G25" s="0" t="n">
        <v>21337013</v>
      </c>
      <c r="H25" s="0" t="n">
        <v>720196</v>
      </c>
      <c r="I25" s="0" t="s">
        <v>34</v>
      </c>
      <c r="J25" s="0" t="s">
        <v>174</v>
      </c>
      <c r="K25" s="0" t="s">
        <v>47</v>
      </c>
      <c r="L25" s="0" t="n">
        <v>223560299</v>
      </c>
      <c r="M25" s="0" t="s">
        <v>205</v>
      </c>
      <c r="N25" s="0" t="n">
        <v>102854019</v>
      </c>
      <c r="O25" s="0" t="n">
        <v>514.92</v>
      </c>
      <c r="P25" s="0" t="n">
        <v>13.4</v>
      </c>
      <c r="Q25" s="0" t="n">
        <f aca="false">IFERROR(VLOOKUP(B25,[2]'Cost Correction'!$D$2:$AJ$1627,33,0),"")</f>
        <v>102854019</v>
      </c>
    </row>
    <row r="26" customFormat="false" ht="15" hidden="true" customHeight="false" outlineLevel="0" collapsed="false">
      <c r="A26" s="0" t="str">
        <f aca="false">E26&amp;L26&amp;Q26</f>
        <v>43353223560332102854037</v>
      </c>
      <c r="B26" s="0" t="s">
        <v>228</v>
      </c>
      <c r="C26" s="0" t="s">
        <v>229</v>
      </c>
      <c r="D26" s="0" t="s">
        <v>28</v>
      </c>
      <c r="E26" s="44" t="n">
        <v>43353</v>
      </c>
      <c r="F26" s="0" t="s">
        <v>42</v>
      </c>
      <c r="G26" s="0" t="n">
        <v>21337013</v>
      </c>
      <c r="H26" s="0" t="n">
        <v>720196</v>
      </c>
      <c r="I26" s="0" t="s">
        <v>34</v>
      </c>
      <c r="J26" s="0" t="s">
        <v>174</v>
      </c>
      <c r="K26" s="0" t="s">
        <v>50</v>
      </c>
      <c r="L26" s="0" t="n">
        <v>223560332</v>
      </c>
      <c r="M26" s="0" t="s">
        <v>208</v>
      </c>
      <c r="N26" s="0" t="n">
        <v>102854037</v>
      </c>
      <c r="O26" s="0" t="n">
        <v>514.92</v>
      </c>
      <c r="P26" s="0" t="n">
        <v>13.4</v>
      </c>
      <c r="Q26" s="0" t="n">
        <f aca="false">IFERROR(VLOOKUP(B26,[2]'Cost Correction'!$D$2:$AJ$1627,33,0),"")</f>
        <v>102854037</v>
      </c>
    </row>
    <row r="27" customFormat="false" ht="15" hidden="true" customHeight="false" outlineLevel="0" collapsed="false">
      <c r="A27" s="0" t="str">
        <f aca="false">E27&amp;L27&amp;Q27</f>
        <v>43353223560338102853603</v>
      </c>
      <c r="B27" s="0" t="s">
        <v>230</v>
      </c>
      <c r="C27" s="0" t="s">
        <v>231</v>
      </c>
      <c r="D27" s="0" t="s">
        <v>28</v>
      </c>
      <c r="E27" s="44" t="n">
        <v>43353</v>
      </c>
      <c r="F27" s="0" t="s">
        <v>42</v>
      </c>
      <c r="G27" s="0" t="n">
        <v>21337013</v>
      </c>
      <c r="H27" s="0" t="n">
        <v>720196</v>
      </c>
      <c r="I27" s="0" t="s">
        <v>34</v>
      </c>
      <c r="J27" s="0" t="s">
        <v>174</v>
      </c>
      <c r="K27" s="0" t="s">
        <v>51</v>
      </c>
      <c r="L27" s="0" t="n">
        <v>223560338</v>
      </c>
      <c r="M27" s="0" t="s">
        <v>211</v>
      </c>
      <c r="N27" s="0" t="n">
        <v>102853603</v>
      </c>
      <c r="O27" s="0" t="n">
        <v>514.92</v>
      </c>
      <c r="P27" s="0" t="n">
        <v>13.4</v>
      </c>
      <c r="Q27" s="0" t="n">
        <f aca="false">IFERROR(VLOOKUP(B27,[2]'Cost Correction'!$D$2:$AJ$1627,33,0),"")</f>
        <v>102853603</v>
      </c>
    </row>
    <row r="28" customFormat="false" ht="15" hidden="true" customHeight="false" outlineLevel="0" collapsed="false">
      <c r="A28" s="0" t="str">
        <f aca="false">E28&amp;L28&amp;Q28</f>
        <v>43353223560344102861246</v>
      </c>
      <c r="B28" s="0" t="s">
        <v>232</v>
      </c>
      <c r="C28" s="0" t="s">
        <v>233</v>
      </c>
      <c r="D28" s="0" t="s">
        <v>28</v>
      </c>
      <c r="E28" s="44" t="n">
        <v>43353</v>
      </c>
      <c r="F28" s="0" t="s">
        <v>42</v>
      </c>
      <c r="G28" s="0" t="n">
        <v>21337013</v>
      </c>
      <c r="H28" s="0" t="n">
        <v>720196</v>
      </c>
      <c r="I28" s="0" t="s">
        <v>34</v>
      </c>
      <c r="J28" s="0" t="s">
        <v>174</v>
      </c>
      <c r="K28" s="0" t="s">
        <v>52</v>
      </c>
      <c r="L28" s="0" t="n">
        <v>223560344</v>
      </c>
      <c r="M28" s="0" t="s">
        <v>214</v>
      </c>
      <c r="N28" s="0" t="n">
        <v>102861246</v>
      </c>
      <c r="O28" s="0" t="n">
        <v>514.92</v>
      </c>
      <c r="P28" s="0" t="n">
        <v>13.4</v>
      </c>
      <c r="Q28" s="0" t="n">
        <f aca="false">IFERROR(VLOOKUP(B28,[2]'Cost Correction'!$D$2:$AJ$1627,33,0),"")</f>
        <v>102861246</v>
      </c>
    </row>
    <row r="29" customFormat="false" ht="15" hidden="true" customHeight="false" outlineLevel="0" collapsed="false">
      <c r="A29" s="0" t="str">
        <f aca="false">E29&amp;L29&amp;Q29</f>
        <v>43353223560356102854016</v>
      </c>
      <c r="B29" s="0" t="s">
        <v>234</v>
      </c>
      <c r="C29" s="0" t="s">
        <v>235</v>
      </c>
      <c r="D29" s="0" t="s">
        <v>28</v>
      </c>
      <c r="E29" s="44" t="n">
        <v>43353</v>
      </c>
      <c r="F29" s="0" t="s">
        <v>42</v>
      </c>
      <c r="G29" s="0" t="n">
        <v>21337013</v>
      </c>
      <c r="H29" s="0" t="n">
        <v>720196</v>
      </c>
      <c r="I29" s="0" t="s">
        <v>34</v>
      </c>
      <c r="J29" s="0" t="s">
        <v>174</v>
      </c>
      <c r="K29" s="0" t="s">
        <v>54</v>
      </c>
      <c r="L29" s="0" t="n">
        <v>223560356</v>
      </c>
      <c r="M29" s="0" t="s">
        <v>220</v>
      </c>
      <c r="N29" s="0" t="n">
        <v>102854016</v>
      </c>
      <c r="O29" s="0" t="n">
        <v>514.92</v>
      </c>
      <c r="P29" s="0" t="n">
        <v>13.4</v>
      </c>
      <c r="Q29" s="0" t="n">
        <f aca="false">IFERROR(VLOOKUP(B29,[2]'Cost Correction'!$D$2:$AJ$1627,33,0),"")</f>
        <v>102854016</v>
      </c>
    </row>
    <row r="30" customFormat="false" ht="15" hidden="true" customHeight="false" outlineLevel="0" collapsed="false">
      <c r="A30" s="0" t="str">
        <f aca="false">E30&amp;L30&amp;Q30</f>
        <v>43353224334170103235146</v>
      </c>
      <c r="B30" s="0" t="s">
        <v>236</v>
      </c>
      <c r="C30" s="0" t="s">
        <v>237</v>
      </c>
      <c r="D30" s="0" t="s">
        <v>28</v>
      </c>
      <c r="E30" s="44" t="n">
        <v>43353</v>
      </c>
      <c r="F30" s="0" t="s">
        <v>42</v>
      </c>
      <c r="G30" s="0" t="n">
        <v>21337013</v>
      </c>
      <c r="H30" s="0" t="n">
        <v>720196</v>
      </c>
      <c r="I30" s="0" t="s">
        <v>34</v>
      </c>
      <c r="J30" s="0" t="s">
        <v>174</v>
      </c>
      <c r="K30" s="0" t="s">
        <v>56</v>
      </c>
      <c r="L30" s="0" t="n">
        <v>224334170</v>
      </c>
      <c r="M30" s="0" t="s">
        <v>223</v>
      </c>
      <c r="N30" s="0" t="n">
        <v>103230847</v>
      </c>
      <c r="O30" s="0" t="n">
        <v>5496.92</v>
      </c>
      <c r="P30" s="0" t="n">
        <v>78.43</v>
      </c>
      <c r="Q30" s="0" t="n">
        <f aca="false">IFERROR(VLOOKUP(B30,[2]'Cost Correction'!$D$2:$AJ$1627,33,0),"")</f>
        <v>103235146</v>
      </c>
    </row>
    <row r="31" customFormat="false" ht="15" hidden="true" customHeight="false" outlineLevel="0" collapsed="false">
      <c r="A31" s="0" t="str">
        <f aca="false">E31&amp;L31&amp;Q31</f>
        <v>43353224399962103235146</v>
      </c>
      <c r="B31" s="0" t="s">
        <v>238</v>
      </c>
      <c r="C31" s="0" t="s">
        <v>239</v>
      </c>
      <c r="D31" s="0" t="s">
        <v>28</v>
      </c>
      <c r="E31" s="44" t="n">
        <v>43353</v>
      </c>
      <c r="F31" s="0" t="s">
        <v>42</v>
      </c>
      <c r="G31" s="0" t="n">
        <v>21337013</v>
      </c>
      <c r="H31" s="0" t="n">
        <v>720196</v>
      </c>
      <c r="I31" s="0" t="s">
        <v>34</v>
      </c>
      <c r="J31" s="0" t="s">
        <v>174</v>
      </c>
      <c r="K31" s="0" t="s">
        <v>57</v>
      </c>
      <c r="L31" s="0" t="n">
        <v>224399962</v>
      </c>
      <c r="M31" s="0" t="s">
        <v>223</v>
      </c>
      <c r="N31" s="0" t="n">
        <v>103230847</v>
      </c>
      <c r="O31" s="0" t="n">
        <v>5496.92</v>
      </c>
      <c r="P31" s="0" t="n">
        <v>78.43</v>
      </c>
      <c r="Q31" s="0" t="n">
        <f aca="false">IFERROR(VLOOKUP(B31,[2]'Cost Correction'!$D$2:$AJ$1627,33,0),"")</f>
        <v>103235146</v>
      </c>
    </row>
    <row r="32" customFormat="false" ht="15" hidden="true" customHeight="false" outlineLevel="0" collapsed="false">
      <c r="A32" s="0" t="str">
        <f aca="false">E32&amp;L32&amp;Q32</f>
        <v>43353224549481103235146</v>
      </c>
      <c r="B32" s="0" t="s">
        <v>240</v>
      </c>
      <c r="C32" s="0" t="s">
        <v>241</v>
      </c>
      <c r="D32" s="0" t="s">
        <v>28</v>
      </c>
      <c r="E32" s="44" t="n">
        <v>43353</v>
      </c>
      <c r="F32" s="0" t="s">
        <v>42</v>
      </c>
      <c r="G32" s="0" t="n">
        <v>21337013</v>
      </c>
      <c r="H32" s="0" t="n">
        <v>720196</v>
      </c>
      <c r="I32" s="0" t="s">
        <v>34</v>
      </c>
      <c r="J32" s="0" t="s">
        <v>174</v>
      </c>
      <c r="K32" s="0" t="s">
        <v>58</v>
      </c>
      <c r="L32" s="0" t="n">
        <v>224549481</v>
      </c>
      <c r="M32" s="0" t="s">
        <v>223</v>
      </c>
      <c r="N32" s="0" t="n">
        <v>103230847</v>
      </c>
      <c r="O32" s="0" t="n">
        <v>5496.92</v>
      </c>
      <c r="P32" s="0" t="n">
        <v>78.43</v>
      </c>
      <c r="Q32" s="0" t="n">
        <f aca="false">IFERROR(VLOOKUP(B32,[2]'Cost Correction'!$D$2:$AJ$1627,33,0),"")</f>
        <v>103235146</v>
      </c>
    </row>
    <row r="33" customFormat="false" ht="15" hidden="true" customHeight="false" outlineLevel="0" collapsed="false">
      <c r="A33" s="0" t="str">
        <f aca="false">E33&amp;L33&amp;Q33</f>
        <v>43353227035833103235146</v>
      </c>
      <c r="B33" s="0" t="s">
        <v>242</v>
      </c>
      <c r="C33" s="0" t="s">
        <v>243</v>
      </c>
      <c r="D33" s="0" t="s">
        <v>28</v>
      </c>
      <c r="E33" s="44" t="n">
        <v>43353</v>
      </c>
      <c r="F33" s="0" t="s">
        <v>42</v>
      </c>
      <c r="G33" s="0" t="n">
        <v>21337013</v>
      </c>
      <c r="H33" s="0" t="n">
        <v>720196</v>
      </c>
      <c r="I33" s="0" t="s">
        <v>34</v>
      </c>
      <c r="J33" s="0" t="s">
        <v>174</v>
      </c>
      <c r="K33" s="0" t="s">
        <v>59</v>
      </c>
      <c r="L33" s="0" t="n">
        <v>227035833</v>
      </c>
      <c r="M33" s="0" t="s">
        <v>223</v>
      </c>
      <c r="N33" s="0" t="n">
        <v>103230847</v>
      </c>
      <c r="O33" s="0" t="n">
        <v>10993.84</v>
      </c>
      <c r="P33" s="0" t="n">
        <v>156.86</v>
      </c>
      <c r="Q33" s="0" t="n">
        <f aca="false">IFERROR(VLOOKUP(B33,[2]'Cost Correction'!$D$2:$AJ$1627,33,0),"")</f>
        <v>103235146</v>
      </c>
    </row>
    <row r="34" customFormat="false" ht="15" hidden="true" customHeight="false" outlineLevel="0" collapsed="false">
      <c r="A34" s="0" t="str">
        <f aca="false">E34&amp;L34&amp;Q34</f>
        <v>43354223560299102854019</v>
      </c>
      <c r="B34" s="0" t="s">
        <v>244</v>
      </c>
      <c r="C34" s="0" t="s">
        <v>245</v>
      </c>
      <c r="D34" s="0" t="s">
        <v>28</v>
      </c>
      <c r="E34" s="44" t="n">
        <v>43354</v>
      </c>
      <c r="F34" s="0" t="s">
        <v>42</v>
      </c>
      <c r="G34" s="0" t="n">
        <v>21337013</v>
      </c>
      <c r="H34" s="0" t="n">
        <v>720196</v>
      </c>
      <c r="I34" s="0" t="s">
        <v>34</v>
      </c>
      <c r="J34" s="0" t="s">
        <v>174</v>
      </c>
      <c r="K34" s="0" t="s">
        <v>47</v>
      </c>
      <c r="L34" s="0" t="n">
        <v>223560299</v>
      </c>
      <c r="M34" s="0" t="s">
        <v>205</v>
      </c>
      <c r="N34" s="0" t="n">
        <v>102854019</v>
      </c>
      <c r="O34" s="0" t="n">
        <v>514.92</v>
      </c>
      <c r="P34" s="0" t="n">
        <v>13.4</v>
      </c>
      <c r="Q34" s="0" t="n">
        <f aca="false">IFERROR(VLOOKUP(B34,[2]'Cost Correction'!$D$2:$AJ$1627,33,0),"")</f>
        <v>102854019</v>
      </c>
    </row>
    <row r="35" customFormat="false" ht="15" hidden="true" customHeight="false" outlineLevel="0" collapsed="false">
      <c r="A35" s="0" t="str">
        <f aca="false">E35&amp;L35&amp;Q35</f>
        <v>43354223560332102854037</v>
      </c>
      <c r="B35" s="0" t="s">
        <v>246</v>
      </c>
      <c r="C35" s="0" t="s">
        <v>247</v>
      </c>
      <c r="D35" s="0" t="s">
        <v>28</v>
      </c>
      <c r="E35" s="44" t="n">
        <v>43354</v>
      </c>
      <c r="F35" s="0" t="s">
        <v>42</v>
      </c>
      <c r="G35" s="0" t="n">
        <v>21337013</v>
      </c>
      <c r="H35" s="0" t="n">
        <v>720196</v>
      </c>
      <c r="I35" s="0" t="s">
        <v>34</v>
      </c>
      <c r="J35" s="0" t="s">
        <v>174</v>
      </c>
      <c r="K35" s="0" t="s">
        <v>50</v>
      </c>
      <c r="L35" s="0" t="n">
        <v>223560332</v>
      </c>
      <c r="M35" s="0" t="s">
        <v>208</v>
      </c>
      <c r="N35" s="0" t="n">
        <v>102854037</v>
      </c>
      <c r="O35" s="0" t="n">
        <v>514.92</v>
      </c>
      <c r="P35" s="0" t="n">
        <v>13.4</v>
      </c>
      <c r="Q35" s="0" t="n">
        <f aca="false">IFERROR(VLOOKUP(B35,[2]'Cost Correction'!$D$2:$AJ$1627,33,0),"")</f>
        <v>102854037</v>
      </c>
    </row>
    <row r="36" customFormat="false" ht="15" hidden="true" customHeight="false" outlineLevel="0" collapsed="false">
      <c r="A36" s="0" t="str">
        <f aca="false">E36&amp;L36&amp;Q36</f>
        <v>43354223560338102853603</v>
      </c>
      <c r="B36" s="0" t="s">
        <v>248</v>
      </c>
      <c r="C36" s="0" t="s">
        <v>249</v>
      </c>
      <c r="D36" s="0" t="s">
        <v>28</v>
      </c>
      <c r="E36" s="44" t="n">
        <v>43354</v>
      </c>
      <c r="F36" s="0" t="s">
        <v>42</v>
      </c>
      <c r="G36" s="0" t="n">
        <v>21337013</v>
      </c>
      <c r="H36" s="0" t="n">
        <v>720196</v>
      </c>
      <c r="I36" s="0" t="s">
        <v>34</v>
      </c>
      <c r="J36" s="0" t="s">
        <v>174</v>
      </c>
      <c r="K36" s="0" t="s">
        <v>51</v>
      </c>
      <c r="L36" s="0" t="n">
        <v>223560338</v>
      </c>
      <c r="M36" s="0" t="s">
        <v>211</v>
      </c>
      <c r="N36" s="0" t="n">
        <v>102853603</v>
      </c>
      <c r="O36" s="0" t="n">
        <v>514.92</v>
      </c>
      <c r="P36" s="0" t="n">
        <v>13.4</v>
      </c>
      <c r="Q36" s="0" t="n">
        <f aca="false">IFERROR(VLOOKUP(B36,[2]'Cost Correction'!$D$2:$AJ$1627,33,0),"")</f>
        <v>102853603</v>
      </c>
    </row>
    <row r="37" customFormat="false" ht="15" hidden="true" customHeight="false" outlineLevel="0" collapsed="false">
      <c r="A37" s="0" t="str">
        <f aca="false">E37&amp;L37&amp;Q37</f>
        <v>43354223560344102861246</v>
      </c>
      <c r="B37" s="0" t="s">
        <v>250</v>
      </c>
      <c r="C37" s="0" t="s">
        <v>251</v>
      </c>
      <c r="D37" s="0" t="s">
        <v>28</v>
      </c>
      <c r="E37" s="44" t="n">
        <v>43354</v>
      </c>
      <c r="F37" s="0" t="s">
        <v>42</v>
      </c>
      <c r="G37" s="0" t="n">
        <v>21337013</v>
      </c>
      <c r="H37" s="0" t="n">
        <v>720196</v>
      </c>
      <c r="I37" s="0" t="s">
        <v>34</v>
      </c>
      <c r="J37" s="0" t="s">
        <v>174</v>
      </c>
      <c r="K37" s="0" t="s">
        <v>52</v>
      </c>
      <c r="L37" s="0" t="n">
        <v>223560344</v>
      </c>
      <c r="M37" s="0" t="s">
        <v>214</v>
      </c>
      <c r="N37" s="0" t="n">
        <v>102861246</v>
      </c>
      <c r="O37" s="0" t="n">
        <v>514.92</v>
      </c>
      <c r="P37" s="0" t="n">
        <v>13.4</v>
      </c>
      <c r="Q37" s="0" t="n">
        <f aca="false">IFERROR(VLOOKUP(B37,[2]'Cost Correction'!$D$2:$AJ$1627,33,0),"")</f>
        <v>102861246</v>
      </c>
    </row>
    <row r="38" customFormat="false" ht="15" hidden="true" customHeight="false" outlineLevel="0" collapsed="false">
      <c r="A38" s="0" t="str">
        <f aca="false">E38&amp;L38&amp;Q38</f>
        <v>43354223560350103006547</v>
      </c>
      <c r="B38" s="0" t="s">
        <v>252</v>
      </c>
      <c r="C38" s="0" t="s">
        <v>253</v>
      </c>
      <c r="D38" s="0" t="s">
        <v>28</v>
      </c>
      <c r="E38" s="44" t="n">
        <v>43354</v>
      </c>
      <c r="F38" s="0" t="s">
        <v>42</v>
      </c>
      <c r="G38" s="0" t="n">
        <v>21337013</v>
      </c>
      <c r="H38" s="0" t="n">
        <v>720196</v>
      </c>
      <c r="I38" s="0" t="s">
        <v>34</v>
      </c>
      <c r="J38" s="0" t="s">
        <v>174</v>
      </c>
      <c r="K38" s="0" t="s">
        <v>53</v>
      </c>
      <c r="L38" s="0" t="n">
        <v>223560350</v>
      </c>
      <c r="M38" s="0" t="s">
        <v>217</v>
      </c>
      <c r="N38" s="0" t="n">
        <v>103006547</v>
      </c>
      <c r="O38" s="0" t="n">
        <v>514.92</v>
      </c>
      <c r="P38" s="0" t="n">
        <v>13.4</v>
      </c>
      <c r="Q38" s="0" t="n">
        <f aca="false">IFERROR(VLOOKUP(B38,[2]'Cost Correction'!$D$2:$AJ$1627,33,0),"")</f>
        <v>103006547</v>
      </c>
    </row>
    <row r="39" customFormat="false" ht="15" hidden="true" customHeight="false" outlineLevel="0" collapsed="false">
      <c r="A39" s="0" t="str">
        <f aca="false">E39&amp;L39&amp;Q39</f>
        <v>43354223560356102854016</v>
      </c>
      <c r="B39" s="0" t="s">
        <v>254</v>
      </c>
      <c r="C39" s="0" t="s">
        <v>255</v>
      </c>
      <c r="D39" s="0" t="s">
        <v>28</v>
      </c>
      <c r="E39" s="44" t="n">
        <v>43354</v>
      </c>
      <c r="F39" s="0" t="s">
        <v>42</v>
      </c>
      <c r="G39" s="0" t="n">
        <v>21337013</v>
      </c>
      <c r="H39" s="0" t="n">
        <v>720196</v>
      </c>
      <c r="I39" s="0" t="s">
        <v>34</v>
      </c>
      <c r="J39" s="0" t="s">
        <v>174</v>
      </c>
      <c r="K39" s="0" t="s">
        <v>54</v>
      </c>
      <c r="L39" s="0" t="n">
        <v>223560356</v>
      </c>
      <c r="M39" s="0" t="s">
        <v>220</v>
      </c>
      <c r="N39" s="0" t="n">
        <v>102854016</v>
      </c>
      <c r="O39" s="0" t="n">
        <v>514.92</v>
      </c>
      <c r="P39" s="0" t="n">
        <v>13.4</v>
      </c>
      <c r="Q39" s="0" t="n">
        <f aca="false">IFERROR(VLOOKUP(B39,[2]'Cost Correction'!$D$2:$AJ$1627,33,0),"")</f>
        <v>102854016</v>
      </c>
    </row>
    <row r="40" customFormat="false" ht="15" hidden="true" customHeight="false" outlineLevel="0" collapsed="false">
      <c r="A40" s="0" t="str">
        <f aca="false">E40&amp;L40&amp;Q40</f>
        <v>43354224334170103235146</v>
      </c>
      <c r="B40" s="0" t="s">
        <v>256</v>
      </c>
      <c r="C40" s="0" t="s">
        <v>257</v>
      </c>
      <c r="D40" s="0" t="s">
        <v>28</v>
      </c>
      <c r="E40" s="44" t="n">
        <v>43354</v>
      </c>
      <c r="F40" s="0" t="s">
        <v>42</v>
      </c>
      <c r="G40" s="0" t="n">
        <v>21337013</v>
      </c>
      <c r="H40" s="0" t="n">
        <v>720196</v>
      </c>
      <c r="I40" s="0" t="s">
        <v>34</v>
      </c>
      <c r="J40" s="0" t="s">
        <v>174</v>
      </c>
      <c r="K40" s="0" t="s">
        <v>56</v>
      </c>
      <c r="L40" s="0" t="n">
        <v>224334170</v>
      </c>
      <c r="M40" s="0" t="s">
        <v>223</v>
      </c>
      <c r="N40" s="0" t="n">
        <v>103230847</v>
      </c>
      <c r="O40" s="0" t="n">
        <v>5496.92</v>
      </c>
      <c r="P40" s="0" t="n">
        <v>78.43</v>
      </c>
      <c r="Q40" s="0" t="n">
        <f aca="false">IFERROR(VLOOKUP(B40,[2]'Cost Correction'!$D$2:$AJ$1627,33,0),"")</f>
        <v>103235146</v>
      </c>
    </row>
    <row r="41" customFormat="false" ht="15" hidden="true" customHeight="false" outlineLevel="0" collapsed="false">
      <c r="A41" s="0" t="str">
        <f aca="false">E41&amp;L41&amp;Q41</f>
        <v>43354224399962103235146</v>
      </c>
      <c r="B41" s="0" t="s">
        <v>258</v>
      </c>
      <c r="C41" s="0" t="s">
        <v>259</v>
      </c>
      <c r="D41" s="0" t="s">
        <v>28</v>
      </c>
      <c r="E41" s="44" t="n">
        <v>43354</v>
      </c>
      <c r="F41" s="0" t="s">
        <v>42</v>
      </c>
      <c r="G41" s="0" t="n">
        <v>21337013</v>
      </c>
      <c r="H41" s="0" t="n">
        <v>720196</v>
      </c>
      <c r="I41" s="0" t="s">
        <v>34</v>
      </c>
      <c r="J41" s="0" t="s">
        <v>174</v>
      </c>
      <c r="K41" s="0" t="s">
        <v>57</v>
      </c>
      <c r="L41" s="0" t="n">
        <v>224399962</v>
      </c>
      <c r="M41" s="0" t="s">
        <v>223</v>
      </c>
      <c r="N41" s="0" t="n">
        <v>103230847</v>
      </c>
      <c r="O41" s="0" t="n">
        <v>10993.84</v>
      </c>
      <c r="P41" s="0" t="n">
        <v>156.86</v>
      </c>
      <c r="Q41" s="0" t="n">
        <f aca="false">IFERROR(VLOOKUP(B41,[2]'Cost Correction'!$D$2:$AJ$1627,33,0),"")</f>
        <v>103235146</v>
      </c>
    </row>
    <row r="42" customFormat="false" ht="15" hidden="true" customHeight="false" outlineLevel="0" collapsed="false">
      <c r="A42" s="0" t="str">
        <f aca="false">E42&amp;L42&amp;Q42</f>
        <v>43354226889143103230847</v>
      </c>
      <c r="B42" s="0" t="s">
        <v>260</v>
      </c>
      <c r="C42" s="0" t="s">
        <v>261</v>
      </c>
      <c r="D42" s="0" t="s">
        <v>28</v>
      </c>
      <c r="E42" s="44" t="n">
        <v>43354</v>
      </c>
      <c r="F42" s="0" t="s">
        <v>42</v>
      </c>
      <c r="G42" s="0" t="n">
        <v>21337013</v>
      </c>
      <c r="H42" s="0" t="n">
        <v>720196</v>
      </c>
      <c r="I42" s="0" t="s">
        <v>34</v>
      </c>
      <c r="J42" s="0" t="s">
        <v>174</v>
      </c>
      <c r="K42" s="0" t="s">
        <v>60</v>
      </c>
      <c r="L42" s="0" t="n">
        <v>226889143</v>
      </c>
      <c r="M42" s="0" t="s">
        <v>262</v>
      </c>
      <c r="N42" s="0" t="n">
        <v>103235146</v>
      </c>
      <c r="O42" s="0" t="n">
        <v>5496.92</v>
      </c>
      <c r="P42" s="0" t="n">
        <v>78.43</v>
      </c>
      <c r="Q42" s="0" t="n">
        <f aca="false">IFERROR(VLOOKUP(B42,[2]'Cost Correction'!$D$2:$AJ$1627,33,0),"")</f>
        <v>103230847</v>
      </c>
    </row>
    <row r="43" customFormat="false" ht="15" hidden="true" customHeight="false" outlineLevel="0" collapsed="false">
      <c r="A43" s="0" t="str">
        <f aca="false">E43&amp;L43&amp;Q43</f>
        <v>43355223560299102854019</v>
      </c>
      <c r="B43" s="0" t="s">
        <v>263</v>
      </c>
      <c r="C43" s="0" t="s">
        <v>264</v>
      </c>
      <c r="D43" s="0" t="s">
        <v>28</v>
      </c>
      <c r="E43" s="44" t="n">
        <v>43355</v>
      </c>
      <c r="F43" s="0" t="s">
        <v>42</v>
      </c>
      <c r="G43" s="0" t="n">
        <v>21337013</v>
      </c>
      <c r="H43" s="0" t="n">
        <v>720196</v>
      </c>
      <c r="I43" s="0" t="s">
        <v>34</v>
      </c>
      <c r="J43" s="0" t="s">
        <v>174</v>
      </c>
      <c r="K43" s="0" t="s">
        <v>47</v>
      </c>
      <c r="L43" s="0" t="n">
        <v>223560299</v>
      </c>
      <c r="M43" s="0" t="s">
        <v>205</v>
      </c>
      <c r="N43" s="0" t="n">
        <v>102854019</v>
      </c>
      <c r="O43" s="0" t="n">
        <v>514.92</v>
      </c>
      <c r="P43" s="0" t="n">
        <v>13.4</v>
      </c>
      <c r="Q43" s="0" t="n">
        <f aca="false">IFERROR(VLOOKUP(B43,[2]'Cost Correction'!$D$2:$AJ$1627,33,0),"")</f>
        <v>102854019</v>
      </c>
    </row>
    <row r="44" customFormat="false" ht="15" hidden="true" customHeight="false" outlineLevel="0" collapsed="false">
      <c r="A44" s="0" t="str">
        <f aca="false">E44&amp;L44&amp;Q44</f>
        <v>43355223560332102854037</v>
      </c>
      <c r="B44" s="0" t="s">
        <v>265</v>
      </c>
      <c r="C44" s="0" t="s">
        <v>266</v>
      </c>
      <c r="D44" s="0" t="s">
        <v>28</v>
      </c>
      <c r="E44" s="44" t="n">
        <v>43355</v>
      </c>
      <c r="F44" s="0" t="s">
        <v>42</v>
      </c>
      <c r="G44" s="0" t="n">
        <v>21337013</v>
      </c>
      <c r="H44" s="0" t="n">
        <v>720196</v>
      </c>
      <c r="I44" s="0" t="s">
        <v>34</v>
      </c>
      <c r="J44" s="0" t="s">
        <v>174</v>
      </c>
      <c r="K44" s="0" t="s">
        <v>50</v>
      </c>
      <c r="L44" s="0" t="n">
        <v>223560332</v>
      </c>
      <c r="M44" s="0" t="s">
        <v>208</v>
      </c>
      <c r="N44" s="0" t="n">
        <v>102854037</v>
      </c>
      <c r="O44" s="0" t="n">
        <v>514.92</v>
      </c>
      <c r="P44" s="0" t="n">
        <v>13.4</v>
      </c>
      <c r="Q44" s="0" t="n">
        <f aca="false">IFERROR(VLOOKUP(B44,[2]'Cost Correction'!$D$2:$AJ$1627,33,0),"")</f>
        <v>102854037</v>
      </c>
    </row>
    <row r="45" customFormat="false" ht="15" hidden="true" customHeight="false" outlineLevel="0" collapsed="false">
      <c r="A45" s="0" t="str">
        <f aca="false">E45&amp;L45&amp;Q45</f>
        <v>43355223560338102853603</v>
      </c>
      <c r="B45" s="0" t="s">
        <v>267</v>
      </c>
      <c r="C45" s="0" t="s">
        <v>268</v>
      </c>
      <c r="D45" s="0" t="s">
        <v>28</v>
      </c>
      <c r="E45" s="44" t="n">
        <v>43355</v>
      </c>
      <c r="F45" s="0" t="s">
        <v>42</v>
      </c>
      <c r="G45" s="0" t="n">
        <v>21337013</v>
      </c>
      <c r="H45" s="0" t="n">
        <v>720196</v>
      </c>
      <c r="I45" s="0" t="s">
        <v>34</v>
      </c>
      <c r="J45" s="0" t="s">
        <v>174</v>
      </c>
      <c r="K45" s="0" t="s">
        <v>51</v>
      </c>
      <c r="L45" s="0" t="n">
        <v>223560338</v>
      </c>
      <c r="M45" s="0" t="s">
        <v>211</v>
      </c>
      <c r="N45" s="0" t="n">
        <v>102853603</v>
      </c>
      <c r="O45" s="0" t="n">
        <v>514.92</v>
      </c>
      <c r="P45" s="0" t="n">
        <v>13.4</v>
      </c>
      <c r="Q45" s="0" t="n">
        <f aca="false">IFERROR(VLOOKUP(B45,[2]'Cost Correction'!$D$2:$AJ$1627,33,0),"")</f>
        <v>102853603</v>
      </c>
    </row>
    <row r="46" customFormat="false" ht="15" hidden="true" customHeight="false" outlineLevel="0" collapsed="false">
      <c r="A46" s="0" t="str">
        <f aca="false">E46&amp;L46&amp;Q46</f>
        <v>43355223560344102861246</v>
      </c>
      <c r="B46" s="0" t="s">
        <v>269</v>
      </c>
      <c r="C46" s="0" t="s">
        <v>270</v>
      </c>
      <c r="D46" s="0" t="s">
        <v>28</v>
      </c>
      <c r="E46" s="44" t="n">
        <v>43355</v>
      </c>
      <c r="F46" s="0" t="s">
        <v>42</v>
      </c>
      <c r="G46" s="0" t="n">
        <v>21337013</v>
      </c>
      <c r="H46" s="0" t="n">
        <v>720196</v>
      </c>
      <c r="I46" s="0" t="s">
        <v>34</v>
      </c>
      <c r="J46" s="0" t="s">
        <v>174</v>
      </c>
      <c r="K46" s="0" t="s">
        <v>52</v>
      </c>
      <c r="L46" s="0" t="n">
        <v>223560344</v>
      </c>
      <c r="M46" s="0" t="s">
        <v>214</v>
      </c>
      <c r="N46" s="0" t="n">
        <v>102861246</v>
      </c>
      <c r="O46" s="0" t="n">
        <v>514.92</v>
      </c>
      <c r="P46" s="0" t="n">
        <v>13.4</v>
      </c>
      <c r="Q46" s="0" t="n">
        <f aca="false">IFERROR(VLOOKUP(B46,[2]'Cost Correction'!$D$2:$AJ$1627,33,0),"")</f>
        <v>102861246</v>
      </c>
    </row>
    <row r="47" customFormat="false" ht="15" hidden="true" customHeight="false" outlineLevel="0" collapsed="false">
      <c r="A47" s="0" t="str">
        <f aca="false">E47&amp;L47&amp;Q47</f>
        <v>43355223560350103006547</v>
      </c>
      <c r="B47" s="0" t="s">
        <v>271</v>
      </c>
      <c r="C47" s="0" t="s">
        <v>272</v>
      </c>
      <c r="D47" s="0" t="s">
        <v>28</v>
      </c>
      <c r="E47" s="44" t="n">
        <v>43355</v>
      </c>
      <c r="F47" s="0" t="s">
        <v>42</v>
      </c>
      <c r="G47" s="0" t="n">
        <v>21337013</v>
      </c>
      <c r="H47" s="0" t="n">
        <v>720196</v>
      </c>
      <c r="I47" s="0" t="s">
        <v>34</v>
      </c>
      <c r="J47" s="0" t="s">
        <v>174</v>
      </c>
      <c r="K47" s="0" t="s">
        <v>53</v>
      </c>
      <c r="L47" s="0" t="n">
        <v>223560350</v>
      </c>
      <c r="M47" s="0" t="s">
        <v>217</v>
      </c>
      <c r="N47" s="0" t="n">
        <v>103006547</v>
      </c>
      <c r="O47" s="0" t="n">
        <v>514.92</v>
      </c>
      <c r="P47" s="0" t="n">
        <v>13.4</v>
      </c>
      <c r="Q47" s="0" t="n">
        <f aca="false">IFERROR(VLOOKUP(B47,[2]'Cost Correction'!$D$2:$AJ$1627,33,0),"")</f>
        <v>103006547</v>
      </c>
    </row>
    <row r="48" customFormat="false" ht="15" hidden="true" customHeight="false" outlineLevel="0" collapsed="false">
      <c r="A48" s="0" t="str">
        <f aca="false">E48&amp;L48&amp;Q48</f>
        <v>43355224334170103235146</v>
      </c>
      <c r="B48" s="0" t="s">
        <v>273</v>
      </c>
      <c r="C48" s="0" t="s">
        <v>274</v>
      </c>
      <c r="D48" s="0" t="s">
        <v>28</v>
      </c>
      <c r="E48" s="44" t="n">
        <v>43355</v>
      </c>
      <c r="F48" s="0" t="s">
        <v>42</v>
      </c>
      <c r="G48" s="0" t="n">
        <v>21337013</v>
      </c>
      <c r="H48" s="0" t="n">
        <v>720196</v>
      </c>
      <c r="I48" s="0" t="s">
        <v>34</v>
      </c>
      <c r="J48" s="0" t="s">
        <v>174</v>
      </c>
      <c r="K48" s="0" t="s">
        <v>56</v>
      </c>
      <c r="L48" s="0" t="n">
        <v>224334170</v>
      </c>
      <c r="M48" s="0" t="s">
        <v>223</v>
      </c>
      <c r="N48" s="0" t="n">
        <v>103230847</v>
      </c>
      <c r="O48" s="0" t="n">
        <v>5496.92</v>
      </c>
      <c r="P48" s="0" t="n">
        <v>78.43</v>
      </c>
      <c r="Q48" s="0" t="n">
        <f aca="false">IFERROR(VLOOKUP(B48,[2]'Cost Correction'!$D$2:$AJ$1627,33,0),"")</f>
        <v>103235146</v>
      </c>
    </row>
    <row r="49" customFormat="false" ht="15" hidden="true" customHeight="false" outlineLevel="0" collapsed="false">
      <c r="A49" s="0" t="str">
        <f aca="false">E49&amp;L49&amp;Q49</f>
        <v>43355224549481103235146</v>
      </c>
      <c r="B49" s="0" t="s">
        <v>275</v>
      </c>
      <c r="C49" s="0" t="s">
        <v>276</v>
      </c>
      <c r="D49" s="0" t="s">
        <v>28</v>
      </c>
      <c r="E49" s="44" t="n">
        <v>43355</v>
      </c>
      <c r="F49" s="0" t="s">
        <v>42</v>
      </c>
      <c r="G49" s="0" t="n">
        <v>21337013</v>
      </c>
      <c r="H49" s="0" t="n">
        <v>720196</v>
      </c>
      <c r="I49" s="0" t="s">
        <v>34</v>
      </c>
      <c r="J49" s="0" t="s">
        <v>174</v>
      </c>
      <c r="K49" s="0" t="s">
        <v>58</v>
      </c>
      <c r="L49" s="0" t="n">
        <v>224549481</v>
      </c>
      <c r="M49" s="0" t="s">
        <v>223</v>
      </c>
      <c r="N49" s="0" t="n">
        <v>103230847</v>
      </c>
      <c r="O49" s="0" t="n">
        <v>5496.92</v>
      </c>
      <c r="P49" s="0" t="n">
        <v>78.43</v>
      </c>
      <c r="Q49" s="0" t="n">
        <f aca="false">IFERROR(VLOOKUP(B49,[2]'Cost Correction'!$D$2:$AJ$1627,33,0),"")</f>
        <v>103235146</v>
      </c>
    </row>
    <row r="50" customFormat="false" ht="15" hidden="true" customHeight="false" outlineLevel="0" collapsed="false">
      <c r="A50" s="0" t="str">
        <f aca="false">E50&amp;L50&amp;Q50</f>
        <v>43355227036847103230847</v>
      </c>
      <c r="B50" s="0" t="s">
        <v>277</v>
      </c>
      <c r="C50" s="0" t="s">
        <v>278</v>
      </c>
      <c r="D50" s="0" t="s">
        <v>28</v>
      </c>
      <c r="E50" s="44" t="n">
        <v>43355</v>
      </c>
      <c r="F50" s="0" t="s">
        <v>42</v>
      </c>
      <c r="G50" s="0" t="n">
        <v>21337013</v>
      </c>
      <c r="H50" s="0" t="n">
        <v>720196</v>
      </c>
      <c r="I50" s="0" t="s">
        <v>34</v>
      </c>
      <c r="J50" s="0" t="s">
        <v>174</v>
      </c>
      <c r="K50" s="0" t="s">
        <v>61</v>
      </c>
      <c r="L50" s="0" t="n">
        <v>227036847</v>
      </c>
      <c r="M50" s="0" t="s">
        <v>223</v>
      </c>
      <c r="N50" s="0" t="n">
        <v>103230847</v>
      </c>
      <c r="O50" s="0" t="n">
        <v>5496.92</v>
      </c>
      <c r="P50" s="0" t="n">
        <v>78.43</v>
      </c>
      <c r="Q50" s="0" t="n">
        <f aca="false">IFERROR(VLOOKUP(B50,[2]'Cost Correction'!$D$2:$AJ$1627,33,0),"")</f>
        <v>103230847</v>
      </c>
    </row>
    <row r="51" customFormat="false" ht="15" hidden="true" customHeight="false" outlineLevel="0" collapsed="false">
      <c r="A51" s="0" t="str">
        <f aca="false">E51&amp;L51&amp;Q51</f>
        <v>43356223560299102854019</v>
      </c>
      <c r="B51" s="0" t="s">
        <v>279</v>
      </c>
      <c r="C51" s="0" t="s">
        <v>280</v>
      </c>
      <c r="D51" s="0" t="s">
        <v>28</v>
      </c>
      <c r="E51" s="44" t="n">
        <v>43356</v>
      </c>
      <c r="F51" s="0" t="s">
        <v>42</v>
      </c>
      <c r="G51" s="0" t="n">
        <v>21337013</v>
      </c>
      <c r="H51" s="0" t="n">
        <v>720196</v>
      </c>
      <c r="I51" s="0" t="s">
        <v>34</v>
      </c>
      <c r="J51" s="0" t="s">
        <v>174</v>
      </c>
      <c r="K51" s="0" t="s">
        <v>47</v>
      </c>
      <c r="L51" s="0" t="n">
        <v>223560299</v>
      </c>
      <c r="M51" s="0" t="s">
        <v>205</v>
      </c>
      <c r="N51" s="0" t="n">
        <v>102854019</v>
      </c>
      <c r="O51" s="0" t="n">
        <v>514.92</v>
      </c>
      <c r="P51" s="0" t="n">
        <v>13.4</v>
      </c>
      <c r="Q51" s="0" t="n">
        <f aca="false">IFERROR(VLOOKUP(B51,[2]'Cost Correction'!$D$2:$AJ$1627,33,0),"")</f>
        <v>102854019</v>
      </c>
    </row>
    <row r="52" customFormat="false" ht="15" hidden="true" customHeight="false" outlineLevel="0" collapsed="false">
      <c r="A52" s="0" t="str">
        <f aca="false">E52&amp;L52&amp;Q52</f>
        <v>43356223560344102861246</v>
      </c>
      <c r="B52" s="0" t="s">
        <v>281</v>
      </c>
      <c r="C52" s="0" t="s">
        <v>282</v>
      </c>
      <c r="D52" s="0" t="s">
        <v>28</v>
      </c>
      <c r="E52" s="44" t="n">
        <v>43356</v>
      </c>
      <c r="F52" s="0" t="s">
        <v>42</v>
      </c>
      <c r="G52" s="0" t="n">
        <v>21337013</v>
      </c>
      <c r="H52" s="0" t="n">
        <v>720196</v>
      </c>
      <c r="I52" s="0" t="s">
        <v>34</v>
      </c>
      <c r="J52" s="0" t="s">
        <v>174</v>
      </c>
      <c r="K52" s="0" t="s">
        <v>52</v>
      </c>
      <c r="L52" s="0" t="n">
        <v>223560344</v>
      </c>
      <c r="M52" s="0" t="s">
        <v>214</v>
      </c>
      <c r="N52" s="0" t="n">
        <v>102861246</v>
      </c>
      <c r="O52" s="0" t="n">
        <v>514.92</v>
      </c>
      <c r="P52" s="0" t="n">
        <v>13.4</v>
      </c>
      <c r="Q52" s="0" t="n">
        <f aca="false">IFERROR(VLOOKUP(B52,[2]'Cost Correction'!$D$2:$AJ$1627,33,0),"")</f>
        <v>102861246</v>
      </c>
    </row>
    <row r="53" customFormat="false" ht="15" hidden="true" customHeight="false" outlineLevel="0" collapsed="false">
      <c r="A53" s="0" t="str">
        <f aca="false">E53&amp;L53&amp;Q53</f>
        <v>43356223560350103006547</v>
      </c>
      <c r="B53" s="0" t="s">
        <v>283</v>
      </c>
      <c r="C53" s="0" t="s">
        <v>284</v>
      </c>
      <c r="D53" s="0" t="s">
        <v>28</v>
      </c>
      <c r="E53" s="44" t="n">
        <v>43356</v>
      </c>
      <c r="F53" s="0" t="s">
        <v>42</v>
      </c>
      <c r="G53" s="0" t="n">
        <v>21337013</v>
      </c>
      <c r="H53" s="0" t="n">
        <v>720196</v>
      </c>
      <c r="I53" s="0" t="s">
        <v>34</v>
      </c>
      <c r="J53" s="0" t="s">
        <v>174</v>
      </c>
      <c r="K53" s="0" t="s">
        <v>53</v>
      </c>
      <c r="L53" s="0" t="n">
        <v>223560350</v>
      </c>
      <c r="M53" s="0" t="s">
        <v>217</v>
      </c>
      <c r="N53" s="0" t="n">
        <v>103006547</v>
      </c>
      <c r="O53" s="0" t="n">
        <v>514.92</v>
      </c>
      <c r="P53" s="0" t="n">
        <v>13.4</v>
      </c>
      <c r="Q53" s="0" t="n">
        <f aca="false">IFERROR(VLOOKUP(B53,[2]'Cost Correction'!$D$2:$AJ$1627,33,0),"")</f>
        <v>103006547</v>
      </c>
    </row>
    <row r="54" customFormat="false" ht="15" hidden="true" customHeight="false" outlineLevel="0" collapsed="false">
      <c r="A54" s="0" t="str">
        <f aca="false">E54&amp;L54&amp;Q54</f>
        <v>43356223560356102854016</v>
      </c>
      <c r="B54" s="0" t="s">
        <v>285</v>
      </c>
      <c r="C54" s="0" t="s">
        <v>286</v>
      </c>
      <c r="D54" s="0" t="s">
        <v>28</v>
      </c>
      <c r="E54" s="44" t="n">
        <v>43356</v>
      </c>
      <c r="F54" s="0" t="s">
        <v>42</v>
      </c>
      <c r="G54" s="0" t="n">
        <v>21337013</v>
      </c>
      <c r="H54" s="0" t="n">
        <v>720196</v>
      </c>
      <c r="I54" s="0" t="s">
        <v>34</v>
      </c>
      <c r="J54" s="0" t="s">
        <v>174</v>
      </c>
      <c r="K54" s="0" t="s">
        <v>54</v>
      </c>
      <c r="L54" s="0" t="n">
        <v>223560356</v>
      </c>
      <c r="M54" s="0" t="s">
        <v>220</v>
      </c>
      <c r="N54" s="0" t="n">
        <v>102854016</v>
      </c>
      <c r="O54" s="0" t="n">
        <v>514.92</v>
      </c>
      <c r="P54" s="0" t="n">
        <v>13.4</v>
      </c>
      <c r="Q54" s="0" t="n">
        <f aca="false">IFERROR(VLOOKUP(B54,[2]'Cost Correction'!$D$2:$AJ$1627,33,0),"")</f>
        <v>102854016</v>
      </c>
    </row>
    <row r="55" customFormat="false" ht="15" hidden="true" customHeight="false" outlineLevel="0" collapsed="false">
      <c r="A55" s="0" t="str">
        <f aca="false">E55&amp;L55&amp;Q55</f>
        <v>43356224334170103235146</v>
      </c>
      <c r="B55" s="0" t="s">
        <v>287</v>
      </c>
      <c r="C55" s="0" t="s">
        <v>288</v>
      </c>
      <c r="D55" s="0" t="s">
        <v>28</v>
      </c>
      <c r="E55" s="44" t="n">
        <v>43356</v>
      </c>
      <c r="F55" s="0" t="s">
        <v>42</v>
      </c>
      <c r="G55" s="0" t="n">
        <v>21337013</v>
      </c>
      <c r="H55" s="0" t="n">
        <v>720196</v>
      </c>
      <c r="I55" s="0" t="s">
        <v>34</v>
      </c>
      <c r="J55" s="0" t="s">
        <v>174</v>
      </c>
      <c r="K55" s="0" t="s">
        <v>56</v>
      </c>
      <c r="L55" s="0" t="n">
        <v>224334170</v>
      </c>
      <c r="M55" s="0" t="s">
        <v>223</v>
      </c>
      <c r="N55" s="0" t="n">
        <v>103230847</v>
      </c>
      <c r="O55" s="0" t="n">
        <v>5496.92</v>
      </c>
      <c r="P55" s="0" t="n">
        <v>78.43</v>
      </c>
      <c r="Q55" s="0" t="n">
        <f aca="false">IFERROR(VLOOKUP(B55,[2]'Cost Correction'!$D$2:$AJ$1627,33,0),"")</f>
        <v>103235146</v>
      </c>
    </row>
    <row r="56" customFormat="false" ht="15" hidden="true" customHeight="false" outlineLevel="0" collapsed="false">
      <c r="A56" s="0" t="str">
        <f aca="false">E56&amp;L56&amp;Q56</f>
        <v>43356224399962103235146</v>
      </c>
      <c r="B56" s="0" t="s">
        <v>289</v>
      </c>
      <c r="C56" s="0" t="s">
        <v>290</v>
      </c>
      <c r="D56" s="0" t="s">
        <v>28</v>
      </c>
      <c r="E56" s="44" t="n">
        <v>43356</v>
      </c>
      <c r="F56" s="0" t="s">
        <v>42</v>
      </c>
      <c r="G56" s="0" t="n">
        <v>21337013</v>
      </c>
      <c r="H56" s="0" t="n">
        <v>720196</v>
      </c>
      <c r="I56" s="0" t="s">
        <v>34</v>
      </c>
      <c r="J56" s="0" t="s">
        <v>174</v>
      </c>
      <c r="K56" s="0" t="s">
        <v>57</v>
      </c>
      <c r="L56" s="0" t="n">
        <v>224399962</v>
      </c>
      <c r="M56" s="0" t="s">
        <v>223</v>
      </c>
      <c r="N56" s="0" t="n">
        <v>103230847</v>
      </c>
      <c r="O56" s="0" t="n">
        <v>5496.92</v>
      </c>
      <c r="P56" s="0" t="n">
        <v>78.43</v>
      </c>
      <c r="Q56" s="0" t="n">
        <f aca="false">IFERROR(VLOOKUP(B56,[2]'Cost Correction'!$D$2:$AJ$1627,33,0),"")</f>
        <v>103235146</v>
      </c>
    </row>
    <row r="57" customFormat="false" ht="15" hidden="true" customHeight="false" outlineLevel="0" collapsed="false">
      <c r="A57" s="0" t="str">
        <f aca="false">E57&amp;L57&amp;Q57</f>
        <v>43356226887148103235146</v>
      </c>
      <c r="B57" s="0" t="s">
        <v>291</v>
      </c>
      <c r="C57" s="0" t="s">
        <v>292</v>
      </c>
      <c r="D57" s="0" t="s">
        <v>28</v>
      </c>
      <c r="E57" s="44" t="n">
        <v>43356</v>
      </c>
      <c r="F57" s="0" t="s">
        <v>42</v>
      </c>
      <c r="G57" s="0" t="n">
        <v>21337013</v>
      </c>
      <c r="H57" s="0" t="n">
        <v>720196</v>
      </c>
      <c r="I57" s="0" t="s">
        <v>34</v>
      </c>
      <c r="J57" s="0" t="s">
        <v>174</v>
      </c>
      <c r="K57" s="0" t="s">
        <v>62</v>
      </c>
      <c r="L57" s="0" t="n">
        <v>226887148</v>
      </c>
      <c r="M57" s="0" t="s">
        <v>262</v>
      </c>
      <c r="N57" s="0" t="n">
        <v>103235146</v>
      </c>
      <c r="O57" s="0" t="n">
        <v>5496.92</v>
      </c>
      <c r="P57" s="0" t="n">
        <v>78.43</v>
      </c>
      <c r="Q57" s="0" t="n">
        <f aca="false">IFERROR(VLOOKUP(B57,[2]'Cost Correction'!$D$2:$AJ$1627,33,0),"")</f>
        <v>103235146</v>
      </c>
    </row>
    <row r="58" customFormat="false" ht="15" hidden="true" customHeight="false" outlineLevel="0" collapsed="false">
      <c r="A58" s="0" t="str">
        <f aca="false">E58&amp;L58&amp;Q58</f>
        <v>43357223560299102854019</v>
      </c>
      <c r="B58" s="0" t="s">
        <v>293</v>
      </c>
      <c r="C58" s="0" t="s">
        <v>294</v>
      </c>
      <c r="D58" s="0" t="s">
        <v>28</v>
      </c>
      <c r="E58" s="44" t="n">
        <v>43357</v>
      </c>
      <c r="F58" s="0" t="s">
        <v>42</v>
      </c>
      <c r="G58" s="0" t="n">
        <v>21337013</v>
      </c>
      <c r="H58" s="0" t="n">
        <v>720196</v>
      </c>
      <c r="I58" s="0" t="s">
        <v>34</v>
      </c>
      <c r="J58" s="0" t="s">
        <v>174</v>
      </c>
      <c r="K58" s="0" t="s">
        <v>47</v>
      </c>
      <c r="L58" s="0" t="n">
        <v>223560299</v>
      </c>
      <c r="M58" s="0" t="s">
        <v>205</v>
      </c>
      <c r="N58" s="0" t="n">
        <v>102854019</v>
      </c>
      <c r="O58" s="0" t="n">
        <v>514.92</v>
      </c>
      <c r="P58" s="0" t="n">
        <v>13.4</v>
      </c>
      <c r="Q58" s="0" t="n">
        <f aca="false">IFERROR(VLOOKUP(B58,[2]'Cost Correction'!$D$2:$AJ$1627,33,0),"")</f>
        <v>102854019</v>
      </c>
    </row>
    <row r="59" customFormat="false" ht="15" hidden="true" customHeight="false" outlineLevel="0" collapsed="false">
      <c r="A59" s="0" t="str">
        <f aca="false">E59&amp;L59&amp;Q59</f>
        <v>43357223560332102854037</v>
      </c>
      <c r="B59" s="0" t="s">
        <v>295</v>
      </c>
      <c r="C59" s="0" t="s">
        <v>296</v>
      </c>
      <c r="D59" s="0" t="s">
        <v>28</v>
      </c>
      <c r="E59" s="44" t="n">
        <v>43357</v>
      </c>
      <c r="F59" s="0" t="s">
        <v>42</v>
      </c>
      <c r="G59" s="0" t="n">
        <v>21337013</v>
      </c>
      <c r="H59" s="0" t="n">
        <v>720196</v>
      </c>
      <c r="I59" s="0" t="s">
        <v>34</v>
      </c>
      <c r="J59" s="0" t="s">
        <v>174</v>
      </c>
      <c r="K59" s="0" t="s">
        <v>50</v>
      </c>
      <c r="L59" s="0" t="n">
        <v>223560332</v>
      </c>
      <c r="M59" s="0" t="s">
        <v>208</v>
      </c>
      <c r="N59" s="0" t="n">
        <v>102854037</v>
      </c>
      <c r="O59" s="0" t="n">
        <v>514.92</v>
      </c>
      <c r="P59" s="0" t="n">
        <v>13.4</v>
      </c>
      <c r="Q59" s="0" t="n">
        <f aca="false">IFERROR(VLOOKUP(B59,[2]'Cost Correction'!$D$2:$AJ$1627,33,0),"")</f>
        <v>102854037</v>
      </c>
    </row>
    <row r="60" customFormat="false" ht="15" hidden="true" customHeight="false" outlineLevel="0" collapsed="false">
      <c r="A60" s="0" t="str">
        <f aca="false">E60&amp;L60&amp;Q60</f>
        <v>43357223560338102853603</v>
      </c>
      <c r="B60" s="0" t="s">
        <v>297</v>
      </c>
      <c r="C60" s="0" t="s">
        <v>298</v>
      </c>
      <c r="D60" s="0" t="s">
        <v>28</v>
      </c>
      <c r="E60" s="44" t="n">
        <v>43357</v>
      </c>
      <c r="F60" s="0" t="s">
        <v>42</v>
      </c>
      <c r="G60" s="0" t="n">
        <v>21337013</v>
      </c>
      <c r="H60" s="0" t="n">
        <v>720196</v>
      </c>
      <c r="I60" s="0" t="s">
        <v>34</v>
      </c>
      <c r="J60" s="0" t="s">
        <v>174</v>
      </c>
      <c r="K60" s="0" t="s">
        <v>51</v>
      </c>
      <c r="L60" s="0" t="n">
        <v>223560338</v>
      </c>
      <c r="M60" s="0" t="s">
        <v>211</v>
      </c>
      <c r="N60" s="0" t="n">
        <v>102853603</v>
      </c>
      <c r="O60" s="0" t="n">
        <v>514.92</v>
      </c>
      <c r="P60" s="0" t="n">
        <v>13.4</v>
      </c>
      <c r="Q60" s="0" t="n">
        <f aca="false">IFERROR(VLOOKUP(B60,[2]'Cost Correction'!$D$2:$AJ$1627,33,0),"")</f>
        <v>102853603</v>
      </c>
    </row>
    <row r="61" customFormat="false" ht="15" hidden="true" customHeight="false" outlineLevel="0" collapsed="false">
      <c r="A61" s="0" t="str">
        <f aca="false">E61&amp;L61&amp;Q61</f>
        <v>43357223560344102861246</v>
      </c>
      <c r="B61" s="0" t="s">
        <v>299</v>
      </c>
      <c r="C61" s="0" t="s">
        <v>300</v>
      </c>
      <c r="D61" s="0" t="s">
        <v>28</v>
      </c>
      <c r="E61" s="44" t="n">
        <v>43357</v>
      </c>
      <c r="F61" s="0" t="s">
        <v>42</v>
      </c>
      <c r="G61" s="0" t="n">
        <v>21337013</v>
      </c>
      <c r="H61" s="0" t="n">
        <v>720196</v>
      </c>
      <c r="I61" s="0" t="s">
        <v>34</v>
      </c>
      <c r="J61" s="0" t="s">
        <v>174</v>
      </c>
      <c r="K61" s="0" t="s">
        <v>52</v>
      </c>
      <c r="L61" s="0" t="n">
        <v>223560344</v>
      </c>
      <c r="M61" s="0" t="s">
        <v>214</v>
      </c>
      <c r="N61" s="0" t="n">
        <v>102861246</v>
      </c>
      <c r="O61" s="0" t="n">
        <v>514.92</v>
      </c>
      <c r="P61" s="0" t="n">
        <v>13.4</v>
      </c>
      <c r="Q61" s="0" t="n">
        <f aca="false">IFERROR(VLOOKUP(B61,[2]'Cost Correction'!$D$2:$AJ$1627,33,0),"")</f>
        <v>102861246</v>
      </c>
    </row>
    <row r="62" customFormat="false" ht="15" hidden="true" customHeight="false" outlineLevel="0" collapsed="false">
      <c r="A62" s="0" t="str">
        <f aca="false">E62&amp;L62&amp;Q62</f>
        <v>43357223560356102854016</v>
      </c>
      <c r="B62" s="0" t="s">
        <v>301</v>
      </c>
      <c r="C62" s="0" t="s">
        <v>302</v>
      </c>
      <c r="D62" s="0" t="s">
        <v>28</v>
      </c>
      <c r="E62" s="44" t="n">
        <v>43357</v>
      </c>
      <c r="F62" s="0" t="s">
        <v>42</v>
      </c>
      <c r="G62" s="0" t="n">
        <v>21337013</v>
      </c>
      <c r="H62" s="0" t="n">
        <v>720196</v>
      </c>
      <c r="I62" s="0" t="s">
        <v>34</v>
      </c>
      <c r="J62" s="0" t="s">
        <v>174</v>
      </c>
      <c r="K62" s="0" t="s">
        <v>54</v>
      </c>
      <c r="L62" s="0" t="n">
        <v>223560356</v>
      </c>
      <c r="M62" s="0" t="s">
        <v>220</v>
      </c>
      <c r="N62" s="0" t="n">
        <v>102854016</v>
      </c>
      <c r="O62" s="0" t="n">
        <v>514.92</v>
      </c>
      <c r="P62" s="0" t="n">
        <v>13.4</v>
      </c>
      <c r="Q62" s="0" t="n">
        <f aca="false">IFERROR(VLOOKUP(B62,[2]'Cost Correction'!$D$2:$AJ$1627,33,0),"")</f>
        <v>102854016</v>
      </c>
    </row>
    <row r="63" customFormat="false" ht="15" hidden="true" customHeight="false" outlineLevel="0" collapsed="false">
      <c r="A63" s="0" t="str">
        <f aca="false">E63&amp;L63&amp;Q63</f>
        <v>43357224334170103235146</v>
      </c>
      <c r="B63" s="0" t="s">
        <v>303</v>
      </c>
      <c r="C63" s="0" t="s">
        <v>304</v>
      </c>
      <c r="D63" s="0" t="s">
        <v>28</v>
      </c>
      <c r="E63" s="44" t="n">
        <v>43357</v>
      </c>
      <c r="F63" s="0" t="s">
        <v>42</v>
      </c>
      <c r="G63" s="0" t="n">
        <v>21337013</v>
      </c>
      <c r="H63" s="0" t="n">
        <v>720196</v>
      </c>
      <c r="I63" s="0" t="s">
        <v>34</v>
      </c>
      <c r="J63" s="0" t="s">
        <v>174</v>
      </c>
      <c r="K63" s="0" t="s">
        <v>56</v>
      </c>
      <c r="L63" s="0" t="n">
        <v>224334170</v>
      </c>
      <c r="M63" s="0" t="s">
        <v>223</v>
      </c>
      <c r="N63" s="0" t="n">
        <v>103230847</v>
      </c>
      <c r="O63" s="0" t="n">
        <v>5496.92</v>
      </c>
      <c r="P63" s="0" t="n">
        <v>78.43</v>
      </c>
      <c r="Q63" s="0" t="n">
        <f aca="false">IFERROR(VLOOKUP(B63,[2]'Cost Correction'!$D$2:$AJ$1627,33,0),"")</f>
        <v>103235146</v>
      </c>
    </row>
    <row r="64" customFormat="false" ht="15" hidden="true" customHeight="false" outlineLevel="0" collapsed="false">
      <c r="A64" s="0" t="str">
        <f aca="false">E64&amp;L64&amp;Q64</f>
        <v>43357224399962103235146</v>
      </c>
      <c r="B64" s="0" t="s">
        <v>305</v>
      </c>
      <c r="C64" s="0" t="s">
        <v>306</v>
      </c>
      <c r="D64" s="0" t="s">
        <v>28</v>
      </c>
      <c r="E64" s="44" t="n">
        <v>43357</v>
      </c>
      <c r="F64" s="0" t="s">
        <v>42</v>
      </c>
      <c r="G64" s="0" t="n">
        <v>21337013</v>
      </c>
      <c r="H64" s="0" t="n">
        <v>720196</v>
      </c>
      <c r="I64" s="0" t="s">
        <v>34</v>
      </c>
      <c r="J64" s="0" t="s">
        <v>174</v>
      </c>
      <c r="K64" s="0" t="s">
        <v>57</v>
      </c>
      <c r="L64" s="0" t="n">
        <v>224399962</v>
      </c>
      <c r="M64" s="0" t="s">
        <v>223</v>
      </c>
      <c r="N64" s="0" t="n">
        <v>103230847</v>
      </c>
      <c r="O64" s="0" t="n">
        <v>10993.84</v>
      </c>
      <c r="P64" s="0" t="n">
        <v>156.86</v>
      </c>
      <c r="Q64" s="0" t="n">
        <f aca="false">IFERROR(VLOOKUP(B64,[2]'Cost Correction'!$D$2:$AJ$1627,33,0),"")</f>
        <v>103235146</v>
      </c>
    </row>
    <row r="65" customFormat="false" ht="15" hidden="true" customHeight="false" outlineLevel="0" collapsed="false">
      <c r="A65" s="0" t="str">
        <f aca="false">E65&amp;L65&amp;Q65</f>
        <v>43358223560299102854019</v>
      </c>
      <c r="B65" s="0" t="s">
        <v>307</v>
      </c>
      <c r="C65" s="0" t="s">
        <v>308</v>
      </c>
      <c r="D65" s="0" t="s">
        <v>28</v>
      </c>
      <c r="E65" s="44" t="n">
        <v>43358</v>
      </c>
      <c r="F65" s="0" t="s">
        <v>42</v>
      </c>
      <c r="G65" s="0" t="n">
        <v>21337013</v>
      </c>
      <c r="H65" s="0" t="n">
        <v>720196</v>
      </c>
      <c r="I65" s="0" t="s">
        <v>34</v>
      </c>
      <c r="J65" s="0" t="s">
        <v>174</v>
      </c>
      <c r="K65" s="0" t="s">
        <v>47</v>
      </c>
      <c r="L65" s="0" t="n">
        <v>223560299</v>
      </c>
      <c r="M65" s="0" t="s">
        <v>205</v>
      </c>
      <c r="N65" s="0" t="n">
        <v>102854019</v>
      </c>
      <c r="O65" s="0" t="n">
        <v>514.92</v>
      </c>
      <c r="P65" s="0" t="n">
        <v>13.4</v>
      </c>
      <c r="Q65" s="0" t="n">
        <f aca="false">IFERROR(VLOOKUP(B65,[2]'Cost Correction'!$D$2:$AJ$1627,33,0),"")</f>
        <v>102854019</v>
      </c>
    </row>
    <row r="66" customFormat="false" ht="15" hidden="true" customHeight="false" outlineLevel="0" collapsed="false">
      <c r="A66" s="0" t="str">
        <f aca="false">E66&amp;L66&amp;Q66</f>
        <v>43358223560332102854037</v>
      </c>
      <c r="B66" s="0" t="s">
        <v>309</v>
      </c>
      <c r="C66" s="0" t="s">
        <v>310</v>
      </c>
      <c r="D66" s="0" t="s">
        <v>28</v>
      </c>
      <c r="E66" s="44" t="n">
        <v>43358</v>
      </c>
      <c r="F66" s="0" t="s">
        <v>42</v>
      </c>
      <c r="G66" s="0" t="n">
        <v>21337013</v>
      </c>
      <c r="H66" s="0" t="n">
        <v>720196</v>
      </c>
      <c r="I66" s="0" t="s">
        <v>34</v>
      </c>
      <c r="J66" s="0" t="s">
        <v>174</v>
      </c>
      <c r="K66" s="0" t="s">
        <v>50</v>
      </c>
      <c r="L66" s="0" t="n">
        <v>223560332</v>
      </c>
      <c r="M66" s="0" t="s">
        <v>208</v>
      </c>
      <c r="N66" s="0" t="n">
        <v>102854037</v>
      </c>
      <c r="O66" s="0" t="n">
        <v>514.92</v>
      </c>
      <c r="P66" s="0" t="n">
        <v>13.4</v>
      </c>
      <c r="Q66" s="0" t="n">
        <f aca="false">IFERROR(VLOOKUP(B66,[2]'Cost Correction'!$D$2:$AJ$1627,33,0),"")</f>
        <v>102854037</v>
      </c>
    </row>
    <row r="67" customFormat="false" ht="15" hidden="true" customHeight="false" outlineLevel="0" collapsed="false">
      <c r="A67" s="0" t="str">
        <f aca="false">E67&amp;L67&amp;Q67</f>
        <v>43358223560338102853603</v>
      </c>
      <c r="B67" s="0" t="s">
        <v>311</v>
      </c>
      <c r="C67" s="0" t="s">
        <v>312</v>
      </c>
      <c r="D67" s="0" t="s">
        <v>28</v>
      </c>
      <c r="E67" s="44" t="n">
        <v>43358</v>
      </c>
      <c r="F67" s="0" t="s">
        <v>42</v>
      </c>
      <c r="G67" s="0" t="n">
        <v>21337013</v>
      </c>
      <c r="H67" s="0" t="n">
        <v>720196</v>
      </c>
      <c r="I67" s="0" t="s">
        <v>34</v>
      </c>
      <c r="J67" s="0" t="s">
        <v>174</v>
      </c>
      <c r="K67" s="0" t="s">
        <v>51</v>
      </c>
      <c r="L67" s="0" t="n">
        <v>223560338</v>
      </c>
      <c r="M67" s="0" t="s">
        <v>211</v>
      </c>
      <c r="N67" s="0" t="n">
        <v>102853603</v>
      </c>
      <c r="O67" s="0" t="n">
        <v>514.92</v>
      </c>
      <c r="P67" s="0" t="n">
        <v>13.4</v>
      </c>
      <c r="Q67" s="0" t="n">
        <f aca="false">IFERROR(VLOOKUP(B67,[2]'Cost Correction'!$D$2:$AJ$1627,33,0),"")</f>
        <v>102853603</v>
      </c>
    </row>
    <row r="68" customFormat="false" ht="15" hidden="true" customHeight="false" outlineLevel="0" collapsed="false">
      <c r="A68" s="0" t="str">
        <f aca="false">E68&amp;L68&amp;Q68</f>
        <v>43358223560344102861246</v>
      </c>
      <c r="B68" s="0" t="s">
        <v>313</v>
      </c>
      <c r="C68" s="0" t="s">
        <v>314</v>
      </c>
      <c r="D68" s="0" t="s">
        <v>28</v>
      </c>
      <c r="E68" s="44" t="n">
        <v>43358</v>
      </c>
      <c r="F68" s="0" t="s">
        <v>42</v>
      </c>
      <c r="G68" s="0" t="n">
        <v>21337013</v>
      </c>
      <c r="H68" s="0" t="n">
        <v>720196</v>
      </c>
      <c r="I68" s="0" t="s">
        <v>34</v>
      </c>
      <c r="J68" s="0" t="s">
        <v>174</v>
      </c>
      <c r="K68" s="0" t="s">
        <v>52</v>
      </c>
      <c r="L68" s="0" t="n">
        <v>223560344</v>
      </c>
      <c r="M68" s="0" t="s">
        <v>214</v>
      </c>
      <c r="N68" s="0" t="n">
        <v>102861246</v>
      </c>
      <c r="O68" s="0" t="n">
        <v>514.92</v>
      </c>
      <c r="P68" s="0" t="n">
        <v>13.4</v>
      </c>
      <c r="Q68" s="0" t="n">
        <f aca="false">IFERROR(VLOOKUP(B68,[2]'Cost Correction'!$D$2:$AJ$1627,33,0),"")</f>
        <v>102861246</v>
      </c>
    </row>
    <row r="69" customFormat="false" ht="15" hidden="true" customHeight="false" outlineLevel="0" collapsed="false">
      <c r="A69" s="0" t="str">
        <f aca="false">E69&amp;L69&amp;Q69</f>
        <v>43358223560347102857037</v>
      </c>
      <c r="B69" s="0" t="s">
        <v>315</v>
      </c>
      <c r="C69" s="0" t="s">
        <v>316</v>
      </c>
      <c r="D69" s="0" t="s">
        <v>28</v>
      </c>
      <c r="E69" s="44" t="n">
        <v>43358</v>
      </c>
      <c r="F69" s="0" t="s">
        <v>42</v>
      </c>
      <c r="G69" s="0" t="n">
        <v>21337013</v>
      </c>
      <c r="H69" s="0" t="n">
        <v>720196</v>
      </c>
      <c r="I69" s="0" t="s">
        <v>34</v>
      </c>
      <c r="J69" s="0" t="s">
        <v>174</v>
      </c>
      <c r="K69" s="0" t="s">
        <v>63</v>
      </c>
      <c r="L69" s="0" t="n">
        <v>223560347</v>
      </c>
      <c r="M69" s="0" t="s">
        <v>317</v>
      </c>
      <c r="N69" s="0" t="n">
        <v>102857037</v>
      </c>
      <c r="O69" s="0" t="n">
        <v>5496.92</v>
      </c>
      <c r="P69" s="0" t="n">
        <v>78.43</v>
      </c>
      <c r="Q69" s="0" t="n">
        <f aca="false">IFERROR(VLOOKUP(B69,[2]'Cost Correction'!$D$2:$AJ$1627,33,0),"")</f>
        <v>102857037</v>
      </c>
    </row>
    <row r="70" customFormat="false" ht="15" hidden="true" customHeight="false" outlineLevel="0" collapsed="false">
      <c r="A70" s="0" t="str">
        <f aca="false">E70&amp;L70&amp;Q70</f>
        <v>43358223560350103006547</v>
      </c>
      <c r="B70" s="0" t="s">
        <v>318</v>
      </c>
      <c r="C70" s="0" t="s">
        <v>319</v>
      </c>
      <c r="D70" s="0" t="s">
        <v>28</v>
      </c>
      <c r="E70" s="44" t="n">
        <v>43358</v>
      </c>
      <c r="F70" s="0" t="s">
        <v>42</v>
      </c>
      <c r="G70" s="0" t="n">
        <v>21337013</v>
      </c>
      <c r="H70" s="0" t="n">
        <v>720196</v>
      </c>
      <c r="I70" s="0" t="s">
        <v>34</v>
      </c>
      <c r="J70" s="0" t="s">
        <v>174</v>
      </c>
      <c r="K70" s="0" t="s">
        <v>53</v>
      </c>
      <c r="L70" s="0" t="n">
        <v>223560350</v>
      </c>
      <c r="M70" s="0" t="s">
        <v>217</v>
      </c>
      <c r="N70" s="0" t="n">
        <v>103006547</v>
      </c>
      <c r="O70" s="0" t="n">
        <v>514.92</v>
      </c>
      <c r="P70" s="0" t="n">
        <v>13.4</v>
      </c>
      <c r="Q70" s="0" t="n">
        <f aca="false">IFERROR(VLOOKUP(B70,[2]'Cost Correction'!$D$2:$AJ$1627,33,0),"")</f>
        <v>103006547</v>
      </c>
    </row>
    <row r="71" customFormat="false" ht="15" hidden="true" customHeight="false" outlineLevel="0" collapsed="false">
      <c r="A71" s="0" t="str">
        <f aca="false">E71&amp;L71&amp;Q71</f>
        <v>43358223560356102854016</v>
      </c>
      <c r="B71" s="0" t="s">
        <v>320</v>
      </c>
      <c r="C71" s="0" t="s">
        <v>321</v>
      </c>
      <c r="D71" s="0" t="s">
        <v>28</v>
      </c>
      <c r="E71" s="44" t="n">
        <v>43358</v>
      </c>
      <c r="F71" s="0" t="s">
        <v>42</v>
      </c>
      <c r="G71" s="0" t="n">
        <v>21337013</v>
      </c>
      <c r="H71" s="0" t="n">
        <v>720196</v>
      </c>
      <c r="I71" s="0" t="s">
        <v>34</v>
      </c>
      <c r="J71" s="0" t="s">
        <v>174</v>
      </c>
      <c r="K71" s="0" t="s">
        <v>54</v>
      </c>
      <c r="L71" s="0" t="n">
        <v>223560356</v>
      </c>
      <c r="M71" s="0" t="s">
        <v>220</v>
      </c>
      <c r="N71" s="0" t="n">
        <v>102854016</v>
      </c>
      <c r="O71" s="0" t="n">
        <v>514.92</v>
      </c>
      <c r="P71" s="0" t="n">
        <v>13.4</v>
      </c>
      <c r="Q71" s="0" t="n">
        <f aca="false">IFERROR(VLOOKUP(B71,[2]'Cost Correction'!$D$2:$AJ$1627,33,0),"")</f>
        <v>102854016</v>
      </c>
    </row>
    <row r="72" customFormat="false" ht="15" hidden="true" customHeight="false" outlineLevel="0" collapsed="false">
      <c r="A72" s="0" t="str">
        <f aca="false">E72&amp;L72&amp;Q72</f>
        <v>43358224334170103235146</v>
      </c>
      <c r="B72" s="0" t="s">
        <v>322</v>
      </c>
      <c r="C72" s="0" t="s">
        <v>323</v>
      </c>
      <c r="D72" s="0" t="s">
        <v>28</v>
      </c>
      <c r="E72" s="44" t="n">
        <v>43358</v>
      </c>
      <c r="F72" s="0" t="s">
        <v>42</v>
      </c>
      <c r="G72" s="0" t="n">
        <v>21337013</v>
      </c>
      <c r="H72" s="0" t="n">
        <v>720196</v>
      </c>
      <c r="I72" s="0" t="s">
        <v>34</v>
      </c>
      <c r="J72" s="0" t="s">
        <v>174</v>
      </c>
      <c r="K72" s="0" t="s">
        <v>56</v>
      </c>
      <c r="L72" s="0" t="n">
        <v>224334170</v>
      </c>
      <c r="M72" s="0" t="s">
        <v>223</v>
      </c>
      <c r="N72" s="0" t="n">
        <v>103230847</v>
      </c>
      <c r="O72" s="0" t="n">
        <v>10993.84</v>
      </c>
      <c r="P72" s="0" t="n">
        <v>156.86</v>
      </c>
      <c r="Q72" s="0" t="n">
        <f aca="false">IFERROR(VLOOKUP(B72,[2]'Cost Correction'!$D$2:$AJ$1627,33,0),"")</f>
        <v>103235146</v>
      </c>
    </row>
    <row r="73" customFormat="false" ht="15" hidden="true" customHeight="false" outlineLevel="0" collapsed="false">
      <c r="A73" s="0" t="str">
        <f aca="false">E73&amp;L73&amp;Q73</f>
        <v>43358224399962103235146</v>
      </c>
      <c r="B73" s="0" t="s">
        <v>324</v>
      </c>
      <c r="C73" s="0" t="s">
        <v>325</v>
      </c>
      <c r="D73" s="0" t="s">
        <v>28</v>
      </c>
      <c r="E73" s="44" t="n">
        <v>43358</v>
      </c>
      <c r="F73" s="0" t="s">
        <v>42</v>
      </c>
      <c r="G73" s="0" t="n">
        <v>21337013</v>
      </c>
      <c r="H73" s="0" t="n">
        <v>720196</v>
      </c>
      <c r="I73" s="0" t="s">
        <v>34</v>
      </c>
      <c r="J73" s="0" t="s">
        <v>174</v>
      </c>
      <c r="K73" s="0" t="s">
        <v>57</v>
      </c>
      <c r="L73" s="0" t="n">
        <v>224399962</v>
      </c>
      <c r="M73" s="0" t="s">
        <v>223</v>
      </c>
      <c r="N73" s="0" t="n">
        <v>103230847</v>
      </c>
      <c r="O73" s="0" t="n">
        <v>5496.92</v>
      </c>
      <c r="P73" s="0" t="n">
        <v>78.43</v>
      </c>
      <c r="Q73" s="0" t="n">
        <f aca="false">IFERROR(VLOOKUP(B73,[2]'Cost Correction'!$D$2:$AJ$1627,33,0),"")</f>
        <v>103235146</v>
      </c>
    </row>
    <row r="74" customFormat="false" ht="15" hidden="true" customHeight="false" outlineLevel="0" collapsed="false">
      <c r="A74" s="0" t="str">
        <f aca="false">E74&amp;L74&amp;Q74</f>
        <v>43358224549481103235146</v>
      </c>
      <c r="B74" s="0" t="s">
        <v>326</v>
      </c>
      <c r="C74" s="0" t="s">
        <v>327</v>
      </c>
      <c r="D74" s="0" t="s">
        <v>28</v>
      </c>
      <c r="E74" s="44" t="n">
        <v>43358</v>
      </c>
      <c r="F74" s="0" t="s">
        <v>42</v>
      </c>
      <c r="G74" s="0" t="n">
        <v>21337013</v>
      </c>
      <c r="H74" s="0" t="n">
        <v>720196</v>
      </c>
      <c r="I74" s="0" t="s">
        <v>34</v>
      </c>
      <c r="J74" s="0" t="s">
        <v>174</v>
      </c>
      <c r="K74" s="0" t="s">
        <v>58</v>
      </c>
      <c r="L74" s="0" t="n">
        <v>224549481</v>
      </c>
      <c r="M74" s="0" t="s">
        <v>223</v>
      </c>
      <c r="N74" s="0" t="n">
        <v>103230847</v>
      </c>
      <c r="O74" s="0" t="n">
        <v>5496.92</v>
      </c>
      <c r="P74" s="0" t="n">
        <v>78.43</v>
      </c>
      <c r="Q74" s="0" t="n">
        <f aca="false">IFERROR(VLOOKUP(B74,[2]'Cost Correction'!$D$2:$AJ$1627,33,0),"")</f>
        <v>103235146</v>
      </c>
    </row>
    <row r="75" customFormat="false" ht="15" hidden="false" customHeight="false" outlineLevel="0" collapsed="false">
      <c r="A75" s="0" t="str">
        <f aca="false">E75&amp;L75&amp;Q75</f>
        <v>43358227618695</v>
      </c>
      <c r="B75" s="0" t="s">
        <v>328</v>
      </c>
      <c r="C75" s="0" t="s">
        <v>329</v>
      </c>
      <c r="D75" s="0" t="s">
        <v>28</v>
      </c>
      <c r="E75" s="44" t="n">
        <v>43358</v>
      </c>
      <c r="F75" s="0" t="s">
        <v>64</v>
      </c>
      <c r="G75" s="0" t="n">
        <v>21337220</v>
      </c>
      <c r="H75" s="0" t="n">
        <v>720192</v>
      </c>
      <c r="I75" s="0" t="s">
        <v>34</v>
      </c>
      <c r="J75" s="0" t="s">
        <v>174</v>
      </c>
      <c r="K75" s="0" t="s">
        <v>67</v>
      </c>
      <c r="L75" s="0" t="n">
        <v>227618695</v>
      </c>
      <c r="M75" s="0" t="s">
        <v>330</v>
      </c>
      <c r="N75" s="0" t="n">
        <v>105127638</v>
      </c>
      <c r="O75" s="0" t="n">
        <v>316</v>
      </c>
      <c r="P75" s="0" t="n">
        <v>6.49</v>
      </c>
      <c r="Q75" s="0" t="str">
        <f aca="false">IFERROR(VLOOKUP(B75,[2]'Cost Correction'!$D$2:$AJ$1627,33,0),"")</f>
        <v/>
      </c>
    </row>
    <row r="76" customFormat="false" ht="15" hidden="true" customHeight="false" outlineLevel="0" collapsed="false">
      <c r="A76" s="0" t="str">
        <f aca="false">E76&amp;L76&amp;Q76</f>
        <v>43358223691798102916347</v>
      </c>
      <c r="B76" s="0" t="s">
        <v>331</v>
      </c>
      <c r="C76" s="0" t="s">
        <v>332</v>
      </c>
      <c r="D76" s="0" t="s">
        <v>28</v>
      </c>
      <c r="E76" s="44" t="n">
        <v>43358</v>
      </c>
      <c r="F76" s="0" t="s">
        <v>64</v>
      </c>
      <c r="G76" s="0" t="n">
        <v>21337220</v>
      </c>
      <c r="H76" s="0" t="n">
        <v>720192</v>
      </c>
      <c r="I76" s="0" t="s">
        <v>34</v>
      </c>
      <c r="J76" s="0" t="s">
        <v>174</v>
      </c>
      <c r="K76" s="0" t="s">
        <v>69</v>
      </c>
      <c r="L76" s="0" t="n">
        <v>223691798</v>
      </c>
      <c r="M76" s="0" t="s">
        <v>333</v>
      </c>
      <c r="N76" s="0" t="n">
        <v>102916347</v>
      </c>
      <c r="O76" s="0" t="n">
        <v>1898</v>
      </c>
      <c r="P76" s="0" t="n">
        <v>39.8</v>
      </c>
      <c r="Q76" s="0" t="n">
        <f aca="false">IFERROR(VLOOKUP(B76,[2]'Cost Correction'!$D$2:$AJ$1627,33,0),"")</f>
        <v>102916347</v>
      </c>
    </row>
    <row r="77" customFormat="false" ht="15" hidden="true" customHeight="false" outlineLevel="0" collapsed="false">
      <c r="A77" s="0" t="str">
        <f aca="false">E77&amp;L77&amp;Q77</f>
        <v>43358223691831102913800</v>
      </c>
      <c r="B77" s="0" t="s">
        <v>334</v>
      </c>
      <c r="C77" s="0" t="s">
        <v>335</v>
      </c>
      <c r="D77" s="0" t="s">
        <v>28</v>
      </c>
      <c r="E77" s="44" t="n">
        <v>43358</v>
      </c>
      <c r="F77" s="0" t="s">
        <v>64</v>
      </c>
      <c r="G77" s="0" t="n">
        <v>21337220</v>
      </c>
      <c r="H77" s="0" t="n">
        <v>720192</v>
      </c>
      <c r="I77" s="0" t="s">
        <v>34</v>
      </c>
      <c r="J77" s="0" t="s">
        <v>174</v>
      </c>
      <c r="K77" s="0" t="s">
        <v>70</v>
      </c>
      <c r="L77" s="0" t="n">
        <v>223691831</v>
      </c>
      <c r="M77" s="0" t="s">
        <v>336</v>
      </c>
      <c r="N77" s="0" t="n">
        <v>102913800</v>
      </c>
      <c r="O77" s="0" t="n">
        <v>4056</v>
      </c>
      <c r="P77" s="0" t="n">
        <v>107.48</v>
      </c>
      <c r="Q77" s="0" t="n">
        <f aca="false">IFERROR(VLOOKUP(B77,[2]'Cost Correction'!$D$2:$AJ$1627,33,0),"")</f>
        <v>102913800</v>
      </c>
    </row>
    <row r="78" customFormat="false" ht="15" hidden="false" customHeight="false" outlineLevel="0" collapsed="false">
      <c r="A78" s="0" t="str">
        <f aca="false">E78&amp;L78&amp;Q78</f>
        <v>43358225322324</v>
      </c>
      <c r="B78" s="0" t="s">
        <v>337</v>
      </c>
      <c r="C78" s="0" t="s">
        <v>338</v>
      </c>
      <c r="D78" s="0" t="s">
        <v>28</v>
      </c>
      <c r="E78" s="44" t="n">
        <v>43358</v>
      </c>
      <c r="F78" s="0" t="s">
        <v>64</v>
      </c>
      <c r="G78" s="0" t="n">
        <v>21337220</v>
      </c>
      <c r="H78" s="0" t="n">
        <v>720192</v>
      </c>
      <c r="I78" s="0" t="s">
        <v>34</v>
      </c>
      <c r="J78" s="0" t="s">
        <v>174</v>
      </c>
      <c r="K78" s="0" t="s">
        <v>71</v>
      </c>
      <c r="L78" s="0" t="n">
        <v>225322324</v>
      </c>
      <c r="M78" s="0" t="s">
        <v>339</v>
      </c>
      <c r="N78" s="0" t="n">
        <v>103789915</v>
      </c>
      <c r="O78" s="0" t="n">
        <v>268</v>
      </c>
      <c r="P78" s="0" t="n">
        <v>6.52</v>
      </c>
      <c r="Q78" s="0" t="str">
        <f aca="false">IFERROR(VLOOKUP(B78,[2]'Cost Correction'!$D$2:$AJ$1627,33,0),"")</f>
        <v/>
      </c>
    </row>
    <row r="79" customFormat="false" ht="15" hidden="false" customHeight="false" outlineLevel="0" collapsed="false">
      <c r="A79" s="0" t="str">
        <f aca="false">E79&amp;L79&amp;Q79</f>
        <v>43358223691777</v>
      </c>
      <c r="B79" s="0" t="s">
        <v>340</v>
      </c>
      <c r="C79" s="0" t="s">
        <v>341</v>
      </c>
      <c r="D79" s="0" t="s">
        <v>28</v>
      </c>
      <c r="E79" s="44" t="n">
        <v>43358</v>
      </c>
      <c r="F79" s="0" t="s">
        <v>64</v>
      </c>
      <c r="G79" s="0" t="n">
        <v>21337220</v>
      </c>
      <c r="H79" s="0" t="n">
        <v>720192</v>
      </c>
      <c r="I79" s="0" t="s">
        <v>34</v>
      </c>
      <c r="J79" s="0" t="s">
        <v>174</v>
      </c>
      <c r="K79" s="0" t="s">
        <v>72</v>
      </c>
      <c r="L79" s="0" t="n">
        <v>223691777</v>
      </c>
      <c r="M79" s="0" t="s">
        <v>342</v>
      </c>
      <c r="N79" s="0" t="n">
        <v>102900697</v>
      </c>
      <c r="O79" s="0" t="n">
        <v>562</v>
      </c>
      <c r="P79" s="0" t="n">
        <v>18.67</v>
      </c>
      <c r="Q79" s="0" t="str">
        <f aca="false">IFERROR(VLOOKUP(B79,[2]'Cost Correction'!$D$2:$AJ$1627,33,0),"")</f>
        <v/>
      </c>
    </row>
    <row r="80" customFormat="false" ht="15" hidden="true" customHeight="false" outlineLevel="0" collapsed="false">
      <c r="A80" s="0" t="str">
        <f aca="false">E80&amp;L80&amp;Q80</f>
        <v>43358223691792102901894</v>
      </c>
      <c r="B80" s="0" t="s">
        <v>343</v>
      </c>
      <c r="C80" s="0" t="s">
        <v>344</v>
      </c>
      <c r="D80" s="0" t="s">
        <v>28</v>
      </c>
      <c r="E80" s="44" t="n">
        <v>43358</v>
      </c>
      <c r="F80" s="0" t="s">
        <v>64</v>
      </c>
      <c r="G80" s="0" t="n">
        <v>21337220</v>
      </c>
      <c r="H80" s="0" t="n">
        <v>720192</v>
      </c>
      <c r="I80" s="0" t="s">
        <v>34</v>
      </c>
      <c r="J80" s="0" t="s">
        <v>174</v>
      </c>
      <c r="K80" s="0" t="s">
        <v>73</v>
      </c>
      <c r="L80" s="0" t="n">
        <v>223691792</v>
      </c>
      <c r="M80" s="0" t="s">
        <v>345</v>
      </c>
      <c r="N80" s="0" t="n">
        <v>102901894</v>
      </c>
      <c r="O80" s="0" t="n">
        <v>723</v>
      </c>
      <c r="P80" s="0" t="n">
        <v>15.21</v>
      </c>
      <c r="Q80" s="0" t="n">
        <f aca="false">IFERROR(VLOOKUP(B80,[2]'Cost Correction'!$D$2:$AJ$1627,33,0),"")</f>
        <v>102901894</v>
      </c>
    </row>
    <row r="81" customFormat="false" ht="15" hidden="true" customHeight="false" outlineLevel="0" collapsed="false">
      <c r="A81" s="0" t="str">
        <f aca="false">E81&amp;L81&amp;Q81</f>
        <v>43358223691789102900691</v>
      </c>
      <c r="B81" s="0" t="s">
        <v>346</v>
      </c>
      <c r="C81" s="0" t="s">
        <v>347</v>
      </c>
      <c r="D81" s="0" t="s">
        <v>28</v>
      </c>
      <c r="E81" s="44" t="n">
        <v>43358</v>
      </c>
      <c r="F81" s="0" t="s">
        <v>64</v>
      </c>
      <c r="G81" s="0" t="n">
        <v>21337220</v>
      </c>
      <c r="H81" s="0" t="n">
        <v>720192</v>
      </c>
      <c r="I81" s="0" t="s">
        <v>34</v>
      </c>
      <c r="J81" s="0" t="s">
        <v>174</v>
      </c>
      <c r="K81" s="0" t="s">
        <v>74</v>
      </c>
      <c r="L81" s="0" t="n">
        <v>223691789</v>
      </c>
      <c r="M81" s="0" t="s">
        <v>348</v>
      </c>
      <c r="N81" s="0" t="n">
        <v>102900691</v>
      </c>
      <c r="O81" s="0" t="n">
        <v>869</v>
      </c>
      <c r="P81" s="0" t="n">
        <v>30.6</v>
      </c>
      <c r="Q81" s="0" t="n">
        <f aca="false">IFERROR(VLOOKUP(B81,[2]'Cost Correction'!$D$2:$AJ$1627,33,0),"")</f>
        <v>102900691</v>
      </c>
    </row>
    <row r="82" customFormat="false" ht="15" hidden="true" customHeight="false" outlineLevel="0" collapsed="false">
      <c r="A82" s="0" t="str">
        <f aca="false">E82&amp;L82&amp;Q82</f>
        <v>43358223691780103058726</v>
      </c>
      <c r="B82" s="0" t="s">
        <v>349</v>
      </c>
      <c r="C82" s="0" t="s">
        <v>350</v>
      </c>
      <c r="D82" s="0" t="s">
        <v>28</v>
      </c>
      <c r="E82" s="44" t="n">
        <v>43358</v>
      </c>
      <c r="F82" s="0" t="s">
        <v>64</v>
      </c>
      <c r="G82" s="0" t="n">
        <v>21337220</v>
      </c>
      <c r="H82" s="0" t="n">
        <v>720192</v>
      </c>
      <c r="I82" s="0" t="s">
        <v>34</v>
      </c>
      <c r="J82" s="0" t="s">
        <v>174</v>
      </c>
      <c r="K82" s="0" t="s">
        <v>75</v>
      </c>
      <c r="L82" s="0" t="n">
        <v>223691780</v>
      </c>
      <c r="M82" s="0" t="s">
        <v>351</v>
      </c>
      <c r="N82" s="0" t="n">
        <v>103058726</v>
      </c>
      <c r="O82" s="0" t="n">
        <v>561</v>
      </c>
      <c r="P82" s="0" t="n">
        <v>23.16</v>
      </c>
      <c r="Q82" s="0" t="n">
        <f aca="false">IFERROR(VLOOKUP(B82,[2]'Cost Correction'!$D$2:$AJ$1627,33,0),"")</f>
        <v>103058726</v>
      </c>
    </row>
    <row r="83" customFormat="false" ht="15" hidden="false" customHeight="false" outlineLevel="0" collapsed="false">
      <c r="A83" s="0" t="str">
        <f aca="false">E83&amp;L83&amp;Q83</f>
        <v>43358223691783</v>
      </c>
      <c r="B83" s="0" t="s">
        <v>352</v>
      </c>
      <c r="C83" s="0" t="s">
        <v>353</v>
      </c>
      <c r="D83" s="0" t="s">
        <v>28</v>
      </c>
      <c r="E83" s="44" t="n">
        <v>43358</v>
      </c>
      <c r="F83" s="0" t="s">
        <v>64</v>
      </c>
      <c r="G83" s="0" t="n">
        <v>21337220</v>
      </c>
      <c r="H83" s="0" t="n">
        <v>720192</v>
      </c>
      <c r="I83" s="0" t="s">
        <v>34</v>
      </c>
      <c r="J83" s="0" t="s">
        <v>174</v>
      </c>
      <c r="K83" s="0" t="s">
        <v>76</v>
      </c>
      <c r="L83" s="0" t="n">
        <v>223691783</v>
      </c>
      <c r="M83" s="0" t="s">
        <v>354</v>
      </c>
      <c r="N83" s="0" t="n">
        <v>103058723</v>
      </c>
      <c r="O83" s="0" t="n">
        <v>231</v>
      </c>
      <c r="P83" s="0" t="n">
        <v>9.67</v>
      </c>
      <c r="Q83" s="0" t="str">
        <f aca="false">IFERROR(VLOOKUP(B83,[2]'Cost Correction'!$D$2:$AJ$1627,33,0),"")</f>
        <v/>
      </c>
    </row>
    <row r="84" customFormat="false" ht="15" hidden="true" customHeight="false" outlineLevel="0" collapsed="false">
      <c r="A84" s="0" t="str">
        <f aca="false">E84&amp;L84&amp;Q84</f>
        <v>43358223691840102902950</v>
      </c>
      <c r="B84" s="0" t="s">
        <v>355</v>
      </c>
      <c r="C84" s="0" t="s">
        <v>356</v>
      </c>
      <c r="D84" s="0" t="s">
        <v>28</v>
      </c>
      <c r="E84" s="44" t="n">
        <v>43358</v>
      </c>
      <c r="F84" s="0" t="s">
        <v>64</v>
      </c>
      <c r="G84" s="0" t="n">
        <v>21337220</v>
      </c>
      <c r="H84" s="0" t="n">
        <v>720192</v>
      </c>
      <c r="I84" s="0" t="s">
        <v>34</v>
      </c>
      <c r="J84" s="0" t="s">
        <v>174</v>
      </c>
      <c r="K84" s="0" t="s">
        <v>77</v>
      </c>
      <c r="L84" s="0" t="n">
        <v>223691840</v>
      </c>
      <c r="M84" s="0" t="s">
        <v>357</v>
      </c>
      <c r="N84" s="0" t="n">
        <v>102902950</v>
      </c>
      <c r="O84" s="0" t="n">
        <v>2512</v>
      </c>
      <c r="P84" s="0" t="n">
        <v>48.06</v>
      </c>
      <c r="Q84" s="0" t="n">
        <f aca="false">IFERROR(VLOOKUP(B84,[2]'Cost Correction'!$D$2:$AJ$1627,33,0),"")</f>
        <v>102902950</v>
      </c>
    </row>
    <row r="85" customFormat="false" ht="15" hidden="false" customHeight="false" outlineLevel="0" collapsed="false">
      <c r="A85" s="0" t="str">
        <f aca="false">E85&amp;L85&amp;Q85</f>
        <v>43358227522771</v>
      </c>
      <c r="B85" s="0" t="s">
        <v>358</v>
      </c>
      <c r="C85" s="0" t="s">
        <v>359</v>
      </c>
      <c r="D85" s="0" t="s">
        <v>28</v>
      </c>
      <c r="E85" s="44" t="n">
        <v>43358</v>
      </c>
      <c r="F85" s="0" t="s">
        <v>64</v>
      </c>
      <c r="G85" s="0" t="n">
        <v>21337220</v>
      </c>
      <c r="H85" s="0" t="n">
        <v>720192</v>
      </c>
      <c r="I85" s="0" t="s">
        <v>34</v>
      </c>
      <c r="J85" s="0" t="s">
        <v>174</v>
      </c>
      <c r="K85" s="0" t="s">
        <v>78</v>
      </c>
      <c r="L85" s="0" t="n">
        <v>227522771</v>
      </c>
      <c r="M85" s="0" t="s">
        <v>360</v>
      </c>
      <c r="N85" s="0" t="n">
        <v>105130128</v>
      </c>
      <c r="O85" s="0" t="n">
        <v>394</v>
      </c>
      <c r="P85" s="0" t="n">
        <v>6.89</v>
      </c>
      <c r="Q85" s="0" t="str">
        <f aca="false">IFERROR(VLOOKUP(B85,[2]'Cost Correction'!$D$2:$AJ$1627,33,0),"")</f>
        <v/>
      </c>
    </row>
    <row r="86" customFormat="false" ht="15" hidden="true" customHeight="false" outlineLevel="0" collapsed="false">
      <c r="A86" s="0" t="str">
        <f aca="false">E86&amp;L86&amp;Q86</f>
        <v>43358223691801103053323</v>
      </c>
      <c r="B86" s="0" t="s">
        <v>361</v>
      </c>
      <c r="C86" s="0" t="s">
        <v>362</v>
      </c>
      <c r="D86" s="0" t="s">
        <v>28</v>
      </c>
      <c r="E86" s="44" t="n">
        <v>43358</v>
      </c>
      <c r="F86" s="0" t="s">
        <v>64</v>
      </c>
      <c r="G86" s="0" t="n">
        <v>21337220</v>
      </c>
      <c r="H86" s="0" t="n">
        <v>720192</v>
      </c>
      <c r="I86" s="0" t="s">
        <v>34</v>
      </c>
      <c r="J86" s="0" t="s">
        <v>174</v>
      </c>
      <c r="K86" s="0" t="s">
        <v>79</v>
      </c>
      <c r="L86" s="0" t="n">
        <v>223691801</v>
      </c>
      <c r="M86" s="0" t="s">
        <v>363</v>
      </c>
      <c r="N86" s="0" t="n">
        <v>103053323</v>
      </c>
      <c r="O86" s="0" t="n">
        <v>1441</v>
      </c>
      <c r="P86" s="0" t="n">
        <v>38.53</v>
      </c>
      <c r="Q86" s="0" t="n">
        <f aca="false">IFERROR(VLOOKUP(B86,[2]'Cost Correction'!$D$2:$AJ$1627,33,0),"")</f>
        <v>103053323</v>
      </c>
    </row>
    <row r="87" customFormat="false" ht="15" hidden="true" customHeight="false" outlineLevel="0" collapsed="false">
      <c r="A87" s="0" t="str">
        <f aca="false">E87&amp;L87&amp;Q87</f>
        <v>43358223691825102916338</v>
      </c>
      <c r="B87" s="0" t="s">
        <v>364</v>
      </c>
      <c r="C87" s="0" t="s">
        <v>365</v>
      </c>
      <c r="D87" s="0" t="s">
        <v>28</v>
      </c>
      <c r="E87" s="44" t="n">
        <v>43358</v>
      </c>
      <c r="F87" s="0" t="s">
        <v>64</v>
      </c>
      <c r="G87" s="0" t="n">
        <v>21337220</v>
      </c>
      <c r="H87" s="0" t="n">
        <v>720192</v>
      </c>
      <c r="I87" s="0" t="s">
        <v>34</v>
      </c>
      <c r="J87" s="0" t="s">
        <v>174</v>
      </c>
      <c r="K87" s="0" t="s">
        <v>80</v>
      </c>
      <c r="L87" s="0" t="n">
        <v>223691825</v>
      </c>
      <c r="M87" s="0" t="s">
        <v>366</v>
      </c>
      <c r="N87" s="0" t="n">
        <v>102916338</v>
      </c>
      <c r="O87" s="0" t="n">
        <v>4938</v>
      </c>
      <c r="P87" s="0" t="n">
        <v>189.02</v>
      </c>
      <c r="Q87" s="0" t="n">
        <f aca="false">IFERROR(VLOOKUP(B87,[2]'Cost Correction'!$D$2:$AJ$1627,33,0),"")</f>
        <v>102916338</v>
      </c>
    </row>
    <row r="88" customFormat="false" ht="15" hidden="false" customHeight="false" outlineLevel="0" collapsed="false">
      <c r="A88" s="0" t="str">
        <f aca="false">E88&amp;L88&amp;Q88</f>
        <v>43358223691786</v>
      </c>
      <c r="B88" s="0" t="s">
        <v>367</v>
      </c>
      <c r="C88" s="0" t="s">
        <v>368</v>
      </c>
      <c r="D88" s="0" t="s">
        <v>28</v>
      </c>
      <c r="E88" s="44" t="n">
        <v>43358</v>
      </c>
      <c r="F88" s="0" t="s">
        <v>64</v>
      </c>
      <c r="G88" s="0" t="n">
        <v>21337220</v>
      </c>
      <c r="H88" s="0" t="n">
        <v>720192</v>
      </c>
      <c r="I88" s="0" t="s">
        <v>34</v>
      </c>
      <c r="J88" s="0" t="s">
        <v>174</v>
      </c>
      <c r="K88" s="0" t="s">
        <v>81</v>
      </c>
      <c r="L88" s="0" t="n">
        <v>223691786</v>
      </c>
      <c r="M88" s="0" t="s">
        <v>369</v>
      </c>
      <c r="N88" s="0" t="n">
        <v>103058720</v>
      </c>
      <c r="O88" s="0" t="n">
        <v>292</v>
      </c>
      <c r="P88" s="0" t="n">
        <v>6.92</v>
      </c>
      <c r="Q88" s="0" t="str">
        <f aca="false">IFERROR(VLOOKUP(B88,[2]'Cost Correction'!$D$2:$AJ$1627,33,0),"")</f>
        <v/>
      </c>
    </row>
    <row r="89" customFormat="false" ht="15" hidden="false" customHeight="false" outlineLevel="0" collapsed="false">
      <c r="A89" s="0" t="str">
        <f aca="false">E89&amp;L89&amp;Q89</f>
        <v>43358225322327</v>
      </c>
      <c r="B89" s="0" t="s">
        <v>370</v>
      </c>
      <c r="C89" s="0" t="s">
        <v>371</v>
      </c>
      <c r="D89" s="0" t="s">
        <v>28</v>
      </c>
      <c r="E89" s="44" t="n">
        <v>43358</v>
      </c>
      <c r="F89" s="0" t="s">
        <v>64</v>
      </c>
      <c r="G89" s="0" t="n">
        <v>21337220</v>
      </c>
      <c r="H89" s="0" t="n">
        <v>720192</v>
      </c>
      <c r="I89" s="0" t="s">
        <v>34</v>
      </c>
      <c r="J89" s="0" t="s">
        <v>174</v>
      </c>
      <c r="K89" s="0" t="s">
        <v>82</v>
      </c>
      <c r="L89" s="0" t="n">
        <v>225322327</v>
      </c>
      <c r="M89" s="0" t="s">
        <v>372</v>
      </c>
      <c r="N89" s="0" t="n">
        <v>103902287</v>
      </c>
      <c r="O89" s="0" t="n">
        <v>984</v>
      </c>
      <c r="P89" s="0" t="n">
        <v>22.55</v>
      </c>
      <c r="Q89" s="0" t="str">
        <f aca="false">IFERROR(VLOOKUP(B89,[2]'Cost Correction'!$D$2:$AJ$1627,33,0),"")</f>
        <v/>
      </c>
    </row>
    <row r="90" customFormat="false" ht="15" hidden="true" customHeight="false" outlineLevel="0" collapsed="false">
      <c r="A90" s="0" t="str">
        <f aca="false">E90&amp;L90&amp;Q90</f>
        <v>43358223691837103053314</v>
      </c>
      <c r="B90" s="0" t="s">
        <v>373</v>
      </c>
      <c r="C90" s="0" t="s">
        <v>374</v>
      </c>
      <c r="D90" s="0" t="s">
        <v>28</v>
      </c>
      <c r="E90" s="44" t="n">
        <v>43358</v>
      </c>
      <c r="F90" s="0" t="s">
        <v>64</v>
      </c>
      <c r="G90" s="0" t="n">
        <v>21337220</v>
      </c>
      <c r="H90" s="0" t="n">
        <v>720192</v>
      </c>
      <c r="I90" s="0" t="s">
        <v>34</v>
      </c>
      <c r="J90" s="0" t="s">
        <v>174</v>
      </c>
      <c r="K90" s="0" t="s">
        <v>83</v>
      </c>
      <c r="L90" s="0" t="n">
        <v>223691837</v>
      </c>
      <c r="M90" s="0" t="s">
        <v>375</v>
      </c>
      <c r="N90" s="0" t="n">
        <v>103053314</v>
      </c>
      <c r="O90" s="0" t="n">
        <v>4598</v>
      </c>
      <c r="P90" s="0" t="n">
        <v>102.01</v>
      </c>
      <c r="Q90" s="0" t="n">
        <f aca="false">IFERROR(VLOOKUP(B90,[2]'Cost Correction'!$D$2:$AJ$1627,33,0),"")</f>
        <v>103053314</v>
      </c>
    </row>
    <row r="91" customFormat="false" ht="15" hidden="true" customHeight="false" outlineLevel="0" collapsed="false">
      <c r="A91" s="0" t="str">
        <f aca="false">E91&amp;L91&amp;Q91</f>
        <v>43358223684451102901882</v>
      </c>
      <c r="B91" s="0" t="s">
        <v>376</v>
      </c>
      <c r="C91" s="0" t="s">
        <v>377</v>
      </c>
      <c r="D91" s="0" t="s">
        <v>28</v>
      </c>
      <c r="E91" s="44" t="n">
        <v>43358</v>
      </c>
      <c r="F91" s="0" t="s">
        <v>64</v>
      </c>
      <c r="G91" s="0" t="n">
        <v>21337220</v>
      </c>
      <c r="H91" s="0" t="n">
        <v>720192</v>
      </c>
      <c r="I91" s="0" t="s">
        <v>34</v>
      </c>
      <c r="J91" s="0" t="s">
        <v>174</v>
      </c>
      <c r="K91" s="0" t="s">
        <v>84</v>
      </c>
      <c r="L91" s="0" t="n">
        <v>223684451</v>
      </c>
      <c r="M91" s="0" t="s">
        <v>378</v>
      </c>
      <c r="N91" s="0" t="n">
        <v>102901882</v>
      </c>
      <c r="O91" s="0" t="n">
        <v>683</v>
      </c>
      <c r="P91" s="0" t="n">
        <v>13.33</v>
      </c>
      <c r="Q91" s="0" t="n">
        <f aca="false">IFERROR(VLOOKUP(B91,[2]'Cost Correction'!$D$2:$AJ$1627,33,0),"")</f>
        <v>102901882</v>
      </c>
    </row>
    <row r="92" customFormat="false" ht="15" hidden="false" customHeight="false" outlineLevel="0" collapsed="false">
      <c r="A92" s="0" t="str">
        <f aca="false">E92&amp;L92&amp;Q92</f>
        <v>43358227525720</v>
      </c>
      <c r="B92" s="0" t="s">
        <v>379</v>
      </c>
      <c r="C92" s="0" t="s">
        <v>380</v>
      </c>
      <c r="D92" s="0" t="s">
        <v>28</v>
      </c>
      <c r="E92" s="44" t="n">
        <v>43358</v>
      </c>
      <c r="F92" s="0" t="s">
        <v>64</v>
      </c>
      <c r="G92" s="0" t="n">
        <v>21337220</v>
      </c>
      <c r="H92" s="0" t="n">
        <v>720192</v>
      </c>
      <c r="I92" s="0" t="s">
        <v>34</v>
      </c>
      <c r="J92" s="0" t="s">
        <v>174</v>
      </c>
      <c r="K92" s="0" t="s">
        <v>85</v>
      </c>
      <c r="L92" s="0" t="n">
        <v>227525720</v>
      </c>
      <c r="M92" s="0" t="s">
        <v>381</v>
      </c>
      <c r="N92" s="0" t="n">
        <v>105130125</v>
      </c>
      <c r="O92" s="0" t="n">
        <v>377</v>
      </c>
      <c r="P92" s="0" t="n">
        <v>8.41</v>
      </c>
      <c r="Q92" s="0" t="str">
        <f aca="false">IFERROR(VLOOKUP(B92,[2]'Cost Correction'!$D$2:$AJ$1627,33,0),"")</f>
        <v/>
      </c>
    </row>
    <row r="93" customFormat="false" ht="15" hidden="true" customHeight="false" outlineLevel="0" collapsed="false">
      <c r="A93" s="0" t="str">
        <f aca="false">E93&amp;L93&amp;Q93</f>
        <v>43358227522762105216992</v>
      </c>
      <c r="B93" s="0" t="s">
        <v>382</v>
      </c>
      <c r="C93" s="0" t="s">
        <v>383</v>
      </c>
      <c r="D93" s="0" t="s">
        <v>28</v>
      </c>
      <c r="E93" s="44" t="n">
        <v>43358</v>
      </c>
      <c r="F93" s="0" t="s">
        <v>64</v>
      </c>
      <c r="G93" s="0" t="n">
        <v>21337220</v>
      </c>
      <c r="H93" s="0" t="n">
        <v>720192</v>
      </c>
      <c r="I93" s="0" t="s">
        <v>34</v>
      </c>
      <c r="J93" s="0" t="s">
        <v>174</v>
      </c>
      <c r="K93" s="0" t="s">
        <v>86</v>
      </c>
      <c r="L93" s="0" t="n">
        <v>227522762</v>
      </c>
      <c r="M93" s="0" t="s">
        <v>384</v>
      </c>
      <c r="N93" s="0" t="n">
        <v>105216992</v>
      </c>
      <c r="O93" s="0" t="n">
        <v>14087</v>
      </c>
      <c r="P93" s="0" t="n">
        <v>215.56</v>
      </c>
      <c r="Q93" s="0" t="n">
        <f aca="false">IFERROR(VLOOKUP(B93,[2]'Cost Correction'!$D$2:$AJ$1627,33,0),"")</f>
        <v>105216992</v>
      </c>
    </row>
    <row r="94" customFormat="false" ht="15" hidden="true" customHeight="false" outlineLevel="0" collapsed="false">
      <c r="A94" s="0" t="str">
        <f aca="false">E94&amp;L94&amp;Q94</f>
        <v>43358223691795102900688</v>
      </c>
      <c r="B94" s="0" t="s">
        <v>385</v>
      </c>
      <c r="C94" s="0" t="s">
        <v>386</v>
      </c>
      <c r="D94" s="0" t="s">
        <v>28</v>
      </c>
      <c r="E94" s="44" t="n">
        <v>43358</v>
      </c>
      <c r="F94" s="0" t="s">
        <v>64</v>
      </c>
      <c r="G94" s="0" t="n">
        <v>21337220</v>
      </c>
      <c r="H94" s="0" t="n">
        <v>720192</v>
      </c>
      <c r="I94" s="0" t="s">
        <v>34</v>
      </c>
      <c r="J94" s="0" t="s">
        <v>174</v>
      </c>
      <c r="K94" s="0" t="s">
        <v>87</v>
      </c>
      <c r="L94" s="0" t="n">
        <v>223691795</v>
      </c>
      <c r="M94" s="0" t="s">
        <v>387</v>
      </c>
      <c r="N94" s="0" t="n">
        <v>102900688</v>
      </c>
      <c r="O94" s="0" t="n">
        <v>148</v>
      </c>
      <c r="P94" s="0" t="n">
        <v>4.26</v>
      </c>
      <c r="Q94" s="0" t="n">
        <f aca="false">IFERROR(VLOOKUP(B94,[2]'Cost Correction'!$D$2:$AJ$1627,33,0),"")</f>
        <v>102900688</v>
      </c>
    </row>
    <row r="95" customFormat="false" ht="15" hidden="true" customHeight="false" outlineLevel="0" collapsed="false">
      <c r="A95" s="0" t="str">
        <f aca="false">E95&amp;L95&amp;Q95</f>
        <v>43358223691834102902953</v>
      </c>
      <c r="B95" s="0" t="s">
        <v>388</v>
      </c>
      <c r="C95" s="0" t="s">
        <v>389</v>
      </c>
      <c r="D95" s="0" t="s">
        <v>28</v>
      </c>
      <c r="E95" s="44" t="n">
        <v>43358</v>
      </c>
      <c r="F95" s="0" t="s">
        <v>64</v>
      </c>
      <c r="G95" s="0" t="n">
        <v>21337220</v>
      </c>
      <c r="H95" s="0" t="n">
        <v>720192</v>
      </c>
      <c r="I95" s="0" t="s">
        <v>34</v>
      </c>
      <c r="J95" s="0" t="s">
        <v>174</v>
      </c>
      <c r="K95" s="0" t="s">
        <v>88</v>
      </c>
      <c r="L95" s="0" t="n">
        <v>223691834</v>
      </c>
      <c r="M95" s="0" t="s">
        <v>390</v>
      </c>
      <c r="N95" s="0" t="n">
        <v>102902953</v>
      </c>
      <c r="O95" s="0" t="n">
        <v>316</v>
      </c>
      <c r="P95" s="0" t="n">
        <v>9.55</v>
      </c>
      <c r="Q95" s="0" t="n">
        <f aca="false">IFERROR(VLOOKUP(B95,[2]'Cost Correction'!$D$2:$AJ$1627,33,0),"")</f>
        <v>102902953</v>
      </c>
    </row>
    <row r="96" customFormat="false" ht="15" hidden="false" customHeight="false" outlineLevel="0" collapsed="false">
      <c r="A96" s="0" t="str">
        <f aca="false">E96&amp;L96&amp;Q96</f>
        <v>43358223691822</v>
      </c>
      <c r="B96" s="0" t="s">
        <v>391</v>
      </c>
      <c r="C96" s="0" t="s">
        <v>392</v>
      </c>
      <c r="D96" s="0" t="s">
        <v>28</v>
      </c>
      <c r="E96" s="44" t="n">
        <v>43358</v>
      </c>
      <c r="F96" s="0" t="s">
        <v>64</v>
      </c>
      <c r="G96" s="0" t="n">
        <v>21337220</v>
      </c>
      <c r="H96" s="0" t="n">
        <v>720192</v>
      </c>
      <c r="I96" s="0" t="s">
        <v>34</v>
      </c>
      <c r="J96" s="0" t="s">
        <v>174</v>
      </c>
      <c r="K96" s="0" t="s">
        <v>89</v>
      </c>
      <c r="L96" s="0" t="n">
        <v>223691822</v>
      </c>
      <c r="M96" s="0" t="s">
        <v>393</v>
      </c>
      <c r="N96" s="0" t="n">
        <v>103058708</v>
      </c>
      <c r="O96" s="0" t="n">
        <v>847</v>
      </c>
      <c r="P96" s="0" t="n">
        <v>18.14</v>
      </c>
      <c r="Q96" s="0" t="str">
        <f aca="false">IFERROR(VLOOKUP(B96,[2]'Cost Correction'!$D$2:$AJ$1627,33,0),"")</f>
        <v/>
      </c>
    </row>
    <row r="97" customFormat="false" ht="15" hidden="true" customHeight="false" outlineLevel="0" collapsed="false">
      <c r="A97" s="0" t="str">
        <f aca="false">E97&amp;L97&amp;Q97</f>
        <v>43358223691819102900682</v>
      </c>
      <c r="B97" s="0" t="s">
        <v>394</v>
      </c>
      <c r="C97" s="0" t="s">
        <v>395</v>
      </c>
      <c r="D97" s="0" t="s">
        <v>28</v>
      </c>
      <c r="E97" s="44" t="n">
        <v>43358</v>
      </c>
      <c r="F97" s="0" t="s">
        <v>64</v>
      </c>
      <c r="G97" s="0" t="n">
        <v>21337220</v>
      </c>
      <c r="H97" s="0" t="n">
        <v>720192</v>
      </c>
      <c r="I97" s="0" t="s">
        <v>34</v>
      </c>
      <c r="J97" s="0" t="s">
        <v>174</v>
      </c>
      <c r="K97" s="0" t="s">
        <v>90</v>
      </c>
      <c r="L97" s="0" t="n">
        <v>223691819</v>
      </c>
      <c r="M97" s="0" t="s">
        <v>396</v>
      </c>
      <c r="N97" s="0" t="n">
        <v>102900682</v>
      </c>
      <c r="O97" s="0" t="n">
        <v>1824</v>
      </c>
      <c r="P97" s="0" t="n">
        <v>74.88</v>
      </c>
      <c r="Q97" s="0" t="n">
        <f aca="false">IFERROR(VLOOKUP(B97,[2]'Cost Correction'!$D$2:$AJ$1627,33,0),"")</f>
        <v>102900682</v>
      </c>
    </row>
    <row r="98" customFormat="false" ht="15" hidden="false" customHeight="false" outlineLevel="0" collapsed="false">
      <c r="A98" s="0" t="str">
        <f aca="false">E98&amp;L98&amp;Q98</f>
        <v>43358223691828</v>
      </c>
      <c r="B98" s="0" t="s">
        <v>397</v>
      </c>
      <c r="C98" s="0" t="s">
        <v>398</v>
      </c>
      <c r="D98" s="0" t="s">
        <v>28</v>
      </c>
      <c r="E98" s="44" t="n">
        <v>43358</v>
      </c>
      <c r="F98" s="0" t="s">
        <v>64</v>
      </c>
      <c r="G98" s="0" t="n">
        <v>21337220</v>
      </c>
      <c r="H98" s="0" t="n">
        <v>720192</v>
      </c>
      <c r="I98" s="0" t="s">
        <v>34</v>
      </c>
      <c r="J98" s="0" t="s">
        <v>174</v>
      </c>
      <c r="K98" s="0" t="s">
        <v>91</v>
      </c>
      <c r="L98" s="0" t="n">
        <v>223691828</v>
      </c>
      <c r="M98" s="0" t="s">
        <v>399</v>
      </c>
      <c r="N98" s="0" t="n">
        <v>102902956</v>
      </c>
      <c r="O98" s="0" t="n">
        <v>245</v>
      </c>
      <c r="P98" s="0" t="n">
        <v>4.52</v>
      </c>
      <c r="Q98" s="0" t="str">
        <f aca="false">IFERROR(VLOOKUP(B98,[2]'Cost Correction'!$D$2:$AJ$1627,33,0),"")</f>
        <v/>
      </c>
    </row>
    <row r="99" customFormat="false" ht="15" hidden="false" customHeight="false" outlineLevel="0" collapsed="false">
      <c r="A99" s="0" t="str">
        <f aca="false">E99&amp;L99&amp;Q99</f>
        <v>43357227522771</v>
      </c>
      <c r="B99" s="0" t="s">
        <v>400</v>
      </c>
      <c r="C99" s="0" t="s">
        <v>401</v>
      </c>
      <c r="D99" s="0" t="s">
        <v>28</v>
      </c>
      <c r="E99" s="44" t="n">
        <v>43357</v>
      </c>
      <c r="F99" s="0" t="s">
        <v>64</v>
      </c>
      <c r="G99" s="0" t="n">
        <v>21337220</v>
      </c>
      <c r="H99" s="0" t="n">
        <v>720192</v>
      </c>
      <c r="I99" s="0" t="s">
        <v>34</v>
      </c>
      <c r="J99" s="0" t="s">
        <v>174</v>
      </c>
      <c r="K99" s="0" t="s">
        <v>78</v>
      </c>
      <c r="L99" s="0" t="n">
        <v>227522771</v>
      </c>
      <c r="M99" s="0" t="s">
        <v>360</v>
      </c>
      <c r="N99" s="0" t="n">
        <v>105130128</v>
      </c>
      <c r="O99" s="0" t="n">
        <v>67</v>
      </c>
      <c r="P99" s="0" t="n">
        <v>0.89</v>
      </c>
      <c r="Q99" s="0" t="str">
        <f aca="false">IFERROR(VLOOKUP(B99,[2]'Cost Correction'!$D$2:$AJ$1627,33,0),"")</f>
        <v/>
      </c>
    </row>
    <row r="100" customFormat="false" ht="15" hidden="false" customHeight="false" outlineLevel="0" collapsed="false">
      <c r="A100" s="0" t="str">
        <f aca="false">E100&amp;L100&amp;Q100</f>
        <v>43357225322327</v>
      </c>
      <c r="B100" s="0" t="s">
        <v>402</v>
      </c>
      <c r="C100" s="0" t="s">
        <v>403</v>
      </c>
      <c r="D100" s="0" t="s">
        <v>28</v>
      </c>
      <c r="E100" s="44" t="n">
        <v>43357</v>
      </c>
      <c r="F100" s="0" t="s">
        <v>64</v>
      </c>
      <c r="G100" s="0" t="n">
        <v>21337220</v>
      </c>
      <c r="H100" s="0" t="n">
        <v>720192</v>
      </c>
      <c r="I100" s="0" t="s">
        <v>34</v>
      </c>
      <c r="J100" s="0" t="s">
        <v>174</v>
      </c>
      <c r="K100" s="0" t="s">
        <v>82</v>
      </c>
      <c r="L100" s="0" t="n">
        <v>225322327</v>
      </c>
      <c r="M100" s="0" t="s">
        <v>372</v>
      </c>
      <c r="N100" s="0" t="n">
        <v>103902287</v>
      </c>
      <c r="O100" s="0" t="n">
        <v>377</v>
      </c>
      <c r="P100" s="0" t="n">
        <v>9.12</v>
      </c>
      <c r="Q100" s="0" t="str">
        <f aca="false">IFERROR(VLOOKUP(B100,[2]'Cost Correction'!$D$2:$AJ$1627,33,0),"")</f>
        <v/>
      </c>
    </row>
    <row r="101" customFormat="false" ht="15" hidden="true" customHeight="false" outlineLevel="0" collapsed="false">
      <c r="A101" s="0" t="str">
        <f aca="false">E101&amp;L101&amp;Q101</f>
        <v>43357223691792102901894</v>
      </c>
      <c r="B101" s="0" t="s">
        <v>404</v>
      </c>
      <c r="C101" s="0" t="s">
        <v>405</v>
      </c>
      <c r="D101" s="0" t="s">
        <v>28</v>
      </c>
      <c r="E101" s="44" t="n">
        <v>43357</v>
      </c>
      <c r="F101" s="0" t="s">
        <v>64</v>
      </c>
      <c r="G101" s="0" t="n">
        <v>21337220</v>
      </c>
      <c r="H101" s="0" t="n">
        <v>720192</v>
      </c>
      <c r="I101" s="0" t="s">
        <v>34</v>
      </c>
      <c r="J101" s="0" t="s">
        <v>174</v>
      </c>
      <c r="K101" s="0" t="s">
        <v>73</v>
      </c>
      <c r="L101" s="0" t="n">
        <v>223691792</v>
      </c>
      <c r="M101" s="0" t="s">
        <v>345</v>
      </c>
      <c r="N101" s="0" t="n">
        <v>102901894</v>
      </c>
      <c r="O101" s="0" t="n">
        <v>340</v>
      </c>
      <c r="P101" s="0" t="n">
        <v>8.17</v>
      </c>
      <c r="Q101" s="0" t="n">
        <f aca="false">IFERROR(VLOOKUP(B101,[2]'Cost Correction'!$D$2:$AJ$1627,33,0),"")</f>
        <v>102901894</v>
      </c>
    </row>
    <row r="102" customFormat="false" ht="15" hidden="true" customHeight="false" outlineLevel="0" collapsed="false">
      <c r="A102" s="0" t="str">
        <f aca="false">E102&amp;L102&amp;Q102</f>
        <v>43357223691819102900682</v>
      </c>
      <c r="B102" s="0" t="s">
        <v>406</v>
      </c>
      <c r="C102" s="0" t="s">
        <v>407</v>
      </c>
      <c r="D102" s="0" t="s">
        <v>28</v>
      </c>
      <c r="E102" s="44" t="n">
        <v>43357</v>
      </c>
      <c r="F102" s="0" t="s">
        <v>64</v>
      </c>
      <c r="G102" s="0" t="n">
        <v>21337220</v>
      </c>
      <c r="H102" s="0" t="n">
        <v>720192</v>
      </c>
      <c r="I102" s="0" t="s">
        <v>34</v>
      </c>
      <c r="J102" s="0" t="s">
        <v>174</v>
      </c>
      <c r="K102" s="0" t="s">
        <v>90</v>
      </c>
      <c r="L102" s="0" t="n">
        <v>223691819</v>
      </c>
      <c r="M102" s="0" t="s">
        <v>396</v>
      </c>
      <c r="N102" s="0" t="n">
        <v>102900682</v>
      </c>
      <c r="O102" s="0" t="n">
        <v>1251</v>
      </c>
      <c r="P102" s="0" t="n">
        <v>38.45</v>
      </c>
      <c r="Q102" s="0" t="n">
        <f aca="false">IFERROR(VLOOKUP(B102,[2]'Cost Correction'!$D$2:$AJ$1627,33,0),"")</f>
        <v>102900682</v>
      </c>
    </row>
    <row r="103" customFormat="false" ht="15" hidden="true" customHeight="false" outlineLevel="0" collapsed="false">
      <c r="A103" s="0" t="str">
        <f aca="false">E103&amp;L103&amp;Q103</f>
        <v>43357223691789102900691</v>
      </c>
      <c r="B103" s="0" t="s">
        <v>408</v>
      </c>
      <c r="C103" s="0" t="s">
        <v>409</v>
      </c>
      <c r="D103" s="0" t="s">
        <v>28</v>
      </c>
      <c r="E103" s="44" t="n">
        <v>43357</v>
      </c>
      <c r="F103" s="0" t="s">
        <v>64</v>
      </c>
      <c r="G103" s="0" t="n">
        <v>21337220</v>
      </c>
      <c r="H103" s="0" t="n">
        <v>720192</v>
      </c>
      <c r="I103" s="0" t="s">
        <v>34</v>
      </c>
      <c r="J103" s="0" t="s">
        <v>174</v>
      </c>
      <c r="K103" s="0" t="s">
        <v>74</v>
      </c>
      <c r="L103" s="0" t="n">
        <v>223691789</v>
      </c>
      <c r="M103" s="0" t="s">
        <v>348</v>
      </c>
      <c r="N103" s="0" t="n">
        <v>102900691</v>
      </c>
      <c r="O103" s="0" t="n">
        <v>1592</v>
      </c>
      <c r="P103" s="0" t="n">
        <v>59.42</v>
      </c>
      <c r="Q103" s="0" t="n">
        <f aca="false">IFERROR(VLOOKUP(B103,[2]'Cost Correction'!$D$2:$AJ$1627,33,0),"")</f>
        <v>102900691</v>
      </c>
    </row>
    <row r="104" customFormat="false" ht="15" hidden="true" customHeight="false" outlineLevel="0" collapsed="false">
      <c r="A104" s="0" t="str">
        <f aca="false">E104&amp;L104&amp;Q104</f>
        <v>43357227522762105216992</v>
      </c>
      <c r="B104" s="0" t="s">
        <v>410</v>
      </c>
      <c r="C104" s="0" t="s">
        <v>411</v>
      </c>
      <c r="D104" s="0" t="s">
        <v>28</v>
      </c>
      <c r="E104" s="44" t="n">
        <v>43357</v>
      </c>
      <c r="F104" s="0" t="s">
        <v>64</v>
      </c>
      <c r="G104" s="0" t="n">
        <v>21337220</v>
      </c>
      <c r="H104" s="0" t="n">
        <v>720192</v>
      </c>
      <c r="I104" s="0" t="s">
        <v>34</v>
      </c>
      <c r="J104" s="0" t="s">
        <v>174</v>
      </c>
      <c r="K104" s="0" t="s">
        <v>86</v>
      </c>
      <c r="L104" s="0" t="n">
        <v>227522762</v>
      </c>
      <c r="M104" s="0" t="s">
        <v>384</v>
      </c>
      <c r="N104" s="0" t="n">
        <v>105216992</v>
      </c>
      <c r="O104" s="0" t="n">
        <v>4875</v>
      </c>
      <c r="P104" s="0" t="n">
        <v>71.33</v>
      </c>
      <c r="Q104" s="0" t="n">
        <f aca="false">IFERROR(VLOOKUP(B104,[2]'Cost Correction'!$D$2:$AJ$1627,33,0),"")</f>
        <v>105216992</v>
      </c>
    </row>
    <row r="105" customFormat="false" ht="15" hidden="false" customHeight="false" outlineLevel="0" collapsed="false">
      <c r="A105" s="0" t="str">
        <f aca="false">E105&amp;L105&amp;Q105</f>
        <v>43357223691777</v>
      </c>
      <c r="B105" s="0" t="s">
        <v>412</v>
      </c>
      <c r="C105" s="0" t="s">
        <v>413</v>
      </c>
      <c r="D105" s="0" t="s">
        <v>28</v>
      </c>
      <c r="E105" s="44" t="n">
        <v>43357</v>
      </c>
      <c r="F105" s="0" t="s">
        <v>64</v>
      </c>
      <c r="G105" s="0" t="n">
        <v>21337220</v>
      </c>
      <c r="H105" s="0" t="n">
        <v>720192</v>
      </c>
      <c r="I105" s="0" t="s">
        <v>34</v>
      </c>
      <c r="J105" s="0" t="s">
        <v>174</v>
      </c>
      <c r="K105" s="0" t="s">
        <v>72</v>
      </c>
      <c r="L105" s="0" t="n">
        <v>223691777</v>
      </c>
      <c r="M105" s="0" t="s">
        <v>342</v>
      </c>
      <c r="N105" s="0" t="n">
        <v>102900697</v>
      </c>
      <c r="O105" s="0" t="n">
        <v>386</v>
      </c>
      <c r="P105" s="0" t="n">
        <v>14.15</v>
      </c>
      <c r="Q105" s="0" t="str">
        <f aca="false">IFERROR(VLOOKUP(B105,[2]'Cost Correction'!$D$2:$AJ$1627,33,0),"")</f>
        <v/>
      </c>
    </row>
    <row r="106" customFormat="false" ht="15" hidden="true" customHeight="false" outlineLevel="0" collapsed="false">
      <c r="A106" s="0" t="str">
        <f aca="false">E106&amp;L106&amp;Q106</f>
        <v>43357223691780103058726</v>
      </c>
      <c r="B106" s="0" t="s">
        <v>414</v>
      </c>
      <c r="C106" s="0" t="s">
        <v>415</v>
      </c>
      <c r="D106" s="0" t="s">
        <v>28</v>
      </c>
      <c r="E106" s="44" t="n">
        <v>43357</v>
      </c>
      <c r="F106" s="0" t="s">
        <v>64</v>
      </c>
      <c r="G106" s="0" t="n">
        <v>21337220</v>
      </c>
      <c r="H106" s="0" t="n">
        <v>720192</v>
      </c>
      <c r="I106" s="0" t="s">
        <v>34</v>
      </c>
      <c r="J106" s="0" t="s">
        <v>174</v>
      </c>
      <c r="K106" s="0" t="s">
        <v>75</v>
      </c>
      <c r="L106" s="0" t="n">
        <v>223691780</v>
      </c>
      <c r="M106" s="0" t="s">
        <v>351</v>
      </c>
      <c r="N106" s="0" t="n">
        <v>103058726</v>
      </c>
      <c r="O106" s="0" t="n">
        <v>232</v>
      </c>
      <c r="P106" s="0" t="n">
        <v>10.65</v>
      </c>
      <c r="Q106" s="0" t="n">
        <f aca="false">IFERROR(VLOOKUP(B106,[2]'Cost Correction'!$D$2:$AJ$1627,33,0),"")</f>
        <v>103058726</v>
      </c>
    </row>
    <row r="107" customFormat="false" ht="15" hidden="true" customHeight="false" outlineLevel="0" collapsed="false">
      <c r="A107" s="0" t="str">
        <f aca="false">E107&amp;L107&amp;Q107</f>
        <v>43357223691834102902953</v>
      </c>
      <c r="B107" s="0" t="s">
        <v>416</v>
      </c>
      <c r="C107" s="0" t="s">
        <v>417</v>
      </c>
      <c r="D107" s="0" t="s">
        <v>28</v>
      </c>
      <c r="E107" s="44" t="n">
        <v>43357</v>
      </c>
      <c r="F107" s="0" t="s">
        <v>64</v>
      </c>
      <c r="G107" s="0" t="n">
        <v>21337220</v>
      </c>
      <c r="H107" s="0" t="n">
        <v>720192</v>
      </c>
      <c r="I107" s="0" t="s">
        <v>34</v>
      </c>
      <c r="J107" s="0" t="s">
        <v>174</v>
      </c>
      <c r="K107" s="0" t="s">
        <v>88</v>
      </c>
      <c r="L107" s="0" t="n">
        <v>223691834</v>
      </c>
      <c r="M107" s="0" t="s">
        <v>390</v>
      </c>
      <c r="N107" s="0" t="n">
        <v>102902953</v>
      </c>
      <c r="O107" s="0" t="n">
        <v>430</v>
      </c>
      <c r="P107" s="0" t="n">
        <v>16.96</v>
      </c>
      <c r="Q107" s="0" t="n">
        <f aca="false">IFERROR(VLOOKUP(B107,[2]'Cost Correction'!$D$2:$AJ$1627,33,0),"")</f>
        <v>102902953</v>
      </c>
    </row>
    <row r="108" customFormat="false" ht="15" hidden="true" customHeight="false" outlineLevel="0" collapsed="false">
      <c r="A108" s="0" t="str">
        <f aca="false">E108&amp;L108&amp;Q108</f>
        <v>43357223691837103053314</v>
      </c>
      <c r="B108" s="0" t="s">
        <v>418</v>
      </c>
      <c r="C108" s="0" t="s">
        <v>419</v>
      </c>
      <c r="D108" s="0" t="s">
        <v>28</v>
      </c>
      <c r="E108" s="44" t="n">
        <v>43357</v>
      </c>
      <c r="F108" s="0" t="s">
        <v>64</v>
      </c>
      <c r="G108" s="0" t="n">
        <v>21337220</v>
      </c>
      <c r="H108" s="0" t="n">
        <v>720192</v>
      </c>
      <c r="I108" s="0" t="s">
        <v>34</v>
      </c>
      <c r="J108" s="0" t="s">
        <v>174</v>
      </c>
      <c r="K108" s="0" t="s">
        <v>83</v>
      </c>
      <c r="L108" s="0" t="n">
        <v>223691837</v>
      </c>
      <c r="M108" s="0" t="s">
        <v>375</v>
      </c>
      <c r="N108" s="0" t="n">
        <v>103053314</v>
      </c>
      <c r="O108" s="0" t="n">
        <v>9645</v>
      </c>
      <c r="P108" s="0" t="n">
        <v>196.09</v>
      </c>
      <c r="Q108" s="0" t="n">
        <f aca="false">IFERROR(VLOOKUP(B108,[2]'Cost Correction'!$D$2:$AJ$1627,33,0),"")</f>
        <v>103053314</v>
      </c>
    </row>
    <row r="109" customFormat="false" ht="15" hidden="false" customHeight="false" outlineLevel="0" collapsed="false">
      <c r="A109" s="0" t="str">
        <f aca="false">E109&amp;L109&amp;Q109</f>
        <v>43357223691783</v>
      </c>
      <c r="B109" s="0" t="s">
        <v>420</v>
      </c>
      <c r="C109" s="0" t="s">
        <v>421</v>
      </c>
      <c r="D109" s="0" t="s">
        <v>28</v>
      </c>
      <c r="E109" s="44" t="n">
        <v>43357</v>
      </c>
      <c r="F109" s="0" t="s">
        <v>64</v>
      </c>
      <c r="G109" s="0" t="n">
        <v>21337220</v>
      </c>
      <c r="H109" s="0" t="n">
        <v>720192</v>
      </c>
      <c r="I109" s="0" t="s">
        <v>34</v>
      </c>
      <c r="J109" s="0" t="s">
        <v>174</v>
      </c>
      <c r="K109" s="0" t="s">
        <v>76</v>
      </c>
      <c r="L109" s="0" t="n">
        <v>223691783</v>
      </c>
      <c r="M109" s="0" t="s">
        <v>354</v>
      </c>
      <c r="N109" s="0" t="n">
        <v>103058723</v>
      </c>
      <c r="O109" s="0" t="n">
        <v>147</v>
      </c>
      <c r="P109" s="0" t="n">
        <v>6.89</v>
      </c>
      <c r="Q109" s="0" t="str">
        <f aca="false">IFERROR(VLOOKUP(B109,[2]'Cost Correction'!$D$2:$AJ$1627,33,0),"")</f>
        <v/>
      </c>
    </row>
    <row r="110" customFormat="false" ht="15" hidden="false" customHeight="false" outlineLevel="0" collapsed="false">
      <c r="A110" s="0" t="str">
        <f aca="false">E110&amp;L110&amp;Q110</f>
        <v>43357227618695</v>
      </c>
      <c r="B110" s="0" t="s">
        <v>422</v>
      </c>
      <c r="C110" s="0" t="s">
        <v>423</v>
      </c>
      <c r="D110" s="0" t="s">
        <v>28</v>
      </c>
      <c r="E110" s="44" t="n">
        <v>43357</v>
      </c>
      <c r="F110" s="0" t="s">
        <v>64</v>
      </c>
      <c r="G110" s="0" t="n">
        <v>21337220</v>
      </c>
      <c r="H110" s="0" t="n">
        <v>720192</v>
      </c>
      <c r="I110" s="0" t="s">
        <v>34</v>
      </c>
      <c r="J110" s="0" t="s">
        <v>174</v>
      </c>
      <c r="K110" s="0" t="s">
        <v>67</v>
      </c>
      <c r="L110" s="0" t="n">
        <v>227618695</v>
      </c>
      <c r="M110" s="0" t="s">
        <v>330</v>
      </c>
      <c r="N110" s="0" t="n">
        <v>105127638</v>
      </c>
      <c r="O110" s="0" t="n">
        <v>278</v>
      </c>
      <c r="P110" s="0" t="n">
        <v>6</v>
      </c>
      <c r="Q110" s="0" t="str">
        <f aca="false">IFERROR(VLOOKUP(B110,[2]'Cost Correction'!$D$2:$AJ$1627,33,0),"")</f>
        <v/>
      </c>
    </row>
    <row r="111" customFormat="false" ht="15" hidden="false" customHeight="false" outlineLevel="0" collapsed="false">
      <c r="A111" s="0" t="str">
        <f aca="false">E111&amp;L111&amp;Q111</f>
        <v>43357225322324</v>
      </c>
      <c r="B111" s="0" t="s">
        <v>424</v>
      </c>
      <c r="C111" s="0" t="s">
        <v>425</v>
      </c>
      <c r="D111" s="0" t="s">
        <v>28</v>
      </c>
      <c r="E111" s="44" t="n">
        <v>43357</v>
      </c>
      <c r="F111" s="0" t="s">
        <v>64</v>
      </c>
      <c r="G111" s="0" t="n">
        <v>21337220</v>
      </c>
      <c r="H111" s="0" t="n">
        <v>720192</v>
      </c>
      <c r="I111" s="0" t="s">
        <v>34</v>
      </c>
      <c r="J111" s="0" t="s">
        <v>174</v>
      </c>
      <c r="K111" s="0" t="s">
        <v>71</v>
      </c>
      <c r="L111" s="0" t="n">
        <v>225322324</v>
      </c>
      <c r="M111" s="0" t="s">
        <v>339</v>
      </c>
      <c r="N111" s="0" t="n">
        <v>103789915</v>
      </c>
      <c r="O111" s="0" t="n">
        <v>51</v>
      </c>
      <c r="P111" s="0" t="n">
        <v>1.22</v>
      </c>
      <c r="Q111" s="0" t="str">
        <f aca="false">IFERROR(VLOOKUP(B111,[2]'Cost Correction'!$D$2:$AJ$1627,33,0),"")</f>
        <v/>
      </c>
    </row>
    <row r="112" customFormat="false" ht="15" hidden="true" customHeight="false" outlineLevel="0" collapsed="false">
      <c r="A112" s="0" t="str">
        <f aca="false">E112&amp;L112&amp;Q112</f>
        <v>43357223691840102902950</v>
      </c>
      <c r="B112" s="0" t="s">
        <v>426</v>
      </c>
      <c r="C112" s="0" t="s">
        <v>427</v>
      </c>
      <c r="D112" s="0" t="s">
        <v>28</v>
      </c>
      <c r="E112" s="44" t="n">
        <v>43357</v>
      </c>
      <c r="F112" s="0" t="s">
        <v>64</v>
      </c>
      <c r="G112" s="0" t="n">
        <v>21337220</v>
      </c>
      <c r="H112" s="0" t="n">
        <v>720192</v>
      </c>
      <c r="I112" s="0" t="s">
        <v>34</v>
      </c>
      <c r="J112" s="0" t="s">
        <v>174</v>
      </c>
      <c r="K112" s="0" t="s">
        <v>77</v>
      </c>
      <c r="L112" s="0" t="n">
        <v>223691840</v>
      </c>
      <c r="M112" s="0" t="s">
        <v>357</v>
      </c>
      <c r="N112" s="0" t="n">
        <v>102902950</v>
      </c>
      <c r="O112" s="0" t="n">
        <v>2385</v>
      </c>
      <c r="P112" s="0" t="n">
        <v>45.8</v>
      </c>
      <c r="Q112" s="0" t="n">
        <f aca="false">IFERROR(VLOOKUP(B112,[2]'Cost Correction'!$D$2:$AJ$1627,33,0),"")</f>
        <v>102902950</v>
      </c>
    </row>
    <row r="113" customFormat="false" ht="15" hidden="true" customHeight="false" outlineLevel="0" collapsed="false">
      <c r="A113" s="0" t="str">
        <f aca="false">E113&amp;L113&amp;Q113</f>
        <v>43357223691798102916347</v>
      </c>
      <c r="B113" s="0" t="s">
        <v>428</v>
      </c>
      <c r="C113" s="0" t="s">
        <v>429</v>
      </c>
      <c r="D113" s="0" t="s">
        <v>28</v>
      </c>
      <c r="E113" s="44" t="n">
        <v>43357</v>
      </c>
      <c r="F113" s="0" t="s">
        <v>64</v>
      </c>
      <c r="G113" s="0" t="n">
        <v>21337220</v>
      </c>
      <c r="H113" s="0" t="n">
        <v>720192</v>
      </c>
      <c r="I113" s="0" t="s">
        <v>34</v>
      </c>
      <c r="J113" s="0" t="s">
        <v>174</v>
      </c>
      <c r="K113" s="0" t="s">
        <v>69</v>
      </c>
      <c r="L113" s="0" t="n">
        <v>223691798</v>
      </c>
      <c r="M113" s="0" t="s">
        <v>333</v>
      </c>
      <c r="N113" s="0" t="n">
        <v>102916347</v>
      </c>
      <c r="O113" s="0" t="n">
        <v>1678</v>
      </c>
      <c r="P113" s="0" t="n">
        <v>37.12</v>
      </c>
      <c r="Q113" s="0" t="n">
        <f aca="false">IFERROR(VLOOKUP(B113,[2]'Cost Correction'!$D$2:$AJ$1627,33,0),"")</f>
        <v>102916347</v>
      </c>
    </row>
    <row r="114" customFormat="false" ht="15" hidden="false" customHeight="false" outlineLevel="0" collapsed="false">
      <c r="A114" s="0" t="str">
        <f aca="false">E114&amp;L114&amp;Q114</f>
        <v>43357223691801</v>
      </c>
      <c r="B114" s="0" t="s">
        <v>430</v>
      </c>
      <c r="C114" s="0" t="s">
        <v>431</v>
      </c>
      <c r="D114" s="0" t="s">
        <v>28</v>
      </c>
      <c r="E114" s="44" t="n">
        <v>43357</v>
      </c>
      <c r="F114" s="0" t="s">
        <v>64</v>
      </c>
      <c r="G114" s="0" t="n">
        <v>21337220</v>
      </c>
      <c r="H114" s="0" t="n">
        <v>720192</v>
      </c>
      <c r="I114" s="0" t="s">
        <v>34</v>
      </c>
      <c r="J114" s="0" t="s">
        <v>174</v>
      </c>
      <c r="K114" s="0" t="s">
        <v>79</v>
      </c>
      <c r="L114" s="0" t="n">
        <v>223691801</v>
      </c>
      <c r="M114" s="0" t="s">
        <v>363</v>
      </c>
      <c r="N114" s="0" t="n">
        <v>103053323</v>
      </c>
      <c r="O114" s="0" t="n">
        <v>404</v>
      </c>
      <c r="P114" s="0" t="n">
        <v>13.76</v>
      </c>
      <c r="Q114" s="0" t="str">
        <f aca="false">IFERROR(VLOOKUP(B114,[2]'Cost Correction'!$D$2:$AJ$1627,33,0),"")</f>
        <v/>
      </c>
    </row>
    <row r="115" customFormat="false" ht="15" hidden="false" customHeight="false" outlineLevel="0" collapsed="false">
      <c r="A115" s="0" t="str">
        <f aca="false">E115&amp;L115&amp;Q115</f>
        <v>43357223691828</v>
      </c>
      <c r="B115" s="0" t="s">
        <v>432</v>
      </c>
      <c r="C115" s="0" t="s">
        <v>433</v>
      </c>
      <c r="D115" s="0" t="s">
        <v>28</v>
      </c>
      <c r="E115" s="44" t="n">
        <v>43357</v>
      </c>
      <c r="F115" s="0" t="s">
        <v>64</v>
      </c>
      <c r="G115" s="0" t="n">
        <v>21337220</v>
      </c>
      <c r="H115" s="0" t="n">
        <v>720192</v>
      </c>
      <c r="I115" s="0" t="s">
        <v>34</v>
      </c>
      <c r="J115" s="0" t="s">
        <v>174</v>
      </c>
      <c r="K115" s="0" t="s">
        <v>91</v>
      </c>
      <c r="L115" s="0" t="n">
        <v>223691828</v>
      </c>
      <c r="M115" s="0" t="s">
        <v>399</v>
      </c>
      <c r="N115" s="0" t="n">
        <v>102902956</v>
      </c>
      <c r="O115" s="0" t="n">
        <v>286</v>
      </c>
      <c r="P115" s="0" t="n">
        <v>5.46</v>
      </c>
      <c r="Q115" s="0" t="str">
        <f aca="false">IFERROR(VLOOKUP(B115,[2]'Cost Correction'!$D$2:$AJ$1627,33,0),"")</f>
        <v/>
      </c>
    </row>
    <row r="116" customFormat="false" ht="15" hidden="true" customHeight="false" outlineLevel="0" collapsed="false">
      <c r="A116" s="0" t="str">
        <f aca="false">E116&amp;L116&amp;Q116</f>
        <v>43357223691825102916338</v>
      </c>
      <c r="B116" s="0" t="s">
        <v>434</v>
      </c>
      <c r="C116" s="0" t="s">
        <v>435</v>
      </c>
      <c r="D116" s="0" t="s">
        <v>28</v>
      </c>
      <c r="E116" s="44" t="n">
        <v>43357</v>
      </c>
      <c r="F116" s="0" t="s">
        <v>64</v>
      </c>
      <c r="G116" s="0" t="n">
        <v>21337220</v>
      </c>
      <c r="H116" s="0" t="n">
        <v>720192</v>
      </c>
      <c r="I116" s="0" t="s">
        <v>34</v>
      </c>
      <c r="J116" s="0" t="s">
        <v>174</v>
      </c>
      <c r="K116" s="0" t="s">
        <v>80</v>
      </c>
      <c r="L116" s="0" t="n">
        <v>223691825</v>
      </c>
      <c r="M116" s="0" t="s">
        <v>366</v>
      </c>
      <c r="N116" s="0" t="n">
        <v>102916338</v>
      </c>
      <c r="O116" s="0" t="n">
        <v>3424</v>
      </c>
      <c r="P116" s="0" t="n">
        <v>154.02</v>
      </c>
      <c r="Q116" s="0" t="n">
        <f aca="false">IFERROR(VLOOKUP(B116,[2]'Cost Correction'!$D$2:$AJ$1627,33,0),"")</f>
        <v>102916338</v>
      </c>
    </row>
    <row r="117" customFormat="false" ht="15" hidden="false" customHeight="false" outlineLevel="0" collapsed="false">
      <c r="A117" s="0" t="str">
        <f aca="false">E117&amp;L117&amp;Q117</f>
        <v>43357223691786</v>
      </c>
      <c r="B117" s="0" t="s">
        <v>436</v>
      </c>
      <c r="C117" s="0" t="s">
        <v>437</v>
      </c>
      <c r="D117" s="0" t="s">
        <v>28</v>
      </c>
      <c r="E117" s="44" t="n">
        <v>43357</v>
      </c>
      <c r="F117" s="0" t="s">
        <v>64</v>
      </c>
      <c r="G117" s="0" t="n">
        <v>21337220</v>
      </c>
      <c r="H117" s="0" t="n">
        <v>720192</v>
      </c>
      <c r="I117" s="0" t="s">
        <v>34</v>
      </c>
      <c r="J117" s="0" t="s">
        <v>174</v>
      </c>
      <c r="K117" s="0" t="s">
        <v>81</v>
      </c>
      <c r="L117" s="0" t="n">
        <v>223691786</v>
      </c>
      <c r="M117" s="0" t="s">
        <v>369</v>
      </c>
      <c r="N117" s="0" t="n">
        <v>103058720</v>
      </c>
      <c r="O117" s="0" t="n">
        <v>165</v>
      </c>
      <c r="P117" s="0" t="n">
        <v>4.13</v>
      </c>
      <c r="Q117" s="0" t="str">
        <f aca="false">IFERROR(VLOOKUP(B117,[2]'Cost Correction'!$D$2:$AJ$1627,33,0),"")</f>
        <v/>
      </c>
    </row>
    <row r="118" customFormat="false" ht="15" hidden="true" customHeight="false" outlineLevel="0" collapsed="false">
      <c r="A118" s="0" t="str">
        <f aca="false">E118&amp;L118&amp;Q118</f>
        <v>43357223691795102900688</v>
      </c>
      <c r="B118" s="0" t="s">
        <v>438</v>
      </c>
      <c r="C118" s="0" t="s">
        <v>439</v>
      </c>
      <c r="D118" s="0" t="s">
        <v>28</v>
      </c>
      <c r="E118" s="44" t="n">
        <v>43357</v>
      </c>
      <c r="F118" s="0" t="s">
        <v>64</v>
      </c>
      <c r="G118" s="0" t="n">
        <v>21337220</v>
      </c>
      <c r="H118" s="0" t="n">
        <v>720192</v>
      </c>
      <c r="I118" s="0" t="s">
        <v>34</v>
      </c>
      <c r="J118" s="0" t="s">
        <v>174</v>
      </c>
      <c r="K118" s="0" t="s">
        <v>87</v>
      </c>
      <c r="L118" s="0" t="n">
        <v>223691795</v>
      </c>
      <c r="M118" s="0" t="s">
        <v>387</v>
      </c>
      <c r="N118" s="0" t="n">
        <v>102900688</v>
      </c>
      <c r="O118" s="0" t="n">
        <v>2082</v>
      </c>
      <c r="P118" s="0" t="n">
        <v>47.64</v>
      </c>
      <c r="Q118" s="0" t="n">
        <f aca="false">IFERROR(VLOOKUP(B118,[2]'Cost Correction'!$D$2:$AJ$1627,33,0),"")</f>
        <v>102900688</v>
      </c>
    </row>
    <row r="119" customFormat="false" ht="15" hidden="false" customHeight="false" outlineLevel="0" collapsed="false">
      <c r="A119" s="0" t="str">
        <f aca="false">E119&amp;L119&amp;Q119</f>
        <v>43357227525720</v>
      </c>
      <c r="B119" s="0" t="s">
        <v>440</v>
      </c>
      <c r="C119" s="0" t="s">
        <v>441</v>
      </c>
      <c r="D119" s="0" t="s">
        <v>28</v>
      </c>
      <c r="E119" s="44" t="n">
        <v>43357</v>
      </c>
      <c r="F119" s="0" t="s">
        <v>64</v>
      </c>
      <c r="G119" s="0" t="n">
        <v>21337220</v>
      </c>
      <c r="H119" s="0" t="n">
        <v>720192</v>
      </c>
      <c r="I119" s="0" t="s">
        <v>34</v>
      </c>
      <c r="J119" s="0" t="s">
        <v>174</v>
      </c>
      <c r="K119" s="0" t="s">
        <v>85</v>
      </c>
      <c r="L119" s="0" t="n">
        <v>227525720</v>
      </c>
      <c r="M119" s="0" t="s">
        <v>381</v>
      </c>
      <c r="N119" s="0" t="n">
        <v>105130125</v>
      </c>
      <c r="O119" s="0" t="n">
        <v>2413</v>
      </c>
      <c r="P119" s="0" t="n">
        <v>31.88</v>
      </c>
      <c r="Q119" s="0" t="str">
        <f aca="false">IFERROR(VLOOKUP(B119,[2]'Cost Correction'!$D$2:$AJ$1627,33,0),"")</f>
        <v/>
      </c>
    </row>
    <row r="120" customFormat="false" ht="15" hidden="true" customHeight="false" outlineLevel="0" collapsed="false">
      <c r="A120" s="0" t="str">
        <f aca="false">E120&amp;L120&amp;Q120</f>
        <v>43357223691831102913800</v>
      </c>
      <c r="B120" s="0" t="s">
        <v>442</v>
      </c>
      <c r="C120" s="0" t="s">
        <v>443</v>
      </c>
      <c r="D120" s="0" t="s">
        <v>28</v>
      </c>
      <c r="E120" s="44" t="n">
        <v>43357</v>
      </c>
      <c r="F120" s="0" t="s">
        <v>64</v>
      </c>
      <c r="G120" s="0" t="n">
        <v>21337220</v>
      </c>
      <c r="H120" s="0" t="n">
        <v>720192</v>
      </c>
      <c r="I120" s="0" t="s">
        <v>34</v>
      </c>
      <c r="J120" s="0" t="s">
        <v>174</v>
      </c>
      <c r="K120" s="0" t="s">
        <v>70</v>
      </c>
      <c r="L120" s="0" t="n">
        <v>223691831</v>
      </c>
      <c r="M120" s="0" t="s">
        <v>336</v>
      </c>
      <c r="N120" s="0" t="n">
        <v>102913800</v>
      </c>
      <c r="O120" s="0" t="n">
        <v>5867</v>
      </c>
      <c r="P120" s="0" t="n">
        <v>160.47</v>
      </c>
      <c r="Q120" s="0" t="n">
        <f aca="false">IFERROR(VLOOKUP(B120,[2]'Cost Correction'!$D$2:$AJ$1627,33,0),"")</f>
        <v>102913800</v>
      </c>
    </row>
    <row r="121" customFormat="false" ht="15" hidden="true" customHeight="false" outlineLevel="0" collapsed="false">
      <c r="A121" s="0" t="str">
        <f aca="false">E121&amp;L121&amp;Q121</f>
        <v>43357223684451102901882</v>
      </c>
      <c r="B121" s="0" t="s">
        <v>444</v>
      </c>
      <c r="C121" s="0" t="s">
        <v>445</v>
      </c>
      <c r="D121" s="0" t="s">
        <v>28</v>
      </c>
      <c r="E121" s="44" t="n">
        <v>43357</v>
      </c>
      <c r="F121" s="0" t="s">
        <v>64</v>
      </c>
      <c r="G121" s="0" t="n">
        <v>21337220</v>
      </c>
      <c r="H121" s="0" t="n">
        <v>720192</v>
      </c>
      <c r="I121" s="0" t="s">
        <v>34</v>
      </c>
      <c r="J121" s="0" t="s">
        <v>174</v>
      </c>
      <c r="K121" s="0" t="s">
        <v>84</v>
      </c>
      <c r="L121" s="0" t="n">
        <v>223684451</v>
      </c>
      <c r="M121" s="0" t="s">
        <v>378</v>
      </c>
      <c r="N121" s="0" t="n">
        <v>102901882</v>
      </c>
      <c r="O121" s="0" t="n">
        <v>3479</v>
      </c>
      <c r="P121" s="0" t="n">
        <v>63.93</v>
      </c>
      <c r="Q121" s="0" t="n">
        <f aca="false">IFERROR(VLOOKUP(B121,[2]'Cost Correction'!$D$2:$AJ$1627,33,0),"")</f>
        <v>102901882</v>
      </c>
    </row>
    <row r="122" customFormat="false" ht="15" hidden="true" customHeight="false" outlineLevel="0" collapsed="false">
      <c r="A122" s="0" t="str">
        <f aca="false">E122&amp;L122&amp;Q122</f>
        <v>43357223691822103058708</v>
      </c>
      <c r="B122" s="0" t="s">
        <v>446</v>
      </c>
      <c r="C122" s="0" t="s">
        <v>447</v>
      </c>
      <c r="D122" s="0" t="s">
        <v>28</v>
      </c>
      <c r="E122" s="44" t="n">
        <v>43357</v>
      </c>
      <c r="F122" s="0" t="s">
        <v>64</v>
      </c>
      <c r="G122" s="0" t="n">
        <v>21337220</v>
      </c>
      <c r="H122" s="0" t="n">
        <v>720192</v>
      </c>
      <c r="I122" s="0" t="s">
        <v>34</v>
      </c>
      <c r="J122" s="0" t="s">
        <v>174</v>
      </c>
      <c r="K122" s="0" t="s">
        <v>89</v>
      </c>
      <c r="L122" s="0" t="n">
        <v>223691822</v>
      </c>
      <c r="M122" s="0" t="s">
        <v>393</v>
      </c>
      <c r="N122" s="0" t="n">
        <v>103058708</v>
      </c>
      <c r="O122" s="0" t="n">
        <v>1137</v>
      </c>
      <c r="P122" s="0" t="n">
        <v>32.29</v>
      </c>
      <c r="Q122" s="0" t="n">
        <f aca="false">IFERROR(VLOOKUP(B122,[2]'Cost Correction'!$D$2:$AJ$1627,33,0),"")</f>
        <v>103058708</v>
      </c>
    </row>
    <row r="123" customFormat="false" ht="15" hidden="false" customHeight="false" outlineLevel="0" collapsed="false">
      <c r="A123" s="0" t="str">
        <f aca="false">E123&amp;L123&amp;Q123</f>
        <v>43356223691834</v>
      </c>
      <c r="B123" s="0" t="s">
        <v>448</v>
      </c>
      <c r="C123" s="0" t="s">
        <v>449</v>
      </c>
      <c r="D123" s="0" t="s">
        <v>28</v>
      </c>
      <c r="E123" s="44" t="n">
        <v>43356</v>
      </c>
      <c r="F123" s="0" t="s">
        <v>64</v>
      </c>
      <c r="G123" s="0" t="n">
        <v>21337220</v>
      </c>
      <c r="H123" s="0" t="n">
        <v>720192</v>
      </c>
      <c r="I123" s="0" t="s">
        <v>34</v>
      </c>
      <c r="J123" s="0" t="s">
        <v>174</v>
      </c>
      <c r="K123" s="0" t="s">
        <v>88</v>
      </c>
      <c r="L123" s="0" t="n">
        <v>223691834</v>
      </c>
      <c r="M123" s="0" t="s">
        <v>390</v>
      </c>
      <c r="N123" s="0" t="n">
        <v>102902953</v>
      </c>
      <c r="O123" s="0" t="n">
        <v>386</v>
      </c>
      <c r="P123" s="0" t="n">
        <v>13.97</v>
      </c>
      <c r="Q123" s="0" t="str">
        <f aca="false">IFERROR(VLOOKUP(B123,[2]'Cost Correction'!$D$2:$AJ$1627,33,0),"")</f>
        <v/>
      </c>
    </row>
    <row r="124" customFormat="false" ht="15" hidden="true" customHeight="false" outlineLevel="0" collapsed="false">
      <c r="A124" s="0" t="str">
        <f aca="false">E124&amp;L124&amp;Q124</f>
        <v>43356223691840102902950</v>
      </c>
      <c r="B124" s="0" t="s">
        <v>450</v>
      </c>
      <c r="C124" s="0" t="s">
        <v>451</v>
      </c>
      <c r="D124" s="0" t="s">
        <v>28</v>
      </c>
      <c r="E124" s="44" t="n">
        <v>43356</v>
      </c>
      <c r="F124" s="0" t="s">
        <v>64</v>
      </c>
      <c r="G124" s="0" t="n">
        <v>21337220</v>
      </c>
      <c r="H124" s="0" t="n">
        <v>720192</v>
      </c>
      <c r="I124" s="0" t="s">
        <v>34</v>
      </c>
      <c r="J124" s="0" t="s">
        <v>174</v>
      </c>
      <c r="K124" s="0" t="s">
        <v>77</v>
      </c>
      <c r="L124" s="0" t="n">
        <v>223691840</v>
      </c>
      <c r="M124" s="0" t="s">
        <v>357</v>
      </c>
      <c r="N124" s="0" t="n">
        <v>102902950</v>
      </c>
      <c r="O124" s="0" t="n">
        <v>946</v>
      </c>
      <c r="P124" s="0" t="n">
        <v>18.26</v>
      </c>
      <c r="Q124" s="0" t="n">
        <f aca="false">IFERROR(VLOOKUP(B124,[2]'Cost Correction'!$D$2:$AJ$1627,33,0),"")</f>
        <v>102902950</v>
      </c>
    </row>
    <row r="125" customFormat="false" ht="15" hidden="true" customHeight="false" outlineLevel="0" collapsed="false">
      <c r="A125" s="0" t="str">
        <f aca="false">E125&amp;L125&amp;Q125</f>
        <v>43356223691786103058720</v>
      </c>
      <c r="B125" s="0" t="s">
        <v>452</v>
      </c>
      <c r="C125" s="0" t="s">
        <v>453</v>
      </c>
      <c r="D125" s="0" t="s">
        <v>28</v>
      </c>
      <c r="E125" s="44" t="n">
        <v>43356</v>
      </c>
      <c r="F125" s="0" t="s">
        <v>64</v>
      </c>
      <c r="G125" s="0" t="n">
        <v>21337220</v>
      </c>
      <c r="H125" s="0" t="n">
        <v>720192</v>
      </c>
      <c r="I125" s="0" t="s">
        <v>34</v>
      </c>
      <c r="J125" s="0" t="s">
        <v>174</v>
      </c>
      <c r="K125" s="0" t="s">
        <v>81</v>
      </c>
      <c r="L125" s="0" t="n">
        <v>223691786</v>
      </c>
      <c r="M125" s="0" t="s">
        <v>369</v>
      </c>
      <c r="N125" s="0" t="n">
        <v>103058720</v>
      </c>
      <c r="O125" s="0" t="n">
        <v>586</v>
      </c>
      <c r="P125" s="0" t="n">
        <v>14.17</v>
      </c>
      <c r="Q125" s="0" t="n">
        <f aca="false">IFERROR(VLOOKUP(B125,[2]'Cost Correction'!$D$2:$AJ$1627,33,0),"")</f>
        <v>103058720</v>
      </c>
    </row>
    <row r="126" customFormat="false" ht="15" hidden="false" customHeight="false" outlineLevel="0" collapsed="false">
      <c r="A126" s="0" t="str">
        <f aca="false">E126&amp;L126&amp;Q126</f>
        <v>43356223691828</v>
      </c>
      <c r="B126" s="0" t="s">
        <v>454</v>
      </c>
      <c r="C126" s="0" t="s">
        <v>455</v>
      </c>
      <c r="D126" s="0" t="s">
        <v>28</v>
      </c>
      <c r="E126" s="44" t="n">
        <v>43356</v>
      </c>
      <c r="F126" s="0" t="s">
        <v>64</v>
      </c>
      <c r="G126" s="0" t="n">
        <v>21337220</v>
      </c>
      <c r="H126" s="0" t="n">
        <v>720192</v>
      </c>
      <c r="I126" s="0" t="s">
        <v>34</v>
      </c>
      <c r="J126" s="0" t="s">
        <v>174</v>
      </c>
      <c r="K126" s="0" t="s">
        <v>91</v>
      </c>
      <c r="L126" s="0" t="n">
        <v>223691828</v>
      </c>
      <c r="M126" s="0" t="s">
        <v>399</v>
      </c>
      <c r="N126" s="0" t="n">
        <v>102902956</v>
      </c>
      <c r="O126" s="0" t="n">
        <v>106</v>
      </c>
      <c r="P126" s="0" t="n">
        <v>2.19</v>
      </c>
      <c r="Q126" s="0" t="str">
        <f aca="false">IFERROR(VLOOKUP(B126,[2]'Cost Correction'!$D$2:$AJ$1627,33,0),"")</f>
        <v/>
      </c>
    </row>
    <row r="127" customFormat="false" ht="15" hidden="false" customHeight="false" outlineLevel="0" collapsed="false">
      <c r="A127" s="0" t="str">
        <f aca="false">E127&amp;L127&amp;Q127</f>
        <v>43356223691801</v>
      </c>
      <c r="B127" s="0" t="s">
        <v>456</v>
      </c>
      <c r="C127" s="0" t="s">
        <v>457</v>
      </c>
      <c r="D127" s="0" t="s">
        <v>28</v>
      </c>
      <c r="E127" s="44" t="n">
        <v>43356</v>
      </c>
      <c r="F127" s="0" t="s">
        <v>64</v>
      </c>
      <c r="G127" s="0" t="n">
        <v>21337220</v>
      </c>
      <c r="H127" s="0" t="n">
        <v>720192</v>
      </c>
      <c r="I127" s="0" t="s">
        <v>34</v>
      </c>
      <c r="J127" s="0" t="s">
        <v>174</v>
      </c>
      <c r="K127" s="0" t="s">
        <v>79</v>
      </c>
      <c r="L127" s="0" t="n">
        <v>223691801</v>
      </c>
      <c r="M127" s="0" t="s">
        <v>363</v>
      </c>
      <c r="N127" s="0" t="n">
        <v>103053323</v>
      </c>
      <c r="O127" s="0" t="n">
        <v>144</v>
      </c>
      <c r="P127" s="0" t="n">
        <v>2.99</v>
      </c>
      <c r="Q127" s="0" t="str">
        <f aca="false">IFERROR(VLOOKUP(B127,[2]'Cost Correction'!$D$2:$AJ$1627,33,0),"")</f>
        <v/>
      </c>
    </row>
    <row r="128" customFormat="false" ht="15" hidden="true" customHeight="false" outlineLevel="0" collapsed="false">
      <c r="A128" s="0" t="str">
        <f aca="false">E128&amp;L128&amp;Q128</f>
        <v>43356223691798102916347</v>
      </c>
      <c r="B128" s="0" t="s">
        <v>458</v>
      </c>
      <c r="C128" s="0" t="s">
        <v>459</v>
      </c>
      <c r="D128" s="0" t="s">
        <v>28</v>
      </c>
      <c r="E128" s="44" t="n">
        <v>43356</v>
      </c>
      <c r="F128" s="0" t="s">
        <v>64</v>
      </c>
      <c r="G128" s="0" t="n">
        <v>21337220</v>
      </c>
      <c r="H128" s="0" t="n">
        <v>720192</v>
      </c>
      <c r="I128" s="0" t="s">
        <v>34</v>
      </c>
      <c r="J128" s="0" t="s">
        <v>174</v>
      </c>
      <c r="K128" s="0" t="s">
        <v>69</v>
      </c>
      <c r="L128" s="0" t="n">
        <v>223691798</v>
      </c>
      <c r="M128" s="0" t="s">
        <v>333</v>
      </c>
      <c r="N128" s="0" t="n">
        <v>102916347</v>
      </c>
      <c r="O128" s="0" t="n">
        <v>1250</v>
      </c>
      <c r="P128" s="0" t="n">
        <v>26.2</v>
      </c>
      <c r="Q128" s="0" t="n">
        <f aca="false">IFERROR(VLOOKUP(B128,[2]'Cost Correction'!$D$2:$AJ$1627,33,0),"")</f>
        <v>102916347</v>
      </c>
    </row>
    <row r="129" customFormat="false" ht="15" hidden="false" customHeight="false" outlineLevel="0" collapsed="false">
      <c r="A129" s="0" t="str">
        <f aca="false">E129&amp;L129&amp;Q129</f>
        <v>43356227618695</v>
      </c>
      <c r="B129" s="0" t="s">
        <v>460</v>
      </c>
      <c r="C129" s="0" t="s">
        <v>461</v>
      </c>
      <c r="D129" s="0" t="s">
        <v>28</v>
      </c>
      <c r="E129" s="44" t="n">
        <v>43356</v>
      </c>
      <c r="F129" s="0" t="s">
        <v>64</v>
      </c>
      <c r="G129" s="0" t="n">
        <v>21337220</v>
      </c>
      <c r="H129" s="0" t="n">
        <v>720192</v>
      </c>
      <c r="I129" s="0" t="s">
        <v>34</v>
      </c>
      <c r="J129" s="0" t="s">
        <v>174</v>
      </c>
      <c r="K129" s="0" t="s">
        <v>67</v>
      </c>
      <c r="L129" s="0" t="n">
        <v>227618695</v>
      </c>
      <c r="M129" s="0" t="s">
        <v>330</v>
      </c>
      <c r="N129" s="0" t="n">
        <v>105127638</v>
      </c>
      <c r="O129" s="0" t="n">
        <v>124</v>
      </c>
      <c r="P129" s="0" t="n">
        <v>1.52</v>
      </c>
      <c r="Q129" s="0" t="str">
        <f aca="false">IFERROR(VLOOKUP(B129,[2]'Cost Correction'!$D$2:$AJ$1627,33,0),"")</f>
        <v/>
      </c>
    </row>
    <row r="130" customFormat="false" ht="15" hidden="false" customHeight="false" outlineLevel="0" collapsed="false">
      <c r="A130" s="0" t="str">
        <f aca="false">E130&amp;L130&amp;Q130</f>
        <v>43356227522771</v>
      </c>
      <c r="B130" s="0" t="s">
        <v>462</v>
      </c>
      <c r="C130" s="0" t="s">
        <v>463</v>
      </c>
      <c r="D130" s="0" t="s">
        <v>28</v>
      </c>
      <c r="E130" s="44" t="n">
        <v>43356</v>
      </c>
      <c r="F130" s="0" t="s">
        <v>64</v>
      </c>
      <c r="G130" s="0" t="n">
        <v>21337220</v>
      </c>
      <c r="H130" s="0" t="n">
        <v>720192</v>
      </c>
      <c r="I130" s="0" t="s">
        <v>34</v>
      </c>
      <c r="J130" s="0" t="s">
        <v>174</v>
      </c>
      <c r="K130" s="0" t="s">
        <v>78</v>
      </c>
      <c r="L130" s="0" t="n">
        <v>227522771</v>
      </c>
      <c r="M130" s="0" t="s">
        <v>360</v>
      </c>
      <c r="N130" s="0" t="n">
        <v>105130128</v>
      </c>
      <c r="O130" s="0" t="n">
        <v>79</v>
      </c>
      <c r="P130" s="0" t="n">
        <v>1.19</v>
      </c>
      <c r="Q130" s="0" t="str">
        <f aca="false">IFERROR(VLOOKUP(B130,[2]'Cost Correction'!$D$2:$AJ$1627,33,0),"")</f>
        <v/>
      </c>
    </row>
    <row r="131" customFormat="false" ht="15" hidden="false" customHeight="false" outlineLevel="0" collapsed="false">
      <c r="A131" s="0" t="str">
        <f aca="false">E131&amp;L131&amp;Q131</f>
        <v>43356225322327</v>
      </c>
      <c r="B131" s="0" t="s">
        <v>464</v>
      </c>
      <c r="C131" s="0" t="s">
        <v>465</v>
      </c>
      <c r="D131" s="0" t="s">
        <v>28</v>
      </c>
      <c r="E131" s="44" t="n">
        <v>43356</v>
      </c>
      <c r="F131" s="0" t="s">
        <v>64</v>
      </c>
      <c r="G131" s="0" t="n">
        <v>21337220</v>
      </c>
      <c r="H131" s="0" t="n">
        <v>720192</v>
      </c>
      <c r="I131" s="0" t="s">
        <v>34</v>
      </c>
      <c r="J131" s="0" t="s">
        <v>174</v>
      </c>
      <c r="K131" s="0" t="s">
        <v>82</v>
      </c>
      <c r="L131" s="0" t="n">
        <v>225322327</v>
      </c>
      <c r="M131" s="0" t="s">
        <v>372</v>
      </c>
      <c r="N131" s="0" t="n">
        <v>103902287</v>
      </c>
      <c r="O131" s="0" t="n">
        <v>620</v>
      </c>
      <c r="P131" s="0" t="n">
        <v>12.21</v>
      </c>
      <c r="Q131" s="0" t="str">
        <f aca="false">IFERROR(VLOOKUP(B131,[2]'Cost Correction'!$D$2:$AJ$1627,33,0),"")</f>
        <v/>
      </c>
    </row>
    <row r="132" customFormat="false" ht="15" hidden="false" customHeight="false" outlineLevel="0" collapsed="false">
      <c r="A132" s="0" t="str">
        <f aca="false">E132&amp;L132&amp;Q132</f>
        <v>43356227522762</v>
      </c>
      <c r="B132" s="0" t="s">
        <v>466</v>
      </c>
      <c r="C132" s="0" t="s">
        <v>467</v>
      </c>
      <c r="D132" s="0" t="s">
        <v>28</v>
      </c>
      <c r="E132" s="44" t="n">
        <v>43356</v>
      </c>
      <c r="F132" s="0" t="s">
        <v>64</v>
      </c>
      <c r="G132" s="0" t="n">
        <v>21337220</v>
      </c>
      <c r="H132" s="0" t="n">
        <v>720192</v>
      </c>
      <c r="I132" s="0" t="s">
        <v>34</v>
      </c>
      <c r="J132" s="0" t="s">
        <v>174</v>
      </c>
      <c r="K132" s="0" t="s">
        <v>86</v>
      </c>
      <c r="L132" s="0" t="n">
        <v>227522762</v>
      </c>
      <c r="M132" s="0" t="s">
        <v>384</v>
      </c>
      <c r="N132" s="0" t="n">
        <v>105216992</v>
      </c>
      <c r="O132" s="0" t="n">
        <v>209</v>
      </c>
      <c r="P132" s="0" t="n">
        <v>3.19</v>
      </c>
      <c r="Q132" s="0" t="str">
        <f aca="false">IFERROR(VLOOKUP(B132,[2]'Cost Correction'!$D$2:$AJ$1627,33,0),"")</f>
        <v/>
      </c>
    </row>
    <row r="133" customFormat="false" ht="15" hidden="true" customHeight="false" outlineLevel="0" collapsed="false">
      <c r="A133" s="0" t="str">
        <f aca="false">E133&amp;L133&amp;Q133</f>
        <v>43356223684451102901882</v>
      </c>
      <c r="B133" s="0" t="s">
        <v>468</v>
      </c>
      <c r="C133" s="0" t="s">
        <v>469</v>
      </c>
      <c r="D133" s="0" t="s">
        <v>28</v>
      </c>
      <c r="E133" s="44" t="n">
        <v>43356</v>
      </c>
      <c r="F133" s="0" t="s">
        <v>64</v>
      </c>
      <c r="G133" s="0" t="n">
        <v>21337220</v>
      </c>
      <c r="H133" s="0" t="n">
        <v>720192</v>
      </c>
      <c r="I133" s="0" t="s">
        <v>34</v>
      </c>
      <c r="J133" s="0" t="s">
        <v>174</v>
      </c>
      <c r="K133" s="0" t="s">
        <v>84</v>
      </c>
      <c r="L133" s="0" t="n">
        <v>223684451</v>
      </c>
      <c r="M133" s="0" t="s">
        <v>378</v>
      </c>
      <c r="N133" s="0" t="n">
        <v>102901882</v>
      </c>
      <c r="O133" s="0" t="n">
        <v>4505</v>
      </c>
      <c r="P133" s="0" t="n">
        <v>81.51</v>
      </c>
      <c r="Q133" s="0" t="n">
        <f aca="false">IFERROR(VLOOKUP(B133,[2]'Cost Correction'!$D$2:$AJ$1627,33,0),"")</f>
        <v>102901882</v>
      </c>
    </row>
    <row r="134" customFormat="false" ht="15" hidden="true" customHeight="false" outlineLevel="0" collapsed="false">
      <c r="A134" s="0" t="str">
        <f aca="false">E134&amp;L134&amp;Q134</f>
        <v>43356223691831102913800</v>
      </c>
      <c r="B134" s="0" t="s">
        <v>470</v>
      </c>
      <c r="C134" s="0" t="s">
        <v>471</v>
      </c>
      <c r="D134" s="0" t="s">
        <v>28</v>
      </c>
      <c r="E134" s="44" t="n">
        <v>43356</v>
      </c>
      <c r="F134" s="0" t="s">
        <v>64</v>
      </c>
      <c r="G134" s="0" t="n">
        <v>21337220</v>
      </c>
      <c r="H134" s="0" t="n">
        <v>720192</v>
      </c>
      <c r="I134" s="0" t="s">
        <v>34</v>
      </c>
      <c r="J134" s="0" t="s">
        <v>174</v>
      </c>
      <c r="K134" s="0" t="s">
        <v>70</v>
      </c>
      <c r="L134" s="0" t="n">
        <v>223691831</v>
      </c>
      <c r="M134" s="0" t="s">
        <v>336</v>
      </c>
      <c r="N134" s="0" t="n">
        <v>102913800</v>
      </c>
      <c r="O134" s="0" t="n">
        <v>4596</v>
      </c>
      <c r="P134" s="0" t="n">
        <v>113.42</v>
      </c>
      <c r="Q134" s="0" t="n">
        <f aca="false">IFERROR(VLOOKUP(B134,[2]'Cost Correction'!$D$2:$AJ$1627,33,0),"")</f>
        <v>102913800</v>
      </c>
    </row>
    <row r="135" customFormat="false" ht="15" hidden="true" customHeight="false" outlineLevel="0" collapsed="false">
      <c r="A135" s="0" t="str">
        <f aca="false">E135&amp;L135&amp;Q135</f>
        <v>43356223691789102900691</v>
      </c>
      <c r="B135" s="0" t="s">
        <v>472</v>
      </c>
      <c r="C135" s="0" t="s">
        <v>473</v>
      </c>
      <c r="D135" s="0" t="s">
        <v>28</v>
      </c>
      <c r="E135" s="44" t="n">
        <v>43356</v>
      </c>
      <c r="F135" s="0" t="s">
        <v>64</v>
      </c>
      <c r="G135" s="0" t="n">
        <v>21337220</v>
      </c>
      <c r="H135" s="0" t="n">
        <v>720192</v>
      </c>
      <c r="I135" s="0" t="s">
        <v>34</v>
      </c>
      <c r="J135" s="0" t="s">
        <v>174</v>
      </c>
      <c r="K135" s="0" t="s">
        <v>74</v>
      </c>
      <c r="L135" s="0" t="n">
        <v>223691789</v>
      </c>
      <c r="M135" s="0" t="s">
        <v>348</v>
      </c>
      <c r="N135" s="0" t="n">
        <v>102900691</v>
      </c>
      <c r="O135" s="0" t="n">
        <v>1383</v>
      </c>
      <c r="P135" s="0" t="n">
        <v>49.42</v>
      </c>
      <c r="Q135" s="0" t="n">
        <f aca="false">IFERROR(VLOOKUP(B135,[2]'Cost Correction'!$D$2:$AJ$1627,33,0),"")</f>
        <v>102900691</v>
      </c>
    </row>
    <row r="136" customFormat="false" ht="15" hidden="true" customHeight="false" outlineLevel="0" collapsed="false">
      <c r="A136" s="0" t="str">
        <f aca="false">E136&amp;L136&amp;Q136</f>
        <v>43356223691819102900682</v>
      </c>
      <c r="B136" s="0" t="s">
        <v>474</v>
      </c>
      <c r="C136" s="0" t="s">
        <v>475</v>
      </c>
      <c r="D136" s="0" t="s">
        <v>28</v>
      </c>
      <c r="E136" s="44" t="n">
        <v>43356</v>
      </c>
      <c r="F136" s="0" t="s">
        <v>64</v>
      </c>
      <c r="G136" s="0" t="n">
        <v>21337220</v>
      </c>
      <c r="H136" s="0" t="n">
        <v>720192</v>
      </c>
      <c r="I136" s="0" t="s">
        <v>34</v>
      </c>
      <c r="J136" s="0" t="s">
        <v>174</v>
      </c>
      <c r="K136" s="0" t="s">
        <v>90</v>
      </c>
      <c r="L136" s="0" t="n">
        <v>223691819</v>
      </c>
      <c r="M136" s="0" t="s">
        <v>396</v>
      </c>
      <c r="N136" s="0" t="n">
        <v>102900682</v>
      </c>
      <c r="O136" s="0" t="n">
        <v>3095</v>
      </c>
      <c r="P136" s="0" t="n">
        <v>77.73</v>
      </c>
      <c r="Q136" s="0" t="n">
        <f aca="false">IFERROR(VLOOKUP(B136,[2]'Cost Correction'!$D$2:$AJ$1627,33,0),"")</f>
        <v>102900682</v>
      </c>
    </row>
    <row r="137" customFormat="false" ht="15" hidden="false" customHeight="false" outlineLevel="0" collapsed="false">
      <c r="A137" s="0" t="str">
        <f aca="false">E137&amp;L137&amp;Q137</f>
        <v>43356223691780</v>
      </c>
      <c r="B137" s="0" t="s">
        <v>476</v>
      </c>
      <c r="C137" s="0" t="s">
        <v>477</v>
      </c>
      <c r="D137" s="0" t="s">
        <v>28</v>
      </c>
      <c r="E137" s="44" t="n">
        <v>43356</v>
      </c>
      <c r="F137" s="0" t="s">
        <v>64</v>
      </c>
      <c r="G137" s="0" t="n">
        <v>21337220</v>
      </c>
      <c r="H137" s="0" t="n">
        <v>720192</v>
      </c>
      <c r="I137" s="0" t="s">
        <v>34</v>
      </c>
      <c r="J137" s="0" t="s">
        <v>174</v>
      </c>
      <c r="K137" s="0" t="s">
        <v>75</v>
      </c>
      <c r="L137" s="0" t="n">
        <v>223691780</v>
      </c>
      <c r="M137" s="0" t="s">
        <v>351</v>
      </c>
      <c r="N137" s="0" t="n">
        <v>103058726</v>
      </c>
      <c r="O137" s="0" t="n">
        <v>355</v>
      </c>
      <c r="P137" s="0" t="n">
        <v>13.05</v>
      </c>
      <c r="Q137" s="0" t="str">
        <f aca="false">IFERROR(VLOOKUP(B137,[2]'Cost Correction'!$D$2:$AJ$1627,33,0),"")</f>
        <v/>
      </c>
    </row>
    <row r="138" customFormat="false" ht="15" hidden="true" customHeight="false" outlineLevel="0" collapsed="false">
      <c r="A138" s="0" t="str">
        <f aca="false">E138&amp;L138&amp;Q138</f>
        <v>43356223691777102900697</v>
      </c>
      <c r="B138" s="0" t="s">
        <v>478</v>
      </c>
      <c r="C138" s="0" t="s">
        <v>479</v>
      </c>
      <c r="D138" s="0" t="s">
        <v>28</v>
      </c>
      <c r="E138" s="44" t="n">
        <v>43356</v>
      </c>
      <c r="F138" s="0" t="s">
        <v>64</v>
      </c>
      <c r="G138" s="0" t="n">
        <v>21337220</v>
      </c>
      <c r="H138" s="0" t="n">
        <v>720192</v>
      </c>
      <c r="I138" s="0" t="s">
        <v>34</v>
      </c>
      <c r="J138" s="0" t="s">
        <v>174</v>
      </c>
      <c r="K138" s="0" t="s">
        <v>72</v>
      </c>
      <c r="L138" s="0" t="n">
        <v>223691777</v>
      </c>
      <c r="M138" s="0" t="s">
        <v>342</v>
      </c>
      <c r="N138" s="0" t="n">
        <v>102900697</v>
      </c>
      <c r="O138" s="0" t="n">
        <v>133</v>
      </c>
      <c r="P138" s="0" t="n">
        <v>6.26</v>
      </c>
      <c r="Q138" s="0" t="n">
        <f aca="false">IFERROR(VLOOKUP(B138,[2]'Cost Correction'!$D$2:$AJ$1627,33,0),"")</f>
        <v>102900697</v>
      </c>
    </row>
    <row r="139" customFormat="false" ht="15" hidden="true" customHeight="false" outlineLevel="0" collapsed="false">
      <c r="A139" s="0" t="str">
        <f aca="false">E139&amp;L139&amp;Q139</f>
        <v>43356227525720105130125</v>
      </c>
      <c r="B139" s="0" t="s">
        <v>480</v>
      </c>
      <c r="C139" s="0" t="s">
        <v>481</v>
      </c>
      <c r="D139" s="0" t="s">
        <v>28</v>
      </c>
      <c r="E139" s="44" t="n">
        <v>43356</v>
      </c>
      <c r="F139" s="0" t="s">
        <v>64</v>
      </c>
      <c r="G139" s="0" t="n">
        <v>21337220</v>
      </c>
      <c r="H139" s="0" t="n">
        <v>720192</v>
      </c>
      <c r="I139" s="0" t="s">
        <v>34</v>
      </c>
      <c r="J139" s="0" t="s">
        <v>174</v>
      </c>
      <c r="K139" s="0" t="s">
        <v>85</v>
      </c>
      <c r="L139" s="0" t="n">
        <v>227525720</v>
      </c>
      <c r="M139" s="0" t="s">
        <v>381</v>
      </c>
      <c r="N139" s="0" t="n">
        <v>105130125</v>
      </c>
      <c r="O139" s="0" t="n">
        <v>9036</v>
      </c>
      <c r="P139" s="0" t="n">
        <v>121.39</v>
      </c>
      <c r="Q139" s="0" t="n">
        <f aca="false">IFERROR(VLOOKUP(B139,[2]'Cost Correction'!$D$2:$AJ$1627,33,0),"")</f>
        <v>105130125</v>
      </c>
    </row>
    <row r="140" customFormat="false" ht="15" hidden="true" customHeight="false" outlineLevel="0" collapsed="false">
      <c r="A140" s="0" t="str">
        <f aca="false">E140&amp;L140&amp;Q140</f>
        <v>43356223691795102900688</v>
      </c>
      <c r="B140" s="0" t="s">
        <v>482</v>
      </c>
      <c r="C140" s="0" t="s">
        <v>483</v>
      </c>
      <c r="D140" s="0" t="s">
        <v>28</v>
      </c>
      <c r="E140" s="44" t="n">
        <v>43356</v>
      </c>
      <c r="F140" s="0" t="s">
        <v>64</v>
      </c>
      <c r="G140" s="0" t="n">
        <v>21337220</v>
      </c>
      <c r="H140" s="0" t="n">
        <v>720192</v>
      </c>
      <c r="I140" s="0" t="s">
        <v>34</v>
      </c>
      <c r="J140" s="0" t="s">
        <v>174</v>
      </c>
      <c r="K140" s="0" t="s">
        <v>87</v>
      </c>
      <c r="L140" s="0" t="n">
        <v>223691795</v>
      </c>
      <c r="M140" s="0" t="s">
        <v>387</v>
      </c>
      <c r="N140" s="0" t="n">
        <v>102900688</v>
      </c>
      <c r="O140" s="0" t="n">
        <v>2654</v>
      </c>
      <c r="P140" s="0" t="n">
        <v>66.13</v>
      </c>
      <c r="Q140" s="0" t="n">
        <f aca="false">IFERROR(VLOOKUP(B140,[2]'Cost Correction'!$D$2:$AJ$1627,33,0),"")</f>
        <v>102900688</v>
      </c>
    </row>
    <row r="141" customFormat="false" ht="15" hidden="false" customHeight="false" outlineLevel="0" collapsed="false">
      <c r="A141" s="0" t="str">
        <f aca="false">E141&amp;L141&amp;Q141</f>
        <v>43356223691783</v>
      </c>
      <c r="B141" s="0" t="s">
        <v>484</v>
      </c>
      <c r="C141" s="0" t="s">
        <v>485</v>
      </c>
      <c r="D141" s="0" t="s">
        <v>28</v>
      </c>
      <c r="E141" s="44" t="n">
        <v>43356</v>
      </c>
      <c r="F141" s="0" t="s">
        <v>64</v>
      </c>
      <c r="G141" s="0" t="n">
        <v>21337220</v>
      </c>
      <c r="H141" s="0" t="n">
        <v>720192</v>
      </c>
      <c r="I141" s="0" t="s">
        <v>34</v>
      </c>
      <c r="J141" s="0" t="s">
        <v>174</v>
      </c>
      <c r="K141" s="0" t="s">
        <v>76</v>
      </c>
      <c r="L141" s="0" t="n">
        <v>223691783</v>
      </c>
      <c r="M141" s="0" t="s">
        <v>354</v>
      </c>
      <c r="N141" s="0" t="n">
        <v>103058723</v>
      </c>
      <c r="O141" s="0" t="n">
        <v>152</v>
      </c>
      <c r="P141" s="0" t="n">
        <v>5.92</v>
      </c>
      <c r="Q141" s="0" t="str">
        <f aca="false">IFERROR(VLOOKUP(B141,[2]'Cost Correction'!$D$2:$AJ$1627,33,0),"")</f>
        <v/>
      </c>
    </row>
    <row r="142" customFormat="false" ht="15" hidden="false" customHeight="false" outlineLevel="0" collapsed="false">
      <c r="A142" s="0" t="str">
        <f aca="false">E142&amp;L142&amp;Q142</f>
        <v>43356225322324</v>
      </c>
      <c r="B142" s="0" t="s">
        <v>486</v>
      </c>
      <c r="C142" s="0" t="s">
        <v>487</v>
      </c>
      <c r="D142" s="0" t="s">
        <v>28</v>
      </c>
      <c r="E142" s="44" t="n">
        <v>43356</v>
      </c>
      <c r="F142" s="0" t="s">
        <v>64</v>
      </c>
      <c r="G142" s="0" t="n">
        <v>21337220</v>
      </c>
      <c r="H142" s="0" t="n">
        <v>720192</v>
      </c>
      <c r="I142" s="0" t="s">
        <v>34</v>
      </c>
      <c r="J142" s="0" t="s">
        <v>174</v>
      </c>
      <c r="K142" s="0" t="s">
        <v>71</v>
      </c>
      <c r="L142" s="0" t="n">
        <v>225322324</v>
      </c>
      <c r="M142" s="0" t="s">
        <v>339</v>
      </c>
      <c r="N142" s="0" t="n">
        <v>103789915</v>
      </c>
      <c r="O142" s="0" t="n">
        <v>53</v>
      </c>
      <c r="P142" s="0" t="n">
        <v>1.18</v>
      </c>
      <c r="Q142" s="0" t="str">
        <f aca="false">IFERROR(VLOOKUP(B142,[2]'Cost Correction'!$D$2:$AJ$1627,33,0),"")</f>
        <v/>
      </c>
    </row>
    <row r="143" customFormat="false" ht="15" hidden="true" customHeight="false" outlineLevel="0" collapsed="false">
      <c r="A143" s="0" t="str">
        <f aca="false">E143&amp;L143&amp;Q143</f>
        <v>43356223691822103058708</v>
      </c>
      <c r="B143" s="0" t="s">
        <v>488</v>
      </c>
      <c r="C143" s="0" t="s">
        <v>489</v>
      </c>
      <c r="D143" s="0" t="s">
        <v>28</v>
      </c>
      <c r="E143" s="44" t="n">
        <v>43356</v>
      </c>
      <c r="F143" s="0" t="s">
        <v>64</v>
      </c>
      <c r="G143" s="0" t="n">
        <v>21337220</v>
      </c>
      <c r="H143" s="0" t="n">
        <v>720192</v>
      </c>
      <c r="I143" s="0" t="s">
        <v>34</v>
      </c>
      <c r="J143" s="0" t="s">
        <v>174</v>
      </c>
      <c r="K143" s="0" t="s">
        <v>89</v>
      </c>
      <c r="L143" s="0" t="n">
        <v>223691822</v>
      </c>
      <c r="M143" s="0" t="s">
        <v>393</v>
      </c>
      <c r="N143" s="0" t="n">
        <v>103058708</v>
      </c>
      <c r="O143" s="0" t="n">
        <v>3574</v>
      </c>
      <c r="P143" s="0" t="n">
        <v>66.76</v>
      </c>
      <c r="Q143" s="0" t="n">
        <f aca="false">IFERROR(VLOOKUP(B143,[2]'Cost Correction'!$D$2:$AJ$1627,33,0),"")</f>
        <v>103058708</v>
      </c>
    </row>
    <row r="144" customFormat="false" ht="15" hidden="true" customHeight="false" outlineLevel="0" collapsed="false">
      <c r="A144" s="0" t="str">
        <f aca="false">E144&amp;L144&amp;Q144</f>
        <v>43356223691837103053314</v>
      </c>
      <c r="B144" s="0" t="s">
        <v>490</v>
      </c>
      <c r="C144" s="0" t="s">
        <v>491</v>
      </c>
      <c r="D144" s="0" t="s">
        <v>28</v>
      </c>
      <c r="E144" s="44" t="n">
        <v>43356</v>
      </c>
      <c r="F144" s="0" t="s">
        <v>64</v>
      </c>
      <c r="G144" s="0" t="n">
        <v>21337220</v>
      </c>
      <c r="H144" s="0" t="n">
        <v>720192</v>
      </c>
      <c r="I144" s="0" t="s">
        <v>34</v>
      </c>
      <c r="J144" s="0" t="s">
        <v>174</v>
      </c>
      <c r="K144" s="0" t="s">
        <v>83</v>
      </c>
      <c r="L144" s="0" t="n">
        <v>223691837</v>
      </c>
      <c r="M144" s="0" t="s">
        <v>375</v>
      </c>
      <c r="N144" s="0" t="n">
        <v>103053314</v>
      </c>
      <c r="O144" s="0" t="n">
        <v>7343</v>
      </c>
      <c r="P144" s="0" t="n">
        <v>150.85</v>
      </c>
      <c r="Q144" s="0" t="n">
        <f aca="false">IFERROR(VLOOKUP(B144,[2]'Cost Correction'!$D$2:$AJ$1627,33,0),"")</f>
        <v>103053314</v>
      </c>
    </row>
    <row r="145" customFormat="false" ht="15" hidden="true" customHeight="false" outlineLevel="0" collapsed="false">
      <c r="A145" s="0" t="str">
        <f aca="false">E145&amp;L145&amp;Q145</f>
        <v>43356223691792102901894</v>
      </c>
      <c r="B145" s="0" t="s">
        <v>492</v>
      </c>
      <c r="C145" s="0" t="s">
        <v>493</v>
      </c>
      <c r="D145" s="0" t="s">
        <v>28</v>
      </c>
      <c r="E145" s="44" t="n">
        <v>43356</v>
      </c>
      <c r="F145" s="0" t="s">
        <v>64</v>
      </c>
      <c r="G145" s="0" t="n">
        <v>21337220</v>
      </c>
      <c r="H145" s="0" t="n">
        <v>720192</v>
      </c>
      <c r="I145" s="0" t="s">
        <v>34</v>
      </c>
      <c r="J145" s="0" t="s">
        <v>174</v>
      </c>
      <c r="K145" s="0" t="s">
        <v>73</v>
      </c>
      <c r="L145" s="0" t="n">
        <v>223691792</v>
      </c>
      <c r="M145" s="0" t="s">
        <v>345</v>
      </c>
      <c r="N145" s="0" t="n">
        <v>102901894</v>
      </c>
      <c r="O145" s="0" t="n">
        <v>438</v>
      </c>
      <c r="P145" s="0" t="n">
        <v>10.45</v>
      </c>
      <c r="Q145" s="0" t="n">
        <f aca="false">IFERROR(VLOOKUP(B145,[2]'Cost Correction'!$D$2:$AJ$1627,33,0),"")</f>
        <v>102901894</v>
      </c>
    </row>
    <row r="146" customFormat="false" ht="15" hidden="true" customHeight="false" outlineLevel="0" collapsed="false">
      <c r="A146" s="0" t="str">
        <f aca="false">E146&amp;L146&amp;Q146</f>
        <v>43356223691825102916338</v>
      </c>
      <c r="B146" s="0" t="s">
        <v>494</v>
      </c>
      <c r="C146" s="0" t="s">
        <v>495</v>
      </c>
      <c r="D146" s="0" t="s">
        <v>28</v>
      </c>
      <c r="E146" s="44" t="n">
        <v>43356</v>
      </c>
      <c r="F146" s="0" t="s">
        <v>64</v>
      </c>
      <c r="G146" s="0" t="n">
        <v>21337220</v>
      </c>
      <c r="H146" s="0" t="n">
        <v>720192</v>
      </c>
      <c r="I146" s="0" t="s">
        <v>34</v>
      </c>
      <c r="J146" s="0" t="s">
        <v>174</v>
      </c>
      <c r="K146" s="0" t="s">
        <v>80</v>
      </c>
      <c r="L146" s="0" t="n">
        <v>223691825</v>
      </c>
      <c r="M146" s="0" t="s">
        <v>366</v>
      </c>
      <c r="N146" s="0" t="n">
        <v>102916338</v>
      </c>
      <c r="O146" s="0" t="n">
        <v>3054</v>
      </c>
      <c r="P146" s="0" t="n">
        <v>108.06</v>
      </c>
      <c r="Q146" s="0" t="n">
        <f aca="false">IFERROR(VLOOKUP(B146,[2]'Cost Correction'!$D$2:$AJ$1627,33,0),"")</f>
        <v>102916338</v>
      </c>
    </row>
    <row r="147" customFormat="false" ht="15" hidden="false" customHeight="false" outlineLevel="0" collapsed="false">
      <c r="A147" s="0" t="str">
        <f aca="false">E147&amp;L147&amp;Q147</f>
        <v>43355227522771</v>
      </c>
      <c r="B147" s="0" t="s">
        <v>496</v>
      </c>
      <c r="C147" s="0" t="s">
        <v>497</v>
      </c>
      <c r="D147" s="0" t="s">
        <v>28</v>
      </c>
      <c r="E147" s="44" t="n">
        <v>43355</v>
      </c>
      <c r="F147" s="0" t="s">
        <v>64</v>
      </c>
      <c r="G147" s="0" t="n">
        <v>21337220</v>
      </c>
      <c r="H147" s="0" t="n">
        <v>720192</v>
      </c>
      <c r="I147" s="0" t="s">
        <v>34</v>
      </c>
      <c r="J147" s="0" t="s">
        <v>174</v>
      </c>
      <c r="K147" s="0" t="s">
        <v>78</v>
      </c>
      <c r="L147" s="0" t="n">
        <v>227522771</v>
      </c>
      <c r="M147" s="0" t="s">
        <v>360</v>
      </c>
      <c r="N147" s="0" t="n">
        <v>105130128</v>
      </c>
      <c r="O147" s="0" t="n">
        <v>147</v>
      </c>
      <c r="P147" s="0" t="n">
        <v>1.93</v>
      </c>
      <c r="Q147" s="0" t="str">
        <f aca="false">IFERROR(VLOOKUP(B147,[2]'Cost Correction'!$D$2:$AJ$1627,33,0),"")</f>
        <v/>
      </c>
    </row>
    <row r="148" customFormat="false" ht="15" hidden="true" customHeight="false" outlineLevel="0" collapsed="false">
      <c r="A148" s="0" t="str">
        <f aca="false">E148&amp;L148&amp;Q148</f>
        <v>43355223691777102900697</v>
      </c>
      <c r="B148" s="0" t="s">
        <v>498</v>
      </c>
      <c r="C148" s="0" t="s">
        <v>499</v>
      </c>
      <c r="D148" s="0" t="s">
        <v>28</v>
      </c>
      <c r="E148" s="44" t="n">
        <v>43355</v>
      </c>
      <c r="F148" s="0" t="s">
        <v>64</v>
      </c>
      <c r="G148" s="0" t="n">
        <v>21337220</v>
      </c>
      <c r="H148" s="0" t="n">
        <v>720192</v>
      </c>
      <c r="I148" s="0" t="s">
        <v>34</v>
      </c>
      <c r="J148" s="0" t="s">
        <v>174</v>
      </c>
      <c r="K148" s="0" t="s">
        <v>72</v>
      </c>
      <c r="L148" s="0" t="n">
        <v>223691777</v>
      </c>
      <c r="M148" s="0" t="s">
        <v>342</v>
      </c>
      <c r="N148" s="0" t="n">
        <v>102900697</v>
      </c>
      <c r="O148" s="0" t="n">
        <v>1152</v>
      </c>
      <c r="P148" s="0" t="n">
        <v>41.56</v>
      </c>
      <c r="Q148" s="0" t="n">
        <f aca="false">IFERROR(VLOOKUP(B148,[2]'Cost Correction'!$D$2:$AJ$1627,33,0),"")</f>
        <v>102900697</v>
      </c>
    </row>
    <row r="149" customFormat="false" ht="15" hidden="true" customHeight="false" outlineLevel="0" collapsed="false">
      <c r="A149" s="0" t="str">
        <f aca="false">E149&amp;L149&amp;Q149</f>
        <v>43355223691798102916347</v>
      </c>
      <c r="B149" s="0" t="s">
        <v>500</v>
      </c>
      <c r="C149" s="0" t="s">
        <v>501</v>
      </c>
      <c r="D149" s="0" t="s">
        <v>28</v>
      </c>
      <c r="E149" s="44" t="n">
        <v>43355</v>
      </c>
      <c r="F149" s="0" t="s">
        <v>64</v>
      </c>
      <c r="G149" s="0" t="n">
        <v>21337220</v>
      </c>
      <c r="H149" s="0" t="n">
        <v>720192</v>
      </c>
      <c r="I149" s="0" t="s">
        <v>34</v>
      </c>
      <c r="J149" s="0" t="s">
        <v>174</v>
      </c>
      <c r="K149" s="0" t="s">
        <v>69</v>
      </c>
      <c r="L149" s="0" t="n">
        <v>223691798</v>
      </c>
      <c r="M149" s="0" t="s">
        <v>333</v>
      </c>
      <c r="N149" s="0" t="n">
        <v>102916347</v>
      </c>
      <c r="O149" s="0" t="n">
        <v>1250</v>
      </c>
      <c r="P149" s="0" t="n">
        <v>32.62</v>
      </c>
      <c r="Q149" s="0" t="n">
        <f aca="false">IFERROR(VLOOKUP(B149,[2]'Cost Correction'!$D$2:$AJ$1627,33,0),"")</f>
        <v>102916347</v>
      </c>
    </row>
    <row r="150" customFormat="false" ht="15" hidden="true" customHeight="false" outlineLevel="0" collapsed="false">
      <c r="A150" s="0" t="str">
        <f aca="false">E150&amp;L150&amp;Q150</f>
        <v>43355223691840102902950</v>
      </c>
      <c r="B150" s="0" t="s">
        <v>502</v>
      </c>
      <c r="C150" s="0" t="s">
        <v>503</v>
      </c>
      <c r="D150" s="0" t="s">
        <v>28</v>
      </c>
      <c r="E150" s="44" t="n">
        <v>43355</v>
      </c>
      <c r="F150" s="0" t="s">
        <v>64</v>
      </c>
      <c r="G150" s="0" t="n">
        <v>21337220</v>
      </c>
      <c r="H150" s="0" t="n">
        <v>720192</v>
      </c>
      <c r="I150" s="0" t="s">
        <v>34</v>
      </c>
      <c r="J150" s="0" t="s">
        <v>174</v>
      </c>
      <c r="K150" s="0" t="s">
        <v>77</v>
      </c>
      <c r="L150" s="0" t="n">
        <v>223691840</v>
      </c>
      <c r="M150" s="0" t="s">
        <v>357</v>
      </c>
      <c r="N150" s="0" t="n">
        <v>102902950</v>
      </c>
      <c r="O150" s="0" t="n">
        <v>839</v>
      </c>
      <c r="P150" s="0" t="n">
        <v>16.11</v>
      </c>
      <c r="Q150" s="0" t="n">
        <f aca="false">IFERROR(VLOOKUP(B150,[2]'Cost Correction'!$D$2:$AJ$1627,33,0),"")</f>
        <v>102902950</v>
      </c>
    </row>
    <row r="151" customFormat="false" ht="15" hidden="true" customHeight="false" outlineLevel="0" collapsed="false">
      <c r="A151" s="0" t="str">
        <f aca="false">E151&amp;L151&amp;Q151</f>
        <v>43355223691801103053323</v>
      </c>
      <c r="B151" s="0" t="s">
        <v>504</v>
      </c>
      <c r="C151" s="0" t="s">
        <v>505</v>
      </c>
      <c r="D151" s="0" t="s">
        <v>28</v>
      </c>
      <c r="E151" s="44" t="n">
        <v>43355</v>
      </c>
      <c r="F151" s="0" t="s">
        <v>64</v>
      </c>
      <c r="G151" s="0" t="n">
        <v>21337220</v>
      </c>
      <c r="H151" s="0" t="n">
        <v>720192</v>
      </c>
      <c r="I151" s="0" t="s">
        <v>34</v>
      </c>
      <c r="J151" s="0" t="s">
        <v>174</v>
      </c>
      <c r="K151" s="0" t="s">
        <v>79</v>
      </c>
      <c r="L151" s="0" t="n">
        <v>223691801</v>
      </c>
      <c r="M151" s="0" t="s">
        <v>363</v>
      </c>
      <c r="N151" s="0" t="n">
        <v>103053323</v>
      </c>
      <c r="O151" s="0" t="n">
        <v>196</v>
      </c>
      <c r="P151" s="0" t="n">
        <v>4.43</v>
      </c>
      <c r="Q151" s="0" t="n">
        <f aca="false">IFERROR(VLOOKUP(B151,[2]'Cost Correction'!$D$2:$AJ$1627,33,0),"")</f>
        <v>103053323</v>
      </c>
    </row>
    <row r="152" customFormat="false" ht="15" hidden="true" customHeight="false" outlineLevel="0" collapsed="false">
      <c r="A152" s="0" t="str">
        <f aca="false">E152&amp;L152&amp;Q152</f>
        <v>43355223691831102913800</v>
      </c>
      <c r="B152" s="0" t="s">
        <v>506</v>
      </c>
      <c r="C152" s="0" t="s">
        <v>507</v>
      </c>
      <c r="D152" s="0" t="s">
        <v>28</v>
      </c>
      <c r="E152" s="44" t="n">
        <v>43355</v>
      </c>
      <c r="F152" s="0" t="s">
        <v>64</v>
      </c>
      <c r="G152" s="0" t="n">
        <v>21337220</v>
      </c>
      <c r="H152" s="0" t="n">
        <v>720192</v>
      </c>
      <c r="I152" s="0" t="s">
        <v>34</v>
      </c>
      <c r="J152" s="0" t="s">
        <v>174</v>
      </c>
      <c r="K152" s="0" t="s">
        <v>70</v>
      </c>
      <c r="L152" s="0" t="n">
        <v>223691831</v>
      </c>
      <c r="M152" s="0" t="s">
        <v>336</v>
      </c>
      <c r="N152" s="0" t="n">
        <v>102913800</v>
      </c>
      <c r="O152" s="0" t="n">
        <v>2054</v>
      </c>
      <c r="P152" s="0" t="n">
        <v>55.17</v>
      </c>
      <c r="Q152" s="0" t="n">
        <f aca="false">IFERROR(VLOOKUP(B152,[2]'Cost Correction'!$D$2:$AJ$1627,33,0),"")</f>
        <v>102913800</v>
      </c>
    </row>
    <row r="153" customFormat="false" ht="15" hidden="true" customHeight="false" outlineLevel="0" collapsed="false">
      <c r="A153" s="0" t="str">
        <f aca="false">E153&amp;L153&amp;Q153</f>
        <v>43355223691825102916338</v>
      </c>
      <c r="B153" s="0" t="s">
        <v>508</v>
      </c>
      <c r="C153" s="0" t="s">
        <v>509</v>
      </c>
      <c r="D153" s="0" t="s">
        <v>28</v>
      </c>
      <c r="E153" s="44" t="n">
        <v>43355</v>
      </c>
      <c r="F153" s="0" t="s">
        <v>64</v>
      </c>
      <c r="G153" s="0" t="n">
        <v>21337220</v>
      </c>
      <c r="H153" s="0" t="n">
        <v>720192</v>
      </c>
      <c r="I153" s="0" t="s">
        <v>34</v>
      </c>
      <c r="J153" s="0" t="s">
        <v>174</v>
      </c>
      <c r="K153" s="0" t="s">
        <v>80</v>
      </c>
      <c r="L153" s="0" t="n">
        <v>223691825</v>
      </c>
      <c r="M153" s="0" t="s">
        <v>366</v>
      </c>
      <c r="N153" s="0" t="n">
        <v>102916338</v>
      </c>
      <c r="O153" s="0" t="n">
        <v>2093</v>
      </c>
      <c r="P153" s="0" t="n">
        <v>75.04</v>
      </c>
      <c r="Q153" s="0" t="n">
        <f aca="false">IFERROR(VLOOKUP(B153,[2]'Cost Correction'!$D$2:$AJ$1627,33,0),"")</f>
        <v>102916338</v>
      </c>
    </row>
    <row r="154" customFormat="false" ht="15" hidden="true" customHeight="false" outlineLevel="0" collapsed="false">
      <c r="A154" s="0" t="str">
        <f aca="false">E154&amp;L154&amp;Q154</f>
        <v>43355223691828102902956</v>
      </c>
      <c r="B154" s="0" t="s">
        <v>510</v>
      </c>
      <c r="C154" s="0" t="s">
        <v>511</v>
      </c>
      <c r="D154" s="0" t="s">
        <v>28</v>
      </c>
      <c r="E154" s="44" t="n">
        <v>43355</v>
      </c>
      <c r="F154" s="0" t="s">
        <v>64</v>
      </c>
      <c r="G154" s="0" t="n">
        <v>21337220</v>
      </c>
      <c r="H154" s="0" t="n">
        <v>720192</v>
      </c>
      <c r="I154" s="0" t="s">
        <v>34</v>
      </c>
      <c r="J154" s="0" t="s">
        <v>174</v>
      </c>
      <c r="K154" s="0" t="s">
        <v>91</v>
      </c>
      <c r="L154" s="0" t="n">
        <v>223691828</v>
      </c>
      <c r="M154" s="0" t="s">
        <v>399</v>
      </c>
      <c r="N154" s="0" t="n">
        <v>102902956</v>
      </c>
      <c r="O154" s="0" t="n">
        <v>70</v>
      </c>
      <c r="P154" s="0" t="n">
        <v>1.01</v>
      </c>
      <c r="Q154" s="0" t="n">
        <f aca="false">IFERROR(VLOOKUP(B154,[2]'Cost Correction'!$D$2:$AJ$1627,33,0),"")</f>
        <v>102902956</v>
      </c>
    </row>
    <row r="155" customFormat="false" ht="15" hidden="true" customHeight="false" outlineLevel="0" collapsed="false">
      <c r="A155" s="0" t="str">
        <f aca="false">E155&amp;L155&amp;Q155</f>
        <v>43355227525720105130125</v>
      </c>
      <c r="B155" s="0" t="s">
        <v>512</v>
      </c>
      <c r="C155" s="0" t="s">
        <v>513</v>
      </c>
      <c r="D155" s="0" t="s">
        <v>28</v>
      </c>
      <c r="E155" s="44" t="n">
        <v>43355</v>
      </c>
      <c r="F155" s="0" t="s">
        <v>64</v>
      </c>
      <c r="G155" s="0" t="n">
        <v>21337220</v>
      </c>
      <c r="H155" s="0" t="n">
        <v>720192</v>
      </c>
      <c r="I155" s="0" t="s">
        <v>34</v>
      </c>
      <c r="J155" s="0" t="s">
        <v>174</v>
      </c>
      <c r="K155" s="0" t="s">
        <v>85</v>
      </c>
      <c r="L155" s="0" t="n">
        <v>227525720</v>
      </c>
      <c r="M155" s="0" t="s">
        <v>381</v>
      </c>
      <c r="N155" s="0" t="n">
        <v>105130125</v>
      </c>
      <c r="O155" s="0" t="n">
        <v>12718</v>
      </c>
      <c r="P155" s="0" t="n">
        <v>171.51</v>
      </c>
      <c r="Q155" s="0" t="n">
        <f aca="false">IFERROR(VLOOKUP(B155,[2]'Cost Correction'!$D$2:$AJ$1627,33,0),"")</f>
        <v>105130125</v>
      </c>
    </row>
    <row r="156" customFormat="false" ht="15" hidden="true" customHeight="false" outlineLevel="0" collapsed="false">
      <c r="A156" s="0" t="str">
        <f aca="false">E156&amp;L156&amp;Q156</f>
        <v>43355223691795102900688</v>
      </c>
      <c r="B156" s="0" t="s">
        <v>514</v>
      </c>
      <c r="C156" s="0" t="s">
        <v>515</v>
      </c>
      <c r="D156" s="0" t="s">
        <v>28</v>
      </c>
      <c r="E156" s="44" t="n">
        <v>43355</v>
      </c>
      <c r="F156" s="0" t="s">
        <v>64</v>
      </c>
      <c r="G156" s="0" t="n">
        <v>21337220</v>
      </c>
      <c r="H156" s="0" t="n">
        <v>720192</v>
      </c>
      <c r="I156" s="0" t="s">
        <v>34</v>
      </c>
      <c r="J156" s="0" t="s">
        <v>174</v>
      </c>
      <c r="K156" s="0" t="s">
        <v>87</v>
      </c>
      <c r="L156" s="0" t="n">
        <v>223691795</v>
      </c>
      <c r="M156" s="0" t="s">
        <v>387</v>
      </c>
      <c r="N156" s="0" t="n">
        <v>102900688</v>
      </c>
      <c r="O156" s="0" t="n">
        <v>1267</v>
      </c>
      <c r="P156" s="0" t="n">
        <v>32.28</v>
      </c>
      <c r="Q156" s="0" t="n">
        <f aca="false">IFERROR(VLOOKUP(B156,[2]'Cost Correction'!$D$2:$AJ$1627,33,0),"")</f>
        <v>102900688</v>
      </c>
    </row>
    <row r="157" customFormat="false" ht="15" hidden="true" customHeight="false" outlineLevel="0" collapsed="false">
      <c r="A157" s="0" t="str">
        <f aca="false">E157&amp;L157&amp;Q157</f>
        <v>43355223691819102900682</v>
      </c>
      <c r="B157" s="0" t="s">
        <v>516</v>
      </c>
      <c r="C157" s="0" t="s">
        <v>517</v>
      </c>
      <c r="D157" s="0" t="s">
        <v>28</v>
      </c>
      <c r="E157" s="44" t="n">
        <v>43355</v>
      </c>
      <c r="F157" s="0" t="s">
        <v>64</v>
      </c>
      <c r="G157" s="0" t="n">
        <v>21337220</v>
      </c>
      <c r="H157" s="0" t="n">
        <v>720192</v>
      </c>
      <c r="I157" s="0" t="s">
        <v>34</v>
      </c>
      <c r="J157" s="0" t="s">
        <v>174</v>
      </c>
      <c r="K157" s="0" t="s">
        <v>90</v>
      </c>
      <c r="L157" s="0" t="n">
        <v>223691819</v>
      </c>
      <c r="M157" s="0" t="s">
        <v>396</v>
      </c>
      <c r="N157" s="0" t="n">
        <v>102900682</v>
      </c>
      <c r="O157" s="0" t="n">
        <v>5169</v>
      </c>
      <c r="P157" s="0" t="n">
        <v>118.28</v>
      </c>
      <c r="Q157" s="0" t="n">
        <f aca="false">IFERROR(VLOOKUP(B157,[2]'Cost Correction'!$D$2:$AJ$1627,33,0),"")</f>
        <v>102900682</v>
      </c>
    </row>
    <row r="158" customFormat="false" ht="15" hidden="false" customHeight="false" outlineLevel="0" collapsed="false">
      <c r="A158" s="0" t="str">
        <f aca="false">E158&amp;L158&amp;Q158</f>
        <v>43355223691786</v>
      </c>
      <c r="B158" s="0" t="s">
        <v>518</v>
      </c>
      <c r="C158" s="0" t="s">
        <v>519</v>
      </c>
      <c r="D158" s="0" t="s">
        <v>28</v>
      </c>
      <c r="E158" s="44" t="n">
        <v>43355</v>
      </c>
      <c r="F158" s="0" t="s">
        <v>64</v>
      </c>
      <c r="G158" s="0" t="n">
        <v>21337220</v>
      </c>
      <c r="H158" s="0" t="n">
        <v>720192</v>
      </c>
      <c r="I158" s="0" t="s">
        <v>34</v>
      </c>
      <c r="J158" s="0" t="s">
        <v>174</v>
      </c>
      <c r="K158" s="0" t="s">
        <v>81</v>
      </c>
      <c r="L158" s="0" t="n">
        <v>223691786</v>
      </c>
      <c r="M158" s="0" t="s">
        <v>369</v>
      </c>
      <c r="N158" s="0" t="n">
        <v>103058720</v>
      </c>
      <c r="O158" s="0" t="n">
        <v>315</v>
      </c>
      <c r="P158" s="0" t="n">
        <v>7.64</v>
      </c>
      <c r="Q158" s="0" t="str">
        <f aca="false">IFERROR(VLOOKUP(B158,[2]'Cost Correction'!$D$2:$AJ$1627,33,0),"")</f>
        <v/>
      </c>
    </row>
    <row r="159" customFormat="false" ht="15" hidden="false" customHeight="false" outlineLevel="0" collapsed="false">
      <c r="A159" s="0" t="str">
        <f aca="false">E159&amp;L159&amp;Q159</f>
        <v>43355227522762</v>
      </c>
      <c r="B159" s="0" t="s">
        <v>520</v>
      </c>
      <c r="C159" s="0" t="s">
        <v>521</v>
      </c>
      <c r="D159" s="0" t="s">
        <v>28</v>
      </c>
      <c r="E159" s="44" t="n">
        <v>43355</v>
      </c>
      <c r="F159" s="0" t="s">
        <v>64</v>
      </c>
      <c r="G159" s="0" t="n">
        <v>21337220</v>
      </c>
      <c r="H159" s="0" t="n">
        <v>720192</v>
      </c>
      <c r="I159" s="0" t="s">
        <v>34</v>
      </c>
      <c r="J159" s="0" t="s">
        <v>174</v>
      </c>
      <c r="K159" s="0" t="s">
        <v>86</v>
      </c>
      <c r="L159" s="0" t="n">
        <v>227522762</v>
      </c>
      <c r="M159" s="0" t="s">
        <v>384</v>
      </c>
      <c r="N159" s="0" t="n">
        <v>105216992</v>
      </c>
      <c r="O159" s="0" t="n">
        <v>1073</v>
      </c>
      <c r="P159" s="0" t="n">
        <v>9.89</v>
      </c>
      <c r="Q159" s="0" t="str">
        <f aca="false">IFERROR(VLOOKUP(B159,[2]'Cost Correction'!$D$2:$AJ$1627,33,0),"")</f>
        <v/>
      </c>
    </row>
    <row r="160" customFormat="false" ht="15" hidden="true" customHeight="false" outlineLevel="0" collapsed="false">
      <c r="A160" s="0" t="str">
        <f aca="false">E160&amp;L160&amp;Q160</f>
        <v>43355223684451102901882</v>
      </c>
      <c r="B160" s="0" t="s">
        <v>522</v>
      </c>
      <c r="C160" s="0" t="s">
        <v>523</v>
      </c>
      <c r="D160" s="0" t="s">
        <v>28</v>
      </c>
      <c r="E160" s="44" t="n">
        <v>43355</v>
      </c>
      <c r="F160" s="0" t="s">
        <v>64</v>
      </c>
      <c r="G160" s="0" t="n">
        <v>21337220</v>
      </c>
      <c r="H160" s="0" t="n">
        <v>720192</v>
      </c>
      <c r="I160" s="0" t="s">
        <v>34</v>
      </c>
      <c r="J160" s="0" t="s">
        <v>174</v>
      </c>
      <c r="K160" s="0" t="s">
        <v>84</v>
      </c>
      <c r="L160" s="0" t="n">
        <v>223684451</v>
      </c>
      <c r="M160" s="0" t="s">
        <v>378</v>
      </c>
      <c r="N160" s="0" t="n">
        <v>102901882</v>
      </c>
      <c r="O160" s="0" t="n">
        <v>4392</v>
      </c>
      <c r="P160" s="0" t="n">
        <v>81.76</v>
      </c>
      <c r="Q160" s="0" t="n">
        <f aca="false">IFERROR(VLOOKUP(B160,[2]'Cost Correction'!$D$2:$AJ$1627,33,0),"")</f>
        <v>102901882</v>
      </c>
    </row>
    <row r="161" customFormat="false" ht="15" hidden="false" customHeight="false" outlineLevel="0" collapsed="false">
      <c r="A161" s="0" t="str">
        <f aca="false">E161&amp;L161&amp;Q161</f>
        <v>43355225322324</v>
      </c>
      <c r="B161" s="0" t="s">
        <v>524</v>
      </c>
      <c r="C161" s="0" t="s">
        <v>525</v>
      </c>
      <c r="D161" s="0" t="s">
        <v>28</v>
      </c>
      <c r="E161" s="44" t="n">
        <v>43355</v>
      </c>
      <c r="F161" s="0" t="s">
        <v>64</v>
      </c>
      <c r="G161" s="0" t="n">
        <v>21337220</v>
      </c>
      <c r="H161" s="0" t="n">
        <v>720192</v>
      </c>
      <c r="I161" s="0" t="s">
        <v>34</v>
      </c>
      <c r="J161" s="0" t="s">
        <v>174</v>
      </c>
      <c r="K161" s="0" t="s">
        <v>71</v>
      </c>
      <c r="L161" s="0" t="n">
        <v>225322324</v>
      </c>
      <c r="M161" s="0" t="s">
        <v>339</v>
      </c>
      <c r="N161" s="0" t="n">
        <v>103789915</v>
      </c>
      <c r="O161" s="0" t="n">
        <v>644</v>
      </c>
      <c r="P161" s="0" t="n">
        <v>11.49</v>
      </c>
      <c r="Q161" s="0" t="str">
        <f aca="false">IFERROR(VLOOKUP(B161,[2]'Cost Correction'!$D$2:$AJ$1627,33,0),"")</f>
        <v/>
      </c>
    </row>
    <row r="162" customFormat="false" ht="15" hidden="true" customHeight="false" outlineLevel="0" collapsed="false">
      <c r="A162" s="0" t="str">
        <f aca="false">E162&amp;L162&amp;Q162</f>
        <v>43355223691837103053314</v>
      </c>
      <c r="B162" s="0" t="s">
        <v>526</v>
      </c>
      <c r="C162" s="0" t="s">
        <v>527</v>
      </c>
      <c r="D162" s="0" t="s">
        <v>28</v>
      </c>
      <c r="E162" s="44" t="n">
        <v>43355</v>
      </c>
      <c r="F162" s="0" t="s">
        <v>64</v>
      </c>
      <c r="G162" s="0" t="n">
        <v>21337220</v>
      </c>
      <c r="H162" s="0" t="n">
        <v>720192</v>
      </c>
      <c r="I162" s="0" t="s">
        <v>34</v>
      </c>
      <c r="J162" s="0" t="s">
        <v>174</v>
      </c>
      <c r="K162" s="0" t="s">
        <v>83</v>
      </c>
      <c r="L162" s="0" t="n">
        <v>223691837</v>
      </c>
      <c r="M162" s="0" t="s">
        <v>375</v>
      </c>
      <c r="N162" s="0" t="n">
        <v>103053314</v>
      </c>
      <c r="O162" s="0" t="n">
        <v>3481</v>
      </c>
      <c r="P162" s="0" t="n">
        <v>64.75</v>
      </c>
      <c r="Q162" s="0" t="n">
        <f aca="false">IFERROR(VLOOKUP(B162,[2]'Cost Correction'!$D$2:$AJ$1627,33,0),"")</f>
        <v>103053314</v>
      </c>
    </row>
    <row r="163" customFormat="false" ht="15" hidden="false" customHeight="false" outlineLevel="0" collapsed="false">
      <c r="A163" s="0" t="str">
        <f aca="false">E163&amp;L163&amp;Q163</f>
        <v>43355225322327</v>
      </c>
      <c r="B163" s="0" t="s">
        <v>528</v>
      </c>
      <c r="C163" s="0" t="s">
        <v>529</v>
      </c>
      <c r="D163" s="0" t="s">
        <v>28</v>
      </c>
      <c r="E163" s="44" t="n">
        <v>43355</v>
      </c>
      <c r="F163" s="0" t="s">
        <v>64</v>
      </c>
      <c r="G163" s="0" t="n">
        <v>21337220</v>
      </c>
      <c r="H163" s="0" t="n">
        <v>720192</v>
      </c>
      <c r="I163" s="0" t="s">
        <v>34</v>
      </c>
      <c r="J163" s="0" t="s">
        <v>174</v>
      </c>
      <c r="K163" s="0" t="s">
        <v>82</v>
      </c>
      <c r="L163" s="0" t="n">
        <v>225322327</v>
      </c>
      <c r="M163" s="0" t="s">
        <v>372</v>
      </c>
      <c r="N163" s="0" t="n">
        <v>103902287</v>
      </c>
      <c r="O163" s="0" t="n">
        <v>803</v>
      </c>
      <c r="P163" s="0" t="n">
        <v>12.95</v>
      </c>
      <c r="Q163" s="0" t="str">
        <f aca="false">IFERROR(VLOOKUP(B163,[2]'Cost Correction'!$D$2:$AJ$1627,33,0),"")</f>
        <v/>
      </c>
    </row>
    <row r="164" customFormat="false" ht="15" hidden="false" customHeight="false" outlineLevel="0" collapsed="false">
      <c r="A164" s="0" t="str">
        <f aca="false">E164&amp;L164&amp;Q164</f>
        <v>43355227618695</v>
      </c>
      <c r="B164" s="0" t="s">
        <v>530</v>
      </c>
      <c r="C164" s="0" t="s">
        <v>531</v>
      </c>
      <c r="D164" s="0" t="s">
        <v>28</v>
      </c>
      <c r="E164" s="44" t="n">
        <v>43355</v>
      </c>
      <c r="F164" s="0" t="s">
        <v>64</v>
      </c>
      <c r="G164" s="0" t="n">
        <v>21337220</v>
      </c>
      <c r="H164" s="0" t="n">
        <v>720192</v>
      </c>
      <c r="I164" s="0" t="s">
        <v>34</v>
      </c>
      <c r="J164" s="0" t="s">
        <v>174</v>
      </c>
      <c r="K164" s="0" t="s">
        <v>67</v>
      </c>
      <c r="L164" s="0" t="n">
        <v>227618695</v>
      </c>
      <c r="M164" s="0" t="s">
        <v>330</v>
      </c>
      <c r="N164" s="0" t="n">
        <v>105127638</v>
      </c>
      <c r="O164" s="0" t="n">
        <v>236</v>
      </c>
      <c r="P164" s="0" t="n">
        <v>3.71</v>
      </c>
      <c r="Q164" s="0" t="str">
        <f aca="false">IFERROR(VLOOKUP(B164,[2]'Cost Correction'!$D$2:$AJ$1627,33,0),"")</f>
        <v/>
      </c>
    </row>
    <row r="165" customFormat="false" ht="15" hidden="false" customHeight="false" outlineLevel="0" collapsed="false">
      <c r="A165" s="0" t="str">
        <f aca="false">E165&amp;L165&amp;Q165</f>
        <v>43355223691783</v>
      </c>
      <c r="B165" s="0" t="s">
        <v>532</v>
      </c>
      <c r="C165" s="0" t="s">
        <v>533</v>
      </c>
      <c r="D165" s="0" t="s">
        <v>28</v>
      </c>
      <c r="E165" s="44" t="n">
        <v>43355</v>
      </c>
      <c r="F165" s="0" t="s">
        <v>64</v>
      </c>
      <c r="G165" s="0" t="n">
        <v>21337220</v>
      </c>
      <c r="H165" s="0" t="n">
        <v>720192</v>
      </c>
      <c r="I165" s="0" t="s">
        <v>34</v>
      </c>
      <c r="J165" s="0" t="s">
        <v>174</v>
      </c>
      <c r="K165" s="0" t="s">
        <v>76</v>
      </c>
      <c r="L165" s="0" t="n">
        <v>223691783</v>
      </c>
      <c r="M165" s="0" t="s">
        <v>354</v>
      </c>
      <c r="N165" s="0" t="n">
        <v>103058723</v>
      </c>
      <c r="O165" s="0" t="n">
        <v>78</v>
      </c>
      <c r="P165" s="0" t="n">
        <v>1.85</v>
      </c>
      <c r="Q165" s="0" t="str">
        <f aca="false">IFERROR(VLOOKUP(B165,[2]'Cost Correction'!$D$2:$AJ$1627,33,0),"")</f>
        <v/>
      </c>
    </row>
    <row r="166" customFormat="false" ht="15" hidden="true" customHeight="false" outlineLevel="0" collapsed="false">
      <c r="A166" s="0" t="str">
        <f aca="false">E166&amp;L166&amp;Q166</f>
        <v>43355223691780103058726</v>
      </c>
      <c r="B166" s="0" t="s">
        <v>534</v>
      </c>
      <c r="C166" s="0" t="s">
        <v>535</v>
      </c>
      <c r="D166" s="0" t="s">
        <v>28</v>
      </c>
      <c r="E166" s="44" t="n">
        <v>43355</v>
      </c>
      <c r="F166" s="0" t="s">
        <v>64</v>
      </c>
      <c r="G166" s="0" t="n">
        <v>21337220</v>
      </c>
      <c r="H166" s="0" t="n">
        <v>720192</v>
      </c>
      <c r="I166" s="0" t="s">
        <v>34</v>
      </c>
      <c r="J166" s="0" t="s">
        <v>174</v>
      </c>
      <c r="K166" s="0" t="s">
        <v>75</v>
      </c>
      <c r="L166" s="0" t="n">
        <v>223691780</v>
      </c>
      <c r="M166" s="0" t="s">
        <v>351</v>
      </c>
      <c r="N166" s="0" t="n">
        <v>103058726</v>
      </c>
      <c r="O166" s="0" t="n">
        <v>286</v>
      </c>
      <c r="P166" s="0" t="n">
        <v>10.03</v>
      </c>
      <c r="Q166" s="0" t="n">
        <f aca="false">IFERROR(VLOOKUP(B166,[2]'Cost Correction'!$D$2:$AJ$1627,33,0),"")</f>
        <v>103058726</v>
      </c>
    </row>
    <row r="167" customFormat="false" ht="15" hidden="true" customHeight="false" outlineLevel="0" collapsed="false">
      <c r="A167" s="0" t="str">
        <f aca="false">E167&amp;L167&amp;Q167</f>
        <v>43355223691822103058708</v>
      </c>
      <c r="B167" s="0" t="s">
        <v>536</v>
      </c>
      <c r="C167" s="0" t="s">
        <v>537</v>
      </c>
      <c r="D167" s="0" t="s">
        <v>28</v>
      </c>
      <c r="E167" s="44" t="n">
        <v>43355</v>
      </c>
      <c r="F167" s="0" t="s">
        <v>64</v>
      </c>
      <c r="G167" s="0" t="n">
        <v>21337220</v>
      </c>
      <c r="H167" s="0" t="n">
        <v>720192</v>
      </c>
      <c r="I167" s="0" t="s">
        <v>34</v>
      </c>
      <c r="J167" s="0" t="s">
        <v>174</v>
      </c>
      <c r="K167" s="0" t="s">
        <v>89</v>
      </c>
      <c r="L167" s="0" t="n">
        <v>223691822</v>
      </c>
      <c r="M167" s="0" t="s">
        <v>393</v>
      </c>
      <c r="N167" s="0" t="n">
        <v>103058708</v>
      </c>
      <c r="O167" s="0" t="n">
        <v>6261</v>
      </c>
      <c r="P167" s="0" t="n">
        <v>128.49</v>
      </c>
      <c r="Q167" s="0" t="n">
        <f aca="false">IFERROR(VLOOKUP(B167,[2]'Cost Correction'!$D$2:$AJ$1627,33,0),"")</f>
        <v>103058708</v>
      </c>
    </row>
    <row r="168" customFormat="false" ht="15" hidden="true" customHeight="false" outlineLevel="0" collapsed="false">
      <c r="A168" s="0" t="str">
        <f aca="false">E168&amp;L168&amp;Q168</f>
        <v>43355223691789102900691</v>
      </c>
      <c r="B168" s="0" t="s">
        <v>538</v>
      </c>
      <c r="C168" s="0" t="s">
        <v>539</v>
      </c>
      <c r="D168" s="0" t="s">
        <v>28</v>
      </c>
      <c r="E168" s="44" t="n">
        <v>43355</v>
      </c>
      <c r="F168" s="0" t="s">
        <v>64</v>
      </c>
      <c r="G168" s="0" t="n">
        <v>21337220</v>
      </c>
      <c r="H168" s="0" t="n">
        <v>720192</v>
      </c>
      <c r="I168" s="0" t="s">
        <v>34</v>
      </c>
      <c r="J168" s="0" t="s">
        <v>174</v>
      </c>
      <c r="K168" s="0" t="s">
        <v>74</v>
      </c>
      <c r="L168" s="0" t="n">
        <v>223691789</v>
      </c>
      <c r="M168" s="0" t="s">
        <v>348</v>
      </c>
      <c r="N168" s="0" t="n">
        <v>102900691</v>
      </c>
      <c r="O168" s="0" t="n">
        <v>512</v>
      </c>
      <c r="P168" s="0" t="n">
        <v>16.52</v>
      </c>
      <c r="Q168" s="0" t="n">
        <f aca="false">IFERROR(VLOOKUP(B168,[2]'Cost Correction'!$D$2:$AJ$1627,33,0),"")</f>
        <v>102900691</v>
      </c>
    </row>
    <row r="169" customFormat="false" ht="15" hidden="false" customHeight="false" outlineLevel="0" collapsed="false">
      <c r="A169" s="0" t="str">
        <f aca="false">E169&amp;L169&amp;Q169</f>
        <v>43355223691792</v>
      </c>
      <c r="B169" s="0" t="s">
        <v>540</v>
      </c>
      <c r="C169" s="0" t="s">
        <v>541</v>
      </c>
      <c r="D169" s="0" t="s">
        <v>28</v>
      </c>
      <c r="E169" s="44" t="n">
        <v>43355</v>
      </c>
      <c r="F169" s="0" t="s">
        <v>64</v>
      </c>
      <c r="G169" s="0" t="n">
        <v>21337220</v>
      </c>
      <c r="H169" s="0" t="n">
        <v>720192</v>
      </c>
      <c r="I169" s="0" t="s">
        <v>34</v>
      </c>
      <c r="J169" s="0" t="s">
        <v>174</v>
      </c>
      <c r="K169" s="0" t="s">
        <v>73</v>
      </c>
      <c r="L169" s="0" t="n">
        <v>223691792</v>
      </c>
      <c r="M169" s="0" t="s">
        <v>345</v>
      </c>
      <c r="N169" s="0" t="n">
        <v>102901894</v>
      </c>
      <c r="O169" s="0" t="n">
        <v>260</v>
      </c>
      <c r="P169" s="0" t="n">
        <v>5.07</v>
      </c>
      <c r="Q169" s="0" t="str">
        <f aca="false">IFERROR(VLOOKUP(B169,[2]'Cost Correction'!$D$2:$AJ$1627,33,0),"")</f>
        <v/>
      </c>
    </row>
    <row r="170" customFormat="false" ht="15" hidden="true" customHeight="false" outlineLevel="0" collapsed="false">
      <c r="A170" s="0" t="str">
        <f aca="false">E170&amp;L170&amp;Q170</f>
        <v>43355223691834102902953</v>
      </c>
      <c r="B170" s="0" t="s">
        <v>542</v>
      </c>
      <c r="C170" s="0" t="s">
        <v>543</v>
      </c>
      <c r="D170" s="0" t="s">
        <v>28</v>
      </c>
      <c r="E170" s="44" t="n">
        <v>43355</v>
      </c>
      <c r="F170" s="0" t="s">
        <v>64</v>
      </c>
      <c r="G170" s="0" t="n">
        <v>21337220</v>
      </c>
      <c r="H170" s="0" t="n">
        <v>720192</v>
      </c>
      <c r="I170" s="0" t="s">
        <v>34</v>
      </c>
      <c r="J170" s="0" t="s">
        <v>174</v>
      </c>
      <c r="K170" s="0" t="s">
        <v>88</v>
      </c>
      <c r="L170" s="0" t="n">
        <v>223691834</v>
      </c>
      <c r="M170" s="0" t="s">
        <v>390</v>
      </c>
      <c r="N170" s="0" t="n">
        <v>102902953</v>
      </c>
      <c r="O170" s="0" t="n">
        <v>95</v>
      </c>
      <c r="P170" s="0" t="n">
        <v>3.11</v>
      </c>
      <c r="Q170" s="0" t="n">
        <f aca="false">IFERROR(VLOOKUP(B170,[2]'Cost Correction'!$D$2:$AJ$1627,33,0),"")</f>
        <v>102902953</v>
      </c>
    </row>
    <row r="171" customFormat="false" ht="15" hidden="false" customHeight="false" outlineLevel="0" collapsed="false">
      <c r="A171" s="0" t="str">
        <f aca="false">E171&amp;L171&amp;Q171</f>
        <v>43354227522762</v>
      </c>
      <c r="B171" s="0" t="s">
        <v>544</v>
      </c>
      <c r="C171" s="0" t="s">
        <v>545</v>
      </c>
      <c r="D171" s="0" t="s">
        <v>28</v>
      </c>
      <c r="E171" s="44" t="n">
        <v>43354</v>
      </c>
      <c r="F171" s="0" t="s">
        <v>64</v>
      </c>
      <c r="G171" s="0" t="n">
        <v>21337220</v>
      </c>
      <c r="H171" s="0" t="n">
        <v>720192</v>
      </c>
      <c r="I171" s="0" t="s">
        <v>34</v>
      </c>
      <c r="J171" s="0" t="s">
        <v>174</v>
      </c>
      <c r="K171" s="0" t="s">
        <v>86</v>
      </c>
      <c r="L171" s="0" t="n">
        <v>227522762</v>
      </c>
      <c r="M171" s="0" t="s">
        <v>384</v>
      </c>
      <c r="N171" s="0" t="n">
        <v>105216992</v>
      </c>
      <c r="O171" s="0" t="n">
        <v>1485</v>
      </c>
      <c r="P171" s="0" t="n">
        <v>16.98</v>
      </c>
      <c r="Q171" s="0" t="str">
        <f aca="false">IFERROR(VLOOKUP(B171,[2]'Cost Correction'!$D$2:$AJ$1627,33,0),"")</f>
        <v/>
      </c>
    </row>
    <row r="172" customFormat="false" ht="15" hidden="false" customHeight="false" outlineLevel="0" collapsed="false">
      <c r="A172" s="0" t="str">
        <f aca="false">E172&amp;L172&amp;Q172</f>
        <v>43354223691819</v>
      </c>
      <c r="B172" s="0" t="s">
        <v>546</v>
      </c>
      <c r="C172" s="0" t="s">
        <v>547</v>
      </c>
      <c r="D172" s="0" t="s">
        <v>28</v>
      </c>
      <c r="E172" s="44" t="n">
        <v>43354</v>
      </c>
      <c r="F172" s="0" t="s">
        <v>64</v>
      </c>
      <c r="G172" s="0" t="n">
        <v>21337220</v>
      </c>
      <c r="H172" s="0" t="n">
        <v>720192</v>
      </c>
      <c r="I172" s="0" t="s">
        <v>34</v>
      </c>
      <c r="J172" s="0" t="s">
        <v>174</v>
      </c>
      <c r="K172" s="0" t="s">
        <v>90</v>
      </c>
      <c r="L172" s="0" t="n">
        <v>223691819</v>
      </c>
      <c r="M172" s="0" t="s">
        <v>396</v>
      </c>
      <c r="N172" s="0" t="n">
        <v>102900682</v>
      </c>
      <c r="O172" s="0" t="n">
        <v>483</v>
      </c>
      <c r="P172" s="0" t="n">
        <v>14.09</v>
      </c>
      <c r="Q172" s="0" t="str">
        <f aca="false">IFERROR(VLOOKUP(B172,[2]'Cost Correction'!$D$2:$AJ$1627,33,0),"")</f>
        <v/>
      </c>
    </row>
    <row r="173" customFormat="false" ht="15" hidden="true" customHeight="false" outlineLevel="0" collapsed="false">
      <c r="A173" s="0" t="str">
        <f aca="false">E173&amp;L173&amp;Q173</f>
        <v>43354223691828102902956</v>
      </c>
      <c r="B173" s="0" t="s">
        <v>548</v>
      </c>
      <c r="C173" s="0" t="s">
        <v>549</v>
      </c>
      <c r="D173" s="0" t="s">
        <v>28</v>
      </c>
      <c r="E173" s="44" t="n">
        <v>43354</v>
      </c>
      <c r="F173" s="0" t="s">
        <v>64</v>
      </c>
      <c r="G173" s="0" t="n">
        <v>21337220</v>
      </c>
      <c r="H173" s="0" t="n">
        <v>720192</v>
      </c>
      <c r="I173" s="0" t="s">
        <v>34</v>
      </c>
      <c r="J173" s="0" t="s">
        <v>174</v>
      </c>
      <c r="K173" s="0" t="s">
        <v>91</v>
      </c>
      <c r="L173" s="0" t="n">
        <v>223691828</v>
      </c>
      <c r="M173" s="0" t="s">
        <v>399</v>
      </c>
      <c r="N173" s="0" t="n">
        <v>102902956</v>
      </c>
      <c r="O173" s="0" t="n">
        <v>663</v>
      </c>
      <c r="P173" s="0" t="n">
        <v>10.93</v>
      </c>
      <c r="Q173" s="0" t="n">
        <f aca="false">IFERROR(VLOOKUP(B173,[2]'Cost Correction'!$D$2:$AJ$1627,33,0),"")</f>
        <v>102902956</v>
      </c>
    </row>
    <row r="174" customFormat="false" ht="15" hidden="true" customHeight="false" outlineLevel="0" collapsed="false">
      <c r="A174" s="0" t="str">
        <f aca="false">E174&amp;L174&amp;Q174</f>
        <v>43354223684451102901882</v>
      </c>
      <c r="B174" s="0" t="s">
        <v>550</v>
      </c>
      <c r="C174" s="0" t="s">
        <v>551</v>
      </c>
      <c r="D174" s="0" t="s">
        <v>28</v>
      </c>
      <c r="E174" s="44" t="n">
        <v>43354</v>
      </c>
      <c r="F174" s="0" t="s">
        <v>64</v>
      </c>
      <c r="G174" s="0" t="n">
        <v>21337220</v>
      </c>
      <c r="H174" s="0" t="n">
        <v>720192</v>
      </c>
      <c r="I174" s="0" t="s">
        <v>34</v>
      </c>
      <c r="J174" s="0" t="s">
        <v>174</v>
      </c>
      <c r="K174" s="0" t="s">
        <v>84</v>
      </c>
      <c r="L174" s="0" t="n">
        <v>223684451</v>
      </c>
      <c r="M174" s="0" t="s">
        <v>378</v>
      </c>
      <c r="N174" s="0" t="n">
        <v>102901882</v>
      </c>
      <c r="O174" s="0" t="n">
        <v>4078</v>
      </c>
      <c r="P174" s="0" t="n">
        <v>69.83</v>
      </c>
      <c r="Q174" s="0" t="n">
        <f aca="false">IFERROR(VLOOKUP(B174,[2]'Cost Correction'!$D$2:$AJ$1627,33,0),"")</f>
        <v>102901882</v>
      </c>
    </row>
    <row r="175" customFormat="false" ht="15" hidden="true" customHeight="false" outlineLevel="0" collapsed="false">
      <c r="A175" s="0" t="str">
        <f aca="false">E175&amp;L175&amp;Q175</f>
        <v>43354223691837103053314</v>
      </c>
      <c r="B175" s="0" t="s">
        <v>552</v>
      </c>
      <c r="C175" s="0" t="s">
        <v>553</v>
      </c>
      <c r="D175" s="0" t="s">
        <v>28</v>
      </c>
      <c r="E175" s="44" t="n">
        <v>43354</v>
      </c>
      <c r="F175" s="0" t="s">
        <v>64</v>
      </c>
      <c r="G175" s="0" t="n">
        <v>21337220</v>
      </c>
      <c r="H175" s="0" t="n">
        <v>720192</v>
      </c>
      <c r="I175" s="0" t="s">
        <v>34</v>
      </c>
      <c r="J175" s="0" t="s">
        <v>174</v>
      </c>
      <c r="K175" s="0" t="s">
        <v>83</v>
      </c>
      <c r="L175" s="0" t="n">
        <v>223691837</v>
      </c>
      <c r="M175" s="0" t="s">
        <v>375</v>
      </c>
      <c r="N175" s="0" t="n">
        <v>103053314</v>
      </c>
      <c r="O175" s="0" t="n">
        <v>8936</v>
      </c>
      <c r="P175" s="0" t="n">
        <v>147.17</v>
      </c>
      <c r="Q175" s="0" t="n">
        <f aca="false">IFERROR(VLOOKUP(B175,[2]'Cost Correction'!$D$2:$AJ$1627,33,0),"")</f>
        <v>103053314</v>
      </c>
    </row>
    <row r="176" customFormat="false" ht="15" hidden="true" customHeight="false" outlineLevel="0" collapsed="false">
      <c r="A176" s="0" t="str">
        <f aca="false">E176&amp;L176&amp;Q176</f>
        <v>43354227525720105130125</v>
      </c>
      <c r="B176" s="0" t="s">
        <v>554</v>
      </c>
      <c r="C176" s="0" t="s">
        <v>555</v>
      </c>
      <c r="D176" s="0" t="s">
        <v>28</v>
      </c>
      <c r="E176" s="44" t="n">
        <v>43354</v>
      </c>
      <c r="F176" s="0" t="s">
        <v>64</v>
      </c>
      <c r="G176" s="0" t="n">
        <v>21337220</v>
      </c>
      <c r="H176" s="0" t="n">
        <v>720192</v>
      </c>
      <c r="I176" s="0" t="s">
        <v>34</v>
      </c>
      <c r="J176" s="0" t="s">
        <v>174</v>
      </c>
      <c r="K176" s="0" t="s">
        <v>85</v>
      </c>
      <c r="L176" s="0" t="n">
        <v>227525720</v>
      </c>
      <c r="M176" s="0" t="s">
        <v>381</v>
      </c>
      <c r="N176" s="0" t="n">
        <v>105130125</v>
      </c>
      <c r="O176" s="0" t="n">
        <v>2627</v>
      </c>
      <c r="P176" s="0" t="n">
        <v>41.23</v>
      </c>
      <c r="Q176" s="0" t="n">
        <f aca="false">IFERROR(VLOOKUP(B176,[2]'Cost Correction'!$D$2:$AJ$1627,33,0),"")</f>
        <v>105130125</v>
      </c>
    </row>
    <row r="177" customFormat="false" ht="15" hidden="false" customHeight="false" outlineLevel="0" collapsed="false">
      <c r="A177" s="0" t="str">
        <f aca="false">E177&amp;L177&amp;Q177</f>
        <v>43354225322327</v>
      </c>
      <c r="B177" s="0" t="s">
        <v>556</v>
      </c>
      <c r="C177" s="0" t="s">
        <v>557</v>
      </c>
      <c r="D177" s="0" t="s">
        <v>28</v>
      </c>
      <c r="E177" s="44" t="n">
        <v>43354</v>
      </c>
      <c r="F177" s="0" t="s">
        <v>64</v>
      </c>
      <c r="G177" s="0" t="n">
        <v>21337220</v>
      </c>
      <c r="H177" s="0" t="n">
        <v>720192</v>
      </c>
      <c r="I177" s="0" t="s">
        <v>34</v>
      </c>
      <c r="J177" s="0" t="s">
        <v>174</v>
      </c>
      <c r="K177" s="0" t="s">
        <v>82</v>
      </c>
      <c r="L177" s="0" t="n">
        <v>225322327</v>
      </c>
      <c r="M177" s="0" t="s">
        <v>372</v>
      </c>
      <c r="N177" s="0" t="n">
        <v>103902287</v>
      </c>
      <c r="O177" s="0" t="n">
        <v>675</v>
      </c>
      <c r="P177" s="0" t="n">
        <v>8.9</v>
      </c>
      <c r="Q177" s="0" t="str">
        <f aca="false">IFERROR(VLOOKUP(B177,[2]'Cost Correction'!$D$2:$AJ$1627,33,0),"")</f>
        <v/>
      </c>
    </row>
    <row r="178" customFormat="false" ht="15" hidden="true" customHeight="false" outlineLevel="0" collapsed="false">
      <c r="A178" s="0" t="str">
        <f aca="false">E178&amp;L178&amp;Q178</f>
        <v>43354223691825102916338</v>
      </c>
      <c r="B178" s="0" t="s">
        <v>558</v>
      </c>
      <c r="C178" s="0" t="s">
        <v>559</v>
      </c>
      <c r="D178" s="0" t="s">
        <v>28</v>
      </c>
      <c r="E178" s="44" t="n">
        <v>43354</v>
      </c>
      <c r="F178" s="0" t="s">
        <v>64</v>
      </c>
      <c r="G178" s="0" t="n">
        <v>21337220</v>
      </c>
      <c r="H178" s="0" t="n">
        <v>720192</v>
      </c>
      <c r="I178" s="0" t="s">
        <v>34</v>
      </c>
      <c r="J178" s="0" t="s">
        <v>174</v>
      </c>
      <c r="K178" s="0" t="s">
        <v>80</v>
      </c>
      <c r="L178" s="0" t="n">
        <v>223691825</v>
      </c>
      <c r="M178" s="0" t="s">
        <v>366</v>
      </c>
      <c r="N178" s="0" t="n">
        <v>102916338</v>
      </c>
      <c r="O178" s="0" t="n">
        <v>2375</v>
      </c>
      <c r="P178" s="0" t="n">
        <v>84.87</v>
      </c>
      <c r="Q178" s="0" t="n">
        <f aca="false">IFERROR(VLOOKUP(B178,[2]'Cost Correction'!$D$2:$AJ$1627,33,0),"")</f>
        <v>102916338</v>
      </c>
    </row>
    <row r="179" customFormat="false" ht="15" hidden="false" customHeight="false" outlineLevel="0" collapsed="false">
      <c r="A179" s="0" t="str">
        <f aca="false">E179&amp;L179&amp;Q179</f>
        <v>43354225322324</v>
      </c>
      <c r="B179" s="0" t="s">
        <v>560</v>
      </c>
      <c r="C179" s="0" t="s">
        <v>561</v>
      </c>
      <c r="D179" s="0" t="s">
        <v>28</v>
      </c>
      <c r="E179" s="44" t="n">
        <v>43354</v>
      </c>
      <c r="F179" s="0" t="s">
        <v>64</v>
      </c>
      <c r="G179" s="0" t="n">
        <v>21337220</v>
      </c>
      <c r="H179" s="0" t="n">
        <v>720192</v>
      </c>
      <c r="I179" s="0" t="s">
        <v>34</v>
      </c>
      <c r="J179" s="0" t="s">
        <v>174</v>
      </c>
      <c r="K179" s="0" t="s">
        <v>71</v>
      </c>
      <c r="L179" s="0" t="n">
        <v>225322324</v>
      </c>
      <c r="M179" s="0" t="s">
        <v>339</v>
      </c>
      <c r="N179" s="0" t="n">
        <v>103789915</v>
      </c>
      <c r="O179" s="0" t="n">
        <v>449</v>
      </c>
      <c r="P179" s="0" t="n">
        <v>6.13</v>
      </c>
      <c r="Q179" s="0" t="str">
        <f aca="false">IFERROR(VLOOKUP(B179,[2]'Cost Correction'!$D$2:$AJ$1627,33,0),"")</f>
        <v/>
      </c>
    </row>
    <row r="180" customFormat="false" ht="15" hidden="true" customHeight="false" outlineLevel="0" collapsed="false">
      <c r="A180" s="0" t="str">
        <f aca="false">E180&amp;L180&amp;Q180</f>
        <v>43354223691777102900697</v>
      </c>
      <c r="B180" s="0" t="s">
        <v>562</v>
      </c>
      <c r="C180" s="0" t="s">
        <v>563</v>
      </c>
      <c r="D180" s="0" t="s">
        <v>28</v>
      </c>
      <c r="E180" s="44" t="n">
        <v>43354</v>
      </c>
      <c r="F180" s="0" t="s">
        <v>64</v>
      </c>
      <c r="G180" s="0" t="n">
        <v>21337220</v>
      </c>
      <c r="H180" s="0" t="n">
        <v>720192</v>
      </c>
      <c r="I180" s="0" t="s">
        <v>34</v>
      </c>
      <c r="J180" s="0" t="s">
        <v>174</v>
      </c>
      <c r="K180" s="0" t="s">
        <v>72</v>
      </c>
      <c r="L180" s="0" t="n">
        <v>223691777</v>
      </c>
      <c r="M180" s="0" t="s">
        <v>342</v>
      </c>
      <c r="N180" s="0" t="n">
        <v>102900697</v>
      </c>
      <c r="O180" s="0" t="n">
        <v>2043</v>
      </c>
      <c r="P180" s="0" t="n">
        <v>62.42</v>
      </c>
      <c r="Q180" s="0" t="n">
        <f aca="false">IFERROR(VLOOKUP(B180,[2]'Cost Correction'!$D$2:$AJ$1627,33,0),"")</f>
        <v>102900697</v>
      </c>
    </row>
    <row r="181" customFormat="false" ht="15" hidden="false" customHeight="false" outlineLevel="0" collapsed="false">
      <c r="A181" s="0" t="str">
        <f aca="false">E181&amp;L181&amp;Q181</f>
        <v>43354223691780</v>
      </c>
      <c r="B181" s="0" t="s">
        <v>564</v>
      </c>
      <c r="C181" s="0" t="s">
        <v>565</v>
      </c>
      <c r="D181" s="0" t="s">
        <v>28</v>
      </c>
      <c r="E181" s="44" t="n">
        <v>43354</v>
      </c>
      <c r="F181" s="0" t="s">
        <v>64</v>
      </c>
      <c r="G181" s="0" t="n">
        <v>21337220</v>
      </c>
      <c r="H181" s="0" t="n">
        <v>720192</v>
      </c>
      <c r="I181" s="0" t="s">
        <v>34</v>
      </c>
      <c r="J181" s="0" t="s">
        <v>174</v>
      </c>
      <c r="K181" s="0" t="s">
        <v>75</v>
      </c>
      <c r="L181" s="0" t="n">
        <v>223691780</v>
      </c>
      <c r="M181" s="0" t="s">
        <v>351</v>
      </c>
      <c r="N181" s="0" t="n">
        <v>103058726</v>
      </c>
      <c r="O181" s="0" t="n">
        <v>126</v>
      </c>
      <c r="P181" s="0" t="n">
        <v>4.87</v>
      </c>
      <c r="Q181" s="0" t="str">
        <f aca="false">IFERROR(VLOOKUP(B181,[2]'Cost Correction'!$D$2:$AJ$1627,33,0),"")</f>
        <v/>
      </c>
    </row>
    <row r="182" customFormat="false" ht="15" hidden="true" customHeight="false" outlineLevel="0" collapsed="false">
      <c r="A182" s="0" t="str">
        <f aca="false">E182&amp;L182&amp;Q182</f>
        <v>43354223691834102902953</v>
      </c>
      <c r="B182" s="0" t="s">
        <v>566</v>
      </c>
      <c r="C182" s="0" t="s">
        <v>567</v>
      </c>
      <c r="D182" s="0" t="s">
        <v>28</v>
      </c>
      <c r="E182" s="44" t="n">
        <v>43354</v>
      </c>
      <c r="F182" s="0" t="s">
        <v>64</v>
      </c>
      <c r="G182" s="0" t="n">
        <v>21337220</v>
      </c>
      <c r="H182" s="0" t="n">
        <v>720192</v>
      </c>
      <c r="I182" s="0" t="s">
        <v>34</v>
      </c>
      <c r="J182" s="0" t="s">
        <v>174</v>
      </c>
      <c r="K182" s="0" t="s">
        <v>88</v>
      </c>
      <c r="L182" s="0" t="n">
        <v>223691834</v>
      </c>
      <c r="M182" s="0" t="s">
        <v>390</v>
      </c>
      <c r="N182" s="0" t="n">
        <v>102902953</v>
      </c>
      <c r="O182" s="0" t="n">
        <v>662</v>
      </c>
      <c r="P182" s="0" t="n">
        <v>17.66</v>
      </c>
      <c r="Q182" s="0" t="n">
        <f aca="false">IFERROR(VLOOKUP(B182,[2]'Cost Correction'!$D$2:$AJ$1627,33,0),"")</f>
        <v>102902953</v>
      </c>
    </row>
    <row r="183" customFormat="false" ht="15" hidden="true" customHeight="false" outlineLevel="0" collapsed="false">
      <c r="A183" s="0" t="str">
        <f aca="false">E183&amp;L183&amp;Q183</f>
        <v>43354223691831102913800</v>
      </c>
      <c r="B183" s="0" t="s">
        <v>568</v>
      </c>
      <c r="C183" s="0" t="s">
        <v>569</v>
      </c>
      <c r="D183" s="0" t="s">
        <v>28</v>
      </c>
      <c r="E183" s="44" t="n">
        <v>43354</v>
      </c>
      <c r="F183" s="0" t="s">
        <v>64</v>
      </c>
      <c r="G183" s="0" t="n">
        <v>21337220</v>
      </c>
      <c r="H183" s="0" t="n">
        <v>720192</v>
      </c>
      <c r="I183" s="0" t="s">
        <v>34</v>
      </c>
      <c r="J183" s="0" t="s">
        <v>174</v>
      </c>
      <c r="K183" s="0" t="s">
        <v>70</v>
      </c>
      <c r="L183" s="0" t="n">
        <v>223691831</v>
      </c>
      <c r="M183" s="0" t="s">
        <v>336</v>
      </c>
      <c r="N183" s="0" t="n">
        <v>102913800</v>
      </c>
      <c r="O183" s="0" t="n">
        <v>5121</v>
      </c>
      <c r="P183" s="0" t="n">
        <v>127.76</v>
      </c>
      <c r="Q183" s="0" t="n">
        <f aca="false">IFERROR(VLOOKUP(B183,[2]'Cost Correction'!$D$2:$AJ$1627,33,0),"")</f>
        <v>102913800</v>
      </c>
    </row>
    <row r="184" customFormat="false" ht="15" hidden="true" customHeight="false" outlineLevel="0" collapsed="false">
      <c r="A184" s="0" t="str">
        <f aca="false">E184&amp;L184&amp;Q184</f>
        <v>43354223691840102902950</v>
      </c>
      <c r="B184" s="0" t="s">
        <v>570</v>
      </c>
      <c r="C184" s="0" t="s">
        <v>571</v>
      </c>
      <c r="D184" s="0" t="s">
        <v>28</v>
      </c>
      <c r="E184" s="44" t="n">
        <v>43354</v>
      </c>
      <c r="F184" s="0" t="s">
        <v>64</v>
      </c>
      <c r="G184" s="0" t="n">
        <v>21337220</v>
      </c>
      <c r="H184" s="0" t="n">
        <v>720192</v>
      </c>
      <c r="I184" s="0" t="s">
        <v>34</v>
      </c>
      <c r="J184" s="0" t="s">
        <v>174</v>
      </c>
      <c r="K184" s="0" t="s">
        <v>77</v>
      </c>
      <c r="L184" s="0" t="n">
        <v>223691840</v>
      </c>
      <c r="M184" s="0" t="s">
        <v>357</v>
      </c>
      <c r="N184" s="0" t="n">
        <v>102902950</v>
      </c>
      <c r="O184" s="0" t="n">
        <v>1200</v>
      </c>
      <c r="P184" s="0" t="n">
        <v>20.03</v>
      </c>
      <c r="Q184" s="0" t="n">
        <f aca="false">IFERROR(VLOOKUP(B184,[2]'Cost Correction'!$D$2:$AJ$1627,33,0),"")</f>
        <v>102902950</v>
      </c>
    </row>
    <row r="185" customFormat="false" ht="15" hidden="true" customHeight="false" outlineLevel="0" collapsed="false">
      <c r="A185" s="0" t="str">
        <f aca="false">E185&amp;L185&amp;Q185</f>
        <v>43354223691798102916347</v>
      </c>
      <c r="B185" s="0" t="s">
        <v>572</v>
      </c>
      <c r="C185" s="0" t="s">
        <v>573</v>
      </c>
      <c r="D185" s="0" t="s">
        <v>28</v>
      </c>
      <c r="E185" s="44" t="n">
        <v>43354</v>
      </c>
      <c r="F185" s="0" t="s">
        <v>64</v>
      </c>
      <c r="G185" s="0" t="n">
        <v>21337220</v>
      </c>
      <c r="H185" s="0" t="n">
        <v>720192</v>
      </c>
      <c r="I185" s="0" t="s">
        <v>34</v>
      </c>
      <c r="J185" s="0" t="s">
        <v>174</v>
      </c>
      <c r="K185" s="0" t="s">
        <v>69</v>
      </c>
      <c r="L185" s="0" t="n">
        <v>223691798</v>
      </c>
      <c r="M185" s="0" t="s">
        <v>333</v>
      </c>
      <c r="N185" s="0" t="n">
        <v>102916347</v>
      </c>
      <c r="O185" s="0" t="n">
        <v>1594</v>
      </c>
      <c r="P185" s="0" t="n">
        <v>38.32</v>
      </c>
      <c r="Q185" s="0" t="n">
        <f aca="false">IFERROR(VLOOKUP(B185,[2]'Cost Correction'!$D$2:$AJ$1627,33,0),"")</f>
        <v>102916347</v>
      </c>
    </row>
    <row r="186" customFormat="false" ht="15" hidden="false" customHeight="false" outlineLevel="0" collapsed="false">
      <c r="A186" s="0" t="str">
        <f aca="false">E186&amp;L186&amp;Q186</f>
        <v>43354227618695</v>
      </c>
      <c r="B186" s="0" t="s">
        <v>574</v>
      </c>
      <c r="C186" s="0" t="s">
        <v>575</v>
      </c>
      <c r="D186" s="0" t="s">
        <v>28</v>
      </c>
      <c r="E186" s="44" t="n">
        <v>43354</v>
      </c>
      <c r="F186" s="0" t="s">
        <v>64</v>
      </c>
      <c r="G186" s="0" t="n">
        <v>21337220</v>
      </c>
      <c r="H186" s="0" t="n">
        <v>720192</v>
      </c>
      <c r="I186" s="0" t="s">
        <v>34</v>
      </c>
      <c r="J186" s="0" t="s">
        <v>174</v>
      </c>
      <c r="K186" s="0" t="s">
        <v>67</v>
      </c>
      <c r="L186" s="0" t="n">
        <v>227618695</v>
      </c>
      <c r="M186" s="0" t="s">
        <v>330</v>
      </c>
      <c r="N186" s="0" t="n">
        <v>105127638</v>
      </c>
      <c r="O186" s="0" t="n">
        <v>265</v>
      </c>
      <c r="P186" s="0" t="n">
        <v>3.64</v>
      </c>
      <c r="Q186" s="0" t="str">
        <f aca="false">IFERROR(VLOOKUP(B186,[2]'Cost Correction'!$D$2:$AJ$1627,33,0),"")</f>
        <v/>
      </c>
    </row>
    <row r="187" customFormat="false" ht="15" hidden="false" customHeight="false" outlineLevel="0" collapsed="false">
      <c r="A187" s="0" t="str">
        <f aca="false">E187&amp;L187&amp;Q187</f>
        <v>43354223691795</v>
      </c>
      <c r="B187" s="0" t="s">
        <v>576</v>
      </c>
      <c r="C187" s="0" t="s">
        <v>577</v>
      </c>
      <c r="D187" s="0" t="s">
        <v>28</v>
      </c>
      <c r="E187" s="44" t="n">
        <v>43354</v>
      </c>
      <c r="F187" s="0" t="s">
        <v>64</v>
      </c>
      <c r="G187" s="0" t="n">
        <v>21337220</v>
      </c>
      <c r="H187" s="0" t="n">
        <v>720192</v>
      </c>
      <c r="I187" s="0" t="s">
        <v>34</v>
      </c>
      <c r="J187" s="0" t="s">
        <v>174</v>
      </c>
      <c r="K187" s="0" t="s">
        <v>87</v>
      </c>
      <c r="L187" s="0" t="n">
        <v>223691795</v>
      </c>
      <c r="M187" s="0" t="s">
        <v>387</v>
      </c>
      <c r="N187" s="0" t="n">
        <v>102900688</v>
      </c>
      <c r="O187" s="0" t="n">
        <v>868</v>
      </c>
      <c r="P187" s="0" t="n">
        <v>15.8</v>
      </c>
      <c r="Q187" s="0" t="str">
        <f aca="false">IFERROR(VLOOKUP(B187,[2]'Cost Correction'!$D$2:$AJ$1627,33,0),"")</f>
        <v/>
      </c>
    </row>
    <row r="188" customFormat="false" ht="15" hidden="false" customHeight="false" outlineLevel="0" collapsed="false">
      <c r="A188" s="0" t="str">
        <f aca="false">E188&amp;L188&amp;Q188</f>
        <v>43354223691801</v>
      </c>
      <c r="B188" s="0" t="s">
        <v>578</v>
      </c>
      <c r="C188" s="0" t="s">
        <v>579</v>
      </c>
      <c r="D188" s="0" t="s">
        <v>28</v>
      </c>
      <c r="E188" s="44" t="n">
        <v>43354</v>
      </c>
      <c r="F188" s="0" t="s">
        <v>64</v>
      </c>
      <c r="G188" s="0" t="n">
        <v>21337220</v>
      </c>
      <c r="H188" s="0" t="n">
        <v>720192</v>
      </c>
      <c r="I188" s="0" t="s">
        <v>34</v>
      </c>
      <c r="J188" s="0" t="s">
        <v>174</v>
      </c>
      <c r="K188" s="0" t="s">
        <v>79</v>
      </c>
      <c r="L188" s="0" t="n">
        <v>223691801</v>
      </c>
      <c r="M188" s="0" t="s">
        <v>363</v>
      </c>
      <c r="N188" s="0" t="n">
        <v>103053323</v>
      </c>
      <c r="O188" s="0" t="n">
        <v>340</v>
      </c>
      <c r="P188" s="0" t="n">
        <v>6.38</v>
      </c>
      <c r="Q188" s="0" t="str">
        <f aca="false">IFERROR(VLOOKUP(B188,[2]'Cost Correction'!$D$2:$AJ$1627,33,0),"")</f>
        <v/>
      </c>
    </row>
    <row r="189" customFormat="false" ht="15" hidden="false" customHeight="false" outlineLevel="0" collapsed="false">
      <c r="A189" s="0" t="str">
        <f aca="false">E189&amp;L189&amp;Q189</f>
        <v>43354227522771</v>
      </c>
      <c r="B189" s="0" t="s">
        <v>580</v>
      </c>
      <c r="C189" s="0" t="s">
        <v>581</v>
      </c>
      <c r="D189" s="0" t="s">
        <v>28</v>
      </c>
      <c r="E189" s="44" t="n">
        <v>43354</v>
      </c>
      <c r="F189" s="0" t="s">
        <v>64</v>
      </c>
      <c r="G189" s="0" t="n">
        <v>21337220</v>
      </c>
      <c r="H189" s="0" t="n">
        <v>720192</v>
      </c>
      <c r="I189" s="0" t="s">
        <v>34</v>
      </c>
      <c r="J189" s="0" t="s">
        <v>174</v>
      </c>
      <c r="K189" s="0" t="s">
        <v>78</v>
      </c>
      <c r="L189" s="0" t="n">
        <v>227522771</v>
      </c>
      <c r="M189" s="0" t="s">
        <v>360</v>
      </c>
      <c r="N189" s="0" t="n">
        <v>105130128</v>
      </c>
      <c r="O189" s="0" t="n">
        <v>556</v>
      </c>
      <c r="P189" s="0" t="n">
        <v>5.83</v>
      </c>
      <c r="Q189" s="0" t="str">
        <f aca="false">IFERROR(VLOOKUP(B189,[2]'Cost Correction'!$D$2:$AJ$1627,33,0),"")</f>
        <v/>
      </c>
    </row>
    <row r="190" customFormat="false" ht="15" hidden="true" customHeight="false" outlineLevel="0" collapsed="false">
      <c r="A190" s="0" t="str">
        <f aca="false">E190&amp;L190&amp;Q190</f>
        <v>43354223691789102900691</v>
      </c>
      <c r="B190" s="0" t="s">
        <v>582</v>
      </c>
      <c r="C190" s="0" t="s">
        <v>583</v>
      </c>
      <c r="D190" s="0" t="s">
        <v>28</v>
      </c>
      <c r="E190" s="44" t="n">
        <v>43354</v>
      </c>
      <c r="F190" s="0" t="s">
        <v>64</v>
      </c>
      <c r="G190" s="0" t="n">
        <v>21337220</v>
      </c>
      <c r="H190" s="0" t="n">
        <v>720192</v>
      </c>
      <c r="I190" s="0" t="s">
        <v>34</v>
      </c>
      <c r="J190" s="0" t="s">
        <v>174</v>
      </c>
      <c r="K190" s="0" t="s">
        <v>74</v>
      </c>
      <c r="L190" s="0" t="n">
        <v>223691789</v>
      </c>
      <c r="M190" s="0" t="s">
        <v>348</v>
      </c>
      <c r="N190" s="0" t="n">
        <v>102900691</v>
      </c>
      <c r="O190" s="0" t="n">
        <v>222</v>
      </c>
      <c r="P190" s="0" t="n">
        <v>8.26</v>
      </c>
      <c r="Q190" s="0" t="n">
        <f aca="false">IFERROR(VLOOKUP(B190,[2]'Cost Correction'!$D$2:$AJ$1627,33,0),"")</f>
        <v>102900691</v>
      </c>
    </row>
    <row r="191" customFormat="false" ht="15" hidden="true" customHeight="false" outlineLevel="0" collapsed="false">
      <c r="A191" s="0" t="str">
        <f aca="false">E191&amp;L191&amp;Q191</f>
        <v>43354223691822103058708</v>
      </c>
      <c r="B191" s="0" t="s">
        <v>584</v>
      </c>
      <c r="C191" s="0" t="s">
        <v>585</v>
      </c>
      <c r="D191" s="0" t="s">
        <v>28</v>
      </c>
      <c r="E191" s="44" t="n">
        <v>43354</v>
      </c>
      <c r="F191" s="0" t="s">
        <v>64</v>
      </c>
      <c r="G191" s="0" t="n">
        <v>21337220</v>
      </c>
      <c r="H191" s="0" t="n">
        <v>720192</v>
      </c>
      <c r="I191" s="0" t="s">
        <v>34</v>
      </c>
      <c r="J191" s="0" t="s">
        <v>174</v>
      </c>
      <c r="K191" s="0" t="s">
        <v>89</v>
      </c>
      <c r="L191" s="0" t="n">
        <v>223691822</v>
      </c>
      <c r="M191" s="0" t="s">
        <v>393</v>
      </c>
      <c r="N191" s="0" t="n">
        <v>103058708</v>
      </c>
      <c r="O191" s="0" t="n">
        <v>2921</v>
      </c>
      <c r="P191" s="0" t="n">
        <v>77.35</v>
      </c>
      <c r="Q191" s="0" t="n">
        <f aca="false">IFERROR(VLOOKUP(B191,[2]'Cost Correction'!$D$2:$AJ$1627,33,0),"")</f>
        <v>103058708</v>
      </c>
    </row>
    <row r="192" customFormat="false" ht="15" hidden="false" customHeight="false" outlineLevel="0" collapsed="false">
      <c r="A192" s="0" t="str">
        <f aca="false">E192&amp;L192&amp;Q192</f>
        <v>43354223691783</v>
      </c>
      <c r="B192" s="0" t="s">
        <v>586</v>
      </c>
      <c r="C192" s="0" t="s">
        <v>587</v>
      </c>
      <c r="D192" s="0" t="s">
        <v>28</v>
      </c>
      <c r="E192" s="44" t="n">
        <v>43354</v>
      </c>
      <c r="F192" s="0" t="s">
        <v>64</v>
      </c>
      <c r="G192" s="0" t="n">
        <v>21337220</v>
      </c>
      <c r="H192" s="0" t="n">
        <v>720192</v>
      </c>
      <c r="I192" s="0" t="s">
        <v>34</v>
      </c>
      <c r="J192" s="0" t="s">
        <v>174</v>
      </c>
      <c r="K192" s="0" t="s">
        <v>76</v>
      </c>
      <c r="L192" s="0" t="n">
        <v>223691783</v>
      </c>
      <c r="M192" s="0" t="s">
        <v>354</v>
      </c>
      <c r="N192" s="0" t="n">
        <v>103058723</v>
      </c>
      <c r="O192" s="0" t="n">
        <v>58</v>
      </c>
      <c r="P192" s="0" t="n">
        <v>1.46</v>
      </c>
      <c r="Q192" s="0" t="str">
        <f aca="false">IFERROR(VLOOKUP(B192,[2]'Cost Correction'!$D$2:$AJ$1627,33,0),"")</f>
        <v/>
      </c>
    </row>
    <row r="193" customFormat="false" ht="15" hidden="false" customHeight="false" outlineLevel="0" collapsed="false">
      <c r="A193" s="0" t="str">
        <f aca="false">E193&amp;L193&amp;Q193</f>
        <v>43354223691786</v>
      </c>
      <c r="B193" s="0" t="s">
        <v>588</v>
      </c>
      <c r="C193" s="0" t="s">
        <v>589</v>
      </c>
      <c r="D193" s="0" t="s">
        <v>28</v>
      </c>
      <c r="E193" s="44" t="n">
        <v>43354</v>
      </c>
      <c r="F193" s="0" t="s">
        <v>64</v>
      </c>
      <c r="G193" s="0" t="n">
        <v>21337220</v>
      </c>
      <c r="H193" s="0" t="n">
        <v>720192</v>
      </c>
      <c r="I193" s="0" t="s">
        <v>34</v>
      </c>
      <c r="J193" s="0" t="s">
        <v>174</v>
      </c>
      <c r="K193" s="0" t="s">
        <v>81</v>
      </c>
      <c r="L193" s="0" t="n">
        <v>223691786</v>
      </c>
      <c r="M193" s="0" t="s">
        <v>369</v>
      </c>
      <c r="N193" s="0" t="n">
        <v>103058720</v>
      </c>
      <c r="O193" s="0" t="n">
        <v>108</v>
      </c>
      <c r="P193" s="0" t="n">
        <v>2.73</v>
      </c>
      <c r="Q193" s="0" t="str">
        <f aca="false">IFERROR(VLOOKUP(B193,[2]'Cost Correction'!$D$2:$AJ$1627,33,0),"")</f>
        <v/>
      </c>
    </row>
    <row r="194" customFormat="false" ht="15" hidden="true" customHeight="false" outlineLevel="0" collapsed="false">
      <c r="A194" s="0" t="str">
        <f aca="false">E194&amp;L194&amp;Q194</f>
        <v>43354223691792102901894</v>
      </c>
      <c r="B194" s="0" t="s">
        <v>590</v>
      </c>
      <c r="C194" s="0" t="s">
        <v>591</v>
      </c>
      <c r="D194" s="0" t="s">
        <v>28</v>
      </c>
      <c r="E194" s="44" t="n">
        <v>43354</v>
      </c>
      <c r="F194" s="0" t="s">
        <v>64</v>
      </c>
      <c r="G194" s="0" t="n">
        <v>21337220</v>
      </c>
      <c r="H194" s="0" t="n">
        <v>720192</v>
      </c>
      <c r="I194" s="0" t="s">
        <v>34</v>
      </c>
      <c r="J194" s="0" t="s">
        <v>174</v>
      </c>
      <c r="K194" s="0" t="s">
        <v>73</v>
      </c>
      <c r="L194" s="0" t="n">
        <v>223691792</v>
      </c>
      <c r="M194" s="0" t="s">
        <v>345</v>
      </c>
      <c r="N194" s="0" t="n">
        <v>102901894</v>
      </c>
      <c r="O194" s="0" t="n">
        <v>117</v>
      </c>
      <c r="P194" s="0" t="n">
        <v>2.19</v>
      </c>
      <c r="Q194" s="0" t="n">
        <f aca="false">IFERROR(VLOOKUP(B194,[2]'Cost Correction'!$D$2:$AJ$1627,33,0),"")</f>
        <v>102901894</v>
      </c>
    </row>
    <row r="195" customFormat="false" ht="15" hidden="false" customHeight="false" outlineLevel="0" collapsed="false">
      <c r="A195" s="0" t="str">
        <f aca="false">E195&amp;L195&amp;Q195</f>
        <v>43353225322327</v>
      </c>
      <c r="B195" s="0" t="s">
        <v>592</v>
      </c>
      <c r="C195" s="0" t="s">
        <v>593</v>
      </c>
      <c r="D195" s="0" t="s">
        <v>28</v>
      </c>
      <c r="E195" s="44" t="n">
        <v>43353</v>
      </c>
      <c r="F195" s="0" t="s">
        <v>64</v>
      </c>
      <c r="G195" s="0" t="n">
        <v>21337220</v>
      </c>
      <c r="H195" s="0" t="n">
        <v>720192</v>
      </c>
      <c r="I195" s="0" t="s">
        <v>34</v>
      </c>
      <c r="J195" s="0" t="s">
        <v>174</v>
      </c>
      <c r="K195" s="0" t="s">
        <v>82</v>
      </c>
      <c r="L195" s="0" t="n">
        <v>225322327</v>
      </c>
      <c r="M195" s="0" t="s">
        <v>372</v>
      </c>
      <c r="N195" s="0" t="n">
        <v>103902287</v>
      </c>
      <c r="O195" s="0" t="n">
        <v>910</v>
      </c>
      <c r="P195" s="0" t="n">
        <v>10.9</v>
      </c>
      <c r="Q195" s="0" t="str">
        <f aca="false">IFERROR(VLOOKUP(B195,[2]'Cost Correction'!$D$2:$AJ$1627,33,0),"")</f>
        <v/>
      </c>
    </row>
    <row r="196" customFormat="false" ht="15" hidden="true" customHeight="false" outlineLevel="0" collapsed="false">
      <c r="A196" s="0" t="str">
        <f aca="false">E196&amp;L196&amp;Q196</f>
        <v>43353223691780103058726</v>
      </c>
      <c r="B196" s="0" t="s">
        <v>594</v>
      </c>
      <c r="C196" s="0" t="s">
        <v>595</v>
      </c>
      <c r="D196" s="0" t="s">
        <v>28</v>
      </c>
      <c r="E196" s="44" t="n">
        <v>43353</v>
      </c>
      <c r="F196" s="0" t="s">
        <v>64</v>
      </c>
      <c r="G196" s="0" t="n">
        <v>21337220</v>
      </c>
      <c r="H196" s="0" t="n">
        <v>720192</v>
      </c>
      <c r="I196" s="0" t="s">
        <v>34</v>
      </c>
      <c r="J196" s="0" t="s">
        <v>174</v>
      </c>
      <c r="K196" s="0" t="s">
        <v>75</v>
      </c>
      <c r="L196" s="0" t="n">
        <v>223691780</v>
      </c>
      <c r="M196" s="0" t="s">
        <v>351</v>
      </c>
      <c r="N196" s="0" t="n">
        <v>103058726</v>
      </c>
      <c r="O196" s="0" t="n">
        <v>530</v>
      </c>
      <c r="P196" s="0" t="n">
        <v>18.78</v>
      </c>
      <c r="Q196" s="0" t="n">
        <f aca="false">IFERROR(VLOOKUP(B196,[2]'Cost Correction'!$D$2:$AJ$1627,33,0),"")</f>
        <v>103058726</v>
      </c>
    </row>
    <row r="197" customFormat="false" ht="15" hidden="true" customHeight="false" outlineLevel="0" collapsed="false">
      <c r="A197" s="0" t="str">
        <f aca="false">E197&amp;L197&amp;Q197</f>
        <v>43353223684451102901882</v>
      </c>
      <c r="B197" s="0" t="s">
        <v>596</v>
      </c>
      <c r="C197" s="0" t="s">
        <v>597</v>
      </c>
      <c r="D197" s="0" t="s">
        <v>28</v>
      </c>
      <c r="E197" s="44" t="n">
        <v>43353</v>
      </c>
      <c r="F197" s="0" t="s">
        <v>64</v>
      </c>
      <c r="G197" s="0" t="n">
        <v>21337220</v>
      </c>
      <c r="H197" s="0" t="n">
        <v>720192</v>
      </c>
      <c r="I197" s="0" t="s">
        <v>34</v>
      </c>
      <c r="J197" s="0" t="s">
        <v>174</v>
      </c>
      <c r="K197" s="0" t="s">
        <v>84</v>
      </c>
      <c r="L197" s="0" t="n">
        <v>223684451</v>
      </c>
      <c r="M197" s="0" t="s">
        <v>378</v>
      </c>
      <c r="N197" s="0" t="n">
        <v>102901882</v>
      </c>
      <c r="O197" s="0" t="n">
        <v>2726</v>
      </c>
      <c r="P197" s="0" t="n">
        <v>48.69</v>
      </c>
      <c r="Q197" s="0" t="n">
        <f aca="false">IFERROR(VLOOKUP(B197,[2]'Cost Correction'!$D$2:$AJ$1627,33,0),"")</f>
        <v>102901882</v>
      </c>
    </row>
    <row r="198" customFormat="false" ht="15" hidden="true" customHeight="false" outlineLevel="0" collapsed="false">
      <c r="A198" s="0" t="str">
        <f aca="false">E198&amp;L198&amp;Q198</f>
        <v>43353223691762102902974</v>
      </c>
      <c r="B198" s="0" t="s">
        <v>598</v>
      </c>
      <c r="C198" s="0" t="s">
        <v>599</v>
      </c>
      <c r="D198" s="0" t="s">
        <v>28</v>
      </c>
      <c r="E198" s="44" t="n">
        <v>43353</v>
      </c>
      <c r="F198" s="0" t="s">
        <v>64</v>
      </c>
      <c r="G198" s="0" t="n">
        <v>21337220</v>
      </c>
      <c r="H198" s="0" t="n">
        <v>720192</v>
      </c>
      <c r="I198" s="0" t="s">
        <v>34</v>
      </c>
      <c r="J198" s="0" t="s">
        <v>174</v>
      </c>
      <c r="K198" s="0" t="s">
        <v>92</v>
      </c>
      <c r="L198" s="0" t="n">
        <v>223691762</v>
      </c>
      <c r="M198" s="0" t="s">
        <v>600</v>
      </c>
      <c r="N198" s="0" t="n">
        <v>102902974</v>
      </c>
      <c r="O198" s="0" t="n">
        <v>210</v>
      </c>
      <c r="P198" s="0" t="n">
        <v>4.01</v>
      </c>
      <c r="Q198" s="0" t="n">
        <f aca="false">IFERROR(VLOOKUP(B198,[2]'Cost Correction'!$D$2:$AJ$1627,33,0),"")</f>
        <v>102902974</v>
      </c>
    </row>
    <row r="199" customFormat="false" ht="15" hidden="true" customHeight="false" outlineLevel="0" collapsed="false">
      <c r="A199" s="0" t="str">
        <f aca="false">E199&amp;L199&amp;Q199</f>
        <v>43353223691789102900691</v>
      </c>
      <c r="B199" s="0" t="s">
        <v>601</v>
      </c>
      <c r="C199" s="0" t="s">
        <v>602</v>
      </c>
      <c r="D199" s="0" t="s">
        <v>28</v>
      </c>
      <c r="E199" s="44" t="n">
        <v>43353</v>
      </c>
      <c r="F199" s="0" t="s">
        <v>64</v>
      </c>
      <c r="G199" s="0" t="n">
        <v>21337220</v>
      </c>
      <c r="H199" s="0" t="n">
        <v>720192</v>
      </c>
      <c r="I199" s="0" t="s">
        <v>34</v>
      </c>
      <c r="J199" s="0" t="s">
        <v>174</v>
      </c>
      <c r="K199" s="0" t="s">
        <v>74</v>
      </c>
      <c r="L199" s="0" t="n">
        <v>223691789</v>
      </c>
      <c r="M199" s="0" t="s">
        <v>348</v>
      </c>
      <c r="N199" s="0" t="n">
        <v>102900691</v>
      </c>
      <c r="O199" s="0" t="n">
        <v>499</v>
      </c>
      <c r="P199" s="0" t="n">
        <v>18.9</v>
      </c>
      <c r="Q199" s="0" t="n">
        <f aca="false">IFERROR(VLOOKUP(B199,[2]'Cost Correction'!$D$2:$AJ$1627,33,0),"")</f>
        <v>102900691</v>
      </c>
    </row>
    <row r="200" customFormat="false" ht="15" hidden="false" customHeight="false" outlineLevel="0" collapsed="false">
      <c r="A200" s="0" t="str">
        <f aca="false">E200&amp;L200&amp;Q200</f>
        <v>43353223691792</v>
      </c>
      <c r="B200" s="0" t="s">
        <v>603</v>
      </c>
      <c r="C200" s="0" t="s">
        <v>604</v>
      </c>
      <c r="D200" s="0" t="s">
        <v>28</v>
      </c>
      <c r="E200" s="44" t="n">
        <v>43353</v>
      </c>
      <c r="F200" s="0" t="s">
        <v>64</v>
      </c>
      <c r="G200" s="0" t="n">
        <v>21337220</v>
      </c>
      <c r="H200" s="0" t="n">
        <v>720192</v>
      </c>
      <c r="I200" s="0" t="s">
        <v>34</v>
      </c>
      <c r="J200" s="0" t="s">
        <v>174</v>
      </c>
      <c r="K200" s="0" t="s">
        <v>73</v>
      </c>
      <c r="L200" s="0" t="n">
        <v>223691792</v>
      </c>
      <c r="M200" s="0" t="s">
        <v>345</v>
      </c>
      <c r="N200" s="0" t="n">
        <v>102901894</v>
      </c>
      <c r="O200" s="0" t="n">
        <v>489</v>
      </c>
      <c r="P200" s="0" t="n">
        <v>9.94</v>
      </c>
      <c r="Q200" s="0" t="str">
        <f aca="false">IFERROR(VLOOKUP(B200,[2]'Cost Correction'!$D$2:$AJ$1627,33,0),"")</f>
        <v/>
      </c>
    </row>
    <row r="201" customFormat="false" ht="15" hidden="true" customHeight="false" outlineLevel="0" collapsed="false">
      <c r="A201" s="0" t="str">
        <f aca="false">E201&amp;L201&amp;Q201</f>
        <v>43353223691777102900697</v>
      </c>
      <c r="B201" s="0" t="s">
        <v>605</v>
      </c>
      <c r="C201" s="0" t="s">
        <v>606</v>
      </c>
      <c r="D201" s="0" t="s">
        <v>28</v>
      </c>
      <c r="E201" s="44" t="n">
        <v>43353</v>
      </c>
      <c r="F201" s="0" t="s">
        <v>64</v>
      </c>
      <c r="G201" s="0" t="n">
        <v>21337220</v>
      </c>
      <c r="H201" s="0" t="n">
        <v>720192</v>
      </c>
      <c r="I201" s="0" t="s">
        <v>34</v>
      </c>
      <c r="J201" s="0" t="s">
        <v>174</v>
      </c>
      <c r="K201" s="0" t="s">
        <v>72</v>
      </c>
      <c r="L201" s="0" t="n">
        <v>223691777</v>
      </c>
      <c r="M201" s="0" t="s">
        <v>342</v>
      </c>
      <c r="N201" s="0" t="n">
        <v>102900697</v>
      </c>
      <c r="O201" s="0" t="n">
        <v>1016</v>
      </c>
      <c r="P201" s="0" t="n">
        <v>30.57</v>
      </c>
      <c r="Q201" s="0" t="n">
        <f aca="false">IFERROR(VLOOKUP(B201,[2]'Cost Correction'!$D$2:$AJ$1627,33,0),"")</f>
        <v>102900697</v>
      </c>
    </row>
    <row r="202" customFormat="false" ht="15" hidden="true" customHeight="false" outlineLevel="0" collapsed="false">
      <c r="A202" s="0" t="str">
        <f aca="false">E202&amp;L202&amp;Q202</f>
        <v>43353223691831102913800</v>
      </c>
      <c r="B202" s="0" t="s">
        <v>607</v>
      </c>
      <c r="C202" s="0" t="s">
        <v>608</v>
      </c>
      <c r="D202" s="0" t="s">
        <v>28</v>
      </c>
      <c r="E202" s="44" t="n">
        <v>43353</v>
      </c>
      <c r="F202" s="0" t="s">
        <v>64</v>
      </c>
      <c r="G202" s="0" t="n">
        <v>21337220</v>
      </c>
      <c r="H202" s="0" t="n">
        <v>720192</v>
      </c>
      <c r="I202" s="0" t="s">
        <v>34</v>
      </c>
      <c r="J202" s="0" t="s">
        <v>174</v>
      </c>
      <c r="K202" s="0" t="s">
        <v>70</v>
      </c>
      <c r="L202" s="0" t="n">
        <v>223691831</v>
      </c>
      <c r="M202" s="0" t="s">
        <v>336</v>
      </c>
      <c r="N202" s="0" t="n">
        <v>102913800</v>
      </c>
      <c r="O202" s="0" t="n">
        <v>6693</v>
      </c>
      <c r="P202" s="0" t="n">
        <v>170.5</v>
      </c>
      <c r="Q202" s="0" t="n">
        <f aca="false">IFERROR(VLOOKUP(B202,[2]'Cost Correction'!$D$2:$AJ$1627,33,0),"")</f>
        <v>102913800</v>
      </c>
    </row>
    <row r="203" customFormat="false" ht="15" hidden="true" customHeight="false" outlineLevel="0" collapsed="false">
      <c r="A203" s="0" t="str">
        <f aca="false">E203&amp;L203&amp;Q203</f>
        <v>43353223691795102900688</v>
      </c>
      <c r="B203" s="0" t="s">
        <v>609</v>
      </c>
      <c r="C203" s="0" t="s">
        <v>610</v>
      </c>
      <c r="D203" s="0" t="s">
        <v>28</v>
      </c>
      <c r="E203" s="44" t="n">
        <v>43353</v>
      </c>
      <c r="F203" s="0" t="s">
        <v>64</v>
      </c>
      <c r="G203" s="0" t="n">
        <v>21337220</v>
      </c>
      <c r="H203" s="0" t="n">
        <v>720192</v>
      </c>
      <c r="I203" s="0" t="s">
        <v>34</v>
      </c>
      <c r="J203" s="0" t="s">
        <v>174</v>
      </c>
      <c r="K203" s="0" t="s">
        <v>87</v>
      </c>
      <c r="L203" s="0" t="n">
        <v>223691795</v>
      </c>
      <c r="M203" s="0" t="s">
        <v>387</v>
      </c>
      <c r="N203" s="0" t="n">
        <v>102900688</v>
      </c>
      <c r="O203" s="0" t="n">
        <v>520</v>
      </c>
      <c r="P203" s="0" t="n">
        <v>9.24</v>
      </c>
      <c r="Q203" s="0" t="n">
        <f aca="false">IFERROR(VLOOKUP(B203,[2]'Cost Correction'!$D$2:$AJ$1627,33,0),"")</f>
        <v>102900688</v>
      </c>
    </row>
    <row r="204" customFormat="false" ht="15" hidden="false" customHeight="false" outlineLevel="0" collapsed="false">
      <c r="A204" s="0" t="str">
        <f aca="false">E204&amp;L204&amp;Q204</f>
        <v>43353227522762</v>
      </c>
      <c r="B204" s="0" t="s">
        <v>611</v>
      </c>
      <c r="C204" s="0" t="s">
        <v>612</v>
      </c>
      <c r="D204" s="0" t="s">
        <v>28</v>
      </c>
      <c r="E204" s="44" t="n">
        <v>43353</v>
      </c>
      <c r="F204" s="0" t="s">
        <v>64</v>
      </c>
      <c r="G204" s="0" t="n">
        <v>21337220</v>
      </c>
      <c r="H204" s="0" t="n">
        <v>720192</v>
      </c>
      <c r="I204" s="0" t="s">
        <v>34</v>
      </c>
      <c r="J204" s="0" t="s">
        <v>174</v>
      </c>
      <c r="K204" s="0" t="s">
        <v>86</v>
      </c>
      <c r="L204" s="0" t="n">
        <v>227522762</v>
      </c>
      <c r="M204" s="0" t="s">
        <v>384</v>
      </c>
      <c r="N204" s="0" t="n">
        <v>105216992</v>
      </c>
      <c r="O204" s="0" t="n">
        <v>1030</v>
      </c>
      <c r="P204" s="0" t="n">
        <v>12.67</v>
      </c>
      <c r="Q204" s="0" t="str">
        <f aca="false">IFERROR(VLOOKUP(B204,[2]'Cost Correction'!$D$2:$AJ$1627,33,0),"")</f>
        <v/>
      </c>
    </row>
    <row r="205" customFormat="false" ht="15" hidden="false" customHeight="false" outlineLevel="0" collapsed="false">
      <c r="A205" s="0" t="str">
        <f aca="false">E205&amp;L205&amp;Q205</f>
        <v>43353227618695</v>
      </c>
      <c r="B205" s="0" t="s">
        <v>613</v>
      </c>
      <c r="C205" s="0" t="s">
        <v>614</v>
      </c>
      <c r="D205" s="0" t="s">
        <v>28</v>
      </c>
      <c r="E205" s="44" t="n">
        <v>43353</v>
      </c>
      <c r="F205" s="0" t="s">
        <v>64</v>
      </c>
      <c r="G205" s="0" t="n">
        <v>21337220</v>
      </c>
      <c r="H205" s="0" t="n">
        <v>720192</v>
      </c>
      <c r="I205" s="0" t="s">
        <v>34</v>
      </c>
      <c r="J205" s="0" t="s">
        <v>174</v>
      </c>
      <c r="K205" s="0" t="s">
        <v>67</v>
      </c>
      <c r="L205" s="0" t="n">
        <v>227618695</v>
      </c>
      <c r="M205" s="0" t="s">
        <v>330</v>
      </c>
      <c r="N205" s="0" t="n">
        <v>105127638</v>
      </c>
      <c r="O205" s="0" t="n">
        <v>559</v>
      </c>
      <c r="P205" s="0" t="n">
        <v>8.9</v>
      </c>
      <c r="Q205" s="0" t="str">
        <f aca="false">IFERROR(VLOOKUP(B205,[2]'Cost Correction'!$D$2:$AJ$1627,33,0),"")</f>
        <v/>
      </c>
    </row>
    <row r="206" customFormat="false" ht="15" hidden="true" customHeight="false" outlineLevel="0" collapsed="false">
      <c r="A206" s="0" t="str">
        <f aca="false">E206&amp;L206&amp;Q206</f>
        <v>43353223691825102916338</v>
      </c>
      <c r="B206" s="0" t="s">
        <v>615</v>
      </c>
      <c r="C206" s="0" t="s">
        <v>616</v>
      </c>
      <c r="D206" s="0" t="s">
        <v>28</v>
      </c>
      <c r="E206" s="44" t="n">
        <v>43353</v>
      </c>
      <c r="F206" s="0" t="s">
        <v>64</v>
      </c>
      <c r="G206" s="0" t="n">
        <v>21337220</v>
      </c>
      <c r="H206" s="0" t="n">
        <v>720192</v>
      </c>
      <c r="I206" s="0" t="s">
        <v>34</v>
      </c>
      <c r="J206" s="0" t="s">
        <v>174</v>
      </c>
      <c r="K206" s="0" t="s">
        <v>80</v>
      </c>
      <c r="L206" s="0" t="n">
        <v>223691825</v>
      </c>
      <c r="M206" s="0" t="s">
        <v>366</v>
      </c>
      <c r="N206" s="0" t="n">
        <v>102916338</v>
      </c>
      <c r="O206" s="0" t="n">
        <v>3174</v>
      </c>
      <c r="P206" s="0" t="n">
        <v>128.12</v>
      </c>
      <c r="Q206" s="0" t="n">
        <f aca="false">IFERROR(VLOOKUP(B206,[2]'Cost Correction'!$D$2:$AJ$1627,33,0),"")</f>
        <v>102916338</v>
      </c>
    </row>
    <row r="207" customFormat="false" ht="15" hidden="true" customHeight="false" outlineLevel="0" collapsed="false">
      <c r="A207" s="0" t="str">
        <f aca="false">E207&amp;L207&amp;Q207</f>
        <v>43353227525720105130125</v>
      </c>
      <c r="B207" s="0" t="s">
        <v>617</v>
      </c>
      <c r="C207" s="0" t="s">
        <v>618</v>
      </c>
      <c r="D207" s="0" t="s">
        <v>28</v>
      </c>
      <c r="E207" s="44" t="n">
        <v>43353</v>
      </c>
      <c r="F207" s="0" t="s">
        <v>64</v>
      </c>
      <c r="G207" s="0" t="n">
        <v>21337220</v>
      </c>
      <c r="H207" s="0" t="n">
        <v>720192</v>
      </c>
      <c r="I207" s="0" t="s">
        <v>34</v>
      </c>
      <c r="J207" s="0" t="s">
        <v>174</v>
      </c>
      <c r="K207" s="0" t="s">
        <v>85</v>
      </c>
      <c r="L207" s="0" t="n">
        <v>227525720</v>
      </c>
      <c r="M207" s="0" t="s">
        <v>381</v>
      </c>
      <c r="N207" s="0" t="n">
        <v>105130125</v>
      </c>
      <c r="O207" s="0" t="n">
        <v>1242</v>
      </c>
      <c r="P207" s="0" t="n">
        <v>20.68</v>
      </c>
      <c r="Q207" s="0" t="n">
        <f aca="false">IFERROR(VLOOKUP(B207,[2]'Cost Correction'!$D$2:$AJ$1627,33,0),"")</f>
        <v>105130125</v>
      </c>
    </row>
    <row r="208" customFormat="false" ht="15" hidden="true" customHeight="false" outlineLevel="0" collapsed="false">
      <c r="A208" s="0" t="str">
        <f aca="false">E208&amp;L208&amp;Q208</f>
        <v>43353223691840102902950</v>
      </c>
      <c r="B208" s="0" t="s">
        <v>619</v>
      </c>
      <c r="C208" s="0" t="s">
        <v>620</v>
      </c>
      <c r="D208" s="0" t="s">
        <v>28</v>
      </c>
      <c r="E208" s="44" t="n">
        <v>43353</v>
      </c>
      <c r="F208" s="0" t="s">
        <v>64</v>
      </c>
      <c r="G208" s="0" t="n">
        <v>21337220</v>
      </c>
      <c r="H208" s="0" t="n">
        <v>720192</v>
      </c>
      <c r="I208" s="0" t="s">
        <v>34</v>
      </c>
      <c r="J208" s="0" t="s">
        <v>174</v>
      </c>
      <c r="K208" s="0" t="s">
        <v>77</v>
      </c>
      <c r="L208" s="0" t="n">
        <v>223691840</v>
      </c>
      <c r="M208" s="0" t="s">
        <v>357</v>
      </c>
      <c r="N208" s="0" t="n">
        <v>102902950</v>
      </c>
      <c r="O208" s="0" t="n">
        <v>1095</v>
      </c>
      <c r="P208" s="0" t="n">
        <v>18.06</v>
      </c>
      <c r="Q208" s="0" t="n">
        <f aca="false">IFERROR(VLOOKUP(B208,[2]'Cost Correction'!$D$2:$AJ$1627,33,0),"")</f>
        <v>102902950</v>
      </c>
    </row>
    <row r="209" customFormat="false" ht="15" hidden="true" customHeight="false" outlineLevel="0" collapsed="false">
      <c r="A209" s="0" t="str">
        <f aca="false">E209&amp;L209&amp;Q209</f>
        <v>43353223691822103058708</v>
      </c>
      <c r="B209" s="0" t="s">
        <v>621</v>
      </c>
      <c r="C209" s="0" t="s">
        <v>622</v>
      </c>
      <c r="D209" s="0" t="s">
        <v>28</v>
      </c>
      <c r="E209" s="44" t="n">
        <v>43353</v>
      </c>
      <c r="F209" s="0" t="s">
        <v>64</v>
      </c>
      <c r="G209" s="0" t="n">
        <v>21337220</v>
      </c>
      <c r="H209" s="0" t="n">
        <v>720192</v>
      </c>
      <c r="I209" s="0" t="s">
        <v>34</v>
      </c>
      <c r="J209" s="0" t="s">
        <v>174</v>
      </c>
      <c r="K209" s="0" t="s">
        <v>89</v>
      </c>
      <c r="L209" s="0" t="n">
        <v>223691822</v>
      </c>
      <c r="M209" s="0" t="s">
        <v>393</v>
      </c>
      <c r="N209" s="0" t="n">
        <v>103058708</v>
      </c>
      <c r="O209" s="0" t="n">
        <v>191</v>
      </c>
      <c r="P209" s="0" t="n">
        <v>5.11</v>
      </c>
      <c r="Q209" s="0" t="n">
        <f aca="false">IFERROR(VLOOKUP(B209,[2]'Cost Correction'!$D$2:$AJ$1627,33,0),"")</f>
        <v>103058708</v>
      </c>
    </row>
    <row r="210" customFormat="false" ht="15" hidden="true" customHeight="false" outlineLevel="0" collapsed="false">
      <c r="A210" s="0" t="str">
        <f aca="false">E210&amp;L210&amp;Q210</f>
        <v>43353223691816102916341</v>
      </c>
      <c r="B210" s="0" t="s">
        <v>623</v>
      </c>
      <c r="C210" s="0" t="s">
        <v>624</v>
      </c>
      <c r="D210" s="0" t="s">
        <v>28</v>
      </c>
      <c r="E210" s="44" t="n">
        <v>43353</v>
      </c>
      <c r="F210" s="0" t="s">
        <v>64</v>
      </c>
      <c r="G210" s="0" t="n">
        <v>21337220</v>
      </c>
      <c r="H210" s="0" t="n">
        <v>720192</v>
      </c>
      <c r="I210" s="0" t="s">
        <v>34</v>
      </c>
      <c r="J210" s="0" t="s">
        <v>174</v>
      </c>
      <c r="K210" s="0" t="s">
        <v>93</v>
      </c>
      <c r="L210" s="0" t="n">
        <v>223691816</v>
      </c>
      <c r="M210" s="0" t="s">
        <v>625</v>
      </c>
      <c r="N210" s="0" t="n">
        <v>102916341</v>
      </c>
      <c r="O210" s="0" t="n">
        <v>890</v>
      </c>
      <c r="P210" s="0" t="n">
        <v>13.44</v>
      </c>
      <c r="Q210" s="0" t="n">
        <f aca="false">IFERROR(VLOOKUP(B210,[2]'Cost Correction'!$D$2:$AJ$1627,33,0),"")</f>
        <v>102916341</v>
      </c>
    </row>
    <row r="211" customFormat="false" ht="15" hidden="true" customHeight="false" outlineLevel="0" collapsed="false">
      <c r="A211" s="0" t="str">
        <f aca="false">E211&amp;L211&amp;Q211</f>
        <v>43353223691786103058720</v>
      </c>
      <c r="B211" s="0" t="s">
        <v>626</v>
      </c>
      <c r="C211" s="0" t="s">
        <v>627</v>
      </c>
      <c r="D211" s="0" t="s">
        <v>28</v>
      </c>
      <c r="E211" s="44" t="n">
        <v>43353</v>
      </c>
      <c r="F211" s="0" t="s">
        <v>64</v>
      </c>
      <c r="G211" s="0" t="n">
        <v>21337220</v>
      </c>
      <c r="H211" s="0" t="n">
        <v>720192</v>
      </c>
      <c r="I211" s="0" t="s">
        <v>34</v>
      </c>
      <c r="J211" s="0" t="s">
        <v>174</v>
      </c>
      <c r="K211" s="0" t="s">
        <v>81</v>
      </c>
      <c r="L211" s="0" t="n">
        <v>223691786</v>
      </c>
      <c r="M211" s="0" t="s">
        <v>369</v>
      </c>
      <c r="N211" s="0" t="n">
        <v>103058720</v>
      </c>
      <c r="O211" s="0" t="n">
        <v>804</v>
      </c>
      <c r="P211" s="0" t="n">
        <v>16.62</v>
      </c>
      <c r="Q211" s="0" t="n">
        <f aca="false">IFERROR(VLOOKUP(B211,[2]'Cost Correction'!$D$2:$AJ$1627,33,0),"")</f>
        <v>103058720</v>
      </c>
    </row>
    <row r="212" customFormat="false" ht="15" hidden="true" customHeight="false" outlineLevel="0" collapsed="false">
      <c r="A212" s="0" t="str">
        <f aca="false">E212&amp;L212&amp;Q212</f>
        <v>43353227522771105130128</v>
      </c>
      <c r="B212" s="0" t="s">
        <v>628</v>
      </c>
      <c r="C212" s="0" t="s">
        <v>629</v>
      </c>
      <c r="D212" s="0" t="s">
        <v>28</v>
      </c>
      <c r="E212" s="44" t="n">
        <v>43353</v>
      </c>
      <c r="F212" s="0" t="s">
        <v>64</v>
      </c>
      <c r="G212" s="0" t="n">
        <v>21337220</v>
      </c>
      <c r="H212" s="0" t="n">
        <v>720192</v>
      </c>
      <c r="I212" s="0" t="s">
        <v>34</v>
      </c>
      <c r="J212" s="0" t="s">
        <v>174</v>
      </c>
      <c r="K212" s="0" t="s">
        <v>78</v>
      </c>
      <c r="L212" s="0" t="n">
        <v>227522771</v>
      </c>
      <c r="M212" s="0" t="s">
        <v>360</v>
      </c>
      <c r="N212" s="0" t="n">
        <v>105130128</v>
      </c>
      <c r="O212" s="0" t="n">
        <v>466</v>
      </c>
      <c r="P212" s="0" t="n">
        <v>5.7</v>
      </c>
      <c r="Q212" s="0" t="n">
        <f aca="false">IFERROR(VLOOKUP(B212,[2]'Cost Correction'!$D$2:$AJ$1627,33,0),"")</f>
        <v>105130128</v>
      </c>
    </row>
    <row r="213" customFormat="false" ht="15" hidden="true" customHeight="false" outlineLevel="0" collapsed="false">
      <c r="A213" s="0" t="str">
        <f aca="false">E213&amp;L213&amp;Q213</f>
        <v>43353223691810103058711</v>
      </c>
      <c r="B213" s="0" t="s">
        <v>630</v>
      </c>
      <c r="C213" s="0" t="s">
        <v>631</v>
      </c>
      <c r="D213" s="0" t="s">
        <v>28</v>
      </c>
      <c r="E213" s="44" t="n">
        <v>43353</v>
      </c>
      <c r="F213" s="0" t="s">
        <v>64</v>
      </c>
      <c r="G213" s="0" t="n">
        <v>21337220</v>
      </c>
      <c r="H213" s="0" t="n">
        <v>720192</v>
      </c>
      <c r="I213" s="0" t="s">
        <v>34</v>
      </c>
      <c r="J213" s="0" t="s">
        <v>174</v>
      </c>
      <c r="K213" s="0" t="s">
        <v>94</v>
      </c>
      <c r="L213" s="0" t="n">
        <v>223691810</v>
      </c>
      <c r="M213" s="0" t="s">
        <v>632</v>
      </c>
      <c r="N213" s="0" t="n">
        <v>103058711</v>
      </c>
      <c r="O213" s="0" t="n">
        <v>683</v>
      </c>
      <c r="P213" s="0" t="n">
        <v>11.49</v>
      </c>
      <c r="Q213" s="0" t="n">
        <f aca="false">IFERROR(VLOOKUP(B213,[2]'Cost Correction'!$D$2:$AJ$1627,33,0),"")</f>
        <v>103058711</v>
      </c>
    </row>
    <row r="214" customFormat="false" ht="15" hidden="false" customHeight="false" outlineLevel="0" collapsed="false">
      <c r="A214" s="0" t="str">
        <f aca="false">E214&amp;L214&amp;Q214</f>
        <v>43353223691807</v>
      </c>
      <c r="B214" s="0" t="s">
        <v>633</v>
      </c>
      <c r="C214" s="0" t="s">
        <v>634</v>
      </c>
      <c r="D214" s="0" t="s">
        <v>28</v>
      </c>
      <c r="E214" s="44" t="n">
        <v>43353</v>
      </c>
      <c r="F214" s="0" t="s">
        <v>64</v>
      </c>
      <c r="G214" s="0" t="n">
        <v>21337220</v>
      </c>
      <c r="H214" s="0" t="n">
        <v>720192</v>
      </c>
      <c r="I214" s="0" t="s">
        <v>34</v>
      </c>
      <c r="J214" s="0" t="s">
        <v>174</v>
      </c>
      <c r="K214" s="0" t="s">
        <v>95</v>
      </c>
      <c r="L214" s="0" t="n">
        <v>223691807</v>
      </c>
      <c r="M214" s="0" t="s">
        <v>635</v>
      </c>
      <c r="N214" s="0" t="n">
        <v>102900685</v>
      </c>
      <c r="O214" s="0" t="n">
        <v>644</v>
      </c>
      <c r="P214" s="0" t="n">
        <v>10.02</v>
      </c>
      <c r="Q214" s="0" t="str">
        <f aca="false">IFERROR(VLOOKUP(B214,[2]'Cost Correction'!$D$2:$AJ$1627,33,0),"")</f>
        <v/>
      </c>
    </row>
    <row r="215" customFormat="false" ht="15" hidden="true" customHeight="false" outlineLevel="0" collapsed="false">
      <c r="A215" s="0" t="str">
        <f aca="false">E215&amp;L215&amp;Q215</f>
        <v>43353223691801103053323</v>
      </c>
      <c r="B215" s="0" t="s">
        <v>636</v>
      </c>
      <c r="C215" s="0" t="s">
        <v>637</v>
      </c>
      <c r="D215" s="0" t="s">
        <v>28</v>
      </c>
      <c r="E215" s="44" t="n">
        <v>43353</v>
      </c>
      <c r="F215" s="0" t="s">
        <v>64</v>
      </c>
      <c r="G215" s="0" t="n">
        <v>21337220</v>
      </c>
      <c r="H215" s="0" t="n">
        <v>720192</v>
      </c>
      <c r="I215" s="0" t="s">
        <v>34</v>
      </c>
      <c r="J215" s="0" t="s">
        <v>174</v>
      </c>
      <c r="K215" s="0" t="s">
        <v>79</v>
      </c>
      <c r="L215" s="0" t="n">
        <v>223691801</v>
      </c>
      <c r="M215" s="0" t="s">
        <v>363</v>
      </c>
      <c r="N215" s="0" t="n">
        <v>103053323</v>
      </c>
      <c r="O215" s="0" t="n">
        <v>218</v>
      </c>
      <c r="P215" s="0" t="n">
        <v>4.92</v>
      </c>
      <c r="Q215" s="0" t="n">
        <f aca="false">IFERROR(VLOOKUP(B215,[2]'Cost Correction'!$D$2:$AJ$1627,33,0),"")</f>
        <v>103053323</v>
      </c>
    </row>
    <row r="216" customFormat="false" ht="15" hidden="false" customHeight="false" outlineLevel="0" collapsed="false">
      <c r="A216" s="0" t="str">
        <f aca="false">E216&amp;L216&amp;Q216</f>
        <v>43353223691834</v>
      </c>
      <c r="B216" s="0" t="s">
        <v>638</v>
      </c>
      <c r="C216" s="0" t="s">
        <v>639</v>
      </c>
      <c r="D216" s="0" t="s">
        <v>28</v>
      </c>
      <c r="E216" s="44" t="n">
        <v>43353</v>
      </c>
      <c r="F216" s="0" t="s">
        <v>64</v>
      </c>
      <c r="G216" s="0" t="n">
        <v>21337220</v>
      </c>
      <c r="H216" s="0" t="n">
        <v>720192</v>
      </c>
      <c r="I216" s="0" t="s">
        <v>34</v>
      </c>
      <c r="J216" s="0" t="s">
        <v>174</v>
      </c>
      <c r="K216" s="0" t="s">
        <v>88</v>
      </c>
      <c r="L216" s="0" t="n">
        <v>223691834</v>
      </c>
      <c r="M216" s="0" t="s">
        <v>390</v>
      </c>
      <c r="N216" s="0" t="n">
        <v>102902953</v>
      </c>
      <c r="O216" s="0" t="n">
        <v>631</v>
      </c>
      <c r="P216" s="0" t="n">
        <v>17.48</v>
      </c>
      <c r="Q216" s="0" t="str">
        <f aca="false">IFERROR(VLOOKUP(B216,[2]'Cost Correction'!$D$2:$AJ$1627,33,0),"")</f>
        <v/>
      </c>
    </row>
    <row r="217" customFormat="false" ht="15" hidden="true" customHeight="false" outlineLevel="0" collapsed="false">
      <c r="A217" s="0" t="str">
        <f aca="false">E217&amp;L217&amp;Q217</f>
        <v>43353223691804103058717</v>
      </c>
      <c r="B217" s="0" t="s">
        <v>640</v>
      </c>
      <c r="C217" s="0" t="s">
        <v>641</v>
      </c>
      <c r="D217" s="0" t="s">
        <v>28</v>
      </c>
      <c r="E217" s="44" t="n">
        <v>43353</v>
      </c>
      <c r="F217" s="0" t="s">
        <v>64</v>
      </c>
      <c r="G217" s="0" t="n">
        <v>21337220</v>
      </c>
      <c r="H217" s="0" t="n">
        <v>720192</v>
      </c>
      <c r="I217" s="0" t="s">
        <v>34</v>
      </c>
      <c r="J217" s="0" t="s">
        <v>174</v>
      </c>
      <c r="K217" s="0" t="s">
        <v>96</v>
      </c>
      <c r="L217" s="0" t="n">
        <v>223691804</v>
      </c>
      <c r="M217" s="0" t="s">
        <v>642</v>
      </c>
      <c r="N217" s="0" t="n">
        <v>103058717</v>
      </c>
      <c r="O217" s="0" t="n">
        <v>709</v>
      </c>
      <c r="P217" s="0" t="n">
        <v>10.52</v>
      </c>
      <c r="Q217" s="0" t="n">
        <f aca="false">IFERROR(VLOOKUP(B217,[2]'Cost Correction'!$D$2:$AJ$1627,33,0),"")</f>
        <v>103058717</v>
      </c>
    </row>
    <row r="218" customFormat="false" ht="15" hidden="true" customHeight="false" outlineLevel="0" collapsed="false">
      <c r="A218" s="0" t="str">
        <f aca="false">E218&amp;L218&amp;Q218</f>
        <v>43353223691798102916347</v>
      </c>
      <c r="B218" s="0" t="s">
        <v>643</v>
      </c>
      <c r="C218" s="0" t="s">
        <v>644</v>
      </c>
      <c r="D218" s="0" t="s">
        <v>28</v>
      </c>
      <c r="E218" s="44" t="n">
        <v>43353</v>
      </c>
      <c r="F218" s="0" t="s">
        <v>64</v>
      </c>
      <c r="G218" s="0" t="n">
        <v>21337220</v>
      </c>
      <c r="H218" s="0" t="n">
        <v>720192</v>
      </c>
      <c r="I218" s="0" t="s">
        <v>34</v>
      </c>
      <c r="J218" s="0" t="s">
        <v>174</v>
      </c>
      <c r="K218" s="0" t="s">
        <v>69</v>
      </c>
      <c r="L218" s="0" t="n">
        <v>223691798</v>
      </c>
      <c r="M218" s="0" t="s">
        <v>333</v>
      </c>
      <c r="N218" s="0" t="n">
        <v>102916347</v>
      </c>
      <c r="O218" s="0" t="n">
        <v>1029</v>
      </c>
      <c r="P218" s="0" t="n">
        <v>19.16</v>
      </c>
      <c r="Q218" s="0" t="n">
        <f aca="false">IFERROR(VLOOKUP(B218,[2]'Cost Correction'!$D$2:$AJ$1627,33,0),"")</f>
        <v>102916347</v>
      </c>
    </row>
    <row r="219" customFormat="false" ht="15" hidden="true" customHeight="false" outlineLevel="0" collapsed="false">
      <c r="A219" s="0" t="str">
        <f aca="false">E219&amp;L219&amp;Q219</f>
        <v>43353223691774102916356</v>
      </c>
      <c r="B219" s="0" t="s">
        <v>645</v>
      </c>
      <c r="C219" s="0" t="s">
        <v>646</v>
      </c>
      <c r="D219" s="0" t="s">
        <v>28</v>
      </c>
      <c r="E219" s="44" t="n">
        <v>43353</v>
      </c>
      <c r="F219" s="0" t="s">
        <v>64</v>
      </c>
      <c r="G219" s="0" t="n">
        <v>21337220</v>
      </c>
      <c r="H219" s="0" t="n">
        <v>720192</v>
      </c>
      <c r="I219" s="0" t="s">
        <v>34</v>
      </c>
      <c r="J219" s="0" t="s">
        <v>174</v>
      </c>
      <c r="K219" s="0" t="s">
        <v>97</v>
      </c>
      <c r="L219" s="0" t="n">
        <v>223691774</v>
      </c>
      <c r="M219" s="0" t="s">
        <v>647</v>
      </c>
      <c r="N219" s="0" t="n">
        <v>102916356</v>
      </c>
      <c r="O219" s="0" t="n">
        <v>651</v>
      </c>
      <c r="P219" s="0" t="n">
        <v>11.4</v>
      </c>
      <c r="Q219" s="0" t="n">
        <f aca="false">IFERROR(VLOOKUP(B219,[2]'Cost Correction'!$D$2:$AJ$1627,33,0),"")</f>
        <v>102916356</v>
      </c>
    </row>
    <row r="220" customFormat="false" ht="15" hidden="true" customHeight="false" outlineLevel="0" collapsed="false">
      <c r="A220" s="0" t="str">
        <f aca="false">E220&amp;L220&amp;Q220</f>
        <v>43353223691819102900682</v>
      </c>
      <c r="B220" s="0" t="s">
        <v>648</v>
      </c>
      <c r="C220" s="0" t="s">
        <v>649</v>
      </c>
      <c r="D220" s="0" t="s">
        <v>28</v>
      </c>
      <c r="E220" s="44" t="n">
        <v>43353</v>
      </c>
      <c r="F220" s="0" t="s">
        <v>64</v>
      </c>
      <c r="G220" s="0" t="n">
        <v>21337220</v>
      </c>
      <c r="H220" s="0" t="n">
        <v>720192</v>
      </c>
      <c r="I220" s="0" t="s">
        <v>34</v>
      </c>
      <c r="J220" s="0" t="s">
        <v>174</v>
      </c>
      <c r="K220" s="0" t="s">
        <v>90</v>
      </c>
      <c r="L220" s="0" t="n">
        <v>223691819</v>
      </c>
      <c r="M220" s="0" t="s">
        <v>396</v>
      </c>
      <c r="N220" s="0" t="n">
        <v>102900682</v>
      </c>
      <c r="O220" s="0" t="n">
        <v>364</v>
      </c>
      <c r="P220" s="0" t="n">
        <v>16.56</v>
      </c>
      <c r="Q220" s="0" t="n">
        <f aca="false">IFERROR(VLOOKUP(B220,[2]'Cost Correction'!$D$2:$AJ$1627,33,0),"")</f>
        <v>102900682</v>
      </c>
    </row>
    <row r="221" customFormat="false" ht="15" hidden="false" customHeight="false" outlineLevel="0" collapsed="false">
      <c r="A221" s="0" t="str">
        <f aca="false">E221&amp;L221&amp;Q221</f>
        <v>43353223691828</v>
      </c>
      <c r="B221" s="0" t="s">
        <v>650</v>
      </c>
      <c r="C221" s="0" t="s">
        <v>651</v>
      </c>
      <c r="D221" s="0" t="s">
        <v>28</v>
      </c>
      <c r="E221" s="44" t="n">
        <v>43353</v>
      </c>
      <c r="F221" s="0" t="s">
        <v>64</v>
      </c>
      <c r="G221" s="0" t="n">
        <v>21337220</v>
      </c>
      <c r="H221" s="0" t="n">
        <v>720192</v>
      </c>
      <c r="I221" s="0" t="s">
        <v>34</v>
      </c>
      <c r="J221" s="0" t="s">
        <v>174</v>
      </c>
      <c r="K221" s="0" t="s">
        <v>91</v>
      </c>
      <c r="L221" s="0" t="n">
        <v>223691828</v>
      </c>
      <c r="M221" s="0" t="s">
        <v>399</v>
      </c>
      <c r="N221" s="0" t="n">
        <v>102902956</v>
      </c>
      <c r="O221" s="0" t="n">
        <v>623</v>
      </c>
      <c r="P221" s="0" t="n">
        <v>10.89</v>
      </c>
      <c r="Q221" s="0" t="str">
        <f aca="false">IFERROR(VLOOKUP(B221,[2]'Cost Correction'!$D$2:$AJ$1627,33,0),"")</f>
        <v/>
      </c>
    </row>
    <row r="222" customFormat="false" ht="15" hidden="true" customHeight="false" outlineLevel="0" collapsed="false">
      <c r="A222" s="0" t="str">
        <f aca="false">E222&amp;L222&amp;Q222</f>
        <v>43353223691813103053320</v>
      </c>
      <c r="B222" s="0" t="s">
        <v>652</v>
      </c>
      <c r="C222" s="0" t="s">
        <v>653</v>
      </c>
      <c r="D222" s="0" t="s">
        <v>28</v>
      </c>
      <c r="E222" s="44" t="n">
        <v>43353</v>
      </c>
      <c r="F222" s="0" t="s">
        <v>64</v>
      </c>
      <c r="G222" s="0" t="n">
        <v>21337220</v>
      </c>
      <c r="H222" s="0" t="n">
        <v>720192</v>
      </c>
      <c r="I222" s="0" t="s">
        <v>34</v>
      </c>
      <c r="J222" s="0" t="s">
        <v>174</v>
      </c>
      <c r="K222" s="0" t="s">
        <v>98</v>
      </c>
      <c r="L222" s="0" t="n">
        <v>223691813</v>
      </c>
      <c r="M222" s="0" t="s">
        <v>654</v>
      </c>
      <c r="N222" s="0" t="n">
        <v>103053320</v>
      </c>
      <c r="O222" s="0" t="n">
        <v>4802</v>
      </c>
      <c r="P222" s="0" t="n">
        <v>66.02</v>
      </c>
      <c r="Q222" s="0" t="n">
        <f aca="false">IFERROR(VLOOKUP(B222,[2]'Cost Correction'!$D$2:$AJ$1627,33,0),"")</f>
        <v>103053320</v>
      </c>
    </row>
    <row r="223" customFormat="false" ht="15" hidden="true" customHeight="false" outlineLevel="0" collapsed="false">
      <c r="A223" s="0" t="str">
        <f aca="false">E223&amp;L223&amp;Q223</f>
        <v>43353223691771102902968</v>
      </c>
      <c r="B223" s="0" t="s">
        <v>655</v>
      </c>
      <c r="C223" s="0" t="s">
        <v>656</v>
      </c>
      <c r="D223" s="0" t="s">
        <v>28</v>
      </c>
      <c r="E223" s="44" t="n">
        <v>43353</v>
      </c>
      <c r="F223" s="0" t="s">
        <v>64</v>
      </c>
      <c r="G223" s="0" t="n">
        <v>21337220</v>
      </c>
      <c r="H223" s="0" t="n">
        <v>720192</v>
      </c>
      <c r="I223" s="0" t="s">
        <v>34</v>
      </c>
      <c r="J223" s="0" t="s">
        <v>174</v>
      </c>
      <c r="K223" s="0" t="s">
        <v>99</v>
      </c>
      <c r="L223" s="0" t="n">
        <v>223691771</v>
      </c>
      <c r="M223" s="0" t="s">
        <v>657</v>
      </c>
      <c r="N223" s="0" t="n">
        <v>102902968</v>
      </c>
      <c r="O223" s="0" t="n">
        <v>613</v>
      </c>
      <c r="P223" s="0" t="n">
        <v>8.44</v>
      </c>
      <c r="Q223" s="0" t="n">
        <f aca="false">IFERROR(VLOOKUP(B223,[2]'Cost Correction'!$D$2:$AJ$1627,33,0),"")</f>
        <v>102902968</v>
      </c>
    </row>
    <row r="224" customFormat="false" ht="15" hidden="true" customHeight="false" outlineLevel="0" collapsed="false">
      <c r="A224" s="0" t="str">
        <f aca="false">E224&amp;L224&amp;Q224</f>
        <v>43353223691765103053332</v>
      </c>
      <c r="B224" s="0" t="s">
        <v>658</v>
      </c>
      <c r="C224" s="0" t="s">
        <v>659</v>
      </c>
      <c r="D224" s="0" t="s">
        <v>28</v>
      </c>
      <c r="E224" s="44" t="n">
        <v>43353</v>
      </c>
      <c r="F224" s="0" t="s">
        <v>64</v>
      </c>
      <c r="G224" s="0" t="n">
        <v>21337220</v>
      </c>
      <c r="H224" s="0" t="n">
        <v>720192</v>
      </c>
      <c r="I224" s="0" t="s">
        <v>34</v>
      </c>
      <c r="J224" s="0" t="s">
        <v>174</v>
      </c>
      <c r="K224" s="0" t="s">
        <v>100</v>
      </c>
      <c r="L224" s="0" t="n">
        <v>223691765</v>
      </c>
      <c r="M224" s="0" t="s">
        <v>660</v>
      </c>
      <c r="N224" s="0" t="n">
        <v>103053332</v>
      </c>
      <c r="O224" s="0" t="n">
        <v>193</v>
      </c>
      <c r="P224" s="0" t="n">
        <v>2.76</v>
      </c>
      <c r="Q224" s="0" t="n">
        <f aca="false">IFERROR(VLOOKUP(B224,[2]'Cost Correction'!$D$2:$AJ$1627,33,0),"")</f>
        <v>103053332</v>
      </c>
    </row>
    <row r="225" customFormat="false" ht="15" hidden="true" customHeight="false" outlineLevel="0" collapsed="false">
      <c r="A225" s="0" t="str">
        <f aca="false">E225&amp;L225&amp;Q225</f>
        <v>43353223691768102902971</v>
      </c>
      <c r="B225" s="0" t="s">
        <v>661</v>
      </c>
      <c r="C225" s="0" t="s">
        <v>662</v>
      </c>
      <c r="D225" s="0" t="s">
        <v>28</v>
      </c>
      <c r="E225" s="44" t="n">
        <v>43353</v>
      </c>
      <c r="F225" s="0" t="s">
        <v>64</v>
      </c>
      <c r="G225" s="0" t="n">
        <v>21337220</v>
      </c>
      <c r="H225" s="0" t="n">
        <v>720192</v>
      </c>
      <c r="I225" s="0" t="s">
        <v>34</v>
      </c>
      <c r="J225" s="0" t="s">
        <v>174</v>
      </c>
      <c r="K225" s="0" t="s">
        <v>101</v>
      </c>
      <c r="L225" s="0" t="n">
        <v>223691768</v>
      </c>
      <c r="M225" s="0" t="s">
        <v>663</v>
      </c>
      <c r="N225" s="0" t="n">
        <v>102902971</v>
      </c>
      <c r="O225" s="0" t="n">
        <v>258</v>
      </c>
      <c r="P225" s="0" t="n">
        <v>4.93</v>
      </c>
      <c r="Q225" s="0" t="n">
        <f aca="false">IFERROR(VLOOKUP(B225,[2]'Cost Correction'!$D$2:$AJ$1627,33,0),"")</f>
        <v>102902971</v>
      </c>
    </row>
    <row r="226" customFormat="false" ht="15" hidden="true" customHeight="false" outlineLevel="0" collapsed="false">
      <c r="A226" s="0" t="str">
        <f aca="false">E226&amp;L226&amp;Q226</f>
        <v>43353223691837103053314</v>
      </c>
      <c r="B226" s="0" t="s">
        <v>664</v>
      </c>
      <c r="C226" s="0" t="s">
        <v>665</v>
      </c>
      <c r="D226" s="0" t="s">
        <v>28</v>
      </c>
      <c r="E226" s="44" t="n">
        <v>43353</v>
      </c>
      <c r="F226" s="0" t="s">
        <v>64</v>
      </c>
      <c r="G226" s="0" t="n">
        <v>21337220</v>
      </c>
      <c r="H226" s="0" t="n">
        <v>720192</v>
      </c>
      <c r="I226" s="0" t="s">
        <v>34</v>
      </c>
      <c r="J226" s="0" t="s">
        <v>174</v>
      </c>
      <c r="K226" s="0" t="s">
        <v>83</v>
      </c>
      <c r="L226" s="0" t="n">
        <v>223691837</v>
      </c>
      <c r="M226" s="0" t="s">
        <v>375</v>
      </c>
      <c r="N226" s="0" t="n">
        <v>103053314</v>
      </c>
      <c r="O226" s="0" t="n">
        <v>7358</v>
      </c>
      <c r="P226" s="0" t="n">
        <v>123.57</v>
      </c>
      <c r="Q226" s="0" t="n">
        <f aca="false">IFERROR(VLOOKUP(B226,[2]'Cost Correction'!$D$2:$AJ$1627,33,0),"")</f>
        <v>103053314</v>
      </c>
    </row>
    <row r="227" customFormat="false" ht="15" hidden="false" customHeight="false" outlineLevel="0" collapsed="false">
      <c r="A227" s="0" t="str">
        <f aca="false">E227&amp;L227&amp;Q227</f>
        <v>43353225322324</v>
      </c>
      <c r="B227" s="0" t="s">
        <v>666</v>
      </c>
      <c r="C227" s="0" t="s">
        <v>667</v>
      </c>
      <c r="D227" s="0" t="s">
        <v>28</v>
      </c>
      <c r="E227" s="44" t="n">
        <v>43353</v>
      </c>
      <c r="F227" s="0" t="s">
        <v>64</v>
      </c>
      <c r="G227" s="0" t="n">
        <v>21337220</v>
      </c>
      <c r="H227" s="0" t="n">
        <v>720192</v>
      </c>
      <c r="I227" s="0" t="s">
        <v>34</v>
      </c>
      <c r="J227" s="0" t="s">
        <v>174</v>
      </c>
      <c r="K227" s="0" t="s">
        <v>71</v>
      </c>
      <c r="L227" s="0" t="n">
        <v>225322324</v>
      </c>
      <c r="M227" s="0" t="s">
        <v>339</v>
      </c>
      <c r="N227" s="0" t="n">
        <v>103789915</v>
      </c>
      <c r="O227" s="0" t="n">
        <v>385</v>
      </c>
      <c r="P227" s="0" t="n">
        <v>5.95</v>
      </c>
      <c r="Q227" s="0" t="str">
        <f aca="false">IFERROR(VLOOKUP(B227,[2]'Cost Correction'!$D$2:$AJ$1627,33,0),"")</f>
        <v/>
      </c>
    </row>
    <row r="228" customFormat="false" ht="15" hidden="true" customHeight="false" outlineLevel="0" collapsed="false">
      <c r="A228" s="0" t="str">
        <f aca="false">E228&amp;L228&amp;Q228</f>
        <v>43353223691783103058723</v>
      </c>
      <c r="B228" s="0" t="s">
        <v>668</v>
      </c>
      <c r="C228" s="0" t="s">
        <v>669</v>
      </c>
      <c r="D228" s="0" t="s">
        <v>28</v>
      </c>
      <c r="E228" s="44" t="n">
        <v>43353</v>
      </c>
      <c r="F228" s="0" t="s">
        <v>64</v>
      </c>
      <c r="G228" s="0" t="n">
        <v>21337220</v>
      </c>
      <c r="H228" s="0" t="n">
        <v>720192</v>
      </c>
      <c r="I228" s="0" t="s">
        <v>34</v>
      </c>
      <c r="J228" s="0" t="s">
        <v>174</v>
      </c>
      <c r="K228" s="0" t="s">
        <v>76</v>
      </c>
      <c r="L228" s="0" t="n">
        <v>223691783</v>
      </c>
      <c r="M228" s="0" t="s">
        <v>354</v>
      </c>
      <c r="N228" s="0" t="n">
        <v>103058723</v>
      </c>
      <c r="O228" s="0" t="n">
        <v>166</v>
      </c>
      <c r="P228" s="0" t="n">
        <v>5.01</v>
      </c>
      <c r="Q228" s="0" t="n">
        <f aca="false">IFERROR(VLOOKUP(B228,[2]'Cost Correction'!$D$2:$AJ$1627,33,0),"")</f>
        <v>103058723</v>
      </c>
    </row>
    <row r="229" customFormat="false" ht="15" hidden="false" customHeight="false" outlineLevel="0" collapsed="false">
      <c r="A229" s="0" t="str">
        <f aca="false">E229&amp;L229&amp;Q229</f>
        <v>43352227618695</v>
      </c>
      <c r="B229" s="0" t="s">
        <v>670</v>
      </c>
      <c r="C229" s="0" t="s">
        <v>671</v>
      </c>
      <c r="D229" s="0" t="s">
        <v>28</v>
      </c>
      <c r="E229" s="44" t="n">
        <v>43352</v>
      </c>
      <c r="F229" s="0" t="s">
        <v>64</v>
      </c>
      <c r="G229" s="0" t="n">
        <v>21337220</v>
      </c>
      <c r="H229" s="0" t="n">
        <v>720192</v>
      </c>
      <c r="I229" s="0" t="s">
        <v>34</v>
      </c>
      <c r="J229" s="0" t="s">
        <v>174</v>
      </c>
      <c r="K229" s="0" t="s">
        <v>67</v>
      </c>
      <c r="L229" s="0" t="n">
        <v>227618695</v>
      </c>
      <c r="M229" s="0" t="s">
        <v>330</v>
      </c>
      <c r="N229" s="0" t="n">
        <v>105127638</v>
      </c>
      <c r="O229" s="0" t="n">
        <v>331</v>
      </c>
      <c r="P229" s="0" t="n">
        <v>5.06</v>
      </c>
      <c r="Q229" s="0" t="str">
        <f aca="false">IFERROR(VLOOKUP(B229,[2]'Cost Correction'!$D$2:$AJ$1627,33,0),"")</f>
        <v/>
      </c>
    </row>
    <row r="230" customFormat="false" ht="15" hidden="false" customHeight="false" outlineLevel="0" collapsed="false">
      <c r="A230" s="0" t="str">
        <f aca="false">E230&amp;L230&amp;Q230</f>
        <v>43352225322324</v>
      </c>
      <c r="B230" s="0" t="s">
        <v>672</v>
      </c>
      <c r="C230" s="0" t="s">
        <v>673</v>
      </c>
      <c r="D230" s="0" t="s">
        <v>28</v>
      </c>
      <c r="E230" s="44" t="n">
        <v>43352</v>
      </c>
      <c r="F230" s="0" t="s">
        <v>64</v>
      </c>
      <c r="G230" s="0" t="n">
        <v>21337220</v>
      </c>
      <c r="H230" s="0" t="n">
        <v>720192</v>
      </c>
      <c r="I230" s="0" t="s">
        <v>34</v>
      </c>
      <c r="J230" s="0" t="s">
        <v>174</v>
      </c>
      <c r="K230" s="0" t="s">
        <v>71</v>
      </c>
      <c r="L230" s="0" t="n">
        <v>225322324</v>
      </c>
      <c r="M230" s="0" t="s">
        <v>339</v>
      </c>
      <c r="N230" s="0" t="n">
        <v>103789915</v>
      </c>
      <c r="O230" s="0" t="n">
        <v>826</v>
      </c>
      <c r="P230" s="0" t="n">
        <v>14.01</v>
      </c>
      <c r="Q230" s="0" t="str">
        <f aca="false">IFERROR(VLOOKUP(B230,[2]'Cost Correction'!$D$2:$AJ$1627,33,0),"")</f>
        <v/>
      </c>
    </row>
    <row r="231" customFormat="false" ht="15" hidden="false" customHeight="false" outlineLevel="0" collapsed="false">
      <c r="A231" s="0" t="str">
        <f aca="false">E231&amp;L231&amp;Q231</f>
        <v>43352227522771</v>
      </c>
      <c r="B231" s="0" t="s">
        <v>674</v>
      </c>
      <c r="C231" s="0" t="s">
        <v>675</v>
      </c>
      <c r="D231" s="0" t="s">
        <v>28</v>
      </c>
      <c r="E231" s="44" t="n">
        <v>43352</v>
      </c>
      <c r="F231" s="0" t="s">
        <v>64</v>
      </c>
      <c r="G231" s="0" t="n">
        <v>21337220</v>
      </c>
      <c r="H231" s="0" t="n">
        <v>720192</v>
      </c>
      <c r="I231" s="0" t="s">
        <v>34</v>
      </c>
      <c r="J231" s="0" t="s">
        <v>174</v>
      </c>
      <c r="K231" s="0" t="s">
        <v>78</v>
      </c>
      <c r="L231" s="0" t="n">
        <v>227522771</v>
      </c>
      <c r="M231" s="0" t="s">
        <v>360</v>
      </c>
      <c r="N231" s="0" t="n">
        <v>105130128</v>
      </c>
      <c r="O231" s="0" t="n">
        <v>201</v>
      </c>
      <c r="P231" s="0" t="n">
        <v>3.6</v>
      </c>
      <c r="Q231" s="0" t="str">
        <f aca="false">IFERROR(VLOOKUP(B231,[2]'Cost Correction'!$D$2:$AJ$1627,33,0),"")</f>
        <v/>
      </c>
    </row>
    <row r="232" customFormat="false" ht="15" hidden="false" customHeight="false" outlineLevel="0" collapsed="false">
      <c r="A232" s="0" t="str">
        <f aca="false">E232&amp;L232&amp;Q232</f>
        <v>43352225322327</v>
      </c>
      <c r="B232" s="0" t="s">
        <v>676</v>
      </c>
      <c r="C232" s="0" t="s">
        <v>677</v>
      </c>
      <c r="D232" s="0" t="s">
        <v>28</v>
      </c>
      <c r="E232" s="44" t="n">
        <v>43352</v>
      </c>
      <c r="F232" s="0" t="s">
        <v>64</v>
      </c>
      <c r="G232" s="0" t="n">
        <v>21337220</v>
      </c>
      <c r="H232" s="0" t="n">
        <v>720192</v>
      </c>
      <c r="I232" s="0" t="s">
        <v>34</v>
      </c>
      <c r="J232" s="0" t="s">
        <v>174</v>
      </c>
      <c r="K232" s="0" t="s">
        <v>82</v>
      </c>
      <c r="L232" s="0" t="n">
        <v>225322327</v>
      </c>
      <c r="M232" s="0" t="s">
        <v>372</v>
      </c>
      <c r="N232" s="0" t="n">
        <v>103902287</v>
      </c>
      <c r="O232" s="0" t="n">
        <v>937</v>
      </c>
      <c r="P232" s="0" t="n">
        <v>17</v>
      </c>
      <c r="Q232" s="0" t="str">
        <f aca="false">IFERROR(VLOOKUP(B232,[2]'Cost Correction'!$D$2:$AJ$1627,33,0),"")</f>
        <v/>
      </c>
    </row>
    <row r="233" customFormat="false" ht="15" hidden="true" customHeight="false" outlineLevel="0" collapsed="false">
      <c r="A233" s="0" t="str">
        <f aca="false">E233&amp;L233&amp;Q233</f>
        <v>43352223691819102900682</v>
      </c>
      <c r="B233" s="0" t="s">
        <v>678</v>
      </c>
      <c r="C233" s="0" t="s">
        <v>679</v>
      </c>
      <c r="D233" s="0" t="s">
        <v>28</v>
      </c>
      <c r="E233" s="44" t="n">
        <v>43352</v>
      </c>
      <c r="F233" s="0" t="s">
        <v>64</v>
      </c>
      <c r="G233" s="0" t="n">
        <v>21337220</v>
      </c>
      <c r="H233" s="0" t="n">
        <v>720192</v>
      </c>
      <c r="I233" s="0" t="s">
        <v>34</v>
      </c>
      <c r="J233" s="0" t="s">
        <v>174</v>
      </c>
      <c r="K233" s="0" t="s">
        <v>90</v>
      </c>
      <c r="L233" s="0" t="n">
        <v>223691819</v>
      </c>
      <c r="M233" s="0" t="s">
        <v>396</v>
      </c>
      <c r="N233" s="0" t="n">
        <v>102900682</v>
      </c>
      <c r="O233" s="0" t="n">
        <v>364</v>
      </c>
      <c r="P233" s="0" t="n">
        <v>9.92</v>
      </c>
      <c r="Q233" s="0" t="n">
        <f aca="false">IFERROR(VLOOKUP(B233,[2]'Cost Correction'!$D$2:$AJ$1627,33,0),"")</f>
        <v>102900682</v>
      </c>
    </row>
    <row r="234" customFormat="false" ht="15" hidden="true" customHeight="false" outlineLevel="0" collapsed="false">
      <c r="A234" s="0" t="str">
        <f aca="false">E234&amp;L234&amp;Q234</f>
        <v>43352227522762105216992</v>
      </c>
      <c r="B234" s="0" t="s">
        <v>680</v>
      </c>
      <c r="C234" s="0" t="s">
        <v>681</v>
      </c>
      <c r="D234" s="0" t="s">
        <v>28</v>
      </c>
      <c r="E234" s="44" t="n">
        <v>43352</v>
      </c>
      <c r="F234" s="0" t="s">
        <v>64</v>
      </c>
      <c r="G234" s="0" t="n">
        <v>21337220</v>
      </c>
      <c r="H234" s="0" t="n">
        <v>720192</v>
      </c>
      <c r="I234" s="0" t="s">
        <v>34</v>
      </c>
      <c r="J234" s="0" t="s">
        <v>174</v>
      </c>
      <c r="K234" s="0" t="s">
        <v>86</v>
      </c>
      <c r="L234" s="0" t="n">
        <v>227522762</v>
      </c>
      <c r="M234" s="0" t="s">
        <v>384</v>
      </c>
      <c r="N234" s="0" t="n">
        <v>105216992</v>
      </c>
      <c r="O234" s="0" t="n">
        <v>799</v>
      </c>
      <c r="P234" s="0" t="n">
        <v>14.41</v>
      </c>
      <c r="Q234" s="0" t="n">
        <f aca="false">IFERROR(VLOOKUP(B234,[2]'Cost Correction'!$D$2:$AJ$1627,33,0),"")</f>
        <v>105216992</v>
      </c>
    </row>
    <row r="235" customFormat="false" ht="15" hidden="true" customHeight="false" outlineLevel="0" collapsed="false">
      <c r="A235" s="0" t="str">
        <f aca="false">E235&amp;L235&amp;Q235</f>
        <v>43352223691768102902971</v>
      </c>
      <c r="B235" s="0" t="s">
        <v>682</v>
      </c>
      <c r="C235" s="0" t="s">
        <v>683</v>
      </c>
      <c r="D235" s="0" t="s">
        <v>28</v>
      </c>
      <c r="E235" s="44" t="n">
        <v>43352</v>
      </c>
      <c r="F235" s="0" t="s">
        <v>64</v>
      </c>
      <c r="G235" s="0" t="n">
        <v>21337220</v>
      </c>
      <c r="H235" s="0" t="n">
        <v>720192</v>
      </c>
      <c r="I235" s="0" t="s">
        <v>34</v>
      </c>
      <c r="J235" s="0" t="s">
        <v>174</v>
      </c>
      <c r="K235" s="0" t="s">
        <v>101</v>
      </c>
      <c r="L235" s="0" t="n">
        <v>223691768</v>
      </c>
      <c r="M235" s="0" t="s">
        <v>663</v>
      </c>
      <c r="N235" s="0" t="n">
        <v>102902971</v>
      </c>
      <c r="O235" s="0" t="n">
        <v>248</v>
      </c>
      <c r="P235" s="0" t="n">
        <v>4.43</v>
      </c>
      <c r="Q235" s="0" t="n">
        <f aca="false">IFERROR(VLOOKUP(B235,[2]'Cost Correction'!$D$2:$AJ$1627,33,0),"")</f>
        <v>102902971</v>
      </c>
    </row>
    <row r="236" customFormat="false" ht="15" hidden="true" customHeight="false" outlineLevel="0" collapsed="false">
      <c r="A236" s="0" t="str">
        <f aca="false">E236&amp;L236&amp;Q236</f>
        <v>43352223691828102902956</v>
      </c>
      <c r="B236" s="0" t="s">
        <v>684</v>
      </c>
      <c r="C236" s="0" t="s">
        <v>685</v>
      </c>
      <c r="D236" s="0" t="s">
        <v>28</v>
      </c>
      <c r="E236" s="44" t="n">
        <v>43352</v>
      </c>
      <c r="F236" s="0" t="s">
        <v>64</v>
      </c>
      <c r="G236" s="0" t="n">
        <v>21337220</v>
      </c>
      <c r="H236" s="0" t="n">
        <v>720192</v>
      </c>
      <c r="I236" s="0" t="s">
        <v>34</v>
      </c>
      <c r="J236" s="0" t="s">
        <v>174</v>
      </c>
      <c r="K236" s="0" t="s">
        <v>91</v>
      </c>
      <c r="L236" s="0" t="n">
        <v>223691828</v>
      </c>
      <c r="M236" s="0" t="s">
        <v>399</v>
      </c>
      <c r="N236" s="0" t="n">
        <v>102902956</v>
      </c>
      <c r="O236" s="0" t="n">
        <v>375</v>
      </c>
      <c r="P236" s="0" t="n">
        <v>5.82</v>
      </c>
      <c r="Q236" s="0" t="n">
        <f aca="false">IFERROR(VLOOKUP(B236,[2]'Cost Correction'!$D$2:$AJ$1627,33,0),"")</f>
        <v>102902956</v>
      </c>
    </row>
    <row r="237" customFormat="false" ht="15" hidden="true" customHeight="false" outlineLevel="0" collapsed="false">
      <c r="A237" s="0" t="str">
        <f aca="false">E237&amp;L237&amp;Q237</f>
        <v>43352223691834102902953</v>
      </c>
      <c r="B237" s="0" t="s">
        <v>686</v>
      </c>
      <c r="C237" s="0" t="s">
        <v>687</v>
      </c>
      <c r="D237" s="0" t="s">
        <v>28</v>
      </c>
      <c r="E237" s="44" t="n">
        <v>43352</v>
      </c>
      <c r="F237" s="0" t="s">
        <v>64</v>
      </c>
      <c r="G237" s="0" t="n">
        <v>21337220</v>
      </c>
      <c r="H237" s="0" t="n">
        <v>720192</v>
      </c>
      <c r="I237" s="0" t="s">
        <v>34</v>
      </c>
      <c r="J237" s="0" t="s">
        <v>174</v>
      </c>
      <c r="K237" s="0" t="s">
        <v>88</v>
      </c>
      <c r="L237" s="0" t="n">
        <v>223691834</v>
      </c>
      <c r="M237" s="0" t="s">
        <v>390</v>
      </c>
      <c r="N237" s="0" t="n">
        <v>102902953</v>
      </c>
      <c r="O237" s="0" t="n">
        <v>417</v>
      </c>
      <c r="P237" s="0" t="n">
        <v>8.58</v>
      </c>
      <c r="Q237" s="0" t="n">
        <f aca="false">IFERROR(VLOOKUP(B237,[2]'Cost Correction'!$D$2:$AJ$1627,33,0),"")</f>
        <v>102902953</v>
      </c>
    </row>
    <row r="238" customFormat="false" ht="15" hidden="true" customHeight="false" outlineLevel="0" collapsed="false">
      <c r="A238" s="0" t="str">
        <f aca="false">E238&amp;L238&amp;Q238</f>
        <v>43352223691822103058708</v>
      </c>
      <c r="B238" s="0" t="s">
        <v>688</v>
      </c>
      <c r="C238" s="0" t="s">
        <v>689</v>
      </c>
      <c r="D238" s="0" t="s">
        <v>28</v>
      </c>
      <c r="E238" s="44" t="n">
        <v>43352</v>
      </c>
      <c r="F238" s="0" t="s">
        <v>64</v>
      </c>
      <c r="G238" s="0" t="n">
        <v>21337220</v>
      </c>
      <c r="H238" s="0" t="n">
        <v>720192</v>
      </c>
      <c r="I238" s="0" t="s">
        <v>34</v>
      </c>
      <c r="J238" s="0" t="s">
        <v>174</v>
      </c>
      <c r="K238" s="0" t="s">
        <v>89</v>
      </c>
      <c r="L238" s="0" t="n">
        <v>223691822</v>
      </c>
      <c r="M238" s="0" t="s">
        <v>393</v>
      </c>
      <c r="N238" s="0" t="n">
        <v>103058708</v>
      </c>
      <c r="O238" s="0" t="n">
        <v>1206</v>
      </c>
      <c r="P238" s="0" t="n">
        <v>30.87</v>
      </c>
      <c r="Q238" s="0" t="n">
        <f aca="false">IFERROR(VLOOKUP(B238,[2]'Cost Correction'!$D$2:$AJ$1627,33,0),"")</f>
        <v>103058708</v>
      </c>
    </row>
    <row r="239" customFormat="false" ht="15" hidden="true" customHeight="false" outlineLevel="0" collapsed="false">
      <c r="A239" s="0" t="str">
        <f aca="false">E239&amp;L239&amp;Q239</f>
        <v>43352223691825102916338</v>
      </c>
      <c r="B239" s="0" t="s">
        <v>690</v>
      </c>
      <c r="C239" s="0" t="s">
        <v>691</v>
      </c>
      <c r="D239" s="0" t="s">
        <v>28</v>
      </c>
      <c r="E239" s="44" t="n">
        <v>43352</v>
      </c>
      <c r="F239" s="0" t="s">
        <v>64</v>
      </c>
      <c r="G239" s="0" t="n">
        <v>21337220</v>
      </c>
      <c r="H239" s="0" t="n">
        <v>720192</v>
      </c>
      <c r="I239" s="0" t="s">
        <v>34</v>
      </c>
      <c r="J239" s="0" t="s">
        <v>174</v>
      </c>
      <c r="K239" s="0" t="s">
        <v>80</v>
      </c>
      <c r="L239" s="0" t="n">
        <v>223691825</v>
      </c>
      <c r="M239" s="0" t="s">
        <v>366</v>
      </c>
      <c r="N239" s="0" t="n">
        <v>102916338</v>
      </c>
      <c r="O239" s="0" t="n">
        <v>4079</v>
      </c>
      <c r="P239" s="0" t="n">
        <v>166.56</v>
      </c>
      <c r="Q239" s="0" t="n">
        <f aca="false">IFERROR(VLOOKUP(B239,[2]'Cost Correction'!$D$2:$AJ$1627,33,0),"")</f>
        <v>102916338</v>
      </c>
    </row>
    <row r="240" customFormat="false" ht="15" hidden="false" customHeight="false" outlineLevel="0" collapsed="false">
      <c r="A240" s="0" t="str">
        <f aca="false">E240&amp;L240&amp;Q240</f>
        <v>43352223691795</v>
      </c>
      <c r="B240" s="0" t="s">
        <v>692</v>
      </c>
      <c r="C240" s="0" t="s">
        <v>693</v>
      </c>
      <c r="D240" s="0" t="s">
        <v>28</v>
      </c>
      <c r="E240" s="44" t="n">
        <v>43352</v>
      </c>
      <c r="F240" s="0" t="s">
        <v>64</v>
      </c>
      <c r="G240" s="0" t="n">
        <v>21337220</v>
      </c>
      <c r="H240" s="0" t="n">
        <v>720192</v>
      </c>
      <c r="I240" s="0" t="s">
        <v>34</v>
      </c>
      <c r="J240" s="0" t="s">
        <v>174</v>
      </c>
      <c r="K240" s="0" t="s">
        <v>87</v>
      </c>
      <c r="L240" s="0" t="n">
        <v>223691795</v>
      </c>
      <c r="M240" s="0" t="s">
        <v>387</v>
      </c>
      <c r="N240" s="0" t="n">
        <v>102900688</v>
      </c>
      <c r="O240" s="0" t="n">
        <v>201</v>
      </c>
      <c r="P240" s="0" t="n">
        <v>3.54</v>
      </c>
      <c r="Q240" s="0" t="str">
        <f aca="false">IFERROR(VLOOKUP(B240,[2]'Cost Correction'!$D$2:$AJ$1627,33,0),"")</f>
        <v/>
      </c>
    </row>
    <row r="241" customFormat="false" ht="15" hidden="true" customHeight="false" outlineLevel="0" collapsed="false">
      <c r="A241" s="0" t="str">
        <f aca="false">E241&amp;L241&amp;Q241</f>
        <v>43352223691831102913800</v>
      </c>
      <c r="B241" s="0" t="s">
        <v>694</v>
      </c>
      <c r="C241" s="0" t="s">
        <v>695</v>
      </c>
      <c r="D241" s="0" t="s">
        <v>28</v>
      </c>
      <c r="E241" s="44" t="n">
        <v>43352</v>
      </c>
      <c r="F241" s="0" t="s">
        <v>64</v>
      </c>
      <c r="G241" s="0" t="n">
        <v>21337220</v>
      </c>
      <c r="H241" s="0" t="n">
        <v>720192</v>
      </c>
      <c r="I241" s="0" t="s">
        <v>34</v>
      </c>
      <c r="J241" s="0" t="s">
        <v>174</v>
      </c>
      <c r="K241" s="0" t="s">
        <v>70</v>
      </c>
      <c r="L241" s="0" t="n">
        <v>223691831</v>
      </c>
      <c r="M241" s="0" t="s">
        <v>336</v>
      </c>
      <c r="N241" s="0" t="n">
        <v>102913800</v>
      </c>
      <c r="O241" s="0" t="n">
        <v>4140</v>
      </c>
      <c r="P241" s="0" t="n">
        <v>95.92</v>
      </c>
      <c r="Q241" s="0" t="n">
        <f aca="false">IFERROR(VLOOKUP(B241,[2]'Cost Correction'!$D$2:$AJ$1627,33,0),"")</f>
        <v>102913800</v>
      </c>
    </row>
    <row r="242" customFormat="false" ht="15" hidden="true" customHeight="false" outlineLevel="0" collapsed="false">
      <c r="A242" s="0" t="str">
        <f aca="false">E242&amp;L242&amp;Q242</f>
        <v>43352223691777102900697</v>
      </c>
      <c r="B242" s="0" t="s">
        <v>696</v>
      </c>
      <c r="C242" s="0" t="s">
        <v>697</v>
      </c>
      <c r="D242" s="0" t="s">
        <v>28</v>
      </c>
      <c r="E242" s="44" t="n">
        <v>43352</v>
      </c>
      <c r="F242" s="0" t="s">
        <v>64</v>
      </c>
      <c r="G242" s="0" t="n">
        <v>21337220</v>
      </c>
      <c r="H242" s="0" t="n">
        <v>720192</v>
      </c>
      <c r="I242" s="0" t="s">
        <v>34</v>
      </c>
      <c r="J242" s="0" t="s">
        <v>174</v>
      </c>
      <c r="K242" s="0" t="s">
        <v>72</v>
      </c>
      <c r="L242" s="0" t="n">
        <v>223691777</v>
      </c>
      <c r="M242" s="0" t="s">
        <v>342</v>
      </c>
      <c r="N242" s="0" t="n">
        <v>102900697</v>
      </c>
      <c r="O242" s="0" t="n">
        <v>500</v>
      </c>
      <c r="P242" s="0" t="n">
        <v>20.27</v>
      </c>
      <c r="Q242" s="0" t="n">
        <f aca="false">IFERROR(VLOOKUP(B242,[2]'Cost Correction'!$D$2:$AJ$1627,33,0),"")</f>
        <v>102900697</v>
      </c>
    </row>
    <row r="243" customFormat="false" ht="15" hidden="false" customHeight="false" outlineLevel="0" collapsed="false">
      <c r="A243" s="0" t="str">
        <f aca="false">E243&amp;L243&amp;Q243</f>
        <v>43352223691792</v>
      </c>
      <c r="B243" s="0" t="s">
        <v>698</v>
      </c>
      <c r="C243" s="0" t="s">
        <v>699</v>
      </c>
      <c r="D243" s="0" t="s">
        <v>28</v>
      </c>
      <c r="E243" s="44" t="n">
        <v>43352</v>
      </c>
      <c r="F243" s="0" t="s">
        <v>64</v>
      </c>
      <c r="G243" s="0" t="n">
        <v>21337220</v>
      </c>
      <c r="H243" s="0" t="n">
        <v>720192</v>
      </c>
      <c r="I243" s="0" t="s">
        <v>34</v>
      </c>
      <c r="J243" s="0" t="s">
        <v>174</v>
      </c>
      <c r="K243" s="0" t="s">
        <v>73</v>
      </c>
      <c r="L243" s="0" t="n">
        <v>223691792</v>
      </c>
      <c r="M243" s="0" t="s">
        <v>345</v>
      </c>
      <c r="N243" s="0" t="n">
        <v>102901894</v>
      </c>
      <c r="O243" s="0" t="n">
        <v>666</v>
      </c>
      <c r="P243" s="0" t="n">
        <v>13.92</v>
      </c>
      <c r="Q243" s="0" t="str">
        <f aca="false">IFERROR(VLOOKUP(B243,[2]'Cost Correction'!$D$2:$AJ$1627,33,0),"")</f>
        <v/>
      </c>
    </row>
    <row r="244" customFormat="false" ht="15" hidden="true" customHeight="false" outlineLevel="0" collapsed="false">
      <c r="A244" s="0" t="str">
        <f aca="false">E244&amp;L244&amp;Q244</f>
        <v>43352223691789102900691</v>
      </c>
      <c r="B244" s="0" t="s">
        <v>700</v>
      </c>
      <c r="C244" s="0" t="s">
        <v>701</v>
      </c>
      <c r="D244" s="0" t="s">
        <v>28</v>
      </c>
      <c r="E244" s="44" t="n">
        <v>43352</v>
      </c>
      <c r="F244" s="0" t="s">
        <v>64</v>
      </c>
      <c r="G244" s="0" t="n">
        <v>21337220</v>
      </c>
      <c r="H244" s="0" t="n">
        <v>720192</v>
      </c>
      <c r="I244" s="0" t="s">
        <v>34</v>
      </c>
      <c r="J244" s="0" t="s">
        <v>174</v>
      </c>
      <c r="K244" s="0" t="s">
        <v>74</v>
      </c>
      <c r="L244" s="0" t="n">
        <v>223691789</v>
      </c>
      <c r="M244" s="0" t="s">
        <v>348</v>
      </c>
      <c r="N244" s="0" t="n">
        <v>102900691</v>
      </c>
      <c r="O244" s="0" t="n">
        <v>474</v>
      </c>
      <c r="P244" s="0" t="n">
        <v>15.83</v>
      </c>
      <c r="Q244" s="0" t="n">
        <f aca="false">IFERROR(VLOOKUP(B244,[2]'Cost Correction'!$D$2:$AJ$1627,33,0),"")</f>
        <v>102900691</v>
      </c>
    </row>
    <row r="245" customFormat="false" ht="15" hidden="true" customHeight="false" outlineLevel="0" collapsed="false">
      <c r="A245" s="0" t="str">
        <f aca="false">E245&amp;L245&amp;Q245</f>
        <v>43352223691780103058726</v>
      </c>
      <c r="B245" s="0" t="s">
        <v>702</v>
      </c>
      <c r="C245" s="0" t="s">
        <v>703</v>
      </c>
      <c r="D245" s="0" t="s">
        <v>28</v>
      </c>
      <c r="E245" s="44" t="n">
        <v>43352</v>
      </c>
      <c r="F245" s="0" t="s">
        <v>64</v>
      </c>
      <c r="G245" s="0" t="n">
        <v>21337220</v>
      </c>
      <c r="H245" s="0" t="n">
        <v>720192</v>
      </c>
      <c r="I245" s="0" t="s">
        <v>34</v>
      </c>
      <c r="J245" s="0" t="s">
        <v>174</v>
      </c>
      <c r="K245" s="0" t="s">
        <v>75</v>
      </c>
      <c r="L245" s="0" t="n">
        <v>223691780</v>
      </c>
      <c r="M245" s="0" t="s">
        <v>351</v>
      </c>
      <c r="N245" s="0" t="n">
        <v>103058726</v>
      </c>
      <c r="O245" s="0" t="n">
        <v>681</v>
      </c>
      <c r="P245" s="0" t="n">
        <v>21.83</v>
      </c>
      <c r="Q245" s="0" t="n">
        <f aca="false">IFERROR(VLOOKUP(B245,[2]'Cost Correction'!$D$2:$AJ$1627,33,0),"")</f>
        <v>103058726</v>
      </c>
    </row>
    <row r="246" customFormat="false" ht="15" hidden="true" customHeight="false" outlineLevel="0" collapsed="false">
      <c r="A246" s="0" t="str">
        <f aca="false">E246&amp;L246&amp;Q246</f>
        <v>43352223691783103058723</v>
      </c>
      <c r="B246" s="0" t="s">
        <v>704</v>
      </c>
      <c r="C246" s="0" t="s">
        <v>705</v>
      </c>
      <c r="D246" s="0" t="s">
        <v>28</v>
      </c>
      <c r="E246" s="44" t="n">
        <v>43352</v>
      </c>
      <c r="F246" s="0" t="s">
        <v>64</v>
      </c>
      <c r="G246" s="0" t="n">
        <v>21337220</v>
      </c>
      <c r="H246" s="0" t="n">
        <v>720192</v>
      </c>
      <c r="I246" s="0" t="s">
        <v>34</v>
      </c>
      <c r="J246" s="0" t="s">
        <v>174</v>
      </c>
      <c r="K246" s="0" t="s">
        <v>76</v>
      </c>
      <c r="L246" s="0" t="n">
        <v>223691783</v>
      </c>
      <c r="M246" s="0" t="s">
        <v>354</v>
      </c>
      <c r="N246" s="0" t="n">
        <v>103058723</v>
      </c>
      <c r="O246" s="0" t="n">
        <v>140</v>
      </c>
      <c r="P246" s="0" t="n">
        <v>4.98</v>
      </c>
      <c r="Q246" s="0" t="n">
        <f aca="false">IFERROR(VLOOKUP(B246,[2]'Cost Correction'!$D$2:$AJ$1627,33,0),"")</f>
        <v>103058723</v>
      </c>
    </row>
    <row r="247" customFormat="false" ht="15" hidden="true" customHeight="false" outlineLevel="0" collapsed="false">
      <c r="A247" s="0" t="str">
        <f aca="false">E247&amp;L247&amp;Q247</f>
        <v>43352223691840102902950</v>
      </c>
      <c r="B247" s="0" t="s">
        <v>706</v>
      </c>
      <c r="C247" s="0" t="s">
        <v>707</v>
      </c>
      <c r="D247" s="0" t="s">
        <v>28</v>
      </c>
      <c r="E247" s="44" t="n">
        <v>43352</v>
      </c>
      <c r="F247" s="0" t="s">
        <v>64</v>
      </c>
      <c r="G247" s="0" t="n">
        <v>21337220</v>
      </c>
      <c r="H247" s="0" t="n">
        <v>720192</v>
      </c>
      <c r="I247" s="0" t="s">
        <v>34</v>
      </c>
      <c r="J247" s="0" t="s">
        <v>174</v>
      </c>
      <c r="K247" s="0" t="s">
        <v>77</v>
      </c>
      <c r="L247" s="0" t="n">
        <v>223691840</v>
      </c>
      <c r="M247" s="0" t="s">
        <v>357</v>
      </c>
      <c r="N247" s="0" t="n">
        <v>102902950</v>
      </c>
      <c r="O247" s="0" t="n">
        <v>1236</v>
      </c>
      <c r="P247" s="0" t="n">
        <v>26.02</v>
      </c>
      <c r="Q247" s="0" t="n">
        <f aca="false">IFERROR(VLOOKUP(B247,[2]'Cost Correction'!$D$2:$AJ$1627,33,0),"")</f>
        <v>102902950</v>
      </c>
    </row>
    <row r="248" customFormat="false" ht="15" hidden="false" customHeight="false" outlineLevel="0" collapsed="false">
      <c r="A248" s="0" t="str">
        <f aca="false">E248&amp;L248&amp;Q248</f>
        <v>43352223691765</v>
      </c>
      <c r="B248" s="0" t="s">
        <v>708</v>
      </c>
      <c r="C248" s="0" t="s">
        <v>709</v>
      </c>
      <c r="D248" s="0" t="s">
        <v>28</v>
      </c>
      <c r="E248" s="44" t="n">
        <v>43352</v>
      </c>
      <c r="F248" s="0" t="s">
        <v>64</v>
      </c>
      <c r="G248" s="0" t="n">
        <v>21337220</v>
      </c>
      <c r="H248" s="0" t="n">
        <v>720192</v>
      </c>
      <c r="I248" s="0" t="s">
        <v>34</v>
      </c>
      <c r="J248" s="0" t="s">
        <v>174</v>
      </c>
      <c r="K248" s="0" t="s">
        <v>100</v>
      </c>
      <c r="L248" s="0" t="n">
        <v>223691765</v>
      </c>
      <c r="M248" s="0" t="s">
        <v>660</v>
      </c>
      <c r="N248" s="0" t="n">
        <v>103053332</v>
      </c>
      <c r="O248" s="0" t="n">
        <v>59</v>
      </c>
      <c r="P248" s="0" t="n">
        <v>2.36</v>
      </c>
      <c r="Q248" s="0" t="str">
        <f aca="false">IFERROR(VLOOKUP(B248,[2]'Cost Correction'!$D$2:$AJ$1627,33,0),"")</f>
        <v/>
      </c>
    </row>
    <row r="249" customFormat="false" ht="15" hidden="false" customHeight="false" outlineLevel="0" collapsed="false">
      <c r="A249" s="0" t="str">
        <f aca="false">E249&amp;L249&amp;Q249</f>
        <v>43352227525720</v>
      </c>
      <c r="B249" s="0" t="s">
        <v>710</v>
      </c>
      <c r="C249" s="0" t="s">
        <v>711</v>
      </c>
      <c r="D249" s="0" t="s">
        <v>28</v>
      </c>
      <c r="E249" s="44" t="n">
        <v>43352</v>
      </c>
      <c r="F249" s="0" t="s">
        <v>64</v>
      </c>
      <c r="G249" s="0" t="n">
        <v>21337220</v>
      </c>
      <c r="H249" s="0" t="n">
        <v>720192</v>
      </c>
      <c r="I249" s="0" t="s">
        <v>34</v>
      </c>
      <c r="J249" s="0" t="s">
        <v>174</v>
      </c>
      <c r="K249" s="0" t="s">
        <v>85</v>
      </c>
      <c r="L249" s="0" t="n">
        <v>227525720</v>
      </c>
      <c r="M249" s="0" t="s">
        <v>381</v>
      </c>
      <c r="N249" s="0" t="n">
        <v>105130125</v>
      </c>
      <c r="O249" s="0" t="n">
        <v>790</v>
      </c>
      <c r="P249" s="0" t="n">
        <v>13.6</v>
      </c>
      <c r="Q249" s="0" t="str">
        <f aca="false">IFERROR(VLOOKUP(B249,[2]'Cost Correction'!$D$2:$AJ$1627,33,0),"")</f>
        <v/>
      </c>
    </row>
    <row r="250" customFormat="false" ht="15" hidden="false" customHeight="false" outlineLevel="0" collapsed="false">
      <c r="A250" s="0" t="str">
        <f aca="false">E250&amp;L250&amp;Q250</f>
        <v>43352223691771</v>
      </c>
      <c r="B250" s="0" t="s">
        <v>712</v>
      </c>
      <c r="C250" s="0" t="s">
        <v>713</v>
      </c>
      <c r="D250" s="0" t="s">
        <v>28</v>
      </c>
      <c r="E250" s="44" t="n">
        <v>43352</v>
      </c>
      <c r="F250" s="0" t="s">
        <v>64</v>
      </c>
      <c r="G250" s="0" t="n">
        <v>21337220</v>
      </c>
      <c r="H250" s="0" t="n">
        <v>720192</v>
      </c>
      <c r="I250" s="0" t="s">
        <v>34</v>
      </c>
      <c r="J250" s="0" t="s">
        <v>174</v>
      </c>
      <c r="K250" s="0" t="s">
        <v>99</v>
      </c>
      <c r="L250" s="0" t="n">
        <v>223691771</v>
      </c>
      <c r="M250" s="0" t="s">
        <v>657</v>
      </c>
      <c r="N250" s="0" t="n">
        <v>102902968</v>
      </c>
      <c r="O250" s="0" t="n">
        <v>241</v>
      </c>
      <c r="P250" s="0" t="n">
        <v>4.06</v>
      </c>
      <c r="Q250" s="0" t="str">
        <f aca="false">IFERROR(VLOOKUP(B250,[2]'Cost Correction'!$D$2:$AJ$1627,33,0),"")</f>
        <v/>
      </c>
    </row>
    <row r="251" customFormat="false" ht="15" hidden="true" customHeight="false" outlineLevel="0" collapsed="false">
      <c r="A251" s="0" t="str">
        <f aca="false">E251&amp;L251&amp;Q251</f>
        <v>43352223691774102916356</v>
      </c>
      <c r="B251" s="0" t="s">
        <v>714</v>
      </c>
      <c r="C251" s="0" t="s">
        <v>715</v>
      </c>
      <c r="D251" s="0" t="s">
        <v>28</v>
      </c>
      <c r="E251" s="44" t="n">
        <v>43352</v>
      </c>
      <c r="F251" s="0" t="s">
        <v>64</v>
      </c>
      <c r="G251" s="0" t="n">
        <v>21337220</v>
      </c>
      <c r="H251" s="0" t="n">
        <v>720192</v>
      </c>
      <c r="I251" s="0" t="s">
        <v>34</v>
      </c>
      <c r="J251" s="0" t="s">
        <v>174</v>
      </c>
      <c r="K251" s="0" t="s">
        <v>97</v>
      </c>
      <c r="L251" s="0" t="n">
        <v>223691774</v>
      </c>
      <c r="M251" s="0" t="s">
        <v>647</v>
      </c>
      <c r="N251" s="0" t="n">
        <v>102916356</v>
      </c>
      <c r="O251" s="0" t="n">
        <v>770</v>
      </c>
      <c r="P251" s="0" t="n">
        <v>13.49</v>
      </c>
      <c r="Q251" s="0" t="n">
        <f aca="false">IFERROR(VLOOKUP(B251,[2]'Cost Correction'!$D$2:$AJ$1627,33,0),"")</f>
        <v>102916356</v>
      </c>
    </row>
    <row r="252" customFormat="false" ht="15" hidden="false" customHeight="false" outlineLevel="0" collapsed="false">
      <c r="A252" s="0" t="str">
        <f aca="false">E252&amp;L252&amp;Q252</f>
        <v>43352223691801</v>
      </c>
      <c r="B252" s="0" t="s">
        <v>716</v>
      </c>
      <c r="C252" s="0" t="s">
        <v>717</v>
      </c>
      <c r="D252" s="0" t="s">
        <v>28</v>
      </c>
      <c r="E252" s="44" t="n">
        <v>43352</v>
      </c>
      <c r="F252" s="0" t="s">
        <v>64</v>
      </c>
      <c r="G252" s="0" t="n">
        <v>21337220</v>
      </c>
      <c r="H252" s="0" t="n">
        <v>720192</v>
      </c>
      <c r="I252" s="0" t="s">
        <v>34</v>
      </c>
      <c r="J252" s="0" t="s">
        <v>174</v>
      </c>
      <c r="K252" s="0" t="s">
        <v>79</v>
      </c>
      <c r="L252" s="0" t="n">
        <v>223691801</v>
      </c>
      <c r="M252" s="0" t="s">
        <v>363</v>
      </c>
      <c r="N252" s="0" t="n">
        <v>103053323</v>
      </c>
      <c r="O252" s="0" t="n">
        <v>133</v>
      </c>
      <c r="P252" s="0" t="n">
        <v>3.09</v>
      </c>
      <c r="Q252" s="0" t="str">
        <f aca="false">IFERROR(VLOOKUP(B252,[2]'Cost Correction'!$D$2:$AJ$1627,33,0),"")</f>
        <v/>
      </c>
    </row>
    <row r="253" customFormat="false" ht="15" hidden="true" customHeight="false" outlineLevel="0" collapsed="false">
      <c r="A253" s="0" t="str">
        <f aca="false">E253&amp;L253&amp;Q253</f>
        <v>43352223691807102900685</v>
      </c>
      <c r="B253" s="0" t="s">
        <v>718</v>
      </c>
      <c r="C253" s="0" t="s">
        <v>719</v>
      </c>
      <c r="D253" s="0" t="s">
        <v>28</v>
      </c>
      <c r="E253" s="44" t="n">
        <v>43352</v>
      </c>
      <c r="F253" s="0" t="s">
        <v>64</v>
      </c>
      <c r="G253" s="0" t="n">
        <v>21337220</v>
      </c>
      <c r="H253" s="0" t="n">
        <v>720192</v>
      </c>
      <c r="I253" s="0" t="s">
        <v>34</v>
      </c>
      <c r="J253" s="0" t="s">
        <v>174</v>
      </c>
      <c r="K253" s="0" t="s">
        <v>95</v>
      </c>
      <c r="L253" s="0" t="n">
        <v>223691807</v>
      </c>
      <c r="M253" s="0" t="s">
        <v>635</v>
      </c>
      <c r="N253" s="0" t="n">
        <v>102900685</v>
      </c>
      <c r="O253" s="0" t="n">
        <v>555</v>
      </c>
      <c r="P253" s="0" t="n">
        <v>13.17</v>
      </c>
      <c r="Q253" s="0" t="n">
        <f aca="false">IFERROR(VLOOKUP(B253,[2]'Cost Correction'!$D$2:$AJ$1627,33,0),"")</f>
        <v>102900685</v>
      </c>
    </row>
    <row r="254" customFormat="false" ht="15" hidden="true" customHeight="false" outlineLevel="0" collapsed="false">
      <c r="A254" s="0" t="str">
        <f aca="false">E254&amp;L254&amp;Q254</f>
        <v>43352223691786103058720</v>
      </c>
      <c r="B254" s="0" t="s">
        <v>720</v>
      </c>
      <c r="C254" s="0" t="s">
        <v>721</v>
      </c>
      <c r="D254" s="0" t="s">
        <v>28</v>
      </c>
      <c r="E254" s="44" t="n">
        <v>43352</v>
      </c>
      <c r="F254" s="0" t="s">
        <v>64</v>
      </c>
      <c r="G254" s="0" t="n">
        <v>21337220</v>
      </c>
      <c r="H254" s="0" t="n">
        <v>720192</v>
      </c>
      <c r="I254" s="0" t="s">
        <v>34</v>
      </c>
      <c r="J254" s="0" t="s">
        <v>174</v>
      </c>
      <c r="K254" s="0" t="s">
        <v>81</v>
      </c>
      <c r="L254" s="0" t="n">
        <v>223691786</v>
      </c>
      <c r="M254" s="0" t="s">
        <v>369</v>
      </c>
      <c r="N254" s="0" t="n">
        <v>103058720</v>
      </c>
      <c r="O254" s="0" t="n">
        <v>276</v>
      </c>
      <c r="P254" s="0" t="n">
        <v>7.35</v>
      </c>
      <c r="Q254" s="0" t="n">
        <f aca="false">IFERROR(VLOOKUP(B254,[2]'Cost Correction'!$D$2:$AJ$1627,33,0),"")</f>
        <v>103058720</v>
      </c>
    </row>
    <row r="255" customFormat="false" ht="15" hidden="true" customHeight="false" outlineLevel="0" collapsed="false">
      <c r="A255" s="0" t="str">
        <f aca="false">E255&amp;L255&amp;Q255</f>
        <v>43352223691762102902974</v>
      </c>
      <c r="B255" s="0" t="s">
        <v>722</v>
      </c>
      <c r="C255" s="0" t="s">
        <v>723</v>
      </c>
      <c r="D255" s="0" t="s">
        <v>28</v>
      </c>
      <c r="E255" s="44" t="n">
        <v>43352</v>
      </c>
      <c r="F255" s="0" t="s">
        <v>64</v>
      </c>
      <c r="G255" s="0" t="n">
        <v>21337220</v>
      </c>
      <c r="H255" s="0" t="n">
        <v>720192</v>
      </c>
      <c r="I255" s="0" t="s">
        <v>34</v>
      </c>
      <c r="J255" s="0" t="s">
        <v>174</v>
      </c>
      <c r="K255" s="0" t="s">
        <v>92</v>
      </c>
      <c r="L255" s="0" t="n">
        <v>223691762</v>
      </c>
      <c r="M255" s="0" t="s">
        <v>600</v>
      </c>
      <c r="N255" s="0" t="n">
        <v>102902974</v>
      </c>
      <c r="O255" s="0" t="n">
        <v>209</v>
      </c>
      <c r="P255" s="0" t="n">
        <v>3.46</v>
      </c>
      <c r="Q255" s="0" t="n">
        <f aca="false">IFERROR(VLOOKUP(B255,[2]'Cost Correction'!$D$2:$AJ$1627,33,0),"")</f>
        <v>102902974</v>
      </c>
    </row>
    <row r="256" customFormat="false" ht="15" hidden="true" customHeight="false" outlineLevel="0" collapsed="false">
      <c r="A256" s="0" t="str">
        <f aca="false">E256&amp;L256&amp;Q256</f>
        <v>43352223691810103058711</v>
      </c>
      <c r="B256" s="0" t="s">
        <v>724</v>
      </c>
      <c r="C256" s="0" t="s">
        <v>725</v>
      </c>
      <c r="D256" s="0" t="s">
        <v>28</v>
      </c>
      <c r="E256" s="44" t="n">
        <v>43352</v>
      </c>
      <c r="F256" s="0" t="s">
        <v>64</v>
      </c>
      <c r="G256" s="0" t="n">
        <v>21337220</v>
      </c>
      <c r="H256" s="0" t="n">
        <v>720192</v>
      </c>
      <c r="I256" s="0" t="s">
        <v>34</v>
      </c>
      <c r="J256" s="0" t="s">
        <v>174</v>
      </c>
      <c r="K256" s="0" t="s">
        <v>94</v>
      </c>
      <c r="L256" s="0" t="n">
        <v>223691810</v>
      </c>
      <c r="M256" s="0" t="s">
        <v>632</v>
      </c>
      <c r="N256" s="0" t="n">
        <v>103058711</v>
      </c>
      <c r="O256" s="0" t="n">
        <v>1295</v>
      </c>
      <c r="P256" s="0" t="n">
        <v>28.89</v>
      </c>
      <c r="Q256" s="0" t="n">
        <f aca="false">IFERROR(VLOOKUP(B256,[2]'Cost Correction'!$D$2:$AJ$1627,33,0),"")</f>
        <v>103058711</v>
      </c>
    </row>
    <row r="257" customFormat="false" ht="15" hidden="true" customHeight="false" outlineLevel="0" collapsed="false">
      <c r="A257" s="0" t="str">
        <f aca="false">E257&amp;L257&amp;Q257</f>
        <v>43352223691804103058717</v>
      </c>
      <c r="B257" s="0" t="s">
        <v>726</v>
      </c>
      <c r="C257" s="0" t="s">
        <v>727</v>
      </c>
      <c r="D257" s="0" t="s">
        <v>28</v>
      </c>
      <c r="E257" s="44" t="n">
        <v>43352</v>
      </c>
      <c r="F257" s="0" t="s">
        <v>64</v>
      </c>
      <c r="G257" s="0" t="n">
        <v>21337220</v>
      </c>
      <c r="H257" s="0" t="n">
        <v>720192</v>
      </c>
      <c r="I257" s="0" t="s">
        <v>34</v>
      </c>
      <c r="J257" s="0" t="s">
        <v>174</v>
      </c>
      <c r="K257" s="0" t="s">
        <v>96</v>
      </c>
      <c r="L257" s="0" t="n">
        <v>223691804</v>
      </c>
      <c r="M257" s="0" t="s">
        <v>642</v>
      </c>
      <c r="N257" s="0" t="n">
        <v>103058717</v>
      </c>
      <c r="O257" s="0" t="n">
        <v>527</v>
      </c>
      <c r="P257" s="0" t="n">
        <v>10.61</v>
      </c>
      <c r="Q257" s="0" t="n">
        <f aca="false">IFERROR(VLOOKUP(B257,[2]'Cost Correction'!$D$2:$AJ$1627,33,0),"")</f>
        <v>103058717</v>
      </c>
    </row>
    <row r="258" customFormat="false" ht="15" hidden="true" customHeight="false" outlineLevel="0" collapsed="false">
      <c r="A258" s="0" t="str">
        <f aca="false">E258&amp;L258&amp;Q258</f>
        <v>43352223691813103053320</v>
      </c>
      <c r="B258" s="0" t="s">
        <v>728</v>
      </c>
      <c r="C258" s="0" t="s">
        <v>729</v>
      </c>
      <c r="D258" s="0" t="s">
        <v>28</v>
      </c>
      <c r="E258" s="44" t="n">
        <v>43352</v>
      </c>
      <c r="F258" s="0" t="s">
        <v>64</v>
      </c>
      <c r="G258" s="0" t="n">
        <v>21337220</v>
      </c>
      <c r="H258" s="0" t="n">
        <v>720192</v>
      </c>
      <c r="I258" s="0" t="s">
        <v>34</v>
      </c>
      <c r="J258" s="0" t="s">
        <v>174</v>
      </c>
      <c r="K258" s="0" t="s">
        <v>98</v>
      </c>
      <c r="L258" s="0" t="n">
        <v>223691813</v>
      </c>
      <c r="M258" s="0" t="s">
        <v>654</v>
      </c>
      <c r="N258" s="0" t="n">
        <v>103053320</v>
      </c>
      <c r="O258" s="0" t="n">
        <v>5032</v>
      </c>
      <c r="P258" s="0" t="n">
        <v>83.89</v>
      </c>
      <c r="Q258" s="0" t="n">
        <f aca="false">IFERROR(VLOOKUP(B258,[2]'Cost Correction'!$D$2:$AJ$1627,33,0),"")</f>
        <v>103053320</v>
      </c>
    </row>
    <row r="259" customFormat="false" ht="15" hidden="true" customHeight="false" outlineLevel="0" collapsed="false">
      <c r="A259" s="0" t="str">
        <f aca="false">E259&amp;L259&amp;Q259</f>
        <v>43352223691837103053314</v>
      </c>
      <c r="B259" s="0" t="s">
        <v>730</v>
      </c>
      <c r="C259" s="0" t="s">
        <v>731</v>
      </c>
      <c r="D259" s="0" t="s">
        <v>28</v>
      </c>
      <c r="E259" s="44" t="n">
        <v>43352</v>
      </c>
      <c r="F259" s="0" t="s">
        <v>64</v>
      </c>
      <c r="G259" s="0" t="n">
        <v>21337220</v>
      </c>
      <c r="H259" s="0" t="n">
        <v>720192</v>
      </c>
      <c r="I259" s="0" t="s">
        <v>34</v>
      </c>
      <c r="J259" s="0" t="s">
        <v>174</v>
      </c>
      <c r="K259" s="0" t="s">
        <v>83</v>
      </c>
      <c r="L259" s="0" t="n">
        <v>223691837</v>
      </c>
      <c r="M259" s="0" t="s">
        <v>375</v>
      </c>
      <c r="N259" s="0" t="n">
        <v>103053314</v>
      </c>
      <c r="O259" s="0" t="n">
        <v>2639</v>
      </c>
      <c r="P259" s="0" t="n">
        <v>65.11</v>
      </c>
      <c r="Q259" s="0" t="n">
        <f aca="false">IFERROR(VLOOKUP(B259,[2]'Cost Correction'!$D$2:$AJ$1627,33,0),"")</f>
        <v>103053314</v>
      </c>
    </row>
    <row r="260" customFormat="false" ht="15" hidden="true" customHeight="false" outlineLevel="0" collapsed="false">
      <c r="A260" s="0" t="str">
        <f aca="false">E260&amp;L260&amp;Q260</f>
        <v>43352223691816102916341</v>
      </c>
      <c r="B260" s="0" t="s">
        <v>732</v>
      </c>
      <c r="C260" s="0" t="s">
        <v>733</v>
      </c>
      <c r="D260" s="0" t="s">
        <v>28</v>
      </c>
      <c r="E260" s="44" t="n">
        <v>43352</v>
      </c>
      <c r="F260" s="0" t="s">
        <v>64</v>
      </c>
      <c r="G260" s="0" t="n">
        <v>21337220</v>
      </c>
      <c r="H260" s="0" t="n">
        <v>720192</v>
      </c>
      <c r="I260" s="0" t="s">
        <v>34</v>
      </c>
      <c r="J260" s="0" t="s">
        <v>174</v>
      </c>
      <c r="K260" s="0" t="s">
        <v>93</v>
      </c>
      <c r="L260" s="0" t="n">
        <v>223691816</v>
      </c>
      <c r="M260" s="0" t="s">
        <v>625</v>
      </c>
      <c r="N260" s="0" t="n">
        <v>102916341</v>
      </c>
      <c r="O260" s="0" t="n">
        <v>1123</v>
      </c>
      <c r="P260" s="0" t="n">
        <v>30.99</v>
      </c>
      <c r="Q260" s="0" t="n">
        <f aca="false">IFERROR(VLOOKUP(B260,[2]'Cost Correction'!$D$2:$AJ$1627,33,0),"")</f>
        <v>102916341</v>
      </c>
    </row>
    <row r="261" customFormat="false" ht="15" hidden="true" customHeight="false" outlineLevel="0" collapsed="false">
      <c r="A261" s="0" t="str">
        <f aca="false">E261&amp;L261&amp;Q261</f>
        <v>43352223684451102901882</v>
      </c>
      <c r="B261" s="0" t="s">
        <v>734</v>
      </c>
      <c r="C261" s="0" t="s">
        <v>735</v>
      </c>
      <c r="D261" s="0" t="s">
        <v>28</v>
      </c>
      <c r="E261" s="44" t="n">
        <v>43352</v>
      </c>
      <c r="F261" s="0" t="s">
        <v>64</v>
      </c>
      <c r="G261" s="0" t="n">
        <v>21337220</v>
      </c>
      <c r="H261" s="0" t="n">
        <v>720192</v>
      </c>
      <c r="I261" s="0" t="s">
        <v>34</v>
      </c>
      <c r="J261" s="0" t="s">
        <v>174</v>
      </c>
      <c r="K261" s="0" t="s">
        <v>84</v>
      </c>
      <c r="L261" s="0" t="n">
        <v>223684451</v>
      </c>
      <c r="M261" s="0" t="s">
        <v>378</v>
      </c>
      <c r="N261" s="0" t="n">
        <v>102901882</v>
      </c>
      <c r="O261" s="0" t="n">
        <v>2336</v>
      </c>
      <c r="P261" s="0" t="n">
        <v>49.64</v>
      </c>
      <c r="Q261" s="0" t="n">
        <f aca="false">IFERROR(VLOOKUP(B261,[2]'Cost Correction'!$D$2:$AJ$1627,33,0),"")</f>
        <v>102901882</v>
      </c>
    </row>
    <row r="262" customFormat="false" ht="15" hidden="true" customHeight="false" outlineLevel="0" collapsed="false">
      <c r="A262" s="0" t="str">
        <f aca="false">E262&amp;L262&amp;Q262</f>
        <v>43352223691798102916347</v>
      </c>
      <c r="B262" s="0" t="s">
        <v>736</v>
      </c>
      <c r="C262" s="0" t="s">
        <v>737</v>
      </c>
      <c r="D262" s="0" t="s">
        <v>28</v>
      </c>
      <c r="E262" s="44" t="n">
        <v>43352</v>
      </c>
      <c r="F262" s="0" t="s">
        <v>64</v>
      </c>
      <c r="G262" s="0" t="n">
        <v>21337220</v>
      </c>
      <c r="H262" s="0" t="n">
        <v>720192</v>
      </c>
      <c r="I262" s="0" t="s">
        <v>34</v>
      </c>
      <c r="J262" s="0" t="s">
        <v>174</v>
      </c>
      <c r="K262" s="0" t="s">
        <v>69</v>
      </c>
      <c r="L262" s="0" t="n">
        <v>223691798</v>
      </c>
      <c r="M262" s="0" t="s">
        <v>333</v>
      </c>
      <c r="N262" s="0" t="n">
        <v>102916347</v>
      </c>
      <c r="O262" s="0" t="n">
        <v>1213</v>
      </c>
      <c r="P262" s="0" t="n">
        <v>25.81</v>
      </c>
      <c r="Q262" s="0" t="n">
        <f aca="false">IFERROR(VLOOKUP(B262,[2]'Cost Correction'!$D$2:$AJ$1627,33,0),"")</f>
        <v>102916347</v>
      </c>
    </row>
    <row r="263" customFormat="false" ht="15" hidden="false" customHeight="false" outlineLevel="0" collapsed="false">
      <c r="A263" s="0" t="str">
        <f aca="false">E263&amp;L263&amp;Q263</f>
        <v>43358226359956</v>
      </c>
      <c r="B263" s="0" t="s">
        <v>738</v>
      </c>
      <c r="C263" s="0" t="s">
        <v>739</v>
      </c>
      <c r="D263" s="0" t="s">
        <v>28</v>
      </c>
      <c r="E263" s="44" t="n">
        <v>43358</v>
      </c>
      <c r="F263" s="0" t="s">
        <v>102</v>
      </c>
      <c r="G263" s="0" t="n">
        <v>21356941</v>
      </c>
      <c r="H263" s="0" t="n">
        <v>720193</v>
      </c>
      <c r="I263" s="0" t="s">
        <v>34</v>
      </c>
      <c r="J263" s="0" t="s">
        <v>174</v>
      </c>
      <c r="K263" s="0" t="s">
        <v>105</v>
      </c>
      <c r="L263" s="0" t="n">
        <v>226359956</v>
      </c>
      <c r="M263" s="0" t="s">
        <v>740</v>
      </c>
      <c r="N263" s="0" t="n">
        <v>103259775</v>
      </c>
      <c r="O263" s="0" t="n">
        <v>0</v>
      </c>
      <c r="P263" s="0" t="n">
        <v>0</v>
      </c>
      <c r="Q263" s="0" t="str">
        <f aca="false">IFERROR(VLOOKUP(B263,[2]'Cost Correction'!$D$2:$AJ$1627,33,0),"")</f>
        <v/>
      </c>
    </row>
    <row r="264" customFormat="false" ht="15" hidden="false" customHeight="false" outlineLevel="0" collapsed="false">
      <c r="A264" s="0" t="str">
        <f aca="false">E264&amp;L264&amp;Q264</f>
        <v>43357226359956</v>
      </c>
      <c r="B264" s="0" t="s">
        <v>741</v>
      </c>
      <c r="C264" s="0" t="s">
        <v>742</v>
      </c>
      <c r="D264" s="0" t="s">
        <v>28</v>
      </c>
      <c r="E264" s="44" t="n">
        <v>43357</v>
      </c>
      <c r="F264" s="0" t="s">
        <v>102</v>
      </c>
      <c r="G264" s="0" t="n">
        <v>21356941</v>
      </c>
      <c r="H264" s="0" t="n">
        <v>720193</v>
      </c>
      <c r="I264" s="0" t="s">
        <v>34</v>
      </c>
      <c r="J264" s="0" t="s">
        <v>174</v>
      </c>
      <c r="K264" s="0" t="s">
        <v>105</v>
      </c>
      <c r="L264" s="0" t="n">
        <v>226359956</v>
      </c>
      <c r="M264" s="0" t="s">
        <v>740</v>
      </c>
      <c r="N264" s="0" t="n">
        <v>103259775</v>
      </c>
      <c r="O264" s="0" t="n">
        <v>0</v>
      </c>
      <c r="P264" s="0" t="n">
        <v>0</v>
      </c>
      <c r="Q264" s="0" t="str">
        <f aca="false">IFERROR(VLOOKUP(B264,[2]'Cost Correction'!$D$2:$AJ$1627,33,0),"")</f>
        <v/>
      </c>
    </row>
    <row r="265" customFormat="false" ht="15" hidden="false" customHeight="false" outlineLevel="0" collapsed="false">
      <c r="A265" s="0" t="str">
        <f aca="false">E265&amp;L265&amp;Q265</f>
        <v>43356226359956</v>
      </c>
      <c r="B265" s="0" t="s">
        <v>743</v>
      </c>
      <c r="C265" s="0" t="s">
        <v>744</v>
      </c>
      <c r="D265" s="0" t="s">
        <v>28</v>
      </c>
      <c r="E265" s="44" t="n">
        <v>43356</v>
      </c>
      <c r="F265" s="0" t="s">
        <v>102</v>
      </c>
      <c r="G265" s="0" t="n">
        <v>21356941</v>
      </c>
      <c r="H265" s="0" t="n">
        <v>720193</v>
      </c>
      <c r="I265" s="0" t="s">
        <v>34</v>
      </c>
      <c r="J265" s="0" t="s">
        <v>174</v>
      </c>
      <c r="K265" s="0" t="s">
        <v>105</v>
      </c>
      <c r="L265" s="0" t="n">
        <v>226359956</v>
      </c>
      <c r="M265" s="0" t="s">
        <v>740</v>
      </c>
      <c r="N265" s="0" t="n">
        <v>103259775</v>
      </c>
      <c r="O265" s="0" t="n">
        <v>0</v>
      </c>
      <c r="P265" s="0" t="n">
        <v>0</v>
      </c>
      <c r="Q265" s="0" t="str">
        <f aca="false">IFERROR(VLOOKUP(B265,[2]'Cost Correction'!$D$2:$AJ$1627,33,0),"")</f>
        <v/>
      </c>
    </row>
    <row r="266" customFormat="false" ht="15" hidden="false" customHeight="false" outlineLevel="0" collapsed="false">
      <c r="A266" s="0" t="str">
        <f aca="false">E266&amp;L266&amp;Q266</f>
        <v>43355226359956</v>
      </c>
      <c r="B266" s="0" t="s">
        <v>745</v>
      </c>
      <c r="C266" s="0" t="s">
        <v>746</v>
      </c>
      <c r="D266" s="0" t="s">
        <v>28</v>
      </c>
      <c r="E266" s="44" t="n">
        <v>43355</v>
      </c>
      <c r="F266" s="0" t="s">
        <v>102</v>
      </c>
      <c r="G266" s="0" t="n">
        <v>21356941</v>
      </c>
      <c r="H266" s="0" t="n">
        <v>720193</v>
      </c>
      <c r="I266" s="0" t="s">
        <v>34</v>
      </c>
      <c r="J266" s="0" t="s">
        <v>174</v>
      </c>
      <c r="K266" s="0" t="s">
        <v>105</v>
      </c>
      <c r="L266" s="0" t="n">
        <v>226359956</v>
      </c>
      <c r="M266" s="0" t="s">
        <v>740</v>
      </c>
      <c r="N266" s="0" t="n">
        <v>103259775</v>
      </c>
      <c r="O266" s="0" t="n">
        <v>0</v>
      </c>
      <c r="P266" s="0" t="n">
        <v>0</v>
      </c>
      <c r="Q266" s="0" t="str">
        <f aca="false">IFERROR(VLOOKUP(B266,[2]'Cost Correction'!$D$2:$AJ$1627,33,0),"")</f>
        <v/>
      </c>
    </row>
    <row r="267" customFormat="false" ht="15" hidden="false" customHeight="false" outlineLevel="0" collapsed="false">
      <c r="A267" s="0" t="str">
        <f aca="false">E267&amp;L267&amp;Q267</f>
        <v>43354226359956</v>
      </c>
      <c r="B267" s="0" t="s">
        <v>747</v>
      </c>
      <c r="C267" s="0" t="s">
        <v>748</v>
      </c>
      <c r="D267" s="0" t="s">
        <v>28</v>
      </c>
      <c r="E267" s="44" t="n">
        <v>43354</v>
      </c>
      <c r="F267" s="0" t="s">
        <v>102</v>
      </c>
      <c r="G267" s="0" t="n">
        <v>21356941</v>
      </c>
      <c r="H267" s="0" t="n">
        <v>720193</v>
      </c>
      <c r="I267" s="0" t="s">
        <v>34</v>
      </c>
      <c r="J267" s="0" t="s">
        <v>174</v>
      </c>
      <c r="K267" s="0" t="s">
        <v>105</v>
      </c>
      <c r="L267" s="0" t="n">
        <v>226359956</v>
      </c>
      <c r="M267" s="0" t="s">
        <v>740</v>
      </c>
      <c r="N267" s="0" t="n">
        <v>103259775</v>
      </c>
      <c r="O267" s="0" t="n">
        <v>0</v>
      </c>
      <c r="P267" s="0" t="n">
        <v>0</v>
      </c>
      <c r="Q267" s="0" t="str">
        <f aca="false">IFERROR(VLOOKUP(B267,[2]'Cost Correction'!$D$2:$AJ$1627,33,0),"")</f>
        <v/>
      </c>
    </row>
    <row r="268" customFormat="false" ht="15" hidden="false" customHeight="false" outlineLevel="0" collapsed="false">
      <c r="A268" s="0" t="str">
        <f aca="false">E268&amp;L268&amp;Q268</f>
        <v>43353226359956</v>
      </c>
      <c r="B268" s="0" t="s">
        <v>749</v>
      </c>
      <c r="C268" s="0" t="s">
        <v>750</v>
      </c>
      <c r="D268" s="0" t="s">
        <v>28</v>
      </c>
      <c r="E268" s="44" t="n">
        <v>43353</v>
      </c>
      <c r="F268" s="0" t="s">
        <v>102</v>
      </c>
      <c r="G268" s="0" t="n">
        <v>21356941</v>
      </c>
      <c r="H268" s="0" t="n">
        <v>720193</v>
      </c>
      <c r="I268" s="0" t="s">
        <v>34</v>
      </c>
      <c r="J268" s="0" t="s">
        <v>174</v>
      </c>
      <c r="K268" s="0" t="s">
        <v>105</v>
      </c>
      <c r="L268" s="0" t="n">
        <v>226359956</v>
      </c>
      <c r="M268" s="0" t="s">
        <v>740</v>
      </c>
      <c r="N268" s="0" t="n">
        <v>103259775</v>
      </c>
      <c r="O268" s="0" t="n">
        <v>0</v>
      </c>
      <c r="P268" s="0" t="n">
        <v>0</v>
      </c>
      <c r="Q268" s="0" t="str">
        <f aca="false">IFERROR(VLOOKUP(B268,[2]'Cost Correction'!$D$2:$AJ$1627,33,0),"")</f>
        <v/>
      </c>
    </row>
    <row r="269" customFormat="false" ht="15" hidden="false" customHeight="false" outlineLevel="0" collapsed="false">
      <c r="A269" s="0" t="str">
        <f aca="false">E269&amp;L269&amp;Q269</f>
        <v>43352226359956</v>
      </c>
      <c r="B269" s="0" t="s">
        <v>751</v>
      </c>
      <c r="C269" s="0" t="s">
        <v>752</v>
      </c>
      <c r="D269" s="0" t="s">
        <v>28</v>
      </c>
      <c r="E269" s="44" t="n">
        <v>43352</v>
      </c>
      <c r="F269" s="0" t="s">
        <v>102</v>
      </c>
      <c r="G269" s="0" t="n">
        <v>21356941</v>
      </c>
      <c r="H269" s="0" t="n">
        <v>720193</v>
      </c>
      <c r="I269" s="0" t="s">
        <v>34</v>
      </c>
      <c r="J269" s="0" t="s">
        <v>174</v>
      </c>
      <c r="K269" s="0" t="s">
        <v>105</v>
      </c>
      <c r="L269" s="0" t="n">
        <v>226359956</v>
      </c>
      <c r="M269" s="0" t="s">
        <v>740</v>
      </c>
      <c r="N269" s="0" t="n">
        <v>103259775</v>
      </c>
      <c r="O269" s="0" t="n">
        <v>0</v>
      </c>
      <c r="P269" s="0" t="n">
        <v>0</v>
      </c>
      <c r="Q269" s="0" t="str">
        <f aca="false">IFERROR(VLOOKUP(B269,[2]'Cost Correction'!$D$2:$AJ$1627,33,0),"")</f>
        <v/>
      </c>
    </row>
    <row r="270" customFormat="false" ht="15" hidden="false" customHeight="false" outlineLevel="0" collapsed="false">
      <c r="A270" s="0" t="str">
        <f aca="false">E270&amp;L270&amp;Q270</f>
        <v>43358226359971</v>
      </c>
      <c r="B270" s="0" t="s">
        <v>753</v>
      </c>
      <c r="C270" s="0" t="s">
        <v>754</v>
      </c>
      <c r="D270" s="0" t="s">
        <v>28</v>
      </c>
      <c r="E270" s="44" t="n">
        <v>43358</v>
      </c>
      <c r="F270" s="0" t="s">
        <v>102</v>
      </c>
      <c r="G270" s="0" t="n">
        <v>21356941</v>
      </c>
      <c r="H270" s="0" t="n">
        <v>720193</v>
      </c>
      <c r="I270" s="0" t="s">
        <v>34</v>
      </c>
      <c r="J270" s="0" t="s">
        <v>174</v>
      </c>
      <c r="K270" s="0" t="s">
        <v>106</v>
      </c>
      <c r="L270" s="0" t="n">
        <v>226359971</v>
      </c>
      <c r="M270" s="0" t="s">
        <v>755</v>
      </c>
      <c r="N270" s="0" t="n">
        <v>103259520</v>
      </c>
      <c r="O270" s="0" t="n">
        <v>0</v>
      </c>
      <c r="P270" s="0" t="n">
        <v>0</v>
      </c>
      <c r="Q270" s="0" t="str">
        <f aca="false">IFERROR(VLOOKUP(B270,[2]'Cost Correction'!$D$2:$AJ$1627,33,0),"")</f>
        <v/>
      </c>
    </row>
    <row r="271" customFormat="false" ht="15" hidden="false" customHeight="false" outlineLevel="0" collapsed="false">
      <c r="A271" s="0" t="str">
        <f aca="false">E271&amp;L271&amp;Q271</f>
        <v>43357226359971</v>
      </c>
      <c r="B271" s="0" t="s">
        <v>756</v>
      </c>
      <c r="C271" s="0" t="s">
        <v>757</v>
      </c>
      <c r="D271" s="0" t="s">
        <v>28</v>
      </c>
      <c r="E271" s="44" t="n">
        <v>43357</v>
      </c>
      <c r="F271" s="0" t="s">
        <v>102</v>
      </c>
      <c r="G271" s="0" t="n">
        <v>21356941</v>
      </c>
      <c r="H271" s="0" t="n">
        <v>720193</v>
      </c>
      <c r="I271" s="0" t="s">
        <v>34</v>
      </c>
      <c r="J271" s="0" t="s">
        <v>174</v>
      </c>
      <c r="K271" s="0" t="s">
        <v>106</v>
      </c>
      <c r="L271" s="0" t="n">
        <v>226359971</v>
      </c>
      <c r="M271" s="0" t="s">
        <v>755</v>
      </c>
      <c r="N271" s="0" t="n">
        <v>103259520</v>
      </c>
      <c r="O271" s="0" t="n">
        <v>0</v>
      </c>
      <c r="P271" s="0" t="n">
        <v>0</v>
      </c>
      <c r="Q271" s="0" t="str">
        <f aca="false">IFERROR(VLOOKUP(B271,[2]'Cost Correction'!$D$2:$AJ$1627,33,0),"")</f>
        <v/>
      </c>
    </row>
    <row r="272" customFormat="false" ht="15" hidden="false" customHeight="false" outlineLevel="0" collapsed="false">
      <c r="A272" s="0" t="str">
        <f aca="false">E272&amp;L272&amp;Q272</f>
        <v>43356226359971</v>
      </c>
      <c r="B272" s="0" t="s">
        <v>758</v>
      </c>
      <c r="C272" s="0" t="s">
        <v>759</v>
      </c>
      <c r="D272" s="0" t="s">
        <v>28</v>
      </c>
      <c r="E272" s="44" t="n">
        <v>43356</v>
      </c>
      <c r="F272" s="0" t="s">
        <v>102</v>
      </c>
      <c r="G272" s="0" t="n">
        <v>21356941</v>
      </c>
      <c r="H272" s="0" t="n">
        <v>720193</v>
      </c>
      <c r="I272" s="0" t="s">
        <v>34</v>
      </c>
      <c r="J272" s="0" t="s">
        <v>174</v>
      </c>
      <c r="K272" s="0" t="s">
        <v>106</v>
      </c>
      <c r="L272" s="0" t="n">
        <v>226359971</v>
      </c>
      <c r="M272" s="0" t="s">
        <v>755</v>
      </c>
      <c r="N272" s="0" t="n">
        <v>103259520</v>
      </c>
      <c r="O272" s="0" t="n">
        <v>0</v>
      </c>
      <c r="P272" s="0" t="n">
        <v>0</v>
      </c>
      <c r="Q272" s="0" t="str">
        <f aca="false">IFERROR(VLOOKUP(B272,[2]'Cost Correction'!$D$2:$AJ$1627,33,0),"")</f>
        <v/>
      </c>
    </row>
    <row r="273" customFormat="false" ht="15" hidden="false" customHeight="false" outlineLevel="0" collapsed="false">
      <c r="A273" s="0" t="str">
        <f aca="false">E273&amp;L273&amp;Q273</f>
        <v>43355226359971</v>
      </c>
      <c r="B273" s="0" t="s">
        <v>760</v>
      </c>
      <c r="C273" s="0" t="s">
        <v>761</v>
      </c>
      <c r="D273" s="0" t="s">
        <v>28</v>
      </c>
      <c r="E273" s="44" t="n">
        <v>43355</v>
      </c>
      <c r="F273" s="0" t="s">
        <v>102</v>
      </c>
      <c r="G273" s="0" t="n">
        <v>21356941</v>
      </c>
      <c r="H273" s="0" t="n">
        <v>720193</v>
      </c>
      <c r="I273" s="0" t="s">
        <v>34</v>
      </c>
      <c r="J273" s="0" t="s">
        <v>174</v>
      </c>
      <c r="K273" s="0" t="s">
        <v>106</v>
      </c>
      <c r="L273" s="0" t="n">
        <v>226359971</v>
      </c>
      <c r="M273" s="0" t="s">
        <v>755</v>
      </c>
      <c r="N273" s="0" t="n">
        <v>103259520</v>
      </c>
      <c r="O273" s="0" t="n">
        <v>0</v>
      </c>
      <c r="P273" s="0" t="n">
        <v>0</v>
      </c>
      <c r="Q273" s="0" t="str">
        <f aca="false">IFERROR(VLOOKUP(B273,[2]'Cost Correction'!$D$2:$AJ$1627,33,0),"")</f>
        <v/>
      </c>
    </row>
    <row r="274" customFormat="false" ht="15" hidden="false" customHeight="false" outlineLevel="0" collapsed="false">
      <c r="A274" s="0" t="str">
        <f aca="false">E274&amp;L274&amp;Q274</f>
        <v>43354226359971</v>
      </c>
      <c r="B274" s="0" t="s">
        <v>762</v>
      </c>
      <c r="C274" s="0" t="s">
        <v>763</v>
      </c>
      <c r="D274" s="0" t="s">
        <v>28</v>
      </c>
      <c r="E274" s="44" t="n">
        <v>43354</v>
      </c>
      <c r="F274" s="0" t="s">
        <v>102</v>
      </c>
      <c r="G274" s="0" t="n">
        <v>21356941</v>
      </c>
      <c r="H274" s="0" t="n">
        <v>720193</v>
      </c>
      <c r="I274" s="0" t="s">
        <v>34</v>
      </c>
      <c r="J274" s="0" t="s">
        <v>174</v>
      </c>
      <c r="K274" s="0" t="s">
        <v>106</v>
      </c>
      <c r="L274" s="0" t="n">
        <v>226359971</v>
      </c>
      <c r="M274" s="0" t="s">
        <v>755</v>
      </c>
      <c r="N274" s="0" t="n">
        <v>103259520</v>
      </c>
      <c r="O274" s="0" t="n">
        <v>0</v>
      </c>
      <c r="P274" s="0" t="n">
        <v>0</v>
      </c>
      <c r="Q274" s="0" t="str">
        <f aca="false">IFERROR(VLOOKUP(B274,[2]'Cost Correction'!$D$2:$AJ$1627,33,0),"")</f>
        <v/>
      </c>
    </row>
    <row r="275" customFormat="false" ht="15" hidden="false" customHeight="false" outlineLevel="0" collapsed="false">
      <c r="A275" s="0" t="str">
        <f aca="false">E275&amp;L275&amp;Q275</f>
        <v>43353226359971</v>
      </c>
      <c r="B275" s="0" t="s">
        <v>764</v>
      </c>
      <c r="C275" s="0" t="s">
        <v>765</v>
      </c>
      <c r="D275" s="0" t="s">
        <v>28</v>
      </c>
      <c r="E275" s="44" t="n">
        <v>43353</v>
      </c>
      <c r="F275" s="0" t="s">
        <v>102</v>
      </c>
      <c r="G275" s="0" t="n">
        <v>21356941</v>
      </c>
      <c r="H275" s="0" t="n">
        <v>720193</v>
      </c>
      <c r="I275" s="0" t="s">
        <v>34</v>
      </c>
      <c r="J275" s="0" t="s">
        <v>174</v>
      </c>
      <c r="K275" s="0" t="s">
        <v>106</v>
      </c>
      <c r="L275" s="0" t="n">
        <v>226359971</v>
      </c>
      <c r="M275" s="0" t="s">
        <v>755</v>
      </c>
      <c r="N275" s="0" t="n">
        <v>103259520</v>
      </c>
      <c r="O275" s="0" t="n">
        <v>0</v>
      </c>
      <c r="P275" s="0" t="n">
        <v>0</v>
      </c>
      <c r="Q275" s="0" t="str">
        <f aca="false">IFERROR(VLOOKUP(B275,[2]'Cost Correction'!$D$2:$AJ$1627,33,0),"")</f>
        <v/>
      </c>
    </row>
    <row r="276" customFormat="false" ht="15" hidden="false" customHeight="false" outlineLevel="0" collapsed="false">
      <c r="A276" s="0" t="str">
        <f aca="false">E276&amp;L276&amp;Q276</f>
        <v>43352226359971</v>
      </c>
      <c r="B276" s="0" t="s">
        <v>766</v>
      </c>
      <c r="C276" s="0" t="s">
        <v>767</v>
      </c>
      <c r="D276" s="0" t="s">
        <v>28</v>
      </c>
      <c r="E276" s="44" t="n">
        <v>43352</v>
      </c>
      <c r="F276" s="0" t="s">
        <v>102</v>
      </c>
      <c r="G276" s="0" t="n">
        <v>21356941</v>
      </c>
      <c r="H276" s="0" t="n">
        <v>720193</v>
      </c>
      <c r="I276" s="0" t="s">
        <v>34</v>
      </c>
      <c r="J276" s="0" t="s">
        <v>174</v>
      </c>
      <c r="K276" s="0" t="s">
        <v>106</v>
      </c>
      <c r="L276" s="0" t="n">
        <v>226359971</v>
      </c>
      <c r="M276" s="0" t="s">
        <v>755</v>
      </c>
      <c r="N276" s="0" t="n">
        <v>103259520</v>
      </c>
      <c r="O276" s="0" t="n">
        <v>0</v>
      </c>
      <c r="P276" s="0" t="n">
        <v>0</v>
      </c>
      <c r="Q276" s="0" t="str">
        <f aca="false">IFERROR(VLOOKUP(B276,[2]'Cost Correction'!$D$2:$AJ$1627,33,0),"")</f>
        <v/>
      </c>
    </row>
    <row r="277" customFormat="false" ht="15" hidden="false" customHeight="false" outlineLevel="0" collapsed="false">
      <c r="A277" s="0" t="str">
        <f aca="false">E277&amp;L277&amp;Q277</f>
        <v>43358226359968</v>
      </c>
      <c r="B277" s="0" t="s">
        <v>768</v>
      </c>
      <c r="C277" s="0" t="s">
        <v>769</v>
      </c>
      <c r="D277" s="0" t="s">
        <v>28</v>
      </c>
      <c r="E277" s="44" t="n">
        <v>43358</v>
      </c>
      <c r="F277" s="0" t="s">
        <v>102</v>
      </c>
      <c r="G277" s="0" t="n">
        <v>21356941</v>
      </c>
      <c r="H277" s="0" t="n">
        <v>720193</v>
      </c>
      <c r="I277" s="0" t="s">
        <v>34</v>
      </c>
      <c r="J277" s="0" t="s">
        <v>174</v>
      </c>
      <c r="K277" s="0" t="s">
        <v>107</v>
      </c>
      <c r="L277" s="0" t="n">
        <v>226359968</v>
      </c>
      <c r="M277" s="0" t="s">
        <v>770</v>
      </c>
      <c r="N277" s="0" t="n">
        <v>103259769</v>
      </c>
      <c r="O277" s="0" t="n">
        <v>0</v>
      </c>
      <c r="P277" s="0" t="n">
        <v>0</v>
      </c>
      <c r="Q277" s="0" t="str">
        <f aca="false">IFERROR(VLOOKUP(B277,[2]'Cost Correction'!$D$2:$AJ$1627,33,0),"")</f>
        <v/>
      </c>
    </row>
    <row r="278" customFormat="false" ht="15" hidden="false" customHeight="false" outlineLevel="0" collapsed="false">
      <c r="A278" s="0" t="str">
        <f aca="false">E278&amp;L278&amp;Q278</f>
        <v>43357226359968</v>
      </c>
      <c r="B278" s="0" t="s">
        <v>771</v>
      </c>
      <c r="C278" s="0" t="s">
        <v>772</v>
      </c>
      <c r="D278" s="0" t="s">
        <v>28</v>
      </c>
      <c r="E278" s="44" t="n">
        <v>43357</v>
      </c>
      <c r="F278" s="0" t="s">
        <v>102</v>
      </c>
      <c r="G278" s="0" t="n">
        <v>21356941</v>
      </c>
      <c r="H278" s="0" t="n">
        <v>720193</v>
      </c>
      <c r="I278" s="0" t="s">
        <v>34</v>
      </c>
      <c r="J278" s="0" t="s">
        <v>174</v>
      </c>
      <c r="K278" s="0" t="s">
        <v>107</v>
      </c>
      <c r="L278" s="0" t="n">
        <v>226359968</v>
      </c>
      <c r="M278" s="0" t="s">
        <v>770</v>
      </c>
      <c r="N278" s="0" t="n">
        <v>103259769</v>
      </c>
      <c r="O278" s="0" t="n">
        <v>0</v>
      </c>
      <c r="P278" s="0" t="n">
        <v>0</v>
      </c>
      <c r="Q278" s="0" t="str">
        <f aca="false">IFERROR(VLOOKUP(B278,[2]'Cost Correction'!$D$2:$AJ$1627,33,0),"")</f>
        <v/>
      </c>
    </row>
    <row r="279" customFormat="false" ht="15" hidden="false" customHeight="false" outlineLevel="0" collapsed="false">
      <c r="A279" s="0" t="str">
        <f aca="false">E279&amp;L279&amp;Q279</f>
        <v>43356226359968</v>
      </c>
      <c r="B279" s="0" t="s">
        <v>773</v>
      </c>
      <c r="C279" s="0" t="s">
        <v>774</v>
      </c>
      <c r="D279" s="0" t="s">
        <v>28</v>
      </c>
      <c r="E279" s="44" t="n">
        <v>43356</v>
      </c>
      <c r="F279" s="0" t="s">
        <v>102</v>
      </c>
      <c r="G279" s="0" t="n">
        <v>21356941</v>
      </c>
      <c r="H279" s="0" t="n">
        <v>720193</v>
      </c>
      <c r="I279" s="0" t="s">
        <v>34</v>
      </c>
      <c r="J279" s="0" t="s">
        <v>174</v>
      </c>
      <c r="K279" s="0" t="s">
        <v>107</v>
      </c>
      <c r="L279" s="0" t="n">
        <v>226359968</v>
      </c>
      <c r="M279" s="0" t="s">
        <v>770</v>
      </c>
      <c r="N279" s="0" t="n">
        <v>103259769</v>
      </c>
      <c r="O279" s="0" t="n">
        <v>0</v>
      </c>
      <c r="P279" s="0" t="n">
        <v>0</v>
      </c>
      <c r="Q279" s="0" t="str">
        <f aca="false">IFERROR(VLOOKUP(B279,[2]'Cost Correction'!$D$2:$AJ$1627,33,0),"")</f>
        <v/>
      </c>
    </row>
    <row r="280" customFormat="false" ht="15" hidden="false" customHeight="false" outlineLevel="0" collapsed="false">
      <c r="A280" s="0" t="str">
        <f aca="false">E280&amp;L280&amp;Q280</f>
        <v>43355226359968</v>
      </c>
      <c r="B280" s="0" t="s">
        <v>775</v>
      </c>
      <c r="C280" s="0" t="s">
        <v>776</v>
      </c>
      <c r="D280" s="0" t="s">
        <v>28</v>
      </c>
      <c r="E280" s="44" t="n">
        <v>43355</v>
      </c>
      <c r="F280" s="0" t="s">
        <v>102</v>
      </c>
      <c r="G280" s="0" t="n">
        <v>21356941</v>
      </c>
      <c r="H280" s="0" t="n">
        <v>720193</v>
      </c>
      <c r="I280" s="0" t="s">
        <v>34</v>
      </c>
      <c r="J280" s="0" t="s">
        <v>174</v>
      </c>
      <c r="K280" s="0" t="s">
        <v>107</v>
      </c>
      <c r="L280" s="0" t="n">
        <v>226359968</v>
      </c>
      <c r="M280" s="0" t="s">
        <v>770</v>
      </c>
      <c r="N280" s="0" t="n">
        <v>103259769</v>
      </c>
      <c r="O280" s="0" t="n">
        <v>0</v>
      </c>
      <c r="P280" s="0" t="n">
        <v>0</v>
      </c>
      <c r="Q280" s="0" t="str">
        <f aca="false">IFERROR(VLOOKUP(B280,[2]'Cost Correction'!$D$2:$AJ$1627,33,0),"")</f>
        <v/>
      </c>
    </row>
    <row r="281" customFormat="false" ht="15" hidden="false" customHeight="false" outlineLevel="0" collapsed="false">
      <c r="A281" s="0" t="str">
        <f aca="false">E281&amp;L281&amp;Q281</f>
        <v>43354226359968</v>
      </c>
      <c r="B281" s="0" t="s">
        <v>777</v>
      </c>
      <c r="C281" s="0" t="s">
        <v>778</v>
      </c>
      <c r="D281" s="0" t="s">
        <v>28</v>
      </c>
      <c r="E281" s="44" t="n">
        <v>43354</v>
      </c>
      <c r="F281" s="0" t="s">
        <v>102</v>
      </c>
      <c r="G281" s="0" t="n">
        <v>21356941</v>
      </c>
      <c r="H281" s="0" t="n">
        <v>720193</v>
      </c>
      <c r="I281" s="0" t="s">
        <v>34</v>
      </c>
      <c r="J281" s="0" t="s">
        <v>174</v>
      </c>
      <c r="K281" s="0" t="s">
        <v>107</v>
      </c>
      <c r="L281" s="0" t="n">
        <v>226359968</v>
      </c>
      <c r="M281" s="0" t="s">
        <v>770</v>
      </c>
      <c r="N281" s="0" t="n">
        <v>103259769</v>
      </c>
      <c r="O281" s="0" t="n">
        <v>0</v>
      </c>
      <c r="P281" s="0" t="n">
        <v>0</v>
      </c>
      <c r="Q281" s="0" t="str">
        <f aca="false">IFERROR(VLOOKUP(B281,[2]'Cost Correction'!$D$2:$AJ$1627,33,0),"")</f>
        <v/>
      </c>
    </row>
    <row r="282" customFormat="false" ht="15" hidden="false" customHeight="false" outlineLevel="0" collapsed="false">
      <c r="A282" s="0" t="str">
        <f aca="false">E282&amp;L282&amp;Q282</f>
        <v>43353226359968</v>
      </c>
      <c r="B282" s="0" t="s">
        <v>779</v>
      </c>
      <c r="C282" s="0" t="s">
        <v>780</v>
      </c>
      <c r="D282" s="0" t="s">
        <v>28</v>
      </c>
      <c r="E282" s="44" t="n">
        <v>43353</v>
      </c>
      <c r="F282" s="0" t="s">
        <v>102</v>
      </c>
      <c r="G282" s="0" t="n">
        <v>21356941</v>
      </c>
      <c r="H282" s="0" t="n">
        <v>720193</v>
      </c>
      <c r="I282" s="0" t="s">
        <v>34</v>
      </c>
      <c r="J282" s="0" t="s">
        <v>174</v>
      </c>
      <c r="K282" s="0" t="s">
        <v>107</v>
      </c>
      <c r="L282" s="0" t="n">
        <v>226359968</v>
      </c>
      <c r="M282" s="0" t="s">
        <v>770</v>
      </c>
      <c r="N282" s="0" t="n">
        <v>103259769</v>
      </c>
      <c r="O282" s="0" t="n">
        <v>1</v>
      </c>
      <c r="P282" s="0" t="n">
        <v>0</v>
      </c>
      <c r="Q282" s="0" t="str">
        <f aca="false">IFERROR(VLOOKUP(B282,[2]'Cost Correction'!$D$2:$AJ$1627,33,0),"")</f>
        <v/>
      </c>
    </row>
    <row r="283" customFormat="false" ht="15" hidden="false" customHeight="false" outlineLevel="0" collapsed="false">
      <c r="A283" s="0" t="str">
        <f aca="false">E283&amp;L283&amp;Q283</f>
        <v>43352226359968</v>
      </c>
      <c r="B283" s="0" t="s">
        <v>781</v>
      </c>
      <c r="C283" s="0" t="s">
        <v>782</v>
      </c>
      <c r="D283" s="0" t="s">
        <v>28</v>
      </c>
      <c r="E283" s="44" t="n">
        <v>43352</v>
      </c>
      <c r="F283" s="0" t="s">
        <v>102</v>
      </c>
      <c r="G283" s="0" t="n">
        <v>21356941</v>
      </c>
      <c r="H283" s="0" t="n">
        <v>720193</v>
      </c>
      <c r="I283" s="0" t="s">
        <v>34</v>
      </c>
      <c r="J283" s="0" t="s">
        <v>174</v>
      </c>
      <c r="K283" s="0" t="s">
        <v>107</v>
      </c>
      <c r="L283" s="0" t="n">
        <v>226359968</v>
      </c>
      <c r="M283" s="0" t="s">
        <v>770</v>
      </c>
      <c r="N283" s="0" t="n">
        <v>103259769</v>
      </c>
      <c r="O283" s="0" t="n">
        <v>1</v>
      </c>
      <c r="P283" s="0" t="n">
        <v>0.01</v>
      </c>
      <c r="Q283" s="0" t="str">
        <f aca="false">IFERROR(VLOOKUP(B283,[2]'Cost Correction'!$D$2:$AJ$1627,33,0),"")</f>
        <v/>
      </c>
    </row>
    <row r="284" customFormat="false" ht="15" hidden="false" customHeight="false" outlineLevel="0" collapsed="false">
      <c r="A284" s="0" t="str">
        <f aca="false">E284&amp;L284&amp;Q284</f>
        <v>43358226359965</v>
      </c>
      <c r="B284" s="0" t="s">
        <v>783</v>
      </c>
      <c r="C284" s="0" t="s">
        <v>784</v>
      </c>
      <c r="D284" s="0" t="s">
        <v>28</v>
      </c>
      <c r="E284" s="44" t="n">
        <v>43358</v>
      </c>
      <c r="F284" s="0" t="s">
        <v>102</v>
      </c>
      <c r="G284" s="0" t="n">
        <v>21356941</v>
      </c>
      <c r="H284" s="0" t="n">
        <v>720193</v>
      </c>
      <c r="I284" s="0" t="s">
        <v>34</v>
      </c>
      <c r="J284" s="0" t="s">
        <v>174</v>
      </c>
      <c r="K284" s="0" t="s">
        <v>108</v>
      </c>
      <c r="L284" s="0" t="n">
        <v>226359965</v>
      </c>
      <c r="M284" s="0" t="s">
        <v>785</v>
      </c>
      <c r="N284" s="0" t="n">
        <v>103257810</v>
      </c>
      <c r="O284" s="0" t="n">
        <v>0</v>
      </c>
      <c r="P284" s="0" t="n">
        <v>0</v>
      </c>
      <c r="Q284" s="0" t="str">
        <f aca="false">IFERROR(VLOOKUP(B284,[2]'Cost Correction'!$D$2:$AJ$1627,33,0),"")</f>
        <v/>
      </c>
    </row>
    <row r="285" customFormat="false" ht="15" hidden="false" customHeight="false" outlineLevel="0" collapsed="false">
      <c r="A285" s="0" t="str">
        <f aca="false">E285&amp;L285&amp;Q285</f>
        <v>43357226359965</v>
      </c>
      <c r="B285" s="0" t="s">
        <v>786</v>
      </c>
      <c r="C285" s="0" t="s">
        <v>787</v>
      </c>
      <c r="D285" s="0" t="s">
        <v>28</v>
      </c>
      <c r="E285" s="44" t="n">
        <v>43357</v>
      </c>
      <c r="F285" s="0" t="s">
        <v>102</v>
      </c>
      <c r="G285" s="0" t="n">
        <v>21356941</v>
      </c>
      <c r="H285" s="0" t="n">
        <v>720193</v>
      </c>
      <c r="I285" s="0" t="s">
        <v>34</v>
      </c>
      <c r="J285" s="0" t="s">
        <v>174</v>
      </c>
      <c r="K285" s="0" t="s">
        <v>108</v>
      </c>
      <c r="L285" s="0" t="n">
        <v>226359965</v>
      </c>
      <c r="M285" s="0" t="s">
        <v>785</v>
      </c>
      <c r="N285" s="0" t="n">
        <v>103257810</v>
      </c>
      <c r="O285" s="0" t="n">
        <v>0</v>
      </c>
      <c r="P285" s="0" t="n">
        <v>0</v>
      </c>
      <c r="Q285" s="0" t="str">
        <f aca="false">IFERROR(VLOOKUP(B285,[2]'Cost Correction'!$D$2:$AJ$1627,33,0),"")</f>
        <v/>
      </c>
    </row>
    <row r="286" customFormat="false" ht="15" hidden="false" customHeight="false" outlineLevel="0" collapsed="false">
      <c r="A286" s="0" t="str">
        <f aca="false">E286&amp;L286&amp;Q286</f>
        <v>43356226359965</v>
      </c>
      <c r="B286" s="0" t="s">
        <v>788</v>
      </c>
      <c r="C286" s="0" t="s">
        <v>789</v>
      </c>
      <c r="D286" s="0" t="s">
        <v>28</v>
      </c>
      <c r="E286" s="44" t="n">
        <v>43356</v>
      </c>
      <c r="F286" s="0" t="s">
        <v>102</v>
      </c>
      <c r="G286" s="0" t="n">
        <v>21356941</v>
      </c>
      <c r="H286" s="0" t="n">
        <v>720193</v>
      </c>
      <c r="I286" s="0" t="s">
        <v>34</v>
      </c>
      <c r="J286" s="0" t="s">
        <v>174</v>
      </c>
      <c r="K286" s="0" t="s">
        <v>108</v>
      </c>
      <c r="L286" s="0" t="n">
        <v>226359965</v>
      </c>
      <c r="M286" s="0" t="s">
        <v>785</v>
      </c>
      <c r="N286" s="0" t="n">
        <v>103257810</v>
      </c>
      <c r="O286" s="0" t="n">
        <v>0</v>
      </c>
      <c r="P286" s="0" t="n">
        <v>0</v>
      </c>
      <c r="Q286" s="0" t="str">
        <f aca="false">IFERROR(VLOOKUP(B286,[2]'Cost Correction'!$D$2:$AJ$1627,33,0),"")</f>
        <v/>
      </c>
    </row>
    <row r="287" customFormat="false" ht="15" hidden="false" customHeight="false" outlineLevel="0" collapsed="false">
      <c r="A287" s="0" t="str">
        <f aca="false">E287&amp;L287&amp;Q287</f>
        <v>43355226359965</v>
      </c>
      <c r="B287" s="0" t="s">
        <v>790</v>
      </c>
      <c r="C287" s="0" t="s">
        <v>791</v>
      </c>
      <c r="D287" s="0" t="s">
        <v>28</v>
      </c>
      <c r="E287" s="44" t="n">
        <v>43355</v>
      </c>
      <c r="F287" s="0" t="s">
        <v>102</v>
      </c>
      <c r="G287" s="0" t="n">
        <v>21356941</v>
      </c>
      <c r="H287" s="0" t="n">
        <v>720193</v>
      </c>
      <c r="I287" s="0" t="s">
        <v>34</v>
      </c>
      <c r="J287" s="0" t="s">
        <v>174</v>
      </c>
      <c r="K287" s="0" t="s">
        <v>108</v>
      </c>
      <c r="L287" s="0" t="n">
        <v>226359965</v>
      </c>
      <c r="M287" s="0" t="s">
        <v>785</v>
      </c>
      <c r="N287" s="0" t="n">
        <v>103257810</v>
      </c>
      <c r="O287" s="0" t="n">
        <v>0</v>
      </c>
      <c r="P287" s="0" t="n">
        <v>0</v>
      </c>
      <c r="Q287" s="0" t="str">
        <f aca="false">IFERROR(VLOOKUP(B287,[2]'Cost Correction'!$D$2:$AJ$1627,33,0),"")</f>
        <v/>
      </c>
    </row>
    <row r="288" customFormat="false" ht="15" hidden="false" customHeight="false" outlineLevel="0" collapsed="false">
      <c r="A288" s="0" t="str">
        <f aca="false">E288&amp;L288&amp;Q288</f>
        <v>43354226359965</v>
      </c>
      <c r="B288" s="0" t="s">
        <v>792</v>
      </c>
      <c r="C288" s="0" t="s">
        <v>793</v>
      </c>
      <c r="D288" s="0" t="s">
        <v>28</v>
      </c>
      <c r="E288" s="44" t="n">
        <v>43354</v>
      </c>
      <c r="F288" s="0" t="s">
        <v>102</v>
      </c>
      <c r="G288" s="0" t="n">
        <v>21356941</v>
      </c>
      <c r="H288" s="0" t="n">
        <v>720193</v>
      </c>
      <c r="I288" s="0" t="s">
        <v>34</v>
      </c>
      <c r="J288" s="0" t="s">
        <v>174</v>
      </c>
      <c r="K288" s="0" t="s">
        <v>108</v>
      </c>
      <c r="L288" s="0" t="n">
        <v>226359965</v>
      </c>
      <c r="M288" s="0" t="s">
        <v>785</v>
      </c>
      <c r="N288" s="0" t="n">
        <v>103257810</v>
      </c>
      <c r="O288" s="0" t="n">
        <v>0</v>
      </c>
      <c r="P288" s="0" t="n">
        <v>0</v>
      </c>
      <c r="Q288" s="0" t="str">
        <f aca="false">IFERROR(VLOOKUP(B288,[2]'Cost Correction'!$D$2:$AJ$1627,33,0),"")</f>
        <v/>
      </c>
    </row>
    <row r="289" customFormat="false" ht="15" hidden="false" customHeight="false" outlineLevel="0" collapsed="false">
      <c r="A289" s="0" t="str">
        <f aca="false">E289&amp;L289&amp;Q289</f>
        <v>43353226359965</v>
      </c>
      <c r="B289" s="0" t="s">
        <v>794</v>
      </c>
      <c r="C289" s="0" t="s">
        <v>795</v>
      </c>
      <c r="D289" s="0" t="s">
        <v>28</v>
      </c>
      <c r="E289" s="44" t="n">
        <v>43353</v>
      </c>
      <c r="F289" s="0" t="s">
        <v>102</v>
      </c>
      <c r="G289" s="0" t="n">
        <v>21356941</v>
      </c>
      <c r="H289" s="0" t="n">
        <v>720193</v>
      </c>
      <c r="I289" s="0" t="s">
        <v>34</v>
      </c>
      <c r="J289" s="0" t="s">
        <v>174</v>
      </c>
      <c r="K289" s="0" t="s">
        <v>108</v>
      </c>
      <c r="L289" s="0" t="n">
        <v>226359965</v>
      </c>
      <c r="M289" s="0" t="s">
        <v>785</v>
      </c>
      <c r="N289" s="0" t="n">
        <v>103257810</v>
      </c>
      <c r="O289" s="0" t="n">
        <v>0</v>
      </c>
      <c r="P289" s="0" t="n">
        <v>0</v>
      </c>
      <c r="Q289" s="0" t="str">
        <f aca="false">IFERROR(VLOOKUP(B289,[2]'Cost Correction'!$D$2:$AJ$1627,33,0),"")</f>
        <v/>
      </c>
    </row>
    <row r="290" customFormat="false" ht="15" hidden="false" customHeight="false" outlineLevel="0" collapsed="false">
      <c r="A290" s="0" t="str">
        <f aca="false">E290&amp;L290&amp;Q290</f>
        <v>43352226359965</v>
      </c>
      <c r="B290" s="0" t="s">
        <v>796</v>
      </c>
      <c r="C290" s="0" t="s">
        <v>797</v>
      </c>
      <c r="D290" s="0" t="s">
        <v>28</v>
      </c>
      <c r="E290" s="44" t="n">
        <v>43352</v>
      </c>
      <c r="F290" s="0" t="s">
        <v>102</v>
      </c>
      <c r="G290" s="0" t="n">
        <v>21356941</v>
      </c>
      <c r="H290" s="0" t="n">
        <v>720193</v>
      </c>
      <c r="I290" s="0" t="s">
        <v>34</v>
      </c>
      <c r="J290" s="0" t="s">
        <v>174</v>
      </c>
      <c r="K290" s="0" t="s">
        <v>108</v>
      </c>
      <c r="L290" s="0" t="n">
        <v>226359965</v>
      </c>
      <c r="M290" s="0" t="s">
        <v>785</v>
      </c>
      <c r="N290" s="0" t="n">
        <v>103257810</v>
      </c>
      <c r="O290" s="0" t="n">
        <v>0</v>
      </c>
      <c r="P290" s="0" t="n">
        <v>0</v>
      </c>
      <c r="Q290" s="0" t="str">
        <f aca="false">IFERROR(VLOOKUP(B290,[2]'Cost Correction'!$D$2:$AJ$1627,33,0),"")</f>
        <v/>
      </c>
    </row>
    <row r="291" customFormat="false" ht="15" hidden="false" customHeight="false" outlineLevel="0" collapsed="false">
      <c r="A291" s="0" t="str">
        <f aca="false">E291&amp;L291&amp;Q291</f>
        <v>43358226359962</v>
      </c>
      <c r="B291" s="0" t="s">
        <v>798</v>
      </c>
      <c r="C291" s="0" t="s">
        <v>799</v>
      </c>
      <c r="D291" s="0" t="s">
        <v>28</v>
      </c>
      <c r="E291" s="44" t="n">
        <v>43358</v>
      </c>
      <c r="F291" s="0" t="s">
        <v>102</v>
      </c>
      <c r="G291" s="0" t="n">
        <v>21356941</v>
      </c>
      <c r="H291" s="0" t="n">
        <v>720193</v>
      </c>
      <c r="I291" s="0" t="s">
        <v>34</v>
      </c>
      <c r="J291" s="0" t="s">
        <v>174</v>
      </c>
      <c r="K291" s="0" t="s">
        <v>109</v>
      </c>
      <c r="L291" s="0" t="n">
        <v>226359962</v>
      </c>
      <c r="M291" s="0" t="s">
        <v>800</v>
      </c>
      <c r="N291" s="0" t="n">
        <v>103259010</v>
      </c>
      <c r="O291" s="0" t="n">
        <v>0</v>
      </c>
      <c r="P291" s="0" t="n">
        <v>0</v>
      </c>
      <c r="Q291" s="0" t="str">
        <f aca="false">IFERROR(VLOOKUP(B291,[2]'Cost Correction'!$D$2:$AJ$1627,33,0),"")</f>
        <v/>
      </c>
    </row>
    <row r="292" customFormat="false" ht="15" hidden="false" customHeight="false" outlineLevel="0" collapsed="false">
      <c r="A292" s="0" t="str">
        <f aca="false">E292&amp;L292&amp;Q292</f>
        <v>43357226359962</v>
      </c>
      <c r="B292" s="0" t="s">
        <v>801</v>
      </c>
      <c r="C292" s="0" t="s">
        <v>802</v>
      </c>
      <c r="D292" s="0" t="s">
        <v>28</v>
      </c>
      <c r="E292" s="44" t="n">
        <v>43357</v>
      </c>
      <c r="F292" s="0" t="s">
        <v>102</v>
      </c>
      <c r="G292" s="0" t="n">
        <v>21356941</v>
      </c>
      <c r="H292" s="0" t="n">
        <v>720193</v>
      </c>
      <c r="I292" s="0" t="s">
        <v>34</v>
      </c>
      <c r="J292" s="0" t="s">
        <v>174</v>
      </c>
      <c r="K292" s="0" t="s">
        <v>109</v>
      </c>
      <c r="L292" s="0" t="n">
        <v>226359962</v>
      </c>
      <c r="M292" s="0" t="s">
        <v>800</v>
      </c>
      <c r="N292" s="0" t="n">
        <v>103259010</v>
      </c>
      <c r="O292" s="0" t="n">
        <v>0</v>
      </c>
      <c r="P292" s="0" t="n">
        <v>0</v>
      </c>
      <c r="Q292" s="0" t="str">
        <f aca="false">IFERROR(VLOOKUP(B292,[2]'Cost Correction'!$D$2:$AJ$1627,33,0),"")</f>
        <v/>
      </c>
    </row>
    <row r="293" customFormat="false" ht="15" hidden="false" customHeight="false" outlineLevel="0" collapsed="false">
      <c r="A293" s="0" t="str">
        <f aca="false">E293&amp;L293&amp;Q293</f>
        <v>43356226359962</v>
      </c>
      <c r="B293" s="0" t="s">
        <v>803</v>
      </c>
      <c r="C293" s="0" t="s">
        <v>804</v>
      </c>
      <c r="D293" s="0" t="s">
        <v>28</v>
      </c>
      <c r="E293" s="44" t="n">
        <v>43356</v>
      </c>
      <c r="F293" s="0" t="s">
        <v>102</v>
      </c>
      <c r="G293" s="0" t="n">
        <v>21356941</v>
      </c>
      <c r="H293" s="0" t="n">
        <v>720193</v>
      </c>
      <c r="I293" s="0" t="s">
        <v>34</v>
      </c>
      <c r="J293" s="0" t="s">
        <v>174</v>
      </c>
      <c r="K293" s="0" t="s">
        <v>109</v>
      </c>
      <c r="L293" s="0" t="n">
        <v>226359962</v>
      </c>
      <c r="M293" s="0" t="s">
        <v>800</v>
      </c>
      <c r="N293" s="0" t="n">
        <v>103259010</v>
      </c>
      <c r="O293" s="0" t="n">
        <v>0</v>
      </c>
      <c r="P293" s="0" t="n">
        <v>0</v>
      </c>
      <c r="Q293" s="0" t="str">
        <f aca="false">IFERROR(VLOOKUP(B293,[2]'Cost Correction'!$D$2:$AJ$1627,33,0),"")</f>
        <v/>
      </c>
    </row>
    <row r="294" customFormat="false" ht="15" hidden="false" customHeight="false" outlineLevel="0" collapsed="false">
      <c r="A294" s="0" t="str">
        <f aca="false">E294&amp;L294&amp;Q294</f>
        <v>43355226359962</v>
      </c>
      <c r="B294" s="0" t="s">
        <v>805</v>
      </c>
      <c r="C294" s="0" t="s">
        <v>806</v>
      </c>
      <c r="D294" s="0" t="s">
        <v>28</v>
      </c>
      <c r="E294" s="44" t="n">
        <v>43355</v>
      </c>
      <c r="F294" s="0" t="s">
        <v>102</v>
      </c>
      <c r="G294" s="0" t="n">
        <v>21356941</v>
      </c>
      <c r="H294" s="0" t="n">
        <v>720193</v>
      </c>
      <c r="I294" s="0" t="s">
        <v>34</v>
      </c>
      <c r="J294" s="0" t="s">
        <v>174</v>
      </c>
      <c r="K294" s="0" t="s">
        <v>109</v>
      </c>
      <c r="L294" s="0" t="n">
        <v>226359962</v>
      </c>
      <c r="M294" s="0" t="s">
        <v>800</v>
      </c>
      <c r="N294" s="0" t="n">
        <v>103259010</v>
      </c>
      <c r="O294" s="0" t="n">
        <v>0</v>
      </c>
      <c r="P294" s="0" t="n">
        <v>0</v>
      </c>
      <c r="Q294" s="0" t="str">
        <f aca="false">IFERROR(VLOOKUP(B294,[2]'Cost Correction'!$D$2:$AJ$1627,33,0),"")</f>
        <v/>
      </c>
    </row>
    <row r="295" customFormat="false" ht="15" hidden="false" customHeight="false" outlineLevel="0" collapsed="false">
      <c r="A295" s="0" t="str">
        <f aca="false">E295&amp;L295&amp;Q295</f>
        <v>43354226359962</v>
      </c>
      <c r="B295" s="0" t="s">
        <v>807</v>
      </c>
      <c r="C295" s="0" t="s">
        <v>808</v>
      </c>
      <c r="D295" s="0" t="s">
        <v>28</v>
      </c>
      <c r="E295" s="44" t="n">
        <v>43354</v>
      </c>
      <c r="F295" s="0" t="s">
        <v>102</v>
      </c>
      <c r="G295" s="0" t="n">
        <v>21356941</v>
      </c>
      <c r="H295" s="0" t="n">
        <v>720193</v>
      </c>
      <c r="I295" s="0" t="s">
        <v>34</v>
      </c>
      <c r="J295" s="0" t="s">
        <v>174</v>
      </c>
      <c r="K295" s="0" t="s">
        <v>109</v>
      </c>
      <c r="L295" s="0" t="n">
        <v>226359962</v>
      </c>
      <c r="M295" s="0" t="s">
        <v>800</v>
      </c>
      <c r="N295" s="0" t="n">
        <v>103259010</v>
      </c>
      <c r="O295" s="0" t="n">
        <v>0</v>
      </c>
      <c r="P295" s="0" t="n">
        <v>0</v>
      </c>
      <c r="Q295" s="0" t="str">
        <f aca="false">IFERROR(VLOOKUP(B295,[2]'Cost Correction'!$D$2:$AJ$1627,33,0),"")</f>
        <v/>
      </c>
    </row>
    <row r="296" customFormat="false" ht="15" hidden="false" customHeight="false" outlineLevel="0" collapsed="false">
      <c r="A296" s="0" t="str">
        <f aca="false">E296&amp;L296&amp;Q296</f>
        <v>43353226359962</v>
      </c>
      <c r="B296" s="0" t="s">
        <v>809</v>
      </c>
      <c r="C296" s="0" t="s">
        <v>810</v>
      </c>
      <c r="D296" s="0" t="s">
        <v>28</v>
      </c>
      <c r="E296" s="44" t="n">
        <v>43353</v>
      </c>
      <c r="F296" s="0" t="s">
        <v>102</v>
      </c>
      <c r="G296" s="0" t="n">
        <v>21356941</v>
      </c>
      <c r="H296" s="0" t="n">
        <v>720193</v>
      </c>
      <c r="I296" s="0" t="s">
        <v>34</v>
      </c>
      <c r="J296" s="0" t="s">
        <v>174</v>
      </c>
      <c r="K296" s="0" t="s">
        <v>109</v>
      </c>
      <c r="L296" s="0" t="n">
        <v>226359962</v>
      </c>
      <c r="M296" s="0" t="s">
        <v>800</v>
      </c>
      <c r="N296" s="0" t="n">
        <v>103259010</v>
      </c>
      <c r="O296" s="0" t="n">
        <v>0</v>
      </c>
      <c r="P296" s="0" t="n">
        <v>0</v>
      </c>
      <c r="Q296" s="0" t="str">
        <f aca="false">IFERROR(VLOOKUP(B296,[2]'Cost Correction'!$D$2:$AJ$1627,33,0),"")</f>
        <v/>
      </c>
    </row>
    <row r="297" customFormat="false" ht="15" hidden="false" customHeight="false" outlineLevel="0" collapsed="false">
      <c r="A297" s="0" t="str">
        <f aca="false">E297&amp;L297&amp;Q297</f>
        <v>43352226359962</v>
      </c>
      <c r="B297" s="0" t="s">
        <v>811</v>
      </c>
      <c r="C297" s="0" t="s">
        <v>812</v>
      </c>
      <c r="D297" s="0" t="s">
        <v>28</v>
      </c>
      <c r="E297" s="44" t="n">
        <v>43352</v>
      </c>
      <c r="F297" s="0" t="s">
        <v>102</v>
      </c>
      <c r="G297" s="0" t="n">
        <v>21356941</v>
      </c>
      <c r="H297" s="0" t="n">
        <v>720193</v>
      </c>
      <c r="I297" s="0" t="s">
        <v>34</v>
      </c>
      <c r="J297" s="0" t="s">
        <v>174</v>
      </c>
      <c r="K297" s="0" t="s">
        <v>109</v>
      </c>
      <c r="L297" s="0" t="n">
        <v>226359962</v>
      </c>
      <c r="M297" s="0" t="s">
        <v>800</v>
      </c>
      <c r="N297" s="0" t="n">
        <v>103259010</v>
      </c>
      <c r="O297" s="0" t="n">
        <v>0</v>
      </c>
      <c r="P297" s="0" t="n">
        <v>0</v>
      </c>
      <c r="Q297" s="0" t="str">
        <f aca="false">IFERROR(VLOOKUP(B297,[2]'Cost Correction'!$D$2:$AJ$1627,33,0),"")</f>
        <v/>
      </c>
    </row>
    <row r="298" customFormat="false" ht="15" hidden="false" customHeight="false" outlineLevel="0" collapsed="false">
      <c r="A298" s="0" t="str">
        <f aca="false">E298&amp;L298&amp;Q298</f>
        <v>43358226359959</v>
      </c>
      <c r="B298" s="0" t="s">
        <v>813</v>
      </c>
      <c r="C298" s="0" t="s">
        <v>814</v>
      </c>
      <c r="D298" s="0" t="s">
        <v>28</v>
      </c>
      <c r="E298" s="44" t="n">
        <v>43358</v>
      </c>
      <c r="F298" s="0" t="s">
        <v>102</v>
      </c>
      <c r="G298" s="0" t="n">
        <v>21356941</v>
      </c>
      <c r="H298" s="0" t="n">
        <v>720193</v>
      </c>
      <c r="I298" s="0" t="s">
        <v>34</v>
      </c>
      <c r="J298" s="0" t="s">
        <v>174</v>
      </c>
      <c r="K298" s="0" t="s">
        <v>110</v>
      </c>
      <c r="L298" s="0" t="n">
        <v>226359959</v>
      </c>
      <c r="M298" s="0" t="s">
        <v>815</v>
      </c>
      <c r="N298" s="0" t="n">
        <v>103376990</v>
      </c>
      <c r="O298" s="0" t="n">
        <v>0</v>
      </c>
      <c r="P298" s="0" t="n">
        <v>0</v>
      </c>
      <c r="Q298" s="0" t="str">
        <f aca="false">IFERROR(VLOOKUP(B298,[2]'Cost Correction'!$D$2:$AJ$1627,33,0),"")</f>
        <v/>
      </c>
    </row>
    <row r="299" customFormat="false" ht="15" hidden="false" customHeight="false" outlineLevel="0" collapsed="false">
      <c r="A299" s="0" t="str">
        <f aca="false">E299&amp;L299&amp;Q299</f>
        <v>43357226359959</v>
      </c>
      <c r="B299" s="0" t="s">
        <v>816</v>
      </c>
      <c r="C299" s="0" t="s">
        <v>817</v>
      </c>
      <c r="D299" s="0" t="s">
        <v>28</v>
      </c>
      <c r="E299" s="44" t="n">
        <v>43357</v>
      </c>
      <c r="F299" s="0" t="s">
        <v>102</v>
      </c>
      <c r="G299" s="0" t="n">
        <v>21356941</v>
      </c>
      <c r="H299" s="0" t="n">
        <v>720193</v>
      </c>
      <c r="I299" s="0" t="s">
        <v>34</v>
      </c>
      <c r="J299" s="0" t="s">
        <v>174</v>
      </c>
      <c r="K299" s="0" t="s">
        <v>110</v>
      </c>
      <c r="L299" s="0" t="n">
        <v>226359959</v>
      </c>
      <c r="M299" s="0" t="s">
        <v>815</v>
      </c>
      <c r="N299" s="0" t="n">
        <v>103376990</v>
      </c>
      <c r="O299" s="0" t="n">
        <v>0</v>
      </c>
      <c r="P299" s="0" t="n">
        <v>0</v>
      </c>
      <c r="Q299" s="0" t="str">
        <f aca="false">IFERROR(VLOOKUP(B299,[2]'Cost Correction'!$D$2:$AJ$1627,33,0),"")</f>
        <v/>
      </c>
    </row>
    <row r="300" customFormat="false" ht="15" hidden="false" customHeight="false" outlineLevel="0" collapsed="false">
      <c r="A300" s="0" t="str">
        <f aca="false">E300&amp;L300&amp;Q300</f>
        <v>43356226359959</v>
      </c>
      <c r="B300" s="0" t="s">
        <v>818</v>
      </c>
      <c r="C300" s="0" t="s">
        <v>819</v>
      </c>
      <c r="D300" s="0" t="s">
        <v>28</v>
      </c>
      <c r="E300" s="44" t="n">
        <v>43356</v>
      </c>
      <c r="F300" s="0" t="s">
        <v>102</v>
      </c>
      <c r="G300" s="0" t="n">
        <v>21356941</v>
      </c>
      <c r="H300" s="0" t="n">
        <v>720193</v>
      </c>
      <c r="I300" s="0" t="s">
        <v>34</v>
      </c>
      <c r="J300" s="0" t="s">
        <v>174</v>
      </c>
      <c r="K300" s="0" t="s">
        <v>110</v>
      </c>
      <c r="L300" s="0" t="n">
        <v>226359959</v>
      </c>
      <c r="M300" s="0" t="s">
        <v>815</v>
      </c>
      <c r="N300" s="0" t="n">
        <v>103376990</v>
      </c>
      <c r="O300" s="0" t="n">
        <v>0</v>
      </c>
      <c r="P300" s="0" t="n">
        <v>0</v>
      </c>
      <c r="Q300" s="0" t="str">
        <f aca="false">IFERROR(VLOOKUP(B300,[2]'Cost Correction'!$D$2:$AJ$1627,33,0),"")</f>
        <v/>
      </c>
    </row>
    <row r="301" customFormat="false" ht="15" hidden="false" customHeight="false" outlineLevel="0" collapsed="false">
      <c r="A301" s="0" t="str">
        <f aca="false">E301&amp;L301&amp;Q301</f>
        <v>43355226359959</v>
      </c>
      <c r="B301" s="0" t="s">
        <v>820</v>
      </c>
      <c r="C301" s="0" t="s">
        <v>821</v>
      </c>
      <c r="D301" s="0" t="s">
        <v>28</v>
      </c>
      <c r="E301" s="44" t="n">
        <v>43355</v>
      </c>
      <c r="F301" s="0" t="s">
        <v>102</v>
      </c>
      <c r="G301" s="0" t="n">
        <v>21356941</v>
      </c>
      <c r="H301" s="0" t="n">
        <v>720193</v>
      </c>
      <c r="I301" s="0" t="s">
        <v>34</v>
      </c>
      <c r="J301" s="0" t="s">
        <v>174</v>
      </c>
      <c r="K301" s="0" t="s">
        <v>110</v>
      </c>
      <c r="L301" s="0" t="n">
        <v>226359959</v>
      </c>
      <c r="M301" s="0" t="s">
        <v>815</v>
      </c>
      <c r="N301" s="0" t="n">
        <v>103376990</v>
      </c>
      <c r="O301" s="0" t="n">
        <v>2</v>
      </c>
      <c r="P301" s="0" t="n">
        <v>0.02</v>
      </c>
      <c r="Q301" s="0" t="str">
        <f aca="false">IFERROR(VLOOKUP(B301,[2]'Cost Correction'!$D$2:$AJ$1627,33,0),"")</f>
        <v/>
      </c>
    </row>
    <row r="302" customFormat="false" ht="15" hidden="false" customHeight="false" outlineLevel="0" collapsed="false">
      <c r="A302" s="0" t="str">
        <f aca="false">E302&amp;L302&amp;Q302</f>
        <v>43354226359959</v>
      </c>
      <c r="B302" s="0" t="s">
        <v>822</v>
      </c>
      <c r="C302" s="0" t="s">
        <v>823</v>
      </c>
      <c r="D302" s="0" t="s">
        <v>28</v>
      </c>
      <c r="E302" s="44" t="n">
        <v>43354</v>
      </c>
      <c r="F302" s="0" t="s">
        <v>102</v>
      </c>
      <c r="G302" s="0" t="n">
        <v>21356941</v>
      </c>
      <c r="H302" s="0" t="n">
        <v>720193</v>
      </c>
      <c r="I302" s="0" t="s">
        <v>34</v>
      </c>
      <c r="J302" s="0" t="s">
        <v>174</v>
      </c>
      <c r="K302" s="0" t="s">
        <v>110</v>
      </c>
      <c r="L302" s="0" t="n">
        <v>226359959</v>
      </c>
      <c r="M302" s="0" t="s">
        <v>815</v>
      </c>
      <c r="N302" s="0" t="n">
        <v>103376990</v>
      </c>
      <c r="O302" s="0" t="n">
        <v>0</v>
      </c>
      <c r="P302" s="0" t="n">
        <v>0</v>
      </c>
      <c r="Q302" s="0" t="str">
        <f aca="false">IFERROR(VLOOKUP(B302,[2]'Cost Correction'!$D$2:$AJ$1627,33,0),"")</f>
        <v/>
      </c>
    </row>
    <row r="303" customFormat="false" ht="15" hidden="false" customHeight="false" outlineLevel="0" collapsed="false">
      <c r="A303" s="0" t="str">
        <f aca="false">E303&amp;L303&amp;Q303</f>
        <v>43353226359959</v>
      </c>
      <c r="B303" s="0" t="s">
        <v>824</v>
      </c>
      <c r="C303" s="0" t="s">
        <v>825</v>
      </c>
      <c r="D303" s="0" t="s">
        <v>28</v>
      </c>
      <c r="E303" s="44" t="n">
        <v>43353</v>
      </c>
      <c r="F303" s="0" t="s">
        <v>102</v>
      </c>
      <c r="G303" s="0" t="n">
        <v>21356941</v>
      </c>
      <c r="H303" s="0" t="n">
        <v>720193</v>
      </c>
      <c r="I303" s="0" t="s">
        <v>34</v>
      </c>
      <c r="J303" s="0" t="s">
        <v>174</v>
      </c>
      <c r="K303" s="0" t="s">
        <v>110</v>
      </c>
      <c r="L303" s="0" t="n">
        <v>226359959</v>
      </c>
      <c r="M303" s="0" t="s">
        <v>815</v>
      </c>
      <c r="N303" s="0" t="n">
        <v>103376990</v>
      </c>
      <c r="O303" s="0" t="n">
        <v>1</v>
      </c>
      <c r="P303" s="0" t="n">
        <v>0</v>
      </c>
      <c r="Q303" s="0" t="str">
        <f aca="false">IFERROR(VLOOKUP(B303,[2]'Cost Correction'!$D$2:$AJ$1627,33,0),"")</f>
        <v/>
      </c>
    </row>
    <row r="304" customFormat="false" ht="15" hidden="false" customHeight="false" outlineLevel="0" collapsed="false">
      <c r="A304" s="0" t="str">
        <f aca="false">E304&amp;L304&amp;Q304</f>
        <v>43352226359959</v>
      </c>
      <c r="B304" s="0" t="s">
        <v>826</v>
      </c>
      <c r="C304" s="0" t="s">
        <v>827</v>
      </c>
      <c r="D304" s="0" t="s">
        <v>28</v>
      </c>
      <c r="E304" s="44" t="n">
        <v>43352</v>
      </c>
      <c r="F304" s="0" t="s">
        <v>102</v>
      </c>
      <c r="G304" s="0" t="n">
        <v>21356941</v>
      </c>
      <c r="H304" s="0" t="n">
        <v>720193</v>
      </c>
      <c r="I304" s="0" t="s">
        <v>34</v>
      </c>
      <c r="J304" s="0" t="s">
        <v>174</v>
      </c>
      <c r="K304" s="0" t="s">
        <v>110</v>
      </c>
      <c r="L304" s="0" t="n">
        <v>226359959</v>
      </c>
      <c r="M304" s="0" t="s">
        <v>815</v>
      </c>
      <c r="N304" s="0" t="n">
        <v>103376990</v>
      </c>
      <c r="O304" s="0" t="n">
        <v>0</v>
      </c>
      <c r="P304" s="0" t="n">
        <v>0</v>
      </c>
      <c r="Q304" s="0" t="str">
        <f aca="false">IFERROR(VLOOKUP(B304,[2]'Cost Correction'!$D$2:$AJ$1627,33,0),"")</f>
        <v/>
      </c>
    </row>
    <row r="305" customFormat="false" ht="15" hidden="false" customHeight="false" outlineLevel="0" collapsed="false">
      <c r="A305" s="0" t="str">
        <f aca="false">E305&amp;L305&amp;Q305</f>
        <v>43358226360037</v>
      </c>
      <c r="B305" s="0" t="s">
        <v>828</v>
      </c>
      <c r="C305" s="0" t="s">
        <v>829</v>
      </c>
      <c r="D305" s="0" t="s">
        <v>28</v>
      </c>
      <c r="E305" s="44" t="n">
        <v>43358</v>
      </c>
      <c r="F305" s="0" t="s">
        <v>102</v>
      </c>
      <c r="G305" s="0" t="n">
        <v>21356941</v>
      </c>
      <c r="H305" s="0" t="n">
        <v>720193</v>
      </c>
      <c r="I305" s="0" t="s">
        <v>34</v>
      </c>
      <c r="J305" s="0" t="s">
        <v>174</v>
      </c>
      <c r="K305" s="0" t="s">
        <v>111</v>
      </c>
      <c r="L305" s="0" t="n">
        <v>226360037</v>
      </c>
      <c r="M305" s="0" t="s">
        <v>740</v>
      </c>
      <c r="N305" s="0" t="n">
        <v>103259775</v>
      </c>
      <c r="O305" s="0" t="n">
        <v>0</v>
      </c>
      <c r="P305" s="0" t="n">
        <v>0</v>
      </c>
      <c r="Q305" s="0" t="str">
        <f aca="false">IFERROR(VLOOKUP(B305,[2]'Cost Correction'!$D$2:$AJ$1627,33,0),"")</f>
        <v/>
      </c>
    </row>
    <row r="306" customFormat="false" ht="15" hidden="false" customHeight="false" outlineLevel="0" collapsed="false">
      <c r="A306" s="0" t="str">
        <f aca="false">E306&amp;L306&amp;Q306</f>
        <v>43357226360037</v>
      </c>
      <c r="B306" s="0" t="s">
        <v>830</v>
      </c>
      <c r="C306" s="0" t="s">
        <v>831</v>
      </c>
      <c r="D306" s="0" t="s">
        <v>28</v>
      </c>
      <c r="E306" s="44" t="n">
        <v>43357</v>
      </c>
      <c r="F306" s="0" t="s">
        <v>102</v>
      </c>
      <c r="G306" s="0" t="n">
        <v>21356941</v>
      </c>
      <c r="H306" s="0" t="n">
        <v>720193</v>
      </c>
      <c r="I306" s="0" t="s">
        <v>34</v>
      </c>
      <c r="J306" s="0" t="s">
        <v>174</v>
      </c>
      <c r="K306" s="0" t="s">
        <v>111</v>
      </c>
      <c r="L306" s="0" t="n">
        <v>226360037</v>
      </c>
      <c r="M306" s="0" t="s">
        <v>740</v>
      </c>
      <c r="N306" s="0" t="n">
        <v>103259775</v>
      </c>
      <c r="O306" s="0" t="n">
        <v>0</v>
      </c>
      <c r="P306" s="0" t="n">
        <v>0</v>
      </c>
      <c r="Q306" s="0" t="str">
        <f aca="false">IFERROR(VLOOKUP(B306,[2]'Cost Correction'!$D$2:$AJ$1627,33,0),"")</f>
        <v/>
      </c>
    </row>
    <row r="307" customFormat="false" ht="15" hidden="false" customHeight="false" outlineLevel="0" collapsed="false">
      <c r="A307" s="0" t="str">
        <f aca="false">E307&amp;L307&amp;Q307</f>
        <v>43356226360037</v>
      </c>
      <c r="B307" s="0" t="s">
        <v>832</v>
      </c>
      <c r="C307" s="0" t="s">
        <v>833</v>
      </c>
      <c r="D307" s="0" t="s">
        <v>28</v>
      </c>
      <c r="E307" s="44" t="n">
        <v>43356</v>
      </c>
      <c r="F307" s="0" t="s">
        <v>102</v>
      </c>
      <c r="G307" s="0" t="n">
        <v>21356941</v>
      </c>
      <c r="H307" s="0" t="n">
        <v>720193</v>
      </c>
      <c r="I307" s="0" t="s">
        <v>34</v>
      </c>
      <c r="J307" s="0" t="s">
        <v>174</v>
      </c>
      <c r="K307" s="0" t="s">
        <v>111</v>
      </c>
      <c r="L307" s="0" t="n">
        <v>226360037</v>
      </c>
      <c r="M307" s="0" t="s">
        <v>740</v>
      </c>
      <c r="N307" s="0" t="n">
        <v>103259775</v>
      </c>
      <c r="O307" s="0" t="n">
        <v>0</v>
      </c>
      <c r="P307" s="0" t="n">
        <v>0</v>
      </c>
      <c r="Q307" s="0" t="str">
        <f aca="false">IFERROR(VLOOKUP(B307,[2]'Cost Correction'!$D$2:$AJ$1627,33,0),"")</f>
        <v/>
      </c>
    </row>
    <row r="308" customFormat="false" ht="15" hidden="false" customHeight="false" outlineLevel="0" collapsed="false">
      <c r="A308" s="0" t="str">
        <f aca="false">E308&amp;L308&amp;Q308</f>
        <v>43355226360037</v>
      </c>
      <c r="B308" s="0" t="s">
        <v>834</v>
      </c>
      <c r="C308" s="0" t="s">
        <v>835</v>
      </c>
      <c r="D308" s="0" t="s">
        <v>28</v>
      </c>
      <c r="E308" s="44" t="n">
        <v>43355</v>
      </c>
      <c r="F308" s="0" t="s">
        <v>102</v>
      </c>
      <c r="G308" s="0" t="n">
        <v>21356941</v>
      </c>
      <c r="H308" s="0" t="n">
        <v>720193</v>
      </c>
      <c r="I308" s="0" t="s">
        <v>34</v>
      </c>
      <c r="J308" s="0" t="s">
        <v>174</v>
      </c>
      <c r="K308" s="0" t="s">
        <v>111</v>
      </c>
      <c r="L308" s="0" t="n">
        <v>226360037</v>
      </c>
      <c r="M308" s="0" t="s">
        <v>740</v>
      </c>
      <c r="N308" s="0" t="n">
        <v>103259775</v>
      </c>
      <c r="O308" s="0" t="n">
        <v>0</v>
      </c>
      <c r="P308" s="0" t="n">
        <v>0</v>
      </c>
      <c r="Q308" s="0" t="str">
        <f aca="false">IFERROR(VLOOKUP(B308,[2]'Cost Correction'!$D$2:$AJ$1627,33,0),"")</f>
        <v/>
      </c>
    </row>
    <row r="309" customFormat="false" ht="15" hidden="false" customHeight="false" outlineLevel="0" collapsed="false">
      <c r="A309" s="0" t="str">
        <f aca="false">E309&amp;L309&amp;Q309</f>
        <v>43354226360037</v>
      </c>
      <c r="B309" s="0" t="s">
        <v>836</v>
      </c>
      <c r="C309" s="0" t="s">
        <v>837</v>
      </c>
      <c r="D309" s="0" t="s">
        <v>28</v>
      </c>
      <c r="E309" s="44" t="n">
        <v>43354</v>
      </c>
      <c r="F309" s="0" t="s">
        <v>102</v>
      </c>
      <c r="G309" s="0" t="n">
        <v>21356941</v>
      </c>
      <c r="H309" s="0" t="n">
        <v>720193</v>
      </c>
      <c r="I309" s="0" t="s">
        <v>34</v>
      </c>
      <c r="J309" s="0" t="s">
        <v>174</v>
      </c>
      <c r="K309" s="0" t="s">
        <v>111</v>
      </c>
      <c r="L309" s="0" t="n">
        <v>226360037</v>
      </c>
      <c r="M309" s="0" t="s">
        <v>740</v>
      </c>
      <c r="N309" s="0" t="n">
        <v>103259775</v>
      </c>
      <c r="O309" s="0" t="n">
        <v>0</v>
      </c>
      <c r="P309" s="0" t="n">
        <v>0</v>
      </c>
      <c r="Q309" s="0" t="str">
        <f aca="false">IFERROR(VLOOKUP(B309,[2]'Cost Correction'!$D$2:$AJ$1627,33,0),"")</f>
        <v/>
      </c>
    </row>
    <row r="310" customFormat="false" ht="15" hidden="false" customHeight="false" outlineLevel="0" collapsed="false">
      <c r="A310" s="0" t="str">
        <f aca="false">E310&amp;L310&amp;Q310</f>
        <v>43353226360037</v>
      </c>
      <c r="B310" s="0" t="s">
        <v>838</v>
      </c>
      <c r="C310" s="0" t="s">
        <v>839</v>
      </c>
      <c r="D310" s="0" t="s">
        <v>28</v>
      </c>
      <c r="E310" s="44" t="n">
        <v>43353</v>
      </c>
      <c r="F310" s="0" t="s">
        <v>102</v>
      </c>
      <c r="G310" s="0" t="n">
        <v>21356941</v>
      </c>
      <c r="H310" s="0" t="n">
        <v>720193</v>
      </c>
      <c r="I310" s="0" t="s">
        <v>34</v>
      </c>
      <c r="J310" s="0" t="s">
        <v>174</v>
      </c>
      <c r="K310" s="0" t="s">
        <v>111</v>
      </c>
      <c r="L310" s="0" t="n">
        <v>226360037</v>
      </c>
      <c r="M310" s="0" t="s">
        <v>740</v>
      </c>
      <c r="N310" s="0" t="n">
        <v>103259775</v>
      </c>
      <c r="O310" s="0" t="n">
        <v>0</v>
      </c>
      <c r="P310" s="0" t="n">
        <v>0</v>
      </c>
      <c r="Q310" s="0" t="str">
        <f aca="false">IFERROR(VLOOKUP(B310,[2]'Cost Correction'!$D$2:$AJ$1627,33,0),"")</f>
        <v/>
      </c>
    </row>
    <row r="311" customFormat="false" ht="15" hidden="false" customHeight="false" outlineLevel="0" collapsed="false">
      <c r="A311" s="0" t="str">
        <f aca="false">E311&amp;L311&amp;Q311</f>
        <v>43352226360037</v>
      </c>
      <c r="B311" s="0" t="s">
        <v>840</v>
      </c>
      <c r="C311" s="0" t="s">
        <v>841</v>
      </c>
      <c r="D311" s="0" t="s">
        <v>28</v>
      </c>
      <c r="E311" s="44" t="n">
        <v>43352</v>
      </c>
      <c r="F311" s="0" t="s">
        <v>102</v>
      </c>
      <c r="G311" s="0" t="n">
        <v>21356941</v>
      </c>
      <c r="H311" s="0" t="n">
        <v>720193</v>
      </c>
      <c r="I311" s="0" t="s">
        <v>34</v>
      </c>
      <c r="J311" s="0" t="s">
        <v>174</v>
      </c>
      <c r="K311" s="0" t="s">
        <v>111</v>
      </c>
      <c r="L311" s="0" t="n">
        <v>226360037</v>
      </c>
      <c r="M311" s="0" t="s">
        <v>740</v>
      </c>
      <c r="N311" s="0" t="n">
        <v>103259775</v>
      </c>
      <c r="O311" s="0" t="n">
        <v>0</v>
      </c>
      <c r="P311" s="0" t="n">
        <v>0</v>
      </c>
      <c r="Q311" s="0" t="str">
        <f aca="false">IFERROR(VLOOKUP(B311,[2]'Cost Correction'!$D$2:$AJ$1627,33,0),"")</f>
        <v/>
      </c>
    </row>
    <row r="312" customFormat="false" ht="15" hidden="false" customHeight="false" outlineLevel="0" collapsed="false">
      <c r="A312" s="0" t="str">
        <f aca="false">E312&amp;L312&amp;Q312</f>
        <v>43358226496107</v>
      </c>
      <c r="B312" s="0" t="s">
        <v>842</v>
      </c>
      <c r="C312" s="0" t="s">
        <v>843</v>
      </c>
      <c r="D312" s="0" t="s">
        <v>28</v>
      </c>
      <c r="E312" s="44" t="n">
        <v>43358</v>
      </c>
      <c r="F312" s="0" t="s">
        <v>102</v>
      </c>
      <c r="G312" s="0" t="n">
        <v>21356941</v>
      </c>
      <c r="H312" s="0" t="n">
        <v>720193</v>
      </c>
      <c r="I312" s="0" t="s">
        <v>34</v>
      </c>
      <c r="J312" s="0" t="s">
        <v>174</v>
      </c>
      <c r="K312" s="0" t="s">
        <v>112</v>
      </c>
      <c r="L312" s="0" t="n">
        <v>226496107</v>
      </c>
      <c r="M312" s="0" t="s">
        <v>755</v>
      </c>
      <c r="N312" s="0" t="n">
        <v>103259520</v>
      </c>
      <c r="O312" s="0" t="n">
        <v>0</v>
      </c>
      <c r="P312" s="0" t="n">
        <v>0</v>
      </c>
      <c r="Q312" s="0" t="str">
        <f aca="false">IFERROR(VLOOKUP(B312,[2]'Cost Correction'!$D$2:$AJ$1627,33,0),"")</f>
        <v/>
      </c>
    </row>
    <row r="313" customFormat="false" ht="15" hidden="false" customHeight="false" outlineLevel="0" collapsed="false">
      <c r="A313" s="0" t="str">
        <f aca="false">E313&amp;L313&amp;Q313</f>
        <v>43357226496107</v>
      </c>
      <c r="B313" s="0" t="s">
        <v>844</v>
      </c>
      <c r="C313" s="0" t="s">
        <v>845</v>
      </c>
      <c r="D313" s="0" t="s">
        <v>28</v>
      </c>
      <c r="E313" s="44" t="n">
        <v>43357</v>
      </c>
      <c r="F313" s="0" t="s">
        <v>102</v>
      </c>
      <c r="G313" s="0" t="n">
        <v>21356941</v>
      </c>
      <c r="H313" s="0" t="n">
        <v>720193</v>
      </c>
      <c r="I313" s="0" t="s">
        <v>34</v>
      </c>
      <c r="J313" s="0" t="s">
        <v>174</v>
      </c>
      <c r="K313" s="0" t="s">
        <v>112</v>
      </c>
      <c r="L313" s="0" t="n">
        <v>226496107</v>
      </c>
      <c r="M313" s="0" t="s">
        <v>755</v>
      </c>
      <c r="N313" s="0" t="n">
        <v>103259520</v>
      </c>
      <c r="O313" s="0" t="n">
        <v>0</v>
      </c>
      <c r="P313" s="0" t="n">
        <v>0</v>
      </c>
      <c r="Q313" s="0" t="str">
        <f aca="false">IFERROR(VLOOKUP(B313,[2]'Cost Correction'!$D$2:$AJ$1627,33,0),"")</f>
        <v/>
      </c>
    </row>
    <row r="314" customFormat="false" ht="15" hidden="false" customHeight="false" outlineLevel="0" collapsed="false">
      <c r="A314" s="0" t="str">
        <f aca="false">E314&amp;L314&amp;Q314</f>
        <v>43356226496107</v>
      </c>
      <c r="B314" s="0" t="s">
        <v>846</v>
      </c>
      <c r="C314" s="0" t="s">
        <v>847</v>
      </c>
      <c r="D314" s="0" t="s">
        <v>28</v>
      </c>
      <c r="E314" s="44" t="n">
        <v>43356</v>
      </c>
      <c r="F314" s="0" t="s">
        <v>102</v>
      </c>
      <c r="G314" s="0" t="n">
        <v>21356941</v>
      </c>
      <c r="H314" s="0" t="n">
        <v>720193</v>
      </c>
      <c r="I314" s="0" t="s">
        <v>34</v>
      </c>
      <c r="J314" s="0" t="s">
        <v>174</v>
      </c>
      <c r="K314" s="0" t="s">
        <v>112</v>
      </c>
      <c r="L314" s="0" t="n">
        <v>226496107</v>
      </c>
      <c r="M314" s="0" t="s">
        <v>755</v>
      </c>
      <c r="N314" s="0" t="n">
        <v>103259520</v>
      </c>
      <c r="O314" s="0" t="n">
        <v>0</v>
      </c>
      <c r="P314" s="0" t="n">
        <v>0</v>
      </c>
      <c r="Q314" s="0" t="str">
        <f aca="false">IFERROR(VLOOKUP(B314,[2]'Cost Correction'!$D$2:$AJ$1627,33,0),"")</f>
        <v/>
      </c>
    </row>
    <row r="315" customFormat="false" ht="15" hidden="false" customHeight="false" outlineLevel="0" collapsed="false">
      <c r="A315" s="0" t="str">
        <f aca="false">E315&amp;L315&amp;Q315</f>
        <v>43355226496107</v>
      </c>
      <c r="B315" s="0" t="s">
        <v>848</v>
      </c>
      <c r="C315" s="0" t="s">
        <v>849</v>
      </c>
      <c r="D315" s="0" t="s">
        <v>28</v>
      </c>
      <c r="E315" s="44" t="n">
        <v>43355</v>
      </c>
      <c r="F315" s="0" t="s">
        <v>102</v>
      </c>
      <c r="G315" s="0" t="n">
        <v>21356941</v>
      </c>
      <c r="H315" s="0" t="n">
        <v>720193</v>
      </c>
      <c r="I315" s="0" t="s">
        <v>34</v>
      </c>
      <c r="J315" s="0" t="s">
        <v>174</v>
      </c>
      <c r="K315" s="0" t="s">
        <v>112</v>
      </c>
      <c r="L315" s="0" t="n">
        <v>226496107</v>
      </c>
      <c r="M315" s="0" t="s">
        <v>755</v>
      </c>
      <c r="N315" s="0" t="n">
        <v>103259520</v>
      </c>
      <c r="O315" s="0" t="n">
        <v>0</v>
      </c>
      <c r="P315" s="0" t="n">
        <v>0</v>
      </c>
      <c r="Q315" s="0" t="str">
        <f aca="false">IFERROR(VLOOKUP(B315,[2]'Cost Correction'!$D$2:$AJ$1627,33,0),"")</f>
        <v/>
      </c>
    </row>
    <row r="316" customFormat="false" ht="15" hidden="false" customHeight="false" outlineLevel="0" collapsed="false">
      <c r="A316" s="0" t="str">
        <f aca="false">E316&amp;L316&amp;Q316</f>
        <v>43354226496107</v>
      </c>
      <c r="B316" s="0" t="s">
        <v>850</v>
      </c>
      <c r="C316" s="0" t="s">
        <v>851</v>
      </c>
      <c r="D316" s="0" t="s">
        <v>28</v>
      </c>
      <c r="E316" s="44" t="n">
        <v>43354</v>
      </c>
      <c r="F316" s="0" t="s">
        <v>102</v>
      </c>
      <c r="G316" s="0" t="n">
        <v>21356941</v>
      </c>
      <c r="H316" s="0" t="n">
        <v>720193</v>
      </c>
      <c r="I316" s="0" t="s">
        <v>34</v>
      </c>
      <c r="J316" s="0" t="s">
        <v>174</v>
      </c>
      <c r="K316" s="0" t="s">
        <v>112</v>
      </c>
      <c r="L316" s="0" t="n">
        <v>226496107</v>
      </c>
      <c r="M316" s="0" t="s">
        <v>755</v>
      </c>
      <c r="N316" s="0" t="n">
        <v>103259520</v>
      </c>
      <c r="O316" s="0" t="n">
        <v>0</v>
      </c>
      <c r="P316" s="0" t="n">
        <v>0</v>
      </c>
      <c r="Q316" s="0" t="str">
        <f aca="false">IFERROR(VLOOKUP(B316,[2]'Cost Correction'!$D$2:$AJ$1627,33,0),"")</f>
        <v/>
      </c>
    </row>
    <row r="317" customFormat="false" ht="15" hidden="false" customHeight="false" outlineLevel="0" collapsed="false">
      <c r="A317" s="0" t="str">
        <f aca="false">E317&amp;L317&amp;Q317</f>
        <v>43353226496107</v>
      </c>
      <c r="B317" s="0" t="s">
        <v>852</v>
      </c>
      <c r="C317" s="0" t="s">
        <v>853</v>
      </c>
      <c r="D317" s="0" t="s">
        <v>28</v>
      </c>
      <c r="E317" s="44" t="n">
        <v>43353</v>
      </c>
      <c r="F317" s="0" t="s">
        <v>102</v>
      </c>
      <c r="G317" s="0" t="n">
        <v>21356941</v>
      </c>
      <c r="H317" s="0" t="n">
        <v>720193</v>
      </c>
      <c r="I317" s="0" t="s">
        <v>34</v>
      </c>
      <c r="J317" s="0" t="s">
        <v>174</v>
      </c>
      <c r="K317" s="0" t="s">
        <v>112</v>
      </c>
      <c r="L317" s="0" t="n">
        <v>226496107</v>
      </c>
      <c r="M317" s="0" t="s">
        <v>755</v>
      </c>
      <c r="N317" s="0" t="n">
        <v>103259520</v>
      </c>
      <c r="O317" s="0" t="n">
        <v>0</v>
      </c>
      <c r="P317" s="0" t="n">
        <v>0</v>
      </c>
      <c r="Q317" s="0" t="str">
        <f aca="false">IFERROR(VLOOKUP(B317,[2]'Cost Correction'!$D$2:$AJ$1627,33,0),"")</f>
        <v/>
      </c>
    </row>
    <row r="318" customFormat="false" ht="15" hidden="false" customHeight="false" outlineLevel="0" collapsed="false">
      <c r="A318" s="0" t="str">
        <f aca="false">E318&amp;L318&amp;Q318</f>
        <v>43352226496107</v>
      </c>
      <c r="B318" s="0" t="s">
        <v>854</v>
      </c>
      <c r="C318" s="0" t="s">
        <v>855</v>
      </c>
      <c r="D318" s="0" t="s">
        <v>28</v>
      </c>
      <c r="E318" s="44" t="n">
        <v>43352</v>
      </c>
      <c r="F318" s="0" t="s">
        <v>102</v>
      </c>
      <c r="G318" s="0" t="n">
        <v>21356941</v>
      </c>
      <c r="H318" s="0" t="n">
        <v>720193</v>
      </c>
      <c r="I318" s="0" t="s">
        <v>34</v>
      </c>
      <c r="J318" s="0" t="s">
        <v>174</v>
      </c>
      <c r="K318" s="0" t="s">
        <v>112</v>
      </c>
      <c r="L318" s="0" t="n">
        <v>226496107</v>
      </c>
      <c r="M318" s="0" t="s">
        <v>755</v>
      </c>
      <c r="N318" s="0" t="n">
        <v>103259520</v>
      </c>
      <c r="O318" s="0" t="n">
        <v>0</v>
      </c>
      <c r="P318" s="0" t="n">
        <v>0</v>
      </c>
      <c r="Q318" s="0" t="str">
        <f aca="false">IFERROR(VLOOKUP(B318,[2]'Cost Correction'!$D$2:$AJ$1627,33,0),"")</f>
        <v/>
      </c>
    </row>
    <row r="319" customFormat="false" ht="15" hidden="false" customHeight="false" outlineLevel="0" collapsed="false">
      <c r="A319" s="0" t="str">
        <f aca="false">E319&amp;L319&amp;Q319</f>
        <v>43358226496104</v>
      </c>
      <c r="B319" s="0" t="s">
        <v>856</v>
      </c>
      <c r="C319" s="0" t="s">
        <v>857</v>
      </c>
      <c r="D319" s="0" t="s">
        <v>28</v>
      </c>
      <c r="E319" s="44" t="n">
        <v>43358</v>
      </c>
      <c r="F319" s="0" t="s">
        <v>102</v>
      </c>
      <c r="G319" s="0" t="n">
        <v>21356941</v>
      </c>
      <c r="H319" s="0" t="n">
        <v>720193</v>
      </c>
      <c r="I319" s="0" t="s">
        <v>34</v>
      </c>
      <c r="J319" s="0" t="s">
        <v>174</v>
      </c>
      <c r="K319" s="0" t="s">
        <v>113</v>
      </c>
      <c r="L319" s="0" t="n">
        <v>226496104</v>
      </c>
      <c r="M319" s="0" t="s">
        <v>770</v>
      </c>
      <c r="N319" s="0" t="n">
        <v>103259769</v>
      </c>
      <c r="O319" s="0" t="n">
        <v>1</v>
      </c>
      <c r="P319" s="0" t="n">
        <v>0</v>
      </c>
      <c r="Q319" s="0" t="str">
        <f aca="false">IFERROR(VLOOKUP(B319,[2]'Cost Correction'!$D$2:$AJ$1627,33,0),"")</f>
        <v/>
      </c>
    </row>
    <row r="320" customFormat="false" ht="15" hidden="false" customHeight="false" outlineLevel="0" collapsed="false">
      <c r="A320" s="0" t="str">
        <f aca="false">E320&amp;L320&amp;Q320</f>
        <v>43357226496104</v>
      </c>
      <c r="B320" s="0" t="s">
        <v>858</v>
      </c>
      <c r="C320" s="0" t="s">
        <v>859</v>
      </c>
      <c r="D320" s="0" t="s">
        <v>28</v>
      </c>
      <c r="E320" s="44" t="n">
        <v>43357</v>
      </c>
      <c r="F320" s="0" t="s">
        <v>102</v>
      </c>
      <c r="G320" s="0" t="n">
        <v>21356941</v>
      </c>
      <c r="H320" s="0" t="n">
        <v>720193</v>
      </c>
      <c r="I320" s="0" t="s">
        <v>34</v>
      </c>
      <c r="J320" s="0" t="s">
        <v>174</v>
      </c>
      <c r="K320" s="0" t="s">
        <v>113</v>
      </c>
      <c r="L320" s="0" t="n">
        <v>226496104</v>
      </c>
      <c r="M320" s="0" t="s">
        <v>770</v>
      </c>
      <c r="N320" s="0" t="n">
        <v>103259769</v>
      </c>
      <c r="O320" s="0" t="n">
        <v>0</v>
      </c>
      <c r="P320" s="0" t="n">
        <v>0</v>
      </c>
      <c r="Q320" s="0" t="str">
        <f aca="false">IFERROR(VLOOKUP(B320,[2]'Cost Correction'!$D$2:$AJ$1627,33,0),"")</f>
        <v/>
      </c>
    </row>
    <row r="321" customFormat="false" ht="15" hidden="false" customHeight="false" outlineLevel="0" collapsed="false">
      <c r="A321" s="0" t="str">
        <f aca="false">E321&amp;L321&amp;Q321</f>
        <v>43356226496104</v>
      </c>
      <c r="B321" s="0" t="s">
        <v>860</v>
      </c>
      <c r="C321" s="0" t="s">
        <v>861</v>
      </c>
      <c r="D321" s="0" t="s">
        <v>28</v>
      </c>
      <c r="E321" s="44" t="n">
        <v>43356</v>
      </c>
      <c r="F321" s="0" t="s">
        <v>102</v>
      </c>
      <c r="G321" s="0" t="n">
        <v>21356941</v>
      </c>
      <c r="H321" s="0" t="n">
        <v>720193</v>
      </c>
      <c r="I321" s="0" t="s">
        <v>34</v>
      </c>
      <c r="J321" s="0" t="s">
        <v>174</v>
      </c>
      <c r="K321" s="0" t="s">
        <v>113</v>
      </c>
      <c r="L321" s="0" t="n">
        <v>226496104</v>
      </c>
      <c r="M321" s="0" t="s">
        <v>770</v>
      </c>
      <c r="N321" s="0" t="n">
        <v>103259769</v>
      </c>
      <c r="O321" s="0" t="n">
        <v>0</v>
      </c>
      <c r="P321" s="0" t="n">
        <v>0</v>
      </c>
      <c r="Q321" s="0" t="str">
        <f aca="false">IFERROR(VLOOKUP(B321,[2]'Cost Correction'!$D$2:$AJ$1627,33,0),"")</f>
        <v/>
      </c>
    </row>
    <row r="322" customFormat="false" ht="15" hidden="false" customHeight="false" outlineLevel="0" collapsed="false">
      <c r="A322" s="0" t="str">
        <f aca="false">E322&amp;L322&amp;Q322</f>
        <v>43355226496104</v>
      </c>
      <c r="B322" s="0" t="s">
        <v>862</v>
      </c>
      <c r="C322" s="0" t="s">
        <v>863</v>
      </c>
      <c r="D322" s="0" t="s">
        <v>28</v>
      </c>
      <c r="E322" s="44" t="n">
        <v>43355</v>
      </c>
      <c r="F322" s="0" t="s">
        <v>102</v>
      </c>
      <c r="G322" s="0" t="n">
        <v>21356941</v>
      </c>
      <c r="H322" s="0" t="n">
        <v>720193</v>
      </c>
      <c r="I322" s="0" t="s">
        <v>34</v>
      </c>
      <c r="J322" s="0" t="s">
        <v>174</v>
      </c>
      <c r="K322" s="0" t="s">
        <v>113</v>
      </c>
      <c r="L322" s="0" t="n">
        <v>226496104</v>
      </c>
      <c r="M322" s="0" t="s">
        <v>770</v>
      </c>
      <c r="N322" s="0" t="n">
        <v>103259769</v>
      </c>
      <c r="O322" s="0" t="n">
        <v>0</v>
      </c>
      <c r="P322" s="0" t="n">
        <v>0</v>
      </c>
      <c r="Q322" s="0" t="str">
        <f aca="false">IFERROR(VLOOKUP(B322,[2]'Cost Correction'!$D$2:$AJ$1627,33,0),"")</f>
        <v/>
      </c>
    </row>
    <row r="323" customFormat="false" ht="15" hidden="false" customHeight="false" outlineLevel="0" collapsed="false">
      <c r="A323" s="0" t="str">
        <f aca="false">E323&amp;L323&amp;Q323</f>
        <v>43354226496104</v>
      </c>
      <c r="B323" s="0" t="s">
        <v>864</v>
      </c>
      <c r="C323" s="0" t="s">
        <v>865</v>
      </c>
      <c r="D323" s="0" t="s">
        <v>28</v>
      </c>
      <c r="E323" s="44" t="n">
        <v>43354</v>
      </c>
      <c r="F323" s="0" t="s">
        <v>102</v>
      </c>
      <c r="G323" s="0" t="n">
        <v>21356941</v>
      </c>
      <c r="H323" s="0" t="n">
        <v>720193</v>
      </c>
      <c r="I323" s="0" t="s">
        <v>34</v>
      </c>
      <c r="J323" s="0" t="s">
        <v>174</v>
      </c>
      <c r="K323" s="0" t="s">
        <v>113</v>
      </c>
      <c r="L323" s="0" t="n">
        <v>226496104</v>
      </c>
      <c r="M323" s="0" t="s">
        <v>770</v>
      </c>
      <c r="N323" s="0" t="n">
        <v>103259769</v>
      </c>
      <c r="O323" s="0" t="n">
        <v>0</v>
      </c>
      <c r="P323" s="0" t="n">
        <v>0</v>
      </c>
      <c r="Q323" s="0" t="str">
        <f aca="false">IFERROR(VLOOKUP(B323,[2]'Cost Correction'!$D$2:$AJ$1627,33,0),"")</f>
        <v/>
      </c>
    </row>
    <row r="324" customFormat="false" ht="15" hidden="false" customHeight="false" outlineLevel="0" collapsed="false">
      <c r="A324" s="0" t="str">
        <f aca="false">E324&amp;L324&amp;Q324</f>
        <v>43353226496104</v>
      </c>
      <c r="B324" s="0" t="s">
        <v>866</v>
      </c>
      <c r="C324" s="0" t="s">
        <v>867</v>
      </c>
      <c r="D324" s="0" t="s">
        <v>28</v>
      </c>
      <c r="E324" s="44" t="n">
        <v>43353</v>
      </c>
      <c r="F324" s="0" t="s">
        <v>102</v>
      </c>
      <c r="G324" s="0" t="n">
        <v>21356941</v>
      </c>
      <c r="H324" s="0" t="n">
        <v>720193</v>
      </c>
      <c r="I324" s="0" t="s">
        <v>34</v>
      </c>
      <c r="J324" s="0" t="s">
        <v>174</v>
      </c>
      <c r="K324" s="0" t="s">
        <v>113</v>
      </c>
      <c r="L324" s="0" t="n">
        <v>226496104</v>
      </c>
      <c r="M324" s="0" t="s">
        <v>770</v>
      </c>
      <c r="N324" s="0" t="n">
        <v>103259769</v>
      </c>
      <c r="O324" s="0" t="n">
        <v>0</v>
      </c>
      <c r="P324" s="0" t="n">
        <v>0</v>
      </c>
      <c r="Q324" s="0" t="str">
        <f aca="false">IFERROR(VLOOKUP(B324,[2]'Cost Correction'!$D$2:$AJ$1627,33,0),"")</f>
        <v/>
      </c>
    </row>
    <row r="325" customFormat="false" ht="15" hidden="false" customHeight="false" outlineLevel="0" collapsed="false">
      <c r="A325" s="0" t="str">
        <f aca="false">E325&amp;L325&amp;Q325</f>
        <v>43352226496104</v>
      </c>
      <c r="B325" s="0" t="s">
        <v>868</v>
      </c>
      <c r="C325" s="0" t="s">
        <v>869</v>
      </c>
      <c r="D325" s="0" t="s">
        <v>28</v>
      </c>
      <c r="E325" s="44" t="n">
        <v>43352</v>
      </c>
      <c r="F325" s="0" t="s">
        <v>102</v>
      </c>
      <c r="G325" s="0" t="n">
        <v>21356941</v>
      </c>
      <c r="H325" s="0" t="n">
        <v>720193</v>
      </c>
      <c r="I325" s="0" t="s">
        <v>34</v>
      </c>
      <c r="J325" s="0" t="s">
        <v>174</v>
      </c>
      <c r="K325" s="0" t="s">
        <v>113</v>
      </c>
      <c r="L325" s="0" t="n">
        <v>226496104</v>
      </c>
      <c r="M325" s="0" t="s">
        <v>770</v>
      </c>
      <c r="N325" s="0" t="n">
        <v>103259769</v>
      </c>
      <c r="O325" s="0" t="n">
        <v>0</v>
      </c>
      <c r="P325" s="0" t="n">
        <v>0</v>
      </c>
      <c r="Q325" s="0" t="str">
        <f aca="false">IFERROR(VLOOKUP(B325,[2]'Cost Correction'!$D$2:$AJ$1627,33,0),"")</f>
        <v/>
      </c>
    </row>
    <row r="326" customFormat="false" ht="15" hidden="false" customHeight="false" outlineLevel="0" collapsed="false">
      <c r="A326" s="0" t="str">
        <f aca="false">E326&amp;L326&amp;Q326</f>
        <v>43358226496101</v>
      </c>
      <c r="B326" s="0" t="s">
        <v>870</v>
      </c>
      <c r="C326" s="0" t="s">
        <v>871</v>
      </c>
      <c r="D326" s="0" t="s">
        <v>28</v>
      </c>
      <c r="E326" s="44" t="n">
        <v>43358</v>
      </c>
      <c r="F326" s="0" t="s">
        <v>102</v>
      </c>
      <c r="G326" s="0" t="n">
        <v>21356941</v>
      </c>
      <c r="H326" s="0" t="n">
        <v>720193</v>
      </c>
      <c r="I326" s="0" t="s">
        <v>34</v>
      </c>
      <c r="J326" s="0" t="s">
        <v>174</v>
      </c>
      <c r="K326" s="0" t="s">
        <v>114</v>
      </c>
      <c r="L326" s="0" t="n">
        <v>226496101</v>
      </c>
      <c r="M326" s="0" t="s">
        <v>785</v>
      </c>
      <c r="N326" s="0" t="n">
        <v>103257810</v>
      </c>
      <c r="O326" s="0" t="n">
        <v>1</v>
      </c>
      <c r="P326" s="0" t="n">
        <v>0</v>
      </c>
      <c r="Q326" s="0" t="str">
        <f aca="false">IFERROR(VLOOKUP(B326,[2]'Cost Correction'!$D$2:$AJ$1627,33,0),"")</f>
        <v/>
      </c>
    </row>
    <row r="327" customFormat="false" ht="15" hidden="false" customHeight="false" outlineLevel="0" collapsed="false">
      <c r="A327" s="0" t="str">
        <f aca="false">E327&amp;L327&amp;Q327</f>
        <v>43357226496101</v>
      </c>
      <c r="B327" s="0" t="s">
        <v>872</v>
      </c>
      <c r="C327" s="0" t="s">
        <v>873</v>
      </c>
      <c r="D327" s="0" t="s">
        <v>28</v>
      </c>
      <c r="E327" s="44" t="n">
        <v>43357</v>
      </c>
      <c r="F327" s="0" t="s">
        <v>102</v>
      </c>
      <c r="G327" s="0" t="n">
        <v>21356941</v>
      </c>
      <c r="H327" s="0" t="n">
        <v>720193</v>
      </c>
      <c r="I327" s="0" t="s">
        <v>34</v>
      </c>
      <c r="J327" s="0" t="s">
        <v>174</v>
      </c>
      <c r="K327" s="0" t="s">
        <v>114</v>
      </c>
      <c r="L327" s="0" t="n">
        <v>226496101</v>
      </c>
      <c r="M327" s="0" t="s">
        <v>785</v>
      </c>
      <c r="N327" s="0" t="n">
        <v>103257810</v>
      </c>
      <c r="O327" s="0" t="n">
        <v>0</v>
      </c>
      <c r="P327" s="0" t="n">
        <v>0</v>
      </c>
      <c r="Q327" s="0" t="str">
        <f aca="false">IFERROR(VLOOKUP(B327,[2]'Cost Correction'!$D$2:$AJ$1627,33,0),"")</f>
        <v/>
      </c>
    </row>
    <row r="328" customFormat="false" ht="15" hidden="false" customHeight="false" outlineLevel="0" collapsed="false">
      <c r="A328" s="0" t="str">
        <f aca="false">E328&amp;L328&amp;Q328</f>
        <v>43356226496101</v>
      </c>
      <c r="B328" s="0" t="s">
        <v>874</v>
      </c>
      <c r="C328" s="0" t="s">
        <v>875</v>
      </c>
      <c r="D328" s="0" t="s">
        <v>28</v>
      </c>
      <c r="E328" s="44" t="n">
        <v>43356</v>
      </c>
      <c r="F328" s="0" t="s">
        <v>102</v>
      </c>
      <c r="G328" s="0" t="n">
        <v>21356941</v>
      </c>
      <c r="H328" s="0" t="n">
        <v>720193</v>
      </c>
      <c r="I328" s="0" t="s">
        <v>34</v>
      </c>
      <c r="J328" s="0" t="s">
        <v>174</v>
      </c>
      <c r="K328" s="0" t="s">
        <v>114</v>
      </c>
      <c r="L328" s="0" t="n">
        <v>226496101</v>
      </c>
      <c r="M328" s="0" t="s">
        <v>785</v>
      </c>
      <c r="N328" s="0" t="n">
        <v>103257810</v>
      </c>
      <c r="O328" s="0" t="n">
        <v>0</v>
      </c>
      <c r="P328" s="0" t="n">
        <v>0</v>
      </c>
      <c r="Q328" s="0" t="str">
        <f aca="false">IFERROR(VLOOKUP(B328,[2]'Cost Correction'!$D$2:$AJ$1627,33,0),"")</f>
        <v/>
      </c>
    </row>
    <row r="329" customFormat="false" ht="15" hidden="false" customHeight="false" outlineLevel="0" collapsed="false">
      <c r="A329" s="0" t="str">
        <f aca="false">E329&amp;L329&amp;Q329</f>
        <v>43355226496101</v>
      </c>
      <c r="B329" s="0" t="s">
        <v>876</v>
      </c>
      <c r="C329" s="0" t="s">
        <v>877</v>
      </c>
      <c r="D329" s="0" t="s">
        <v>28</v>
      </c>
      <c r="E329" s="44" t="n">
        <v>43355</v>
      </c>
      <c r="F329" s="0" t="s">
        <v>102</v>
      </c>
      <c r="G329" s="0" t="n">
        <v>21356941</v>
      </c>
      <c r="H329" s="0" t="n">
        <v>720193</v>
      </c>
      <c r="I329" s="0" t="s">
        <v>34</v>
      </c>
      <c r="J329" s="0" t="s">
        <v>174</v>
      </c>
      <c r="K329" s="0" t="s">
        <v>114</v>
      </c>
      <c r="L329" s="0" t="n">
        <v>226496101</v>
      </c>
      <c r="M329" s="0" t="s">
        <v>785</v>
      </c>
      <c r="N329" s="0" t="n">
        <v>103257810</v>
      </c>
      <c r="O329" s="0" t="n">
        <v>1</v>
      </c>
      <c r="P329" s="0" t="n">
        <v>0</v>
      </c>
      <c r="Q329" s="0" t="str">
        <f aca="false">IFERROR(VLOOKUP(B329,[2]'Cost Correction'!$D$2:$AJ$1627,33,0),"")</f>
        <v/>
      </c>
    </row>
    <row r="330" customFormat="false" ht="15" hidden="false" customHeight="false" outlineLevel="0" collapsed="false">
      <c r="A330" s="0" t="str">
        <f aca="false">E330&amp;L330&amp;Q330</f>
        <v>43354226496101</v>
      </c>
      <c r="B330" s="0" t="s">
        <v>878</v>
      </c>
      <c r="C330" s="0" t="s">
        <v>879</v>
      </c>
      <c r="D330" s="0" t="s">
        <v>28</v>
      </c>
      <c r="E330" s="44" t="n">
        <v>43354</v>
      </c>
      <c r="F330" s="0" t="s">
        <v>102</v>
      </c>
      <c r="G330" s="0" t="n">
        <v>21356941</v>
      </c>
      <c r="H330" s="0" t="n">
        <v>720193</v>
      </c>
      <c r="I330" s="0" t="s">
        <v>34</v>
      </c>
      <c r="J330" s="0" t="s">
        <v>174</v>
      </c>
      <c r="K330" s="0" t="s">
        <v>114</v>
      </c>
      <c r="L330" s="0" t="n">
        <v>226496101</v>
      </c>
      <c r="M330" s="0" t="s">
        <v>785</v>
      </c>
      <c r="N330" s="0" t="n">
        <v>103257810</v>
      </c>
      <c r="O330" s="0" t="n">
        <v>1</v>
      </c>
      <c r="P330" s="0" t="n">
        <v>0.01</v>
      </c>
      <c r="Q330" s="0" t="str">
        <f aca="false">IFERROR(VLOOKUP(B330,[2]'Cost Correction'!$D$2:$AJ$1627,33,0),"")</f>
        <v/>
      </c>
    </row>
    <row r="331" customFormat="false" ht="15" hidden="false" customHeight="false" outlineLevel="0" collapsed="false">
      <c r="A331" s="0" t="str">
        <f aca="false">E331&amp;L331&amp;Q331</f>
        <v>43353226496101</v>
      </c>
      <c r="B331" s="0" t="s">
        <v>880</v>
      </c>
      <c r="C331" s="0" t="s">
        <v>881</v>
      </c>
      <c r="D331" s="0" t="s">
        <v>28</v>
      </c>
      <c r="E331" s="44" t="n">
        <v>43353</v>
      </c>
      <c r="F331" s="0" t="s">
        <v>102</v>
      </c>
      <c r="G331" s="0" t="n">
        <v>21356941</v>
      </c>
      <c r="H331" s="0" t="n">
        <v>720193</v>
      </c>
      <c r="I331" s="0" t="s">
        <v>34</v>
      </c>
      <c r="J331" s="0" t="s">
        <v>174</v>
      </c>
      <c r="K331" s="0" t="s">
        <v>114</v>
      </c>
      <c r="L331" s="0" t="n">
        <v>226496101</v>
      </c>
      <c r="M331" s="0" t="s">
        <v>785</v>
      </c>
      <c r="N331" s="0" t="n">
        <v>103257810</v>
      </c>
      <c r="O331" s="0" t="n">
        <v>0</v>
      </c>
      <c r="P331" s="0" t="n">
        <v>0</v>
      </c>
      <c r="Q331" s="0" t="str">
        <f aca="false">IFERROR(VLOOKUP(B331,[2]'Cost Correction'!$D$2:$AJ$1627,33,0),"")</f>
        <v/>
      </c>
    </row>
    <row r="332" customFormat="false" ht="15" hidden="false" customHeight="false" outlineLevel="0" collapsed="false">
      <c r="A332" s="0" t="str">
        <f aca="false">E332&amp;L332&amp;Q332</f>
        <v>43352226496101</v>
      </c>
      <c r="B332" s="0" t="s">
        <v>882</v>
      </c>
      <c r="C332" s="0" t="s">
        <v>883</v>
      </c>
      <c r="D332" s="0" t="s">
        <v>28</v>
      </c>
      <c r="E332" s="44" t="n">
        <v>43352</v>
      </c>
      <c r="F332" s="0" t="s">
        <v>102</v>
      </c>
      <c r="G332" s="0" t="n">
        <v>21356941</v>
      </c>
      <c r="H332" s="0" t="n">
        <v>720193</v>
      </c>
      <c r="I332" s="0" t="s">
        <v>34</v>
      </c>
      <c r="J332" s="0" t="s">
        <v>174</v>
      </c>
      <c r="K332" s="0" t="s">
        <v>114</v>
      </c>
      <c r="L332" s="0" t="n">
        <v>226496101</v>
      </c>
      <c r="M332" s="0" t="s">
        <v>785</v>
      </c>
      <c r="N332" s="0" t="n">
        <v>103257810</v>
      </c>
      <c r="O332" s="0" t="n">
        <v>3</v>
      </c>
      <c r="P332" s="0" t="n">
        <v>0</v>
      </c>
      <c r="Q332" s="0" t="str">
        <f aca="false">IFERROR(VLOOKUP(B332,[2]'Cost Correction'!$D$2:$AJ$1627,33,0),"")</f>
        <v/>
      </c>
    </row>
    <row r="333" customFormat="false" ht="15" hidden="false" customHeight="false" outlineLevel="0" collapsed="false">
      <c r="A333" s="0" t="str">
        <f aca="false">E333&amp;L333&amp;Q333</f>
        <v>43358226496098</v>
      </c>
      <c r="B333" s="0" t="s">
        <v>884</v>
      </c>
      <c r="C333" s="0" t="s">
        <v>885</v>
      </c>
      <c r="D333" s="0" t="s">
        <v>28</v>
      </c>
      <c r="E333" s="44" t="n">
        <v>43358</v>
      </c>
      <c r="F333" s="0" t="s">
        <v>102</v>
      </c>
      <c r="G333" s="0" t="n">
        <v>21356941</v>
      </c>
      <c r="H333" s="0" t="n">
        <v>720193</v>
      </c>
      <c r="I333" s="0" t="s">
        <v>34</v>
      </c>
      <c r="J333" s="0" t="s">
        <v>174</v>
      </c>
      <c r="K333" s="0" t="s">
        <v>115</v>
      </c>
      <c r="L333" s="0" t="n">
        <v>226496098</v>
      </c>
      <c r="M333" s="0" t="s">
        <v>886</v>
      </c>
      <c r="N333" s="0" t="n">
        <v>104458165</v>
      </c>
      <c r="O333" s="0" t="n">
        <v>0</v>
      </c>
      <c r="P333" s="0" t="n">
        <v>0</v>
      </c>
      <c r="Q333" s="0" t="str">
        <f aca="false">IFERROR(VLOOKUP(B333,[2]'Cost Correction'!$D$2:$AJ$1627,33,0),"")</f>
        <v/>
      </c>
    </row>
    <row r="334" customFormat="false" ht="15" hidden="false" customHeight="false" outlineLevel="0" collapsed="false">
      <c r="A334" s="0" t="str">
        <f aca="false">E334&amp;L334&amp;Q334</f>
        <v>43357226496098</v>
      </c>
      <c r="B334" s="0" t="s">
        <v>887</v>
      </c>
      <c r="C334" s="0" t="s">
        <v>888</v>
      </c>
      <c r="D334" s="0" t="s">
        <v>28</v>
      </c>
      <c r="E334" s="44" t="n">
        <v>43357</v>
      </c>
      <c r="F334" s="0" t="s">
        <v>102</v>
      </c>
      <c r="G334" s="0" t="n">
        <v>21356941</v>
      </c>
      <c r="H334" s="0" t="n">
        <v>720193</v>
      </c>
      <c r="I334" s="0" t="s">
        <v>34</v>
      </c>
      <c r="J334" s="0" t="s">
        <v>174</v>
      </c>
      <c r="K334" s="0" t="s">
        <v>115</v>
      </c>
      <c r="L334" s="0" t="n">
        <v>226496098</v>
      </c>
      <c r="M334" s="0" t="s">
        <v>886</v>
      </c>
      <c r="N334" s="0" t="n">
        <v>104458165</v>
      </c>
      <c r="O334" s="0" t="n">
        <v>0</v>
      </c>
      <c r="P334" s="0" t="n">
        <v>0</v>
      </c>
      <c r="Q334" s="0" t="str">
        <f aca="false">IFERROR(VLOOKUP(B334,[2]'Cost Correction'!$D$2:$AJ$1627,33,0),"")</f>
        <v/>
      </c>
    </row>
    <row r="335" customFormat="false" ht="15" hidden="false" customHeight="false" outlineLevel="0" collapsed="false">
      <c r="A335" s="0" t="str">
        <f aca="false">E335&amp;L335&amp;Q335</f>
        <v>43356226496098</v>
      </c>
      <c r="B335" s="0" t="s">
        <v>889</v>
      </c>
      <c r="C335" s="0" t="s">
        <v>890</v>
      </c>
      <c r="D335" s="0" t="s">
        <v>28</v>
      </c>
      <c r="E335" s="44" t="n">
        <v>43356</v>
      </c>
      <c r="F335" s="0" t="s">
        <v>102</v>
      </c>
      <c r="G335" s="0" t="n">
        <v>21356941</v>
      </c>
      <c r="H335" s="0" t="n">
        <v>720193</v>
      </c>
      <c r="I335" s="0" t="s">
        <v>34</v>
      </c>
      <c r="J335" s="0" t="s">
        <v>174</v>
      </c>
      <c r="K335" s="0" t="s">
        <v>115</v>
      </c>
      <c r="L335" s="0" t="n">
        <v>226496098</v>
      </c>
      <c r="M335" s="0" t="s">
        <v>886</v>
      </c>
      <c r="N335" s="0" t="n">
        <v>104458165</v>
      </c>
      <c r="O335" s="0" t="n">
        <v>0</v>
      </c>
      <c r="P335" s="0" t="n">
        <v>0</v>
      </c>
      <c r="Q335" s="0" t="str">
        <f aca="false">IFERROR(VLOOKUP(B335,[2]'Cost Correction'!$D$2:$AJ$1627,33,0),"")</f>
        <v/>
      </c>
    </row>
    <row r="336" customFormat="false" ht="15" hidden="false" customHeight="false" outlineLevel="0" collapsed="false">
      <c r="A336" s="0" t="str">
        <f aca="false">E336&amp;L336&amp;Q336</f>
        <v>43355226496098</v>
      </c>
      <c r="B336" s="0" t="s">
        <v>891</v>
      </c>
      <c r="C336" s="0" t="s">
        <v>892</v>
      </c>
      <c r="D336" s="0" t="s">
        <v>28</v>
      </c>
      <c r="E336" s="44" t="n">
        <v>43355</v>
      </c>
      <c r="F336" s="0" t="s">
        <v>102</v>
      </c>
      <c r="G336" s="0" t="n">
        <v>21356941</v>
      </c>
      <c r="H336" s="0" t="n">
        <v>720193</v>
      </c>
      <c r="I336" s="0" t="s">
        <v>34</v>
      </c>
      <c r="J336" s="0" t="s">
        <v>174</v>
      </c>
      <c r="K336" s="0" t="s">
        <v>115</v>
      </c>
      <c r="L336" s="0" t="n">
        <v>226496098</v>
      </c>
      <c r="M336" s="0" t="s">
        <v>886</v>
      </c>
      <c r="N336" s="0" t="n">
        <v>104458165</v>
      </c>
      <c r="O336" s="0" t="n">
        <v>0</v>
      </c>
      <c r="P336" s="0" t="n">
        <v>0</v>
      </c>
      <c r="Q336" s="0" t="str">
        <f aca="false">IFERROR(VLOOKUP(B336,[2]'Cost Correction'!$D$2:$AJ$1627,33,0),"")</f>
        <v/>
      </c>
    </row>
    <row r="337" customFormat="false" ht="15" hidden="false" customHeight="false" outlineLevel="0" collapsed="false">
      <c r="A337" s="0" t="str">
        <f aca="false">E337&amp;L337&amp;Q337</f>
        <v>43354226496098</v>
      </c>
      <c r="B337" s="0" t="s">
        <v>893</v>
      </c>
      <c r="C337" s="0" t="s">
        <v>894</v>
      </c>
      <c r="D337" s="0" t="s">
        <v>28</v>
      </c>
      <c r="E337" s="44" t="n">
        <v>43354</v>
      </c>
      <c r="F337" s="0" t="s">
        <v>102</v>
      </c>
      <c r="G337" s="0" t="n">
        <v>21356941</v>
      </c>
      <c r="H337" s="0" t="n">
        <v>720193</v>
      </c>
      <c r="I337" s="0" t="s">
        <v>34</v>
      </c>
      <c r="J337" s="0" t="s">
        <v>174</v>
      </c>
      <c r="K337" s="0" t="s">
        <v>115</v>
      </c>
      <c r="L337" s="0" t="n">
        <v>226496098</v>
      </c>
      <c r="M337" s="0" t="s">
        <v>886</v>
      </c>
      <c r="N337" s="0" t="n">
        <v>104458165</v>
      </c>
      <c r="O337" s="0" t="n">
        <v>0</v>
      </c>
      <c r="P337" s="0" t="n">
        <v>0</v>
      </c>
      <c r="Q337" s="0" t="str">
        <f aca="false">IFERROR(VLOOKUP(B337,[2]'Cost Correction'!$D$2:$AJ$1627,33,0),"")</f>
        <v/>
      </c>
    </row>
    <row r="338" customFormat="false" ht="15" hidden="false" customHeight="false" outlineLevel="0" collapsed="false">
      <c r="A338" s="0" t="str">
        <f aca="false">E338&amp;L338&amp;Q338</f>
        <v>43353226496098</v>
      </c>
      <c r="B338" s="0" t="s">
        <v>895</v>
      </c>
      <c r="C338" s="0" t="s">
        <v>896</v>
      </c>
      <c r="D338" s="0" t="s">
        <v>28</v>
      </c>
      <c r="E338" s="44" t="n">
        <v>43353</v>
      </c>
      <c r="F338" s="0" t="s">
        <v>102</v>
      </c>
      <c r="G338" s="0" t="n">
        <v>21356941</v>
      </c>
      <c r="H338" s="0" t="n">
        <v>720193</v>
      </c>
      <c r="I338" s="0" t="s">
        <v>34</v>
      </c>
      <c r="J338" s="0" t="s">
        <v>174</v>
      </c>
      <c r="K338" s="0" t="s">
        <v>115</v>
      </c>
      <c r="L338" s="0" t="n">
        <v>226496098</v>
      </c>
      <c r="M338" s="0" t="s">
        <v>886</v>
      </c>
      <c r="N338" s="0" t="n">
        <v>104458165</v>
      </c>
      <c r="O338" s="0" t="n">
        <v>0</v>
      </c>
      <c r="P338" s="0" t="n">
        <v>0</v>
      </c>
      <c r="Q338" s="0" t="str">
        <f aca="false">IFERROR(VLOOKUP(B338,[2]'Cost Correction'!$D$2:$AJ$1627,33,0),"")</f>
        <v/>
      </c>
    </row>
    <row r="339" customFormat="false" ht="15" hidden="false" customHeight="false" outlineLevel="0" collapsed="false">
      <c r="A339" s="0" t="str">
        <f aca="false">E339&amp;L339&amp;Q339</f>
        <v>43352226496098</v>
      </c>
      <c r="B339" s="0" t="s">
        <v>897</v>
      </c>
      <c r="C339" s="0" t="s">
        <v>898</v>
      </c>
      <c r="D339" s="0" t="s">
        <v>28</v>
      </c>
      <c r="E339" s="44" t="n">
        <v>43352</v>
      </c>
      <c r="F339" s="0" t="s">
        <v>102</v>
      </c>
      <c r="G339" s="0" t="n">
        <v>21356941</v>
      </c>
      <c r="H339" s="0" t="n">
        <v>720193</v>
      </c>
      <c r="I339" s="0" t="s">
        <v>34</v>
      </c>
      <c r="J339" s="0" t="s">
        <v>174</v>
      </c>
      <c r="K339" s="0" t="s">
        <v>115</v>
      </c>
      <c r="L339" s="0" t="n">
        <v>226496098</v>
      </c>
      <c r="M339" s="0" t="s">
        <v>886</v>
      </c>
      <c r="N339" s="0" t="n">
        <v>104458165</v>
      </c>
      <c r="O339" s="0" t="n">
        <v>0</v>
      </c>
      <c r="P339" s="0" t="n">
        <v>0</v>
      </c>
      <c r="Q339" s="0" t="str">
        <f aca="false">IFERROR(VLOOKUP(B339,[2]'Cost Correction'!$D$2:$AJ$1627,33,0),"")</f>
        <v/>
      </c>
    </row>
    <row r="340" customFormat="false" ht="15" hidden="false" customHeight="false" outlineLevel="0" collapsed="false">
      <c r="A340" s="0" t="str">
        <f aca="false">E340&amp;L340&amp;Q340</f>
        <v>43358226496095</v>
      </c>
      <c r="B340" s="0" t="s">
        <v>899</v>
      </c>
      <c r="C340" s="0" t="s">
        <v>900</v>
      </c>
      <c r="D340" s="0" t="s">
        <v>28</v>
      </c>
      <c r="E340" s="44" t="n">
        <v>43358</v>
      </c>
      <c r="F340" s="0" t="s">
        <v>102</v>
      </c>
      <c r="G340" s="0" t="n">
        <v>21356941</v>
      </c>
      <c r="H340" s="0" t="n">
        <v>720193</v>
      </c>
      <c r="I340" s="0" t="s">
        <v>34</v>
      </c>
      <c r="J340" s="0" t="s">
        <v>174</v>
      </c>
      <c r="K340" s="0" t="s">
        <v>116</v>
      </c>
      <c r="L340" s="0" t="n">
        <v>226496095</v>
      </c>
      <c r="M340" s="0" t="s">
        <v>815</v>
      </c>
      <c r="N340" s="0" t="n">
        <v>103376990</v>
      </c>
      <c r="O340" s="0" t="n">
        <v>0</v>
      </c>
      <c r="P340" s="0" t="n">
        <v>0</v>
      </c>
      <c r="Q340" s="0" t="str">
        <f aca="false">IFERROR(VLOOKUP(B340,[2]'Cost Correction'!$D$2:$AJ$1627,33,0),"")</f>
        <v/>
      </c>
    </row>
    <row r="341" customFormat="false" ht="15" hidden="false" customHeight="false" outlineLevel="0" collapsed="false">
      <c r="A341" s="0" t="str">
        <f aca="false">E341&amp;L341&amp;Q341</f>
        <v>43357226496095</v>
      </c>
      <c r="B341" s="0" t="s">
        <v>901</v>
      </c>
      <c r="C341" s="0" t="s">
        <v>902</v>
      </c>
      <c r="D341" s="0" t="s">
        <v>28</v>
      </c>
      <c r="E341" s="44" t="n">
        <v>43357</v>
      </c>
      <c r="F341" s="0" t="s">
        <v>102</v>
      </c>
      <c r="G341" s="0" t="n">
        <v>21356941</v>
      </c>
      <c r="H341" s="0" t="n">
        <v>720193</v>
      </c>
      <c r="I341" s="0" t="s">
        <v>34</v>
      </c>
      <c r="J341" s="0" t="s">
        <v>174</v>
      </c>
      <c r="K341" s="0" t="s">
        <v>116</v>
      </c>
      <c r="L341" s="0" t="n">
        <v>226496095</v>
      </c>
      <c r="M341" s="0" t="s">
        <v>815</v>
      </c>
      <c r="N341" s="0" t="n">
        <v>103376990</v>
      </c>
      <c r="O341" s="0" t="n">
        <v>1</v>
      </c>
      <c r="P341" s="0" t="n">
        <v>0.01</v>
      </c>
      <c r="Q341" s="0" t="str">
        <f aca="false">IFERROR(VLOOKUP(B341,[2]'Cost Correction'!$D$2:$AJ$1627,33,0),"")</f>
        <v/>
      </c>
    </row>
    <row r="342" customFormat="false" ht="15" hidden="false" customHeight="false" outlineLevel="0" collapsed="false">
      <c r="A342" s="0" t="str">
        <f aca="false">E342&amp;L342&amp;Q342</f>
        <v>43356226496095</v>
      </c>
      <c r="B342" s="0" t="s">
        <v>903</v>
      </c>
      <c r="C342" s="0" t="s">
        <v>904</v>
      </c>
      <c r="D342" s="0" t="s">
        <v>28</v>
      </c>
      <c r="E342" s="44" t="n">
        <v>43356</v>
      </c>
      <c r="F342" s="0" t="s">
        <v>102</v>
      </c>
      <c r="G342" s="0" t="n">
        <v>21356941</v>
      </c>
      <c r="H342" s="0" t="n">
        <v>720193</v>
      </c>
      <c r="I342" s="0" t="s">
        <v>34</v>
      </c>
      <c r="J342" s="0" t="s">
        <v>174</v>
      </c>
      <c r="K342" s="0" t="s">
        <v>116</v>
      </c>
      <c r="L342" s="0" t="n">
        <v>226496095</v>
      </c>
      <c r="M342" s="0" t="s">
        <v>815</v>
      </c>
      <c r="N342" s="0" t="n">
        <v>103376990</v>
      </c>
      <c r="O342" s="0" t="n">
        <v>1</v>
      </c>
      <c r="P342" s="0" t="n">
        <v>0.01</v>
      </c>
      <c r="Q342" s="0" t="str">
        <f aca="false">IFERROR(VLOOKUP(B342,[2]'Cost Correction'!$D$2:$AJ$1627,33,0),"")</f>
        <v/>
      </c>
    </row>
    <row r="343" customFormat="false" ht="15" hidden="false" customHeight="false" outlineLevel="0" collapsed="false">
      <c r="A343" s="0" t="str">
        <f aca="false">E343&amp;L343&amp;Q343</f>
        <v>43355226496095</v>
      </c>
      <c r="B343" s="0" t="s">
        <v>905</v>
      </c>
      <c r="C343" s="0" t="s">
        <v>906</v>
      </c>
      <c r="D343" s="0" t="s">
        <v>28</v>
      </c>
      <c r="E343" s="44" t="n">
        <v>43355</v>
      </c>
      <c r="F343" s="0" t="s">
        <v>102</v>
      </c>
      <c r="G343" s="0" t="n">
        <v>21356941</v>
      </c>
      <c r="H343" s="0" t="n">
        <v>720193</v>
      </c>
      <c r="I343" s="0" t="s">
        <v>34</v>
      </c>
      <c r="J343" s="0" t="s">
        <v>174</v>
      </c>
      <c r="K343" s="0" t="s">
        <v>116</v>
      </c>
      <c r="L343" s="0" t="n">
        <v>226496095</v>
      </c>
      <c r="M343" s="0" t="s">
        <v>815</v>
      </c>
      <c r="N343" s="0" t="n">
        <v>103376990</v>
      </c>
      <c r="O343" s="0" t="n">
        <v>0</v>
      </c>
      <c r="P343" s="0" t="n">
        <v>0</v>
      </c>
      <c r="Q343" s="0" t="str">
        <f aca="false">IFERROR(VLOOKUP(B343,[2]'Cost Correction'!$D$2:$AJ$1627,33,0),"")</f>
        <v/>
      </c>
    </row>
    <row r="344" customFormat="false" ht="15" hidden="false" customHeight="false" outlineLevel="0" collapsed="false">
      <c r="A344" s="0" t="str">
        <f aca="false">E344&amp;L344&amp;Q344</f>
        <v>43354226496095</v>
      </c>
      <c r="B344" s="0" t="s">
        <v>907</v>
      </c>
      <c r="C344" s="0" t="s">
        <v>908</v>
      </c>
      <c r="D344" s="0" t="s">
        <v>28</v>
      </c>
      <c r="E344" s="44" t="n">
        <v>43354</v>
      </c>
      <c r="F344" s="0" t="s">
        <v>102</v>
      </c>
      <c r="G344" s="0" t="n">
        <v>21356941</v>
      </c>
      <c r="H344" s="0" t="n">
        <v>720193</v>
      </c>
      <c r="I344" s="0" t="s">
        <v>34</v>
      </c>
      <c r="J344" s="0" t="s">
        <v>174</v>
      </c>
      <c r="K344" s="0" t="s">
        <v>116</v>
      </c>
      <c r="L344" s="0" t="n">
        <v>226496095</v>
      </c>
      <c r="M344" s="0" t="s">
        <v>815</v>
      </c>
      <c r="N344" s="0" t="n">
        <v>103376990</v>
      </c>
      <c r="O344" s="0" t="n">
        <v>1</v>
      </c>
      <c r="P344" s="0" t="n">
        <v>0</v>
      </c>
      <c r="Q344" s="0" t="str">
        <f aca="false">IFERROR(VLOOKUP(B344,[2]'Cost Correction'!$D$2:$AJ$1627,33,0),"")</f>
        <v/>
      </c>
    </row>
    <row r="345" customFormat="false" ht="15" hidden="false" customHeight="false" outlineLevel="0" collapsed="false">
      <c r="A345" s="0" t="str">
        <f aca="false">E345&amp;L345&amp;Q345</f>
        <v>43353226496095</v>
      </c>
      <c r="B345" s="0" t="s">
        <v>909</v>
      </c>
      <c r="C345" s="0" t="s">
        <v>910</v>
      </c>
      <c r="D345" s="0" t="s">
        <v>28</v>
      </c>
      <c r="E345" s="44" t="n">
        <v>43353</v>
      </c>
      <c r="F345" s="0" t="s">
        <v>102</v>
      </c>
      <c r="G345" s="0" t="n">
        <v>21356941</v>
      </c>
      <c r="H345" s="0" t="n">
        <v>720193</v>
      </c>
      <c r="I345" s="0" t="s">
        <v>34</v>
      </c>
      <c r="J345" s="0" t="s">
        <v>174</v>
      </c>
      <c r="K345" s="0" t="s">
        <v>116</v>
      </c>
      <c r="L345" s="0" t="n">
        <v>226496095</v>
      </c>
      <c r="M345" s="0" t="s">
        <v>815</v>
      </c>
      <c r="N345" s="0" t="n">
        <v>103376990</v>
      </c>
      <c r="O345" s="0" t="n">
        <v>2</v>
      </c>
      <c r="P345" s="0" t="n">
        <v>0.01</v>
      </c>
      <c r="Q345" s="0" t="str">
        <f aca="false">IFERROR(VLOOKUP(B345,[2]'Cost Correction'!$D$2:$AJ$1627,33,0),"")</f>
        <v/>
      </c>
    </row>
    <row r="346" customFormat="false" ht="15" hidden="false" customHeight="false" outlineLevel="0" collapsed="false">
      <c r="A346" s="0" t="str">
        <f aca="false">E346&amp;L346&amp;Q346</f>
        <v>43352226496095</v>
      </c>
      <c r="B346" s="0" t="s">
        <v>911</v>
      </c>
      <c r="C346" s="0" t="s">
        <v>912</v>
      </c>
      <c r="D346" s="0" t="s">
        <v>28</v>
      </c>
      <c r="E346" s="44" t="n">
        <v>43352</v>
      </c>
      <c r="F346" s="0" t="s">
        <v>102</v>
      </c>
      <c r="G346" s="0" t="n">
        <v>21356941</v>
      </c>
      <c r="H346" s="0" t="n">
        <v>720193</v>
      </c>
      <c r="I346" s="0" t="s">
        <v>34</v>
      </c>
      <c r="J346" s="0" t="s">
        <v>174</v>
      </c>
      <c r="K346" s="0" t="s">
        <v>116</v>
      </c>
      <c r="L346" s="0" t="n">
        <v>226496095</v>
      </c>
      <c r="M346" s="0" t="s">
        <v>815</v>
      </c>
      <c r="N346" s="0" t="n">
        <v>103376990</v>
      </c>
      <c r="O346" s="0" t="n">
        <v>0</v>
      </c>
      <c r="P346" s="0" t="n">
        <v>0</v>
      </c>
      <c r="Q346" s="0" t="str">
        <f aca="false">IFERROR(VLOOKUP(B346,[2]'Cost Correction'!$D$2:$AJ$1627,33,0),"")</f>
        <v/>
      </c>
    </row>
    <row r="347" customFormat="false" ht="15" hidden="false" customHeight="false" outlineLevel="0" collapsed="false">
      <c r="A347" s="0" t="str">
        <f aca="false">E347&amp;L347&amp;Q347</f>
        <v>43358224560866</v>
      </c>
      <c r="B347" s="0" t="s">
        <v>913</v>
      </c>
      <c r="C347" s="0" t="s">
        <v>914</v>
      </c>
      <c r="D347" s="0" t="s">
        <v>28</v>
      </c>
      <c r="E347" s="44" t="n">
        <v>43358</v>
      </c>
      <c r="F347" s="0" t="s">
        <v>102</v>
      </c>
      <c r="G347" s="0" t="n">
        <v>21356941</v>
      </c>
      <c r="H347" s="0" t="n">
        <v>720193</v>
      </c>
      <c r="I347" s="0" t="s">
        <v>34</v>
      </c>
      <c r="J347" s="0" t="s">
        <v>174</v>
      </c>
      <c r="K347" s="0" t="s">
        <v>117</v>
      </c>
      <c r="L347" s="0" t="n">
        <v>224560866</v>
      </c>
      <c r="M347" s="0" t="s">
        <v>915</v>
      </c>
      <c r="N347" s="0" t="n">
        <v>103259784</v>
      </c>
      <c r="O347" s="0" t="n">
        <v>0</v>
      </c>
      <c r="P347" s="0" t="n">
        <v>0</v>
      </c>
      <c r="Q347" s="0" t="str">
        <f aca="false">IFERROR(VLOOKUP(B347,[2]'Cost Correction'!$D$2:$AJ$1627,33,0),"")</f>
        <v/>
      </c>
    </row>
    <row r="348" customFormat="false" ht="15" hidden="false" customHeight="false" outlineLevel="0" collapsed="false">
      <c r="A348" s="0" t="str">
        <f aca="false">E348&amp;L348&amp;Q348</f>
        <v>43357224560866</v>
      </c>
      <c r="B348" s="0" t="s">
        <v>916</v>
      </c>
      <c r="C348" s="0" t="s">
        <v>917</v>
      </c>
      <c r="D348" s="0" t="s">
        <v>28</v>
      </c>
      <c r="E348" s="44" t="n">
        <v>43357</v>
      </c>
      <c r="F348" s="0" t="s">
        <v>102</v>
      </c>
      <c r="G348" s="0" t="n">
        <v>21356941</v>
      </c>
      <c r="H348" s="0" t="n">
        <v>720193</v>
      </c>
      <c r="I348" s="0" t="s">
        <v>34</v>
      </c>
      <c r="J348" s="0" t="s">
        <v>174</v>
      </c>
      <c r="K348" s="0" t="s">
        <v>117</v>
      </c>
      <c r="L348" s="0" t="n">
        <v>224560866</v>
      </c>
      <c r="M348" s="0" t="s">
        <v>915</v>
      </c>
      <c r="N348" s="0" t="n">
        <v>103259784</v>
      </c>
      <c r="O348" s="0" t="n">
        <v>0</v>
      </c>
      <c r="P348" s="0" t="n">
        <v>0</v>
      </c>
      <c r="Q348" s="0" t="str">
        <f aca="false">IFERROR(VLOOKUP(B348,[2]'Cost Correction'!$D$2:$AJ$1627,33,0),"")</f>
        <v/>
      </c>
    </row>
    <row r="349" customFormat="false" ht="15" hidden="false" customHeight="false" outlineLevel="0" collapsed="false">
      <c r="A349" s="0" t="str">
        <f aca="false">E349&amp;L349&amp;Q349</f>
        <v>43356224560866</v>
      </c>
      <c r="B349" s="0" t="s">
        <v>918</v>
      </c>
      <c r="C349" s="0" t="s">
        <v>919</v>
      </c>
      <c r="D349" s="0" t="s">
        <v>28</v>
      </c>
      <c r="E349" s="44" t="n">
        <v>43356</v>
      </c>
      <c r="F349" s="0" t="s">
        <v>102</v>
      </c>
      <c r="G349" s="0" t="n">
        <v>21356941</v>
      </c>
      <c r="H349" s="0" t="n">
        <v>720193</v>
      </c>
      <c r="I349" s="0" t="s">
        <v>34</v>
      </c>
      <c r="J349" s="0" t="s">
        <v>174</v>
      </c>
      <c r="K349" s="0" t="s">
        <v>117</v>
      </c>
      <c r="L349" s="0" t="n">
        <v>224560866</v>
      </c>
      <c r="M349" s="0" t="s">
        <v>915</v>
      </c>
      <c r="N349" s="0" t="n">
        <v>103259784</v>
      </c>
      <c r="O349" s="0" t="n">
        <v>0</v>
      </c>
      <c r="P349" s="0" t="n">
        <v>0</v>
      </c>
      <c r="Q349" s="0" t="str">
        <f aca="false">IFERROR(VLOOKUP(B349,[2]'Cost Correction'!$D$2:$AJ$1627,33,0),"")</f>
        <v/>
      </c>
    </row>
    <row r="350" customFormat="false" ht="15" hidden="false" customHeight="false" outlineLevel="0" collapsed="false">
      <c r="A350" s="0" t="str">
        <f aca="false">E350&amp;L350&amp;Q350</f>
        <v>43355224560866</v>
      </c>
      <c r="B350" s="0" t="s">
        <v>920</v>
      </c>
      <c r="C350" s="0" t="s">
        <v>921</v>
      </c>
      <c r="D350" s="0" t="s">
        <v>28</v>
      </c>
      <c r="E350" s="44" t="n">
        <v>43355</v>
      </c>
      <c r="F350" s="0" t="s">
        <v>102</v>
      </c>
      <c r="G350" s="0" t="n">
        <v>21356941</v>
      </c>
      <c r="H350" s="0" t="n">
        <v>720193</v>
      </c>
      <c r="I350" s="0" t="s">
        <v>34</v>
      </c>
      <c r="J350" s="0" t="s">
        <v>174</v>
      </c>
      <c r="K350" s="0" t="s">
        <v>117</v>
      </c>
      <c r="L350" s="0" t="n">
        <v>224560866</v>
      </c>
      <c r="M350" s="0" t="s">
        <v>915</v>
      </c>
      <c r="N350" s="0" t="n">
        <v>103259784</v>
      </c>
      <c r="O350" s="0" t="n">
        <v>0</v>
      </c>
      <c r="P350" s="0" t="n">
        <v>0</v>
      </c>
      <c r="Q350" s="0" t="str">
        <f aca="false">IFERROR(VLOOKUP(B350,[2]'Cost Correction'!$D$2:$AJ$1627,33,0),"")</f>
        <v/>
      </c>
    </row>
    <row r="351" customFormat="false" ht="15" hidden="false" customHeight="false" outlineLevel="0" collapsed="false">
      <c r="A351" s="0" t="str">
        <f aca="false">E351&amp;L351&amp;Q351</f>
        <v>43354224560866</v>
      </c>
      <c r="B351" s="0" t="s">
        <v>922</v>
      </c>
      <c r="C351" s="0" t="s">
        <v>923</v>
      </c>
      <c r="D351" s="0" t="s">
        <v>28</v>
      </c>
      <c r="E351" s="44" t="n">
        <v>43354</v>
      </c>
      <c r="F351" s="0" t="s">
        <v>102</v>
      </c>
      <c r="G351" s="0" t="n">
        <v>21356941</v>
      </c>
      <c r="H351" s="0" t="n">
        <v>720193</v>
      </c>
      <c r="I351" s="0" t="s">
        <v>34</v>
      </c>
      <c r="J351" s="0" t="s">
        <v>174</v>
      </c>
      <c r="K351" s="0" t="s">
        <v>117</v>
      </c>
      <c r="L351" s="0" t="n">
        <v>224560866</v>
      </c>
      <c r="M351" s="0" t="s">
        <v>915</v>
      </c>
      <c r="N351" s="0" t="n">
        <v>103259784</v>
      </c>
      <c r="O351" s="0" t="n">
        <v>0</v>
      </c>
      <c r="P351" s="0" t="n">
        <v>0</v>
      </c>
      <c r="Q351" s="0" t="str">
        <f aca="false">IFERROR(VLOOKUP(B351,[2]'Cost Correction'!$D$2:$AJ$1627,33,0),"")</f>
        <v/>
      </c>
    </row>
    <row r="352" customFormat="false" ht="15" hidden="true" customHeight="false" outlineLevel="0" collapsed="false">
      <c r="A352" s="0" t="str">
        <f aca="false">E352&amp;L352&amp;Q352</f>
        <v>43353224560866103259784</v>
      </c>
      <c r="B352" s="0" t="s">
        <v>924</v>
      </c>
      <c r="C352" s="0" t="s">
        <v>925</v>
      </c>
      <c r="D352" s="0" t="s">
        <v>28</v>
      </c>
      <c r="E352" s="44" t="n">
        <v>43353</v>
      </c>
      <c r="F352" s="0" t="s">
        <v>102</v>
      </c>
      <c r="G352" s="0" t="n">
        <v>21356941</v>
      </c>
      <c r="H352" s="0" t="n">
        <v>720193</v>
      </c>
      <c r="I352" s="0" t="s">
        <v>34</v>
      </c>
      <c r="J352" s="0" t="s">
        <v>174</v>
      </c>
      <c r="K352" s="0" t="s">
        <v>117</v>
      </c>
      <c r="L352" s="0" t="n">
        <v>224560866</v>
      </c>
      <c r="M352" s="0" t="s">
        <v>915</v>
      </c>
      <c r="N352" s="0" t="n">
        <v>103259784</v>
      </c>
      <c r="O352" s="0" t="n">
        <v>0</v>
      </c>
      <c r="P352" s="0" t="n">
        <v>0</v>
      </c>
      <c r="Q352" s="0" t="n">
        <f aca="false">IFERROR(VLOOKUP(B352,[2]'Cost Correction'!$D$2:$AJ$1627,33,0),"")</f>
        <v>103259784</v>
      </c>
    </row>
    <row r="353" customFormat="false" ht="15" hidden="false" customHeight="false" outlineLevel="0" collapsed="false">
      <c r="A353" s="0" t="str">
        <f aca="false">E353&amp;L353&amp;Q353</f>
        <v>43352224560866</v>
      </c>
      <c r="B353" s="0" t="s">
        <v>926</v>
      </c>
      <c r="C353" s="0" t="s">
        <v>927</v>
      </c>
      <c r="D353" s="0" t="s">
        <v>28</v>
      </c>
      <c r="E353" s="44" t="n">
        <v>43352</v>
      </c>
      <c r="F353" s="0" t="s">
        <v>102</v>
      </c>
      <c r="G353" s="0" t="n">
        <v>21356941</v>
      </c>
      <c r="H353" s="0" t="n">
        <v>720193</v>
      </c>
      <c r="I353" s="0" t="s">
        <v>34</v>
      </c>
      <c r="J353" s="0" t="s">
        <v>174</v>
      </c>
      <c r="K353" s="0" t="s">
        <v>117</v>
      </c>
      <c r="L353" s="0" t="n">
        <v>224560866</v>
      </c>
      <c r="M353" s="0" t="s">
        <v>915</v>
      </c>
      <c r="N353" s="0" t="n">
        <v>103259784</v>
      </c>
      <c r="O353" s="0" t="n">
        <v>0</v>
      </c>
      <c r="P353" s="0" t="n">
        <v>0</v>
      </c>
      <c r="Q353" s="0" t="str">
        <f aca="false">IFERROR(VLOOKUP(B353,[2]'Cost Correction'!$D$2:$AJ$1627,33,0),"")</f>
        <v/>
      </c>
    </row>
    <row r="354" customFormat="false" ht="15" hidden="false" customHeight="false" outlineLevel="0" collapsed="false">
      <c r="A354" s="0" t="str">
        <f aca="false">E354&amp;L354&amp;Q354</f>
        <v>43358224560860</v>
      </c>
      <c r="B354" s="0" t="s">
        <v>928</v>
      </c>
      <c r="C354" s="0" t="s">
        <v>929</v>
      </c>
      <c r="D354" s="0" t="s">
        <v>28</v>
      </c>
      <c r="E354" s="44" t="n">
        <v>43358</v>
      </c>
      <c r="F354" s="0" t="s">
        <v>102</v>
      </c>
      <c r="G354" s="0" t="n">
        <v>21356941</v>
      </c>
      <c r="H354" s="0" t="n">
        <v>720193</v>
      </c>
      <c r="I354" s="0" t="s">
        <v>34</v>
      </c>
      <c r="J354" s="0" t="s">
        <v>174</v>
      </c>
      <c r="K354" s="0" t="s">
        <v>118</v>
      </c>
      <c r="L354" s="0" t="n">
        <v>224560860</v>
      </c>
      <c r="M354" s="0" t="s">
        <v>930</v>
      </c>
      <c r="N354" s="0" t="n">
        <v>103377773</v>
      </c>
      <c r="O354" s="0" t="n">
        <v>0</v>
      </c>
      <c r="P354" s="0" t="n">
        <v>0</v>
      </c>
      <c r="Q354" s="0" t="str">
        <f aca="false">IFERROR(VLOOKUP(B354,[2]'Cost Correction'!$D$2:$AJ$1627,33,0),"")</f>
        <v/>
      </c>
    </row>
    <row r="355" customFormat="false" ht="15" hidden="false" customHeight="false" outlineLevel="0" collapsed="false">
      <c r="A355" s="0" t="str">
        <f aca="false">E355&amp;L355&amp;Q355</f>
        <v>43357224560860</v>
      </c>
      <c r="B355" s="0" t="s">
        <v>931</v>
      </c>
      <c r="C355" s="0" t="s">
        <v>932</v>
      </c>
      <c r="D355" s="0" t="s">
        <v>28</v>
      </c>
      <c r="E355" s="44" t="n">
        <v>43357</v>
      </c>
      <c r="F355" s="0" t="s">
        <v>102</v>
      </c>
      <c r="G355" s="0" t="n">
        <v>21356941</v>
      </c>
      <c r="H355" s="0" t="n">
        <v>720193</v>
      </c>
      <c r="I355" s="0" t="s">
        <v>34</v>
      </c>
      <c r="J355" s="0" t="s">
        <v>174</v>
      </c>
      <c r="K355" s="0" t="s">
        <v>118</v>
      </c>
      <c r="L355" s="0" t="n">
        <v>224560860</v>
      </c>
      <c r="M355" s="0" t="s">
        <v>930</v>
      </c>
      <c r="N355" s="0" t="n">
        <v>103377773</v>
      </c>
      <c r="O355" s="0" t="n">
        <v>0</v>
      </c>
      <c r="P355" s="0" t="n">
        <v>0</v>
      </c>
      <c r="Q355" s="0" t="str">
        <f aca="false">IFERROR(VLOOKUP(B355,[2]'Cost Correction'!$D$2:$AJ$1627,33,0),"")</f>
        <v/>
      </c>
    </row>
    <row r="356" customFormat="false" ht="15" hidden="false" customHeight="false" outlineLevel="0" collapsed="false">
      <c r="A356" s="0" t="str">
        <f aca="false">E356&amp;L356&amp;Q356</f>
        <v>43356224560860</v>
      </c>
      <c r="B356" s="0" t="s">
        <v>933</v>
      </c>
      <c r="C356" s="0" t="s">
        <v>934</v>
      </c>
      <c r="D356" s="0" t="s">
        <v>28</v>
      </c>
      <c r="E356" s="44" t="n">
        <v>43356</v>
      </c>
      <c r="F356" s="0" t="s">
        <v>102</v>
      </c>
      <c r="G356" s="0" t="n">
        <v>21356941</v>
      </c>
      <c r="H356" s="0" t="n">
        <v>720193</v>
      </c>
      <c r="I356" s="0" t="s">
        <v>34</v>
      </c>
      <c r="J356" s="0" t="s">
        <v>174</v>
      </c>
      <c r="K356" s="0" t="s">
        <v>118</v>
      </c>
      <c r="L356" s="0" t="n">
        <v>224560860</v>
      </c>
      <c r="M356" s="0" t="s">
        <v>930</v>
      </c>
      <c r="N356" s="0" t="n">
        <v>103377773</v>
      </c>
      <c r="O356" s="0" t="n">
        <v>0</v>
      </c>
      <c r="P356" s="0" t="n">
        <v>0</v>
      </c>
      <c r="Q356" s="0" t="str">
        <f aca="false">IFERROR(VLOOKUP(B356,[2]'Cost Correction'!$D$2:$AJ$1627,33,0),"")</f>
        <v/>
      </c>
    </row>
    <row r="357" customFormat="false" ht="15" hidden="false" customHeight="false" outlineLevel="0" collapsed="false">
      <c r="A357" s="0" t="str">
        <f aca="false">E357&amp;L357&amp;Q357</f>
        <v>43355224560860</v>
      </c>
      <c r="B357" s="0" t="s">
        <v>935</v>
      </c>
      <c r="C357" s="0" t="s">
        <v>936</v>
      </c>
      <c r="D357" s="0" t="s">
        <v>28</v>
      </c>
      <c r="E357" s="44" t="n">
        <v>43355</v>
      </c>
      <c r="F357" s="0" t="s">
        <v>102</v>
      </c>
      <c r="G357" s="0" t="n">
        <v>21356941</v>
      </c>
      <c r="H357" s="0" t="n">
        <v>720193</v>
      </c>
      <c r="I357" s="0" t="s">
        <v>34</v>
      </c>
      <c r="J357" s="0" t="s">
        <v>174</v>
      </c>
      <c r="K357" s="0" t="s">
        <v>118</v>
      </c>
      <c r="L357" s="0" t="n">
        <v>224560860</v>
      </c>
      <c r="M357" s="0" t="s">
        <v>930</v>
      </c>
      <c r="N357" s="0" t="n">
        <v>103377773</v>
      </c>
      <c r="O357" s="0" t="n">
        <v>0</v>
      </c>
      <c r="P357" s="0" t="n">
        <v>0</v>
      </c>
      <c r="Q357" s="0" t="str">
        <f aca="false">IFERROR(VLOOKUP(B357,[2]'Cost Correction'!$D$2:$AJ$1627,33,0),"")</f>
        <v/>
      </c>
    </row>
    <row r="358" customFormat="false" ht="15" hidden="false" customHeight="false" outlineLevel="0" collapsed="false">
      <c r="A358" s="0" t="str">
        <f aca="false">E358&amp;L358&amp;Q358</f>
        <v>43354224560860</v>
      </c>
      <c r="B358" s="0" t="s">
        <v>937</v>
      </c>
      <c r="C358" s="0" t="s">
        <v>938</v>
      </c>
      <c r="D358" s="0" t="s">
        <v>28</v>
      </c>
      <c r="E358" s="44" t="n">
        <v>43354</v>
      </c>
      <c r="F358" s="0" t="s">
        <v>102</v>
      </c>
      <c r="G358" s="0" t="n">
        <v>21356941</v>
      </c>
      <c r="H358" s="0" t="n">
        <v>720193</v>
      </c>
      <c r="I358" s="0" t="s">
        <v>34</v>
      </c>
      <c r="J358" s="0" t="s">
        <v>174</v>
      </c>
      <c r="K358" s="0" t="s">
        <v>118</v>
      </c>
      <c r="L358" s="0" t="n">
        <v>224560860</v>
      </c>
      <c r="M358" s="0" t="s">
        <v>930</v>
      </c>
      <c r="N358" s="0" t="n">
        <v>103377773</v>
      </c>
      <c r="O358" s="0" t="n">
        <v>0</v>
      </c>
      <c r="P358" s="0" t="n">
        <v>0</v>
      </c>
      <c r="Q358" s="0" t="str">
        <f aca="false">IFERROR(VLOOKUP(B358,[2]'Cost Correction'!$D$2:$AJ$1627,33,0),"")</f>
        <v/>
      </c>
    </row>
    <row r="359" customFormat="false" ht="15" hidden="true" customHeight="false" outlineLevel="0" collapsed="false">
      <c r="A359" s="0" t="str">
        <f aca="false">E359&amp;L359&amp;Q359</f>
        <v>43353224560860103377773</v>
      </c>
      <c r="B359" s="0" t="s">
        <v>939</v>
      </c>
      <c r="C359" s="0" t="s">
        <v>940</v>
      </c>
      <c r="D359" s="0" t="s">
        <v>28</v>
      </c>
      <c r="E359" s="44" t="n">
        <v>43353</v>
      </c>
      <c r="F359" s="0" t="s">
        <v>102</v>
      </c>
      <c r="G359" s="0" t="n">
        <v>21356941</v>
      </c>
      <c r="H359" s="0" t="n">
        <v>720193</v>
      </c>
      <c r="I359" s="0" t="s">
        <v>34</v>
      </c>
      <c r="J359" s="0" t="s">
        <v>174</v>
      </c>
      <c r="K359" s="0" t="s">
        <v>118</v>
      </c>
      <c r="L359" s="0" t="n">
        <v>224560860</v>
      </c>
      <c r="M359" s="0" t="s">
        <v>930</v>
      </c>
      <c r="N359" s="0" t="n">
        <v>103377773</v>
      </c>
      <c r="O359" s="0" t="n">
        <v>0</v>
      </c>
      <c r="P359" s="0" t="n">
        <v>0</v>
      </c>
      <c r="Q359" s="0" t="n">
        <f aca="false">IFERROR(VLOOKUP(B359,[2]'Cost Correction'!$D$2:$AJ$1627,33,0),"")</f>
        <v>103377773</v>
      </c>
    </row>
    <row r="360" customFormat="false" ht="15" hidden="false" customHeight="false" outlineLevel="0" collapsed="false">
      <c r="A360" s="0" t="str">
        <f aca="false">E360&amp;L360&amp;Q360</f>
        <v>43352224560860</v>
      </c>
      <c r="B360" s="0" t="s">
        <v>941</v>
      </c>
      <c r="C360" s="0" t="s">
        <v>942</v>
      </c>
      <c r="D360" s="0" t="s">
        <v>28</v>
      </c>
      <c r="E360" s="44" t="n">
        <v>43352</v>
      </c>
      <c r="F360" s="0" t="s">
        <v>102</v>
      </c>
      <c r="G360" s="0" t="n">
        <v>21356941</v>
      </c>
      <c r="H360" s="0" t="n">
        <v>720193</v>
      </c>
      <c r="I360" s="0" t="s">
        <v>34</v>
      </c>
      <c r="J360" s="0" t="s">
        <v>174</v>
      </c>
      <c r="K360" s="0" t="s">
        <v>118</v>
      </c>
      <c r="L360" s="0" t="n">
        <v>224560860</v>
      </c>
      <c r="M360" s="0" t="s">
        <v>930</v>
      </c>
      <c r="N360" s="0" t="n">
        <v>103377773</v>
      </c>
      <c r="O360" s="0" t="n">
        <v>0</v>
      </c>
      <c r="P360" s="0" t="n">
        <v>0</v>
      </c>
      <c r="Q360" s="0" t="str">
        <f aca="false">IFERROR(VLOOKUP(B360,[2]'Cost Correction'!$D$2:$AJ$1627,33,0),"")</f>
        <v/>
      </c>
    </row>
    <row r="361" customFormat="false" ht="15" hidden="false" customHeight="false" outlineLevel="0" collapsed="false">
      <c r="A361" s="0" t="str">
        <f aca="false">E361&amp;L361&amp;Q361</f>
        <v>43358224560857</v>
      </c>
      <c r="B361" s="0" t="s">
        <v>943</v>
      </c>
      <c r="C361" s="0" t="s">
        <v>944</v>
      </c>
      <c r="D361" s="0" t="s">
        <v>28</v>
      </c>
      <c r="E361" s="44" t="n">
        <v>43358</v>
      </c>
      <c r="F361" s="0" t="s">
        <v>102</v>
      </c>
      <c r="G361" s="0" t="n">
        <v>21356941</v>
      </c>
      <c r="H361" s="0" t="n">
        <v>720193</v>
      </c>
      <c r="I361" s="0" t="s">
        <v>34</v>
      </c>
      <c r="J361" s="0" t="s">
        <v>174</v>
      </c>
      <c r="K361" s="0" t="s">
        <v>119</v>
      </c>
      <c r="L361" s="0" t="n">
        <v>224560857</v>
      </c>
      <c r="M361" s="0" t="s">
        <v>945</v>
      </c>
      <c r="N361" s="0" t="n">
        <v>103377002</v>
      </c>
      <c r="O361" s="0" t="n">
        <v>0</v>
      </c>
      <c r="P361" s="0" t="n">
        <v>0</v>
      </c>
      <c r="Q361" s="0" t="str">
        <f aca="false">IFERROR(VLOOKUP(B361,[2]'Cost Correction'!$D$2:$AJ$1627,33,0),"")</f>
        <v/>
      </c>
    </row>
    <row r="362" customFormat="false" ht="15" hidden="false" customHeight="false" outlineLevel="0" collapsed="false">
      <c r="A362" s="0" t="str">
        <f aca="false">E362&amp;L362&amp;Q362</f>
        <v>43357224560857</v>
      </c>
      <c r="B362" s="0" t="s">
        <v>946</v>
      </c>
      <c r="C362" s="0" t="s">
        <v>947</v>
      </c>
      <c r="D362" s="0" t="s">
        <v>28</v>
      </c>
      <c r="E362" s="44" t="n">
        <v>43357</v>
      </c>
      <c r="F362" s="0" t="s">
        <v>102</v>
      </c>
      <c r="G362" s="0" t="n">
        <v>21356941</v>
      </c>
      <c r="H362" s="0" t="n">
        <v>720193</v>
      </c>
      <c r="I362" s="0" t="s">
        <v>34</v>
      </c>
      <c r="J362" s="0" t="s">
        <v>174</v>
      </c>
      <c r="K362" s="0" t="s">
        <v>119</v>
      </c>
      <c r="L362" s="0" t="n">
        <v>224560857</v>
      </c>
      <c r="M362" s="0" t="s">
        <v>945</v>
      </c>
      <c r="N362" s="0" t="n">
        <v>103377002</v>
      </c>
      <c r="O362" s="0" t="n">
        <v>0</v>
      </c>
      <c r="P362" s="0" t="n">
        <v>0</v>
      </c>
      <c r="Q362" s="0" t="str">
        <f aca="false">IFERROR(VLOOKUP(B362,[2]'Cost Correction'!$D$2:$AJ$1627,33,0),"")</f>
        <v/>
      </c>
    </row>
    <row r="363" customFormat="false" ht="15" hidden="false" customHeight="false" outlineLevel="0" collapsed="false">
      <c r="A363" s="0" t="str">
        <f aca="false">E363&amp;L363&amp;Q363</f>
        <v>43356224560857</v>
      </c>
      <c r="B363" s="0" t="s">
        <v>948</v>
      </c>
      <c r="C363" s="0" t="s">
        <v>949</v>
      </c>
      <c r="D363" s="0" t="s">
        <v>28</v>
      </c>
      <c r="E363" s="44" t="n">
        <v>43356</v>
      </c>
      <c r="F363" s="0" t="s">
        <v>102</v>
      </c>
      <c r="G363" s="0" t="n">
        <v>21356941</v>
      </c>
      <c r="H363" s="0" t="n">
        <v>720193</v>
      </c>
      <c r="I363" s="0" t="s">
        <v>34</v>
      </c>
      <c r="J363" s="0" t="s">
        <v>174</v>
      </c>
      <c r="K363" s="0" t="s">
        <v>119</v>
      </c>
      <c r="L363" s="0" t="n">
        <v>224560857</v>
      </c>
      <c r="M363" s="0" t="s">
        <v>945</v>
      </c>
      <c r="N363" s="0" t="n">
        <v>103377002</v>
      </c>
      <c r="O363" s="0" t="n">
        <v>0</v>
      </c>
      <c r="P363" s="0" t="n">
        <v>0</v>
      </c>
      <c r="Q363" s="0" t="str">
        <f aca="false">IFERROR(VLOOKUP(B363,[2]'Cost Correction'!$D$2:$AJ$1627,33,0),"")</f>
        <v/>
      </c>
    </row>
    <row r="364" customFormat="false" ht="15" hidden="false" customHeight="false" outlineLevel="0" collapsed="false">
      <c r="A364" s="0" t="str">
        <f aca="false">E364&amp;L364&amp;Q364</f>
        <v>43355224560857</v>
      </c>
      <c r="B364" s="0" t="s">
        <v>950</v>
      </c>
      <c r="C364" s="0" t="s">
        <v>951</v>
      </c>
      <c r="D364" s="0" t="s">
        <v>28</v>
      </c>
      <c r="E364" s="44" t="n">
        <v>43355</v>
      </c>
      <c r="F364" s="0" t="s">
        <v>102</v>
      </c>
      <c r="G364" s="0" t="n">
        <v>21356941</v>
      </c>
      <c r="H364" s="0" t="n">
        <v>720193</v>
      </c>
      <c r="I364" s="0" t="s">
        <v>34</v>
      </c>
      <c r="J364" s="0" t="s">
        <v>174</v>
      </c>
      <c r="K364" s="0" t="s">
        <v>119</v>
      </c>
      <c r="L364" s="0" t="n">
        <v>224560857</v>
      </c>
      <c r="M364" s="0" t="s">
        <v>945</v>
      </c>
      <c r="N364" s="0" t="n">
        <v>103377002</v>
      </c>
      <c r="O364" s="0" t="n">
        <v>0</v>
      </c>
      <c r="P364" s="0" t="n">
        <v>0</v>
      </c>
      <c r="Q364" s="0" t="str">
        <f aca="false">IFERROR(VLOOKUP(B364,[2]'Cost Correction'!$D$2:$AJ$1627,33,0),"")</f>
        <v/>
      </c>
    </row>
    <row r="365" customFormat="false" ht="15" hidden="false" customHeight="false" outlineLevel="0" collapsed="false">
      <c r="A365" s="0" t="str">
        <f aca="false">E365&amp;L365&amp;Q365</f>
        <v>43354224560857</v>
      </c>
      <c r="B365" s="0" t="s">
        <v>952</v>
      </c>
      <c r="C365" s="0" t="s">
        <v>953</v>
      </c>
      <c r="D365" s="0" t="s">
        <v>28</v>
      </c>
      <c r="E365" s="44" t="n">
        <v>43354</v>
      </c>
      <c r="F365" s="0" t="s">
        <v>102</v>
      </c>
      <c r="G365" s="0" t="n">
        <v>21356941</v>
      </c>
      <c r="H365" s="0" t="n">
        <v>720193</v>
      </c>
      <c r="I365" s="0" t="s">
        <v>34</v>
      </c>
      <c r="J365" s="0" t="s">
        <v>174</v>
      </c>
      <c r="K365" s="0" t="s">
        <v>119</v>
      </c>
      <c r="L365" s="0" t="n">
        <v>224560857</v>
      </c>
      <c r="M365" s="0" t="s">
        <v>945</v>
      </c>
      <c r="N365" s="0" t="n">
        <v>103377002</v>
      </c>
      <c r="O365" s="0" t="n">
        <v>0</v>
      </c>
      <c r="P365" s="0" t="n">
        <v>0</v>
      </c>
      <c r="Q365" s="0" t="str">
        <f aca="false">IFERROR(VLOOKUP(B365,[2]'Cost Correction'!$D$2:$AJ$1627,33,0),"")</f>
        <v/>
      </c>
    </row>
    <row r="366" customFormat="false" ht="15" hidden="true" customHeight="false" outlineLevel="0" collapsed="false">
      <c r="A366" s="0" t="str">
        <f aca="false">E366&amp;L366&amp;Q366</f>
        <v>43353224560857103377002</v>
      </c>
      <c r="B366" s="0" t="s">
        <v>954</v>
      </c>
      <c r="C366" s="0" t="s">
        <v>955</v>
      </c>
      <c r="D366" s="0" t="s">
        <v>28</v>
      </c>
      <c r="E366" s="44" t="n">
        <v>43353</v>
      </c>
      <c r="F366" s="0" t="s">
        <v>102</v>
      </c>
      <c r="G366" s="0" t="n">
        <v>21356941</v>
      </c>
      <c r="H366" s="0" t="n">
        <v>720193</v>
      </c>
      <c r="I366" s="0" t="s">
        <v>34</v>
      </c>
      <c r="J366" s="0" t="s">
        <v>174</v>
      </c>
      <c r="K366" s="0" t="s">
        <v>119</v>
      </c>
      <c r="L366" s="0" t="n">
        <v>224560857</v>
      </c>
      <c r="M366" s="0" t="s">
        <v>945</v>
      </c>
      <c r="N366" s="0" t="n">
        <v>103377002</v>
      </c>
      <c r="O366" s="0" t="n">
        <v>0</v>
      </c>
      <c r="P366" s="0" t="n">
        <v>0</v>
      </c>
      <c r="Q366" s="0" t="n">
        <f aca="false">IFERROR(VLOOKUP(B366,[2]'Cost Correction'!$D$2:$AJ$1627,33,0),"")</f>
        <v>103377002</v>
      </c>
    </row>
    <row r="367" customFormat="false" ht="15" hidden="false" customHeight="false" outlineLevel="0" collapsed="false">
      <c r="A367" s="0" t="str">
        <f aca="false">E367&amp;L367&amp;Q367</f>
        <v>43352224560857</v>
      </c>
      <c r="B367" s="0" t="s">
        <v>956</v>
      </c>
      <c r="C367" s="0" t="s">
        <v>957</v>
      </c>
      <c r="D367" s="0" t="s">
        <v>28</v>
      </c>
      <c r="E367" s="44" t="n">
        <v>43352</v>
      </c>
      <c r="F367" s="0" t="s">
        <v>102</v>
      </c>
      <c r="G367" s="0" t="n">
        <v>21356941</v>
      </c>
      <c r="H367" s="0" t="n">
        <v>720193</v>
      </c>
      <c r="I367" s="0" t="s">
        <v>34</v>
      </c>
      <c r="J367" s="0" t="s">
        <v>174</v>
      </c>
      <c r="K367" s="0" t="s">
        <v>119</v>
      </c>
      <c r="L367" s="0" t="n">
        <v>224560857</v>
      </c>
      <c r="M367" s="0" t="s">
        <v>945</v>
      </c>
      <c r="N367" s="0" t="n">
        <v>103377002</v>
      </c>
      <c r="O367" s="0" t="n">
        <v>0</v>
      </c>
      <c r="P367" s="0" t="n">
        <v>0</v>
      </c>
      <c r="Q367" s="0" t="str">
        <f aca="false">IFERROR(VLOOKUP(B367,[2]'Cost Correction'!$D$2:$AJ$1627,33,0),"")</f>
        <v/>
      </c>
    </row>
    <row r="368" customFormat="false" ht="15" hidden="false" customHeight="false" outlineLevel="0" collapsed="false">
      <c r="A368" s="0" t="str">
        <f aca="false">E368&amp;L368&amp;Q368</f>
        <v>43358224560854</v>
      </c>
      <c r="B368" s="0" t="s">
        <v>958</v>
      </c>
      <c r="C368" s="0" t="s">
        <v>959</v>
      </c>
      <c r="D368" s="0" t="s">
        <v>28</v>
      </c>
      <c r="E368" s="44" t="n">
        <v>43358</v>
      </c>
      <c r="F368" s="0" t="s">
        <v>102</v>
      </c>
      <c r="G368" s="0" t="n">
        <v>21356941</v>
      </c>
      <c r="H368" s="0" t="n">
        <v>720193</v>
      </c>
      <c r="I368" s="0" t="s">
        <v>34</v>
      </c>
      <c r="J368" s="0" t="s">
        <v>174</v>
      </c>
      <c r="K368" s="0" t="s">
        <v>120</v>
      </c>
      <c r="L368" s="0" t="n">
        <v>224560854</v>
      </c>
      <c r="M368" s="0" t="s">
        <v>960</v>
      </c>
      <c r="N368" s="0" t="n">
        <v>103259550</v>
      </c>
      <c r="O368" s="0" t="n">
        <v>0</v>
      </c>
      <c r="P368" s="0" t="n">
        <v>0</v>
      </c>
      <c r="Q368" s="0" t="str">
        <f aca="false">IFERROR(VLOOKUP(B368,[2]'Cost Correction'!$D$2:$AJ$1627,33,0),"")</f>
        <v/>
      </c>
    </row>
    <row r="369" customFormat="false" ht="15" hidden="false" customHeight="false" outlineLevel="0" collapsed="false">
      <c r="A369" s="0" t="str">
        <f aca="false">E369&amp;L369&amp;Q369</f>
        <v>43357224560854</v>
      </c>
      <c r="B369" s="0" t="s">
        <v>961</v>
      </c>
      <c r="C369" s="0" t="s">
        <v>962</v>
      </c>
      <c r="D369" s="0" t="s">
        <v>28</v>
      </c>
      <c r="E369" s="44" t="n">
        <v>43357</v>
      </c>
      <c r="F369" s="0" t="s">
        <v>102</v>
      </c>
      <c r="G369" s="0" t="n">
        <v>21356941</v>
      </c>
      <c r="H369" s="0" t="n">
        <v>720193</v>
      </c>
      <c r="I369" s="0" t="s">
        <v>34</v>
      </c>
      <c r="J369" s="0" t="s">
        <v>174</v>
      </c>
      <c r="K369" s="0" t="s">
        <v>120</v>
      </c>
      <c r="L369" s="0" t="n">
        <v>224560854</v>
      </c>
      <c r="M369" s="0" t="s">
        <v>960</v>
      </c>
      <c r="N369" s="0" t="n">
        <v>103259550</v>
      </c>
      <c r="O369" s="0" t="n">
        <v>0</v>
      </c>
      <c r="P369" s="0" t="n">
        <v>0</v>
      </c>
      <c r="Q369" s="0" t="str">
        <f aca="false">IFERROR(VLOOKUP(B369,[2]'Cost Correction'!$D$2:$AJ$1627,33,0),"")</f>
        <v/>
      </c>
    </row>
    <row r="370" customFormat="false" ht="15" hidden="false" customHeight="false" outlineLevel="0" collapsed="false">
      <c r="A370" s="0" t="str">
        <f aca="false">E370&amp;L370&amp;Q370</f>
        <v>43356224560854</v>
      </c>
      <c r="B370" s="0" t="s">
        <v>963</v>
      </c>
      <c r="C370" s="0" t="s">
        <v>964</v>
      </c>
      <c r="D370" s="0" t="s">
        <v>28</v>
      </c>
      <c r="E370" s="44" t="n">
        <v>43356</v>
      </c>
      <c r="F370" s="0" t="s">
        <v>102</v>
      </c>
      <c r="G370" s="0" t="n">
        <v>21356941</v>
      </c>
      <c r="H370" s="0" t="n">
        <v>720193</v>
      </c>
      <c r="I370" s="0" t="s">
        <v>34</v>
      </c>
      <c r="J370" s="0" t="s">
        <v>174</v>
      </c>
      <c r="K370" s="0" t="s">
        <v>120</v>
      </c>
      <c r="L370" s="0" t="n">
        <v>224560854</v>
      </c>
      <c r="M370" s="0" t="s">
        <v>960</v>
      </c>
      <c r="N370" s="0" t="n">
        <v>103259550</v>
      </c>
      <c r="O370" s="0" t="n">
        <v>0</v>
      </c>
      <c r="P370" s="0" t="n">
        <v>0</v>
      </c>
      <c r="Q370" s="0" t="str">
        <f aca="false">IFERROR(VLOOKUP(B370,[2]'Cost Correction'!$D$2:$AJ$1627,33,0),"")</f>
        <v/>
      </c>
    </row>
    <row r="371" customFormat="false" ht="15" hidden="false" customHeight="false" outlineLevel="0" collapsed="false">
      <c r="A371" s="0" t="str">
        <f aca="false">E371&amp;L371&amp;Q371</f>
        <v>43355224560854</v>
      </c>
      <c r="B371" s="0" t="s">
        <v>965</v>
      </c>
      <c r="C371" s="0" t="s">
        <v>966</v>
      </c>
      <c r="D371" s="0" t="s">
        <v>28</v>
      </c>
      <c r="E371" s="44" t="n">
        <v>43355</v>
      </c>
      <c r="F371" s="0" t="s">
        <v>102</v>
      </c>
      <c r="G371" s="0" t="n">
        <v>21356941</v>
      </c>
      <c r="H371" s="0" t="n">
        <v>720193</v>
      </c>
      <c r="I371" s="0" t="s">
        <v>34</v>
      </c>
      <c r="J371" s="0" t="s">
        <v>174</v>
      </c>
      <c r="K371" s="0" t="s">
        <v>120</v>
      </c>
      <c r="L371" s="0" t="n">
        <v>224560854</v>
      </c>
      <c r="M371" s="0" t="s">
        <v>960</v>
      </c>
      <c r="N371" s="0" t="n">
        <v>103259550</v>
      </c>
      <c r="O371" s="0" t="n">
        <v>0</v>
      </c>
      <c r="P371" s="0" t="n">
        <v>0</v>
      </c>
      <c r="Q371" s="0" t="str">
        <f aca="false">IFERROR(VLOOKUP(B371,[2]'Cost Correction'!$D$2:$AJ$1627,33,0),"")</f>
        <v/>
      </c>
    </row>
    <row r="372" customFormat="false" ht="15" hidden="false" customHeight="false" outlineLevel="0" collapsed="false">
      <c r="A372" s="0" t="str">
        <f aca="false">E372&amp;L372&amp;Q372</f>
        <v>43354224560854</v>
      </c>
      <c r="B372" s="0" t="s">
        <v>967</v>
      </c>
      <c r="C372" s="0" t="s">
        <v>968</v>
      </c>
      <c r="D372" s="0" t="s">
        <v>28</v>
      </c>
      <c r="E372" s="44" t="n">
        <v>43354</v>
      </c>
      <c r="F372" s="0" t="s">
        <v>102</v>
      </c>
      <c r="G372" s="0" t="n">
        <v>21356941</v>
      </c>
      <c r="H372" s="0" t="n">
        <v>720193</v>
      </c>
      <c r="I372" s="0" t="s">
        <v>34</v>
      </c>
      <c r="J372" s="0" t="s">
        <v>174</v>
      </c>
      <c r="K372" s="0" t="s">
        <v>120</v>
      </c>
      <c r="L372" s="0" t="n">
        <v>224560854</v>
      </c>
      <c r="M372" s="0" t="s">
        <v>960</v>
      </c>
      <c r="N372" s="0" t="n">
        <v>103259550</v>
      </c>
      <c r="O372" s="0" t="n">
        <v>0</v>
      </c>
      <c r="P372" s="0" t="n">
        <v>0</v>
      </c>
      <c r="Q372" s="0" t="str">
        <f aca="false">IFERROR(VLOOKUP(B372,[2]'Cost Correction'!$D$2:$AJ$1627,33,0),"")</f>
        <v/>
      </c>
    </row>
    <row r="373" customFormat="false" ht="15" hidden="false" customHeight="false" outlineLevel="0" collapsed="false">
      <c r="A373" s="0" t="str">
        <f aca="false">E373&amp;L373&amp;Q373</f>
        <v>43353224560854</v>
      </c>
      <c r="B373" s="0" t="s">
        <v>969</v>
      </c>
      <c r="C373" s="0" t="s">
        <v>970</v>
      </c>
      <c r="D373" s="0" t="s">
        <v>28</v>
      </c>
      <c r="E373" s="44" t="n">
        <v>43353</v>
      </c>
      <c r="F373" s="0" t="s">
        <v>102</v>
      </c>
      <c r="G373" s="0" t="n">
        <v>21356941</v>
      </c>
      <c r="H373" s="0" t="n">
        <v>720193</v>
      </c>
      <c r="I373" s="0" t="s">
        <v>34</v>
      </c>
      <c r="J373" s="0" t="s">
        <v>174</v>
      </c>
      <c r="K373" s="0" t="s">
        <v>120</v>
      </c>
      <c r="L373" s="0" t="n">
        <v>224560854</v>
      </c>
      <c r="M373" s="0" t="s">
        <v>960</v>
      </c>
      <c r="N373" s="0" t="n">
        <v>103259550</v>
      </c>
      <c r="O373" s="0" t="n">
        <v>0</v>
      </c>
      <c r="P373" s="0" t="n">
        <v>0</v>
      </c>
      <c r="Q373" s="0" t="str">
        <f aca="false">IFERROR(VLOOKUP(B373,[2]'Cost Correction'!$D$2:$AJ$1627,33,0),"")</f>
        <v/>
      </c>
    </row>
    <row r="374" customFormat="false" ht="15" hidden="false" customHeight="false" outlineLevel="0" collapsed="false">
      <c r="A374" s="0" t="str">
        <f aca="false">E374&amp;L374&amp;Q374</f>
        <v>43352224560854</v>
      </c>
      <c r="B374" s="0" t="s">
        <v>971</v>
      </c>
      <c r="C374" s="0" t="s">
        <v>972</v>
      </c>
      <c r="D374" s="0" t="s">
        <v>28</v>
      </c>
      <c r="E374" s="44" t="n">
        <v>43352</v>
      </c>
      <c r="F374" s="0" t="s">
        <v>102</v>
      </c>
      <c r="G374" s="0" t="n">
        <v>21356941</v>
      </c>
      <c r="H374" s="0" t="n">
        <v>720193</v>
      </c>
      <c r="I374" s="0" t="s">
        <v>34</v>
      </c>
      <c r="J374" s="0" t="s">
        <v>174</v>
      </c>
      <c r="K374" s="0" t="s">
        <v>120</v>
      </c>
      <c r="L374" s="0" t="n">
        <v>224560854</v>
      </c>
      <c r="M374" s="0" t="s">
        <v>960</v>
      </c>
      <c r="N374" s="0" t="n">
        <v>103259550</v>
      </c>
      <c r="O374" s="0" t="n">
        <v>0</v>
      </c>
      <c r="P374" s="0" t="n">
        <v>0</v>
      </c>
      <c r="Q374" s="0" t="str">
        <f aca="false">IFERROR(VLOOKUP(B374,[2]'Cost Correction'!$D$2:$AJ$1627,33,0),"")</f>
        <v/>
      </c>
    </row>
    <row r="375" customFormat="false" ht="15" hidden="false" customHeight="false" outlineLevel="0" collapsed="false">
      <c r="A375" s="0" t="str">
        <f aca="false">E375&amp;L375&amp;Q375</f>
        <v>43358224560851</v>
      </c>
      <c r="B375" s="0" t="s">
        <v>973</v>
      </c>
      <c r="C375" s="0" t="s">
        <v>974</v>
      </c>
      <c r="D375" s="0" t="s">
        <v>28</v>
      </c>
      <c r="E375" s="44" t="n">
        <v>43358</v>
      </c>
      <c r="F375" s="0" t="s">
        <v>102</v>
      </c>
      <c r="G375" s="0" t="n">
        <v>21356941</v>
      </c>
      <c r="H375" s="0" t="n">
        <v>720193</v>
      </c>
      <c r="I375" s="0" t="s">
        <v>34</v>
      </c>
      <c r="J375" s="0" t="s">
        <v>174</v>
      </c>
      <c r="K375" s="0" t="s">
        <v>121</v>
      </c>
      <c r="L375" s="0" t="n">
        <v>224560851</v>
      </c>
      <c r="M375" s="0" t="s">
        <v>975</v>
      </c>
      <c r="N375" s="0" t="n">
        <v>103259562</v>
      </c>
      <c r="O375" s="0" t="n">
        <v>0</v>
      </c>
      <c r="P375" s="0" t="n">
        <v>0</v>
      </c>
      <c r="Q375" s="0" t="str">
        <f aca="false">IFERROR(VLOOKUP(B375,[2]'Cost Correction'!$D$2:$AJ$1627,33,0),"")</f>
        <v/>
      </c>
    </row>
    <row r="376" customFormat="false" ht="15" hidden="false" customHeight="false" outlineLevel="0" collapsed="false">
      <c r="A376" s="0" t="str">
        <f aca="false">E376&amp;L376&amp;Q376</f>
        <v>43357224560851</v>
      </c>
      <c r="B376" s="0" t="s">
        <v>976</v>
      </c>
      <c r="C376" s="0" t="s">
        <v>977</v>
      </c>
      <c r="D376" s="0" t="s">
        <v>28</v>
      </c>
      <c r="E376" s="44" t="n">
        <v>43357</v>
      </c>
      <c r="F376" s="0" t="s">
        <v>102</v>
      </c>
      <c r="G376" s="0" t="n">
        <v>21356941</v>
      </c>
      <c r="H376" s="0" t="n">
        <v>720193</v>
      </c>
      <c r="I376" s="0" t="s">
        <v>34</v>
      </c>
      <c r="J376" s="0" t="s">
        <v>174</v>
      </c>
      <c r="K376" s="0" t="s">
        <v>121</v>
      </c>
      <c r="L376" s="0" t="n">
        <v>224560851</v>
      </c>
      <c r="M376" s="0" t="s">
        <v>975</v>
      </c>
      <c r="N376" s="0" t="n">
        <v>103259562</v>
      </c>
      <c r="O376" s="0" t="n">
        <v>0</v>
      </c>
      <c r="P376" s="0" t="n">
        <v>0</v>
      </c>
      <c r="Q376" s="0" t="str">
        <f aca="false">IFERROR(VLOOKUP(B376,[2]'Cost Correction'!$D$2:$AJ$1627,33,0),"")</f>
        <v/>
      </c>
    </row>
    <row r="377" customFormat="false" ht="15" hidden="false" customHeight="false" outlineLevel="0" collapsed="false">
      <c r="A377" s="0" t="str">
        <f aca="false">E377&amp;L377&amp;Q377</f>
        <v>43356224560851</v>
      </c>
      <c r="B377" s="0" t="s">
        <v>978</v>
      </c>
      <c r="C377" s="0" t="s">
        <v>979</v>
      </c>
      <c r="D377" s="0" t="s">
        <v>28</v>
      </c>
      <c r="E377" s="44" t="n">
        <v>43356</v>
      </c>
      <c r="F377" s="0" t="s">
        <v>102</v>
      </c>
      <c r="G377" s="0" t="n">
        <v>21356941</v>
      </c>
      <c r="H377" s="0" t="n">
        <v>720193</v>
      </c>
      <c r="I377" s="0" t="s">
        <v>34</v>
      </c>
      <c r="J377" s="0" t="s">
        <v>174</v>
      </c>
      <c r="K377" s="0" t="s">
        <v>121</v>
      </c>
      <c r="L377" s="0" t="n">
        <v>224560851</v>
      </c>
      <c r="M377" s="0" t="s">
        <v>975</v>
      </c>
      <c r="N377" s="0" t="n">
        <v>103259562</v>
      </c>
      <c r="O377" s="0" t="n">
        <v>0</v>
      </c>
      <c r="P377" s="0" t="n">
        <v>0</v>
      </c>
      <c r="Q377" s="0" t="str">
        <f aca="false">IFERROR(VLOOKUP(B377,[2]'Cost Correction'!$D$2:$AJ$1627,33,0),"")</f>
        <v/>
      </c>
    </row>
    <row r="378" customFormat="false" ht="15" hidden="false" customHeight="false" outlineLevel="0" collapsed="false">
      <c r="A378" s="0" t="str">
        <f aca="false">E378&amp;L378&amp;Q378</f>
        <v>43355224560851</v>
      </c>
      <c r="B378" s="0" t="s">
        <v>980</v>
      </c>
      <c r="C378" s="0" t="s">
        <v>981</v>
      </c>
      <c r="D378" s="0" t="s">
        <v>28</v>
      </c>
      <c r="E378" s="44" t="n">
        <v>43355</v>
      </c>
      <c r="F378" s="0" t="s">
        <v>102</v>
      </c>
      <c r="G378" s="0" t="n">
        <v>21356941</v>
      </c>
      <c r="H378" s="0" t="n">
        <v>720193</v>
      </c>
      <c r="I378" s="0" t="s">
        <v>34</v>
      </c>
      <c r="J378" s="0" t="s">
        <v>174</v>
      </c>
      <c r="K378" s="0" t="s">
        <v>121</v>
      </c>
      <c r="L378" s="0" t="n">
        <v>224560851</v>
      </c>
      <c r="M378" s="0" t="s">
        <v>975</v>
      </c>
      <c r="N378" s="0" t="n">
        <v>103259562</v>
      </c>
      <c r="O378" s="0" t="n">
        <v>0</v>
      </c>
      <c r="P378" s="0" t="n">
        <v>0</v>
      </c>
      <c r="Q378" s="0" t="str">
        <f aca="false">IFERROR(VLOOKUP(B378,[2]'Cost Correction'!$D$2:$AJ$1627,33,0),"")</f>
        <v/>
      </c>
    </row>
    <row r="379" customFormat="false" ht="15" hidden="false" customHeight="false" outlineLevel="0" collapsed="false">
      <c r="A379" s="0" t="str">
        <f aca="false">E379&amp;L379&amp;Q379</f>
        <v>43354224560851</v>
      </c>
      <c r="B379" s="0" t="s">
        <v>982</v>
      </c>
      <c r="C379" s="0" t="s">
        <v>983</v>
      </c>
      <c r="D379" s="0" t="s">
        <v>28</v>
      </c>
      <c r="E379" s="44" t="n">
        <v>43354</v>
      </c>
      <c r="F379" s="0" t="s">
        <v>102</v>
      </c>
      <c r="G379" s="0" t="n">
        <v>21356941</v>
      </c>
      <c r="H379" s="0" t="n">
        <v>720193</v>
      </c>
      <c r="I379" s="0" t="s">
        <v>34</v>
      </c>
      <c r="J379" s="0" t="s">
        <v>174</v>
      </c>
      <c r="K379" s="0" t="s">
        <v>121</v>
      </c>
      <c r="L379" s="0" t="n">
        <v>224560851</v>
      </c>
      <c r="M379" s="0" t="s">
        <v>975</v>
      </c>
      <c r="N379" s="0" t="n">
        <v>103259562</v>
      </c>
      <c r="O379" s="0" t="n">
        <v>0</v>
      </c>
      <c r="P379" s="0" t="n">
        <v>0</v>
      </c>
      <c r="Q379" s="0" t="str">
        <f aca="false">IFERROR(VLOOKUP(B379,[2]'Cost Correction'!$D$2:$AJ$1627,33,0),"")</f>
        <v/>
      </c>
    </row>
    <row r="380" customFormat="false" ht="15" hidden="false" customHeight="false" outlineLevel="0" collapsed="false">
      <c r="A380" s="0" t="str">
        <f aca="false">E380&amp;L380&amp;Q380</f>
        <v>43353224560851</v>
      </c>
      <c r="B380" s="0" t="s">
        <v>984</v>
      </c>
      <c r="C380" s="0" t="s">
        <v>985</v>
      </c>
      <c r="D380" s="0" t="s">
        <v>28</v>
      </c>
      <c r="E380" s="44" t="n">
        <v>43353</v>
      </c>
      <c r="F380" s="0" t="s">
        <v>102</v>
      </c>
      <c r="G380" s="0" t="n">
        <v>21356941</v>
      </c>
      <c r="H380" s="0" t="n">
        <v>720193</v>
      </c>
      <c r="I380" s="0" t="s">
        <v>34</v>
      </c>
      <c r="J380" s="0" t="s">
        <v>174</v>
      </c>
      <c r="K380" s="0" t="s">
        <v>121</v>
      </c>
      <c r="L380" s="0" t="n">
        <v>224560851</v>
      </c>
      <c r="M380" s="0" t="s">
        <v>975</v>
      </c>
      <c r="N380" s="0" t="n">
        <v>103259562</v>
      </c>
      <c r="O380" s="0" t="n">
        <v>0</v>
      </c>
      <c r="P380" s="0" t="n">
        <v>0</v>
      </c>
      <c r="Q380" s="0" t="str">
        <f aca="false">IFERROR(VLOOKUP(B380,[2]'Cost Correction'!$D$2:$AJ$1627,33,0),"")</f>
        <v/>
      </c>
    </row>
    <row r="381" customFormat="false" ht="15" hidden="false" customHeight="false" outlineLevel="0" collapsed="false">
      <c r="A381" s="0" t="str">
        <f aca="false">E381&amp;L381&amp;Q381</f>
        <v>43352224560851</v>
      </c>
      <c r="B381" s="0" t="s">
        <v>986</v>
      </c>
      <c r="C381" s="0" t="s">
        <v>987</v>
      </c>
      <c r="D381" s="0" t="s">
        <v>28</v>
      </c>
      <c r="E381" s="44" t="n">
        <v>43352</v>
      </c>
      <c r="F381" s="0" t="s">
        <v>102</v>
      </c>
      <c r="G381" s="0" t="n">
        <v>21356941</v>
      </c>
      <c r="H381" s="0" t="n">
        <v>720193</v>
      </c>
      <c r="I381" s="0" t="s">
        <v>34</v>
      </c>
      <c r="J381" s="0" t="s">
        <v>174</v>
      </c>
      <c r="K381" s="0" t="s">
        <v>121</v>
      </c>
      <c r="L381" s="0" t="n">
        <v>224560851</v>
      </c>
      <c r="M381" s="0" t="s">
        <v>975</v>
      </c>
      <c r="N381" s="0" t="n">
        <v>103259562</v>
      </c>
      <c r="O381" s="0" t="n">
        <v>0</v>
      </c>
      <c r="P381" s="0" t="n">
        <v>0</v>
      </c>
      <c r="Q381" s="0" t="str">
        <f aca="false">IFERROR(VLOOKUP(B381,[2]'Cost Correction'!$D$2:$AJ$1627,33,0),"")</f>
        <v/>
      </c>
    </row>
    <row r="382" customFormat="false" ht="15" hidden="false" customHeight="false" outlineLevel="0" collapsed="false">
      <c r="A382" s="0" t="str">
        <f aca="false">E382&amp;L382&amp;Q382</f>
        <v>43358224560845</v>
      </c>
      <c r="B382" s="0" t="s">
        <v>988</v>
      </c>
      <c r="C382" s="0" t="s">
        <v>989</v>
      </c>
      <c r="D382" s="0" t="s">
        <v>28</v>
      </c>
      <c r="E382" s="44" t="n">
        <v>43358</v>
      </c>
      <c r="F382" s="0" t="s">
        <v>102</v>
      </c>
      <c r="G382" s="0" t="n">
        <v>21356941</v>
      </c>
      <c r="H382" s="0" t="n">
        <v>720193</v>
      </c>
      <c r="I382" s="0" t="s">
        <v>34</v>
      </c>
      <c r="J382" s="0" t="s">
        <v>174</v>
      </c>
      <c r="K382" s="0" t="s">
        <v>122</v>
      </c>
      <c r="L382" s="0" t="n">
        <v>224560845</v>
      </c>
      <c r="M382" s="0" t="s">
        <v>755</v>
      </c>
      <c r="N382" s="0" t="n">
        <v>103259520</v>
      </c>
      <c r="O382" s="0" t="n">
        <v>0</v>
      </c>
      <c r="P382" s="0" t="n">
        <v>0</v>
      </c>
      <c r="Q382" s="0" t="str">
        <f aca="false">IFERROR(VLOOKUP(B382,[2]'Cost Correction'!$D$2:$AJ$1627,33,0),"")</f>
        <v/>
      </c>
    </row>
    <row r="383" customFormat="false" ht="15" hidden="false" customHeight="false" outlineLevel="0" collapsed="false">
      <c r="A383" s="0" t="str">
        <f aca="false">E383&amp;L383&amp;Q383</f>
        <v>43357224560845</v>
      </c>
      <c r="B383" s="0" t="s">
        <v>990</v>
      </c>
      <c r="C383" s="0" t="s">
        <v>991</v>
      </c>
      <c r="D383" s="0" t="s">
        <v>28</v>
      </c>
      <c r="E383" s="44" t="n">
        <v>43357</v>
      </c>
      <c r="F383" s="0" t="s">
        <v>102</v>
      </c>
      <c r="G383" s="0" t="n">
        <v>21356941</v>
      </c>
      <c r="H383" s="0" t="n">
        <v>720193</v>
      </c>
      <c r="I383" s="0" t="s">
        <v>34</v>
      </c>
      <c r="J383" s="0" t="s">
        <v>174</v>
      </c>
      <c r="K383" s="0" t="s">
        <v>122</v>
      </c>
      <c r="L383" s="0" t="n">
        <v>224560845</v>
      </c>
      <c r="M383" s="0" t="s">
        <v>755</v>
      </c>
      <c r="N383" s="0" t="n">
        <v>103259520</v>
      </c>
      <c r="O383" s="0" t="n">
        <v>0</v>
      </c>
      <c r="P383" s="0" t="n">
        <v>0</v>
      </c>
      <c r="Q383" s="0" t="str">
        <f aca="false">IFERROR(VLOOKUP(B383,[2]'Cost Correction'!$D$2:$AJ$1627,33,0),"")</f>
        <v/>
      </c>
    </row>
    <row r="384" customFormat="false" ht="15" hidden="false" customHeight="false" outlineLevel="0" collapsed="false">
      <c r="A384" s="0" t="str">
        <f aca="false">E384&amp;L384&amp;Q384</f>
        <v>43356224560845</v>
      </c>
      <c r="B384" s="0" t="s">
        <v>992</v>
      </c>
      <c r="C384" s="0" t="s">
        <v>993</v>
      </c>
      <c r="D384" s="0" t="s">
        <v>28</v>
      </c>
      <c r="E384" s="44" t="n">
        <v>43356</v>
      </c>
      <c r="F384" s="0" t="s">
        <v>102</v>
      </c>
      <c r="G384" s="0" t="n">
        <v>21356941</v>
      </c>
      <c r="H384" s="0" t="n">
        <v>720193</v>
      </c>
      <c r="I384" s="0" t="s">
        <v>34</v>
      </c>
      <c r="J384" s="0" t="s">
        <v>174</v>
      </c>
      <c r="K384" s="0" t="s">
        <v>122</v>
      </c>
      <c r="L384" s="0" t="n">
        <v>224560845</v>
      </c>
      <c r="M384" s="0" t="s">
        <v>755</v>
      </c>
      <c r="N384" s="0" t="n">
        <v>103259520</v>
      </c>
      <c r="O384" s="0" t="n">
        <v>0</v>
      </c>
      <c r="P384" s="0" t="n">
        <v>0</v>
      </c>
      <c r="Q384" s="0" t="str">
        <f aca="false">IFERROR(VLOOKUP(B384,[2]'Cost Correction'!$D$2:$AJ$1627,33,0),"")</f>
        <v/>
      </c>
    </row>
    <row r="385" customFormat="false" ht="15" hidden="false" customHeight="false" outlineLevel="0" collapsed="false">
      <c r="A385" s="0" t="str">
        <f aca="false">E385&amp;L385&amp;Q385</f>
        <v>43355224560845</v>
      </c>
      <c r="B385" s="0" t="s">
        <v>994</v>
      </c>
      <c r="C385" s="0" t="s">
        <v>995</v>
      </c>
      <c r="D385" s="0" t="s">
        <v>28</v>
      </c>
      <c r="E385" s="44" t="n">
        <v>43355</v>
      </c>
      <c r="F385" s="0" t="s">
        <v>102</v>
      </c>
      <c r="G385" s="0" t="n">
        <v>21356941</v>
      </c>
      <c r="H385" s="0" t="n">
        <v>720193</v>
      </c>
      <c r="I385" s="0" t="s">
        <v>34</v>
      </c>
      <c r="J385" s="0" t="s">
        <v>174</v>
      </c>
      <c r="K385" s="0" t="s">
        <v>122</v>
      </c>
      <c r="L385" s="0" t="n">
        <v>224560845</v>
      </c>
      <c r="M385" s="0" t="s">
        <v>755</v>
      </c>
      <c r="N385" s="0" t="n">
        <v>103259520</v>
      </c>
      <c r="O385" s="0" t="n">
        <v>0</v>
      </c>
      <c r="P385" s="0" t="n">
        <v>0</v>
      </c>
      <c r="Q385" s="0" t="str">
        <f aca="false">IFERROR(VLOOKUP(B385,[2]'Cost Correction'!$D$2:$AJ$1627,33,0),"")</f>
        <v/>
      </c>
    </row>
    <row r="386" customFormat="false" ht="15" hidden="false" customHeight="false" outlineLevel="0" collapsed="false">
      <c r="A386" s="0" t="str">
        <f aca="false">E386&amp;L386&amp;Q386</f>
        <v>43354224560845</v>
      </c>
      <c r="B386" s="0" t="s">
        <v>996</v>
      </c>
      <c r="C386" s="0" t="s">
        <v>997</v>
      </c>
      <c r="D386" s="0" t="s">
        <v>28</v>
      </c>
      <c r="E386" s="44" t="n">
        <v>43354</v>
      </c>
      <c r="F386" s="0" t="s">
        <v>102</v>
      </c>
      <c r="G386" s="0" t="n">
        <v>21356941</v>
      </c>
      <c r="H386" s="0" t="n">
        <v>720193</v>
      </c>
      <c r="I386" s="0" t="s">
        <v>34</v>
      </c>
      <c r="J386" s="0" t="s">
        <v>174</v>
      </c>
      <c r="K386" s="0" t="s">
        <v>122</v>
      </c>
      <c r="L386" s="0" t="n">
        <v>224560845</v>
      </c>
      <c r="M386" s="0" t="s">
        <v>755</v>
      </c>
      <c r="N386" s="0" t="n">
        <v>103259520</v>
      </c>
      <c r="O386" s="0" t="n">
        <v>0</v>
      </c>
      <c r="P386" s="0" t="n">
        <v>0</v>
      </c>
      <c r="Q386" s="0" t="str">
        <f aca="false">IFERROR(VLOOKUP(B386,[2]'Cost Correction'!$D$2:$AJ$1627,33,0),"")</f>
        <v/>
      </c>
    </row>
    <row r="387" customFormat="false" ht="15" hidden="false" customHeight="false" outlineLevel="0" collapsed="false">
      <c r="A387" s="0" t="str">
        <f aca="false">E387&amp;L387&amp;Q387</f>
        <v>43353224560845</v>
      </c>
      <c r="B387" s="0" t="s">
        <v>998</v>
      </c>
      <c r="C387" s="0" t="s">
        <v>999</v>
      </c>
      <c r="D387" s="0" t="s">
        <v>28</v>
      </c>
      <c r="E387" s="44" t="n">
        <v>43353</v>
      </c>
      <c r="F387" s="0" t="s">
        <v>102</v>
      </c>
      <c r="G387" s="0" t="n">
        <v>21356941</v>
      </c>
      <c r="H387" s="0" t="n">
        <v>720193</v>
      </c>
      <c r="I387" s="0" t="s">
        <v>34</v>
      </c>
      <c r="J387" s="0" t="s">
        <v>174</v>
      </c>
      <c r="K387" s="0" t="s">
        <v>122</v>
      </c>
      <c r="L387" s="0" t="n">
        <v>224560845</v>
      </c>
      <c r="M387" s="0" t="s">
        <v>755</v>
      </c>
      <c r="N387" s="0" t="n">
        <v>103259520</v>
      </c>
      <c r="O387" s="0" t="n">
        <v>0</v>
      </c>
      <c r="P387" s="0" t="n">
        <v>0</v>
      </c>
      <c r="Q387" s="0" t="str">
        <f aca="false">IFERROR(VLOOKUP(B387,[2]'Cost Correction'!$D$2:$AJ$1627,33,0),"")</f>
        <v/>
      </c>
    </row>
    <row r="388" customFormat="false" ht="15" hidden="false" customHeight="false" outlineLevel="0" collapsed="false">
      <c r="A388" s="0" t="str">
        <f aca="false">E388&amp;L388&amp;Q388</f>
        <v>43352224560845</v>
      </c>
      <c r="B388" s="0" t="s">
        <v>1000</v>
      </c>
      <c r="C388" s="0" t="s">
        <v>1001</v>
      </c>
      <c r="D388" s="0" t="s">
        <v>28</v>
      </c>
      <c r="E388" s="44" t="n">
        <v>43352</v>
      </c>
      <c r="F388" s="0" t="s">
        <v>102</v>
      </c>
      <c r="G388" s="0" t="n">
        <v>21356941</v>
      </c>
      <c r="H388" s="0" t="n">
        <v>720193</v>
      </c>
      <c r="I388" s="0" t="s">
        <v>34</v>
      </c>
      <c r="J388" s="0" t="s">
        <v>174</v>
      </c>
      <c r="K388" s="0" t="s">
        <v>122</v>
      </c>
      <c r="L388" s="0" t="n">
        <v>224560845</v>
      </c>
      <c r="M388" s="0" t="s">
        <v>755</v>
      </c>
      <c r="N388" s="0" t="n">
        <v>103259520</v>
      </c>
      <c r="O388" s="0" t="n">
        <v>0</v>
      </c>
      <c r="P388" s="0" t="n">
        <v>0</v>
      </c>
      <c r="Q388" s="0" t="str">
        <f aca="false">IFERROR(VLOOKUP(B388,[2]'Cost Correction'!$D$2:$AJ$1627,33,0),"")</f>
        <v/>
      </c>
    </row>
    <row r="389" customFormat="false" ht="15" hidden="false" customHeight="false" outlineLevel="0" collapsed="false">
      <c r="A389" s="0" t="str">
        <f aca="false">E389&amp;L389&amp;Q389</f>
        <v>43358224560842</v>
      </c>
      <c r="B389" s="0" t="s">
        <v>1002</v>
      </c>
      <c r="C389" s="0" t="s">
        <v>1003</v>
      </c>
      <c r="D389" s="0" t="s">
        <v>28</v>
      </c>
      <c r="E389" s="44" t="n">
        <v>43358</v>
      </c>
      <c r="F389" s="0" t="s">
        <v>102</v>
      </c>
      <c r="G389" s="0" t="n">
        <v>21356941</v>
      </c>
      <c r="H389" s="0" t="n">
        <v>720193</v>
      </c>
      <c r="I389" s="0" t="s">
        <v>34</v>
      </c>
      <c r="J389" s="0" t="s">
        <v>174</v>
      </c>
      <c r="K389" s="0" t="s">
        <v>123</v>
      </c>
      <c r="L389" s="0" t="n">
        <v>224560842</v>
      </c>
      <c r="M389" s="0" t="s">
        <v>770</v>
      </c>
      <c r="N389" s="0" t="n">
        <v>103259769</v>
      </c>
      <c r="O389" s="0" t="n">
        <v>0</v>
      </c>
      <c r="P389" s="0" t="n">
        <v>0</v>
      </c>
      <c r="Q389" s="0" t="str">
        <f aca="false">IFERROR(VLOOKUP(B389,[2]'Cost Correction'!$D$2:$AJ$1627,33,0),"")</f>
        <v/>
      </c>
    </row>
    <row r="390" customFormat="false" ht="15" hidden="false" customHeight="false" outlineLevel="0" collapsed="false">
      <c r="A390" s="0" t="str">
        <f aca="false">E390&amp;L390&amp;Q390</f>
        <v>43357224560842</v>
      </c>
      <c r="B390" s="0" t="s">
        <v>1004</v>
      </c>
      <c r="C390" s="0" t="s">
        <v>1005</v>
      </c>
      <c r="D390" s="0" t="s">
        <v>28</v>
      </c>
      <c r="E390" s="44" t="n">
        <v>43357</v>
      </c>
      <c r="F390" s="0" t="s">
        <v>102</v>
      </c>
      <c r="G390" s="0" t="n">
        <v>21356941</v>
      </c>
      <c r="H390" s="0" t="n">
        <v>720193</v>
      </c>
      <c r="I390" s="0" t="s">
        <v>34</v>
      </c>
      <c r="J390" s="0" t="s">
        <v>174</v>
      </c>
      <c r="K390" s="0" t="s">
        <v>123</v>
      </c>
      <c r="L390" s="0" t="n">
        <v>224560842</v>
      </c>
      <c r="M390" s="0" t="s">
        <v>770</v>
      </c>
      <c r="N390" s="0" t="n">
        <v>103259769</v>
      </c>
      <c r="O390" s="0" t="n">
        <v>0</v>
      </c>
      <c r="P390" s="0" t="n">
        <v>0</v>
      </c>
      <c r="Q390" s="0" t="str">
        <f aca="false">IFERROR(VLOOKUP(B390,[2]'Cost Correction'!$D$2:$AJ$1627,33,0),"")</f>
        <v/>
      </c>
    </row>
    <row r="391" customFormat="false" ht="15" hidden="false" customHeight="false" outlineLevel="0" collapsed="false">
      <c r="A391" s="0" t="str">
        <f aca="false">E391&amp;L391&amp;Q391</f>
        <v>43356224560842</v>
      </c>
      <c r="B391" s="0" t="s">
        <v>1006</v>
      </c>
      <c r="C391" s="0" t="s">
        <v>1007</v>
      </c>
      <c r="D391" s="0" t="s">
        <v>28</v>
      </c>
      <c r="E391" s="44" t="n">
        <v>43356</v>
      </c>
      <c r="F391" s="0" t="s">
        <v>102</v>
      </c>
      <c r="G391" s="0" t="n">
        <v>21356941</v>
      </c>
      <c r="H391" s="0" t="n">
        <v>720193</v>
      </c>
      <c r="I391" s="0" t="s">
        <v>34</v>
      </c>
      <c r="J391" s="0" t="s">
        <v>174</v>
      </c>
      <c r="K391" s="0" t="s">
        <v>123</v>
      </c>
      <c r="L391" s="0" t="n">
        <v>224560842</v>
      </c>
      <c r="M391" s="0" t="s">
        <v>770</v>
      </c>
      <c r="N391" s="0" t="n">
        <v>103259769</v>
      </c>
      <c r="O391" s="0" t="n">
        <v>0</v>
      </c>
      <c r="P391" s="0" t="n">
        <v>0</v>
      </c>
      <c r="Q391" s="0" t="str">
        <f aca="false">IFERROR(VLOOKUP(B391,[2]'Cost Correction'!$D$2:$AJ$1627,33,0),"")</f>
        <v/>
      </c>
    </row>
    <row r="392" customFormat="false" ht="15" hidden="false" customHeight="false" outlineLevel="0" collapsed="false">
      <c r="A392" s="0" t="str">
        <f aca="false">E392&amp;L392&amp;Q392</f>
        <v>43355224560842</v>
      </c>
      <c r="B392" s="0" t="s">
        <v>1008</v>
      </c>
      <c r="C392" s="0" t="s">
        <v>1009</v>
      </c>
      <c r="D392" s="0" t="s">
        <v>28</v>
      </c>
      <c r="E392" s="44" t="n">
        <v>43355</v>
      </c>
      <c r="F392" s="0" t="s">
        <v>102</v>
      </c>
      <c r="G392" s="0" t="n">
        <v>21356941</v>
      </c>
      <c r="H392" s="0" t="n">
        <v>720193</v>
      </c>
      <c r="I392" s="0" t="s">
        <v>34</v>
      </c>
      <c r="J392" s="0" t="s">
        <v>174</v>
      </c>
      <c r="K392" s="0" t="s">
        <v>123</v>
      </c>
      <c r="L392" s="0" t="n">
        <v>224560842</v>
      </c>
      <c r="M392" s="0" t="s">
        <v>770</v>
      </c>
      <c r="N392" s="0" t="n">
        <v>103259769</v>
      </c>
      <c r="O392" s="0" t="n">
        <v>0</v>
      </c>
      <c r="P392" s="0" t="n">
        <v>0</v>
      </c>
      <c r="Q392" s="0" t="str">
        <f aca="false">IFERROR(VLOOKUP(B392,[2]'Cost Correction'!$D$2:$AJ$1627,33,0),"")</f>
        <v/>
      </c>
    </row>
    <row r="393" customFormat="false" ht="15" hidden="false" customHeight="false" outlineLevel="0" collapsed="false">
      <c r="A393" s="0" t="str">
        <f aca="false">E393&amp;L393&amp;Q393</f>
        <v>43354224560842</v>
      </c>
      <c r="B393" s="0" t="s">
        <v>1010</v>
      </c>
      <c r="C393" s="0" t="s">
        <v>1011</v>
      </c>
      <c r="D393" s="0" t="s">
        <v>28</v>
      </c>
      <c r="E393" s="44" t="n">
        <v>43354</v>
      </c>
      <c r="F393" s="0" t="s">
        <v>102</v>
      </c>
      <c r="G393" s="0" t="n">
        <v>21356941</v>
      </c>
      <c r="H393" s="0" t="n">
        <v>720193</v>
      </c>
      <c r="I393" s="0" t="s">
        <v>34</v>
      </c>
      <c r="J393" s="0" t="s">
        <v>174</v>
      </c>
      <c r="K393" s="0" t="s">
        <v>123</v>
      </c>
      <c r="L393" s="0" t="n">
        <v>224560842</v>
      </c>
      <c r="M393" s="0" t="s">
        <v>770</v>
      </c>
      <c r="N393" s="0" t="n">
        <v>103259769</v>
      </c>
      <c r="O393" s="0" t="n">
        <v>0</v>
      </c>
      <c r="P393" s="0" t="n">
        <v>0</v>
      </c>
      <c r="Q393" s="0" t="str">
        <f aca="false">IFERROR(VLOOKUP(B393,[2]'Cost Correction'!$D$2:$AJ$1627,33,0),"")</f>
        <v/>
      </c>
    </row>
    <row r="394" customFormat="false" ht="15" hidden="false" customHeight="false" outlineLevel="0" collapsed="false">
      <c r="A394" s="0" t="str">
        <f aca="false">E394&amp;L394&amp;Q394</f>
        <v>43353224560842</v>
      </c>
      <c r="B394" s="0" t="s">
        <v>1012</v>
      </c>
      <c r="C394" s="0" t="s">
        <v>1013</v>
      </c>
      <c r="D394" s="0" t="s">
        <v>28</v>
      </c>
      <c r="E394" s="44" t="n">
        <v>43353</v>
      </c>
      <c r="F394" s="0" t="s">
        <v>102</v>
      </c>
      <c r="G394" s="0" t="n">
        <v>21356941</v>
      </c>
      <c r="H394" s="0" t="n">
        <v>720193</v>
      </c>
      <c r="I394" s="0" t="s">
        <v>34</v>
      </c>
      <c r="J394" s="0" t="s">
        <v>174</v>
      </c>
      <c r="K394" s="0" t="s">
        <v>123</v>
      </c>
      <c r="L394" s="0" t="n">
        <v>224560842</v>
      </c>
      <c r="M394" s="0" t="s">
        <v>770</v>
      </c>
      <c r="N394" s="0" t="n">
        <v>103259769</v>
      </c>
      <c r="O394" s="0" t="n">
        <v>0</v>
      </c>
      <c r="P394" s="0" t="n">
        <v>0</v>
      </c>
      <c r="Q394" s="0" t="str">
        <f aca="false">IFERROR(VLOOKUP(B394,[2]'Cost Correction'!$D$2:$AJ$1627,33,0),"")</f>
        <v/>
      </c>
    </row>
    <row r="395" customFormat="false" ht="15" hidden="false" customHeight="false" outlineLevel="0" collapsed="false">
      <c r="A395" s="0" t="str">
        <f aca="false">E395&amp;L395&amp;Q395</f>
        <v>43352224560842</v>
      </c>
      <c r="B395" s="0" t="s">
        <v>1014</v>
      </c>
      <c r="C395" s="0" t="s">
        <v>1015</v>
      </c>
      <c r="D395" s="0" t="s">
        <v>28</v>
      </c>
      <c r="E395" s="44" t="n">
        <v>43352</v>
      </c>
      <c r="F395" s="0" t="s">
        <v>102</v>
      </c>
      <c r="G395" s="0" t="n">
        <v>21356941</v>
      </c>
      <c r="H395" s="0" t="n">
        <v>720193</v>
      </c>
      <c r="I395" s="0" t="s">
        <v>34</v>
      </c>
      <c r="J395" s="0" t="s">
        <v>174</v>
      </c>
      <c r="K395" s="0" t="s">
        <v>123</v>
      </c>
      <c r="L395" s="0" t="n">
        <v>224560842</v>
      </c>
      <c r="M395" s="0" t="s">
        <v>770</v>
      </c>
      <c r="N395" s="0" t="n">
        <v>103259769</v>
      </c>
      <c r="O395" s="0" t="n">
        <v>0</v>
      </c>
      <c r="P395" s="0" t="n">
        <v>0</v>
      </c>
      <c r="Q395" s="0" t="str">
        <f aca="false">IFERROR(VLOOKUP(B395,[2]'Cost Correction'!$D$2:$AJ$1627,33,0),"")</f>
        <v/>
      </c>
    </row>
    <row r="396" customFormat="false" ht="15" hidden="false" customHeight="false" outlineLevel="0" collapsed="false">
      <c r="A396" s="0" t="str">
        <f aca="false">E396&amp;L396&amp;Q396</f>
        <v>43358224560839</v>
      </c>
      <c r="B396" s="0" t="s">
        <v>1016</v>
      </c>
      <c r="C396" s="0" t="s">
        <v>1017</v>
      </c>
      <c r="D396" s="0" t="s">
        <v>28</v>
      </c>
      <c r="E396" s="44" t="n">
        <v>43358</v>
      </c>
      <c r="F396" s="0" t="s">
        <v>102</v>
      </c>
      <c r="G396" s="0" t="n">
        <v>21356941</v>
      </c>
      <c r="H396" s="0" t="n">
        <v>720193</v>
      </c>
      <c r="I396" s="0" t="s">
        <v>34</v>
      </c>
      <c r="J396" s="0" t="s">
        <v>174</v>
      </c>
      <c r="K396" s="0" t="s">
        <v>124</v>
      </c>
      <c r="L396" s="0" t="n">
        <v>224560839</v>
      </c>
      <c r="M396" s="0" t="s">
        <v>785</v>
      </c>
      <c r="N396" s="0" t="n">
        <v>103257810</v>
      </c>
      <c r="O396" s="0" t="n">
        <v>0</v>
      </c>
      <c r="P396" s="0" t="n">
        <v>0</v>
      </c>
      <c r="Q396" s="0" t="str">
        <f aca="false">IFERROR(VLOOKUP(B396,[2]'Cost Correction'!$D$2:$AJ$1627,33,0),"")</f>
        <v/>
      </c>
    </row>
    <row r="397" customFormat="false" ht="15" hidden="false" customHeight="false" outlineLevel="0" collapsed="false">
      <c r="A397" s="0" t="str">
        <f aca="false">E397&amp;L397&amp;Q397</f>
        <v>43357224560839</v>
      </c>
      <c r="B397" s="0" t="s">
        <v>1018</v>
      </c>
      <c r="C397" s="0" t="s">
        <v>1019</v>
      </c>
      <c r="D397" s="0" t="s">
        <v>28</v>
      </c>
      <c r="E397" s="44" t="n">
        <v>43357</v>
      </c>
      <c r="F397" s="0" t="s">
        <v>102</v>
      </c>
      <c r="G397" s="0" t="n">
        <v>21356941</v>
      </c>
      <c r="H397" s="0" t="n">
        <v>720193</v>
      </c>
      <c r="I397" s="0" t="s">
        <v>34</v>
      </c>
      <c r="J397" s="0" t="s">
        <v>174</v>
      </c>
      <c r="K397" s="0" t="s">
        <v>124</v>
      </c>
      <c r="L397" s="0" t="n">
        <v>224560839</v>
      </c>
      <c r="M397" s="0" t="s">
        <v>785</v>
      </c>
      <c r="N397" s="0" t="n">
        <v>103257810</v>
      </c>
      <c r="O397" s="0" t="n">
        <v>0</v>
      </c>
      <c r="P397" s="0" t="n">
        <v>0</v>
      </c>
      <c r="Q397" s="0" t="str">
        <f aca="false">IFERROR(VLOOKUP(B397,[2]'Cost Correction'!$D$2:$AJ$1627,33,0),"")</f>
        <v/>
      </c>
    </row>
    <row r="398" customFormat="false" ht="15" hidden="false" customHeight="false" outlineLevel="0" collapsed="false">
      <c r="A398" s="0" t="str">
        <f aca="false">E398&amp;L398&amp;Q398</f>
        <v>43356224560839</v>
      </c>
      <c r="B398" s="0" t="s">
        <v>1020</v>
      </c>
      <c r="C398" s="0" t="s">
        <v>1021</v>
      </c>
      <c r="D398" s="0" t="s">
        <v>28</v>
      </c>
      <c r="E398" s="44" t="n">
        <v>43356</v>
      </c>
      <c r="F398" s="0" t="s">
        <v>102</v>
      </c>
      <c r="G398" s="0" t="n">
        <v>21356941</v>
      </c>
      <c r="H398" s="0" t="n">
        <v>720193</v>
      </c>
      <c r="I398" s="0" t="s">
        <v>34</v>
      </c>
      <c r="J398" s="0" t="s">
        <v>174</v>
      </c>
      <c r="K398" s="0" t="s">
        <v>124</v>
      </c>
      <c r="L398" s="0" t="n">
        <v>224560839</v>
      </c>
      <c r="M398" s="0" t="s">
        <v>785</v>
      </c>
      <c r="N398" s="0" t="n">
        <v>103257810</v>
      </c>
      <c r="O398" s="0" t="n">
        <v>0</v>
      </c>
      <c r="P398" s="0" t="n">
        <v>0</v>
      </c>
      <c r="Q398" s="0" t="str">
        <f aca="false">IFERROR(VLOOKUP(B398,[2]'Cost Correction'!$D$2:$AJ$1627,33,0),"")</f>
        <v/>
      </c>
    </row>
    <row r="399" customFormat="false" ht="15" hidden="false" customHeight="false" outlineLevel="0" collapsed="false">
      <c r="A399" s="0" t="str">
        <f aca="false">E399&amp;L399&amp;Q399</f>
        <v>43355224560839</v>
      </c>
      <c r="B399" s="0" t="s">
        <v>1022</v>
      </c>
      <c r="C399" s="0" t="s">
        <v>1023</v>
      </c>
      <c r="D399" s="0" t="s">
        <v>28</v>
      </c>
      <c r="E399" s="44" t="n">
        <v>43355</v>
      </c>
      <c r="F399" s="0" t="s">
        <v>102</v>
      </c>
      <c r="G399" s="0" t="n">
        <v>21356941</v>
      </c>
      <c r="H399" s="0" t="n">
        <v>720193</v>
      </c>
      <c r="I399" s="0" t="s">
        <v>34</v>
      </c>
      <c r="J399" s="0" t="s">
        <v>174</v>
      </c>
      <c r="K399" s="0" t="s">
        <v>124</v>
      </c>
      <c r="L399" s="0" t="n">
        <v>224560839</v>
      </c>
      <c r="M399" s="0" t="s">
        <v>785</v>
      </c>
      <c r="N399" s="0" t="n">
        <v>103257810</v>
      </c>
      <c r="O399" s="0" t="n">
        <v>0</v>
      </c>
      <c r="P399" s="0" t="n">
        <v>0</v>
      </c>
      <c r="Q399" s="0" t="str">
        <f aca="false">IFERROR(VLOOKUP(B399,[2]'Cost Correction'!$D$2:$AJ$1627,33,0),"")</f>
        <v/>
      </c>
    </row>
    <row r="400" customFormat="false" ht="15" hidden="false" customHeight="false" outlineLevel="0" collapsed="false">
      <c r="A400" s="0" t="str">
        <f aca="false">E400&amp;L400&amp;Q400</f>
        <v>43354224560839</v>
      </c>
      <c r="B400" s="0" t="s">
        <v>1024</v>
      </c>
      <c r="C400" s="0" t="s">
        <v>1025</v>
      </c>
      <c r="D400" s="0" t="s">
        <v>28</v>
      </c>
      <c r="E400" s="44" t="n">
        <v>43354</v>
      </c>
      <c r="F400" s="0" t="s">
        <v>102</v>
      </c>
      <c r="G400" s="0" t="n">
        <v>21356941</v>
      </c>
      <c r="H400" s="0" t="n">
        <v>720193</v>
      </c>
      <c r="I400" s="0" t="s">
        <v>34</v>
      </c>
      <c r="J400" s="0" t="s">
        <v>174</v>
      </c>
      <c r="K400" s="0" t="s">
        <v>124</v>
      </c>
      <c r="L400" s="0" t="n">
        <v>224560839</v>
      </c>
      <c r="M400" s="0" t="s">
        <v>785</v>
      </c>
      <c r="N400" s="0" t="n">
        <v>103257810</v>
      </c>
      <c r="O400" s="0" t="n">
        <v>0</v>
      </c>
      <c r="P400" s="0" t="n">
        <v>0</v>
      </c>
      <c r="Q400" s="0" t="str">
        <f aca="false">IFERROR(VLOOKUP(B400,[2]'Cost Correction'!$D$2:$AJ$1627,33,0),"")</f>
        <v/>
      </c>
    </row>
    <row r="401" customFormat="false" ht="15" hidden="false" customHeight="false" outlineLevel="0" collapsed="false">
      <c r="A401" s="0" t="str">
        <f aca="false">E401&amp;L401&amp;Q401</f>
        <v>43353224560839</v>
      </c>
      <c r="B401" s="0" t="s">
        <v>1026</v>
      </c>
      <c r="C401" s="0" t="s">
        <v>1027</v>
      </c>
      <c r="D401" s="0" t="s">
        <v>28</v>
      </c>
      <c r="E401" s="44" t="n">
        <v>43353</v>
      </c>
      <c r="F401" s="0" t="s">
        <v>102</v>
      </c>
      <c r="G401" s="0" t="n">
        <v>21356941</v>
      </c>
      <c r="H401" s="0" t="n">
        <v>720193</v>
      </c>
      <c r="I401" s="0" t="s">
        <v>34</v>
      </c>
      <c r="J401" s="0" t="s">
        <v>174</v>
      </c>
      <c r="K401" s="0" t="s">
        <v>124</v>
      </c>
      <c r="L401" s="0" t="n">
        <v>224560839</v>
      </c>
      <c r="M401" s="0" t="s">
        <v>785</v>
      </c>
      <c r="N401" s="0" t="n">
        <v>103257810</v>
      </c>
      <c r="O401" s="0" t="n">
        <v>0</v>
      </c>
      <c r="P401" s="0" t="n">
        <v>0</v>
      </c>
      <c r="Q401" s="0" t="str">
        <f aca="false">IFERROR(VLOOKUP(B401,[2]'Cost Correction'!$D$2:$AJ$1627,33,0),"")</f>
        <v/>
      </c>
    </row>
    <row r="402" customFormat="false" ht="15" hidden="false" customHeight="false" outlineLevel="0" collapsed="false">
      <c r="A402" s="0" t="str">
        <f aca="false">E402&amp;L402&amp;Q402</f>
        <v>43352224560839</v>
      </c>
      <c r="B402" s="0" t="s">
        <v>1028</v>
      </c>
      <c r="C402" s="0" t="s">
        <v>1029</v>
      </c>
      <c r="D402" s="0" t="s">
        <v>28</v>
      </c>
      <c r="E402" s="44" t="n">
        <v>43352</v>
      </c>
      <c r="F402" s="0" t="s">
        <v>102</v>
      </c>
      <c r="G402" s="0" t="n">
        <v>21356941</v>
      </c>
      <c r="H402" s="0" t="n">
        <v>720193</v>
      </c>
      <c r="I402" s="0" t="s">
        <v>34</v>
      </c>
      <c r="J402" s="0" t="s">
        <v>174</v>
      </c>
      <c r="K402" s="0" t="s">
        <v>124</v>
      </c>
      <c r="L402" s="0" t="n">
        <v>224560839</v>
      </c>
      <c r="M402" s="0" t="s">
        <v>785</v>
      </c>
      <c r="N402" s="0" t="n">
        <v>103257810</v>
      </c>
      <c r="O402" s="0" t="n">
        <v>0</v>
      </c>
      <c r="P402" s="0" t="n">
        <v>0</v>
      </c>
      <c r="Q402" s="0" t="str">
        <f aca="false">IFERROR(VLOOKUP(B402,[2]'Cost Correction'!$D$2:$AJ$1627,33,0),"")</f>
        <v/>
      </c>
    </row>
    <row r="403" customFormat="false" ht="15" hidden="false" customHeight="false" outlineLevel="0" collapsed="false">
      <c r="A403" s="0" t="str">
        <f aca="false">E403&amp;L403&amp;Q403</f>
        <v>43358224560836</v>
      </c>
      <c r="B403" s="0" t="s">
        <v>1030</v>
      </c>
      <c r="C403" s="0" t="s">
        <v>1031</v>
      </c>
      <c r="D403" s="0" t="s">
        <v>28</v>
      </c>
      <c r="E403" s="44" t="n">
        <v>43358</v>
      </c>
      <c r="F403" s="0" t="s">
        <v>102</v>
      </c>
      <c r="G403" s="0" t="n">
        <v>21356941</v>
      </c>
      <c r="H403" s="0" t="n">
        <v>720193</v>
      </c>
      <c r="I403" s="0" t="s">
        <v>34</v>
      </c>
      <c r="J403" s="0" t="s">
        <v>174</v>
      </c>
      <c r="K403" s="0" t="s">
        <v>125</v>
      </c>
      <c r="L403" s="0" t="n">
        <v>224560836</v>
      </c>
      <c r="M403" s="0" t="s">
        <v>800</v>
      </c>
      <c r="N403" s="0" t="n">
        <v>103259010</v>
      </c>
      <c r="O403" s="0" t="n">
        <v>0</v>
      </c>
      <c r="P403" s="0" t="n">
        <v>0</v>
      </c>
      <c r="Q403" s="0" t="str">
        <f aca="false">IFERROR(VLOOKUP(B403,[2]'Cost Correction'!$D$2:$AJ$1627,33,0),"")</f>
        <v/>
      </c>
    </row>
    <row r="404" customFormat="false" ht="15" hidden="false" customHeight="false" outlineLevel="0" collapsed="false">
      <c r="A404" s="0" t="str">
        <f aca="false">E404&amp;L404&amp;Q404</f>
        <v>43357224560836</v>
      </c>
      <c r="B404" s="0" t="s">
        <v>1032</v>
      </c>
      <c r="C404" s="0" t="s">
        <v>1033</v>
      </c>
      <c r="D404" s="0" t="s">
        <v>28</v>
      </c>
      <c r="E404" s="44" t="n">
        <v>43357</v>
      </c>
      <c r="F404" s="0" t="s">
        <v>102</v>
      </c>
      <c r="G404" s="0" t="n">
        <v>21356941</v>
      </c>
      <c r="H404" s="0" t="n">
        <v>720193</v>
      </c>
      <c r="I404" s="0" t="s">
        <v>34</v>
      </c>
      <c r="J404" s="0" t="s">
        <v>174</v>
      </c>
      <c r="K404" s="0" t="s">
        <v>125</v>
      </c>
      <c r="L404" s="0" t="n">
        <v>224560836</v>
      </c>
      <c r="M404" s="0" t="s">
        <v>800</v>
      </c>
      <c r="N404" s="0" t="n">
        <v>103259010</v>
      </c>
      <c r="O404" s="0" t="n">
        <v>0</v>
      </c>
      <c r="P404" s="0" t="n">
        <v>0</v>
      </c>
      <c r="Q404" s="0" t="str">
        <f aca="false">IFERROR(VLOOKUP(B404,[2]'Cost Correction'!$D$2:$AJ$1627,33,0),"")</f>
        <v/>
      </c>
    </row>
    <row r="405" customFormat="false" ht="15" hidden="false" customHeight="false" outlineLevel="0" collapsed="false">
      <c r="A405" s="0" t="str">
        <f aca="false">E405&amp;L405&amp;Q405</f>
        <v>43356224560836</v>
      </c>
      <c r="B405" s="0" t="s">
        <v>1034</v>
      </c>
      <c r="C405" s="0" t="s">
        <v>1035</v>
      </c>
      <c r="D405" s="0" t="s">
        <v>28</v>
      </c>
      <c r="E405" s="44" t="n">
        <v>43356</v>
      </c>
      <c r="F405" s="0" t="s">
        <v>102</v>
      </c>
      <c r="G405" s="0" t="n">
        <v>21356941</v>
      </c>
      <c r="H405" s="0" t="n">
        <v>720193</v>
      </c>
      <c r="I405" s="0" t="s">
        <v>34</v>
      </c>
      <c r="J405" s="0" t="s">
        <v>174</v>
      </c>
      <c r="K405" s="0" t="s">
        <v>125</v>
      </c>
      <c r="L405" s="0" t="n">
        <v>224560836</v>
      </c>
      <c r="M405" s="0" t="s">
        <v>800</v>
      </c>
      <c r="N405" s="0" t="n">
        <v>103259010</v>
      </c>
      <c r="O405" s="0" t="n">
        <v>0</v>
      </c>
      <c r="P405" s="0" t="n">
        <v>0</v>
      </c>
      <c r="Q405" s="0" t="str">
        <f aca="false">IFERROR(VLOOKUP(B405,[2]'Cost Correction'!$D$2:$AJ$1627,33,0),"")</f>
        <v/>
      </c>
    </row>
    <row r="406" customFormat="false" ht="15" hidden="false" customHeight="false" outlineLevel="0" collapsed="false">
      <c r="A406" s="0" t="str">
        <f aca="false">E406&amp;L406&amp;Q406</f>
        <v>43355224560836</v>
      </c>
      <c r="B406" s="0" t="s">
        <v>1036</v>
      </c>
      <c r="C406" s="0" t="s">
        <v>1037</v>
      </c>
      <c r="D406" s="0" t="s">
        <v>28</v>
      </c>
      <c r="E406" s="44" t="n">
        <v>43355</v>
      </c>
      <c r="F406" s="0" t="s">
        <v>102</v>
      </c>
      <c r="G406" s="0" t="n">
        <v>21356941</v>
      </c>
      <c r="H406" s="0" t="n">
        <v>720193</v>
      </c>
      <c r="I406" s="0" t="s">
        <v>34</v>
      </c>
      <c r="J406" s="0" t="s">
        <v>174</v>
      </c>
      <c r="K406" s="0" t="s">
        <v>125</v>
      </c>
      <c r="L406" s="0" t="n">
        <v>224560836</v>
      </c>
      <c r="M406" s="0" t="s">
        <v>800</v>
      </c>
      <c r="N406" s="0" t="n">
        <v>103259010</v>
      </c>
      <c r="O406" s="0" t="n">
        <v>0</v>
      </c>
      <c r="P406" s="0" t="n">
        <v>0</v>
      </c>
      <c r="Q406" s="0" t="str">
        <f aca="false">IFERROR(VLOOKUP(B406,[2]'Cost Correction'!$D$2:$AJ$1627,33,0),"")</f>
        <v/>
      </c>
    </row>
    <row r="407" customFormat="false" ht="15" hidden="false" customHeight="false" outlineLevel="0" collapsed="false">
      <c r="A407" s="0" t="str">
        <f aca="false">E407&amp;L407&amp;Q407</f>
        <v>43354224560836</v>
      </c>
      <c r="B407" s="0" t="s">
        <v>1038</v>
      </c>
      <c r="C407" s="0" t="s">
        <v>1039</v>
      </c>
      <c r="D407" s="0" t="s">
        <v>28</v>
      </c>
      <c r="E407" s="44" t="n">
        <v>43354</v>
      </c>
      <c r="F407" s="0" t="s">
        <v>102</v>
      </c>
      <c r="G407" s="0" t="n">
        <v>21356941</v>
      </c>
      <c r="H407" s="0" t="n">
        <v>720193</v>
      </c>
      <c r="I407" s="0" t="s">
        <v>34</v>
      </c>
      <c r="J407" s="0" t="s">
        <v>174</v>
      </c>
      <c r="K407" s="0" t="s">
        <v>125</v>
      </c>
      <c r="L407" s="0" t="n">
        <v>224560836</v>
      </c>
      <c r="M407" s="0" t="s">
        <v>800</v>
      </c>
      <c r="N407" s="0" t="n">
        <v>103259010</v>
      </c>
      <c r="O407" s="0" t="n">
        <v>0</v>
      </c>
      <c r="P407" s="0" t="n">
        <v>0</v>
      </c>
      <c r="Q407" s="0" t="str">
        <f aca="false">IFERROR(VLOOKUP(B407,[2]'Cost Correction'!$D$2:$AJ$1627,33,0),"")</f>
        <v/>
      </c>
    </row>
    <row r="408" customFormat="false" ht="15" hidden="false" customHeight="false" outlineLevel="0" collapsed="false">
      <c r="A408" s="0" t="str">
        <f aca="false">E408&amp;L408&amp;Q408</f>
        <v>43353224560836</v>
      </c>
      <c r="B408" s="0" t="s">
        <v>1040</v>
      </c>
      <c r="C408" s="0" t="s">
        <v>1041</v>
      </c>
      <c r="D408" s="0" t="s">
        <v>28</v>
      </c>
      <c r="E408" s="44" t="n">
        <v>43353</v>
      </c>
      <c r="F408" s="0" t="s">
        <v>102</v>
      </c>
      <c r="G408" s="0" t="n">
        <v>21356941</v>
      </c>
      <c r="H408" s="0" t="n">
        <v>720193</v>
      </c>
      <c r="I408" s="0" t="s">
        <v>34</v>
      </c>
      <c r="J408" s="0" t="s">
        <v>174</v>
      </c>
      <c r="K408" s="0" t="s">
        <v>125</v>
      </c>
      <c r="L408" s="0" t="n">
        <v>224560836</v>
      </c>
      <c r="M408" s="0" t="s">
        <v>800</v>
      </c>
      <c r="N408" s="0" t="n">
        <v>103259010</v>
      </c>
      <c r="O408" s="0" t="n">
        <v>0</v>
      </c>
      <c r="P408" s="0" t="n">
        <v>0</v>
      </c>
      <c r="Q408" s="0" t="str">
        <f aca="false">IFERROR(VLOOKUP(B408,[2]'Cost Correction'!$D$2:$AJ$1627,33,0),"")</f>
        <v/>
      </c>
    </row>
    <row r="409" customFormat="false" ht="15" hidden="false" customHeight="false" outlineLevel="0" collapsed="false">
      <c r="A409" s="0" t="str">
        <f aca="false">E409&amp;L409&amp;Q409</f>
        <v>43352224560836</v>
      </c>
      <c r="B409" s="0" t="s">
        <v>1042</v>
      </c>
      <c r="C409" s="0" t="s">
        <v>1043</v>
      </c>
      <c r="D409" s="0" t="s">
        <v>28</v>
      </c>
      <c r="E409" s="44" t="n">
        <v>43352</v>
      </c>
      <c r="F409" s="0" t="s">
        <v>102</v>
      </c>
      <c r="G409" s="0" t="n">
        <v>21356941</v>
      </c>
      <c r="H409" s="0" t="n">
        <v>720193</v>
      </c>
      <c r="I409" s="0" t="s">
        <v>34</v>
      </c>
      <c r="J409" s="0" t="s">
        <v>174</v>
      </c>
      <c r="K409" s="0" t="s">
        <v>125</v>
      </c>
      <c r="L409" s="0" t="n">
        <v>224560836</v>
      </c>
      <c r="M409" s="0" t="s">
        <v>800</v>
      </c>
      <c r="N409" s="0" t="n">
        <v>103259010</v>
      </c>
      <c r="O409" s="0" t="n">
        <v>0</v>
      </c>
      <c r="P409" s="0" t="n">
        <v>0</v>
      </c>
      <c r="Q409" s="0" t="str">
        <f aca="false">IFERROR(VLOOKUP(B409,[2]'Cost Correction'!$D$2:$AJ$1627,33,0),"")</f>
        <v/>
      </c>
    </row>
    <row r="410" customFormat="false" ht="15" hidden="false" customHeight="false" outlineLevel="0" collapsed="false">
      <c r="A410" s="0" t="str">
        <f aca="false">E410&amp;L410&amp;Q410</f>
        <v>43358224560833</v>
      </c>
      <c r="B410" s="0" t="s">
        <v>1044</v>
      </c>
      <c r="C410" s="0" t="s">
        <v>1045</v>
      </c>
      <c r="D410" s="0" t="s">
        <v>28</v>
      </c>
      <c r="E410" s="44" t="n">
        <v>43358</v>
      </c>
      <c r="F410" s="0" t="s">
        <v>102</v>
      </c>
      <c r="G410" s="0" t="n">
        <v>21356941</v>
      </c>
      <c r="H410" s="0" t="n">
        <v>720193</v>
      </c>
      <c r="I410" s="0" t="s">
        <v>34</v>
      </c>
      <c r="J410" s="0" t="s">
        <v>174</v>
      </c>
      <c r="K410" s="0" t="s">
        <v>126</v>
      </c>
      <c r="L410" s="0" t="n">
        <v>224560833</v>
      </c>
      <c r="M410" s="0" t="s">
        <v>815</v>
      </c>
      <c r="N410" s="0" t="n">
        <v>103376990</v>
      </c>
      <c r="O410" s="0" t="n">
        <v>0</v>
      </c>
      <c r="P410" s="0" t="n">
        <v>0</v>
      </c>
      <c r="Q410" s="0" t="str">
        <f aca="false">IFERROR(VLOOKUP(B410,[2]'Cost Correction'!$D$2:$AJ$1627,33,0),"")</f>
        <v/>
      </c>
    </row>
    <row r="411" customFormat="false" ht="15" hidden="false" customHeight="false" outlineLevel="0" collapsed="false">
      <c r="A411" s="0" t="str">
        <f aca="false">E411&amp;L411&amp;Q411</f>
        <v>43357224560833</v>
      </c>
      <c r="B411" s="0" t="s">
        <v>1046</v>
      </c>
      <c r="C411" s="0" t="s">
        <v>1047</v>
      </c>
      <c r="D411" s="0" t="s">
        <v>28</v>
      </c>
      <c r="E411" s="44" t="n">
        <v>43357</v>
      </c>
      <c r="F411" s="0" t="s">
        <v>102</v>
      </c>
      <c r="G411" s="0" t="n">
        <v>21356941</v>
      </c>
      <c r="H411" s="0" t="n">
        <v>720193</v>
      </c>
      <c r="I411" s="0" t="s">
        <v>34</v>
      </c>
      <c r="J411" s="0" t="s">
        <v>174</v>
      </c>
      <c r="K411" s="0" t="s">
        <v>126</v>
      </c>
      <c r="L411" s="0" t="n">
        <v>224560833</v>
      </c>
      <c r="M411" s="0" t="s">
        <v>815</v>
      </c>
      <c r="N411" s="0" t="n">
        <v>103376990</v>
      </c>
      <c r="O411" s="0" t="n">
        <v>0</v>
      </c>
      <c r="P411" s="0" t="n">
        <v>0</v>
      </c>
      <c r="Q411" s="0" t="str">
        <f aca="false">IFERROR(VLOOKUP(B411,[2]'Cost Correction'!$D$2:$AJ$1627,33,0),"")</f>
        <v/>
      </c>
    </row>
    <row r="412" customFormat="false" ht="15" hidden="false" customHeight="false" outlineLevel="0" collapsed="false">
      <c r="A412" s="0" t="str">
        <f aca="false">E412&amp;L412&amp;Q412</f>
        <v>43356224560833</v>
      </c>
      <c r="B412" s="0" t="s">
        <v>1048</v>
      </c>
      <c r="C412" s="0" t="s">
        <v>1049</v>
      </c>
      <c r="D412" s="0" t="s">
        <v>28</v>
      </c>
      <c r="E412" s="44" t="n">
        <v>43356</v>
      </c>
      <c r="F412" s="0" t="s">
        <v>102</v>
      </c>
      <c r="G412" s="0" t="n">
        <v>21356941</v>
      </c>
      <c r="H412" s="0" t="n">
        <v>720193</v>
      </c>
      <c r="I412" s="0" t="s">
        <v>34</v>
      </c>
      <c r="J412" s="0" t="s">
        <v>174</v>
      </c>
      <c r="K412" s="0" t="s">
        <v>126</v>
      </c>
      <c r="L412" s="0" t="n">
        <v>224560833</v>
      </c>
      <c r="M412" s="0" t="s">
        <v>815</v>
      </c>
      <c r="N412" s="0" t="n">
        <v>103376990</v>
      </c>
      <c r="O412" s="0" t="n">
        <v>0</v>
      </c>
      <c r="P412" s="0" t="n">
        <v>0</v>
      </c>
      <c r="Q412" s="0" t="str">
        <f aca="false">IFERROR(VLOOKUP(B412,[2]'Cost Correction'!$D$2:$AJ$1627,33,0),"")</f>
        <v/>
      </c>
    </row>
    <row r="413" customFormat="false" ht="15" hidden="false" customHeight="false" outlineLevel="0" collapsed="false">
      <c r="A413" s="0" t="str">
        <f aca="false">E413&amp;L413&amp;Q413</f>
        <v>43355224560833</v>
      </c>
      <c r="B413" s="0" t="s">
        <v>1050</v>
      </c>
      <c r="C413" s="0" t="s">
        <v>1051</v>
      </c>
      <c r="D413" s="0" t="s">
        <v>28</v>
      </c>
      <c r="E413" s="44" t="n">
        <v>43355</v>
      </c>
      <c r="F413" s="0" t="s">
        <v>102</v>
      </c>
      <c r="G413" s="0" t="n">
        <v>21356941</v>
      </c>
      <c r="H413" s="0" t="n">
        <v>720193</v>
      </c>
      <c r="I413" s="0" t="s">
        <v>34</v>
      </c>
      <c r="J413" s="0" t="s">
        <v>174</v>
      </c>
      <c r="K413" s="0" t="s">
        <v>126</v>
      </c>
      <c r="L413" s="0" t="n">
        <v>224560833</v>
      </c>
      <c r="M413" s="0" t="s">
        <v>815</v>
      </c>
      <c r="N413" s="0" t="n">
        <v>103376990</v>
      </c>
      <c r="O413" s="0" t="n">
        <v>0</v>
      </c>
      <c r="P413" s="0" t="n">
        <v>0</v>
      </c>
      <c r="Q413" s="0" t="str">
        <f aca="false">IFERROR(VLOOKUP(B413,[2]'Cost Correction'!$D$2:$AJ$1627,33,0),"")</f>
        <v/>
      </c>
    </row>
    <row r="414" customFormat="false" ht="15" hidden="false" customHeight="false" outlineLevel="0" collapsed="false">
      <c r="A414" s="0" t="str">
        <f aca="false">E414&amp;L414&amp;Q414</f>
        <v>43354224560833</v>
      </c>
      <c r="B414" s="0" t="s">
        <v>1052</v>
      </c>
      <c r="C414" s="0" t="s">
        <v>1053</v>
      </c>
      <c r="D414" s="0" t="s">
        <v>28</v>
      </c>
      <c r="E414" s="44" t="n">
        <v>43354</v>
      </c>
      <c r="F414" s="0" t="s">
        <v>102</v>
      </c>
      <c r="G414" s="0" t="n">
        <v>21356941</v>
      </c>
      <c r="H414" s="0" t="n">
        <v>720193</v>
      </c>
      <c r="I414" s="0" t="s">
        <v>34</v>
      </c>
      <c r="J414" s="0" t="s">
        <v>174</v>
      </c>
      <c r="K414" s="0" t="s">
        <v>126</v>
      </c>
      <c r="L414" s="0" t="n">
        <v>224560833</v>
      </c>
      <c r="M414" s="0" t="s">
        <v>815</v>
      </c>
      <c r="N414" s="0" t="n">
        <v>103376990</v>
      </c>
      <c r="O414" s="0" t="n">
        <v>0</v>
      </c>
      <c r="P414" s="0" t="n">
        <v>0</v>
      </c>
      <c r="Q414" s="0" t="str">
        <f aca="false">IFERROR(VLOOKUP(B414,[2]'Cost Correction'!$D$2:$AJ$1627,33,0),"")</f>
        <v/>
      </c>
    </row>
    <row r="415" customFormat="false" ht="15" hidden="false" customHeight="false" outlineLevel="0" collapsed="false">
      <c r="A415" s="0" t="str">
        <f aca="false">E415&amp;L415&amp;Q415</f>
        <v>43353224560833</v>
      </c>
      <c r="B415" s="0" t="s">
        <v>1054</v>
      </c>
      <c r="C415" s="0" t="s">
        <v>1055</v>
      </c>
      <c r="D415" s="0" t="s">
        <v>28</v>
      </c>
      <c r="E415" s="44" t="n">
        <v>43353</v>
      </c>
      <c r="F415" s="0" t="s">
        <v>102</v>
      </c>
      <c r="G415" s="0" t="n">
        <v>21356941</v>
      </c>
      <c r="H415" s="0" t="n">
        <v>720193</v>
      </c>
      <c r="I415" s="0" t="s">
        <v>34</v>
      </c>
      <c r="J415" s="0" t="s">
        <v>174</v>
      </c>
      <c r="K415" s="0" t="s">
        <v>126</v>
      </c>
      <c r="L415" s="0" t="n">
        <v>224560833</v>
      </c>
      <c r="M415" s="0" t="s">
        <v>815</v>
      </c>
      <c r="N415" s="0" t="n">
        <v>103376990</v>
      </c>
      <c r="O415" s="0" t="n">
        <v>0</v>
      </c>
      <c r="P415" s="0" t="n">
        <v>0</v>
      </c>
      <c r="Q415" s="0" t="str">
        <f aca="false">IFERROR(VLOOKUP(B415,[2]'Cost Correction'!$D$2:$AJ$1627,33,0),"")</f>
        <v/>
      </c>
    </row>
    <row r="416" customFormat="false" ht="15" hidden="false" customHeight="false" outlineLevel="0" collapsed="false">
      <c r="A416" s="0" t="str">
        <f aca="false">E416&amp;L416&amp;Q416</f>
        <v>43352224560833</v>
      </c>
      <c r="B416" s="0" t="s">
        <v>1056</v>
      </c>
      <c r="C416" s="0" t="s">
        <v>1057</v>
      </c>
      <c r="D416" s="0" t="s">
        <v>28</v>
      </c>
      <c r="E416" s="44" t="n">
        <v>43352</v>
      </c>
      <c r="F416" s="0" t="s">
        <v>102</v>
      </c>
      <c r="G416" s="0" t="n">
        <v>21356941</v>
      </c>
      <c r="H416" s="0" t="n">
        <v>720193</v>
      </c>
      <c r="I416" s="0" t="s">
        <v>34</v>
      </c>
      <c r="J416" s="0" t="s">
        <v>174</v>
      </c>
      <c r="K416" s="0" t="s">
        <v>126</v>
      </c>
      <c r="L416" s="0" t="n">
        <v>224560833</v>
      </c>
      <c r="M416" s="0" t="s">
        <v>815</v>
      </c>
      <c r="N416" s="0" t="n">
        <v>103376990</v>
      </c>
      <c r="O416" s="0" t="n">
        <v>0</v>
      </c>
      <c r="P416" s="0" t="n">
        <v>0</v>
      </c>
      <c r="Q416" s="0" t="str">
        <f aca="false">IFERROR(VLOOKUP(B416,[2]'Cost Correction'!$D$2:$AJ$1627,33,0),"")</f>
        <v/>
      </c>
    </row>
    <row r="417" customFormat="false" ht="15" hidden="true" customHeight="false" outlineLevel="0" collapsed="false">
      <c r="A417" s="0" t="str">
        <f aca="false">E417&amp;L417&amp;Q417</f>
        <v>43358224416915103376981</v>
      </c>
      <c r="B417" s="0" t="s">
        <v>1058</v>
      </c>
      <c r="C417" s="0" t="s">
        <v>1059</v>
      </c>
      <c r="D417" s="0" t="s">
        <v>28</v>
      </c>
      <c r="E417" s="44" t="n">
        <v>43358</v>
      </c>
      <c r="F417" s="0" t="s">
        <v>102</v>
      </c>
      <c r="G417" s="0" t="n">
        <v>21356941</v>
      </c>
      <c r="H417" s="0" t="n">
        <v>720193</v>
      </c>
      <c r="I417" s="0" t="s">
        <v>34</v>
      </c>
      <c r="J417" s="0" t="s">
        <v>174</v>
      </c>
      <c r="K417" s="0" t="s">
        <v>128</v>
      </c>
      <c r="L417" s="0" t="n">
        <v>224416915</v>
      </c>
      <c r="M417" s="0" t="s">
        <v>1060</v>
      </c>
      <c r="N417" s="0" t="n">
        <v>103376981</v>
      </c>
      <c r="O417" s="0" t="n">
        <v>8644</v>
      </c>
      <c r="P417" s="0" t="n">
        <v>86</v>
      </c>
      <c r="Q417" s="0" t="n">
        <f aca="false">IFERROR(VLOOKUP(B417,[2]'Cost Correction'!$D$2:$AJ$1627,33,0),"")</f>
        <v>103376981</v>
      </c>
    </row>
    <row r="418" customFormat="false" ht="15" hidden="true" customHeight="false" outlineLevel="0" collapsed="false">
      <c r="A418" s="0" t="str">
        <f aca="false">E418&amp;L418&amp;Q418</f>
        <v>43357224416915103376981</v>
      </c>
      <c r="B418" s="0" t="s">
        <v>1061</v>
      </c>
      <c r="C418" s="0" t="s">
        <v>1062</v>
      </c>
      <c r="D418" s="0" t="s">
        <v>28</v>
      </c>
      <c r="E418" s="44" t="n">
        <v>43357</v>
      </c>
      <c r="F418" s="0" t="s">
        <v>102</v>
      </c>
      <c r="G418" s="0" t="n">
        <v>21356941</v>
      </c>
      <c r="H418" s="0" t="n">
        <v>720193</v>
      </c>
      <c r="I418" s="0" t="s">
        <v>34</v>
      </c>
      <c r="J418" s="0" t="s">
        <v>174</v>
      </c>
      <c r="K418" s="0" t="s">
        <v>128</v>
      </c>
      <c r="L418" s="0" t="n">
        <v>224416915</v>
      </c>
      <c r="M418" s="0" t="s">
        <v>1060</v>
      </c>
      <c r="N418" s="0" t="n">
        <v>103376981</v>
      </c>
      <c r="O418" s="0" t="n">
        <v>7753</v>
      </c>
      <c r="P418" s="0" t="n">
        <v>85.56</v>
      </c>
      <c r="Q418" s="0" t="n">
        <f aca="false">IFERROR(VLOOKUP(B418,[2]'Cost Correction'!$D$2:$AJ$1627,33,0),"")</f>
        <v>103376981</v>
      </c>
    </row>
    <row r="419" customFormat="false" ht="15" hidden="true" customHeight="false" outlineLevel="0" collapsed="false">
      <c r="A419" s="0" t="str">
        <f aca="false">E419&amp;L419&amp;Q419</f>
        <v>43356224416915103376981</v>
      </c>
      <c r="B419" s="0" t="s">
        <v>1063</v>
      </c>
      <c r="C419" s="0" t="s">
        <v>1064</v>
      </c>
      <c r="D419" s="0" t="s">
        <v>28</v>
      </c>
      <c r="E419" s="44" t="n">
        <v>43356</v>
      </c>
      <c r="F419" s="0" t="s">
        <v>102</v>
      </c>
      <c r="G419" s="0" t="n">
        <v>21356941</v>
      </c>
      <c r="H419" s="0" t="n">
        <v>720193</v>
      </c>
      <c r="I419" s="0" t="s">
        <v>34</v>
      </c>
      <c r="J419" s="0" t="s">
        <v>174</v>
      </c>
      <c r="K419" s="0" t="s">
        <v>128</v>
      </c>
      <c r="L419" s="0" t="n">
        <v>224416915</v>
      </c>
      <c r="M419" s="0" t="s">
        <v>1060</v>
      </c>
      <c r="N419" s="0" t="n">
        <v>103376981</v>
      </c>
      <c r="O419" s="0" t="n">
        <v>7075</v>
      </c>
      <c r="P419" s="0" t="n">
        <v>66.64</v>
      </c>
      <c r="Q419" s="0" t="n">
        <f aca="false">IFERROR(VLOOKUP(B419,[2]'Cost Correction'!$D$2:$AJ$1627,33,0),"")</f>
        <v>103376981</v>
      </c>
    </row>
    <row r="420" customFormat="false" ht="15" hidden="true" customHeight="false" outlineLevel="0" collapsed="false">
      <c r="A420" s="0" t="str">
        <f aca="false">E420&amp;L420&amp;Q420</f>
        <v>43355224416915103376981</v>
      </c>
      <c r="B420" s="0" t="s">
        <v>1065</v>
      </c>
      <c r="C420" s="0" t="s">
        <v>1066</v>
      </c>
      <c r="D420" s="0" t="s">
        <v>28</v>
      </c>
      <c r="E420" s="44" t="n">
        <v>43355</v>
      </c>
      <c r="F420" s="0" t="s">
        <v>102</v>
      </c>
      <c r="G420" s="0" t="n">
        <v>21356941</v>
      </c>
      <c r="H420" s="0" t="n">
        <v>720193</v>
      </c>
      <c r="I420" s="0" t="s">
        <v>34</v>
      </c>
      <c r="J420" s="0" t="s">
        <v>174</v>
      </c>
      <c r="K420" s="0" t="s">
        <v>128</v>
      </c>
      <c r="L420" s="0" t="n">
        <v>224416915</v>
      </c>
      <c r="M420" s="0" t="s">
        <v>1060</v>
      </c>
      <c r="N420" s="0" t="n">
        <v>103376981</v>
      </c>
      <c r="O420" s="0" t="n">
        <v>5008</v>
      </c>
      <c r="P420" s="0" t="n">
        <v>41.7</v>
      </c>
      <c r="Q420" s="0" t="n">
        <f aca="false">IFERROR(VLOOKUP(B420,[2]'Cost Correction'!$D$2:$AJ$1627,33,0),"")</f>
        <v>103376981</v>
      </c>
    </row>
    <row r="421" customFormat="false" ht="15" hidden="true" customHeight="false" outlineLevel="0" collapsed="false">
      <c r="A421" s="0" t="str">
        <f aca="false">E421&amp;L421&amp;Q421</f>
        <v>43354224416915103376981</v>
      </c>
      <c r="B421" s="0" t="s">
        <v>1067</v>
      </c>
      <c r="C421" s="0" t="s">
        <v>1068</v>
      </c>
      <c r="D421" s="0" t="s">
        <v>28</v>
      </c>
      <c r="E421" s="44" t="n">
        <v>43354</v>
      </c>
      <c r="F421" s="0" t="s">
        <v>102</v>
      </c>
      <c r="G421" s="0" t="n">
        <v>21356941</v>
      </c>
      <c r="H421" s="0" t="n">
        <v>720193</v>
      </c>
      <c r="I421" s="0" t="s">
        <v>34</v>
      </c>
      <c r="J421" s="0" t="s">
        <v>174</v>
      </c>
      <c r="K421" s="0" t="s">
        <v>128</v>
      </c>
      <c r="L421" s="0" t="n">
        <v>224416915</v>
      </c>
      <c r="M421" s="0" t="s">
        <v>1060</v>
      </c>
      <c r="N421" s="0" t="n">
        <v>103376981</v>
      </c>
      <c r="O421" s="0" t="n">
        <v>7828</v>
      </c>
      <c r="P421" s="0" t="n">
        <v>56.2</v>
      </c>
      <c r="Q421" s="0" t="n">
        <f aca="false">IFERROR(VLOOKUP(B421,[2]'Cost Correction'!$D$2:$AJ$1627,33,0),"")</f>
        <v>103376981</v>
      </c>
    </row>
    <row r="422" customFormat="false" ht="15" hidden="true" customHeight="false" outlineLevel="0" collapsed="false">
      <c r="A422" s="0" t="str">
        <f aca="false">E422&amp;L422&amp;Q422</f>
        <v>43353224416915103376981</v>
      </c>
      <c r="B422" s="0" t="s">
        <v>1069</v>
      </c>
      <c r="C422" s="0" t="s">
        <v>1070</v>
      </c>
      <c r="D422" s="0" t="s">
        <v>28</v>
      </c>
      <c r="E422" s="44" t="n">
        <v>43353</v>
      </c>
      <c r="F422" s="0" t="s">
        <v>102</v>
      </c>
      <c r="G422" s="0" t="n">
        <v>21356941</v>
      </c>
      <c r="H422" s="0" t="n">
        <v>720193</v>
      </c>
      <c r="I422" s="0" t="s">
        <v>34</v>
      </c>
      <c r="J422" s="0" t="s">
        <v>174</v>
      </c>
      <c r="K422" s="0" t="s">
        <v>128</v>
      </c>
      <c r="L422" s="0" t="n">
        <v>224416915</v>
      </c>
      <c r="M422" s="0" t="s">
        <v>1060</v>
      </c>
      <c r="N422" s="0" t="n">
        <v>103376981</v>
      </c>
      <c r="O422" s="0" t="n">
        <v>5669</v>
      </c>
      <c r="P422" s="0" t="n">
        <v>39.06</v>
      </c>
      <c r="Q422" s="0" t="n">
        <f aca="false">IFERROR(VLOOKUP(B422,[2]'Cost Correction'!$D$2:$AJ$1627,33,0),"")</f>
        <v>103376981</v>
      </c>
    </row>
    <row r="423" customFormat="false" ht="15" hidden="true" customHeight="false" outlineLevel="0" collapsed="false">
      <c r="A423" s="0" t="str">
        <f aca="false">E423&amp;L423&amp;Q423</f>
        <v>43352224416915103376981</v>
      </c>
      <c r="B423" s="0" t="s">
        <v>1071</v>
      </c>
      <c r="C423" s="0" t="s">
        <v>1072</v>
      </c>
      <c r="D423" s="0" t="s">
        <v>28</v>
      </c>
      <c r="E423" s="44" t="n">
        <v>43352</v>
      </c>
      <c r="F423" s="0" t="s">
        <v>102</v>
      </c>
      <c r="G423" s="0" t="n">
        <v>21356941</v>
      </c>
      <c r="H423" s="0" t="n">
        <v>720193</v>
      </c>
      <c r="I423" s="0" t="s">
        <v>34</v>
      </c>
      <c r="J423" s="0" t="s">
        <v>174</v>
      </c>
      <c r="K423" s="0" t="s">
        <v>128</v>
      </c>
      <c r="L423" s="0" t="n">
        <v>224416915</v>
      </c>
      <c r="M423" s="0" t="s">
        <v>1060</v>
      </c>
      <c r="N423" s="0" t="n">
        <v>103376981</v>
      </c>
      <c r="O423" s="0" t="n">
        <v>7</v>
      </c>
      <c r="P423" s="0" t="n">
        <v>0.03</v>
      </c>
      <c r="Q423" s="0" t="n">
        <f aca="false">IFERROR(VLOOKUP(B423,[2]'Cost Correction'!$D$2:$AJ$1627,33,0),"")</f>
        <v>103376981</v>
      </c>
    </row>
    <row r="424" customFormat="false" ht="15" hidden="true" customHeight="false" outlineLevel="0" collapsed="false">
      <c r="A424" s="0" t="str">
        <f aca="false">E424&amp;L424&amp;Q424</f>
        <v>43358224560875103259766</v>
      </c>
      <c r="B424" s="0" t="s">
        <v>1073</v>
      </c>
      <c r="C424" s="0" t="s">
        <v>1074</v>
      </c>
      <c r="D424" s="0" t="s">
        <v>28</v>
      </c>
      <c r="E424" s="44" t="n">
        <v>43358</v>
      </c>
      <c r="F424" s="0" t="s">
        <v>102</v>
      </c>
      <c r="G424" s="0" t="n">
        <v>21356941</v>
      </c>
      <c r="H424" s="0" t="n">
        <v>720193</v>
      </c>
      <c r="I424" s="0" t="s">
        <v>34</v>
      </c>
      <c r="J424" s="0" t="s">
        <v>174</v>
      </c>
      <c r="K424" s="0" t="s">
        <v>129</v>
      </c>
      <c r="L424" s="0" t="n">
        <v>224560875</v>
      </c>
      <c r="M424" s="0" t="s">
        <v>1075</v>
      </c>
      <c r="N424" s="0" t="n">
        <v>103259766</v>
      </c>
      <c r="O424" s="0" t="n">
        <v>196</v>
      </c>
      <c r="P424" s="0" t="n">
        <v>1.82</v>
      </c>
      <c r="Q424" s="0" t="n">
        <f aca="false">IFERROR(VLOOKUP(B424,[2]'Cost Correction'!$D$2:$AJ$1627,33,0),"")</f>
        <v>103259766</v>
      </c>
    </row>
    <row r="425" customFormat="false" ht="15" hidden="true" customHeight="false" outlineLevel="0" collapsed="false">
      <c r="A425" s="0" t="str">
        <f aca="false">E425&amp;L425&amp;Q425</f>
        <v>43357224560875103259766</v>
      </c>
      <c r="B425" s="0" t="s">
        <v>1076</v>
      </c>
      <c r="C425" s="0" t="s">
        <v>1077</v>
      </c>
      <c r="D425" s="0" t="s">
        <v>28</v>
      </c>
      <c r="E425" s="44" t="n">
        <v>43357</v>
      </c>
      <c r="F425" s="0" t="s">
        <v>102</v>
      </c>
      <c r="G425" s="0" t="n">
        <v>21356941</v>
      </c>
      <c r="H425" s="0" t="n">
        <v>720193</v>
      </c>
      <c r="I425" s="0" t="s">
        <v>34</v>
      </c>
      <c r="J425" s="0" t="s">
        <v>174</v>
      </c>
      <c r="K425" s="0" t="s">
        <v>129</v>
      </c>
      <c r="L425" s="0" t="n">
        <v>224560875</v>
      </c>
      <c r="M425" s="0" t="s">
        <v>1075</v>
      </c>
      <c r="N425" s="0" t="n">
        <v>103259766</v>
      </c>
      <c r="O425" s="0" t="n">
        <v>833</v>
      </c>
      <c r="P425" s="0" t="n">
        <v>8.26</v>
      </c>
      <c r="Q425" s="0" t="n">
        <f aca="false">IFERROR(VLOOKUP(B425,[2]'Cost Correction'!$D$2:$AJ$1627,33,0),"")</f>
        <v>103259766</v>
      </c>
    </row>
    <row r="426" customFormat="false" ht="15" hidden="true" customHeight="false" outlineLevel="0" collapsed="false">
      <c r="A426" s="0" t="str">
        <f aca="false">E426&amp;L426&amp;Q426</f>
        <v>43356224560875103259766</v>
      </c>
      <c r="B426" s="0" t="s">
        <v>1078</v>
      </c>
      <c r="C426" s="0" t="s">
        <v>1079</v>
      </c>
      <c r="D426" s="0" t="s">
        <v>28</v>
      </c>
      <c r="E426" s="44" t="n">
        <v>43356</v>
      </c>
      <c r="F426" s="0" t="s">
        <v>102</v>
      </c>
      <c r="G426" s="0" t="n">
        <v>21356941</v>
      </c>
      <c r="H426" s="0" t="n">
        <v>720193</v>
      </c>
      <c r="I426" s="0" t="s">
        <v>34</v>
      </c>
      <c r="J426" s="0" t="s">
        <v>174</v>
      </c>
      <c r="K426" s="0" t="s">
        <v>129</v>
      </c>
      <c r="L426" s="0" t="n">
        <v>224560875</v>
      </c>
      <c r="M426" s="0" t="s">
        <v>1075</v>
      </c>
      <c r="N426" s="0" t="n">
        <v>103259766</v>
      </c>
      <c r="O426" s="0" t="n">
        <v>3480</v>
      </c>
      <c r="P426" s="0" t="n">
        <v>26.68</v>
      </c>
      <c r="Q426" s="0" t="n">
        <f aca="false">IFERROR(VLOOKUP(B426,[2]'Cost Correction'!$D$2:$AJ$1627,33,0),"")</f>
        <v>103259766</v>
      </c>
    </row>
    <row r="427" customFormat="false" ht="15" hidden="true" customHeight="false" outlineLevel="0" collapsed="false">
      <c r="A427" s="0" t="str">
        <f aca="false">E427&amp;L427&amp;Q427</f>
        <v>43355224560875103259766</v>
      </c>
      <c r="B427" s="0" t="s">
        <v>1080</v>
      </c>
      <c r="C427" s="0" t="s">
        <v>1081</v>
      </c>
      <c r="D427" s="0" t="s">
        <v>28</v>
      </c>
      <c r="E427" s="44" t="n">
        <v>43355</v>
      </c>
      <c r="F427" s="0" t="s">
        <v>102</v>
      </c>
      <c r="G427" s="0" t="n">
        <v>21356941</v>
      </c>
      <c r="H427" s="0" t="n">
        <v>720193</v>
      </c>
      <c r="I427" s="0" t="s">
        <v>34</v>
      </c>
      <c r="J427" s="0" t="s">
        <v>174</v>
      </c>
      <c r="K427" s="0" t="s">
        <v>129</v>
      </c>
      <c r="L427" s="0" t="n">
        <v>224560875</v>
      </c>
      <c r="M427" s="0" t="s">
        <v>1075</v>
      </c>
      <c r="N427" s="0" t="n">
        <v>103259766</v>
      </c>
      <c r="O427" s="0" t="n">
        <v>6134</v>
      </c>
      <c r="P427" s="0" t="n">
        <v>47.48</v>
      </c>
      <c r="Q427" s="0" t="n">
        <f aca="false">IFERROR(VLOOKUP(B427,[2]'Cost Correction'!$D$2:$AJ$1627,33,0),"")</f>
        <v>103259766</v>
      </c>
    </row>
    <row r="428" customFormat="false" ht="15" hidden="true" customHeight="false" outlineLevel="0" collapsed="false">
      <c r="A428" s="0" t="str">
        <f aca="false">E428&amp;L428&amp;Q428</f>
        <v>43354224560875103259766</v>
      </c>
      <c r="B428" s="0" t="s">
        <v>1082</v>
      </c>
      <c r="C428" s="0" t="s">
        <v>1083</v>
      </c>
      <c r="D428" s="0" t="s">
        <v>28</v>
      </c>
      <c r="E428" s="44" t="n">
        <v>43354</v>
      </c>
      <c r="F428" s="0" t="s">
        <v>102</v>
      </c>
      <c r="G428" s="0" t="n">
        <v>21356941</v>
      </c>
      <c r="H428" s="0" t="n">
        <v>720193</v>
      </c>
      <c r="I428" s="0" t="s">
        <v>34</v>
      </c>
      <c r="J428" s="0" t="s">
        <v>174</v>
      </c>
      <c r="K428" s="0" t="s">
        <v>129</v>
      </c>
      <c r="L428" s="0" t="n">
        <v>224560875</v>
      </c>
      <c r="M428" s="0" t="s">
        <v>1075</v>
      </c>
      <c r="N428" s="0" t="n">
        <v>103259766</v>
      </c>
      <c r="O428" s="0" t="n">
        <v>3246</v>
      </c>
      <c r="P428" s="0" t="n">
        <v>22.81</v>
      </c>
      <c r="Q428" s="0" t="n">
        <f aca="false">IFERROR(VLOOKUP(B428,[2]'Cost Correction'!$D$2:$AJ$1627,33,0),"")</f>
        <v>103259766</v>
      </c>
    </row>
    <row r="429" customFormat="false" ht="15" hidden="true" customHeight="false" outlineLevel="0" collapsed="false">
      <c r="A429" s="0" t="str">
        <f aca="false">E429&amp;L429&amp;Q429</f>
        <v>43353224560875103259766</v>
      </c>
      <c r="B429" s="0" t="s">
        <v>1084</v>
      </c>
      <c r="C429" s="0" t="s">
        <v>1085</v>
      </c>
      <c r="D429" s="0" t="s">
        <v>28</v>
      </c>
      <c r="E429" s="44" t="n">
        <v>43353</v>
      </c>
      <c r="F429" s="0" t="s">
        <v>102</v>
      </c>
      <c r="G429" s="0" t="n">
        <v>21356941</v>
      </c>
      <c r="H429" s="0" t="n">
        <v>720193</v>
      </c>
      <c r="I429" s="0" t="s">
        <v>34</v>
      </c>
      <c r="J429" s="0" t="s">
        <v>174</v>
      </c>
      <c r="K429" s="0" t="s">
        <v>129</v>
      </c>
      <c r="L429" s="0" t="n">
        <v>224560875</v>
      </c>
      <c r="M429" s="0" t="s">
        <v>1075</v>
      </c>
      <c r="N429" s="0" t="n">
        <v>103259766</v>
      </c>
      <c r="O429" s="0" t="n">
        <v>2666</v>
      </c>
      <c r="P429" s="0" t="n">
        <v>14.93</v>
      </c>
      <c r="Q429" s="0" t="n">
        <f aca="false">IFERROR(VLOOKUP(B429,[2]'Cost Correction'!$D$2:$AJ$1627,33,0),"")</f>
        <v>103259766</v>
      </c>
    </row>
    <row r="430" customFormat="false" ht="15" hidden="true" customHeight="false" outlineLevel="0" collapsed="false">
      <c r="A430" s="0" t="str">
        <f aca="false">E430&amp;L430&amp;Q430</f>
        <v>43352224560875103259766</v>
      </c>
      <c r="B430" s="0" t="s">
        <v>1086</v>
      </c>
      <c r="C430" s="0" t="s">
        <v>1087</v>
      </c>
      <c r="D430" s="0" t="s">
        <v>28</v>
      </c>
      <c r="E430" s="44" t="n">
        <v>43352</v>
      </c>
      <c r="F430" s="0" t="s">
        <v>102</v>
      </c>
      <c r="G430" s="0" t="n">
        <v>21356941</v>
      </c>
      <c r="H430" s="0" t="n">
        <v>720193</v>
      </c>
      <c r="I430" s="0" t="s">
        <v>34</v>
      </c>
      <c r="J430" s="0" t="s">
        <v>174</v>
      </c>
      <c r="K430" s="0" t="s">
        <v>129</v>
      </c>
      <c r="L430" s="0" t="n">
        <v>224560875</v>
      </c>
      <c r="M430" s="0" t="s">
        <v>1075</v>
      </c>
      <c r="N430" s="0" t="n">
        <v>103259766</v>
      </c>
      <c r="O430" s="0" t="n">
        <v>25</v>
      </c>
      <c r="P430" s="0" t="n">
        <v>0.07</v>
      </c>
      <c r="Q430" s="0" t="n">
        <f aca="false">IFERROR(VLOOKUP(B430,[2]'Cost Correction'!$D$2:$AJ$1627,33,0),"")</f>
        <v>103259766</v>
      </c>
    </row>
    <row r="431" customFormat="false" ht="15" hidden="false" customHeight="false" outlineLevel="0" collapsed="false">
      <c r="A431" s="0" t="str">
        <f aca="false">E431&amp;L431&amp;Q431</f>
        <v>43358224560863</v>
      </c>
      <c r="B431" s="0" t="s">
        <v>1088</v>
      </c>
      <c r="C431" s="0" t="s">
        <v>1089</v>
      </c>
      <c r="D431" s="0" t="s">
        <v>28</v>
      </c>
      <c r="E431" s="44" t="n">
        <v>43358</v>
      </c>
      <c r="F431" s="0" t="s">
        <v>102</v>
      </c>
      <c r="G431" s="0" t="n">
        <v>21356941</v>
      </c>
      <c r="H431" s="0" t="n">
        <v>720193</v>
      </c>
      <c r="I431" s="0" t="s">
        <v>34</v>
      </c>
      <c r="J431" s="0" t="s">
        <v>174</v>
      </c>
      <c r="K431" s="0" t="s">
        <v>130</v>
      </c>
      <c r="L431" s="0" t="n">
        <v>224560863</v>
      </c>
      <c r="M431" s="0" t="s">
        <v>1090</v>
      </c>
      <c r="N431" s="0" t="n">
        <v>103256577</v>
      </c>
      <c r="O431" s="0" t="n">
        <v>0</v>
      </c>
      <c r="P431" s="0" t="n">
        <v>0</v>
      </c>
      <c r="Q431" s="0" t="str">
        <f aca="false">IFERROR(VLOOKUP(B431,[2]'Cost Correction'!$D$2:$AJ$1627,33,0),"")</f>
        <v/>
      </c>
    </row>
    <row r="432" customFormat="false" ht="15" hidden="false" customHeight="false" outlineLevel="0" collapsed="false">
      <c r="A432" s="0" t="str">
        <f aca="false">E432&amp;L432&amp;Q432</f>
        <v>43357224560863</v>
      </c>
      <c r="B432" s="0" t="s">
        <v>1091</v>
      </c>
      <c r="C432" s="0" t="s">
        <v>1092</v>
      </c>
      <c r="D432" s="0" t="s">
        <v>28</v>
      </c>
      <c r="E432" s="44" t="n">
        <v>43357</v>
      </c>
      <c r="F432" s="0" t="s">
        <v>102</v>
      </c>
      <c r="G432" s="0" t="n">
        <v>21356941</v>
      </c>
      <c r="H432" s="0" t="n">
        <v>720193</v>
      </c>
      <c r="I432" s="0" t="s">
        <v>34</v>
      </c>
      <c r="J432" s="0" t="s">
        <v>174</v>
      </c>
      <c r="K432" s="0" t="s">
        <v>130</v>
      </c>
      <c r="L432" s="0" t="n">
        <v>224560863</v>
      </c>
      <c r="M432" s="0" t="s">
        <v>1090</v>
      </c>
      <c r="N432" s="0" t="n">
        <v>103256577</v>
      </c>
      <c r="O432" s="0" t="n">
        <v>0</v>
      </c>
      <c r="P432" s="0" t="n">
        <v>0</v>
      </c>
      <c r="Q432" s="0" t="str">
        <f aca="false">IFERROR(VLOOKUP(B432,[2]'Cost Correction'!$D$2:$AJ$1627,33,0),"")</f>
        <v/>
      </c>
    </row>
    <row r="433" customFormat="false" ht="15" hidden="false" customHeight="false" outlineLevel="0" collapsed="false">
      <c r="A433" s="0" t="str">
        <f aca="false">E433&amp;L433&amp;Q433</f>
        <v>43356224560863</v>
      </c>
      <c r="B433" s="0" t="s">
        <v>1093</v>
      </c>
      <c r="C433" s="0" t="s">
        <v>1094</v>
      </c>
      <c r="D433" s="0" t="s">
        <v>28</v>
      </c>
      <c r="E433" s="44" t="n">
        <v>43356</v>
      </c>
      <c r="F433" s="0" t="s">
        <v>102</v>
      </c>
      <c r="G433" s="0" t="n">
        <v>21356941</v>
      </c>
      <c r="H433" s="0" t="n">
        <v>720193</v>
      </c>
      <c r="I433" s="0" t="s">
        <v>34</v>
      </c>
      <c r="J433" s="0" t="s">
        <v>174</v>
      </c>
      <c r="K433" s="0" t="s">
        <v>130</v>
      </c>
      <c r="L433" s="0" t="n">
        <v>224560863</v>
      </c>
      <c r="M433" s="0" t="s">
        <v>1090</v>
      </c>
      <c r="N433" s="0" t="n">
        <v>103256577</v>
      </c>
      <c r="O433" s="0" t="n">
        <v>0</v>
      </c>
      <c r="P433" s="0" t="n">
        <v>0</v>
      </c>
      <c r="Q433" s="0" t="str">
        <f aca="false">IFERROR(VLOOKUP(B433,[2]'Cost Correction'!$D$2:$AJ$1627,33,0),"")</f>
        <v/>
      </c>
    </row>
    <row r="434" customFormat="false" ht="15" hidden="false" customHeight="false" outlineLevel="0" collapsed="false">
      <c r="A434" s="0" t="str">
        <f aca="false">E434&amp;L434&amp;Q434</f>
        <v>43355224560863</v>
      </c>
      <c r="B434" s="0" t="s">
        <v>1095</v>
      </c>
      <c r="C434" s="0" t="s">
        <v>1096</v>
      </c>
      <c r="D434" s="0" t="s">
        <v>28</v>
      </c>
      <c r="E434" s="44" t="n">
        <v>43355</v>
      </c>
      <c r="F434" s="0" t="s">
        <v>102</v>
      </c>
      <c r="G434" s="0" t="n">
        <v>21356941</v>
      </c>
      <c r="H434" s="0" t="n">
        <v>720193</v>
      </c>
      <c r="I434" s="0" t="s">
        <v>34</v>
      </c>
      <c r="J434" s="0" t="s">
        <v>174</v>
      </c>
      <c r="K434" s="0" t="s">
        <v>130</v>
      </c>
      <c r="L434" s="0" t="n">
        <v>224560863</v>
      </c>
      <c r="M434" s="0" t="s">
        <v>1090</v>
      </c>
      <c r="N434" s="0" t="n">
        <v>103256577</v>
      </c>
      <c r="O434" s="0" t="n">
        <v>0</v>
      </c>
      <c r="P434" s="0" t="n">
        <v>0</v>
      </c>
      <c r="Q434" s="0" t="str">
        <f aca="false">IFERROR(VLOOKUP(B434,[2]'Cost Correction'!$D$2:$AJ$1627,33,0),"")</f>
        <v/>
      </c>
    </row>
    <row r="435" customFormat="false" ht="15" hidden="false" customHeight="false" outlineLevel="0" collapsed="false">
      <c r="A435" s="0" t="str">
        <f aca="false">E435&amp;L435&amp;Q435</f>
        <v>43354224560863</v>
      </c>
      <c r="B435" s="0" t="s">
        <v>1097</v>
      </c>
      <c r="C435" s="0" t="s">
        <v>1098</v>
      </c>
      <c r="D435" s="0" t="s">
        <v>28</v>
      </c>
      <c r="E435" s="44" t="n">
        <v>43354</v>
      </c>
      <c r="F435" s="0" t="s">
        <v>102</v>
      </c>
      <c r="G435" s="0" t="n">
        <v>21356941</v>
      </c>
      <c r="H435" s="0" t="n">
        <v>720193</v>
      </c>
      <c r="I435" s="0" t="s">
        <v>34</v>
      </c>
      <c r="J435" s="0" t="s">
        <v>174</v>
      </c>
      <c r="K435" s="0" t="s">
        <v>130</v>
      </c>
      <c r="L435" s="0" t="n">
        <v>224560863</v>
      </c>
      <c r="M435" s="0" t="s">
        <v>1090</v>
      </c>
      <c r="N435" s="0" t="n">
        <v>103256577</v>
      </c>
      <c r="O435" s="0" t="n">
        <v>0</v>
      </c>
      <c r="P435" s="0" t="n">
        <v>0</v>
      </c>
      <c r="Q435" s="0" t="str">
        <f aca="false">IFERROR(VLOOKUP(B435,[2]'Cost Correction'!$D$2:$AJ$1627,33,0),"")</f>
        <v/>
      </c>
    </row>
    <row r="436" customFormat="false" ht="15" hidden="true" customHeight="false" outlineLevel="0" collapsed="false">
      <c r="A436" s="0" t="str">
        <f aca="false">E436&amp;L436&amp;Q436</f>
        <v>43353224560863103256577</v>
      </c>
      <c r="B436" s="0" t="s">
        <v>1099</v>
      </c>
      <c r="C436" s="0" t="s">
        <v>1100</v>
      </c>
      <c r="D436" s="0" t="s">
        <v>28</v>
      </c>
      <c r="E436" s="44" t="n">
        <v>43353</v>
      </c>
      <c r="F436" s="0" t="s">
        <v>102</v>
      </c>
      <c r="G436" s="0" t="n">
        <v>21356941</v>
      </c>
      <c r="H436" s="0" t="n">
        <v>720193</v>
      </c>
      <c r="I436" s="0" t="s">
        <v>34</v>
      </c>
      <c r="J436" s="0" t="s">
        <v>174</v>
      </c>
      <c r="K436" s="0" t="s">
        <v>130</v>
      </c>
      <c r="L436" s="0" t="n">
        <v>224560863</v>
      </c>
      <c r="M436" s="0" t="s">
        <v>1090</v>
      </c>
      <c r="N436" s="0" t="n">
        <v>103256577</v>
      </c>
      <c r="O436" s="0" t="n">
        <v>7</v>
      </c>
      <c r="P436" s="0" t="n">
        <v>0.05</v>
      </c>
      <c r="Q436" s="0" t="n">
        <f aca="false">IFERROR(VLOOKUP(B436,[2]'Cost Correction'!$D$2:$AJ$1627,33,0),"")</f>
        <v>103256577</v>
      </c>
    </row>
    <row r="437" customFormat="false" ht="15" hidden="true" customHeight="false" outlineLevel="0" collapsed="false">
      <c r="A437" s="0" t="str">
        <f aca="false">E437&amp;L437&amp;Q437</f>
        <v>43352224560863103256577</v>
      </c>
      <c r="B437" s="0" t="s">
        <v>1101</v>
      </c>
      <c r="C437" s="0" t="s">
        <v>1102</v>
      </c>
      <c r="D437" s="0" t="s">
        <v>28</v>
      </c>
      <c r="E437" s="44" t="n">
        <v>43352</v>
      </c>
      <c r="F437" s="0" t="s">
        <v>102</v>
      </c>
      <c r="G437" s="0" t="n">
        <v>21356941</v>
      </c>
      <c r="H437" s="0" t="n">
        <v>720193</v>
      </c>
      <c r="I437" s="0" t="s">
        <v>34</v>
      </c>
      <c r="J437" s="0" t="s">
        <v>174</v>
      </c>
      <c r="K437" s="0" t="s">
        <v>130</v>
      </c>
      <c r="L437" s="0" t="n">
        <v>224560863</v>
      </c>
      <c r="M437" s="0" t="s">
        <v>1090</v>
      </c>
      <c r="N437" s="0" t="n">
        <v>103256577</v>
      </c>
      <c r="O437" s="0" t="n">
        <v>86</v>
      </c>
      <c r="P437" s="0" t="n">
        <v>0.41</v>
      </c>
      <c r="Q437" s="0" t="n">
        <f aca="false">IFERROR(VLOOKUP(B437,[2]'Cost Correction'!$D$2:$AJ$1627,33,0),"")</f>
        <v>103256577</v>
      </c>
    </row>
    <row r="438" customFormat="false" ht="15" hidden="true" customHeight="false" outlineLevel="0" collapsed="false">
      <c r="A438" s="0" t="str">
        <f aca="false">E438&amp;L438&amp;Q438</f>
        <v>43358226359947104537813</v>
      </c>
      <c r="B438" s="0" t="s">
        <v>1103</v>
      </c>
      <c r="C438" s="0" t="s">
        <v>1104</v>
      </c>
      <c r="D438" s="0" t="s">
        <v>28</v>
      </c>
      <c r="E438" s="44" t="n">
        <v>43358</v>
      </c>
      <c r="F438" s="0" t="s">
        <v>102</v>
      </c>
      <c r="G438" s="0" t="n">
        <v>21356941</v>
      </c>
      <c r="H438" s="0" t="n">
        <v>720193</v>
      </c>
      <c r="I438" s="0" t="s">
        <v>34</v>
      </c>
      <c r="J438" s="0" t="s">
        <v>174</v>
      </c>
      <c r="K438" s="0" t="s">
        <v>132</v>
      </c>
      <c r="L438" s="0" t="n">
        <v>226359947</v>
      </c>
      <c r="M438" s="0" t="s">
        <v>1105</v>
      </c>
      <c r="N438" s="0" t="n">
        <v>104537813</v>
      </c>
      <c r="O438" s="0" t="n">
        <v>174</v>
      </c>
      <c r="P438" s="0" t="n">
        <v>1.17</v>
      </c>
      <c r="Q438" s="0" t="n">
        <f aca="false">IFERROR(VLOOKUP(B438,[2]'Cost Correction'!$D$2:$AJ$1627,33,0),"")</f>
        <v>104537813</v>
      </c>
    </row>
    <row r="439" customFormat="false" ht="15" hidden="true" customHeight="false" outlineLevel="0" collapsed="false">
      <c r="A439" s="0" t="str">
        <f aca="false">E439&amp;L439&amp;Q439</f>
        <v>43357226359947104537813</v>
      </c>
      <c r="B439" s="0" t="s">
        <v>1106</v>
      </c>
      <c r="C439" s="0" t="s">
        <v>1107</v>
      </c>
      <c r="D439" s="0" t="s">
        <v>28</v>
      </c>
      <c r="E439" s="44" t="n">
        <v>43357</v>
      </c>
      <c r="F439" s="0" t="s">
        <v>102</v>
      </c>
      <c r="G439" s="0" t="n">
        <v>21356941</v>
      </c>
      <c r="H439" s="0" t="n">
        <v>720193</v>
      </c>
      <c r="I439" s="0" t="s">
        <v>34</v>
      </c>
      <c r="J439" s="0" t="s">
        <v>174</v>
      </c>
      <c r="K439" s="0" t="s">
        <v>132</v>
      </c>
      <c r="L439" s="0" t="n">
        <v>226359947</v>
      </c>
      <c r="M439" s="0" t="s">
        <v>1105</v>
      </c>
      <c r="N439" s="0" t="n">
        <v>104537813</v>
      </c>
      <c r="O439" s="0" t="n">
        <v>114</v>
      </c>
      <c r="P439" s="0" t="n">
        <v>0.7</v>
      </c>
      <c r="Q439" s="0" t="n">
        <f aca="false">IFERROR(VLOOKUP(B439,[2]'Cost Correction'!$D$2:$AJ$1627,33,0),"")</f>
        <v>104537813</v>
      </c>
    </row>
    <row r="440" customFormat="false" ht="15" hidden="true" customHeight="false" outlineLevel="0" collapsed="false">
      <c r="A440" s="0" t="str">
        <f aca="false">E440&amp;L440&amp;Q440</f>
        <v>43356226359947104537813</v>
      </c>
      <c r="B440" s="0" t="s">
        <v>1108</v>
      </c>
      <c r="C440" s="0" t="s">
        <v>1109</v>
      </c>
      <c r="D440" s="0" t="s">
        <v>28</v>
      </c>
      <c r="E440" s="44" t="n">
        <v>43356</v>
      </c>
      <c r="F440" s="0" t="s">
        <v>102</v>
      </c>
      <c r="G440" s="0" t="n">
        <v>21356941</v>
      </c>
      <c r="H440" s="0" t="n">
        <v>720193</v>
      </c>
      <c r="I440" s="0" t="s">
        <v>34</v>
      </c>
      <c r="J440" s="0" t="s">
        <v>174</v>
      </c>
      <c r="K440" s="0" t="s">
        <v>132</v>
      </c>
      <c r="L440" s="0" t="n">
        <v>226359947</v>
      </c>
      <c r="M440" s="0" t="s">
        <v>1105</v>
      </c>
      <c r="N440" s="0" t="n">
        <v>104537813</v>
      </c>
      <c r="O440" s="0" t="n">
        <v>63</v>
      </c>
      <c r="P440" s="0" t="n">
        <v>0.53</v>
      </c>
      <c r="Q440" s="0" t="n">
        <f aca="false">IFERROR(VLOOKUP(B440,[2]'Cost Correction'!$D$2:$AJ$1627,33,0),"")</f>
        <v>104537813</v>
      </c>
    </row>
    <row r="441" customFormat="false" ht="15" hidden="true" customHeight="false" outlineLevel="0" collapsed="false">
      <c r="A441" s="0" t="str">
        <f aca="false">E441&amp;L441&amp;Q441</f>
        <v>43355226359947104537813</v>
      </c>
      <c r="B441" s="0" t="s">
        <v>1110</v>
      </c>
      <c r="C441" s="0" t="s">
        <v>1111</v>
      </c>
      <c r="D441" s="0" t="s">
        <v>28</v>
      </c>
      <c r="E441" s="44" t="n">
        <v>43355</v>
      </c>
      <c r="F441" s="0" t="s">
        <v>102</v>
      </c>
      <c r="G441" s="0" t="n">
        <v>21356941</v>
      </c>
      <c r="H441" s="0" t="n">
        <v>720193</v>
      </c>
      <c r="I441" s="0" t="s">
        <v>34</v>
      </c>
      <c r="J441" s="0" t="s">
        <v>174</v>
      </c>
      <c r="K441" s="0" t="s">
        <v>132</v>
      </c>
      <c r="L441" s="0" t="n">
        <v>226359947</v>
      </c>
      <c r="M441" s="0" t="s">
        <v>1105</v>
      </c>
      <c r="N441" s="0" t="n">
        <v>104537813</v>
      </c>
      <c r="O441" s="0" t="n">
        <v>53</v>
      </c>
      <c r="P441" s="0" t="n">
        <v>0.43</v>
      </c>
      <c r="Q441" s="0" t="n">
        <f aca="false">IFERROR(VLOOKUP(B441,[2]'Cost Correction'!$D$2:$AJ$1627,33,0),"")</f>
        <v>104537813</v>
      </c>
    </row>
    <row r="442" customFormat="false" ht="15" hidden="true" customHeight="false" outlineLevel="0" collapsed="false">
      <c r="A442" s="0" t="str">
        <f aca="false">E442&amp;L442&amp;Q442</f>
        <v>43354226359947104537813</v>
      </c>
      <c r="B442" s="0" t="s">
        <v>1112</v>
      </c>
      <c r="C442" s="0" t="s">
        <v>1113</v>
      </c>
      <c r="D442" s="0" t="s">
        <v>28</v>
      </c>
      <c r="E442" s="44" t="n">
        <v>43354</v>
      </c>
      <c r="F442" s="0" t="s">
        <v>102</v>
      </c>
      <c r="G442" s="0" t="n">
        <v>21356941</v>
      </c>
      <c r="H442" s="0" t="n">
        <v>720193</v>
      </c>
      <c r="I442" s="0" t="s">
        <v>34</v>
      </c>
      <c r="J442" s="0" t="s">
        <v>174</v>
      </c>
      <c r="K442" s="0" t="s">
        <v>132</v>
      </c>
      <c r="L442" s="0" t="n">
        <v>226359947</v>
      </c>
      <c r="M442" s="0" t="s">
        <v>1105</v>
      </c>
      <c r="N442" s="0" t="n">
        <v>104537813</v>
      </c>
      <c r="O442" s="0" t="n">
        <v>4</v>
      </c>
      <c r="P442" s="0" t="n">
        <v>0.01</v>
      </c>
      <c r="Q442" s="0" t="n">
        <f aca="false">IFERROR(VLOOKUP(B442,[2]'Cost Correction'!$D$2:$AJ$1627,33,0),"")</f>
        <v>104537813</v>
      </c>
    </row>
    <row r="443" customFormat="false" ht="15" hidden="false" customHeight="false" outlineLevel="0" collapsed="false">
      <c r="A443" s="0" t="str">
        <f aca="false">E443&amp;L443&amp;Q443</f>
        <v>43353226359947</v>
      </c>
      <c r="B443" s="0" t="s">
        <v>1114</v>
      </c>
      <c r="C443" s="0" t="s">
        <v>1115</v>
      </c>
      <c r="D443" s="0" t="s">
        <v>28</v>
      </c>
      <c r="E443" s="44" t="n">
        <v>43353</v>
      </c>
      <c r="F443" s="0" t="s">
        <v>102</v>
      </c>
      <c r="G443" s="0" t="n">
        <v>21356941</v>
      </c>
      <c r="H443" s="0" t="n">
        <v>720193</v>
      </c>
      <c r="I443" s="0" t="s">
        <v>34</v>
      </c>
      <c r="J443" s="0" t="s">
        <v>174</v>
      </c>
      <c r="K443" s="0" t="s">
        <v>132</v>
      </c>
      <c r="L443" s="0" t="n">
        <v>226359947</v>
      </c>
      <c r="M443" s="0" t="s">
        <v>1105</v>
      </c>
      <c r="N443" s="0" t="n">
        <v>104537813</v>
      </c>
      <c r="O443" s="0" t="n">
        <v>3</v>
      </c>
      <c r="P443" s="0" t="n">
        <v>0.02</v>
      </c>
      <c r="Q443" s="0" t="str">
        <f aca="false">IFERROR(VLOOKUP(B443,[2]'Cost Correction'!$D$2:$AJ$1627,33,0),"")</f>
        <v/>
      </c>
    </row>
    <row r="444" customFormat="false" ht="15" hidden="false" customHeight="false" outlineLevel="0" collapsed="false">
      <c r="A444" s="0" t="str">
        <f aca="false">E444&amp;L444&amp;Q444</f>
        <v>43352226359947</v>
      </c>
      <c r="B444" s="0" t="s">
        <v>1116</v>
      </c>
      <c r="C444" s="0" t="s">
        <v>1117</v>
      </c>
      <c r="D444" s="0" t="s">
        <v>28</v>
      </c>
      <c r="E444" s="44" t="n">
        <v>43352</v>
      </c>
      <c r="F444" s="0" t="s">
        <v>102</v>
      </c>
      <c r="G444" s="0" t="n">
        <v>21356941</v>
      </c>
      <c r="H444" s="0" t="n">
        <v>720193</v>
      </c>
      <c r="I444" s="0" t="s">
        <v>34</v>
      </c>
      <c r="J444" s="0" t="s">
        <v>174</v>
      </c>
      <c r="K444" s="0" t="s">
        <v>132</v>
      </c>
      <c r="L444" s="0" t="n">
        <v>226359947</v>
      </c>
      <c r="M444" s="0" t="s">
        <v>1105</v>
      </c>
      <c r="N444" s="0" t="n">
        <v>104537813</v>
      </c>
      <c r="O444" s="0" t="n">
        <v>7</v>
      </c>
      <c r="P444" s="0" t="n">
        <v>0.05</v>
      </c>
      <c r="Q444" s="0" t="str">
        <f aca="false">IFERROR(VLOOKUP(B444,[2]'Cost Correction'!$D$2:$AJ$1627,33,0),"")</f>
        <v/>
      </c>
    </row>
    <row r="445" customFormat="false" ht="15" hidden="true" customHeight="false" outlineLevel="0" collapsed="false">
      <c r="A445" s="0" t="str">
        <f aca="false">E445&amp;L445&amp;Q445</f>
        <v>43358226359953104537129</v>
      </c>
      <c r="B445" s="0" t="s">
        <v>1118</v>
      </c>
      <c r="C445" s="0" t="s">
        <v>1119</v>
      </c>
      <c r="D445" s="0" t="s">
        <v>28</v>
      </c>
      <c r="E445" s="44" t="n">
        <v>43358</v>
      </c>
      <c r="F445" s="0" t="s">
        <v>102</v>
      </c>
      <c r="G445" s="0" t="n">
        <v>21356941</v>
      </c>
      <c r="H445" s="0" t="n">
        <v>720193</v>
      </c>
      <c r="I445" s="0" t="s">
        <v>34</v>
      </c>
      <c r="J445" s="0" t="s">
        <v>174</v>
      </c>
      <c r="K445" s="0" t="s">
        <v>133</v>
      </c>
      <c r="L445" s="0" t="n">
        <v>226359953</v>
      </c>
      <c r="M445" s="0" t="s">
        <v>1120</v>
      </c>
      <c r="N445" s="0" t="n">
        <v>104537129</v>
      </c>
      <c r="O445" s="0" t="n">
        <v>10</v>
      </c>
      <c r="P445" s="0" t="n">
        <v>0.08</v>
      </c>
      <c r="Q445" s="0" t="n">
        <f aca="false">IFERROR(VLOOKUP(B445,[2]'Cost Correction'!$D$2:$AJ$1627,33,0),"")</f>
        <v>104537129</v>
      </c>
    </row>
    <row r="446" customFormat="false" ht="15" hidden="false" customHeight="false" outlineLevel="0" collapsed="false">
      <c r="A446" s="0" t="str">
        <f aca="false">E446&amp;L446&amp;Q446</f>
        <v>43357226359953</v>
      </c>
      <c r="B446" s="0" t="s">
        <v>1121</v>
      </c>
      <c r="C446" s="0" t="s">
        <v>1122</v>
      </c>
      <c r="D446" s="0" t="s">
        <v>28</v>
      </c>
      <c r="E446" s="44" t="n">
        <v>43357</v>
      </c>
      <c r="F446" s="0" t="s">
        <v>102</v>
      </c>
      <c r="G446" s="0" t="n">
        <v>21356941</v>
      </c>
      <c r="H446" s="0" t="n">
        <v>720193</v>
      </c>
      <c r="I446" s="0" t="s">
        <v>34</v>
      </c>
      <c r="J446" s="0" t="s">
        <v>174</v>
      </c>
      <c r="K446" s="0" t="s">
        <v>133</v>
      </c>
      <c r="L446" s="0" t="n">
        <v>226359953</v>
      </c>
      <c r="M446" s="0" t="s">
        <v>1120</v>
      </c>
      <c r="N446" s="0" t="n">
        <v>104537129</v>
      </c>
      <c r="O446" s="0" t="n">
        <v>5</v>
      </c>
      <c r="P446" s="0" t="n">
        <v>0.02</v>
      </c>
      <c r="Q446" s="0" t="str">
        <f aca="false">IFERROR(VLOOKUP(B446,[2]'Cost Correction'!$D$2:$AJ$1627,33,0),"")</f>
        <v/>
      </c>
    </row>
    <row r="447" customFormat="false" ht="15" hidden="false" customHeight="false" outlineLevel="0" collapsed="false">
      <c r="A447" s="0" t="str">
        <f aca="false">E447&amp;L447&amp;Q447</f>
        <v>43356226359953</v>
      </c>
      <c r="B447" s="0" t="s">
        <v>1123</v>
      </c>
      <c r="C447" s="0" t="s">
        <v>1124</v>
      </c>
      <c r="D447" s="0" t="s">
        <v>28</v>
      </c>
      <c r="E447" s="44" t="n">
        <v>43356</v>
      </c>
      <c r="F447" s="0" t="s">
        <v>102</v>
      </c>
      <c r="G447" s="0" t="n">
        <v>21356941</v>
      </c>
      <c r="H447" s="0" t="n">
        <v>720193</v>
      </c>
      <c r="I447" s="0" t="s">
        <v>34</v>
      </c>
      <c r="J447" s="0" t="s">
        <v>174</v>
      </c>
      <c r="K447" s="0" t="s">
        <v>133</v>
      </c>
      <c r="L447" s="0" t="n">
        <v>226359953</v>
      </c>
      <c r="M447" s="0" t="s">
        <v>1120</v>
      </c>
      <c r="N447" s="0" t="n">
        <v>104537129</v>
      </c>
      <c r="O447" s="0" t="n">
        <v>3</v>
      </c>
      <c r="P447" s="0" t="n">
        <v>0.02</v>
      </c>
      <c r="Q447" s="0" t="str">
        <f aca="false">IFERROR(VLOOKUP(B447,[2]'Cost Correction'!$D$2:$AJ$1627,33,0),"")</f>
        <v/>
      </c>
    </row>
    <row r="448" customFormat="false" ht="15" hidden="false" customHeight="false" outlineLevel="0" collapsed="false">
      <c r="A448" s="0" t="str">
        <f aca="false">E448&amp;L448&amp;Q448</f>
        <v>43355226359953</v>
      </c>
      <c r="B448" s="0" t="s">
        <v>1125</v>
      </c>
      <c r="C448" s="0" t="s">
        <v>1126</v>
      </c>
      <c r="D448" s="0" t="s">
        <v>28</v>
      </c>
      <c r="E448" s="44" t="n">
        <v>43355</v>
      </c>
      <c r="F448" s="0" t="s">
        <v>102</v>
      </c>
      <c r="G448" s="0" t="n">
        <v>21356941</v>
      </c>
      <c r="H448" s="0" t="n">
        <v>720193</v>
      </c>
      <c r="I448" s="0" t="s">
        <v>34</v>
      </c>
      <c r="J448" s="0" t="s">
        <v>174</v>
      </c>
      <c r="K448" s="0" t="s">
        <v>133</v>
      </c>
      <c r="L448" s="0" t="n">
        <v>226359953</v>
      </c>
      <c r="M448" s="0" t="s">
        <v>1120</v>
      </c>
      <c r="N448" s="0" t="n">
        <v>104537129</v>
      </c>
      <c r="O448" s="0" t="n">
        <v>5</v>
      </c>
      <c r="P448" s="0" t="n">
        <v>0.02</v>
      </c>
      <c r="Q448" s="0" t="str">
        <f aca="false">IFERROR(VLOOKUP(B448,[2]'Cost Correction'!$D$2:$AJ$1627,33,0),"")</f>
        <v/>
      </c>
    </row>
    <row r="449" customFormat="false" ht="15" hidden="false" customHeight="false" outlineLevel="0" collapsed="false">
      <c r="A449" s="0" t="str">
        <f aca="false">E449&amp;L449&amp;Q449</f>
        <v>43354226359953</v>
      </c>
      <c r="B449" s="0" t="s">
        <v>1127</v>
      </c>
      <c r="C449" s="0" t="s">
        <v>1128</v>
      </c>
      <c r="D449" s="0" t="s">
        <v>28</v>
      </c>
      <c r="E449" s="44" t="n">
        <v>43354</v>
      </c>
      <c r="F449" s="0" t="s">
        <v>102</v>
      </c>
      <c r="G449" s="0" t="n">
        <v>21356941</v>
      </c>
      <c r="H449" s="0" t="n">
        <v>720193</v>
      </c>
      <c r="I449" s="0" t="s">
        <v>34</v>
      </c>
      <c r="J449" s="0" t="s">
        <v>174</v>
      </c>
      <c r="K449" s="0" t="s">
        <v>133</v>
      </c>
      <c r="L449" s="0" t="n">
        <v>226359953</v>
      </c>
      <c r="M449" s="0" t="s">
        <v>1120</v>
      </c>
      <c r="N449" s="0" t="n">
        <v>104537129</v>
      </c>
      <c r="O449" s="0" t="n">
        <v>6</v>
      </c>
      <c r="P449" s="0" t="n">
        <v>0.04</v>
      </c>
      <c r="Q449" s="0" t="str">
        <f aca="false">IFERROR(VLOOKUP(B449,[2]'Cost Correction'!$D$2:$AJ$1627,33,0),"")</f>
        <v/>
      </c>
    </row>
    <row r="450" customFormat="false" ht="15" hidden="false" customHeight="false" outlineLevel="0" collapsed="false">
      <c r="A450" s="0" t="str">
        <f aca="false">E450&amp;L450&amp;Q450</f>
        <v>43353226359953</v>
      </c>
      <c r="B450" s="0" t="s">
        <v>1129</v>
      </c>
      <c r="C450" s="0" t="s">
        <v>1130</v>
      </c>
      <c r="D450" s="0" t="s">
        <v>28</v>
      </c>
      <c r="E450" s="44" t="n">
        <v>43353</v>
      </c>
      <c r="F450" s="0" t="s">
        <v>102</v>
      </c>
      <c r="G450" s="0" t="n">
        <v>21356941</v>
      </c>
      <c r="H450" s="0" t="n">
        <v>720193</v>
      </c>
      <c r="I450" s="0" t="s">
        <v>34</v>
      </c>
      <c r="J450" s="0" t="s">
        <v>174</v>
      </c>
      <c r="K450" s="0" t="s">
        <v>133</v>
      </c>
      <c r="L450" s="0" t="n">
        <v>226359953</v>
      </c>
      <c r="M450" s="0" t="s">
        <v>1120</v>
      </c>
      <c r="N450" s="0" t="n">
        <v>104537129</v>
      </c>
      <c r="O450" s="0" t="n">
        <v>6</v>
      </c>
      <c r="P450" s="0" t="n">
        <v>0.04</v>
      </c>
      <c r="Q450" s="0" t="str">
        <f aca="false">IFERROR(VLOOKUP(B450,[2]'Cost Correction'!$D$2:$AJ$1627,33,0),"")</f>
        <v/>
      </c>
    </row>
    <row r="451" customFormat="false" ht="15" hidden="false" customHeight="false" outlineLevel="0" collapsed="false">
      <c r="A451" s="0" t="str">
        <f aca="false">E451&amp;L451&amp;Q451</f>
        <v>43352226359953</v>
      </c>
      <c r="B451" s="0" t="s">
        <v>1131</v>
      </c>
      <c r="C451" s="0" t="s">
        <v>1132</v>
      </c>
      <c r="D451" s="0" t="s">
        <v>28</v>
      </c>
      <c r="E451" s="44" t="n">
        <v>43352</v>
      </c>
      <c r="F451" s="0" t="s">
        <v>102</v>
      </c>
      <c r="G451" s="0" t="n">
        <v>21356941</v>
      </c>
      <c r="H451" s="0" t="n">
        <v>720193</v>
      </c>
      <c r="I451" s="0" t="s">
        <v>34</v>
      </c>
      <c r="J451" s="0" t="s">
        <v>174</v>
      </c>
      <c r="K451" s="0" t="s">
        <v>133</v>
      </c>
      <c r="L451" s="0" t="n">
        <v>226359953</v>
      </c>
      <c r="M451" s="0" t="s">
        <v>1120</v>
      </c>
      <c r="N451" s="0" t="n">
        <v>104537129</v>
      </c>
      <c r="O451" s="0" t="n">
        <v>3</v>
      </c>
      <c r="P451" s="0" t="n">
        <v>0.02</v>
      </c>
      <c r="Q451" s="0" t="str">
        <f aca="false">IFERROR(VLOOKUP(B451,[2]'Cost Correction'!$D$2:$AJ$1627,33,0),"")</f>
        <v/>
      </c>
    </row>
    <row r="452" customFormat="false" ht="15" hidden="false" customHeight="false" outlineLevel="0" collapsed="false">
      <c r="A452" s="0" t="str">
        <f aca="false">E452&amp;L452&amp;Q452</f>
        <v>43358226359944</v>
      </c>
      <c r="B452" s="0" t="s">
        <v>1133</v>
      </c>
      <c r="C452" s="0" t="s">
        <v>1134</v>
      </c>
      <c r="D452" s="0" t="s">
        <v>28</v>
      </c>
      <c r="E452" s="44" t="n">
        <v>43358</v>
      </c>
      <c r="F452" s="0" t="s">
        <v>102</v>
      </c>
      <c r="G452" s="0" t="n">
        <v>21356941</v>
      </c>
      <c r="H452" s="0" t="n">
        <v>720193</v>
      </c>
      <c r="I452" s="0" t="s">
        <v>34</v>
      </c>
      <c r="J452" s="0" t="s">
        <v>174</v>
      </c>
      <c r="K452" s="0" t="s">
        <v>134</v>
      </c>
      <c r="L452" s="0" t="n">
        <v>226359944</v>
      </c>
      <c r="M452" s="0" t="s">
        <v>1135</v>
      </c>
      <c r="N452" s="0" t="n">
        <v>104537816</v>
      </c>
      <c r="O452" s="0" t="n">
        <v>2</v>
      </c>
      <c r="P452" s="0" t="n">
        <v>0.02</v>
      </c>
      <c r="Q452" s="0" t="str">
        <f aca="false">IFERROR(VLOOKUP(B452,[2]'Cost Correction'!$D$2:$AJ$1627,33,0),"")</f>
        <v/>
      </c>
    </row>
    <row r="453" customFormat="false" ht="15" hidden="false" customHeight="false" outlineLevel="0" collapsed="false">
      <c r="A453" s="0" t="str">
        <f aca="false">E453&amp;L453&amp;Q453</f>
        <v>43357226359944</v>
      </c>
      <c r="B453" s="0" t="s">
        <v>1136</v>
      </c>
      <c r="C453" s="0" t="s">
        <v>1137</v>
      </c>
      <c r="D453" s="0" t="s">
        <v>28</v>
      </c>
      <c r="E453" s="44" t="n">
        <v>43357</v>
      </c>
      <c r="F453" s="0" t="s">
        <v>102</v>
      </c>
      <c r="G453" s="0" t="n">
        <v>21356941</v>
      </c>
      <c r="H453" s="0" t="n">
        <v>720193</v>
      </c>
      <c r="I453" s="0" t="s">
        <v>34</v>
      </c>
      <c r="J453" s="0" t="s">
        <v>174</v>
      </c>
      <c r="K453" s="0" t="s">
        <v>134</v>
      </c>
      <c r="L453" s="0" t="n">
        <v>226359944</v>
      </c>
      <c r="M453" s="0" t="s">
        <v>1135</v>
      </c>
      <c r="N453" s="0" t="n">
        <v>104537816</v>
      </c>
      <c r="O453" s="0" t="n">
        <v>0</v>
      </c>
      <c r="P453" s="0" t="n">
        <v>0</v>
      </c>
      <c r="Q453" s="0" t="str">
        <f aca="false">IFERROR(VLOOKUP(B453,[2]'Cost Correction'!$D$2:$AJ$1627,33,0),"")</f>
        <v/>
      </c>
    </row>
    <row r="454" customFormat="false" ht="15" hidden="false" customHeight="false" outlineLevel="0" collapsed="false">
      <c r="A454" s="0" t="str">
        <f aca="false">E454&amp;L454&amp;Q454</f>
        <v>43356226359944</v>
      </c>
      <c r="B454" s="0" t="s">
        <v>1138</v>
      </c>
      <c r="C454" s="0" t="s">
        <v>1139</v>
      </c>
      <c r="D454" s="0" t="s">
        <v>28</v>
      </c>
      <c r="E454" s="44" t="n">
        <v>43356</v>
      </c>
      <c r="F454" s="0" t="s">
        <v>102</v>
      </c>
      <c r="G454" s="0" t="n">
        <v>21356941</v>
      </c>
      <c r="H454" s="0" t="n">
        <v>720193</v>
      </c>
      <c r="I454" s="0" t="s">
        <v>34</v>
      </c>
      <c r="J454" s="0" t="s">
        <v>174</v>
      </c>
      <c r="K454" s="0" t="s">
        <v>134</v>
      </c>
      <c r="L454" s="0" t="n">
        <v>226359944</v>
      </c>
      <c r="M454" s="0" t="s">
        <v>1135</v>
      </c>
      <c r="N454" s="0" t="n">
        <v>104537816</v>
      </c>
      <c r="O454" s="0" t="n">
        <v>0</v>
      </c>
      <c r="P454" s="0" t="n">
        <v>0</v>
      </c>
      <c r="Q454" s="0" t="str">
        <f aca="false">IFERROR(VLOOKUP(B454,[2]'Cost Correction'!$D$2:$AJ$1627,33,0),"")</f>
        <v/>
      </c>
    </row>
    <row r="455" customFormat="false" ht="15" hidden="false" customHeight="false" outlineLevel="0" collapsed="false">
      <c r="A455" s="0" t="str">
        <f aca="false">E455&amp;L455&amp;Q455</f>
        <v>43355226359944</v>
      </c>
      <c r="B455" s="0" t="s">
        <v>1140</v>
      </c>
      <c r="C455" s="0" t="s">
        <v>1141</v>
      </c>
      <c r="D455" s="0" t="s">
        <v>28</v>
      </c>
      <c r="E455" s="44" t="n">
        <v>43355</v>
      </c>
      <c r="F455" s="0" t="s">
        <v>102</v>
      </c>
      <c r="G455" s="0" t="n">
        <v>21356941</v>
      </c>
      <c r="H455" s="0" t="n">
        <v>720193</v>
      </c>
      <c r="I455" s="0" t="s">
        <v>34</v>
      </c>
      <c r="J455" s="0" t="s">
        <v>174</v>
      </c>
      <c r="K455" s="0" t="s">
        <v>134</v>
      </c>
      <c r="L455" s="0" t="n">
        <v>226359944</v>
      </c>
      <c r="M455" s="0" t="s">
        <v>1135</v>
      </c>
      <c r="N455" s="0" t="n">
        <v>104537816</v>
      </c>
      <c r="O455" s="0" t="n">
        <v>2</v>
      </c>
      <c r="P455" s="0" t="n">
        <v>0</v>
      </c>
      <c r="Q455" s="0" t="str">
        <f aca="false">IFERROR(VLOOKUP(B455,[2]'Cost Correction'!$D$2:$AJ$1627,33,0),"")</f>
        <v/>
      </c>
    </row>
    <row r="456" customFormat="false" ht="15" hidden="false" customHeight="false" outlineLevel="0" collapsed="false">
      <c r="A456" s="0" t="str">
        <f aca="false">E456&amp;L456&amp;Q456</f>
        <v>43354226359944</v>
      </c>
      <c r="B456" s="0" t="s">
        <v>1142</v>
      </c>
      <c r="C456" s="0" t="s">
        <v>1143</v>
      </c>
      <c r="D456" s="0" t="s">
        <v>28</v>
      </c>
      <c r="E456" s="44" t="n">
        <v>43354</v>
      </c>
      <c r="F456" s="0" t="s">
        <v>102</v>
      </c>
      <c r="G456" s="0" t="n">
        <v>21356941</v>
      </c>
      <c r="H456" s="0" t="n">
        <v>720193</v>
      </c>
      <c r="I456" s="0" t="s">
        <v>34</v>
      </c>
      <c r="J456" s="0" t="s">
        <v>174</v>
      </c>
      <c r="K456" s="0" t="s">
        <v>134</v>
      </c>
      <c r="L456" s="0" t="n">
        <v>226359944</v>
      </c>
      <c r="M456" s="0" t="s">
        <v>1135</v>
      </c>
      <c r="N456" s="0" t="n">
        <v>104537816</v>
      </c>
      <c r="O456" s="0" t="n">
        <v>1</v>
      </c>
      <c r="P456" s="0" t="n">
        <v>0.01</v>
      </c>
      <c r="Q456" s="0" t="str">
        <f aca="false">IFERROR(VLOOKUP(B456,[2]'Cost Correction'!$D$2:$AJ$1627,33,0),"")</f>
        <v/>
      </c>
    </row>
    <row r="457" customFormat="false" ht="15" hidden="false" customHeight="false" outlineLevel="0" collapsed="false">
      <c r="A457" s="0" t="str">
        <f aca="false">E457&amp;L457&amp;Q457</f>
        <v>43353226359944</v>
      </c>
      <c r="B457" s="0" t="s">
        <v>1144</v>
      </c>
      <c r="C457" s="0" t="s">
        <v>1145</v>
      </c>
      <c r="D457" s="0" t="s">
        <v>28</v>
      </c>
      <c r="E457" s="44" t="n">
        <v>43353</v>
      </c>
      <c r="F457" s="0" t="s">
        <v>102</v>
      </c>
      <c r="G457" s="0" t="n">
        <v>21356941</v>
      </c>
      <c r="H457" s="0" t="n">
        <v>720193</v>
      </c>
      <c r="I457" s="0" t="s">
        <v>34</v>
      </c>
      <c r="J457" s="0" t="s">
        <v>174</v>
      </c>
      <c r="K457" s="0" t="s">
        <v>134</v>
      </c>
      <c r="L457" s="0" t="n">
        <v>226359944</v>
      </c>
      <c r="M457" s="0" t="s">
        <v>1135</v>
      </c>
      <c r="N457" s="0" t="n">
        <v>104537816</v>
      </c>
      <c r="O457" s="0" t="n">
        <v>6</v>
      </c>
      <c r="P457" s="0" t="n">
        <v>0.01</v>
      </c>
      <c r="Q457" s="0" t="str">
        <f aca="false">IFERROR(VLOOKUP(B457,[2]'Cost Correction'!$D$2:$AJ$1627,33,0),"")</f>
        <v/>
      </c>
    </row>
    <row r="458" customFormat="false" ht="15" hidden="false" customHeight="false" outlineLevel="0" collapsed="false">
      <c r="A458" s="0" t="str">
        <f aca="false">E458&amp;L458&amp;Q458</f>
        <v>43352226359944</v>
      </c>
      <c r="B458" s="0" t="s">
        <v>1146</v>
      </c>
      <c r="C458" s="0" t="s">
        <v>1147</v>
      </c>
      <c r="D458" s="0" t="s">
        <v>28</v>
      </c>
      <c r="E458" s="44" t="n">
        <v>43352</v>
      </c>
      <c r="F458" s="0" t="s">
        <v>102</v>
      </c>
      <c r="G458" s="0" t="n">
        <v>21356941</v>
      </c>
      <c r="H458" s="0" t="n">
        <v>720193</v>
      </c>
      <c r="I458" s="0" t="s">
        <v>34</v>
      </c>
      <c r="J458" s="0" t="s">
        <v>174</v>
      </c>
      <c r="K458" s="0" t="s">
        <v>134</v>
      </c>
      <c r="L458" s="0" t="n">
        <v>226359944</v>
      </c>
      <c r="M458" s="0" t="s">
        <v>1135</v>
      </c>
      <c r="N458" s="0" t="n">
        <v>104537816</v>
      </c>
      <c r="O458" s="0" t="n">
        <v>30</v>
      </c>
      <c r="P458" s="0" t="n">
        <v>0.18</v>
      </c>
      <c r="Q458" s="0" t="str">
        <f aca="false">IFERROR(VLOOKUP(B458,[2]'Cost Correction'!$D$2:$AJ$1627,33,0),"")</f>
        <v/>
      </c>
    </row>
    <row r="459" customFormat="false" ht="15" hidden="false" customHeight="false" outlineLevel="0" collapsed="false">
      <c r="A459" s="0" t="str">
        <f aca="false">E459&amp;L459&amp;Q459</f>
        <v>43358226359950</v>
      </c>
      <c r="B459" s="0" t="s">
        <v>1148</v>
      </c>
      <c r="C459" s="0" t="s">
        <v>1149</v>
      </c>
      <c r="D459" s="0" t="s">
        <v>28</v>
      </c>
      <c r="E459" s="44" t="n">
        <v>43358</v>
      </c>
      <c r="F459" s="0" t="s">
        <v>102</v>
      </c>
      <c r="G459" s="0" t="n">
        <v>21356941</v>
      </c>
      <c r="H459" s="0" t="n">
        <v>720193</v>
      </c>
      <c r="I459" s="0" t="s">
        <v>34</v>
      </c>
      <c r="J459" s="0" t="s">
        <v>174</v>
      </c>
      <c r="K459" s="0" t="s">
        <v>135</v>
      </c>
      <c r="L459" s="0" t="n">
        <v>226359950</v>
      </c>
      <c r="M459" s="0" t="s">
        <v>1150</v>
      </c>
      <c r="N459" s="0" t="n">
        <v>104537132</v>
      </c>
      <c r="O459" s="0" t="n">
        <v>1</v>
      </c>
      <c r="P459" s="0" t="n">
        <v>0</v>
      </c>
      <c r="Q459" s="0" t="str">
        <f aca="false">IFERROR(VLOOKUP(B459,[2]'Cost Correction'!$D$2:$AJ$1627,33,0),"")</f>
        <v/>
      </c>
    </row>
    <row r="460" customFormat="false" ht="15" hidden="false" customHeight="false" outlineLevel="0" collapsed="false">
      <c r="A460" s="0" t="str">
        <f aca="false">E460&amp;L460&amp;Q460</f>
        <v>43357226359950</v>
      </c>
      <c r="B460" s="0" t="s">
        <v>1151</v>
      </c>
      <c r="C460" s="0" t="s">
        <v>1152</v>
      </c>
      <c r="D460" s="0" t="s">
        <v>28</v>
      </c>
      <c r="E460" s="44" t="n">
        <v>43357</v>
      </c>
      <c r="F460" s="0" t="s">
        <v>102</v>
      </c>
      <c r="G460" s="0" t="n">
        <v>21356941</v>
      </c>
      <c r="H460" s="0" t="n">
        <v>720193</v>
      </c>
      <c r="I460" s="0" t="s">
        <v>34</v>
      </c>
      <c r="J460" s="0" t="s">
        <v>174</v>
      </c>
      <c r="K460" s="0" t="s">
        <v>135</v>
      </c>
      <c r="L460" s="0" t="n">
        <v>226359950</v>
      </c>
      <c r="M460" s="0" t="s">
        <v>1150</v>
      </c>
      <c r="N460" s="0" t="n">
        <v>104537132</v>
      </c>
      <c r="O460" s="0" t="n">
        <v>3</v>
      </c>
      <c r="P460" s="0" t="n">
        <v>0</v>
      </c>
      <c r="Q460" s="0" t="str">
        <f aca="false">IFERROR(VLOOKUP(B460,[2]'Cost Correction'!$D$2:$AJ$1627,33,0),"")</f>
        <v/>
      </c>
    </row>
    <row r="461" customFormat="false" ht="15" hidden="false" customHeight="false" outlineLevel="0" collapsed="false">
      <c r="A461" s="0" t="str">
        <f aca="false">E461&amp;L461&amp;Q461</f>
        <v>43356226359950</v>
      </c>
      <c r="B461" s="0" t="s">
        <v>1153</v>
      </c>
      <c r="C461" s="0" t="s">
        <v>1154</v>
      </c>
      <c r="D461" s="0" t="s">
        <v>28</v>
      </c>
      <c r="E461" s="44" t="n">
        <v>43356</v>
      </c>
      <c r="F461" s="0" t="s">
        <v>102</v>
      </c>
      <c r="G461" s="0" t="n">
        <v>21356941</v>
      </c>
      <c r="H461" s="0" t="n">
        <v>720193</v>
      </c>
      <c r="I461" s="0" t="s">
        <v>34</v>
      </c>
      <c r="J461" s="0" t="s">
        <v>174</v>
      </c>
      <c r="K461" s="0" t="s">
        <v>135</v>
      </c>
      <c r="L461" s="0" t="n">
        <v>226359950</v>
      </c>
      <c r="M461" s="0" t="s">
        <v>1150</v>
      </c>
      <c r="N461" s="0" t="n">
        <v>104537132</v>
      </c>
      <c r="O461" s="0" t="n">
        <v>1</v>
      </c>
      <c r="P461" s="0" t="n">
        <v>0</v>
      </c>
      <c r="Q461" s="0" t="str">
        <f aca="false">IFERROR(VLOOKUP(B461,[2]'Cost Correction'!$D$2:$AJ$1627,33,0),"")</f>
        <v/>
      </c>
    </row>
    <row r="462" customFormat="false" ht="15" hidden="false" customHeight="false" outlineLevel="0" collapsed="false">
      <c r="A462" s="0" t="str">
        <f aca="false">E462&amp;L462&amp;Q462</f>
        <v>43355226359950</v>
      </c>
      <c r="B462" s="0" t="s">
        <v>1155</v>
      </c>
      <c r="C462" s="0" t="s">
        <v>1156</v>
      </c>
      <c r="D462" s="0" t="s">
        <v>28</v>
      </c>
      <c r="E462" s="44" t="n">
        <v>43355</v>
      </c>
      <c r="F462" s="0" t="s">
        <v>102</v>
      </c>
      <c r="G462" s="0" t="n">
        <v>21356941</v>
      </c>
      <c r="H462" s="0" t="n">
        <v>720193</v>
      </c>
      <c r="I462" s="0" t="s">
        <v>34</v>
      </c>
      <c r="J462" s="0" t="s">
        <v>174</v>
      </c>
      <c r="K462" s="0" t="s">
        <v>135</v>
      </c>
      <c r="L462" s="0" t="n">
        <v>226359950</v>
      </c>
      <c r="M462" s="0" t="s">
        <v>1150</v>
      </c>
      <c r="N462" s="0" t="n">
        <v>104537132</v>
      </c>
      <c r="O462" s="0" t="n">
        <v>0</v>
      </c>
      <c r="P462" s="0" t="n">
        <v>0</v>
      </c>
      <c r="Q462" s="0" t="str">
        <f aca="false">IFERROR(VLOOKUP(B462,[2]'Cost Correction'!$D$2:$AJ$1627,33,0),"")</f>
        <v/>
      </c>
    </row>
    <row r="463" customFormat="false" ht="15" hidden="false" customHeight="false" outlineLevel="0" collapsed="false">
      <c r="A463" s="0" t="str">
        <f aca="false">E463&amp;L463&amp;Q463</f>
        <v>43354226359950</v>
      </c>
      <c r="B463" s="0" t="s">
        <v>1157</v>
      </c>
      <c r="C463" s="0" t="s">
        <v>1158</v>
      </c>
      <c r="D463" s="0" t="s">
        <v>28</v>
      </c>
      <c r="E463" s="44" t="n">
        <v>43354</v>
      </c>
      <c r="F463" s="0" t="s">
        <v>102</v>
      </c>
      <c r="G463" s="0" t="n">
        <v>21356941</v>
      </c>
      <c r="H463" s="0" t="n">
        <v>720193</v>
      </c>
      <c r="I463" s="0" t="s">
        <v>34</v>
      </c>
      <c r="J463" s="0" t="s">
        <v>174</v>
      </c>
      <c r="K463" s="0" t="s">
        <v>135</v>
      </c>
      <c r="L463" s="0" t="n">
        <v>226359950</v>
      </c>
      <c r="M463" s="0" t="s">
        <v>1150</v>
      </c>
      <c r="N463" s="0" t="n">
        <v>104537132</v>
      </c>
      <c r="O463" s="0" t="n">
        <v>0</v>
      </c>
      <c r="P463" s="0" t="n">
        <v>0</v>
      </c>
      <c r="Q463" s="0" t="str">
        <f aca="false">IFERROR(VLOOKUP(B463,[2]'Cost Correction'!$D$2:$AJ$1627,33,0),"")</f>
        <v/>
      </c>
    </row>
    <row r="464" customFormat="false" ht="15" hidden="false" customHeight="false" outlineLevel="0" collapsed="false">
      <c r="A464" s="0" t="str">
        <f aca="false">E464&amp;L464&amp;Q464</f>
        <v>43353226359950</v>
      </c>
      <c r="B464" s="0" t="s">
        <v>1159</v>
      </c>
      <c r="C464" s="0" t="s">
        <v>1160</v>
      </c>
      <c r="D464" s="0" t="s">
        <v>28</v>
      </c>
      <c r="E464" s="44" t="n">
        <v>43353</v>
      </c>
      <c r="F464" s="0" t="s">
        <v>102</v>
      </c>
      <c r="G464" s="0" t="n">
        <v>21356941</v>
      </c>
      <c r="H464" s="0" t="n">
        <v>720193</v>
      </c>
      <c r="I464" s="0" t="s">
        <v>34</v>
      </c>
      <c r="J464" s="0" t="s">
        <v>174</v>
      </c>
      <c r="K464" s="0" t="s">
        <v>135</v>
      </c>
      <c r="L464" s="0" t="n">
        <v>226359950</v>
      </c>
      <c r="M464" s="0" t="s">
        <v>1150</v>
      </c>
      <c r="N464" s="0" t="n">
        <v>104537132</v>
      </c>
      <c r="O464" s="0" t="n">
        <v>5</v>
      </c>
      <c r="P464" s="0" t="n">
        <v>0.05</v>
      </c>
      <c r="Q464" s="0" t="str">
        <f aca="false">IFERROR(VLOOKUP(B464,[2]'Cost Correction'!$D$2:$AJ$1627,33,0),"")</f>
        <v/>
      </c>
    </row>
    <row r="465" customFormat="false" ht="15" hidden="false" customHeight="false" outlineLevel="0" collapsed="false">
      <c r="A465" s="0" t="str">
        <f aca="false">E465&amp;L465&amp;Q465</f>
        <v>43352226359950</v>
      </c>
      <c r="B465" s="0" t="s">
        <v>1161</v>
      </c>
      <c r="C465" s="0" t="s">
        <v>1162</v>
      </c>
      <c r="D465" s="0" t="s">
        <v>28</v>
      </c>
      <c r="E465" s="44" t="n">
        <v>43352</v>
      </c>
      <c r="F465" s="0" t="s">
        <v>102</v>
      </c>
      <c r="G465" s="0" t="n">
        <v>21356941</v>
      </c>
      <c r="H465" s="0" t="n">
        <v>720193</v>
      </c>
      <c r="I465" s="0" t="s">
        <v>34</v>
      </c>
      <c r="J465" s="0" t="s">
        <v>174</v>
      </c>
      <c r="K465" s="0" t="s">
        <v>135</v>
      </c>
      <c r="L465" s="0" t="n">
        <v>226359950</v>
      </c>
      <c r="M465" s="0" t="s">
        <v>1150</v>
      </c>
      <c r="N465" s="0" t="n">
        <v>104537132</v>
      </c>
      <c r="O465" s="0" t="n">
        <v>9</v>
      </c>
      <c r="P465" s="0" t="n">
        <v>0.02</v>
      </c>
      <c r="Q465" s="0" t="str">
        <f aca="false">IFERROR(VLOOKUP(B465,[2]'Cost Correction'!$D$2:$AJ$1627,33,0),"")</f>
        <v/>
      </c>
    </row>
    <row r="466" customFormat="false" ht="15" hidden="false" customHeight="false" outlineLevel="0" collapsed="false">
      <c r="A466" s="0" t="str">
        <f aca="false">E466&amp;L466&amp;Q466</f>
        <v>43358226360019</v>
      </c>
      <c r="B466" s="0" t="s">
        <v>1163</v>
      </c>
      <c r="C466" s="0" t="s">
        <v>1164</v>
      </c>
      <c r="D466" s="0" t="s">
        <v>28</v>
      </c>
      <c r="E466" s="44" t="n">
        <v>43358</v>
      </c>
      <c r="F466" s="0" t="s">
        <v>102</v>
      </c>
      <c r="G466" s="0" t="n">
        <v>21356941</v>
      </c>
      <c r="H466" s="0" t="n">
        <v>720193</v>
      </c>
      <c r="I466" s="0" t="s">
        <v>34</v>
      </c>
      <c r="J466" s="0" t="s">
        <v>174</v>
      </c>
      <c r="K466" s="0" t="s">
        <v>136</v>
      </c>
      <c r="L466" s="0" t="n">
        <v>226360019</v>
      </c>
      <c r="M466" s="0" t="s">
        <v>1105</v>
      </c>
      <c r="N466" s="0" t="n">
        <v>104537813</v>
      </c>
      <c r="O466" s="0" t="n">
        <v>0</v>
      </c>
      <c r="P466" s="0" t="n">
        <v>0</v>
      </c>
      <c r="Q466" s="0" t="str">
        <f aca="false">IFERROR(VLOOKUP(B466,[2]'Cost Correction'!$D$2:$AJ$1627,33,0),"")</f>
        <v/>
      </c>
    </row>
    <row r="467" customFormat="false" ht="15" hidden="false" customHeight="false" outlineLevel="0" collapsed="false">
      <c r="A467" s="0" t="str">
        <f aca="false">E467&amp;L467&amp;Q467</f>
        <v>43357226360019</v>
      </c>
      <c r="B467" s="0" t="s">
        <v>1165</v>
      </c>
      <c r="C467" s="0" t="s">
        <v>1166</v>
      </c>
      <c r="D467" s="0" t="s">
        <v>28</v>
      </c>
      <c r="E467" s="44" t="n">
        <v>43357</v>
      </c>
      <c r="F467" s="0" t="s">
        <v>102</v>
      </c>
      <c r="G467" s="0" t="n">
        <v>21356941</v>
      </c>
      <c r="H467" s="0" t="n">
        <v>720193</v>
      </c>
      <c r="I467" s="0" t="s">
        <v>34</v>
      </c>
      <c r="J467" s="0" t="s">
        <v>174</v>
      </c>
      <c r="K467" s="0" t="s">
        <v>136</v>
      </c>
      <c r="L467" s="0" t="n">
        <v>226360019</v>
      </c>
      <c r="M467" s="0" t="s">
        <v>1105</v>
      </c>
      <c r="N467" s="0" t="n">
        <v>104537813</v>
      </c>
      <c r="O467" s="0" t="n">
        <v>0</v>
      </c>
      <c r="P467" s="0" t="n">
        <v>0</v>
      </c>
      <c r="Q467" s="0" t="str">
        <f aca="false">IFERROR(VLOOKUP(B467,[2]'Cost Correction'!$D$2:$AJ$1627,33,0),"")</f>
        <v/>
      </c>
    </row>
    <row r="468" customFormat="false" ht="15" hidden="false" customHeight="false" outlineLevel="0" collapsed="false">
      <c r="A468" s="0" t="str">
        <f aca="false">E468&amp;L468&amp;Q468</f>
        <v>43356226360019</v>
      </c>
      <c r="B468" s="0" t="s">
        <v>1167</v>
      </c>
      <c r="C468" s="0" t="s">
        <v>1168</v>
      </c>
      <c r="D468" s="0" t="s">
        <v>28</v>
      </c>
      <c r="E468" s="44" t="n">
        <v>43356</v>
      </c>
      <c r="F468" s="0" t="s">
        <v>102</v>
      </c>
      <c r="G468" s="0" t="n">
        <v>21356941</v>
      </c>
      <c r="H468" s="0" t="n">
        <v>720193</v>
      </c>
      <c r="I468" s="0" t="s">
        <v>34</v>
      </c>
      <c r="J468" s="0" t="s">
        <v>174</v>
      </c>
      <c r="K468" s="0" t="s">
        <v>136</v>
      </c>
      <c r="L468" s="0" t="n">
        <v>226360019</v>
      </c>
      <c r="M468" s="0" t="s">
        <v>1105</v>
      </c>
      <c r="N468" s="0" t="n">
        <v>104537813</v>
      </c>
      <c r="O468" s="0" t="n">
        <v>0</v>
      </c>
      <c r="P468" s="0" t="n">
        <v>0</v>
      </c>
      <c r="Q468" s="0" t="str">
        <f aca="false">IFERROR(VLOOKUP(B468,[2]'Cost Correction'!$D$2:$AJ$1627,33,0),"")</f>
        <v/>
      </c>
    </row>
    <row r="469" customFormat="false" ht="15" hidden="false" customHeight="false" outlineLevel="0" collapsed="false">
      <c r="A469" s="0" t="str">
        <f aca="false">E469&amp;L469&amp;Q469</f>
        <v>43355226360019</v>
      </c>
      <c r="B469" s="0" t="s">
        <v>1169</v>
      </c>
      <c r="C469" s="0" t="s">
        <v>1170</v>
      </c>
      <c r="D469" s="0" t="s">
        <v>28</v>
      </c>
      <c r="E469" s="44" t="n">
        <v>43355</v>
      </c>
      <c r="F469" s="0" t="s">
        <v>102</v>
      </c>
      <c r="G469" s="0" t="n">
        <v>21356941</v>
      </c>
      <c r="H469" s="0" t="n">
        <v>720193</v>
      </c>
      <c r="I469" s="0" t="s">
        <v>34</v>
      </c>
      <c r="J469" s="0" t="s">
        <v>174</v>
      </c>
      <c r="K469" s="0" t="s">
        <v>136</v>
      </c>
      <c r="L469" s="0" t="n">
        <v>226360019</v>
      </c>
      <c r="M469" s="0" t="s">
        <v>1105</v>
      </c>
      <c r="N469" s="0" t="n">
        <v>104537813</v>
      </c>
      <c r="O469" s="0" t="n">
        <v>0</v>
      </c>
      <c r="P469" s="0" t="n">
        <v>0</v>
      </c>
      <c r="Q469" s="0" t="str">
        <f aca="false">IFERROR(VLOOKUP(B469,[2]'Cost Correction'!$D$2:$AJ$1627,33,0),"")</f>
        <v/>
      </c>
    </row>
    <row r="470" customFormat="false" ht="15" hidden="false" customHeight="false" outlineLevel="0" collapsed="false">
      <c r="A470" s="0" t="str">
        <f aca="false">E470&amp;L470&amp;Q470</f>
        <v>43354226360019</v>
      </c>
      <c r="B470" s="0" t="s">
        <v>1171</v>
      </c>
      <c r="C470" s="0" t="s">
        <v>1172</v>
      </c>
      <c r="D470" s="0" t="s">
        <v>28</v>
      </c>
      <c r="E470" s="44" t="n">
        <v>43354</v>
      </c>
      <c r="F470" s="0" t="s">
        <v>102</v>
      </c>
      <c r="G470" s="0" t="n">
        <v>21356941</v>
      </c>
      <c r="H470" s="0" t="n">
        <v>720193</v>
      </c>
      <c r="I470" s="0" t="s">
        <v>34</v>
      </c>
      <c r="J470" s="0" t="s">
        <v>174</v>
      </c>
      <c r="K470" s="0" t="s">
        <v>136</v>
      </c>
      <c r="L470" s="0" t="n">
        <v>226360019</v>
      </c>
      <c r="M470" s="0" t="s">
        <v>1105</v>
      </c>
      <c r="N470" s="0" t="n">
        <v>104537813</v>
      </c>
      <c r="O470" s="0" t="n">
        <v>0</v>
      </c>
      <c r="P470" s="0" t="n">
        <v>0</v>
      </c>
      <c r="Q470" s="0" t="str">
        <f aca="false">IFERROR(VLOOKUP(B470,[2]'Cost Correction'!$D$2:$AJ$1627,33,0),"")</f>
        <v/>
      </c>
    </row>
    <row r="471" customFormat="false" ht="15" hidden="false" customHeight="false" outlineLevel="0" collapsed="false">
      <c r="A471" s="0" t="str">
        <f aca="false">E471&amp;L471&amp;Q471</f>
        <v>43353226360019</v>
      </c>
      <c r="B471" s="0" t="s">
        <v>1173</v>
      </c>
      <c r="C471" s="0" t="s">
        <v>1174</v>
      </c>
      <c r="D471" s="0" t="s">
        <v>28</v>
      </c>
      <c r="E471" s="44" t="n">
        <v>43353</v>
      </c>
      <c r="F471" s="0" t="s">
        <v>102</v>
      </c>
      <c r="G471" s="0" t="n">
        <v>21356941</v>
      </c>
      <c r="H471" s="0" t="n">
        <v>720193</v>
      </c>
      <c r="I471" s="0" t="s">
        <v>34</v>
      </c>
      <c r="J471" s="0" t="s">
        <v>174</v>
      </c>
      <c r="K471" s="0" t="s">
        <v>136</v>
      </c>
      <c r="L471" s="0" t="n">
        <v>226360019</v>
      </c>
      <c r="M471" s="0" t="s">
        <v>1105</v>
      </c>
      <c r="N471" s="0" t="n">
        <v>104537813</v>
      </c>
      <c r="O471" s="0" t="n">
        <v>0</v>
      </c>
      <c r="P471" s="0" t="n">
        <v>0</v>
      </c>
      <c r="Q471" s="0" t="str">
        <f aca="false">IFERROR(VLOOKUP(B471,[2]'Cost Correction'!$D$2:$AJ$1627,33,0),"")</f>
        <v/>
      </c>
    </row>
    <row r="472" customFormat="false" ht="15" hidden="false" customHeight="false" outlineLevel="0" collapsed="false">
      <c r="A472" s="0" t="str">
        <f aca="false">E472&amp;L472&amp;Q472</f>
        <v>43352226360019</v>
      </c>
      <c r="B472" s="0" t="s">
        <v>1175</v>
      </c>
      <c r="C472" s="0" t="s">
        <v>1176</v>
      </c>
      <c r="D472" s="0" t="s">
        <v>28</v>
      </c>
      <c r="E472" s="44" t="n">
        <v>43352</v>
      </c>
      <c r="F472" s="0" t="s">
        <v>102</v>
      </c>
      <c r="G472" s="0" t="n">
        <v>21356941</v>
      </c>
      <c r="H472" s="0" t="n">
        <v>720193</v>
      </c>
      <c r="I472" s="0" t="s">
        <v>34</v>
      </c>
      <c r="J472" s="0" t="s">
        <v>174</v>
      </c>
      <c r="K472" s="0" t="s">
        <v>136</v>
      </c>
      <c r="L472" s="0" t="n">
        <v>226360019</v>
      </c>
      <c r="M472" s="0" t="s">
        <v>1105</v>
      </c>
      <c r="N472" s="0" t="n">
        <v>104537813</v>
      </c>
      <c r="O472" s="0" t="n">
        <v>0</v>
      </c>
      <c r="P472" s="0" t="n">
        <v>0</v>
      </c>
      <c r="Q472" s="0" t="str">
        <f aca="false">IFERROR(VLOOKUP(B472,[2]'Cost Correction'!$D$2:$AJ$1627,33,0),"")</f>
        <v/>
      </c>
    </row>
    <row r="473" customFormat="false" ht="15" hidden="false" customHeight="false" outlineLevel="0" collapsed="false">
      <c r="A473" s="0" t="str">
        <f aca="false">E473&amp;L473&amp;Q473</f>
        <v>43358226359881</v>
      </c>
      <c r="B473" s="0" t="s">
        <v>1177</v>
      </c>
      <c r="C473" s="0" t="s">
        <v>1178</v>
      </c>
      <c r="D473" s="0" t="s">
        <v>28</v>
      </c>
      <c r="E473" s="44" t="n">
        <v>43358</v>
      </c>
      <c r="F473" s="0" t="s">
        <v>102</v>
      </c>
      <c r="G473" s="0" t="n">
        <v>21356941</v>
      </c>
      <c r="H473" s="0" t="n">
        <v>720193</v>
      </c>
      <c r="I473" s="0" t="s">
        <v>34</v>
      </c>
      <c r="J473" s="0" t="s">
        <v>174</v>
      </c>
      <c r="K473" s="0" t="s">
        <v>137</v>
      </c>
      <c r="L473" s="0" t="n">
        <v>226359881</v>
      </c>
      <c r="M473" s="0" t="s">
        <v>1105</v>
      </c>
      <c r="N473" s="0" t="n">
        <v>104537813</v>
      </c>
      <c r="O473" s="0" t="n">
        <v>0</v>
      </c>
      <c r="P473" s="0" t="n">
        <v>0</v>
      </c>
      <c r="Q473" s="0" t="str">
        <f aca="false">IFERROR(VLOOKUP(B473,[2]'Cost Correction'!$D$2:$AJ$1627,33,0),"")</f>
        <v/>
      </c>
    </row>
    <row r="474" customFormat="false" ht="15" hidden="false" customHeight="false" outlineLevel="0" collapsed="false">
      <c r="A474" s="0" t="str">
        <f aca="false">E474&amp;L474&amp;Q474</f>
        <v>43357226359881</v>
      </c>
      <c r="B474" s="0" t="s">
        <v>1179</v>
      </c>
      <c r="C474" s="0" t="s">
        <v>1180</v>
      </c>
      <c r="D474" s="0" t="s">
        <v>28</v>
      </c>
      <c r="E474" s="44" t="n">
        <v>43357</v>
      </c>
      <c r="F474" s="0" t="s">
        <v>102</v>
      </c>
      <c r="G474" s="0" t="n">
        <v>21356941</v>
      </c>
      <c r="H474" s="0" t="n">
        <v>720193</v>
      </c>
      <c r="I474" s="0" t="s">
        <v>34</v>
      </c>
      <c r="J474" s="0" t="s">
        <v>174</v>
      </c>
      <c r="K474" s="0" t="s">
        <v>137</v>
      </c>
      <c r="L474" s="0" t="n">
        <v>226359881</v>
      </c>
      <c r="M474" s="0" t="s">
        <v>1105</v>
      </c>
      <c r="N474" s="0" t="n">
        <v>104537813</v>
      </c>
      <c r="O474" s="0" t="n">
        <v>0</v>
      </c>
      <c r="P474" s="0" t="n">
        <v>0</v>
      </c>
      <c r="Q474" s="0" t="str">
        <f aca="false">IFERROR(VLOOKUP(B474,[2]'Cost Correction'!$D$2:$AJ$1627,33,0),"")</f>
        <v/>
      </c>
    </row>
    <row r="475" customFormat="false" ht="15" hidden="false" customHeight="false" outlineLevel="0" collapsed="false">
      <c r="A475" s="0" t="str">
        <f aca="false">E475&amp;L475&amp;Q475</f>
        <v>43356226359881</v>
      </c>
      <c r="B475" s="0" t="s">
        <v>1181</v>
      </c>
      <c r="C475" s="0" t="s">
        <v>1182</v>
      </c>
      <c r="D475" s="0" t="s">
        <v>28</v>
      </c>
      <c r="E475" s="44" t="n">
        <v>43356</v>
      </c>
      <c r="F475" s="0" t="s">
        <v>102</v>
      </c>
      <c r="G475" s="0" t="n">
        <v>21356941</v>
      </c>
      <c r="H475" s="0" t="n">
        <v>720193</v>
      </c>
      <c r="I475" s="0" t="s">
        <v>34</v>
      </c>
      <c r="J475" s="0" t="s">
        <v>174</v>
      </c>
      <c r="K475" s="0" t="s">
        <v>137</v>
      </c>
      <c r="L475" s="0" t="n">
        <v>226359881</v>
      </c>
      <c r="M475" s="0" t="s">
        <v>1105</v>
      </c>
      <c r="N475" s="0" t="n">
        <v>104537813</v>
      </c>
      <c r="O475" s="0" t="n">
        <v>0</v>
      </c>
      <c r="P475" s="0" t="n">
        <v>0</v>
      </c>
      <c r="Q475" s="0" t="str">
        <f aca="false">IFERROR(VLOOKUP(B475,[2]'Cost Correction'!$D$2:$AJ$1627,33,0),"")</f>
        <v/>
      </c>
    </row>
    <row r="476" customFormat="false" ht="15" hidden="false" customHeight="false" outlineLevel="0" collapsed="false">
      <c r="A476" s="0" t="str">
        <f aca="false">E476&amp;L476&amp;Q476</f>
        <v>43355226359881</v>
      </c>
      <c r="B476" s="0" t="s">
        <v>1183</v>
      </c>
      <c r="C476" s="0" t="s">
        <v>1184</v>
      </c>
      <c r="D476" s="0" t="s">
        <v>28</v>
      </c>
      <c r="E476" s="44" t="n">
        <v>43355</v>
      </c>
      <c r="F476" s="0" t="s">
        <v>102</v>
      </c>
      <c r="G476" s="0" t="n">
        <v>21356941</v>
      </c>
      <c r="H476" s="0" t="n">
        <v>720193</v>
      </c>
      <c r="I476" s="0" t="s">
        <v>34</v>
      </c>
      <c r="J476" s="0" t="s">
        <v>174</v>
      </c>
      <c r="K476" s="0" t="s">
        <v>137</v>
      </c>
      <c r="L476" s="0" t="n">
        <v>226359881</v>
      </c>
      <c r="M476" s="0" t="s">
        <v>1105</v>
      </c>
      <c r="N476" s="0" t="n">
        <v>104537813</v>
      </c>
      <c r="O476" s="0" t="n">
        <v>0</v>
      </c>
      <c r="P476" s="0" t="n">
        <v>0</v>
      </c>
      <c r="Q476" s="0" t="str">
        <f aca="false">IFERROR(VLOOKUP(B476,[2]'Cost Correction'!$D$2:$AJ$1627,33,0),"")</f>
        <v/>
      </c>
    </row>
    <row r="477" customFormat="false" ht="15" hidden="false" customHeight="false" outlineLevel="0" collapsed="false">
      <c r="A477" s="0" t="str">
        <f aca="false">E477&amp;L477&amp;Q477</f>
        <v>43354226359881</v>
      </c>
      <c r="B477" s="0" t="s">
        <v>1185</v>
      </c>
      <c r="C477" s="0" t="s">
        <v>1186</v>
      </c>
      <c r="D477" s="0" t="s">
        <v>28</v>
      </c>
      <c r="E477" s="44" t="n">
        <v>43354</v>
      </c>
      <c r="F477" s="0" t="s">
        <v>102</v>
      </c>
      <c r="G477" s="0" t="n">
        <v>21356941</v>
      </c>
      <c r="H477" s="0" t="n">
        <v>720193</v>
      </c>
      <c r="I477" s="0" t="s">
        <v>34</v>
      </c>
      <c r="J477" s="0" t="s">
        <v>174</v>
      </c>
      <c r="K477" s="0" t="s">
        <v>137</v>
      </c>
      <c r="L477" s="0" t="n">
        <v>226359881</v>
      </c>
      <c r="M477" s="0" t="s">
        <v>1105</v>
      </c>
      <c r="N477" s="0" t="n">
        <v>104537813</v>
      </c>
      <c r="O477" s="0" t="n">
        <v>0</v>
      </c>
      <c r="P477" s="0" t="n">
        <v>0</v>
      </c>
      <c r="Q477" s="0" t="str">
        <f aca="false">IFERROR(VLOOKUP(B477,[2]'Cost Correction'!$D$2:$AJ$1627,33,0),"")</f>
        <v/>
      </c>
    </row>
    <row r="478" customFormat="false" ht="15" hidden="false" customHeight="false" outlineLevel="0" collapsed="false">
      <c r="A478" s="0" t="str">
        <f aca="false">E478&amp;L478&amp;Q478</f>
        <v>43353226359881</v>
      </c>
      <c r="B478" s="0" t="s">
        <v>1187</v>
      </c>
      <c r="C478" s="0" t="s">
        <v>1188</v>
      </c>
      <c r="D478" s="0" t="s">
        <v>28</v>
      </c>
      <c r="E478" s="44" t="n">
        <v>43353</v>
      </c>
      <c r="F478" s="0" t="s">
        <v>102</v>
      </c>
      <c r="G478" s="0" t="n">
        <v>21356941</v>
      </c>
      <c r="H478" s="0" t="n">
        <v>720193</v>
      </c>
      <c r="I478" s="0" t="s">
        <v>34</v>
      </c>
      <c r="J478" s="0" t="s">
        <v>174</v>
      </c>
      <c r="K478" s="0" t="s">
        <v>137</v>
      </c>
      <c r="L478" s="0" t="n">
        <v>226359881</v>
      </c>
      <c r="M478" s="0" t="s">
        <v>1105</v>
      </c>
      <c r="N478" s="0" t="n">
        <v>104537813</v>
      </c>
      <c r="O478" s="0" t="n">
        <v>0</v>
      </c>
      <c r="P478" s="0" t="n">
        <v>0</v>
      </c>
      <c r="Q478" s="0" t="str">
        <f aca="false">IFERROR(VLOOKUP(B478,[2]'Cost Correction'!$D$2:$AJ$1627,33,0),"")</f>
        <v/>
      </c>
    </row>
    <row r="479" customFormat="false" ht="15" hidden="false" customHeight="false" outlineLevel="0" collapsed="false">
      <c r="A479" s="0" t="str">
        <f aca="false">E479&amp;L479&amp;Q479</f>
        <v>43352226359881</v>
      </c>
      <c r="B479" s="0" t="s">
        <v>1189</v>
      </c>
      <c r="C479" s="0" t="s">
        <v>1190</v>
      </c>
      <c r="D479" s="0" t="s">
        <v>28</v>
      </c>
      <c r="E479" s="44" t="n">
        <v>43352</v>
      </c>
      <c r="F479" s="0" t="s">
        <v>102</v>
      </c>
      <c r="G479" s="0" t="n">
        <v>21356941</v>
      </c>
      <c r="H479" s="0" t="n">
        <v>720193</v>
      </c>
      <c r="I479" s="0" t="s">
        <v>34</v>
      </c>
      <c r="J479" s="0" t="s">
        <v>174</v>
      </c>
      <c r="K479" s="0" t="s">
        <v>137</v>
      </c>
      <c r="L479" s="0" t="n">
        <v>226359881</v>
      </c>
      <c r="M479" s="0" t="s">
        <v>1105</v>
      </c>
      <c r="N479" s="0" t="n">
        <v>104537813</v>
      </c>
      <c r="O479" s="0" t="n">
        <v>0</v>
      </c>
      <c r="P479" s="0" t="n">
        <v>0</v>
      </c>
      <c r="Q479" s="0" t="str">
        <f aca="false">IFERROR(VLOOKUP(B479,[2]'Cost Correction'!$D$2:$AJ$1627,33,0),"")</f>
        <v/>
      </c>
    </row>
    <row r="480" customFormat="false" ht="15" hidden="false" customHeight="false" outlineLevel="0" collapsed="false">
      <c r="A480" s="0" t="str">
        <f aca="false">E480&amp;L480&amp;Q480</f>
        <v>43358226360031</v>
      </c>
      <c r="B480" s="0" t="s">
        <v>1191</v>
      </c>
      <c r="C480" s="0" t="s">
        <v>1192</v>
      </c>
      <c r="D480" s="0" t="s">
        <v>28</v>
      </c>
      <c r="E480" s="44" t="n">
        <v>43358</v>
      </c>
      <c r="F480" s="0" t="s">
        <v>102</v>
      </c>
      <c r="G480" s="0" t="n">
        <v>21356941</v>
      </c>
      <c r="H480" s="0" t="n">
        <v>720193</v>
      </c>
      <c r="I480" s="0" t="s">
        <v>34</v>
      </c>
      <c r="J480" s="0" t="s">
        <v>174</v>
      </c>
      <c r="K480" s="0" t="s">
        <v>138</v>
      </c>
      <c r="L480" s="0" t="n">
        <v>226360031</v>
      </c>
      <c r="M480" s="0" t="s">
        <v>1120</v>
      </c>
      <c r="N480" s="0" t="n">
        <v>104537129</v>
      </c>
      <c r="O480" s="0" t="n">
        <v>19</v>
      </c>
      <c r="P480" s="0" t="n">
        <v>0.1</v>
      </c>
      <c r="Q480" s="0" t="str">
        <f aca="false">IFERROR(VLOOKUP(B480,[2]'Cost Correction'!$D$2:$AJ$1627,33,0),"")</f>
        <v/>
      </c>
    </row>
    <row r="481" customFormat="false" ht="15" hidden="false" customHeight="false" outlineLevel="0" collapsed="false">
      <c r="A481" s="0" t="str">
        <f aca="false">E481&amp;L481&amp;Q481</f>
        <v>43357226360031</v>
      </c>
      <c r="B481" s="0" t="s">
        <v>1193</v>
      </c>
      <c r="C481" s="0" t="s">
        <v>1194</v>
      </c>
      <c r="D481" s="0" t="s">
        <v>28</v>
      </c>
      <c r="E481" s="44" t="n">
        <v>43357</v>
      </c>
      <c r="F481" s="0" t="s">
        <v>102</v>
      </c>
      <c r="G481" s="0" t="n">
        <v>21356941</v>
      </c>
      <c r="H481" s="0" t="n">
        <v>720193</v>
      </c>
      <c r="I481" s="0" t="s">
        <v>34</v>
      </c>
      <c r="J481" s="0" t="s">
        <v>174</v>
      </c>
      <c r="K481" s="0" t="s">
        <v>138</v>
      </c>
      <c r="L481" s="0" t="n">
        <v>226360031</v>
      </c>
      <c r="M481" s="0" t="s">
        <v>1120</v>
      </c>
      <c r="N481" s="0" t="n">
        <v>104537129</v>
      </c>
      <c r="O481" s="0" t="n">
        <v>26</v>
      </c>
      <c r="P481" s="0" t="n">
        <v>0.16</v>
      </c>
      <c r="Q481" s="0" t="str">
        <f aca="false">IFERROR(VLOOKUP(B481,[2]'Cost Correction'!$D$2:$AJ$1627,33,0),"")</f>
        <v/>
      </c>
    </row>
    <row r="482" customFormat="false" ht="15" hidden="false" customHeight="false" outlineLevel="0" collapsed="false">
      <c r="A482" s="0" t="str">
        <f aca="false">E482&amp;L482&amp;Q482</f>
        <v>43356226360031</v>
      </c>
      <c r="B482" s="0" t="s">
        <v>1195</v>
      </c>
      <c r="C482" s="0" t="s">
        <v>1196</v>
      </c>
      <c r="D482" s="0" t="s">
        <v>28</v>
      </c>
      <c r="E482" s="44" t="n">
        <v>43356</v>
      </c>
      <c r="F482" s="0" t="s">
        <v>102</v>
      </c>
      <c r="G482" s="0" t="n">
        <v>21356941</v>
      </c>
      <c r="H482" s="0" t="n">
        <v>720193</v>
      </c>
      <c r="I482" s="0" t="s">
        <v>34</v>
      </c>
      <c r="J482" s="0" t="s">
        <v>174</v>
      </c>
      <c r="K482" s="0" t="s">
        <v>138</v>
      </c>
      <c r="L482" s="0" t="n">
        <v>226360031</v>
      </c>
      <c r="M482" s="0" t="s">
        <v>1120</v>
      </c>
      <c r="N482" s="0" t="n">
        <v>104537129</v>
      </c>
      <c r="O482" s="0" t="n">
        <v>22</v>
      </c>
      <c r="P482" s="0" t="n">
        <v>0.11</v>
      </c>
      <c r="Q482" s="0" t="str">
        <f aca="false">IFERROR(VLOOKUP(B482,[2]'Cost Correction'!$D$2:$AJ$1627,33,0),"")</f>
        <v/>
      </c>
    </row>
    <row r="483" customFormat="false" ht="15" hidden="false" customHeight="false" outlineLevel="0" collapsed="false">
      <c r="A483" s="0" t="str">
        <f aca="false">E483&amp;L483&amp;Q483</f>
        <v>43355226360031</v>
      </c>
      <c r="B483" s="0" t="s">
        <v>1197</v>
      </c>
      <c r="C483" s="0" t="s">
        <v>1198</v>
      </c>
      <c r="D483" s="0" t="s">
        <v>28</v>
      </c>
      <c r="E483" s="44" t="n">
        <v>43355</v>
      </c>
      <c r="F483" s="0" t="s">
        <v>102</v>
      </c>
      <c r="G483" s="0" t="n">
        <v>21356941</v>
      </c>
      <c r="H483" s="0" t="n">
        <v>720193</v>
      </c>
      <c r="I483" s="0" t="s">
        <v>34</v>
      </c>
      <c r="J483" s="0" t="s">
        <v>174</v>
      </c>
      <c r="K483" s="0" t="s">
        <v>138</v>
      </c>
      <c r="L483" s="0" t="n">
        <v>226360031</v>
      </c>
      <c r="M483" s="0" t="s">
        <v>1120</v>
      </c>
      <c r="N483" s="0" t="n">
        <v>104537129</v>
      </c>
      <c r="O483" s="0" t="n">
        <v>7</v>
      </c>
      <c r="P483" s="0" t="n">
        <v>0.04</v>
      </c>
      <c r="Q483" s="0" t="str">
        <f aca="false">IFERROR(VLOOKUP(B483,[2]'Cost Correction'!$D$2:$AJ$1627,33,0),"")</f>
        <v/>
      </c>
    </row>
    <row r="484" customFormat="false" ht="15" hidden="false" customHeight="false" outlineLevel="0" collapsed="false">
      <c r="A484" s="0" t="str">
        <f aca="false">E484&amp;L484&amp;Q484</f>
        <v>43354226360031</v>
      </c>
      <c r="B484" s="0" t="s">
        <v>1199</v>
      </c>
      <c r="C484" s="0" t="s">
        <v>1200</v>
      </c>
      <c r="D484" s="0" t="s">
        <v>28</v>
      </c>
      <c r="E484" s="44" t="n">
        <v>43354</v>
      </c>
      <c r="F484" s="0" t="s">
        <v>102</v>
      </c>
      <c r="G484" s="0" t="n">
        <v>21356941</v>
      </c>
      <c r="H484" s="0" t="n">
        <v>720193</v>
      </c>
      <c r="I484" s="0" t="s">
        <v>34</v>
      </c>
      <c r="J484" s="0" t="s">
        <v>174</v>
      </c>
      <c r="K484" s="0" t="s">
        <v>138</v>
      </c>
      <c r="L484" s="0" t="n">
        <v>226360031</v>
      </c>
      <c r="M484" s="0" t="s">
        <v>1120</v>
      </c>
      <c r="N484" s="0" t="n">
        <v>104537129</v>
      </c>
      <c r="O484" s="0" t="n">
        <v>52</v>
      </c>
      <c r="P484" s="0" t="n">
        <v>0.22</v>
      </c>
      <c r="Q484" s="0" t="str">
        <f aca="false">IFERROR(VLOOKUP(B484,[2]'Cost Correction'!$D$2:$AJ$1627,33,0),"")</f>
        <v/>
      </c>
    </row>
    <row r="485" customFormat="false" ht="15" hidden="true" customHeight="false" outlineLevel="0" collapsed="false">
      <c r="A485" s="0" t="str">
        <f aca="false">E485&amp;L485&amp;Q485</f>
        <v>43353226360031104537129</v>
      </c>
      <c r="B485" s="0" t="s">
        <v>1201</v>
      </c>
      <c r="C485" s="0" t="s">
        <v>1202</v>
      </c>
      <c r="D485" s="0" t="s">
        <v>28</v>
      </c>
      <c r="E485" s="44" t="n">
        <v>43353</v>
      </c>
      <c r="F485" s="0" t="s">
        <v>102</v>
      </c>
      <c r="G485" s="0" t="n">
        <v>21356941</v>
      </c>
      <c r="H485" s="0" t="n">
        <v>720193</v>
      </c>
      <c r="I485" s="0" t="s">
        <v>34</v>
      </c>
      <c r="J485" s="0" t="s">
        <v>174</v>
      </c>
      <c r="K485" s="0" t="s">
        <v>138</v>
      </c>
      <c r="L485" s="0" t="n">
        <v>226360031</v>
      </c>
      <c r="M485" s="0" t="s">
        <v>1120</v>
      </c>
      <c r="N485" s="0" t="n">
        <v>104537129</v>
      </c>
      <c r="O485" s="0" t="n">
        <v>114</v>
      </c>
      <c r="P485" s="0" t="n">
        <v>0.6</v>
      </c>
      <c r="Q485" s="0" t="n">
        <f aca="false">IFERROR(VLOOKUP(B485,[2]'Cost Correction'!$D$2:$AJ$1627,33,0),"")</f>
        <v>104537129</v>
      </c>
    </row>
    <row r="486" customFormat="false" ht="15" hidden="true" customHeight="false" outlineLevel="0" collapsed="false">
      <c r="A486" s="0" t="str">
        <f aca="false">E486&amp;L486&amp;Q486</f>
        <v>43352226360031104537129</v>
      </c>
      <c r="B486" s="0" t="s">
        <v>1203</v>
      </c>
      <c r="C486" s="0" t="s">
        <v>1204</v>
      </c>
      <c r="D486" s="0" t="s">
        <v>28</v>
      </c>
      <c r="E486" s="44" t="n">
        <v>43352</v>
      </c>
      <c r="F486" s="0" t="s">
        <v>102</v>
      </c>
      <c r="G486" s="0" t="n">
        <v>21356941</v>
      </c>
      <c r="H486" s="0" t="n">
        <v>720193</v>
      </c>
      <c r="I486" s="0" t="s">
        <v>34</v>
      </c>
      <c r="J486" s="0" t="s">
        <v>174</v>
      </c>
      <c r="K486" s="0" t="s">
        <v>138</v>
      </c>
      <c r="L486" s="0" t="n">
        <v>226360031</v>
      </c>
      <c r="M486" s="0" t="s">
        <v>1120</v>
      </c>
      <c r="N486" s="0" t="n">
        <v>104537129</v>
      </c>
      <c r="O486" s="0" t="n">
        <v>500</v>
      </c>
      <c r="P486" s="0" t="n">
        <v>2.49</v>
      </c>
      <c r="Q486" s="0" t="n">
        <f aca="false">IFERROR(VLOOKUP(B486,[2]'Cost Correction'!$D$2:$AJ$1627,33,0),"")</f>
        <v>104537129</v>
      </c>
    </row>
    <row r="487" customFormat="false" ht="15" hidden="false" customHeight="false" outlineLevel="0" collapsed="false">
      <c r="A487" s="0" t="str">
        <f aca="false">E487&amp;L487&amp;Q487</f>
        <v>43358226359887</v>
      </c>
      <c r="B487" s="0" t="s">
        <v>1205</v>
      </c>
      <c r="C487" s="0" t="s">
        <v>1206</v>
      </c>
      <c r="D487" s="0" t="s">
        <v>28</v>
      </c>
      <c r="E487" s="44" t="n">
        <v>43358</v>
      </c>
      <c r="F487" s="0" t="s">
        <v>102</v>
      </c>
      <c r="G487" s="0" t="n">
        <v>21356941</v>
      </c>
      <c r="H487" s="0" t="n">
        <v>720193</v>
      </c>
      <c r="I487" s="0" t="s">
        <v>34</v>
      </c>
      <c r="J487" s="0" t="s">
        <v>174</v>
      </c>
      <c r="K487" s="0" t="s">
        <v>139</v>
      </c>
      <c r="L487" s="0" t="n">
        <v>226359887</v>
      </c>
      <c r="M487" s="0" t="s">
        <v>1120</v>
      </c>
      <c r="N487" s="0" t="n">
        <v>104537129</v>
      </c>
      <c r="O487" s="0" t="n">
        <v>0</v>
      </c>
      <c r="P487" s="0" t="n">
        <v>0</v>
      </c>
      <c r="Q487" s="0" t="str">
        <f aca="false">IFERROR(VLOOKUP(B487,[2]'Cost Correction'!$D$2:$AJ$1627,33,0),"")</f>
        <v/>
      </c>
    </row>
    <row r="488" customFormat="false" ht="15" hidden="false" customHeight="false" outlineLevel="0" collapsed="false">
      <c r="A488" s="0" t="str">
        <f aca="false">E488&amp;L488&amp;Q488</f>
        <v>43357226359887</v>
      </c>
      <c r="B488" s="0" t="s">
        <v>1207</v>
      </c>
      <c r="C488" s="0" t="s">
        <v>1208</v>
      </c>
      <c r="D488" s="0" t="s">
        <v>28</v>
      </c>
      <c r="E488" s="44" t="n">
        <v>43357</v>
      </c>
      <c r="F488" s="0" t="s">
        <v>102</v>
      </c>
      <c r="G488" s="0" t="n">
        <v>21356941</v>
      </c>
      <c r="H488" s="0" t="n">
        <v>720193</v>
      </c>
      <c r="I488" s="0" t="s">
        <v>34</v>
      </c>
      <c r="J488" s="0" t="s">
        <v>174</v>
      </c>
      <c r="K488" s="0" t="s">
        <v>139</v>
      </c>
      <c r="L488" s="0" t="n">
        <v>226359887</v>
      </c>
      <c r="M488" s="0" t="s">
        <v>1120</v>
      </c>
      <c r="N488" s="0" t="n">
        <v>104537129</v>
      </c>
      <c r="O488" s="0" t="n">
        <v>0</v>
      </c>
      <c r="P488" s="0" t="n">
        <v>0</v>
      </c>
      <c r="Q488" s="0" t="str">
        <f aca="false">IFERROR(VLOOKUP(B488,[2]'Cost Correction'!$D$2:$AJ$1627,33,0),"")</f>
        <v/>
      </c>
    </row>
    <row r="489" customFormat="false" ht="15" hidden="false" customHeight="false" outlineLevel="0" collapsed="false">
      <c r="A489" s="0" t="str">
        <f aca="false">E489&amp;L489&amp;Q489</f>
        <v>43356226359887</v>
      </c>
      <c r="B489" s="0" t="s">
        <v>1209</v>
      </c>
      <c r="C489" s="0" t="s">
        <v>1210</v>
      </c>
      <c r="D489" s="0" t="s">
        <v>28</v>
      </c>
      <c r="E489" s="44" t="n">
        <v>43356</v>
      </c>
      <c r="F489" s="0" t="s">
        <v>102</v>
      </c>
      <c r="G489" s="0" t="n">
        <v>21356941</v>
      </c>
      <c r="H489" s="0" t="n">
        <v>720193</v>
      </c>
      <c r="I489" s="0" t="s">
        <v>34</v>
      </c>
      <c r="J489" s="0" t="s">
        <v>174</v>
      </c>
      <c r="K489" s="0" t="s">
        <v>139</v>
      </c>
      <c r="L489" s="0" t="n">
        <v>226359887</v>
      </c>
      <c r="M489" s="0" t="s">
        <v>1120</v>
      </c>
      <c r="N489" s="0" t="n">
        <v>104537129</v>
      </c>
      <c r="O489" s="0" t="n">
        <v>0</v>
      </c>
      <c r="P489" s="0" t="n">
        <v>0</v>
      </c>
      <c r="Q489" s="0" t="str">
        <f aca="false">IFERROR(VLOOKUP(B489,[2]'Cost Correction'!$D$2:$AJ$1627,33,0),"")</f>
        <v/>
      </c>
    </row>
    <row r="490" customFormat="false" ht="15" hidden="false" customHeight="false" outlineLevel="0" collapsed="false">
      <c r="A490" s="0" t="str">
        <f aca="false">E490&amp;L490&amp;Q490</f>
        <v>43355226359887</v>
      </c>
      <c r="B490" s="0" t="s">
        <v>1211</v>
      </c>
      <c r="C490" s="0" t="s">
        <v>1212</v>
      </c>
      <c r="D490" s="0" t="s">
        <v>28</v>
      </c>
      <c r="E490" s="44" t="n">
        <v>43355</v>
      </c>
      <c r="F490" s="0" t="s">
        <v>102</v>
      </c>
      <c r="G490" s="0" t="n">
        <v>21356941</v>
      </c>
      <c r="H490" s="0" t="n">
        <v>720193</v>
      </c>
      <c r="I490" s="0" t="s">
        <v>34</v>
      </c>
      <c r="J490" s="0" t="s">
        <v>174</v>
      </c>
      <c r="K490" s="0" t="s">
        <v>139</v>
      </c>
      <c r="L490" s="0" t="n">
        <v>226359887</v>
      </c>
      <c r="M490" s="0" t="s">
        <v>1120</v>
      </c>
      <c r="N490" s="0" t="n">
        <v>104537129</v>
      </c>
      <c r="O490" s="0" t="n">
        <v>0</v>
      </c>
      <c r="P490" s="0" t="n">
        <v>0</v>
      </c>
      <c r="Q490" s="0" t="str">
        <f aca="false">IFERROR(VLOOKUP(B490,[2]'Cost Correction'!$D$2:$AJ$1627,33,0),"")</f>
        <v/>
      </c>
    </row>
    <row r="491" customFormat="false" ht="15" hidden="false" customHeight="false" outlineLevel="0" collapsed="false">
      <c r="A491" s="0" t="str">
        <f aca="false">E491&amp;L491&amp;Q491</f>
        <v>43354226359887</v>
      </c>
      <c r="B491" s="0" t="s">
        <v>1213</v>
      </c>
      <c r="C491" s="0" t="s">
        <v>1214</v>
      </c>
      <c r="D491" s="0" t="s">
        <v>28</v>
      </c>
      <c r="E491" s="44" t="n">
        <v>43354</v>
      </c>
      <c r="F491" s="0" t="s">
        <v>102</v>
      </c>
      <c r="G491" s="0" t="n">
        <v>21356941</v>
      </c>
      <c r="H491" s="0" t="n">
        <v>720193</v>
      </c>
      <c r="I491" s="0" t="s">
        <v>34</v>
      </c>
      <c r="J491" s="0" t="s">
        <v>174</v>
      </c>
      <c r="K491" s="0" t="s">
        <v>139</v>
      </c>
      <c r="L491" s="0" t="n">
        <v>226359887</v>
      </c>
      <c r="M491" s="0" t="s">
        <v>1120</v>
      </c>
      <c r="N491" s="0" t="n">
        <v>104537129</v>
      </c>
      <c r="O491" s="0" t="n">
        <v>0</v>
      </c>
      <c r="P491" s="0" t="n">
        <v>0</v>
      </c>
      <c r="Q491" s="0" t="str">
        <f aca="false">IFERROR(VLOOKUP(B491,[2]'Cost Correction'!$D$2:$AJ$1627,33,0),"")</f>
        <v/>
      </c>
    </row>
    <row r="492" customFormat="false" ht="15" hidden="false" customHeight="false" outlineLevel="0" collapsed="false">
      <c r="A492" s="0" t="str">
        <f aca="false">E492&amp;L492&amp;Q492</f>
        <v>43353226359887</v>
      </c>
      <c r="B492" s="0" t="s">
        <v>1215</v>
      </c>
      <c r="C492" s="0" t="s">
        <v>1216</v>
      </c>
      <c r="D492" s="0" t="s">
        <v>28</v>
      </c>
      <c r="E492" s="44" t="n">
        <v>43353</v>
      </c>
      <c r="F492" s="0" t="s">
        <v>102</v>
      </c>
      <c r="G492" s="0" t="n">
        <v>21356941</v>
      </c>
      <c r="H492" s="0" t="n">
        <v>720193</v>
      </c>
      <c r="I492" s="0" t="s">
        <v>34</v>
      </c>
      <c r="J492" s="0" t="s">
        <v>174</v>
      </c>
      <c r="K492" s="0" t="s">
        <v>139</v>
      </c>
      <c r="L492" s="0" t="n">
        <v>226359887</v>
      </c>
      <c r="M492" s="0" t="s">
        <v>1120</v>
      </c>
      <c r="N492" s="0" t="n">
        <v>104537129</v>
      </c>
      <c r="O492" s="0" t="n">
        <v>0</v>
      </c>
      <c r="P492" s="0" t="n">
        <v>0</v>
      </c>
      <c r="Q492" s="0" t="str">
        <f aca="false">IFERROR(VLOOKUP(B492,[2]'Cost Correction'!$D$2:$AJ$1627,33,0),"")</f>
        <v/>
      </c>
    </row>
    <row r="493" customFormat="false" ht="15" hidden="false" customHeight="false" outlineLevel="0" collapsed="false">
      <c r="A493" s="0" t="str">
        <f aca="false">E493&amp;L493&amp;Q493</f>
        <v>43352226359887</v>
      </c>
      <c r="B493" s="0" t="s">
        <v>1217</v>
      </c>
      <c r="C493" s="0" t="s">
        <v>1218</v>
      </c>
      <c r="D493" s="0" t="s">
        <v>28</v>
      </c>
      <c r="E493" s="44" t="n">
        <v>43352</v>
      </c>
      <c r="F493" s="0" t="s">
        <v>102</v>
      </c>
      <c r="G493" s="0" t="n">
        <v>21356941</v>
      </c>
      <c r="H493" s="0" t="n">
        <v>720193</v>
      </c>
      <c r="I493" s="0" t="s">
        <v>34</v>
      </c>
      <c r="J493" s="0" t="s">
        <v>174</v>
      </c>
      <c r="K493" s="0" t="s">
        <v>139</v>
      </c>
      <c r="L493" s="0" t="n">
        <v>226359887</v>
      </c>
      <c r="M493" s="0" t="s">
        <v>1120</v>
      </c>
      <c r="N493" s="0" t="n">
        <v>104537129</v>
      </c>
      <c r="O493" s="0" t="n">
        <v>0</v>
      </c>
      <c r="P493" s="0" t="n">
        <v>0</v>
      </c>
      <c r="Q493" s="0" t="str">
        <f aca="false">IFERROR(VLOOKUP(B493,[2]'Cost Correction'!$D$2:$AJ$1627,33,0),"")</f>
        <v/>
      </c>
    </row>
    <row r="494" customFormat="false" ht="15" hidden="false" customHeight="false" outlineLevel="0" collapsed="false">
      <c r="A494" s="0" t="str">
        <f aca="false">E494&amp;L494&amp;Q494</f>
        <v>43358226360013</v>
      </c>
      <c r="B494" s="0" t="s">
        <v>1219</v>
      </c>
      <c r="C494" s="0" t="s">
        <v>1220</v>
      </c>
      <c r="D494" s="0" t="s">
        <v>28</v>
      </c>
      <c r="E494" s="44" t="n">
        <v>43358</v>
      </c>
      <c r="F494" s="0" t="s">
        <v>102</v>
      </c>
      <c r="G494" s="0" t="n">
        <v>21356941</v>
      </c>
      <c r="H494" s="0" t="n">
        <v>720193</v>
      </c>
      <c r="I494" s="0" t="s">
        <v>34</v>
      </c>
      <c r="J494" s="0" t="s">
        <v>174</v>
      </c>
      <c r="K494" s="0" t="s">
        <v>140</v>
      </c>
      <c r="L494" s="0" t="n">
        <v>226360013</v>
      </c>
      <c r="M494" s="0" t="s">
        <v>1135</v>
      </c>
      <c r="N494" s="0" t="n">
        <v>104537816</v>
      </c>
      <c r="O494" s="0" t="n">
        <v>0</v>
      </c>
      <c r="P494" s="0" t="n">
        <v>0</v>
      </c>
      <c r="Q494" s="0" t="str">
        <f aca="false">IFERROR(VLOOKUP(B494,[2]'Cost Correction'!$D$2:$AJ$1627,33,0),"")</f>
        <v/>
      </c>
    </row>
    <row r="495" customFormat="false" ht="15" hidden="false" customHeight="false" outlineLevel="0" collapsed="false">
      <c r="A495" s="0" t="str">
        <f aca="false">E495&amp;L495&amp;Q495</f>
        <v>43357226360013</v>
      </c>
      <c r="B495" s="0" t="s">
        <v>1221</v>
      </c>
      <c r="C495" s="0" t="s">
        <v>1222</v>
      </c>
      <c r="D495" s="0" t="s">
        <v>28</v>
      </c>
      <c r="E495" s="44" t="n">
        <v>43357</v>
      </c>
      <c r="F495" s="0" t="s">
        <v>102</v>
      </c>
      <c r="G495" s="0" t="n">
        <v>21356941</v>
      </c>
      <c r="H495" s="0" t="n">
        <v>720193</v>
      </c>
      <c r="I495" s="0" t="s">
        <v>34</v>
      </c>
      <c r="J495" s="0" t="s">
        <v>174</v>
      </c>
      <c r="K495" s="0" t="s">
        <v>140</v>
      </c>
      <c r="L495" s="0" t="n">
        <v>226360013</v>
      </c>
      <c r="M495" s="0" t="s">
        <v>1135</v>
      </c>
      <c r="N495" s="0" t="n">
        <v>104537816</v>
      </c>
      <c r="O495" s="0" t="n">
        <v>4</v>
      </c>
      <c r="P495" s="0" t="n">
        <v>0.02</v>
      </c>
      <c r="Q495" s="0" t="str">
        <f aca="false">IFERROR(VLOOKUP(B495,[2]'Cost Correction'!$D$2:$AJ$1627,33,0),"")</f>
        <v/>
      </c>
    </row>
    <row r="496" customFormat="false" ht="15" hidden="false" customHeight="false" outlineLevel="0" collapsed="false">
      <c r="A496" s="0" t="str">
        <f aca="false">E496&amp;L496&amp;Q496</f>
        <v>43356226360013</v>
      </c>
      <c r="B496" s="0" t="s">
        <v>1223</v>
      </c>
      <c r="C496" s="0" t="s">
        <v>1224</v>
      </c>
      <c r="D496" s="0" t="s">
        <v>28</v>
      </c>
      <c r="E496" s="44" t="n">
        <v>43356</v>
      </c>
      <c r="F496" s="0" t="s">
        <v>102</v>
      </c>
      <c r="G496" s="0" t="n">
        <v>21356941</v>
      </c>
      <c r="H496" s="0" t="n">
        <v>720193</v>
      </c>
      <c r="I496" s="0" t="s">
        <v>34</v>
      </c>
      <c r="J496" s="0" t="s">
        <v>174</v>
      </c>
      <c r="K496" s="0" t="s">
        <v>140</v>
      </c>
      <c r="L496" s="0" t="n">
        <v>226360013</v>
      </c>
      <c r="M496" s="0" t="s">
        <v>1135</v>
      </c>
      <c r="N496" s="0" t="n">
        <v>104537816</v>
      </c>
      <c r="O496" s="0" t="n">
        <v>0</v>
      </c>
      <c r="P496" s="0" t="n">
        <v>0</v>
      </c>
      <c r="Q496" s="0" t="str">
        <f aca="false">IFERROR(VLOOKUP(B496,[2]'Cost Correction'!$D$2:$AJ$1627,33,0),"")</f>
        <v/>
      </c>
    </row>
    <row r="497" customFormat="false" ht="15" hidden="false" customHeight="false" outlineLevel="0" collapsed="false">
      <c r="A497" s="0" t="str">
        <f aca="false">E497&amp;L497&amp;Q497</f>
        <v>43355226360013</v>
      </c>
      <c r="B497" s="0" t="s">
        <v>1225</v>
      </c>
      <c r="C497" s="0" t="s">
        <v>1226</v>
      </c>
      <c r="D497" s="0" t="s">
        <v>28</v>
      </c>
      <c r="E497" s="44" t="n">
        <v>43355</v>
      </c>
      <c r="F497" s="0" t="s">
        <v>102</v>
      </c>
      <c r="G497" s="0" t="n">
        <v>21356941</v>
      </c>
      <c r="H497" s="0" t="n">
        <v>720193</v>
      </c>
      <c r="I497" s="0" t="s">
        <v>34</v>
      </c>
      <c r="J497" s="0" t="s">
        <v>174</v>
      </c>
      <c r="K497" s="0" t="s">
        <v>140</v>
      </c>
      <c r="L497" s="0" t="n">
        <v>226360013</v>
      </c>
      <c r="M497" s="0" t="s">
        <v>1135</v>
      </c>
      <c r="N497" s="0" t="n">
        <v>104537816</v>
      </c>
      <c r="O497" s="0" t="n">
        <v>0</v>
      </c>
      <c r="P497" s="0" t="n">
        <v>0</v>
      </c>
      <c r="Q497" s="0" t="str">
        <f aca="false">IFERROR(VLOOKUP(B497,[2]'Cost Correction'!$D$2:$AJ$1627,33,0),"")</f>
        <v/>
      </c>
    </row>
    <row r="498" customFormat="false" ht="15" hidden="false" customHeight="false" outlineLevel="0" collapsed="false">
      <c r="A498" s="0" t="str">
        <f aca="false">E498&amp;L498&amp;Q498</f>
        <v>43354226360013</v>
      </c>
      <c r="B498" s="0" t="s">
        <v>1227</v>
      </c>
      <c r="C498" s="0" t="s">
        <v>1228</v>
      </c>
      <c r="D498" s="0" t="s">
        <v>28</v>
      </c>
      <c r="E498" s="44" t="n">
        <v>43354</v>
      </c>
      <c r="F498" s="0" t="s">
        <v>102</v>
      </c>
      <c r="G498" s="0" t="n">
        <v>21356941</v>
      </c>
      <c r="H498" s="0" t="n">
        <v>720193</v>
      </c>
      <c r="I498" s="0" t="s">
        <v>34</v>
      </c>
      <c r="J498" s="0" t="s">
        <v>174</v>
      </c>
      <c r="K498" s="0" t="s">
        <v>140</v>
      </c>
      <c r="L498" s="0" t="n">
        <v>226360013</v>
      </c>
      <c r="M498" s="0" t="s">
        <v>1135</v>
      </c>
      <c r="N498" s="0" t="n">
        <v>104537816</v>
      </c>
      <c r="O498" s="0" t="n">
        <v>0</v>
      </c>
      <c r="P498" s="0" t="n">
        <v>0</v>
      </c>
      <c r="Q498" s="0" t="str">
        <f aca="false">IFERROR(VLOOKUP(B498,[2]'Cost Correction'!$D$2:$AJ$1627,33,0),"")</f>
        <v/>
      </c>
    </row>
    <row r="499" customFormat="false" ht="15" hidden="false" customHeight="false" outlineLevel="0" collapsed="false">
      <c r="A499" s="0" t="str">
        <f aca="false">E499&amp;L499&amp;Q499</f>
        <v>43353226360013</v>
      </c>
      <c r="B499" s="0" t="s">
        <v>1229</v>
      </c>
      <c r="C499" s="0" t="s">
        <v>1230</v>
      </c>
      <c r="D499" s="0" t="s">
        <v>28</v>
      </c>
      <c r="E499" s="44" t="n">
        <v>43353</v>
      </c>
      <c r="F499" s="0" t="s">
        <v>102</v>
      </c>
      <c r="G499" s="0" t="n">
        <v>21356941</v>
      </c>
      <c r="H499" s="0" t="n">
        <v>720193</v>
      </c>
      <c r="I499" s="0" t="s">
        <v>34</v>
      </c>
      <c r="J499" s="0" t="s">
        <v>174</v>
      </c>
      <c r="K499" s="0" t="s">
        <v>140</v>
      </c>
      <c r="L499" s="0" t="n">
        <v>226360013</v>
      </c>
      <c r="M499" s="0" t="s">
        <v>1135</v>
      </c>
      <c r="N499" s="0" t="n">
        <v>104537816</v>
      </c>
      <c r="O499" s="0" t="n">
        <v>2</v>
      </c>
      <c r="P499" s="0" t="n">
        <v>0.01</v>
      </c>
      <c r="Q499" s="0" t="str">
        <f aca="false">IFERROR(VLOOKUP(B499,[2]'Cost Correction'!$D$2:$AJ$1627,33,0),"")</f>
        <v/>
      </c>
    </row>
    <row r="500" customFormat="false" ht="15" hidden="false" customHeight="false" outlineLevel="0" collapsed="false">
      <c r="A500" s="0" t="str">
        <f aca="false">E500&amp;L500&amp;Q500</f>
        <v>43352226360013</v>
      </c>
      <c r="B500" s="0" t="s">
        <v>1231</v>
      </c>
      <c r="C500" s="0" t="s">
        <v>1232</v>
      </c>
      <c r="D500" s="0" t="s">
        <v>28</v>
      </c>
      <c r="E500" s="44" t="n">
        <v>43352</v>
      </c>
      <c r="F500" s="0" t="s">
        <v>102</v>
      </c>
      <c r="G500" s="0" t="n">
        <v>21356941</v>
      </c>
      <c r="H500" s="0" t="n">
        <v>720193</v>
      </c>
      <c r="I500" s="0" t="s">
        <v>34</v>
      </c>
      <c r="J500" s="0" t="s">
        <v>174</v>
      </c>
      <c r="K500" s="0" t="s">
        <v>140</v>
      </c>
      <c r="L500" s="0" t="n">
        <v>226360013</v>
      </c>
      <c r="M500" s="0" t="s">
        <v>1135</v>
      </c>
      <c r="N500" s="0" t="n">
        <v>104537816</v>
      </c>
      <c r="O500" s="0" t="n">
        <v>2</v>
      </c>
      <c r="P500" s="0" t="n">
        <v>0</v>
      </c>
      <c r="Q500" s="0" t="str">
        <f aca="false">IFERROR(VLOOKUP(B500,[2]'Cost Correction'!$D$2:$AJ$1627,33,0),"")</f>
        <v/>
      </c>
    </row>
    <row r="501" customFormat="false" ht="15" hidden="false" customHeight="false" outlineLevel="0" collapsed="false">
      <c r="A501" s="0" t="str">
        <f aca="false">E501&amp;L501&amp;Q501</f>
        <v>43358226496146</v>
      </c>
      <c r="B501" s="0" t="s">
        <v>1233</v>
      </c>
      <c r="C501" s="0" t="s">
        <v>1234</v>
      </c>
      <c r="D501" s="0" t="s">
        <v>28</v>
      </c>
      <c r="E501" s="44" t="n">
        <v>43358</v>
      </c>
      <c r="F501" s="0" t="s">
        <v>102</v>
      </c>
      <c r="G501" s="0" t="n">
        <v>21356941</v>
      </c>
      <c r="H501" s="0" t="n">
        <v>720193</v>
      </c>
      <c r="I501" s="0" t="s">
        <v>34</v>
      </c>
      <c r="J501" s="0" t="s">
        <v>174</v>
      </c>
      <c r="K501" s="0" t="s">
        <v>141</v>
      </c>
      <c r="L501" s="0" t="n">
        <v>226496146</v>
      </c>
      <c r="M501" s="0" t="s">
        <v>1135</v>
      </c>
      <c r="N501" s="0" t="n">
        <v>104537816</v>
      </c>
      <c r="O501" s="0" t="n">
        <v>0</v>
      </c>
      <c r="P501" s="0" t="n">
        <v>0</v>
      </c>
      <c r="Q501" s="0" t="str">
        <f aca="false">IFERROR(VLOOKUP(B501,[2]'Cost Correction'!$D$2:$AJ$1627,33,0),"")</f>
        <v/>
      </c>
    </row>
    <row r="502" customFormat="false" ht="15" hidden="false" customHeight="false" outlineLevel="0" collapsed="false">
      <c r="A502" s="0" t="str">
        <f aca="false">E502&amp;L502&amp;Q502</f>
        <v>43357226496146</v>
      </c>
      <c r="B502" s="0" t="s">
        <v>1235</v>
      </c>
      <c r="C502" s="0" t="s">
        <v>1236</v>
      </c>
      <c r="D502" s="0" t="s">
        <v>28</v>
      </c>
      <c r="E502" s="44" t="n">
        <v>43357</v>
      </c>
      <c r="F502" s="0" t="s">
        <v>102</v>
      </c>
      <c r="G502" s="0" t="n">
        <v>21356941</v>
      </c>
      <c r="H502" s="0" t="n">
        <v>720193</v>
      </c>
      <c r="I502" s="0" t="s">
        <v>34</v>
      </c>
      <c r="J502" s="0" t="s">
        <v>174</v>
      </c>
      <c r="K502" s="0" t="s">
        <v>141</v>
      </c>
      <c r="L502" s="0" t="n">
        <v>226496146</v>
      </c>
      <c r="M502" s="0" t="s">
        <v>1135</v>
      </c>
      <c r="N502" s="0" t="n">
        <v>104537816</v>
      </c>
      <c r="O502" s="0" t="n">
        <v>0</v>
      </c>
      <c r="P502" s="0" t="n">
        <v>0</v>
      </c>
      <c r="Q502" s="0" t="str">
        <f aca="false">IFERROR(VLOOKUP(B502,[2]'Cost Correction'!$D$2:$AJ$1627,33,0),"")</f>
        <v/>
      </c>
    </row>
    <row r="503" customFormat="false" ht="15" hidden="false" customHeight="false" outlineLevel="0" collapsed="false">
      <c r="A503" s="0" t="str">
        <f aca="false">E503&amp;L503&amp;Q503</f>
        <v>43356226496146</v>
      </c>
      <c r="B503" s="0" t="s">
        <v>1237</v>
      </c>
      <c r="C503" s="0" t="s">
        <v>1238</v>
      </c>
      <c r="D503" s="0" t="s">
        <v>28</v>
      </c>
      <c r="E503" s="44" t="n">
        <v>43356</v>
      </c>
      <c r="F503" s="0" t="s">
        <v>102</v>
      </c>
      <c r="G503" s="0" t="n">
        <v>21356941</v>
      </c>
      <c r="H503" s="0" t="n">
        <v>720193</v>
      </c>
      <c r="I503" s="0" t="s">
        <v>34</v>
      </c>
      <c r="J503" s="0" t="s">
        <v>174</v>
      </c>
      <c r="K503" s="0" t="s">
        <v>141</v>
      </c>
      <c r="L503" s="0" t="n">
        <v>226496146</v>
      </c>
      <c r="M503" s="0" t="s">
        <v>1135</v>
      </c>
      <c r="N503" s="0" t="n">
        <v>104537816</v>
      </c>
      <c r="O503" s="0" t="n">
        <v>0</v>
      </c>
      <c r="P503" s="0" t="n">
        <v>0</v>
      </c>
      <c r="Q503" s="0" t="str">
        <f aca="false">IFERROR(VLOOKUP(B503,[2]'Cost Correction'!$D$2:$AJ$1627,33,0),"")</f>
        <v/>
      </c>
    </row>
    <row r="504" customFormat="false" ht="15" hidden="false" customHeight="false" outlineLevel="0" collapsed="false">
      <c r="A504" s="0" t="str">
        <f aca="false">E504&amp;L504&amp;Q504</f>
        <v>43355226496146</v>
      </c>
      <c r="B504" s="0" t="s">
        <v>1239</v>
      </c>
      <c r="C504" s="0" t="s">
        <v>1240</v>
      </c>
      <c r="D504" s="0" t="s">
        <v>28</v>
      </c>
      <c r="E504" s="44" t="n">
        <v>43355</v>
      </c>
      <c r="F504" s="0" t="s">
        <v>102</v>
      </c>
      <c r="G504" s="0" t="n">
        <v>21356941</v>
      </c>
      <c r="H504" s="0" t="n">
        <v>720193</v>
      </c>
      <c r="I504" s="0" t="s">
        <v>34</v>
      </c>
      <c r="J504" s="0" t="s">
        <v>174</v>
      </c>
      <c r="K504" s="0" t="s">
        <v>141</v>
      </c>
      <c r="L504" s="0" t="n">
        <v>226496146</v>
      </c>
      <c r="M504" s="0" t="s">
        <v>1135</v>
      </c>
      <c r="N504" s="0" t="n">
        <v>104537816</v>
      </c>
      <c r="O504" s="0" t="n">
        <v>0</v>
      </c>
      <c r="P504" s="0" t="n">
        <v>0</v>
      </c>
      <c r="Q504" s="0" t="str">
        <f aca="false">IFERROR(VLOOKUP(B504,[2]'Cost Correction'!$D$2:$AJ$1627,33,0),"")</f>
        <v/>
      </c>
    </row>
    <row r="505" customFormat="false" ht="15" hidden="false" customHeight="false" outlineLevel="0" collapsed="false">
      <c r="A505" s="0" t="str">
        <f aca="false">E505&amp;L505&amp;Q505</f>
        <v>43354226496146</v>
      </c>
      <c r="B505" s="0" t="s">
        <v>1241</v>
      </c>
      <c r="C505" s="0" t="s">
        <v>1242</v>
      </c>
      <c r="D505" s="0" t="s">
        <v>28</v>
      </c>
      <c r="E505" s="44" t="n">
        <v>43354</v>
      </c>
      <c r="F505" s="0" t="s">
        <v>102</v>
      </c>
      <c r="G505" s="0" t="n">
        <v>21356941</v>
      </c>
      <c r="H505" s="0" t="n">
        <v>720193</v>
      </c>
      <c r="I505" s="0" t="s">
        <v>34</v>
      </c>
      <c r="J505" s="0" t="s">
        <v>174</v>
      </c>
      <c r="K505" s="0" t="s">
        <v>141</v>
      </c>
      <c r="L505" s="0" t="n">
        <v>226496146</v>
      </c>
      <c r="M505" s="0" t="s">
        <v>1135</v>
      </c>
      <c r="N505" s="0" t="n">
        <v>104537816</v>
      </c>
      <c r="O505" s="0" t="n">
        <v>0</v>
      </c>
      <c r="P505" s="0" t="n">
        <v>0</v>
      </c>
      <c r="Q505" s="0" t="str">
        <f aca="false">IFERROR(VLOOKUP(B505,[2]'Cost Correction'!$D$2:$AJ$1627,33,0),"")</f>
        <v/>
      </c>
    </row>
    <row r="506" customFormat="false" ht="15" hidden="false" customHeight="false" outlineLevel="0" collapsed="false">
      <c r="A506" s="0" t="str">
        <f aca="false">E506&amp;L506&amp;Q506</f>
        <v>43353226496146</v>
      </c>
      <c r="B506" s="0" t="s">
        <v>1243</v>
      </c>
      <c r="C506" s="0" t="s">
        <v>1244</v>
      </c>
      <c r="D506" s="0" t="s">
        <v>28</v>
      </c>
      <c r="E506" s="44" t="n">
        <v>43353</v>
      </c>
      <c r="F506" s="0" t="s">
        <v>102</v>
      </c>
      <c r="G506" s="0" t="n">
        <v>21356941</v>
      </c>
      <c r="H506" s="0" t="n">
        <v>720193</v>
      </c>
      <c r="I506" s="0" t="s">
        <v>34</v>
      </c>
      <c r="J506" s="0" t="s">
        <v>174</v>
      </c>
      <c r="K506" s="0" t="s">
        <v>141</v>
      </c>
      <c r="L506" s="0" t="n">
        <v>226496146</v>
      </c>
      <c r="M506" s="0" t="s">
        <v>1135</v>
      </c>
      <c r="N506" s="0" t="n">
        <v>104537816</v>
      </c>
      <c r="O506" s="0" t="n">
        <v>0</v>
      </c>
      <c r="P506" s="0" t="n">
        <v>0</v>
      </c>
      <c r="Q506" s="0" t="str">
        <f aca="false">IFERROR(VLOOKUP(B506,[2]'Cost Correction'!$D$2:$AJ$1627,33,0),"")</f>
        <v/>
      </c>
    </row>
    <row r="507" customFormat="false" ht="15" hidden="false" customHeight="false" outlineLevel="0" collapsed="false">
      <c r="A507" s="0" t="str">
        <f aca="false">E507&amp;L507&amp;Q507</f>
        <v>43352226496146</v>
      </c>
      <c r="B507" s="0" t="s">
        <v>1245</v>
      </c>
      <c r="C507" s="0" t="s">
        <v>1246</v>
      </c>
      <c r="D507" s="0" t="s">
        <v>28</v>
      </c>
      <c r="E507" s="44" t="n">
        <v>43352</v>
      </c>
      <c r="F507" s="0" t="s">
        <v>102</v>
      </c>
      <c r="G507" s="0" t="n">
        <v>21356941</v>
      </c>
      <c r="H507" s="0" t="n">
        <v>720193</v>
      </c>
      <c r="I507" s="0" t="s">
        <v>34</v>
      </c>
      <c r="J507" s="0" t="s">
        <v>174</v>
      </c>
      <c r="K507" s="0" t="s">
        <v>141</v>
      </c>
      <c r="L507" s="0" t="n">
        <v>226496146</v>
      </c>
      <c r="M507" s="0" t="s">
        <v>1135</v>
      </c>
      <c r="N507" s="0" t="n">
        <v>104537816</v>
      </c>
      <c r="O507" s="0" t="n">
        <v>0</v>
      </c>
      <c r="P507" s="0" t="n">
        <v>0</v>
      </c>
      <c r="Q507" s="0" t="str">
        <f aca="false">IFERROR(VLOOKUP(B507,[2]'Cost Correction'!$D$2:$AJ$1627,33,0),"")</f>
        <v/>
      </c>
    </row>
    <row r="508" customFormat="false" ht="15" hidden="false" customHeight="false" outlineLevel="0" collapsed="false">
      <c r="A508" s="0" t="str">
        <f aca="false">E508&amp;L508&amp;Q508</f>
        <v>43358226359884</v>
      </c>
      <c r="B508" s="0" t="s">
        <v>1247</v>
      </c>
      <c r="C508" s="0" t="s">
        <v>1248</v>
      </c>
      <c r="D508" s="0" t="s">
        <v>28</v>
      </c>
      <c r="E508" s="44" t="n">
        <v>43358</v>
      </c>
      <c r="F508" s="0" t="s">
        <v>102</v>
      </c>
      <c r="G508" s="0" t="n">
        <v>21356941</v>
      </c>
      <c r="H508" s="0" t="n">
        <v>720193</v>
      </c>
      <c r="I508" s="0" t="s">
        <v>34</v>
      </c>
      <c r="J508" s="0" t="s">
        <v>174</v>
      </c>
      <c r="K508" s="0" t="s">
        <v>142</v>
      </c>
      <c r="L508" s="0" t="n">
        <v>226359884</v>
      </c>
      <c r="M508" s="0" t="s">
        <v>1150</v>
      </c>
      <c r="N508" s="0" t="n">
        <v>104537132</v>
      </c>
      <c r="O508" s="0" t="n">
        <v>8</v>
      </c>
      <c r="P508" s="0" t="n">
        <v>0.03</v>
      </c>
      <c r="Q508" s="0" t="str">
        <f aca="false">IFERROR(VLOOKUP(B508,[2]'Cost Correction'!$D$2:$AJ$1627,33,0),"")</f>
        <v/>
      </c>
    </row>
    <row r="509" customFormat="false" ht="15" hidden="false" customHeight="false" outlineLevel="0" collapsed="false">
      <c r="A509" s="0" t="str">
        <f aca="false">E509&amp;L509&amp;Q509</f>
        <v>43357226359884</v>
      </c>
      <c r="B509" s="0" t="s">
        <v>1249</v>
      </c>
      <c r="C509" s="0" t="s">
        <v>1250</v>
      </c>
      <c r="D509" s="0" t="s">
        <v>28</v>
      </c>
      <c r="E509" s="44" t="n">
        <v>43357</v>
      </c>
      <c r="F509" s="0" t="s">
        <v>102</v>
      </c>
      <c r="G509" s="0" t="n">
        <v>21356941</v>
      </c>
      <c r="H509" s="0" t="n">
        <v>720193</v>
      </c>
      <c r="I509" s="0" t="s">
        <v>34</v>
      </c>
      <c r="J509" s="0" t="s">
        <v>174</v>
      </c>
      <c r="K509" s="0" t="s">
        <v>142</v>
      </c>
      <c r="L509" s="0" t="n">
        <v>226359884</v>
      </c>
      <c r="M509" s="0" t="s">
        <v>1150</v>
      </c>
      <c r="N509" s="0" t="n">
        <v>104537132</v>
      </c>
      <c r="O509" s="0" t="n">
        <v>7</v>
      </c>
      <c r="P509" s="0" t="n">
        <v>0.06</v>
      </c>
      <c r="Q509" s="0" t="str">
        <f aca="false">IFERROR(VLOOKUP(B509,[2]'Cost Correction'!$D$2:$AJ$1627,33,0),"")</f>
        <v/>
      </c>
    </row>
    <row r="510" customFormat="false" ht="15" hidden="false" customHeight="false" outlineLevel="0" collapsed="false">
      <c r="A510" s="0" t="str">
        <f aca="false">E510&amp;L510&amp;Q510</f>
        <v>43356226359884</v>
      </c>
      <c r="B510" s="0" t="s">
        <v>1251</v>
      </c>
      <c r="C510" s="0" t="s">
        <v>1252</v>
      </c>
      <c r="D510" s="0" t="s">
        <v>28</v>
      </c>
      <c r="E510" s="44" t="n">
        <v>43356</v>
      </c>
      <c r="F510" s="0" t="s">
        <v>102</v>
      </c>
      <c r="G510" s="0" t="n">
        <v>21356941</v>
      </c>
      <c r="H510" s="0" t="n">
        <v>720193</v>
      </c>
      <c r="I510" s="0" t="s">
        <v>34</v>
      </c>
      <c r="J510" s="0" t="s">
        <v>174</v>
      </c>
      <c r="K510" s="0" t="s">
        <v>142</v>
      </c>
      <c r="L510" s="0" t="n">
        <v>226359884</v>
      </c>
      <c r="M510" s="0" t="s">
        <v>1150</v>
      </c>
      <c r="N510" s="0" t="n">
        <v>104537132</v>
      </c>
      <c r="O510" s="0" t="n">
        <v>10</v>
      </c>
      <c r="P510" s="0" t="n">
        <v>0.05</v>
      </c>
      <c r="Q510" s="0" t="str">
        <f aca="false">IFERROR(VLOOKUP(B510,[2]'Cost Correction'!$D$2:$AJ$1627,33,0),"")</f>
        <v/>
      </c>
    </row>
    <row r="511" customFormat="false" ht="15" hidden="false" customHeight="false" outlineLevel="0" collapsed="false">
      <c r="A511" s="0" t="str">
        <f aca="false">E511&amp;L511&amp;Q511</f>
        <v>43355226359884</v>
      </c>
      <c r="B511" s="0" t="s">
        <v>1253</v>
      </c>
      <c r="C511" s="0" t="s">
        <v>1254</v>
      </c>
      <c r="D511" s="0" t="s">
        <v>28</v>
      </c>
      <c r="E511" s="44" t="n">
        <v>43355</v>
      </c>
      <c r="F511" s="0" t="s">
        <v>102</v>
      </c>
      <c r="G511" s="0" t="n">
        <v>21356941</v>
      </c>
      <c r="H511" s="0" t="n">
        <v>720193</v>
      </c>
      <c r="I511" s="0" t="s">
        <v>34</v>
      </c>
      <c r="J511" s="0" t="s">
        <v>174</v>
      </c>
      <c r="K511" s="0" t="s">
        <v>142</v>
      </c>
      <c r="L511" s="0" t="n">
        <v>226359884</v>
      </c>
      <c r="M511" s="0" t="s">
        <v>1150</v>
      </c>
      <c r="N511" s="0" t="n">
        <v>104537132</v>
      </c>
      <c r="O511" s="0" t="n">
        <v>99</v>
      </c>
      <c r="P511" s="0" t="n">
        <v>0.6</v>
      </c>
      <c r="Q511" s="0" t="str">
        <f aca="false">IFERROR(VLOOKUP(B511,[2]'Cost Correction'!$D$2:$AJ$1627,33,0),"")</f>
        <v/>
      </c>
    </row>
    <row r="512" customFormat="false" ht="15" hidden="false" customHeight="false" outlineLevel="0" collapsed="false">
      <c r="A512" s="0" t="str">
        <f aca="false">E512&amp;L512&amp;Q512</f>
        <v>43354226359884</v>
      </c>
      <c r="B512" s="0" t="s">
        <v>1255</v>
      </c>
      <c r="C512" s="0" t="s">
        <v>1256</v>
      </c>
      <c r="D512" s="0" t="s">
        <v>28</v>
      </c>
      <c r="E512" s="44" t="n">
        <v>43354</v>
      </c>
      <c r="F512" s="0" t="s">
        <v>102</v>
      </c>
      <c r="G512" s="0" t="n">
        <v>21356941</v>
      </c>
      <c r="H512" s="0" t="n">
        <v>720193</v>
      </c>
      <c r="I512" s="0" t="s">
        <v>34</v>
      </c>
      <c r="J512" s="0" t="s">
        <v>174</v>
      </c>
      <c r="K512" s="0" t="s">
        <v>142</v>
      </c>
      <c r="L512" s="0" t="n">
        <v>226359884</v>
      </c>
      <c r="M512" s="0" t="s">
        <v>1150</v>
      </c>
      <c r="N512" s="0" t="n">
        <v>104537132</v>
      </c>
      <c r="O512" s="0" t="n">
        <v>103</v>
      </c>
      <c r="P512" s="0" t="n">
        <v>0.55</v>
      </c>
      <c r="Q512" s="0" t="str">
        <f aca="false">IFERROR(VLOOKUP(B512,[2]'Cost Correction'!$D$2:$AJ$1627,33,0),"")</f>
        <v/>
      </c>
    </row>
    <row r="513" customFormat="false" ht="15" hidden="false" customHeight="false" outlineLevel="0" collapsed="false">
      <c r="A513" s="0" t="str">
        <f aca="false">E513&amp;L513&amp;Q513</f>
        <v>43353226359884</v>
      </c>
      <c r="B513" s="0" t="s">
        <v>1257</v>
      </c>
      <c r="C513" s="0" t="s">
        <v>1258</v>
      </c>
      <c r="D513" s="0" t="s">
        <v>28</v>
      </c>
      <c r="E513" s="44" t="n">
        <v>43353</v>
      </c>
      <c r="F513" s="0" t="s">
        <v>102</v>
      </c>
      <c r="G513" s="0" t="n">
        <v>21356941</v>
      </c>
      <c r="H513" s="0" t="n">
        <v>720193</v>
      </c>
      <c r="I513" s="0" t="s">
        <v>34</v>
      </c>
      <c r="J513" s="0" t="s">
        <v>174</v>
      </c>
      <c r="K513" s="0" t="s">
        <v>142</v>
      </c>
      <c r="L513" s="0" t="n">
        <v>226359884</v>
      </c>
      <c r="M513" s="0" t="s">
        <v>1150</v>
      </c>
      <c r="N513" s="0" t="n">
        <v>104537132</v>
      </c>
      <c r="O513" s="0" t="n">
        <v>105</v>
      </c>
      <c r="P513" s="0" t="n">
        <v>0.52</v>
      </c>
      <c r="Q513" s="0" t="str">
        <f aca="false">IFERROR(VLOOKUP(B513,[2]'Cost Correction'!$D$2:$AJ$1627,33,0),"")</f>
        <v/>
      </c>
    </row>
    <row r="514" customFormat="false" ht="15" hidden="false" customHeight="false" outlineLevel="0" collapsed="false">
      <c r="A514" s="0" t="str">
        <f aca="false">E514&amp;L514&amp;Q514</f>
        <v>43352226359884</v>
      </c>
      <c r="B514" s="0" t="s">
        <v>1259</v>
      </c>
      <c r="C514" s="0" t="s">
        <v>1260</v>
      </c>
      <c r="D514" s="0" t="s">
        <v>28</v>
      </c>
      <c r="E514" s="44" t="n">
        <v>43352</v>
      </c>
      <c r="F514" s="0" t="s">
        <v>102</v>
      </c>
      <c r="G514" s="0" t="n">
        <v>21356941</v>
      </c>
      <c r="H514" s="0" t="n">
        <v>720193</v>
      </c>
      <c r="I514" s="0" t="s">
        <v>34</v>
      </c>
      <c r="J514" s="0" t="s">
        <v>174</v>
      </c>
      <c r="K514" s="0" t="s">
        <v>142</v>
      </c>
      <c r="L514" s="0" t="n">
        <v>226359884</v>
      </c>
      <c r="M514" s="0" t="s">
        <v>1150</v>
      </c>
      <c r="N514" s="0" t="n">
        <v>104537132</v>
      </c>
      <c r="O514" s="0" t="n">
        <v>217</v>
      </c>
      <c r="P514" s="0" t="n">
        <v>1.2</v>
      </c>
      <c r="Q514" s="0" t="str">
        <f aca="false">IFERROR(VLOOKUP(B514,[2]'Cost Correction'!$D$2:$AJ$1627,33,0),"")</f>
        <v/>
      </c>
    </row>
    <row r="515" customFormat="false" ht="15" hidden="false" customHeight="false" outlineLevel="0" collapsed="false">
      <c r="A515" s="0" t="str">
        <f aca="false">E515&amp;L515&amp;Q515</f>
        <v>43358226360034</v>
      </c>
      <c r="B515" s="0" t="s">
        <v>1261</v>
      </c>
      <c r="C515" s="0" t="s">
        <v>1262</v>
      </c>
      <c r="D515" s="0" t="s">
        <v>28</v>
      </c>
      <c r="E515" s="44" t="n">
        <v>43358</v>
      </c>
      <c r="F515" s="0" t="s">
        <v>102</v>
      </c>
      <c r="G515" s="0" t="n">
        <v>21356941</v>
      </c>
      <c r="H515" s="0" t="n">
        <v>720193</v>
      </c>
      <c r="I515" s="0" t="s">
        <v>34</v>
      </c>
      <c r="J515" s="0" t="s">
        <v>174</v>
      </c>
      <c r="K515" s="0" t="s">
        <v>143</v>
      </c>
      <c r="L515" s="0" t="n">
        <v>226360034</v>
      </c>
      <c r="M515" s="0" t="s">
        <v>1105</v>
      </c>
      <c r="N515" s="0" t="n">
        <v>104537813</v>
      </c>
      <c r="O515" s="0" t="n">
        <v>0</v>
      </c>
      <c r="P515" s="0" t="n">
        <v>0</v>
      </c>
      <c r="Q515" s="0" t="str">
        <f aca="false">IFERROR(VLOOKUP(B515,[2]'Cost Correction'!$D$2:$AJ$1627,33,0),"")</f>
        <v/>
      </c>
    </row>
    <row r="516" customFormat="false" ht="15" hidden="false" customHeight="false" outlineLevel="0" collapsed="false">
      <c r="A516" s="0" t="str">
        <f aca="false">E516&amp;L516&amp;Q516</f>
        <v>43357226360034</v>
      </c>
      <c r="B516" s="0" t="s">
        <v>1263</v>
      </c>
      <c r="C516" s="0" t="s">
        <v>1264</v>
      </c>
      <c r="D516" s="0" t="s">
        <v>28</v>
      </c>
      <c r="E516" s="44" t="n">
        <v>43357</v>
      </c>
      <c r="F516" s="0" t="s">
        <v>102</v>
      </c>
      <c r="G516" s="0" t="n">
        <v>21356941</v>
      </c>
      <c r="H516" s="0" t="n">
        <v>720193</v>
      </c>
      <c r="I516" s="0" t="s">
        <v>34</v>
      </c>
      <c r="J516" s="0" t="s">
        <v>174</v>
      </c>
      <c r="K516" s="0" t="s">
        <v>143</v>
      </c>
      <c r="L516" s="0" t="n">
        <v>226360034</v>
      </c>
      <c r="M516" s="0" t="s">
        <v>1105</v>
      </c>
      <c r="N516" s="0" t="n">
        <v>104537813</v>
      </c>
      <c r="O516" s="0" t="n">
        <v>0</v>
      </c>
      <c r="P516" s="0" t="n">
        <v>0</v>
      </c>
      <c r="Q516" s="0" t="str">
        <f aca="false">IFERROR(VLOOKUP(B516,[2]'Cost Correction'!$D$2:$AJ$1627,33,0),"")</f>
        <v/>
      </c>
    </row>
    <row r="517" customFormat="false" ht="15" hidden="false" customHeight="false" outlineLevel="0" collapsed="false">
      <c r="A517" s="0" t="str">
        <f aca="false">E517&amp;L517&amp;Q517</f>
        <v>43356226360034</v>
      </c>
      <c r="B517" s="0" t="s">
        <v>1265</v>
      </c>
      <c r="C517" s="0" t="s">
        <v>1266</v>
      </c>
      <c r="D517" s="0" t="s">
        <v>28</v>
      </c>
      <c r="E517" s="44" t="n">
        <v>43356</v>
      </c>
      <c r="F517" s="0" t="s">
        <v>102</v>
      </c>
      <c r="G517" s="0" t="n">
        <v>21356941</v>
      </c>
      <c r="H517" s="0" t="n">
        <v>720193</v>
      </c>
      <c r="I517" s="0" t="s">
        <v>34</v>
      </c>
      <c r="J517" s="0" t="s">
        <v>174</v>
      </c>
      <c r="K517" s="0" t="s">
        <v>143</v>
      </c>
      <c r="L517" s="0" t="n">
        <v>226360034</v>
      </c>
      <c r="M517" s="0" t="s">
        <v>1105</v>
      </c>
      <c r="N517" s="0" t="n">
        <v>104537813</v>
      </c>
      <c r="O517" s="0" t="n">
        <v>0</v>
      </c>
      <c r="P517" s="0" t="n">
        <v>0</v>
      </c>
      <c r="Q517" s="0" t="str">
        <f aca="false">IFERROR(VLOOKUP(B517,[2]'Cost Correction'!$D$2:$AJ$1627,33,0),"")</f>
        <v/>
      </c>
    </row>
    <row r="518" customFormat="false" ht="15" hidden="false" customHeight="false" outlineLevel="0" collapsed="false">
      <c r="A518" s="0" t="str">
        <f aca="false">E518&amp;L518&amp;Q518</f>
        <v>43355226360034</v>
      </c>
      <c r="B518" s="0" t="s">
        <v>1267</v>
      </c>
      <c r="C518" s="0" t="s">
        <v>1268</v>
      </c>
      <c r="D518" s="0" t="s">
        <v>28</v>
      </c>
      <c r="E518" s="44" t="n">
        <v>43355</v>
      </c>
      <c r="F518" s="0" t="s">
        <v>102</v>
      </c>
      <c r="G518" s="0" t="n">
        <v>21356941</v>
      </c>
      <c r="H518" s="0" t="n">
        <v>720193</v>
      </c>
      <c r="I518" s="0" t="s">
        <v>34</v>
      </c>
      <c r="J518" s="0" t="s">
        <v>174</v>
      </c>
      <c r="K518" s="0" t="s">
        <v>143</v>
      </c>
      <c r="L518" s="0" t="n">
        <v>226360034</v>
      </c>
      <c r="M518" s="0" t="s">
        <v>1105</v>
      </c>
      <c r="N518" s="0" t="n">
        <v>104537813</v>
      </c>
      <c r="O518" s="0" t="n">
        <v>0</v>
      </c>
      <c r="P518" s="0" t="n">
        <v>0</v>
      </c>
      <c r="Q518" s="0" t="str">
        <f aca="false">IFERROR(VLOOKUP(B518,[2]'Cost Correction'!$D$2:$AJ$1627,33,0),"")</f>
        <v/>
      </c>
    </row>
    <row r="519" customFormat="false" ht="15" hidden="false" customHeight="false" outlineLevel="0" collapsed="false">
      <c r="A519" s="0" t="str">
        <f aca="false">E519&amp;L519&amp;Q519</f>
        <v>43354226360034</v>
      </c>
      <c r="B519" s="0" t="s">
        <v>1269</v>
      </c>
      <c r="C519" s="0" t="s">
        <v>1270</v>
      </c>
      <c r="D519" s="0" t="s">
        <v>28</v>
      </c>
      <c r="E519" s="44" t="n">
        <v>43354</v>
      </c>
      <c r="F519" s="0" t="s">
        <v>102</v>
      </c>
      <c r="G519" s="0" t="n">
        <v>21356941</v>
      </c>
      <c r="H519" s="0" t="n">
        <v>720193</v>
      </c>
      <c r="I519" s="0" t="s">
        <v>34</v>
      </c>
      <c r="J519" s="0" t="s">
        <v>174</v>
      </c>
      <c r="K519" s="0" t="s">
        <v>143</v>
      </c>
      <c r="L519" s="0" t="n">
        <v>226360034</v>
      </c>
      <c r="M519" s="0" t="s">
        <v>1105</v>
      </c>
      <c r="N519" s="0" t="n">
        <v>104537813</v>
      </c>
      <c r="O519" s="0" t="n">
        <v>0</v>
      </c>
      <c r="P519" s="0" t="n">
        <v>0</v>
      </c>
      <c r="Q519" s="0" t="str">
        <f aca="false">IFERROR(VLOOKUP(B519,[2]'Cost Correction'!$D$2:$AJ$1627,33,0),"")</f>
        <v/>
      </c>
    </row>
    <row r="520" customFormat="false" ht="15" hidden="false" customHeight="false" outlineLevel="0" collapsed="false">
      <c r="A520" s="0" t="str">
        <f aca="false">E520&amp;L520&amp;Q520</f>
        <v>43353226360034</v>
      </c>
      <c r="B520" s="0" t="s">
        <v>1271</v>
      </c>
      <c r="C520" s="0" t="s">
        <v>1272</v>
      </c>
      <c r="D520" s="0" t="s">
        <v>28</v>
      </c>
      <c r="E520" s="44" t="n">
        <v>43353</v>
      </c>
      <c r="F520" s="0" t="s">
        <v>102</v>
      </c>
      <c r="G520" s="0" t="n">
        <v>21356941</v>
      </c>
      <c r="H520" s="0" t="n">
        <v>720193</v>
      </c>
      <c r="I520" s="0" t="s">
        <v>34</v>
      </c>
      <c r="J520" s="0" t="s">
        <v>174</v>
      </c>
      <c r="K520" s="0" t="s">
        <v>143</v>
      </c>
      <c r="L520" s="0" t="n">
        <v>226360034</v>
      </c>
      <c r="M520" s="0" t="s">
        <v>1105</v>
      </c>
      <c r="N520" s="0" t="n">
        <v>104537813</v>
      </c>
      <c r="O520" s="0" t="n">
        <v>0</v>
      </c>
      <c r="P520" s="0" t="n">
        <v>0</v>
      </c>
      <c r="Q520" s="0" t="str">
        <f aca="false">IFERROR(VLOOKUP(B520,[2]'Cost Correction'!$D$2:$AJ$1627,33,0),"")</f>
        <v/>
      </c>
    </row>
    <row r="521" customFormat="false" ht="15" hidden="false" customHeight="false" outlineLevel="0" collapsed="false">
      <c r="A521" s="0" t="str">
        <f aca="false">E521&amp;L521&amp;Q521</f>
        <v>43352226360034</v>
      </c>
      <c r="B521" s="0" t="s">
        <v>1273</v>
      </c>
      <c r="C521" s="0" t="s">
        <v>1274</v>
      </c>
      <c r="D521" s="0" t="s">
        <v>28</v>
      </c>
      <c r="E521" s="44" t="n">
        <v>43352</v>
      </c>
      <c r="F521" s="0" t="s">
        <v>102</v>
      </c>
      <c r="G521" s="0" t="n">
        <v>21356941</v>
      </c>
      <c r="H521" s="0" t="n">
        <v>720193</v>
      </c>
      <c r="I521" s="0" t="s">
        <v>34</v>
      </c>
      <c r="J521" s="0" t="s">
        <v>174</v>
      </c>
      <c r="K521" s="0" t="s">
        <v>143</v>
      </c>
      <c r="L521" s="0" t="n">
        <v>226360034</v>
      </c>
      <c r="M521" s="0" t="s">
        <v>1105</v>
      </c>
      <c r="N521" s="0" t="n">
        <v>104537813</v>
      </c>
      <c r="O521" s="0" t="n">
        <v>0</v>
      </c>
      <c r="P521" s="0" t="n">
        <v>0</v>
      </c>
      <c r="Q521" s="0" t="str">
        <f aca="false">IFERROR(VLOOKUP(B521,[2]'Cost Correction'!$D$2:$AJ$1627,33,0),"")</f>
        <v/>
      </c>
    </row>
    <row r="522" customFormat="false" ht="15" hidden="false" customHeight="false" outlineLevel="0" collapsed="false">
      <c r="A522" s="0" t="str">
        <f aca="false">E522&amp;L522&amp;Q522</f>
        <v>43358226420298</v>
      </c>
      <c r="B522" s="0" t="s">
        <v>1275</v>
      </c>
      <c r="C522" s="0" t="s">
        <v>1276</v>
      </c>
      <c r="D522" s="0" t="s">
        <v>28</v>
      </c>
      <c r="E522" s="44" t="n">
        <v>43358</v>
      </c>
      <c r="F522" s="0" t="s">
        <v>102</v>
      </c>
      <c r="G522" s="0" t="n">
        <v>21356941</v>
      </c>
      <c r="H522" s="0" t="n">
        <v>720193</v>
      </c>
      <c r="I522" s="0" t="s">
        <v>34</v>
      </c>
      <c r="J522" s="0" t="s">
        <v>174</v>
      </c>
      <c r="K522" s="0" t="s">
        <v>144</v>
      </c>
      <c r="L522" s="0" t="n">
        <v>226420298</v>
      </c>
      <c r="M522" s="0" t="s">
        <v>1120</v>
      </c>
      <c r="N522" s="0" t="n">
        <v>104537129</v>
      </c>
      <c r="O522" s="0" t="n">
        <v>0</v>
      </c>
      <c r="P522" s="0" t="n">
        <v>0</v>
      </c>
      <c r="Q522" s="0" t="str">
        <f aca="false">IFERROR(VLOOKUP(B522,[2]'Cost Correction'!$D$2:$AJ$1627,33,0),"")</f>
        <v/>
      </c>
    </row>
    <row r="523" customFormat="false" ht="15" hidden="false" customHeight="false" outlineLevel="0" collapsed="false">
      <c r="A523" s="0" t="str">
        <f aca="false">E523&amp;L523&amp;Q523</f>
        <v>43357226420298</v>
      </c>
      <c r="B523" s="0" t="s">
        <v>1277</v>
      </c>
      <c r="C523" s="0" t="s">
        <v>1278</v>
      </c>
      <c r="D523" s="0" t="s">
        <v>28</v>
      </c>
      <c r="E523" s="44" t="n">
        <v>43357</v>
      </c>
      <c r="F523" s="0" t="s">
        <v>102</v>
      </c>
      <c r="G523" s="0" t="n">
        <v>21356941</v>
      </c>
      <c r="H523" s="0" t="n">
        <v>720193</v>
      </c>
      <c r="I523" s="0" t="s">
        <v>34</v>
      </c>
      <c r="J523" s="0" t="s">
        <v>174</v>
      </c>
      <c r="K523" s="0" t="s">
        <v>144</v>
      </c>
      <c r="L523" s="0" t="n">
        <v>226420298</v>
      </c>
      <c r="M523" s="0" t="s">
        <v>1120</v>
      </c>
      <c r="N523" s="0" t="n">
        <v>104537129</v>
      </c>
      <c r="O523" s="0" t="n">
        <v>0</v>
      </c>
      <c r="P523" s="0" t="n">
        <v>0</v>
      </c>
      <c r="Q523" s="0" t="str">
        <f aca="false">IFERROR(VLOOKUP(B523,[2]'Cost Correction'!$D$2:$AJ$1627,33,0),"")</f>
        <v/>
      </c>
    </row>
    <row r="524" customFormat="false" ht="15" hidden="false" customHeight="false" outlineLevel="0" collapsed="false">
      <c r="A524" s="0" t="str">
        <f aca="false">E524&amp;L524&amp;Q524</f>
        <v>43356226420298</v>
      </c>
      <c r="B524" s="0" t="s">
        <v>1279</v>
      </c>
      <c r="C524" s="0" t="s">
        <v>1280</v>
      </c>
      <c r="D524" s="0" t="s">
        <v>28</v>
      </c>
      <c r="E524" s="44" t="n">
        <v>43356</v>
      </c>
      <c r="F524" s="0" t="s">
        <v>102</v>
      </c>
      <c r="G524" s="0" t="n">
        <v>21356941</v>
      </c>
      <c r="H524" s="0" t="n">
        <v>720193</v>
      </c>
      <c r="I524" s="0" t="s">
        <v>34</v>
      </c>
      <c r="J524" s="0" t="s">
        <v>174</v>
      </c>
      <c r="K524" s="0" t="s">
        <v>144</v>
      </c>
      <c r="L524" s="0" t="n">
        <v>226420298</v>
      </c>
      <c r="M524" s="0" t="s">
        <v>1120</v>
      </c>
      <c r="N524" s="0" t="n">
        <v>104537129</v>
      </c>
      <c r="O524" s="0" t="n">
        <v>0</v>
      </c>
      <c r="P524" s="0" t="n">
        <v>0</v>
      </c>
      <c r="Q524" s="0" t="str">
        <f aca="false">IFERROR(VLOOKUP(B524,[2]'Cost Correction'!$D$2:$AJ$1627,33,0),"")</f>
        <v/>
      </c>
    </row>
    <row r="525" customFormat="false" ht="15" hidden="false" customHeight="false" outlineLevel="0" collapsed="false">
      <c r="A525" s="0" t="str">
        <f aca="false">E525&amp;L525&amp;Q525</f>
        <v>43355226420298</v>
      </c>
      <c r="B525" s="0" t="s">
        <v>1281</v>
      </c>
      <c r="C525" s="0" t="s">
        <v>1282</v>
      </c>
      <c r="D525" s="0" t="s">
        <v>28</v>
      </c>
      <c r="E525" s="44" t="n">
        <v>43355</v>
      </c>
      <c r="F525" s="0" t="s">
        <v>102</v>
      </c>
      <c r="G525" s="0" t="n">
        <v>21356941</v>
      </c>
      <c r="H525" s="0" t="n">
        <v>720193</v>
      </c>
      <c r="I525" s="0" t="s">
        <v>34</v>
      </c>
      <c r="J525" s="0" t="s">
        <v>174</v>
      </c>
      <c r="K525" s="0" t="s">
        <v>144</v>
      </c>
      <c r="L525" s="0" t="n">
        <v>226420298</v>
      </c>
      <c r="M525" s="0" t="s">
        <v>1120</v>
      </c>
      <c r="N525" s="0" t="n">
        <v>104537129</v>
      </c>
      <c r="O525" s="0" t="n">
        <v>0</v>
      </c>
      <c r="P525" s="0" t="n">
        <v>0</v>
      </c>
      <c r="Q525" s="0" t="str">
        <f aca="false">IFERROR(VLOOKUP(B525,[2]'Cost Correction'!$D$2:$AJ$1627,33,0),"")</f>
        <v/>
      </c>
    </row>
    <row r="526" customFormat="false" ht="15" hidden="false" customHeight="false" outlineLevel="0" collapsed="false">
      <c r="A526" s="0" t="str">
        <f aca="false">E526&amp;L526&amp;Q526</f>
        <v>43354226420298</v>
      </c>
      <c r="B526" s="0" t="s">
        <v>1283</v>
      </c>
      <c r="C526" s="0" t="s">
        <v>1284</v>
      </c>
      <c r="D526" s="0" t="s">
        <v>28</v>
      </c>
      <c r="E526" s="44" t="n">
        <v>43354</v>
      </c>
      <c r="F526" s="0" t="s">
        <v>102</v>
      </c>
      <c r="G526" s="0" t="n">
        <v>21356941</v>
      </c>
      <c r="H526" s="0" t="n">
        <v>720193</v>
      </c>
      <c r="I526" s="0" t="s">
        <v>34</v>
      </c>
      <c r="J526" s="0" t="s">
        <v>174</v>
      </c>
      <c r="K526" s="0" t="s">
        <v>144</v>
      </c>
      <c r="L526" s="0" t="n">
        <v>226420298</v>
      </c>
      <c r="M526" s="0" t="s">
        <v>1120</v>
      </c>
      <c r="N526" s="0" t="n">
        <v>104537129</v>
      </c>
      <c r="O526" s="0" t="n">
        <v>0</v>
      </c>
      <c r="P526" s="0" t="n">
        <v>0</v>
      </c>
      <c r="Q526" s="0" t="str">
        <f aca="false">IFERROR(VLOOKUP(B526,[2]'Cost Correction'!$D$2:$AJ$1627,33,0),"")</f>
        <v/>
      </c>
    </row>
    <row r="527" customFormat="false" ht="15" hidden="false" customHeight="false" outlineLevel="0" collapsed="false">
      <c r="A527" s="0" t="str">
        <f aca="false">E527&amp;L527&amp;Q527</f>
        <v>43353226420298</v>
      </c>
      <c r="B527" s="0" t="s">
        <v>1285</v>
      </c>
      <c r="C527" s="0" t="s">
        <v>1286</v>
      </c>
      <c r="D527" s="0" t="s">
        <v>28</v>
      </c>
      <c r="E527" s="44" t="n">
        <v>43353</v>
      </c>
      <c r="F527" s="0" t="s">
        <v>102</v>
      </c>
      <c r="G527" s="0" t="n">
        <v>21356941</v>
      </c>
      <c r="H527" s="0" t="n">
        <v>720193</v>
      </c>
      <c r="I527" s="0" t="s">
        <v>34</v>
      </c>
      <c r="J527" s="0" t="s">
        <v>174</v>
      </c>
      <c r="K527" s="0" t="s">
        <v>144</v>
      </c>
      <c r="L527" s="0" t="n">
        <v>226420298</v>
      </c>
      <c r="M527" s="0" t="s">
        <v>1120</v>
      </c>
      <c r="N527" s="0" t="n">
        <v>104537129</v>
      </c>
      <c r="O527" s="0" t="n">
        <v>0</v>
      </c>
      <c r="P527" s="0" t="n">
        <v>0</v>
      </c>
      <c r="Q527" s="0" t="str">
        <f aca="false">IFERROR(VLOOKUP(B527,[2]'Cost Correction'!$D$2:$AJ$1627,33,0),"")</f>
        <v/>
      </c>
    </row>
    <row r="528" customFormat="false" ht="15" hidden="false" customHeight="false" outlineLevel="0" collapsed="false">
      <c r="A528" s="0" t="str">
        <f aca="false">E528&amp;L528&amp;Q528</f>
        <v>43352226420298</v>
      </c>
      <c r="B528" s="0" t="s">
        <v>1287</v>
      </c>
      <c r="C528" s="0" t="s">
        <v>1288</v>
      </c>
      <c r="D528" s="0" t="s">
        <v>28</v>
      </c>
      <c r="E528" s="44" t="n">
        <v>43352</v>
      </c>
      <c r="F528" s="0" t="s">
        <v>102</v>
      </c>
      <c r="G528" s="0" t="n">
        <v>21356941</v>
      </c>
      <c r="H528" s="0" t="n">
        <v>720193</v>
      </c>
      <c r="I528" s="0" t="s">
        <v>34</v>
      </c>
      <c r="J528" s="0" t="s">
        <v>174</v>
      </c>
      <c r="K528" s="0" t="s">
        <v>144</v>
      </c>
      <c r="L528" s="0" t="n">
        <v>226420298</v>
      </c>
      <c r="M528" s="0" t="s">
        <v>1120</v>
      </c>
      <c r="N528" s="0" t="n">
        <v>104537129</v>
      </c>
      <c r="O528" s="0" t="n">
        <v>0</v>
      </c>
      <c r="P528" s="0" t="n">
        <v>0</v>
      </c>
      <c r="Q528" s="0" t="str">
        <f aca="false">IFERROR(VLOOKUP(B528,[2]'Cost Correction'!$D$2:$AJ$1627,33,0),"")</f>
        <v/>
      </c>
    </row>
    <row r="529" customFormat="false" ht="15" hidden="false" customHeight="false" outlineLevel="0" collapsed="false">
      <c r="A529" s="0" t="str">
        <f aca="false">E529&amp;L529&amp;Q529</f>
        <v>43358226360028</v>
      </c>
      <c r="B529" s="0" t="s">
        <v>1289</v>
      </c>
      <c r="C529" s="0" t="s">
        <v>1290</v>
      </c>
      <c r="D529" s="0" t="s">
        <v>28</v>
      </c>
      <c r="E529" s="44" t="n">
        <v>43358</v>
      </c>
      <c r="F529" s="0" t="s">
        <v>102</v>
      </c>
      <c r="G529" s="0" t="n">
        <v>21356941</v>
      </c>
      <c r="H529" s="0" t="n">
        <v>720193</v>
      </c>
      <c r="I529" s="0" t="s">
        <v>34</v>
      </c>
      <c r="J529" s="0" t="s">
        <v>174</v>
      </c>
      <c r="K529" s="0" t="s">
        <v>145</v>
      </c>
      <c r="L529" s="0" t="n">
        <v>226360028</v>
      </c>
      <c r="M529" s="0" t="s">
        <v>1135</v>
      </c>
      <c r="N529" s="0" t="n">
        <v>104537816</v>
      </c>
      <c r="O529" s="0" t="n">
        <v>0</v>
      </c>
      <c r="P529" s="0" t="n">
        <v>0</v>
      </c>
      <c r="Q529" s="0" t="str">
        <f aca="false">IFERROR(VLOOKUP(B529,[2]'Cost Correction'!$D$2:$AJ$1627,33,0),"")</f>
        <v/>
      </c>
    </row>
    <row r="530" customFormat="false" ht="15" hidden="false" customHeight="false" outlineLevel="0" collapsed="false">
      <c r="A530" s="0" t="str">
        <f aca="false">E530&amp;L530&amp;Q530</f>
        <v>43357226360028</v>
      </c>
      <c r="B530" s="0" t="s">
        <v>1291</v>
      </c>
      <c r="C530" s="0" t="s">
        <v>1292</v>
      </c>
      <c r="D530" s="0" t="s">
        <v>28</v>
      </c>
      <c r="E530" s="44" t="n">
        <v>43357</v>
      </c>
      <c r="F530" s="0" t="s">
        <v>102</v>
      </c>
      <c r="G530" s="0" t="n">
        <v>21356941</v>
      </c>
      <c r="H530" s="0" t="n">
        <v>720193</v>
      </c>
      <c r="I530" s="0" t="s">
        <v>34</v>
      </c>
      <c r="J530" s="0" t="s">
        <v>174</v>
      </c>
      <c r="K530" s="0" t="s">
        <v>145</v>
      </c>
      <c r="L530" s="0" t="n">
        <v>226360028</v>
      </c>
      <c r="M530" s="0" t="s">
        <v>1135</v>
      </c>
      <c r="N530" s="0" t="n">
        <v>104537816</v>
      </c>
      <c r="O530" s="0" t="n">
        <v>0</v>
      </c>
      <c r="P530" s="0" t="n">
        <v>0</v>
      </c>
      <c r="Q530" s="0" t="str">
        <f aca="false">IFERROR(VLOOKUP(B530,[2]'Cost Correction'!$D$2:$AJ$1627,33,0),"")</f>
        <v/>
      </c>
    </row>
    <row r="531" customFormat="false" ht="15" hidden="false" customHeight="false" outlineLevel="0" collapsed="false">
      <c r="A531" s="0" t="str">
        <f aca="false">E531&amp;L531&amp;Q531</f>
        <v>43356226360028</v>
      </c>
      <c r="B531" s="0" t="s">
        <v>1293</v>
      </c>
      <c r="C531" s="0" t="s">
        <v>1294</v>
      </c>
      <c r="D531" s="0" t="s">
        <v>28</v>
      </c>
      <c r="E531" s="44" t="n">
        <v>43356</v>
      </c>
      <c r="F531" s="0" t="s">
        <v>102</v>
      </c>
      <c r="G531" s="0" t="n">
        <v>21356941</v>
      </c>
      <c r="H531" s="0" t="n">
        <v>720193</v>
      </c>
      <c r="I531" s="0" t="s">
        <v>34</v>
      </c>
      <c r="J531" s="0" t="s">
        <v>174</v>
      </c>
      <c r="K531" s="0" t="s">
        <v>145</v>
      </c>
      <c r="L531" s="0" t="n">
        <v>226360028</v>
      </c>
      <c r="M531" s="0" t="s">
        <v>1135</v>
      </c>
      <c r="N531" s="0" t="n">
        <v>104537816</v>
      </c>
      <c r="O531" s="0" t="n">
        <v>0</v>
      </c>
      <c r="P531" s="0" t="n">
        <v>0</v>
      </c>
      <c r="Q531" s="0" t="str">
        <f aca="false">IFERROR(VLOOKUP(B531,[2]'Cost Correction'!$D$2:$AJ$1627,33,0),"")</f>
        <v/>
      </c>
    </row>
    <row r="532" customFormat="false" ht="15" hidden="false" customHeight="false" outlineLevel="0" collapsed="false">
      <c r="A532" s="0" t="str">
        <f aca="false">E532&amp;L532&amp;Q532</f>
        <v>43355226360028</v>
      </c>
      <c r="B532" s="0" t="s">
        <v>1295</v>
      </c>
      <c r="C532" s="0" t="s">
        <v>1296</v>
      </c>
      <c r="D532" s="0" t="s">
        <v>28</v>
      </c>
      <c r="E532" s="44" t="n">
        <v>43355</v>
      </c>
      <c r="F532" s="0" t="s">
        <v>102</v>
      </c>
      <c r="G532" s="0" t="n">
        <v>21356941</v>
      </c>
      <c r="H532" s="0" t="n">
        <v>720193</v>
      </c>
      <c r="I532" s="0" t="s">
        <v>34</v>
      </c>
      <c r="J532" s="0" t="s">
        <v>174</v>
      </c>
      <c r="K532" s="0" t="s">
        <v>145</v>
      </c>
      <c r="L532" s="0" t="n">
        <v>226360028</v>
      </c>
      <c r="M532" s="0" t="s">
        <v>1135</v>
      </c>
      <c r="N532" s="0" t="n">
        <v>104537816</v>
      </c>
      <c r="O532" s="0" t="n">
        <v>0</v>
      </c>
      <c r="P532" s="0" t="n">
        <v>0</v>
      </c>
      <c r="Q532" s="0" t="str">
        <f aca="false">IFERROR(VLOOKUP(B532,[2]'Cost Correction'!$D$2:$AJ$1627,33,0),"")</f>
        <v/>
      </c>
    </row>
    <row r="533" customFormat="false" ht="15" hidden="false" customHeight="false" outlineLevel="0" collapsed="false">
      <c r="A533" s="0" t="str">
        <f aca="false">E533&amp;L533&amp;Q533</f>
        <v>43354226360028</v>
      </c>
      <c r="B533" s="0" t="s">
        <v>1297</v>
      </c>
      <c r="C533" s="0" t="s">
        <v>1298</v>
      </c>
      <c r="D533" s="0" t="s">
        <v>28</v>
      </c>
      <c r="E533" s="44" t="n">
        <v>43354</v>
      </c>
      <c r="F533" s="0" t="s">
        <v>102</v>
      </c>
      <c r="G533" s="0" t="n">
        <v>21356941</v>
      </c>
      <c r="H533" s="0" t="n">
        <v>720193</v>
      </c>
      <c r="I533" s="0" t="s">
        <v>34</v>
      </c>
      <c r="J533" s="0" t="s">
        <v>174</v>
      </c>
      <c r="K533" s="0" t="s">
        <v>145</v>
      </c>
      <c r="L533" s="0" t="n">
        <v>226360028</v>
      </c>
      <c r="M533" s="0" t="s">
        <v>1135</v>
      </c>
      <c r="N533" s="0" t="n">
        <v>104537816</v>
      </c>
      <c r="O533" s="0" t="n">
        <v>0</v>
      </c>
      <c r="P533" s="0" t="n">
        <v>0</v>
      </c>
      <c r="Q533" s="0" t="str">
        <f aca="false">IFERROR(VLOOKUP(B533,[2]'Cost Correction'!$D$2:$AJ$1627,33,0),"")</f>
        <v/>
      </c>
    </row>
    <row r="534" customFormat="false" ht="15" hidden="false" customHeight="false" outlineLevel="0" collapsed="false">
      <c r="A534" s="0" t="str">
        <f aca="false">E534&amp;L534&amp;Q534</f>
        <v>43353226360028</v>
      </c>
      <c r="B534" s="0" t="s">
        <v>1299</v>
      </c>
      <c r="C534" s="0" t="s">
        <v>1300</v>
      </c>
      <c r="D534" s="0" t="s">
        <v>28</v>
      </c>
      <c r="E534" s="44" t="n">
        <v>43353</v>
      </c>
      <c r="F534" s="0" t="s">
        <v>102</v>
      </c>
      <c r="G534" s="0" t="n">
        <v>21356941</v>
      </c>
      <c r="H534" s="0" t="n">
        <v>720193</v>
      </c>
      <c r="I534" s="0" t="s">
        <v>34</v>
      </c>
      <c r="J534" s="0" t="s">
        <v>174</v>
      </c>
      <c r="K534" s="0" t="s">
        <v>145</v>
      </c>
      <c r="L534" s="0" t="n">
        <v>226360028</v>
      </c>
      <c r="M534" s="0" t="s">
        <v>1135</v>
      </c>
      <c r="N534" s="0" t="n">
        <v>104537816</v>
      </c>
      <c r="O534" s="0" t="n">
        <v>0</v>
      </c>
      <c r="P534" s="0" t="n">
        <v>0</v>
      </c>
      <c r="Q534" s="0" t="str">
        <f aca="false">IFERROR(VLOOKUP(B534,[2]'Cost Correction'!$D$2:$AJ$1627,33,0),"")</f>
        <v/>
      </c>
    </row>
    <row r="535" customFormat="false" ht="15" hidden="false" customHeight="false" outlineLevel="0" collapsed="false">
      <c r="A535" s="0" t="str">
        <f aca="false">E535&amp;L535&amp;Q535</f>
        <v>43352226360028</v>
      </c>
      <c r="B535" s="0" t="s">
        <v>1301</v>
      </c>
      <c r="C535" s="0" t="s">
        <v>1302</v>
      </c>
      <c r="D535" s="0" t="s">
        <v>28</v>
      </c>
      <c r="E535" s="44" t="n">
        <v>43352</v>
      </c>
      <c r="F535" s="0" t="s">
        <v>102</v>
      </c>
      <c r="G535" s="0" t="n">
        <v>21356941</v>
      </c>
      <c r="H535" s="0" t="n">
        <v>720193</v>
      </c>
      <c r="I535" s="0" t="s">
        <v>34</v>
      </c>
      <c r="J535" s="0" t="s">
        <v>174</v>
      </c>
      <c r="K535" s="0" t="s">
        <v>145</v>
      </c>
      <c r="L535" s="0" t="n">
        <v>226360028</v>
      </c>
      <c r="M535" s="0" t="s">
        <v>1135</v>
      </c>
      <c r="N535" s="0" t="n">
        <v>104537816</v>
      </c>
      <c r="O535" s="0" t="n">
        <v>0</v>
      </c>
      <c r="P535" s="0" t="n">
        <v>0</v>
      </c>
      <c r="Q535" s="0" t="str">
        <f aca="false">IFERROR(VLOOKUP(B535,[2]'Cost Correction'!$D$2:$AJ$1627,33,0),"")</f>
        <v/>
      </c>
    </row>
    <row r="536" customFormat="false" ht="15" hidden="false" customHeight="false" outlineLevel="0" collapsed="false">
      <c r="A536" s="0" t="str">
        <f aca="false">E536&amp;L536&amp;Q536</f>
        <v>43358226360040</v>
      </c>
      <c r="B536" s="0" t="s">
        <v>1303</v>
      </c>
      <c r="C536" s="0" t="s">
        <v>1304</v>
      </c>
      <c r="D536" s="0" t="s">
        <v>28</v>
      </c>
      <c r="E536" s="44" t="n">
        <v>43358</v>
      </c>
      <c r="F536" s="0" t="s">
        <v>102</v>
      </c>
      <c r="G536" s="0" t="n">
        <v>21356941</v>
      </c>
      <c r="H536" s="0" t="n">
        <v>720193</v>
      </c>
      <c r="I536" s="0" t="s">
        <v>34</v>
      </c>
      <c r="J536" s="0" t="s">
        <v>174</v>
      </c>
      <c r="K536" s="0" t="s">
        <v>146</v>
      </c>
      <c r="L536" s="0" t="n">
        <v>226360040</v>
      </c>
      <c r="M536" s="0" t="s">
        <v>1150</v>
      </c>
      <c r="N536" s="0" t="n">
        <v>104537132</v>
      </c>
      <c r="O536" s="0" t="n">
        <v>0</v>
      </c>
      <c r="P536" s="0" t="n">
        <v>0</v>
      </c>
      <c r="Q536" s="0" t="str">
        <f aca="false">IFERROR(VLOOKUP(B536,[2]'Cost Correction'!$D$2:$AJ$1627,33,0),"")</f>
        <v/>
      </c>
    </row>
    <row r="537" customFormat="false" ht="15" hidden="false" customHeight="false" outlineLevel="0" collapsed="false">
      <c r="A537" s="0" t="str">
        <f aca="false">E537&amp;L537&amp;Q537</f>
        <v>43357226360040</v>
      </c>
      <c r="B537" s="0" t="s">
        <v>1305</v>
      </c>
      <c r="C537" s="0" t="s">
        <v>1306</v>
      </c>
      <c r="D537" s="0" t="s">
        <v>28</v>
      </c>
      <c r="E537" s="44" t="n">
        <v>43357</v>
      </c>
      <c r="F537" s="0" t="s">
        <v>102</v>
      </c>
      <c r="G537" s="0" t="n">
        <v>21356941</v>
      </c>
      <c r="H537" s="0" t="n">
        <v>720193</v>
      </c>
      <c r="I537" s="0" t="s">
        <v>34</v>
      </c>
      <c r="J537" s="0" t="s">
        <v>174</v>
      </c>
      <c r="K537" s="0" t="s">
        <v>146</v>
      </c>
      <c r="L537" s="0" t="n">
        <v>226360040</v>
      </c>
      <c r="M537" s="0" t="s">
        <v>1150</v>
      </c>
      <c r="N537" s="0" t="n">
        <v>104537132</v>
      </c>
      <c r="O537" s="0" t="n">
        <v>0</v>
      </c>
      <c r="P537" s="0" t="n">
        <v>0</v>
      </c>
      <c r="Q537" s="0" t="str">
        <f aca="false">IFERROR(VLOOKUP(B537,[2]'Cost Correction'!$D$2:$AJ$1627,33,0),"")</f>
        <v/>
      </c>
    </row>
    <row r="538" customFormat="false" ht="15" hidden="false" customHeight="false" outlineLevel="0" collapsed="false">
      <c r="A538" s="0" t="str">
        <f aca="false">E538&amp;L538&amp;Q538</f>
        <v>43356226360040</v>
      </c>
      <c r="B538" s="0" t="s">
        <v>1307</v>
      </c>
      <c r="C538" s="0" t="s">
        <v>1308</v>
      </c>
      <c r="D538" s="0" t="s">
        <v>28</v>
      </c>
      <c r="E538" s="44" t="n">
        <v>43356</v>
      </c>
      <c r="F538" s="0" t="s">
        <v>102</v>
      </c>
      <c r="G538" s="0" t="n">
        <v>21356941</v>
      </c>
      <c r="H538" s="0" t="n">
        <v>720193</v>
      </c>
      <c r="I538" s="0" t="s">
        <v>34</v>
      </c>
      <c r="J538" s="0" t="s">
        <v>174</v>
      </c>
      <c r="K538" s="0" t="s">
        <v>146</v>
      </c>
      <c r="L538" s="0" t="n">
        <v>226360040</v>
      </c>
      <c r="M538" s="0" t="s">
        <v>1150</v>
      </c>
      <c r="N538" s="0" t="n">
        <v>104537132</v>
      </c>
      <c r="O538" s="0" t="n">
        <v>0</v>
      </c>
      <c r="P538" s="0" t="n">
        <v>0</v>
      </c>
      <c r="Q538" s="0" t="str">
        <f aca="false">IFERROR(VLOOKUP(B538,[2]'Cost Correction'!$D$2:$AJ$1627,33,0),"")</f>
        <v/>
      </c>
    </row>
    <row r="539" customFormat="false" ht="15" hidden="false" customHeight="false" outlineLevel="0" collapsed="false">
      <c r="A539" s="0" t="str">
        <f aca="false">E539&amp;L539&amp;Q539</f>
        <v>43355226360040</v>
      </c>
      <c r="B539" s="0" t="s">
        <v>1309</v>
      </c>
      <c r="C539" s="0" t="s">
        <v>1310</v>
      </c>
      <c r="D539" s="0" t="s">
        <v>28</v>
      </c>
      <c r="E539" s="44" t="n">
        <v>43355</v>
      </c>
      <c r="F539" s="0" t="s">
        <v>102</v>
      </c>
      <c r="G539" s="0" t="n">
        <v>21356941</v>
      </c>
      <c r="H539" s="0" t="n">
        <v>720193</v>
      </c>
      <c r="I539" s="0" t="s">
        <v>34</v>
      </c>
      <c r="J539" s="0" t="s">
        <v>174</v>
      </c>
      <c r="K539" s="0" t="s">
        <v>146</v>
      </c>
      <c r="L539" s="0" t="n">
        <v>226360040</v>
      </c>
      <c r="M539" s="0" t="s">
        <v>1150</v>
      </c>
      <c r="N539" s="0" t="n">
        <v>104537132</v>
      </c>
      <c r="O539" s="0" t="n">
        <v>0</v>
      </c>
      <c r="P539" s="0" t="n">
        <v>0</v>
      </c>
      <c r="Q539" s="0" t="str">
        <f aca="false">IFERROR(VLOOKUP(B539,[2]'Cost Correction'!$D$2:$AJ$1627,33,0),"")</f>
        <v/>
      </c>
    </row>
    <row r="540" customFormat="false" ht="15" hidden="false" customHeight="false" outlineLevel="0" collapsed="false">
      <c r="A540" s="0" t="str">
        <f aca="false">E540&amp;L540&amp;Q540</f>
        <v>43354226360040</v>
      </c>
      <c r="B540" s="0" t="s">
        <v>1311</v>
      </c>
      <c r="C540" s="0" t="s">
        <v>1312</v>
      </c>
      <c r="D540" s="0" t="s">
        <v>28</v>
      </c>
      <c r="E540" s="44" t="n">
        <v>43354</v>
      </c>
      <c r="F540" s="0" t="s">
        <v>102</v>
      </c>
      <c r="G540" s="0" t="n">
        <v>21356941</v>
      </c>
      <c r="H540" s="0" t="n">
        <v>720193</v>
      </c>
      <c r="I540" s="0" t="s">
        <v>34</v>
      </c>
      <c r="J540" s="0" t="s">
        <v>174</v>
      </c>
      <c r="K540" s="0" t="s">
        <v>146</v>
      </c>
      <c r="L540" s="0" t="n">
        <v>226360040</v>
      </c>
      <c r="M540" s="0" t="s">
        <v>1150</v>
      </c>
      <c r="N540" s="0" t="n">
        <v>104537132</v>
      </c>
      <c r="O540" s="0" t="n">
        <v>0</v>
      </c>
      <c r="P540" s="0" t="n">
        <v>0</v>
      </c>
      <c r="Q540" s="0" t="str">
        <f aca="false">IFERROR(VLOOKUP(B540,[2]'Cost Correction'!$D$2:$AJ$1627,33,0),"")</f>
        <v/>
      </c>
    </row>
    <row r="541" customFormat="false" ht="15" hidden="false" customHeight="false" outlineLevel="0" collapsed="false">
      <c r="A541" s="0" t="str">
        <f aca="false">E541&amp;L541&amp;Q541</f>
        <v>43353226360040</v>
      </c>
      <c r="B541" s="0" t="s">
        <v>1313</v>
      </c>
      <c r="C541" s="0" t="s">
        <v>1314</v>
      </c>
      <c r="D541" s="0" t="s">
        <v>28</v>
      </c>
      <c r="E541" s="44" t="n">
        <v>43353</v>
      </c>
      <c r="F541" s="0" t="s">
        <v>102</v>
      </c>
      <c r="G541" s="0" t="n">
        <v>21356941</v>
      </c>
      <c r="H541" s="0" t="n">
        <v>720193</v>
      </c>
      <c r="I541" s="0" t="s">
        <v>34</v>
      </c>
      <c r="J541" s="0" t="s">
        <v>174</v>
      </c>
      <c r="K541" s="0" t="s">
        <v>146</v>
      </c>
      <c r="L541" s="0" t="n">
        <v>226360040</v>
      </c>
      <c r="M541" s="0" t="s">
        <v>1150</v>
      </c>
      <c r="N541" s="0" t="n">
        <v>104537132</v>
      </c>
      <c r="O541" s="0" t="n">
        <v>0</v>
      </c>
      <c r="P541" s="0" t="n">
        <v>0</v>
      </c>
      <c r="Q541" s="0" t="str">
        <f aca="false">IFERROR(VLOOKUP(B541,[2]'Cost Correction'!$D$2:$AJ$1627,33,0),"")</f>
        <v/>
      </c>
    </row>
    <row r="542" customFormat="false" ht="15" hidden="false" customHeight="false" outlineLevel="0" collapsed="false">
      <c r="A542" s="0" t="str">
        <f aca="false">E542&amp;L542&amp;Q542</f>
        <v>43352226360040</v>
      </c>
      <c r="B542" s="0" t="s">
        <v>1315</v>
      </c>
      <c r="C542" s="0" t="s">
        <v>1316</v>
      </c>
      <c r="D542" s="0" t="s">
        <v>28</v>
      </c>
      <c r="E542" s="44" t="n">
        <v>43352</v>
      </c>
      <c r="F542" s="0" t="s">
        <v>102</v>
      </c>
      <c r="G542" s="0" t="n">
        <v>21356941</v>
      </c>
      <c r="H542" s="0" t="n">
        <v>720193</v>
      </c>
      <c r="I542" s="0" t="s">
        <v>34</v>
      </c>
      <c r="J542" s="0" t="s">
        <v>174</v>
      </c>
      <c r="K542" s="0" t="s">
        <v>146</v>
      </c>
      <c r="L542" s="0" t="n">
        <v>226360040</v>
      </c>
      <c r="M542" s="0" t="s">
        <v>1150</v>
      </c>
      <c r="N542" s="0" t="n">
        <v>104537132</v>
      </c>
      <c r="O542" s="0" t="n">
        <v>0</v>
      </c>
      <c r="P542" s="0" t="n">
        <v>0</v>
      </c>
      <c r="Q542" s="0" t="str">
        <f aca="false">IFERROR(VLOOKUP(B542,[2]'Cost Correction'!$D$2:$AJ$1627,33,0),"")</f>
        <v/>
      </c>
    </row>
    <row r="543" customFormat="false" ht="15" hidden="true" customHeight="false" outlineLevel="0" collapsed="false">
      <c r="A543" s="0" t="str">
        <f aca="false">E543&amp;L543&amp;Q543</f>
        <v>43358226359938104456278</v>
      </c>
      <c r="B543" s="0" t="s">
        <v>1317</v>
      </c>
      <c r="C543" s="0" t="s">
        <v>1318</v>
      </c>
      <c r="D543" s="0" t="s">
        <v>28</v>
      </c>
      <c r="E543" s="44" t="n">
        <v>43358</v>
      </c>
      <c r="F543" s="0" t="s">
        <v>102</v>
      </c>
      <c r="G543" s="0" t="n">
        <v>21356941</v>
      </c>
      <c r="H543" s="0" t="n">
        <v>720193</v>
      </c>
      <c r="I543" s="0" t="s">
        <v>34</v>
      </c>
      <c r="J543" s="0" t="s">
        <v>174</v>
      </c>
      <c r="K543" s="0" t="s">
        <v>147</v>
      </c>
      <c r="L543" s="0" t="n">
        <v>226359938</v>
      </c>
      <c r="M543" s="0" t="s">
        <v>1319</v>
      </c>
      <c r="N543" s="0" t="n">
        <v>104456278</v>
      </c>
      <c r="O543" s="0" t="n">
        <v>6229</v>
      </c>
      <c r="P543" s="0" t="n">
        <v>44.75</v>
      </c>
      <c r="Q543" s="0" t="n">
        <f aca="false">IFERROR(VLOOKUP(B543,[2]'Cost Correction'!$D$2:$AJ$1627,33,0),"")</f>
        <v>104456278</v>
      </c>
    </row>
    <row r="544" customFormat="false" ht="15" hidden="true" customHeight="false" outlineLevel="0" collapsed="false">
      <c r="A544" s="0" t="str">
        <f aca="false">E544&amp;L544&amp;Q544</f>
        <v>43357226359938104456278</v>
      </c>
      <c r="B544" s="0" t="s">
        <v>1320</v>
      </c>
      <c r="C544" s="0" t="s">
        <v>1321</v>
      </c>
      <c r="D544" s="0" t="s">
        <v>28</v>
      </c>
      <c r="E544" s="44" t="n">
        <v>43357</v>
      </c>
      <c r="F544" s="0" t="s">
        <v>102</v>
      </c>
      <c r="G544" s="0" t="n">
        <v>21356941</v>
      </c>
      <c r="H544" s="0" t="n">
        <v>720193</v>
      </c>
      <c r="I544" s="0" t="s">
        <v>34</v>
      </c>
      <c r="J544" s="0" t="s">
        <v>174</v>
      </c>
      <c r="K544" s="0" t="s">
        <v>147</v>
      </c>
      <c r="L544" s="0" t="n">
        <v>226359938</v>
      </c>
      <c r="M544" s="0" t="s">
        <v>1319</v>
      </c>
      <c r="N544" s="0" t="n">
        <v>104456278</v>
      </c>
      <c r="O544" s="0" t="n">
        <v>6430</v>
      </c>
      <c r="P544" s="0" t="n">
        <v>44.9</v>
      </c>
      <c r="Q544" s="0" t="n">
        <f aca="false">IFERROR(VLOOKUP(B544,[2]'Cost Correction'!$D$2:$AJ$1627,33,0),"")</f>
        <v>104456278</v>
      </c>
    </row>
    <row r="545" customFormat="false" ht="15" hidden="true" customHeight="false" outlineLevel="0" collapsed="false">
      <c r="A545" s="0" t="str">
        <f aca="false">E545&amp;L545&amp;Q545</f>
        <v>43356226359938104456278</v>
      </c>
      <c r="B545" s="0" t="s">
        <v>1322</v>
      </c>
      <c r="C545" s="0" t="s">
        <v>1323</v>
      </c>
      <c r="D545" s="0" t="s">
        <v>28</v>
      </c>
      <c r="E545" s="44" t="n">
        <v>43356</v>
      </c>
      <c r="F545" s="0" t="s">
        <v>102</v>
      </c>
      <c r="G545" s="0" t="n">
        <v>21356941</v>
      </c>
      <c r="H545" s="0" t="n">
        <v>720193</v>
      </c>
      <c r="I545" s="0" t="s">
        <v>34</v>
      </c>
      <c r="J545" s="0" t="s">
        <v>174</v>
      </c>
      <c r="K545" s="0" t="s">
        <v>147</v>
      </c>
      <c r="L545" s="0" t="n">
        <v>226359938</v>
      </c>
      <c r="M545" s="0" t="s">
        <v>1319</v>
      </c>
      <c r="N545" s="0" t="n">
        <v>104456278</v>
      </c>
      <c r="O545" s="0" t="n">
        <v>7296</v>
      </c>
      <c r="P545" s="0" t="n">
        <v>44.8</v>
      </c>
      <c r="Q545" s="0" t="n">
        <f aca="false">IFERROR(VLOOKUP(B545,[2]'Cost Correction'!$D$2:$AJ$1627,33,0),"")</f>
        <v>104456278</v>
      </c>
    </row>
    <row r="546" customFormat="false" ht="15" hidden="true" customHeight="false" outlineLevel="0" collapsed="false">
      <c r="A546" s="0" t="str">
        <f aca="false">E546&amp;L546&amp;Q546</f>
        <v>43355226359938104456278</v>
      </c>
      <c r="B546" s="0" t="s">
        <v>1324</v>
      </c>
      <c r="C546" s="0" t="s">
        <v>1325</v>
      </c>
      <c r="D546" s="0" t="s">
        <v>28</v>
      </c>
      <c r="E546" s="44" t="n">
        <v>43355</v>
      </c>
      <c r="F546" s="0" t="s">
        <v>102</v>
      </c>
      <c r="G546" s="0" t="n">
        <v>21356941</v>
      </c>
      <c r="H546" s="0" t="n">
        <v>720193</v>
      </c>
      <c r="I546" s="0" t="s">
        <v>34</v>
      </c>
      <c r="J546" s="0" t="s">
        <v>174</v>
      </c>
      <c r="K546" s="0" t="s">
        <v>147</v>
      </c>
      <c r="L546" s="0" t="n">
        <v>226359938</v>
      </c>
      <c r="M546" s="0" t="s">
        <v>1319</v>
      </c>
      <c r="N546" s="0" t="n">
        <v>104456278</v>
      </c>
      <c r="O546" s="0" t="n">
        <v>6981</v>
      </c>
      <c r="P546" s="0" t="n">
        <v>45.69</v>
      </c>
      <c r="Q546" s="0" t="n">
        <f aca="false">IFERROR(VLOOKUP(B546,[2]'Cost Correction'!$D$2:$AJ$1627,33,0),"")</f>
        <v>104456278</v>
      </c>
    </row>
    <row r="547" customFormat="false" ht="15" hidden="true" customHeight="false" outlineLevel="0" collapsed="false">
      <c r="A547" s="0" t="str">
        <f aca="false">E547&amp;L547&amp;Q547</f>
        <v>43354226359938104456278</v>
      </c>
      <c r="B547" s="0" t="s">
        <v>1326</v>
      </c>
      <c r="C547" s="0" t="s">
        <v>1327</v>
      </c>
      <c r="D547" s="0" t="s">
        <v>28</v>
      </c>
      <c r="E547" s="44" t="n">
        <v>43354</v>
      </c>
      <c r="F547" s="0" t="s">
        <v>102</v>
      </c>
      <c r="G547" s="0" t="n">
        <v>21356941</v>
      </c>
      <c r="H547" s="0" t="n">
        <v>720193</v>
      </c>
      <c r="I547" s="0" t="s">
        <v>34</v>
      </c>
      <c r="J547" s="0" t="s">
        <v>174</v>
      </c>
      <c r="K547" s="0" t="s">
        <v>147</v>
      </c>
      <c r="L547" s="0" t="n">
        <v>226359938</v>
      </c>
      <c r="M547" s="0" t="s">
        <v>1319</v>
      </c>
      <c r="N547" s="0" t="n">
        <v>104456278</v>
      </c>
      <c r="O547" s="0" t="n">
        <v>7296</v>
      </c>
      <c r="P547" s="0" t="n">
        <v>41.31</v>
      </c>
      <c r="Q547" s="0" t="n">
        <f aca="false">IFERROR(VLOOKUP(B547,[2]'Cost Correction'!$D$2:$AJ$1627,33,0),"")</f>
        <v>104456278</v>
      </c>
    </row>
    <row r="548" customFormat="false" ht="15" hidden="true" customHeight="false" outlineLevel="0" collapsed="false">
      <c r="A548" s="0" t="str">
        <f aca="false">E548&amp;L548&amp;Q548</f>
        <v>43353226359938104456278</v>
      </c>
      <c r="B548" s="0" t="s">
        <v>1328</v>
      </c>
      <c r="C548" s="0" t="s">
        <v>1329</v>
      </c>
      <c r="D548" s="0" t="s">
        <v>28</v>
      </c>
      <c r="E548" s="44" t="n">
        <v>43353</v>
      </c>
      <c r="F548" s="0" t="s">
        <v>102</v>
      </c>
      <c r="G548" s="0" t="n">
        <v>21356941</v>
      </c>
      <c r="H548" s="0" t="n">
        <v>720193</v>
      </c>
      <c r="I548" s="0" t="s">
        <v>34</v>
      </c>
      <c r="J548" s="0" t="s">
        <v>174</v>
      </c>
      <c r="K548" s="0" t="s">
        <v>147</v>
      </c>
      <c r="L548" s="0" t="n">
        <v>226359938</v>
      </c>
      <c r="M548" s="0" t="s">
        <v>1319</v>
      </c>
      <c r="N548" s="0" t="n">
        <v>104456278</v>
      </c>
      <c r="O548" s="0" t="n">
        <v>7849</v>
      </c>
      <c r="P548" s="0" t="n">
        <v>42.98</v>
      </c>
      <c r="Q548" s="0" t="n">
        <f aca="false">IFERROR(VLOOKUP(B548,[2]'Cost Correction'!$D$2:$AJ$1627,33,0),"")</f>
        <v>104456278</v>
      </c>
    </row>
    <row r="549" customFormat="false" ht="15" hidden="true" customHeight="false" outlineLevel="0" collapsed="false">
      <c r="A549" s="0" t="str">
        <f aca="false">E549&amp;L549&amp;Q549</f>
        <v>43352226359938104456278</v>
      </c>
      <c r="B549" s="0" t="s">
        <v>1330</v>
      </c>
      <c r="C549" s="0" t="s">
        <v>1331</v>
      </c>
      <c r="D549" s="0" t="s">
        <v>28</v>
      </c>
      <c r="E549" s="44" t="n">
        <v>43352</v>
      </c>
      <c r="F549" s="0" t="s">
        <v>102</v>
      </c>
      <c r="G549" s="0" t="n">
        <v>21356941</v>
      </c>
      <c r="H549" s="0" t="n">
        <v>720193</v>
      </c>
      <c r="I549" s="0" t="s">
        <v>34</v>
      </c>
      <c r="J549" s="0" t="s">
        <v>174</v>
      </c>
      <c r="K549" s="0" t="s">
        <v>147</v>
      </c>
      <c r="L549" s="0" t="n">
        <v>226359938</v>
      </c>
      <c r="M549" s="0" t="s">
        <v>1319</v>
      </c>
      <c r="N549" s="0" t="n">
        <v>104456278</v>
      </c>
      <c r="O549" s="0" t="n">
        <v>8495</v>
      </c>
      <c r="P549" s="0" t="n">
        <v>47.42</v>
      </c>
      <c r="Q549" s="0" t="n">
        <f aca="false">IFERROR(VLOOKUP(B549,[2]'Cost Correction'!$D$2:$AJ$1627,33,0),"")</f>
        <v>104456278</v>
      </c>
    </row>
    <row r="550" customFormat="false" ht="15" hidden="false" customHeight="false" outlineLevel="0" collapsed="false">
      <c r="A550" s="0" t="str">
        <f aca="false">E550&amp;L550&amp;Q550</f>
        <v>43358226359935</v>
      </c>
      <c r="B550" s="0" t="s">
        <v>1332</v>
      </c>
      <c r="C550" s="0" t="s">
        <v>1333</v>
      </c>
      <c r="D550" s="0" t="s">
        <v>28</v>
      </c>
      <c r="E550" s="44" t="n">
        <v>43358</v>
      </c>
      <c r="F550" s="0" t="s">
        <v>102</v>
      </c>
      <c r="G550" s="0" t="n">
        <v>21356941</v>
      </c>
      <c r="H550" s="0" t="n">
        <v>720193</v>
      </c>
      <c r="I550" s="0" t="s">
        <v>34</v>
      </c>
      <c r="J550" s="0" t="s">
        <v>174</v>
      </c>
      <c r="K550" s="0" t="s">
        <v>148</v>
      </c>
      <c r="L550" s="0" t="n">
        <v>226359935</v>
      </c>
      <c r="M550" s="0" t="s">
        <v>1334</v>
      </c>
      <c r="N550" s="0" t="n">
        <v>104458003</v>
      </c>
      <c r="O550" s="0" t="n">
        <v>1</v>
      </c>
      <c r="P550" s="0" t="n">
        <v>0</v>
      </c>
      <c r="Q550" s="0" t="str">
        <f aca="false">IFERROR(VLOOKUP(B550,[2]'Cost Correction'!$D$2:$AJ$1627,33,0),"")</f>
        <v/>
      </c>
    </row>
    <row r="551" customFormat="false" ht="15" hidden="false" customHeight="false" outlineLevel="0" collapsed="false">
      <c r="A551" s="0" t="str">
        <f aca="false">E551&amp;L551&amp;Q551</f>
        <v>43357226359935</v>
      </c>
      <c r="B551" s="0" t="s">
        <v>1335</v>
      </c>
      <c r="C551" s="0" t="s">
        <v>1336</v>
      </c>
      <c r="D551" s="0" t="s">
        <v>28</v>
      </c>
      <c r="E551" s="44" t="n">
        <v>43357</v>
      </c>
      <c r="F551" s="0" t="s">
        <v>102</v>
      </c>
      <c r="G551" s="0" t="n">
        <v>21356941</v>
      </c>
      <c r="H551" s="0" t="n">
        <v>720193</v>
      </c>
      <c r="I551" s="0" t="s">
        <v>34</v>
      </c>
      <c r="J551" s="0" t="s">
        <v>174</v>
      </c>
      <c r="K551" s="0" t="s">
        <v>148</v>
      </c>
      <c r="L551" s="0" t="n">
        <v>226359935</v>
      </c>
      <c r="M551" s="0" t="s">
        <v>1334</v>
      </c>
      <c r="N551" s="0" t="n">
        <v>104458003</v>
      </c>
      <c r="O551" s="0" t="n">
        <v>1</v>
      </c>
      <c r="P551" s="0" t="n">
        <v>0</v>
      </c>
      <c r="Q551" s="0" t="str">
        <f aca="false">IFERROR(VLOOKUP(B551,[2]'Cost Correction'!$D$2:$AJ$1627,33,0),"")</f>
        <v/>
      </c>
    </row>
    <row r="552" customFormat="false" ht="15" hidden="false" customHeight="false" outlineLevel="0" collapsed="false">
      <c r="A552" s="0" t="str">
        <f aca="false">E552&amp;L552&amp;Q552</f>
        <v>43356226359935</v>
      </c>
      <c r="B552" s="0" t="s">
        <v>1337</v>
      </c>
      <c r="C552" s="0" t="s">
        <v>1338</v>
      </c>
      <c r="D552" s="0" t="s">
        <v>28</v>
      </c>
      <c r="E552" s="44" t="n">
        <v>43356</v>
      </c>
      <c r="F552" s="0" t="s">
        <v>102</v>
      </c>
      <c r="G552" s="0" t="n">
        <v>21356941</v>
      </c>
      <c r="H552" s="0" t="n">
        <v>720193</v>
      </c>
      <c r="I552" s="0" t="s">
        <v>34</v>
      </c>
      <c r="J552" s="0" t="s">
        <v>174</v>
      </c>
      <c r="K552" s="0" t="s">
        <v>148</v>
      </c>
      <c r="L552" s="0" t="n">
        <v>226359935</v>
      </c>
      <c r="M552" s="0" t="s">
        <v>1334</v>
      </c>
      <c r="N552" s="0" t="n">
        <v>104458003</v>
      </c>
      <c r="O552" s="0" t="n">
        <v>1</v>
      </c>
      <c r="P552" s="0" t="n">
        <v>0</v>
      </c>
      <c r="Q552" s="0" t="str">
        <f aca="false">IFERROR(VLOOKUP(B552,[2]'Cost Correction'!$D$2:$AJ$1627,33,0),"")</f>
        <v/>
      </c>
    </row>
    <row r="553" customFormat="false" ht="15" hidden="false" customHeight="false" outlineLevel="0" collapsed="false">
      <c r="A553" s="0" t="str">
        <f aca="false">E553&amp;L553&amp;Q553</f>
        <v>43355226359935</v>
      </c>
      <c r="B553" s="0" t="s">
        <v>1339</v>
      </c>
      <c r="C553" s="0" t="s">
        <v>1340</v>
      </c>
      <c r="D553" s="0" t="s">
        <v>28</v>
      </c>
      <c r="E553" s="44" t="n">
        <v>43355</v>
      </c>
      <c r="F553" s="0" t="s">
        <v>102</v>
      </c>
      <c r="G553" s="0" t="n">
        <v>21356941</v>
      </c>
      <c r="H553" s="0" t="n">
        <v>720193</v>
      </c>
      <c r="I553" s="0" t="s">
        <v>34</v>
      </c>
      <c r="J553" s="0" t="s">
        <v>174</v>
      </c>
      <c r="K553" s="0" t="s">
        <v>148</v>
      </c>
      <c r="L553" s="0" t="n">
        <v>226359935</v>
      </c>
      <c r="M553" s="0" t="s">
        <v>1334</v>
      </c>
      <c r="N553" s="0" t="n">
        <v>104458003</v>
      </c>
      <c r="O553" s="0" t="n">
        <v>0</v>
      </c>
      <c r="P553" s="0" t="n">
        <v>0</v>
      </c>
      <c r="Q553" s="0" t="str">
        <f aca="false">IFERROR(VLOOKUP(B553,[2]'Cost Correction'!$D$2:$AJ$1627,33,0),"")</f>
        <v/>
      </c>
    </row>
    <row r="554" customFormat="false" ht="15" hidden="false" customHeight="false" outlineLevel="0" collapsed="false">
      <c r="A554" s="0" t="str">
        <f aca="false">E554&amp;L554&amp;Q554</f>
        <v>43354226359935</v>
      </c>
      <c r="B554" s="0" t="s">
        <v>1341</v>
      </c>
      <c r="C554" s="0" t="s">
        <v>1342</v>
      </c>
      <c r="D554" s="0" t="s">
        <v>28</v>
      </c>
      <c r="E554" s="44" t="n">
        <v>43354</v>
      </c>
      <c r="F554" s="0" t="s">
        <v>102</v>
      </c>
      <c r="G554" s="0" t="n">
        <v>21356941</v>
      </c>
      <c r="H554" s="0" t="n">
        <v>720193</v>
      </c>
      <c r="I554" s="0" t="s">
        <v>34</v>
      </c>
      <c r="J554" s="0" t="s">
        <v>174</v>
      </c>
      <c r="K554" s="0" t="s">
        <v>148</v>
      </c>
      <c r="L554" s="0" t="n">
        <v>226359935</v>
      </c>
      <c r="M554" s="0" t="s">
        <v>1334</v>
      </c>
      <c r="N554" s="0" t="n">
        <v>104458003</v>
      </c>
      <c r="O554" s="0" t="n">
        <v>6</v>
      </c>
      <c r="P554" s="0" t="n">
        <v>0.03</v>
      </c>
      <c r="Q554" s="0" t="str">
        <f aca="false">IFERROR(VLOOKUP(B554,[2]'Cost Correction'!$D$2:$AJ$1627,33,0),"")</f>
        <v/>
      </c>
    </row>
    <row r="555" customFormat="false" ht="15" hidden="false" customHeight="false" outlineLevel="0" collapsed="false">
      <c r="A555" s="0" t="str">
        <f aca="false">E555&amp;L555&amp;Q555</f>
        <v>43353226359935</v>
      </c>
      <c r="B555" s="0" t="s">
        <v>1343</v>
      </c>
      <c r="C555" s="0" t="s">
        <v>1344</v>
      </c>
      <c r="D555" s="0" t="s">
        <v>28</v>
      </c>
      <c r="E555" s="44" t="n">
        <v>43353</v>
      </c>
      <c r="F555" s="0" t="s">
        <v>102</v>
      </c>
      <c r="G555" s="0" t="n">
        <v>21356941</v>
      </c>
      <c r="H555" s="0" t="n">
        <v>720193</v>
      </c>
      <c r="I555" s="0" t="s">
        <v>34</v>
      </c>
      <c r="J555" s="0" t="s">
        <v>174</v>
      </c>
      <c r="K555" s="0" t="s">
        <v>148</v>
      </c>
      <c r="L555" s="0" t="n">
        <v>226359935</v>
      </c>
      <c r="M555" s="0" t="s">
        <v>1334</v>
      </c>
      <c r="N555" s="0" t="n">
        <v>104458003</v>
      </c>
      <c r="O555" s="0" t="n">
        <v>5</v>
      </c>
      <c r="P555" s="0" t="n">
        <v>0.05</v>
      </c>
      <c r="Q555" s="0" t="str">
        <f aca="false">IFERROR(VLOOKUP(B555,[2]'Cost Correction'!$D$2:$AJ$1627,33,0),"")</f>
        <v/>
      </c>
    </row>
    <row r="556" customFormat="false" ht="15" hidden="false" customHeight="false" outlineLevel="0" collapsed="false">
      <c r="A556" s="0" t="str">
        <f aca="false">E556&amp;L556&amp;Q556</f>
        <v>43352226359935</v>
      </c>
      <c r="B556" s="0" t="s">
        <v>1345</v>
      </c>
      <c r="C556" s="0" t="s">
        <v>1346</v>
      </c>
      <c r="D556" s="0" t="s">
        <v>28</v>
      </c>
      <c r="E556" s="44" t="n">
        <v>43352</v>
      </c>
      <c r="F556" s="0" t="s">
        <v>102</v>
      </c>
      <c r="G556" s="0" t="n">
        <v>21356941</v>
      </c>
      <c r="H556" s="0" t="n">
        <v>720193</v>
      </c>
      <c r="I556" s="0" t="s">
        <v>34</v>
      </c>
      <c r="J556" s="0" t="s">
        <v>174</v>
      </c>
      <c r="K556" s="0" t="s">
        <v>148</v>
      </c>
      <c r="L556" s="0" t="n">
        <v>226359935</v>
      </c>
      <c r="M556" s="0" t="s">
        <v>1334</v>
      </c>
      <c r="N556" s="0" t="n">
        <v>104458003</v>
      </c>
      <c r="O556" s="0" t="n">
        <v>8</v>
      </c>
      <c r="P556" s="0" t="n">
        <v>0.04</v>
      </c>
      <c r="Q556" s="0" t="str">
        <f aca="false">IFERROR(VLOOKUP(B556,[2]'Cost Correction'!$D$2:$AJ$1627,33,0),"")</f>
        <v/>
      </c>
    </row>
    <row r="557" customFormat="false" ht="15" hidden="false" customHeight="false" outlineLevel="0" collapsed="false">
      <c r="A557" s="0" t="str">
        <f aca="false">E557&amp;L557&amp;Q557</f>
        <v>43358226359941</v>
      </c>
      <c r="B557" s="0" t="s">
        <v>1347</v>
      </c>
      <c r="C557" s="0" t="s">
        <v>1348</v>
      </c>
      <c r="D557" s="0" t="s">
        <v>28</v>
      </c>
      <c r="E557" s="44" t="n">
        <v>43358</v>
      </c>
      <c r="F557" s="0" t="s">
        <v>102</v>
      </c>
      <c r="G557" s="0" t="n">
        <v>21356941</v>
      </c>
      <c r="H557" s="0" t="n">
        <v>720193</v>
      </c>
      <c r="I557" s="0" t="s">
        <v>34</v>
      </c>
      <c r="J557" s="0" t="s">
        <v>174</v>
      </c>
      <c r="K557" s="0" t="s">
        <v>149</v>
      </c>
      <c r="L557" s="0" t="n">
        <v>226359941</v>
      </c>
      <c r="M557" s="0" t="s">
        <v>1349</v>
      </c>
      <c r="N557" s="0" t="n">
        <v>104455906</v>
      </c>
      <c r="O557" s="0" t="n">
        <v>0</v>
      </c>
      <c r="P557" s="0" t="n">
        <v>0</v>
      </c>
      <c r="Q557" s="0" t="str">
        <f aca="false">IFERROR(VLOOKUP(B557,[2]'Cost Correction'!$D$2:$AJ$1627,33,0),"")</f>
        <v/>
      </c>
    </row>
    <row r="558" customFormat="false" ht="15" hidden="false" customHeight="false" outlineLevel="0" collapsed="false">
      <c r="A558" s="0" t="str">
        <f aca="false">E558&amp;L558&amp;Q558</f>
        <v>43357226359941</v>
      </c>
      <c r="B558" s="0" t="s">
        <v>1350</v>
      </c>
      <c r="C558" s="0" t="s">
        <v>1351</v>
      </c>
      <c r="D558" s="0" t="s">
        <v>28</v>
      </c>
      <c r="E558" s="44" t="n">
        <v>43357</v>
      </c>
      <c r="F558" s="0" t="s">
        <v>102</v>
      </c>
      <c r="G558" s="0" t="n">
        <v>21356941</v>
      </c>
      <c r="H558" s="0" t="n">
        <v>720193</v>
      </c>
      <c r="I558" s="0" t="s">
        <v>34</v>
      </c>
      <c r="J558" s="0" t="s">
        <v>174</v>
      </c>
      <c r="K558" s="0" t="s">
        <v>149</v>
      </c>
      <c r="L558" s="0" t="n">
        <v>226359941</v>
      </c>
      <c r="M558" s="0" t="s">
        <v>1349</v>
      </c>
      <c r="N558" s="0" t="n">
        <v>104455906</v>
      </c>
      <c r="O558" s="0" t="n">
        <v>0</v>
      </c>
      <c r="P558" s="0" t="n">
        <v>0</v>
      </c>
      <c r="Q558" s="0" t="str">
        <f aca="false">IFERROR(VLOOKUP(B558,[2]'Cost Correction'!$D$2:$AJ$1627,33,0),"")</f>
        <v/>
      </c>
    </row>
    <row r="559" customFormat="false" ht="15" hidden="false" customHeight="false" outlineLevel="0" collapsed="false">
      <c r="A559" s="0" t="str">
        <f aca="false">E559&amp;L559&amp;Q559</f>
        <v>43356226359941</v>
      </c>
      <c r="B559" s="0" t="s">
        <v>1352</v>
      </c>
      <c r="C559" s="0" t="s">
        <v>1353</v>
      </c>
      <c r="D559" s="0" t="s">
        <v>28</v>
      </c>
      <c r="E559" s="44" t="n">
        <v>43356</v>
      </c>
      <c r="F559" s="0" t="s">
        <v>102</v>
      </c>
      <c r="G559" s="0" t="n">
        <v>21356941</v>
      </c>
      <c r="H559" s="0" t="n">
        <v>720193</v>
      </c>
      <c r="I559" s="0" t="s">
        <v>34</v>
      </c>
      <c r="J559" s="0" t="s">
        <v>174</v>
      </c>
      <c r="K559" s="0" t="s">
        <v>149</v>
      </c>
      <c r="L559" s="0" t="n">
        <v>226359941</v>
      </c>
      <c r="M559" s="0" t="s">
        <v>1349</v>
      </c>
      <c r="N559" s="0" t="n">
        <v>104455906</v>
      </c>
      <c r="O559" s="0" t="n">
        <v>1</v>
      </c>
      <c r="P559" s="0" t="n">
        <v>0</v>
      </c>
      <c r="Q559" s="0" t="str">
        <f aca="false">IFERROR(VLOOKUP(B559,[2]'Cost Correction'!$D$2:$AJ$1627,33,0),"")</f>
        <v/>
      </c>
    </row>
    <row r="560" customFormat="false" ht="15" hidden="false" customHeight="false" outlineLevel="0" collapsed="false">
      <c r="A560" s="0" t="str">
        <f aca="false">E560&amp;L560&amp;Q560</f>
        <v>43355226359941</v>
      </c>
      <c r="B560" s="0" t="s">
        <v>1354</v>
      </c>
      <c r="C560" s="0" t="s">
        <v>1355</v>
      </c>
      <c r="D560" s="0" t="s">
        <v>28</v>
      </c>
      <c r="E560" s="44" t="n">
        <v>43355</v>
      </c>
      <c r="F560" s="0" t="s">
        <v>102</v>
      </c>
      <c r="G560" s="0" t="n">
        <v>21356941</v>
      </c>
      <c r="H560" s="0" t="n">
        <v>720193</v>
      </c>
      <c r="I560" s="0" t="s">
        <v>34</v>
      </c>
      <c r="J560" s="0" t="s">
        <v>174</v>
      </c>
      <c r="K560" s="0" t="s">
        <v>149</v>
      </c>
      <c r="L560" s="0" t="n">
        <v>226359941</v>
      </c>
      <c r="M560" s="0" t="s">
        <v>1349</v>
      </c>
      <c r="N560" s="0" t="n">
        <v>104455906</v>
      </c>
      <c r="O560" s="0" t="n">
        <v>1</v>
      </c>
      <c r="P560" s="0" t="n">
        <v>0</v>
      </c>
      <c r="Q560" s="0" t="str">
        <f aca="false">IFERROR(VLOOKUP(B560,[2]'Cost Correction'!$D$2:$AJ$1627,33,0),"")</f>
        <v/>
      </c>
    </row>
    <row r="561" customFormat="false" ht="15" hidden="false" customHeight="false" outlineLevel="0" collapsed="false">
      <c r="A561" s="0" t="str">
        <f aca="false">E561&amp;L561&amp;Q561</f>
        <v>43354226359941</v>
      </c>
      <c r="B561" s="0" t="s">
        <v>1356</v>
      </c>
      <c r="C561" s="0" t="s">
        <v>1357</v>
      </c>
      <c r="D561" s="0" t="s">
        <v>28</v>
      </c>
      <c r="E561" s="44" t="n">
        <v>43354</v>
      </c>
      <c r="F561" s="0" t="s">
        <v>102</v>
      </c>
      <c r="G561" s="0" t="n">
        <v>21356941</v>
      </c>
      <c r="H561" s="0" t="n">
        <v>720193</v>
      </c>
      <c r="I561" s="0" t="s">
        <v>34</v>
      </c>
      <c r="J561" s="0" t="s">
        <v>174</v>
      </c>
      <c r="K561" s="0" t="s">
        <v>149</v>
      </c>
      <c r="L561" s="0" t="n">
        <v>226359941</v>
      </c>
      <c r="M561" s="0" t="s">
        <v>1349</v>
      </c>
      <c r="N561" s="0" t="n">
        <v>104455906</v>
      </c>
      <c r="O561" s="0" t="n">
        <v>7</v>
      </c>
      <c r="P561" s="0" t="n">
        <v>0.05</v>
      </c>
      <c r="Q561" s="0" t="str">
        <f aca="false">IFERROR(VLOOKUP(B561,[2]'Cost Correction'!$D$2:$AJ$1627,33,0),"")</f>
        <v/>
      </c>
    </row>
    <row r="562" customFormat="false" ht="15" hidden="false" customHeight="false" outlineLevel="0" collapsed="false">
      <c r="A562" s="0" t="str">
        <f aca="false">E562&amp;L562&amp;Q562</f>
        <v>43353226359941</v>
      </c>
      <c r="B562" s="0" t="s">
        <v>1358</v>
      </c>
      <c r="C562" s="0" t="s">
        <v>1359</v>
      </c>
      <c r="D562" s="0" t="s">
        <v>28</v>
      </c>
      <c r="E562" s="44" t="n">
        <v>43353</v>
      </c>
      <c r="F562" s="0" t="s">
        <v>102</v>
      </c>
      <c r="G562" s="0" t="n">
        <v>21356941</v>
      </c>
      <c r="H562" s="0" t="n">
        <v>720193</v>
      </c>
      <c r="I562" s="0" t="s">
        <v>34</v>
      </c>
      <c r="J562" s="0" t="s">
        <v>174</v>
      </c>
      <c r="K562" s="0" t="s">
        <v>149</v>
      </c>
      <c r="L562" s="0" t="n">
        <v>226359941</v>
      </c>
      <c r="M562" s="0" t="s">
        <v>1349</v>
      </c>
      <c r="N562" s="0" t="n">
        <v>104455906</v>
      </c>
      <c r="O562" s="0" t="n">
        <v>32</v>
      </c>
      <c r="P562" s="0" t="n">
        <v>0.27</v>
      </c>
      <c r="Q562" s="0" t="str">
        <f aca="false">IFERROR(VLOOKUP(B562,[2]'Cost Correction'!$D$2:$AJ$1627,33,0),"")</f>
        <v/>
      </c>
    </row>
    <row r="563" customFormat="false" ht="15" hidden="true" customHeight="false" outlineLevel="0" collapsed="false">
      <c r="A563" s="0" t="str">
        <f aca="false">E563&amp;L563&amp;Q563</f>
        <v>43352226359941104455906</v>
      </c>
      <c r="B563" s="0" t="s">
        <v>1360</v>
      </c>
      <c r="C563" s="0" t="s">
        <v>1361</v>
      </c>
      <c r="D563" s="0" t="s">
        <v>28</v>
      </c>
      <c r="E563" s="44" t="n">
        <v>43352</v>
      </c>
      <c r="F563" s="0" t="s">
        <v>102</v>
      </c>
      <c r="G563" s="0" t="n">
        <v>21356941</v>
      </c>
      <c r="H563" s="0" t="n">
        <v>720193</v>
      </c>
      <c r="I563" s="0" t="s">
        <v>34</v>
      </c>
      <c r="J563" s="0" t="s">
        <v>174</v>
      </c>
      <c r="K563" s="0" t="s">
        <v>149</v>
      </c>
      <c r="L563" s="0" t="n">
        <v>226359941</v>
      </c>
      <c r="M563" s="0" t="s">
        <v>1349</v>
      </c>
      <c r="N563" s="0" t="n">
        <v>104455906</v>
      </c>
      <c r="O563" s="0" t="n">
        <v>39</v>
      </c>
      <c r="P563" s="0" t="n">
        <v>0.31</v>
      </c>
      <c r="Q563" s="0" t="n">
        <f aca="false">IFERROR(VLOOKUP(B563,[2]'Cost Correction'!$D$2:$AJ$1627,33,0),"")</f>
        <v>104455906</v>
      </c>
    </row>
    <row r="564" customFormat="false" ht="15" hidden="true" customHeight="false" outlineLevel="0" collapsed="false">
      <c r="A564" s="0" t="str">
        <f aca="false">E564&amp;L564&amp;Q564</f>
        <v>43358226360001104456278</v>
      </c>
      <c r="B564" s="0" t="s">
        <v>1362</v>
      </c>
      <c r="C564" s="0" t="s">
        <v>1363</v>
      </c>
      <c r="D564" s="0" t="s">
        <v>28</v>
      </c>
      <c r="E564" s="44" t="n">
        <v>43358</v>
      </c>
      <c r="F564" s="0" t="s">
        <v>102</v>
      </c>
      <c r="G564" s="0" t="n">
        <v>21356941</v>
      </c>
      <c r="H564" s="0" t="n">
        <v>720193</v>
      </c>
      <c r="I564" s="0" t="s">
        <v>34</v>
      </c>
      <c r="J564" s="0" t="s">
        <v>174</v>
      </c>
      <c r="K564" s="0" t="s">
        <v>150</v>
      </c>
      <c r="L564" s="0" t="n">
        <v>226360001</v>
      </c>
      <c r="M564" s="0" t="s">
        <v>1319</v>
      </c>
      <c r="N564" s="0" t="n">
        <v>104456278</v>
      </c>
      <c r="O564" s="0" t="n">
        <v>6888</v>
      </c>
      <c r="P564" s="0" t="n">
        <v>45.47</v>
      </c>
      <c r="Q564" s="0" t="n">
        <f aca="false">IFERROR(VLOOKUP(B564,[2]'Cost Correction'!$D$2:$AJ$1627,33,0),"")</f>
        <v>104456278</v>
      </c>
    </row>
    <row r="565" customFormat="false" ht="15" hidden="true" customHeight="false" outlineLevel="0" collapsed="false">
      <c r="A565" s="0" t="str">
        <f aca="false">E565&amp;L565&amp;Q565</f>
        <v>43357226360001104456278</v>
      </c>
      <c r="B565" s="0" t="s">
        <v>1364</v>
      </c>
      <c r="C565" s="0" t="s">
        <v>1365</v>
      </c>
      <c r="D565" s="0" t="s">
        <v>28</v>
      </c>
      <c r="E565" s="44" t="n">
        <v>43357</v>
      </c>
      <c r="F565" s="0" t="s">
        <v>102</v>
      </c>
      <c r="G565" s="0" t="n">
        <v>21356941</v>
      </c>
      <c r="H565" s="0" t="n">
        <v>720193</v>
      </c>
      <c r="I565" s="0" t="s">
        <v>34</v>
      </c>
      <c r="J565" s="0" t="s">
        <v>174</v>
      </c>
      <c r="K565" s="0" t="s">
        <v>150</v>
      </c>
      <c r="L565" s="0" t="n">
        <v>226360001</v>
      </c>
      <c r="M565" s="0" t="s">
        <v>1319</v>
      </c>
      <c r="N565" s="0" t="n">
        <v>104456278</v>
      </c>
      <c r="O565" s="0" t="n">
        <v>7004</v>
      </c>
      <c r="P565" s="0" t="n">
        <v>45.61</v>
      </c>
      <c r="Q565" s="0" t="n">
        <f aca="false">IFERROR(VLOOKUP(B565,[2]'Cost Correction'!$D$2:$AJ$1627,33,0),"")</f>
        <v>104456278</v>
      </c>
    </row>
    <row r="566" customFormat="false" ht="15" hidden="true" customHeight="false" outlineLevel="0" collapsed="false">
      <c r="A566" s="0" t="str">
        <f aca="false">E566&amp;L566&amp;Q566</f>
        <v>43356226360001104456278</v>
      </c>
      <c r="B566" s="0" t="s">
        <v>1366</v>
      </c>
      <c r="C566" s="0" t="s">
        <v>1367</v>
      </c>
      <c r="D566" s="0" t="s">
        <v>28</v>
      </c>
      <c r="E566" s="44" t="n">
        <v>43356</v>
      </c>
      <c r="F566" s="0" t="s">
        <v>102</v>
      </c>
      <c r="G566" s="0" t="n">
        <v>21356941</v>
      </c>
      <c r="H566" s="0" t="n">
        <v>720193</v>
      </c>
      <c r="I566" s="0" t="s">
        <v>34</v>
      </c>
      <c r="J566" s="0" t="s">
        <v>174</v>
      </c>
      <c r="K566" s="0" t="s">
        <v>150</v>
      </c>
      <c r="L566" s="0" t="n">
        <v>226360001</v>
      </c>
      <c r="M566" s="0" t="s">
        <v>1319</v>
      </c>
      <c r="N566" s="0" t="n">
        <v>104456278</v>
      </c>
      <c r="O566" s="0" t="n">
        <v>7214</v>
      </c>
      <c r="P566" s="0" t="n">
        <v>45.08</v>
      </c>
      <c r="Q566" s="0" t="n">
        <f aca="false">IFERROR(VLOOKUP(B566,[2]'Cost Correction'!$D$2:$AJ$1627,33,0),"")</f>
        <v>104456278</v>
      </c>
    </row>
    <row r="567" customFormat="false" ht="15" hidden="true" customHeight="false" outlineLevel="0" collapsed="false">
      <c r="A567" s="0" t="str">
        <f aca="false">E567&amp;L567&amp;Q567</f>
        <v>43355226360001104456278</v>
      </c>
      <c r="B567" s="0" t="s">
        <v>1368</v>
      </c>
      <c r="C567" s="0" t="s">
        <v>1369</v>
      </c>
      <c r="D567" s="0" t="s">
        <v>28</v>
      </c>
      <c r="E567" s="44" t="n">
        <v>43355</v>
      </c>
      <c r="F567" s="0" t="s">
        <v>102</v>
      </c>
      <c r="G567" s="0" t="n">
        <v>21356941</v>
      </c>
      <c r="H567" s="0" t="n">
        <v>720193</v>
      </c>
      <c r="I567" s="0" t="s">
        <v>34</v>
      </c>
      <c r="J567" s="0" t="s">
        <v>174</v>
      </c>
      <c r="K567" s="0" t="s">
        <v>150</v>
      </c>
      <c r="L567" s="0" t="n">
        <v>226360001</v>
      </c>
      <c r="M567" s="0" t="s">
        <v>1319</v>
      </c>
      <c r="N567" s="0" t="n">
        <v>104456278</v>
      </c>
      <c r="O567" s="0" t="n">
        <v>7333</v>
      </c>
      <c r="P567" s="0" t="n">
        <v>45.64</v>
      </c>
      <c r="Q567" s="0" t="n">
        <f aca="false">IFERROR(VLOOKUP(B567,[2]'Cost Correction'!$D$2:$AJ$1627,33,0),"")</f>
        <v>104456278</v>
      </c>
    </row>
    <row r="568" customFormat="false" ht="15" hidden="true" customHeight="false" outlineLevel="0" collapsed="false">
      <c r="A568" s="0" t="str">
        <f aca="false">E568&amp;L568&amp;Q568</f>
        <v>43354226360001104456278</v>
      </c>
      <c r="B568" s="0" t="s">
        <v>1370</v>
      </c>
      <c r="C568" s="0" t="s">
        <v>1371</v>
      </c>
      <c r="D568" s="0" t="s">
        <v>28</v>
      </c>
      <c r="E568" s="44" t="n">
        <v>43354</v>
      </c>
      <c r="F568" s="0" t="s">
        <v>102</v>
      </c>
      <c r="G568" s="0" t="n">
        <v>21356941</v>
      </c>
      <c r="H568" s="0" t="n">
        <v>720193</v>
      </c>
      <c r="I568" s="0" t="s">
        <v>34</v>
      </c>
      <c r="J568" s="0" t="s">
        <v>174</v>
      </c>
      <c r="K568" s="0" t="s">
        <v>150</v>
      </c>
      <c r="L568" s="0" t="n">
        <v>226360001</v>
      </c>
      <c r="M568" s="0" t="s">
        <v>1319</v>
      </c>
      <c r="N568" s="0" t="n">
        <v>104456278</v>
      </c>
      <c r="O568" s="0" t="n">
        <v>7731</v>
      </c>
      <c r="P568" s="0" t="n">
        <v>42.06</v>
      </c>
      <c r="Q568" s="0" t="n">
        <f aca="false">IFERROR(VLOOKUP(B568,[2]'Cost Correction'!$D$2:$AJ$1627,33,0),"")</f>
        <v>104456278</v>
      </c>
    </row>
    <row r="569" customFormat="false" ht="15" hidden="true" customHeight="false" outlineLevel="0" collapsed="false">
      <c r="A569" s="0" t="str">
        <f aca="false">E569&amp;L569&amp;Q569</f>
        <v>43353226360001104456278</v>
      </c>
      <c r="B569" s="0" t="s">
        <v>1372</v>
      </c>
      <c r="C569" s="0" t="s">
        <v>1373</v>
      </c>
      <c r="D569" s="0" t="s">
        <v>28</v>
      </c>
      <c r="E569" s="44" t="n">
        <v>43353</v>
      </c>
      <c r="F569" s="0" t="s">
        <v>102</v>
      </c>
      <c r="G569" s="0" t="n">
        <v>21356941</v>
      </c>
      <c r="H569" s="0" t="n">
        <v>720193</v>
      </c>
      <c r="I569" s="0" t="s">
        <v>34</v>
      </c>
      <c r="J569" s="0" t="s">
        <v>174</v>
      </c>
      <c r="K569" s="0" t="s">
        <v>150</v>
      </c>
      <c r="L569" s="0" t="n">
        <v>226360001</v>
      </c>
      <c r="M569" s="0" t="s">
        <v>1319</v>
      </c>
      <c r="N569" s="0" t="n">
        <v>104456278</v>
      </c>
      <c r="O569" s="0" t="n">
        <v>7328</v>
      </c>
      <c r="P569" s="0" t="n">
        <v>42.17</v>
      </c>
      <c r="Q569" s="0" t="n">
        <f aca="false">IFERROR(VLOOKUP(B569,[2]'Cost Correction'!$D$2:$AJ$1627,33,0),"")</f>
        <v>104456278</v>
      </c>
    </row>
    <row r="570" customFormat="false" ht="15" hidden="true" customHeight="false" outlineLevel="0" collapsed="false">
      <c r="A570" s="0" t="str">
        <f aca="false">E570&amp;L570&amp;Q570</f>
        <v>43352226360001104456278</v>
      </c>
      <c r="B570" s="0" t="s">
        <v>1374</v>
      </c>
      <c r="C570" s="0" t="s">
        <v>1375</v>
      </c>
      <c r="D570" s="0" t="s">
        <v>28</v>
      </c>
      <c r="E570" s="44" t="n">
        <v>43352</v>
      </c>
      <c r="F570" s="0" t="s">
        <v>102</v>
      </c>
      <c r="G570" s="0" t="n">
        <v>21356941</v>
      </c>
      <c r="H570" s="0" t="n">
        <v>720193</v>
      </c>
      <c r="I570" s="0" t="s">
        <v>34</v>
      </c>
      <c r="J570" s="0" t="s">
        <v>174</v>
      </c>
      <c r="K570" s="0" t="s">
        <v>150</v>
      </c>
      <c r="L570" s="0" t="n">
        <v>226360001</v>
      </c>
      <c r="M570" s="0" t="s">
        <v>1319</v>
      </c>
      <c r="N570" s="0" t="n">
        <v>104456278</v>
      </c>
      <c r="O570" s="0" t="n">
        <v>7181</v>
      </c>
      <c r="P570" s="0" t="n">
        <v>43.96</v>
      </c>
      <c r="Q570" s="0" t="n">
        <f aca="false">IFERROR(VLOOKUP(B570,[2]'Cost Correction'!$D$2:$AJ$1627,33,0),"")</f>
        <v>104456278</v>
      </c>
    </row>
    <row r="571" customFormat="false" ht="15" hidden="false" customHeight="false" outlineLevel="0" collapsed="false">
      <c r="A571" s="0" t="str">
        <f aca="false">E571&amp;L571&amp;Q571</f>
        <v>43358226496140</v>
      </c>
      <c r="B571" s="0" t="s">
        <v>1376</v>
      </c>
      <c r="C571" s="0" t="s">
        <v>1377</v>
      </c>
      <c r="D571" s="0" t="s">
        <v>28</v>
      </c>
      <c r="E571" s="44" t="n">
        <v>43358</v>
      </c>
      <c r="F571" s="0" t="s">
        <v>102</v>
      </c>
      <c r="G571" s="0" t="n">
        <v>21356941</v>
      </c>
      <c r="H571" s="0" t="n">
        <v>720193</v>
      </c>
      <c r="I571" s="0" t="s">
        <v>34</v>
      </c>
      <c r="J571" s="0" t="s">
        <v>174</v>
      </c>
      <c r="K571" s="0" t="s">
        <v>151</v>
      </c>
      <c r="L571" s="0" t="n">
        <v>226496140</v>
      </c>
      <c r="M571" s="0" t="s">
        <v>1319</v>
      </c>
      <c r="N571" s="0" t="n">
        <v>104456278</v>
      </c>
      <c r="O571" s="0" t="n">
        <v>0</v>
      </c>
      <c r="P571" s="0" t="n">
        <v>0</v>
      </c>
      <c r="Q571" s="0" t="str">
        <f aca="false">IFERROR(VLOOKUP(B571,[2]'Cost Correction'!$D$2:$AJ$1627,33,0),"")</f>
        <v/>
      </c>
    </row>
    <row r="572" customFormat="false" ht="15" hidden="false" customHeight="false" outlineLevel="0" collapsed="false">
      <c r="A572" s="0" t="str">
        <f aca="false">E572&amp;L572&amp;Q572</f>
        <v>43357226496140</v>
      </c>
      <c r="B572" s="0" t="s">
        <v>1378</v>
      </c>
      <c r="C572" s="0" t="s">
        <v>1379</v>
      </c>
      <c r="D572" s="0" t="s">
        <v>28</v>
      </c>
      <c r="E572" s="44" t="n">
        <v>43357</v>
      </c>
      <c r="F572" s="0" t="s">
        <v>102</v>
      </c>
      <c r="G572" s="0" t="n">
        <v>21356941</v>
      </c>
      <c r="H572" s="0" t="n">
        <v>720193</v>
      </c>
      <c r="I572" s="0" t="s">
        <v>34</v>
      </c>
      <c r="J572" s="0" t="s">
        <v>174</v>
      </c>
      <c r="K572" s="0" t="s">
        <v>151</v>
      </c>
      <c r="L572" s="0" t="n">
        <v>226496140</v>
      </c>
      <c r="M572" s="0" t="s">
        <v>1319</v>
      </c>
      <c r="N572" s="0" t="n">
        <v>104456278</v>
      </c>
      <c r="O572" s="0" t="n">
        <v>0</v>
      </c>
      <c r="P572" s="0" t="n">
        <v>0</v>
      </c>
      <c r="Q572" s="0" t="str">
        <f aca="false">IFERROR(VLOOKUP(B572,[2]'Cost Correction'!$D$2:$AJ$1627,33,0),"")</f>
        <v/>
      </c>
    </row>
    <row r="573" customFormat="false" ht="15" hidden="false" customHeight="false" outlineLevel="0" collapsed="false">
      <c r="A573" s="0" t="str">
        <f aca="false">E573&amp;L573&amp;Q573</f>
        <v>43356226496140</v>
      </c>
      <c r="B573" s="0" t="s">
        <v>1380</v>
      </c>
      <c r="C573" s="0" t="s">
        <v>1381</v>
      </c>
      <c r="D573" s="0" t="s">
        <v>28</v>
      </c>
      <c r="E573" s="44" t="n">
        <v>43356</v>
      </c>
      <c r="F573" s="0" t="s">
        <v>102</v>
      </c>
      <c r="G573" s="0" t="n">
        <v>21356941</v>
      </c>
      <c r="H573" s="0" t="n">
        <v>720193</v>
      </c>
      <c r="I573" s="0" t="s">
        <v>34</v>
      </c>
      <c r="J573" s="0" t="s">
        <v>174</v>
      </c>
      <c r="K573" s="0" t="s">
        <v>151</v>
      </c>
      <c r="L573" s="0" t="n">
        <v>226496140</v>
      </c>
      <c r="M573" s="0" t="s">
        <v>1319</v>
      </c>
      <c r="N573" s="0" t="n">
        <v>104456278</v>
      </c>
      <c r="O573" s="0" t="n">
        <v>0</v>
      </c>
      <c r="P573" s="0" t="n">
        <v>0</v>
      </c>
      <c r="Q573" s="0" t="str">
        <f aca="false">IFERROR(VLOOKUP(B573,[2]'Cost Correction'!$D$2:$AJ$1627,33,0),"")</f>
        <v/>
      </c>
    </row>
    <row r="574" customFormat="false" ht="15" hidden="false" customHeight="false" outlineLevel="0" collapsed="false">
      <c r="A574" s="0" t="str">
        <f aca="false">E574&amp;L574&amp;Q574</f>
        <v>43355226496140</v>
      </c>
      <c r="B574" s="0" t="s">
        <v>1382</v>
      </c>
      <c r="C574" s="0" t="s">
        <v>1383</v>
      </c>
      <c r="D574" s="0" t="s">
        <v>28</v>
      </c>
      <c r="E574" s="44" t="n">
        <v>43355</v>
      </c>
      <c r="F574" s="0" t="s">
        <v>102</v>
      </c>
      <c r="G574" s="0" t="n">
        <v>21356941</v>
      </c>
      <c r="H574" s="0" t="n">
        <v>720193</v>
      </c>
      <c r="I574" s="0" t="s">
        <v>34</v>
      </c>
      <c r="J574" s="0" t="s">
        <v>174</v>
      </c>
      <c r="K574" s="0" t="s">
        <v>151</v>
      </c>
      <c r="L574" s="0" t="n">
        <v>226496140</v>
      </c>
      <c r="M574" s="0" t="s">
        <v>1319</v>
      </c>
      <c r="N574" s="0" t="n">
        <v>104456278</v>
      </c>
      <c r="O574" s="0" t="n">
        <v>0</v>
      </c>
      <c r="P574" s="0" t="n">
        <v>0</v>
      </c>
      <c r="Q574" s="0" t="str">
        <f aca="false">IFERROR(VLOOKUP(B574,[2]'Cost Correction'!$D$2:$AJ$1627,33,0),"")</f>
        <v/>
      </c>
    </row>
    <row r="575" customFormat="false" ht="15" hidden="false" customHeight="false" outlineLevel="0" collapsed="false">
      <c r="A575" s="0" t="str">
        <f aca="false">E575&amp;L575&amp;Q575</f>
        <v>43354226496140</v>
      </c>
      <c r="B575" s="0" t="s">
        <v>1384</v>
      </c>
      <c r="C575" s="0" t="s">
        <v>1385</v>
      </c>
      <c r="D575" s="0" t="s">
        <v>28</v>
      </c>
      <c r="E575" s="44" t="n">
        <v>43354</v>
      </c>
      <c r="F575" s="0" t="s">
        <v>102</v>
      </c>
      <c r="G575" s="0" t="n">
        <v>21356941</v>
      </c>
      <c r="H575" s="0" t="n">
        <v>720193</v>
      </c>
      <c r="I575" s="0" t="s">
        <v>34</v>
      </c>
      <c r="J575" s="0" t="s">
        <v>174</v>
      </c>
      <c r="K575" s="0" t="s">
        <v>151</v>
      </c>
      <c r="L575" s="0" t="n">
        <v>226496140</v>
      </c>
      <c r="M575" s="0" t="s">
        <v>1319</v>
      </c>
      <c r="N575" s="0" t="n">
        <v>104456278</v>
      </c>
      <c r="O575" s="0" t="n">
        <v>0</v>
      </c>
      <c r="P575" s="0" t="n">
        <v>0</v>
      </c>
      <c r="Q575" s="0" t="str">
        <f aca="false">IFERROR(VLOOKUP(B575,[2]'Cost Correction'!$D$2:$AJ$1627,33,0),"")</f>
        <v/>
      </c>
    </row>
    <row r="576" customFormat="false" ht="15" hidden="false" customHeight="false" outlineLevel="0" collapsed="false">
      <c r="A576" s="0" t="str">
        <f aca="false">E576&amp;L576&amp;Q576</f>
        <v>43353226496140</v>
      </c>
      <c r="B576" s="0" t="s">
        <v>1386</v>
      </c>
      <c r="C576" s="0" t="s">
        <v>1387</v>
      </c>
      <c r="D576" s="0" t="s">
        <v>28</v>
      </c>
      <c r="E576" s="44" t="n">
        <v>43353</v>
      </c>
      <c r="F576" s="0" t="s">
        <v>102</v>
      </c>
      <c r="G576" s="0" t="n">
        <v>21356941</v>
      </c>
      <c r="H576" s="0" t="n">
        <v>720193</v>
      </c>
      <c r="I576" s="0" t="s">
        <v>34</v>
      </c>
      <c r="J576" s="0" t="s">
        <v>174</v>
      </c>
      <c r="K576" s="0" t="s">
        <v>151</v>
      </c>
      <c r="L576" s="0" t="n">
        <v>226496140</v>
      </c>
      <c r="M576" s="0" t="s">
        <v>1319</v>
      </c>
      <c r="N576" s="0" t="n">
        <v>104456278</v>
      </c>
      <c r="O576" s="0" t="n">
        <v>0</v>
      </c>
      <c r="P576" s="0" t="n">
        <v>0</v>
      </c>
      <c r="Q576" s="0" t="str">
        <f aca="false">IFERROR(VLOOKUP(B576,[2]'Cost Correction'!$D$2:$AJ$1627,33,0),"")</f>
        <v/>
      </c>
    </row>
    <row r="577" customFormat="false" ht="15" hidden="false" customHeight="false" outlineLevel="0" collapsed="false">
      <c r="A577" s="0" t="str">
        <f aca="false">E577&amp;L577&amp;Q577</f>
        <v>43352226496140</v>
      </c>
      <c r="B577" s="0" t="s">
        <v>1388</v>
      </c>
      <c r="C577" s="0" t="s">
        <v>1389</v>
      </c>
      <c r="D577" s="0" t="s">
        <v>28</v>
      </c>
      <c r="E577" s="44" t="n">
        <v>43352</v>
      </c>
      <c r="F577" s="0" t="s">
        <v>102</v>
      </c>
      <c r="G577" s="0" t="n">
        <v>21356941</v>
      </c>
      <c r="H577" s="0" t="n">
        <v>720193</v>
      </c>
      <c r="I577" s="0" t="s">
        <v>34</v>
      </c>
      <c r="J577" s="0" t="s">
        <v>174</v>
      </c>
      <c r="K577" s="0" t="s">
        <v>151</v>
      </c>
      <c r="L577" s="0" t="n">
        <v>226496140</v>
      </c>
      <c r="M577" s="0" t="s">
        <v>1319</v>
      </c>
      <c r="N577" s="0" t="n">
        <v>104456278</v>
      </c>
      <c r="O577" s="0" t="n">
        <v>0</v>
      </c>
      <c r="P577" s="0" t="n">
        <v>0</v>
      </c>
      <c r="Q577" s="0" t="str">
        <f aca="false">IFERROR(VLOOKUP(B577,[2]'Cost Correction'!$D$2:$AJ$1627,33,0),"")</f>
        <v/>
      </c>
    </row>
    <row r="578" customFormat="false" ht="15" hidden="false" customHeight="false" outlineLevel="0" collapsed="false">
      <c r="A578" s="0" t="str">
        <f aca="false">E578&amp;L578&amp;Q578</f>
        <v>43358226359995</v>
      </c>
      <c r="B578" s="0" t="s">
        <v>1390</v>
      </c>
      <c r="C578" s="0" t="s">
        <v>1391</v>
      </c>
      <c r="D578" s="0" t="s">
        <v>28</v>
      </c>
      <c r="E578" s="44" t="n">
        <v>43358</v>
      </c>
      <c r="F578" s="0" t="s">
        <v>102</v>
      </c>
      <c r="G578" s="0" t="n">
        <v>21356941</v>
      </c>
      <c r="H578" s="0" t="n">
        <v>720193</v>
      </c>
      <c r="I578" s="0" t="s">
        <v>34</v>
      </c>
      <c r="J578" s="0" t="s">
        <v>174</v>
      </c>
      <c r="K578" s="0" t="s">
        <v>152</v>
      </c>
      <c r="L578" s="0" t="n">
        <v>226359995</v>
      </c>
      <c r="M578" s="0" t="s">
        <v>1334</v>
      </c>
      <c r="N578" s="0" t="n">
        <v>104458003</v>
      </c>
      <c r="O578" s="0" t="n">
        <v>1</v>
      </c>
      <c r="P578" s="0" t="n">
        <v>0.01</v>
      </c>
      <c r="Q578" s="0" t="str">
        <f aca="false">IFERROR(VLOOKUP(B578,[2]'Cost Correction'!$D$2:$AJ$1627,33,0),"")</f>
        <v/>
      </c>
    </row>
    <row r="579" customFormat="false" ht="15" hidden="false" customHeight="false" outlineLevel="0" collapsed="false">
      <c r="A579" s="0" t="str">
        <f aca="false">E579&amp;L579&amp;Q579</f>
        <v>43357226359995</v>
      </c>
      <c r="B579" s="0" t="s">
        <v>1392</v>
      </c>
      <c r="C579" s="0" t="s">
        <v>1393</v>
      </c>
      <c r="D579" s="0" t="s">
        <v>28</v>
      </c>
      <c r="E579" s="44" t="n">
        <v>43357</v>
      </c>
      <c r="F579" s="0" t="s">
        <v>102</v>
      </c>
      <c r="G579" s="0" t="n">
        <v>21356941</v>
      </c>
      <c r="H579" s="0" t="n">
        <v>720193</v>
      </c>
      <c r="I579" s="0" t="s">
        <v>34</v>
      </c>
      <c r="J579" s="0" t="s">
        <v>174</v>
      </c>
      <c r="K579" s="0" t="s">
        <v>152</v>
      </c>
      <c r="L579" s="0" t="n">
        <v>226359995</v>
      </c>
      <c r="M579" s="0" t="s">
        <v>1334</v>
      </c>
      <c r="N579" s="0" t="n">
        <v>104458003</v>
      </c>
      <c r="O579" s="0" t="n">
        <v>0</v>
      </c>
      <c r="P579" s="0" t="n">
        <v>0</v>
      </c>
      <c r="Q579" s="0" t="str">
        <f aca="false">IFERROR(VLOOKUP(B579,[2]'Cost Correction'!$D$2:$AJ$1627,33,0),"")</f>
        <v/>
      </c>
    </row>
    <row r="580" customFormat="false" ht="15" hidden="false" customHeight="false" outlineLevel="0" collapsed="false">
      <c r="A580" s="0" t="str">
        <f aca="false">E580&amp;L580&amp;Q580</f>
        <v>43356226359995</v>
      </c>
      <c r="B580" s="0" t="s">
        <v>1394</v>
      </c>
      <c r="C580" s="0" t="s">
        <v>1395</v>
      </c>
      <c r="D580" s="0" t="s">
        <v>28</v>
      </c>
      <c r="E580" s="44" t="n">
        <v>43356</v>
      </c>
      <c r="F580" s="0" t="s">
        <v>102</v>
      </c>
      <c r="G580" s="0" t="n">
        <v>21356941</v>
      </c>
      <c r="H580" s="0" t="n">
        <v>720193</v>
      </c>
      <c r="I580" s="0" t="s">
        <v>34</v>
      </c>
      <c r="J580" s="0" t="s">
        <v>174</v>
      </c>
      <c r="K580" s="0" t="s">
        <v>152</v>
      </c>
      <c r="L580" s="0" t="n">
        <v>226359995</v>
      </c>
      <c r="M580" s="0" t="s">
        <v>1334</v>
      </c>
      <c r="N580" s="0" t="n">
        <v>104458003</v>
      </c>
      <c r="O580" s="0" t="n">
        <v>0</v>
      </c>
      <c r="P580" s="0" t="n">
        <v>0</v>
      </c>
      <c r="Q580" s="0" t="str">
        <f aca="false">IFERROR(VLOOKUP(B580,[2]'Cost Correction'!$D$2:$AJ$1627,33,0),"")</f>
        <v/>
      </c>
    </row>
    <row r="581" customFormat="false" ht="15" hidden="false" customHeight="false" outlineLevel="0" collapsed="false">
      <c r="A581" s="0" t="str">
        <f aca="false">E581&amp;L581&amp;Q581</f>
        <v>43355226359995</v>
      </c>
      <c r="B581" s="0" t="s">
        <v>1396</v>
      </c>
      <c r="C581" s="0" t="s">
        <v>1397</v>
      </c>
      <c r="D581" s="0" t="s">
        <v>28</v>
      </c>
      <c r="E581" s="44" t="n">
        <v>43355</v>
      </c>
      <c r="F581" s="0" t="s">
        <v>102</v>
      </c>
      <c r="G581" s="0" t="n">
        <v>21356941</v>
      </c>
      <c r="H581" s="0" t="n">
        <v>720193</v>
      </c>
      <c r="I581" s="0" t="s">
        <v>34</v>
      </c>
      <c r="J581" s="0" t="s">
        <v>174</v>
      </c>
      <c r="K581" s="0" t="s">
        <v>152</v>
      </c>
      <c r="L581" s="0" t="n">
        <v>226359995</v>
      </c>
      <c r="M581" s="0" t="s">
        <v>1334</v>
      </c>
      <c r="N581" s="0" t="n">
        <v>104458003</v>
      </c>
      <c r="O581" s="0" t="n">
        <v>1</v>
      </c>
      <c r="P581" s="0" t="n">
        <v>0</v>
      </c>
      <c r="Q581" s="0" t="str">
        <f aca="false">IFERROR(VLOOKUP(B581,[2]'Cost Correction'!$D$2:$AJ$1627,33,0),"")</f>
        <v/>
      </c>
    </row>
    <row r="582" customFormat="false" ht="15" hidden="false" customHeight="false" outlineLevel="0" collapsed="false">
      <c r="A582" s="0" t="str">
        <f aca="false">E582&amp;L582&amp;Q582</f>
        <v>43354226359995</v>
      </c>
      <c r="B582" s="0" t="s">
        <v>1398</v>
      </c>
      <c r="C582" s="0" t="s">
        <v>1399</v>
      </c>
      <c r="D582" s="0" t="s">
        <v>28</v>
      </c>
      <c r="E582" s="44" t="n">
        <v>43354</v>
      </c>
      <c r="F582" s="0" t="s">
        <v>102</v>
      </c>
      <c r="G582" s="0" t="n">
        <v>21356941</v>
      </c>
      <c r="H582" s="0" t="n">
        <v>720193</v>
      </c>
      <c r="I582" s="0" t="s">
        <v>34</v>
      </c>
      <c r="J582" s="0" t="s">
        <v>174</v>
      </c>
      <c r="K582" s="0" t="s">
        <v>152</v>
      </c>
      <c r="L582" s="0" t="n">
        <v>226359995</v>
      </c>
      <c r="M582" s="0" t="s">
        <v>1334</v>
      </c>
      <c r="N582" s="0" t="n">
        <v>104458003</v>
      </c>
      <c r="O582" s="0" t="n">
        <v>0</v>
      </c>
      <c r="P582" s="0" t="n">
        <v>0</v>
      </c>
      <c r="Q582" s="0" t="str">
        <f aca="false">IFERROR(VLOOKUP(B582,[2]'Cost Correction'!$D$2:$AJ$1627,33,0),"")</f>
        <v/>
      </c>
    </row>
    <row r="583" customFormat="false" ht="15" hidden="false" customHeight="false" outlineLevel="0" collapsed="false">
      <c r="A583" s="0" t="str">
        <f aca="false">E583&amp;L583&amp;Q583</f>
        <v>43353226359995</v>
      </c>
      <c r="B583" s="0" t="s">
        <v>1400</v>
      </c>
      <c r="C583" s="0" t="s">
        <v>1401</v>
      </c>
      <c r="D583" s="0" t="s">
        <v>28</v>
      </c>
      <c r="E583" s="44" t="n">
        <v>43353</v>
      </c>
      <c r="F583" s="0" t="s">
        <v>102</v>
      </c>
      <c r="G583" s="0" t="n">
        <v>21356941</v>
      </c>
      <c r="H583" s="0" t="n">
        <v>720193</v>
      </c>
      <c r="I583" s="0" t="s">
        <v>34</v>
      </c>
      <c r="J583" s="0" t="s">
        <v>174</v>
      </c>
      <c r="K583" s="0" t="s">
        <v>152</v>
      </c>
      <c r="L583" s="0" t="n">
        <v>226359995</v>
      </c>
      <c r="M583" s="0" t="s">
        <v>1334</v>
      </c>
      <c r="N583" s="0" t="n">
        <v>104458003</v>
      </c>
      <c r="O583" s="0" t="n">
        <v>0</v>
      </c>
      <c r="P583" s="0" t="n">
        <v>0</v>
      </c>
      <c r="Q583" s="0" t="str">
        <f aca="false">IFERROR(VLOOKUP(B583,[2]'Cost Correction'!$D$2:$AJ$1627,33,0),"")</f>
        <v/>
      </c>
    </row>
    <row r="584" customFormat="false" ht="15" hidden="false" customHeight="false" outlineLevel="0" collapsed="false">
      <c r="A584" s="0" t="str">
        <f aca="false">E584&amp;L584&amp;Q584</f>
        <v>43352226359995</v>
      </c>
      <c r="B584" s="0" t="s">
        <v>1402</v>
      </c>
      <c r="C584" s="0" t="s">
        <v>1403</v>
      </c>
      <c r="D584" s="0" t="s">
        <v>28</v>
      </c>
      <c r="E584" s="44" t="n">
        <v>43352</v>
      </c>
      <c r="F584" s="0" t="s">
        <v>102</v>
      </c>
      <c r="G584" s="0" t="n">
        <v>21356941</v>
      </c>
      <c r="H584" s="0" t="n">
        <v>720193</v>
      </c>
      <c r="I584" s="0" t="s">
        <v>34</v>
      </c>
      <c r="J584" s="0" t="s">
        <v>174</v>
      </c>
      <c r="K584" s="0" t="s">
        <v>152</v>
      </c>
      <c r="L584" s="0" t="n">
        <v>226359995</v>
      </c>
      <c r="M584" s="0" t="s">
        <v>1334</v>
      </c>
      <c r="N584" s="0" t="n">
        <v>104458003</v>
      </c>
      <c r="O584" s="0" t="n">
        <v>4</v>
      </c>
      <c r="P584" s="0" t="n">
        <v>0.03</v>
      </c>
      <c r="Q584" s="0" t="str">
        <f aca="false">IFERROR(VLOOKUP(B584,[2]'Cost Correction'!$D$2:$AJ$1627,33,0),"")</f>
        <v/>
      </c>
    </row>
    <row r="585" customFormat="false" ht="15" hidden="false" customHeight="false" outlineLevel="0" collapsed="false">
      <c r="A585" s="0" t="str">
        <f aca="false">E585&amp;L585&amp;Q585</f>
        <v>43358226496137</v>
      </c>
      <c r="B585" s="0" t="s">
        <v>1404</v>
      </c>
      <c r="C585" s="0" t="s">
        <v>1405</v>
      </c>
      <c r="D585" s="0" t="s">
        <v>28</v>
      </c>
      <c r="E585" s="44" t="n">
        <v>43358</v>
      </c>
      <c r="F585" s="0" t="s">
        <v>102</v>
      </c>
      <c r="G585" s="0" t="n">
        <v>21356941</v>
      </c>
      <c r="H585" s="0" t="n">
        <v>720193</v>
      </c>
      <c r="I585" s="0" t="s">
        <v>34</v>
      </c>
      <c r="J585" s="0" t="s">
        <v>174</v>
      </c>
      <c r="K585" s="0" t="s">
        <v>153</v>
      </c>
      <c r="L585" s="0" t="n">
        <v>226496137</v>
      </c>
      <c r="M585" s="0" t="s">
        <v>1334</v>
      </c>
      <c r="N585" s="0" t="n">
        <v>104458003</v>
      </c>
      <c r="O585" s="0" t="n">
        <v>0</v>
      </c>
      <c r="P585" s="0" t="n">
        <v>0</v>
      </c>
      <c r="Q585" s="0" t="str">
        <f aca="false">IFERROR(VLOOKUP(B585,[2]'Cost Correction'!$D$2:$AJ$1627,33,0),"")</f>
        <v/>
      </c>
    </row>
    <row r="586" customFormat="false" ht="15" hidden="false" customHeight="false" outlineLevel="0" collapsed="false">
      <c r="A586" s="0" t="str">
        <f aca="false">E586&amp;L586&amp;Q586</f>
        <v>43357226496137</v>
      </c>
      <c r="B586" s="0" t="s">
        <v>1406</v>
      </c>
      <c r="C586" s="0" t="s">
        <v>1407</v>
      </c>
      <c r="D586" s="0" t="s">
        <v>28</v>
      </c>
      <c r="E586" s="44" t="n">
        <v>43357</v>
      </c>
      <c r="F586" s="0" t="s">
        <v>102</v>
      </c>
      <c r="G586" s="0" t="n">
        <v>21356941</v>
      </c>
      <c r="H586" s="0" t="n">
        <v>720193</v>
      </c>
      <c r="I586" s="0" t="s">
        <v>34</v>
      </c>
      <c r="J586" s="0" t="s">
        <v>174</v>
      </c>
      <c r="K586" s="0" t="s">
        <v>153</v>
      </c>
      <c r="L586" s="0" t="n">
        <v>226496137</v>
      </c>
      <c r="M586" s="0" t="s">
        <v>1334</v>
      </c>
      <c r="N586" s="0" t="n">
        <v>104458003</v>
      </c>
      <c r="O586" s="0" t="n">
        <v>0</v>
      </c>
      <c r="P586" s="0" t="n">
        <v>0</v>
      </c>
      <c r="Q586" s="0" t="str">
        <f aca="false">IFERROR(VLOOKUP(B586,[2]'Cost Correction'!$D$2:$AJ$1627,33,0),"")</f>
        <v/>
      </c>
    </row>
    <row r="587" customFormat="false" ht="15" hidden="false" customHeight="false" outlineLevel="0" collapsed="false">
      <c r="A587" s="0" t="str">
        <f aca="false">E587&amp;L587&amp;Q587</f>
        <v>43356226496137</v>
      </c>
      <c r="B587" s="0" t="s">
        <v>1408</v>
      </c>
      <c r="C587" s="0" t="s">
        <v>1409</v>
      </c>
      <c r="D587" s="0" t="s">
        <v>28</v>
      </c>
      <c r="E587" s="44" t="n">
        <v>43356</v>
      </c>
      <c r="F587" s="0" t="s">
        <v>102</v>
      </c>
      <c r="G587" s="0" t="n">
        <v>21356941</v>
      </c>
      <c r="H587" s="0" t="n">
        <v>720193</v>
      </c>
      <c r="I587" s="0" t="s">
        <v>34</v>
      </c>
      <c r="J587" s="0" t="s">
        <v>174</v>
      </c>
      <c r="K587" s="0" t="s">
        <v>153</v>
      </c>
      <c r="L587" s="0" t="n">
        <v>226496137</v>
      </c>
      <c r="M587" s="0" t="s">
        <v>1334</v>
      </c>
      <c r="N587" s="0" t="n">
        <v>104458003</v>
      </c>
      <c r="O587" s="0" t="n">
        <v>0</v>
      </c>
      <c r="P587" s="0" t="n">
        <v>0</v>
      </c>
      <c r="Q587" s="0" t="str">
        <f aca="false">IFERROR(VLOOKUP(B587,[2]'Cost Correction'!$D$2:$AJ$1627,33,0),"")</f>
        <v/>
      </c>
    </row>
    <row r="588" customFormat="false" ht="15" hidden="false" customHeight="false" outlineLevel="0" collapsed="false">
      <c r="A588" s="0" t="str">
        <f aca="false">E588&amp;L588&amp;Q588</f>
        <v>43355226496137</v>
      </c>
      <c r="B588" s="0" t="s">
        <v>1410</v>
      </c>
      <c r="C588" s="0" t="s">
        <v>1411</v>
      </c>
      <c r="D588" s="0" t="s">
        <v>28</v>
      </c>
      <c r="E588" s="44" t="n">
        <v>43355</v>
      </c>
      <c r="F588" s="0" t="s">
        <v>102</v>
      </c>
      <c r="G588" s="0" t="n">
        <v>21356941</v>
      </c>
      <c r="H588" s="0" t="n">
        <v>720193</v>
      </c>
      <c r="I588" s="0" t="s">
        <v>34</v>
      </c>
      <c r="J588" s="0" t="s">
        <v>174</v>
      </c>
      <c r="K588" s="0" t="s">
        <v>153</v>
      </c>
      <c r="L588" s="0" t="n">
        <v>226496137</v>
      </c>
      <c r="M588" s="0" t="s">
        <v>1334</v>
      </c>
      <c r="N588" s="0" t="n">
        <v>104458003</v>
      </c>
      <c r="O588" s="0" t="n">
        <v>0</v>
      </c>
      <c r="P588" s="0" t="n">
        <v>0</v>
      </c>
      <c r="Q588" s="0" t="str">
        <f aca="false">IFERROR(VLOOKUP(B588,[2]'Cost Correction'!$D$2:$AJ$1627,33,0),"")</f>
        <v/>
      </c>
    </row>
    <row r="589" customFormat="false" ht="15" hidden="false" customHeight="false" outlineLevel="0" collapsed="false">
      <c r="A589" s="0" t="str">
        <f aca="false">E589&amp;L589&amp;Q589</f>
        <v>43354226496137</v>
      </c>
      <c r="B589" s="0" t="s">
        <v>1412</v>
      </c>
      <c r="C589" s="0" t="s">
        <v>1413</v>
      </c>
      <c r="D589" s="0" t="s">
        <v>28</v>
      </c>
      <c r="E589" s="44" t="n">
        <v>43354</v>
      </c>
      <c r="F589" s="0" t="s">
        <v>102</v>
      </c>
      <c r="G589" s="0" t="n">
        <v>21356941</v>
      </c>
      <c r="H589" s="0" t="n">
        <v>720193</v>
      </c>
      <c r="I589" s="0" t="s">
        <v>34</v>
      </c>
      <c r="J589" s="0" t="s">
        <v>174</v>
      </c>
      <c r="K589" s="0" t="s">
        <v>153</v>
      </c>
      <c r="L589" s="0" t="n">
        <v>226496137</v>
      </c>
      <c r="M589" s="0" t="s">
        <v>1334</v>
      </c>
      <c r="N589" s="0" t="n">
        <v>104458003</v>
      </c>
      <c r="O589" s="0" t="n">
        <v>0</v>
      </c>
      <c r="P589" s="0" t="n">
        <v>0</v>
      </c>
      <c r="Q589" s="0" t="str">
        <f aca="false">IFERROR(VLOOKUP(B589,[2]'Cost Correction'!$D$2:$AJ$1627,33,0),"")</f>
        <v/>
      </c>
    </row>
    <row r="590" customFormat="false" ht="15" hidden="false" customHeight="false" outlineLevel="0" collapsed="false">
      <c r="A590" s="0" t="str">
        <f aca="false">E590&amp;L590&amp;Q590</f>
        <v>43353226496137</v>
      </c>
      <c r="B590" s="0" t="s">
        <v>1414</v>
      </c>
      <c r="C590" s="0" t="s">
        <v>1415</v>
      </c>
      <c r="D590" s="0" t="s">
        <v>28</v>
      </c>
      <c r="E590" s="44" t="n">
        <v>43353</v>
      </c>
      <c r="F590" s="0" t="s">
        <v>102</v>
      </c>
      <c r="G590" s="0" t="n">
        <v>21356941</v>
      </c>
      <c r="H590" s="0" t="n">
        <v>720193</v>
      </c>
      <c r="I590" s="0" t="s">
        <v>34</v>
      </c>
      <c r="J590" s="0" t="s">
        <v>174</v>
      </c>
      <c r="K590" s="0" t="s">
        <v>153</v>
      </c>
      <c r="L590" s="0" t="n">
        <v>226496137</v>
      </c>
      <c r="M590" s="0" t="s">
        <v>1334</v>
      </c>
      <c r="N590" s="0" t="n">
        <v>104458003</v>
      </c>
      <c r="O590" s="0" t="n">
        <v>0</v>
      </c>
      <c r="P590" s="0" t="n">
        <v>0</v>
      </c>
      <c r="Q590" s="0" t="str">
        <f aca="false">IFERROR(VLOOKUP(B590,[2]'Cost Correction'!$D$2:$AJ$1627,33,0),"")</f>
        <v/>
      </c>
    </row>
    <row r="591" customFormat="false" ht="15" hidden="false" customHeight="false" outlineLevel="0" collapsed="false">
      <c r="A591" s="0" t="str">
        <f aca="false">E591&amp;L591&amp;Q591</f>
        <v>43352226496137</v>
      </c>
      <c r="B591" s="0" t="s">
        <v>1416</v>
      </c>
      <c r="C591" s="0" t="s">
        <v>1417</v>
      </c>
      <c r="D591" s="0" t="s">
        <v>28</v>
      </c>
      <c r="E591" s="44" t="n">
        <v>43352</v>
      </c>
      <c r="F591" s="0" t="s">
        <v>102</v>
      </c>
      <c r="G591" s="0" t="n">
        <v>21356941</v>
      </c>
      <c r="H591" s="0" t="n">
        <v>720193</v>
      </c>
      <c r="I591" s="0" t="s">
        <v>34</v>
      </c>
      <c r="J591" s="0" t="s">
        <v>174</v>
      </c>
      <c r="K591" s="0" t="s">
        <v>153</v>
      </c>
      <c r="L591" s="0" t="n">
        <v>226496137</v>
      </c>
      <c r="M591" s="0" t="s">
        <v>1334</v>
      </c>
      <c r="N591" s="0" t="n">
        <v>104458003</v>
      </c>
      <c r="O591" s="0" t="n">
        <v>0</v>
      </c>
      <c r="P591" s="0" t="n">
        <v>0</v>
      </c>
      <c r="Q591" s="0" t="str">
        <f aca="false">IFERROR(VLOOKUP(B591,[2]'Cost Correction'!$D$2:$AJ$1627,33,0),"")</f>
        <v/>
      </c>
    </row>
    <row r="592" customFormat="false" ht="15" hidden="false" customHeight="false" outlineLevel="0" collapsed="false">
      <c r="A592" s="0" t="str">
        <f aca="false">E592&amp;L592&amp;Q592</f>
        <v>43358226360007</v>
      </c>
      <c r="B592" s="0" t="s">
        <v>1418</v>
      </c>
      <c r="C592" s="0" t="s">
        <v>1419</v>
      </c>
      <c r="D592" s="0" t="s">
        <v>28</v>
      </c>
      <c r="E592" s="44" t="n">
        <v>43358</v>
      </c>
      <c r="F592" s="0" t="s">
        <v>102</v>
      </c>
      <c r="G592" s="0" t="n">
        <v>21356941</v>
      </c>
      <c r="H592" s="0" t="n">
        <v>720193</v>
      </c>
      <c r="I592" s="0" t="s">
        <v>34</v>
      </c>
      <c r="J592" s="0" t="s">
        <v>174</v>
      </c>
      <c r="K592" s="0" t="s">
        <v>154</v>
      </c>
      <c r="L592" s="0" t="n">
        <v>226360007</v>
      </c>
      <c r="M592" s="0" t="s">
        <v>1349</v>
      </c>
      <c r="N592" s="0" t="n">
        <v>104455906</v>
      </c>
      <c r="O592" s="0" t="n">
        <v>3</v>
      </c>
      <c r="P592" s="0" t="n">
        <v>0.02</v>
      </c>
      <c r="Q592" s="0" t="str">
        <f aca="false">IFERROR(VLOOKUP(B592,[2]'Cost Correction'!$D$2:$AJ$1627,33,0),"")</f>
        <v/>
      </c>
    </row>
    <row r="593" customFormat="false" ht="15" hidden="false" customHeight="false" outlineLevel="0" collapsed="false">
      <c r="A593" s="0" t="str">
        <f aca="false">E593&amp;L593&amp;Q593</f>
        <v>43357226360007</v>
      </c>
      <c r="B593" s="0" t="s">
        <v>1420</v>
      </c>
      <c r="C593" s="0" t="s">
        <v>1421</v>
      </c>
      <c r="D593" s="0" t="s">
        <v>28</v>
      </c>
      <c r="E593" s="44" t="n">
        <v>43357</v>
      </c>
      <c r="F593" s="0" t="s">
        <v>102</v>
      </c>
      <c r="G593" s="0" t="n">
        <v>21356941</v>
      </c>
      <c r="H593" s="0" t="n">
        <v>720193</v>
      </c>
      <c r="I593" s="0" t="s">
        <v>34</v>
      </c>
      <c r="J593" s="0" t="s">
        <v>174</v>
      </c>
      <c r="K593" s="0" t="s">
        <v>154</v>
      </c>
      <c r="L593" s="0" t="n">
        <v>226360007</v>
      </c>
      <c r="M593" s="0" t="s">
        <v>1349</v>
      </c>
      <c r="N593" s="0" t="n">
        <v>104455906</v>
      </c>
      <c r="O593" s="0" t="n">
        <v>1</v>
      </c>
      <c r="P593" s="0" t="n">
        <v>0.02</v>
      </c>
      <c r="Q593" s="0" t="str">
        <f aca="false">IFERROR(VLOOKUP(B593,[2]'Cost Correction'!$D$2:$AJ$1627,33,0),"")</f>
        <v/>
      </c>
    </row>
    <row r="594" customFormat="false" ht="15" hidden="false" customHeight="false" outlineLevel="0" collapsed="false">
      <c r="A594" s="0" t="str">
        <f aca="false">E594&amp;L594&amp;Q594</f>
        <v>43356226360007</v>
      </c>
      <c r="B594" s="0" t="s">
        <v>1422</v>
      </c>
      <c r="C594" s="0" t="s">
        <v>1423</v>
      </c>
      <c r="D594" s="0" t="s">
        <v>28</v>
      </c>
      <c r="E594" s="44" t="n">
        <v>43356</v>
      </c>
      <c r="F594" s="0" t="s">
        <v>102</v>
      </c>
      <c r="G594" s="0" t="n">
        <v>21356941</v>
      </c>
      <c r="H594" s="0" t="n">
        <v>720193</v>
      </c>
      <c r="I594" s="0" t="s">
        <v>34</v>
      </c>
      <c r="J594" s="0" t="s">
        <v>174</v>
      </c>
      <c r="K594" s="0" t="s">
        <v>154</v>
      </c>
      <c r="L594" s="0" t="n">
        <v>226360007</v>
      </c>
      <c r="M594" s="0" t="s">
        <v>1349</v>
      </c>
      <c r="N594" s="0" t="n">
        <v>104455906</v>
      </c>
      <c r="O594" s="0" t="n">
        <v>0</v>
      </c>
      <c r="P594" s="0" t="n">
        <v>0</v>
      </c>
      <c r="Q594" s="0" t="str">
        <f aca="false">IFERROR(VLOOKUP(B594,[2]'Cost Correction'!$D$2:$AJ$1627,33,0),"")</f>
        <v/>
      </c>
    </row>
    <row r="595" customFormat="false" ht="15" hidden="false" customHeight="false" outlineLevel="0" collapsed="false">
      <c r="A595" s="0" t="str">
        <f aca="false">E595&amp;L595&amp;Q595</f>
        <v>43355226360007</v>
      </c>
      <c r="B595" s="0" t="s">
        <v>1424</v>
      </c>
      <c r="C595" s="0" t="s">
        <v>1425</v>
      </c>
      <c r="D595" s="0" t="s">
        <v>28</v>
      </c>
      <c r="E595" s="44" t="n">
        <v>43355</v>
      </c>
      <c r="F595" s="0" t="s">
        <v>102</v>
      </c>
      <c r="G595" s="0" t="n">
        <v>21356941</v>
      </c>
      <c r="H595" s="0" t="n">
        <v>720193</v>
      </c>
      <c r="I595" s="0" t="s">
        <v>34</v>
      </c>
      <c r="J595" s="0" t="s">
        <v>174</v>
      </c>
      <c r="K595" s="0" t="s">
        <v>154</v>
      </c>
      <c r="L595" s="0" t="n">
        <v>226360007</v>
      </c>
      <c r="M595" s="0" t="s">
        <v>1349</v>
      </c>
      <c r="N595" s="0" t="n">
        <v>104455906</v>
      </c>
      <c r="O595" s="0" t="n">
        <v>0</v>
      </c>
      <c r="P595" s="0" t="n">
        <v>0</v>
      </c>
      <c r="Q595" s="0" t="str">
        <f aca="false">IFERROR(VLOOKUP(B595,[2]'Cost Correction'!$D$2:$AJ$1627,33,0),"")</f>
        <v/>
      </c>
    </row>
    <row r="596" customFormat="false" ht="15" hidden="false" customHeight="false" outlineLevel="0" collapsed="false">
      <c r="A596" s="0" t="str">
        <f aca="false">E596&amp;L596&amp;Q596</f>
        <v>43354226360007</v>
      </c>
      <c r="B596" s="0" t="s">
        <v>1426</v>
      </c>
      <c r="C596" s="0" t="s">
        <v>1427</v>
      </c>
      <c r="D596" s="0" t="s">
        <v>28</v>
      </c>
      <c r="E596" s="44" t="n">
        <v>43354</v>
      </c>
      <c r="F596" s="0" t="s">
        <v>102</v>
      </c>
      <c r="G596" s="0" t="n">
        <v>21356941</v>
      </c>
      <c r="H596" s="0" t="n">
        <v>720193</v>
      </c>
      <c r="I596" s="0" t="s">
        <v>34</v>
      </c>
      <c r="J596" s="0" t="s">
        <v>174</v>
      </c>
      <c r="K596" s="0" t="s">
        <v>154</v>
      </c>
      <c r="L596" s="0" t="n">
        <v>226360007</v>
      </c>
      <c r="M596" s="0" t="s">
        <v>1349</v>
      </c>
      <c r="N596" s="0" t="n">
        <v>104455906</v>
      </c>
      <c r="O596" s="0" t="n">
        <v>0</v>
      </c>
      <c r="P596" s="0" t="n">
        <v>0</v>
      </c>
      <c r="Q596" s="0" t="str">
        <f aca="false">IFERROR(VLOOKUP(B596,[2]'Cost Correction'!$D$2:$AJ$1627,33,0),"")</f>
        <v/>
      </c>
    </row>
    <row r="597" customFormat="false" ht="15" hidden="false" customHeight="false" outlineLevel="0" collapsed="false">
      <c r="A597" s="0" t="str">
        <f aca="false">E597&amp;L597&amp;Q597</f>
        <v>43353226360007</v>
      </c>
      <c r="B597" s="0" t="s">
        <v>1428</v>
      </c>
      <c r="C597" s="0" t="s">
        <v>1429</v>
      </c>
      <c r="D597" s="0" t="s">
        <v>28</v>
      </c>
      <c r="E597" s="44" t="n">
        <v>43353</v>
      </c>
      <c r="F597" s="0" t="s">
        <v>102</v>
      </c>
      <c r="G597" s="0" t="n">
        <v>21356941</v>
      </c>
      <c r="H597" s="0" t="n">
        <v>720193</v>
      </c>
      <c r="I597" s="0" t="s">
        <v>34</v>
      </c>
      <c r="J597" s="0" t="s">
        <v>174</v>
      </c>
      <c r="K597" s="0" t="s">
        <v>154</v>
      </c>
      <c r="L597" s="0" t="n">
        <v>226360007</v>
      </c>
      <c r="M597" s="0" t="s">
        <v>1349</v>
      </c>
      <c r="N597" s="0" t="n">
        <v>104455906</v>
      </c>
      <c r="O597" s="0" t="n">
        <v>0</v>
      </c>
      <c r="P597" s="0" t="n">
        <v>0</v>
      </c>
      <c r="Q597" s="0" t="str">
        <f aca="false">IFERROR(VLOOKUP(B597,[2]'Cost Correction'!$D$2:$AJ$1627,33,0),"")</f>
        <v/>
      </c>
    </row>
    <row r="598" customFormat="false" ht="15" hidden="false" customHeight="false" outlineLevel="0" collapsed="false">
      <c r="A598" s="0" t="str">
        <f aca="false">E598&amp;L598&amp;Q598</f>
        <v>43352226360007</v>
      </c>
      <c r="B598" s="0" t="s">
        <v>1430</v>
      </c>
      <c r="C598" s="0" t="s">
        <v>1431</v>
      </c>
      <c r="D598" s="0" t="s">
        <v>28</v>
      </c>
      <c r="E598" s="44" t="n">
        <v>43352</v>
      </c>
      <c r="F598" s="0" t="s">
        <v>102</v>
      </c>
      <c r="G598" s="0" t="n">
        <v>21356941</v>
      </c>
      <c r="H598" s="0" t="n">
        <v>720193</v>
      </c>
      <c r="I598" s="0" t="s">
        <v>34</v>
      </c>
      <c r="J598" s="0" t="s">
        <v>174</v>
      </c>
      <c r="K598" s="0" t="s">
        <v>154</v>
      </c>
      <c r="L598" s="0" t="n">
        <v>226360007</v>
      </c>
      <c r="M598" s="0" t="s">
        <v>1349</v>
      </c>
      <c r="N598" s="0" t="n">
        <v>104455906</v>
      </c>
      <c r="O598" s="0" t="n">
        <v>1</v>
      </c>
      <c r="P598" s="0" t="n">
        <v>0</v>
      </c>
      <c r="Q598" s="0" t="str">
        <f aca="false">IFERROR(VLOOKUP(B598,[2]'Cost Correction'!$D$2:$AJ$1627,33,0),"")</f>
        <v/>
      </c>
    </row>
    <row r="599" customFormat="false" ht="15" hidden="false" customHeight="false" outlineLevel="0" collapsed="false">
      <c r="A599" s="0" t="str">
        <f aca="false">E599&amp;L599&amp;Q599</f>
        <v>43358226496143</v>
      </c>
      <c r="B599" s="0" t="s">
        <v>1432</v>
      </c>
      <c r="C599" s="0" t="s">
        <v>1433</v>
      </c>
      <c r="D599" s="0" t="s">
        <v>28</v>
      </c>
      <c r="E599" s="44" t="n">
        <v>43358</v>
      </c>
      <c r="F599" s="0" t="s">
        <v>102</v>
      </c>
      <c r="G599" s="0" t="n">
        <v>21356941</v>
      </c>
      <c r="H599" s="0" t="n">
        <v>720193</v>
      </c>
      <c r="I599" s="0" t="s">
        <v>34</v>
      </c>
      <c r="J599" s="0" t="s">
        <v>174</v>
      </c>
      <c r="K599" s="0" t="s">
        <v>155</v>
      </c>
      <c r="L599" s="0" t="n">
        <v>226496143</v>
      </c>
      <c r="M599" s="0" t="s">
        <v>1349</v>
      </c>
      <c r="N599" s="0" t="n">
        <v>104455906</v>
      </c>
      <c r="O599" s="0" t="n">
        <v>0</v>
      </c>
      <c r="P599" s="0" t="n">
        <v>0</v>
      </c>
      <c r="Q599" s="0" t="str">
        <f aca="false">IFERROR(VLOOKUP(B599,[2]'Cost Correction'!$D$2:$AJ$1627,33,0),"")</f>
        <v/>
      </c>
    </row>
    <row r="600" customFormat="false" ht="15" hidden="false" customHeight="false" outlineLevel="0" collapsed="false">
      <c r="A600" s="0" t="str">
        <f aca="false">E600&amp;L600&amp;Q600</f>
        <v>43357226496143</v>
      </c>
      <c r="B600" s="0" t="s">
        <v>1434</v>
      </c>
      <c r="C600" s="0" t="s">
        <v>1435</v>
      </c>
      <c r="D600" s="0" t="s">
        <v>28</v>
      </c>
      <c r="E600" s="44" t="n">
        <v>43357</v>
      </c>
      <c r="F600" s="0" t="s">
        <v>102</v>
      </c>
      <c r="G600" s="0" t="n">
        <v>21356941</v>
      </c>
      <c r="H600" s="0" t="n">
        <v>720193</v>
      </c>
      <c r="I600" s="0" t="s">
        <v>34</v>
      </c>
      <c r="J600" s="0" t="s">
        <v>174</v>
      </c>
      <c r="K600" s="0" t="s">
        <v>155</v>
      </c>
      <c r="L600" s="0" t="n">
        <v>226496143</v>
      </c>
      <c r="M600" s="0" t="s">
        <v>1349</v>
      </c>
      <c r="N600" s="0" t="n">
        <v>104455906</v>
      </c>
      <c r="O600" s="0" t="n">
        <v>0</v>
      </c>
      <c r="P600" s="0" t="n">
        <v>0</v>
      </c>
      <c r="Q600" s="0" t="str">
        <f aca="false">IFERROR(VLOOKUP(B600,[2]'Cost Correction'!$D$2:$AJ$1627,33,0),"")</f>
        <v/>
      </c>
    </row>
    <row r="601" customFormat="false" ht="15" hidden="false" customHeight="false" outlineLevel="0" collapsed="false">
      <c r="A601" s="0" t="str">
        <f aca="false">E601&amp;L601&amp;Q601</f>
        <v>43356226496143</v>
      </c>
      <c r="B601" s="0" t="s">
        <v>1436</v>
      </c>
      <c r="C601" s="0" t="s">
        <v>1437</v>
      </c>
      <c r="D601" s="0" t="s">
        <v>28</v>
      </c>
      <c r="E601" s="44" t="n">
        <v>43356</v>
      </c>
      <c r="F601" s="0" t="s">
        <v>102</v>
      </c>
      <c r="G601" s="0" t="n">
        <v>21356941</v>
      </c>
      <c r="H601" s="0" t="n">
        <v>720193</v>
      </c>
      <c r="I601" s="0" t="s">
        <v>34</v>
      </c>
      <c r="J601" s="0" t="s">
        <v>174</v>
      </c>
      <c r="K601" s="0" t="s">
        <v>155</v>
      </c>
      <c r="L601" s="0" t="n">
        <v>226496143</v>
      </c>
      <c r="M601" s="0" t="s">
        <v>1349</v>
      </c>
      <c r="N601" s="0" t="n">
        <v>104455906</v>
      </c>
      <c r="O601" s="0" t="n">
        <v>0</v>
      </c>
      <c r="P601" s="0" t="n">
        <v>0</v>
      </c>
      <c r="Q601" s="0" t="str">
        <f aca="false">IFERROR(VLOOKUP(B601,[2]'Cost Correction'!$D$2:$AJ$1627,33,0),"")</f>
        <v/>
      </c>
    </row>
    <row r="602" customFormat="false" ht="15" hidden="false" customHeight="false" outlineLevel="0" collapsed="false">
      <c r="A602" s="0" t="str">
        <f aca="false">E602&amp;L602&amp;Q602</f>
        <v>43355226496143</v>
      </c>
      <c r="B602" s="0" t="s">
        <v>1438</v>
      </c>
      <c r="C602" s="0" t="s">
        <v>1439</v>
      </c>
      <c r="D602" s="0" t="s">
        <v>28</v>
      </c>
      <c r="E602" s="44" t="n">
        <v>43355</v>
      </c>
      <c r="F602" s="0" t="s">
        <v>102</v>
      </c>
      <c r="G602" s="0" t="n">
        <v>21356941</v>
      </c>
      <c r="H602" s="0" t="n">
        <v>720193</v>
      </c>
      <c r="I602" s="0" t="s">
        <v>34</v>
      </c>
      <c r="J602" s="0" t="s">
        <v>174</v>
      </c>
      <c r="K602" s="0" t="s">
        <v>155</v>
      </c>
      <c r="L602" s="0" t="n">
        <v>226496143</v>
      </c>
      <c r="M602" s="0" t="s">
        <v>1349</v>
      </c>
      <c r="N602" s="0" t="n">
        <v>104455906</v>
      </c>
      <c r="O602" s="0" t="n">
        <v>0</v>
      </c>
      <c r="P602" s="0" t="n">
        <v>0</v>
      </c>
      <c r="Q602" s="0" t="str">
        <f aca="false">IFERROR(VLOOKUP(B602,[2]'Cost Correction'!$D$2:$AJ$1627,33,0),"")</f>
        <v/>
      </c>
    </row>
    <row r="603" customFormat="false" ht="15" hidden="false" customHeight="false" outlineLevel="0" collapsed="false">
      <c r="A603" s="0" t="str">
        <f aca="false">E603&amp;L603&amp;Q603</f>
        <v>43354226496143</v>
      </c>
      <c r="B603" s="0" t="s">
        <v>1440</v>
      </c>
      <c r="C603" s="0" t="s">
        <v>1441</v>
      </c>
      <c r="D603" s="0" t="s">
        <v>28</v>
      </c>
      <c r="E603" s="44" t="n">
        <v>43354</v>
      </c>
      <c r="F603" s="0" t="s">
        <v>102</v>
      </c>
      <c r="G603" s="0" t="n">
        <v>21356941</v>
      </c>
      <c r="H603" s="0" t="n">
        <v>720193</v>
      </c>
      <c r="I603" s="0" t="s">
        <v>34</v>
      </c>
      <c r="J603" s="0" t="s">
        <v>174</v>
      </c>
      <c r="K603" s="0" t="s">
        <v>155</v>
      </c>
      <c r="L603" s="0" t="n">
        <v>226496143</v>
      </c>
      <c r="M603" s="0" t="s">
        <v>1349</v>
      </c>
      <c r="N603" s="0" t="n">
        <v>104455906</v>
      </c>
      <c r="O603" s="0" t="n">
        <v>0</v>
      </c>
      <c r="P603" s="0" t="n">
        <v>0</v>
      </c>
      <c r="Q603" s="0" t="str">
        <f aca="false">IFERROR(VLOOKUP(B603,[2]'Cost Correction'!$D$2:$AJ$1627,33,0),"")</f>
        <v/>
      </c>
    </row>
    <row r="604" customFormat="false" ht="15" hidden="false" customHeight="false" outlineLevel="0" collapsed="false">
      <c r="A604" s="0" t="str">
        <f aca="false">E604&amp;L604&amp;Q604</f>
        <v>43353226496143</v>
      </c>
      <c r="B604" s="0" t="s">
        <v>1442</v>
      </c>
      <c r="C604" s="0" t="s">
        <v>1443</v>
      </c>
      <c r="D604" s="0" t="s">
        <v>28</v>
      </c>
      <c r="E604" s="44" t="n">
        <v>43353</v>
      </c>
      <c r="F604" s="0" t="s">
        <v>102</v>
      </c>
      <c r="G604" s="0" t="n">
        <v>21356941</v>
      </c>
      <c r="H604" s="0" t="n">
        <v>720193</v>
      </c>
      <c r="I604" s="0" t="s">
        <v>34</v>
      </c>
      <c r="J604" s="0" t="s">
        <v>174</v>
      </c>
      <c r="K604" s="0" t="s">
        <v>155</v>
      </c>
      <c r="L604" s="0" t="n">
        <v>226496143</v>
      </c>
      <c r="M604" s="0" t="s">
        <v>1349</v>
      </c>
      <c r="N604" s="0" t="n">
        <v>104455906</v>
      </c>
      <c r="O604" s="0" t="n">
        <v>0</v>
      </c>
      <c r="P604" s="0" t="n">
        <v>0</v>
      </c>
      <c r="Q604" s="0" t="str">
        <f aca="false">IFERROR(VLOOKUP(B604,[2]'Cost Correction'!$D$2:$AJ$1627,33,0),"")</f>
        <v/>
      </c>
    </row>
    <row r="605" customFormat="false" ht="15" hidden="false" customHeight="false" outlineLevel="0" collapsed="false">
      <c r="A605" s="0" t="str">
        <f aca="false">E605&amp;L605&amp;Q605</f>
        <v>43352226496143</v>
      </c>
      <c r="B605" s="0" t="s">
        <v>1444</v>
      </c>
      <c r="C605" s="0" t="s">
        <v>1445</v>
      </c>
      <c r="D605" s="0" t="s">
        <v>28</v>
      </c>
      <c r="E605" s="44" t="n">
        <v>43352</v>
      </c>
      <c r="F605" s="0" t="s">
        <v>102</v>
      </c>
      <c r="G605" s="0" t="n">
        <v>21356941</v>
      </c>
      <c r="H605" s="0" t="n">
        <v>720193</v>
      </c>
      <c r="I605" s="0" t="s">
        <v>34</v>
      </c>
      <c r="J605" s="0" t="s">
        <v>174</v>
      </c>
      <c r="K605" s="0" t="s">
        <v>155</v>
      </c>
      <c r="L605" s="0" t="n">
        <v>226496143</v>
      </c>
      <c r="M605" s="0" t="s">
        <v>1349</v>
      </c>
      <c r="N605" s="0" t="n">
        <v>104455906</v>
      </c>
      <c r="O605" s="0" t="n">
        <v>0</v>
      </c>
      <c r="P605" s="0" t="n">
        <v>0</v>
      </c>
      <c r="Q605" s="0" t="str">
        <f aca="false">IFERROR(VLOOKUP(B605,[2]'Cost Correction'!$D$2:$AJ$1627,33,0),"")</f>
        <v/>
      </c>
    </row>
    <row r="606" customFormat="false" ht="15" hidden="false" customHeight="false" outlineLevel="0" collapsed="false">
      <c r="A606" s="0" t="str">
        <f aca="false">E606&amp;L606&amp;Q606</f>
        <v>43358226360016</v>
      </c>
      <c r="B606" s="0" t="s">
        <v>1446</v>
      </c>
      <c r="C606" s="0" t="s">
        <v>1447</v>
      </c>
      <c r="D606" s="0" t="s">
        <v>28</v>
      </c>
      <c r="E606" s="44" t="n">
        <v>43358</v>
      </c>
      <c r="F606" s="0" t="s">
        <v>102</v>
      </c>
      <c r="G606" s="0" t="n">
        <v>21356941</v>
      </c>
      <c r="H606" s="0" t="n">
        <v>720193</v>
      </c>
      <c r="I606" s="0" t="s">
        <v>34</v>
      </c>
      <c r="J606" s="0" t="s">
        <v>174</v>
      </c>
      <c r="K606" s="0" t="s">
        <v>156</v>
      </c>
      <c r="L606" s="0" t="n">
        <v>226360016</v>
      </c>
      <c r="M606" s="0" t="s">
        <v>1319</v>
      </c>
      <c r="N606" s="0" t="n">
        <v>104456278</v>
      </c>
      <c r="O606" s="0" t="n">
        <v>0</v>
      </c>
      <c r="P606" s="0" t="n">
        <v>0</v>
      </c>
      <c r="Q606" s="0" t="str">
        <f aca="false">IFERROR(VLOOKUP(B606,[2]'Cost Correction'!$D$2:$AJ$1627,33,0),"")</f>
        <v/>
      </c>
    </row>
    <row r="607" customFormat="false" ht="15" hidden="false" customHeight="false" outlineLevel="0" collapsed="false">
      <c r="A607" s="0" t="str">
        <f aca="false">E607&amp;L607&amp;Q607</f>
        <v>43357226360016</v>
      </c>
      <c r="B607" s="0" t="s">
        <v>1448</v>
      </c>
      <c r="C607" s="0" t="s">
        <v>1449</v>
      </c>
      <c r="D607" s="0" t="s">
        <v>28</v>
      </c>
      <c r="E607" s="44" t="n">
        <v>43357</v>
      </c>
      <c r="F607" s="0" t="s">
        <v>102</v>
      </c>
      <c r="G607" s="0" t="n">
        <v>21356941</v>
      </c>
      <c r="H607" s="0" t="n">
        <v>720193</v>
      </c>
      <c r="I607" s="0" t="s">
        <v>34</v>
      </c>
      <c r="J607" s="0" t="s">
        <v>174</v>
      </c>
      <c r="K607" s="0" t="s">
        <v>156</v>
      </c>
      <c r="L607" s="0" t="n">
        <v>226360016</v>
      </c>
      <c r="M607" s="0" t="s">
        <v>1319</v>
      </c>
      <c r="N607" s="0" t="n">
        <v>104456278</v>
      </c>
      <c r="O607" s="0" t="n">
        <v>0</v>
      </c>
      <c r="P607" s="0" t="n">
        <v>0</v>
      </c>
      <c r="Q607" s="0" t="str">
        <f aca="false">IFERROR(VLOOKUP(B607,[2]'Cost Correction'!$D$2:$AJ$1627,33,0),"")</f>
        <v/>
      </c>
    </row>
    <row r="608" customFormat="false" ht="15" hidden="false" customHeight="false" outlineLevel="0" collapsed="false">
      <c r="A608" s="0" t="str">
        <f aca="false">E608&amp;L608&amp;Q608</f>
        <v>43356226360016</v>
      </c>
      <c r="B608" s="0" t="s">
        <v>1450</v>
      </c>
      <c r="C608" s="0" t="s">
        <v>1451</v>
      </c>
      <c r="D608" s="0" t="s">
        <v>28</v>
      </c>
      <c r="E608" s="44" t="n">
        <v>43356</v>
      </c>
      <c r="F608" s="0" t="s">
        <v>102</v>
      </c>
      <c r="G608" s="0" t="n">
        <v>21356941</v>
      </c>
      <c r="H608" s="0" t="n">
        <v>720193</v>
      </c>
      <c r="I608" s="0" t="s">
        <v>34</v>
      </c>
      <c r="J608" s="0" t="s">
        <v>174</v>
      </c>
      <c r="K608" s="0" t="s">
        <v>156</v>
      </c>
      <c r="L608" s="0" t="n">
        <v>226360016</v>
      </c>
      <c r="M608" s="0" t="s">
        <v>1319</v>
      </c>
      <c r="N608" s="0" t="n">
        <v>104456278</v>
      </c>
      <c r="O608" s="0" t="n">
        <v>0</v>
      </c>
      <c r="P608" s="0" t="n">
        <v>0</v>
      </c>
      <c r="Q608" s="0" t="str">
        <f aca="false">IFERROR(VLOOKUP(B608,[2]'Cost Correction'!$D$2:$AJ$1627,33,0),"")</f>
        <v/>
      </c>
    </row>
    <row r="609" customFormat="false" ht="15" hidden="false" customHeight="false" outlineLevel="0" collapsed="false">
      <c r="A609" s="0" t="str">
        <f aca="false">E609&amp;L609&amp;Q609</f>
        <v>43355226360016</v>
      </c>
      <c r="B609" s="0" t="s">
        <v>1452</v>
      </c>
      <c r="C609" s="0" t="s">
        <v>1453</v>
      </c>
      <c r="D609" s="0" t="s">
        <v>28</v>
      </c>
      <c r="E609" s="44" t="n">
        <v>43355</v>
      </c>
      <c r="F609" s="0" t="s">
        <v>102</v>
      </c>
      <c r="G609" s="0" t="n">
        <v>21356941</v>
      </c>
      <c r="H609" s="0" t="n">
        <v>720193</v>
      </c>
      <c r="I609" s="0" t="s">
        <v>34</v>
      </c>
      <c r="J609" s="0" t="s">
        <v>174</v>
      </c>
      <c r="K609" s="0" t="s">
        <v>156</v>
      </c>
      <c r="L609" s="0" t="n">
        <v>226360016</v>
      </c>
      <c r="M609" s="0" t="s">
        <v>1319</v>
      </c>
      <c r="N609" s="0" t="n">
        <v>104456278</v>
      </c>
      <c r="O609" s="0" t="n">
        <v>0</v>
      </c>
      <c r="P609" s="0" t="n">
        <v>0</v>
      </c>
      <c r="Q609" s="0" t="str">
        <f aca="false">IFERROR(VLOOKUP(B609,[2]'Cost Correction'!$D$2:$AJ$1627,33,0),"")</f>
        <v/>
      </c>
    </row>
    <row r="610" customFormat="false" ht="15" hidden="false" customHeight="false" outlineLevel="0" collapsed="false">
      <c r="A610" s="0" t="str">
        <f aca="false">E610&amp;L610&amp;Q610</f>
        <v>43354226360016</v>
      </c>
      <c r="B610" s="0" t="s">
        <v>1454</v>
      </c>
      <c r="C610" s="0" t="s">
        <v>1455</v>
      </c>
      <c r="D610" s="0" t="s">
        <v>28</v>
      </c>
      <c r="E610" s="44" t="n">
        <v>43354</v>
      </c>
      <c r="F610" s="0" t="s">
        <v>102</v>
      </c>
      <c r="G610" s="0" t="n">
        <v>21356941</v>
      </c>
      <c r="H610" s="0" t="n">
        <v>720193</v>
      </c>
      <c r="I610" s="0" t="s">
        <v>34</v>
      </c>
      <c r="J610" s="0" t="s">
        <v>174</v>
      </c>
      <c r="K610" s="0" t="s">
        <v>156</v>
      </c>
      <c r="L610" s="0" t="n">
        <v>226360016</v>
      </c>
      <c r="M610" s="0" t="s">
        <v>1319</v>
      </c>
      <c r="N610" s="0" t="n">
        <v>104456278</v>
      </c>
      <c r="O610" s="0" t="n">
        <v>0</v>
      </c>
      <c r="P610" s="0" t="n">
        <v>0</v>
      </c>
      <c r="Q610" s="0" t="str">
        <f aca="false">IFERROR(VLOOKUP(B610,[2]'Cost Correction'!$D$2:$AJ$1627,33,0),"")</f>
        <v/>
      </c>
    </row>
    <row r="611" customFormat="false" ht="15" hidden="true" customHeight="false" outlineLevel="0" collapsed="false">
      <c r="A611" s="0" t="str">
        <f aca="false">E611&amp;L611&amp;Q611</f>
        <v>43353226360016104456278</v>
      </c>
      <c r="B611" s="0" t="s">
        <v>1456</v>
      </c>
      <c r="C611" s="0" t="s">
        <v>1457</v>
      </c>
      <c r="D611" s="0" t="s">
        <v>28</v>
      </c>
      <c r="E611" s="44" t="n">
        <v>43353</v>
      </c>
      <c r="F611" s="0" t="s">
        <v>102</v>
      </c>
      <c r="G611" s="0" t="n">
        <v>21356941</v>
      </c>
      <c r="H611" s="0" t="n">
        <v>720193</v>
      </c>
      <c r="I611" s="0" t="s">
        <v>34</v>
      </c>
      <c r="J611" s="0" t="s">
        <v>174</v>
      </c>
      <c r="K611" s="0" t="s">
        <v>156</v>
      </c>
      <c r="L611" s="0" t="n">
        <v>226360016</v>
      </c>
      <c r="M611" s="0" t="s">
        <v>1319</v>
      </c>
      <c r="N611" s="0" t="n">
        <v>104456278</v>
      </c>
      <c r="O611" s="0" t="n">
        <v>2525</v>
      </c>
      <c r="P611" s="0" t="n">
        <v>16.1</v>
      </c>
      <c r="Q611" s="0" t="n">
        <f aca="false">IFERROR(VLOOKUP(B611,[2]'Cost Correction'!$D$2:$AJ$1627,33,0),"")</f>
        <v>104456278</v>
      </c>
    </row>
    <row r="612" customFormat="false" ht="15" hidden="true" customHeight="false" outlineLevel="0" collapsed="false">
      <c r="A612" s="0" t="str">
        <f aca="false">E612&amp;L612&amp;Q612</f>
        <v>43352226360016104456278</v>
      </c>
      <c r="B612" s="0" t="s">
        <v>1458</v>
      </c>
      <c r="C612" s="0" t="s">
        <v>1459</v>
      </c>
      <c r="D612" s="0" t="s">
        <v>28</v>
      </c>
      <c r="E612" s="44" t="n">
        <v>43352</v>
      </c>
      <c r="F612" s="0" t="s">
        <v>102</v>
      </c>
      <c r="G612" s="0" t="n">
        <v>21356941</v>
      </c>
      <c r="H612" s="0" t="n">
        <v>720193</v>
      </c>
      <c r="I612" s="0" t="s">
        <v>34</v>
      </c>
      <c r="J612" s="0" t="s">
        <v>174</v>
      </c>
      <c r="K612" s="0" t="s">
        <v>156</v>
      </c>
      <c r="L612" s="0" t="n">
        <v>226360016</v>
      </c>
      <c r="M612" s="0" t="s">
        <v>1319</v>
      </c>
      <c r="N612" s="0" t="n">
        <v>104456278</v>
      </c>
      <c r="O612" s="0" t="n">
        <v>9360</v>
      </c>
      <c r="P612" s="0" t="n">
        <v>60.7</v>
      </c>
      <c r="Q612" s="0" t="n">
        <f aca="false">IFERROR(VLOOKUP(B612,[2]'Cost Correction'!$D$2:$AJ$1627,33,0),"")</f>
        <v>104456278</v>
      </c>
    </row>
    <row r="613" customFormat="false" ht="15" hidden="false" customHeight="false" outlineLevel="0" collapsed="false">
      <c r="A613" s="0" t="str">
        <f aca="false">E613&amp;L613&amp;Q613</f>
        <v>43358226360010</v>
      </c>
      <c r="B613" s="0" t="s">
        <v>1460</v>
      </c>
      <c r="C613" s="0" t="s">
        <v>1461</v>
      </c>
      <c r="D613" s="0" t="s">
        <v>28</v>
      </c>
      <c r="E613" s="44" t="n">
        <v>43358</v>
      </c>
      <c r="F613" s="0" t="s">
        <v>102</v>
      </c>
      <c r="G613" s="0" t="n">
        <v>21356941</v>
      </c>
      <c r="H613" s="0" t="n">
        <v>720193</v>
      </c>
      <c r="I613" s="0" t="s">
        <v>34</v>
      </c>
      <c r="J613" s="0" t="s">
        <v>174</v>
      </c>
      <c r="K613" s="0" t="s">
        <v>157</v>
      </c>
      <c r="L613" s="0" t="n">
        <v>226360010</v>
      </c>
      <c r="M613" s="0" t="s">
        <v>1334</v>
      </c>
      <c r="N613" s="0" t="n">
        <v>104458003</v>
      </c>
      <c r="O613" s="0" t="n">
        <v>0</v>
      </c>
      <c r="P613" s="0" t="n">
        <v>0</v>
      </c>
      <c r="Q613" s="0" t="str">
        <f aca="false">IFERROR(VLOOKUP(B613,[2]'Cost Correction'!$D$2:$AJ$1627,33,0),"")</f>
        <v/>
      </c>
    </row>
    <row r="614" customFormat="false" ht="15" hidden="false" customHeight="false" outlineLevel="0" collapsed="false">
      <c r="A614" s="0" t="str">
        <f aca="false">E614&amp;L614&amp;Q614</f>
        <v>43357226360010</v>
      </c>
      <c r="B614" s="0" t="s">
        <v>1462</v>
      </c>
      <c r="C614" s="0" t="s">
        <v>1463</v>
      </c>
      <c r="D614" s="0" t="s">
        <v>28</v>
      </c>
      <c r="E614" s="44" t="n">
        <v>43357</v>
      </c>
      <c r="F614" s="0" t="s">
        <v>102</v>
      </c>
      <c r="G614" s="0" t="n">
        <v>21356941</v>
      </c>
      <c r="H614" s="0" t="n">
        <v>720193</v>
      </c>
      <c r="I614" s="0" t="s">
        <v>34</v>
      </c>
      <c r="J614" s="0" t="s">
        <v>174</v>
      </c>
      <c r="K614" s="0" t="s">
        <v>157</v>
      </c>
      <c r="L614" s="0" t="n">
        <v>226360010</v>
      </c>
      <c r="M614" s="0" t="s">
        <v>1334</v>
      </c>
      <c r="N614" s="0" t="n">
        <v>104458003</v>
      </c>
      <c r="O614" s="0" t="n">
        <v>0</v>
      </c>
      <c r="P614" s="0" t="n">
        <v>0</v>
      </c>
      <c r="Q614" s="0" t="str">
        <f aca="false">IFERROR(VLOOKUP(B614,[2]'Cost Correction'!$D$2:$AJ$1627,33,0),"")</f>
        <v/>
      </c>
    </row>
    <row r="615" customFormat="false" ht="15" hidden="false" customHeight="false" outlineLevel="0" collapsed="false">
      <c r="A615" s="0" t="str">
        <f aca="false">E615&amp;L615&amp;Q615</f>
        <v>43356226360010</v>
      </c>
      <c r="B615" s="0" t="s">
        <v>1464</v>
      </c>
      <c r="C615" s="0" t="s">
        <v>1465</v>
      </c>
      <c r="D615" s="0" t="s">
        <v>28</v>
      </c>
      <c r="E615" s="44" t="n">
        <v>43356</v>
      </c>
      <c r="F615" s="0" t="s">
        <v>102</v>
      </c>
      <c r="G615" s="0" t="n">
        <v>21356941</v>
      </c>
      <c r="H615" s="0" t="n">
        <v>720193</v>
      </c>
      <c r="I615" s="0" t="s">
        <v>34</v>
      </c>
      <c r="J615" s="0" t="s">
        <v>174</v>
      </c>
      <c r="K615" s="0" t="s">
        <v>157</v>
      </c>
      <c r="L615" s="0" t="n">
        <v>226360010</v>
      </c>
      <c r="M615" s="0" t="s">
        <v>1334</v>
      </c>
      <c r="N615" s="0" t="n">
        <v>104458003</v>
      </c>
      <c r="O615" s="0" t="n">
        <v>0</v>
      </c>
      <c r="P615" s="0" t="n">
        <v>0</v>
      </c>
      <c r="Q615" s="0" t="str">
        <f aca="false">IFERROR(VLOOKUP(B615,[2]'Cost Correction'!$D$2:$AJ$1627,33,0),"")</f>
        <v/>
      </c>
    </row>
    <row r="616" customFormat="false" ht="15" hidden="false" customHeight="false" outlineLevel="0" collapsed="false">
      <c r="A616" s="0" t="str">
        <f aca="false">E616&amp;L616&amp;Q616</f>
        <v>43355226360010</v>
      </c>
      <c r="B616" s="0" t="s">
        <v>1466</v>
      </c>
      <c r="C616" s="0" t="s">
        <v>1467</v>
      </c>
      <c r="D616" s="0" t="s">
        <v>28</v>
      </c>
      <c r="E616" s="44" t="n">
        <v>43355</v>
      </c>
      <c r="F616" s="0" t="s">
        <v>102</v>
      </c>
      <c r="G616" s="0" t="n">
        <v>21356941</v>
      </c>
      <c r="H616" s="0" t="n">
        <v>720193</v>
      </c>
      <c r="I616" s="0" t="s">
        <v>34</v>
      </c>
      <c r="J616" s="0" t="s">
        <v>174</v>
      </c>
      <c r="K616" s="0" t="s">
        <v>157</v>
      </c>
      <c r="L616" s="0" t="n">
        <v>226360010</v>
      </c>
      <c r="M616" s="0" t="s">
        <v>1334</v>
      </c>
      <c r="N616" s="0" t="n">
        <v>104458003</v>
      </c>
      <c r="O616" s="0" t="n">
        <v>0</v>
      </c>
      <c r="P616" s="0" t="n">
        <v>0</v>
      </c>
      <c r="Q616" s="0" t="str">
        <f aca="false">IFERROR(VLOOKUP(B616,[2]'Cost Correction'!$D$2:$AJ$1627,33,0),"")</f>
        <v/>
      </c>
    </row>
    <row r="617" customFormat="false" ht="15" hidden="false" customHeight="false" outlineLevel="0" collapsed="false">
      <c r="A617" s="0" t="str">
        <f aca="false">E617&amp;L617&amp;Q617</f>
        <v>43354226360010</v>
      </c>
      <c r="B617" s="0" t="s">
        <v>1468</v>
      </c>
      <c r="C617" s="0" t="s">
        <v>1469</v>
      </c>
      <c r="D617" s="0" t="s">
        <v>28</v>
      </c>
      <c r="E617" s="44" t="n">
        <v>43354</v>
      </c>
      <c r="F617" s="0" t="s">
        <v>102</v>
      </c>
      <c r="G617" s="0" t="n">
        <v>21356941</v>
      </c>
      <c r="H617" s="0" t="n">
        <v>720193</v>
      </c>
      <c r="I617" s="0" t="s">
        <v>34</v>
      </c>
      <c r="J617" s="0" t="s">
        <v>174</v>
      </c>
      <c r="K617" s="0" t="s">
        <v>157</v>
      </c>
      <c r="L617" s="0" t="n">
        <v>226360010</v>
      </c>
      <c r="M617" s="0" t="s">
        <v>1334</v>
      </c>
      <c r="N617" s="0" t="n">
        <v>104458003</v>
      </c>
      <c r="O617" s="0" t="n">
        <v>0</v>
      </c>
      <c r="P617" s="0" t="n">
        <v>0</v>
      </c>
      <c r="Q617" s="0" t="str">
        <f aca="false">IFERROR(VLOOKUP(B617,[2]'Cost Correction'!$D$2:$AJ$1627,33,0),"")</f>
        <v/>
      </c>
    </row>
    <row r="618" customFormat="false" ht="15" hidden="true" customHeight="false" outlineLevel="0" collapsed="false">
      <c r="A618" s="0" t="str">
        <f aca="false">E618&amp;L618&amp;Q618</f>
        <v>43353226360010104458003</v>
      </c>
      <c r="B618" s="0" t="s">
        <v>1470</v>
      </c>
      <c r="C618" s="0" t="s">
        <v>1471</v>
      </c>
      <c r="D618" s="0" t="s">
        <v>28</v>
      </c>
      <c r="E618" s="44" t="n">
        <v>43353</v>
      </c>
      <c r="F618" s="0" t="s">
        <v>102</v>
      </c>
      <c r="G618" s="0" t="n">
        <v>21356941</v>
      </c>
      <c r="H618" s="0" t="n">
        <v>720193</v>
      </c>
      <c r="I618" s="0" t="s">
        <v>34</v>
      </c>
      <c r="J618" s="0" t="s">
        <v>174</v>
      </c>
      <c r="K618" s="0" t="s">
        <v>157</v>
      </c>
      <c r="L618" s="0" t="n">
        <v>226360010</v>
      </c>
      <c r="M618" s="0" t="s">
        <v>1334</v>
      </c>
      <c r="N618" s="0" t="n">
        <v>104458003</v>
      </c>
      <c r="O618" s="0" t="n">
        <v>6</v>
      </c>
      <c r="P618" s="0" t="n">
        <v>0.01</v>
      </c>
      <c r="Q618" s="0" t="n">
        <f aca="false">IFERROR(VLOOKUP(B618,[2]'Cost Correction'!$D$2:$AJ$1627,33,0),"")</f>
        <v>104458003</v>
      </c>
    </row>
    <row r="619" customFormat="false" ht="15" hidden="true" customHeight="false" outlineLevel="0" collapsed="false">
      <c r="A619" s="0" t="str">
        <f aca="false">E619&amp;L619&amp;Q619</f>
        <v>43352226360010104458003</v>
      </c>
      <c r="B619" s="0" t="s">
        <v>1472</v>
      </c>
      <c r="C619" s="0" t="s">
        <v>1473</v>
      </c>
      <c r="D619" s="0" t="s">
        <v>28</v>
      </c>
      <c r="E619" s="44" t="n">
        <v>43352</v>
      </c>
      <c r="F619" s="0" t="s">
        <v>102</v>
      </c>
      <c r="G619" s="0" t="n">
        <v>21356941</v>
      </c>
      <c r="H619" s="0" t="n">
        <v>720193</v>
      </c>
      <c r="I619" s="0" t="s">
        <v>34</v>
      </c>
      <c r="J619" s="0" t="s">
        <v>174</v>
      </c>
      <c r="K619" s="0" t="s">
        <v>157</v>
      </c>
      <c r="L619" s="0" t="n">
        <v>226360010</v>
      </c>
      <c r="M619" s="0" t="s">
        <v>1334</v>
      </c>
      <c r="N619" s="0" t="n">
        <v>104458003</v>
      </c>
      <c r="O619" s="0" t="n">
        <v>22</v>
      </c>
      <c r="P619" s="0" t="n">
        <v>0.23</v>
      </c>
      <c r="Q619" s="0" t="n">
        <f aca="false">IFERROR(VLOOKUP(B619,[2]'Cost Correction'!$D$2:$AJ$1627,33,0),"")</f>
        <v>104458003</v>
      </c>
    </row>
    <row r="620" customFormat="false" ht="15" hidden="false" customHeight="false" outlineLevel="0" collapsed="false">
      <c r="A620" s="0" t="str">
        <f aca="false">E620&amp;L620&amp;Q620</f>
        <v>43358226360022</v>
      </c>
      <c r="B620" s="0" t="s">
        <v>1474</v>
      </c>
      <c r="C620" s="0" t="s">
        <v>1475</v>
      </c>
      <c r="D620" s="0" t="s">
        <v>28</v>
      </c>
      <c r="E620" s="44" t="n">
        <v>43358</v>
      </c>
      <c r="F620" s="0" t="s">
        <v>102</v>
      </c>
      <c r="G620" s="0" t="n">
        <v>21356941</v>
      </c>
      <c r="H620" s="0" t="n">
        <v>720193</v>
      </c>
      <c r="I620" s="0" t="s">
        <v>34</v>
      </c>
      <c r="J620" s="0" t="s">
        <v>174</v>
      </c>
      <c r="K620" s="0" t="s">
        <v>158</v>
      </c>
      <c r="L620" s="0" t="n">
        <v>226360022</v>
      </c>
      <c r="M620" s="0" t="s">
        <v>1349</v>
      </c>
      <c r="N620" s="0" t="n">
        <v>104455906</v>
      </c>
      <c r="O620" s="0" t="n">
        <v>0</v>
      </c>
      <c r="P620" s="0" t="n">
        <v>0</v>
      </c>
      <c r="Q620" s="0" t="str">
        <f aca="false">IFERROR(VLOOKUP(B620,[2]'Cost Correction'!$D$2:$AJ$1627,33,0),"")</f>
        <v/>
      </c>
    </row>
    <row r="621" customFormat="false" ht="15" hidden="false" customHeight="false" outlineLevel="0" collapsed="false">
      <c r="A621" s="0" t="str">
        <f aca="false">E621&amp;L621&amp;Q621</f>
        <v>43357226360022</v>
      </c>
      <c r="B621" s="0" t="s">
        <v>1476</v>
      </c>
      <c r="C621" s="0" t="s">
        <v>1477</v>
      </c>
      <c r="D621" s="0" t="s">
        <v>28</v>
      </c>
      <c r="E621" s="44" t="n">
        <v>43357</v>
      </c>
      <c r="F621" s="0" t="s">
        <v>102</v>
      </c>
      <c r="G621" s="0" t="n">
        <v>21356941</v>
      </c>
      <c r="H621" s="0" t="n">
        <v>720193</v>
      </c>
      <c r="I621" s="0" t="s">
        <v>34</v>
      </c>
      <c r="J621" s="0" t="s">
        <v>174</v>
      </c>
      <c r="K621" s="0" t="s">
        <v>158</v>
      </c>
      <c r="L621" s="0" t="n">
        <v>226360022</v>
      </c>
      <c r="M621" s="0" t="s">
        <v>1349</v>
      </c>
      <c r="N621" s="0" t="n">
        <v>104455906</v>
      </c>
      <c r="O621" s="0" t="n">
        <v>0</v>
      </c>
      <c r="P621" s="0" t="n">
        <v>0</v>
      </c>
      <c r="Q621" s="0" t="str">
        <f aca="false">IFERROR(VLOOKUP(B621,[2]'Cost Correction'!$D$2:$AJ$1627,33,0),"")</f>
        <v/>
      </c>
    </row>
    <row r="622" customFormat="false" ht="15" hidden="false" customHeight="false" outlineLevel="0" collapsed="false">
      <c r="A622" s="0" t="str">
        <f aca="false">E622&amp;L622&amp;Q622</f>
        <v>43356226360022</v>
      </c>
      <c r="B622" s="0" t="s">
        <v>1478</v>
      </c>
      <c r="C622" s="0" t="s">
        <v>1479</v>
      </c>
      <c r="D622" s="0" t="s">
        <v>28</v>
      </c>
      <c r="E622" s="44" t="n">
        <v>43356</v>
      </c>
      <c r="F622" s="0" t="s">
        <v>102</v>
      </c>
      <c r="G622" s="0" t="n">
        <v>21356941</v>
      </c>
      <c r="H622" s="0" t="n">
        <v>720193</v>
      </c>
      <c r="I622" s="0" t="s">
        <v>34</v>
      </c>
      <c r="J622" s="0" t="s">
        <v>174</v>
      </c>
      <c r="K622" s="0" t="s">
        <v>158</v>
      </c>
      <c r="L622" s="0" t="n">
        <v>226360022</v>
      </c>
      <c r="M622" s="0" t="s">
        <v>1349</v>
      </c>
      <c r="N622" s="0" t="n">
        <v>104455906</v>
      </c>
      <c r="O622" s="0" t="n">
        <v>0</v>
      </c>
      <c r="P622" s="0" t="n">
        <v>0</v>
      </c>
      <c r="Q622" s="0" t="str">
        <f aca="false">IFERROR(VLOOKUP(B622,[2]'Cost Correction'!$D$2:$AJ$1627,33,0),"")</f>
        <v/>
      </c>
    </row>
    <row r="623" customFormat="false" ht="15" hidden="false" customHeight="false" outlineLevel="0" collapsed="false">
      <c r="A623" s="0" t="str">
        <f aca="false">E623&amp;L623&amp;Q623</f>
        <v>43355226360022</v>
      </c>
      <c r="B623" s="0" t="s">
        <v>1480</v>
      </c>
      <c r="C623" s="0" t="s">
        <v>1481</v>
      </c>
      <c r="D623" s="0" t="s">
        <v>28</v>
      </c>
      <c r="E623" s="44" t="n">
        <v>43355</v>
      </c>
      <c r="F623" s="0" t="s">
        <v>102</v>
      </c>
      <c r="G623" s="0" t="n">
        <v>21356941</v>
      </c>
      <c r="H623" s="0" t="n">
        <v>720193</v>
      </c>
      <c r="I623" s="0" t="s">
        <v>34</v>
      </c>
      <c r="J623" s="0" t="s">
        <v>174</v>
      </c>
      <c r="K623" s="0" t="s">
        <v>158</v>
      </c>
      <c r="L623" s="0" t="n">
        <v>226360022</v>
      </c>
      <c r="M623" s="0" t="s">
        <v>1349</v>
      </c>
      <c r="N623" s="0" t="n">
        <v>104455906</v>
      </c>
      <c r="O623" s="0" t="n">
        <v>0</v>
      </c>
      <c r="P623" s="0" t="n">
        <v>0</v>
      </c>
      <c r="Q623" s="0" t="str">
        <f aca="false">IFERROR(VLOOKUP(B623,[2]'Cost Correction'!$D$2:$AJ$1627,33,0),"")</f>
        <v/>
      </c>
    </row>
    <row r="624" customFormat="false" ht="15" hidden="false" customHeight="false" outlineLevel="0" collapsed="false">
      <c r="A624" s="0" t="str">
        <f aca="false">E624&amp;L624&amp;Q624</f>
        <v>43354226360022</v>
      </c>
      <c r="B624" s="0" t="s">
        <v>1482</v>
      </c>
      <c r="C624" s="0" t="s">
        <v>1483</v>
      </c>
      <c r="D624" s="0" t="s">
        <v>28</v>
      </c>
      <c r="E624" s="44" t="n">
        <v>43354</v>
      </c>
      <c r="F624" s="0" t="s">
        <v>102</v>
      </c>
      <c r="G624" s="0" t="n">
        <v>21356941</v>
      </c>
      <c r="H624" s="0" t="n">
        <v>720193</v>
      </c>
      <c r="I624" s="0" t="s">
        <v>34</v>
      </c>
      <c r="J624" s="0" t="s">
        <v>174</v>
      </c>
      <c r="K624" s="0" t="s">
        <v>158</v>
      </c>
      <c r="L624" s="0" t="n">
        <v>226360022</v>
      </c>
      <c r="M624" s="0" t="s">
        <v>1349</v>
      </c>
      <c r="N624" s="0" t="n">
        <v>104455906</v>
      </c>
      <c r="O624" s="0" t="n">
        <v>0</v>
      </c>
      <c r="P624" s="0" t="n">
        <v>0</v>
      </c>
      <c r="Q624" s="0" t="str">
        <f aca="false">IFERROR(VLOOKUP(B624,[2]'Cost Correction'!$D$2:$AJ$1627,33,0),"")</f>
        <v/>
      </c>
    </row>
    <row r="625" customFormat="false" ht="15" hidden="true" customHeight="false" outlineLevel="0" collapsed="false">
      <c r="A625" s="0" t="str">
        <f aca="false">E625&amp;L625&amp;Q625</f>
        <v>43353226360022104455906</v>
      </c>
      <c r="B625" s="0" t="s">
        <v>1484</v>
      </c>
      <c r="C625" s="0" t="s">
        <v>1485</v>
      </c>
      <c r="D625" s="0" t="s">
        <v>28</v>
      </c>
      <c r="E625" s="44" t="n">
        <v>43353</v>
      </c>
      <c r="F625" s="0" t="s">
        <v>102</v>
      </c>
      <c r="G625" s="0" t="n">
        <v>21356941</v>
      </c>
      <c r="H625" s="0" t="n">
        <v>720193</v>
      </c>
      <c r="I625" s="0" t="s">
        <v>34</v>
      </c>
      <c r="J625" s="0" t="s">
        <v>174</v>
      </c>
      <c r="K625" s="0" t="s">
        <v>158</v>
      </c>
      <c r="L625" s="0" t="n">
        <v>226360022</v>
      </c>
      <c r="M625" s="0" t="s">
        <v>1349</v>
      </c>
      <c r="N625" s="0" t="n">
        <v>104455906</v>
      </c>
      <c r="O625" s="0" t="n">
        <v>250</v>
      </c>
      <c r="P625" s="0" t="n">
        <v>1.78</v>
      </c>
      <c r="Q625" s="0" t="n">
        <f aca="false">IFERROR(VLOOKUP(B625,[2]'Cost Correction'!$D$2:$AJ$1627,33,0),"")</f>
        <v>104455906</v>
      </c>
    </row>
    <row r="626" customFormat="false" ht="15" hidden="true" customHeight="false" outlineLevel="0" collapsed="false">
      <c r="A626" s="0" t="str">
        <f aca="false">E626&amp;L626&amp;Q626</f>
        <v>43352226360022104455906</v>
      </c>
      <c r="B626" s="0" t="s">
        <v>1486</v>
      </c>
      <c r="C626" s="0" t="s">
        <v>1487</v>
      </c>
      <c r="D626" s="0" t="s">
        <v>28</v>
      </c>
      <c r="E626" s="44" t="n">
        <v>43352</v>
      </c>
      <c r="F626" s="0" t="s">
        <v>102</v>
      </c>
      <c r="G626" s="0" t="n">
        <v>21356941</v>
      </c>
      <c r="H626" s="0" t="n">
        <v>720193</v>
      </c>
      <c r="I626" s="0" t="s">
        <v>34</v>
      </c>
      <c r="J626" s="0" t="s">
        <v>174</v>
      </c>
      <c r="K626" s="0" t="s">
        <v>158</v>
      </c>
      <c r="L626" s="0" t="n">
        <v>226360022</v>
      </c>
      <c r="M626" s="0" t="s">
        <v>1349</v>
      </c>
      <c r="N626" s="0" t="n">
        <v>104455906</v>
      </c>
      <c r="O626" s="0" t="n">
        <v>923</v>
      </c>
      <c r="P626" s="0" t="n">
        <v>6.64</v>
      </c>
      <c r="Q626" s="0" t="n">
        <f aca="false">IFERROR(VLOOKUP(B626,[2]'Cost Correction'!$D$2:$AJ$1627,33,0),"")</f>
        <v>104455906</v>
      </c>
    </row>
    <row r="627" customFormat="false" ht="15" hidden="false" customHeight="false" outlineLevel="0" collapsed="false">
      <c r="A627" s="0" t="str">
        <f aca="false">E627&amp;L627&amp;Q627</f>
        <v>43352223297413</v>
      </c>
      <c r="B627" s="0" t="s">
        <v>1488</v>
      </c>
      <c r="C627" s="0" t="s">
        <v>1489</v>
      </c>
      <c r="D627" s="0" t="s">
        <v>28</v>
      </c>
      <c r="E627" s="44" t="n">
        <v>43352</v>
      </c>
      <c r="F627" s="0" t="s">
        <v>159</v>
      </c>
      <c r="G627" s="0" t="n">
        <v>21276694</v>
      </c>
      <c r="H627" s="0" t="n">
        <v>720195</v>
      </c>
      <c r="I627" s="0" t="s">
        <v>34</v>
      </c>
      <c r="J627" s="0" t="s">
        <v>174</v>
      </c>
      <c r="K627" s="0" t="s">
        <v>162</v>
      </c>
      <c r="L627" s="0" t="n">
        <v>223297413</v>
      </c>
      <c r="M627" s="0" t="s">
        <v>1490</v>
      </c>
      <c r="N627" s="0" t="n">
        <v>102609621</v>
      </c>
      <c r="O627" s="0" t="n">
        <v>2507</v>
      </c>
      <c r="P627" s="0" t="n">
        <v>2170</v>
      </c>
      <c r="Q627" s="0" t="str">
        <f aca="false">IFERROR(VLOOKUP(B627,[2]'Cost Correction'!$D$2:$AJ$1627,33,0),"")</f>
        <v/>
      </c>
    </row>
    <row r="628" customFormat="false" ht="15" hidden="true" customHeight="false" outlineLevel="0" collapsed="false">
      <c r="A628" s="0" t="str">
        <f aca="false">E628&amp;L628&amp;Q628</f>
        <v>43352223298805102630373</v>
      </c>
      <c r="B628" s="0" t="s">
        <v>1491</v>
      </c>
      <c r="C628" s="0" t="s">
        <v>1492</v>
      </c>
      <c r="D628" s="0" t="s">
        <v>28</v>
      </c>
      <c r="E628" s="44" t="n">
        <v>43352</v>
      </c>
      <c r="F628" s="0" t="s">
        <v>159</v>
      </c>
      <c r="G628" s="0" t="n">
        <v>21276694</v>
      </c>
      <c r="H628" s="0" t="n">
        <v>720195</v>
      </c>
      <c r="I628" s="0" t="s">
        <v>34</v>
      </c>
      <c r="J628" s="0" t="s">
        <v>174</v>
      </c>
      <c r="K628" s="0" t="s">
        <v>164</v>
      </c>
      <c r="L628" s="0" t="n">
        <v>223298805</v>
      </c>
      <c r="M628" s="0" t="s">
        <v>1493</v>
      </c>
      <c r="N628" s="0" t="n">
        <v>102630373</v>
      </c>
      <c r="O628" s="0" t="n">
        <v>7306</v>
      </c>
      <c r="P628" s="0" t="n">
        <v>9290</v>
      </c>
      <c r="Q628" s="0" t="n">
        <f aca="false">IFERROR(VLOOKUP(B628,[2]'Cost Correction'!$D$2:$AJ$1627,33,0),"")</f>
        <v>102630373</v>
      </c>
    </row>
    <row r="629" customFormat="false" ht="15" hidden="true" customHeight="false" outlineLevel="0" collapsed="false">
      <c r="A629" s="0" t="str">
        <f aca="false">E629&amp;L629&amp;Q629</f>
        <v>43352226269941104061321</v>
      </c>
      <c r="B629" s="0" t="s">
        <v>1494</v>
      </c>
      <c r="C629" s="0" t="s">
        <v>1495</v>
      </c>
      <c r="D629" s="0" t="s">
        <v>28</v>
      </c>
      <c r="E629" s="44" t="n">
        <v>43352</v>
      </c>
      <c r="F629" s="0" t="s">
        <v>159</v>
      </c>
      <c r="G629" s="0" t="n">
        <v>21276694</v>
      </c>
      <c r="H629" s="0" t="n">
        <v>720195</v>
      </c>
      <c r="I629" s="0" t="s">
        <v>34</v>
      </c>
      <c r="J629" s="0" t="s">
        <v>174</v>
      </c>
      <c r="K629" s="0" t="s">
        <v>165</v>
      </c>
      <c r="L629" s="0" t="n">
        <v>226269941</v>
      </c>
      <c r="M629" s="0" t="s">
        <v>1496</v>
      </c>
      <c r="N629" s="0" t="n">
        <v>104060547</v>
      </c>
      <c r="O629" s="0" t="n">
        <v>3306</v>
      </c>
      <c r="P629" s="0" t="n">
        <v>5778</v>
      </c>
      <c r="Q629" s="0" t="n">
        <f aca="false">IFERROR(VLOOKUP(B629,[2]'Cost Correction'!$D$2:$AJ$1627,33,0),"")</f>
        <v>104061321</v>
      </c>
    </row>
    <row r="630" customFormat="false" ht="15" hidden="true" customHeight="false" outlineLevel="0" collapsed="false">
      <c r="A630" s="0" t="str">
        <f aca="false">E630&amp;L630&amp;Q630</f>
        <v>43352227208508102609621</v>
      </c>
      <c r="B630" s="0" t="s">
        <v>1497</v>
      </c>
      <c r="C630" s="0" t="s">
        <v>1498</v>
      </c>
      <c r="D630" s="0" t="s">
        <v>28</v>
      </c>
      <c r="E630" s="44" t="n">
        <v>43352</v>
      </c>
      <c r="F630" s="0" t="s">
        <v>159</v>
      </c>
      <c r="G630" s="0" t="n">
        <v>21276694</v>
      </c>
      <c r="H630" s="0" t="n">
        <v>720195</v>
      </c>
      <c r="I630" s="0" t="s">
        <v>34</v>
      </c>
      <c r="J630" s="0" t="s">
        <v>174</v>
      </c>
      <c r="K630" s="0" t="s">
        <v>166</v>
      </c>
      <c r="L630" s="0" t="n">
        <v>227208508</v>
      </c>
      <c r="M630" s="0" t="s">
        <v>1493</v>
      </c>
      <c r="N630" s="0" t="n">
        <v>102630373</v>
      </c>
      <c r="O630" s="0" t="n">
        <v>3399</v>
      </c>
      <c r="P630" s="0" t="n">
        <v>2088</v>
      </c>
      <c r="Q630" s="0" t="n">
        <f aca="false">IFERROR(VLOOKUP(B630,[2]'Cost Correction'!$D$2:$AJ$1627,33,0),"")</f>
        <v>102609621</v>
      </c>
    </row>
    <row r="631" customFormat="false" ht="15" hidden="true" customHeight="false" outlineLevel="0" collapsed="false">
      <c r="A631" s="0" t="str">
        <f aca="false">E631&amp;L631&amp;Q631</f>
        <v>43353223297413102609621</v>
      </c>
      <c r="B631" s="0" t="s">
        <v>1499</v>
      </c>
      <c r="C631" s="0" t="s">
        <v>1500</v>
      </c>
      <c r="D631" s="0" t="s">
        <v>28</v>
      </c>
      <c r="E631" s="44" t="n">
        <v>43353</v>
      </c>
      <c r="F631" s="0" t="s">
        <v>159</v>
      </c>
      <c r="G631" s="0" t="n">
        <v>21276694</v>
      </c>
      <c r="H631" s="0" t="n">
        <v>720195</v>
      </c>
      <c r="I631" s="0" t="s">
        <v>34</v>
      </c>
      <c r="J631" s="0" t="s">
        <v>174</v>
      </c>
      <c r="K631" s="0" t="s">
        <v>162</v>
      </c>
      <c r="L631" s="0" t="n">
        <v>223297413</v>
      </c>
      <c r="M631" s="0" t="s">
        <v>1490</v>
      </c>
      <c r="N631" s="0" t="n">
        <v>102609621</v>
      </c>
      <c r="O631" s="0" t="n">
        <v>4091</v>
      </c>
      <c r="P631" s="0" t="n">
        <v>3171</v>
      </c>
      <c r="Q631" s="0" t="n">
        <f aca="false">IFERROR(VLOOKUP(B631,[2]'Cost Correction'!$D$2:$AJ$1627,33,0),"")</f>
        <v>102609621</v>
      </c>
    </row>
    <row r="632" customFormat="false" ht="15" hidden="true" customHeight="false" outlineLevel="0" collapsed="false">
      <c r="A632" s="0" t="str">
        <f aca="false">E632&amp;L632&amp;Q632</f>
        <v>43353223298805102609621</v>
      </c>
      <c r="B632" s="0" t="s">
        <v>1501</v>
      </c>
      <c r="C632" s="0" t="s">
        <v>1502</v>
      </c>
      <c r="D632" s="0" t="s">
        <v>28</v>
      </c>
      <c r="E632" s="44" t="n">
        <v>43353</v>
      </c>
      <c r="F632" s="0" t="s">
        <v>159</v>
      </c>
      <c r="G632" s="0" t="n">
        <v>21276694</v>
      </c>
      <c r="H632" s="0" t="n">
        <v>720195</v>
      </c>
      <c r="I632" s="0" t="s">
        <v>34</v>
      </c>
      <c r="J632" s="0" t="s">
        <v>174</v>
      </c>
      <c r="K632" s="0" t="s">
        <v>164</v>
      </c>
      <c r="L632" s="0" t="n">
        <v>223298805</v>
      </c>
      <c r="M632" s="0" t="s">
        <v>1493</v>
      </c>
      <c r="N632" s="0" t="n">
        <v>102630373</v>
      </c>
      <c r="O632" s="0" t="n">
        <v>7573</v>
      </c>
      <c r="P632" s="0" t="n">
        <v>8429</v>
      </c>
      <c r="Q632" s="0" t="n">
        <f aca="false">IFERROR(VLOOKUP(B632,[2]'Cost Correction'!$D$2:$AJ$1627,33,0),"")</f>
        <v>102609621</v>
      </c>
    </row>
    <row r="633" customFormat="false" ht="15" hidden="true" customHeight="false" outlineLevel="0" collapsed="false">
      <c r="A633" s="0" t="str">
        <f aca="false">E633&amp;L633&amp;Q633</f>
        <v>43353226269941104061321</v>
      </c>
      <c r="B633" s="0" t="s">
        <v>1503</v>
      </c>
      <c r="C633" s="0" t="s">
        <v>1504</v>
      </c>
      <c r="D633" s="0" t="s">
        <v>28</v>
      </c>
      <c r="E633" s="44" t="n">
        <v>43353</v>
      </c>
      <c r="F633" s="0" t="s">
        <v>159</v>
      </c>
      <c r="G633" s="0" t="n">
        <v>21276694</v>
      </c>
      <c r="H633" s="0" t="n">
        <v>720195</v>
      </c>
      <c r="I633" s="0" t="s">
        <v>34</v>
      </c>
      <c r="J633" s="0" t="s">
        <v>174</v>
      </c>
      <c r="K633" s="0" t="s">
        <v>165</v>
      </c>
      <c r="L633" s="0" t="n">
        <v>226269941</v>
      </c>
      <c r="M633" s="0" t="s">
        <v>1496</v>
      </c>
      <c r="N633" s="0" t="n">
        <v>104060547</v>
      </c>
      <c r="O633" s="0" t="n">
        <v>3519</v>
      </c>
      <c r="P633" s="0" t="n">
        <v>5883</v>
      </c>
      <c r="Q633" s="0" t="n">
        <f aca="false">IFERROR(VLOOKUP(B633,[2]'Cost Correction'!$D$2:$AJ$1627,33,0),"")</f>
        <v>104061321</v>
      </c>
    </row>
    <row r="634" customFormat="false" ht="15" hidden="true" customHeight="false" outlineLevel="0" collapsed="false">
      <c r="A634" s="0" t="str">
        <f aca="false">E634&amp;L634&amp;Q634</f>
        <v>43353227208508102609621</v>
      </c>
      <c r="B634" s="0" t="s">
        <v>1505</v>
      </c>
      <c r="C634" s="0" t="s">
        <v>1506</v>
      </c>
      <c r="D634" s="0" t="s">
        <v>28</v>
      </c>
      <c r="E634" s="44" t="n">
        <v>43353</v>
      </c>
      <c r="F634" s="0" t="s">
        <v>159</v>
      </c>
      <c r="G634" s="0" t="n">
        <v>21276694</v>
      </c>
      <c r="H634" s="0" t="n">
        <v>720195</v>
      </c>
      <c r="I634" s="0" t="s">
        <v>34</v>
      </c>
      <c r="J634" s="0" t="s">
        <v>174</v>
      </c>
      <c r="K634" s="0" t="s">
        <v>166</v>
      </c>
      <c r="L634" s="0" t="n">
        <v>227208508</v>
      </c>
      <c r="M634" s="0" t="s">
        <v>1493</v>
      </c>
      <c r="N634" s="0" t="n">
        <v>102630373</v>
      </c>
      <c r="O634" s="0" t="n">
        <v>3230</v>
      </c>
      <c r="P634" s="0" t="n">
        <v>1777</v>
      </c>
      <c r="Q634" s="0" t="n">
        <f aca="false">IFERROR(VLOOKUP(B634,[2]'Cost Correction'!$D$2:$AJ$1627,33,0),"")</f>
        <v>102609621</v>
      </c>
    </row>
    <row r="635" customFormat="false" ht="15" hidden="true" customHeight="false" outlineLevel="0" collapsed="false">
      <c r="A635" s="0" t="str">
        <f aca="false">E635&amp;L635&amp;Q635</f>
        <v>43354223297413102609621</v>
      </c>
      <c r="B635" s="0" t="s">
        <v>1507</v>
      </c>
      <c r="C635" s="0" t="s">
        <v>1508</v>
      </c>
      <c r="D635" s="0" t="s">
        <v>28</v>
      </c>
      <c r="E635" s="44" t="n">
        <v>43354</v>
      </c>
      <c r="F635" s="0" t="s">
        <v>159</v>
      </c>
      <c r="G635" s="0" t="n">
        <v>21276694</v>
      </c>
      <c r="H635" s="0" t="n">
        <v>720195</v>
      </c>
      <c r="I635" s="0" t="s">
        <v>34</v>
      </c>
      <c r="J635" s="0" t="s">
        <v>174</v>
      </c>
      <c r="K635" s="0" t="s">
        <v>162</v>
      </c>
      <c r="L635" s="0" t="n">
        <v>223297413</v>
      </c>
      <c r="M635" s="0" t="s">
        <v>1490</v>
      </c>
      <c r="N635" s="0" t="n">
        <v>102609621</v>
      </c>
      <c r="O635" s="0" t="n">
        <v>3127</v>
      </c>
      <c r="P635" s="0" t="n">
        <v>2186</v>
      </c>
      <c r="Q635" s="0" t="n">
        <f aca="false">IFERROR(VLOOKUP(B635,[2]'Cost Correction'!$D$2:$AJ$1627,33,0),"")</f>
        <v>102609621</v>
      </c>
    </row>
    <row r="636" customFormat="false" ht="15" hidden="true" customHeight="false" outlineLevel="0" collapsed="false">
      <c r="A636" s="0" t="str">
        <f aca="false">E636&amp;L636&amp;Q636</f>
        <v>43354223298805102630373</v>
      </c>
      <c r="B636" s="0" t="s">
        <v>1509</v>
      </c>
      <c r="C636" s="0" t="s">
        <v>1510</v>
      </c>
      <c r="D636" s="0" t="s">
        <v>28</v>
      </c>
      <c r="E636" s="44" t="n">
        <v>43354</v>
      </c>
      <c r="F636" s="0" t="s">
        <v>159</v>
      </c>
      <c r="G636" s="0" t="n">
        <v>21276694</v>
      </c>
      <c r="H636" s="0" t="n">
        <v>720195</v>
      </c>
      <c r="I636" s="0" t="s">
        <v>34</v>
      </c>
      <c r="J636" s="0" t="s">
        <v>174</v>
      </c>
      <c r="K636" s="0" t="s">
        <v>164</v>
      </c>
      <c r="L636" s="0" t="n">
        <v>223298805</v>
      </c>
      <c r="M636" s="0" t="s">
        <v>1493</v>
      </c>
      <c r="N636" s="0" t="n">
        <v>102630373</v>
      </c>
      <c r="O636" s="0" t="n">
        <v>12418</v>
      </c>
      <c r="P636" s="0" t="n">
        <v>11061</v>
      </c>
      <c r="Q636" s="0" t="n">
        <f aca="false">IFERROR(VLOOKUP(B636,[2]'Cost Correction'!$D$2:$AJ$1627,33,0),"")</f>
        <v>102630373</v>
      </c>
    </row>
    <row r="637" customFormat="false" ht="15" hidden="true" customHeight="false" outlineLevel="0" collapsed="false">
      <c r="A637" s="0" t="str">
        <f aca="false">E637&amp;L637&amp;Q637</f>
        <v>43354226269941104061321</v>
      </c>
      <c r="B637" s="0" t="s">
        <v>1511</v>
      </c>
      <c r="C637" s="0" t="s">
        <v>1512</v>
      </c>
      <c r="D637" s="0" t="s">
        <v>28</v>
      </c>
      <c r="E637" s="44" t="n">
        <v>43354</v>
      </c>
      <c r="F637" s="0" t="s">
        <v>159</v>
      </c>
      <c r="G637" s="0" t="n">
        <v>21276694</v>
      </c>
      <c r="H637" s="0" t="n">
        <v>720195</v>
      </c>
      <c r="I637" s="0" t="s">
        <v>34</v>
      </c>
      <c r="J637" s="0" t="s">
        <v>174</v>
      </c>
      <c r="K637" s="0" t="s">
        <v>165</v>
      </c>
      <c r="L637" s="0" t="n">
        <v>226269941</v>
      </c>
      <c r="M637" s="0" t="s">
        <v>1496</v>
      </c>
      <c r="N637" s="0" t="n">
        <v>104060547</v>
      </c>
      <c r="O637" s="0" t="n">
        <v>3717</v>
      </c>
      <c r="P637" s="0" t="n">
        <v>5772</v>
      </c>
      <c r="Q637" s="0" t="n">
        <f aca="false">IFERROR(VLOOKUP(B637,[2]'Cost Correction'!$D$2:$AJ$1627,33,0),"")</f>
        <v>104061321</v>
      </c>
    </row>
    <row r="638" customFormat="false" ht="15" hidden="true" customHeight="false" outlineLevel="0" collapsed="false">
      <c r="A638" s="0" t="str">
        <f aca="false">E638&amp;L638&amp;Q638</f>
        <v>43354227208508102609621</v>
      </c>
      <c r="B638" s="0" t="s">
        <v>1513</v>
      </c>
      <c r="C638" s="0" t="s">
        <v>1514</v>
      </c>
      <c r="D638" s="0" t="s">
        <v>28</v>
      </c>
      <c r="E638" s="44" t="n">
        <v>43354</v>
      </c>
      <c r="F638" s="0" t="s">
        <v>159</v>
      </c>
      <c r="G638" s="0" t="n">
        <v>21276694</v>
      </c>
      <c r="H638" s="0" t="n">
        <v>720195</v>
      </c>
      <c r="I638" s="0" t="s">
        <v>34</v>
      </c>
      <c r="J638" s="0" t="s">
        <v>174</v>
      </c>
      <c r="K638" s="0" t="s">
        <v>166</v>
      </c>
      <c r="L638" s="0" t="n">
        <v>227208508</v>
      </c>
      <c r="M638" s="0" t="s">
        <v>1493</v>
      </c>
      <c r="N638" s="0" t="n">
        <v>102630373</v>
      </c>
      <c r="O638" s="0" t="n">
        <v>2541</v>
      </c>
      <c r="P638" s="0" t="n">
        <v>1512</v>
      </c>
      <c r="Q638" s="0" t="n">
        <f aca="false">IFERROR(VLOOKUP(B638,[2]'Cost Correction'!$D$2:$AJ$1627,33,0),"")</f>
        <v>102609621</v>
      </c>
    </row>
    <row r="639" customFormat="false" ht="15" hidden="true" customHeight="false" outlineLevel="0" collapsed="false">
      <c r="A639" s="0" t="str">
        <f aca="false">E639&amp;L639&amp;Q639</f>
        <v>43355223297413102630373</v>
      </c>
      <c r="B639" s="0" t="s">
        <v>1515</v>
      </c>
      <c r="C639" s="0" t="s">
        <v>1516</v>
      </c>
      <c r="D639" s="0" t="s">
        <v>28</v>
      </c>
      <c r="E639" s="44" t="n">
        <v>43355</v>
      </c>
      <c r="F639" s="0" t="s">
        <v>159</v>
      </c>
      <c r="G639" s="0" t="n">
        <v>21276694</v>
      </c>
      <c r="H639" s="0" t="n">
        <v>720195</v>
      </c>
      <c r="I639" s="0" t="s">
        <v>34</v>
      </c>
      <c r="J639" s="0" t="s">
        <v>174</v>
      </c>
      <c r="K639" s="0" t="s">
        <v>162</v>
      </c>
      <c r="L639" s="0" t="n">
        <v>223297413</v>
      </c>
      <c r="M639" s="0" t="s">
        <v>1490</v>
      </c>
      <c r="N639" s="0" t="n">
        <v>102609621</v>
      </c>
      <c r="O639" s="0" t="n">
        <v>5380</v>
      </c>
      <c r="P639" s="0" t="n">
        <v>3567</v>
      </c>
      <c r="Q639" s="0" t="n">
        <f aca="false">IFERROR(VLOOKUP(B639,[2]'Cost Correction'!$D$2:$AJ$1627,33,0),"")</f>
        <v>102630373</v>
      </c>
    </row>
    <row r="640" customFormat="false" ht="15" hidden="true" customHeight="false" outlineLevel="0" collapsed="false">
      <c r="A640" s="0" t="str">
        <f aca="false">E640&amp;L640&amp;Q640</f>
        <v>43355223298805102630373</v>
      </c>
      <c r="B640" s="0" t="s">
        <v>1517</v>
      </c>
      <c r="C640" s="0" t="s">
        <v>1518</v>
      </c>
      <c r="D640" s="0" t="s">
        <v>28</v>
      </c>
      <c r="E640" s="44" t="n">
        <v>43355</v>
      </c>
      <c r="F640" s="0" t="s">
        <v>159</v>
      </c>
      <c r="G640" s="0" t="n">
        <v>21276694</v>
      </c>
      <c r="H640" s="0" t="n">
        <v>720195</v>
      </c>
      <c r="I640" s="0" t="s">
        <v>34</v>
      </c>
      <c r="J640" s="0" t="s">
        <v>174</v>
      </c>
      <c r="K640" s="0" t="s">
        <v>164</v>
      </c>
      <c r="L640" s="0" t="n">
        <v>223298805</v>
      </c>
      <c r="M640" s="0" t="s">
        <v>1493</v>
      </c>
      <c r="N640" s="0" t="n">
        <v>102630373</v>
      </c>
      <c r="O640" s="0" t="n">
        <v>9206</v>
      </c>
      <c r="P640" s="0" t="n">
        <v>8302</v>
      </c>
      <c r="Q640" s="0" t="n">
        <f aca="false">IFERROR(VLOOKUP(B640,[2]'Cost Correction'!$D$2:$AJ$1627,33,0),"")</f>
        <v>102630373</v>
      </c>
    </row>
    <row r="641" customFormat="false" ht="15" hidden="true" customHeight="false" outlineLevel="0" collapsed="false">
      <c r="A641" s="0" t="str">
        <f aca="false">E641&amp;L641&amp;Q641</f>
        <v>43355226269941104061321</v>
      </c>
      <c r="B641" s="0" t="s">
        <v>1519</v>
      </c>
      <c r="C641" s="0" t="s">
        <v>1520</v>
      </c>
      <c r="D641" s="0" t="s">
        <v>28</v>
      </c>
      <c r="E641" s="44" t="n">
        <v>43355</v>
      </c>
      <c r="F641" s="0" t="s">
        <v>159</v>
      </c>
      <c r="G641" s="0" t="n">
        <v>21276694</v>
      </c>
      <c r="H641" s="0" t="n">
        <v>720195</v>
      </c>
      <c r="I641" s="0" t="s">
        <v>34</v>
      </c>
      <c r="J641" s="0" t="s">
        <v>174</v>
      </c>
      <c r="K641" s="0" t="s">
        <v>165</v>
      </c>
      <c r="L641" s="0" t="n">
        <v>226269941</v>
      </c>
      <c r="M641" s="0" t="s">
        <v>1496</v>
      </c>
      <c r="N641" s="0" t="n">
        <v>104060547</v>
      </c>
      <c r="O641" s="0" t="n">
        <v>3944</v>
      </c>
      <c r="P641" s="0" t="n">
        <v>6183</v>
      </c>
      <c r="Q641" s="0" t="n">
        <f aca="false">IFERROR(VLOOKUP(B641,[2]'Cost Correction'!$D$2:$AJ$1627,33,0),"")</f>
        <v>104061321</v>
      </c>
    </row>
    <row r="642" customFormat="false" ht="15" hidden="false" customHeight="false" outlineLevel="0" collapsed="false">
      <c r="A642" s="0" t="str">
        <f aca="false">E642&amp;L642&amp;Q642</f>
        <v>43355227208508</v>
      </c>
      <c r="B642" s="0" t="s">
        <v>1521</v>
      </c>
      <c r="C642" s="0" t="s">
        <v>1522</v>
      </c>
      <c r="D642" s="0" t="s">
        <v>28</v>
      </c>
      <c r="E642" s="44" t="n">
        <v>43355</v>
      </c>
      <c r="F642" s="0" t="s">
        <v>159</v>
      </c>
      <c r="G642" s="0" t="n">
        <v>21276694</v>
      </c>
      <c r="H642" s="0" t="n">
        <v>720195</v>
      </c>
      <c r="I642" s="0" t="s">
        <v>34</v>
      </c>
      <c r="J642" s="0" t="s">
        <v>174</v>
      </c>
      <c r="K642" s="0" t="s">
        <v>166</v>
      </c>
      <c r="L642" s="0" t="n">
        <v>227208508</v>
      </c>
      <c r="M642" s="0" t="s">
        <v>1493</v>
      </c>
      <c r="N642" s="0" t="n">
        <v>102630373</v>
      </c>
      <c r="O642" s="0" t="n">
        <v>2682</v>
      </c>
      <c r="P642" s="0" t="n">
        <v>1537</v>
      </c>
      <c r="Q642" s="0" t="str">
        <f aca="false">IFERROR(VLOOKUP(B642,[2]'Cost Correction'!$D$2:$AJ$1627,33,0),"")</f>
        <v/>
      </c>
    </row>
    <row r="643" customFormat="false" ht="15" hidden="true" customHeight="false" outlineLevel="0" collapsed="false">
      <c r="A643" s="0" t="str">
        <f aca="false">E643&amp;L643&amp;Q643</f>
        <v>43356223297413102609621</v>
      </c>
      <c r="B643" s="0" t="s">
        <v>1523</v>
      </c>
      <c r="C643" s="0" t="s">
        <v>1524</v>
      </c>
      <c r="D643" s="0" t="s">
        <v>28</v>
      </c>
      <c r="E643" s="44" t="n">
        <v>43356</v>
      </c>
      <c r="F643" s="0" t="s">
        <v>159</v>
      </c>
      <c r="G643" s="0" t="n">
        <v>21276694</v>
      </c>
      <c r="H643" s="0" t="n">
        <v>720195</v>
      </c>
      <c r="I643" s="0" t="s">
        <v>34</v>
      </c>
      <c r="J643" s="0" t="s">
        <v>174</v>
      </c>
      <c r="K643" s="0" t="s">
        <v>162</v>
      </c>
      <c r="L643" s="0" t="n">
        <v>223297413</v>
      </c>
      <c r="M643" s="0" t="s">
        <v>1490</v>
      </c>
      <c r="N643" s="0" t="n">
        <v>102609621</v>
      </c>
      <c r="O643" s="0" t="n">
        <v>3437</v>
      </c>
      <c r="P643" s="0" t="n">
        <v>2046</v>
      </c>
      <c r="Q643" s="0" t="n">
        <f aca="false">IFERROR(VLOOKUP(B643,[2]'Cost Correction'!$D$2:$AJ$1627,33,0),"")</f>
        <v>102609621</v>
      </c>
    </row>
    <row r="644" customFormat="false" ht="15" hidden="true" customHeight="false" outlineLevel="0" collapsed="false">
      <c r="A644" s="0" t="str">
        <f aca="false">E644&amp;L644&amp;Q644</f>
        <v>43356223298805102630373</v>
      </c>
      <c r="B644" s="0" t="s">
        <v>1525</v>
      </c>
      <c r="C644" s="0" t="s">
        <v>1526</v>
      </c>
      <c r="D644" s="0" t="s">
        <v>28</v>
      </c>
      <c r="E644" s="44" t="n">
        <v>43356</v>
      </c>
      <c r="F644" s="0" t="s">
        <v>159</v>
      </c>
      <c r="G644" s="0" t="n">
        <v>21276694</v>
      </c>
      <c r="H644" s="0" t="n">
        <v>720195</v>
      </c>
      <c r="I644" s="0" t="s">
        <v>34</v>
      </c>
      <c r="J644" s="0" t="s">
        <v>174</v>
      </c>
      <c r="K644" s="0" t="s">
        <v>164</v>
      </c>
      <c r="L644" s="0" t="n">
        <v>223298805</v>
      </c>
      <c r="M644" s="0" t="s">
        <v>1493</v>
      </c>
      <c r="N644" s="0" t="n">
        <v>102630373</v>
      </c>
      <c r="O644" s="0" t="n">
        <v>8321</v>
      </c>
      <c r="P644" s="0" t="n">
        <v>7487</v>
      </c>
      <c r="Q644" s="0" t="n">
        <f aca="false">IFERROR(VLOOKUP(B644,[2]'Cost Correction'!$D$2:$AJ$1627,33,0),"")</f>
        <v>102630373</v>
      </c>
    </row>
    <row r="645" customFormat="false" ht="15" hidden="true" customHeight="false" outlineLevel="0" collapsed="false">
      <c r="A645" s="0" t="str">
        <f aca="false">E645&amp;L645&amp;Q645</f>
        <v>43356226269941104061321</v>
      </c>
      <c r="B645" s="0" t="s">
        <v>1527</v>
      </c>
      <c r="C645" s="0" t="s">
        <v>1528</v>
      </c>
      <c r="D645" s="0" t="s">
        <v>28</v>
      </c>
      <c r="E645" s="44" t="n">
        <v>43356</v>
      </c>
      <c r="F645" s="0" t="s">
        <v>159</v>
      </c>
      <c r="G645" s="0" t="n">
        <v>21276694</v>
      </c>
      <c r="H645" s="0" t="n">
        <v>720195</v>
      </c>
      <c r="I645" s="0" t="s">
        <v>34</v>
      </c>
      <c r="J645" s="0" t="s">
        <v>174</v>
      </c>
      <c r="K645" s="0" t="s">
        <v>165</v>
      </c>
      <c r="L645" s="0" t="n">
        <v>226269941</v>
      </c>
      <c r="M645" s="0" t="s">
        <v>1496</v>
      </c>
      <c r="N645" s="0" t="n">
        <v>104060547</v>
      </c>
      <c r="O645" s="0" t="n">
        <v>5155</v>
      </c>
      <c r="P645" s="0" t="n">
        <v>9186</v>
      </c>
      <c r="Q645" s="0" t="n">
        <f aca="false">IFERROR(VLOOKUP(B645,[2]'Cost Correction'!$D$2:$AJ$1627,33,0),"")</f>
        <v>104061321</v>
      </c>
    </row>
    <row r="646" customFormat="false" ht="15" hidden="true" customHeight="false" outlineLevel="0" collapsed="false">
      <c r="A646" s="0" t="str">
        <f aca="false">E646&amp;L646&amp;Q646</f>
        <v>43356227208508102630373</v>
      </c>
      <c r="B646" s="0" t="s">
        <v>1529</v>
      </c>
      <c r="C646" s="0" t="s">
        <v>1530</v>
      </c>
      <c r="D646" s="0" t="s">
        <v>28</v>
      </c>
      <c r="E646" s="44" t="n">
        <v>43356</v>
      </c>
      <c r="F646" s="0" t="s">
        <v>159</v>
      </c>
      <c r="G646" s="0" t="n">
        <v>21276694</v>
      </c>
      <c r="H646" s="0" t="n">
        <v>720195</v>
      </c>
      <c r="I646" s="0" t="s">
        <v>34</v>
      </c>
      <c r="J646" s="0" t="s">
        <v>174</v>
      </c>
      <c r="K646" s="0" t="s">
        <v>166</v>
      </c>
      <c r="L646" s="0" t="n">
        <v>227208508</v>
      </c>
      <c r="M646" s="0" t="s">
        <v>1493</v>
      </c>
      <c r="N646" s="0" t="n">
        <v>102630373</v>
      </c>
      <c r="O646" s="0" t="n">
        <v>2487</v>
      </c>
      <c r="P646" s="0" t="n">
        <v>1468</v>
      </c>
      <c r="Q646" s="0" t="n">
        <f aca="false">IFERROR(VLOOKUP(B646,[2]'Cost Correction'!$D$2:$AJ$1627,33,0),"")</f>
        <v>102630373</v>
      </c>
    </row>
    <row r="647" customFormat="false" ht="15" hidden="false" customHeight="false" outlineLevel="0" collapsed="false">
      <c r="A647" s="0" t="str">
        <f aca="false">E647&amp;L647&amp;Q647</f>
        <v>43357223297413</v>
      </c>
      <c r="B647" s="0" t="s">
        <v>1531</v>
      </c>
      <c r="C647" s="0" t="s">
        <v>1532</v>
      </c>
      <c r="D647" s="0" t="s">
        <v>28</v>
      </c>
      <c r="E647" s="44" t="n">
        <v>43357</v>
      </c>
      <c r="F647" s="0" t="s">
        <v>159</v>
      </c>
      <c r="G647" s="0" t="n">
        <v>21276694</v>
      </c>
      <c r="H647" s="0" t="n">
        <v>720195</v>
      </c>
      <c r="I647" s="0" t="s">
        <v>34</v>
      </c>
      <c r="J647" s="0" t="s">
        <v>174</v>
      </c>
      <c r="K647" s="0" t="s">
        <v>162</v>
      </c>
      <c r="L647" s="0" t="n">
        <v>223297413</v>
      </c>
      <c r="M647" s="0" t="s">
        <v>1490</v>
      </c>
      <c r="N647" s="0" t="n">
        <v>102609621</v>
      </c>
      <c r="O647" s="0" t="n">
        <v>2620</v>
      </c>
      <c r="P647" s="0" t="n">
        <v>1834</v>
      </c>
      <c r="Q647" s="0" t="str">
        <f aca="false">IFERROR(VLOOKUP(B647,[2]'Cost Correction'!$D$2:$AJ$1627,33,0),"")</f>
        <v/>
      </c>
    </row>
    <row r="648" customFormat="false" ht="15" hidden="true" customHeight="false" outlineLevel="0" collapsed="false">
      <c r="A648" s="0" t="str">
        <f aca="false">E648&amp;L648&amp;Q648</f>
        <v>43357223298805102630373</v>
      </c>
      <c r="B648" s="0" t="s">
        <v>1533</v>
      </c>
      <c r="C648" s="0" t="s">
        <v>1534</v>
      </c>
      <c r="D648" s="0" t="s">
        <v>28</v>
      </c>
      <c r="E648" s="44" t="n">
        <v>43357</v>
      </c>
      <c r="F648" s="0" t="s">
        <v>159</v>
      </c>
      <c r="G648" s="0" t="n">
        <v>21276694</v>
      </c>
      <c r="H648" s="0" t="n">
        <v>720195</v>
      </c>
      <c r="I648" s="0" t="s">
        <v>34</v>
      </c>
      <c r="J648" s="0" t="s">
        <v>174</v>
      </c>
      <c r="K648" s="0" t="s">
        <v>164</v>
      </c>
      <c r="L648" s="0" t="n">
        <v>223298805</v>
      </c>
      <c r="M648" s="0" t="s">
        <v>1493</v>
      </c>
      <c r="N648" s="0" t="n">
        <v>102630373</v>
      </c>
      <c r="O648" s="0" t="n">
        <v>5430</v>
      </c>
      <c r="P648" s="0" t="n">
        <v>5470</v>
      </c>
      <c r="Q648" s="0" t="n">
        <f aca="false">IFERROR(VLOOKUP(B648,[2]'Cost Correction'!$D$2:$AJ$1627,33,0),"")</f>
        <v>102630373</v>
      </c>
    </row>
    <row r="649" customFormat="false" ht="15" hidden="true" customHeight="false" outlineLevel="0" collapsed="false">
      <c r="A649" s="0" t="str">
        <f aca="false">E649&amp;L649&amp;Q649</f>
        <v>43357226269941104061321</v>
      </c>
      <c r="B649" s="0" t="s">
        <v>1535</v>
      </c>
      <c r="C649" s="0" t="s">
        <v>1536</v>
      </c>
      <c r="D649" s="0" t="s">
        <v>28</v>
      </c>
      <c r="E649" s="44" t="n">
        <v>43357</v>
      </c>
      <c r="F649" s="0" t="s">
        <v>159</v>
      </c>
      <c r="G649" s="0" t="n">
        <v>21276694</v>
      </c>
      <c r="H649" s="0" t="n">
        <v>720195</v>
      </c>
      <c r="I649" s="0" t="s">
        <v>34</v>
      </c>
      <c r="J649" s="0" t="s">
        <v>174</v>
      </c>
      <c r="K649" s="0" t="s">
        <v>165</v>
      </c>
      <c r="L649" s="0" t="n">
        <v>226269941</v>
      </c>
      <c r="M649" s="0" t="s">
        <v>1496</v>
      </c>
      <c r="N649" s="0" t="n">
        <v>104060547</v>
      </c>
      <c r="O649" s="0" t="n">
        <v>5418</v>
      </c>
      <c r="P649" s="0" t="n">
        <v>10930</v>
      </c>
      <c r="Q649" s="0" t="n">
        <f aca="false">IFERROR(VLOOKUP(B649,[2]'Cost Correction'!$D$2:$AJ$1627,33,0),"")</f>
        <v>104061321</v>
      </c>
    </row>
    <row r="650" customFormat="false" ht="15" hidden="true" customHeight="false" outlineLevel="0" collapsed="false">
      <c r="A650" s="0" t="str">
        <f aca="false">E650&amp;L650&amp;Q650</f>
        <v>43357227208508102609621</v>
      </c>
      <c r="B650" s="0" t="s">
        <v>1537</v>
      </c>
      <c r="C650" s="0" t="s">
        <v>1538</v>
      </c>
      <c r="D650" s="0" t="s">
        <v>28</v>
      </c>
      <c r="E650" s="44" t="n">
        <v>43357</v>
      </c>
      <c r="F650" s="0" t="s">
        <v>159</v>
      </c>
      <c r="G650" s="0" t="n">
        <v>21276694</v>
      </c>
      <c r="H650" s="0" t="n">
        <v>720195</v>
      </c>
      <c r="I650" s="0" t="s">
        <v>34</v>
      </c>
      <c r="J650" s="0" t="s">
        <v>174</v>
      </c>
      <c r="K650" s="0" t="s">
        <v>166</v>
      </c>
      <c r="L650" s="0" t="n">
        <v>227208508</v>
      </c>
      <c r="M650" s="0" t="s">
        <v>1493</v>
      </c>
      <c r="N650" s="0" t="n">
        <v>102630373</v>
      </c>
      <c r="O650" s="0" t="n">
        <v>1683</v>
      </c>
      <c r="P650" s="0" t="n">
        <v>1548</v>
      </c>
      <c r="Q650" s="0" t="n">
        <f aca="false">IFERROR(VLOOKUP(B650,[2]'Cost Correction'!$D$2:$AJ$1627,33,0),"")</f>
        <v>102609621</v>
      </c>
    </row>
    <row r="651" customFormat="false" ht="15" hidden="true" customHeight="false" outlineLevel="0" collapsed="false">
      <c r="A651" s="0" t="str">
        <f aca="false">E651&amp;L651&amp;Q651</f>
        <v>43358223297413102609621</v>
      </c>
      <c r="B651" s="0" t="s">
        <v>1539</v>
      </c>
      <c r="C651" s="0" t="s">
        <v>1540</v>
      </c>
      <c r="D651" s="0" t="s">
        <v>28</v>
      </c>
      <c r="E651" s="44" t="n">
        <v>43358</v>
      </c>
      <c r="F651" s="0" t="s">
        <v>159</v>
      </c>
      <c r="G651" s="0" t="n">
        <v>21276694</v>
      </c>
      <c r="H651" s="0" t="n">
        <v>720195</v>
      </c>
      <c r="I651" s="0" t="s">
        <v>34</v>
      </c>
      <c r="J651" s="0" t="s">
        <v>174</v>
      </c>
      <c r="K651" s="0" t="s">
        <v>162</v>
      </c>
      <c r="L651" s="0" t="n">
        <v>223297413</v>
      </c>
      <c r="M651" s="0" t="s">
        <v>1490</v>
      </c>
      <c r="N651" s="0" t="n">
        <v>102609621</v>
      </c>
      <c r="O651" s="0" t="n">
        <v>2025</v>
      </c>
      <c r="P651" s="0" t="n">
        <v>1623</v>
      </c>
      <c r="Q651" s="0" t="n">
        <f aca="false">IFERROR(VLOOKUP(B651,[2]'Cost Correction'!$D$2:$AJ$1627,33,0),"")</f>
        <v>102609621</v>
      </c>
    </row>
    <row r="652" customFormat="false" ht="15" hidden="true" customHeight="false" outlineLevel="0" collapsed="false">
      <c r="A652" s="0" t="str">
        <f aca="false">E652&amp;L652&amp;Q652</f>
        <v>43358223298805102609621</v>
      </c>
      <c r="B652" s="0" t="s">
        <v>1541</v>
      </c>
      <c r="C652" s="0" t="s">
        <v>1542</v>
      </c>
      <c r="D652" s="0" t="s">
        <v>28</v>
      </c>
      <c r="E652" s="44" t="n">
        <v>43358</v>
      </c>
      <c r="F652" s="0" t="s">
        <v>159</v>
      </c>
      <c r="G652" s="0" t="n">
        <v>21276694</v>
      </c>
      <c r="H652" s="0" t="n">
        <v>720195</v>
      </c>
      <c r="I652" s="0" t="s">
        <v>34</v>
      </c>
      <c r="J652" s="0" t="s">
        <v>174</v>
      </c>
      <c r="K652" s="0" t="s">
        <v>164</v>
      </c>
      <c r="L652" s="0" t="n">
        <v>223298805</v>
      </c>
      <c r="M652" s="0" t="s">
        <v>1493</v>
      </c>
      <c r="N652" s="0" t="n">
        <v>102630373</v>
      </c>
      <c r="O652" s="0" t="n">
        <v>5078</v>
      </c>
      <c r="P652" s="0" t="n">
        <v>6797</v>
      </c>
      <c r="Q652" s="0" t="n">
        <f aca="false">IFERROR(VLOOKUP(B652,[2]'Cost Correction'!$D$2:$AJ$1627,33,0),"")</f>
        <v>102609621</v>
      </c>
    </row>
    <row r="653" customFormat="false" ht="15" hidden="true" customHeight="false" outlineLevel="0" collapsed="false">
      <c r="A653" s="0" t="str">
        <f aca="false">E653&amp;L653&amp;Q653</f>
        <v>43358226269941104061321</v>
      </c>
      <c r="B653" s="0" t="s">
        <v>1543</v>
      </c>
      <c r="C653" s="0" t="s">
        <v>1544</v>
      </c>
      <c r="D653" s="0" t="s">
        <v>28</v>
      </c>
      <c r="E653" s="44" t="n">
        <v>43358</v>
      </c>
      <c r="F653" s="0" t="s">
        <v>159</v>
      </c>
      <c r="G653" s="0" t="n">
        <v>21276694</v>
      </c>
      <c r="H653" s="0" t="n">
        <v>720195</v>
      </c>
      <c r="I653" s="0" t="s">
        <v>34</v>
      </c>
      <c r="J653" s="0" t="s">
        <v>174</v>
      </c>
      <c r="K653" s="0" t="s">
        <v>165</v>
      </c>
      <c r="L653" s="0" t="n">
        <v>226269941</v>
      </c>
      <c r="M653" s="0" t="s">
        <v>1496</v>
      </c>
      <c r="N653" s="0" t="n">
        <v>104060547</v>
      </c>
      <c r="O653" s="0" t="n">
        <v>5222</v>
      </c>
      <c r="P653" s="0" t="n">
        <v>11235</v>
      </c>
      <c r="Q653" s="0" t="n">
        <f aca="false">IFERROR(VLOOKUP(B653,[2]'Cost Correction'!$D$2:$AJ$1627,33,0),"")</f>
        <v>104061321</v>
      </c>
    </row>
    <row r="654" customFormat="false" ht="15" hidden="true" customHeight="false" outlineLevel="0" collapsed="false">
      <c r="A654" s="0" t="str">
        <f aca="false">E654&amp;L654&amp;Q654</f>
        <v>43358227208508102609621</v>
      </c>
      <c r="B654" s="0" t="s">
        <v>1545</v>
      </c>
      <c r="C654" s="0" t="s">
        <v>1546</v>
      </c>
      <c r="D654" s="0" t="s">
        <v>28</v>
      </c>
      <c r="E654" s="44" t="n">
        <v>43358</v>
      </c>
      <c r="F654" s="0" t="s">
        <v>159</v>
      </c>
      <c r="G654" s="0" t="n">
        <v>21276694</v>
      </c>
      <c r="H654" s="0" t="n">
        <v>720195</v>
      </c>
      <c r="I654" s="0" t="s">
        <v>34</v>
      </c>
      <c r="J654" s="0" t="s">
        <v>174</v>
      </c>
      <c r="K654" s="0" t="s">
        <v>166</v>
      </c>
      <c r="L654" s="0" t="n">
        <v>227208508</v>
      </c>
      <c r="M654" s="0" t="s">
        <v>1493</v>
      </c>
      <c r="N654" s="0" t="n">
        <v>102630373</v>
      </c>
      <c r="O654" s="0" t="n">
        <v>1909</v>
      </c>
      <c r="P654" s="0" t="n">
        <v>1670</v>
      </c>
      <c r="Q654" s="0" t="n">
        <f aca="false">IFERROR(VLOOKUP(B654,[2]'Cost Correction'!$D$2:$AJ$1627,33,0),"")</f>
        <v>102609621</v>
      </c>
    </row>
    <row r="655" customFormat="false" ht="15" hidden="true" customHeight="false" outlineLevel="0" collapsed="false">
      <c r="A655" s="0" t="s">
        <v>1552</v>
      </c>
    </row>
    <row r="656" customFormat="false" ht="15" hidden="true" customHeight="false" outlineLevel="0" collapsed="false">
      <c r="A656" s="0" t="s">
        <v>1553</v>
      </c>
    </row>
    <row r="657" customFormat="false" ht="15" hidden="true" customHeight="false" outlineLevel="0" collapsed="false">
      <c r="A657" s="0" t="s">
        <v>1554</v>
      </c>
    </row>
    <row r="658" customFormat="false" ht="15" hidden="true" customHeight="false" outlineLevel="0" collapsed="false">
      <c r="A658" s="0" t="s">
        <v>1555</v>
      </c>
    </row>
    <row r="659" customFormat="false" ht="15" hidden="false" customHeight="false" outlineLevel="0" collapsed="false">
      <c r="A659" s="0" t="s">
        <v>1556</v>
      </c>
    </row>
    <row r="660" customFormat="false" ht="15" hidden="false" customHeight="false" outlineLevel="0" collapsed="false">
      <c r="A660" s="0" t="s">
        <v>1557</v>
      </c>
    </row>
    <row r="661" customFormat="false" ht="15" hidden="false" customHeight="false" outlineLevel="0" collapsed="false">
      <c r="A661" s="0" t="s">
        <v>1558</v>
      </c>
    </row>
    <row r="662" customFormat="false" ht="15" hidden="true" customHeight="false" outlineLevel="0" collapsed="false">
      <c r="A662" s="0" t="s">
        <v>1559</v>
      </c>
    </row>
    <row r="663" customFormat="false" ht="15" hidden="true" customHeight="false" outlineLevel="0" collapsed="false">
      <c r="A663" s="0" t="s">
        <v>1560</v>
      </c>
    </row>
    <row r="664" customFormat="false" ht="15" hidden="true" customHeight="false" outlineLevel="0" collapsed="false">
      <c r="A664" s="0" t="s">
        <v>1561</v>
      </c>
    </row>
    <row r="665" customFormat="false" ht="15" hidden="true" customHeight="false" outlineLevel="0" collapsed="false">
      <c r="A665" s="0" t="s">
        <v>1562</v>
      </c>
    </row>
    <row r="666" customFormat="false" ht="15" hidden="true" customHeight="false" outlineLevel="0" collapsed="false">
      <c r="A666" s="0" t="s">
        <v>1563</v>
      </c>
    </row>
    <row r="667" customFormat="false" ht="15" hidden="true" customHeight="false" outlineLevel="0" collapsed="false">
      <c r="A667" s="0" t="s">
        <v>1564</v>
      </c>
    </row>
    <row r="668" customFormat="false" ht="15" hidden="true" customHeight="false" outlineLevel="0" collapsed="false">
      <c r="A668" s="0" t="s">
        <v>1565</v>
      </c>
    </row>
    <row r="669" customFormat="false" ht="15" hidden="true" customHeight="false" outlineLevel="0" collapsed="false">
      <c r="A669" s="0" t="s">
        <v>1566</v>
      </c>
    </row>
    <row r="670" customFormat="false" ht="15" hidden="true" customHeight="false" outlineLevel="0" collapsed="false">
      <c r="A670" s="0" t="s">
        <v>1567</v>
      </c>
    </row>
    <row r="671" customFormat="false" ht="15" hidden="true" customHeight="false" outlineLevel="0" collapsed="false">
      <c r="A671" s="0" t="s">
        <v>1568</v>
      </c>
    </row>
    <row r="672" customFormat="false" ht="15" hidden="true" customHeight="false" outlineLevel="0" collapsed="false">
      <c r="A672" s="0" t="s">
        <v>1569</v>
      </c>
    </row>
    <row r="673" customFormat="false" ht="15" hidden="true" customHeight="false" outlineLevel="0" collapsed="false">
      <c r="A673" s="0" t="s">
        <v>1570</v>
      </c>
    </row>
    <row r="674" customFormat="false" ht="15" hidden="true" customHeight="false" outlineLevel="0" collapsed="false">
      <c r="A674" s="0" t="s">
        <v>1571</v>
      </c>
    </row>
    <row r="675" customFormat="false" ht="15" hidden="true" customHeight="false" outlineLevel="0" collapsed="false">
      <c r="A675" s="0" t="s">
        <v>1572</v>
      </c>
    </row>
    <row r="676" customFormat="false" ht="15" hidden="true" customHeight="false" outlineLevel="0" collapsed="false">
      <c r="A676" s="0" t="s">
        <v>1573</v>
      </c>
    </row>
    <row r="677" customFormat="false" ht="15" hidden="true" customHeight="false" outlineLevel="0" collapsed="false">
      <c r="A677" s="0" t="s">
        <v>1574</v>
      </c>
    </row>
    <row r="678" customFormat="false" ht="15" hidden="true" customHeight="false" outlineLevel="0" collapsed="false">
      <c r="A678" s="0" t="s">
        <v>1575</v>
      </c>
    </row>
    <row r="679" customFormat="false" ht="15" hidden="true" customHeight="false" outlineLevel="0" collapsed="false">
      <c r="A679" s="0" t="s">
        <v>1576</v>
      </c>
    </row>
    <row r="680" customFormat="false" ht="15" hidden="true" customHeight="false" outlineLevel="0" collapsed="false">
      <c r="A680" s="0" t="s">
        <v>1577</v>
      </c>
    </row>
    <row r="681" customFormat="false" ht="15" hidden="true" customHeight="false" outlineLevel="0" collapsed="false">
      <c r="A681" s="0" t="s">
        <v>1578</v>
      </c>
    </row>
    <row r="682" customFormat="false" ht="15" hidden="true" customHeight="false" outlineLevel="0" collapsed="false">
      <c r="A682" s="0" t="s">
        <v>1579</v>
      </c>
    </row>
    <row r="683" customFormat="false" ht="15" hidden="true" customHeight="false" outlineLevel="0" collapsed="false">
      <c r="A683" s="0" t="s">
        <v>1580</v>
      </c>
    </row>
    <row r="684" customFormat="false" ht="15" hidden="true" customHeight="false" outlineLevel="0" collapsed="false">
      <c r="A684" s="0" t="s">
        <v>1581</v>
      </c>
    </row>
    <row r="685" customFormat="false" ht="15" hidden="true" customHeight="false" outlineLevel="0" collapsed="false">
      <c r="A685" s="0" t="s">
        <v>1582</v>
      </c>
    </row>
    <row r="686" customFormat="false" ht="15" hidden="true" customHeight="false" outlineLevel="0" collapsed="false">
      <c r="A686" s="0" t="s">
        <v>1583</v>
      </c>
    </row>
    <row r="687" customFormat="false" ht="15" hidden="true" customHeight="false" outlineLevel="0" collapsed="false">
      <c r="A687" s="0" t="s">
        <v>1584</v>
      </c>
    </row>
    <row r="688" customFormat="false" ht="15" hidden="true" customHeight="false" outlineLevel="0" collapsed="false">
      <c r="A688" s="0" t="s">
        <v>1585</v>
      </c>
    </row>
    <row r="689" customFormat="false" ht="15" hidden="true" customHeight="false" outlineLevel="0" collapsed="false">
      <c r="A689" s="0" t="s">
        <v>1586</v>
      </c>
    </row>
    <row r="690" customFormat="false" ht="15" hidden="true" customHeight="false" outlineLevel="0" collapsed="false">
      <c r="A690" s="0" t="s">
        <v>1587</v>
      </c>
    </row>
    <row r="691" customFormat="false" ht="15" hidden="true" customHeight="false" outlineLevel="0" collapsed="false">
      <c r="A691" s="0" t="s">
        <v>1588</v>
      </c>
    </row>
    <row r="692" customFormat="false" ht="15" hidden="false" customHeight="false" outlineLevel="0" collapsed="false">
      <c r="A692" s="0" t="s">
        <v>1589</v>
      </c>
    </row>
    <row r="693" customFormat="false" ht="15" hidden="true" customHeight="false" outlineLevel="0" collapsed="false">
      <c r="A693" s="0" t="s">
        <v>1590</v>
      </c>
    </row>
    <row r="694" customFormat="false" ht="15" hidden="true" customHeight="false" outlineLevel="0" collapsed="false">
      <c r="A694" s="0" t="s">
        <v>1591</v>
      </c>
    </row>
    <row r="695" customFormat="false" ht="15" hidden="true" customHeight="false" outlineLevel="0" collapsed="false">
      <c r="A695" s="0" t="s">
        <v>1592</v>
      </c>
    </row>
    <row r="696" customFormat="false" ht="15" hidden="true" customHeight="false" outlineLevel="0" collapsed="false">
      <c r="A696" s="0" t="s">
        <v>1593</v>
      </c>
    </row>
    <row r="697" customFormat="false" ht="15" hidden="true" customHeight="false" outlineLevel="0" collapsed="false">
      <c r="A697" s="0" t="s">
        <v>1594</v>
      </c>
    </row>
    <row r="698" customFormat="false" ht="15" hidden="true" customHeight="false" outlineLevel="0" collapsed="false">
      <c r="A698" s="0" t="s">
        <v>1595</v>
      </c>
    </row>
    <row r="699" customFormat="false" ht="15" hidden="true" customHeight="false" outlineLevel="0" collapsed="false">
      <c r="A699" s="0" t="s">
        <v>1596</v>
      </c>
    </row>
    <row r="700" customFormat="false" ht="15" hidden="true" customHeight="false" outlineLevel="0" collapsed="false">
      <c r="A700" s="0" t="s">
        <v>1597</v>
      </c>
    </row>
    <row r="701" customFormat="false" ht="15" hidden="true" customHeight="false" outlineLevel="0" collapsed="false">
      <c r="A701" s="0" t="s">
        <v>1598</v>
      </c>
    </row>
    <row r="702" customFormat="false" ht="15" hidden="true" customHeight="false" outlineLevel="0" collapsed="false">
      <c r="A702" s="0" t="s">
        <v>1599</v>
      </c>
    </row>
    <row r="703" customFormat="false" ht="15" hidden="true" customHeight="false" outlineLevel="0" collapsed="false">
      <c r="A703" s="0" t="s">
        <v>1600</v>
      </c>
    </row>
    <row r="704" customFormat="false" ht="15" hidden="true" customHeight="false" outlineLevel="0" collapsed="false">
      <c r="A704" s="0" t="s">
        <v>1601</v>
      </c>
    </row>
    <row r="705" customFormat="false" ht="15" hidden="true" customHeight="false" outlineLevel="0" collapsed="false">
      <c r="A705" s="0" t="s">
        <v>1602</v>
      </c>
    </row>
    <row r="706" customFormat="false" ht="15" hidden="true" customHeight="false" outlineLevel="0" collapsed="false">
      <c r="A706" s="0" t="s">
        <v>1603</v>
      </c>
    </row>
    <row r="707" customFormat="false" ht="15" hidden="true" customHeight="false" outlineLevel="0" collapsed="false">
      <c r="A707" s="0" t="s">
        <v>1604</v>
      </c>
    </row>
    <row r="708" customFormat="false" ht="15" hidden="true" customHeight="false" outlineLevel="0" collapsed="false">
      <c r="A708" s="0" t="s">
        <v>1605</v>
      </c>
    </row>
    <row r="709" customFormat="false" ht="15" hidden="true" customHeight="false" outlineLevel="0" collapsed="false">
      <c r="A709" s="0" t="s">
        <v>1606</v>
      </c>
    </row>
    <row r="710" customFormat="false" ht="15" hidden="true" customHeight="false" outlineLevel="0" collapsed="false">
      <c r="A710" s="0" t="s">
        <v>1607</v>
      </c>
    </row>
    <row r="711" customFormat="false" ht="15" hidden="true" customHeight="false" outlineLevel="0" collapsed="false">
      <c r="A711" s="0" t="s">
        <v>1608</v>
      </c>
    </row>
    <row r="712" customFormat="false" ht="15" hidden="true" customHeight="false" outlineLevel="0" collapsed="false">
      <c r="A712" s="0" t="s">
        <v>1609</v>
      </c>
    </row>
    <row r="713" customFormat="false" ht="15" hidden="true" customHeight="false" outlineLevel="0" collapsed="false">
      <c r="A713" s="0" t="s">
        <v>1610</v>
      </c>
    </row>
    <row r="714" customFormat="false" ht="15" hidden="true" customHeight="false" outlineLevel="0" collapsed="false">
      <c r="A714" s="0" t="s">
        <v>1611</v>
      </c>
    </row>
    <row r="715" customFormat="false" ht="15" hidden="true" customHeight="false" outlineLevel="0" collapsed="false">
      <c r="A715" s="0" t="s">
        <v>1612</v>
      </c>
    </row>
    <row r="716" customFormat="false" ht="15" hidden="true" customHeight="false" outlineLevel="0" collapsed="false">
      <c r="A716" s="0" t="s">
        <v>1613</v>
      </c>
    </row>
    <row r="717" customFormat="false" ht="15" hidden="true" customHeight="false" outlineLevel="0" collapsed="false">
      <c r="A717" s="0" t="s">
        <v>1614</v>
      </c>
    </row>
    <row r="718" customFormat="false" ht="15" hidden="true" customHeight="false" outlineLevel="0" collapsed="false">
      <c r="A718" s="0" t="s">
        <v>1615</v>
      </c>
    </row>
    <row r="719" customFormat="false" ht="15" hidden="false" customHeight="false" outlineLevel="0" collapsed="false">
      <c r="A719" s="0" t="s">
        <v>1616</v>
      </c>
    </row>
    <row r="720" customFormat="false" ht="15" hidden="true" customHeight="false" outlineLevel="0" collapsed="false">
      <c r="A720" s="0" t="s">
        <v>1617</v>
      </c>
    </row>
    <row r="721" customFormat="false" ht="15" hidden="true" customHeight="false" outlineLevel="0" collapsed="false">
      <c r="A721" s="0" t="s">
        <v>1618</v>
      </c>
    </row>
    <row r="722" customFormat="false" ht="15" hidden="true" customHeight="false" outlineLevel="0" collapsed="false">
      <c r="A722" s="0" t="s">
        <v>1619</v>
      </c>
    </row>
    <row r="723" customFormat="false" ht="15" hidden="true" customHeight="false" outlineLevel="0" collapsed="false">
      <c r="A723" s="0" t="s">
        <v>1620</v>
      </c>
    </row>
    <row r="724" customFormat="false" ht="15" hidden="true" customHeight="false" outlineLevel="0" collapsed="false">
      <c r="A724" s="0" t="s">
        <v>1621</v>
      </c>
    </row>
    <row r="725" customFormat="false" ht="15" hidden="true" customHeight="false" outlineLevel="0" collapsed="false">
      <c r="A725" s="0" t="s">
        <v>1622</v>
      </c>
    </row>
    <row r="726" customFormat="false" ht="15" hidden="true" customHeight="false" outlineLevel="0" collapsed="false">
      <c r="A726" s="0" t="s">
        <v>1623</v>
      </c>
    </row>
    <row r="727" customFormat="false" ht="15" hidden="true" customHeight="false" outlineLevel="0" collapsed="false">
      <c r="A727" s="0" t="s">
        <v>1624</v>
      </c>
    </row>
    <row r="728" customFormat="false" ht="15" hidden="true" customHeight="false" outlineLevel="0" collapsed="false">
      <c r="A728" s="0" t="s">
        <v>1625</v>
      </c>
    </row>
    <row r="729" customFormat="false" ht="15" hidden="true" customHeight="false" outlineLevel="0" collapsed="false">
      <c r="A729" s="0" t="s">
        <v>1626</v>
      </c>
    </row>
    <row r="730" customFormat="false" ht="15" hidden="true" customHeight="false" outlineLevel="0" collapsed="false">
      <c r="A730" s="0" t="s">
        <v>1627</v>
      </c>
    </row>
    <row r="731" customFormat="false" ht="15" hidden="true" customHeight="false" outlineLevel="0" collapsed="false">
      <c r="A731" s="0" t="s">
        <v>1628</v>
      </c>
    </row>
    <row r="732" customFormat="false" ht="15" hidden="true" customHeight="false" outlineLevel="0" collapsed="false">
      <c r="A732" s="0" t="s">
        <v>1629</v>
      </c>
    </row>
    <row r="733" customFormat="false" ht="15" hidden="true" customHeight="false" outlineLevel="0" collapsed="false">
      <c r="A733" s="0" t="s">
        <v>1630</v>
      </c>
    </row>
    <row r="734" customFormat="false" ht="15" hidden="true" customHeight="false" outlineLevel="0" collapsed="false">
      <c r="A734" s="0" t="s">
        <v>1631</v>
      </c>
    </row>
    <row r="735" customFormat="false" ht="15" hidden="true" customHeight="false" outlineLevel="0" collapsed="false">
      <c r="A735" s="0" t="s">
        <v>1632</v>
      </c>
    </row>
    <row r="736" customFormat="false" ht="15" hidden="true" customHeight="false" outlineLevel="0" collapsed="false">
      <c r="A736" s="0" t="s">
        <v>1633</v>
      </c>
    </row>
    <row r="737" customFormat="false" ht="15" hidden="true" customHeight="false" outlineLevel="0" collapsed="false">
      <c r="A737" s="0" t="s">
        <v>1634</v>
      </c>
    </row>
    <row r="738" customFormat="false" ht="15" hidden="true" customHeight="false" outlineLevel="0" collapsed="false">
      <c r="A738" s="0" t="s">
        <v>1635</v>
      </c>
    </row>
    <row r="739" customFormat="false" ht="15" hidden="true" customHeight="false" outlineLevel="0" collapsed="false">
      <c r="A739" s="0" t="s">
        <v>1636</v>
      </c>
    </row>
    <row r="740" customFormat="false" ht="15" hidden="true" customHeight="false" outlineLevel="0" collapsed="false">
      <c r="A740" s="0" t="s">
        <v>1637</v>
      </c>
    </row>
    <row r="741" customFormat="false" ht="15" hidden="true" customHeight="false" outlineLevel="0" collapsed="false">
      <c r="A741" s="0" t="s">
        <v>1638</v>
      </c>
    </row>
    <row r="742" customFormat="false" ht="15" hidden="true" customHeight="false" outlineLevel="0" collapsed="false">
      <c r="A742" s="0" t="s">
        <v>1639</v>
      </c>
    </row>
    <row r="743" customFormat="false" ht="15" hidden="true" customHeight="false" outlineLevel="0" collapsed="false">
      <c r="A743" s="0" t="s">
        <v>1640</v>
      </c>
    </row>
    <row r="744" customFormat="false" ht="15" hidden="true" customHeight="false" outlineLevel="0" collapsed="false">
      <c r="A744" s="0" t="s">
        <v>1641</v>
      </c>
    </row>
    <row r="745" customFormat="false" ht="15" hidden="true" customHeight="false" outlineLevel="0" collapsed="false">
      <c r="A745" s="0" t="s">
        <v>1642</v>
      </c>
    </row>
    <row r="746" customFormat="false" ht="15" hidden="true" customHeight="false" outlineLevel="0" collapsed="false">
      <c r="A746" s="0" t="s">
        <v>1643</v>
      </c>
    </row>
    <row r="747" customFormat="false" ht="15" hidden="true" customHeight="false" outlineLevel="0" collapsed="false">
      <c r="A747" s="0" t="s">
        <v>1644</v>
      </c>
    </row>
    <row r="748" customFormat="false" ht="15" hidden="true" customHeight="false" outlineLevel="0" collapsed="false">
      <c r="A748" s="0" t="s">
        <v>1645</v>
      </c>
    </row>
    <row r="749" customFormat="false" ht="15" hidden="true" customHeight="false" outlineLevel="0" collapsed="false">
      <c r="A749" s="0" t="s">
        <v>1646</v>
      </c>
    </row>
    <row r="750" customFormat="false" ht="15" hidden="true" customHeight="false" outlineLevel="0" collapsed="false">
      <c r="A750" s="0" t="s">
        <v>1647</v>
      </c>
    </row>
    <row r="751" customFormat="false" ht="15" hidden="true" customHeight="false" outlineLevel="0" collapsed="false">
      <c r="A751" s="0" t="s">
        <v>1648</v>
      </c>
    </row>
    <row r="752" customFormat="false" ht="15" hidden="true" customHeight="false" outlineLevel="0" collapsed="false">
      <c r="A752" s="0" t="s">
        <v>1649</v>
      </c>
    </row>
    <row r="753" customFormat="false" ht="15" hidden="true" customHeight="false" outlineLevel="0" collapsed="false">
      <c r="A753" s="0" t="s">
        <v>1650</v>
      </c>
    </row>
    <row r="754" customFormat="false" ht="15" hidden="false" customHeight="false" outlineLevel="0" collapsed="false">
      <c r="A754" s="0" t="s">
        <v>1651</v>
      </c>
    </row>
    <row r="755" customFormat="false" ht="15" hidden="true" customHeight="false" outlineLevel="0" collapsed="false">
      <c r="A755" s="0" t="s">
        <v>1652</v>
      </c>
    </row>
    <row r="756" customFormat="false" ht="15" hidden="true" customHeight="false" outlineLevel="0" collapsed="false">
      <c r="A756" s="0" t="s">
        <v>1653</v>
      </c>
    </row>
    <row r="757" customFormat="false" ht="15" hidden="true" customHeight="false" outlineLevel="0" collapsed="false">
      <c r="A757" s="0" t="s">
        <v>1654</v>
      </c>
    </row>
    <row r="758" customFormat="false" ht="15" hidden="true" customHeight="false" outlineLevel="0" collapsed="false">
      <c r="A758" s="0" t="s">
        <v>1655</v>
      </c>
    </row>
    <row r="759" customFormat="false" ht="15" hidden="true" customHeight="false" outlineLevel="0" collapsed="false">
      <c r="A759" s="0" t="s">
        <v>1656</v>
      </c>
    </row>
    <row r="760" customFormat="false" ht="15" hidden="true" customHeight="false" outlineLevel="0" collapsed="false">
      <c r="A760" s="0" t="s">
        <v>1657</v>
      </c>
    </row>
    <row r="761" customFormat="false" ht="15" hidden="true" customHeight="false" outlineLevel="0" collapsed="false">
      <c r="A761" s="0" t="s">
        <v>1658</v>
      </c>
    </row>
    <row r="762" customFormat="false" ht="15" hidden="true" customHeight="false" outlineLevel="0" collapsed="false">
      <c r="A762" s="0" t="s">
        <v>1659</v>
      </c>
    </row>
    <row r="763" customFormat="false" ht="15" hidden="false" customHeight="false" outlineLevel="0" collapsed="false">
      <c r="A763" s="0" t="s">
        <v>1660</v>
      </c>
    </row>
    <row r="764" customFormat="false" ht="15" hidden="false" customHeight="false" outlineLevel="0" collapsed="false">
      <c r="A764" s="0" t="s">
        <v>1661</v>
      </c>
    </row>
    <row r="765" customFormat="false" ht="15" hidden="false" customHeight="false" outlineLevel="0" collapsed="false">
      <c r="A765" s="0" t="s">
        <v>1662</v>
      </c>
    </row>
    <row r="766" customFormat="false" ht="15" hidden="false" customHeight="false" outlineLevel="0" collapsed="false">
      <c r="A766" s="0" t="s">
        <v>1663</v>
      </c>
    </row>
    <row r="767" customFormat="false" ht="15" hidden="true" customHeight="false" outlineLevel="0" collapsed="false">
      <c r="A767" s="0" t="s">
        <v>1664</v>
      </c>
    </row>
    <row r="768" customFormat="false" ht="15" hidden="true" customHeight="false" outlineLevel="0" collapsed="false">
      <c r="A768" s="0" t="s">
        <v>1665</v>
      </c>
    </row>
    <row r="769" customFormat="false" ht="15" hidden="true" customHeight="false" outlineLevel="0" collapsed="false">
      <c r="A769" s="0" t="s">
        <v>1666</v>
      </c>
    </row>
    <row r="770" customFormat="false" ht="15" hidden="true" customHeight="false" outlineLevel="0" collapsed="false">
      <c r="A770" s="0" t="s">
        <v>1667</v>
      </c>
    </row>
    <row r="771" customFormat="false" ht="15" hidden="true" customHeight="false" outlineLevel="0" collapsed="false">
      <c r="A771" s="0" t="s">
        <v>1668</v>
      </c>
    </row>
    <row r="772" customFormat="false" ht="15" hidden="true" customHeight="false" outlineLevel="0" collapsed="false">
      <c r="A772" s="0" t="s">
        <v>1669</v>
      </c>
    </row>
    <row r="773" customFormat="false" ht="15" hidden="true" customHeight="false" outlineLevel="0" collapsed="false">
      <c r="A773" s="0" t="s">
        <v>1670</v>
      </c>
    </row>
    <row r="774" customFormat="false" ht="15" hidden="true" customHeight="false" outlineLevel="0" collapsed="false">
      <c r="A774" s="0" t="s">
        <v>1671</v>
      </c>
    </row>
    <row r="775" customFormat="false" ht="15" hidden="true" customHeight="false" outlineLevel="0" collapsed="false">
      <c r="A775" s="0" t="s">
        <v>1672</v>
      </c>
    </row>
    <row r="776" customFormat="false" ht="15" hidden="true" customHeight="false" outlineLevel="0" collapsed="false">
      <c r="A776" s="0" t="s">
        <v>1673</v>
      </c>
    </row>
    <row r="777" customFormat="false" ht="15" hidden="true" customHeight="false" outlineLevel="0" collapsed="false">
      <c r="A777" s="0" t="s">
        <v>1674</v>
      </c>
    </row>
    <row r="778" customFormat="false" ht="15" hidden="true" customHeight="false" outlineLevel="0" collapsed="false">
      <c r="A778" s="0" t="s">
        <v>1675</v>
      </c>
    </row>
    <row r="779" customFormat="false" ht="15" hidden="true" customHeight="false" outlineLevel="0" collapsed="false">
      <c r="A779" s="0" t="s">
        <v>1676</v>
      </c>
    </row>
    <row r="780" customFormat="false" ht="15" hidden="true" customHeight="false" outlineLevel="0" collapsed="false">
      <c r="A780" s="0" t="s">
        <v>1677</v>
      </c>
    </row>
    <row r="781" customFormat="false" ht="15" hidden="true" customHeight="false" outlineLevel="0" collapsed="false">
      <c r="A781" s="0" t="s">
        <v>1678</v>
      </c>
    </row>
    <row r="782" customFormat="false" ht="15" hidden="true" customHeight="false" outlineLevel="0" collapsed="false">
      <c r="A782" s="0" t="s">
        <v>1679</v>
      </c>
    </row>
    <row r="783" customFormat="false" ht="15" hidden="true" customHeight="false" outlineLevel="0" collapsed="false">
      <c r="A783" s="0" t="s">
        <v>1680</v>
      </c>
    </row>
    <row r="784" customFormat="false" ht="15" hidden="true" customHeight="false" outlineLevel="0" collapsed="false">
      <c r="A784" s="0" t="s">
        <v>1681</v>
      </c>
    </row>
    <row r="785" customFormat="false" ht="15" hidden="true" customHeight="false" outlineLevel="0" collapsed="false">
      <c r="A785" s="0" t="s">
        <v>1682</v>
      </c>
    </row>
    <row r="786" customFormat="false" ht="15" hidden="true" customHeight="false" outlineLevel="0" collapsed="false">
      <c r="A786" s="0" t="s">
        <v>1683</v>
      </c>
    </row>
    <row r="787" customFormat="false" ht="15" hidden="true" customHeight="false" outlineLevel="0" collapsed="false">
      <c r="A787" s="0" t="s">
        <v>1684</v>
      </c>
    </row>
    <row r="788" customFormat="false" ht="15" hidden="true" customHeight="false" outlineLevel="0" collapsed="false">
      <c r="A788" s="0" t="s">
        <v>1685</v>
      </c>
    </row>
    <row r="789" customFormat="false" ht="15" hidden="false" customHeight="false" outlineLevel="0" collapsed="false">
      <c r="A789" s="0" t="s">
        <v>1686</v>
      </c>
    </row>
    <row r="790" customFormat="false" ht="15" hidden="true" customHeight="false" outlineLevel="0" collapsed="false">
      <c r="A790" s="0" t="s">
        <v>1687</v>
      </c>
    </row>
    <row r="791" customFormat="false" ht="15" hidden="true" customHeight="false" outlineLevel="0" collapsed="false">
      <c r="A791" s="0" t="s">
        <v>1688</v>
      </c>
    </row>
    <row r="792" customFormat="false" ht="15" hidden="true" customHeight="false" outlineLevel="0" collapsed="false">
      <c r="A792" s="0" t="s">
        <v>1689</v>
      </c>
    </row>
    <row r="793" customFormat="false" ht="15" hidden="true" customHeight="false" outlineLevel="0" collapsed="false">
      <c r="A793" s="0" t="s">
        <v>1690</v>
      </c>
    </row>
    <row r="794" customFormat="false" ht="15" hidden="true" customHeight="false" outlineLevel="0" collapsed="false">
      <c r="A794" s="0" t="s">
        <v>1691</v>
      </c>
    </row>
    <row r="795" customFormat="false" ht="15" hidden="true" customHeight="false" outlineLevel="0" collapsed="false">
      <c r="A795" s="0" t="s">
        <v>1692</v>
      </c>
    </row>
    <row r="796" customFormat="false" ht="15" hidden="true" customHeight="false" outlineLevel="0" collapsed="false">
      <c r="A796" s="0" t="s">
        <v>1693</v>
      </c>
    </row>
    <row r="797" customFormat="false" ht="15" hidden="true" customHeight="false" outlineLevel="0" collapsed="false">
      <c r="A797" s="0" t="s">
        <v>1694</v>
      </c>
    </row>
    <row r="798" customFormat="false" ht="15" hidden="true" customHeight="false" outlineLevel="0" collapsed="false">
      <c r="A798" s="0" t="s">
        <v>1695</v>
      </c>
    </row>
    <row r="799" customFormat="false" ht="15" hidden="true" customHeight="false" outlineLevel="0" collapsed="false">
      <c r="A799" s="0" t="s">
        <v>1696</v>
      </c>
    </row>
    <row r="800" customFormat="false" ht="15" hidden="true" customHeight="false" outlineLevel="0" collapsed="false">
      <c r="A800" s="0" t="s">
        <v>1697</v>
      </c>
    </row>
    <row r="801" customFormat="false" ht="15" hidden="true" customHeight="false" outlineLevel="0" collapsed="false">
      <c r="A801" s="0" t="s">
        <v>1698</v>
      </c>
    </row>
    <row r="802" customFormat="false" ht="15" hidden="true" customHeight="false" outlineLevel="0" collapsed="false">
      <c r="A802" s="0" t="s">
        <v>1699</v>
      </c>
    </row>
    <row r="803" customFormat="false" ht="15" hidden="true" customHeight="false" outlineLevel="0" collapsed="false">
      <c r="A803" s="0" t="s">
        <v>1700</v>
      </c>
    </row>
    <row r="804" customFormat="false" ht="15" hidden="true" customHeight="false" outlineLevel="0" collapsed="false">
      <c r="A804" s="0" t="s">
        <v>1701</v>
      </c>
    </row>
    <row r="805" customFormat="false" ht="15" hidden="true" customHeight="false" outlineLevel="0" collapsed="false">
      <c r="A805" s="0" t="s">
        <v>1702</v>
      </c>
    </row>
    <row r="806" customFormat="false" ht="15" hidden="true" customHeight="false" outlineLevel="0" collapsed="false">
      <c r="A806" s="0" t="s">
        <v>1703</v>
      </c>
    </row>
    <row r="807" customFormat="false" ht="15" hidden="true" customHeight="false" outlineLevel="0" collapsed="false">
      <c r="A807" s="0" t="s">
        <v>1704</v>
      </c>
    </row>
    <row r="808" customFormat="false" ht="15" hidden="true" customHeight="false" outlineLevel="0" collapsed="false">
      <c r="A808" s="0" t="s">
        <v>1705</v>
      </c>
    </row>
    <row r="809" customFormat="false" ht="15" hidden="true" customHeight="false" outlineLevel="0" collapsed="false">
      <c r="A809" s="0" t="s">
        <v>1706</v>
      </c>
    </row>
    <row r="810" customFormat="false" ht="15" hidden="true" customHeight="false" outlineLevel="0" collapsed="false">
      <c r="A810" s="0" t="s">
        <v>1707</v>
      </c>
    </row>
    <row r="811" customFormat="false" ht="15" hidden="true" customHeight="false" outlineLevel="0" collapsed="false">
      <c r="A811" s="0" t="s">
        <v>1708</v>
      </c>
    </row>
    <row r="812" customFormat="false" ht="15" hidden="true" customHeight="false" outlineLevel="0" collapsed="false">
      <c r="A812" s="0" t="s">
        <v>1709</v>
      </c>
    </row>
    <row r="813" customFormat="false" ht="15" hidden="false" customHeight="false" outlineLevel="0" collapsed="false">
      <c r="A813" s="0" t="s">
        <v>1710</v>
      </c>
    </row>
    <row r="814" customFormat="false" ht="15" hidden="false" customHeight="false" outlineLevel="0" collapsed="false">
      <c r="A814" s="0" t="s">
        <v>1711</v>
      </c>
    </row>
    <row r="815" customFormat="false" ht="15" hidden="false" customHeight="false" outlineLevel="0" collapsed="false">
      <c r="A815" s="0" t="s">
        <v>1712</v>
      </c>
    </row>
    <row r="816" customFormat="false" ht="15" hidden="false" customHeight="false" outlineLevel="0" collapsed="false">
      <c r="A816" s="0" t="s">
        <v>1713</v>
      </c>
    </row>
    <row r="817" customFormat="false" ht="15" hidden="true" customHeight="false" outlineLevel="0" collapsed="false">
      <c r="A817" s="0" t="s">
        <v>1714</v>
      </c>
    </row>
    <row r="818" customFormat="false" ht="15" hidden="true" customHeight="false" outlineLevel="0" collapsed="false">
      <c r="A818" s="0" t="s">
        <v>1715</v>
      </c>
    </row>
    <row r="819" customFormat="false" ht="15" hidden="true" customHeight="false" outlineLevel="0" collapsed="false">
      <c r="A819" s="0" t="s">
        <v>1716</v>
      </c>
    </row>
    <row r="820" customFormat="false" ht="15" hidden="true" customHeight="false" outlineLevel="0" collapsed="false">
      <c r="A820" s="0" t="s">
        <v>1717</v>
      </c>
    </row>
    <row r="821" customFormat="false" ht="15" hidden="true" customHeight="false" outlineLevel="0" collapsed="false">
      <c r="A821" s="0" t="s">
        <v>1718</v>
      </c>
    </row>
    <row r="822" customFormat="false" ht="15" hidden="true" customHeight="false" outlineLevel="0" collapsed="false">
      <c r="A822" s="0" t="s">
        <v>1719</v>
      </c>
    </row>
    <row r="823" customFormat="false" ht="15" hidden="true" customHeight="false" outlineLevel="0" collapsed="false">
      <c r="A823" s="0" t="s">
        <v>1720</v>
      </c>
    </row>
    <row r="824" customFormat="false" ht="15" hidden="true" customHeight="false" outlineLevel="0" collapsed="false">
      <c r="A824" s="0" t="s">
        <v>1721</v>
      </c>
    </row>
    <row r="825" customFormat="false" ht="15" hidden="true" customHeight="false" outlineLevel="0" collapsed="false">
      <c r="A825" s="0" t="s">
        <v>1722</v>
      </c>
    </row>
    <row r="826" customFormat="false" ht="15" hidden="true" customHeight="false" outlineLevel="0" collapsed="false">
      <c r="A826" s="0" t="s">
        <v>1723</v>
      </c>
    </row>
    <row r="827" customFormat="false" ht="15" hidden="true" customHeight="false" outlineLevel="0" collapsed="false">
      <c r="A827" s="0" t="s">
        <v>1724</v>
      </c>
    </row>
    <row r="828" customFormat="false" ht="15" hidden="true" customHeight="false" outlineLevel="0" collapsed="false">
      <c r="A828" s="0" t="s">
        <v>1725</v>
      </c>
    </row>
    <row r="829" customFormat="false" ht="15" hidden="true" customHeight="false" outlineLevel="0" collapsed="false">
      <c r="A829" s="0" t="s">
        <v>1726</v>
      </c>
    </row>
    <row r="830" customFormat="false" ht="15" hidden="true" customHeight="false" outlineLevel="0" collapsed="false">
      <c r="A830" s="0" t="s">
        <v>1727</v>
      </c>
    </row>
    <row r="831" customFormat="false" ht="15" hidden="true" customHeight="false" outlineLevel="0" collapsed="false">
      <c r="A831" s="0" t="s">
        <v>1728</v>
      </c>
    </row>
    <row r="832" customFormat="false" ht="15" hidden="true" customHeight="false" outlineLevel="0" collapsed="false">
      <c r="A832" s="0" t="s">
        <v>1729</v>
      </c>
    </row>
    <row r="833" customFormat="false" ht="15" hidden="true" customHeight="false" outlineLevel="0" collapsed="false">
      <c r="A833" s="0" t="s">
        <v>1730</v>
      </c>
    </row>
    <row r="834" customFormat="false" ht="15" hidden="true" customHeight="false" outlineLevel="0" collapsed="false">
      <c r="A834" s="0" t="s">
        <v>1731</v>
      </c>
    </row>
    <row r="835" customFormat="false" ht="15" hidden="true" customHeight="false" outlineLevel="0" collapsed="false">
      <c r="A835" s="0" t="s">
        <v>1732</v>
      </c>
    </row>
    <row r="836" customFormat="false" ht="15" hidden="true" customHeight="false" outlineLevel="0" collapsed="false">
      <c r="A836" s="0" t="s">
        <v>1733</v>
      </c>
    </row>
    <row r="837" customFormat="false" ht="15" hidden="false" customHeight="false" outlineLevel="0" collapsed="false">
      <c r="A837" s="0" t="s">
        <v>1734</v>
      </c>
    </row>
    <row r="838" customFormat="false" ht="15" hidden="false" customHeight="false" outlineLevel="0" collapsed="false">
      <c r="A838" s="0" t="s">
        <v>1735</v>
      </c>
    </row>
    <row r="839" customFormat="false" ht="15" hidden="false" customHeight="false" outlineLevel="0" collapsed="false">
      <c r="A839" s="0" t="s">
        <v>1736</v>
      </c>
    </row>
    <row r="840" customFormat="false" ht="15" hidden="true" customHeight="false" outlineLevel="0" collapsed="false">
      <c r="A840" s="0" t="s">
        <v>1737</v>
      </c>
    </row>
    <row r="841" customFormat="false" ht="15" hidden="true" customHeight="false" outlineLevel="0" collapsed="false">
      <c r="A841" s="0" t="s">
        <v>1738</v>
      </c>
    </row>
    <row r="842" customFormat="false" ht="15" hidden="true" customHeight="false" outlineLevel="0" collapsed="false">
      <c r="A842" s="0" t="s">
        <v>1739</v>
      </c>
    </row>
    <row r="843" customFormat="false" ht="15" hidden="true" customHeight="false" outlineLevel="0" collapsed="false">
      <c r="A843" s="0" t="s">
        <v>1740</v>
      </c>
    </row>
    <row r="844" customFormat="false" ht="15" hidden="true" customHeight="false" outlineLevel="0" collapsed="false">
      <c r="A844" s="0" t="s">
        <v>1741</v>
      </c>
    </row>
    <row r="845" customFormat="false" ht="15" hidden="true" customHeight="false" outlineLevel="0" collapsed="false">
      <c r="A845" s="0" t="s">
        <v>1742</v>
      </c>
    </row>
    <row r="846" customFormat="false" ht="15" hidden="true" customHeight="false" outlineLevel="0" collapsed="false">
      <c r="A846" s="0" t="s">
        <v>1743</v>
      </c>
    </row>
    <row r="847" customFormat="false" ht="15" hidden="true" customHeight="false" outlineLevel="0" collapsed="false">
      <c r="A847" s="0" t="s">
        <v>1744</v>
      </c>
    </row>
    <row r="848" customFormat="false" ht="15" hidden="true" customHeight="false" outlineLevel="0" collapsed="false">
      <c r="A848" s="0" t="s">
        <v>1745</v>
      </c>
    </row>
    <row r="849" customFormat="false" ht="15" hidden="true" customHeight="false" outlineLevel="0" collapsed="false">
      <c r="A849" s="0" t="s">
        <v>1746</v>
      </c>
    </row>
    <row r="850" customFormat="false" ht="15" hidden="true" customHeight="false" outlineLevel="0" collapsed="false">
      <c r="A850" s="0" t="s">
        <v>1747</v>
      </c>
    </row>
    <row r="851" customFormat="false" ht="15" hidden="true" customHeight="false" outlineLevel="0" collapsed="false">
      <c r="A851" s="0" t="s">
        <v>1748</v>
      </c>
    </row>
    <row r="852" customFormat="false" ht="15" hidden="false" customHeight="false" outlineLevel="0" collapsed="false">
      <c r="A852" s="0" t="s">
        <v>1749</v>
      </c>
    </row>
    <row r="853" customFormat="false" ht="15" hidden="true" customHeight="false" outlineLevel="0" collapsed="false">
      <c r="A853" s="0" t="s">
        <v>1750</v>
      </c>
    </row>
    <row r="854" customFormat="false" ht="15" hidden="true" customHeight="false" outlineLevel="0" collapsed="false">
      <c r="A854" s="0" t="s">
        <v>1751</v>
      </c>
    </row>
    <row r="855" customFormat="false" ht="15" hidden="true" customHeight="false" outlineLevel="0" collapsed="false">
      <c r="A855" s="0" t="s">
        <v>1752</v>
      </c>
    </row>
    <row r="856" customFormat="false" ht="15" hidden="true" customHeight="false" outlineLevel="0" collapsed="false">
      <c r="A856" s="0" t="s">
        <v>1753</v>
      </c>
    </row>
    <row r="857" customFormat="false" ht="15" hidden="true" customHeight="false" outlineLevel="0" collapsed="false">
      <c r="A857" s="0" t="s">
        <v>1754</v>
      </c>
    </row>
    <row r="858" customFormat="false" ht="15" hidden="true" customHeight="false" outlineLevel="0" collapsed="false">
      <c r="A858" s="0" t="s">
        <v>1755</v>
      </c>
    </row>
    <row r="859" customFormat="false" ht="15" hidden="true" customHeight="false" outlineLevel="0" collapsed="false">
      <c r="A859" s="0" t="s">
        <v>1756</v>
      </c>
    </row>
    <row r="860" customFormat="false" ht="15" hidden="true" customHeight="false" outlineLevel="0" collapsed="false">
      <c r="A860" s="0" t="s">
        <v>1757</v>
      </c>
    </row>
    <row r="861" customFormat="false" ht="15" hidden="true" customHeight="false" outlineLevel="0" collapsed="false">
      <c r="A861" s="0" t="s">
        <v>1758</v>
      </c>
    </row>
    <row r="862" customFormat="false" ht="15" hidden="true" customHeight="false" outlineLevel="0" collapsed="false">
      <c r="A862" s="0" t="s">
        <v>1759</v>
      </c>
    </row>
    <row r="863" customFormat="false" ht="15" hidden="true" customHeight="false" outlineLevel="0" collapsed="false">
      <c r="A863" s="0" t="s">
        <v>1760</v>
      </c>
    </row>
    <row r="864" customFormat="false" ht="15" hidden="true" customHeight="false" outlineLevel="0" collapsed="false">
      <c r="A864" s="0" t="s">
        <v>1761</v>
      </c>
    </row>
    <row r="865" customFormat="false" ht="15" hidden="false" customHeight="false" outlineLevel="0" collapsed="false">
      <c r="A865" s="0" t="s">
        <v>1762</v>
      </c>
    </row>
    <row r="866" customFormat="false" ht="15" hidden="false" customHeight="false" outlineLevel="0" collapsed="false">
      <c r="A866" s="0" t="s">
        <v>1763</v>
      </c>
    </row>
    <row r="867" customFormat="false" ht="15" hidden="false" customHeight="false" outlineLevel="0" collapsed="false">
      <c r="A867" s="0" t="s">
        <v>1764</v>
      </c>
    </row>
    <row r="868" customFormat="false" ht="15" hidden="false" customHeight="false" outlineLevel="0" collapsed="false">
      <c r="A868" s="0" t="s">
        <v>1765</v>
      </c>
    </row>
    <row r="869" customFormat="false" ht="15" hidden="true" customHeight="false" outlineLevel="0" collapsed="false">
      <c r="A869" s="0" t="s">
        <v>1766</v>
      </c>
    </row>
    <row r="870" customFormat="false" ht="15" hidden="true" customHeight="false" outlineLevel="0" collapsed="false">
      <c r="A870" s="0" t="s">
        <v>1767</v>
      </c>
    </row>
    <row r="871" customFormat="false" ht="15" hidden="true" customHeight="false" outlineLevel="0" collapsed="false">
      <c r="A871" s="0" t="s">
        <v>1768</v>
      </c>
    </row>
    <row r="872" customFormat="false" ht="15" hidden="true" customHeight="false" outlineLevel="0" collapsed="false">
      <c r="A872" s="0" t="s">
        <v>1769</v>
      </c>
    </row>
    <row r="873" customFormat="false" ht="15" hidden="true" customHeight="false" outlineLevel="0" collapsed="false">
      <c r="A873" s="0" t="s">
        <v>1770</v>
      </c>
    </row>
    <row r="874" customFormat="false" ht="15" hidden="true" customHeight="false" outlineLevel="0" collapsed="false">
      <c r="A874" s="0" t="s">
        <v>1771</v>
      </c>
    </row>
    <row r="875" customFormat="false" ht="15" hidden="true" customHeight="false" outlineLevel="0" collapsed="false">
      <c r="A875" s="0" t="s">
        <v>1772</v>
      </c>
    </row>
    <row r="876" customFormat="false" ht="15" hidden="true" customHeight="false" outlineLevel="0" collapsed="false">
      <c r="A876" s="0" t="s">
        <v>1773</v>
      </c>
    </row>
    <row r="877" customFormat="false" ht="15" hidden="true" customHeight="false" outlineLevel="0" collapsed="false">
      <c r="A877" s="0" t="s">
        <v>1774</v>
      </c>
    </row>
    <row r="878" customFormat="false" ht="15" hidden="true" customHeight="false" outlineLevel="0" collapsed="false">
      <c r="A878" s="0" t="s">
        <v>1775</v>
      </c>
    </row>
    <row r="879" customFormat="false" ht="15" hidden="true" customHeight="false" outlineLevel="0" collapsed="false">
      <c r="A879" s="0" t="s">
        <v>1776</v>
      </c>
    </row>
    <row r="880" customFormat="false" ht="15" hidden="true" customHeight="false" outlineLevel="0" collapsed="false">
      <c r="A880" s="0" t="s">
        <v>1777</v>
      </c>
    </row>
    <row r="881" customFormat="false" ht="15" hidden="true" customHeight="false" outlineLevel="0" collapsed="false">
      <c r="A881" s="0" t="s">
        <v>1778</v>
      </c>
    </row>
    <row r="882" customFormat="false" ht="15" hidden="true" customHeight="false" outlineLevel="0" collapsed="false">
      <c r="A882" s="0" t="s">
        <v>1779</v>
      </c>
    </row>
    <row r="883" customFormat="false" ht="15" hidden="true" customHeight="false" outlineLevel="0" collapsed="false">
      <c r="A883" s="0" t="s">
        <v>1780</v>
      </c>
    </row>
    <row r="884" customFormat="false" ht="15" hidden="true" customHeight="false" outlineLevel="0" collapsed="false">
      <c r="A884" s="0" t="s">
        <v>1781</v>
      </c>
    </row>
    <row r="885" customFormat="false" ht="15" hidden="true" customHeight="false" outlineLevel="0" collapsed="false">
      <c r="A885" s="0" t="s">
        <v>1782</v>
      </c>
    </row>
    <row r="886" customFormat="false" ht="15" hidden="true" customHeight="false" outlineLevel="0" collapsed="false">
      <c r="A886" s="0" t="s">
        <v>1783</v>
      </c>
    </row>
    <row r="887" customFormat="false" ht="15" hidden="false" customHeight="false" outlineLevel="0" collapsed="false">
      <c r="A887" s="0" t="s">
        <v>1784</v>
      </c>
    </row>
    <row r="888" customFormat="false" ht="15" hidden="true" customHeight="false" outlineLevel="0" collapsed="false">
      <c r="A888" s="0" t="s">
        <v>1785</v>
      </c>
    </row>
    <row r="889" customFormat="false" ht="15" hidden="true" customHeight="false" outlineLevel="0" collapsed="false">
      <c r="A889" s="0" t="s">
        <v>1786</v>
      </c>
    </row>
    <row r="890" customFormat="false" ht="15" hidden="true" customHeight="false" outlineLevel="0" collapsed="false">
      <c r="A890" s="0" t="s">
        <v>1787</v>
      </c>
    </row>
    <row r="891" customFormat="false" ht="15" hidden="true" customHeight="false" outlineLevel="0" collapsed="false">
      <c r="A891" s="0" t="s">
        <v>1788</v>
      </c>
    </row>
    <row r="892" customFormat="false" ht="15" hidden="true" customHeight="false" outlineLevel="0" collapsed="false">
      <c r="A892" s="0" t="s">
        <v>1789</v>
      </c>
    </row>
    <row r="893" customFormat="false" ht="15" hidden="true" customHeight="false" outlineLevel="0" collapsed="false">
      <c r="A893" s="0" t="s">
        <v>1790</v>
      </c>
    </row>
    <row r="894" customFormat="false" ht="15" hidden="true" customHeight="false" outlineLevel="0" collapsed="false">
      <c r="A894" s="0" t="s">
        <v>1791</v>
      </c>
    </row>
    <row r="895" customFormat="false" ht="15" hidden="true" customHeight="false" outlineLevel="0" collapsed="false">
      <c r="A895" s="0" t="s">
        <v>1792</v>
      </c>
    </row>
    <row r="896" customFormat="false" ht="15" hidden="true" customHeight="false" outlineLevel="0" collapsed="false">
      <c r="A896" s="0" t="s">
        <v>1793</v>
      </c>
    </row>
    <row r="897" customFormat="false" ht="15" hidden="true" customHeight="false" outlineLevel="0" collapsed="false">
      <c r="A897" s="0" t="s">
        <v>1794</v>
      </c>
    </row>
    <row r="898" customFormat="false" ht="15" hidden="true" customHeight="false" outlineLevel="0" collapsed="false">
      <c r="A898" s="0" t="s">
        <v>1795</v>
      </c>
    </row>
    <row r="899" customFormat="false" ht="15" hidden="true" customHeight="false" outlineLevel="0" collapsed="false">
      <c r="A899" s="0" t="s">
        <v>1796</v>
      </c>
    </row>
    <row r="900" customFormat="false" ht="15" hidden="true" customHeight="false" outlineLevel="0" collapsed="false">
      <c r="A900" s="0" t="s">
        <v>1797</v>
      </c>
    </row>
    <row r="901" customFormat="false" ht="15" hidden="true" customHeight="false" outlineLevel="0" collapsed="false">
      <c r="A901" s="0" t="s">
        <v>1798</v>
      </c>
    </row>
    <row r="902" customFormat="false" ht="15" hidden="true" customHeight="false" outlineLevel="0" collapsed="false">
      <c r="A902" s="0" t="s">
        <v>1799</v>
      </c>
    </row>
    <row r="903" customFormat="false" ht="15" hidden="true" customHeight="false" outlineLevel="0" collapsed="false">
      <c r="A903" s="0" t="s">
        <v>1800</v>
      </c>
    </row>
    <row r="904" customFormat="false" ht="15" hidden="true" customHeight="false" outlineLevel="0" collapsed="false">
      <c r="A904" s="0" t="s">
        <v>1801</v>
      </c>
    </row>
    <row r="905" customFormat="false" ht="15" hidden="true" customHeight="false" outlineLevel="0" collapsed="false">
      <c r="A905" s="0" t="s">
        <v>1802</v>
      </c>
    </row>
    <row r="906" customFormat="false" ht="15" hidden="true" customHeight="false" outlineLevel="0" collapsed="false">
      <c r="A906" s="0" t="s">
        <v>1803</v>
      </c>
    </row>
    <row r="907" customFormat="false" ht="15" hidden="true" customHeight="false" outlineLevel="0" collapsed="false">
      <c r="A907" s="0" t="s">
        <v>1804</v>
      </c>
    </row>
    <row r="908" customFormat="false" ht="15" hidden="true" customHeight="false" outlineLevel="0" collapsed="false">
      <c r="A908" s="0" t="s">
        <v>1805</v>
      </c>
    </row>
    <row r="909" customFormat="false" ht="15" hidden="true" customHeight="false" outlineLevel="0" collapsed="false">
      <c r="A909" s="0" t="s">
        <v>1806</v>
      </c>
    </row>
    <row r="910" customFormat="false" ht="15" hidden="true" customHeight="false" outlineLevel="0" collapsed="false">
      <c r="A910" s="0" t="s">
        <v>1807</v>
      </c>
    </row>
    <row r="911" customFormat="false" ht="15" hidden="true" customHeight="false" outlineLevel="0" collapsed="false">
      <c r="A911" s="0" t="s">
        <v>1808</v>
      </c>
    </row>
    <row r="912" customFormat="false" ht="15" hidden="true" customHeight="false" outlineLevel="0" collapsed="false">
      <c r="A912" s="0" t="s">
        <v>1809</v>
      </c>
    </row>
    <row r="913" customFormat="false" ht="15" hidden="false" customHeight="false" outlineLevel="0" collapsed="false">
      <c r="A913" s="0" t="s">
        <v>1810</v>
      </c>
    </row>
    <row r="914" customFormat="false" ht="15" hidden="true" customHeight="false" outlineLevel="0" collapsed="false">
      <c r="A914" s="0" t="s">
        <v>1811</v>
      </c>
    </row>
    <row r="915" customFormat="false" ht="15" hidden="true" customHeight="false" outlineLevel="0" collapsed="false">
      <c r="A915" s="0" t="s">
        <v>1812</v>
      </c>
    </row>
    <row r="916" customFormat="false" ht="15" hidden="true" customHeight="false" outlineLevel="0" collapsed="false">
      <c r="A916" s="0" t="s">
        <v>1813</v>
      </c>
    </row>
    <row r="917" customFormat="false" ht="15" hidden="true" customHeight="false" outlineLevel="0" collapsed="false">
      <c r="A917" s="0" t="s">
        <v>1814</v>
      </c>
    </row>
    <row r="918" customFormat="false" ht="15" hidden="false" customHeight="false" outlineLevel="0" collapsed="false">
      <c r="A918" s="0" t="s">
        <v>1815</v>
      </c>
    </row>
    <row r="919" customFormat="false" ht="15" hidden="false" customHeight="false" outlineLevel="0" collapsed="false">
      <c r="A919" s="0" t="s">
        <v>1816</v>
      </c>
    </row>
    <row r="920" customFormat="false" ht="15" hidden="false" customHeight="false" outlineLevel="0" collapsed="false">
      <c r="A920" s="0" t="s">
        <v>1817</v>
      </c>
    </row>
    <row r="921" customFormat="false" ht="15" hidden="true" customHeight="false" outlineLevel="0" collapsed="false">
      <c r="A921" s="0" t="s">
        <v>1818</v>
      </c>
    </row>
    <row r="922" customFormat="false" ht="15" hidden="true" customHeight="false" outlineLevel="0" collapsed="false">
      <c r="A922" s="0" t="s">
        <v>1819</v>
      </c>
    </row>
    <row r="923" customFormat="false" ht="15" hidden="true" customHeight="false" outlineLevel="0" collapsed="false">
      <c r="A923" s="0" t="s">
        <v>1820</v>
      </c>
    </row>
    <row r="924" customFormat="false" ht="15" hidden="true" customHeight="false" outlineLevel="0" collapsed="false">
      <c r="A924" s="0" t="s">
        <v>1821</v>
      </c>
    </row>
    <row r="925" customFormat="false" ht="15" hidden="true" customHeight="false" outlineLevel="0" collapsed="false">
      <c r="A925" s="0" t="s">
        <v>1822</v>
      </c>
    </row>
    <row r="926" customFormat="false" ht="15" hidden="true" customHeight="false" outlineLevel="0" collapsed="false">
      <c r="A926" s="0" t="s">
        <v>1823</v>
      </c>
    </row>
    <row r="927" customFormat="false" ht="15" hidden="true" customHeight="false" outlineLevel="0" collapsed="false">
      <c r="A927" s="0" t="s">
        <v>1824</v>
      </c>
    </row>
    <row r="928" customFormat="false" ht="15" hidden="true" customHeight="false" outlineLevel="0" collapsed="false">
      <c r="A928" s="0" t="s">
        <v>1825</v>
      </c>
    </row>
    <row r="929" customFormat="false" ht="15" hidden="true" customHeight="false" outlineLevel="0" collapsed="false">
      <c r="A929" s="0" t="s">
        <v>1826</v>
      </c>
    </row>
    <row r="930" customFormat="false" ht="15" hidden="true" customHeight="false" outlineLevel="0" collapsed="false">
      <c r="A930" s="0" t="s">
        <v>1827</v>
      </c>
    </row>
    <row r="931" customFormat="false" ht="15" hidden="true" customHeight="false" outlineLevel="0" collapsed="false">
      <c r="A931" s="0" t="s">
        <v>1828</v>
      </c>
    </row>
    <row r="932" customFormat="false" ht="15" hidden="true" customHeight="false" outlineLevel="0" collapsed="false">
      <c r="A932" s="0" t="s">
        <v>1829</v>
      </c>
    </row>
    <row r="933" customFormat="false" ht="15" hidden="true" customHeight="false" outlineLevel="0" collapsed="false">
      <c r="A933" s="0" t="s">
        <v>1830</v>
      </c>
    </row>
    <row r="934" customFormat="false" ht="15" hidden="true" customHeight="false" outlineLevel="0" collapsed="false">
      <c r="A934" s="0" t="s">
        <v>1831</v>
      </c>
    </row>
    <row r="935" customFormat="false" ht="15" hidden="true" customHeight="false" outlineLevel="0" collapsed="false">
      <c r="A935" s="0" t="s">
        <v>1832</v>
      </c>
    </row>
    <row r="936" customFormat="false" ht="15" hidden="true" customHeight="false" outlineLevel="0" collapsed="false">
      <c r="A936" s="0" t="s">
        <v>1833</v>
      </c>
    </row>
    <row r="937" customFormat="false" ht="15" hidden="true" customHeight="false" outlineLevel="0" collapsed="false">
      <c r="A937" s="0" t="s">
        <v>1834</v>
      </c>
    </row>
    <row r="938" customFormat="false" ht="15" hidden="true" customHeight="false" outlineLevel="0" collapsed="false">
      <c r="A938" s="0" t="s">
        <v>1835</v>
      </c>
    </row>
    <row r="939" customFormat="false" ht="15" hidden="true" customHeight="false" outlineLevel="0" collapsed="false">
      <c r="A939" s="0" t="s">
        <v>1836</v>
      </c>
    </row>
    <row r="940" customFormat="false" ht="15" hidden="true" customHeight="false" outlineLevel="0" collapsed="false">
      <c r="A940" s="0" t="s">
        <v>1837</v>
      </c>
    </row>
    <row r="941" customFormat="false" ht="15" hidden="true" customHeight="false" outlineLevel="0" collapsed="false">
      <c r="A941" s="0" t="s">
        <v>1838</v>
      </c>
    </row>
    <row r="942" customFormat="false" ht="15" hidden="true" customHeight="false" outlineLevel="0" collapsed="false">
      <c r="A942" s="0" t="s">
        <v>1839</v>
      </c>
    </row>
    <row r="943" customFormat="false" ht="15" hidden="true" customHeight="false" outlineLevel="0" collapsed="false">
      <c r="A943" s="0" t="s">
        <v>1840</v>
      </c>
    </row>
    <row r="944" customFormat="false" ht="15" hidden="true" customHeight="false" outlineLevel="0" collapsed="false">
      <c r="A944" s="0" t="s">
        <v>1841</v>
      </c>
    </row>
    <row r="945" customFormat="false" ht="15" hidden="true" customHeight="false" outlineLevel="0" collapsed="false">
      <c r="A945" s="0" t="s">
        <v>1842</v>
      </c>
    </row>
    <row r="946" customFormat="false" ht="15" hidden="true" customHeight="false" outlineLevel="0" collapsed="false">
      <c r="A946" s="0" t="s">
        <v>1843</v>
      </c>
    </row>
    <row r="947" customFormat="false" ht="15" hidden="true" customHeight="false" outlineLevel="0" collapsed="false">
      <c r="A947" s="0" t="s">
        <v>1844</v>
      </c>
    </row>
    <row r="948" customFormat="false" ht="15" hidden="true" customHeight="false" outlineLevel="0" collapsed="false">
      <c r="A948" s="0" t="s">
        <v>1845</v>
      </c>
    </row>
    <row r="949" customFormat="false" ht="15" hidden="true" customHeight="false" outlineLevel="0" collapsed="false">
      <c r="A949" s="0" t="s">
        <v>1846</v>
      </c>
    </row>
    <row r="950" customFormat="false" ht="15" hidden="false" customHeight="false" outlineLevel="0" collapsed="false">
      <c r="A950" s="0" t="s">
        <v>1847</v>
      </c>
    </row>
    <row r="951" customFormat="false" ht="15" hidden="true" customHeight="false" outlineLevel="0" collapsed="false">
      <c r="A951" s="0" t="s">
        <v>1848</v>
      </c>
    </row>
    <row r="952" customFormat="false" ht="15" hidden="true" customHeight="false" outlineLevel="0" collapsed="false">
      <c r="A952" s="0" t="s">
        <v>1849</v>
      </c>
    </row>
    <row r="953" customFormat="false" ht="15" hidden="true" customHeight="false" outlineLevel="0" collapsed="false">
      <c r="A953" s="0" t="s">
        <v>1850</v>
      </c>
    </row>
    <row r="954" customFormat="false" ht="15" hidden="true" customHeight="false" outlineLevel="0" collapsed="false">
      <c r="A954" s="0" t="s">
        <v>1851</v>
      </c>
    </row>
    <row r="955" customFormat="false" ht="15" hidden="true" customHeight="false" outlineLevel="0" collapsed="false">
      <c r="A955" s="0" t="s">
        <v>1852</v>
      </c>
    </row>
    <row r="956" customFormat="false" ht="15" hidden="true" customHeight="false" outlineLevel="0" collapsed="false">
      <c r="A956" s="0" t="s">
        <v>1853</v>
      </c>
    </row>
    <row r="957" customFormat="false" ht="15" hidden="true" customHeight="false" outlineLevel="0" collapsed="false">
      <c r="A957" s="0" t="s">
        <v>1854</v>
      </c>
    </row>
    <row r="958" customFormat="false" ht="15" hidden="true" customHeight="false" outlineLevel="0" collapsed="false">
      <c r="A958" s="0" t="s">
        <v>1855</v>
      </c>
    </row>
    <row r="959" customFormat="false" ht="15" hidden="true" customHeight="false" outlineLevel="0" collapsed="false">
      <c r="A959" s="0" t="s">
        <v>1856</v>
      </c>
    </row>
    <row r="960" customFormat="false" ht="15" hidden="true" customHeight="false" outlineLevel="0" collapsed="false">
      <c r="A960" s="0" t="s">
        <v>1857</v>
      </c>
    </row>
    <row r="961" customFormat="false" ht="15" hidden="true" customHeight="false" outlineLevel="0" collapsed="false">
      <c r="A961" s="0" t="s">
        <v>1858</v>
      </c>
    </row>
    <row r="962" customFormat="false" ht="15" hidden="false" customHeight="false" outlineLevel="0" collapsed="false">
      <c r="A962" s="0" t="s">
        <v>1859</v>
      </c>
    </row>
    <row r="963" customFormat="false" ht="15" hidden="true" customHeight="false" outlineLevel="0" collapsed="false">
      <c r="A963" s="0" t="s">
        <v>1860</v>
      </c>
    </row>
    <row r="964" customFormat="false" ht="15" hidden="true" customHeight="false" outlineLevel="0" collapsed="false">
      <c r="A964" s="0" t="s">
        <v>1861</v>
      </c>
    </row>
    <row r="965" customFormat="false" ht="15" hidden="true" customHeight="false" outlineLevel="0" collapsed="false">
      <c r="A965" s="0" t="s">
        <v>1862</v>
      </c>
    </row>
    <row r="966" customFormat="false" ht="15" hidden="true" customHeight="false" outlineLevel="0" collapsed="false">
      <c r="A966" s="0" t="s">
        <v>1863</v>
      </c>
    </row>
    <row r="967" customFormat="false" ht="15" hidden="false" customHeight="false" outlineLevel="0" collapsed="false">
      <c r="A967" s="0" t="s">
        <v>1864</v>
      </c>
    </row>
    <row r="968" customFormat="false" ht="15" hidden="false" customHeight="false" outlineLevel="0" collapsed="false">
      <c r="A968" s="0" t="s">
        <v>1865</v>
      </c>
    </row>
    <row r="969" customFormat="false" ht="15" hidden="false" customHeight="false" outlineLevel="0" collapsed="false">
      <c r="A969" s="0" t="s">
        <v>1866</v>
      </c>
    </row>
    <row r="970" customFormat="false" ht="15" hidden="true" customHeight="false" outlineLevel="0" collapsed="false">
      <c r="A970" s="0" t="s">
        <v>1867</v>
      </c>
    </row>
    <row r="971" customFormat="false" ht="15" hidden="true" customHeight="false" outlineLevel="0" collapsed="false">
      <c r="A971" s="0" t="s">
        <v>1868</v>
      </c>
    </row>
    <row r="972" customFormat="false" ht="15" hidden="true" customHeight="false" outlineLevel="0" collapsed="false">
      <c r="A972" s="0" t="s">
        <v>1869</v>
      </c>
    </row>
    <row r="973" customFormat="false" ht="15" hidden="true" customHeight="false" outlineLevel="0" collapsed="false">
      <c r="A973" s="0" t="s">
        <v>1870</v>
      </c>
    </row>
    <row r="974" customFormat="false" ht="15" hidden="true" customHeight="false" outlineLevel="0" collapsed="false">
      <c r="A974" s="0" t="s">
        <v>1871</v>
      </c>
    </row>
    <row r="975" customFormat="false" ht="15" hidden="true" customHeight="false" outlineLevel="0" collapsed="false">
      <c r="A975" s="0" t="s">
        <v>1872</v>
      </c>
    </row>
    <row r="976" customFormat="false" ht="15" hidden="true" customHeight="false" outlineLevel="0" collapsed="false">
      <c r="A976" s="0" t="s">
        <v>1873</v>
      </c>
    </row>
    <row r="977" customFormat="false" ht="15" hidden="true" customHeight="false" outlineLevel="0" collapsed="false">
      <c r="A977" s="0" t="s">
        <v>1874</v>
      </c>
    </row>
    <row r="978" customFormat="false" ht="15" hidden="true" customHeight="false" outlineLevel="0" collapsed="false">
      <c r="A978" s="0" t="s">
        <v>1875</v>
      </c>
    </row>
    <row r="979" customFormat="false" ht="15" hidden="true" customHeight="false" outlineLevel="0" collapsed="false">
      <c r="A979" s="0" t="s">
        <v>1876</v>
      </c>
    </row>
    <row r="980" customFormat="false" ht="15" hidden="true" customHeight="false" outlineLevel="0" collapsed="false">
      <c r="A980" s="0" t="s">
        <v>1877</v>
      </c>
    </row>
    <row r="981" customFormat="false" ht="15" hidden="true" customHeight="false" outlineLevel="0" collapsed="false">
      <c r="A981" s="0" t="s">
        <v>1878</v>
      </c>
    </row>
    <row r="982" customFormat="false" ht="15" hidden="true" customHeight="false" outlineLevel="0" collapsed="false">
      <c r="A982" s="0" t="s">
        <v>1879</v>
      </c>
    </row>
    <row r="983" customFormat="false" ht="15" hidden="true" customHeight="false" outlineLevel="0" collapsed="false">
      <c r="A983" s="0" t="s">
        <v>1880</v>
      </c>
    </row>
    <row r="984" customFormat="false" ht="15" hidden="true" customHeight="false" outlineLevel="0" collapsed="false">
      <c r="A984" s="0" t="s">
        <v>1881</v>
      </c>
    </row>
    <row r="985" customFormat="false" ht="15" hidden="true" customHeight="false" outlineLevel="0" collapsed="false">
      <c r="A985" s="0" t="s">
        <v>1882</v>
      </c>
    </row>
    <row r="986" customFormat="false" ht="15" hidden="true" customHeight="false" outlineLevel="0" collapsed="false">
      <c r="A986" s="0" t="s">
        <v>1883</v>
      </c>
    </row>
    <row r="987" customFormat="false" ht="15" hidden="false" customHeight="false" outlineLevel="0" collapsed="false">
      <c r="A987" s="0" t="s">
        <v>1884</v>
      </c>
    </row>
    <row r="988" customFormat="false" ht="15" hidden="true" customHeight="false" outlineLevel="0" collapsed="false">
      <c r="A988" s="0" t="s">
        <v>1885</v>
      </c>
    </row>
    <row r="989" customFormat="false" ht="15" hidden="true" customHeight="false" outlineLevel="0" collapsed="false">
      <c r="A989" s="0" t="s">
        <v>1886</v>
      </c>
    </row>
    <row r="990" customFormat="false" ht="15" hidden="true" customHeight="false" outlineLevel="0" collapsed="false">
      <c r="A990" s="0" t="s">
        <v>1887</v>
      </c>
    </row>
    <row r="991" customFormat="false" ht="15" hidden="true" customHeight="false" outlineLevel="0" collapsed="false">
      <c r="A991" s="0" t="s">
        <v>1888</v>
      </c>
    </row>
    <row r="992" customFormat="false" ht="15" hidden="true" customHeight="false" outlineLevel="0" collapsed="false">
      <c r="A992" s="0" t="s">
        <v>1889</v>
      </c>
    </row>
    <row r="993" customFormat="false" ht="15" hidden="true" customHeight="false" outlineLevel="0" collapsed="false">
      <c r="A993" s="0" t="s">
        <v>1890</v>
      </c>
    </row>
    <row r="994" customFormat="false" ht="15" hidden="true" customHeight="false" outlineLevel="0" collapsed="false">
      <c r="A994" s="0" t="s">
        <v>1891</v>
      </c>
    </row>
    <row r="995" customFormat="false" ht="15" hidden="true" customHeight="false" outlineLevel="0" collapsed="false">
      <c r="A995" s="0" t="s">
        <v>1892</v>
      </c>
    </row>
    <row r="996" customFormat="false" ht="15" hidden="true" customHeight="false" outlineLevel="0" collapsed="false">
      <c r="A996" s="0" t="s">
        <v>1893</v>
      </c>
    </row>
    <row r="997" customFormat="false" ht="15" hidden="true" customHeight="false" outlineLevel="0" collapsed="false">
      <c r="A997" s="0" t="s">
        <v>1894</v>
      </c>
    </row>
    <row r="998" customFormat="false" ht="15" hidden="false" customHeight="false" outlineLevel="0" collapsed="false">
      <c r="A998" s="0" t="s">
        <v>1895</v>
      </c>
    </row>
    <row r="999" customFormat="false" ht="15" hidden="false" customHeight="false" outlineLevel="0" collapsed="false">
      <c r="A999" s="0" t="s">
        <v>1896</v>
      </c>
    </row>
    <row r="1000" customFormat="false" ht="15" hidden="true" customHeight="false" outlineLevel="0" collapsed="false">
      <c r="A1000" s="0" t="s">
        <v>1897</v>
      </c>
    </row>
    <row r="1001" customFormat="false" ht="15" hidden="true" customHeight="false" outlineLevel="0" collapsed="false">
      <c r="A1001" s="0" t="s">
        <v>1898</v>
      </c>
    </row>
    <row r="1002" customFormat="false" ht="15" hidden="true" customHeight="false" outlineLevel="0" collapsed="false">
      <c r="A1002" s="0" t="s">
        <v>1899</v>
      </c>
    </row>
    <row r="1003" customFormat="false" ht="15" hidden="true" customHeight="false" outlineLevel="0" collapsed="false">
      <c r="A1003" s="0" t="s">
        <v>1900</v>
      </c>
    </row>
    <row r="1004" customFormat="false" ht="15" hidden="true" customHeight="false" outlineLevel="0" collapsed="false">
      <c r="A1004" s="0" t="s">
        <v>1901</v>
      </c>
    </row>
    <row r="1005" customFormat="false" ht="15" hidden="true" customHeight="false" outlineLevel="0" collapsed="false">
      <c r="A1005" s="0" t="s">
        <v>1902</v>
      </c>
    </row>
    <row r="1006" customFormat="false" ht="15" hidden="true" customHeight="false" outlineLevel="0" collapsed="false">
      <c r="A1006" s="0" t="s">
        <v>1903</v>
      </c>
    </row>
    <row r="1007" customFormat="false" ht="15" hidden="true" customHeight="false" outlineLevel="0" collapsed="false">
      <c r="A1007" s="0" t="s">
        <v>1904</v>
      </c>
    </row>
    <row r="1008" customFormat="false" ht="15" hidden="true" customHeight="false" outlineLevel="0" collapsed="false">
      <c r="A1008" s="0" t="s">
        <v>1905</v>
      </c>
    </row>
    <row r="1009" customFormat="false" ht="15" hidden="true" customHeight="false" outlineLevel="0" collapsed="false">
      <c r="A1009" s="0" t="s">
        <v>1906</v>
      </c>
    </row>
    <row r="1010" customFormat="false" ht="15" hidden="true" customHeight="false" outlineLevel="0" collapsed="false">
      <c r="A1010" s="0" t="s">
        <v>1907</v>
      </c>
    </row>
    <row r="1011" customFormat="false" ht="15" hidden="true" customHeight="false" outlineLevel="0" collapsed="false">
      <c r="A1011" s="0" t="s">
        <v>1908</v>
      </c>
    </row>
    <row r="1012" customFormat="false" ht="15" hidden="false" customHeight="false" outlineLevel="0" collapsed="false">
      <c r="A1012" s="0" t="s">
        <v>1909</v>
      </c>
    </row>
    <row r="1013" customFormat="false" ht="15" hidden="false" customHeight="false" outlineLevel="0" collapsed="false">
      <c r="A1013" s="0" t="s">
        <v>1910</v>
      </c>
    </row>
    <row r="1014" customFormat="false" ht="15" hidden="true" customHeight="false" outlineLevel="0" collapsed="false">
      <c r="A1014" s="0" t="s">
        <v>1911</v>
      </c>
    </row>
    <row r="1015" customFormat="false" ht="15" hidden="true" customHeight="false" outlineLevel="0" collapsed="false">
      <c r="A1015" s="0" t="s">
        <v>1912</v>
      </c>
    </row>
    <row r="1016" customFormat="false" ht="15" hidden="true" customHeight="false" outlineLevel="0" collapsed="false">
      <c r="A1016" s="0" t="s">
        <v>1913</v>
      </c>
    </row>
    <row r="1017" customFormat="false" ht="15" hidden="true" customHeight="false" outlineLevel="0" collapsed="false">
      <c r="A1017" s="0" t="s">
        <v>1914</v>
      </c>
    </row>
    <row r="1018" customFormat="false" ht="15" hidden="true" customHeight="false" outlineLevel="0" collapsed="false">
      <c r="A1018" s="0" t="s">
        <v>1915</v>
      </c>
    </row>
    <row r="1019" customFormat="false" ht="15" hidden="true" customHeight="false" outlineLevel="0" collapsed="false">
      <c r="A1019" s="0" t="s">
        <v>1916</v>
      </c>
    </row>
    <row r="1020" customFormat="false" ht="15" hidden="true" customHeight="false" outlineLevel="0" collapsed="false">
      <c r="A1020" s="0" t="s">
        <v>1917</v>
      </c>
    </row>
    <row r="1021" customFormat="false" ht="15" hidden="true" customHeight="false" outlineLevel="0" collapsed="false">
      <c r="A1021" s="0" t="s">
        <v>1918</v>
      </c>
    </row>
    <row r="1022" customFormat="false" ht="15" hidden="true" customHeight="false" outlineLevel="0" collapsed="false">
      <c r="A1022" s="0" t="s">
        <v>1919</v>
      </c>
    </row>
    <row r="1023" customFormat="false" ht="15" hidden="true" customHeight="false" outlineLevel="0" collapsed="false">
      <c r="A1023" s="0" t="s">
        <v>1920</v>
      </c>
    </row>
    <row r="1024" customFormat="false" ht="15" hidden="true" customHeight="false" outlineLevel="0" collapsed="false">
      <c r="A1024" s="0" t="s">
        <v>1921</v>
      </c>
    </row>
    <row r="1025" customFormat="false" ht="15" hidden="true" customHeight="false" outlineLevel="0" collapsed="false">
      <c r="A1025" s="0" t="s">
        <v>1922</v>
      </c>
    </row>
    <row r="1026" customFormat="false" ht="15" hidden="true" customHeight="false" outlineLevel="0" collapsed="false">
      <c r="A1026" s="0" t="s">
        <v>1923</v>
      </c>
    </row>
    <row r="1027" customFormat="false" ht="15" hidden="true" customHeight="false" outlineLevel="0" collapsed="false">
      <c r="A1027" s="0" t="s">
        <v>1924</v>
      </c>
    </row>
    <row r="1028" customFormat="false" ht="15" hidden="true" customHeight="false" outlineLevel="0" collapsed="false">
      <c r="A1028" s="0" t="s">
        <v>1925</v>
      </c>
    </row>
    <row r="1029" customFormat="false" ht="15" hidden="true" customHeight="false" outlineLevel="0" collapsed="false">
      <c r="A1029" s="0" t="s">
        <v>1926</v>
      </c>
    </row>
    <row r="1030" customFormat="false" ht="15" hidden="true" customHeight="false" outlineLevel="0" collapsed="false">
      <c r="A1030" s="0" t="s">
        <v>1927</v>
      </c>
    </row>
  </sheetData>
  <mergeCells count="2">
    <mergeCell ref="A1:G1"/>
    <mergeCell ref="H1:Q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G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RowHeight="15"/>
  <cols>
    <col collapsed="false" hidden="false" max="1" min="1" style="0" width="8.57085020242915"/>
    <col collapsed="false" hidden="false" max="2" min="2" style="44" width="15.4251012145749"/>
    <col collapsed="false" hidden="false" max="3" min="3" style="0" width="17.4615384615385"/>
    <col collapsed="false" hidden="false" max="4" min="4" style="0" width="16.0688259109312"/>
    <col collapsed="false" hidden="false" max="5" min="5" style="0" width="27.8502024291498"/>
    <col collapsed="false" hidden="false" max="6" min="6" style="0" width="22.0647773279352"/>
    <col collapsed="false" hidden="false" max="8" min="7" style="0" width="21.8542510121457"/>
    <col collapsed="false" hidden="false" max="1025" min="9" style="0" width="8.57085020242915"/>
  </cols>
  <sheetData>
    <row r="1" customFormat="false" ht="15" hidden="false" customHeight="false" outlineLevel="0" collapsed="false">
      <c r="B1" s="0"/>
    </row>
    <row r="2" customFormat="false" ht="15" hidden="false" customHeight="false" outlineLevel="0" collapsed="false">
      <c r="B2" s="44" t="s">
        <v>1928</v>
      </c>
      <c r="D2" s="0" t="s">
        <v>1929</v>
      </c>
    </row>
    <row r="3" customFormat="false" ht="15" hidden="false" customHeight="false" outlineLevel="0" collapsed="false">
      <c r="B3" s="0"/>
    </row>
    <row r="4" customFormat="false" ht="15" hidden="false" customHeight="false" outlineLevel="0" collapsed="false">
      <c r="B4" s="0"/>
    </row>
    <row r="5" customFormat="false" ht="15" hidden="false" customHeight="false" outlineLevel="0" collapsed="false">
      <c r="B5" s="54" t="s">
        <v>3</v>
      </c>
      <c r="C5" s="55" t="s">
        <v>1930</v>
      </c>
    </row>
    <row r="6" customFormat="false" ht="15" hidden="false" customHeight="false" outlineLevel="0" collapsed="false">
      <c r="B6" s="0"/>
    </row>
    <row r="7" customFormat="false" ht="15" hidden="false" customHeight="false" outlineLevel="0" collapsed="false">
      <c r="B7" s="23"/>
      <c r="C7" s="24"/>
      <c r="D7" s="25"/>
      <c r="E7" s="26" t="s">
        <v>169</v>
      </c>
      <c r="F7" s="56"/>
      <c r="G7" s="27"/>
    </row>
    <row r="8" customFormat="false" ht="15" hidden="false" customHeight="false" outlineLevel="0" collapsed="false">
      <c r="B8" s="28" t="s">
        <v>4</v>
      </c>
      <c r="C8" s="29" t="s">
        <v>9</v>
      </c>
      <c r="D8" s="29" t="s">
        <v>5</v>
      </c>
      <c r="E8" s="30" t="s">
        <v>170</v>
      </c>
      <c r="F8" s="57" t="s">
        <v>1931</v>
      </c>
      <c r="G8" s="31" t="s">
        <v>171</v>
      </c>
    </row>
    <row r="9" customFormat="false" ht="15" hidden="false" customHeight="false" outlineLevel="0" collapsed="false">
      <c r="B9" s="32" t="s">
        <v>31</v>
      </c>
      <c r="C9" s="33" t="s">
        <v>34</v>
      </c>
      <c r="D9" s="33" t="s">
        <v>46</v>
      </c>
      <c r="E9" s="36" t="n">
        <v>142221</v>
      </c>
      <c r="F9" s="58" t="n">
        <v>591</v>
      </c>
      <c r="G9" s="37" t="n">
        <v>1564.43</v>
      </c>
    </row>
    <row r="10" customFormat="false" ht="15" hidden="false" customHeight="false" outlineLevel="0" collapsed="false">
      <c r="B10" s="32" t="s">
        <v>1932</v>
      </c>
      <c r="C10" s="33" t="s">
        <v>34</v>
      </c>
      <c r="D10" s="33" t="s">
        <v>46</v>
      </c>
      <c r="E10" s="36" t="n">
        <v>161971.96</v>
      </c>
      <c r="F10" s="58" t="n">
        <v>141</v>
      </c>
      <c r="G10" s="37" t="n">
        <v>2534.98</v>
      </c>
    </row>
    <row r="11" customFormat="false" ht="15" hidden="false" customHeight="false" outlineLevel="0" collapsed="false">
      <c r="B11" s="32" t="s">
        <v>65</v>
      </c>
      <c r="C11" s="33" t="s">
        <v>34</v>
      </c>
      <c r="D11" s="33" t="s">
        <v>46</v>
      </c>
      <c r="E11" s="36" t="n">
        <v>291735</v>
      </c>
      <c r="F11" s="58" t="n">
        <v>703</v>
      </c>
      <c r="G11" s="37" t="n">
        <v>6444.16</v>
      </c>
    </row>
    <row r="12" customFormat="false" ht="15" hidden="false" customHeight="false" outlineLevel="0" collapsed="false">
      <c r="B12" s="32" t="s">
        <v>1933</v>
      </c>
      <c r="C12" s="33" t="s">
        <v>34</v>
      </c>
      <c r="D12" s="33" t="s">
        <v>46</v>
      </c>
      <c r="E12" s="36" t="n">
        <v>174941</v>
      </c>
      <c r="F12" s="58" t="n">
        <v>2603</v>
      </c>
      <c r="G12" s="37" t="n">
        <v>1216.1</v>
      </c>
    </row>
    <row r="13" customFormat="false" ht="15" hidden="false" customHeight="false" outlineLevel="0" collapsed="false">
      <c r="B13" s="32" t="s">
        <v>1934</v>
      </c>
      <c r="C13" s="33" t="s">
        <v>34</v>
      </c>
      <c r="D13" s="33" t="s">
        <v>46</v>
      </c>
      <c r="E13" s="36" t="n">
        <v>126731</v>
      </c>
      <c r="F13" s="58" t="n">
        <v>541</v>
      </c>
      <c r="G13" s="37" t="n">
        <v>140000</v>
      </c>
    </row>
    <row r="14" customFormat="false" ht="15" hidden="false" customHeight="false" outlineLevel="0" collapsed="false">
      <c r="B14" s="59" t="s">
        <v>1935</v>
      </c>
      <c r="C14" s="60"/>
      <c r="D14" s="61"/>
      <c r="E14" s="62" t="n">
        <v>897599.960000001</v>
      </c>
      <c r="F14" s="63" t="n">
        <v>4579</v>
      </c>
      <c r="G14" s="64" t="n">
        <v>151759.67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4" activeCellId="0" sqref="P4"/>
    </sheetView>
  </sheetViews>
  <sheetFormatPr defaultRowHeight="15"/>
  <cols>
    <col collapsed="false" hidden="false" max="1" min="1" style="65" width="9.10526315789474"/>
    <col collapsed="false" hidden="false" max="2" min="2" style="65" width="16.8178137651822"/>
    <col collapsed="false" hidden="false" max="3" min="3" style="65" width="17.4615384615385"/>
    <col collapsed="false" hidden="false" max="4" min="4" style="65" width="14.9959514170041"/>
    <col collapsed="false" hidden="false" max="5" min="5" style="65" width="3.96356275303644"/>
    <col collapsed="false" hidden="false" max="6" min="6" style="65" width="12.2105263157895"/>
    <col collapsed="false" hidden="false" max="7" min="7" style="65" width="15.7449392712551"/>
    <col collapsed="false" hidden="false" max="8" min="8" style="65" width="4.2834008097166"/>
    <col collapsed="false" hidden="false" max="9" min="9" style="65" width="11.0323886639676"/>
    <col collapsed="false" hidden="false" max="10" min="10" style="65" width="11.4615384615385"/>
    <col collapsed="false" hidden="false" max="11" min="11" style="65" width="4.39271255060729"/>
    <col collapsed="false" hidden="false" max="12" min="12" style="65" width="15.5303643724696"/>
    <col collapsed="false" hidden="false" max="13" min="13" style="65" width="17.1376518218624"/>
    <col collapsed="false" hidden="false" max="1025" min="14" style="65" width="9.10526315789474"/>
  </cols>
  <sheetData>
    <row r="1" customFormat="false" ht="1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0"/>
      <c r="B2" s="66" t="s">
        <v>1936</v>
      </c>
      <c r="C2" s="67"/>
      <c r="D2" s="67"/>
      <c r="E2" s="67"/>
      <c r="F2" s="67"/>
      <c r="G2" s="67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68" customFormat="true" ht="15" hidden="false" customHeight="false" outlineLevel="0" collapsed="false"/>
    <row r="4" s="69" customFormat="true" ht="14.25" hidden="false" customHeight="true" outlineLevel="0" collapsed="false">
      <c r="B4" s="70" t="s">
        <v>1937</v>
      </c>
      <c r="C4" s="71" t="s">
        <v>1938</v>
      </c>
      <c r="D4" s="71"/>
      <c r="F4" s="70" t="s">
        <v>1937</v>
      </c>
      <c r="G4" s="71" t="s">
        <v>1938</v>
      </c>
      <c r="I4" s="70" t="s">
        <v>1937</v>
      </c>
      <c r="J4" s="71" t="s">
        <v>1938</v>
      </c>
      <c r="L4" s="70" t="s">
        <v>1937</v>
      </c>
      <c r="M4" s="71" t="s">
        <v>1938</v>
      </c>
    </row>
    <row r="5" customFormat="false" ht="15" hidden="false" customHeight="false" outlineLevel="0" collapsed="false">
      <c r="B5" s="72" t="s">
        <v>16</v>
      </c>
      <c r="C5" s="73" t="s">
        <v>4</v>
      </c>
      <c r="D5" s="74" t="s">
        <v>1939</v>
      </c>
      <c r="E5" s="0"/>
      <c r="F5" s="72" t="s">
        <v>20</v>
      </c>
      <c r="G5" s="74" t="s">
        <v>5</v>
      </c>
      <c r="H5" s="0"/>
      <c r="I5" s="72" t="s">
        <v>18</v>
      </c>
      <c r="J5" s="74" t="s">
        <v>1940</v>
      </c>
      <c r="K5" s="0"/>
      <c r="L5" s="72" t="s">
        <v>1941</v>
      </c>
      <c r="M5" s="74" t="s">
        <v>9</v>
      </c>
    </row>
    <row r="6" customFormat="false" ht="15" hidden="false" customHeight="false" outlineLevel="0" collapsed="false">
      <c r="B6" s="75" t="s">
        <v>1942</v>
      </c>
      <c r="C6" s="75" t="s">
        <v>1943</v>
      </c>
      <c r="D6" s="75" t="s">
        <v>1944</v>
      </c>
      <c r="E6" s="68"/>
      <c r="F6" s="75" t="s">
        <v>46</v>
      </c>
      <c r="G6" s="75" t="s">
        <v>46</v>
      </c>
      <c r="H6" s="68"/>
      <c r="I6" s="75" t="s">
        <v>1945</v>
      </c>
      <c r="J6" s="75" t="s">
        <v>1946</v>
      </c>
      <c r="K6" s="68"/>
      <c r="L6" s="75" t="s">
        <v>1947</v>
      </c>
      <c r="M6" s="75" t="s">
        <v>1947</v>
      </c>
    </row>
    <row r="7" customFormat="false" ht="15" hidden="false" customHeight="false" outlineLevel="0" collapsed="false">
      <c r="B7" s="76" t="s">
        <v>1948</v>
      </c>
      <c r="C7" s="75" t="s">
        <v>1943</v>
      </c>
      <c r="D7" s="77" t="s">
        <v>1944</v>
      </c>
      <c r="E7" s="68"/>
      <c r="F7" s="76" t="s">
        <v>39</v>
      </c>
      <c r="G7" s="77" t="s">
        <v>46</v>
      </c>
      <c r="H7" s="68"/>
      <c r="I7" s="76" t="s">
        <v>1949</v>
      </c>
      <c r="J7" s="77" t="s">
        <v>1946</v>
      </c>
      <c r="K7" s="68"/>
      <c r="L7" s="76" t="s">
        <v>34</v>
      </c>
      <c r="M7" s="77" t="s">
        <v>34</v>
      </c>
    </row>
    <row r="8" customFormat="false" ht="15" hidden="false" customHeight="false" outlineLevel="0" collapsed="false">
      <c r="B8" s="76" t="s">
        <v>1943</v>
      </c>
      <c r="C8" s="75" t="s">
        <v>1943</v>
      </c>
      <c r="D8" s="77" t="s">
        <v>1944</v>
      </c>
      <c r="E8" s="68"/>
      <c r="F8" s="76" t="s">
        <v>1950</v>
      </c>
      <c r="G8" s="77" t="s">
        <v>46</v>
      </c>
      <c r="H8" s="68"/>
      <c r="I8" s="76" t="s">
        <v>1946</v>
      </c>
      <c r="J8" s="77" t="s">
        <v>1946</v>
      </c>
      <c r="K8" s="68"/>
      <c r="L8" s="76" t="s">
        <v>1951</v>
      </c>
      <c r="M8" s="77" t="s">
        <v>34</v>
      </c>
    </row>
    <row r="9" customFormat="false" ht="15" hidden="false" customHeight="false" outlineLevel="0" collapsed="false">
      <c r="B9" s="76" t="s">
        <v>1952</v>
      </c>
      <c r="C9" s="75" t="s">
        <v>65</v>
      </c>
      <c r="D9" s="77" t="s">
        <v>1953</v>
      </c>
      <c r="E9" s="68"/>
      <c r="F9" s="76" t="s">
        <v>1946</v>
      </c>
      <c r="G9" s="77" t="s">
        <v>1946</v>
      </c>
      <c r="H9" s="68"/>
      <c r="I9" s="76"/>
      <c r="J9" s="77"/>
      <c r="K9" s="68"/>
      <c r="L9" s="78" t="s">
        <v>1954</v>
      </c>
      <c r="M9" s="79" t="s">
        <v>34</v>
      </c>
    </row>
    <row r="10" customFormat="false" ht="15" hidden="false" customHeight="false" outlineLevel="0" collapsed="false">
      <c r="B10" s="76" t="s">
        <v>1955</v>
      </c>
      <c r="C10" s="75" t="s">
        <v>65</v>
      </c>
      <c r="D10" s="77" t="s">
        <v>1953</v>
      </c>
      <c r="E10" s="68"/>
      <c r="F10" s="76" t="s">
        <v>1956</v>
      </c>
      <c r="G10" s="77" t="s">
        <v>1946</v>
      </c>
      <c r="H10" s="68"/>
      <c r="I10" s="76"/>
      <c r="J10" s="77"/>
      <c r="K10" s="68"/>
      <c r="L10" s="68"/>
      <c r="M10" s="68"/>
    </row>
    <row r="11" customFormat="false" ht="15" hidden="false" customHeight="false" outlineLevel="0" collapsed="false">
      <c r="B11" s="76" t="s">
        <v>65</v>
      </c>
      <c r="C11" s="75" t="s">
        <v>65</v>
      </c>
      <c r="D11" s="77" t="s">
        <v>1953</v>
      </c>
      <c r="E11" s="68"/>
      <c r="F11" s="76" t="s">
        <v>1957</v>
      </c>
      <c r="G11" s="77" t="s">
        <v>1946</v>
      </c>
      <c r="H11" s="68"/>
      <c r="I11" s="78"/>
      <c r="J11" s="79"/>
      <c r="K11" s="68"/>
      <c r="L11" s="68"/>
      <c r="M11" s="68"/>
    </row>
    <row r="12" customFormat="false" ht="15" hidden="false" customHeight="false" outlineLevel="0" collapsed="false">
      <c r="B12" s="76" t="s">
        <v>1958</v>
      </c>
      <c r="C12" s="75" t="s">
        <v>1933</v>
      </c>
      <c r="D12" s="77" t="s">
        <v>1959</v>
      </c>
      <c r="E12" s="68"/>
      <c r="F12" s="76" t="s">
        <v>1960</v>
      </c>
      <c r="G12" s="77" t="s">
        <v>46</v>
      </c>
      <c r="H12" s="68"/>
      <c r="I12" s="68"/>
      <c r="J12" s="68"/>
      <c r="K12" s="68"/>
      <c r="L12" s="68"/>
      <c r="M12" s="68"/>
    </row>
    <row r="13" customFormat="false" ht="15" hidden="false" customHeight="false" outlineLevel="0" collapsed="false">
      <c r="B13" s="76" t="s">
        <v>103</v>
      </c>
      <c r="C13" s="75" t="s">
        <v>1933</v>
      </c>
      <c r="D13" s="77" t="s">
        <v>1959</v>
      </c>
      <c r="E13" s="68"/>
      <c r="F13" s="80" t="s">
        <v>35</v>
      </c>
      <c r="G13" s="77" t="s">
        <v>46</v>
      </c>
      <c r="H13" s="68"/>
      <c r="I13" s="68"/>
      <c r="J13" s="68"/>
      <c r="K13" s="68"/>
      <c r="L13" s="68"/>
      <c r="M13" s="68"/>
    </row>
    <row r="14" customFormat="false" ht="15" hidden="false" customHeight="false" outlineLevel="0" collapsed="false">
      <c r="B14" s="76" t="s">
        <v>1933</v>
      </c>
      <c r="C14" s="75" t="s">
        <v>1933</v>
      </c>
      <c r="D14" s="77" t="s">
        <v>1959</v>
      </c>
      <c r="E14" s="68"/>
      <c r="F14" s="78"/>
      <c r="G14" s="79"/>
      <c r="H14" s="68"/>
      <c r="I14" s="68"/>
      <c r="J14" s="68"/>
      <c r="K14" s="68"/>
      <c r="L14" s="68"/>
      <c r="M14" s="68"/>
    </row>
    <row r="15" customFormat="false" ht="15" hidden="false" customHeight="false" outlineLevel="0" collapsed="false">
      <c r="B15" s="76" t="s">
        <v>1961</v>
      </c>
      <c r="C15" s="75" t="s">
        <v>31</v>
      </c>
      <c r="D15" s="77" t="s">
        <v>1959</v>
      </c>
      <c r="E15" s="68"/>
      <c r="F15" s="68"/>
      <c r="G15" s="68"/>
      <c r="H15" s="68"/>
      <c r="I15" s="68"/>
      <c r="J15" s="68"/>
      <c r="K15" s="68"/>
      <c r="L15" s="68"/>
      <c r="M15" s="68"/>
    </row>
    <row r="16" customFormat="false" ht="15" hidden="false" customHeight="false" outlineLevel="0" collapsed="false">
      <c r="B16" s="76" t="s">
        <v>1962</v>
      </c>
      <c r="C16" s="75" t="s">
        <v>31</v>
      </c>
      <c r="D16" s="77" t="s">
        <v>1959</v>
      </c>
      <c r="E16" s="68"/>
      <c r="F16" s="68"/>
      <c r="G16" s="68"/>
      <c r="H16" s="68"/>
      <c r="I16" s="68"/>
      <c r="J16" s="68"/>
      <c r="K16" s="68"/>
      <c r="L16" s="68"/>
      <c r="M16" s="68"/>
    </row>
    <row r="17" customFormat="false" ht="15" hidden="false" customHeight="false" outlineLevel="0" collapsed="false">
      <c r="B17" s="76" t="s">
        <v>31</v>
      </c>
      <c r="C17" s="75" t="s">
        <v>31</v>
      </c>
      <c r="D17" s="77" t="s">
        <v>1959</v>
      </c>
      <c r="E17" s="68"/>
      <c r="F17" s="68"/>
      <c r="G17" s="68"/>
      <c r="H17" s="68"/>
      <c r="I17" s="68"/>
      <c r="J17" s="68"/>
      <c r="K17" s="68"/>
      <c r="L17" s="68"/>
      <c r="M17" s="68"/>
    </row>
    <row r="18" customFormat="false" ht="15" hidden="false" customHeight="false" outlineLevel="0" collapsed="false">
      <c r="B18" s="76" t="s">
        <v>160</v>
      </c>
      <c r="C18" s="75" t="s">
        <v>1934</v>
      </c>
      <c r="D18" s="77" t="s">
        <v>1944</v>
      </c>
      <c r="E18" s="68"/>
      <c r="F18" s="68"/>
      <c r="G18" s="68"/>
      <c r="H18" s="68"/>
      <c r="I18" s="68"/>
      <c r="J18" s="68"/>
      <c r="K18" s="68"/>
      <c r="L18" s="68"/>
      <c r="M18" s="68"/>
    </row>
    <row r="19" customFormat="false" ht="15" hidden="false" customHeight="false" outlineLevel="0" collapsed="false">
      <c r="B19" s="76" t="s">
        <v>1963</v>
      </c>
      <c r="C19" s="75" t="s">
        <v>1934</v>
      </c>
      <c r="D19" s="77" t="s">
        <v>1944</v>
      </c>
      <c r="E19" s="68"/>
      <c r="F19" s="68"/>
      <c r="G19" s="68"/>
      <c r="H19" s="68"/>
      <c r="I19" s="68"/>
      <c r="J19" s="68"/>
      <c r="K19" s="68"/>
      <c r="L19" s="68"/>
      <c r="M19" s="68"/>
    </row>
    <row r="20" customFormat="false" ht="15" hidden="false" customHeight="false" outlineLevel="0" collapsed="false">
      <c r="B20" s="76" t="s">
        <v>1934</v>
      </c>
      <c r="C20" s="75" t="s">
        <v>1934</v>
      </c>
      <c r="D20" s="77" t="s">
        <v>1944</v>
      </c>
      <c r="E20" s="68"/>
      <c r="F20" s="68"/>
      <c r="G20" s="68"/>
      <c r="H20" s="68"/>
      <c r="I20" s="68"/>
      <c r="J20" s="68"/>
      <c r="K20" s="68"/>
      <c r="L20" s="68"/>
      <c r="M20" s="68"/>
    </row>
    <row r="21" customFormat="false" ht="15" hidden="false" customHeight="false" outlineLevel="0" collapsed="false">
      <c r="B21" s="76" t="s">
        <v>43</v>
      </c>
      <c r="C21" s="75" t="s">
        <v>1932</v>
      </c>
      <c r="D21" s="77" t="s">
        <v>1959</v>
      </c>
      <c r="E21" s="68"/>
      <c r="F21" s="68"/>
      <c r="G21" s="68"/>
      <c r="H21" s="68"/>
      <c r="I21" s="68"/>
      <c r="J21" s="68"/>
      <c r="K21" s="68"/>
      <c r="L21" s="68"/>
      <c r="M21" s="68"/>
    </row>
    <row r="22" customFormat="false" ht="15" hidden="false" customHeight="false" outlineLevel="0" collapsed="false">
      <c r="B22" s="76" t="s">
        <v>1964</v>
      </c>
      <c r="C22" s="75" t="s">
        <v>1932</v>
      </c>
      <c r="D22" s="77" t="s">
        <v>1959</v>
      </c>
      <c r="E22" s="68"/>
      <c r="F22" s="68"/>
      <c r="G22" s="68"/>
      <c r="H22" s="68"/>
      <c r="I22" s="68"/>
      <c r="J22" s="68"/>
      <c r="K22" s="68"/>
      <c r="L22" s="68"/>
      <c r="M22" s="68"/>
    </row>
    <row r="23" customFormat="false" ht="15" hidden="false" customHeight="false" outlineLevel="0" collapsed="false">
      <c r="B23" s="76" t="s">
        <v>1932</v>
      </c>
      <c r="C23" s="75" t="s">
        <v>1932</v>
      </c>
      <c r="D23" s="77" t="s">
        <v>1959</v>
      </c>
      <c r="E23" s="68"/>
      <c r="F23" s="68"/>
      <c r="G23" s="68"/>
      <c r="H23" s="68"/>
      <c r="I23" s="68"/>
      <c r="J23" s="68"/>
      <c r="K23" s="68"/>
      <c r="L23" s="68"/>
      <c r="M23" s="68"/>
    </row>
    <row r="24" customFormat="false" ht="15" hidden="false" customHeight="false" outlineLevel="0" collapsed="false">
      <c r="B24" s="76"/>
      <c r="C24" s="75"/>
      <c r="D24" s="77"/>
      <c r="E24" s="68"/>
      <c r="F24" s="68"/>
      <c r="G24" s="68"/>
      <c r="H24" s="68"/>
      <c r="I24" s="68"/>
      <c r="J24" s="68"/>
      <c r="K24" s="68"/>
      <c r="L24" s="68"/>
      <c r="M24" s="68"/>
    </row>
    <row r="25" customFormat="false" ht="15" hidden="false" customHeight="false" outlineLevel="0" collapsed="false">
      <c r="B25" s="76"/>
      <c r="C25" s="75"/>
      <c r="D25" s="77"/>
      <c r="E25" s="68"/>
      <c r="F25" s="68"/>
      <c r="G25" s="68"/>
      <c r="H25" s="68"/>
      <c r="I25" s="68"/>
      <c r="J25" s="68"/>
      <c r="K25" s="68"/>
      <c r="L25" s="68"/>
      <c r="M25" s="68"/>
    </row>
    <row r="26" customFormat="false" ht="15" hidden="false" customHeight="false" outlineLevel="0" collapsed="false">
      <c r="B26" s="78"/>
      <c r="C26" s="81"/>
      <c r="D26" s="79"/>
      <c r="E26" s="68"/>
      <c r="F26" s="68"/>
      <c r="G26" s="68"/>
      <c r="H26" s="68"/>
      <c r="I26" s="68"/>
      <c r="J26" s="68"/>
      <c r="K26" s="68"/>
      <c r="L26" s="68"/>
      <c r="M26" s="68"/>
    </row>
  </sheetData>
  <mergeCells count="1">
    <mergeCell ref="C4:D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513"/>
  <sheetViews>
    <sheetView windowProtection="false" showFormulas="false" showGridLines="true" showRowColHeaders="true" showZeros="true" rightToLeft="false" tabSelected="false" showOutlineSymbols="true" defaultGridColor="true" view="normal" topLeftCell="A245" colorId="64" zoomScale="100" zoomScaleNormal="100" zoomScalePageLayoutView="100" workbookViewId="0">
      <selection pane="topLeft" activeCell="D3" activeCellId="0" sqref="D3"/>
    </sheetView>
  </sheetViews>
  <sheetFormatPr defaultRowHeight="15"/>
  <cols>
    <col collapsed="false" hidden="false" max="1" min="1" style="0" width="8.57085020242915"/>
    <col collapsed="false" hidden="false" max="2" min="2" style="0" width="61.914979757085"/>
    <col collapsed="false" hidden="false" max="3" min="3" style="0" width="14.9959514170041"/>
    <col collapsed="false" hidden="false" max="4" min="4" style="0" width="50.4534412955466"/>
    <col collapsed="false" hidden="false" max="5" min="5" style="0" width="14.1417004048583"/>
    <col collapsed="false" hidden="false" max="6" min="6" style="0" width="22.0647773279352"/>
    <col collapsed="false" hidden="false" max="7" min="7" style="0" width="11.5708502024291"/>
    <col collapsed="false" hidden="false" max="8" min="8" style="0" width="8.57085020242915"/>
    <col collapsed="false" hidden="false" max="9" min="9" style="0" width="16.3886639676113"/>
    <col collapsed="false" hidden="false" max="10" min="10" style="0" width="12.9595141700405"/>
    <col collapsed="false" hidden="false" max="1025" min="11" style="0" width="8.57085020242915"/>
  </cols>
  <sheetData>
    <row r="2" customFormat="false" ht="15" hidden="false" customHeight="false" outlineLevel="0" collapsed="false">
      <c r="B2" s="82" t="s">
        <v>22</v>
      </c>
      <c r="C2" s="82" t="s">
        <v>1965</v>
      </c>
      <c r="D2" s="82" t="s">
        <v>1966</v>
      </c>
      <c r="E2" s="82" t="s">
        <v>7</v>
      </c>
      <c r="F2" s="82" t="s">
        <v>8</v>
      </c>
      <c r="G2" s="82" t="s">
        <v>1967</v>
      </c>
      <c r="H2" s="82" t="s">
        <v>10</v>
      </c>
      <c r="I2" s="82" t="s">
        <v>11</v>
      </c>
      <c r="J2" s="82" t="s">
        <v>12</v>
      </c>
    </row>
    <row r="3" customFormat="false" ht="15" hidden="false" customHeight="false" outlineLevel="0" collapsed="false">
      <c r="B3" s="0" t="s">
        <v>164</v>
      </c>
      <c r="C3" s="0" t="n">
        <v>223298805</v>
      </c>
      <c r="D3" s="0" t="s">
        <v>159</v>
      </c>
      <c r="E3" s="0" t="n">
        <v>21276694</v>
      </c>
      <c r="F3" s="0" t="n">
        <v>720195</v>
      </c>
      <c r="G3" s="0" t="s">
        <v>34</v>
      </c>
      <c r="H3" s="0" t="n">
        <v>3654128</v>
      </c>
      <c r="I3" s="0" t="s">
        <v>1493</v>
      </c>
      <c r="J3" s="0" t="n">
        <v>102630373</v>
      </c>
    </row>
    <row r="4" customFormat="false" ht="15" hidden="false" customHeight="false" outlineLevel="0" collapsed="false">
      <c r="B4" s="0" t="s">
        <v>164</v>
      </c>
      <c r="C4" s="0" t="n">
        <v>223298805</v>
      </c>
      <c r="D4" s="0" t="s">
        <v>159</v>
      </c>
      <c r="E4" s="0" t="n">
        <v>21276694</v>
      </c>
      <c r="F4" s="0" t="n">
        <v>720195</v>
      </c>
      <c r="G4" s="0" t="s">
        <v>34</v>
      </c>
      <c r="H4" s="0" t="n">
        <v>3654128</v>
      </c>
      <c r="I4" s="0" t="s">
        <v>1490</v>
      </c>
      <c r="J4" s="0" t="n">
        <v>102609621</v>
      </c>
    </row>
    <row r="5" customFormat="false" ht="15" hidden="false" customHeight="false" outlineLevel="0" collapsed="false">
      <c r="B5" s="0" t="s">
        <v>162</v>
      </c>
      <c r="C5" s="0" t="n">
        <v>223297413</v>
      </c>
      <c r="D5" s="0" t="s">
        <v>159</v>
      </c>
      <c r="E5" s="0" t="n">
        <v>21276694</v>
      </c>
      <c r="F5" s="0" t="n">
        <v>720195</v>
      </c>
      <c r="G5" s="0" t="s">
        <v>34</v>
      </c>
      <c r="H5" s="0" t="n">
        <v>3654128</v>
      </c>
      <c r="I5" s="0" t="s">
        <v>1490</v>
      </c>
      <c r="J5" s="0" t="n">
        <v>102609621</v>
      </c>
    </row>
    <row r="6" customFormat="false" ht="15" hidden="false" customHeight="false" outlineLevel="0" collapsed="false">
      <c r="B6" s="0" t="s">
        <v>1968</v>
      </c>
      <c r="C6" s="0" t="n">
        <v>224639151</v>
      </c>
      <c r="D6" s="0" t="s">
        <v>1969</v>
      </c>
      <c r="E6" s="0" t="n">
        <v>21358568</v>
      </c>
      <c r="F6" s="0" t="n">
        <v>720191</v>
      </c>
      <c r="G6" s="0" t="s">
        <v>34</v>
      </c>
      <c r="H6" s="0" t="n">
        <v>3654128</v>
      </c>
      <c r="I6" s="0" t="s">
        <v>1970</v>
      </c>
      <c r="J6" s="0" t="n">
        <v>103316832</v>
      </c>
    </row>
    <row r="7" customFormat="false" ht="15" hidden="false" customHeight="false" outlineLevel="0" collapsed="false">
      <c r="B7" s="0" t="s">
        <v>1968</v>
      </c>
      <c r="C7" s="0" t="n">
        <v>224639151</v>
      </c>
      <c r="D7" s="0" t="s">
        <v>1969</v>
      </c>
      <c r="E7" s="0" t="n">
        <v>21358568</v>
      </c>
      <c r="F7" s="0" t="n">
        <v>720191</v>
      </c>
      <c r="G7" s="0" t="s">
        <v>34</v>
      </c>
      <c r="H7" s="0" t="n">
        <v>3654128</v>
      </c>
      <c r="I7" s="0" t="s">
        <v>1971</v>
      </c>
      <c r="J7" s="0" t="n">
        <v>103316829</v>
      </c>
    </row>
    <row r="8" customFormat="false" ht="15" hidden="false" customHeight="false" outlineLevel="0" collapsed="false">
      <c r="B8" s="0" t="s">
        <v>1972</v>
      </c>
      <c r="C8" s="0" t="n">
        <v>224160783</v>
      </c>
      <c r="D8" s="0" t="s">
        <v>1969</v>
      </c>
      <c r="E8" s="0" t="n">
        <v>21358568</v>
      </c>
      <c r="F8" s="0" t="n">
        <v>720191</v>
      </c>
      <c r="G8" s="0" t="s">
        <v>34</v>
      </c>
      <c r="H8" s="0" t="n">
        <v>3654128</v>
      </c>
      <c r="I8" s="0" t="s">
        <v>1973</v>
      </c>
      <c r="J8" s="0" t="n">
        <v>103051614</v>
      </c>
    </row>
    <row r="9" customFormat="false" ht="15" hidden="false" customHeight="false" outlineLevel="0" collapsed="false">
      <c r="B9" s="0" t="s">
        <v>1974</v>
      </c>
      <c r="C9" s="0" t="n">
        <v>224160780</v>
      </c>
      <c r="D9" s="0" t="s">
        <v>1969</v>
      </c>
      <c r="E9" s="0" t="n">
        <v>21358568</v>
      </c>
      <c r="F9" s="0" t="n">
        <v>720191</v>
      </c>
      <c r="G9" s="0" t="s">
        <v>34</v>
      </c>
      <c r="H9" s="0" t="n">
        <v>3654128</v>
      </c>
      <c r="I9" s="0" t="s">
        <v>1975</v>
      </c>
      <c r="J9" s="0" t="n">
        <v>103186904</v>
      </c>
    </row>
    <row r="10" customFormat="false" ht="15" hidden="false" customHeight="false" outlineLevel="0" collapsed="false">
      <c r="B10" s="0" t="s">
        <v>1976</v>
      </c>
      <c r="C10" s="0" t="n">
        <v>224160777</v>
      </c>
      <c r="D10" s="0" t="s">
        <v>1969</v>
      </c>
      <c r="E10" s="0" t="n">
        <v>21358568</v>
      </c>
      <c r="F10" s="0" t="n">
        <v>720191</v>
      </c>
      <c r="G10" s="0" t="s">
        <v>34</v>
      </c>
      <c r="H10" s="0" t="n">
        <v>3654128</v>
      </c>
      <c r="I10" s="0" t="s">
        <v>1977</v>
      </c>
      <c r="J10" s="0" t="n">
        <v>103048479</v>
      </c>
    </row>
    <row r="11" customFormat="false" ht="15" hidden="false" customHeight="false" outlineLevel="0" collapsed="false">
      <c r="B11" s="0" t="s">
        <v>1978</v>
      </c>
      <c r="C11" s="0" t="n">
        <v>224160774</v>
      </c>
      <c r="D11" s="0" t="s">
        <v>1969</v>
      </c>
      <c r="E11" s="0" t="n">
        <v>21358568</v>
      </c>
      <c r="F11" s="0" t="n">
        <v>720191</v>
      </c>
      <c r="G11" s="0" t="s">
        <v>34</v>
      </c>
      <c r="H11" s="0" t="n">
        <v>3654128</v>
      </c>
      <c r="I11" s="0" t="s">
        <v>1979</v>
      </c>
      <c r="J11" s="0" t="n">
        <v>103186910</v>
      </c>
    </row>
    <row r="12" customFormat="false" ht="15" hidden="false" customHeight="false" outlineLevel="0" collapsed="false">
      <c r="B12" s="0" t="s">
        <v>1980</v>
      </c>
      <c r="C12" s="0" t="n">
        <v>224160771</v>
      </c>
      <c r="D12" s="0" t="s">
        <v>1969</v>
      </c>
      <c r="E12" s="0" t="n">
        <v>21358568</v>
      </c>
      <c r="F12" s="0" t="n">
        <v>720191</v>
      </c>
      <c r="G12" s="0" t="s">
        <v>34</v>
      </c>
      <c r="H12" s="0" t="n">
        <v>3654128</v>
      </c>
      <c r="I12" s="0" t="s">
        <v>1981</v>
      </c>
      <c r="J12" s="0" t="n">
        <v>103048488</v>
      </c>
    </row>
    <row r="13" customFormat="false" ht="15" hidden="false" customHeight="false" outlineLevel="0" collapsed="false">
      <c r="B13" s="0" t="s">
        <v>1982</v>
      </c>
      <c r="C13" s="0" t="n">
        <v>224493001</v>
      </c>
      <c r="D13" s="0" t="s">
        <v>1969</v>
      </c>
      <c r="E13" s="0" t="n">
        <v>21358568</v>
      </c>
      <c r="F13" s="0" t="n">
        <v>720191</v>
      </c>
      <c r="G13" s="0" t="s">
        <v>34</v>
      </c>
      <c r="H13" s="0" t="n">
        <v>3654128</v>
      </c>
      <c r="I13" s="0" t="s">
        <v>1970</v>
      </c>
      <c r="J13" s="0" t="n">
        <v>103316832</v>
      </c>
    </row>
    <row r="14" customFormat="false" ht="15" hidden="false" customHeight="false" outlineLevel="0" collapsed="false">
      <c r="B14" s="0" t="s">
        <v>1982</v>
      </c>
      <c r="C14" s="0" t="n">
        <v>224493001</v>
      </c>
      <c r="D14" s="0" t="s">
        <v>1969</v>
      </c>
      <c r="E14" s="0" t="n">
        <v>21358568</v>
      </c>
      <c r="F14" s="0" t="n">
        <v>720191</v>
      </c>
      <c r="G14" s="0" t="s">
        <v>34</v>
      </c>
      <c r="H14" s="0" t="n">
        <v>3654128</v>
      </c>
      <c r="I14" s="0" t="s">
        <v>1971</v>
      </c>
      <c r="J14" s="0" t="n">
        <v>103316829</v>
      </c>
    </row>
    <row r="15" customFormat="false" ht="15" hidden="false" customHeight="false" outlineLevel="0" collapsed="false">
      <c r="B15" s="0" t="s">
        <v>37</v>
      </c>
      <c r="C15" s="0" t="n">
        <v>224009494</v>
      </c>
      <c r="D15" s="0" t="s">
        <v>30</v>
      </c>
      <c r="E15" s="0" t="n">
        <v>21359477</v>
      </c>
      <c r="F15" s="0" t="n">
        <v>720194</v>
      </c>
      <c r="G15" s="0" t="s">
        <v>34</v>
      </c>
      <c r="H15" s="0" t="n">
        <v>3654128</v>
      </c>
      <c r="I15" s="0" t="s">
        <v>175</v>
      </c>
      <c r="J15" s="0" t="n">
        <v>103235787</v>
      </c>
    </row>
    <row r="16" customFormat="false" ht="15" hidden="false" customHeight="false" outlineLevel="0" collapsed="false">
      <c r="B16" s="0" t="s">
        <v>37</v>
      </c>
      <c r="C16" s="0" t="n">
        <v>224009494</v>
      </c>
      <c r="D16" s="0" t="s">
        <v>30</v>
      </c>
      <c r="E16" s="0" t="n">
        <v>21359477</v>
      </c>
      <c r="F16" s="0" t="n">
        <v>720194</v>
      </c>
      <c r="G16" s="0" t="s">
        <v>34</v>
      </c>
      <c r="H16" s="0" t="n">
        <v>3654128</v>
      </c>
      <c r="I16" s="0" t="s">
        <v>1983</v>
      </c>
      <c r="J16" s="0" t="n">
        <v>103236186</v>
      </c>
    </row>
    <row r="17" customFormat="false" ht="15" hidden="false" customHeight="false" outlineLevel="0" collapsed="false">
      <c r="B17" s="0" t="s">
        <v>37</v>
      </c>
      <c r="C17" s="0" t="n">
        <v>224009494</v>
      </c>
      <c r="D17" s="0" t="s">
        <v>30</v>
      </c>
      <c r="E17" s="0" t="n">
        <v>21359477</v>
      </c>
      <c r="F17" s="0" t="n">
        <v>720194</v>
      </c>
      <c r="G17" s="0" t="s">
        <v>34</v>
      </c>
      <c r="H17" s="0" t="n">
        <v>3654128</v>
      </c>
      <c r="I17" s="0" t="s">
        <v>1984</v>
      </c>
      <c r="J17" s="0" t="n">
        <v>103236189</v>
      </c>
    </row>
    <row r="18" customFormat="false" ht="15" hidden="false" customHeight="false" outlineLevel="0" collapsed="false">
      <c r="B18" s="0" t="s">
        <v>37</v>
      </c>
      <c r="C18" s="0" t="n">
        <v>224009494</v>
      </c>
      <c r="D18" s="0" t="s">
        <v>30</v>
      </c>
      <c r="E18" s="0" t="n">
        <v>21359477</v>
      </c>
      <c r="F18" s="0" t="n">
        <v>720194</v>
      </c>
      <c r="G18" s="0" t="s">
        <v>34</v>
      </c>
      <c r="H18" s="0" t="n">
        <v>3654128</v>
      </c>
      <c r="I18" s="0" t="s">
        <v>1985</v>
      </c>
      <c r="J18" s="0" t="n">
        <v>103237290</v>
      </c>
    </row>
    <row r="19" customFormat="false" ht="15" hidden="false" customHeight="false" outlineLevel="0" collapsed="false">
      <c r="B19" s="0" t="s">
        <v>37</v>
      </c>
      <c r="C19" s="0" t="n">
        <v>224009494</v>
      </c>
      <c r="D19" s="0" t="s">
        <v>30</v>
      </c>
      <c r="E19" s="0" t="n">
        <v>21359477</v>
      </c>
      <c r="F19" s="0" t="n">
        <v>720194</v>
      </c>
      <c r="G19" s="0" t="s">
        <v>34</v>
      </c>
      <c r="H19" s="0" t="n">
        <v>3654128</v>
      </c>
      <c r="I19" s="0" t="s">
        <v>1986</v>
      </c>
      <c r="J19" s="0" t="n">
        <v>103350059</v>
      </c>
    </row>
    <row r="20" customFormat="false" ht="15" hidden="false" customHeight="false" outlineLevel="0" collapsed="false">
      <c r="B20" s="0" t="s">
        <v>37</v>
      </c>
      <c r="C20" s="0" t="n">
        <v>224009494</v>
      </c>
      <c r="D20" s="0" t="s">
        <v>30</v>
      </c>
      <c r="E20" s="0" t="n">
        <v>21359477</v>
      </c>
      <c r="F20" s="0" t="n">
        <v>720194</v>
      </c>
      <c r="G20" s="0" t="s">
        <v>34</v>
      </c>
      <c r="H20" s="0" t="n">
        <v>3654128</v>
      </c>
      <c r="I20" s="0" t="s">
        <v>1987</v>
      </c>
      <c r="J20" s="0" t="n">
        <v>103237293</v>
      </c>
    </row>
    <row r="21" customFormat="false" ht="15" hidden="false" customHeight="false" outlineLevel="0" collapsed="false">
      <c r="B21" s="0" t="s">
        <v>41</v>
      </c>
      <c r="C21" s="0" t="n">
        <v>224010415</v>
      </c>
      <c r="D21" s="0" t="s">
        <v>30</v>
      </c>
      <c r="E21" s="0" t="n">
        <v>21359477</v>
      </c>
      <c r="F21" s="0" t="n">
        <v>720194</v>
      </c>
      <c r="G21" s="0" t="s">
        <v>34</v>
      </c>
      <c r="H21" s="0" t="n">
        <v>3654128</v>
      </c>
      <c r="I21" s="0" t="s">
        <v>190</v>
      </c>
      <c r="J21" s="0" t="n">
        <v>103048548</v>
      </c>
    </row>
    <row r="22" customFormat="false" ht="15" hidden="false" customHeight="false" outlineLevel="0" collapsed="false">
      <c r="B22" s="0" t="s">
        <v>41</v>
      </c>
      <c r="C22" s="0" t="n">
        <v>224010415</v>
      </c>
      <c r="D22" s="0" t="s">
        <v>30</v>
      </c>
      <c r="E22" s="0" t="n">
        <v>21359477</v>
      </c>
      <c r="F22" s="0" t="n">
        <v>720194</v>
      </c>
      <c r="G22" s="0" t="s">
        <v>34</v>
      </c>
      <c r="H22" s="0" t="n">
        <v>3654128</v>
      </c>
      <c r="I22" s="0" t="s">
        <v>1988</v>
      </c>
      <c r="J22" s="0" t="n">
        <v>103040320</v>
      </c>
    </row>
    <row r="23" customFormat="false" ht="15" hidden="false" customHeight="false" outlineLevel="0" collapsed="false">
      <c r="B23" s="0" t="s">
        <v>41</v>
      </c>
      <c r="C23" s="0" t="n">
        <v>224010415</v>
      </c>
      <c r="D23" s="0" t="s">
        <v>30</v>
      </c>
      <c r="E23" s="0" t="n">
        <v>21359477</v>
      </c>
      <c r="F23" s="0" t="n">
        <v>720194</v>
      </c>
      <c r="G23" s="0" t="s">
        <v>34</v>
      </c>
      <c r="H23" s="0" t="n">
        <v>3654128</v>
      </c>
      <c r="I23" s="0" t="s">
        <v>1989</v>
      </c>
      <c r="J23" s="0" t="n">
        <v>103043329</v>
      </c>
    </row>
    <row r="24" customFormat="false" ht="15" hidden="false" customHeight="false" outlineLevel="0" collapsed="false">
      <c r="B24" s="0" t="s">
        <v>41</v>
      </c>
      <c r="C24" s="0" t="n">
        <v>224010415</v>
      </c>
      <c r="D24" s="0" t="s">
        <v>30</v>
      </c>
      <c r="E24" s="0" t="n">
        <v>21359477</v>
      </c>
      <c r="F24" s="0" t="n">
        <v>720194</v>
      </c>
      <c r="G24" s="0" t="s">
        <v>34</v>
      </c>
      <c r="H24" s="0" t="n">
        <v>3654128</v>
      </c>
      <c r="I24" s="0" t="s">
        <v>1990</v>
      </c>
      <c r="J24" s="0" t="n">
        <v>103055394</v>
      </c>
    </row>
    <row r="25" customFormat="false" ht="15" hidden="false" customHeight="false" outlineLevel="0" collapsed="false">
      <c r="B25" s="0" t="s">
        <v>41</v>
      </c>
      <c r="C25" s="0" t="n">
        <v>224010415</v>
      </c>
      <c r="D25" s="0" t="s">
        <v>30</v>
      </c>
      <c r="E25" s="0" t="n">
        <v>21359477</v>
      </c>
      <c r="F25" s="0" t="n">
        <v>720194</v>
      </c>
      <c r="G25" s="0" t="s">
        <v>34</v>
      </c>
      <c r="H25" s="0" t="n">
        <v>3654128</v>
      </c>
      <c r="I25" s="0" t="s">
        <v>1991</v>
      </c>
      <c r="J25" s="0" t="n">
        <v>103043341</v>
      </c>
    </row>
    <row r="26" customFormat="false" ht="15" hidden="false" customHeight="false" outlineLevel="0" collapsed="false">
      <c r="B26" s="0" t="s">
        <v>41</v>
      </c>
      <c r="C26" s="0" t="n">
        <v>224010415</v>
      </c>
      <c r="D26" s="0" t="s">
        <v>30</v>
      </c>
      <c r="E26" s="0" t="n">
        <v>21359477</v>
      </c>
      <c r="F26" s="0" t="n">
        <v>720194</v>
      </c>
      <c r="G26" s="0" t="s">
        <v>34</v>
      </c>
      <c r="H26" s="0" t="n">
        <v>3654128</v>
      </c>
      <c r="I26" s="0" t="s">
        <v>1992</v>
      </c>
      <c r="J26" s="0" t="n">
        <v>103043338</v>
      </c>
    </row>
    <row r="27" customFormat="false" ht="15" hidden="false" customHeight="false" outlineLevel="0" collapsed="false">
      <c r="B27" s="0" t="s">
        <v>1993</v>
      </c>
      <c r="C27" s="0" t="n">
        <v>224369893</v>
      </c>
      <c r="D27" s="0" t="s">
        <v>102</v>
      </c>
      <c r="E27" s="0" t="n">
        <v>21356941</v>
      </c>
      <c r="F27" s="0" t="n">
        <v>720193</v>
      </c>
      <c r="G27" s="0" t="s">
        <v>34</v>
      </c>
      <c r="H27" s="0" t="n">
        <v>3654128</v>
      </c>
      <c r="I27" s="0" t="s">
        <v>1994</v>
      </c>
      <c r="J27" s="0" t="n">
        <v>103256571</v>
      </c>
    </row>
    <row r="28" customFormat="false" ht="15" hidden="false" customHeight="false" outlineLevel="0" collapsed="false">
      <c r="B28" s="0" t="s">
        <v>1995</v>
      </c>
      <c r="C28" s="0" t="n">
        <v>224416918</v>
      </c>
      <c r="D28" s="0" t="s">
        <v>102</v>
      </c>
      <c r="E28" s="0" t="n">
        <v>21356941</v>
      </c>
      <c r="F28" s="0" t="n">
        <v>720193</v>
      </c>
      <c r="G28" s="0" t="s">
        <v>34</v>
      </c>
      <c r="H28" s="0" t="n">
        <v>3654128</v>
      </c>
      <c r="I28" s="0" t="s">
        <v>1994</v>
      </c>
      <c r="J28" s="0" t="n">
        <v>103256571</v>
      </c>
    </row>
    <row r="29" customFormat="false" ht="15" hidden="false" customHeight="false" outlineLevel="0" collapsed="false">
      <c r="B29" s="0" t="s">
        <v>1996</v>
      </c>
      <c r="C29" s="0" t="n">
        <v>224560878</v>
      </c>
      <c r="D29" s="0" t="s">
        <v>102</v>
      </c>
      <c r="E29" s="0" t="n">
        <v>21356941</v>
      </c>
      <c r="F29" s="0" t="n">
        <v>720193</v>
      </c>
      <c r="G29" s="0" t="s">
        <v>34</v>
      </c>
      <c r="H29" s="0" t="n">
        <v>3654128</v>
      </c>
      <c r="I29" s="0" t="s">
        <v>1997</v>
      </c>
      <c r="J29" s="0" t="n">
        <v>103259958</v>
      </c>
    </row>
    <row r="30" customFormat="false" ht="15" hidden="false" customHeight="false" outlineLevel="0" collapsed="false">
      <c r="B30" s="0" t="s">
        <v>1998</v>
      </c>
      <c r="C30" s="0" t="n">
        <v>224560872</v>
      </c>
      <c r="D30" s="0" t="s">
        <v>102</v>
      </c>
      <c r="E30" s="0" t="n">
        <v>21356941</v>
      </c>
      <c r="F30" s="0" t="n">
        <v>720193</v>
      </c>
      <c r="G30" s="0" t="s">
        <v>34</v>
      </c>
      <c r="H30" s="0" t="n">
        <v>3654128</v>
      </c>
      <c r="I30" s="0" t="s">
        <v>1997</v>
      </c>
      <c r="J30" s="0" t="n">
        <v>103259958</v>
      </c>
    </row>
    <row r="31" customFormat="false" ht="15" hidden="false" customHeight="false" outlineLevel="0" collapsed="false">
      <c r="B31" s="0" t="s">
        <v>1999</v>
      </c>
      <c r="C31" s="0" t="n">
        <v>224416915</v>
      </c>
      <c r="D31" s="0" t="s">
        <v>102</v>
      </c>
      <c r="E31" s="0" t="n">
        <v>21356941</v>
      </c>
      <c r="F31" s="0" t="n">
        <v>720193</v>
      </c>
      <c r="G31" s="0" t="s">
        <v>34</v>
      </c>
      <c r="H31" s="0" t="n">
        <v>3654128</v>
      </c>
      <c r="I31" s="0" t="s">
        <v>1060</v>
      </c>
      <c r="J31" s="0" t="n">
        <v>103376981</v>
      </c>
    </row>
    <row r="32" customFormat="false" ht="15" hidden="false" customHeight="false" outlineLevel="0" collapsed="false">
      <c r="B32" s="0" t="s">
        <v>2000</v>
      </c>
      <c r="C32" s="0" t="n">
        <v>224560875</v>
      </c>
      <c r="D32" s="0" t="s">
        <v>102</v>
      </c>
      <c r="E32" s="0" t="n">
        <v>21356941</v>
      </c>
      <c r="F32" s="0" t="n">
        <v>720193</v>
      </c>
      <c r="G32" s="0" t="s">
        <v>34</v>
      </c>
      <c r="H32" s="0" t="n">
        <v>3654128</v>
      </c>
      <c r="I32" s="0" t="s">
        <v>1075</v>
      </c>
      <c r="J32" s="0" t="n">
        <v>103259766</v>
      </c>
    </row>
    <row r="33" customFormat="false" ht="15" hidden="false" customHeight="false" outlineLevel="0" collapsed="false">
      <c r="B33" s="0" t="s">
        <v>2001</v>
      </c>
      <c r="C33" s="0" t="n">
        <v>224560863</v>
      </c>
      <c r="D33" s="0" t="s">
        <v>102</v>
      </c>
      <c r="E33" s="0" t="n">
        <v>21356941</v>
      </c>
      <c r="F33" s="0" t="n">
        <v>720193</v>
      </c>
      <c r="G33" s="0" t="s">
        <v>34</v>
      </c>
      <c r="H33" s="0" t="n">
        <v>3654128</v>
      </c>
      <c r="I33" s="0" t="s">
        <v>1090</v>
      </c>
      <c r="J33" s="0" t="n">
        <v>103256577</v>
      </c>
    </row>
    <row r="34" customFormat="false" ht="15" hidden="false" customHeight="false" outlineLevel="0" collapsed="false">
      <c r="B34" s="0" t="s">
        <v>2002</v>
      </c>
      <c r="C34" s="0" t="n">
        <v>224416924</v>
      </c>
      <c r="D34" s="0" t="s">
        <v>102</v>
      </c>
      <c r="E34" s="0" t="n">
        <v>21356941</v>
      </c>
      <c r="F34" s="0" t="n">
        <v>720193</v>
      </c>
      <c r="G34" s="0" t="s">
        <v>34</v>
      </c>
      <c r="H34" s="0" t="n">
        <v>3654128</v>
      </c>
      <c r="I34" s="0" t="s">
        <v>1994</v>
      </c>
      <c r="J34" s="0" t="n">
        <v>103256571</v>
      </c>
    </row>
    <row r="35" customFormat="false" ht="15" hidden="false" customHeight="false" outlineLevel="0" collapsed="false">
      <c r="B35" s="0" t="s">
        <v>2003</v>
      </c>
      <c r="C35" s="0" t="n">
        <v>223567691</v>
      </c>
      <c r="D35" s="0" t="s">
        <v>42</v>
      </c>
      <c r="E35" s="0" t="n">
        <v>21337013</v>
      </c>
      <c r="F35" s="0" t="n">
        <v>720196</v>
      </c>
      <c r="G35" s="0" t="s">
        <v>34</v>
      </c>
      <c r="H35" s="0" t="n">
        <v>3654128</v>
      </c>
      <c r="I35" s="0" t="s">
        <v>2004</v>
      </c>
      <c r="J35" s="0" t="n">
        <v>102854007</v>
      </c>
    </row>
    <row r="36" customFormat="false" ht="15" hidden="false" customHeight="false" outlineLevel="0" collapsed="false">
      <c r="B36" s="0" t="s">
        <v>2005</v>
      </c>
      <c r="C36" s="0" t="n">
        <v>223560359</v>
      </c>
      <c r="D36" s="0" t="s">
        <v>42</v>
      </c>
      <c r="E36" s="0" t="n">
        <v>21337013</v>
      </c>
      <c r="F36" s="0" t="n">
        <v>720196</v>
      </c>
      <c r="G36" s="0" t="s">
        <v>34</v>
      </c>
      <c r="H36" s="0" t="n">
        <v>3654128</v>
      </c>
      <c r="I36" s="0" t="s">
        <v>2006</v>
      </c>
      <c r="J36" s="0" t="n">
        <v>103005662</v>
      </c>
    </row>
    <row r="37" customFormat="false" ht="15" hidden="false" customHeight="false" outlineLevel="0" collapsed="false">
      <c r="B37" s="0" t="s">
        <v>2007</v>
      </c>
      <c r="C37" s="0" t="n">
        <v>223560353</v>
      </c>
      <c r="D37" s="0" t="s">
        <v>42</v>
      </c>
      <c r="E37" s="0" t="n">
        <v>21337013</v>
      </c>
      <c r="F37" s="0" t="n">
        <v>720196</v>
      </c>
      <c r="G37" s="0" t="s">
        <v>34</v>
      </c>
      <c r="H37" s="0" t="n">
        <v>3654128</v>
      </c>
      <c r="I37" s="0" t="s">
        <v>2008</v>
      </c>
      <c r="J37" s="0" t="n">
        <v>102854010</v>
      </c>
    </row>
    <row r="38" customFormat="false" ht="15" hidden="false" customHeight="false" outlineLevel="0" collapsed="false">
      <c r="B38" s="0" t="s">
        <v>63</v>
      </c>
      <c r="C38" s="0" t="n">
        <v>223560347</v>
      </c>
      <c r="D38" s="0" t="s">
        <v>42</v>
      </c>
      <c r="E38" s="0" t="n">
        <v>21337013</v>
      </c>
      <c r="F38" s="0" t="n">
        <v>720196</v>
      </c>
      <c r="G38" s="0" t="s">
        <v>34</v>
      </c>
      <c r="H38" s="0" t="n">
        <v>3654128</v>
      </c>
      <c r="I38" s="0" t="s">
        <v>317</v>
      </c>
      <c r="J38" s="0" t="n">
        <v>102857037</v>
      </c>
    </row>
    <row r="39" customFormat="false" ht="15" hidden="false" customHeight="false" outlineLevel="0" collapsed="false">
      <c r="B39" s="0" t="s">
        <v>2009</v>
      </c>
      <c r="C39" s="0" t="n">
        <v>223560341</v>
      </c>
      <c r="D39" s="0" t="s">
        <v>42</v>
      </c>
      <c r="E39" s="0" t="n">
        <v>21337013</v>
      </c>
      <c r="F39" s="0" t="n">
        <v>720196</v>
      </c>
      <c r="G39" s="0" t="s">
        <v>34</v>
      </c>
      <c r="H39" s="0" t="n">
        <v>3654128</v>
      </c>
      <c r="I39" s="0" t="s">
        <v>2010</v>
      </c>
      <c r="J39" s="0" t="n">
        <v>102853597</v>
      </c>
    </row>
    <row r="40" customFormat="false" ht="15" hidden="false" customHeight="false" outlineLevel="0" collapsed="false">
      <c r="B40" s="0" t="s">
        <v>47</v>
      </c>
      <c r="C40" s="0" t="n">
        <v>223560299</v>
      </c>
      <c r="D40" s="0" t="s">
        <v>42</v>
      </c>
      <c r="E40" s="0" t="n">
        <v>21337013</v>
      </c>
      <c r="F40" s="0" t="n">
        <v>720196</v>
      </c>
      <c r="G40" s="0" t="s">
        <v>34</v>
      </c>
      <c r="H40" s="0" t="n">
        <v>3654128</v>
      </c>
      <c r="I40" s="0" t="s">
        <v>205</v>
      </c>
      <c r="J40" s="0" t="n">
        <v>102854019</v>
      </c>
    </row>
    <row r="41" customFormat="false" ht="15" hidden="false" customHeight="false" outlineLevel="0" collapsed="false">
      <c r="B41" s="0" t="s">
        <v>54</v>
      </c>
      <c r="C41" s="0" t="n">
        <v>223560356</v>
      </c>
      <c r="D41" s="0" t="s">
        <v>42</v>
      </c>
      <c r="E41" s="0" t="n">
        <v>21337013</v>
      </c>
      <c r="F41" s="0" t="n">
        <v>720196</v>
      </c>
      <c r="G41" s="0" t="s">
        <v>34</v>
      </c>
      <c r="H41" s="0" t="n">
        <v>3654128</v>
      </c>
      <c r="I41" s="0" t="s">
        <v>220</v>
      </c>
      <c r="J41" s="0" t="n">
        <v>102854016</v>
      </c>
    </row>
    <row r="42" customFormat="false" ht="15" hidden="false" customHeight="false" outlineLevel="0" collapsed="false">
      <c r="B42" s="0" t="s">
        <v>53</v>
      </c>
      <c r="C42" s="0" t="n">
        <v>223560350</v>
      </c>
      <c r="D42" s="0" t="s">
        <v>42</v>
      </c>
      <c r="E42" s="0" t="n">
        <v>21337013</v>
      </c>
      <c r="F42" s="0" t="n">
        <v>720196</v>
      </c>
      <c r="G42" s="0" t="s">
        <v>34</v>
      </c>
      <c r="H42" s="0" t="n">
        <v>3654128</v>
      </c>
      <c r="I42" s="0" t="s">
        <v>217</v>
      </c>
      <c r="J42" s="0" t="n">
        <v>103006547</v>
      </c>
    </row>
    <row r="43" customFormat="false" ht="15" hidden="false" customHeight="false" outlineLevel="0" collapsed="false">
      <c r="B43" s="0" t="s">
        <v>52</v>
      </c>
      <c r="C43" s="0" t="n">
        <v>223560344</v>
      </c>
      <c r="D43" s="0" t="s">
        <v>42</v>
      </c>
      <c r="E43" s="0" t="n">
        <v>21337013</v>
      </c>
      <c r="F43" s="0" t="n">
        <v>720196</v>
      </c>
      <c r="G43" s="0" t="s">
        <v>34</v>
      </c>
      <c r="H43" s="0" t="n">
        <v>3654128</v>
      </c>
      <c r="I43" s="0" t="s">
        <v>214</v>
      </c>
      <c r="J43" s="0" t="n">
        <v>102861246</v>
      </c>
    </row>
    <row r="44" customFormat="false" ht="15" hidden="false" customHeight="false" outlineLevel="0" collapsed="false">
      <c r="B44" s="0" t="s">
        <v>51</v>
      </c>
      <c r="C44" s="0" t="n">
        <v>223560338</v>
      </c>
      <c r="D44" s="0" t="s">
        <v>42</v>
      </c>
      <c r="E44" s="0" t="n">
        <v>21337013</v>
      </c>
      <c r="F44" s="0" t="n">
        <v>720196</v>
      </c>
      <c r="G44" s="0" t="s">
        <v>34</v>
      </c>
      <c r="H44" s="0" t="n">
        <v>3654128</v>
      </c>
      <c r="I44" s="0" t="s">
        <v>211</v>
      </c>
      <c r="J44" s="0" t="n">
        <v>102853603</v>
      </c>
    </row>
    <row r="45" customFormat="false" ht="15" hidden="false" customHeight="false" outlineLevel="0" collapsed="false">
      <c r="B45" s="0" t="s">
        <v>162</v>
      </c>
      <c r="C45" s="0" t="n">
        <v>223297413</v>
      </c>
      <c r="D45" s="0" t="s">
        <v>159</v>
      </c>
      <c r="E45" s="0" t="n">
        <v>21276694</v>
      </c>
      <c r="F45" s="0" t="n">
        <v>720195</v>
      </c>
      <c r="G45" s="0" t="s">
        <v>34</v>
      </c>
      <c r="H45" s="0" t="n">
        <v>3654128</v>
      </c>
      <c r="I45" s="0" t="s">
        <v>1493</v>
      </c>
      <c r="J45" s="0" t="n">
        <v>102630373</v>
      </c>
    </row>
    <row r="46" customFormat="false" ht="15" hidden="false" customHeight="false" outlineLevel="0" collapsed="false">
      <c r="B46" s="0" t="s">
        <v>2011</v>
      </c>
      <c r="C46" s="0" t="n">
        <v>223726377</v>
      </c>
      <c r="D46" s="0" t="s">
        <v>159</v>
      </c>
      <c r="E46" s="0" t="n">
        <v>21276694</v>
      </c>
      <c r="F46" s="0" t="n">
        <v>720195</v>
      </c>
      <c r="G46" s="0" t="s">
        <v>34</v>
      </c>
      <c r="H46" s="0" t="n">
        <v>3654128</v>
      </c>
      <c r="I46" s="0" t="s">
        <v>2012</v>
      </c>
      <c r="J46" s="0" t="n">
        <v>102977720</v>
      </c>
    </row>
    <row r="47" customFormat="false" ht="15" hidden="false" customHeight="false" outlineLevel="0" collapsed="false">
      <c r="B47" s="0" t="s">
        <v>2013</v>
      </c>
      <c r="C47" s="0" t="n">
        <v>223726368</v>
      </c>
      <c r="D47" s="0" t="s">
        <v>159</v>
      </c>
      <c r="E47" s="0" t="n">
        <v>21276694</v>
      </c>
      <c r="F47" s="0" t="n">
        <v>720195</v>
      </c>
      <c r="G47" s="0" t="s">
        <v>34</v>
      </c>
      <c r="H47" s="0" t="n">
        <v>3654128</v>
      </c>
      <c r="I47" s="0" t="s">
        <v>2014</v>
      </c>
      <c r="J47" s="0" t="n">
        <v>102974750</v>
      </c>
    </row>
    <row r="48" customFormat="false" ht="15" hidden="false" customHeight="false" outlineLevel="0" collapsed="false">
      <c r="B48" s="0" t="s">
        <v>2015</v>
      </c>
      <c r="C48" s="0" t="n">
        <v>223726374</v>
      </c>
      <c r="D48" s="0" t="s">
        <v>159</v>
      </c>
      <c r="E48" s="0" t="n">
        <v>21276694</v>
      </c>
      <c r="F48" s="0" t="n">
        <v>720195</v>
      </c>
      <c r="G48" s="0" t="s">
        <v>34</v>
      </c>
      <c r="H48" s="0" t="n">
        <v>3654128</v>
      </c>
      <c r="I48" s="0" t="s">
        <v>2016</v>
      </c>
      <c r="J48" s="0" t="n">
        <v>102971306</v>
      </c>
    </row>
    <row r="49" customFormat="false" ht="15" hidden="false" customHeight="false" outlineLevel="0" collapsed="false">
      <c r="B49" s="0" t="s">
        <v>2017</v>
      </c>
      <c r="C49" s="0" t="n">
        <v>223726362</v>
      </c>
      <c r="D49" s="0" t="s">
        <v>159</v>
      </c>
      <c r="E49" s="0" t="n">
        <v>21276694</v>
      </c>
      <c r="F49" s="0" t="n">
        <v>720195</v>
      </c>
      <c r="G49" s="0" t="s">
        <v>34</v>
      </c>
      <c r="H49" s="0" t="n">
        <v>3654128</v>
      </c>
      <c r="I49" s="0" t="s">
        <v>2018</v>
      </c>
      <c r="J49" s="0" t="n">
        <v>102826788</v>
      </c>
    </row>
    <row r="50" customFormat="false" ht="15" hidden="false" customHeight="false" outlineLevel="0" collapsed="false">
      <c r="B50" s="0" t="s">
        <v>2019</v>
      </c>
      <c r="C50" s="0" t="n">
        <v>223298823</v>
      </c>
      <c r="D50" s="0" t="s">
        <v>159</v>
      </c>
      <c r="E50" s="0" t="n">
        <v>21276694</v>
      </c>
      <c r="F50" s="0" t="n">
        <v>720195</v>
      </c>
      <c r="G50" s="0" t="s">
        <v>34</v>
      </c>
      <c r="H50" s="0" t="n">
        <v>3654128</v>
      </c>
      <c r="I50" s="0" t="s">
        <v>2020</v>
      </c>
      <c r="J50" s="0" t="n">
        <v>102612720</v>
      </c>
    </row>
    <row r="51" customFormat="false" ht="15" hidden="false" customHeight="false" outlineLevel="0" collapsed="false">
      <c r="B51" s="0" t="s">
        <v>84</v>
      </c>
      <c r="C51" s="0" t="n">
        <v>223684451</v>
      </c>
      <c r="D51" s="0" t="s">
        <v>2021</v>
      </c>
      <c r="E51" s="0" t="n">
        <v>21337220</v>
      </c>
      <c r="F51" s="0" t="n">
        <v>720192</v>
      </c>
      <c r="G51" s="0" t="s">
        <v>34</v>
      </c>
      <c r="H51" s="0" t="n">
        <v>3654128</v>
      </c>
      <c r="I51" s="0" t="s">
        <v>378</v>
      </c>
      <c r="J51" s="0" t="n">
        <v>102901882</v>
      </c>
    </row>
    <row r="52" customFormat="false" ht="15" hidden="false" customHeight="false" outlineLevel="0" collapsed="false">
      <c r="B52" s="0" t="s">
        <v>77</v>
      </c>
      <c r="C52" s="0" t="n">
        <v>223691840</v>
      </c>
      <c r="D52" s="0" t="s">
        <v>2021</v>
      </c>
      <c r="E52" s="0" t="n">
        <v>21337220</v>
      </c>
      <c r="F52" s="0" t="n">
        <v>720192</v>
      </c>
      <c r="G52" s="0" t="s">
        <v>34</v>
      </c>
      <c r="H52" s="0" t="n">
        <v>3654128</v>
      </c>
      <c r="I52" s="0" t="s">
        <v>357</v>
      </c>
      <c r="J52" s="0" t="n">
        <v>102902950</v>
      </c>
    </row>
    <row r="53" customFormat="false" ht="15" hidden="false" customHeight="false" outlineLevel="0" collapsed="false">
      <c r="B53" s="0" t="s">
        <v>69</v>
      </c>
      <c r="C53" s="0" t="n">
        <v>223691798</v>
      </c>
      <c r="D53" s="0" t="s">
        <v>2021</v>
      </c>
      <c r="E53" s="0" t="n">
        <v>21337220</v>
      </c>
      <c r="F53" s="0" t="n">
        <v>720192</v>
      </c>
      <c r="G53" s="0" t="s">
        <v>34</v>
      </c>
      <c r="H53" s="0" t="n">
        <v>3654128</v>
      </c>
      <c r="I53" s="0" t="s">
        <v>333</v>
      </c>
      <c r="J53" s="0" t="n">
        <v>102916347</v>
      </c>
    </row>
    <row r="54" customFormat="false" ht="15" hidden="false" customHeight="false" outlineLevel="0" collapsed="false">
      <c r="B54" s="0" t="s">
        <v>83</v>
      </c>
      <c r="C54" s="0" t="n">
        <v>223691837</v>
      </c>
      <c r="D54" s="0" t="s">
        <v>2021</v>
      </c>
      <c r="E54" s="0" t="n">
        <v>21337220</v>
      </c>
      <c r="F54" s="0" t="n">
        <v>720192</v>
      </c>
      <c r="G54" s="0" t="s">
        <v>34</v>
      </c>
      <c r="H54" s="0" t="n">
        <v>3654128</v>
      </c>
      <c r="I54" s="0" t="s">
        <v>375</v>
      </c>
      <c r="J54" s="0" t="n">
        <v>103053314</v>
      </c>
    </row>
    <row r="55" customFormat="false" ht="15" hidden="false" customHeight="false" outlineLevel="0" collapsed="false">
      <c r="B55" s="0" t="s">
        <v>87</v>
      </c>
      <c r="C55" s="0" t="n">
        <v>223691795</v>
      </c>
      <c r="D55" s="0" t="s">
        <v>2021</v>
      </c>
      <c r="E55" s="0" t="n">
        <v>21337220</v>
      </c>
      <c r="F55" s="0" t="n">
        <v>720192</v>
      </c>
      <c r="G55" s="0" t="s">
        <v>34</v>
      </c>
      <c r="H55" s="0" t="n">
        <v>3654128</v>
      </c>
      <c r="I55" s="0" t="s">
        <v>387</v>
      </c>
      <c r="J55" s="0" t="n">
        <v>102900688</v>
      </c>
    </row>
    <row r="56" customFormat="false" ht="15" hidden="false" customHeight="false" outlineLevel="0" collapsed="false">
      <c r="B56" s="0" t="s">
        <v>96</v>
      </c>
      <c r="C56" s="0" t="n">
        <v>223691804</v>
      </c>
      <c r="D56" s="0" t="s">
        <v>2021</v>
      </c>
      <c r="E56" s="0" t="n">
        <v>21337220</v>
      </c>
      <c r="F56" s="0" t="n">
        <v>720192</v>
      </c>
      <c r="G56" s="0" t="s">
        <v>34</v>
      </c>
      <c r="H56" s="0" t="n">
        <v>3654128</v>
      </c>
      <c r="I56" s="0" t="s">
        <v>642</v>
      </c>
      <c r="J56" s="0" t="n">
        <v>103058717</v>
      </c>
    </row>
    <row r="57" customFormat="false" ht="15" hidden="false" customHeight="false" outlineLevel="0" collapsed="false">
      <c r="B57" s="0" t="s">
        <v>92</v>
      </c>
      <c r="C57" s="0" t="n">
        <v>223691762</v>
      </c>
      <c r="D57" s="0" t="s">
        <v>2021</v>
      </c>
      <c r="E57" s="0" t="n">
        <v>21337220</v>
      </c>
      <c r="F57" s="0" t="n">
        <v>720192</v>
      </c>
      <c r="G57" s="0" t="s">
        <v>34</v>
      </c>
      <c r="H57" s="0" t="n">
        <v>3654128</v>
      </c>
      <c r="I57" s="0" t="s">
        <v>600</v>
      </c>
      <c r="J57" s="0" t="n">
        <v>102902974</v>
      </c>
    </row>
    <row r="58" customFormat="false" ht="15" hidden="false" customHeight="false" outlineLevel="0" collapsed="false">
      <c r="B58" s="0" t="s">
        <v>94</v>
      </c>
      <c r="C58" s="0" t="n">
        <v>223691810</v>
      </c>
      <c r="D58" s="0" t="s">
        <v>2021</v>
      </c>
      <c r="E58" s="0" t="n">
        <v>21337220</v>
      </c>
      <c r="F58" s="0" t="n">
        <v>720192</v>
      </c>
      <c r="G58" s="0" t="s">
        <v>34</v>
      </c>
      <c r="H58" s="0" t="n">
        <v>3654128</v>
      </c>
      <c r="I58" s="0" t="s">
        <v>632</v>
      </c>
      <c r="J58" s="0" t="n">
        <v>103058711</v>
      </c>
    </row>
    <row r="59" customFormat="false" ht="15" hidden="false" customHeight="false" outlineLevel="0" collapsed="false">
      <c r="B59" s="0" t="s">
        <v>101</v>
      </c>
      <c r="C59" s="0" t="n">
        <v>223691768</v>
      </c>
      <c r="D59" s="0" t="s">
        <v>2021</v>
      </c>
      <c r="E59" s="0" t="n">
        <v>21337220</v>
      </c>
      <c r="F59" s="0" t="n">
        <v>720192</v>
      </c>
      <c r="G59" s="0" t="s">
        <v>34</v>
      </c>
      <c r="H59" s="0" t="n">
        <v>3654128</v>
      </c>
      <c r="I59" s="0" t="s">
        <v>663</v>
      </c>
      <c r="J59" s="0" t="n">
        <v>102902971</v>
      </c>
    </row>
    <row r="60" customFormat="false" ht="15" hidden="false" customHeight="false" outlineLevel="0" collapsed="false">
      <c r="B60" s="0" t="s">
        <v>95</v>
      </c>
      <c r="C60" s="0" t="n">
        <v>223691807</v>
      </c>
      <c r="D60" s="0" t="s">
        <v>2021</v>
      </c>
      <c r="E60" s="0" t="n">
        <v>21337220</v>
      </c>
      <c r="F60" s="0" t="n">
        <v>720192</v>
      </c>
      <c r="G60" s="0" t="s">
        <v>34</v>
      </c>
      <c r="H60" s="0" t="n">
        <v>3654128</v>
      </c>
      <c r="I60" s="0" t="s">
        <v>635</v>
      </c>
      <c r="J60" s="0" t="n">
        <v>102900685</v>
      </c>
    </row>
    <row r="61" customFormat="false" ht="15" hidden="false" customHeight="false" outlineLevel="0" collapsed="false">
      <c r="B61" s="0" t="s">
        <v>100</v>
      </c>
      <c r="C61" s="0" t="n">
        <v>223691765</v>
      </c>
      <c r="D61" s="0" t="s">
        <v>2021</v>
      </c>
      <c r="E61" s="0" t="n">
        <v>21337220</v>
      </c>
      <c r="F61" s="0" t="n">
        <v>720192</v>
      </c>
      <c r="G61" s="0" t="s">
        <v>34</v>
      </c>
      <c r="H61" s="0" t="n">
        <v>3654128</v>
      </c>
      <c r="I61" s="0" t="s">
        <v>660</v>
      </c>
      <c r="J61" s="0" t="n">
        <v>103053332</v>
      </c>
    </row>
    <row r="62" customFormat="false" ht="15" hidden="false" customHeight="false" outlineLevel="0" collapsed="false">
      <c r="B62" s="0" t="s">
        <v>98</v>
      </c>
      <c r="C62" s="0" t="n">
        <v>223691813</v>
      </c>
      <c r="D62" s="0" t="s">
        <v>2021</v>
      </c>
      <c r="E62" s="0" t="n">
        <v>21337220</v>
      </c>
      <c r="F62" s="0" t="n">
        <v>720192</v>
      </c>
      <c r="G62" s="0" t="s">
        <v>34</v>
      </c>
      <c r="H62" s="0" t="n">
        <v>3654128</v>
      </c>
      <c r="I62" s="0" t="s">
        <v>654</v>
      </c>
      <c r="J62" s="0" t="n">
        <v>103053320</v>
      </c>
    </row>
    <row r="63" customFormat="false" ht="15" hidden="false" customHeight="false" outlineLevel="0" collapsed="false">
      <c r="B63" s="0" t="s">
        <v>99</v>
      </c>
      <c r="C63" s="0" t="n">
        <v>223691771</v>
      </c>
      <c r="D63" s="0" t="s">
        <v>2021</v>
      </c>
      <c r="E63" s="0" t="n">
        <v>21337220</v>
      </c>
      <c r="F63" s="0" t="n">
        <v>720192</v>
      </c>
      <c r="G63" s="0" t="s">
        <v>34</v>
      </c>
      <c r="H63" s="0" t="n">
        <v>3654128</v>
      </c>
      <c r="I63" s="0" t="s">
        <v>657</v>
      </c>
      <c r="J63" s="0" t="n">
        <v>102902968</v>
      </c>
    </row>
    <row r="64" customFormat="false" ht="15" hidden="false" customHeight="false" outlineLevel="0" collapsed="false">
      <c r="B64" s="0" t="s">
        <v>93</v>
      </c>
      <c r="C64" s="0" t="n">
        <v>223691816</v>
      </c>
      <c r="D64" s="0" t="s">
        <v>2021</v>
      </c>
      <c r="E64" s="0" t="n">
        <v>21337220</v>
      </c>
      <c r="F64" s="0" t="n">
        <v>720192</v>
      </c>
      <c r="G64" s="0" t="s">
        <v>34</v>
      </c>
      <c r="H64" s="0" t="n">
        <v>3654128</v>
      </c>
      <c r="I64" s="0" t="s">
        <v>625</v>
      </c>
      <c r="J64" s="0" t="n">
        <v>102916341</v>
      </c>
    </row>
    <row r="65" customFormat="false" ht="15" hidden="false" customHeight="false" outlineLevel="0" collapsed="false">
      <c r="B65" s="0" t="s">
        <v>91</v>
      </c>
      <c r="C65" s="0" t="n">
        <v>223691828</v>
      </c>
      <c r="D65" s="0" t="s">
        <v>2021</v>
      </c>
      <c r="E65" s="0" t="n">
        <v>21337220</v>
      </c>
      <c r="F65" s="0" t="n">
        <v>720192</v>
      </c>
      <c r="G65" s="0" t="s">
        <v>34</v>
      </c>
      <c r="H65" s="0" t="n">
        <v>3654128</v>
      </c>
      <c r="I65" s="0" t="s">
        <v>399</v>
      </c>
      <c r="J65" s="0" t="n">
        <v>102902956</v>
      </c>
    </row>
    <row r="66" customFormat="false" ht="15" hidden="false" customHeight="false" outlineLevel="0" collapsed="false">
      <c r="B66" s="0" t="s">
        <v>70</v>
      </c>
      <c r="C66" s="0" t="n">
        <v>223691831</v>
      </c>
      <c r="D66" s="0" t="s">
        <v>2021</v>
      </c>
      <c r="E66" s="0" t="n">
        <v>21337220</v>
      </c>
      <c r="F66" s="0" t="n">
        <v>720192</v>
      </c>
      <c r="G66" s="0" t="s">
        <v>34</v>
      </c>
      <c r="H66" s="0" t="n">
        <v>3654128</v>
      </c>
      <c r="I66" s="0" t="s">
        <v>336</v>
      </c>
      <c r="J66" s="0" t="n">
        <v>102913800</v>
      </c>
    </row>
    <row r="67" customFormat="false" ht="15" hidden="false" customHeight="false" outlineLevel="0" collapsed="false">
      <c r="B67" s="0" t="s">
        <v>74</v>
      </c>
      <c r="C67" s="0" t="n">
        <v>223691789</v>
      </c>
      <c r="D67" s="0" t="s">
        <v>2021</v>
      </c>
      <c r="E67" s="0" t="n">
        <v>21337220</v>
      </c>
      <c r="F67" s="0" t="n">
        <v>720192</v>
      </c>
      <c r="G67" s="0" t="s">
        <v>34</v>
      </c>
      <c r="H67" s="0" t="n">
        <v>3654128</v>
      </c>
      <c r="I67" s="0" t="s">
        <v>348</v>
      </c>
      <c r="J67" s="0" t="n">
        <v>102900691</v>
      </c>
    </row>
    <row r="68" customFormat="false" ht="15" hidden="false" customHeight="false" outlineLevel="0" collapsed="false">
      <c r="B68" s="0" t="s">
        <v>88</v>
      </c>
      <c r="C68" s="0" t="n">
        <v>223691834</v>
      </c>
      <c r="D68" s="0" t="s">
        <v>2021</v>
      </c>
      <c r="E68" s="0" t="n">
        <v>21337220</v>
      </c>
      <c r="F68" s="0" t="n">
        <v>720192</v>
      </c>
      <c r="G68" s="0" t="s">
        <v>34</v>
      </c>
      <c r="H68" s="0" t="n">
        <v>3654128</v>
      </c>
      <c r="I68" s="0" t="s">
        <v>390</v>
      </c>
      <c r="J68" s="0" t="n">
        <v>102902953</v>
      </c>
    </row>
    <row r="69" customFormat="false" ht="15" hidden="false" customHeight="false" outlineLevel="0" collapsed="false">
      <c r="B69" s="0" t="s">
        <v>73</v>
      </c>
      <c r="C69" s="0" t="n">
        <v>223691792</v>
      </c>
      <c r="D69" s="0" t="s">
        <v>2021</v>
      </c>
      <c r="E69" s="0" t="n">
        <v>21337220</v>
      </c>
      <c r="F69" s="0" t="n">
        <v>720192</v>
      </c>
      <c r="G69" s="0" t="s">
        <v>34</v>
      </c>
      <c r="H69" s="0" t="n">
        <v>3654128</v>
      </c>
      <c r="I69" s="0" t="s">
        <v>345</v>
      </c>
      <c r="J69" s="0" t="n">
        <v>102901894</v>
      </c>
    </row>
    <row r="70" customFormat="false" ht="15" hidden="false" customHeight="false" outlineLevel="0" collapsed="false">
      <c r="B70" s="0" t="s">
        <v>90</v>
      </c>
      <c r="C70" s="0" t="n">
        <v>223691819</v>
      </c>
      <c r="D70" s="0" t="s">
        <v>2021</v>
      </c>
      <c r="E70" s="0" t="n">
        <v>21337220</v>
      </c>
      <c r="F70" s="0" t="n">
        <v>720192</v>
      </c>
      <c r="G70" s="0" t="s">
        <v>34</v>
      </c>
      <c r="H70" s="0" t="n">
        <v>3654128</v>
      </c>
      <c r="I70" s="0" t="s">
        <v>396</v>
      </c>
      <c r="J70" s="0" t="n">
        <v>102900682</v>
      </c>
    </row>
    <row r="71" customFormat="false" ht="15" hidden="false" customHeight="false" outlineLevel="0" collapsed="false">
      <c r="B71" s="0" t="s">
        <v>72</v>
      </c>
      <c r="C71" s="0" t="n">
        <v>223691777</v>
      </c>
      <c r="D71" s="0" t="s">
        <v>2021</v>
      </c>
      <c r="E71" s="0" t="n">
        <v>21337220</v>
      </c>
      <c r="F71" s="0" t="n">
        <v>720192</v>
      </c>
      <c r="G71" s="0" t="s">
        <v>34</v>
      </c>
      <c r="H71" s="0" t="n">
        <v>3654128</v>
      </c>
      <c r="I71" s="0" t="s">
        <v>342</v>
      </c>
      <c r="J71" s="0" t="n">
        <v>102900697</v>
      </c>
    </row>
    <row r="72" customFormat="false" ht="15" hidden="false" customHeight="false" outlineLevel="0" collapsed="false">
      <c r="B72" s="0" t="s">
        <v>80</v>
      </c>
      <c r="C72" s="0" t="n">
        <v>223691825</v>
      </c>
      <c r="D72" s="0" t="s">
        <v>2021</v>
      </c>
      <c r="E72" s="0" t="n">
        <v>21337220</v>
      </c>
      <c r="F72" s="0" t="n">
        <v>720192</v>
      </c>
      <c r="G72" s="0" t="s">
        <v>34</v>
      </c>
      <c r="H72" s="0" t="n">
        <v>3654128</v>
      </c>
      <c r="I72" s="0" t="s">
        <v>366</v>
      </c>
      <c r="J72" s="0" t="n">
        <v>102916338</v>
      </c>
    </row>
    <row r="73" customFormat="false" ht="15" hidden="false" customHeight="false" outlineLevel="0" collapsed="false">
      <c r="B73" s="0" t="s">
        <v>76</v>
      </c>
      <c r="C73" s="0" t="n">
        <v>223691783</v>
      </c>
      <c r="D73" s="0" t="s">
        <v>2021</v>
      </c>
      <c r="E73" s="0" t="n">
        <v>21337220</v>
      </c>
      <c r="F73" s="0" t="n">
        <v>720192</v>
      </c>
      <c r="G73" s="0" t="s">
        <v>34</v>
      </c>
      <c r="H73" s="0" t="n">
        <v>3654128</v>
      </c>
      <c r="I73" s="0" t="s">
        <v>354</v>
      </c>
      <c r="J73" s="0" t="n">
        <v>103058723</v>
      </c>
    </row>
    <row r="74" customFormat="false" ht="15" hidden="false" customHeight="false" outlineLevel="0" collapsed="false">
      <c r="B74" s="0" t="s">
        <v>89</v>
      </c>
      <c r="C74" s="0" t="n">
        <v>223691822</v>
      </c>
      <c r="D74" s="0" t="s">
        <v>2021</v>
      </c>
      <c r="E74" s="0" t="n">
        <v>21337220</v>
      </c>
      <c r="F74" s="0" t="n">
        <v>720192</v>
      </c>
      <c r="G74" s="0" t="s">
        <v>34</v>
      </c>
      <c r="H74" s="0" t="n">
        <v>3654128</v>
      </c>
      <c r="I74" s="0" t="s">
        <v>393</v>
      </c>
      <c r="J74" s="0" t="n">
        <v>103058708</v>
      </c>
    </row>
    <row r="75" customFormat="false" ht="15" hidden="false" customHeight="false" outlineLevel="0" collapsed="false">
      <c r="B75" s="0" t="s">
        <v>2022</v>
      </c>
      <c r="C75" s="0" t="n">
        <v>224560884</v>
      </c>
      <c r="D75" s="0" t="s">
        <v>102</v>
      </c>
      <c r="E75" s="0" t="n">
        <v>21356941</v>
      </c>
      <c r="F75" s="0" t="n">
        <v>720193</v>
      </c>
      <c r="G75" s="0" t="s">
        <v>34</v>
      </c>
      <c r="H75" s="0" t="n">
        <v>3654128</v>
      </c>
      <c r="I75" s="0" t="s">
        <v>1997</v>
      </c>
      <c r="J75" s="0" t="n">
        <v>103259958</v>
      </c>
    </row>
    <row r="76" customFormat="false" ht="15" hidden="false" customHeight="false" outlineLevel="0" collapsed="false">
      <c r="B76" s="0" t="s">
        <v>50</v>
      </c>
      <c r="C76" s="0" t="n">
        <v>223560332</v>
      </c>
      <c r="D76" s="0" t="s">
        <v>42</v>
      </c>
      <c r="E76" s="0" t="n">
        <v>21337013</v>
      </c>
      <c r="F76" s="0" t="n">
        <v>720196</v>
      </c>
      <c r="G76" s="0" t="s">
        <v>34</v>
      </c>
      <c r="H76" s="0" t="n">
        <v>3654128</v>
      </c>
      <c r="I76" s="0" t="s">
        <v>208</v>
      </c>
      <c r="J76" s="0" t="n">
        <v>102854037</v>
      </c>
    </row>
    <row r="77" customFormat="false" ht="15" hidden="false" customHeight="false" outlineLevel="0" collapsed="false">
      <c r="B77" s="0" t="s">
        <v>2023</v>
      </c>
      <c r="C77" s="0" t="n">
        <v>223298811</v>
      </c>
      <c r="D77" s="0" t="s">
        <v>159</v>
      </c>
      <c r="E77" s="0" t="n">
        <v>21276694</v>
      </c>
      <c r="F77" s="0" t="n">
        <v>720195</v>
      </c>
      <c r="G77" s="0" t="s">
        <v>34</v>
      </c>
      <c r="H77" s="0" t="n">
        <v>3654128</v>
      </c>
      <c r="I77" s="0" t="s">
        <v>2024</v>
      </c>
      <c r="J77" s="0" t="n">
        <v>102773984</v>
      </c>
    </row>
    <row r="78" customFormat="false" ht="15" hidden="false" customHeight="false" outlineLevel="0" collapsed="false">
      <c r="B78" s="0" t="s">
        <v>2025</v>
      </c>
      <c r="C78" s="0" t="n">
        <v>223298496</v>
      </c>
      <c r="D78" s="0" t="s">
        <v>159</v>
      </c>
      <c r="E78" s="0" t="n">
        <v>21276694</v>
      </c>
      <c r="F78" s="0" t="n">
        <v>720195</v>
      </c>
      <c r="G78" s="0" t="s">
        <v>34</v>
      </c>
      <c r="H78" s="0" t="n">
        <v>3654128</v>
      </c>
      <c r="I78" s="0" t="s">
        <v>2026</v>
      </c>
      <c r="J78" s="0" t="n">
        <v>102630376</v>
      </c>
    </row>
    <row r="79" customFormat="false" ht="15" hidden="false" customHeight="false" outlineLevel="0" collapsed="false">
      <c r="B79" s="0" t="s">
        <v>79</v>
      </c>
      <c r="C79" s="0" t="n">
        <v>223691801</v>
      </c>
      <c r="D79" s="0" t="s">
        <v>2021</v>
      </c>
      <c r="E79" s="0" t="n">
        <v>21337220</v>
      </c>
      <c r="F79" s="0" t="n">
        <v>720192</v>
      </c>
      <c r="G79" s="0" t="s">
        <v>34</v>
      </c>
      <c r="H79" s="0" t="n">
        <v>3654128</v>
      </c>
      <c r="I79" s="0" t="s">
        <v>363</v>
      </c>
      <c r="J79" s="0" t="n">
        <v>103053323</v>
      </c>
    </row>
    <row r="80" customFormat="false" ht="15" hidden="false" customHeight="false" outlineLevel="0" collapsed="false">
      <c r="B80" s="0" t="s">
        <v>97</v>
      </c>
      <c r="C80" s="0" t="n">
        <v>223691774</v>
      </c>
      <c r="D80" s="0" t="s">
        <v>2021</v>
      </c>
      <c r="E80" s="0" t="n">
        <v>21337220</v>
      </c>
      <c r="F80" s="0" t="n">
        <v>720192</v>
      </c>
      <c r="G80" s="0" t="s">
        <v>34</v>
      </c>
      <c r="H80" s="0" t="n">
        <v>3654128</v>
      </c>
      <c r="I80" s="0" t="s">
        <v>647</v>
      </c>
      <c r="J80" s="0" t="n">
        <v>102916356</v>
      </c>
    </row>
    <row r="81" customFormat="false" ht="15" hidden="false" customHeight="false" outlineLevel="0" collapsed="false">
      <c r="B81" s="0" t="s">
        <v>81</v>
      </c>
      <c r="C81" s="0" t="n">
        <v>223691786</v>
      </c>
      <c r="D81" s="0" t="s">
        <v>2021</v>
      </c>
      <c r="E81" s="0" t="n">
        <v>21337220</v>
      </c>
      <c r="F81" s="0" t="n">
        <v>720192</v>
      </c>
      <c r="G81" s="0" t="s">
        <v>34</v>
      </c>
      <c r="H81" s="0" t="n">
        <v>3654128</v>
      </c>
      <c r="I81" s="0" t="s">
        <v>369</v>
      </c>
      <c r="J81" s="0" t="n">
        <v>103058720</v>
      </c>
    </row>
    <row r="82" customFormat="false" ht="15" hidden="false" customHeight="false" outlineLevel="0" collapsed="false">
      <c r="B82" s="0" t="s">
        <v>75</v>
      </c>
      <c r="C82" s="0" t="n">
        <v>223691780</v>
      </c>
      <c r="D82" s="0" t="s">
        <v>2021</v>
      </c>
      <c r="E82" s="0" t="n">
        <v>21337220</v>
      </c>
      <c r="F82" s="0" t="n">
        <v>720192</v>
      </c>
      <c r="G82" s="0" t="s">
        <v>34</v>
      </c>
      <c r="H82" s="0" t="n">
        <v>3654128</v>
      </c>
      <c r="I82" s="0" t="s">
        <v>351</v>
      </c>
      <c r="J82" s="0" t="n">
        <v>103058726</v>
      </c>
    </row>
    <row r="83" customFormat="false" ht="15" hidden="false" customHeight="false" outlineLevel="0" collapsed="false">
      <c r="B83" s="0" t="s">
        <v>2027</v>
      </c>
      <c r="C83" s="0" t="n">
        <v>224560845</v>
      </c>
      <c r="D83" s="0" t="s">
        <v>102</v>
      </c>
      <c r="E83" s="0" t="n">
        <v>21356941</v>
      </c>
      <c r="F83" s="0" t="n">
        <v>720193</v>
      </c>
      <c r="G83" s="0" t="s">
        <v>34</v>
      </c>
      <c r="H83" s="0" t="n">
        <v>3654128</v>
      </c>
      <c r="I83" s="0" t="s">
        <v>755</v>
      </c>
      <c r="J83" s="0" t="n">
        <v>103259520</v>
      </c>
    </row>
    <row r="84" customFormat="false" ht="15" hidden="false" customHeight="false" outlineLevel="0" collapsed="false">
      <c r="B84" s="0" t="s">
        <v>2028</v>
      </c>
      <c r="C84" s="0" t="n">
        <v>224560839</v>
      </c>
      <c r="D84" s="0" t="s">
        <v>102</v>
      </c>
      <c r="E84" s="0" t="n">
        <v>21356941</v>
      </c>
      <c r="F84" s="0" t="n">
        <v>720193</v>
      </c>
      <c r="G84" s="0" t="s">
        <v>34</v>
      </c>
      <c r="H84" s="0" t="n">
        <v>3654128</v>
      </c>
      <c r="I84" s="0" t="s">
        <v>785</v>
      </c>
      <c r="J84" s="0" t="n">
        <v>103257810</v>
      </c>
    </row>
    <row r="85" customFormat="false" ht="15" hidden="false" customHeight="false" outlineLevel="0" collapsed="false">
      <c r="B85" s="0" t="s">
        <v>2029</v>
      </c>
      <c r="C85" s="0" t="n">
        <v>224560836</v>
      </c>
      <c r="D85" s="0" t="s">
        <v>102</v>
      </c>
      <c r="E85" s="0" t="n">
        <v>21356941</v>
      </c>
      <c r="F85" s="0" t="n">
        <v>720193</v>
      </c>
      <c r="G85" s="0" t="s">
        <v>34</v>
      </c>
      <c r="H85" s="0" t="n">
        <v>3654128</v>
      </c>
      <c r="I85" s="0" t="s">
        <v>800</v>
      </c>
      <c r="J85" s="0" t="n">
        <v>103259010</v>
      </c>
    </row>
    <row r="86" customFormat="false" ht="15" hidden="false" customHeight="false" outlineLevel="0" collapsed="false">
      <c r="B86" s="0" t="s">
        <v>2030</v>
      </c>
      <c r="C86" s="0" t="n">
        <v>224560866</v>
      </c>
      <c r="D86" s="0" t="s">
        <v>102</v>
      </c>
      <c r="E86" s="0" t="n">
        <v>21356941</v>
      </c>
      <c r="F86" s="0" t="n">
        <v>720193</v>
      </c>
      <c r="G86" s="0" t="s">
        <v>34</v>
      </c>
      <c r="H86" s="0" t="n">
        <v>3654128</v>
      </c>
      <c r="I86" s="0" t="s">
        <v>915</v>
      </c>
      <c r="J86" s="0" t="n">
        <v>103259784</v>
      </c>
    </row>
    <row r="87" customFormat="false" ht="15" hidden="false" customHeight="false" outlineLevel="0" collapsed="false">
      <c r="B87" s="0" t="s">
        <v>2031</v>
      </c>
      <c r="C87" s="0" t="n">
        <v>224560860</v>
      </c>
      <c r="D87" s="0" t="s">
        <v>102</v>
      </c>
      <c r="E87" s="0" t="n">
        <v>21356941</v>
      </c>
      <c r="F87" s="0" t="n">
        <v>720193</v>
      </c>
      <c r="G87" s="0" t="s">
        <v>34</v>
      </c>
      <c r="H87" s="0" t="n">
        <v>3654128</v>
      </c>
      <c r="I87" s="0" t="s">
        <v>930</v>
      </c>
      <c r="J87" s="0" t="n">
        <v>103377773</v>
      </c>
    </row>
    <row r="88" customFormat="false" ht="15" hidden="false" customHeight="false" outlineLevel="0" collapsed="false">
      <c r="B88" s="0" t="s">
        <v>2032</v>
      </c>
      <c r="C88" s="0" t="n">
        <v>224560857</v>
      </c>
      <c r="D88" s="0" t="s">
        <v>102</v>
      </c>
      <c r="E88" s="0" t="n">
        <v>21356941</v>
      </c>
      <c r="F88" s="0" t="n">
        <v>720193</v>
      </c>
      <c r="G88" s="0" t="s">
        <v>34</v>
      </c>
      <c r="H88" s="0" t="n">
        <v>3654128</v>
      </c>
      <c r="I88" s="0" t="s">
        <v>945</v>
      </c>
      <c r="J88" s="0" t="n">
        <v>103377002</v>
      </c>
    </row>
    <row r="89" customFormat="false" ht="15" hidden="false" customHeight="false" outlineLevel="0" collapsed="false">
      <c r="B89" s="0" t="s">
        <v>2033</v>
      </c>
      <c r="C89" s="0" t="n">
        <v>224560854</v>
      </c>
      <c r="D89" s="0" t="s">
        <v>102</v>
      </c>
      <c r="E89" s="0" t="n">
        <v>21356941</v>
      </c>
      <c r="F89" s="0" t="n">
        <v>720193</v>
      </c>
      <c r="G89" s="0" t="s">
        <v>34</v>
      </c>
      <c r="H89" s="0" t="n">
        <v>3654128</v>
      </c>
      <c r="I89" s="0" t="s">
        <v>960</v>
      </c>
      <c r="J89" s="0" t="n">
        <v>103259550</v>
      </c>
    </row>
    <row r="90" customFormat="false" ht="15" hidden="false" customHeight="false" outlineLevel="0" collapsed="false">
      <c r="B90" s="0" t="s">
        <v>2034</v>
      </c>
      <c r="C90" s="0" t="n">
        <v>224560851</v>
      </c>
      <c r="D90" s="0" t="s">
        <v>102</v>
      </c>
      <c r="E90" s="0" t="n">
        <v>21356941</v>
      </c>
      <c r="F90" s="0" t="n">
        <v>720193</v>
      </c>
      <c r="G90" s="0" t="s">
        <v>34</v>
      </c>
      <c r="H90" s="0" t="n">
        <v>3654128</v>
      </c>
      <c r="I90" s="0" t="s">
        <v>975</v>
      </c>
      <c r="J90" s="0" t="n">
        <v>103259562</v>
      </c>
    </row>
    <row r="91" customFormat="false" ht="15" hidden="false" customHeight="false" outlineLevel="0" collapsed="false">
      <c r="B91" s="0" t="s">
        <v>2035</v>
      </c>
      <c r="C91" s="0" t="n">
        <v>224560848</v>
      </c>
      <c r="D91" s="0" t="s">
        <v>102</v>
      </c>
      <c r="E91" s="0" t="n">
        <v>21356941</v>
      </c>
      <c r="F91" s="0" t="n">
        <v>720193</v>
      </c>
      <c r="G91" s="0" t="s">
        <v>34</v>
      </c>
      <c r="H91" s="0" t="n">
        <v>3654128</v>
      </c>
      <c r="I91" s="0" t="s">
        <v>740</v>
      </c>
      <c r="J91" s="0" t="n">
        <v>103259775</v>
      </c>
    </row>
    <row r="92" customFormat="false" ht="15" hidden="false" customHeight="false" outlineLevel="0" collapsed="false">
      <c r="B92" s="0" t="s">
        <v>2036</v>
      </c>
      <c r="C92" s="0" t="n">
        <v>224560842</v>
      </c>
      <c r="D92" s="0" t="s">
        <v>102</v>
      </c>
      <c r="E92" s="0" t="n">
        <v>21356941</v>
      </c>
      <c r="F92" s="0" t="n">
        <v>720193</v>
      </c>
      <c r="G92" s="0" t="s">
        <v>34</v>
      </c>
      <c r="H92" s="0" t="n">
        <v>3654128</v>
      </c>
      <c r="I92" s="0" t="s">
        <v>770</v>
      </c>
      <c r="J92" s="0" t="n">
        <v>103259769</v>
      </c>
    </row>
    <row r="93" customFormat="false" ht="15" hidden="false" customHeight="false" outlineLevel="0" collapsed="false">
      <c r="B93" s="0" t="s">
        <v>2037</v>
      </c>
      <c r="C93" s="0" t="n">
        <v>224560833</v>
      </c>
      <c r="D93" s="0" t="s">
        <v>102</v>
      </c>
      <c r="E93" s="0" t="n">
        <v>21356941</v>
      </c>
      <c r="F93" s="0" t="n">
        <v>720193</v>
      </c>
      <c r="G93" s="0" t="s">
        <v>34</v>
      </c>
      <c r="H93" s="0" t="n">
        <v>3654128</v>
      </c>
      <c r="I93" s="0" t="s">
        <v>815</v>
      </c>
      <c r="J93" s="0" t="n">
        <v>103376990</v>
      </c>
    </row>
    <row r="94" customFormat="false" ht="15" hidden="false" customHeight="false" outlineLevel="0" collapsed="false">
      <c r="B94" s="0" t="s">
        <v>57</v>
      </c>
      <c r="C94" s="0" t="n">
        <v>224399962</v>
      </c>
      <c r="D94" s="0" t="s">
        <v>42</v>
      </c>
      <c r="E94" s="0" t="n">
        <v>21337013</v>
      </c>
      <c r="F94" s="0" t="n">
        <v>720196</v>
      </c>
      <c r="G94" s="0" t="s">
        <v>34</v>
      </c>
      <c r="H94" s="0" t="n">
        <v>3654128</v>
      </c>
      <c r="I94" s="0" t="s">
        <v>223</v>
      </c>
      <c r="J94" s="0" t="n">
        <v>103230847</v>
      </c>
    </row>
    <row r="95" customFormat="false" ht="15" hidden="false" customHeight="false" outlineLevel="0" collapsed="false">
      <c r="B95" s="0" t="s">
        <v>57</v>
      </c>
      <c r="C95" s="0" t="n">
        <v>224399962</v>
      </c>
      <c r="D95" s="0" t="s">
        <v>42</v>
      </c>
      <c r="E95" s="0" t="n">
        <v>21337013</v>
      </c>
      <c r="F95" s="0" t="n">
        <v>720196</v>
      </c>
      <c r="G95" s="0" t="s">
        <v>34</v>
      </c>
      <c r="H95" s="0" t="n">
        <v>3654128</v>
      </c>
      <c r="I95" s="0" t="s">
        <v>262</v>
      </c>
      <c r="J95" s="0" t="n">
        <v>103235146</v>
      </c>
    </row>
    <row r="96" customFormat="false" ht="15" hidden="false" customHeight="false" outlineLevel="0" collapsed="false">
      <c r="B96" s="0" t="s">
        <v>56</v>
      </c>
      <c r="C96" s="0" t="n">
        <v>224334170</v>
      </c>
      <c r="D96" s="0" t="s">
        <v>42</v>
      </c>
      <c r="E96" s="0" t="n">
        <v>21337013</v>
      </c>
      <c r="F96" s="0" t="n">
        <v>720196</v>
      </c>
      <c r="G96" s="0" t="s">
        <v>34</v>
      </c>
      <c r="H96" s="0" t="n">
        <v>3654128</v>
      </c>
      <c r="I96" s="0" t="s">
        <v>223</v>
      </c>
      <c r="J96" s="0" t="n">
        <v>103230847</v>
      </c>
    </row>
    <row r="97" customFormat="false" ht="15" hidden="false" customHeight="false" outlineLevel="0" collapsed="false">
      <c r="B97" s="0" t="s">
        <v>56</v>
      </c>
      <c r="C97" s="0" t="n">
        <v>224334170</v>
      </c>
      <c r="D97" s="0" t="s">
        <v>42</v>
      </c>
      <c r="E97" s="0" t="n">
        <v>21337013</v>
      </c>
      <c r="F97" s="0" t="n">
        <v>720196</v>
      </c>
      <c r="G97" s="0" t="s">
        <v>34</v>
      </c>
      <c r="H97" s="0" t="n">
        <v>3654128</v>
      </c>
      <c r="I97" s="0" t="s">
        <v>262</v>
      </c>
      <c r="J97" s="0" t="n">
        <v>103235146</v>
      </c>
    </row>
    <row r="98" customFormat="false" ht="15" hidden="false" customHeight="false" outlineLevel="0" collapsed="false">
      <c r="B98" s="0" t="s">
        <v>58</v>
      </c>
      <c r="C98" s="0" t="n">
        <v>224549481</v>
      </c>
      <c r="D98" s="0" t="s">
        <v>42</v>
      </c>
      <c r="E98" s="0" t="n">
        <v>21337013</v>
      </c>
      <c r="F98" s="0" t="n">
        <v>720196</v>
      </c>
      <c r="G98" s="0" t="s">
        <v>34</v>
      </c>
      <c r="H98" s="0" t="n">
        <v>3654128</v>
      </c>
      <c r="I98" s="0" t="s">
        <v>223</v>
      </c>
      <c r="J98" s="0" t="n">
        <v>103230847</v>
      </c>
    </row>
    <row r="99" customFormat="false" ht="15" hidden="false" customHeight="false" outlineLevel="0" collapsed="false">
      <c r="B99" s="0" t="s">
        <v>58</v>
      </c>
      <c r="C99" s="0" t="n">
        <v>224549481</v>
      </c>
      <c r="D99" s="0" t="s">
        <v>42</v>
      </c>
      <c r="E99" s="0" t="n">
        <v>21337013</v>
      </c>
      <c r="F99" s="0" t="n">
        <v>720196</v>
      </c>
      <c r="G99" s="0" t="s">
        <v>34</v>
      </c>
      <c r="H99" s="0" t="n">
        <v>3654128</v>
      </c>
      <c r="I99" s="0" t="s">
        <v>262</v>
      </c>
      <c r="J99" s="0" t="n">
        <v>103235146</v>
      </c>
    </row>
    <row r="100" customFormat="false" ht="15" hidden="false" customHeight="false" outlineLevel="0" collapsed="false">
      <c r="B100" s="0" t="s">
        <v>2038</v>
      </c>
      <c r="C100" s="0" t="n">
        <v>223726365</v>
      </c>
      <c r="D100" s="0" t="s">
        <v>159</v>
      </c>
      <c r="E100" s="0" t="n">
        <v>21276694</v>
      </c>
      <c r="F100" s="0" t="n">
        <v>720195</v>
      </c>
      <c r="G100" s="0" t="s">
        <v>34</v>
      </c>
      <c r="H100" s="0" t="n">
        <v>3654128</v>
      </c>
      <c r="I100" s="0" t="s">
        <v>2039</v>
      </c>
      <c r="J100" s="0" t="n">
        <v>102976850</v>
      </c>
    </row>
    <row r="101" customFormat="false" ht="15" hidden="false" customHeight="false" outlineLevel="0" collapsed="false">
      <c r="B101" s="0" t="s">
        <v>2040</v>
      </c>
      <c r="C101" s="0" t="n">
        <v>223726371</v>
      </c>
      <c r="D101" s="0" t="s">
        <v>159</v>
      </c>
      <c r="E101" s="0" t="n">
        <v>21276694</v>
      </c>
      <c r="F101" s="0" t="n">
        <v>720195</v>
      </c>
      <c r="G101" s="0" t="s">
        <v>34</v>
      </c>
      <c r="H101" s="0" t="n">
        <v>3654128</v>
      </c>
      <c r="I101" s="0" t="s">
        <v>2041</v>
      </c>
      <c r="J101" s="0" t="n">
        <v>102977723</v>
      </c>
    </row>
    <row r="102" customFormat="false" ht="15" hidden="false" customHeight="false" outlineLevel="0" collapsed="false">
      <c r="B102" s="0" t="s">
        <v>82</v>
      </c>
      <c r="C102" s="0" t="n">
        <v>225322327</v>
      </c>
      <c r="D102" s="0" t="s">
        <v>2021</v>
      </c>
      <c r="E102" s="0" t="n">
        <v>21337220</v>
      </c>
      <c r="F102" s="0" t="n">
        <v>720192</v>
      </c>
      <c r="G102" s="0" t="s">
        <v>34</v>
      </c>
      <c r="H102" s="0" t="n">
        <v>3654128</v>
      </c>
      <c r="I102" s="0" t="s">
        <v>372</v>
      </c>
      <c r="J102" s="0" t="n">
        <v>103902287</v>
      </c>
    </row>
    <row r="103" customFormat="false" ht="15" hidden="false" customHeight="false" outlineLevel="0" collapsed="false">
      <c r="B103" s="0" t="s">
        <v>71</v>
      </c>
      <c r="C103" s="0" t="n">
        <v>225322324</v>
      </c>
      <c r="D103" s="0" t="s">
        <v>2021</v>
      </c>
      <c r="E103" s="0" t="n">
        <v>21337220</v>
      </c>
      <c r="F103" s="0" t="n">
        <v>720192</v>
      </c>
      <c r="G103" s="0" t="s">
        <v>34</v>
      </c>
      <c r="H103" s="0" t="n">
        <v>3654128</v>
      </c>
      <c r="I103" s="0" t="s">
        <v>339</v>
      </c>
      <c r="J103" s="0" t="n">
        <v>103789915</v>
      </c>
    </row>
    <row r="104" customFormat="false" ht="15" hidden="false" customHeight="false" outlineLevel="0" collapsed="false">
      <c r="B104" s="0" t="s">
        <v>2042</v>
      </c>
      <c r="C104" s="0" t="n">
        <v>225252365</v>
      </c>
      <c r="D104" s="0" t="s">
        <v>2021</v>
      </c>
      <c r="E104" s="0" t="n">
        <v>21337220</v>
      </c>
      <c r="F104" s="0" t="n">
        <v>720192</v>
      </c>
      <c r="G104" s="0" t="s">
        <v>34</v>
      </c>
      <c r="H104" s="0" t="n">
        <v>3654128</v>
      </c>
      <c r="I104" s="0" t="s">
        <v>2043</v>
      </c>
      <c r="J104" s="0" t="n">
        <v>103807590</v>
      </c>
    </row>
    <row r="105" customFormat="false" ht="15" hidden="false" customHeight="false" outlineLevel="0" collapsed="false">
      <c r="B105" s="0" t="s">
        <v>2044</v>
      </c>
      <c r="C105" s="0" t="n">
        <v>225525936</v>
      </c>
      <c r="D105" s="0" t="s">
        <v>2021</v>
      </c>
      <c r="E105" s="0" t="n">
        <v>21337220</v>
      </c>
      <c r="F105" s="0" t="n">
        <v>720192</v>
      </c>
      <c r="G105" s="0" t="s">
        <v>34</v>
      </c>
      <c r="H105" s="0" t="n">
        <v>3654128</v>
      </c>
      <c r="I105" s="0" t="s">
        <v>2045</v>
      </c>
      <c r="J105" s="0" t="n">
        <v>103902551</v>
      </c>
    </row>
    <row r="106" customFormat="false" ht="15" hidden="false" customHeight="false" outlineLevel="0" collapsed="false">
      <c r="B106" s="0" t="s">
        <v>2046</v>
      </c>
      <c r="C106" s="0" t="n">
        <v>225671576</v>
      </c>
      <c r="D106" s="0" t="s">
        <v>159</v>
      </c>
      <c r="E106" s="0" t="n">
        <v>21276694</v>
      </c>
      <c r="F106" s="0" t="n">
        <v>720195</v>
      </c>
      <c r="G106" s="0" t="s">
        <v>34</v>
      </c>
      <c r="H106" s="0" t="n">
        <v>3654128</v>
      </c>
      <c r="I106" s="0" t="s">
        <v>2047</v>
      </c>
      <c r="J106" s="0" t="n">
        <v>104060550</v>
      </c>
    </row>
    <row r="107" customFormat="false" ht="15" hidden="false" customHeight="false" outlineLevel="0" collapsed="false">
      <c r="B107" s="0" t="s">
        <v>2048</v>
      </c>
      <c r="C107" s="0" t="n">
        <v>225671573</v>
      </c>
      <c r="D107" s="0" t="s">
        <v>159</v>
      </c>
      <c r="E107" s="0" t="n">
        <v>21276694</v>
      </c>
      <c r="F107" s="0" t="n">
        <v>720195</v>
      </c>
      <c r="G107" s="0" t="s">
        <v>34</v>
      </c>
      <c r="H107" s="0" t="n">
        <v>3654128</v>
      </c>
      <c r="I107" s="0" t="s">
        <v>2049</v>
      </c>
      <c r="J107" s="0" t="n">
        <v>104060553</v>
      </c>
    </row>
    <row r="108" customFormat="false" ht="15" hidden="false" customHeight="false" outlineLevel="0" collapsed="false">
      <c r="B108" s="0" t="s">
        <v>2050</v>
      </c>
      <c r="C108" s="0" t="n">
        <v>225761737</v>
      </c>
      <c r="D108" s="0" t="s">
        <v>159</v>
      </c>
      <c r="E108" s="0" t="n">
        <v>21276694</v>
      </c>
      <c r="F108" s="0" t="n">
        <v>720195</v>
      </c>
      <c r="G108" s="0" t="s">
        <v>34</v>
      </c>
      <c r="H108" s="0" t="n">
        <v>3654128</v>
      </c>
      <c r="I108" s="0" t="s">
        <v>1496</v>
      </c>
      <c r="J108" s="0" t="n">
        <v>104060547</v>
      </c>
    </row>
    <row r="109" customFormat="false" ht="15" hidden="false" customHeight="false" outlineLevel="0" collapsed="false">
      <c r="B109" s="0" t="s">
        <v>2051</v>
      </c>
      <c r="C109" s="0" t="n">
        <v>225761713</v>
      </c>
      <c r="D109" s="0" t="s">
        <v>159</v>
      </c>
      <c r="E109" s="0" t="n">
        <v>21276694</v>
      </c>
      <c r="F109" s="0" t="n">
        <v>720195</v>
      </c>
      <c r="G109" s="0" t="s">
        <v>34</v>
      </c>
      <c r="H109" s="0" t="n">
        <v>3654128</v>
      </c>
      <c r="I109" s="0" t="s">
        <v>2052</v>
      </c>
      <c r="J109" s="0" t="n">
        <v>104061321</v>
      </c>
    </row>
    <row r="110" customFormat="false" ht="15" hidden="false" customHeight="false" outlineLevel="0" collapsed="false">
      <c r="B110" s="0" t="s">
        <v>2053</v>
      </c>
      <c r="C110" s="0" t="n">
        <v>225761719</v>
      </c>
      <c r="D110" s="0" t="s">
        <v>159</v>
      </c>
      <c r="E110" s="0" t="n">
        <v>21276694</v>
      </c>
      <c r="F110" s="0" t="n">
        <v>720195</v>
      </c>
      <c r="G110" s="0" t="s">
        <v>34</v>
      </c>
      <c r="H110" s="0" t="n">
        <v>3654128</v>
      </c>
      <c r="I110" s="0" t="s">
        <v>1496</v>
      </c>
      <c r="J110" s="0" t="n">
        <v>104060547</v>
      </c>
    </row>
    <row r="111" customFormat="false" ht="15" hidden="false" customHeight="false" outlineLevel="0" collapsed="false">
      <c r="B111" s="0" t="s">
        <v>2053</v>
      </c>
      <c r="C111" s="0" t="n">
        <v>225761719</v>
      </c>
      <c r="D111" s="0" t="s">
        <v>159</v>
      </c>
      <c r="E111" s="0" t="n">
        <v>21276694</v>
      </c>
      <c r="F111" s="0" t="n">
        <v>720195</v>
      </c>
      <c r="G111" s="0" t="s">
        <v>34</v>
      </c>
      <c r="H111" s="0" t="n">
        <v>3654128</v>
      </c>
      <c r="I111" s="0" t="s">
        <v>2052</v>
      </c>
      <c r="J111" s="0" t="n">
        <v>104061321</v>
      </c>
    </row>
    <row r="112" customFormat="false" ht="15" hidden="false" customHeight="false" outlineLevel="0" collapsed="false">
      <c r="B112" s="0" t="s">
        <v>2054</v>
      </c>
      <c r="C112" s="0" t="n">
        <v>225761746</v>
      </c>
      <c r="D112" s="0" t="s">
        <v>159</v>
      </c>
      <c r="E112" s="0" t="n">
        <v>21276694</v>
      </c>
      <c r="F112" s="0" t="n">
        <v>720195</v>
      </c>
      <c r="G112" s="0" t="s">
        <v>34</v>
      </c>
      <c r="H112" s="0" t="n">
        <v>3654128</v>
      </c>
      <c r="I112" s="0" t="s">
        <v>2055</v>
      </c>
      <c r="J112" s="0" t="n">
        <v>104064204</v>
      </c>
    </row>
    <row r="113" customFormat="false" ht="15" hidden="false" customHeight="false" outlineLevel="0" collapsed="false">
      <c r="B113" s="0" t="s">
        <v>2056</v>
      </c>
      <c r="C113" s="0" t="n">
        <v>225761752</v>
      </c>
      <c r="D113" s="0" t="s">
        <v>159</v>
      </c>
      <c r="E113" s="0" t="n">
        <v>21276694</v>
      </c>
      <c r="F113" s="0" t="n">
        <v>720195</v>
      </c>
      <c r="G113" s="0" t="s">
        <v>34</v>
      </c>
      <c r="H113" s="0" t="n">
        <v>3654128</v>
      </c>
      <c r="I113" s="0" t="s">
        <v>2057</v>
      </c>
      <c r="J113" s="0" t="n">
        <v>104061324</v>
      </c>
    </row>
    <row r="114" customFormat="false" ht="15" hidden="false" customHeight="false" outlineLevel="0" collapsed="false">
      <c r="B114" s="0" t="s">
        <v>2058</v>
      </c>
      <c r="C114" s="0" t="n">
        <v>225761734</v>
      </c>
      <c r="D114" s="0" t="s">
        <v>159</v>
      </c>
      <c r="E114" s="0" t="n">
        <v>21276694</v>
      </c>
      <c r="F114" s="0" t="n">
        <v>720195</v>
      </c>
      <c r="G114" s="0" t="s">
        <v>34</v>
      </c>
      <c r="H114" s="0" t="n">
        <v>3654128</v>
      </c>
      <c r="I114" s="0" t="s">
        <v>2059</v>
      </c>
      <c r="J114" s="0" t="n">
        <v>104057152</v>
      </c>
    </row>
    <row r="115" customFormat="false" ht="15" hidden="false" customHeight="false" outlineLevel="0" collapsed="false">
      <c r="B115" s="0" t="s">
        <v>2060</v>
      </c>
      <c r="C115" s="0" t="n">
        <v>225761728</v>
      </c>
      <c r="D115" s="0" t="s">
        <v>159</v>
      </c>
      <c r="E115" s="0" t="n">
        <v>21276694</v>
      </c>
      <c r="F115" s="0" t="n">
        <v>720195</v>
      </c>
      <c r="G115" s="0" t="s">
        <v>34</v>
      </c>
      <c r="H115" s="0" t="n">
        <v>3654128</v>
      </c>
      <c r="I115" s="0" t="s">
        <v>2061</v>
      </c>
      <c r="J115" s="0" t="n">
        <v>104063229</v>
      </c>
    </row>
    <row r="116" customFormat="false" ht="15" hidden="false" customHeight="false" outlineLevel="0" collapsed="false">
      <c r="B116" s="0" t="s">
        <v>2062</v>
      </c>
      <c r="C116" s="0" t="n">
        <v>225761740</v>
      </c>
      <c r="D116" s="0" t="s">
        <v>159</v>
      </c>
      <c r="E116" s="0" t="n">
        <v>21276694</v>
      </c>
      <c r="F116" s="0" t="n">
        <v>720195</v>
      </c>
      <c r="G116" s="0" t="s">
        <v>34</v>
      </c>
      <c r="H116" s="0" t="n">
        <v>3654128</v>
      </c>
      <c r="I116" s="0" t="s">
        <v>2063</v>
      </c>
      <c r="J116" s="0" t="n">
        <v>104056945</v>
      </c>
    </row>
    <row r="117" customFormat="false" ht="15" hidden="false" customHeight="false" outlineLevel="0" collapsed="false">
      <c r="B117" s="0" t="s">
        <v>2064</v>
      </c>
      <c r="C117" s="0" t="n">
        <v>224160720</v>
      </c>
      <c r="D117" s="0" t="s">
        <v>1969</v>
      </c>
      <c r="E117" s="0" t="n">
        <v>21358568</v>
      </c>
      <c r="F117" s="0" t="n">
        <v>720191</v>
      </c>
      <c r="G117" s="0" t="s">
        <v>34</v>
      </c>
      <c r="H117" s="0" t="n">
        <v>3654128</v>
      </c>
      <c r="I117" s="0" t="s">
        <v>2065</v>
      </c>
      <c r="J117" s="0" t="n">
        <v>103186907</v>
      </c>
    </row>
    <row r="118" customFormat="false" ht="15" hidden="false" customHeight="false" outlineLevel="0" collapsed="false">
      <c r="B118" s="0" t="s">
        <v>2066</v>
      </c>
      <c r="C118" s="0" t="n">
        <v>224160717</v>
      </c>
      <c r="D118" s="0" t="s">
        <v>1969</v>
      </c>
      <c r="E118" s="0" t="n">
        <v>21358568</v>
      </c>
      <c r="F118" s="0" t="n">
        <v>720191</v>
      </c>
      <c r="G118" s="0" t="s">
        <v>34</v>
      </c>
      <c r="H118" s="0" t="n">
        <v>3654128</v>
      </c>
      <c r="I118" s="0" t="s">
        <v>2067</v>
      </c>
      <c r="J118" s="0" t="n">
        <v>103048485</v>
      </c>
    </row>
    <row r="119" customFormat="false" ht="15" hidden="false" customHeight="false" outlineLevel="0" collapsed="false">
      <c r="B119" s="0" t="s">
        <v>2068</v>
      </c>
      <c r="C119" s="0" t="n">
        <v>224160714</v>
      </c>
      <c r="D119" s="0" t="s">
        <v>1969</v>
      </c>
      <c r="E119" s="0" t="n">
        <v>21358568</v>
      </c>
      <c r="F119" s="0" t="n">
        <v>720191</v>
      </c>
      <c r="G119" s="0" t="s">
        <v>34</v>
      </c>
      <c r="H119" s="0" t="n">
        <v>3654128</v>
      </c>
      <c r="I119" s="0" t="s">
        <v>2069</v>
      </c>
      <c r="J119" s="0" t="n">
        <v>103186916</v>
      </c>
    </row>
    <row r="120" customFormat="false" ht="15" hidden="false" customHeight="false" outlineLevel="0" collapsed="false">
      <c r="B120" s="0" t="s">
        <v>2070</v>
      </c>
      <c r="C120" s="0" t="n">
        <v>224160711</v>
      </c>
      <c r="D120" s="0" t="s">
        <v>1969</v>
      </c>
      <c r="E120" s="0" t="n">
        <v>21358568</v>
      </c>
      <c r="F120" s="0" t="n">
        <v>720191</v>
      </c>
      <c r="G120" s="0" t="s">
        <v>34</v>
      </c>
      <c r="H120" s="0" t="n">
        <v>3654128</v>
      </c>
      <c r="I120" s="0" t="s">
        <v>2071</v>
      </c>
      <c r="J120" s="0" t="n">
        <v>103048491</v>
      </c>
    </row>
    <row r="121" customFormat="false" ht="15" hidden="false" customHeight="false" outlineLevel="0" collapsed="false">
      <c r="B121" s="0" t="s">
        <v>2072</v>
      </c>
      <c r="C121" s="0" t="n">
        <v>224160738</v>
      </c>
      <c r="D121" s="0" t="s">
        <v>1969</v>
      </c>
      <c r="E121" s="0" t="n">
        <v>21358568</v>
      </c>
      <c r="F121" s="0" t="n">
        <v>720191</v>
      </c>
      <c r="G121" s="0" t="s">
        <v>34</v>
      </c>
      <c r="H121" s="0" t="n">
        <v>3654128</v>
      </c>
      <c r="I121" s="0" t="s">
        <v>1975</v>
      </c>
      <c r="J121" s="0" t="n">
        <v>103186904</v>
      </c>
    </row>
    <row r="122" customFormat="false" ht="15" hidden="false" customHeight="false" outlineLevel="0" collapsed="false">
      <c r="B122" s="0" t="s">
        <v>2073</v>
      </c>
      <c r="C122" s="0" t="n">
        <v>224160735</v>
      </c>
      <c r="D122" s="0" t="s">
        <v>1969</v>
      </c>
      <c r="E122" s="0" t="n">
        <v>21358568</v>
      </c>
      <c r="F122" s="0" t="n">
        <v>720191</v>
      </c>
      <c r="G122" s="0" t="s">
        <v>34</v>
      </c>
      <c r="H122" s="0" t="n">
        <v>3654128</v>
      </c>
      <c r="I122" s="0" t="s">
        <v>1977</v>
      </c>
      <c r="J122" s="0" t="n">
        <v>103048479</v>
      </c>
    </row>
    <row r="123" customFormat="false" ht="15" hidden="false" customHeight="false" outlineLevel="0" collapsed="false">
      <c r="B123" s="0" t="s">
        <v>2074</v>
      </c>
      <c r="C123" s="0" t="n">
        <v>224160732</v>
      </c>
      <c r="D123" s="0" t="s">
        <v>1969</v>
      </c>
      <c r="E123" s="0" t="n">
        <v>21358568</v>
      </c>
      <c r="F123" s="0" t="n">
        <v>720191</v>
      </c>
      <c r="G123" s="0" t="s">
        <v>34</v>
      </c>
      <c r="H123" s="0" t="n">
        <v>3654128</v>
      </c>
      <c r="I123" s="0" t="s">
        <v>1979</v>
      </c>
      <c r="J123" s="0" t="n">
        <v>103186910</v>
      </c>
    </row>
    <row r="124" customFormat="false" ht="15" hidden="false" customHeight="false" outlineLevel="0" collapsed="false">
      <c r="B124" s="0" t="s">
        <v>2075</v>
      </c>
      <c r="C124" s="0" t="n">
        <v>224160729</v>
      </c>
      <c r="D124" s="0" t="s">
        <v>1969</v>
      </c>
      <c r="E124" s="0" t="n">
        <v>21358568</v>
      </c>
      <c r="F124" s="0" t="n">
        <v>720191</v>
      </c>
      <c r="G124" s="0" t="s">
        <v>34</v>
      </c>
      <c r="H124" s="0" t="n">
        <v>3654128</v>
      </c>
      <c r="I124" s="0" t="s">
        <v>1981</v>
      </c>
      <c r="J124" s="0" t="n">
        <v>103048488</v>
      </c>
    </row>
    <row r="125" customFormat="false" ht="15" hidden="false" customHeight="false" outlineLevel="0" collapsed="false">
      <c r="B125" s="0" t="s">
        <v>165</v>
      </c>
      <c r="C125" s="0" t="n">
        <v>226269941</v>
      </c>
      <c r="D125" s="0" t="s">
        <v>159</v>
      </c>
      <c r="E125" s="0" t="n">
        <v>21276694</v>
      </c>
      <c r="F125" s="0" t="n">
        <v>720195</v>
      </c>
      <c r="G125" s="0" t="s">
        <v>34</v>
      </c>
      <c r="H125" s="0" t="n">
        <v>3654128</v>
      </c>
      <c r="I125" s="0" t="s">
        <v>1496</v>
      </c>
      <c r="J125" s="0" t="n">
        <v>104060547</v>
      </c>
    </row>
    <row r="126" customFormat="false" ht="15" hidden="false" customHeight="false" outlineLevel="0" collapsed="false">
      <c r="B126" s="0" t="s">
        <v>165</v>
      </c>
      <c r="C126" s="0" t="n">
        <v>226269941</v>
      </c>
      <c r="D126" s="0" t="s">
        <v>159</v>
      </c>
      <c r="E126" s="0" t="n">
        <v>21276694</v>
      </c>
      <c r="F126" s="0" t="n">
        <v>720195</v>
      </c>
      <c r="G126" s="0" t="s">
        <v>34</v>
      </c>
      <c r="H126" s="0" t="n">
        <v>3654128</v>
      </c>
      <c r="I126" s="0" t="s">
        <v>2052</v>
      </c>
      <c r="J126" s="0" t="n">
        <v>104061321</v>
      </c>
    </row>
    <row r="127" customFormat="false" ht="15" hidden="false" customHeight="false" outlineLevel="0" collapsed="false">
      <c r="B127" s="0" t="s">
        <v>2076</v>
      </c>
      <c r="C127" s="0" t="n">
        <v>226359881</v>
      </c>
      <c r="D127" s="0" t="s">
        <v>102</v>
      </c>
      <c r="E127" s="0" t="n">
        <v>21356941</v>
      </c>
      <c r="F127" s="0" t="n">
        <v>720193</v>
      </c>
      <c r="G127" s="0" t="s">
        <v>34</v>
      </c>
      <c r="H127" s="0" t="n">
        <v>3654128</v>
      </c>
      <c r="I127" s="0" t="s">
        <v>1105</v>
      </c>
      <c r="J127" s="0" t="n">
        <v>104537813</v>
      </c>
    </row>
    <row r="128" customFormat="false" ht="15" hidden="false" customHeight="false" outlineLevel="0" collapsed="false">
      <c r="B128" s="0" t="s">
        <v>2077</v>
      </c>
      <c r="C128" s="0" t="n">
        <v>226359884</v>
      </c>
      <c r="D128" s="0" t="s">
        <v>102</v>
      </c>
      <c r="E128" s="0" t="n">
        <v>21356941</v>
      </c>
      <c r="F128" s="0" t="n">
        <v>720193</v>
      </c>
      <c r="G128" s="0" t="s">
        <v>34</v>
      </c>
      <c r="H128" s="0" t="n">
        <v>3654128</v>
      </c>
      <c r="I128" s="0" t="s">
        <v>1150</v>
      </c>
      <c r="J128" s="0" t="n">
        <v>104537132</v>
      </c>
    </row>
    <row r="129" customFormat="false" ht="15" hidden="false" customHeight="false" outlineLevel="0" collapsed="false">
      <c r="B129" s="0" t="s">
        <v>2078</v>
      </c>
      <c r="C129" s="0" t="n">
        <v>226359953</v>
      </c>
      <c r="D129" s="0" t="s">
        <v>102</v>
      </c>
      <c r="E129" s="0" t="n">
        <v>21356941</v>
      </c>
      <c r="F129" s="0" t="n">
        <v>720193</v>
      </c>
      <c r="G129" s="0" t="s">
        <v>34</v>
      </c>
      <c r="H129" s="0" t="n">
        <v>3654128</v>
      </c>
      <c r="I129" s="0" t="s">
        <v>1120</v>
      </c>
      <c r="J129" s="0" t="n">
        <v>104537129</v>
      </c>
    </row>
    <row r="130" customFormat="false" ht="15" hidden="false" customHeight="false" outlineLevel="0" collapsed="false">
      <c r="B130" s="0" t="s">
        <v>2079</v>
      </c>
      <c r="C130" s="0" t="n">
        <v>226496098</v>
      </c>
      <c r="D130" s="0" t="s">
        <v>102</v>
      </c>
      <c r="E130" s="0" t="n">
        <v>21356941</v>
      </c>
      <c r="F130" s="0" t="n">
        <v>720193</v>
      </c>
      <c r="G130" s="0" t="s">
        <v>34</v>
      </c>
      <c r="H130" s="0" t="n">
        <v>3654128</v>
      </c>
      <c r="I130" s="0" t="s">
        <v>886</v>
      </c>
      <c r="J130" s="0" t="n">
        <v>104458165</v>
      </c>
    </row>
    <row r="131" customFormat="false" ht="15" hidden="false" customHeight="false" outlineLevel="0" collapsed="false">
      <c r="B131" s="0" t="s">
        <v>2080</v>
      </c>
      <c r="C131" s="0" t="n">
        <v>226360010</v>
      </c>
      <c r="D131" s="0" t="s">
        <v>102</v>
      </c>
      <c r="E131" s="0" t="n">
        <v>21356941</v>
      </c>
      <c r="F131" s="0" t="n">
        <v>720193</v>
      </c>
      <c r="G131" s="0" t="s">
        <v>34</v>
      </c>
      <c r="H131" s="0" t="n">
        <v>3654128</v>
      </c>
      <c r="I131" s="0" t="s">
        <v>1334</v>
      </c>
      <c r="J131" s="0" t="n">
        <v>104458003</v>
      </c>
    </row>
    <row r="132" customFormat="false" ht="15" hidden="false" customHeight="false" outlineLevel="0" collapsed="false">
      <c r="B132" s="0" t="s">
        <v>2081</v>
      </c>
      <c r="C132" s="0" t="n">
        <v>226496137</v>
      </c>
      <c r="D132" s="0" t="s">
        <v>102</v>
      </c>
      <c r="E132" s="0" t="n">
        <v>21356941</v>
      </c>
      <c r="F132" s="0" t="n">
        <v>720193</v>
      </c>
      <c r="G132" s="0" t="s">
        <v>34</v>
      </c>
      <c r="H132" s="0" t="n">
        <v>3654128</v>
      </c>
      <c r="I132" s="0" t="s">
        <v>1334</v>
      </c>
      <c r="J132" s="0" t="n">
        <v>104458003</v>
      </c>
    </row>
    <row r="133" customFormat="false" ht="15" hidden="false" customHeight="false" outlineLevel="0" collapsed="false">
      <c r="B133" s="0" t="s">
        <v>2082</v>
      </c>
      <c r="C133" s="0" t="n">
        <v>226359938</v>
      </c>
      <c r="D133" s="0" t="s">
        <v>102</v>
      </c>
      <c r="E133" s="0" t="n">
        <v>21356941</v>
      </c>
      <c r="F133" s="0" t="n">
        <v>720193</v>
      </c>
      <c r="G133" s="0" t="s">
        <v>34</v>
      </c>
      <c r="H133" s="0" t="n">
        <v>3654128</v>
      </c>
      <c r="I133" s="0" t="s">
        <v>1319</v>
      </c>
      <c r="J133" s="0" t="n">
        <v>104456278</v>
      </c>
    </row>
    <row r="134" customFormat="false" ht="15" hidden="false" customHeight="false" outlineLevel="0" collapsed="false">
      <c r="B134" s="0" t="s">
        <v>2083</v>
      </c>
      <c r="C134" s="0" t="n">
        <v>226496146</v>
      </c>
      <c r="D134" s="0" t="s">
        <v>102</v>
      </c>
      <c r="E134" s="0" t="n">
        <v>21356941</v>
      </c>
      <c r="F134" s="0" t="n">
        <v>720193</v>
      </c>
      <c r="G134" s="0" t="s">
        <v>34</v>
      </c>
      <c r="H134" s="0" t="n">
        <v>3654128</v>
      </c>
      <c r="I134" s="0" t="s">
        <v>1135</v>
      </c>
      <c r="J134" s="0" t="n">
        <v>104537816</v>
      </c>
    </row>
    <row r="135" customFormat="false" ht="15" hidden="false" customHeight="false" outlineLevel="0" collapsed="false">
      <c r="B135" s="0" t="s">
        <v>2084</v>
      </c>
      <c r="C135" s="0" t="n">
        <v>226359932</v>
      </c>
      <c r="D135" s="0" t="s">
        <v>102</v>
      </c>
      <c r="E135" s="0" t="n">
        <v>21356941</v>
      </c>
      <c r="F135" s="0" t="n">
        <v>720193</v>
      </c>
      <c r="G135" s="0" t="s">
        <v>34</v>
      </c>
      <c r="H135" s="0" t="n">
        <v>3654128</v>
      </c>
      <c r="I135" s="0" t="s">
        <v>886</v>
      </c>
      <c r="J135" s="0" t="n">
        <v>104455909</v>
      </c>
    </row>
    <row r="136" customFormat="false" ht="15" hidden="false" customHeight="false" outlineLevel="0" collapsed="false">
      <c r="B136" s="0" t="s">
        <v>2085</v>
      </c>
      <c r="C136" s="0" t="n">
        <v>226359983</v>
      </c>
      <c r="D136" s="0" t="s">
        <v>102</v>
      </c>
      <c r="E136" s="0" t="n">
        <v>21356941</v>
      </c>
      <c r="F136" s="0" t="n">
        <v>720193</v>
      </c>
      <c r="G136" s="0" t="s">
        <v>34</v>
      </c>
      <c r="H136" s="0" t="n">
        <v>3654128</v>
      </c>
      <c r="I136" s="0" t="s">
        <v>886</v>
      </c>
      <c r="J136" s="0" t="n">
        <v>104537819</v>
      </c>
    </row>
    <row r="137" customFormat="false" ht="15" hidden="false" customHeight="false" outlineLevel="0" collapsed="false">
      <c r="B137" s="0" t="s">
        <v>2079</v>
      </c>
      <c r="C137" s="0" t="n">
        <v>226496098</v>
      </c>
      <c r="D137" s="0" t="s">
        <v>102</v>
      </c>
      <c r="E137" s="0" t="n">
        <v>21356941</v>
      </c>
      <c r="F137" s="0" t="n">
        <v>720193</v>
      </c>
      <c r="G137" s="0" t="s">
        <v>34</v>
      </c>
      <c r="H137" s="0" t="n">
        <v>3654128</v>
      </c>
      <c r="I137" s="0" t="s">
        <v>800</v>
      </c>
      <c r="J137" s="0" t="n">
        <v>103259010</v>
      </c>
    </row>
    <row r="138" customFormat="false" ht="15" hidden="false" customHeight="false" outlineLevel="0" collapsed="false">
      <c r="B138" s="0" t="s">
        <v>2086</v>
      </c>
      <c r="C138" s="0" t="n">
        <v>226360034</v>
      </c>
      <c r="D138" s="0" t="s">
        <v>102</v>
      </c>
      <c r="E138" s="0" t="n">
        <v>21356941</v>
      </c>
      <c r="F138" s="0" t="n">
        <v>720193</v>
      </c>
      <c r="G138" s="0" t="s">
        <v>34</v>
      </c>
      <c r="H138" s="0" t="n">
        <v>3654128</v>
      </c>
      <c r="I138" s="0" t="s">
        <v>1105</v>
      </c>
      <c r="J138" s="0" t="n">
        <v>104537813</v>
      </c>
    </row>
    <row r="139" customFormat="false" ht="15" hidden="false" customHeight="false" outlineLevel="0" collapsed="false">
      <c r="B139" s="0" t="s">
        <v>2087</v>
      </c>
      <c r="C139" s="0" t="n">
        <v>226420298</v>
      </c>
      <c r="D139" s="0" t="s">
        <v>102</v>
      </c>
      <c r="E139" s="0" t="n">
        <v>21356941</v>
      </c>
      <c r="F139" s="0" t="n">
        <v>720193</v>
      </c>
      <c r="G139" s="0" t="s">
        <v>34</v>
      </c>
      <c r="H139" s="0" t="n">
        <v>3654128</v>
      </c>
      <c r="I139" s="0" t="s">
        <v>1120</v>
      </c>
      <c r="J139" s="0" t="n">
        <v>104537129</v>
      </c>
    </row>
    <row r="140" customFormat="false" ht="15" hidden="false" customHeight="false" outlineLevel="0" collapsed="false">
      <c r="B140" s="0" t="s">
        <v>2088</v>
      </c>
      <c r="C140" s="0" t="n">
        <v>226360028</v>
      </c>
      <c r="D140" s="0" t="s">
        <v>102</v>
      </c>
      <c r="E140" s="0" t="n">
        <v>21356941</v>
      </c>
      <c r="F140" s="0" t="n">
        <v>720193</v>
      </c>
      <c r="G140" s="0" t="s">
        <v>34</v>
      </c>
      <c r="H140" s="0" t="n">
        <v>3654128</v>
      </c>
      <c r="I140" s="0" t="s">
        <v>1135</v>
      </c>
      <c r="J140" s="0" t="n">
        <v>104537816</v>
      </c>
    </row>
    <row r="141" customFormat="false" ht="15" hidden="false" customHeight="false" outlineLevel="0" collapsed="false">
      <c r="B141" s="0" t="s">
        <v>2089</v>
      </c>
      <c r="C141" s="0" t="n">
        <v>226360040</v>
      </c>
      <c r="D141" s="0" t="s">
        <v>102</v>
      </c>
      <c r="E141" s="0" t="n">
        <v>21356941</v>
      </c>
      <c r="F141" s="0" t="n">
        <v>720193</v>
      </c>
      <c r="G141" s="0" t="s">
        <v>34</v>
      </c>
      <c r="H141" s="0" t="n">
        <v>3654128</v>
      </c>
      <c r="I141" s="0" t="s">
        <v>1150</v>
      </c>
      <c r="J141" s="0" t="n">
        <v>104537132</v>
      </c>
    </row>
    <row r="142" customFormat="false" ht="15" hidden="false" customHeight="false" outlineLevel="0" collapsed="false">
      <c r="B142" s="0" t="s">
        <v>2090</v>
      </c>
      <c r="C142" s="0" t="n">
        <v>226360019</v>
      </c>
      <c r="D142" s="0" t="s">
        <v>102</v>
      </c>
      <c r="E142" s="0" t="n">
        <v>21356941</v>
      </c>
      <c r="F142" s="0" t="n">
        <v>720193</v>
      </c>
      <c r="G142" s="0" t="s">
        <v>34</v>
      </c>
      <c r="H142" s="0" t="n">
        <v>3654128</v>
      </c>
      <c r="I142" s="0" t="s">
        <v>1105</v>
      </c>
      <c r="J142" s="0" t="n">
        <v>104537813</v>
      </c>
    </row>
    <row r="143" customFormat="false" ht="15" hidden="false" customHeight="false" outlineLevel="0" collapsed="false">
      <c r="B143" s="0" t="s">
        <v>2091</v>
      </c>
      <c r="C143" s="0" t="n">
        <v>226360031</v>
      </c>
      <c r="D143" s="0" t="s">
        <v>102</v>
      </c>
      <c r="E143" s="0" t="n">
        <v>21356941</v>
      </c>
      <c r="F143" s="0" t="n">
        <v>720193</v>
      </c>
      <c r="G143" s="0" t="s">
        <v>34</v>
      </c>
      <c r="H143" s="0" t="n">
        <v>3654128</v>
      </c>
      <c r="I143" s="0" t="s">
        <v>1120</v>
      </c>
      <c r="J143" s="0" t="n">
        <v>104537129</v>
      </c>
    </row>
    <row r="144" customFormat="false" ht="15" hidden="false" customHeight="false" outlineLevel="0" collapsed="false">
      <c r="B144" s="0" t="s">
        <v>2092</v>
      </c>
      <c r="C144" s="0" t="n">
        <v>226359887</v>
      </c>
      <c r="D144" s="0" t="s">
        <v>102</v>
      </c>
      <c r="E144" s="0" t="n">
        <v>21356941</v>
      </c>
      <c r="F144" s="0" t="n">
        <v>720193</v>
      </c>
      <c r="G144" s="0" t="s">
        <v>34</v>
      </c>
      <c r="H144" s="0" t="n">
        <v>3654128</v>
      </c>
      <c r="I144" s="0" t="s">
        <v>1120</v>
      </c>
      <c r="J144" s="0" t="n">
        <v>104537129</v>
      </c>
    </row>
    <row r="145" customFormat="false" ht="15" hidden="false" customHeight="false" outlineLevel="0" collapsed="false">
      <c r="B145" s="0" t="s">
        <v>2093</v>
      </c>
      <c r="C145" s="0" t="n">
        <v>226360013</v>
      </c>
      <c r="D145" s="0" t="s">
        <v>102</v>
      </c>
      <c r="E145" s="0" t="n">
        <v>21356941</v>
      </c>
      <c r="F145" s="0" t="n">
        <v>720193</v>
      </c>
      <c r="G145" s="0" t="s">
        <v>34</v>
      </c>
      <c r="H145" s="0" t="n">
        <v>3654128</v>
      </c>
      <c r="I145" s="0" t="s">
        <v>1135</v>
      </c>
      <c r="J145" s="0" t="n">
        <v>104537816</v>
      </c>
    </row>
    <row r="146" customFormat="false" ht="15" hidden="false" customHeight="false" outlineLevel="0" collapsed="false">
      <c r="B146" s="0" t="s">
        <v>2094</v>
      </c>
      <c r="C146" s="0" t="n">
        <v>226360025</v>
      </c>
      <c r="D146" s="0" t="s">
        <v>102</v>
      </c>
      <c r="E146" s="0" t="n">
        <v>21356941</v>
      </c>
      <c r="F146" s="0" t="n">
        <v>720193</v>
      </c>
      <c r="G146" s="0" t="s">
        <v>34</v>
      </c>
      <c r="H146" s="0" t="n">
        <v>3654128</v>
      </c>
      <c r="I146" s="0" t="s">
        <v>1150</v>
      </c>
      <c r="J146" s="0" t="n">
        <v>104537132</v>
      </c>
    </row>
    <row r="147" customFormat="false" ht="15" hidden="false" customHeight="false" outlineLevel="0" collapsed="false">
      <c r="B147" s="0" t="s">
        <v>2095</v>
      </c>
      <c r="C147" s="0" t="n">
        <v>226359947</v>
      </c>
      <c r="D147" s="0" t="s">
        <v>102</v>
      </c>
      <c r="E147" s="0" t="n">
        <v>21356941</v>
      </c>
      <c r="F147" s="0" t="n">
        <v>720193</v>
      </c>
      <c r="G147" s="0" t="s">
        <v>34</v>
      </c>
      <c r="H147" s="0" t="n">
        <v>3654128</v>
      </c>
      <c r="I147" s="0" t="s">
        <v>1105</v>
      </c>
      <c r="J147" s="0" t="n">
        <v>104537813</v>
      </c>
    </row>
    <row r="148" customFormat="false" ht="15" hidden="false" customHeight="false" outlineLevel="0" collapsed="false">
      <c r="B148" s="0" t="s">
        <v>2096</v>
      </c>
      <c r="C148" s="0" t="n">
        <v>226359944</v>
      </c>
      <c r="D148" s="0" t="s">
        <v>102</v>
      </c>
      <c r="E148" s="0" t="n">
        <v>21356941</v>
      </c>
      <c r="F148" s="0" t="n">
        <v>720193</v>
      </c>
      <c r="G148" s="0" t="s">
        <v>34</v>
      </c>
      <c r="H148" s="0" t="n">
        <v>3654128</v>
      </c>
      <c r="I148" s="0" t="s">
        <v>1135</v>
      </c>
      <c r="J148" s="0" t="n">
        <v>104537816</v>
      </c>
    </row>
    <row r="149" customFormat="false" ht="15" hidden="false" customHeight="false" outlineLevel="0" collapsed="false">
      <c r="B149" s="0" t="s">
        <v>2097</v>
      </c>
      <c r="C149" s="0" t="n">
        <v>226359950</v>
      </c>
      <c r="D149" s="0" t="s">
        <v>102</v>
      </c>
      <c r="E149" s="0" t="n">
        <v>21356941</v>
      </c>
      <c r="F149" s="0" t="n">
        <v>720193</v>
      </c>
      <c r="G149" s="0" t="s">
        <v>34</v>
      </c>
      <c r="H149" s="0" t="n">
        <v>3654128</v>
      </c>
      <c r="I149" s="0" t="s">
        <v>1150</v>
      </c>
      <c r="J149" s="0" t="n">
        <v>104537132</v>
      </c>
    </row>
    <row r="150" customFormat="false" ht="15" hidden="false" customHeight="false" outlineLevel="0" collapsed="false">
      <c r="B150" s="0" t="s">
        <v>2098</v>
      </c>
      <c r="C150" s="0" t="n">
        <v>226360037</v>
      </c>
      <c r="D150" s="0" t="s">
        <v>102</v>
      </c>
      <c r="E150" s="0" t="n">
        <v>21356941</v>
      </c>
      <c r="F150" s="0" t="n">
        <v>720193</v>
      </c>
      <c r="G150" s="0" t="s">
        <v>34</v>
      </c>
      <c r="H150" s="0" t="n">
        <v>3654128</v>
      </c>
      <c r="I150" s="0" t="s">
        <v>740</v>
      </c>
      <c r="J150" s="0" t="n">
        <v>103259775</v>
      </c>
    </row>
    <row r="151" customFormat="false" ht="15" hidden="false" customHeight="false" outlineLevel="0" collapsed="false">
      <c r="B151" s="0" t="s">
        <v>2099</v>
      </c>
      <c r="C151" s="0" t="n">
        <v>226496107</v>
      </c>
      <c r="D151" s="0" t="s">
        <v>102</v>
      </c>
      <c r="E151" s="0" t="n">
        <v>21356941</v>
      </c>
      <c r="F151" s="0" t="n">
        <v>720193</v>
      </c>
      <c r="G151" s="0" t="s">
        <v>34</v>
      </c>
      <c r="H151" s="0" t="n">
        <v>3654128</v>
      </c>
      <c r="I151" s="0" t="s">
        <v>755</v>
      </c>
      <c r="J151" s="0" t="n">
        <v>103259520</v>
      </c>
    </row>
    <row r="152" customFormat="false" ht="15" hidden="false" customHeight="false" outlineLevel="0" collapsed="false">
      <c r="B152" s="0" t="s">
        <v>2100</v>
      </c>
      <c r="C152" s="0" t="n">
        <v>226496104</v>
      </c>
      <c r="D152" s="0" t="s">
        <v>102</v>
      </c>
      <c r="E152" s="0" t="n">
        <v>21356941</v>
      </c>
      <c r="F152" s="0" t="n">
        <v>720193</v>
      </c>
      <c r="G152" s="0" t="s">
        <v>34</v>
      </c>
      <c r="H152" s="0" t="n">
        <v>3654128</v>
      </c>
      <c r="I152" s="0" t="s">
        <v>770</v>
      </c>
      <c r="J152" s="0" t="n">
        <v>103259769</v>
      </c>
    </row>
    <row r="153" customFormat="false" ht="15" hidden="false" customHeight="false" outlineLevel="0" collapsed="false">
      <c r="B153" s="0" t="s">
        <v>2101</v>
      </c>
      <c r="C153" s="0" t="n">
        <v>226496101</v>
      </c>
      <c r="D153" s="0" t="s">
        <v>102</v>
      </c>
      <c r="E153" s="0" t="n">
        <v>21356941</v>
      </c>
      <c r="F153" s="0" t="n">
        <v>720193</v>
      </c>
      <c r="G153" s="0" t="s">
        <v>34</v>
      </c>
      <c r="H153" s="0" t="n">
        <v>3654128</v>
      </c>
      <c r="I153" s="0" t="s">
        <v>785</v>
      </c>
      <c r="J153" s="0" t="n">
        <v>103257810</v>
      </c>
    </row>
    <row r="154" customFormat="false" ht="15" hidden="false" customHeight="false" outlineLevel="0" collapsed="false">
      <c r="B154" s="0" t="s">
        <v>2102</v>
      </c>
      <c r="C154" s="0" t="n">
        <v>226359956</v>
      </c>
      <c r="D154" s="0" t="s">
        <v>102</v>
      </c>
      <c r="E154" s="0" t="n">
        <v>21356941</v>
      </c>
      <c r="F154" s="0" t="n">
        <v>720193</v>
      </c>
      <c r="G154" s="0" t="s">
        <v>34</v>
      </c>
      <c r="H154" s="0" t="n">
        <v>3654128</v>
      </c>
      <c r="I154" s="0" t="s">
        <v>740</v>
      </c>
      <c r="J154" s="0" t="n">
        <v>103259775</v>
      </c>
    </row>
    <row r="155" customFormat="false" ht="15" hidden="false" customHeight="false" outlineLevel="0" collapsed="false">
      <c r="B155" s="0" t="s">
        <v>2103</v>
      </c>
      <c r="C155" s="0" t="n">
        <v>226359971</v>
      </c>
      <c r="D155" s="0" t="s">
        <v>102</v>
      </c>
      <c r="E155" s="0" t="n">
        <v>21356941</v>
      </c>
      <c r="F155" s="0" t="n">
        <v>720193</v>
      </c>
      <c r="G155" s="0" t="s">
        <v>34</v>
      </c>
      <c r="H155" s="0" t="n">
        <v>3654128</v>
      </c>
      <c r="I155" s="0" t="s">
        <v>755</v>
      </c>
      <c r="J155" s="0" t="n">
        <v>103259520</v>
      </c>
    </row>
    <row r="156" customFormat="false" ht="15" hidden="false" customHeight="false" outlineLevel="0" collapsed="false">
      <c r="B156" s="0" t="s">
        <v>2104</v>
      </c>
      <c r="C156" s="0" t="n">
        <v>226359968</v>
      </c>
      <c r="D156" s="0" t="s">
        <v>102</v>
      </c>
      <c r="E156" s="0" t="n">
        <v>21356941</v>
      </c>
      <c r="F156" s="0" t="n">
        <v>720193</v>
      </c>
      <c r="G156" s="0" t="s">
        <v>34</v>
      </c>
      <c r="H156" s="0" t="n">
        <v>3654128</v>
      </c>
      <c r="I156" s="0" t="s">
        <v>770</v>
      </c>
      <c r="J156" s="0" t="n">
        <v>103259769</v>
      </c>
    </row>
    <row r="157" customFormat="false" ht="15" hidden="false" customHeight="false" outlineLevel="0" collapsed="false">
      <c r="B157" s="0" t="s">
        <v>2105</v>
      </c>
      <c r="C157" s="0" t="n">
        <v>226359965</v>
      </c>
      <c r="D157" s="0" t="s">
        <v>102</v>
      </c>
      <c r="E157" s="0" t="n">
        <v>21356941</v>
      </c>
      <c r="F157" s="0" t="n">
        <v>720193</v>
      </c>
      <c r="G157" s="0" t="s">
        <v>34</v>
      </c>
      <c r="H157" s="0" t="n">
        <v>3654128</v>
      </c>
      <c r="I157" s="0" t="s">
        <v>785</v>
      </c>
      <c r="J157" s="0" t="n">
        <v>103257810</v>
      </c>
    </row>
    <row r="158" customFormat="false" ht="15" hidden="false" customHeight="false" outlineLevel="0" collapsed="false">
      <c r="B158" s="0" t="s">
        <v>2106</v>
      </c>
      <c r="C158" s="0" t="n">
        <v>226359962</v>
      </c>
      <c r="D158" s="0" t="s">
        <v>102</v>
      </c>
      <c r="E158" s="0" t="n">
        <v>21356941</v>
      </c>
      <c r="F158" s="0" t="n">
        <v>720193</v>
      </c>
      <c r="G158" s="0" t="s">
        <v>34</v>
      </c>
      <c r="H158" s="0" t="n">
        <v>3654128</v>
      </c>
      <c r="I158" s="0" t="s">
        <v>800</v>
      </c>
      <c r="J158" s="0" t="n">
        <v>103259010</v>
      </c>
    </row>
    <row r="159" customFormat="false" ht="15" hidden="false" customHeight="false" outlineLevel="0" collapsed="false">
      <c r="B159" s="0" t="s">
        <v>2107</v>
      </c>
      <c r="C159" s="0" t="n">
        <v>226359959</v>
      </c>
      <c r="D159" s="0" t="s">
        <v>102</v>
      </c>
      <c r="E159" s="0" t="n">
        <v>21356941</v>
      </c>
      <c r="F159" s="0" t="n">
        <v>720193</v>
      </c>
      <c r="G159" s="0" t="s">
        <v>34</v>
      </c>
      <c r="H159" s="0" t="n">
        <v>3654128</v>
      </c>
      <c r="I159" s="0" t="s">
        <v>815</v>
      </c>
      <c r="J159" s="0" t="n">
        <v>103376990</v>
      </c>
    </row>
    <row r="160" customFormat="false" ht="15" hidden="false" customHeight="false" outlineLevel="0" collapsed="false">
      <c r="B160" s="0" t="s">
        <v>2108</v>
      </c>
      <c r="C160" s="0" t="n">
        <v>226360016</v>
      </c>
      <c r="D160" s="0" t="s">
        <v>102</v>
      </c>
      <c r="E160" s="0" t="n">
        <v>21356941</v>
      </c>
      <c r="F160" s="0" t="n">
        <v>720193</v>
      </c>
      <c r="G160" s="0" t="s">
        <v>34</v>
      </c>
      <c r="H160" s="0" t="n">
        <v>3654128</v>
      </c>
      <c r="I160" s="0" t="s">
        <v>1319</v>
      </c>
      <c r="J160" s="0" t="n">
        <v>104456278</v>
      </c>
    </row>
    <row r="161" customFormat="false" ht="15" hidden="false" customHeight="false" outlineLevel="0" collapsed="false">
      <c r="B161" s="0" t="s">
        <v>2109</v>
      </c>
      <c r="C161" s="0" t="n">
        <v>226360022</v>
      </c>
      <c r="D161" s="0" t="s">
        <v>102</v>
      </c>
      <c r="E161" s="0" t="n">
        <v>21356941</v>
      </c>
      <c r="F161" s="0" t="n">
        <v>720193</v>
      </c>
      <c r="G161" s="0" t="s">
        <v>34</v>
      </c>
      <c r="H161" s="0" t="n">
        <v>3654128</v>
      </c>
      <c r="I161" s="0" t="s">
        <v>1349</v>
      </c>
      <c r="J161" s="0" t="n">
        <v>104455906</v>
      </c>
    </row>
    <row r="162" customFormat="false" ht="15" hidden="false" customHeight="false" outlineLevel="0" collapsed="false">
      <c r="B162" s="0" t="s">
        <v>2110</v>
      </c>
      <c r="C162" s="0" t="n">
        <v>226360001</v>
      </c>
      <c r="D162" s="0" t="s">
        <v>102</v>
      </c>
      <c r="E162" s="0" t="n">
        <v>21356941</v>
      </c>
      <c r="F162" s="0" t="n">
        <v>720193</v>
      </c>
      <c r="G162" s="0" t="s">
        <v>34</v>
      </c>
      <c r="H162" s="0" t="n">
        <v>3654128</v>
      </c>
      <c r="I162" s="0" t="s">
        <v>1319</v>
      </c>
      <c r="J162" s="0" t="n">
        <v>104456278</v>
      </c>
    </row>
    <row r="163" customFormat="false" ht="15" hidden="false" customHeight="false" outlineLevel="0" collapsed="false">
      <c r="B163" s="0" t="s">
        <v>2111</v>
      </c>
      <c r="C163" s="0" t="n">
        <v>226496140</v>
      </c>
      <c r="D163" s="0" t="s">
        <v>102</v>
      </c>
      <c r="E163" s="0" t="n">
        <v>21356941</v>
      </c>
      <c r="F163" s="0" t="n">
        <v>720193</v>
      </c>
      <c r="G163" s="0" t="s">
        <v>34</v>
      </c>
      <c r="H163" s="0" t="n">
        <v>3654128</v>
      </c>
      <c r="I163" s="0" t="s">
        <v>1319</v>
      </c>
      <c r="J163" s="0" t="n">
        <v>104456278</v>
      </c>
    </row>
    <row r="164" customFormat="false" ht="15" hidden="false" customHeight="false" outlineLevel="0" collapsed="false">
      <c r="B164" s="0" t="s">
        <v>2112</v>
      </c>
      <c r="C164" s="0" t="n">
        <v>226359995</v>
      </c>
      <c r="D164" s="0" t="s">
        <v>102</v>
      </c>
      <c r="E164" s="0" t="n">
        <v>21356941</v>
      </c>
      <c r="F164" s="0" t="n">
        <v>720193</v>
      </c>
      <c r="G164" s="0" t="s">
        <v>34</v>
      </c>
      <c r="H164" s="0" t="n">
        <v>3654128</v>
      </c>
      <c r="I164" s="0" t="s">
        <v>1334</v>
      </c>
      <c r="J164" s="0" t="n">
        <v>104458003</v>
      </c>
    </row>
    <row r="165" customFormat="false" ht="15" hidden="false" customHeight="false" outlineLevel="0" collapsed="false">
      <c r="B165" s="0" t="s">
        <v>2113</v>
      </c>
      <c r="C165" s="0" t="n">
        <v>226360007</v>
      </c>
      <c r="D165" s="0" t="s">
        <v>102</v>
      </c>
      <c r="E165" s="0" t="n">
        <v>21356941</v>
      </c>
      <c r="F165" s="0" t="n">
        <v>720193</v>
      </c>
      <c r="G165" s="0" t="s">
        <v>34</v>
      </c>
      <c r="H165" s="0" t="n">
        <v>3654128</v>
      </c>
      <c r="I165" s="0" t="s">
        <v>1349</v>
      </c>
      <c r="J165" s="0" t="n">
        <v>104455906</v>
      </c>
    </row>
    <row r="166" customFormat="false" ht="15" hidden="false" customHeight="false" outlineLevel="0" collapsed="false">
      <c r="B166" s="0" t="s">
        <v>2114</v>
      </c>
      <c r="C166" s="0" t="n">
        <v>226496143</v>
      </c>
      <c r="D166" s="0" t="s">
        <v>102</v>
      </c>
      <c r="E166" s="0" t="n">
        <v>21356941</v>
      </c>
      <c r="F166" s="0" t="n">
        <v>720193</v>
      </c>
      <c r="G166" s="0" t="s">
        <v>34</v>
      </c>
      <c r="H166" s="0" t="n">
        <v>3654128</v>
      </c>
      <c r="I166" s="0" t="s">
        <v>1349</v>
      </c>
      <c r="J166" s="0" t="n">
        <v>104455906</v>
      </c>
    </row>
    <row r="167" customFormat="false" ht="15" hidden="false" customHeight="false" outlineLevel="0" collapsed="false">
      <c r="B167" s="0" t="s">
        <v>2115</v>
      </c>
      <c r="C167" s="0" t="n">
        <v>226359935</v>
      </c>
      <c r="D167" s="0" t="s">
        <v>102</v>
      </c>
      <c r="E167" s="0" t="n">
        <v>21356941</v>
      </c>
      <c r="F167" s="0" t="n">
        <v>720193</v>
      </c>
      <c r="G167" s="0" t="s">
        <v>34</v>
      </c>
      <c r="H167" s="0" t="n">
        <v>3654128</v>
      </c>
      <c r="I167" s="0" t="s">
        <v>1334</v>
      </c>
      <c r="J167" s="0" t="n">
        <v>104458003</v>
      </c>
    </row>
    <row r="168" customFormat="false" ht="15" hidden="false" customHeight="false" outlineLevel="0" collapsed="false">
      <c r="B168" s="0" t="s">
        <v>2116</v>
      </c>
      <c r="C168" s="0" t="n">
        <v>226359941</v>
      </c>
      <c r="D168" s="0" t="s">
        <v>102</v>
      </c>
      <c r="E168" s="0" t="n">
        <v>21356941</v>
      </c>
      <c r="F168" s="0" t="n">
        <v>720193</v>
      </c>
      <c r="G168" s="0" t="s">
        <v>34</v>
      </c>
      <c r="H168" s="0" t="n">
        <v>3654128</v>
      </c>
      <c r="I168" s="0" t="s">
        <v>1349</v>
      </c>
      <c r="J168" s="0" t="n">
        <v>104455906</v>
      </c>
    </row>
    <row r="169" customFormat="false" ht="15" hidden="false" customHeight="false" outlineLevel="0" collapsed="false">
      <c r="B169" s="0" t="s">
        <v>2117</v>
      </c>
      <c r="C169" s="0" t="n">
        <v>226794002</v>
      </c>
      <c r="D169" s="0" t="s">
        <v>42</v>
      </c>
      <c r="E169" s="0" t="n">
        <v>21337013</v>
      </c>
      <c r="F169" s="0" t="n">
        <v>720196</v>
      </c>
      <c r="G169" s="0" t="s">
        <v>34</v>
      </c>
      <c r="H169" s="0" t="n">
        <v>3654128</v>
      </c>
      <c r="I169" s="0" t="s">
        <v>223</v>
      </c>
      <c r="J169" s="0" t="n">
        <v>103230847</v>
      </c>
    </row>
    <row r="170" customFormat="false" ht="15" hidden="false" customHeight="false" outlineLevel="0" collapsed="false">
      <c r="B170" s="0" t="s">
        <v>2117</v>
      </c>
      <c r="C170" s="0" t="n">
        <v>226794002</v>
      </c>
      <c r="D170" s="0" t="s">
        <v>42</v>
      </c>
      <c r="E170" s="0" t="n">
        <v>21337013</v>
      </c>
      <c r="F170" s="0" t="n">
        <v>720196</v>
      </c>
      <c r="G170" s="0" t="s">
        <v>34</v>
      </c>
      <c r="H170" s="0" t="n">
        <v>3654128</v>
      </c>
      <c r="I170" s="0" t="s">
        <v>262</v>
      </c>
      <c r="J170" s="0" t="n">
        <v>103235146</v>
      </c>
    </row>
    <row r="171" customFormat="false" ht="15" hidden="false" customHeight="false" outlineLevel="0" collapsed="false">
      <c r="B171" s="0" t="s">
        <v>2118</v>
      </c>
      <c r="C171" s="0" t="n">
        <v>226887154</v>
      </c>
      <c r="D171" s="0" t="s">
        <v>42</v>
      </c>
      <c r="E171" s="0" t="n">
        <v>21337013</v>
      </c>
      <c r="F171" s="0" t="n">
        <v>720196</v>
      </c>
      <c r="G171" s="0" t="s">
        <v>34</v>
      </c>
      <c r="H171" s="0" t="n">
        <v>3654128</v>
      </c>
      <c r="I171" s="0" t="s">
        <v>223</v>
      </c>
      <c r="J171" s="0" t="n">
        <v>103230847</v>
      </c>
    </row>
    <row r="172" customFormat="false" ht="15" hidden="false" customHeight="false" outlineLevel="0" collapsed="false">
      <c r="B172" s="0" t="s">
        <v>2118</v>
      </c>
      <c r="C172" s="0" t="n">
        <v>226887154</v>
      </c>
      <c r="D172" s="0" t="s">
        <v>42</v>
      </c>
      <c r="E172" s="0" t="n">
        <v>21337013</v>
      </c>
      <c r="F172" s="0" t="n">
        <v>720196</v>
      </c>
      <c r="G172" s="0" t="s">
        <v>34</v>
      </c>
      <c r="H172" s="0" t="n">
        <v>3654128</v>
      </c>
      <c r="I172" s="0" t="s">
        <v>262</v>
      </c>
      <c r="J172" s="0" t="n">
        <v>103235146</v>
      </c>
    </row>
    <row r="173" customFormat="false" ht="15" hidden="false" customHeight="false" outlineLevel="0" collapsed="false">
      <c r="B173" s="0" t="s">
        <v>2119</v>
      </c>
      <c r="C173" s="0" t="n">
        <v>226889134</v>
      </c>
      <c r="D173" s="0" t="s">
        <v>42</v>
      </c>
      <c r="E173" s="0" t="n">
        <v>21337013</v>
      </c>
      <c r="F173" s="0" t="n">
        <v>720196</v>
      </c>
      <c r="G173" s="0" t="s">
        <v>34</v>
      </c>
      <c r="H173" s="0" t="n">
        <v>3654128</v>
      </c>
      <c r="I173" s="0" t="s">
        <v>223</v>
      </c>
      <c r="J173" s="0" t="n">
        <v>103230847</v>
      </c>
    </row>
    <row r="174" customFormat="false" ht="15" hidden="false" customHeight="false" outlineLevel="0" collapsed="false">
      <c r="B174" s="0" t="s">
        <v>2119</v>
      </c>
      <c r="C174" s="0" t="n">
        <v>226889134</v>
      </c>
      <c r="D174" s="0" t="s">
        <v>42</v>
      </c>
      <c r="E174" s="0" t="n">
        <v>21337013</v>
      </c>
      <c r="F174" s="0" t="n">
        <v>720196</v>
      </c>
      <c r="G174" s="0" t="s">
        <v>34</v>
      </c>
      <c r="H174" s="0" t="n">
        <v>3654128</v>
      </c>
      <c r="I174" s="0" t="s">
        <v>262</v>
      </c>
      <c r="J174" s="0" t="n">
        <v>103235146</v>
      </c>
    </row>
    <row r="175" customFormat="false" ht="15" hidden="false" customHeight="false" outlineLevel="0" collapsed="false">
      <c r="B175" s="0" t="s">
        <v>2120</v>
      </c>
      <c r="C175" s="0" t="n">
        <v>226889164</v>
      </c>
      <c r="D175" s="0" t="s">
        <v>42</v>
      </c>
      <c r="E175" s="0" t="n">
        <v>21337013</v>
      </c>
      <c r="F175" s="0" t="n">
        <v>720196</v>
      </c>
      <c r="G175" s="0" t="s">
        <v>34</v>
      </c>
      <c r="H175" s="0" t="n">
        <v>3654128</v>
      </c>
      <c r="I175" s="0" t="s">
        <v>223</v>
      </c>
      <c r="J175" s="0" t="n">
        <v>103230847</v>
      </c>
    </row>
    <row r="176" customFormat="false" ht="15" hidden="false" customHeight="false" outlineLevel="0" collapsed="false">
      <c r="B176" s="0" t="s">
        <v>2120</v>
      </c>
      <c r="C176" s="0" t="n">
        <v>226889164</v>
      </c>
      <c r="D176" s="0" t="s">
        <v>42</v>
      </c>
      <c r="E176" s="0" t="n">
        <v>21337013</v>
      </c>
      <c r="F176" s="0" t="n">
        <v>720196</v>
      </c>
      <c r="G176" s="0" t="s">
        <v>34</v>
      </c>
      <c r="H176" s="0" t="n">
        <v>3654128</v>
      </c>
      <c r="I176" s="0" t="s">
        <v>262</v>
      </c>
      <c r="J176" s="0" t="n">
        <v>103235146</v>
      </c>
    </row>
    <row r="177" customFormat="false" ht="15" hidden="false" customHeight="false" outlineLevel="0" collapsed="false">
      <c r="B177" s="0" t="s">
        <v>2121</v>
      </c>
      <c r="C177" s="0" t="n">
        <v>226889149</v>
      </c>
      <c r="D177" s="0" t="s">
        <v>42</v>
      </c>
      <c r="E177" s="0" t="n">
        <v>21337013</v>
      </c>
      <c r="F177" s="0" t="n">
        <v>720196</v>
      </c>
      <c r="G177" s="0" t="s">
        <v>34</v>
      </c>
      <c r="H177" s="0" t="n">
        <v>3654128</v>
      </c>
      <c r="I177" s="0" t="s">
        <v>223</v>
      </c>
      <c r="J177" s="0" t="n">
        <v>103230847</v>
      </c>
    </row>
    <row r="178" customFormat="false" ht="15" hidden="false" customHeight="false" outlineLevel="0" collapsed="false">
      <c r="B178" s="0" t="s">
        <v>2121</v>
      </c>
      <c r="C178" s="0" t="n">
        <v>226889149</v>
      </c>
      <c r="D178" s="0" t="s">
        <v>42</v>
      </c>
      <c r="E178" s="0" t="n">
        <v>21337013</v>
      </c>
      <c r="F178" s="0" t="n">
        <v>720196</v>
      </c>
      <c r="G178" s="0" t="s">
        <v>34</v>
      </c>
      <c r="H178" s="0" t="n">
        <v>3654128</v>
      </c>
      <c r="I178" s="0" t="s">
        <v>262</v>
      </c>
      <c r="J178" s="0" t="n">
        <v>103235146</v>
      </c>
    </row>
    <row r="179" customFormat="false" ht="15" hidden="false" customHeight="false" outlineLevel="0" collapsed="false">
      <c r="B179" s="0" t="s">
        <v>2122</v>
      </c>
      <c r="C179" s="0" t="n">
        <v>227035854</v>
      </c>
      <c r="D179" s="0" t="s">
        <v>42</v>
      </c>
      <c r="E179" s="0" t="n">
        <v>21337013</v>
      </c>
      <c r="F179" s="0" t="n">
        <v>720196</v>
      </c>
      <c r="G179" s="0" t="s">
        <v>34</v>
      </c>
      <c r="H179" s="0" t="n">
        <v>3654128</v>
      </c>
      <c r="I179" s="0" t="s">
        <v>223</v>
      </c>
      <c r="J179" s="0" t="n">
        <v>103230847</v>
      </c>
    </row>
    <row r="180" customFormat="false" ht="15" hidden="false" customHeight="false" outlineLevel="0" collapsed="false">
      <c r="B180" s="0" t="s">
        <v>2122</v>
      </c>
      <c r="C180" s="0" t="n">
        <v>227035854</v>
      </c>
      <c r="D180" s="0" t="s">
        <v>42</v>
      </c>
      <c r="E180" s="0" t="n">
        <v>21337013</v>
      </c>
      <c r="F180" s="0" t="n">
        <v>720196</v>
      </c>
      <c r="G180" s="0" t="s">
        <v>34</v>
      </c>
      <c r="H180" s="0" t="n">
        <v>3654128</v>
      </c>
      <c r="I180" s="0" t="s">
        <v>262</v>
      </c>
      <c r="J180" s="0" t="n">
        <v>103235146</v>
      </c>
    </row>
    <row r="181" customFormat="false" ht="15" hidden="false" customHeight="false" outlineLevel="0" collapsed="false">
      <c r="B181" s="0" t="s">
        <v>2123</v>
      </c>
      <c r="C181" s="0" t="n">
        <v>226794020</v>
      </c>
      <c r="D181" s="0" t="s">
        <v>42</v>
      </c>
      <c r="E181" s="0" t="n">
        <v>21337013</v>
      </c>
      <c r="F181" s="0" t="n">
        <v>720196</v>
      </c>
      <c r="G181" s="0" t="s">
        <v>34</v>
      </c>
      <c r="H181" s="0" t="n">
        <v>3654128</v>
      </c>
      <c r="I181" s="0" t="s">
        <v>223</v>
      </c>
      <c r="J181" s="0" t="n">
        <v>103230847</v>
      </c>
    </row>
    <row r="182" customFormat="false" ht="15" hidden="false" customHeight="false" outlineLevel="0" collapsed="false">
      <c r="B182" s="0" t="s">
        <v>2123</v>
      </c>
      <c r="C182" s="0" t="n">
        <v>226794020</v>
      </c>
      <c r="D182" s="0" t="s">
        <v>42</v>
      </c>
      <c r="E182" s="0" t="n">
        <v>21337013</v>
      </c>
      <c r="F182" s="0" t="n">
        <v>720196</v>
      </c>
      <c r="G182" s="0" t="s">
        <v>34</v>
      </c>
      <c r="H182" s="0" t="n">
        <v>3654128</v>
      </c>
      <c r="I182" s="0" t="s">
        <v>262</v>
      </c>
      <c r="J182" s="0" t="n">
        <v>103235146</v>
      </c>
    </row>
    <row r="183" customFormat="false" ht="15" hidden="false" customHeight="false" outlineLevel="0" collapsed="false">
      <c r="B183" s="0" t="s">
        <v>2124</v>
      </c>
      <c r="C183" s="0" t="n">
        <v>226496095</v>
      </c>
      <c r="D183" s="0" t="s">
        <v>102</v>
      </c>
      <c r="E183" s="0" t="n">
        <v>21356941</v>
      </c>
      <c r="F183" s="0" t="n">
        <v>720193</v>
      </c>
      <c r="G183" s="0" t="s">
        <v>34</v>
      </c>
      <c r="H183" s="0" t="n">
        <v>3654128</v>
      </c>
      <c r="I183" s="0" t="s">
        <v>815</v>
      </c>
      <c r="J183" s="0" t="n">
        <v>103376990</v>
      </c>
    </row>
    <row r="184" customFormat="false" ht="15" hidden="false" customHeight="false" outlineLevel="0" collapsed="false">
      <c r="B184" s="0" t="s">
        <v>2125</v>
      </c>
      <c r="C184" s="0" t="n">
        <v>227035821</v>
      </c>
      <c r="D184" s="0" t="s">
        <v>42</v>
      </c>
      <c r="E184" s="0" t="n">
        <v>21337013</v>
      </c>
      <c r="F184" s="0" t="n">
        <v>720196</v>
      </c>
      <c r="G184" s="0" t="s">
        <v>34</v>
      </c>
      <c r="H184" s="0" t="n">
        <v>3654128</v>
      </c>
      <c r="I184" s="0" t="s">
        <v>223</v>
      </c>
      <c r="J184" s="0" t="n">
        <v>103230847</v>
      </c>
    </row>
    <row r="185" customFormat="false" ht="15" hidden="false" customHeight="false" outlineLevel="0" collapsed="false">
      <c r="B185" s="0" t="s">
        <v>2125</v>
      </c>
      <c r="C185" s="0" t="n">
        <v>227035821</v>
      </c>
      <c r="D185" s="0" t="s">
        <v>42</v>
      </c>
      <c r="E185" s="0" t="n">
        <v>21337013</v>
      </c>
      <c r="F185" s="0" t="n">
        <v>720196</v>
      </c>
      <c r="G185" s="0" t="s">
        <v>34</v>
      </c>
      <c r="H185" s="0" t="n">
        <v>3654128</v>
      </c>
      <c r="I185" s="0" t="s">
        <v>262</v>
      </c>
      <c r="J185" s="0" t="n">
        <v>103235146</v>
      </c>
    </row>
    <row r="186" customFormat="false" ht="15" hidden="false" customHeight="false" outlineLevel="0" collapsed="false">
      <c r="B186" s="0" t="s">
        <v>59</v>
      </c>
      <c r="C186" s="0" t="n">
        <v>227035833</v>
      </c>
      <c r="D186" s="0" t="s">
        <v>42</v>
      </c>
      <c r="E186" s="0" t="n">
        <v>21337013</v>
      </c>
      <c r="F186" s="0" t="n">
        <v>720196</v>
      </c>
      <c r="G186" s="0" t="s">
        <v>34</v>
      </c>
      <c r="H186" s="0" t="n">
        <v>3654128</v>
      </c>
      <c r="I186" s="0" t="s">
        <v>223</v>
      </c>
      <c r="J186" s="0" t="n">
        <v>103230847</v>
      </c>
    </row>
    <row r="187" customFormat="false" ht="15" hidden="false" customHeight="false" outlineLevel="0" collapsed="false">
      <c r="B187" s="0" t="s">
        <v>2126</v>
      </c>
      <c r="C187" s="0" t="n">
        <v>226887139</v>
      </c>
      <c r="D187" s="0" t="s">
        <v>42</v>
      </c>
      <c r="E187" s="0" t="n">
        <v>21337013</v>
      </c>
      <c r="F187" s="0" t="n">
        <v>720196</v>
      </c>
      <c r="G187" s="0" t="s">
        <v>34</v>
      </c>
      <c r="H187" s="0" t="n">
        <v>3654128</v>
      </c>
      <c r="I187" s="0" t="s">
        <v>223</v>
      </c>
      <c r="J187" s="0" t="n">
        <v>103230847</v>
      </c>
    </row>
    <row r="188" customFormat="false" ht="15" hidden="false" customHeight="false" outlineLevel="0" collapsed="false">
      <c r="B188" s="0" t="s">
        <v>2126</v>
      </c>
      <c r="C188" s="0" t="n">
        <v>226887139</v>
      </c>
      <c r="D188" s="0" t="s">
        <v>42</v>
      </c>
      <c r="E188" s="0" t="n">
        <v>21337013</v>
      </c>
      <c r="F188" s="0" t="n">
        <v>720196</v>
      </c>
      <c r="G188" s="0" t="s">
        <v>34</v>
      </c>
      <c r="H188" s="0" t="n">
        <v>3654128</v>
      </c>
      <c r="I188" s="0" t="s">
        <v>262</v>
      </c>
      <c r="J188" s="0" t="n">
        <v>103235146</v>
      </c>
    </row>
    <row r="189" customFormat="false" ht="15" hidden="false" customHeight="false" outlineLevel="0" collapsed="false">
      <c r="B189" s="0" t="s">
        <v>2127</v>
      </c>
      <c r="C189" s="0" t="n">
        <v>226796675</v>
      </c>
      <c r="D189" s="0" t="s">
        <v>42</v>
      </c>
      <c r="E189" s="0" t="n">
        <v>21337013</v>
      </c>
      <c r="F189" s="0" t="n">
        <v>720196</v>
      </c>
      <c r="G189" s="0" t="s">
        <v>34</v>
      </c>
      <c r="H189" s="0" t="n">
        <v>3654128</v>
      </c>
      <c r="I189" s="0" t="s">
        <v>223</v>
      </c>
      <c r="J189" s="0" t="n">
        <v>103230847</v>
      </c>
    </row>
    <row r="190" customFormat="false" ht="15" hidden="false" customHeight="false" outlineLevel="0" collapsed="false">
      <c r="B190" s="0" t="s">
        <v>2127</v>
      </c>
      <c r="C190" s="0" t="n">
        <v>226796675</v>
      </c>
      <c r="D190" s="0" t="s">
        <v>42</v>
      </c>
      <c r="E190" s="0" t="n">
        <v>21337013</v>
      </c>
      <c r="F190" s="0" t="n">
        <v>720196</v>
      </c>
      <c r="G190" s="0" t="s">
        <v>34</v>
      </c>
      <c r="H190" s="0" t="n">
        <v>3654128</v>
      </c>
      <c r="I190" s="0" t="s">
        <v>262</v>
      </c>
      <c r="J190" s="0" t="n">
        <v>103235146</v>
      </c>
    </row>
    <row r="191" customFormat="false" ht="15" hidden="false" customHeight="false" outlineLevel="0" collapsed="false">
      <c r="B191" s="0" t="s">
        <v>166</v>
      </c>
      <c r="C191" s="0" t="n">
        <v>227208508</v>
      </c>
      <c r="D191" s="0" t="s">
        <v>159</v>
      </c>
      <c r="E191" s="0" t="n">
        <v>21276694</v>
      </c>
      <c r="F191" s="0" t="n">
        <v>720195</v>
      </c>
      <c r="G191" s="0" t="s">
        <v>34</v>
      </c>
      <c r="H191" s="0" t="n">
        <v>3654128</v>
      </c>
      <c r="I191" s="0" t="s">
        <v>1493</v>
      </c>
      <c r="J191" s="0" t="n">
        <v>102630373</v>
      </c>
    </row>
    <row r="192" customFormat="false" ht="15" hidden="false" customHeight="false" outlineLevel="0" collapsed="false">
      <c r="B192" s="0" t="s">
        <v>166</v>
      </c>
      <c r="C192" s="0" t="n">
        <v>227208508</v>
      </c>
      <c r="D192" s="0" t="s">
        <v>159</v>
      </c>
      <c r="E192" s="0" t="n">
        <v>21276694</v>
      </c>
      <c r="F192" s="0" t="n">
        <v>720195</v>
      </c>
      <c r="G192" s="0" t="s">
        <v>34</v>
      </c>
      <c r="H192" s="0" t="n">
        <v>3654128</v>
      </c>
      <c r="I192" s="0" t="s">
        <v>1490</v>
      </c>
      <c r="J192" s="0" t="n">
        <v>102609621</v>
      </c>
    </row>
    <row r="193" customFormat="false" ht="15" hidden="false" customHeight="false" outlineLevel="0" collapsed="false">
      <c r="B193" s="0" t="s">
        <v>2128</v>
      </c>
      <c r="C193" s="0" t="n">
        <v>227035845</v>
      </c>
      <c r="D193" s="0" t="s">
        <v>42</v>
      </c>
      <c r="E193" s="0" t="n">
        <v>21337013</v>
      </c>
      <c r="F193" s="0" t="n">
        <v>720196</v>
      </c>
      <c r="G193" s="0" t="s">
        <v>34</v>
      </c>
      <c r="H193" s="0" t="n">
        <v>3654128</v>
      </c>
      <c r="I193" s="0" t="s">
        <v>262</v>
      </c>
      <c r="J193" s="0" t="n">
        <v>103235146</v>
      </c>
    </row>
    <row r="194" customFormat="false" ht="15" hidden="false" customHeight="false" outlineLevel="0" collapsed="false">
      <c r="B194" s="0" t="s">
        <v>2129</v>
      </c>
      <c r="C194" s="0" t="n">
        <v>226887145</v>
      </c>
      <c r="D194" s="0" t="s">
        <v>42</v>
      </c>
      <c r="E194" s="0" t="n">
        <v>21337013</v>
      </c>
      <c r="F194" s="0" t="n">
        <v>720196</v>
      </c>
      <c r="G194" s="0" t="s">
        <v>34</v>
      </c>
      <c r="H194" s="0" t="n">
        <v>3654128</v>
      </c>
      <c r="I194" s="0" t="s">
        <v>262</v>
      </c>
      <c r="J194" s="0" t="n">
        <v>103235146</v>
      </c>
    </row>
    <row r="195" customFormat="false" ht="15" hidden="false" customHeight="false" outlineLevel="0" collapsed="false">
      <c r="B195" s="0" t="s">
        <v>2128</v>
      </c>
      <c r="C195" s="0" t="n">
        <v>227035845</v>
      </c>
      <c r="D195" s="0" t="s">
        <v>42</v>
      </c>
      <c r="E195" s="0" t="n">
        <v>21337013</v>
      </c>
      <c r="F195" s="0" t="n">
        <v>720196</v>
      </c>
      <c r="G195" s="0" t="s">
        <v>34</v>
      </c>
      <c r="H195" s="0" t="n">
        <v>3654128</v>
      </c>
      <c r="I195" s="0" t="s">
        <v>223</v>
      </c>
      <c r="J195" s="0" t="n">
        <v>103230847</v>
      </c>
    </row>
    <row r="196" customFormat="false" ht="15" hidden="false" customHeight="false" outlineLevel="0" collapsed="false">
      <c r="B196" s="0" t="s">
        <v>62</v>
      </c>
      <c r="C196" s="0" t="n">
        <v>226887148</v>
      </c>
      <c r="D196" s="0" t="s">
        <v>42</v>
      </c>
      <c r="E196" s="0" t="n">
        <v>21337013</v>
      </c>
      <c r="F196" s="0" t="n">
        <v>720196</v>
      </c>
      <c r="G196" s="0" t="s">
        <v>34</v>
      </c>
      <c r="H196" s="0" t="n">
        <v>3654128</v>
      </c>
      <c r="I196" s="0" t="s">
        <v>262</v>
      </c>
      <c r="J196" s="0" t="n">
        <v>103235146</v>
      </c>
    </row>
    <row r="197" customFormat="false" ht="15" hidden="false" customHeight="false" outlineLevel="0" collapsed="false">
      <c r="B197" s="0" t="s">
        <v>2130</v>
      </c>
      <c r="C197" s="0" t="n">
        <v>227792310</v>
      </c>
      <c r="D197" s="0" t="s">
        <v>2021</v>
      </c>
      <c r="E197" s="0" t="n">
        <v>21337220</v>
      </c>
      <c r="F197" s="0" t="n">
        <v>720192</v>
      </c>
      <c r="G197" s="0" t="s">
        <v>34</v>
      </c>
      <c r="H197" s="0" t="n">
        <v>3654128</v>
      </c>
      <c r="I197" s="0" t="s">
        <v>2131</v>
      </c>
      <c r="J197" s="0" t="n">
        <v>105130122</v>
      </c>
    </row>
    <row r="198" customFormat="false" ht="15" hidden="false" customHeight="false" outlineLevel="0" collapsed="false">
      <c r="B198" s="0" t="s">
        <v>2132</v>
      </c>
      <c r="C198" s="0" t="n">
        <v>227522759</v>
      </c>
      <c r="D198" s="0" t="s">
        <v>2021</v>
      </c>
      <c r="E198" s="0" t="n">
        <v>21337220</v>
      </c>
      <c r="F198" s="0" t="n">
        <v>720192</v>
      </c>
      <c r="G198" s="0" t="s">
        <v>34</v>
      </c>
      <c r="H198" s="0" t="n">
        <v>3654128</v>
      </c>
      <c r="I198" s="0" t="s">
        <v>2131</v>
      </c>
      <c r="J198" s="0" t="n">
        <v>105130122</v>
      </c>
    </row>
    <row r="199" customFormat="false" ht="15" hidden="false" customHeight="false" outlineLevel="0" collapsed="false">
      <c r="B199" s="0" t="s">
        <v>2133</v>
      </c>
      <c r="C199" s="0" t="n">
        <v>227619001</v>
      </c>
      <c r="D199" s="0" t="s">
        <v>2021</v>
      </c>
      <c r="E199" s="0" t="n">
        <v>21337220</v>
      </c>
      <c r="F199" s="0" t="n">
        <v>720192</v>
      </c>
      <c r="G199" s="0" t="s">
        <v>34</v>
      </c>
      <c r="H199" s="0" t="n">
        <v>3654128</v>
      </c>
      <c r="I199" s="0" t="s">
        <v>381</v>
      </c>
      <c r="J199" s="0" t="n">
        <v>105130125</v>
      </c>
    </row>
    <row r="200" customFormat="false" ht="15" hidden="false" customHeight="false" outlineLevel="0" collapsed="false">
      <c r="B200" s="0" t="s">
        <v>85</v>
      </c>
      <c r="C200" s="0" t="n">
        <v>227525720</v>
      </c>
      <c r="D200" s="0" t="s">
        <v>2021</v>
      </c>
      <c r="E200" s="0" t="n">
        <v>21337220</v>
      </c>
      <c r="F200" s="0" t="n">
        <v>720192</v>
      </c>
      <c r="G200" s="0" t="s">
        <v>34</v>
      </c>
      <c r="H200" s="0" t="n">
        <v>3654128</v>
      </c>
      <c r="I200" s="0" t="s">
        <v>381</v>
      </c>
      <c r="J200" s="0" t="n">
        <v>105130125</v>
      </c>
    </row>
    <row r="201" customFormat="false" ht="15" hidden="false" customHeight="false" outlineLevel="0" collapsed="false">
      <c r="B201" s="0" t="s">
        <v>86</v>
      </c>
      <c r="C201" s="0" t="n">
        <v>227522762</v>
      </c>
      <c r="D201" s="0" t="s">
        <v>2021</v>
      </c>
      <c r="E201" s="0" t="n">
        <v>21337220</v>
      </c>
      <c r="F201" s="0" t="n">
        <v>720192</v>
      </c>
      <c r="G201" s="0" t="s">
        <v>34</v>
      </c>
      <c r="H201" s="0" t="n">
        <v>3654128</v>
      </c>
      <c r="I201" s="0" t="s">
        <v>384</v>
      </c>
      <c r="J201" s="0" t="n">
        <v>105216992</v>
      </c>
    </row>
    <row r="202" customFormat="false" ht="15" hidden="false" customHeight="false" outlineLevel="0" collapsed="false">
      <c r="B202" s="0" t="s">
        <v>61</v>
      </c>
      <c r="C202" s="0" t="n">
        <v>227036847</v>
      </c>
      <c r="D202" s="0" t="s">
        <v>42</v>
      </c>
      <c r="E202" s="0" t="n">
        <v>21337013</v>
      </c>
      <c r="F202" s="0" t="n">
        <v>720196</v>
      </c>
      <c r="G202" s="0" t="s">
        <v>34</v>
      </c>
      <c r="H202" s="0" t="n">
        <v>3654128</v>
      </c>
      <c r="I202" s="0" t="s">
        <v>223</v>
      </c>
      <c r="J202" s="0" t="n">
        <v>103230847</v>
      </c>
    </row>
    <row r="203" customFormat="false" ht="15" hidden="false" customHeight="false" outlineLevel="0" collapsed="false">
      <c r="B203" s="0" t="s">
        <v>61</v>
      </c>
      <c r="C203" s="0" t="n">
        <v>227036847</v>
      </c>
      <c r="D203" s="0" t="s">
        <v>42</v>
      </c>
      <c r="E203" s="0" t="n">
        <v>21337013</v>
      </c>
      <c r="F203" s="0" t="n">
        <v>720196</v>
      </c>
      <c r="G203" s="0" t="s">
        <v>34</v>
      </c>
      <c r="H203" s="0" t="n">
        <v>3654128</v>
      </c>
      <c r="I203" s="0" t="s">
        <v>262</v>
      </c>
      <c r="J203" s="0" t="n">
        <v>103235146</v>
      </c>
    </row>
    <row r="204" customFormat="false" ht="15" hidden="false" customHeight="false" outlineLevel="0" collapsed="false">
      <c r="B204" s="0" t="s">
        <v>2134</v>
      </c>
      <c r="C204" s="0" t="n">
        <v>227524331</v>
      </c>
      <c r="D204" s="0" t="s">
        <v>2021</v>
      </c>
      <c r="E204" s="0" t="n">
        <v>21337220</v>
      </c>
      <c r="F204" s="0" t="n">
        <v>720192</v>
      </c>
      <c r="G204" s="0" t="s">
        <v>34</v>
      </c>
      <c r="H204" s="0" t="n">
        <v>3654128</v>
      </c>
      <c r="I204" s="0" t="s">
        <v>330</v>
      </c>
      <c r="J204" s="0" t="n">
        <v>105127638</v>
      </c>
    </row>
    <row r="205" customFormat="false" ht="15" hidden="false" customHeight="false" outlineLevel="0" collapsed="false">
      <c r="B205" s="0" t="s">
        <v>67</v>
      </c>
      <c r="C205" s="0" t="n">
        <v>227618695</v>
      </c>
      <c r="D205" s="0" t="s">
        <v>2021</v>
      </c>
      <c r="E205" s="0" t="n">
        <v>21337220</v>
      </c>
      <c r="F205" s="0" t="n">
        <v>720192</v>
      </c>
      <c r="G205" s="0" t="s">
        <v>34</v>
      </c>
      <c r="H205" s="0" t="n">
        <v>3654128</v>
      </c>
      <c r="I205" s="0" t="s">
        <v>330</v>
      </c>
      <c r="J205" s="0" t="n">
        <v>105127638</v>
      </c>
    </row>
    <row r="206" customFormat="false" ht="15" hidden="false" customHeight="false" outlineLevel="0" collapsed="false">
      <c r="B206" s="0" t="s">
        <v>2135</v>
      </c>
      <c r="C206" s="0" t="n">
        <v>227524946</v>
      </c>
      <c r="D206" s="0" t="s">
        <v>2021</v>
      </c>
      <c r="E206" s="0" t="n">
        <v>21337220</v>
      </c>
      <c r="F206" s="0" t="n">
        <v>720192</v>
      </c>
      <c r="G206" s="0" t="s">
        <v>34</v>
      </c>
      <c r="H206" s="0" t="n">
        <v>3654128</v>
      </c>
      <c r="I206" s="0" t="s">
        <v>384</v>
      </c>
      <c r="J206" s="0" t="n">
        <v>105216992</v>
      </c>
    </row>
    <row r="207" customFormat="false" ht="15" hidden="false" customHeight="false" outlineLevel="0" collapsed="false">
      <c r="B207" s="0" t="s">
        <v>59</v>
      </c>
      <c r="C207" s="0" t="n">
        <v>227035833</v>
      </c>
      <c r="D207" s="0" t="s">
        <v>42</v>
      </c>
      <c r="E207" s="0" t="n">
        <v>21337013</v>
      </c>
      <c r="F207" s="0" t="n">
        <v>720196</v>
      </c>
      <c r="G207" s="0" t="s">
        <v>34</v>
      </c>
      <c r="H207" s="0" t="n">
        <v>3654128</v>
      </c>
      <c r="I207" s="0" t="s">
        <v>262</v>
      </c>
      <c r="J207" s="0" t="n">
        <v>103235146</v>
      </c>
    </row>
    <row r="208" customFormat="false" ht="15" hidden="false" customHeight="false" outlineLevel="0" collapsed="false">
      <c r="B208" s="0" t="s">
        <v>2136</v>
      </c>
      <c r="C208" s="0" t="n">
        <v>227792319</v>
      </c>
      <c r="D208" s="0" t="s">
        <v>2021</v>
      </c>
      <c r="E208" s="0" t="n">
        <v>21337220</v>
      </c>
      <c r="F208" s="0" t="n">
        <v>720192</v>
      </c>
      <c r="G208" s="0" t="s">
        <v>34</v>
      </c>
      <c r="H208" s="0" t="n">
        <v>3654128</v>
      </c>
      <c r="I208" s="0" t="s">
        <v>360</v>
      </c>
      <c r="J208" s="0" t="n">
        <v>105130128</v>
      </c>
    </row>
    <row r="209" customFormat="false" ht="15" hidden="false" customHeight="false" outlineLevel="0" collapsed="false">
      <c r="B209" s="0" t="s">
        <v>78</v>
      </c>
      <c r="C209" s="0" t="n">
        <v>227522771</v>
      </c>
      <c r="D209" s="0" t="s">
        <v>2021</v>
      </c>
      <c r="E209" s="0" t="n">
        <v>21337220</v>
      </c>
      <c r="F209" s="0" t="n">
        <v>720192</v>
      </c>
      <c r="G209" s="0" t="s">
        <v>34</v>
      </c>
      <c r="H209" s="0" t="n">
        <v>3654128</v>
      </c>
      <c r="I209" s="0" t="s">
        <v>360</v>
      </c>
      <c r="J209" s="0" t="n">
        <v>105130128</v>
      </c>
    </row>
    <row r="210" customFormat="false" ht="15" hidden="false" customHeight="false" outlineLevel="0" collapsed="false">
      <c r="B210" s="0" t="s">
        <v>62</v>
      </c>
      <c r="C210" s="0" t="n">
        <v>226887148</v>
      </c>
      <c r="D210" s="0" t="s">
        <v>42</v>
      </c>
      <c r="E210" s="0" t="n">
        <v>21337013</v>
      </c>
      <c r="F210" s="0" t="n">
        <v>720196</v>
      </c>
      <c r="G210" s="0" t="s">
        <v>34</v>
      </c>
      <c r="H210" s="0" t="n">
        <v>3654128</v>
      </c>
      <c r="I210" s="0" t="s">
        <v>223</v>
      </c>
      <c r="J210" s="0" t="n">
        <v>103230847</v>
      </c>
    </row>
    <row r="211" customFormat="false" ht="15" hidden="false" customHeight="false" outlineLevel="0" collapsed="false">
      <c r="B211" s="0" t="s">
        <v>2129</v>
      </c>
      <c r="C211" s="0" t="n">
        <v>226887145</v>
      </c>
      <c r="D211" s="0" t="s">
        <v>42</v>
      </c>
      <c r="E211" s="0" t="n">
        <v>21337013</v>
      </c>
      <c r="F211" s="0" t="n">
        <v>720196</v>
      </c>
      <c r="G211" s="0" t="s">
        <v>34</v>
      </c>
      <c r="H211" s="0" t="n">
        <v>3654128</v>
      </c>
      <c r="I211" s="0" t="s">
        <v>223</v>
      </c>
      <c r="J211" s="0" t="n">
        <v>103230847</v>
      </c>
    </row>
    <row r="212" customFormat="false" ht="15" hidden="false" customHeight="false" outlineLevel="0" collapsed="false">
      <c r="B212" s="0" t="s">
        <v>1968</v>
      </c>
      <c r="C212" s="0" t="n">
        <v>224639151</v>
      </c>
      <c r="D212" s="0" t="s">
        <v>1969</v>
      </c>
      <c r="E212" s="0" t="n">
        <v>21358568</v>
      </c>
      <c r="F212" s="0" t="n">
        <v>720191</v>
      </c>
      <c r="G212" s="0" t="s">
        <v>34</v>
      </c>
      <c r="H212" s="0" t="n">
        <v>3654128</v>
      </c>
      <c r="I212" s="0" t="s">
        <v>1970</v>
      </c>
      <c r="J212" s="0" t="n">
        <v>103316832</v>
      </c>
    </row>
    <row r="213" customFormat="false" ht="15" hidden="false" customHeight="false" outlineLevel="0" collapsed="false">
      <c r="B213" s="0" t="s">
        <v>77</v>
      </c>
      <c r="C213" s="0" t="n">
        <v>223691840</v>
      </c>
      <c r="D213" s="0" t="s">
        <v>2021</v>
      </c>
      <c r="E213" s="0" t="n">
        <v>21337220</v>
      </c>
      <c r="F213" s="0" t="n">
        <v>720192</v>
      </c>
      <c r="G213" s="0" t="s">
        <v>34</v>
      </c>
      <c r="H213" s="0" t="n">
        <v>3654128</v>
      </c>
      <c r="I213" s="0" t="s">
        <v>357</v>
      </c>
      <c r="J213" s="0" t="n">
        <v>102902950</v>
      </c>
    </row>
    <row r="214" customFormat="false" ht="15" hidden="false" customHeight="false" outlineLevel="0" collapsed="false">
      <c r="B214" s="0" t="s">
        <v>83</v>
      </c>
      <c r="C214" s="0" t="n">
        <v>223691837</v>
      </c>
      <c r="D214" s="0" t="s">
        <v>2021</v>
      </c>
      <c r="E214" s="0" t="n">
        <v>21337220</v>
      </c>
      <c r="F214" s="0" t="n">
        <v>720192</v>
      </c>
      <c r="G214" s="0" t="s">
        <v>34</v>
      </c>
      <c r="H214" s="0" t="n">
        <v>3654128</v>
      </c>
      <c r="I214" s="0" t="s">
        <v>375</v>
      </c>
      <c r="J214" s="0" t="n">
        <v>103053314</v>
      </c>
    </row>
    <row r="215" customFormat="false" ht="15" hidden="false" customHeight="false" outlineLevel="0" collapsed="false">
      <c r="B215" s="0" t="s">
        <v>87</v>
      </c>
      <c r="C215" s="0" t="n">
        <v>223691795</v>
      </c>
      <c r="D215" s="0" t="s">
        <v>2021</v>
      </c>
      <c r="E215" s="0" t="n">
        <v>21337220</v>
      </c>
      <c r="F215" s="0" t="n">
        <v>720192</v>
      </c>
      <c r="G215" s="0" t="s">
        <v>34</v>
      </c>
      <c r="H215" s="0" t="n">
        <v>3654128</v>
      </c>
      <c r="I215" s="0" t="s">
        <v>387</v>
      </c>
      <c r="J215" s="0" t="n">
        <v>102900688</v>
      </c>
    </row>
    <row r="216" customFormat="false" ht="15" hidden="false" customHeight="false" outlineLevel="0" collapsed="false">
      <c r="B216" s="0" t="s">
        <v>2133</v>
      </c>
      <c r="C216" s="0" t="n">
        <v>227619001</v>
      </c>
      <c r="D216" s="0" t="s">
        <v>2021</v>
      </c>
      <c r="E216" s="0" t="n">
        <v>21337220</v>
      </c>
      <c r="F216" s="0" t="n">
        <v>720192</v>
      </c>
      <c r="G216" s="0" t="s">
        <v>34</v>
      </c>
      <c r="H216" s="0" t="n">
        <v>3654128</v>
      </c>
      <c r="I216" s="0" t="s">
        <v>381</v>
      </c>
      <c r="J216" s="0" t="n">
        <v>105130125</v>
      </c>
    </row>
    <row r="217" customFormat="false" ht="15" hidden="false" customHeight="false" outlineLevel="0" collapsed="false">
      <c r="B217" s="0" t="s">
        <v>85</v>
      </c>
      <c r="C217" s="0" t="n">
        <v>227525720</v>
      </c>
      <c r="D217" s="0" t="s">
        <v>2021</v>
      </c>
      <c r="E217" s="0" t="n">
        <v>21337220</v>
      </c>
      <c r="F217" s="0" t="n">
        <v>720192</v>
      </c>
      <c r="G217" s="0" t="s">
        <v>34</v>
      </c>
      <c r="H217" s="0" t="n">
        <v>3654128</v>
      </c>
      <c r="I217" s="0" t="s">
        <v>381</v>
      </c>
      <c r="J217" s="0" t="n">
        <v>105130125</v>
      </c>
    </row>
    <row r="218" customFormat="false" ht="15" hidden="false" customHeight="false" outlineLevel="0" collapsed="false">
      <c r="B218" s="0" t="s">
        <v>95</v>
      </c>
      <c r="C218" s="0" t="n">
        <v>223691807</v>
      </c>
      <c r="D218" s="0" t="s">
        <v>2021</v>
      </c>
      <c r="E218" s="0" t="n">
        <v>21337220</v>
      </c>
      <c r="F218" s="0" t="n">
        <v>720192</v>
      </c>
      <c r="G218" s="0" t="s">
        <v>34</v>
      </c>
      <c r="H218" s="0" t="n">
        <v>3654128</v>
      </c>
      <c r="I218" s="0" t="s">
        <v>635</v>
      </c>
      <c r="J218" s="0" t="n">
        <v>102900685</v>
      </c>
    </row>
    <row r="219" customFormat="false" ht="15" hidden="false" customHeight="false" outlineLevel="0" collapsed="false">
      <c r="B219" s="0" t="s">
        <v>100</v>
      </c>
      <c r="C219" s="0" t="n">
        <v>223691765</v>
      </c>
      <c r="D219" s="0" t="s">
        <v>2021</v>
      </c>
      <c r="E219" s="0" t="n">
        <v>21337220</v>
      </c>
      <c r="F219" s="0" t="n">
        <v>720192</v>
      </c>
      <c r="G219" s="0" t="s">
        <v>34</v>
      </c>
      <c r="H219" s="0" t="n">
        <v>3654128</v>
      </c>
      <c r="I219" s="0" t="s">
        <v>660</v>
      </c>
      <c r="J219" s="0" t="n">
        <v>103053332</v>
      </c>
    </row>
    <row r="220" customFormat="false" ht="15" hidden="false" customHeight="false" outlineLevel="0" collapsed="false">
      <c r="B220" s="0" t="s">
        <v>93</v>
      </c>
      <c r="C220" s="0" t="n">
        <v>223691816</v>
      </c>
      <c r="D220" s="0" t="s">
        <v>2021</v>
      </c>
      <c r="E220" s="0" t="n">
        <v>21337220</v>
      </c>
      <c r="F220" s="0" t="n">
        <v>720192</v>
      </c>
      <c r="G220" s="0" t="s">
        <v>34</v>
      </c>
      <c r="H220" s="0" t="n">
        <v>3654128</v>
      </c>
      <c r="I220" s="0" t="s">
        <v>625</v>
      </c>
      <c r="J220" s="0" t="n">
        <v>102916341</v>
      </c>
    </row>
    <row r="221" customFormat="false" ht="15" hidden="false" customHeight="false" outlineLevel="0" collapsed="false">
      <c r="B221" s="0" t="s">
        <v>97</v>
      </c>
      <c r="C221" s="0" t="n">
        <v>223691774</v>
      </c>
      <c r="D221" s="0" t="s">
        <v>2021</v>
      </c>
      <c r="E221" s="0" t="n">
        <v>21337220</v>
      </c>
      <c r="F221" s="0" t="n">
        <v>720192</v>
      </c>
      <c r="G221" s="0" t="s">
        <v>34</v>
      </c>
      <c r="H221" s="0" t="n">
        <v>3654128</v>
      </c>
      <c r="I221" s="0" t="s">
        <v>647</v>
      </c>
      <c r="J221" s="0" t="n">
        <v>102916356</v>
      </c>
    </row>
    <row r="222" customFormat="false" ht="15" hidden="false" customHeight="false" outlineLevel="0" collapsed="false">
      <c r="B222" s="0" t="s">
        <v>81</v>
      </c>
      <c r="C222" s="0" t="n">
        <v>223691786</v>
      </c>
      <c r="D222" s="0" t="s">
        <v>2021</v>
      </c>
      <c r="E222" s="0" t="n">
        <v>21337220</v>
      </c>
      <c r="F222" s="0" t="n">
        <v>720192</v>
      </c>
      <c r="G222" s="0" t="s">
        <v>34</v>
      </c>
      <c r="H222" s="0" t="n">
        <v>3654128</v>
      </c>
      <c r="I222" s="0" t="s">
        <v>369</v>
      </c>
      <c r="J222" s="0" t="n">
        <v>103058720</v>
      </c>
    </row>
    <row r="223" customFormat="false" ht="15" hidden="false" customHeight="false" outlineLevel="0" collapsed="false">
      <c r="B223" s="0" t="s">
        <v>70</v>
      </c>
      <c r="C223" s="0" t="n">
        <v>223691831</v>
      </c>
      <c r="D223" s="0" t="s">
        <v>2021</v>
      </c>
      <c r="E223" s="0" t="n">
        <v>21337220</v>
      </c>
      <c r="F223" s="0" t="n">
        <v>720192</v>
      </c>
      <c r="G223" s="0" t="s">
        <v>34</v>
      </c>
      <c r="H223" s="0" t="n">
        <v>3654128</v>
      </c>
      <c r="I223" s="0" t="s">
        <v>336</v>
      </c>
      <c r="J223" s="0" t="n">
        <v>102913800</v>
      </c>
    </row>
    <row r="224" customFormat="false" ht="15" hidden="false" customHeight="false" outlineLevel="0" collapsed="false">
      <c r="B224" s="0" t="s">
        <v>73</v>
      </c>
      <c r="C224" s="0" t="n">
        <v>223691792</v>
      </c>
      <c r="D224" s="0" t="s">
        <v>2021</v>
      </c>
      <c r="E224" s="0" t="n">
        <v>21337220</v>
      </c>
      <c r="F224" s="0" t="n">
        <v>720192</v>
      </c>
      <c r="G224" s="0" t="s">
        <v>34</v>
      </c>
      <c r="H224" s="0" t="n">
        <v>3654128</v>
      </c>
      <c r="I224" s="0" t="s">
        <v>345</v>
      </c>
      <c r="J224" s="0" t="n">
        <v>102901894</v>
      </c>
    </row>
    <row r="225" customFormat="false" ht="15" hidden="false" customHeight="false" outlineLevel="0" collapsed="false">
      <c r="B225" s="0" t="s">
        <v>90</v>
      </c>
      <c r="C225" s="0" t="n">
        <v>223691819</v>
      </c>
      <c r="D225" s="0" t="s">
        <v>2021</v>
      </c>
      <c r="E225" s="0" t="n">
        <v>21337220</v>
      </c>
      <c r="F225" s="0" t="n">
        <v>720192</v>
      </c>
      <c r="G225" s="0" t="s">
        <v>34</v>
      </c>
      <c r="H225" s="0" t="n">
        <v>3654128</v>
      </c>
      <c r="I225" s="0" t="s">
        <v>396</v>
      </c>
      <c r="J225" s="0" t="n">
        <v>102900682</v>
      </c>
    </row>
    <row r="226" customFormat="false" ht="15" hidden="false" customHeight="false" outlineLevel="0" collapsed="false">
      <c r="B226" s="0" t="s">
        <v>72</v>
      </c>
      <c r="C226" s="0" t="n">
        <v>223691777</v>
      </c>
      <c r="D226" s="0" t="s">
        <v>2021</v>
      </c>
      <c r="E226" s="0" t="n">
        <v>21337220</v>
      </c>
      <c r="F226" s="0" t="n">
        <v>720192</v>
      </c>
      <c r="G226" s="0" t="s">
        <v>34</v>
      </c>
      <c r="H226" s="0" t="n">
        <v>3654128</v>
      </c>
      <c r="I226" s="0" t="s">
        <v>342</v>
      </c>
      <c r="J226" s="0" t="n">
        <v>102900697</v>
      </c>
    </row>
    <row r="227" customFormat="false" ht="15" hidden="false" customHeight="false" outlineLevel="0" collapsed="false">
      <c r="B227" s="0" t="s">
        <v>80</v>
      </c>
      <c r="C227" s="0" t="n">
        <v>223691825</v>
      </c>
      <c r="D227" s="0" t="s">
        <v>2021</v>
      </c>
      <c r="E227" s="0" t="n">
        <v>21337220</v>
      </c>
      <c r="F227" s="0" t="n">
        <v>720192</v>
      </c>
      <c r="G227" s="0" t="s">
        <v>34</v>
      </c>
      <c r="H227" s="0" t="n">
        <v>3654128</v>
      </c>
      <c r="I227" s="0" t="s">
        <v>366</v>
      </c>
      <c r="J227" s="0" t="n">
        <v>102916338</v>
      </c>
    </row>
    <row r="228" customFormat="false" ht="15" hidden="false" customHeight="false" outlineLevel="0" collapsed="false">
      <c r="B228" s="0" t="s">
        <v>75</v>
      </c>
      <c r="C228" s="0" t="n">
        <v>223691780</v>
      </c>
      <c r="D228" s="0" t="s">
        <v>2021</v>
      </c>
      <c r="E228" s="0" t="n">
        <v>21337220</v>
      </c>
      <c r="F228" s="0" t="n">
        <v>720192</v>
      </c>
      <c r="G228" s="0" t="s">
        <v>34</v>
      </c>
      <c r="H228" s="0" t="n">
        <v>3654128</v>
      </c>
      <c r="I228" s="0" t="s">
        <v>351</v>
      </c>
      <c r="J228" s="0" t="n">
        <v>103058726</v>
      </c>
    </row>
    <row r="229" customFormat="false" ht="15" hidden="false" customHeight="false" outlineLevel="0" collapsed="false">
      <c r="B229" s="0" t="s">
        <v>37</v>
      </c>
      <c r="C229" s="0" t="n">
        <v>224009494</v>
      </c>
      <c r="D229" s="0" t="s">
        <v>30</v>
      </c>
      <c r="E229" s="0" t="n">
        <v>21359477</v>
      </c>
      <c r="F229" s="0" t="n">
        <v>720194</v>
      </c>
      <c r="G229" s="0" t="s">
        <v>34</v>
      </c>
      <c r="H229" s="0" t="n">
        <v>3654128</v>
      </c>
      <c r="I229" s="0" t="s">
        <v>1983</v>
      </c>
      <c r="J229" s="0" t="n">
        <v>103236186</v>
      </c>
    </row>
    <row r="230" customFormat="false" ht="15" hidden="false" customHeight="false" outlineLevel="0" collapsed="false">
      <c r="B230" s="0" t="s">
        <v>37</v>
      </c>
      <c r="C230" s="0" t="n">
        <v>224009494</v>
      </c>
      <c r="D230" s="0" t="s">
        <v>30</v>
      </c>
      <c r="E230" s="0" t="n">
        <v>21359477</v>
      </c>
      <c r="F230" s="0" t="n">
        <v>720194</v>
      </c>
      <c r="G230" s="0" t="s">
        <v>34</v>
      </c>
      <c r="H230" s="0" t="n">
        <v>3654128</v>
      </c>
      <c r="I230" s="0" t="s">
        <v>1984</v>
      </c>
      <c r="J230" s="0" t="n">
        <v>103236189</v>
      </c>
    </row>
    <row r="231" customFormat="false" ht="15" hidden="false" customHeight="false" outlineLevel="0" collapsed="false">
      <c r="B231" s="0" t="s">
        <v>37</v>
      </c>
      <c r="C231" s="0" t="n">
        <v>224009494</v>
      </c>
      <c r="D231" s="0" t="s">
        <v>30</v>
      </c>
      <c r="E231" s="0" t="n">
        <v>21359477</v>
      </c>
      <c r="F231" s="0" t="n">
        <v>720194</v>
      </c>
      <c r="G231" s="0" t="s">
        <v>34</v>
      </c>
      <c r="H231" s="0" t="n">
        <v>3654128</v>
      </c>
      <c r="I231" s="0" t="s">
        <v>1985</v>
      </c>
      <c r="J231" s="0" t="n">
        <v>103237290</v>
      </c>
    </row>
    <row r="232" customFormat="false" ht="15" hidden="false" customHeight="false" outlineLevel="0" collapsed="false">
      <c r="B232" s="0" t="s">
        <v>37</v>
      </c>
      <c r="C232" s="0" t="n">
        <v>224009494</v>
      </c>
      <c r="D232" s="0" t="s">
        <v>30</v>
      </c>
      <c r="E232" s="0" t="n">
        <v>21359477</v>
      </c>
      <c r="F232" s="0" t="n">
        <v>720194</v>
      </c>
      <c r="G232" s="0" t="s">
        <v>34</v>
      </c>
      <c r="H232" s="0" t="n">
        <v>3654128</v>
      </c>
      <c r="I232" s="0" t="s">
        <v>1987</v>
      </c>
      <c r="J232" s="0" t="n">
        <v>103237293</v>
      </c>
    </row>
    <row r="233" customFormat="false" ht="15" hidden="false" customHeight="false" outlineLevel="0" collapsed="false">
      <c r="B233" s="0" t="s">
        <v>41</v>
      </c>
      <c r="C233" s="0" t="n">
        <v>224010415</v>
      </c>
      <c r="D233" s="0" t="s">
        <v>30</v>
      </c>
      <c r="E233" s="0" t="n">
        <v>21359477</v>
      </c>
      <c r="F233" s="0" t="n">
        <v>720194</v>
      </c>
      <c r="G233" s="0" t="s">
        <v>34</v>
      </c>
      <c r="H233" s="0" t="n">
        <v>3654128</v>
      </c>
      <c r="I233" s="0" t="s">
        <v>190</v>
      </c>
      <c r="J233" s="0" t="n">
        <v>103048548</v>
      </c>
    </row>
    <row r="234" customFormat="false" ht="15" hidden="false" customHeight="false" outlineLevel="0" collapsed="false">
      <c r="B234" s="0" t="s">
        <v>41</v>
      </c>
      <c r="C234" s="0" t="n">
        <v>224010415</v>
      </c>
      <c r="D234" s="0" t="s">
        <v>30</v>
      </c>
      <c r="E234" s="0" t="n">
        <v>21359477</v>
      </c>
      <c r="F234" s="0" t="n">
        <v>720194</v>
      </c>
      <c r="G234" s="0" t="s">
        <v>34</v>
      </c>
      <c r="H234" s="0" t="n">
        <v>3654128</v>
      </c>
      <c r="I234" s="0" t="s">
        <v>1988</v>
      </c>
      <c r="J234" s="0" t="n">
        <v>103040320</v>
      </c>
    </row>
    <row r="235" customFormat="false" ht="15" hidden="false" customHeight="false" outlineLevel="0" collapsed="false">
      <c r="B235" s="0" t="s">
        <v>41</v>
      </c>
      <c r="C235" s="0" t="n">
        <v>224010415</v>
      </c>
      <c r="D235" s="0" t="s">
        <v>30</v>
      </c>
      <c r="E235" s="0" t="n">
        <v>21359477</v>
      </c>
      <c r="F235" s="0" t="n">
        <v>720194</v>
      </c>
      <c r="G235" s="0" t="s">
        <v>34</v>
      </c>
      <c r="H235" s="0" t="n">
        <v>3654128</v>
      </c>
      <c r="I235" s="0" t="s">
        <v>1989</v>
      </c>
      <c r="J235" s="0" t="n">
        <v>103043329</v>
      </c>
    </row>
    <row r="236" customFormat="false" ht="15" hidden="false" customHeight="false" outlineLevel="0" collapsed="false">
      <c r="B236" s="0" t="s">
        <v>41</v>
      </c>
      <c r="C236" s="0" t="n">
        <v>224010415</v>
      </c>
      <c r="D236" s="0" t="s">
        <v>30</v>
      </c>
      <c r="E236" s="0" t="n">
        <v>21359477</v>
      </c>
      <c r="F236" s="0" t="n">
        <v>720194</v>
      </c>
      <c r="G236" s="0" t="s">
        <v>34</v>
      </c>
      <c r="H236" s="0" t="n">
        <v>3654128</v>
      </c>
      <c r="I236" s="0" t="s">
        <v>1990</v>
      </c>
      <c r="J236" s="0" t="n">
        <v>103055394</v>
      </c>
    </row>
    <row r="237" customFormat="false" ht="15" hidden="false" customHeight="false" outlineLevel="0" collapsed="false">
      <c r="B237" s="0" t="s">
        <v>41</v>
      </c>
      <c r="C237" s="0" t="n">
        <v>224010415</v>
      </c>
      <c r="D237" s="0" t="s">
        <v>30</v>
      </c>
      <c r="E237" s="0" t="n">
        <v>21359477</v>
      </c>
      <c r="F237" s="0" t="n">
        <v>720194</v>
      </c>
      <c r="G237" s="0" t="s">
        <v>34</v>
      </c>
      <c r="H237" s="0" t="n">
        <v>3654128</v>
      </c>
      <c r="I237" s="0" t="s">
        <v>1991</v>
      </c>
      <c r="J237" s="0" t="n">
        <v>103043341</v>
      </c>
    </row>
    <row r="238" customFormat="false" ht="15" hidden="false" customHeight="false" outlineLevel="0" collapsed="false">
      <c r="B238" s="0" t="s">
        <v>41</v>
      </c>
      <c r="C238" s="0" t="n">
        <v>224010415</v>
      </c>
      <c r="D238" s="0" t="s">
        <v>30</v>
      </c>
      <c r="E238" s="0" t="n">
        <v>21359477</v>
      </c>
      <c r="F238" s="0" t="n">
        <v>720194</v>
      </c>
      <c r="G238" s="0" t="s">
        <v>34</v>
      </c>
      <c r="H238" s="0" t="n">
        <v>3654128</v>
      </c>
      <c r="I238" s="0" t="s">
        <v>1992</v>
      </c>
      <c r="J238" s="0" t="n">
        <v>103043338</v>
      </c>
    </row>
    <row r="239" customFormat="false" ht="15" hidden="false" customHeight="false" outlineLevel="0" collapsed="false">
      <c r="B239" s="0" t="s">
        <v>2126</v>
      </c>
      <c r="C239" s="0" t="n">
        <v>226887139</v>
      </c>
      <c r="D239" s="0" t="s">
        <v>42</v>
      </c>
      <c r="E239" s="0" t="n">
        <v>21337013</v>
      </c>
      <c r="F239" s="0" t="n">
        <v>720196</v>
      </c>
      <c r="G239" s="0" t="s">
        <v>34</v>
      </c>
      <c r="H239" s="0" t="n">
        <v>3654128</v>
      </c>
      <c r="I239" s="0" t="s">
        <v>223</v>
      </c>
      <c r="J239" s="0" t="n">
        <v>103230847</v>
      </c>
    </row>
    <row r="240" customFormat="false" ht="15" hidden="false" customHeight="false" outlineLevel="0" collapsed="false">
      <c r="B240" s="0" t="s">
        <v>2126</v>
      </c>
      <c r="C240" s="0" t="n">
        <v>226887139</v>
      </c>
      <c r="D240" s="0" t="s">
        <v>42</v>
      </c>
      <c r="E240" s="0" t="n">
        <v>21337013</v>
      </c>
      <c r="F240" s="0" t="n">
        <v>720196</v>
      </c>
      <c r="G240" s="0" t="s">
        <v>34</v>
      </c>
      <c r="H240" s="0" t="n">
        <v>3654128</v>
      </c>
      <c r="I240" s="0" t="s">
        <v>262</v>
      </c>
      <c r="J240" s="0" t="n">
        <v>103235146</v>
      </c>
    </row>
    <row r="241" customFormat="false" ht="15" hidden="false" customHeight="false" outlineLevel="0" collapsed="false">
      <c r="B241" s="0" t="s">
        <v>2117</v>
      </c>
      <c r="C241" s="0" t="n">
        <v>226794002</v>
      </c>
      <c r="D241" s="0" t="s">
        <v>42</v>
      </c>
      <c r="E241" s="0" t="n">
        <v>21337013</v>
      </c>
      <c r="F241" s="0" t="n">
        <v>720196</v>
      </c>
      <c r="G241" s="0" t="s">
        <v>34</v>
      </c>
      <c r="H241" s="0" t="n">
        <v>3654128</v>
      </c>
      <c r="I241" s="0" t="s">
        <v>262</v>
      </c>
      <c r="J241" s="0" t="n">
        <v>103235146</v>
      </c>
    </row>
    <row r="242" customFormat="false" ht="15" hidden="false" customHeight="false" outlineLevel="0" collapsed="false">
      <c r="B242" s="0" t="s">
        <v>2125</v>
      </c>
      <c r="C242" s="0" t="n">
        <v>227035821</v>
      </c>
      <c r="D242" s="0" t="s">
        <v>42</v>
      </c>
      <c r="E242" s="0" t="n">
        <v>21337013</v>
      </c>
      <c r="F242" s="0" t="n">
        <v>720196</v>
      </c>
      <c r="G242" s="0" t="s">
        <v>34</v>
      </c>
      <c r="H242" s="0" t="n">
        <v>3654128</v>
      </c>
      <c r="I242" s="0" t="s">
        <v>223</v>
      </c>
      <c r="J242" s="0" t="n">
        <v>103230847</v>
      </c>
    </row>
    <row r="243" customFormat="false" ht="15" hidden="false" customHeight="false" outlineLevel="0" collapsed="false">
      <c r="B243" s="0" t="s">
        <v>2125</v>
      </c>
      <c r="C243" s="0" t="n">
        <v>227035821</v>
      </c>
      <c r="D243" s="0" t="s">
        <v>42</v>
      </c>
      <c r="E243" s="0" t="n">
        <v>21337013</v>
      </c>
      <c r="F243" s="0" t="n">
        <v>720196</v>
      </c>
      <c r="G243" s="0" t="s">
        <v>34</v>
      </c>
      <c r="H243" s="0" t="n">
        <v>3654128</v>
      </c>
      <c r="I243" s="0" t="s">
        <v>262</v>
      </c>
      <c r="J243" s="0" t="n">
        <v>103235146</v>
      </c>
    </row>
    <row r="244" customFormat="false" ht="15" hidden="false" customHeight="false" outlineLevel="0" collapsed="false">
      <c r="B244" s="0" t="s">
        <v>2127</v>
      </c>
      <c r="C244" s="0" t="n">
        <v>226796675</v>
      </c>
      <c r="D244" s="0" t="s">
        <v>42</v>
      </c>
      <c r="E244" s="0" t="n">
        <v>21337013</v>
      </c>
      <c r="F244" s="0" t="n">
        <v>720196</v>
      </c>
      <c r="G244" s="0" t="s">
        <v>34</v>
      </c>
      <c r="H244" s="0" t="n">
        <v>3654128</v>
      </c>
      <c r="I244" s="0" t="s">
        <v>262</v>
      </c>
      <c r="J244" s="0" t="n">
        <v>103235146</v>
      </c>
    </row>
    <row r="245" customFormat="false" ht="15" hidden="false" customHeight="false" outlineLevel="0" collapsed="false">
      <c r="B245" s="0" t="s">
        <v>57</v>
      </c>
      <c r="C245" s="0" t="n">
        <v>224399962</v>
      </c>
      <c r="D245" s="0" t="s">
        <v>42</v>
      </c>
      <c r="E245" s="0" t="n">
        <v>21337013</v>
      </c>
      <c r="F245" s="0" t="n">
        <v>720196</v>
      </c>
      <c r="G245" s="0" t="s">
        <v>34</v>
      </c>
      <c r="H245" s="0" t="n">
        <v>3654128</v>
      </c>
      <c r="I245" s="0" t="s">
        <v>223</v>
      </c>
      <c r="J245" s="0" t="n">
        <v>103230847</v>
      </c>
    </row>
    <row r="246" customFormat="false" ht="15" hidden="false" customHeight="false" outlineLevel="0" collapsed="false">
      <c r="B246" s="0" t="s">
        <v>56</v>
      </c>
      <c r="C246" s="0" t="n">
        <v>224334170</v>
      </c>
      <c r="D246" s="0" t="s">
        <v>42</v>
      </c>
      <c r="E246" s="0" t="n">
        <v>21337013</v>
      </c>
      <c r="F246" s="0" t="n">
        <v>720196</v>
      </c>
      <c r="G246" s="0" t="s">
        <v>34</v>
      </c>
      <c r="H246" s="0" t="n">
        <v>3654128</v>
      </c>
      <c r="I246" s="0" t="s">
        <v>262</v>
      </c>
      <c r="J246" s="0" t="n">
        <v>103235146</v>
      </c>
    </row>
    <row r="247" customFormat="false" ht="15" hidden="false" customHeight="false" outlineLevel="0" collapsed="false">
      <c r="B247" s="0" t="s">
        <v>47</v>
      </c>
      <c r="C247" s="0" t="n">
        <v>223560299</v>
      </c>
      <c r="D247" s="0" t="s">
        <v>42</v>
      </c>
      <c r="E247" s="0" t="n">
        <v>21337013</v>
      </c>
      <c r="F247" s="0" t="n">
        <v>720196</v>
      </c>
      <c r="G247" s="0" t="s">
        <v>34</v>
      </c>
      <c r="H247" s="0" t="n">
        <v>3654128</v>
      </c>
      <c r="I247" s="0" t="s">
        <v>205</v>
      </c>
      <c r="J247" s="0" t="n">
        <v>102854019</v>
      </c>
    </row>
    <row r="248" customFormat="false" ht="15" hidden="false" customHeight="false" outlineLevel="0" collapsed="false">
      <c r="B248" s="0" t="s">
        <v>54</v>
      </c>
      <c r="C248" s="0" t="n">
        <v>223560356</v>
      </c>
      <c r="D248" s="0" t="s">
        <v>42</v>
      </c>
      <c r="E248" s="0" t="n">
        <v>21337013</v>
      </c>
      <c r="F248" s="0" t="n">
        <v>720196</v>
      </c>
      <c r="G248" s="0" t="s">
        <v>34</v>
      </c>
      <c r="H248" s="0" t="n">
        <v>3654128</v>
      </c>
      <c r="I248" s="0" t="s">
        <v>220</v>
      </c>
      <c r="J248" s="0" t="n">
        <v>102854016</v>
      </c>
    </row>
    <row r="249" customFormat="false" ht="15" hidden="false" customHeight="false" outlineLevel="0" collapsed="false">
      <c r="B249" s="0" t="s">
        <v>53</v>
      </c>
      <c r="C249" s="0" t="n">
        <v>223560350</v>
      </c>
      <c r="D249" s="0" t="s">
        <v>42</v>
      </c>
      <c r="E249" s="0" t="n">
        <v>21337013</v>
      </c>
      <c r="F249" s="0" t="n">
        <v>720196</v>
      </c>
      <c r="G249" s="0" t="s">
        <v>34</v>
      </c>
      <c r="H249" s="0" t="n">
        <v>3654128</v>
      </c>
      <c r="I249" s="0" t="s">
        <v>217</v>
      </c>
      <c r="J249" s="0" t="n">
        <v>103006547</v>
      </c>
    </row>
    <row r="250" customFormat="false" ht="15" hidden="false" customHeight="false" outlineLevel="0" collapsed="false">
      <c r="B250" s="0" t="s">
        <v>52</v>
      </c>
      <c r="C250" s="0" t="n">
        <v>223560344</v>
      </c>
      <c r="D250" s="0" t="s">
        <v>42</v>
      </c>
      <c r="E250" s="0" t="n">
        <v>21337013</v>
      </c>
      <c r="F250" s="0" t="n">
        <v>720196</v>
      </c>
      <c r="G250" s="0" t="s">
        <v>34</v>
      </c>
      <c r="H250" s="0" t="n">
        <v>3654128</v>
      </c>
      <c r="I250" s="0" t="s">
        <v>214</v>
      </c>
      <c r="J250" s="0" t="n">
        <v>102861246</v>
      </c>
    </row>
    <row r="251" customFormat="false" ht="15" hidden="false" customHeight="false" outlineLevel="0" collapsed="false">
      <c r="B251" s="0" t="s">
        <v>51</v>
      </c>
      <c r="C251" s="0" t="n">
        <v>223560338</v>
      </c>
      <c r="D251" s="0" t="s">
        <v>42</v>
      </c>
      <c r="E251" s="0" t="n">
        <v>21337013</v>
      </c>
      <c r="F251" s="0" t="n">
        <v>720196</v>
      </c>
      <c r="G251" s="0" t="s">
        <v>34</v>
      </c>
      <c r="H251" s="0" t="n">
        <v>3654128</v>
      </c>
      <c r="I251" s="0" t="s">
        <v>211</v>
      </c>
      <c r="J251" s="0" t="n">
        <v>102853603</v>
      </c>
    </row>
    <row r="252" customFormat="false" ht="15" hidden="false" customHeight="false" outlineLevel="0" collapsed="false">
      <c r="B252" s="0" t="s">
        <v>164</v>
      </c>
      <c r="C252" s="0" t="n">
        <v>223298805</v>
      </c>
      <c r="D252" s="0" t="s">
        <v>159</v>
      </c>
      <c r="E252" s="0" t="n">
        <v>21276694</v>
      </c>
      <c r="F252" s="0" t="n">
        <v>720195</v>
      </c>
      <c r="G252" s="0" t="s">
        <v>34</v>
      </c>
      <c r="H252" s="0" t="n">
        <v>3654128</v>
      </c>
      <c r="I252" s="0" t="s">
        <v>1490</v>
      </c>
      <c r="J252" s="0" t="n">
        <v>102609621</v>
      </c>
    </row>
    <row r="253" customFormat="false" ht="15" hidden="false" customHeight="false" outlineLevel="0" collapsed="false">
      <c r="B253" s="0" t="s">
        <v>165</v>
      </c>
      <c r="C253" s="0" t="n">
        <v>226269941</v>
      </c>
      <c r="D253" s="0" t="s">
        <v>159</v>
      </c>
      <c r="E253" s="0" t="n">
        <v>21276694</v>
      </c>
      <c r="F253" s="0" t="n">
        <v>720195</v>
      </c>
      <c r="G253" s="0" t="s">
        <v>34</v>
      </c>
      <c r="H253" s="0" t="n">
        <v>3654128</v>
      </c>
      <c r="I253" s="0" t="s">
        <v>2052</v>
      </c>
      <c r="J253" s="0" t="n">
        <v>104061321</v>
      </c>
    </row>
    <row r="254" customFormat="false" ht="15" hidden="false" customHeight="false" outlineLevel="0" collapsed="false">
      <c r="B254" s="0" t="s">
        <v>166</v>
      </c>
      <c r="C254" s="0" t="n">
        <v>227208508</v>
      </c>
      <c r="D254" s="0" t="s">
        <v>159</v>
      </c>
      <c r="E254" s="0" t="n">
        <v>21276694</v>
      </c>
      <c r="F254" s="0" t="n">
        <v>720195</v>
      </c>
      <c r="G254" s="0" t="s">
        <v>34</v>
      </c>
      <c r="H254" s="0" t="n">
        <v>3654128</v>
      </c>
      <c r="I254" s="0" t="s">
        <v>1490</v>
      </c>
      <c r="J254" s="0" t="n">
        <v>102609621</v>
      </c>
    </row>
    <row r="255" customFormat="false" ht="15" hidden="false" customHeight="false" outlineLevel="0" collapsed="false">
      <c r="B255" s="0" t="s">
        <v>2137</v>
      </c>
      <c r="C255" s="0" t="n">
        <v>223933138</v>
      </c>
      <c r="D255" s="0" t="s">
        <v>2138</v>
      </c>
      <c r="E255" s="0" t="n">
        <v>21358715</v>
      </c>
      <c r="F255" s="0" t="n">
        <v>720197</v>
      </c>
      <c r="G255" s="0" t="s">
        <v>34</v>
      </c>
      <c r="H255" s="0" t="n">
        <v>3654128</v>
      </c>
      <c r="I255" s="0" t="s">
        <v>2139</v>
      </c>
      <c r="J255" s="0" t="n">
        <v>103043835</v>
      </c>
    </row>
    <row r="256" customFormat="false" ht="15" hidden="false" customHeight="false" outlineLevel="0" collapsed="false">
      <c r="B256" s="0" t="s">
        <v>2137</v>
      </c>
      <c r="C256" s="0" t="n">
        <v>223933138</v>
      </c>
      <c r="D256" s="0" t="s">
        <v>2138</v>
      </c>
      <c r="E256" s="0" t="n">
        <v>21358715</v>
      </c>
      <c r="F256" s="0" t="n">
        <v>720197</v>
      </c>
      <c r="G256" s="0" t="s">
        <v>34</v>
      </c>
      <c r="H256" s="0" t="n">
        <v>3654128</v>
      </c>
      <c r="I256" s="0" t="s">
        <v>2140</v>
      </c>
      <c r="J256" s="0" t="n">
        <v>103178645</v>
      </c>
    </row>
    <row r="257" customFormat="false" ht="15" hidden="false" customHeight="false" outlineLevel="0" collapsed="false">
      <c r="B257" s="0" t="s">
        <v>2141</v>
      </c>
      <c r="C257" s="0" t="n">
        <v>224104929</v>
      </c>
      <c r="D257" s="0" t="s">
        <v>2138</v>
      </c>
      <c r="E257" s="0" t="n">
        <v>21358715</v>
      </c>
      <c r="F257" s="0" t="n">
        <v>720197</v>
      </c>
      <c r="G257" s="0" t="s">
        <v>34</v>
      </c>
      <c r="H257" s="0" t="n">
        <v>3654128</v>
      </c>
      <c r="I257" s="0" t="s">
        <v>2142</v>
      </c>
      <c r="J257" s="0" t="n">
        <v>103176812</v>
      </c>
    </row>
    <row r="258" customFormat="false" ht="15" hidden="false" customHeight="false" outlineLevel="0" collapsed="false">
      <c r="B258" s="0" t="s">
        <v>2143</v>
      </c>
      <c r="C258" s="0" t="n">
        <v>226621006</v>
      </c>
      <c r="D258" s="0" t="s">
        <v>2138</v>
      </c>
      <c r="E258" s="0" t="n">
        <v>21358715</v>
      </c>
      <c r="F258" s="0" t="n">
        <v>720197</v>
      </c>
      <c r="G258" s="0" t="s">
        <v>34</v>
      </c>
      <c r="H258" s="0" t="n">
        <v>3654128</v>
      </c>
      <c r="I258" s="0" t="s">
        <v>2144</v>
      </c>
      <c r="J258" s="0" t="n">
        <v>104593735</v>
      </c>
    </row>
    <row r="259" customFormat="false" ht="15" hidden="false" customHeight="false" outlineLevel="0" collapsed="false">
      <c r="B259" s="0" t="s">
        <v>2143</v>
      </c>
      <c r="C259" s="0" t="n">
        <v>226621006</v>
      </c>
      <c r="D259" s="0" t="s">
        <v>2138</v>
      </c>
      <c r="E259" s="0" t="n">
        <v>21358715</v>
      </c>
      <c r="F259" s="0" t="n">
        <v>720197</v>
      </c>
      <c r="G259" s="0" t="s">
        <v>34</v>
      </c>
      <c r="H259" s="0" t="n">
        <v>3654128</v>
      </c>
      <c r="I259" s="0" t="s">
        <v>2145</v>
      </c>
      <c r="J259" s="0" t="n">
        <v>104595745</v>
      </c>
    </row>
    <row r="260" customFormat="false" ht="15" hidden="false" customHeight="false" outlineLevel="0" collapsed="false">
      <c r="B260" s="0" t="s">
        <v>2146</v>
      </c>
      <c r="C260" s="0" t="n">
        <v>226617664</v>
      </c>
      <c r="D260" s="0" t="s">
        <v>2138</v>
      </c>
      <c r="E260" s="0" t="n">
        <v>21358715</v>
      </c>
      <c r="F260" s="0" t="n">
        <v>720197</v>
      </c>
      <c r="G260" s="0" t="s">
        <v>34</v>
      </c>
      <c r="H260" s="0" t="n">
        <v>3654128</v>
      </c>
      <c r="I260" s="0" t="s">
        <v>2147</v>
      </c>
      <c r="J260" s="0" t="n">
        <v>104595739</v>
      </c>
    </row>
    <row r="261" customFormat="false" ht="15" hidden="false" customHeight="false" outlineLevel="0" collapsed="false">
      <c r="B261" s="0" t="s">
        <v>2148</v>
      </c>
      <c r="C261" s="0" t="n">
        <v>226783992</v>
      </c>
      <c r="D261" s="0" t="s">
        <v>2138</v>
      </c>
      <c r="E261" s="0" t="n">
        <v>21358715</v>
      </c>
      <c r="F261" s="0" t="n">
        <v>720197</v>
      </c>
      <c r="G261" s="0" t="s">
        <v>34</v>
      </c>
      <c r="H261" s="0" t="n">
        <v>3654128</v>
      </c>
      <c r="I261" s="0" t="s">
        <v>2149</v>
      </c>
      <c r="J261" s="0" t="n">
        <v>104595766</v>
      </c>
    </row>
    <row r="262" customFormat="false" ht="15" hidden="false" customHeight="false" outlineLevel="0" collapsed="false">
      <c r="B262" s="0" t="s">
        <v>2148</v>
      </c>
      <c r="C262" s="0" t="n">
        <v>226783992</v>
      </c>
      <c r="D262" s="0" t="s">
        <v>2138</v>
      </c>
      <c r="E262" s="0" t="n">
        <v>21358715</v>
      </c>
      <c r="F262" s="0" t="n">
        <v>720197</v>
      </c>
      <c r="G262" s="0" t="s">
        <v>34</v>
      </c>
      <c r="H262" s="0" t="n">
        <v>3654128</v>
      </c>
      <c r="I262" s="0" t="s">
        <v>2150</v>
      </c>
      <c r="J262" s="0" t="n">
        <v>104592523</v>
      </c>
    </row>
    <row r="263" customFormat="false" ht="15" hidden="false" customHeight="false" outlineLevel="0" collapsed="false">
      <c r="B263" s="0" t="s">
        <v>2151</v>
      </c>
      <c r="C263" s="0" t="n">
        <v>226622239</v>
      </c>
      <c r="D263" s="0" t="s">
        <v>2138</v>
      </c>
      <c r="E263" s="0" t="n">
        <v>21358715</v>
      </c>
      <c r="F263" s="0" t="n">
        <v>720197</v>
      </c>
      <c r="G263" s="0" t="s">
        <v>34</v>
      </c>
      <c r="H263" s="0" t="n">
        <v>3654128</v>
      </c>
      <c r="I263" s="0" t="s">
        <v>2150</v>
      </c>
      <c r="J263" s="0" t="n">
        <v>104592523</v>
      </c>
    </row>
    <row r="264" customFormat="false" ht="15" hidden="false" customHeight="false" outlineLevel="0" collapsed="false">
      <c r="B264" s="0" t="s">
        <v>2152</v>
      </c>
      <c r="C264" s="0" t="n">
        <v>225283843</v>
      </c>
      <c r="D264" s="0" t="s">
        <v>2138</v>
      </c>
      <c r="E264" s="0" t="n">
        <v>21358715</v>
      </c>
      <c r="F264" s="0" t="n">
        <v>720197</v>
      </c>
      <c r="G264" s="0" t="s">
        <v>34</v>
      </c>
      <c r="H264" s="0" t="n">
        <v>3654128</v>
      </c>
      <c r="I264" s="0" t="s">
        <v>2153</v>
      </c>
      <c r="J264" s="0" t="n">
        <v>103773177</v>
      </c>
    </row>
    <row r="265" customFormat="false" ht="15" hidden="false" customHeight="false" outlineLevel="0" collapsed="false">
      <c r="B265" s="0" t="s">
        <v>2152</v>
      </c>
      <c r="C265" s="0" t="n">
        <v>225283843</v>
      </c>
      <c r="D265" s="0" t="s">
        <v>2138</v>
      </c>
      <c r="E265" s="0" t="n">
        <v>21358715</v>
      </c>
      <c r="F265" s="0" t="n">
        <v>720197</v>
      </c>
      <c r="G265" s="0" t="s">
        <v>34</v>
      </c>
      <c r="H265" s="0" t="n">
        <v>3654128</v>
      </c>
      <c r="I265" s="0" t="s">
        <v>2154</v>
      </c>
      <c r="J265" s="0" t="n">
        <v>103874423</v>
      </c>
    </row>
    <row r="266" customFormat="false" ht="15" hidden="false" customHeight="false" outlineLevel="0" collapsed="false">
      <c r="B266" s="0" t="s">
        <v>2155</v>
      </c>
      <c r="C266" s="0" t="n">
        <v>224104932</v>
      </c>
      <c r="D266" s="0" t="s">
        <v>2138</v>
      </c>
      <c r="E266" s="0" t="n">
        <v>21358715</v>
      </c>
      <c r="F266" s="0" t="n">
        <v>720197</v>
      </c>
      <c r="G266" s="0" t="s">
        <v>34</v>
      </c>
      <c r="H266" s="0" t="n">
        <v>3654128</v>
      </c>
      <c r="I266" s="0" t="s">
        <v>2156</v>
      </c>
      <c r="J266" s="0" t="n">
        <v>103176851</v>
      </c>
    </row>
    <row r="267" customFormat="false" ht="15" hidden="false" customHeight="false" outlineLevel="0" collapsed="false">
      <c r="B267" s="0" t="s">
        <v>2157</v>
      </c>
      <c r="C267" s="0" t="n">
        <v>223862885</v>
      </c>
      <c r="D267" s="0" t="s">
        <v>2138</v>
      </c>
      <c r="E267" s="0" t="n">
        <v>21358715</v>
      </c>
      <c r="F267" s="0" t="n">
        <v>720197</v>
      </c>
      <c r="G267" s="0" t="s">
        <v>34</v>
      </c>
      <c r="H267" s="0" t="n">
        <v>3654128</v>
      </c>
      <c r="I267" s="0" t="s">
        <v>2158</v>
      </c>
      <c r="J267" s="0" t="n">
        <v>103048329</v>
      </c>
    </row>
    <row r="268" customFormat="false" ht="15" hidden="false" customHeight="false" outlineLevel="0" collapsed="false">
      <c r="B268" s="0" t="s">
        <v>2159</v>
      </c>
      <c r="C268" s="0" t="n">
        <v>224104914</v>
      </c>
      <c r="D268" s="0" t="s">
        <v>2138</v>
      </c>
      <c r="E268" s="0" t="n">
        <v>21358715</v>
      </c>
      <c r="F268" s="0" t="n">
        <v>720197</v>
      </c>
      <c r="G268" s="0" t="s">
        <v>34</v>
      </c>
      <c r="H268" s="0" t="n">
        <v>3654128</v>
      </c>
      <c r="I268" s="0" t="s">
        <v>2160</v>
      </c>
      <c r="J268" s="0" t="n">
        <v>103176830</v>
      </c>
    </row>
    <row r="269" customFormat="false" ht="15" hidden="false" customHeight="false" outlineLevel="0" collapsed="false">
      <c r="B269" s="0" t="s">
        <v>2161</v>
      </c>
      <c r="C269" s="0" t="n">
        <v>226030086</v>
      </c>
      <c r="D269" s="0" t="s">
        <v>2138</v>
      </c>
      <c r="E269" s="0" t="n">
        <v>21358715</v>
      </c>
      <c r="F269" s="0" t="n">
        <v>720197</v>
      </c>
      <c r="G269" s="0" t="s">
        <v>34</v>
      </c>
      <c r="H269" s="0" t="n">
        <v>3654128</v>
      </c>
      <c r="I269" s="0" t="s">
        <v>2162</v>
      </c>
      <c r="J269" s="0" t="n">
        <v>104593207</v>
      </c>
    </row>
    <row r="270" customFormat="false" ht="15" hidden="false" customHeight="false" outlineLevel="0" collapsed="false">
      <c r="B270" s="0" t="s">
        <v>2161</v>
      </c>
      <c r="C270" s="0" t="n">
        <v>226030086</v>
      </c>
      <c r="D270" s="0" t="s">
        <v>2138</v>
      </c>
      <c r="E270" s="0" t="n">
        <v>21358715</v>
      </c>
      <c r="F270" s="0" t="n">
        <v>720197</v>
      </c>
      <c r="G270" s="0" t="s">
        <v>34</v>
      </c>
      <c r="H270" s="0" t="n">
        <v>3654128</v>
      </c>
      <c r="I270" s="0" t="s">
        <v>2163</v>
      </c>
      <c r="J270" s="0" t="n">
        <v>104593426</v>
      </c>
    </row>
    <row r="271" customFormat="false" ht="15" hidden="false" customHeight="false" outlineLevel="0" collapsed="false">
      <c r="B271" s="0" t="s">
        <v>2164</v>
      </c>
      <c r="C271" s="0" t="n">
        <v>225841990</v>
      </c>
      <c r="D271" s="0" t="s">
        <v>2138</v>
      </c>
      <c r="E271" s="0" t="n">
        <v>21358715</v>
      </c>
      <c r="F271" s="0" t="n">
        <v>720197</v>
      </c>
      <c r="G271" s="0" t="s">
        <v>34</v>
      </c>
      <c r="H271" s="0" t="n">
        <v>3654128</v>
      </c>
      <c r="I271" s="0" t="s">
        <v>2165</v>
      </c>
      <c r="J271" s="0" t="n">
        <v>104593408</v>
      </c>
    </row>
    <row r="272" customFormat="false" ht="15" hidden="false" customHeight="false" outlineLevel="0" collapsed="false">
      <c r="B272" s="0" t="s">
        <v>2166</v>
      </c>
      <c r="C272" s="0" t="n">
        <v>225841993</v>
      </c>
      <c r="D272" s="0" t="s">
        <v>2138</v>
      </c>
      <c r="E272" s="0" t="n">
        <v>21358715</v>
      </c>
      <c r="F272" s="0" t="n">
        <v>720197</v>
      </c>
      <c r="G272" s="0" t="s">
        <v>34</v>
      </c>
      <c r="H272" s="0" t="n">
        <v>3654128</v>
      </c>
      <c r="I272" s="0" t="s">
        <v>2167</v>
      </c>
      <c r="J272" s="0" t="n">
        <v>104593411</v>
      </c>
    </row>
    <row r="273" customFormat="false" ht="15" hidden="false" customHeight="false" outlineLevel="0" collapsed="false">
      <c r="B273" s="0" t="s">
        <v>2166</v>
      </c>
      <c r="C273" s="0" t="n">
        <v>225841993</v>
      </c>
      <c r="D273" s="0" t="s">
        <v>2138</v>
      </c>
      <c r="E273" s="0" t="n">
        <v>21358715</v>
      </c>
      <c r="F273" s="0" t="n">
        <v>720197</v>
      </c>
      <c r="G273" s="0" t="s">
        <v>34</v>
      </c>
      <c r="H273" s="0" t="n">
        <v>3654128</v>
      </c>
      <c r="I273" s="0" t="s">
        <v>2168</v>
      </c>
      <c r="J273" s="0" t="n">
        <v>104595718</v>
      </c>
    </row>
    <row r="274" customFormat="false" ht="15" hidden="false" customHeight="false" outlineLevel="0" collapsed="false">
      <c r="B274" s="0" t="s">
        <v>2169</v>
      </c>
      <c r="C274" s="0" t="n">
        <v>226535318</v>
      </c>
      <c r="D274" s="0" t="s">
        <v>2138</v>
      </c>
      <c r="E274" s="0" t="n">
        <v>21358715</v>
      </c>
      <c r="F274" s="0" t="n">
        <v>720197</v>
      </c>
      <c r="G274" s="0" t="s">
        <v>34</v>
      </c>
      <c r="H274" s="0" t="n">
        <v>3654128</v>
      </c>
      <c r="I274" s="0" t="s">
        <v>2144</v>
      </c>
      <c r="J274" s="0" t="n">
        <v>104593735</v>
      </c>
    </row>
    <row r="275" customFormat="false" ht="15" hidden="false" customHeight="false" outlineLevel="0" collapsed="false">
      <c r="B275" s="0" t="s">
        <v>2169</v>
      </c>
      <c r="C275" s="0" t="n">
        <v>226535318</v>
      </c>
      <c r="D275" s="0" t="s">
        <v>2138</v>
      </c>
      <c r="E275" s="0" t="n">
        <v>21358715</v>
      </c>
      <c r="F275" s="0" t="n">
        <v>720197</v>
      </c>
      <c r="G275" s="0" t="s">
        <v>34</v>
      </c>
      <c r="H275" s="0" t="n">
        <v>3654128</v>
      </c>
      <c r="I275" s="0" t="s">
        <v>2145</v>
      </c>
      <c r="J275" s="0" t="n">
        <v>104595745</v>
      </c>
    </row>
    <row r="276" customFormat="false" ht="15" hidden="false" customHeight="false" outlineLevel="0" collapsed="false">
      <c r="B276" s="0" t="s">
        <v>2170</v>
      </c>
      <c r="C276" s="0" t="n">
        <v>226622251</v>
      </c>
      <c r="D276" s="0" t="s">
        <v>2138</v>
      </c>
      <c r="E276" s="0" t="n">
        <v>21358715</v>
      </c>
      <c r="F276" s="0" t="n">
        <v>720197</v>
      </c>
      <c r="G276" s="0" t="s">
        <v>34</v>
      </c>
      <c r="H276" s="0" t="n">
        <v>3654128</v>
      </c>
      <c r="I276" s="0" t="s">
        <v>2149</v>
      </c>
      <c r="J276" s="0" t="n">
        <v>104595766</v>
      </c>
    </row>
    <row r="277" customFormat="false" ht="15" hidden="false" customHeight="false" outlineLevel="0" collapsed="false">
      <c r="B277" s="0" t="s">
        <v>2170</v>
      </c>
      <c r="C277" s="0" t="n">
        <v>226622251</v>
      </c>
      <c r="D277" s="0" t="s">
        <v>2138</v>
      </c>
      <c r="E277" s="0" t="n">
        <v>21358715</v>
      </c>
      <c r="F277" s="0" t="n">
        <v>720197</v>
      </c>
      <c r="G277" s="0" t="s">
        <v>34</v>
      </c>
      <c r="H277" s="0" t="n">
        <v>3654128</v>
      </c>
      <c r="I277" s="0" t="s">
        <v>2150</v>
      </c>
      <c r="J277" s="0" t="n">
        <v>104592523</v>
      </c>
    </row>
    <row r="278" customFormat="false" ht="15" hidden="false" customHeight="false" outlineLevel="0" collapsed="false">
      <c r="B278" s="0" t="s">
        <v>2171</v>
      </c>
      <c r="C278" s="0" t="n">
        <v>226535315</v>
      </c>
      <c r="D278" s="0" t="s">
        <v>2138</v>
      </c>
      <c r="E278" s="0" t="n">
        <v>21358715</v>
      </c>
      <c r="F278" s="0" t="n">
        <v>720197</v>
      </c>
      <c r="G278" s="0" t="s">
        <v>34</v>
      </c>
      <c r="H278" s="0" t="n">
        <v>3654128</v>
      </c>
      <c r="I278" s="0" t="s">
        <v>2172</v>
      </c>
      <c r="J278" s="0" t="n">
        <v>104592535</v>
      </c>
    </row>
    <row r="279" customFormat="false" ht="15" hidden="false" customHeight="false" outlineLevel="0" collapsed="false">
      <c r="B279" s="0" t="s">
        <v>2173</v>
      </c>
      <c r="C279" s="0" t="n">
        <v>225761645</v>
      </c>
      <c r="D279" s="0" t="s">
        <v>2138</v>
      </c>
      <c r="E279" s="0" t="n">
        <v>21358715</v>
      </c>
      <c r="F279" s="0" t="n">
        <v>720197</v>
      </c>
      <c r="G279" s="0" t="s">
        <v>34</v>
      </c>
      <c r="H279" s="0" t="n">
        <v>3654128</v>
      </c>
      <c r="I279" s="0" t="s">
        <v>2174</v>
      </c>
      <c r="J279" s="0" t="n">
        <v>104593720</v>
      </c>
    </row>
    <row r="280" customFormat="false" ht="15" hidden="false" customHeight="false" outlineLevel="0" collapsed="false">
      <c r="B280" s="0" t="s">
        <v>2173</v>
      </c>
      <c r="C280" s="0" t="n">
        <v>225761645</v>
      </c>
      <c r="D280" s="0" t="s">
        <v>2138</v>
      </c>
      <c r="E280" s="0" t="n">
        <v>21358715</v>
      </c>
      <c r="F280" s="0" t="n">
        <v>720197</v>
      </c>
      <c r="G280" s="0" t="s">
        <v>34</v>
      </c>
      <c r="H280" s="0" t="n">
        <v>3654128</v>
      </c>
      <c r="I280" s="0" t="s">
        <v>2175</v>
      </c>
      <c r="J280" s="0" t="n">
        <v>104671412</v>
      </c>
    </row>
    <row r="281" customFormat="false" ht="15" hidden="false" customHeight="false" outlineLevel="0" collapsed="false">
      <c r="B281" s="0" t="s">
        <v>2173</v>
      </c>
      <c r="C281" s="0" t="n">
        <v>225761645</v>
      </c>
      <c r="D281" s="0" t="s">
        <v>2138</v>
      </c>
      <c r="E281" s="0" t="n">
        <v>21358715</v>
      </c>
      <c r="F281" s="0" t="n">
        <v>720197</v>
      </c>
      <c r="G281" s="0" t="s">
        <v>34</v>
      </c>
      <c r="H281" s="0" t="n">
        <v>3654128</v>
      </c>
      <c r="I281" s="0" t="s">
        <v>2176</v>
      </c>
      <c r="J281" s="0" t="n">
        <v>104595724</v>
      </c>
    </row>
    <row r="282" customFormat="false" ht="15" hidden="false" customHeight="false" outlineLevel="0" collapsed="false">
      <c r="B282" s="0" t="s">
        <v>2173</v>
      </c>
      <c r="C282" s="0" t="n">
        <v>225761645</v>
      </c>
      <c r="D282" s="0" t="s">
        <v>2138</v>
      </c>
      <c r="E282" s="0" t="n">
        <v>21358715</v>
      </c>
      <c r="F282" s="0" t="n">
        <v>720197</v>
      </c>
      <c r="G282" s="0" t="s">
        <v>34</v>
      </c>
      <c r="H282" s="0" t="n">
        <v>3654128</v>
      </c>
      <c r="I282" s="0" t="s">
        <v>2177</v>
      </c>
      <c r="J282" s="0" t="n">
        <v>104595751</v>
      </c>
    </row>
    <row r="283" customFormat="false" ht="15" hidden="false" customHeight="false" outlineLevel="0" collapsed="false">
      <c r="B283" s="0" t="s">
        <v>2173</v>
      </c>
      <c r="C283" s="0" t="n">
        <v>225761645</v>
      </c>
      <c r="D283" s="0" t="s">
        <v>2138</v>
      </c>
      <c r="E283" s="0" t="n">
        <v>21358715</v>
      </c>
      <c r="F283" s="0" t="n">
        <v>720197</v>
      </c>
      <c r="G283" s="0" t="s">
        <v>34</v>
      </c>
      <c r="H283" s="0" t="n">
        <v>3654128</v>
      </c>
      <c r="I283" s="0" t="s">
        <v>2178</v>
      </c>
      <c r="J283" s="0" t="n">
        <v>104593432</v>
      </c>
    </row>
    <row r="284" customFormat="false" ht="15" hidden="false" customHeight="false" outlineLevel="0" collapsed="false">
      <c r="B284" s="0" t="s">
        <v>2179</v>
      </c>
      <c r="C284" s="0" t="n">
        <v>226622512</v>
      </c>
      <c r="D284" s="0" t="s">
        <v>2138</v>
      </c>
      <c r="E284" s="0" t="n">
        <v>21358715</v>
      </c>
      <c r="F284" s="0" t="n">
        <v>720197</v>
      </c>
      <c r="G284" s="0" t="s">
        <v>34</v>
      </c>
      <c r="H284" s="0" t="n">
        <v>3654128</v>
      </c>
      <c r="I284" s="0" t="s">
        <v>2144</v>
      </c>
      <c r="J284" s="0" t="n">
        <v>104593735</v>
      </c>
    </row>
    <row r="285" customFormat="false" ht="15" hidden="false" customHeight="false" outlineLevel="0" collapsed="false">
      <c r="B285" s="0" t="s">
        <v>2180</v>
      </c>
      <c r="C285" s="0" t="n">
        <v>226617970</v>
      </c>
      <c r="D285" s="0" t="s">
        <v>2138</v>
      </c>
      <c r="E285" s="0" t="n">
        <v>21358715</v>
      </c>
      <c r="F285" s="0" t="n">
        <v>720197</v>
      </c>
      <c r="G285" s="0" t="s">
        <v>34</v>
      </c>
      <c r="H285" s="0" t="n">
        <v>3654128</v>
      </c>
      <c r="I285" s="0" t="s">
        <v>2147</v>
      </c>
      <c r="J285" s="0" t="n">
        <v>104595739</v>
      </c>
    </row>
    <row r="286" customFormat="false" ht="15" hidden="false" customHeight="false" outlineLevel="0" collapsed="false">
      <c r="B286" s="0" t="s">
        <v>2181</v>
      </c>
      <c r="C286" s="0" t="n">
        <v>226783983</v>
      </c>
      <c r="D286" s="0" t="s">
        <v>2138</v>
      </c>
      <c r="E286" s="0" t="n">
        <v>21358715</v>
      </c>
      <c r="F286" s="0" t="n">
        <v>720197</v>
      </c>
      <c r="G286" s="0" t="s">
        <v>34</v>
      </c>
      <c r="H286" s="0" t="n">
        <v>3654128</v>
      </c>
      <c r="I286" s="0" t="s">
        <v>2182</v>
      </c>
      <c r="J286" s="0" t="n">
        <v>104592526</v>
      </c>
    </row>
    <row r="287" customFormat="false" ht="15" hidden="false" customHeight="false" outlineLevel="0" collapsed="false">
      <c r="B287" s="0" t="s">
        <v>2183</v>
      </c>
      <c r="C287" s="0" t="n">
        <v>226538594</v>
      </c>
      <c r="D287" s="0" t="s">
        <v>2138</v>
      </c>
      <c r="E287" s="0" t="n">
        <v>21358715</v>
      </c>
      <c r="F287" s="0" t="n">
        <v>720197</v>
      </c>
      <c r="G287" s="0" t="s">
        <v>34</v>
      </c>
      <c r="H287" s="0" t="n">
        <v>3654128</v>
      </c>
      <c r="I287" s="0" t="s">
        <v>2184</v>
      </c>
      <c r="J287" s="0" t="n">
        <v>104671430</v>
      </c>
    </row>
    <row r="288" customFormat="false" ht="15" hidden="false" customHeight="false" outlineLevel="0" collapsed="false">
      <c r="B288" s="0" t="s">
        <v>2185</v>
      </c>
      <c r="C288" s="0" t="n">
        <v>226617661</v>
      </c>
      <c r="D288" s="0" t="s">
        <v>2138</v>
      </c>
      <c r="E288" s="0" t="n">
        <v>21358715</v>
      </c>
      <c r="F288" s="0" t="n">
        <v>720197</v>
      </c>
      <c r="G288" s="0" t="s">
        <v>34</v>
      </c>
      <c r="H288" s="0" t="n">
        <v>3654128</v>
      </c>
      <c r="I288" s="0" t="s">
        <v>2186</v>
      </c>
      <c r="J288" s="0" t="n">
        <v>104593729</v>
      </c>
    </row>
    <row r="289" customFormat="false" ht="15" hidden="false" customHeight="false" outlineLevel="0" collapsed="false">
      <c r="B289" s="0" t="s">
        <v>2187</v>
      </c>
      <c r="C289" s="0" t="n">
        <v>223934056</v>
      </c>
      <c r="D289" s="0" t="s">
        <v>2138</v>
      </c>
      <c r="E289" s="0" t="n">
        <v>21358715</v>
      </c>
      <c r="F289" s="0" t="n">
        <v>720197</v>
      </c>
      <c r="G289" s="0" t="s">
        <v>34</v>
      </c>
      <c r="H289" s="0" t="n">
        <v>3654128</v>
      </c>
      <c r="I289" s="0" t="s">
        <v>2188</v>
      </c>
      <c r="J289" s="0" t="n">
        <v>103176827</v>
      </c>
    </row>
    <row r="290" customFormat="false" ht="15" hidden="false" customHeight="false" outlineLevel="0" collapsed="false">
      <c r="B290" s="0" t="s">
        <v>2189</v>
      </c>
      <c r="C290" s="0" t="n">
        <v>223862756</v>
      </c>
      <c r="D290" s="0" t="s">
        <v>2138</v>
      </c>
      <c r="E290" s="0" t="n">
        <v>21358715</v>
      </c>
      <c r="F290" s="0" t="n">
        <v>720197</v>
      </c>
      <c r="G290" s="0" t="s">
        <v>34</v>
      </c>
      <c r="H290" s="0" t="n">
        <v>3654128</v>
      </c>
      <c r="I290" s="0" t="s">
        <v>2190</v>
      </c>
      <c r="J290" s="0" t="n">
        <v>103180592</v>
      </c>
    </row>
    <row r="291" customFormat="false" ht="15" hidden="false" customHeight="false" outlineLevel="0" collapsed="false">
      <c r="B291" s="0" t="s">
        <v>2191</v>
      </c>
      <c r="C291" s="0" t="n">
        <v>223862747</v>
      </c>
      <c r="D291" s="0" t="s">
        <v>2138</v>
      </c>
      <c r="E291" s="0" t="n">
        <v>21358715</v>
      </c>
      <c r="F291" s="0" t="n">
        <v>720197</v>
      </c>
      <c r="G291" s="0" t="s">
        <v>34</v>
      </c>
      <c r="H291" s="0" t="n">
        <v>3654128</v>
      </c>
      <c r="I291" s="0" t="s">
        <v>2192</v>
      </c>
      <c r="J291" s="0" t="n">
        <v>103034911</v>
      </c>
    </row>
    <row r="292" customFormat="false" ht="15" hidden="false" customHeight="false" outlineLevel="0" collapsed="false">
      <c r="B292" s="0" t="s">
        <v>2193</v>
      </c>
      <c r="C292" s="0" t="n">
        <v>224104899</v>
      </c>
      <c r="D292" s="0" t="s">
        <v>2138</v>
      </c>
      <c r="E292" s="0" t="n">
        <v>21358715</v>
      </c>
      <c r="F292" s="0" t="n">
        <v>720197</v>
      </c>
      <c r="G292" s="0" t="s">
        <v>34</v>
      </c>
      <c r="H292" s="0" t="n">
        <v>3654128</v>
      </c>
      <c r="I292" s="0" t="s">
        <v>2194</v>
      </c>
      <c r="J292" s="0" t="n">
        <v>103180610</v>
      </c>
    </row>
    <row r="293" customFormat="false" ht="15" hidden="false" customHeight="false" outlineLevel="0" collapsed="false">
      <c r="B293" s="0" t="s">
        <v>2195</v>
      </c>
      <c r="C293" s="0" t="n">
        <v>223862897</v>
      </c>
      <c r="D293" s="0" t="s">
        <v>2138</v>
      </c>
      <c r="E293" s="0" t="n">
        <v>21358715</v>
      </c>
      <c r="F293" s="0" t="n">
        <v>720197</v>
      </c>
      <c r="G293" s="0" t="s">
        <v>34</v>
      </c>
      <c r="H293" s="0" t="n">
        <v>3654128</v>
      </c>
      <c r="I293" s="0" t="s">
        <v>2196</v>
      </c>
      <c r="J293" s="0" t="n">
        <v>103032775</v>
      </c>
    </row>
    <row r="294" customFormat="false" ht="15" hidden="false" customHeight="false" outlineLevel="0" collapsed="false">
      <c r="B294" s="0" t="s">
        <v>2197</v>
      </c>
      <c r="C294" s="0" t="n">
        <v>226538621</v>
      </c>
      <c r="D294" s="0" t="s">
        <v>2138</v>
      </c>
      <c r="E294" s="0" t="n">
        <v>21358715</v>
      </c>
      <c r="F294" s="0" t="n">
        <v>720197</v>
      </c>
      <c r="G294" s="0" t="s">
        <v>34</v>
      </c>
      <c r="H294" s="0" t="n">
        <v>3654128</v>
      </c>
      <c r="I294" s="0" t="s">
        <v>2144</v>
      </c>
      <c r="J294" s="0" t="n">
        <v>104593735</v>
      </c>
    </row>
    <row r="295" customFormat="false" ht="15" hidden="false" customHeight="false" outlineLevel="0" collapsed="false">
      <c r="B295" s="0" t="s">
        <v>2198</v>
      </c>
      <c r="C295" s="0" t="n">
        <v>226784007</v>
      </c>
      <c r="D295" s="0" t="s">
        <v>2138</v>
      </c>
      <c r="E295" s="0" t="n">
        <v>21358715</v>
      </c>
      <c r="F295" s="0" t="n">
        <v>720197</v>
      </c>
      <c r="G295" s="0" t="s">
        <v>34</v>
      </c>
      <c r="H295" s="0" t="n">
        <v>3654128</v>
      </c>
      <c r="I295" s="0" t="s">
        <v>2149</v>
      </c>
      <c r="J295" s="0" t="n">
        <v>104595766</v>
      </c>
    </row>
    <row r="296" customFormat="false" ht="15" hidden="false" customHeight="false" outlineLevel="0" collapsed="false">
      <c r="B296" s="0" t="s">
        <v>2199</v>
      </c>
      <c r="C296" s="0" t="n">
        <v>226784004</v>
      </c>
      <c r="D296" s="0" t="s">
        <v>2138</v>
      </c>
      <c r="E296" s="0" t="n">
        <v>21358715</v>
      </c>
      <c r="F296" s="0" t="n">
        <v>720197</v>
      </c>
      <c r="G296" s="0" t="s">
        <v>34</v>
      </c>
      <c r="H296" s="0" t="n">
        <v>3654128</v>
      </c>
      <c r="I296" s="0" t="s">
        <v>2200</v>
      </c>
      <c r="J296" s="0" t="n">
        <v>104593726</v>
      </c>
    </row>
    <row r="297" customFormat="false" ht="15" hidden="false" customHeight="false" outlineLevel="0" collapsed="false">
      <c r="B297" s="0" t="s">
        <v>2201</v>
      </c>
      <c r="C297" s="0" t="n">
        <v>226621012</v>
      </c>
      <c r="D297" s="0" t="s">
        <v>2138</v>
      </c>
      <c r="E297" s="0" t="n">
        <v>21358715</v>
      </c>
      <c r="F297" s="0" t="n">
        <v>720197</v>
      </c>
      <c r="G297" s="0" t="s">
        <v>34</v>
      </c>
      <c r="H297" s="0" t="n">
        <v>3654128</v>
      </c>
      <c r="I297" s="0" t="s">
        <v>2202</v>
      </c>
      <c r="J297" s="0" t="n">
        <v>104595730</v>
      </c>
    </row>
    <row r="298" customFormat="false" ht="15" hidden="false" customHeight="false" outlineLevel="0" collapsed="false">
      <c r="B298" s="0" t="s">
        <v>2203</v>
      </c>
      <c r="C298" s="0" t="n">
        <v>225282481</v>
      </c>
      <c r="D298" s="0" t="s">
        <v>2138</v>
      </c>
      <c r="E298" s="0" t="n">
        <v>21358715</v>
      </c>
      <c r="F298" s="0" t="n">
        <v>720197</v>
      </c>
      <c r="G298" s="0" t="s">
        <v>34</v>
      </c>
      <c r="H298" s="0" t="n">
        <v>3654128</v>
      </c>
      <c r="I298" s="0" t="s">
        <v>2153</v>
      </c>
      <c r="J298" s="0" t="n">
        <v>103773177</v>
      </c>
    </row>
    <row r="299" customFormat="false" ht="15" hidden="false" customHeight="false" outlineLevel="0" collapsed="false">
      <c r="B299" s="0" t="s">
        <v>2203</v>
      </c>
      <c r="C299" s="0" t="n">
        <v>225282481</v>
      </c>
      <c r="D299" s="0" t="s">
        <v>2138</v>
      </c>
      <c r="E299" s="0" t="n">
        <v>21358715</v>
      </c>
      <c r="F299" s="0" t="n">
        <v>720197</v>
      </c>
      <c r="G299" s="0" t="s">
        <v>34</v>
      </c>
      <c r="H299" s="0" t="n">
        <v>3654128</v>
      </c>
      <c r="I299" s="0" t="s">
        <v>2204</v>
      </c>
      <c r="J299" s="0" t="n">
        <v>103776921</v>
      </c>
    </row>
    <row r="300" customFormat="false" ht="15" hidden="false" customHeight="false" outlineLevel="0" collapsed="false">
      <c r="B300" s="0" t="s">
        <v>2203</v>
      </c>
      <c r="C300" s="0" t="n">
        <v>225282481</v>
      </c>
      <c r="D300" s="0" t="s">
        <v>2138</v>
      </c>
      <c r="E300" s="0" t="n">
        <v>21358715</v>
      </c>
      <c r="F300" s="0" t="n">
        <v>720197</v>
      </c>
      <c r="G300" s="0" t="s">
        <v>34</v>
      </c>
      <c r="H300" s="0" t="n">
        <v>3654128</v>
      </c>
      <c r="I300" s="0" t="s">
        <v>2205</v>
      </c>
      <c r="J300" s="0" t="n">
        <v>103873631</v>
      </c>
    </row>
    <row r="301" customFormat="false" ht="15" hidden="false" customHeight="false" outlineLevel="0" collapsed="false">
      <c r="B301" s="0" t="s">
        <v>2203</v>
      </c>
      <c r="C301" s="0" t="n">
        <v>225282481</v>
      </c>
      <c r="D301" s="0" t="s">
        <v>2138</v>
      </c>
      <c r="E301" s="0" t="n">
        <v>21358715</v>
      </c>
      <c r="F301" s="0" t="n">
        <v>720197</v>
      </c>
      <c r="G301" s="0" t="s">
        <v>34</v>
      </c>
      <c r="H301" s="0" t="n">
        <v>3654128</v>
      </c>
      <c r="I301" s="0" t="s">
        <v>2206</v>
      </c>
      <c r="J301" s="0" t="n">
        <v>103773180</v>
      </c>
    </row>
    <row r="302" customFormat="false" ht="15" hidden="false" customHeight="false" outlineLevel="0" collapsed="false">
      <c r="B302" s="0" t="s">
        <v>2203</v>
      </c>
      <c r="C302" s="0" t="n">
        <v>225282481</v>
      </c>
      <c r="D302" s="0" t="s">
        <v>2138</v>
      </c>
      <c r="E302" s="0" t="n">
        <v>21358715</v>
      </c>
      <c r="F302" s="0" t="n">
        <v>720197</v>
      </c>
      <c r="G302" s="0" t="s">
        <v>34</v>
      </c>
      <c r="H302" s="0" t="n">
        <v>3654128</v>
      </c>
      <c r="I302" s="0" t="s">
        <v>2154</v>
      </c>
      <c r="J302" s="0" t="n">
        <v>103874423</v>
      </c>
    </row>
    <row r="303" customFormat="false" ht="15" hidden="false" customHeight="false" outlineLevel="0" collapsed="false">
      <c r="B303" s="0" t="s">
        <v>2207</v>
      </c>
      <c r="C303" s="0" t="n">
        <v>223862933</v>
      </c>
      <c r="D303" s="0" t="s">
        <v>2138</v>
      </c>
      <c r="E303" s="0" t="n">
        <v>21358715</v>
      </c>
      <c r="F303" s="0" t="n">
        <v>720197</v>
      </c>
      <c r="G303" s="0" t="s">
        <v>34</v>
      </c>
      <c r="H303" s="0" t="n">
        <v>3654128</v>
      </c>
      <c r="I303" s="0" t="s">
        <v>2208</v>
      </c>
      <c r="J303" s="0" t="n">
        <v>103037935</v>
      </c>
    </row>
    <row r="304" customFormat="false" ht="15" hidden="false" customHeight="false" outlineLevel="0" collapsed="false">
      <c r="B304" s="0" t="s">
        <v>2209</v>
      </c>
      <c r="C304" s="0" t="n">
        <v>223935664</v>
      </c>
      <c r="D304" s="0" t="s">
        <v>2138</v>
      </c>
      <c r="E304" s="0" t="n">
        <v>21358715</v>
      </c>
      <c r="F304" s="0" t="n">
        <v>720197</v>
      </c>
      <c r="G304" s="0" t="s">
        <v>34</v>
      </c>
      <c r="H304" s="0" t="n">
        <v>3654128</v>
      </c>
      <c r="I304" s="0" t="s">
        <v>2210</v>
      </c>
      <c r="J304" s="0" t="n">
        <v>103043823</v>
      </c>
    </row>
    <row r="305" customFormat="false" ht="15" hidden="false" customHeight="false" outlineLevel="0" collapsed="false">
      <c r="B305" s="0" t="s">
        <v>2209</v>
      </c>
      <c r="C305" s="0" t="n">
        <v>223935664</v>
      </c>
      <c r="D305" s="0" t="s">
        <v>2138</v>
      </c>
      <c r="E305" s="0" t="n">
        <v>21358715</v>
      </c>
      <c r="F305" s="0" t="n">
        <v>720197</v>
      </c>
      <c r="G305" s="0" t="s">
        <v>34</v>
      </c>
      <c r="H305" s="0" t="n">
        <v>3654128</v>
      </c>
      <c r="I305" s="0" t="s">
        <v>2211</v>
      </c>
      <c r="J305" s="0" t="n">
        <v>103175984</v>
      </c>
    </row>
    <row r="306" customFormat="false" ht="15" hidden="false" customHeight="false" outlineLevel="0" collapsed="false">
      <c r="B306" s="0" t="s">
        <v>2212</v>
      </c>
      <c r="C306" s="0" t="n">
        <v>224104986</v>
      </c>
      <c r="D306" s="0" t="s">
        <v>2138</v>
      </c>
      <c r="E306" s="0" t="n">
        <v>21358715</v>
      </c>
      <c r="F306" s="0" t="n">
        <v>720197</v>
      </c>
      <c r="G306" s="0" t="s">
        <v>34</v>
      </c>
      <c r="H306" s="0" t="n">
        <v>3654128</v>
      </c>
      <c r="I306" s="0" t="s">
        <v>2139</v>
      </c>
      <c r="J306" s="0" t="n">
        <v>103043835</v>
      </c>
    </row>
    <row r="307" customFormat="false" ht="15" hidden="false" customHeight="false" outlineLevel="0" collapsed="false">
      <c r="B307" s="0" t="s">
        <v>2212</v>
      </c>
      <c r="C307" s="0" t="n">
        <v>224104986</v>
      </c>
      <c r="D307" s="0" t="s">
        <v>2138</v>
      </c>
      <c r="E307" s="0" t="n">
        <v>21358715</v>
      </c>
      <c r="F307" s="0" t="n">
        <v>720197</v>
      </c>
      <c r="G307" s="0" t="s">
        <v>34</v>
      </c>
      <c r="H307" s="0" t="n">
        <v>3654128</v>
      </c>
      <c r="I307" s="0" t="s">
        <v>2140</v>
      </c>
      <c r="J307" s="0" t="n">
        <v>103178645</v>
      </c>
    </row>
    <row r="308" customFormat="false" ht="15" hidden="false" customHeight="false" outlineLevel="0" collapsed="false">
      <c r="B308" s="0" t="s">
        <v>2213</v>
      </c>
      <c r="C308" s="0" t="n">
        <v>223862960</v>
      </c>
      <c r="D308" s="0" t="s">
        <v>2138</v>
      </c>
      <c r="E308" s="0" t="n">
        <v>21358715</v>
      </c>
      <c r="F308" s="0" t="n">
        <v>720197</v>
      </c>
      <c r="G308" s="0" t="s">
        <v>34</v>
      </c>
      <c r="H308" s="0" t="n">
        <v>3654128</v>
      </c>
      <c r="I308" s="0" t="s">
        <v>2196</v>
      </c>
      <c r="J308" s="0" t="n">
        <v>103032775</v>
      </c>
    </row>
    <row r="309" customFormat="false" ht="15" hidden="false" customHeight="false" outlineLevel="0" collapsed="false">
      <c r="B309" s="0" t="s">
        <v>2214</v>
      </c>
      <c r="C309" s="0" t="n">
        <v>223935349</v>
      </c>
      <c r="D309" s="0" t="s">
        <v>2138</v>
      </c>
      <c r="E309" s="0" t="n">
        <v>21358715</v>
      </c>
      <c r="F309" s="0" t="n">
        <v>720197</v>
      </c>
      <c r="G309" s="0" t="s">
        <v>34</v>
      </c>
      <c r="H309" s="0" t="n">
        <v>3654128</v>
      </c>
      <c r="I309" s="0" t="s">
        <v>2142</v>
      </c>
      <c r="J309" s="0" t="n">
        <v>103176812</v>
      </c>
    </row>
    <row r="310" customFormat="false" ht="15" hidden="false" customHeight="false" outlineLevel="0" collapsed="false">
      <c r="B310" s="0" t="s">
        <v>2215</v>
      </c>
      <c r="C310" s="0" t="n">
        <v>226538669</v>
      </c>
      <c r="D310" s="0" t="s">
        <v>2138</v>
      </c>
      <c r="E310" s="0" t="n">
        <v>21358715</v>
      </c>
      <c r="F310" s="0" t="n">
        <v>720197</v>
      </c>
      <c r="G310" s="0" t="s">
        <v>34</v>
      </c>
      <c r="H310" s="0" t="n">
        <v>3654128</v>
      </c>
      <c r="I310" s="0" t="s">
        <v>2144</v>
      </c>
      <c r="J310" s="0" t="n">
        <v>104593735</v>
      </c>
    </row>
    <row r="311" customFormat="false" ht="15" hidden="false" customHeight="false" outlineLevel="0" collapsed="false">
      <c r="B311" s="0" t="s">
        <v>2215</v>
      </c>
      <c r="C311" s="0" t="n">
        <v>226538669</v>
      </c>
      <c r="D311" s="0" t="s">
        <v>2138</v>
      </c>
      <c r="E311" s="0" t="n">
        <v>21358715</v>
      </c>
      <c r="F311" s="0" t="n">
        <v>720197</v>
      </c>
      <c r="G311" s="0" t="s">
        <v>34</v>
      </c>
      <c r="H311" s="0" t="n">
        <v>3654128</v>
      </c>
      <c r="I311" s="0" t="s">
        <v>2145</v>
      </c>
      <c r="J311" s="0" t="n">
        <v>104595745</v>
      </c>
    </row>
    <row r="312" customFormat="false" ht="15" hidden="false" customHeight="false" outlineLevel="0" collapsed="false">
      <c r="B312" s="0" t="s">
        <v>2216</v>
      </c>
      <c r="C312" s="0" t="n">
        <v>226622530</v>
      </c>
      <c r="D312" s="0" t="s">
        <v>2138</v>
      </c>
      <c r="E312" s="0" t="n">
        <v>21358715</v>
      </c>
      <c r="F312" s="0" t="n">
        <v>720197</v>
      </c>
      <c r="G312" s="0" t="s">
        <v>34</v>
      </c>
      <c r="H312" s="0" t="n">
        <v>3654128</v>
      </c>
      <c r="I312" s="0" t="s">
        <v>2149</v>
      </c>
      <c r="J312" s="0" t="n">
        <v>104595766</v>
      </c>
    </row>
    <row r="313" customFormat="false" ht="15" hidden="false" customHeight="false" outlineLevel="0" collapsed="false">
      <c r="B313" s="0" t="s">
        <v>2216</v>
      </c>
      <c r="C313" s="0" t="n">
        <v>226622530</v>
      </c>
      <c r="D313" s="0" t="s">
        <v>2138</v>
      </c>
      <c r="E313" s="0" t="n">
        <v>21358715</v>
      </c>
      <c r="F313" s="0" t="n">
        <v>720197</v>
      </c>
      <c r="G313" s="0" t="s">
        <v>34</v>
      </c>
      <c r="H313" s="0" t="n">
        <v>3654128</v>
      </c>
      <c r="I313" s="0" t="s">
        <v>2150</v>
      </c>
      <c r="J313" s="0" t="n">
        <v>104592523</v>
      </c>
    </row>
    <row r="314" customFormat="false" ht="15" hidden="false" customHeight="false" outlineLevel="0" collapsed="false">
      <c r="B314" s="0" t="s">
        <v>2217</v>
      </c>
      <c r="C314" s="0" t="n">
        <v>226784037</v>
      </c>
      <c r="D314" s="0" t="s">
        <v>2138</v>
      </c>
      <c r="E314" s="0" t="n">
        <v>21358715</v>
      </c>
      <c r="F314" s="0" t="n">
        <v>720197</v>
      </c>
      <c r="G314" s="0" t="s">
        <v>34</v>
      </c>
      <c r="H314" s="0" t="n">
        <v>3654128</v>
      </c>
      <c r="I314" s="0" t="s">
        <v>2150</v>
      </c>
      <c r="J314" s="0" t="n">
        <v>104592523</v>
      </c>
    </row>
    <row r="315" customFormat="false" ht="15" hidden="false" customHeight="false" outlineLevel="0" collapsed="false">
      <c r="B315" s="0" t="s">
        <v>2218</v>
      </c>
      <c r="C315" s="0" t="n">
        <v>225217676</v>
      </c>
      <c r="D315" s="0" t="s">
        <v>2138</v>
      </c>
      <c r="E315" s="0" t="n">
        <v>21358715</v>
      </c>
      <c r="F315" s="0" t="n">
        <v>720197</v>
      </c>
      <c r="G315" s="0" t="s">
        <v>34</v>
      </c>
      <c r="H315" s="0" t="n">
        <v>3654128</v>
      </c>
      <c r="I315" s="0" t="s">
        <v>2206</v>
      </c>
      <c r="J315" s="0" t="n">
        <v>103773180</v>
      </c>
    </row>
    <row r="316" customFormat="false" ht="15" hidden="false" customHeight="false" outlineLevel="0" collapsed="false">
      <c r="B316" s="0" t="s">
        <v>2218</v>
      </c>
      <c r="C316" s="0" t="n">
        <v>225217676</v>
      </c>
      <c r="D316" s="0" t="s">
        <v>2138</v>
      </c>
      <c r="E316" s="0" t="n">
        <v>21358715</v>
      </c>
      <c r="F316" s="0" t="n">
        <v>720197</v>
      </c>
      <c r="G316" s="0" t="s">
        <v>34</v>
      </c>
      <c r="H316" s="0" t="n">
        <v>3654128</v>
      </c>
      <c r="I316" s="0" t="s">
        <v>2154</v>
      </c>
      <c r="J316" s="0" t="n">
        <v>103874423</v>
      </c>
    </row>
    <row r="317" customFormat="false" ht="15" hidden="false" customHeight="false" outlineLevel="0" collapsed="false">
      <c r="B317" s="0" t="s">
        <v>2219</v>
      </c>
      <c r="C317" s="0" t="n">
        <v>224104092</v>
      </c>
      <c r="D317" s="0" t="s">
        <v>2138</v>
      </c>
      <c r="E317" s="0" t="n">
        <v>21358715</v>
      </c>
      <c r="F317" s="0" t="n">
        <v>720197</v>
      </c>
      <c r="G317" s="0" t="s">
        <v>34</v>
      </c>
      <c r="H317" s="0" t="n">
        <v>3654128</v>
      </c>
      <c r="I317" s="0" t="s">
        <v>2156</v>
      </c>
      <c r="J317" s="0" t="n">
        <v>103176851</v>
      </c>
    </row>
    <row r="318" customFormat="false" ht="15" hidden="false" customHeight="false" outlineLevel="0" collapsed="false">
      <c r="B318" s="0" t="s">
        <v>2220</v>
      </c>
      <c r="C318" s="0" t="n">
        <v>224106129</v>
      </c>
      <c r="D318" s="0" t="s">
        <v>2138</v>
      </c>
      <c r="E318" s="0" t="n">
        <v>21358715</v>
      </c>
      <c r="F318" s="0" t="n">
        <v>720197</v>
      </c>
      <c r="G318" s="0" t="s">
        <v>34</v>
      </c>
      <c r="H318" s="0" t="n">
        <v>3654128</v>
      </c>
      <c r="I318" s="0" t="s">
        <v>2156</v>
      </c>
      <c r="J318" s="0" t="n">
        <v>103176851</v>
      </c>
    </row>
    <row r="319" customFormat="false" ht="15" hidden="false" customHeight="false" outlineLevel="0" collapsed="false">
      <c r="B319" s="0" t="s">
        <v>2221</v>
      </c>
      <c r="C319" s="0" t="n">
        <v>226774293</v>
      </c>
      <c r="D319" s="0" t="s">
        <v>2138</v>
      </c>
      <c r="E319" s="0" t="n">
        <v>21358715</v>
      </c>
      <c r="F319" s="0" t="n">
        <v>720197</v>
      </c>
      <c r="G319" s="0" t="s">
        <v>2222</v>
      </c>
      <c r="H319" s="0" t="n">
        <v>3654329</v>
      </c>
      <c r="I319" s="0" t="s">
        <v>2223</v>
      </c>
      <c r="J319" s="0" t="n">
        <v>104593435</v>
      </c>
    </row>
    <row r="320" customFormat="false" ht="15" hidden="false" customHeight="false" outlineLevel="0" collapsed="false">
      <c r="B320" s="0" t="s">
        <v>2224</v>
      </c>
      <c r="C320" s="0" t="n">
        <v>226622833</v>
      </c>
      <c r="D320" s="0" t="s">
        <v>2138</v>
      </c>
      <c r="E320" s="0" t="n">
        <v>21358715</v>
      </c>
      <c r="F320" s="0" t="n">
        <v>720197</v>
      </c>
      <c r="G320" s="0" t="s">
        <v>2222</v>
      </c>
      <c r="H320" s="0" t="n">
        <v>3654329</v>
      </c>
      <c r="I320" s="0" t="s">
        <v>2225</v>
      </c>
      <c r="J320" s="0" t="n">
        <v>104593723</v>
      </c>
    </row>
    <row r="321" customFormat="false" ht="15" hidden="false" customHeight="false" outlineLevel="0" collapsed="false">
      <c r="B321" s="0" t="s">
        <v>2226</v>
      </c>
      <c r="C321" s="0" t="n">
        <v>226617625</v>
      </c>
      <c r="D321" s="0" t="s">
        <v>2138</v>
      </c>
      <c r="E321" s="0" t="n">
        <v>21358715</v>
      </c>
      <c r="F321" s="0" t="n">
        <v>720197</v>
      </c>
      <c r="G321" s="0" t="s">
        <v>2222</v>
      </c>
      <c r="H321" s="0" t="n">
        <v>3654329</v>
      </c>
      <c r="I321" s="0" t="s">
        <v>2227</v>
      </c>
      <c r="J321" s="0" t="n">
        <v>104592529</v>
      </c>
    </row>
    <row r="322" customFormat="false" ht="15" hidden="false" customHeight="false" outlineLevel="0" collapsed="false">
      <c r="B322" s="0" t="s">
        <v>2228</v>
      </c>
      <c r="C322" s="0" t="n">
        <v>226786188</v>
      </c>
      <c r="D322" s="0" t="s">
        <v>2138</v>
      </c>
      <c r="E322" s="0" t="n">
        <v>21358715</v>
      </c>
      <c r="F322" s="0" t="n">
        <v>720197</v>
      </c>
      <c r="G322" s="0" t="s">
        <v>2222</v>
      </c>
      <c r="H322" s="0" t="n">
        <v>3654329</v>
      </c>
      <c r="I322" s="0" t="s">
        <v>2223</v>
      </c>
      <c r="J322" s="0" t="n">
        <v>104593435</v>
      </c>
    </row>
    <row r="323" customFormat="false" ht="15" hidden="false" customHeight="false" outlineLevel="0" collapsed="false">
      <c r="B323" s="0" t="s">
        <v>2229</v>
      </c>
      <c r="C323" s="0" t="n">
        <v>226536104</v>
      </c>
      <c r="D323" s="0" t="s">
        <v>2138</v>
      </c>
      <c r="E323" s="0" t="n">
        <v>21358715</v>
      </c>
      <c r="F323" s="0" t="n">
        <v>720197</v>
      </c>
      <c r="G323" s="0" t="s">
        <v>2222</v>
      </c>
      <c r="H323" s="0" t="n">
        <v>3654329</v>
      </c>
      <c r="I323" s="0" t="s">
        <v>2225</v>
      </c>
      <c r="J323" s="0" t="n">
        <v>104593723</v>
      </c>
    </row>
    <row r="324" customFormat="false" ht="15" hidden="false" customHeight="false" outlineLevel="0" collapsed="false">
      <c r="B324" s="0" t="s">
        <v>2230</v>
      </c>
      <c r="C324" s="0" t="n">
        <v>226535249</v>
      </c>
      <c r="D324" s="0" t="s">
        <v>2138</v>
      </c>
      <c r="E324" s="0" t="n">
        <v>21358715</v>
      </c>
      <c r="F324" s="0" t="n">
        <v>720197</v>
      </c>
      <c r="G324" s="0" t="s">
        <v>2222</v>
      </c>
      <c r="H324" s="0" t="n">
        <v>3654329</v>
      </c>
      <c r="I324" s="0" t="s">
        <v>2231</v>
      </c>
      <c r="J324" s="0" t="n">
        <v>104671415</v>
      </c>
    </row>
    <row r="325" customFormat="false" ht="15" hidden="false" customHeight="false" outlineLevel="0" collapsed="false">
      <c r="B325" s="0" t="s">
        <v>2232</v>
      </c>
      <c r="C325" s="0" t="n">
        <v>226615867</v>
      </c>
      <c r="D325" s="0" t="s">
        <v>2138</v>
      </c>
      <c r="E325" s="0" t="n">
        <v>21358715</v>
      </c>
      <c r="F325" s="0" t="n">
        <v>720197</v>
      </c>
      <c r="G325" s="0" t="s">
        <v>2222</v>
      </c>
      <c r="H325" s="0" t="n">
        <v>3654329</v>
      </c>
      <c r="I325" s="0" t="s">
        <v>2227</v>
      </c>
      <c r="J325" s="0" t="n">
        <v>104592529</v>
      </c>
    </row>
    <row r="326" customFormat="false" ht="15" hidden="false" customHeight="false" outlineLevel="0" collapsed="false">
      <c r="B326" s="0" t="s">
        <v>2233</v>
      </c>
      <c r="C326" s="0" t="n">
        <v>226621543</v>
      </c>
      <c r="D326" s="0" t="s">
        <v>2138</v>
      </c>
      <c r="E326" s="0" t="n">
        <v>21358715</v>
      </c>
      <c r="F326" s="0" t="n">
        <v>720197</v>
      </c>
      <c r="G326" s="0" t="s">
        <v>2222</v>
      </c>
      <c r="H326" s="0" t="n">
        <v>3654329</v>
      </c>
      <c r="I326" s="0" t="s">
        <v>2234</v>
      </c>
      <c r="J326" s="0" t="n">
        <v>104593444</v>
      </c>
    </row>
    <row r="327" customFormat="false" ht="15" hidden="false" customHeight="false" outlineLevel="0" collapsed="false">
      <c r="B327" s="0" t="s">
        <v>2235</v>
      </c>
      <c r="C327" s="0" t="n">
        <v>226622815</v>
      </c>
      <c r="D327" s="0" t="s">
        <v>2138</v>
      </c>
      <c r="E327" s="0" t="n">
        <v>21358715</v>
      </c>
      <c r="F327" s="0" t="n">
        <v>720197</v>
      </c>
      <c r="G327" s="0" t="s">
        <v>2222</v>
      </c>
      <c r="H327" s="0" t="n">
        <v>3654329</v>
      </c>
      <c r="I327" s="0" t="s">
        <v>2236</v>
      </c>
      <c r="J327" s="0" t="n">
        <v>104593732</v>
      </c>
    </row>
    <row r="328" customFormat="false" ht="15" hidden="false" customHeight="false" outlineLevel="0" collapsed="false">
      <c r="B328" s="0" t="s">
        <v>2237</v>
      </c>
      <c r="C328" s="0" t="n">
        <v>226538510</v>
      </c>
      <c r="D328" s="0" t="s">
        <v>2138</v>
      </c>
      <c r="E328" s="0" t="n">
        <v>21358715</v>
      </c>
      <c r="F328" s="0" t="n">
        <v>720197</v>
      </c>
      <c r="G328" s="0" t="s">
        <v>2222</v>
      </c>
      <c r="H328" s="0" t="n">
        <v>3654329</v>
      </c>
      <c r="I328" s="0" t="s">
        <v>2238</v>
      </c>
      <c r="J328" s="0" t="n">
        <v>104595736</v>
      </c>
    </row>
    <row r="329" customFormat="false" ht="15" hidden="false" customHeight="false" outlineLevel="0" collapsed="false">
      <c r="B329" s="0" t="s">
        <v>2239</v>
      </c>
      <c r="C329" s="0" t="n">
        <v>226538513</v>
      </c>
      <c r="D329" s="0" t="s">
        <v>2138</v>
      </c>
      <c r="E329" s="0" t="n">
        <v>21358715</v>
      </c>
      <c r="F329" s="0" t="n">
        <v>720197</v>
      </c>
      <c r="G329" s="0" t="s">
        <v>2222</v>
      </c>
      <c r="H329" s="0" t="n">
        <v>3654329</v>
      </c>
      <c r="I329" s="0" t="s">
        <v>2238</v>
      </c>
      <c r="J329" s="0" t="n">
        <v>104595736</v>
      </c>
    </row>
    <row r="330" customFormat="false" ht="15" hidden="false" customHeight="false" outlineLevel="0" collapsed="false">
      <c r="B330" s="0" t="s">
        <v>2240</v>
      </c>
      <c r="C330" s="0" t="n">
        <v>226535246</v>
      </c>
      <c r="D330" s="0" t="s">
        <v>2138</v>
      </c>
      <c r="E330" s="0" t="n">
        <v>21358715</v>
      </c>
      <c r="F330" s="0" t="n">
        <v>720197</v>
      </c>
      <c r="G330" s="0" t="s">
        <v>2222</v>
      </c>
      <c r="H330" s="0" t="n">
        <v>3654329</v>
      </c>
      <c r="I330" s="0" t="s">
        <v>2241</v>
      </c>
      <c r="J330" s="0" t="n">
        <v>104671424</v>
      </c>
    </row>
    <row r="331" customFormat="false" ht="15" hidden="false" customHeight="false" outlineLevel="0" collapsed="false">
      <c r="B331" s="0" t="s">
        <v>2242</v>
      </c>
      <c r="C331" s="0" t="n">
        <v>226620916</v>
      </c>
      <c r="D331" s="0" t="s">
        <v>2138</v>
      </c>
      <c r="E331" s="0" t="n">
        <v>21358715</v>
      </c>
      <c r="F331" s="0" t="n">
        <v>720197</v>
      </c>
      <c r="G331" s="0" t="s">
        <v>2222</v>
      </c>
      <c r="H331" s="0" t="n">
        <v>3654329</v>
      </c>
      <c r="I331" s="0" t="s">
        <v>2243</v>
      </c>
      <c r="J331" s="0" t="n">
        <v>104592532</v>
      </c>
    </row>
    <row r="332" customFormat="false" ht="15" hidden="false" customHeight="false" outlineLevel="0" collapsed="false">
      <c r="B332" s="0" t="s">
        <v>2244</v>
      </c>
      <c r="C332" s="0" t="n">
        <v>226622818</v>
      </c>
      <c r="D332" s="0" t="s">
        <v>2138</v>
      </c>
      <c r="E332" s="0" t="n">
        <v>21358715</v>
      </c>
      <c r="F332" s="0" t="n">
        <v>720197</v>
      </c>
      <c r="G332" s="0" t="s">
        <v>2222</v>
      </c>
      <c r="H332" s="0" t="n">
        <v>3654329</v>
      </c>
      <c r="I332" s="0" t="s">
        <v>2245</v>
      </c>
      <c r="J332" s="0" t="n">
        <v>104593447</v>
      </c>
    </row>
    <row r="333" customFormat="false" ht="15" hidden="false" customHeight="false" outlineLevel="0" collapsed="false">
      <c r="B333" s="0" t="s">
        <v>2246</v>
      </c>
      <c r="C333" s="0" t="n">
        <v>226536125</v>
      </c>
      <c r="D333" s="0" t="s">
        <v>2138</v>
      </c>
      <c r="E333" s="0" t="n">
        <v>21358715</v>
      </c>
      <c r="F333" s="0" t="n">
        <v>720197</v>
      </c>
      <c r="G333" s="0" t="s">
        <v>2222</v>
      </c>
      <c r="H333" s="0" t="n">
        <v>3654329</v>
      </c>
      <c r="I333" s="0" t="s">
        <v>2231</v>
      </c>
      <c r="J333" s="0" t="n">
        <v>104671415</v>
      </c>
    </row>
    <row r="334" customFormat="false" ht="15" hidden="false" customHeight="false" outlineLevel="0" collapsed="false">
      <c r="B334" s="0" t="s">
        <v>2247</v>
      </c>
      <c r="C334" s="0" t="n">
        <v>226786230</v>
      </c>
      <c r="D334" s="0" t="s">
        <v>2138</v>
      </c>
      <c r="E334" s="0" t="n">
        <v>21358715</v>
      </c>
      <c r="F334" s="0" t="n">
        <v>720197</v>
      </c>
      <c r="G334" s="0" t="s">
        <v>2222</v>
      </c>
      <c r="H334" s="0" t="n">
        <v>3654329</v>
      </c>
      <c r="I334" s="0" t="s">
        <v>2227</v>
      </c>
      <c r="J334" s="0" t="n">
        <v>104592529</v>
      </c>
    </row>
    <row r="335" customFormat="false" ht="15" hidden="false" customHeight="false" outlineLevel="0" collapsed="false">
      <c r="B335" s="0" t="s">
        <v>2248</v>
      </c>
      <c r="C335" s="0" t="n">
        <v>226538582</v>
      </c>
      <c r="D335" s="0" t="s">
        <v>2138</v>
      </c>
      <c r="E335" s="0" t="n">
        <v>21358715</v>
      </c>
      <c r="F335" s="0" t="n">
        <v>720197</v>
      </c>
      <c r="G335" s="0" t="s">
        <v>2222</v>
      </c>
      <c r="H335" s="0" t="n">
        <v>3654329</v>
      </c>
      <c r="I335" s="0" t="s">
        <v>2234</v>
      </c>
      <c r="J335" s="0" t="n">
        <v>104593444</v>
      </c>
    </row>
    <row r="336" customFormat="false" ht="15" hidden="false" customHeight="false" outlineLevel="0" collapsed="false">
      <c r="B336" s="0" t="s">
        <v>2249</v>
      </c>
      <c r="C336" s="0" t="n">
        <v>226617961</v>
      </c>
      <c r="D336" s="0" t="s">
        <v>2138</v>
      </c>
      <c r="E336" s="0" t="n">
        <v>21358715</v>
      </c>
      <c r="F336" s="0" t="n">
        <v>720197</v>
      </c>
      <c r="G336" s="0" t="s">
        <v>2222</v>
      </c>
      <c r="H336" s="0" t="n">
        <v>3654329</v>
      </c>
      <c r="I336" s="0" t="s">
        <v>2236</v>
      </c>
      <c r="J336" s="0" t="n">
        <v>104593732</v>
      </c>
    </row>
    <row r="337" customFormat="false" ht="15" hidden="false" customHeight="false" outlineLevel="0" collapsed="false">
      <c r="B337" s="0" t="s">
        <v>2250</v>
      </c>
      <c r="C337" s="0" t="n">
        <v>226622884</v>
      </c>
      <c r="D337" s="0" t="s">
        <v>2138</v>
      </c>
      <c r="E337" s="0" t="n">
        <v>21358715</v>
      </c>
      <c r="F337" s="0" t="n">
        <v>720197</v>
      </c>
      <c r="G337" s="0" t="s">
        <v>2222</v>
      </c>
      <c r="H337" s="0" t="n">
        <v>3654329</v>
      </c>
      <c r="I337" s="0" t="s">
        <v>2238</v>
      </c>
      <c r="J337" s="0" t="n">
        <v>104595736</v>
      </c>
    </row>
    <row r="338" customFormat="false" ht="15" hidden="false" customHeight="false" outlineLevel="0" collapsed="false">
      <c r="B338" s="0" t="s">
        <v>2251</v>
      </c>
      <c r="C338" s="0" t="n">
        <v>226620961</v>
      </c>
      <c r="D338" s="0" t="s">
        <v>2138</v>
      </c>
      <c r="E338" s="0" t="n">
        <v>21358715</v>
      </c>
      <c r="F338" s="0" t="n">
        <v>720197</v>
      </c>
      <c r="G338" s="0" t="s">
        <v>2222</v>
      </c>
      <c r="H338" s="0" t="n">
        <v>3654329</v>
      </c>
      <c r="I338" s="0" t="s">
        <v>2238</v>
      </c>
      <c r="J338" s="0" t="n">
        <v>104595736</v>
      </c>
    </row>
    <row r="339" customFormat="false" ht="15" hidden="false" customHeight="false" outlineLevel="0" collapsed="false">
      <c r="B339" s="0" t="s">
        <v>2252</v>
      </c>
      <c r="C339" s="0" t="n">
        <v>226617649</v>
      </c>
      <c r="D339" s="0" t="s">
        <v>2138</v>
      </c>
      <c r="E339" s="0" t="n">
        <v>21358715</v>
      </c>
      <c r="F339" s="0" t="n">
        <v>720197</v>
      </c>
      <c r="G339" s="0" t="s">
        <v>2222</v>
      </c>
      <c r="H339" s="0" t="n">
        <v>3654329</v>
      </c>
      <c r="I339" s="0" t="s">
        <v>2241</v>
      </c>
      <c r="J339" s="0" t="n">
        <v>104671424</v>
      </c>
    </row>
    <row r="340" customFormat="false" ht="15" hidden="false" customHeight="false" outlineLevel="0" collapsed="false">
      <c r="B340" s="0" t="s">
        <v>2253</v>
      </c>
      <c r="C340" s="0" t="n">
        <v>226538576</v>
      </c>
      <c r="D340" s="0" t="s">
        <v>2138</v>
      </c>
      <c r="E340" s="0" t="n">
        <v>21358715</v>
      </c>
      <c r="F340" s="0" t="n">
        <v>720197</v>
      </c>
      <c r="G340" s="0" t="s">
        <v>2222</v>
      </c>
      <c r="H340" s="0" t="n">
        <v>3654329</v>
      </c>
      <c r="I340" s="0" t="s">
        <v>2243</v>
      </c>
      <c r="J340" s="0" t="n">
        <v>104592532</v>
      </c>
    </row>
    <row r="341" customFormat="false" ht="15" hidden="false" customHeight="false" outlineLevel="0" collapsed="false">
      <c r="B341" s="0" t="s">
        <v>2254</v>
      </c>
      <c r="C341" s="0" t="n">
        <v>226539371</v>
      </c>
      <c r="D341" s="0" t="s">
        <v>2138</v>
      </c>
      <c r="E341" s="0" t="n">
        <v>21358715</v>
      </c>
      <c r="F341" s="0" t="n">
        <v>720197</v>
      </c>
      <c r="G341" s="0" t="s">
        <v>2222</v>
      </c>
      <c r="H341" s="0" t="n">
        <v>3654329</v>
      </c>
      <c r="I341" s="0" t="s">
        <v>2245</v>
      </c>
      <c r="J341" s="0" t="n">
        <v>104593447</v>
      </c>
    </row>
    <row r="342" customFormat="false" ht="15" hidden="false" customHeight="false" outlineLevel="0" collapsed="false">
      <c r="B342" s="0" t="s">
        <v>2255</v>
      </c>
      <c r="C342" s="0" t="n">
        <v>226535273</v>
      </c>
      <c r="D342" s="0" t="s">
        <v>2138</v>
      </c>
      <c r="E342" s="0" t="n">
        <v>21358715</v>
      </c>
      <c r="F342" s="0" t="n">
        <v>720197</v>
      </c>
      <c r="G342" s="0" t="s">
        <v>2222</v>
      </c>
      <c r="H342" s="0" t="n">
        <v>3654329</v>
      </c>
      <c r="I342" s="0" t="s">
        <v>2256</v>
      </c>
      <c r="J342" s="0" t="n">
        <v>104592520</v>
      </c>
    </row>
    <row r="343" customFormat="false" ht="15" hidden="false" customHeight="false" outlineLevel="0" collapsed="false">
      <c r="B343" s="0" t="s">
        <v>2257</v>
      </c>
      <c r="C343" s="0" t="n">
        <v>226538561</v>
      </c>
      <c r="D343" s="0" t="s">
        <v>2138</v>
      </c>
      <c r="E343" s="0" t="n">
        <v>21358715</v>
      </c>
      <c r="F343" s="0" t="n">
        <v>720197</v>
      </c>
      <c r="G343" s="0" t="s">
        <v>2222</v>
      </c>
      <c r="H343" s="0" t="n">
        <v>3654329</v>
      </c>
      <c r="I343" s="0" t="s">
        <v>2223</v>
      </c>
      <c r="J343" s="0" t="n">
        <v>104593435</v>
      </c>
    </row>
    <row r="344" customFormat="false" ht="15" hidden="false" customHeight="false" outlineLevel="0" collapsed="false">
      <c r="B344" s="0" t="s">
        <v>2258</v>
      </c>
      <c r="C344" s="0" t="n">
        <v>226536116</v>
      </c>
      <c r="D344" s="0" t="s">
        <v>2138</v>
      </c>
      <c r="E344" s="0" t="n">
        <v>21358715</v>
      </c>
      <c r="F344" s="0" t="n">
        <v>720197</v>
      </c>
      <c r="G344" s="0" t="s">
        <v>2222</v>
      </c>
      <c r="H344" s="0" t="n">
        <v>3654329</v>
      </c>
      <c r="I344" s="0" t="s">
        <v>2225</v>
      </c>
      <c r="J344" s="0" t="n">
        <v>104593723</v>
      </c>
    </row>
    <row r="345" customFormat="false" ht="15" hidden="false" customHeight="false" outlineLevel="0" collapsed="false">
      <c r="B345" s="0" t="s">
        <v>2259</v>
      </c>
      <c r="C345" s="0" t="n">
        <v>226615891</v>
      </c>
      <c r="D345" s="0" t="s">
        <v>2138</v>
      </c>
      <c r="E345" s="0" t="n">
        <v>21358715</v>
      </c>
      <c r="F345" s="0" t="n">
        <v>720197</v>
      </c>
      <c r="G345" s="0" t="s">
        <v>2222</v>
      </c>
      <c r="H345" s="0" t="n">
        <v>3654329</v>
      </c>
      <c r="I345" s="0" t="s">
        <v>2231</v>
      </c>
      <c r="J345" s="0" t="n">
        <v>104671415</v>
      </c>
    </row>
    <row r="346" customFormat="false" ht="15" hidden="false" customHeight="false" outlineLevel="0" collapsed="false">
      <c r="B346" s="0" t="s">
        <v>2260</v>
      </c>
      <c r="C346" s="0" t="n">
        <v>226622869</v>
      </c>
      <c r="D346" s="0" t="s">
        <v>2138</v>
      </c>
      <c r="E346" s="0" t="n">
        <v>21358715</v>
      </c>
      <c r="F346" s="0" t="n">
        <v>720197</v>
      </c>
      <c r="G346" s="0" t="s">
        <v>2222</v>
      </c>
      <c r="H346" s="0" t="n">
        <v>3654329</v>
      </c>
      <c r="I346" s="0" t="s">
        <v>2227</v>
      </c>
      <c r="J346" s="0" t="n">
        <v>104592529</v>
      </c>
    </row>
    <row r="347" customFormat="false" ht="15" hidden="false" customHeight="false" outlineLevel="0" collapsed="false">
      <c r="B347" s="0" t="s">
        <v>2261</v>
      </c>
      <c r="C347" s="0" t="n">
        <v>226617946</v>
      </c>
      <c r="D347" s="0" t="s">
        <v>2138</v>
      </c>
      <c r="E347" s="0" t="n">
        <v>21358715</v>
      </c>
      <c r="F347" s="0" t="n">
        <v>720197</v>
      </c>
      <c r="G347" s="0" t="s">
        <v>2222</v>
      </c>
      <c r="H347" s="0" t="n">
        <v>3654329</v>
      </c>
      <c r="I347" s="0" t="s">
        <v>2234</v>
      </c>
      <c r="J347" s="0" t="n">
        <v>104593444</v>
      </c>
    </row>
    <row r="348" customFormat="false" ht="15" hidden="false" customHeight="false" outlineLevel="0" collapsed="false">
      <c r="B348" s="0" t="s">
        <v>2262</v>
      </c>
      <c r="C348" s="0" t="n">
        <v>226535264</v>
      </c>
      <c r="D348" s="0" t="s">
        <v>2138</v>
      </c>
      <c r="E348" s="0" t="n">
        <v>21358715</v>
      </c>
      <c r="F348" s="0" t="n">
        <v>720197</v>
      </c>
      <c r="G348" s="0" t="s">
        <v>2222</v>
      </c>
      <c r="H348" s="0" t="n">
        <v>3654329</v>
      </c>
      <c r="I348" s="0" t="s">
        <v>2236</v>
      </c>
      <c r="J348" s="0" t="n">
        <v>104593732</v>
      </c>
    </row>
    <row r="349" customFormat="false" ht="15" hidden="false" customHeight="false" outlineLevel="0" collapsed="false">
      <c r="B349" s="0" t="s">
        <v>2263</v>
      </c>
      <c r="C349" s="0" t="n">
        <v>226622875</v>
      </c>
      <c r="D349" s="0" t="s">
        <v>2138</v>
      </c>
      <c r="E349" s="0" t="n">
        <v>21358715</v>
      </c>
      <c r="F349" s="0" t="n">
        <v>720197</v>
      </c>
      <c r="G349" s="0" t="s">
        <v>2222</v>
      </c>
      <c r="H349" s="0" t="n">
        <v>3654329</v>
      </c>
      <c r="I349" s="0" t="s">
        <v>2238</v>
      </c>
      <c r="J349" s="0" t="n">
        <v>104595736</v>
      </c>
    </row>
    <row r="350" customFormat="false" ht="15" hidden="false" customHeight="false" outlineLevel="0" collapsed="false">
      <c r="B350" s="0" t="s">
        <v>2264</v>
      </c>
      <c r="C350" s="0" t="n">
        <v>226535270</v>
      </c>
      <c r="D350" s="0" t="s">
        <v>2138</v>
      </c>
      <c r="E350" s="0" t="n">
        <v>21358715</v>
      </c>
      <c r="F350" s="0" t="n">
        <v>720197</v>
      </c>
      <c r="G350" s="0" t="s">
        <v>2222</v>
      </c>
      <c r="H350" s="0" t="n">
        <v>3654329</v>
      </c>
      <c r="I350" s="0" t="s">
        <v>2238</v>
      </c>
      <c r="J350" s="0" t="n">
        <v>104595736</v>
      </c>
    </row>
    <row r="351" customFormat="false" ht="15" hidden="false" customHeight="false" outlineLevel="0" collapsed="false">
      <c r="B351" s="0" t="s">
        <v>2265</v>
      </c>
      <c r="C351" s="0" t="n">
        <v>226622866</v>
      </c>
      <c r="D351" s="0" t="s">
        <v>2138</v>
      </c>
      <c r="E351" s="0" t="n">
        <v>21358715</v>
      </c>
      <c r="F351" s="0" t="n">
        <v>720197</v>
      </c>
      <c r="G351" s="0" t="s">
        <v>2222</v>
      </c>
      <c r="H351" s="0" t="n">
        <v>3654329</v>
      </c>
      <c r="I351" s="0" t="s">
        <v>2241</v>
      </c>
      <c r="J351" s="0" t="n">
        <v>104671424</v>
      </c>
    </row>
    <row r="352" customFormat="false" ht="15" hidden="false" customHeight="false" outlineLevel="0" collapsed="false">
      <c r="B352" s="0" t="s">
        <v>2266</v>
      </c>
      <c r="C352" s="0" t="n">
        <v>226774326</v>
      </c>
      <c r="D352" s="0" t="s">
        <v>2138</v>
      </c>
      <c r="E352" s="0" t="n">
        <v>21358715</v>
      </c>
      <c r="F352" s="0" t="n">
        <v>720197</v>
      </c>
      <c r="G352" s="0" t="s">
        <v>2222</v>
      </c>
      <c r="H352" s="0" t="n">
        <v>3654329</v>
      </c>
      <c r="I352" s="0" t="s">
        <v>2243</v>
      </c>
      <c r="J352" s="0" t="n">
        <v>104592532</v>
      </c>
    </row>
    <row r="353" customFormat="false" ht="15" hidden="false" customHeight="false" outlineLevel="0" collapsed="false">
      <c r="B353" s="0" t="s">
        <v>2267</v>
      </c>
      <c r="C353" s="0" t="n">
        <v>226538552</v>
      </c>
      <c r="D353" s="0" t="s">
        <v>2138</v>
      </c>
      <c r="E353" s="0" t="n">
        <v>21358715</v>
      </c>
      <c r="F353" s="0" t="n">
        <v>720197</v>
      </c>
      <c r="G353" s="0" t="s">
        <v>2222</v>
      </c>
      <c r="H353" s="0" t="n">
        <v>3654329</v>
      </c>
      <c r="I353" s="0" t="s">
        <v>2245</v>
      </c>
      <c r="J353" s="0" t="n">
        <v>104593447</v>
      </c>
    </row>
    <row r="354" customFormat="false" ht="15" hidden="false" customHeight="false" outlineLevel="0" collapsed="false">
      <c r="B354" s="0" t="s">
        <v>2268</v>
      </c>
      <c r="C354" s="0" t="n">
        <v>226774248</v>
      </c>
      <c r="D354" s="0" t="s">
        <v>2138</v>
      </c>
      <c r="E354" s="0" t="n">
        <v>21358715</v>
      </c>
      <c r="F354" s="0" t="n">
        <v>720197</v>
      </c>
      <c r="G354" s="0" t="s">
        <v>2222</v>
      </c>
      <c r="H354" s="0" t="n">
        <v>3654329</v>
      </c>
      <c r="I354" s="0" t="s">
        <v>2223</v>
      </c>
      <c r="J354" s="0" t="n">
        <v>104593435</v>
      </c>
    </row>
    <row r="355" customFormat="false" ht="15" hidden="false" customHeight="false" outlineLevel="0" collapsed="false">
      <c r="B355" s="0" t="s">
        <v>2269</v>
      </c>
      <c r="C355" s="0" t="n">
        <v>226774233</v>
      </c>
      <c r="D355" s="0" t="s">
        <v>2138</v>
      </c>
      <c r="E355" s="0" t="n">
        <v>21358715</v>
      </c>
      <c r="F355" s="0" t="n">
        <v>720197</v>
      </c>
      <c r="G355" s="0" t="s">
        <v>2222</v>
      </c>
      <c r="H355" s="0" t="n">
        <v>3654329</v>
      </c>
      <c r="I355" s="0" t="s">
        <v>2225</v>
      </c>
      <c r="J355" s="0" t="n">
        <v>104593723</v>
      </c>
    </row>
    <row r="356" customFormat="false" ht="15" hidden="false" customHeight="false" outlineLevel="0" collapsed="false">
      <c r="B356" s="0" t="s">
        <v>2270</v>
      </c>
      <c r="C356" s="0" t="n">
        <v>226620871</v>
      </c>
      <c r="D356" s="0" t="s">
        <v>2138</v>
      </c>
      <c r="E356" s="0" t="n">
        <v>21358715</v>
      </c>
      <c r="F356" s="0" t="n">
        <v>720197</v>
      </c>
      <c r="G356" s="0" t="s">
        <v>2222</v>
      </c>
      <c r="H356" s="0" t="n">
        <v>3654329</v>
      </c>
      <c r="I356" s="0" t="s">
        <v>2231</v>
      </c>
      <c r="J356" s="0" t="n">
        <v>104671415</v>
      </c>
    </row>
    <row r="357" customFormat="false" ht="15" hidden="false" customHeight="false" outlineLevel="0" collapsed="false">
      <c r="B357" s="0" t="s">
        <v>2271</v>
      </c>
      <c r="C357" s="0" t="n">
        <v>226774236</v>
      </c>
      <c r="D357" s="0" t="s">
        <v>2138</v>
      </c>
      <c r="E357" s="0" t="n">
        <v>21358715</v>
      </c>
      <c r="F357" s="0" t="n">
        <v>720197</v>
      </c>
      <c r="G357" s="0" t="s">
        <v>2222</v>
      </c>
      <c r="H357" s="0" t="n">
        <v>3654329</v>
      </c>
      <c r="I357" s="0" t="s">
        <v>2227</v>
      </c>
      <c r="J357" s="0" t="n">
        <v>104592529</v>
      </c>
    </row>
    <row r="358" customFormat="false" ht="15" hidden="false" customHeight="false" outlineLevel="0" collapsed="false">
      <c r="B358" s="0" t="s">
        <v>2272</v>
      </c>
      <c r="C358" s="0" t="n">
        <v>226785117</v>
      </c>
      <c r="D358" s="0" t="s">
        <v>2138</v>
      </c>
      <c r="E358" s="0" t="n">
        <v>21358715</v>
      </c>
      <c r="F358" s="0" t="n">
        <v>720197</v>
      </c>
      <c r="G358" s="0" t="s">
        <v>2222</v>
      </c>
      <c r="H358" s="0" t="n">
        <v>3654329</v>
      </c>
      <c r="I358" s="0" t="s">
        <v>2234</v>
      </c>
      <c r="J358" s="0" t="n">
        <v>104593444</v>
      </c>
    </row>
    <row r="359" customFormat="false" ht="15" hidden="false" customHeight="false" outlineLevel="0" collapsed="false">
      <c r="B359" s="0" t="s">
        <v>2273</v>
      </c>
      <c r="C359" s="0" t="n">
        <v>226538462</v>
      </c>
      <c r="D359" s="0" t="s">
        <v>2138</v>
      </c>
      <c r="E359" s="0" t="n">
        <v>21358715</v>
      </c>
      <c r="F359" s="0" t="n">
        <v>720197</v>
      </c>
      <c r="G359" s="0" t="s">
        <v>2222</v>
      </c>
      <c r="H359" s="0" t="n">
        <v>3654329</v>
      </c>
      <c r="I359" s="0" t="s">
        <v>2236</v>
      </c>
      <c r="J359" s="0" t="n">
        <v>104593732</v>
      </c>
    </row>
    <row r="360" customFormat="false" ht="15" hidden="false" customHeight="false" outlineLevel="0" collapsed="false">
      <c r="B360" s="0" t="s">
        <v>2274</v>
      </c>
      <c r="C360" s="0" t="n">
        <v>226536059</v>
      </c>
      <c r="D360" s="0" t="s">
        <v>2138</v>
      </c>
      <c r="E360" s="0" t="n">
        <v>21358715</v>
      </c>
      <c r="F360" s="0" t="n">
        <v>720197</v>
      </c>
      <c r="G360" s="0" t="s">
        <v>2222</v>
      </c>
      <c r="H360" s="0" t="n">
        <v>3654329</v>
      </c>
      <c r="I360" s="0" t="s">
        <v>2238</v>
      </c>
      <c r="J360" s="0" t="n">
        <v>104595736</v>
      </c>
    </row>
    <row r="361" customFormat="false" ht="15" hidden="false" customHeight="false" outlineLevel="0" collapsed="false">
      <c r="B361" s="0" t="s">
        <v>2275</v>
      </c>
      <c r="C361" s="0" t="n">
        <v>226774230</v>
      </c>
      <c r="D361" s="0" t="s">
        <v>2138</v>
      </c>
      <c r="E361" s="0" t="n">
        <v>21358715</v>
      </c>
      <c r="F361" s="0" t="n">
        <v>720197</v>
      </c>
      <c r="G361" s="0" t="s">
        <v>2222</v>
      </c>
      <c r="H361" s="0" t="n">
        <v>3654329</v>
      </c>
      <c r="I361" s="0" t="s">
        <v>2238</v>
      </c>
      <c r="J361" s="0" t="n">
        <v>104595736</v>
      </c>
    </row>
    <row r="362" customFormat="false" ht="15" hidden="false" customHeight="false" outlineLevel="0" collapsed="false">
      <c r="B362" s="0" t="s">
        <v>2276</v>
      </c>
      <c r="C362" s="0" t="n">
        <v>226536053</v>
      </c>
      <c r="D362" s="0" t="s">
        <v>2138</v>
      </c>
      <c r="E362" s="0" t="n">
        <v>21358715</v>
      </c>
      <c r="F362" s="0" t="n">
        <v>720197</v>
      </c>
      <c r="G362" s="0" t="s">
        <v>2222</v>
      </c>
      <c r="H362" s="0" t="n">
        <v>3654329</v>
      </c>
      <c r="I362" s="0" t="s">
        <v>2241</v>
      </c>
      <c r="J362" s="0" t="n">
        <v>104671424</v>
      </c>
    </row>
    <row r="363" customFormat="false" ht="15" hidden="false" customHeight="false" outlineLevel="0" collapsed="false">
      <c r="B363" s="0" t="s">
        <v>2277</v>
      </c>
      <c r="C363" s="0" t="n">
        <v>226774242</v>
      </c>
      <c r="D363" s="0" t="s">
        <v>2138</v>
      </c>
      <c r="E363" s="0" t="n">
        <v>21358715</v>
      </c>
      <c r="F363" s="0" t="n">
        <v>720197</v>
      </c>
      <c r="G363" s="0" t="s">
        <v>2222</v>
      </c>
      <c r="H363" s="0" t="n">
        <v>3654329</v>
      </c>
      <c r="I363" s="0" t="s">
        <v>2243</v>
      </c>
      <c r="J363" s="0" t="n">
        <v>104592532</v>
      </c>
    </row>
    <row r="364" customFormat="false" ht="15" hidden="false" customHeight="false" outlineLevel="0" collapsed="false">
      <c r="B364" s="0" t="s">
        <v>2278</v>
      </c>
      <c r="C364" s="0" t="n">
        <v>226785099</v>
      </c>
      <c r="D364" s="0" t="s">
        <v>2138</v>
      </c>
      <c r="E364" s="0" t="n">
        <v>21358715</v>
      </c>
      <c r="F364" s="0" t="n">
        <v>720197</v>
      </c>
      <c r="G364" s="0" t="s">
        <v>2222</v>
      </c>
      <c r="H364" s="0" t="n">
        <v>3654329</v>
      </c>
      <c r="I364" s="0" t="s">
        <v>2245</v>
      </c>
      <c r="J364" s="0" t="n">
        <v>104593447</v>
      </c>
    </row>
    <row r="365" customFormat="false" ht="15" hidden="false" customHeight="false" outlineLevel="0" collapsed="false">
      <c r="B365" s="0" t="s">
        <v>2279</v>
      </c>
      <c r="C365" s="0" t="n">
        <v>226617880</v>
      </c>
      <c r="D365" s="0" t="s">
        <v>2138</v>
      </c>
      <c r="E365" s="0" t="n">
        <v>21358715</v>
      </c>
      <c r="F365" s="0" t="n">
        <v>720197</v>
      </c>
      <c r="G365" s="0" t="s">
        <v>2222</v>
      </c>
      <c r="H365" s="0" t="n">
        <v>3654329</v>
      </c>
      <c r="I365" s="0" t="s">
        <v>2223</v>
      </c>
      <c r="J365" s="0" t="n">
        <v>104593435</v>
      </c>
    </row>
    <row r="366" customFormat="false" ht="15" hidden="false" customHeight="false" outlineLevel="0" collapsed="false">
      <c r="B366" s="0" t="s">
        <v>2280</v>
      </c>
      <c r="C366" s="0" t="n">
        <v>226535237</v>
      </c>
      <c r="D366" s="0" t="s">
        <v>2138</v>
      </c>
      <c r="E366" s="0" t="n">
        <v>21358715</v>
      </c>
      <c r="F366" s="0" t="n">
        <v>720197</v>
      </c>
      <c r="G366" s="0" t="s">
        <v>2222</v>
      </c>
      <c r="H366" s="0" t="n">
        <v>3654329</v>
      </c>
      <c r="I366" s="0" t="s">
        <v>2225</v>
      </c>
      <c r="J366" s="0" t="n">
        <v>104593723</v>
      </c>
    </row>
    <row r="367" customFormat="false" ht="15" hidden="false" customHeight="false" outlineLevel="0" collapsed="false">
      <c r="B367" s="0" t="s">
        <v>2281</v>
      </c>
      <c r="C367" s="0" t="n">
        <v>226537553</v>
      </c>
      <c r="D367" s="0" t="s">
        <v>2138</v>
      </c>
      <c r="E367" s="0" t="n">
        <v>21358715</v>
      </c>
      <c r="F367" s="0" t="n">
        <v>720197</v>
      </c>
      <c r="G367" s="0" t="s">
        <v>2222</v>
      </c>
      <c r="H367" s="0" t="n">
        <v>3654329</v>
      </c>
      <c r="I367" s="0" t="s">
        <v>2231</v>
      </c>
      <c r="J367" s="0" t="n">
        <v>104671415</v>
      </c>
    </row>
    <row r="368" customFormat="false" ht="15" hidden="false" customHeight="false" outlineLevel="0" collapsed="false">
      <c r="B368" s="0" t="s">
        <v>2282</v>
      </c>
      <c r="C368" s="0" t="n">
        <v>226617871</v>
      </c>
      <c r="D368" s="0" t="s">
        <v>2138</v>
      </c>
      <c r="E368" s="0" t="n">
        <v>21358715</v>
      </c>
      <c r="F368" s="0" t="n">
        <v>720197</v>
      </c>
      <c r="G368" s="0" t="s">
        <v>2222</v>
      </c>
      <c r="H368" s="0" t="n">
        <v>3654329</v>
      </c>
      <c r="I368" s="0" t="s">
        <v>2227</v>
      </c>
      <c r="J368" s="0" t="n">
        <v>104592529</v>
      </c>
    </row>
    <row r="369" customFormat="false" ht="15" hidden="false" customHeight="false" outlineLevel="0" collapsed="false">
      <c r="B369" s="0" t="s">
        <v>2283</v>
      </c>
      <c r="C369" s="0" t="n">
        <v>226622806</v>
      </c>
      <c r="D369" s="0" t="s">
        <v>2138</v>
      </c>
      <c r="E369" s="0" t="n">
        <v>21358715</v>
      </c>
      <c r="F369" s="0" t="n">
        <v>720197</v>
      </c>
      <c r="G369" s="0" t="s">
        <v>2222</v>
      </c>
      <c r="H369" s="0" t="n">
        <v>3654329</v>
      </c>
      <c r="I369" s="0" t="s">
        <v>2234</v>
      </c>
      <c r="J369" s="0" t="n">
        <v>104593444</v>
      </c>
    </row>
    <row r="370" customFormat="false" ht="15" hidden="false" customHeight="false" outlineLevel="0" collapsed="false">
      <c r="B370" s="0" t="s">
        <v>2284</v>
      </c>
      <c r="C370" s="0" t="n">
        <v>226615582</v>
      </c>
      <c r="D370" s="0" t="s">
        <v>2138</v>
      </c>
      <c r="E370" s="0" t="n">
        <v>21358715</v>
      </c>
      <c r="F370" s="0" t="n">
        <v>720197</v>
      </c>
      <c r="G370" s="0" t="s">
        <v>2222</v>
      </c>
      <c r="H370" s="0" t="n">
        <v>3654329</v>
      </c>
      <c r="I370" s="0" t="s">
        <v>2236</v>
      </c>
      <c r="J370" s="0" t="n">
        <v>104593732</v>
      </c>
    </row>
    <row r="371" customFormat="false" ht="15" hidden="false" customHeight="false" outlineLevel="0" collapsed="false">
      <c r="B371" s="0" t="s">
        <v>2285</v>
      </c>
      <c r="C371" s="0" t="n">
        <v>226617892</v>
      </c>
      <c r="D371" s="0" t="s">
        <v>2138</v>
      </c>
      <c r="E371" s="0" t="n">
        <v>21358715</v>
      </c>
      <c r="F371" s="0" t="n">
        <v>720197</v>
      </c>
      <c r="G371" s="0" t="s">
        <v>2222</v>
      </c>
      <c r="H371" s="0" t="n">
        <v>3654329</v>
      </c>
      <c r="I371" s="0" t="s">
        <v>2238</v>
      </c>
      <c r="J371" s="0" t="n">
        <v>104595736</v>
      </c>
    </row>
    <row r="372" customFormat="false" ht="15" hidden="false" customHeight="false" outlineLevel="0" collapsed="false">
      <c r="B372" s="0" t="s">
        <v>2286</v>
      </c>
      <c r="C372" s="0" t="n">
        <v>226774266</v>
      </c>
      <c r="D372" s="0" t="s">
        <v>2138</v>
      </c>
      <c r="E372" s="0" t="n">
        <v>21358715</v>
      </c>
      <c r="F372" s="0" t="n">
        <v>720197</v>
      </c>
      <c r="G372" s="0" t="s">
        <v>2222</v>
      </c>
      <c r="H372" s="0" t="n">
        <v>3654329</v>
      </c>
      <c r="I372" s="0" t="s">
        <v>2238</v>
      </c>
      <c r="J372" s="0" t="n">
        <v>104595736</v>
      </c>
    </row>
    <row r="373" customFormat="false" ht="15" hidden="false" customHeight="false" outlineLevel="0" collapsed="false">
      <c r="B373" s="0" t="s">
        <v>2287</v>
      </c>
      <c r="C373" s="0" t="n">
        <v>226774278</v>
      </c>
      <c r="D373" s="0" t="s">
        <v>2138</v>
      </c>
      <c r="E373" s="0" t="n">
        <v>21358715</v>
      </c>
      <c r="F373" s="0" t="n">
        <v>720197</v>
      </c>
      <c r="G373" s="0" t="s">
        <v>2222</v>
      </c>
      <c r="H373" s="0" t="n">
        <v>3654329</v>
      </c>
      <c r="I373" s="0" t="s">
        <v>2241</v>
      </c>
      <c r="J373" s="0" t="n">
        <v>104671424</v>
      </c>
    </row>
    <row r="374" customFormat="false" ht="15" hidden="false" customHeight="false" outlineLevel="0" collapsed="false">
      <c r="B374" s="0" t="s">
        <v>2288</v>
      </c>
      <c r="C374" s="0" t="n">
        <v>226786167</v>
      </c>
      <c r="D374" s="0" t="s">
        <v>2138</v>
      </c>
      <c r="E374" s="0" t="n">
        <v>21358715</v>
      </c>
      <c r="F374" s="0" t="n">
        <v>720197</v>
      </c>
      <c r="G374" s="0" t="s">
        <v>2222</v>
      </c>
      <c r="H374" s="0" t="n">
        <v>3654329</v>
      </c>
      <c r="I374" s="0" t="s">
        <v>2243</v>
      </c>
      <c r="J374" s="0" t="n">
        <v>104592532</v>
      </c>
    </row>
    <row r="375" customFormat="false" ht="15" hidden="false" customHeight="false" outlineLevel="0" collapsed="false">
      <c r="B375" s="0" t="s">
        <v>2289</v>
      </c>
      <c r="C375" s="0" t="n">
        <v>226785144</v>
      </c>
      <c r="D375" s="0" t="s">
        <v>2138</v>
      </c>
      <c r="E375" s="0" t="n">
        <v>21358715</v>
      </c>
      <c r="F375" s="0" t="n">
        <v>720197</v>
      </c>
      <c r="G375" s="0" t="s">
        <v>2222</v>
      </c>
      <c r="H375" s="0" t="n">
        <v>3654329</v>
      </c>
      <c r="I375" s="0" t="s">
        <v>2245</v>
      </c>
      <c r="J375" s="0" t="n">
        <v>104593447</v>
      </c>
    </row>
    <row r="376" customFormat="false" ht="15" hidden="false" customHeight="false" outlineLevel="0" collapsed="false">
      <c r="B376" s="0" t="s">
        <v>2290</v>
      </c>
      <c r="C376" s="0" t="n">
        <v>226536077</v>
      </c>
      <c r="D376" s="0" t="s">
        <v>2138</v>
      </c>
      <c r="E376" s="0" t="n">
        <v>21358715</v>
      </c>
      <c r="F376" s="0" t="n">
        <v>720197</v>
      </c>
      <c r="G376" s="0" t="s">
        <v>2222</v>
      </c>
      <c r="H376" s="0" t="n">
        <v>3654329</v>
      </c>
      <c r="I376" s="0" t="s">
        <v>2223</v>
      </c>
      <c r="J376" s="0" t="n">
        <v>104593435</v>
      </c>
    </row>
    <row r="377" customFormat="false" ht="15" hidden="false" customHeight="false" outlineLevel="0" collapsed="false">
      <c r="B377" s="0" t="s">
        <v>2291</v>
      </c>
      <c r="C377" s="0" t="n">
        <v>226537496</v>
      </c>
      <c r="D377" s="0" t="s">
        <v>2138</v>
      </c>
      <c r="E377" s="0" t="n">
        <v>21358715</v>
      </c>
      <c r="F377" s="0" t="n">
        <v>720197</v>
      </c>
      <c r="G377" s="0" t="s">
        <v>2222</v>
      </c>
      <c r="H377" s="0" t="n">
        <v>3654329</v>
      </c>
      <c r="I377" s="0" t="s">
        <v>2225</v>
      </c>
      <c r="J377" s="0" t="n">
        <v>104593723</v>
      </c>
    </row>
    <row r="378" customFormat="false" ht="15" hidden="false" customHeight="false" outlineLevel="0" collapsed="false">
      <c r="B378" s="0" t="s">
        <v>2292</v>
      </c>
      <c r="C378" s="0" t="n">
        <v>226536047</v>
      </c>
      <c r="D378" s="0" t="s">
        <v>2138</v>
      </c>
      <c r="E378" s="0" t="n">
        <v>21358715</v>
      </c>
      <c r="F378" s="0" t="n">
        <v>720197</v>
      </c>
      <c r="G378" s="0" t="s">
        <v>2222</v>
      </c>
      <c r="H378" s="0" t="n">
        <v>3654329</v>
      </c>
      <c r="I378" s="0" t="s">
        <v>2293</v>
      </c>
      <c r="J378" s="0" t="n">
        <v>104595727</v>
      </c>
    </row>
    <row r="379" customFormat="false" ht="15" hidden="false" customHeight="false" outlineLevel="0" collapsed="false">
      <c r="B379" s="0" t="s">
        <v>2294</v>
      </c>
      <c r="C379" s="0" t="n">
        <v>226537529</v>
      </c>
      <c r="D379" s="0" t="s">
        <v>2138</v>
      </c>
      <c r="E379" s="0" t="n">
        <v>21358715</v>
      </c>
      <c r="F379" s="0" t="n">
        <v>720197</v>
      </c>
      <c r="G379" s="0" t="s">
        <v>2222</v>
      </c>
      <c r="H379" s="0" t="n">
        <v>3654329</v>
      </c>
      <c r="I379" s="0" t="s">
        <v>2231</v>
      </c>
      <c r="J379" s="0" t="n">
        <v>104671415</v>
      </c>
    </row>
    <row r="380" customFormat="false" ht="15" hidden="false" customHeight="false" outlineLevel="0" collapsed="false">
      <c r="B380" s="0" t="s">
        <v>2295</v>
      </c>
      <c r="C380" s="0" t="n">
        <v>226537532</v>
      </c>
      <c r="D380" s="0" t="s">
        <v>2138</v>
      </c>
      <c r="E380" s="0" t="n">
        <v>21358715</v>
      </c>
      <c r="F380" s="0" t="n">
        <v>720197</v>
      </c>
      <c r="G380" s="0" t="s">
        <v>2222</v>
      </c>
      <c r="H380" s="0" t="n">
        <v>3654329</v>
      </c>
      <c r="I380" s="0" t="s">
        <v>2227</v>
      </c>
      <c r="J380" s="0" t="n">
        <v>104592529</v>
      </c>
    </row>
    <row r="381" customFormat="false" ht="15" hidden="false" customHeight="false" outlineLevel="0" collapsed="false">
      <c r="B381" s="0" t="s">
        <v>2296</v>
      </c>
      <c r="C381" s="0" t="n">
        <v>226774218</v>
      </c>
      <c r="D381" s="0" t="s">
        <v>2138</v>
      </c>
      <c r="E381" s="0" t="n">
        <v>21358715</v>
      </c>
      <c r="F381" s="0" t="n">
        <v>720197</v>
      </c>
      <c r="G381" s="0" t="s">
        <v>2222</v>
      </c>
      <c r="H381" s="0" t="n">
        <v>3654329</v>
      </c>
      <c r="I381" s="0" t="s">
        <v>2234</v>
      </c>
      <c r="J381" s="0" t="n">
        <v>104593444</v>
      </c>
    </row>
    <row r="382" customFormat="false" ht="15" hidden="false" customHeight="false" outlineLevel="0" collapsed="false">
      <c r="B382" s="0" t="s">
        <v>2297</v>
      </c>
      <c r="C382" s="0" t="n">
        <v>226620835</v>
      </c>
      <c r="D382" s="0" t="s">
        <v>2138</v>
      </c>
      <c r="E382" s="0" t="n">
        <v>21358715</v>
      </c>
      <c r="F382" s="0" t="n">
        <v>720197</v>
      </c>
      <c r="G382" s="0" t="s">
        <v>2222</v>
      </c>
      <c r="H382" s="0" t="n">
        <v>3654329</v>
      </c>
      <c r="I382" s="0" t="s">
        <v>2236</v>
      </c>
      <c r="J382" s="0" t="n">
        <v>104593732</v>
      </c>
    </row>
    <row r="383" customFormat="false" ht="15" hidden="false" customHeight="false" outlineLevel="0" collapsed="false">
      <c r="B383" s="0" t="s">
        <v>2298</v>
      </c>
      <c r="C383" s="0" t="n">
        <v>226536080</v>
      </c>
      <c r="D383" s="0" t="s">
        <v>2138</v>
      </c>
      <c r="E383" s="0" t="n">
        <v>21358715</v>
      </c>
      <c r="F383" s="0" t="n">
        <v>720197</v>
      </c>
      <c r="G383" s="0" t="s">
        <v>2222</v>
      </c>
      <c r="H383" s="0" t="n">
        <v>3654329</v>
      </c>
      <c r="I383" s="0" t="s">
        <v>2238</v>
      </c>
      <c r="J383" s="0" t="n">
        <v>104595736</v>
      </c>
    </row>
    <row r="384" customFormat="false" ht="15" hidden="false" customHeight="false" outlineLevel="0" collapsed="false">
      <c r="B384" s="0" t="s">
        <v>2299</v>
      </c>
      <c r="C384" s="0" t="n">
        <v>226537493</v>
      </c>
      <c r="D384" s="0" t="s">
        <v>2138</v>
      </c>
      <c r="E384" s="0" t="n">
        <v>21358715</v>
      </c>
      <c r="F384" s="0" t="n">
        <v>720197</v>
      </c>
      <c r="G384" s="0" t="s">
        <v>2222</v>
      </c>
      <c r="H384" s="0" t="n">
        <v>3654329</v>
      </c>
      <c r="I384" s="0" t="s">
        <v>2238</v>
      </c>
      <c r="J384" s="0" t="n">
        <v>104595736</v>
      </c>
    </row>
    <row r="385" customFormat="false" ht="15" hidden="false" customHeight="false" outlineLevel="0" collapsed="false">
      <c r="B385" s="0" t="s">
        <v>2300</v>
      </c>
      <c r="C385" s="0" t="n">
        <v>226537499</v>
      </c>
      <c r="D385" s="0" t="s">
        <v>2138</v>
      </c>
      <c r="E385" s="0" t="n">
        <v>21358715</v>
      </c>
      <c r="F385" s="0" t="n">
        <v>720197</v>
      </c>
      <c r="G385" s="0" t="s">
        <v>2222</v>
      </c>
      <c r="H385" s="0" t="n">
        <v>3654329</v>
      </c>
      <c r="I385" s="0" t="s">
        <v>2301</v>
      </c>
      <c r="J385" s="0" t="n">
        <v>104595763</v>
      </c>
    </row>
    <row r="386" customFormat="false" ht="15" hidden="false" customHeight="false" outlineLevel="0" collapsed="false">
      <c r="B386" s="0" t="s">
        <v>2302</v>
      </c>
      <c r="C386" s="0" t="n">
        <v>226774221</v>
      </c>
      <c r="D386" s="0" t="s">
        <v>2138</v>
      </c>
      <c r="E386" s="0" t="n">
        <v>21358715</v>
      </c>
      <c r="F386" s="0" t="n">
        <v>720197</v>
      </c>
      <c r="G386" s="0" t="s">
        <v>2222</v>
      </c>
      <c r="H386" s="0" t="n">
        <v>3654329</v>
      </c>
      <c r="I386" s="0" t="s">
        <v>2241</v>
      </c>
      <c r="J386" s="0" t="n">
        <v>104671424</v>
      </c>
    </row>
    <row r="387" customFormat="false" ht="15" hidden="false" customHeight="false" outlineLevel="0" collapsed="false">
      <c r="B387" s="0" t="s">
        <v>2303</v>
      </c>
      <c r="C387" s="0" t="n">
        <v>226786140</v>
      </c>
      <c r="D387" s="0" t="s">
        <v>2138</v>
      </c>
      <c r="E387" s="0" t="n">
        <v>21358715</v>
      </c>
      <c r="F387" s="0" t="n">
        <v>720197</v>
      </c>
      <c r="G387" s="0" t="s">
        <v>2222</v>
      </c>
      <c r="H387" s="0" t="n">
        <v>3654329</v>
      </c>
      <c r="I387" s="0" t="s">
        <v>2243</v>
      </c>
      <c r="J387" s="0" t="n">
        <v>104592532</v>
      </c>
    </row>
    <row r="388" customFormat="false" ht="15" hidden="false" customHeight="false" outlineLevel="0" collapsed="false">
      <c r="B388" s="0" t="s">
        <v>2304</v>
      </c>
      <c r="C388" s="0" t="n">
        <v>226537511</v>
      </c>
      <c r="D388" s="0" t="s">
        <v>2138</v>
      </c>
      <c r="E388" s="0" t="n">
        <v>21358715</v>
      </c>
      <c r="F388" s="0" t="n">
        <v>720197</v>
      </c>
      <c r="G388" s="0" t="s">
        <v>2222</v>
      </c>
      <c r="H388" s="0" t="n">
        <v>3654329</v>
      </c>
      <c r="I388" s="0" t="s">
        <v>2245</v>
      </c>
      <c r="J388" s="0" t="n">
        <v>104593447</v>
      </c>
    </row>
    <row r="389" customFormat="false" ht="15" hidden="false" customHeight="false" outlineLevel="0" collapsed="false">
      <c r="B389" s="0" t="s">
        <v>1968</v>
      </c>
      <c r="C389" s="0" t="n">
        <v>224639151</v>
      </c>
      <c r="D389" s="0" t="s">
        <v>1969</v>
      </c>
      <c r="E389" s="0" t="n">
        <v>21358568</v>
      </c>
      <c r="F389" s="0" t="n">
        <v>720191</v>
      </c>
      <c r="G389" s="0" t="s">
        <v>34</v>
      </c>
      <c r="H389" s="0" t="n">
        <v>3654128</v>
      </c>
      <c r="I389" s="0" t="s">
        <v>1971</v>
      </c>
      <c r="J389" s="0" t="n">
        <v>103316829</v>
      </c>
    </row>
    <row r="390" customFormat="false" ht="15" hidden="false" customHeight="false" outlineLevel="0" collapsed="false">
      <c r="B390" s="0" t="s">
        <v>1972</v>
      </c>
      <c r="C390" s="0" t="n">
        <v>224160783</v>
      </c>
      <c r="D390" s="0" t="s">
        <v>1969</v>
      </c>
      <c r="E390" s="0" t="n">
        <v>21358568</v>
      </c>
      <c r="F390" s="0" t="n">
        <v>720191</v>
      </c>
      <c r="G390" s="0" t="s">
        <v>34</v>
      </c>
      <c r="H390" s="0" t="n">
        <v>3654128</v>
      </c>
      <c r="I390" s="0" t="s">
        <v>1973</v>
      </c>
      <c r="J390" s="0" t="n">
        <v>103051614</v>
      </c>
    </row>
    <row r="391" customFormat="false" ht="15" hidden="false" customHeight="false" outlineLevel="0" collapsed="false">
      <c r="B391" s="0" t="s">
        <v>1974</v>
      </c>
      <c r="C391" s="0" t="n">
        <v>224160780</v>
      </c>
      <c r="D391" s="0" t="s">
        <v>1969</v>
      </c>
      <c r="E391" s="0" t="n">
        <v>21358568</v>
      </c>
      <c r="F391" s="0" t="n">
        <v>720191</v>
      </c>
      <c r="G391" s="0" t="s">
        <v>34</v>
      </c>
      <c r="H391" s="0" t="n">
        <v>3654128</v>
      </c>
      <c r="I391" s="0" t="s">
        <v>1975</v>
      </c>
      <c r="J391" s="0" t="n">
        <v>103186904</v>
      </c>
    </row>
    <row r="392" customFormat="false" ht="15" hidden="false" customHeight="false" outlineLevel="0" collapsed="false">
      <c r="B392" s="0" t="s">
        <v>1976</v>
      </c>
      <c r="C392" s="0" t="n">
        <v>224160777</v>
      </c>
      <c r="D392" s="0" t="s">
        <v>1969</v>
      </c>
      <c r="E392" s="0" t="n">
        <v>21358568</v>
      </c>
      <c r="F392" s="0" t="n">
        <v>720191</v>
      </c>
      <c r="G392" s="0" t="s">
        <v>34</v>
      </c>
      <c r="H392" s="0" t="n">
        <v>3654128</v>
      </c>
      <c r="I392" s="0" t="s">
        <v>1977</v>
      </c>
      <c r="J392" s="0" t="n">
        <v>103048479</v>
      </c>
    </row>
    <row r="393" customFormat="false" ht="15" hidden="false" customHeight="false" outlineLevel="0" collapsed="false">
      <c r="B393" s="0" t="s">
        <v>1978</v>
      </c>
      <c r="C393" s="0" t="n">
        <v>224160774</v>
      </c>
      <c r="D393" s="0" t="s">
        <v>1969</v>
      </c>
      <c r="E393" s="0" t="n">
        <v>21358568</v>
      </c>
      <c r="F393" s="0" t="n">
        <v>720191</v>
      </c>
      <c r="G393" s="0" t="s">
        <v>34</v>
      </c>
      <c r="H393" s="0" t="n">
        <v>3654128</v>
      </c>
      <c r="I393" s="0" t="s">
        <v>1979</v>
      </c>
      <c r="J393" s="0" t="n">
        <v>103186910</v>
      </c>
    </row>
    <row r="394" customFormat="false" ht="15" hidden="false" customHeight="false" outlineLevel="0" collapsed="false">
      <c r="B394" s="0" t="s">
        <v>1980</v>
      </c>
      <c r="C394" s="0" t="n">
        <v>224160771</v>
      </c>
      <c r="D394" s="0" t="s">
        <v>1969</v>
      </c>
      <c r="E394" s="0" t="n">
        <v>21358568</v>
      </c>
      <c r="F394" s="0" t="n">
        <v>720191</v>
      </c>
      <c r="G394" s="0" t="s">
        <v>34</v>
      </c>
      <c r="H394" s="0" t="n">
        <v>3654128</v>
      </c>
      <c r="I394" s="0" t="s">
        <v>1981</v>
      </c>
      <c r="J394" s="0" t="n">
        <v>103048488</v>
      </c>
    </row>
    <row r="395" customFormat="false" ht="15" hidden="false" customHeight="false" outlineLevel="0" collapsed="false">
      <c r="B395" s="0" t="s">
        <v>2072</v>
      </c>
      <c r="C395" s="0" t="n">
        <v>224160738</v>
      </c>
      <c r="D395" s="0" t="s">
        <v>1969</v>
      </c>
      <c r="E395" s="0" t="n">
        <v>21358568</v>
      </c>
      <c r="F395" s="0" t="n">
        <v>720191</v>
      </c>
      <c r="G395" s="0" t="s">
        <v>34</v>
      </c>
      <c r="H395" s="0" t="n">
        <v>3654128</v>
      </c>
      <c r="I395" s="0" t="s">
        <v>1975</v>
      </c>
      <c r="J395" s="0" t="n">
        <v>103186904</v>
      </c>
    </row>
    <row r="396" customFormat="false" ht="15" hidden="false" customHeight="false" outlineLevel="0" collapsed="false">
      <c r="B396" s="0" t="s">
        <v>2073</v>
      </c>
      <c r="C396" s="0" t="n">
        <v>224160735</v>
      </c>
      <c r="D396" s="0" t="s">
        <v>1969</v>
      </c>
      <c r="E396" s="0" t="n">
        <v>21358568</v>
      </c>
      <c r="F396" s="0" t="n">
        <v>720191</v>
      </c>
      <c r="G396" s="0" t="s">
        <v>34</v>
      </c>
      <c r="H396" s="0" t="n">
        <v>3654128</v>
      </c>
      <c r="I396" s="0" t="s">
        <v>1977</v>
      </c>
      <c r="J396" s="0" t="n">
        <v>103048479</v>
      </c>
    </row>
    <row r="397" customFormat="false" ht="15" hidden="false" customHeight="false" outlineLevel="0" collapsed="false">
      <c r="B397" s="0" t="s">
        <v>2074</v>
      </c>
      <c r="C397" s="0" t="n">
        <v>224160732</v>
      </c>
      <c r="D397" s="0" t="s">
        <v>1969</v>
      </c>
      <c r="E397" s="0" t="n">
        <v>21358568</v>
      </c>
      <c r="F397" s="0" t="n">
        <v>720191</v>
      </c>
      <c r="G397" s="0" t="s">
        <v>34</v>
      </c>
      <c r="H397" s="0" t="n">
        <v>3654128</v>
      </c>
      <c r="I397" s="0" t="s">
        <v>1979</v>
      </c>
      <c r="J397" s="0" t="n">
        <v>103186910</v>
      </c>
    </row>
    <row r="398" customFormat="false" ht="15" hidden="false" customHeight="false" outlineLevel="0" collapsed="false">
      <c r="B398" s="0" t="s">
        <v>2075</v>
      </c>
      <c r="C398" s="0" t="n">
        <v>224160729</v>
      </c>
      <c r="D398" s="0" t="s">
        <v>1969</v>
      </c>
      <c r="E398" s="0" t="n">
        <v>21358568</v>
      </c>
      <c r="F398" s="0" t="n">
        <v>720191</v>
      </c>
      <c r="G398" s="0" t="s">
        <v>34</v>
      </c>
      <c r="H398" s="0" t="n">
        <v>3654128</v>
      </c>
      <c r="I398" s="0" t="s">
        <v>1981</v>
      </c>
      <c r="J398" s="0" t="n">
        <v>103048488</v>
      </c>
    </row>
    <row r="399" customFormat="false" ht="15" hidden="false" customHeight="false" outlineLevel="0" collapsed="false">
      <c r="B399" s="0" t="s">
        <v>79</v>
      </c>
      <c r="C399" s="0" t="n">
        <v>223691801</v>
      </c>
      <c r="D399" s="0" t="s">
        <v>2021</v>
      </c>
      <c r="E399" s="0" t="n">
        <v>21337220</v>
      </c>
      <c r="F399" s="0" t="n">
        <v>720192</v>
      </c>
      <c r="G399" s="0" t="s">
        <v>34</v>
      </c>
      <c r="H399" s="0" t="n">
        <v>3654128</v>
      </c>
      <c r="I399" s="0" t="s">
        <v>363</v>
      </c>
      <c r="J399" s="0" t="n">
        <v>103053323</v>
      </c>
    </row>
    <row r="400" customFormat="false" ht="15" hidden="false" customHeight="false" outlineLevel="0" collapsed="false">
      <c r="B400" s="0" t="s">
        <v>2134</v>
      </c>
      <c r="C400" s="0" t="n">
        <v>227524331</v>
      </c>
      <c r="D400" s="0" t="s">
        <v>2021</v>
      </c>
      <c r="E400" s="0" t="n">
        <v>21337220</v>
      </c>
      <c r="F400" s="0" t="n">
        <v>720192</v>
      </c>
      <c r="G400" s="0" t="s">
        <v>34</v>
      </c>
      <c r="H400" s="0" t="n">
        <v>3654128</v>
      </c>
      <c r="I400" s="0" t="s">
        <v>330</v>
      </c>
      <c r="J400" s="0" t="n">
        <v>105127638</v>
      </c>
    </row>
    <row r="401" customFormat="false" ht="15" hidden="false" customHeight="false" outlineLevel="0" collapsed="false">
      <c r="B401" s="0" t="s">
        <v>67</v>
      </c>
      <c r="C401" s="0" t="n">
        <v>227618695</v>
      </c>
      <c r="D401" s="0" t="s">
        <v>2021</v>
      </c>
      <c r="E401" s="0" t="n">
        <v>21337220</v>
      </c>
      <c r="F401" s="0" t="n">
        <v>720192</v>
      </c>
      <c r="G401" s="0" t="s">
        <v>34</v>
      </c>
      <c r="H401" s="0" t="n">
        <v>3654128</v>
      </c>
      <c r="I401" s="0" t="s">
        <v>330</v>
      </c>
      <c r="J401" s="0" t="n">
        <v>105127638</v>
      </c>
    </row>
    <row r="402" customFormat="false" ht="15" hidden="false" customHeight="false" outlineLevel="0" collapsed="false">
      <c r="B402" s="0" t="s">
        <v>96</v>
      </c>
      <c r="C402" s="0" t="n">
        <v>223691804</v>
      </c>
      <c r="D402" s="0" t="s">
        <v>2021</v>
      </c>
      <c r="E402" s="0" t="n">
        <v>21337220</v>
      </c>
      <c r="F402" s="0" t="n">
        <v>720192</v>
      </c>
      <c r="G402" s="0" t="s">
        <v>34</v>
      </c>
      <c r="H402" s="0" t="n">
        <v>3654128</v>
      </c>
      <c r="I402" s="0" t="s">
        <v>642</v>
      </c>
      <c r="J402" s="0" t="n">
        <v>103058717</v>
      </c>
    </row>
    <row r="403" customFormat="false" ht="15" hidden="false" customHeight="false" outlineLevel="0" collapsed="false">
      <c r="B403" s="0" t="s">
        <v>98</v>
      </c>
      <c r="C403" s="0" t="n">
        <v>223691813</v>
      </c>
      <c r="D403" s="0" t="s">
        <v>2021</v>
      </c>
      <c r="E403" s="0" t="n">
        <v>21337220</v>
      </c>
      <c r="F403" s="0" t="n">
        <v>720192</v>
      </c>
      <c r="G403" s="0" t="s">
        <v>34</v>
      </c>
      <c r="H403" s="0" t="n">
        <v>3654128</v>
      </c>
      <c r="I403" s="0" t="s">
        <v>654</v>
      </c>
      <c r="J403" s="0" t="n">
        <v>103053320</v>
      </c>
    </row>
    <row r="404" customFormat="false" ht="15" hidden="false" customHeight="false" outlineLevel="0" collapsed="false">
      <c r="B404" s="0" t="s">
        <v>99</v>
      </c>
      <c r="C404" s="0" t="n">
        <v>223691771</v>
      </c>
      <c r="D404" s="0" t="s">
        <v>2021</v>
      </c>
      <c r="E404" s="0" t="n">
        <v>21337220</v>
      </c>
      <c r="F404" s="0" t="n">
        <v>720192</v>
      </c>
      <c r="G404" s="0" t="s">
        <v>34</v>
      </c>
      <c r="H404" s="0" t="n">
        <v>3654128</v>
      </c>
      <c r="I404" s="0" t="s">
        <v>657</v>
      </c>
      <c r="J404" s="0" t="n">
        <v>102902968</v>
      </c>
    </row>
    <row r="405" customFormat="false" ht="15" hidden="false" customHeight="false" outlineLevel="0" collapsed="false">
      <c r="B405" s="0" t="s">
        <v>74</v>
      </c>
      <c r="C405" s="0" t="n">
        <v>223691789</v>
      </c>
      <c r="D405" s="0" t="s">
        <v>2021</v>
      </c>
      <c r="E405" s="0" t="n">
        <v>21337220</v>
      </c>
      <c r="F405" s="0" t="n">
        <v>720192</v>
      </c>
      <c r="G405" s="0" t="s">
        <v>34</v>
      </c>
      <c r="H405" s="0" t="n">
        <v>3654128</v>
      </c>
      <c r="I405" s="0" t="s">
        <v>348</v>
      </c>
      <c r="J405" s="0" t="n">
        <v>102900691</v>
      </c>
    </row>
    <row r="406" customFormat="false" ht="15" hidden="false" customHeight="false" outlineLevel="0" collapsed="false">
      <c r="B406" s="0" t="s">
        <v>2127</v>
      </c>
      <c r="C406" s="0" t="n">
        <v>226796675</v>
      </c>
      <c r="D406" s="0" t="s">
        <v>42</v>
      </c>
      <c r="E406" s="0" t="n">
        <v>21337013</v>
      </c>
      <c r="F406" s="0" t="n">
        <v>720196</v>
      </c>
      <c r="G406" s="0" t="s">
        <v>34</v>
      </c>
      <c r="H406" s="0" t="n">
        <v>3654128</v>
      </c>
      <c r="I406" s="0" t="s">
        <v>223</v>
      </c>
      <c r="J406" s="0" t="n">
        <v>103230847</v>
      </c>
    </row>
    <row r="407" customFormat="false" ht="15" hidden="false" customHeight="false" outlineLevel="0" collapsed="false">
      <c r="B407" s="0" t="s">
        <v>2129</v>
      </c>
      <c r="C407" s="0" t="n">
        <v>226887145</v>
      </c>
      <c r="D407" s="0" t="s">
        <v>42</v>
      </c>
      <c r="E407" s="0" t="n">
        <v>21337013</v>
      </c>
      <c r="F407" s="0" t="n">
        <v>720196</v>
      </c>
      <c r="G407" s="0" t="s">
        <v>34</v>
      </c>
      <c r="H407" s="0" t="n">
        <v>3654128</v>
      </c>
      <c r="I407" s="0" t="s">
        <v>223</v>
      </c>
      <c r="J407" s="0" t="n">
        <v>103230847</v>
      </c>
    </row>
    <row r="408" customFormat="false" ht="15" hidden="false" customHeight="false" outlineLevel="0" collapsed="false">
      <c r="B408" s="0" t="s">
        <v>2119</v>
      </c>
      <c r="C408" s="0" t="n">
        <v>226889134</v>
      </c>
      <c r="D408" s="0" t="s">
        <v>42</v>
      </c>
      <c r="E408" s="0" t="n">
        <v>21337013</v>
      </c>
      <c r="F408" s="0" t="n">
        <v>720196</v>
      </c>
      <c r="G408" s="0" t="s">
        <v>34</v>
      </c>
      <c r="H408" s="0" t="n">
        <v>3654128</v>
      </c>
      <c r="I408" s="0" t="s">
        <v>262</v>
      </c>
      <c r="J408" s="0" t="n">
        <v>103235146</v>
      </c>
    </row>
    <row r="409" customFormat="false" ht="15" hidden="false" customHeight="false" outlineLevel="0" collapsed="false">
      <c r="B409" s="0" t="s">
        <v>58</v>
      </c>
      <c r="C409" s="0" t="n">
        <v>224549481</v>
      </c>
      <c r="D409" s="0" t="s">
        <v>42</v>
      </c>
      <c r="E409" s="0" t="n">
        <v>21337013</v>
      </c>
      <c r="F409" s="0" t="n">
        <v>720196</v>
      </c>
      <c r="G409" s="0" t="s">
        <v>34</v>
      </c>
      <c r="H409" s="0" t="n">
        <v>3654128</v>
      </c>
      <c r="I409" s="0" t="s">
        <v>262</v>
      </c>
      <c r="J409" s="0" t="n">
        <v>103235146</v>
      </c>
    </row>
    <row r="410" customFormat="false" ht="15" hidden="false" customHeight="false" outlineLevel="0" collapsed="false">
      <c r="B410" s="0" t="s">
        <v>50</v>
      </c>
      <c r="C410" s="0" t="n">
        <v>223560332</v>
      </c>
      <c r="D410" s="0" t="s">
        <v>42</v>
      </c>
      <c r="E410" s="0" t="n">
        <v>21337013</v>
      </c>
      <c r="F410" s="0" t="n">
        <v>720196</v>
      </c>
      <c r="G410" s="0" t="s">
        <v>34</v>
      </c>
      <c r="H410" s="0" t="n">
        <v>3654128</v>
      </c>
      <c r="I410" s="0" t="s">
        <v>208</v>
      </c>
      <c r="J410" s="0" t="n">
        <v>102854037</v>
      </c>
    </row>
    <row r="411" customFormat="false" ht="15" hidden="false" customHeight="false" outlineLevel="0" collapsed="false">
      <c r="B411" s="0" t="s">
        <v>162</v>
      </c>
      <c r="C411" s="0" t="n">
        <v>223297413</v>
      </c>
      <c r="D411" s="0" t="s">
        <v>159</v>
      </c>
      <c r="E411" s="0" t="n">
        <v>21276694</v>
      </c>
      <c r="F411" s="0" t="n">
        <v>720195</v>
      </c>
      <c r="G411" s="0" t="s">
        <v>34</v>
      </c>
      <c r="H411" s="0" t="n">
        <v>3654128</v>
      </c>
      <c r="I411" s="0" t="s">
        <v>1490</v>
      </c>
      <c r="J411" s="0" t="n">
        <v>102609621</v>
      </c>
    </row>
    <row r="412" customFormat="false" ht="15" hidden="false" customHeight="false" outlineLevel="0" collapsed="false">
      <c r="B412" s="0" t="s">
        <v>2152</v>
      </c>
      <c r="C412" s="0" t="n">
        <v>225283843</v>
      </c>
      <c r="D412" s="0" t="s">
        <v>2138</v>
      </c>
      <c r="E412" s="0" t="n">
        <v>21358715</v>
      </c>
      <c r="F412" s="0" t="n">
        <v>720197</v>
      </c>
      <c r="G412" s="0" t="s">
        <v>34</v>
      </c>
      <c r="H412" s="0" t="n">
        <v>3654128</v>
      </c>
      <c r="I412" s="0" t="s">
        <v>2206</v>
      </c>
      <c r="J412" s="0" t="n">
        <v>103773180</v>
      </c>
    </row>
    <row r="413" customFormat="false" ht="15" hidden="false" customHeight="false" outlineLevel="0" collapsed="false">
      <c r="B413" s="0" t="s">
        <v>2213</v>
      </c>
      <c r="C413" s="0" t="n">
        <v>223862960</v>
      </c>
      <c r="D413" s="0" t="s">
        <v>2138</v>
      </c>
      <c r="E413" s="0" t="n">
        <v>21358715</v>
      </c>
      <c r="F413" s="0" t="n">
        <v>720197</v>
      </c>
      <c r="G413" s="0" t="s">
        <v>34</v>
      </c>
      <c r="H413" s="0" t="n">
        <v>3654128</v>
      </c>
      <c r="I413" s="0" t="s">
        <v>2305</v>
      </c>
      <c r="J413" s="0" t="n">
        <v>103176836</v>
      </c>
    </row>
    <row r="414" customFormat="false" ht="15" hidden="false" customHeight="false" outlineLevel="0" collapsed="false">
      <c r="B414" s="0" t="s">
        <v>2214</v>
      </c>
      <c r="C414" s="0" t="n">
        <v>223935349</v>
      </c>
      <c r="D414" s="0" t="s">
        <v>2138</v>
      </c>
      <c r="E414" s="0" t="n">
        <v>21358715</v>
      </c>
      <c r="F414" s="0" t="n">
        <v>720197</v>
      </c>
      <c r="G414" s="0" t="s">
        <v>34</v>
      </c>
      <c r="H414" s="0" t="n">
        <v>3654128</v>
      </c>
      <c r="I414" s="0" t="s">
        <v>2306</v>
      </c>
      <c r="J414" s="0" t="n">
        <v>103032823</v>
      </c>
    </row>
    <row r="415" customFormat="false" ht="15" hidden="false" customHeight="false" outlineLevel="0" collapsed="false">
      <c r="B415" s="0" t="s">
        <v>2218</v>
      </c>
      <c r="C415" s="0" t="n">
        <v>225217676</v>
      </c>
      <c r="D415" s="0" t="s">
        <v>2138</v>
      </c>
      <c r="E415" s="0" t="n">
        <v>21358715</v>
      </c>
      <c r="F415" s="0" t="n">
        <v>720197</v>
      </c>
      <c r="G415" s="0" t="s">
        <v>34</v>
      </c>
      <c r="H415" s="0" t="n">
        <v>3654128</v>
      </c>
      <c r="I415" s="0" t="s">
        <v>2153</v>
      </c>
      <c r="J415" s="0" t="n">
        <v>103773177</v>
      </c>
    </row>
    <row r="416" customFormat="false" ht="15" hidden="false" customHeight="false" outlineLevel="0" collapsed="false">
      <c r="B416" s="0" t="s">
        <v>2218</v>
      </c>
      <c r="C416" s="0" t="n">
        <v>225217676</v>
      </c>
      <c r="D416" s="0" t="s">
        <v>2138</v>
      </c>
      <c r="E416" s="0" t="n">
        <v>21358715</v>
      </c>
      <c r="F416" s="0" t="n">
        <v>720197</v>
      </c>
      <c r="G416" s="0" t="s">
        <v>34</v>
      </c>
      <c r="H416" s="0" t="n">
        <v>3654128</v>
      </c>
      <c r="I416" s="0" t="s">
        <v>2204</v>
      </c>
      <c r="J416" s="0" t="n">
        <v>103776921</v>
      </c>
    </row>
    <row r="417" customFormat="false" ht="15" hidden="false" customHeight="false" outlineLevel="0" collapsed="false">
      <c r="B417" s="0" t="s">
        <v>2218</v>
      </c>
      <c r="C417" s="0" t="n">
        <v>225217676</v>
      </c>
      <c r="D417" s="0" t="s">
        <v>2138</v>
      </c>
      <c r="E417" s="0" t="n">
        <v>21358715</v>
      </c>
      <c r="F417" s="0" t="n">
        <v>720197</v>
      </c>
      <c r="G417" s="0" t="s">
        <v>34</v>
      </c>
      <c r="H417" s="0" t="n">
        <v>3654128</v>
      </c>
      <c r="I417" s="0" t="s">
        <v>2205</v>
      </c>
      <c r="J417" s="0" t="n">
        <v>103873631</v>
      </c>
    </row>
    <row r="418" customFormat="false" ht="15" hidden="false" customHeight="false" outlineLevel="0" collapsed="false">
      <c r="B418" s="0" t="s">
        <v>2307</v>
      </c>
      <c r="C418" s="0" t="n">
        <v>226535294</v>
      </c>
      <c r="D418" s="0" t="s">
        <v>2138</v>
      </c>
      <c r="E418" s="0" t="n">
        <v>21358715</v>
      </c>
      <c r="F418" s="0" t="n">
        <v>720197</v>
      </c>
      <c r="G418" s="0" t="s">
        <v>34</v>
      </c>
      <c r="H418" s="0" t="n">
        <v>3654128</v>
      </c>
      <c r="I418" s="0" t="s">
        <v>2308</v>
      </c>
      <c r="J418" s="0" t="n">
        <v>104593738</v>
      </c>
    </row>
    <row r="419" customFormat="false" ht="15" hidden="false" customHeight="false" outlineLevel="0" collapsed="false">
      <c r="B419" s="0" t="s">
        <v>2309</v>
      </c>
      <c r="C419" s="0" t="n">
        <v>226622236</v>
      </c>
      <c r="D419" s="0" t="s">
        <v>2138</v>
      </c>
      <c r="E419" s="0" t="n">
        <v>21358715</v>
      </c>
      <c r="F419" s="0" t="n">
        <v>720197</v>
      </c>
      <c r="G419" s="0" t="s">
        <v>34</v>
      </c>
      <c r="H419" s="0" t="n">
        <v>3654128</v>
      </c>
      <c r="I419" s="0" t="s">
        <v>2310</v>
      </c>
      <c r="J419" s="0" t="n">
        <v>104595760</v>
      </c>
    </row>
    <row r="420" customFormat="false" ht="15" hidden="false" customHeight="false" outlineLevel="0" collapsed="false">
      <c r="B420" s="0" t="s">
        <v>2311</v>
      </c>
      <c r="C420" s="0" t="n">
        <v>226783986</v>
      </c>
      <c r="D420" s="0" t="s">
        <v>2138</v>
      </c>
      <c r="E420" s="0" t="n">
        <v>21358715</v>
      </c>
      <c r="F420" s="0" t="n">
        <v>720197</v>
      </c>
      <c r="G420" s="0" t="s">
        <v>34</v>
      </c>
      <c r="H420" s="0" t="n">
        <v>3654128</v>
      </c>
      <c r="I420" s="0" t="s">
        <v>2312</v>
      </c>
      <c r="J420" s="0" t="n">
        <v>104595715</v>
      </c>
    </row>
    <row r="421" customFormat="false" ht="15" hidden="false" customHeight="false" outlineLevel="0" collapsed="false">
      <c r="B421" s="0" t="s">
        <v>2313</v>
      </c>
      <c r="C421" s="0" t="n">
        <v>225283585</v>
      </c>
      <c r="D421" s="0" t="s">
        <v>2138</v>
      </c>
      <c r="E421" s="0" t="n">
        <v>21358715</v>
      </c>
      <c r="F421" s="0" t="n">
        <v>720197</v>
      </c>
      <c r="G421" s="0" t="s">
        <v>34</v>
      </c>
      <c r="H421" s="0" t="n">
        <v>3654128</v>
      </c>
      <c r="I421" s="0" t="s">
        <v>2154</v>
      </c>
      <c r="J421" s="0" t="n">
        <v>103874423</v>
      </c>
    </row>
    <row r="422" customFormat="false" ht="15" hidden="false" customHeight="false" outlineLevel="0" collapsed="false">
      <c r="B422" s="0" t="s">
        <v>2314</v>
      </c>
      <c r="C422" s="0" t="n">
        <v>226536149</v>
      </c>
      <c r="D422" s="0" t="s">
        <v>2138</v>
      </c>
      <c r="E422" s="0" t="n">
        <v>21358715</v>
      </c>
      <c r="F422" s="0" t="n">
        <v>720197</v>
      </c>
      <c r="G422" s="0" t="s">
        <v>34</v>
      </c>
      <c r="H422" s="0" t="n">
        <v>3654128</v>
      </c>
      <c r="I422" s="0" t="s">
        <v>2147</v>
      </c>
      <c r="J422" s="0" t="n">
        <v>104595739</v>
      </c>
    </row>
    <row r="423" customFormat="false" ht="15" hidden="false" customHeight="false" outlineLevel="0" collapsed="false">
      <c r="B423" s="0" t="s">
        <v>2315</v>
      </c>
      <c r="C423" s="0" t="n">
        <v>226538573</v>
      </c>
      <c r="D423" s="0" t="s">
        <v>2138</v>
      </c>
      <c r="E423" s="0" t="n">
        <v>21358715</v>
      </c>
      <c r="F423" s="0" t="n">
        <v>720197</v>
      </c>
      <c r="G423" s="0" t="s">
        <v>2222</v>
      </c>
      <c r="H423" s="0" t="n">
        <v>3654329</v>
      </c>
      <c r="I423" s="0" t="s">
        <v>2223</v>
      </c>
      <c r="J423" s="0" t="n">
        <v>104593435</v>
      </c>
    </row>
    <row r="424" customFormat="false" ht="15" hidden="false" customHeight="false" outlineLevel="0" collapsed="false">
      <c r="B424" s="0" t="s">
        <v>2316</v>
      </c>
      <c r="C424" s="0" t="n">
        <v>226539365</v>
      </c>
      <c r="D424" s="0" t="s">
        <v>2138</v>
      </c>
      <c r="E424" s="0" t="n">
        <v>21358715</v>
      </c>
      <c r="F424" s="0" t="n">
        <v>720197</v>
      </c>
      <c r="G424" s="0" t="s">
        <v>2222</v>
      </c>
      <c r="H424" s="0" t="n">
        <v>3654329</v>
      </c>
      <c r="I424" s="0" t="s">
        <v>2225</v>
      </c>
      <c r="J424" s="0" t="n">
        <v>104593723</v>
      </c>
    </row>
    <row r="425" customFormat="false" ht="15" hidden="false" customHeight="false" outlineLevel="0" collapsed="false">
      <c r="B425" s="0" t="s">
        <v>84</v>
      </c>
      <c r="C425" s="0" t="n">
        <v>223684451</v>
      </c>
      <c r="D425" s="0" t="s">
        <v>2021</v>
      </c>
      <c r="E425" s="0" t="n">
        <v>21337220</v>
      </c>
      <c r="F425" s="0" t="n">
        <v>720192</v>
      </c>
      <c r="G425" s="0" t="s">
        <v>34</v>
      </c>
      <c r="H425" s="0" t="n">
        <v>3654128</v>
      </c>
      <c r="I425" s="0" t="s">
        <v>378</v>
      </c>
      <c r="J425" s="0" t="n">
        <v>102901882</v>
      </c>
    </row>
    <row r="426" customFormat="false" ht="15" hidden="false" customHeight="false" outlineLevel="0" collapsed="false">
      <c r="B426" s="0" t="s">
        <v>2132</v>
      </c>
      <c r="C426" s="0" t="n">
        <v>227522759</v>
      </c>
      <c r="D426" s="0" t="s">
        <v>2021</v>
      </c>
      <c r="E426" s="0" t="n">
        <v>21337220</v>
      </c>
      <c r="F426" s="0" t="n">
        <v>720192</v>
      </c>
      <c r="G426" s="0" t="s">
        <v>34</v>
      </c>
      <c r="H426" s="0" t="n">
        <v>3654128</v>
      </c>
      <c r="I426" s="0" t="s">
        <v>2131</v>
      </c>
      <c r="J426" s="0" t="n">
        <v>105130122</v>
      </c>
    </row>
    <row r="427" customFormat="false" ht="15" hidden="false" customHeight="false" outlineLevel="0" collapsed="false">
      <c r="B427" s="0" t="s">
        <v>86</v>
      </c>
      <c r="C427" s="0" t="n">
        <v>227522762</v>
      </c>
      <c r="D427" s="0" t="s">
        <v>2021</v>
      </c>
      <c r="E427" s="0" t="n">
        <v>21337220</v>
      </c>
      <c r="F427" s="0" t="n">
        <v>720192</v>
      </c>
      <c r="G427" s="0" t="s">
        <v>34</v>
      </c>
      <c r="H427" s="0" t="n">
        <v>3654128</v>
      </c>
      <c r="I427" s="0" t="s">
        <v>384</v>
      </c>
      <c r="J427" s="0" t="n">
        <v>105216992</v>
      </c>
    </row>
    <row r="428" customFormat="false" ht="15" hidden="false" customHeight="false" outlineLevel="0" collapsed="false">
      <c r="B428" s="0" t="s">
        <v>92</v>
      </c>
      <c r="C428" s="0" t="n">
        <v>223691762</v>
      </c>
      <c r="D428" s="0" t="s">
        <v>2021</v>
      </c>
      <c r="E428" s="0" t="n">
        <v>21337220</v>
      </c>
      <c r="F428" s="0" t="n">
        <v>720192</v>
      </c>
      <c r="G428" s="0" t="s">
        <v>34</v>
      </c>
      <c r="H428" s="0" t="n">
        <v>3654128</v>
      </c>
      <c r="I428" s="0" t="s">
        <v>600</v>
      </c>
      <c r="J428" s="0" t="n">
        <v>102902974</v>
      </c>
    </row>
    <row r="429" customFormat="false" ht="15" hidden="false" customHeight="false" outlineLevel="0" collapsed="false">
      <c r="B429" s="0" t="s">
        <v>94</v>
      </c>
      <c r="C429" s="0" t="n">
        <v>223691810</v>
      </c>
      <c r="D429" s="0" t="s">
        <v>2021</v>
      </c>
      <c r="E429" s="0" t="n">
        <v>21337220</v>
      </c>
      <c r="F429" s="0" t="n">
        <v>720192</v>
      </c>
      <c r="G429" s="0" t="s">
        <v>34</v>
      </c>
      <c r="H429" s="0" t="n">
        <v>3654128</v>
      </c>
      <c r="I429" s="0" t="s">
        <v>632</v>
      </c>
      <c r="J429" s="0" t="n">
        <v>103058711</v>
      </c>
    </row>
    <row r="430" customFormat="false" ht="15" hidden="false" customHeight="false" outlineLevel="0" collapsed="false">
      <c r="B430" s="0" t="s">
        <v>91</v>
      </c>
      <c r="C430" s="0" t="n">
        <v>223691828</v>
      </c>
      <c r="D430" s="0" t="s">
        <v>2021</v>
      </c>
      <c r="E430" s="0" t="n">
        <v>21337220</v>
      </c>
      <c r="F430" s="0" t="n">
        <v>720192</v>
      </c>
      <c r="G430" s="0" t="s">
        <v>34</v>
      </c>
      <c r="H430" s="0" t="n">
        <v>3654128</v>
      </c>
      <c r="I430" s="0" t="s">
        <v>399</v>
      </c>
      <c r="J430" s="0" t="n">
        <v>102902956</v>
      </c>
    </row>
    <row r="431" customFormat="false" ht="15" hidden="false" customHeight="false" outlineLevel="0" collapsed="false">
      <c r="B431" s="0" t="s">
        <v>88</v>
      </c>
      <c r="C431" s="0" t="n">
        <v>223691834</v>
      </c>
      <c r="D431" s="0" t="s">
        <v>2021</v>
      </c>
      <c r="E431" s="0" t="n">
        <v>21337220</v>
      </c>
      <c r="F431" s="0" t="n">
        <v>720192</v>
      </c>
      <c r="G431" s="0" t="s">
        <v>34</v>
      </c>
      <c r="H431" s="0" t="n">
        <v>3654128</v>
      </c>
      <c r="I431" s="0" t="s">
        <v>390</v>
      </c>
      <c r="J431" s="0" t="n">
        <v>102902953</v>
      </c>
    </row>
    <row r="432" customFormat="false" ht="15" hidden="false" customHeight="false" outlineLevel="0" collapsed="false">
      <c r="B432" s="0" t="s">
        <v>89</v>
      </c>
      <c r="C432" s="0" t="n">
        <v>223691822</v>
      </c>
      <c r="D432" s="0" t="s">
        <v>2021</v>
      </c>
      <c r="E432" s="0" t="n">
        <v>21337220</v>
      </c>
      <c r="F432" s="0" t="n">
        <v>720192</v>
      </c>
      <c r="G432" s="0" t="s">
        <v>34</v>
      </c>
      <c r="H432" s="0" t="n">
        <v>3654128</v>
      </c>
      <c r="I432" s="0" t="s">
        <v>393</v>
      </c>
      <c r="J432" s="0" t="n">
        <v>103058708</v>
      </c>
    </row>
    <row r="433" customFormat="false" ht="15" hidden="false" customHeight="false" outlineLevel="0" collapsed="false">
      <c r="B433" s="0" t="s">
        <v>37</v>
      </c>
      <c r="C433" s="0" t="n">
        <v>224009494</v>
      </c>
      <c r="D433" s="0" t="s">
        <v>30</v>
      </c>
      <c r="E433" s="0" t="n">
        <v>21359477</v>
      </c>
      <c r="F433" s="0" t="n">
        <v>720194</v>
      </c>
      <c r="G433" s="0" t="s">
        <v>34</v>
      </c>
      <c r="H433" s="0" t="n">
        <v>3654128</v>
      </c>
      <c r="I433" s="0" t="s">
        <v>175</v>
      </c>
      <c r="J433" s="0" t="n">
        <v>103235787</v>
      </c>
    </row>
    <row r="434" customFormat="false" ht="15" hidden="false" customHeight="false" outlineLevel="0" collapsed="false">
      <c r="B434" s="0" t="s">
        <v>2117</v>
      </c>
      <c r="C434" s="0" t="n">
        <v>226794002</v>
      </c>
      <c r="D434" s="0" t="s">
        <v>42</v>
      </c>
      <c r="E434" s="0" t="n">
        <v>21337013</v>
      </c>
      <c r="F434" s="0" t="n">
        <v>720196</v>
      </c>
      <c r="G434" s="0" t="s">
        <v>34</v>
      </c>
      <c r="H434" s="0" t="n">
        <v>3654128</v>
      </c>
      <c r="I434" s="0" t="s">
        <v>223</v>
      </c>
      <c r="J434" s="0" t="n">
        <v>103230847</v>
      </c>
    </row>
    <row r="435" customFormat="false" ht="15" hidden="false" customHeight="false" outlineLevel="0" collapsed="false">
      <c r="B435" s="0" t="s">
        <v>2128</v>
      </c>
      <c r="C435" s="0" t="n">
        <v>227035845</v>
      </c>
      <c r="D435" s="0" t="s">
        <v>42</v>
      </c>
      <c r="E435" s="0" t="n">
        <v>21337013</v>
      </c>
      <c r="F435" s="0" t="n">
        <v>720196</v>
      </c>
      <c r="G435" s="0" t="s">
        <v>34</v>
      </c>
      <c r="H435" s="0" t="n">
        <v>3654128</v>
      </c>
      <c r="I435" s="0" t="s">
        <v>262</v>
      </c>
      <c r="J435" s="0" t="n">
        <v>103235146</v>
      </c>
    </row>
    <row r="436" customFormat="false" ht="15" hidden="false" customHeight="false" outlineLevel="0" collapsed="false">
      <c r="B436" s="0" t="s">
        <v>164</v>
      </c>
      <c r="C436" s="0" t="n">
        <v>223298805</v>
      </c>
      <c r="D436" s="0" t="s">
        <v>159</v>
      </c>
      <c r="E436" s="0" t="n">
        <v>21276694</v>
      </c>
      <c r="F436" s="0" t="n">
        <v>720195</v>
      </c>
      <c r="G436" s="0" t="s">
        <v>34</v>
      </c>
      <c r="H436" s="0" t="n">
        <v>3654128</v>
      </c>
      <c r="I436" s="0" t="s">
        <v>1493</v>
      </c>
      <c r="J436" s="0" t="n">
        <v>102630373</v>
      </c>
    </row>
    <row r="437" customFormat="false" ht="15" hidden="false" customHeight="false" outlineLevel="0" collapsed="false">
      <c r="B437" s="0" t="s">
        <v>2141</v>
      </c>
      <c r="C437" s="0" t="n">
        <v>224104929</v>
      </c>
      <c r="D437" s="0" t="s">
        <v>2138</v>
      </c>
      <c r="E437" s="0" t="n">
        <v>21358715</v>
      </c>
      <c r="F437" s="0" t="n">
        <v>720197</v>
      </c>
      <c r="G437" s="0" t="s">
        <v>34</v>
      </c>
      <c r="H437" s="0" t="n">
        <v>3654128</v>
      </c>
      <c r="I437" s="0" t="s">
        <v>2306</v>
      </c>
      <c r="J437" s="0" t="n">
        <v>103032823</v>
      </c>
    </row>
    <row r="438" customFormat="false" ht="15" hidden="false" customHeight="false" outlineLevel="0" collapsed="false">
      <c r="B438" s="0" t="s">
        <v>2146</v>
      </c>
      <c r="C438" s="0" t="n">
        <v>226617664</v>
      </c>
      <c r="D438" s="0" t="s">
        <v>2138</v>
      </c>
      <c r="E438" s="0" t="n">
        <v>21358715</v>
      </c>
      <c r="F438" s="0" t="n">
        <v>720197</v>
      </c>
      <c r="G438" s="0" t="s">
        <v>34</v>
      </c>
      <c r="H438" s="0" t="n">
        <v>3654128</v>
      </c>
      <c r="I438" s="0" t="s">
        <v>2317</v>
      </c>
      <c r="J438" s="0" t="n">
        <v>104671403</v>
      </c>
    </row>
    <row r="439" customFormat="false" ht="15" hidden="false" customHeight="false" outlineLevel="0" collapsed="false">
      <c r="B439" s="0" t="s">
        <v>2179</v>
      </c>
      <c r="C439" s="0" t="n">
        <v>226622512</v>
      </c>
      <c r="D439" s="0" t="s">
        <v>2138</v>
      </c>
      <c r="E439" s="0" t="n">
        <v>21358715</v>
      </c>
      <c r="F439" s="0" t="n">
        <v>720197</v>
      </c>
      <c r="G439" s="0" t="s">
        <v>34</v>
      </c>
      <c r="H439" s="0" t="n">
        <v>3654128</v>
      </c>
      <c r="I439" s="0" t="s">
        <v>2145</v>
      </c>
      <c r="J439" s="0" t="n">
        <v>104595745</v>
      </c>
    </row>
    <row r="440" customFormat="false" ht="15" hidden="false" customHeight="false" outlineLevel="0" collapsed="false">
      <c r="B440" s="0" t="s">
        <v>2318</v>
      </c>
      <c r="C440" s="0" t="n">
        <v>225761633</v>
      </c>
      <c r="D440" s="0" t="s">
        <v>2138</v>
      </c>
      <c r="E440" s="0" t="n">
        <v>21358715</v>
      </c>
      <c r="F440" s="0" t="n">
        <v>720197</v>
      </c>
      <c r="G440" s="0" t="s">
        <v>34</v>
      </c>
      <c r="H440" s="0" t="n">
        <v>3654128</v>
      </c>
      <c r="I440" s="0" t="s">
        <v>2319</v>
      </c>
      <c r="J440" s="0" t="n">
        <v>104593705</v>
      </c>
    </row>
    <row r="441" customFormat="false" ht="15" hidden="false" customHeight="false" outlineLevel="0" collapsed="false">
      <c r="B441" s="0" t="s">
        <v>2320</v>
      </c>
      <c r="C441" s="0" t="n">
        <v>224107500</v>
      </c>
      <c r="D441" s="0" t="s">
        <v>2138</v>
      </c>
      <c r="E441" s="0" t="n">
        <v>21358715</v>
      </c>
      <c r="F441" s="0" t="n">
        <v>720197</v>
      </c>
      <c r="G441" s="0" t="s">
        <v>34</v>
      </c>
      <c r="H441" s="0" t="n">
        <v>3654128</v>
      </c>
      <c r="I441" s="0" t="s">
        <v>2158</v>
      </c>
      <c r="J441" s="0" t="n">
        <v>103048329</v>
      </c>
    </row>
    <row r="442" customFormat="false" ht="15" hidden="false" customHeight="false" outlineLevel="0" collapsed="false">
      <c r="B442" s="0" t="s">
        <v>2321</v>
      </c>
      <c r="C442" s="0" t="n">
        <v>224104896</v>
      </c>
      <c r="D442" s="0" t="s">
        <v>2138</v>
      </c>
      <c r="E442" s="0" t="n">
        <v>21358715</v>
      </c>
      <c r="F442" s="0" t="n">
        <v>720197</v>
      </c>
      <c r="G442" s="0" t="s">
        <v>34</v>
      </c>
      <c r="H442" s="0" t="n">
        <v>3654128</v>
      </c>
      <c r="I442" s="0" t="s">
        <v>2140</v>
      </c>
      <c r="J442" s="0" t="n">
        <v>103178645</v>
      </c>
    </row>
    <row r="443" customFormat="false" ht="15" hidden="false" customHeight="false" outlineLevel="0" collapsed="false">
      <c r="B443" s="0" t="s">
        <v>2322</v>
      </c>
      <c r="C443" s="0" t="n">
        <v>224105904</v>
      </c>
      <c r="D443" s="0" t="s">
        <v>2138</v>
      </c>
      <c r="E443" s="0" t="n">
        <v>21358715</v>
      </c>
      <c r="F443" s="0" t="n">
        <v>720197</v>
      </c>
      <c r="G443" s="0" t="s">
        <v>34</v>
      </c>
      <c r="H443" s="0" t="n">
        <v>3654128</v>
      </c>
      <c r="I443" s="0" t="s">
        <v>2323</v>
      </c>
      <c r="J443" s="0" t="n">
        <v>103180586</v>
      </c>
    </row>
    <row r="444" customFormat="false" ht="15" hidden="false" customHeight="false" outlineLevel="0" collapsed="false">
      <c r="B444" s="0" t="s">
        <v>2324</v>
      </c>
      <c r="C444" s="0" t="n">
        <v>223933084</v>
      </c>
      <c r="D444" s="0" t="s">
        <v>2138</v>
      </c>
      <c r="E444" s="0" t="n">
        <v>21358715</v>
      </c>
      <c r="F444" s="0" t="n">
        <v>720197</v>
      </c>
      <c r="G444" s="0" t="s">
        <v>2325</v>
      </c>
      <c r="H444" s="0" t="n">
        <v>3654128</v>
      </c>
      <c r="I444" s="0" t="s">
        <v>2326</v>
      </c>
      <c r="J444" s="0" t="n">
        <v>103180628</v>
      </c>
    </row>
    <row r="445" customFormat="false" ht="15" hidden="false" customHeight="false" outlineLevel="0" collapsed="false">
      <c r="B445" s="0" t="s">
        <v>2327</v>
      </c>
      <c r="C445" s="0" t="n">
        <v>226786197</v>
      </c>
      <c r="D445" s="0" t="s">
        <v>2138</v>
      </c>
      <c r="E445" s="0" t="n">
        <v>21358715</v>
      </c>
      <c r="F445" s="0" t="n">
        <v>720197</v>
      </c>
      <c r="G445" s="0" t="s">
        <v>2222</v>
      </c>
      <c r="H445" s="0" t="n">
        <v>3654329</v>
      </c>
      <c r="I445" s="0" t="s">
        <v>2256</v>
      </c>
      <c r="J445" s="0" t="n">
        <v>104592520</v>
      </c>
    </row>
    <row r="446" customFormat="false" ht="15" hidden="false" customHeight="false" outlineLevel="0" collapsed="false">
      <c r="B446" s="0" t="s">
        <v>2328</v>
      </c>
      <c r="C446" s="0" t="n">
        <v>226782720</v>
      </c>
      <c r="D446" s="0" t="s">
        <v>2138</v>
      </c>
      <c r="E446" s="0" t="n">
        <v>21358715</v>
      </c>
      <c r="F446" s="0" t="n">
        <v>720197</v>
      </c>
      <c r="G446" s="0" t="s">
        <v>2222</v>
      </c>
      <c r="H446" s="0" t="n">
        <v>3654329</v>
      </c>
      <c r="I446" s="0" t="s">
        <v>2329</v>
      </c>
      <c r="J446" s="0" t="n">
        <v>104595754</v>
      </c>
    </row>
    <row r="447" customFormat="false" ht="15" hidden="false" customHeight="false" outlineLevel="0" collapsed="false">
      <c r="B447" s="0" t="s">
        <v>69</v>
      </c>
      <c r="C447" s="0" t="n">
        <v>223691798</v>
      </c>
      <c r="D447" s="0" t="s">
        <v>2021</v>
      </c>
      <c r="E447" s="0" t="n">
        <v>21337220</v>
      </c>
      <c r="F447" s="0" t="n">
        <v>720192</v>
      </c>
      <c r="G447" s="0" t="s">
        <v>34</v>
      </c>
      <c r="H447" s="0" t="n">
        <v>3654128</v>
      </c>
      <c r="I447" s="0" t="s">
        <v>333</v>
      </c>
      <c r="J447" s="0" t="n">
        <v>102916347</v>
      </c>
    </row>
    <row r="448" customFormat="false" ht="15" hidden="false" customHeight="false" outlineLevel="0" collapsed="false">
      <c r="B448" s="0" t="s">
        <v>2135</v>
      </c>
      <c r="C448" s="0" t="n">
        <v>227524946</v>
      </c>
      <c r="D448" s="0" t="s">
        <v>2021</v>
      </c>
      <c r="E448" s="0" t="n">
        <v>21337220</v>
      </c>
      <c r="F448" s="0" t="n">
        <v>720192</v>
      </c>
      <c r="G448" s="0" t="s">
        <v>34</v>
      </c>
      <c r="H448" s="0" t="n">
        <v>3654128</v>
      </c>
      <c r="I448" s="0" t="s">
        <v>384</v>
      </c>
      <c r="J448" s="0" t="n">
        <v>105216992</v>
      </c>
    </row>
    <row r="449" customFormat="false" ht="15" hidden="false" customHeight="false" outlineLevel="0" collapsed="false">
      <c r="B449" s="0" t="s">
        <v>2091</v>
      </c>
      <c r="C449" s="0" t="n">
        <v>226360031</v>
      </c>
      <c r="D449" s="0" t="s">
        <v>102</v>
      </c>
      <c r="E449" s="0" t="n">
        <v>21356941</v>
      </c>
      <c r="F449" s="0" t="n">
        <v>720193</v>
      </c>
      <c r="G449" s="0" t="s">
        <v>34</v>
      </c>
      <c r="H449" s="0" t="n">
        <v>3654128</v>
      </c>
      <c r="I449" s="0" t="s">
        <v>1120</v>
      </c>
      <c r="J449" s="0" t="n">
        <v>104537129</v>
      </c>
    </row>
    <row r="450" customFormat="false" ht="15" hidden="false" customHeight="false" outlineLevel="0" collapsed="false">
      <c r="B450" s="0" t="s">
        <v>2095</v>
      </c>
      <c r="C450" s="0" t="n">
        <v>226359947</v>
      </c>
      <c r="D450" s="0" t="s">
        <v>102</v>
      </c>
      <c r="E450" s="0" t="n">
        <v>21356941</v>
      </c>
      <c r="F450" s="0" t="n">
        <v>720193</v>
      </c>
      <c r="G450" s="0" t="s">
        <v>34</v>
      </c>
      <c r="H450" s="0" t="n">
        <v>3654128</v>
      </c>
      <c r="I450" s="0" t="s">
        <v>1105</v>
      </c>
      <c r="J450" s="0" t="n">
        <v>104537813</v>
      </c>
    </row>
    <row r="451" customFormat="false" ht="15" hidden="false" customHeight="false" outlineLevel="0" collapsed="false">
      <c r="B451" s="0" t="s">
        <v>2078</v>
      </c>
      <c r="C451" s="0" t="n">
        <v>226359953</v>
      </c>
      <c r="D451" s="0" t="s">
        <v>102</v>
      </c>
      <c r="E451" s="0" t="n">
        <v>21356941</v>
      </c>
      <c r="F451" s="0" t="n">
        <v>720193</v>
      </c>
      <c r="G451" s="0" t="s">
        <v>34</v>
      </c>
      <c r="H451" s="0" t="n">
        <v>3654128</v>
      </c>
      <c r="I451" s="0" t="s">
        <v>1120</v>
      </c>
      <c r="J451" s="0" t="n">
        <v>104537129</v>
      </c>
    </row>
    <row r="452" customFormat="false" ht="15" hidden="false" customHeight="false" outlineLevel="0" collapsed="false">
      <c r="B452" s="0" t="s">
        <v>1998</v>
      </c>
      <c r="C452" s="0" t="n">
        <v>224560872</v>
      </c>
      <c r="D452" s="0" t="s">
        <v>102</v>
      </c>
      <c r="E452" s="0" t="n">
        <v>21356941</v>
      </c>
      <c r="F452" s="0" t="n">
        <v>720193</v>
      </c>
      <c r="G452" s="0" t="s">
        <v>34</v>
      </c>
      <c r="H452" s="0" t="n">
        <v>3654128</v>
      </c>
      <c r="I452" s="0" t="s">
        <v>1997</v>
      </c>
      <c r="J452" s="0" t="n">
        <v>103259958</v>
      </c>
    </row>
    <row r="453" customFormat="false" ht="15" hidden="false" customHeight="false" outlineLevel="0" collapsed="false">
      <c r="B453" s="0" t="s">
        <v>1999</v>
      </c>
      <c r="C453" s="0" t="n">
        <v>224416915</v>
      </c>
      <c r="D453" s="0" t="s">
        <v>102</v>
      </c>
      <c r="E453" s="0" t="n">
        <v>21356941</v>
      </c>
      <c r="F453" s="0" t="n">
        <v>720193</v>
      </c>
      <c r="G453" s="0" t="s">
        <v>34</v>
      </c>
      <c r="H453" s="0" t="n">
        <v>3654128</v>
      </c>
      <c r="I453" s="0" t="s">
        <v>1060</v>
      </c>
      <c r="J453" s="0" t="n">
        <v>103376981</v>
      </c>
    </row>
    <row r="454" customFormat="false" ht="15" hidden="false" customHeight="false" outlineLevel="0" collapsed="false">
      <c r="B454" s="0" t="s">
        <v>2000</v>
      </c>
      <c r="C454" s="0" t="n">
        <v>224560875</v>
      </c>
      <c r="D454" s="0" t="s">
        <v>102</v>
      </c>
      <c r="E454" s="0" t="n">
        <v>21356941</v>
      </c>
      <c r="F454" s="0" t="n">
        <v>720193</v>
      </c>
      <c r="G454" s="0" t="s">
        <v>34</v>
      </c>
      <c r="H454" s="0" t="n">
        <v>3654128</v>
      </c>
      <c r="I454" s="0" t="s">
        <v>1075</v>
      </c>
      <c r="J454" s="0" t="n">
        <v>103259766</v>
      </c>
    </row>
    <row r="455" customFormat="false" ht="15" hidden="false" customHeight="false" outlineLevel="0" collapsed="false">
      <c r="B455" s="0" t="s">
        <v>2001</v>
      </c>
      <c r="C455" s="0" t="n">
        <v>224560863</v>
      </c>
      <c r="D455" s="0" t="s">
        <v>102</v>
      </c>
      <c r="E455" s="0" t="n">
        <v>21356941</v>
      </c>
      <c r="F455" s="0" t="n">
        <v>720193</v>
      </c>
      <c r="G455" s="0" t="s">
        <v>34</v>
      </c>
      <c r="H455" s="0" t="n">
        <v>3654128</v>
      </c>
      <c r="I455" s="0" t="s">
        <v>1090</v>
      </c>
      <c r="J455" s="0" t="n">
        <v>103256577</v>
      </c>
    </row>
    <row r="456" customFormat="false" ht="15" hidden="false" customHeight="false" outlineLevel="0" collapsed="false">
      <c r="B456" s="0" t="s">
        <v>2108</v>
      </c>
      <c r="C456" s="0" t="n">
        <v>226360016</v>
      </c>
      <c r="D456" s="0" t="s">
        <v>102</v>
      </c>
      <c r="E456" s="0" t="n">
        <v>21356941</v>
      </c>
      <c r="F456" s="0" t="n">
        <v>720193</v>
      </c>
      <c r="G456" s="0" t="s">
        <v>34</v>
      </c>
      <c r="H456" s="0" t="n">
        <v>3654128</v>
      </c>
      <c r="I456" s="0" t="s">
        <v>1319</v>
      </c>
      <c r="J456" s="0" t="n">
        <v>104456278</v>
      </c>
    </row>
    <row r="457" customFormat="false" ht="15" hidden="false" customHeight="false" outlineLevel="0" collapsed="false">
      <c r="B457" s="0" t="s">
        <v>2080</v>
      </c>
      <c r="C457" s="0" t="n">
        <v>226360010</v>
      </c>
      <c r="D457" s="0" t="s">
        <v>102</v>
      </c>
      <c r="E457" s="0" t="n">
        <v>21356941</v>
      </c>
      <c r="F457" s="0" t="n">
        <v>720193</v>
      </c>
      <c r="G457" s="0" t="s">
        <v>34</v>
      </c>
      <c r="H457" s="0" t="n">
        <v>3654128</v>
      </c>
      <c r="I457" s="0" t="s">
        <v>1334</v>
      </c>
      <c r="J457" s="0" t="n">
        <v>104458003</v>
      </c>
    </row>
    <row r="458" customFormat="false" ht="15" hidden="false" customHeight="false" outlineLevel="0" collapsed="false">
      <c r="B458" s="0" t="s">
        <v>2109</v>
      </c>
      <c r="C458" s="0" t="n">
        <v>226360022</v>
      </c>
      <c r="D458" s="0" t="s">
        <v>102</v>
      </c>
      <c r="E458" s="0" t="n">
        <v>21356941</v>
      </c>
      <c r="F458" s="0" t="n">
        <v>720193</v>
      </c>
      <c r="G458" s="0" t="s">
        <v>34</v>
      </c>
      <c r="H458" s="0" t="n">
        <v>3654128</v>
      </c>
      <c r="I458" s="0" t="s">
        <v>1349</v>
      </c>
      <c r="J458" s="0" t="n">
        <v>104455906</v>
      </c>
    </row>
    <row r="459" customFormat="false" ht="15" hidden="false" customHeight="false" outlineLevel="0" collapsed="false">
      <c r="B459" s="0" t="s">
        <v>2110</v>
      </c>
      <c r="C459" s="0" t="n">
        <v>226360001</v>
      </c>
      <c r="D459" s="0" t="s">
        <v>102</v>
      </c>
      <c r="E459" s="0" t="n">
        <v>21356941</v>
      </c>
      <c r="F459" s="0" t="n">
        <v>720193</v>
      </c>
      <c r="G459" s="0" t="s">
        <v>34</v>
      </c>
      <c r="H459" s="0" t="n">
        <v>3654128</v>
      </c>
      <c r="I459" s="0" t="s">
        <v>1319</v>
      </c>
      <c r="J459" s="0" t="n">
        <v>104456278</v>
      </c>
    </row>
    <row r="460" customFormat="false" ht="15" hidden="false" customHeight="false" outlineLevel="0" collapsed="false">
      <c r="B460" s="0" t="s">
        <v>2082</v>
      </c>
      <c r="C460" s="0" t="n">
        <v>226359938</v>
      </c>
      <c r="D460" s="0" t="s">
        <v>102</v>
      </c>
      <c r="E460" s="0" t="n">
        <v>21356941</v>
      </c>
      <c r="F460" s="0" t="n">
        <v>720193</v>
      </c>
      <c r="G460" s="0" t="s">
        <v>34</v>
      </c>
      <c r="H460" s="0" t="n">
        <v>3654128</v>
      </c>
      <c r="I460" s="0" t="s">
        <v>1319</v>
      </c>
      <c r="J460" s="0" t="n">
        <v>104456278</v>
      </c>
    </row>
    <row r="461" customFormat="false" ht="15" hidden="false" customHeight="false" outlineLevel="0" collapsed="false">
      <c r="B461" s="0" t="s">
        <v>2119</v>
      </c>
      <c r="C461" s="0" t="n">
        <v>226889134</v>
      </c>
      <c r="D461" s="0" t="s">
        <v>42</v>
      </c>
      <c r="E461" s="0" t="n">
        <v>21337013</v>
      </c>
      <c r="F461" s="0" t="n">
        <v>720196</v>
      </c>
      <c r="G461" s="0" t="s">
        <v>34</v>
      </c>
      <c r="H461" s="0" t="n">
        <v>3654128</v>
      </c>
      <c r="I461" s="0" t="s">
        <v>223</v>
      </c>
      <c r="J461" s="0" t="n">
        <v>103230847</v>
      </c>
    </row>
    <row r="462" customFormat="false" ht="15" hidden="false" customHeight="false" outlineLevel="0" collapsed="false">
      <c r="B462" s="0" t="s">
        <v>60</v>
      </c>
      <c r="C462" s="0" t="n">
        <v>226889143</v>
      </c>
      <c r="D462" s="0" t="s">
        <v>42</v>
      </c>
      <c r="E462" s="0" t="n">
        <v>21337013</v>
      </c>
      <c r="F462" s="0" t="n">
        <v>720196</v>
      </c>
      <c r="G462" s="0" t="s">
        <v>34</v>
      </c>
      <c r="H462" s="0" t="n">
        <v>3654128</v>
      </c>
      <c r="I462" s="0" t="s">
        <v>262</v>
      </c>
      <c r="J462" s="0" t="n">
        <v>103235146</v>
      </c>
    </row>
    <row r="463" customFormat="false" ht="15" hidden="false" customHeight="false" outlineLevel="0" collapsed="false">
      <c r="B463" s="0" t="s">
        <v>165</v>
      </c>
      <c r="C463" s="0" t="n">
        <v>226269941</v>
      </c>
      <c r="D463" s="0" t="s">
        <v>159</v>
      </c>
      <c r="E463" s="0" t="n">
        <v>21276694</v>
      </c>
      <c r="F463" s="0" t="n">
        <v>720195</v>
      </c>
      <c r="G463" s="0" t="s">
        <v>34</v>
      </c>
      <c r="H463" s="0" t="n">
        <v>3654128</v>
      </c>
      <c r="I463" s="0" t="s">
        <v>1496</v>
      </c>
      <c r="J463" s="0" t="n">
        <v>104060547</v>
      </c>
    </row>
    <row r="464" customFormat="false" ht="15" hidden="false" customHeight="false" outlineLevel="0" collapsed="false">
      <c r="B464" s="0" t="s">
        <v>101</v>
      </c>
      <c r="C464" s="0" t="n">
        <v>223691768</v>
      </c>
      <c r="D464" s="0" t="s">
        <v>2021</v>
      </c>
      <c r="E464" s="0" t="n">
        <v>21337220</v>
      </c>
      <c r="F464" s="0" t="n">
        <v>720192</v>
      </c>
      <c r="G464" s="0" t="s">
        <v>34</v>
      </c>
      <c r="H464" s="0" t="n">
        <v>3654128</v>
      </c>
      <c r="I464" s="0" t="s">
        <v>663</v>
      </c>
      <c r="J464" s="0" t="n">
        <v>102902971</v>
      </c>
    </row>
    <row r="465" customFormat="false" ht="15" hidden="false" customHeight="false" outlineLevel="0" collapsed="false">
      <c r="B465" s="0" t="s">
        <v>76</v>
      </c>
      <c r="C465" s="0" t="n">
        <v>223691783</v>
      </c>
      <c r="D465" s="0" t="s">
        <v>2021</v>
      </c>
      <c r="E465" s="0" t="n">
        <v>21337220</v>
      </c>
      <c r="F465" s="0" t="n">
        <v>720192</v>
      </c>
      <c r="G465" s="0" t="s">
        <v>34</v>
      </c>
      <c r="H465" s="0" t="n">
        <v>3654128</v>
      </c>
      <c r="I465" s="0" t="s">
        <v>354</v>
      </c>
      <c r="J465" s="0" t="n">
        <v>103058723</v>
      </c>
    </row>
    <row r="466" customFormat="false" ht="15" hidden="false" customHeight="false" outlineLevel="0" collapsed="false">
      <c r="B466" s="0" t="s">
        <v>37</v>
      </c>
      <c r="C466" s="0" t="n">
        <v>224009494</v>
      </c>
      <c r="D466" s="0" t="s">
        <v>30</v>
      </c>
      <c r="E466" s="0" t="n">
        <v>21359477</v>
      </c>
      <c r="F466" s="0" t="n">
        <v>720194</v>
      </c>
      <c r="G466" s="0" t="s">
        <v>34</v>
      </c>
      <c r="H466" s="0" t="n">
        <v>3654128</v>
      </c>
      <c r="I466" s="0" t="s">
        <v>1986</v>
      </c>
      <c r="J466" s="0" t="n">
        <v>103350059</v>
      </c>
    </row>
    <row r="467" customFormat="false" ht="15" hidden="false" customHeight="false" outlineLevel="0" collapsed="false">
      <c r="B467" s="0" t="s">
        <v>2094</v>
      </c>
      <c r="C467" s="0" t="n">
        <v>226360025</v>
      </c>
      <c r="D467" s="0" t="s">
        <v>102</v>
      </c>
      <c r="E467" s="0" t="n">
        <v>21356941</v>
      </c>
      <c r="F467" s="0" t="n">
        <v>720193</v>
      </c>
      <c r="G467" s="0" t="s">
        <v>34</v>
      </c>
      <c r="H467" s="0" t="n">
        <v>3654128</v>
      </c>
      <c r="I467" s="0" t="s">
        <v>1150</v>
      </c>
      <c r="J467" s="0" t="n">
        <v>104537132</v>
      </c>
    </row>
    <row r="468" customFormat="false" ht="15" hidden="false" customHeight="false" outlineLevel="0" collapsed="false">
      <c r="B468" s="0" t="s">
        <v>1996</v>
      </c>
      <c r="C468" s="0" t="n">
        <v>224560878</v>
      </c>
      <c r="D468" s="0" t="s">
        <v>102</v>
      </c>
      <c r="E468" s="0" t="n">
        <v>21356941</v>
      </c>
      <c r="F468" s="0" t="n">
        <v>720193</v>
      </c>
      <c r="G468" s="0" t="s">
        <v>34</v>
      </c>
      <c r="H468" s="0" t="n">
        <v>3654128</v>
      </c>
      <c r="I468" s="0" t="s">
        <v>1997</v>
      </c>
      <c r="J468" s="0" t="n">
        <v>103259958</v>
      </c>
    </row>
    <row r="469" customFormat="false" ht="15" hidden="false" customHeight="false" outlineLevel="0" collapsed="false">
      <c r="B469" s="0" t="s">
        <v>2116</v>
      </c>
      <c r="C469" s="0" t="n">
        <v>226359941</v>
      </c>
      <c r="D469" s="0" t="s">
        <v>102</v>
      </c>
      <c r="E469" s="0" t="n">
        <v>21356941</v>
      </c>
      <c r="F469" s="0" t="n">
        <v>720193</v>
      </c>
      <c r="G469" s="0" t="s">
        <v>34</v>
      </c>
      <c r="H469" s="0" t="n">
        <v>3654128</v>
      </c>
      <c r="I469" s="0" t="s">
        <v>1349</v>
      </c>
      <c r="J469" s="0" t="n">
        <v>104455906</v>
      </c>
    </row>
    <row r="470" customFormat="false" ht="15" hidden="false" customHeight="false" outlineLevel="0" collapsed="false">
      <c r="B470" s="0" t="s">
        <v>2330</v>
      </c>
      <c r="C470" s="0" t="n">
        <v>226794017</v>
      </c>
      <c r="D470" s="0" t="s">
        <v>42</v>
      </c>
      <c r="E470" s="0" t="n">
        <v>21337013</v>
      </c>
      <c r="F470" s="0" t="n">
        <v>720196</v>
      </c>
      <c r="G470" s="0" t="s">
        <v>34</v>
      </c>
      <c r="H470" s="0" t="n">
        <v>3654128</v>
      </c>
      <c r="I470" s="0" t="s">
        <v>262</v>
      </c>
      <c r="J470" s="0" t="n">
        <v>103235146</v>
      </c>
    </row>
    <row r="471" customFormat="false" ht="15" hidden="false" customHeight="false" outlineLevel="0" collapsed="false">
      <c r="B471" s="0" t="s">
        <v>2321</v>
      </c>
      <c r="C471" s="0" t="n">
        <v>224104896</v>
      </c>
      <c r="D471" s="0" t="s">
        <v>2138</v>
      </c>
      <c r="E471" s="0" t="n">
        <v>21358715</v>
      </c>
      <c r="F471" s="0" t="n">
        <v>720197</v>
      </c>
      <c r="G471" s="0" t="s">
        <v>34</v>
      </c>
      <c r="H471" s="0" t="n">
        <v>3654128</v>
      </c>
      <c r="I471" s="0" t="s">
        <v>2139</v>
      </c>
      <c r="J471" s="0" t="n">
        <v>103043835</v>
      </c>
    </row>
    <row r="472" customFormat="false" ht="15" hidden="false" customHeight="false" outlineLevel="0" collapsed="false">
      <c r="B472" s="0" t="s">
        <v>2331</v>
      </c>
      <c r="C472" s="0" t="n">
        <v>226028475</v>
      </c>
      <c r="D472" s="0" t="s">
        <v>2138</v>
      </c>
      <c r="E472" s="0" t="n">
        <v>21358715</v>
      </c>
      <c r="F472" s="0" t="n">
        <v>720197</v>
      </c>
      <c r="G472" s="0" t="s">
        <v>34</v>
      </c>
      <c r="H472" s="0" t="n">
        <v>3654128</v>
      </c>
      <c r="I472" s="0" t="s">
        <v>2332</v>
      </c>
      <c r="J472" s="0" t="n">
        <v>104593696</v>
      </c>
    </row>
    <row r="473" customFormat="false" ht="15" hidden="false" customHeight="false" outlineLevel="0" collapsed="false">
      <c r="B473" s="0" t="s">
        <v>2333</v>
      </c>
      <c r="C473" s="0" t="n">
        <v>226539968</v>
      </c>
      <c r="D473" s="0" t="s">
        <v>2138</v>
      </c>
      <c r="E473" s="0" t="n">
        <v>21358715</v>
      </c>
      <c r="F473" s="0" t="n">
        <v>720197</v>
      </c>
      <c r="G473" s="0" t="s">
        <v>34</v>
      </c>
      <c r="H473" s="0" t="n">
        <v>3654128</v>
      </c>
      <c r="I473" s="0" t="s">
        <v>2147</v>
      </c>
      <c r="J473" s="0" t="n">
        <v>104595739</v>
      </c>
    </row>
    <row r="474" customFormat="false" ht="15" hidden="false" customHeight="false" outlineLevel="0" collapsed="false">
      <c r="B474" s="0" t="s">
        <v>2334</v>
      </c>
      <c r="C474" s="0" t="n">
        <v>226620976</v>
      </c>
      <c r="D474" s="0" t="s">
        <v>2138</v>
      </c>
      <c r="E474" s="0" t="n">
        <v>21358715</v>
      </c>
      <c r="F474" s="0" t="n">
        <v>720197</v>
      </c>
      <c r="G474" s="0" t="s">
        <v>34</v>
      </c>
      <c r="H474" s="0" t="n">
        <v>3654128</v>
      </c>
      <c r="I474" s="0" t="s">
        <v>2335</v>
      </c>
      <c r="J474" s="0" t="n">
        <v>104595757</v>
      </c>
    </row>
    <row r="475" customFormat="false" ht="15" hidden="false" customHeight="false" outlineLevel="0" collapsed="false">
      <c r="B475" s="0" t="s">
        <v>2096</v>
      </c>
      <c r="C475" s="0" t="n">
        <v>226359944</v>
      </c>
      <c r="D475" s="0" t="s">
        <v>102</v>
      </c>
      <c r="E475" s="0" t="n">
        <v>21356941</v>
      </c>
      <c r="F475" s="0" t="n">
        <v>720193</v>
      </c>
      <c r="G475" s="0" t="s">
        <v>34</v>
      </c>
      <c r="H475" s="0" t="n">
        <v>3654128</v>
      </c>
      <c r="I475" s="0" t="s">
        <v>1135</v>
      </c>
      <c r="J475" s="0" t="n">
        <v>104537816</v>
      </c>
    </row>
    <row r="476" customFormat="false" ht="15" hidden="false" customHeight="false" outlineLevel="0" collapsed="false">
      <c r="B476" s="0" t="s">
        <v>2107</v>
      </c>
      <c r="C476" s="0" t="n">
        <v>226359959</v>
      </c>
      <c r="D476" s="0" t="s">
        <v>102</v>
      </c>
      <c r="E476" s="0" t="n">
        <v>21356941</v>
      </c>
      <c r="F476" s="0" t="n">
        <v>720193</v>
      </c>
      <c r="G476" s="0" t="s">
        <v>34</v>
      </c>
      <c r="H476" s="0" t="n">
        <v>3654128</v>
      </c>
      <c r="I476" s="0" t="s">
        <v>815</v>
      </c>
      <c r="J476" s="0" t="n">
        <v>103376990</v>
      </c>
    </row>
    <row r="477" customFormat="false" ht="15" hidden="false" customHeight="false" outlineLevel="0" collapsed="false">
      <c r="B477" s="0" t="s">
        <v>59</v>
      </c>
      <c r="C477" s="0" t="n">
        <v>227035833</v>
      </c>
      <c r="D477" s="0" t="s">
        <v>42</v>
      </c>
      <c r="E477" s="0" t="n">
        <v>21337013</v>
      </c>
      <c r="F477" s="0" t="n">
        <v>720196</v>
      </c>
      <c r="G477" s="0" t="s">
        <v>34</v>
      </c>
      <c r="H477" s="0" t="n">
        <v>3654128</v>
      </c>
      <c r="I477" s="0" t="s">
        <v>262</v>
      </c>
      <c r="J477" s="0" t="n">
        <v>103235146</v>
      </c>
    </row>
    <row r="478" customFormat="false" ht="15" hidden="false" customHeight="false" outlineLevel="0" collapsed="false">
      <c r="B478" s="0" t="s">
        <v>2164</v>
      </c>
      <c r="C478" s="0" t="n">
        <v>225841990</v>
      </c>
      <c r="D478" s="0" t="s">
        <v>2138</v>
      </c>
      <c r="E478" s="0" t="n">
        <v>21358715</v>
      </c>
      <c r="F478" s="0" t="n">
        <v>720197</v>
      </c>
      <c r="G478" s="0" t="s">
        <v>34</v>
      </c>
      <c r="H478" s="0" t="n">
        <v>3654128</v>
      </c>
      <c r="I478" s="0" t="s">
        <v>2336</v>
      </c>
      <c r="J478" s="0" t="n">
        <v>104593714</v>
      </c>
    </row>
    <row r="479" customFormat="false" ht="15" hidden="false" customHeight="false" outlineLevel="0" collapsed="false">
      <c r="B479" s="0" t="s">
        <v>2185</v>
      </c>
      <c r="C479" s="0" t="n">
        <v>226617661</v>
      </c>
      <c r="D479" s="0" t="s">
        <v>2138</v>
      </c>
      <c r="E479" s="0" t="n">
        <v>21358715</v>
      </c>
      <c r="F479" s="0" t="n">
        <v>720197</v>
      </c>
      <c r="G479" s="0" t="s">
        <v>34</v>
      </c>
      <c r="H479" s="0" t="n">
        <v>3654128</v>
      </c>
      <c r="I479" s="0" t="s">
        <v>2337</v>
      </c>
      <c r="J479" s="0" t="n">
        <v>104592508</v>
      </c>
    </row>
    <row r="480" customFormat="false" ht="15" hidden="false" customHeight="false" outlineLevel="0" collapsed="false">
      <c r="B480" s="0" t="s">
        <v>2333</v>
      </c>
      <c r="C480" s="0" t="n">
        <v>226539968</v>
      </c>
      <c r="D480" s="0" t="s">
        <v>2138</v>
      </c>
      <c r="E480" s="0" t="n">
        <v>21358715</v>
      </c>
      <c r="F480" s="0" t="n">
        <v>720197</v>
      </c>
      <c r="G480" s="0" t="s">
        <v>34</v>
      </c>
      <c r="H480" s="0" t="n">
        <v>3654128</v>
      </c>
      <c r="I480" s="0" t="s">
        <v>2317</v>
      </c>
      <c r="J480" s="0" t="n">
        <v>104671403</v>
      </c>
    </row>
    <row r="481" customFormat="false" ht="15" hidden="false" customHeight="false" outlineLevel="0" collapsed="false">
      <c r="B481" s="0" t="s">
        <v>2334</v>
      </c>
      <c r="C481" s="0" t="n">
        <v>226620976</v>
      </c>
      <c r="D481" s="0" t="s">
        <v>2138</v>
      </c>
      <c r="E481" s="0" t="n">
        <v>21358715</v>
      </c>
      <c r="F481" s="0" t="n">
        <v>720197</v>
      </c>
      <c r="G481" s="0" t="s">
        <v>34</v>
      </c>
      <c r="H481" s="0" t="n">
        <v>3654128</v>
      </c>
      <c r="I481" s="0" t="s">
        <v>2308</v>
      </c>
      <c r="J481" s="0" t="n">
        <v>104593738</v>
      </c>
    </row>
    <row r="482" customFormat="false" ht="15" hidden="false" customHeight="false" outlineLevel="0" collapsed="false">
      <c r="B482" s="0" t="s">
        <v>2338</v>
      </c>
      <c r="C482" s="0" t="n">
        <v>226538606</v>
      </c>
      <c r="D482" s="0" t="s">
        <v>2138</v>
      </c>
      <c r="E482" s="0" t="n">
        <v>21358715</v>
      </c>
      <c r="F482" s="0" t="n">
        <v>720197</v>
      </c>
      <c r="G482" s="0" t="s">
        <v>34</v>
      </c>
      <c r="H482" s="0" t="n">
        <v>3654128</v>
      </c>
      <c r="I482" s="0" t="s">
        <v>2339</v>
      </c>
      <c r="J482" s="0" t="n">
        <v>104593438</v>
      </c>
    </row>
    <row r="483" customFormat="false" ht="15" hidden="false" customHeight="false" outlineLevel="0" collapsed="false">
      <c r="B483" s="0" t="s">
        <v>2340</v>
      </c>
      <c r="C483" s="0" t="n">
        <v>223862900</v>
      </c>
      <c r="D483" s="0" t="s">
        <v>2138</v>
      </c>
      <c r="E483" s="0" t="n">
        <v>21358715</v>
      </c>
      <c r="F483" s="0" t="n">
        <v>720197</v>
      </c>
      <c r="G483" s="0" t="s">
        <v>34</v>
      </c>
      <c r="H483" s="0" t="n">
        <v>3654128</v>
      </c>
      <c r="I483" s="0" t="s">
        <v>2142</v>
      </c>
      <c r="J483" s="0" t="n">
        <v>103176812</v>
      </c>
    </row>
    <row r="484" customFormat="false" ht="15" hidden="false" customHeight="false" outlineLevel="0" collapsed="false">
      <c r="B484" s="0" t="s">
        <v>2341</v>
      </c>
      <c r="C484" s="0" t="n">
        <v>226786254</v>
      </c>
      <c r="D484" s="0" t="s">
        <v>2138</v>
      </c>
      <c r="E484" s="0" t="n">
        <v>21358715</v>
      </c>
      <c r="F484" s="0" t="n">
        <v>720197</v>
      </c>
      <c r="G484" s="0" t="s">
        <v>34</v>
      </c>
      <c r="H484" s="0" t="n">
        <v>3654128</v>
      </c>
      <c r="I484" s="0" t="s">
        <v>2339</v>
      </c>
      <c r="J484" s="0" t="n">
        <v>104593438</v>
      </c>
    </row>
    <row r="485" customFormat="false" ht="15" hidden="false" customHeight="false" outlineLevel="0" collapsed="false">
      <c r="B485" s="0" t="s">
        <v>2136</v>
      </c>
      <c r="C485" s="0" t="n">
        <v>227792319</v>
      </c>
      <c r="D485" s="0" t="s">
        <v>2021</v>
      </c>
      <c r="E485" s="0" t="n">
        <v>21337220</v>
      </c>
      <c r="F485" s="0" t="n">
        <v>720192</v>
      </c>
      <c r="G485" s="0" t="s">
        <v>34</v>
      </c>
      <c r="H485" s="0" t="n">
        <v>3654128</v>
      </c>
      <c r="I485" s="0" t="s">
        <v>360</v>
      </c>
      <c r="J485" s="0" t="n">
        <v>105130128</v>
      </c>
    </row>
    <row r="486" customFormat="false" ht="15" hidden="false" customHeight="false" outlineLevel="0" collapsed="false">
      <c r="B486" s="0" t="s">
        <v>2152</v>
      </c>
      <c r="C486" s="0" t="n">
        <v>225283843</v>
      </c>
      <c r="D486" s="0" t="s">
        <v>2138</v>
      </c>
      <c r="E486" s="0" t="n">
        <v>21358715</v>
      </c>
      <c r="F486" s="0" t="n">
        <v>720197</v>
      </c>
      <c r="G486" s="0" t="s">
        <v>34</v>
      </c>
      <c r="H486" s="0" t="n">
        <v>3654128</v>
      </c>
      <c r="I486" s="0" t="s">
        <v>2205</v>
      </c>
      <c r="J486" s="0" t="n">
        <v>103873631</v>
      </c>
    </row>
    <row r="487" customFormat="false" ht="15" hidden="false" customHeight="false" outlineLevel="0" collapsed="false">
      <c r="B487" s="0" t="s">
        <v>2195</v>
      </c>
      <c r="C487" s="0" t="n">
        <v>223862897</v>
      </c>
      <c r="D487" s="0" t="s">
        <v>2138</v>
      </c>
      <c r="E487" s="0" t="n">
        <v>21358715</v>
      </c>
      <c r="F487" s="0" t="n">
        <v>720197</v>
      </c>
      <c r="G487" s="0" t="s">
        <v>34</v>
      </c>
      <c r="H487" s="0" t="n">
        <v>3654128</v>
      </c>
      <c r="I487" s="0" t="s">
        <v>2305</v>
      </c>
      <c r="J487" s="0" t="n">
        <v>103176836</v>
      </c>
    </row>
    <row r="488" customFormat="false" ht="15" hidden="false" customHeight="false" outlineLevel="0" collapsed="false">
      <c r="B488" s="0" t="s">
        <v>2314</v>
      </c>
      <c r="C488" s="0" t="n">
        <v>226536149</v>
      </c>
      <c r="D488" s="0" t="s">
        <v>2138</v>
      </c>
      <c r="E488" s="0" t="n">
        <v>21358715</v>
      </c>
      <c r="F488" s="0" t="n">
        <v>720197</v>
      </c>
      <c r="G488" s="0" t="s">
        <v>34</v>
      </c>
      <c r="H488" s="0" t="n">
        <v>3654128</v>
      </c>
      <c r="I488" s="0" t="s">
        <v>2317</v>
      </c>
      <c r="J488" s="0" t="n">
        <v>104671403</v>
      </c>
    </row>
    <row r="489" customFormat="false" ht="15" hidden="false" customHeight="false" outlineLevel="0" collapsed="false">
      <c r="B489" s="0" t="s">
        <v>2342</v>
      </c>
      <c r="C489" s="0" t="n">
        <v>224104077</v>
      </c>
      <c r="D489" s="0" t="s">
        <v>2138</v>
      </c>
      <c r="E489" s="0" t="n">
        <v>21358715</v>
      </c>
      <c r="F489" s="0" t="n">
        <v>720197</v>
      </c>
      <c r="G489" s="0" t="s">
        <v>34</v>
      </c>
      <c r="H489" s="0" t="n">
        <v>3654128</v>
      </c>
      <c r="I489" s="0" t="s">
        <v>2196</v>
      </c>
      <c r="J489" s="0" t="n">
        <v>103032775</v>
      </c>
    </row>
    <row r="490" customFormat="false" ht="15" hidden="false" customHeight="false" outlineLevel="0" collapsed="false">
      <c r="B490" s="0" t="s">
        <v>2343</v>
      </c>
      <c r="C490" s="0" t="n">
        <v>223862765</v>
      </c>
      <c r="D490" s="0" t="s">
        <v>2138</v>
      </c>
      <c r="E490" s="0" t="n">
        <v>21358715</v>
      </c>
      <c r="F490" s="0" t="n">
        <v>720197</v>
      </c>
      <c r="G490" s="0" t="s">
        <v>34</v>
      </c>
      <c r="H490" s="0" t="n">
        <v>3654128</v>
      </c>
      <c r="I490" s="0" t="s">
        <v>2344</v>
      </c>
      <c r="J490" s="0" t="n">
        <v>103032778</v>
      </c>
    </row>
    <row r="491" customFormat="false" ht="15" hidden="false" customHeight="false" outlineLevel="0" collapsed="false">
      <c r="B491" s="0" t="s">
        <v>2345</v>
      </c>
      <c r="C491" s="0" t="n">
        <v>223863380</v>
      </c>
      <c r="D491" s="0" t="s">
        <v>2138</v>
      </c>
      <c r="E491" s="0" t="n">
        <v>21358715</v>
      </c>
      <c r="F491" s="0" t="n">
        <v>720197</v>
      </c>
      <c r="G491" s="0" t="s">
        <v>34</v>
      </c>
      <c r="H491" s="0" t="n">
        <v>3654128</v>
      </c>
      <c r="I491" s="0" t="s">
        <v>2208</v>
      </c>
      <c r="J491" s="0" t="n">
        <v>103037935</v>
      </c>
    </row>
    <row r="492" customFormat="false" ht="15" hidden="false" customHeight="false" outlineLevel="0" collapsed="false">
      <c r="B492" s="0" t="s">
        <v>2346</v>
      </c>
      <c r="C492" s="0" t="n">
        <v>223934065</v>
      </c>
      <c r="D492" s="0" t="s">
        <v>2138</v>
      </c>
      <c r="E492" s="0" t="n">
        <v>21358715</v>
      </c>
      <c r="F492" s="0" t="n">
        <v>720197</v>
      </c>
      <c r="G492" s="0" t="s">
        <v>34</v>
      </c>
      <c r="H492" s="0" t="n">
        <v>3654128</v>
      </c>
      <c r="I492" s="0" t="s">
        <v>2156</v>
      </c>
      <c r="J492" s="0" t="n">
        <v>103176851</v>
      </c>
    </row>
    <row r="493" customFormat="false" ht="15" hidden="false" customHeight="false" outlineLevel="0" collapsed="false">
      <c r="B493" s="0" t="s">
        <v>2347</v>
      </c>
      <c r="C493" s="0" t="n">
        <v>223862882</v>
      </c>
      <c r="D493" s="0" t="s">
        <v>2138</v>
      </c>
      <c r="E493" s="0" t="n">
        <v>21358715</v>
      </c>
      <c r="F493" s="0" t="n">
        <v>720197</v>
      </c>
      <c r="G493" s="0" t="s">
        <v>34</v>
      </c>
      <c r="H493" s="0" t="n">
        <v>3654128</v>
      </c>
      <c r="I493" s="0" t="s">
        <v>2348</v>
      </c>
      <c r="J493" s="0" t="n">
        <v>103180583</v>
      </c>
    </row>
    <row r="494" customFormat="false" ht="15" hidden="false" customHeight="false" outlineLevel="0" collapsed="false">
      <c r="B494" s="0" t="s">
        <v>2349</v>
      </c>
      <c r="C494" s="0" t="n">
        <v>224106954</v>
      </c>
      <c r="D494" s="0" t="s">
        <v>2138</v>
      </c>
      <c r="E494" s="0" t="n">
        <v>21358715</v>
      </c>
      <c r="F494" s="0" t="n">
        <v>720197</v>
      </c>
      <c r="G494" s="0" t="s">
        <v>34</v>
      </c>
      <c r="H494" s="0" t="n">
        <v>3654128</v>
      </c>
      <c r="I494" s="0" t="s">
        <v>2188</v>
      </c>
      <c r="J494" s="0" t="n">
        <v>103176827</v>
      </c>
    </row>
    <row r="495" customFormat="false" ht="15" hidden="false" customHeight="false" outlineLevel="0" collapsed="false">
      <c r="B495" s="0" t="s">
        <v>2350</v>
      </c>
      <c r="C495" s="0" t="n">
        <v>226784031</v>
      </c>
      <c r="D495" s="0" t="s">
        <v>2138</v>
      </c>
      <c r="E495" s="0" t="n">
        <v>21358715</v>
      </c>
      <c r="F495" s="0" t="n">
        <v>720197</v>
      </c>
      <c r="G495" s="0" t="s">
        <v>34</v>
      </c>
      <c r="H495" s="0" t="n">
        <v>3654128</v>
      </c>
      <c r="I495" s="0" t="s">
        <v>2351</v>
      </c>
      <c r="J495" s="0" t="n">
        <v>104671427</v>
      </c>
    </row>
    <row r="496" customFormat="false" ht="15" hidden="false" customHeight="false" outlineLevel="0" collapsed="false">
      <c r="B496" s="0" t="s">
        <v>2352</v>
      </c>
      <c r="C496" s="0" t="n">
        <v>226786242</v>
      </c>
      <c r="D496" s="0" t="s">
        <v>2138</v>
      </c>
      <c r="E496" s="0" t="n">
        <v>21358715</v>
      </c>
      <c r="F496" s="0" t="n">
        <v>720197</v>
      </c>
      <c r="G496" s="0" t="s">
        <v>34</v>
      </c>
      <c r="H496" s="0" t="n">
        <v>3654128</v>
      </c>
      <c r="I496" s="0" t="s">
        <v>2150</v>
      </c>
      <c r="J496" s="0" t="n">
        <v>104592523</v>
      </c>
    </row>
    <row r="497" customFormat="false" ht="15" hidden="false" customHeight="false" outlineLevel="0" collapsed="false">
      <c r="B497" s="0" t="s">
        <v>2353</v>
      </c>
      <c r="C497" s="0" t="n">
        <v>223863371</v>
      </c>
      <c r="D497" s="0" t="s">
        <v>2138</v>
      </c>
      <c r="E497" s="0" t="n">
        <v>21358715</v>
      </c>
      <c r="F497" s="0" t="n">
        <v>720197</v>
      </c>
      <c r="G497" s="0" t="s">
        <v>34</v>
      </c>
      <c r="H497" s="0" t="n">
        <v>3654128</v>
      </c>
      <c r="I497" s="0" t="s">
        <v>2344</v>
      </c>
      <c r="J497" s="0" t="n">
        <v>103032778</v>
      </c>
    </row>
    <row r="498" customFormat="false" ht="15" hidden="false" customHeight="false" outlineLevel="0" collapsed="false">
      <c r="B498" s="0" t="s">
        <v>2354</v>
      </c>
      <c r="C498" s="0" t="n">
        <v>223862864</v>
      </c>
      <c r="D498" s="0" t="s">
        <v>2138</v>
      </c>
      <c r="E498" s="0" t="n">
        <v>21358715</v>
      </c>
      <c r="F498" s="0" t="n">
        <v>720197</v>
      </c>
      <c r="G498" s="0" t="s">
        <v>34</v>
      </c>
      <c r="H498" s="0" t="n">
        <v>3654128</v>
      </c>
      <c r="I498" s="0" t="s">
        <v>2355</v>
      </c>
      <c r="J498" s="0" t="n">
        <v>103180880</v>
      </c>
    </row>
    <row r="499" customFormat="false" ht="15" hidden="false" customHeight="false" outlineLevel="0" collapsed="false">
      <c r="B499" s="0" t="s">
        <v>2356</v>
      </c>
      <c r="C499" s="0" t="n">
        <v>224106063</v>
      </c>
      <c r="D499" s="0" t="s">
        <v>2138</v>
      </c>
      <c r="E499" s="0" t="n">
        <v>21358715</v>
      </c>
      <c r="F499" s="0" t="n">
        <v>720197</v>
      </c>
      <c r="G499" s="0" t="s">
        <v>34</v>
      </c>
      <c r="H499" s="0" t="n">
        <v>3654128</v>
      </c>
      <c r="I499" s="0" t="s">
        <v>2357</v>
      </c>
      <c r="J499" s="0" t="n">
        <v>103176008</v>
      </c>
    </row>
    <row r="500" customFormat="false" ht="15" hidden="false" customHeight="false" outlineLevel="0" collapsed="false">
      <c r="B500" s="0" t="s">
        <v>2358</v>
      </c>
      <c r="C500" s="0" t="n">
        <v>223862753</v>
      </c>
      <c r="D500" s="0" t="s">
        <v>2138</v>
      </c>
      <c r="E500" s="0" t="n">
        <v>21358715</v>
      </c>
      <c r="F500" s="0" t="n">
        <v>720197</v>
      </c>
      <c r="G500" s="0" t="s">
        <v>34</v>
      </c>
      <c r="H500" s="0" t="n">
        <v>3654128</v>
      </c>
      <c r="I500" s="0" t="s">
        <v>2359</v>
      </c>
      <c r="J500" s="0" t="n">
        <v>103176869</v>
      </c>
    </row>
    <row r="501" customFormat="false" ht="15" hidden="false" customHeight="false" outlineLevel="0" collapsed="false">
      <c r="B501" s="0" t="s">
        <v>2360</v>
      </c>
      <c r="C501" s="0" t="n">
        <v>223862915</v>
      </c>
      <c r="D501" s="0" t="s">
        <v>2138</v>
      </c>
      <c r="E501" s="0" t="n">
        <v>21358715</v>
      </c>
      <c r="F501" s="0" t="n">
        <v>720197</v>
      </c>
      <c r="G501" s="0" t="s">
        <v>34</v>
      </c>
      <c r="H501" s="0" t="n">
        <v>3654128</v>
      </c>
      <c r="I501" s="0" t="s">
        <v>2210</v>
      </c>
      <c r="J501" s="0" t="n">
        <v>103043823</v>
      </c>
    </row>
    <row r="502" customFormat="false" ht="15" hidden="false" customHeight="false" outlineLevel="0" collapsed="false">
      <c r="B502" s="0" t="s">
        <v>2361</v>
      </c>
      <c r="C502" s="0" t="n">
        <v>226622902</v>
      </c>
      <c r="D502" s="0" t="s">
        <v>2138</v>
      </c>
      <c r="E502" s="0" t="n">
        <v>21358715</v>
      </c>
      <c r="F502" s="0" t="n">
        <v>720197</v>
      </c>
      <c r="G502" s="0" t="s">
        <v>34</v>
      </c>
      <c r="H502" s="0" t="n">
        <v>3654128</v>
      </c>
      <c r="I502" s="0" t="s">
        <v>2147</v>
      </c>
      <c r="J502" s="0" t="n">
        <v>104595739</v>
      </c>
    </row>
    <row r="503" customFormat="false" ht="15" hidden="false" customHeight="false" outlineLevel="0" collapsed="false">
      <c r="B503" s="0" t="s">
        <v>2362</v>
      </c>
      <c r="C503" s="0" t="n">
        <v>223934104</v>
      </c>
      <c r="D503" s="0" t="s">
        <v>2138</v>
      </c>
      <c r="E503" s="0" t="n">
        <v>21358715</v>
      </c>
      <c r="F503" s="0" t="n">
        <v>720197</v>
      </c>
      <c r="G503" s="0" t="s">
        <v>34</v>
      </c>
      <c r="H503" s="0" t="n">
        <v>3654128</v>
      </c>
      <c r="I503" s="0" t="s">
        <v>2344</v>
      </c>
      <c r="J503" s="0" t="n">
        <v>103032778</v>
      </c>
    </row>
    <row r="504" customFormat="false" ht="15" hidden="false" customHeight="false" outlineLevel="0" collapsed="false">
      <c r="B504" s="0" t="s">
        <v>2363</v>
      </c>
      <c r="C504" s="0" t="n">
        <v>224104941</v>
      </c>
      <c r="D504" s="0" t="s">
        <v>2138</v>
      </c>
      <c r="E504" s="0" t="n">
        <v>21358715</v>
      </c>
      <c r="F504" s="0" t="n">
        <v>720197</v>
      </c>
      <c r="G504" s="0" t="s">
        <v>34</v>
      </c>
      <c r="H504" s="0" t="n">
        <v>3654128</v>
      </c>
      <c r="I504" s="0" t="s">
        <v>2156</v>
      </c>
      <c r="J504" s="0" t="n">
        <v>103176851</v>
      </c>
    </row>
    <row r="505" customFormat="false" ht="15" hidden="false" customHeight="false" outlineLevel="0" collapsed="false">
      <c r="B505" s="0" t="s">
        <v>2364</v>
      </c>
      <c r="C505" s="0" t="n">
        <v>223934083</v>
      </c>
      <c r="D505" s="0" t="s">
        <v>2138</v>
      </c>
      <c r="E505" s="0" t="n">
        <v>21358715</v>
      </c>
      <c r="F505" s="0" t="n">
        <v>720197</v>
      </c>
      <c r="G505" s="0" t="s">
        <v>34</v>
      </c>
      <c r="H505" s="0" t="n">
        <v>3654128</v>
      </c>
      <c r="I505" s="0" t="s">
        <v>2156</v>
      </c>
      <c r="J505" s="0" t="n">
        <v>103176851</v>
      </c>
    </row>
    <row r="506" customFormat="false" ht="15" hidden="false" customHeight="false" outlineLevel="0" collapsed="false">
      <c r="B506" s="0" t="s">
        <v>2365</v>
      </c>
      <c r="C506" s="0" t="n">
        <v>224104956</v>
      </c>
      <c r="D506" s="0" t="s">
        <v>2138</v>
      </c>
      <c r="E506" s="0" t="n">
        <v>21358715</v>
      </c>
      <c r="F506" s="0" t="n">
        <v>720197</v>
      </c>
      <c r="G506" s="0" t="s">
        <v>34</v>
      </c>
      <c r="H506" s="0" t="n">
        <v>3654128</v>
      </c>
      <c r="I506" s="0" t="s">
        <v>2348</v>
      </c>
      <c r="J506" s="0" t="n">
        <v>103180583</v>
      </c>
    </row>
    <row r="507" customFormat="false" ht="15" hidden="false" customHeight="false" outlineLevel="0" collapsed="false">
      <c r="B507" s="0" t="s">
        <v>2366</v>
      </c>
      <c r="C507" s="0" t="n">
        <v>223935637</v>
      </c>
      <c r="D507" s="0" t="s">
        <v>2138</v>
      </c>
      <c r="E507" s="0" t="n">
        <v>21358715</v>
      </c>
      <c r="F507" s="0" t="n">
        <v>720197</v>
      </c>
      <c r="G507" s="0" t="s">
        <v>34</v>
      </c>
      <c r="H507" s="0" t="n">
        <v>3654128</v>
      </c>
      <c r="I507" s="0" t="s">
        <v>2188</v>
      </c>
      <c r="J507" s="0" t="n">
        <v>103176827</v>
      </c>
    </row>
    <row r="508" customFormat="false" ht="15" hidden="false" customHeight="false" outlineLevel="0" collapsed="false">
      <c r="B508" s="0" t="s">
        <v>2367</v>
      </c>
      <c r="C508" s="0" t="n">
        <v>224104959</v>
      </c>
      <c r="D508" s="0" t="s">
        <v>2138</v>
      </c>
      <c r="E508" s="0" t="n">
        <v>21358715</v>
      </c>
      <c r="F508" s="0" t="n">
        <v>720197</v>
      </c>
      <c r="G508" s="0" t="s">
        <v>34</v>
      </c>
      <c r="H508" s="0" t="n">
        <v>3654128</v>
      </c>
      <c r="I508" s="0" t="s">
        <v>2160</v>
      </c>
      <c r="J508" s="0" t="n">
        <v>103176830</v>
      </c>
    </row>
    <row r="509" customFormat="false" ht="15" hidden="false" customHeight="false" outlineLevel="0" collapsed="false">
      <c r="B509" s="0" t="s">
        <v>2368</v>
      </c>
      <c r="C509" s="0" t="n">
        <v>224104983</v>
      </c>
      <c r="D509" s="0" t="s">
        <v>2138</v>
      </c>
      <c r="E509" s="0" t="n">
        <v>21358715</v>
      </c>
      <c r="F509" s="0" t="n">
        <v>720197</v>
      </c>
      <c r="G509" s="0" t="s">
        <v>34</v>
      </c>
      <c r="H509" s="0" t="n">
        <v>3654128</v>
      </c>
      <c r="I509" s="0" t="s">
        <v>2344</v>
      </c>
      <c r="J509" s="0" t="n">
        <v>103032778</v>
      </c>
    </row>
    <row r="510" customFormat="false" ht="15" hidden="false" customHeight="false" outlineLevel="0" collapsed="false">
      <c r="B510" s="0" t="s">
        <v>2369</v>
      </c>
      <c r="C510" s="0" t="n">
        <v>224106990</v>
      </c>
      <c r="D510" s="0" t="s">
        <v>2138</v>
      </c>
      <c r="E510" s="0" t="n">
        <v>21358715</v>
      </c>
      <c r="F510" s="0" t="n">
        <v>720197</v>
      </c>
      <c r="G510" s="0" t="s">
        <v>34</v>
      </c>
      <c r="H510" s="0" t="n">
        <v>3654128</v>
      </c>
      <c r="I510" s="0" t="s">
        <v>2208</v>
      </c>
      <c r="J510" s="0" t="n">
        <v>103037935</v>
      </c>
    </row>
    <row r="511" customFormat="false" ht="15" hidden="false" customHeight="false" outlineLevel="0" collapsed="false">
      <c r="B511" s="0" t="s">
        <v>2370</v>
      </c>
      <c r="C511" s="0" t="n">
        <v>223933186</v>
      </c>
      <c r="D511" s="0" t="s">
        <v>2138</v>
      </c>
      <c r="E511" s="0" t="n">
        <v>21358715</v>
      </c>
      <c r="F511" s="0" t="n">
        <v>720197</v>
      </c>
      <c r="G511" s="0" t="s">
        <v>34</v>
      </c>
      <c r="H511" s="0" t="n">
        <v>3654128</v>
      </c>
      <c r="I511" s="0" t="s">
        <v>2348</v>
      </c>
      <c r="J511" s="0" t="n">
        <v>103180583</v>
      </c>
    </row>
    <row r="512" customFormat="false" ht="15" hidden="false" customHeight="false" outlineLevel="0" collapsed="false">
      <c r="B512" s="0" t="s">
        <v>2371</v>
      </c>
      <c r="C512" s="0" t="n">
        <v>223862945</v>
      </c>
      <c r="D512" s="0" t="s">
        <v>2138</v>
      </c>
      <c r="E512" s="0" t="n">
        <v>21358715</v>
      </c>
      <c r="F512" s="0" t="n">
        <v>720197</v>
      </c>
      <c r="G512" s="0" t="s">
        <v>34</v>
      </c>
      <c r="H512" s="0" t="n">
        <v>3654128</v>
      </c>
      <c r="I512" s="0" t="s">
        <v>2160</v>
      </c>
      <c r="J512" s="0" t="n">
        <v>103176830</v>
      </c>
    </row>
    <row r="513" customFormat="false" ht="15" hidden="false" customHeight="false" outlineLevel="0" collapsed="false">
      <c r="B513" s="0" t="s">
        <v>2372</v>
      </c>
      <c r="C513" s="0" t="n">
        <v>226617928</v>
      </c>
      <c r="D513" s="0" t="s">
        <v>2138</v>
      </c>
      <c r="E513" s="0" t="n">
        <v>21358715</v>
      </c>
      <c r="F513" s="0" t="n">
        <v>720197</v>
      </c>
      <c r="G513" s="0" t="s">
        <v>2222</v>
      </c>
      <c r="H513" s="0" t="n">
        <v>3654329</v>
      </c>
      <c r="I513" s="0" t="s">
        <v>2293</v>
      </c>
      <c r="J513" s="0" t="n">
        <v>104595727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Q12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RowHeight="15"/>
  <cols>
    <col collapsed="false" hidden="false" max="1" min="1" style="0" width="34.7085020242915"/>
    <col collapsed="false" hidden="false" max="2" min="2" style="0" width="14.0323886639676"/>
    <col collapsed="false" hidden="false" max="3" min="3" style="0" width="13.7125506072874"/>
    <col collapsed="false" hidden="false" max="4" min="4" style="0" width="11.4615384615385"/>
    <col collapsed="false" hidden="false" max="5" min="5" style="0" width="14.1417004048583"/>
    <col collapsed="false" hidden="false" max="6" min="6" style="0" width="17.7813765182186"/>
    <col collapsed="false" hidden="false" max="7" min="7" style="0" width="21.7449392712551"/>
    <col collapsed="false" hidden="false" max="8" min="8" style="0" width="14.1417004048583"/>
    <col collapsed="false" hidden="false" max="9" min="9" style="0" width="20.4615384615385"/>
    <col collapsed="false" hidden="false" max="10" min="10" style="0" width="11.3562753036437"/>
    <col collapsed="false" hidden="false" max="11" min="11" style="0" width="8.57085020242915"/>
    <col collapsed="false" hidden="false" max="12" min="12" style="0" width="18.5303643724696"/>
    <col collapsed="false" hidden="false" max="13" min="13" style="0" width="22.1740890688259"/>
    <col collapsed="false" hidden="false" max="14" min="14" style="0" width="25.6032388663968"/>
    <col collapsed="false" hidden="false" max="16" min="15" style="0" width="8.57085020242915"/>
    <col collapsed="false" hidden="false" max="17" min="17" style="0" width="15.9595141700405"/>
    <col collapsed="false" hidden="false" max="1025" min="18" style="0" width="8.57085020242915"/>
  </cols>
  <sheetData>
    <row r="1" s="46" customFormat="true" ht="81.75" hidden="false" customHeight="true" outlineLevel="0" collapsed="false">
      <c r="B1" s="83" t="s">
        <v>2373</v>
      </c>
      <c r="C1" s="83"/>
      <c r="D1" s="83"/>
      <c r="E1" s="84" t="s">
        <v>2374</v>
      </c>
      <c r="F1" s="84"/>
      <c r="G1" s="84"/>
      <c r="H1" s="84"/>
      <c r="I1" s="85" t="s">
        <v>2375</v>
      </c>
      <c r="J1" s="85"/>
      <c r="K1" s="85"/>
      <c r="L1" s="85"/>
      <c r="M1" s="86" t="s">
        <v>2376</v>
      </c>
      <c r="N1" s="86"/>
      <c r="O1" s="87"/>
    </row>
    <row r="2" customFormat="false" ht="15" hidden="false" customHeight="false" outlineLevel="0" collapsed="false">
      <c r="A2" s="0" t="s">
        <v>1549</v>
      </c>
      <c r="B2" s="48" t="s">
        <v>0</v>
      </c>
      <c r="C2" s="48" t="s">
        <v>1</v>
      </c>
      <c r="D2" s="49" t="s">
        <v>2</v>
      </c>
      <c r="E2" s="50" t="s">
        <v>14</v>
      </c>
      <c r="F2" s="50" t="s">
        <v>15</v>
      </c>
      <c r="G2" s="50" t="s">
        <v>6</v>
      </c>
      <c r="H2" s="50" t="s">
        <v>8</v>
      </c>
      <c r="I2" s="51" t="s">
        <v>9</v>
      </c>
      <c r="J2" s="50" t="s">
        <v>10</v>
      </c>
      <c r="K2" s="50" t="s">
        <v>22</v>
      </c>
      <c r="L2" s="50" t="s">
        <v>21</v>
      </c>
      <c r="M2" s="50" t="s">
        <v>11</v>
      </c>
      <c r="N2" s="50" t="s">
        <v>12</v>
      </c>
      <c r="O2" s="50" t="s">
        <v>1550</v>
      </c>
      <c r="P2" s="52" t="s">
        <v>1551</v>
      </c>
      <c r="Q2" s="53" t="s">
        <v>11</v>
      </c>
    </row>
    <row r="3" customFormat="false" ht="15" hidden="false" customHeight="false" outlineLevel="0" collapsed="false">
      <c r="A3" s="0" t="s">
        <v>2377</v>
      </c>
      <c r="B3" s="0" t="s">
        <v>2378</v>
      </c>
      <c r="C3" s="0" t="s">
        <v>2379</v>
      </c>
      <c r="D3" s="0" t="s">
        <v>28</v>
      </c>
      <c r="E3" s="0" t="n">
        <v>43337</v>
      </c>
      <c r="F3" s="0" t="s">
        <v>2380</v>
      </c>
      <c r="G3" s="0" t="n">
        <v>21358568</v>
      </c>
      <c r="H3" s="0" t="n">
        <v>720191</v>
      </c>
      <c r="I3" s="0" t="s">
        <v>34</v>
      </c>
      <c r="J3" s="0" t="s">
        <v>174</v>
      </c>
      <c r="K3" s="0" t="s">
        <v>2381</v>
      </c>
      <c r="L3" s="0" t="n">
        <v>224160735</v>
      </c>
      <c r="M3" s="0" t="s">
        <v>1977</v>
      </c>
      <c r="N3" s="0" t="n">
        <v>103048479</v>
      </c>
      <c r="O3" s="0" t="n">
        <v>5599</v>
      </c>
      <c r="P3" s="0" t="n">
        <v>110.79</v>
      </c>
      <c r="Q3" s="0" t="n">
        <v>103048479</v>
      </c>
    </row>
    <row r="4" customFormat="false" ht="15" hidden="false" customHeight="false" outlineLevel="0" collapsed="false">
      <c r="A4" s="0" t="s">
        <v>2382</v>
      </c>
      <c r="B4" s="0" t="s">
        <v>2383</v>
      </c>
      <c r="C4" s="0" t="s">
        <v>2384</v>
      </c>
      <c r="D4" s="0" t="s">
        <v>2385</v>
      </c>
      <c r="E4" s="0" t="n">
        <v>43337</v>
      </c>
      <c r="F4" s="0" t="s">
        <v>2380</v>
      </c>
      <c r="G4" s="0" t="n">
        <v>21358568</v>
      </c>
      <c r="H4" s="0" t="n">
        <v>720191</v>
      </c>
      <c r="I4" s="0" t="s">
        <v>34</v>
      </c>
      <c r="J4" s="0" t="s">
        <v>174</v>
      </c>
      <c r="K4" s="0" t="s">
        <v>2066</v>
      </c>
      <c r="L4" s="0" t="n">
        <v>224160717</v>
      </c>
      <c r="M4" s="0" t="s">
        <v>2067</v>
      </c>
      <c r="N4" s="0" t="n">
        <v>103048485</v>
      </c>
      <c r="O4" s="0" t="n">
        <v>408</v>
      </c>
      <c r="P4" s="0" t="n">
        <v>7.93</v>
      </c>
      <c r="Q4" s="0" t="n">
        <v>103048485</v>
      </c>
    </row>
    <row r="5" customFormat="false" ht="15" hidden="false" customHeight="false" outlineLevel="0" collapsed="false">
      <c r="A5" s="0" t="s">
        <v>2386</v>
      </c>
      <c r="B5" s="0" t="s">
        <v>2387</v>
      </c>
      <c r="C5" s="0" t="s">
        <v>2388</v>
      </c>
      <c r="D5" s="0" t="s">
        <v>2385</v>
      </c>
      <c r="E5" s="0" t="n">
        <v>43337</v>
      </c>
      <c r="F5" s="0" t="s">
        <v>2380</v>
      </c>
      <c r="G5" s="0" t="n">
        <v>21358568</v>
      </c>
      <c r="H5" s="0" t="n">
        <v>720191</v>
      </c>
      <c r="I5" s="0" t="s">
        <v>34</v>
      </c>
      <c r="J5" s="0" t="s">
        <v>174</v>
      </c>
      <c r="K5" s="0" t="s">
        <v>2389</v>
      </c>
      <c r="L5" s="0" t="n">
        <v>224160729</v>
      </c>
      <c r="M5" s="0" t="s">
        <v>1981</v>
      </c>
      <c r="N5" s="0" t="n">
        <v>103048488</v>
      </c>
      <c r="O5" s="0" t="n">
        <v>2478</v>
      </c>
      <c r="P5" s="0" t="n">
        <v>38.57</v>
      </c>
      <c r="Q5" s="0" t="n">
        <v>103048488</v>
      </c>
    </row>
    <row r="6" customFormat="false" ht="15" hidden="false" customHeight="false" outlineLevel="0" collapsed="false">
      <c r="A6" s="0" t="s">
        <v>2390</v>
      </c>
      <c r="B6" s="0" t="s">
        <v>2391</v>
      </c>
      <c r="C6" s="0" t="s">
        <v>2392</v>
      </c>
      <c r="D6" s="0" t="s">
        <v>2385</v>
      </c>
      <c r="E6" s="0" t="n">
        <v>43337</v>
      </c>
      <c r="F6" s="0" t="s">
        <v>2380</v>
      </c>
      <c r="G6" s="0" t="n">
        <v>21358568</v>
      </c>
      <c r="H6" s="0" t="n">
        <v>720191</v>
      </c>
      <c r="I6" s="0" t="s">
        <v>34</v>
      </c>
      <c r="J6" s="0" t="s">
        <v>174</v>
      </c>
      <c r="K6" s="0" t="s">
        <v>2393</v>
      </c>
      <c r="L6" s="0" t="n">
        <v>224639151</v>
      </c>
      <c r="M6" s="0" t="s">
        <v>1970</v>
      </c>
      <c r="N6" s="0" t="n">
        <v>103316832</v>
      </c>
      <c r="O6" s="0" t="n">
        <v>12195</v>
      </c>
      <c r="P6" s="0" t="n">
        <v>195.92</v>
      </c>
      <c r="Q6" s="0" t="n">
        <v>103316832</v>
      </c>
    </row>
    <row r="7" customFormat="false" ht="15" hidden="false" customHeight="false" outlineLevel="0" collapsed="false">
      <c r="A7" s="0" t="s">
        <v>2390</v>
      </c>
      <c r="B7" s="0" t="s">
        <v>2391</v>
      </c>
      <c r="C7" s="0" t="s">
        <v>2394</v>
      </c>
      <c r="D7" s="0" t="s">
        <v>2385</v>
      </c>
      <c r="E7" s="0" t="n">
        <v>43337</v>
      </c>
      <c r="F7" s="0" t="s">
        <v>2380</v>
      </c>
      <c r="G7" s="0" t="n">
        <v>21358568</v>
      </c>
      <c r="H7" s="0" t="n">
        <v>720191</v>
      </c>
      <c r="I7" s="0" t="s">
        <v>34</v>
      </c>
      <c r="J7" s="0" t="s">
        <v>174</v>
      </c>
      <c r="K7" s="0" t="s">
        <v>2395</v>
      </c>
      <c r="L7" s="0" t="n">
        <v>224639151</v>
      </c>
      <c r="M7" s="0" t="s">
        <v>1970</v>
      </c>
      <c r="N7" s="0" t="n">
        <v>103316832</v>
      </c>
      <c r="O7" s="0" t="n">
        <v>8155</v>
      </c>
      <c r="P7" s="0" t="n">
        <v>141.47</v>
      </c>
      <c r="Q7" s="0" t="n">
        <v>103316832</v>
      </c>
    </row>
    <row r="8" customFormat="false" ht="15" hidden="false" customHeight="false" outlineLevel="0" collapsed="false">
      <c r="A8" s="0" t="s">
        <v>2390</v>
      </c>
      <c r="B8" s="0" t="s">
        <v>2391</v>
      </c>
      <c r="C8" s="0" t="s">
        <v>2396</v>
      </c>
      <c r="D8" s="0" t="s">
        <v>2385</v>
      </c>
      <c r="E8" s="0" t="n">
        <v>43337</v>
      </c>
      <c r="F8" s="0" t="s">
        <v>2380</v>
      </c>
      <c r="G8" s="0" t="n">
        <v>21358568</v>
      </c>
      <c r="H8" s="0" t="n">
        <v>720191</v>
      </c>
      <c r="I8" s="0" t="s">
        <v>34</v>
      </c>
      <c r="J8" s="0" t="s">
        <v>174</v>
      </c>
      <c r="K8" s="0" t="s">
        <v>2397</v>
      </c>
      <c r="L8" s="0" t="n">
        <v>224639151</v>
      </c>
      <c r="M8" s="0" t="s">
        <v>1970</v>
      </c>
      <c r="N8" s="0" t="n">
        <v>103316832</v>
      </c>
      <c r="O8" s="0" t="n">
        <v>753</v>
      </c>
      <c r="P8" s="0" t="n">
        <v>12.81</v>
      </c>
      <c r="Q8" s="0" t="n">
        <v>103316832</v>
      </c>
    </row>
    <row r="9" customFormat="false" ht="15" hidden="false" customHeight="false" outlineLevel="0" collapsed="false">
      <c r="A9" s="0" t="s">
        <v>2398</v>
      </c>
      <c r="B9" s="0" t="s">
        <v>2399</v>
      </c>
      <c r="C9" s="0" t="s">
        <v>2400</v>
      </c>
      <c r="D9" s="0" t="s">
        <v>2385</v>
      </c>
      <c r="E9" s="0" t="n">
        <v>43337</v>
      </c>
      <c r="F9" s="0" t="s">
        <v>2380</v>
      </c>
      <c r="G9" s="0" t="n">
        <v>21358568</v>
      </c>
      <c r="H9" s="0" t="n">
        <v>720191</v>
      </c>
      <c r="I9" s="0" t="s">
        <v>34</v>
      </c>
      <c r="J9" s="0" t="s">
        <v>174</v>
      </c>
      <c r="K9" s="0" t="s">
        <v>2401</v>
      </c>
      <c r="L9" s="0" t="n">
        <v>224160783</v>
      </c>
      <c r="M9" s="0" t="s">
        <v>1973</v>
      </c>
      <c r="N9" s="0" t="n">
        <v>103051614</v>
      </c>
      <c r="O9" s="0" t="n">
        <v>2112</v>
      </c>
      <c r="P9" s="0" t="n">
        <v>43.75</v>
      </c>
      <c r="Q9" s="0" t="n">
        <v>103051614</v>
      </c>
    </row>
    <row r="10" customFormat="false" ht="15" hidden="false" customHeight="false" outlineLevel="0" collapsed="false">
      <c r="A10" s="0" t="s">
        <v>2402</v>
      </c>
      <c r="B10" s="0" t="s">
        <v>2403</v>
      </c>
      <c r="C10" s="0" t="s">
        <v>2404</v>
      </c>
      <c r="D10" s="0" t="s">
        <v>2385</v>
      </c>
      <c r="E10" s="0" t="n">
        <v>43337</v>
      </c>
      <c r="F10" s="0" t="s">
        <v>2380</v>
      </c>
      <c r="G10" s="0" t="n">
        <v>21358568</v>
      </c>
      <c r="H10" s="0" t="n">
        <v>720191</v>
      </c>
      <c r="I10" s="0" t="s">
        <v>34</v>
      </c>
      <c r="J10" s="0" t="s">
        <v>174</v>
      </c>
      <c r="K10" s="0" t="s">
        <v>2405</v>
      </c>
      <c r="L10" s="0" t="n">
        <v>224160774</v>
      </c>
      <c r="M10" s="0" t="s">
        <v>1979</v>
      </c>
      <c r="N10" s="0" t="n">
        <v>103186910</v>
      </c>
      <c r="O10" s="0" t="n">
        <v>951</v>
      </c>
      <c r="P10" s="0" t="n">
        <v>25.85</v>
      </c>
      <c r="Q10" s="0" t="n">
        <v>103186910</v>
      </c>
    </row>
    <row r="11" customFormat="false" ht="15" hidden="false" customHeight="false" outlineLevel="0" collapsed="false">
      <c r="A11" s="0" t="s">
        <v>2406</v>
      </c>
      <c r="B11" s="0" t="s">
        <v>2407</v>
      </c>
      <c r="C11" s="0" t="s">
        <v>2408</v>
      </c>
      <c r="D11" s="0" t="s">
        <v>2385</v>
      </c>
      <c r="E11" s="0" t="n">
        <v>43337</v>
      </c>
      <c r="F11" s="0" t="s">
        <v>2380</v>
      </c>
      <c r="G11" s="0" t="n">
        <v>21358568</v>
      </c>
      <c r="H11" s="0" t="n">
        <v>720191</v>
      </c>
      <c r="I11" s="0" t="s">
        <v>34</v>
      </c>
      <c r="J11" s="0" t="s">
        <v>174</v>
      </c>
      <c r="K11" s="0" t="s">
        <v>2068</v>
      </c>
      <c r="L11" s="0" t="n">
        <v>224160714</v>
      </c>
      <c r="M11" s="0" t="s">
        <v>2069</v>
      </c>
      <c r="N11" s="0" t="n">
        <v>103186916</v>
      </c>
      <c r="O11" s="0" t="n">
        <v>817</v>
      </c>
      <c r="P11" s="0" t="n">
        <v>26.87</v>
      </c>
      <c r="Q11" s="0" t="n">
        <v>103186916</v>
      </c>
    </row>
    <row r="12" customFormat="false" ht="15" hidden="false" customHeight="false" outlineLevel="0" collapsed="false">
      <c r="A12" s="0" t="s">
        <v>2409</v>
      </c>
      <c r="B12" s="0" t="s">
        <v>2410</v>
      </c>
      <c r="C12" s="0" t="s">
        <v>2411</v>
      </c>
      <c r="D12" s="0" t="s">
        <v>2385</v>
      </c>
      <c r="E12" s="0" t="n">
        <v>43337</v>
      </c>
      <c r="F12" s="0" t="s">
        <v>2380</v>
      </c>
      <c r="G12" s="0" t="n">
        <v>21358568</v>
      </c>
      <c r="H12" s="0" t="n">
        <v>720191</v>
      </c>
      <c r="I12" s="0" t="s">
        <v>34</v>
      </c>
      <c r="J12" s="0" t="s">
        <v>174</v>
      </c>
      <c r="K12" s="0" t="s">
        <v>2412</v>
      </c>
      <c r="L12" s="0" t="n">
        <v>224160777</v>
      </c>
      <c r="M12" s="0" t="s">
        <v>1977</v>
      </c>
      <c r="N12" s="0" t="n">
        <v>103048479</v>
      </c>
      <c r="O12" s="0" t="n">
        <v>1222</v>
      </c>
      <c r="P12" s="0" t="n">
        <v>28.37</v>
      </c>
      <c r="Q12" s="0" t="n">
        <v>103048479</v>
      </c>
    </row>
    <row r="13" customFormat="false" ht="15" hidden="false" customHeight="false" outlineLevel="0" collapsed="false">
      <c r="A13" s="0" t="s">
        <v>2413</v>
      </c>
      <c r="B13" s="0" t="s">
        <v>2414</v>
      </c>
      <c r="C13" s="0" t="s">
        <v>2415</v>
      </c>
      <c r="D13" s="0" t="s">
        <v>2385</v>
      </c>
      <c r="E13" s="0" t="n">
        <v>43337</v>
      </c>
      <c r="F13" s="0" t="s">
        <v>2380</v>
      </c>
      <c r="G13" s="0" t="n">
        <v>21358568</v>
      </c>
      <c r="H13" s="0" t="n">
        <v>720191</v>
      </c>
      <c r="I13" s="0" t="s">
        <v>34</v>
      </c>
      <c r="J13" s="0" t="s">
        <v>174</v>
      </c>
      <c r="K13" s="0" t="s">
        <v>2416</v>
      </c>
      <c r="L13" s="0" t="n">
        <v>224160732</v>
      </c>
      <c r="M13" s="0" t="s">
        <v>1979</v>
      </c>
      <c r="N13" s="0" t="n">
        <v>103186910</v>
      </c>
      <c r="O13" s="0" t="n">
        <v>3156</v>
      </c>
      <c r="P13" s="0" t="n">
        <v>64.09</v>
      </c>
      <c r="Q13" s="0" t="n">
        <v>103186910</v>
      </c>
    </row>
    <row r="14" customFormat="false" ht="15" hidden="false" customHeight="false" outlineLevel="0" collapsed="false">
      <c r="A14" s="0" t="s">
        <v>2417</v>
      </c>
      <c r="B14" s="0" t="s">
        <v>2418</v>
      </c>
      <c r="C14" s="0" t="s">
        <v>2419</v>
      </c>
      <c r="D14" s="0" t="s">
        <v>2385</v>
      </c>
      <c r="E14" s="0" t="n">
        <v>43337</v>
      </c>
      <c r="F14" s="0" t="s">
        <v>2380</v>
      </c>
      <c r="G14" s="0" t="n">
        <v>21358568</v>
      </c>
      <c r="H14" s="0" t="n">
        <v>720191</v>
      </c>
      <c r="I14" s="0" t="s">
        <v>34</v>
      </c>
      <c r="J14" s="0" t="s">
        <v>174</v>
      </c>
      <c r="K14" s="0" t="s">
        <v>2420</v>
      </c>
      <c r="L14" s="0" t="n">
        <v>224160771</v>
      </c>
      <c r="M14" s="0" t="s">
        <v>1981</v>
      </c>
      <c r="N14" s="0" t="n">
        <v>103048488</v>
      </c>
      <c r="O14" s="0" t="n">
        <v>1096</v>
      </c>
      <c r="P14" s="0" t="n">
        <v>21.05</v>
      </c>
      <c r="Q14" s="0" t="n">
        <v>103048488</v>
      </c>
    </row>
    <row r="15" customFormat="false" ht="15" hidden="false" customHeight="false" outlineLevel="0" collapsed="false">
      <c r="A15" s="0" t="e">
        <f aca="false">#N/A</f>
        <v>#N/A</v>
      </c>
      <c r="B15" s="0" t="s">
        <v>2421</v>
      </c>
      <c r="C15" s="0" t="s">
        <v>2422</v>
      </c>
      <c r="D15" s="0" t="s">
        <v>2385</v>
      </c>
      <c r="E15" s="0" t="n">
        <v>43337</v>
      </c>
      <c r="F15" s="0" t="s">
        <v>2380</v>
      </c>
      <c r="G15" s="0" t="n">
        <v>21358568</v>
      </c>
      <c r="H15" s="0" t="n">
        <v>720191</v>
      </c>
      <c r="I15" s="0" t="s">
        <v>34</v>
      </c>
      <c r="J15" s="0" t="s">
        <v>174</v>
      </c>
      <c r="K15" s="0" t="s">
        <v>2070</v>
      </c>
      <c r="L15" s="0" t="n">
        <v>224160711</v>
      </c>
      <c r="M15" s="0" t="s">
        <v>2071</v>
      </c>
      <c r="N15" s="0" t="n">
        <v>103048491</v>
      </c>
      <c r="O15" s="0" t="n">
        <v>659</v>
      </c>
      <c r="P15" s="0" t="n">
        <v>12.6</v>
      </c>
      <c r="Q15" s="0" t="e">
        <f aca="false">#N/A</f>
        <v>#N/A</v>
      </c>
    </row>
    <row r="16" customFormat="false" ht="15" hidden="false" customHeight="false" outlineLevel="0" collapsed="false">
      <c r="A16" s="0" t="s">
        <v>2423</v>
      </c>
      <c r="B16" s="0" t="s">
        <v>2424</v>
      </c>
      <c r="C16" s="0" t="s">
        <v>2425</v>
      </c>
      <c r="D16" s="0" t="s">
        <v>2385</v>
      </c>
      <c r="E16" s="0" t="n">
        <v>43337</v>
      </c>
      <c r="F16" s="0" t="s">
        <v>2380</v>
      </c>
      <c r="G16" s="0" t="n">
        <v>21358568</v>
      </c>
      <c r="H16" s="0" t="n">
        <v>720191</v>
      </c>
      <c r="I16" s="0" t="s">
        <v>34</v>
      </c>
      <c r="J16" s="0" t="s">
        <v>174</v>
      </c>
      <c r="K16" s="0" t="s">
        <v>2064</v>
      </c>
      <c r="L16" s="0" t="n">
        <v>224160720</v>
      </c>
      <c r="M16" s="0" t="s">
        <v>2065</v>
      </c>
      <c r="N16" s="0" t="n">
        <v>103186907</v>
      </c>
      <c r="O16" s="0" t="n">
        <v>167</v>
      </c>
      <c r="P16" s="0" t="n">
        <v>2.21</v>
      </c>
      <c r="Q16" s="0" t="n">
        <v>103186907</v>
      </c>
    </row>
    <row r="17" customFormat="false" ht="15" hidden="false" customHeight="false" outlineLevel="0" collapsed="false">
      <c r="A17" s="0" t="s">
        <v>2426</v>
      </c>
      <c r="B17" s="0" t="s">
        <v>2427</v>
      </c>
      <c r="C17" s="0" t="s">
        <v>2428</v>
      </c>
      <c r="D17" s="0" t="s">
        <v>2385</v>
      </c>
      <c r="E17" s="0" t="n">
        <v>43337</v>
      </c>
      <c r="F17" s="0" t="s">
        <v>2380</v>
      </c>
      <c r="G17" s="0" t="n">
        <v>21358568</v>
      </c>
      <c r="H17" s="0" t="n">
        <v>720191</v>
      </c>
      <c r="I17" s="0" t="s">
        <v>34</v>
      </c>
      <c r="J17" s="0" t="s">
        <v>174</v>
      </c>
      <c r="K17" s="0" t="s">
        <v>2429</v>
      </c>
      <c r="L17" s="0" t="n">
        <v>224160738</v>
      </c>
      <c r="M17" s="0" t="s">
        <v>1975</v>
      </c>
      <c r="N17" s="0" t="n">
        <v>103186904</v>
      </c>
      <c r="O17" s="0" t="n">
        <v>1048</v>
      </c>
      <c r="P17" s="0" t="n">
        <v>11.76</v>
      </c>
      <c r="Q17" s="0" t="n">
        <v>103186904</v>
      </c>
    </row>
    <row r="18" customFormat="false" ht="15" hidden="false" customHeight="false" outlineLevel="0" collapsed="false">
      <c r="A18" s="0" t="s">
        <v>2430</v>
      </c>
      <c r="B18" s="0" t="s">
        <v>2431</v>
      </c>
      <c r="C18" s="0" t="s">
        <v>2432</v>
      </c>
      <c r="D18" s="0" t="s">
        <v>2385</v>
      </c>
      <c r="E18" s="0" t="n">
        <v>43337</v>
      </c>
      <c r="F18" s="0" t="s">
        <v>2380</v>
      </c>
      <c r="G18" s="0" t="n">
        <v>21358568</v>
      </c>
      <c r="H18" s="0" t="n">
        <v>720191</v>
      </c>
      <c r="I18" s="0" t="s">
        <v>34</v>
      </c>
      <c r="J18" s="0" t="s">
        <v>174</v>
      </c>
      <c r="K18" s="0" t="s">
        <v>2433</v>
      </c>
      <c r="L18" s="0" t="n">
        <v>224160780</v>
      </c>
      <c r="M18" s="0" t="s">
        <v>1975</v>
      </c>
      <c r="N18" s="0" t="n">
        <v>103186904</v>
      </c>
      <c r="O18" s="0" t="n">
        <v>570</v>
      </c>
      <c r="P18" s="0" t="n">
        <v>9.03</v>
      </c>
      <c r="Q18" s="0" t="n">
        <v>103186904</v>
      </c>
    </row>
    <row r="19" customFormat="false" ht="15" hidden="false" customHeight="false" outlineLevel="0" collapsed="false">
      <c r="A19" s="0" t="s">
        <v>2434</v>
      </c>
      <c r="B19" s="0" t="s">
        <v>2435</v>
      </c>
      <c r="C19" s="0" t="s">
        <v>2436</v>
      </c>
      <c r="D19" s="0" t="s">
        <v>2385</v>
      </c>
      <c r="E19" s="0" t="n">
        <v>43336</v>
      </c>
      <c r="F19" s="0" t="s">
        <v>2380</v>
      </c>
      <c r="G19" s="0" t="n">
        <v>21358568</v>
      </c>
      <c r="H19" s="0" t="n">
        <v>720191</v>
      </c>
      <c r="I19" s="0" t="s">
        <v>34</v>
      </c>
      <c r="J19" s="0" t="s">
        <v>174</v>
      </c>
      <c r="K19" s="0" t="s">
        <v>2420</v>
      </c>
      <c r="L19" s="0" t="n">
        <v>224160771</v>
      </c>
      <c r="M19" s="0" t="s">
        <v>1981</v>
      </c>
      <c r="N19" s="0" t="n">
        <v>103048488</v>
      </c>
      <c r="O19" s="0" t="n">
        <v>2291</v>
      </c>
      <c r="P19" s="0" t="n">
        <v>31.45</v>
      </c>
      <c r="Q19" s="0" t="n">
        <v>103048488</v>
      </c>
    </row>
    <row r="20" customFormat="false" ht="15" hidden="false" customHeight="false" outlineLevel="0" collapsed="false">
      <c r="A20" s="0" t="s">
        <v>2437</v>
      </c>
      <c r="B20" s="0" t="s">
        <v>2438</v>
      </c>
      <c r="C20" s="0" t="s">
        <v>2439</v>
      </c>
      <c r="D20" s="0" t="s">
        <v>2385</v>
      </c>
      <c r="E20" s="0" t="n">
        <v>43336</v>
      </c>
      <c r="F20" s="0" t="s">
        <v>2380</v>
      </c>
      <c r="G20" s="0" t="n">
        <v>21358568</v>
      </c>
      <c r="H20" s="0" t="n">
        <v>720191</v>
      </c>
      <c r="I20" s="0" t="s">
        <v>34</v>
      </c>
      <c r="J20" s="0" t="s">
        <v>174</v>
      </c>
      <c r="K20" s="0" t="s">
        <v>2393</v>
      </c>
      <c r="L20" s="0" t="n">
        <v>224639151</v>
      </c>
      <c r="M20" s="0" t="s">
        <v>1970</v>
      </c>
      <c r="N20" s="0" t="n">
        <v>103316832</v>
      </c>
      <c r="O20" s="0" t="n">
        <v>14141</v>
      </c>
      <c r="P20" s="0" t="n">
        <v>236.9</v>
      </c>
      <c r="Q20" s="0" t="n">
        <v>103316832</v>
      </c>
    </row>
    <row r="21" customFormat="false" ht="15" hidden="false" customHeight="false" outlineLevel="0" collapsed="false">
      <c r="A21" s="0" t="s">
        <v>2437</v>
      </c>
      <c r="B21" s="0" t="s">
        <v>2438</v>
      </c>
      <c r="C21" s="0" t="s">
        <v>2440</v>
      </c>
      <c r="D21" s="0" t="s">
        <v>2385</v>
      </c>
      <c r="E21" s="0" t="n">
        <v>43336</v>
      </c>
      <c r="F21" s="0" t="s">
        <v>2380</v>
      </c>
      <c r="G21" s="0" t="n">
        <v>21358568</v>
      </c>
      <c r="H21" s="0" t="n">
        <v>720191</v>
      </c>
      <c r="I21" s="0" t="s">
        <v>34</v>
      </c>
      <c r="J21" s="0" t="s">
        <v>174</v>
      </c>
      <c r="K21" s="0" t="s">
        <v>2397</v>
      </c>
      <c r="L21" s="0" t="n">
        <v>224639151</v>
      </c>
      <c r="M21" s="0" t="s">
        <v>1970</v>
      </c>
      <c r="N21" s="0" t="n">
        <v>103316832</v>
      </c>
      <c r="O21" s="0" t="n">
        <v>1584</v>
      </c>
      <c r="P21" s="0" t="n">
        <v>25.74</v>
      </c>
      <c r="Q21" s="0" t="n">
        <v>103316832</v>
      </c>
    </row>
    <row r="22" customFormat="false" ht="15" hidden="false" customHeight="false" outlineLevel="0" collapsed="false">
      <c r="A22" s="0" t="s">
        <v>2437</v>
      </c>
      <c r="B22" s="0" t="s">
        <v>2438</v>
      </c>
      <c r="C22" s="0" t="s">
        <v>2441</v>
      </c>
      <c r="D22" s="0" t="s">
        <v>2385</v>
      </c>
      <c r="E22" s="0" t="n">
        <v>43336</v>
      </c>
      <c r="F22" s="0" t="s">
        <v>2380</v>
      </c>
      <c r="G22" s="0" t="n">
        <v>21358568</v>
      </c>
      <c r="H22" s="0" t="n">
        <v>720191</v>
      </c>
      <c r="I22" s="0" t="s">
        <v>34</v>
      </c>
      <c r="J22" s="0" t="s">
        <v>174</v>
      </c>
      <c r="K22" s="0" t="s">
        <v>2395</v>
      </c>
      <c r="L22" s="0" t="n">
        <v>224639151</v>
      </c>
      <c r="M22" s="0" t="s">
        <v>1970</v>
      </c>
      <c r="N22" s="0" t="n">
        <v>103316832</v>
      </c>
      <c r="O22" s="0" t="n">
        <v>3933</v>
      </c>
      <c r="P22" s="0" t="n">
        <v>78.03</v>
      </c>
      <c r="Q22" s="0" t="n">
        <v>103316832</v>
      </c>
    </row>
    <row r="23" customFormat="false" ht="15" hidden="false" customHeight="false" outlineLevel="0" collapsed="false">
      <c r="A23" s="0" t="s">
        <v>2442</v>
      </c>
      <c r="B23" s="0" t="s">
        <v>2443</v>
      </c>
      <c r="C23" s="0" t="s">
        <v>2444</v>
      </c>
      <c r="D23" s="0" t="s">
        <v>2385</v>
      </c>
      <c r="E23" s="0" t="n">
        <v>43336</v>
      </c>
      <c r="F23" s="0" t="s">
        <v>2380</v>
      </c>
      <c r="G23" s="0" t="n">
        <v>21358568</v>
      </c>
      <c r="H23" s="0" t="n">
        <v>720191</v>
      </c>
      <c r="I23" s="0" t="s">
        <v>34</v>
      </c>
      <c r="J23" s="0" t="s">
        <v>174</v>
      </c>
      <c r="K23" s="0" t="s">
        <v>2066</v>
      </c>
      <c r="L23" s="0" t="n">
        <v>224160717</v>
      </c>
      <c r="M23" s="0" t="s">
        <v>2067</v>
      </c>
      <c r="N23" s="0" t="n">
        <v>103048485</v>
      </c>
      <c r="O23" s="0" t="n">
        <v>555</v>
      </c>
      <c r="P23" s="0" t="n">
        <v>10.43</v>
      </c>
      <c r="Q23" s="0" t="n">
        <v>103048485</v>
      </c>
    </row>
    <row r="24" customFormat="false" ht="15" hidden="false" customHeight="false" outlineLevel="0" collapsed="false">
      <c r="A24" s="0" t="s">
        <v>2445</v>
      </c>
      <c r="B24" s="0" t="s">
        <v>2446</v>
      </c>
      <c r="C24" s="0" t="s">
        <v>2447</v>
      </c>
      <c r="D24" s="0" t="s">
        <v>2385</v>
      </c>
      <c r="E24" s="0" t="n">
        <v>43336</v>
      </c>
      <c r="F24" s="0" t="s">
        <v>2380</v>
      </c>
      <c r="G24" s="0" t="n">
        <v>21358568</v>
      </c>
      <c r="H24" s="0" t="n">
        <v>720191</v>
      </c>
      <c r="I24" s="0" t="s">
        <v>34</v>
      </c>
      <c r="J24" s="0" t="s">
        <v>174</v>
      </c>
      <c r="K24" s="0" t="s">
        <v>2429</v>
      </c>
      <c r="L24" s="0" t="n">
        <v>224160738</v>
      </c>
      <c r="M24" s="0" t="s">
        <v>1975</v>
      </c>
      <c r="N24" s="0" t="n">
        <v>103186904</v>
      </c>
      <c r="O24" s="0" t="n">
        <v>1526</v>
      </c>
      <c r="P24" s="0" t="n">
        <v>19.58</v>
      </c>
      <c r="Q24" s="0" t="n">
        <v>103186904</v>
      </c>
    </row>
    <row r="25" customFormat="false" ht="15" hidden="false" customHeight="false" outlineLevel="0" collapsed="false">
      <c r="A25" s="0" t="s">
        <v>2448</v>
      </c>
      <c r="B25" s="0" t="s">
        <v>2449</v>
      </c>
      <c r="C25" s="0" t="s">
        <v>2450</v>
      </c>
      <c r="D25" s="0" t="s">
        <v>2385</v>
      </c>
      <c r="E25" s="0" t="n">
        <v>43336</v>
      </c>
      <c r="F25" s="0" t="s">
        <v>2380</v>
      </c>
      <c r="G25" s="0" t="n">
        <v>21358568</v>
      </c>
      <c r="H25" s="0" t="n">
        <v>720191</v>
      </c>
      <c r="I25" s="0" t="s">
        <v>34</v>
      </c>
      <c r="J25" s="0" t="s">
        <v>174</v>
      </c>
      <c r="K25" s="0" t="s">
        <v>2416</v>
      </c>
      <c r="L25" s="0" t="n">
        <v>224160732</v>
      </c>
      <c r="M25" s="0" t="s">
        <v>1979</v>
      </c>
      <c r="N25" s="0" t="n">
        <v>103186910</v>
      </c>
      <c r="O25" s="0" t="n">
        <v>4072</v>
      </c>
      <c r="P25" s="0" t="n">
        <v>73.1</v>
      </c>
      <c r="Q25" s="0" t="n">
        <v>103186910</v>
      </c>
    </row>
    <row r="26" customFormat="false" ht="15" hidden="false" customHeight="false" outlineLevel="0" collapsed="false">
      <c r="A26" s="0" t="s">
        <v>2451</v>
      </c>
      <c r="B26" s="0" t="s">
        <v>2452</v>
      </c>
      <c r="C26" s="0" t="s">
        <v>2453</v>
      </c>
      <c r="D26" s="0" t="s">
        <v>2385</v>
      </c>
      <c r="E26" s="0" t="n">
        <v>43336</v>
      </c>
      <c r="F26" s="0" t="s">
        <v>2380</v>
      </c>
      <c r="G26" s="0" t="n">
        <v>21358568</v>
      </c>
      <c r="H26" s="0" t="n">
        <v>720191</v>
      </c>
      <c r="I26" s="0" t="s">
        <v>34</v>
      </c>
      <c r="J26" s="0" t="s">
        <v>174</v>
      </c>
      <c r="K26" s="0" t="s">
        <v>2405</v>
      </c>
      <c r="L26" s="0" t="n">
        <v>224160774</v>
      </c>
      <c r="M26" s="0" t="s">
        <v>1979</v>
      </c>
      <c r="N26" s="0" t="n">
        <v>103186910</v>
      </c>
      <c r="O26" s="0" t="n">
        <v>1423</v>
      </c>
      <c r="P26" s="0" t="n">
        <v>33.9</v>
      </c>
      <c r="Q26" s="0" t="n">
        <v>103186910</v>
      </c>
    </row>
    <row r="27" customFormat="false" ht="15" hidden="false" customHeight="false" outlineLevel="0" collapsed="false">
      <c r="A27" s="0" t="s">
        <v>2454</v>
      </c>
      <c r="B27" s="0" t="s">
        <v>2455</v>
      </c>
      <c r="C27" s="0" t="s">
        <v>2456</v>
      </c>
      <c r="D27" s="0" t="s">
        <v>2385</v>
      </c>
      <c r="E27" s="0" t="n">
        <v>43336</v>
      </c>
      <c r="F27" s="0" t="s">
        <v>2380</v>
      </c>
      <c r="G27" s="0" t="n">
        <v>21358568</v>
      </c>
      <c r="H27" s="0" t="n">
        <v>720191</v>
      </c>
      <c r="I27" s="0" t="s">
        <v>34</v>
      </c>
      <c r="J27" s="0" t="s">
        <v>174</v>
      </c>
      <c r="K27" s="0" t="s">
        <v>2068</v>
      </c>
      <c r="L27" s="0" t="n">
        <v>224160714</v>
      </c>
      <c r="M27" s="0" t="s">
        <v>2069</v>
      </c>
      <c r="N27" s="0" t="n">
        <v>103186916</v>
      </c>
      <c r="O27" s="0" t="n">
        <v>938</v>
      </c>
      <c r="P27" s="0" t="n">
        <v>27.86</v>
      </c>
      <c r="Q27" s="0" t="n">
        <v>103186916</v>
      </c>
    </row>
    <row r="28" customFormat="false" ht="15" hidden="false" customHeight="false" outlineLevel="0" collapsed="false">
      <c r="A28" s="0" t="s">
        <v>2457</v>
      </c>
      <c r="B28" s="0" t="s">
        <v>2458</v>
      </c>
      <c r="C28" s="0" t="s">
        <v>2459</v>
      </c>
      <c r="D28" s="0" t="s">
        <v>2385</v>
      </c>
      <c r="E28" s="0" t="n">
        <v>43336</v>
      </c>
      <c r="F28" s="0" t="s">
        <v>2380</v>
      </c>
      <c r="G28" s="0" t="n">
        <v>21358568</v>
      </c>
      <c r="H28" s="0" t="n">
        <v>720191</v>
      </c>
      <c r="I28" s="0" t="s">
        <v>34</v>
      </c>
      <c r="J28" s="0" t="s">
        <v>174</v>
      </c>
      <c r="K28" s="0" t="s">
        <v>2433</v>
      </c>
      <c r="L28" s="0" t="n">
        <v>224160780</v>
      </c>
      <c r="M28" s="0" t="s">
        <v>1975</v>
      </c>
      <c r="N28" s="0" t="n">
        <v>103186904</v>
      </c>
      <c r="O28" s="0" t="n">
        <v>475</v>
      </c>
      <c r="P28" s="0" t="n">
        <v>7.3</v>
      </c>
      <c r="Q28" s="0" t="n">
        <v>103186904</v>
      </c>
    </row>
    <row r="29" customFormat="false" ht="15" hidden="false" customHeight="false" outlineLevel="0" collapsed="false">
      <c r="A29" s="0" t="s">
        <v>2460</v>
      </c>
      <c r="B29" s="0" t="s">
        <v>2461</v>
      </c>
      <c r="C29" s="0" t="s">
        <v>2462</v>
      </c>
      <c r="D29" s="0" t="s">
        <v>2385</v>
      </c>
      <c r="E29" s="0" t="n">
        <v>43336</v>
      </c>
      <c r="F29" s="0" t="s">
        <v>2380</v>
      </c>
      <c r="G29" s="0" t="n">
        <v>21358568</v>
      </c>
      <c r="H29" s="0" t="n">
        <v>720191</v>
      </c>
      <c r="I29" s="0" t="s">
        <v>34</v>
      </c>
      <c r="J29" s="0" t="s">
        <v>174</v>
      </c>
      <c r="K29" s="0" t="s">
        <v>2070</v>
      </c>
      <c r="L29" s="0" t="n">
        <v>224160711</v>
      </c>
      <c r="M29" s="0" t="s">
        <v>2071</v>
      </c>
      <c r="N29" s="0" t="n">
        <v>103048491</v>
      </c>
      <c r="O29" s="0" t="n">
        <v>474</v>
      </c>
      <c r="P29" s="0" t="n">
        <v>9.83</v>
      </c>
      <c r="Q29" s="0" t="n">
        <v>103048491</v>
      </c>
    </row>
    <row r="30" customFormat="false" ht="15" hidden="false" customHeight="false" outlineLevel="0" collapsed="false">
      <c r="A30" s="0" t="s">
        <v>2463</v>
      </c>
      <c r="B30" s="0" t="s">
        <v>2464</v>
      </c>
      <c r="C30" s="0" t="s">
        <v>2465</v>
      </c>
      <c r="D30" s="0" t="s">
        <v>2385</v>
      </c>
      <c r="E30" s="0" t="n">
        <v>43336</v>
      </c>
      <c r="F30" s="0" t="s">
        <v>2380</v>
      </c>
      <c r="G30" s="0" t="n">
        <v>21358568</v>
      </c>
      <c r="H30" s="0" t="n">
        <v>720191</v>
      </c>
      <c r="I30" s="0" t="s">
        <v>34</v>
      </c>
      <c r="J30" s="0" t="s">
        <v>174</v>
      </c>
      <c r="K30" s="0" t="s">
        <v>2401</v>
      </c>
      <c r="L30" s="0" t="n">
        <v>224160783</v>
      </c>
      <c r="M30" s="0" t="s">
        <v>1973</v>
      </c>
      <c r="N30" s="0" t="n">
        <v>103051614</v>
      </c>
      <c r="O30" s="0" t="n">
        <v>1844</v>
      </c>
      <c r="P30" s="0" t="n">
        <v>35.91</v>
      </c>
      <c r="Q30" s="0" t="n">
        <v>103051614</v>
      </c>
    </row>
    <row r="31" customFormat="false" ht="15" hidden="false" customHeight="false" outlineLevel="0" collapsed="false">
      <c r="A31" s="0" t="s">
        <v>2466</v>
      </c>
      <c r="B31" s="0" t="s">
        <v>2467</v>
      </c>
      <c r="C31" s="0" t="s">
        <v>2468</v>
      </c>
      <c r="D31" s="0" t="s">
        <v>2385</v>
      </c>
      <c r="E31" s="0" t="n">
        <v>43336</v>
      </c>
      <c r="F31" s="0" t="s">
        <v>2380</v>
      </c>
      <c r="G31" s="0" t="n">
        <v>21358568</v>
      </c>
      <c r="H31" s="0" t="n">
        <v>720191</v>
      </c>
      <c r="I31" s="0" t="s">
        <v>34</v>
      </c>
      <c r="J31" s="0" t="s">
        <v>174</v>
      </c>
      <c r="K31" s="0" t="s">
        <v>2389</v>
      </c>
      <c r="L31" s="0" t="n">
        <v>224160729</v>
      </c>
      <c r="M31" s="0" t="s">
        <v>1981</v>
      </c>
      <c r="N31" s="0" t="n">
        <v>103048488</v>
      </c>
      <c r="O31" s="0" t="n">
        <v>2247</v>
      </c>
      <c r="P31" s="0" t="n">
        <v>29.13</v>
      </c>
      <c r="Q31" s="0" t="n">
        <v>103048488</v>
      </c>
    </row>
    <row r="32" customFormat="false" ht="15" hidden="false" customHeight="false" outlineLevel="0" collapsed="false">
      <c r="A32" s="0" t="s">
        <v>2469</v>
      </c>
      <c r="B32" s="0" t="s">
        <v>2470</v>
      </c>
      <c r="C32" s="0" t="s">
        <v>2471</v>
      </c>
      <c r="D32" s="0" t="s">
        <v>2385</v>
      </c>
      <c r="E32" s="0" t="n">
        <v>43336</v>
      </c>
      <c r="F32" s="0" t="s">
        <v>2380</v>
      </c>
      <c r="G32" s="0" t="n">
        <v>21358568</v>
      </c>
      <c r="H32" s="0" t="n">
        <v>720191</v>
      </c>
      <c r="I32" s="0" t="s">
        <v>34</v>
      </c>
      <c r="J32" s="0" t="s">
        <v>174</v>
      </c>
      <c r="K32" s="0" t="s">
        <v>2381</v>
      </c>
      <c r="L32" s="0" t="n">
        <v>224160735</v>
      </c>
      <c r="M32" s="0" t="s">
        <v>1977</v>
      </c>
      <c r="N32" s="0" t="n">
        <v>103048479</v>
      </c>
      <c r="O32" s="0" t="n">
        <v>6500</v>
      </c>
      <c r="P32" s="0" t="n">
        <v>109.12</v>
      </c>
      <c r="Q32" s="0" t="n">
        <v>103048479</v>
      </c>
    </row>
    <row r="33" customFormat="false" ht="15" hidden="false" customHeight="false" outlineLevel="0" collapsed="false">
      <c r="A33" s="0" t="e">
        <f aca="false">#N/A</f>
        <v>#N/A</v>
      </c>
      <c r="B33" s="0" t="s">
        <v>2472</v>
      </c>
      <c r="C33" s="0" t="s">
        <v>2473</v>
      </c>
      <c r="D33" s="0" t="s">
        <v>2385</v>
      </c>
      <c r="E33" s="0" t="n">
        <v>43336</v>
      </c>
      <c r="F33" s="0" t="s">
        <v>2380</v>
      </c>
      <c r="G33" s="0" t="n">
        <v>21358568</v>
      </c>
      <c r="H33" s="0" t="n">
        <v>720191</v>
      </c>
      <c r="I33" s="0" t="s">
        <v>34</v>
      </c>
      <c r="J33" s="0" t="s">
        <v>174</v>
      </c>
      <c r="K33" s="0" t="s">
        <v>2064</v>
      </c>
      <c r="L33" s="0" t="n">
        <v>224160720</v>
      </c>
      <c r="M33" s="0" t="s">
        <v>2065</v>
      </c>
      <c r="N33" s="0" t="n">
        <v>103186907</v>
      </c>
      <c r="O33" s="0" t="n">
        <v>125</v>
      </c>
      <c r="P33" s="0" t="n">
        <v>1.57</v>
      </c>
      <c r="Q33" s="0" t="e">
        <f aca="false">#N/A</f>
        <v>#N/A</v>
      </c>
    </row>
    <row r="34" customFormat="false" ht="15" hidden="false" customHeight="false" outlineLevel="0" collapsed="false">
      <c r="A34" s="0" t="s">
        <v>2474</v>
      </c>
      <c r="B34" s="0" t="s">
        <v>2475</v>
      </c>
      <c r="C34" s="0" t="s">
        <v>2476</v>
      </c>
      <c r="D34" s="0" t="s">
        <v>2385</v>
      </c>
      <c r="E34" s="0" t="n">
        <v>43336</v>
      </c>
      <c r="F34" s="0" t="s">
        <v>2380</v>
      </c>
      <c r="G34" s="0" t="n">
        <v>21358568</v>
      </c>
      <c r="H34" s="0" t="n">
        <v>720191</v>
      </c>
      <c r="I34" s="0" t="s">
        <v>34</v>
      </c>
      <c r="J34" s="0" t="s">
        <v>174</v>
      </c>
      <c r="K34" s="0" t="s">
        <v>2412</v>
      </c>
      <c r="L34" s="0" t="n">
        <v>224160777</v>
      </c>
      <c r="M34" s="0" t="s">
        <v>1977</v>
      </c>
      <c r="N34" s="0" t="n">
        <v>103048479</v>
      </c>
      <c r="O34" s="0" t="n">
        <v>2249</v>
      </c>
      <c r="P34" s="0" t="n">
        <v>35.1</v>
      </c>
      <c r="Q34" s="0" t="n">
        <v>103048479</v>
      </c>
    </row>
    <row r="35" customFormat="false" ht="15" hidden="false" customHeight="false" outlineLevel="0" collapsed="false">
      <c r="A35" s="0" t="e">
        <f aca="false">#N/A</f>
        <v>#N/A</v>
      </c>
      <c r="B35" s="0" t="s">
        <v>2477</v>
      </c>
      <c r="C35" s="0" t="s">
        <v>2478</v>
      </c>
      <c r="D35" s="0" t="s">
        <v>2385</v>
      </c>
      <c r="E35" s="0" t="n">
        <v>43335</v>
      </c>
      <c r="F35" s="0" t="s">
        <v>2380</v>
      </c>
      <c r="G35" s="0" t="n">
        <v>21358568</v>
      </c>
      <c r="H35" s="0" t="n">
        <v>720191</v>
      </c>
      <c r="I35" s="0" t="s">
        <v>34</v>
      </c>
      <c r="J35" s="0" t="s">
        <v>174</v>
      </c>
      <c r="K35" s="0" t="s">
        <v>2064</v>
      </c>
      <c r="L35" s="0" t="n">
        <v>224160720</v>
      </c>
      <c r="M35" s="0" t="s">
        <v>2065</v>
      </c>
      <c r="N35" s="0" t="n">
        <v>103186907</v>
      </c>
      <c r="O35" s="0" t="n">
        <v>75</v>
      </c>
      <c r="P35" s="0" t="n">
        <v>0.79</v>
      </c>
      <c r="Q35" s="0" t="e">
        <f aca="false">#N/A</f>
        <v>#N/A</v>
      </c>
    </row>
    <row r="36" customFormat="false" ht="15" hidden="false" customHeight="false" outlineLevel="0" collapsed="false">
      <c r="A36" s="0" t="s">
        <v>2479</v>
      </c>
      <c r="B36" s="0" t="s">
        <v>2480</v>
      </c>
      <c r="C36" s="0" t="s">
        <v>2481</v>
      </c>
      <c r="D36" s="0" t="s">
        <v>2385</v>
      </c>
      <c r="E36" s="0" t="n">
        <v>43335</v>
      </c>
      <c r="F36" s="0" t="s">
        <v>2380</v>
      </c>
      <c r="G36" s="0" t="n">
        <v>21358568</v>
      </c>
      <c r="H36" s="0" t="n">
        <v>720191</v>
      </c>
      <c r="I36" s="0" t="s">
        <v>34</v>
      </c>
      <c r="J36" s="0" t="s">
        <v>174</v>
      </c>
      <c r="K36" s="0" t="s">
        <v>2389</v>
      </c>
      <c r="L36" s="0" t="n">
        <v>224160729</v>
      </c>
      <c r="M36" s="0" t="s">
        <v>1981</v>
      </c>
      <c r="N36" s="0" t="n">
        <v>103048488</v>
      </c>
      <c r="O36" s="0" t="n">
        <v>1259</v>
      </c>
      <c r="P36" s="0" t="n">
        <v>19.07</v>
      </c>
      <c r="Q36" s="0" t="n">
        <v>103048488</v>
      </c>
    </row>
    <row r="37" customFormat="false" ht="15" hidden="false" customHeight="false" outlineLevel="0" collapsed="false">
      <c r="A37" s="0" t="s">
        <v>2482</v>
      </c>
      <c r="B37" s="0" t="s">
        <v>2483</v>
      </c>
      <c r="C37" s="0" t="s">
        <v>2484</v>
      </c>
      <c r="D37" s="0" t="s">
        <v>2385</v>
      </c>
      <c r="E37" s="0" t="n">
        <v>43335</v>
      </c>
      <c r="F37" s="0" t="s">
        <v>2380</v>
      </c>
      <c r="G37" s="0" t="n">
        <v>21358568</v>
      </c>
      <c r="H37" s="0" t="n">
        <v>720191</v>
      </c>
      <c r="I37" s="0" t="s">
        <v>34</v>
      </c>
      <c r="J37" s="0" t="s">
        <v>174</v>
      </c>
      <c r="K37" s="0" t="s">
        <v>2401</v>
      </c>
      <c r="L37" s="0" t="n">
        <v>224160783</v>
      </c>
      <c r="M37" s="0" t="s">
        <v>1973</v>
      </c>
      <c r="N37" s="0" t="n">
        <v>103051614</v>
      </c>
      <c r="O37" s="0" t="n">
        <v>1682</v>
      </c>
      <c r="P37" s="0" t="n">
        <v>32.1</v>
      </c>
      <c r="Q37" s="0" t="n">
        <v>103051614</v>
      </c>
    </row>
    <row r="38" customFormat="false" ht="15" hidden="false" customHeight="false" outlineLevel="0" collapsed="false">
      <c r="A38" s="0" t="s">
        <v>2485</v>
      </c>
      <c r="B38" s="0" t="s">
        <v>2486</v>
      </c>
      <c r="C38" s="0" t="s">
        <v>2487</v>
      </c>
      <c r="D38" s="0" t="s">
        <v>2385</v>
      </c>
      <c r="E38" s="0" t="n">
        <v>43335</v>
      </c>
      <c r="F38" s="0" t="s">
        <v>2380</v>
      </c>
      <c r="G38" s="0" t="n">
        <v>21358568</v>
      </c>
      <c r="H38" s="0" t="n">
        <v>720191</v>
      </c>
      <c r="I38" s="0" t="s">
        <v>34</v>
      </c>
      <c r="J38" s="0" t="s">
        <v>174</v>
      </c>
      <c r="K38" s="0" t="s">
        <v>2416</v>
      </c>
      <c r="L38" s="0" t="n">
        <v>224160732</v>
      </c>
      <c r="M38" s="0" t="s">
        <v>1979</v>
      </c>
      <c r="N38" s="0" t="n">
        <v>103186910</v>
      </c>
      <c r="O38" s="0" t="n">
        <v>9013</v>
      </c>
      <c r="P38" s="0" t="n">
        <v>142.16</v>
      </c>
      <c r="Q38" s="0" t="n">
        <v>103186910</v>
      </c>
    </row>
    <row r="39" customFormat="false" ht="15" hidden="false" customHeight="false" outlineLevel="0" collapsed="false">
      <c r="A39" s="0" t="e">
        <f aca="false">#N/A</f>
        <v>#N/A</v>
      </c>
      <c r="B39" s="0" t="s">
        <v>2488</v>
      </c>
      <c r="C39" s="0" t="s">
        <v>2489</v>
      </c>
      <c r="D39" s="0" t="s">
        <v>2385</v>
      </c>
      <c r="E39" s="0" t="n">
        <v>43335</v>
      </c>
      <c r="F39" s="0" t="s">
        <v>2380</v>
      </c>
      <c r="G39" s="0" t="n">
        <v>21358568</v>
      </c>
      <c r="H39" s="0" t="n">
        <v>720191</v>
      </c>
      <c r="I39" s="0" t="s">
        <v>34</v>
      </c>
      <c r="J39" s="0" t="s">
        <v>174</v>
      </c>
      <c r="K39" s="0" t="s">
        <v>2066</v>
      </c>
      <c r="L39" s="0" t="n">
        <v>224160717</v>
      </c>
      <c r="M39" s="0" t="s">
        <v>2067</v>
      </c>
      <c r="N39" s="0" t="n">
        <v>103048485</v>
      </c>
      <c r="O39" s="0" t="n">
        <v>81</v>
      </c>
      <c r="P39" s="0" t="n">
        <v>2.21</v>
      </c>
      <c r="Q39" s="0" t="e">
        <f aca="false">#N/A</f>
        <v>#N/A</v>
      </c>
    </row>
    <row r="40" customFormat="false" ht="15" hidden="false" customHeight="false" outlineLevel="0" collapsed="false">
      <c r="A40" s="0" t="s">
        <v>2490</v>
      </c>
      <c r="B40" s="0" t="s">
        <v>2491</v>
      </c>
      <c r="C40" s="0" t="s">
        <v>2492</v>
      </c>
      <c r="D40" s="0" t="s">
        <v>2385</v>
      </c>
      <c r="E40" s="0" t="n">
        <v>43335</v>
      </c>
      <c r="F40" s="0" t="s">
        <v>2380</v>
      </c>
      <c r="G40" s="0" t="n">
        <v>21358568</v>
      </c>
      <c r="H40" s="0" t="n">
        <v>720191</v>
      </c>
      <c r="I40" s="0" t="s">
        <v>34</v>
      </c>
      <c r="J40" s="0" t="s">
        <v>174</v>
      </c>
      <c r="K40" s="0" t="s">
        <v>2381</v>
      </c>
      <c r="L40" s="0" t="n">
        <v>224160735</v>
      </c>
      <c r="M40" s="0" t="s">
        <v>1977</v>
      </c>
      <c r="N40" s="0" t="n">
        <v>103048479</v>
      </c>
      <c r="O40" s="0" t="n">
        <v>5751</v>
      </c>
      <c r="P40" s="0" t="n">
        <v>80.07</v>
      </c>
      <c r="Q40" s="0" t="n">
        <v>103048479</v>
      </c>
    </row>
    <row r="41" customFormat="false" ht="15" hidden="false" customHeight="false" outlineLevel="0" collapsed="false">
      <c r="A41" s="0" t="e">
        <f aca="false">#N/A</f>
        <v>#N/A</v>
      </c>
      <c r="B41" s="0" t="s">
        <v>2493</v>
      </c>
      <c r="C41" s="0" t="s">
        <v>2494</v>
      </c>
      <c r="D41" s="0" t="s">
        <v>2385</v>
      </c>
      <c r="E41" s="0" t="n">
        <v>43335</v>
      </c>
      <c r="F41" s="0" t="s">
        <v>2380</v>
      </c>
      <c r="G41" s="0" t="n">
        <v>21358568</v>
      </c>
      <c r="H41" s="0" t="n">
        <v>720191</v>
      </c>
      <c r="I41" s="0" t="s">
        <v>34</v>
      </c>
      <c r="J41" s="0" t="s">
        <v>174</v>
      </c>
      <c r="K41" s="0" t="s">
        <v>2070</v>
      </c>
      <c r="L41" s="0" t="n">
        <v>224160711</v>
      </c>
      <c r="M41" s="0" t="s">
        <v>2071</v>
      </c>
      <c r="N41" s="0" t="n">
        <v>103048491</v>
      </c>
      <c r="O41" s="0" t="n">
        <v>150</v>
      </c>
      <c r="P41" s="0" t="n">
        <v>3.58</v>
      </c>
      <c r="Q41" s="0" t="e">
        <f aca="false">#N/A</f>
        <v>#N/A</v>
      </c>
    </row>
    <row r="42" customFormat="false" ht="15" hidden="false" customHeight="false" outlineLevel="0" collapsed="false">
      <c r="A42" s="0" t="s">
        <v>2495</v>
      </c>
      <c r="B42" s="0" t="s">
        <v>2496</v>
      </c>
      <c r="C42" s="0" t="s">
        <v>2497</v>
      </c>
      <c r="D42" s="0" t="s">
        <v>2385</v>
      </c>
      <c r="E42" s="0" t="n">
        <v>43335</v>
      </c>
      <c r="F42" s="0" t="s">
        <v>2380</v>
      </c>
      <c r="G42" s="0" t="n">
        <v>21358568</v>
      </c>
      <c r="H42" s="0" t="n">
        <v>720191</v>
      </c>
      <c r="I42" s="0" t="s">
        <v>34</v>
      </c>
      <c r="J42" s="0" t="s">
        <v>174</v>
      </c>
      <c r="K42" s="0" t="s">
        <v>2393</v>
      </c>
      <c r="L42" s="0" t="n">
        <v>224639151</v>
      </c>
      <c r="M42" s="0" t="s">
        <v>1970</v>
      </c>
      <c r="N42" s="0" t="n">
        <v>103316832</v>
      </c>
      <c r="O42" s="0" t="n">
        <v>14881</v>
      </c>
      <c r="P42" s="0" t="n">
        <v>226.07</v>
      </c>
      <c r="Q42" s="0" t="n">
        <v>103316832</v>
      </c>
    </row>
    <row r="43" customFormat="false" ht="15" hidden="false" customHeight="false" outlineLevel="0" collapsed="false">
      <c r="A43" s="0" t="s">
        <v>2495</v>
      </c>
      <c r="B43" s="0" t="s">
        <v>2496</v>
      </c>
      <c r="C43" s="0" t="s">
        <v>2498</v>
      </c>
      <c r="D43" s="0" t="s">
        <v>2385</v>
      </c>
      <c r="E43" s="0" t="n">
        <v>43335</v>
      </c>
      <c r="F43" s="0" t="s">
        <v>2380</v>
      </c>
      <c r="G43" s="0" t="n">
        <v>21358568</v>
      </c>
      <c r="H43" s="0" t="n">
        <v>720191</v>
      </c>
      <c r="I43" s="0" t="s">
        <v>34</v>
      </c>
      <c r="J43" s="0" t="s">
        <v>174</v>
      </c>
      <c r="K43" s="0" t="s">
        <v>2397</v>
      </c>
      <c r="L43" s="0" t="n">
        <v>224639151</v>
      </c>
      <c r="M43" s="0" t="s">
        <v>1970</v>
      </c>
      <c r="N43" s="0" t="n">
        <v>103316832</v>
      </c>
      <c r="O43" s="0" t="n">
        <v>1157</v>
      </c>
      <c r="P43" s="0" t="n">
        <v>14.32</v>
      </c>
      <c r="Q43" s="0" t="n">
        <v>103316832</v>
      </c>
    </row>
    <row r="44" customFormat="false" ht="15" hidden="false" customHeight="false" outlineLevel="0" collapsed="false">
      <c r="A44" s="0" t="s">
        <v>2495</v>
      </c>
      <c r="B44" s="0" t="s">
        <v>2496</v>
      </c>
      <c r="C44" s="0" t="s">
        <v>2499</v>
      </c>
      <c r="D44" s="0" t="s">
        <v>2385</v>
      </c>
      <c r="E44" s="0" t="n">
        <v>43335</v>
      </c>
      <c r="F44" s="0" t="s">
        <v>2380</v>
      </c>
      <c r="G44" s="0" t="n">
        <v>21358568</v>
      </c>
      <c r="H44" s="0" t="n">
        <v>720191</v>
      </c>
      <c r="I44" s="0" t="s">
        <v>34</v>
      </c>
      <c r="J44" s="0" t="s">
        <v>174</v>
      </c>
      <c r="K44" s="0" t="s">
        <v>2395</v>
      </c>
      <c r="L44" s="0" t="n">
        <v>224639151</v>
      </c>
      <c r="M44" s="0" t="s">
        <v>1970</v>
      </c>
      <c r="N44" s="0" t="n">
        <v>103316832</v>
      </c>
      <c r="O44" s="0" t="n">
        <v>5190</v>
      </c>
      <c r="P44" s="0" t="n">
        <v>80.59</v>
      </c>
      <c r="Q44" s="0" t="n">
        <v>103316832</v>
      </c>
    </row>
    <row r="45" customFormat="false" ht="15" hidden="false" customHeight="false" outlineLevel="0" collapsed="false">
      <c r="A45" s="0" t="s">
        <v>2500</v>
      </c>
      <c r="B45" s="0" t="s">
        <v>2501</v>
      </c>
      <c r="C45" s="0" t="s">
        <v>2502</v>
      </c>
      <c r="D45" s="0" t="s">
        <v>2385</v>
      </c>
      <c r="E45" s="0" t="n">
        <v>43335</v>
      </c>
      <c r="F45" s="0" t="s">
        <v>2380</v>
      </c>
      <c r="G45" s="0" t="n">
        <v>21358568</v>
      </c>
      <c r="H45" s="0" t="n">
        <v>720191</v>
      </c>
      <c r="I45" s="0" t="s">
        <v>34</v>
      </c>
      <c r="J45" s="0" t="s">
        <v>174</v>
      </c>
      <c r="K45" s="0" t="s">
        <v>2405</v>
      </c>
      <c r="L45" s="0" t="n">
        <v>224160774</v>
      </c>
      <c r="M45" s="0" t="s">
        <v>1979</v>
      </c>
      <c r="N45" s="0" t="n">
        <v>103186910</v>
      </c>
      <c r="O45" s="0" t="n">
        <v>4534</v>
      </c>
      <c r="P45" s="0" t="n">
        <v>66.09</v>
      </c>
      <c r="Q45" s="0" t="n">
        <v>103186910</v>
      </c>
    </row>
    <row r="46" customFormat="false" ht="15" hidden="false" customHeight="false" outlineLevel="0" collapsed="false">
      <c r="A46" s="0" t="s">
        <v>2503</v>
      </c>
      <c r="B46" s="0" t="s">
        <v>2504</v>
      </c>
      <c r="C46" s="0" t="s">
        <v>2505</v>
      </c>
      <c r="D46" s="0" t="s">
        <v>2385</v>
      </c>
      <c r="E46" s="0" t="n">
        <v>43335</v>
      </c>
      <c r="F46" s="0" t="s">
        <v>2380</v>
      </c>
      <c r="G46" s="0" t="n">
        <v>21358568</v>
      </c>
      <c r="H46" s="0" t="n">
        <v>720191</v>
      </c>
      <c r="I46" s="0" t="s">
        <v>34</v>
      </c>
      <c r="J46" s="0" t="s">
        <v>174</v>
      </c>
      <c r="K46" s="0" t="s">
        <v>2412</v>
      </c>
      <c r="L46" s="0" t="n">
        <v>224160777</v>
      </c>
      <c r="M46" s="0" t="s">
        <v>1977</v>
      </c>
      <c r="N46" s="0" t="n">
        <v>103048479</v>
      </c>
      <c r="O46" s="0" t="n">
        <v>1842</v>
      </c>
      <c r="P46" s="0" t="n">
        <v>28.19</v>
      </c>
      <c r="Q46" s="0" t="n">
        <v>103048479</v>
      </c>
    </row>
    <row r="47" customFormat="false" ht="15" hidden="false" customHeight="false" outlineLevel="0" collapsed="false">
      <c r="A47" s="0" t="s">
        <v>2506</v>
      </c>
      <c r="B47" s="0" t="s">
        <v>2507</v>
      </c>
      <c r="C47" s="0" t="s">
        <v>2508</v>
      </c>
      <c r="D47" s="0" t="s">
        <v>2385</v>
      </c>
      <c r="E47" s="0" t="n">
        <v>43335</v>
      </c>
      <c r="F47" s="0" t="s">
        <v>2380</v>
      </c>
      <c r="G47" s="0" t="n">
        <v>21358568</v>
      </c>
      <c r="H47" s="0" t="n">
        <v>720191</v>
      </c>
      <c r="I47" s="0" t="s">
        <v>34</v>
      </c>
      <c r="J47" s="0" t="s">
        <v>174</v>
      </c>
      <c r="K47" s="0" t="s">
        <v>2433</v>
      </c>
      <c r="L47" s="0" t="n">
        <v>224160780</v>
      </c>
      <c r="M47" s="0" t="s">
        <v>1975</v>
      </c>
      <c r="N47" s="0" t="n">
        <v>103186904</v>
      </c>
      <c r="O47" s="0" t="n">
        <v>549</v>
      </c>
      <c r="P47" s="0" t="n">
        <v>6.6</v>
      </c>
      <c r="Q47" s="0" t="n">
        <v>103186904</v>
      </c>
    </row>
    <row r="48" customFormat="false" ht="15" hidden="false" customHeight="false" outlineLevel="0" collapsed="false">
      <c r="A48" s="0" t="s">
        <v>2509</v>
      </c>
      <c r="B48" s="0" t="s">
        <v>2510</v>
      </c>
      <c r="C48" s="0" t="s">
        <v>2511</v>
      </c>
      <c r="D48" s="0" t="s">
        <v>2385</v>
      </c>
      <c r="E48" s="0" t="n">
        <v>43335</v>
      </c>
      <c r="F48" s="0" t="s">
        <v>2380</v>
      </c>
      <c r="G48" s="0" t="n">
        <v>21358568</v>
      </c>
      <c r="H48" s="0" t="n">
        <v>720191</v>
      </c>
      <c r="I48" s="0" t="s">
        <v>34</v>
      </c>
      <c r="J48" s="0" t="s">
        <v>174</v>
      </c>
      <c r="K48" s="0" t="s">
        <v>2068</v>
      </c>
      <c r="L48" s="0" t="n">
        <v>224160714</v>
      </c>
      <c r="M48" s="0" t="s">
        <v>2069</v>
      </c>
      <c r="N48" s="0" t="n">
        <v>103186916</v>
      </c>
      <c r="O48" s="0" t="n">
        <v>1892</v>
      </c>
      <c r="P48" s="0" t="n">
        <v>40.77</v>
      </c>
      <c r="Q48" s="0" t="n">
        <v>103186916</v>
      </c>
    </row>
    <row r="49" customFormat="false" ht="15" hidden="false" customHeight="false" outlineLevel="0" collapsed="false">
      <c r="A49" s="0" t="s">
        <v>2512</v>
      </c>
      <c r="B49" s="0" t="s">
        <v>2513</v>
      </c>
      <c r="C49" s="0" t="s">
        <v>2514</v>
      </c>
      <c r="D49" s="0" t="s">
        <v>2385</v>
      </c>
      <c r="E49" s="0" t="n">
        <v>43335</v>
      </c>
      <c r="F49" s="0" t="s">
        <v>2380</v>
      </c>
      <c r="G49" s="0" t="n">
        <v>21358568</v>
      </c>
      <c r="H49" s="0" t="n">
        <v>720191</v>
      </c>
      <c r="I49" s="0" t="s">
        <v>34</v>
      </c>
      <c r="J49" s="0" t="s">
        <v>174</v>
      </c>
      <c r="K49" s="0" t="s">
        <v>2420</v>
      </c>
      <c r="L49" s="0" t="n">
        <v>224160771</v>
      </c>
      <c r="M49" s="0" t="s">
        <v>1981</v>
      </c>
      <c r="N49" s="0" t="n">
        <v>103048488</v>
      </c>
      <c r="O49" s="0" t="n">
        <v>1154</v>
      </c>
      <c r="P49" s="0" t="n">
        <v>17.48</v>
      </c>
      <c r="Q49" s="0" t="n">
        <v>103048488</v>
      </c>
    </row>
    <row r="50" customFormat="false" ht="15" hidden="false" customHeight="false" outlineLevel="0" collapsed="false">
      <c r="A50" s="0" t="e">
        <f aca="false">#N/A</f>
        <v>#N/A</v>
      </c>
      <c r="B50" s="0" t="s">
        <v>2515</v>
      </c>
      <c r="C50" s="0" t="s">
        <v>2516</v>
      </c>
      <c r="D50" s="0" t="s">
        <v>2385</v>
      </c>
      <c r="E50" s="0" t="n">
        <v>43335</v>
      </c>
      <c r="F50" s="0" t="s">
        <v>2380</v>
      </c>
      <c r="G50" s="0" t="n">
        <v>21358568</v>
      </c>
      <c r="H50" s="0" t="n">
        <v>720191</v>
      </c>
      <c r="I50" s="0" t="s">
        <v>34</v>
      </c>
      <c r="J50" s="0" t="s">
        <v>174</v>
      </c>
      <c r="K50" s="0" t="s">
        <v>2429</v>
      </c>
      <c r="L50" s="0" t="n">
        <v>224160738</v>
      </c>
      <c r="M50" s="0" t="s">
        <v>1975</v>
      </c>
      <c r="N50" s="0" t="n">
        <v>103186904</v>
      </c>
      <c r="O50" s="0" t="n">
        <v>899</v>
      </c>
      <c r="P50" s="0" t="n">
        <v>7.75</v>
      </c>
      <c r="Q50" s="0" t="e">
        <f aca="false">#N/A</f>
        <v>#N/A</v>
      </c>
    </row>
    <row r="51" customFormat="false" ht="15" hidden="false" customHeight="false" outlineLevel="0" collapsed="false">
      <c r="A51" s="0" t="s">
        <v>2517</v>
      </c>
      <c r="B51" s="0" t="s">
        <v>2518</v>
      </c>
      <c r="C51" s="0" t="s">
        <v>2519</v>
      </c>
      <c r="D51" s="0" t="s">
        <v>2385</v>
      </c>
      <c r="E51" s="0" t="n">
        <v>43334</v>
      </c>
      <c r="F51" s="0" t="s">
        <v>2380</v>
      </c>
      <c r="G51" s="0" t="n">
        <v>21358568</v>
      </c>
      <c r="H51" s="0" t="n">
        <v>720191</v>
      </c>
      <c r="I51" s="0" t="s">
        <v>34</v>
      </c>
      <c r="J51" s="0" t="s">
        <v>174</v>
      </c>
      <c r="K51" s="0" t="s">
        <v>2393</v>
      </c>
      <c r="L51" s="0" t="n">
        <v>224639151</v>
      </c>
      <c r="M51" s="0" t="s">
        <v>1970</v>
      </c>
      <c r="N51" s="0" t="n">
        <v>103316832</v>
      </c>
      <c r="O51" s="0" t="n">
        <v>10765</v>
      </c>
      <c r="P51" s="0" t="n">
        <v>136.56</v>
      </c>
      <c r="Q51" s="0" t="n">
        <v>103316832</v>
      </c>
    </row>
    <row r="52" customFormat="false" ht="15" hidden="false" customHeight="false" outlineLevel="0" collapsed="false">
      <c r="A52" s="0" t="s">
        <v>2517</v>
      </c>
      <c r="B52" s="0" t="s">
        <v>2518</v>
      </c>
      <c r="C52" s="0" t="s">
        <v>2520</v>
      </c>
      <c r="D52" s="0" t="s">
        <v>2385</v>
      </c>
      <c r="E52" s="0" t="n">
        <v>43334</v>
      </c>
      <c r="F52" s="0" t="s">
        <v>2380</v>
      </c>
      <c r="G52" s="0" t="n">
        <v>21358568</v>
      </c>
      <c r="H52" s="0" t="n">
        <v>720191</v>
      </c>
      <c r="I52" s="0" t="s">
        <v>34</v>
      </c>
      <c r="J52" s="0" t="s">
        <v>174</v>
      </c>
      <c r="K52" s="0" t="s">
        <v>2395</v>
      </c>
      <c r="L52" s="0" t="n">
        <v>224639151</v>
      </c>
      <c r="M52" s="0" t="s">
        <v>1970</v>
      </c>
      <c r="N52" s="0" t="n">
        <v>103316832</v>
      </c>
      <c r="O52" s="0" t="n">
        <v>14240</v>
      </c>
      <c r="P52" s="0" t="n">
        <v>174.21</v>
      </c>
      <c r="Q52" s="0" t="n">
        <v>103316832</v>
      </c>
    </row>
    <row r="53" customFormat="false" ht="15" hidden="false" customHeight="false" outlineLevel="0" collapsed="false">
      <c r="A53" s="0" t="s">
        <v>2517</v>
      </c>
      <c r="B53" s="0" t="s">
        <v>2518</v>
      </c>
      <c r="C53" s="0" t="s">
        <v>2521</v>
      </c>
      <c r="D53" s="0" t="s">
        <v>2385</v>
      </c>
      <c r="E53" s="0" t="n">
        <v>43334</v>
      </c>
      <c r="F53" s="0" t="s">
        <v>2380</v>
      </c>
      <c r="G53" s="0" t="n">
        <v>21358568</v>
      </c>
      <c r="H53" s="0" t="n">
        <v>720191</v>
      </c>
      <c r="I53" s="0" t="s">
        <v>34</v>
      </c>
      <c r="J53" s="0" t="s">
        <v>174</v>
      </c>
      <c r="K53" s="0" t="s">
        <v>2397</v>
      </c>
      <c r="L53" s="0" t="n">
        <v>224639151</v>
      </c>
      <c r="M53" s="0" t="s">
        <v>1970</v>
      </c>
      <c r="N53" s="0" t="n">
        <v>103316832</v>
      </c>
      <c r="O53" s="0" t="n">
        <v>570</v>
      </c>
      <c r="P53" s="0" t="n">
        <v>6.64</v>
      </c>
      <c r="Q53" s="0" t="n">
        <v>103316832</v>
      </c>
    </row>
    <row r="54" customFormat="false" ht="15" hidden="false" customHeight="false" outlineLevel="0" collapsed="false">
      <c r="A54" s="0" t="s">
        <v>2522</v>
      </c>
      <c r="B54" s="0" t="s">
        <v>2523</v>
      </c>
      <c r="C54" s="0" t="s">
        <v>2524</v>
      </c>
      <c r="D54" s="0" t="s">
        <v>2385</v>
      </c>
      <c r="E54" s="0" t="n">
        <v>43334</v>
      </c>
      <c r="F54" s="0" t="s">
        <v>2380</v>
      </c>
      <c r="G54" s="0" t="n">
        <v>21358568</v>
      </c>
      <c r="H54" s="0" t="n">
        <v>720191</v>
      </c>
      <c r="I54" s="0" t="s">
        <v>34</v>
      </c>
      <c r="J54" s="0" t="s">
        <v>174</v>
      </c>
      <c r="K54" s="0" t="s">
        <v>2381</v>
      </c>
      <c r="L54" s="0" t="n">
        <v>224160735</v>
      </c>
      <c r="M54" s="0" t="s">
        <v>1977</v>
      </c>
      <c r="N54" s="0" t="n">
        <v>103048479</v>
      </c>
      <c r="O54" s="0" t="n">
        <v>980</v>
      </c>
      <c r="P54" s="0" t="n">
        <v>13.63</v>
      </c>
      <c r="Q54" s="0" t="n">
        <v>103048479</v>
      </c>
    </row>
    <row r="55" customFormat="false" ht="15" hidden="false" customHeight="false" outlineLevel="0" collapsed="false">
      <c r="A55" s="0" t="e">
        <f aca="false">#N/A</f>
        <v>#N/A</v>
      </c>
      <c r="B55" s="0" t="s">
        <v>2525</v>
      </c>
      <c r="C55" s="0" t="s">
        <v>2526</v>
      </c>
      <c r="D55" s="0" t="s">
        <v>2385</v>
      </c>
      <c r="E55" s="0" t="n">
        <v>43334</v>
      </c>
      <c r="F55" s="0" t="s">
        <v>2380</v>
      </c>
      <c r="G55" s="0" t="n">
        <v>21358568</v>
      </c>
      <c r="H55" s="0" t="n">
        <v>720191</v>
      </c>
      <c r="I55" s="0" t="s">
        <v>34</v>
      </c>
      <c r="J55" s="0" t="s">
        <v>174</v>
      </c>
      <c r="K55" s="0" t="s">
        <v>2429</v>
      </c>
      <c r="L55" s="0" t="n">
        <v>224160738</v>
      </c>
      <c r="M55" s="0" t="s">
        <v>1975</v>
      </c>
      <c r="N55" s="0" t="n">
        <v>103186904</v>
      </c>
      <c r="O55" s="0" t="n">
        <v>756</v>
      </c>
      <c r="P55" s="0" t="n">
        <v>6.63</v>
      </c>
      <c r="Q55" s="0" t="e">
        <f aca="false">#N/A</f>
        <v>#N/A</v>
      </c>
    </row>
    <row r="56" customFormat="false" ht="15" hidden="false" customHeight="false" outlineLevel="0" collapsed="false">
      <c r="A56" s="0" t="e">
        <f aca="false">#N/A</f>
        <v>#N/A</v>
      </c>
      <c r="B56" s="0" t="s">
        <v>2527</v>
      </c>
      <c r="C56" s="0" t="s">
        <v>2528</v>
      </c>
      <c r="D56" s="0" t="s">
        <v>2385</v>
      </c>
      <c r="E56" s="0" t="n">
        <v>43334</v>
      </c>
      <c r="F56" s="0" t="s">
        <v>2380</v>
      </c>
      <c r="G56" s="0" t="n">
        <v>21358568</v>
      </c>
      <c r="H56" s="0" t="n">
        <v>720191</v>
      </c>
      <c r="I56" s="0" t="s">
        <v>34</v>
      </c>
      <c r="J56" s="0" t="s">
        <v>174</v>
      </c>
      <c r="K56" s="0" t="s">
        <v>2064</v>
      </c>
      <c r="L56" s="0" t="n">
        <v>224160720</v>
      </c>
      <c r="M56" s="0" t="s">
        <v>2065</v>
      </c>
      <c r="N56" s="0" t="n">
        <v>103186907</v>
      </c>
      <c r="O56" s="0" t="n">
        <v>201</v>
      </c>
      <c r="P56" s="0" t="n">
        <v>2.42</v>
      </c>
      <c r="Q56" s="0" t="e">
        <f aca="false">#N/A</f>
        <v>#N/A</v>
      </c>
    </row>
    <row r="57" customFormat="false" ht="15" hidden="false" customHeight="false" outlineLevel="0" collapsed="false">
      <c r="A57" s="0" t="s">
        <v>2529</v>
      </c>
      <c r="B57" s="0" t="s">
        <v>2530</v>
      </c>
      <c r="C57" s="0" t="s">
        <v>2531</v>
      </c>
      <c r="D57" s="0" t="s">
        <v>2385</v>
      </c>
      <c r="E57" s="0" t="n">
        <v>43334</v>
      </c>
      <c r="F57" s="0" t="s">
        <v>2380</v>
      </c>
      <c r="G57" s="0" t="n">
        <v>21358568</v>
      </c>
      <c r="H57" s="0" t="n">
        <v>720191</v>
      </c>
      <c r="I57" s="0" t="s">
        <v>34</v>
      </c>
      <c r="J57" s="0" t="s">
        <v>174</v>
      </c>
      <c r="K57" s="0" t="s">
        <v>2401</v>
      </c>
      <c r="L57" s="0" t="n">
        <v>224160783</v>
      </c>
      <c r="M57" s="0" t="s">
        <v>1973</v>
      </c>
      <c r="N57" s="0" t="n">
        <v>103051614</v>
      </c>
      <c r="O57" s="0" t="n">
        <v>1655</v>
      </c>
      <c r="P57" s="0" t="n">
        <v>26.58</v>
      </c>
      <c r="Q57" s="0" t="n">
        <v>103051614</v>
      </c>
    </row>
    <row r="58" customFormat="false" ht="15" hidden="false" customHeight="false" outlineLevel="0" collapsed="false">
      <c r="A58" s="0" t="s">
        <v>2532</v>
      </c>
      <c r="B58" s="0" t="s">
        <v>2533</v>
      </c>
      <c r="C58" s="0" t="s">
        <v>2534</v>
      </c>
      <c r="D58" s="0" t="s">
        <v>2385</v>
      </c>
      <c r="E58" s="0" t="n">
        <v>43334</v>
      </c>
      <c r="F58" s="0" t="s">
        <v>2380</v>
      </c>
      <c r="G58" s="0" t="n">
        <v>21358568</v>
      </c>
      <c r="H58" s="0" t="n">
        <v>720191</v>
      </c>
      <c r="I58" s="0" t="s">
        <v>34</v>
      </c>
      <c r="J58" s="0" t="s">
        <v>174</v>
      </c>
      <c r="K58" s="0" t="s">
        <v>2412</v>
      </c>
      <c r="L58" s="0" t="n">
        <v>224160777</v>
      </c>
      <c r="M58" s="0" t="s">
        <v>1977</v>
      </c>
      <c r="N58" s="0" t="n">
        <v>103048479</v>
      </c>
      <c r="O58" s="0" t="n">
        <v>1019</v>
      </c>
      <c r="P58" s="0" t="n">
        <v>16.05</v>
      </c>
      <c r="Q58" s="0" t="n">
        <v>103048479</v>
      </c>
    </row>
    <row r="59" customFormat="false" ht="15" hidden="false" customHeight="false" outlineLevel="0" collapsed="false">
      <c r="A59" s="0" t="s">
        <v>2535</v>
      </c>
      <c r="B59" s="0" t="s">
        <v>2536</v>
      </c>
      <c r="C59" s="0" t="s">
        <v>2537</v>
      </c>
      <c r="D59" s="0" t="s">
        <v>2385</v>
      </c>
      <c r="E59" s="0" t="n">
        <v>43334</v>
      </c>
      <c r="F59" s="0" t="s">
        <v>2380</v>
      </c>
      <c r="G59" s="0" t="n">
        <v>21358568</v>
      </c>
      <c r="H59" s="0" t="n">
        <v>720191</v>
      </c>
      <c r="I59" s="0" t="s">
        <v>34</v>
      </c>
      <c r="J59" s="0" t="s">
        <v>174</v>
      </c>
      <c r="K59" s="0" t="s">
        <v>2433</v>
      </c>
      <c r="L59" s="0" t="n">
        <v>224160780</v>
      </c>
      <c r="M59" s="0" t="s">
        <v>1975</v>
      </c>
      <c r="N59" s="0" t="n">
        <v>103186904</v>
      </c>
      <c r="O59" s="0" t="n">
        <v>1286</v>
      </c>
      <c r="P59" s="0" t="n">
        <v>16.43</v>
      </c>
      <c r="Q59" s="0" t="n">
        <v>103186904</v>
      </c>
    </row>
    <row r="60" customFormat="false" ht="15" hidden="false" customHeight="false" outlineLevel="0" collapsed="false">
      <c r="A60" s="0" t="s">
        <v>2538</v>
      </c>
      <c r="B60" s="0" t="s">
        <v>2539</v>
      </c>
      <c r="C60" s="0" t="s">
        <v>2540</v>
      </c>
      <c r="D60" s="0" t="s">
        <v>2385</v>
      </c>
      <c r="E60" s="0" t="n">
        <v>43334</v>
      </c>
      <c r="F60" s="0" t="s">
        <v>2380</v>
      </c>
      <c r="G60" s="0" t="n">
        <v>21358568</v>
      </c>
      <c r="H60" s="0" t="n">
        <v>720191</v>
      </c>
      <c r="I60" s="0" t="s">
        <v>34</v>
      </c>
      <c r="J60" s="0" t="s">
        <v>174</v>
      </c>
      <c r="K60" s="0" t="s">
        <v>2416</v>
      </c>
      <c r="L60" s="0" t="n">
        <v>224160732</v>
      </c>
      <c r="M60" s="0" t="s">
        <v>1979</v>
      </c>
      <c r="N60" s="0" t="n">
        <v>103186910</v>
      </c>
      <c r="O60" s="0" t="n">
        <v>12213</v>
      </c>
      <c r="P60" s="0" t="n">
        <v>184.37</v>
      </c>
      <c r="Q60" s="0" t="n">
        <v>103186910</v>
      </c>
    </row>
    <row r="61" customFormat="false" ht="15" hidden="false" customHeight="false" outlineLevel="0" collapsed="false">
      <c r="A61" s="0" t="e">
        <f aca="false">#N/A</f>
        <v>#N/A</v>
      </c>
      <c r="B61" s="0" t="s">
        <v>2541</v>
      </c>
      <c r="C61" s="0" t="s">
        <v>2542</v>
      </c>
      <c r="D61" s="0" t="s">
        <v>2385</v>
      </c>
      <c r="E61" s="0" t="n">
        <v>43334</v>
      </c>
      <c r="F61" s="0" t="s">
        <v>2380</v>
      </c>
      <c r="G61" s="0" t="n">
        <v>21358568</v>
      </c>
      <c r="H61" s="0" t="n">
        <v>720191</v>
      </c>
      <c r="I61" s="0" t="s">
        <v>34</v>
      </c>
      <c r="J61" s="0" t="s">
        <v>174</v>
      </c>
      <c r="K61" s="0" t="s">
        <v>2066</v>
      </c>
      <c r="L61" s="0" t="n">
        <v>224160717</v>
      </c>
      <c r="M61" s="0" t="s">
        <v>2067</v>
      </c>
      <c r="N61" s="0" t="n">
        <v>103048485</v>
      </c>
      <c r="O61" s="0" t="n">
        <v>197</v>
      </c>
      <c r="P61" s="0" t="n">
        <v>2.62</v>
      </c>
      <c r="Q61" s="0" t="e">
        <f aca="false">#N/A</f>
        <v>#N/A</v>
      </c>
    </row>
    <row r="62" customFormat="false" ht="15" hidden="false" customHeight="false" outlineLevel="0" collapsed="false">
      <c r="A62" s="0" t="s">
        <v>2543</v>
      </c>
      <c r="B62" s="0" t="s">
        <v>2544</v>
      </c>
      <c r="C62" s="0" t="s">
        <v>2545</v>
      </c>
      <c r="D62" s="0" t="s">
        <v>2385</v>
      </c>
      <c r="E62" s="0" t="n">
        <v>43334</v>
      </c>
      <c r="F62" s="0" t="s">
        <v>2380</v>
      </c>
      <c r="G62" s="0" t="n">
        <v>21358568</v>
      </c>
      <c r="H62" s="0" t="n">
        <v>720191</v>
      </c>
      <c r="I62" s="0" t="s">
        <v>34</v>
      </c>
      <c r="J62" s="0" t="s">
        <v>174</v>
      </c>
      <c r="K62" s="0" t="s">
        <v>2068</v>
      </c>
      <c r="L62" s="0" t="n">
        <v>224160714</v>
      </c>
      <c r="M62" s="0" t="s">
        <v>2069</v>
      </c>
      <c r="N62" s="0" t="n">
        <v>103186916</v>
      </c>
      <c r="O62" s="0" t="n">
        <v>2072</v>
      </c>
      <c r="P62" s="0" t="n">
        <v>40.57</v>
      </c>
      <c r="Q62" s="0" t="n">
        <v>103186916</v>
      </c>
    </row>
    <row r="63" customFormat="false" ht="15" hidden="false" customHeight="false" outlineLevel="0" collapsed="false">
      <c r="A63" s="0" t="s">
        <v>2546</v>
      </c>
      <c r="B63" s="0" t="s">
        <v>2547</v>
      </c>
      <c r="C63" s="0" t="s">
        <v>2548</v>
      </c>
      <c r="D63" s="0" t="s">
        <v>2385</v>
      </c>
      <c r="E63" s="0" t="n">
        <v>43334</v>
      </c>
      <c r="F63" s="0" t="s">
        <v>2380</v>
      </c>
      <c r="G63" s="0" t="n">
        <v>21358568</v>
      </c>
      <c r="H63" s="0" t="n">
        <v>720191</v>
      </c>
      <c r="I63" s="0" t="s">
        <v>34</v>
      </c>
      <c r="J63" s="0" t="s">
        <v>174</v>
      </c>
      <c r="K63" s="0" t="s">
        <v>2389</v>
      </c>
      <c r="L63" s="0" t="n">
        <v>224160729</v>
      </c>
      <c r="M63" s="0" t="s">
        <v>1981</v>
      </c>
      <c r="N63" s="0" t="n">
        <v>103048488</v>
      </c>
      <c r="O63" s="0" t="n">
        <v>2661</v>
      </c>
      <c r="P63" s="0" t="n">
        <v>45.08</v>
      </c>
      <c r="Q63" s="0" t="n">
        <v>103048488</v>
      </c>
    </row>
    <row r="64" customFormat="false" ht="15" hidden="false" customHeight="false" outlineLevel="0" collapsed="false">
      <c r="A64" s="0" t="s">
        <v>2549</v>
      </c>
      <c r="B64" s="0" t="s">
        <v>2550</v>
      </c>
      <c r="C64" s="0" t="s">
        <v>2551</v>
      </c>
      <c r="D64" s="0" t="s">
        <v>2385</v>
      </c>
      <c r="E64" s="0" t="n">
        <v>43334</v>
      </c>
      <c r="F64" s="0" t="s">
        <v>2380</v>
      </c>
      <c r="G64" s="0" t="n">
        <v>21358568</v>
      </c>
      <c r="H64" s="0" t="n">
        <v>720191</v>
      </c>
      <c r="I64" s="0" t="s">
        <v>34</v>
      </c>
      <c r="J64" s="0" t="s">
        <v>174</v>
      </c>
      <c r="K64" s="0" t="s">
        <v>2405</v>
      </c>
      <c r="L64" s="0" t="n">
        <v>224160774</v>
      </c>
      <c r="M64" s="0" t="s">
        <v>1979</v>
      </c>
      <c r="N64" s="0" t="n">
        <v>103186910</v>
      </c>
      <c r="O64" s="0" t="n">
        <v>1894</v>
      </c>
      <c r="P64" s="0" t="n">
        <v>30.3</v>
      </c>
      <c r="Q64" s="0" t="n">
        <v>103186910</v>
      </c>
    </row>
    <row r="65" customFormat="false" ht="15" hidden="false" customHeight="false" outlineLevel="0" collapsed="false">
      <c r="A65" s="0" t="s">
        <v>2552</v>
      </c>
      <c r="B65" s="0" t="s">
        <v>2553</v>
      </c>
      <c r="C65" s="0" t="s">
        <v>2554</v>
      </c>
      <c r="D65" s="0" t="s">
        <v>2385</v>
      </c>
      <c r="E65" s="0" t="n">
        <v>43334</v>
      </c>
      <c r="F65" s="0" t="s">
        <v>2380</v>
      </c>
      <c r="G65" s="0" t="n">
        <v>21358568</v>
      </c>
      <c r="H65" s="0" t="n">
        <v>720191</v>
      </c>
      <c r="I65" s="0" t="s">
        <v>34</v>
      </c>
      <c r="J65" s="0" t="s">
        <v>174</v>
      </c>
      <c r="K65" s="0" t="s">
        <v>2420</v>
      </c>
      <c r="L65" s="0" t="n">
        <v>224160771</v>
      </c>
      <c r="M65" s="0" t="s">
        <v>1981</v>
      </c>
      <c r="N65" s="0" t="n">
        <v>103048488</v>
      </c>
      <c r="O65" s="0" t="n">
        <v>1932</v>
      </c>
      <c r="P65" s="0" t="n">
        <v>30.01</v>
      </c>
      <c r="Q65" s="0" t="n">
        <v>103048488</v>
      </c>
    </row>
    <row r="66" customFormat="false" ht="15" hidden="false" customHeight="false" outlineLevel="0" collapsed="false">
      <c r="A66" s="0" t="s">
        <v>2555</v>
      </c>
      <c r="B66" s="0" t="s">
        <v>2556</v>
      </c>
      <c r="C66" s="0" t="s">
        <v>2557</v>
      </c>
      <c r="D66" s="0" t="s">
        <v>2385</v>
      </c>
      <c r="E66" s="0" t="n">
        <v>43334</v>
      </c>
      <c r="F66" s="0" t="s">
        <v>2380</v>
      </c>
      <c r="G66" s="0" t="n">
        <v>21358568</v>
      </c>
      <c r="H66" s="0" t="n">
        <v>720191</v>
      </c>
      <c r="I66" s="0" t="s">
        <v>34</v>
      </c>
      <c r="J66" s="0" t="s">
        <v>174</v>
      </c>
      <c r="K66" s="0" t="s">
        <v>2070</v>
      </c>
      <c r="L66" s="0" t="n">
        <v>224160711</v>
      </c>
      <c r="M66" s="0" t="s">
        <v>2071</v>
      </c>
      <c r="N66" s="0" t="n">
        <v>103048491</v>
      </c>
      <c r="O66" s="0" t="n">
        <v>602</v>
      </c>
      <c r="P66" s="0" t="n">
        <v>9.69</v>
      </c>
      <c r="Q66" s="0" t="n">
        <v>103048491</v>
      </c>
    </row>
    <row r="67" customFormat="false" ht="15" hidden="false" customHeight="false" outlineLevel="0" collapsed="false">
      <c r="A67" s="0" t="e">
        <f aca="false">#N/A</f>
        <v>#N/A</v>
      </c>
      <c r="B67" s="0" t="s">
        <v>2558</v>
      </c>
      <c r="C67" s="0" t="s">
        <v>2559</v>
      </c>
      <c r="D67" s="0" t="s">
        <v>2385</v>
      </c>
      <c r="E67" s="0" t="n">
        <v>43333</v>
      </c>
      <c r="F67" s="0" t="s">
        <v>2380</v>
      </c>
      <c r="G67" s="0" t="n">
        <v>21358568</v>
      </c>
      <c r="H67" s="0" t="n">
        <v>720191</v>
      </c>
      <c r="I67" s="0" t="s">
        <v>34</v>
      </c>
      <c r="J67" s="0" t="s">
        <v>174</v>
      </c>
      <c r="K67" s="0" t="s">
        <v>2429</v>
      </c>
      <c r="L67" s="0" t="n">
        <v>224160738</v>
      </c>
      <c r="M67" s="0" t="s">
        <v>1975</v>
      </c>
      <c r="N67" s="0" t="n">
        <v>103186904</v>
      </c>
      <c r="O67" s="0" t="n">
        <v>1244</v>
      </c>
      <c r="P67" s="0" t="n">
        <v>14.33</v>
      </c>
      <c r="Q67" s="0" t="e">
        <f aca="false">#N/A</f>
        <v>#N/A</v>
      </c>
    </row>
    <row r="68" customFormat="false" ht="15" hidden="false" customHeight="false" outlineLevel="0" collapsed="false">
      <c r="A68" s="0" t="s">
        <v>2560</v>
      </c>
      <c r="B68" s="0" t="s">
        <v>2561</v>
      </c>
      <c r="C68" s="0" t="s">
        <v>2562</v>
      </c>
      <c r="D68" s="0" t="s">
        <v>2385</v>
      </c>
      <c r="E68" s="0" t="n">
        <v>43333</v>
      </c>
      <c r="F68" s="0" t="s">
        <v>2380</v>
      </c>
      <c r="G68" s="0" t="n">
        <v>21358568</v>
      </c>
      <c r="H68" s="0" t="n">
        <v>720191</v>
      </c>
      <c r="I68" s="0" t="s">
        <v>34</v>
      </c>
      <c r="J68" s="0" t="s">
        <v>174</v>
      </c>
      <c r="K68" s="0" t="s">
        <v>2070</v>
      </c>
      <c r="L68" s="0" t="n">
        <v>224160711</v>
      </c>
      <c r="M68" s="0" t="s">
        <v>2071</v>
      </c>
      <c r="N68" s="0" t="n">
        <v>103048491</v>
      </c>
      <c r="O68" s="0" t="n">
        <v>575</v>
      </c>
      <c r="P68" s="0" t="n">
        <v>9.83</v>
      </c>
      <c r="Q68" s="0" t="n">
        <v>103048491</v>
      </c>
    </row>
    <row r="69" customFormat="false" ht="15" hidden="false" customHeight="false" outlineLevel="0" collapsed="false">
      <c r="A69" s="0" t="s">
        <v>2563</v>
      </c>
      <c r="B69" s="0" t="s">
        <v>2564</v>
      </c>
      <c r="C69" s="0" t="s">
        <v>2565</v>
      </c>
      <c r="D69" s="0" t="s">
        <v>2385</v>
      </c>
      <c r="E69" s="0" t="n">
        <v>43333</v>
      </c>
      <c r="F69" s="0" t="s">
        <v>2380</v>
      </c>
      <c r="G69" s="0" t="n">
        <v>21358568</v>
      </c>
      <c r="H69" s="0" t="n">
        <v>720191</v>
      </c>
      <c r="I69" s="0" t="s">
        <v>34</v>
      </c>
      <c r="J69" s="0" t="s">
        <v>174</v>
      </c>
      <c r="K69" s="0" t="s">
        <v>2412</v>
      </c>
      <c r="L69" s="0" t="n">
        <v>224160777</v>
      </c>
      <c r="M69" s="0" t="s">
        <v>1977</v>
      </c>
      <c r="N69" s="0" t="n">
        <v>103048479</v>
      </c>
      <c r="O69" s="0" t="n">
        <v>964</v>
      </c>
      <c r="P69" s="0" t="n">
        <v>11.99</v>
      </c>
      <c r="Q69" s="0" t="n">
        <v>103048479</v>
      </c>
    </row>
    <row r="70" customFormat="false" ht="15" hidden="false" customHeight="false" outlineLevel="0" collapsed="false">
      <c r="A70" s="0" t="s">
        <v>2566</v>
      </c>
      <c r="B70" s="0" t="s">
        <v>2567</v>
      </c>
      <c r="C70" s="0" t="s">
        <v>2568</v>
      </c>
      <c r="D70" s="0" t="s">
        <v>2385</v>
      </c>
      <c r="E70" s="0" t="n">
        <v>43333</v>
      </c>
      <c r="F70" s="0" t="s">
        <v>2380</v>
      </c>
      <c r="G70" s="0" t="n">
        <v>21358568</v>
      </c>
      <c r="H70" s="0" t="n">
        <v>720191</v>
      </c>
      <c r="I70" s="0" t="s">
        <v>34</v>
      </c>
      <c r="J70" s="0" t="s">
        <v>174</v>
      </c>
      <c r="K70" s="0" t="s">
        <v>2064</v>
      </c>
      <c r="L70" s="0" t="n">
        <v>224160720</v>
      </c>
      <c r="M70" s="0" t="s">
        <v>2065</v>
      </c>
      <c r="N70" s="0" t="n">
        <v>103186907</v>
      </c>
      <c r="O70" s="0" t="n">
        <v>1077</v>
      </c>
      <c r="P70" s="0" t="n">
        <v>11.03</v>
      </c>
      <c r="Q70" s="0" t="n">
        <v>103186907</v>
      </c>
    </row>
    <row r="71" customFormat="false" ht="15" hidden="false" customHeight="false" outlineLevel="0" collapsed="false">
      <c r="A71" s="0" t="s">
        <v>2569</v>
      </c>
      <c r="B71" s="0" t="s">
        <v>2570</v>
      </c>
      <c r="C71" s="0" t="s">
        <v>2571</v>
      </c>
      <c r="D71" s="0" t="s">
        <v>2385</v>
      </c>
      <c r="E71" s="0" t="n">
        <v>43333</v>
      </c>
      <c r="F71" s="0" t="s">
        <v>2380</v>
      </c>
      <c r="G71" s="0" t="n">
        <v>21358568</v>
      </c>
      <c r="H71" s="0" t="n">
        <v>720191</v>
      </c>
      <c r="I71" s="0" t="s">
        <v>34</v>
      </c>
      <c r="J71" s="0" t="s">
        <v>174</v>
      </c>
      <c r="K71" s="0" t="s">
        <v>2420</v>
      </c>
      <c r="L71" s="0" t="n">
        <v>224160771</v>
      </c>
      <c r="M71" s="0" t="s">
        <v>1981</v>
      </c>
      <c r="N71" s="0" t="n">
        <v>103048488</v>
      </c>
      <c r="O71" s="0" t="n">
        <v>2168</v>
      </c>
      <c r="P71" s="0" t="n">
        <v>26.96</v>
      </c>
      <c r="Q71" s="0" t="n">
        <v>103048488</v>
      </c>
    </row>
    <row r="72" customFormat="false" ht="15" hidden="false" customHeight="false" outlineLevel="0" collapsed="false">
      <c r="A72" s="0" t="s">
        <v>2572</v>
      </c>
      <c r="B72" s="0" t="s">
        <v>2573</v>
      </c>
      <c r="C72" s="0" t="s">
        <v>2574</v>
      </c>
      <c r="D72" s="0" t="s">
        <v>2385</v>
      </c>
      <c r="E72" s="0" t="n">
        <v>43333</v>
      </c>
      <c r="F72" s="0" t="s">
        <v>2380</v>
      </c>
      <c r="G72" s="0" t="n">
        <v>21358568</v>
      </c>
      <c r="H72" s="0" t="n">
        <v>720191</v>
      </c>
      <c r="I72" s="0" t="s">
        <v>34</v>
      </c>
      <c r="J72" s="0" t="s">
        <v>174</v>
      </c>
      <c r="K72" s="0" t="s">
        <v>2405</v>
      </c>
      <c r="L72" s="0" t="n">
        <v>224160774</v>
      </c>
      <c r="M72" s="0" t="s">
        <v>1979</v>
      </c>
      <c r="N72" s="0" t="n">
        <v>103186910</v>
      </c>
      <c r="O72" s="0" t="n">
        <v>3610</v>
      </c>
      <c r="P72" s="0" t="n">
        <v>44.37</v>
      </c>
      <c r="Q72" s="0" t="n">
        <v>103186910</v>
      </c>
    </row>
    <row r="73" customFormat="false" ht="15" hidden="false" customHeight="false" outlineLevel="0" collapsed="false">
      <c r="A73" s="0" t="s">
        <v>2575</v>
      </c>
      <c r="B73" s="0" t="s">
        <v>2576</v>
      </c>
      <c r="C73" s="0" t="s">
        <v>2577</v>
      </c>
      <c r="D73" s="0" t="s">
        <v>2385</v>
      </c>
      <c r="E73" s="0" t="n">
        <v>43333</v>
      </c>
      <c r="F73" s="0" t="s">
        <v>2380</v>
      </c>
      <c r="G73" s="0" t="n">
        <v>21358568</v>
      </c>
      <c r="H73" s="0" t="n">
        <v>720191</v>
      </c>
      <c r="I73" s="0" t="s">
        <v>34</v>
      </c>
      <c r="J73" s="0" t="s">
        <v>174</v>
      </c>
      <c r="K73" s="0" t="s">
        <v>2389</v>
      </c>
      <c r="L73" s="0" t="n">
        <v>224160729</v>
      </c>
      <c r="M73" s="0" t="s">
        <v>1981</v>
      </c>
      <c r="N73" s="0" t="n">
        <v>103048488</v>
      </c>
      <c r="O73" s="0" t="n">
        <v>3314</v>
      </c>
      <c r="P73" s="0" t="n">
        <v>41.1</v>
      </c>
      <c r="Q73" s="0" t="n">
        <v>103048488</v>
      </c>
    </row>
    <row r="74" customFormat="false" ht="15" hidden="false" customHeight="false" outlineLevel="0" collapsed="false">
      <c r="A74" s="0" t="e">
        <f aca="false">#N/A</f>
        <v>#N/A</v>
      </c>
      <c r="B74" s="0" t="s">
        <v>2578</v>
      </c>
      <c r="C74" s="0" t="s">
        <v>2579</v>
      </c>
      <c r="D74" s="0" t="s">
        <v>2385</v>
      </c>
      <c r="E74" s="0" t="n">
        <v>43333</v>
      </c>
      <c r="F74" s="0" t="s">
        <v>2380</v>
      </c>
      <c r="G74" s="0" t="n">
        <v>21358568</v>
      </c>
      <c r="H74" s="0" t="n">
        <v>720191</v>
      </c>
      <c r="I74" s="0" t="s">
        <v>34</v>
      </c>
      <c r="J74" s="0" t="s">
        <v>174</v>
      </c>
      <c r="K74" s="0" t="s">
        <v>2433</v>
      </c>
      <c r="L74" s="0" t="n">
        <v>224160780</v>
      </c>
      <c r="M74" s="0" t="s">
        <v>1975</v>
      </c>
      <c r="N74" s="0" t="n">
        <v>103186904</v>
      </c>
      <c r="O74" s="0" t="n">
        <v>1032</v>
      </c>
      <c r="P74" s="0" t="n">
        <v>10.51</v>
      </c>
      <c r="Q74" s="0" t="e">
        <f aca="false">#N/A</f>
        <v>#N/A</v>
      </c>
    </row>
    <row r="75" customFormat="false" ht="15" hidden="false" customHeight="false" outlineLevel="0" collapsed="false">
      <c r="A75" s="0" t="s">
        <v>2580</v>
      </c>
      <c r="B75" s="0" t="s">
        <v>2581</v>
      </c>
      <c r="C75" s="0" t="s">
        <v>2582</v>
      </c>
      <c r="D75" s="0" t="s">
        <v>2385</v>
      </c>
      <c r="E75" s="0" t="n">
        <v>43333</v>
      </c>
      <c r="F75" s="0" t="s">
        <v>2380</v>
      </c>
      <c r="G75" s="0" t="n">
        <v>21358568</v>
      </c>
      <c r="H75" s="0" t="n">
        <v>720191</v>
      </c>
      <c r="I75" s="0" t="s">
        <v>34</v>
      </c>
      <c r="J75" s="0" t="s">
        <v>174</v>
      </c>
      <c r="K75" s="0" t="s">
        <v>2381</v>
      </c>
      <c r="L75" s="0" t="n">
        <v>224160735</v>
      </c>
      <c r="M75" s="0" t="s">
        <v>1977</v>
      </c>
      <c r="N75" s="0" t="n">
        <v>103048479</v>
      </c>
      <c r="O75" s="0" t="n">
        <v>1359</v>
      </c>
      <c r="P75" s="0" t="n">
        <v>21.65</v>
      </c>
      <c r="Q75" s="0" t="n">
        <v>103048479</v>
      </c>
    </row>
    <row r="76" customFormat="false" ht="15" hidden="false" customHeight="false" outlineLevel="0" collapsed="false">
      <c r="A76" s="0" t="s">
        <v>2583</v>
      </c>
      <c r="B76" s="0" t="s">
        <v>2584</v>
      </c>
      <c r="C76" s="0" t="s">
        <v>2585</v>
      </c>
      <c r="D76" s="0" t="s">
        <v>2385</v>
      </c>
      <c r="E76" s="0" t="n">
        <v>43333</v>
      </c>
      <c r="F76" s="0" t="s">
        <v>2380</v>
      </c>
      <c r="G76" s="0" t="n">
        <v>21358568</v>
      </c>
      <c r="H76" s="0" t="n">
        <v>720191</v>
      </c>
      <c r="I76" s="0" t="s">
        <v>34</v>
      </c>
      <c r="J76" s="0" t="s">
        <v>174</v>
      </c>
      <c r="K76" s="0" t="s">
        <v>2393</v>
      </c>
      <c r="L76" s="0" t="n">
        <v>224639151</v>
      </c>
      <c r="M76" s="0" t="s">
        <v>1970</v>
      </c>
      <c r="N76" s="0" t="n">
        <v>103316832</v>
      </c>
      <c r="O76" s="0" t="n">
        <v>5459</v>
      </c>
      <c r="P76" s="0" t="n">
        <v>62.82</v>
      </c>
      <c r="Q76" s="0" t="n">
        <v>103316832</v>
      </c>
    </row>
    <row r="77" customFormat="false" ht="15" hidden="false" customHeight="false" outlineLevel="0" collapsed="false">
      <c r="A77" s="0" t="s">
        <v>2583</v>
      </c>
      <c r="B77" s="0" t="s">
        <v>2584</v>
      </c>
      <c r="C77" s="0" t="s">
        <v>2586</v>
      </c>
      <c r="D77" s="0" t="s">
        <v>2385</v>
      </c>
      <c r="E77" s="0" t="n">
        <v>43333</v>
      </c>
      <c r="F77" s="0" t="s">
        <v>2380</v>
      </c>
      <c r="G77" s="0" t="n">
        <v>21358568</v>
      </c>
      <c r="H77" s="0" t="n">
        <v>720191</v>
      </c>
      <c r="I77" s="0" t="s">
        <v>34</v>
      </c>
      <c r="J77" s="0" t="s">
        <v>174</v>
      </c>
      <c r="K77" s="0" t="s">
        <v>2395</v>
      </c>
      <c r="L77" s="0" t="n">
        <v>224639151</v>
      </c>
      <c r="M77" s="0" t="s">
        <v>1970</v>
      </c>
      <c r="N77" s="0" t="n">
        <v>103316832</v>
      </c>
      <c r="O77" s="0" t="n">
        <v>20260</v>
      </c>
      <c r="P77" s="0" t="n">
        <v>242.85</v>
      </c>
      <c r="Q77" s="0" t="n">
        <v>103316832</v>
      </c>
    </row>
    <row r="78" customFormat="false" ht="15" hidden="false" customHeight="false" outlineLevel="0" collapsed="false">
      <c r="A78" s="0" t="s">
        <v>2583</v>
      </c>
      <c r="B78" s="0" t="s">
        <v>2584</v>
      </c>
      <c r="C78" s="0" t="s">
        <v>2587</v>
      </c>
      <c r="D78" s="0" t="s">
        <v>2385</v>
      </c>
      <c r="E78" s="0" t="n">
        <v>43333</v>
      </c>
      <c r="F78" s="0" t="s">
        <v>2380</v>
      </c>
      <c r="G78" s="0" t="n">
        <v>21358568</v>
      </c>
      <c r="H78" s="0" t="n">
        <v>720191</v>
      </c>
      <c r="I78" s="0" t="s">
        <v>34</v>
      </c>
      <c r="J78" s="0" t="s">
        <v>174</v>
      </c>
      <c r="K78" s="0" t="s">
        <v>2397</v>
      </c>
      <c r="L78" s="0" t="n">
        <v>224639151</v>
      </c>
      <c r="M78" s="0" t="s">
        <v>1970</v>
      </c>
      <c r="N78" s="0" t="n">
        <v>103316832</v>
      </c>
      <c r="O78" s="0" t="n">
        <v>488</v>
      </c>
      <c r="P78" s="0" t="n">
        <v>4.69</v>
      </c>
      <c r="Q78" s="0" t="n">
        <v>103316832</v>
      </c>
    </row>
    <row r="79" customFormat="false" ht="15" hidden="false" customHeight="false" outlineLevel="0" collapsed="false">
      <c r="A79" s="0" t="s">
        <v>2588</v>
      </c>
      <c r="B79" s="0" t="s">
        <v>2589</v>
      </c>
      <c r="C79" s="0" t="s">
        <v>2590</v>
      </c>
      <c r="D79" s="0" t="s">
        <v>2385</v>
      </c>
      <c r="E79" s="0" t="n">
        <v>43333</v>
      </c>
      <c r="F79" s="0" t="s">
        <v>2380</v>
      </c>
      <c r="G79" s="0" t="n">
        <v>21358568</v>
      </c>
      <c r="H79" s="0" t="n">
        <v>720191</v>
      </c>
      <c r="I79" s="0" t="s">
        <v>34</v>
      </c>
      <c r="J79" s="0" t="s">
        <v>174</v>
      </c>
      <c r="K79" s="0" t="s">
        <v>2416</v>
      </c>
      <c r="L79" s="0" t="n">
        <v>224160732</v>
      </c>
      <c r="M79" s="0" t="s">
        <v>1979</v>
      </c>
      <c r="N79" s="0" t="n">
        <v>103186910</v>
      </c>
      <c r="O79" s="0" t="n">
        <v>12348</v>
      </c>
      <c r="P79" s="0" t="n">
        <v>154.69</v>
      </c>
      <c r="Q79" s="0" t="n">
        <v>103186910</v>
      </c>
    </row>
    <row r="80" customFormat="false" ht="15" hidden="false" customHeight="false" outlineLevel="0" collapsed="false">
      <c r="A80" s="0" t="s">
        <v>2591</v>
      </c>
      <c r="B80" s="0" t="s">
        <v>2592</v>
      </c>
      <c r="C80" s="0" t="s">
        <v>2593</v>
      </c>
      <c r="D80" s="0" t="s">
        <v>2385</v>
      </c>
      <c r="E80" s="0" t="n">
        <v>43333</v>
      </c>
      <c r="F80" s="0" t="s">
        <v>2380</v>
      </c>
      <c r="G80" s="0" t="n">
        <v>21358568</v>
      </c>
      <c r="H80" s="0" t="n">
        <v>720191</v>
      </c>
      <c r="I80" s="0" t="s">
        <v>34</v>
      </c>
      <c r="J80" s="0" t="s">
        <v>174</v>
      </c>
      <c r="K80" s="0" t="s">
        <v>2401</v>
      </c>
      <c r="L80" s="0" t="n">
        <v>224160783</v>
      </c>
      <c r="M80" s="0" t="s">
        <v>1973</v>
      </c>
      <c r="N80" s="0" t="n">
        <v>103051614</v>
      </c>
      <c r="O80" s="0" t="n">
        <v>1776</v>
      </c>
      <c r="P80" s="0" t="n">
        <v>22.58</v>
      </c>
      <c r="Q80" s="0" t="n">
        <v>103051614</v>
      </c>
    </row>
    <row r="81" customFormat="false" ht="15" hidden="false" customHeight="false" outlineLevel="0" collapsed="false">
      <c r="A81" s="0" t="s">
        <v>2594</v>
      </c>
      <c r="B81" s="0" t="s">
        <v>2595</v>
      </c>
      <c r="C81" s="0" t="s">
        <v>2596</v>
      </c>
      <c r="D81" s="0" t="s">
        <v>2385</v>
      </c>
      <c r="E81" s="0" t="n">
        <v>43333</v>
      </c>
      <c r="F81" s="0" t="s">
        <v>2380</v>
      </c>
      <c r="G81" s="0" t="n">
        <v>21358568</v>
      </c>
      <c r="H81" s="0" t="n">
        <v>720191</v>
      </c>
      <c r="I81" s="0" t="s">
        <v>34</v>
      </c>
      <c r="J81" s="0" t="s">
        <v>174</v>
      </c>
      <c r="K81" s="0" t="s">
        <v>2068</v>
      </c>
      <c r="L81" s="0" t="n">
        <v>224160714</v>
      </c>
      <c r="M81" s="0" t="s">
        <v>2069</v>
      </c>
      <c r="N81" s="0" t="n">
        <v>103186916</v>
      </c>
      <c r="O81" s="0" t="n">
        <v>772</v>
      </c>
      <c r="P81" s="0" t="n">
        <v>17.42</v>
      </c>
      <c r="Q81" s="0" t="n">
        <v>103186916</v>
      </c>
    </row>
    <row r="82" customFormat="false" ht="15" hidden="false" customHeight="false" outlineLevel="0" collapsed="false">
      <c r="A82" s="0" t="s">
        <v>2597</v>
      </c>
      <c r="B82" s="0" t="s">
        <v>2598</v>
      </c>
      <c r="C82" s="0" t="s">
        <v>2599</v>
      </c>
      <c r="D82" s="0" t="s">
        <v>2385</v>
      </c>
      <c r="E82" s="0" t="n">
        <v>43333</v>
      </c>
      <c r="F82" s="0" t="s">
        <v>2380</v>
      </c>
      <c r="G82" s="0" t="n">
        <v>21358568</v>
      </c>
      <c r="H82" s="0" t="n">
        <v>720191</v>
      </c>
      <c r="I82" s="0" t="s">
        <v>34</v>
      </c>
      <c r="J82" s="0" t="s">
        <v>174</v>
      </c>
      <c r="K82" s="0" t="s">
        <v>2066</v>
      </c>
      <c r="L82" s="0" t="n">
        <v>224160717</v>
      </c>
      <c r="M82" s="0" t="s">
        <v>2067</v>
      </c>
      <c r="N82" s="0" t="n">
        <v>103048485</v>
      </c>
      <c r="O82" s="0" t="n">
        <v>500</v>
      </c>
      <c r="P82" s="0" t="n">
        <v>7.81</v>
      </c>
      <c r="Q82" s="0" t="n">
        <v>103048485</v>
      </c>
    </row>
    <row r="83" customFormat="false" ht="15" hidden="false" customHeight="false" outlineLevel="0" collapsed="false">
      <c r="A83" s="0" t="s">
        <v>2600</v>
      </c>
      <c r="B83" s="0" t="s">
        <v>2601</v>
      </c>
      <c r="C83" s="0" t="s">
        <v>2602</v>
      </c>
      <c r="D83" s="0" t="s">
        <v>2385</v>
      </c>
      <c r="E83" s="0" t="n">
        <v>43332</v>
      </c>
      <c r="F83" s="0" t="s">
        <v>2380</v>
      </c>
      <c r="G83" s="0" t="n">
        <v>21358568</v>
      </c>
      <c r="H83" s="0" t="n">
        <v>720191</v>
      </c>
      <c r="I83" s="0" t="s">
        <v>34</v>
      </c>
      <c r="J83" s="0" t="s">
        <v>174</v>
      </c>
      <c r="K83" s="0" t="s">
        <v>2381</v>
      </c>
      <c r="L83" s="0" t="n">
        <v>224160735</v>
      </c>
      <c r="M83" s="0" t="s">
        <v>1977</v>
      </c>
      <c r="N83" s="0" t="n">
        <v>103048479</v>
      </c>
      <c r="O83" s="0" t="n">
        <v>3847</v>
      </c>
      <c r="P83" s="0" t="n">
        <v>65.74</v>
      </c>
      <c r="Q83" s="0" t="n">
        <v>103048479</v>
      </c>
    </row>
    <row r="84" customFormat="false" ht="15" hidden="false" customHeight="false" outlineLevel="0" collapsed="false">
      <c r="A84" s="0" t="s">
        <v>2603</v>
      </c>
      <c r="B84" s="0" t="s">
        <v>2604</v>
      </c>
      <c r="C84" s="0" t="s">
        <v>2605</v>
      </c>
      <c r="D84" s="0" t="s">
        <v>2385</v>
      </c>
      <c r="E84" s="0" t="n">
        <v>43332</v>
      </c>
      <c r="F84" s="0" t="s">
        <v>2380</v>
      </c>
      <c r="G84" s="0" t="n">
        <v>21358568</v>
      </c>
      <c r="H84" s="0" t="n">
        <v>720191</v>
      </c>
      <c r="I84" s="0" t="s">
        <v>34</v>
      </c>
      <c r="J84" s="0" t="s">
        <v>174</v>
      </c>
      <c r="K84" s="0" t="s">
        <v>2412</v>
      </c>
      <c r="L84" s="0" t="n">
        <v>224160777</v>
      </c>
      <c r="M84" s="0" t="s">
        <v>1977</v>
      </c>
      <c r="N84" s="0" t="n">
        <v>103048479</v>
      </c>
      <c r="O84" s="0" t="n">
        <v>314</v>
      </c>
      <c r="P84" s="0" t="n">
        <v>6.12</v>
      </c>
      <c r="Q84" s="0" t="n">
        <v>103048479</v>
      </c>
    </row>
    <row r="85" customFormat="false" ht="15" hidden="false" customHeight="false" outlineLevel="0" collapsed="false">
      <c r="A85" s="0" t="s">
        <v>2606</v>
      </c>
      <c r="B85" s="0" t="s">
        <v>2607</v>
      </c>
      <c r="C85" s="0" t="s">
        <v>2608</v>
      </c>
      <c r="D85" s="0" t="s">
        <v>2385</v>
      </c>
      <c r="E85" s="0" t="n">
        <v>43332</v>
      </c>
      <c r="F85" s="0" t="s">
        <v>2380</v>
      </c>
      <c r="G85" s="0" t="n">
        <v>21358568</v>
      </c>
      <c r="H85" s="0" t="n">
        <v>720191</v>
      </c>
      <c r="I85" s="0" t="s">
        <v>34</v>
      </c>
      <c r="J85" s="0" t="s">
        <v>174</v>
      </c>
      <c r="K85" s="0" t="s">
        <v>2405</v>
      </c>
      <c r="L85" s="0" t="n">
        <v>224160774</v>
      </c>
      <c r="M85" s="0" t="s">
        <v>1979</v>
      </c>
      <c r="N85" s="0" t="n">
        <v>103186910</v>
      </c>
      <c r="O85" s="0" t="n">
        <v>6753</v>
      </c>
      <c r="P85" s="0" t="n">
        <v>79.35</v>
      </c>
      <c r="Q85" s="0" t="n">
        <v>103186910</v>
      </c>
    </row>
    <row r="86" customFormat="false" ht="15" hidden="false" customHeight="false" outlineLevel="0" collapsed="false">
      <c r="A86" s="0" t="e">
        <f aca="false">#N/A</f>
        <v>#N/A</v>
      </c>
      <c r="B86" s="0" t="s">
        <v>2609</v>
      </c>
      <c r="C86" s="0" t="s">
        <v>2610</v>
      </c>
      <c r="D86" s="0" t="s">
        <v>2385</v>
      </c>
      <c r="E86" s="0" t="n">
        <v>43332</v>
      </c>
      <c r="F86" s="0" t="s">
        <v>2380</v>
      </c>
      <c r="G86" s="0" t="n">
        <v>21358568</v>
      </c>
      <c r="H86" s="0" t="n">
        <v>720191</v>
      </c>
      <c r="I86" s="0" t="s">
        <v>34</v>
      </c>
      <c r="J86" s="0" t="s">
        <v>174</v>
      </c>
      <c r="K86" s="0" t="s">
        <v>2433</v>
      </c>
      <c r="L86" s="0" t="n">
        <v>224160780</v>
      </c>
      <c r="M86" s="0" t="s">
        <v>1975</v>
      </c>
      <c r="N86" s="0" t="n">
        <v>103186904</v>
      </c>
      <c r="O86" s="0" t="n">
        <v>263</v>
      </c>
      <c r="P86" s="0" t="n">
        <v>3.19</v>
      </c>
      <c r="Q86" s="0" t="e">
        <f aca="false">#N/A</f>
        <v>#N/A</v>
      </c>
    </row>
    <row r="87" customFormat="false" ht="15" hidden="false" customHeight="false" outlineLevel="0" collapsed="false">
      <c r="A87" s="0" t="s">
        <v>2611</v>
      </c>
      <c r="B87" s="0" t="s">
        <v>2612</v>
      </c>
      <c r="C87" s="0" t="s">
        <v>2613</v>
      </c>
      <c r="D87" s="0" t="s">
        <v>2385</v>
      </c>
      <c r="E87" s="0" t="n">
        <v>43332</v>
      </c>
      <c r="F87" s="0" t="s">
        <v>2380</v>
      </c>
      <c r="G87" s="0" t="n">
        <v>21358568</v>
      </c>
      <c r="H87" s="0" t="n">
        <v>720191</v>
      </c>
      <c r="I87" s="0" t="s">
        <v>34</v>
      </c>
      <c r="J87" s="0" t="s">
        <v>174</v>
      </c>
      <c r="K87" s="0" t="s">
        <v>2397</v>
      </c>
      <c r="L87" s="0" t="n">
        <v>224639151</v>
      </c>
      <c r="M87" s="0" t="s">
        <v>1970</v>
      </c>
      <c r="N87" s="0" t="n">
        <v>103316832</v>
      </c>
      <c r="O87" s="0" t="n">
        <v>231</v>
      </c>
      <c r="P87" s="0" t="n">
        <v>3.01</v>
      </c>
      <c r="Q87" s="0" t="n">
        <v>103316832</v>
      </c>
    </row>
    <row r="88" customFormat="false" ht="15" hidden="false" customHeight="false" outlineLevel="0" collapsed="false">
      <c r="A88" s="0" t="s">
        <v>2611</v>
      </c>
      <c r="B88" s="0" t="s">
        <v>2612</v>
      </c>
      <c r="C88" s="0" t="s">
        <v>2614</v>
      </c>
      <c r="D88" s="0" t="s">
        <v>2385</v>
      </c>
      <c r="E88" s="0" t="n">
        <v>43332</v>
      </c>
      <c r="F88" s="0" t="s">
        <v>2380</v>
      </c>
      <c r="G88" s="0" t="n">
        <v>21358568</v>
      </c>
      <c r="H88" s="0" t="n">
        <v>720191</v>
      </c>
      <c r="I88" s="0" t="s">
        <v>34</v>
      </c>
      <c r="J88" s="0" t="s">
        <v>174</v>
      </c>
      <c r="K88" s="0" t="s">
        <v>2393</v>
      </c>
      <c r="L88" s="0" t="n">
        <v>224639151</v>
      </c>
      <c r="M88" s="0" t="s">
        <v>1970</v>
      </c>
      <c r="N88" s="0" t="n">
        <v>103316832</v>
      </c>
      <c r="O88" s="0" t="n">
        <v>4911</v>
      </c>
      <c r="P88" s="0" t="n">
        <v>58.73</v>
      </c>
      <c r="Q88" s="0" t="n">
        <v>103316832</v>
      </c>
    </row>
    <row r="89" customFormat="false" ht="15" hidden="false" customHeight="false" outlineLevel="0" collapsed="false">
      <c r="A89" s="0" t="s">
        <v>2611</v>
      </c>
      <c r="B89" s="0" t="s">
        <v>2612</v>
      </c>
      <c r="C89" s="0" t="s">
        <v>2615</v>
      </c>
      <c r="D89" s="0" t="s">
        <v>2385</v>
      </c>
      <c r="E89" s="0" t="n">
        <v>43332</v>
      </c>
      <c r="F89" s="0" t="s">
        <v>2380</v>
      </c>
      <c r="G89" s="0" t="n">
        <v>21358568</v>
      </c>
      <c r="H89" s="0" t="n">
        <v>720191</v>
      </c>
      <c r="I89" s="0" t="s">
        <v>34</v>
      </c>
      <c r="J89" s="0" t="s">
        <v>174</v>
      </c>
      <c r="K89" s="0" t="s">
        <v>2395</v>
      </c>
      <c r="L89" s="0" t="n">
        <v>224639151</v>
      </c>
      <c r="M89" s="0" t="s">
        <v>1970</v>
      </c>
      <c r="N89" s="0" t="n">
        <v>103316832</v>
      </c>
      <c r="O89" s="0" t="n">
        <v>21091</v>
      </c>
      <c r="P89" s="0" t="n">
        <v>264.31</v>
      </c>
      <c r="Q89" s="0" t="n">
        <v>103316832</v>
      </c>
    </row>
    <row r="90" customFormat="false" ht="15" hidden="false" customHeight="false" outlineLevel="0" collapsed="false">
      <c r="A90" s="0" t="s">
        <v>2616</v>
      </c>
      <c r="B90" s="0" t="s">
        <v>2617</v>
      </c>
      <c r="C90" s="0" t="s">
        <v>2618</v>
      </c>
      <c r="D90" s="0" t="s">
        <v>2385</v>
      </c>
      <c r="E90" s="0" t="n">
        <v>43332</v>
      </c>
      <c r="F90" s="0" t="s">
        <v>2380</v>
      </c>
      <c r="G90" s="0" t="n">
        <v>21358568</v>
      </c>
      <c r="H90" s="0" t="n">
        <v>720191</v>
      </c>
      <c r="I90" s="0" t="s">
        <v>34</v>
      </c>
      <c r="J90" s="0" t="s">
        <v>174</v>
      </c>
      <c r="K90" s="0" t="s">
        <v>2064</v>
      </c>
      <c r="L90" s="0" t="n">
        <v>224160720</v>
      </c>
      <c r="M90" s="0" t="s">
        <v>2065</v>
      </c>
      <c r="N90" s="0" t="n">
        <v>103186907</v>
      </c>
      <c r="O90" s="0" t="n">
        <v>94</v>
      </c>
      <c r="P90" s="0" t="n">
        <v>1.19</v>
      </c>
      <c r="Q90" s="0" t="n">
        <v>103186907</v>
      </c>
    </row>
    <row r="91" customFormat="false" ht="15" hidden="false" customHeight="false" outlineLevel="0" collapsed="false">
      <c r="A91" s="0" t="s">
        <v>2619</v>
      </c>
      <c r="B91" s="0" t="s">
        <v>2620</v>
      </c>
      <c r="C91" s="0" t="s">
        <v>2621</v>
      </c>
      <c r="D91" s="0" t="s">
        <v>2385</v>
      </c>
      <c r="E91" s="0" t="n">
        <v>43332</v>
      </c>
      <c r="F91" s="0" t="s">
        <v>2380</v>
      </c>
      <c r="G91" s="0" t="n">
        <v>21358568</v>
      </c>
      <c r="H91" s="0" t="n">
        <v>720191</v>
      </c>
      <c r="I91" s="0" t="s">
        <v>34</v>
      </c>
      <c r="J91" s="0" t="s">
        <v>174</v>
      </c>
      <c r="K91" s="0" t="s">
        <v>2066</v>
      </c>
      <c r="L91" s="0" t="n">
        <v>224160717</v>
      </c>
      <c r="M91" s="0" t="s">
        <v>2067</v>
      </c>
      <c r="N91" s="0" t="n">
        <v>103048485</v>
      </c>
      <c r="O91" s="0" t="n">
        <v>184</v>
      </c>
      <c r="P91" s="0" t="n">
        <v>3.65</v>
      </c>
      <c r="Q91" s="0" t="n">
        <v>103048485</v>
      </c>
    </row>
    <row r="92" customFormat="false" ht="15" hidden="false" customHeight="false" outlineLevel="0" collapsed="false">
      <c r="A92" s="0" t="s">
        <v>2622</v>
      </c>
      <c r="B92" s="0" t="s">
        <v>2623</v>
      </c>
      <c r="C92" s="0" t="s">
        <v>2624</v>
      </c>
      <c r="D92" s="0" t="s">
        <v>2385</v>
      </c>
      <c r="E92" s="0" t="n">
        <v>43332</v>
      </c>
      <c r="F92" s="0" t="s">
        <v>2380</v>
      </c>
      <c r="G92" s="0" t="n">
        <v>21358568</v>
      </c>
      <c r="H92" s="0" t="n">
        <v>720191</v>
      </c>
      <c r="I92" s="0" t="s">
        <v>34</v>
      </c>
      <c r="J92" s="0" t="s">
        <v>174</v>
      </c>
      <c r="K92" s="0" t="s">
        <v>2420</v>
      </c>
      <c r="L92" s="0" t="n">
        <v>224160771</v>
      </c>
      <c r="M92" s="0" t="s">
        <v>1981</v>
      </c>
      <c r="N92" s="0" t="n">
        <v>103048488</v>
      </c>
      <c r="O92" s="0" t="n">
        <v>1644</v>
      </c>
      <c r="P92" s="0" t="n">
        <v>23.84</v>
      </c>
      <c r="Q92" s="0" t="n">
        <v>103048488</v>
      </c>
    </row>
    <row r="93" customFormat="false" ht="15" hidden="false" customHeight="false" outlineLevel="0" collapsed="false">
      <c r="A93" s="0" t="s">
        <v>2625</v>
      </c>
      <c r="B93" s="0" t="s">
        <v>2626</v>
      </c>
      <c r="C93" s="0" t="s">
        <v>2627</v>
      </c>
      <c r="D93" s="0" t="s">
        <v>2385</v>
      </c>
      <c r="E93" s="0" t="n">
        <v>43332</v>
      </c>
      <c r="F93" s="0" t="s">
        <v>2380</v>
      </c>
      <c r="G93" s="0" t="n">
        <v>21358568</v>
      </c>
      <c r="H93" s="0" t="n">
        <v>720191</v>
      </c>
      <c r="I93" s="0" t="s">
        <v>34</v>
      </c>
      <c r="J93" s="0" t="s">
        <v>174</v>
      </c>
      <c r="K93" s="0" t="s">
        <v>2416</v>
      </c>
      <c r="L93" s="0" t="n">
        <v>224160732</v>
      </c>
      <c r="M93" s="0" t="s">
        <v>1979</v>
      </c>
      <c r="N93" s="0" t="n">
        <v>103186910</v>
      </c>
      <c r="O93" s="0" t="n">
        <v>8396</v>
      </c>
      <c r="P93" s="0" t="n">
        <v>133</v>
      </c>
      <c r="Q93" s="0" t="n">
        <v>103186910</v>
      </c>
    </row>
    <row r="94" customFormat="false" ht="15" hidden="false" customHeight="false" outlineLevel="0" collapsed="false">
      <c r="A94" s="0" t="s">
        <v>2628</v>
      </c>
      <c r="B94" s="0" t="s">
        <v>2629</v>
      </c>
      <c r="C94" s="0" t="s">
        <v>2630</v>
      </c>
      <c r="D94" s="0" t="s">
        <v>2385</v>
      </c>
      <c r="E94" s="0" t="n">
        <v>43332</v>
      </c>
      <c r="F94" s="0" t="s">
        <v>2380</v>
      </c>
      <c r="G94" s="0" t="n">
        <v>21358568</v>
      </c>
      <c r="H94" s="0" t="n">
        <v>720191</v>
      </c>
      <c r="I94" s="0" t="s">
        <v>34</v>
      </c>
      <c r="J94" s="0" t="s">
        <v>174</v>
      </c>
      <c r="K94" s="0" t="s">
        <v>2401</v>
      </c>
      <c r="L94" s="0" t="n">
        <v>224160783</v>
      </c>
      <c r="M94" s="0" t="s">
        <v>1973</v>
      </c>
      <c r="N94" s="0" t="n">
        <v>103051614</v>
      </c>
      <c r="O94" s="0" t="n">
        <v>1391</v>
      </c>
      <c r="P94" s="0" t="n">
        <v>23.25</v>
      </c>
      <c r="Q94" s="0" t="n">
        <v>103051614</v>
      </c>
    </row>
    <row r="95" customFormat="false" ht="15" hidden="false" customHeight="false" outlineLevel="0" collapsed="false">
      <c r="A95" s="0" t="s">
        <v>2631</v>
      </c>
      <c r="B95" s="0" t="s">
        <v>2632</v>
      </c>
      <c r="C95" s="0" t="s">
        <v>2633</v>
      </c>
      <c r="D95" s="0" t="s">
        <v>2385</v>
      </c>
      <c r="E95" s="0" t="n">
        <v>43332</v>
      </c>
      <c r="F95" s="0" t="s">
        <v>2380</v>
      </c>
      <c r="G95" s="0" t="n">
        <v>21358568</v>
      </c>
      <c r="H95" s="0" t="n">
        <v>720191</v>
      </c>
      <c r="I95" s="0" t="s">
        <v>34</v>
      </c>
      <c r="J95" s="0" t="s">
        <v>174</v>
      </c>
      <c r="K95" s="0" t="s">
        <v>2389</v>
      </c>
      <c r="L95" s="0" t="n">
        <v>224160729</v>
      </c>
      <c r="M95" s="0" t="s">
        <v>1981</v>
      </c>
      <c r="N95" s="0" t="n">
        <v>103048488</v>
      </c>
      <c r="O95" s="0" t="n">
        <v>1254</v>
      </c>
      <c r="P95" s="0" t="n">
        <v>19.86</v>
      </c>
      <c r="Q95" s="0" t="n">
        <v>103048488</v>
      </c>
    </row>
    <row r="96" customFormat="false" ht="15" hidden="false" customHeight="false" outlineLevel="0" collapsed="false">
      <c r="A96" s="0" t="s">
        <v>2634</v>
      </c>
      <c r="B96" s="0" t="s">
        <v>2635</v>
      </c>
      <c r="C96" s="0" t="s">
        <v>2636</v>
      </c>
      <c r="D96" s="0" t="s">
        <v>2385</v>
      </c>
      <c r="E96" s="0" t="n">
        <v>43332</v>
      </c>
      <c r="F96" s="0" t="s">
        <v>2380</v>
      </c>
      <c r="G96" s="0" t="n">
        <v>21358568</v>
      </c>
      <c r="H96" s="0" t="n">
        <v>720191</v>
      </c>
      <c r="I96" s="0" t="s">
        <v>34</v>
      </c>
      <c r="J96" s="0" t="s">
        <v>174</v>
      </c>
      <c r="K96" s="0" t="s">
        <v>2429</v>
      </c>
      <c r="L96" s="0" t="n">
        <v>224160738</v>
      </c>
      <c r="M96" s="0" t="s">
        <v>1975</v>
      </c>
      <c r="N96" s="0" t="n">
        <v>103186904</v>
      </c>
      <c r="O96" s="0" t="n">
        <v>2449</v>
      </c>
      <c r="P96" s="0" t="n">
        <v>17.44</v>
      </c>
      <c r="Q96" s="0" t="n">
        <v>103186904</v>
      </c>
    </row>
    <row r="97" customFormat="false" ht="15" hidden="false" customHeight="false" outlineLevel="0" collapsed="false">
      <c r="A97" s="0" t="s">
        <v>2637</v>
      </c>
      <c r="B97" s="0" t="s">
        <v>2638</v>
      </c>
      <c r="C97" s="0" t="s">
        <v>2639</v>
      </c>
      <c r="D97" s="0" t="s">
        <v>2385</v>
      </c>
      <c r="E97" s="0" t="n">
        <v>43332</v>
      </c>
      <c r="F97" s="0" t="s">
        <v>2380</v>
      </c>
      <c r="G97" s="0" t="n">
        <v>21358568</v>
      </c>
      <c r="H97" s="0" t="n">
        <v>720191</v>
      </c>
      <c r="I97" s="0" t="s">
        <v>34</v>
      </c>
      <c r="J97" s="0" t="s">
        <v>174</v>
      </c>
      <c r="K97" s="0" t="s">
        <v>2070</v>
      </c>
      <c r="L97" s="0" t="n">
        <v>224160711</v>
      </c>
      <c r="M97" s="0" t="s">
        <v>2071</v>
      </c>
      <c r="N97" s="0" t="n">
        <v>103048491</v>
      </c>
      <c r="O97" s="0" t="n">
        <v>197</v>
      </c>
      <c r="P97" s="0" t="n">
        <v>3.5</v>
      </c>
      <c r="Q97" s="0" t="n">
        <v>103048491</v>
      </c>
    </row>
    <row r="98" customFormat="false" ht="15" hidden="false" customHeight="false" outlineLevel="0" collapsed="false">
      <c r="A98" s="0" t="s">
        <v>2640</v>
      </c>
      <c r="B98" s="0" t="s">
        <v>2641</v>
      </c>
      <c r="C98" s="0" t="s">
        <v>2642</v>
      </c>
      <c r="D98" s="0" t="s">
        <v>2385</v>
      </c>
      <c r="E98" s="0" t="n">
        <v>43332</v>
      </c>
      <c r="F98" s="0" t="s">
        <v>2380</v>
      </c>
      <c r="G98" s="0" t="n">
        <v>21358568</v>
      </c>
      <c r="H98" s="0" t="n">
        <v>720191</v>
      </c>
      <c r="I98" s="0" t="s">
        <v>34</v>
      </c>
      <c r="J98" s="0" t="s">
        <v>174</v>
      </c>
      <c r="K98" s="0" t="s">
        <v>2068</v>
      </c>
      <c r="L98" s="0" t="n">
        <v>224160714</v>
      </c>
      <c r="M98" s="0" t="s">
        <v>2069</v>
      </c>
      <c r="N98" s="0" t="n">
        <v>103186916</v>
      </c>
      <c r="O98" s="0" t="n">
        <v>2304</v>
      </c>
      <c r="P98" s="0" t="n">
        <v>41.37</v>
      </c>
      <c r="Q98" s="0" t="n">
        <v>103186916</v>
      </c>
    </row>
    <row r="99" customFormat="false" ht="15" hidden="false" customHeight="false" outlineLevel="0" collapsed="false">
      <c r="A99" s="0" t="e">
        <f aca="false">#N/A</f>
        <v>#N/A</v>
      </c>
      <c r="B99" s="0" t="s">
        <v>2643</v>
      </c>
      <c r="C99" s="0" t="s">
        <v>2644</v>
      </c>
      <c r="D99" s="0" t="s">
        <v>2385</v>
      </c>
      <c r="E99" s="0" t="n">
        <v>43331</v>
      </c>
      <c r="F99" s="0" t="s">
        <v>2380</v>
      </c>
      <c r="G99" s="0" t="n">
        <v>21358568</v>
      </c>
      <c r="H99" s="0" t="n">
        <v>720191</v>
      </c>
      <c r="I99" s="0" t="s">
        <v>34</v>
      </c>
      <c r="J99" s="0" t="s">
        <v>174</v>
      </c>
      <c r="K99" s="0" t="s">
        <v>2066</v>
      </c>
      <c r="L99" s="0" t="n">
        <v>224160717</v>
      </c>
      <c r="M99" s="0" t="s">
        <v>2067</v>
      </c>
      <c r="N99" s="0" t="n">
        <v>103048485</v>
      </c>
      <c r="O99" s="0" t="n">
        <v>115</v>
      </c>
      <c r="P99" s="0" t="n">
        <v>2.51</v>
      </c>
      <c r="Q99" s="0" t="e">
        <f aca="false">#N/A</f>
        <v>#N/A</v>
      </c>
    </row>
    <row r="100" customFormat="false" ht="15" hidden="false" customHeight="false" outlineLevel="0" collapsed="false">
      <c r="A100" s="0" t="s">
        <v>2645</v>
      </c>
      <c r="B100" s="0" t="s">
        <v>2646</v>
      </c>
      <c r="C100" s="0" t="s">
        <v>2647</v>
      </c>
      <c r="D100" s="0" t="s">
        <v>2385</v>
      </c>
      <c r="E100" s="0" t="n">
        <v>43331</v>
      </c>
      <c r="F100" s="0" t="s">
        <v>2380</v>
      </c>
      <c r="G100" s="0" t="n">
        <v>21358568</v>
      </c>
      <c r="H100" s="0" t="n">
        <v>720191</v>
      </c>
      <c r="I100" s="0" t="s">
        <v>34</v>
      </c>
      <c r="J100" s="0" t="s">
        <v>174</v>
      </c>
      <c r="K100" s="0" t="s">
        <v>2381</v>
      </c>
      <c r="L100" s="0" t="n">
        <v>224160735</v>
      </c>
      <c r="M100" s="0" t="s">
        <v>1977</v>
      </c>
      <c r="N100" s="0" t="n">
        <v>103048479</v>
      </c>
      <c r="O100" s="0" t="n">
        <v>3588</v>
      </c>
      <c r="P100" s="0" t="n">
        <v>63.94</v>
      </c>
      <c r="Q100" s="0" t="n">
        <v>103048479</v>
      </c>
    </row>
    <row r="101" customFormat="false" ht="15" hidden="false" customHeight="false" outlineLevel="0" collapsed="false">
      <c r="A101" s="0" t="s">
        <v>2648</v>
      </c>
      <c r="B101" s="0" t="s">
        <v>2649</v>
      </c>
      <c r="C101" s="0" t="s">
        <v>2650</v>
      </c>
      <c r="D101" s="0" t="s">
        <v>2385</v>
      </c>
      <c r="E101" s="0" t="n">
        <v>43331</v>
      </c>
      <c r="F101" s="0" t="s">
        <v>2380</v>
      </c>
      <c r="G101" s="0" t="n">
        <v>21358568</v>
      </c>
      <c r="H101" s="0" t="n">
        <v>720191</v>
      </c>
      <c r="I101" s="0" t="s">
        <v>34</v>
      </c>
      <c r="J101" s="0" t="s">
        <v>174</v>
      </c>
      <c r="K101" s="0" t="s">
        <v>2433</v>
      </c>
      <c r="L101" s="0" t="n">
        <v>224160780</v>
      </c>
      <c r="M101" s="0" t="s">
        <v>1975</v>
      </c>
      <c r="N101" s="0" t="n">
        <v>103186904</v>
      </c>
      <c r="O101" s="0" t="n">
        <v>450</v>
      </c>
      <c r="P101" s="0" t="n">
        <v>7.41</v>
      </c>
      <c r="Q101" s="0" t="n">
        <v>103186904</v>
      </c>
    </row>
    <row r="102" customFormat="false" ht="15" hidden="false" customHeight="false" outlineLevel="0" collapsed="false">
      <c r="A102" s="0" t="s">
        <v>2651</v>
      </c>
      <c r="B102" s="0" t="s">
        <v>2652</v>
      </c>
      <c r="C102" s="0" t="s">
        <v>2653</v>
      </c>
      <c r="D102" s="0" t="s">
        <v>2385</v>
      </c>
      <c r="E102" s="0" t="n">
        <v>43331</v>
      </c>
      <c r="F102" s="0" t="s">
        <v>2380</v>
      </c>
      <c r="G102" s="0" t="n">
        <v>21358568</v>
      </c>
      <c r="H102" s="0" t="n">
        <v>720191</v>
      </c>
      <c r="I102" s="0" t="s">
        <v>34</v>
      </c>
      <c r="J102" s="0" t="s">
        <v>174</v>
      </c>
      <c r="K102" s="0" t="s">
        <v>2397</v>
      </c>
      <c r="L102" s="0" t="n">
        <v>224639151</v>
      </c>
      <c r="M102" s="0" t="s">
        <v>1970</v>
      </c>
      <c r="N102" s="0" t="n">
        <v>103316832</v>
      </c>
      <c r="O102" s="0" t="n">
        <v>265</v>
      </c>
      <c r="P102" s="0" t="n">
        <v>4.23</v>
      </c>
      <c r="Q102" s="0" t="n">
        <v>103316832</v>
      </c>
    </row>
    <row r="103" customFormat="false" ht="15" hidden="false" customHeight="false" outlineLevel="0" collapsed="false">
      <c r="A103" s="0" t="s">
        <v>2651</v>
      </c>
      <c r="B103" s="0" t="s">
        <v>2652</v>
      </c>
      <c r="C103" s="0" t="s">
        <v>2654</v>
      </c>
      <c r="D103" s="0" t="s">
        <v>2385</v>
      </c>
      <c r="E103" s="0" t="n">
        <v>43331</v>
      </c>
      <c r="F103" s="0" t="s">
        <v>2380</v>
      </c>
      <c r="G103" s="0" t="n">
        <v>21358568</v>
      </c>
      <c r="H103" s="0" t="n">
        <v>720191</v>
      </c>
      <c r="I103" s="0" t="s">
        <v>34</v>
      </c>
      <c r="J103" s="0" t="s">
        <v>174</v>
      </c>
      <c r="K103" s="0" t="s">
        <v>2395</v>
      </c>
      <c r="L103" s="0" t="n">
        <v>224639151</v>
      </c>
      <c r="M103" s="0" t="s">
        <v>1970</v>
      </c>
      <c r="N103" s="0" t="n">
        <v>103316832</v>
      </c>
      <c r="O103" s="0" t="n">
        <v>18886</v>
      </c>
      <c r="P103" s="0" t="n">
        <v>265.18</v>
      </c>
      <c r="Q103" s="0" t="n">
        <v>103316832</v>
      </c>
    </row>
    <row r="104" customFormat="false" ht="15" hidden="false" customHeight="false" outlineLevel="0" collapsed="false">
      <c r="A104" s="0" t="s">
        <v>2651</v>
      </c>
      <c r="B104" s="0" t="s">
        <v>2652</v>
      </c>
      <c r="C104" s="0" t="s">
        <v>2655</v>
      </c>
      <c r="D104" s="0" t="s">
        <v>2385</v>
      </c>
      <c r="E104" s="0" t="n">
        <v>43331</v>
      </c>
      <c r="F104" s="0" t="s">
        <v>2380</v>
      </c>
      <c r="G104" s="0" t="n">
        <v>21358568</v>
      </c>
      <c r="H104" s="0" t="n">
        <v>720191</v>
      </c>
      <c r="I104" s="0" t="s">
        <v>34</v>
      </c>
      <c r="J104" s="0" t="s">
        <v>174</v>
      </c>
      <c r="K104" s="0" t="s">
        <v>2393</v>
      </c>
      <c r="L104" s="0" t="n">
        <v>224639151</v>
      </c>
      <c r="M104" s="0" t="s">
        <v>1970</v>
      </c>
      <c r="N104" s="0" t="n">
        <v>103316832</v>
      </c>
      <c r="O104" s="0" t="n">
        <v>5498</v>
      </c>
      <c r="P104" s="0" t="n">
        <v>71.09</v>
      </c>
      <c r="Q104" s="0" t="n">
        <v>103316832</v>
      </c>
    </row>
    <row r="105" customFormat="false" ht="15" hidden="false" customHeight="false" outlineLevel="0" collapsed="false">
      <c r="A105" s="0" t="s">
        <v>2656</v>
      </c>
      <c r="B105" s="0" t="s">
        <v>2657</v>
      </c>
      <c r="C105" s="0" t="s">
        <v>2658</v>
      </c>
      <c r="D105" s="0" t="s">
        <v>2385</v>
      </c>
      <c r="E105" s="0" t="n">
        <v>43331</v>
      </c>
      <c r="F105" s="0" t="s">
        <v>2380</v>
      </c>
      <c r="G105" s="0" t="n">
        <v>21358568</v>
      </c>
      <c r="H105" s="0" t="n">
        <v>720191</v>
      </c>
      <c r="I105" s="0" t="s">
        <v>34</v>
      </c>
      <c r="J105" s="0" t="s">
        <v>174</v>
      </c>
      <c r="K105" s="0" t="s">
        <v>2064</v>
      </c>
      <c r="L105" s="0" t="n">
        <v>224160720</v>
      </c>
      <c r="M105" s="0" t="s">
        <v>2065</v>
      </c>
      <c r="N105" s="0" t="n">
        <v>103186907</v>
      </c>
      <c r="O105" s="0" t="n">
        <v>76</v>
      </c>
      <c r="P105" s="0" t="n">
        <v>1.03</v>
      </c>
      <c r="Q105" s="0" t="n">
        <v>103186907</v>
      </c>
    </row>
    <row r="106" customFormat="false" ht="15" hidden="false" customHeight="false" outlineLevel="0" collapsed="false">
      <c r="A106" s="0" t="e">
        <f aca="false">#N/A</f>
        <v>#N/A</v>
      </c>
      <c r="B106" s="0" t="s">
        <v>2659</v>
      </c>
      <c r="C106" s="0" t="s">
        <v>2660</v>
      </c>
      <c r="D106" s="0" t="s">
        <v>2385</v>
      </c>
      <c r="E106" s="0" t="n">
        <v>43331</v>
      </c>
      <c r="F106" s="0" t="s">
        <v>2380</v>
      </c>
      <c r="G106" s="0" t="n">
        <v>21358568</v>
      </c>
      <c r="H106" s="0" t="n">
        <v>720191</v>
      </c>
      <c r="I106" s="0" t="s">
        <v>34</v>
      </c>
      <c r="J106" s="0" t="s">
        <v>174</v>
      </c>
      <c r="K106" s="0" t="s">
        <v>2070</v>
      </c>
      <c r="L106" s="0" t="n">
        <v>224160711</v>
      </c>
      <c r="M106" s="0" t="s">
        <v>2071</v>
      </c>
      <c r="N106" s="0" t="n">
        <v>103048491</v>
      </c>
      <c r="O106" s="0" t="n">
        <v>79</v>
      </c>
      <c r="P106" s="0" t="n">
        <v>2.5</v>
      </c>
      <c r="Q106" s="0" t="e">
        <f aca="false">#N/A</f>
        <v>#N/A</v>
      </c>
    </row>
    <row r="107" customFormat="false" ht="15" hidden="false" customHeight="false" outlineLevel="0" collapsed="false">
      <c r="A107" s="0" t="s">
        <v>2661</v>
      </c>
      <c r="B107" s="0" t="s">
        <v>2662</v>
      </c>
      <c r="C107" s="0" t="s">
        <v>2663</v>
      </c>
      <c r="D107" s="0" t="s">
        <v>2385</v>
      </c>
      <c r="E107" s="0" t="n">
        <v>43331</v>
      </c>
      <c r="F107" s="0" t="s">
        <v>2380</v>
      </c>
      <c r="G107" s="0" t="n">
        <v>21358568</v>
      </c>
      <c r="H107" s="0" t="n">
        <v>720191</v>
      </c>
      <c r="I107" s="0" t="s">
        <v>34</v>
      </c>
      <c r="J107" s="0" t="s">
        <v>174</v>
      </c>
      <c r="K107" s="0" t="s">
        <v>2429</v>
      </c>
      <c r="L107" s="0" t="n">
        <v>224160738</v>
      </c>
      <c r="M107" s="0" t="s">
        <v>1975</v>
      </c>
      <c r="N107" s="0" t="n">
        <v>103186904</v>
      </c>
      <c r="O107" s="0" t="n">
        <v>1136</v>
      </c>
      <c r="P107" s="0" t="n">
        <v>7.49</v>
      </c>
      <c r="Q107" s="0" t="n">
        <v>103186904</v>
      </c>
    </row>
    <row r="108" customFormat="false" ht="15" hidden="false" customHeight="false" outlineLevel="0" collapsed="false">
      <c r="A108" s="0" t="s">
        <v>2664</v>
      </c>
      <c r="B108" s="0" t="s">
        <v>2665</v>
      </c>
      <c r="C108" s="0" t="s">
        <v>2666</v>
      </c>
      <c r="D108" s="0" t="s">
        <v>2385</v>
      </c>
      <c r="E108" s="0" t="n">
        <v>43331</v>
      </c>
      <c r="F108" s="0" t="s">
        <v>2380</v>
      </c>
      <c r="G108" s="0" t="n">
        <v>21358568</v>
      </c>
      <c r="H108" s="0" t="n">
        <v>720191</v>
      </c>
      <c r="I108" s="0" t="s">
        <v>34</v>
      </c>
      <c r="J108" s="0" t="s">
        <v>174</v>
      </c>
      <c r="K108" s="0" t="s">
        <v>2405</v>
      </c>
      <c r="L108" s="0" t="n">
        <v>224160774</v>
      </c>
      <c r="M108" s="0" t="s">
        <v>1979</v>
      </c>
      <c r="N108" s="0" t="n">
        <v>103186910</v>
      </c>
      <c r="O108" s="0" t="n">
        <v>5108</v>
      </c>
      <c r="P108" s="0" t="n">
        <v>93.79</v>
      </c>
      <c r="Q108" s="0" t="n">
        <v>103186910</v>
      </c>
    </row>
    <row r="109" customFormat="false" ht="15" hidden="false" customHeight="false" outlineLevel="0" collapsed="false">
      <c r="A109" s="0" t="s">
        <v>2667</v>
      </c>
      <c r="B109" s="0" t="s">
        <v>2668</v>
      </c>
      <c r="C109" s="0" t="s">
        <v>2669</v>
      </c>
      <c r="D109" s="0" t="s">
        <v>2385</v>
      </c>
      <c r="E109" s="0" t="n">
        <v>43331</v>
      </c>
      <c r="F109" s="0" t="s">
        <v>2380</v>
      </c>
      <c r="G109" s="0" t="n">
        <v>21358568</v>
      </c>
      <c r="H109" s="0" t="n">
        <v>720191</v>
      </c>
      <c r="I109" s="0" t="s">
        <v>34</v>
      </c>
      <c r="J109" s="0" t="s">
        <v>174</v>
      </c>
      <c r="K109" s="0" t="s">
        <v>2412</v>
      </c>
      <c r="L109" s="0" t="n">
        <v>224160777</v>
      </c>
      <c r="M109" s="0" t="s">
        <v>1977</v>
      </c>
      <c r="N109" s="0" t="n">
        <v>103048479</v>
      </c>
      <c r="O109" s="0" t="n">
        <v>467</v>
      </c>
      <c r="P109" s="0" t="n">
        <v>11.87</v>
      </c>
      <c r="Q109" s="0" t="n">
        <v>103048479</v>
      </c>
    </row>
    <row r="110" customFormat="false" ht="15" hidden="false" customHeight="false" outlineLevel="0" collapsed="false">
      <c r="A110" s="0" t="s">
        <v>2670</v>
      </c>
      <c r="B110" s="0" t="s">
        <v>2671</v>
      </c>
      <c r="C110" s="0" t="s">
        <v>2672</v>
      </c>
      <c r="D110" s="0" t="s">
        <v>2385</v>
      </c>
      <c r="E110" s="0" t="n">
        <v>43331</v>
      </c>
      <c r="F110" s="0" t="s">
        <v>2380</v>
      </c>
      <c r="G110" s="0" t="n">
        <v>21358568</v>
      </c>
      <c r="H110" s="0" t="n">
        <v>720191</v>
      </c>
      <c r="I110" s="0" t="s">
        <v>34</v>
      </c>
      <c r="J110" s="0" t="s">
        <v>174</v>
      </c>
      <c r="K110" s="0" t="s">
        <v>2420</v>
      </c>
      <c r="L110" s="0" t="n">
        <v>224160771</v>
      </c>
      <c r="M110" s="0" t="s">
        <v>1981</v>
      </c>
      <c r="N110" s="0" t="n">
        <v>103048488</v>
      </c>
      <c r="O110" s="0" t="n">
        <v>611</v>
      </c>
      <c r="P110" s="0" t="n">
        <v>10.23</v>
      </c>
      <c r="Q110" s="0" t="n">
        <v>103048488</v>
      </c>
    </row>
    <row r="111" customFormat="false" ht="15" hidden="false" customHeight="false" outlineLevel="0" collapsed="false">
      <c r="A111" s="0" t="s">
        <v>2673</v>
      </c>
      <c r="B111" s="0" t="s">
        <v>2674</v>
      </c>
      <c r="C111" s="0" t="s">
        <v>2675</v>
      </c>
      <c r="D111" s="0" t="s">
        <v>2385</v>
      </c>
      <c r="E111" s="0" t="n">
        <v>43331</v>
      </c>
      <c r="F111" s="0" t="s">
        <v>2380</v>
      </c>
      <c r="G111" s="0" t="n">
        <v>21358568</v>
      </c>
      <c r="H111" s="0" t="n">
        <v>720191</v>
      </c>
      <c r="I111" s="0" t="s">
        <v>34</v>
      </c>
      <c r="J111" s="0" t="s">
        <v>174</v>
      </c>
      <c r="K111" s="0" t="s">
        <v>2068</v>
      </c>
      <c r="L111" s="0" t="n">
        <v>224160714</v>
      </c>
      <c r="M111" s="0" t="s">
        <v>2069</v>
      </c>
      <c r="N111" s="0" t="n">
        <v>103186916</v>
      </c>
      <c r="O111" s="0" t="n">
        <v>2200</v>
      </c>
      <c r="P111" s="0" t="n">
        <v>49.86</v>
      </c>
      <c r="Q111" s="0" t="n">
        <v>103186916</v>
      </c>
    </row>
    <row r="112" customFormat="false" ht="15" hidden="false" customHeight="false" outlineLevel="0" collapsed="false">
      <c r="A112" s="0" t="s">
        <v>2676</v>
      </c>
      <c r="B112" s="0" t="s">
        <v>2677</v>
      </c>
      <c r="C112" s="0" t="s">
        <v>2678</v>
      </c>
      <c r="D112" s="0" t="s">
        <v>2385</v>
      </c>
      <c r="E112" s="0" t="n">
        <v>43331</v>
      </c>
      <c r="F112" s="0" t="s">
        <v>2380</v>
      </c>
      <c r="G112" s="0" t="n">
        <v>21358568</v>
      </c>
      <c r="H112" s="0" t="n">
        <v>720191</v>
      </c>
      <c r="I112" s="0" t="s">
        <v>34</v>
      </c>
      <c r="J112" s="0" t="s">
        <v>174</v>
      </c>
      <c r="K112" s="0" t="s">
        <v>2416</v>
      </c>
      <c r="L112" s="0" t="n">
        <v>224160732</v>
      </c>
      <c r="M112" s="0" t="s">
        <v>1979</v>
      </c>
      <c r="N112" s="0" t="n">
        <v>103186910</v>
      </c>
      <c r="O112" s="0" t="n">
        <v>5882</v>
      </c>
      <c r="P112" s="0" t="n">
        <v>123.88</v>
      </c>
      <c r="Q112" s="0" t="n">
        <v>103186910</v>
      </c>
    </row>
    <row r="113" customFormat="false" ht="15" hidden="false" customHeight="false" outlineLevel="0" collapsed="false">
      <c r="A113" s="0" t="s">
        <v>2679</v>
      </c>
      <c r="B113" s="0" t="s">
        <v>2680</v>
      </c>
      <c r="C113" s="0" t="s">
        <v>2681</v>
      </c>
      <c r="D113" s="0" t="s">
        <v>2385</v>
      </c>
      <c r="E113" s="0" t="n">
        <v>43331</v>
      </c>
      <c r="F113" s="0" t="s">
        <v>2380</v>
      </c>
      <c r="G113" s="0" t="n">
        <v>21358568</v>
      </c>
      <c r="H113" s="0" t="n">
        <v>720191</v>
      </c>
      <c r="I113" s="0" t="s">
        <v>34</v>
      </c>
      <c r="J113" s="0" t="s">
        <v>174</v>
      </c>
      <c r="K113" s="0" t="s">
        <v>2389</v>
      </c>
      <c r="L113" s="0" t="n">
        <v>224160729</v>
      </c>
      <c r="M113" s="0" t="s">
        <v>1981</v>
      </c>
      <c r="N113" s="0" t="n">
        <v>103048488</v>
      </c>
      <c r="O113" s="0" t="n">
        <v>2192</v>
      </c>
      <c r="P113" s="0" t="n">
        <v>47.46</v>
      </c>
      <c r="Q113" s="0" t="n">
        <v>103048488</v>
      </c>
    </row>
    <row r="114" customFormat="false" ht="15" hidden="false" customHeight="false" outlineLevel="0" collapsed="false">
      <c r="A114" s="0" t="s">
        <v>2682</v>
      </c>
      <c r="B114" s="0" t="s">
        <v>2683</v>
      </c>
      <c r="C114" s="0" t="s">
        <v>2684</v>
      </c>
      <c r="D114" s="0" t="s">
        <v>2385</v>
      </c>
      <c r="E114" s="0" t="n">
        <v>43331</v>
      </c>
      <c r="F114" s="0" t="s">
        <v>2380</v>
      </c>
      <c r="G114" s="0" t="n">
        <v>21358568</v>
      </c>
      <c r="H114" s="0" t="n">
        <v>720191</v>
      </c>
      <c r="I114" s="0" t="s">
        <v>34</v>
      </c>
      <c r="J114" s="0" t="s">
        <v>174</v>
      </c>
      <c r="K114" s="0" t="s">
        <v>2401</v>
      </c>
      <c r="L114" s="0" t="n">
        <v>224160783</v>
      </c>
      <c r="M114" s="0" t="s">
        <v>1973</v>
      </c>
      <c r="N114" s="0" t="n">
        <v>103051614</v>
      </c>
      <c r="O114" s="0" t="n">
        <v>1190</v>
      </c>
      <c r="P114" s="0" t="n">
        <v>24.47</v>
      </c>
      <c r="Q114" s="0" t="n">
        <v>103051614</v>
      </c>
    </row>
    <row r="115" customFormat="false" ht="15" hidden="false" customHeight="false" outlineLevel="0" collapsed="false">
      <c r="A115" s="0" t="s">
        <v>2685</v>
      </c>
      <c r="B115" s="0" t="s">
        <v>2686</v>
      </c>
      <c r="C115" s="0" t="s">
        <v>2687</v>
      </c>
      <c r="D115" s="0" t="s">
        <v>2385</v>
      </c>
      <c r="E115" s="0" t="n">
        <v>43337</v>
      </c>
      <c r="F115" s="0" t="s">
        <v>64</v>
      </c>
      <c r="G115" s="0" t="n">
        <v>21337220</v>
      </c>
      <c r="H115" s="0" t="n">
        <v>720192</v>
      </c>
      <c r="I115" s="0" t="s">
        <v>34</v>
      </c>
      <c r="J115" s="0" t="s">
        <v>174</v>
      </c>
      <c r="K115" s="0" t="s">
        <v>67</v>
      </c>
      <c r="L115" s="0" t="n">
        <v>227618695</v>
      </c>
      <c r="M115" s="0" t="s">
        <v>330</v>
      </c>
      <c r="N115" s="0" t="n">
        <v>105127638</v>
      </c>
      <c r="O115" s="0" t="n">
        <v>1875</v>
      </c>
      <c r="P115" s="0" t="n">
        <v>33.91</v>
      </c>
      <c r="Q115" s="0" t="n">
        <v>105127638</v>
      </c>
    </row>
    <row r="116" customFormat="false" ht="15" hidden="false" customHeight="false" outlineLevel="0" collapsed="false">
      <c r="A116" s="0" t="s">
        <v>2688</v>
      </c>
      <c r="B116" s="0" t="s">
        <v>2689</v>
      </c>
      <c r="C116" s="0" t="s">
        <v>2690</v>
      </c>
      <c r="D116" s="0" t="s">
        <v>2385</v>
      </c>
      <c r="E116" s="0" t="n">
        <v>43337</v>
      </c>
      <c r="F116" s="0" t="s">
        <v>64</v>
      </c>
      <c r="G116" s="0" t="n">
        <v>21337220</v>
      </c>
      <c r="H116" s="0" t="n">
        <v>720192</v>
      </c>
      <c r="I116" s="0" t="s">
        <v>34</v>
      </c>
      <c r="J116" s="0" t="s">
        <v>174</v>
      </c>
      <c r="K116" s="0" t="s">
        <v>94</v>
      </c>
      <c r="L116" s="0" t="n">
        <v>223691810</v>
      </c>
      <c r="M116" s="0" t="s">
        <v>632</v>
      </c>
      <c r="N116" s="0" t="n">
        <v>103058711</v>
      </c>
      <c r="O116" s="0" t="n">
        <v>604</v>
      </c>
      <c r="P116" s="0" t="n">
        <v>11.82</v>
      </c>
      <c r="Q116" s="0" t="n">
        <v>103058711</v>
      </c>
    </row>
    <row r="117" customFormat="false" ht="15" hidden="false" customHeight="false" outlineLevel="0" collapsed="false">
      <c r="A117" s="0" t="s">
        <v>2691</v>
      </c>
      <c r="B117" s="0" t="s">
        <v>2692</v>
      </c>
      <c r="C117" s="0" t="s">
        <v>2693</v>
      </c>
      <c r="D117" s="0" t="s">
        <v>2385</v>
      </c>
      <c r="E117" s="0" t="n">
        <v>43337</v>
      </c>
      <c r="F117" s="0" t="s">
        <v>64</v>
      </c>
      <c r="G117" s="0" t="n">
        <v>21337220</v>
      </c>
      <c r="H117" s="0" t="n">
        <v>720192</v>
      </c>
      <c r="I117" s="0" t="s">
        <v>34</v>
      </c>
      <c r="J117" s="0" t="s">
        <v>174</v>
      </c>
      <c r="K117" s="0" t="s">
        <v>92</v>
      </c>
      <c r="L117" s="0" t="n">
        <v>223691762</v>
      </c>
      <c r="M117" s="0" t="s">
        <v>600</v>
      </c>
      <c r="N117" s="0" t="n">
        <v>102902974</v>
      </c>
      <c r="O117" s="0" t="n">
        <v>115</v>
      </c>
      <c r="P117" s="0" t="n">
        <v>2</v>
      </c>
      <c r="Q117" s="0" t="n">
        <v>102902974</v>
      </c>
    </row>
    <row r="118" customFormat="false" ht="15" hidden="false" customHeight="false" outlineLevel="0" collapsed="false">
      <c r="A118" s="0" t="s">
        <v>2694</v>
      </c>
      <c r="B118" s="0" t="s">
        <v>2695</v>
      </c>
      <c r="C118" s="0" t="s">
        <v>2696</v>
      </c>
      <c r="D118" s="0" t="s">
        <v>2385</v>
      </c>
      <c r="E118" s="0" t="n">
        <v>43337</v>
      </c>
      <c r="F118" s="0" t="s">
        <v>64</v>
      </c>
      <c r="G118" s="0" t="n">
        <v>21337220</v>
      </c>
      <c r="H118" s="0" t="n">
        <v>720192</v>
      </c>
      <c r="I118" s="0" t="s">
        <v>34</v>
      </c>
      <c r="J118" s="0" t="s">
        <v>174</v>
      </c>
      <c r="K118" s="0" t="s">
        <v>78</v>
      </c>
      <c r="L118" s="0" t="n">
        <v>227522771</v>
      </c>
      <c r="M118" s="0" t="s">
        <v>360</v>
      </c>
      <c r="N118" s="0" t="n">
        <v>105130128</v>
      </c>
      <c r="O118" s="0" t="n">
        <v>1920</v>
      </c>
      <c r="P118" s="0" t="n">
        <v>38.68</v>
      </c>
      <c r="Q118" s="0" t="n">
        <v>105130128</v>
      </c>
    </row>
    <row r="119" customFormat="false" ht="15" hidden="false" customHeight="false" outlineLevel="0" collapsed="false">
      <c r="A119" s="0" t="s">
        <v>2697</v>
      </c>
      <c r="B119" s="0" t="s">
        <v>2698</v>
      </c>
      <c r="C119" s="0" t="s">
        <v>2699</v>
      </c>
      <c r="D119" s="0" t="s">
        <v>2385</v>
      </c>
      <c r="E119" s="0" t="n">
        <v>43337</v>
      </c>
      <c r="F119" s="0" t="s">
        <v>64</v>
      </c>
      <c r="G119" s="0" t="n">
        <v>21337220</v>
      </c>
      <c r="H119" s="0" t="n">
        <v>720192</v>
      </c>
      <c r="I119" s="0" t="s">
        <v>34</v>
      </c>
      <c r="J119" s="0" t="s">
        <v>174</v>
      </c>
      <c r="K119" s="0" t="s">
        <v>73</v>
      </c>
      <c r="L119" s="0" t="n">
        <v>223691792</v>
      </c>
      <c r="M119" s="0" t="s">
        <v>345</v>
      </c>
      <c r="N119" s="0" t="n">
        <v>102901894</v>
      </c>
      <c r="O119" s="0" t="n">
        <v>235</v>
      </c>
      <c r="P119" s="0" t="n">
        <v>4.68</v>
      </c>
      <c r="Q119" s="0" t="n">
        <v>102901894</v>
      </c>
    </row>
    <row r="120" customFormat="false" ht="15" hidden="false" customHeight="false" outlineLevel="0" collapsed="false">
      <c r="A120" s="0" t="s">
        <v>2700</v>
      </c>
      <c r="B120" s="0" t="s">
        <v>2701</v>
      </c>
      <c r="C120" s="0" t="s">
        <v>2702</v>
      </c>
      <c r="D120" s="0" t="s">
        <v>2385</v>
      </c>
      <c r="E120" s="0" t="n">
        <v>43337</v>
      </c>
      <c r="F120" s="0" t="s">
        <v>64</v>
      </c>
      <c r="G120" s="0" t="n">
        <v>21337220</v>
      </c>
      <c r="H120" s="0" t="n">
        <v>720192</v>
      </c>
      <c r="I120" s="0" t="s">
        <v>34</v>
      </c>
      <c r="J120" s="0" t="s">
        <v>174</v>
      </c>
      <c r="K120" s="0" t="s">
        <v>99</v>
      </c>
      <c r="L120" s="0" t="n">
        <v>223691771</v>
      </c>
      <c r="M120" s="0" t="s">
        <v>657</v>
      </c>
      <c r="N120" s="0" t="n">
        <v>102902968</v>
      </c>
      <c r="O120" s="0" t="n">
        <v>587</v>
      </c>
      <c r="P120" s="0" t="n">
        <v>12.63</v>
      </c>
      <c r="Q120" s="0" t="n">
        <v>102902968</v>
      </c>
    </row>
    <row r="121" customFormat="false" ht="15" hidden="false" customHeight="false" outlineLevel="0" collapsed="false">
      <c r="A121" s="0" t="e">
        <f aca="false">#N/A</f>
        <v>#N/A</v>
      </c>
      <c r="B121" s="0" t="s">
        <v>2703</v>
      </c>
      <c r="C121" s="0" t="s">
        <v>2704</v>
      </c>
      <c r="D121" s="0" t="s">
        <v>2385</v>
      </c>
      <c r="E121" s="0" t="n">
        <v>43337</v>
      </c>
      <c r="F121" s="0" t="s">
        <v>64</v>
      </c>
      <c r="G121" s="0" t="n">
        <v>21337220</v>
      </c>
      <c r="H121" s="0" t="n">
        <v>720192</v>
      </c>
      <c r="I121" s="0" t="s">
        <v>34</v>
      </c>
      <c r="J121" s="0" t="s">
        <v>174</v>
      </c>
      <c r="K121" s="0" t="s">
        <v>71</v>
      </c>
      <c r="L121" s="0" t="n">
        <v>225322324</v>
      </c>
      <c r="M121" s="0" t="s">
        <v>339</v>
      </c>
      <c r="N121" s="0" t="n">
        <v>103789915</v>
      </c>
      <c r="O121" s="0" t="n">
        <v>106</v>
      </c>
      <c r="P121" s="0" t="n">
        <v>1.98</v>
      </c>
      <c r="Q121" s="0" t="e">
        <f aca="false">#N/A</f>
        <v>#N/A</v>
      </c>
    </row>
    <row r="122" customFormat="false" ht="15" hidden="false" customHeight="false" outlineLevel="0" collapsed="false">
      <c r="A122" s="0" t="s">
        <v>2705</v>
      </c>
      <c r="B122" s="0" t="s">
        <v>2706</v>
      </c>
      <c r="C122" s="0" t="s">
        <v>2707</v>
      </c>
      <c r="D122" s="0" t="s">
        <v>2385</v>
      </c>
      <c r="E122" s="0" t="n">
        <v>43337</v>
      </c>
      <c r="F122" s="0" t="s">
        <v>64</v>
      </c>
      <c r="G122" s="0" t="n">
        <v>21337220</v>
      </c>
      <c r="H122" s="0" t="n">
        <v>720192</v>
      </c>
      <c r="I122" s="0" t="s">
        <v>34</v>
      </c>
      <c r="J122" s="0" t="s">
        <v>174</v>
      </c>
      <c r="K122" s="0" t="s">
        <v>77</v>
      </c>
      <c r="L122" s="0" t="n">
        <v>223691840</v>
      </c>
      <c r="M122" s="0" t="s">
        <v>357</v>
      </c>
      <c r="N122" s="0" t="n">
        <v>102902950</v>
      </c>
      <c r="O122" s="0" t="n">
        <v>1293</v>
      </c>
      <c r="P122" s="0" t="n">
        <v>29.11</v>
      </c>
      <c r="Q122" s="0" t="n">
        <v>102902950</v>
      </c>
    </row>
    <row r="123" customFormat="false" ht="15" hidden="false" customHeight="false" outlineLevel="0" collapsed="false">
      <c r="A123" s="0" t="s">
        <v>2708</v>
      </c>
      <c r="B123" s="0" t="s">
        <v>2709</v>
      </c>
      <c r="C123" s="0" t="s">
        <v>2710</v>
      </c>
      <c r="D123" s="0" t="s">
        <v>2385</v>
      </c>
      <c r="E123" s="0" t="n">
        <v>43337</v>
      </c>
      <c r="F123" s="0" t="s">
        <v>64</v>
      </c>
      <c r="G123" s="0" t="n">
        <v>21337220</v>
      </c>
      <c r="H123" s="0" t="n">
        <v>720192</v>
      </c>
      <c r="I123" s="0" t="s">
        <v>34</v>
      </c>
      <c r="J123" s="0" t="s">
        <v>174</v>
      </c>
      <c r="K123" s="0" t="s">
        <v>95</v>
      </c>
      <c r="L123" s="0" t="n">
        <v>223691807</v>
      </c>
      <c r="M123" s="0" t="s">
        <v>635</v>
      </c>
      <c r="N123" s="0" t="n">
        <v>102900685</v>
      </c>
      <c r="O123" s="0" t="n">
        <v>504</v>
      </c>
      <c r="P123" s="0" t="n">
        <v>10.84</v>
      </c>
      <c r="Q123" s="0" t="n">
        <v>102900685</v>
      </c>
    </row>
    <row r="124" customFormat="false" ht="15" hidden="false" customHeight="false" outlineLevel="0" collapsed="false">
      <c r="A124" s="0" t="s">
        <v>2711</v>
      </c>
      <c r="B124" s="0" t="s">
        <v>2712</v>
      </c>
      <c r="C124" s="0" t="s">
        <v>2713</v>
      </c>
      <c r="D124" s="0" t="s">
        <v>2385</v>
      </c>
      <c r="E124" s="0" t="n">
        <v>43337</v>
      </c>
      <c r="F124" s="0" t="s">
        <v>64</v>
      </c>
      <c r="G124" s="0" t="n">
        <v>21337220</v>
      </c>
      <c r="H124" s="0" t="n">
        <v>720192</v>
      </c>
      <c r="I124" s="0" t="s">
        <v>34</v>
      </c>
      <c r="J124" s="0" t="s">
        <v>174</v>
      </c>
      <c r="K124" s="0" t="s">
        <v>79</v>
      </c>
      <c r="L124" s="0" t="n">
        <v>223691801</v>
      </c>
      <c r="M124" s="0" t="s">
        <v>363</v>
      </c>
      <c r="N124" s="0" t="n">
        <v>103053323</v>
      </c>
      <c r="O124" s="0" t="n">
        <v>310</v>
      </c>
      <c r="P124" s="0" t="n">
        <v>8.64</v>
      </c>
      <c r="Q124" s="0" t="n">
        <v>103053323</v>
      </c>
    </row>
    <row r="125" customFormat="false" ht="15" hidden="false" customHeight="false" outlineLevel="0" collapsed="false">
      <c r="A125" s="0" t="e">
        <f aca="false">#N/A</f>
        <v>#N/A</v>
      </c>
      <c r="B125" s="0" t="s">
        <v>2714</v>
      </c>
      <c r="C125" s="0" t="s">
        <v>2715</v>
      </c>
      <c r="D125" s="0" t="s">
        <v>2385</v>
      </c>
      <c r="E125" s="0" t="n">
        <v>43337</v>
      </c>
      <c r="F125" s="0" t="s">
        <v>64</v>
      </c>
      <c r="G125" s="0" t="n">
        <v>21337220</v>
      </c>
      <c r="H125" s="0" t="n">
        <v>720192</v>
      </c>
      <c r="I125" s="0" t="s">
        <v>34</v>
      </c>
      <c r="J125" s="0" t="s">
        <v>174</v>
      </c>
      <c r="K125" s="0" t="s">
        <v>97</v>
      </c>
      <c r="L125" s="0" t="n">
        <v>223691774</v>
      </c>
      <c r="M125" s="0" t="s">
        <v>647</v>
      </c>
      <c r="N125" s="0" t="n">
        <v>102916356</v>
      </c>
      <c r="O125" s="0" t="n">
        <v>195</v>
      </c>
      <c r="P125" s="0" t="n">
        <v>4.86</v>
      </c>
      <c r="Q125" s="0" t="e">
        <f aca="false">#N/A</f>
        <v>#N/A</v>
      </c>
    </row>
    <row r="126" customFormat="false" ht="15" hidden="false" customHeight="false" outlineLevel="0" collapsed="false">
      <c r="A126" s="0" t="s">
        <v>2716</v>
      </c>
      <c r="B126" s="0" t="s">
        <v>2717</v>
      </c>
      <c r="C126" s="0" t="s">
        <v>2718</v>
      </c>
      <c r="D126" s="0" t="s">
        <v>2385</v>
      </c>
      <c r="E126" s="0" t="n">
        <v>43337</v>
      </c>
      <c r="F126" s="0" t="s">
        <v>64</v>
      </c>
      <c r="G126" s="0" t="n">
        <v>21337220</v>
      </c>
      <c r="H126" s="0" t="n">
        <v>720192</v>
      </c>
      <c r="I126" s="0" t="s">
        <v>34</v>
      </c>
      <c r="J126" s="0" t="s">
        <v>174</v>
      </c>
      <c r="K126" s="0" t="s">
        <v>86</v>
      </c>
      <c r="L126" s="0" t="n">
        <v>227522762</v>
      </c>
      <c r="M126" s="0" t="s">
        <v>384</v>
      </c>
      <c r="N126" s="0" t="n">
        <v>105216992</v>
      </c>
      <c r="O126" s="0" t="n">
        <v>11094</v>
      </c>
      <c r="P126" s="0" t="n">
        <v>211.89</v>
      </c>
      <c r="Q126" s="0" t="n">
        <v>105216992</v>
      </c>
    </row>
    <row r="127" customFormat="false" ht="15" hidden="false" customHeight="false" outlineLevel="0" collapsed="false">
      <c r="A127" s="0" t="s">
        <v>2719</v>
      </c>
      <c r="B127" s="0" t="s">
        <v>2720</v>
      </c>
      <c r="C127" s="0" t="s">
        <v>2721</v>
      </c>
      <c r="D127" s="0" t="s">
        <v>2385</v>
      </c>
      <c r="E127" s="0" t="n">
        <v>43337</v>
      </c>
      <c r="F127" s="0" t="s">
        <v>64</v>
      </c>
      <c r="G127" s="0" t="n">
        <v>21337220</v>
      </c>
      <c r="H127" s="0" t="n">
        <v>720192</v>
      </c>
      <c r="I127" s="0" t="s">
        <v>34</v>
      </c>
      <c r="J127" s="0" t="s">
        <v>174</v>
      </c>
      <c r="K127" s="0" t="s">
        <v>69</v>
      </c>
      <c r="L127" s="0" t="n">
        <v>223691798</v>
      </c>
      <c r="M127" s="0" t="s">
        <v>333</v>
      </c>
      <c r="N127" s="0" t="n">
        <v>102916347</v>
      </c>
      <c r="O127" s="0" t="n">
        <v>260</v>
      </c>
      <c r="P127" s="0" t="n">
        <v>4.43</v>
      </c>
      <c r="Q127" s="0" t="n">
        <v>102916347</v>
      </c>
    </row>
    <row r="128" customFormat="false" ht="15" hidden="false" customHeight="false" outlineLevel="0" collapsed="false">
      <c r="A128" s="0" t="s">
        <v>2722</v>
      </c>
      <c r="B128" s="0" t="s">
        <v>2723</v>
      </c>
      <c r="C128" s="0" t="s">
        <v>2724</v>
      </c>
      <c r="D128" s="0" t="s">
        <v>2385</v>
      </c>
      <c r="E128" s="0" t="n">
        <v>43337</v>
      </c>
      <c r="F128" s="0" t="s">
        <v>64</v>
      </c>
      <c r="G128" s="0" t="n">
        <v>21337220</v>
      </c>
      <c r="H128" s="0" t="n">
        <v>720192</v>
      </c>
      <c r="I128" s="0" t="s">
        <v>34</v>
      </c>
      <c r="J128" s="0" t="s">
        <v>174</v>
      </c>
      <c r="K128" s="0" t="s">
        <v>84</v>
      </c>
      <c r="L128" s="0" t="n">
        <v>223684451</v>
      </c>
      <c r="M128" s="0" t="s">
        <v>378</v>
      </c>
      <c r="N128" s="0" t="n">
        <v>102901882</v>
      </c>
      <c r="O128" s="0" t="n">
        <v>536</v>
      </c>
      <c r="P128" s="0" t="n">
        <v>12.18</v>
      </c>
      <c r="Q128" s="0" t="n">
        <v>102901882</v>
      </c>
    </row>
    <row r="129" customFormat="false" ht="15" hidden="false" customHeight="false" outlineLevel="0" collapsed="false">
      <c r="A129" s="0" t="s">
        <v>2725</v>
      </c>
      <c r="B129" s="0" t="s">
        <v>2726</v>
      </c>
      <c r="C129" s="0" t="s">
        <v>2727</v>
      </c>
      <c r="D129" s="0" t="s">
        <v>2385</v>
      </c>
      <c r="E129" s="0" t="n">
        <v>43337</v>
      </c>
      <c r="F129" s="0" t="s">
        <v>64</v>
      </c>
      <c r="G129" s="0" t="n">
        <v>21337220</v>
      </c>
      <c r="H129" s="0" t="n">
        <v>720192</v>
      </c>
      <c r="I129" s="0" t="s">
        <v>34</v>
      </c>
      <c r="J129" s="0" t="s">
        <v>174</v>
      </c>
      <c r="K129" s="0" t="s">
        <v>100</v>
      </c>
      <c r="L129" s="0" t="n">
        <v>223691765</v>
      </c>
      <c r="M129" s="0" t="s">
        <v>660</v>
      </c>
      <c r="N129" s="0" t="n">
        <v>103053332</v>
      </c>
      <c r="O129" s="0" t="n">
        <v>560</v>
      </c>
      <c r="P129" s="0" t="n">
        <v>15.93</v>
      </c>
      <c r="Q129" s="0" t="n">
        <v>103053332</v>
      </c>
    </row>
    <row r="130" customFormat="false" ht="15" hidden="false" customHeight="false" outlineLevel="0" collapsed="false">
      <c r="A130" s="0" t="e">
        <f aca="false">#N/A</f>
        <v>#N/A</v>
      </c>
      <c r="B130" s="0" t="s">
        <v>2728</v>
      </c>
      <c r="C130" s="0" t="s">
        <v>2729</v>
      </c>
      <c r="D130" s="0" t="s">
        <v>2385</v>
      </c>
      <c r="E130" s="0" t="n">
        <v>43337</v>
      </c>
      <c r="F130" s="0" t="s">
        <v>64</v>
      </c>
      <c r="G130" s="0" t="n">
        <v>21337220</v>
      </c>
      <c r="H130" s="0" t="n">
        <v>720192</v>
      </c>
      <c r="I130" s="0" t="s">
        <v>34</v>
      </c>
      <c r="J130" s="0" t="s">
        <v>174</v>
      </c>
      <c r="K130" s="0" t="s">
        <v>76</v>
      </c>
      <c r="L130" s="0" t="n">
        <v>223691783</v>
      </c>
      <c r="M130" s="0" t="s">
        <v>354</v>
      </c>
      <c r="N130" s="0" t="n">
        <v>103058723</v>
      </c>
      <c r="O130" s="0" t="n">
        <v>68</v>
      </c>
      <c r="P130" s="0" t="n">
        <v>2.25</v>
      </c>
      <c r="Q130" s="0" t="e">
        <f aca="false">#N/A</f>
        <v>#N/A</v>
      </c>
    </row>
    <row r="131" customFormat="false" ht="15" hidden="false" customHeight="false" outlineLevel="0" collapsed="false">
      <c r="A131" s="0" t="s">
        <v>2730</v>
      </c>
      <c r="B131" s="0" t="s">
        <v>2731</v>
      </c>
      <c r="C131" s="0" t="s">
        <v>2732</v>
      </c>
      <c r="D131" s="0" t="s">
        <v>2385</v>
      </c>
      <c r="E131" s="0" t="n">
        <v>43337</v>
      </c>
      <c r="F131" s="0" t="s">
        <v>64</v>
      </c>
      <c r="G131" s="0" t="n">
        <v>21337220</v>
      </c>
      <c r="H131" s="0" t="n">
        <v>720192</v>
      </c>
      <c r="I131" s="0" t="s">
        <v>34</v>
      </c>
      <c r="J131" s="0" t="s">
        <v>174</v>
      </c>
      <c r="K131" s="0" t="s">
        <v>83</v>
      </c>
      <c r="L131" s="0" t="n">
        <v>223691837</v>
      </c>
      <c r="M131" s="0" t="s">
        <v>375</v>
      </c>
      <c r="N131" s="0" t="n">
        <v>103053314</v>
      </c>
      <c r="O131" s="0" t="n">
        <v>713</v>
      </c>
      <c r="P131" s="0" t="n">
        <v>31.14</v>
      </c>
      <c r="Q131" s="0" t="n">
        <v>103053314</v>
      </c>
    </row>
    <row r="132" customFormat="false" ht="15" hidden="false" customHeight="false" outlineLevel="0" collapsed="false">
      <c r="A132" s="0" t="e">
        <f aca="false">#N/A</f>
        <v>#N/A</v>
      </c>
      <c r="B132" s="0" t="s">
        <v>2733</v>
      </c>
      <c r="C132" s="0" t="s">
        <v>2734</v>
      </c>
      <c r="D132" s="0" t="s">
        <v>2385</v>
      </c>
      <c r="E132" s="0" t="n">
        <v>43337</v>
      </c>
      <c r="F132" s="0" t="s">
        <v>64</v>
      </c>
      <c r="G132" s="0" t="n">
        <v>21337220</v>
      </c>
      <c r="H132" s="0" t="n">
        <v>720192</v>
      </c>
      <c r="I132" s="0" t="s">
        <v>34</v>
      </c>
      <c r="J132" s="0" t="s">
        <v>174</v>
      </c>
      <c r="K132" s="0" t="s">
        <v>98</v>
      </c>
      <c r="L132" s="0" t="n">
        <v>223691813</v>
      </c>
      <c r="M132" s="0" t="s">
        <v>654</v>
      </c>
      <c r="N132" s="0" t="n">
        <v>103053320</v>
      </c>
      <c r="O132" s="0" t="n">
        <v>125</v>
      </c>
      <c r="P132" s="0" t="n">
        <v>1.2</v>
      </c>
      <c r="Q132" s="0" t="e">
        <f aca="false">#N/A</f>
        <v>#N/A</v>
      </c>
    </row>
    <row r="133" customFormat="false" ht="15" hidden="false" customHeight="false" outlineLevel="0" collapsed="false">
      <c r="A133" s="0" t="e">
        <f aca="false">#N/A</f>
        <v>#N/A</v>
      </c>
      <c r="B133" s="0" t="s">
        <v>2735</v>
      </c>
      <c r="C133" s="0" t="s">
        <v>2736</v>
      </c>
      <c r="D133" s="0" t="s">
        <v>2385</v>
      </c>
      <c r="E133" s="0" t="n">
        <v>43337</v>
      </c>
      <c r="F133" s="0" t="s">
        <v>64</v>
      </c>
      <c r="G133" s="0" t="n">
        <v>21337220</v>
      </c>
      <c r="H133" s="0" t="n">
        <v>720192</v>
      </c>
      <c r="I133" s="0" t="s">
        <v>34</v>
      </c>
      <c r="J133" s="0" t="s">
        <v>174</v>
      </c>
      <c r="K133" s="0" t="s">
        <v>82</v>
      </c>
      <c r="L133" s="0" t="n">
        <v>225322327</v>
      </c>
      <c r="M133" s="0" t="s">
        <v>372</v>
      </c>
      <c r="N133" s="0" t="n">
        <v>103902287</v>
      </c>
      <c r="O133" s="0" t="n">
        <v>815</v>
      </c>
      <c r="P133" s="0" t="n">
        <v>15.13</v>
      </c>
      <c r="Q133" s="0" t="e">
        <f aca="false">#N/A</f>
        <v>#N/A</v>
      </c>
    </row>
    <row r="134" customFormat="false" ht="15" hidden="false" customHeight="false" outlineLevel="0" collapsed="false">
      <c r="A134" s="0" t="s">
        <v>2737</v>
      </c>
      <c r="B134" s="0" t="s">
        <v>2738</v>
      </c>
      <c r="C134" s="0" t="s">
        <v>2739</v>
      </c>
      <c r="D134" s="0" t="s">
        <v>2385</v>
      </c>
      <c r="E134" s="0" t="n">
        <v>43337</v>
      </c>
      <c r="F134" s="0" t="s">
        <v>64</v>
      </c>
      <c r="G134" s="0" t="n">
        <v>21337220</v>
      </c>
      <c r="H134" s="0" t="n">
        <v>720192</v>
      </c>
      <c r="I134" s="0" t="s">
        <v>34</v>
      </c>
      <c r="J134" s="0" t="s">
        <v>174</v>
      </c>
      <c r="K134" s="0" t="s">
        <v>85</v>
      </c>
      <c r="L134" s="0" t="n">
        <v>227525720</v>
      </c>
      <c r="M134" s="0" t="s">
        <v>381</v>
      </c>
      <c r="N134" s="0" t="n">
        <v>105130125</v>
      </c>
      <c r="O134" s="0" t="n">
        <v>3813</v>
      </c>
      <c r="P134" s="0" t="n">
        <v>82.45</v>
      </c>
      <c r="Q134" s="0" t="n">
        <v>105130125</v>
      </c>
    </row>
    <row r="135" customFormat="false" ht="15" hidden="false" customHeight="false" outlineLevel="0" collapsed="false">
      <c r="A135" s="0" t="e">
        <f aca="false">#N/A</f>
        <v>#N/A</v>
      </c>
      <c r="B135" s="0" t="s">
        <v>2740</v>
      </c>
      <c r="C135" s="0" t="s">
        <v>2741</v>
      </c>
      <c r="D135" s="0" t="s">
        <v>2385</v>
      </c>
      <c r="E135" s="0" t="n">
        <v>43337</v>
      </c>
      <c r="F135" s="0" t="s">
        <v>64</v>
      </c>
      <c r="G135" s="0" t="n">
        <v>21337220</v>
      </c>
      <c r="H135" s="0" t="n">
        <v>720192</v>
      </c>
      <c r="I135" s="0" t="s">
        <v>34</v>
      </c>
      <c r="J135" s="0" t="s">
        <v>174</v>
      </c>
      <c r="K135" s="0" t="s">
        <v>93</v>
      </c>
      <c r="L135" s="0" t="n">
        <v>223691816</v>
      </c>
      <c r="M135" s="0" t="s">
        <v>625</v>
      </c>
      <c r="N135" s="0" t="n">
        <v>102916341</v>
      </c>
      <c r="O135" s="0" t="n">
        <v>670</v>
      </c>
      <c r="P135" s="0" t="n">
        <v>11.04</v>
      </c>
      <c r="Q135" s="0" t="e">
        <f aca="false">#N/A</f>
        <v>#N/A</v>
      </c>
    </row>
    <row r="136" customFormat="false" ht="15" hidden="false" customHeight="false" outlineLevel="0" collapsed="false">
      <c r="A136" s="0" t="s">
        <v>2742</v>
      </c>
      <c r="B136" s="0" t="s">
        <v>2743</v>
      </c>
      <c r="C136" s="0" t="s">
        <v>2744</v>
      </c>
      <c r="D136" s="0" t="s">
        <v>2385</v>
      </c>
      <c r="E136" s="0" t="n">
        <v>43337</v>
      </c>
      <c r="F136" s="0" t="s">
        <v>64</v>
      </c>
      <c r="G136" s="0" t="n">
        <v>21337220</v>
      </c>
      <c r="H136" s="0" t="n">
        <v>720192</v>
      </c>
      <c r="I136" s="0" t="s">
        <v>34</v>
      </c>
      <c r="J136" s="0" t="s">
        <v>174</v>
      </c>
      <c r="K136" s="0" t="s">
        <v>96</v>
      </c>
      <c r="L136" s="0" t="n">
        <v>223691804</v>
      </c>
      <c r="M136" s="0" t="s">
        <v>642</v>
      </c>
      <c r="N136" s="0" t="n">
        <v>103058717</v>
      </c>
      <c r="O136" s="0" t="n">
        <v>48</v>
      </c>
      <c r="P136" s="0" t="n">
        <v>0.6</v>
      </c>
      <c r="Q136" s="0" t="n">
        <v>103058717</v>
      </c>
    </row>
    <row r="137" customFormat="false" ht="15" hidden="false" customHeight="false" outlineLevel="0" collapsed="false">
      <c r="A137" s="0" t="s">
        <v>2745</v>
      </c>
      <c r="B137" s="0" t="s">
        <v>2746</v>
      </c>
      <c r="C137" s="0" t="s">
        <v>2747</v>
      </c>
      <c r="D137" s="0" t="s">
        <v>2385</v>
      </c>
      <c r="E137" s="0" t="n">
        <v>43337</v>
      </c>
      <c r="F137" s="0" t="s">
        <v>64</v>
      </c>
      <c r="G137" s="0" t="n">
        <v>21337220</v>
      </c>
      <c r="H137" s="0" t="n">
        <v>720192</v>
      </c>
      <c r="I137" s="0" t="s">
        <v>34</v>
      </c>
      <c r="J137" s="0" t="s">
        <v>174</v>
      </c>
      <c r="K137" s="0" t="s">
        <v>91</v>
      </c>
      <c r="L137" s="0" t="n">
        <v>223691828</v>
      </c>
      <c r="M137" s="0" t="s">
        <v>399</v>
      </c>
      <c r="N137" s="0" t="n">
        <v>102902956</v>
      </c>
      <c r="O137" s="0" t="n">
        <v>855</v>
      </c>
      <c r="P137" s="0" t="n">
        <v>13.57</v>
      </c>
      <c r="Q137" s="0" t="n">
        <v>102902956</v>
      </c>
    </row>
    <row r="138" customFormat="false" ht="15" hidden="false" customHeight="false" outlineLevel="0" collapsed="false">
      <c r="A138" s="0" t="s">
        <v>2748</v>
      </c>
      <c r="B138" s="0" t="s">
        <v>2749</v>
      </c>
      <c r="C138" s="0" t="s">
        <v>2750</v>
      </c>
      <c r="D138" s="0" t="s">
        <v>2385</v>
      </c>
      <c r="E138" s="0" t="n">
        <v>43337</v>
      </c>
      <c r="F138" s="0" t="s">
        <v>64</v>
      </c>
      <c r="G138" s="0" t="n">
        <v>21337220</v>
      </c>
      <c r="H138" s="0" t="n">
        <v>720192</v>
      </c>
      <c r="I138" s="0" t="s">
        <v>34</v>
      </c>
      <c r="J138" s="0" t="s">
        <v>174</v>
      </c>
      <c r="K138" s="0" t="s">
        <v>80</v>
      </c>
      <c r="L138" s="0" t="n">
        <v>223691825</v>
      </c>
      <c r="M138" s="0" t="s">
        <v>366</v>
      </c>
      <c r="N138" s="0" t="n">
        <v>102916338</v>
      </c>
      <c r="O138" s="0" t="n">
        <v>2439</v>
      </c>
      <c r="P138" s="0" t="n">
        <v>106.54</v>
      </c>
      <c r="Q138" s="0" t="n">
        <v>102916338</v>
      </c>
    </row>
    <row r="139" customFormat="false" ht="15" hidden="false" customHeight="false" outlineLevel="0" collapsed="false">
      <c r="A139" s="0" t="s">
        <v>2751</v>
      </c>
      <c r="B139" s="0" t="s">
        <v>2752</v>
      </c>
      <c r="C139" s="0" t="s">
        <v>2753</v>
      </c>
      <c r="D139" s="0" t="s">
        <v>2385</v>
      </c>
      <c r="E139" s="0" t="n">
        <v>43337</v>
      </c>
      <c r="F139" s="0" t="s">
        <v>64</v>
      </c>
      <c r="G139" s="0" t="n">
        <v>21337220</v>
      </c>
      <c r="H139" s="0" t="n">
        <v>720192</v>
      </c>
      <c r="I139" s="0" t="s">
        <v>34</v>
      </c>
      <c r="J139" s="0" t="s">
        <v>174</v>
      </c>
      <c r="K139" s="0" t="s">
        <v>88</v>
      </c>
      <c r="L139" s="0" t="n">
        <v>223691834</v>
      </c>
      <c r="M139" s="0" t="s">
        <v>390</v>
      </c>
      <c r="N139" s="0" t="n">
        <v>102902953</v>
      </c>
      <c r="O139" s="0" t="n">
        <v>2035</v>
      </c>
      <c r="P139" s="0" t="n">
        <v>44.13</v>
      </c>
      <c r="Q139" s="0" t="n">
        <v>102902953</v>
      </c>
    </row>
    <row r="140" customFormat="false" ht="15" hidden="false" customHeight="false" outlineLevel="0" collapsed="false">
      <c r="A140" s="0" t="s">
        <v>2754</v>
      </c>
      <c r="B140" s="0" t="s">
        <v>2755</v>
      </c>
      <c r="C140" s="0" t="s">
        <v>2756</v>
      </c>
      <c r="D140" s="0" t="s">
        <v>2385</v>
      </c>
      <c r="E140" s="0" t="n">
        <v>43337</v>
      </c>
      <c r="F140" s="0" t="s">
        <v>64</v>
      </c>
      <c r="G140" s="0" t="n">
        <v>21337220</v>
      </c>
      <c r="H140" s="0" t="n">
        <v>720192</v>
      </c>
      <c r="I140" s="0" t="s">
        <v>34</v>
      </c>
      <c r="J140" s="0" t="s">
        <v>174</v>
      </c>
      <c r="K140" s="0" t="s">
        <v>89</v>
      </c>
      <c r="L140" s="0" t="n">
        <v>223691822</v>
      </c>
      <c r="M140" s="0" t="s">
        <v>393</v>
      </c>
      <c r="N140" s="0" t="n">
        <v>103058708</v>
      </c>
      <c r="O140" s="0" t="n">
        <v>1384</v>
      </c>
      <c r="P140" s="0" t="n">
        <v>52.25</v>
      </c>
      <c r="Q140" s="0" t="n">
        <v>103058708</v>
      </c>
    </row>
    <row r="141" customFormat="false" ht="15" hidden="false" customHeight="false" outlineLevel="0" collapsed="false">
      <c r="A141" s="0" t="s">
        <v>2757</v>
      </c>
      <c r="B141" s="0" t="s">
        <v>2758</v>
      </c>
      <c r="C141" s="0" t="s">
        <v>2759</v>
      </c>
      <c r="D141" s="0" t="s">
        <v>2385</v>
      </c>
      <c r="E141" s="0" t="n">
        <v>43337</v>
      </c>
      <c r="F141" s="0" t="s">
        <v>64</v>
      </c>
      <c r="G141" s="0" t="n">
        <v>21337220</v>
      </c>
      <c r="H141" s="0" t="n">
        <v>720192</v>
      </c>
      <c r="I141" s="0" t="s">
        <v>34</v>
      </c>
      <c r="J141" s="0" t="s">
        <v>174</v>
      </c>
      <c r="K141" s="0" t="s">
        <v>70</v>
      </c>
      <c r="L141" s="0" t="n">
        <v>223691831</v>
      </c>
      <c r="M141" s="0" t="s">
        <v>336</v>
      </c>
      <c r="N141" s="0" t="n">
        <v>102913800</v>
      </c>
      <c r="O141" s="0" t="n">
        <v>1775</v>
      </c>
      <c r="P141" s="0" t="n">
        <v>38.5</v>
      </c>
      <c r="Q141" s="0" t="n">
        <v>102913800</v>
      </c>
    </row>
    <row r="142" customFormat="false" ht="15" hidden="false" customHeight="false" outlineLevel="0" collapsed="false">
      <c r="A142" s="0" t="s">
        <v>2760</v>
      </c>
      <c r="B142" s="0" t="s">
        <v>2761</v>
      </c>
      <c r="C142" s="0" t="s">
        <v>2762</v>
      </c>
      <c r="D142" s="0" t="s">
        <v>2385</v>
      </c>
      <c r="E142" s="0" t="n">
        <v>43337</v>
      </c>
      <c r="F142" s="0" t="s">
        <v>64</v>
      </c>
      <c r="G142" s="0" t="n">
        <v>21337220</v>
      </c>
      <c r="H142" s="0" t="n">
        <v>720192</v>
      </c>
      <c r="I142" s="0" t="s">
        <v>34</v>
      </c>
      <c r="J142" s="0" t="s">
        <v>174</v>
      </c>
      <c r="K142" s="0" t="s">
        <v>90</v>
      </c>
      <c r="L142" s="0" t="n">
        <v>223691819</v>
      </c>
      <c r="M142" s="0" t="s">
        <v>396</v>
      </c>
      <c r="N142" s="0" t="n">
        <v>102900682</v>
      </c>
      <c r="O142" s="0" t="n">
        <v>1485</v>
      </c>
      <c r="P142" s="0" t="n">
        <v>62.7</v>
      </c>
      <c r="Q142" s="0" t="n">
        <v>102900682</v>
      </c>
    </row>
    <row r="143" customFormat="false" ht="15" hidden="false" customHeight="false" outlineLevel="0" collapsed="false">
      <c r="A143" s="0" t="s">
        <v>2763</v>
      </c>
      <c r="B143" s="0" t="s">
        <v>2764</v>
      </c>
      <c r="C143" s="0" t="s">
        <v>2765</v>
      </c>
      <c r="D143" s="0" t="s">
        <v>2385</v>
      </c>
      <c r="E143" s="0" t="n">
        <v>43337</v>
      </c>
      <c r="F143" s="0" t="s">
        <v>64</v>
      </c>
      <c r="G143" s="0" t="n">
        <v>21337220</v>
      </c>
      <c r="H143" s="0" t="n">
        <v>720192</v>
      </c>
      <c r="I143" s="0" t="s">
        <v>34</v>
      </c>
      <c r="J143" s="0" t="s">
        <v>174</v>
      </c>
      <c r="K143" s="0" t="s">
        <v>87</v>
      </c>
      <c r="L143" s="0" t="n">
        <v>223691795</v>
      </c>
      <c r="M143" s="0" t="s">
        <v>387</v>
      </c>
      <c r="N143" s="0" t="n">
        <v>102900688</v>
      </c>
      <c r="O143" s="0" t="n">
        <v>146</v>
      </c>
      <c r="P143" s="0" t="n">
        <v>4.9</v>
      </c>
      <c r="Q143" s="0" t="n">
        <v>102900688</v>
      </c>
    </row>
    <row r="144" customFormat="false" ht="15" hidden="false" customHeight="false" outlineLevel="0" collapsed="false">
      <c r="A144" s="0" t="e">
        <f aca="false">#N/A</f>
        <v>#N/A</v>
      </c>
      <c r="B144" s="0" t="s">
        <v>2766</v>
      </c>
      <c r="C144" s="0" t="s">
        <v>2767</v>
      </c>
      <c r="D144" s="0" t="s">
        <v>2385</v>
      </c>
      <c r="E144" s="0" t="n">
        <v>43337</v>
      </c>
      <c r="F144" s="0" t="s">
        <v>64</v>
      </c>
      <c r="G144" s="0" t="n">
        <v>21337220</v>
      </c>
      <c r="H144" s="0" t="n">
        <v>720192</v>
      </c>
      <c r="I144" s="0" t="s">
        <v>34</v>
      </c>
      <c r="J144" s="0" t="s">
        <v>174</v>
      </c>
      <c r="K144" s="0" t="s">
        <v>101</v>
      </c>
      <c r="L144" s="0" t="n">
        <v>223691768</v>
      </c>
      <c r="M144" s="0" t="s">
        <v>663</v>
      </c>
      <c r="N144" s="0" t="n">
        <v>102902971</v>
      </c>
      <c r="O144" s="0" t="n">
        <v>158</v>
      </c>
      <c r="P144" s="0" t="n">
        <v>5.53</v>
      </c>
      <c r="Q144" s="0" t="e">
        <f aca="false">#N/A</f>
        <v>#N/A</v>
      </c>
    </row>
    <row r="145" customFormat="false" ht="15" hidden="false" customHeight="false" outlineLevel="0" collapsed="false">
      <c r="A145" s="0" t="e">
        <f aca="false">#N/A</f>
        <v>#N/A</v>
      </c>
      <c r="B145" s="0" t="s">
        <v>2768</v>
      </c>
      <c r="C145" s="0" t="s">
        <v>2769</v>
      </c>
      <c r="D145" s="0" t="s">
        <v>2385</v>
      </c>
      <c r="E145" s="0" t="n">
        <v>43337</v>
      </c>
      <c r="F145" s="0" t="s">
        <v>64</v>
      </c>
      <c r="G145" s="0" t="n">
        <v>21337220</v>
      </c>
      <c r="H145" s="0" t="n">
        <v>720192</v>
      </c>
      <c r="I145" s="0" t="s">
        <v>34</v>
      </c>
      <c r="J145" s="0" t="s">
        <v>174</v>
      </c>
      <c r="K145" s="0" t="s">
        <v>74</v>
      </c>
      <c r="L145" s="0" t="n">
        <v>223691789</v>
      </c>
      <c r="M145" s="0" t="s">
        <v>348</v>
      </c>
      <c r="N145" s="0" t="n">
        <v>102900691</v>
      </c>
      <c r="O145" s="0" t="n">
        <v>358</v>
      </c>
      <c r="P145" s="0" t="n">
        <v>12.48</v>
      </c>
      <c r="Q145" s="0" t="e">
        <f aca="false">#N/A</f>
        <v>#N/A</v>
      </c>
    </row>
    <row r="146" customFormat="false" ht="15" hidden="false" customHeight="false" outlineLevel="0" collapsed="false">
      <c r="A146" s="0" t="s">
        <v>2770</v>
      </c>
      <c r="B146" s="0" t="s">
        <v>2771</v>
      </c>
      <c r="C146" s="0" t="s">
        <v>2772</v>
      </c>
      <c r="D146" s="0" t="s">
        <v>2385</v>
      </c>
      <c r="E146" s="0" t="n">
        <v>43337</v>
      </c>
      <c r="F146" s="0" t="s">
        <v>64</v>
      </c>
      <c r="G146" s="0" t="n">
        <v>21337220</v>
      </c>
      <c r="H146" s="0" t="n">
        <v>720192</v>
      </c>
      <c r="I146" s="0" t="s">
        <v>34</v>
      </c>
      <c r="J146" s="0" t="s">
        <v>174</v>
      </c>
      <c r="K146" s="0" t="s">
        <v>75</v>
      </c>
      <c r="L146" s="0" t="n">
        <v>223691780</v>
      </c>
      <c r="M146" s="0" t="s">
        <v>351</v>
      </c>
      <c r="N146" s="0" t="n">
        <v>103058726</v>
      </c>
      <c r="O146" s="0" t="n">
        <v>1894</v>
      </c>
      <c r="P146" s="0" t="n">
        <v>61.09</v>
      </c>
      <c r="Q146" s="0" t="n">
        <v>103058726</v>
      </c>
    </row>
    <row r="147" customFormat="false" ht="15" hidden="false" customHeight="false" outlineLevel="0" collapsed="false">
      <c r="A147" s="0" t="s">
        <v>2773</v>
      </c>
      <c r="B147" s="0" t="s">
        <v>2774</v>
      </c>
      <c r="C147" s="0" t="s">
        <v>2775</v>
      </c>
      <c r="D147" s="0" t="s">
        <v>2385</v>
      </c>
      <c r="E147" s="0" t="n">
        <v>43337</v>
      </c>
      <c r="F147" s="0" t="s">
        <v>64</v>
      </c>
      <c r="G147" s="0" t="n">
        <v>21337220</v>
      </c>
      <c r="H147" s="0" t="n">
        <v>720192</v>
      </c>
      <c r="I147" s="0" t="s">
        <v>34</v>
      </c>
      <c r="J147" s="0" t="s">
        <v>174</v>
      </c>
      <c r="K147" s="0" t="s">
        <v>81</v>
      </c>
      <c r="L147" s="0" t="n">
        <v>223691786</v>
      </c>
      <c r="M147" s="0" t="s">
        <v>369</v>
      </c>
      <c r="N147" s="0" t="n">
        <v>103058720</v>
      </c>
      <c r="O147" s="0" t="n">
        <v>629</v>
      </c>
      <c r="P147" s="0" t="n">
        <v>17.26</v>
      </c>
      <c r="Q147" s="0" t="n">
        <v>103058720</v>
      </c>
    </row>
    <row r="148" customFormat="false" ht="15" hidden="false" customHeight="false" outlineLevel="0" collapsed="false">
      <c r="A148" s="0" t="s">
        <v>2776</v>
      </c>
      <c r="B148" s="0" t="s">
        <v>2777</v>
      </c>
      <c r="C148" s="0" t="s">
        <v>2778</v>
      </c>
      <c r="D148" s="0" t="s">
        <v>2385</v>
      </c>
      <c r="E148" s="0" t="n">
        <v>43337</v>
      </c>
      <c r="F148" s="0" t="s">
        <v>64</v>
      </c>
      <c r="G148" s="0" t="n">
        <v>21337220</v>
      </c>
      <c r="H148" s="0" t="n">
        <v>720192</v>
      </c>
      <c r="I148" s="0" t="s">
        <v>34</v>
      </c>
      <c r="J148" s="0" t="s">
        <v>174</v>
      </c>
      <c r="K148" s="0" t="s">
        <v>72</v>
      </c>
      <c r="L148" s="0" t="n">
        <v>223691777</v>
      </c>
      <c r="M148" s="0" t="s">
        <v>342</v>
      </c>
      <c r="N148" s="0" t="n">
        <v>102900697</v>
      </c>
      <c r="O148" s="0" t="n">
        <v>588</v>
      </c>
      <c r="P148" s="0" t="n">
        <v>25.26</v>
      </c>
      <c r="Q148" s="0" t="n">
        <v>102900697</v>
      </c>
    </row>
    <row r="149" customFormat="false" ht="15" hidden="false" customHeight="false" outlineLevel="0" collapsed="false">
      <c r="A149" s="0" t="s">
        <v>2779</v>
      </c>
      <c r="B149" s="0" t="s">
        <v>2780</v>
      </c>
      <c r="C149" s="0" t="s">
        <v>2781</v>
      </c>
      <c r="D149" s="0" t="s">
        <v>2385</v>
      </c>
      <c r="E149" s="0" t="n">
        <v>43336</v>
      </c>
      <c r="F149" s="0" t="s">
        <v>64</v>
      </c>
      <c r="G149" s="0" t="n">
        <v>21337220</v>
      </c>
      <c r="H149" s="0" t="n">
        <v>720192</v>
      </c>
      <c r="I149" s="0" t="s">
        <v>34</v>
      </c>
      <c r="J149" s="0" t="s">
        <v>174</v>
      </c>
      <c r="K149" s="0" t="s">
        <v>86</v>
      </c>
      <c r="L149" s="0" t="n">
        <v>227522762</v>
      </c>
      <c r="M149" s="0" t="s">
        <v>384</v>
      </c>
      <c r="N149" s="0" t="n">
        <v>105216992</v>
      </c>
      <c r="O149" s="0" t="n">
        <v>8423</v>
      </c>
      <c r="P149" s="0" t="n">
        <v>166.92</v>
      </c>
      <c r="Q149" s="0" t="n">
        <v>105216992</v>
      </c>
    </row>
    <row r="150" customFormat="false" ht="15" hidden="false" customHeight="false" outlineLevel="0" collapsed="false">
      <c r="A150" s="0" t="s">
        <v>2782</v>
      </c>
      <c r="B150" s="0" t="s">
        <v>2783</v>
      </c>
      <c r="C150" s="0" t="s">
        <v>2784</v>
      </c>
      <c r="D150" s="0" t="s">
        <v>2385</v>
      </c>
      <c r="E150" s="0" t="n">
        <v>43336</v>
      </c>
      <c r="F150" s="0" t="s">
        <v>64</v>
      </c>
      <c r="G150" s="0" t="n">
        <v>21337220</v>
      </c>
      <c r="H150" s="0" t="n">
        <v>720192</v>
      </c>
      <c r="I150" s="0" t="s">
        <v>34</v>
      </c>
      <c r="J150" s="0" t="s">
        <v>174</v>
      </c>
      <c r="K150" s="0" t="s">
        <v>85</v>
      </c>
      <c r="L150" s="0" t="n">
        <v>227525720</v>
      </c>
      <c r="M150" s="0" t="s">
        <v>381</v>
      </c>
      <c r="N150" s="0" t="n">
        <v>105130125</v>
      </c>
      <c r="O150" s="0" t="n">
        <v>3499</v>
      </c>
      <c r="P150" s="0" t="n">
        <v>81.2</v>
      </c>
      <c r="Q150" s="0" t="n">
        <v>105130125</v>
      </c>
    </row>
    <row r="151" customFormat="false" ht="15" hidden="false" customHeight="false" outlineLevel="0" collapsed="false">
      <c r="A151" s="0" t="s">
        <v>2785</v>
      </c>
      <c r="B151" s="0" t="s">
        <v>2786</v>
      </c>
      <c r="C151" s="0" t="s">
        <v>2787</v>
      </c>
      <c r="D151" s="0" t="s">
        <v>2385</v>
      </c>
      <c r="E151" s="0" t="n">
        <v>43336</v>
      </c>
      <c r="F151" s="0" t="s">
        <v>64</v>
      </c>
      <c r="G151" s="0" t="n">
        <v>21337220</v>
      </c>
      <c r="H151" s="0" t="n">
        <v>720192</v>
      </c>
      <c r="I151" s="0" t="s">
        <v>34</v>
      </c>
      <c r="J151" s="0" t="s">
        <v>174</v>
      </c>
      <c r="K151" s="0" t="s">
        <v>99</v>
      </c>
      <c r="L151" s="0" t="n">
        <v>223691771</v>
      </c>
      <c r="M151" s="0" t="s">
        <v>657</v>
      </c>
      <c r="N151" s="0" t="n">
        <v>102902968</v>
      </c>
      <c r="O151" s="0" t="n">
        <v>1060</v>
      </c>
      <c r="P151" s="0" t="n">
        <v>20.3</v>
      </c>
      <c r="Q151" s="0" t="n">
        <v>102902968</v>
      </c>
    </row>
    <row r="152" customFormat="false" ht="15" hidden="false" customHeight="false" outlineLevel="0" collapsed="false">
      <c r="A152" s="0" t="e">
        <f aca="false">#N/A</f>
        <v>#N/A</v>
      </c>
      <c r="B152" s="0" t="s">
        <v>2788</v>
      </c>
      <c r="C152" s="0" t="s">
        <v>2789</v>
      </c>
      <c r="D152" s="0" t="s">
        <v>2385</v>
      </c>
      <c r="E152" s="0" t="n">
        <v>43336</v>
      </c>
      <c r="F152" s="0" t="s">
        <v>64</v>
      </c>
      <c r="G152" s="0" t="n">
        <v>21337220</v>
      </c>
      <c r="H152" s="0" t="n">
        <v>720192</v>
      </c>
      <c r="I152" s="0" t="s">
        <v>34</v>
      </c>
      <c r="J152" s="0" t="s">
        <v>174</v>
      </c>
      <c r="K152" s="0" t="s">
        <v>96</v>
      </c>
      <c r="L152" s="0" t="n">
        <v>223691804</v>
      </c>
      <c r="M152" s="0" t="s">
        <v>642</v>
      </c>
      <c r="N152" s="0" t="n">
        <v>103058717</v>
      </c>
      <c r="O152" s="0" t="n">
        <v>184</v>
      </c>
      <c r="P152" s="0" t="n">
        <v>6.11</v>
      </c>
      <c r="Q152" s="0" t="e">
        <f aca="false">#N/A</f>
        <v>#N/A</v>
      </c>
    </row>
    <row r="153" customFormat="false" ht="15" hidden="false" customHeight="false" outlineLevel="0" collapsed="false">
      <c r="A153" s="0" t="s">
        <v>2790</v>
      </c>
      <c r="B153" s="0" t="s">
        <v>2791</v>
      </c>
      <c r="C153" s="0" t="s">
        <v>2792</v>
      </c>
      <c r="D153" s="0" t="s">
        <v>2385</v>
      </c>
      <c r="E153" s="0" t="n">
        <v>43336</v>
      </c>
      <c r="F153" s="0" t="s">
        <v>64</v>
      </c>
      <c r="G153" s="0" t="n">
        <v>21337220</v>
      </c>
      <c r="H153" s="0" t="n">
        <v>720192</v>
      </c>
      <c r="I153" s="0" t="s">
        <v>34</v>
      </c>
      <c r="J153" s="0" t="s">
        <v>174</v>
      </c>
      <c r="K153" s="0" t="s">
        <v>69</v>
      </c>
      <c r="L153" s="0" t="n">
        <v>223691798</v>
      </c>
      <c r="M153" s="0" t="s">
        <v>333</v>
      </c>
      <c r="N153" s="0" t="n">
        <v>102916347</v>
      </c>
      <c r="O153" s="0" t="n">
        <v>354</v>
      </c>
      <c r="P153" s="0" t="n">
        <v>7.03</v>
      </c>
      <c r="Q153" s="0" t="n">
        <v>102916347</v>
      </c>
    </row>
    <row r="154" customFormat="false" ht="15" hidden="false" customHeight="false" outlineLevel="0" collapsed="false">
      <c r="A154" s="0" t="e">
        <f aca="false">#N/A</f>
        <v>#N/A</v>
      </c>
      <c r="B154" s="0" t="s">
        <v>2793</v>
      </c>
      <c r="C154" s="0" t="s">
        <v>2794</v>
      </c>
      <c r="D154" s="0" t="s">
        <v>2385</v>
      </c>
      <c r="E154" s="0" t="n">
        <v>43336</v>
      </c>
      <c r="F154" s="0" t="s">
        <v>64</v>
      </c>
      <c r="G154" s="0" t="n">
        <v>21337220</v>
      </c>
      <c r="H154" s="0" t="n">
        <v>720192</v>
      </c>
      <c r="I154" s="0" t="s">
        <v>34</v>
      </c>
      <c r="J154" s="0" t="s">
        <v>174</v>
      </c>
      <c r="K154" s="0" t="s">
        <v>81</v>
      </c>
      <c r="L154" s="0" t="n">
        <v>223691786</v>
      </c>
      <c r="M154" s="0" t="s">
        <v>369</v>
      </c>
      <c r="N154" s="0" t="n">
        <v>103058720</v>
      </c>
      <c r="O154" s="0" t="n">
        <v>354</v>
      </c>
      <c r="P154" s="0" t="n">
        <v>8.05</v>
      </c>
      <c r="Q154" s="0" t="e">
        <f aca="false">#N/A</f>
        <v>#N/A</v>
      </c>
    </row>
    <row r="155" customFormat="false" ht="15" hidden="false" customHeight="false" outlineLevel="0" collapsed="false">
      <c r="A155" s="0" t="e">
        <f aca="false">#N/A</f>
        <v>#N/A</v>
      </c>
      <c r="B155" s="0" t="s">
        <v>2795</v>
      </c>
      <c r="C155" s="0" t="s">
        <v>2796</v>
      </c>
      <c r="D155" s="0" t="s">
        <v>2385</v>
      </c>
      <c r="E155" s="0" t="n">
        <v>43336</v>
      </c>
      <c r="F155" s="0" t="s">
        <v>64</v>
      </c>
      <c r="G155" s="0" t="n">
        <v>21337220</v>
      </c>
      <c r="H155" s="0" t="n">
        <v>720192</v>
      </c>
      <c r="I155" s="0" t="s">
        <v>34</v>
      </c>
      <c r="J155" s="0" t="s">
        <v>174</v>
      </c>
      <c r="K155" s="0" t="s">
        <v>71</v>
      </c>
      <c r="L155" s="0" t="n">
        <v>225322324</v>
      </c>
      <c r="M155" s="0" t="s">
        <v>339</v>
      </c>
      <c r="N155" s="0" t="n">
        <v>103789915</v>
      </c>
      <c r="O155" s="0" t="n">
        <v>529</v>
      </c>
      <c r="P155" s="0" t="n">
        <v>11.22</v>
      </c>
      <c r="Q155" s="0" t="e">
        <f aca="false">#N/A</f>
        <v>#N/A</v>
      </c>
    </row>
    <row r="156" customFormat="false" ht="15" hidden="false" customHeight="false" outlineLevel="0" collapsed="false">
      <c r="A156" s="0" t="s">
        <v>2797</v>
      </c>
      <c r="B156" s="0" t="s">
        <v>2798</v>
      </c>
      <c r="C156" s="0" t="s">
        <v>2799</v>
      </c>
      <c r="D156" s="0" t="s">
        <v>2385</v>
      </c>
      <c r="E156" s="0" t="n">
        <v>43336</v>
      </c>
      <c r="F156" s="0" t="s">
        <v>64</v>
      </c>
      <c r="G156" s="0" t="n">
        <v>21337220</v>
      </c>
      <c r="H156" s="0" t="n">
        <v>720192</v>
      </c>
      <c r="I156" s="0" t="s">
        <v>34</v>
      </c>
      <c r="J156" s="0" t="s">
        <v>174</v>
      </c>
      <c r="K156" s="0" t="s">
        <v>88</v>
      </c>
      <c r="L156" s="0" t="n">
        <v>223691834</v>
      </c>
      <c r="M156" s="0" t="s">
        <v>390</v>
      </c>
      <c r="N156" s="0" t="n">
        <v>102902953</v>
      </c>
      <c r="O156" s="0" t="n">
        <v>2565</v>
      </c>
      <c r="P156" s="0" t="n">
        <v>59.51</v>
      </c>
      <c r="Q156" s="0" t="n">
        <v>102902953</v>
      </c>
    </row>
    <row r="157" customFormat="false" ht="15" hidden="false" customHeight="false" outlineLevel="0" collapsed="false">
      <c r="A157" s="0" t="s">
        <v>2800</v>
      </c>
      <c r="B157" s="0" t="s">
        <v>2801</v>
      </c>
      <c r="C157" s="0" t="s">
        <v>2802</v>
      </c>
      <c r="D157" s="0" t="s">
        <v>2385</v>
      </c>
      <c r="E157" s="0" t="n">
        <v>43336</v>
      </c>
      <c r="F157" s="0" t="s">
        <v>64</v>
      </c>
      <c r="G157" s="0" t="n">
        <v>21337220</v>
      </c>
      <c r="H157" s="0" t="n">
        <v>720192</v>
      </c>
      <c r="I157" s="0" t="s">
        <v>34</v>
      </c>
      <c r="J157" s="0" t="s">
        <v>174</v>
      </c>
      <c r="K157" s="0" t="s">
        <v>101</v>
      </c>
      <c r="L157" s="0" t="n">
        <v>223691768</v>
      </c>
      <c r="M157" s="0" t="s">
        <v>663</v>
      </c>
      <c r="N157" s="0" t="n">
        <v>102902971</v>
      </c>
      <c r="O157" s="0" t="n">
        <v>265</v>
      </c>
      <c r="P157" s="0" t="n">
        <v>10.39</v>
      </c>
      <c r="Q157" s="0" t="n">
        <v>102902971</v>
      </c>
    </row>
    <row r="158" customFormat="false" ht="15" hidden="false" customHeight="false" outlineLevel="0" collapsed="false">
      <c r="A158" s="0" t="s">
        <v>2803</v>
      </c>
      <c r="B158" s="0" t="s">
        <v>2804</v>
      </c>
      <c r="C158" s="0" t="s">
        <v>2805</v>
      </c>
      <c r="D158" s="0" t="s">
        <v>2385</v>
      </c>
      <c r="E158" s="0" t="n">
        <v>43336</v>
      </c>
      <c r="F158" s="0" t="s">
        <v>64</v>
      </c>
      <c r="G158" s="0" t="n">
        <v>21337220</v>
      </c>
      <c r="H158" s="0" t="n">
        <v>720192</v>
      </c>
      <c r="I158" s="0" t="s">
        <v>34</v>
      </c>
      <c r="J158" s="0" t="s">
        <v>174</v>
      </c>
      <c r="K158" s="0" t="s">
        <v>90</v>
      </c>
      <c r="L158" s="0" t="n">
        <v>223691819</v>
      </c>
      <c r="M158" s="0" t="s">
        <v>396</v>
      </c>
      <c r="N158" s="0" t="n">
        <v>102900682</v>
      </c>
      <c r="O158" s="0" t="n">
        <v>881</v>
      </c>
      <c r="P158" s="0" t="n">
        <v>39.4</v>
      </c>
      <c r="Q158" s="0" t="n">
        <v>102900682</v>
      </c>
    </row>
    <row r="159" customFormat="false" ht="15" hidden="false" customHeight="false" outlineLevel="0" collapsed="false">
      <c r="A159" s="0" t="e">
        <f aca="false">#N/A</f>
        <v>#N/A</v>
      </c>
      <c r="B159" s="0" t="s">
        <v>2806</v>
      </c>
      <c r="C159" s="0" t="s">
        <v>2807</v>
      </c>
      <c r="D159" s="0" t="s">
        <v>2385</v>
      </c>
      <c r="E159" s="0" t="n">
        <v>43336</v>
      </c>
      <c r="F159" s="0" t="s">
        <v>64</v>
      </c>
      <c r="G159" s="0" t="n">
        <v>21337220</v>
      </c>
      <c r="H159" s="0" t="n">
        <v>720192</v>
      </c>
      <c r="I159" s="0" t="s">
        <v>34</v>
      </c>
      <c r="J159" s="0" t="s">
        <v>174</v>
      </c>
      <c r="K159" s="0" t="s">
        <v>73</v>
      </c>
      <c r="L159" s="0" t="n">
        <v>223691792</v>
      </c>
      <c r="M159" s="0" t="s">
        <v>345</v>
      </c>
      <c r="N159" s="0" t="n">
        <v>102901894</v>
      </c>
      <c r="O159" s="0" t="n">
        <v>150</v>
      </c>
      <c r="P159" s="0" t="n">
        <v>3.2</v>
      </c>
      <c r="Q159" s="0" t="e">
        <f aca="false">#N/A</f>
        <v>#N/A</v>
      </c>
    </row>
    <row r="160" customFormat="false" ht="15" hidden="false" customHeight="false" outlineLevel="0" collapsed="false">
      <c r="A160" s="0" t="s">
        <v>2808</v>
      </c>
      <c r="B160" s="0" t="s">
        <v>2809</v>
      </c>
      <c r="C160" s="0" t="s">
        <v>2810</v>
      </c>
      <c r="D160" s="0" t="s">
        <v>2385</v>
      </c>
      <c r="E160" s="0" t="n">
        <v>43336</v>
      </c>
      <c r="F160" s="0" t="s">
        <v>64</v>
      </c>
      <c r="G160" s="0" t="n">
        <v>21337220</v>
      </c>
      <c r="H160" s="0" t="n">
        <v>720192</v>
      </c>
      <c r="I160" s="0" t="s">
        <v>34</v>
      </c>
      <c r="J160" s="0" t="s">
        <v>174</v>
      </c>
      <c r="K160" s="0" t="s">
        <v>77</v>
      </c>
      <c r="L160" s="0" t="n">
        <v>223691840</v>
      </c>
      <c r="M160" s="0" t="s">
        <v>357</v>
      </c>
      <c r="N160" s="0" t="n">
        <v>102902950</v>
      </c>
      <c r="O160" s="0" t="n">
        <v>1189</v>
      </c>
      <c r="P160" s="0" t="n">
        <v>28.21</v>
      </c>
      <c r="Q160" s="0" t="n">
        <v>102902950</v>
      </c>
    </row>
    <row r="161" customFormat="false" ht="15" hidden="false" customHeight="false" outlineLevel="0" collapsed="false">
      <c r="A161" s="0" t="s">
        <v>2811</v>
      </c>
      <c r="B161" s="0" t="s">
        <v>2812</v>
      </c>
      <c r="C161" s="0" t="s">
        <v>2813</v>
      </c>
      <c r="D161" s="0" t="s">
        <v>2385</v>
      </c>
      <c r="E161" s="0" t="n">
        <v>43336</v>
      </c>
      <c r="F161" s="0" t="s">
        <v>64</v>
      </c>
      <c r="G161" s="0" t="n">
        <v>21337220</v>
      </c>
      <c r="H161" s="0" t="n">
        <v>720192</v>
      </c>
      <c r="I161" s="0" t="s">
        <v>34</v>
      </c>
      <c r="J161" s="0" t="s">
        <v>174</v>
      </c>
      <c r="K161" s="0" t="s">
        <v>74</v>
      </c>
      <c r="L161" s="0" t="n">
        <v>223691789</v>
      </c>
      <c r="M161" s="0" t="s">
        <v>348</v>
      </c>
      <c r="N161" s="0" t="n">
        <v>102900691</v>
      </c>
      <c r="O161" s="0" t="n">
        <v>479</v>
      </c>
      <c r="P161" s="0" t="n">
        <v>12.2</v>
      </c>
      <c r="Q161" s="0" t="n">
        <v>102900691</v>
      </c>
    </row>
    <row r="162" customFormat="false" ht="15" hidden="false" customHeight="false" outlineLevel="0" collapsed="false">
      <c r="A162" s="0" t="s">
        <v>2814</v>
      </c>
      <c r="B162" s="0" t="s">
        <v>2815</v>
      </c>
      <c r="C162" s="0" t="s">
        <v>2816</v>
      </c>
      <c r="D162" s="0" t="s">
        <v>2385</v>
      </c>
      <c r="E162" s="0" t="n">
        <v>43336</v>
      </c>
      <c r="F162" s="0" t="s">
        <v>64</v>
      </c>
      <c r="G162" s="0" t="n">
        <v>21337220</v>
      </c>
      <c r="H162" s="0" t="n">
        <v>720192</v>
      </c>
      <c r="I162" s="0" t="s">
        <v>34</v>
      </c>
      <c r="J162" s="0" t="s">
        <v>174</v>
      </c>
      <c r="K162" s="0" t="s">
        <v>80</v>
      </c>
      <c r="L162" s="0" t="n">
        <v>223691825</v>
      </c>
      <c r="M162" s="0" t="s">
        <v>366</v>
      </c>
      <c r="N162" s="0" t="n">
        <v>102916338</v>
      </c>
      <c r="O162" s="0" t="n">
        <v>2183</v>
      </c>
      <c r="P162" s="0" t="n">
        <v>98.48</v>
      </c>
      <c r="Q162" s="0" t="n">
        <v>102916338</v>
      </c>
    </row>
    <row r="163" customFormat="false" ht="15" hidden="false" customHeight="false" outlineLevel="0" collapsed="false">
      <c r="A163" s="0" t="s">
        <v>2817</v>
      </c>
      <c r="B163" s="0" t="s">
        <v>2818</v>
      </c>
      <c r="C163" s="0" t="s">
        <v>2819</v>
      </c>
      <c r="D163" s="0" t="s">
        <v>2385</v>
      </c>
      <c r="E163" s="0" t="n">
        <v>43336</v>
      </c>
      <c r="F163" s="0" t="s">
        <v>64</v>
      </c>
      <c r="G163" s="0" t="n">
        <v>21337220</v>
      </c>
      <c r="H163" s="0" t="n">
        <v>720192</v>
      </c>
      <c r="I163" s="0" t="s">
        <v>34</v>
      </c>
      <c r="J163" s="0" t="s">
        <v>174</v>
      </c>
      <c r="K163" s="0" t="s">
        <v>97</v>
      </c>
      <c r="L163" s="0" t="n">
        <v>223691774</v>
      </c>
      <c r="M163" s="0" t="s">
        <v>647</v>
      </c>
      <c r="N163" s="0" t="n">
        <v>102916356</v>
      </c>
      <c r="O163" s="0" t="n">
        <v>153</v>
      </c>
      <c r="P163" s="0" t="n">
        <v>5.29</v>
      </c>
      <c r="Q163" s="0" t="n">
        <v>102916356</v>
      </c>
    </row>
    <row r="164" customFormat="false" ht="15" hidden="false" customHeight="false" outlineLevel="0" collapsed="false">
      <c r="A164" s="0" t="s">
        <v>2820</v>
      </c>
      <c r="B164" s="0" t="s">
        <v>2821</v>
      </c>
      <c r="C164" s="0" t="s">
        <v>2822</v>
      </c>
      <c r="D164" s="0" t="s">
        <v>2385</v>
      </c>
      <c r="E164" s="0" t="n">
        <v>43336</v>
      </c>
      <c r="F164" s="0" t="s">
        <v>64</v>
      </c>
      <c r="G164" s="0" t="n">
        <v>21337220</v>
      </c>
      <c r="H164" s="0" t="n">
        <v>720192</v>
      </c>
      <c r="I164" s="0" t="s">
        <v>34</v>
      </c>
      <c r="J164" s="0" t="s">
        <v>174</v>
      </c>
      <c r="K164" s="0" t="s">
        <v>95</v>
      </c>
      <c r="L164" s="0" t="n">
        <v>223691807</v>
      </c>
      <c r="M164" s="0" t="s">
        <v>635</v>
      </c>
      <c r="N164" s="0" t="n">
        <v>102900685</v>
      </c>
      <c r="O164" s="0" t="n">
        <v>401</v>
      </c>
      <c r="P164" s="0" t="n">
        <v>9.94</v>
      </c>
      <c r="Q164" s="0" t="n">
        <v>102900685</v>
      </c>
    </row>
    <row r="165" customFormat="false" ht="15" hidden="false" customHeight="false" outlineLevel="0" collapsed="false">
      <c r="A165" s="0" t="s">
        <v>2823</v>
      </c>
      <c r="B165" s="0" t="s">
        <v>2824</v>
      </c>
      <c r="C165" s="0" t="s">
        <v>2825</v>
      </c>
      <c r="D165" s="0" t="s">
        <v>2385</v>
      </c>
      <c r="E165" s="0" t="n">
        <v>43336</v>
      </c>
      <c r="F165" s="0" t="s">
        <v>64</v>
      </c>
      <c r="G165" s="0" t="n">
        <v>21337220</v>
      </c>
      <c r="H165" s="0" t="n">
        <v>720192</v>
      </c>
      <c r="I165" s="0" t="s">
        <v>34</v>
      </c>
      <c r="J165" s="0" t="s">
        <v>174</v>
      </c>
      <c r="K165" s="0" t="s">
        <v>91</v>
      </c>
      <c r="L165" s="0" t="n">
        <v>223691828</v>
      </c>
      <c r="M165" s="0" t="s">
        <v>399</v>
      </c>
      <c r="N165" s="0" t="n">
        <v>102902956</v>
      </c>
      <c r="O165" s="0" t="n">
        <v>804</v>
      </c>
      <c r="P165" s="0" t="n">
        <v>14.19</v>
      </c>
      <c r="Q165" s="0" t="n">
        <v>102902956</v>
      </c>
    </row>
    <row r="166" customFormat="false" ht="15" hidden="false" customHeight="false" outlineLevel="0" collapsed="false">
      <c r="A166" s="0" t="s">
        <v>2826</v>
      </c>
      <c r="B166" s="0" t="s">
        <v>2827</v>
      </c>
      <c r="C166" s="0" t="s">
        <v>2828</v>
      </c>
      <c r="D166" s="0" t="s">
        <v>2385</v>
      </c>
      <c r="E166" s="0" t="n">
        <v>43336</v>
      </c>
      <c r="F166" s="0" t="s">
        <v>64</v>
      </c>
      <c r="G166" s="0" t="n">
        <v>21337220</v>
      </c>
      <c r="H166" s="0" t="n">
        <v>720192</v>
      </c>
      <c r="I166" s="0" t="s">
        <v>34</v>
      </c>
      <c r="J166" s="0" t="s">
        <v>174</v>
      </c>
      <c r="K166" s="0" t="s">
        <v>67</v>
      </c>
      <c r="L166" s="0" t="n">
        <v>227618695</v>
      </c>
      <c r="M166" s="0" t="s">
        <v>330</v>
      </c>
      <c r="N166" s="0" t="n">
        <v>105127638</v>
      </c>
      <c r="O166" s="0" t="n">
        <v>1706</v>
      </c>
      <c r="P166" s="0" t="n">
        <v>26.53</v>
      </c>
      <c r="Q166" s="0" t="n">
        <v>105127638</v>
      </c>
    </row>
    <row r="167" customFormat="false" ht="15" hidden="false" customHeight="false" outlineLevel="0" collapsed="false">
      <c r="A167" s="0" t="e">
        <f aca="false">#N/A</f>
        <v>#N/A</v>
      </c>
      <c r="B167" s="0" t="s">
        <v>2829</v>
      </c>
      <c r="C167" s="0" t="s">
        <v>2830</v>
      </c>
      <c r="D167" s="0" t="s">
        <v>2385</v>
      </c>
      <c r="E167" s="0" t="n">
        <v>43336</v>
      </c>
      <c r="F167" s="0" t="s">
        <v>64</v>
      </c>
      <c r="G167" s="0" t="n">
        <v>21337220</v>
      </c>
      <c r="H167" s="0" t="n">
        <v>720192</v>
      </c>
      <c r="I167" s="0" t="s">
        <v>34</v>
      </c>
      <c r="J167" s="0" t="s">
        <v>174</v>
      </c>
      <c r="K167" s="0" t="s">
        <v>78</v>
      </c>
      <c r="L167" s="0" t="n">
        <v>227522771</v>
      </c>
      <c r="M167" s="0" t="s">
        <v>360</v>
      </c>
      <c r="N167" s="0" t="n">
        <v>105130128</v>
      </c>
      <c r="O167" s="0" t="n">
        <v>748</v>
      </c>
      <c r="P167" s="0" t="n">
        <v>14.78</v>
      </c>
      <c r="Q167" s="0" t="e">
        <f aca="false">#N/A</f>
        <v>#N/A</v>
      </c>
    </row>
    <row r="168" customFormat="false" ht="15" hidden="false" customHeight="false" outlineLevel="0" collapsed="false">
      <c r="A168" s="0" t="s">
        <v>2831</v>
      </c>
      <c r="B168" s="0" t="s">
        <v>2832</v>
      </c>
      <c r="C168" s="0" t="s">
        <v>2833</v>
      </c>
      <c r="D168" s="0" t="s">
        <v>2385</v>
      </c>
      <c r="E168" s="0" t="n">
        <v>43336</v>
      </c>
      <c r="F168" s="0" t="s">
        <v>64</v>
      </c>
      <c r="G168" s="0" t="n">
        <v>21337220</v>
      </c>
      <c r="H168" s="0" t="n">
        <v>720192</v>
      </c>
      <c r="I168" s="0" t="s">
        <v>34</v>
      </c>
      <c r="J168" s="0" t="s">
        <v>174</v>
      </c>
      <c r="K168" s="0" t="s">
        <v>79</v>
      </c>
      <c r="L168" s="0" t="n">
        <v>223691801</v>
      </c>
      <c r="M168" s="0" t="s">
        <v>363</v>
      </c>
      <c r="N168" s="0" t="n">
        <v>103053323</v>
      </c>
      <c r="O168" s="0" t="n">
        <v>246</v>
      </c>
      <c r="P168" s="0" t="n">
        <v>7.16</v>
      </c>
      <c r="Q168" s="0" t="n">
        <v>103053323</v>
      </c>
    </row>
    <row r="169" customFormat="false" ht="15" hidden="false" customHeight="false" outlineLevel="0" collapsed="false">
      <c r="A169" s="0" t="s">
        <v>2834</v>
      </c>
      <c r="B169" s="0" t="s">
        <v>2835</v>
      </c>
      <c r="C169" s="0" t="s">
        <v>2836</v>
      </c>
      <c r="D169" s="0" t="s">
        <v>2385</v>
      </c>
      <c r="E169" s="0" t="n">
        <v>43336</v>
      </c>
      <c r="F169" s="0" t="s">
        <v>64</v>
      </c>
      <c r="G169" s="0" t="n">
        <v>21337220</v>
      </c>
      <c r="H169" s="0" t="n">
        <v>720192</v>
      </c>
      <c r="I169" s="0" t="s">
        <v>34</v>
      </c>
      <c r="J169" s="0" t="s">
        <v>174</v>
      </c>
      <c r="K169" s="0" t="s">
        <v>94</v>
      </c>
      <c r="L169" s="0" t="n">
        <v>223691810</v>
      </c>
      <c r="M169" s="0" t="s">
        <v>632</v>
      </c>
      <c r="N169" s="0" t="n">
        <v>103058711</v>
      </c>
      <c r="O169" s="0" t="n">
        <v>342</v>
      </c>
      <c r="P169" s="0" t="n">
        <v>6.6</v>
      </c>
      <c r="Q169" s="0" t="n">
        <v>103058711</v>
      </c>
    </row>
    <row r="170" customFormat="false" ht="15" hidden="false" customHeight="false" outlineLevel="0" collapsed="false">
      <c r="A170" s="0" t="s">
        <v>2837</v>
      </c>
      <c r="B170" s="0" t="s">
        <v>2838</v>
      </c>
      <c r="C170" s="0" t="s">
        <v>2839</v>
      </c>
      <c r="D170" s="0" t="s">
        <v>2385</v>
      </c>
      <c r="E170" s="0" t="n">
        <v>43336</v>
      </c>
      <c r="F170" s="0" t="s">
        <v>64</v>
      </c>
      <c r="G170" s="0" t="n">
        <v>21337220</v>
      </c>
      <c r="H170" s="0" t="n">
        <v>720192</v>
      </c>
      <c r="I170" s="0" t="s">
        <v>34</v>
      </c>
      <c r="J170" s="0" t="s">
        <v>174</v>
      </c>
      <c r="K170" s="0" t="s">
        <v>100</v>
      </c>
      <c r="L170" s="0" t="n">
        <v>223691765</v>
      </c>
      <c r="M170" s="0" t="s">
        <v>660</v>
      </c>
      <c r="N170" s="0" t="n">
        <v>103053332</v>
      </c>
      <c r="O170" s="0" t="n">
        <v>766</v>
      </c>
      <c r="P170" s="0" t="n">
        <v>19.3</v>
      </c>
      <c r="Q170" s="0" t="n">
        <v>103053332</v>
      </c>
    </row>
    <row r="171" customFormat="false" ht="15" hidden="false" customHeight="false" outlineLevel="0" collapsed="false">
      <c r="A171" s="0" t="s">
        <v>2840</v>
      </c>
      <c r="B171" s="0" t="s">
        <v>2841</v>
      </c>
      <c r="C171" s="0" t="s">
        <v>2842</v>
      </c>
      <c r="D171" s="0" t="s">
        <v>2385</v>
      </c>
      <c r="E171" s="0" t="n">
        <v>43336</v>
      </c>
      <c r="F171" s="0" t="s">
        <v>64</v>
      </c>
      <c r="G171" s="0" t="n">
        <v>21337220</v>
      </c>
      <c r="H171" s="0" t="n">
        <v>720192</v>
      </c>
      <c r="I171" s="0" t="s">
        <v>34</v>
      </c>
      <c r="J171" s="0" t="s">
        <v>174</v>
      </c>
      <c r="K171" s="0" t="s">
        <v>72</v>
      </c>
      <c r="L171" s="0" t="n">
        <v>223691777</v>
      </c>
      <c r="M171" s="0" t="s">
        <v>342</v>
      </c>
      <c r="N171" s="0" t="n">
        <v>102900697</v>
      </c>
      <c r="O171" s="0" t="n">
        <v>1965</v>
      </c>
      <c r="P171" s="0" t="n">
        <v>71.06</v>
      </c>
      <c r="Q171" s="0" t="n">
        <v>102900697</v>
      </c>
    </row>
    <row r="172" customFormat="false" ht="15" hidden="false" customHeight="false" outlineLevel="0" collapsed="false">
      <c r="A172" s="0" t="e">
        <f aca="false">#N/A</f>
        <v>#N/A</v>
      </c>
      <c r="B172" s="0" t="s">
        <v>2843</v>
      </c>
      <c r="C172" s="0" t="s">
        <v>2844</v>
      </c>
      <c r="D172" s="0" t="s">
        <v>2385</v>
      </c>
      <c r="E172" s="0" t="n">
        <v>43336</v>
      </c>
      <c r="F172" s="0" t="s">
        <v>64</v>
      </c>
      <c r="G172" s="0" t="n">
        <v>21337220</v>
      </c>
      <c r="H172" s="0" t="n">
        <v>720192</v>
      </c>
      <c r="I172" s="0" t="s">
        <v>34</v>
      </c>
      <c r="J172" s="0" t="s">
        <v>174</v>
      </c>
      <c r="K172" s="0" t="s">
        <v>76</v>
      </c>
      <c r="L172" s="0" t="n">
        <v>223691783</v>
      </c>
      <c r="M172" s="0" t="s">
        <v>354</v>
      </c>
      <c r="N172" s="0" t="n">
        <v>103058723</v>
      </c>
      <c r="O172" s="0" t="n">
        <v>46</v>
      </c>
      <c r="P172" s="0" t="n">
        <v>1.28</v>
      </c>
      <c r="Q172" s="0" t="e">
        <f aca="false">#N/A</f>
        <v>#N/A</v>
      </c>
    </row>
    <row r="173" customFormat="false" ht="15" hidden="false" customHeight="false" outlineLevel="0" collapsed="false">
      <c r="A173" s="0" t="e">
        <f aca="false">#N/A</f>
        <v>#N/A</v>
      </c>
      <c r="B173" s="0" t="s">
        <v>2845</v>
      </c>
      <c r="C173" s="0" t="s">
        <v>2846</v>
      </c>
      <c r="D173" s="0" t="s">
        <v>2385</v>
      </c>
      <c r="E173" s="0" t="n">
        <v>43336</v>
      </c>
      <c r="F173" s="0" t="s">
        <v>64</v>
      </c>
      <c r="G173" s="0" t="n">
        <v>21337220</v>
      </c>
      <c r="H173" s="0" t="n">
        <v>720192</v>
      </c>
      <c r="I173" s="0" t="s">
        <v>34</v>
      </c>
      <c r="J173" s="0" t="s">
        <v>174</v>
      </c>
      <c r="K173" s="0" t="s">
        <v>98</v>
      </c>
      <c r="L173" s="0" t="n">
        <v>223691813</v>
      </c>
      <c r="M173" s="0" t="s">
        <v>654</v>
      </c>
      <c r="N173" s="0" t="n">
        <v>103053320</v>
      </c>
      <c r="O173" s="0" t="n">
        <v>189</v>
      </c>
      <c r="P173" s="0" t="n">
        <v>3.39</v>
      </c>
      <c r="Q173" s="0" t="e">
        <f aca="false">#N/A</f>
        <v>#N/A</v>
      </c>
    </row>
    <row r="174" customFormat="false" ht="15" hidden="false" customHeight="false" outlineLevel="0" collapsed="false">
      <c r="A174" s="0" t="e">
        <f aca="false">#N/A</f>
        <v>#N/A</v>
      </c>
      <c r="B174" s="0" t="s">
        <v>2847</v>
      </c>
      <c r="C174" s="0" t="s">
        <v>2848</v>
      </c>
      <c r="D174" s="0" t="s">
        <v>2385</v>
      </c>
      <c r="E174" s="0" t="n">
        <v>43336</v>
      </c>
      <c r="F174" s="0" t="s">
        <v>64</v>
      </c>
      <c r="G174" s="0" t="n">
        <v>21337220</v>
      </c>
      <c r="H174" s="0" t="n">
        <v>720192</v>
      </c>
      <c r="I174" s="0" t="s">
        <v>34</v>
      </c>
      <c r="J174" s="0" t="s">
        <v>174</v>
      </c>
      <c r="K174" s="0" t="s">
        <v>82</v>
      </c>
      <c r="L174" s="0" t="n">
        <v>225322327</v>
      </c>
      <c r="M174" s="0" t="s">
        <v>372</v>
      </c>
      <c r="N174" s="0" t="n">
        <v>103902287</v>
      </c>
      <c r="O174" s="0" t="n">
        <v>376</v>
      </c>
      <c r="P174" s="0" t="n">
        <v>6.62</v>
      </c>
      <c r="Q174" s="0" t="e">
        <f aca="false">#N/A</f>
        <v>#N/A</v>
      </c>
    </row>
    <row r="175" customFormat="false" ht="15" hidden="false" customHeight="false" outlineLevel="0" collapsed="false">
      <c r="A175" s="0" t="s">
        <v>2849</v>
      </c>
      <c r="B175" s="0" t="s">
        <v>2850</v>
      </c>
      <c r="C175" s="0" t="s">
        <v>2851</v>
      </c>
      <c r="D175" s="0" t="s">
        <v>2385</v>
      </c>
      <c r="E175" s="0" t="n">
        <v>43336</v>
      </c>
      <c r="F175" s="0" t="s">
        <v>64</v>
      </c>
      <c r="G175" s="0" t="n">
        <v>21337220</v>
      </c>
      <c r="H175" s="0" t="n">
        <v>720192</v>
      </c>
      <c r="I175" s="0" t="s">
        <v>34</v>
      </c>
      <c r="J175" s="0" t="s">
        <v>174</v>
      </c>
      <c r="K175" s="0" t="s">
        <v>87</v>
      </c>
      <c r="L175" s="0" t="n">
        <v>223691795</v>
      </c>
      <c r="M175" s="0" t="s">
        <v>387</v>
      </c>
      <c r="N175" s="0" t="n">
        <v>102900688</v>
      </c>
      <c r="O175" s="0" t="n">
        <v>197</v>
      </c>
      <c r="P175" s="0" t="n">
        <v>8.27</v>
      </c>
      <c r="Q175" s="0" t="n">
        <v>102900688</v>
      </c>
    </row>
    <row r="176" customFormat="false" ht="15" hidden="false" customHeight="false" outlineLevel="0" collapsed="false">
      <c r="A176" s="0" t="s">
        <v>2852</v>
      </c>
      <c r="B176" s="0" t="s">
        <v>2853</v>
      </c>
      <c r="C176" s="0" t="s">
        <v>2854</v>
      </c>
      <c r="D176" s="0" t="s">
        <v>2385</v>
      </c>
      <c r="E176" s="0" t="n">
        <v>43336</v>
      </c>
      <c r="F176" s="0" t="s">
        <v>64</v>
      </c>
      <c r="G176" s="0" t="n">
        <v>21337220</v>
      </c>
      <c r="H176" s="0" t="n">
        <v>720192</v>
      </c>
      <c r="I176" s="0" t="s">
        <v>34</v>
      </c>
      <c r="J176" s="0" t="s">
        <v>174</v>
      </c>
      <c r="K176" s="0" t="s">
        <v>70</v>
      </c>
      <c r="L176" s="0" t="n">
        <v>223691831</v>
      </c>
      <c r="M176" s="0" t="s">
        <v>336</v>
      </c>
      <c r="N176" s="0" t="n">
        <v>102913800</v>
      </c>
      <c r="O176" s="0" t="n">
        <v>1158</v>
      </c>
      <c r="P176" s="0" t="n">
        <v>30.41</v>
      </c>
      <c r="Q176" s="0" t="n">
        <v>102913800</v>
      </c>
    </row>
    <row r="177" customFormat="false" ht="15" hidden="false" customHeight="false" outlineLevel="0" collapsed="false">
      <c r="A177" s="0" t="s">
        <v>2855</v>
      </c>
      <c r="B177" s="0" t="s">
        <v>2856</v>
      </c>
      <c r="C177" s="0" t="s">
        <v>2857</v>
      </c>
      <c r="D177" s="0" t="s">
        <v>2385</v>
      </c>
      <c r="E177" s="0" t="n">
        <v>43336</v>
      </c>
      <c r="F177" s="0" t="s">
        <v>64</v>
      </c>
      <c r="G177" s="0" t="n">
        <v>21337220</v>
      </c>
      <c r="H177" s="0" t="n">
        <v>720192</v>
      </c>
      <c r="I177" s="0" t="s">
        <v>34</v>
      </c>
      <c r="J177" s="0" t="s">
        <v>174</v>
      </c>
      <c r="K177" s="0" t="s">
        <v>83</v>
      </c>
      <c r="L177" s="0" t="n">
        <v>223691837</v>
      </c>
      <c r="M177" s="0" t="s">
        <v>375</v>
      </c>
      <c r="N177" s="0" t="n">
        <v>103053314</v>
      </c>
      <c r="O177" s="0" t="n">
        <v>2626</v>
      </c>
      <c r="P177" s="0" t="n">
        <v>78.33</v>
      </c>
      <c r="Q177" s="0" t="n">
        <v>103053314</v>
      </c>
    </row>
    <row r="178" customFormat="false" ht="15" hidden="false" customHeight="false" outlineLevel="0" collapsed="false">
      <c r="A178" s="0" t="s">
        <v>2858</v>
      </c>
      <c r="B178" s="0" t="s">
        <v>2859</v>
      </c>
      <c r="C178" s="0" t="s">
        <v>2860</v>
      </c>
      <c r="D178" s="0" t="s">
        <v>2385</v>
      </c>
      <c r="E178" s="0" t="n">
        <v>43336</v>
      </c>
      <c r="F178" s="0" t="s">
        <v>64</v>
      </c>
      <c r="G178" s="0" t="n">
        <v>21337220</v>
      </c>
      <c r="H178" s="0" t="n">
        <v>720192</v>
      </c>
      <c r="I178" s="0" t="s">
        <v>34</v>
      </c>
      <c r="J178" s="0" t="s">
        <v>174</v>
      </c>
      <c r="K178" s="0" t="s">
        <v>84</v>
      </c>
      <c r="L178" s="0" t="n">
        <v>223684451</v>
      </c>
      <c r="M178" s="0" t="s">
        <v>378</v>
      </c>
      <c r="N178" s="0" t="n">
        <v>102901882</v>
      </c>
      <c r="O178" s="0" t="n">
        <v>420</v>
      </c>
      <c r="P178" s="0" t="n">
        <v>10.33</v>
      </c>
      <c r="Q178" s="0" t="n">
        <v>102901882</v>
      </c>
    </row>
    <row r="179" customFormat="false" ht="15" hidden="false" customHeight="false" outlineLevel="0" collapsed="false">
      <c r="A179" s="0" t="e">
        <f aca="false">#N/A</f>
        <v>#N/A</v>
      </c>
      <c r="B179" s="0" t="s">
        <v>2861</v>
      </c>
      <c r="C179" s="0" t="s">
        <v>2862</v>
      </c>
      <c r="D179" s="0" t="s">
        <v>2385</v>
      </c>
      <c r="E179" s="0" t="n">
        <v>43336</v>
      </c>
      <c r="F179" s="0" t="s">
        <v>64</v>
      </c>
      <c r="G179" s="0" t="n">
        <v>21337220</v>
      </c>
      <c r="H179" s="0" t="n">
        <v>720192</v>
      </c>
      <c r="I179" s="0" t="s">
        <v>34</v>
      </c>
      <c r="J179" s="0" t="s">
        <v>174</v>
      </c>
      <c r="K179" s="0" t="s">
        <v>92</v>
      </c>
      <c r="L179" s="0" t="n">
        <v>223691762</v>
      </c>
      <c r="M179" s="0" t="s">
        <v>600</v>
      </c>
      <c r="N179" s="0" t="n">
        <v>102902974</v>
      </c>
      <c r="O179" s="0" t="n">
        <v>102</v>
      </c>
      <c r="P179" s="0" t="n">
        <v>2.36</v>
      </c>
      <c r="Q179" s="0" t="e">
        <f aca="false">#N/A</f>
        <v>#N/A</v>
      </c>
    </row>
    <row r="180" customFormat="false" ht="15" hidden="false" customHeight="false" outlineLevel="0" collapsed="false">
      <c r="A180" s="0" t="s">
        <v>2863</v>
      </c>
      <c r="B180" s="0" t="s">
        <v>2864</v>
      </c>
      <c r="C180" s="0" t="s">
        <v>2865</v>
      </c>
      <c r="D180" s="0" t="s">
        <v>2385</v>
      </c>
      <c r="E180" s="0" t="n">
        <v>43336</v>
      </c>
      <c r="F180" s="0" t="s">
        <v>64</v>
      </c>
      <c r="G180" s="0" t="n">
        <v>21337220</v>
      </c>
      <c r="H180" s="0" t="n">
        <v>720192</v>
      </c>
      <c r="I180" s="0" t="s">
        <v>34</v>
      </c>
      <c r="J180" s="0" t="s">
        <v>174</v>
      </c>
      <c r="K180" s="0" t="s">
        <v>93</v>
      </c>
      <c r="L180" s="0" t="n">
        <v>223691816</v>
      </c>
      <c r="M180" s="0" t="s">
        <v>625</v>
      </c>
      <c r="N180" s="0" t="n">
        <v>102916341</v>
      </c>
      <c r="O180" s="0" t="n">
        <v>449</v>
      </c>
      <c r="P180" s="0" t="n">
        <v>10.23</v>
      </c>
      <c r="Q180" s="0" t="n">
        <v>102916341</v>
      </c>
    </row>
    <row r="181" customFormat="false" ht="15" hidden="false" customHeight="false" outlineLevel="0" collapsed="false">
      <c r="A181" s="0" t="s">
        <v>2866</v>
      </c>
      <c r="B181" s="0" t="s">
        <v>2867</v>
      </c>
      <c r="C181" s="0" t="s">
        <v>2868</v>
      </c>
      <c r="D181" s="0" t="s">
        <v>2385</v>
      </c>
      <c r="E181" s="0" t="n">
        <v>43336</v>
      </c>
      <c r="F181" s="0" t="s">
        <v>64</v>
      </c>
      <c r="G181" s="0" t="n">
        <v>21337220</v>
      </c>
      <c r="H181" s="0" t="n">
        <v>720192</v>
      </c>
      <c r="I181" s="0" t="s">
        <v>34</v>
      </c>
      <c r="J181" s="0" t="s">
        <v>174</v>
      </c>
      <c r="K181" s="0" t="s">
        <v>89</v>
      </c>
      <c r="L181" s="0" t="n">
        <v>223691822</v>
      </c>
      <c r="M181" s="0" t="s">
        <v>393</v>
      </c>
      <c r="N181" s="0" t="n">
        <v>103058708</v>
      </c>
      <c r="O181" s="0" t="n">
        <v>1820</v>
      </c>
      <c r="P181" s="0" t="n">
        <v>72.78</v>
      </c>
      <c r="Q181" s="0" t="n">
        <v>103058708</v>
      </c>
    </row>
    <row r="182" customFormat="false" ht="15" hidden="false" customHeight="false" outlineLevel="0" collapsed="false">
      <c r="A182" s="0" t="s">
        <v>2869</v>
      </c>
      <c r="B182" s="0" t="s">
        <v>2870</v>
      </c>
      <c r="C182" s="0" t="s">
        <v>2871</v>
      </c>
      <c r="D182" s="0" t="s">
        <v>2385</v>
      </c>
      <c r="E182" s="0" t="n">
        <v>43336</v>
      </c>
      <c r="F182" s="0" t="s">
        <v>64</v>
      </c>
      <c r="G182" s="0" t="n">
        <v>21337220</v>
      </c>
      <c r="H182" s="0" t="n">
        <v>720192</v>
      </c>
      <c r="I182" s="0" t="s">
        <v>34</v>
      </c>
      <c r="J182" s="0" t="s">
        <v>174</v>
      </c>
      <c r="K182" s="0" t="s">
        <v>75</v>
      </c>
      <c r="L182" s="0" t="n">
        <v>223691780</v>
      </c>
      <c r="M182" s="0" t="s">
        <v>351</v>
      </c>
      <c r="N182" s="0" t="n">
        <v>103058726</v>
      </c>
      <c r="O182" s="0" t="n">
        <v>662</v>
      </c>
      <c r="P182" s="0" t="n">
        <v>23.56</v>
      </c>
      <c r="Q182" s="0" t="n">
        <v>103058726</v>
      </c>
    </row>
    <row r="183" customFormat="false" ht="15" hidden="false" customHeight="false" outlineLevel="0" collapsed="false">
      <c r="A183" s="0" t="e">
        <f aca="false">#N/A</f>
        <v>#N/A</v>
      </c>
      <c r="B183" s="0" t="s">
        <v>2872</v>
      </c>
      <c r="C183" s="0" t="s">
        <v>2873</v>
      </c>
      <c r="D183" s="0" t="s">
        <v>2385</v>
      </c>
      <c r="E183" s="0" t="n">
        <v>43335</v>
      </c>
      <c r="F183" s="0" t="s">
        <v>64</v>
      </c>
      <c r="G183" s="0" t="n">
        <v>21337220</v>
      </c>
      <c r="H183" s="0" t="n">
        <v>720192</v>
      </c>
      <c r="I183" s="0" t="s">
        <v>34</v>
      </c>
      <c r="J183" s="0" t="s">
        <v>174</v>
      </c>
      <c r="K183" s="0" t="s">
        <v>74</v>
      </c>
      <c r="L183" s="0" t="n">
        <v>223691789</v>
      </c>
      <c r="M183" s="0" t="s">
        <v>348</v>
      </c>
      <c r="N183" s="0" t="n">
        <v>102900691</v>
      </c>
      <c r="O183" s="0" t="n">
        <v>121</v>
      </c>
      <c r="P183" s="0" t="n">
        <v>3.58</v>
      </c>
      <c r="Q183" s="0" t="e">
        <f aca="false">#N/A</f>
        <v>#N/A</v>
      </c>
    </row>
    <row r="184" customFormat="false" ht="15" hidden="false" customHeight="false" outlineLevel="0" collapsed="false">
      <c r="A184" s="0" t="e">
        <f aca="false">#N/A</f>
        <v>#N/A</v>
      </c>
      <c r="B184" s="0" t="s">
        <v>2874</v>
      </c>
      <c r="C184" s="0" t="s">
        <v>2875</v>
      </c>
      <c r="D184" s="0" t="s">
        <v>2385</v>
      </c>
      <c r="E184" s="0" t="n">
        <v>43335</v>
      </c>
      <c r="F184" s="0" t="s">
        <v>64</v>
      </c>
      <c r="G184" s="0" t="n">
        <v>21337220</v>
      </c>
      <c r="H184" s="0" t="n">
        <v>720192</v>
      </c>
      <c r="I184" s="0" t="s">
        <v>34</v>
      </c>
      <c r="J184" s="0" t="s">
        <v>174</v>
      </c>
      <c r="K184" s="0" t="s">
        <v>79</v>
      </c>
      <c r="L184" s="0" t="n">
        <v>223691801</v>
      </c>
      <c r="M184" s="0" t="s">
        <v>363</v>
      </c>
      <c r="N184" s="0" t="n">
        <v>103053323</v>
      </c>
      <c r="O184" s="0" t="n">
        <v>435</v>
      </c>
      <c r="P184" s="0" t="n">
        <v>13.11</v>
      </c>
      <c r="Q184" s="0" t="e">
        <f aca="false">#N/A</f>
        <v>#N/A</v>
      </c>
    </row>
    <row r="185" customFormat="false" ht="15" hidden="false" customHeight="false" outlineLevel="0" collapsed="false">
      <c r="A185" s="0" t="e">
        <f aca="false">#N/A</f>
        <v>#N/A</v>
      </c>
      <c r="B185" s="0" t="s">
        <v>2876</v>
      </c>
      <c r="C185" s="0" t="s">
        <v>2877</v>
      </c>
      <c r="D185" s="0" t="s">
        <v>2385</v>
      </c>
      <c r="E185" s="0" t="n">
        <v>43335</v>
      </c>
      <c r="F185" s="0" t="s">
        <v>64</v>
      </c>
      <c r="G185" s="0" t="n">
        <v>21337220</v>
      </c>
      <c r="H185" s="0" t="n">
        <v>720192</v>
      </c>
      <c r="I185" s="0" t="s">
        <v>34</v>
      </c>
      <c r="J185" s="0" t="s">
        <v>174</v>
      </c>
      <c r="K185" s="0" t="s">
        <v>97</v>
      </c>
      <c r="L185" s="0" t="n">
        <v>223691774</v>
      </c>
      <c r="M185" s="0" t="s">
        <v>647</v>
      </c>
      <c r="N185" s="0" t="n">
        <v>102916356</v>
      </c>
      <c r="O185" s="0" t="n">
        <v>220</v>
      </c>
      <c r="P185" s="0" t="n">
        <v>7.19</v>
      </c>
      <c r="Q185" s="0" t="e">
        <f aca="false">#N/A</f>
        <v>#N/A</v>
      </c>
    </row>
    <row r="186" customFormat="false" ht="15" hidden="false" customHeight="false" outlineLevel="0" collapsed="false">
      <c r="A186" s="0" t="s">
        <v>2878</v>
      </c>
      <c r="B186" s="0" t="s">
        <v>2879</v>
      </c>
      <c r="C186" s="0" t="s">
        <v>2880</v>
      </c>
      <c r="D186" s="0" t="s">
        <v>2385</v>
      </c>
      <c r="E186" s="0" t="n">
        <v>43335</v>
      </c>
      <c r="F186" s="0" t="s">
        <v>64</v>
      </c>
      <c r="G186" s="0" t="n">
        <v>21337220</v>
      </c>
      <c r="H186" s="0" t="n">
        <v>720192</v>
      </c>
      <c r="I186" s="0" t="s">
        <v>34</v>
      </c>
      <c r="J186" s="0" t="s">
        <v>174</v>
      </c>
      <c r="K186" s="0" t="s">
        <v>98</v>
      </c>
      <c r="L186" s="0" t="n">
        <v>223691813</v>
      </c>
      <c r="M186" s="0" t="s">
        <v>654</v>
      </c>
      <c r="N186" s="0" t="n">
        <v>103053320</v>
      </c>
      <c r="O186" s="0" t="n">
        <v>275</v>
      </c>
      <c r="P186" s="0" t="n">
        <v>4.12</v>
      </c>
      <c r="Q186" s="0" t="n">
        <v>103053320</v>
      </c>
    </row>
    <row r="187" customFormat="false" ht="15" hidden="false" customHeight="false" outlineLevel="0" collapsed="false">
      <c r="A187" s="0" t="e">
        <f aca="false">#N/A</f>
        <v>#N/A</v>
      </c>
      <c r="B187" s="0" t="s">
        <v>2881</v>
      </c>
      <c r="C187" s="0" t="s">
        <v>2882</v>
      </c>
      <c r="D187" s="0" t="s">
        <v>2385</v>
      </c>
      <c r="E187" s="0" t="n">
        <v>43335</v>
      </c>
      <c r="F187" s="0" t="s">
        <v>64</v>
      </c>
      <c r="G187" s="0" t="n">
        <v>21337220</v>
      </c>
      <c r="H187" s="0" t="n">
        <v>720192</v>
      </c>
      <c r="I187" s="0" t="s">
        <v>34</v>
      </c>
      <c r="J187" s="0" t="s">
        <v>174</v>
      </c>
      <c r="K187" s="0" t="s">
        <v>82</v>
      </c>
      <c r="L187" s="0" t="n">
        <v>225322327</v>
      </c>
      <c r="M187" s="0" t="s">
        <v>372</v>
      </c>
      <c r="N187" s="0" t="n">
        <v>103902287</v>
      </c>
      <c r="O187" s="0" t="n">
        <v>6905</v>
      </c>
      <c r="P187" s="0" t="n">
        <v>133.13</v>
      </c>
      <c r="Q187" s="0" t="e">
        <f aca="false">#N/A</f>
        <v>#N/A</v>
      </c>
    </row>
    <row r="188" customFormat="false" ht="15" hidden="false" customHeight="false" outlineLevel="0" collapsed="false">
      <c r="A188" s="0" t="s">
        <v>2883</v>
      </c>
      <c r="B188" s="0" t="s">
        <v>2884</v>
      </c>
      <c r="C188" s="0" t="s">
        <v>2885</v>
      </c>
      <c r="D188" s="0" t="s">
        <v>2385</v>
      </c>
      <c r="E188" s="0" t="n">
        <v>43335</v>
      </c>
      <c r="F188" s="0" t="s">
        <v>64</v>
      </c>
      <c r="G188" s="0" t="n">
        <v>21337220</v>
      </c>
      <c r="H188" s="0" t="n">
        <v>720192</v>
      </c>
      <c r="I188" s="0" t="s">
        <v>34</v>
      </c>
      <c r="J188" s="0" t="s">
        <v>174</v>
      </c>
      <c r="K188" s="0" t="s">
        <v>84</v>
      </c>
      <c r="L188" s="0" t="n">
        <v>223684451</v>
      </c>
      <c r="M188" s="0" t="s">
        <v>378</v>
      </c>
      <c r="N188" s="0" t="n">
        <v>102901882</v>
      </c>
      <c r="O188" s="0" t="n">
        <v>467</v>
      </c>
      <c r="P188" s="0" t="n">
        <v>10.9</v>
      </c>
      <c r="Q188" s="0" t="n">
        <v>102901882</v>
      </c>
    </row>
    <row r="189" customFormat="false" ht="15" hidden="false" customHeight="false" outlineLevel="0" collapsed="false">
      <c r="A189" s="0" t="s">
        <v>2886</v>
      </c>
      <c r="B189" s="0" t="s">
        <v>2887</v>
      </c>
      <c r="C189" s="0" t="s">
        <v>2888</v>
      </c>
      <c r="D189" s="0" t="s">
        <v>2385</v>
      </c>
      <c r="E189" s="0" t="n">
        <v>43335</v>
      </c>
      <c r="F189" s="0" t="s">
        <v>64</v>
      </c>
      <c r="G189" s="0" t="n">
        <v>21337220</v>
      </c>
      <c r="H189" s="0" t="n">
        <v>720192</v>
      </c>
      <c r="I189" s="0" t="s">
        <v>34</v>
      </c>
      <c r="J189" s="0" t="s">
        <v>174</v>
      </c>
      <c r="K189" s="0" t="s">
        <v>72</v>
      </c>
      <c r="L189" s="0" t="n">
        <v>223691777</v>
      </c>
      <c r="M189" s="0" t="s">
        <v>342</v>
      </c>
      <c r="N189" s="0" t="n">
        <v>102900697</v>
      </c>
      <c r="O189" s="0" t="n">
        <v>3214</v>
      </c>
      <c r="P189" s="0" t="n">
        <v>100.13</v>
      </c>
      <c r="Q189" s="0" t="n">
        <v>102900697</v>
      </c>
    </row>
    <row r="190" customFormat="false" ht="15" hidden="false" customHeight="false" outlineLevel="0" collapsed="false">
      <c r="A190" s="0" t="e">
        <f aca="false">#N/A</f>
        <v>#N/A</v>
      </c>
      <c r="B190" s="0" t="s">
        <v>2889</v>
      </c>
      <c r="C190" s="0" t="s">
        <v>2890</v>
      </c>
      <c r="D190" s="0" t="s">
        <v>2385</v>
      </c>
      <c r="E190" s="0" t="n">
        <v>43335</v>
      </c>
      <c r="F190" s="0" t="s">
        <v>64</v>
      </c>
      <c r="G190" s="0" t="n">
        <v>21337220</v>
      </c>
      <c r="H190" s="0" t="n">
        <v>720192</v>
      </c>
      <c r="I190" s="0" t="s">
        <v>34</v>
      </c>
      <c r="J190" s="0" t="s">
        <v>174</v>
      </c>
      <c r="K190" s="0" t="s">
        <v>96</v>
      </c>
      <c r="L190" s="0" t="n">
        <v>223691804</v>
      </c>
      <c r="M190" s="0" t="s">
        <v>642</v>
      </c>
      <c r="N190" s="0" t="n">
        <v>103058717</v>
      </c>
      <c r="O190" s="0" t="n">
        <v>84</v>
      </c>
      <c r="P190" s="0" t="n">
        <v>1.54</v>
      </c>
      <c r="Q190" s="0" t="e">
        <f aca="false">#N/A</f>
        <v>#N/A</v>
      </c>
    </row>
    <row r="191" customFormat="false" ht="15" hidden="false" customHeight="false" outlineLevel="0" collapsed="false">
      <c r="A191" s="0" t="s">
        <v>2891</v>
      </c>
      <c r="B191" s="0" t="s">
        <v>2892</v>
      </c>
      <c r="C191" s="0" t="s">
        <v>2893</v>
      </c>
      <c r="D191" s="0" t="s">
        <v>2385</v>
      </c>
      <c r="E191" s="0" t="n">
        <v>43335</v>
      </c>
      <c r="F191" s="0" t="s">
        <v>64</v>
      </c>
      <c r="G191" s="0" t="n">
        <v>21337220</v>
      </c>
      <c r="H191" s="0" t="n">
        <v>720192</v>
      </c>
      <c r="I191" s="0" t="s">
        <v>34</v>
      </c>
      <c r="J191" s="0" t="s">
        <v>174</v>
      </c>
      <c r="K191" s="0" t="s">
        <v>100</v>
      </c>
      <c r="L191" s="0" t="n">
        <v>223691765</v>
      </c>
      <c r="M191" s="0" t="s">
        <v>660</v>
      </c>
      <c r="N191" s="0" t="n">
        <v>103053332</v>
      </c>
      <c r="O191" s="0" t="n">
        <v>1205</v>
      </c>
      <c r="P191" s="0" t="n">
        <v>28.13</v>
      </c>
      <c r="Q191" s="0" t="n">
        <v>103053332</v>
      </c>
    </row>
    <row r="192" customFormat="false" ht="15" hidden="false" customHeight="false" outlineLevel="0" collapsed="false">
      <c r="A192" s="0" t="s">
        <v>2894</v>
      </c>
      <c r="B192" s="0" t="s">
        <v>2895</v>
      </c>
      <c r="C192" s="0" t="s">
        <v>2896</v>
      </c>
      <c r="D192" s="0" t="s">
        <v>2385</v>
      </c>
      <c r="E192" s="0" t="n">
        <v>43335</v>
      </c>
      <c r="F192" s="0" t="s">
        <v>64</v>
      </c>
      <c r="G192" s="0" t="n">
        <v>21337220</v>
      </c>
      <c r="H192" s="0" t="n">
        <v>720192</v>
      </c>
      <c r="I192" s="0" t="s">
        <v>34</v>
      </c>
      <c r="J192" s="0" t="s">
        <v>174</v>
      </c>
      <c r="K192" s="0" t="s">
        <v>91</v>
      </c>
      <c r="L192" s="0" t="n">
        <v>223691828</v>
      </c>
      <c r="M192" s="0" t="s">
        <v>399</v>
      </c>
      <c r="N192" s="0" t="n">
        <v>102902956</v>
      </c>
      <c r="O192" s="0" t="n">
        <v>839</v>
      </c>
      <c r="P192" s="0" t="n">
        <v>17.97</v>
      </c>
      <c r="Q192" s="0" t="n">
        <v>102902956</v>
      </c>
    </row>
    <row r="193" customFormat="false" ht="15" hidden="false" customHeight="false" outlineLevel="0" collapsed="false">
      <c r="A193" s="0" t="s">
        <v>2897</v>
      </c>
      <c r="B193" s="0" t="s">
        <v>2898</v>
      </c>
      <c r="C193" s="0" t="s">
        <v>2899</v>
      </c>
      <c r="D193" s="0" t="s">
        <v>2385</v>
      </c>
      <c r="E193" s="0" t="n">
        <v>43335</v>
      </c>
      <c r="F193" s="0" t="s">
        <v>64</v>
      </c>
      <c r="G193" s="0" t="n">
        <v>21337220</v>
      </c>
      <c r="H193" s="0" t="n">
        <v>720192</v>
      </c>
      <c r="I193" s="0" t="s">
        <v>34</v>
      </c>
      <c r="J193" s="0" t="s">
        <v>174</v>
      </c>
      <c r="K193" s="0" t="s">
        <v>101</v>
      </c>
      <c r="L193" s="0" t="n">
        <v>223691768</v>
      </c>
      <c r="M193" s="0" t="s">
        <v>663</v>
      </c>
      <c r="N193" s="0" t="n">
        <v>102902971</v>
      </c>
      <c r="O193" s="0" t="n">
        <v>780</v>
      </c>
      <c r="P193" s="0" t="n">
        <v>22.81</v>
      </c>
      <c r="Q193" s="0" t="n">
        <v>102902971</v>
      </c>
    </row>
    <row r="194" customFormat="false" ht="15" hidden="false" customHeight="false" outlineLevel="0" collapsed="false">
      <c r="A194" s="0" t="s">
        <v>2900</v>
      </c>
      <c r="B194" s="0" t="s">
        <v>2901</v>
      </c>
      <c r="C194" s="0" t="s">
        <v>2902</v>
      </c>
      <c r="D194" s="0" t="s">
        <v>2385</v>
      </c>
      <c r="E194" s="0" t="n">
        <v>43335</v>
      </c>
      <c r="F194" s="0" t="s">
        <v>64</v>
      </c>
      <c r="G194" s="0" t="n">
        <v>21337220</v>
      </c>
      <c r="H194" s="0" t="n">
        <v>720192</v>
      </c>
      <c r="I194" s="0" t="s">
        <v>34</v>
      </c>
      <c r="J194" s="0" t="s">
        <v>174</v>
      </c>
      <c r="K194" s="0" t="s">
        <v>93</v>
      </c>
      <c r="L194" s="0" t="n">
        <v>223691816</v>
      </c>
      <c r="M194" s="0" t="s">
        <v>625</v>
      </c>
      <c r="N194" s="0" t="n">
        <v>102916341</v>
      </c>
      <c r="O194" s="0" t="n">
        <v>573</v>
      </c>
      <c r="P194" s="0" t="n">
        <v>12</v>
      </c>
      <c r="Q194" s="0" t="n">
        <v>102916341</v>
      </c>
    </row>
    <row r="195" customFormat="false" ht="15" hidden="false" customHeight="false" outlineLevel="0" collapsed="false">
      <c r="A195" s="0" t="s">
        <v>2903</v>
      </c>
      <c r="B195" s="0" t="s">
        <v>2904</v>
      </c>
      <c r="C195" s="0" t="s">
        <v>2905</v>
      </c>
      <c r="D195" s="0" t="s">
        <v>2385</v>
      </c>
      <c r="E195" s="0" t="n">
        <v>43335</v>
      </c>
      <c r="F195" s="0" t="s">
        <v>64</v>
      </c>
      <c r="G195" s="0" t="n">
        <v>21337220</v>
      </c>
      <c r="H195" s="0" t="n">
        <v>720192</v>
      </c>
      <c r="I195" s="0" t="s">
        <v>34</v>
      </c>
      <c r="J195" s="0" t="s">
        <v>174</v>
      </c>
      <c r="K195" s="0" t="s">
        <v>94</v>
      </c>
      <c r="L195" s="0" t="n">
        <v>223691810</v>
      </c>
      <c r="M195" s="0" t="s">
        <v>632</v>
      </c>
      <c r="N195" s="0" t="n">
        <v>103058711</v>
      </c>
      <c r="O195" s="0" t="n">
        <v>449</v>
      </c>
      <c r="P195" s="0" t="n">
        <v>7.19</v>
      </c>
      <c r="Q195" s="0" t="n">
        <v>103058711</v>
      </c>
    </row>
    <row r="196" customFormat="false" ht="15" hidden="false" customHeight="false" outlineLevel="0" collapsed="false">
      <c r="A196" s="0" t="e">
        <f aca="false">#N/A</f>
        <v>#N/A</v>
      </c>
      <c r="B196" s="0" t="s">
        <v>2906</v>
      </c>
      <c r="C196" s="0" t="s">
        <v>2907</v>
      </c>
      <c r="D196" s="0" t="s">
        <v>2385</v>
      </c>
      <c r="E196" s="0" t="n">
        <v>43335</v>
      </c>
      <c r="F196" s="0" t="s">
        <v>64</v>
      </c>
      <c r="G196" s="0" t="n">
        <v>21337220</v>
      </c>
      <c r="H196" s="0" t="n">
        <v>720192</v>
      </c>
      <c r="I196" s="0" t="s">
        <v>34</v>
      </c>
      <c r="J196" s="0" t="s">
        <v>174</v>
      </c>
      <c r="K196" s="0" t="s">
        <v>67</v>
      </c>
      <c r="L196" s="0" t="n">
        <v>227618695</v>
      </c>
      <c r="M196" s="0" t="s">
        <v>330</v>
      </c>
      <c r="N196" s="0" t="n">
        <v>105127638</v>
      </c>
      <c r="O196" s="0" t="n">
        <v>223</v>
      </c>
      <c r="P196" s="0" t="n">
        <v>3.35</v>
      </c>
      <c r="Q196" s="0" t="e">
        <f aca="false">#N/A</f>
        <v>#N/A</v>
      </c>
    </row>
    <row r="197" customFormat="false" ht="15" hidden="false" customHeight="false" outlineLevel="0" collapsed="false">
      <c r="A197" s="0" t="e">
        <f aca="false">#N/A</f>
        <v>#N/A</v>
      </c>
      <c r="B197" s="0" t="s">
        <v>2906</v>
      </c>
      <c r="C197" s="0" t="s">
        <v>2908</v>
      </c>
      <c r="D197" s="0" t="s">
        <v>2385</v>
      </c>
      <c r="E197" s="0" t="n">
        <v>43335</v>
      </c>
      <c r="F197" s="0" t="s">
        <v>64</v>
      </c>
      <c r="G197" s="0" t="n">
        <v>21337220</v>
      </c>
      <c r="H197" s="0" t="n">
        <v>720192</v>
      </c>
      <c r="I197" s="0" t="s">
        <v>34</v>
      </c>
      <c r="J197" s="0" t="s">
        <v>174</v>
      </c>
      <c r="K197" s="0" t="s">
        <v>85</v>
      </c>
      <c r="L197" s="0" t="n">
        <v>227618695</v>
      </c>
      <c r="M197" s="0" t="s">
        <v>330</v>
      </c>
      <c r="N197" s="0" t="n">
        <v>105127638</v>
      </c>
      <c r="O197" s="0" t="n">
        <v>2664</v>
      </c>
      <c r="P197" s="0" t="n">
        <v>56.47</v>
      </c>
      <c r="Q197" s="0" t="e">
        <f aca="false">#N/A</f>
        <v>#N/A</v>
      </c>
    </row>
    <row r="198" customFormat="false" ht="15" hidden="false" customHeight="false" outlineLevel="0" collapsed="false">
      <c r="A198" s="0" t="s">
        <v>2909</v>
      </c>
      <c r="B198" s="0" t="s">
        <v>2910</v>
      </c>
      <c r="C198" s="0" t="s">
        <v>2911</v>
      </c>
      <c r="D198" s="0" t="s">
        <v>2385</v>
      </c>
      <c r="E198" s="0" t="n">
        <v>43335</v>
      </c>
      <c r="F198" s="0" t="s">
        <v>64</v>
      </c>
      <c r="G198" s="0" t="n">
        <v>21337220</v>
      </c>
      <c r="H198" s="0" t="n">
        <v>720192</v>
      </c>
      <c r="I198" s="0" t="s">
        <v>34</v>
      </c>
      <c r="J198" s="0" t="s">
        <v>174</v>
      </c>
      <c r="K198" s="0" t="s">
        <v>86</v>
      </c>
      <c r="L198" s="0" t="n">
        <v>227522762</v>
      </c>
      <c r="M198" s="0" t="s">
        <v>384</v>
      </c>
      <c r="N198" s="0" t="n">
        <v>105216992</v>
      </c>
      <c r="O198" s="0" t="n">
        <v>2324</v>
      </c>
      <c r="P198" s="0" t="n">
        <v>45.62</v>
      </c>
      <c r="Q198" s="0" t="n">
        <v>105216992</v>
      </c>
    </row>
    <row r="199" customFormat="false" ht="15" hidden="false" customHeight="false" outlineLevel="0" collapsed="false">
      <c r="A199" s="0" t="s">
        <v>2912</v>
      </c>
      <c r="B199" s="0" t="s">
        <v>2913</v>
      </c>
      <c r="C199" s="0" t="s">
        <v>2914</v>
      </c>
      <c r="D199" s="0" t="s">
        <v>2385</v>
      </c>
      <c r="E199" s="0" t="n">
        <v>43335</v>
      </c>
      <c r="F199" s="0" t="s">
        <v>64</v>
      </c>
      <c r="G199" s="0" t="n">
        <v>21337220</v>
      </c>
      <c r="H199" s="0" t="n">
        <v>720192</v>
      </c>
      <c r="I199" s="0" t="s">
        <v>34</v>
      </c>
      <c r="J199" s="0" t="s">
        <v>174</v>
      </c>
      <c r="K199" s="0" t="s">
        <v>69</v>
      </c>
      <c r="L199" s="0" t="n">
        <v>223691798</v>
      </c>
      <c r="M199" s="0" t="s">
        <v>333</v>
      </c>
      <c r="N199" s="0" t="n">
        <v>102916347</v>
      </c>
      <c r="O199" s="0" t="n">
        <v>405</v>
      </c>
      <c r="P199" s="0" t="n">
        <v>7.95</v>
      </c>
      <c r="Q199" s="0" t="n">
        <v>102916347</v>
      </c>
    </row>
    <row r="200" customFormat="false" ht="15" hidden="false" customHeight="false" outlineLevel="0" collapsed="false">
      <c r="A200" s="0" t="s">
        <v>2915</v>
      </c>
      <c r="B200" s="0" t="s">
        <v>2916</v>
      </c>
      <c r="C200" s="0" t="s">
        <v>2917</v>
      </c>
      <c r="D200" s="0" t="s">
        <v>2385</v>
      </c>
      <c r="E200" s="0" t="n">
        <v>43335</v>
      </c>
      <c r="F200" s="0" t="s">
        <v>64</v>
      </c>
      <c r="G200" s="0" t="n">
        <v>21337220</v>
      </c>
      <c r="H200" s="0" t="n">
        <v>720192</v>
      </c>
      <c r="I200" s="0" t="s">
        <v>34</v>
      </c>
      <c r="J200" s="0" t="s">
        <v>174</v>
      </c>
      <c r="K200" s="0" t="s">
        <v>83</v>
      </c>
      <c r="L200" s="0" t="n">
        <v>223691837</v>
      </c>
      <c r="M200" s="0" t="s">
        <v>375</v>
      </c>
      <c r="N200" s="0" t="n">
        <v>103053314</v>
      </c>
      <c r="O200" s="0" t="n">
        <v>6101</v>
      </c>
      <c r="P200" s="0" t="n">
        <v>157.99</v>
      </c>
      <c r="Q200" s="0" t="n">
        <v>103053314</v>
      </c>
    </row>
    <row r="201" customFormat="false" ht="15" hidden="false" customHeight="false" outlineLevel="0" collapsed="false">
      <c r="A201" s="0" t="s">
        <v>2918</v>
      </c>
      <c r="B201" s="0" t="s">
        <v>2919</v>
      </c>
      <c r="C201" s="0" t="s">
        <v>2920</v>
      </c>
      <c r="D201" s="0" t="s">
        <v>2385</v>
      </c>
      <c r="E201" s="0" t="n">
        <v>43335</v>
      </c>
      <c r="F201" s="0" t="s">
        <v>64</v>
      </c>
      <c r="G201" s="0" t="n">
        <v>21337220</v>
      </c>
      <c r="H201" s="0" t="n">
        <v>720192</v>
      </c>
      <c r="I201" s="0" t="s">
        <v>34</v>
      </c>
      <c r="J201" s="0" t="s">
        <v>174</v>
      </c>
      <c r="K201" s="0" t="s">
        <v>90</v>
      </c>
      <c r="L201" s="0" t="n">
        <v>223691819</v>
      </c>
      <c r="M201" s="0" t="s">
        <v>396</v>
      </c>
      <c r="N201" s="0" t="n">
        <v>102900682</v>
      </c>
      <c r="O201" s="0" t="n">
        <v>507</v>
      </c>
      <c r="P201" s="0" t="n">
        <v>26.65</v>
      </c>
      <c r="Q201" s="0" t="n">
        <v>102900682</v>
      </c>
    </row>
    <row r="202" customFormat="false" ht="15" hidden="false" customHeight="false" outlineLevel="0" collapsed="false">
      <c r="A202" s="0" t="e">
        <f aca="false">#N/A</f>
        <v>#N/A</v>
      </c>
      <c r="B202" s="0" t="s">
        <v>2921</v>
      </c>
      <c r="C202" s="0" t="s">
        <v>2922</v>
      </c>
      <c r="D202" s="0" t="s">
        <v>2385</v>
      </c>
      <c r="E202" s="0" t="n">
        <v>43335</v>
      </c>
      <c r="F202" s="0" t="s">
        <v>64</v>
      </c>
      <c r="G202" s="0" t="n">
        <v>21337220</v>
      </c>
      <c r="H202" s="0" t="n">
        <v>720192</v>
      </c>
      <c r="I202" s="0" t="s">
        <v>34</v>
      </c>
      <c r="J202" s="0" t="s">
        <v>174</v>
      </c>
      <c r="K202" s="0" t="s">
        <v>89</v>
      </c>
      <c r="L202" s="0" t="n">
        <v>223691822</v>
      </c>
      <c r="M202" s="0" t="s">
        <v>393</v>
      </c>
      <c r="N202" s="0" t="n">
        <v>103058708</v>
      </c>
      <c r="O202" s="0" t="n">
        <v>898</v>
      </c>
      <c r="P202" s="0" t="n">
        <v>29.03</v>
      </c>
      <c r="Q202" s="0" t="e">
        <f aca="false">#N/A</f>
        <v>#N/A</v>
      </c>
    </row>
    <row r="203" customFormat="false" ht="15" hidden="false" customHeight="false" outlineLevel="0" collapsed="false">
      <c r="A203" s="0" t="s">
        <v>2923</v>
      </c>
      <c r="B203" s="0" t="s">
        <v>2924</v>
      </c>
      <c r="C203" s="0" t="s">
        <v>2925</v>
      </c>
      <c r="D203" s="0" t="s">
        <v>2385</v>
      </c>
      <c r="E203" s="0" t="n">
        <v>43335</v>
      </c>
      <c r="F203" s="0" t="s">
        <v>64</v>
      </c>
      <c r="G203" s="0" t="n">
        <v>21337220</v>
      </c>
      <c r="H203" s="0" t="n">
        <v>720192</v>
      </c>
      <c r="I203" s="0" t="s">
        <v>34</v>
      </c>
      <c r="J203" s="0" t="s">
        <v>174</v>
      </c>
      <c r="K203" s="0" t="s">
        <v>92</v>
      </c>
      <c r="L203" s="0" t="n">
        <v>223691762</v>
      </c>
      <c r="M203" s="0" t="s">
        <v>600</v>
      </c>
      <c r="N203" s="0" t="n">
        <v>102902974</v>
      </c>
      <c r="O203" s="0" t="n">
        <v>201</v>
      </c>
      <c r="P203" s="0" t="n">
        <v>3.88</v>
      </c>
      <c r="Q203" s="0" t="n">
        <v>102902974</v>
      </c>
    </row>
    <row r="204" customFormat="false" ht="15" hidden="false" customHeight="false" outlineLevel="0" collapsed="false">
      <c r="A204" s="0" t="s">
        <v>2926</v>
      </c>
      <c r="B204" s="0" t="s">
        <v>2927</v>
      </c>
      <c r="C204" s="0" t="s">
        <v>2928</v>
      </c>
      <c r="D204" s="0" t="s">
        <v>2385</v>
      </c>
      <c r="E204" s="0" t="n">
        <v>43335</v>
      </c>
      <c r="F204" s="0" t="s">
        <v>64</v>
      </c>
      <c r="G204" s="0" t="n">
        <v>21337220</v>
      </c>
      <c r="H204" s="0" t="n">
        <v>720192</v>
      </c>
      <c r="I204" s="0" t="s">
        <v>34</v>
      </c>
      <c r="J204" s="0" t="s">
        <v>174</v>
      </c>
      <c r="K204" s="0" t="s">
        <v>71</v>
      </c>
      <c r="L204" s="0" t="n">
        <v>225322324</v>
      </c>
      <c r="M204" s="0" t="s">
        <v>339</v>
      </c>
      <c r="N204" s="0" t="n">
        <v>103789915</v>
      </c>
      <c r="O204" s="0" t="n">
        <v>604</v>
      </c>
      <c r="P204" s="0" t="n">
        <v>12.22</v>
      </c>
      <c r="Q204" s="0" t="n">
        <v>103789915</v>
      </c>
    </row>
    <row r="205" customFormat="false" ht="15" hidden="false" customHeight="false" outlineLevel="0" collapsed="false">
      <c r="A205" s="0" t="e">
        <f aca="false">#N/A</f>
        <v>#N/A</v>
      </c>
      <c r="B205" s="0" t="s">
        <v>2929</v>
      </c>
      <c r="C205" s="0" t="s">
        <v>2930</v>
      </c>
      <c r="D205" s="0" t="s">
        <v>2385</v>
      </c>
      <c r="E205" s="0" t="n">
        <v>43335</v>
      </c>
      <c r="F205" s="0" t="s">
        <v>64</v>
      </c>
      <c r="G205" s="0" t="n">
        <v>21337220</v>
      </c>
      <c r="H205" s="0" t="n">
        <v>720192</v>
      </c>
      <c r="I205" s="0" t="s">
        <v>34</v>
      </c>
      <c r="J205" s="0" t="s">
        <v>174</v>
      </c>
      <c r="K205" s="0" t="s">
        <v>81</v>
      </c>
      <c r="L205" s="0" t="n">
        <v>223691786</v>
      </c>
      <c r="M205" s="0" t="s">
        <v>369</v>
      </c>
      <c r="N205" s="0" t="n">
        <v>103058720</v>
      </c>
      <c r="O205" s="0" t="n">
        <v>117</v>
      </c>
      <c r="P205" s="0" t="n">
        <v>3.37</v>
      </c>
      <c r="Q205" s="0" t="e">
        <f aca="false">#N/A</f>
        <v>#N/A</v>
      </c>
    </row>
    <row r="206" customFormat="false" ht="15" hidden="false" customHeight="false" outlineLevel="0" collapsed="false">
      <c r="A206" s="0" t="e">
        <f aca="false">#N/A</f>
        <v>#N/A</v>
      </c>
      <c r="B206" s="0" t="s">
        <v>2931</v>
      </c>
      <c r="C206" s="0" t="s">
        <v>2932</v>
      </c>
      <c r="D206" s="0" t="s">
        <v>2385</v>
      </c>
      <c r="E206" s="0" t="n">
        <v>43335</v>
      </c>
      <c r="F206" s="0" t="s">
        <v>64</v>
      </c>
      <c r="G206" s="0" t="n">
        <v>21337220</v>
      </c>
      <c r="H206" s="0" t="n">
        <v>720192</v>
      </c>
      <c r="I206" s="0" t="s">
        <v>34</v>
      </c>
      <c r="J206" s="0" t="s">
        <v>174</v>
      </c>
      <c r="K206" s="0" t="s">
        <v>77</v>
      </c>
      <c r="L206" s="0" t="n">
        <v>223691840</v>
      </c>
      <c r="M206" s="0" t="s">
        <v>357</v>
      </c>
      <c r="N206" s="0" t="n">
        <v>102902950</v>
      </c>
      <c r="O206" s="0" t="n">
        <v>849</v>
      </c>
      <c r="P206" s="0" t="n">
        <v>20.6</v>
      </c>
      <c r="Q206" s="0" t="e">
        <f aca="false">#N/A</f>
        <v>#N/A</v>
      </c>
    </row>
    <row r="207" customFormat="false" ht="15" hidden="false" customHeight="false" outlineLevel="0" collapsed="false">
      <c r="A207" s="0" t="s">
        <v>2933</v>
      </c>
      <c r="B207" s="0" t="s">
        <v>2934</v>
      </c>
      <c r="C207" s="0" t="s">
        <v>2935</v>
      </c>
      <c r="D207" s="0" t="s">
        <v>2385</v>
      </c>
      <c r="E207" s="0" t="n">
        <v>43335</v>
      </c>
      <c r="F207" s="0" t="s">
        <v>64</v>
      </c>
      <c r="G207" s="0" t="n">
        <v>21337220</v>
      </c>
      <c r="H207" s="0" t="n">
        <v>720192</v>
      </c>
      <c r="I207" s="0" t="s">
        <v>34</v>
      </c>
      <c r="J207" s="0" t="s">
        <v>174</v>
      </c>
      <c r="K207" s="0" t="s">
        <v>73</v>
      </c>
      <c r="L207" s="0" t="n">
        <v>223691792</v>
      </c>
      <c r="M207" s="0" t="s">
        <v>345</v>
      </c>
      <c r="N207" s="0" t="n">
        <v>102901894</v>
      </c>
      <c r="O207" s="0" t="n">
        <v>129</v>
      </c>
      <c r="P207" s="0" t="n">
        <v>4.15</v>
      </c>
      <c r="Q207" s="0" t="n">
        <v>102901894</v>
      </c>
    </row>
    <row r="208" customFormat="false" ht="15" hidden="false" customHeight="false" outlineLevel="0" collapsed="false">
      <c r="A208" s="0" t="s">
        <v>2936</v>
      </c>
      <c r="B208" s="0" t="s">
        <v>2937</v>
      </c>
      <c r="C208" s="0" t="s">
        <v>2938</v>
      </c>
      <c r="D208" s="0" t="s">
        <v>2385</v>
      </c>
      <c r="E208" s="0" t="n">
        <v>43335</v>
      </c>
      <c r="F208" s="0" t="s">
        <v>64</v>
      </c>
      <c r="G208" s="0" t="n">
        <v>21337220</v>
      </c>
      <c r="H208" s="0" t="n">
        <v>720192</v>
      </c>
      <c r="I208" s="0" t="s">
        <v>34</v>
      </c>
      <c r="J208" s="0" t="s">
        <v>174</v>
      </c>
      <c r="K208" s="0" t="s">
        <v>70</v>
      </c>
      <c r="L208" s="0" t="n">
        <v>223691831</v>
      </c>
      <c r="M208" s="0" t="s">
        <v>336</v>
      </c>
      <c r="N208" s="0" t="n">
        <v>102913800</v>
      </c>
      <c r="O208" s="0" t="n">
        <v>3390</v>
      </c>
      <c r="P208" s="0" t="n">
        <v>71.96</v>
      </c>
      <c r="Q208" s="0" t="n">
        <v>102913800</v>
      </c>
    </row>
    <row r="209" customFormat="false" ht="15" hidden="false" customHeight="false" outlineLevel="0" collapsed="false">
      <c r="A209" s="0" t="s">
        <v>2939</v>
      </c>
      <c r="B209" s="0" t="s">
        <v>2940</v>
      </c>
      <c r="C209" s="0" t="s">
        <v>2941</v>
      </c>
      <c r="D209" s="0" t="s">
        <v>2385</v>
      </c>
      <c r="E209" s="0" t="n">
        <v>43335</v>
      </c>
      <c r="F209" s="0" t="s">
        <v>64</v>
      </c>
      <c r="G209" s="0" t="n">
        <v>21337220</v>
      </c>
      <c r="H209" s="0" t="n">
        <v>720192</v>
      </c>
      <c r="I209" s="0" t="s">
        <v>34</v>
      </c>
      <c r="J209" s="0" t="s">
        <v>174</v>
      </c>
      <c r="K209" s="0" t="s">
        <v>87</v>
      </c>
      <c r="L209" s="0" t="n">
        <v>223691795</v>
      </c>
      <c r="M209" s="0" t="s">
        <v>387</v>
      </c>
      <c r="N209" s="0" t="n">
        <v>102900688</v>
      </c>
      <c r="O209" s="0" t="n">
        <v>291</v>
      </c>
      <c r="P209" s="0" t="n">
        <v>11.09</v>
      </c>
      <c r="Q209" s="0" t="n">
        <v>102900688</v>
      </c>
    </row>
    <row r="210" customFormat="false" ht="15" hidden="false" customHeight="false" outlineLevel="0" collapsed="false">
      <c r="A210" s="0" t="s">
        <v>2942</v>
      </c>
      <c r="B210" s="0" t="s">
        <v>2943</v>
      </c>
      <c r="C210" s="0" t="s">
        <v>2944</v>
      </c>
      <c r="D210" s="0" t="s">
        <v>2385</v>
      </c>
      <c r="E210" s="0" t="n">
        <v>43335</v>
      </c>
      <c r="F210" s="0" t="s">
        <v>64</v>
      </c>
      <c r="G210" s="0" t="n">
        <v>21337220</v>
      </c>
      <c r="H210" s="0" t="n">
        <v>720192</v>
      </c>
      <c r="I210" s="0" t="s">
        <v>34</v>
      </c>
      <c r="J210" s="0" t="s">
        <v>174</v>
      </c>
      <c r="K210" s="0" t="s">
        <v>95</v>
      </c>
      <c r="L210" s="0" t="n">
        <v>223691807</v>
      </c>
      <c r="M210" s="0" t="s">
        <v>635</v>
      </c>
      <c r="N210" s="0" t="n">
        <v>102900685</v>
      </c>
      <c r="O210" s="0" t="n">
        <v>686</v>
      </c>
      <c r="P210" s="0" t="n">
        <v>14.46</v>
      </c>
      <c r="Q210" s="0" t="n">
        <v>102900685</v>
      </c>
    </row>
    <row r="211" customFormat="false" ht="15" hidden="false" customHeight="false" outlineLevel="0" collapsed="false">
      <c r="A211" s="0" t="e">
        <f aca="false">#N/A</f>
        <v>#N/A</v>
      </c>
      <c r="B211" s="0" t="s">
        <v>2945</v>
      </c>
      <c r="C211" s="0" t="s">
        <v>2946</v>
      </c>
      <c r="D211" s="0" t="s">
        <v>2385</v>
      </c>
      <c r="E211" s="0" t="n">
        <v>43335</v>
      </c>
      <c r="F211" s="0" t="s">
        <v>64</v>
      </c>
      <c r="G211" s="0" t="n">
        <v>21337220</v>
      </c>
      <c r="H211" s="0" t="n">
        <v>720192</v>
      </c>
      <c r="I211" s="0" t="s">
        <v>34</v>
      </c>
      <c r="J211" s="0" t="s">
        <v>174</v>
      </c>
      <c r="K211" s="0" t="s">
        <v>78</v>
      </c>
      <c r="L211" s="0" t="n">
        <v>227522771</v>
      </c>
      <c r="M211" s="0" t="s">
        <v>360</v>
      </c>
      <c r="N211" s="0" t="n">
        <v>105130128</v>
      </c>
      <c r="O211" s="0" t="n">
        <v>568</v>
      </c>
      <c r="P211" s="0" t="n">
        <v>10.91</v>
      </c>
      <c r="Q211" s="0" t="e">
        <f aca="false">#N/A</f>
        <v>#N/A</v>
      </c>
    </row>
    <row r="212" customFormat="false" ht="15" hidden="false" customHeight="false" outlineLevel="0" collapsed="false">
      <c r="A212" s="0" t="e">
        <f aca="false">#N/A</f>
        <v>#N/A</v>
      </c>
      <c r="B212" s="0" t="s">
        <v>2947</v>
      </c>
      <c r="C212" s="0" t="s">
        <v>2948</v>
      </c>
      <c r="D212" s="0" t="s">
        <v>2385</v>
      </c>
      <c r="E212" s="0" t="n">
        <v>43335</v>
      </c>
      <c r="F212" s="0" t="s">
        <v>64</v>
      </c>
      <c r="G212" s="0" t="n">
        <v>21337220</v>
      </c>
      <c r="H212" s="0" t="n">
        <v>720192</v>
      </c>
      <c r="I212" s="0" t="s">
        <v>34</v>
      </c>
      <c r="J212" s="0" t="s">
        <v>174</v>
      </c>
      <c r="K212" s="0" t="s">
        <v>75</v>
      </c>
      <c r="L212" s="0" t="n">
        <v>223691780</v>
      </c>
      <c r="M212" s="0" t="s">
        <v>351</v>
      </c>
      <c r="N212" s="0" t="n">
        <v>103058726</v>
      </c>
      <c r="O212" s="0" t="n">
        <v>147</v>
      </c>
      <c r="P212" s="0" t="n">
        <v>7.4</v>
      </c>
      <c r="Q212" s="0" t="e">
        <f aca="false">#N/A</f>
        <v>#N/A</v>
      </c>
    </row>
    <row r="213" customFormat="false" ht="15" hidden="false" customHeight="false" outlineLevel="0" collapsed="false">
      <c r="A213" s="0" t="s">
        <v>2949</v>
      </c>
      <c r="B213" s="0" t="s">
        <v>2950</v>
      </c>
      <c r="C213" s="0" t="s">
        <v>2951</v>
      </c>
      <c r="D213" s="0" t="s">
        <v>2385</v>
      </c>
      <c r="E213" s="0" t="n">
        <v>43335</v>
      </c>
      <c r="F213" s="0" t="s">
        <v>64</v>
      </c>
      <c r="G213" s="0" t="n">
        <v>21337220</v>
      </c>
      <c r="H213" s="0" t="n">
        <v>720192</v>
      </c>
      <c r="I213" s="0" t="s">
        <v>34</v>
      </c>
      <c r="J213" s="0" t="s">
        <v>174</v>
      </c>
      <c r="K213" s="0" t="s">
        <v>80</v>
      </c>
      <c r="L213" s="0" t="n">
        <v>223691825</v>
      </c>
      <c r="M213" s="0" t="s">
        <v>366</v>
      </c>
      <c r="N213" s="0" t="n">
        <v>102916338</v>
      </c>
      <c r="O213" s="0" t="n">
        <v>2181</v>
      </c>
      <c r="P213" s="0" t="n">
        <v>88.06</v>
      </c>
      <c r="Q213" s="0" t="n">
        <v>102916338</v>
      </c>
    </row>
    <row r="214" customFormat="false" ht="15" hidden="false" customHeight="false" outlineLevel="0" collapsed="false">
      <c r="A214" s="0" t="s">
        <v>2952</v>
      </c>
      <c r="B214" s="0" t="s">
        <v>2953</v>
      </c>
      <c r="C214" s="0" t="s">
        <v>2954</v>
      </c>
      <c r="D214" s="0" t="s">
        <v>2385</v>
      </c>
      <c r="E214" s="0" t="n">
        <v>43335</v>
      </c>
      <c r="F214" s="0" t="s">
        <v>64</v>
      </c>
      <c r="G214" s="0" t="n">
        <v>21337220</v>
      </c>
      <c r="H214" s="0" t="n">
        <v>720192</v>
      </c>
      <c r="I214" s="0" t="s">
        <v>34</v>
      </c>
      <c r="J214" s="0" t="s">
        <v>174</v>
      </c>
      <c r="K214" s="0" t="s">
        <v>99</v>
      </c>
      <c r="L214" s="0" t="n">
        <v>223691771</v>
      </c>
      <c r="M214" s="0" t="s">
        <v>657</v>
      </c>
      <c r="N214" s="0" t="n">
        <v>102902968</v>
      </c>
      <c r="O214" s="0" t="n">
        <v>1134</v>
      </c>
      <c r="P214" s="0" t="n">
        <v>21.87</v>
      </c>
      <c r="Q214" s="0" t="n">
        <v>102902968</v>
      </c>
    </row>
    <row r="215" customFormat="false" ht="15" hidden="false" customHeight="false" outlineLevel="0" collapsed="false">
      <c r="A215" s="0" t="e">
        <f aca="false">#N/A</f>
        <v>#N/A</v>
      </c>
      <c r="B215" s="0" t="s">
        <v>2955</v>
      </c>
      <c r="C215" s="0" t="s">
        <v>2956</v>
      </c>
      <c r="D215" s="0" t="s">
        <v>2385</v>
      </c>
      <c r="E215" s="0" t="n">
        <v>43335</v>
      </c>
      <c r="F215" s="0" t="s">
        <v>64</v>
      </c>
      <c r="G215" s="0" t="n">
        <v>21337220</v>
      </c>
      <c r="H215" s="0" t="n">
        <v>720192</v>
      </c>
      <c r="I215" s="0" t="s">
        <v>34</v>
      </c>
      <c r="J215" s="0" t="s">
        <v>174</v>
      </c>
      <c r="K215" s="0" t="s">
        <v>76</v>
      </c>
      <c r="L215" s="0" t="n">
        <v>223691783</v>
      </c>
      <c r="M215" s="0" t="s">
        <v>354</v>
      </c>
      <c r="N215" s="0" t="n">
        <v>103058723</v>
      </c>
      <c r="O215" s="0" t="n">
        <v>30</v>
      </c>
      <c r="P215" s="0" t="n">
        <v>1.04</v>
      </c>
      <c r="Q215" s="0" t="e">
        <f aca="false">#N/A</f>
        <v>#N/A</v>
      </c>
    </row>
    <row r="216" customFormat="false" ht="15" hidden="false" customHeight="false" outlineLevel="0" collapsed="false">
      <c r="A216" s="0" t="s">
        <v>2957</v>
      </c>
      <c r="B216" s="0" t="s">
        <v>2958</v>
      </c>
      <c r="C216" s="0" t="s">
        <v>2959</v>
      </c>
      <c r="D216" s="0" t="s">
        <v>2385</v>
      </c>
      <c r="E216" s="0" t="n">
        <v>43335</v>
      </c>
      <c r="F216" s="0" t="s">
        <v>64</v>
      </c>
      <c r="G216" s="0" t="n">
        <v>21337220</v>
      </c>
      <c r="H216" s="0" t="n">
        <v>720192</v>
      </c>
      <c r="I216" s="0" t="s">
        <v>34</v>
      </c>
      <c r="J216" s="0" t="s">
        <v>174</v>
      </c>
      <c r="K216" s="0" t="s">
        <v>88</v>
      </c>
      <c r="L216" s="0" t="n">
        <v>223691834</v>
      </c>
      <c r="M216" s="0" t="s">
        <v>390</v>
      </c>
      <c r="N216" s="0" t="n">
        <v>102902953</v>
      </c>
      <c r="O216" s="0" t="n">
        <v>1828</v>
      </c>
      <c r="P216" s="0" t="n">
        <v>40.43</v>
      </c>
      <c r="Q216" s="0" t="n">
        <v>102902953</v>
      </c>
    </row>
    <row r="217" customFormat="false" ht="15" hidden="false" customHeight="false" outlineLevel="0" collapsed="false">
      <c r="A217" s="0" t="e">
        <f aca="false">#N/A</f>
        <v>#N/A</v>
      </c>
      <c r="B217" s="0" t="s">
        <v>2960</v>
      </c>
      <c r="C217" s="0" t="s">
        <v>2961</v>
      </c>
      <c r="D217" s="0" t="s">
        <v>2385</v>
      </c>
      <c r="E217" s="0" t="n">
        <v>43334</v>
      </c>
      <c r="F217" s="0" t="s">
        <v>64</v>
      </c>
      <c r="G217" s="0" t="n">
        <v>21337220</v>
      </c>
      <c r="H217" s="0" t="n">
        <v>720192</v>
      </c>
      <c r="I217" s="0" t="s">
        <v>34</v>
      </c>
      <c r="J217" s="0" t="s">
        <v>174</v>
      </c>
      <c r="K217" s="0" t="s">
        <v>73</v>
      </c>
      <c r="L217" s="0" t="n">
        <v>223691792</v>
      </c>
      <c r="M217" s="0" t="s">
        <v>345</v>
      </c>
      <c r="N217" s="0" t="n">
        <v>102901894</v>
      </c>
      <c r="O217" s="0" t="n">
        <v>262</v>
      </c>
      <c r="P217" s="0" t="n">
        <v>5.71</v>
      </c>
      <c r="Q217" s="0" t="e">
        <f aca="false">#N/A</f>
        <v>#N/A</v>
      </c>
    </row>
    <row r="218" customFormat="false" ht="15" hidden="false" customHeight="false" outlineLevel="0" collapsed="false">
      <c r="A218" s="0" t="e">
        <f aca="false">#N/A</f>
        <v>#N/A</v>
      </c>
      <c r="B218" s="0" t="s">
        <v>2962</v>
      </c>
      <c r="C218" s="0" t="s">
        <v>2963</v>
      </c>
      <c r="D218" s="0" t="s">
        <v>2385</v>
      </c>
      <c r="E218" s="0" t="n">
        <v>43334</v>
      </c>
      <c r="F218" s="0" t="s">
        <v>64</v>
      </c>
      <c r="G218" s="0" t="n">
        <v>21337220</v>
      </c>
      <c r="H218" s="0" t="n">
        <v>720192</v>
      </c>
      <c r="I218" s="0" t="s">
        <v>34</v>
      </c>
      <c r="J218" s="0" t="s">
        <v>174</v>
      </c>
      <c r="K218" s="0" t="s">
        <v>94</v>
      </c>
      <c r="L218" s="0" t="n">
        <v>223691810</v>
      </c>
      <c r="M218" s="0" t="s">
        <v>632</v>
      </c>
      <c r="N218" s="0" t="n">
        <v>103058711</v>
      </c>
      <c r="O218" s="0" t="n">
        <v>275</v>
      </c>
      <c r="P218" s="0" t="n">
        <v>4.67</v>
      </c>
      <c r="Q218" s="0" t="e">
        <f aca="false">#N/A</f>
        <v>#N/A</v>
      </c>
    </row>
    <row r="219" customFormat="false" ht="15" hidden="false" customHeight="false" outlineLevel="0" collapsed="false">
      <c r="A219" s="0" t="s">
        <v>2964</v>
      </c>
      <c r="B219" s="0" t="s">
        <v>2965</v>
      </c>
      <c r="C219" s="0" t="s">
        <v>2966</v>
      </c>
      <c r="D219" s="0" t="s">
        <v>2385</v>
      </c>
      <c r="E219" s="0" t="n">
        <v>43334</v>
      </c>
      <c r="F219" s="0" t="s">
        <v>64</v>
      </c>
      <c r="G219" s="0" t="n">
        <v>21337220</v>
      </c>
      <c r="H219" s="0" t="n">
        <v>720192</v>
      </c>
      <c r="I219" s="0" t="s">
        <v>34</v>
      </c>
      <c r="J219" s="0" t="s">
        <v>174</v>
      </c>
      <c r="K219" s="0" t="s">
        <v>79</v>
      </c>
      <c r="L219" s="0" t="n">
        <v>223691801</v>
      </c>
      <c r="M219" s="0" t="s">
        <v>363</v>
      </c>
      <c r="N219" s="0" t="n">
        <v>103053323</v>
      </c>
      <c r="O219" s="0" t="n">
        <v>1050</v>
      </c>
      <c r="P219" s="0" t="n">
        <v>31.83</v>
      </c>
      <c r="Q219" s="0" t="n">
        <v>103053323</v>
      </c>
    </row>
    <row r="220" customFormat="false" ht="15" hidden="false" customHeight="false" outlineLevel="0" collapsed="false">
      <c r="A220" s="0" t="s">
        <v>2967</v>
      </c>
      <c r="B220" s="0" t="s">
        <v>2968</v>
      </c>
      <c r="C220" s="0" t="s">
        <v>2969</v>
      </c>
      <c r="D220" s="0" t="s">
        <v>2385</v>
      </c>
      <c r="E220" s="0" t="n">
        <v>43334</v>
      </c>
      <c r="F220" s="0" t="s">
        <v>64</v>
      </c>
      <c r="G220" s="0" t="n">
        <v>21337220</v>
      </c>
      <c r="H220" s="0" t="n">
        <v>720192</v>
      </c>
      <c r="I220" s="0" t="s">
        <v>34</v>
      </c>
      <c r="J220" s="0" t="s">
        <v>174</v>
      </c>
      <c r="K220" s="0" t="s">
        <v>100</v>
      </c>
      <c r="L220" s="0" t="n">
        <v>223691765</v>
      </c>
      <c r="M220" s="0" t="s">
        <v>660</v>
      </c>
      <c r="N220" s="0" t="n">
        <v>103053332</v>
      </c>
      <c r="O220" s="0" t="n">
        <v>728</v>
      </c>
      <c r="P220" s="0" t="n">
        <v>13.74</v>
      </c>
      <c r="Q220" s="0" t="n">
        <v>103053332</v>
      </c>
    </row>
    <row r="221" customFormat="false" ht="15" hidden="false" customHeight="false" outlineLevel="0" collapsed="false">
      <c r="A221" s="0" t="e">
        <f aca="false">#N/A</f>
        <v>#N/A</v>
      </c>
      <c r="B221" s="0" t="s">
        <v>2970</v>
      </c>
      <c r="C221" s="0" t="s">
        <v>2971</v>
      </c>
      <c r="D221" s="0" t="s">
        <v>2385</v>
      </c>
      <c r="E221" s="0" t="n">
        <v>43334</v>
      </c>
      <c r="F221" s="0" t="s">
        <v>64</v>
      </c>
      <c r="G221" s="0" t="n">
        <v>21337220</v>
      </c>
      <c r="H221" s="0" t="n">
        <v>720192</v>
      </c>
      <c r="I221" s="0" t="s">
        <v>34</v>
      </c>
      <c r="J221" s="0" t="s">
        <v>174</v>
      </c>
      <c r="K221" s="0" t="s">
        <v>92</v>
      </c>
      <c r="L221" s="0" t="n">
        <v>223691762</v>
      </c>
      <c r="M221" s="0" t="s">
        <v>600</v>
      </c>
      <c r="N221" s="0" t="n">
        <v>102902974</v>
      </c>
      <c r="O221" s="0" t="n">
        <v>95</v>
      </c>
      <c r="P221" s="0" t="n">
        <v>2.14</v>
      </c>
      <c r="Q221" s="0" t="e">
        <f aca="false">#N/A</f>
        <v>#N/A</v>
      </c>
    </row>
    <row r="222" customFormat="false" ht="15" hidden="false" customHeight="false" outlineLevel="0" collapsed="false">
      <c r="A222" s="0" t="e">
        <f aca="false">#N/A</f>
        <v>#N/A</v>
      </c>
      <c r="B222" s="0" t="s">
        <v>2972</v>
      </c>
      <c r="C222" s="0" t="s">
        <v>2973</v>
      </c>
      <c r="D222" s="0" t="s">
        <v>2385</v>
      </c>
      <c r="E222" s="0" t="n">
        <v>43334</v>
      </c>
      <c r="F222" s="0" t="s">
        <v>64</v>
      </c>
      <c r="G222" s="0" t="n">
        <v>21337220</v>
      </c>
      <c r="H222" s="0" t="n">
        <v>720192</v>
      </c>
      <c r="I222" s="0" t="s">
        <v>34</v>
      </c>
      <c r="J222" s="0" t="s">
        <v>174</v>
      </c>
      <c r="K222" s="0" t="s">
        <v>76</v>
      </c>
      <c r="L222" s="0" t="n">
        <v>223691783</v>
      </c>
      <c r="M222" s="0" t="s">
        <v>354</v>
      </c>
      <c r="N222" s="0" t="n">
        <v>103058723</v>
      </c>
      <c r="O222" s="0" t="n">
        <v>67</v>
      </c>
      <c r="P222" s="0" t="n">
        <v>1.69</v>
      </c>
      <c r="Q222" s="0" t="e">
        <f aca="false">#N/A</f>
        <v>#N/A</v>
      </c>
    </row>
    <row r="223" customFormat="false" ht="15" hidden="false" customHeight="false" outlineLevel="0" collapsed="false">
      <c r="A223" s="0" t="s">
        <v>2974</v>
      </c>
      <c r="B223" s="0" t="s">
        <v>2975</v>
      </c>
      <c r="C223" s="0" t="s">
        <v>2976</v>
      </c>
      <c r="D223" s="0" t="s">
        <v>2385</v>
      </c>
      <c r="E223" s="0" t="n">
        <v>43334</v>
      </c>
      <c r="F223" s="0" t="s">
        <v>64</v>
      </c>
      <c r="G223" s="0" t="n">
        <v>21337220</v>
      </c>
      <c r="H223" s="0" t="n">
        <v>720192</v>
      </c>
      <c r="I223" s="0" t="s">
        <v>34</v>
      </c>
      <c r="J223" s="0" t="s">
        <v>174</v>
      </c>
      <c r="K223" s="0" t="s">
        <v>72</v>
      </c>
      <c r="L223" s="0" t="n">
        <v>223691777</v>
      </c>
      <c r="M223" s="0" t="s">
        <v>342</v>
      </c>
      <c r="N223" s="0" t="n">
        <v>102900697</v>
      </c>
      <c r="O223" s="0" t="n">
        <v>2597</v>
      </c>
      <c r="P223" s="0" t="n">
        <v>85.33</v>
      </c>
      <c r="Q223" s="0" t="n">
        <v>102900697</v>
      </c>
    </row>
    <row r="224" customFormat="false" ht="15" hidden="false" customHeight="false" outlineLevel="0" collapsed="false">
      <c r="A224" s="0" t="s">
        <v>2977</v>
      </c>
      <c r="B224" s="0" t="s">
        <v>2978</v>
      </c>
      <c r="C224" s="0" t="s">
        <v>2979</v>
      </c>
      <c r="D224" s="0" t="s">
        <v>2385</v>
      </c>
      <c r="E224" s="0" t="n">
        <v>43334</v>
      </c>
      <c r="F224" s="0" t="s">
        <v>64</v>
      </c>
      <c r="G224" s="0" t="n">
        <v>21337220</v>
      </c>
      <c r="H224" s="0" t="n">
        <v>720192</v>
      </c>
      <c r="I224" s="0" t="s">
        <v>34</v>
      </c>
      <c r="J224" s="0" t="s">
        <v>174</v>
      </c>
      <c r="K224" s="0" t="s">
        <v>83</v>
      </c>
      <c r="L224" s="0" t="n">
        <v>223691837</v>
      </c>
      <c r="M224" s="0" t="s">
        <v>375</v>
      </c>
      <c r="N224" s="0" t="n">
        <v>103053314</v>
      </c>
      <c r="O224" s="0" t="n">
        <v>3395</v>
      </c>
      <c r="P224" s="0" t="n">
        <v>89.15</v>
      </c>
      <c r="Q224" s="0" t="n">
        <v>103053314</v>
      </c>
    </row>
    <row r="225" customFormat="false" ht="15" hidden="false" customHeight="false" outlineLevel="0" collapsed="false">
      <c r="A225" s="0" t="s">
        <v>2980</v>
      </c>
      <c r="B225" s="0" t="s">
        <v>2981</v>
      </c>
      <c r="C225" s="0" t="s">
        <v>2982</v>
      </c>
      <c r="D225" s="0" t="s">
        <v>2385</v>
      </c>
      <c r="E225" s="0" t="n">
        <v>43334</v>
      </c>
      <c r="F225" s="0" t="s">
        <v>64</v>
      </c>
      <c r="G225" s="0" t="n">
        <v>21337220</v>
      </c>
      <c r="H225" s="0" t="n">
        <v>720192</v>
      </c>
      <c r="I225" s="0" t="s">
        <v>34</v>
      </c>
      <c r="J225" s="0" t="s">
        <v>174</v>
      </c>
      <c r="K225" s="0" t="s">
        <v>70</v>
      </c>
      <c r="L225" s="0" t="n">
        <v>223691831</v>
      </c>
      <c r="M225" s="0" t="s">
        <v>336</v>
      </c>
      <c r="N225" s="0" t="n">
        <v>102913800</v>
      </c>
      <c r="O225" s="0" t="n">
        <v>3042</v>
      </c>
      <c r="P225" s="0" t="n">
        <v>63.83</v>
      </c>
      <c r="Q225" s="0" t="n">
        <v>102913800</v>
      </c>
    </row>
    <row r="226" customFormat="false" ht="15" hidden="false" customHeight="false" outlineLevel="0" collapsed="false">
      <c r="A226" s="0" t="s">
        <v>2983</v>
      </c>
      <c r="B226" s="0" t="s">
        <v>2984</v>
      </c>
      <c r="C226" s="0" t="s">
        <v>2985</v>
      </c>
      <c r="D226" s="0" t="s">
        <v>2385</v>
      </c>
      <c r="E226" s="0" t="n">
        <v>43334</v>
      </c>
      <c r="F226" s="0" t="s">
        <v>64</v>
      </c>
      <c r="G226" s="0" t="n">
        <v>21337220</v>
      </c>
      <c r="H226" s="0" t="n">
        <v>720192</v>
      </c>
      <c r="I226" s="0" t="s">
        <v>34</v>
      </c>
      <c r="J226" s="0" t="s">
        <v>174</v>
      </c>
      <c r="K226" s="0" t="s">
        <v>87</v>
      </c>
      <c r="L226" s="0" t="n">
        <v>223691795</v>
      </c>
      <c r="M226" s="0" t="s">
        <v>387</v>
      </c>
      <c r="N226" s="0" t="n">
        <v>102900688</v>
      </c>
      <c r="O226" s="0" t="n">
        <v>287</v>
      </c>
      <c r="P226" s="0" t="n">
        <v>9.76</v>
      </c>
      <c r="Q226" s="0" t="n">
        <v>102900688</v>
      </c>
    </row>
    <row r="227" customFormat="false" ht="15" hidden="false" customHeight="false" outlineLevel="0" collapsed="false">
      <c r="A227" s="0" t="s">
        <v>2986</v>
      </c>
      <c r="B227" s="0" t="s">
        <v>2987</v>
      </c>
      <c r="C227" s="0" t="s">
        <v>2988</v>
      </c>
      <c r="D227" s="0" t="s">
        <v>2385</v>
      </c>
      <c r="E227" s="0" t="n">
        <v>43334</v>
      </c>
      <c r="F227" s="0" t="s">
        <v>64</v>
      </c>
      <c r="G227" s="0" t="n">
        <v>21337220</v>
      </c>
      <c r="H227" s="0" t="n">
        <v>720192</v>
      </c>
      <c r="I227" s="0" t="s">
        <v>34</v>
      </c>
      <c r="J227" s="0" t="s">
        <v>174</v>
      </c>
      <c r="K227" s="0" t="s">
        <v>81</v>
      </c>
      <c r="L227" s="0" t="n">
        <v>223691786</v>
      </c>
      <c r="M227" s="0" t="s">
        <v>369</v>
      </c>
      <c r="N227" s="0" t="n">
        <v>103058720</v>
      </c>
      <c r="O227" s="0" t="n">
        <v>327</v>
      </c>
      <c r="P227" s="0" t="n">
        <v>8.71</v>
      </c>
      <c r="Q227" s="0" t="n">
        <v>103058720</v>
      </c>
    </row>
    <row r="228" customFormat="false" ht="15" hidden="false" customHeight="false" outlineLevel="0" collapsed="false">
      <c r="A228" s="0" t="s">
        <v>2989</v>
      </c>
      <c r="B228" s="0" t="s">
        <v>2990</v>
      </c>
      <c r="C228" s="0" t="s">
        <v>2991</v>
      </c>
      <c r="D228" s="0" t="s">
        <v>2385</v>
      </c>
      <c r="E228" s="0" t="n">
        <v>43334</v>
      </c>
      <c r="F228" s="0" t="s">
        <v>64</v>
      </c>
      <c r="G228" s="0" t="n">
        <v>21337220</v>
      </c>
      <c r="H228" s="0" t="n">
        <v>720192</v>
      </c>
      <c r="I228" s="0" t="s">
        <v>34</v>
      </c>
      <c r="J228" s="0" t="s">
        <v>174</v>
      </c>
      <c r="K228" s="0" t="s">
        <v>98</v>
      </c>
      <c r="L228" s="0" t="n">
        <v>223691813</v>
      </c>
      <c r="M228" s="0" t="s">
        <v>654</v>
      </c>
      <c r="N228" s="0" t="n">
        <v>103053320</v>
      </c>
      <c r="O228" s="0" t="n">
        <v>279</v>
      </c>
      <c r="P228" s="0" t="n">
        <v>4.37</v>
      </c>
      <c r="Q228" s="0" t="n">
        <v>103053320</v>
      </c>
    </row>
    <row r="229" customFormat="false" ht="15" hidden="false" customHeight="false" outlineLevel="0" collapsed="false">
      <c r="A229" s="0" t="s">
        <v>2992</v>
      </c>
      <c r="B229" s="0" t="s">
        <v>2993</v>
      </c>
      <c r="C229" s="0" t="s">
        <v>2994</v>
      </c>
      <c r="D229" s="0" t="s">
        <v>2385</v>
      </c>
      <c r="E229" s="0" t="n">
        <v>43334</v>
      </c>
      <c r="F229" s="0" t="s">
        <v>64</v>
      </c>
      <c r="G229" s="0" t="n">
        <v>21337220</v>
      </c>
      <c r="H229" s="0" t="n">
        <v>720192</v>
      </c>
      <c r="I229" s="0" t="s">
        <v>34</v>
      </c>
      <c r="J229" s="0" t="s">
        <v>174</v>
      </c>
      <c r="K229" s="0" t="s">
        <v>90</v>
      </c>
      <c r="L229" s="0" t="n">
        <v>223691819</v>
      </c>
      <c r="M229" s="0" t="s">
        <v>396</v>
      </c>
      <c r="N229" s="0" t="n">
        <v>102900682</v>
      </c>
      <c r="O229" s="0" t="n">
        <v>2148</v>
      </c>
      <c r="P229" s="0" t="n">
        <v>62.18</v>
      </c>
      <c r="Q229" s="0" t="n">
        <v>102900682</v>
      </c>
    </row>
    <row r="230" customFormat="false" ht="15" hidden="false" customHeight="false" outlineLevel="0" collapsed="false">
      <c r="A230" s="0" t="s">
        <v>2995</v>
      </c>
      <c r="B230" s="0" t="s">
        <v>2996</v>
      </c>
      <c r="C230" s="0" t="s">
        <v>2997</v>
      </c>
      <c r="D230" s="0" t="s">
        <v>2385</v>
      </c>
      <c r="E230" s="0" t="n">
        <v>43334</v>
      </c>
      <c r="F230" s="0" t="s">
        <v>64</v>
      </c>
      <c r="G230" s="0" t="n">
        <v>21337220</v>
      </c>
      <c r="H230" s="0" t="n">
        <v>720192</v>
      </c>
      <c r="I230" s="0" t="s">
        <v>34</v>
      </c>
      <c r="J230" s="0" t="s">
        <v>174</v>
      </c>
      <c r="K230" s="0" t="s">
        <v>93</v>
      </c>
      <c r="L230" s="0" t="n">
        <v>223691816</v>
      </c>
      <c r="M230" s="0" t="s">
        <v>625</v>
      </c>
      <c r="N230" s="0" t="n">
        <v>102916341</v>
      </c>
      <c r="O230" s="0" t="n">
        <v>577</v>
      </c>
      <c r="P230" s="0" t="n">
        <v>11.15</v>
      </c>
      <c r="Q230" s="0" t="n">
        <v>102916341</v>
      </c>
    </row>
    <row r="231" customFormat="false" ht="15" hidden="false" customHeight="false" outlineLevel="0" collapsed="false">
      <c r="A231" s="0" t="s">
        <v>2998</v>
      </c>
      <c r="B231" s="0" t="s">
        <v>2999</v>
      </c>
      <c r="C231" s="0" t="s">
        <v>3000</v>
      </c>
      <c r="D231" s="0" t="s">
        <v>2385</v>
      </c>
      <c r="E231" s="0" t="n">
        <v>43334</v>
      </c>
      <c r="F231" s="0" t="s">
        <v>64</v>
      </c>
      <c r="G231" s="0" t="n">
        <v>21337220</v>
      </c>
      <c r="H231" s="0" t="n">
        <v>720192</v>
      </c>
      <c r="I231" s="0" t="s">
        <v>34</v>
      </c>
      <c r="J231" s="0" t="s">
        <v>174</v>
      </c>
      <c r="K231" s="0" t="s">
        <v>89</v>
      </c>
      <c r="L231" s="0" t="n">
        <v>223691822</v>
      </c>
      <c r="M231" s="0" t="s">
        <v>393</v>
      </c>
      <c r="N231" s="0" t="n">
        <v>103058708</v>
      </c>
      <c r="O231" s="0" t="n">
        <v>800</v>
      </c>
      <c r="P231" s="0" t="n">
        <v>12.51</v>
      </c>
      <c r="Q231" s="0" t="n">
        <v>103058708</v>
      </c>
    </row>
    <row r="232" customFormat="false" ht="15" hidden="false" customHeight="false" outlineLevel="0" collapsed="false">
      <c r="A232" s="0" t="e">
        <f aca="false">#N/A</f>
        <v>#N/A</v>
      </c>
      <c r="B232" s="0" t="s">
        <v>3001</v>
      </c>
      <c r="C232" s="0" t="s">
        <v>3002</v>
      </c>
      <c r="D232" s="0" t="s">
        <v>2385</v>
      </c>
      <c r="E232" s="0" t="n">
        <v>43334</v>
      </c>
      <c r="F232" s="0" t="s">
        <v>64</v>
      </c>
      <c r="G232" s="0" t="n">
        <v>21337220</v>
      </c>
      <c r="H232" s="0" t="n">
        <v>720192</v>
      </c>
      <c r="I232" s="0" t="s">
        <v>34</v>
      </c>
      <c r="J232" s="0" t="s">
        <v>174</v>
      </c>
      <c r="K232" s="0" t="s">
        <v>96</v>
      </c>
      <c r="L232" s="0" t="n">
        <v>223691804</v>
      </c>
      <c r="M232" s="0" t="s">
        <v>642</v>
      </c>
      <c r="N232" s="0" t="n">
        <v>103058717</v>
      </c>
      <c r="O232" s="0" t="n">
        <v>27</v>
      </c>
      <c r="P232" s="0" t="n">
        <v>0.42</v>
      </c>
      <c r="Q232" s="0" t="e">
        <f aca="false">#N/A</f>
        <v>#N/A</v>
      </c>
    </row>
    <row r="233" customFormat="false" ht="15" hidden="false" customHeight="false" outlineLevel="0" collapsed="false">
      <c r="A233" s="0" t="s">
        <v>3003</v>
      </c>
      <c r="B233" s="0" t="s">
        <v>3004</v>
      </c>
      <c r="C233" s="0" t="s">
        <v>3005</v>
      </c>
      <c r="D233" s="0" t="s">
        <v>2385</v>
      </c>
      <c r="E233" s="0" t="n">
        <v>43334</v>
      </c>
      <c r="F233" s="0" t="s">
        <v>64</v>
      </c>
      <c r="G233" s="0" t="n">
        <v>21337220</v>
      </c>
      <c r="H233" s="0" t="n">
        <v>720192</v>
      </c>
      <c r="I233" s="0" t="s">
        <v>34</v>
      </c>
      <c r="J233" s="0" t="s">
        <v>174</v>
      </c>
      <c r="K233" s="0" t="s">
        <v>80</v>
      </c>
      <c r="L233" s="0" t="n">
        <v>223691825</v>
      </c>
      <c r="M233" s="0" t="s">
        <v>366</v>
      </c>
      <c r="N233" s="0" t="n">
        <v>102916338</v>
      </c>
      <c r="O233" s="0" t="n">
        <v>1166</v>
      </c>
      <c r="P233" s="0" t="n">
        <v>32.6</v>
      </c>
      <c r="Q233" s="0" t="n">
        <v>102916338</v>
      </c>
    </row>
    <row r="234" customFormat="false" ht="15" hidden="false" customHeight="false" outlineLevel="0" collapsed="false">
      <c r="A234" s="0" t="s">
        <v>3006</v>
      </c>
      <c r="B234" s="0" t="s">
        <v>3007</v>
      </c>
      <c r="C234" s="0" t="s">
        <v>3008</v>
      </c>
      <c r="D234" s="0" t="s">
        <v>2385</v>
      </c>
      <c r="E234" s="0" t="n">
        <v>43334</v>
      </c>
      <c r="F234" s="0" t="s">
        <v>64</v>
      </c>
      <c r="G234" s="0" t="n">
        <v>21337220</v>
      </c>
      <c r="H234" s="0" t="n">
        <v>720192</v>
      </c>
      <c r="I234" s="0" t="s">
        <v>34</v>
      </c>
      <c r="J234" s="0" t="s">
        <v>174</v>
      </c>
      <c r="K234" s="0" t="s">
        <v>97</v>
      </c>
      <c r="L234" s="0" t="n">
        <v>223691774</v>
      </c>
      <c r="M234" s="0" t="s">
        <v>647</v>
      </c>
      <c r="N234" s="0" t="n">
        <v>102916356</v>
      </c>
      <c r="O234" s="0" t="n">
        <v>445</v>
      </c>
      <c r="P234" s="0" t="n">
        <v>9.68</v>
      </c>
      <c r="Q234" s="0" t="n">
        <v>102916356</v>
      </c>
    </row>
    <row r="235" customFormat="false" ht="15" hidden="false" customHeight="false" outlineLevel="0" collapsed="false">
      <c r="A235" s="0" t="e">
        <f aca="false">#N/A</f>
        <v>#N/A</v>
      </c>
      <c r="B235" s="0" t="s">
        <v>3009</v>
      </c>
      <c r="C235" s="0" t="s">
        <v>3010</v>
      </c>
      <c r="D235" s="0" t="s">
        <v>2385</v>
      </c>
      <c r="E235" s="0" t="n">
        <v>43334</v>
      </c>
      <c r="F235" s="0" t="s">
        <v>64</v>
      </c>
      <c r="G235" s="0" t="n">
        <v>21337220</v>
      </c>
      <c r="H235" s="0" t="n">
        <v>720192</v>
      </c>
      <c r="I235" s="0" t="s">
        <v>34</v>
      </c>
      <c r="J235" s="0" t="s">
        <v>174</v>
      </c>
      <c r="K235" s="0" t="s">
        <v>95</v>
      </c>
      <c r="L235" s="0" t="n">
        <v>223691807</v>
      </c>
      <c r="M235" s="0" t="s">
        <v>635</v>
      </c>
      <c r="N235" s="0" t="n">
        <v>102900685</v>
      </c>
      <c r="O235" s="0" t="n">
        <v>309</v>
      </c>
      <c r="P235" s="0" t="n">
        <v>7.56</v>
      </c>
      <c r="Q235" s="0" t="e">
        <f aca="false">#N/A</f>
        <v>#N/A</v>
      </c>
    </row>
    <row r="236" customFormat="false" ht="15" hidden="false" customHeight="false" outlineLevel="0" collapsed="false">
      <c r="A236" s="0" t="s">
        <v>3011</v>
      </c>
      <c r="B236" s="0" t="s">
        <v>3012</v>
      </c>
      <c r="C236" s="0" t="s">
        <v>3013</v>
      </c>
      <c r="D236" s="0" t="s">
        <v>2385</v>
      </c>
      <c r="E236" s="0" t="n">
        <v>43334</v>
      </c>
      <c r="F236" s="0" t="s">
        <v>64</v>
      </c>
      <c r="G236" s="0" t="n">
        <v>21337220</v>
      </c>
      <c r="H236" s="0" t="n">
        <v>720192</v>
      </c>
      <c r="I236" s="0" t="s">
        <v>34</v>
      </c>
      <c r="J236" s="0" t="s">
        <v>174</v>
      </c>
      <c r="K236" s="0" t="s">
        <v>91</v>
      </c>
      <c r="L236" s="0" t="n">
        <v>223691828</v>
      </c>
      <c r="M236" s="0" t="s">
        <v>399</v>
      </c>
      <c r="N236" s="0" t="n">
        <v>102902956</v>
      </c>
      <c r="O236" s="0" t="n">
        <v>284</v>
      </c>
      <c r="P236" s="0" t="n">
        <v>5.95</v>
      </c>
      <c r="Q236" s="0" t="n">
        <v>102902956</v>
      </c>
    </row>
    <row r="237" customFormat="false" ht="15" hidden="false" customHeight="false" outlineLevel="0" collapsed="false">
      <c r="A237" s="0" t="s">
        <v>3014</v>
      </c>
      <c r="B237" s="0" t="s">
        <v>3015</v>
      </c>
      <c r="C237" s="0" t="s">
        <v>3016</v>
      </c>
      <c r="D237" s="0" t="s">
        <v>2385</v>
      </c>
      <c r="E237" s="0" t="n">
        <v>43334</v>
      </c>
      <c r="F237" s="0" t="s">
        <v>64</v>
      </c>
      <c r="G237" s="0" t="n">
        <v>21337220</v>
      </c>
      <c r="H237" s="0" t="n">
        <v>720192</v>
      </c>
      <c r="I237" s="0" t="s">
        <v>34</v>
      </c>
      <c r="J237" s="0" t="s">
        <v>174</v>
      </c>
      <c r="K237" s="0" t="s">
        <v>101</v>
      </c>
      <c r="L237" s="0" t="n">
        <v>223691768</v>
      </c>
      <c r="M237" s="0" t="s">
        <v>663</v>
      </c>
      <c r="N237" s="0" t="n">
        <v>102902971</v>
      </c>
      <c r="O237" s="0" t="n">
        <v>750</v>
      </c>
      <c r="P237" s="0" t="n">
        <v>23.71</v>
      </c>
      <c r="Q237" s="0" t="n">
        <v>102902971</v>
      </c>
    </row>
    <row r="238" customFormat="false" ht="15" hidden="false" customHeight="false" outlineLevel="0" collapsed="false">
      <c r="A238" s="0" t="s">
        <v>3017</v>
      </c>
      <c r="B238" s="0" t="s">
        <v>3018</v>
      </c>
      <c r="C238" s="0" t="s">
        <v>3019</v>
      </c>
      <c r="D238" s="0" t="s">
        <v>2385</v>
      </c>
      <c r="E238" s="0" t="n">
        <v>43334</v>
      </c>
      <c r="F238" s="0" t="s">
        <v>64</v>
      </c>
      <c r="G238" s="0" t="n">
        <v>21337220</v>
      </c>
      <c r="H238" s="0" t="n">
        <v>720192</v>
      </c>
      <c r="I238" s="0" t="s">
        <v>34</v>
      </c>
      <c r="J238" s="0" t="s">
        <v>174</v>
      </c>
      <c r="K238" s="0" t="s">
        <v>88</v>
      </c>
      <c r="L238" s="0" t="n">
        <v>223691834</v>
      </c>
      <c r="M238" s="0" t="s">
        <v>390</v>
      </c>
      <c r="N238" s="0" t="n">
        <v>102902953</v>
      </c>
      <c r="O238" s="0" t="n">
        <v>782</v>
      </c>
      <c r="P238" s="0" t="n">
        <v>17.72</v>
      </c>
      <c r="Q238" s="0" t="n">
        <v>102902953</v>
      </c>
    </row>
    <row r="239" customFormat="false" ht="15" hidden="false" customHeight="false" outlineLevel="0" collapsed="false">
      <c r="A239" s="0" t="s">
        <v>3020</v>
      </c>
      <c r="B239" s="0" t="s">
        <v>3021</v>
      </c>
      <c r="C239" s="0" t="s">
        <v>3022</v>
      </c>
      <c r="D239" s="0" t="s">
        <v>2385</v>
      </c>
      <c r="E239" s="0" t="n">
        <v>43334</v>
      </c>
      <c r="F239" s="0" t="s">
        <v>64</v>
      </c>
      <c r="G239" s="0" t="n">
        <v>21337220</v>
      </c>
      <c r="H239" s="0" t="n">
        <v>720192</v>
      </c>
      <c r="I239" s="0" t="s">
        <v>34</v>
      </c>
      <c r="J239" s="0" t="s">
        <v>174</v>
      </c>
      <c r="K239" s="0" t="s">
        <v>77</v>
      </c>
      <c r="L239" s="0" t="n">
        <v>223691840</v>
      </c>
      <c r="M239" s="0" t="s">
        <v>357</v>
      </c>
      <c r="N239" s="0" t="n">
        <v>102902950</v>
      </c>
      <c r="O239" s="0" t="n">
        <v>1292</v>
      </c>
      <c r="P239" s="0" t="n">
        <v>32.3</v>
      </c>
      <c r="Q239" s="0" t="n">
        <v>102902950</v>
      </c>
    </row>
    <row r="240" customFormat="false" ht="15" hidden="false" customHeight="false" outlineLevel="0" collapsed="false">
      <c r="A240" s="0" t="s">
        <v>3023</v>
      </c>
      <c r="B240" s="0" t="s">
        <v>3024</v>
      </c>
      <c r="C240" s="0" t="s">
        <v>3025</v>
      </c>
      <c r="D240" s="0" t="s">
        <v>2385</v>
      </c>
      <c r="E240" s="0" t="n">
        <v>43334</v>
      </c>
      <c r="F240" s="0" t="s">
        <v>64</v>
      </c>
      <c r="G240" s="0" t="n">
        <v>21337220</v>
      </c>
      <c r="H240" s="0" t="n">
        <v>720192</v>
      </c>
      <c r="I240" s="0" t="s">
        <v>34</v>
      </c>
      <c r="J240" s="0" t="s">
        <v>174</v>
      </c>
      <c r="K240" s="0" t="s">
        <v>82</v>
      </c>
      <c r="L240" s="0" t="n">
        <v>225322327</v>
      </c>
      <c r="M240" s="0" t="s">
        <v>372</v>
      </c>
      <c r="N240" s="0" t="n">
        <v>103902287</v>
      </c>
      <c r="O240" s="0" t="n">
        <v>20031</v>
      </c>
      <c r="P240" s="0" t="n">
        <v>361.34</v>
      </c>
      <c r="Q240" s="0" t="n">
        <v>103902287</v>
      </c>
    </row>
    <row r="241" customFormat="false" ht="15" hidden="false" customHeight="false" outlineLevel="0" collapsed="false">
      <c r="A241" s="0" t="s">
        <v>3026</v>
      </c>
      <c r="B241" s="0" t="s">
        <v>3027</v>
      </c>
      <c r="C241" s="0" t="s">
        <v>3028</v>
      </c>
      <c r="D241" s="0" t="s">
        <v>2385</v>
      </c>
      <c r="E241" s="0" t="n">
        <v>43334</v>
      </c>
      <c r="F241" s="0" t="s">
        <v>64</v>
      </c>
      <c r="G241" s="0" t="n">
        <v>21337220</v>
      </c>
      <c r="H241" s="0" t="n">
        <v>720192</v>
      </c>
      <c r="I241" s="0" t="s">
        <v>34</v>
      </c>
      <c r="J241" s="0" t="s">
        <v>174</v>
      </c>
      <c r="K241" s="0" t="s">
        <v>75</v>
      </c>
      <c r="L241" s="0" t="n">
        <v>223691780</v>
      </c>
      <c r="M241" s="0" t="s">
        <v>351</v>
      </c>
      <c r="N241" s="0" t="n">
        <v>103058726</v>
      </c>
      <c r="O241" s="0" t="n">
        <v>441</v>
      </c>
      <c r="P241" s="0" t="n">
        <v>15.72</v>
      </c>
      <c r="Q241" s="0" t="n">
        <v>103058726</v>
      </c>
    </row>
    <row r="242" customFormat="false" ht="15" hidden="false" customHeight="false" outlineLevel="0" collapsed="false">
      <c r="A242" s="0" t="e">
        <f aca="false">#N/A</f>
        <v>#N/A</v>
      </c>
      <c r="B242" s="0" t="s">
        <v>3029</v>
      </c>
      <c r="C242" s="0" t="s">
        <v>3030</v>
      </c>
      <c r="D242" s="0" t="s">
        <v>2385</v>
      </c>
      <c r="E242" s="0" t="n">
        <v>43334</v>
      </c>
      <c r="F242" s="0" t="s">
        <v>64</v>
      </c>
      <c r="G242" s="0" t="n">
        <v>21337220</v>
      </c>
      <c r="H242" s="0" t="n">
        <v>720192</v>
      </c>
      <c r="I242" s="0" t="s">
        <v>34</v>
      </c>
      <c r="J242" s="0" t="s">
        <v>174</v>
      </c>
      <c r="K242" s="0" t="s">
        <v>71</v>
      </c>
      <c r="L242" s="0" t="n">
        <v>225322324</v>
      </c>
      <c r="M242" s="0" t="s">
        <v>339</v>
      </c>
      <c r="N242" s="0" t="n">
        <v>103789915</v>
      </c>
      <c r="O242" s="0" t="n">
        <v>1334</v>
      </c>
      <c r="P242" s="0" t="n">
        <v>23.57</v>
      </c>
      <c r="Q242" s="0" t="e">
        <f aca="false">#N/A</f>
        <v>#N/A</v>
      </c>
    </row>
    <row r="243" customFormat="false" ht="15" hidden="false" customHeight="false" outlineLevel="0" collapsed="false">
      <c r="A243" s="0" t="s">
        <v>3031</v>
      </c>
      <c r="B243" s="0" t="s">
        <v>3032</v>
      </c>
      <c r="C243" s="0" t="s">
        <v>3033</v>
      </c>
      <c r="D243" s="0" t="s">
        <v>2385</v>
      </c>
      <c r="E243" s="0" t="n">
        <v>43334</v>
      </c>
      <c r="F243" s="0" t="s">
        <v>64</v>
      </c>
      <c r="G243" s="0" t="n">
        <v>21337220</v>
      </c>
      <c r="H243" s="0" t="n">
        <v>720192</v>
      </c>
      <c r="I243" s="0" t="s">
        <v>34</v>
      </c>
      <c r="J243" s="0" t="s">
        <v>174</v>
      </c>
      <c r="K243" s="0" t="s">
        <v>99</v>
      </c>
      <c r="L243" s="0" t="n">
        <v>223691771</v>
      </c>
      <c r="M243" s="0" t="s">
        <v>657</v>
      </c>
      <c r="N243" s="0" t="n">
        <v>102902968</v>
      </c>
      <c r="O243" s="0" t="n">
        <v>364</v>
      </c>
      <c r="P243" s="0" t="n">
        <v>6.73</v>
      </c>
      <c r="Q243" s="0" t="n">
        <v>102902968</v>
      </c>
    </row>
    <row r="244" customFormat="false" ht="15" hidden="false" customHeight="false" outlineLevel="0" collapsed="false">
      <c r="A244" s="0" t="s">
        <v>3034</v>
      </c>
      <c r="B244" s="0" t="s">
        <v>3035</v>
      </c>
      <c r="C244" s="0" t="s">
        <v>3036</v>
      </c>
      <c r="D244" s="0" t="s">
        <v>2385</v>
      </c>
      <c r="E244" s="0" t="n">
        <v>43334</v>
      </c>
      <c r="F244" s="0" t="s">
        <v>64</v>
      </c>
      <c r="G244" s="0" t="n">
        <v>21337220</v>
      </c>
      <c r="H244" s="0" t="n">
        <v>720192</v>
      </c>
      <c r="I244" s="0" t="s">
        <v>34</v>
      </c>
      <c r="J244" s="0" t="s">
        <v>174</v>
      </c>
      <c r="K244" s="0" t="s">
        <v>84</v>
      </c>
      <c r="L244" s="0" t="n">
        <v>223684451</v>
      </c>
      <c r="M244" s="0" t="s">
        <v>378</v>
      </c>
      <c r="N244" s="0" t="n">
        <v>102901882</v>
      </c>
      <c r="O244" s="0" t="n">
        <v>875</v>
      </c>
      <c r="P244" s="0" t="n">
        <v>21.88</v>
      </c>
      <c r="Q244" s="0" t="n">
        <v>102901882</v>
      </c>
    </row>
    <row r="245" customFormat="false" ht="15" hidden="false" customHeight="false" outlineLevel="0" collapsed="false">
      <c r="A245" s="0" t="s">
        <v>3037</v>
      </c>
      <c r="B245" s="0" t="s">
        <v>3038</v>
      </c>
      <c r="C245" s="0" t="s">
        <v>3039</v>
      </c>
      <c r="D245" s="0" t="s">
        <v>2385</v>
      </c>
      <c r="E245" s="0" t="n">
        <v>43334</v>
      </c>
      <c r="F245" s="0" t="s">
        <v>64</v>
      </c>
      <c r="G245" s="0" t="n">
        <v>21337220</v>
      </c>
      <c r="H245" s="0" t="n">
        <v>720192</v>
      </c>
      <c r="I245" s="0" t="s">
        <v>34</v>
      </c>
      <c r="J245" s="0" t="s">
        <v>174</v>
      </c>
      <c r="K245" s="0" t="s">
        <v>69</v>
      </c>
      <c r="L245" s="0" t="n">
        <v>223691798</v>
      </c>
      <c r="M245" s="0" t="s">
        <v>333</v>
      </c>
      <c r="N245" s="0" t="n">
        <v>102916347</v>
      </c>
      <c r="O245" s="0" t="n">
        <v>409</v>
      </c>
      <c r="P245" s="0" t="n">
        <v>8.88</v>
      </c>
      <c r="Q245" s="0" t="n">
        <v>102916347</v>
      </c>
    </row>
    <row r="246" customFormat="false" ht="15" hidden="false" customHeight="false" outlineLevel="0" collapsed="false">
      <c r="A246" s="0" t="s">
        <v>3040</v>
      </c>
      <c r="B246" s="0" t="s">
        <v>3041</v>
      </c>
      <c r="C246" s="0" t="s">
        <v>3042</v>
      </c>
      <c r="D246" s="0" t="s">
        <v>2385</v>
      </c>
      <c r="E246" s="0" t="n">
        <v>43334</v>
      </c>
      <c r="F246" s="0" t="s">
        <v>64</v>
      </c>
      <c r="G246" s="0" t="n">
        <v>21337220</v>
      </c>
      <c r="H246" s="0" t="n">
        <v>720192</v>
      </c>
      <c r="I246" s="0" t="s">
        <v>34</v>
      </c>
      <c r="J246" s="0" t="s">
        <v>174</v>
      </c>
      <c r="K246" s="0" t="s">
        <v>74</v>
      </c>
      <c r="L246" s="0" t="n">
        <v>223691789</v>
      </c>
      <c r="M246" s="0" t="s">
        <v>348</v>
      </c>
      <c r="N246" s="0" t="n">
        <v>102900691</v>
      </c>
      <c r="O246" s="0" t="n">
        <v>216</v>
      </c>
      <c r="P246" s="0" t="n">
        <v>7.48</v>
      </c>
      <c r="Q246" s="0" t="n">
        <v>102900691</v>
      </c>
    </row>
    <row r="247" customFormat="false" ht="15" hidden="false" customHeight="false" outlineLevel="0" collapsed="false">
      <c r="A247" s="0" t="s">
        <v>3043</v>
      </c>
      <c r="B247" s="0" t="s">
        <v>3044</v>
      </c>
      <c r="C247" s="0" t="s">
        <v>3045</v>
      </c>
      <c r="D247" s="0" t="s">
        <v>2385</v>
      </c>
      <c r="E247" s="0" t="n">
        <v>43333</v>
      </c>
      <c r="F247" s="0" t="s">
        <v>64</v>
      </c>
      <c r="G247" s="0" t="n">
        <v>21337220</v>
      </c>
      <c r="H247" s="0" t="n">
        <v>720192</v>
      </c>
      <c r="I247" s="0" t="s">
        <v>34</v>
      </c>
      <c r="J247" s="0" t="s">
        <v>174</v>
      </c>
      <c r="K247" s="0" t="s">
        <v>82</v>
      </c>
      <c r="L247" s="0" t="n">
        <v>225322327</v>
      </c>
      <c r="M247" s="0" t="s">
        <v>372</v>
      </c>
      <c r="N247" s="0" t="n">
        <v>103902287</v>
      </c>
      <c r="O247" s="0" t="n">
        <v>22219</v>
      </c>
      <c r="P247" s="0" t="n">
        <v>347.51</v>
      </c>
      <c r="Q247" s="0" t="n">
        <v>103902287</v>
      </c>
    </row>
    <row r="248" customFormat="false" ht="15" hidden="false" customHeight="false" outlineLevel="0" collapsed="false">
      <c r="A248" s="0" t="s">
        <v>3046</v>
      </c>
      <c r="B248" s="0" t="s">
        <v>3047</v>
      </c>
      <c r="C248" s="0" t="s">
        <v>3048</v>
      </c>
      <c r="D248" s="0" t="s">
        <v>2385</v>
      </c>
      <c r="E248" s="0" t="n">
        <v>43333</v>
      </c>
      <c r="F248" s="0" t="s">
        <v>64</v>
      </c>
      <c r="G248" s="0" t="n">
        <v>21337220</v>
      </c>
      <c r="H248" s="0" t="n">
        <v>720192</v>
      </c>
      <c r="I248" s="0" t="s">
        <v>34</v>
      </c>
      <c r="J248" s="0" t="s">
        <v>174</v>
      </c>
      <c r="K248" s="0" t="s">
        <v>96</v>
      </c>
      <c r="L248" s="0" t="n">
        <v>223691804</v>
      </c>
      <c r="M248" s="0" t="s">
        <v>642</v>
      </c>
      <c r="N248" s="0" t="n">
        <v>103058717</v>
      </c>
      <c r="O248" s="0" t="n">
        <v>318</v>
      </c>
      <c r="P248" s="0" t="n">
        <v>9.86</v>
      </c>
      <c r="Q248" s="0" t="n">
        <v>103058717</v>
      </c>
    </row>
    <row r="249" customFormat="false" ht="15" hidden="false" customHeight="false" outlineLevel="0" collapsed="false">
      <c r="A249" s="0" t="s">
        <v>3049</v>
      </c>
      <c r="B249" s="0" t="s">
        <v>3050</v>
      </c>
      <c r="C249" s="0" t="s">
        <v>3051</v>
      </c>
      <c r="D249" s="0" t="s">
        <v>2385</v>
      </c>
      <c r="E249" s="0" t="n">
        <v>43333</v>
      </c>
      <c r="F249" s="0" t="s">
        <v>64</v>
      </c>
      <c r="G249" s="0" t="n">
        <v>21337220</v>
      </c>
      <c r="H249" s="0" t="n">
        <v>720192</v>
      </c>
      <c r="I249" s="0" t="s">
        <v>34</v>
      </c>
      <c r="J249" s="0" t="s">
        <v>174</v>
      </c>
      <c r="K249" s="0" t="s">
        <v>90</v>
      </c>
      <c r="L249" s="0" t="n">
        <v>223691819</v>
      </c>
      <c r="M249" s="0" t="s">
        <v>396</v>
      </c>
      <c r="N249" s="0" t="n">
        <v>102900682</v>
      </c>
      <c r="O249" s="0" t="n">
        <v>1993</v>
      </c>
      <c r="P249" s="0" t="n">
        <v>60.8</v>
      </c>
      <c r="Q249" s="0" t="n">
        <v>102900682</v>
      </c>
    </row>
    <row r="250" customFormat="false" ht="15" hidden="false" customHeight="false" outlineLevel="0" collapsed="false">
      <c r="A250" s="0" t="s">
        <v>3052</v>
      </c>
      <c r="B250" s="0" t="s">
        <v>3053</v>
      </c>
      <c r="C250" s="0" t="s">
        <v>3054</v>
      </c>
      <c r="D250" s="0" t="s">
        <v>2385</v>
      </c>
      <c r="E250" s="0" t="n">
        <v>43333</v>
      </c>
      <c r="F250" s="0" t="s">
        <v>64</v>
      </c>
      <c r="G250" s="0" t="n">
        <v>21337220</v>
      </c>
      <c r="H250" s="0" t="n">
        <v>720192</v>
      </c>
      <c r="I250" s="0" t="s">
        <v>34</v>
      </c>
      <c r="J250" s="0" t="s">
        <v>174</v>
      </c>
      <c r="K250" s="0" t="s">
        <v>81</v>
      </c>
      <c r="L250" s="0" t="n">
        <v>223691786</v>
      </c>
      <c r="M250" s="0" t="s">
        <v>369</v>
      </c>
      <c r="N250" s="0" t="n">
        <v>103058720</v>
      </c>
      <c r="O250" s="0" t="n">
        <v>670</v>
      </c>
      <c r="P250" s="0" t="n">
        <v>16.99</v>
      </c>
      <c r="Q250" s="0" t="n">
        <v>103058720</v>
      </c>
    </row>
    <row r="251" customFormat="false" ht="15" hidden="false" customHeight="false" outlineLevel="0" collapsed="false">
      <c r="A251" s="0" t="s">
        <v>3055</v>
      </c>
      <c r="B251" s="0" t="s">
        <v>3056</v>
      </c>
      <c r="C251" s="0" t="s">
        <v>3057</v>
      </c>
      <c r="D251" s="0" t="s">
        <v>2385</v>
      </c>
      <c r="E251" s="0" t="n">
        <v>43333</v>
      </c>
      <c r="F251" s="0" t="s">
        <v>64</v>
      </c>
      <c r="G251" s="0" t="n">
        <v>21337220</v>
      </c>
      <c r="H251" s="0" t="n">
        <v>720192</v>
      </c>
      <c r="I251" s="0" t="s">
        <v>34</v>
      </c>
      <c r="J251" s="0" t="s">
        <v>174</v>
      </c>
      <c r="K251" s="0" t="s">
        <v>91</v>
      </c>
      <c r="L251" s="0" t="n">
        <v>223691828</v>
      </c>
      <c r="M251" s="0" t="s">
        <v>399</v>
      </c>
      <c r="N251" s="0" t="n">
        <v>102902956</v>
      </c>
      <c r="O251" s="0" t="n">
        <v>179</v>
      </c>
      <c r="P251" s="0" t="n">
        <v>3.3</v>
      </c>
      <c r="Q251" s="0" t="n">
        <v>102902956</v>
      </c>
    </row>
    <row r="252" customFormat="false" ht="15" hidden="false" customHeight="false" outlineLevel="0" collapsed="false">
      <c r="A252" s="0" t="s">
        <v>3058</v>
      </c>
      <c r="B252" s="0" t="s">
        <v>3059</v>
      </c>
      <c r="C252" s="0" t="s">
        <v>3060</v>
      </c>
      <c r="D252" s="0" t="s">
        <v>2385</v>
      </c>
      <c r="E252" s="0" t="n">
        <v>43333</v>
      </c>
      <c r="F252" s="0" t="s">
        <v>64</v>
      </c>
      <c r="G252" s="0" t="n">
        <v>21337220</v>
      </c>
      <c r="H252" s="0" t="n">
        <v>720192</v>
      </c>
      <c r="I252" s="0" t="s">
        <v>34</v>
      </c>
      <c r="J252" s="0" t="s">
        <v>174</v>
      </c>
      <c r="K252" s="0" t="s">
        <v>88</v>
      </c>
      <c r="L252" s="0" t="n">
        <v>223691834</v>
      </c>
      <c r="M252" s="0" t="s">
        <v>390</v>
      </c>
      <c r="N252" s="0" t="n">
        <v>102902953</v>
      </c>
      <c r="O252" s="0" t="n">
        <v>905</v>
      </c>
      <c r="P252" s="0" t="n">
        <v>21.13</v>
      </c>
      <c r="Q252" s="0" t="n">
        <v>102902953</v>
      </c>
    </row>
    <row r="253" customFormat="false" ht="15" hidden="false" customHeight="false" outlineLevel="0" collapsed="false">
      <c r="A253" s="0" t="s">
        <v>3061</v>
      </c>
      <c r="B253" s="0" t="s">
        <v>3062</v>
      </c>
      <c r="C253" s="0" t="s">
        <v>3063</v>
      </c>
      <c r="D253" s="0" t="s">
        <v>2385</v>
      </c>
      <c r="E253" s="0" t="n">
        <v>43333</v>
      </c>
      <c r="F253" s="0" t="s">
        <v>64</v>
      </c>
      <c r="G253" s="0" t="n">
        <v>21337220</v>
      </c>
      <c r="H253" s="0" t="n">
        <v>720192</v>
      </c>
      <c r="I253" s="0" t="s">
        <v>34</v>
      </c>
      <c r="J253" s="0" t="s">
        <v>174</v>
      </c>
      <c r="K253" s="0" t="s">
        <v>72</v>
      </c>
      <c r="L253" s="0" t="n">
        <v>223691777</v>
      </c>
      <c r="M253" s="0" t="s">
        <v>342</v>
      </c>
      <c r="N253" s="0" t="n">
        <v>102900697</v>
      </c>
      <c r="O253" s="0" t="n">
        <v>1151</v>
      </c>
      <c r="P253" s="0" t="n">
        <v>46.1</v>
      </c>
      <c r="Q253" s="0" t="n">
        <v>102900697</v>
      </c>
    </row>
    <row r="254" customFormat="false" ht="15" hidden="false" customHeight="false" outlineLevel="0" collapsed="false">
      <c r="A254" s="0" t="s">
        <v>3064</v>
      </c>
      <c r="B254" s="0" t="s">
        <v>3065</v>
      </c>
      <c r="C254" s="0" t="s">
        <v>3066</v>
      </c>
      <c r="D254" s="0" t="s">
        <v>2385</v>
      </c>
      <c r="E254" s="0" t="n">
        <v>43333</v>
      </c>
      <c r="F254" s="0" t="s">
        <v>64</v>
      </c>
      <c r="G254" s="0" t="n">
        <v>21337220</v>
      </c>
      <c r="H254" s="0" t="n">
        <v>720192</v>
      </c>
      <c r="I254" s="0" t="s">
        <v>34</v>
      </c>
      <c r="J254" s="0" t="s">
        <v>174</v>
      </c>
      <c r="K254" s="0" t="s">
        <v>89</v>
      </c>
      <c r="L254" s="0" t="n">
        <v>223691822</v>
      </c>
      <c r="M254" s="0" t="s">
        <v>393</v>
      </c>
      <c r="N254" s="0" t="n">
        <v>103058708</v>
      </c>
      <c r="O254" s="0" t="n">
        <v>1248</v>
      </c>
      <c r="P254" s="0" t="n">
        <v>20.33</v>
      </c>
      <c r="Q254" s="0" t="n">
        <v>103058708</v>
      </c>
    </row>
    <row r="255" customFormat="false" ht="15" hidden="false" customHeight="false" outlineLevel="0" collapsed="false">
      <c r="A255" s="0" t="s">
        <v>3067</v>
      </c>
      <c r="B255" s="0" t="s">
        <v>3068</v>
      </c>
      <c r="C255" s="0" t="s">
        <v>3069</v>
      </c>
      <c r="D255" s="0" t="s">
        <v>2385</v>
      </c>
      <c r="E255" s="0" t="n">
        <v>43333</v>
      </c>
      <c r="F255" s="0" t="s">
        <v>64</v>
      </c>
      <c r="G255" s="0" t="n">
        <v>21337220</v>
      </c>
      <c r="H255" s="0" t="n">
        <v>720192</v>
      </c>
      <c r="I255" s="0" t="s">
        <v>34</v>
      </c>
      <c r="J255" s="0" t="s">
        <v>174</v>
      </c>
      <c r="K255" s="0" t="s">
        <v>93</v>
      </c>
      <c r="L255" s="0" t="n">
        <v>223691816</v>
      </c>
      <c r="M255" s="0" t="s">
        <v>625</v>
      </c>
      <c r="N255" s="0" t="n">
        <v>102916341</v>
      </c>
      <c r="O255" s="0" t="n">
        <v>810</v>
      </c>
      <c r="P255" s="0" t="n">
        <v>15.78</v>
      </c>
      <c r="Q255" s="0" t="n">
        <v>102916341</v>
      </c>
    </row>
    <row r="256" customFormat="false" ht="15" hidden="false" customHeight="false" outlineLevel="0" collapsed="false">
      <c r="A256" s="0" t="s">
        <v>3070</v>
      </c>
      <c r="B256" s="0" t="s">
        <v>3071</v>
      </c>
      <c r="C256" s="0" t="s">
        <v>3072</v>
      </c>
      <c r="D256" s="0" t="s">
        <v>2385</v>
      </c>
      <c r="E256" s="0" t="n">
        <v>43333</v>
      </c>
      <c r="F256" s="0" t="s">
        <v>64</v>
      </c>
      <c r="G256" s="0" t="n">
        <v>21337220</v>
      </c>
      <c r="H256" s="0" t="n">
        <v>720192</v>
      </c>
      <c r="I256" s="0" t="s">
        <v>34</v>
      </c>
      <c r="J256" s="0" t="s">
        <v>174</v>
      </c>
      <c r="K256" s="0" t="s">
        <v>80</v>
      </c>
      <c r="L256" s="0" t="n">
        <v>223691825</v>
      </c>
      <c r="M256" s="0" t="s">
        <v>366</v>
      </c>
      <c r="N256" s="0" t="n">
        <v>102916338</v>
      </c>
      <c r="O256" s="0" t="n">
        <v>1365</v>
      </c>
      <c r="P256" s="0" t="n">
        <v>35.3</v>
      </c>
      <c r="Q256" s="0" t="n">
        <v>102916338</v>
      </c>
    </row>
    <row r="257" customFormat="false" ht="15" hidden="false" customHeight="false" outlineLevel="0" collapsed="false">
      <c r="A257" s="0" t="s">
        <v>3073</v>
      </c>
      <c r="B257" s="0" t="s">
        <v>3074</v>
      </c>
      <c r="C257" s="0" t="s">
        <v>3075</v>
      </c>
      <c r="D257" s="0" t="s">
        <v>2385</v>
      </c>
      <c r="E257" s="0" t="n">
        <v>43333</v>
      </c>
      <c r="F257" s="0" t="s">
        <v>64</v>
      </c>
      <c r="G257" s="0" t="n">
        <v>21337220</v>
      </c>
      <c r="H257" s="0" t="n">
        <v>720192</v>
      </c>
      <c r="I257" s="0" t="s">
        <v>34</v>
      </c>
      <c r="J257" s="0" t="s">
        <v>174</v>
      </c>
      <c r="K257" s="0" t="s">
        <v>70</v>
      </c>
      <c r="L257" s="0" t="n">
        <v>223691831</v>
      </c>
      <c r="M257" s="0" t="s">
        <v>336</v>
      </c>
      <c r="N257" s="0" t="n">
        <v>102913800</v>
      </c>
      <c r="O257" s="0" t="n">
        <v>3247</v>
      </c>
      <c r="P257" s="0" t="n">
        <v>67.63</v>
      </c>
      <c r="Q257" s="0" t="n">
        <v>102913800</v>
      </c>
    </row>
    <row r="258" customFormat="false" ht="15" hidden="false" customHeight="false" outlineLevel="0" collapsed="false">
      <c r="A258" s="0" t="e">
        <f aca="false">#N/A</f>
        <v>#N/A</v>
      </c>
      <c r="B258" s="0" t="s">
        <v>3076</v>
      </c>
      <c r="C258" s="0" t="s">
        <v>3077</v>
      </c>
      <c r="D258" s="0" t="s">
        <v>2385</v>
      </c>
      <c r="E258" s="0" t="n">
        <v>43333</v>
      </c>
      <c r="F258" s="0" t="s">
        <v>64</v>
      </c>
      <c r="G258" s="0" t="n">
        <v>21337220</v>
      </c>
      <c r="H258" s="0" t="n">
        <v>720192</v>
      </c>
      <c r="I258" s="0" t="s">
        <v>34</v>
      </c>
      <c r="J258" s="0" t="s">
        <v>174</v>
      </c>
      <c r="K258" s="0" t="s">
        <v>76</v>
      </c>
      <c r="L258" s="0" t="n">
        <v>223691783</v>
      </c>
      <c r="M258" s="0" t="s">
        <v>354</v>
      </c>
      <c r="N258" s="0" t="n">
        <v>103058723</v>
      </c>
      <c r="O258" s="0" t="n">
        <v>108</v>
      </c>
      <c r="P258" s="0" t="n">
        <v>4.8</v>
      </c>
      <c r="Q258" s="0" t="e">
        <f aca="false">#N/A</f>
        <v>#N/A</v>
      </c>
    </row>
    <row r="259" customFormat="false" ht="15" hidden="false" customHeight="false" outlineLevel="0" collapsed="false">
      <c r="A259" s="0" t="s">
        <v>3078</v>
      </c>
      <c r="B259" s="0" t="s">
        <v>3079</v>
      </c>
      <c r="C259" s="0" t="s">
        <v>3080</v>
      </c>
      <c r="D259" s="0" t="s">
        <v>2385</v>
      </c>
      <c r="E259" s="0" t="n">
        <v>43333</v>
      </c>
      <c r="F259" s="0" t="s">
        <v>64</v>
      </c>
      <c r="G259" s="0" t="n">
        <v>21337220</v>
      </c>
      <c r="H259" s="0" t="n">
        <v>720192</v>
      </c>
      <c r="I259" s="0" t="s">
        <v>34</v>
      </c>
      <c r="J259" s="0" t="s">
        <v>174</v>
      </c>
      <c r="K259" s="0" t="s">
        <v>97</v>
      </c>
      <c r="L259" s="0" t="n">
        <v>223691774</v>
      </c>
      <c r="M259" s="0" t="s">
        <v>647</v>
      </c>
      <c r="N259" s="0" t="n">
        <v>102916356</v>
      </c>
      <c r="O259" s="0" t="n">
        <v>295</v>
      </c>
      <c r="P259" s="0" t="n">
        <v>5.24</v>
      </c>
      <c r="Q259" s="0" t="n">
        <v>102916356</v>
      </c>
    </row>
    <row r="260" customFormat="false" ht="15" hidden="false" customHeight="false" outlineLevel="0" collapsed="false">
      <c r="A260" s="0" t="s">
        <v>3081</v>
      </c>
      <c r="B260" s="0" t="s">
        <v>3082</v>
      </c>
      <c r="C260" s="0" t="s">
        <v>3083</v>
      </c>
      <c r="D260" s="0" t="s">
        <v>2385</v>
      </c>
      <c r="E260" s="0" t="n">
        <v>43333</v>
      </c>
      <c r="F260" s="0" t="s">
        <v>64</v>
      </c>
      <c r="G260" s="0" t="n">
        <v>21337220</v>
      </c>
      <c r="H260" s="0" t="n">
        <v>720192</v>
      </c>
      <c r="I260" s="0" t="s">
        <v>34</v>
      </c>
      <c r="J260" s="0" t="s">
        <v>174</v>
      </c>
      <c r="K260" s="0" t="s">
        <v>101</v>
      </c>
      <c r="L260" s="0" t="n">
        <v>223691768</v>
      </c>
      <c r="M260" s="0" t="s">
        <v>663</v>
      </c>
      <c r="N260" s="0" t="n">
        <v>102902971</v>
      </c>
      <c r="O260" s="0" t="n">
        <v>1288</v>
      </c>
      <c r="P260" s="0" t="n">
        <v>35.82</v>
      </c>
      <c r="Q260" s="0" t="n">
        <v>102902971</v>
      </c>
    </row>
    <row r="261" customFormat="false" ht="15" hidden="false" customHeight="false" outlineLevel="0" collapsed="false">
      <c r="A261" s="0" t="e">
        <f aca="false">#N/A</f>
        <v>#N/A</v>
      </c>
      <c r="B261" s="0" t="s">
        <v>3084</v>
      </c>
      <c r="C261" s="0" t="s">
        <v>3085</v>
      </c>
      <c r="D261" s="0" t="s">
        <v>2385</v>
      </c>
      <c r="E261" s="0" t="n">
        <v>43333</v>
      </c>
      <c r="F261" s="0" t="s">
        <v>64</v>
      </c>
      <c r="G261" s="0" t="n">
        <v>21337220</v>
      </c>
      <c r="H261" s="0" t="n">
        <v>720192</v>
      </c>
      <c r="I261" s="0" t="s">
        <v>34</v>
      </c>
      <c r="J261" s="0" t="s">
        <v>174</v>
      </c>
      <c r="K261" s="0" t="s">
        <v>73</v>
      </c>
      <c r="L261" s="0" t="n">
        <v>223691792</v>
      </c>
      <c r="M261" s="0" t="s">
        <v>345</v>
      </c>
      <c r="N261" s="0" t="n">
        <v>102901894</v>
      </c>
      <c r="O261" s="0" t="n">
        <v>305</v>
      </c>
      <c r="P261" s="0" t="n">
        <v>10.05</v>
      </c>
      <c r="Q261" s="0" t="e">
        <f aca="false">#N/A</f>
        <v>#N/A</v>
      </c>
    </row>
    <row r="262" customFormat="false" ht="15" hidden="false" customHeight="false" outlineLevel="0" collapsed="false">
      <c r="A262" s="0" t="s">
        <v>3086</v>
      </c>
      <c r="B262" s="0" t="s">
        <v>3087</v>
      </c>
      <c r="C262" s="0" t="s">
        <v>3088</v>
      </c>
      <c r="D262" s="0" t="s">
        <v>2385</v>
      </c>
      <c r="E262" s="0" t="n">
        <v>43333</v>
      </c>
      <c r="F262" s="0" t="s">
        <v>64</v>
      </c>
      <c r="G262" s="0" t="n">
        <v>21337220</v>
      </c>
      <c r="H262" s="0" t="n">
        <v>720192</v>
      </c>
      <c r="I262" s="0" t="s">
        <v>34</v>
      </c>
      <c r="J262" s="0" t="s">
        <v>174</v>
      </c>
      <c r="K262" s="0" t="s">
        <v>69</v>
      </c>
      <c r="L262" s="0" t="n">
        <v>223691798</v>
      </c>
      <c r="M262" s="0" t="s">
        <v>333</v>
      </c>
      <c r="N262" s="0" t="n">
        <v>102916347</v>
      </c>
      <c r="O262" s="0" t="n">
        <v>252</v>
      </c>
      <c r="P262" s="0" t="n">
        <v>5.22</v>
      </c>
      <c r="Q262" s="0" t="n">
        <v>102916347</v>
      </c>
    </row>
    <row r="263" customFormat="false" ht="15" hidden="false" customHeight="false" outlineLevel="0" collapsed="false">
      <c r="A263" s="0" t="s">
        <v>3089</v>
      </c>
      <c r="B263" s="0" t="s">
        <v>3090</v>
      </c>
      <c r="C263" s="0" t="s">
        <v>3091</v>
      </c>
      <c r="D263" s="0" t="s">
        <v>2385</v>
      </c>
      <c r="E263" s="0" t="n">
        <v>43333</v>
      </c>
      <c r="F263" s="0" t="s">
        <v>64</v>
      </c>
      <c r="G263" s="0" t="n">
        <v>21337220</v>
      </c>
      <c r="H263" s="0" t="n">
        <v>720192</v>
      </c>
      <c r="I263" s="0" t="s">
        <v>34</v>
      </c>
      <c r="J263" s="0" t="s">
        <v>174</v>
      </c>
      <c r="K263" s="0" t="s">
        <v>77</v>
      </c>
      <c r="L263" s="0" t="n">
        <v>223691840</v>
      </c>
      <c r="M263" s="0" t="s">
        <v>357</v>
      </c>
      <c r="N263" s="0" t="n">
        <v>102902950</v>
      </c>
      <c r="O263" s="0" t="n">
        <v>3228</v>
      </c>
      <c r="P263" s="0" t="n">
        <v>83.53</v>
      </c>
      <c r="Q263" s="0" t="n">
        <v>102902950</v>
      </c>
    </row>
    <row r="264" customFormat="false" ht="15" hidden="false" customHeight="false" outlineLevel="0" collapsed="false">
      <c r="A264" s="0" t="s">
        <v>3092</v>
      </c>
      <c r="B264" s="0" t="s">
        <v>3093</v>
      </c>
      <c r="C264" s="0" t="s">
        <v>3094</v>
      </c>
      <c r="D264" s="0" t="s">
        <v>2385</v>
      </c>
      <c r="E264" s="0" t="n">
        <v>43333</v>
      </c>
      <c r="F264" s="0" t="s">
        <v>64</v>
      </c>
      <c r="G264" s="0" t="n">
        <v>21337220</v>
      </c>
      <c r="H264" s="0" t="n">
        <v>720192</v>
      </c>
      <c r="I264" s="0" t="s">
        <v>34</v>
      </c>
      <c r="J264" s="0" t="s">
        <v>174</v>
      </c>
      <c r="K264" s="0" t="s">
        <v>84</v>
      </c>
      <c r="L264" s="0" t="n">
        <v>223684451</v>
      </c>
      <c r="M264" s="0" t="s">
        <v>378</v>
      </c>
      <c r="N264" s="0" t="n">
        <v>102901882</v>
      </c>
      <c r="O264" s="0" t="n">
        <v>1344</v>
      </c>
      <c r="P264" s="0" t="n">
        <v>38.01</v>
      </c>
      <c r="Q264" s="0" t="n">
        <v>102901882</v>
      </c>
    </row>
    <row r="265" customFormat="false" ht="15" hidden="false" customHeight="false" outlineLevel="0" collapsed="false">
      <c r="A265" s="0" t="s">
        <v>3095</v>
      </c>
      <c r="B265" s="0" t="s">
        <v>3096</v>
      </c>
      <c r="C265" s="0" t="s">
        <v>3097</v>
      </c>
      <c r="D265" s="0" t="s">
        <v>2385</v>
      </c>
      <c r="E265" s="0" t="n">
        <v>43333</v>
      </c>
      <c r="F265" s="0" t="s">
        <v>64</v>
      </c>
      <c r="G265" s="0" t="n">
        <v>21337220</v>
      </c>
      <c r="H265" s="0" t="n">
        <v>720192</v>
      </c>
      <c r="I265" s="0" t="s">
        <v>34</v>
      </c>
      <c r="J265" s="0" t="s">
        <v>174</v>
      </c>
      <c r="K265" s="0" t="s">
        <v>74</v>
      </c>
      <c r="L265" s="0" t="n">
        <v>223691789</v>
      </c>
      <c r="M265" s="0" t="s">
        <v>348</v>
      </c>
      <c r="N265" s="0" t="n">
        <v>102900691</v>
      </c>
      <c r="O265" s="0" t="n">
        <v>385</v>
      </c>
      <c r="P265" s="0" t="n">
        <v>11.69</v>
      </c>
      <c r="Q265" s="0" t="n">
        <v>102900691</v>
      </c>
    </row>
    <row r="266" customFormat="false" ht="15" hidden="false" customHeight="false" outlineLevel="0" collapsed="false">
      <c r="A266" s="0" t="e">
        <f aca="false">#N/A</f>
        <v>#N/A</v>
      </c>
      <c r="B266" s="0" t="s">
        <v>3098</v>
      </c>
      <c r="C266" s="0" t="s">
        <v>3099</v>
      </c>
      <c r="D266" s="0" t="s">
        <v>2385</v>
      </c>
      <c r="E266" s="0" t="n">
        <v>43333</v>
      </c>
      <c r="F266" s="0" t="s">
        <v>64</v>
      </c>
      <c r="G266" s="0" t="n">
        <v>21337220</v>
      </c>
      <c r="H266" s="0" t="n">
        <v>720192</v>
      </c>
      <c r="I266" s="0" t="s">
        <v>34</v>
      </c>
      <c r="J266" s="0" t="s">
        <v>174</v>
      </c>
      <c r="K266" s="0" t="s">
        <v>92</v>
      </c>
      <c r="L266" s="0" t="n">
        <v>223691762</v>
      </c>
      <c r="M266" s="0" t="s">
        <v>600</v>
      </c>
      <c r="N266" s="0" t="n">
        <v>102902974</v>
      </c>
      <c r="O266" s="0" t="n">
        <v>105</v>
      </c>
      <c r="P266" s="0" t="n">
        <v>1.96</v>
      </c>
      <c r="Q266" s="0" t="e">
        <f aca="false">#N/A</f>
        <v>#N/A</v>
      </c>
    </row>
    <row r="267" customFormat="false" ht="15" hidden="false" customHeight="false" outlineLevel="0" collapsed="false">
      <c r="A267" s="0" t="s">
        <v>3100</v>
      </c>
      <c r="B267" s="0" t="s">
        <v>3101</v>
      </c>
      <c r="C267" s="0" t="s">
        <v>3102</v>
      </c>
      <c r="D267" s="0" t="s">
        <v>2385</v>
      </c>
      <c r="E267" s="0" t="n">
        <v>43333</v>
      </c>
      <c r="F267" s="0" t="s">
        <v>64</v>
      </c>
      <c r="G267" s="0" t="n">
        <v>21337220</v>
      </c>
      <c r="H267" s="0" t="n">
        <v>720192</v>
      </c>
      <c r="I267" s="0" t="s">
        <v>34</v>
      </c>
      <c r="J267" s="0" t="s">
        <v>174</v>
      </c>
      <c r="K267" s="0" t="s">
        <v>79</v>
      </c>
      <c r="L267" s="0" t="n">
        <v>223691801</v>
      </c>
      <c r="M267" s="0" t="s">
        <v>363</v>
      </c>
      <c r="N267" s="0" t="n">
        <v>103053323</v>
      </c>
      <c r="O267" s="0" t="n">
        <v>1168</v>
      </c>
      <c r="P267" s="0" t="n">
        <v>28.83</v>
      </c>
      <c r="Q267" s="0" t="n">
        <v>103053323</v>
      </c>
    </row>
    <row r="268" customFormat="false" ht="15" hidden="false" customHeight="false" outlineLevel="0" collapsed="false">
      <c r="A268" s="0" t="s">
        <v>3103</v>
      </c>
      <c r="B268" s="0" t="s">
        <v>3104</v>
      </c>
      <c r="C268" s="0" t="s">
        <v>3105</v>
      </c>
      <c r="D268" s="0" t="s">
        <v>2385</v>
      </c>
      <c r="E268" s="0" t="n">
        <v>43333</v>
      </c>
      <c r="F268" s="0" t="s">
        <v>64</v>
      </c>
      <c r="G268" s="0" t="n">
        <v>21337220</v>
      </c>
      <c r="H268" s="0" t="n">
        <v>720192</v>
      </c>
      <c r="I268" s="0" t="s">
        <v>34</v>
      </c>
      <c r="J268" s="0" t="s">
        <v>174</v>
      </c>
      <c r="K268" s="0" t="s">
        <v>94</v>
      </c>
      <c r="L268" s="0" t="n">
        <v>223691810</v>
      </c>
      <c r="M268" s="0" t="s">
        <v>632</v>
      </c>
      <c r="N268" s="0" t="n">
        <v>103058711</v>
      </c>
      <c r="O268" s="0" t="n">
        <v>472</v>
      </c>
      <c r="P268" s="0" t="n">
        <v>9.77</v>
      </c>
      <c r="Q268" s="0" t="n">
        <v>103058711</v>
      </c>
    </row>
    <row r="269" customFormat="false" ht="15" hidden="false" customHeight="false" outlineLevel="0" collapsed="false">
      <c r="A269" s="0" t="e">
        <f aca="false">#N/A</f>
        <v>#N/A</v>
      </c>
      <c r="B269" s="0" t="s">
        <v>3106</v>
      </c>
      <c r="C269" s="0" t="s">
        <v>3107</v>
      </c>
      <c r="D269" s="0" t="s">
        <v>2385</v>
      </c>
      <c r="E269" s="0" t="n">
        <v>43333</v>
      </c>
      <c r="F269" s="0" t="s">
        <v>64</v>
      </c>
      <c r="G269" s="0" t="n">
        <v>21337220</v>
      </c>
      <c r="H269" s="0" t="n">
        <v>720192</v>
      </c>
      <c r="I269" s="0" t="s">
        <v>34</v>
      </c>
      <c r="J269" s="0" t="s">
        <v>174</v>
      </c>
      <c r="K269" s="0" t="s">
        <v>87</v>
      </c>
      <c r="L269" s="0" t="n">
        <v>223691795</v>
      </c>
      <c r="M269" s="0" t="s">
        <v>387</v>
      </c>
      <c r="N269" s="0" t="n">
        <v>102900688</v>
      </c>
      <c r="O269" s="0" t="n">
        <v>296</v>
      </c>
      <c r="P269" s="0" t="n">
        <v>8.33</v>
      </c>
      <c r="Q269" s="0" t="e">
        <f aca="false">#N/A</f>
        <v>#N/A</v>
      </c>
    </row>
    <row r="270" customFormat="false" ht="15" hidden="false" customHeight="false" outlineLevel="0" collapsed="false">
      <c r="A270" s="0" t="e">
        <f aca="false">#N/A</f>
        <v>#N/A</v>
      </c>
      <c r="B270" s="0" t="s">
        <v>3108</v>
      </c>
      <c r="C270" s="0" t="s">
        <v>3109</v>
      </c>
      <c r="D270" s="0" t="s">
        <v>2385</v>
      </c>
      <c r="E270" s="0" t="n">
        <v>43333</v>
      </c>
      <c r="F270" s="0" t="s">
        <v>64</v>
      </c>
      <c r="G270" s="0" t="n">
        <v>21337220</v>
      </c>
      <c r="H270" s="0" t="n">
        <v>720192</v>
      </c>
      <c r="I270" s="0" t="s">
        <v>34</v>
      </c>
      <c r="J270" s="0" t="s">
        <v>174</v>
      </c>
      <c r="K270" s="0" t="s">
        <v>100</v>
      </c>
      <c r="L270" s="0" t="n">
        <v>223691765</v>
      </c>
      <c r="M270" s="0" t="s">
        <v>660</v>
      </c>
      <c r="N270" s="0" t="n">
        <v>103053332</v>
      </c>
      <c r="O270" s="0" t="n">
        <v>277</v>
      </c>
      <c r="P270" s="0" t="n">
        <v>5.66</v>
      </c>
      <c r="Q270" s="0" t="e">
        <f aca="false">#N/A</f>
        <v>#N/A</v>
      </c>
    </row>
    <row r="271" customFormat="false" ht="15" hidden="false" customHeight="false" outlineLevel="0" collapsed="false">
      <c r="A271" s="0" t="s">
        <v>3110</v>
      </c>
      <c r="B271" s="0" t="s">
        <v>3111</v>
      </c>
      <c r="C271" s="0" t="s">
        <v>3112</v>
      </c>
      <c r="D271" s="0" t="s">
        <v>2385</v>
      </c>
      <c r="E271" s="0" t="n">
        <v>43333</v>
      </c>
      <c r="F271" s="0" t="s">
        <v>64</v>
      </c>
      <c r="G271" s="0" t="n">
        <v>21337220</v>
      </c>
      <c r="H271" s="0" t="n">
        <v>720192</v>
      </c>
      <c r="I271" s="0" t="s">
        <v>34</v>
      </c>
      <c r="J271" s="0" t="s">
        <v>174</v>
      </c>
      <c r="K271" s="0" t="s">
        <v>71</v>
      </c>
      <c r="L271" s="0" t="n">
        <v>225322324</v>
      </c>
      <c r="M271" s="0" t="s">
        <v>339</v>
      </c>
      <c r="N271" s="0" t="n">
        <v>103789915</v>
      </c>
      <c r="O271" s="0" t="n">
        <v>2226</v>
      </c>
      <c r="P271" s="0" t="n">
        <v>37.13</v>
      </c>
      <c r="Q271" s="0" t="n">
        <v>103789915</v>
      </c>
    </row>
    <row r="272" customFormat="false" ht="15" hidden="false" customHeight="false" outlineLevel="0" collapsed="false">
      <c r="A272" s="0" t="s">
        <v>3113</v>
      </c>
      <c r="B272" s="0" t="s">
        <v>3114</v>
      </c>
      <c r="C272" s="0" t="s">
        <v>3115</v>
      </c>
      <c r="D272" s="0" t="s">
        <v>2385</v>
      </c>
      <c r="E272" s="0" t="n">
        <v>43333</v>
      </c>
      <c r="F272" s="0" t="s">
        <v>64</v>
      </c>
      <c r="G272" s="0" t="n">
        <v>21337220</v>
      </c>
      <c r="H272" s="0" t="n">
        <v>720192</v>
      </c>
      <c r="I272" s="0" t="s">
        <v>34</v>
      </c>
      <c r="J272" s="0" t="s">
        <v>174</v>
      </c>
      <c r="K272" s="0" t="s">
        <v>75</v>
      </c>
      <c r="L272" s="0" t="n">
        <v>223691780</v>
      </c>
      <c r="M272" s="0" t="s">
        <v>351</v>
      </c>
      <c r="N272" s="0" t="n">
        <v>103058726</v>
      </c>
      <c r="O272" s="0" t="n">
        <v>352</v>
      </c>
      <c r="P272" s="0" t="n">
        <v>12.54</v>
      </c>
      <c r="Q272" s="0" t="n">
        <v>103058726</v>
      </c>
    </row>
    <row r="273" customFormat="false" ht="15" hidden="false" customHeight="false" outlineLevel="0" collapsed="false">
      <c r="A273" s="0" t="s">
        <v>3116</v>
      </c>
      <c r="B273" s="0" t="s">
        <v>3117</v>
      </c>
      <c r="C273" s="0" t="s">
        <v>3118</v>
      </c>
      <c r="D273" s="0" t="s">
        <v>2385</v>
      </c>
      <c r="E273" s="0" t="n">
        <v>43333</v>
      </c>
      <c r="F273" s="0" t="s">
        <v>64</v>
      </c>
      <c r="G273" s="0" t="n">
        <v>21337220</v>
      </c>
      <c r="H273" s="0" t="n">
        <v>720192</v>
      </c>
      <c r="I273" s="0" t="s">
        <v>34</v>
      </c>
      <c r="J273" s="0" t="s">
        <v>174</v>
      </c>
      <c r="K273" s="0" t="s">
        <v>83</v>
      </c>
      <c r="L273" s="0" t="n">
        <v>223691837</v>
      </c>
      <c r="M273" s="0" t="s">
        <v>375</v>
      </c>
      <c r="N273" s="0" t="n">
        <v>103053314</v>
      </c>
      <c r="O273" s="0" t="n">
        <v>1860</v>
      </c>
      <c r="P273" s="0" t="n">
        <v>56.05</v>
      </c>
      <c r="Q273" s="0" t="n">
        <v>103053314</v>
      </c>
    </row>
    <row r="274" customFormat="false" ht="15" hidden="false" customHeight="false" outlineLevel="0" collapsed="false">
      <c r="A274" s="0" t="s">
        <v>3119</v>
      </c>
      <c r="B274" s="0" t="s">
        <v>3120</v>
      </c>
      <c r="C274" s="0" t="s">
        <v>3121</v>
      </c>
      <c r="D274" s="0" t="s">
        <v>2385</v>
      </c>
      <c r="E274" s="0" t="n">
        <v>43333</v>
      </c>
      <c r="F274" s="0" t="s">
        <v>64</v>
      </c>
      <c r="G274" s="0" t="n">
        <v>21337220</v>
      </c>
      <c r="H274" s="0" t="n">
        <v>720192</v>
      </c>
      <c r="I274" s="0" t="s">
        <v>34</v>
      </c>
      <c r="J274" s="0" t="s">
        <v>174</v>
      </c>
      <c r="K274" s="0" t="s">
        <v>95</v>
      </c>
      <c r="L274" s="0" t="n">
        <v>223691807</v>
      </c>
      <c r="M274" s="0" t="s">
        <v>635</v>
      </c>
      <c r="N274" s="0" t="n">
        <v>102900685</v>
      </c>
      <c r="O274" s="0" t="n">
        <v>511</v>
      </c>
      <c r="P274" s="0" t="n">
        <v>10.25</v>
      </c>
      <c r="Q274" s="0" t="n">
        <v>102900685</v>
      </c>
    </row>
    <row r="275" customFormat="false" ht="15" hidden="false" customHeight="false" outlineLevel="0" collapsed="false">
      <c r="A275" s="0" t="s">
        <v>3122</v>
      </c>
      <c r="B275" s="0" t="s">
        <v>3123</v>
      </c>
      <c r="C275" s="0" t="s">
        <v>3124</v>
      </c>
      <c r="D275" s="0" t="s">
        <v>2385</v>
      </c>
      <c r="E275" s="0" t="n">
        <v>43333</v>
      </c>
      <c r="F275" s="0" t="s">
        <v>64</v>
      </c>
      <c r="G275" s="0" t="n">
        <v>21337220</v>
      </c>
      <c r="H275" s="0" t="n">
        <v>720192</v>
      </c>
      <c r="I275" s="0" t="s">
        <v>34</v>
      </c>
      <c r="J275" s="0" t="s">
        <v>174</v>
      </c>
      <c r="K275" s="0" t="s">
        <v>98</v>
      </c>
      <c r="L275" s="0" t="n">
        <v>223691813</v>
      </c>
      <c r="M275" s="0" t="s">
        <v>654</v>
      </c>
      <c r="N275" s="0" t="n">
        <v>103053320</v>
      </c>
      <c r="O275" s="0" t="n">
        <v>509</v>
      </c>
      <c r="P275" s="0" t="n">
        <v>10.1</v>
      </c>
      <c r="Q275" s="0" t="n">
        <v>103053320</v>
      </c>
    </row>
    <row r="276" customFormat="false" ht="15" hidden="false" customHeight="false" outlineLevel="0" collapsed="false">
      <c r="A276" s="0" t="s">
        <v>3125</v>
      </c>
      <c r="B276" s="0" t="s">
        <v>3126</v>
      </c>
      <c r="C276" s="0" t="s">
        <v>3127</v>
      </c>
      <c r="D276" s="0" t="s">
        <v>2385</v>
      </c>
      <c r="E276" s="0" t="n">
        <v>43333</v>
      </c>
      <c r="F276" s="0" t="s">
        <v>64</v>
      </c>
      <c r="G276" s="0" t="n">
        <v>21337220</v>
      </c>
      <c r="H276" s="0" t="n">
        <v>720192</v>
      </c>
      <c r="I276" s="0" t="s">
        <v>34</v>
      </c>
      <c r="J276" s="0" t="s">
        <v>174</v>
      </c>
      <c r="K276" s="0" t="s">
        <v>99</v>
      </c>
      <c r="L276" s="0" t="n">
        <v>223691771</v>
      </c>
      <c r="M276" s="0" t="s">
        <v>657</v>
      </c>
      <c r="N276" s="0" t="n">
        <v>102902968</v>
      </c>
      <c r="O276" s="0" t="n">
        <v>275</v>
      </c>
      <c r="P276" s="0" t="n">
        <v>5.44</v>
      </c>
      <c r="Q276" s="0" t="n">
        <v>102902968</v>
      </c>
    </row>
    <row r="277" customFormat="false" ht="15" hidden="false" customHeight="false" outlineLevel="0" collapsed="false">
      <c r="A277" s="0" t="s">
        <v>3128</v>
      </c>
      <c r="B277" s="0" t="s">
        <v>3129</v>
      </c>
      <c r="C277" s="0" t="s">
        <v>3130</v>
      </c>
      <c r="D277" s="0" t="s">
        <v>2385</v>
      </c>
      <c r="E277" s="0" t="n">
        <v>43332</v>
      </c>
      <c r="F277" s="0" t="s">
        <v>64</v>
      </c>
      <c r="G277" s="0" t="n">
        <v>21337220</v>
      </c>
      <c r="H277" s="0" t="n">
        <v>720192</v>
      </c>
      <c r="I277" s="0" t="s">
        <v>34</v>
      </c>
      <c r="J277" s="0" t="s">
        <v>174</v>
      </c>
      <c r="K277" s="0" t="s">
        <v>77</v>
      </c>
      <c r="L277" s="0" t="n">
        <v>223691840</v>
      </c>
      <c r="M277" s="0" t="s">
        <v>357</v>
      </c>
      <c r="N277" s="0" t="n">
        <v>102902950</v>
      </c>
      <c r="O277" s="0" t="n">
        <v>2865</v>
      </c>
      <c r="P277" s="0" t="n">
        <v>65.52</v>
      </c>
      <c r="Q277" s="0" t="n">
        <v>102902950</v>
      </c>
    </row>
    <row r="278" customFormat="false" ht="15" hidden="false" customHeight="false" outlineLevel="0" collapsed="false">
      <c r="A278" s="0" t="s">
        <v>3131</v>
      </c>
      <c r="B278" s="0" t="s">
        <v>3132</v>
      </c>
      <c r="C278" s="0" t="s">
        <v>3133</v>
      </c>
      <c r="D278" s="0" t="s">
        <v>2385</v>
      </c>
      <c r="E278" s="0" t="n">
        <v>43332</v>
      </c>
      <c r="F278" s="0" t="s">
        <v>64</v>
      </c>
      <c r="G278" s="0" t="n">
        <v>21337220</v>
      </c>
      <c r="H278" s="0" t="n">
        <v>720192</v>
      </c>
      <c r="I278" s="0" t="s">
        <v>34</v>
      </c>
      <c r="J278" s="0" t="s">
        <v>174</v>
      </c>
      <c r="K278" s="0" t="s">
        <v>89</v>
      </c>
      <c r="L278" s="0" t="n">
        <v>223691822</v>
      </c>
      <c r="M278" s="0" t="s">
        <v>393</v>
      </c>
      <c r="N278" s="0" t="n">
        <v>103058708</v>
      </c>
      <c r="O278" s="0" t="n">
        <v>1121</v>
      </c>
      <c r="P278" s="0" t="n">
        <v>17.45</v>
      </c>
      <c r="Q278" s="0" t="n">
        <v>103058708</v>
      </c>
    </row>
    <row r="279" customFormat="false" ht="15" hidden="false" customHeight="false" outlineLevel="0" collapsed="false">
      <c r="A279" s="0" t="s">
        <v>3134</v>
      </c>
      <c r="B279" s="0" t="s">
        <v>3135</v>
      </c>
      <c r="C279" s="0" t="s">
        <v>3136</v>
      </c>
      <c r="D279" s="0" t="s">
        <v>2385</v>
      </c>
      <c r="E279" s="0" t="n">
        <v>43332</v>
      </c>
      <c r="F279" s="0" t="s">
        <v>64</v>
      </c>
      <c r="G279" s="0" t="n">
        <v>21337220</v>
      </c>
      <c r="H279" s="0" t="n">
        <v>720192</v>
      </c>
      <c r="I279" s="0" t="s">
        <v>34</v>
      </c>
      <c r="J279" s="0" t="s">
        <v>174</v>
      </c>
      <c r="K279" s="0" t="s">
        <v>82</v>
      </c>
      <c r="L279" s="0" t="n">
        <v>225322327</v>
      </c>
      <c r="M279" s="0" t="s">
        <v>372</v>
      </c>
      <c r="N279" s="0" t="n">
        <v>103902287</v>
      </c>
      <c r="O279" s="0" t="n">
        <v>22733</v>
      </c>
      <c r="P279" s="0" t="n">
        <v>328.57</v>
      </c>
      <c r="Q279" s="0" t="n">
        <v>103902287</v>
      </c>
    </row>
    <row r="280" customFormat="false" ht="15" hidden="false" customHeight="false" outlineLevel="0" collapsed="false">
      <c r="A280" s="0" t="s">
        <v>3137</v>
      </c>
      <c r="B280" s="0" t="s">
        <v>3138</v>
      </c>
      <c r="C280" s="0" t="s">
        <v>3139</v>
      </c>
      <c r="D280" s="0" t="s">
        <v>2385</v>
      </c>
      <c r="E280" s="0" t="n">
        <v>43332</v>
      </c>
      <c r="F280" s="0" t="s">
        <v>64</v>
      </c>
      <c r="G280" s="0" t="n">
        <v>21337220</v>
      </c>
      <c r="H280" s="0" t="n">
        <v>720192</v>
      </c>
      <c r="I280" s="0" t="s">
        <v>34</v>
      </c>
      <c r="J280" s="0" t="s">
        <v>174</v>
      </c>
      <c r="K280" s="0" t="s">
        <v>71</v>
      </c>
      <c r="L280" s="0" t="n">
        <v>225322324</v>
      </c>
      <c r="M280" s="0" t="s">
        <v>339</v>
      </c>
      <c r="N280" s="0" t="n">
        <v>103789915</v>
      </c>
      <c r="O280" s="0" t="n">
        <v>1680</v>
      </c>
      <c r="P280" s="0" t="n">
        <v>28.46</v>
      </c>
      <c r="Q280" s="0" t="n">
        <v>103789915</v>
      </c>
    </row>
    <row r="281" customFormat="false" ht="15" hidden="false" customHeight="false" outlineLevel="0" collapsed="false">
      <c r="A281" s="0" t="e">
        <f aca="false">#N/A</f>
        <v>#N/A</v>
      </c>
      <c r="B281" s="0" t="s">
        <v>3140</v>
      </c>
      <c r="C281" s="0" t="s">
        <v>3141</v>
      </c>
      <c r="D281" s="0" t="s">
        <v>2385</v>
      </c>
      <c r="E281" s="0" t="n">
        <v>43332</v>
      </c>
      <c r="F281" s="0" t="s">
        <v>64</v>
      </c>
      <c r="G281" s="0" t="n">
        <v>21337220</v>
      </c>
      <c r="H281" s="0" t="n">
        <v>720192</v>
      </c>
      <c r="I281" s="0" t="s">
        <v>34</v>
      </c>
      <c r="J281" s="0" t="s">
        <v>174</v>
      </c>
      <c r="K281" s="0" t="s">
        <v>99</v>
      </c>
      <c r="L281" s="0" t="n">
        <v>223691771</v>
      </c>
      <c r="M281" s="0" t="s">
        <v>657</v>
      </c>
      <c r="N281" s="0" t="n">
        <v>102902968</v>
      </c>
      <c r="O281" s="0" t="n">
        <v>177</v>
      </c>
      <c r="P281" s="0" t="n">
        <v>2.82</v>
      </c>
      <c r="Q281" s="0" t="e">
        <f aca="false">#N/A</f>
        <v>#N/A</v>
      </c>
    </row>
    <row r="282" customFormat="false" ht="15" hidden="false" customHeight="false" outlineLevel="0" collapsed="false">
      <c r="A282" s="0" t="e">
        <f aca="false">#N/A</f>
        <v>#N/A</v>
      </c>
      <c r="B282" s="0" t="s">
        <v>3142</v>
      </c>
      <c r="C282" s="0" t="s">
        <v>3143</v>
      </c>
      <c r="D282" s="0" t="s">
        <v>2385</v>
      </c>
      <c r="E282" s="0" t="n">
        <v>43332</v>
      </c>
      <c r="F282" s="0" t="s">
        <v>64</v>
      </c>
      <c r="G282" s="0" t="n">
        <v>21337220</v>
      </c>
      <c r="H282" s="0" t="n">
        <v>720192</v>
      </c>
      <c r="I282" s="0" t="s">
        <v>34</v>
      </c>
      <c r="J282" s="0" t="s">
        <v>174</v>
      </c>
      <c r="K282" s="0" t="s">
        <v>73</v>
      </c>
      <c r="L282" s="0" t="n">
        <v>223691792</v>
      </c>
      <c r="M282" s="0" t="s">
        <v>345</v>
      </c>
      <c r="N282" s="0" t="n">
        <v>102901894</v>
      </c>
      <c r="O282" s="0" t="n">
        <v>240</v>
      </c>
      <c r="P282" s="0" t="n">
        <v>6.33</v>
      </c>
      <c r="Q282" s="0" t="e">
        <f aca="false">#N/A</f>
        <v>#N/A</v>
      </c>
    </row>
    <row r="283" customFormat="false" ht="15" hidden="false" customHeight="false" outlineLevel="0" collapsed="false">
      <c r="A283" s="0" t="s">
        <v>3144</v>
      </c>
      <c r="B283" s="0" t="s">
        <v>3145</v>
      </c>
      <c r="C283" s="0" t="s">
        <v>3146</v>
      </c>
      <c r="D283" s="0" t="s">
        <v>2385</v>
      </c>
      <c r="E283" s="0" t="n">
        <v>43332</v>
      </c>
      <c r="F283" s="0" t="s">
        <v>64</v>
      </c>
      <c r="G283" s="0" t="n">
        <v>21337220</v>
      </c>
      <c r="H283" s="0" t="n">
        <v>720192</v>
      </c>
      <c r="I283" s="0" t="s">
        <v>34</v>
      </c>
      <c r="J283" s="0" t="s">
        <v>174</v>
      </c>
      <c r="K283" s="0" t="s">
        <v>92</v>
      </c>
      <c r="L283" s="0" t="n">
        <v>223691762</v>
      </c>
      <c r="M283" s="0" t="s">
        <v>600</v>
      </c>
      <c r="N283" s="0" t="n">
        <v>102902974</v>
      </c>
      <c r="O283" s="0" t="n">
        <v>53</v>
      </c>
      <c r="P283" s="0" t="n">
        <v>1.08</v>
      </c>
      <c r="Q283" s="0" t="n">
        <v>102902974</v>
      </c>
    </row>
    <row r="284" customFormat="false" ht="15" hidden="false" customHeight="false" outlineLevel="0" collapsed="false">
      <c r="A284" s="0" t="e">
        <f aca="false">#N/A</f>
        <v>#N/A</v>
      </c>
      <c r="B284" s="0" t="s">
        <v>3147</v>
      </c>
      <c r="C284" s="0" t="s">
        <v>3148</v>
      </c>
      <c r="D284" s="0" t="s">
        <v>2385</v>
      </c>
      <c r="E284" s="0" t="n">
        <v>43332</v>
      </c>
      <c r="F284" s="0" t="s">
        <v>64</v>
      </c>
      <c r="G284" s="0" t="n">
        <v>21337220</v>
      </c>
      <c r="H284" s="0" t="n">
        <v>720192</v>
      </c>
      <c r="I284" s="0" t="s">
        <v>34</v>
      </c>
      <c r="J284" s="0" t="s">
        <v>174</v>
      </c>
      <c r="K284" s="0" t="s">
        <v>87</v>
      </c>
      <c r="L284" s="0" t="n">
        <v>223691795</v>
      </c>
      <c r="M284" s="0" t="s">
        <v>387</v>
      </c>
      <c r="N284" s="0" t="n">
        <v>102900688</v>
      </c>
      <c r="O284" s="0" t="n">
        <v>142</v>
      </c>
      <c r="P284" s="0" t="n">
        <v>4.09</v>
      </c>
      <c r="Q284" s="0" t="e">
        <f aca="false">#N/A</f>
        <v>#N/A</v>
      </c>
    </row>
    <row r="285" customFormat="false" ht="15" hidden="false" customHeight="false" outlineLevel="0" collapsed="false">
      <c r="A285" s="0" t="s">
        <v>3149</v>
      </c>
      <c r="B285" s="0" t="s">
        <v>3150</v>
      </c>
      <c r="C285" s="0" t="s">
        <v>3151</v>
      </c>
      <c r="D285" s="0" t="s">
        <v>2385</v>
      </c>
      <c r="E285" s="0" t="n">
        <v>43332</v>
      </c>
      <c r="F285" s="0" t="s">
        <v>64</v>
      </c>
      <c r="G285" s="0" t="n">
        <v>21337220</v>
      </c>
      <c r="H285" s="0" t="n">
        <v>720192</v>
      </c>
      <c r="I285" s="0" t="s">
        <v>34</v>
      </c>
      <c r="J285" s="0" t="s">
        <v>174</v>
      </c>
      <c r="K285" s="0" t="s">
        <v>90</v>
      </c>
      <c r="L285" s="0" t="n">
        <v>223691819</v>
      </c>
      <c r="M285" s="0" t="s">
        <v>396</v>
      </c>
      <c r="N285" s="0" t="n">
        <v>102900682</v>
      </c>
      <c r="O285" s="0" t="n">
        <v>397</v>
      </c>
      <c r="P285" s="0" t="n">
        <v>12.6</v>
      </c>
      <c r="Q285" s="0" t="n">
        <v>102900682</v>
      </c>
    </row>
    <row r="286" customFormat="false" ht="15" hidden="false" customHeight="false" outlineLevel="0" collapsed="false">
      <c r="A286" s="0" t="e">
        <f aca="false">#N/A</f>
        <v>#N/A</v>
      </c>
      <c r="B286" s="0" t="s">
        <v>3152</v>
      </c>
      <c r="C286" s="0" t="s">
        <v>3153</v>
      </c>
      <c r="D286" s="0" t="s">
        <v>2385</v>
      </c>
      <c r="E286" s="0" t="n">
        <v>43332</v>
      </c>
      <c r="F286" s="0" t="s">
        <v>64</v>
      </c>
      <c r="G286" s="0" t="n">
        <v>21337220</v>
      </c>
      <c r="H286" s="0" t="n">
        <v>720192</v>
      </c>
      <c r="I286" s="0" t="s">
        <v>34</v>
      </c>
      <c r="J286" s="0" t="s">
        <v>174</v>
      </c>
      <c r="K286" s="0" t="s">
        <v>76</v>
      </c>
      <c r="L286" s="0" t="n">
        <v>223691783</v>
      </c>
      <c r="M286" s="0" t="s">
        <v>354</v>
      </c>
      <c r="N286" s="0" t="n">
        <v>103058723</v>
      </c>
      <c r="O286" s="0" t="n">
        <v>41</v>
      </c>
      <c r="P286" s="0" t="n">
        <v>1.23</v>
      </c>
      <c r="Q286" s="0" t="e">
        <f aca="false">#N/A</f>
        <v>#N/A</v>
      </c>
    </row>
    <row r="287" customFormat="false" ht="15" hidden="false" customHeight="false" outlineLevel="0" collapsed="false">
      <c r="A287" s="0" t="s">
        <v>3154</v>
      </c>
      <c r="B287" s="0" t="s">
        <v>3155</v>
      </c>
      <c r="C287" s="0" t="s">
        <v>3156</v>
      </c>
      <c r="D287" s="0" t="s">
        <v>2385</v>
      </c>
      <c r="E287" s="0" t="n">
        <v>43332</v>
      </c>
      <c r="F287" s="0" t="s">
        <v>64</v>
      </c>
      <c r="G287" s="0" t="n">
        <v>21337220</v>
      </c>
      <c r="H287" s="0" t="n">
        <v>720192</v>
      </c>
      <c r="I287" s="0" t="s">
        <v>34</v>
      </c>
      <c r="J287" s="0" t="s">
        <v>174</v>
      </c>
      <c r="K287" s="0" t="s">
        <v>70</v>
      </c>
      <c r="L287" s="0" t="n">
        <v>223691831</v>
      </c>
      <c r="M287" s="0" t="s">
        <v>336</v>
      </c>
      <c r="N287" s="0" t="n">
        <v>102913800</v>
      </c>
      <c r="O287" s="0" t="n">
        <v>4230</v>
      </c>
      <c r="P287" s="0" t="n">
        <v>99.6</v>
      </c>
      <c r="Q287" s="0" t="n">
        <v>102913800</v>
      </c>
    </row>
    <row r="288" customFormat="false" ht="15" hidden="false" customHeight="false" outlineLevel="0" collapsed="false">
      <c r="A288" s="0" t="s">
        <v>3157</v>
      </c>
      <c r="B288" s="0" t="s">
        <v>3158</v>
      </c>
      <c r="C288" s="0" t="s">
        <v>3159</v>
      </c>
      <c r="D288" s="0" t="s">
        <v>2385</v>
      </c>
      <c r="E288" s="0" t="n">
        <v>43332</v>
      </c>
      <c r="F288" s="0" t="s">
        <v>64</v>
      </c>
      <c r="G288" s="0" t="n">
        <v>21337220</v>
      </c>
      <c r="H288" s="0" t="n">
        <v>720192</v>
      </c>
      <c r="I288" s="0" t="s">
        <v>34</v>
      </c>
      <c r="J288" s="0" t="s">
        <v>174</v>
      </c>
      <c r="K288" s="0" t="s">
        <v>79</v>
      </c>
      <c r="L288" s="0" t="n">
        <v>223691801</v>
      </c>
      <c r="M288" s="0" t="s">
        <v>363</v>
      </c>
      <c r="N288" s="0" t="n">
        <v>103053323</v>
      </c>
      <c r="O288" s="0" t="n">
        <v>710</v>
      </c>
      <c r="P288" s="0" t="n">
        <v>15.75</v>
      </c>
      <c r="Q288" s="0" t="n">
        <v>103053323</v>
      </c>
    </row>
    <row r="289" customFormat="false" ht="15" hidden="false" customHeight="false" outlineLevel="0" collapsed="false">
      <c r="A289" s="0" t="e">
        <f aca="false">#N/A</f>
        <v>#N/A</v>
      </c>
      <c r="B289" s="0" t="s">
        <v>3160</v>
      </c>
      <c r="C289" s="0" t="s">
        <v>3161</v>
      </c>
      <c r="D289" s="0" t="s">
        <v>2385</v>
      </c>
      <c r="E289" s="0" t="n">
        <v>43332</v>
      </c>
      <c r="F289" s="0" t="s">
        <v>64</v>
      </c>
      <c r="G289" s="0" t="n">
        <v>21337220</v>
      </c>
      <c r="H289" s="0" t="n">
        <v>720192</v>
      </c>
      <c r="I289" s="0" t="s">
        <v>34</v>
      </c>
      <c r="J289" s="0" t="s">
        <v>174</v>
      </c>
      <c r="K289" s="0" t="s">
        <v>75</v>
      </c>
      <c r="L289" s="0" t="n">
        <v>223691780</v>
      </c>
      <c r="M289" s="0" t="s">
        <v>351</v>
      </c>
      <c r="N289" s="0" t="n">
        <v>103058726</v>
      </c>
      <c r="O289" s="0" t="n">
        <v>336</v>
      </c>
      <c r="P289" s="0" t="n">
        <v>10.29</v>
      </c>
      <c r="Q289" s="0" t="e">
        <f aca="false">#N/A</f>
        <v>#N/A</v>
      </c>
    </row>
    <row r="290" customFormat="false" ht="15" hidden="false" customHeight="false" outlineLevel="0" collapsed="false">
      <c r="A290" s="0" t="s">
        <v>3162</v>
      </c>
      <c r="B290" s="0" t="s">
        <v>3163</v>
      </c>
      <c r="C290" s="0" t="s">
        <v>3164</v>
      </c>
      <c r="D290" s="0" t="s">
        <v>2385</v>
      </c>
      <c r="E290" s="0" t="n">
        <v>43332</v>
      </c>
      <c r="F290" s="0" t="s">
        <v>64</v>
      </c>
      <c r="G290" s="0" t="n">
        <v>21337220</v>
      </c>
      <c r="H290" s="0" t="n">
        <v>720192</v>
      </c>
      <c r="I290" s="0" t="s">
        <v>34</v>
      </c>
      <c r="J290" s="0" t="s">
        <v>174</v>
      </c>
      <c r="K290" s="0" t="s">
        <v>88</v>
      </c>
      <c r="L290" s="0" t="n">
        <v>223691834</v>
      </c>
      <c r="M290" s="0" t="s">
        <v>390</v>
      </c>
      <c r="N290" s="0" t="n">
        <v>102902953</v>
      </c>
      <c r="O290" s="0" t="n">
        <v>1556</v>
      </c>
      <c r="P290" s="0" t="n">
        <v>33.6</v>
      </c>
      <c r="Q290" s="0" t="n">
        <v>102902953</v>
      </c>
    </row>
    <row r="291" customFormat="false" ht="15" hidden="false" customHeight="false" outlineLevel="0" collapsed="false">
      <c r="A291" s="0" t="e">
        <f aca="false">#N/A</f>
        <v>#N/A</v>
      </c>
      <c r="B291" s="0" t="s">
        <v>3165</v>
      </c>
      <c r="C291" s="0" t="s">
        <v>3166</v>
      </c>
      <c r="D291" s="0" t="s">
        <v>2385</v>
      </c>
      <c r="E291" s="0" t="n">
        <v>43332</v>
      </c>
      <c r="F291" s="0" t="s">
        <v>64</v>
      </c>
      <c r="G291" s="0" t="n">
        <v>21337220</v>
      </c>
      <c r="H291" s="0" t="n">
        <v>720192</v>
      </c>
      <c r="I291" s="0" t="s">
        <v>34</v>
      </c>
      <c r="J291" s="0" t="s">
        <v>174</v>
      </c>
      <c r="K291" s="0" t="s">
        <v>98</v>
      </c>
      <c r="L291" s="0" t="n">
        <v>223691813</v>
      </c>
      <c r="M291" s="0" t="s">
        <v>654</v>
      </c>
      <c r="N291" s="0" t="n">
        <v>103053320</v>
      </c>
      <c r="O291" s="0" t="n">
        <v>453</v>
      </c>
      <c r="P291" s="0" t="n">
        <v>7.54</v>
      </c>
      <c r="Q291" s="0" t="e">
        <f aca="false">#N/A</f>
        <v>#N/A</v>
      </c>
    </row>
    <row r="292" customFormat="false" ht="15" hidden="false" customHeight="false" outlineLevel="0" collapsed="false">
      <c r="A292" s="0" t="s">
        <v>3167</v>
      </c>
      <c r="B292" s="0" t="s">
        <v>3168</v>
      </c>
      <c r="C292" s="0" t="s">
        <v>3169</v>
      </c>
      <c r="D292" s="0" t="s">
        <v>2385</v>
      </c>
      <c r="E292" s="0" t="n">
        <v>43332</v>
      </c>
      <c r="F292" s="0" t="s">
        <v>64</v>
      </c>
      <c r="G292" s="0" t="n">
        <v>21337220</v>
      </c>
      <c r="H292" s="0" t="n">
        <v>720192</v>
      </c>
      <c r="I292" s="0" t="s">
        <v>34</v>
      </c>
      <c r="J292" s="0" t="s">
        <v>174</v>
      </c>
      <c r="K292" s="0" t="s">
        <v>93</v>
      </c>
      <c r="L292" s="0" t="n">
        <v>223691816</v>
      </c>
      <c r="M292" s="0" t="s">
        <v>625</v>
      </c>
      <c r="N292" s="0" t="n">
        <v>102916341</v>
      </c>
      <c r="O292" s="0" t="n">
        <v>1029</v>
      </c>
      <c r="P292" s="0" t="n">
        <v>15.05</v>
      </c>
      <c r="Q292" s="0" t="n">
        <v>102916341</v>
      </c>
    </row>
    <row r="293" customFormat="false" ht="15" hidden="false" customHeight="false" outlineLevel="0" collapsed="false">
      <c r="A293" s="0" t="s">
        <v>3170</v>
      </c>
      <c r="B293" s="0" t="s">
        <v>3171</v>
      </c>
      <c r="C293" s="0" t="s">
        <v>3172</v>
      </c>
      <c r="D293" s="0" t="s">
        <v>2385</v>
      </c>
      <c r="E293" s="0" t="n">
        <v>43332</v>
      </c>
      <c r="F293" s="0" t="s">
        <v>64</v>
      </c>
      <c r="G293" s="0" t="n">
        <v>21337220</v>
      </c>
      <c r="H293" s="0" t="n">
        <v>720192</v>
      </c>
      <c r="I293" s="0" t="s">
        <v>34</v>
      </c>
      <c r="J293" s="0" t="s">
        <v>174</v>
      </c>
      <c r="K293" s="0" t="s">
        <v>83</v>
      </c>
      <c r="L293" s="0" t="n">
        <v>223691837</v>
      </c>
      <c r="M293" s="0" t="s">
        <v>375</v>
      </c>
      <c r="N293" s="0" t="n">
        <v>103053314</v>
      </c>
      <c r="O293" s="0" t="n">
        <v>1082</v>
      </c>
      <c r="P293" s="0" t="n">
        <v>26.23</v>
      </c>
      <c r="Q293" s="0" t="n">
        <v>103053314</v>
      </c>
    </row>
    <row r="294" customFormat="false" ht="15" hidden="false" customHeight="false" outlineLevel="0" collapsed="false">
      <c r="A294" s="0" t="s">
        <v>3173</v>
      </c>
      <c r="B294" s="0" t="s">
        <v>3174</v>
      </c>
      <c r="C294" s="0" t="s">
        <v>3175</v>
      </c>
      <c r="D294" s="0" t="s">
        <v>2385</v>
      </c>
      <c r="E294" s="0" t="n">
        <v>43332</v>
      </c>
      <c r="F294" s="0" t="s">
        <v>64</v>
      </c>
      <c r="G294" s="0" t="n">
        <v>21337220</v>
      </c>
      <c r="H294" s="0" t="n">
        <v>720192</v>
      </c>
      <c r="I294" s="0" t="s">
        <v>34</v>
      </c>
      <c r="J294" s="0" t="s">
        <v>174</v>
      </c>
      <c r="K294" s="0" t="s">
        <v>100</v>
      </c>
      <c r="L294" s="0" t="n">
        <v>223691765</v>
      </c>
      <c r="M294" s="0" t="s">
        <v>660</v>
      </c>
      <c r="N294" s="0" t="n">
        <v>103053332</v>
      </c>
      <c r="O294" s="0" t="n">
        <v>181</v>
      </c>
      <c r="P294" s="0" t="n">
        <v>3.69</v>
      </c>
      <c r="Q294" s="0" t="n">
        <v>103053332</v>
      </c>
    </row>
    <row r="295" customFormat="false" ht="15" hidden="false" customHeight="false" outlineLevel="0" collapsed="false">
      <c r="A295" s="0" t="s">
        <v>3176</v>
      </c>
      <c r="B295" s="0" t="s">
        <v>3177</v>
      </c>
      <c r="C295" s="0" t="s">
        <v>3178</v>
      </c>
      <c r="D295" s="0" t="s">
        <v>2385</v>
      </c>
      <c r="E295" s="0" t="n">
        <v>43332</v>
      </c>
      <c r="F295" s="0" t="s">
        <v>64</v>
      </c>
      <c r="G295" s="0" t="n">
        <v>21337220</v>
      </c>
      <c r="H295" s="0" t="n">
        <v>720192</v>
      </c>
      <c r="I295" s="0" t="s">
        <v>34</v>
      </c>
      <c r="J295" s="0" t="s">
        <v>174</v>
      </c>
      <c r="K295" s="0" t="s">
        <v>74</v>
      </c>
      <c r="L295" s="0" t="n">
        <v>223691789</v>
      </c>
      <c r="M295" s="0" t="s">
        <v>348</v>
      </c>
      <c r="N295" s="0" t="n">
        <v>102900691</v>
      </c>
      <c r="O295" s="0" t="n">
        <v>505</v>
      </c>
      <c r="P295" s="0" t="n">
        <v>12.79</v>
      </c>
      <c r="Q295" s="0" t="n">
        <v>102900691</v>
      </c>
    </row>
    <row r="296" customFormat="false" ht="15" hidden="false" customHeight="false" outlineLevel="0" collapsed="false">
      <c r="A296" s="0" t="s">
        <v>3179</v>
      </c>
      <c r="B296" s="0" t="s">
        <v>3180</v>
      </c>
      <c r="C296" s="0" t="s">
        <v>3181</v>
      </c>
      <c r="D296" s="0" t="s">
        <v>2385</v>
      </c>
      <c r="E296" s="0" t="n">
        <v>43332</v>
      </c>
      <c r="F296" s="0" t="s">
        <v>64</v>
      </c>
      <c r="G296" s="0" t="n">
        <v>21337220</v>
      </c>
      <c r="H296" s="0" t="n">
        <v>720192</v>
      </c>
      <c r="I296" s="0" t="s">
        <v>34</v>
      </c>
      <c r="J296" s="0" t="s">
        <v>174</v>
      </c>
      <c r="K296" s="0" t="s">
        <v>96</v>
      </c>
      <c r="L296" s="0" t="n">
        <v>223691804</v>
      </c>
      <c r="M296" s="0" t="s">
        <v>642</v>
      </c>
      <c r="N296" s="0" t="n">
        <v>103058717</v>
      </c>
      <c r="O296" s="0" t="n">
        <v>555</v>
      </c>
      <c r="P296" s="0" t="n">
        <v>15.09</v>
      </c>
      <c r="Q296" s="0" t="n">
        <v>103058717</v>
      </c>
    </row>
    <row r="297" customFormat="false" ht="15" hidden="false" customHeight="false" outlineLevel="0" collapsed="false">
      <c r="A297" s="0" t="s">
        <v>3182</v>
      </c>
      <c r="B297" s="0" t="s">
        <v>3183</v>
      </c>
      <c r="C297" s="0" t="s">
        <v>3184</v>
      </c>
      <c r="D297" s="0" t="s">
        <v>2385</v>
      </c>
      <c r="E297" s="0" t="n">
        <v>43332</v>
      </c>
      <c r="F297" s="0" t="s">
        <v>64</v>
      </c>
      <c r="G297" s="0" t="n">
        <v>21337220</v>
      </c>
      <c r="H297" s="0" t="n">
        <v>720192</v>
      </c>
      <c r="I297" s="0" t="s">
        <v>34</v>
      </c>
      <c r="J297" s="0" t="s">
        <v>174</v>
      </c>
      <c r="K297" s="0" t="s">
        <v>94</v>
      </c>
      <c r="L297" s="0" t="n">
        <v>223691810</v>
      </c>
      <c r="M297" s="0" t="s">
        <v>632</v>
      </c>
      <c r="N297" s="0" t="n">
        <v>103058711</v>
      </c>
      <c r="O297" s="0" t="n">
        <v>584</v>
      </c>
      <c r="P297" s="0" t="n">
        <v>10.51</v>
      </c>
      <c r="Q297" s="0" t="n">
        <v>103058711</v>
      </c>
    </row>
    <row r="298" customFormat="false" ht="15" hidden="false" customHeight="false" outlineLevel="0" collapsed="false">
      <c r="A298" s="0" t="s">
        <v>3185</v>
      </c>
      <c r="B298" s="0" t="s">
        <v>3186</v>
      </c>
      <c r="C298" s="0" t="s">
        <v>3187</v>
      </c>
      <c r="D298" s="0" t="s">
        <v>2385</v>
      </c>
      <c r="E298" s="0" t="n">
        <v>43332</v>
      </c>
      <c r="F298" s="0" t="s">
        <v>64</v>
      </c>
      <c r="G298" s="0" t="n">
        <v>21337220</v>
      </c>
      <c r="H298" s="0" t="n">
        <v>720192</v>
      </c>
      <c r="I298" s="0" t="s">
        <v>34</v>
      </c>
      <c r="J298" s="0" t="s">
        <v>174</v>
      </c>
      <c r="K298" s="0" t="s">
        <v>84</v>
      </c>
      <c r="L298" s="0" t="n">
        <v>223684451</v>
      </c>
      <c r="M298" s="0" t="s">
        <v>378</v>
      </c>
      <c r="N298" s="0" t="n">
        <v>102901882</v>
      </c>
      <c r="O298" s="0" t="n">
        <v>1093</v>
      </c>
      <c r="P298" s="0" t="n">
        <v>26.07</v>
      </c>
      <c r="Q298" s="0" t="n">
        <v>102901882</v>
      </c>
    </row>
    <row r="299" customFormat="false" ht="15" hidden="false" customHeight="false" outlineLevel="0" collapsed="false">
      <c r="A299" s="0" t="e">
        <f aca="false">#N/A</f>
        <v>#N/A</v>
      </c>
      <c r="B299" s="0" t="s">
        <v>3188</v>
      </c>
      <c r="C299" s="0" t="s">
        <v>3189</v>
      </c>
      <c r="D299" s="0" t="s">
        <v>2385</v>
      </c>
      <c r="E299" s="0" t="n">
        <v>43332</v>
      </c>
      <c r="F299" s="0" t="s">
        <v>64</v>
      </c>
      <c r="G299" s="0" t="n">
        <v>21337220</v>
      </c>
      <c r="H299" s="0" t="n">
        <v>720192</v>
      </c>
      <c r="I299" s="0" t="s">
        <v>34</v>
      </c>
      <c r="J299" s="0" t="s">
        <v>174</v>
      </c>
      <c r="K299" s="0" t="s">
        <v>81</v>
      </c>
      <c r="L299" s="0" t="n">
        <v>223691786</v>
      </c>
      <c r="M299" s="0" t="s">
        <v>369</v>
      </c>
      <c r="N299" s="0" t="n">
        <v>103058720</v>
      </c>
      <c r="O299" s="0" t="n">
        <v>361</v>
      </c>
      <c r="P299" s="0" t="n">
        <v>8.59</v>
      </c>
      <c r="Q299" s="0" t="e">
        <f aca="false">#N/A</f>
        <v>#N/A</v>
      </c>
    </row>
    <row r="300" customFormat="false" ht="15" hidden="false" customHeight="false" outlineLevel="0" collapsed="false">
      <c r="A300" s="0" t="s">
        <v>3190</v>
      </c>
      <c r="B300" s="0" t="s">
        <v>3191</v>
      </c>
      <c r="C300" s="0" t="s">
        <v>3192</v>
      </c>
      <c r="D300" s="0" t="s">
        <v>2385</v>
      </c>
      <c r="E300" s="0" t="n">
        <v>43332</v>
      </c>
      <c r="F300" s="0" t="s">
        <v>64</v>
      </c>
      <c r="G300" s="0" t="n">
        <v>21337220</v>
      </c>
      <c r="H300" s="0" t="n">
        <v>720192</v>
      </c>
      <c r="I300" s="0" t="s">
        <v>34</v>
      </c>
      <c r="J300" s="0" t="s">
        <v>174</v>
      </c>
      <c r="K300" s="0" t="s">
        <v>72</v>
      </c>
      <c r="L300" s="0" t="n">
        <v>223691777</v>
      </c>
      <c r="M300" s="0" t="s">
        <v>342</v>
      </c>
      <c r="N300" s="0" t="n">
        <v>102900697</v>
      </c>
      <c r="O300" s="0" t="n">
        <v>1344</v>
      </c>
      <c r="P300" s="0" t="n">
        <v>50.5</v>
      </c>
      <c r="Q300" s="0" t="n">
        <v>102900697</v>
      </c>
    </row>
    <row r="301" customFormat="false" ht="15" hidden="false" customHeight="false" outlineLevel="0" collapsed="false">
      <c r="A301" s="0" t="s">
        <v>3193</v>
      </c>
      <c r="B301" s="0" t="s">
        <v>3194</v>
      </c>
      <c r="C301" s="0" t="s">
        <v>3195</v>
      </c>
      <c r="D301" s="0" t="s">
        <v>2385</v>
      </c>
      <c r="E301" s="0" t="n">
        <v>43332</v>
      </c>
      <c r="F301" s="0" t="s">
        <v>64</v>
      </c>
      <c r="G301" s="0" t="n">
        <v>21337220</v>
      </c>
      <c r="H301" s="0" t="n">
        <v>720192</v>
      </c>
      <c r="I301" s="0" t="s">
        <v>34</v>
      </c>
      <c r="J301" s="0" t="s">
        <v>174</v>
      </c>
      <c r="K301" s="0" t="s">
        <v>91</v>
      </c>
      <c r="L301" s="0" t="n">
        <v>223691828</v>
      </c>
      <c r="M301" s="0" t="s">
        <v>399</v>
      </c>
      <c r="N301" s="0" t="n">
        <v>102902956</v>
      </c>
      <c r="O301" s="0" t="n">
        <v>298</v>
      </c>
      <c r="P301" s="0" t="n">
        <v>5.51</v>
      </c>
      <c r="Q301" s="0" t="n">
        <v>102902956</v>
      </c>
    </row>
    <row r="302" customFormat="false" ht="15" hidden="false" customHeight="false" outlineLevel="0" collapsed="false">
      <c r="A302" s="0" t="s">
        <v>3196</v>
      </c>
      <c r="B302" s="0" t="s">
        <v>3197</v>
      </c>
      <c r="C302" s="0" t="s">
        <v>3198</v>
      </c>
      <c r="D302" s="0" t="s">
        <v>2385</v>
      </c>
      <c r="E302" s="0" t="n">
        <v>43332</v>
      </c>
      <c r="F302" s="0" t="s">
        <v>64</v>
      </c>
      <c r="G302" s="0" t="n">
        <v>21337220</v>
      </c>
      <c r="H302" s="0" t="n">
        <v>720192</v>
      </c>
      <c r="I302" s="0" t="s">
        <v>34</v>
      </c>
      <c r="J302" s="0" t="s">
        <v>174</v>
      </c>
      <c r="K302" s="0" t="s">
        <v>69</v>
      </c>
      <c r="L302" s="0" t="n">
        <v>223691798</v>
      </c>
      <c r="M302" s="0" t="s">
        <v>333</v>
      </c>
      <c r="N302" s="0" t="n">
        <v>102916347</v>
      </c>
      <c r="O302" s="0" t="n">
        <v>187</v>
      </c>
      <c r="P302" s="0" t="n">
        <v>4.26</v>
      </c>
      <c r="Q302" s="0" t="n">
        <v>102916347</v>
      </c>
    </row>
    <row r="303" customFormat="false" ht="15" hidden="false" customHeight="false" outlineLevel="0" collapsed="false">
      <c r="A303" s="0" t="s">
        <v>3199</v>
      </c>
      <c r="B303" s="0" t="s">
        <v>3200</v>
      </c>
      <c r="C303" s="0" t="s">
        <v>3201</v>
      </c>
      <c r="D303" s="0" t="s">
        <v>2385</v>
      </c>
      <c r="E303" s="0" t="n">
        <v>43332</v>
      </c>
      <c r="F303" s="0" t="s">
        <v>64</v>
      </c>
      <c r="G303" s="0" t="n">
        <v>21337220</v>
      </c>
      <c r="H303" s="0" t="n">
        <v>720192</v>
      </c>
      <c r="I303" s="0" t="s">
        <v>34</v>
      </c>
      <c r="J303" s="0" t="s">
        <v>174</v>
      </c>
      <c r="K303" s="0" t="s">
        <v>101</v>
      </c>
      <c r="L303" s="0" t="n">
        <v>223691768</v>
      </c>
      <c r="M303" s="0" t="s">
        <v>663</v>
      </c>
      <c r="N303" s="0" t="n">
        <v>102902971</v>
      </c>
      <c r="O303" s="0" t="n">
        <v>3499</v>
      </c>
      <c r="P303" s="0" t="n">
        <v>66.22</v>
      </c>
      <c r="Q303" s="0" t="n">
        <v>102902971</v>
      </c>
    </row>
    <row r="304" customFormat="false" ht="15" hidden="false" customHeight="false" outlineLevel="0" collapsed="false">
      <c r="A304" s="0" t="e">
        <f aca="false">#N/A</f>
        <v>#N/A</v>
      </c>
      <c r="B304" s="0" t="s">
        <v>3202</v>
      </c>
      <c r="C304" s="0" t="s">
        <v>3203</v>
      </c>
      <c r="D304" s="0" t="s">
        <v>2385</v>
      </c>
      <c r="E304" s="0" t="n">
        <v>43332</v>
      </c>
      <c r="F304" s="0" t="s">
        <v>64</v>
      </c>
      <c r="G304" s="0" t="n">
        <v>21337220</v>
      </c>
      <c r="H304" s="0" t="n">
        <v>720192</v>
      </c>
      <c r="I304" s="0" t="s">
        <v>34</v>
      </c>
      <c r="J304" s="0" t="s">
        <v>174</v>
      </c>
      <c r="K304" s="0" t="s">
        <v>97</v>
      </c>
      <c r="L304" s="0" t="n">
        <v>223691774</v>
      </c>
      <c r="M304" s="0" t="s">
        <v>647</v>
      </c>
      <c r="N304" s="0" t="n">
        <v>102916356</v>
      </c>
      <c r="O304" s="0" t="n">
        <v>141</v>
      </c>
      <c r="P304" s="0" t="n">
        <v>2.92</v>
      </c>
      <c r="Q304" s="0" t="e">
        <f aca="false">#N/A</f>
        <v>#N/A</v>
      </c>
    </row>
    <row r="305" customFormat="false" ht="15" hidden="false" customHeight="false" outlineLevel="0" collapsed="false">
      <c r="A305" s="0" t="s">
        <v>3204</v>
      </c>
      <c r="B305" s="0" t="s">
        <v>3205</v>
      </c>
      <c r="C305" s="0" t="s">
        <v>3206</v>
      </c>
      <c r="D305" s="0" t="s">
        <v>2385</v>
      </c>
      <c r="E305" s="0" t="n">
        <v>43332</v>
      </c>
      <c r="F305" s="0" t="s">
        <v>64</v>
      </c>
      <c r="G305" s="0" t="n">
        <v>21337220</v>
      </c>
      <c r="H305" s="0" t="n">
        <v>720192</v>
      </c>
      <c r="I305" s="0" t="s">
        <v>34</v>
      </c>
      <c r="J305" s="0" t="s">
        <v>174</v>
      </c>
      <c r="K305" s="0" t="s">
        <v>80</v>
      </c>
      <c r="L305" s="0" t="n">
        <v>223691825</v>
      </c>
      <c r="M305" s="0" t="s">
        <v>366</v>
      </c>
      <c r="N305" s="0" t="n">
        <v>102916338</v>
      </c>
      <c r="O305" s="0" t="n">
        <v>864</v>
      </c>
      <c r="P305" s="0" t="n">
        <v>30.85</v>
      </c>
      <c r="Q305" s="0" t="n">
        <v>102916338</v>
      </c>
    </row>
    <row r="306" customFormat="false" ht="15" hidden="false" customHeight="false" outlineLevel="0" collapsed="false">
      <c r="A306" s="0" t="s">
        <v>3207</v>
      </c>
      <c r="B306" s="0" t="s">
        <v>3208</v>
      </c>
      <c r="C306" s="0" t="s">
        <v>3209</v>
      </c>
      <c r="D306" s="0" t="s">
        <v>2385</v>
      </c>
      <c r="E306" s="0" t="n">
        <v>43332</v>
      </c>
      <c r="F306" s="0" t="s">
        <v>64</v>
      </c>
      <c r="G306" s="0" t="n">
        <v>21337220</v>
      </c>
      <c r="H306" s="0" t="n">
        <v>720192</v>
      </c>
      <c r="I306" s="0" t="s">
        <v>34</v>
      </c>
      <c r="J306" s="0" t="s">
        <v>174</v>
      </c>
      <c r="K306" s="0" t="s">
        <v>95</v>
      </c>
      <c r="L306" s="0" t="n">
        <v>223691807</v>
      </c>
      <c r="M306" s="0" t="s">
        <v>635</v>
      </c>
      <c r="N306" s="0" t="n">
        <v>102900685</v>
      </c>
      <c r="O306" s="0" t="n">
        <v>699</v>
      </c>
      <c r="P306" s="0" t="n">
        <v>10.79</v>
      </c>
      <c r="Q306" s="0" t="n">
        <v>102900685</v>
      </c>
    </row>
    <row r="307" customFormat="false" ht="15" hidden="false" customHeight="false" outlineLevel="0" collapsed="false">
      <c r="A307" s="0" t="e">
        <f aca="false">#N/A</f>
        <v>#N/A</v>
      </c>
      <c r="B307" s="0" t="s">
        <v>3210</v>
      </c>
      <c r="C307" s="0" t="s">
        <v>3211</v>
      </c>
      <c r="D307" s="0" t="s">
        <v>2385</v>
      </c>
      <c r="E307" s="0" t="n">
        <v>43331</v>
      </c>
      <c r="F307" s="0" t="s">
        <v>64</v>
      </c>
      <c r="G307" s="0" t="n">
        <v>21337220</v>
      </c>
      <c r="H307" s="0" t="n">
        <v>720192</v>
      </c>
      <c r="I307" s="0" t="s">
        <v>34</v>
      </c>
      <c r="J307" s="0" t="s">
        <v>174</v>
      </c>
      <c r="K307" s="0" t="s">
        <v>81</v>
      </c>
      <c r="L307" s="0" t="n">
        <v>223691786</v>
      </c>
      <c r="M307" s="0" t="s">
        <v>369</v>
      </c>
      <c r="N307" s="0" t="n">
        <v>103058720</v>
      </c>
      <c r="O307" s="0" t="n">
        <v>338</v>
      </c>
      <c r="P307" s="0" t="n">
        <v>8.81</v>
      </c>
      <c r="Q307" s="0" t="e">
        <f aca="false">#N/A</f>
        <v>#N/A</v>
      </c>
    </row>
    <row r="308" customFormat="false" ht="15" hidden="false" customHeight="false" outlineLevel="0" collapsed="false">
      <c r="A308" s="0" t="s">
        <v>3212</v>
      </c>
      <c r="B308" s="0" t="s">
        <v>3213</v>
      </c>
      <c r="C308" s="0" t="s">
        <v>3214</v>
      </c>
      <c r="D308" s="0" t="s">
        <v>2385</v>
      </c>
      <c r="E308" s="0" t="n">
        <v>43331</v>
      </c>
      <c r="F308" s="0" t="s">
        <v>64</v>
      </c>
      <c r="G308" s="0" t="n">
        <v>21337220</v>
      </c>
      <c r="H308" s="0" t="n">
        <v>720192</v>
      </c>
      <c r="I308" s="0" t="s">
        <v>34</v>
      </c>
      <c r="J308" s="0" t="s">
        <v>174</v>
      </c>
      <c r="K308" s="0" t="s">
        <v>90</v>
      </c>
      <c r="L308" s="0" t="n">
        <v>223691819</v>
      </c>
      <c r="M308" s="0" t="s">
        <v>396</v>
      </c>
      <c r="N308" s="0" t="n">
        <v>102900682</v>
      </c>
      <c r="O308" s="0" t="n">
        <v>362</v>
      </c>
      <c r="P308" s="0" t="n">
        <v>11.92</v>
      </c>
      <c r="Q308" s="0" t="n">
        <v>102900682</v>
      </c>
    </row>
    <row r="309" customFormat="false" ht="15" hidden="false" customHeight="false" outlineLevel="0" collapsed="false">
      <c r="A309" s="0" t="e">
        <f aca="false">#N/A</f>
        <v>#N/A</v>
      </c>
      <c r="B309" s="0" t="s">
        <v>3215</v>
      </c>
      <c r="C309" s="0" t="s">
        <v>3216</v>
      </c>
      <c r="D309" s="0" t="s">
        <v>2385</v>
      </c>
      <c r="E309" s="0" t="n">
        <v>43331</v>
      </c>
      <c r="F309" s="0" t="s">
        <v>64</v>
      </c>
      <c r="G309" s="0" t="n">
        <v>21337220</v>
      </c>
      <c r="H309" s="0" t="n">
        <v>720192</v>
      </c>
      <c r="I309" s="0" t="s">
        <v>34</v>
      </c>
      <c r="J309" s="0" t="s">
        <v>174</v>
      </c>
      <c r="K309" s="0" t="s">
        <v>97</v>
      </c>
      <c r="L309" s="0" t="n">
        <v>223691774</v>
      </c>
      <c r="M309" s="0" t="s">
        <v>647</v>
      </c>
      <c r="N309" s="0" t="n">
        <v>102916356</v>
      </c>
      <c r="O309" s="0" t="n">
        <v>43</v>
      </c>
      <c r="P309" s="0" t="n">
        <v>1.08</v>
      </c>
      <c r="Q309" s="0" t="e">
        <f aca="false">#N/A</f>
        <v>#N/A</v>
      </c>
    </row>
    <row r="310" customFormat="false" ht="15" hidden="false" customHeight="false" outlineLevel="0" collapsed="false">
      <c r="A310" s="0" t="s">
        <v>3217</v>
      </c>
      <c r="B310" s="0" t="s">
        <v>3218</v>
      </c>
      <c r="C310" s="0" t="s">
        <v>3219</v>
      </c>
      <c r="D310" s="0" t="s">
        <v>2385</v>
      </c>
      <c r="E310" s="0" t="n">
        <v>43331</v>
      </c>
      <c r="F310" s="0" t="s">
        <v>64</v>
      </c>
      <c r="G310" s="0" t="n">
        <v>21337220</v>
      </c>
      <c r="H310" s="0" t="n">
        <v>720192</v>
      </c>
      <c r="I310" s="0" t="s">
        <v>34</v>
      </c>
      <c r="J310" s="0" t="s">
        <v>174</v>
      </c>
      <c r="K310" s="0" t="s">
        <v>72</v>
      </c>
      <c r="L310" s="0" t="n">
        <v>223691777</v>
      </c>
      <c r="M310" s="0" t="s">
        <v>342</v>
      </c>
      <c r="N310" s="0" t="n">
        <v>102900697</v>
      </c>
      <c r="O310" s="0" t="n">
        <v>1540</v>
      </c>
      <c r="P310" s="0" t="n">
        <v>60.32</v>
      </c>
      <c r="Q310" s="0" t="n">
        <v>102900697</v>
      </c>
    </row>
    <row r="311" customFormat="false" ht="15" hidden="false" customHeight="false" outlineLevel="0" collapsed="false">
      <c r="A311" s="0" t="e">
        <f aca="false">#N/A</f>
        <v>#N/A</v>
      </c>
      <c r="B311" s="0" t="s">
        <v>3220</v>
      </c>
      <c r="C311" s="0" t="s">
        <v>3221</v>
      </c>
      <c r="D311" s="0" t="s">
        <v>2385</v>
      </c>
      <c r="E311" s="0" t="n">
        <v>43331</v>
      </c>
      <c r="F311" s="0" t="s">
        <v>64</v>
      </c>
      <c r="G311" s="0" t="n">
        <v>21337220</v>
      </c>
      <c r="H311" s="0" t="n">
        <v>720192</v>
      </c>
      <c r="I311" s="0" t="s">
        <v>34</v>
      </c>
      <c r="J311" s="0" t="s">
        <v>174</v>
      </c>
      <c r="K311" s="0" t="s">
        <v>74</v>
      </c>
      <c r="L311" s="0" t="n">
        <v>223691789</v>
      </c>
      <c r="M311" s="0" t="s">
        <v>348</v>
      </c>
      <c r="N311" s="0" t="n">
        <v>102900691</v>
      </c>
      <c r="O311" s="0" t="n">
        <v>478</v>
      </c>
      <c r="P311" s="0" t="n">
        <v>12.72</v>
      </c>
      <c r="Q311" s="0" t="e">
        <f aca="false">#N/A</f>
        <v>#N/A</v>
      </c>
    </row>
    <row r="312" customFormat="false" ht="15" hidden="false" customHeight="false" outlineLevel="0" collapsed="false">
      <c r="A312" s="0" t="e">
        <f aca="false">#N/A</f>
        <v>#N/A</v>
      </c>
      <c r="B312" s="0" t="s">
        <v>3222</v>
      </c>
      <c r="C312" s="0" t="s">
        <v>3223</v>
      </c>
      <c r="D312" s="0" t="s">
        <v>2385</v>
      </c>
      <c r="E312" s="0" t="n">
        <v>43331</v>
      </c>
      <c r="F312" s="0" t="s">
        <v>64</v>
      </c>
      <c r="G312" s="0" t="n">
        <v>21337220</v>
      </c>
      <c r="H312" s="0" t="n">
        <v>720192</v>
      </c>
      <c r="I312" s="0" t="s">
        <v>34</v>
      </c>
      <c r="J312" s="0" t="s">
        <v>174</v>
      </c>
      <c r="K312" s="0" t="s">
        <v>75</v>
      </c>
      <c r="L312" s="0" t="n">
        <v>223691780</v>
      </c>
      <c r="M312" s="0" t="s">
        <v>351</v>
      </c>
      <c r="N312" s="0" t="n">
        <v>103058726</v>
      </c>
      <c r="O312" s="0" t="n">
        <v>458</v>
      </c>
      <c r="P312" s="0" t="n">
        <v>14.44</v>
      </c>
      <c r="Q312" s="0" t="e">
        <f aca="false">#N/A</f>
        <v>#N/A</v>
      </c>
    </row>
    <row r="313" customFormat="false" ht="15" hidden="false" customHeight="false" outlineLevel="0" collapsed="false">
      <c r="A313" s="0" t="s">
        <v>3224</v>
      </c>
      <c r="B313" s="0" t="s">
        <v>3225</v>
      </c>
      <c r="C313" s="0" t="s">
        <v>3226</v>
      </c>
      <c r="D313" s="0" t="s">
        <v>2385</v>
      </c>
      <c r="E313" s="0" t="n">
        <v>43331</v>
      </c>
      <c r="F313" s="0" t="s">
        <v>64</v>
      </c>
      <c r="G313" s="0" t="n">
        <v>21337220</v>
      </c>
      <c r="H313" s="0" t="n">
        <v>720192</v>
      </c>
      <c r="I313" s="0" t="s">
        <v>34</v>
      </c>
      <c r="J313" s="0" t="s">
        <v>174</v>
      </c>
      <c r="K313" s="0" t="s">
        <v>76</v>
      </c>
      <c r="L313" s="0" t="n">
        <v>223691783</v>
      </c>
      <c r="M313" s="0" t="s">
        <v>354</v>
      </c>
      <c r="N313" s="0" t="n">
        <v>103058723</v>
      </c>
      <c r="O313" s="0" t="n">
        <v>40</v>
      </c>
      <c r="P313" s="0" t="n">
        <v>1.27</v>
      </c>
      <c r="Q313" s="0" t="n">
        <v>103058723</v>
      </c>
    </row>
    <row r="314" customFormat="false" ht="15" hidden="false" customHeight="false" outlineLevel="0" collapsed="false">
      <c r="A314" s="0" t="e">
        <f aca="false">#N/A</f>
        <v>#N/A</v>
      </c>
      <c r="B314" s="0" t="s">
        <v>3227</v>
      </c>
      <c r="C314" s="0" t="s">
        <v>3228</v>
      </c>
      <c r="D314" s="0" t="s">
        <v>2385</v>
      </c>
      <c r="E314" s="0" t="n">
        <v>43331</v>
      </c>
      <c r="F314" s="0" t="s">
        <v>64</v>
      </c>
      <c r="G314" s="0" t="n">
        <v>21337220</v>
      </c>
      <c r="H314" s="0" t="n">
        <v>720192</v>
      </c>
      <c r="I314" s="0" t="s">
        <v>34</v>
      </c>
      <c r="J314" s="0" t="s">
        <v>174</v>
      </c>
      <c r="K314" s="0" t="s">
        <v>87</v>
      </c>
      <c r="L314" s="0" t="n">
        <v>223691795</v>
      </c>
      <c r="M314" s="0" t="s">
        <v>387</v>
      </c>
      <c r="N314" s="0" t="n">
        <v>102900688</v>
      </c>
      <c r="O314" s="0" t="n">
        <v>97</v>
      </c>
      <c r="P314" s="0" t="n">
        <v>3.47</v>
      </c>
      <c r="Q314" s="0" t="e">
        <f aca="false">#N/A</f>
        <v>#N/A</v>
      </c>
    </row>
    <row r="315" customFormat="false" ht="15" hidden="false" customHeight="false" outlineLevel="0" collapsed="false">
      <c r="A315" s="0" t="e">
        <f aca="false">#N/A</f>
        <v>#N/A</v>
      </c>
      <c r="B315" s="0" t="s">
        <v>3229</v>
      </c>
      <c r="C315" s="0" t="s">
        <v>3230</v>
      </c>
      <c r="D315" s="0" t="s">
        <v>2385</v>
      </c>
      <c r="E315" s="0" t="n">
        <v>43331</v>
      </c>
      <c r="F315" s="0" t="s">
        <v>64</v>
      </c>
      <c r="G315" s="0" t="n">
        <v>21337220</v>
      </c>
      <c r="H315" s="0" t="n">
        <v>720192</v>
      </c>
      <c r="I315" s="0" t="s">
        <v>34</v>
      </c>
      <c r="J315" s="0" t="s">
        <v>174</v>
      </c>
      <c r="K315" s="0" t="s">
        <v>92</v>
      </c>
      <c r="L315" s="0" t="n">
        <v>223691762</v>
      </c>
      <c r="M315" s="0" t="s">
        <v>600</v>
      </c>
      <c r="N315" s="0" t="n">
        <v>102902974</v>
      </c>
      <c r="O315" s="0" t="n">
        <v>47</v>
      </c>
      <c r="P315" s="0" t="n">
        <v>1.59</v>
      </c>
      <c r="Q315" s="0" t="e">
        <f aca="false">#N/A</f>
        <v>#N/A</v>
      </c>
    </row>
    <row r="316" customFormat="false" ht="15" hidden="false" customHeight="false" outlineLevel="0" collapsed="false">
      <c r="A316" s="0" t="e">
        <f aca="false">#N/A</f>
        <v>#N/A</v>
      </c>
      <c r="B316" s="0" t="s">
        <v>3231</v>
      </c>
      <c r="C316" s="0" t="s">
        <v>3232</v>
      </c>
      <c r="D316" s="0" t="s">
        <v>2385</v>
      </c>
      <c r="E316" s="0" t="n">
        <v>43331</v>
      </c>
      <c r="F316" s="0" t="s">
        <v>64</v>
      </c>
      <c r="G316" s="0" t="n">
        <v>21337220</v>
      </c>
      <c r="H316" s="0" t="n">
        <v>720192</v>
      </c>
      <c r="I316" s="0" t="s">
        <v>34</v>
      </c>
      <c r="J316" s="0" t="s">
        <v>174</v>
      </c>
      <c r="K316" s="0" t="s">
        <v>73</v>
      </c>
      <c r="L316" s="0" t="n">
        <v>223691792</v>
      </c>
      <c r="M316" s="0" t="s">
        <v>345</v>
      </c>
      <c r="N316" s="0" t="n">
        <v>102901894</v>
      </c>
      <c r="O316" s="0" t="n">
        <v>197</v>
      </c>
      <c r="P316" s="0" t="n">
        <v>5.58</v>
      </c>
      <c r="Q316" s="0" t="e">
        <f aca="false">#N/A</f>
        <v>#N/A</v>
      </c>
    </row>
    <row r="317" customFormat="false" ht="15" hidden="false" customHeight="false" outlineLevel="0" collapsed="false">
      <c r="A317" s="0" t="s">
        <v>3233</v>
      </c>
      <c r="B317" s="0" t="s">
        <v>3234</v>
      </c>
      <c r="C317" s="0" t="s">
        <v>3235</v>
      </c>
      <c r="D317" s="0" t="s">
        <v>2385</v>
      </c>
      <c r="E317" s="0" t="n">
        <v>43331</v>
      </c>
      <c r="F317" s="0" t="s">
        <v>64</v>
      </c>
      <c r="G317" s="0" t="n">
        <v>21337220</v>
      </c>
      <c r="H317" s="0" t="n">
        <v>720192</v>
      </c>
      <c r="I317" s="0" t="s">
        <v>34</v>
      </c>
      <c r="J317" s="0" t="s">
        <v>174</v>
      </c>
      <c r="K317" s="0" t="s">
        <v>99</v>
      </c>
      <c r="L317" s="0" t="n">
        <v>223691771</v>
      </c>
      <c r="M317" s="0" t="s">
        <v>657</v>
      </c>
      <c r="N317" s="0" t="n">
        <v>102902968</v>
      </c>
      <c r="O317" s="0" t="n">
        <v>107</v>
      </c>
      <c r="P317" s="0" t="n">
        <v>2.58</v>
      </c>
      <c r="Q317" s="0" t="n">
        <v>102902968</v>
      </c>
    </row>
    <row r="318" customFormat="false" ht="15" hidden="false" customHeight="false" outlineLevel="0" collapsed="false">
      <c r="A318" s="0" t="e">
        <f aca="false">#N/A</f>
        <v>#N/A</v>
      </c>
      <c r="B318" s="0" t="s">
        <v>3236</v>
      </c>
      <c r="C318" s="0" t="s">
        <v>3237</v>
      </c>
      <c r="D318" s="0" t="s">
        <v>2385</v>
      </c>
      <c r="E318" s="0" t="n">
        <v>43331</v>
      </c>
      <c r="F318" s="0" t="s">
        <v>64</v>
      </c>
      <c r="G318" s="0" t="n">
        <v>21337220</v>
      </c>
      <c r="H318" s="0" t="n">
        <v>720192</v>
      </c>
      <c r="I318" s="0" t="s">
        <v>34</v>
      </c>
      <c r="J318" s="0" t="s">
        <v>174</v>
      </c>
      <c r="K318" s="0" t="s">
        <v>71</v>
      </c>
      <c r="L318" s="0" t="n">
        <v>225322324</v>
      </c>
      <c r="M318" s="0" t="s">
        <v>339</v>
      </c>
      <c r="N318" s="0" t="n">
        <v>103789915</v>
      </c>
      <c r="O318" s="0" t="n">
        <v>1247</v>
      </c>
      <c r="P318" s="0" t="n">
        <v>27.05</v>
      </c>
      <c r="Q318" s="0" t="e">
        <f aca="false">#N/A</f>
        <v>#N/A</v>
      </c>
    </row>
    <row r="319" customFormat="false" ht="15" hidden="false" customHeight="false" outlineLevel="0" collapsed="false">
      <c r="A319" s="0" t="s">
        <v>3238</v>
      </c>
      <c r="B319" s="0" t="s">
        <v>3239</v>
      </c>
      <c r="C319" s="0" t="s">
        <v>3240</v>
      </c>
      <c r="D319" s="0" t="s">
        <v>2385</v>
      </c>
      <c r="E319" s="0" t="n">
        <v>43331</v>
      </c>
      <c r="F319" s="0" t="s">
        <v>64</v>
      </c>
      <c r="G319" s="0" t="n">
        <v>21337220</v>
      </c>
      <c r="H319" s="0" t="n">
        <v>720192</v>
      </c>
      <c r="I319" s="0" t="s">
        <v>34</v>
      </c>
      <c r="J319" s="0" t="s">
        <v>174</v>
      </c>
      <c r="K319" s="0" t="s">
        <v>77</v>
      </c>
      <c r="L319" s="0" t="n">
        <v>223691840</v>
      </c>
      <c r="M319" s="0" t="s">
        <v>357</v>
      </c>
      <c r="N319" s="0" t="n">
        <v>102902950</v>
      </c>
      <c r="O319" s="0" t="n">
        <v>2393</v>
      </c>
      <c r="P319" s="0" t="n">
        <v>62.72</v>
      </c>
      <c r="Q319" s="0" t="n">
        <v>102902950</v>
      </c>
    </row>
    <row r="320" customFormat="false" ht="15" hidden="false" customHeight="false" outlineLevel="0" collapsed="false">
      <c r="A320" s="0" t="s">
        <v>3241</v>
      </c>
      <c r="B320" s="0" t="s">
        <v>3242</v>
      </c>
      <c r="C320" s="0" t="s">
        <v>3243</v>
      </c>
      <c r="D320" s="0" t="s">
        <v>2385</v>
      </c>
      <c r="E320" s="0" t="n">
        <v>43331</v>
      </c>
      <c r="F320" s="0" t="s">
        <v>64</v>
      </c>
      <c r="G320" s="0" t="n">
        <v>21337220</v>
      </c>
      <c r="H320" s="0" t="n">
        <v>720192</v>
      </c>
      <c r="I320" s="0" t="s">
        <v>34</v>
      </c>
      <c r="J320" s="0" t="s">
        <v>174</v>
      </c>
      <c r="K320" s="0" t="s">
        <v>95</v>
      </c>
      <c r="L320" s="0" t="n">
        <v>223691807</v>
      </c>
      <c r="M320" s="0" t="s">
        <v>635</v>
      </c>
      <c r="N320" s="0" t="n">
        <v>102900685</v>
      </c>
      <c r="O320" s="0" t="n">
        <v>429</v>
      </c>
      <c r="P320" s="0" t="n">
        <v>9.42</v>
      </c>
      <c r="Q320" s="0" t="n">
        <v>102900685</v>
      </c>
    </row>
    <row r="321" customFormat="false" ht="15" hidden="false" customHeight="false" outlineLevel="0" collapsed="false">
      <c r="A321" s="0" t="s">
        <v>3244</v>
      </c>
      <c r="B321" s="0" t="s">
        <v>3245</v>
      </c>
      <c r="C321" s="0" t="s">
        <v>3246</v>
      </c>
      <c r="D321" s="0" t="s">
        <v>2385</v>
      </c>
      <c r="E321" s="0" t="n">
        <v>43331</v>
      </c>
      <c r="F321" s="0" t="s">
        <v>64</v>
      </c>
      <c r="G321" s="0" t="n">
        <v>21337220</v>
      </c>
      <c r="H321" s="0" t="n">
        <v>720192</v>
      </c>
      <c r="I321" s="0" t="s">
        <v>34</v>
      </c>
      <c r="J321" s="0" t="s">
        <v>174</v>
      </c>
      <c r="K321" s="0" t="s">
        <v>79</v>
      </c>
      <c r="L321" s="0" t="n">
        <v>223691801</v>
      </c>
      <c r="M321" s="0" t="s">
        <v>363</v>
      </c>
      <c r="N321" s="0" t="n">
        <v>103053323</v>
      </c>
      <c r="O321" s="0" t="n">
        <v>416</v>
      </c>
      <c r="P321" s="0" t="n">
        <v>13.62</v>
      </c>
      <c r="Q321" s="0" t="n">
        <v>103053323</v>
      </c>
    </row>
    <row r="322" customFormat="false" ht="15" hidden="false" customHeight="false" outlineLevel="0" collapsed="false">
      <c r="A322" s="0" t="s">
        <v>3247</v>
      </c>
      <c r="B322" s="0" t="s">
        <v>3248</v>
      </c>
      <c r="C322" s="0" t="s">
        <v>3249</v>
      </c>
      <c r="D322" s="0" t="s">
        <v>2385</v>
      </c>
      <c r="E322" s="0" t="n">
        <v>43331</v>
      </c>
      <c r="F322" s="0" t="s">
        <v>64</v>
      </c>
      <c r="G322" s="0" t="n">
        <v>21337220</v>
      </c>
      <c r="H322" s="0" t="n">
        <v>720192</v>
      </c>
      <c r="I322" s="0" t="s">
        <v>34</v>
      </c>
      <c r="J322" s="0" t="s">
        <v>174</v>
      </c>
      <c r="K322" s="0" t="s">
        <v>101</v>
      </c>
      <c r="L322" s="0" t="n">
        <v>223691768</v>
      </c>
      <c r="M322" s="0" t="s">
        <v>663</v>
      </c>
      <c r="N322" s="0" t="n">
        <v>102902971</v>
      </c>
      <c r="O322" s="0" t="n">
        <v>3349</v>
      </c>
      <c r="P322" s="0" t="n">
        <v>77.17</v>
      </c>
      <c r="Q322" s="0" t="n">
        <v>102902971</v>
      </c>
    </row>
    <row r="323" customFormat="false" ht="15" hidden="false" customHeight="false" outlineLevel="0" collapsed="false">
      <c r="A323" s="0" t="s">
        <v>3250</v>
      </c>
      <c r="B323" s="0" t="s">
        <v>3251</v>
      </c>
      <c r="C323" s="0" t="s">
        <v>3252</v>
      </c>
      <c r="D323" s="0" t="s">
        <v>2385</v>
      </c>
      <c r="E323" s="0" t="n">
        <v>43331</v>
      </c>
      <c r="F323" s="0" t="s">
        <v>64</v>
      </c>
      <c r="G323" s="0" t="n">
        <v>21337220</v>
      </c>
      <c r="H323" s="0" t="n">
        <v>720192</v>
      </c>
      <c r="I323" s="0" t="s">
        <v>34</v>
      </c>
      <c r="J323" s="0" t="s">
        <v>174</v>
      </c>
      <c r="K323" s="0" t="s">
        <v>70</v>
      </c>
      <c r="L323" s="0" t="n">
        <v>223691831</v>
      </c>
      <c r="M323" s="0" t="s">
        <v>336</v>
      </c>
      <c r="N323" s="0" t="n">
        <v>102913800</v>
      </c>
      <c r="O323" s="0" t="n">
        <v>2884</v>
      </c>
      <c r="P323" s="0" t="n">
        <v>70.43</v>
      </c>
      <c r="Q323" s="0" t="n">
        <v>102913800</v>
      </c>
    </row>
    <row r="324" customFormat="false" ht="15" hidden="false" customHeight="false" outlineLevel="0" collapsed="false">
      <c r="A324" s="0" t="e">
        <f aca="false">#N/A</f>
        <v>#N/A</v>
      </c>
      <c r="B324" s="0" t="s">
        <v>3253</v>
      </c>
      <c r="C324" s="0" t="s">
        <v>3254</v>
      </c>
      <c r="D324" s="0" t="s">
        <v>2385</v>
      </c>
      <c r="E324" s="0" t="n">
        <v>43331</v>
      </c>
      <c r="F324" s="0" t="s">
        <v>64</v>
      </c>
      <c r="G324" s="0" t="n">
        <v>21337220</v>
      </c>
      <c r="H324" s="0" t="n">
        <v>720192</v>
      </c>
      <c r="I324" s="0" t="s">
        <v>34</v>
      </c>
      <c r="J324" s="0" t="s">
        <v>174</v>
      </c>
      <c r="K324" s="0" t="s">
        <v>69</v>
      </c>
      <c r="L324" s="0" t="n">
        <v>223691798</v>
      </c>
      <c r="M324" s="0" t="s">
        <v>333</v>
      </c>
      <c r="N324" s="0" t="n">
        <v>102916347</v>
      </c>
      <c r="O324" s="0" t="n">
        <v>256</v>
      </c>
      <c r="P324" s="0" t="n">
        <v>6.68</v>
      </c>
      <c r="Q324" s="0" t="e">
        <f aca="false">#N/A</f>
        <v>#N/A</v>
      </c>
    </row>
    <row r="325" customFormat="false" ht="15" hidden="false" customHeight="false" outlineLevel="0" collapsed="false">
      <c r="A325" s="0" t="s">
        <v>3255</v>
      </c>
      <c r="B325" s="0" t="s">
        <v>3256</v>
      </c>
      <c r="C325" s="0" t="s">
        <v>3257</v>
      </c>
      <c r="D325" s="0" t="s">
        <v>2385</v>
      </c>
      <c r="E325" s="0" t="n">
        <v>43331</v>
      </c>
      <c r="F325" s="0" t="s">
        <v>64</v>
      </c>
      <c r="G325" s="0" t="n">
        <v>21337220</v>
      </c>
      <c r="H325" s="0" t="n">
        <v>720192</v>
      </c>
      <c r="I325" s="0" t="s">
        <v>34</v>
      </c>
      <c r="J325" s="0" t="s">
        <v>174</v>
      </c>
      <c r="K325" s="0" t="s">
        <v>84</v>
      </c>
      <c r="L325" s="0" t="n">
        <v>223684451</v>
      </c>
      <c r="M325" s="0" t="s">
        <v>378</v>
      </c>
      <c r="N325" s="0" t="n">
        <v>102901882</v>
      </c>
      <c r="O325" s="0" t="n">
        <v>918</v>
      </c>
      <c r="P325" s="0" t="n">
        <v>25.57</v>
      </c>
      <c r="Q325" s="0" t="n">
        <v>102901882</v>
      </c>
    </row>
    <row r="326" customFormat="false" ht="15" hidden="false" customHeight="false" outlineLevel="0" collapsed="false">
      <c r="A326" s="0" t="e">
        <f aca="false">#N/A</f>
        <v>#N/A</v>
      </c>
      <c r="B326" s="0" t="s">
        <v>3258</v>
      </c>
      <c r="C326" s="0" t="s">
        <v>3259</v>
      </c>
      <c r="D326" s="0" t="s">
        <v>2385</v>
      </c>
      <c r="E326" s="0" t="n">
        <v>43331</v>
      </c>
      <c r="F326" s="0" t="s">
        <v>64</v>
      </c>
      <c r="G326" s="0" t="n">
        <v>21337220</v>
      </c>
      <c r="H326" s="0" t="n">
        <v>720192</v>
      </c>
      <c r="I326" s="0" t="s">
        <v>34</v>
      </c>
      <c r="J326" s="0" t="s">
        <v>174</v>
      </c>
      <c r="K326" s="0" t="s">
        <v>100</v>
      </c>
      <c r="L326" s="0" t="n">
        <v>223691765</v>
      </c>
      <c r="M326" s="0" t="s">
        <v>660</v>
      </c>
      <c r="N326" s="0" t="n">
        <v>103053332</v>
      </c>
      <c r="O326" s="0" t="n">
        <v>64</v>
      </c>
      <c r="P326" s="0" t="n">
        <v>1.41</v>
      </c>
      <c r="Q326" s="0" t="e">
        <f aca="false">#N/A</f>
        <v>#N/A</v>
      </c>
    </row>
    <row r="327" customFormat="false" ht="15" hidden="false" customHeight="false" outlineLevel="0" collapsed="false">
      <c r="A327" s="0" t="s">
        <v>3260</v>
      </c>
      <c r="B327" s="0" t="s">
        <v>3261</v>
      </c>
      <c r="C327" s="0" t="s">
        <v>3262</v>
      </c>
      <c r="D327" s="0" t="s">
        <v>2385</v>
      </c>
      <c r="E327" s="0" t="n">
        <v>43331</v>
      </c>
      <c r="F327" s="0" t="s">
        <v>64</v>
      </c>
      <c r="G327" s="0" t="n">
        <v>21337220</v>
      </c>
      <c r="H327" s="0" t="n">
        <v>720192</v>
      </c>
      <c r="I327" s="0" t="s">
        <v>34</v>
      </c>
      <c r="J327" s="0" t="s">
        <v>174</v>
      </c>
      <c r="K327" s="0" t="s">
        <v>83</v>
      </c>
      <c r="L327" s="0" t="n">
        <v>223691837</v>
      </c>
      <c r="M327" s="0" t="s">
        <v>375</v>
      </c>
      <c r="N327" s="0" t="n">
        <v>103053314</v>
      </c>
      <c r="O327" s="0" t="n">
        <v>1244</v>
      </c>
      <c r="P327" s="0" t="n">
        <v>48.22</v>
      </c>
      <c r="Q327" s="0" t="n">
        <v>103053314</v>
      </c>
    </row>
    <row r="328" customFormat="false" ht="15" hidden="false" customHeight="false" outlineLevel="0" collapsed="false">
      <c r="A328" s="0" t="s">
        <v>3263</v>
      </c>
      <c r="B328" s="0" t="s">
        <v>3264</v>
      </c>
      <c r="C328" s="0" t="s">
        <v>3265</v>
      </c>
      <c r="D328" s="0" t="s">
        <v>2385</v>
      </c>
      <c r="E328" s="0" t="n">
        <v>43331</v>
      </c>
      <c r="F328" s="0" t="s">
        <v>64</v>
      </c>
      <c r="G328" s="0" t="n">
        <v>21337220</v>
      </c>
      <c r="H328" s="0" t="n">
        <v>720192</v>
      </c>
      <c r="I328" s="0" t="s">
        <v>34</v>
      </c>
      <c r="J328" s="0" t="s">
        <v>174</v>
      </c>
      <c r="K328" s="0" t="s">
        <v>98</v>
      </c>
      <c r="L328" s="0" t="n">
        <v>223691813</v>
      </c>
      <c r="M328" s="0" t="s">
        <v>654</v>
      </c>
      <c r="N328" s="0" t="n">
        <v>103053320</v>
      </c>
      <c r="O328" s="0" t="n">
        <v>610</v>
      </c>
      <c r="P328" s="0" t="n">
        <v>11.71</v>
      </c>
      <c r="Q328" s="0" t="n">
        <v>103053320</v>
      </c>
    </row>
    <row r="329" customFormat="false" ht="15" hidden="false" customHeight="false" outlineLevel="0" collapsed="false">
      <c r="A329" s="0" t="s">
        <v>3266</v>
      </c>
      <c r="B329" s="0" t="s">
        <v>3267</v>
      </c>
      <c r="C329" s="0" t="s">
        <v>3268</v>
      </c>
      <c r="D329" s="0" t="s">
        <v>2385</v>
      </c>
      <c r="E329" s="0" t="n">
        <v>43331</v>
      </c>
      <c r="F329" s="0" t="s">
        <v>64</v>
      </c>
      <c r="G329" s="0" t="n">
        <v>21337220</v>
      </c>
      <c r="H329" s="0" t="n">
        <v>720192</v>
      </c>
      <c r="I329" s="0" t="s">
        <v>34</v>
      </c>
      <c r="J329" s="0" t="s">
        <v>174</v>
      </c>
      <c r="K329" s="0" t="s">
        <v>82</v>
      </c>
      <c r="L329" s="0" t="n">
        <v>225322327</v>
      </c>
      <c r="M329" s="0" t="s">
        <v>372</v>
      </c>
      <c r="N329" s="0" t="n">
        <v>103902287</v>
      </c>
      <c r="O329" s="0" t="n">
        <v>21995</v>
      </c>
      <c r="P329" s="0" t="n">
        <v>364.1</v>
      </c>
      <c r="Q329" s="0" t="n">
        <v>103902287</v>
      </c>
    </row>
    <row r="330" customFormat="false" ht="15" hidden="false" customHeight="false" outlineLevel="0" collapsed="false">
      <c r="A330" s="0" t="s">
        <v>3269</v>
      </c>
      <c r="B330" s="0" t="s">
        <v>3270</v>
      </c>
      <c r="C330" s="0" t="s">
        <v>3271</v>
      </c>
      <c r="D330" s="0" t="s">
        <v>2385</v>
      </c>
      <c r="E330" s="0" t="n">
        <v>43331</v>
      </c>
      <c r="F330" s="0" t="s">
        <v>64</v>
      </c>
      <c r="G330" s="0" t="n">
        <v>21337220</v>
      </c>
      <c r="H330" s="0" t="n">
        <v>720192</v>
      </c>
      <c r="I330" s="0" t="s">
        <v>34</v>
      </c>
      <c r="J330" s="0" t="s">
        <v>174</v>
      </c>
      <c r="K330" s="0" t="s">
        <v>93</v>
      </c>
      <c r="L330" s="0" t="n">
        <v>223691816</v>
      </c>
      <c r="M330" s="0" t="s">
        <v>625</v>
      </c>
      <c r="N330" s="0" t="n">
        <v>102916341</v>
      </c>
      <c r="O330" s="0" t="n">
        <v>679</v>
      </c>
      <c r="P330" s="0" t="n">
        <v>10.81</v>
      </c>
      <c r="Q330" s="0" t="n">
        <v>102916341</v>
      </c>
    </row>
    <row r="331" customFormat="false" ht="15" hidden="false" customHeight="false" outlineLevel="0" collapsed="false">
      <c r="A331" s="0" t="s">
        <v>3272</v>
      </c>
      <c r="B331" s="0" t="s">
        <v>3273</v>
      </c>
      <c r="C331" s="0" t="s">
        <v>3274</v>
      </c>
      <c r="D331" s="0" t="s">
        <v>2385</v>
      </c>
      <c r="E331" s="0" t="n">
        <v>43331</v>
      </c>
      <c r="F331" s="0" t="s">
        <v>64</v>
      </c>
      <c r="G331" s="0" t="n">
        <v>21337220</v>
      </c>
      <c r="H331" s="0" t="n">
        <v>720192</v>
      </c>
      <c r="I331" s="0" t="s">
        <v>34</v>
      </c>
      <c r="J331" s="0" t="s">
        <v>174</v>
      </c>
      <c r="K331" s="0" t="s">
        <v>96</v>
      </c>
      <c r="L331" s="0" t="n">
        <v>223691804</v>
      </c>
      <c r="M331" s="0" t="s">
        <v>642</v>
      </c>
      <c r="N331" s="0" t="n">
        <v>103058717</v>
      </c>
      <c r="O331" s="0" t="n">
        <v>1332</v>
      </c>
      <c r="P331" s="0" t="n">
        <v>33.09</v>
      </c>
      <c r="Q331" s="0" t="n">
        <v>103058717</v>
      </c>
    </row>
    <row r="332" customFormat="false" ht="15" hidden="false" customHeight="false" outlineLevel="0" collapsed="false">
      <c r="A332" s="0" t="s">
        <v>3275</v>
      </c>
      <c r="B332" s="0" t="s">
        <v>3276</v>
      </c>
      <c r="C332" s="0" t="s">
        <v>3277</v>
      </c>
      <c r="D332" s="0" t="s">
        <v>2385</v>
      </c>
      <c r="E332" s="0" t="n">
        <v>43331</v>
      </c>
      <c r="F332" s="0" t="s">
        <v>64</v>
      </c>
      <c r="G332" s="0" t="n">
        <v>21337220</v>
      </c>
      <c r="H332" s="0" t="n">
        <v>720192</v>
      </c>
      <c r="I332" s="0" t="s">
        <v>34</v>
      </c>
      <c r="J332" s="0" t="s">
        <v>174</v>
      </c>
      <c r="K332" s="0" t="s">
        <v>91</v>
      </c>
      <c r="L332" s="0" t="n">
        <v>223691828</v>
      </c>
      <c r="M332" s="0" t="s">
        <v>399</v>
      </c>
      <c r="N332" s="0" t="n">
        <v>102902956</v>
      </c>
      <c r="O332" s="0" t="n">
        <v>294</v>
      </c>
      <c r="P332" s="0" t="n">
        <v>6.28</v>
      </c>
      <c r="Q332" s="0" t="n">
        <v>102902956</v>
      </c>
    </row>
    <row r="333" customFormat="false" ht="15" hidden="false" customHeight="false" outlineLevel="0" collapsed="false">
      <c r="A333" s="0" t="s">
        <v>3278</v>
      </c>
      <c r="B333" s="0" t="s">
        <v>3279</v>
      </c>
      <c r="C333" s="0" t="s">
        <v>3280</v>
      </c>
      <c r="D333" s="0" t="s">
        <v>2385</v>
      </c>
      <c r="E333" s="0" t="n">
        <v>43331</v>
      </c>
      <c r="F333" s="0" t="s">
        <v>64</v>
      </c>
      <c r="G333" s="0" t="n">
        <v>21337220</v>
      </c>
      <c r="H333" s="0" t="n">
        <v>720192</v>
      </c>
      <c r="I333" s="0" t="s">
        <v>34</v>
      </c>
      <c r="J333" s="0" t="s">
        <v>174</v>
      </c>
      <c r="K333" s="0" t="s">
        <v>80</v>
      </c>
      <c r="L333" s="0" t="n">
        <v>223691825</v>
      </c>
      <c r="M333" s="0" t="s">
        <v>366</v>
      </c>
      <c r="N333" s="0" t="n">
        <v>102916338</v>
      </c>
      <c r="O333" s="0" t="n">
        <v>1962</v>
      </c>
      <c r="P333" s="0" t="n">
        <v>70.59</v>
      </c>
      <c r="Q333" s="0" t="n">
        <v>102916338</v>
      </c>
    </row>
    <row r="334" customFormat="false" ht="15" hidden="false" customHeight="false" outlineLevel="0" collapsed="false">
      <c r="A334" s="0" t="s">
        <v>3281</v>
      </c>
      <c r="B334" s="0" t="s">
        <v>3282</v>
      </c>
      <c r="C334" s="0" t="s">
        <v>3283</v>
      </c>
      <c r="D334" s="0" t="s">
        <v>2385</v>
      </c>
      <c r="E334" s="0" t="n">
        <v>43331</v>
      </c>
      <c r="F334" s="0" t="s">
        <v>64</v>
      </c>
      <c r="G334" s="0" t="n">
        <v>21337220</v>
      </c>
      <c r="H334" s="0" t="n">
        <v>720192</v>
      </c>
      <c r="I334" s="0" t="s">
        <v>34</v>
      </c>
      <c r="J334" s="0" t="s">
        <v>174</v>
      </c>
      <c r="K334" s="0" t="s">
        <v>88</v>
      </c>
      <c r="L334" s="0" t="n">
        <v>223691834</v>
      </c>
      <c r="M334" s="0" t="s">
        <v>390</v>
      </c>
      <c r="N334" s="0" t="n">
        <v>102902953</v>
      </c>
      <c r="O334" s="0" t="n">
        <v>1205</v>
      </c>
      <c r="P334" s="0" t="n">
        <v>22.64</v>
      </c>
      <c r="Q334" s="0" t="n">
        <v>102902953</v>
      </c>
    </row>
    <row r="335" customFormat="false" ht="15" hidden="false" customHeight="false" outlineLevel="0" collapsed="false">
      <c r="A335" s="0" t="s">
        <v>3284</v>
      </c>
      <c r="B335" s="0" t="s">
        <v>3285</v>
      </c>
      <c r="C335" s="0" t="s">
        <v>3286</v>
      </c>
      <c r="D335" s="0" t="s">
        <v>2385</v>
      </c>
      <c r="E335" s="0" t="n">
        <v>43331</v>
      </c>
      <c r="F335" s="0" t="s">
        <v>64</v>
      </c>
      <c r="G335" s="0" t="n">
        <v>21337220</v>
      </c>
      <c r="H335" s="0" t="n">
        <v>720192</v>
      </c>
      <c r="I335" s="0" t="s">
        <v>34</v>
      </c>
      <c r="J335" s="0" t="s">
        <v>174</v>
      </c>
      <c r="K335" s="0" t="s">
        <v>89</v>
      </c>
      <c r="L335" s="0" t="n">
        <v>223691822</v>
      </c>
      <c r="M335" s="0" t="s">
        <v>393</v>
      </c>
      <c r="N335" s="0" t="n">
        <v>103058708</v>
      </c>
      <c r="O335" s="0" t="n">
        <v>1042</v>
      </c>
      <c r="P335" s="0" t="n">
        <v>29.84</v>
      </c>
      <c r="Q335" s="0" t="n">
        <v>103058708</v>
      </c>
    </row>
    <row r="336" customFormat="false" ht="15" hidden="false" customHeight="false" outlineLevel="0" collapsed="false">
      <c r="A336" s="0" t="s">
        <v>3287</v>
      </c>
      <c r="B336" s="0" t="s">
        <v>3288</v>
      </c>
      <c r="C336" s="0" t="s">
        <v>3289</v>
      </c>
      <c r="D336" s="0" t="s">
        <v>2385</v>
      </c>
      <c r="E336" s="0" t="n">
        <v>43331</v>
      </c>
      <c r="F336" s="0" t="s">
        <v>64</v>
      </c>
      <c r="G336" s="0" t="n">
        <v>21337220</v>
      </c>
      <c r="H336" s="0" t="n">
        <v>720192</v>
      </c>
      <c r="I336" s="0" t="s">
        <v>34</v>
      </c>
      <c r="J336" s="0" t="s">
        <v>174</v>
      </c>
      <c r="K336" s="0" t="s">
        <v>94</v>
      </c>
      <c r="L336" s="0" t="n">
        <v>223691810</v>
      </c>
      <c r="M336" s="0" t="s">
        <v>632</v>
      </c>
      <c r="N336" s="0" t="n">
        <v>103058711</v>
      </c>
      <c r="O336" s="0" t="n">
        <v>363</v>
      </c>
      <c r="P336" s="0" t="n">
        <v>7.87</v>
      </c>
      <c r="Q336" s="0" t="n">
        <v>103058711</v>
      </c>
    </row>
    <row r="337" customFormat="false" ht="15" hidden="false" customHeight="false" outlineLevel="0" collapsed="false">
      <c r="A337" s="0" t="s">
        <v>3290</v>
      </c>
      <c r="B337" s="0" t="s">
        <v>3291</v>
      </c>
      <c r="C337" s="0" t="s">
        <v>3292</v>
      </c>
      <c r="D337" s="0" t="s">
        <v>2385</v>
      </c>
      <c r="E337" s="0" t="n">
        <v>43331</v>
      </c>
      <c r="F337" s="0" t="s">
        <v>30</v>
      </c>
      <c r="G337" s="0" t="n">
        <v>21359477</v>
      </c>
      <c r="H337" s="0" t="n">
        <v>720194</v>
      </c>
      <c r="I337" s="0" t="s">
        <v>34</v>
      </c>
      <c r="J337" s="0" t="s">
        <v>174</v>
      </c>
      <c r="K337" s="0" t="s">
        <v>37</v>
      </c>
      <c r="L337" s="0" t="s">
        <v>36</v>
      </c>
      <c r="M337" s="0" t="s">
        <v>175</v>
      </c>
      <c r="N337" s="0" t="n">
        <v>103235787</v>
      </c>
      <c r="O337" s="0" t="n">
        <v>19128</v>
      </c>
      <c r="P337" s="0" t="n">
        <v>153.38</v>
      </c>
      <c r="Q337" s="0" t="n">
        <v>103236186</v>
      </c>
    </row>
    <row r="338" customFormat="false" ht="15" hidden="false" customHeight="false" outlineLevel="0" collapsed="false">
      <c r="A338" s="0" t="s">
        <v>3293</v>
      </c>
      <c r="B338" s="0" t="s">
        <v>3294</v>
      </c>
      <c r="C338" s="0" t="s">
        <v>3295</v>
      </c>
      <c r="D338" s="0" t="s">
        <v>2385</v>
      </c>
      <c r="E338" s="0" t="n">
        <v>43332</v>
      </c>
      <c r="F338" s="0" t="s">
        <v>30</v>
      </c>
      <c r="G338" s="0" t="n">
        <v>21359477</v>
      </c>
      <c r="H338" s="0" t="n">
        <v>720194</v>
      </c>
      <c r="I338" s="0" t="s">
        <v>34</v>
      </c>
      <c r="J338" s="0" t="s">
        <v>174</v>
      </c>
      <c r="K338" s="0" t="s">
        <v>37</v>
      </c>
      <c r="L338" s="0" t="s">
        <v>36</v>
      </c>
      <c r="M338" s="0" t="s">
        <v>175</v>
      </c>
      <c r="N338" s="0" t="n">
        <v>103235787</v>
      </c>
      <c r="O338" s="0" t="n">
        <v>40974</v>
      </c>
      <c r="P338" s="0" t="n">
        <v>204.75</v>
      </c>
      <c r="Q338" s="0" t="n">
        <v>103236186</v>
      </c>
    </row>
    <row r="339" customFormat="false" ht="15" hidden="false" customHeight="false" outlineLevel="0" collapsed="false">
      <c r="A339" s="0" t="s">
        <v>3296</v>
      </c>
      <c r="B339" s="0" t="s">
        <v>3297</v>
      </c>
      <c r="C339" s="0" t="s">
        <v>3298</v>
      </c>
      <c r="D339" s="0" t="s">
        <v>2385</v>
      </c>
      <c r="E339" s="0" t="n">
        <v>43333</v>
      </c>
      <c r="F339" s="0" t="s">
        <v>30</v>
      </c>
      <c r="G339" s="0" t="n">
        <v>21359477</v>
      </c>
      <c r="H339" s="0" t="n">
        <v>720194</v>
      </c>
      <c r="I339" s="0" t="s">
        <v>34</v>
      </c>
      <c r="J339" s="0" t="s">
        <v>174</v>
      </c>
      <c r="K339" s="0" t="s">
        <v>37</v>
      </c>
      <c r="L339" s="0" t="s">
        <v>36</v>
      </c>
      <c r="M339" s="0" t="s">
        <v>175</v>
      </c>
      <c r="N339" s="0" t="n">
        <v>103235787</v>
      </c>
      <c r="O339" s="0" t="n">
        <v>34654</v>
      </c>
      <c r="P339" s="0" t="n">
        <v>238.2</v>
      </c>
      <c r="Q339" s="0" t="n">
        <v>103236186</v>
      </c>
    </row>
    <row r="340" customFormat="false" ht="15" hidden="false" customHeight="false" outlineLevel="0" collapsed="false">
      <c r="A340" s="0" t="s">
        <v>3299</v>
      </c>
      <c r="B340" s="0" t="s">
        <v>3300</v>
      </c>
      <c r="C340" s="0" t="s">
        <v>3301</v>
      </c>
      <c r="D340" s="0" t="s">
        <v>2385</v>
      </c>
      <c r="E340" s="0" t="n">
        <v>43334</v>
      </c>
      <c r="F340" s="0" t="s">
        <v>30</v>
      </c>
      <c r="G340" s="0" t="n">
        <v>21359477</v>
      </c>
      <c r="H340" s="0" t="n">
        <v>720194</v>
      </c>
      <c r="I340" s="0" t="s">
        <v>34</v>
      </c>
      <c r="J340" s="0" t="s">
        <v>174</v>
      </c>
      <c r="K340" s="0" t="s">
        <v>37</v>
      </c>
      <c r="L340" s="0" t="s">
        <v>36</v>
      </c>
      <c r="M340" s="0" t="s">
        <v>175</v>
      </c>
      <c r="N340" s="0" t="n">
        <v>103235787</v>
      </c>
      <c r="O340" s="0" t="n">
        <v>29547</v>
      </c>
      <c r="P340" s="0" t="n">
        <v>252.75</v>
      </c>
      <c r="Q340" s="0" t="n">
        <v>103236186</v>
      </c>
    </row>
    <row r="341" customFormat="false" ht="15" hidden="false" customHeight="false" outlineLevel="0" collapsed="false">
      <c r="A341" s="0" t="s">
        <v>3302</v>
      </c>
      <c r="B341" s="0" t="s">
        <v>3303</v>
      </c>
      <c r="C341" s="0" t="s">
        <v>3304</v>
      </c>
      <c r="D341" s="0" t="s">
        <v>2385</v>
      </c>
      <c r="E341" s="0" t="n">
        <v>43335</v>
      </c>
      <c r="F341" s="0" t="s">
        <v>30</v>
      </c>
      <c r="G341" s="0" t="n">
        <v>21359477</v>
      </c>
      <c r="H341" s="0" t="n">
        <v>720194</v>
      </c>
      <c r="I341" s="0" t="s">
        <v>34</v>
      </c>
      <c r="J341" s="0" t="s">
        <v>174</v>
      </c>
      <c r="K341" s="0" t="s">
        <v>37</v>
      </c>
      <c r="L341" s="0" t="s">
        <v>36</v>
      </c>
      <c r="M341" s="0" t="s">
        <v>175</v>
      </c>
      <c r="N341" s="0" t="n">
        <v>103235787</v>
      </c>
      <c r="O341" s="0" t="n">
        <v>28855</v>
      </c>
      <c r="P341" s="0" t="n">
        <v>255.27</v>
      </c>
      <c r="Q341" s="0" t="n">
        <v>103236186</v>
      </c>
    </row>
    <row r="342" customFormat="false" ht="15" hidden="false" customHeight="false" outlineLevel="0" collapsed="false">
      <c r="A342" s="0" t="s">
        <v>3305</v>
      </c>
      <c r="B342" s="0" t="s">
        <v>3306</v>
      </c>
      <c r="C342" s="0" t="s">
        <v>3307</v>
      </c>
      <c r="D342" s="0" t="s">
        <v>2385</v>
      </c>
      <c r="E342" s="0" t="n">
        <v>43336</v>
      </c>
      <c r="F342" s="0" t="s">
        <v>30</v>
      </c>
      <c r="G342" s="0" t="n">
        <v>21359477</v>
      </c>
      <c r="H342" s="0" t="n">
        <v>720194</v>
      </c>
      <c r="I342" s="0" t="s">
        <v>34</v>
      </c>
      <c r="J342" s="0" t="s">
        <v>174</v>
      </c>
      <c r="K342" s="0" t="s">
        <v>37</v>
      </c>
      <c r="L342" s="0" t="s">
        <v>36</v>
      </c>
      <c r="M342" s="0" t="s">
        <v>175</v>
      </c>
      <c r="N342" s="0" t="n">
        <v>103235787</v>
      </c>
      <c r="O342" s="0" t="n">
        <v>23664</v>
      </c>
      <c r="P342" s="0" t="n">
        <v>241.26</v>
      </c>
      <c r="Q342" s="0" t="n">
        <v>103236186</v>
      </c>
    </row>
    <row r="343" customFormat="false" ht="15" hidden="false" customHeight="false" outlineLevel="0" collapsed="false">
      <c r="A343" s="0" t="s">
        <v>3308</v>
      </c>
      <c r="B343" s="0" t="s">
        <v>3309</v>
      </c>
      <c r="C343" s="0" t="s">
        <v>3310</v>
      </c>
      <c r="D343" s="0" t="s">
        <v>2385</v>
      </c>
      <c r="E343" s="0" t="n">
        <v>43337</v>
      </c>
      <c r="F343" s="0" t="s">
        <v>30</v>
      </c>
      <c r="G343" s="0" t="n">
        <v>21359477</v>
      </c>
      <c r="H343" s="0" t="n">
        <v>720194</v>
      </c>
      <c r="I343" s="0" t="s">
        <v>34</v>
      </c>
      <c r="J343" s="0" t="s">
        <v>174</v>
      </c>
      <c r="K343" s="0" t="s">
        <v>37</v>
      </c>
      <c r="L343" s="0" t="s">
        <v>36</v>
      </c>
      <c r="M343" s="0" t="s">
        <v>175</v>
      </c>
      <c r="N343" s="0" t="n">
        <v>103235787</v>
      </c>
      <c r="O343" s="0" t="n">
        <v>22817</v>
      </c>
      <c r="P343" s="0" t="n">
        <v>227.96</v>
      </c>
      <c r="Q343" s="0" t="n">
        <v>103236186</v>
      </c>
    </row>
    <row r="344" customFormat="false" ht="15" hidden="false" customHeight="false" outlineLevel="0" collapsed="false">
      <c r="A344" s="0" t="s">
        <v>3311</v>
      </c>
      <c r="B344" s="0" t="s">
        <v>3312</v>
      </c>
      <c r="C344" s="0" t="s">
        <v>3313</v>
      </c>
      <c r="D344" s="0" t="s">
        <v>2385</v>
      </c>
      <c r="E344" s="0" t="n">
        <v>43331</v>
      </c>
      <c r="F344" s="0" t="s">
        <v>30</v>
      </c>
      <c r="G344" s="0" t="n">
        <v>21359477</v>
      </c>
      <c r="H344" s="0" t="n">
        <v>720194</v>
      </c>
      <c r="I344" s="0" t="s">
        <v>34</v>
      </c>
      <c r="J344" s="0" t="s">
        <v>174</v>
      </c>
      <c r="K344" s="0" t="s">
        <v>41</v>
      </c>
      <c r="L344" s="0" t="s">
        <v>40</v>
      </c>
      <c r="M344" s="0" t="s">
        <v>190</v>
      </c>
      <c r="N344" s="0" t="n">
        <v>103048548</v>
      </c>
      <c r="O344" s="0" t="n">
        <v>1508</v>
      </c>
      <c r="P344" s="0" t="n">
        <v>32.98</v>
      </c>
      <c r="Q344" s="0" t="n">
        <v>103048548</v>
      </c>
    </row>
    <row r="345" customFormat="false" ht="15" hidden="false" customHeight="false" outlineLevel="0" collapsed="false">
      <c r="A345" s="0" t="s">
        <v>3314</v>
      </c>
      <c r="B345" s="0" t="s">
        <v>3315</v>
      </c>
      <c r="C345" s="0" t="s">
        <v>3316</v>
      </c>
      <c r="D345" s="0" t="s">
        <v>2385</v>
      </c>
      <c r="E345" s="0" t="n">
        <v>43332</v>
      </c>
      <c r="F345" s="0" t="s">
        <v>30</v>
      </c>
      <c r="G345" s="0" t="n">
        <v>21359477</v>
      </c>
      <c r="H345" s="0" t="n">
        <v>720194</v>
      </c>
      <c r="I345" s="0" t="s">
        <v>34</v>
      </c>
      <c r="J345" s="0" t="s">
        <v>174</v>
      </c>
      <c r="K345" s="0" t="s">
        <v>41</v>
      </c>
      <c r="L345" s="0" t="s">
        <v>40</v>
      </c>
      <c r="M345" s="0" t="s">
        <v>190</v>
      </c>
      <c r="N345" s="0" t="n">
        <v>103048548</v>
      </c>
      <c r="O345" s="0" t="n">
        <v>1362</v>
      </c>
      <c r="P345" s="0" t="n">
        <v>21.11</v>
      </c>
      <c r="Q345" s="0" t="n">
        <v>103048548</v>
      </c>
    </row>
    <row r="346" customFormat="false" ht="15" hidden="false" customHeight="false" outlineLevel="0" collapsed="false">
      <c r="A346" s="0" t="s">
        <v>3317</v>
      </c>
      <c r="B346" s="0" t="s">
        <v>3318</v>
      </c>
      <c r="C346" s="0" t="s">
        <v>3319</v>
      </c>
      <c r="D346" s="0" t="s">
        <v>2385</v>
      </c>
      <c r="E346" s="0" t="n">
        <v>43333</v>
      </c>
      <c r="F346" s="0" t="s">
        <v>30</v>
      </c>
      <c r="G346" s="0" t="n">
        <v>21359477</v>
      </c>
      <c r="H346" s="0" t="n">
        <v>720194</v>
      </c>
      <c r="I346" s="0" t="s">
        <v>34</v>
      </c>
      <c r="J346" s="0" t="s">
        <v>174</v>
      </c>
      <c r="K346" s="0" t="s">
        <v>41</v>
      </c>
      <c r="L346" s="0" t="s">
        <v>40</v>
      </c>
      <c r="M346" s="0" t="s">
        <v>190</v>
      </c>
      <c r="N346" s="0" t="n">
        <v>103048548</v>
      </c>
      <c r="O346" s="0" t="n">
        <v>2194</v>
      </c>
      <c r="P346" s="0" t="n">
        <v>44.47</v>
      </c>
      <c r="Q346" s="0" t="n">
        <v>103040320</v>
      </c>
    </row>
    <row r="347" customFormat="false" ht="15" hidden="false" customHeight="false" outlineLevel="0" collapsed="false">
      <c r="A347" s="0" t="s">
        <v>3320</v>
      </c>
      <c r="B347" s="0" t="s">
        <v>3321</v>
      </c>
      <c r="C347" s="0" t="s">
        <v>3322</v>
      </c>
      <c r="D347" s="0" t="s">
        <v>2385</v>
      </c>
      <c r="E347" s="0" t="n">
        <v>43334</v>
      </c>
      <c r="F347" s="0" t="s">
        <v>30</v>
      </c>
      <c r="G347" s="0" t="n">
        <v>21359477</v>
      </c>
      <c r="H347" s="0" t="n">
        <v>720194</v>
      </c>
      <c r="I347" s="0" t="s">
        <v>34</v>
      </c>
      <c r="J347" s="0" t="s">
        <v>174</v>
      </c>
      <c r="K347" s="0" t="s">
        <v>41</v>
      </c>
      <c r="L347" s="0" t="s">
        <v>40</v>
      </c>
      <c r="M347" s="0" t="s">
        <v>190</v>
      </c>
      <c r="N347" s="0" t="n">
        <v>103048548</v>
      </c>
      <c r="O347" s="0" t="n">
        <v>3466</v>
      </c>
      <c r="P347" s="0" t="n">
        <v>73.56</v>
      </c>
      <c r="Q347" s="0" t="n">
        <v>103048548</v>
      </c>
    </row>
    <row r="348" customFormat="false" ht="15" hidden="false" customHeight="false" outlineLevel="0" collapsed="false">
      <c r="A348" s="0" t="s">
        <v>3323</v>
      </c>
      <c r="B348" s="0" t="s">
        <v>3324</v>
      </c>
      <c r="C348" s="0" t="s">
        <v>3325</v>
      </c>
      <c r="D348" s="0" t="s">
        <v>2385</v>
      </c>
      <c r="E348" s="0" t="n">
        <v>43335</v>
      </c>
      <c r="F348" s="0" t="s">
        <v>30</v>
      </c>
      <c r="G348" s="0" t="n">
        <v>21359477</v>
      </c>
      <c r="H348" s="0" t="n">
        <v>720194</v>
      </c>
      <c r="I348" s="0" t="s">
        <v>34</v>
      </c>
      <c r="J348" s="0" t="s">
        <v>174</v>
      </c>
      <c r="K348" s="0" t="s">
        <v>41</v>
      </c>
      <c r="L348" s="0" t="s">
        <v>40</v>
      </c>
      <c r="M348" s="0" t="s">
        <v>190</v>
      </c>
      <c r="N348" s="0" t="n">
        <v>103048548</v>
      </c>
      <c r="O348" s="0" t="n">
        <v>1830</v>
      </c>
      <c r="P348" s="0" t="n">
        <v>39.05</v>
      </c>
      <c r="Q348" s="0" t="n">
        <v>103048548</v>
      </c>
    </row>
    <row r="349" customFormat="false" ht="15" hidden="false" customHeight="false" outlineLevel="0" collapsed="false">
      <c r="A349" s="0" t="s">
        <v>3326</v>
      </c>
      <c r="B349" s="0" t="s">
        <v>3327</v>
      </c>
      <c r="C349" s="0" t="s">
        <v>3328</v>
      </c>
      <c r="D349" s="0" t="s">
        <v>2385</v>
      </c>
      <c r="E349" s="0" t="n">
        <v>43336</v>
      </c>
      <c r="F349" s="0" t="s">
        <v>30</v>
      </c>
      <c r="G349" s="0" t="n">
        <v>21359477</v>
      </c>
      <c r="H349" s="0" t="n">
        <v>720194</v>
      </c>
      <c r="I349" s="0" t="s">
        <v>34</v>
      </c>
      <c r="J349" s="0" t="s">
        <v>174</v>
      </c>
      <c r="K349" s="0" t="s">
        <v>41</v>
      </c>
      <c r="L349" s="0" t="s">
        <v>40</v>
      </c>
      <c r="M349" s="0" t="s">
        <v>190</v>
      </c>
      <c r="N349" s="0" t="n">
        <v>103048548</v>
      </c>
      <c r="O349" s="0" t="n">
        <v>1743</v>
      </c>
      <c r="P349" s="0" t="n">
        <v>34.25</v>
      </c>
      <c r="Q349" s="0" t="n">
        <v>103048548</v>
      </c>
    </row>
    <row r="350" customFormat="false" ht="15" hidden="false" customHeight="false" outlineLevel="0" collapsed="false">
      <c r="A350" s="0" t="s">
        <v>3329</v>
      </c>
      <c r="B350" s="0" t="s">
        <v>3330</v>
      </c>
      <c r="C350" s="0" t="s">
        <v>3331</v>
      </c>
      <c r="D350" s="0" t="s">
        <v>2385</v>
      </c>
      <c r="E350" s="0" t="n">
        <v>43337</v>
      </c>
      <c r="F350" s="0" t="s">
        <v>30</v>
      </c>
      <c r="G350" s="0" t="n">
        <v>21359477</v>
      </c>
      <c r="H350" s="0" t="n">
        <v>720194</v>
      </c>
      <c r="I350" s="0" t="s">
        <v>34</v>
      </c>
      <c r="J350" s="0" t="s">
        <v>174</v>
      </c>
      <c r="K350" s="0" t="s">
        <v>41</v>
      </c>
      <c r="L350" s="0" t="s">
        <v>40</v>
      </c>
      <c r="M350" s="0" t="s">
        <v>190</v>
      </c>
      <c r="N350" s="0" t="n">
        <v>103048548</v>
      </c>
      <c r="O350" s="0" t="n">
        <v>1932</v>
      </c>
      <c r="P350" s="0" t="n">
        <v>35.02</v>
      </c>
      <c r="Q350" s="0" t="n">
        <v>103048548</v>
      </c>
    </row>
    <row r="351" customFormat="false" ht="15" hidden="false" customHeight="false" outlineLevel="0" collapsed="false">
      <c r="A351" s="0" t="e">
        <f aca="false">#N/A</f>
        <v>#N/A</v>
      </c>
      <c r="B351" s="0" t="s">
        <v>3332</v>
      </c>
      <c r="C351" s="0" t="s">
        <v>3333</v>
      </c>
      <c r="D351" s="0" t="s">
        <v>2385</v>
      </c>
      <c r="E351" s="0" t="n">
        <v>43337</v>
      </c>
      <c r="F351" s="0" t="s">
        <v>102</v>
      </c>
      <c r="G351" s="0" t="n">
        <v>21356941</v>
      </c>
      <c r="H351" s="0" t="n">
        <v>720193</v>
      </c>
      <c r="I351" s="0" t="s">
        <v>34</v>
      </c>
      <c r="J351" s="0" t="s">
        <v>174</v>
      </c>
      <c r="K351" s="0" t="s">
        <v>105</v>
      </c>
      <c r="L351" s="0" t="n">
        <v>226359956</v>
      </c>
      <c r="M351" s="0" t="s">
        <v>740</v>
      </c>
      <c r="N351" s="0" t="n">
        <v>103259775</v>
      </c>
      <c r="O351" s="0" t="n">
        <v>1</v>
      </c>
      <c r="P351" s="0" t="n">
        <v>0</v>
      </c>
      <c r="Q351" s="0" t="e">
        <f aca="false">#N/A</f>
        <v>#N/A</v>
      </c>
    </row>
    <row r="352" customFormat="false" ht="15" hidden="false" customHeight="false" outlineLevel="0" collapsed="false">
      <c r="A352" s="0" t="e">
        <f aca="false">#N/A</f>
        <v>#N/A</v>
      </c>
      <c r="B352" s="0" t="s">
        <v>3334</v>
      </c>
      <c r="C352" s="0" t="s">
        <v>3335</v>
      </c>
      <c r="D352" s="0" t="s">
        <v>2385</v>
      </c>
      <c r="E352" s="0" t="n">
        <v>43336</v>
      </c>
      <c r="F352" s="0" t="s">
        <v>102</v>
      </c>
      <c r="G352" s="0" t="n">
        <v>21356941</v>
      </c>
      <c r="H352" s="0" t="n">
        <v>720193</v>
      </c>
      <c r="I352" s="0" t="s">
        <v>34</v>
      </c>
      <c r="J352" s="0" t="s">
        <v>174</v>
      </c>
      <c r="K352" s="0" t="s">
        <v>105</v>
      </c>
      <c r="L352" s="0" t="n">
        <v>226359956</v>
      </c>
      <c r="M352" s="0" t="s">
        <v>740</v>
      </c>
      <c r="N352" s="0" t="n">
        <v>103259775</v>
      </c>
      <c r="O352" s="0" t="n">
        <v>0</v>
      </c>
      <c r="P352" s="0" t="n">
        <v>0</v>
      </c>
      <c r="Q352" s="0" t="e">
        <f aca="false">#N/A</f>
        <v>#N/A</v>
      </c>
    </row>
    <row r="353" customFormat="false" ht="15" hidden="false" customHeight="false" outlineLevel="0" collapsed="false">
      <c r="A353" s="0" t="e">
        <f aca="false">#N/A</f>
        <v>#N/A</v>
      </c>
      <c r="B353" s="0" t="s">
        <v>3336</v>
      </c>
      <c r="C353" s="0" t="s">
        <v>3337</v>
      </c>
      <c r="D353" s="0" t="s">
        <v>2385</v>
      </c>
      <c r="E353" s="0" t="n">
        <v>43335</v>
      </c>
      <c r="F353" s="0" t="s">
        <v>102</v>
      </c>
      <c r="G353" s="0" t="n">
        <v>21356941</v>
      </c>
      <c r="H353" s="0" t="n">
        <v>720193</v>
      </c>
      <c r="I353" s="0" t="s">
        <v>34</v>
      </c>
      <c r="J353" s="0" t="s">
        <v>174</v>
      </c>
      <c r="K353" s="0" t="s">
        <v>105</v>
      </c>
      <c r="L353" s="0" t="n">
        <v>226359956</v>
      </c>
      <c r="M353" s="0" t="s">
        <v>740</v>
      </c>
      <c r="N353" s="0" t="n">
        <v>103259775</v>
      </c>
      <c r="O353" s="0" t="n">
        <v>1</v>
      </c>
      <c r="P353" s="0" t="n">
        <v>0</v>
      </c>
      <c r="Q353" s="0" t="e">
        <f aca="false">#N/A</f>
        <v>#N/A</v>
      </c>
    </row>
    <row r="354" customFormat="false" ht="15" hidden="false" customHeight="false" outlineLevel="0" collapsed="false">
      <c r="A354" s="0" t="e">
        <f aca="false">#N/A</f>
        <v>#N/A</v>
      </c>
      <c r="B354" s="0" t="s">
        <v>3338</v>
      </c>
      <c r="C354" s="0" t="s">
        <v>3339</v>
      </c>
      <c r="D354" s="0" t="s">
        <v>2385</v>
      </c>
      <c r="E354" s="0" t="n">
        <v>43334</v>
      </c>
      <c r="F354" s="0" t="s">
        <v>102</v>
      </c>
      <c r="G354" s="0" t="n">
        <v>21356941</v>
      </c>
      <c r="H354" s="0" t="n">
        <v>720193</v>
      </c>
      <c r="I354" s="0" t="s">
        <v>34</v>
      </c>
      <c r="J354" s="0" t="s">
        <v>174</v>
      </c>
      <c r="K354" s="0" t="s">
        <v>105</v>
      </c>
      <c r="L354" s="0" t="n">
        <v>226359956</v>
      </c>
      <c r="M354" s="0" t="s">
        <v>740</v>
      </c>
      <c r="N354" s="0" t="n">
        <v>103259775</v>
      </c>
      <c r="O354" s="0" t="n">
        <v>2</v>
      </c>
      <c r="P354" s="0" t="n">
        <v>0</v>
      </c>
      <c r="Q354" s="0" t="e">
        <f aca="false">#N/A</f>
        <v>#N/A</v>
      </c>
    </row>
    <row r="355" customFormat="false" ht="15" hidden="false" customHeight="false" outlineLevel="0" collapsed="false">
      <c r="A355" s="0" t="e">
        <f aca="false">#N/A</f>
        <v>#N/A</v>
      </c>
      <c r="B355" s="0" t="s">
        <v>3340</v>
      </c>
      <c r="C355" s="0" t="s">
        <v>3341</v>
      </c>
      <c r="D355" s="0" t="s">
        <v>2385</v>
      </c>
      <c r="E355" s="0" t="n">
        <v>43333</v>
      </c>
      <c r="F355" s="0" t="s">
        <v>102</v>
      </c>
      <c r="G355" s="0" t="n">
        <v>21356941</v>
      </c>
      <c r="H355" s="0" t="n">
        <v>720193</v>
      </c>
      <c r="I355" s="0" t="s">
        <v>34</v>
      </c>
      <c r="J355" s="0" t="s">
        <v>174</v>
      </c>
      <c r="K355" s="0" t="s">
        <v>105</v>
      </c>
      <c r="L355" s="0" t="n">
        <v>226359956</v>
      </c>
      <c r="M355" s="0" t="s">
        <v>740</v>
      </c>
      <c r="N355" s="0" t="n">
        <v>103259775</v>
      </c>
      <c r="O355" s="0" t="n">
        <v>1</v>
      </c>
      <c r="P355" s="0" t="n">
        <v>0</v>
      </c>
      <c r="Q355" s="0" t="e">
        <f aca="false">#N/A</f>
        <v>#N/A</v>
      </c>
    </row>
    <row r="356" customFormat="false" ht="15" hidden="false" customHeight="false" outlineLevel="0" collapsed="false">
      <c r="A356" s="0" t="e">
        <f aca="false">#N/A</f>
        <v>#N/A</v>
      </c>
      <c r="B356" s="0" t="s">
        <v>3342</v>
      </c>
      <c r="C356" s="0" t="s">
        <v>3343</v>
      </c>
      <c r="D356" s="0" t="s">
        <v>2385</v>
      </c>
      <c r="E356" s="0" t="n">
        <v>43332</v>
      </c>
      <c r="F356" s="0" t="s">
        <v>102</v>
      </c>
      <c r="G356" s="0" t="n">
        <v>21356941</v>
      </c>
      <c r="H356" s="0" t="n">
        <v>720193</v>
      </c>
      <c r="I356" s="0" t="s">
        <v>34</v>
      </c>
      <c r="J356" s="0" t="s">
        <v>174</v>
      </c>
      <c r="K356" s="0" t="s">
        <v>105</v>
      </c>
      <c r="L356" s="0" t="n">
        <v>226359956</v>
      </c>
      <c r="M356" s="0" t="s">
        <v>740</v>
      </c>
      <c r="N356" s="0" t="n">
        <v>103259775</v>
      </c>
      <c r="O356" s="0" t="n">
        <v>3</v>
      </c>
      <c r="P356" s="0" t="n">
        <v>0</v>
      </c>
      <c r="Q356" s="0" t="e">
        <f aca="false">#N/A</f>
        <v>#N/A</v>
      </c>
    </row>
    <row r="357" customFormat="false" ht="15" hidden="false" customHeight="false" outlineLevel="0" collapsed="false">
      <c r="A357" s="0" t="e">
        <f aca="false">#N/A</f>
        <v>#N/A</v>
      </c>
      <c r="B357" s="0" t="s">
        <v>3344</v>
      </c>
      <c r="C357" s="0" t="s">
        <v>3345</v>
      </c>
      <c r="D357" s="0" t="s">
        <v>2385</v>
      </c>
      <c r="E357" s="0" t="n">
        <v>43331</v>
      </c>
      <c r="F357" s="0" t="s">
        <v>102</v>
      </c>
      <c r="G357" s="0" t="n">
        <v>21356941</v>
      </c>
      <c r="H357" s="0" t="n">
        <v>720193</v>
      </c>
      <c r="I357" s="0" t="s">
        <v>34</v>
      </c>
      <c r="J357" s="0" t="s">
        <v>174</v>
      </c>
      <c r="K357" s="0" t="s">
        <v>105</v>
      </c>
      <c r="L357" s="0" t="n">
        <v>226359956</v>
      </c>
      <c r="M357" s="0" t="s">
        <v>740</v>
      </c>
      <c r="N357" s="0" t="n">
        <v>103259775</v>
      </c>
      <c r="O357" s="0" t="n">
        <v>4</v>
      </c>
      <c r="P357" s="0" t="n">
        <v>0</v>
      </c>
      <c r="Q357" s="0" t="e">
        <f aca="false">#N/A</f>
        <v>#N/A</v>
      </c>
    </row>
    <row r="358" customFormat="false" ht="15" hidden="false" customHeight="false" outlineLevel="0" collapsed="false">
      <c r="A358" s="0" t="e">
        <f aca="false">#N/A</f>
        <v>#N/A</v>
      </c>
      <c r="B358" s="0" t="s">
        <v>3346</v>
      </c>
      <c r="C358" s="0" t="s">
        <v>3347</v>
      </c>
      <c r="D358" s="0" t="s">
        <v>2385</v>
      </c>
      <c r="E358" s="0" t="n">
        <v>43337</v>
      </c>
      <c r="F358" s="0" t="s">
        <v>102</v>
      </c>
      <c r="G358" s="0" t="n">
        <v>21356941</v>
      </c>
      <c r="H358" s="0" t="n">
        <v>720193</v>
      </c>
      <c r="I358" s="0" t="s">
        <v>34</v>
      </c>
      <c r="J358" s="0" t="s">
        <v>174</v>
      </c>
      <c r="K358" s="0" t="s">
        <v>106</v>
      </c>
      <c r="L358" s="0" t="n">
        <v>226359971</v>
      </c>
      <c r="M358" s="0" t="s">
        <v>755</v>
      </c>
      <c r="N358" s="0" t="n">
        <v>103259520</v>
      </c>
      <c r="O358" s="0" t="n">
        <v>1</v>
      </c>
      <c r="P358" s="0" t="n">
        <v>0</v>
      </c>
      <c r="Q358" s="0" t="e">
        <f aca="false">#N/A</f>
        <v>#N/A</v>
      </c>
    </row>
    <row r="359" customFormat="false" ht="15" hidden="false" customHeight="false" outlineLevel="0" collapsed="false">
      <c r="A359" s="0" t="e">
        <f aca="false">#N/A</f>
        <v>#N/A</v>
      </c>
      <c r="B359" s="0" t="s">
        <v>3348</v>
      </c>
      <c r="C359" s="0" t="s">
        <v>3349</v>
      </c>
      <c r="D359" s="0" t="s">
        <v>2385</v>
      </c>
      <c r="E359" s="0" t="n">
        <v>43336</v>
      </c>
      <c r="F359" s="0" t="s">
        <v>102</v>
      </c>
      <c r="G359" s="0" t="n">
        <v>21356941</v>
      </c>
      <c r="H359" s="0" t="n">
        <v>720193</v>
      </c>
      <c r="I359" s="0" t="s">
        <v>34</v>
      </c>
      <c r="J359" s="0" t="s">
        <v>174</v>
      </c>
      <c r="K359" s="0" t="s">
        <v>106</v>
      </c>
      <c r="L359" s="0" t="n">
        <v>226359971</v>
      </c>
      <c r="M359" s="0" t="s">
        <v>755</v>
      </c>
      <c r="N359" s="0" t="n">
        <v>103259520</v>
      </c>
      <c r="O359" s="0" t="n">
        <v>3</v>
      </c>
      <c r="P359" s="0" t="n">
        <v>0.01</v>
      </c>
      <c r="Q359" s="0" t="e">
        <f aca="false">#N/A</f>
        <v>#N/A</v>
      </c>
    </row>
    <row r="360" customFormat="false" ht="15" hidden="false" customHeight="false" outlineLevel="0" collapsed="false">
      <c r="A360" s="0" t="e">
        <f aca="false">#N/A</f>
        <v>#N/A</v>
      </c>
      <c r="B360" s="0" t="s">
        <v>3350</v>
      </c>
      <c r="C360" s="0" t="s">
        <v>3351</v>
      </c>
      <c r="D360" s="0" t="s">
        <v>2385</v>
      </c>
      <c r="E360" s="0" t="n">
        <v>43335</v>
      </c>
      <c r="F360" s="0" t="s">
        <v>102</v>
      </c>
      <c r="G360" s="0" t="n">
        <v>21356941</v>
      </c>
      <c r="H360" s="0" t="n">
        <v>720193</v>
      </c>
      <c r="I360" s="0" t="s">
        <v>34</v>
      </c>
      <c r="J360" s="0" t="s">
        <v>174</v>
      </c>
      <c r="K360" s="0" t="s">
        <v>106</v>
      </c>
      <c r="L360" s="0" t="n">
        <v>226359971</v>
      </c>
      <c r="M360" s="0" t="s">
        <v>755</v>
      </c>
      <c r="N360" s="0" t="n">
        <v>103259520</v>
      </c>
      <c r="O360" s="0" t="n">
        <v>7</v>
      </c>
      <c r="P360" s="0" t="n">
        <v>0.01</v>
      </c>
      <c r="Q360" s="0" t="e">
        <f aca="false">#N/A</f>
        <v>#N/A</v>
      </c>
    </row>
    <row r="361" customFormat="false" ht="15" hidden="false" customHeight="false" outlineLevel="0" collapsed="false">
      <c r="A361" s="0" t="e">
        <f aca="false">#N/A</f>
        <v>#N/A</v>
      </c>
      <c r="B361" s="0" t="s">
        <v>3352</v>
      </c>
      <c r="C361" s="0" t="s">
        <v>3353</v>
      </c>
      <c r="D361" s="0" t="s">
        <v>2385</v>
      </c>
      <c r="E361" s="0" t="n">
        <v>43334</v>
      </c>
      <c r="F361" s="0" t="s">
        <v>102</v>
      </c>
      <c r="G361" s="0" t="n">
        <v>21356941</v>
      </c>
      <c r="H361" s="0" t="n">
        <v>720193</v>
      </c>
      <c r="I361" s="0" t="s">
        <v>34</v>
      </c>
      <c r="J361" s="0" t="s">
        <v>174</v>
      </c>
      <c r="K361" s="0" t="s">
        <v>106</v>
      </c>
      <c r="L361" s="0" t="n">
        <v>226359971</v>
      </c>
      <c r="M361" s="0" t="s">
        <v>755</v>
      </c>
      <c r="N361" s="0" t="n">
        <v>103259520</v>
      </c>
      <c r="O361" s="0" t="n">
        <v>1</v>
      </c>
      <c r="P361" s="0" t="n">
        <v>0</v>
      </c>
      <c r="Q361" s="0" t="e">
        <f aca="false">#N/A</f>
        <v>#N/A</v>
      </c>
    </row>
    <row r="362" customFormat="false" ht="15" hidden="false" customHeight="false" outlineLevel="0" collapsed="false">
      <c r="A362" s="0" t="e">
        <f aca="false">#N/A</f>
        <v>#N/A</v>
      </c>
      <c r="B362" s="0" t="s">
        <v>3354</v>
      </c>
      <c r="C362" s="0" t="s">
        <v>3355</v>
      </c>
      <c r="D362" s="0" t="s">
        <v>2385</v>
      </c>
      <c r="E362" s="0" t="n">
        <v>43333</v>
      </c>
      <c r="F362" s="0" t="s">
        <v>102</v>
      </c>
      <c r="G362" s="0" t="n">
        <v>21356941</v>
      </c>
      <c r="H362" s="0" t="n">
        <v>720193</v>
      </c>
      <c r="I362" s="0" t="s">
        <v>34</v>
      </c>
      <c r="J362" s="0" t="s">
        <v>174</v>
      </c>
      <c r="K362" s="0" t="s">
        <v>106</v>
      </c>
      <c r="L362" s="0" t="n">
        <v>226359971</v>
      </c>
      <c r="M362" s="0" t="s">
        <v>755</v>
      </c>
      <c r="N362" s="0" t="n">
        <v>103259520</v>
      </c>
      <c r="O362" s="0" t="n">
        <v>0</v>
      </c>
      <c r="P362" s="0" t="n">
        <v>0</v>
      </c>
      <c r="Q362" s="0" t="e">
        <f aca="false">#N/A</f>
        <v>#N/A</v>
      </c>
    </row>
    <row r="363" customFormat="false" ht="15" hidden="false" customHeight="false" outlineLevel="0" collapsed="false">
      <c r="A363" s="0" t="e">
        <f aca="false">#N/A</f>
        <v>#N/A</v>
      </c>
      <c r="B363" s="0" t="s">
        <v>3356</v>
      </c>
      <c r="C363" s="0" t="s">
        <v>3357</v>
      </c>
      <c r="D363" s="0" t="s">
        <v>2385</v>
      </c>
      <c r="E363" s="0" t="n">
        <v>43332</v>
      </c>
      <c r="F363" s="0" t="s">
        <v>102</v>
      </c>
      <c r="G363" s="0" t="n">
        <v>21356941</v>
      </c>
      <c r="H363" s="0" t="n">
        <v>720193</v>
      </c>
      <c r="I363" s="0" t="s">
        <v>34</v>
      </c>
      <c r="J363" s="0" t="s">
        <v>174</v>
      </c>
      <c r="K363" s="0" t="s">
        <v>106</v>
      </c>
      <c r="L363" s="0" t="n">
        <v>226359971</v>
      </c>
      <c r="M363" s="0" t="s">
        <v>755</v>
      </c>
      <c r="N363" s="0" t="n">
        <v>103259520</v>
      </c>
      <c r="O363" s="0" t="n">
        <v>0</v>
      </c>
      <c r="P363" s="0" t="n">
        <v>0</v>
      </c>
      <c r="Q363" s="0" t="e">
        <f aca="false">#N/A</f>
        <v>#N/A</v>
      </c>
    </row>
    <row r="364" customFormat="false" ht="15" hidden="false" customHeight="false" outlineLevel="0" collapsed="false">
      <c r="A364" s="0" t="e">
        <f aca="false">#N/A</f>
        <v>#N/A</v>
      </c>
      <c r="B364" s="0" t="s">
        <v>3358</v>
      </c>
      <c r="C364" s="0" t="s">
        <v>3359</v>
      </c>
      <c r="D364" s="0" t="s">
        <v>2385</v>
      </c>
      <c r="E364" s="0" t="n">
        <v>43331</v>
      </c>
      <c r="F364" s="0" t="s">
        <v>102</v>
      </c>
      <c r="G364" s="0" t="n">
        <v>21356941</v>
      </c>
      <c r="H364" s="0" t="n">
        <v>720193</v>
      </c>
      <c r="I364" s="0" t="s">
        <v>34</v>
      </c>
      <c r="J364" s="0" t="s">
        <v>174</v>
      </c>
      <c r="K364" s="0" t="s">
        <v>106</v>
      </c>
      <c r="L364" s="0" t="n">
        <v>226359971</v>
      </c>
      <c r="M364" s="0" t="s">
        <v>755</v>
      </c>
      <c r="N364" s="0" t="n">
        <v>103259520</v>
      </c>
      <c r="O364" s="0" t="n">
        <v>1</v>
      </c>
      <c r="P364" s="0" t="n">
        <v>0</v>
      </c>
      <c r="Q364" s="0" t="e">
        <f aca="false">#N/A</f>
        <v>#N/A</v>
      </c>
    </row>
    <row r="365" customFormat="false" ht="15" hidden="false" customHeight="false" outlineLevel="0" collapsed="false">
      <c r="A365" s="0" t="e">
        <f aca="false">#N/A</f>
        <v>#N/A</v>
      </c>
      <c r="B365" s="0" t="s">
        <v>3360</v>
      </c>
      <c r="C365" s="0" t="s">
        <v>3361</v>
      </c>
      <c r="D365" s="0" t="s">
        <v>2385</v>
      </c>
      <c r="E365" s="0" t="n">
        <v>43337</v>
      </c>
      <c r="F365" s="0" t="s">
        <v>102</v>
      </c>
      <c r="G365" s="0" t="n">
        <v>21356941</v>
      </c>
      <c r="H365" s="0" t="n">
        <v>720193</v>
      </c>
      <c r="I365" s="0" t="s">
        <v>34</v>
      </c>
      <c r="J365" s="0" t="s">
        <v>174</v>
      </c>
      <c r="K365" s="0" t="s">
        <v>107</v>
      </c>
      <c r="L365" s="0" t="n">
        <v>226359968</v>
      </c>
      <c r="M365" s="0" t="s">
        <v>770</v>
      </c>
      <c r="N365" s="0" t="n">
        <v>103259769</v>
      </c>
      <c r="O365" s="0" t="n">
        <v>0</v>
      </c>
      <c r="P365" s="0" t="n">
        <v>0</v>
      </c>
      <c r="Q365" s="0" t="e">
        <f aca="false">#N/A</f>
        <v>#N/A</v>
      </c>
    </row>
    <row r="366" customFormat="false" ht="15" hidden="false" customHeight="false" outlineLevel="0" collapsed="false">
      <c r="A366" s="0" t="e">
        <f aca="false">#N/A</f>
        <v>#N/A</v>
      </c>
      <c r="B366" s="0" t="s">
        <v>3362</v>
      </c>
      <c r="C366" s="0" t="s">
        <v>3363</v>
      </c>
      <c r="D366" s="0" t="s">
        <v>2385</v>
      </c>
      <c r="E366" s="0" t="n">
        <v>43336</v>
      </c>
      <c r="F366" s="0" t="s">
        <v>102</v>
      </c>
      <c r="G366" s="0" t="n">
        <v>21356941</v>
      </c>
      <c r="H366" s="0" t="n">
        <v>720193</v>
      </c>
      <c r="I366" s="0" t="s">
        <v>34</v>
      </c>
      <c r="J366" s="0" t="s">
        <v>174</v>
      </c>
      <c r="K366" s="0" t="s">
        <v>107</v>
      </c>
      <c r="L366" s="0" t="n">
        <v>226359968</v>
      </c>
      <c r="M366" s="0" t="s">
        <v>770</v>
      </c>
      <c r="N366" s="0" t="n">
        <v>103259769</v>
      </c>
      <c r="O366" s="0" t="n">
        <v>0</v>
      </c>
      <c r="P366" s="0" t="n">
        <v>0</v>
      </c>
      <c r="Q366" s="0" t="e">
        <f aca="false">#N/A</f>
        <v>#N/A</v>
      </c>
    </row>
    <row r="367" customFormat="false" ht="15" hidden="false" customHeight="false" outlineLevel="0" collapsed="false">
      <c r="A367" s="0" t="e">
        <f aca="false">#N/A</f>
        <v>#N/A</v>
      </c>
      <c r="B367" s="0" t="s">
        <v>3364</v>
      </c>
      <c r="C367" s="0" t="s">
        <v>3365</v>
      </c>
      <c r="D367" s="0" t="s">
        <v>2385</v>
      </c>
      <c r="E367" s="0" t="n">
        <v>43335</v>
      </c>
      <c r="F367" s="0" t="s">
        <v>102</v>
      </c>
      <c r="G367" s="0" t="n">
        <v>21356941</v>
      </c>
      <c r="H367" s="0" t="n">
        <v>720193</v>
      </c>
      <c r="I367" s="0" t="s">
        <v>34</v>
      </c>
      <c r="J367" s="0" t="s">
        <v>174</v>
      </c>
      <c r="K367" s="0" t="s">
        <v>107</v>
      </c>
      <c r="L367" s="0" t="n">
        <v>226359968</v>
      </c>
      <c r="M367" s="0" t="s">
        <v>770</v>
      </c>
      <c r="N367" s="0" t="n">
        <v>103259769</v>
      </c>
      <c r="O367" s="0" t="n">
        <v>3</v>
      </c>
      <c r="P367" s="0" t="n">
        <v>0</v>
      </c>
      <c r="Q367" s="0" t="e">
        <f aca="false">#N/A</f>
        <v>#N/A</v>
      </c>
    </row>
    <row r="368" customFormat="false" ht="15" hidden="false" customHeight="false" outlineLevel="0" collapsed="false">
      <c r="A368" s="0" t="e">
        <f aca="false">#N/A</f>
        <v>#N/A</v>
      </c>
      <c r="B368" s="0" t="s">
        <v>3366</v>
      </c>
      <c r="C368" s="0" t="s">
        <v>3367</v>
      </c>
      <c r="D368" s="0" t="s">
        <v>2385</v>
      </c>
      <c r="E368" s="0" t="n">
        <v>43334</v>
      </c>
      <c r="F368" s="0" t="s">
        <v>102</v>
      </c>
      <c r="G368" s="0" t="n">
        <v>21356941</v>
      </c>
      <c r="H368" s="0" t="n">
        <v>720193</v>
      </c>
      <c r="I368" s="0" t="s">
        <v>34</v>
      </c>
      <c r="J368" s="0" t="s">
        <v>174</v>
      </c>
      <c r="K368" s="0" t="s">
        <v>107</v>
      </c>
      <c r="L368" s="0" t="n">
        <v>226359968</v>
      </c>
      <c r="M368" s="0" t="s">
        <v>770</v>
      </c>
      <c r="N368" s="0" t="n">
        <v>103259769</v>
      </c>
      <c r="O368" s="0" t="n">
        <v>0</v>
      </c>
      <c r="P368" s="0" t="n">
        <v>0</v>
      </c>
      <c r="Q368" s="0" t="e">
        <f aca="false">#N/A</f>
        <v>#N/A</v>
      </c>
    </row>
    <row r="369" customFormat="false" ht="15" hidden="false" customHeight="false" outlineLevel="0" collapsed="false">
      <c r="A369" s="0" t="e">
        <f aca="false">#N/A</f>
        <v>#N/A</v>
      </c>
      <c r="B369" s="0" t="s">
        <v>3368</v>
      </c>
      <c r="C369" s="0" t="s">
        <v>3369</v>
      </c>
      <c r="D369" s="0" t="s">
        <v>2385</v>
      </c>
      <c r="E369" s="0" t="n">
        <v>43333</v>
      </c>
      <c r="F369" s="0" t="s">
        <v>102</v>
      </c>
      <c r="G369" s="0" t="n">
        <v>21356941</v>
      </c>
      <c r="H369" s="0" t="n">
        <v>720193</v>
      </c>
      <c r="I369" s="0" t="s">
        <v>34</v>
      </c>
      <c r="J369" s="0" t="s">
        <v>174</v>
      </c>
      <c r="K369" s="0" t="s">
        <v>107</v>
      </c>
      <c r="L369" s="0" t="n">
        <v>226359968</v>
      </c>
      <c r="M369" s="0" t="s">
        <v>770</v>
      </c>
      <c r="N369" s="0" t="n">
        <v>103259769</v>
      </c>
      <c r="O369" s="0" t="n">
        <v>1</v>
      </c>
      <c r="P369" s="0" t="n">
        <v>0</v>
      </c>
      <c r="Q369" s="0" t="e">
        <f aca="false">#N/A</f>
        <v>#N/A</v>
      </c>
    </row>
    <row r="370" customFormat="false" ht="15" hidden="false" customHeight="false" outlineLevel="0" collapsed="false">
      <c r="A370" s="0" t="e">
        <f aca="false">#N/A</f>
        <v>#N/A</v>
      </c>
      <c r="B370" s="0" t="s">
        <v>3370</v>
      </c>
      <c r="C370" s="0" t="s">
        <v>3371</v>
      </c>
      <c r="D370" s="0" t="s">
        <v>2385</v>
      </c>
      <c r="E370" s="0" t="n">
        <v>43332</v>
      </c>
      <c r="F370" s="0" t="s">
        <v>102</v>
      </c>
      <c r="G370" s="0" t="n">
        <v>21356941</v>
      </c>
      <c r="H370" s="0" t="n">
        <v>720193</v>
      </c>
      <c r="I370" s="0" t="s">
        <v>34</v>
      </c>
      <c r="J370" s="0" t="s">
        <v>174</v>
      </c>
      <c r="K370" s="0" t="s">
        <v>107</v>
      </c>
      <c r="L370" s="0" t="n">
        <v>226359968</v>
      </c>
      <c r="M370" s="0" t="s">
        <v>770</v>
      </c>
      <c r="N370" s="0" t="n">
        <v>103259769</v>
      </c>
      <c r="O370" s="0" t="n">
        <v>0</v>
      </c>
      <c r="P370" s="0" t="n">
        <v>0</v>
      </c>
      <c r="Q370" s="0" t="e">
        <f aca="false">#N/A</f>
        <v>#N/A</v>
      </c>
    </row>
    <row r="371" customFormat="false" ht="15" hidden="false" customHeight="false" outlineLevel="0" collapsed="false">
      <c r="A371" s="0" t="e">
        <f aca="false">#N/A</f>
        <v>#N/A</v>
      </c>
      <c r="B371" s="0" t="s">
        <v>3372</v>
      </c>
      <c r="C371" s="0" t="s">
        <v>3373</v>
      </c>
      <c r="D371" s="0" t="s">
        <v>2385</v>
      </c>
      <c r="E371" s="0" t="n">
        <v>43331</v>
      </c>
      <c r="F371" s="0" t="s">
        <v>102</v>
      </c>
      <c r="G371" s="0" t="n">
        <v>21356941</v>
      </c>
      <c r="H371" s="0" t="n">
        <v>720193</v>
      </c>
      <c r="I371" s="0" t="s">
        <v>34</v>
      </c>
      <c r="J371" s="0" t="s">
        <v>174</v>
      </c>
      <c r="K371" s="0" t="s">
        <v>107</v>
      </c>
      <c r="L371" s="0" t="n">
        <v>226359968</v>
      </c>
      <c r="M371" s="0" t="s">
        <v>770</v>
      </c>
      <c r="N371" s="0" t="n">
        <v>103259769</v>
      </c>
      <c r="O371" s="0" t="n">
        <v>1</v>
      </c>
      <c r="P371" s="0" t="n">
        <v>0</v>
      </c>
      <c r="Q371" s="0" t="e">
        <f aca="false">#N/A</f>
        <v>#N/A</v>
      </c>
    </row>
    <row r="372" customFormat="false" ht="15" hidden="false" customHeight="false" outlineLevel="0" collapsed="false">
      <c r="A372" s="0" t="e">
        <f aca="false">#N/A</f>
        <v>#N/A</v>
      </c>
      <c r="B372" s="0" t="s">
        <v>3374</v>
      </c>
      <c r="C372" s="0" t="s">
        <v>3375</v>
      </c>
      <c r="D372" s="0" t="s">
        <v>2385</v>
      </c>
      <c r="E372" s="0" t="n">
        <v>43337</v>
      </c>
      <c r="F372" s="0" t="s">
        <v>102</v>
      </c>
      <c r="G372" s="0" t="n">
        <v>21356941</v>
      </c>
      <c r="H372" s="0" t="n">
        <v>720193</v>
      </c>
      <c r="I372" s="0" t="s">
        <v>34</v>
      </c>
      <c r="J372" s="0" t="s">
        <v>174</v>
      </c>
      <c r="K372" s="0" t="s">
        <v>108</v>
      </c>
      <c r="L372" s="0" t="n">
        <v>226359965</v>
      </c>
      <c r="M372" s="0" t="s">
        <v>785</v>
      </c>
      <c r="N372" s="0" t="n">
        <v>103257810</v>
      </c>
      <c r="O372" s="0" t="n">
        <v>0</v>
      </c>
      <c r="P372" s="0" t="n">
        <v>0</v>
      </c>
      <c r="Q372" s="0" t="e">
        <f aca="false">#N/A</f>
        <v>#N/A</v>
      </c>
    </row>
    <row r="373" customFormat="false" ht="15" hidden="false" customHeight="false" outlineLevel="0" collapsed="false">
      <c r="A373" s="0" t="e">
        <f aca="false">#N/A</f>
        <v>#N/A</v>
      </c>
      <c r="B373" s="0" t="s">
        <v>3376</v>
      </c>
      <c r="C373" s="0" t="s">
        <v>3377</v>
      </c>
      <c r="D373" s="0" t="s">
        <v>2385</v>
      </c>
      <c r="E373" s="0" t="n">
        <v>43336</v>
      </c>
      <c r="F373" s="0" t="s">
        <v>102</v>
      </c>
      <c r="G373" s="0" t="n">
        <v>21356941</v>
      </c>
      <c r="H373" s="0" t="n">
        <v>720193</v>
      </c>
      <c r="I373" s="0" t="s">
        <v>34</v>
      </c>
      <c r="J373" s="0" t="s">
        <v>174</v>
      </c>
      <c r="K373" s="0" t="s">
        <v>108</v>
      </c>
      <c r="L373" s="0" t="n">
        <v>226359965</v>
      </c>
      <c r="M373" s="0" t="s">
        <v>785</v>
      </c>
      <c r="N373" s="0" t="n">
        <v>103257810</v>
      </c>
      <c r="O373" s="0" t="n">
        <v>0</v>
      </c>
      <c r="P373" s="0" t="n">
        <v>0</v>
      </c>
      <c r="Q373" s="0" t="e">
        <f aca="false">#N/A</f>
        <v>#N/A</v>
      </c>
    </row>
    <row r="374" customFormat="false" ht="15" hidden="false" customHeight="false" outlineLevel="0" collapsed="false">
      <c r="A374" s="0" t="e">
        <f aca="false">#N/A</f>
        <v>#N/A</v>
      </c>
      <c r="B374" s="0" t="s">
        <v>3378</v>
      </c>
      <c r="C374" s="0" t="s">
        <v>3379</v>
      </c>
      <c r="D374" s="0" t="s">
        <v>2385</v>
      </c>
      <c r="E374" s="0" t="n">
        <v>43335</v>
      </c>
      <c r="F374" s="0" t="s">
        <v>102</v>
      </c>
      <c r="G374" s="0" t="n">
        <v>21356941</v>
      </c>
      <c r="H374" s="0" t="n">
        <v>720193</v>
      </c>
      <c r="I374" s="0" t="s">
        <v>34</v>
      </c>
      <c r="J374" s="0" t="s">
        <v>174</v>
      </c>
      <c r="K374" s="0" t="s">
        <v>108</v>
      </c>
      <c r="L374" s="0" t="n">
        <v>226359965</v>
      </c>
      <c r="M374" s="0" t="s">
        <v>785</v>
      </c>
      <c r="N374" s="0" t="n">
        <v>103257810</v>
      </c>
      <c r="O374" s="0" t="n">
        <v>2</v>
      </c>
      <c r="P374" s="0" t="n">
        <v>0</v>
      </c>
      <c r="Q374" s="0" t="e">
        <f aca="false">#N/A</f>
        <v>#N/A</v>
      </c>
    </row>
    <row r="375" customFormat="false" ht="15" hidden="false" customHeight="false" outlineLevel="0" collapsed="false">
      <c r="A375" s="0" t="e">
        <f aca="false">#N/A</f>
        <v>#N/A</v>
      </c>
      <c r="B375" s="0" t="s">
        <v>3380</v>
      </c>
      <c r="C375" s="0" t="s">
        <v>3381</v>
      </c>
      <c r="D375" s="0" t="s">
        <v>2385</v>
      </c>
      <c r="E375" s="0" t="n">
        <v>43334</v>
      </c>
      <c r="F375" s="0" t="s">
        <v>102</v>
      </c>
      <c r="G375" s="0" t="n">
        <v>21356941</v>
      </c>
      <c r="H375" s="0" t="n">
        <v>720193</v>
      </c>
      <c r="I375" s="0" t="s">
        <v>34</v>
      </c>
      <c r="J375" s="0" t="s">
        <v>174</v>
      </c>
      <c r="K375" s="0" t="s">
        <v>108</v>
      </c>
      <c r="L375" s="0" t="n">
        <v>226359965</v>
      </c>
      <c r="M375" s="0" t="s">
        <v>785</v>
      </c>
      <c r="N375" s="0" t="n">
        <v>103257810</v>
      </c>
      <c r="O375" s="0" t="n">
        <v>1</v>
      </c>
      <c r="P375" s="0" t="n">
        <v>0</v>
      </c>
      <c r="Q375" s="0" t="e">
        <f aca="false">#N/A</f>
        <v>#N/A</v>
      </c>
    </row>
    <row r="376" customFormat="false" ht="15" hidden="false" customHeight="false" outlineLevel="0" collapsed="false">
      <c r="A376" s="0" t="e">
        <f aca="false">#N/A</f>
        <v>#N/A</v>
      </c>
      <c r="B376" s="0" t="s">
        <v>3382</v>
      </c>
      <c r="C376" s="0" t="s">
        <v>3383</v>
      </c>
      <c r="D376" s="0" t="s">
        <v>2385</v>
      </c>
      <c r="E376" s="0" t="n">
        <v>43333</v>
      </c>
      <c r="F376" s="0" t="s">
        <v>102</v>
      </c>
      <c r="G376" s="0" t="n">
        <v>21356941</v>
      </c>
      <c r="H376" s="0" t="n">
        <v>720193</v>
      </c>
      <c r="I376" s="0" t="s">
        <v>34</v>
      </c>
      <c r="J376" s="0" t="s">
        <v>174</v>
      </c>
      <c r="K376" s="0" t="s">
        <v>108</v>
      </c>
      <c r="L376" s="0" t="n">
        <v>226359965</v>
      </c>
      <c r="M376" s="0" t="s">
        <v>785</v>
      </c>
      <c r="N376" s="0" t="n">
        <v>103257810</v>
      </c>
      <c r="O376" s="0" t="n">
        <v>0</v>
      </c>
      <c r="P376" s="0" t="n">
        <v>0</v>
      </c>
      <c r="Q376" s="0" t="e">
        <f aca="false">#N/A</f>
        <v>#N/A</v>
      </c>
    </row>
    <row r="377" customFormat="false" ht="15" hidden="false" customHeight="false" outlineLevel="0" collapsed="false">
      <c r="A377" s="0" t="e">
        <f aca="false">#N/A</f>
        <v>#N/A</v>
      </c>
      <c r="B377" s="0" t="s">
        <v>3384</v>
      </c>
      <c r="C377" s="0" t="s">
        <v>3385</v>
      </c>
      <c r="D377" s="0" t="s">
        <v>2385</v>
      </c>
      <c r="E377" s="0" t="n">
        <v>43332</v>
      </c>
      <c r="F377" s="0" t="s">
        <v>102</v>
      </c>
      <c r="G377" s="0" t="n">
        <v>21356941</v>
      </c>
      <c r="H377" s="0" t="n">
        <v>720193</v>
      </c>
      <c r="I377" s="0" t="s">
        <v>34</v>
      </c>
      <c r="J377" s="0" t="s">
        <v>174</v>
      </c>
      <c r="K377" s="0" t="s">
        <v>108</v>
      </c>
      <c r="L377" s="0" t="n">
        <v>226359965</v>
      </c>
      <c r="M377" s="0" t="s">
        <v>785</v>
      </c>
      <c r="N377" s="0" t="n">
        <v>103257810</v>
      </c>
      <c r="O377" s="0" t="n">
        <v>0</v>
      </c>
      <c r="P377" s="0" t="n">
        <v>0</v>
      </c>
      <c r="Q377" s="0" t="e">
        <f aca="false">#N/A</f>
        <v>#N/A</v>
      </c>
    </row>
    <row r="378" customFormat="false" ht="15" hidden="false" customHeight="false" outlineLevel="0" collapsed="false">
      <c r="A378" s="0" t="e">
        <f aca="false">#N/A</f>
        <v>#N/A</v>
      </c>
      <c r="B378" s="0" t="s">
        <v>3386</v>
      </c>
      <c r="C378" s="0" t="s">
        <v>3387</v>
      </c>
      <c r="D378" s="0" t="s">
        <v>2385</v>
      </c>
      <c r="E378" s="0" t="n">
        <v>43331</v>
      </c>
      <c r="F378" s="0" t="s">
        <v>102</v>
      </c>
      <c r="G378" s="0" t="n">
        <v>21356941</v>
      </c>
      <c r="H378" s="0" t="n">
        <v>720193</v>
      </c>
      <c r="I378" s="0" t="s">
        <v>34</v>
      </c>
      <c r="J378" s="0" t="s">
        <v>174</v>
      </c>
      <c r="K378" s="0" t="s">
        <v>108</v>
      </c>
      <c r="L378" s="0" t="n">
        <v>226359965</v>
      </c>
      <c r="M378" s="0" t="s">
        <v>785</v>
      </c>
      <c r="N378" s="0" t="n">
        <v>103257810</v>
      </c>
      <c r="O378" s="0" t="n">
        <v>1</v>
      </c>
      <c r="P378" s="0" t="n">
        <v>0</v>
      </c>
      <c r="Q378" s="0" t="e">
        <f aca="false">#N/A</f>
        <v>#N/A</v>
      </c>
    </row>
    <row r="379" customFormat="false" ht="15" hidden="false" customHeight="false" outlineLevel="0" collapsed="false">
      <c r="A379" s="0" t="e">
        <f aca="false">#N/A</f>
        <v>#N/A</v>
      </c>
      <c r="B379" s="0" t="s">
        <v>3388</v>
      </c>
      <c r="C379" s="0" t="s">
        <v>3389</v>
      </c>
      <c r="D379" s="0" t="s">
        <v>2385</v>
      </c>
      <c r="E379" s="0" t="n">
        <v>43337</v>
      </c>
      <c r="F379" s="0" t="s">
        <v>102</v>
      </c>
      <c r="G379" s="0" t="n">
        <v>21356941</v>
      </c>
      <c r="H379" s="0" t="n">
        <v>720193</v>
      </c>
      <c r="I379" s="0" t="s">
        <v>34</v>
      </c>
      <c r="J379" s="0" t="s">
        <v>174</v>
      </c>
      <c r="K379" s="0" t="s">
        <v>109</v>
      </c>
      <c r="L379" s="0" t="n">
        <v>226359962</v>
      </c>
      <c r="M379" s="0" t="s">
        <v>800</v>
      </c>
      <c r="N379" s="0" t="n">
        <v>103259010</v>
      </c>
      <c r="O379" s="0" t="n">
        <v>1</v>
      </c>
      <c r="P379" s="0" t="n">
        <v>0</v>
      </c>
      <c r="Q379" s="0" t="e">
        <f aca="false">#N/A</f>
        <v>#N/A</v>
      </c>
    </row>
    <row r="380" customFormat="false" ht="15" hidden="false" customHeight="false" outlineLevel="0" collapsed="false">
      <c r="A380" s="0" t="e">
        <f aca="false">#N/A</f>
        <v>#N/A</v>
      </c>
      <c r="B380" s="0" t="s">
        <v>3390</v>
      </c>
      <c r="C380" s="0" t="s">
        <v>3391</v>
      </c>
      <c r="D380" s="0" t="s">
        <v>2385</v>
      </c>
      <c r="E380" s="0" t="n">
        <v>43336</v>
      </c>
      <c r="F380" s="0" t="s">
        <v>102</v>
      </c>
      <c r="G380" s="0" t="n">
        <v>21356941</v>
      </c>
      <c r="H380" s="0" t="n">
        <v>720193</v>
      </c>
      <c r="I380" s="0" t="s">
        <v>34</v>
      </c>
      <c r="J380" s="0" t="s">
        <v>174</v>
      </c>
      <c r="K380" s="0" t="s">
        <v>109</v>
      </c>
      <c r="L380" s="0" t="n">
        <v>226359962</v>
      </c>
      <c r="M380" s="0" t="s">
        <v>800</v>
      </c>
      <c r="N380" s="0" t="n">
        <v>103259010</v>
      </c>
      <c r="O380" s="0" t="n">
        <v>0</v>
      </c>
      <c r="P380" s="0" t="n">
        <v>0</v>
      </c>
      <c r="Q380" s="0" t="e">
        <f aca="false">#N/A</f>
        <v>#N/A</v>
      </c>
    </row>
    <row r="381" customFormat="false" ht="15" hidden="false" customHeight="false" outlineLevel="0" collapsed="false">
      <c r="A381" s="0" t="e">
        <f aca="false">#N/A</f>
        <v>#N/A</v>
      </c>
      <c r="B381" s="0" t="s">
        <v>3392</v>
      </c>
      <c r="C381" s="0" t="s">
        <v>3393</v>
      </c>
      <c r="D381" s="0" t="s">
        <v>2385</v>
      </c>
      <c r="E381" s="0" t="n">
        <v>43335</v>
      </c>
      <c r="F381" s="0" t="s">
        <v>102</v>
      </c>
      <c r="G381" s="0" t="n">
        <v>21356941</v>
      </c>
      <c r="H381" s="0" t="n">
        <v>720193</v>
      </c>
      <c r="I381" s="0" t="s">
        <v>34</v>
      </c>
      <c r="J381" s="0" t="s">
        <v>174</v>
      </c>
      <c r="K381" s="0" t="s">
        <v>109</v>
      </c>
      <c r="L381" s="0" t="n">
        <v>226359962</v>
      </c>
      <c r="M381" s="0" t="s">
        <v>800</v>
      </c>
      <c r="N381" s="0" t="n">
        <v>103259010</v>
      </c>
      <c r="O381" s="0" t="n">
        <v>3</v>
      </c>
      <c r="P381" s="0" t="n">
        <v>0</v>
      </c>
      <c r="Q381" s="0" t="e">
        <f aca="false">#N/A</f>
        <v>#N/A</v>
      </c>
    </row>
    <row r="382" customFormat="false" ht="15" hidden="false" customHeight="false" outlineLevel="0" collapsed="false">
      <c r="A382" s="0" t="e">
        <f aca="false">#N/A</f>
        <v>#N/A</v>
      </c>
      <c r="B382" s="0" t="s">
        <v>3394</v>
      </c>
      <c r="C382" s="0" t="s">
        <v>3395</v>
      </c>
      <c r="D382" s="0" t="s">
        <v>2385</v>
      </c>
      <c r="E382" s="0" t="n">
        <v>43334</v>
      </c>
      <c r="F382" s="0" t="s">
        <v>102</v>
      </c>
      <c r="G382" s="0" t="n">
        <v>21356941</v>
      </c>
      <c r="H382" s="0" t="n">
        <v>720193</v>
      </c>
      <c r="I382" s="0" t="s">
        <v>34</v>
      </c>
      <c r="J382" s="0" t="s">
        <v>174</v>
      </c>
      <c r="K382" s="0" t="s">
        <v>109</v>
      </c>
      <c r="L382" s="0" t="n">
        <v>226359962</v>
      </c>
      <c r="M382" s="0" t="s">
        <v>800</v>
      </c>
      <c r="N382" s="0" t="n">
        <v>103259010</v>
      </c>
      <c r="O382" s="0" t="n">
        <v>0</v>
      </c>
      <c r="P382" s="0" t="n">
        <v>0</v>
      </c>
      <c r="Q382" s="0" t="e">
        <f aca="false">#N/A</f>
        <v>#N/A</v>
      </c>
    </row>
    <row r="383" customFormat="false" ht="15" hidden="false" customHeight="false" outlineLevel="0" collapsed="false">
      <c r="A383" s="0" t="e">
        <f aca="false">#N/A</f>
        <v>#N/A</v>
      </c>
      <c r="B383" s="0" t="s">
        <v>3396</v>
      </c>
      <c r="C383" s="0" t="s">
        <v>3397</v>
      </c>
      <c r="D383" s="0" t="s">
        <v>2385</v>
      </c>
      <c r="E383" s="0" t="n">
        <v>43333</v>
      </c>
      <c r="F383" s="0" t="s">
        <v>102</v>
      </c>
      <c r="G383" s="0" t="n">
        <v>21356941</v>
      </c>
      <c r="H383" s="0" t="n">
        <v>720193</v>
      </c>
      <c r="I383" s="0" t="s">
        <v>34</v>
      </c>
      <c r="J383" s="0" t="s">
        <v>174</v>
      </c>
      <c r="K383" s="0" t="s">
        <v>109</v>
      </c>
      <c r="L383" s="0" t="n">
        <v>226359962</v>
      </c>
      <c r="M383" s="0" t="s">
        <v>800</v>
      </c>
      <c r="N383" s="0" t="n">
        <v>103259010</v>
      </c>
      <c r="O383" s="0" t="n">
        <v>0</v>
      </c>
      <c r="P383" s="0" t="n">
        <v>0</v>
      </c>
      <c r="Q383" s="0" t="e">
        <f aca="false">#N/A</f>
        <v>#N/A</v>
      </c>
    </row>
    <row r="384" customFormat="false" ht="15" hidden="false" customHeight="false" outlineLevel="0" collapsed="false">
      <c r="A384" s="0" t="e">
        <f aca="false">#N/A</f>
        <v>#N/A</v>
      </c>
      <c r="B384" s="0" t="s">
        <v>3398</v>
      </c>
      <c r="C384" s="0" t="s">
        <v>3399</v>
      </c>
      <c r="D384" s="0" t="s">
        <v>2385</v>
      </c>
      <c r="E384" s="0" t="n">
        <v>43332</v>
      </c>
      <c r="F384" s="0" t="s">
        <v>102</v>
      </c>
      <c r="G384" s="0" t="n">
        <v>21356941</v>
      </c>
      <c r="H384" s="0" t="n">
        <v>720193</v>
      </c>
      <c r="I384" s="0" t="s">
        <v>34</v>
      </c>
      <c r="J384" s="0" t="s">
        <v>174</v>
      </c>
      <c r="K384" s="0" t="s">
        <v>109</v>
      </c>
      <c r="L384" s="0" t="n">
        <v>226359962</v>
      </c>
      <c r="M384" s="0" t="s">
        <v>800</v>
      </c>
      <c r="N384" s="0" t="n">
        <v>103259010</v>
      </c>
      <c r="O384" s="0" t="n">
        <v>2</v>
      </c>
      <c r="P384" s="0" t="n">
        <v>0.01</v>
      </c>
      <c r="Q384" s="0" t="e">
        <f aca="false">#N/A</f>
        <v>#N/A</v>
      </c>
    </row>
    <row r="385" customFormat="false" ht="15" hidden="false" customHeight="false" outlineLevel="0" collapsed="false">
      <c r="A385" s="0" t="e">
        <f aca="false">#N/A</f>
        <v>#N/A</v>
      </c>
      <c r="B385" s="0" t="s">
        <v>3400</v>
      </c>
      <c r="C385" s="0" t="s">
        <v>3401</v>
      </c>
      <c r="D385" s="0" t="s">
        <v>2385</v>
      </c>
      <c r="E385" s="0" t="n">
        <v>43331</v>
      </c>
      <c r="F385" s="0" t="s">
        <v>102</v>
      </c>
      <c r="G385" s="0" t="n">
        <v>21356941</v>
      </c>
      <c r="H385" s="0" t="n">
        <v>720193</v>
      </c>
      <c r="I385" s="0" t="s">
        <v>34</v>
      </c>
      <c r="J385" s="0" t="s">
        <v>174</v>
      </c>
      <c r="K385" s="0" t="s">
        <v>109</v>
      </c>
      <c r="L385" s="0" t="n">
        <v>226359962</v>
      </c>
      <c r="M385" s="0" t="s">
        <v>800</v>
      </c>
      <c r="N385" s="0" t="n">
        <v>103259010</v>
      </c>
      <c r="O385" s="0" t="n">
        <v>0</v>
      </c>
      <c r="P385" s="0" t="n">
        <v>0</v>
      </c>
      <c r="Q385" s="0" t="e">
        <f aca="false">#N/A</f>
        <v>#N/A</v>
      </c>
    </row>
    <row r="386" customFormat="false" ht="15" hidden="false" customHeight="false" outlineLevel="0" collapsed="false">
      <c r="A386" s="0" t="e">
        <f aca="false">#N/A</f>
        <v>#N/A</v>
      </c>
      <c r="B386" s="0" t="s">
        <v>3402</v>
      </c>
      <c r="C386" s="0" t="s">
        <v>3403</v>
      </c>
      <c r="D386" s="0" t="s">
        <v>2385</v>
      </c>
      <c r="E386" s="0" t="n">
        <v>43337</v>
      </c>
      <c r="F386" s="0" t="s">
        <v>102</v>
      </c>
      <c r="G386" s="0" t="n">
        <v>21356941</v>
      </c>
      <c r="H386" s="0" t="n">
        <v>720193</v>
      </c>
      <c r="I386" s="0" t="s">
        <v>34</v>
      </c>
      <c r="J386" s="0" t="s">
        <v>174</v>
      </c>
      <c r="K386" s="0" t="s">
        <v>110</v>
      </c>
      <c r="L386" s="0" t="n">
        <v>226359959</v>
      </c>
      <c r="M386" s="0" t="s">
        <v>815</v>
      </c>
      <c r="N386" s="0" t="n">
        <v>103376990</v>
      </c>
      <c r="O386" s="0" t="n">
        <v>2</v>
      </c>
      <c r="P386" s="0" t="n">
        <v>0</v>
      </c>
      <c r="Q386" s="0" t="e">
        <f aca="false">#N/A</f>
        <v>#N/A</v>
      </c>
    </row>
    <row r="387" customFormat="false" ht="15" hidden="false" customHeight="false" outlineLevel="0" collapsed="false">
      <c r="A387" s="0" t="e">
        <f aca="false">#N/A</f>
        <v>#N/A</v>
      </c>
      <c r="B387" s="0" t="s">
        <v>3404</v>
      </c>
      <c r="C387" s="0" t="s">
        <v>3405</v>
      </c>
      <c r="D387" s="0" t="s">
        <v>2385</v>
      </c>
      <c r="E387" s="0" t="n">
        <v>43336</v>
      </c>
      <c r="F387" s="0" t="s">
        <v>102</v>
      </c>
      <c r="G387" s="0" t="n">
        <v>21356941</v>
      </c>
      <c r="H387" s="0" t="n">
        <v>720193</v>
      </c>
      <c r="I387" s="0" t="s">
        <v>34</v>
      </c>
      <c r="J387" s="0" t="s">
        <v>174</v>
      </c>
      <c r="K387" s="0" t="s">
        <v>110</v>
      </c>
      <c r="L387" s="0" t="n">
        <v>226359959</v>
      </c>
      <c r="M387" s="0" t="s">
        <v>815</v>
      </c>
      <c r="N387" s="0" t="n">
        <v>103376990</v>
      </c>
      <c r="O387" s="0" t="n">
        <v>4</v>
      </c>
      <c r="P387" s="0" t="n">
        <v>0.01</v>
      </c>
      <c r="Q387" s="0" t="e">
        <f aca="false">#N/A</f>
        <v>#N/A</v>
      </c>
    </row>
    <row r="388" customFormat="false" ht="15" hidden="false" customHeight="false" outlineLevel="0" collapsed="false">
      <c r="A388" s="0" t="e">
        <f aca="false">#N/A</f>
        <v>#N/A</v>
      </c>
      <c r="B388" s="0" t="s">
        <v>3406</v>
      </c>
      <c r="C388" s="0" t="s">
        <v>3407</v>
      </c>
      <c r="D388" s="0" t="s">
        <v>2385</v>
      </c>
      <c r="E388" s="0" t="n">
        <v>43335</v>
      </c>
      <c r="F388" s="0" t="s">
        <v>102</v>
      </c>
      <c r="G388" s="0" t="n">
        <v>21356941</v>
      </c>
      <c r="H388" s="0" t="n">
        <v>720193</v>
      </c>
      <c r="I388" s="0" t="s">
        <v>34</v>
      </c>
      <c r="J388" s="0" t="s">
        <v>174</v>
      </c>
      <c r="K388" s="0" t="s">
        <v>110</v>
      </c>
      <c r="L388" s="0" t="n">
        <v>226359959</v>
      </c>
      <c r="M388" s="0" t="s">
        <v>815</v>
      </c>
      <c r="N388" s="0" t="n">
        <v>103376990</v>
      </c>
      <c r="O388" s="0" t="n">
        <v>9</v>
      </c>
      <c r="P388" s="0" t="n">
        <v>0</v>
      </c>
      <c r="Q388" s="0" t="e">
        <f aca="false">#N/A</f>
        <v>#N/A</v>
      </c>
    </row>
    <row r="389" customFormat="false" ht="15" hidden="false" customHeight="false" outlineLevel="0" collapsed="false">
      <c r="A389" s="0" t="e">
        <f aca="false">#N/A</f>
        <v>#N/A</v>
      </c>
      <c r="B389" s="0" t="s">
        <v>3408</v>
      </c>
      <c r="C389" s="0" t="s">
        <v>3409</v>
      </c>
      <c r="D389" s="0" t="s">
        <v>2385</v>
      </c>
      <c r="E389" s="0" t="n">
        <v>43334</v>
      </c>
      <c r="F389" s="0" t="s">
        <v>102</v>
      </c>
      <c r="G389" s="0" t="n">
        <v>21356941</v>
      </c>
      <c r="H389" s="0" t="n">
        <v>720193</v>
      </c>
      <c r="I389" s="0" t="s">
        <v>34</v>
      </c>
      <c r="J389" s="0" t="s">
        <v>174</v>
      </c>
      <c r="K389" s="0" t="s">
        <v>110</v>
      </c>
      <c r="L389" s="0" t="n">
        <v>226359959</v>
      </c>
      <c r="M389" s="0" t="s">
        <v>815</v>
      </c>
      <c r="N389" s="0" t="n">
        <v>103376990</v>
      </c>
      <c r="O389" s="0" t="n">
        <v>1</v>
      </c>
      <c r="P389" s="0" t="n">
        <v>0</v>
      </c>
      <c r="Q389" s="0" t="e">
        <f aca="false">#N/A</f>
        <v>#N/A</v>
      </c>
    </row>
    <row r="390" customFormat="false" ht="15" hidden="false" customHeight="false" outlineLevel="0" collapsed="false">
      <c r="A390" s="0" t="e">
        <f aca="false">#N/A</f>
        <v>#N/A</v>
      </c>
      <c r="B390" s="0" t="s">
        <v>3410</v>
      </c>
      <c r="C390" s="0" t="s">
        <v>3411</v>
      </c>
      <c r="D390" s="0" t="s">
        <v>2385</v>
      </c>
      <c r="E390" s="0" t="n">
        <v>43333</v>
      </c>
      <c r="F390" s="0" t="s">
        <v>102</v>
      </c>
      <c r="G390" s="0" t="n">
        <v>21356941</v>
      </c>
      <c r="H390" s="0" t="n">
        <v>720193</v>
      </c>
      <c r="I390" s="0" t="s">
        <v>34</v>
      </c>
      <c r="J390" s="0" t="s">
        <v>174</v>
      </c>
      <c r="K390" s="0" t="s">
        <v>110</v>
      </c>
      <c r="L390" s="0" t="n">
        <v>226359959</v>
      </c>
      <c r="M390" s="0" t="s">
        <v>815</v>
      </c>
      <c r="N390" s="0" t="n">
        <v>103376990</v>
      </c>
      <c r="O390" s="0" t="n">
        <v>1</v>
      </c>
      <c r="P390" s="0" t="n">
        <v>0</v>
      </c>
      <c r="Q390" s="0" t="e">
        <f aca="false">#N/A</f>
        <v>#N/A</v>
      </c>
    </row>
    <row r="391" customFormat="false" ht="15" hidden="false" customHeight="false" outlineLevel="0" collapsed="false">
      <c r="A391" s="0" t="e">
        <f aca="false">#N/A</f>
        <v>#N/A</v>
      </c>
      <c r="B391" s="0" t="s">
        <v>3412</v>
      </c>
      <c r="C391" s="0" t="s">
        <v>3413</v>
      </c>
      <c r="D391" s="0" t="s">
        <v>2385</v>
      </c>
      <c r="E391" s="0" t="n">
        <v>43332</v>
      </c>
      <c r="F391" s="0" t="s">
        <v>102</v>
      </c>
      <c r="G391" s="0" t="n">
        <v>21356941</v>
      </c>
      <c r="H391" s="0" t="n">
        <v>720193</v>
      </c>
      <c r="I391" s="0" t="s">
        <v>34</v>
      </c>
      <c r="J391" s="0" t="s">
        <v>174</v>
      </c>
      <c r="K391" s="0" t="s">
        <v>110</v>
      </c>
      <c r="L391" s="0" t="n">
        <v>226359959</v>
      </c>
      <c r="M391" s="0" t="s">
        <v>815</v>
      </c>
      <c r="N391" s="0" t="n">
        <v>103376990</v>
      </c>
      <c r="O391" s="0" t="n">
        <v>0</v>
      </c>
      <c r="P391" s="0" t="n">
        <v>0</v>
      </c>
      <c r="Q391" s="0" t="e">
        <f aca="false">#N/A</f>
        <v>#N/A</v>
      </c>
    </row>
    <row r="392" customFormat="false" ht="15" hidden="false" customHeight="false" outlineLevel="0" collapsed="false">
      <c r="A392" s="0" t="e">
        <f aca="false">#N/A</f>
        <v>#N/A</v>
      </c>
      <c r="B392" s="0" t="s">
        <v>3414</v>
      </c>
      <c r="C392" s="0" t="s">
        <v>3415</v>
      </c>
      <c r="D392" s="0" t="s">
        <v>2385</v>
      </c>
      <c r="E392" s="0" t="n">
        <v>43331</v>
      </c>
      <c r="F392" s="0" t="s">
        <v>102</v>
      </c>
      <c r="G392" s="0" t="n">
        <v>21356941</v>
      </c>
      <c r="H392" s="0" t="n">
        <v>720193</v>
      </c>
      <c r="I392" s="0" t="s">
        <v>34</v>
      </c>
      <c r="J392" s="0" t="s">
        <v>174</v>
      </c>
      <c r="K392" s="0" t="s">
        <v>110</v>
      </c>
      <c r="L392" s="0" t="n">
        <v>226359959</v>
      </c>
      <c r="M392" s="0" t="s">
        <v>815</v>
      </c>
      <c r="N392" s="0" t="n">
        <v>103376990</v>
      </c>
      <c r="O392" s="0" t="n">
        <v>1</v>
      </c>
      <c r="P392" s="0" t="n">
        <v>0</v>
      </c>
      <c r="Q392" s="0" t="e">
        <f aca="false">#N/A</f>
        <v>#N/A</v>
      </c>
    </row>
    <row r="393" customFormat="false" ht="15" hidden="false" customHeight="false" outlineLevel="0" collapsed="false">
      <c r="A393" s="0" t="e">
        <f aca="false">#N/A</f>
        <v>#N/A</v>
      </c>
      <c r="B393" s="0" t="s">
        <v>3416</v>
      </c>
      <c r="C393" s="0" t="s">
        <v>3417</v>
      </c>
      <c r="D393" s="0" t="s">
        <v>2385</v>
      </c>
      <c r="E393" s="0" t="n">
        <v>43337</v>
      </c>
      <c r="F393" s="0" t="s">
        <v>102</v>
      </c>
      <c r="G393" s="0" t="n">
        <v>21356941</v>
      </c>
      <c r="H393" s="0" t="n">
        <v>720193</v>
      </c>
      <c r="I393" s="0" t="s">
        <v>34</v>
      </c>
      <c r="J393" s="0" t="s">
        <v>174</v>
      </c>
      <c r="K393" s="0" t="s">
        <v>111</v>
      </c>
      <c r="L393" s="0" t="n">
        <v>226360037</v>
      </c>
      <c r="M393" s="0" t="s">
        <v>740</v>
      </c>
      <c r="N393" s="0" t="n">
        <v>103259775</v>
      </c>
      <c r="O393" s="0" t="n">
        <v>0</v>
      </c>
      <c r="P393" s="0" t="n">
        <v>0</v>
      </c>
      <c r="Q393" s="0" t="e">
        <f aca="false">#N/A</f>
        <v>#N/A</v>
      </c>
    </row>
    <row r="394" customFormat="false" ht="15" hidden="false" customHeight="false" outlineLevel="0" collapsed="false">
      <c r="A394" s="0" t="e">
        <f aca="false">#N/A</f>
        <v>#N/A</v>
      </c>
      <c r="B394" s="0" t="s">
        <v>3418</v>
      </c>
      <c r="C394" s="0" t="s">
        <v>3419</v>
      </c>
      <c r="D394" s="0" t="s">
        <v>2385</v>
      </c>
      <c r="E394" s="0" t="n">
        <v>43336</v>
      </c>
      <c r="F394" s="0" t="s">
        <v>102</v>
      </c>
      <c r="G394" s="0" t="n">
        <v>21356941</v>
      </c>
      <c r="H394" s="0" t="n">
        <v>720193</v>
      </c>
      <c r="I394" s="0" t="s">
        <v>34</v>
      </c>
      <c r="J394" s="0" t="s">
        <v>174</v>
      </c>
      <c r="K394" s="0" t="s">
        <v>111</v>
      </c>
      <c r="L394" s="0" t="n">
        <v>226360037</v>
      </c>
      <c r="M394" s="0" t="s">
        <v>740</v>
      </c>
      <c r="N394" s="0" t="n">
        <v>103259775</v>
      </c>
      <c r="O394" s="0" t="n">
        <v>1</v>
      </c>
      <c r="P394" s="0" t="n">
        <v>0</v>
      </c>
      <c r="Q394" s="0" t="e">
        <f aca="false">#N/A</f>
        <v>#N/A</v>
      </c>
    </row>
    <row r="395" customFormat="false" ht="15" hidden="false" customHeight="false" outlineLevel="0" collapsed="false">
      <c r="A395" s="0" t="e">
        <f aca="false">#N/A</f>
        <v>#N/A</v>
      </c>
      <c r="B395" s="0" t="s">
        <v>3420</v>
      </c>
      <c r="C395" s="0" t="s">
        <v>3421</v>
      </c>
      <c r="D395" s="0" t="s">
        <v>2385</v>
      </c>
      <c r="E395" s="0" t="n">
        <v>43335</v>
      </c>
      <c r="F395" s="0" t="s">
        <v>102</v>
      </c>
      <c r="G395" s="0" t="n">
        <v>21356941</v>
      </c>
      <c r="H395" s="0" t="n">
        <v>720193</v>
      </c>
      <c r="I395" s="0" t="s">
        <v>34</v>
      </c>
      <c r="J395" s="0" t="s">
        <v>174</v>
      </c>
      <c r="K395" s="0" t="s">
        <v>111</v>
      </c>
      <c r="L395" s="0" t="n">
        <v>226360037</v>
      </c>
      <c r="M395" s="0" t="s">
        <v>740</v>
      </c>
      <c r="N395" s="0" t="n">
        <v>103259775</v>
      </c>
      <c r="O395" s="0" t="n">
        <v>3</v>
      </c>
      <c r="P395" s="0" t="n">
        <v>0</v>
      </c>
      <c r="Q395" s="0" t="e">
        <f aca="false">#N/A</f>
        <v>#N/A</v>
      </c>
    </row>
    <row r="396" customFormat="false" ht="15" hidden="false" customHeight="false" outlineLevel="0" collapsed="false">
      <c r="A396" s="0" t="e">
        <f aca="false">#N/A</f>
        <v>#N/A</v>
      </c>
      <c r="B396" s="0" t="s">
        <v>3422</v>
      </c>
      <c r="C396" s="0" t="s">
        <v>3423</v>
      </c>
      <c r="D396" s="0" t="s">
        <v>2385</v>
      </c>
      <c r="E396" s="0" t="n">
        <v>43334</v>
      </c>
      <c r="F396" s="0" t="s">
        <v>102</v>
      </c>
      <c r="G396" s="0" t="n">
        <v>21356941</v>
      </c>
      <c r="H396" s="0" t="n">
        <v>720193</v>
      </c>
      <c r="I396" s="0" t="s">
        <v>34</v>
      </c>
      <c r="J396" s="0" t="s">
        <v>174</v>
      </c>
      <c r="K396" s="0" t="s">
        <v>111</v>
      </c>
      <c r="L396" s="0" t="n">
        <v>226360037</v>
      </c>
      <c r="M396" s="0" t="s">
        <v>740</v>
      </c>
      <c r="N396" s="0" t="n">
        <v>103259775</v>
      </c>
      <c r="O396" s="0" t="n">
        <v>0</v>
      </c>
      <c r="P396" s="0" t="n">
        <v>0</v>
      </c>
      <c r="Q396" s="0" t="e">
        <f aca="false">#N/A</f>
        <v>#N/A</v>
      </c>
    </row>
    <row r="397" customFormat="false" ht="15" hidden="false" customHeight="false" outlineLevel="0" collapsed="false">
      <c r="A397" s="0" t="e">
        <f aca="false">#N/A</f>
        <v>#N/A</v>
      </c>
      <c r="B397" s="0" t="s">
        <v>3424</v>
      </c>
      <c r="C397" s="0" t="s">
        <v>3425</v>
      </c>
      <c r="D397" s="0" t="s">
        <v>2385</v>
      </c>
      <c r="E397" s="0" t="n">
        <v>43333</v>
      </c>
      <c r="F397" s="0" t="s">
        <v>102</v>
      </c>
      <c r="G397" s="0" t="n">
        <v>21356941</v>
      </c>
      <c r="H397" s="0" t="n">
        <v>720193</v>
      </c>
      <c r="I397" s="0" t="s">
        <v>34</v>
      </c>
      <c r="J397" s="0" t="s">
        <v>174</v>
      </c>
      <c r="K397" s="0" t="s">
        <v>111</v>
      </c>
      <c r="L397" s="0" t="n">
        <v>226360037</v>
      </c>
      <c r="M397" s="0" t="s">
        <v>740</v>
      </c>
      <c r="N397" s="0" t="n">
        <v>103259775</v>
      </c>
      <c r="O397" s="0" t="n">
        <v>1</v>
      </c>
      <c r="P397" s="0" t="n">
        <v>0</v>
      </c>
      <c r="Q397" s="0" t="e">
        <f aca="false">#N/A</f>
        <v>#N/A</v>
      </c>
    </row>
    <row r="398" customFormat="false" ht="15" hidden="false" customHeight="false" outlineLevel="0" collapsed="false">
      <c r="A398" s="0" t="e">
        <f aca="false">#N/A</f>
        <v>#N/A</v>
      </c>
      <c r="B398" s="0" t="s">
        <v>3426</v>
      </c>
      <c r="C398" s="0" t="s">
        <v>3427</v>
      </c>
      <c r="D398" s="0" t="s">
        <v>2385</v>
      </c>
      <c r="E398" s="0" t="n">
        <v>43332</v>
      </c>
      <c r="F398" s="0" t="s">
        <v>102</v>
      </c>
      <c r="G398" s="0" t="n">
        <v>21356941</v>
      </c>
      <c r="H398" s="0" t="n">
        <v>720193</v>
      </c>
      <c r="I398" s="0" t="s">
        <v>34</v>
      </c>
      <c r="J398" s="0" t="s">
        <v>174</v>
      </c>
      <c r="K398" s="0" t="s">
        <v>111</v>
      </c>
      <c r="L398" s="0" t="n">
        <v>226360037</v>
      </c>
      <c r="M398" s="0" t="s">
        <v>740</v>
      </c>
      <c r="N398" s="0" t="n">
        <v>103259775</v>
      </c>
      <c r="O398" s="0" t="n">
        <v>1</v>
      </c>
      <c r="P398" s="0" t="n">
        <v>0</v>
      </c>
      <c r="Q398" s="0" t="e">
        <f aca="false">#N/A</f>
        <v>#N/A</v>
      </c>
    </row>
    <row r="399" customFormat="false" ht="15" hidden="false" customHeight="false" outlineLevel="0" collapsed="false">
      <c r="A399" s="0" t="e">
        <f aca="false">#N/A</f>
        <v>#N/A</v>
      </c>
      <c r="B399" s="0" t="s">
        <v>3428</v>
      </c>
      <c r="C399" s="0" t="s">
        <v>3429</v>
      </c>
      <c r="D399" s="0" t="s">
        <v>2385</v>
      </c>
      <c r="E399" s="0" t="n">
        <v>43331</v>
      </c>
      <c r="F399" s="0" t="s">
        <v>102</v>
      </c>
      <c r="G399" s="0" t="n">
        <v>21356941</v>
      </c>
      <c r="H399" s="0" t="n">
        <v>720193</v>
      </c>
      <c r="I399" s="0" t="s">
        <v>34</v>
      </c>
      <c r="J399" s="0" t="s">
        <v>174</v>
      </c>
      <c r="K399" s="0" t="s">
        <v>111</v>
      </c>
      <c r="L399" s="0" t="n">
        <v>226360037</v>
      </c>
      <c r="M399" s="0" t="s">
        <v>740</v>
      </c>
      <c r="N399" s="0" t="n">
        <v>103259775</v>
      </c>
      <c r="O399" s="0" t="n">
        <v>3</v>
      </c>
      <c r="P399" s="0" t="n">
        <v>0</v>
      </c>
      <c r="Q399" s="0" t="e">
        <f aca="false">#N/A</f>
        <v>#N/A</v>
      </c>
    </row>
    <row r="400" customFormat="false" ht="15" hidden="false" customHeight="false" outlineLevel="0" collapsed="false">
      <c r="A400" s="0" t="e">
        <f aca="false">#N/A</f>
        <v>#N/A</v>
      </c>
      <c r="B400" s="0" t="s">
        <v>3430</v>
      </c>
      <c r="C400" s="0" t="s">
        <v>3431</v>
      </c>
      <c r="D400" s="0" t="s">
        <v>2385</v>
      </c>
      <c r="E400" s="0" t="n">
        <v>43337</v>
      </c>
      <c r="F400" s="0" t="s">
        <v>102</v>
      </c>
      <c r="G400" s="0" t="n">
        <v>21356941</v>
      </c>
      <c r="H400" s="0" t="n">
        <v>720193</v>
      </c>
      <c r="I400" s="0" t="s">
        <v>34</v>
      </c>
      <c r="J400" s="0" t="s">
        <v>174</v>
      </c>
      <c r="K400" s="0" t="s">
        <v>112</v>
      </c>
      <c r="L400" s="0" t="n">
        <v>226496107</v>
      </c>
      <c r="M400" s="0" t="s">
        <v>755</v>
      </c>
      <c r="N400" s="0" t="n">
        <v>103259520</v>
      </c>
      <c r="O400" s="0" t="n">
        <v>1</v>
      </c>
      <c r="P400" s="0" t="n">
        <v>0</v>
      </c>
      <c r="Q400" s="0" t="e">
        <f aca="false">#N/A</f>
        <v>#N/A</v>
      </c>
    </row>
    <row r="401" customFormat="false" ht="15" hidden="false" customHeight="false" outlineLevel="0" collapsed="false">
      <c r="A401" s="0" t="e">
        <f aca="false">#N/A</f>
        <v>#N/A</v>
      </c>
      <c r="B401" s="0" t="s">
        <v>3432</v>
      </c>
      <c r="C401" s="0" t="s">
        <v>3433</v>
      </c>
      <c r="D401" s="0" t="s">
        <v>2385</v>
      </c>
      <c r="E401" s="0" t="n">
        <v>43336</v>
      </c>
      <c r="F401" s="0" t="s">
        <v>102</v>
      </c>
      <c r="G401" s="0" t="n">
        <v>21356941</v>
      </c>
      <c r="H401" s="0" t="n">
        <v>720193</v>
      </c>
      <c r="I401" s="0" t="s">
        <v>34</v>
      </c>
      <c r="J401" s="0" t="s">
        <v>174</v>
      </c>
      <c r="K401" s="0" t="s">
        <v>112</v>
      </c>
      <c r="L401" s="0" t="n">
        <v>226496107</v>
      </c>
      <c r="M401" s="0" t="s">
        <v>755</v>
      </c>
      <c r="N401" s="0" t="n">
        <v>103259520</v>
      </c>
      <c r="O401" s="0" t="n">
        <v>5</v>
      </c>
      <c r="P401" s="0" t="n">
        <v>0.02</v>
      </c>
      <c r="Q401" s="0" t="e">
        <f aca="false">#N/A</f>
        <v>#N/A</v>
      </c>
    </row>
    <row r="402" customFormat="false" ht="15" hidden="false" customHeight="false" outlineLevel="0" collapsed="false">
      <c r="A402" s="0" t="e">
        <f aca="false">#N/A</f>
        <v>#N/A</v>
      </c>
      <c r="B402" s="0" t="s">
        <v>3434</v>
      </c>
      <c r="C402" s="0" t="s">
        <v>3435</v>
      </c>
      <c r="D402" s="0" t="s">
        <v>2385</v>
      </c>
      <c r="E402" s="0" t="n">
        <v>43335</v>
      </c>
      <c r="F402" s="0" t="s">
        <v>102</v>
      </c>
      <c r="G402" s="0" t="n">
        <v>21356941</v>
      </c>
      <c r="H402" s="0" t="n">
        <v>720193</v>
      </c>
      <c r="I402" s="0" t="s">
        <v>34</v>
      </c>
      <c r="J402" s="0" t="s">
        <v>174</v>
      </c>
      <c r="K402" s="0" t="s">
        <v>112</v>
      </c>
      <c r="L402" s="0" t="n">
        <v>226496107</v>
      </c>
      <c r="M402" s="0" t="s">
        <v>755</v>
      </c>
      <c r="N402" s="0" t="n">
        <v>103259520</v>
      </c>
      <c r="O402" s="0" t="n">
        <v>8</v>
      </c>
      <c r="P402" s="0" t="n">
        <v>0.01</v>
      </c>
      <c r="Q402" s="0" t="e">
        <f aca="false">#N/A</f>
        <v>#N/A</v>
      </c>
    </row>
    <row r="403" customFormat="false" ht="15" hidden="false" customHeight="false" outlineLevel="0" collapsed="false">
      <c r="A403" s="0" t="e">
        <f aca="false">#N/A</f>
        <v>#N/A</v>
      </c>
      <c r="B403" s="0" t="s">
        <v>3436</v>
      </c>
      <c r="C403" s="0" t="s">
        <v>3437</v>
      </c>
      <c r="D403" s="0" t="s">
        <v>2385</v>
      </c>
      <c r="E403" s="0" t="n">
        <v>43334</v>
      </c>
      <c r="F403" s="0" t="s">
        <v>102</v>
      </c>
      <c r="G403" s="0" t="n">
        <v>21356941</v>
      </c>
      <c r="H403" s="0" t="n">
        <v>720193</v>
      </c>
      <c r="I403" s="0" t="s">
        <v>34</v>
      </c>
      <c r="J403" s="0" t="s">
        <v>174</v>
      </c>
      <c r="K403" s="0" t="s">
        <v>112</v>
      </c>
      <c r="L403" s="0" t="n">
        <v>226496107</v>
      </c>
      <c r="M403" s="0" t="s">
        <v>755</v>
      </c>
      <c r="N403" s="0" t="n">
        <v>103259520</v>
      </c>
      <c r="O403" s="0" t="n">
        <v>1</v>
      </c>
      <c r="P403" s="0" t="n">
        <v>0</v>
      </c>
      <c r="Q403" s="0" t="e">
        <f aca="false">#N/A</f>
        <v>#N/A</v>
      </c>
    </row>
    <row r="404" customFormat="false" ht="15" hidden="false" customHeight="false" outlineLevel="0" collapsed="false">
      <c r="A404" s="0" t="e">
        <f aca="false">#N/A</f>
        <v>#N/A</v>
      </c>
      <c r="B404" s="0" t="s">
        <v>3438</v>
      </c>
      <c r="C404" s="0" t="s">
        <v>3439</v>
      </c>
      <c r="D404" s="0" t="s">
        <v>2385</v>
      </c>
      <c r="E404" s="0" t="n">
        <v>43333</v>
      </c>
      <c r="F404" s="0" t="s">
        <v>102</v>
      </c>
      <c r="G404" s="0" t="n">
        <v>21356941</v>
      </c>
      <c r="H404" s="0" t="n">
        <v>720193</v>
      </c>
      <c r="I404" s="0" t="s">
        <v>34</v>
      </c>
      <c r="J404" s="0" t="s">
        <v>174</v>
      </c>
      <c r="K404" s="0" t="s">
        <v>112</v>
      </c>
      <c r="L404" s="0" t="n">
        <v>226496107</v>
      </c>
      <c r="M404" s="0" t="s">
        <v>755</v>
      </c>
      <c r="N404" s="0" t="n">
        <v>103259520</v>
      </c>
      <c r="O404" s="0" t="n">
        <v>0</v>
      </c>
      <c r="P404" s="0" t="n">
        <v>0</v>
      </c>
      <c r="Q404" s="0" t="e">
        <f aca="false">#N/A</f>
        <v>#N/A</v>
      </c>
    </row>
    <row r="405" customFormat="false" ht="15" hidden="false" customHeight="false" outlineLevel="0" collapsed="false">
      <c r="A405" s="0" t="e">
        <f aca="false">#N/A</f>
        <v>#N/A</v>
      </c>
      <c r="B405" s="0" t="s">
        <v>3440</v>
      </c>
      <c r="C405" s="0" t="s">
        <v>3441</v>
      </c>
      <c r="D405" s="0" t="s">
        <v>2385</v>
      </c>
      <c r="E405" s="0" t="n">
        <v>43332</v>
      </c>
      <c r="F405" s="0" t="s">
        <v>102</v>
      </c>
      <c r="G405" s="0" t="n">
        <v>21356941</v>
      </c>
      <c r="H405" s="0" t="n">
        <v>720193</v>
      </c>
      <c r="I405" s="0" t="s">
        <v>34</v>
      </c>
      <c r="J405" s="0" t="s">
        <v>174</v>
      </c>
      <c r="K405" s="0" t="s">
        <v>112</v>
      </c>
      <c r="L405" s="0" t="n">
        <v>226496107</v>
      </c>
      <c r="M405" s="0" t="s">
        <v>755</v>
      </c>
      <c r="N405" s="0" t="n">
        <v>103259520</v>
      </c>
      <c r="O405" s="0" t="n">
        <v>2</v>
      </c>
      <c r="P405" s="0" t="n">
        <v>0</v>
      </c>
      <c r="Q405" s="0" t="e">
        <f aca="false">#N/A</f>
        <v>#N/A</v>
      </c>
    </row>
    <row r="406" customFormat="false" ht="15" hidden="false" customHeight="false" outlineLevel="0" collapsed="false">
      <c r="A406" s="0" t="e">
        <f aca="false">#N/A</f>
        <v>#N/A</v>
      </c>
      <c r="B406" s="0" t="s">
        <v>3442</v>
      </c>
      <c r="C406" s="0" t="s">
        <v>3443</v>
      </c>
      <c r="D406" s="0" t="s">
        <v>2385</v>
      </c>
      <c r="E406" s="0" t="n">
        <v>43331</v>
      </c>
      <c r="F406" s="0" t="s">
        <v>102</v>
      </c>
      <c r="G406" s="0" t="n">
        <v>21356941</v>
      </c>
      <c r="H406" s="0" t="n">
        <v>720193</v>
      </c>
      <c r="I406" s="0" t="s">
        <v>34</v>
      </c>
      <c r="J406" s="0" t="s">
        <v>174</v>
      </c>
      <c r="K406" s="0" t="s">
        <v>112</v>
      </c>
      <c r="L406" s="0" t="n">
        <v>226496107</v>
      </c>
      <c r="M406" s="0" t="s">
        <v>755</v>
      </c>
      <c r="N406" s="0" t="n">
        <v>103259520</v>
      </c>
      <c r="O406" s="0" t="n">
        <v>2</v>
      </c>
      <c r="P406" s="0" t="n">
        <v>0.01</v>
      </c>
      <c r="Q406" s="0" t="e">
        <f aca="false">#N/A</f>
        <v>#N/A</v>
      </c>
    </row>
    <row r="407" customFormat="false" ht="15" hidden="false" customHeight="false" outlineLevel="0" collapsed="false">
      <c r="A407" s="0" t="e">
        <f aca="false">#N/A</f>
        <v>#N/A</v>
      </c>
      <c r="B407" s="0" t="s">
        <v>3444</v>
      </c>
      <c r="C407" s="0" t="s">
        <v>3445</v>
      </c>
      <c r="D407" s="0" t="s">
        <v>2385</v>
      </c>
      <c r="E407" s="0" t="n">
        <v>43337</v>
      </c>
      <c r="F407" s="0" t="s">
        <v>102</v>
      </c>
      <c r="G407" s="0" t="n">
        <v>21356941</v>
      </c>
      <c r="H407" s="0" t="n">
        <v>720193</v>
      </c>
      <c r="I407" s="0" t="s">
        <v>34</v>
      </c>
      <c r="J407" s="0" t="s">
        <v>174</v>
      </c>
      <c r="K407" s="0" t="s">
        <v>113</v>
      </c>
      <c r="L407" s="0" t="n">
        <v>226496104</v>
      </c>
      <c r="M407" s="0" t="s">
        <v>770</v>
      </c>
      <c r="N407" s="0" t="n">
        <v>103259769</v>
      </c>
      <c r="O407" s="0" t="n">
        <v>0</v>
      </c>
      <c r="P407" s="0" t="n">
        <v>0</v>
      </c>
      <c r="Q407" s="0" t="e">
        <f aca="false">#N/A</f>
        <v>#N/A</v>
      </c>
    </row>
    <row r="408" customFormat="false" ht="15" hidden="false" customHeight="false" outlineLevel="0" collapsed="false">
      <c r="A408" s="0" t="e">
        <f aca="false">#N/A</f>
        <v>#N/A</v>
      </c>
      <c r="B408" s="0" t="s">
        <v>3446</v>
      </c>
      <c r="C408" s="0" t="s">
        <v>3447</v>
      </c>
      <c r="D408" s="0" t="s">
        <v>2385</v>
      </c>
      <c r="E408" s="0" t="n">
        <v>43336</v>
      </c>
      <c r="F408" s="0" t="s">
        <v>102</v>
      </c>
      <c r="G408" s="0" t="n">
        <v>21356941</v>
      </c>
      <c r="H408" s="0" t="n">
        <v>720193</v>
      </c>
      <c r="I408" s="0" t="s">
        <v>34</v>
      </c>
      <c r="J408" s="0" t="s">
        <v>174</v>
      </c>
      <c r="K408" s="0" t="s">
        <v>113</v>
      </c>
      <c r="L408" s="0" t="n">
        <v>226496104</v>
      </c>
      <c r="M408" s="0" t="s">
        <v>770</v>
      </c>
      <c r="N408" s="0" t="n">
        <v>103259769</v>
      </c>
      <c r="O408" s="0" t="n">
        <v>3</v>
      </c>
      <c r="P408" s="0" t="n">
        <v>0</v>
      </c>
      <c r="Q408" s="0" t="e">
        <f aca="false">#N/A</f>
        <v>#N/A</v>
      </c>
    </row>
    <row r="409" customFormat="false" ht="15" hidden="false" customHeight="false" outlineLevel="0" collapsed="false">
      <c r="A409" s="0" t="e">
        <f aca="false">#N/A</f>
        <v>#N/A</v>
      </c>
      <c r="B409" s="0" t="s">
        <v>3448</v>
      </c>
      <c r="C409" s="0" t="s">
        <v>3449</v>
      </c>
      <c r="D409" s="0" t="s">
        <v>2385</v>
      </c>
      <c r="E409" s="0" t="n">
        <v>43335</v>
      </c>
      <c r="F409" s="0" t="s">
        <v>102</v>
      </c>
      <c r="G409" s="0" t="n">
        <v>21356941</v>
      </c>
      <c r="H409" s="0" t="n">
        <v>720193</v>
      </c>
      <c r="I409" s="0" t="s">
        <v>34</v>
      </c>
      <c r="J409" s="0" t="s">
        <v>174</v>
      </c>
      <c r="K409" s="0" t="s">
        <v>113</v>
      </c>
      <c r="L409" s="0" t="n">
        <v>226496104</v>
      </c>
      <c r="M409" s="0" t="s">
        <v>770</v>
      </c>
      <c r="N409" s="0" t="n">
        <v>103259769</v>
      </c>
      <c r="O409" s="0" t="n">
        <v>3</v>
      </c>
      <c r="P409" s="0" t="n">
        <v>0</v>
      </c>
      <c r="Q409" s="0" t="e">
        <f aca="false">#N/A</f>
        <v>#N/A</v>
      </c>
    </row>
    <row r="410" customFormat="false" ht="15" hidden="false" customHeight="false" outlineLevel="0" collapsed="false">
      <c r="A410" s="0" t="e">
        <f aca="false">#N/A</f>
        <v>#N/A</v>
      </c>
      <c r="B410" s="0" t="s">
        <v>3450</v>
      </c>
      <c r="C410" s="0" t="s">
        <v>3451</v>
      </c>
      <c r="D410" s="0" t="s">
        <v>2385</v>
      </c>
      <c r="E410" s="0" t="n">
        <v>43334</v>
      </c>
      <c r="F410" s="0" t="s">
        <v>102</v>
      </c>
      <c r="G410" s="0" t="n">
        <v>21356941</v>
      </c>
      <c r="H410" s="0" t="n">
        <v>720193</v>
      </c>
      <c r="I410" s="0" t="s">
        <v>34</v>
      </c>
      <c r="J410" s="0" t="s">
        <v>174</v>
      </c>
      <c r="K410" s="0" t="s">
        <v>113</v>
      </c>
      <c r="L410" s="0" t="n">
        <v>226496104</v>
      </c>
      <c r="M410" s="0" t="s">
        <v>770</v>
      </c>
      <c r="N410" s="0" t="n">
        <v>103259769</v>
      </c>
      <c r="O410" s="0" t="n">
        <v>4</v>
      </c>
      <c r="P410" s="0" t="n">
        <v>0</v>
      </c>
      <c r="Q410" s="0" t="e">
        <f aca="false">#N/A</f>
        <v>#N/A</v>
      </c>
    </row>
    <row r="411" customFormat="false" ht="15" hidden="false" customHeight="false" outlineLevel="0" collapsed="false">
      <c r="A411" s="0" t="e">
        <f aca="false">#N/A</f>
        <v>#N/A</v>
      </c>
      <c r="B411" s="0" t="s">
        <v>3452</v>
      </c>
      <c r="C411" s="0" t="s">
        <v>3453</v>
      </c>
      <c r="D411" s="0" t="s">
        <v>2385</v>
      </c>
      <c r="E411" s="0" t="n">
        <v>43333</v>
      </c>
      <c r="F411" s="0" t="s">
        <v>102</v>
      </c>
      <c r="G411" s="0" t="n">
        <v>21356941</v>
      </c>
      <c r="H411" s="0" t="n">
        <v>720193</v>
      </c>
      <c r="I411" s="0" t="s">
        <v>34</v>
      </c>
      <c r="J411" s="0" t="s">
        <v>174</v>
      </c>
      <c r="K411" s="0" t="s">
        <v>113</v>
      </c>
      <c r="L411" s="0" t="n">
        <v>226496104</v>
      </c>
      <c r="M411" s="0" t="s">
        <v>770</v>
      </c>
      <c r="N411" s="0" t="n">
        <v>103259769</v>
      </c>
      <c r="O411" s="0" t="n">
        <v>3</v>
      </c>
      <c r="P411" s="0" t="n">
        <v>0</v>
      </c>
      <c r="Q411" s="0" t="e">
        <f aca="false">#N/A</f>
        <v>#N/A</v>
      </c>
    </row>
    <row r="412" customFormat="false" ht="15" hidden="false" customHeight="false" outlineLevel="0" collapsed="false">
      <c r="A412" s="0" t="e">
        <f aca="false">#N/A</f>
        <v>#N/A</v>
      </c>
      <c r="B412" s="0" t="s">
        <v>3454</v>
      </c>
      <c r="C412" s="0" t="s">
        <v>3455</v>
      </c>
      <c r="D412" s="0" t="s">
        <v>2385</v>
      </c>
      <c r="E412" s="0" t="n">
        <v>43332</v>
      </c>
      <c r="F412" s="0" t="s">
        <v>102</v>
      </c>
      <c r="G412" s="0" t="n">
        <v>21356941</v>
      </c>
      <c r="H412" s="0" t="n">
        <v>720193</v>
      </c>
      <c r="I412" s="0" t="s">
        <v>34</v>
      </c>
      <c r="J412" s="0" t="s">
        <v>174</v>
      </c>
      <c r="K412" s="0" t="s">
        <v>113</v>
      </c>
      <c r="L412" s="0" t="n">
        <v>226496104</v>
      </c>
      <c r="M412" s="0" t="s">
        <v>770</v>
      </c>
      <c r="N412" s="0" t="n">
        <v>103259769</v>
      </c>
      <c r="O412" s="0" t="n">
        <v>0</v>
      </c>
      <c r="P412" s="0" t="n">
        <v>0</v>
      </c>
      <c r="Q412" s="0" t="e">
        <f aca="false">#N/A</f>
        <v>#N/A</v>
      </c>
    </row>
    <row r="413" customFormat="false" ht="15" hidden="false" customHeight="false" outlineLevel="0" collapsed="false">
      <c r="A413" s="0" t="e">
        <f aca="false">#N/A</f>
        <v>#N/A</v>
      </c>
      <c r="B413" s="0" t="s">
        <v>3456</v>
      </c>
      <c r="C413" s="0" t="s">
        <v>3457</v>
      </c>
      <c r="D413" s="0" t="s">
        <v>2385</v>
      </c>
      <c r="E413" s="0" t="n">
        <v>43331</v>
      </c>
      <c r="F413" s="0" t="s">
        <v>102</v>
      </c>
      <c r="G413" s="0" t="n">
        <v>21356941</v>
      </c>
      <c r="H413" s="0" t="n">
        <v>720193</v>
      </c>
      <c r="I413" s="0" t="s">
        <v>34</v>
      </c>
      <c r="J413" s="0" t="s">
        <v>174</v>
      </c>
      <c r="K413" s="0" t="s">
        <v>113</v>
      </c>
      <c r="L413" s="0" t="n">
        <v>226496104</v>
      </c>
      <c r="M413" s="0" t="s">
        <v>770</v>
      </c>
      <c r="N413" s="0" t="n">
        <v>103259769</v>
      </c>
      <c r="O413" s="0" t="n">
        <v>3</v>
      </c>
      <c r="P413" s="0" t="n">
        <v>0.01</v>
      </c>
      <c r="Q413" s="0" t="e">
        <f aca="false">#N/A</f>
        <v>#N/A</v>
      </c>
    </row>
    <row r="414" customFormat="false" ht="15" hidden="false" customHeight="false" outlineLevel="0" collapsed="false">
      <c r="A414" s="0" t="e">
        <f aca="false">#N/A</f>
        <v>#N/A</v>
      </c>
      <c r="B414" s="0" t="s">
        <v>3458</v>
      </c>
      <c r="C414" s="0" t="s">
        <v>3459</v>
      </c>
      <c r="D414" s="0" t="s">
        <v>2385</v>
      </c>
      <c r="E414" s="0" t="n">
        <v>43337</v>
      </c>
      <c r="F414" s="0" t="s">
        <v>102</v>
      </c>
      <c r="G414" s="0" t="n">
        <v>21356941</v>
      </c>
      <c r="H414" s="0" t="n">
        <v>720193</v>
      </c>
      <c r="I414" s="0" t="s">
        <v>34</v>
      </c>
      <c r="J414" s="0" t="s">
        <v>174</v>
      </c>
      <c r="K414" s="0" t="s">
        <v>114</v>
      </c>
      <c r="L414" s="0" t="n">
        <v>226496101</v>
      </c>
      <c r="M414" s="0" t="s">
        <v>785</v>
      </c>
      <c r="N414" s="0" t="n">
        <v>103257810</v>
      </c>
      <c r="O414" s="0" t="n">
        <v>1</v>
      </c>
      <c r="P414" s="0" t="n">
        <v>0</v>
      </c>
      <c r="Q414" s="0" t="e">
        <f aca="false">#N/A</f>
        <v>#N/A</v>
      </c>
    </row>
    <row r="415" customFormat="false" ht="15" hidden="false" customHeight="false" outlineLevel="0" collapsed="false">
      <c r="A415" s="0" t="e">
        <f aca="false">#N/A</f>
        <v>#N/A</v>
      </c>
      <c r="B415" s="0" t="s">
        <v>3460</v>
      </c>
      <c r="C415" s="0" t="s">
        <v>3461</v>
      </c>
      <c r="D415" s="0" t="s">
        <v>2385</v>
      </c>
      <c r="E415" s="0" t="n">
        <v>43336</v>
      </c>
      <c r="F415" s="0" t="s">
        <v>102</v>
      </c>
      <c r="G415" s="0" t="n">
        <v>21356941</v>
      </c>
      <c r="H415" s="0" t="n">
        <v>720193</v>
      </c>
      <c r="I415" s="0" t="s">
        <v>34</v>
      </c>
      <c r="J415" s="0" t="s">
        <v>174</v>
      </c>
      <c r="K415" s="0" t="s">
        <v>114</v>
      </c>
      <c r="L415" s="0" t="n">
        <v>226496101</v>
      </c>
      <c r="M415" s="0" t="s">
        <v>785</v>
      </c>
      <c r="N415" s="0" t="n">
        <v>103257810</v>
      </c>
      <c r="O415" s="0" t="n">
        <v>0</v>
      </c>
      <c r="P415" s="0" t="n">
        <v>0</v>
      </c>
      <c r="Q415" s="0" t="e">
        <f aca="false">#N/A</f>
        <v>#N/A</v>
      </c>
    </row>
    <row r="416" customFormat="false" ht="15" hidden="false" customHeight="false" outlineLevel="0" collapsed="false">
      <c r="A416" s="0" t="e">
        <f aca="false">#N/A</f>
        <v>#N/A</v>
      </c>
      <c r="B416" s="0" t="s">
        <v>3462</v>
      </c>
      <c r="C416" s="0" t="s">
        <v>3463</v>
      </c>
      <c r="D416" s="0" t="s">
        <v>2385</v>
      </c>
      <c r="E416" s="0" t="n">
        <v>43335</v>
      </c>
      <c r="F416" s="0" t="s">
        <v>102</v>
      </c>
      <c r="G416" s="0" t="n">
        <v>21356941</v>
      </c>
      <c r="H416" s="0" t="n">
        <v>720193</v>
      </c>
      <c r="I416" s="0" t="s">
        <v>34</v>
      </c>
      <c r="J416" s="0" t="s">
        <v>174</v>
      </c>
      <c r="K416" s="0" t="s">
        <v>114</v>
      </c>
      <c r="L416" s="0" t="n">
        <v>226496101</v>
      </c>
      <c r="M416" s="0" t="s">
        <v>785</v>
      </c>
      <c r="N416" s="0" t="n">
        <v>103257810</v>
      </c>
      <c r="O416" s="0" t="n">
        <v>1</v>
      </c>
      <c r="P416" s="0" t="n">
        <v>0</v>
      </c>
      <c r="Q416" s="0" t="e">
        <f aca="false">#N/A</f>
        <v>#N/A</v>
      </c>
    </row>
    <row r="417" customFormat="false" ht="15" hidden="false" customHeight="false" outlineLevel="0" collapsed="false">
      <c r="A417" s="0" t="e">
        <f aca="false">#N/A</f>
        <v>#N/A</v>
      </c>
      <c r="B417" s="0" t="s">
        <v>3464</v>
      </c>
      <c r="C417" s="0" t="s">
        <v>3465</v>
      </c>
      <c r="D417" s="0" t="s">
        <v>2385</v>
      </c>
      <c r="E417" s="0" t="n">
        <v>43334</v>
      </c>
      <c r="F417" s="0" t="s">
        <v>102</v>
      </c>
      <c r="G417" s="0" t="n">
        <v>21356941</v>
      </c>
      <c r="H417" s="0" t="n">
        <v>720193</v>
      </c>
      <c r="I417" s="0" t="s">
        <v>34</v>
      </c>
      <c r="J417" s="0" t="s">
        <v>174</v>
      </c>
      <c r="K417" s="0" t="s">
        <v>114</v>
      </c>
      <c r="L417" s="0" t="n">
        <v>226496101</v>
      </c>
      <c r="M417" s="0" t="s">
        <v>785</v>
      </c>
      <c r="N417" s="0" t="n">
        <v>103257810</v>
      </c>
      <c r="O417" s="0" t="n">
        <v>0</v>
      </c>
      <c r="P417" s="0" t="n">
        <v>0</v>
      </c>
      <c r="Q417" s="0" t="e">
        <f aca="false">#N/A</f>
        <v>#N/A</v>
      </c>
    </row>
    <row r="418" customFormat="false" ht="15" hidden="false" customHeight="false" outlineLevel="0" collapsed="false">
      <c r="A418" s="0" t="e">
        <f aca="false">#N/A</f>
        <v>#N/A</v>
      </c>
      <c r="B418" s="0" t="s">
        <v>3466</v>
      </c>
      <c r="C418" s="0" t="s">
        <v>3467</v>
      </c>
      <c r="D418" s="0" t="s">
        <v>2385</v>
      </c>
      <c r="E418" s="0" t="n">
        <v>43333</v>
      </c>
      <c r="F418" s="0" t="s">
        <v>102</v>
      </c>
      <c r="G418" s="0" t="n">
        <v>21356941</v>
      </c>
      <c r="H418" s="0" t="n">
        <v>720193</v>
      </c>
      <c r="I418" s="0" t="s">
        <v>34</v>
      </c>
      <c r="J418" s="0" t="s">
        <v>174</v>
      </c>
      <c r="K418" s="0" t="s">
        <v>114</v>
      </c>
      <c r="L418" s="0" t="n">
        <v>226496101</v>
      </c>
      <c r="M418" s="0" t="s">
        <v>785</v>
      </c>
      <c r="N418" s="0" t="n">
        <v>103257810</v>
      </c>
      <c r="O418" s="0" t="n">
        <v>2</v>
      </c>
      <c r="P418" s="0" t="n">
        <v>0</v>
      </c>
      <c r="Q418" s="0" t="e">
        <f aca="false">#N/A</f>
        <v>#N/A</v>
      </c>
    </row>
    <row r="419" customFormat="false" ht="15" hidden="false" customHeight="false" outlineLevel="0" collapsed="false">
      <c r="A419" s="0" t="e">
        <f aca="false">#N/A</f>
        <v>#N/A</v>
      </c>
      <c r="B419" s="0" t="s">
        <v>3468</v>
      </c>
      <c r="C419" s="0" t="s">
        <v>3469</v>
      </c>
      <c r="D419" s="0" t="s">
        <v>2385</v>
      </c>
      <c r="E419" s="0" t="n">
        <v>43332</v>
      </c>
      <c r="F419" s="0" t="s">
        <v>102</v>
      </c>
      <c r="G419" s="0" t="n">
        <v>21356941</v>
      </c>
      <c r="H419" s="0" t="n">
        <v>720193</v>
      </c>
      <c r="I419" s="0" t="s">
        <v>34</v>
      </c>
      <c r="J419" s="0" t="s">
        <v>174</v>
      </c>
      <c r="K419" s="0" t="s">
        <v>114</v>
      </c>
      <c r="L419" s="0" t="n">
        <v>226496101</v>
      </c>
      <c r="M419" s="0" t="s">
        <v>785</v>
      </c>
      <c r="N419" s="0" t="n">
        <v>103257810</v>
      </c>
      <c r="O419" s="0" t="n">
        <v>2</v>
      </c>
      <c r="P419" s="0" t="n">
        <v>0.01</v>
      </c>
      <c r="Q419" s="0" t="e">
        <f aca="false">#N/A</f>
        <v>#N/A</v>
      </c>
    </row>
    <row r="420" customFormat="false" ht="15" hidden="false" customHeight="false" outlineLevel="0" collapsed="false">
      <c r="A420" s="0" t="e">
        <f aca="false">#N/A</f>
        <v>#N/A</v>
      </c>
      <c r="B420" s="0" t="s">
        <v>3470</v>
      </c>
      <c r="C420" s="0" t="s">
        <v>3471</v>
      </c>
      <c r="D420" s="0" t="s">
        <v>2385</v>
      </c>
      <c r="E420" s="0" t="n">
        <v>43331</v>
      </c>
      <c r="F420" s="0" t="s">
        <v>102</v>
      </c>
      <c r="G420" s="0" t="n">
        <v>21356941</v>
      </c>
      <c r="H420" s="0" t="n">
        <v>720193</v>
      </c>
      <c r="I420" s="0" t="s">
        <v>34</v>
      </c>
      <c r="J420" s="0" t="s">
        <v>174</v>
      </c>
      <c r="K420" s="0" t="s">
        <v>114</v>
      </c>
      <c r="L420" s="0" t="n">
        <v>226496101</v>
      </c>
      <c r="M420" s="0" t="s">
        <v>785</v>
      </c>
      <c r="N420" s="0" t="n">
        <v>103257810</v>
      </c>
      <c r="O420" s="0" t="n">
        <v>2</v>
      </c>
      <c r="P420" s="0" t="n">
        <v>0</v>
      </c>
      <c r="Q420" s="0" t="e">
        <f aca="false">#N/A</f>
        <v>#N/A</v>
      </c>
    </row>
    <row r="421" customFormat="false" ht="15" hidden="false" customHeight="false" outlineLevel="0" collapsed="false">
      <c r="A421" s="0" t="e">
        <f aca="false">#N/A</f>
        <v>#N/A</v>
      </c>
      <c r="B421" s="0" t="s">
        <v>3472</v>
      </c>
      <c r="C421" s="0" t="s">
        <v>3473</v>
      </c>
      <c r="D421" s="0" t="s">
        <v>2385</v>
      </c>
      <c r="E421" s="0" t="n">
        <v>43337</v>
      </c>
      <c r="F421" s="0" t="s">
        <v>102</v>
      </c>
      <c r="G421" s="0" t="n">
        <v>21356941</v>
      </c>
      <c r="H421" s="0" t="n">
        <v>720193</v>
      </c>
      <c r="I421" s="0" t="s">
        <v>34</v>
      </c>
      <c r="J421" s="0" t="s">
        <v>174</v>
      </c>
      <c r="K421" s="0" t="s">
        <v>115</v>
      </c>
      <c r="L421" s="0" t="n">
        <v>226496098</v>
      </c>
      <c r="M421" s="0" t="s">
        <v>886</v>
      </c>
      <c r="N421" s="0" t="n">
        <v>104458165</v>
      </c>
      <c r="O421" s="0" t="n">
        <v>0</v>
      </c>
      <c r="P421" s="0" t="n">
        <v>0</v>
      </c>
      <c r="Q421" s="0" t="e">
        <f aca="false">#N/A</f>
        <v>#N/A</v>
      </c>
    </row>
    <row r="422" customFormat="false" ht="15" hidden="false" customHeight="false" outlineLevel="0" collapsed="false">
      <c r="A422" s="0" t="e">
        <f aca="false">#N/A</f>
        <v>#N/A</v>
      </c>
      <c r="B422" s="0" t="s">
        <v>3474</v>
      </c>
      <c r="C422" s="0" t="s">
        <v>3475</v>
      </c>
      <c r="D422" s="0" t="s">
        <v>2385</v>
      </c>
      <c r="E422" s="0" t="n">
        <v>43336</v>
      </c>
      <c r="F422" s="0" t="s">
        <v>102</v>
      </c>
      <c r="G422" s="0" t="n">
        <v>21356941</v>
      </c>
      <c r="H422" s="0" t="n">
        <v>720193</v>
      </c>
      <c r="I422" s="0" t="s">
        <v>34</v>
      </c>
      <c r="J422" s="0" t="s">
        <v>174</v>
      </c>
      <c r="K422" s="0" t="s">
        <v>115</v>
      </c>
      <c r="L422" s="0" t="n">
        <v>226496098</v>
      </c>
      <c r="M422" s="0" t="s">
        <v>886</v>
      </c>
      <c r="N422" s="0" t="n">
        <v>104458165</v>
      </c>
      <c r="O422" s="0" t="n">
        <v>0</v>
      </c>
      <c r="P422" s="0" t="n">
        <v>0</v>
      </c>
      <c r="Q422" s="0" t="e">
        <f aca="false">#N/A</f>
        <v>#N/A</v>
      </c>
    </row>
    <row r="423" customFormat="false" ht="15" hidden="false" customHeight="false" outlineLevel="0" collapsed="false">
      <c r="A423" s="0" t="e">
        <f aca="false">#N/A</f>
        <v>#N/A</v>
      </c>
      <c r="B423" s="0" t="s">
        <v>3476</v>
      </c>
      <c r="C423" s="0" t="s">
        <v>3477</v>
      </c>
      <c r="D423" s="0" t="s">
        <v>2385</v>
      </c>
      <c r="E423" s="0" t="n">
        <v>43335</v>
      </c>
      <c r="F423" s="0" t="s">
        <v>102</v>
      </c>
      <c r="G423" s="0" t="n">
        <v>21356941</v>
      </c>
      <c r="H423" s="0" t="n">
        <v>720193</v>
      </c>
      <c r="I423" s="0" t="s">
        <v>34</v>
      </c>
      <c r="J423" s="0" t="s">
        <v>174</v>
      </c>
      <c r="K423" s="0" t="s">
        <v>115</v>
      </c>
      <c r="L423" s="0" t="n">
        <v>226496098</v>
      </c>
      <c r="M423" s="0" t="s">
        <v>886</v>
      </c>
      <c r="N423" s="0" t="n">
        <v>104458165</v>
      </c>
      <c r="O423" s="0" t="n">
        <v>1</v>
      </c>
      <c r="P423" s="0" t="n">
        <v>0.01</v>
      </c>
      <c r="Q423" s="0" t="e">
        <f aca="false">#N/A</f>
        <v>#N/A</v>
      </c>
    </row>
    <row r="424" customFormat="false" ht="15" hidden="false" customHeight="false" outlineLevel="0" collapsed="false">
      <c r="A424" s="0" t="e">
        <f aca="false">#N/A</f>
        <v>#N/A</v>
      </c>
      <c r="B424" s="0" t="s">
        <v>3478</v>
      </c>
      <c r="C424" s="0" t="s">
        <v>3479</v>
      </c>
      <c r="D424" s="0" t="s">
        <v>2385</v>
      </c>
      <c r="E424" s="0" t="n">
        <v>43334</v>
      </c>
      <c r="F424" s="0" t="s">
        <v>102</v>
      </c>
      <c r="G424" s="0" t="n">
        <v>21356941</v>
      </c>
      <c r="H424" s="0" t="n">
        <v>720193</v>
      </c>
      <c r="I424" s="0" t="s">
        <v>34</v>
      </c>
      <c r="J424" s="0" t="s">
        <v>174</v>
      </c>
      <c r="K424" s="0" t="s">
        <v>115</v>
      </c>
      <c r="L424" s="0" t="n">
        <v>226496098</v>
      </c>
      <c r="M424" s="0" t="s">
        <v>886</v>
      </c>
      <c r="N424" s="0" t="n">
        <v>104458165</v>
      </c>
      <c r="O424" s="0" t="n">
        <v>0</v>
      </c>
      <c r="P424" s="0" t="n">
        <v>0</v>
      </c>
      <c r="Q424" s="0" t="e">
        <f aca="false">#N/A</f>
        <v>#N/A</v>
      </c>
    </row>
    <row r="425" customFormat="false" ht="15" hidden="false" customHeight="false" outlineLevel="0" collapsed="false">
      <c r="A425" s="0" t="e">
        <f aca="false">#N/A</f>
        <v>#N/A</v>
      </c>
      <c r="B425" s="0" t="s">
        <v>3480</v>
      </c>
      <c r="C425" s="0" t="s">
        <v>3481</v>
      </c>
      <c r="D425" s="0" t="s">
        <v>2385</v>
      </c>
      <c r="E425" s="0" t="n">
        <v>43333</v>
      </c>
      <c r="F425" s="0" t="s">
        <v>102</v>
      </c>
      <c r="G425" s="0" t="n">
        <v>21356941</v>
      </c>
      <c r="H425" s="0" t="n">
        <v>720193</v>
      </c>
      <c r="I425" s="0" t="s">
        <v>34</v>
      </c>
      <c r="J425" s="0" t="s">
        <v>174</v>
      </c>
      <c r="K425" s="0" t="s">
        <v>115</v>
      </c>
      <c r="L425" s="0" t="n">
        <v>226496098</v>
      </c>
      <c r="M425" s="0" t="s">
        <v>886</v>
      </c>
      <c r="N425" s="0" t="n">
        <v>104458165</v>
      </c>
      <c r="O425" s="0" t="n">
        <v>0</v>
      </c>
      <c r="P425" s="0" t="n">
        <v>0</v>
      </c>
      <c r="Q425" s="0" t="e">
        <f aca="false">#N/A</f>
        <v>#N/A</v>
      </c>
    </row>
    <row r="426" customFormat="false" ht="15" hidden="false" customHeight="false" outlineLevel="0" collapsed="false">
      <c r="A426" s="0" t="e">
        <f aca="false">#N/A</f>
        <v>#N/A</v>
      </c>
      <c r="B426" s="0" t="s">
        <v>3482</v>
      </c>
      <c r="C426" s="0" t="s">
        <v>3483</v>
      </c>
      <c r="D426" s="0" t="s">
        <v>2385</v>
      </c>
      <c r="E426" s="0" t="n">
        <v>43332</v>
      </c>
      <c r="F426" s="0" t="s">
        <v>102</v>
      </c>
      <c r="G426" s="0" t="n">
        <v>21356941</v>
      </c>
      <c r="H426" s="0" t="n">
        <v>720193</v>
      </c>
      <c r="I426" s="0" t="s">
        <v>34</v>
      </c>
      <c r="J426" s="0" t="s">
        <v>174</v>
      </c>
      <c r="K426" s="0" t="s">
        <v>115</v>
      </c>
      <c r="L426" s="0" t="n">
        <v>226496098</v>
      </c>
      <c r="M426" s="0" t="s">
        <v>886</v>
      </c>
      <c r="N426" s="0" t="n">
        <v>104458165</v>
      </c>
      <c r="O426" s="0" t="n">
        <v>0</v>
      </c>
      <c r="P426" s="0" t="n">
        <v>0</v>
      </c>
      <c r="Q426" s="0" t="e">
        <f aca="false">#N/A</f>
        <v>#N/A</v>
      </c>
    </row>
    <row r="427" customFormat="false" ht="15" hidden="false" customHeight="false" outlineLevel="0" collapsed="false">
      <c r="A427" s="0" t="e">
        <f aca="false">#N/A</f>
        <v>#N/A</v>
      </c>
      <c r="B427" s="0" t="s">
        <v>3484</v>
      </c>
      <c r="C427" s="0" t="s">
        <v>3485</v>
      </c>
      <c r="D427" s="0" t="s">
        <v>2385</v>
      </c>
      <c r="E427" s="0" t="n">
        <v>43331</v>
      </c>
      <c r="F427" s="0" t="s">
        <v>102</v>
      </c>
      <c r="G427" s="0" t="n">
        <v>21356941</v>
      </c>
      <c r="H427" s="0" t="n">
        <v>720193</v>
      </c>
      <c r="I427" s="0" t="s">
        <v>34</v>
      </c>
      <c r="J427" s="0" t="s">
        <v>174</v>
      </c>
      <c r="K427" s="0" t="s">
        <v>115</v>
      </c>
      <c r="L427" s="0" t="n">
        <v>226496098</v>
      </c>
      <c r="M427" s="0" t="s">
        <v>886</v>
      </c>
      <c r="N427" s="0" t="n">
        <v>104458165</v>
      </c>
      <c r="O427" s="0" t="n">
        <v>0</v>
      </c>
      <c r="P427" s="0" t="n">
        <v>0</v>
      </c>
      <c r="Q427" s="0" t="e">
        <f aca="false">#N/A</f>
        <v>#N/A</v>
      </c>
    </row>
    <row r="428" customFormat="false" ht="15" hidden="false" customHeight="false" outlineLevel="0" collapsed="false">
      <c r="A428" s="0" t="e">
        <f aca="false">#N/A</f>
        <v>#N/A</v>
      </c>
      <c r="B428" s="0" t="s">
        <v>3486</v>
      </c>
      <c r="C428" s="0" t="s">
        <v>3487</v>
      </c>
      <c r="D428" s="0" t="s">
        <v>2385</v>
      </c>
      <c r="E428" s="0" t="n">
        <v>43337</v>
      </c>
      <c r="F428" s="0" t="s">
        <v>102</v>
      </c>
      <c r="G428" s="0" t="n">
        <v>21356941</v>
      </c>
      <c r="H428" s="0" t="n">
        <v>720193</v>
      </c>
      <c r="I428" s="0" t="s">
        <v>34</v>
      </c>
      <c r="J428" s="0" t="s">
        <v>174</v>
      </c>
      <c r="K428" s="0" t="s">
        <v>116</v>
      </c>
      <c r="L428" s="0" t="n">
        <v>226496095</v>
      </c>
      <c r="M428" s="0" t="s">
        <v>815</v>
      </c>
      <c r="N428" s="0" t="n">
        <v>103376990</v>
      </c>
      <c r="O428" s="0" t="n">
        <v>1</v>
      </c>
      <c r="P428" s="0" t="n">
        <v>0</v>
      </c>
      <c r="Q428" s="0" t="e">
        <f aca="false">#N/A</f>
        <v>#N/A</v>
      </c>
    </row>
    <row r="429" customFormat="false" ht="15" hidden="false" customHeight="false" outlineLevel="0" collapsed="false">
      <c r="A429" s="0" t="e">
        <f aca="false">#N/A</f>
        <v>#N/A</v>
      </c>
      <c r="B429" s="0" t="s">
        <v>3488</v>
      </c>
      <c r="C429" s="0" t="s">
        <v>3489</v>
      </c>
      <c r="D429" s="0" t="s">
        <v>2385</v>
      </c>
      <c r="E429" s="0" t="n">
        <v>43336</v>
      </c>
      <c r="F429" s="0" t="s">
        <v>102</v>
      </c>
      <c r="G429" s="0" t="n">
        <v>21356941</v>
      </c>
      <c r="H429" s="0" t="n">
        <v>720193</v>
      </c>
      <c r="I429" s="0" t="s">
        <v>34</v>
      </c>
      <c r="J429" s="0" t="s">
        <v>174</v>
      </c>
      <c r="K429" s="0" t="s">
        <v>116</v>
      </c>
      <c r="L429" s="0" t="n">
        <v>226496095</v>
      </c>
      <c r="M429" s="0" t="s">
        <v>815</v>
      </c>
      <c r="N429" s="0" t="n">
        <v>103376990</v>
      </c>
      <c r="O429" s="0" t="n">
        <v>0</v>
      </c>
      <c r="P429" s="0" t="n">
        <v>0</v>
      </c>
      <c r="Q429" s="0" t="e">
        <f aca="false">#N/A</f>
        <v>#N/A</v>
      </c>
    </row>
    <row r="430" customFormat="false" ht="15" hidden="false" customHeight="false" outlineLevel="0" collapsed="false">
      <c r="A430" s="0" t="e">
        <f aca="false">#N/A</f>
        <v>#N/A</v>
      </c>
      <c r="B430" s="0" t="s">
        <v>3490</v>
      </c>
      <c r="C430" s="0" t="s">
        <v>3491</v>
      </c>
      <c r="D430" s="0" t="s">
        <v>2385</v>
      </c>
      <c r="E430" s="0" t="n">
        <v>43335</v>
      </c>
      <c r="F430" s="0" t="s">
        <v>102</v>
      </c>
      <c r="G430" s="0" t="n">
        <v>21356941</v>
      </c>
      <c r="H430" s="0" t="n">
        <v>720193</v>
      </c>
      <c r="I430" s="0" t="s">
        <v>34</v>
      </c>
      <c r="J430" s="0" t="s">
        <v>174</v>
      </c>
      <c r="K430" s="0" t="s">
        <v>116</v>
      </c>
      <c r="L430" s="0" t="n">
        <v>226496095</v>
      </c>
      <c r="M430" s="0" t="s">
        <v>815</v>
      </c>
      <c r="N430" s="0" t="n">
        <v>103376990</v>
      </c>
      <c r="O430" s="0" t="n">
        <v>3</v>
      </c>
      <c r="P430" s="0" t="n">
        <v>0</v>
      </c>
      <c r="Q430" s="0" t="e">
        <f aca="false">#N/A</f>
        <v>#N/A</v>
      </c>
    </row>
    <row r="431" customFormat="false" ht="15" hidden="false" customHeight="false" outlineLevel="0" collapsed="false">
      <c r="A431" s="0" t="e">
        <f aca="false">#N/A</f>
        <v>#N/A</v>
      </c>
      <c r="B431" s="0" t="s">
        <v>3492</v>
      </c>
      <c r="C431" s="0" t="s">
        <v>3493</v>
      </c>
      <c r="D431" s="0" t="s">
        <v>2385</v>
      </c>
      <c r="E431" s="0" t="n">
        <v>43334</v>
      </c>
      <c r="F431" s="0" t="s">
        <v>102</v>
      </c>
      <c r="G431" s="0" t="n">
        <v>21356941</v>
      </c>
      <c r="H431" s="0" t="n">
        <v>720193</v>
      </c>
      <c r="I431" s="0" t="s">
        <v>34</v>
      </c>
      <c r="J431" s="0" t="s">
        <v>174</v>
      </c>
      <c r="K431" s="0" t="s">
        <v>116</v>
      </c>
      <c r="L431" s="0" t="n">
        <v>226496095</v>
      </c>
      <c r="M431" s="0" t="s">
        <v>815</v>
      </c>
      <c r="N431" s="0" t="n">
        <v>103376990</v>
      </c>
      <c r="O431" s="0" t="n">
        <v>1</v>
      </c>
      <c r="P431" s="0" t="n">
        <v>0</v>
      </c>
      <c r="Q431" s="0" t="e">
        <f aca="false">#N/A</f>
        <v>#N/A</v>
      </c>
    </row>
    <row r="432" customFormat="false" ht="15" hidden="false" customHeight="false" outlineLevel="0" collapsed="false">
      <c r="A432" s="0" t="e">
        <f aca="false">#N/A</f>
        <v>#N/A</v>
      </c>
      <c r="B432" s="0" t="s">
        <v>3494</v>
      </c>
      <c r="C432" s="0" t="s">
        <v>3495</v>
      </c>
      <c r="D432" s="0" t="s">
        <v>2385</v>
      </c>
      <c r="E432" s="0" t="n">
        <v>43333</v>
      </c>
      <c r="F432" s="0" t="s">
        <v>102</v>
      </c>
      <c r="G432" s="0" t="n">
        <v>21356941</v>
      </c>
      <c r="H432" s="0" t="n">
        <v>720193</v>
      </c>
      <c r="I432" s="0" t="s">
        <v>34</v>
      </c>
      <c r="J432" s="0" t="s">
        <v>174</v>
      </c>
      <c r="K432" s="0" t="s">
        <v>116</v>
      </c>
      <c r="L432" s="0" t="n">
        <v>226496095</v>
      </c>
      <c r="M432" s="0" t="s">
        <v>815</v>
      </c>
      <c r="N432" s="0" t="n">
        <v>103376990</v>
      </c>
      <c r="O432" s="0" t="n">
        <v>1</v>
      </c>
      <c r="P432" s="0" t="n">
        <v>0</v>
      </c>
      <c r="Q432" s="0" t="e">
        <f aca="false">#N/A</f>
        <v>#N/A</v>
      </c>
    </row>
    <row r="433" customFormat="false" ht="15" hidden="false" customHeight="false" outlineLevel="0" collapsed="false">
      <c r="A433" s="0" t="e">
        <f aca="false">#N/A</f>
        <v>#N/A</v>
      </c>
      <c r="B433" s="0" t="s">
        <v>3496</v>
      </c>
      <c r="C433" s="0" t="s">
        <v>3497</v>
      </c>
      <c r="D433" s="0" t="s">
        <v>2385</v>
      </c>
      <c r="E433" s="0" t="n">
        <v>43332</v>
      </c>
      <c r="F433" s="0" t="s">
        <v>102</v>
      </c>
      <c r="G433" s="0" t="n">
        <v>21356941</v>
      </c>
      <c r="H433" s="0" t="n">
        <v>720193</v>
      </c>
      <c r="I433" s="0" t="s">
        <v>34</v>
      </c>
      <c r="J433" s="0" t="s">
        <v>174</v>
      </c>
      <c r="K433" s="0" t="s">
        <v>116</v>
      </c>
      <c r="L433" s="0" t="n">
        <v>226496095</v>
      </c>
      <c r="M433" s="0" t="s">
        <v>815</v>
      </c>
      <c r="N433" s="0" t="n">
        <v>103376990</v>
      </c>
      <c r="O433" s="0" t="n">
        <v>2</v>
      </c>
      <c r="P433" s="0" t="n">
        <v>0</v>
      </c>
      <c r="Q433" s="0" t="e">
        <f aca="false">#N/A</f>
        <v>#N/A</v>
      </c>
    </row>
    <row r="434" customFormat="false" ht="15" hidden="false" customHeight="false" outlineLevel="0" collapsed="false">
      <c r="A434" s="0" t="e">
        <f aca="false">#N/A</f>
        <v>#N/A</v>
      </c>
      <c r="B434" s="0" t="s">
        <v>3498</v>
      </c>
      <c r="C434" s="0" t="s">
        <v>3499</v>
      </c>
      <c r="D434" s="0" t="s">
        <v>2385</v>
      </c>
      <c r="E434" s="0" t="n">
        <v>43331</v>
      </c>
      <c r="F434" s="0" t="s">
        <v>102</v>
      </c>
      <c r="G434" s="0" t="n">
        <v>21356941</v>
      </c>
      <c r="H434" s="0" t="n">
        <v>720193</v>
      </c>
      <c r="I434" s="0" t="s">
        <v>34</v>
      </c>
      <c r="J434" s="0" t="s">
        <v>174</v>
      </c>
      <c r="K434" s="0" t="s">
        <v>116</v>
      </c>
      <c r="L434" s="0" t="n">
        <v>226496095</v>
      </c>
      <c r="M434" s="0" t="s">
        <v>815</v>
      </c>
      <c r="N434" s="0" t="n">
        <v>103376990</v>
      </c>
      <c r="O434" s="0" t="n">
        <v>2</v>
      </c>
      <c r="P434" s="0" t="n">
        <v>0.03</v>
      </c>
      <c r="Q434" s="0" t="e">
        <f aca="false">#N/A</f>
        <v>#N/A</v>
      </c>
    </row>
    <row r="435" customFormat="false" ht="15" hidden="false" customHeight="false" outlineLevel="0" collapsed="false">
      <c r="A435" s="0" t="e">
        <f aca="false">#N/A</f>
        <v>#N/A</v>
      </c>
      <c r="B435" s="0" t="s">
        <v>3500</v>
      </c>
      <c r="C435" s="0" t="s">
        <v>3501</v>
      </c>
      <c r="D435" s="0" t="s">
        <v>2385</v>
      </c>
      <c r="E435" s="0" t="n">
        <v>43337</v>
      </c>
      <c r="F435" s="0" t="s">
        <v>102</v>
      </c>
      <c r="G435" s="0" t="n">
        <v>21356941</v>
      </c>
      <c r="H435" s="0" t="n">
        <v>720193</v>
      </c>
      <c r="I435" s="0" t="s">
        <v>34</v>
      </c>
      <c r="J435" s="0" t="s">
        <v>174</v>
      </c>
      <c r="K435" s="0" t="s">
        <v>117</v>
      </c>
      <c r="L435" s="0" t="n">
        <v>224560866</v>
      </c>
      <c r="M435" s="0" t="s">
        <v>915</v>
      </c>
      <c r="N435" s="0" t="n">
        <v>103259784</v>
      </c>
      <c r="O435" s="0" t="n">
        <v>0</v>
      </c>
      <c r="P435" s="0" t="n">
        <v>0</v>
      </c>
      <c r="Q435" s="0" t="e">
        <f aca="false">#N/A</f>
        <v>#N/A</v>
      </c>
    </row>
    <row r="436" customFormat="false" ht="15" hidden="false" customHeight="false" outlineLevel="0" collapsed="false">
      <c r="A436" s="0" t="e">
        <f aca="false">#N/A</f>
        <v>#N/A</v>
      </c>
      <c r="B436" s="0" t="s">
        <v>3502</v>
      </c>
      <c r="C436" s="0" t="s">
        <v>3503</v>
      </c>
      <c r="D436" s="0" t="s">
        <v>2385</v>
      </c>
      <c r="E436" s="0" t="n">
        <v>43336</v>
      </c>
      <c r="F436" s="0" t="s">
        <v>102</v>
      </c>
      <c r="G436" s="0" t="n">
        <v>21356941</v>
      </c>
      <c r="H436" s="0" t="n">
        <v>720193</v>
      </c>
      <c r="I436" s="0" t="s">
        <v>34</v>
      </c>
      <c r="J436" s="0" t="s">
        <v>174</v>
      </c>
      <c r="K436" s="0" t="s">
        <v>117</v>
      </c>
      <c r="L436" s="0" t="n">
        <v>224560866</v>
      </c>
      <c r="M436" s="0" t="s">
        <v>915</v>
      </c>
      <c r="N436" s="0" t="n">
        <v>103259784</v>
      </c>
      <c r="O436" s="0" t="n">
        <v>0</v>
      </c>
      <c r="P436" s="0" t="n">
        <v>0</v>
      </c>
      <c r="Q436" s="0" t="e">
        <f aca="false">#N/A</f>
        <v>#N/A</v>
      </c>
    </row>
    <row r="437" customFormat="false" ht="15" hidden="false" customHeight="false" outlineLevel="0" collapsed="false">
      <c r="A437" s="0" t="e">
        <f aca="false">#N/A</f>
        <v>#N/A</v>
      </c>
      <c r="B437" s="0" t="s">
        <v>3504</v>
      </c>
      <c r="C437" s="0" t="s">
        <v>3505</v>
      </c>
      <c r="D437" s="0" t="s">
        <v>2385</v>
      </c>
      <c r="E437" s="0" t="n">
        <v>43335</v>
      </c>
      <c r="F437" s="0" t="s">
        <v>102</v>
      </c>
      <c r="G437" s="0" t="n">
        <v>21356941</v>
      </c>
      <c r="H437" s="0" t="n">
        <v>720193</v>
      </c>
      <c r="I437" s="0" t="s">
        <v>34</v>
      </c>
      <c r="J437" s="0" t="s">
        <v>174</v>
      </c>
      <c r="K437" s="0" t="s">
        <v>117</v>
      </c>
      <c r="L437" s="0" t="n">
        <v>224560866</v>
      </c>
      <c r="M437" s="0" t="s">
        <v>915</v>
      </c>
      <c r="N437" s="0" t="n">
        <v>103259784</v>
      </c>
      <c r="O437" s="0" t="n">
        <v>0</v>
      </c>
      <c r="P437" s="0" t="n">
        <v>0</v>
      </c>
      <c r="Q437" s="0" t="e">
        <f aca="false">#N/A</f>
        <v>#N/A</v>
      </c>
    </row>
    <row r="438" customFormat="false" ht="15" hidden="false" customHeight="false" outlineLevel="0" collapsed="false">
      <c r="A438" s="0" t="e">
        <f aca="false">#N/A</f>
        <v>#N/A</v>
      </c>
      <c r="B438" s="0" t="s">
        <v>3506</v>
      </c>
      <c r="C438" s="0" t="s">
        <v>3507</v>
      </c>
      <c r="D438" s="0" t="s">
        <v>2385</v>
      </c>
      <c r="E438" s="0" t="n">
        <v>43334</v>
      </c>
      <c r="F438" s="0" t="s">
        <v>102</v>
      </c>
      <c r="G438" s="0" t="n">
        <v>21356941</v>
      </c>
      <c r="H438" s="0" t="n">
        <v>720193</v>
      </c>
      <c r="I438" s="0" t="s">
        <v>34</v>
      </c>
      <c r="J438" s="0" t="s">
        <v>174</v>
      </c>
      <c r="K438" s="0" t="s">
        <v>117</v>
      </c>
      <c r="L438" s="0" t="n">
        <v>224560866</v>
      </c>
      <c r="M438" s="0" t="s">
        <v>915</v>
      </c>
      <c r="N438" s="0" t="n">
        <v>103259784</v>
      </c>
      <c r="O438" s="0" t="n">
        <v>0</v>
      </c>
      <c r="P438" s="0" t="n">
        <v>0</v>
      </c>
      <c r="Q438" s="0" t="e">
        <f aca="false">#N/A</f>
        <v>#N/A</v>
      </c>
    </row>
    <row r="439" customFormat="false" ht="15" hidden="false" customHeight="false" outlineLevel="0" collapsed="false">
      <c r="A439" s="0" t="e">
        <f aca="false">#N/A</f>
        <v>#N/A</v>
      </c>
      <c r="B439" s="0" t="s">
        <v>3508</v>
      </c>
      <c r="C439" s="0" t="s">
        <v>3509</v>
      </c>
      <c r="D439" s="0" t="s">
        <v>2385</v>
      </c>
      <c r="E439" s="0" t="n">
        <v>43333</v>
      </c>
      <c r="F439" s="0" t="s">
        <v>102</v>
      </c>
      <c r="G439" s="0" t="n">
        <v>21356941</v>
      </c>
      <c r="H439" s="0" t="n">
        <v>720193</v>
      </c>
      <c r="I439" s="0" t="s">
        <v>34</v>
      </c>
      <c r="J439" s="0" t="s">
        <v>174</v>
      </c>
      <c r="K439" s="0" t="s">
        <v>117</v>
      </c>
      <c r="L439" s="0" t="n">
        <v>224560866</v>
      </c>
      <c r="M439" s="0" t="s">
        <v>915</v>
      </c>
      <c r="N439" s="0" t="n">
        <v>103259784</v>
      </c>
      <c r="O439" s="0" t="n">
        <v>0</v>
      </c>
      <c r="P439" s="0" t="n">
        <v>0</v>
      </c>
      <c r="Q439" s="0" t="e">
        <f aca="false">#N/A</f>
        <v>#N/A</v>
      </c>
    </row>
    <row r="440" customFormat="false" ht="15" hidden="false" customHeight="false" outlineLevel="0" collapsed="false">
      <c r="A440" s="0" t="e">
        <f aca="false">#N/A</f>
        <v>#N/A</v>
      </c>
      <c r="B440" s="0" t="s">
        <v>3510</v>
      </c>
      <c r="C440" s="0" t="s">
        <v>3511</v>
      </c>
      <c r="D440" s="0" t="s">
        <v>2385</v>
      </c>
      <c r="E440" s="0" t="n">
        <v>43332</v>
      </c>
      <c r="F440" s="0" t="s">
        <v>102</v>
      </c>
      <c r="G440" s="0" t="n">
        <v>21356941</v>
      </c>
      <c r="H440" s="0" t="n">
        <v>720193</v>
      </c>
      <c r="I440" s="0" t="s">
        <v>34</v>
      </c>
      <c r="J440" s="0" t="s">
        <v>174</v>
      </c>
      <c r="K440" s="0" t="s">
        <v>117</v>
      </c>
      <c r="L440" s="0" t="n">
        <v>224560866</v>
      </c>
      <c r="M440" s="0" t="s">
        <v>915</v>
      </c>
      <c r="N440" s="0" t="n">
        <v>103259784</v>
      </c>
      <c r="O440" s="0" t="n">
        <v>0</v>
      </c>
      <c r="P440" s="0" t="n">
        <v>0</v>
      </c>
      <c r="Q440" s="0" t="e">
        <f aca="false">#N/A</f>
        <v>#N/A</v>
      </c>
    </row>
    <row r="441" customFormat="false" ht="15" hidden="false" customHeight="false" outlineLevel="0" collapsed="false">
      <c r="A441" s="0" t="e">
        <f aca="false">#N/A</f>
        <v>#N/A</v>
      </c>
      <c r="B441" s="0" t="s">
        <v>3512</v>
      </c>
      <c r="C441" s="0" t="s">
        <v>3513</v>
      </c>
      <c r="D441" s="0" t="s">
        <v>2385</v>
      </c>
      <c r="E441" s="0" t="n">
        <v>43331</v>
      </c>
      <c r="F441" s="0" t="s">
        <v>102</v>
      </c>
      <c r="G441" s="0" t="n">
        <v>21356941</v>
      </c>
      <c r="H441" s="0" t="n">
        <v>720193</v>
      </c>
      <c r="I441" s="0" t="s">
        <v>34</v>
      </c>
      <c r="J441" s="0" t="s">
        <v>174</v>
      </c>
      <c r="K441" s="0" t="s">
        <v>117</v>
      </c>
      <c r="L441" s="0" t="n">
        <v>224560866</v>
      </c>
      <c r="M441" s="0" t="s">
        <v>915</v>
      </c>
      <c r="N441" s="0" t="n">
        <v>103259784</v>
      </c>
      <c r="O441" s="0" t="n">
        <v>0</v>
      </c>
      <c r="P441" s="0" t="n">
        <v>0</v>
      </c>
      <c r="Q441" s="0" t="e">
        <f aca="false">#N/A</f>
        <v>#N/A</v>
      </c>
    </row>
    <row r="442" customFormat="false" ht="15" hidden="false" customHeight="false" outlineLevel="0" collapsed="false">
      <c r="A442" s="0" t="e">
        <f aca="false">#N/A</f>
        <v>#N/A</v>
      </c>
      <c r="B442" s="0" t="s">
        <v>3514</v>
      </c>
      <c r="C442" s="0" t="s">
        <v>3515</v>
      </c>
      <c r="D442" s="0" t="s">
        <v>2385</v>
      </c>
      <c r="E442" s="0" t="n">
        <v>43337</v>
      </c>
      <c r="F442" s="0" t="s">
        <v>102</v>
      </c>
      <c r="G442" s="0" t="n">
        <v>21356941</v>
      </c>
      <c r="H442" s="0" t="n">
        <v>720193</v>
      </c>
      <c r="I442" s="0" t="s">
        <v>34</v>
      </c>
      <c r="J442" s="0" t="s">
        <v>174</v>
      </c>
      <c r="K442" s="0" t="s">
        <v>118</v>
      </c>
      <c r="L442" s="0" t="n">
        <v>224560860</v>
      </c>
      <c r="M442" s="0" t="s">
        <v>930</v>
      </c>
      <c r="N442" s="0" t="n">
        <v>103377773</v>
      </c>
      <c r="O442" s="0" t="n">
        <v>0</v>
      </c>
      <c r="P442" s="0" t="n">
        <v>0</v>
      </c>
      <c r="Q442" s="0" t="e">
        <f aca="false">#N/A</f>
        <v>#N/A</v>
      </c>
    </row>
    <row r="443" customFormat="false" ht="15" hidden="false" customHeight="false" outlineLevel="0" collapsed="false">
      <c r="A443" s="0" t="e">
        <f aca="false">#N/A</f>
        <v>#N/A</v>
      </c>
      <c r="B443" s="0" t="s">
        <v>3516</v>
      </c>
      <c r="C443" s="0" t="s">
        <v>3517</v>
      </c>
      <c r="D443" s="0" t="s">
        <v>2385</v>
      </c>
      <c r="E443" s="0" t="n">
        <v>43336</v>
      </c>
      <c r="F443" s="0" t="s">
        <v>102</v>
      </c>
      <c r="G443" s="0" t="n">
        <v>21356941</v>
      </c>
      <c r="H443" s="0" t="n">
        <v>720193</v>
      </c>
      <c r="I443" s="0" t="s">
        <v>34</v>
      </c>
      <c r="J443" s="0" t="s">
        <v>174</v>
      </c>
      <c r="K443" s="0" t="s">
        <v>118</v>
      </c>
      <c r="L443" s="0" t="n">
        <v>224560860</v>
      </c>
      <c r="M443" s="0" t="s">
        <v>930</v>
      </c>
      <c r="N443" s="0" t="n">
        <v>103377773</v>
      </c>
      <c r="O443" s="0" t="n">
        <v>0</v>
      </c>
      <c r="P443" s="0" t="n">
        <v>0</v>
      </c>
      <c r="Q443" s="0" t="e">
        <f aca="false">#N/A</f>
        <v>#N/A</v>
      </c>
    </row>
    <row r="444" customFormat="false" ht="15" hidden="false" customHeight="false" outlineLevel="0" collapsed="false">
      <c r="A444" s="0" t="e">
        <f aca="false">#N/A</f>
        <v>#N/A</v>
      </c>
      <c r="B444" s="0" t="s">
        <v>3518</v>
      </c>
      <c r="C444" s="0" t="s">
        <v>3519</v>
      </c>
      <c r="D444" s="0" t="s">
        <v>2385</v>
      </c>
      <c r="E444" s="0" t="n">
        <v>43335</v>
      </c>
      <c r="F444" s="0" t="s">
        <v>102</v>
      </c>
      <c r="G444" s="0" t="n">
        <v>21356941</v>
      </c>
      <c r="H444" s="0" t="n">
        <v>720193</v>
      </c>
      <c r="I444" s="0" t="s">
        <v>34</v>
      </c>
      <c r="J444" s="0" t="s">
        <v>174</v>
      </c>
      <c r="K444" s="0" t="s">
        <v>118</v>
      </c>
      <c r="L444" s="0" t="n">
        <v>224560860</v>
      </c>
      <c r="M444" s="0" t="s">
        <v>930</v>
      </c>
      <c r="N444" s="0" t="n">
        <v>103377773</v>
      </c>
      <c r="O444" s="0" t="n">
        <v>0</v>
      </c>
      <c r="P444" s="0" t="n">
        <v>0</v>
      </c>
      <c r="Q444" s="0" t="e">
        <f aca="false">#N/A</f>
        <v>#N/A</v>
      </c>
    </row>
    <row r="445" customFormat="false" ht="15" hidden="false" customHeight="false" outlineLevel="0" collapsed="false">
      <c r="A445" s="0" t="e">
        <f aca="false">#N/A</f>
        <v>#N/A</v>
      </c>
      <c r="B445" s="0" t="s">
        <v>3520</v>
      </c>
      <c r="C445" s="0" t="s">
        <v>3521</v>
      </c>
      <c r="D445" s="0" t="s">
        <v>2385</v>
      </c>
      <c r="E445" s="0" t="n">
        <v>43334</v>
      </c>
      <c r="F445" s="0" t="s">
        <v>102</v>
      </c>
      <c r="G445" s="0" t="n">
        <v>21356941</v>
      </c>
      <c r="H445" s="0" t="n">
        <v>720193</v>
      </c>
      <c r="I445" s="0" t="s">
        <v>34</v>
      </c>
      <c r="J445" s="0" t="s">
        <v>174</v>
      </c>
      <c r="K445" s="0" t="s">
        <v>118</v>
      </c>
      <c r="L445" s="0" t="n">
        <v>224560860</v>
      </c>
      <c r="M445" s="0" t="s">
        <v>930</v>
      </c>
      <c r="N445" s="0" t="n">
        <v>103377773</v>
      </c>
      <c r="O445" s="0" t="n">
        <v>0</v>
      </c>
      <c r="P445" s="0" t="n">
        <v>0</v>
      </c>
      <c r="Q445" s="0" t="e">
        <f aca="false">#N/A</f>
        <v>#N/A</v>
      </c>
    </row>
    <row r="446" customFormat="false" ht="15" hidden="false" customHeight="false" outlineLevel="0" collapsed="false">
      <c r="A446" s="0" t="e">
        <f aca="false">#N/A</f>
        <v>#N/A</v>
      </c>
      <c r="B446" s="0" t="s">
        <v>3522</v>
      </c>
      <c r="C446" s="0" t="s">
        <v>3523</v>
      </c>
      <c r="D446" s="0" t="s">
        <v>2385</v>
      </c>
      <c r="E446" s="0" t="n">
        <v>43333</v>
      </c>
      <c r="F446" s="0" t="s">
        <v>102</v>
      </c>
      <c r="G446" s="0" t="n">
        <v>21356941</v>
      </c>
      <c r="H446" s="0" t="n">
        <v>720193</v>
      </c>
      <c r="I446" s="0" t="s">
        <v>34</v>
      </c>
      <c r="J446" s="0" t="s">
        <v>174</v>
      </c>
      <c r="K446" s="0" t="s">
        <v>118</v>
      </c>
      <c r="L446" s="0" t="n">
        <v>224560860</v>
      </c>
      <c r="M446" s="0" t="s">
        <v>930</v>
      </c>
      <c r="N446" s="0" t="n">
        <v>103377773</v>
      </c>
      <c r="O446" s="0" t="n">
        <v>0</v>
      </c>
      <c r="P446" s="0" t="n">
        <v>0</v>
      </c>
      <c r="Q446" s="0" t="e">
        <f aca="false">#N/A</f>
        <v>#N/A</v>
      </c>
    </row>
    <row r="447" customFormat="false" ht="15" hidden="false" customHeight="false" outlineLevel="0" collapsed="false">
      <c r="A447" s="0" t="e">
        <f aca="false">#N/A</f>
        <v>#N/A</v>
      </c>
      <c r="B447" s="0" t="s">
        <v>3524</v>
      </c>
      <c r="C447" s="0" t="s">
        <v>3525</v>
      </c>
      <c r="D447" s="0" t="s">
        <v>2385</v>
      </c>
      <c r="E447" s="0" t="n">
        <v>43332</v>
      </c>
      <c r="F447" s="0" t="s">
        <v>102</v>
      </c>
      <c r="G447" s="0" t="n">
        <v>21356941</v>
      </c>
      <c r="H447" s="0" t="n">
        <v>720193</v>
      </c>
      <c r="I447" s="0" t="s">
        <v>34</v>
      </c>
      <c r="J447" s="0" t="s">
        <v>174</v>
      </c>
      <c r="K447" s="0" t="s">
        <v>118</v>
      </c>
      <c r="L447" s="0" t="n">
        <v>224560860</v>
      </c>
      <c r="M447" s="0" t="s">
        <v>930</v>
      </c>
      <c r="N447" s="0" t="n">
        <v>103377773</v>
      </c>
      <c r="O447" s="0" t="n">
        <v>0</v>
      </c>
      <c r="P447" s="0" t="n">
        <v>0</v>
      </c>
      <c r="Q447" s="0" t="e">
        <f aca="false">#N/A</f>
        <v>#N/A</v>
      </c>
    </row>
    <row r="448" customFormat="false" ht="15" hidden="false" customHeight="false" outlineLevel="0" collapsed="false">
      <c r="A448" s="0" t="e">
        <f aca="false">#N/A</f>
        <v>#N/A</v>
      </c>
      <c r="B448" s="0" t="s">
        <v>3526</v>
      </c>
      <c r="C448" s="0" t="s">
        <v>3527</v>
      </c>
      <c r="D448" s="0" t="s">
        <v>2385</v>
      </c>
      <c r="E448" s="0" t="n">
        <v>43331</v>
      </c>
      <c r="F448" s="0" t="s">
        <v>102</v>
      </c>
      <c r="G448" s="0" t="n">
        <v>21356941</v>
      </c>
      <c r="H448" s="0" t="n">
        <v>720193</v>
      </c>
      <c r="I448" s="0" t="s">
        <v>34</v>
      </c>
      <c r="J448" s="0" t="s">
        <v>174</v>
      </c>
      <c r="K448" s="0" t="s">
        <v>118</v>
      </c>
      <c r="L448" s="0" t="n">
        <v>224560860</v>
      </c>
      <c r="M448" s="0" t="s">
        <v>930</v>
      </c>
      <c r="N448" s="0" t="n">
        <v>103377773</v>
      </c>
      <c r="O448" s="0" t="n">
        <v>0</v>
      </c>
      <c r="P448" s="0" t="n">
        <v>0</v>
      </c>
      <c r="Q448" s="0" t="e">
        <f aca="false">#N/A</f>
        <v>#N/A</v>
      </c>
    </row>
    <row r="449" customFormat="false" ht="15" hidden="false" customHeight="false" outlineLevel="0" collapsed="false">
      <c r="A449" s="0" t="e">
        <f aca="false">#N/A</f>
        <v>#N/A</v>
      </c>
      <c r="B449" s="0" t="s">
        <v>3528</v>
      </c>
      <c r="C449" s="0" t="s">
        <v>3529</v>
      </c>
      <c r="D449" s="0" t="s">
        <v>2385</v>
      </c>
      <c r="E449" s="0" t="n">
        <v>43337</v>
      </c>
      <c r="F449" s="0" t="s">
        <v>102</v>
      </c>
      <c r="G449" s="0" t="n">
        <v>21356941</v>
      </c>
      <c r="H449" s="0" t="n">
        <v>720193</v>
      </c>
      <c r="I449" s="0" t="s">
        <v>34</v>
      </c>
      <c r="J449" s="0" t="s">
        <v>174</v>
      </c>
      <c r="K449" s="0" t="s">
        <v>119</v>
      </c>
      <c r="L449" s="0" t="n">
        <v>224560857</v>
      </c>
      <c r="M449" s="0" t="s">
        <v>945</v>
      </c>
      <c r="N449" s="0" t="n">
        <v>103377002</v>
      </c>
      <c r="O449" s="0" t="n">
        <v>0</v>
      </c>
      <c r="P449" s="0" t="n">
        <v>0</v>
      </c>
      <c r="Q449" s="0" t="e">
        <f aca="false">#N/A</f>
        <v>#N/A</v>
      </c>
    </row>
    <row r="450" customFormat="false" ht="15" hidden="false" customHeight="false" outlineLevel="0" collapsed="false">
      <c r="A450" s="0" t="e">
        <f aca="false">#N/A</f>
        <v>#N/A</v>
      </c>
      <c r="B450" s="0" t="s">
        <v>3530</v>
      </c>
      <c r="C450" s="0" t="s">
        <v>3531</v>
      </c>
      <c r="D450" s="0" t="s">
        <v>2385</v>
      </c>
      <c r="E450" s="0" t="n">
        <v>43336</v>
      </c>
      <c r="F450" s="0" t="s">
        <v>102</v>
      </c>
      <c r="G450" s="0" t="n">
        <v>21356941</v>
      </c>
      <c r="H450" s="0" t="n">
        <v>720193</v>
      </c>
      <c r="I450" s="0" t="s">
        <v>34</v>
      </c>
      <c r="J450" s="0" t="s">
        <v>174</v>
      </c>
      <c r="K450" s="0" t="s">
        <v>119</v>
      </c>
      <c r="L450" s="0" t="n">
        <v>224560857</v>
      </c>
      <c r="M450" s="0" t="s">
        <v>945</v>
      </c>
      <c r="N450" s="0" t="n">
        <v>103377002</v>
      </c>
      <c r="O450" s="0" t="n">
        <v>0</v>
      </c>
      <c r="P450" s="0" t="n">
        <v>0</v>
      </c>
      <c r="Q450" s="0" t="e">
        <f aca="false">#N/A</f>
        <v>#N/A</v>
      </c>
    </row>
    <row r="451" customFormat="false" ht="15" hidden="false" customHeight="false" outlineLevel="0" collapsed="false">
      <c r="A451" s="0" t="e">
        <f aca="false">#N/A</f>
        <v>#N/A</v>
      </c>
      <c r="B451" s="0" t="s">
        <v>3532</v>
      </c>
      <c r="C451" s="0" t="s">
        <v>3533</v>
      </c>
      <c r="D451" s="0" t="s">
        <v>2385</v>
      </c>
      <c r="E451" s="0" t="n">
        <v>43335</v>
      </c>
      <c r="F451" s="0" t="s">
        <v>102</v>
      </c>
      <c r="G451" s="0" t="n">
        <v>21356941</v>
      </c>
      <c r="H451" s="0" t="n">
        <v>720193</v>
      </c>
      <c r="I451" s="0" t="s">
        <v>34</v>
      </c>
      <c r="J451" s="0" t="s">
        <v>174</v>
      </c>
      <c r="K451" s="0" t="s">
        <v>119</v>
      </c>
      <c r="L451" s="0" t="n">
        <v>224560857</v>
      </c>
      <c r="M451" s="0" t="s">
        <v>945</v>
      </c>
      <c r="N451" s="0" t="n">
        <v>103377002</v>
      </c>
      <c r="O451" s="0" t="n">
        <v>0</v>
      </c>
      <c r="P451" s="0" t="n">
        <v>0</v>
      </c>
      <c r="Q451" s="0" t="e">
        <f aca="false">#N/A</f>
        <v>#N/A</v>
      </c>
    </row>
    <row r="452" customFormat="false" ht="15" hidden="false" customHeight="false" outlineLevel="0" collapsed="false">
      <c r="A452" s="0" t="e">
        <f aca="false">#N/A</f>
        <v>#N/A</v>
      </c>
      <c r="B452" s="0" t="s">
        <v>3534</v>
      </c>
      <c r="C452" s="0" t="s">
        <v>3535</v>
      </c>
      <c r="D452" s="0" t="s">
        <v>2385</v>
      </c>
      <c r="E452" s="0" t="n">
        <v>43334</v>
      </c>
      <c r="F452" s="0" t="s">
        <v>102</v>
      </c>
      <c r="G452" s="0" t="n">
        <v>21356941</v>
      </c>
      <c r="H452" s="0" t="n">
        <v>720193</v>
      </c>
      <c r="I452" s="0" t="s">
        <v>34</v>
      </c>
      <c r="J452" s="0" t="s">
        <v>174</v>
      </c>
      <c r="K452" s="0" t="s">
        <v>119</v>
      </c>
      <c r="L452" s="0" t="n">
        <v>224560857</v>
      </c>
      <c r="M452" s="0" t="s">
        <v>945</v>
      </c>
      <c r="N452" s="0" t="n">
        <v>103377002</v>
      </c>
      <c r="O452" s="0" t="n">
        <v>0</v>
      </c>
      <c r="P452" s="0" t="n">
        <v>0</v>
      </c>
      <c r="Q452" s="0" t="e">
        <f aca="false">#N/A</f>
        <v>#N/A</v>
      </c>
    </row>
    <row r="453" customFormat="false" ht="15" hidden="false" customHeight="false" outlineLevel="0" collapsed="false">
      <c r="A453" s="0" t="e">
        <f aca="false">#N/A</f>
        <v>#N/A</v>
      </c>
      <c r="B453" s="0" t="s">
        <v>3536</v>
      </c>
      <c r="C453" s="0" t="s">
        <v>3537</v>
      </c>
      <c r="D453" s="0" t="s">
        <v>2385</v>
      </c>
      <c r="E453" s="0" t="n">
        <v>43333</v>
      </c>
      <c r="F453" s="0" t="s">
        <v>102</v>
      </c>
      <c r="G453" s="0" t="n">
        <v>21356941</v>
      </c>
      <c r="H453" s="0" t="n">
        <v>720193</v>
      </c>
      <c r="I453" s="0" t="s">
        <v>34</v>
      </c>
      <c r="J453" s="0" t="s">
        <v>174</v>
      </c>
      <c r="K453" s="0" t="s">
        <v>119</v>
      </c>
      <c r="L453" s="0" t="n">
        <v>224560857</v>
      </c>
      <c r="M453" s="0" t="s">
        <v>945</v>
      </c>
      <c r="N453" s="0" t="n">
        <v>103377002</v>
      </c>
      <c r="O453" s="0" t="n">
        <v>0</v>
      </c>
      <c r="P453" s="0" t="n">
        <v>0</v>
      </c>
      <c r="Q453" s="0" t="e">
        <f aca="false">#N/A</f>
        <v>#N/A</v>
      </c>
    </row>
    <row r="454" customFormat="false" ht="15" hidden="false" customHeight="false" outlineLevel="0" collapsed="false">
      <c r="A454" s="0" t="e">
        <f aca="false">#N/A</f>
        <v>#N/A</v>
      </c>
      <c r="B454" s="0" t="s">
        <v>3538</v>
      </c>
      <c r="C454" s="0" t="s">
        <v>3539</v>
      </c>
      <c r="D454" s="0" t="s">
        <v>2385</v>
      </c>
      <c r="E454" s="0" t="n">
        <v>43332</v>
      </c>
      <c r="F454" s="0" t="s">
        <v>102</v>
      </c>
      <c r="G454" s="0" t="n">
        <v>21356941</v>
      </c>
      <c r="H454" s="0" t="n">
        <v>720193</v>
      </c>
      <c r="I454" s="0" t="s">
        <v>34</v>
      </c>
      <c r="J454" s="0" t="s">
        <v>174</v>
      </c>
      <c r="K454" s="0" t="s">
        <v>119</v>
      </c>
      <c r="L454" s="0" t="n">
        <v>224560857</v>
      </c>
      <c r="M454" s="0" t="s">
        <v>945</v>
      </c>
      <c r="N454" s="0" t="n">
        <v>103377002</v>
      </c>
      <c r="O454" s="0" t="n">
        <v>0</v>
      </c>
      <c r="P454" s="0" t="n">
        <v>0</v>
      </c>
      <c r="Q454" s="0" t="e">
        <f aca="false">#N/A</f>
        <v>#N/A</v>
      </c>
    </row>
    <row r="455" customFormat="false" ht="15" hidden="false" customHeight="false" outlineLevel="0" collapsed="false">
      <c r="A455" s="0" t="e">
        <f aca="false">#N/A</f>
        <v>#N/A</v>
      </c>
      <c r="B455" s="0" t="s">
        <v>3540</v>
      </c>
      <c r="C455" s="0" t="s">
        <v>3541</v>
      </c>
      <c r="D455" s="0" t="s">
        <v>2385</v>
      </c>
      <c r="E455" s="0" t="n">
        <v>43331</v>
      </c>
      <c r="F455" s="0" t="s">
        <v>102</v>
      </c>
      <c r="G455" s="0" t="n">
        <v>21356941</v>
      </c>
      <c r="H455" s="0" t="n">
        <v>720193</v>
      </c>
      <c r="I455" s="0" t="s">
        <v>34</v>
      </c>
      <c r="J455" s="0" t="s">
        <v>174</v>
      </c>
      <c r="K455" s="0" t="s">
        <v>119</v>
      </c>
      <c r="L455" s="0" t="n">
        <v>224560857</v>
      </c>
      <c r="M455" s="0" t="s">
        <v>945</v>
      </c>
      <c r="N455" s="0" t="n">
        <v>103377002</v>
      </c>
      <c r="O455" s="0" t="n">
        <v>0</v>
      </c>
      <c r="P455" s="0" t="n">
        <v>0</v>
      </c>
      <c r="Q455" s="0" t="e">
        <f aca="false">#N/A</f>
        <v>#N/A</v>
      </c>
    </row>
    <row r="456" customFormat="false" ht="15" hidden="false" customHeight="false" outlineLevel="0" collapsed="false">
      <c r="A456" s="0" t="e">
        <f aca="false">#N/A</f>
        <v>#N/A</v>
      </c>
      <c r="B456" s="0" t="s">
        <v>3542</v>
      </c>
      <c r="C456" s="0" t="s">
        <v>3543</v>
      </c>
      <c r="D456" s="0" t="s">
        <v>2385</v>
      </c>
      <c r="E456" s="0" t="n">
        <v>43337</v>
      </c>
      <c r="F456" s="0" t="s">
        <v>102</v>
      </c>
      <c r="G456" s="0" t="n">
        <v>21356941</v>
      </c>
      <c r="H456" s="0" t="n">
        <v>720193</v>
      </c>
      <c r="I456" s="0" t="s">
        <v>34</v>
      </c>
      <c r="J456" s="0" t="s">
        <v>174</v>
      </c>
      <c r="K456" s="0" t="s">
        <v>120</v>
      </c>
      <c r="L456" s="0" t="n">
        <v>224560854</v>
      </c>
      <c r="M456" s="0" t="s">
        <v>960</v>
      </c>
      <c r="N456" s="0" t="n">
        <v>103259550</v>
      </c>
      <c r="O456" s="0" t="n">
        <v>0</v>
      </c>
      <c r="P456" s="0" t="n">
        <v>0</v>
      </c>
      <c r="Q456" s="0" t="e">
        <f aca="false">#N/A</f>
        <v>#N/A</v>
      </c>
    </row>
    <row r="457" customFormat="false" ht="15" hidden="false" customHeight="false" outlineLevel="0" collapsed="false">
      <c r="A457" s="0" t="e">
        <f aca="false">#N/A</f>
        <v>#N/A</v>
      </c>
      <c r="B457" s="0" t="s">
        <v>3544</v>
      </c>
      <c r="C457" s="0" t="s">
        <v>3545</v>
      </c>
      <c r="D457" s="0" t="s">
        <v>2385</v>
      </c>
      <c r="E457" s="0" t="n">
        <v>43336</v>
      </c>
      <c r="F457" s="0" t="s">
        <v>102</v>
      </c>
      <c r="G457" s="0" t="n">
        <v>21356941</v>
      </c>
      <c r="H457" s="0" t="n">
        <v>720193</v>
      </c>
      <c r="I457" s="0" t="s">
        <v>34</v>
      </c>
      <c r="J457" s="0" t="s">
        <v>174</v>
      </c>
      <c r="K457" s="0" t="s">
        <v>120</v>
      </c>
      <c r="L457" s="0" t="n">
        <v>224560854</v>
      </c>
      <c r="M457" s="0" t="s">
        <v>960</v>
      </c>
      <c r="N457" s="0" t="n">
        <v>103259550</v>
      </c>
      <c r="O457" s="0" t="n">
        <v>0</v>
      </c>
      <c r="P457" s="0" t="n">
        <v>0</v>
      </c>
      <c r="Q457" s="0" t="e">
        <f aca="false">#N/A</f>
        <v>#N/A</v>
      </c>
    </row>
    <row r="458" customFormat="false" ht="15" hidden="false" customHeight="false" outlineLevel="0" collapsed="false">
      <c r="A458" s="0" t="e">
        <f aca="false">#N/A</f>
        <v>#N/A</v>
      </c>
      <c r="B458" s="0" t="s">
        <v>3546</v>
      </c>
      <c r="C458" s="0" t="s">
        <v>3547</v>
      </c>
      <c r="D458" s="0" t="s">
        <v>2385</v>
      </c>
      <c r="E458" s="0" t="n">
        <v>43335</v>
      </c>
      <c r="F458" s="0" t="s">
        <v>102</v>
      </c>
      <c r="G458" s="0" t="n">
        <v>21356941</v>
      </c>
      <c r="H458" s="0" t="n">
        <v>720193</v>
      </c>
      <c r="I458" s="0" t="s">
        <v>34</v>
      </c>
      <c r="J458" s="0" t="s">
        <v>174</v>
      </c>
      <c r="K458" s="0" t="s">
        <v>120</v>
      </c>
      <c r="L458" s="0" t="n">
        <v>224560854</v>
      </c>
      <c r="M458" s="0" t="s">
        <v>960</v>
      </c>
      <c r="N458" s="0" t="n">
        <v>103259550</v>
      </c>
      <c r="O458" s="0" t="n">
        <v>0</v>
      </c>
      <c r="P458" s="0" t="n">
        <v>0</v>
      </c>
      <c r="Q458" s="0" t="e">
        <f aca="false">#N/A</f>
        <v>#N/A</v>
      </c>
    </row>
    <row r="459" customFormat="false" ht="15" hidden="false" customHeight="false" outlineLevel="0" collapsed="false">
      <c r="A459" s="0" t="e">
        <f aca="false">#N/A</f>
        <v>#N/A</v>
      </c>
      <c r="B459" s="0" t="s">
        <v>3548</v>
      </c>
      <c r="C459" s="0" t="s">
        <v>3549</v>
      </c>
      <c r="D459" s="0" t="s">
        <v>2385</v>
      </c>
      <c r="E459" s="0" t="n">
        <v>43334</v>
      </c>
      <c r="F459" s="0" t="s">
        <v>102</v>
      </c>
      <c r="G459" s="0" t="n">
        <v>21356941</v>
      </c>
      <c r="H459" s="0" t="n">
        <v>720193</v>
      </c>
      <c r="I459" s="0" t="s">
        <v>34</v>
      </c>
      <c r="J459" s="0" t="s">
        <v>174</v>
      </c>
      <c r="K459" s="0" t="s">
        <v>120</v>
      </c>
      <c r="L459" s="0" t="n">
        <v>224560854</v>
      </c>
      <c r="M459" s="0" t="s">
        <v>960</v>
      </c>
      <c r="N459" s="0" t="n">
        <v>103259550</v>
      </c>
      <c r="O459" s="0" t="n">
        <v>0</v>
      </c>
      <c r="P459" s="0" t="n">
        <v>0</v>
      </c>
      <c r="Q459" s="0" t="e">
        <f aca="false">#N/A</f>
        <v>#N/A</v>
      </c>
    </row>
    <row r="460" customFormat="false" ht="15" hidden="false" customHeight="false" outlineLevel="0" collapsed="false">
      <c r="A460" s="0" t="e">
        <f aca="false">#N/A</f>
        <v>#N/A</v>
      </c>
      <c r="B460" s="0" t="s">
        <v>3550</v>
      </c>
      <c r="C460" s="0" t="s">
        <v>3551</v>
      </c>
      <c r="D460" s="0" t="s">
        <v>2385</v>
      </c>
      <c r="E460" s="0" t="n">
        <v>43333</v>
      </c>
      <c r="F460" s="0" t="s">
        <v>102</v>
      </c>
      <c r="G460" s="0" t="n">
        <v>21356941</v>
      </c>
      <c r="H460" s="0" t="n">
        <v>720193</v>
      </c>
      <c r="I460" s="0" t="s">
        <v>34</v>
      </c>
      <c r="J460" s="0" t="s">
        <v>174</v>
      </c>
      <c r="K460" s="0" t="s">
        <v>120</v>
      </c>
      <c r="L460" s="0" t="n">
        <v>224560854</v>
      </c>
      <c r="M460" s="0" t="s">
        <v>960</v>
      </c>
      <c r="N460" s="0" t="n">
        <v>103259550</v>
      </c>
      <c r="O460" s="0" t="n">
        <v>0</v>
      </c>
      <c r="P460" s="0" t="n">
        <v>0</v>
      </c>
      <c r="Q460" s="0" t="e">
        <f aca="false">#N/A</f>
        <v>#N/A</v>
      </c>
    </row>
    <row r="461" customFormat="false" ht="15" hidden="false" customHeight="false" outlineLevel="0" collapsed="false">
      <c r="A461" s="0" t="e">
        <f aca="false">#N/A</f>
        <v>#N/A</v>
      </c>
      <c r="B461" s="0" t="s">
        <v>3552</v>
      </c>
      <c r="C461" s="0" t="s">
        <v>3553</v>
      </c>
      <c r="D461" s="0" t="s">
        <v>2385</v>
      </c>
      <c r="E461" s="0" t="n">
        <v>43332</v>
      </c>
      <c r="F461" s="0" t="s">
        <v>102</v>
      </c>
      <c r="G461" s="0" t="n">
        <v>21356941</v>
      </c>
      <c r="H461" s="0" t="n">
        <v>720193</v>
      </c>
      <c r="I461" s="0" t="s">
        <v>34</v>
      </c>
      <c r="J461" s="0" t="s">
        <v>174</v>
      </c>
      <c r="K461" s="0" t="s">
        <v>120</v>
      </c>
      <c r="L461" s="0" t="n">
        <v>224560854</v>
      </c>
      <c r="M461" s="0" t="s">
        <v>960</v>
      </c>
      <c r="N461" s="0" t="n">
        <v>103259550</v>
      </c>
      <c r="O461" s="0" t="n">
        <v>0</v>
      </c>
      <c r="P461" s="0" t="n">
        <v>0</v>
      </c>
      <c r="Q461" s="0" t="e">
        <f aca="false">#N/A</f>
        <v>#N/A</v>
      </c>
    </row>
    <row r="462" customFormat="false" ht="15" hidden="false" customHeight="false" outlineLevel="0" collapsed="false">
      <c r="A462" s="0" t="e">
        <f aca="false">#N/A</f>
        <v>#N/A</v>
      </c>
      <c r="B462" s="0" t="s">
        <v>3554</v>
      </c>
      <c r="C462" s="0" t="s">
        <v>3555</v>
      </c>
      <c r="D462" s="0" t="s">
        <v>2385</v>
      </c>
      <c r="E462" s="0" t="n">
        <v>43331</v>
      </c>
      <c r="F462" s="0" t="s">
        <v>102</v>
      </c>
      <c r="G462" s="0" t="n">
        <v>21356941</v>
      </c>
      <c r="H462" s="0" t="n">
        <v>720193</v>
      </c>
      <c r="I462" s="0" t="s">
        <v>34</v>
      </c>
      <c r="J462" s="0" t="s">
        <v>174</v>
      </c>
      <c r="K462" s="0" t="s">
        <v>120</v>
      </c>
      <c r="L462" s="0" t="n">
        <v>224560854</v>
      </c>
      <c r="M462" s="0" t="s">
        <v>960</v>
      </c>
      <c r="N462" s="0" t="n">
        <v>103259550</v>
      </c>
      <c r="O462" s="0" t="n">
        <v>0</v>
      </c>
      <c r="P462" s="0" t="n">
        <v>0</v>
      </c>
      <c r="Q462" s="0" t="e">
        <f aca="false">#N/A</f>
        <v>#N/A</v>
      </c>
    </row>
    <row r="463" customFormat="false" ht="15" hidden="false" customHeight="false" outlineLevel="0" collapsed="false">
      <c r="A463" s="0" t="e">
        <f aca="false">#N/A</f>
        <v>#N/A</v>
      </c>
      <c r="B463" s="0" t="s">
        <v>3556</v>
      </c>
      <c r="C463" s="0" t="s">
        <v>3557</v>
      </c>
      <c r="D463" s="0" t="s">
        <v>2385</v>
      </c>
      <c r="E463" s="0" t="n">
        <v>43337</v>
      </c>
      <c r="F463" s="0" t="s">
        <v>102</v>
      </c>
      <c r="G463" s="0" t="n">
        <v>21356941</v>
      </c>
      <c r="H463" s="0" t="n">
        <v>720193</v>
      </c>
      <c r="I463" s="0" t="s">
        <v>34</v>
      </c>
      <c r="J463" s="0" t="s">
        <v>174</v>
      </c>
      <c r="K463" s="0" t="s">
        <v>121</v>
      </c>
      <c r="L463" s="0" t="n">
        <v>224560851</v>
      </c>
      <c r="M463" s="0" t="s">
        <v>975</v>
      </c>
      <c r="N463" s="0" t="n">
        <v>103259562</v>
      </c>
      <c r="O463" s="0" t="n">
        <v>0</v>
      </c>
      <c r="P463" s="0" t="n">
        <v>0</v>
      </c>
      <c r="Q463" s="0" t="e">
        <f aca="false">#N/A</f>
        <v>#N/A</v>
      </c>
    </row>
    <row r="464" customFormat="false" ht="15" hidden="false" customHeight="false" outlineLevel="0" collapsed="false">
      <c r="A464" s="0" t="e">
        <f aca="false">#N/A</f>
        <v>#N/A</v>
      </c>
      <c r="B464" s="0" t="s">
        <v>3558</v>
      </c>
      <c r="C464" s="0" t="s">
        <v>3559</v>
      </c>
      <c r="D464" s="0" t="s">
        <v>2385</v>
      </c>
      <c r="E464" s="0" t="n">
        <v>43336</v>
      </c>
      <c r="F464" s="0" t="s">
        <v>102</v>
      </c>
      <c r="G464" s="0" t="n">
        <v>21356941</v>
      </c>
      <c r="H464" s="0" t="n">
        <v>720193</v>
      </c>
      <c r="I464" s="0" t="s">
        <v>34</v>
      </c>
      <c r="J464" s="0" t="s">
        <v>174</v>
      </c>
      <c r="K464" s="0" t="s">
        <v>121</v>
      </c>
      <c r="L464" s="0" t="n">
        <v>224560851</v>
      </c>
      <c r="M464" s="0" t="s">
        <v>975</v>
      </c>
      <c r="N464" s="0" t="n">
        <v>103259562</v>
      </c>
      <c r="O464" s="0" t="n">
        <v>0</v>
      </c>
      <c r="P464" s="0" t="n">
        <v>0</v>
      </c>
      <c r="Q464" s="0" t="e">
        <f aca="false">#N/A</f>
        <v>#N/A</v>
      </c>
    </row>
    <row r="465" customFormat="false" ht="15" hidden="false" customHeight="false" outlineLevel="0" collapsed="false">
      <c r="A465" s="0" t="e">
        <f aca="false">#N/A</f>
        <v>#N/A</v>
      </c>
      <c r="B465" s="0" t="s">
        <v>3560</v>
      </c>
      <c r="C465" s="0" t="s">
        <v>3561</v>
      </c>
      <c r="D465" s="0" t="s">
        <v>2385</v>
      </c>
      <c r="E465" s="0" t="n">
        <v>43335</v>
      </c>
      <c r="F465" s="0" t="s">
        <v>102</v>
      </c>
      <c r="G465" s="0" t="n">
        <v>21356941</v>
      </c>
      <c r="H465" s="0" t="n">
        <v>720193</v>
      </c>
      <c r="I465" s="0" t="s">
        <v>34</v>
      </c>
      <c r="J465" s="0" t="s">
        <v>174</v>
      </c>
      <c r="K465" s="0" t="s">
        <v>121</v>
      </c>
      <c r="L465" s="0" t="n">
        <v>224560851</v>
      </c>
      <c r="M465" s="0" t="s">
        <v>975</v>
      </c>
      <c r="N465" s="0" t="n">
        <v>103259562</v>
      </c>
      <c r="O465" s="0" t="n">
        <v>0</v>
      </c>
      <c r="P465" s="0" t="n">
        <v>0</v>
      </c>
      <c r="Q465" s="0" t="e">
        <f aca="false">#N/A</f>
        <v>#N/A</v>
      </c>
    </row>
    <row r="466" customFormat="false" ht="15" hidden="false" customHeight="false" outlineLevel="0" collapsed="false">
      <c r="A466" s="0" t="e">
        <f aca="false">#N/A</f>
        <v>#N/A</v>
      </c>
      <c r="B466" s="0" t="s">
        <v>3562</v>
      </c>
      <c r="C466" s="0" t="s">
        <v>3563</v>
      </c>
      <c r="D466" s="0" t="s">
        <v>2385</v>
      </c>
      <c r="E466" s="0" t="n">
        <v>43334</v>
      </c>
      <c r="F466" s="0" t="s">
        <v>102</v>
      </c>
      <c r="G466" s="0" t="n">
        <v>21356941</v>
      </c>
      <c r="H466" s="0" t="n">
        <v>720193</v>
      </c>
      <c r="I466" s="0" t="s">
        <v>34</v>
      </c>
      <c r="J466" s="0" t="s">
        <v>174</v>
      </c>
      <c r="K466" s="0" t="s">
        <v>121</v>
      </c>
      <c r="L466" s="0" t="n">
        <v>224560851</v>
      </c>
      <c r="M466" s="0" t="s">
        <v>975</v>
      </c>
      <c r="N466" s="0" t="n">
        <v>103259562</v>
      </c>
      <c r="O466" s="0" t="n">
        <v>0</v>
      </c>
      <c r="P466" s="0" t="n">
        <v>0</v>
      </c>
      <c r="Q466" s="0" t="e">
        <f aca="false">#N/A</f>
        <v>#N/A</v>
      </c>
    </row>
    <row r="467" customFormat="false" ht="15" hidden="false" customHeight="false" outlineLevel="0" collapsed="false">
      <c r="A467" s="0" t="e">
        <f aca="false">#N/A</f>
        <v>#N/A</v>
      </c>
      <c r="B467" s="0" t="s">
        <v>3564</v>
      </c>
      <c r="C467" s="0" t="s">
        <v>3565</v>
      </c>
      <c r="D467" s="0" t="s">
        <v>2385</v>
      </c>
      <c r="E467" s="0" t="n">
        <v>43333</v>
      </c>
      <c r="F467" s="0" t="s">
        <v>102</v>
      </c>
      <c r="G467" s="0" t="n">
        <v>21356941</v>
      </c>
      <c r="H467" s="0" t="n">
        <v>720193</v>
      </c>
      <c r="I467" s="0" t="s">
        <v>34</v>
      </c>
      <c r="J467" s="0" t="s">
        <v>174</v>
      </c>
      <c r="K467" s="0" t="s">
        <v>121</v>
      </c>
      <c r="L467" s="0" t="n">
        <v>224560851</v>
      </c>
      <c r="M467" s="0" t="s">
        <v>975</v>
      </c>
      <c r="N467" s="0" t="n">
        <v>103259562</v>
      </c>
      <c r="O467" s="0" t="n">
        <v>0</v>
      </c>
      <c r="P467" s="0" t="n">
        <v>0</v>
      </c>
      <c r="Q467" s="0" t="e">
        <f aca="false">#N/A</f>
        <v>#N/A</v>
      </c>
    </row>
    <row r="468" customFormat="false" ht="15" hidden="false" customHeight="false" outlineLevel="0" collapsed="false">
      <c r="A468" s="0" t="e">
        <f aca="false">#N/A</f>
        <v>#N/A</v>
      </c>
      <c r="B468" s="0" t="s">
        <v>3566</v>
      </c>
      <c r="C468" s="0" t="s">
        <v>3567</v>
      </c>
      <c r="D468" s="0" t="s">
        <v>2385</v>
      </c>
      <c r="E468" s="0" t="n">
        <v>43332</v>
      </c>
      <c r="F468" s="0" t="s">
        <v>102</v>
      </c>
      <c r="G468" s="0" t="n">
        <v>21356941</v>
      </c>
      <c r="H468" s="0" t="n">
        <v>720193</v>
      </c>
      <c r="I468" s="0" t="s">
        <v>34</v>
      </c>
      <c r="J468" s="0" t="s">
        <v>174</v>
      </c>
      <c r="K468" s="0" t="s">
        <v>121</v>
      </c>
      <c r="L468" s="0" t="n">
        <v>224560851</v>
      </c>
      <c r="M468" s="0" t="s">
        <v>975</v>
      </c>
      <c r="N468" s="0" t="n">
        <v>103259562</v>
      </c>
      <c r="O468" s="0" t="n">
        <v>0</v>
      </c>
      <c r="P468" s="0" t="n">
        <v>0</v>
      </c>
      <c r="Q468" s="0" t="e">
        <f aca="false">#N/A</f>
        <v>#N/A</v>
      </c>
    </row>
    <row r="469" customFormat="false" ht="15" hidden="false" customHeight="false" outlineLevel="0" collapsed="false">
      <c r="A469" s="0" t="e">
        <f aca="false">#N/A</f>
        <v>#N/A</v>
      </c>
      <c r="B469" s="0" t="s">
        <v>3568</v>
      </c>
      <c r="C469" s="0" t="s">
        <v>3569</v>
      </c>
      <c r="D469" s="0" t="s">
        <v>2385</v>
      </c>
      <c r="E469" s="0" t="n">
        <v>43331</v>
      </c>
      <c r="F469" s="0" t="s">
        <v>102</v>
      </c>
      <c r="G469" s="0" t="n">
        <v>21356941</v>
      </c>
      <c r="H469" s="0" t="n">
        <v>720193</v>
      </c>
      <c r="I469" s="0" t="s">
        <v>34</v>
      </c>
      <c r="J469" s="0" t="s">
        <v>174</v>
      </c>
      <c r="K469" s="0" t="s">
        <v>121</v>
      </c>
      <c r="L469" s="0" t="n">
        <v>224560851</v>
      </c>
      <c r="M469" s="0" t="s">
        <v>975</v>
      </c>
      <c r="N469" s="0" t="n">
        <v>103259562</v>
      </c>
      <c r="O469" s="0" t="n">
        <v>0</v>
      </c>
      <c r="P469" s="0" t="n">
        <v>0</v>
      </c>
      <c r="Q469" s="0" t="e">
        <f aca="false">#N/A</f>
        <v>#N/A</v>
      </c>
    </row>
    <row r="470" customFormat="false" ht="15" hidden="false" customHeight="false" outlineLevel="0" collapsed="false">
      <c r="A470" s="0" t="s">
        <v>3570</v>
      </c>
      <c r="B470" s="0" t="s">
        <v>3571</v>
      </c>
      <c r="C470" s="0" t="s">
        <v>3572</v>
      </c>
      <c r="D470" s="0" t="s">
        <v>2385</v>
      </c>
      <c r="E470" s="0" t="n">
        <v>43337</v>
      </c>
      <c r="F470" s="0" t="s">
        <v>102</v>
      </c>
      <c r="G470" s="0" t="n">
        <v>21356941</v>
      </c>
      <c r="H470" s="0" t="n">
        <v>720193</v>
      </c>
      <c r="I470" s="0" t="s">
        <v>34</v>
      </c>
      <c r="J470" s="0" t="s">
        <v>174</v>
      </c>
      <c r="K470" s="0" t="s">
        <v>122</v>
      </c>
      <c r="L470" s="0" t="n">
        <v>224560845</v>
      </c>
      <c r="M470" s="0" t="s">
        <v>755</v>
      </c>
      <c r="N470" s="0" t="n">
        <v>103259520</v>
      </c>
      <c r="O470" s="0" t="n">
        <v>2242</v>
      </c>
      <c r="P470" s="0" t="n">
        <v>13.2</v>
      </c>
      <c r="Q470" s="0" t="n">
        <v>103259520</v>
      </c>
    </row>
    <row r="471" customFormat="false" ht="15" hidden="false" customHeight="false" outlineLevel="0" collapsed="false">
      <c r="A471" s="0" t="s">
        <v>3573</v>
      </c>
      <c r="B471" s="0" t="s">
        <v>3574</v>
      </c>
      <c r="C471" s="0" t="s">
        <v>3575</v>
      </c>
      <c r="D471" s="0" t="s">
        <v>2385</v>
      </c>
      <c r="E471" s="0" t="n">
        <v>43336</v>
      </c>
      <c r="F471" s="0" t="s">
        <v>102</v>
      </c>
      <c r="G471" s="0" t="n">
        <v>21356941</v>
      </c>
      <c r="H471" s="0" t="n">
        <v>720193</v>
      </c>
      <c r="I471" s="0" t="s">
        <v>34</v>
      </c>
      <c r="J471" s="0" t="s">
        <v>174</v>
      </c>
      <c r="K471" s="0" t="s">
        <v>122</v>
      </c>
      <c r="L471" s="0" t="n">
        <v>224560845</v>
      </c>
      <c r="M471" s="0" t="s">
        <v>755</v>
      </c>
      <c r="N471" s="0" t="n">
        <v>103259520</v>
      </c>
      <c r="O471" s="0" t="n">
        <v>1681</v>
      </c>
      <c r="P471" s="0" t="n">
        <v>14.08</v>
      </c>
      <c r="Q471" s="0" t="n">
        <v>103259520</v>
      </c>
    </row>
    <row r="472" customFormat="false" ht="15" hidden="false" customHeight="false" outlineLevel="0" collapsed="false">
      <c r="A472" s="0" t="s">
        <v>3576</v>
      </c>
      <c r="B472" s="0" t="s">
        <v>3577</v>
      </c>
      <c r="C472" s="0" t="s">
        <v>3578</v>
      </c>
      <c r="D472" s="0" t="s">
        <v>2385</v>
      </c>
      <c r="E472" s="0" t="n">
        <v>43335</v>
      </c>
      <c r="F472" s="0" t="s">
        <v>102</v>
      </c>
      <c r="G472" s="0" t="n">
        <v>21356941</v>
      </c>
      <c r="H472" s="0" t="n">
        <v>720193</v>
      </c>
      <c r="I472" s="0" t="s">
        <v>34</v>
      </c>
      <c r="J472" s="0" t="s">
        <v>174</v>
      </c>
      <c r="K472" s="0" t="s">
        <v>122</v>
      </c>
      <c r="L472" s="0" t="n">
        <v>224560845</v>
      </c>
      <c r="M472" s="0" t="s">
        <v>755</v>
      </c>
      <c r="N472" s="0" t="n">
        <v>103259520</v>
      </c>
      <c r="O472" s="0" t="n">
        <v>2841</v>
      </c>
      <c r="P472" s="0" t="n">
        <v>14.75</v>
      </c>
      <c r="Q472" s="0" t="n">
        <v>103259520</v>
      </c>
    </row>
    <row r="473" customFormat="false" ht="15" hidden="false" customHeight="false" outlineLevel="0" collapsed="false">
      <c r="A473" s="0" t="s">
        <v>3579</v>
      </c>
      <c r="B473" s="0" t="s">
        <v>3580</v>
      </c>
      <c r="C473" s="0" t="s">
        <v>3581</v>
      </c>
      <c r="D473" s="0" t="s">
        <v>2385</v>
      </c>
      <c r="E473" s="0" t="n">
        <v>43334</v>
      </c>
      <c r="F473" s="0" t="s">
        <v>102</v>
      </c>
      <c r="G473" s="0" t="n">
        <v>21356941</v>
      </c>
      <c r="H473" s="0" t="n">
        <v>720193</v>
      </c>
      <c r="I473" s="0" t="s">
        <v>34</v>
      </c>
      <c r="J473" s="0" t="s">
        <v>174</v>
      </c>
      <c r="K473" s="0" t="s">
        <v>122</v>
      </c>
      <c r="L473" s="0" t="n">
        <v>224560845</v>
      </c>
      <c r="M473" s="0" t="s">
        <v>755</v>
      </c>
      <c r="N473" s="0" t="n">
        <v>103259520</v>
      </c>
      <c r="O473" s="0" t="n">
        <v>2592</v>
      </c>
      <c r="P473" s="0" t="n">
        <v>16.17</v>
      </c>
      <c r="Q473" s="0" t="n">
        <v>103259520</v>
      </c>
    </row>
    <row r="474" customFormat="false" ht="15" hidden="false" customHeight="false" outlineLevel="0" collapsed="false">
      <c r="A474" s="0" t="s">
        <v>3582</v>
      </c>
      <c r="B474" s="0" t="s">
        <v>3583</v>
      </c>
      <c r="C474" s="0" t="s">
        <v>3584</v>
      </c>
      <c r="D474" s="0" t="s">
        <v>2385</v>
      </c>
      <c r="E474" s="0" t="n">
        <v>43333</v>
      </c>
      <c r="F474" s="0" t="s">
        <v>102</v>
      </c>
      <c r="G474" s="0" t="n">
        <v>21356941</v>
      </c>
      <c r="H474" s="0" t="n">
        <v>720193</v>
      </c>
      <c r="I474" s="0" t="s">
        <v>34</v>
      </c>
      <c r="J474" s="0" t="s">
        <v>174</v>
      </c>
      <c r="K474" s="0" t="s">
        <v>122</v>
      </c>
      <c r="L474" s="0" t="n">
        <v>224560845</v>
      </c>
      <c r="M474" s="0" t="s">
        <v>755</v>
      </c>
      <c r="N474" s="0" t="n">
        <v>103259520</v>
      </c>
      <c r="O474" s="0" t="n">
        <v>2843</v>
      </c>
      <c r="P474" s="0" t="n">
        <v>13.38</v>
      </c>
      <c r="Q474" s="0" t="n">
        <v>103259520</v>
      </c>
    </row>
    <row r="475" customFormat="false" ht="15" hidden="false" customHeight="false" outlineLevel="0" collapsed="false">
      <c r="A475" s="0" t="s">
        <v>3585</v>
      </c>
      <c r="B475" s="0" t="s">
        <v>3586</v>
      </c>
      <c r="C475" s="0" t="s">
        <v>3587</v>
      </c>
      <c r="D475" s="0" t="s">
        <v>2385</v>
      </c>
      <c r="E475" s="0" t="n">
        <v>43332</v>
      </c>
      <c r="F475" s="0" t="s">
        <v>102</v>
      </c>
      <c r="G475" s="0" t="n">
        <v>21356941</v>
      </c>
      <c r="H475" s="0" t="n">
        <v>720193</v>
      </c>
      <c r="I475" s="0" t="s">
        <v>34</v>
      </c>
      <c r="J475" s="0" t="s">
        <v>174</v>
      </c>
      <c r="K475" s="0" t="s">
        <v>122</v>
      </c>
      <c r="L475" s="0" t="n">
        <v>224560845</v>
      </c>
      <c r="M475" s="0" t="s">
        <v>755</v>
      </c>
      <c r="N475" s="0" t="n">
        <v>103259520</v>
      </c>
      <c r="O475" s="0" t="n">
        <v>3154</v>
      </c>
      <c r="P475" s="0" t="n">
        <v>15.29</v>
      </c>
      <c r="Q475" s="0" t="n">
        <v>103259520</v>
      </c>
    </row>
    <row r="476" customFormat="false" ht="15" hidden="false" customHeight="false" outlineLevel="0" collapsed="false">
      <c r="A476" s="0" t="s">
        <v>3588</v>
      </c>
      <c r="B476" s="0" t="s">
        <v>3589</v>
      </c>
      <c r="C476" s="0" t="s">
        <v>3590</v>
      </c>
      <c r="D476" s="0" t="s">
        <v>2385</v>
      </c>
      <c r="E476" s="0" t="n">
        <v>43331</v>
      </c>
      <c r="F476" s="0" t="s">
        <v>102</v>
      </c>
      <c r="G476" s="0" t="n">
        <v>21356941</v>
      </c>
      <c r="H476" s="0" t="n">
        <v>720193</v>
      </c>
      <c r="I476" s="0" t="s">
        <v>34</v>
      </c>
      <c r="J476" s="0" t="s">
        <v>174</v>
      </c>
      <c r="K476" s="0" t="s">
        <v>122</v>
      </c>
      <c r="L476" s="0" t="n">
        <v>224560845</v>
      </c>
      <c r="M476" s="0" t="s">
        <v>755</v>
      </c>
      <c r="N476" s="0" t="n">
        <v>103259520</v>
      </c>
      <c r="O476" s="0" t="n">
        <v>2033</v>
      </c>
      <c r="P476" s="0" t="n">
        <v>14.41</v>
      </c>
      <c r="Q476" s="0" t="n">
        <v>103259520</v>
      </c>
    </row>
    <row r="477" customFormat="false" ht="15" hidden="false" customHeight="false" outlineLevel="0" collapsed="false">
      <c r="A477" s="0" t="e">
        <f aca="false">#N/A</f>
        <v>#N/A</v>
      </c>
      <c r="B477" s="0" t="s">
        <v>3591</v>
      </c>
      <c r="C477" s="0" t="s">
        <v>3592</v>
      </c>
      <c r="D477" s="0" t="s">
        <v>2385</v>
      </c>
      <c r="E477" s="0" t="n">
        <v>43337</v>
      </c>
      <c r="F477" s="0" t="s">
        <v>102</v>
      </c>
      <c r="G477" s="0" t="n">
        <v>21356941</v>
      </c>
      <c r="H477" s="0" t="n">
        <v>720193</v>
      </c>
      <c r="I477" s="0" t="s">
        <v>34</v>
      </c>
      <c r="J477" s="0" t="s">
        <v>174</v>
      </c>
      <c r="K477" s="0" t="s">
        <v>123</v>
      </c>
      <c r="L477" s="0" t="n">
        <v>224560842</v>
      </c>
      <c r="M477" s="0" t="s">
        <v>770</v>
      </c>
      <c r="N477" s="0" t="n">
        <v>103259769</v>
      </c>
      <c r="O477" s="0" t="n">
        <v>0</v>
      </c>
      <c r="P477" s="0" t="n">
        <v>0</v>
      </c>
      <c r="Q477" s="0" t="e">
        <f aca="false">#N/A</f>
        <v>#N/A</v>
      </c>
    </row>
    <row r="478" customFormat="false" ht="15" hidden="false" customHeight="false" outlineLevel="0" collapsed="false">
      <c r="A478" s="0" t="e">
        <f aca="false">#N/A</f>
        <v>#N/A</v>
      </c>
      <c r="B478" s="0" t="s">
        <v>3593</v>
      </c>
      <c r="C478" s="0" t="s">
        <v>3594</v>
      </c>
      <c r="D478" s="0" t="s">
        <v>2385</v>
      </c>
      <c r="E478" s="0" t="n">
        <v>43336</v>
      </c>
      <c r="F478" s="0" t="s">
        <v>102</v>
      </c>
      <c r="G478" s="0" t="n">
        <v>21356941</v>
      </c>
      <c r="H478" s="0" t="n">
        <v>720193</v>
      </c>
      <c r="I478" s="0" t="s">
        <v>34</v>
      </c>
      <c r="J478" s="0" t="s">
        <v>174</v>
      </c>
      <c r="K478" s="0" t="s">
        <v>123</v>
      </c>
      <c r="L478" s="0" t="n">
        <v>224560842</v>
      </c>
      <c r="M478" s="0" t="s">
        <v>770</v>
      </c>
      <c r="N478" s="0" t="n">
        <v>103259769</v>
      </c>
      <c r="O478" s="0" t="n">
        <v>0</v>
      </c>
      <c r="P478" s="0" t="n">
        <v>0</v>
      </c>
      <c r="Q478" s="0" t="e">
        <f aca="false">#N/A</f>
        <v>#N/A</v>
      </c>
    </row>
    <row r="479" customFormat="false" ht="15" hidden="false" customHeight="false" outlineLevel="0" collapsed="false">
      <c r="A479" s="0" t="e">
        <f aca="false">#N/A</f>
        <v>#N/A</v>
      </c>
      <c r="B479" s="0" t="s">
        <v>3595</v>
      </c>
      <c r="C479" s="0" t="s">
        <v>3596</v>
      </c>
      <c r="D479" s="0" t="s">
        <v>2385</v>
      </c>
      <c r="E479" s="0" t="n">
        <v>43335</v>
      </c>
      <c r="F479" s="0" t="s">
        <v>102</v>
      </c>
      <c r="G479" s="0" t="n">
        <v>21356941</v>
      </c>
      <c r="H479" s="0" t="n">
        <v>720193</v>
      </c>
      <c r="I479" s="0" t="s">
        <v>34</v>
      </c>
      <c r="J479" s="0" t="s">
        <v>174</v>
      </c>
      <c r="K479" s="0" t="s">
        <v>123</v>
      </c>
      <c r="L479" s="0" t="n">
        <v>224560842</v>
      </c>
      <c r="M479" s="0" t="s">
        <v>770</v>
      </c>
      <c r="N479" s="0" t="n">
        <v>103259769</v>
      </c>
      <c r="O479" s="0" t="n">
        <v>0</v>
      </c>
      <c r="P479" s="0" t="n">
        <v>0</v>
      </c>
      <c r="Q479" s="0" t="e">
        <f aca="false">#N/A</f>
        <v>#N/A</v>
      </c>
    </row>
    <row r="480" customFormat="false" ht="15" hidden="false" customHeight="false" outlineLevel="0" collapsed="false">
      <c r="A480" s="0" t="e">
        <f aca="false">#N/A</f>
        <v>#N/A</v>
      </c>
      <c r="B480" s="0" t="s">
        <v>3597</v>
      </c>
      <c r="C480" s="0" t="s">
        <v>3598</v>
      </c>
      <c r="D480" s="0" t="s">
        <v>2385</v>
      </c>
      <c r="E480" s="0" t="n">
        <v>43334</v>
      </c>
      <c r="F480" s="0" t="s">
        <v>102</v>
      </c>
      <c r="G480" s="0" t="n">
        <v>21356941</v>
      </c>
      <c r="H480" s="0" t="n">
        <v>720193</v>
      </c>
      <c r="I480" s="0" t="s">
        <v>34</v>
      </c>
      <c r="J480" s="0" t="s">
        <v>174</v>
      </c>
      <c r="K480" s="0" t="s">
        <v>123</v>
      </c>
      <c r="L480" s="0" t="n">
        <v>224560842</v>
      </c>
      <c r="M480" s="0" t="s">
        <v>770</v>
      </c>
      <c r="N480" s="0" t="n">
        <v>103259769</v>
      </c>
      <c r="O480" s="0" t="n">
        <v>0</v>
      </c>
      <c r="P480" s="0" t="n">
        <v>0</v>
      </c>
      <c r="Q480" s="0" t="e">
        <f aca="false">#N/A</f>
        <v>#N/A</v>
      </c>
    </row>
    <row r="481" customFormat="false" ht="15" hidden="false" customHeight="false" outlineLevel="0" collapsed="false">
      <c r="A481" s="0" t="e">
        <f aca="false">#N/A</f>
        <v>#N/A</v>
      </c>
      <c r="B481" s="0" t="s">
        <v>3599</v>
      </c>
      <c r="C481" s="0" t="s">
        <v>3600</v>
      </c>
      <c r="D481" s="0" t="s">
        <v>2385</v>
      </c>
      <c r="E481" s="0" t="n">
        <v>43333</v>
      </c>
      <c r="F481" s="0" t="s">
        <v>102</v>
      </c>
      <c r="G481" s="0" t="n">
        <v>21356941</v>
      </c>
      <c r="H481" s="0" t="n">
        <v>720193</v>
      </c>
      <c r="I481" s="0" t="s">
        <v>34</v>
      </c>
      <c r="J481" s="0" t="s">
        <v>174</v>
      </c>
      <c r="K481" s="0" t="s">
        <v>123</v>
      </c>
      <c r="L481" s="0" t="n">
        <v>224560842</v>
      </c>
      <c r="M481" s="0" t="s">
        <v>770</v>
      </c>
      <c r="N481" s="0" t="n">
        <v>103259769</v>
      </c>
      <c r="O481" s="0" t="n">
        <v>0</v>
      </c>
      <c r="P481" s="0" t="n">
        <v>0</v>
      </c>
      <c r="Q481" s="0" t="e">
        <f aca="false">#N/A</f>
        <v>#N/A</v>
      </c>
    </row>
    <row r="482" customFormat="false" ht="15" hidden="false" customHeight="false" outlineLevel="0" collapsed="false">
      <c r="A482" s="0" t="e">
        <f aca="false">#N/A</f>
        <v>#N/A</v>
      </c>
      <c r="B482" s="0" t="s">
        <v>3601</v>
      </c>
      <c r="C482" s="0" t="s">
        <v>3602</v>
      </c>
      <c r="D482" s="0" t="s">
        <v>2385</v>
      </c>
      <c r="E482" s="0" t="n">
        <v>43332</v>
      </c>
      <c r="F482" s="0" t="s">
        <v>102</v>
      </c>
      <c r="G482" s="0" t="n">
        <v>21356941</v>
      </c>
      <c r="H482" s="0" t="n">
        <v>720193</v>
      </c>
      <c r="I482" s="0" t="s">
        <v>34</v>
      </c>
      <c r="J482" s="0" t="s">
        <v>174</v>
      </c>
      <c r="K482" s="0" t="s">
        <v>123</v>
      </c>
      <c r="L482" s="0" t="n">
        <v>224560842</v>
      </c>
      <c r="M482" s="0" t="s">
        <v>770</v>
      </c>
      <c r="N482" s="0" t="n">
        <v>103259769</v>
      </c>
      <c r="O482" s="0" t="n">
        <v>0</v>
      </c>
      <c r="P482" s="0" t="n">
        <v>0</v>
      </c>
      <c r="Q482" s="0" t="e">
        <f aca="false">#N/A</f>
        <v>#N/A</v>
      </c>
    </row>
    <row r="483" customFormat="false" ht="15" hidden="false" customHeight="false" outlineLevel="0" collapsed="false">
      <c r="A483" s="0" t="e">
        <f aca="false">#N/A</f>
        <v>#N/A</v>
      </c>
      <c r="B483" s="0" t="s">
        <v>3603</v>
      </c>
      <c r="C483" s="0" t="s">
        <v>3604</v>
      </c>
      <c r="D483" s="0" t="s">
        <v>2385</v>
      </c>
      <c r="E483" s="0" t="n">
        <v>43331</v>
      </c>
      <c r="F483" s="0" t="s">
        <v>102</v>
      </c>
      <c r="G483" s="0" t="n">
        <v>21356941</v>
      </c>
      <c r="H483" s="0" t="n">
        <v>720193</v>
      </c>
      <c r="I483" s="0" t="s">
        <v>34</v>
      </c>
      <c r="J483" s="0" t="s">
        <v>174</v>
      </c>
      <c r="K483" s="0" t="s">
        <v>123</v>
      </c>
      <c r="L483" s="0" t="n">
        <v>224560842</v>
      </c>
      <c r="M483" s="0" t="s">
        <v>770</v>
      </c>
      <c r="N483" s="0" t="n">
        <v>103259769</v>
      </c>
      <c r="O483" s="0" t="n">
        <v>0</v>
      </c>
      <c r="P483" s="0" t="n">
        <v>0</v>
      </c>
      <c r="Q483" s="0" t="e">
        <f aca="false">#N/A</f>
        <v>#N/A</v>
      </c>
    </row>
    <row r="484" customFormat="false" ht="15" hidden="false" customHeight="false" outlineLevel="0" collapsed="false">
      <c r="A484" s="0" t="e">
        <f aca="false">#N/A</f>
        <v>#N/A</v>
      </c>
      <c r="B484" s="0" t="s">
        <v>3605</v>
      </c>
      <c r="C484" s="0" t="s">
        <v>3606</v>
      </c>
      <c r="D484" s="0" t="s">
        <v>2385</v>
      </c>
      <c r="E484" s="0" t="n">
        <v>43337</v>
      </c>
      <c r="F484" s="0" t="s">
        <v>102</v>
      </c>
      <c r="G484" s="0" t="n">
        <v>21356941</v>
      </c>
      <c r="H484" s="0" t="n">
        <v>720193</v>
      </c>
      <c r="I484" s="0" t="s">
        <v>34</v>
      </c>
      <c r="J484" s="0" t="s">
        <v>174</v>
      </c>
      <c r="K484" s="0" t="s">
        <v>124</v>
      </c>
      <c r="L484" s="0" t="n">
        <v>224560839</v>
      </c>
      <c r="M484" s="0" t="s">
        <v>785</v>
      </c>
      <c r="N484" s="0" t="n">
        <v>103257810</v>
      </c>
      <c r="O484" s="0" t="n">
        <v>0</v>
      </c>
      <c r="P484" s="0" t="n">
        <v>0</v>
      </c>
      <c r="Q484" s="0" t="e">
        <f aca="false">#N/A</f>
        <v>#N/A</v>
      </c>
    </row>
    <row r="485" customFormat="false" ht="15" hidden="false" customHeight="false" outlineLevel="0" collapsed="false">
      <c r="A485" s="0" t="e">
        <f aca="false">#N/A</f>
        <v>#N/A</v>
      </c>
      <c r="B485" s="0" t="s">
        <v>3607</v>
      </c>
      <c r="C485" s="0" t="s">
        <v>3608</v>
      </c>
      <c r="D485" s="0" t="s">
        <v>2385</v>
      </c>
      <c r="E485" s="0" t="n">
        <v>43336</v>
      </c>
      <c r="F485" s="0" t="s">
        <v>102</v>
      </c>
      <c r="G485" s="0" t="n">
        <v>21356941</v>
      </c>
      <c r="H485" s="0" t="n">
        <v>720193</v>
      </c>
      <c r="I485" s="0" t="s">
        <v>34</v>
      </c>
      <c r="J485" s="0" t="s">
        <v>174</v>
      </c>
      <c r="K485" s="0" t="s">
        <v>124</v>
      </c>
      <c r="L485" s="0" t="n">
        <v>224560839</v>
      </c>
      <c r="M485" s="0" t="s">
        <v>785</v>
      </c>
      <c r="N485" s="0" t="n">
        <v>103257810</v>
      </c>
      <c r="O485" s="0" t="n">
        <v>0</v>
      </c>
      <c r="P485" s="0" t="n">
        <v>0</v>
      </c>
      <c r="Q485" s="0" t="e">
        <f aca="false">#N/A</f>
        <v>#N/A</v>
      </c>
    </row>
    <row r="486" customFormat="false" ht="15" hidden="false" customHeight="false" outlineLevel="0" collapsed="false">
      <c r="A486" s="0" t="e">
        <f aca="false">#N/A</f>
        <v>#N/A</v>
      </c>
      <c r="B486" s="0" t="s">
        <v>3609</v>
      </c>
      <c r="C486" s="0" t="s">
        <v>3610</v>
      </c>
      <c r="D486" s="0" t="s">
        <v>2385</v>
      </c>
      <c r="E486" s="0" t="n">
        <v>43335</v>
      </c>
      <c r="F486" s="0" t="s">
        <v>102</v>
      </c>
      <c r="G486" s="0" t="n">
        <v>21356941</v>
      </c>
      <c r="H486" s="0" t="n">
        <v>720193</v>
      </c>
      <c r="I486" s="0" t="s">
        <v>34</v>
      </c>
      <c r="J486" s="0" t="s">
        <v>174</v>
      </c>
      <c r="K486" s="0" t="s">
        <v>124</v>
      </c>
      <c r="L486" s="0" t="n">
        <v>224560839</v>
      </c>
      <c r="M486" s="0" t="s">
        <v>785</v>
      </c>
      <c r="N486" s="0" t="n">
        <v>103257810</v>
      </c>
      <c r="O486" s="0" t="n">
        <v>0</v>
      </c>
      <c r="P486" s="0" t="n">
        <v>0</v>
      </c>
      <c r="Q486" s="0" t="e">
        <f aca="false">#N/A</f>
        <v>#N/A</v>
      </c>
    </row>
    <row r="487" customFormat="false" ht="15" hidden="false" customHeight="false" outlineLevel="0" collapsed="false">
      <c r="A487" s="0" t="e">
        <f aca="false">#N/A</f>
        <v>#N/A</v>
      </c>
      <c r="B487" s="0" t="s">
        <v>3611</v>
      </c>
      <c r="C487" s="0" t="s">
        <v>3612</v>
      </c>
      <c r="D487" s="0" t="s">
        <v>2385</v>
      </c>
      <c r="E487" s="0" t="n">
        <v>43334</v>
      </c>
      <c r="F487" s="0" t="s">
        <v>102</v>
      </c>
      <c r="G487" s="0" t="n">
        <v>21356941</v>
      </c>
      <c r="H487" s="0" t="n">
        <v>720193</v>
      </c>
      <c r="I487" s="0" t="s">
        <v>34</v>
      </c>
      <c r="J487" s="0" t="s">
        <v>174</v>
      </c>
      <c r="K487" s="0" t="s">
        <v>124</v>
      </c>
      <c r="L487" s="0" t="n">
        <v>224560839</v>
      </c>
      <c r="M487" s="0" t="s">
        <v>785</v>
      </c>
      <c r="N487" s="0" t="n">
        <v>103257810</v>
      </c>
      <c r="O487" s="0" t="n">
        <v>0</v>
      </c>
      <c r="P487" s="0" t="n">
        <v>0</v>
      </c>
      <c r="Q487" s="0" t="e">
        <f aca="false">#N/A</f>
        <v>#N/A</v>
      </c>
    </row>
    <row r="488" customFormat="false" ht="15" hidden="false" customHeight="false" outlineLevel="0" collapsed="false">
      <c r="A488" s="0" t="e">
        <f aca="false">#N/A</f>
        <v>#N/A</v>
      </c>
      <c r="B488" s="0" t="s">
        <v>3613</v>
      </c>
      <c r="C488" s="0" t="s">
        <v>3614</v>
      </c>
      <c r="D488" s="0" t="s">
        <v>2385</v>
      </c>
      <c r="E488" s="0" t="n">
        <v>43333</v>
      </c>
      <c r="F488" s="0" t="s">
        <v>102</v>
      </c>
      <c r="G488" s="0" t="n">
        <v>21356941</v>
      </c>
      <c r="H488" s="0" t="n">
        <v>720193</v>
      </c>
      <c r="I488" s="0" t="s">
        <v>34</v>
      </c>
      <c r="J488" s="0" t="s">
        <v>174</v>
      </c>
      <c r="K488" s="0" t="s">
        <v>124</v>
      </c>
      <c r="L488" s="0" t="n">
        <v>224560839</v>
      </c>
      <c r="M488" s="0" t="s">
        <v>785</v>
      </c>
      <c r="N488" s="0" t="n">
        <v>103257810</v>
      </c>
      <c r="O488" s="0" t="n">
        <v>0</v>
      </c>
      <c r="P488" s="0" t="n">
        <v>0</v>
      </c>
      <c r="Q488" s="0" t="e">
        <f aca="false">#N/A</f>
        <v>#N/A</v>
      </c>
    </row>
    <row r="489" customFormat="false" ht="15" hidden="false" customHeight="false" outlineLevel="0" collapsed="false">
      <c r="A489" s="0" t="e">
        <f aca="false">#N/A</f>
        <v>#N/A</v>
      </c>
      <c r="B489" s="0" t="s">
        <v>3615</v>
      </c>
      <c r="C489" s="0" t="s">
        <v>3616</v>
      </c>
      <c r="D489" s="0" t="s">
        <v>2385</v>
      </c>
      <c r="E489" s="0" t="n">
        <v>43332</v>
      </c>
      <c r="F489" s="0" t="s">
        <v>102</v>
      </c>
      <c r="G489" s="0" t="n">
        <v>21356941</v>
      </c>
      <c r="H489" s="0" t="n">
        <v>720193</v>
      </c>
      <c r="I489" s="0" t="s">
        <v>34</v>
      </c>
      <c r="J489" s="0" t="s">
        <v>174</v>
      </c>
      <c r="K489" s="0" t="s">
        <v>124</v>
      </c>
      <c r="L489" s="0" t="n">
        <v>224560839</v>
      </c>
      <c r="M489" s="0" t="s">
        <v>785</v>
      </c>
      <c r="N489" s="0" t="n">
        <v>103257810</v>
      </c>
      <c r="O489" s="0" t="n">
        <v>0</v>
      </c>
      <c r="P489" s="0" t="n">
        <v>0</v>
      </c>
      <c r="Q489" s="0" t="e">
        <f aca="false">#N/A</f>
        <v>#N/A</v>
      </c>
    </row>
    <row r="490" customFormat="false" ht="15" hidden="false" customHeight="false" outlineLevel="0" collapsed="false">
      <c r="A490" s="0" t="e">
        <f aca="false">#N/A</f>
        <v>#N/A</v>
      </c>
      <c r="B490" s="0" t="s">
        <v>3617</v>
      </c>
      <c r="C490" s="0" t="s">
        <v>3618</v>
      </c>
      <c r="D490" s="0" t="s">
        <v>2385</v>
      </c>
      <c r="E490" s="0" t="n">
        <v>43331</v>
      </c>
      <c r="F490" s="0" t="s">
        <v>102</v>
      </c>
      <c r="G490" s="0" t="n">
        <v>21356941</v>
      </c>
      <c r="H490" s="0" t="n">
        <v>720193</v>
      </c>
      <c r="I490" s="0" t="s">
        <v>34</v>
      </c>
      <c r="J490" s="0" t="s">
        <v>174</v>
      </c>
      <c r="K490" s="0" t="s">
        <v>124</v>
      </c>
      <c r="L490" s="0" t="n">
        <v>224560839</v>
      </c>
      <c r="M490" s="0" t="s">
        <v>785</v>
      </c>
      <c r="N490" s="0" t="n">
        <v>103257810</v>
      </c>
      <c r="O490" s="0" t="n">
        <v>0</v>
      </c>
      <c r="P490" s="0" t="n">
        <v>0</v>
      </c>
      <c r="Q490" s="0" t="e">
        <f aca="false">#N/A</f>
        <v>#N/A</v>
      </c>
    </row>
    <row r="491" customFormat="false" ht="15" hidden="false" customHeight="false" outlineLevel="0" collapsed="false">
      <c r="A491" s="0" t="e">
        <f aca="false">#N/A</f>
        <v>#N/A</v>
      </c>
      <c r="B491" s="0" t="s">
        <v>3619</v>
      </c>
      <c r="C491" s="0" t="s">
        <v>3620</v>
      </c>
      <c r="D491" s="0" t="s">
        <v>2385</v>
      </c>
      <c r="E491" s="0" t="n">
        <v>43337</v>
      </c>
      <c r="F491" s="0" t="s">
        <v>102</v>
      </c>
      <c r="G491" s="0" t="n">
        <v>21356941</v>
      </c>
      <c r="H491" s="0" t="n">
        <v>720193</v>
      </c>
      <c r="I491" s="0" t="s">
        <v>34</v>
      </c>
      <c r="J491" s="0" t="s">
        <v>174</v>
      </c>
      <c r="K491" s="0" t="s">
        <v>125</v>
      </c>
      <c r="L491" s="0" t="n">
        <v>224560836</v>
      </c>
      <c r="M491" s="0" t="s">
        <v>800</v>
      </c>
      <c r="N491" s="0" t="n">
        <v>103259010</v>
      </c>
      <c r="O491" s="0" t="n">
        <v>0</v>
      </c>
      <c r="P491" s="0" t="n">
        <v>0</v>
      </c>
      <c r="Q491" s="0" t="e">
        <f aca="false">#N/A</f>
        <v>#N/A</v>
      </c>
    </row>
    <row r="492" customFormat="false" ht="15" hidden="false" customHeight="false" outlineLevel="0" collapsed="false">
      <c r="A492" s="0" t="e">
        <f aca="false">#N/A</f>
        <v>#N/A</v>
      </c>
      <c r="B492" s="0" t="s">
        <v>3621</v>
      </c>
      <c r="C492" s="0" t="s">
        <v>3622</v>
      </c>
      <c r="D492" s="0" t="s">
        <v>2385</v>
      </c>
      <c r="E492" s="0" t="n">
        <v>43336</v>
      </c>
      <c r="F492" s="0" t="s">
        <v>102</v>
      </c>
      <c r="G492" s="0" t="n">
        <v>21356941</v>
      </c>
      <c r="H492" s="0" t="n">
        <v>720193</v>
      </c>
      <c r="I492" s="0" t="s">
        <v>34</v>
      </c>
      <c r="J492" s="0" t="s">
        <v>174</v>
      </c>
      <c r="K492" s="0" t="s">
        <v>125</v>
      </c>
      <c r="L492" s="0" t="n">
        <v>224560836</v>
      </c>
      <c r="M492" s="0" t="s">
        <v>800</v>
      </c>
      <c r="N492" s="0" t="n">
        <v>103259010</v>
      </c>
      <c r="O492" s="0" t="n">
        <v>0</v>
      </c>
      <c r="P492" s="0" t="n">
        <v>0</v>
      </c>
      <c r="Q492" s="0" t="e">
        <f aca="false">#N/A</f>
        <v>#N/A</v>
      </c>
    </row>
    <row r="493" customFormat="false" ht="15" hidden="false" customHeight="false" outlineLevel="0" collapsed="false">
      <c r="A493" s="0" t="e">
        <f aca="false">#N/A</f>
        <v>#N/A</v>
      </c>
      <c r="B493" s="0" t="s">
        <v>3623</v>
      </c>
      <c r="C493" s="0" t="s">
        <v>3624</v>
      </c>
      <c r="D493" s="0" t="s">
        <v>2385</v>
      </c>
      <c r="E493" s="0" t="n">
        <v>43335</v>
      </c>
      <c r="F493" s="0" t="s">
        <v>102</v>
      </c>
      <c r="G493" s="0" t="n">
        <v>21356941</v>
      </c>
      <c r="H493" s="0" t="n">
        <v>720193</v>
      </c>
      <c r="I493" s="0" t="s">
        <v>34</v>
      </c>
      <c r="J493" s="0" t="s">
        <v>174</v>
      </c>
      <c r="K493" s="0" t="s">
        <v>125</v>
      </c>
      <c r="L493" s="0" t="n">
        <v>224560836</v>
      </c>
      <c r="M493" s="0" t="s">
        <v>800</v>
      </c>
      <c r="N493" s="0" t="n">
        <v>103259010</v>
      </c>
      <c r="O493" s="0" t="n">
        <v>0</v>
      </c>
      <c r="P493" s="0" t="n">
        <v>0</v>
      </c>
      <c r="Q493" s="0" t="e">
        <f aca="false">#N/A</f>
        <v>#N/A</v>
      </c>
    </row>
    <row r="494" customFormat="false" ht="15" hidden="false" customHeight="false" outlineLevel="0" collapsed="false">
      <c r="A494" s="0" t="e">
        <f aca="false">#N/A</f>
        <v>#N/A</v>
      </c>
      <c r="B494" s="0" t="s">
        <v>3625</v>
      </c>
      <c r="C494" s="0" t="s">
        <v>3626</v>
      </c>
      <c r="D494" s="0" t="s">
        <v>2385</v>
      </c>
      <c r="E494" s="0" t="n">
        <v>43334</v>
      </c>
      <c r="F494" s="0" t="s">
        <v>102</v>
      </c>
      <c r="G494" s="0" t="n">
        <v>21356941</v>
      </c>
      <c r="H494" s="0" t="n">
        <v>720193</v>
      </c>
      <c r="I494" s="0" t="s">
        <v>34</v>
      </c>
      <c r="J494" s="0" t="s">
        <v>174</v>
      </c>
      <c r="K494" s="0" t="s">
        <v>125</v>
      </c>
      <c r="L494" s="0" t="n">
        <v>224560836</v>
      </c>
      <c r="M494" s="0" t="s">
        <v>800</v>
      </c>
      <c r="N494" s="0" t="n">
        <v>103259010</v>
      </c>
      <c r="O494" s="0" t="n">
        <v>0</v>
      </c>
      <c r="P494" s="0" t="n">
        <v>0</v>
      </c>
      <c r="Q494" s="0" t="e">
        <f aca="false">#N/A</f>
        <v>#N/A</v>
      </c>
    </row>
    <row r="495" customFormat="false" ht="15" hidden="false" customHeight="false" outlineLevel="0" collapsed="false">
      <c r="A495" s="0" t="e">
        <f aca="false">#N/A</f>
        <v>#N/A</v>
      </c>
      <c r="B495" s="0" t="s">
        <v>3627</v>
      </c>
      <c r="C495" s="0" t="s">
        <v>3628</v>
      </c>
      <c r="D495" s="0" t="s">
        <v>2385</v>
      </c>
      <c r="E495" s="0" t="n">
        <v>43333</v>
      </c>
      <c r="F495" s="0" t="s">
        <v>102</v>
      </c>
      <c r="G495" s="0" t="n">
        <v>21356941</v>
      </c>
      <c r="H495" s="0" t="n">
        <v>720193</v>
      </c>
      <c r="I495" s="0" t="s">
        <v>34</v>
      </c>
      <c r="J495" s="0" t="s">
        <v>174</v>
      </c>
      <c r="K495" s="0" t="s">
        <v>125</v>
      </c>
      <c r="L495" s="0" t="n">
        <v>224560836</v>
      </c>
      <c r="M495" s="0" t="s">
        <v>800</v>
      </c>
      <c r="N495" s="0" t="n">
        <v>103259010</v>
      </c>
      <c r="O495" s="0" t="n">
        <v>0</v>
      </c>
      <c r="P495" s="0" t="n">
        <v>0</v>
      </c>
      <c r="Q495" s="0" t="e">
        <f aca="false">#N/A</f>
        <v>#N/A</v>
      </c>
    </row>
    <row r="496" customFormat="false" ht="15" hidden="false" customHeight="false" outlineLevel="0" collapsed="false">
      <c r="A496" s="0" t="e">
        <f aca="false">#N/A</f>
        <v>#N/A</v>
      </c>
      <c r="B496" s="0" t="s">
        <v>3629</v>
      </c>
      <c r="C496" s="0" t="s">
        <v>3630</v>
      </c>
      <c r="D496" s="0" t="s">
        <v>2385</v>
      </c>
      <c r="E496" s="0" t="n">
        <v>43332</v>
      </c>
      <c r="F496" s="0" t="s">
        <v>102</v>
      </c>
      <c r="G496" s="0" t="n">
        <v>21356941</v>
      </c>
      <c r="H496" s="0" t="n">
        <v>720193</v>
      </c>
      <c r="I496" s="0" t="s">
        <v>34</v>
      </c>
      <c r="J496" s="0" t="s">
        <v>174</v>
      </c>
      <c r="K496" s="0" t="s">
        <v>125</v>
      </c>
      <c r="L496" s="0" t="n">
        <v>224560836</v>
      </c>
      <c r="M496" s="0" t="s">
        <v>800</v>
      </c>
      <c r="N496" s="0" t="n">
        <v>103259010</v>
      </c>
      <c r="O496" s="0" t="n">
        <v>0</v>
      </c>
      <c r="P496" s="0" t="n">
        <v>0</v>
      </c>
      <c r="Q496" s="0" t="e">
        <f aca="false">#N/A</f>
        <v>#N/A</v>
      </c>
    </row>
    <row r="497" customFormat="false" ht="15" hidden="false" customHeight="false" outlineLevel="0" collapsed="false">
      <c r="A497" s="0" t="e">
        <f aca="false">#N/A</f>
        <v>#N/A</v>
      </c>
      <c r="B497" s="0" t="s">
        <v>3631</v>
      </c>
      <c r="C497" s="0" t="s">
        <v>3632</v>
      </c>
      <c r="D497" s="0" t="s">
        <v>2385</v>
      </c>
      <c r="E497" s="0" t="n">
        <v>43331</v>
      </c>
      <c r="F497" s="0" t="s">
        <v>102</v>
      </c>
      <c r="G497" s="0" t="n">
        <v>21356941</v>
      </c>
      <c r="H497" s="0" t="n">
        <v>720193</v>
      </c>
      <c r="I497" s="0" t="s">
        <v>34</v>
      </c>
      <c r="J497" s="0" t="s">
        <v>174</v>
      </c>
      <c r="K497" s="0" t="s">
        <v>125</v>
      </c>
      <c r="L497" s="0" t="n">
        <v>224560836</v>
      </c>
      <c r="M497" s="0" t="s">
        <v>800</v>
      </c>
      <c r="N497" s="0" t="n">
        <v>103259010</v>
      </c>
      <c r="O497" s="0" t="n">
        <v>0</v>
      </c>
      <c r="P497" s="0" t="n">
        <v>0</v>
      </c>
      <c r="Q497" s="0" t="e">
        <f aca="false">#N/A</f>
        <v>#N/A</v>
      </c>
    </row>
    <row r="498" customFormat="false" ht="15" hidden="false" customHeight="false" outlineLevel="0" collapsed="false">
      <c r="A498" s="0" t="e">
        <f aca="false">#N/A</f>
        <v>#N/A</v>
      </c>
      <c r="B498" s="0" t="s">
        <v>3633</v>
      </c>
      <c r="C498" s="0" t="s">
        <v>3634</v>
      </c>
      <c r="D498" s="0" t="s">
        <v>2385</v>
      </c>
      <c r="E498" s="0" t="n">
        <v>43337</v>
      </c>
      <c r="F498" s="0" t="s">
        <v>102</v>
      </c>
      <c r="G498" s="0" t="n">
        <v>21356941</v>
      </c>
      <c r="H498" s="0" t="n">
        <v>720193</v>
      </c>
      <c r="I498" s="0" t="s">
        <v>34</v>
      </c>
      <c r="J498" s="0" t="s">
        <v>174</v>
      </c>
      <c r="K498" s="0" t="s">
        <v>126</v>
      </c>
      <c r="L498" s="0" t="n">
        <v>224560833</v>
      </c>
      <c r="M498" s="0" t="s">
        <v>815</v>
      </c>
      <c r="N498" s="0" t="n">
        <v>103376990</v>
      </c>
      <c r="O498" s="0" t="n">
        <v>0</v>
      </c>
      <c r="P498" s="0" t="n">
        <v>0</v>
      </c>
      <c r="Q498" s="0" t="e">
        <f aca="false">#N/A</f>
        <v>#N/A</v>
      </c>
    </row>
    <row r="499" customFormat="false" ht="15" hidden="false" customHeight="false" outlineLevel="0" collapsed="false">
      <c r="A499" s="0" t="e">
        <f aca="false">#N/A</f>
        <v>#N/A</v>
      </c>
      <c r="B499" s="0" t="s">
        <v>3635</v>
      </c>
      <c r="C499" s="0" t="s">
        <v>3636</v>
      </c>
      <c r="D499" s="0" t="s">
        <v>2385</v>
      </c>
      <c r="E499" s="0" t="n">
        <v>43336</v>
      </c>
      <c r="F499" s="0" t="s">
        <v>102</v>
      </c>
      <c r="G499" s="0" t="n">
        <v>21356941</v>
      </c>
      <c r="H499" s="0" t="n">
        <v>720193</v>
      </c>
      <c r="I499" s="0" t="s">
        <v>34</v>
      </c>
      <c r="J499" s="0" t="s">
        <v>174</v>
      </c>
      <c r="K499" s="0" t="s">
        <v>126</v>
      </c>
      <c r="L499" s="0" t="n">
        <v>224560833</v>
      </c>
      <c r="M499" s="0" t="s">
        <v>815</v>
      </c>
      <c r="N499" s="0" t="n">
        <v>103376990</v>
      </c>
      <c r="O499" s="0" t="n">
        <v>0</v>
      </c>
      <c r="P499" s="0" t="n">
        <v>0</v>
      </c>
      <c r="Q499" s="0" t="e">
        <f aca="false">#N/A</f>
        <v>#N/A</v>
      </c>
    </row>
    <row r="500" customFormat="false" ht="15" hidden="false" customHeight="false" outlineLevel="0" collapsed="false">
      <c r="A500" s="0" t="e">
        <f aca="false">#N/A</f>
        <v>#N/A</v>
      </c>
      <c r="B500" s="0" t="s">
        <v>3637</v>
      </c>
      <c r="C500" s="0" t="s">
        <v>3638</v>
      </c>
      <c r="D500" s="0" t="s">
        <v>2385</v>
      </c>
      <c r="E500" s="0" t="n">
        <v>43335</v>
      </c>
      <c r="F500" s="0" t="s">
        <v>102</v>
      </c>
      <c r="G500" s="0" t="n">
        <v>21356941</v>
      </c>
      <c r="H500" s="0" t="n">
        <v>720193</v>
      </c>
      <c r="I500" s="0" t="s">
        <v>34</v>
      </c>
      <c r="J500" s="0" t="s">
        <v>174</v>
      </c>
      <c r="K500" s="0" t="s">
        <v>126</v>
      </c>
      <c r="L500" s="0" t="n">
        <v>224560833</v>
      </c>
      <c r="M500" s="0" t="s">
        <v>815</v>
      </c>
      <c r="N500" s="0" t="n">
        <v>103376990</v>
      </c>
      <c r="O500" s="0" t="n">
        <v>0</v>
      </c>
      <c r="P500" s="0" t="n">
        <v>0</v>
      </c>
      <c r="Q500" s="0" t="e">
        <f aca="false">#N/A</f>
        <v>#N/A</v>
      </c>
    </row>
    <row r="501" customFormat="false" ht="15" hidden="false" customHeight="false" outlineLevel="0" collapsed="false">
      <c r="A501" s="0" t="e">
        <f aca="false">#N/A</f>
        <v>#N/A</v>
      </c>
      <c r="B501" s="0" t="s">
        <v>3639</v>
      </c>
      <c r="C501" s="0" t="s">
        <v>3640</v>
      </c>
      <c r="D501" s="0" t="s">
        <v>2385</v>
      </c>
      <c r="E501" s="0" t="n">
        <v>43334</v>
      </c>
      <c r="F501" s="0" t="s">
        <v>102</v>
      </c>
      <c r="G501" s="0" t="n">
        <v>21356941</v>
      </c>
      <c r="H501" s="0" t="n">
        <v>720193</v>
      </c>
      <c r="I501" s="0" t="s">
        <v>34</v>
      </c>
      <c r="J501" s="0" t="s">
        <v>174</v>
      </c>
      <c r="K501" s="0" t="s">
        <v>126</v>
      </c>
      <c r="L501" s="0" t="n">
        <v>224560833</v>
      </c>
      <c r="M501" s="0" t="s">
        <v>815</v>
      </c>
      <c r="N501" s="0" t="n">
        <v>103376990</v>
      </c>
      <c r="O501" s="0" t="n">
        <v>0</v>
      </c>
      <c r="P501" s="0" t="n">
        <v>0</v>
      </c>
      <c r="Q501" s="0" t="e">
        <f aca="false">#N/A</f>
        <v>#N/A</v>
      </c>
    </row>
    <row r="502" customFormat="false" ht="15" hidden="false" customHeight="false" outlineLevel="0" collapsed="false">
      <c r="A502" s="0" t="e">
        <f aca="false">#N/A</f>
        <v>#N/A</v>
      </c>
      <c r="B502" s="0" t="s">
        <v>3641</v>
      </c>
      <c r="C502" s="0" t="s">
        <v>3642</v>
      </c>
      <c r="D502" s="0" t="s">
        <v>2385</v>
      </c>
      <c r="E502" s="0" t="n">
        <v>43333</v>
      </c>
      <c r="F502" s="0" t="s">
        <v>102</v>
      </c>
      <c r="G502" s="0" t="n">
        <v>21356941</v>
      </c>
      <c r="H502" s="0" t="n">
        <v>720193</v>
      </c>
      <c r="I502" s="0" t="s">
        <v>34</v>
      </c>
      <c r="J502" s="0" t="s">
        <v>174</v>
      </c>
      <c r="K502" s="0" t="s">
        <v>126</v>
      </c>
      <c r="L502" s="0" t="n">
        <v>224560833</v>
      </c>
      <c r="M502" s="0" t="s">
        <v>815</v>
      </c>
      <c r="N502" s="0" t="n">
        <v>103376990</v>
      </c>
      <c r="O502" s="0" t="n">
        <v>0</v>
      </c>
      <c r="P502" s="0" t="n">
        <v>0</v>
      </c>
      <c r="Q502" s="0" t="e">
        <f aca="false">#N/A</f>
        <v>#N/A</v>
      </c>
    </row>
    <row r="503" customFormat="false" ht="15" hidden="false" customHeight="false" outlineLevel="0" collapsed="false">
      <c r="A503" s="0" t="e">
        <f aca="false">#N/A</f>
        <v>#N/A</v>
      </c>
      <c r="B503" s="0" t="s">
        <v>3643</v>
      </c>
      <c r="C503" s="0" t="s">
        <v>3644</v>
      </c>
      <c r="D503" s="0" t="s">
        <v>2385</v>
      </c>
      <c r="E503" s="0" t="n">
        <v>43332</v>
      </c>
      <c r="F503" s="0" t="s">
        <v>102</v>
      </c>
      <c r="G503" s="0" t="n">
        <v>21356941</v>
      </c>
      <c r="H503" s="0" t="n">
        <v>720193</v>
      </c>
      <c r="I503" s="0" t="s">
        <v>34</v>
      </c>
      <c r="J503" s="0" t="s">
        <v>174</v>
      </c>
      <c r="K503" s="0" t="s">
        <v>126</v>
      </c>
      <c r="L503" s="0" t="n">
        <v>224560833</v>
      </c>
      <c r="M503" s="0" t="s">
        <v>815</v>
      </c>
      <c r="N503" s="0" t="n">
        <v>103376990</v>
      </c>
      <c r="O503" s="0" t="n">
        <v>0</v>
      </c>
      <c r="P503" s="0" t="n">
        <v>0</v>
      </c>
      <c r="Q503" s="0" t="e">
        <f aca="false">#N/A</f>
        <v>#N/A</v>
      </c>
    </row>
    <row r="504" customFormat="false" ht="15" hidden="false" customHeight="false" outlineLevel="0" collapsed="false">
      <c r="A504" s="0" t="e">
        <f aca="false">#N/A</f>
        <v>#N/A</v>
      </c>
      <c r="B504" s="0" t="s">
        <v>3645</v>
      </c>
      <c r="C504" s="0" t="s">
        <v>3646</v>
      </c>
      <c r="D504" s="0" t="s">
        <v>2385</v>
      </c>
      <c r="E504" s="0" t="n">
        <v>43331</v>
      </c>
      <c r="F504" s="0" t="s">
        <v>102</v>
      </c>
      <c r="G504" s="0" t="n">
        <v>21356941</v>
      </c>
      <c r="H504" s="0" t="n">
        <v>720193</v>
      </c>
      <c r="I504" s="0" t="s">
        <v>34</v>
      </c>
      <c r="J504" s="0" t="s">
        <v>174</v>
      </c>
      <c r="K504" s="0" t="s">
        <v>126</v>
      </c>
      <c r="L504" s="0" t="n">
        <v>224560833</v>
      </c>
      <c r="M504" s="0" t="s">
        <v>815</v>
      </c>
      <c r="N504" s="0" t="n">
        <v>103376990</v>
      </c>
      <c r="O504" s="0" t="n">
        <v>0</v>
      </c>
      <c r="P504" s="0" t="n">
        <v>0</v>
      </c>
      <c r="Q504" s="0" t="e">
        <f aca="false">#N/A</f>
        <v>#N/A</v>
      </c>
    </row>
    <row r="505" customFormat="false" ht="15" hidden="false" customHeight="false" outlineLevel="0" collapsed="false">
      <c r="A505" s="0" t="s">
        <v>3647</v>
      </c>
      <c r="B505" s="0" t="s">
        <v>3648</v>
      </c>
      <c r="C505" s="0" t="s">
        <v>3649</v>
      </c>
      <c r="D505" s="0" t="s">
        <v>2385</v>
      </c>
      <c r="E505" s="0" t="n">
        <v>43337</v>
      </c>
      <c r="F505" s="0" t="s">
        <v>102</v>
      </c>
      <c r="G505" s="0" t="n">
        <v>21356941</v>
      </c>
      <c r="H505" s="0" t="n">
        <v>720193</v>
      </c>
      <c r="I505" s="0" t="s">
        <v>34</v>
      </c>
      <c r="J505" s="0" t="s">
        <v>174</v>
      </c>
      <c r="K505" s="0" t="s">
        <v>128</v>
      </c>
      <c r="L505" s="0" t="n">
        <v>224416915</v>
      </c>
      <c r="M505" s="0" t="s">
        <v>1060</v>
      </c>
      <c r="N505" s="0" t="n">
        <v>103376981</v>
      </c>
      <c r="O505" s="0" t="n">
        <v>33</v>
      </c>
      <c r="P505" s="0" t="n">
        <v>0.07</v>
      </c>
      <c r="Q505" s="0" t="n">
        <v>103376981</v>
      </c>
    </row>
    <row r="506" customFormat="false" ht="15" hidden="false" customHeight="false" outlineLevel="0" collapsed="false">
      <c r="A506" s="0" t="s">
        <v>3650</v>
      </c>
      <c r="B506" s="0" t="s">
        <v>3651</v>
      </c>
      <c r="C506" s="0" t="s">
        <v>3652</v>
      </c>
      <c r="D506" s="0" t="s">
        <v>2385</v>
      </c>
      <c r="E506" s="0" t="n">
        <v>43336</v>
      </c>
      <c r="F506" s="0" t="s">
        <v>102</v>
      </c>
      <c r="G506" s="0" t="n">
        <v>21356941</v>
      </c>
      <c r="H506" s="0" t="n">
        <v>720193</v>
      </c>
      <c r="I506" s="0" t="s">
        <v>34</v>
      </c>
      <c r="J506" s="0" t="s">
        <v>174</v>
      </c>
      <c r="K506" s="0" t="s">
        <v>128</v>
      </c>
      <c r="L506" s="0" t="n">
        <v>224416915</v>
      </c>
      <c r="M506" s="0" t="s">
        <v>1060</v>
      </c>
      <c r="N506" s="0" t="n">
        <v>103376981</v>
      </c>
      <c r="O506" s="0" t="n">
        <v>60</v>
      </c>
      <c r="P506" s="0" t="n">
        <v>0.15</v>
      </c>
      <c r="Q506" s="0" t="n">
        <v>103376981</v>
      </c>
    </row>
    <row r="507" customFormat="false" ht="15" hidden="false" customHeight="false" outlineLevel="0" collapsed="false">
      <c r="A507" s="0" t="s">
        <v>3653</v>
      </c>
      <c r="B507" s="0" t="s">
        <v>3654</v>
      </c>
      <c r="C507" s="0" t="s">
        <v>3655</v>
      </c>
      <c r="D507" s="0" t="s">
        <v>2385</v>
      </c>
      <c r="E507" s="0" t="n">
        <v>43335</v>
      </c>
      <c r="F507" s="0" t="s">
        <v>102</v>
      </c>
      <c r="G507" s="0" t="n">
        <v>21356941</v>
      </c>
      <c r="H507" s="0" t="n">
        <v>720193</v>
      </c>
      <c r="I507" s="0" t="s">
        <v>34</v>
      </c>
      <c r="J507" s="0" t="s">
        <v>174</v>
      </c>
      <c r="K507" s="0" t="s">
        <v>128</v>
      </c>
      <c r="L507" s="0" t="n">
        <v>224416915</v>
      </c>
      <c r="M507" s="0" t="s">
        <v>1060</v>
      </c>
      <c r="N507" s="0" t="n">
        <v>103376981</v>
      </c>
      <c r="O507" s="0" t="n">
        <v>81</v>
      </c>
      <c r="P507" s="0" t="n">
        <v>0.19</v>
      </c>
      <c r="Q507" s="0" t="n">
        <v>103376981</v>
      </c>
    </row>
    <row r="508" customFormat="false" ht="15" hidden="false" customHeight="false" outlineLevel="0" collapsed="false">
      <c r="A508" s="0" t="s">
        <v>3656</v>
      </c>
      <c r="B508" s="0" t="s">
        <v>3657</v>
      </c>
      <c r="C508" s="0" t="s">
        <v>3658</v>
      </c>
      <c r="D508" s="0" t="s">
        <v>2385</v>
      </c>
      <c r="E508" s="0" t="n">
        <v>43334</v>
      </c>
      <c r="F508" s="0" t="s">
        <v>102</v>
      </c>
      <c r="G508" s="0" t="n">
        <v>21356941</v>
      </c>
      <c r="H508" s="0" t="n">
        <v>720193</v>
      </c>
      <c r="I508" s="0" t="s">
        <v>34</v>
      </c>
      <c r="J508" s="0" t="s">
        <v>174</v>
      </c>
      <c r="K508" s="0" t="s">
        <v>128</v>
      </c>
      <c r="L508" s="0" t="n">
        <v>224416915</v>
      </c>
      <c r="M508" s="0" t="s">
        <v>1060</v>
      </c>
      <c r="N508" s="0" t="n">
        <v>103376981</v>
      </c>
      <c r="O508" s="0" t="n">
        <v>134</v>
      </c>
      <c r="P508" s="0" t="n">
        <v>0.46</v>
      </c>
      <c r="Q508" s="0" t="n">
        <v>103376981</v>
      </c>
    </row>
    <row r="509" customFormat="false" ht="15" hidden="false" customHeight="false" outlineLevel="0" collapsed="false">
      <c r="A509" s="0" t="s">
        <v>3659</v>
      </c>
      <c r="B509" s="0" t="s">
        <v>3660</v>
      </c>
      <c r="C509" s="0" t="s">
        <v>3661</v>
      </c>
      <c r="D509" s="0" t="s">
        <v>2385</v>
      </c>
      <c r="E509" s="0" t="n">
        <v>43333</v>
      </c>
      <c r="F509" s="0" t="s">
        <v>102</v>
      </c>
      <c r="G509" s="0" t="n">
        <v>21356941</v>
      </c>
      <c r="H509" s="0" t="n">
        <v>720193</v>
      </c>
      <c r="I509" s="0" t="s">
        <v>34</v>
      </c>
      <c r="J509" s="0" t="s">
        <v>174</v>
      </c>
      <c r="K509" s="0" t="s">
        <v>128</v>
      </c>
      <c r="L509" s="0" t="n">
        <v>224416915</v>
      </c>
      <c r="M509" s="0" t="s">
        <v>1060</v>
      </c>
      <c r="N509" s="0" t="n">
        <v>103376981</v>
      </c>
      <c r="O509" s="0" t="n">
        <v>52</v>
      </c>
      <c r="P509" s="0" t="n">
        <v>0.06</v>
      </c>
      <c r="Q509" s="0" t="n">
        <v>103376981</v>
      </c>
    </row>
    <row r="510" customFormat="false" ht="15" hidden="false" customHeight="false" outlineLevel="0" collapsed="false">
      <c r="A510" s="0" t="s">
        <v>3662</v>
      </c>
      <c r="B510" s="0" t="s">
        <v>3663</v>
      </c>
      <c r="C510" s="0" t="s">
        <v>3664</v>
      </c>
      <c r="D510" s="0" t="s">
        <v>2385</v>
      </c>
      <c r="E510" s="0" t="n">
        <v>43332</v>
      </c>
      <c r="F510" s="0" t="s">
        <v>102</v>
      </c>
      <c r="G510" s="0" t="n">
        <v>21356941</v>
      </c>
      <c r="H510" s="0" t="n">
        <v>720193</v>
      </c>
      <c r="I510" s="0" t="s">
        <v>34</v>
      </c>
      <c r="J510" s="0" t="s">
        <v>174</v>
      </c>
      <c r="K510" s="0" t="s">
        <v>128</v>
      </c>
      <c r="L510" s="0" t="n">
        <v>224416915</v>
      </c>
      <c r="M510" s="0" t="s">
        <v>1060</v>
      </c>
      <c r="N510" s="0" t="n">
        <v>103376981</v>
      </c>
      <c r="O510" s="0" t="n">
        <v>87</v>
      </c>
      <c r="P510" s="0" t="n">
        <v>0.22</v>
      </c>
      <c r="Q510" s="0" t="n">
        <v>103376981</v>
      </c>
    </row>
    <row r="511" customFormat="false" ht="15" hidden="false" customHeight="false" outlineLevel="0" collapsed="false">
      <c r="A511" s="0" t="s">
        <v>3665</v>
      </c>
      <c r="B511" s="0" t="s">
        <v>3666</v>
      </c>
      <c r="C511" s="0" t="s">
        <v>3667</v>
      </c>
      <c r="D511" s="0" t="s">
        <v>2385</v>
      </c>
      <c r="E511" s="0" t="n">
        <v>43331</v>
      </c>
      <c r="F511" s="0" t="s">
        <v>102</v>
      </c>
      <c r="G511" s="0" t="n">
        <v>21356941</v>
      </c>
      <c r="H511" s="0" t="n">
        <v>720193</v>
      </c>
      <c r="I511" s="0" t="s">
        <v>34</v>
      </c>
      <c r="J511" s="0" t="s">
        <v>174</v>
      </c>
      <c r="K511" s="0" t="s">
        <v>128</v>
      </c>
      <c r="L511" s="0" t="n">
        <v>224416915</v>
      </c>
      <c r="M511" s="0" t="s">
        <v>1060</v>
      </c>
      <c r="N511" s="0" t="n">
        <v>103376981</v>
      </c>
      <c r="O511" s="0" t="n">
        <v>74</v>
      </c>
      <c r="P511" s="0" t="n">
        <v>0.15</v>
      </c>
      <c r="Q511" s="0" t="n">
        <v>103376981</v>
      </c>
    </row>
    <row r="512" customFormat="false" ht="15" hidden="false" customHeight="false" outlineLevel="0" collapsed="false">
      <c r="A512" s="0" t="s">
        <v>3668</v>
      </c>
      <c r="B512" s="0" t="s">
        <v>3669</v>
      </c>
      <c r="C512" s="0" t="s">
        <v>3670</v>
      </c>
      <c r="D512" s="0" t="s">
        <v>2385</v>
      </c>
      <c r="E512" s="0" t="n">
        <v>43337</v>
      </c>
      <c r="F512" s="0" t="s">
        <v>102</v>
      </c>
      <c r="G512" s="0" t="n">
        <v>21356941</v>
      </c>
      <c r="H512" s="0" t="n">
        <v>720193</v>
      </c>
      <c r="I512" s="0" t="s">
        <v>34</v>
      </c>
      <c r="J512" s="0" t="s">
        <v>174</v>
      </c>
      <c r="K512" s="0" t="s">
        <v>129</v>
      </c>
      <c r="L512" s="0" t="n">
        <v>224560875</v>
      </c>
      <c r="M512" s="0" t="s">
        <v>1075</v>
      </c>
      <c r="N512" s="0" t="n">
        <v>103259766</v>
      </c>
      <c r="O512" s="0" t="n">
        <v>11</v>
      </c>
      <c r="P512" s="0" t="n">
        <v>0.01</v>
      </c>
      <c r="Q512" s="0" t="n">
        <v>103259766</v>
      </c>
    </row>
    <row r="513" customFormat="false" ht="15" hidden="false" customHeight="false" outlineLevel="0" collapsed="false">
      <c r="A513" s="0" t="s">
        <v>3671</v>
      </c>
      <c r="B513" s="0" t="s">
        <v>3672</v>
      </c>
      <c r="C513" s="0" t="s">
        <v>3673</v>
      </c>
      <c r="D513" s="0" t="s">
        <v>2385</v>
      </c>
      <c r="E513" s="0" t="n">
        <v>43336</v>
      </c>
      <c r="F513" s="0" t="s">
        <v>102</v>
      </c>
      <c r="G513" s="0" t="n">
        <v>21356941</v>
      </c>
      <c r="H513" s="0" t="n">
        <v>720193</v>
      </c>
      <c r="I513" s="0" t="s">
        <v>34</v>
      </c>
      <c r="J513" s="0" t="s">
        <v>174</v>
      </c>
      <c r="K513" s="0" t="s">
        <v>129</v>
      </c>
      <c r="L513" s="0" t="n">
        <v>224560875</v>
      </c>
      <c r="M513" s="0" t="s">
        <v>1075</v>
      </c>
      <c r="N513" s="0" t="n">
        <v>103259766</v>
      </c>
      <c r="O513" s="0" t="n">
        <v>15</v>
      </c>
      <c r="P513" s="0" t="n">
        <v>0.03</v>
      </c>
      <c r="Q513" s="0" t="n">
        <v>103259766</v>
      </c>
    </row>
    <row r="514" customFormat="false" ht="15" hidden="false" customHeight="false" outlineLevel="0" collapsed="false">
      <c r="A514" s="0" t="s">
        <v>3674</v>
      </c>
      <c r="B514" s="0" t="s">
        <v>3675</v>
      </c>
      <c r="C514" s="0" t="s">
        <v>3676</v>
      </c>
      <c r="D514" s="0" t="s">
        <v>2385</v>
      </c>
      <c r="E514" s="0" t="n">
        <v>43335</v>
      </c>
      <c r="F514" s="0" t="s">
        <v>102</v>
      </c>
      <c r="G514" s="0" t="n">
        <v>21356941</v>
      </c>
      <c r="H514" s="0" t="n">
        <v>720193</v>
      </c>
      <c r="I514" s="0" t="s">
        <v>34</v>
      </c>
      <c r="J514" s="0" t="s">
        <v>174</v>
      </c>
      <c r="K514" s="0" t="s">
        <v>129</v>
      </c>
      <c r="L514" s="0" t="n">
        <v>224560875</v>
      </c>
      <c r="M514" s="0" t="s">
        <v>1075</v>
      </c>
      <c r="N514" s="0" t="n">
        <v>103259766</v>
      </c>
      <c r="O514" s="0" t="n">
        <v>20</v>
      </c>
      <c r="P514" s="0" t="n">
        <v>0.03</v>
      </c>
      <c r="Q514" s="0" t="n">
        <v>103259766</v>
      </c>
    </row>
    <row r="515" customFormat="false" ht="15" hidden="false" customHeight="false" outlineLevel="0" collapsed="false">
      <c r="A515" s="0" t="s">
        <v>3677</v>
      </c>
      <c r="B515" s="0" t="s">
        <v>3678</v>
      </c>
      <c r="C515" s="0" t="s">
        <v>3679</v>
      </c>
      <c r="D515" s="0" t="s">
        <v>2385</v>
      </c>
      <c r="E515" s="0" t="n">
        <v>43334</v>
      </c>
      <c r="F515" s="0" t="s">
        <v>102</v>
      </c>
      <c r="G515" s="0" t="n">
        <v>21356941</v>
      </c>
      <c r="H515" s="0" t="n">
        <v>720193</v>
      </c>
      <c r="I515" s="0" t="s">
        <v>34</v>
      </c>
      <c r="J515" s="0" t="s">
        <v>174</v>
      </c>
      <c r="K515" s="0" t="s">
        <v>129</v>
      </c>
      <c r="L515" s="0" t="n">
        <v>224560875</v>
      </c>
      <c r="M515" s="0" t="s">
        <v>1075</v>
      </c>
      <c r="N515" s="0" t="n">
        <v>103259766</v>
      </c>
      <c r="O515" s="0" t="n">
        <v>9</v>
      </c>
      <c r="P515" s="0" t="n">
        <v>0.01</v>
      </c>
      <c r="Q515" s="0" t="n">
        <v>103259766</v>
      </c>
    </row>
    <row r="516" customFormat="false" ht="15" hidden="false" customHeight="false" outlineLevel="0" collapsed="false">
      <c r="A516" s="0" t="s">
        <v>3680</v>
      </c>
      <c r="B516" s="0" t="s">
        <v>3681</v>
      </c>
      <c r="C516" s="0" t="s">
        <v>3682</v>
      </c>
      <c r="D516" s="0" t="s">
        <v>2385</v>
      </c>
      <c r="E516" s="0" t="n">
        <v>43333</v>
      </c>
      <c r="F516" s="0" t="s">
        <v>102</v>
      </c>
      <c r="G516" s="0" t="n">
        <v>21356941</v>
      </c>
      <c r="H516" s="0" t="n">
        <v>720193</v>
      </c>
      <c r="I516" s="0" t="s">
        <v>34</v>
      </c>
      <c r="J516" s="0" t="s">
        <v>174</v>
      </c>
      <c r="K516" s="0" t="s">
        <v>129</v>
      </c>
      <c r="L516" s="0" t="n">
        <v>224560875</v>
      </c>
      <c r="M516" s="0" t="s">
        <v>1075</v>
      </c>
      <c r="N516" s="0" t="n">
        <v>103259766</v>
      </c>
      <c r="O516" s="0" t="n">
        <v>2</v>
      </c>
      <c r="P516" s="0" t="n">
        <v>0</v>
      </c>
      <c r="Q516" s="0" t="n">
        <v>103259766</v>
      </c>
    </row>
    <row r="517" customFormat="false" ht="15" hidden="false" customHeight="false" outlineLevel="0" collapsed="false">
      <c r="A517" s="0" t="s">
        <v>3683</v>
      </c>
      <c r="B517" s="0" t="s">
        <v>3684</v>
      </c>
      <c r="C517" s="0" t="s">
        <v>3685</v>
      </c>
      <c r="D517" s="0" t="s">
        <v>2385</v>
      </c>
      <c r="E517" s="0" t="n">
        <v>43332</v>
      </c>
      <c r="F517" s="0" t="s">
        <v>102</v>
      </c>
      <c r="G517" s="0" t="n">
        <v>21356941</v>
      </c>
      <c r="H517" s="0" t="n">
        <v>720193</v>
      </c>
      <c r="I517" s="0" t="s">
        <v>34</v>
      </c>
      <c r="J517" s="0" t="s">
        <v>174</v>
      </c>
      <c r="K517" s="0" t="s">
        <v>129</v>
      </c>
      <c r="L517" s="0" t="n">
        <v>224560875</v>
      </c>
      <c r="M517" s="0" t="s">
        <v>1075</v>
      </c>
      <c r="N517" s="0" t="n">
        <v>103259766</v>
      </c>
      <c r="O517" s="0" t="n">
        <v>7</v>
      </c>
      <c r="P517" s="0" t="n">
        <v>0</v>
      </c>
      <c r="Q517" s="0" t="n">
        <v>103259766</v>
      </c>
    </row>
    <row r="518" customFormat="false" ht="15" hidden="false" customHeight="false" outlineLevel="0" collapsed="false">
      <c r="A518" s="0" t="s">
        <v>3686</v>
      </c>
      <c r="B518" s="0" t="s">
        <v>3687</v>
      </c>
      <c r="C518" s="0" t="s">
        <v>3688</v>
      </c>
      <c r="D518" s="0" t="s">
        <v>2385</v>
      </c>
      <c r="E518" s="0" t="n">
        <v>43331</v>
      </c>
      <c r="F518" s="0" t="s">
        <v>102</v>
      </c>
      <c r="G518" s="0" t="n">
        <v>21356941</v>
      </c>
      <c r="H518" s="0" t="n">
        <v>720193</v>
      </c>
      <c r="I518" s="0" t="s">
        <v>34</v>
      </c>
      <c r="J518" s="0" t="s">
        <v>174</v>
      </c>
      <c r="K518" s="0" t="s">
        <v>129</v>
      </c>
      <c r="L518" s="0" t="n">
        <v>224560875</v>
      </c>
      <c r="M518" s="0" t="s">
        <v>1075</v>
      </c>
      <c r="N518" s="0" t="n">
        <v>103259766</v>
      </c>
      <c r="O518" s="0" t="n">
        <v>5</v>
      </c>
      <c r="P518" s="0" t="n">
        <v>0.01</v>
      </c>
      <c r="Q518" s="0" t="n">
        <v>103259766</v>
      </c>
    </row>
    <row r="519" customFormat="false" ht="15" hidden="false" customHeight="false" outlineLevel="0" collapsed="false">
      <c r="A519" s="0" t="s">
        <v>3689</v>
      </c>
      <c r="B519" s="0" t="s">
        <v>3690</v>
      </c>
      <c r="C519" s="0" t="s">
        <v>3691</v>
      </c>
      <c r="D519" s="0" t="s">
        <v>2385</v>
      </c>
      <c r="E519" s="0" t="n">
        <v>43337</v>
      </c>
      <c r="F519" s="0" t="s">
        <v>102</v>
      </c>
      <c r="G519" s="0" t="n">
        <v>21356941</v>
      </c>
      <c r="H519" s="0" t="n">
        <v>720193</v>
      </c>
      <c r="I519" s="0" t="s">
        <v>34</v>
      </c>
      <c r="J519" s="0" t="s">
        <v>174</v>
      </c>
      <c r="K519" s="0" t="s">
        <v>130</v>
      </c>
      <c r="L519" s="0" t="n">
        <v>224560863</v>
      </c>
      <c r="M519" s="0" t="s">
        <v>1090</v>
      </c>
      <c r="N519" s="0" t="n">
        <v>103256577</v>
      </c>
      <c r="O519" s="0" t="n">
        <v>116</v>
      </c>
      <c r="P519" s="0" t="n">
        <v>0.29</v>
      </c>
      <c r="Q519" s="0" t="n">
        <v>103256577</v>
      </c>
    </row>
    <row r="520" customFormat="false" ht="15" hidden="false" customHeight="false" outlineLevel="0" collapsed="false">
      <c r="A520" s="0" t="s">
        <v>3692</v>
      </c>
      <c r="B520" s="0" t="s">
        <v>3693</v>
      </c>
      <c r="C520" s="0" t="s">
        <v>3694</v>
      </c>
      <c r="D520" s="0" t="s">
        <v>2385</v>
      </c>
      <c r="E520" s="0" t="n">
        <v>43336</v>
      </c>
      <c r="F520" s="0" t="s">
        <v>102</v>
      </c>
      <c r="G520" s="0" t="n">
        <v>21356941</v>
      </c>
      <c r="H520" s="0" t="n">
        <v>720193</v>
      </c>
      <c r="I520" s="0" t="s">
        <v>34</v>
      </c>
      <c r="J520" s="0" t="s">
        <v>174</v>
      </c>
      <c r="K520" s="0" t="s">
        <v>130</v>
      </c>
      <c r="L520" s="0" t="n">
        <v>224560863</v>
      </c>
      <c r="M520" s="0" t="s">
        <v>1090</v>
      </c>
      <c r="N520" s="0" t="n">
        <v>103256577</v>
      </c>
      <c r="O520" s="0" t="n">
        <v>8</v>
      </c>
      <c r="P520" s="0" t="n">
        <v>0.01</v>
      </c>
      <c r="Q520" s="0" t="n">
        <v>103256577</v>
      </c>
    </row>
    <row r="521" customFormat="false" ht="15" hidden="false" customHeight="false" outlineLevel="0" collapsed="false">
      <c r="A521" s="0" t="s">
        <v>3695</v>
      </c>
      <c r="B521" s="0" t="s">
        <v>3696</v>
      </c>
      <c r="C521" s="0" t="s">
        <v>3697</v>
      </c>
      <c r="D521" s="0" t="s">
        <v>2385</v>
      </c>
      <c r="E521" s="0" t="n">
        <v>43335</v>
      </c>
      <c r="F521" s="0" t="s">
        <v>102</v>
      </c>
      <c r="G521" s="0" t="n">
        <v>21356941</v>
      </c>
      <c r="H521" s="0" t="n">
        <v>720193</v>
      </c>
      <c r="I521" s="0" t="s">
        <v>34</v>
      </c>
      <c r="J521" s="0" t="s">
        <v>174</v>
      </c>
      <c r="K521" s="0" t="s">
        <v>130</v>
      </c>
      <c r="L521" s="0" t="n">
        <v>224560863</v>
      </c>
      <c r="M521" s="0" t="s">
        <v>1090</v>
      </c>
      <c r="N521" s="0" t="n">
        <v>103256577</v>
      </c>
      <c r="O521" s="0" t="n">
        <v>17</v>
      </c>
      <c r="P521" s="0" t="n">
        <v>0.02</v>
      </c>
      <c r="Q521" s="0" t="n">
        <v>103256577</v>
      </c>
    </row>
    <row r="522" customFormat="false" ht="15" hidden="false" customHeight="false" outlineLevel="0" collapsed="false">
      <c r="A522" s="0" t="s">
        <v>3698</v>
      </c>
      <c r="B522" s="0" t="s">
        <v>3699</v>
      </c>
      <c r="C522" s="0" t="s">
        <v>3700</v>
      </c>
      <c r="D522" s="0" t="s">
        <v>2385</v>
      </c>
      <c r="E522" s="0" t="n">
        <v>43334</v>
      </c>
      <c r="F522" s="0" t="s">
        <v>102</v>
      </c>
      <c r="G522" s="0" t="n">
        <v>21356941</v>
      </c>
      <c r="H522" s="0" t="n">
        <v>720193</v>
      </c>
      <c r="I522" s="0" t="s">
        <v>34</v>
      </c>
      <c r="J522" s="0" t="s">
        <v>174</v>
      </c>
      <c r="K522" s="0" t="s">
        <v>130</v>
      </c>
      <c r="L522" s="0" t="n">
        <v>224560863</v>
      </c>
      <c r="M522" s="0" t="s">
        <v>1090</v>
      </c>
      <c r="N522" s="0" t="n">
        <v>103256577</v>
      </c>
      <c r="O522" s="0" t="n">
        <v>43</v>
      </c>
      <c r="P522" s="0" t="n">
        <v>0.12</v>
      </c>
      <c r="Q522" s="0" t="n">
        <v>103256577</v>
      </c>
    </row>
    <row r="523" customFormat="false" ht="15" hidden="false" customHeight="false" outlineLevel="0" collapsed="false">
      <c r="A523" s="0" t="s">
        <v>3701</v>
      </c>
      <c r="B523" s="0" t="s">
        <v>3702</v>
      </c>
      <c r="C523" s="0" t="s">
        <v>3703</v>
      </c>
      <c r="D523" s="0" t="s">
        <v>2385</v>
      </c>
      <c r="E523" s="0" t="n">
        <v>43333</v>
      </c>
      <c r="F523" s="0" t="s">
        <v>102</v>
      </c>
      <c r="G523" s="0" t="n">
        <v>21356941</v>
      </c>
      <c r="H523" s="0" t="n">
        <v>720193</v>
      </c>
      <c r="I523" s="0" t="s">
        <v>34</v>
      </c>
      <c r="J523" s="0" t="s">
        <v>174</v>
      </c>
      <c r="K523" s="0" t="s">
        <v>130</v>
      </c>
      <c r="L523" s="0" t="n">
        <v>224560863</v>
      </c>
      <c r="M523" s="0" t="s">
        <v>1090</v>
      </c>
      <c r="N523" s="0" t="n">
        <v>103256577</v>
      </c>
      <c r="O523" s="0" t="n">
        <v>17</v>
      </c>
      <c r="P523" s="0" t="n">
        <v>0.01</v>
      </c>
      <c r="Q523" s="0" t="n">
        <v>103256577</v>
      </c>
    </row>
    <row r="524" customFormat="false" ht="15" hidden="false" customHeight="false" outlineLevel="0" collapsed="false">
      <c r="A524" s="0" t="s">
        <v>3704</v>
      </c>
      <c r="B524" s="0" t="s">
        <v>3705</v>
      </c>
      <c r="C524" s="0" t="s">
        <v>3706</v>
      </c>
      <c r="D524" s="0" t="s">
        <v>2385</v>
      </c>
      <c r="E524" s="0" t="n">
        <v>43332</v>
      </c>
      <c r="F524" s="0" t="s">
        <v>102</v>
      </c>
      <c r="G524" s="0" t="n">
        <v>21356941</v>
      </c>
      <c r="H524" s="0" t="n">
        <v>720193</v>
      </c>
      <c r="I524" s="0" t="s">
        <v>34</v>
      </c>
      <c r="J524" s="0" t="s">
        <v>174</v>
      </c>
      <c r="K524" s="0" t="s">
        <v>130</v>
      </c>
      <c r="L524" s="0" t="n">
        <v>224560863</v>
      </c>
      <c r="M524" s="0" t="s">
        <v>1090</v>
      </c>
      <c r="N524" s="0" t="n">
        <v>103256577</v>
      </c>
      <c r="O524" s="0" t="n">
        <v>29</v>
      </c>
      <c r="P524" s="0" t="n">
        <v>0.06</v>
      </c>
      <c r="Q524" s="0" t="n">
        <v>103256577</v>
      </c>
    </row>
    <row r="525" customFormat="false" ht="15" hidden="false" customHeight="false" outlineLevel="0" collapsed="false">
      <c r="A525" s="0" t="s">
        <v>3707</v>
      </c>
      <c r="B525" s="0" t="s">
        <v>3708</v>
      </c>
      <c r="C525" s="0" t="s">
        <v>3709</v>
      </c>
      <c r="D525" s="0" t="s">
        <v>2385</v>
      </c>
      <c r="E525" s="0" t="n">
        <v>43331</v>
      </c>
      <c r="F525" s="0" t="s">
        <v>102</v>
      </c>
      <c r="G525" s="0" t="n">
        <v>21356941</v>
      </c>
      <c r="H525" s="0" t="n">
        <v>720193</v>
      </c>
      <c r="I525" s="0" t="s">
        <v>34</v>
      </c>
      <c r="J525" s="0" t="s">
        <v>174</v>
      </c>
      <c r="K525" s="0" t="s">
        <v>130</v>
      </c>
      <c r="L525" s="0" t="n">
        <v>224560863</v>
      </c>
      <c r="M525" s="0" t="s">
        <v>1090</v>
      </c>
      <c r="N525" s="0" t="n">
        <v>103256577</v>
      </c>
      <c r="O525" s="0" t="n">
        <v>17</v>
      </c>
      <c r="P525" s="0" t="n">
        <v>0.03</v>
      </c>
      <c r="Q525" s="0" t="n">
        <v>103256577</v>
      </c>
    </row>
    <row r="526" customFormat="false" ht="15" hidden="false" customHeight="false" outlineLevel="0" collapsed="false">
      <c r="A526" s="0" t="e">
        <f aca="false">#N/A</f>
        <v>#N/A</v>
      </c>
      <c r="B526" s="0" t="s">
        <v>3710</v>
      </c>
      <c r="C526" s="0" t="s">
        <v>3711</v>
      </c>
      <c r="D526" s="0" t="s">
        <v>2385</v>
      </c>
      <c r="E526" s="0" t="n">
        <v>43337</v>
      </c>
      <c r="F526" s="0" t="s">
        <v>102</v>
      </c>
      <c r="G526" s="0" t="n">
        <v>21356941</v>
      </c>
      <c r="H526" s="0" t="n">
        <v>720193</v>
      </c>
      <c r="I526" s="0" t="s">
        <v>34</v>
      </c>
      <c r="J526" s="0" t="s">
        <v>174</v>
      </c>
      <c r="K526" s="0" t="s">
        <v>132</v>
      </c>
      <c r="L526" s="0" t="n">
        <v>226359947</v>
      </c>
      <c r="M526" s="0" t="s">
        <v>1105</v>
      </c>
      <c r="N526" s="0" t="n">
        <v>104537813</v>
      </c>
      <c r="O526" s="0" t="n">
        <v>140</v>
      </c>
      <c r="P526" s="0" t="n">
        <v>0.48</v>
      </c>
      <c r="Q526" s="0" t="e">
        <f aca="false">#N/A</f>
        <v>#N/A</v>
      </c>
    </row>
    <row r="527" customFormat="false" ht="15" hidden="false" customHeight="false" outlineLevel="0" collapsed="false">
      <c r="A527" s="0" t="s">
        <v>3712</v>
      </c>
      <c r="B527" s="0" t="s">
        <v>3713</v>
      </c>
      <c r="C527" s="0" t="s">
        <v>3714</v>
      </c>
      <c r="D527" s="0" t="s">
        <v>2385</v>
      </c>
      <c r="E527" s="0" t="n">
        <v>43336</v>
      </c>
      <c r="F527" s="0" t="s">
        <v>102</v>
      </c>
      <c r="G527" s="0" t="n">
        <v>21356941</v>
      </c>
      <c r="H527" s="0" t="n">
        <v>720193</v>
      </c>
      <c r="I527" s="0" t="s">
        <v>34</v>
      </c>
      <c r="J527" s="0" t="s">
        <v>174</v>
      </c>
      <c r="K527" s="0" t="s">
        <v>132</v>
      </c>
      <c r="L527" s="0" t="n">
        <v>226359947</v>
      </c>
      <c r="M527" s="0" t="s">
        <v>1105</v>
      </c>
      <c r="N527" s="0" t="n">
        <v>104537813</v>
      </c>
      <c r="O527" s="0" t="n">
        <v>180</v>
      </c>
      <c r="P527" s="0" t="n">
        <v>0.58</v>
      </c>
      <c r="Q527" s="0" t="n">
        <v>104537813</v>
      </c>
    </row>
    <row r="528" customFormat="false" ht="15" hidden="false" customHeight="false" outlineLevel="0" collapsed="false">
      <c r="A528" s="0" t="s">
        <v>3715</v>
      </c>
      <c r="B528" s="0" t="s">
        <v>3716</v>
      </c>
      <c r="C528" s="0" t="s">
        <v>3717</v>
      </c>
      <c r="D528" s="0" t="s">
        <v>2385</v>
      </c>
      <c r="E528" s="0" t="n">
        <v>43335</v>
      </c>
      <c r="F528" s="0" t="s">
        <v>102</v>
      </c>
      <c r="G528" s="0" t="n">
        <v>21356941</v>
      </c>
      <c r="H528" s="0" t="n">
        <v>720193</v>
      </c>
      <c r="I528" s="0" t="s">
        <v>34</v>
      </c>
      <c r="J528" s="0" t="s">
        <v>174</v>
      </c>
      <c r="K528" s="0" t="s">
        <v>132</v>
      </c>
      <c r="L528" s="0" t="n">
        <v>226359947</v>
      </c>
      <c r="M528" s="0" t="s">
        <v>1105</v>
      </c>
      <c r="N528" s="0" t="n">
        <v>104537813</v>
      </c>
      <c r="O528" s="0" t="n">
        <v>210</v>
      </c>
      <c r="P528" s="0" t="n">
        <v>0.75</v>
      </c>
      <c r="Q528" s="0" t="n">
        <v>104537813</v>
      </c>
    </row>
    <row r="529" customFormat="false" ht="15" hidden="false" customHeight="false" outlineLevel="0" collapsed="false">
      <c r="A529" s="0" t="s">
        <v>3718</v>
      </c>
      <c r="B529" s="0" t="s">
        <v>3719</v>
      </c>
      <c r="C529" s="0" t="s">
        <v>3720</v>
      </c>
      <c r="D529" s="0" t="s">
        <v>2385</v>
      </c>
      <c r="E529" s="0" t="n">
        <v>43334</v>
      </c>
      <c r="F529" s="0" t="s">
        <v>102</v>
      </c>
      <c r="G529" s="0" t="n">
        <v>21356941</v>
      </c>
      <c r="H529" s="0" t="n">
        <v>720193</v>
      </c>
      <c r="I529" s="0" t="s">
        <v>34</v>
      </c>
      <c r="J529" s="0" t="s">
        <v>174</v>
      </c>
      <c r="K529" s="0" t="s">
        <v>132</v>
      </c>
      <c r="L529" s="0" t="n">
        <v>226359947</v>
      </c>
      <c r="M529" s="0" t="s">
        <v>1105</v>
      </c>
      <c r="N529" s="0" t="n">
        <v>104537813</v>
      </c>
      <c r="O529" s="0" t="n">
        <v>89</v>
      </c>
      <c r="P529" s="0" t="n">
        <v>0.31</v>
      </c>
      <c r="Q529" s="0" t="n">
        <v>104537813</v>
      </c>
    </row>
    <row r="530" customFormat="false" ht="15" hidden="false" customHeight="false" outlineLevel="0" collapsed="false">
      <c r="A530" s="0" t="s">
        <v>3721</v>
      </c>
      <c r="B530" s="0" t="s">
        <v>3722</v>
      </c>
      <c r="C530" s="0" t="s">
        <v>3723</v>
      </c>
      <c r="D530" s="0" t="s">
        <v>2385</v>
      </c>
      <c r="E530" s="0" t="n">
        <v>43333</v>
      </c>
      <c r="F530" s="0" t="s">
        <v>102</v>
      </c>
      <c r="G530" s="0" t="n">
        <v>21356941</v>
      </c>
      <c r="H530" s="0" t="n">
        <v>720193</v>
      </c>
      <c r="I530" s="0" t="s">
        <v>34</v>
      </c>
      <c r="J530" s="0" t="s">
        <v>174</v>
      </c>
      <c r="K530" s="0" t="s">
        <v>132</v>
      </c>
      <c r="L530" s="0" t="n">
        <v>226359947</v>
      </c>
      <c r="M530" s="0" t="s">
        <v>1105</v>
      </c>
      <c r="N530" s="0" t="n">
        <v>104537813</v>
      </c>
      <c r="O530" s="0" t="n">
        <v>236</v>
      </c>
      <c r="P530" s="0" t="n">
        <v>0.87</v>
      </c>
      <c r="Q530" s="0" t="n">
        <v>104537813</v>
      </c>
    </row>
    <row r="531" customFormat="false" ht="15" hidden="false" customHeight="false" outlineLevel="0" collapsed="false">
      <c r="A531" s="0" t="s">
        <v>3724</v>
      </c>
      <c r="B531" s="0" t="s">
        <v>3725</v>
      </c>
      <c r="C531" s="0" t="s">
        <v>3726</v>
      </c>
      <c r="D531" s="0" t="s">
        <v>2385</v>
      </c>
      <c r="E531" s="0" t="n">
        <v>43332</v>
      </c>
      <c r="F531" s="0" t="s">
        <v>102</v>
      </c>
      <c r="G531" s="0" t="n">
        <v>21356941</v>
      </c>
      <c r="H531" s="0" t="n">
        <v>720193</v>
      </c>
      <c r="I531" s="0" t="s">
        <v>34</v>
      </c>
      <c r="J531" s="0" t="s">
        <v>174</v>
      </c>
      <c r="K531" s="0" t="s">
        <v>132</v>
      </c>
      <c r="L531" s="0" t="n">
        <v>226359947</v>
      </c>
      <c r="M531" s="0" t="s">
        <v>1105</v>
      </c>
      <c r="N531" s="0" t="n">
        <v>104537813</v>
      </c>
      <c r="O531" s="0" t="n">
        <v>241</v>
      </c>
      <c r="P531" s="0" t="n">
        <v>0.88</v>
      </c>
      <c r="Q531" s="0" t="n">
        <v>104537813</v>
      </c>
    </row>
    <row r="532" customFormat="false" ht="15" hidden="false" customHeight="false" outlineLevel="0" collapsed="false">
      <c r="A532" s="0" t="s">
        <v>3727</v>
      </c>
      <c r="B532" s="0" t="s">
        <v>3728</v>
      </c>
      <c r="C532" s="0" t="s">
        <v>3729</v>
      </c>
      <c r="D532" s="0" t="s">
        <v>2385</v>
      </c>
      <c r="E532" s="0" t="n">
        <v>43331</v>
      </c>
      <c r="F532" s="0" t="s">
        <v>102</v>
      </c>
      <c r="G532" s="0" t="n">
        <v>21356941</v>
      </c>
      <c r="H532" s="0" t="n">
        <v>720193</v>
      </c>
      <c r="I532" s="0" t="s">
        <v>34</v>
      </c>
      <c r="J532" s="0" t="s">
        <v>174</v>
      </c>
      <c r="K532" s="0" t="s">
        <v>132</v>
      </c>
      <c r="L532" s="0" t="n">
        <v>226359947</v>
      </c>
      <c r="M532" s="0" t="s">
        <v>1105</v>
      </c>
      <c r="N532" s="0" t="n">
        <v>104537813</v>
      </c>
      <c r="O532" s="0" t="n">
        <v>333</v>
      </c>
      <c r="P532" s="0" t="n">
        <v>1.4</v>
      </c>
      <c r="Q532" s="0" t="n">
        <v>104537813</v>
      </c>
    </row>
    <row r="533" customFormat="false" ht="15" hidden="false" customHeight="false" outlineLevel="0" collapsed="false">
      <c r="A533" s="0" t="s">
        <v>3730</v>
      </c>
      <c r="B533" s="0" t="s">
        <v>3731</v>
      </c>
      <c r="C533" s="0" t="s">
        <v>3732</v>
      </c>
      <c r="D533" s="0" t="s">
        <v>2385</v>
      </c>
      <c r="E533" s="0" t="n">
        <v>43337</v>
      </c>
      <c r="F533" s="0" t="s">
        <v>102</v>
      </c>
      <c r="G533" s="0" t="n">
        <v>21356941</v>
      </c>
      <c r="H533" s="0" t="n">
        <v>720193</v>
      </c>
      <c r="I533" s="0" t="s">
        <v>34</v>
      </c>
      <c r="J533" s="0" t="s">
        <v>174</v>
      </c>
      <c r="K533" s="0" t="s">
        <v>133</v>
      </c>
      <c r="L533" s="0" t="n">
        <v>226359953</v>
      </c>
      <c r="M533" s="0" t="s">
        <v>1120</v>
      </c>
      <c r="N533" s="0" t="n">
        <v>104537129</v>
      </c>
      <c r="O533" s="0" t="n">
        <v>212</v>
      </c>
      <c r="P533" s="0" t="n">
        <v>0.77</v>
      </c>
      <c r="Q533" s="0" t="n">
        <v>104537129</v>
      </c>
    </row>
    <row r="534" customFormat="false" ht="15" hidden="false" customHeight="false" outlineLevel="0" collapsed="false">
      <c r="A534" s="0" t="s">
        <v>3733</v>
      </c>
      <c r="B534" s="0" t="s">
        <v>3734</v>
      </c>
      <c r="C534" s="0" t="s">
        <v>3735</v>
      </c>
      <c r="D534" s="0" t="s">
        <v>2385</v>
      </c>
      <c r="E534" s="0" t="n">
        <v>43336</v>
      </c>
      <c r="F534" s="0" t="s">
        <v>102</v>
      </c>
      <c r="G534" s="0" t="n">
        <v>21356941</v>
      </c>
      <c r="H534" s="0" t="n">
        <v>720193</v>
      </c>
      <c r="I534" s="0" t="s">
        <v>34</v>
      </c>
      <c r="J534" s="0" t="s">
        <v>174</v>
      </c>
      <c r="K534" s="0" t="s">
        <v>133</v>
      </c>
      <c r="L534" s="0" t="n">
        <v>226359953</v>
      </c>
      <c r="M534" s="0" t="s">
        <v>1120</v>
      </c>
      <c r="N534" s="0" t="n">
        <v>104537129</v>
      </c>
      <c r="O534" s="0" t="n">
        <v>176</v>
      </c>
      <c r="P534" s="0" t="n">
        <v>0.66</v>
      </c>
      <c r="Q534" s="0" t="n">
        <v>104537129</v>
      </c>
    </row>
    <row r="535" customFormat="false" ht="15" hidden="false" customHeight="false" outlineLevel="0" collapsed="false">
      <c r="A535" s="0" t="s">
        <v>3736</v>
      </c>
      <c r="B535" s="0" t="s">
        <v>3737</v>
      </c>
      <c r="C535" s="0" t="s">
        <v>3738</v>
      </c>
      <c r="D535" s="0" t="s">
        <v>2385</v>
      </c>
      <c r="E535" s="0" t="n">
        <v>43335</v>
      </c>
      <c r="F535" s="0" t="s">
        <v>102</v>
      </c>
      <c r="G535" s="0" t="n">
        <v>21356941</v>
      </c>
      <c r="H535" s="0" t="n">
        <v>720193</v>
      </c>
      <c r="I535" s="0" t="s">
        <v>34</v>
      </c>
      <c r="J535" s="0" t="s">
        <v>174</v>
      </c>
      <c r="K535" s="0" t="s">
        <v>133</v>
      </c>
      <c r="L535" s="0" t="n">
        <v>226359953</v>
      </c>
      <c r="M535" s="0" t="s">
        <v>1120</v>
      </c>
      <c r="N535" s="0" t="n">
        <v>104537129</v>
      </c>
      <c r="O535" s="0" t="n">
        <v>173</v>
      </c>
      <c r="P535" s="0" t="n">
        <v>0.57</v>
      </c>
      <c r="Q535" s="0" t="n">
        <v>104537129</v>
      </c>
    </row>
    <row r="536" customFormat="false" ht="15" hidden="false" customHeight="false" outlineLevel="0" collapsed="false">
      <c r="A536" s="0" t="s">
        <v>3739</v>
      </c>
      <c r="B536" s="0" t="s">
        <v>3740</v>
      </c>
      <c r="C536" s="0" t="s">
        <v>3741</v>
      </c>
      <c r="D536" s="0" t="s">
        <v>2385</v>
      </c>
      <c r="E536" s="0" t="n">
        <v>43334</v>
      </c>
      <c r="F536" s="0" t="s">
        <v>102</v>
      </c>
      <c r="G536" s="0" t="n">
        <v>21356941</v>
      </c>
      <c r="H536" s="0" t="n">
        <v>720193</v>
      </c>
      <c r="I536" s="0" t="s">
        <v>34</v>
      </c>
      <c r="J536" s="0" t="s">
        <v>174</v>
      </c>
      <c r="K536" s="0" t="s">
        <v>133</v>
      </c>
      <c r="L536" s="0" t="n">
        <v>226359953</v>
      </c>
      <c r="M536" s="0" t="s">
        <v>1120</v>
      </c>
      <c r="N536" s="0" t="n">
        <v>104537129</v>
      </c>
      <c r="O536" s="0" t="n">
        <v>217</v>
      </c>
      <c r="P536" s="0" t="n">
        <v>0.8</v>
      </c>
      <c r="Q536" s="0" t="n">
        <v>104537129</v>
      </c>
    </row>
    <row r="537" customFormat="false" ht="15" hidden="false" customHeight="false" outlineLevel="0" collapsed="false">
      <c r="A537" s="0" t="s">
        <v>3742</v>
      </c>
      <c r="B537" s="0" t="s">
        <v>3743</v>
      </c>
      <c r="C537" s="0" t="s">
        <v>3744</v>
      </c>
      <c r="D537" s="0" t="s">
        <v>2385</v>
      </c>
      <c r="E537" s="0" t="n">
        <v>43333</v>
      </c>
      <c r="F537" s="0" t="s">
        <v>102</v>
      </c>
      <c r="G537" s="0" t="n">
        <v>21356941</v>
      </c>
      <c r="H537" s="0" t="n">
        <v>720193</v>
      </c>
      <c r="I537" s="0" t="s">
        <v>34</v>
      </c>
      <c r="J537" s="0" t="s">
        <v>174</v>
      </c>
      <c r="K537" s="0" t="s">
        <v>133</v>
      </c>
      <c r="L537" s="0" t="n">
        <v>226359953</v>
      </c>
      <c r="M537" s="0" t="s">
        <v>1120</v>
      </c>
      <c r="N537" s="0" t="n">
        <v>104537129</v>
      </c>
      <c r="O537" s="0" t="n">
        <v>220</v>
      </c>
      <c r="P537" s="0" t="n">
        <v>0.74</v>
      </c>
      <c r="Q537" s="0" t="n">
        <v>104537129</v>
      </c>
    </row>
    <row r="538" customFormat="false" ht="15" hidden="false" customHeight="false" outlineLevel="0" collapsed="false">
      <c r="A538" s="0" t="e">
        <f aca="false">#N/A</f>
        <v>#N/A</v>
      </c>
      <c r="B538" s="0" t="s">
        <v>3745</v>
      </c>
      <c r="C538" s="0" t="s">
        <v>3746</v>
      </c>
      <c r="D538" s="0" t="s">
        <v>2385</v>
      </c>
      <c r="E538" s="0" t="n">
        <v>43332</v>
      </c>
      <c r="F538" s="0" t="s">
        <v>102</v>
      </c>
      <c r="G538" s="0" t="n">
        <v>21356941</v>
      </c>
      <c r="H538" s="0" t="n">
        <v>720193</v>
      </c>
      <c r="I538" s="0" t="s">
        <v>34</v>
      </c>
      <c r="J538" s="0" t="s">
        <v>174</v>
      </c>
      <c r="K538" s="0" t="s">
        <v>133</v>
      </c>
      <c r="L538" s="0" t="n">
        <v>226359953</v>
      </c>
      <c r="M538" s="0" t="s">
        <v>1120</v>
      </c>
      <c r="N538" s="0" t="n">
        <v>104537129</v>
      </c>
      <c r="O538" s="0" t="n">
        <v>176</v>
      </c>
      <c r="P538" s="0" t="n">
        <v>0.59</v>
      </c>
      <c r="Q538" s="0" t="e">
        <f aca="false">#N/A</f>
        <v>#N/A</v>
      </c>
    </row>
    <row r="539" customFormat="false" ht="15" hidden="false" customHeight="false" outlineLevel="0" collapsed="false">
      <c r="A539" s="0" t="s">
        <v>3747</v>
      </c>
      <c r="B539" s="0" t="s">
        <v>3748</v>
      </c>
      <c r="C539" s="0" t="s">
        <v>3749</v>
      </c>
      <c r="D539" s="0" t="s">
        <v>2385</v>
      </c>
      <c r="E539" s="0" t="n">
        <v>43331</v>
      </c>
      <c r="F539" s="0" t="s">
        <v>102</v>
      </c>
      <c r="G539" s="0" t="n">
        <v>21356941</v>
      </c>
      <c r="H539" s="0" t="n">
        <v>720193</v>
      </c>
      <c r="I539" s="0" t="s">
        <v>34</v>
      </c>
      <c r="J539" s="0" t="s">
        <v>174</v>
      </c>
      <c r="K539" s="0" t="s">
        <v>133</v>
      </c>
      <c r="L539" s="0" t="n">
        <v>226359953</v>
      </c>
      <c r="M539" s="0" t="s">
        <v>1120</v>
      </c>
      <c r="N539" s="0" t="n">
        <v>104537129</v>
      </c>
      <c r="O539" s="0" t="n">
        <v>451</v>
      </c>
      <c r="P539" s="0" t="n">
        <v>1.84</v>
      </c>
      <c r="Q539" s="0" t="n">
        <v>104537129</v>
      </c>
    </row>
    <row r="540" customFormat="false" ht="15" hidden="false" customHeight="false" outlineLevel="0" collapsed="false">
      <c r="A540" s="0" t="e">
        <f aca="false">#N/A</f>
        <v>#N/A</v>
      </c>
      <c r="B540" s="0" t="s">
        <v>3750</v>
      </c>
      <c r="C540" s="0" t="s">
        <v>3751</v>
      </c>
      <c r="D540" s="0" t="s">
        <v>2385</v>
      </c>
      <c r="E540" s="0" t="n">
        <v>43337</v>
      </c>
      <c r="F540" s="0" t="s">
        <v>102</v>
      </c>
      <c r="G540" s="0" t="n">
        <v>21356941</v>
      </c>
      <c r="H540" s="0" t="n">
        <v>720193</v>
      </c>
      <c r="I540" s="0" t="s">
        <v>34</v>
      </c>
      <c r="J540" s="0" t="s">
        <v>174</v>
      </c>
      <c r="K540" s="0" t="s">
        <v>134</v>
      </c>
      <c r="L540" s="0" t="n">
        <v>226359944</v>
      </c>
      <c r="M540" s="0" t="s">
        <v>1135</v>
      </c>
      <c r="N540" s="0" t="n">
        <v>104537816</v>
      </c>
      <c r="O540" s="0" t="n">
        <v>4</v>
      </c>
      <c r="P540" s="0" t="n">
        <v>0.01</v>
      </c>
      <c r="Q540" s="0" t="e">
        <f aca="false">#N/A</f>
        <v>#N/A</v>
      </c>
    </row>
    <row r="541" customFormat="false" ht="15" hidden="false" customHeight="false" outlineLevel="0" collapsed="false">
      <c r="A541" s="0" t="e">
        <f aca="false">#N/A</f>
        <v>#N/A</v>
      </c>
      <c r="B541" s="0" t="s">
        <v>3752</v>
      </c>
      <c r="C541" s="0" t="s">
        <v>3753</v>
      </c>
      <c r="D541" s="0" t="s">
        <v>2385</v>
      </c>
      <c r="E541" s="0" t="n">
        <v>43336</v>
      </c>
      <c r="F541" s="0" t="s">
        <v>102</v>
      </c>
      <c r="G541" s="0" t="n">
        <v>21356941</v>
      </c>
      <c r="H541" s="0" t="n">
        <v>720193</v>
      </c>
      <c r="I541" s="0" t="s">
        <v>34</v>
      </c>
      <c r="J541" s="0" t="s">
        <v>174</v>
      </c>
      <c r="K541" s="0" t="s">
        <v>134</v>
      </c>
      <c r="L541" s="0" t="n">
        <v>226359944</v>
      </c>
      <c r="M541" s="0" t="s">
        <v>1135</v>
      </c>
      <c r="N541" s="0" t="n">
        <v>104537816</v>
      </c>
      <c r="O541" s="0" t="n">
        <v>4</v>
      </c>
      <c r="P541" s="0" t="n">
        <v>0.02</v>
      </c>
      <c r="Q541" s="0" t="e">
        <f aca="false">#N/A</f>
        <v>#N/A</v>
      </c>
    </row>
    <row r="542" customFormat="false" ht="15" hidden="false" customHeight="false" outlineLevel="0" collapsed="false">
      <c r="A542" s="0" t="e">
        <f aca="false">#N/A</f>
        <v>#N/A</v>
      </c>
      <c r="B542" s="0" t="s">
        <v>3754</v>
      </c>
      <c r="C542" s="0" t="s">
        <v>3755</v>
      </c>
      <c r="D542" s="0" t="s">
        <v>2385</v>
      </c>
      <c r="E542" s="0" t="n">
        <v>43335</v>
      </c>
      <c r="F542" s="0" t="s">
        <v>102</v>
      </c>
      <c r="G542" s="0" t="n">
        <v>21356941</v>
      </c>
      <c r="H542" s="0" t="n">
        <v>720193</v>
      </c>
      <c r="I542" s="0" t="s">
        <v>34</v>
      </c>
      <c r="J542" s="0" t="s">
        <v>174</v>
      </c>
      <c r="K542" s="0" t="s">
        <v>134</v>
      </c>
      <c r="L542" s="0" t="n">
        <v>226359944</v>
      </c>
      <c r="M542" s="0" t="s">
        <v>1135</v>
      </c>
      <c r="N542" s="0" t="n">
        <v>104537816</v>
      </c>
      <c r="O542" s="0" t="n">
        <v>16</v>
      </c>
      <c r="P542" s="0" t="n">
        <v>0.02</v>
      </c>
      <c r="Q542" s="0" t="e">
        <f aca="false">#N/A</f>
        <v>#N/A</v>
      </c>
    </row>
    <row r="543" customFormat="false" ht="15" hidden="false" customHeight="false" outlineLevel="0" collapsed="false">
      <c r="A543" s="0" t="e">
        <f aca="false">#N/A</f>
        <v>#N/A</v>
      </c>
      <c r="B543" s="0" t="s">
        <v>3756</v>
      </c>
      <c r="C543" s="0" t="s">
        <v>3757</v>
      </c>
      <c r="D543" s="0" t="s">
        <v>2385</v>
      </c>
      <c r="E543" s="0" t="n">
        <v>43334</v>
      </c>
      <c r="F543" s="0" t="s">
        <v>102</v>
      </c>
      <c r="G543" s="0" t="n">
        <v>21356941</v>
      </c>
      <c r="H543" s="0" t="n">
        <v>720193</v>
      </c>
      <c r="I543" s="0" t="s">
        <v>34</v>
      </c>
      <c r="J543" s="0" t="s">
        <v>174</v>
      </c>
      <c r="K543" s="0" t="s">
        <v>134</v>
      </c>
      <c r="L543" s="0" t="n">
        <v>226359944</v>
      </c>
      <c r="M543" s="0" t="s">
        <v>1135</v>
      </c>
      <c r="N543" s="0" t="n">
        <v>104537816</v>
      </c>
      <c r="O543" s="0" t="n">
        <v>16</v>
      </c>
      <c r="P543" s="0" t="n">
        <v>0.05</v>
      </c>
      <c r="Q543" s="0" t="e">
        <f aca="false">#N/A</f>
        <v>#N/A</v>
      </c>
    </row>
    <row r="544" customFormat="false" ht="15" hidden="false" customHeight="false" outlineLevel="0" collapsed="false">
      <c r="A544" s="0" t="e">
        <f aca="false">#N/A</f>
        <v>#N/A</v>
      </c>
      <c r="B544" s="0" t="s">
        <v>3758</v>
      </c>
      <c r="C544" s="0" t="s">
        <v>3759</v>
      </c>
      <c r="D544" s="0" t="s">
        <v>2385</v>
      </c>
      <c r="E544" s="0" t="n">
        <v>43333</v>
      </c>
      <c r="F544" s="0" t="s">
        <v>102</v>
      </c>
      <c r="G544" s="0" t="n">
        <v>21356941</v>
      </c>
      <c r="H544" s="0" t="n">
        <v>720193</v>
      </c>
      <c r="I544" s="0" t="s">
        <v>34</v>
      </c>
      <c r="J544" s="0" t="s">
        <v>174</v>
      </c>
      <c r="K544" s="0" t="s">
        <v>134</v>
      </c>
      <c r="L544" s="0" t="n">
        <v>226359944</v>
      </c>
      <c r="M544" s="0" t="s">
        <v>1135</v>
      </c>
      <c r="N544" s="0" t="n">
        <v>104537816</v>
      </c>
      <c r="O544" s="0" t="n">
        <v>9</v>
      </c>
      <c r="P544" s="0" t="n">
        <v>0.02</v>
      </c>
      <c r="Q544" s="0" t="e">
        <f aca="false">#N/A</f>
        <v>#N/A</v>
      </c>
    </row>
    <row r="545" customFormat="false" ht="15" hidden="false" customHeight="false" outlineLevel="0" collapsed="false">
      <c r="A545" s="0" t="e">
        <f aca="false">#N/A</f>
        <v>#N/A</v>
      </c>
      <c r="B545" s="0" t="s">
        <v>3760</v>
      </c>
      <c r="C545" s="0" t="s">
        <v>3761</v>
      </c>
      <c r="D545" s="0" t="s">
        <v>2385</v>
      </c>
      <c r="E545" s="0" t="n">
        <v>43332</v>
      </c>
      <c r="F545" s="0" t="s">
        <v>102</v>
      </c>
      <c r="G545" s="0" t="n">
        <v>21356941</v>
      </c>
      <c r="H545" s="0" t="n">
        <v>720193</v>
      </c>
      <c r="I545" s="0" t="s">
        <v>34</v>
      </c>
      <c r="J545" s="0" t="s">
        <v>174</v>
      </c>
      <c r="K545" s="0" t="s">
        <v>134</v>
      </c>
      <c r="L545" s="0" t="n">
        <v>226359944</v>
      </c>
      <c r="M545" s="0" t="s">
        <v>1135</v>
      </c>
      <c r="N545" s="0" t="n">
        <v>104537816</v>
      </c>
      <c r="O545" s="0" t="n">
        <v>3</v>
      </c>
      <c r="P545" s="0" t="n">
        <v>0</v>
      </c>
      <c r="Q545" s="0" t="e">
        <f aca="false">#N/A</f>
        <v>#N/A</v>
      </c>
    </row>
    <row r="546" customFormat="false" ht="15" hidden="false" customHeight="false" outlineLevel="0" collapsed="false">
      <c r="A546" s="0" t="e">
        <f aca="false">#N/A</f>
        <v>#N/A</v>
      </c>
      <c r="B546" s="0" t="s">
        <v>3762</v>
      </c>
      <c r="C546" s="0" t="s">
        <v>3763</v>
      </c>
      <c r="D546" s="0" t="s">
        <v>2385</v>
      </c>
      <c r="E546" s="0" t="n">
        <v>43331</v>
      </c>
      <c r="F546" s="0" t="s">
        <v>102</v>
      </c>
      <c r="G546" s="0" t="n">
        <v>21356941</v>
      </c>
      <c r="H546" s="0" t="n">
        <v>720193</v>
      </c>
      <c r="I546" s="0" t="s">
        <v>34</v>
      </c>
      <c r="J546" s="0" t="s">
        <v>174</v>
      </c>
      <c r="K546" s="0" t="s">
        <v>134</v>
      </c>
      <c r="L546" s="0" t="n">
        <v>226359944</v>
      </c>
      <c r="M546" s="0" t="s">
        <v>1135</v>
      </c>
      <c r="N546" s="0" t="n">
        <v>104537816</v>
      </c>
      <c r="O546" s="0" t="n">
        <v>2</v>
      </c>
      <c r="P546" s="0" t="n">
        <v>0.02</v>
      </c>
      <c r="Q546" s="0" t="e">
        <f aca="false">#N/A</f>
        <v>#N/A</v>
      </c>
    </row>
    <row r="547" customFormat="false" ht="15" hidden="false" customHeight="false" outlineLevel="0" collapsed="false">
      <c r="A547" s="0" t="e">
        <f aca="false">#N/A</f>
        <v>#N/A</v>
      </c>
      <c r="B547" s="0" t="s">
        <v>3764</v>
      </c>
      <c r="C547" s="0" t="s">
        <v>3765</v>
      </c>
      <c r="D547" s="0" t="s">
        <v>2385</v>
      </c>
      <c r="E547" s="0" t="n">
        <v>43337</v>
      </c>
      <c r="F547" s="0" t="s">
        <v>102</v>
      </c>
      <c r="G547" s="0" t="n">
        <v>21356941</v>
      </c>
      <c r="H547" s="0" t="n">
        <v>720193</v>
      </c>
      <c r="I547" s="0" t="s">
        <v>34</v>
      </c>
      <c r="J547" s="0" t="s">
        <v>174</v>
      </c>
      <c r="K547" s="0" t="s">
        <v>135</v>
      </c>
      <c r="L547" s="0" t="n">
        <v>226359950</v>
      </c>
      <c r="M547" s="0" t="s">
        <v>1150</v>
      </c>
      <c r="N547" s="0" t="n">
        <v>104537132</v>
      </c>
      <c r="O547" s="0" t="n">
        <v>4</v>
      </c>
      <c r="P547" s="0" t="n">
        <v>0</v>
      </c>
      <c r="Q547" s="0" t="e">
        <f aca="false">#N/A</f>
        <v>#N/A</v>
      </c>
    </row>
    <row r="548" customFormat="false" ht="15" hidden="false" customHeight="false" outlineLevel="0" collapsed="false">
      <c r="A548" s="0" t="e">
        <f aca="false">#N/A</f>
        <v>#N/A</v>
      </c>
      <c r="B548" s="0" t="s">
        <v>3766</v>
      </c>
      <c r="C548" s="0" t="s">
        <v>3767</v>
      </c>
      <c r="D548" s="0" t="s">
        <v>2385</v>
      </c>
      <c r="E548" s="0" t="n">
        <v>43336</v>
      </c>
      <c r="F548" s="0" t="s">
        <v>102</v>
      </c>
      <c r="G548" s="0" t="n">
        <v>21356941</v>
      </c>
      <c r="H548" s="0" t="n">
        <v>720193</v>
      </c>
      <c r="I548" s="0" t="s">
        <v>34</v>
      </c>
      <c r="J548" s="0" t="s">
        <v>174</v>
      </c>
      <c r="K548" s="0" t="s">
        <v>135</v>
      </c>
      <c r="L548" s="0" t="n">
        <v>226359950</v>
      </c>
      <c r="M548" s="0" t="s">
        <v>1150</v>
      </c>
      <c r="N548" s="0" t="n">
        <v>104537132</v>
      </c>
      <c r="O548" s="0" t="n">
        <v>4</v>
      </c>
      <c r="P548" s="0" t="n">
        <v>0.01</v>
      </c>
      <c r="Q548" s="0" t="e">
        <f aca="false">#N/A</f>
        <v>#N/A</v>
      </c>
    </row>
    <row r="549" customFormat="false" ht="15" hidden="false" customHeight="false" outlineLevel="0" collapsed="false">
      <c r="A549" s="0" t="e">
        <f aca="false">#N/A</f>
        <v>#N/A</v>
      </c>
      <c r="B549" s="0" t="s">
        <v>3768</v>
      </c>
      <c r="C549" s="0" t="s">
        <v>3769</v>
      </c>
      <c r="D549" s="0" t="s">
        <v>2385</v>
      </c>
      <c r="E549" s="0" t="n">
        <v>43335</v>
      </c>
      <c r="F549" s="0" t="s">
        <v>102</v>
      </c>
      <c r="G549" s="0" t="n">
        <v>21356941</v>
      </c>
      <c r="H549" s="0" t="n">
        <v>720193</v>
      </c>
      <c r="I549" s="0" t="s">
        <v>34</v>
      </c>
      <c r="J549" s="0" t="s">
        <v>174</v>
      </c>
      <c r="K549" s="0" t="s">
        <v>135</v>
      </c>
      <c r="L549" s="0" t="n">
        <v>226359950</v>
      </c>
      <c r="M549" s="0" t="s">
        <v>1150</v>
      </c>
      <c r="N549" s="0" t="n">
        <v>104537132</v>
      </c>
      <c r="O549" s="0" t="n">
        <v>14</v>
      </c>
      <c r="P549" s="0" t="n">
        <v>0.04</v>
      </c>
      <c r="Q549" s="0" t="e">
        <f aca="false">#N/A</f>
        <v>#N/A</v>
      </c>
    </row>
    <row r="550" customFormat="false" ht="15" hidden="false" customHeight="false" outlineLevel="0" collapsed="false">
      <c r="A550" s="0" t="e">
        <f aca="false">#N/A</f>
        <v>#N/A</v>
      </c>
      <c r="B550" s="0" t="s">
        <v>3770</v>
      </c>
      <c r="C550" s="0" t="s">
        <v>3771</v>
      </c>
      <c r="D550" s="0" t="s">
        <v>2385</v>
      </c>
      <c r="E550" s="0" t="n">
        <v>43334</v>
      </c>
      <c r="F550" s="0" t="s">
        <v>102</v>
      </c>
      <c r="G550" s="0" t="n">
        <v>21356941</v>
      </c>
      <c r="H550" s="0" t="n">
        <v>720193</v>
      </c>
      <c r="I550" s="0" t="s">
        <v>34</v>
      </c>
      <c r="J550" s="0" t="s">
        <v>174</v>
      </c>
      <c r="K550" s="0" t="s">
        <v>135</v>
      </c>
      <c r="L550" s="0" t="n">
        <v>226359950</v>
      </c>
      <c r="M550" s="0" t="s">
        <v>1150</v>
      </c>
      <c r="N550" s="0" t="n">
        <v>104537132</v>
      </c>
      <c r="O550" s="0" t="n">
        <v>6</v>
      </c>
      <c r="P550" s="0" t="n">
        <v>0.02</v>
      </c>
      <c r="Q550" s="0" t="e">
        <f aca="false">#N/A</f>
        <v>#N/A</v>
      </c>
    </row>
    <row r="551" customFormat="false" ht="15" hidden="false" customHeight="false" outlineLevel="0" collapsed="false">
      <c r="A551" s="0" t="e">
        <f aca="false">#N/A</f>
        <v>#N/A</v>
      </c>
      <c r="B551" s="0" t="s">
        <v>3772</v>
      </c>
      <c r="C551" s="0" t="s">
        <v>3773</v>
      </c>
      <c r="D551" s="0" t="s">
        <v>2385</v>
      </c>
      <c r="E551" s="0" t="n">
        <v>43333</v>
      </c>
      <c r="F551" s="0" t="s">
        <v>102</v>
      </c>
      <c r="G551" s="0" t="n">
        <v>21356941</v>
      </c>
      <c r="H551" s="0" t="n">
        <v>720193</v>
      </c>
      <c r="I551" s="0" t="s">
        <v>34</v>
      </c>
      <c r="J551" s="0" t="s">
        <v>174</v>
      </c>
      <c r="K551" s="0" t="s">
        <v>135</v>
      </c>
      <c r="L551" s="0" t="n">
        <v>226359950</v>
      </c>
      <c r="M551" s="0" t="s">
        <v>1150</v>
      </c>
      <c r="N551" s="0" t="n">
        <v>104537132</v>
      </c>
      <c r="O551" s="0" t="n">
        <v>42</v>
      </c>
      <c r="P551" s="0" t="n">
        <v>0.07</v>
      </c>
      <c r="Q551" s="0" t="e">
        <f aca="false">#N/A</f>
        <v>#N/A</v>
      </c>
    </row>
    <row r="552" customFormat="false" ht="15" hidden="false" customHeight="false" outlineLevel="0" collapsed="false">
      <c r="A552" s="0" t="s">
        <v>3774</v>
      </c>
      <c r="B552" s="0" t="s">
        <v>3775</v>
      </c>
      <c r="C552" s="0" t="s">
        <v>3776</v>
      </c>
      <c r="D552" s="0" t="s">
        <v>2385</v>
      </c>
      <c r="E552" s="0" t="n">
        <v>43332</v>
      </c>
      <c r="F552" s="0" t="s">
        <v>102</v>
      </c>
      <c r="G552" s="0" t="n">
        <v>21356941</v>
      </c>
      <c r="H552" s="0" t="n">
        <v>720193</v>
      </c>
      <c r="I552" s="0" t="s">
        <v>34</v>
      </c>
      <c r="J552" s="0" t="s">
        <v>174</v>
      </c>
      <c r="K552" s="0" t="s">
        <v>135</v>
      </c>
      <c r="L552" s="0" t="n">
        <v>226359950</v>
      </c>
      <c r="M552" s="0" t="s">
        <v>1150</v>
      </c>
      <c r="N552" s="0" t="n">
        <v>104537132</v>
      </c>
      <c r="O552" s="0" t="n">
        <v>97</v>
      </c>
      <c r="P552" s="0" t="n">
        <v>0.32</v>
      </c>
      <c r="Q552" s="0" t="n">
        <v>104537132</v>
      </c>
    </row>
    <row r="553" customFormat="false" ht="15" hidden="false" customHeight="false" outlineLevel="0" collapsed="false">
      <c r="A553" s="0" t="s">
        <v>3777</v>
      </c>
      <c r="B553" s="0" t="s">
        <v>3778</v>
      </c>
      <c r="C553" s="0" t="s">
        <v>3779</v>
      </c>
      <c r="D553" s="0" t="s">
        <v>2385</v>
      </c>
      <c r="E553" s="0" t="n">
        <v>43331</v>
      </c>
      <c r="F553" s="0" t="s">
        <v>102</v>
      </c>
      <c r="G553" s="0" t="n">
        <v>21356941</v>
      </c>
      <c r="H553" s="0" t="n">
        <v>720193</v>
      </c>
      <c r="I553" s="0" t="s">
        <v>34</v>
      </c>
      <c r="J553" s="0" t="s">
        <v>174</v>
      </c>
      <c r="K553" s="0" t="s">
        <v>135</v>
      </c>
      <c r="L553" s="0" t="n">
        <v>226359950</v>
      </c>
      <c r="M553" s="0" t="s">
        <v>1150</v>
      </c>
      <c r="N553" s="0" t="n">
        <v>104537132</v>
      </c>
      <c r="O553" s="0" t="n">
        <v>176</v>
      </c>
      <c r="P553" s="0" t="n">
        <v>0.54</v>
      </c>
      <c r="Q553" s="0" t="n">
        <v>104537132</v>
      </c>
    </row>
    <row r="554" customFormat="false" ht="15" hidden="false" customHeight="false" outlineLevel="0" collapsed="false">
      <c r="A554" s="0" t="s">
        <v>3780</v>
      </c>
      <c r="B554" s="0" t="s">
        <v>3781</v>
      </c>
      <c r="C554" s="0" t="s">
        <v>3782</v>
      </c>
      <c r="D554" s="0" t="s">
        <v>2385</v>
      </c>
      <c r="E554" s="0" t="n">
        <v>43337</v>
      </c>
      <c r="F554" s="0" t="s">
        <v>102</v>
      </c>
      <c r="G554" s="0" t="n">
        <v>21356941</v>
      </c>
      <c r="H554" s="0" t="n">
        <v>720193</v>
      </c>
      <c r="I554" s="0" t="s">
        <v>34</v>
      </c>
      <c r="J554" s="0" t="s">
        <v>174</v>
      </c>
      <c r="K554" s="0" t="s">
        <v>136</v>
      </c>
      <c r="L554" s="0" t="n">
        <v>226360019</v>
      </c>
      <c r="M554" s="0" t="s">
        <v>1105</v>
      </c>
      <c r="N554" s="0" t="n">
        <v>104537813</v>
      </c>
      <c r="O554" s="0" t="n">
        <v>404</v>
      </c>
      <c r="P554" s="0" t="n">
        <v>1.63</v>
      </c>
      <c r="Q554" s="0" t="n">
        <v>104537813</v>
      </c>
    </row>
    <row r="555" customFormat="false" ht="15" hidden="false" customHeight="false" outlineLevel="0" collapsed="false">
      <c r="A555" s="0" t="s">
        <v>3783</v>
      </c>
      <c r="B555" s="0" t="s">
        <v>3784</v>
      </c>
      <c r="C555" s="0" t="s">
        <v>3785</v>
      </c>
      <c r="D555" s="0" t="s">
        <v>2385</v>
      </c>
      <c r="E555" s="0" t="n">
        <v>43336</v>
      </c>
      <c r="F555" s="0" t="s">
        <v>102</v>
      </c>
      <c r="G555" s="0" t="n">
        <v>21356941</v>
      </c>
      <c r="H555" s="0" t="n">
        <v>720193</v>
      </c>
      <c r="I555" s="0" t="s">
        <v>34</v>
      </c>
      <c r="J555" s="0" t="s">
        <v>174</v>
      </c>
      <c r="K555" s="0" t="s">
        <v>136</v>
      </c>
      <c r="L555" s="0" t="n">
        <v>226360019</v>
      </c>
      <c r="M555" s="0" t="s">
        <v>1105</v>
      </c>
      <c r="N555" s="0" t="n">
        <v>104537813</v>
      </c>
      <c r="O555" s="0" t="n">
        <v>439</v>
      </c>
      <c r="P555" s="0" t="n">
        <v>1.53</v>
      </c>
      <c r="Q555" s="0" t="n">
        <v>104537813</v>
      </c>
    </row>
    <row r="556" customFormat="false" ht="15" hidden="false" customHeight="false" outlineLevel="0" collapsed="false">
      <c r="A556" s="0" t="s">
        <v>3786</v>
      </c>
      <c r="B556" s="0" t="s">
        <v>3787</v>
      </c>
      <c r="C556" s="0" t="s">
        <v>3788</v>
      </c>
      <c r="D556" s="0" t="s">
        <v>2385</v>
      </c>
      <c r="E556" s="0" t="n">
        <v>43335</v>
      </c>
      <c r="F556" s="0" t="s">
        <v>102</v>
      </c>
      <c r="G556" s="0" t="n">
        <v>21356941</v>
      </c>
      <c r="H556" s="0" t="n">
        <v>720193</v>
      </c>
      <c r="I556" s="0" t="s">
        <v>34</v>
      </c>
      <c r="J556" s="0" t="s">
        <v>174</v>
      </c>
      <c r="K556" s="0" t="s">
        <v>136</v>
      </c>
      <c r="L556" s="0" t="n">
        <v>226360019</v>
      </c>
      <c r="M556" s="0" t="s">
        <v>1105</v>
      </c>
      <c r="N556" s="0" t="n">
        <v>104537813</v>
      </c>
      <c r="O556" s="0" t="n">
        <v>1087</v>
      </c>
      <c r="P556" s="0" t="n">
        <v>3.74</v>
      </c>
      <c r="Q556" s="0" t="n">
        <v>104537813</v>
      </c>
    </row>
    <row r="557" customFormat="false" ht="15" hidden="false" customHeight="false" outlineLevel="0" collapsed="false">
      <c r="A557" s="0" t="s">
        <v>3789</v>
      </c>
      <c r="B557" s="0" t="s">
        <v>3790</v>
      </c>
      <c r="C557" s="0" t="s">
        <v>3791</v>
      </c>
      <c r="D557" s="0" t="s">
        <v>2385</v>
      </c>
      <c r="E557" s="0" t="n">
        <v>43334</v>
      </c>
      <c r="F557" s="0" t="s">
        <v>102</v>
      </c>
      <c r="G557" s="0" t="n">
        <v>21356941</v>
      </c>
      <c r="H557" s="0" t="n">
        <v>720193</v>
      </c>
      <c r="I557" s="0" t="s">
        <v>34</v>
      </c>
      <c r="J557" s="0" t="s">
        <v>174</v>
      </c>
      <c r="K557" s="0" t="s">
        <v>136</v>
      </c>
      <c r="L557" s="0" t="n">
        <v>226360019</v>
      </c>
      <c r="M557" s="0" t="s">
        <v>1105</v>
      </c>
      <c r="N557" s="0" t="n">
        <v>104537813</v>
      </c>
      <c r="O557" s="0" t="n">
        <v>644</v>
      </c>
      <c r="P557" s="0" t="n">
        <v>2.73</v>
      </c>
      <c r="Q557" s="0" t="n">
        <v>104537813</v>
      </c>
    </row>
    <row r="558" customFormat="false" ht="15" hidden="false" customHeight="false" outlineLevel="0" collapsed="false">
      <c r="A558" s="0" t="s">
        <v>3792</v>
      </c>
      <c r="B558" s="0" t="s">
        <v>3793</v>
      </c>
      <c r="C558" s="0" t="s">
        <v>3794</v>
      </c>
      <c r="D558" s="0" t="s">
        <v>2385</v>
      </c>
      <c r="E558" s="0" t="n">
        <v>43333</v>
      </c>
      <c r="F558" s="0" t="s">
        <v>102</v>
      </c>
      <c r="G558" s="0" t="n">
        <v>21356941</v>
      </c>
      <c r="H558" s="0" t="n">
        <v>720193</v>
      </c>
      <c r="I558" s="0" t="s">
        <v>34</v>
      </c>
      <c r="J558" s="0" t="s">
        <v>174</v>
      </c>
      <c r="K558" s="0" t="s">
        <v>136</v>
      </c>
      <c r="L558" s="0" t="n">
        <v>226360019</v>
      </c>
      <c r="M558" s="0" t="s">
        <v>1105</v>
      </c>
      <c r="N558" s="0" t="n">
        <v>104537813</v>
      </c>
      <c r="O558" s="0" t="n">
        <v>1596</v>
      </c>
      <c r="P558" s="0" t="n">
        <v>5.93</v>
      </c>
      <c r="Q558" s="0" t="n">
        <v>104537813</v>
      </c>
    </row>
    <row r="559" customFormat="false" ht="15" hidden="false" customHeight="false" outlineLevel="0" collapsed="false">
      <c r="A559" s="0" t="s">
        <v>3795</v>
      </c>
      <c r="B559" s="0" t="s">
        <v>3796</v>
      </c>
      <c r="C559" s="0" t="s">
        <v>3797</v>
      </c>
      <c r="D559" s="0" t="s">
        <v>2385</v>
      </c>
      <c r="E559" s="0" t="n">
        <v>43332</v>
      </c>
      <c r="F559" s="0" t="s">
        <v>102</v>
      </c>
      <c r="G559" s="0" t="n">
        <v>21356941</v>
      </c>
      <c r="H559" s="0" t="n">
        <v>720193</v>
      </c>
      <c r="I559" s="0" t="s">
        <v>34</v>
      </c>
      <c r="J559" s="0" t="s">
        <v>174</v>
      </c>
      <c r="K559" s="0" t="s">
        <v>136</v>
      </c>
      <c r="L559" s="0" t="n">
        <v>226360019</v>
      </c>
      <c r="M559" s="0" t="s">
        <v>1105</v>
      </c>
      <c r="N559" s="0" t="n">
        <v>104537813</v>
      </c>
      <c r="O559" s="0" t="n">
        <v>1522</v>
      </c>
      <c r="P559" s="0" t="n">
        <v>6.04</v>
      </c>
      <c r="Q559" s="0" t="n">
        <v>104537813</v>
      </c>
    </row>
    <row r="560" customFormat="false" ht="15" hidden="false" customHeight="false" outlineLevel="0" collapsed="false">
      <c r="A560" s="0" t="s">
        <v>3798</v>
      </c>
      <c r="B560" s="0" t="s">
        <v>3799</v>
      </c>
      <c r="C560" s="0" t="s">
        <v>3800</v>
      </c>
      <c r="D560" s="0" t="s">
        <v>2385</v>
      </c>
      <c r="E560" s="0" t="n">
        <v>43331</v>
      </c>
      <c r="F560" s="0" t="s">
        <v>102</v>
      </c>
      <c r="G560" s="0" t="n">
        <v>21356941</v>
      </c>
      <c r="H560" s="0" t="n">
        <v>720193</v>
      </c>
      <c r="I560" s="0" t="s">
        <v>34</v>
      </c>
      <c r="J560" s="0" t="s">
        <v>174</v>
      </c>
      <c r="K560" s="0" t="s">
        <v>136</v>
      </c>
      <c r="L560" s="0" t="n">
        <v>226360019</v>
      </c>
      <c r="M560" s="0" t="s">
        <v>1105</v>
      </c>
      <c r="N560" s="0" t="n">
        <v>104537813</v>
      </c>
      <c r="O560" s="0" t="n">
        <v>712</v>
      </c>
      <c r="P560" s="0" t="n">
        <v>2.92</v>
      </c>
      <c r="Q560" s="0" t="n">
        <v>104537813</v>
      </c>
    </row>
    <row r="561" customFormat="false" ht="15" hidden="false" customHeight="false" outlineLevel="0" collapsed="false">
      <c r="A561" s="0" t="e">
        <f aca="false">#N/A</f>
        <v>#N/A</v>
      </c>
      <c r="B561" s="0" t="s">
        <v>3801</v>
      </c>
      <c r="C561" s="0" t="s">
        <v>3802</v>
      </c>
      <c r="D561" s="0" t="s">
        <v>2385</v>
      </c>
      <c r="E561" s="0" t="n">
        <v>43337</v>
      </c>
      <c r="F561" s="0" t="s">
        <v>102</v>
      </c>
      <c r="G561" s="0" t="n">
        <v>21356941</v>
      </c>
      <c r="H561" s="0" t="n">
        <v>720193</v>
      </c>
      <c r="I561" s="0" t="s">
        <v>34</v>
      </c>
      <c r="J561" s="0" t="s">
        <v>174</v>
      </c>
      <c r="K561" s="0" t="s">
        <v>137</v>
      </c>
      <c r="L561" s="0" t="n">
        <v>226359881</v>
      </c>
      <c r="M561" s="0" t="s">
        <v>1105</v>
      </c>
      <c r="N561" s="0" t="n">
        <v>104537813</v>
      </c>
      <c r="O561" s="0" t="n">
        <v>0</v>
      </c>
      <c r="P561" s="0" t="n">
        <v>0</v>
      </c>
      <c r="Q561" s="0" t="e">
        <f aca="false">#N/A</f>
        <v>#N/A</v>
      </c>
    </row>
    <row r="562" customFormat="false" ht="15" hidden="false" customHeight="false" outlineLevel="0" collapsed="false">
      <c r="A562" s="0" t="e">
        <f aca="false">#N/A</f>
        <v>#N/A</v>
      </c>
      <c r="B562" s="0" t="s">
        <v>3803</v>
      </c>
      <c r="C562" s="0" t="s">
        <v>3804</v>
      </c>
      <c r="D562" s="0" t="s">
        <v>2385</v>
      </c>
      <c r="E562" s="0" t="n">
        <v>43336</v>
      </c>
      <c r="F562" s="0" t="s">
        <v>102</v>
      </c>
      <c r="G562" s="0" t="n">
        <v>21356941</v>
      </c>
      <c r="H562" s="0" t="n">
        <v>720193</v>
      </c>
      <c r="I562" s="0" t="s">
        <v>34</v>
      </c>
      <c r="J562" s="0" t="s">
        <v>174</v>
      </c>
      <c r="K562" s="0" t="s">
        <v>137</v>
      </c>
      <c r="L562" s="0" t="n">
        <v>226359881</v>
      </c>
      <c r="M562" s="0" t="s">
        <v>1105</v>
      </c>
      <c r="N562" s="0" t="n">
        <v>104537813</v>
      </c>
      <c r="O562" s="0" t="n">
        <v>0</v>
      </c>
      <c r="P562" s="0" t="n">
        <v>0</v>
      </c>
      <c r="Q562" s="0" t="e">
        <f aca="false">#N/A</f>
        <v>#N/A</v>
      </c>
    </row>
    <row r="563" customFormat="false" ht="15" hidden="false" customHeight="false" outlineLevel="0" collapsed="false">
      <c r="A563" s="0" t="e">
        <f aca="false">#N/A</f>
        <v>#N/A</v>
      </c>
      <c r="B563" s="0" t="s">
        <v>3805</v>
      </c>
      <c r="C563" s="0" t="s">
        <v>3806</v>
      </c>
      <c r="D563" s="0" t="s">
        <v>2385</v>
      </c>
      <c r="E563" s="0" t="n">
        <v>43335</v>
      </c>
      <c r="F563" s="0" t="s">
        <v>102</v>
      </c>
      <c r="G563" s="0" t="n">
        <v>21356941</v>
      </c>
      <c r="H563" s="0" t="n">
        <v>720193</v>
      </c>
      <c r="I563" s="0" t="s">
        <v>34</v>
      </c>
      <c r="J563" s="0" t="s">
        <v>174</v>
      </c>
      <c r="K563" s="0" t="s">
        <v>137</v>
      </c>
      <c r="L563" s="0" t="n">
        <v>226359881</v>
      </c>
      <c r="M563" s="0" t="s">
        <v>1105</v>
      </c>
      <c r="N563" s="0" t="n">
        <v>104537813</v>
      </c>
      <c r="O563" s="0" t="n">
        <v>0</v>
      </c>
      <c r="P563" s="0" t="n">
        <v>0</v>
      </c>
      <c r="Q563" s="0" t="e">
        <f aca="false">#N/A</f>
        <v>#N/A</v>
      </c>
    </row>
    <row r="564" customFormat="false" ht="15" hidden="false" customHeight="false" outlineLevel="0" collapsed="false">
      <c r="A564" s="0" t="e">
        <f aca="false">#N/A</f>
        <v>#N/A</v>
      </c>
      <c r="B564" s="0" t="s">
        <v>3807</v>
      </c>
      <c r="C564" s="0" t="s">
        <v>3808</v>
      </c>
      <c r="D564" s="0" t="s">
        <v>2385</v>
      </c>
      <c r="E564" s="0" t="n">
        <v>43334</v>
      </c>
      <c r="F564" s="0" t="s">
        <v>102</v>
      </c>
      <c r="G564" s="0" t="n">
        <v>21356941</v>
      </c>
      <c r="H564" s="0" t="n">
        <v>720193</v>
      </c>
      <c r="I564" s="0" t="s">
        <v>34</v>
      </c>
      <c r="J564" s="0" t="s">
        <v>174</v>
      </c>
      <c r="K564" s="0" t="s">
        <v>137</v>
      </c>
      <c r="L564" s="0" t="n">
        <v>226359881</v>
      </c>
      <c r="M564" s="0" t="s">
        <v>1105</v>
      </c>
      <c r="N564" s="0" t="n">
        <v>104537813</v>
      </c>
      <c r="O564" s="0" t="n">
        <v>0</v>
      </c>
      <c r="P564" s="0" t="n">
        <v>0</v>
      </c>
      <c r="Q564" s="0" t="e">
        <f aca="false">#N/A</f>
        <v>#N/A</v>
      </c>
    </row>
    <row r="565" customFormat="false" ht="15" hidden="false" customHeight="false" outlineLevel="0" collapsed="false">
      <c r="A565" s="0" t="e">
        <f aca="false">#N/A</f>
        <v>#N/A</v>
      </c>
      <c r="B565" s="0" t="s">
        <v>3809</v>
      </c>
      <c r="C565" s="0" t="s">
        <v>3810</v>
      </c>
      <c r="D565" s="0" t="s">
        <v>2385</v>
      </c>
      <c r="E565" s="0" t="n">
        <v>43333</v>
      </c>
      <c r="F565" s="0" t="s">
        <v>102</v>
      </c>
      <c r="G565" s="0" t="n">
        <v>21356941</v>
      </c>
      <c r="H565" s="0" t="n">
        <v>720193</v>
      </c>
      <c r="I565" s="0" t="s">
        <v>34</v>
      </c>
      <c r="J565" s="0" t="s">
        <v>174</v>
      </c>
      <c r="K565" s="0" t="s">
        <v>137</v>
      </c>
      <c r="L565" s="0" t="n">
        <v>226359881</v>
      </c>
      <c r="M565" s="0" t="s">
        <v>1105</v>
      </c>
      <c r="N565" s="0" t="n">
        <v>104537813</v>
      </c>
      <c r="O565" s="0" t="n">
        <v>0</v>
      </c>
      <c r="P565" s="0" t="n">
        <v>0</v>
      </c>
      <c r="Q565" s="0" t="e">
        <f aca="false">#N/A</f>
        <v>#N/A</v>
      </c>
    </row>
    <row r="566" customFormat="false" ht="15" hidden="false" customHeight="false" outlineLevel="0" collapsed="false">
      <c r="A566" s="0" t="e">
        <f aca="false">#N/A</f>
        <v>#N/A</v>
      </c>
      <c r="B566" s="0" t="s">
        <v>3811</v>
      </c>
      <c r="C566" s="0" t="s">
        <v>3812</v>
      </c>
      <c r="D566" s="0" t="s">
        <v>2385</v>
      </c>
      <c r="E566" s="0" t="n">
        <v>43332</v>
      </c>
      <c r="F566" s="0" t="s">
        <v>102</v>
      </c>
      <c r="G566" s="0" t="n">
        <v>21356941</v>
      </c>
      <c r="H566" s="0" t="n">
        <v>720193</v>
      </c>
      <c r="I566" s="0" t="s">
        <v>34</v>
      </c>
      <c r="J566" s="0" t="s">
        <v>174</v>
      </c>
      <c r="K566" s="0" t="s">
        <v>137</v>
      </c>
      <c r="L566" s="0" t="n">
        <v>226359881</v>
      </c>
      <c r="M566" s="0" t="s">
        <v>1105</v>
      </c>
      <c r="N566" s="0" t="n">
        <v>104537813</v>
      </c>
      <c r="O566" s="0" t="n">
        <v>0</v>
      </c>
      <c r="P566" s="0" t="n">
        <v>0</v>
      </c>
      <c r="Q566" s="0" t="e">
        <f aca="false">#N/A</f>
        <v>#N/A</v>
      </c>
    </row>
    <row r="567" customFormat="false" ht="15" hidden="false" customHeight="false" outlineLevel="0" collapsed="false">
      <c r="A567" s="0" t="e">
        <f aca="false">#N/A</f>
        <v>#N/A</v>
      </c>
      <c r="B567" s="0" t="s">
        <v>3813</v>
      </c>
      <c r="C567" s="0" t="s">
        <v>3814</v>
      </c>
      <c r="D567" s="0" t="s">
        <v>2385</v>
      </c>
      <c r="E567" s="0" t="n">
        <v>43331</v>
      </c>
      <c r="F567" s="0" t="s">
        <v>102</v>
      </c>
      <c r="G567" s="0" t="n">
        <v>21356941</v>
      </c>
      <c r="H567" s="0" t="n">
        <v>720193</v>
      </c>
      <c r="I567" s="0" t="s">
        <v>34</v>
      </c>
      <c r="J567" s="0" t="s">
        <v>174</v>
      </c>
      <c r="K567" s="0" t="s">
        <v>137</v>
      </c>
      <c r="L567" s="0" t="n">
        <v>226359881</v>
      </c>
      <c r="M567" s="0" t="s">
        <v>1105</v>
      </c>
      <c r="N567" s="0" t="n">
        <v>104537813</v>
      </c>
      <c r="O567" s="0" t="n">
        <v>0</v>
      </c>
      <c r="P567" s="0" t="n">
        <v>0</v>
      </c>
      <c r="Q567" s="0" t="e">
        <f aca="false">#N/A</f>
        <v>#N/A</v>
      </c>
    </row>
    <row r="568" customFormat="false" ht="15" hidden="false" customHeight="false" outlineLevel="0" collapsed="false">
      <c r="A568" s="0" t="e">
        <f aca="false">#N/A</f>
        <v>#N/A</v>
      </c>
      <c r="B568" s="0" t="s">
        <v>3815</v>
      </c>
      <c r="C568" s="0" t="s">
        <v>3816</v>
      </c>
      <c r="D568" s="0" t="s">
        <v>2385</v>
      </c>
      <c r="E568" s="0" t="n">
        <v>43337</v>
      </c>
      <c r="F568" s="0" t="s">
        <v>102</v>
      </c>
      <c r="G568" s="0" t="n">
        <v>21356941</v>
      </c>
      <c r="H568" s="0" t="n">
        <v>720193</v>
      </c>
      <c r="I568" s="0" t="s">
        <v>34</v>
      </c>
      <c r="J568" s="0" t="s">
        <v>174</v>
      </c>
      <c r="K568" s="0" t="s">
        <v>138</v>
      </c>
      <c r="L568" s="0" t="n">
        <v>226360031</v>
      </c>
      <c r="M568" s="0" t="s">
        <v>1120</v>
      </c>
      <c r="N568" s="0" t="n">
        <v>104537129</v>
      </c>
      <c r="O568" s="0" t="n">
        <v>33</v>
      </c>
      <c r="P568" s="0" t="n">
        <v>0.07</v>
      </c>
      <c r="Q568" s="0" t="e">
        <f aca="false">#N/A</f>
        <v>#N/A</v>
      </c>
    </row>
    <row r="569" customFormat="false" ht="15" hidden="false" customHeight="false" outlineLevel="0" collapsed="false">
      <c r="A569" s="0" t="e">
        <f aca="false">#N/A</f>
        <v>#N/A</v>
      </c>
      <c r="B569" s="0" t="s">
        <v>3817</v>
      </c>
      <c r="C569" s="0" t="s">
        <v>3818</v>
      </c>
      <c r="D569" s="0" t="s">
        <v>2385</v>
      </c>
      <c r="E569" s="0" t="n">
        <v>43336</v>
      </c>
      <c r="F569" s="0" t="s">
        <v>102</v>
      </c>
      <c r="G569" s="0" t="n">
        <v>21356941</v>
      </c>
      <c r="H569" s="0" t="n">
        <v>720193</v>
      </c>
      <c r="I569" s="0" t="s">
        <v>34</v>
      </c>
      <c r="J569" s="0" t="s">
        <v>174</v>
      </c>
      <c r="K569" s="0" t="s">
        <v>138</v>
      </c>
      <c r="L569" s="0" t="n">
        <v>226360031</v>
      </c>
      <c r="M569" s="0" t="s">
        <v>1120</v>
      </c>
      <c r="N569" s="0" t="n">
        <v>104537129</v>
      </c>
      <c r="O569" s="0" t="n">
        <v>10</v>
      </c>
      <c r="P569" s="0" t="n">
        <v>0.01</v>
      </c>
      <c r="Q569" s="0" t="e">
        <f aca="false">#N/A</f>
        <v>#N/A</v>
      </c>
    </row>
    <row r="570" customFormat="false" ht="15" hidden="false" customHeight="false" outlineLevel="0" collapsed="false">
      <c r="A570" s="0" t="e">
        <f aca="false">#N/A</f>
        <v>#N/A</v>
      </c>
      <c r="B570" s="0" t="s">
        <v>3819</v>
      </c>
      <c r="C570" s="0" t="s">
        <v>3820</v>
      </c>
      <c r="D570" s="0" t="s">
        <v>2385</v>
      </c>
      <c r="E570" s="0" t="n">
        <v>43335</v>
      </c>
      <c r="F570" s="0" t="s">
        <v>102</v>
      </c>
      <c r="G570" s="0" t="n">
        <v>21356941</v>
      </c>
      <c r="H570" s="0" t="n">
        <v>720193</v>
      </c>
      <c r="I570" s="0" t="s">
        <v>34</v>
      </c>
      <c r="J570" s="0" t="s">
        <v>174</v>
      </c>
      <c r="K570" s="0" t="s">
        <v>138</v>
      </c>
      <c r="L570" s="0" t="n">
        <v>226360031</v>
      </c>
      <c r="M570" s="0" t="s">
        <v>1120</v>
      </c>
      <c r="N570" s="0" t="n">
        <v>104537129</v>
      </c>
      <c r="O570" s="0" t="n">
        <v>64</v>
      </c>
      <c r="P570" s="0" t="n">
        <v>0.1</v>
      </c>
      <c r="Q570" s="0" t="e">
        <f aca="false">#N/A</f>
        <v>#N/A</v>
      </c>
    </row>
    <row r="571" customFormat="false" ht="15" hidden="false" customHeight="false" outlineLevel="0" collapsed="false">
      <c r="A571" s="0" t="s">
        <v>3821</v>
      </c>
      <c r="B571" s="0" t="s">
        <v>3822</v>
      </c>
      <c r="C571" s="0" t="s">
        <v>3823</v>
      </c>
      <c r="D571" s="0" t="s">
        <v>2385</v>
      </c>
      <c r="E571" s="0" t="n">
        <v>43334</v>
      </c>
      <c r="F571" s="0" t="s">
        <v>102</v>
      </c>
      <c r="G571" s="0" t="n">
        <v>21356941</v>
      </c>
      <c r="H571" s="0" t="n">
        <v>720193</v>
      </c>
      <c r="I571" s="0" t="s">
        <v>34</v>
      </c>
      <c r="J571" s="0" t="s">
        <v>174</v>
      </c>
      <c r="K571" s="0" t="s">
        <v>138</v>
      </c>
      <c r="L571" s="0" t="n">
        <v>226360031</v>
      </c>
      <c r="M571" s="0" t="s">
        <v>1120</v>
      </c>
      <c r="N571" s="0" t="n">
        <v>104537129</v>
      </c>
      <c r="O571" s="0" t="n">
        <v>227</v>
      </c>
      <c r="P571" s="0" t="n">
        <v>0.83</v>
      </c>
      <c r="Q571" s="0" t="n">
        <v>104537129</v>
      </c>
    </row>
    <row r="572" customFormat="false" ht="15" hidden="false" customHeight="false" outlineLevel="0" collapsed="false">
      <c r="A572" s="0" t="s">
        <v>3824</v>
      </c>
      <c r="B572" s="0" t="s">
        <v>3825</v>
      </c>
      <c r="C572" s="0" t="s">
        <v>3826</v>
      </c>
      <c r="D572" s="0" t="s">
        <v>2385</v>
      </c>
      <c r="E572" s="0" t="n">
        <v>43333</v>
      </c>
      <c r="F572" s="0" t="s">
        <v>102</v>
      </c>
      <c r="G572" s="0" t="n">
        <v>21356941</v>
      </c>
      <c r="H572" s="0" t="n">
        <v>720193</v>
      </c>
      <c r="I572" s="0" t="s">
        <v>34</v>
      </c>
      <c r="J572" s="0" t="s">
        <v>174</v>
      </c>
      <c r="K572" s="0" t="s">
        <v>138</v>
      </c>
      <c r="L572" s="0" t="n">
        <v>226360031</v>
      </c>
      <c r="M572" s="0" t="s">
        <v>1120</v>
      </c>
      <c r="N572" s="0" t="n">
        <v>104537129</v>
      </c>
      <c r="O572" s="0" t="n">
        <v>358</v>
      </c>
      <c r="P572" s="0" t="n">
        <v>0.95</v>
      </c>
      <c r="Q572" s="0" t="n">
        <v>104537129</v>
      </c>
    </row>
    <row r="573" customFormat="false" ht="15" hidden="false" customHeight="false" outlineLevel="0" collapsed="false">
      <c r="A573" s="0" t="s">
        <v>3827</v>
      </c>
      <c r="B573" s="0" t="s">
        <v>3828</v>
      </c>
      <c r="C573" s="0" t="s">
        <v>3829</v>
      </c>
      <c r="D573" s="0" t="s">
        <v>2385</v>
      </c>
      <c r="E573" s="0" t="n">
        <v>43332</v>
      </c>
      <c r="F573" s="0" t="s">
        <v>102</v>
      </c>
      <c r="G573" s="0" t="n">
        <v>21356941</v>
      </c>
      <c r="H573" s="0" t="n">
        <v>720193</v>
      </c>
      <c r="I573" s="0" t="s">
        <v>34</v>
      </c>
      <c r="J573" s="0" t="s">
        <v>174</v>
      </c>
      <c r="K573" s="0" t="s">
        <v>138</v>
      </c>
      <c r="L573" s="0" t="n">
        <v>226360031</v>
      </c>
      <c r="M573" s="0" t="s">
        <v>1120</v>
      </c>
      <c r="N573" s="0" t="n">
        <v>104537129</v>
      </c>
      <c r="O573" s="0" t="n">
        <v>94</v>
      </c>
      <c r="P573" s="0" t="n">
        <v>0.32</v>
      </c>
      <c r="Q573" s="0" t="n">
        <v>104537129</v>
      </c>
    </row>
    <row r="574" customFormat="false" ht="15" hidden="false" customHeight="false" outlineLevel="0" collapsed="false">
      <c r="A574" s="0" t="s">
        <v>3830</v>
      </c>
      <c r="B574" s="0" t="s">
        <v>3831</v>
      </c>
      <c r="C574" s="0" t="s">
        <v>3832</v>
      </c>
      <c r="D574" s="0" t="s">
        <v>2385</v>
      </c>
      <c r="E574" s="0" t="n">
        <v>43331</v>
      </c>
      <c r="F574" s="0" t="s">
        <v>102</v>
      </c>
      <c r="G574" s="0" t="n">
        <v>21356941</v>
      </c>
      <c r="H574" s="0" t="n">
        <v>720193</v>
      </c>
      <c r="I574" s="0" t="s">
        <v>34</v>
      </c>
      <c r="J574" s="0" t="s">
        <v>174</v>
      </c>
      <c r="K574" s="0" t="s">
        <v>138</v>
      </c>
      <c r="L574" s="0" t="n">
        <v>226360031</v>
      </c>
      <c r="M574" s="0" t="s">
        <v>1120</v>
      </c>
      <c r="N574" s="0" t="n">
        <v>104537129</v>
      </c>
      <c r="O574" s="0" t="n">
        <v>26</v>
      </c>
      <c r="P574" s="0" t="n">
        <v>0.12</v>
      </c>
      <c r="Q574" s="0" t="n">
        <v>104537129</v>
      </c>
    </row>
    <row r="575" customFormat="false" ht="15" hidden="false" customHeight="false" outlineLevel="0" collapsed="false">
      <c r="A575" s="0" t="e">
        <f aca="false">#N/A</f>
        <v>#N/A</v>
      </c>
      <c r="B575" s="0" t="s">
        <v>3833</v>
      </c>
      <c r="C575" s="0" t="s">
        <v>3834</v>
      </c>
      <c r="D575" s="0" t="s">
        <v>2385</v>
      </c>
      <c r="E575" s="0" t="n">
        <v>43337</v>
      </c>
      <c r="F575" s="0" t="s">
        <v>102</v>
      </c>
      <c r="G575" s="0" t="n">
        <v>21356941</v>
      </c>
      <c r="H575" s="0" t="n">
        <v>720193</v>
      </c>
      <c r="I575" s="0" t="s">
        <v>34</v>
      </c>
      <c r="J575" s="0" t="s">
        <v>174</v>
      </c>
      <c r="K575" s="0" t="s">
        <v>139</v>
      </c>
      <c r="L575" s="0" t="n">
        <v>226359887</v>
      </c>
      <c r="M575" s="0" t="s">
        <v>1120</v>
      </c>
      <c r="N575" s="0" t="n">
        <v>104537129</v>
      </c>
      <c r="O575" s="0" t="n">
        <v>0</v>
      </c>
      <c r="P575" s="0" t="n">
        <v>0</v>
      </c>
      <c r="Q575" s="0" t="e">
        <f aca="false">#N/A</f>
        <v>#N/A</v>
      </c>
    </row>
    <row r="576" customFormat="false" ht="15" hidden="false" customHeight="false" outlineLevel="0" collapsed="false">
      <c r="A576" s="0" t="e">
        <f aca="false">#N/A</f>
        <v>#N/A</v>
      </c>
      <c r="B576" s="0" t="s">
        <v>3835</v>
      </c>
      <c r="C576" s="0" t="s">
        <v>3836</v>
      </c>
      <c r="D576" s="0" t="s">
        <v>2385</v>
      </c>
      <c r="E576" s="0" t="n">
        <v>43336</v>
      </c>
      <c r="F576" s="0" t="s">
        <v>102</v>
      </c>
      <c r="G576" s="0" t="n">
        <v>21356941</v>
      </c>
      <c r="H576" s="0" t="n">
        <v>720193</v>
      </c>
      <c r="I576" s="0" t="s">
        <v>34</v>
      </c>
      <c r="J576" s="0" t="s">
        <v>174</v>
      </c>
      <c r="K576" s="0" t="s">
        <v>139</v>
      </c>
      <c r="L576" s="0" t="n">
        <v>226359887</v>
      </c>
      <c r="M576" s="0" t="s">
        <v>1120</v>
      </c>
      <c r="N576" s="0" t="n">
        <v>104537129</v>
      </c>
      <c r="O576" s="0" t="n">
        <v>0</v>
      </c>
      <c r="P576" s="0" t="n">
        <v>0</v>
      </c>
      <c r="Q576" s="0" t="e">
        <f aca="false">#N/A</f>
        <v>#N/A</v>
      </c>
    </row>
    <row r="577" customFormat="false" ht="15" hidden="false" customHeight="false" outlineLevel="0" collapsed="false">
      <c r="A577" s="0" t="e">
        <f aca="false">#N/A</f>
        <v>#N/A</v>
      </c>
      <c r="B577" s="0" t="s">
        <v>3837</v>
      </c>
      <c r="C577" s="0" t="s">
        <v>3838</v>
      </c>
      <c r="D577" s="0" t="s">
        <v>2385</v>
      </c>
      <c r="E577" s="0" t="n">
        <v>43335</v>
      </c>
      <c r="F577" s="0" t="s">
        <v>102</v>
      </c>
      <c r="G577" s="0" t="n">
        <v>21356941</v>
      </c>
      <c r="H577" s="0" t="n">
        <v>720193</v>
      </c>
      <c r="I577" s="0" t="s">
        <v>34</v>
      </c>
      <c r="J577" s="0" t="s">
        <v>174</v>
      </c>
      <c r="K577" s="0" t="s">
        <v>139</v>
      </c>
      <c r="L577" s="0" t="n">
        <v>226359887</v>
      </c>
      <c r="M577" s="0" t="s">
        <v>1120</v>
      </c>
      <c r="N577" s="0" t="n">
        <v>104537129</v>
      </c>
      <c r="O577" s="0" t="n">
        <v>0</v>
      </c>
      <c r="P577" s="0" t="n">
        <v>0</v>
      </c>
      <c r="Q577" s="0" t="e">
        <f aca="false">#N/A</f>
        <v>#N/A</v>
      </c>
    </row>
    <row r="578" customFormat="false" ht="15" hidden="false" customHeight="false" outlineLevel="0" collapsed="false">
      <c r="A578" s="0" t="e">
        <f aca="false">#N/A</f>
        <v>#N/A</v>
      </c>
      <c r="B578" s="0" t="s">
        <v>3839</v>
      </c>
      <c r="C578" s="0" t="s">
        <v>3840</v>
      </c>
      <c r="D578" s="0" t="s">
        <v>2385</v>
      </c>
      <c r="E578" s="0" t="n">
        <v>43334</v>
      </c>
      <c r="F578" s="0" t="s">
        <v>102</v>
      </c>
      <c r="G578" s="0" t="n">
        <v>21356941</v>
      </c>
      <c r="H578" s="0" t="n">
        <v>720193</v>
      </c>
      <c r="I578" s="0" t="s">
        <v>34</v>
      </c>
      <c r="J578" s="0" t="s">
        <v>174</v>
      </c>
      <c r="K578" s="0" t="s">
        <v>139</v>
      </c>
      <c r="L578" s="0" t="n">
        <v>226359887</v>
      </c>
      <c r="M578" s="0" t="s">
        <v>1120</v>
      </c>
      <c r="N578" s="0" t="n">
        <v>104537129</v>
      </c>
      <c r="O578" s="0" t="n">
        <v>0</v>
      </c>
      <c r="P578" s="0" t="n">
        <v>0</v>
      </c>
      <c r="Q578" s="0" t="e">
        <f aca="false">#N/A</f>
        <v>#N/A</v>
      </c>
    </row>
    <row r="579" customFormat="false" ht="15" hidden="false" customHeight="false" outlineLevel="0" collapsed="false">
      <c r="A579" s="0" t="e">
        <f aca="false">#N/A</f>
        <v>#N/A</v>
      </c>
      <c r="B579" s="0" t="s">
        <v>3841</v>
      </c>
      <c r="C579" s="0" t="s">
        <v>3842</v>
      </c>
      <c r="D579" s="0" t="s">
        <v>2385</v>
      </c>
      <c r="E579" s="0" t="n">
        <v>43333</v>
      </c>
      <c r="F579" s="0" t="s">
        <v>102</v>
      </c>
      <c r="G579" s="0" t="n">
        <v>21356941</v>
      </c>
      <c r="H579" s="0" t="n">
        <v>720193</v>
      </c>
      <c r="I579" s="0" t="s">
        <v>34</v>
      </c>
      <c r="J579" s="0" t="s">
        <v>174</v>
      </c>
      <c r="K579" s="0" t="s">
        <v>139</v>
      </c>
      <c r="L579" s="0" t="n">
        <v>226359887</v>
      </c>
      <c r="M579" s="0" t="s">
        <v>1120</v>
      </c>
      <c r="N579" s="0" t="n">
        <v>104537129</v>
      </c>
      <c r="O579" s="0" t="n">
        <v>0</v>
      </c>
      <c r="P579" s="0" t="n">
        <v>0</v>
      </c>
      <c r="Q579" s="0" t="e">
        <f aca="false">#N/A</f>
        <v>#N/A</v>
      </c>
    </row>
    <row r="580" customFormat="false" ht="15" hidden="false" customHeight="false" outlineLevel="0" collapsed="false">
      <c r="A580" s="0" t="e">
        <f aca="false">#N/A</f>
        <v>#N/A</v>
      </c>
      <c r="B580" s="0" t="s">
        <v>3843</v>
      </c>
      <c r="C580" s="0" t="s">
        <v>3844</v>
      </c>
      <c r="D580" s="0" t="s">
        <v>2385</v>
      </c>
      <c r="E580" s="0" t="n">
        <v>43332</v>
      </c>
      <c r="F580" s="0" t="s">
        <v>102</v>
      </c>
      <c r="G580" s="0" t="n">
        <v>21356941</v>
      </c>
      <c r="H580" s="0" t="n">
        <v>720193</v>
      </c>
      <c r="I580" s="0" t="s">
        <v>34</v>
      </c>
      <c r="J580" s="0" t="s">
        <v>174</v>
      </c>
      <c r="K580" s="0" t="s">
        <v>139</v>
      </c>
      <c r="L580" s="0" t="n">
        <v>226359887</v>
      </c>
      <c r="M580" s="0" t="s">
        <v>1120</v>
      </c>
      <c r="N580" s="0" t="n">
        <v>104537129</v>
      </c>
      <c r="O580" s="0" t="n">
        <v>0</v>
      </c>
      <c r="P580" s="0" t="n">
        <v>0</v>
      </c>
      <c r="Q580" s="0" t="e">
        <f aca="false">#N/A</f>
        <v>#N/A</v>
      </c>
    </row>
    <row r="581" customFormat="false" ht="15" hidden="false" customHeight="false" outlineLevel="0" collapsed="false">
      <c r="A581" s="0" t="e">
        <f aca="false">#N/A</f>
        <v>#N/A</v>
      </c>
      <c r="B581" s="0" t="s">
        <v>3845</v>
      </c>
      <c r="C581" s="0" t="s">
        <v>3846</v>
      </c>
      <c r="D581" s="0" t="s">
        <v>2385</v>
      </c>
      <c r="E581" s="0" t="n">
        <v>43331</v>
      </c>
      <c r="F581" s="0" t="s">
        <v>102</v>
      </c>
      <c r="G581" s="0" t="n">
        <v>21356941</v>
      </c>
      <c r="H581" s="0" t="n">
        <v>720193</v>
      </c>
      <c r="I581" s="0" t="s">
        <v>34</v>
      </c>
      <c r="J581" s="0" t="s">
        <v>174</v>
      </c>
      <c r="K581" s="0" t="s">
        <v>139</v>
      </c>
      <c r="L581" s="0" t="n">
        <v>226359887</v>
      </c>
      <c r="M581" s="0" t="s">
        <v>1120</v>
      </c>
      <c r="N581" s="0" t="n">
        <v>104537129</v>
      </c>
      <c r="O581" s="0" t="n">
        <v>0</v>
      </c>
      <c r="P581" s="0" t="n">
        <v>0</v>
      </c>
      <c r="Q581" s="0" t="e">
        <f aca="false">#N/A</f>
        <v>#N/A</v>
      </c>
    </row>
    <row r="582" customFormat="false" ht="15" hidden="false" customHeight="false" outlineLevel="0" collapsed="false">
      <c r="A582" s="0" t="e">
        <f aca="false">#N/A</f>
        <v>#N/A</v>
      </c>
      <c r="B582" s="0" t="s">
        <v>3847</v>
      </c>
      <c r="C582" s="0" t="s">
        <v>3848</v>
      </c>
      <c r="D582" s="0" t="s">
        <v>2385</v>
      </c>
      <c r="E582" s="0" t="n">
        <v>43337</v>
      </c>
      <c r="F582" s="0" t="s">
        <v>102</v>
      </c>
      <c r="G582" s="0" t="n">
        <v>21356941</v>
      </c>
      <c r="H582" s="0" t="n">
        <v>720193</v>
      </c>
      <c r="I582" s="0" t="s">
        <v>34</v>
      </c>
      <c r="J582" s="0" t="s">
        <v>174</v>
      </c>
      <c r="K582" s="0" t="s">
        <v>140</v>
      </c>
      <c r="L582" s="0" t="n">
        <v>226360013</v>
      </c>
      <c r="M582" s="0" t="s">
        <v>1135</v>
      </c>
      <c r="N582" s="0" t="n">
        <v>104537816</v>
      </c>
      <c r="O582" s="0" t="n">
        <v>24</v>
      </c>
      <c r="P582" s="0" t="n">
        <v>0.09</v>
      </c>
      <c r="Q582" s="0" t="e">
        <f aca="false">#N/A</f>
        <v>#N/A</v>
      </c>
    </row>
    <row r="583" customFormat="false" ht="15" hidden="false" customHeight="false" outlineLevel="0" collapsed="false">
      <c r="A583" s="0" t="e">
        <f aca="false">#N/A</f>
        <v>#N/A</v>
      </c>
      <c r="B583" s="0" t="s">
        <v>3849</v>
      </c>
      <c r="C583" s="0" t="s">
        <v>3850</v>
      </c>
      <c r="D583" s="0" t="s">
        <v>2385</v>
      </c>
      <c r="E583" s="0" t="n">
        <v>43336</v>
      </c>
      <c r="F583" s="0" t="s">
        <v>102</v>
      </c>
      <c r="G583" s="0" t="n">
        <v>21356941</v>
      </c>
      <c r="H583" s="0" t="n">
        <v>720193</v>
      </c>
      <c r="I583" s="0" t="s">
        <v>34</v>
      </c>
      <c r="J583" s="0" t="s">
        <v>174</v>
      </c>
      <c r="K583" s="0" t="s">
        <v>140</v>
      </c>
      <c r="L583" s="0" t="n">
        <v>226360013</v>
      </c>
      <c r="M583" s="0" t="s">
        <v>1135</v>
      </c>
      <c r="N583" s="0" t="n">
        <v>104537816</v>
      </c>
      <c r="O583" s="0" t="n">
        <v>9</v>
      </c>
      <c r="P583" s="0" t="n">
        <v>0.01</v>
      </c>
      <c r="Q583" s="0" t="e">
        <f aca="false">#N/A</f>
        <v>#N/A</v>
      </c>
    </row>
    <row r="584" customFormat="false" ht="15" hidden="false" customHeight="false" outlineLevel="0" collapsed="false">
      <c r="A584" s="0" t="e">
        <f aca="false">#N/A</f>
        <v>#N/A</v>
      </c>
      <c r="B584" s="0" t="s">
        <v>3851</v>
      </c>
      <c r="C584" s="0" t="s">
        <v>3852</v>
      </c>
      <c r="D584" s="0" t="s">
        <v>2385</v>
      </c>
      <c r="E584" s="0" t="n">
        <v>43335</v>
      </c>
      <c r="F584" s="0" t="s">
        <v>102</v>
      </c>
      <c r="G584" s="0" t="n">
        <v>21356941</v>
      </c>
      <c r="H584" s="0" t="n">
        <v>720193</v>
      </c>
      <c r="I584" s="0" t="s">
        <v>34</v>
      </c>
      <c r="J584" s="0" t="s">
        <v>174</v>
      </c>
      <c r="K584" s="0" t="s">
        <v>140</v>
      </c>
      <c r="L584" s="0" t="n">
        <v>226360013</v>
      </c>
      <c r="M584" s="0" t="s">
        <v>1135</v>
      </c>
      <c r="N584" s="0" t="n">
        <v>104537816</v>
      </c>
      <c r="O584" s="0" t="n">
        <v>2</v>
      </c>
      <c r="P584" s="0" t="n">
        <v>0.01</v>
      </c>
      <c r="Q584" s="0" t="e">
        <f aca="false">#N/A</f>
        <v>#N/A</v>
      </c>
    </row>
    <row r="585" customFormat="false" ht="15" hidden="false" customHeight="false" outlineLevel="0" collapsed="false">
      <c r="A585" s="0" t="e">
        <f aca="false">#N/A</f>
        <v>#N/A</v>
      </c>
      <c r="B585" s="0" t="s">
        <v>3853</v>
      </c>
      <c r="C585" s="0" t="s">
        <v>3854</v>
      </c>
      <c r="D585" s="0" t="s">
        <v>2385</v>
      </c>
      <c r="E585" s="0" t="n">
        <v>43334</v>
      </c>
      <c r="F585" s="0" t="s">
        <v>102</v>
      </c>
      <c r="G585" s="0" t="n">
        <v>21356941</v>
      </c>
      <c r="H585" s="0" t="n">
        <v>720193</v>
      </c>
      <c r="I585" s="0" t="s">
        <v>34</v>
      </c>
      <c r="J585" s="0" t="s">
        <v>174</v>
      </c>
      <c r="K585" s="0" t="s">
        <v>140</v>
      </c>
      <c r="L585" s="0" t="n">
        <v>226360013</v>
      </c>
      <c r="M585" s="0" t="s">
        <v>1135</v>
      </c>
      <c r="N585" s="0" t="n">
        <v>104537816</v>
      </c>
      <c r="O585" s="0" t="n">
        <v>6</v>
      </c>
      <c r="P585" s="0" t="n">
        <v>0.01</v>
      </c>
      <c r="Q585" s="0" t="e">
        <f aca="false">#N/A</f>
        <v>#N/A</v>
      </c>
    </row>
    <row r="586" customFormat="false" ht="15" hidden="false" customHeight="false" outlineLevel="0" collapsed="false">
      <c r="A586" s="0" t="e">
        <f aca="false">#N/A</f>
        <v>#N/A</v>
      </c>
      <c r="B586" s="0" t="s">
        <v>3855</v>
      </c>
      <c r="C586" s="0" t="s">
        <v>3856</v>
      </c>
      <c r="D586" s="0" t="s">
        <v>2385</v>
      </c>
      <c r="E586" s="0" t="n">
        <v>43333</v>
      </c>
      <c r="F586" s="0" t="s">
        <v>102</v>
      </c>
      <c r="G586" s="0" t="n">
        <v>21356941</v>
      </c>
      <c r="H586" s="0" t="n">
        <v>720193</v>
      </c>
      <c r="I586" s="0" t="s">
        <v>34</v>
      </c>
      <c r="J586" s="0" t="s">
        <v>174</v>
      </c>
      <c r="K586" s="0" t="s">
        <v>140</v>
      </c>
      <c r="L586" s="0" t="n">
        <v>226360013</v>
      </c>
      <c r="M586" s="0" t="s">
        <v>1135</v>
      </c>
      <c r="N586" s="0" t="n">
        <v>104537816</v>
      </c>
      <c r="O586" s="0" t="n">
        <v>4</v>
      </c>
      <c r="P586" s="0" t="n">
        <v>0.01</v>
      </c>
      <c r="Q586" s="0" t="e">
        <f aca="false">#N/A</f>
        <v>#N/A</v>
      </c>
    </row>
    <row r="587" customFormat="false" ht="15" hidden="false" customHeight="false" outlineLevel="0" collapsed="false">
      <c r="A587" s="0" t="e">
        <f aca="false">#N/A</f>
        <v>#N/A</v>
      </c>
      <c r="B587" s="0" t="s">
        <v>3857</v>
      </c>
      <c r="C587" s="0" t="s">
        <v>3858</v>
      </c>
      <c r="D587" s="0" t="s">
        <v>2385</v>
      </c>
      <c r="E587" s="0" t="n">
        <v>43332</v>
      </c>
      <c r="F587" s="0" t="s">
        <v>102</v>
      </c>
      <c r="G587" s="0" t="n">
        <v>21356941</v>
      </c>
      <c r="H587" s="0" t="n">
        <v>720193</v>
      </c>
      <c r="I587" s="0" t="s">
        <v>34</v>
      </c>
      <c r="J587" s="0" t="s">
        <v>174</v>
      </c>
      <c r="K587" s="0" t="s">
        <v>140</v>
      </c>
      <c r="L587" s="0" t="n">
        <v>226360013</v>
      </c>
      <c r="M587" s="0" t="s">
        <v>1135</v>
      </c>
      <c r="N587" s="0" t="n">
        <v>104537816</v>
      </c>
      <c r="O587" s="0" t="n">
        <v>7</v>
      </c>
      <c r="P587" s="0" t="n">
        <v>0.02</v>
      </c>
      <c r="Q587" s="0" t="e">
        <f aca="false">#N/A</f>
        <v>#N/A</v>
      </c>
    </row>
    <row r="588" customFormat="false" ht="15" hidden="false" customHeight="false" outlineLevel="0" collapsed="false">
      <c r="A588" s="0" t="e">
        <f aca="false">#N/A</f>
        <v>#N/A</v>
      </c>
      <c r="B588" s="0" t="s">
        <v>3859</v>
      </c>
      <c r="C588" s="0" t="s">
        <v>3860</v>
      </c>
      <c r="D588" s="0" t="s">
        <v>2385</v>
      </c>
      <c r="E588" s="0" t="n">
        <v>43331</v>
      </c>
      <c r="F588" s="0" t="s">
        <v>102</v>
      </c>
      <c r="G588" s="0" t="n">
        <v>21356941</v>
      </c>
      <c r="H588" s="0" t="n">
        <v>720193</v>
      </c>
      <c r="I588" s="0" t="s">
        <v>34</v>
      </c>
      <c r="J588" s="0" t="s">
        <v>174</v>
      </c>
      <c r="K588" s="0" t="s">
        <v>140</v>
      </c>
      <c r="L588" s="0" t="n">
        <v>226360013</v>
      </c>
      <c r="M588" s="0" t="s">
        <v>1135</v>
      </c>
      <c r="N588" s="0" t="n">
        <v>104537816</v>
      </c>
      <c r="O588" s="0" t="n">
        <v>4</v>
      </c>
      <c r="P588" s="0" t="n">
        <v>0.02</v>
      </c>
      <c r="Q588" s="0" t="e">
        <f aca="false">#N/A</f>
        <v>#N/A</v>
      </c>
    </row>
    <row r="589" customFormat="false" ht="15" hidden="false" customHeight="false" outlineLevel="0" collapsed="false">
      <c r="A589" s="0" t="e">
        <f aca="false">#N/A</f>
        <v>#N/A</v>
      </c>
      <c r="B589" s="0" t="s">
        <v>3861</v>
      </c>
      <c r="C589" s="0" t="s">
        <v>3862</v>
      </c>
      <c r="D589" s="0" t="s">
        <v>2385</v>
      </c>
      <c r="E589" s="0" t="n">
        <v>43337</v>
      </c>
      <c r="F589" s="0" t="s">
        <v>102</v>
      </c>
      <c r="G589" s="0" t="n">
        <v>21356941</v>
      </c>
      <c r="H589" s="0" t="n">
        <v>720193</v>
      </c>
      <c r="I589" s="0" t="s">
        <v>34</v>
      </c>
      <c r="J589" s="0" t="s">
        <v>174</v>
      </c>
      <c r="K589" s="0" t="s">
        <v>141</v>
      </c>
      <c r="L589" s="0" t="n">
        <v>226496146</v>
      </c>
      <c r="M589" s="0" t="s">
        <v>1135</v>
      </c>
      <c r="N589" s="0" t="n">
        <v>104537816</v>
      </c>
      <c r="O589" s="0" t="n">
        <v>0</v>
      </c>
      <c r="P589" s="0" t="n">
        <v>0</v>
      </c>
      <c r="Q589" s="0" t="e">
        <f aca="false">#N/A</f>
        <v>#N/A</v>
      </c>
    </row>
    <row r="590" customFormat="false" ht="15" hidden="false" customHeight="false" outlineLevel="0" collapsed="false">
      <c r="A590" s="0" t="e">
        <f aca="false">#N/A</f>
        <v>#N/A</v>
      </c>
      <c r="B590" s="0" t="s">
        <v>3863</v>
      </c>
      <c r="C590" s="0" t="s">
        <v>3864</v>
      </c>
      <c r="D590" s="0" t="s">
        <v>2385</v>
      </c>
      <c r="E590" s="0" t="n">
        <v>43336</v>
      </c>
      <c r="F590" s="0" t="s">
        <v>102</v>
      </c>
      <c r="G590" s="0" t="n">
        <v>21356941</v>
      </c>
      <c r="H590" s="0" t="n">
        <v>720193</v>
      </c>
      <c r="I590" s="0" t="s">
        <v>34</v>
      </c>
      <c r="J590" s="0" t="s">
        <v>174</v>
      </c>
      <c r="K590" s="0" t="s">
        <v>141</v>
      </c>
      <c r="L590" s="0" t="n">
        <v>226496146</v>
      </c>
      <c r="M590" s="0" t="s">
        <v>1135</v>
      </c>
      <c r="N590" s="0" t="n">
        <v>104537816</v>
      </c>
      <c r="O590" s="0" t="n">
        <v>0</v>
      </c>
      <c r="P590" s="0" t="n">
        <v>0</v>
      </c>
      <c r="Q590" s="0" t="e">
        <f aca="false">#N/A</f>
        <v>#N/A</v>
      </c>
    </row>
    <row r="591" customFormat="false" ht="15" hidden="false" customHeight="false" outlineLevel="0" collapsed="false">
      <c r="A591" s="0" t="e">
        <f aca="false">#N/A</f>
        <v>#N/A</v>
      </c>
      <c r="B591" s="0" t="s">
        <v>3865</v>
      </c>
      <c r="C591" s="0" t="s">
        <v>3866</v>
      </c>
      <c r="D591" s="0" t="s">
        <v>2385</v>
      </c>
      <c r="E591" s="0" t="n">
        <v>43335</v>
      </c>
      <c r="F591" s="0" t="s">
        <v>102</v>
      </c>
      <c r="G591" s="0" t="n">
        <v>21356941</v>
      </c>
      <c r="H591" s="0" t="n">
        <v>720193</v>
      </c>
      <c r="I591" s="0" t="s">
        <v>34</v>
      </c>
      <c r="J591" s="0" t="s">
        <v>174</v>
      </c>
      <c r="K591" s="0" t="s">
        <v>141</v>
      </c>
      <c r="L591" s="0" t="n">
        <v>226496146</v>
      </c>
      <c r="M591" s="0" t="s">
        <v>1135</v>
      </c>
      <c r="N591" s="0" t="n">
        <v>104537816</v>
      </c>
      <c r="O591" s="0" t="n">
        <v>0</v>
      </c>
      <c r="P591" s="0" t="n">
        <v>0</v>
      </c>
      <c r="Q591" s="0" t="e">
        <f aca="false">#N/A</f>
        <v>#N/A</v>
      </c>
    </row>
    <row r="592" customFormat="false" ht="15" hidden="false" customHeight="false" outlineLevel="0" collapsed="false">
      <c r="A592" s="0" t="e">
        <f aca="false">#N/A</f>
        <v>#N/A</v>
      </c>
      <c r="B592" s="0" t="s">
        <v>3867</v>
      </c>
      <c r="C592" s="0" t="s">
        <v>3868</v>
      </c>
      <c r="D592" s="0" t="s">
        <v>2385</v>
      </c>
      <c r="E592" s="0" t="n">
        <v>43334</v>
      </c>
      <c r="F592" s="0" t="s">
        <v>102</v>
      </c>
      <c r="G592" s="0" t="n">
        <v>21356941</v>
      </c>
      <c r="H592" s="0" t="n">
        <v>720193</v>
      </c>
      <c r="I592" s="0" t="s">
        <v>34</v>
      </c>
      <c r="J592" s="0" t="s">
        <v>174</v>
      </c>
      <c r="K592" s="0" t="s">
        <v>141</v>
      </c>
      <c r="L592" s="0" t="n">
        <v>226496146</v>
      </c>
      <c r="M592" s="0" t="s">
        <v>1135</v>
      </c>
      <c r="N592" s="0" t="n">
        <v>104537816</v>
      </c>
      <c r="O592" s="0" t="n">
        <v>0</v>
      </c>
      <c r="P592" s="0" t="n">
        <v>0</v>
      </c>
      <c r="Q592" s="0" t="e">
        <f aca="false">#N/A</f>
        <v>#N/A</v>
      </c>
    </row>
    <row r="593" customFormat="false" ht="15" hidden="false" customHeight="false" outlineLevel="0" collapsed="false">
      <c r="A593" s="0" t="e">
        <f aca="false">#N/A</f>
        <v>#N/A</v>
      </c>
      <c r="B593" s="0" t="s">
        <v>3869</v>
      </c>
      <c r="C593" s="0" t="s">
        <v>3870</v>
      </c>
      <c r="D593" s="0" t="s">
        <v>2385</v>
      </c>
      <c r="E593" s="0" t="n">
        <v>43333</v>
      </c>
      <c r="F593" s="0" t="s">
        <v>102</v>
      </c>
      <c r="G593" s="0" t="n">
        <v>21356941</v>
      </c>
      <c r="H593" s="0" t="n">
        <v>720193</v>
      </c>
      <c r="I593" s="0" t="s">
        <v>34</v>
      </c>
      <c r="J593" s="0" t="s">
        <v>174</v>
      </c>
      <c r="K593" s="0" t="s">
        <v>141</v>
      </c>
      <c r="L593" s="0" t="n">
        <v>226496146</v>
      </c>
      <c r="M593" s="0" t="s">
        <v>1135</v>
      </c>
      <c r="N593" s="0" t="n">
        <v>104537816</v>
      </c>
      <c r="O593" s="0" t="n">
        <v>0</v>
      </c>
      <c r="P593" s="0" t="n">
        <v>0</v>
      </c>
      <c r="Q593" s="0" t="e">
        <f aca="false">#N/A</f>
        <v>#N/A</v>
      </c>
    </row>
    <row r="594" customFormat="false" ht="15" hidden="false" customHeight="false" outlineLevel="0" collapsed="false">
      <c r="A594" s="0" t="e">
        <f aca="false">#N/A</f>
        <v>#N/A</v>
      </c>
      <c r="B594" s="0" t="s">
        <v>3871</v>
      </c>
      <c r="C594" s="0" t="s">
        <v>3872</v>
      </c>
      <c r="D594" s="0" t="s">
        <v>2385</v>
      </c>
      <c r="E594" s="0" t="n">
        <v>43332</v>
      </c>
      <c r="F594" s="0" t="s">
        <v>102</v>
      </c>
      <c r="G594" s="0" t="n">
        <v>21356941</v>
      </c>
      <c r="H594" s="0" t="n">
        <v>720193</v>
      </c>
      <c r="I594" s="0" t="s">
        <v>34</v>
      </c>
      <c r="J594" s="0" t="s">
        <v>174</v>
      </c>
      <c r="K594" s="0" t="s">
        <v>141</v>
      </c>
      <c r="L594" s="0" t="n">
        <v>226496146</v>
      </c>
      <c r="M594" s="0" t="s">
        <v>1135</v>
      </c>
      <c r="N594" s="0" t="n">
        <v>104537816</v>
      </c>
      <c r="O594" s="0" t="n">
        <v>0</v>
      </c>
      <c r="P594" s="0" t="n">
        <v>0</v>
      </c>
      <c r="Q594" s="0" t="e">
        <f aca="false">#N/A</f>
        <v>#N/A</v>
      </c>
    </row>
    <row r="595" customFormat="false" ht="15" hidden="false" customHeight="false" outlineLevel="0" collapsed="false">
      <c r="A595" s="0" t="e">
        <f aca="false">#N/A</f>
        <v>#N/A</v>
      </c>
      <c r="B595" s="0" t="s">
        <v>3873</v>
      </c>
      <c r="C595" s="0" t="s">
        <v>3874</v>
      </c>
      <c r="D595" s="0" t="s">
        <v>2385</v>
      </c>
      <c r="E595" s="0" t="n">
        <v>43331</v>
      </c>
      <c r="F595" s="0" t="s">
        <v>102</v>
      </c>
      <c r="G595" s="0" t="n">
        <v>21356941</v>
      </c>
      <c r="H595" s="0" t="n">
        <v>720193</v>
      </c>
      <c r="I595" s="0" t="s">
        <v>34</v>
      </c>
      <c r="J595" s="0" t="s">
        <v>174</v>
      </c>
      <c r="K595" s="0" t="s">
        <v>141</v>
      </c>
      <c r="L595" s="0" t="n">
        <v>226496146</v>
      </c>
      <c r="M595" s="0" t="s">
        <v>1135</v>
      </c>
      <c r="N595" s="0" t="n">
        <v>104537816</v>
      </c>
      <c r="O595" s="0" t="n">
        <v>0</v>
      </c>
      <c r="P595" s="0" t="n">
        <v>0</v>
      </c>
      <c r="Q595" s="0" t="e">
        <f aca="false">#N/A</f>
        <v>#N/A</v>
      </c>
    </row>
    <row r="596" customFormat="false" ht="15" hidden="false" customHeight="false" outlineLevel="0" collapsed="false">
      <c r="A596" s="0" t="e">
        <f aca="false">#N/A</f>
        <v>#N/A</v>
      </c>
      <c r="B596" s="0" t="s">
        <v>3875</v>
      </c>
      <c r="C596" s="0" t="s">
        <v>3876</v>
      </c>
      <c r="D596" s="0" t="s">
        <v>2385</v>
      </c>
      <c r="E596" s="0" t="n">
        <v>43337</v>
      </c>
      <c r="F596" s="0" t="s">
        <v>102</v>
      </c>
      <c r="G596" s="0" t="n">
        <v>21356941</v>
      </c>
      <c r="H596" s="0" t="n">
        <v>720193</v>
      </c>
      <c r="I596" s="0" t="s">
        <v>34</v>
      </c>
      <c r="J596" s="0" t="s">
        <v>174</v>
      </c>
      <c r="K596" s="0" t="s">
        <v>142</v>
      </c>
      <c r="L596" s="0" t="n">
        <v>226359884</v>
      </c>
      <c r="M596" s="0" t="s">
        <v>1150</v>
      </c>
      <c r="N596" s="0" t="n">
        <v>104537132</v>
      </c>
      <c r="O596" s="0" t="n">
        <v>4</v>
      </c>
      <c r="P596" s="0" t="n">
        <v>0.01</v>
      </c>
      <c r="Q596" s="0" t="e">
        <f aca="false">#N/A</f>
        <v>#N/A</v>
      </c>
    </row>
    <row r="597" customFormat="false" ht="15" hidden="false" customHeight="false" outlineLevel="0" collapsed="false">
      <c r="A597" s="0" t="e">
        <f aca="false">#N/A</f>
        <v>#N/A</v>
      </c>
      <c r="B597" s="0" t="s">
        <v>3877</v>
      </c>
      <c r="C597" s="0" t="s">
        <v>3878</v>
      </c>
      <c r="D597" s="0" t="s">
        <v>2385</v>
      </c>
      <c r="E597" s="0" t="n">
        <v>43336</v>
      </c>
      <c r="F597" s="0" t="s">
        <v>102</v>
      </c>
      <c r="G597" s="0" t="n">
        <v>21356941</v>
      </c>
      <c r="H597" s="0" t="n">
        <v>720193</v>
      </c>
      <c r="I597" s="0" t="s">
        <v>34</v>
      </c>
      <c r="J597" s="0" t="s">
        <v>174</v>
      </c>
      <c r="K597" s="0" t="s">
        <v>142</v>
      </c>
      <c r="L597" s="0" t="n">
        <v>226359884</v>
      </c>
      <c r="M597" s="0" t="s">
        <v>1150</v>
      </c>
      <c r="N597" s="0" t="n">
        <v>104537132</v>
      </c>
      <c r="O597" s="0" t="n">
        <v>3</v>
      </c>
      <c r="P597" s="0" t="n">
        <v>0.01</v>
      </c>
      <c r="Q597" s="0" t="e">
        <f aca="false">#N/A</f>
        <v>#N/A</v>
      </c>
    </row>
    <row r="598" customFormat="false" ht="15" hidden="false" customHeight="false" outlineLevel="0" collapsed="false">
      <c r="A598" s="0" t="e">
        <f aca="false">#N/A</f>
        <v>#N/A</v>
      </c>
      <c r="B598" s="0" t="s">
        <v>3879</v>
      </c>
      <c r="C598" s="0" t="s">
        <v>3880</v>
      </c>
      <c r="D598" s="0" t="s">
        <v>2385</v>
      </c>
      <c r="E598" s="0" t="n">
        <v>43335</v>
      </c>
      <c r="F598" s="0" t="s">
        <v>102</v>
      </c>
      <c r="G598" s="0" t="n">
        <v>21356941</v>
      </c>
      <c r="H598" s="0" t="n">
        <v>720193</v>
      </c>
      <c r="I598" s="0" t="s">
        <v>34</v>
      </c>
      <c r="J598" s="0" t="s">
        <v>174</v>
      </c>
      <c r="K598" s="0" t="s">
        <v>142</v>
      </c>
      <c r="L598" s="0" t="n">
        <v>226359884</v>
      </c>
      <c r="M598" s="0" t="s">
        <v>1150</v>
      </c>
      <c r="N598" s="0" t="n">
        <v>104537132</v>
      </c>
      <c r="O598" s="0" t="n">
        <v>21</v>
      </c>
      <c r="P598" s="0" t="n">
        <v>0.07</v>
      </c>
      <c r="Q598" s="0" t="e">
        <f aca="false">#N/A</f>
        <v>#N/A</v>
      </c>
    </row>
    <row r="599" customFormat="false" ht="15" hidden="false" customHeight="false" outlineLevel="0" collapsed="false">
      <c r="A599" s="0" t="e">
        <f aca="false">#N/A</f>
        <v>#N/A</v>
      </c>
      <c r="B599" s="0" t="s">
        <v>3881</v>
      </c>
      <c r="C599" s="0" t="s">
        <v>3882</v>
      </c>
      <c r="D599" s="0" t="s">
        <v>2385</v>
      </c>
      <c r="E599" s="0" t="n">
        <v>43334</v>
      </c>
      <c r="F599" s="0" t="s">
        <v>102</v>
      </c>
      <c r="G599" s="0" t="n">
        <v>21356941</v>
      </c>
      <c r="H599" s="0" t="n">
        <v>720193</v>
      </c>
      <c r="I599" s="0" t="s">
        <v>34</v>
      </c>
      <c r="J599" s="0" t="s">
        <v>174</v>
      </c>
      <c r="K599" s="0" t="s">
        <v>142</v>
      </c>
      <c r="L599" s="0" t="n">
        <v>226359884</v>
      </c>
      <c r="M599" s="0" t="s">
        <v>1150</v>
      </c>
      <c r="N599" s="0" t="n">
        <v>104537132</v>
      </c>
      <c r="O599" s="0" t="n">
        <v>29</v>
      </c>
      <c r="P599" s="0" t="n">
        <v>0.09</v>
      </c>
      <c r="Q599" s="0" t="e">
        <f aca="false">#N/A</f>
        <v>#N/A</v>
      </c>
    </row>
    <row r="600" customFormat="false" ht="15" hidden="false" customHeight="false" outlineLevel="0" collapsed="false">
      <c r="A600" s="0" t="e">
        <f aca="false">#N/A</f>
        <v>#N/A</v>
      </c>
      <c r="B600" s="0" t="s">
        <v>3883</v>
      </c>
      <c r="C600" s="0" t="s">
        <v>3884</v>
      </c>
      <c r="D600" s="0" t="s">
        <v>2385</v>
      </c>
      <c r="E600" s="0" t="n">
        <v>43333</v>
      </c>
      <c r="F600" s="0" t="s">
        <v>102</v>
      </c>
      <c r="G600" s="0" t="n">
        <v>21356941</v>
      </c>
      <c r="H600" s="0" t="n">
        <v>720193</v>
      </c>
      <c r="I600" s="0" t="s">
        <v>34</v>
      </c>
      <c r="J600" s="0" t="s">
        <v>174</v>
      </c>
      <c r="K600" s="0" t="s">
        <v>142</v>
      </c>
      <c r="L600" s="0" t="n">
        <v>226359884</v>
      </c>
      <c r="M600" s="0" t="s">
        <v>1150</v>
      </c>
      <c r="N600" s="0" t="n">
        <v>104537132</v>
      </c>
      <c r="O600" s="0" t="n">
        <v>41</v>
      </c>
      <c r="P600" s="0" t="n">
        <v>0.1</v>
      </c>
      <c r="Q600" s="0" t="e">
        <f aca="false">#N/A</f>
        <v>#N/A</v>
      </c>
    </row>
    <row r="601" customFormat="false" ht="15" hidden="false" customHeight="false" outlineLevel="0" collapsed="false">
      <c r="A601" s="0" t="e">
        <f aca="false">#N/A</f>
        <v>#N/A</v>
      </c>
      <c r="B601" s="0" t="s">
        <v>3885</v>
      </c>
      <c r="C601" s="0" t="s">
        <v>3886</v>
      </c>
      <c r="D601" s="0" t="s">
        <v>2385</v>
      </c>
      <c r="E601" s="0" t="n">
        <v>43332</v>
      </c>
      <c r="F601" s="0" t="s">
        <v>102</v>
      </c>
      <c r="G601" s="0" t="n">
        <v>21356941</v>
      </c>
      <c r="H601" s="0" t="n">
        <v>720193</v>
      </c>
      <c r="I601" s="0" t="s">
        <v>34</v>
      </c>
      <c r="J601" s="0" t="s">
        <v>174</v>
      </c>
      <c r="K601" s="0" t="s">
        <v>142</v>
      </c>
      <c r="L601" s="0" t="n">
        <v>226359884</v>
      </c>
      <c r="M601" s="0" t="s">
        <v>1150</v>
      </c>
      <c r="N601" s="0" t="n">
        <v>104537132</v>
      </c>
      <c r="O601" s="0" t="n">
        <v>39</v>
      </c>
      <c r="P601" s="0" t="n">
        <v>0.14</v>
      </c>
      <c r="Q601" s="0" t="e">
        <f aca="false">#N/A</f>
        <v>#N/A</v>
      </c>
    </row>
    <row r="602" customFormat="false" ht="15" hidden="false" customHeight="false" outlineLevel="0" collapsed="false">
      <c r="A602" s="0" t="e">
        <f aca="false">#N/A</f>
        <v>#N/A</v>
      </c>
      <c r="B602" s="0" t="s">
        <v>3887</v>
      </c>
      <c r="C602" s="0" t="s">
        <v>3888</v>
      </c>
      <c r="D602" s="0" t="s">
        <v>2385</v>
      </c>
      <c r="E602" s="0" t="n">
        <v>43331</v>
      </c>
      <c r="F602" s="0" t="s">
        <v>102</v>
      </c>
      <c r="G602" s="0" t="n">
        <v>21356941</v>
      </c>
      <c r="H602" s="0" t="n">
        <v>720193</v>
      </c>
      <c r="I602" s="0" t="s">
        <v>34</v>
      </c>
      <c r="J602" s="0" t="s">
        <v>174</v>
      </c>
      <c r="K602" s="0" t="s">
        <v>142</v>
      </c>
      <c r="L602" s="0" t="n">
        <v>226359884</v>
      </c>
      <c r="M602" s="0" t="s">
        <v>1150</v>
      </c>
      <c r="N602" s="0" t="n">
        <v>104537132</v>
      </c>
      <c r="O602" s="0" t="n">
        <v>57</v>
      </c>
      <c r="P602" s="0" t="n">
        <v>0.15</v>
      </c>
      <c r="Q602" s="0" t="e">
        <f aca="false">#N/A</f>
        <v>#N/A</v>
      </c>
    </row>
    <row r="603" customFormat="false" ht="15" hidden="false" customHeight="false" outlineLevel="0" collapsed="false">
      <c r="A603" s="0" t="s">
        <v>3889</v>
      </c>
      <c r="B603" s="0" t="s">
        <v>3890</v>
      </c>
      <c r="C603" s="0" t="s">
        <v>3891</v>
      </c>
      <c r="D603" s="0" t="s">
        <v>2385</v>
      </c>
      <c r="E603" s="0" t="n">
        <v>43337</v>
      </c>
      <c r="F603" s="0" t="s">
        <v>102</v>
      </c>
      <c r="G603" s="0" t="n">
        <v>21356941</v>
      </c>
      <c r="H603" s="0" t="n">
        <v>720193</v>
      </c>
      <c r="I603" s="0" t="s">
        <v>34</v>
      </c>
      <c r="J603" s="0" t="s">
        <v>174</v>
      </c>
      <c r="K603" s="0" t="s">
        <v>143</v>
      </c>
      <c r="L603" s="0" t="n">
        <v>226360034</v>
      </c>
      <c r="M603" s="0" t="s">
        <v>1105</v>
      </c>
      <c r="N603" s="0" t="n">
        <v>104537813</v>
      </c>
      <c r="O603" s="0" t="n">
        <v>1535</v>
      </c>
      <c r="P603" s="0" t="n">
        <v>5.81</v>
      </c>
      <c r="Q603" s="0" t="n">
        <v>104537813</v>
      </c>
    </row>
    <row r="604" customFormat="false" ht="15" hidden="false" customHeight="false" outlineLevel="0" collapsed="false">
      <c r="A604" s="0" t="s">
        <v>3892</v>
      </c>
      <c r="B604" s="0" t="s">
        <v>3893</v>
      </c>
      <c r="C604" s="0" t="s">
        <v>3894</v>
      </c>
      <c r="D604" s="0" t="s">
        <v>2385</v>
      </c>
      <c r="E604" s="0" t="n">
        <v>43336</v>
      </c>
      <c r="F604" s="0" t="s">
        <v>102</v>
      </c>
      <c r="G604" s="0" t="n">
        <v>21356941</v>
      </c>
      <c r="H604" s="0" t="n">
        <v>720193</v>
      </c>
      <c r="I604" s="0" t="s">
        <v>34</v>
      </c>
      <c r="J604" s="0" t="s">
        <v>174</v>
      </c>
      <c r="K604" s="0" t="s">
        <v>143</v>
      </c>
      <c r="L604" s="0" t="n">
        <v>226360034</v>
      </c>
      <c r="M604" s="0" t="s">
        <v>1105</v>
      </c>
      <c r="N604" s="0" t="n">
        <v>104537813</v>
      </c>
      <c r="O604" s="0" t="n">
        <v>1835</v>
      </c>
      <c r="P604" s="0" t="n">
        <v>6.5</v>
      </c>
      <c r="Q604" s="0" t="n">
        <v>104537813</v>
      </c>
    </row>
    <row r="605" customFormat="false" ht="15" hidden="false" customHeight="false" outlineLevel="0" collapsed="false">
      <c r="A605" s="0" t="s">
        <v>3895</v>
      </c>
      <c r="B605" s="0" t="s">
        <v>3896</v>
      </c>
      <c r="C605" s="0" t="s">
        <v>3897</v>
      </c>
      <c r="D605" s="0" t="s">
        <v>2385</v>
      </c>
      <c r="E605" s="0" t="n">
        <v>43335</v>
      </c>
      <c r="F605" s="0" t="s">
        <v>102</v>
      </c>
      <c r="G605" s="0" t="n">
        <v>21356941</v>
      </c>
      <c r="H605" s="0" t="n">
        <v>720193</v>
      </c>
      <c r="I605" s="0" t="s">
        <v>34</v>
      </c>
      <c r="J605" s="0" t="s">
        <v>174</v>
      </c>
      <c r="K605" s="0" t="s">
        <v>143</v>
      </c>
      <c r="L605" s="0" t="n">
        <v>226360034</v>
      </c>
      <c r="M605" s="0" t="s">
        <v>1105</v>
      </c>
      <c r="N605" s="0" t="n">
        <v>104537813</v>
      </c>
      <c r="O605" s="0" t="n">
        <v>2208</v>
      </c>
      <c r="P605" s="0" t="n">
        <v>7.81</v>
      </c>
      <c r="Q605" s="0" t="n">
        <v>104537813</v>
      </c>
    </row>
    <row r="606" customFormat="false" ht="15" hidden="false" customHeight="false" outlineLevel="0" collapsed="false">
      <c r="A606" s="0" t="s">
        <v>3898</v>
      </c>
      <c r="B606" s="0" t="s">
        <v>3899</v>
      </c>
      <c r="C606" s="0" t="s">
        <v>3900</v>
      </c>
      <c r="D606" s="0" t="s">
        <v>2385</v>
      </c>
      <c r="E606" s="0" t="n">
        <v>43334</v>
      </c>
      <c r="F606" s="0" t="s">
        <v>102</v>
      </c>
      <c r="G606" s="0" t="n">
        <v>21356941</v>
      </c>
      <c r="H606" s="0" t="n">
        <v>720193</v>
      </c>
      <c r="I606" s="0" t="s">
        <v>34</v>
      </c>
      <c r="J606" s="0" t="s">
        <v>174</v>
      </c>
      <c r="K606" s="0" t="s">
        <v>143</v>
      </c>
      <c r="L606" s="0" t="n">
        <v>226360034</v>
      </c>
      <c r="M606" s="0" t="s">
        <v>1105</v>
      </c>
      <c r="N606" s="0" t="n">
        <v>104537813</v>
      </c>
      <c r="O606" s="0" t="n">
        <v>1450</v>
      </c>
      <c r="P606" s="0" t="n">
        <v>5.97</v>
      </c>
      <c r="Q606" s="0" t="n">
        <v>104537813</v>
      </c>
    </row>
    <row r="607" customFormat="false" ht="15" hidden="false" customHeight="false" outlineLevel="0" collapsed="false">
      <c r="A607" s="0" t="s">
        <v>3901</v>
      </c>
      <c r="B607" s="0" t="s">
        <v>3902</v>
      </c>
      <c r="C607" s="0" t="s">
        <v>3903</v>
      </c>
      <c r="D607" s="0" t="s">
        <v>2385</v>
      </c>
      <c r="E607" s="0" t="n">
        <v>43333</v>
      </c>
      <c r="F607" s="0" t="s">
        <v>102</v>
      </c>
      <c r="G607" s="0" t="n">
        <v>21356941</v>
      </c>
      <c r="H607" s="0" t="n">
        <v>720193</v>
      </c>
      <c r="I607" s="0" t="s">
        <v>34</v>
      </c>
      <c r="J607" s="0" t="s">
        <v>174</v>
      </c>
      <c r="K607" s="0" t="s">
        <v>143</v>
      </c>
      <c r="L607" s="0" t="n">
        <v>226360034</v>
      </c>
      <c r="M607" s="0" t="s">
        <v>1105</v>
      </c>
      <c r="N607" s="0" t="n">
        <v>104537813</v>
      </c>
      <c r="O607" s="0" t="n">
        <v>2511</v>
      </c>
      <c r="P607" s="0" t="n">
        <v>7.86</v>
      </c>
      <c r="Q607" s="0" t="n">
        <v>104537813</v>
      </c>
    </row>
    <row r="608" customFormat="false" ht="15" hidden="false" customHeight="false" outlineLevel="0" collapsed="false">
      <c r="A608" s="0" t="s">
        <v>3904</v>
      </c>
      <c r="B608" s="0" t="s">
        <v>3905</v>
      </c>
      <c r="C608" s="0" t="s">
        <v>3906</v>
      </c>
      <c r="D608" s="0" t="s">
        <v>2385</v>
      </c>
      <c r="E608" s="0" t="n">
        <v>43332</v>
      </c>
      <c r="F608" s="0" t="s">
        <v>102</v>
      </c>
      <c r="G608" s="0" t="n">
        <v>21356941</v>
      </c>
      <c r="H608" s="0" t="n">
        <v>720193</v>
      </c>
      <c r="I608" s="0" t="s">
        <v>34</v>
      </c>
      <c r="J608" s="0" t="s">
        <v>174</v>
      </c>
      <c r="K608" s="0" t="s">
        <v>143</v>
      </c>
      <c r="L608" s="0" t="n">
        <v>226360034</v>
      </c>
      <c r="M608" s="0" t="s">
        <v>1105</v>
      </c>
      <c r="N608" s="0" t="n">
        <v>104537813</v>
      </c>
      <c r="O608" s="0" t="n">
        <v>1624</v>
      </c>
      <c r="P608" s="0" t="n">
        <v>5.76</v>
      </c>
      <c r="Q608" s="0" t="n">
        <v>104537813</v>
      </c>
    </row>
    <row r="609" customFormat="false" ht="15" hidden="false" customHeight="false" outlineLevel="0" collapsed="false">
      <c r="A609" s="0" t="s">
        <v>3907</v>
      </c>
      <c r="B609" s="0" t="s">
        <v>3908</v>
      </c>
      <c r="C609" s="0" t="s">
        <v>3909</v>
      </c>
      <c r="D609" s="0" t="s">
        <v>2385</v>
      </c>
      <c r="E609" s="0" t="n">
        <v>43331</v>
      </c>
      <c r="F609" s="0" t="s">
        <v>102</v>
      </c>
      <c r="G609" s="0" t="n">
        <v>21356941</v>
      </c>
      <c r="H609" s="0" t="n">
        <v>720193</v>
      </c>
      <c r="I609" s="0" t="s">
        <v>34</v>
      </c>
      <c r="J609" s="0" t="s">
        <v>174</v>
      </c>
      <c r="K609" s="0" t="s">
        <v>143</v>
      </c>
      <c r="L609" s="0" t="n">
        <v>226360034</v>
      </c>
      <c r="M609" s="0" t="s">
        <v>1105</v>
      </c>
      <c r="N609" s="0" t="n">
        <v>104537813</v>
      </c>
      <c r="O609" s="0" t="n">
        <v>2059</v>
      </c>
      <c r="P609" s="0" t="n">
        <v>7.91</v>
      </c>
      <c r="Q609" s="0" t="n">
        <v>104537813</v>
      </c>
    </row>
    <row r="610" customFormat="false" ht="15" hidden="false" customHeight="false" outlineLevel="0" collapsed="false">
      <c r="A610" s="0" t="s">
        <v>3910</v>
      </c>
      <c r="B610" s="0" t="s">
        <v>3911</v>
      </c>
      <c r="C610" s="0" t="s">
        <v>3912</v>
      </c>
      <c r="D610" s="0" t="s">
        <v>2385</v>
      </c>
      <c r="E610" s="0" t="n">
        <v>43337</v>
      </c>
      <c r="F610" s="0" t="s">
        <v>102</v>
      </c>
      <c r="G610" s="0" t="n">
        <v>21356941</v>
      </c>
      <c r="H610" s="0" t="n">
        <v>720193</v>
      </c>
      <c r="I610" s="0" t="s">
        <v>34</v>
      </c>
      <c r="J610" s="0" t="s">
        <v>174</v>
      </c>
      <c r="K610" s="0" t="s">
        <v>144</v>
      </c>
      <c r="L610" s="0" t="n">
        <v>226420298</v>
      </c>
      <c r="M610" s="0" t="s">
        <v>1120</v>
      </c>
      <c r="N610" s="0" t="n">
        <v>104537129</v>
      </c>
      <c r="O610" s="0" t="n">
        <v>1236</v>
      </c>
      <c r="P610" s="0" t="n">
        <v>5.1</v>
      </c>
      <c r="Q610" s="0" t="n">
        <v>104537129</v>
      </c>
    </row>
    <row r="611" customFormat="false" ht="15" hidden="false" customHeight="false" outlineLevel="0" collapsed="false">
      <c r="A611" s="0" t="s">
        <v>3913</v>
      </c>
      <c r="B611" s="0" t="s">
        <v>3914</v>
      </c>
      <c r="C611" s="0" t="s">
        <v>3915</v>
      </c>
      <c r="D611" s="0" t="s">
        <v>2385</v>
      </c>
      <c r="E611" s="0" t="n">
        <v>43336</v>
      </c>
      <c r="F611" s="0" t="s">
        <v>102</v>
      </c>
      <c r="G611" s="0" t="n">
        <v>21356941</v>
      </c>
      <c r="H611" s="0" t="n">
        <v>720193</v>
      </c>
      <c r="I611" s="0" t="s">
        <v>34</v>
      </c>
      <c r="J611" s="0" t="s">
        <v>174</v>
      </c>
      <c r="K611" s="0" t="s">
        <v>144</v>
      </c>
      <c r="L611" s="0" t="n">
        <v>226420298</v>
      </c>
      <c r="M611" s="0" t="s">
        <v>1120</v>
      </c>
      <c r="N611" s="0" t="n">
        <v>104537129</v>
      </c>
      <c r="O611" s="0" t="n">
        <v>984</v>
      </c>
      <c r="P611" s="0" t="n">
        <v>3.87</v>
      </c>
      <c r="Q611" s="0" t="n">
        <v>104537129</v>
      </c>
    </row>
    <row r="612" customFormat="false" ht="15" hidden="false" customHeight="false" outlineLevel="0" collapsed="false">
      <c r="A612" s="0" t="s">
        <v>3916</v>
      </c>
      <c r="B612" s="0" t="s">
        <v>3917</v>
      </c>
      <c r="C612" s="0" t="s">
        <v>3918</v>
      </c>
      <c r="D612" s="0" t="s">
        <v>2385</v>
      </c>
      <c r="E612" s="0" t="n">
        <v>43335</v>
      </c>
      <c r="F612" s="0" t="s">
        <v>102</v>
      </c>
      <c r="G612" s="0" t="n">
        <v>21356941</v>
      </c>
      <c r="H612" s="0" t="n">
        <v>720193</v>
      </c>
      <c r="I612" s="0" t="s">
        <v>34</v>
      </c>
      <c r="J612" s="0" t="s">
        <v>174</v>
      </c>
      <c r="K612" s="0" t="s">
        <v>144</v>
      </c>
      <c r="L612" s="0" t="n">
        <v>226420298</v>
      </c>
      <c r="M612" s="0" t="s">
        <v>1120</v>
      </c>
      <c r="N612" s="0" t="n">
        <v>104537129</v>
      </c>
      <c r="O612" s="0" t="n">
        <v>794</v>
      </c>
      <c r="P612" s="0" t="n">
        <v>3.27</v>
      </c>
      <c r="Q612" s="0" t="n">
        <v>104537129</v>
      </c>
    </row>
    <row r="613" customFormat="false" ht="15" hidden="false" customHeight="false" outlineLevel="0" collapsed="false">
      <c r="A613" s="0" t="s">
        <v>3919</v>
      </c>
      <c r="B613" s="0" t="s">
        <v>3920</v>
      </c>
      <c r="C613" s="0" t="s">
        <v>3921</v>
      </c>
      <c r="D613" s="0" t="s">
        <v>2385</v>
      </c>
      <c r="E613" s="0" t="n">
        <v>43334</v>
      </c>
      <c r="F613" s="0" t="s">
        <v>102</v>
      </c>
      <c r="G613" s="0" t="n">
        <v>21356941</v>
      </c>
      <c r="H613" s="0" t="n">
        <v>720193</v>
      </c>
      <c r="I613" s="0" t="s">
        <v>34</v>
      </c>
      <c r="J613" s="0" t="s">
        <v>174</v>
      </c>
      <c r="K613" s="0" t="s">
        <v>144</v>
      </c>
      <c r="L613" s="0" t="n">
        <v>226420298</v>
      </c>
      <c r="M613" s="0" t="s">
        <v>1120</v>
      </c>
      <c r="N613" s="0" t="n">
        <v>104537129</v>
      </c>
      <c r="O613" s="0" t="n">
        <v>982</v>
      </c>
      <c r="P613" s="0" t="n">
        <v>4.7</v>
      </c>
      <c r="Q613" s="0" t="n">
        <v>104537129</v>
      </c>
    </row>
    <row r="614" customFormat="false" ht="15" hidden="false" customHeight="false" outlineLevel="0" collapsed="false">
      <c r="A614" s="0" t="s">
        <v>3922</v>
      </c>
      <c r="B614" s="0" t="s">
        <v>3923</v>
      </c>
      <c r="C614" s="0" t="s">
        <v>3924</v>
      </c>
      <c r="D614" s="0" t="s">
        <v>2385</v>
      </c>
      <c r="E614" s="0" t="n">
        <v>43333</v>
      </c>
      <c r="F614" s="0" t="s">
        <v>102</v>
      </c>
      <c r="G614" s="0" t="n">
        <v>21356941</v>
      </c>
      <c r="H614" s="0" t="n">
        <v>720193</v>
      </c>
      <c r="I614" s="0" t="s">
        <v>34</v>
      </c>
      <c r="J614" s="0" t="s">
        <v>174</v>
      </c>
      <c r="K614" s="0" t="s">
        <v>144</v>
      </c>
      <c r="L614" s="0" t="n">
        <v>226420298</v>
      </c>
      <c r="M614" s="0" t="s">
        <v>1120</v>
      </c>
      <c r="N614" s="0" t="n">
        <v>104537129</v>
      </c>
      <c r="O614" s="0" t="n">
        <v>714</v>
      </c>
      <c r="P614" s="0" t="n">
        <v>2.47</v>
      </c>
      <c r="Q614" s="0" t="n">
        <v>104537129</v>
      </c>
    </row>
    <row r="615" customFormat="false" ht="15" hidden="false" customHeight="false" outlineLevel="0" collapsed="false">
      <c r="A615" s="0" t="s">
        <v>3925</v>
      </c>
      <c r="B615" s="0" t="s">
        <v>3926</v>
      </c>
      <c r="C615" s="0" t="s">
        <v>3927</v>
      </c>
      <c r="D615" s="0" t="s">
        <v>2385</v>
      </c>
      <c r="E615" s="0" t="n">
        <v>43332</v>
      </c>
      <c r="F615" s="0" t="s">
        <v>102</v>
      </c>
      <c r="G615" s="0" t="n">
        <v>21356941</v>
      </c>
      <c r="H615" s="0" t="n">
        <v>720193</v>
      </c>
      <c r="I615" s="0" t="s">
        <v>34</v>
      </c>
      <c r="J615" s="0" t="s">
        <v>174</v>
      </c>
      <c r="K615" s="0" t="s">
        <v>144</v>
      </c>
      <c r="L615" s="0" t="n">
        <v>226420298</v>
      </c>
      <c r="M615" s="0" t="s">
        <v>1120</v>
      </c>
      <c r="N615" s="0" t="n">
        <v>104537129</v>
      </c>
      <c r="O615" s="0" t="n">
        <v>693</v>
      </c>
      <c r="P615" s="0" t="n">
        <v>2.6</v>
      </c>
      <c r="Q615" s="0" t="n">
        <v>104537129</v>
      </c>
    </row>
    <row r="616" customFormat="false" ht="15" hidden="false" customHeight="false" outlineLevel="0" collapsed="false">
      <c r="A616" s="0" t="s">
        <v>3928</v>
      </c>
      <c r="B616" s="0" t="s">
        <v>3929</v>
      </c>
      <c r="C616" s="0" t="s">
        <v>3930</v>
      </c>
      <c r="D616" s="0" t="s">
        <v>2385</v>
      </c>
      <c r="E616" s="0" t="n">
        <v>43331</v>
      </c>
      <c r="F616" s="0" t="s">
        <v>102</v>
      </c>
      <c r="G616" s="0" t="n">
        <v>21356941</v>
      </c>
      <c r="H616" s="0" t="n">
        <v>720193</v>
      </c>
      <c r="I616" s="0" t="s">
        <v>34</v>
      </c>
      <c r="J616" s="0" t="s">
        <v>174</v>
      </c>
      <c r="K616" s="0" t="s">
        <v>144</v>
      </c>
      <c r="L616" s="0" t="n">
        <v>226420298</v>
      </c>
      <c r="M616" s="0" t="s">
        <v>1120</v>
      </c>
      <c r="N616" s="0" t="n">
        <v>104537129</v>
      </c>
      <c r="O616" s="0" t="n">
        <v>808</v>
      </c>
      <c r="P616" s="0" t="n">
        <v>3.73</v>
      </c>
      <c r="Q616" s="0" t="n">
        <v>104537129</v>
      </c>
    </row>
    <row r="617" customFormat="false" ht="15" hidden="false" customHeight="false" outlineLevel="0" collapsed="false">
      <c r="A617" s="0" t="s">
        <v>3931</v>
      </c>
      <c r="B617" s="0" t="s">
        <v>3932</v>
      </c>
      <c r="C617" s="0" t="s">
        <v>3933</v>
      </c>
      <c r="D617" s="0" t="s">
        <v>2385</v>
      </c>
      <c r="E617" s="0" t="n">
        <v>43337</v>
      </c>
      <c r="F617" s="0" t="s">
        <v>102</v>
      </c>
      <c r="G617" s="0" t="n">
        <v>21356941</v>
      </c>
      <c r="H617" s="0" t="n">
        <v>720193</v>
      </c>
      <c r="I617" s="0" t="s">
        <v>34</v>
      </c>
      <c r="J617" s="0" t="s">
        <v>174</v>
      </c>
      <c r="K617" s="0" t="s">
        <v>145</v>
      </c>
      <c r="L617" s="0" t="n">
        <v>226360028</v>
      </c>
      <c r="M617" s="0" t="s">
        <v>1135</v>
      </c>
      <c r="N617" s="0" t="n">
        <v>104537816</v>
      </c>
      <c r="O617" s="0" t="n">
        <v>193</v>
      </c>
      <c r="P617" s="0" t="n">
        <v>0.71</v>
      </c>
      <c r="Q617" s="0" t="n">
        <v>104537816</v>
      </c>
    </row>
    <row r="618" customFormat="false" ht="15" hidden="false" customHeight="false" outlineLevel="0" collapsed="false">
      <c r="A618" s="0" t="s">
        <v>3934</v>
      </c>
      <c r="B618" s="0" t="s">
        <v>3935</v>
      </c>
      <c r="C618" s="0" t="s">
        <v>3936</v>
      </c>
      <c r="D618" s="0" t="s">
        <v>2385</v>
      </c>
      <c r="E618" s="0" t="n">
        <v>43336</v>
      </c>
      <c r="F618" s="0" t="s">
        <v>102</v>
      </c>
      <c r="G618" s="0" t="n">
        <v>21356941</v>
      </c>
      <c r="H618" s="0" t="n">
        <v>720193</v>
      </c>
      <c r="I618" s="0" t="s">
        <v>34</v>
      </c>
      <c r="J618" s="0" t="s">
        <v>174</v>
      </c>
      <c r="K618" s="0" t="s">
        <v>145</v>
      </c>
      <c r="L618" s="0" t="n">
        <v>226360028</v>
      </c>
      <c r="M618" s="0" t="s">
        <v>1135</v>
      </c>
      <c r="N618" s="0" t="n">
        <v>104537816</v>
      </c>
      <c r="O618" s="0" t="n">
        <v>249</v>
      </c>
      <c r="P618" s="0" t="n">
        <v>0.89</v>
      </c>
      <c r="Q618" s="0" t="n">
        <v>104537816</v>
      </c>
    </row>
    <row r="619" customFormat="false" ht="15" hidden="false" customHeight="false" outlineLevel="0" collapsed="false">
      <c r="A619" s="0" t="s">
        <v>3937</v>
      </c>
      <c r="B619" s="0" t="s">
        <v>3938</v>
      </c>
      <c r="C619" s="0" t="s">
        <v>3939</v>
      </c>
      <c r="D619" s="0" t="s">
        <v>2385</v>
      </c>
      <c r="E619" s="0" t="n">
        <v>43335</v>
      </c>
      <c r="F619" s="0" t="s">
        <v>102</v>
      </c>
      <c r="G619" s="0" t="n">
        <v>21356941</v>
      </c>
      <c r="H619" s="0" t="n">
        <v>720193</v>
      </c>
      <c r="I619" s="0" t="s">
        <v>34</v>
      </c>
      <c r="J619" s="0" t="s">
        <v>174</v>
      </c>
      <c r="K619" s="0" t="s">
        <v>145</v>
      </c>
      <c r="L619" s="0" t="n">
        <v>226360028</v>
      </c>
      <c r="M619" s="0" t="s">
        <v>1135</v>
      </c>
      <c r="N619" s="0" t="n">
        <v>104537816</v>
      </c>
      <c r="O619" s="0" t="n">
        <v>148</v>
      </c>
      <c r="P619" s="0" t="n">
        <v>0.49</v>
      </c>
      <c r="Q619" s="0" t="n">
        <v>104537816</v>
      </c>
    </row>
    <row r="620" customFormat="false" ht="15" hidden="false" customHeight="false" outlineLevel="0" collapsed="false">
      <c r="A620" s="0" t="s">
        <v>3940</v>
      </c>
      <c r="B620" s="0" t="s">
        <v>3941</v>
      </c>
      <c r="C620" s="0" t="s">
        <v>3942</v>
      </c>
      <c r="D620" s="0" t="s">
        <v>2385</v>
      </c>
      <c r="E620" s="0" t="n">
        <v>43334</v>
      </c>
      <c r="F620" s="0" t="s">
        <v>102</v>
      </c>
      <c r="G620" s="0" t="n">
        <v>21356941</v>
      </c>
      <c r="H620" s="0" t="n">
        <v>720193</v>
      </c>
      <c r="I620" s="0" t="s">
        <v>34</v>
      </c>
      <c r="J620" s="0" t="s">
        <v>174</v>
      </c>
      <c r="K620" s="0" t="s">
        <v>145</v>
      </c>
      <c r="L620" s="0" t="n">
        <v>226360028</v>
      </c>
      <c r="M620" s="0" t="s">
        <v>1135</v>
      </c>
      <c r="N620" s="0" t="n">
        <v>104537816</v>
      </c>
      <c r="O620" s="0" t="n">
        <v>62</v>
      </c>
      <c r="P620" s="0" t="n">
        <v>0.19</v>
      </c>
      <c r="Q620" s="0" t="n">
        <v>104537816</v>
      </c>
    </row>
    <row r="621" customFormat="false" ht="15" hidden="false" customHeight="false" outlineLevel="0" collapsed="false">
      <c r="A621" s="0" t="s">
        <v>3943</v>
      </c>
      <c r="B621" s="0" t="s">
        <v>3944</v>
      </c>
      <c r="C621" s="0" t="s">
        <v>3945</v>
      </c>
      <c r="D621" s="0" t="s">
        <v>2385</v>
      </c>
      <c r="E621" s="0" t="n">
        <v>43333</v>
      </c>
      <c r="F621" s="0" t="s">
        <v>102</v>
      </c>
      <c r="G621" s="0" t="n">
        <v>21356941</v>
      </c>
      <c r="H621" s="0" t="n">
        <v>720193</v>
      </c>
      <c r="I621" s="0" t="s">
        <v>34</v>
      </c>
      <c r="J621" s="0" t="s">
        <v>174</v>
      </c>
      <c r="K621" s="0" t="s">
        <v>145</v>
      </c>
      <c r="L621" s="0" t="n">
        <v>226360028</v>
      </c>
      <c r="M621" s="0" t="s">
        <v>1135</v>
      </c>
      <c r="N621" s="0" t="n">
        <v>104537816</v>
      </c>
      <c r="O621" s="0" t="n">
        <v>8</v>
      </c>
      <c r="P621" s="0" t="n">
        <v>0.02</v>
      </c>
      <c r="Q621" s="0" t="n">
        <v>104537816</v>
      </c>
    </row>
    <row r="622" customFormat="false" ht="15" hidden="false" customHeight="false" outlineLevel="0" collapsed="false">
      <c r="A622" s="0" t="s">
        <v>3946</v>
      </c>
      <c r="B622" s="0" t="s">
        <v>3947</v>
      </c>
      <c r="C622" s="0" t="s">
        <v>3948</v>
      </c>
      <c r="D622" s="0" t="s">
        <v>2385</v>
      </c>
      <c r="E622" s="0" t="n">
        <v>43332</v>
      </c>
      <c r="F622" s="0" t="s">
        <v>102</v>
      </c>
      <c r="G622" s="0" t="n">
        <v>21356941</v>
      </c>
      <c r="H622" s="0" t="n">
        <v>720193</v>
      </c>
      <c r="I622" s="0" t="s">
        <v>34</v>
      </c>
      <c r="J622" s="0" t="s">
        <v>174</v>
      </c>
      <c r="K622" s="0" t="s">
        <v>145</v>
      </c>
      <c r="L622" s="0" t="n">
        <v>226360028</v>
      </c>
      <c r="M622" s="0" t="s">
        <v>1135</v>
      </c>
      <c r="N622" s="0" t="n">
        <v>104537816</v>
      </c>
      <c r="O622" s="0" t="n">
        <v>5</v>
      </c>
      <c r="P622" s="0" t="n">
        <v>0.01</v>
      </c>
      <c r="Q622" s="0" t="n">
        <v>104537816</v>
      </c>
    </row>
    <row r="623" customFormat="false" ht="15" hidden="false" customHeight="false" outlineLevel="0" collapsed="false">
      <c r="A623" s="0" t="s">
        <v>3949</v>
      </c>
      <c r="B623" s="0" t="s">
        <v>3950</v>
      </c>
      <c r="C623" s="0" t="s">
        <v>3951</v>
      </c>
      <c r="D623" s="0" t="s">
        <v>2385</v>
      </c>
      <c r="E623" s="0" t="n">
        <v>43331</v>
      </c>
      <c r="F623" s="0" t="s">
        <v>102</v>
      </c>
      <c r="G623" s="0" t="n">
        <v>21356941</v>
      </c>
      <c r="H623" s="0" t="n">
        <v>720193</v>
      </c>
      <c r="I623" s="0" t="s">
        <v>34</v>
      </c>
      <c r="J623" s="0" t="s">
        <v>174</v>
      </c>
      <c r="K623" s="0" t="s">
        <v>145</v>
      </c>
      <c r="L623" s="0" t="n">
        <v>226360028</v>
      </c>
      <c r="M623" s="0" t="s">
        <v>1135</v>
      </c>
      <c r="N623" s="0" t="n">
        <v>104537816</v>
      </c>
      <c r="O623" s="0" t="n">
        <v>3</v>
      </c>
      <c r="P623" s="0" t="n">
        <v>0.02</v>
      </c>
      <c r="Q623" s="0" t="n">
        <v>104537816</v>
      </c>
    </row>
    <row r="624" customFormat="false" ht="15" hidden="false" customHeight="false" outlineLevel="0" collapsed="false">
      <c r="A624" s="0" t="s">
        <v>3952</v>
      </c>
      <c r="B624" s="0" t="s">
        <v>3953</v>
      </c>
      <c r="C624" s="0" t="s">
        <v>3954</v>
      </c>
      <c r="D624" s="0" t="s">
        <v>2385</v>
      </c>
      <c r="E624" s="0" t="n">
        <v>43337</v>
      </c>
      <c r="F624" s="0" t="s">
        <v>102</v>
      </c>
      <c r="G624" s="0" t="n">
        <v>21356941</v>
      </c>
      <c r="H624" s="0" t="n">
        <v>720193</v>
      </c>
      <c r="I624" s="0" t="s">
        <v>34</v>
      </c>
      <c r="J624" s="0" t="s">
        <v>174</v>
      </c>
      <c r="K624" s="0" t="s">
        <v>146</v>
      </c>
      <c r="L624" s="0" t="n">
        <v>226360040</v>
      </c>
      <c r="M624" s="0" t="s">
        <v>1150</v>
      </c>
      <c r="N624" s="0" t="n">
        <v>104537132</v>
      </c>
      <c r="O624" s="0" t="n">
        <v>305</v>
      </c>
      <c r="P624" s="0" t="n">
        <v>1.07</v>
      </c>
      <c r="Q624" s="0" t="n">
        <v>104537132</v>
      </c>
    </row>
    <row r="625" customFormat="false" ht="15" hidden="false" customHeight="false" outlineLevel="0" collapsed="false">
      <c r="A625" s="0" t="s">
        <v>3955</v>
      </c>
      <c r="B625" s="0" t="s">
        <v>3956</v>
      </c>
      <c r="C625" s="0" t="s">
        <v>3957</v>
      </c>
      <c r="D625" s="0" t="s">
        <v>2385</v>
      </c>
      <c r="E625" s="0" t="n">
        <v>43336</v>
      </c>
      <c r="F625" s="0" t="s">
        <v>102</v>
      </c>
      <c r="G625" s="0" t="n">
        <v>21356941</v>
      </c>
      <c r="H625" s="0" t="n">
        <v>720193</v>
      </c>
      <c r="I625" s="0" t="s">
        <v>34</v>
      </c>
      <c r="J625" s="0" t="s">
        <v>174</v>
      </c>
      <c r="K625" s="0" t="s">
        <v>146</v>
      </c>
      <c r="L625" s="0" t="n">
        <v>226360040</v>
      </c>
      <c r="M625" s="0" t="s">
        <v>1150</v>
      </c>
      <c r="N625" s="0" t="n">
        <v>104537132</v>
      </c>
      <c r="O625" s="0" t="n">
        <v>268</v>
      </c>
      <c r="P625" s="0" t="n">
        <v>0.89</v>
      </c>
      <c r="Q625" s="0" t="n">
        <v>104537132</v>
      </c>
    </row>
    <row r="626" customFormat="false" ht="15" hidden="false" customHeight="false" outlineLevel="0" collapsed="false">
      <c r="A626" s="0" t="s">
        <v>3958</v>
      </c>
      <c r="B626" s="0" t="s">
        <v>3959</v>
      </c>
      <c r="C626" s="0" t="s">
        <v>3960</v>
      </c>
      <c r="D626" s="0" t="s">
        <v>2385</v>
      </c>
      <c r="E626" s="0" t="n">
        <v>43335</v>
      </c>
      <c r="F626" s="0" t="s">
        <v>102</v>
      </c>
      <c r="G626" s="0" t="n">
        <v>21356941</v>
      </c>
      <c r="H626" s="0" t="n">
        <v>720193</v>
      </c>
      <c r="I626" s="0" t="s">
        <v>34</v>
      </c>
      <c r="J626" s="0" t="s">
        <v>174</v>
      </c>
      <c r="K626" s="0" t="s">
        <v>146</v>
      </c>
      <c r="L626" s="0" t="n">
        <v>226360040</v>
      </c>
      <c r="M626" s="0" t="s">
        <v>1150</v>
      </c>
      <c r="N626" s="0" t="n">
        <v>104537132</v>
      </c>
      <c r="O626" s="0" t="n">
        <v>338</v>
      </c>
      <c r="P626" s="0" t="n">
        <v>1.06</v>
      </c>
      <c r="Q626" s="0" t="n">
        <v>104537132</v>
      </c>
    </row>
    <row r="627" customFormat="false" ht="15" hidden="false" customHeight="false" outlineLevel="0" collapsed="false">
      <c r="A627" s="0" t="s">
        <v>3961</v>
      </c>
      <c r="B627" s="0" t="s">
        <v>3962</v>
      </c>
      <c r="C627" s="0" t="s">
        <v>3963</v>
      </c>
      <c r="D627" s="0" t="s">
        <v>2385</v>
      </c>
      <c r="E627" s="0" t="n">
        <v>43334</v>
      </c>
      <c r="F627" s="0" t="s">
        <v>102</v>
      </c>
      <c r="G627" s="0" t="n">
        <v>21356941</v>
      </c>
      <c r="H627" s="0" t="n">
        <v>720193</v>
      </c>
      <c r="I627" s="0" t="s">
        <v>34</v>
      </c>
      <c r="J627" s="0" t="s">
        <v>174</v>
      </c>
      <c r="K627" s="0" t="s">
        <v>146</v>
      </c>
      <c r="L627" s="0" t="n">
        <v>226360040</v>
      </c>
      <c r="M627" s="0" t="s">
        <v>1150</v>
      </c>
      <c r="N627" s="0" t="n">
        <v>104537132</v>
      </c>
      <c r="O627" s="0" t="n">
        <v>313</v>
      </c>
      <c r="P627" s="0" t="n">
        <v>1.25</v>
      </c>
      <c r="Q627" s="0" t="n">
        <v>104537132</v>
      </c>
    </row>
    <row r="628" customFormat="false" ht="15" hidden="false" customHeight="false" outlineLevel="0" collapsed="false">
      <c r="A628" s="0" t="s">
        <v>3964</v>
      </c>
      <c r="B628" s="0" t="s">
        <v>3965</v>
      </c>
      <c r="C628" s="0" t="s">
        <v>3966</v>
      </c>
      <c r="D628" s="0" t="s">
        <v>2385</v>
      </c>
      <c r="E628" s="0" t="n">
        <v>43333</v>
      </c>
      <c r="F628" s="0" t="s">
        <v>102</v>
      </c>
      <c r="G628" s="0" t="n">
        <v>21356941</v>
      </c>
      <c r="H628" s="0" t="n">
        <v>720193</v>
      </c>
      <c r="I628" s="0" t="s">
        <v>34</v>
      </c>
      <c r="J628" s="0" t="s">
        <v>174</v>
      </c>
      <c r="K628" s="0" t="s">
        <v>146</v>
      </c>
      <c r="L628" s="0" t="n">
        <v>226360040</v>
      </c>
      <c r="M628" s="0" t="s">
        <v>1150</v>
      </c>
      <c r="N628" s="0" t="n">
        <v>104537132</v>
      </c>
      <c r="O628" s="0" t="n">
        <v>350</v>
      </c>
      <c r="P628" s="0" t="n">
        <v>1.14</v>
      </c>
      <c r="Q628" s="0" t="n">
        <v>104537132</v>
      </c>
    </row>
    <row r="629" customFormat="false" ht="15" hidden="false" customHeight="false" outlineLevel="0" collapsed="false">
      <c r="A629" s="0" t="s">
        <v>3967</v>
      </c>
      <c r="B629" s="0" t="s">
        <v>3968</v>
      </c>
      <c r="C629" s="0" t="s">
        <v>3969</v>
      </c>
      <c r="D629" s="0" t="s">
        <v>2385</v>
      </c>
      <c r="E629" s="0" t="n">
        <v>43332</v>
      </c>
      <c r="F629" s="0" t="s">
        <v>102</v>
      </c>
      <c r="G629" s="0" t="n">
        <v>21356941</v>
      </c>
      <c r="H629" s="0" t="n">
        <v>720193</v>
      </c>
      <c r="I629" s="0" t="s">
        <v>34</v>
      </c>
      <c r="J629" s="0" t="s">
        <v>174</v>
      </c>
      <c r="K629" s="0" t="s">
        <v>146</v>
      </c>
      <c r="L629" s="0" t="n">
        <v>226360040</v>
      </c>
      <c r="M629" s="0" t="s">
        <v>1150</v>
      </c>
      <c r="N629" s="0" t="n">
        <v>104537132</v>
      </c>
      <c r="O629" s="0" t="n">
        <v>716</v>
      </c>
      <c r="P629" s="0" t="n">
        <v>2.39</v>
      </c>
      <c r="Q629" s="0" t="n">
        <v>104537132</v>
      </c>
    </row>
    <row r="630" customFormat="false" ht="15" hidden="false" customHeight="false" outlineLevel="0" collapsed="false">
      <c r="A630" s="0" t="s">
        <v>3970</v>
      </c>
      <c r="B630" s="0" t="s">
        <v>3971</v>
      </c>
      <c r="C630" s="0" t="s">
        <v>3972</v>
      </c>
      <c r="D630" s="0" t="s">
        <v>2385</v>
      </c>
      <c r="E630" s="0" t="n">
        <v>43331</v>
      </c>
      <c r="F630" s="0" t="s">
        <v>102</v>
      </c>
      <c r="G630" s="0" t="n">
        <v>21356941</v>
      </c>
      <c r="H630" s="0" t="n">
        <v>720193</v>
      </c>
      <c r="I630" s="0" t="s">
        <v>34</v>
      </c>
      <c r="J630" s="0" t="s">
        <v>174</v>
      </c>
      <c r="K630" s="0" t="s">
        <v>146</v>
      </c>
      <c r="L630" s="0" t="n">
        <v>226360040</v>
      </c>
      <c r="M630" s="0" t="s">
        <v>1150</v>
      </c>
      <c r="N630" s="0" t="n">
        <v>104537132</v>
      </c>
      <c r="O630" s="0" t="n">
        <v>849</v>
      </c>
      <c r="P630" s="0" t="n">
        <v>3.16</v>
      </c>
      <c r="Q630" s="0" t="n">
        <v>104537132</v>
      </c>
    </row>
    <row r="631" customFormat="false" ht="15" hidden="false" customHeight="false" outlineLevel="0" collapsed="false">
      <c r="A631" s="0" t="s">
        <v>3973</v>
      </c>
      <c r="B631" s="0" t="s">
        <v>3974</v>
      </c>
      <c r="C631" s="0" t="s">
        <v>3975</v>
      </c>
      <c r="D631" s="0" t="s">
        <v>2385</v>
      </c>
      <c r="E631" s="0" t="n">
        <v>43337</v>
      </c>
      <c r="F631" s="0" t="s">
        <v>102</v>
      </c>
      <c r="G631" s="0" t="n">
        <v>21356941</v>
      </c>
      <c r="H631" s="0" t="n">
        <v>720193</v>
      </c>
      <c r="I631" s="0" t="s">
        <v>34</v>
      </c>
      <c r="J631" s="0" t="s">
        <v>174</v>
      </c>
      <c r="K631" s="0" t="s">
        <v>147</v>
      </c>
      <c r="L631" s="0" t="n">
        <v>226359938</v>
      </c>
      <c r="M631" s="0" t="s">
        <v>1319</v>
      </c>
      <c r="N631" s="0" t="n">
        <v>104456278</v>
      </c>
      <c r="O631" s="0" t="n">
        <v>1913</v>
      </c>
      <c r="P631" s="0" t="n">
        <v>7.6</v>
      </c>
      <c r="Q631" s="0" t="n">
        <v>104456278</v>
      </c>
    </row>
    <row r="632" customFormat="false" ht="15" hidden="false" customHeight="false" outlineLevel="0" collapsed="false">
      <c r="A632" s="0" t="s">
        <v>3976</v>
      </c>
      <c r="B632" s="0" t="s">
        <v>3977</v>
      </c>
      <c r="C632" s="0" t="s">
        <v>3978</v>
      </c>
      <c r="D632" s="0" t="s">
        <v>2385</v>
      </c>
      <c r="E632" s="0" t="n">
        <v>43336</v>
      </c>
      <c r="F632" s="0" t="s">
        <v>102</v>
      </c>
      <c r="G632" s="0" t="n">
        <v>21356941</v>
      </c>
      <c r="H632" s="0" t="n">
        <v>720193</v>
      </c>
      <c r="I632" s="0" t="s">
        <v>34</v>
      </c>
      <c r="J632" s="0" t="s">
        <v>174</v>
      </c>
      <c r="K632" s="0" t="s">
        <v>147</v>
      </c>
      <c r="L632" s="0" t="n">
        <v>226359938</v>
      </c>
      <c r="M632" s="0" t="s">
        <v>1319</v>
      </c>
      <c r="N632" s="0" t="n">
        <v>104456278</v>
      </c>
      <c r="O632" s="0" t="n">
        <v>2226</v>
      </c>
      <c r="P632" s="0" t="n">
        <v>9.09</v>
      </c>
      <c r="Q632" s="0" t="n">
        <v>104456278</v>
      </c>
    </row>
    <row r="633" customFormat="false" ht="15" hidden="false" customHeight="false" outlineLevel="0" collapsed="false">
      <c r="A633" s="0" t="s">
        <v>3979</v>
      </c>
      <c r="B633" s="0" t="s">
        <v>3980</v>
      </c>
      <c r="C633" s="0" t="s">
        <v>3981</v>
      </c>
      <c r="D633" s="0" t="s">
        <v>2385</v>
      </c>
      <c r="E633" s="0" t="n">
        <v>43335</v>
      </c>
      <c r="F633" s="0" t="s">
        <v>102</v>
      </c>
      <c r="G633" s="0" t="n">
        <v>21356941</v>
      </c>
      <c r="H633" s="0" t="n">
        <v>720193</v>
      </c>
      <c r="I633" s="0" t="s">
        <v>34</v>
      </c>
      <c r="J633" s="0" t="s">
        <v>174</v>
      </c>
      <c r="K633" s="0" t="s">
        <v>147</v>
      </c>
      <c r="L633" s="0" t="n">
        <v>226359938</v>
      </c>
      <c r="M633" s="0" t="s">
        <v>1319</v>
      </c>
      <c r="N633" s="0" t="n">
        <v>104456278</v>
      </c>
      <c r="O633" s="0" t="n">
        <v>5009</v>
      </c>
      <c r="P633" s="0" t="n">
        <v>19.46</v>
      </c>
      <c r="Q633" s="0" t="n">
        <v>104456278</v>
      </c>
    </row>
    <row r="634" customFormat="false" ht="15" hidden="false" customHeight="false" outlineLevel="0" collapsed="false">
      <c r="A634" s="0" t="s">
        <v>3982</v>
      </c>
      <c r="B634" s="0" t="s">
        <v>3983</v>
      </c>
      <c r="C634" s="0" t="s">
        <v>3984</v>
      </c>
      <c r="D634" s="0" t="s">
        <v>2385</v>
      </c>
      <c r="E634" s="0" t="n">
        <v>43334</v>
      </c>
      <c r="F634" s="0" t="s">
        <v>102</v>
      </c>
      <c r="G634" s="0" t="n">
        <v>21356941</v>
      </c>
      <c r="H634" s="0" t="n">
        <v>720193</v>
      </c>
      <c r="I634" s="0" t="s">
        <v>34</v>
      </c>
      <c r="J634" s="0" t="s">
        <v>174</v>
      </c>
      <c r="K634" s="0" t="s">
        <v>147</v>
      </c>
      <c r="L634" s="0" t="n">
        <v>226359938</v>
      </c>
      <c r="M634" s="0" t="s">
        <v>1319</v>
      </c>
      <c r="N634" s="0" t="n">
        <v>104456278</v>
      </c>
      <c r="O634" s="0" t="n">
        <v>4376</v>
      </c>
      <c r="P634" s="0" t="n">
        <v>20.47</v>
      </c>
      <c r="Q634" s="0" t="n">
        <v>104456278</v>
      </c>
    </row>
    <row r="635" customFormat="false" ht="15" hidden="false" customHeight="false" outlineLevel="0" collapsed="false">
      <c r="A635" s="0" t="s">
        <v>3985</v>
      </c>
      <c r="B635" s="0" t="s">
        <v>3986</v>
      </c>
      <c r="C635" s="0" t="s">
        <v>3987</v>
      </c>
      <c r="D635" s="0" t="s">
        <v>2385</v>
      </c>
      <c r="E635" s="0" t="n">
        <v>43333</v>
      </c>
      <c r="F635" s="0" t="s">
        <v>102</v>
      </c>
      <c r="G635" s="0" t="n">
        <v>21356941</v>
      </c>
      <c r="H635" s="0" t="n">
        <v>720193</v>
      </c>
      <c r="I635" s="0" t="s">
        <v>34</v>
      </c>
      <c r="J635" s="0" t="s">
        <v>174</v>
      </c>
      <c r="K635" s="0" t="s">
        <v>147</v>
      </c>
      <c r="L635" s="0" t="n">
        <v>226359938</v>
      </c>
      <c r="M635" s="0" t="s">
        <v>1319</v>
      </c>
      <c r="N635" s="0" t="n">
        <v>104456278</v>
      </c>
      <c r="O635" s="0" t="n">
        <v>4897</v>
      </c>
      <c r="P635" s="0" t="n">
        <v>19.76</v>
      </c>
      <c r="Q635" s="0" t="n">
        <v>104456278</v>
      </c>
    </row>
    <row r="636" customFormat="false" ht="15" hidden="false" customHeight="false" outlineLevel="0" collapsed="false">
      <c r="A636" s="0" t="s">
        <v>3988</v>
      </c>
      <c r="B636" s="0" t="s">
        <v>3989</v>
      </c>
      <c r="C636" s="0" t="s">
        <v>3990</v>
      </c>
      <c r="D636" s="0" t="s">
        <v>2385</v>
      </c>
      <c r="E636" s="0" t="n">
        <v>43332</v>
      </c>
      <c r="F636" s="0" t="s">
        <v>102</v>
      </c>
      <c r="G636" s="0" t="n">
        <v>21356941</v>
      </c>
      <c r="H636" s="0" t="n">
        <v>720193</v>
      </c>
      <c r="I636" s="0" t="s">
        <v>34</v>
      </c>
      <c r="J636" s="0" t="s">
        <v>174</v>
      </c>
      <c r="K636" s="0" t="s">
        <v>147</v>
      </c>
      <c r="L636" s="0" t="n">
        <v>226359938</v>
      </c>
      <c r="M636" s="0" t="s">
        <v>1319</v>
      </c>
      <c r="N636" s="0" t="n">
        <v>104456278</v>
      </c>
      <c r="O636" s="0" t="n">
        <v>4341</v>
      </c>
      <c r="P636" s="0" t="n">
        <v>18.87</v>
      </c>
      <c r="Q636" s="0" t="n">
        <v>104456278</v>
      </c>
    </row>
    <row r="637" customFormat="false" ht="15" hidden="false" customHeight="false" outlineLevel="0" collapsed="false">
      <c r="A637" s="0" t="s">
        <v>3991</v>
      </c>
      <c r="B637" s="0" t="s">
        <v>3992</v>
      </c>
      <c r="C637" s="0" t="s">
        <v>3993</v>
      </c>
      <c r="D637" s="0" t="s">
        <v>2385</v>
      </c>
      <c r="E637" s="0" t="n">
        <v>43331</v>
      </c>
      <c r="F637" s="0" t="s">
        <v>102</v>
      </c>
      <c r="G637" s="0" t="n">
        <v>21356941</v>
      </c>
      <c r="H637" s="0" t="n">
        <v>720193</v>
      </c>
      <c r="I637" s="0" t="s">
        <v>34</v>
      </c>
      <c r="J637" s="0" t="s">
        <v>174</v>
      </c>
      <c r="K637" s="0" t="s">
        <v>147</v>
      </c>
      <c r="L637" s="0" t="n">
        <v>226359938</v>
      </c>
      <c r="M637" s="0" t="s">
        <v>1319</v>
      </c>
      <c r="N637" s="0" t="n">
        <v>104456278</v>
      </c>
      <c r="O637" s="0" t="n">
        <v>3838</v>
      </c>
      <c r="P637" s="0" t="n">
        <v>18.62</v>
      </c>
      <c r="Q637" s="0" t="n">
        <v>104456278</v>
      </c>
    </row>
    <row r="638" customFormat="false" ht="15" hidden="false" customHeight="false" outlineLevel="0" collapsed="false">
      <c r="A638" s="0" t="e">
        <f aca="false">#N/A</f>
        <v>#N/A</v>
      </c>
      <c r="B638" s="0" t="s">
        <v>3994</v>
      </c>
      <c r="C638" s="0" t="s">
        <v>3995</v>
      </c>
      <c r="D638" s="0" t="s">
        <v>2385</v>
      </c>
      <c r="E638" s="0" t="n">
        <v>43337</v>
      </c>
      <c r="F638" s="0" t="s">
        <v>102</v>
      </c>
      <c r="G638" s="0" t="n">
        <v>21356941</v>
      </c>
      <c r="H638" s="0" t="n">
        <v>720193</v>
      </c>
      <c r="I638" s="0" t="s">
        <v>34</v>
      </c>
      <c r="J638" s="0" t="s">
        <v>174</v>
      </c>
      <c r="K638" s="0" t="s">
        <v>148</v>
      </c>
      <c r="L638" s="0" t="n">
        <v>226359935</v>
      </c>
      <c r="M638" s="0" t="s">
        <v>1334</v>
      </c>
      <c r="N638" s="0" t="n">
        <v>104458003</v>
      </c>
      <c r="O638" s="0" t="n">
        <v>2</v>
      </c>
      <c r="P638" s="0" t="n">
        <v>0</v>
      </c>
      <c r="Q638" s="0" t="e">
        <f aca="false">#N/A</f>
        <v>#N/A</v>
      </c>
    </row>
    <row r="639" customFormat="false" ht="15" hidden="false" customHeight="false" outlineLevel="0" collapsed="false">
      <c r="A639" s="0" t="e">
        <f aca="false">#N/A</f>
        <v>#N/A</v>
      </c>
      <c r="B639" s="0" t="s">
        <v>3996</v>
      </c>
      <c r="C639" s="0" t="s">
        <v>3997</v>
      </c>
      <c r="D639" s="0" t="s">
        <v>2385</v>
      </c>
      <c r="E639" s="0" t="n">
        <v>43336</v>
      </c>
      <c r="F639" s="0" t="s">
        <v>102</v>
      </c>
      <c r="G639" s="0" t="n">
        <v>21356941</v>
      </c>
      <c r="H639" s="0" t="n">
        <v>720193</v>
      </c>
      <c r="I639" s="0" t="s">
        <v>34</v>
      </c>
      <c r="J639" s="0" t="s">
        <v>174</v>
      </c>
      <c r="K639" s="0" t="s">
        <v>148</v>
      </c>
      <c r="L639" s="0" t="n">
        <v>226359935</v>
      </c>
      <c r="M639" s="0" t="s">
        <v>1334</v>
      </c>
      <c r="N639" s="0" t="n">
        <v>104458003</v>
      </c>
      <c r="O639" s="0" t="n">
        <v>2</v>
      </c>
      <c r="P639" s="0" t="n">
        <v>0.01</v>
      </c>
      <c r="Q639" s="0" t="e">
        <f aca="false">#N/A</f>
        <v>#N/A</v>
      </c>
    </row>
    <row r="640" customFormat="false" ht="15" hidden="false" customHeight="false" outlineLevel="0" collapsed="false">
      <c r="A640" s="0" t="e">
        <f aca="false">#N/A</f>
        <v>#N/A</v>
      </c>
      <c r="B640" s="0" t="s">
        <v>3998</v>
      </c>
      <c r="C640" s="0" t="s">
        <v>3999</v>
      </c>
      <c r="D640" s="0" t="s">
        <v>2385</v>
      </c>
      <c r="E640" s="0" t="n">
        <v>43335</v>
      </c>
      <c r="F640" s="0" t="s">
        <v>102</v>
      </c>
      <c r="G640" s="0" t="n">
        <v>21356941</v>
      </c>
      <c r="H640" s="0" t="n">
        <v>720193</v>
      </c>
      <c r="I640" s="0" t="s">
        <v>34</v>
      </c>
      <c r="J640" s="0" t="s">
        <v>174</v>
      </c>
      <c r="K640" s="0" t="s">
        <v>148</v>
      </c>
      <c r="L640" s="0" t="n">
        <v>226359935</v>
      </c>
      <c r="M640" s="0" t="s">
        <v>1334</v>
      </c>
      <c r="N640" s="0" t="n">
        <v>104458003</v>
      </c>
      <c r="O640" s="0" t="n">
        <v>9</v>
      </c>
      <c r="P640" s="0" t="n">
        <v>0.03</v>
      </c>
      <c r="Q640" s="0" t="e">
        <f aca="false">#N/A</f>
        <v>#N/A</v>
      </c>
    </row>
    <row r="641" customFormat="false" ht="15" hidden="false" customHeight="false" outlineLevel="0" collapsed="false">
      <c r="A641" s="0" t="e">
        <f aca="false">#N/A</f>
        <v>#N/A</v>
      </c>
      <c r="B641" s="0" t="s">
        <v>4000</v>
      </c>
      <c r="C641" s="0" t="s">
        <v>4001</v>
      </c>
      <c r="D641" s="0" t="s">
        <v>2385</v>
      </c>
      <c r="E641" s="0" t="n">
        <v>43334</v>
      </c>
      <c r="F641" s="0" t="s">
        <v>102</v>
      </c>
      <c r="G641" s="0" t="n">
        <v>21356941</v>
      </c>
      <c r="H641" s="0" t="n">
        <v>720193</v>
      </c>
      <c r="I641" s="0" t="s">
        <v>34</v>
      </c>
      <c r="J641" s="0" t="s">
        <v>174</v>
      </c>
      <c r="K641" s="0" t="s">
        <v>148</v>
      </c>
      <c r="L641" s="0" t="n">
        <v>226359935</v>
      </c>
      <c r="M641" s="0" t="s">
        <v>1334</v>
      </c>
      <c r="N641" s="0" t="n">
        <v>104458003</v>
      </c>
      <c r="O641" s="0" t="n">
        <v>4</v>
      </c>
      <c r="P641" s="0" t="n">
        <v>0.01</v>
      </c>
      <c r="Q641" s="0" t="e">
        <f aca="false">#N/A</f>
        <v>#N/A</v>
      </c>
    </row>
    <row r="642" customFormat="false" ht="15" hidden="false" customHeight="false" outlineLevel="0" collapsed="false">
      <c r="A642" s="0" t="e">
        <f aca="false">#N/A</f>
        <v>#N/A</v>
      </c>
      <c r="B642" s="0" t="s">
        <v>4002</v>
      </c>
      <c r="C642" s="0" t="s">
        <v>4003</v>
      </c>
      <c r="D642" s="0" t="s">
        <v>2385</v>
      </c>
      <c r="E642" s="0" t="n">
        <v>43333</v>
      </c>
      <c r="F642" s="0" t="s">
        <v>102</v>
      </c>
      <c r="G642" s="0" t="n">
        <v>21356941</v>
      </c>
      <c r="H642" s="0" t="n">
        <v>720193</v>
      </c>
      <c r="I642" s="0" t="s">
        <v>34</v>
      </c>
      <c r="J642" s="0" t="s">
        <v>174</v>
      </c>
      <c r="K642" s="0" t="s">
        <v>148</v>
      </c>
      <c r="L642" s="0" t="n">
        <v>226359935</v>
      </c>
      <c r="M642" s="0" t="s">
        <v>1334</v>
      </c>
      <c r="N642" s="0" t="n">
        <v>104458003</v>
      </c>
      <c r="O642" s="0" t="n">
        <v>3</v>
      </c>
      <c r="P642" s="0" t="n">
        <v>0</v>
      </c>
      <c r="Q642" s="0" t="e">
        <f aca="false">#N/A</f>
        <v>#N/A</v>
      </c>
    </row>
    <row r="643" customFormat="false" ht="15" hidden="false" customHeight="false" outlineLevel="0" collapsed="false">
      <c r="A643" s="0" t="e">
        <f aca="false">#N/A</f>
        <v>#N/A</v>
      </c>
      <c r="B643" s="0" t="s">
        <v>4004</v>
      </c>
      <c r="C643" s="0" t="s">
        <v>4005</v>
      </c>
      <c r="D643" s="0" t="s">
        <v>2385</v>
      </c>
      <c r="E643" s="0" t="n">
        <v>43332</v>
      </c>
      <c r="F643" s="0" t="s">
        <v>102</v>
      </c>
      <c r="G643" s="0" t="n">
        <v>21356941</v>
      </c>
      <c r="H643" s="0" t="n">
        <v>720193</v>
      </c>
      <c r="I643" s="0" t="s">
        <v>34</v>
      </c>
      <c r="J643" s="0" t="s">
        <v>174</v>
      </c>
      <c r="K643" s="0" t="s">
        <v>148</v>
      </c>
      <c r="L643" s="0" t="n">
        <v>226359935</v>
      </c>
      <c r="M643" s="0" t="s">
        <v>1334</v>
      </c>
      <c r="N643" s="0" t="n">
        <v>104458003</v>
      </c>
      <c r="O643" s="0" t="n">
        <v>5</v>
      </c>
      <c r="P643" s="0" t="n">
        <v>0.05</v>
      </c>
      <c r="Q643" s="0" t="e">
        <f aca="false">#N/A</f>
        <v>#N/A</v>
      </c>
    </row>
    <row r="644" customFormat="false" ht="15" hidden="false" customHeight="false" outlineLevel="0" collapsed="false">
      <c r="A644" s="0" t="e">
        <f aca="false">#N/A</f>
        <v>#N/A</v>
      </c>
      <c r="B644" s="0" t="s">
        <v>4006</v>
      </c>
      <c r="C644" s="0" t="s">
        <v>4007</v>
      </c>
      <c r="D644" s="0" t="s">
        <v>2385</v>
      </c>
      <c r="E644" s="0" t="n">
        <v>43331</v>
      </c>
      <c r="F644" s="0" t="s">
        <v>102</v>
      </c>
      <c r="G644" s="0" t="n">
        <v>21356941</v>
      </c>
      <c r="H644" s="0" t="n">
        <v>720193</v>
      </c>
      <c r="I644" s="0" t="s">
        <v>34</v>
      </c>
      <c r="J644" s="0" t="s">
        <v>174</v>
      </c>
      <c r="K644" s="0" t="s">
        <v>148</v>
      </c>
      <c r="L644" s="0" t="n">
        <v>226359935</v>
      </c>
      <c r="M644" s="0" t="s">
        <v>1334</v>
      </c>
      <c r="N644" s="0" t="n">
        <v>104458003</v>
      </c>
      <c r="O644" s="0" t="n">
        <v>5</v>
      </c>
      <c r="P644" s="0" t="n">
        <v>0.01</v>
      </c>
      <c r="Q644" s="0" t="e">
        <f aca="false">#N/A</f>
        <v>#N/A</v>
      </c>
    </row>
    <row r="645" customFormat="false" ht="15" hidden="false" customHeight="false" outlineLevel="0" collapsed="false">
      <c r="A645" s="0" t="e">
        <f aca="false">#N/A</f>
        <v>#N/A</v>
      </c>
      <c r="B645" s="0" t="s">
        <v>4008</v>
      </c>
      <c r="C645" s="0" t="s">
        <v>4009</v>
      </c>
      <c r="D645" s="0" t="s">
        <v>2385</v>
      </c>
      <c r="E645" s="0" t="n">
        <v>43337</v>
      </c>
      <c r="F645" s="0" t="s">
        <v>102</v>
      </c>
      <c r="G645" s="0" t="n">
        <v>21356941</v>
      </c>
      <c r="H645" s="0" t="n">
        <v>720193</v>
      </c>
      <c r="I645" s="0" t="s">
        <v>34</v>
      </c>
      <c r="J645" s="0" t="s">
        <v>174</v>
      </c>
      <c r="K645" s="0" t="s">
        <v>149</v>
      </c>
      <c r="L645" s="0" t="n">
        <v>226359941</v>
      </c>
      <c r="M645" s="0" t="s">
        <v>1349</v>
      </c>
      <c r="N645" s="0" t="n">
        <v>104455906</v>
      </c>
      <c r="O645" s="0" t="n">
        <v>1</v>
      </c>
      <c r="P645" s="0" t="n">
        <v>0</v>
      </c>
      <c r="Q645" s="0" t="e">
        <f aca="false">#N/A</f>
        <v>#N/A</v>
      </c>
    </row>
    <row r="646" customFormat="false" ht="15" hidden="false" customHeight="false" outlineLevel="0" collapsed="false">
      <c r="A646" s="0" t="e">
        <f aca="false">#N/A</f>
        <v>#N/A</v>
      </c>
      <c r="B646" s="0" t="s">
        <v>4010</v>
      </c>
      <c r="C646" s="0" t="s">
        <v>4011</v>
      </c>
      <c r="D646" s="0" t="s">
        <v>2385</v>
      </c>
      <c r="E646" s="0" t="n">
        <v>43336</v>
      </c>
      <c r="F646" s="0" t="s">
        <v>102</v>
      </c>
      <c r="G646" s="0" t="n">
        <v>21356941</v>
      </c>
      <c r="H646" s="0" t="n">
        <v>720193</v>
      </c>
      <c r="I646" s="0" t="s">
        <v>34</v>
      </c>
      <c r="J646" s="0" t="s">
        <v>174</v>
      </c>
      <c r="K646" s="0" t="s">
        <v>149</v>
      </c>
      <c r="L646" s="0" t="n">
        <v>226359941</v>
      </c>
      <c r="M646" s="0" t="s">
        <v>1349</v>
      </c>
      <c r="N646" s="0" t="n">
        <v>104455906</v>
      </c>
      <c r="O646" s="0" t="n">
        <v>3</v>
      </c>
      <c r="P646" s="0" t="n">
        <v>0.01</v>
      </c>
      <c r="Q646" s="0" t="e">
        <f aca="false">#N/A</f>
        <v>#N/A</v>
      </c>
    </row>
    <row r="647" customFormat="false" ht="15" hidden="false" customHeight="false" outlineLevel="0" collapsed="false">
      <c r="A647" s="0" t="e">
        <f aca="false">#N/A</f>
        <v>#N/A</v>
      </c>
      <c r="B647" s="0" t="s">
        <v>4012</v>
      </c>
      <c r="C647" s="0" t="s">
        <v>4013</v>
      </c>
      <c r="D647" s="0" t="s">
        <v>2385</v>
      </c>
      <c r="E647" s="0" t="n">
        <v>43335</v>
      </c>
      <c r="F647" s="0" t="s">
        <v>102</v>
      </c>
      <c r="G647" s="0" t="n">
        <v>21356941</v>
      </c>
      <c r="H647" s="0" t="n">
        <v>720193</v>
      </c>
      <c r="I647" s="0" t="s">
        <v>34</v>
      </c>
      <c r="J647" s="0" t="s">
        <v>174</v>
      </c>
      <c r="K647" s="0" t="s">
        <v>149</v>
      </c>
      <c r="L647" s="0" t="n">
        <v>226359941</v>
      </c>
      <c r="M647" s="0" t="s">
        <v>1349</v>
      </c>
      <c r="N647" s="0" t="n">
        <v>104455906</v>
      </c>
      <c r="O647" s="0" t="n">
        <v>6</v>
      </c>
      <c r="P647" s="0" t="n">
        <v>0.02</v>
      </c>
      <c r="Q647" s="0" t="e">
        <f aca="false">#N/A</f>
        <v>#N/A</v>
      </c>
    </row>
    <row r="648" customFormat="false" ht="15" hidden="false" customHeight="false" outlineLevel="0" collapsed="false">
      <c r="A648" s="0" t="e">
        <f aca="false">#N/A</f>
        <v>#N/A</v>
      </c>
      <c r="B648" s="0" t="s">
        <v>4014</v>
      </c>
      <c r="C648" s="0" t="s">
        <v>4015</v>
      </c>
      <c r="D648" s="0" t="s">
        <v>2385</v>
      </c>
      <c r="E648" s="0" t="n">
        <v>43334</v>
      </c>
      <c r="F648" s="0" t="s">
        <v>102</v>
      </c>
      <c r="G648" s="0" t="n">
        <v>21356941</v>
      </c>
      <c r="H648" s="0" t="n">
        <v>720193</v>
      </c>
      <c r="I648" s="0" t="s">
        <v>34</v>
      </c>
      <c r="J648" s="0" t="s">
        <v>174</v>
      </c>
      <c r="K648" s="0" t="s">
        <v>149</v>
      </c>
      <c r="L648" s="0" t="n">
        <v>226359941</v>
      </c>
      <c r="M648" s="0" t="s">
        <v>1349</v>
      </c>
      <c r="N648" s="0" t="n">
        <v>104455906</v>
      </c>
      <c r="O648" s="0" t="n">
        <v>5</v>
      </c>
      <c r="P648" s="0" t="n">
        <v>0.01</v>
      </c>
      <c r="Q648" s="0" t="e">
        <f aca="false">#N/A</f>
        <v>#N/A</v>
      </c>
    </row>
    <row r="649" customFormat="false" ht="15" hidden="false" customHeight="false" outlineLevel="0" collapsed="false">
      <c r="A649" s="0" t="e">
        <f aca="false">#N/A</f>
        <v>#N/A</v>
      </c>
      <c r="B649" s="0" t="s">
        <v>4016</v>
      </c>
      <c r="C649" s="0" t="s">
        <v>4017</v>
      </c>
      <c r="D649" s="0" t="s">
        <v>2385</v>
      </c>
      <c r="E649" s="0" t="n">
        <v>43333</v>
      </c>
      <c r="F649" s="0" t="s">
        <v>102</v>
      </c>
      <c r="G649" s="0" t="n">
        <v>21356941</v>
      </c>
      <c r="H649" s="0" t="n">
        <v>720193</v>
      </c>
      <c r="I649" s="0" t="s">
        <v>34</v>
      </c>
      <c r="J649" s="0" t="s">
        <v>174</v>
      </c>
      <c r="K649" s="0" t="s">
        <v>149</v>
      </c>
      <c r="L649" s="0" t="n">
        <v>226359941</v>
      </c>
      <c r="M649" s="0" t="s">
        <v>1349</v>
      </c>
      <c r="N649" s="0" t="n">
        <v>104455906</v>
      </c>
      <c r="O649" s="0" t="n">
        <v>3</v>
      </c>
      <c r="P649" s="0" t="n">
        <v>0</v>
      </c>
      <c r="Q649" s="0" t="e">
        <f aca="false">#N/A</f>
        <v>#N/A</v>
      </c>
    </row>
    <row r="650" customFormat="false" ht="15" hidden="false" customHeight="false" outlineLevel="0" collapsed="false">
      <c r="A650" s="0" t="e">
        <f aca="false">#N/A</f>
        <v>#N/A</v>
      </c>
      <c r="B650" s="0" t="s">
        <v>4018</v>
      </c>
      <c r="C650" s="0" t="s">
        <v>4019</v>
      </c>
      <c r="D650" s="0" t="s">
        <v>2385</v>
      </c>
      <c r="E650" s="0" t="n">
        <v>43332</v>
      </c>
      <c r="F650" s="0" t="s">
        <v>102</v>
      </c>
      <c r="G650" s="0" t="n">
        <v>21356941</v>
      </c>
      <c r="H650" s="0" t="n">
        <v>720193</v>
      </c>
      <c r="I650" s="0" t="s">
        <v>34</v>
      </c>
      <c r="J650" s="0" t="s">
        <v>174</v>
      </c>
      <c r="K650" s="0" t="s">
        <v>149</v>
      </c>
      <c r="L650" s="0" t="n">
        <v>226359941</v>
      </c>
      <c r="M650" s="0" t="s">
        <v>1349</v>
      </c>
      <c r="N650" s="0" t="n">
        <v>104455906</v>
      </c>
      <c r="O650" s="0" t="n">
        <v>3</v>
      </c>
      <c r="P650" s="0" t="n">
        <v>0.03</v>
      </c>
      <c r="Q650" s="0" t="e">
        <f aca="false">#N/A</f>
        <v>#N/A</v>
      </c>
    </row>
    <row r="651" customFormat="false" ht="15" hidden="false" customHeight="false" outlineLevel="0" collapsed="false">
      <c r="A651" s="0" t="e">
        <f aca="false">#N/A</f>
        <v>#N/A</v>
      </c>
      <c r="B651" s="0" t="s">
        <v>4020</v>
      </c>
      <c r="C651" s="0" t="s">
        <v>4021</v>
      </c>
      <c r="D651" s="0" t="s">
        <v>2385</v>
      </c>
      <c r="E651" s="0" t="n">
        <v>43331</v>
      </c>
      <c r="F651" s="0" t="s">
        <v>102</v>
      </c>
      <c r="G651" s="0" t="n">
        <v>21356941</v>
      </c>
      <c r="H651" s="0" t="n">
        <v>720193</v>
      </c>
      <c r="I651" s="0" t="s">
        <v>34</v>
      </c>
      <c r="J651" s="0" t="s">
        <v>174</v>
      </c>
      <c r="K651" s="0" t="s">
        <v>149</v>
      </c>
      <c r="L651" s="0" t="n">
        <v>226359941</v>
      </c>
      <c r="M651" s="0" t="s">
        <v>1349</v>
      </c>
      <c r="N651" s="0" t="n">
        <v>104455906</v>
      </c>
      <c r="O651" s="0" t="n">
        <v>4</v>
      </c>
      <c r="P651" s="0" t="n">
        <v>0.03</v>
      </c>
      <c r="Q651" s="0" t="e">
        <f aca="false">#N/A</f>
        <v>#N/A</v>
      </c>
    </row>
    <row r="652" customFormat="false" ht="15" hidden="false" customHeight="false" outlineLevel="0" collapsed="false">
      <c r="A652" s="0" t="s">
        <v>4022</v>
      </c>
      <c r="B652" s="0" t="s">
        <v>4023</v>
      </c>
      <c r="C652" s="0" t="s">
        <v>4024</v>
      </c>
      <c r="D652" s="0" t="s">
        <v>2385</v>
      </c>
      <c r="E652" s="0" t="n">
        <v>43337</v>
      </c>
      <c r="F652" s="0" t="s">
        <v>102</v>
      </c>
      <c r="G652" s="0" t="n">
        <v>21356941</v>
      </c>
      <c r="H652" s="0" t="n">
        <v>720193</v>
      </c>
      <c r="I652" s="0" t="s">
        <v>34</v>
      </c>
      <c r="J652" s="0" t="s">
        <v>174</v>
      </c>
      <c r="K652" s="0" t="s">
        <v>150</v>
      </c>
      <c r="L652" s="0" t="n">
        <v>226360001</v>
      </c>
      <c r="M652" s="0" t="s">
        <v>1319</v>
      </c>
      <c r="N652" s="0" t="n">
        <v>104456278</v>
      </c>
      <c r="O652" s="0" t="n">
        <v>1694</v>
      </c>
      <c r="P652" s="0" t="n">
        <v>6.95</v>
      </c>
      <c r="Q652" s="0" t="n">
        <v>104456278</v>
      </c>
    </row>
    <row r="653" customFormat="false" ht="15" hidden="false" customHeight="false" outlineLevel="0" collapsed="false">
      <c r="A653" s="0" t="s">
        <v>4025</v>
      </c>
      <c r="B653" s="0" t="s">
        <v>4026</v>
      </c>
      <c r="C653" s="0" t="s">
        <v>4027</v>
      </c>
      <c r="D653" s="0" t="s">
        <v>2385</v>
      </c>
      <c r="E653" s="0" t="n">
        <v>43336</v>
      </c>
      <c r="F653" s="0" t="s">
        <v>102</v>
      </c>
      <c r="G653" s="0" t="n">
        <v>21356941</v>
      </c>
      <c r="H653" s="0" t="n">
        <v>720193</v>
      </c>
      <c r="I653" s="0" t="s">
        <v>34</v>
      </c>
      <c r="J653" s="0" t="s">
        <v>174</v>
      </c>
      <c r="K653" s="0" t="s">
        <v>150</v>
      </c>
      <c r="L653" s="0" t="n">
        <v>226360001</v>
      </c>
      <c r="M653" s="0" t="s">
        <v>1319</v>
      </c>
      <c r="N653" s="0" t="n">
        <v>104456278</v>
      </c>
      <c r="O653" s="0" t="n">
        <v>2120</v>
      </c>
      <c r="P653" s="0" t="n">
        <v>8.54</v>
      </c>
      <c r="Q653" s="0" t="n">
        <v>104456278</v>
      </c>
    </row>
    <row r="654" customFormat="false" ht="15" hidden="false" customHeight="false" outlineLevel="0" collapsed="false">
      <c r="A654" s="0" t="s">
        <v>4028</v>
      </c>
      <c r="B654" s="0" t="s">
        <v>4029</v>
      </c>
      <c r="C654" s="0" t="s">
        <v>4030</v>
      </c>
      <c r="D654" s="0" t="s">
        <v>2385</v>
      </c>
      <c r="E654" s="0" t="n">
        <v>43335</v>
      </c>
      <c r="F654" s="0" t="s">
        <v>102</v>
      </c>
      <c r="G654" s="0" t="n">
        <v>21356941</v>
      </c>
      <c r="H654" s="0" t="n">
        <v>720193</v>
      </c>
      <c r="I654" s="0" t="s">
        <v>34</v>
      </c>
      <c r="J654" s="0" t="s">
        <v>174</v>
      </c>
      <c r="K654" s="0" t="s">
        <v>150</v>
      </c>
      <c r="L654" s="0" t="n">
        <v>226360001</v>
      </c>
      <c r="M654" s="0" t="s">
        <v>1319</v>
      </c>
      <c r="N654" s="0" t="n">
        <v>104456278</v>
      </c>
      <c r="O654" s="0" t="n">
        <v>4397</v>
      </c>
      <c r="P654" s="0" t="n">
        <v>16.83</v>
      </c>
      <c r="Q654" s="0" t="n">
        <v>104456278</v>
      </c>
    </row>
    <row r="655" customFormat="false" ht="15" hidden="false" customHeight="false" outlineLevel="0" collapsed="false">
      <c r="A655" s="0" t="s">
        <v>4031</v>
      </c>
      <c r="B655" s="0" t="s">
        <v>4032</v>
      </c>
      <c r="C655" s="0" t="s">
        <v>4033</v>
      </c>
      <c r="D655" s="0" t="s">
        <v>2385</v>
      </c>
      <c r="E655" s="0" t="n">
        <v>43334</v>
      </c>
      <c r="F655" s="0" t="s">
        <v>102</v>
      </c>
      <c r="G655" s="0" t="n">
        <v>21356941</v>
      </c>
      <c r="H655" s="0" t="n">
        <v>720193</v>
      </c>
      <c r="I655" s="0" t="s">
        <v>34</v>
      </c>
      <c r="J655" s="0" t="s">
        <v>174</v>
      </c>
      <c r="K655" s="0" t="s">
        <v>150</v>
      </c>
      <c r="L655" s="0" t="n">
        <v>226360001</v>
      </c>
      <c r="M655" s="0" t="s">
        <v>1319</v>
      </c>
      <c r="N655" s="0" t="n">
        <v>104456278</v>
      </c>
      <c r="O655" s="0" t="n">
        <v>3878</v>
      </c>
      <c r="P655" s="0" t="n">
        <v>18.2</v>
      </c>
      <c r="Q655" s="0" t="n">
        <v>104456278</v>
      </c>
    </row>
    <row r="656" customFormat="false" ht="15" hidden="false" customHeight="false" outlineLevel="0" collapsed="false">
      <c r="A656" s="0" t="s">
        <v>4034</v>
      </c>
      <c r="B656" s="0" t="s">
        <v>4035</v>
      </c>
      <c r="C656" s="0" t="s">
        <v>4036</v>
      </c>
      <c r="D656" s="0" t="s">
        <v>2385</v>
      </c>
      <c r="E656" s="0" t="n">
        <v>43333</v>
      </c>
      <c r="F656" s="0" t="s">
        <v>102</v>
      </c>
      <c r="G656" s="0" t="n">
        <v>21356941</v>
      </c>
      <c r="H656" s="0" t="n">
        <v>720193</v>
      </c>
      <c r="I656" s="0" t="s">
        <v>34</v>
      </c>
      <c r="J656" s="0" t="s">
        <v>174</v>
      </c>
      <c r="K656" s="0" t="s">
        <v>150</v>
      </c>
      <c r="L656" s="0" t="n">
        <v>226360001</v>
      </c>
      <c r="M656" s="0" t="s">
        <v>1319</v>
      </c>
      <c r="N656" s="0" t="n">
        <v>104456278</v>
      </c>
      <c r="O656" s="0" t="n">
        <v>3414</v>
      </c>
      <c r="P656" s="0" t="n">
        <v>13.96</v>
      </c>
      <c r="Q656" s="0" t="n">
        <v>104456278</v>
      </c>
    </row>
    <row r="657" customFormat="false" ht="15" hidden="false" customHeight="false" outlineLevel="0" collapsed="false">
      <c r="A657" s="0" t="s">
        <v>4037</v>
      </c>
      <c r="B657" s="0" t="s">
        <v>4038</v>
      </c>
      <c r="C657" s="0" t="s">
        <v>4039</v>
      </c>
      <c r="D657" s="0" t="s">
        <v>2385</v>
      </c>
      <c r="E657" s="0" t="n">
        <v>43332</v>
      </c>
      <c r="F657" s="0" t="s">
        <v>102</v>
      </c>
      <c r="G657" s="0" t="n">
        <v>21356941</v>
      </c>
      <c r="H657" s="0" t="n">
        <v>720193</v>
      </c>
      <c r="I657" s="0" t="s">
        <v>34</v>
      </c>
      <c r="J657" s="0" t="s">
        <v>174</v>
      </c>
      <c r="K657" s="0" t="s">
        <v>150</v>
      </c>
      <c r="L657" s="0" t="n">
        <v>226360001</v>
      </c>
      <c r="M657" s="0" t="s">
        <v>1319</v>
      </c>
      <c r="N657" s="0" t="n">
        <v>104456278</v>
      </c>
      <c r="O657" s="0" t="n">
        <v>3552</v>
      </c>
      <c r="P657" s="0" t="n">
        <v>14.44</v>
      </c>
      <c r="Q657" s="0" t="n">
        <v>104456278</v>
      </c>
    </row>
    <row r="658" customFormat="false" ht="15" hidden="false" customHeight="false" outlineLevel="0" collapsed="false">
      <c r="A658" s="0" t="s">
        <v>4040</v>
      </c>
      <c r="B658" s="0" t="s">
        <v>4041</v>
      </c>
      <c r="C658" s="0" t="s">
        <v>4042</v>
      </c>
      <c r="D658" s="0" t="s">
        <v>2385</v>
      </c>
      <c r="E658" s="0" t="n">
        <v>43331</v>
      </c>
      <c r="F658" s="0" t="s">
        <v>102</v>
      </c>
      <c r="G658" s="0" t="n">
        <v>21356941</v>
      </c>
      <c r="H658" s="0" t="n">
        <v>720193</v>
      </c>
      <c r="I658" s="0" t="s">
        <v>34</v>
      </c>
      <c r="J658" s="0" t="s">
        <v>174</v>
      </c>
      <c r="K658" s="0" t="s">
        <v>150</v>
      </c>
      <c r="L658" s="0" t="n">
        <v>226360001</v>
      </c>
      <c r="M658" s="0" t="s">
        <v>1319</v>
      </c>
      <c r="N658" s="0" t="n">
        <v>104456278</v>
      </c>
      <c r="O658" s="0" t="n">
        <v>4076</v>
      </c>
      <c r="P658" s="0" t="n">
        <v>18.55</v>
      </c>
      <c r="Q658" s="0" t="n">
        <v>104456278</v>
      </c>
    </row>
    <row r="659" customFormat="false" ht="15" hidden="false" customHeight="false" outlineLevel="0" collapsed="false">
      <c r="A659" s="0" t="e">
        <f aca="false">#N/A</f>
        <v>#N/A</v>
      </c>
      <c r="B659" s="0" t="s">
        <v>4043</v>
      </c>
      <c r="C659" s="0" t="s">
        <v>4044</v>
      </c>
      <c r="D659" s="0" t="s">
        <v>2385</v>
      </c>
      <c r="E659" s="0" t="n">
        <v>43337</v>
      </c>
      <c r="F659" s="0" t="s">
        <v>102</v>
      </c>
      <c r="G659" s="0" t="n">
        <v>21356941</v>
      </c>
      <c r="H659" s="0" t="n">
        <v>720193</v>
      </c>
      <c r="I659" s="0" t="s">
        <v>34</v>
      </c>
      <c r="J659" s="0" t="s">
        <v>174</v>
      </c>
      <c r="K659" s="0" t="s">
        <v>151</v>
      </c>
      <c r="L659" s="0" t="n">
        <v>226496140</v>
      </c>
      <c r="M659" s="0" t="s">
        <v>1319</v>
      </c>
      <c r="N659" s="0" t="n">
        <v>104456278</v>
      </c>
      <c r="O659" s="0" t="n">
        <v>0</v>
      </c>
      <c r="P659" s="0" t="n">
        <v>0</v>
      </c>
      <c r="Q659" s="0" t="e">
        <f aca="false">#N/A</f>
        <v>#N/A</v>
      </c>
    </row>
    <row r="660" customFormat="false" ht="15" hidden="false" customHeight="false" outlineLevel="0" collapsed="false">
      <c r="A660" s="0" t="e">
        <f aca="false">#N/A</f>
        <v>#N/A</v>
      </c>
      <c r="B660" s="0" t="s">
        <v>4045</v>
      </c>
      <c r="C660" s="0" t="s">
        <v>4046</v>
      </c>
      <c r="D660" s="0" t="s">
        <v>2385</v>
      </c>
      <c r="E660" s="0" t="n">
        <v>43336</v>
      </c>
      <c r="F660" s="0" t="s">
        <v>102</v>
      </c>
      <c r="G660" s="0" t="n">
        <v>21356941</v>
      </c>
      <c r="H660" s="0" t="n">
        <v>720193</v>
      </c>
      <c r="I660" s="0" t="s">
        <v>34</v>
      </c>
      <c r="J660" s="0" t="s">
        <v>174</v>
      </c>
      <c r="K660" s="0" t="s">
        <v>151</v>
      </c>
      <c r="L660" s="0" t="n">
        <v>226496140</v>
      </c>
      <c r="M660" s="0" t="s">
        <v>1319</v>
      </c>
      <c r="N660" s="0" t="n">
        <v>104456278</v>
      </c>
      <c r="O660" s="0" t="n">
        <v>0</v>
      </c>
      <c r="P660" s="0" t="n">
        <v>0</v>
      </c>
      <c r="Q660" s="0" t="e">
        <f aca="false">#N/A</f>
        <v>#N/A</v>
      </c>
    </row>
    <row r="661" customFormat="false" ht="15" hidden="false" customHeight="false" outlineLevel="0" collapsed="false">
      <c r="A661" s="0" t="e">
        <f aca="false">#N/A</f>
        <v>#N/A</v>
      </c>
      <c r="B661" s="0" t="s">
        <v>4047</v>
      </c>
      <c r="C661" s="0" t="s">
        <v>4048</v>
      </c>
      <c r="D661" s="0" t="s">
        <v>2385</v>
      </c>
      <c r="E661" s="0" t="n">
        <v>43335</v>
      </c>
      <c r="F661" s="0" t="s">
        <v>102</v>
      </c>
      <c r="G661" s="0" t="n">
        <v>21356941</v>
      </c>
      <c r="H661" s="0" t="n">
        <v>720193</v>
      </c>
      <c r="I661" s="0" t="s">
        <v>34</v>
      </c>
      <c r="J661" s="0" t="s">
        <v>174</v>
      </c>
      <c r="K661" s="0" t="s">
        <v>151</v>
      </c>
      <c r="L661" s="0" t="n">
        <v>226496140</v>
      </c>
      <c r="M661" s="0" t="s">
        <v>1319</v>
      </c>
      <c r="N661" s="0" t="n">
        <v>104456278</v>
      </c>
      <c r="O661" s="0" t="n">
        <v>0</v>
      </c>
      <c r="P661" s="0" t="n">
        <v>0</v>
      </c>
      <c r="Q661" s="0" t="e">
        <f aca="false">#N/A</f>
        <v>#N/A</v>
      </c>
    </row>
    <row r="662" customFormat="false" ht="15" hidden="false" customHeight="false" outlineLevel="0" collapsed="false">
      <c r="A662" s="0" t="e">
        <f aca="false">#N/A</f>
        <v>#N/A</v>
      </c>
      <c r="B662" s="0" t="s">
        <v>4049</v>
      </c>
      <c r="C662" s="0" t="s">
        <v>4050</v>
      </c>
      <c r="D662" s="0" t="s">
        <v>2385</v>
      </c>
      <c r="E662" s="0" t="n">
        <v>43334</v>
      </c>
      <c r="F662" s="0" t="s">
        <v>102</v>
      </c>
      <c r="G662" s="0" t="n">
        <v>21356941</v>
      </c>
      <c r="H662" s="0" t="n">
        <v>720193</v>
      </c>
      <c r="I662" s="0" t="s">
        <v>34</v>
      </c>
      <c r="J662" s="0" t="s">
        <v>174</v>
      </c>
      <c r="K662" s="0" t="s">
        <v>151</v>
      </c>
      <c r="L662" s="0" t="n">
        <v>226496140</v>
      </c>
      <c r="M662" s="0" t="s">
        <v>1319</v>
      </c>
      <c r="N662" s="0" t="n">
        <v>104456278</v>
      </c>
      <c r="O662" s="0" t="n">
        <v>0</v>
      </c>
      <c r="P662" s="0" t="n">
        <v>0</v>
      </c>
      <c r="Q662" s="0" t="e">
        <f aca="false">#N/A</f>
        <v>#N/A</v>
      </c>
    </row>
    <row r="663" customFormat="false" ht="15" hidden="false" customHeight="false" outlineLevel="0" collapsed="false">
      <c r="A663" s="0" t="e">
        <f aca="false">#N/A</f>
        <v>#N/A</v>
      </c>
      <c r="B663" s="0" t="s">
        <v>4051</v>
      </c>
      <c r="C663" s="0" t="s">
        <v>4052</v>
      </c>
      <c r="D663" s="0" t="s">
        <v>2385</v>
      </c>
      <c r="E663" s="0" t="n">
        <v>43333</v>
      </c>
      <c r="F663" s="0" t="s">
        <v>102</v>
      </c>
      <c r="G663" s="0" t="n">
        <v>21356941</v>
      </c>
      <c r="H663" s="0" t="n">
        <v>720193</v>
      </c>
      <c r="I663" s="0" t="s">
        <v>34</v>
      </c>
      <c r="J663" s="0" t="s">
        <v>174</v>
      </c>
      <c r="K663" s="0" t="s">
        <v>151</v>
      </c>
      <c r="L663" s="0" t="n">
        <v>226496140</v>
      </c>
      <c r="M663" s="0" t="s">
        <v>1319</v>
      </c>
      <c r="N663" s="0" t="n">
        <v>104456278</v>
      </c>
      <c r="O663" s="0" t="n">
        <v>0</v>
      </c>
      <c r="P663" s="0" t="n">
        <v>0</v>
      </c>
      <c r="Q663" s="0" t="e">
        <f aca="false">#N/A</f>
        <v>#N/A</v>
      </c>
    </row>
    <row r="664" customFormat="false" ht="15" hidden="false" customHeight="false" outlineLevel="0" collapsed="false">
      <c r="A664" s="0" t="e">
        <f aca="false">#N/A</f>
        <v>#N/A</v>
      </c>
      <c r="B664" s="0" t="s">
        <v>4053</v>
      </c>
      <c r="C664" s="0" t="s">
        <v>4054</v>
      </c>
      <c r="D664" s="0" t="s">
        <v>2385</v>
      </c>
      <c r="E664" s="0" t="n">
        <v>43332</v>
      </c>
      <c r="F664" s="0" t="s">
        <v>102</v>
      </c>
      <c r="G664" s="0" t="n">
        <v>21356941</v>
      </c>
      <c r="H664" s="0" t="n">
        <v>720193</v>
      </c>
      <c r="I664" s="0" t="s">
        <v>34</v>
      </c>
      <c r="J664" s="0" t="s">
        <v>174</v>
      </c>
      <c r="K664" s="0" t="s">
        <v>151</v>
      </c>
      <c r="L664" s="0" t="n">
        <v>226496140</v>
      </c>
      <c r="M664" s="0" t="s">
        <v>1319</v>
      </c>
      <c r="N664" s="0" t="n">
        <v>104456278</v>
      </c>
      <c r="O664" s="0" t="n">
        <v>0</v>
      </c>
      <c r="P664" s="0" t="n">
        <v>0</v>
      </c>
      <c r="Q664" s="0" t="e">
        <f aca="false">#N/A</f>
        <v>#N/A</v>
      </c>
    </row>
    <row r="665" customFormat="false" ht="15" hidden="false" customHeight="false" outlineLevel="0" collapsed="false">
      <c r="A665" s="0" t="e">
        <f aca="false">#N/A</f>
        <v>#N/A</v>
      </c>
      <c r="B665" s="0" t="s">
        <v>4055</v>
      </c>
      <c r="C665" s="0" t="s">
        <v>4056</v>
      </c>
      <c r="D665" s="0" t="s">
        <v>2385</v>
      </c>
      <c r="E665" s="0" t="n">
        <v>43331</v>
      </c>
      <c r="F665" s="0" t="s">
        <v>102</v>
      </c>
      <c r="G665" s="0" t="n">
        <v>21356941</v>
      </c>
      <c r="H665" s="0" t="n">
        <v>720193</v>
      </c>
      <c r="I665" s="0" t="s">
        <v>34</v>
      </c>
      <c r="J665" s="0" t="s">
        <v>174</v>
      </c>
      <c r="K665" s="0" t="s">
        <v>151</v>
      </c>
      <c r="L665" s="0" t="n">
        <v>226496140</v>
      </c>
      <c r="M665" s="0" t="s">
        <v>1319</v>
      </c>
      <c r="N665" s="0" t="n">
        <v>104456278</v>
      </c>
      <c r="O665" s="0" t="n">
        <v>0</v>
      </c>
      <c r="P665" s="0" t="n">
        <v>0</v>
      </c>
      <c r="Q665" s="0" t="e">
        <f aca="false">#N/A</f>
        <v>#N/A</v>
      </c>
    </row>
    <row r="666" customFormat="false" ht="15" hidden="false" customHeight="false" outlineLevel="0" collapsed="false">
      <c r="A666" s="0" t="e">
        <f aca="false">#N/A</f>
        <v>#N/A</v>
      </c>
      <c r="B666" s="0" t="s">
        <v>4057</v>
      </c>
      <c r="C666" s="0" t="s">
        <v>4058</v>
      </c>
      <c r="D666" s="0" t="s">
        <v>2385</v>
      </c>
      <c r="E666" s="0" t="n">
        <v>43337</v>
      </c>
      <c r="F666" s="0" t="s">
        <v>102</v>
      </c>
      <c r="G666" s="0" t="n">
        <v>21356941</v>
      </c>
      <c r="H666" s="0" t="n">
        <v>720193</v>
      </c>
      <c r="I666" s="0" t="s">
        <v>34</v>
      </c>
      <c r="J666" s="0" t="s">
        <v>174</v>
      </c>
      <c r="K666" s="0" t="s">
        <v>152</v>
      </c>
      <c r="L666" s="0" t="n">
        <v>226359995</v>
      </c>
      <c r="M666" s="0" t="s">
        <v>1334</v>
      </c>
      <c r="N666" s="0" t="n">
        <v>104458003</v>
      </c>
      <c r="O666" s="0" t="n">
        <v>20</v>
      </c>
      <c r="P666" s="0" t="n">
        <v>0.06</v>
      </c>
      <c r="Q666" s="0" t="e">
        <f aca="false">#N/A</f>
        <v>#N/A</v>
      </c>
    </row>
    <row r="667" customFormat="false" ht="15" hidden="false" customHeight="false" outlineLevel="0" collapsed="false">
      <c r="A667" s="0" t="e">
        <f aca="false">#N/A</f>
        <v>#N/A</v>
      </c>
      <c r="B667" s="0" t="s">
        <v>4059</v>
      </c>
      <c r="C667" s="0" t="s">
        <v>4060</v>
      </c>
      <c r="D667" s="0" t="s">
        <v>2385</v>
      </c>
      <c r="E667" s="0" t="n">
        <v>43336</v>
      </c>
      <c r="F667" s="0" t="s">
        <v>102</v>
      </c>
      <c r="G667" s="0" t="n">
        <v>21356941</v>
      </c>
      <c r="H667" s="0" t="n">
        <v>720193</v>
      </c>
      <c r="I667" s="0" t="s">
        <v>34</v>
      </c>
      <c r="J667" s="0" t="s">
        <v>174</v>
      </c>
      <c r="K667" s="0" t="s">
        <v>152</v>
      </c>
      <c r="L667" s="0" t="n">
        <v>226359995</v>
      </c>
      <c r="M667" s="0" t="s">
        <v>1334</v>
      </c>
      <c r="N667" s="0" t="n">
        <v>104458003</v>
      </c>
      <c r="O667" s="0" t="n">
        <v>9</v>
      </c>
      <c r="P667" s="0" t="n">
        <v>0.04</v>
      </c>
      <c r="Q667" s="0" t="e">
        <f aca="false">#N/A</f>
        <v>#N/A</v>
      </c>
    </row>
    <row r="668" customFormat="false" ht="15" hidden="false" customHeight="false" outlineLevel="0" collapsed="false">
      <c r="A668" s="0" t="e">
        <f aca="false">#N/A</f>
        <v>#N/A</v>
      </c>
      <c r="B668" s="0" t="s">
        <v>4061</v>
      </c>
      <c r="C668" s="0" t="s">
        <v>4062</v>
      </c>
      <c r="D668" s="0" t="s">
        <v>2385</v>
      </c>
      <c r="E668" s="0" t="n">
        <v>43335</v>
      </c>
      <c r="F668" s="0" t="s">
        <v>102</v>
      </c>
      <c r="G668" s="0" t="n">
        <v>21356941</v>
      </c>
      <c r="H668" s="0" t="n">
        <v>720193</v>
      </c>
      <c r="I668" s="0" t="s">
        <v>34</v>
      </c>
      <c r="J668" s="0" t="s">
        <v>174</v>
      </c>
      <c r="K668" s="0" t="s">
        <v>152</v>
      </c>
      <c r="L668" s="0" t="n">
        <v>226359995</v>
      </c>
      <c r="M668" s="0" t="s">
        <v>1334</v>
      </c>
      <c r="N668" s="0" t="n">
        <v>104458003</v>
      </c>
      <c r="O668" s="0" t="n">
        <v>10</v>
      </c>
      <c r="P668" s="0" t="n">
        <v>0.03</v>
      </c>
      <c r="Q668" s="0" t="e">
        <f aca="false">#N/A</f>
        <v>#N/A</v>
      </c>
    </row>
    <row r="669" customFormat="false" ht="15" hidden="false" customHeight="false" outlineLevel="0" collapsed="false">
      <c r="A669" s="0" t="e">
        <f aca="false">#N/A</f>
        <v>#N/A</v>
      </c>
      <c r="B669" s="0" t="s">
        <v>4063</v>
      </c>
      <c r="C669" s="0" t="s">
        <v>4064</v>
      </c>
      <c r="D669" s="0" t="s">
        <v>2385</v>
      </c>
      <c r="E669" s="0" t="n">
        <v>43334</v>
      </c>
      <c r="F669" s="0" t="s">
        <v>102</v>
      </c>
      <c r="G669" s="0" t="n">
        <v>21356941</v>
      </c>
      <c r="H669" s="0" t="n">
        <v>720193</v>
      </c>
      <c r="I669" s="0" t="s">
        <v>34</v>
      </c>
      <c r="J669" s="0" t="s">
        <v>174</v>
      </c>
      <c r="K669" s="0" t="s">
        <v>152</v>
      </c>
      <c r="L669" s="0" t="n">
        <v>226359995</v>
      </c>
      <c r="M669" s="0" t="s">
        <v>1334</v>
      </c>
      <c r="N669" s="0" t="n">
        <v>104458003</v>
      </c>
      <c r="O669" s="0" t="n">
        <v>6</v>
      </c>
      <c r="P669" s="0" t="n">
        <v>0.02</v>
      </c>
      <c r="Q669" s="0" t="e">
        <f aca="false">#N/A</f>
        <v>#N/A</v>
      </c>
    </row>
    <row r="670" customFormat="false" ht="15" hidden="false" customHeight="false" outlineLevel="0" collapsed="false">
      <c r="A670" s="0" t="e">
        <f aca="false">#N/A</f>
        <v>#N/A</v>
      </c>
      <c r="B670" s="0" t="s">
        <v>4065</v>
      </c>
      <c r="C670" s="0" t="s">
        <v>4066</v>
      </c>
      <c r="D670" s="0" t="s">
        <v>2385</v>
      </c>
      <c r="E670" s="0" t="n">
        <v>43333</v>
      </c>
      <c r="F670" s="0" t="s">
        <v>102</v>
      </c>
      <c r="G670" s="0" t="n">
        <v>21356941</v>
      </c>
      <c r="H670" s="0" t="n">
        <v>720193</v>
      </c>
      <c r="I670" s="0" t="s">
        <v>34</v>
      </c>
      <c r="J670" s="0" t="s">
        <v>174</v>
      </c>
      <c r="K670" s="0" t="s">
        <v>152</v>
      </c>
      <c r="L670" s="0" t="n">
        <v>226359995</v>
      </c>
      <c r="M670" s="0" t="s">
        <v>1334</v>
      </c>
      <c r="N670" s="0" t="n">
        <v>104458003</v>
      </c>
      <c r="O670" s="0" t="n">
        <v>16</v>
      </c>
      <c r="P670" s="0" t="n">
        <v>0.03</v>
      </c>
      <c r="Q670" s="0" t="e">
        <f aca="false">#N/A</f>
        <v>#N/A</v>
      </c>
    </row>
    <row r="671" customFormat="false" ht="15" hidden="false" customHeight="false" outlineLevel="0" collapsed="false">
      <c r="A671" s="0" t="s">
        <v>4067</v>
      </c>
      <c r="B671" s="0" t="s">
        <v>4068</v>
      </c>
      <c r="C671" s="0" t="s">
        <v>4069</v>
      </c>
      <c r="D671" s="0" t="s">
        <v>2385</v>
      </c>
      <c r="E671" s="0" t="n">
        <v>43332</v>
      </c>
      <c r="F671" s="0" t="s">
        <v>102</v>
      </c>
      <c r="G671" s="0" t="n">
        <v>21356941</v>
      </c>
      <c r="H671" s="0" t="n">
        <v>720193</v>
      </c>
      <c r="I671" s="0" t="s">
        <v>34</v>
      </c>
      <c r="J671" s="0" t="s">
        <v>174</v>
      </c>
      <c r="K671" s="0" t="s">
        <v>152</v>
      </c>
      <c r="L671" s="0" t="n">
        <v>226359995</v>
      </c>
      <c r="M671" s="0" t="s">
        <v>1334</v>
      </c>
      <c r="N671" s="0" t="n">
        <v>104458003</v>
      </c>
      <c r="O671" s="0" t="n">
        <v>23</v>
      </c>
      <c r="P671" s="0" t="n">
        <v>0.08</v>
      </c>
      <c r="Q671" s="0" t="n">
        <v>104458003</v>
      </c>
    </row>
    <row r="672" customFormat="false" ht="15" hidden="false" customHeight="false" outlineLevel="0" collapsed="false">
      <c r="A672" s="0" t="s">
        <v>4070</v>
      </c>
      <c r="B672" s="0" t="s">
        <v>4071</v>
      </c>
      <c r="C672" s="0" t="s">
        <v>4072</v>
      </c>
      <c r="D672" s="0" t="s">
        <v>2385</v>
      </c>
      <c r="E672" s="0" t="n">
        <v>43331</v>
      </c>
      <c r="F672" s="0" t="s">
        <v>102</v>
      </c>
      <c r="G672" s="0" t="n">
        <v>21356941</v>
      </c>
      <c r="H672" s="0" t="n">
        <v>720193</v>
      </c>
      <c r="I672" s="0" t="s">
        <v>34</v>
      </c>
      <c r="J672" s="0" t="s">
        <v>174</v>
      </c>
      <c r="K672" s="0" t="s">
        <v>152</v>
      </c>
      <c r="L672" s="0" t="n">
        <v>226359995</v>
      </c>
      <c r="M672" s="0" t="s">
        <v>1334</v>
      </c>
      <c r="N672" s="0" t="n">
        <v>104458003</v>
      </c>
      <c r="O672" s="0" t="n">
        <v>13</v>
      </c>
      <c r="P672" s="0" t="n">
        <v>0.07</v>
      </c>
      <c r="Q672" s="0" t="n">
        <v>104458003</v>
      </c>
    </row>
    <row r="673" customFormat="false" ht="15" hidden="false" customHeight="false" outlineLevel="0" collapsed="false">
      <c r="A673" s="0" t="e">
        <f aca="false">#N/A</f>
        <v>#N/A</v>
      </c>
      <c r="B673" s="0" t="s">
        <v>4073</v>
      </c>
      <c r="C673" s="0" t="s">
        <v>4074</v>
      </c>
      <c r="D673" s="0" t="s">
        <v>2385</v>
      </c>
      <c r="E673" s="0" t="n">
        <v>43337</v>
      </c>
      <c r="F673" s="0" t="s">
        <v>102</v>
      </c>
      <c r="G673" s="0" t="n">
        <v>21356941</v>
      </c>
      <c r="H673" s="0" t="n">
        <v>720193</v>
      </c>
      <c r="I673" s="0" t="s">
        <v>34</v>
      </c>
      <c r="J673" s="0" t="s">
        <v>174</v>
      </c>
      <c r="K673" s="0" t="s">
        <v>153</v>
      </c>
      <c r="L673" s="0" t="n">
        <v>226496137</v>
      </c>
      <c r="M673" s="0" t="s">
        <v>1334</v>
      </c>
      <c r="N673" s="0" t="n">
        <v>104458003</v>
      </c>
      <c r="O673" s="0" t="n">
        <v>0</v>
      </c>
      <c r="P673" s="0" t="n">
        <v>0</v>
      </c>
      <c r="Q673" s="0" t="e">
        <f aca="false">#N/A</f>
        <v>#N/A</v>
      </c>
    </row>
    <row r="674" customFormat="false" ht="15" hidden="false" customHeight="false" outlineLevel="0" collapsed="false">
      <c r="A674" s="0" t="e">
        <f aca="false">#N/A</f>
        <v>#N/A</v>
      </c>
      <c r="B674" s="0" t="s">
        <v>4075</v>
      </c>
      <c r="C674" s="0" t="s">
        <v>4076</v>
      </c>
      <c r="D674" s="0" t="s">
        <v>2385</v>
      </c>
      <c r="E674" s="0" t="n">
        <v>43336</v>
      </c>
      <c r="F674" s="0" t="s">
        <v>102</v>
      </c>
      <c r="G674" s="0" t="n">
        <v>21356941</v>
      </c>
      <c r="H674" s="0" t="n">
        <v>720193</v>
      </c>
      <c r="I674" s="0" t="s">
        <v>34</v>
      </c>
      <c r="J674" s="0" t="s">
        <v>174</v>
      </c>
      <c r="K674" s="0" t="s">
        <v>153</v>
      </c>
      <c r="L674" s="0" t="n">
        <v>226496137</v>
      </c>
      <c r="M674" s="0" t="s">
        <v>1334</v>
      </c>
      <c r="N674" s="0" t="n">
        <v>104458003</v>
      </c>
      <c r="O674" s="0" t="n">
        <v>0</v>
      </c>
      <c r="P674" s="0" t="n">
        <v>0</v>
      </c>
      <c r="Q674" s="0" t="e">
        <f aca="false">#N/A</f>
        <v>#N/A</v>
      </c>
    </row>
    <row r="675" customFormat="false" ht="15" hidden="false" customHeight="false" outlineLevel="0" collapsed="false">
      <c r="A675" s="0" t="e">
        <f aca="false">#N/A</f>
        <v>#N/A</v>
      </c>
      <c r="B675" s="0" t="s">
        <v>4077</v>
      </c>
      <c r="C675" s="0" t="s">
        <v>4078</v>
      </c>
      <c r="D675" s="0" t="s">
        <v>2385</v>
      </c>
      <c r="E675" s="0" t="n">
        <v>43335</v>
      </c>
      <c r="F675" s="0" t="s">
        <v>102</v>
      </c>
      <c r="G675" s="0" t="n">
        <v>21356941</v>
      </c>
      <c r="H675" s="0" t="n">
        <v>720193</v>
      </c>
      <c r="I675" s="0" t="s">
        <v>34</v>
      </c>
      <c r="J675" s="0" t="s">
        <v>174</v>
      </c>
      <c r="K675" s="0" t="s">
        <v>153</v>
      </c>
      <c r="L675" s="0" t="n">
        <v>226496137</v>
      </c>
      <c r="M675" s="0" t="s">
        <v>1334</v>
      </c>
      <c r="N675" s="0" t="n">
        <v>104458003</v>
      </c>
      <c r="O675" s="0" t="n">
        <v>0</v>
      </c>
      <c r="P675" s="0" t="n">
        <v>0</v>
      </c>
      <c r="Q675" s="0" t="e">
        <f aca="false">#N/A</f>
        <v>#N/A</v>
      </c>
    </row>
    <row r="676" customFormat="false" ht="15" hidden="false" customHeight="false" outlineLevel="0" collapsed="false">
      <c r="A676" s="0" t="e">
        <f aca="false">#N/A</f>
        <v>#N/A</v>
      </c>
      <c r="B676" s="0" t="s">
        <v>4079</v>
      </c>
      <c r="C676" s="0" t="s">
        <v>4080</v>
      </c>
      <c r="D676" s="0" t="s">
        <v>2385</v>
      </c>
      <c r="E676" s="0" t="n">
        <v>43334</v>
      </c>
      <c r="F676" s="0" t="s">
        <v>102</v>
      </c>
      <c r="G676" s="0" t="n">
        <v>21356941</v>
      </c>
      <c r="H676" s="0" t="n">
        <v>720193</v>
      </c>
      <c r="I676" s="0" t="s">
        <v>34</v>
      </c>
      <c r="J676" s="0" t="s">
        <v>174</v>
      </c>
      <c r="K676" s="0" t="s">
        <v>153</v>
      </c>
      <c r="L676" s="0" t="n">
        <v>226496137</v>
      </c>
      <c r="M676" s="0" t="s">
        <v>1334</v>
      </c>
      <c r="N676" s="0" t="n">
        <v>104458003</v>
      </c>
      <c r="O676" s="0" t="n">
        <v>0</v>
      </c>
      <c r="P676" s="0" t="n">
        <v>0</v>
      </c>
      <c r="Q676" s="0" t="e">
        <f aca="false">#N/A</f>
        <v>#N/A</v>
      </c>
    </row>
    <row r="677" customFormat="false" ht="15" hidden="false" customHeight="false" outlineLevel="0" collapsed="false">
      <c r="A677" s="0" t="e">
        <f aca="false">#N/A</f>
        <v>#N/A</v>
      </c>
      <c r="B677" s="0" t="s">
        <v>4081</v>
      </c>
      <c r="C677" s="0" t="s">
        <v>4082</v>
      </c>
      <c r="D677" s="0" t="s">
        <v>2385</v>
      </c>
      <c r="E677" s="0" t="n">
        <v>43333</v>
      </c>
      <c r="F677" s="0" t="s">
        <v>102</v>
      </c>
      <c r="G677" s="0" t="n">
        <v>21356941</v>
      </c>
      <c r="H677" s="0" t="n">
        <v>720193</v>
      </c>
      <c r="I677" s="0" t="s">
        <v>34</v>
      </c>
      <c r="J677" s="0" t="s">
        <v>174</v>
      </c>
      <c r="K677" s="0" t="s">
        <v>153</v>
      </c>
      <c r="L677" s="0" t="n">
        <v>226496137</v>
      </c>
      <c r="M677" s="0" t="s">
        <v>1334</v>
      </c>
      <c r="N677" s="0" t="n">
        <v>104458003</v>
      </c>
      <c r="O677" s="0" t="n">
        <v>0</v>
      </c>
      <c r="P677" s="0" t="n">
        <v>0</v>
      </c>
      <c r="Q677" s="0" t="e">
        <f aca="false">#N/A</f>
        <v>#N/A</v>
      </c>
    </row>
    <row r="678" customFormat="false" ht="15" hidden="false" customHeight="false" outlineLevel="0" collapsed="false">
      <c r="A678" s="0" t="e">
        <f aca="false">#N/A</f>
        <v>#N/A</v>
      </c>
      <c r="B678" s="0" t="s">
        <v>4083</v>
      </c>
      <c r="C678" s="0" t="s">
        <v>4084</v>
      </c>
      <c r="D678" s="0" t="s">
        <v>2385</v>
      </c>
      <c r="E678" s="0" t="n">
        <v>43332</v>
      </c>
      <c r="F678" s="0" t="s">
        <v>102</v>
      </c>
      <c r="G678" s="0" t="n">
        <v>21356941</v>
      </c>
      <c r="H678" s="0" t="n">
        <v>720193</v>
      </c>
      <c r="I678" s="0" t="s">
        <v>34</v>
      </c>
      <c r="J678" s="0" t="s">
        <v>174</v>
      </c>
      <c r="K678" s="0" t="s">
        <v>153</v>
      </c>
      <c r="L678" s="0" t="n">
        <v>226496137</v>
      </c>
      <c r="M678" s="0" t="s">
        <v>1334</v>
      </c>
      <c r="N678" s="0" t="n">
        <v>104458003</v>
      </c>
      <c r="O678" s="0" t="n">
        <v>0</v>
      </c>
      <c r="P678" s="0" t="n">
        <v>0</v>
      </c>
      <c r="Q678" s="0" t="e">
        <f aca="false">#N/A</f>
        <v>#N/A</v>
      </c>
    </row>
    <row r="679" customFormat="false" ht="15" hidden="false" customHeight="false" outlineLevel="0" collapsed="false">
      <c r="A679" s="0" t="e">
        <f aca="false">#N/A</f>
        <v>#N/A</v>
      </c>
      <c r="B679" s="0" t="s">
        <v>4085</v>
      </c>
      <c r="C679" s="0" t="s">
        <v>4086</v>
      </c>
      <c r="D679" s="0" t="s">
        <v>2385</v>
      </c>
      <c r="E679" s="0" t="n">
        <v>43331</v>
      </c>
      <c r="F679" s="0" t="s">
        <v>102</v>
      </c>
      <c r="G679" s="0" t="n">
        <v>21356941</v>
      </c>
      <c r="H679" s="0" t="n">
        <v>720193</v>
      </c>
      <c r="I679" s="0" t="s">
        <v>34</v>
      </c>
      <c r="J679" s="0" t="s">
        <v>174</v>
      </c>
      <c r="K679" s="0" t="s">
        <v>153</v>
      </c>
      <c r="L679" s="0" t="n">
        <v>226496137</v>
      </c>
      <c r="M679" s="0" t="s">
        <v>1334</v>
      </c>
      <c r="N679" s="0" t="n">
        <v>104458003</v>
      </c>
      <c r="O679" s="0" t="n">
        <v>0</v>
      </c>
      <c r="P679" s="0" t="n">
        <v>0</v>
      </c>
      <c r="Q679" s="0" t="e">
        <f aca="false">#N/A</f>
        <v>#N/A</v>
      </c>
    </row>
    <row r="680" customFormat="false" ht="15" hidden="false" customHeight="false" outlineLevel="0" collapsed="false">
      <c r="A680" s="0" t="e">
        <f aca="false">#N/A</f>
        <v>#N/A</v>
      </c>
      <c r="B680" s="0" t="s">
        <v>4087</v>
      </c>
      <c r="C680" s="0" t="s">
        <v>4088</v>
      </c>
      <c r="D680" s="0" t="s">
        <v>2385</v>
      </c>
      <c r="E680" s="0" t="n">
        <v>43337</v>
      </c>
      <c r="F680" s="0" t="s">
        <v>102</v>
      </c>
      <c r="G680" s="0" t="n">
        <v>21356941</v>
      </c>
      <c r="H680" s="0" t="n">
        <v>720193</v>
      </c>
      <c r="I680" s="0" t="s">
        <v>34</v>
      </c>
      <c r="J680" s="0" t="s">
        <v>174</v>
      </c>
      <c r="K680" s="0" t="s">
        <v>154</v>
      </c>
      <c r="L680" s="0" t="n">
        <v>226360007</v>
      </c>
      <c r="M680" s="0" t="s">
        <v>1349</v>
      </c>
      <c r="N680" s="0" t="n">
        <v>104455906</v>
      </c>
      <c r="O680" s="0" t="n">
        <v>4</v>
      </c>
      <c r="P680" s="0" t="n">
        <v>0.02</v>
      </c>
      <c r="Q680" s="0" t="e">
        <f aca="false">#N/A</f>
        <v>#N/A</v>
      </c>
    </row>
    <row r="681" customFormat="false" ht="15" hidden="false" customHeight="false" outlineLevel="0" collapsed="false">
      <c r="A681" s="0" t="e">
        <f aca="false">#N/A</f>
        <v>#N/A</v>
      </c>
      <c r="B681" s="0" t="s">
        <v>4089</v>
      </c>
      <c r="C681" s="0" t="s">
        <v>4090</v>
      </c>
      <c r="D681" s="0" t="s">
        <v>2385</v>
      </c>
      <c r="E681" s="0" t="n">
        <v>43336</v>
      </c>
      <c r="F681" s="0" t="s">
        <v>102</v>
      </c>
      <c r="G681" s="0" t="n">
        <v>21356941</v>
      </c>
      <c r="H681" s="0" t="n">
        <v>720193</v>
      </c>
      <c r="I681" s="0" t="s">
        <v>34</v>
      </c>
      <c r="J681" s="0" t="s">
        <v>174</v>
      </c>
      <c r="K681" s="0" t="s">
        <v>154</v>
      </c>
      <c r="L681" s="0" t="n">
        <v>226360007</v>
      </c>
      <c r="M681" s="0" t="s">
        <v>1349</v>
      </c>
      <c r="N681" s="0" t="n">
        <v>104455906</v>
      </c>
      <c r="O681" s="0" t="n">
        <v>3</v>
      </c>
      <c r="P681" s="0" t="n">
        <v>0.01</v>
      </c>
      <c r="Q681" s="0" t="e">
        <f aca="false">#N/A</f>
        <v>#N/A</v>
      </c>
    </row>
    <row r="682" customFormat="false" ht="15" hidden="false" customHeight="false" outlineLevel="0" collapsed="false">
      <c r="A682" s="0" t="e">
        <f aca="false">#N/A</f>
        <v>#N/A</v>
      </c>
      <c r="B682" s="0" t="s">
        <v>4091</v>
      </c>
      <c r="C682" s="0" t="s">
        <v>4092</v>
      </c>
      <c r="D682" s="0" t="s">
        <v>2385</v>
      </c>
      <c r="E682" s="0" t="n">
        <v>43335</v>
      </c>
      <c r="F682" s="0" t="s">
        <v>102</v>
      </c>
      <c r="G682" s="0" t="n">
        <v>21356941</v>
      </c>
      <c r="H682" s="0" t="n">
        <v>720193</v>
      </c>
      <c r="I682" s="0" t="s">
        <v>34</v>
      </c>
      <c r="J682" s="0" t="s">
        <v>174</v>
      </c>
      <c r="K682" s="0" t="s">
        <v>154</v>
      </c>
      <c r="L682" s="0" t="n">
        <v>226360007</v>
      </c>
      <c r="M682" s="0" t="s">
        <v>1349</v>
      </c>
      <c r="N682" s="0" t="n">
        <v>104455906</v>
      </c>
      <c r="O682" s="0" t="n">
        <v>5</v>
      </c>
      <c r="P682" s="0" t="n">
        <v>0.02</v>
      </c>
      <c r="Q682" s="0" t="e">
        <f aca="false">#N/A</f>
        <v>#N/A</v>
      </c>
    </row>
    <row r="683" customFormat="false" ht="15" hidden="false" customHeight="false" outlineLevel="0" collapsed="false">
      <c r="A683" s="0" t="e">
        <f aca="false">#N/A</f>
        <v>#N/A</v>
      </c>
      <c r="B683" s="0" t="s">
        <v>4093</v>
      </c>
      <c r="C683" s="0" t="s">
        <v>4094</v>
      </c>
      <c r="D683" s="0" t="s">
        <v>2385</v>
      </c>
      <c r="E683" s="0" t="n">
        <v>43334</v>
      </c>
      <c r="F683" s="0" t="s">
        <v>102</v>
      </c>
      <c r="G683" s="0" t="n">
        <v>21356941</v>
      </c>
      <c r="H683" s="0" t="n">
        <v>720193</v>
      </c>
      <c r="I683" s="0" t="s">
        <v>34</v>
      </c>
      <c r="J683" s="0" t="s">
        <v>174</v>
      </c>
      <c r="K683" s="0" t="s">
        <v>154</v>
      </c>
      <c r="L683" s="0" t="n">
        <v>226360007</v>
      </c>
      <c r="M683" s="0" t="s">
        <v>1349</v>
      </c>
      <c r="N683" s="0" t="n">
        <v>104455906</v>
      </c>
      <c r="O683" s="0" t="n">
        <v>8</v>
      </c>
      <c r="P683" s="0" t="n">
        <v>0.03</v>
      </c>
      <c r="Q683" s="0" t="e">
        <f aca="false">#N/A</f>
        <v>#N/A</v>
      </c>
    </row>
    <row r="684" customFormat="false" ht="15" hidden="false" customHeight="false" outlineLevel="0" collapsed="false">
      <c r="A684" s="0" t="e">
        <f aca="false">#N/A</f>
        <v>#N/A</v>
      </c>
      <c r="B684" s="0" t="s">
        <v>4095</v>
      </c>
      <c r="C684" s="0" t="s">
        <v>4096</v>
      </c>
      <c r="D684" s="0" t="s">
        <v>2385</v>
      </c>
      <c r="E684" s="0" t="n">
        <v>43333</v>
      </c>
      <c r="F684" s="0" t="s">
        <v>102</v>
      </c>
      <c r="G684" s="0" t="n">
        <v>21356941</v>
      </c>
      <c r="H684" s="0" t="n">
        <v>720193</v>
      </c>
      <c r="I684" s="0" t="s">
        <v>34</v>
      </c>
      <c r="J684" s="0" t="s">
        <v>174</v>
      </c>
      <c r="K684" s="0" t="s">
        <v>154</v>
      </c>
      <c r="L684" s="0" t="n">
        <v>226360007</v>
      </c>
      <c r="M684" s="0" t="s">
        <v>1349</v>
      </c>
      <c r="N684" s="0" t="n">
        <v>104455906</v>
      </c>
      <c r="O684" s="0" t="n">
        <v>5</v>
      </c>
      <c r="P684" s="0" t="n">
        <v>0.04</v>
      </c>
      <c r="Q684" s="0" t="e">
        <f aca="false">#N/A</f>
        <v>#N/A</v>
      </c>
    </row>
    <row r="685" customFormat="false" ht="15" hidden="false" customHeight="false" outlineLevel="0" collapsed="false">
      <c r="A685" s="0" t="e">
        <f aca="false">#N/A</f>
        <v>#N/A</v>
      </c>
      <c r="B685" s="0" t="s">
        <v>4097</v>
      </c>
      <c r="C685" s="0" t="s">
        <v>4098</v>
      </c>
      <c r="D685" s="0" t="s">
        <v>2385</v>
      </c>
      <c r="E685" s="0" t="n">
        <v>43332</v>
      </c>
      <c r="F685" s="0" t="s">
        <v>102</v>
      </c>
      <c r="G685" s="0" t="n">
        <v>21356941</v>
      </c>
      <c r="H685" s="0" t="n">
        <v>720193</v>
      </c>
      <c r="I685" s="0" t="s">
        <v>34</v>
      </c>
      <c r="J685" s="0" t="s">
        <v>174</v>
      </c>
      <c r="K685" s="0" t="s">
        <v>154</v>
      </c>
      <c r="L685" s="0" t="n">
        <v>226360007</v>
      </c>
      <c r="M685" s="0" t="s">
        <v>1349</v>
      </c>
      <c r="N685" s="0" t="n">
        <v>104455906</v>
      </c>
      <c r="O685" s="0" t="n">
        <v>5</v>
      </c>
      <c r="P685" s="0" t="n">
        <v>0.04</v>
      </c>
      <c r="Q685" s="0" t="e">
        <f aca="false">#N/A</f>
        <v>#N/A</v>
      </c>
    </row>
    <row r="686" customFormat="false" ht="15" hidden="false" customHeight="false" outlineLevel="0" collapsed="false">
      <c r="A686" s="0" t="e">
        <f aca="false">#N/A</f>
        <v>#N/A</v>
      </c>
      <c r="B686" s="0" t="s">
        <v>4099</v>
      </c>
      <c r="C686" s="0" t="s">
        <v>4100</v>
      </c>
      <c r="D686" s="0" t="s">
        <v>2385</v>
      </c>
      <c r="E686" s="0" t="n">
        <v>43331</v>
      </c>
      <c r="F686" s="0" t="s">
        <v>102</v>
      </c>
      <c r="G686" s="0" t="n">
        <v>21356941</v>
      </c>
      <c r="H686" s="0" t="n">
        <v>720193</v>
      </c>
      <c r="I686" s="0" t="s">
        <v>34</v>
      </c>
      <c r="J686" s="0" t="s">
        <v>174</v>
      </c>
      <c r="K686" s="0" t="s">
        <v>154</v>
      </c>
      <c r="L686" s="0" t="n">
        <v>226360007</v>
      </c>
      <c r="M686" s="0" t="s">
        <v>1349</v>
      </c>
      <c r="N686" s="0" t="n">
        <v>104455906</v>
      </c>
      <c r="O686" s="0" t="n">
        <v>5</v>
      </c>
      <c r="P686" s="0" t="n">
        <v>0.03</v>
      </c>
      <c r="Q686" s="0" t="e">
        <f aca="false">#N/A</f>
        <v>#N/A</v>
      </c>
    </row>
    <row r="687" customFormat="false" ht="15" hidden="false" customHeight="false" outlineLevel="0" collapsed="false">
      <c r="A687" s="0" t="e">
        <f aca="false">#N/A</f>
        <v>#N/A</v>
      </c>
      <c r="B687" s="0" t="s">
        <v>4101</v>
      </c>
      <c r="C687" s="0" t="s">
        <v>4102</v>
      </c>
      <c r="D687" s="0" t="s">
        <v>2385</v>
      </c>
      <c r="E687" s="0" t="n">
        <v>43337</v>
      </c>
      <c r="F687" s="0" t="s">
        <v>102</v>
      </c>
      <c r="G687" s="0" t="n">
        <v>21356941</v>
      </c>
      <c r="H687" s="0" t="n">
        <v>720193</v>
      </c>
      <c r="I687" s="0" t="s">
        <v>34</v>
      </c>
      <c r="J687" s="0" t="s">
        <v>174</v>
      </c>
      <c r="K687" s="0" t="s">
        <v>155</v>
      </c>
      <c r="L687" s="0" t="n">
        <v>226496143</v>
      </c>
      <c r="M687" s="0" t="s">
        <v>1349</v>
      </c>
      <c r="N687" s="0" t="n">
        <v>104455906</v>
      </c>
      <c r="O687" s="0" t="n">
        <v>0</v>
      </c>
      <c r="P687" s="0" t="n">
        <v>0</v>
      </c>
      <c r="Q687" s="0" t="e">
        <f aca="false">#N/A</f>
        <v>#N/A</v>
      </c>
    </row>
    <row r="688" customFormat="false" ht="15" hidden="false" customHeight="false" outlineLevel="0" collapsed="false">
      <c r="A688" s="0" t="e">
        <f aca="false">#N/A</f>
        <v>#N/A</v>
      </c>
      <c r="B688" s="0" t="s">
        <v>4103</v>
      </c>
      <c r="C688" s="0" t="s">
        <v>4104</v>
      </c>
      <c r="D688" s="0" t="s">
        <v>2385</v>
      </c>
      <c r="E688" s="0" t="n">
        <v>43336</v>
      </c>
      <c r="F688" s="0" t="s">
        <v>102</v>
      </c>
      <c r="G688" s="0" t="n">
        <v>21356941</v>
      </c>
      <c r="H688" s="0" t="n">
        <v>720193</v>
      </c>
      <c r="I688" s="0" t="s">
        <v>34</v>
      </c>
      <c r="J688" s="0" t="s">
        <v>174</v>
      </c>
      <c r="K688" s="0" t="s">
        <v>155</v>
      </c>
      <c r="L688" s="0" t="n">
        <v>226496143</v>
      </c>
      <c r="M688" s="0" t="s">
        <v>1349</v>
      </c>
      <c r="N688" s="0" t="n">
        <v>104455906</v>
      </c>
      <c r="O688" s="0" t="n">
        <v>0</v>
      </c>
      <c r="P688" s="0" t="n">
        <v>0</v>
      </c>
      <c r="Q688" s="0" t="e">
        <f aca="false">#N/A</f>
        <v>#N/A</v>
      </c>
    </row>
    <row r="689" customFormat="false" ht="15" hidden="false" customHeight="false" outlineLevel="0" collapsed="false">
      <c r="A689" s="0" t="e">
        <f aca="false">#N/A</f>
        <v>#N/A</v>
      </c>
      <c r="B689" s="0" t="s">
        <v>4105</v>
      </c>
      <c r="C689" s="0" t="s">
        <v>4106</v>
      </c>
      <c r="D689" s="0" t="s">
        <v>2385</v>
      </c>
      <c r="E689" s="0" t="n">
        <v>43335</v>
      </c>
      <c r="F689" s="0" t="s">
        <v>102</v>
      </c>
      <c r="G689" s="0" t="n">
        <v>21356941</v>
      </c>
      <c r="H689" s="0" t="n">
        <v>720193</v>
      </c>
      <c r="I689" s="0" t="s">
        <v>34</v>
      </c>
      <c r="J689" s="0" t="s">
        <v>174</v>
      </c>
      <c r="K689" s="0" t="s">
        <v>155</v>
      </c>
      <c r="L689" s="0" t="n">
        <v>226496143</v>
      </c>
      <c r="M689" s="0" t="s">
        <v>1349</v>
      </c>
      <c r="N689" s="0" t="n">
        <v>104455906</v>
      </c>
      <c r="O689" s="0" t="n">
        <v>0</v>
      </c>
      <c r="P689" s="0" t="n">
        <v>0</v>
      </c>
      <c r="Q689" s="0" t="e">
        <f aca="false">#N/A</f>
        <v>#N/A</v>
      </c>
    </row>
    <row r="690" customFormat="false" ht="15" hidden="false" customHeight="false" outlineLevel="0" collapsed="false">
      <c r="A690" s="0" t="e">
        <f aca="false">#N/A</f>
        <v>#N/A</v>
      </c>
      <c r="B690" s="0" t="s">
        <v>4107</v>
      </c>
      <c r="C690" s="0" t="s">
        <v>4108</v>
      </c>
      <c r="D690" s="0" t="s">
        <v>2385</v>
      </c>
      <c r="E690" s="0" t="n">
        <v>43334</v>
      </c>
      <c r="F690" s="0" t="s">
        <v>102</v>
      </c>
      <c r="G690" s="0" t="n">
        <v>21356941</v>
      </c>
      <c r="H690" s="0" t="n">
        <v>720193</v>
      </c>
      <c r="I690" s="0" t="s">
        <v>34</v>
      </c>
      <c r="J690" s="0" t="s">
        <v>174</v>
      </c>
      <c r="K690" s="0" t="s">
        <v>155</v>
      </c>
      <c r="L690" s="0" t="n">
        <v>226496143</v>
      </c>
      <c r="M690" s="0" t="s">
        <v>1349</v>
      </c>
      <c r="N690" s="0" t="n">
        <v>104455906</v>
      </c>
      <c r="O690" s="0" t="n">
        <v>0</v>
      </c>
      <c r="P690" s="0" t="n">
        <v>0</v>
      </c>
      <c r="Q690" s="0" t="e">
        <f aca="false">#N/A</f>
        <v>#N/A</v>
      </c>
    </row>
    <row r="691" customFormat="false" ht="15" hidden="false" customHeight="false" outlineLevel="0" collapsed="false">
      <c r="A691" s="0" t="e">
        <f aca="false">#N/A</f>
        <v>#N/A</v>
      </c>
      <c r="B691" s="0" t="s">
        <v>4109</v>
      </c>
      <c r="C691" s="0" t="s">
        <v>4110</v>
      </c>
      <c r="D691" s="0" t="s">
        <v>2385</v>
      </c>
      <c r="E691" s="0" t="n">
        <v>43333</v>
      </c>
      <c r="F691" s="0" t="s">
        <v>102</v>
      </c>
      <c r="G691" s="0" t="n">
        <v>21356941</v>
      </c>
      <c r="H691" s="0" t="n">
        <v>720193</v>
      </c>
      <c r="I691" s="0" t="s">
        <v>34</v>
      </c>
      <c r="J691" s="0" t="s">
        <v>174</v>
      </c>
      <c r="K691" s="0" t="s">
        <v>155</v>
      </c>
      <c r="L691" s="0" t="n">
        <v>226496143</v>
      </c>
      <c r="M691" s="0" t="s">
        <v>1349</v>
      </c>
      <c r="N691" s="0" t="n">
        <v>104455906</v>
      </c>
      <c r="O691" s="0" t="n">
        <v>0</v>
      </c>
      <c r="P691" s="0" t="n">
        <v>0</v>
      </c>
      <c r="Q691" s="0" t="e">
        <f aca="false">#N/A</f>
        <v>#N/A</v>
      </c>
    </row>
    <row r="692" customFormat="false" ht="15" hidden="false" customHeight="false" outlineLevel="0" collapsed="false">
      <c r="A692" s="0" t="e">
        <f aca="false">#N/A</f>
        <v>#N/A</v>
      </c>
      <c r="B692" s="0" t="s">
        <v>4111</v>
      </c>
      <c r="C692" s="0" t="s">
        <v>4112</v>
      </c>
      <c r="D692" s="0" t="s">
        <v>2385</v>
      </c>
      <c r="E692" s="0" t="n">
        <v>43332</v>
      </c>
      <c r="F692" s="0" t="s">
        <v>102</v>
      </c>
      <c r="G692" s="0" t="n">
        <v>21356941</v>
      </c>
      <c r="H692" s="0" t="n">
        <v>720193</v>
      </c>
      <c r="I692" s="0" t="s">
        <v>34</v>
      </c>
      <c r="J692" s="0" t="s">
        <v>174</v>
      </c>
      <c r="K692" s="0" t="s">
        <v>155</v>
      </c>
      <c r="L692" s="0" t="n">
        <v>226496143</v>
      </c>
      <c r="M692" s="0" t="s">
        <v>1349</v>
      </c>
      <c r="N692" s="0" t="n">
        <v>104455906</v>
      </c>
      <c r="O692" s="0" t="n">
        <v>0</v>
      </c>
      <c r="P692" s="0" t="n">
        <v>0</v>
      </c>
      <c r="Q692" s="0" t="e">
        <f aca="false">#N/A</f>
        <v>#N/A</v>
      </c>
    </row>
    <row r="693" customFormat="false" ht="15" hidden="false" customHeight="false" outlineLevel="0" collapsed="false">
      <c r="A693" s="0" t="e">
        <f aca="false">#N/A</f>
        <v>#N/A</v>
      </c>
      <c r="B693" s="0" t="s">
        <v>4113</v>
      </c>
      <c r="C693" s="0" t="s">
        <v>4114</v>
      </c>
      <c r="D693" s="0" t="s">
        <v>2385</v>
      </c>
      <c r="E693" s="0" t="n">
        <v>43331</v>
      </c>
      <c r="F693" s="0" t="s">
        <v>102</v>
      </c>
      <c r="G693" s="0" t="n">
        <v>21356941</v>
      </c>
      <c r="H693" s="0" t="n">
        <v>720193</v>
      </c>
      <c r="I693" s="0" t="s">
        <v>34</v>
      </c>
      <c r="J693" s="0" t="s">
        <v>174</v>
      </c>
      <c r="K693" s="0" t="s">
        <v>155</v>
      </c>
      <c r="L693" s="0" t="n">
        <v>226496143</v>
      </c>
      <c r="M693" s="0" t="s">
        <v>1349</v>
      </c>
      <c r="N693" s="0" t="n">
        <v>104455906</v>
      </c>
      <c r="O693" s="0" t="n">
        <v>0</v>
      </c>
      <c r="P693" s="0" t="n">
        <v>0</v>
      </c>
      <c r="Q693" s="0" t="e">
        <f aca="false">#N/A</f>
        <v>#N/A</v>
      </c>
    </row>
    <row r="694" customFormat="false" ht="15" hidden="false" customHeight="false" outlineLevel="0" collapsed="false">
      <c r="A694" s="0" t="s">
        <v>4115</v>
      </c>
      <c r="B694" s="0" t="s">
        <v>4116</v>
      </c>
      <c r="C694" s="0" t="s">
        <v>4117</v>
      </c>
      <c r="D694" s="0" t="s">
        <v>2385</v>
      </c>
      <c r="E694" s="0" t="n">
        <v>43337</v>
      </c>
      <c r="F694" s="0" t="s">
        <v>102</v>
      </c>
      <c r="G694" s="0" t="n">
        <v>21356941</v>
      </c>
      <c r="H694" s="0" t="n">
        <v>720193</v>
      </c>
      <c r="I694" s="0" t="s">
        <v>34</v>
      </c>
      <c r="J694" s="0" t="s">
        <v>174</v>
      </c>
      <c r="K694" s="0" t="s">
        <v>156</v>
      </c>
      <c r="L694" s="0" t="n">
        <v>226360016</v>
      </c>
      <c r="M694" s="0" t="s">
        <v>1319</v>
      </c>
      <c r="N694" s="0" t="n">
        <v>104456278</v>
      </c>
      <c r="O694" s="0" t="n">
        <v>2560</v>
      </c>
      <c r="P694" s="0" t="n">
        <v>9.67</v>
      </c>
      <c r="Q694" s="0" t="n">
        <v>104456278</v>
      </c>
    </row>
    <row r="695" customFormat="false" ht="15" hidden="false" customHeight="false" outlineLevel="0" collapsed="false">
      <c r="A695" s="0" t="s">
        <v>4118</v>
      </c>
      <c r="B695" s="0" t="s">
        <v>4119</v>
      </c>
      <c r="C695" s="0" t="s">
        <v>4120</v>
      </c>
      <c r="D695" s="0" t="s">
        <v>2385</v>
      </c>
      <c r="E695" s="0" t="n">
        <v>43336</v>
      </c>
      <c r="F695" s="0" t="s">
        <v>102</v>
      </c>
      <c r="G695" s="0" t="n">
        <v>21356941</v>
      </c>
      <c r="H695" s="0" t="n">
        <v>720193</v>
      </c>
      <c r="I695" s="0" t="s">
        <v>34</v>
      </c>
      <c r="J695" s="0" t="s">
        <v>174</v>
      </c>
      <c r="K695" s="0" t="s">
        <v>156</v>
      </c>
      <c r="L695" s="0" t="n">
        <v>226360016</v>
      </c>
      <c r="M695" s="0" t="s">
        <v>1319</v>
      </c>
      <c r="N695" s="0" t="n">
        <v>104456278</v>
      </c>
      <c r="O695" s="0" t="n">
        <v>2668</v>
      </c>
      <c r="P695" s="0" t="n">
        <v>10.19</v>
      </c>
      <c r="Q695" s="0" t="n">
        <v>104456278</v>
      </c>
    </row>
    <row r="696" customFormat="false" ht="15" hidden="false" customHeight="false" outlineLevel="0" collapsed="false">
      <c r="A696" s="0" t="s">
        <v>4121</v>
      </c>
      <c r="B696" s="0" t="s">
        <v>4122</v>
      </c>
      <c r="C696" s="0" t="s">
        <v>4123</v>
      </c>
      <c r="D696" s="0" t="s">
        <v>2385</v>
      </c>
      <c r="E696" s="0" t="n">
        <v>43335</v>
      </c>
      <c r="F696" s="0" t="s">
        <v>102</v>
      </c>
      <c r="G696" s="0" t="n">
        <v>21356941</v>
      </c>
      <c r="H696" s="0" t="n">
        <v>720193</v>
      </c>
      <c r="I696" s="0" t="s">
        <v>34</v>
      </c>
      <c r="J696" s="0" t="s">
        <v>174</v>
      </c>
      <c r="K696" s="0" t="s">
        <v>156</v>
      </c>
      <c r="L696" s="0" t="n">
        <v>226360016</v>
      </c>
      <c r="M696" s="0" t="s">
        <v>1319</v>
      </c>
      <c r="N696" s="0" t="n">
        <v>104456278</v>
      </c>
      <c r="O696" s="0" t="n">
        <v>3408</v>
      </c>
      <c r="P696" s="0" t="n">
        <v>12.54</v>
      </c>
      <c r="Q696" s="0" t="n">
        <v>104456278</v>
      </c>
    </row>
    <row r="697" customFormat="false" ht="15" hidden="false" customHeight="false" outlineLevel="0" collapsed="false">
      <c r="A697" s="0" t="s">
        <v>4124</v>
      </c>
      <c r="B697" s="0" t="s">
        <v>4125</v>
      </c>
      <c r="C697" s="0" t="s">
        <v>4126</v>
      </c>
      <c r="D697" s="0" t="s">
        <v>2385</v>
      </c>
      <c r="E697" s="0" t="n">
        <v>43334</v>
      </c>
      <c r="F697" s="0" t="s">
        <v>102</v>
      </c>
      <c r="G697" s="0" t="n">
        <v>21356941</v>
      </c>
      <c r="H697" s="0" t="n">
        <v>720193</v>
      </c>
      <c r="I697" s="0" t="s">
        <v>34</v>
      </c>
      <c r="J697" s="0" t="s">
        <v>174</v>
      </c>
      <c r="K697" s="0" t="s">
        <v>156</v>
      </c>
      <c r="L697" s="0" t="n">
        <v>226360016</v>
      </c>
      <c r="M697" s="0" t="s">
        <v>1319</v>
      </c>
      <c r="N697" s="0" t="n">
        <v>104456278</v>
      </c>
      <c r="O697" s="0" t="n">
        <v>2842</v>
      </c>
      <c r="P697" s="0" t="n">
        <v>13.31</v>
      </c>
      <c r="Q697" s="0" t="n">
        <v>104456278</v>
      </c>
    </row>
    <row r="698" customFormat="false" ht="15" hidden="false" customHeight="false" outlineLevel="0" collapsed="false">
      <c r="A698" s="0" t="s">
        <v>4127</v>
      </c>
      <c r="B698" s="0" t="s">
        <v>4128</v>
      </c>
      <c r="C698" s="0" t="s">
        <v>4129</v>
      </c>
      <c r="D698" s="0" t="s">
        <v>2385</v>
      </c>
      <c r="E698" s="0" t="n">
        <v>43333</v>
      </c>
      <c r="F698" s="0" t="s">
        <v>102</v>
      </c>
      <c r="G698" s="0" t="n">
        <v>21356941</v>
      </c>
      <c r="H698" s="0" t="n">
        <v>720193</v>
      </c>
      <c r="I698" s="0" t="s">
        <v>34</v>
      </c>
      <c r="J698" s="0" t="s">
        <v>174</v>
      </c>
      <c r="K698" s="0" t="s">
        <v>156</v>
      </c>
      <c r="L698" s="0" t="n">
        <v>226360016</v>
      </c>
      <c r="M698" s="0" t="s">
        <v>1319</v>
      </c>
      <c r="N698" s="0" t="n">
        <v>104456278</v>
      </c>
      <c r="O698" s="0" t="n">
        <v>2698</v>
      </c>
      <c r="P698" s="0" t="n">
        <v>9.79</v>
      </c>
      <c r="Q698" s="0" t="n">
        <v>104456278</v>
      </c>
    </row>
    <row r="699" customFormat="false" ht="15" hidden="false" customHeight="false" outlineLevel="0" collapsed="false">
      <c r="A699" s="0" t="s">
        <v>4130</v>
      </c>
      <c r="B699" s="0" t="s">
        <v>4131</v>
      </c>
      <c r="C699" s="0" t="s">
        <v>4132</v>
      </c>
      <c r="D699" s="0" t="s">
        <v>2385</v>
      </c>
      <c r="E699" s="0" t="n">
        <v>43332</v>
      </c>
      <c r="F699" s="0" t="s">
        <v>102</v>
      </c>
      <c r="G699" s="0" t="n">
        <v>21356941</v>
      </c>
      <c r="H699" s="0" t="n">
        <v>720193</v>
      </c>
      <c r="I699" s="0" t="s">
        <v>34</v>
      </c>
      <c r="J699" s="0" t="s">
        <v>174</v>
      </c>
      <c r="K699" s="0" t="s">
        <v>156</v>
      </c>
      <c r="L699" s="0" t="n">
        <v>226360016</v>
      </c>
      <c r="M699" s="0" t="s">
        <v>1319</v>
      </c>
      <c r="N699" s="0" t="n">
        <v>104456278</v>
      </c>
      <c r="O699" s="0" t="n">
        <v>2997</v>
      </c>
      <c r="P699" s="0" t="n">
        <v>12.55</v>
      </c>
      <c r="Q699" s="0" t="n">
        <v>104456278</v>
      </c>
    </row>
    <row r="700" customFormat="false" ht="15" hidden="false" customHeight="false" outlineLevel="0" collapsed="false">
      <c r="A700" s="0" t="s">
        <v>4133</v>
      </c>
      <c r="B700" s="0" t="s">
        <v>4134</v>
      </c>
      <c r="C700" s="0" t="s">
        <v>4135</v>
      </c>
      <c r="D700" s="0" t="s">
        <v>2385</v>
      </c>
      <c r="E700" s="0" t="n">
        <v>43331</v>
      </c>
      <c r="F700" s="0" t="s">
        <v>102</v>
      </c>
      <c r="G700" s="0" t="n">
        <v>21356941</v>
      </c>
      <c r="H700" s="0" t="n">
        <v>720193</v>
      </c>
      <c r="I700" s="0" t="s">
        <v>34</v>
      </c>
      <c r="J700" s="0" t="s">
        <v>174</v>
      </c>
      <c r="K700" s="0" t="s">
        <v>156</v>
      </c>
      <c r="L700" s="0" t="n">
        <v>226360016</v>
      </c>
      <c r="M700" s="0" t="s">
        <v>1319</v>
      </c>
      <c r="N700" s="0" t="n">
        <v>104456278</v>
      </c>
      <c r="O700" s="0" t="n">
        <v>3176</v>
      </c>
      <c r="P700" s="0" t="n">
        <v>14.97</v>
      </c>
      <c r="Q700" s="0" t="n">
        <v>104456278</v>
      </c>
    </row>
    <row r="701" customFormat="false" ht="15" hidden="false" customHeight="false" outlineLevel="0" collapsed="false">
      <c r="A701" s="0" t="s">
        <v>4136</v>
      </c>
      <c r="B701" s="0" t="s">
        <v>4137</v>
      </c>
      <c r="C701" s="0" t="s">
        <v>4138</v>
      </c>
      <c r="D701" s="0" t="s">
        <v>2385</v>
      </c>
      <c r="E701" s="0" t="n">
        <v>43337</v>
      </c>
      <c r="F701" s="0" t="s">
        <v>102</v>
      </c>
      <c r="G701" s="0" t="n">
        <v>21356941</v>
      </c>
      <c r="H701" s="0" t="n">
        <v>720193</v>
      </c>
      <c r="I701" s="0" t="s">
        <v>34</v>
      </c>
      <c r="J701" s="0" t="s">
        <v>174</v>
      </c>
      <c r="K701" s="0" t="s">
        <v>157</v>
      </c>
      <c r="L701" s="0" t="n">
        <v>226360010</v>
      </c>
      <c r="M701" s="0" t="s">
        <v>1334</v>
      </c>
      <c r="N701" s="0" t="n">
        <v>104458003</v>
      </c>
      <c r="O701" s="0" t="n">
        <v>3</v>
      </c>
      <c r="P701" s="0" t="n">
        <v>0</v>
      </c>
      <c r="Q701" s="0" t="n">
        <v>104458003</v>
      </c>
    </row>
    <row r="702" customFormat="false" ht="15" hidden="false" customHeight="false" outlineLevel="0" collapsed="false">
      <c r="A702" s="0" t="s">
        <v>4139</v>
      </c>
      <c r="B702" s="0" t="s">
        <v>4140</v>
      </c>
      <c r="C702" s="0" t="s">
        <v>4141</v>
      </c>
      <c r="D702" s="0" t="s">
        <v>2385</v>
      </c>
      <c r="E702" s="0" t="n">
        <v>43336</v>
      </c>
      <c r="F702" s="0" t="s">
        <v>102</v>
      </c>
      <c r="G702" s="0" t="n">
        <v>21356941</v>
      </c>
      <c r="H702" s="0" t="n">
        <v>720193</v>
      </c>
      <c r="I702" s="0" t="s">
        <v>34</v>
      </c>
      <c r="J702" s="0" t="s">
        <v>174</v>
      </c>
      <c r="K702" s="0" t="s">
        <v>157</v>
      </c>
      <c r="L702" s="0" t="n">
        <v>226360010</v>
      </c>
      <c r="M702" s="0" t="s">
        <v>1334</v>
      </c>
      <c r="N702" s="0" t="n">
        <v>104458003</v>
      </c>
      <c r="O702" s="0" t="n">
        <v>1</v>
      </c>
      <c r="P702" s="0" t="n">
        <v>0</v>
      </c>
      <c r="Q702" s="0" t="n">
        <v>104458003</v>
      </c>
    </row>
    <row r="703" customFormat="false" ht="15" hidden="false" customHeight="false" outlineLevel="0" collapsed="false">
      <c r="A703" s="0" t="e">
        <f aca="false">#N/A</f>
        <v>#N/A</v>
      </c>
      <c r="B703" s="0" t="s">
        <v>4142</v>
      </c>
      <c r="C703" s="0" t="s">
        <v>4143</v>
      </c>
      <c r="D703" s="0" t="s">
        <v>2385</v>
      </c>
      <c r="E703" s="0" t="n">
        <v>43335</v>
      </c>
      <c r="F703" s="0" t="s">
        <v>102</v>
      </c>
      <c r="G703" s="0" t="n">
        <v>21356941</v>
      </c>
      <c r="H703" s="0" t="n">
        <v>720193</v>
      </c>
      <c r="I703" s="0" t="s">
        <v>34</v>
      </c>
      <c r="J703" s="0" t="s">
        <v>174</v>
      </c>
      <c r="K703" s="0" t="s">
        <v>157</v>
      </c>
      <c r="L703" s="0" t="n">
        <v>226360010</v>
      </c>
      <c r="M703" s="0" t="s">
        <v>1334</v>
      </c>
      <c r="N703" s="0" t="n">
        <v>104458003</v>
      </c>
      <c r="O703" s="0" t="n">
        <v>0</v>
      </c>
      <c r="P703" s="0" t="n">
        <v>0</v>
      </c>
      <c r="Q703" s="0" t="e">
        <f aca="false">#N/A</f>
        <v>#N/A</v>
      </c>
    </row>
    <row r="704" customFormat="false" ht="15" hidden="false" customHeight="false" outlineLevel="0" collapsed="false">
      <c r="A704" s="0" t="s">
        <v>4144</v>
      </c>
      <c r="B704" s="0" t="s">
        <v>4145</v>
      </c>
      <c r="C704" s="0" t="s">
        <v>4146</v>
      </c>
      <c r="D704" s="0" t="s">
        <v>2385</v>
      </c>
      <c r="E704" s="0" t="n">
        <v>43334</v>
      </c>
      <c r="F704" s="0" t="s">
        <v>102</v>
      </c>
      <c r="G704" s="0" t="n">
        <v>21356941</v>
      </c>
      <c r="H704" s="0" t="n">
        <v>720193</v>
      </c>
      <c r="I704" s="0" t="s">
        <v>34</v>
      </c>
      <c r="J704" s="0" t="s">
        <v>174</v>
      </c>
      <c r="K704" s="0" t="s">
        <v>157</v>
      </c>
      <c r="L704" s="0" t="n">
        <v>226360010</v>
      </c>
      <c r="M704" s="0" t="s">
        <v>1334</v>
      </c>
      <c r="N704" s="0" t="n">
        <v>104458003</v>
      </c>
      <c r="O704" s="0" t="n">
        <v>4</v>
      </c>
      <c r="P704" s="0" t="n">
        <v>0.03</v>
      </c>
      <c r="Q704" s="0" t="n">
        <v>104458003</v>
      </c>
    </row>
    <row r="705" customFormat="false" ht="15" hidden="false" customHeight="false" outlineLevel="0" collapsed="false">
      <c r="A705" s="0" t="s">
        <v>4147</v>
      </c>
      <c r="B705" s="0" t="s">
        <v>4148</v>
      </c>
      <c r="C705" s="0" t="s">
        <v>4149</v>
      </c>
      <c r="D705" s="0" t="s">
        <v>2385</v>
      </c>
      <c r="E705" s="0" t="n">
        <v>43333</v>
      </c>
      <c r="F705" s="0" t="s">
        <v>102</v>
      </c>
      <c r="G705" s="0" t="n">
        <v>21356941</v>
      </c>
      <c r="H705" s="0" t="n">
        <v>720193</v>
      </c>
      <c r="I705" s="0" t="s">
        <v>34</v>
      </c>
      <c r="J705" s="0" t="s">
        <v>174</v>
      </c>
      <c r="K705" s="0" t="s">
        <v>157</v>
      </c>
      <c r="L705" s="0" t="n">
        <v>226360010</v>
      </c>
      <c r="M705" s="0" t="s">
        <v>1334</v>
      </c>
      <c r="N705" s="0" t="n">
        <v>104458003</v>
      </c>
      <c r="O705" s="0" t="n">
        <v>3</v>
      </c>
      <c r="P705" s="0" t="n">
        <v>0.01</v>
      </c>
      <c r="Q705" s="0" t="n">
        <v>104458003</v>
      </c>
    </row>
    <row r="706" customFormat="false" ht="15" hidden="false" customHeight="false" outlineLevel="0" collapsed="false">
      <c r="A706" s="0" t="s">
        <v>4150</v>
      </c>
      <c r="B706" s="0" t="s">
        <v>4151</v>
      </c>
      <c r="C706" s="0" t="s">
        <v>4152</v>
      </c>
      <c r="D706" s="0" t="s">
        <v>2385</v>
      </c>
      <c r="E706" s="0" t="n">
        <v>43332</v>
      </c>
      <c r="F706" s="0" t="s">
        <v>102</v>
      </c>
      <c r="G706" s="0" t="n">
        <v>21356941</v>
      </c>
      <c r="H706" s="0" t="n">
        <v>720193</v>
      </c>
      <c r="I706" s="0" t="s">
        <v>34</v>
      </c>
      <c r="J706" s="0" t="s">
        <v>174</v>
      </c>
      <c r="K706" s="0" t="s">
        <v>157</v>
      </c>
      <c r="L706" s="0" t="n">
        <v>226360010</v>
      </c>
      <c r="M706" s="0" t="s">
        <v>1334</v>
      </c>
      <c r="N706" s="0" t="n">
        <v>104458003</v>
      </c>
      <c r="O706" s="0" t="n">
        <v>5</v>
      </c>
      <c r="P706" s="0" t="n">
        <v>0.04</v>
      </c>
      <c r="Q706" s="0" t="n">
        <v>104458003</v>
      </c>
    </row>
    <row r="707" customFormat="false" ht="15" hidden="false" customHeight="false" outlineLevel="0" collapsed="false">
      <c r="A707" s="0" t="e">
        <f aca="false">#N/A</f>
        <v>#N/A</v>
      </c>
      <c r="B707" s="0" t="s">
        <v>4153</v>
      </c>
      <c r="C707" s="0" t="s">
        <v>4154</v>
      </c>
      <c r="D707" s="0" t="s">
        <v>2385</v>
      </c>
      <c r="E707" s="0" t="n">
        <v>43331</v>
      </c>
      <c r="F707" s="0" t="s">
        <v>102</v>
      </c>
      <c r="G707" s="0" t="n">
        <v>21356941</v>
      </c>
      <c r="H707" s="0" t="n">
        <v>720193</v>
      </c>
      <c r="I707" s="0" t="s">
        <v>34</v>
      </c>
      <c r="J707" s="0" t="s">
        <v>174</v>
      </c>
      <c r="K707" s="0" t="s">
        <v>157</v>
      </c>
      <c r="L707" s="0" t="n">
        <v>226360010</v>
      </c>
      <c r="M707" s="0" t="s">
        <v>1334</v>
      </c>
      <c r="N707" s="0" t="n">
        <v>104458003</v>
      </c>
      <c r="O707" s="0" t="n">
        <v>0</v>
      </c>
      <c r="P707" s="0" t="n">
        <v>0</v>
      </c>
      <c r="Q707" s="0" t="e">
        <f aca="false">#N/A</f>
        <v>#N/A</v>
      </c>
    </row>
    <row r="708" customFormat="false" ht="15" hidden="false" customHeight="false" outlineLevel="0" collapsed="false">
      <c r="A708" s="0" t="s">
        <v>4155</v>
      </c>
      <c r="B708" s="0" t="s">
        <v>4156</v>
      </c>
      <c r="C708" s="0" t="s">
        <v>4157</v>
      </c>
      <c r="D708" s="0" t="s">
        <v>2385</v>
      </c>
      <c r="E708" s="0" t="n">
        <v>43337</v>
      </c>
      <c r="F708" s="0" t="s">
        <v>102</v>
      </c>
      <c r="G708" s="0" t="n">
        <v>21356941</v>
      </c>
      <c r="H708" s="0" t="n">
        <v>720193</v>
      </c>
      <c r="I708" s="0" t="s">
        <v>34</v>
      </c>
      <c r="J708" s="0" t="s">
        <v>174</v>
      </c>
      <c r="K708" s="0" t="s">
        <v>158</v>
      </c>
      <c r="L708" s="0" t="n">
        <v>226360022</v>
      </c>
      <c r="M708" s="0" t="s">
        <v>1349</v>
      </c>
      <c r="N708" s="0" t="n">
        <v>104455906</v>
      </c>
      <c r="O708" s="0" t="n">
        <v>647</v>
      </c>
      <c r="P708" s="0" t="n">
        <v>2.48</v>
      </c>
      <c r="Q708" s="0" t="n">
        <v>104455906</v>
      </c>
    </row>
    <row r="709" customFormat="false" ht="15" hidden="false" customHeight="false" outlineLevel="0" collapsed="false">
      <c r="A709" s="0" t="s">
        <v>4158</v>
      </c>
      <c r="B709" s="0" t="s">
        <v>4159</v>
      </c>
      <c r="C709" s="0" t="s">
        <v>4160</v>
      </c>
      <c r="D709" s="0" t="s">
        <v>2385</v>
      </c>
      <c r="E709" s="0" t="n">
        <v>43336</v>
      </c>
      <c r="F709" s="0" t="s">
        <v>102</v>
      </c>
      <c r="G709" s="0" t="n">
        <v>21356941</v>
      </c>
      <c r="H709" s="0" t="n">
        <v>720193</v>
      </c>
      <c r="I709" s="0" t="s">
        <v>34</v>
      </c>
      <c r="J709" s="0" t="s">
        <v>174</v>
      </c>
      <c r="K709" s="0" t="s">
        <v>158</v>
      </c>
      <c r="L709" s="0" t="n">
        <v>226360022</v>
      </c>
      <c r="M709" s="0" t="s">
        <v>1349</v>
      </c>
      <c r="N709" s="0" t="n">
        <v>104455906</v>
      </c>
      <c r="O709" s="0" t="n">
        <v>514</v>
      </c>
      <c r="P709" s="0" t="n">
        <v>1.98</v>
      </c>
      <c r="Q709" s="0" t="n">
        <v>104455906</v>
      </c>
    </row>
    <row r="710" customFormat="false" ht="15" hidden="false" customHeight="false" outlineLevel="0" collapsed="false">
      <c r="A710" s="0" t="s">
        <v>4161</v>
      </c>
      <c r="B710" s="0" t="s">
        <v>4162</v>
      </c>
      <c r="C710" s="0" t="s">
        <v>4163</v>
      </c>
      <c r="D710" s="0" t="s">
        <v>2385</v>
      </c>
      <c r="E710" s="0" t="n">
        <v>43335</v>
      </c>
      <c r="F710" s="0" t="s">
        <v>102</v>
      </c>
      <c r="G710" s="0" t="n">
        <v>21356941</v>
      </c>
      <c r="H710" s="0" t="n">
        <v>720193</v>
      </c>
      <c r="I710" s="0" t="s">
        <v>34</v>
      </c>
      <c r="J710" s="0" t="s">
        <v>174</v>
      </c>
      <c r="K710" s="0" t="s">
        <v>158</v>
      </c>
      <c r="L710" s="0" t="n">
        <v>226360022</v>
      </c>
      <c r="M710" s="0" t="s">
        <v>1349</v>
      </c>
      <c r="N710" s="0" t="n">
        <v>104455906</v>
      </c>
      <c r="O710" s="0" t="n">
        <v>339</v>
      </c>
      <c r="P710" s="0" t="n">
        <v>1.29</v>
      </c>
      <c r="Q710" s="0" t="n">
        <v>104455906</v>
      </c>
    </row>
    <row r="711" customFormat="false" ht="15" hidden="false" customHeight="false" outlineLevel="0" collapsed="false">
      <c r="A711" s="0" t="s">
        <v>4164</v>
      </c>
      <c r="B711" s="0" t="s">
        <v>4165</v>
      </c>
      <c r="C711" s="0" t="s">
        <v>4166</v>
      </c>
      <c r="D711" s="0" t="s">
        <v>2385</v>
      </c>
      <c r="E711" s="0" t="n">
        <v>43334</v>
      </c>
      <c r="F711" s="0" t="s">
        <v>102</v>
      </c>
      <c r="G711" s="0" t="n">
        <v>21356941</v>
      </c>
      <c r="H711" s="0" t="n">
        <v>720193</v>
      </c>
      <c r="I711" s="0" t="s">
        <v>34</v>
      </c>
      <c r="J711" s="0" t="s">
        <v>174</v>
      </c>
      <c r="K711" s="0" t="s">
        <v>158</v>
      </c>
      <c r="L711" s="0" t="n">
        <v>226360022</v>
      </c>
      <c r="M711" s="0" t="s">
        <v>1349</v>
      </c>
      <c r="N711" s="0" t="n">
        <v>104455906</v>
      </c>
      <c r="O711" s="0" t="n">
        <v>349</v>
      </c>
      <c r="P711" s="0" t="n">
        <v>1.69</v>
      </c>
      <c r="Q711" s="0" t="n">
        <v>104455906</v>
      </c>
    </row>
    <row r="712" customFormat="false" ht="15" hidden="false" customHeight="false" outlineLevel="0" collapsed="false">
      <c r="A712" s="0" t="s">
        <v>4167</v>
      </c>
      <c r="B712" s="0" t="s">
        <v>4168</v>
      </c>
      <c r="C712" s="0" t="s">
        <v>4169</v>
      </c>
      <c r="D712" s="0" t="s">
        <v>2385</v>
      </c>
      <c r="E712" s="0" t="n">
        <v>43333</v>
      </c>
      <c r="F712" s="0" t="s">
        <v>102</v>
      </c>
      <c r="G712" s="0" t="n">
        <v>21356941</v>
      </c>
      <c r="H712" s="0" t="n">
        <v>720193</v>
      </c>
      <c r="I712" s="0" t="s">
        <v>34</v>
      </c>
      <c r="J712" s="0" t="s">
        <v>174</v>
      </c>
      <c r="K712" s="0" t="s">
        <v>158</v>
      </c>
      <c r="L712" s="0" t="n">
        <v>226360022</v>
      </c>
      <c r="M712" s="0" t="s">
        <v>1349</v>
      </c>
      <c r="N712" s="0" t="n">
        <v>104455906</v>
      </c>
      <c r="O712" s="0" t="n">
        <v>203</v>
      </c>
      <c r="P712" s="0" t="n">
        <v>0.93</v>
      </c>
      <c r="Q712" s="0" t="n">
        <v>104455906</v>
      </c>
    </row>
    <row r="713" customFormat="false" ht="15" hidden="false" customHeight="false" outlineLevel="0" collapsed="false">
      <c r="A713" s="0" t="s">
        <v>4170</v>
      </c>
      <c r="B713" s="0" t="s">
        <v>4171</v>
      </c>
      <c r="C713" s="0" t="s">
        <v>4172</v>
      </c>
      <c r="D713" s="0" t="s">
        <v>2385</v>
      </c>
      <c r="E713" s="0" t="n">
        <v>43332</v>
      </c>
      <c r="F713" s="0" t="s">
        <v>102</v>
      </c>
      <c r="G713" s="0" t="n">
        <v>21356941</v>
      </c>
      <c r="H713" s="0" t="n">
        <v>720193</v>
      </c>
      <c r="I713" s="0" t="s">
        <v>34</v>
      </c>
      <c r="J713" s="0" t="s">
        <v>174</v>
      </c>
      <c r="K713" s="0" t="s">
        <v>158</v>
      </c>
      <c r="L713" s="0" t="n">
        <v>226360022</v>
      </c>
      <c r="M713" s="0" t="s">
        <v>1349</v>
      </c>
      <c r="N713" s="0" t="n">
        <v>104455906</v>
      </c>
      <c r="O713" s="0" t="n">
        <v>126</v>
      </c>
      <c r="P713" s="0" t="n">
        <v>0.57</v>
      </c>
      <c r="Q713" s="0" t="n">
        <v>104455906</v>
      </c>
    </row>
    <row r="714" customFormat="false" ht="15" hidden="false" customHeight="false" outlineLevel="0" collapsed="false">
      <c r="A714" s="0" t="s">
        <v>4173</v>
      </c>
      <c r="B714" s="0" t="s">
        <v>4174</v>
      </c>
      <c r="C714" s="0" t="s">
        <v>4175</v>
      </c>
      <c r="D714" s="0" t="s">
        <v>2385</v>
      </c>
      <c r="E714" s="0" t="n">
        <v>43331</v>
      </c>
      <c r="F714" s="0" t="s">
        <v>102</v>
      </c>
      <c r="G714" s="0" t="n">
        <v>21356941</v>
      </c>
      <c r="H714" s="0" t="n">
        <v>720193</v>
      </c>
      <c r="I714" s="0" t="s">
        <v>34</v>
      </c>
      <c r="J714" s="0" t="s">
        <v>174</v>
      </c>
      <c r="K714" s="0" t="s">
        <v>158</v>
      </c>
      <c r="L714" s="0" t="n">
        <v>226360022</v>
      </c>
      <c r="M714" s="0" t="s">
        <v>1349</v>
      </c>
      <c r="N714" s="0" t="n">
        <v>104455906</v>
      </c>
      <c r="O714" s="0" t="n">
        <v>85</v>
      </c>
      <c r="P714" s="0" t="n">
        <v>0.47</v>
      </c>
      <c r="Q714" s="0" t="n">
        <v>104455906</v>
      </c>
    </row>
    <row r="715" customFormat="false" ht="15" hidden="false" customHeight="false" outlineLevel="0" collapsed="false">
      <c r="A715" s="0" t="s">
        <v>4176</v>
      </c>
      <c r="B715" s="0" t="s">
        <v>4177</v>
      </c>
      <c r="C715" s="0" t="s">
        <v>4178</v>
      </c>
      <c r="D715" s="0" t="s">
        <v>2385</v>
      </c>
      <c r="E715" s="0" t="n">
        <v>43331</v>
      </c>
      <c r="F715" s="0" t="s">
        <v>159</v>
      </c>
      <c r="G715" s="0" t="n">
        <v>21276694</v>
      </c>
      <c r="H715" s="0" t="n">
        <v>720195</v>
      </c>
      <c r="I715" s="0" t="s">
        <v>34</v>
      </c>
      <c r="J715" s="0" t="s">
        <v>174</v>
      </c>
      <c r="K715" s="0" t="s">
        <v>162</v>
      </c>
      <c r="L715" s="0" t="n">
        <v>223297413</v>
      </c>
      <c r="M715" s="0" t="s">
        <v>1490</v>
      </c>
      <c r="N715" s="0" t="n">
        <v>102609621</v>
      </c>
      <c r="O715" s="0" t="n">
        <v>7486</v>
      </c>
      <c r="P715" s="0" t="n">
        <v>5649</v>
      </c>
      <c r="Q715" s="0" t="n">
        <v>102630373</v>
      </c>
    </row>
    <row r="716" customFormat="false" ht="15" hidden="false" customHeight="false" outlineLevel="0" collapsed="false">
      <c r="A716" s="0" t="s">
        <v>4179</v>
      </c>
      <c r="B716" s="0" t="s">
        <v>4180</v>
      </c>
      <c r="C716" s="0" t="s">
        <v>4181</v>
      </c>
      <c r="D716" s="0" t="s">
        <v>2385</v>
      </c>
      <c r="E716" s="0" t="n">
        <v>43331</v>
      </c>
      <c r="F716" s="0" t="s">
        <v>159</v>
      </c>
      <c r="G716" s="0" t="n">
        <v>21276694</v>
      </c>
      <c r="H716" s="0" t="n">
        <v>720195</v>
      </c>
      <c r="I716" s="0" t="s">
        <v>34</v>
      </c>
      <c r="J716" s="0" t="s">
        <v>174</v>
      </c>
      <c r="K716" s="0" t="s">
        <v>164</v>
      </c>
      <c r="L716" s="0" t="n">
        <v>223298805</v>
      </c>
      <c r="M716" s="0" t="s">
        <v>1493</v>
      </c>
      <c r="N716" s="0" t="n">
        <v>102630373</v>
      </c>
      <c r="O716" s="0" t="n">
        <v>5850</v>
      </c>
      <c r="P716" s="0" t="n">
        <v>2990</v>
      </c>
      <c r="Q716" s="0" t="n">
        <v>102630373</v>
      </c>
    </row>
    <row r="717" customFormat="false" ht="15" hidden="false" customHeight="false" outlineLevel="0" collapsed="false">
      <c r="A717" s="0" t="s">
        <v>4182</v>
      </c>
      <c r="B717" s="0" t="s">
        <v>4183</v>
      </c>
      <c r="C717" s="0" t="s">
        <v>4184</v>
      </c>
      <c r="D717" s="0" t="s">
        <v>2385</v>
      </c>
      <c r="E717" s="0" t="n">
        <v>43331</v>
      </c>
      <c r="F717" s="0" t="s">
        <v>159</v>
      </c>
      <c r="G717" s="0" t="n">
        <v>21276694</v>
      </c>
      <c r="H717" s="0" t="n">
        <v>720195</v>
      </c>
      <c r="I717" s="0" t="s">
        <v>34</v>
      </c>
      <c r="J717" s="0" t="s">
        <v>174</v>
      </c>
      <c r="K717" s="0" t="s">
        <v>165</v>
      </c>
      <c r="L717" s="0" t="n">
        <v>226269941</v>
      </c>
      <c r="M717" s="0" t="s">
        <v>1496</v>
      </c>
      <c r="N717" s="0" t="n">
        <v>104060547</v>
      </c>
      <c r="O717" s="0" t="n">
        <v>3960</v>
      </c>
      <c r="P717" s="0" t="n">
        <v>7491</v>
      </c>
      <c r="Q717" s="0" t="n">
        <v>104061321</v>
      </c>
    </row>
    <row r="718" customFormat="false" ht="15" hidden="false" customHeight="false" outlineLevel="0" collapsed="false">
      <c r="A718" s="0" t="e">
        <f aca="false">#N/A</f>
        <v>#N/A</v>
      </c>
      <c r="B718" s="0" t="s">
        <v>4185</v>
      </c>
      <c r="C718" s="0" t="s">
        <v>4186</v>
      </c>
      <c r="D718" s="0" t="s">
        <v>2385</v>
      </c>
      <c r="E718" s="0" t="n">
        <v>43332</v>
      </c>
      <c r="F718" s="0" t="s">
        <v>159</v>
      </c>
      <c r="G718" s="0" t="n">
        <v>21276694</v>
      </c>
      <c r="H718" s="0" t="n">
        <v>720195</v>
      </c>
      <c r="I718" s="0" t="s">
        <v>34</v>
      </c>
      <c r="J718" s="0" t="s">
        <v>174</v>
      </c>
      <c r="K718" s="0" t="s">
        <v>162</v>
      </c>
      <c r="L718" s="0" t="n">
        <v>223297413</v>
      </c>
      <c r="M718" s="0" t="s">
        <v>1490</v>
      </c>
      <c r="N718" s="0" t="n">
        <v>102609621</v>
      </c>
      <c r="O718" s="0" t="n">
        <v>7217</v>
      </c>
      <c r="P718" s="0" t="n">
        <v>4443</v>
      </c>
      <c r="Q718" s="0" t="e">
        <f aca="false">#N/A</f>
        <v>#N/A</v>
      </c>
    </row>
    <row r="719" customFormat="false" ht="15" hidden="false" customHeight="false" outlineLevel="0" collapsed="false">
      <c r="A719" s="0" t="s">
        <v>4187</v>
      </c>
      <c r="B719" s="0" t="s">
        <v>4188</v>
      </c>
      <c r="C719" s="0" t="s">
        <v>4189</v>
      </c>
      <c r="D719" s="0" t="s">
        <v>2385</v>
      </c>
      <c r="E719" s="0" t="n">
        <v>43332</v>
      </c>
      <c r="F719" s="0" t="s">
        <v>159</v>
      </c>
      <c r="G719" s="0" t="n">
        <v>21276694</v>
      </c>
      <c r="H719" s="0" t="n">
        <v>720195</v>
      </c>
      <c r="I719" s="0" t="s">
        <v>34</v>
      </c>
      <c r="J719" s="0" t="s">
        <v>174</v>
      </c>
      <c r="K719" s="0" t="s">
        <v>164</v>
      </c>
      <c r="L719" s="0" t="n">
        <v>223298805</v>
      </c>
      <c r="M719" s="0" t="s">
        <v>1493</v>
      </c>
      <c r="N719" s="0" t="n">
        <v>102630373</v>
      </c>
      <c r="O719" s="0" t="n">
        <v>9497</v>
      </c>
      <c r="P719" s="0" t="n">
        <v>4157</v>
      </c>
      <c r="Q719" s="0" t="n">
        <v>102609621</v>
      </c>
    </row>
    <row r="720" customFormat="false" ht="15" hidden="false" customHeight="false" outlineLevel="0" collapsed="false">
      <c r="A720" s="0" t="s">
        <v>4190</v>
      </c>
      <c r="B720" s="0" t="s">
        <v>4191</v>
      </c>
      <c r="C720" s="0" t="s">
        <v>4192</v>
      </c>
      <c r="D720" s="0" t="s">
        <v>2385</v>
      </c>
      <c r="E720" s="0" t="n">
        <v>43332</v>
      </c>
      <c r="F720" s="0" t="s">
        <v>159</v>
      </c>
      <c r="G720" s="0" t="n">
        <v>21276694</v>
      </c>
      <c r="H720" s="0" t="n">
        <v>720195</v>
      </c>
      <c r="I720" s="0" t="s">
        <v>34</v>
      </c>
      <c r="J720" s="0" t="s">
        <v>174</v>
      </c>
      <c r="K720" s="0" t="s">
        <v>165</v>
      </c>
      <c r="L720" s="0" t="n">
        <v>226269941</v>
      </c>
      <c r="M720" s="0" t="s">
        <v>1496</v>
      </c>
      <c r="N720" s="0" t="n">
        <v>104060547</v>
      </c>
      <c r="O720" s="0" t="n">
        <v>4271</v>
      </c>
      <c r="P720" s="0" t="n">
        <v>7297</v>
      </c>
      <c r="Q720" s="0" t="n">
        <v>104061321</v>
      </c>
    </row>
    <row r="721" customFormat="false" ht="15" hidden="false" customHeight="false" outlineLevel="0" collapsed="false">
      <c r="A721" s="0" t="s">
        <v>4193</v>
      </c>
      <c r="B721" s="0" t="s">
        <v>4194</v>
      </c>
      <c r="C721" s="0" t="s">
        <v>4195</v>
      </c>
      <c r="D721" s="0" t="s">
        <v>2385</v>
      </c>
      <c r="E721" s="0" t="n">
        <v>43332</v>
      </c>
      <c r="F721" s="0" t="s">
        <v>159</v>
      </c>
      <c r="G721" s="0" t="n">
        <v>21276694</v>
      </c>
      <c r="H721" s="0" t="n">
        <v>720195</v>
      </c>
      <c r="I721" s="0" t="s">
        <v>34</v>
      </c>
      <c r="J721" s="0" t="s">
        <v>174</v>
      </c>
      <c r="K721" s="0" t="s">
        <v>166</v>
      </c>
      <c r="L721" s="0" t="n">
        <v>227208508</v>
      </c>
      <c r="M721" s="0" t="s">
        <v>1493</v>
      </c>
      <c r="N721" s="0" t="n">
        <v>102630373</v>
      </c>
      <c r="O721" s="0" t="n">
        <v>0</v>
      </c>
      <c r="P721" s="0" t="n">
        <v>0</v>
      </c>
      <c r="Q721" s="0" t="n">
        <v>102630373</v>
      </c>
    </row>
    <row r="722" customFormat="false" ht="15" hidden="false" customHeight="false" outlineLevel="0" collapsed="false">
      <c r="A722" s="0" t="s">
        <v>4196</v>
      </c>
      <c r="B722" s="0" t="s">
        <v>4197</v>
      </c>
      <c r="C722" s="0" t="s">
        <v>4198</v>
      </c>
      <c r="D722" s="0" t="s">
        <v>2385</v>
      </c>
      <c r="E722" s="0" t="n">
        <v>43333</v>
      </c>
      <c r="F722" s="0" t="s">
        <v>159</v>
      </c>
      <c r="G722" s="0" t="n">
        <v>21276694</v>
      </c>
      <c r="H722" s="0" t="n">
        <v>720195</v>
      </c>
      <c r="I722" s="0" t="s">
        <v>34</v>
      </c>
      <c r="J722" s="0" t="s">
        <v>174</v>
      </c>
      <c r="K722" s="0" t="s">
        <v>162</v>
      </c>
      <c r="L722" s="0" t="n">
        <v>223297413</v>
      </c>
      <c r="M722" s="0" t="s">
        <v>1490</v>
      </c>
      <c r="N722" s="0" t="n">
        <v>102609621</v>
      </c>
      <c r="O722" s="0" t="n">
        <v>6971</v>
      </c>
      <c r="P722" s="0" t="n">
        <v>4120</v>
      </c>
      <c r="Q722" s="0" t="n">
        <v>102609621</v>
      </c>
    </row>
    <row r="723" customFormat="false" ht="15" hidden="false" customHeight="false" outlineLevel="0" collapsed="false">
      <c r="A723" s="0" t="s">
        <v>4199</v>
      </c>
      <c r="B723" s="0" t="s">
        <v>4200</v>
      </c>
      <c r="C723" s="0" t="s">
        <v>4201</v>
      </c>
      <c r="D723" s="0" t="s">
        <v>2385</v>
      </c>
      <c r="E723" s="0" t="n">
        <v>43333</v>
      </c>
      <c r="F723" s="0" t="s">
        <v>159</v>
      </c>
      <c r="G723" s="0" t="n">
        <v>21276694</v>
      </c>
      <c r="H723" s="0" t="n">
        <v>720195</v>
      </c>
      <c r="I723" s="0" t="s">
        <v>34</v>
      </c>
      <c r="J723" s="0" t="s">
        <v>174</v>
      </c>
      <c r="K723" s="0" t="s">
        <v>164</v>
      </c>
      <c r="L723" s="0" t="n">
        <v>223298805</v>
      </c>
      <c r="M723" s="0" t="s">
        <v>1493</v>
      </c>
      <c r="N723" s="0" t="n">
        <v>102630373</v>
      </c>
      <c r="O723" s="0" t="n">
        <v>8140</v>
      </c>
      <c r="P723" s="0" t="n">
        <v>4222</v>
      </c>
      <c r="Q723" s="0" t="n">
        <v>102609621</v>
      </c>
    </row>
    <row r="724" customFormat="false" ht="15" hidden="false" customHeight="false" outlineLevel="0" collapsed="false">
      <c r="A724" s="0" t="s">
        <v>4202</v>
      </c>
      <c r="B724" s="0" t="s">
        <v>4203</v>
      </c>
      <c r="C724" s="0" t="s">
        <v>4204</v>
      </c>
      <c r="D724" s="0" t="s">
        <v>2385</v>
      </c>
      <c r="E724" s="0" t="n">
        <v>43333</v>
      </c>
      <c r="F724" s="0" t="s">
        <v>159</v>
      </c>
      <c r="G724" s="0" t="n">
        <v>21276694</v>
      </c>
      <c r="H724" s="0" t="n">
        <v>720195</v>
      </c>
      <c r="I724" s="0" t="s">
        <v>34</v>
      </c>
      <c r="J724" s="0" t="s">
        <v>174</v>
      </c>
      <c r="K724" s="0" t="s">
        <v>165</v>
      </c>
      <c r="L724" s="0" t="n">
        <v>226269941</v>
      </c>
      <c r="M724" s="0" t="s">
        <v>1496</v>
      </c>
      <c r="N724" s="0" t="n">
        <v>104060547</v>
      </c>
      <c r="O724" s="0" t="n">
        <v>3714</v>
      </c>
      <c r="P724" s="0" t="n">
        <v>5972</v>
      </c>
      <c r="Q724" s="0" t="n">
        <v>104061321</v>
      </c>
    </row>
    <row r="725" customFormat="false" ht="15" hidden="false" customHeight="false" outlineLevel="0" collapsed="false">
      <c r="A725" s="0" t="e">
        <f aca="false">#N/A</f>
        <v>#N/A</v>
      </c>
      <c r="B725" s="0" t="s">
        <v>4205</v>
      </c>
      <c r="C725" s="0" t="s">
        <v>4206</v>
      </c>
      <c r="D725" s="0" t="s">
        <v>2385</v>
      </c>
      <c r="E725" s="0" t="n">
        <v>43333</v>
      </c>
      <c r="F725" s="0" t="s">
        <v>159</v>
      </c>
      <c r="G725" s="0" t="n">
        <v>21276694</v>
      </c>
      <c r="H725" s="0" t="n">
        <v>720195</v>
      </c>
      <c r="I725" s="0" t="s">
        <v>34</v>
      </c>
      <c r="J725" s="0" t="s">
        <v>174</v>
      </c>
      <c r="K725" s="0" t="s">
        <v>166</v>
      </c>
      <c r="L725" s="0" t="n">
        <v>227208508</v>
      </c>
      <c r="M725" s="0" t="s">
        <v>1493</v>
      </c>
      <c r="N725" s="0" t="n">
        <v>102630373</v>
      </c>
      <c r="O725" s="0" t="n">
        <v>2666</v>
      </c>
      <c r="P725" s="0" t="n">
        <v>1756</v>
      </c>
      <c r="Q725" s="0" t="e">
        <f aca="false">#N/A</f>
        <v>#N/A</v>
      </c>
    </row>
    <row r="726" customFormat="false" ht="15" hidden="false" customHeight="false" outlineLevel="0" collapsed="false">
      <c r="A726" s="0" t="s">
        <v>4207</v>
      </c>
      <c r="B726" s="0" t="s">
        <v>4208</v>
      </c>
      <c r="C726" s="0" t="s">
        <v>4209</v>
      </c>
      <c r="D726" s="0" t="s">
        <v>2385</v>
      </c>
      <c r="E726" s="0" t="n">
        <v>43334</v>
      </c>
      <c r="F726" s="0" t="s">
        <v>159</v>
      </c>
      <c r="G726" s="0" t="n">
        <v>21276694</v>
      </c>
      <c r="H726" s="0" t="n">
        <v>720195</v>
      </c>
      <c r="I726" s="0" t="s">
        <v>34</v>
      </c>
      <c r="J726" s="0" t="s">
        <v>174</v>
      </c>
      <c r="K726" s="0" t="s">
        <v>162</v>
      </c>
      <c r="L726" s="0" t="n">
        <v>223297413</v>
      </c>
      <c r="M726" s="0" t="s">
        <v>1490</v>
      </c>
      <c r="N726" s="0" t="n">
        <v>102609621</v>
      </c>
      <c r="O726" s="0" t="n">
        <v>4720</v>
      </c>
      <c r="P726" s="0" t="n">
        <v>3496</v>
      </c>
      <c r="Q726" s="0" t="n">
        <v>102609621</v>
      </c>
    </row>
    <row r="727" customFormat="false" ht="15" hidden="false" customHeight="false" outlineLevel="0" collapsed="false">
      <c r="A727" s="0" t="s">
        <v>4210</v>
      </c>
      <c r="B727" s="0" t="s">
        <v>4211</v>
      </c>
      <c r="C727" s="0" t="s">
        <v>4212</v>
      </c>
      <c r="D727" s="0" t="s">
        <v>2385</v>
      </c>
      <c r="E727" s="0" t="n">
        <v>43334</v>
      </c>
      <c r="F727" s="0" t="s">
        <v>159</v>
      </c>
      <c r="G727" s="0" t="n">
        <v>21276694</v>
      </c>
      <c r="H727" s="0" t="n">
        <v>720195</v>
      </c>
      <c r="I727" s="0" t="s">
        <v>34</v>
      </c>
      <c r="J727" s="0" t="s">
        <v>174</v>
      </c>
      <c r="K727" s="0" t="s">
        <v>164</v>
      </c>
      <c r="L727" s="0" t="n">
        <v>223298805</v>
      </c>
      <c r="M727" s="0" t="s">
        <v>1493</v>
      </c>
      <c r="N727" s="0" t="n">
        <v>102630373</v>
      </c>
      <c r="O727" s="0" t="n">
        <v>3960</v>
      </c>
      <c r="P727" s="0" t="n">
        <v>2120</v>
      </c>
      <c r="Q727" s="0" t="n">
        <v>102630373</v>
      </c>
    </row>
    <row r="728" customFormat="false" ht="15" hidden="false" customHeight="false" outlineLevel="0" collapsed="false">
      <c r="A728" s="0" t="s">
        <v>4213</v>
      </c>
      <c r="B728" s="0" t="s">
        <v>4214</v>
      </c>
      <c r="C728" s="0" t="s">
        <v>4215</v>
      </c>
      <c r="D728" s="0" t="s">
        <v>2385</v>
      </c>
      <c r="E728" s="0" t="n">
        <v>43334</v>
      </c>
      <c r="F728" s="0" t="s">
        <v>159</v>
      </c>
      <c r="G728" s="0" t="n">
        <v>21276694</v>
      </c>
      <c r="H728" s="0" t="n">
        <v>720195</v>
      </c>
      <c r="I728" s="0" t="s">
        <v>34</v>
      </c>
      <c r="J728" s="0" t="s">
        <v>174</v>
      </c>
      <c r="K728" s="0" t="s">
        <v>165</v>
      </c>
      <c r="L728" s="0" t="n">
        <v>226269941</v>
      </c>
      <c r="M728" s="0" t="s">
        <v>1496</v>
      </c>
      <c r="N728" s="0" t="n">
        <v>104060547</v>
      </c>
      <c r="O728" s="0" t="n">
        <v>4443</v>
      </c>
      <c r="P728" s="0" t="n">
        <v>7170</v>
      </c>
      <c r="Q728" s="0" t="n">
        <v>104061321</v>
      </c>
    </row>
    <row r="729" customFormat="false" ht="15" hidden="false" customHeight="false" outlineLevel="0" collapsed="false">
      <c r="A729" s="0" t="s">
        <v>4216</v>
      </c>
      <c r="B729" s="0" t="s">
        <v>4217</v>
      </c>
      <c r="C729" s="0" t="s">
        <v>4218</v>
      </c>
      <c r="D729" s="0" t="s">
        <v>2385</v>
      </c>
      <c r="E729" s="0" t="n">
        <v>43334</v>
      </c>
      <c r="F729" s="0" t="s">
        <v>159</v>
      </c>
      <c r="G729" s="0" t="n">
        <v>21276694</v>
      </c>
      <c r="H729" s="0" t="n">
        <v>720195</v>
      </c>
      <c r="I729" s="0" t="s">
        <v>34</v>
      </c>
      <c r="J729" s="0" t="s">
        <v>174</v>
      </c>
      <c r="K729" s="0" t="s">
        <v>166</v>
      </c>
      <c r="L729" s="0" t="n">
        <v>227208508</v>
      </c>
      <c r="M729" s="0" t="s">
        <v>1493</v>
      </c>
      <c r="N729" s="0" t="n">
        <v>102630373</v>
      </c>
      <c r="O729" s="0" t="n">
        <v>4329</v>
      </c>
      <c r="P729" s="0" t="n">
        <v>3252</v>
      </c>
      <c r="Q729" s="0" t="n">
        <v>102609621</v>
      </c>
    </row>
    <row r="730" customFormat="false" ht="15" hidden="false" customHeight="false" outlineLevel="0" collapsed="false">
      <c r="A730" s="0" t="s">
        <v>4219</v>
      </c>
      <c r="B730" s="0" t="s">
        <v>4220</v>
      </c>
      <c r="C730" s="0" t="s">
        <v>4221</v>
      </c>
      <c r="D730" s="0" t="s">
        <v>2385</v>
      </c>
      <c r="E730" s="0" t="n">
        <v>43335</v>
      </c>
      <c r="F730" s="0" t="s">
        <v>159</v>
      </c>
      <c r="G730" s="0" t="n">
        <v>21276694</v>
      </c>
      <c r="H730" s="0" t="n">
        <v>720195</v>
      </c>
      <c r="I730" s="0" t="s">
        <v>34</v>
      </c>
      <c r="J730" s="0" t="s">
        <v>174</v>
      </c>
      <c r="K730" s="0" t="s">
        <v>162</v>
      </c>
      <c r="L730" s="0" t="n">
        <v>223297413</v>
      </c>
      <c r="M730" s="0" t="s">
        <v>1490</v>
      </c>
      <c r="N730" s="0" t="n">
        <v>102609621</v>
      </c>
      <c r="O730" s="0" t="n">
        <v>6206</v>
      </c>
      <c r="P730" s="0" t="n">
        <v>4741</v>
      </c>
      <c r="Q730" s="0" t="n">
        <v>102609621</v>
      </c>
    </row>
    <row r="731" customFormat="false" ht="15" hidden="false" customHeight="false" outlineLevel="0" collapsed="false">
      <c r="A731" s="0" t="s">
        <v>4222</v>
      </c>
      <c r="B731" s="0" t="s">
        <v>4223</v>
      </c>
      <c r="C731" s="0" t="s">
        <v>4224</v>
      </c>
      <c r="D731" s="0" t="s">
        <v>2385</v>
      </c>
      <c r="E731" s="0" t="n">
        <v>43335</v>
      </c>
      <c r="F731" s="0" t="s">
        <v>159</v>
      </c>
      <c r="G731" s="0" t="n">
        <v>21276694</v>
      </c>
      <c r="H731" s="0" t="n">
        <v>720195</v>
      </c>
      <c r="I731" s="0" t="s">
        <v>34</v>
      </c>
      <c r="J731" s="0" t="s">
        <v>174</v>
      </c>
      <c r="K731" s="0" t="s">
        <v>164</v>
      </c>
      <c r="L731" s="0" t="n">
        <v>223298805</v>
      </c>
      <c r="M731" s="0" t="s">
        <v>1493</v>
      </c>
      <c r="N731" s="0" t="n">
        <v>102630373</v>
      </c>
      <c r="O731" s="0" t="n">
        <v>5604</v>
      </c>
      <c r="P731" s="0" t="n">
        <v>4084</v>
      </c>
      <c r="Q731" s="0" t="n">
        <v>102630373</v>
      </c>
    </row>
    <row r="732" customFormat="false" ht="15" hidden="false" customHeight="false" outlineLevel="0" collapsed="false">
      <c r="A732" s="0" t="s">
        <v>4225</v>
      </c>
      <c r="B732" s="0" t="s">
        <v>4226</v>
      </c>
      <c r="C732" s="0" t="s">
        <v>4227</v>
      </c>
      <c r="D732" s="0" t="s">
        <v>2385</v>
      </c>
      <c r="E732" s="0" t="n">
        <v>43335</v>
      </c>
      <c r="F732" s="0" t="s">
        <v>159</v>
      </c>
      <c r="G732" s="0" t="n">
        <v>21276694</v>
      </c>
      <c r="H732" s="0" t="n">
        <v>720195</v>
      </c>
      <c r="I732" s="0" t="s">
        <v>34</v>
      </c>
      <c r="J732" s="0" t="s">
        <v>174</v>
      </c>
      <c r="K732" s="0" t="s">
        <v>165</v>
      </c>
      <c r="L732" s="0" t="n">
        <v>226269941</v>
      </c>
      <c r="M732" s="0" t="s">
        <v>1496</v>
      </c>
      <c r="N732" s="0" t="n">
        <v>104060547</v>
      </c>
      <c r="O732" s="0" t="n">
        <v>3636</v>
      </c>
      <c r="P732" s="0" t="n">
        <v>5579</v>
      </c>
      <c r="Q732" s="0" t="n">
        <v>104060547</v>
      </c>
    </row>
    <row r="733" customFormat="false" ht="15" hidden="false" customHeight="false" outlineLevel="0" collapsed="false">
      <c r="A733" s="0" t="s">
        <v>4228</v>
      </c>
      <c r="B733" s="0" t="s">
        <v>4229</v>
      </c>
      <c r="C733" s="0" t="s">
        <v>4230</v>
      </c>
      <c r="D733" s="0" t="s">
        <v>2385</v>
      </c>
      <c r="E733" s="0" t="n">
        <v>43335</v>
      </c>
      <c r="F733" s="0" t="s">
        <v>159</v>
      </c>
      <c r="G733" s="0" t="n">
        <v>21276694</v>
      </c>
      <c r="H733" s="0" t="n">
        <v>720195</v>
      </c>
      <c r="I733" s="0" t="s">
        <v>34</v>
      </c>
      <c r="J733" s="0" t="s">
        <v>174</v>
      </c>
      <c r="K733" s="0" t="s">
        <v>166</v>
      </c>
      <c r="L733" s="0" t="n">
        <v>227208508</v>
      </c>
      <c r="M733" s="0" t="s">
        <v>1493</v>
      </c>
      <c r="N733" s="0" t="n">
        <v>102630373</v>
      </c>
      <c r="O733" s="0" t="n">
        <v>2670</v>
      </c>
      <c r="P733" s="0" t="n">
        <v>1688</v>
      </c>
      <c r="Q733" s="0" t="n">
        <v>102630373</v>
      </c>
    </row>
    <row r="734" customFormat="false" ht="15" hidden="false" customHeight="false" outlineLevel="0" collapsed="false">
      <c r="A734" s="0" t="s">
        <v>4231</v>
      </c>
      <c r="B734" s="0" t="s">
        <v>4232</v>
      </c>
      <c r="C734" s="0" t="s">
        <v>4233</v>
      </c>
      <c r="D734" s="0" t="s">
        <v>2385</v>
      </c>
      <c r="E734" s="0" t="n">
        <v>43336</v>
      </c>
      <c r="F734" s="0" t="s">
        <v>159</v>
      </c>
      <c r="G734" s="0" t="n">
        <v>21276694</v>
      </c>
      <c r="H734" s="0" t="n">
        <v>720195</v>
      </c>
      <c r="I734" s="0" t="s">
        <v>34</v>
      </c>
      <c r="J734" s="0" t="s">
        <v>174</v>
      </c>
      <c r="K734" s="0" t="s">
        <v>162</v>
      </c>
      <c r="L734" s="0" t="n">
        <v>223297413</v>
      </c>
      <c r="M734" s="0" t="s">
        <v>1490</v>
      </c>
      <c r="N734" s="0" t="n">
        <v>102609621</v>
      </c>
      <c r="O734" s="0" t="n">
        <v>6106</v>
      </c>
      <c r="P734" s="0" t="n">
        <v>4657</v>
      </c>
      <c r="Q734" s="0" t="n">
        <v>102609621</v>
      </c>
    </row>
    <row r="735" customFormat="false" ht="15" hidden="false" customHeight="false" outlineLevel="0" collapsed="false">
      <c r="A735" s="0" t="s">
        <v>4234</v>
      </c>
      <c r="B735" s="0" t="s">
        <v>4235</v>
      </c>
      <c r="C735" s="0" t="s">
        <v>4236</v>
      </c>
      <c r="D735" s="0" t="s">
        <v>2385</v>
      </c>
      <c r="E735" s="0" t="n">
        <v>43336</v>
      </c>
      <c r="F735" s="0" t="s">
        <v>159</v>
      </c>
      <c r="G735" s="0" t="n">
        <v>21276694</v>
      </c>
      <c r="H735" s="0" t="n">
        <v>720195</v>
      </c>
      <c r="I735" s="0" t="s">
        <v>34</v>
      </c>
      <c r="J735" s="0" t="s">
        <v>174</v>
      </c>
      <c r="K735" s="0" t="s">
        <v>164</v>
      </c>
      <c r="L735" s="0" t="n">
        <v>223298805</v>
      </c>
      <c r="M735" s="0" t="s">
        <v>1493</v>
      </c>
      <c r="N735" s="0" t="n">
        <v>102630373</v>
      </c>
      <c r="O735" s="0" t="n">
        <v>9629</v>
      </c>
      <c r="P735" s="0" t="n">
        <v>7376</v>
      </c>
      <c r="Q735" s="0" t="n">
        <v>102630373</v>
      </c>
    </row>
    <row r="736" customFormat="false" ht="15" hidden="false" customHeight="false" outlineLevel="0" collapsed="false">
      <c r="A736" s="0" t="s">
        <v>4237</v>
      </c>
      <c r="B736" s="0" t="s">
        <v>4238</v>
      </c>
      <c r="C736" s="0" t="s">
        <v>4239</v>
      </c>
      <c r="D736" s="0" t="s">
        <v>2385</v>
      </c>
      <c r="E736" s="0" t="n">
        <v>43336</v>
      </c>
      <c r="F736" s="0" t="s">
        <v>159</v>
      </c>
      <c r="G736" s="0" t="n">
        <v>21276694</v>
      </c>
      <c r="H736" s="0" t="n">
        <v>720195</v>
      </c>
      <c r="I736" s="0" t="s">
        <v>34</v>
      </c>
      <c r="J736" s="0" t="s">
        <v>174</v>
      </c>
      <c r="K736" s="0" t="s">
        <v>165</v>
      </c>
      <c r="L736" s="0" t="n">
        <v>226269941</v>
      </c>
      <c r="M736" s="0" t="s">
        <v>1496</v>
      </c>
      <c r="N736" s="0" t="n">
        <v>104060547</v>
      </c>
      <c r="O736" s="0" t="n">
        <v>2391</v>
      </c>
      <c r="P736" s="0" t="n">
        <v>3124</v>
      </c>
      <c r="Q736" s="0" t="n">
        <v>104061321</v>
      </c>
    </row>
    <row r="737" customFormat="false" ht="15" hidden="false" customHeight="false" outlineLevel="0" collapsed="false">
      <c r="A737" s="0" t="e">
        <f aca="false">#N/A</f>
        <v>#N/A</v>
      </c>
      <c r="B737" s="0" t="s">
        <v>4240</v>
      </c>
      <c r="C737" s="0" t="s">
        <v>4241</v>
      </c>
      <c r="D737" s="0" t="s">
        <v>2385</v>
      </c>
      <c r="E737" s="0" t="n">
        <v>43336</v>
      </c>
      <c r="F737" s="0" t="s">
        <v>159</v>
      </c>
      <c r="G737" s="0" t="n">
        <v>21276694</v>
      </c>
      <c r="H737" s="0" t="n">
        <v>720195</v>
      </c>
      <c r="I737" s="0" t="s">
        <v>34</v>
      </c>
      <c r="J737" s="0" t="s">
        <v>174</v>
      </c>
      <c r="K737" s="0" t="s">
        <v>166</v>
      </c>
      <c r="L737" s="0" t="n">
        <v>227208508</v>
      </c>
      <c r="M737" s="0" t="s">
        <v>1493</v>
      </c>
      <c r="N737" s="0" t="n">
        <v>102630373</v>
      </c>
      <c r="O737" s="0" t="n">
        <v>1602</v>
      </c>
      <c r="P737" s="0" t="n">
        <v>928</v>
      </c>
      <c r="Q737" s="0" t="e">
        <f aca="false">#N/A</f>
        <v>#N/A</v>
      </c>
    </row>
    <row r="738" customFormat="false" ht="15" hidden="false" customHeight="false" outlineLevel="0" collapsed="false">
      <c r="A738" s="0" t="s">
        <v>4242</v>
      </c>
      <c r="B738" s="0" t="s">
        <v>4243</v>
      </c>
      <c r="C738" s="0" t="s">
        <v>4244</v>
      </c>
      <c r="D738" s="0" t="s">
        <v>2385</v>
      </c>
      <c r="E738" s="0" t="n">
        <v>43337</v>
      </c>
      <c r="F738" s="0" t="s">
        <v>159</v>
      </c>
      <c r="G738" s="0" t="n">
        <v>21276694</v>
      </c>
      <c r="H738" s="0" t="n">
        <v>720195</v>
      </c>
      <c r="I738" s="0" t="s">
        <v>34</v>
      </c>
      <c r="J738" s="0" t="s">
        <v>174</v>
      </c>
      <c r="K738" s="0" t="s">
        <v>162</v>
      </c>
      <c r="L738" s="0" t="n">
        <v>223297413</v>
      </c>
      <c r="M738" s="0" t="s">
        <v>1490</v>
      </c>
      <c r="N738" s="0" t="n">
        <v>102609621</v>
      </c>
      <c r="O738" s="0" t="n">
        <v>3658</v>
      </c>
      <c r="P738" s="0" t="n">
        <v>3068</v>
      </c>
      <c r="Q738" s="0" t="n">
        <v>102630373</v>
      </c>
    </row>
    <row r="739" customFormat="false" ht="15" hidden="false" customHeight="false" outlineLevel="0" collapsed="false">
      <c r="A739" s="0" t="s">
        <v>4245</v>
      </c>
      <c r="B739" s="0" t="s">
        <v>4246</v>
      </c>
      <c r="C739" s="0" t="s">
        <v>4247</v>
      </c>
      <c r="D739" s="0" t="s">
        <v>2385</v>
      </c>
      <c r="E739" s="0" t="n">
        <v>43337</v>
      </c>
      <c r="F739" s="0" t="s">
        <v>159</v>
      </c>
      <c r="G739" s="0" t="n">
        <v>21276694</v>
      </c>
      <c r="H739" s="0" t="n">
        <v>720195</v>
      </c>
      <c r="I739" s="0" t="s">
        <v>34</v>
      </c>
      <c r="J739" s="0" t="s">
        <v>174</v>
      </c>
      <c r="K739" s="0" t="s">
        <v>164</v>
      </c>
      <c r="L739" s="0" t="n">
        <v>223298805</v>
      </c>
      <c r="M739" s="0" t="s">
        <v>1493</v>
      </c>
      <c r="N739" s="0" t="n">
        <v>102630373</v>
      </c>
      <c r="O739" s="0" t="n">
        <v>8867</v>
      </c>
      <c r="P739" s="0" t="n">
        <v>7984</v>
      </c>
      <c r="Q739" s="0" t="n">
        <v>102609621</v>
      </c>
    </row>
    <row r="740" customFormat="false" ht="15" hidden="false" customHeight="false" outlineLevel="0" collapsed="false">
      <c r="A740" s="0" t="s">
        <v>4248</v>
      </c>
      <c r="B740" s="0" t="s">
        <v>4249</v>
      </c>
      <c r="C740" s="0" t="s">
        <v>4250</v>
      </c>
      <c r="D740" s="0" t="s">
        <v>2385</v>
      </c>
      <c r="E740" s="0" t="n">
        <v>43337</v>
      </c>
      <c r="F740" s="0" t="s">
        <v>159</v>
      </c>
      <c r="G740" s="0" t="n">
        <v>21276694</v>
      </c>
      <c r="H740" s="0" t="n">
        <v>720195</v>
      </c>
      <c r="I740" s="0" t="s">
        <v>34</v>
      </c>
      <c r="J740" s="0" t="s">
        <v>174</v>
      </c>
      <c r="K740" s="0" t="s">
        <v>165</v>
      </c>
      <c r="L740" s="0" t="n">
        <v>226269941</v>
      </c>
      <c r="M740" s="0" t="s">
        <v>1496</v>
      </c>
      <c r="N740" s="0" t="n">
        <v>104060547</v>
      </c>
      <c r="O740" s="0" t="n">
        <v>2448</v>
      </c>
      <c r="P740" s="0" t="n">
        <v>3430</v>
      </c>
      <c r="Q740" s="0" t="n">
        <v>104061321</v>
      </c>
    </row>
    <row r="741" customFormat="false" ht="15" hidden="false" customHeight="false" outlineLevel="0" collapsed="false">
      <c r="A741" s="0" t="e">
        <f aca="false">#N/A</f>
        <v>#N/A</v>
      </c>
      <c r="B741" s="0" t="s">
        <v>4251</v>
      </c>
      <c r="C741" s="0" t="s">
        <v>4252</v>
      </c>
      <c r="D741" s="0" t="s">
        <v>2385</v>
      </c>
      <c r="E741" s="0" t="n">
        <v>43337</v>
      </c>
      <c r="F741" s="0" t="s">
        <v>159</v>
      </c>
      <c r="G741" s="0" t="n">
        <v>21276694</v>
      </c>
      <c r="H741" s="0" t="n">
        <v>720195</v>
      </c>
      <c r="I741" s="0" t="s">
        <v>34</v>
      </c>
      <c r="J741" s="0" t="s">
        <v>174</v>
      </c>
      <c r="K741" s="0" t="s">
        <v>166</v>
      </c>
      <c r="L741" s="0" t="n">
        <v>227208508</v>
      </c>
      <c r="M741" s="0" t="s">
        <v>1493</v>
      </c>
      <c r="N741" s="0" t="n">
        <v>102630373</v>
      </c>
      <c r="O741" s="0" t="n">
        <v>2219</v>
      </c>
      <c r="P741" s="0" t="n">
        <v>1206</v>
      </c>
      <c r="Q741" s="0" t="e">
        <f aca="false">#N/A</f>
        <v>#N/A</v>
      </c>
    </row>
    <row r="742" customFormat="false" ht="15" hidden="false" customHeight="false" outlineLevel="0" collapsed="false">
      <c r="A742" s="0" t="s">
        <v>4253</v>
      </c>
      <c r="B742" s="0" t="s">
        <v>4254</v>
      </c>
      <c r="C742" s="0" t="s">
        <v>4255</v>
      </c>
      <c r="D742" s="0" t="s">
        <v>2385</v>
      </c>
      <c r="E742" s="0" t="n">
        <v>43331</v>
      </c>
      <c r="F742" s="0" t="s">
        <v>42</v>
      </c>
      <c r="G742" s="0" t="n">
        <v>21337013</v>
      </c>
      <c r="H742" s="0" t="n">
        <v>720196</v>
      </c>
      <c r="I742" s="0" t="s">
        <v>34</v>
      </c>
      <c r="J742" s="0" t="s">
        <v>174</v>
      </c>
      <c r="K742" s="0" t="s">
        <v>47</v>
      </c>
      <c r="L742" s="0" t="n">
        <v>223560299</v>
      </c>
      <c r="M742" s="0" t="s">
        <v>205</v>
      </c>
      <c r="N742" s="0" t="n">
        <v>102854019</v>
      </c>
      <c r="O742" s="0" t="n">
        <v>682.28</v>
      </c>
      <c r="P742" s="0" t="n">
        <v>12.7</v>
      </c>
      <c r="Q742" s="0" t="n">
        <v>102854019</v>
      </c>
    </row>
    <row r="743" customFormat="false" ht="15" hidden="false" customHeight="false" outlineLevel="0" collapsed="false">
      <c r="A743" s="0" t="s">
        <v>4256</v>
      </c>
      <c r="B743" s="0" t="s">
        <v>4257</v>
      </c>
      <c r="C743" s="0" t="s">
        <v>4258</v>
      </c>
      <c r="D743" s="0" t="s">
        <v>2385</v>
      </c>
      <c r="E743" s="0" t="n">
        <v>43331</v>
      </c>
      <c r="F743" s="0" t="s">
        <v>42</v>
      </c>
      <c r="G743" s="0" t="n">
        <v>21337013</v>
      </c>
      <c r="H743" s="0" t="n">
        <v>720196</v>
      </c>
      <c r="I743" s="0" t="s">
        <v>34</v>
      </c>
      <c r="J743" s="0" t="s">
        <v>174</v>
      </c>
      <c r="K743" s="0" t="s">
        <v>50</v>
      </c>
      <c r="L743" s="0" t="n">
        <v>223560332</v>
      </c>
      <c r="M743" s="0" t="s">
        <v>208</v>
      </c>
      <c r="N743" s="0" t="n">
        <v>102854037</v>
      </c>
      <c r="O743" s="0" t="n">
        <v>682.28</v>
      </c>
      <c r="P743" s="0" t="n">
        <v>12.7</v>
      </c>
      <c r="Q743" s="0" t="n">
        <v>102854037</v>
      </c>
    </row>
    <row r="744" customFormat="false" ht="15" hidden="false" customHeight="false" outlineLevel="0" collapsed="false">
      <c r="A744" s="0" t="s">
        <v>4259</v>
      </c>
      <c r="B744" s="0" t="s">
        <v>4260</v>
      </c>
      <c r="C744" s="0" t="s">
        <v>4261</v>
      </c>
      <c r="D744" s="0" t="s">
        <v>2385</v>
      </c>
      <c r="E744" s="0" t="n">
        <v>43331</v>
      </c>
      <c r="F744" s="0" t="s">
        <v>42</v>
      </c>
      <c r="G744" s="0" t="n">
        <v>21337013</v>
      </c>
      <c r="H744" s="0" t="n">
        <v>720196</v>
      </c>
      <c r="I744" s="0" t="s">
        <v>34</v>
      </c>
      <c r="J744" s="0" t="s">
        <v>174</v>
      </c>
      <c r="K744" s="0" t="s">
        <v>51</v>
      </c>
      <c r="L744" s="0" t="n">
        <v>223560338</v>
      </c>
      <c r="M744" s="0" t="s">
        <v>211</v>
      </c>
      <c r="N744" s="0" t="n">
        <v>102853603</v>
      </c>
      <c r="O744" s="0" t="n">
        <v>682.28</v>
      </c>
      <c r="P744" s="0" t="n">
        <v>12.7</v>
      </c>
      <c r="Q744" s="0" t="n">
        <v>102853603</v>
      </c>
    </row>
    <row r="745" customFormat="false" ht="15" hidden="false" customHeight="false" outlineLevel="0" collapsed="false">
      <c r="A745" s="0" t="s">
        <v>4262</v>
      </c>
      <c r="B745" s="0" t="s">
        <v>4263</v>
      </c>
      <c r="C745" s="0" t="s">
        <v>4264</v>
      </c>
      <c r="D745" s="0" t="s">
        <v>2385</v>
      </c>
      <c r="E745" s="0" t="n">
        <v>43331</v>
      </c>
      <c r="F745" s="0" t="s">
        <v>42</v>
      </c>
      <c r="G745" s="0" t="n">
        <v>21337013</v>
      </c>
      <c r="H745" s="0" t="n">
        <v>720196</v>
      </c>
      <c r="I745" s="0" t="s">
        <v>34</v>
      </c>
      <c r="J745" s="0" t="s">
        <v>174</v>
      </c>
      <c r="K745" s="0" t="s">
        <v>52</v>
      </c>
      <c r="L745" s="0" t="n">
        <v>223560344</v>
      </c>
      <c r="M745" s="0" t="s">
        <v>214</v>
      </c>
      <c r="N745" s="0" t="n">
        <v>102861246</v>
      </c>
      <c r="O745" s="0" t="n">
        <v>682.28</v>
      </c>
      <c r="P745" s="0" t="n">
        <v>12.7</v>
      </c>
      <c r="Q745" s="0" t="n">
        <v>102861246</v>
      </c>
    </row>
    <row r="746" customFormat="false" ht="15" hidden="false" customHeight="false" outlineLevel="0" collapsed="false">
      <c r="A746" s="0" t="s">
        <v>4265</v>
      </c>
      <c r="B746" s="0" t="s">
        <v>4266</v>
      </c>
      <c r="C746" s="0" t="s">
        <v>4267</v>
      </c>
      <c r="D746" s="0" t="s">
        <v>2385</v>
      </c>
      <c r="E746" s="0" t="n">
        <v>43331</v>
      </c>
      <c r="F746" s="0" t="s">
        <v>42</v>
      </c>
      <c r="G746" s="0" t="n">
        <v>21337013</v>
      </c>
      <c r="H746" s="0" t="n">
        <v>720196</v>
      </c>
      <c r="I746" s="0" t="s">
        <v>34</v>
      </c>
      <c r="J746" s="0" t="s">
        <v>174</v>
      </c>
      <c r="K746" s="0" t="s">
        <v>53</v>
      </c>
      <c r="L746" s="0" t="n">
        <v>223560350</v>
      </c>
      <c r="M746" s="0" t="s">
        <v>217</v>
      </c>
      <c r="N746" s="0" t="n">
        <v>103006547</v>
      </c>
      <c r="O746" s="0" t="n">
        <v>682.28</v>
      </c>
      <c r="P746" s="0" t="n">
        <v>12.7</v>
      </c>
      <c r="Q746" s="0" t="n">
        <v>103006547</v>
      </c>
    </row>
    <row r="747" customFormat="false" ht="15" hidden="false" customHeight="false" outlineLevel="0" collapsed="false">
      <c r="A747" s="0" t="s">
        <v>4268</v>
      </c>
      <c r="B747" s="0" t="s">
        <v>4269</v>
      </c>
      <c r="C747" s="0" t="s">
        <v>4270</v>
      </c>
      <c r="D747" s="0" t="s">
        <v>2385</v>
      </c>
      <c r="E747" s="0" t="n">
        <v>43331</v>
      </c>
      <c r="F747" s="0" t="s">
        <v>42</v>
      </c>
      <c r="G747" s="0" t="n">
        <v>21337013</v>
      </c>
      <c r="H747" s="0" t="n">
        <v>720196</v>
      </c>
      <c r="I747" s="0" t="s">
        <v>34</v>
      </c>
      <c r="J747" s="0" t="s">
        <v>174</v>
      </c>
      <c r="K747" s="0" t="s">
        <v>54</v>
      </c>
      <c r="L747" s="0" t="n">
        <v>223560356</v>
      </c>
      <c r="M747" s="0" t="s">
        <v>220</v>
      </c>
      <c r="N747" s="0" t="n">
        <v>102854016</v>
      </c>
      <c r="O747" s="0" t="n">
        <v>682.28</v>
      </c>
      <c r="P747" s="0" t="n">
        <v>12.7</v>
      </c>
      <c r="Q747" s="0" t="n">
        <v>102854016</v>
      </c>
    </row>
    <row r="748" customFormat="false" ht="15" hidden="false" customHeight="false" outlineLevel="0" collapsed="false">
      <c r="A748" s="0" t="s">
        <v>4271</v>
      </c>
      <c r="B748" s="0" t="s">
        <v>4272</v>
      </c>
      <c r="C748" s="0" t="s">
        <v>4273</v>
      </c>
      <c r="D748" s="0" t="s">
        <v>2385</v>
      </c>
      <c r="E748" s="0" t="n">
        <v>43331</v>
      </c>
      <c r="F748" s="0" t="s">
        <v>42</v>
      </c>
      <c r="G748" s="0" t="n">
        <v>21337013</v>
      </c>
      <c r="H748" s="0" t="n">
        <v>720196</v>
      </c>
      <c r="I748" s="0" t="s">
        <v>34</v>
      </c>
      <c r="J748" s="0" t="s">
        <v>174</v>
      </c>
      <c r="K748" s="0" t="s">
        <v>56</v>
      </c>
      <c r="L748" s="0" t="n">
        <v>224334170</v>
      </c>
      <c r="M748" s="0" t="s">
        <v>223</v>
      </c>
      <c r="N748" s="0" t="n">
        <v>103230847</v>
      </c>
      <c r="O748" s="0" t="n">
        <v>6678.54</v>
      </c>
      <c r="P748" s="0" t="n">
        <v>81.78</v>
      </c>
      <c r="Q748" s="0" t="n">
        <v>103230847</v>
      </c>
    </row>
    <row r="749" customFormat="false" ht="15" hidden="false" customHeight="false" outlineLevel="0" collapsed="false">
      <c r="A749" s="0" t="s">
        <v>4274</v>
      </c>
      <c r="B749" s="0" t="s">
        <v>4275</v>
      </c>
      <c r="C749" s="0" t="s">
        <v>4276</v>
      </c>
      <c r="D749" s="0" t="s">
        <v>2385</v>
      </c>
      <c r="E749" s="0" t="n">
        <v>43331</v>
      </c>
      <c r="F749" s="0" t="s">
        <v>42</v>
      </c>
      <c r="G749" s="0" t="n">
        <v>21337013</v>
      </c>
      <c r="H749" s="0" t="n">
        <v>720196</v>
      </c>
      <c r="I749" s="0" t="s">
        <v>34</v>
      </c>
      <c r="J749" s="0" t="s">
        <v>174</v>
      </c>
      <c r="K749" s="0" t="s">
        <v>57</v>
      </c>
      <c r="L749" s="0" t="n">
        <v>224399962</v>
      </c>
      <c r="M749" s="0" t="s">
        <v>223</v>
      </c>
      <c r="N749" s="0" t="n">
        <v>103230847</v>
      </c>
      <c r="O749" s="0" t="n">
        <v>3339.27</v>
      </c>
      <c r="P749" s="0" t="n">
        <v>40.89</v>
      </c>
      <c r="Q749" s="0" t="n">
        <v>103235146</v>
      </c>
    </row>
    <row r="750" customFormat="false" ht="15" hidden="false" customHeight="false" outlineLevel="0" collapsed="false">
      <c r="A750" s="0" t="s">
        <v>4277</v>
      </c>
      <c r="B750" s="0" t="s">
        <v>4278</v>
      </c>
      <c r="C750" s="0" t="s">
        <v>4279</v>
      </c>
      <c r="D750" s="0" t="s">
        <v>2385</v>
      </c>
      <c r="E750" s="0" t="n">
        <v>43331</v>
      </c>
      <c r="F750" s="0" t="s">
        <v>42</v>
      </c>
      <c r="G750" s="0" t="n">
        <v>21337013</v>
      </c>
      <c r="H750" s="0" t="n">
        <v>720196</v>
      </c>
      <c r="I750" s="0" t="s">
        <v>34</v>
      </c>
      <c r="J750" s="0" t="s">
        <v>174</v>
      </c>
      <c r="K750" s="0" t="s">
        <v>58</v>
      </c>
      <c r="L750" s="0" t="n">
        <v>224549481</v>
      </c>
      <c r="M750" s="0" t="s">
        <v>223</v>
      </c>
      <c r="N750" s="0" t="n">
        <v>103230847</v>
      </c>
      <c r="O750" s="0" t="n">
        <v>3339.27</v>
      </c>
      <c r="P750" s="0" t="n">
        <v>40.89</v>
      </c>
      <c r="Q750" s="0" t="n">
        <v>103235146</v>
      </c>
    </row>
    <row r="751" customFormat="false" ht="15" hidden="false" customHeight="false" outlineLevel="0" collapsed="false">
      <c r="A751" s="0" t="s">
        <v>4280</v>
      </c>
      <c r="B751" s="0" t="s">
        <v>4281</v>
      </c>
      <c r="C751" s="0" t="s">
        <v>4282</v>
      </c>
      <c r="D751" s="0" t="s">
        <v>2385</v>
      </c>
      <c r="E751" s="0" t="n">
        <v>43331</v>
      </c>
      <c r="F751" s="0" t="s">
        <v>42</v>
      </c>
      <c r="G751" s="0" t="n">
        <v>21337013</v>
      </c>
      <c r="H751" s="0" t="n">
        <v>720196</v>
      </c>
      <c r="I751" s="0" t="s">
        <v>34</v>
      </c>
      <c r="J751" s="0" t="s">
        <v>174</v>
      </c>
      <c r="K751" s="0" t="s">
        <v>2126</v>
      </c>
      <c r="L751" s="0" t="n">
        <v>226887139</v>
      </c>
      <c r="M751" s="0" t="s">
        <v>223</v>
      </c>
      <c r="N751" s="0" t="n">
        <v>103230847</v>
      </c>
      <c r="O751" s="0" t="n">
        <v>3339.27</v>
      </c>
      <c r="P751" s="0" t="n">
        <v>40.89</v>
      </c>
      <c r="Q751" s="0" t="n">
        <v>103235146</v>
      </c>
    </row>
    <row r="752" customFormat="false" ht="15" hidden="false" customHeight="false" outlineLevel="0" collapsed="false">
      <c r="A752" s="0" t="s">
        <v>4283</v>
      </c>
      <c r="B752" s="0" t="s">
        <v>4284</v>
      </c>
      <c r="C752" s="0" t="s">
        <v>4285</v>
      </c>
      <c r="D752" s="0" t="s">
        <v>2385</v>
      </c>
      <c r="E752" s="0" t="n">
        <v>43331</v>
      </c>
      <c r="F752" s="0" t="s">
        <v>42</v>
      </c>
      <c r="G752" s="0" t="n">
        <v>21337013</v>
      </c>
      <c r="H752" s="0" t="n">
        <v>720196</v>
      </c>
      <c r="I752" s="0" t="s">
        <v>34</v>
      </c>
      <c r="J752" s="0" t="s">
        <v>174</v>
      </c>
      <c r="K752" s="0" t="s">
        <v>2129</v>
      </c>
      <c r="L752" s="0" t="n">
        <v>226887145</v>
      </c>
      <c r="M752" s="0" t="s">
        <v>262</v>
      </c>
      <c r="N752" s="0" t="n">
        <v>103235146</v>
      </c>
      <c r="O752" s="0" t="n">
        <v>3339.27</v>
      </c>
      <c r="P752" s="0" t="n">
        <v>40.89</v>
      </c>
      <c r="Q752" s="0" t="n">
        <v>103235146</v>
      </c>
    </row>
    <row r="753" customFormat="false" ht="15" hidden="false" customHeight="false" outlineLevel="0" collapsed="false">
      <c r="A753" s="0" t="s">
        <v>4286</v>
      </c>
      <c r="B753" s="0" t="s">
        <v>4287</v>
      </c>
      <c r="C753" s="0" t="s">
        <v>4288</v>
      </c>
      <c r="D753" s="0" t="s">
        <v>2385</v>
      </c>
      <c r="E753" s="0" t="n">
        <v>43331</v>
      </c>
      <c r="F753" s="0" t="s">
        <v>42</v>
      </c>
      <c r="G753" s="0" t="n">
        <v>21337013</v>
      </c>
      <c r="H753" s="0" t="n">
        <v>720196</v>
      </c>
      <c r="I753" s="0" t="s">
        <v>34</v>
      </c>
      <c r="J753" s="0" t="s">
        <v>174</v>
      </c>
      <c r="K753" s="0" t="s">
        <v>2118</v>
      </c>
      <c r="L753" s="0" t="n">
        <v>226887154</v>
      </c>
      <c r="M753" s="0" t="s">
        <v>223</v>
      </c>
      <c r="N753" s="0" t="n">
        <v>103230847</v>
      </c>
      <c r="O753" s="0" t="n">
        <v>3339.27</v>
      </c>
      <c r="P753" s="0" t="n">
        <v>40.89</v>
      </c>
      <c r="Q753" s="0" t="n">
        <v>103235146</v>
      </c>
    </row>
    <row r="754" customFormat="false" ht="15" hidden="false" customHeight="false" outlineLevel="0" collapsed="false">
      <c r="A754" s="0" t="s">
        <v>4289</v>
      </c>
      <c r="B754" s="0" t="s">
        <v>4290</v>
      </c>
      <c r="C754" s="0" t="s">
        <v>4291</v>
      </c>
      <c r="D754" s="0" t="s">
        <v>2385</v>
      </c>
      <c r="E754" s="0" t="n">
        <v>43331</v>
      </c>
      <c r="F754" s="0" t="s">
        <v>42</v>
      </c>
      <c r="G754" s="0" t="n">
        <v>21337013</v>
      </c>
      <c r="H754" s="0" t="n">
        <v>720196</v>
      </c>
      <c r="I754" s="0" t="s">
        <v>34</v>
      </c>
      <c r="J754" s="0" t="s">
        <v>174</v>
      </c>
      <c r="K754" s="0" t="s">
        <v>2119</v>
      </c>
      <c r="L754" s="0" t="n">
        <v>226889134</v>
      </c>
      <c r="M754" s="0" t="s">
        <v>223</v>
      </c>
      <c r="N754" s="0" t="n">
        <v>103230847</v>
      </c>
      <c r="O754" s="0" t="n">
        <v>3339.27</v>
      </c>
      <c r="P754" s="0" t="n">
        <v>40.89</v>
      </c>
      <c r="Q754" s="0" t="n">
        <v>103230847</v>
      </c>
    </row>
    <row r="755" customFormat="false" ht="15" hidden="false" customHeight="false" outlineLevel="0" collapsed="false">
      <c r="A755" s="0" t="s">
        <v>4292</v>
      </c>
      <c r="B755" s="0" t="s">
        <v>4293</v>
      </c>
      <c r="C755" s="0" t="s">
        <v>4294</v>
      </c>
      <c r="D755" s="0" t="s">
        <v>2385</v>
      </c>
      <c r="E755" s="0" t="n">
        <v>43331</v>
      </c>
      <c r="F755" s="0" t="s">
        <v>42</v>
      </c>
      <c r="G755" s="0" t="n">
        <v>21337013</v>
      </c>
      <c r="H755" s="0" t="n">
        <v>720196</v>
      </c>
      <c r="I755" s="0" t="s">
        <v>34</v>
      </c>
      <c r="J755" s="0" t="s">
        <v>174</v>
      </c>
      <c r="K755" s="0" t="s">
        <v>2125</v>
      </c>
      <c r="L755" s="0" t="n">
        <v>227035821</v>
      </c>
      <c r="M755" s="0" t="s">
        <v>223</v>
      </c>
      <c r="N755" s="0" t="n">
        <v>103230847</v>
      </c>
      <c r="O755" s="0" t="n">
        <v>6678.54</v>
      </c>
      <c r="P755" s="0" t="n">
        <v>81.78</v>
      </c>
      <c r="Q755" s="0" t="n">
        <v>103230847</v>
      </c>
    </row>
    <row r="756" customFormat="false" ht="15" hidden="false" customHeight="false" outlineLevel="0" collapsed="false">
      <c r="A756" s="0" t="s">
        <v>4295</v>
      </c>
      <c r="B756" s="0" t="s">
        <v>4296</v>
      </c>
      <c r="C756" s="0" t="s">
        <v>4297</v>
      </c>
      <c r="D756" s="0" t="s">
        <v>2385</v>
      </c>
      <c r="E756" s="0" t="n">
        <v>43332</v>
      </c>
      <c r="F756" s="0" t="s">
        <v>42</v>
      </c>
      <c r="G756" s="0" t="n">
        <v>21337013</v>
      </c>
      <c r="H756" s="0" t="n">
        <v>720196</v>
      </c>
      <c r="I756" s="0" t="s">
        <v>34</v>
      </c>
      <c r="J756" s="0" t="s">
        <v>174</v>
      </c>
      <c r="K756" s="0" t="s">
        <v>50</v>
      </c>
      <c r="L756" s="0" t="n">
        <v>223560332</v>
      </c>
      <c r="M756" s="0" t="s">
        <v>208</v>
      </c>
      <c r="N756" s="0" t="n">
        <v>102854037</v>
      </c>
      <c r="O756" s="0" t="n">
        <v>682.28</v>
      </c>
      <c r="P756" s="0" t="n">
        <v>12.7</v>
      </c>
      <c r="Q756" s="0" t="n">
        <v>102854037</v>
      </c>
    </row>
    <row r="757" customFormat="false" ht="15" hidden="false" customHeight="false" outlineLevel="0" collapsed="false">
      <c r="A757" s="0" t="s">
        <v>4298</v>
      </c>
      <c r="B757" s="0" t="s">
        <v>4299</v>
      </c>
      <c r="C757" s="0" t="s">
        <v>4300</v>
      </c>
      <c r="D757" s="0" t="s">
        <v>2385</v>
      </c>
      <c r="E757" s="0" t="n">
        <v>43332</v>
      </c>
      <c r="F757" s="0" t="s">
        <v>42</v>
      </c>
      <c r="G757" s="0" t="n">
        <v>21337013</v>
      </c>
      <c r="H757" s="0" t="n">
        <v>720196</v>
      </c>
      <c r="I757" s="0" t="s">
        <v>34</v>
      </c>
      <c r="J757" s="0" t="s">
        <v>174</v>
      </c>
      <c r="K757" s="0" t="s">
        <v>51</v>
      </c>
      <c r="L757" s="0" t="n">
        <v>223560338</v>
      </c>
      <c r="M757" s="0" t="s">
        <v>211</v>
      </c>
      <c r="N757" s="0" t="n">
        <v>102853603</v>
      </c>
      <c r="O757" s="0" t="n">
        <v>682.28</v>
      </c>
      <c r="P757" s="0" t="n">
        <v>12.7</v>
      </c>
      <c r="Q757" s="0" t="n">
        <v>102853603</v>
      </c>
    </row>
    <row r="758" customFormat="false" ht="15" hidden="false" customHeight="false" outlineLevel="0" collapsed="false">
      <c r="A758" s="0" t="s">
        <v>4301</v>
      </c>
      <c r="B758" s="0" t="s">
        <v>4302</v>
      </c>
      <c r="C758" s="0" t="s">
        <v>4303</v>
      </c>
      <c r="D758" s="0" t="s">
        <v>2385</v>
      </c>
      <c r="E758" s="0" t="n">
        <v>43332</v>
      </c>
      <c r="F758" s="0" t="s">
        <v>42</v>
      </c>
      <c r="G758" s="0" t="n">
        <v>21337013</v>
      </c>
      <c r="H758" s="0" t="n">
        <v>720196</v>
      </c>
      <c r="I758" s="0" t="s">
        <v>34</v>
      </c>
      <c r="J758" s="0" t="s">
        <v>174</v>
      </c>
      <c r="K758" s="0" t="s">
        <v>52</v>
      </c>
      <c r="L758" s="0" t="n">
        <v>223560344</v>
      </c>
      <c r="M758" s="0" t="s">
        <v>214</v>
      </c>
      <c r="N758" s="0" t="n">
        <v>102861246</v>
      </c>
      <c r="O758" s="0" t="n">
        <v>682.28</v>
      </c>
      <c r="P758" s="0" t="n">
        <v>12.7</v>
      </c>
      <c r="Q758" s="0" t="n">
        <v>102861246</v>
      </c>
    </row>
    <row r="759" customFormat="false" ht="15" hidden="false" customHeight="false" outlineLevel="0" collapsed="false">
      <c r="A759" s="0" t="s">
        <v>4304</v>
      </c>
      <c r="B759" s="0" t="s">
        <v>4305</v>
      </c>
      <c r="C759" s="0" t="s">
        <v>4306</v>
      </c>
      <c r="D759" s="0" t="s">
        <v>2385</v>
      </c>
      <c r="E759" s="0" t="n">
        <v>43332</v>
      </c>
      <c r="F759" s="0" t="s">
        <v>42</v>
      </c>
      <c r="G759" s="0" t="n">
        <v>21337013</v>
      </c>
      <c r="H759" s="0" t="n">
        <v>720196</v>
      </c>
      <c r="I759" s="0" t="s">
        <v>34</v>
      </c>
      <c r="J759" s="0" t="s">
        <v>174</v>
      </c>
      <c r="K759" s="0" t="s">
        <v>53</v>
      </c>
      <c r="L759" s="0" t="n">
        <v>223560350</v>
      </c>
      <c r="M759" s="0" t="s">
        <v>217</v>
      </c>
      <c r="N759" s="0" t="n">
        <v>103006547</v>
      </c>
      <c r="O759" s="0" t="n">
        <v>682.28</v>
      </c>
      <c r="P759" s="0" t="n">
        <v>12.7</v>
      </c>
      <c r="Q759" s="0" t="n">
        <v>103006547</v>
      </c>
    </row>
    <row r="760" customFormat="false" ht="15" hidden="false" customHeight="false" outlineLevel="0" collapsed="false">
      <c r="A760" s="0" t="s">
        <v>4307</v>
      </c>
      <c r="B760" s="0" t="s">
        <v>4308</v>
      </c>
      <c r="C760" s="0" t="s">
        <v>4309</v>
      </c>
      <c r="D760" s="0" t="s">
        <v>2385</v>
      </c>
      <c r="E760" s="0" t="n">
        <v>43332</v>
      </c>
      <c r="F760" s="0" t="s">
        <v>42</v>
      </c>
      <c r="G760" s="0" t="n">
        <v>21337013</v>
      </c>
      <c r="H760" s="0" t="n">
        <v>720196</v>
      </c>
      <c r="I760" s="0" t="s">
        <v>34</v>
      </c>
      <c r="J760" s="0" t="s">
        <v>174</v>
      </c>
      <c r="K760" s="0" t="s">
        <v>57</v>
      </c>
      <c r="L760" s="0" t="n">
        <v>224399962</v>
      </c>
      <c r="M760" s="0" t="s">
        <v>223</v>
      </c>
      <c r="N760" s="0" t="n">
        <v>103230847</v>
      </c>
      <c r="O760" s="0" t="n">
        <v>3339.27</v>
      </c>
      <c r="P760" s="0" t="n">
        <v>40.89</v>
      </c>
      <c r="Q760" s="0" t="n">
        <v>103235146</v>
      </c>
    </row>
    <row r="761" customFormat="false" ht="15" hidden="false" customHeight="false" outlineLevel="0" collapsed="false">
      <c r="A761" s="0" t="s">
        <v>4310</v>
      </c>
      <c r="B761" s="0" t="s">
        <v>4311</v>
      </c>
      <c r="C761" s="0" t="s">
        <v>4312</v>
      </c>
      <c r="D761" s="0" t="s">
        <v>2385</v>
      </c>
      <c r="E761" s="0" t="n">
        <v>43332</v>
      </c>
      <c r="F761" s="0" t="s">
        <v>42</v>
      </c>
      <c r="G761" s="0" t="n">
        <v>21337013</v>
      </c>
      <c r="H761" s="0" t="n">
        <v>720196</v>
      </c>
      <c r="I761" s="0" t="s">
        <v>34</v>
      </c>
      <c r="J761" s="0" t="s">
        <v>174</v>
      </c>
      <c r="K761" s="0" t="s">
        <v>2129</v>
      </c>
      <c r="L761" s="0" t="n">
        <v>226887145</v>
      </c>
      <c r="M761" s="0" t="s">
        <v>262</v>
      </c>
      <c r="N761" s="0" t="n">
        <v>103235146</v>
      </c>
      <c r="O761" s="0" t="n">
        <v>3339.27</v>
      </c>
      <c r="P761" s="0" t="n">
        <v>40.89</v>
      </c>
      <c r="Q761" s="0" t="n">
        <v>103235146</v>
      </c>
    </row>
    <row r="762" customFormat="false" ht="15" hidden="false" customHeight="false" outlineLevel="0" collapsed="false">
      <c r="A762" s="0" t="s">
        <v>4313</v>
      </c>
      <c r="B762" s="0" t="s">
        <v>4314</v>
      </c>
      <c r="C762" s="0" t="s">
        <v>4315</v>
      </c>
      <c r="D762" s="0" t="s">
        <v>2385</v>
      </c>
      <c r="E762" s="0" t="n">
        <v>43332</v>
      </c>
      <c r="F762" s="0" t="s">
        <v>42</v>
      </c>
      <c r="G762" s="0" t="n">
        <v>21337013</v>
      </c>
      <c r="H762" s="0" t="n">
        <v>720196</v>
      </c>
      <c r="I762" s="0" t="s">
        <v>34</v>
      </c>
      <c r="J762" s="0" t="s">
        <v>174</v>
      </c>
      <c r="K762" s="0" t="s">
        <v>2119</v>
      </c>
      <c r="L762" s="0" t="n">
        <v>226889134</v>
      </c>
      <c r="M762" s="0" t="s">
        <v>223</v>
      </c>
      <c r="N762" s="0" t="n">
        <v>103230847</v>
      </c>
      <c r="O762" s="0" t="n">
        <v>6678.54</v>
      </c>
      <c r="P762" s="0" t="n">
        <v>81.78</v>
      </c>
      <c r="Q762" s="0" t="n">
        <v>103230847</v>
      </c>
    </row>
    <row r="763" customFormat="false" ht="15" hidden="false" customHeight="false" outlineLevel="0" collapsed="false">
      <c r="A763" s="0" t="s">
        <v>4316</v>
      </c>
      <c r="B763" s="0" t="s">
        <v>4317</v>
      </c>
      <c r="C763" s="0" t="s">
        <v>4318</v>
      </c>
      <c r="D763" s="0" t="s">
        <v>2385</v>
      </c>
      <c r="E763" s="0" t="n">
        <v>43332</v>
      </c>
      <c r="F763" s="0" t="s">
        <v>42</v>
      </c>
      <c r="G763" s="0" t="n">
        <v>21337013</v>
      </c>
      <c r="H763" s="0" t="n">
        <v>720196</v>
      </c>
      <c r="I763" s="0" t="s">
        <v>34</v>
      </c>
      <c r="J763" s="0" t="s">
        <v>174</v>
      </c>
      <c r="K763" s="0" t="s">
        <v>2125</v>
      </c>
      <c r="L763" s="0" t="n">
        <v>227035821</v>
      </c>
      <c r="M763" s="0" t="s">
        <v>223</v>
      </c>
      <c r="N763" s="0" t="n">
        <v>103230847</v>
      </c>
      <c r="O763" s="0" t="n">
        <v>3339.27</v>
      </c>
      <c r="P763" s="0" t="n">
        <v>40.89</v>
      </c>
      <c r="Q763" s="0" t="n">
        <v>103235146</v>
      </c>
    </row>
    <row r="764" customFormat="false" ht="15" hidden="false" customHeight="false" outlineLevel="0" collapsed="false">
      <c r="A764" s="0" t="s">
        <v>4319</v>
      </c>
      <c r="B764" s="0" t="s">
        <v>4320</v>
      </c>
      <c r="C764" s="0" t="s">
        <v>4321</v>
      </c>
      <c r="D764" s="0" t="s">
        <v>2385</v>
      </c>
      <c r="E764" s="0" t="n">
        <v>43332</v>
      </c>
      <c r="F764" s="0" t="s">
        <v>42</v>
      </c>
      <c r="G764" s="0" t="n">
        <v>21337013</v>
      </c>
      <c r="H764" s="0" t="n">
        <v>720196</v>
      </c>
      <c r="I764" s="0" t="s">
        <v>34</v>
      </c>
      <c r="J764" s="0" t="s">
        <v>174</v>
      </c>
      <c r="K764" s="0" t="s">
        <v>2128</v>
      </c>
      <c r="L764" s="0" t="n">
        <v>227035845</v>
      </c>
      <c r="M764" s="0" t="s">
        <v>262</v>
      </c>
      <c r="N764" s="0" t="n">
        <v>103235146</v>
      </c>
      <c r="O764" s="0" t="n">
        <v>3339.27</v>
      </c>
      <c r="P764" s="0" t="n">
        <v>40.89</v>
      </c>
      <c r="Q764" s="0" t="n">
        <v>103235146</v>
      </c>
    </row>
    <row r="765" customFormat="false" ht="15" hidden="false" customHeight="false" outlineLevel="0" collapsed="false">
      <c r="A765" s="0" t="s">
        <v>4322</v>
      </c>
      <c r="B765" s="0" t="s">
        <v>4323</v>
      </c>
      <c r="C765" s="0" t="s">
        <v>4324</v>
      </c>
      <c r="D765" s="0" t="s">
        <v>2385</v>
      </c>
      <c r="E765" s="0" t="n">
        <v>43333</v>
      </c>
      <c r="F765" s="0" t="s">
        <v>42</v>
      </c>
      <c r="G765" s="0" t="n">
        <v>21337013</v>
      </c>
      <c r="H765" s="0" t="n">
        <v>720196</v>
      </c>
      <c r="I765" s="0" t="s">
        <v>34</v>
      </c>
      <c r="J765" s="0" t="s">
        <v>174</v>
      </c>
      <c r="K765" s="0" t="s">
        <v>47</v>
      </c>
      <c r="L765" s="0" t="n">
        <v>223560299</v>
      </c>
      <c r="M765" s="0" t="s">
        <v>205</v>
      </c>
      <c r="N765" s="0" t="n">
        <v>102854019</v>
      </c>
      <c r="O765" s="0" t="n">
        <v>682.28</v>
      </c>
      <c r="P765" s="0" t="n">
        <v>12.7</v>
      </c>
      <c r="Q765" s="0" t="n">
        <v>102854019</v>
      </c>
    </row>
    <row r="766" customFormat="false" ht="15" hidden="false" customHeight="false" outlineLevel="0" collapsed="false">
      <c r="A766" s="0" t="s">
        <v>4325</v>
      </c>
      <c r="B766" s="0" t="s">
        <v>4326</v>
      </c>
      <c r="C766" s="0" t="s">
        <v>4327</v>
      </c>
      <c r="D766" s="0" t="s">
        <v>2385</v>
      </c>
      <c r="E766" s="0" t="n">
        <v>43333</v>
      </c>
      <c r="F766" s="0" t="s">
        <v>42</v>
      </c>
      <c r="G766" s="0" t="n">
        <v>21337013</v>
      </c>
      <c r="H766" s="0" t="n">
        <v>720196</v>
      </c>
      <c r="I766" s="0" t="s">
        <v>34</v>
      </c>
      <c r="J766" s="0" t="s">
        <v>174</v>
      </c>
      <c r="K766" s="0" t="s">
        <v>50</v>
      </c>
      <c r="L766" s="0" t="n">
        <v>223560332</v>
      </c>
      <c r="M766" s="0" t="s">
        <v>208</v>
      </c>
      <c r="N766" s="0" t="n">
        <v>102854037</v>
      </c>
      <c r="O766" s="0" t="n">
        <v>682.28</v>
      </c>
      <c r="P766" s="0" t="n">
        <v>12.7</v>
      </c>
      <c r="Q766" s="0" t="n">
        <v>102854037</v>
      </c>
    </row>
    <row r="767" customFormat="false" ht="15" hidden="false" customHeight="false" outlineLevel="0" collapsed="false">
      <c r="A767" s="0" t="s">
        <v>4328</v>
      </c>
      <c r="B767" s="0" t="s">
        <v>4329</v>
      </c>
      <c r="C767" s="0" t="s">
        <v>4330</v>
      </c>
      <c r="D767" s="0" t="s">
        <v>2385</v>
      </c>
      <c r="E767" s="0" t="n">
        <v>43333</v>
      </c>
      <c r="F767" s="0" t="s">
        <v>42</v>
      </c>
      <c r="G767" s="0" t="n">
        <v>21337013</v>
      </c>
      <c r="H767" s="0" t="n">
        <v>720196</v>
      </c>
      <c r="I767" s="0" t="s">
        <v>34</v>
      </c>
      <c r="J767" s="0" t="s">
        <v>174</v>
      </c>
      <c r="K767" s="0" t="s">
        <v>51</v>
      </c>
      <c r="L767" s="0" t="n">
        <v>223560338</v>
      </c>
      <c r="M767" s="0" t="s">
        <v>211</v>
      </c>
      <c r="N767" s="0" t="n">
        <v>102853603</v>
      </c>
      <c r="O767" s="0" t="n">
        <v>682.28</v>
      </c>
      <c r="P767" s="0" t="n">
        <v>12.7</v>
      </c>
      <c r="Q767" s="0" t="n">
        <v>102853603</v>
      </c>
    </row>
    <row r="768" customFormat="false" ht="15" hidden="false" customHeight="false" outlineLevel="0" collapsed="false">
      <c r="A768" s="0" t="s">
        <v>4331</v>
      </c>
      <c r="B768" s="0" t="s">
        <v>4332</v>
      </c>
      <c r="C768" s="0" t="s">
        <v>4333</v>
      </c>
      <c r="D768" s="0" t="s">
        <v>2385</v>
      </c>
      <c r="E768" s="0" t="n">
        <v>43333</v>
      </c>
      <c r="F768" s="0" t="s">
        <v>42</v>
      </c>
      <c r="G768" s="0" t="n">
        <v>21337013</v>
      </c>
      <c r="H768" s="0" t="n">
        <v>720196</v>
      </c>
      <c r="I768" s="0" t="s">
        <v>34</v>
      </c>
      <c r="J768" s="0" t="s">
        <v>174</v>
      </c>
      <c r="K768" s="0" t="s">
        <v>53</v>
      </c>
      <c r="L768" s="0" t="n">
        <v>223560350</v>
      </c>
      <c r="M768" s="0" t="s">
        <v>217</v>
      </c>
      <c r="N768" s="0" t="n">
        <v>103006547</v>
      </c>
      <c r="O768" s="0" t="n">
        <v>682.28</v>
      </c>
      <c r="P768" s="0" t="n">
        <v>12.7</v>
      </c>
      <c r="Q768" s="0" t="n">
        <v>103006547</v>
      </c>
    </row>
    <row r="769" customFormat="false" ht="15" hidden="false" customHeight="false" outlineLevel="0" collapsed="false">
      <c r="A769" s="0" t="s">
        <v>4334</v>
      </c>
      <c r="B769" s="0" t="s">
        <v>4335</v>
      </c>
      <c r="C769" s="0" t="s">
        <v>4336</v>
      </c>
      <c r="D769" s="0" t="s">
        <v>2385</v>
      </c>
      <c r="E769" s="0" t="n">
        <v>43333</v>
      </c>
      <c r="F769" s="0" t="s">
        <v>42</v>
      </c>
      <c r="G769" s="0" t="n">
        <v>21337013</v>
      </c>
      <c r="H769" s="0" t="n">
        <v>720196</v>
      </c>
      <c r="I769" s="0" t="s">
        <v>34</v>
      </c>
      <c r="J769" s="0" t="s">
        <v>174</v>
      </c>
      <c r="K769" s="0" t="s">
        <v>54</v>
      </c>
      <c r="L769" s="0" t="n">
        <v>223560356</v>
      </c>
      <c r="M769" s="0" t="s">
        <v>220</v>
      </c>
      <c r="N769" s="0" t="n">
        <v>102854016</v>
      </c>
      <c r="O769" s="0" t="n">
        <v>682.28</v>
      </c>
      <c r="P769" s="0" t="n">
        <v>12.7</v>
      </c>
      <c r="Q769" s="0" t="n">
        <v>102854016</v>
      </c>
    </row>
    <row r="770" customFormat="false" ht="15" hidden="false" customHeight="false" outlineLevel="0" collapsed="false">
      <c r="A770" s="0" t="s">
        <v>4337</v>
      </c>
      <c r="B770" s="0" t="s">
        <v>4338</v>
      </c>
      <c r="C770" s="0" t="s">
        <v>4339</v>
      </c>
      <c r="D770" s="0" t="s">
        <v>2385</v>
      </c>
      <c r="E770" s="0" t="n">
        <v>43333</v>
      </c>
      <c r="F770" s="0" t="s">
        <v>42</v>
      </c>
      <c r="G770" s="0" t="n">
        <v>21337013</v>
      </c>
      <c r="H770" s="0" t="n">
        <v>720196</v>
      </c>
      <c r="I770" s="0" t="s">
        <v>34</v>
      </c>
      <c r="J770" s="0" t="s">
        <v>174</v>
      </c>
      <c r="K770" s="0" t="s">
        <v>56</v>
      </c>
      <c r="L770" s="0" t="n">
        <v>224334170</v>
      </c>
      <c r="M770" s="0" t="s">
        <v>223</v>
      </c>
      <c r="N770" s="0" t="n">
        <v>103230847</v>
      </c>
      <c r="O770" s="0" t="n">
        <v>3339.27</v>
      </c>
      <c r="P770" s="0" t="n">
        <v>40.89</v>
      </c>
      <c r="Q770" s="0" t="n">
        <v>103235146</v>
      </c>
    </row>
    <row r="771" customFormat="false" ht="15" hidden="false" customHeight="false" outlineLevel="0" collapsed="false">
      <c r="A771" s="0" t="s">
        <v>4340</v>
      </c>
      <c r="B771" s="0" t="s">
        <v>4341</v>
      </c>
      <c r="C771" s="0" t="s">
        <v>4342</v>
      </c>
      <c r="D771" s="0" t="s">
        <v>2385</v>
      </c>
      <c r="E771" s="0" t="n">
        <v>43333</v>
      </c>
      <c r="F771" s="0" t="s">
        <v>42</v>
      </c>
      <c r="G771" s="0" t="n">
        <v>21337013</v>
      </c>
      <c r="H771" s="0" t="n">
        <v>720196</v>
      </c>
      <c r="I771" s="0" t="s">
        <v>34</v>
      </c>
      <c r="J771" s="0" t="s">
        <v>174</v>
      </c>
      <c r="K771" s="0" t="s">
        <v>57</v>
      </c>
      <c r="L771" s="0" t="n">
        <v>224399962</v>
      </c>
      <c r="M771" s="0" t="s">
        <v>223</v>
      </c>
      <c r="N771" s="0" t="n">
        <v>103230847</v>
      </c>
      <c r="O771" s="0" t="n">
        <v>6678.54</v>
      </c>
      <c r="P771" s="0" t="n">
        <v>81.78</v>
      </c>
      <c r="Q771" s="0" t="n">
        <v>103230847</v>
      </c>
    </row>
    <row r="772" customFormat="false" ht="15" hidden="false" customHeight="false" outlineLevel="0" collapsed="false">
      <c r="A772" s="0" t="s">
        <v>4343</v>
      </c>
      <c r="B772" s="0" t="s">
        <v>4344</v>
      </c>
      <c r="C772" s="0" t="s">
        <v>4345</v>
      </c>
      <c r="D772" s="0" t="s">
        <v>2385</v>
      </c>
      <c r="E772" s="0" t="n">
        <v>43333</v>
      </c>
      <c r="F772" s="0" t="s">
        <v>42</v>
      </c>
      <c r="G772" s="0" t="n">
        <v>21337013</v>
      </c>
      <c r="H772" s="0" t="n">
        <v>720196</v>
      </c>
      <c r="I772" s="0" t="s">
        <v>34</v>
      </c>
      <c r="J772" s="0" t="s">
        <v>174</v>
      </c>
      <c r="K772" s="0" t="s">
        <v>2126</v>
      </c>
      <c r="L772" s="0" t="n">
        <v>226887139</v>
      </c>
      <c r="M772" s="0" t="s">
        <v>223</v>
      </c>
      <c r="N772" s="0" t="n">
        <v>103230847</v>
      </c>
      <c r="O772" s="0" t="n">
        <v>3339.27</v>
      </c>
      <c r="P772" s="0" t="n">
        <v>40.89</v>
      </c>
      <c r="Q772" s="0" t="n">
        <v>103230847</v>
      </c>
    </row>
    <row r="773" customFormat="false" ht="15" hidden="false" customHeight="false" outlineLevel="0" collapsed="false">
      <c r="A773" s="0" t="s">
        <v>4346</v>
      </c>
      <c r="B773" s="0" t="s">
        <v>4347</v>
      </c>
      <c r="C773" s="0" t="s">
        <v>4348</v>
      </c>
      <c r="D773" s="0" t="s">
        <v>2385</v>
      </c>
      <c r="E773" s="0" t="n">
        <v>43333</v>
      </c>
      <c r="F773" s="0" t="s">
        <v>42</v>
      </c>
      <c r="G773" s="0" t="n">
        <v>21337013</v>
      </c>
      <c r="H773" s="0" t="n">
        <v>720196</v>
      </c>
      <c r="I773" s="0" t="s">
        <v>34</v>
      </c>
      <c r="J773" s="0" t="s">
        <v>174</v>
      </c>
      <c r="K773" s="0" t="s">
        <v>2119</v>
      </c>
      <c r="L773" s="0" t="n">
        <v>226889134</v>
      </c>
      <c r="M773" s="0" t="s">
        <v>223</v>
      </c>
      <c r="N773" s="0" t="n">
        <v>103230847</v>
      </c>
      <c r="O773" s="0" t="n">
        <v>6678.54</v>
      </c>
      <c r="P773" s="0" t="n">
        <v>81.78</v>
      </c>
      <c r="Q773" s="0" t="n">
        <v>103230847</v>
      </c>
    </row>
    <row r="774" customFormat="false" ht="15" hidden="false" customHeight="false" outlineLevel="0" collapsed="false">
      <c r="A774" s="0" t="s">
        <v>4349</v>
      </c>
      <c r="B774" s="0" t="s">
        <v>4350</v>
      </c>
      <c r="C774" s="0" t="s">
        <v>4351</v>
      </c>
      <c r="D774" s="0" t="s">
        <v>2385</v>
      </c>
      <c r="E774" s="0" t="n">
        <v>43333</v>
      </c>
      <c r="F774" s="0" t="s">
        <v>42</v>
      </c>
      <c r="G774" s="0" t="n">
        <v>21337013</v>
      </c>
      <c r="H774" s="0" t="n">
        <v>720196</v>
      </c>
      <c r="I774" s="0" t="s">
        <v>34</v>
      </c>
      <c r="J774" s="0" t="s">
        <v>174</v>
      </c>
      <c r="K774" s="0" t="s">
        <v>2125</v>
      </c>
      <c r="L774" s="0" t="n">
        <v>227035821</v>
      </c>
      <c r="M774" s="0" t="s">
        <v>223</v>
      </c>
      <c r="N774" s="0" t="n">
        <v>103230847</v>
      </c>
      <c r="O774" s="0" t="n">
        <v>6678.54</v>
      </c>
      <c r="P774" s="0" t="n">
        <v>81.78</v>
      </c>
      <c r="Q774" s="0" t="n">
        <v>103230847</v>
      </c>
    </row>
    <row r="775" customFormat="false" ht="15" hidden="false" customHeight="false" outlineLevel="0" collapsed="false">
      <c r="A775" s="0" t="s">
        <v>4352</v>
      </c>
      <c r="B775" s="0" t="s">
        <v>4353</v>
      </c>
      <c r="C775" s="0" t="s">
        <v>4354</v>
      </c>
      <c r="D775" s="0" t="s">
        <v>2385</v>
      </c>
      <c r="E775" s="0" t="n">
        <v>43334</v>
      </c>
      <c r="F775" s="0" t="s">
        <v>42</v>
      </c>
      <c r="G775" s="0" t="n">
        <v>21337013</v>
      </c>
      <c r="H775" s="0" t="n">
        <v>720196</v>
      </c>
      <c r="I775" s="0" t="s">
        <v>34</v>
      </c>
      <c r="J775" s="0" t="s">
        <v>174</v>
      </c>
      <c r="K775" s="0" t="s">
        <v>47</v>
      </c>
      <c r="L775" s="0" t="n">
        <v>223560299</v>
      </c>
      <c r="M775" s="0" t="s">
        <v>205</v>
      </c>
      <c r="N775" s="0" t="n">
        <v>102854019</v>
      </c>
      <c r="O775" s="0" t="n">
        <v>682.28</v>
      </c>
      <c r="P775" s="0" t="n">
        <v>12.7</v>
      </c>
      <c r="Q775" s="0" t="n">
        <v>102854019</v>
      </c>
    </row>
    <row r="776" customFormat="false" ht="15" hidden="false" customHeight="false" outlineLevel="0" collapsed="false">
      <c r="A776" s="0" t="s">
        <v>4355</v>
      </c>
      <c r="B776" s="0" t="s">
        <v>4356</v>
      </c>
      <c r="C776" s="0" t="s">
        <v>4357</v>
      </c>
      <c r="D776" s="0" t="s">
        <v>2385</v>
      </c>
      <c r="E776" s="0" t="n">
        <v>43334</v>
      </c>
      <c r="F776" s="0" t="s">
        <v>42</v>
      </c>
      <c r="G776" s="0" t="n">
        <v>21337013</v>
      </c>
      <c r="H776" s="0" t="n">
        <v>720196</v>
      </c>
      <c r="I776" s="0" t="s">
        <v>34</v>
      </c>
      <c r="J776" s="0" t="s">
        <v>174</v>
      </c>
      <c r="K776" s="0" t="s">
        <v>50</v>
      </c>
      <c r="L776" s="0" t="n">
        <v>223560332</v>
      </c>
      <c r="M776" s="0" t="s">
        <v>208</v>
      </c>
      <c r="N776" s="0" t="n">
        <v>102854037</v>
      </c>
      <c r="O776" s="0" t="n">
        <v>682.28</v>
      </c>
      <c r="P776" s="0" t="n">
        <v>12.7</v>
      </c>
      <c r="Q776" s="0" t="n">
        <v>102854037</v>
      </c>
    </row>
    <row r="777" customFormat="false" ht="15" hidden="false" customHeight="false" outlineLevel="0" collapsed="false">
      <c r="A777" s="0" t="s">
        <v>4358</v>
      </c>
      <c r="B777" s="0" t="s">
        <v>4359</v>
      </c>
      <c r="C777" s="0" t="s">
        <v>4360</v>
      </c>
      <c r="D777" s="0" t="s">
        <v>2385</v>
      </c>
      <c r="E777" s="0" t="n">
        <v>43334</v>
      </c>
      <c r="F777" s="0" t="s">
        <v>42</v>
      </c>
      <c r="G777" s="0" t="n">
        <v>21337013</v>
      </c>
      <c r="H777" s="0" t="n">
        <v>720196</v>
      </c>
      <c r="I777" s="0" t="s">
        <v>34</v>
      </c>
      <c r="J777" s="0" t="s">
        <v>174</v>
      </c>
      <c r="K777" s="0" t="s">
        <v>51</v>
      </c>
      <c r="L777" s="0" t="n">
        <v>223560338</v>
      </c>
      <c r="M777" s="0" t="s">
        <v>211</v>
      </c>
      <c r="N777" s="0" t="n">
        <v>102853603</v>
      </c>
      <c r="O777" s="0" t="n">
        <v>682.28</v>
      </c>
      <c r="P777" s="0" t="n">
        <v>12.7</v>
      </c>
      <c r="Q777" s="0" t="n">
        <v>102853603</v>
      </c>
    </row>
    <row r="778" customFormat="false" ht="15" hidden="false" customHeight="false" outlineLevel="0" collapsed="false">
      <c r="A778" s="0" t="s">
        <v>4361</v>
      </c>
      <c r="B778" s="0" t="s">
        <v>4362</v>
      </c>
      <c r="C778" s="0" t="s">
        <v>4363</v>
      </c>
      <c r="D778" s="0" t="s">
        <v>2385</v>
      </c>
      <c r="E778" s="0" t="n">
        <v>43334</v>
      </c>
      <c r="F778" s="0" t="s">
        <v>42</v>
      </c>
      <c r="G778" s="0" t="n">
        <v>21337013</v>
      </c>
      <c r="H778" s="0" t="n">
        <v>720196</v>
      </c>
      <c r="I778" s="0" t="s">
        <v>34</v>
      </c>
      <c r="J778" s="0" t="s">
        <v>174</v>
      </c>
      <c r="K778" s="0" t="s">
        <v>52</v>
      </c>
      <c r="L778" s="0" t="n">
        <v>223560344</v>
      </c>
      <c r="M778" s="0" t="s">
        <v>214</v>
      </c>
      <c r="N778" s="0" t="n">
        <v>102861246</v>
      </c>
      <c r="O778" s="0" t="n">
        <v>682.28</v>
      </c>
      <c r="P778" s="0" t="n">
        <v>12.7</v>
      </c>
      <c r="Q778" s="0" t="n">
        <v>102861246</v>
      </c>
    </row>
    <row r="779" customFormat="false" ht="15" hidden="false" customHeight="false" outlineLevel="0" collapsed="false">
      <c r="A779" s="0" t="s">
        <v>4364</v>
      </c>
      <c r="B779" s="0" t="s">
        <v>4365</v>
      </c>
      <c r="C779" s="0" t="s">
        <v>4366</v>
      </c>
      <c r="D779" s="0" t="s">
        <v>2385</v>
      </c>
      <c r="E779" s="0" t="n">
        <v>43334</v>
      </c>
      <c r="F779" s="0" t="s">
        <v>42</v>
      </c>
      <c r="G779" s="0" t="n">
        <v>21337013</v>
      </c>
      <c r="H779" s="0" t="n">
        <v>720196</v>
      </c>
      <c r="I779" s="0" t="s">
        <v>34</v>
      </c>
      <c r="J779" s="0" t="s">
        <v>174</v>
      </c>
      <c r="K779" s="0" t="s">
        <v>53</v>
      </c>
      <c r="L779" s="0" t="n">
        <v>223560350</v>
      </c>
      <c r="M779" s="0" t="s">
        <v>217</v>
      </c>
      <c r="N779" s="0" t="n">
        <v>103006547</v>
      </c>
      <c r="O779" s="0" t="n">
        <v>682.28</v>
      </c>
      <c r="P779" s="0" t="n">
        <v>12.7</v>
      </c>
      <c r="Q779" s="0" t="n">
        <v>103006547</v>
      </c>
    </row>
    <row r="780" customFormat="false" ht="15" hidden="false" customHeight="false" outlineLevel="0" collapsed="false">
      <c r="A780" s="0" t="s">
        <v>4367</v>
      </c>
      <c r="B780" s="0" t="s">
        <v>4368</v>
      </c>
      <c r="C780" s="0" t="s">
        <v>4369</v>
      </c>
      <c r="D780" s="0" t="s">
        <v>2385</v>
      </c>
      <c r="E780" s="0" t="n">
        <v>43334</v>
      </c>
      <c r="F780" s="0" t="s">
        <v>42</v>
      </c>
      <c r="G780" s="0" t="n">
        <v>21337013</v>
      </c>
      <c r="H780" s="0" t="n">
        <v>720196</v>
      </c>
      <c r="I780" s="0" t="s">
        <v>34</v>
      </c>
      <c r="J780" s="0" t="s">
        <v>174</v>
      </c>
      <c r="K780" s="0" t="s">
        <v>2007</v>
      </c>
      <c r="L780" s="0" t="n">
        <v>223560353</v>
      </c>
      <c r="M780" s="0" t="s">
        <v>2008</v>
      </c>
      <c r="N780" s="0" t="n">
        <v>102854010</v>
      </c>
      <c r="O780" s="0" t="n">
        <v>682.28</v>
      </c>
      <c r="P780" s="0" t="n">
        <v>12.7</v>
      </c>
      <c r="Q780" s="0" t="n">
        <v>102854010</v>
      </c>
    </row>
    <row r="781" customFormat="false" ht="15" hidden="false" customHeight="false" outlineLevel="0" collapsed="false">
      <c r="A781" s="0" t="s">
        <v>4370</v>
      </c>
      <c r="B781" s="0" t="s">
        <v>4371</v>
      </c>
      <c r="C781" s="0" t="s">
        <v>4372</v>
      </c>
      <c r="D781" s="0" t="s">
        <v>2385</v>
      </c>
      <c r="E781" s="0" t="n">
        <v>43334</v>
      </c>
      <c r="F781" s="0" t="s">
        <v>42</v>
      </c>
      <c r="G781" s="0" t="n">
        <v>21337013</v>
      </c>
      <c r="H781" s="0" t="n">
        <v>720196</v>
      </c>
      <c r="I781" s="0" t="s">
        <v>34</v>
      </c>
      <c r="J781" s="0" t="s">
        <v>174</v>
      </c>
      <c r="K781" s="0" t="s">
        <v>54</v>
      </c>
      <c r="L781" s="0" t="n">
        <v>223560356</v>
      </c>
      <c r="M781" s="0" t="s">
        <v>220</v>
      </c>
      <c r="N781" s="0" t="n">
        <v>102854016</v>
      </c>
      <c r="O781" s="0" t="n">
        <v>682.28</v>
      </c>
      <c r="P781" s="0" t="n">
        <v>12.7</v>
      </c>
      <c r="Q781" s="0" t="n">
        <v>102854016</v>
      </c>
    </row>
    <row r="782" customFormat="false" ht="15" hidden="false" customHeight="false" outlineLevel="0" collapsed="false">
      <c r="A782" s="0" t="s">
        <v>4373</v>
      </c>
      <c r="B782" s="0" t="s">
        <v>4374</v>
      </c>
      <c r="C782" s="0" t="s">
        <v>4375</v>
      </c>
      <c r="D782" s="0" t="s">
        <v>2385</v>
      </c>
      <c r="E782" s="0" t="n">
        <v>43334</v>
      </c>
      <c r="F782" s="0" t="s">
        <v>42</v>
      </c>
      <c r="G782" s="0" t="n">
        <v>21337013</v>
      </c>
      <c r="H782" s="0" t="n">
        <v>720196</v>
      </c>
      <c r="I782" s="0" t="s">
        <v>34</v>
      </c>
      <c r="J782" s="0" t="s">
        <v>174</v>
      </c>
      <c r="K782" s="0" t="s">
        <v>57</v>
      </c>
      <c r="L782" s="0" t="n">
        <v>224399962</v>
      </c>
      <c r="M782" s="0" t="s">
        <v>223</v>
      </c>
      <c r="N782" s="0" t="n">
        <v>103230847</v>
      </c>
      <c r="O782" s="0" t="n">
        <v>6678.54</v>
      </c>
      <c r="P782" s="0" t="n">
        <v>81.78</v>
      </c>
      <c r="Q782" s="0" t="n">
        <v>103230847</v>
      </c>
    </row>
    <row r="783" customFormat="false" ht="15" hidden="false" customHeight="false" outlineLevel="0" collapsed="false">
      <c r="A783" s="0" t="s">
        <v>4376</v>
      </c>
      <c r="B783" s="0" t="s">
        <v>4377</v>
      </c>
      <c r="C783" s="0" t="s">
        <v>4378</v>
      </c>
      <c r="D783" s="0" t="s">
        <v>2385</v>
      </c>
      <c r="E783" s="0" t="n">
        <v>43334</v>
      </c>
      <c r="F783" s="0" t="s">
        <v>42</v>
      </c>
      <c r="G783" s="0" t="n">
        <v>21337013</v>
      </c>
      <c r="H783" s="0" t="n">
        <v>720196</v>
      </c>
      <c r="I783" s="0" t="s">
        <v>34</v>
      </c>
      <c r="J783" s="0" t="s">
        <v>174</v>
      </c>
      <c r="K783" s="0" t="s">
        <v>2127</v>
      </c>
      <c r="L783" s="0" t="n">
        <v>226796675</v>
      </c>
      <c r="M783" s="0" t="s">
        <v>223</v>
      </c>
      <c r="N783" s="0" t="n">
        <v>103230847</v>
      </c>
      <c r="O783" s="0" t="n">
        <v>3339.27</v>
      </c>
      <c r="P783" s="0" t="n">
        <v>40.89</v>
      </c>
      <c r="Q783" s="0" t="n">
        <v>103230847</v>
      </c>
    </row>
    <row r="784" customFormat="false" ht="15" hidden="false" customHeight="false" outlineLevel="0" collapsed="false">
      <c r="A784" s="0" t="s">
        <v>4379</v>
      </c>
      <c r="B784" s="0" t="s">
        <v>4380</v>
      </c>
      <c r="C784" s="0" t="s">
        <v>4381</v>
      </c>
      <c r="D784" s="0" t="s">
        <v>2385</v>
      </c>
      <c r="E784" s="0" t="n">
        <v>43334</v>
      </c>
      <c r="F784" s="0" t="s">
        <v>42</v>
      </c>
      <c r="G784" s="0" t="n">
        <v>21337013</v>
      </c>
      <c r="H784" s="0" t="n">
        <v>720196</v>
      </c>
      <c r="I784" s="0" t="s">
        <v>34</v>
      </c>
      <c r="J784" s="0" t="s">
        <v>174</v>
      </c>
      <c r="K784" s="0" t="s">
        <v>2126</v>
      </c>
      <c r="L784" s="0" t="n">
        <v>226887139</v>
      </c>
      <c r="M784" s="0" t="s">
        <v>223</v>
      </c>
      <c r="N784" s="0" t="n">
        <v>103230847</v>
      </c>
      <c r="O784" s="0" t="n">
        <v>3339.27</v>
      </c>
      <c r="P784" s="0" t="n">
        <v>40.89</v>
      </c>
      <c r="Q784" s="0" t="n">
        <v>103235146</v>
      </c>
    </row>
    <row r="785" customFormat="false" ht="15" hidden="false" customHeight="false" outlineLevel="0" collapsed="false">
      <c r="A785" s="0" t="s">
        <v>4382</v>
      </c>
      <c r="B785" s="0" t="s">
        <v>4383</v>
      </c>
      <c r="C785" s="0" t="s">
        <v>4384</v>
      </c>
      <c r="D785" s="0" t="s">
        <v>2385</v>
      </c>
      <c r="E785" s="0" t="n">
        <v>43334</v>
      </c>
      <c r="F785" s="0" t="s">
        <v>42</v>
      </c>
      <c r="G785" s="0" t="n">
        <v>21337013</v>
      </c>
      <c r="H785" s="0" t="n">
        <v>720196</v>
      </c>
      <c r="I785" s="0" t="s">
        <v>34</v>
      </c>
      <c r="J785" s="0" t="s">
        <v>174</v>
      </c>
      <c r="K785" s="0" t="s">
        <v>62</v>
      </c>
      <c r="L785" s="0" t="n">
        <v>226887148</v>
      </c>
      <c r="M785" s="0" t="s">
        <v>262</v>
      </c>
      <c r="N785" s="0" t="n">
        <v>103235146</v>
      </c>
      <c r="O785" s="0" t="n">
        <v>3339.27</v>
      </c>
      <c r="P785" s="0" t="n">
        <v>40.89</v>
      </c>
      <c r="Q785" s="0" t="n">
        <v>103235146</v>
      </c>
    </row>
    <row r="786" customFormat="false" ht="15" hidden="false" customHeight="false" outlineLevel="0" collapsed="false">
      <c r="A786" s="0" t="s">
        <v>4385</v>
      </c>
      <c r="B786" s="0" t="s">
        <v>4386</v>
      </c>
      <c r="C786" s="0" t="s">
        <v>4387</v>
      </c>
      <c r="D786" s="0" t="s">
        <v>2385</v>
      </c>
      <c r="E786" s="0" t="n">
        <v>43334</v>
      </c>
      <c r="F786" s="0" t="s">
        <v>42</v>
      </c>
      <c r="G786" s="0" t="n">
        <v>21337013</v>
      </c>
      <c r="H786" s="0" t="n">
        <v>720196</v>
      </c>
      <c r="I786" s="0" t="s">
        <v>34</v>
      </c>
      <c r="J786" s="0" t="s">
        <v>174</v>
      </c>
      <c r="K786" s="0" t="s">
        <v>2125</v>
      </c>
      <c r="L786" s="0" t="n">
        <v>227035821</v>
      </c>
      <c r="M786" s="0" t="s">
        <v>223</v>
      </c>
      <c r="N786" s="0" t="n">
        <v>103230847</v>
      </c>
      <c r="O786" s="0" t="n">
        <v>3339.27</v>
      </c>
      <c r="P786" s="0" t="n">
        <v>40.89</v>
      </c>
      <c r="Q786" s="0" t="n">
        <v>103230847</v>
      </c>
    </row>
    <row r="787" customFormat="false" ht="15" hidden="false" customHeight="false" outlineLevel="0" collapsed="false">
      <c r="A787" s="0" t="s">
        <v>4388</v>
      </c>
      <c r="B787" s="0" t="s">
        <v>4389</v>
      </c>
      <c r="C787" s="0" t="s">
        <v>4390</v>
      </c>
      <c r="D787" s="0" t="s">
        <v>2385</v>
      </c>
      <c r="E787" s="0" t="n">
        <v>43334</v>
      </c>
      <c r="F787" s="0" t="s">
        <v>42</v>
      </c>
      <c r="G787" s="0" t="n">
        <v>21337013</v>
      </c>
      <c r="H787" s="0" t="n">
        <v>720196</v>
      </c>
      <c r="I787" s="0" t="s">
        <v>34</v>
      </c>
      <c r="J787" s="0" t="s">
        <v>174</v>
      </c>
      <c r="K787" s="0" t="s">
        <v>2128</v>
      </c>
      <c r="L787" s="0" t="n">
        <v>227035845</v>
      </c>
      <c r="M787" s="0" t="s">
        <v>262</v>
      </c>
      <c r="N787" s="0" t="n">
        <v>103235146</v>
      </c>
      <c r="O787" s="0" t="n">
        <v>3339.27</v>
      </c>
      <c r="P787" s="0" t="n">
        <v>40.89</v>
      </c>
      <c r="Q787" s="0" t="n">
        <v>103230847</v>
      </c>
    </row>
    <row r="788" customFormat="false" ht="15" hidden="false" customHeight="false" outlineLevel="0" collapsed="false">
      <c r="A788" s="0" t="s">
        <v>4391</v>
      </c>
      <c r="B788" s="0" t="s">
        <v>4392</v>
      </c>
      <c r="C788" s="0" t="s">
        <v>4393</v>
      </c>
      <c r="D788" s="0" t="s">
        <v>2385</v>
      </c>
      <c r="E788" s="0" t="n">
        <v>43335</v>
      </c>
      <c r="F788" s="0" t="s">
        <v>42</v>
      </c>
      <c r="G788" s="0" t="n">
        <v>21337013</v>
      </c>
      <c r="H788" s="0" t="n">
        <v>720196</v>
      </c>
      <c r="I788" s="0" t="s">
        <v>34</v>
      </c>
      <c r="J788" s="0" t="s">
        <v>174</v>
      </c>
      <c r="K788" s="0" t="s">
        <v>47</v>
      </c>
      <c r="L788" s="0" t="n">
        <v>223560299</v>
      </c>
      <c r="M788" s="0" t="s">
        <v>205</v>
      </c>
      <c r="N788" s="0" t="n">
        <v>102854019</v>
      </c>
      <c r="O788" s="0" t="n">
        <v>682.28</v>
      </c>
      <c r="P788" s="0" t="n">
        <v>12.7</v>
      </c>
      <c r="Q788" s="0" t="n">
        <v>102854019</v>
      </c>
    </row>
    <row r="789" customFormat="false" ht="15" hidden="false" customHeight="false" outlineLevel="0" collapsed="false">
      <c r="A789" s="0" t="s">
        <v>4394</v>
      </c>
      <c r="B789" s="0" t="s">
        <v>4395</v>
      </c>
      <c r="C789" s="0" t="s">
        <v>4396</v>
      </c>
      <c r="D789" s="0" t="s">
        <v>2385</v>
      </c>
      <c r="E789" s="0" t="n">
        <v>43335</v>
      </c>
      <c r="F789" s="0" t="s">
        <v>42</v>
      </c>
      <c r="G789" s="0" t="n">
        <v>21337013</v>
      </c>
      <c r="H789" s="0" t="n">
        <v>720196</v>
      </c>
      <c r="I789" s="0" t="s">
        <v>34</v>
      </c>
      <c r="J789" s="0" t="s">
        <v>174</v>
      </c>
      <c r="K789" s="0" t="s">
        <v>50</v>
      </c>
      <c r="L789" s="0" t="n">
        <v>223560332</v>
      </c>
      <c r="M789" s="0" t="s">
        <v>208</v>
      </c>
      <c r="N789" s="0" t="n">
        <v>102854037</v>
      </c>
      <c r="O789" s="0" t="n">
        <v>682.28</v>
      </c>
      <c r="P789" s="0" t="n">
        <v>12.7</v>
      </c>
      <c r="Q789" s="0" t="n">
        <v>102854037</v>
      </c>
    </row>
    <row r="790" customFormat="false" ht="15" hidden="false" customHeight="false" outlineLevel="0" collapsed="false">
      <c r="A790" s="0" t="s">
        <v>4397</v>
      </c>
      <c r="B790" s="0" t="s">
        <v>4398</v>
      </c>
      <c r="C790" s="0" t="s">
        <v>4399</v>
      </c>
      <c r="D790" s="0" t="s">
        <v>2385</v>
      </c>
      <c r="E790" s="0" t="n">
        <v>43335</v>
      </c>
      <c r="F790" s="0" t="s">
        <v>42</v>
      </c>
      <c r="G790" s="0" t="n">
        <v>21337013</v>
      </c>
      <c r="H790" s="0" t="n">
        <v>720196</v>
      </c>
      <c r="I790" s="0" t="s">
        <v>34</v>
      </c>
      <c r="J790" s="0" t="s">
        <v>174</v>
      </c>
      <c r="K790" s="0" t="s">
        <v>51</v>
      </c>
      <c r="L790" s="0" t="n">
        <v>223560338</v>
      </c>
      <c r="M790" s="0" t="s">
        <v>211</v>
      </c>
      <c r="N790" s="0" t="n">
        <v>102853603</v>
      </c>
      <c r="O790" s="0" t="n">
        <v>682.28</v>
      </c>
      <c r="P790" s="0" t="n">
        <v>12.7</v>
      </c>
      <c r="Q790" s="0" t="n">
        <v>102853603</v>
      </c>
    </row>
    <row r="791" customFormat="false" ht="15" hidden="false" customHeight="false" outlineLevel="0" collapsed="false">
      <c r="A791" s="0" t="s">
        <v>4400</v>
      </c>
      <c r="B791" s="0" t="s">
        <v>4401</v>
      </c>
      <c r="C791" s="0" t="s">
        <v>4402</v>
      </c>
      <c r="D791" s="0" t="s">
        <v>2385</v>
      </c>
      <c r="E791" s="0" t="n">
        <v>43335</v>
      </c>
      <c r="F791" s="0" t="s">
        <v>42</v>
      </c>
      <c r="G791" s="0" t="n">
        <v>21337013</v>
      </c>
      <c r="H791" s="0" t="n">
        <v>720196</v>
      </c>
      <c r="I791" s="0" t="s">
        <v>34</v>
      </c>
      <c r="J791" s="0" t="s">
        <v>174</v>
      </c>
      <c r="K791" s="0" t="s">
        <v>52</v>
      </c>
      <c r="L791" s="0" t="n">
        <v>223560344</v>
      </c>
      <c r="M791" s="0" t="s">
        <v>214</v>
      </c>
      <c r="N791" s="0" t="n">
        <v>102861246</v>
      </c>
      <c r="O791" s="0" t="n">
        <v>682.28</v>
      </c>
      <c r="P791" s="0" t="n">
        <v>12.7</v>
      </c>
      <c r="Q791" s="0" t="n">
        <v>102861246</v>
      </c>
    </row>
    <row r="792" customFormat="false" ht="15" hidden="false" customHeight="false" outlineLevel="0" collapsed="false">
      <c r="A792" s="0" t="s">
        <v>4403</v>
      </c>
      <c r="B792" s="0" t="s">
        <v>4404</v>
      </c>
      <c r="C792" s="0" t="s">
        <v>4405</v>
      </c>
      <c r="D792" s="0" t="s">
        <v>2385</v>
      </c>
      <c r="E792" s="0" t="n">
        <v>43335</v>
      </c>
      <c r="F792" s="0" t="s">
        <v>42</v>
      </c>
      <c r="G792" s="0" t="n">
        <v>21337013</v>
      </c>
      <c r="H792" s="0" t="n">
        <v>720196</v>
      </c>
      <c r="I792" s="0" t="s">
        <v>34</v>
      </c>
      <c r="J792" s="0" t="s">
        <v>174</v>
      </c>
      <c r="K792" s="0" t="s">
        <v>53</v>
      </c>
      <c r="L792" s="0" t="n">
        <v>223560350</v>
      </c>
      <c r="M792" s="0" t="s">
        <v>217</v>
      </c>
      <c r="N792" s="0" t="n">
        <v>103006547</v>
      </c>
      <c r="O792" s="0" t="n">
        <v>682.28</v>
      </c>
      <c r="P792" s="0" t="n">
        <v>12.7</v>
      </c>
      <c r="Q792" s="0" t="n">
        <v>103006547</v>
      </c>
    </row>
    <row r="793" customFormat="false" ht="15" hidden="false" customHeight="false" outlineLevel="0" collapsed="false">
      <c r="A793" s="0" t="s">
        <v>4406</v>
      </c>
      <c r="B793" s="0" t="s">
        <v>4407</v>
      </c>
      <c r="C793" s="0" t="s">
        <v>4408</v>
      </c>
      <c r="D793" s="0" t="s">
        <v>2385</v>
      </c>
      <c r="E793" s="0" t="n">
        <v>43335</v>
      </c>
      <c r="F793" s="0" t="s">
        <v>42</v>
      </c>
      <c r="G793" s="0" t="n">
        <v>21337013</v>
      </c>
      <c r="H793" s="0" t="n">
        <v>720196</v>
      </c>
      <c r="I793" s="0" t="s">
        <v>34</v>
      </c>
      <c r="J793" s="0" t="s">
        <v>174</v>
      </c>
      <c r="K793" s="0" t="s">
        <v>54</v>
      </c>
      <c r="L793" s="0" t="n">
        <v>223560356</v>
      </c>
      <c r="M793" s="0" t="s">
        <v>220</v>
      </c>
      <c r="N793" s="0" t="n">
        <v>102854016</v>
      </c>
      <c r="O793" s="0" t="n">
        <v>682.28</v>
      </c>
      <c r="P793" s="0" t="n">
        <v>12.7</v>
      </c>
      <c r="Q793" s="0" t="n">
        <v>102854016</v>
      </c>
    </row>
    <row r="794" customFormat="false" ht="15" hidden="false" customHeight="false" outlineLevel="0" collapsed="false">
      <c r="A794" s="0" t="s">
        <v>4409</v>
      </c>
      <c r="B794" s="0" t="s">
        <v>4410</v>
      </c>
      <c r="C794" s="0" t="s">
        <v>4411</v>
      </c>
      <c r="D794" s="0" t="s">
        <v>2385</v>
      </c>
      <c r="E794" s="0" t="n">
        <v>43335</v>
      </c>
      <c r="F794" s="0" t="s">
        <v>42</v>
      </c>
      <c r="G794" s="0" t="n">
        <v>21337013</v>
      </c>
      <c r="H794" s="0" t="n">
        <v>720196</v>
      </c>
      <c r="I794" s="0" t="s">
        <v>34</v>
      </c>
      <c r="J794" s="0" t="s">
        <v>174</v>
      </c>
      <c r="K794" s="0" t="s">
        <v>56</v>
      </c>
      <c r="L794" s="0" t="n">
        <v>224334170</v>
      </c>
      <c r="M794" s="0" t="s">
        <v>223</v>
      </c>
      <c r="N794" s="0" t="n">
        <v>103230847</v>
      </c>
      <c r="O794" s="0" t="n">
        <v>3339.27</v>
      </c>
      <c r="P794" s="0" t="n">
        <v>40.89</v>
      </c>
      <c r="Q794" s="0" t="n">
        <v>103235146</v>
      </c>
    </row>
    <row r="795" customFormat="false" ht="15" hidden="false" customHeight="false" outlineLevel="0" collapsed="false">
      <c r="A795" s="0" t="s">
        <v>4412</v>
      </c>
      <c r="B795" s="0" t="s">
        <v>4413</v>
      </c>
      <c r="C795" s="0" t="s">
        <v>4414</v>
      </c>
      <c r="D795" s="0" t="s">
        <v>2385</v>
      </c>
      <c r="E795" s="0" t="n">
        <v>43335</v>
      </c>
      <c r="F795" s="0" t="s">
        <v>42</v>
      </c>
      <c r="G795" s="0" t="n">
        <v>21337013</v>
      </c>
      <c r="H795" s="0" t="n">
        <v>720196</v>
      </c>
      <c r="I795" s="0" t="s">
        <v>34</v>
      </c>
      <c r="J795" s="0" t="s">
        <v>174</v>
      </c>
      <c r="K795" s="0" t="s">
        <v>2127</v>
      </c>
      <c r="L795" s="0" t="n">
        <v>226796675</v>
      </c>
      <c r="M795" s="0" t="s">
        <v>223</v>
      </c>
      <c r="N795" s="0" t="n">
        <v>103230847</v>
      </c>
      <c r="O795" s="0" t="n">
        <v>3339.27</v>
      </c>
      <c r="P795" s="0" t="n">
        <v>40.89</v>
      </c>
      <c r="Q795" s="0" t="n">
        <v>103230847</v>
      </c>
    </row>
    <row r="796" customFormat="false" ht="15" hidden="false" customHeight="false" outlineLevel="0" collapsed="false">
      <c r="A796" s="0" t="s">
        <v>4415</v>
      </c>
      <c r="B796" s="0" t="s">
        <v>4416</v>
      </c>
      <c r="C796" s="0" t="s">
        <v>4417</v>
      </c>
      <c r="D796" s="0" t="s">
        <v>2385</v>
      </c>
      <c r="E796" s="0" t="n">
        <v>43335</v>
      </c>
      <c r="F796" s="0" t="s">
        <v>42</v>
      </c>
      <c r="G796" s="0" t="n">
        <v>21337013</v>
      </c>
      <c r="H796" s="0" t="n">
        <v>720196</v>
      </c>
      <c r="I796" s="0" t="s">
        <v>34</v>
      </c>
      <c r="J796" s="0" t="s">
        <v>174</v>
      </c>
      <c r="K796" s="0" t="s">
        <v>2126</v>
      </c>
      <c r="L796" s="0" t="n">
        <v>226887139</v>
      </c>
      <c r="M796" s="0" t="s">
        <v>223</v>
      </c>
      <c r="N796" s="0" t="n">
        <v>103230847</v>
      </c>
      <c r="O796" s="0" t="n">
        <v>3339.27</v>
      </c>
      <c r="P796" s="0" t="n">
        <v>40.89</v>
      </c>
      <c r="Q796" s="0" t="n">
        <v>103235146</v>
      </c>
    </row>
    <row r="797" customFormat="false" ht="15" hidden="false" customHeight="false" outlineLevel="0" collapsed="false">
      <c r="A797" s="0" t="s">
        <v>4418</v>
      </c>
      <c r="B797" s="0" t="s">
        <v>4419</v>
      </c>
      <c r="C797" s="0" t="s">
        <v>4420</v>
      </c>
      <c r="D797" s="0" t="s">
        <v>2385</v>
      </c>
      <c r="E797" s="0" t="n">
        <v>43335</v>
      </c>
      <c r="F797" s="0" t="s">
        <v>42</v>
      </c>
      <c r="G797" s="0" t="n">
        <v>21337013</v>
      </c>
      <c r="H797" s="0" t="n">
        <v>720196</v>
      </c>
      <c r="I797" s="0" t="s">
        <v>34</v>
      </c>
      <c r="J797" s="0" t="s">
        <v>174</v>
      </c>
      <c r="K797" s="0" t="s">
        <v>61</v>
      </c>
      <c r="L797" s="0" t="n">
        <v>227036847</v>
      </c>
      <c r="M797" s="0" t="s">
        <v>223</v>
      </c>
      <c r="N797" s="0" t="n">
        <v>103230847</v>
      </c>
      <c r="O797" s="0" t="n">
        <v>6678.54</v>
      </c>
      <c r="P797" s="0" t="n">
        <v>81.78</v>
      </c>
      <c r="Q797" s="0" t="n">
        <v>103230847</v>
      </c>
    </row>
    <row r="798" customFormat="false" ht="15" hidden="false" customHeight="false" outlineLevel="0" collapsed="false">
      <c r="A798" s="0" t="s">
        <v>4421</v>
      </c>
      <c r="B798" s="0" t="s">
        <v>4422</v>
      </c>
      <c r="C798" s="0" t="s">
        <v>4423</v>
      </c>
      <c r="D798" s="0" t="s">
        <v>2385</v>
      </c>
      <c r="E798" s="0" t="n">
        <v>43336</v>
      </c>
      <c r="F798" s="0" t="s">
        <v>42</v>
      </c>
      <c r="G798" s="0" t="n">
        <v>21337013</v>
      </c>
      <c r="H798" s="0" t="n">
        <v>720196</v>
      </c>
      <c r="I798" s="0" t="s">
        <v>34</v>
      </c>
      <c r="J798" s="0" t="s">
        <v>174</v>
      </c>
      <c r="K798" s="0" t="s">
        <v>47</v>
      </c>
      <c r="L798" s="0" t="n">
        <v>223560299</v>
      </c>
      <c r="M798" s="0" t="s">
        <v>205</v>
      </c>
      <c r="N798" s="0" t="n">
        <v>102854019</v>
      </c>
      <c r="O798" s="0" t="n">
        <v>682.28</v>
      </c>
      <c r="P798" s="0" t="n">
        <v>12.7</v>
      </c>
      <c r="Q798" s="0" t="n">
        <v>102854019</v>
      </c>
    </row>
    <row r="799" customFormat="false" ht="15" hidden="false" customHeight="false" outlineLevel="0" collapsed="false">
      <c r="A799" s="0" t="s">
        <v>4424</v>
      </c>
      <c r="B799" s="0" t="s">
        <v>4425</v>
      </c>
      <c r="C799" s="0" t="s">
        <v>4426</v>
      </c>
      <c r="D799" s="0" t="s">
        <v>2385</v>
      </c>
      <c r="E799" s="0" t="n">
        <v>43336</v>
      </c>
      <c r="F799" s="0" t="s">
        <v>42</v>
      </c>
      <c r="G799" s="0" t="n">
        <v>21337013</v>
      </c>
      <c r="H799" s="0" t="n">
        <v>720196</v>
      </c>
      <c r="I799" s="0" t="s">
        <v>34</v>
      </c>
      <c r="J799" s="0" t="s">
        <v>174</v>
      </c>
      <c r="K799" s="0" t="s">
        <v>50</v>
      </c>
      <c r="L799" s="0" t="n">
        <v>223560332</v>
      </c>
      <c r="M799" s="0" t="s">
        <v>208</v>
      </c>
      <c r="N799" s="0" t="n">
        <v>102854037</v>
      </c>
      <c r="O799" s="0" t="n">
        <v>682.28</v>
      </c>
      <c r="P799" s="0" t="n">
        <v>12.7</v>
      </c>
      <c r="Q799" s="0" t="n">
        <v>102854037</v>
      </c>
    </row>
    <row r="800" customFormat="false" ht="15" hidden="false" customHeight="false" outlineLevel="0" collapsed="false">
      <c r="A800" s="0" t="s">
        <v>4427</v>
      </c>
      <c r="B800" s="0" t="s">
        <v>4428</v>
      </c>
      <c r="C800" s="0" t="s">
        <v>4429</v>
      </c>
      <c r="D800" s="0" t="s">
        <v>2385</v>
      </c>
      <c r="E800" s="0" t="n">
        <v>43336</v>
      </c>
      <c r="F800" s="0" t="s">
        <v>42</v>
      </c>
      <c r="G800" s="0" t="n">
        <v>21337013</v>
      </c>
      <c r="H800" s="0" t="n">
        <v>720196</v>
      </c>
      <c r="I800" s="0" t="s">
        <v>34</v>
      </c>
      <c r="J800" s="0" t="s">
        <v>174</v>
      </c>
      <c r="K800" s="0" t="s">
        <v>54</v>
      </c>
      <c r="L800" s="0" t="n">
        <v>223560356</v>
      </c>
      <c r="M800" s="0" t="s">
        <v>220</v>
      </c>
      <c r="N800" s="0" t="n">
        <v>102854016</v>
      </c>
      <c r="O800" s="0" t="n">
        <v>682.28</v>
      </c>
      <c r="P800" s="0" t="n">
        <v>12.7</v>
      </c>
      <c r="Q800" s="0" t="n">
        <v>102854016</v>
      </c>
    </row>
    <row r="801" customFormat="false" ht="15" hidden="false" customHeight="false" outlineLevel="0" collapsed="false">
      <c r="A801" s="0" t="s">
        <v>4430</v>
      </c>
      <c r="B801" s="0" t="s">
        <v>4431</v>
      </c>
      <c r="C801" s="0" t="s">
        <v>4432</v>
      </c>
      <c r="D801" s="0" t="s">
        <v>2385</v>
      </c>
      <c r="E801" s="0" t="n">
        <v>43336</v>
      </c>
      <c r="F801" s="0" t="s">
        <v>42</v>
      </c>
      <c r="G801" s="0" t="n">
        <v>21337013</v>
      </c>
      <c r="H801" s="0" t="n">
        <v>720196</v>
      </c>
      <c r="I801" s="0" t="s">
        <v>34</v>
      </c>
      <c r="J801" s="0" t="s">
        <v>174</v>
      </c>
      <c r="K801" s="0" t="s">
        <v>57</v>
      </c>
      <c r="L801" s="0" t="n">
        <v>224399962</v>
      </c>
      <c r="M801" s="0" t="s">
        <v>223</v>
      </c>
      <c r="N801" s="0" t="n">
        <v>103230847</v>
      </c>
      <c r="O801" s="0" t="n">
        <v>3339.27</v>
      </c>
      <c r="P801" s="0" t="n">
        <v>40.89</v>
      </c>
      <c r="Q801" s="0" t="n">
        <v>103230847</v>
      </c>
    </row>
    <row r="802" customFormat="false" ht="15" hidden="false" customHeight="false" outlineLevel="0" collapsed="false">
      <c r="A802" s="0" t="s">
        <v>4433</v>
      </c>
      <c r="B802" s="0" t="s">
        <v>4434</v>
      </c>
      <c r="C802" s="0" t="s">
        <v>4435</v>
      </c>
      <c r="D802" s="0" t="s">
        <v>2385</v>
      </c>
      <c r="E802" s="0" t="n">
        <v>43336</v>
      </c>
      <c r="F802" s="0" t="s">
        <v>42</v>
      </c>
      <c r="G802" s="0" t="n">
        <v>21337013</v>
      </c>
      <c r="H802" s="0" t="n">
        <v>720196</v>
      </c>
      <c r="I802" s="0" t="s">
        <v>34</v>
      </c>
      <c r="J802" s="0" t="s">
        <v>174</v>
      </c>
      <c r="K802" s="0" t="s">
        <v>58</v>
      </c>
      <c r="L802" s="0" t="n">
        <v>224549481</v>
      </c>
      <c r="M802" s="0" t="s">
        <v>223</v>
      </c>
      <c r="N802" s="0" t="n">
        <v>103230847</v>
      </c>
      <c r="O802" s="0" t="n">
        <v>3339.27</v>
      </c>
      <c r="P802" s="0" t="n">
        <v>40.89</v>
      </c>
      <c r="Q802" s="0" t="n">
        <v>103235146</v>
      </c>
    </row>
    <row r="803" customFormat="false" ht="15" hidden="false" customHeight="false" outlineLevel="0" collapsed="false">
      <c r="A803" s="0" t="s">
        <v>4436</v>
      </c>
      <c r="B803" s="0" t="s">
        <v>4437</v>
      </c>
      <c r="C803" s="0" t="s">
        <v>4438</v>
      </c>
      <c r="D803" s="0" t="s">
        <v>2385</v>
      </c>
      <c r="E803" s="0" t="n">
        <v>43336</v>
      </c>
      <c r="F803" s="0" t="s">
        <v>42</v>
      </c>
      <c r="G803" s="0" t="n">
        <v>21337013</v>
      </c>
      <c r="H803" s="0" t="n">
        <v>720196</v>
      </c>
      <c r="I803" s="0" t="s">
        <v>34</v>
      </c>
      <c r="J803" s="0" t="s">
        <v>174</v>
      </c>
      <c r="K803" s="0" t="s">
        <v>2127</v>
      </c>
      <c r="L803" s="0" t="n">
        <v>226796675</v>
      </c>
      <c r="M803" s="0" t="s">
        <v>223</v>
      </c>
      <c r="N803" s="0" t="n">
        <v>103230847</v>
      </c>
      <c r="O803" s="0" t="n">
        <v>3339.27</v>
      </c>
      <c r="P803" s="0" t="n">
        <v>40.89</v>
      </c>
      <c r="Q803" s="0" t="n">
        <v>103230847</v>
      </c>
    </row>
    <row r="804" customFormat="false" ht="15" hidden="false" customHeight="false" outlineLevel="0" collapsed="false">
      <c r="A804" s="0" t="s">
        <v>4439</v>
      </c>
      <c r="B804" s="0" t="s">
        <v>4440</v>
      </c>
      <c r="C804" s="0" t="s">
        <v>4441</v>
      </c>
      <c r="D804" s="0" t="s">
        <v>2385</v>
      </c>
      <c r="E804" s="0" t="n">
        <v>43336</v>
      </c>
      <c r="F804" s="0" t="s">
        <v>42</v>
      </c>
      <c r="G804" s="0" t="n">
        <v>21337013</v>
      </c>
      <c r="H804" s="0" t="n">
        <v>720196</v>
      </c>
      <c r="I804" s="0" t="s">
        <v>34</v>
      </c>
      <c r="J804" s="0" t="s">
        <v>174</v>
      </c>
      <c r="K804" s="0" t="s">
        <v>2126</v>
      </c>
      <c r="L804" s="0" t="n">
        <v>226887139</v>
      </c>
      <c r="M804" s="0" t="s">
        <v>223</v>
      </c>
      <c r="N804" s="0" t="n">
        <v>103230847</v>
      </c>
      <c r="O804" s="0" t="n">
        <v>3339.27</v>
      </c>
      <c r="P804" s="0" t="n">
        <v>40.89</v>
      </c>
      <c r="Q804" s="0" t="n">
        <v>103230847</v>
      </c>
    </row>
    <row r="805" customFormat="false" ht="15" hidden="false" customHeight="false" outlineLevel="0" collapsed="false">
      <c r="A805" s="0" t="s">
        <v>4442</v>
      </c>
      <c r="B805" s="0" t="s">
        <v>4443</v>
      </c>
      <c r="C805" s="0" t="s">
        <v>4444</v>
      </c>
      <c r="D805" s="0" t="s">
        <v>2385</v>
      </c>
      <c r="E805" s="0" t="n">
        <v>43336</v>
      </c>
      <c r="F805" s="0" t="s">
        <v>42</v>
      </c>
      <c r="G805" s="0" t="n">
        <v>21337013</v>
      </c>
      <c r="H805" s="0" t="n">
        <v>720196</v>
      </c>
      <c r="I805" s="0" t="s">
        <v>34</v>
      </c>
      <c r="J805" s="0" t="s">
        <v>174</v>
      </c>
      <c r="K805" s="0" t="s">
        <v>62</v>
      </c>
      <c r="L805" s="0" t="n">
        <v>226887148</v>
      </c>
      <c r="M805" s="0" t="s">
        <v>262</v>
      </c>
      <c r="N805" s="0" t="n">
        <v>103235146</v>
      </c>
      <c r="O805" s="0" t="n">
        <v>3339.27</v>
      </c>
      <c r="P805" s="0" t="n">
        <v>40.89</v>
      </c>
      <c r="Q805" s="0" t="n">
        <v>103235146</v>
      </c>
    </row>
    <row r="806" customFormat="false" ht="15" hidden="false" customHeight="false" outlineLevel="0" collapsed="false">
      <c r="A806" s="0" t="s">
        <v>4445</v>
      </c>
      <c r="B806" s="0" t="s">
        <v>4446</v>
      </c>
      <c r="C806" s="0" t="s">
        <v>4447</v>
      </c>
      <c r="D806" s="0" t="s">
        <v>2385</v>
      </c>
      <c r="E806" s="0" t="n">
        <v>43336</v>
      </c>
      <c r="F806" s="0" t="s">
        <v>42</v>
      </c>
      <c r="G806" s="0" t="n">
        <v>21337013</v>
      </c>
      <c r="H806" s="0" t="n">
        <v>720196</v>
      </c>
      <c r="I806" s="0" t="s">
        <v>34</v>
      </c>
      <c r="J806" s="0" t="s">
        <v>174</v>
      </c>
      <c r="K806" s="0" t="s">
        <v>59</v>
      </c>
      <c r="L806" s="0" t="n">
        <v>227035833</v>
      </c>
      <c r="M806" s="0" t="s">
        <v>223</v>
      </c>
      <c r="N806" s="0" t="n">
        <v>103230847</v>
      </c>
      <c r="O806" s="0" t="n">
        <v>3339.27</v>
      </c>
      <c r="P806" s="0" t="n">
        <v>40.89</v>
      </c>
      <c r="Q806" s="0" t="n">
        <v>103235146</v>
      </c>
    </row>
    <row r="807" customFormat="false" ht="15" hidden="false" customHeight="false" outlineLevel="0" collapsed="false">
      <c r="A807" s="0" t="s">
        <v>4448</v>
      </c>
      <c r="B807" s="0" t="s">
        <v>4449</v>
      </c>
      <c r="C807" s="0" t="s">
        <v>4450</v>
      </c>
      <c r="D807" s="0" t="s">
        <v>2385</v>
      </c>
      <c r="E807" s="0" t="n">
        <v>43336</v>
      </c>
      <c r="F807" s="0" t="s">
        <v>42</v>
      </c>
      <c r="G807" s="0" t="n">
        <v>21337013</v>
      </c>
      <c r="H807" s="0" t="n">
        <v>720196</v>
      </c>
      <c r="I807" s="0" t="s">
        <v>34</v>
      </c>
      <c r="J807" s="0" t="s">
        <v>174</v>
      </c>
      <c r="K807" s="0" t="s">
        <v>2128</v>
      </c>
      <c r="L807" s="0" t="n">
        <v>227035845</v>
      </c>
      <c r="M807" s="0" t="s">
        <v>262</v>
      </c>
      <c r="N807" s="0" t="n">
        <v>103235146</v>
      </c>
      <c r="O807" s="0" t="n">
        <v>3339.27</v>
      </c>
      <c r="P807" s="0" t="n">
        <v>40.89</v>
      </c>
      <c r="Q807" s="0" t="n">
        <v>103230847</v>
      </c>
    </row>
    <row r="808" customFormat="false" ht="15" hidden="false" customHeight="false" outlineLevel="0" collapsed="false">
      <c r="A808" s="0" t="s">
        <v>4451</v>
      </c>
      <c r="B808" s="0" t="s">
        <v>4452</v>
      </c>
      <c r="C808" s="0" t="s">
        <v>4453</v>
      </c>
      <c r="D808" s="0" t="s">
        <v>2385</v>
      </c>
      <c r="E808" s="0" t="n">
        <v>43336</v>
      </c>
      <c r="F808" s="0" t="s">
        <v>42</v>
      </c>
      <c r="G808" s="0" t="n">
        <v>21337013</v>
      </c>
      <c r="H808" s="0" t="n">
        <v>720196</v>
      </c>
      <c r="I808" s="0" t="s">
        <v>34</v>
      </c>
      <c r="J808" s="0" t="s">
        <v>174</v>
      </c>
      <c r="K808" s="0" t="s">
        <v>61</v>
      </c>
      <c r="L808" s="0" t="n">
        <v>227036847</v>
      </c>
      <c r="M808" s="0" t="s">
        <v>223</v>
      </c>
      <c r="N808" s="0" t="n">
        <v>103230847</v>
      </c>
      <c r="O808" s="0" t="n">
        <v>6678.54</v>
      </c>
      <c r="P808" s="0" t="n">
        <v>81.78</v>
      </c>
      <c r="Q808" s="0" t="n">
        <v>103230847</v>
      </c>
    </row>
    <row r="809" customFormat="false" ht="15" hidden="false" customHeight="false" outlineLevel="0" collapsed="false">
      <c r="A809" s="0" t="s">
        <v>4454</v>
      </c>
      <c r="B809" s="0" t="s">
        <v>4455</v>
      </c>
      <c r="C809" s="0" t="s">
        <v>4456</v>
      </c>
      <c r="D809" s="0" t="s">
        <v>2385</v>
      </c>
      <c r="E809" s="0" t="n">
        <v>43337</v>
      </c>
      <c r="F809" s="0" t="s">
        <v>42</v>
      </c>
      <c r="G809" s="0" t="n">
        <v>21337013</v>
      </c>
      <c r="H809" s="0" t="n">
        <v>720196</v>
      </c>
      <c r="I809" s="0" t="s">
        <v>34</v>
      </c>
      <c r="J809" s="0" t="s">
        <v>174</v>
      </c>
      <c r="K809" s="0" t="s">
        <v>47</v>
      </c>
      <c r="L809" s="0" t="n">
        <v>223560299</v>
      </c>
      <c r="M809" s="0" t="s">
        <v>205</v>
      </c>
      <c r="N809" s="0" t="n">
        <v>102854019</v>
      </c>
      <c r="O809" s="0" t="n">
        <v>682.28</v>
      </c>
      <c r="P809" s="0" t="n">
        <v>12.7</v>
      </c>
      <c r="Q809" s="0" t="n">
        <v>102854019</v>
      </c>
    </row>
    <row r="810" customFormat="false" ht="15" hidden="false" customHeight="false" outlineLevel="0" collapsed="false">
      <c r="A810" s="0" t="s">
        <v>4457</v>
      </c>
      <c r="B810" s="0" t="s">
        <v>4458</v>
      </c>
      <c r="C810" s="0" t="s">
        <v>4459</v>
      </c>
      <c r="D810" s="0" t="s">
        <v>2385</v>
      </c>
      <c r="E810" s="0" t="n">
        <v>43337</v>
      </c>
      <c r="F810" s="0" t="s">
        <v>42</v>
      </c>
      <c r="G810" s="0" t="n">
        <v>21337013</v>
      </c>
      <c r="H810" s="0" t="n">
        <v>720196</v>
      </c>
      <c r="I810" s="0" t="s">
        <v>34</v>
      </c>
      <c r="J810" s="0" t="s">
        <v>174</v>
      </c>
      <c r="K810" s="0" t="s">
        <v>50</v>
      </c>
      <c r="L810" s="0" t="n">
        <v>223560332</v>
      </c>
      <c r="M810" s="0" t="s">
        <v>208</v>
      </c>
      <c r="N810" s="0" t="n">
        <v>102854037</v>
      </c>
      <c r="O810" s="0" t="n">
        <v>682.28</v>
      </c>
      <c r="P810" s="0" t="n">
        <v>12.7</v>
      </c>
      <c r="Q810" s="0" t="n">
        <v>102854037</v>
      </c>
    </row>
    <row r="811" customFormat="false" ht="15" hidden="false" customHeight="false" outlineLevel="0" collapsed="false">
      <c r="A811" s="0" t="s">
        <v>4460</v>
      </c>
      <c r="B811" s="0" t="s">
        <v>4461</v>
      </c>
      <c r="C811" s="0" t="s">
        <v>4462</v>
      </c>
      <c r="D811" s="0" t="s">
        <v>2385</v>
      </c>
      <c r="E811" s="0" t="n">
        <v>43337</v>
      </c>
      <c r="F811" s="0" t="s">
        <v>42</v>
      </c>
      <c r="G811" s="0" t="n">
        <v>21337013</v>
      </c>
      <c r="H811" s="0" t="n">
        <v>720196</v>
      </c>
      <c r="I811" s="0" t="s">
        <v>34</v>
      </c>
      <c r="J811" s="0" t="s">
        <v>174</v>
      </c>
      <c r="K811" s="0" t="s">
        <v>51</v>
      </c>
      <c r="L811" s="0" t="n">
        <v>223560338</v>
      </c>
      <c r="M811" s="0" t="s">
        <v>211</v>
      </c>
      <c r="N811" s="0" t="n">
        <v>102853603</v>
      </c>
      <c r="O811" s="0" t="n">
        <v>682.28</v>
      </c>
      <c r="P811" s="0" t="n">
        <v>12.7</v>
      </c>
      <c r="Q811" s="0" t="n">
        <v>102853603</v>
      </c>
    </row>
    <row r="812" customFormat="false" ht="15" hidden="false" customHeight="false" outlineLevel="0" collapsed="false">
      <c r="A812" s="0" t="s">
        <v>4463</v>
      </c>
      <c r="B812" s="0" t="s">
        <v>4464</v>
      </c>
      <c r="C812" s="0" t="s">
        <v>4465</v>
      </c>
      <c r="D812" s="0" t="s">
        <v>2385</v>
      </c>
      <c r="E812" s="0" t="n">
        <v>43337</v>
      </c>
      <c r="F812" s="0" t="s">
        <v>42</v>
      </c>
      <c r="G812" s="0" t="n">
        <v>21337013</v>
      </c>
      <c r="H812" s="0" t="n">
        <v>720196</v>
      </c>
      <c r="I812" s="0" t="s">
        <v>34</v>
      </c>
      <c r="J812" s="0" t="s">
        <v>174</v>
      </c>
      <c r="K812" s="0" t="s">
        <v>53</v>
      </c>
      <c r="L812" s="0" t="n">
        <v>223560350</v>
      </c>
      <c r="M812" s="0" t="s">
        <v>217</v>
      </c>
      <c r="N812" s="0" t="n">
        <v>103006547</v>
      </c>
      <c r="O812" s="0" t="n">
        <v>682.28</v>
      </c>
      <c r="P812" s="0" t="n">
        <v>12.7</v>
      </c>
      <c r="Q812" s="0" t="n">
        <v>103006547</v>
      </c>
    </row>
    <row r="813" customFormat="false" ht="15" hidden="false" customHeight="false" outlineLevel="0" collapsed="false">
      <c r="A813" s="0" t="s">
        <v>4466</v>
      </c>
      <c r="B813" s="0" t="s">
        <v>4467</v>
      </c>
      <c r="C813" s="0" t="s">
        <v>4468</v>
      </c>
      <c r="D813" s="0" t="s">
        <v>2385</v>
      </c>
      <c r="E813" s="0" t="n">
        <v>43337</v>
      </c>
      <c r="F813" s="0" t="s">
        <v>42</v>
      </c>
      <c r="G813" s="0" t="n">
        <v>21337013</v>
      </c>
      <c r="H813" s="0" t="n">
        <v>720196</v>
      </c>
      <c r="I813" s="0" t="s">
        <v>34</v>
      </c>
      <c r="J813" s="0" t="s">
        <v>174</v>
      </c>
      <c r="K813" s="0" t="s">
        <v>54</v>
      </c>
      <c r="L813" s="0" t="n">
        <v>223560356</v>
      </c>
      <c r="M813" s="0" t="s">
        <v>220</v>
      </c>
      <c r="N813" s="0" t="n">
        <v>102854016</v>
      </c>
      <c r="O813" s="0" t="n">
        <v>682.28</v>
      </c>
      <c r="P813" s="0" t="n">
        <v>12.7</v>
      </c>
      <c r="Q813" s="0" t="n">
        <v>102854016</v>
      </c>
    </row>
    <row r="814" customFormat="false" ht="15" hidden="false" customHeight="false" outlineLevel="0" collapsed="false">
      <c r="A814" s="0" t="s">
        <v>4469</v>
      </c>
      <c r="B814" s="0" t="s">
        <v>4470</v>
      </c>
      <c r="C814" s="0" t="s">
        <v>4471</v>
      </c>
      <c r="D814" s="0" t="s">
        <v>2385</v>
      </c>
      <c r="E814" s="0" t="n">
        <v>43337</v>
      </c>
      <c r="F814" s="0" t="s">
        <v>42</v>
      </c>
      <c r="G814" s="0" t="n">
        <v>21337013</v>
      </c>
      <c r="H814" s="0" t="n">
        <v>720196</v>
      </c>
      <c r="I814" s="0" t="s">
        <v>34</v>
      </c>
      <c r="J814" s="0" t="s">
        <v>174</v>
      </c>
      <c r="K814" s="0" t="s">
        <v>56</v>
      </c>
      <c r="L814" s="0" t="n">
        <v>224334170</v>
      </c>
      <c r="M814" s="0" t="s">
        <v>223</v>
      </c>
      <c r="N814" s="0" t="n">
        <v>103230847</v>
      </c>
      <c r="O814" s="0" t="n">
        <v>3339.27</v>
      </c>
      <c r="P814" s="0" t="n">
        <v>40.89</v>
      </c>
      <c r="Q814" s="0" t="n">
        <v>103235146</v>
      </c>
    </row>
    <row r="815" customFormat="false" ht="15" hidden="false" customHeight="false" outlineLevel="0" collapsed="false">
      <c r="A815" s="0" t="s">
        <v>4472</v>
      </c>
      <c r="B815" s="0" t="s">
        <v>4473</v>
      </c>
      <c r="C815" s="0" t="s">
        <v>4474</v>
      </c>
      <c r="D815" s="0" t="s">
        <v>2385</v>
      </c>
      <c r="E815" s="0" t="n">
        <v>43337</v>
      </c>
      <c r="F815" s="0" t="s">
        <v>42</v>
      </c>
      <c r="G815" s="0" t="n">
        <v>21337013</v>
      </c>
      <c r="H815" s="0" t="n">
        <v>720196</v>
      </c>
      <c r="I815" s="0" t="s">
        <v>34</v>
      </c>
      <c r="J815" s="0" t="s">
        <v>174</v>
      </c>
      <c r="K815" s="0" t="s">
        <v>58</v>
      </c>
      <c r="L815" s="0" t="n">
        <v>224549481</v>
      </c>
      <c r="M815" s="0" t="s">
        <v>223</v>
      </c>
      <c r="N815" s="0" t="n">
        <v>103230847</v>
      </c>
      <c r="O815" s="0" t="n">
        <v>3339.27</v>
      </c>
      <c r="P815" s="0" t="n">
        <v>40.89</v>
      </c>
      <c r="Q815" s="0" t="n">
        <v>103235146</v>
      </c>
    </row>
    <row r="816" customFormat="false" ht="15" hidden="false" customHeight="false" outlineLevel="0" collapsed="false">
      <c r="A816" s="0" t="s">
        <v>4475</v>
      </c>
      <c r="B816" s="0" t="s">
        <v>4476</v>
      </c>
      <c r="C816" s="0" t="s">
        <v>4477</v>
      </c>
      <c r="D816" s="0" t="s">
        <v>2385</v>
      </c>
      <c r="E816" s="0" t="n">
        <v>43337</v>
      </c>
      <c r="F816" s="0" t="s">
        <v>42</v>
      </c>
      <c r="G816" s="0" t="n">
        <v>21337013</v>
      </c>
      <c r="H816" s="0" t="n">
        <v>720196</v>
      </c>
      <c r="I816" s="0" t="s">
        <v>34</v>
      </c>
      <c r="J816" s="0" t="s">
        <v>174</v>
      </c>
      <c r="K816" s="0" t="s">
        <v>2117</v>
      </c>
      <c r="L816" s="0" t="n">
        <v>226794002</v>
      </c>
      <c r="M816" s="0" t="s">
        <v>223</v>
      </c>
      <c r="N816" s="0" t="n">
        <v>103230847</v>
      </c>
      <c r="O816" s="0" t="n">
        <v>6678.54</v>
      </c>
      <c r="P816" s="0" t="n">
        <v>81.78</v>
      </c>
      <c r="Q816" s="0" t="n">
        <v>103230847</v>
      </c>
    </row>
    <row r="817" customFormat="false" ht="15" hidden="false" customHeight="false" outlineLevel="0" collapsed="false">
      <c r="A817" s="0" t="s">
        <v>4478</v>
      </c>
      <c r="B817" s="0" t="s">
        <v>4479</v>
      </c>
      <c r="C817" s="0" t="s">
        <v>4480</v>
      </c>
      <c r="D817" s="0" t="s">
        <v>2385</v>
      </c>
      <c r="E817" s="0" t="n">
        <v>43337</v>
      </c>
      <c r="F817" s="0" t="s">
        <v>42</v>
      </c>
      <c r="G817" s="0" t="n">
        <v>21337013</v>
      </c>
      <c r="H817" s="0" t="n">
        <v>720196</v>
      </c>
      <c r="I817" s="0" t="s">
        <v>34</v>
      </c>
      <c r="J817" s="0" t="s">
        <v>174</v>
      </c>
      <c r="K817" s="0" t="s">
        <v>2126</v>
      </c>
      <c r="L817" s="0" t="n">
        <v>226887139</v>
      </c>
      <c r="M817" s="0" t="s">
        <v>223</v>
      </c>
      <c r="N817" s="0" t="n">
        <v>103230847</v>
      </c>
      <c r="O817" s="0" t="n">
        <v>3339.27</v>
      </c>
      <c r="P817" s="0" t="n">
        <v>40.89</v>
      </c>
      <c r="Q817" s="0" t="n">
        <v>103230847</v>
      </c>
    </row>
    <row r="818" customFormat="false" ht="15" hidden="false" customHeight="false" outlineLevel="0" collapsed="false">
      <c r="A818" s="0" t="s">
        <v>4481</v>
      </c>
      <c r="B818" s="0" t="s">
        <v>4482</v>
      </c>
      <c r="C818" s="0" t="s">
        <v>4483</v>
      </c>
      <c r="D818" s="0" t="s">
        <v>2385</v>
      </c>
      <c r="E818" s="0" t="n">
        <v>43337</v>
      </c>
      <c r="F818" s="0" t="s">
        <v>42</v>
      </c>
      <c r="G818" s="0" t="n">
        <v>21337013</v>
      </c>
      <c r="H818" s="0" t="n">
        <v>720196</v>
      </c>
      <c r="I818" s="0" t="s">
        <v>34</v>
      </c>
      <c r="J818" s="0" t="s">
        <v>174</v>
      </c>
      <c r="K818" s="0" t="s">
        <v>62</v>
      </c>
      <c r="L818" s="0" t="n">
        <v>226887148</v>
      </c>
      <c r="M818" s="0" t="s">
        <v>262</v>
      </c>
      <c r="N818" s="0" t="n">
        <v>103235146</v>
      </c>
      <c r="O818" s="0" t="n">
        <v>6678.54</v>
      </c>
      <c r="P818" s="0" t="n">
        <v>81.78</v>
      </c>
      <c r="Q818" s="0" t="n">
        <v>103230847</v>
      </c>
    </row>
    <row r="819" customFormat="false" ht="15" hidden="false" customHeight="false" outlineLevel="0" collapsed="false">
      <c r="A819" s="0" t="s">
        <v>4484</v>
      </c>
      <c r="B819" s="0" t="s">
        <v>4485</v>
      </c>
      <c r="C819" s="0" t="s">
        <v>4486</v>
      </c>
      <c r="D819" s="0" t="s">
        <v>2385</v>
      </c>
      <c r="E819" s="0" t="n">
        <v>43337</v>
      </c>
      <c r="F819" s="0" t="s">
        <v>42</v>
      </c>
      <c r="G819" s="0" t="n">
        <v>21337013</v>
      </c>
      <c r="H819" s="0" t="n">
        <v>720196</v>
      </c>
      <c r="I819" s="0" t="s">
        <v>34</v>
      </c>
      <c r="J819" s="0" t="s">
        <v>174</v>
      </c>
      <c r="K819" s="0" t="s">
        <v>2119</v>
      </c>
      <c r="L819" s="0" t="n">
        <v>226889134</v>
      </c>
      <c r="M819" s="0" t="s">
        <v>223</v>
      </c>
      <c r="N819" s="0" t="n">
        <v>103230847</v>
      </c>
      <c r="O819" s="0" t="n">
        <v>6678.54</v>
      </c>
      <c r="P819" s="0" t="n">
        <v>81.78</v>
      </c>
      <c r="Q819" s="0" t="n">
        <v>103230847</v>
      </c>
    </row>
    <row r="820" customFormat="false" ht="15" hidden="false" customHeight="false" outlineLevel="0" collapsed="false">
      <c r="A820" s="0" t="s">
        <v>4487</v>
      </c>
      <c r="B820" s="0" t="s">
        <v>4488</v>
      </c>
      <c r="C820" s="0" t="s">
        <v>4489</v>
      </c>
      <c r="D820" s="0" t="s">
        <v>2385</v>
      </c>
      <c r="E820" s="0" t="n">
        <v>43337</v>
      </c>
      <c r="F820" s="0" t="s">
        <v>42</v>
      </c>
      <c r="G820" s="0" t="n">
        <v>21337013</v>
      </c>
      <c r="H820" s="0" t="n">
        <v>720196</v>
      </c>
      <c r="I820" s="0" t="s">
        <v>34</v>
      </c>
      <c r="J820" s="0" t="s">
        <v>174</v>
      </c>
      <c r="K820" s="0" t="s">
        <v>61</v>
      </c>
      <c r="L820" s="0" t="n">
        <v>227036847</v>
      </c>
      <c r="M820" s="0" t="s">
        <v>223</v>
      </c>
      <c r="N820" s="0" t="n">
        <v>103230847</v>
      </c>
      <c r="O820" s="0" t="n">
        <v>3339.27</v>
      </c>
      <c r="P820" s="0" t="n">
        <v>40.89</v>
      </c>
      <c r="Q820" s="0" t="n">
        <v>103235146</v>
      </c>
    </row>
    <row r="821" customFormat="false" ht="15" hidden="false" customHeight="false" outlineLevel="0" collapsed="false">
      <c r="A821" s="0" t="s">
        <v>2651</v>
      </c>
    </row>
    <row r="822" customFormat="false" ht="15" hidden="false" customHeight="false" outlineLevel="0" collapsed="false">
      <c r="A822" s="0" t="s">
        <v>2682</v>
      </c>
    </row>
    <row r="823" customFormat="false" ht="15" hidden="false" customHeight="false" outlineLevel="0" collapsed="false">
      <c r="A823" s="0" t="s">
        <v>2648</v>
      </c>
    </row>
    <row r="824" customFormat="false" ht="15" hidden="false" customHeight="false" outlineLevel="0" collapsed="false">
      <c r="A824" s="0" t="s">
        <v>2667</v>
      </c>
    </row>
    <row r="825" customFormat="false" ht="15" hidden="false" customHeight="false" outlineLevel="0" collapsed="false">
      <c r="A825" s="0" t="s">
        <v>2664</v>
      </c>
    </row>
    <row r="826" customFormat="false" ht="15" hidden="false" customHeight="false" outlineLevel="0" collapsed="false">
      <c r="A826" s="0" t="s">
        <v>2670</v>
      </c>
    </row>
    <row r="827" customFormat="false" ht="15" hidden="false" customHeight="false" outlineLevel="0" collapsed="false">
      <c r="A827" s="0" t="s">
        <v>2656</v>
      </c>
    </row>
    <row r="828" customFormat="false" ht="15" hidden="false" customHeight="false" outlineLevel="0" collapsed="false">
      <c r="A828" s="0" t="s">
        <v>2673</v>
      </c>
    </row>
    <row r="829" customFormat="false" ht="15" hidden="false" customHeight="false" outlineLevel="0" collapsed="false">
      <c r="A829" s="0" t="s">
        <v>2661</v>
      </c>
    </row>
    <row r="830" customFormat="false" ht="15" hidden="false" customHeight="false" outlineLevel="0" collapsed="false">
      <c r="A830" s="0" t="s">
        <v>2645</v>
      </c>
    </row>
    <row r="831" customFormat="false" ht="15" hidden="false" customHeight="false" outlineLevel="0" collapsed="false">
      <c r="A831" s="0" t="s">
        <v>2676</v>
      </c>
    </row>
    <row r="832" customFormat="false" ht="15" hidden="false" customHeight="false" outlineLevel="0" collapsed="false">
      <c r="A832" s="0" t="s">
        <v>2679</v>
      </c>
    </row>
    <row r="833" customFormat="false" ht="15" hidden="false" customHeight="false" outlineLevel="0" collapsed="false">
      <c r="A833" s="0" t="s">
        <v>3255</v>
      </c>
    </row>
    <row r="834" customFormat="false" ht="15" hidden="false" customHeight="false" outlineLevel="0" collapsed="false">
      <c r="A834" s="0" t="s">
        <v>3244</v>
      </c>
    </row>
    <row r="835" customFormat="false" ht="15" hidden="false" customHeight="false" outlineLevel="0" collapsed="false">
      <c r="A835" s="0" t="s">
        <v>3238</v>
      </c>
    </row>
    <row r="836" customFormat="false" ht="15" hidden="false" customHeight="false" outlineLevel="0" collapsed="false">
      <c r="A836" s="0" t="s">
        <v>3260</v>
      </c>
    </row>
    <row r="837" customFormat="false" ht="15" hidden="false" customHeight="false" outlineLevel="0" collapsed="false">
      <c r="A837" s="0" t="s">
        <v>3266</v>
      </c>
    </row>
    <row r="838" customFormat="false" ht="15" hidden="false" customHeight="false" outlineLevel="0" collapsed="false">
      <c r="A838" s="0" t="s">
        <v>3272</v>
      </c>
    </row>
    <row r="839" customFormat="false" ht="15" hidden="false" customHeight="false" outlineLevel="0" collapsed="false">
      <c r="A839" s="0" t="s">
        <v>3287</v>
      </c>
    </row>
    <row r="840" customFormat="false" ht="15" hidden="false" customHeight="false" outlineLevel="0" collapsed="false">
      <c r="A840" s="0" t="s">
        <v>3247</v>
      </c>
    </row>
    <row r="841" customFormat="false" ht="15" hidden="false" customHeight="false" outlineLevel="0" collapsed="false">
      <c r="A841" s="0" t="s">
        <v>3241</v>
      </c>
    </row>
    <row r="842" customFormat="false" ht="15" hidden="false" customHeight="false" outlineLevel="0" collapsed="false">
      <c r="A842" s="0" t="s">
        <v>3263</v>
      </c>
    </row>
    <row r="843" customFormat="false" ht="15" hidden="false" customHeight="false" outlineLevel="0" collapsed="false">
      <c r="A843" s="0" t="s">
        <v>3233</v>
      </c>
    </row>
    <row r="844" customFormat="false" ht="15" hidden="false" customHeight="false" outlineLevel="0" collapsed="false">
      <c r="A844" s="0" t="s">
        <v>3269</v>
      </c>
    </row>
    <row r="845" customFormat="false" ht="15" hidden="false" customHeight="false" outlineLevel="0" collapsed="false">
      <c r="A845" s="0" t="s">
        <v>3275</v>
      </c>
    </row>
    <row r="846" customFormat="false" ht="15" hidden="false" customHeight="false" outlineLevel="0" collapsed="false">
      <c r="A846" s="0" t="s">
        <v>3250</v>
      </c>
    </row>
    <row r="847" customFormat="false" ht="15" hidden="false" customHeight="false" outlineLevel="0" collapsed="false">
      <c r="A847" s="0" t="s">
        <v>3281</v>
      </c>
    </row>
    <row r="848" customFormat="false" ht="15" hidden="false" customHeight="false" outlineLevel="0" collapsed="false">
      <c r="A848" s="0" t="s">
        <v>3212</v>
      </c>
    </row>
    <row r="849" customFormat="false" ht="15" hidden="false" customHeight="false" outlineLevel="0" collapsed="false">
      <c r="A849" s="0" t="s">
        <v>3217</v>
      </c>
    </row>
    <row r="850" customFormat="false" ht="15" hidden="false" customHeight="false" outlineLevel="0" collapsed="false">
      <c r="A850" s="0" t="s">
        <v>3278</v>
      </c>
    </row>
    <row r="851" customFormat="false" ht="15" hidden="false" customHeight="false" outlineLevel="0" collapsed="false">
      <c r="A851" s="0" t="s">
        <v>3224</v>
      </c>
    </row>
    <row r="852" customFormat="false" ht="15" hidden="false" customHeight="false" outlineLevel="0" collapsed="false">
      <c r="A852" s="0" t="s">
        <v>3284</v>
      </c>
    </row>
    <row r="853" customFormat="false" ht="15" hidden="false" customHeight="false" outlineLevel="0" collapsed="false">
      <c r="A853" s="0" t="s">
        <v>3290</v>
      </c>
    </row>
    <row r="854" customFormat="false" ht="15" hidden="false" customHeight="false" outlineLevel="0" collapsed="false">
      <c r="A854" s="0" t="s">
        <v>3311</v>
      </c>
    </row>
    <row r="855" customFormat="false" ht="15" hidden="false" customHeight="false" outlineLevel="0" collapsed="false">
      <c r="A855" s="0" t="s">
        <v>3747</v>
      </c>
    </row>
    <row r="856" customFormat="false" ht="15" hidden="false" customHeight="false" outlineLevel="0" collapsed="false">
      <c r="A856" s="0" t="s">
        <v>3588</v>
      </c>
    </row>
    <row r="857" customFormat="false" ht="15" hidden="false" customHeight="false" outlineLevel="0" collapsed="false">
      <c r="A857" s="0" t="s">
        <v>3665</v>
      </c>
    </row>
    <row r="858" customFormat="false" ht="15" hidden="false" customHeight="false" outlineLevel="0" collapsed="false">
      <c r="A858" s="0" t="s">
        <v>3686</v>
      </c>
    </row>
    <row r="859" customFormat="false" ht="15" hidden="false" customHeight="false" outlineLevel="0" collapsed="false">
      <c r="A859" s="0" t="s">
        <v>3707</v>
      </c>
    </row>
    <row r="860" customFormat="false" ht="15" hidden="false" customHeight="false" outlineLevel="0" collapsed="false">
      <c r="A860" s="0" t="s">
        <v>3991</v>
      </c>
    </row>
    <row r="861" customFormat="false" ht="15" hidden="false" customHeight="false" outlineLevel="0" collapsed="false">
      <c r="A861" s="0" t="s">
        <v>3907</v>
      </c>
    </row>
    <row r="862" customFormat="false" ht="15" hidden="false" customHeight="false" outlineLevel="0" collapsed="false">
      <c r="A862" s="0" t="s">
        <v>3928</v>
      </c>
    </row>
    <row r="863" customFormat="false" ht="15" hidden="false" customHeight="false" outlineLevel="0" collapsed="false">
      <c r="A863" s="0" t="s">
        <v>3949</v>
      </c>
    </row>
    <row r="864" customFormat="false" ht="15" hidden="false" customHeight="false" outlineLevel="0" collapsed="false">
      <c r="A864" s="0" t="s">
        <v>3970</v>
      </c>
    </row>
    <row r="865" customFormat="false" ht="15" hidden="false" customHeight="false" outlineLevel="0" collapsed="false">
      <c r="A865" s="0" t="s">
        <v>3798</v>
      </c>
    </row>
    <row r="866" customFormat="false" ht="15" hidden="false" customHeight="false" outlineLevel="0" collapsed="false">
      <c r="A866" s="0" t="s">
        <v>3830</v>
      </c>
    </row>
    <row r="867" customFormat="false" ht="15" hidden="false" customHeight="false" outlineLevel="0" collapsed="false">
      <c r="A867" s="0" t="s">
        <v>3727</v>
      </c>
    </row>
    <row r="868" customFormat="false" ht="15" hidden="false" customHeight="false" outlineLevel="0" collapsed="false">
      <c r="A868" s="0" t="s">
        <v>3777</v>
      </c>
    </row>
    <row r="869" customFormat="false" ht="15" hidden="false" customHeight="false" outlineLevel="0" collapsed="false">
      <c r="A869" s="0" t="s">
        <v>4133</v>
      </c>
    </row>
    <row r="870" customFormat="false" ht="15" hidden="false" customHeight="false" outlineLevel="0" collapsed="false">
      <c r="A870" s="0" t="s">
        <v>4173</v>
      </c>
    </row>
    <row r="871" customFormat="false" ht="15" hidden="false" customHeight="false" outlineLevel="0" collapsed="false">
      <c r="A871" s="0" t="s">
        <v>4040</v>
      </c>
    </row>
    <row r="872" customFormat="false" ht="15" hidden="false" customHeight="false" outlineLevel="0" collapsed="false">
      <c r="A872" s="0" t="s">
        <v>4070</v>
      </c>
    </row>
    <row r="873" customFormat="false" ht="15" hidden="false" customHeight="false" outlineLevel="0" collapsed="false">
      <c r="A873" s="0" t="s">
        <v>4274</v>
      </c>
    </row>
    <row r="874" customFormat="false" ht="15" hidden="false" customHeight="false" outlineLevel="0" collapsed="false">
      <c r="A874" s="0" t="s">
        <v>4271</v>
      </c>
    </row>
    <row r="875" customFormat="false" ht="15" hidden="false" customHeight="false" outlineLevel="0" collapsed="false">
      <c r="A875" s="0" t="s">
        <v>4277</v>
      </c>
    </row>
    <row r="876" customFormat="false" ht="15" hidden="false" customHeight="false" outlineLevel="0" collapsed="false">
      <c r="A876" s="0" t="s">
        <v>4253</v>
      </c>
    </row>
    <row r="877" customFormat="false" ht="15" hidden="false" customHeight="false" outlineLevel="0" collapsed="false">
      <c r="A877" s="0" t="s">
        <v>4268</v>
      </c>
    </row>
    <row r="878" customFormat="false" ht="15" hidden="false" customHeight="false" outlineLevel="0" collapsed="false">
      <c r="A878" s="0" t="s">
        <v>4265</v>
      </c>
    </row>
    <row r="879" customFormat="false" ht="15" hidden="false" customHeight="false" outlineLevel="0" collapsed="false">
      <c r="A879" s="0" t="s">
        <v>4262</v>
      </c>
    </row>
    <row r="880" customFormat="false" ht="15" hidden="false" customHeight="false" outlineLevel="0" collapsed="false">
      <c r="A880" s="0" t="s">
        <v>4259</v>
      </c>
    </row>
    <row r="881" customFormat="false" ht="15" hidden="false" customHeight="false" outlineLevel="0" collapsed="false">
      <c r="A881" s="0" t="s">
        <v>4256</v>
      </c>
    </row>
    <row r="882" customFormat="false" ht="15" hidden="false" customHeight="false" outlineLevel="0" collapsed="false">
      <c r="A882" s="0" t="s">
        <v>4286</v>
      </c>
    </row>
    <row r="883" customFormat="false" ht="15" hidden="false" customHeight="false" outlineLevel="0" collapsed="false">
      <c r="A883" s="0" t="s">
        <v>4289</v>
      </c>
    </row>
    <row r="884" customFormat="false" ht="15" hidden="false" customHeight="false" outlineLevel="0" collapsed="false">
      <c r="A884" s="0" t="s">
        <v>4280</v>
      </c>
    </row>
    <row r="885" customFormat="false" ht="15" hidden="false" customHeight="false" outlineLevel="0" collapsed="false">
      <c r="A885" s="0" t="s">
        <v>4292</v>
      </c>
    </row>
    <row r="886" customFormat="false" ht="15" hidden="false" customHeight="false" outlineLevel="0" collapsed="false">
      <c r="A886" s="0" t="s">
        <v>4283</v>
      </c>
    </row>
    <row r="887" customFormat="false" ht="15" hidden="false" customHeight="false" outlineLevel="0" collapsed="false">
      <c r="A887" s="0" t="s">
        <v>4179</v>
      </c>
    </row>
    <row r="888" customFormat="false" ht="15" hidden="false" customHeight="false" outlineLevel="0" collapsed="false">
      <c r="A888" s="0" t="s">
        <v>4176</v>
      </c>
    </row>
    <row r="889" customFormat="false" ht="15" hidden="false" customHeight="false" outlineLevel="0" collapsed="false">
      <c r="A889" s="0" t="s">
        <v>4182</v>
      </c>
    </row>
    <row r="890" customFormat="false" ht="15" hidden="false" customHeight="false" outlineLevel="0" collapsed="false">
      <c r="A890" s="0" t="s">
        <v>2611</v>
      </c>
    </row>
    <row r="891" customFormat="false" ht="15" hidden="false" customHeight="false" outlineLevel="0" collapsed="false">
      <c r="A891" s="0" t="s">
        <v>2628</v>
      </c>
    </row>
    <row r="892" customFormat="false" ht="15" hidden="false" customHeight="false" outlineLevel="0" collapsed="false">
      <c r="A892" s="0" t="s">
        <v>2603</v>
      </c>
    </row>
    <row r="893" customFormat="false" ht="15" hidden="false" customHeight="false" outlineLevel="0" collapsed="false">
      <c r="A893" s="0" t="s">
        <v>2606</v>
      </c>
    </row>
    <row r="894" customFormat="false" ht="15" hidden="false" customHeight="false" outlineLevel="0" collapsed="false">
      <c r="A894" s="0" t="s">
        <v>2622</v>
      </c>
    </row>
    <row r="895" customFormat="false" ht="15" hidden="false" customHeight="false" outlineLevel="0" collapsed="false">
      <c r="A895" s="0" t="s">
        <v>2616</v>
      </c>
    </row>
    <row r="896" customFormat="false" ht="15" hidden="false" customHeight="false" outlineLevel="0" collapsed="false">
      <c r="A896" s="0" t="s">
        <v>2619</v>
      </c>
    </row>
    <row r="897" customFormat="false" ht="15" hidden="false" customHeight="false" outlineLevel="0" collapsed="false">
      <c r="A897" s="0" t="s">
        <v>2640</v>
      </c>
    </row>
    <row r="898" customFormat="false" ht="15" hidden="false" customHeight="false" outlineLevel="0" collapsed="false">
      <c r="A898" s="0" t="s">
        <v>2637</v>
      </c>
    </row>
    <row r="899" customFormat="false" ht="15" hidden="false" customHeight="false" outlineLevel="0" collapsed="false">
      <c r="A899" s="0" t="s">
        <v>2634</v>
      </c>
    </row>
    <row r="900" customFormat="false" ht="15" hidden="false" customHeight="false" outlineLevel="0" collapsed="false">
      <c r="A900" s="0" t="s">
        <v>2600</v>
      </c>
    </row>
    <row r="901" customFormat="false" ht="15" hidden="false" customHeight="false" outlineLevel="0" collapsed="false">
      <c r="A901" s="0" t="s">
        <v>2625</v>
      </c>
    </row>
    <row r="902" customFormat="false" ht="15" hidden="false" customHeight="false" outlineLevel="0" collapsed="false">
      <c r="A902" s="0" t="s">
        <v>2631</v>
      </c>
    </row>
    <row r="903" customFormat="false" ht="15" hidden="false" customHeight="false" outlineLevel="0" collapsed="false">
      <c r="A903" s="0" t="s">
        <v>3185</v>
      </c>
    </row>
    <row r="904" customFormat="false" ht="15" hidden="false" customHeight="false" outlineLevel="0" collapsed="false">
      <c r="A904" s="0" t="s">
        <v>3157</v>
      </c>
    </row>
    <row r="905" customFormat="false" ht="15" hidden="false" customHeight="false" outlineLevel="0" collapsed="false">
      <c r="A905" s="0" t="s">
        <v>3128</v>
      </c>
    </row>
    <row r="906" customFormat="false" ht="15" hidden="false" customHeight="false" outlineLevel="0" collapsed="false">
      <c r="A906" s="0" t="s">
        <v>3196</v>
      </c>
    </row>
    <row r="907" customFormat="false" ht="15" hidden="false" customHeight="false" outlineLevel="0" collapsed="false">
      <c r="A907" s="0" t="s">
        <v>3170</v>
      </c>
    </row>
    <row r="908" customFormat="false" ht="15" hidden="false" customHeight="false" outlineLevel="0" collapsed="false">
      <c r="A908" s="0" t="s">
        <v>3134</v>
      </c>
    </row>
    <row r="909" customFormat="false" ht="15" hidden="false" customHeight="false" outlineLevel="0" collapsed="false">
      <c r="A909" s="0" t="s">
        <v>3137</v>
      </c>
    </row>
    <row r="910" customFormat="false" ht="15" hidden="false" customHeight="false" outlineLevel="0" collapsed="false">
      <c r="A910" s="0" t="s">
        <v>3179</v>
      </c>
    </row>
    <row r="911" customFormat="false" ht="15" hidden="false" customHeight="false" outlineLevel="0" collapsed="false">
      <c r="A911" s="0" t="s">
        <v>3144</v>
      </c>
    </row>
    <row r="912" customFormat="false" ht="15" hidden="false" customHeight="false" outlineLevel="0" collapsed="false">
      <c r="A912" s="0" t="s">
        <v>3182</v>
      </c>
    </row>
    <row r="913" customFormat="false" ht="15" hidden="false" customHeight="false" outlineLevel="0" collapsed="false">
      <c r="A913" s="0" t="s">
        <v>3199</v>
      </c>
    </row>
    <row r="914" customFormat="false" ht="15" hidden="false" customHeight="false" outlineLevel="0" collapsed="false">
      <c r="A914" s="0" t="s">
        <v>3207</v>
      </c>
    </row>
    <row r="915" customFormat="false" ht="15" hidden="false" customHeight="false" outlineLevel="0" collapsed="false">
      <c r="A915" s="0" t="s">
        <v>3173</v>
      </c>
    </row>
    <row r="916" customFormat="false" ht="15" hidden="false" customHeight="false" outlineLevel="0" collapsed="false">
      <c r="A916" s="0" t="s">
        <v>3167</v>
      </c>
    </row>
    <row r="917" customFormat="false" ht="15" hidden="false" customHeight="false" outlineLevel="0" collapsed="false">
      <c r="A917" s="0" t="s">
        <v>3193</v>
      </c>
    </row>
    <row r="918" customFormat="false" ht="15" hidden="false" customHeight="false" outlineLevel="0" collapsed="false">
      <c r="A918" s="0" t="s">
        <v>3154</v>
      </c>
    </row>
    <row r="919" customFormat="false" ht="15" hidden="false" customHeight="false" outlineLevel="0" collapsed="false">
      <c r="A919" s="0" t="s">
        <v>3176</v>
      </c>
    </row>
    <row r="920" customFormat="false" ht="15" hidden="false" customHeight="false" outlineLevel="0" collapsed="false">
      <c r="A920" s="0" t="s">
        <v>3162</v>
      </c>
    </row>
    <row r="921" customFormat="false" ht="15" hidden="false" customHeight="false" outlineLevel="0" collapsed="false">
      <c r="A921" s="0" t="s">
        <v>3149</v>
      </c>
    </row>
    <row r="922" customFormat="false" ht="15" hidden="false" customHeight="false" outlineLevel="0" collapsed="false">
      <c r="A922" s="0" t="s">
        <v>3190</v>
      </c>
    </row>
    <row r="923" customFormat="false" ht="15" hidden="false" customHeight="false" outlineLevel="0" collapsed="false">
      <c r="A923" s="0" t="s">
        <v>3204</v>
      </c>
    </row>
    <row r="924" customFormat="false" ht="15" hidden="false" customHeight="false" outlineLevel="0" collapsed="false">
      <c r="A924" s="0" t="s">
        <v>3131</v>
      </c>
    </row>
    <row r="925" customFormat="false" ht="15" hidden="false" customHeight="false" outlineLevel="0" collapsed="false">
      <c r="A925" s="0" t="s">
        <v>3293</v>
      </c>
    </row>
    <row r="926" customFormat="false" ht="15" hidden="false" customHeight="false" outlineLevel="0" collapsed="false">
      <c r="A926" s="0" t="s">
        <v>3314</v>
      </c>
    </row>
    <row r="927" customFormat="false" ht="15" hidden="false" customHeight="false" outlineLevel="0" collapsed="false">
      <c r="A927" s="0" t="s">
        <v>3585</v>
      </c>
    </row>
    <row r="928" customFormat="false" ht="15" hidden="false" customHeight="false" outlineLevel="0" collapsed="false">
      <c r="A928" s="0" t="s">
        <v>3662</v>
      </c>
    </row>
    <row r="929" customFormat="false" ht="15" hidden="false" customHeight="false" outlineLevel="0" collapsed="false">
      <c r="A929" s="0" t="s">
        <v>3683</v>
      </c>
    </row>
    <row r="930" customFormat="false" ht="15" hidden="false" customHeight="false" outlineLevel="0" collapsed="false">
      <c r="A930" s="0" t="s">
        <v>3704</v>
      </c>
    </row>
    <row r="931" customFormat="false" ht="15" hidden="false" customHeight="false" outlineLevel="0" collapsed="false">
      <c r="A931" s="0" t="s">
        <v>4150</v>
      </c>
    </row>
    <row r="932" customFormat="false" ht="15" hidden="false" customHeight="false" outlineLevel="0" collapsed="false">
      <c r="A932" s="0" t="s">
        <v>3988</v>
      </c>
    </row>
    <row r="933" customFormat="false" ht="15" hidden="false" customHeight="false" outlineLevel="0" collapsed="false">
      <c r="A933" s="0" t="s">
        <v>3904</v>
      </c>
    </row>
    <row r="934" customFormat="false" ht="15" hidden="false" customHeight="false" outlineLevel="0" collapsed="false">
      <c r="A934" s="0" t="s">
        <v>3925</v>
      </c>
    </row>
    <row r="935" customFormat="false" ht="15" hidden="false" customHeight="false" outlineLevel="0" collapsed="false">
      <c r="A935" s="0" t="s">
        <v>3946</v>
      </c>
    </row>
    <row r="936" customFormat="false" ht="15" hidden="false" customHeight="false" outlineLevel="0" collapsed="false">
      <c r="A936" s="0" t="s">
        <v>3967</v>
      </c>
    </row>
    <row r="937" customFormat="false" ht="15" hidden="false" customHeight="false" outlineLevel="0" collapsed="false">
      <c r="A937" s="0" t="s">
        <v>3795</v>
      </c>
    </row>
    <row r="938" customFormat="false" ht="15" hidden="false" customHeight="false" outlineLevel="0" collapsed="false">
      <c r="A938" s="0" t="s">
        <v>3827</v>
      </c>
    </row>
    <row r="939" customFormat="false" ht="15" hidden="false" customHeight="false" outlineLevel="0" collapsed="false">
      <c r="A939" s="0" t="s">
        <v>3724</v>
      </c>
    </row>
    <row r="940" customFormat="false" ht="15" hidden="false" customHeight="false" outlineLevel="0" collapsed="false">
      <c r="A940" s="0" t="s">
        <v>3774</v>
      </c>
    </row>
    <row r="941" customFormat="false" ht="15" hidden="false" customHeight="false" outlineLevel="0" collapsed="false">
      <c r="A941" s="0" t="s">
        <v>4130</v>
      </c>
    </row>
    <row r="942" customFormat="false" ht="15" hidden="false" customHeight="false" outlineLevel="0" collapsed="false">
      <c r="A942" s="0" t="s">
        <v>4170</v>
      </c>
    </row>
    <row r="943" customFormat="false" ht="15" hidden="false" customHeight="false" outlineLevel="0" collapsed="false">
      <c r="A943" s="0" t="s">
        <v>4037</v>
      </c>
    </row>
    <row r="944" customFormat="false" ht="15" hidden="false" customHeight="false" outlineLevel="0" collapsed="false">
      <c r="A944" s="0" t="s">
        <v>4067</v>
      </c>
    </row>
    <row r="945" customFormat="false" ht="15" hidden="false" customHeight="false" outlineLevel="0" collapsed="false">
      <c r="A945" s="0" t="s">
        <v>4307</v>
      </c>
    </row>
    <row r="946" customFormat="false" ht="15" hidden="false" customHeight="false" outlineLevel="0" collapsed="false">
      <c r="A946" s="0" t="s">
        <v>4304</v>
      </c>
    </row>
    <row r="947" customFormat="false" ht="15" hidden="false" customHeight="false" outlineLevel="0" collapsed="false">
      <c r="A947" s="0" t="s">
        <v>4301</v>
      </c>
    </row>
    <row r="948" customFormat="false" ht="15" hidden="false" customHeight="false" outlineLevel="0" collapsed="false">
      <c r="A948" s="0" t="s">
        <v>4298</v>
      </c>
    </row>
    <row r="949" customFormat="false" ht="15" hidden="false" customHeight="false" outlineLevel="0" collapsed="false">
      <c r="A949" s="0" t="s">
        <v>4295</v>
      </c>
    </row>
    <row r="950" customFormat="false" ht="15" hidden="false" customHeight="false" outlineLevel="0" collapsed="false">
      <c r="A950" s="0" t="s">
        <v>4313</v>
      </c>
    </row>
    <row r="951" customFormat="false" ht="15" hidden="false" customHeight="false" outlineLevel="0" collapsed="false">
      <c r="A951" s="0" t="s">
        <v>4316</v>
      </c>
    </row>
    <row r="952" customFormat="false" ht="15" hidden="false" customHeight="false" outlineLevel="0" collapsed="false">
      <c r="A952" s="0" t="s">
        <v>4319</v>
      </c>
    </row>
    <row r="953" customFormat="false" ht="15" hidden="false" customHeight="false" outlineLevel="0" collapsed="false">
      <c r="A953" s="0" t="s">
        <v>4310</v>
      </c>
    </row>
    <row r="954" customFormat="false" ht="15" hidden="false" customHeight="false" outlineLevel="0" collapsed="false">
      <c r="A954" s="0" t="s">
        <v>4187</v>
      </c>
    </row>
    <row r="955" customFormat="false" ht="15" hidden="false" customHeight="false" outlineLevel="0" collapsed="false">
      <c r="A955" s="0" t="s">
        <v>4190</v>
      </c>
    </row>
    <row r="956" customFormat="false" ht="15" hidden="false" customHeight="false" outlineLevel="0" collapsed="false">
      <c r="A956" s="0" t="s">
        <v>4193</v>
      </c>
    </row>
    <row r="957" customFormat="false" ht="15" hidden="false" customHeight="false" outlineLevel="0" collapsed="false">
      <c r="A957" s="0" t="s">
        <v>2583</v>
      </c>
    </row>
    <row r="958" customFormat="false" ht="15" hidden="false" customHeight="false" outlineLevel="0" collapsed="false">
      <c r="A958" s="0" t="s">
        <v>2591</v>
      </c>
    </row>
    <row r="959" customFormat="false" ht="15" hidden="false" customHeight="false" outlineLevel="0" collapsed="false">
      <c r="A959" s="0" t="s">
        <v>2563</v>
      </c>
    </row>
    <row r="960" customFormat="false" ht="15" hidden="false" customHeight="false" outlineLevel="0" collapsed="false">
      <c r="A960" s="0" t="s">
        <v>2572</v>
      </c>
    </row>
    <row r="961" customFormat="false" ht="15" hidden="false" customHeight="false" outlineLevel="0" collapsed="false">
      <c r="A961" s="0" t="s">
        <v>2569</v>
      </c>
    </row>
    <row r="962" customFormat="false" ht="15" hidden="false" customHeight="false" outlineLevel="0" collapsed="false">
      <c r="A962" s="0" t="s">
        <v>2566</v>
      </c>
    </row>
    <row r="963" customFormat="false" ht="15" hidden="false" customHeight="false" outlineLevel="0" collapsed="false">
      <c r="A963" s="0" t="s">
        <v>2597</v>
      </c>
    </row>
    <row r="964" customFormat="false" ht="15" hidden="false" customHeight="false" outlineLevel="0" collapsed="false">
      <c r="A964" s="0" t="s">
        <v>2594</v>
      </c>
    </row>
    <row r="965" customFormat="false" ht="15" hidden="false" customHeight="false" outlineLevel="0" collapsed="false">
      <c r="A965" s="0" t="s">
        <v>2560</v>
      </c>
    </row>
    <row r="966" customFormat="false" ht="15" hidden="false" customHeight="false" outlineLevel="0" collapsed="false">
      <c r="A966" s="0" t="s">
        <v>2580</v>
      </c>
    </row>
    <row r="967" customFormat="false" ht="15" hidden="false" customHeight="false" outlineLevel="0" collapsed="false">
      <c r="A967" s="0" t="s">
        <v>2588</v>
      </c>
    </row>
    <row r="968" customFormat="false" ht="15" hidden="false" customHeight="false" outlineLevel="0" collapsed="false">
      <c r="A968" s="0" t="s">
        <v>2575</v>
      </c>
    </row>
    <row r="969" customFormat="false" ht="15" hidden="false" customHeight="false" outlineLevel="0" collapsed="false">
      <c r="A969" s="0" t="s">
        <v>3092</v>
      </c>
    </row>
    <row r="970" customFormat="false" ht="15" hidden="false" customHeight="false" outlineLevel="0" collapsed="false">
      <c r="A970" s="0" t="s">
        <v>3100</v>
      </c>
    </row>
    <row r="971" customFormat="false" ht="15" hidden="false" customHeight="false" outlineLevel="0" collapsed="false">
      <c r="A971" s="0" t="s">
        <v>3089</v>
      </c>
    </row>
    <row r="972" customFormat="false" ht="15" hidden="false" customHeight="false" outlineLevel="0" collapsed="false">
      <c r="A972" s="0" t="s">
        <v>3086</v>
      </c>
    </row>
    <row r="973" customFormat="false" ht="15" hidden="false" customHeight="false" outlineLevel="0" collapsed="false">
      <c r="A973" s="0" t="s">
        <v>3116</v>
      </c>
    </row>
    <row r="974" customFormat="false" ht="15" hidden="false" customHeight="false" outlineLevel="0" collapsed="false">
      <c r="A974" s="0" t="s">
        <v>3043</v>
      </c>
    </row>
    <row r="975" customFormat="false" ht="15" hidden="false" customHeight="false" outlineLevel="0" collapsed="false">
      <c r="A975" s="0" t="s">
        <v>3110</v>
      </c>
    </row>
    <row r="976" customFormat="false" ht="15" hidden="false" customHeight="false" outlineLevel="0" collapsed="false">
      <c r="A976" s="0" t="s">
        <v>3046</v>
      </c>
    </row>
    <row r="977" customFormat="false" ht="15" hidden="false" customHeight="false" outlineLevel="0" collapsed="false">
      <c r="A977" s="0" t="s">
        <v>3103</v>
      </c>
    </row>
    <row r="978" customFormat="false" ht="15" hidden="false" customHeight="false" outlineLevel="0" collapsed="false">
      <c r="A978" s="0" t="s">
        <v>3081</v>
      </c>
    </row>
    <row r="979" customFormat="false" ht="15" hidden="false" customHeight="false" outlineLevel="0" collapsed="false">
      <c r="A979" s="0" t="s">
        <v>3119</v>
      </c>
    </row>
    <row r="980" customFormat="false" ht="15" hidden="false" customHeight="false" outlineLevel="0" collapsed="false">
      <c r="A980" s="0" t="s">
        <v>3122</v>
      </c>
    </row>
    <row r="981" customFormat="false" ht="15" hidden="false" customHeight="false" outlineLevel="0" collapsed="false">
      <c r="A981" s="0" t="s">
        <v>3125</v>
      </c>
    </row>
    <row r="982" customFormat="false" ht="15" hidden="false" customHeight="false" outlineLevel="0" collapsed="false">
      <c r="A982" s="0" t="s">
        <v>3067</v>
      </c>
    </row>
    <row r="983" customFormat="false" ht="15" hidden="false" customHeight="false" outlineLevel="0" collapsed="false">
      <c r="A983" s="0" t="s">
        <v>3078</v>
      </c>
    </row>
    <row r="984" customFormat="false" ht="15" hidden="false" customHeight="false" outlineLevel="0" collapsed="false">
      <c r="A984" s="0" t="s">
        <v>3055</v>
      </c>
    </row>
    <row r="985" customFormat="false" ht="15" hidden="false" customHeight="false" outlineLevel="0" collapsed="false">
      <c r="A985" s="0" t="s">
        <v>3052</v>
      </c>
    </row>
    <row r="986" customFormat="false" ht="15" hidden="false" customHeight="false" outlineLevel="0" collapsed="false">
      <c r="A986" s="0" t="s">
        <v>3073</v>
      </c>
    </row>
    <row r="987" customFormat="false" ht="15" hidden="false" customHeight="false" outlineLevel="0" collapsed="false">
      <c r="A987" s="0" t="s">
        <v>3095</v>
      </c>
    </row>
    <row r="988" customFormat="false" ht="15" hidden="false" customHeight="false" outlineLevel="0" collapsed="false">
      <c r="A988" s="0" t="s">
        <v>3058</v>
      </c>
    </row>
    <row r="989" customFormat="false" ht="15" hidden="false" customHeight="false" outlineLevel="0" collapsed="false">
      <c r="A989" s="0" t="s">
        <v>3049</v>
      </c>
    </row>
    <row r="990" customFormat="false" ht="15" hidden="false" customHeight="false" outlineLevel="0" collapsed="false">
      <c r="A990" s="0" t="s">
        <v>3061</v>
      </c>
    </row>
    <row r="991" customFormat="false" ht="15" hidden="false" customHeight="false" outlineLevel="0" collapsed="false">
      <c r="A991" s="0" t="s">
        <v>3070</v>
      </c>
    </row>
    <row r="992" customFormat="false" ht="15" hidden="false" customHeight="false" outlineLevel="0" collapsed="false">
      <c r="A992" s="0" t="s">
        <v>3064</v>
      </c>
    </row>
    <row r="993" customFormat="false" ht="15" hidden="false" customHeight="false" outlineLevel="0" collapsed="false">
      <c r="A993" s="0" t="s">
        <v>3113</v>
      </c>
    </row>
    <row r="994" customFormat="false" ht="15" hidden="false" customHeight="false" outlineLevel="0" collapsed="false">
      <c r="A994" s="0" t="s">
        <v>3296</v>
      </c>
    </row>
    <row r="995" customFormat="false" ht="15" hidden="false" customHeight="false" outlineLevel="0" collapsed="false">
      <c r="A995" s="0" t="s">
        <v>3317</v>
      </c>
    </row>
    <row r="996" customFormat="false" ht="15" hidden="false" customHeight="false" outlineLevel="0" collapsed="false">
      <c r="A996" s="0" t="s">
        <v>3742</v>
      </c>
    </row>
    <row r="997" customFormat="false" ht="15" hidden="false" customHeight="false" outlineLevel="0" collapsed="false">
      <c r="A997" s="0" t="s">
        <v>3582</v>
      </c>
    </row>
    <row r="998" customFormat="false" ht="15" hidden="false" customHeight="false" outlineLevel="0" collapsed="false">
      <c r="A998" s="0" t="s">
        <v>3659</v>
      </c>
    </row>
    <row r="999" customFormat="false" ht="15" hidden="false" customHeight="false" outlineLevel="0" collapsed="false">
      <c r="A999" s="0" t="s">
        <v>3680</v>
      </c>
    </row>
    <row r="1000" customFormat="false" ht="15" hidden="false" customHeight="false" outlineLevel="0" collapsed="false">
      <c r="A1000" s="0" t="s">
        <v>3701</v>
      </c>
    </row>
    <row r="1001" customFormat="false" ht="15" hidden="false" customHeight="false" outlineLevel="0" collapsed="false">
      <c r="A1001" s="0" t="s">
        <v>4147</v>
      </c>
    </row>
    <row r="1002" customFormat="false" ht="15" hidden="false" customHeight="false" outlineLevel="0" collapsed="false">
      <c r="A1002" s="0" t="s">
        <v>3985</v>
      </c>
    </row>
    <row r="1003" customFormat="false" ht="15" hidden="false" customHeight="false" outlineLevel="0" collapsed="false">
      <c r="A1003" s="0" t="s">
        <v>3901</v>
      </c>
    </row>
    <row r="1004" customFormat="false" ht="15" hidden="false" customHeight="false" outlineLevel="0" collapsed="false">
      <c r="A1004" s="0" t="s">
        <v>3922</v>
      </c>
    </row>
    <row r="1005" customFormat="false" ht="15" hidden="false" customHeight="false" outlineLevel="0" collapsed="false">
      <c r="A1005" s="0" t="s">
        <v>3943</v>
      </c>
    </row>
    <row r="1006" customFormat="false" ht="15" hidden="false" customHeight="false" outlineLevel="0" collapsed="false">
      <c r="A1006" s="0" t="s">
        <v>3964</v>
      </c>
    </row>
    <row r="1007" customFormat="false" ht="15" hidden="false" customHeight="false" outlineLevel="0" collapsed="false">
      <c r="A1007" s="0" t="s">
        <v>3792</v>
      </c>
    </row>
    <row r="1008" customFormat="false" ht="15" hidden="false" customHeight="false" outlineLevel="0" collapsed="false">
      <c r="A1008" s="0" t="s">
        <v>3824</v>
      </c>
    </row>
    <row r="1009" customFormat="false" ht="15" hidden="false" customHeight="false" outlineLevel="0" collapsed="false">
      <c r="A1009" s="0" t="s">
        <v>3721</v>
      </c>
    </row>
    <row r="1010" customFormat="false" ht="15" hidden="false" customHeight="false" outlineLevel="0" collapsed="false">
      <c r="A1010" s="0" t="s">
        <v>4127</v>
      </c>
    </row>
    <row r="1011" customFormat="false" ht="15" hidden="false" customHeight="false" outlineLevel="0" collapsed="false">
      <c r="A1011" s="0" t="s">
        <v>4167</v>
      </c>
    </row>
    <row r="1012" customFormat="false" ht="15" hidden="false" customHeight="false" outlineLevel="0" collapsed="false">
      <c r="A1012" s="0" t="s">
        <v>4034</v>
      </c>
    </row>
    <row r="1013" customFormat="false" ht="15" hidden="false" customHeight="false" outlineLevel="0" collapsed="false">
      <c r="A1013" s="0" t="s">
        <v>4340</v>
      </c>
    </row>
    <row r="1014" customFormat="false" ht="15" hidden="false" customHeight="false" outlineLevel="0" collapsed="false">
      <c r="A1014" s="0" t="s">
        <v>4337</v>
      </c>
    </row>
    <row r="1015" customFormat="false" ht="15" hidden="false" customHeight="false" outlineLevel="0" collapsed="false">
      <c r="A1015" s="0" t="s">
        <v>4322</v>
      </c>
    </row>
    <row r="1016" customFormat="false" ht="15" hidden="false" customHeight="false" outlineLevel="0" collapsed="false">
      <c r="A1016" s="0" t="s">
        <v>4334</v>
      </c>
    </row>
    <row r="1017" customFormat="false" ht="15" hidden="false" customHeight="false" outlineLevel="0" collapsed="false">
      <c r="A1017" s="0" t="s">
        <v>4331</v>
      </c>
    </row>
    <row r="1018" customFormat="false" ht="15" hidden="false" customHeight="false" outlineLevel="0" collapsed="false">
      <c r="A1018" s="0" t="s">
        <v>4328</v>
      </c>
    </row>
    <row r="1019" customFormat="false" ht="15" hidden="false" customHeight="false" outlineLevel="0" collapsed="false">
      <c r="A1019" s="0" t="s">
        <v>4325</v>
      </c>
    </row>
    <row r="1020" customFormat="false" ht="15" hidden="false" customHeight="false" outlineLevel="0" collapsed="false">
      <c r="A1020" s="0" t="s">
        <v>4346</v>
      </c>
    </row>
    <row r="1021" customFormat="false" ht="15" hidden="false" customHeight="false" outlineLevel="0" collapsed="false">
      <c r="A1021" s="0" t="s">
        <v>4343</v>
      </c>
    </row>
    <row r="1022" customFormat="false" ht="15" hidden="false" customHeight="false" outlineLevel="0" collapsed="false">
      <c r="A1022" s="0" t="s">
        <v>4349</v>
      </c>
    </row>
    <row r="1023" customFormat="false" ht="15" hidden="false" customHeight="false" outlineLevel="0" collapsed="false">
      <c r="A1023" s="0" t="s">
        <v>4199</v>
      </c>
    </row>
    <row r="1024" customFormat="false" ht="15" hidden="false" customHeight="false" outlineLevel="0" collapsed="false">
      <c r="A1024" s="0" t="s">
        <v>4196</v>
      </c>
    </row>
    <row r="1025" customFormat="false" ht="15" hidden="false" customHeight="false" outlineLevel="0" collapsed="false">
      <c r="A1025" s="0" t="s">
        <v>4202</v>
      </c>
    </row>
    <row r="1026" customFormat="false" ht="15" hidden="false" customHeight="false" outlineLevel="0" collapsed="false">
      <c r="A1026" s="0" t="s">
        <v>2517</v>
      </c>
    </row>
    <row r="1027" customFormat="false" ht="15" hidden="false" customHeight="false" outlineLevel="0" collapsed="false">
      <c r="A1027" s="0" t="s">
        <v>2529</v>
      </c>
    </row>
    <row r="1028" customFormat="false" ht="15" hidden="false" customHeight="false" outlineLevel="0" collapsed="false">
      <c r="A1028" s="0" t="s">
        <v>2535</v>
      </c>
    </row>
    <row r="1029" customFormat="false" ht="15" hidden="false" customHeight="false" outlineLevel="0" collapsed="false">
      <c r="A1029" s="0" t="s">
        <v>2532</v>
      </c>
    </row>
    <row r="1030" customFormat="false" ht="15" hidden="false" customHeight="false" outlineLevel="0" collapsed="false">
      <c r="A1030" s="0" t="s">
        <v>2549</v>
      </c>
    </row>
    <row r="1031" customFormat="false" ht="15" hidden="false" customHeight="false" outlineLevel="0" collapsed="false">
      <c r="A1031" s="0" t="s">
        <v>2552</v>
      </c>
    </row>
    <row r="1032" customFormat="false" ht="15" hidden="false" customHeight="false" outlineLevel="0" collapsed="false">
      <c r="A1032" s="0" t="s">
        <v>2543</v>
      </c>
    </row>
    <row r="1033" customFormat="false" ht="15" hidden="false" customHeight="false" outlineLevel="0" collapsed="false">
      <c r="A1033" s="0" t="s">
        <v>2555</v>
      </c>
    </row>
    <row r="1034" customFormat="false" ht="15" hidden="false" customHeight="false" outlineLevel="0" collapsed="false">
      <c r="A1034" s="0" t="s">
        <v>2522</v>
      </c>
    </row>
    <row r="1035" customFormat="false" ht="15" hidden="false" customHeight="false" outlineLevel="0" collapsed="false">
      <c r="A1035" s="0" t="s">
        <v>2538</v>
      </c>
    </row>
    <row r="1036" customFormat="false" ht="15" hidden="false" customHeight="false" outlineLevel="0" collapsed="false">
      <c r="A1036" s="0" t="s">
        <v>2546</v>
      </c>
    </row>
    <row r="1037" customFormat="false" ht="15" hidden="false" customHeight="false" outlineLevel="0" collapsed="false">
      <c r="A1037" s="0" t="s">
        <v>3034</v>
      </c>
    </row>
    <row r="1038" customFormat="false" ht="15" hidden="false" customHeight="false" outlineLevel="0" collapsed="false">
      <c r="A1038" s="0" t="s">
        <v>2964</v>
      </c>
    </row>
    <row r="1039" customFormat="false" ht="15" hidden="false" customHeight="false" outlineLevel="0" collapsed="false">
      <c r="A1039" s="0" t="s">
        <v>3020</v>
      </c>
    </row>
    <row r="1040" customFormat="false" ht="15" hidden="false" customHeight="false" outlineLevel="0" collapsed="false">
      <c r="A1040" s="0" t="s">
        <v>3037</v>
      </c>
    </row>
    <row r="1041" customFormat="false" ht="15" hidden="false" customHeight="false" outlineLevel="0" collapsed="false">
      <c r="A1041" s="0" t="s">
        <v>2977</v>
      </c>
    </row>
    <row r="1042" customFormat="false" ht="15" hidden="false" customHeight="false" outlineLevel="0" collapsed="false">
      <c r="A1042" s="0" t="s">
        <v>2983</v>
      </c>
    </row>
    <row r="1043" customFormat="false" ht="15" hidden="false" customHeight="false" outlineLevel="0" collapsed="false">
      <c r="A1043" s="0" t="s">
        <v>3023</v>
      </c>
    </row>
    <row r="1044" customFormat="false" ht="15" hidden="false" customHeight="false" outlineLevel="0" collapsed="false">
      <c r="A1044" s="0" t="s">
        <v>3014</v>
      </c>
    </row>
    <row r="1045" customFormat="false" ht="15" hidden="false" customHeight="false" outlineLevel="0" collapsed="false">
      <c r="A1045" s="0" t="s">
        <v>2967</v>
      </c>
    </row>
    <row r="1046" customFormat="false" ht="15" hidden="false" customHeight="false" outlineLevel="0" collapsed="false">
      <c r="A1046" s="0" t="s">
        <v>2989</v>
      </c>
    </row>
    <row r="1047" customFormat="false" ht="15" hidden="false" customHeight="false" outlineLevel="0" collapsed="false">
      <c r="A1047" s="0" t="s">
        <v>3031</v>
      </c>
    </row>
    <row r="1048" customFormat="false" ht="15" hidden="false" customHeight="false" outlineLevel="0" collapsed="false">
      <c r="A1048" s="0" t="s">
        <v>2995</v>
      </c>
    </row>
    <row r="1049" customFormat="false" ht="15" hidden="false" customHeight="false" outlineLevel="0" collapsed="false">
      <c r="A1049" s="0" t="s">
        <v>3006</v>
      </c>
    </row>
    <row r="1050" customFormat="false" ht="15" hidden="false" customHeight="false" outlineLevel="0" collapsed="false">
      <c r="A1050" s="0" t="s">
        <v>3011</v>
      </c>
    </row>
    <row r="1051" customFormat="false" ht="15" hidden="false" customHeight="false" outlineLevel="0" collapsed="false">
      <c r="A1051" s="0" t="s">
        <v>2986</v>
      </c>
    </row>
    <row r="1052" customFormat="false" ht="15" hidden="false" customHeight="false" outlineLevel="0" collapsed="false">
      <c r="A1052" s="0" t="s">
        <v>2980</v>
      </c>
    </row>
    <row r="1053" customFormat="false" ht="15" hidden="false" customHeight="false" outlineLevel="0" collapsed="false">
      <c r="A1053" s="0" t="s">
        <v>3040</v>
      </c>
    </row>
    <row r="1054" customFormat="false" ht="15" hidden="false" customHeight="false" outlineLevel="0" collapsed="false">
      <c r="A1054" s="0" t="s">
        <v>3017</v>
      </c>
    </row>
    <row r="1055" customFormat="false" ht="15" hidden="false" customHeight="false" outlineLevel="0" collapsed="false">
      <c r="A1055" s="0" t="s">
        <v>2992</v>
      </c>
    </row>
    <row r="1056" customFormat="false" ht="15" hidden="false" customHeight="false" outlineLevel="0" collapsed="false">
      <c r="A1056" s="0" t="s">
        <v>2974</v>
      </c>
    </row>
    <row r="1057" customFormat="false" ht="15" hidden="false" customHeight="false" outlineLevel="0" collapsed="false">
      <c r="A1057" s="0" t="s">
        <v>3003</v>
      </c>
    </row>
    <row r="1058" customFormat="false" ht="15" hidden="false" customHeight="false" outlineLevel="0" collapsed="false">
      <c r="A1058" s="0" t="s">
        <v>2998</v>
      </c>
    </row>
    <row r="1059" customFormat="false" ht="15" hidden="false" customHeight="false" outlineLevel="0" collapsed="false">
      <c r="A1059" s="0" t="s">
        <v>3026</v>
      </c>
    </row>
    <row r="1060" customFormat="false" ht="15" hidden="false" customHeight="false" outlineLevel="0" collapsed="false">
      <c r="A1060" s="0" t="s">
        <v>3299</v>
      </c>
    </row>
    <row r="1061" customFormat="false" ht="15" hidden="false" customHeight="false" outlineLevel="0" collapsed="false">
      <c r="A1061" s="0" t="s">
        <v>3320</v>
      </c>
    </row>
    <row r="1062" customFormat="false" ht="15" hidden="false" customHeight="false" outlineLevel="0" collapsed="false">
      <c r="A1062" s="0" t="s">
        <v>3739</v>
      </c>
    </row>
    <row r="1063" customFormat="false" ht="15" hidden="false" customHeight="false" outlineLevel="0" collapsed="false">
      <c r="A1063" s="0" t="s">
        <v>3579</v>
      </c>
    </row>
    <row r="1064" customFormat="false" ht="15" hidden="false" customHeight="false" outlineLevel="0" collapsed="false">
      <c r="A1064" s="0" t="s">
        <v>3656</v>
      </c>
    </row>
    <row r="1065" customFormat="false" ht="15" hidden="false" customHeight="false" outlineLevel="0" collapsed="false">
      <c r="A1065" s="0" t="s">
        <v>3677</v>
      </c>
    </row>
    <row r="1066" customFormat="false" ht="15" hidden="false" customHeight="false" outlineLevel="0" collapsed="false">
      <c r="A1066" s="0" t="s">
        <v>3698</v>
      </c>
    </row>
    <row r="1067" customFormat="false" ht="15" hidden="false" customHeight="false" outlineLevel="0" collapsed="false">
      <c r="A1067" s="0" t="s">
        <v>4144</v>
      </c>
    </row>
    <row r="1068" customFormat="false" ht="15" hidden="false" customHeight="false" outlineLevel="0" collapsed="false">
      <c r="A1068" s="0" t="s">
        <v>3982</v>
      </c>
    </row>
    <row r="1069" customFormat="false" ht="15" hidden="false" customHeight="false" outlineLevel="0" collapsed="false">
      <c r="A1069" s="0" t="s">
        <v>3898</v>
      </c>
    </row>
    <row r="1070" customFormat="false" ht="15" hidden="false" customHeight="false" outlineLevel="0" collapsed="false">
      <c r="A1070" s="0" t="s">
        <v>3919</v>
      </c>
    </row>
    <row r="1071" customFormat="false" ht="15" hidden="false" customHeight="false" outlineLevel="0" collapsed="false">
      <c r="A1071" s="0" t="s">
        <v>3940</v>
      </c>
    </row>
    <row r="1072" customFormat="false" ht="15" hidden="false" customHeight="false" outlineLevel="0" collapsed="false">
      <c r="A1072" s="0" t="s">
        <v>3961</v>
      </c>
    </row>
    <row r="1073" customFormat="false" ht="15" hidden="false" customHeight="false" outlineLevel="0" collapsed="false">
      <c r="A1073" s="0" t="s">
        <v>3789</v>
      </c>
    </row>
    <row r="1074" customFormat="false" ht="15" hidden="false" customHeight="false" outlineLevel="0" collapsed="false">
      <c r="A1074" s="0" t="s">
        <v>3821</v>
      </c>
    </row>
    <row r="1075" customFormat="false" ht="15" hidden="false" customHeight="false" outlineLevel="0" collapsed="false">
      <c r="A1075" s="0" t="s">
        <v>3718</v>
      </c>
    </row>
    <row r="1076" customFormat="false" ht="15" hidden="false" customHeight="false" outlineLevel="0" collapsed="false">
      <c r="A1076" s="0" t="s">
        <v>4124</v>
      </c>
    </row>
    <row r="1077" customFormat="false" ht="15" hidden="false" customHeight="false" outlineLevel="0" collapsed="false">
      <c r="A1077" s="0" t="s">
        <v>4164</v>
      </c>
    </row>
    <row r="1078" customFormat="false" ht="15" hidden="false" customHeight="false" outlineLevel="0" collapsed="false">
      <c r="A1078" s="0" t="s">
        <v>4031</v>
      </c>
    </row>
    <row r="1079" customFormat="false" ht="15" hidden="false" customHeight="false" outlineLevel="0" collapsed="false">
      <c r="A1079" s="0" t="s">
        <v>4373</v>
      </c>
    </row>
    <row r="1080" customFormat="false" ht="15" hidden="false" customHeight="false" outlineLevel="0" collapsed="false">
      <c r="A1080" s="0" t="s">
        <v>4367</v>
      </c>
    </row>
    <row r="1081" customFormat="false" ht="15" hidden="false" customHeight="false" outlineLevel="0" collapsed="false">
      <c r="A1081" s="0" t="s">
        <v>4352</v>
      </c>
    </row>
    <row r="1082" customFormat="false" ht="15" hidden="false" customHeight="false" outlineLevel="0" collapsed="false">
      <c r="A1082" s="0" t="s">
        <v>4370</v>
      </c>
    </row>
    <row r="1083" customFormat="false" ht="15" hidden="false" customHeight="false" outlineLevel="0" collapsed="false">
      <c r="A1083" s="0" t="s">
        <v>4364</v>
      </c>
    </row>
    <row r="1084" customFormat="false" ht="15" hidden="false" customHeight="false" outlineLevel="0" collapsed="false">
      <c r="A1084" s="0" t="s">
        <v>4361</v>
      </c>
    </row>
    <row r="1085" customFormat="false" ht="15" hidden="false" customHeight="false" outlineLevel="0" collapsed="false">
      <c r="A1085" s="0" t="s">
        <v>4358</v>
      </c>
    </row>
    <row r="1086" customFormat="false" ht="15" hidden="false" customHeight="false" outlineLevel="0" collapsed="false">
      <c r="A1086" s="0" t="s">
        <v>4355</v>
      </c>
    </row>
    <row r="1087" customFormat="false" ht="15" hidden="false" customHeight="false" outlineLevel="0" collapsed="false">
      <c r="A1087" s="0" t="s">
        <v>4379</v>
      </c>
    </row>
    <row r="1088" customFormat="false" ht="15" hidden="false" customHeight="false" outlineLevel="0" collapsed="false">
      <c r="A1088" s="0" t="s">
        <v>4385</v>
      </c>
    </row>
    <row r="1089" customFormat="false" ht="15" hidden="false" customHeight="false" outlineLevel="0" collapsed="false">
      <c r="A1089" s="0" t="s">
        <v>4376</v>
      </c>
    </row>
    <row r="1090" customFormat="false" ht="15" hidden="false" customHeight="false" outlineLevel="0" collapsed="false">
      <c r="A1090" s="0" t="s">
        <v>4388</v>
      </c>
    </row>
    <row r="1091" customFormat="false" ht="15" hidden="false" customHeight="false" outlineLevel="0" collapsed="false">
      <c r="A1091" s="0" t="s">
        <v>4382</v>
      </c>
    </row>
    <row r="1092" customFormat="false" ht="15" hidden="false" customHeight="false" outlineLevel="0" collapsed="false">
      <c r="A1092" s="0" t="s">
        <v>4210</v>
      </c>
    </row>
    <row r="1093" customFormat="false" ht="15" hidden="false" customHeight="false" outlineLevel="0" collapsed="false">
      <c r="A1093" s="0" t="s">
        <v>4207</v>
      </c>
    </row>
    <row r="1094" customFormat="false" ht="15" hidden="false" customHeight="false" outlineLevel="0" collapsed="false">
      <c r="A1094" s="0" t="s">
        <v>4213</v>
      </c>
    </row>
    <row r="1095" customFormat="false" ht="15" hidden="false" customHeight="false" outlineLevel="0" collapsed="false">
      <c r="A1095" s="0" t="s">
        <v>4216</v>
      </c>
    </row>
    <row r="1096" customFormat="false" ht="15" hidden="false" customHeight="false" outlineLevel="0" collapsed="false">
      <c r="A1096" s="0" t="s">
        <v>2495</v>
      </c>
    </row>
    <row r="1097" customFormat="false" ht="15" hidden="false" customHeight="false" outlineLevel="0" collapsed="false">
      <c r="A1097" s="0" t="s">
        <v>2482</v>
      </c>
    </row>
    <row r="1098" customFormat="false" ht="15" hidden="false" customHeight="false" outlineLevel="0" collapsed="false">
      <c r="A1098" s="0" t="s">
        <v>2506</v>
      </c>
    </row>
    <row r="1099" customFormat="false" ht="15" hidden="false" customHeight="false" outlineLevel="0" collapsed="false">
      <c r="A1099" s="0" t="s">
        <v>2503</v>
      </c>
    </row>
    <row r="1100" customFormat="false" ht="15" hidden="false" customHeight="false" outlineLevel="0" collapsed="false">
      <c r="A1100" s="0" t="s">
        <v>2500</v>
      </c>
    </row>
    <row r="1101" customFormat="false" ht="15" hidden="false" customHeight="false" outlineLevel="0" collapsed="false">
      <c r="A1101" s="0" t="s">
        <v>2512</v>
      </c>
    </row>
    <row r="1102" customFormat="false" ht="15" hidden="false" customHeight="false" outlineLevel="0" collapsed="false">
      <c r="A1102" s="0" t="s">
        <v>2509</v>
      </c>
    </row>
    <row r="1103" customFormat="false" ht="15" hidden="false" customHeight="false" outlineLevel="0" collapsed="false">
      <c r="A1103" s="0" t="s">
        <v>2490</v>
      </c>
    </row>
    <row r="1104" customFormat="false" ht="15" hidden="false" customHeight="false" outlineLevel="0" collapsed="false">
      <c r="A1104" s="0" t="s">
        <v>2485</v>
      </c>
    </row>
    <row r="1105" customFormat="false" ht="15" hidden="false" customHeight="false" outlineLevel="0" collapsed="false">
      <c r="A1105" s="0" t="s">
        <v>2479</v>
      </c>
    </row>
    <row r="1106" customFormat="false" ht="15" hidden="false" customHeight="false" outlineLevel="0" collapsed="false">
      <c r="A1106" s="0" t="s">
        <v>2883</v>
      </c>
    </row>
    <row r="1107" customFormat="false" ht="15" hidden="false" customHeight="false" outlineLevel="0" collapsed="false">
      <c r="A1107" s="0" t="s">
        <v>2912</v>
      </c>
    </row>
    <row r="1108" customFormat="false" ht="15" hidden="false" customHeight="false" outlineLevel="0" collapsed="false">
      <c r="A1108" s="0" t="s">
        <v>2915</v>
      </c>
    </row>
    <row r="1109" customFormat="false" ht="15" hidden="false" customHeight="false" outlineLevel="0" collapsed="false">
      <c r="A1109" s="0" t="s">
        <v>2939</v>
      </c>
    </row>
    <row r="1110" customFormat="false" ht="15" hidden="false" customHeight="false" outlineLevel="0" collapsed="false">
      <c r="A1110" s="0" t="s">
        <v>2926</v>
      </c>
    </row>
    <row r="1111" customFormat="false" ht="15" hidden="false" customHeight="false" outlineLevel="0" collapsed="false">
      <c r="A1111" s="0" t="s">
        <v>2923</v>
      </c>
    </row>
    <row r="1112" customFormat="false" ht="15" hidden="false" customHeight="false" outlineLevel="0" collapsed="false">
      <c r="A1112" s="0" t="s">
        <v>2903</v>
      </c>
    </row>
    <row r="1113" customFormat="false" ht="15" hidden="false" customHeight="false" outlineLevel="0" collapsed="false">
      <c r="A1113" s="0" t="s">
        <v>2897</v>
      </c>
    </row>
    <row r="1114" customFormat="false" ht="15" hidden="false" customHeight="false" outlineLevel="0" collapsed="false">
      <c r="A1114" s="0" t="s">
        <v>2942</v>
      </c>
    </row>
    <row r="1115" customFormat="false" ht="15" hidden="false" customHeight="false" outlineLevel="0" collapsed="false">
      <c r="A1115" s="0" t="s">
        <v>2891</v>
      </c>
    </row>
    <row r="1116" customFormat="false" ht="15" hidden="false" customHeight="false" outlineLevel="0" collapsed="false">
      <c r="A1116" s="0" t="s">
        <v>2878</v>
      </c>
    </row>
    <row r="1117" customFormat="false" ht="15" hidden="false" customHeight="false" outlineLevel="0" collapsed="false">
      <c r="A1117" s="0" t="s">
        <v>2952</v>
      </c>
    </row>
    <row r="1118" customFormat="false" ht="15" hidden="false" customHeight="false" outlineLevel="0" collapsed="false">
      <c r="A1118" s="0" t="s">
        <v>2900</v>
      </c>
    </row>
    <row r="1119" customFormat="false" ht="15" hidden="false" customHeight="false" outlineLevel="0" collapsed="false">
      <c r="A1119" s="0" t="s">
        <v>2894</v>
      </c>
    </row>
    <row r="1120" customFormat="false" ht="15" hidden="false" customHeight="false" outlineLevel="0" collapsed="false">
      <c r="A1120" s="0" t="s">
        <v>2936</v>
      </c>
    </row>
    <row r="1121" customFormat="false" ht="15" hidden="false" customHeight="false" outlineLevel="0" collapsed="false">
      <c r="A1121" s="0" t="s">
        <v>2957</v>
      </c>
    </row>
    <row r="1122" customFormat="false" ht="15" hidden="false" customHeight="false" outlineLevel="0" collapsed="false">
      <c r="A1122" s="0" t="s">
        <v>2933</v>
      </c>
    </row>
    <row r="1123" customFormat="false" ht="15" hidden="false" customHeight="false" outlineLevel="0" collapsed="false">
      <c r="A1123" s="0" t="s">
        <v>2918</v>
      </c>
    </row>
    <row r="1124" customFormat="false" ht="15" hidden="false" customHeight="false" outlineLevel="0" collapsed="false">
      <c r="A1124" s="0" t="s">
        <v>2886</v>
      </c>
    </row>
    <row r="1125" customFormat="false" ht="15" hidden="false" customHeight="false" outlineLevel="0" collapsed="false">
      <c r="A1125" s="0" t="s">
        <v>2949</v>
      </c>
    </row>
    <row r="1126" customFormat="false" ht="15" hidden="false" customHeight="false" outlineLevel="0" collapsed="false">
      <c r="A1126" s="0" t="s">
        <v>2909</v>
      </c>
    </row>
    <row r="1127" customFormat="false" ht="15" hidden="false" customHeight="false" outlineLevel="0" collapsed="false">
      <c r="A1127" s="0" t="s">
        <v>3302</v>
      </c>
    </row>
    <row r="1128" customFormat="false" ht="15" hidden="false" customHeight="false" outlineLevel="0" collapsed="false">
      <c r="A1128" s="0" t="s">
        <v>3323</v>
      </c>
    </row>
    <row r="1129" customFormat="false" ht="15" hidden="false" customHeight="false" outlineLevel="0" collapsed="false">
      <c r="A1129" s="0" t="s">
        <v>3736</v>
      </c>
    </row>
    <row r="1130" customFormat="false" ht="15" hidden="false" customHeight="false" outlineLevel="0" collapsed="false">
      <c r="A1130" s="0" t="s">
        <v>3576</v>
      </c>
    </row>
    <row r="1131" customFormat="false" ht="15" hidden="false" customHeight="false" outlineLevel="0" collapsed="false">
      <c r="A1131" s="0" t="s">
        <v>3653</v>
      </c>
    </row>
    <row r="1132" customFormat="false" ht="15" hidden="false" customHeight="false" outlineLevel="0" collapsed="false">
      <c r="A1132" s="0" t="s">
        <v>3674</v>
      </c>
    </row>
    <row r="1133" customFormat="false" ht="15" hidden="false" customHeight="false" outlineLevel="0" collapsed="false">
      <c r="A1133" s="0" t="s">
        <v>3695</v>
      </c>
    </row>
    <row r="1134" customFormat="false" ht="15" hidden="false" customHeight="false" outlineLevel="0" collapsed="false">
      <c r="A1134" s="0" t="s">
        <v>3979</v>
      </c>
    </row>
    <row r="1135" customFormat="false" ht="15" hidden="false" customHeight="false" outlineLevel="0" collapsed="false">
      <c r="A1135" s="0" t="s">
        <v>3895</v>
      </c>
    </row>
    <row r="1136" customFormat="false" ht="15" hidden="false" customHeight="false" outlineLevel="0" collapsed="false">
      <c r="A1136" s="0" t="s">
        <v>3916</v>
      </c>
    </row>
    <row r="1137" customFormat="false" ht="15" hidden="false" customHeight="false" outlineLevel="0" collapsed="false">
      <c r="A1137" s="0" t="s">
        <v>3937</v>
      </c>
    </row>
    <row r="1138" customFormat="false" ht="15" hidden="false" customHeight="false" outlineLevel="0" collapsed="false">
      <c r="A1138" s="0" t="s">
        <v>3958</v>
      </c>
    </row>
    <row r="1139" customFormat="false" ht="15" hidden="false" customHeight="false" outlineLevel="0" collapsed="false">
      <c r="A1139" s="0" t="s">
        <v>3786</v>
      </c>
    </row>
    <row r="1140" customFormat="false" ht="15" hidden="false" customHeight="false" outlineLevel="0" collapsed="false">
      <c r="A1140" s="0" t="s">
        <v>3715</v>
      </c>
    </row>
    <row r="1141" customFormat="false" ht="15" hidden="false" customHeight="false" outlineLevel="0" collapsed="false">
      <c r="A1141" s="0" t="s">
        <v>4121</v>
      </c>
    </row>
    <row r="1142" customFormat="false" ht="15" hidden="false" customHeight="false" outlineLevel="0" collapsed="false">
      <c r="A1142" s="0" t="s">
        <v>4161</v>
      </c>
    </row>
    <row r="1143" customFormat="false" ht="15" hidden="false" customHeight="false" outlineLevel="0" collapsed="false">
      <c r="A1143" s="0" t="s">
        <v>4028</v>
      </c>
    </row>
    <row r="1144" customFormat="false" ht="15" hidden="false" customHeight="false" outlineLevel="0" collapsed="false">
      <c r="A1144" s="0" t="s">
        <v>4409</v>
      </c>
    </row>
    <row r="1145" customFormat="false" ht="15" hidden="false" customHeight="false" outlineLevel="0" collapsed="false">
      <c r="A1145" s="0" t="s">
        <v>4391</v>
      </c>
    </row>
    <row r="1146" customFormat="false" ht="15" hidden="false" customHeight="false" outlineLevel="0" collapsed="false">
      <c r="A1146" s="0" t="s">
        <v>4406</v>
      </c>
    </row>
    <row r="1147" customFormat="false" ht="15" hidden="false" customHeight="false" outlineLevel="0" collapsed="false">
      <c r="A1147" s="0" t="s">
        <v>4403</v>
      </c>
    </row>
    <row r="1148" customFormat="false" ht="15" hidden="false" customHeight="false" outlineLevel="0" collapsed="false">
      <c r="A1148" s="0" t="s">
        <v>4400</v>
      </c>
    </row>
    <row r="1149" customFormat="false" ht="15" hidden="false" customHeight="false" outlineLevel="0" collapsed="false">
      <c r="A1149" s="0" t="s">
        <v>4397</v>
      </c>
    </row>
    <row r="1150" customFormat="false" ht="15" hidden="false" customHeight="false" outlineLevel="0" collapsed="false">
      <c r="A1150" s="0" t="s">
        <v>4394</v>
      </c>
    </row>
    <row r="1151" customFormat="false" ht="15" hidden="false" customHeight="false" outlineLevel="0" collapsed="false">
      <c r="A1151" s="0" t="s">
        <v>4415</v>
      </c>
    </row>
    <row r="1152" customFormat="false" ht="15" hidden="false" customHeight="false" outlineLevel="0" collapsed="false">
      <c r="A1152" s="0" t="s">
        <v>4412</v>
      </c>
    </row>
    <row r="1153" customFormat="false" ht="15" hidden="false" customHeight="false" outlineLevel="0" collapsed="false">
      <c r="A1153" s="0" t="s">
        <v>4418</v>
      </c>
    </row>
    <row r="1154" customFormat="false" ht="15" hidden="false" customHeight="false" outlineLevel="0" collapsed="false">
      <c r="A1154" s="0" t="s">
        <v>4222</v>
      </c>
    </row>
    <row r="1155" customFormat="false" ht="15" hidden="false" customHeight="false" outlineLevel="0" collapsed="false">
      <c r="A1155" s="0" t="s">
        <v>4219</v>
      </c>
    </row>
    <row r="1156" customFormat="false" ht="15" hidden="false" customHeight="false" outlineLevel="0" collapsed="false">
      <c r="A1156" s="0" t="s">
        <v>4225</v>
      </c>
    </row>
    <row r="1157" customFormat="false" ht="15" hidden="false" customHeight="false" outlineLevel="0" collapsed="false">
      <c r="A1157" s="0" t="s">
        <v>4228</v>
      </c>
    </row>
    <row r="1158" customFormat="false" ht="15" hidden="false" customHeight="false" outlineLevel="0" collapsed="false">
      <c r="A1158" s="0" t="s">
        <v>2437</v>
      </c>
    </row>
    <row r="1159" customFormat="false" ht="15" hidden="false" customHeight="false" outlineLevel="0" collapsed="false">
      <c r="A1159" s="0" t="s">
        <v>2463</v>
      </c>
    </row>
    <row r="1160" customFormat="false" ht="15" hidden="false" customHeight="false" outlineLevel="0" collapsed="false">
      <c r="A1160" s="0" t="s">
        <v>2457</v>
      </c>
    </row>
    <row r="1161" customFormat="false" ht="15" hidden="false" customHeight="false" outlineLevel="0" collapsed="false">
      <c r="A1161" s="0" t="s">
        <v>2474</v>
      </c>
    </row>
    <row r="1162" customFormat="false" ht="15" hidden="false" customHeight="false" outlineLevel="0" collapsed="false">
      <c r="A1162" s="0" t="s">
        <v>2451</v>
      </c>
    </row>
    <row r="1163" customFormat="false" ht="15" hidden="false" customHeight="false" outlineLevel="0" collapsed="false">
      <c r="A1163" s="0" t="s">
        <v>2434</v>
      </c>
    </row>
    <row r="1164" customFormat="false" ht="15" hidden="false" customHeight="false" outlineLevel="0" collapsed="false">
      <c r="A1164" s="0" t="s">
        <v>2442</v>
      </c>
    </row>
    <row r="1165" customFormat="false" ht="15" hidden="false" customHeight="false" outlineLevel="0" collapsed="false">
      <c r="A1165" s="0" t="s">
        <v>2454</v>
      </c>
    </row>
    <row r="1166" customFormat="false" ht="15" hidden="false" customHeight="false" outlineLevel="0" collapsed="false">
      <c r="A1166" s="0" t="s">
        <v>2460</v>
      </c>
    </row>
    <row r="1167" customFormat="false" ht="15" hidden="false" customHeight="false" outlineLevel="0" collapsed="false">
      <c r="A1167" s="0" t="s">
        <v>2445</v>
      </c>
    </row>
    <row r="1168" customFormat="false" ht="15" hidden="false" customHeight="false" outlineLevel="0" collapsed="false">
      <c r="A1168" s="0" t="s">
        <v>2469</v>
      </c>
    </row>
    <row r="1169" customFormat="false" ht="15" hidden="false" customHeight="false" outlineLevel="0" collapsed="false">
      <c r="A1169" s="0" t="s">
        <v>2448</v>
      </c>
    </row>
    <row r="1170" customFormat="false" ht="15" hidden="false" customHeight="false" outlineLevel="0" collapsed="false">
      <c r="A1170" s="0" t="s">
        <v>2466</v>
      </c>
    </row>
    <row r="1171" customFormat="false" ht="15" hidden="false" customHeight="false" outlineLevel="0" collapsed="false">
      <c r="A1171" s="0" t="s">
        <v>2858</v>
      </c>
    </row>
    <row r="1172" customFormat="false" ht="15" hidden="false" customHeight="false" outlineLevel="0" collapsed="false">
      <c r="A1172" s="0" t="s">
        <v>2831</v>
      </c>
    </row>
    <row r="1173" customFormat="false" ht="15" hidden="false" customHeight="false" outlineLevel="0" collapsed="false">
      <c r="A1173" s="0" t="s">
        <v>2808</v>
      </c>
    </row>
    <row r="1174" customFormat="false" ht="15" hidden="false" customHeight="false" outlineLevel="0" collapsed="false">
      <c r="A1174" s="0" t="s">
        <v>2790</v>
      </c>
    </row>
    <row r="1175" customFormat="false" ht="15" hidden="false" customHeight="false" outlineLevel="0" collapsed="false">
      <c r="A1175" s="0" t="s">
        <v>2855</v>
      </c>
    </row>
    <row r="1176" customFormat="false" ht="15" hidden="false" customHeight="false" outlineLevel="0" collapsed="false">
      <c r="A1176" s="0" t="s">
        <v>2849</v>
      </c>
    </row>
    <row r="1177" customFormat="false" ht="15" hidden="false" customHeight="false" outlineLevel="0" collapsed="false">
      <c r="A1177" s="0" t="s">
        <v>2834</v>
      </c>
    </row>
    <row r="1178" customFormat="false" ht="15" hidden="false" customHeight="false" outlineLevel="0" collapsed="false">
      <c r="A1178" s="0" t="s">
        <v>2800</v>
      </c>
    </row>
    <row r="1179" customFormat="false" ht="15" hidden="false" customHeight="false" outlineLevel="0" collapsed="false">
      <c r="A1179" s="0" t="s">
        <v>2820</v>
      </c>
    </row>
    <row r="1180" customFormat="false" ht="15" hidden="false" customHeight="false" outlineLevel="0" collapsed="false">
      <c r="A1180" s="0" t="s">
        <v>2837</v>
      </c>
    </row>
    <row r="1181" customFormat="false" ht="15" hidden="false" customHeight="false" outlineLevel="0" collapsed="false">
      <c r="A1181" s="0" t="s">
        <v>2785</v>
      </c>
    </row>
    <row r="1182" customFormat="false" ht="15" hidden="false" customHeight="false" outlineLevel="0" collapsed="false">
      <c r="A1182" s="0" t="s">
        <v>2863</v>
      </c>
    </row>
    <row r="1183" customFormat="false" ht="15" hidden="false" customHeight="false" outlineLevel="0" collapsed="false">
      <c r="A1183" s="0" t="s">
        <v>2817</v>
      </c>
    </row>
    <row r="1184" customFormat="false" ht="15" hidden="false" customHeight="false" outlineLevel="0" collapsed="false">
      <c r="A1184" s="0" t="s">
        <v>2823</v>
      </c>
    </row>
    <row r="1185" customFormat="false" ht="15" hidden="false" customHeight="false" outlineLevel="0" collapsed="false">
      <c r="A1185" s="0" t="s">
        <v>2852</v>
      </c>
    </row>
    <row r="1186" customFormat="false" ht="15" hidden="false" customHeight="false" outlineLevel="0" collapsed="false">
      <c r="A1186" s="0" t="s">
        <v>2811</v>
      </c>
    </row>
    <row r="1187" customFormat="false" ht="15" hidden="false" customHeight="false" outlineLevel="0" collapsed="false">
      <c r="A1187" s="0" t="s">
        <v>2797</v>
      </c>
    </row>
    <row r="1188" customFormat="false" ht="15" hidden="false" customHeight="false" outlineLevel="0" collapsed="false">
      <c r="A1188" s="0" t="s">
        <v>2803</v>
      </c>
    </row>
    <row r="1189" customFormat="false" ht="15" hidden="false" customHeight="false" outlineLevel="0" collapsed="false">
      <c r="A1189" s="0" t="s">
        <v>2840</v>
      </c>
    </row>
    <row r="1190" customFormat="false" ht="15" hidden="false" customHeight="false" outlineLevel="0" collapsed="false">
      <c r="A1190" s="0" t="s">
        <v>2814</v>
      </c>
    </row>
    <row r="1191" customFormat="false" ht="15" hidden="false" customHeight="false" outlineLevel="0" collapsed="false">
      <c r="A1191" s="0" t="s">
        <v>2866</v>
      </c>
    </row>
    <row r="1192" customFormat="false" ht="15" hidden="false" customHeight="false" outlineLevel="0" collapsed="false">
      <c r="A1192" s="0" t="s">
        <v>2869</v>
      </c>
    </row>
    <row r="1193" customFormat="false" ht="15" hidden="false" customHeight="false" outlineLevel="0" collapsed="false">
      <c r="A1193" s="0" t="s">
        <v>2782</v>
      </c>
    </row>
    <row r="1194" customFormat="false" ht="15" hidden="false" customHeight="false" outlineLevel="0" collapsed="false">
      <c r="A1194" s="0" t="s">
        <v>2826</v>
      </c>
    </row>
    <row r="1195" customFormat="false" ht="15" hidden="false" customHeight="false" outlineLevel="0" collapsed="false">
      <c r="A1195" s="0" t="s">
        <v>2779</v>
      </c>
    </row>
    <row r="1196" customFormat="false" ht="15" hidden="false" customHeight="false" outlineLevel="0" collapsed="false">
      <c r="A1196" s="0" t="s">
        <v>3305</v>
      </c>
    </row>
    <row r="1197" customFormat="false" ht="15" hidden="false" customHeight="false" outlineLevel="0" collapsed="false">
      <c r="A1197" s="0" t="s">
        <v>3326</v>
      </c>
    </row>
    <row r="1198" customFormat="false" ht="15" hidden="false" customHeight="false" outlineLevel="0" collapsed="false">
      <c r="A1198" s="0" t="s">
        <v>3733</v>
      </c>
    </row>
    <row r="1199" customFormat="false" ht="15" hidden="false" customHeight="false" outlineLevel="0" collapsed="false">
      <c r="A1199" s="0" t="s">
        <v>3573</v>
      </c>
    </row>
    <row r="1200" customFormat="false" ht="15" hidden="false" customHeight="false" outlineLevel="0" collapsed="false">
      <c r="A1200" s="0" t="s">
        <v>3650</v>
      </c>
    </row>
    <row r="1201" customFormat="false" ht="15" hidden="false" customHeight="false" outlineLevel="0" collapsed="false">
      <c r="A1201" s="0" t="s">
        <v>3671</v>
      </c>
    </row>
    <row r="1202" customFormat="false" ht="15" hidden="false" customHeight="false" outlineLevel="0" collapsed="false">
      <c r="A1202" s="0" t="s">
        <v>3692</v>
      </c>
    </row>
    <row r="1203" customFormat="false" ht="15" hidden="false" customHeight="false" outlineLevel="0" collapsed="false">
      <c r="A1203" s="0" t="s">
        <v>4139</v>
      </c>
    </row>
    <row r="1204" customFormat="false" ht="15" hidden="false" customHeight="false" outlineLevel="0" collapsed="false">
      <c r="A1204" s="0" t="s">
        <v>3976</v>
      </c>
    </row>
    <row r="1205" customFormat="false" ht="15" hidden="false" customHeight="false" outlineLevel="0" collapsed="false">
      <c r="A1205" s="0" t="s">
        <v>3892</v>
      </c>
    </row>
    <row r="1206" customFormat="false" ht="15" hidden="false" customHeight="false" outlineLevel="0" collapsed="false">
      <c r="A1206" s="0" t="s">
        <v>3913</v>
      </c>
    </row>
    <row r="1207" customFormat="false" ht="15" hidden="false" customHeight="false" outlineLevel="0" collapsed="false">
      <c r="A1207" s="0" t="s">
        <v>3934</v>
      </c>
    </row>
    <row r="1208" customFormat="false" ht="15" hidden="false" customHeight="false" outlineLevel="0" collapsed="false">
      <c r="A1208" s="0" t="s">
        <v>3955</v>
      </c>
    </row>
    <row r="1209" customFormat="false" ht="15" hidden="false" customHeight="false" outlineLevel="0" collapsed="false">
      <c r="A1209" s="0" t="s">
        <v>3783</v>
      </c>
    </row>
    <row r="1210" customFormat="false" ht="15" hidden="false" customHeight="false" outlineLevel="0" collapsed="false">
      <c r="A1210" s="0" t="s">
        <v>3712</v>
      </c>
    </row>
    <row r="1211" customFormat="false" ht="15" hidden="false" customHeight="false" outlineLevel="0" collapsed="false">
      <c r="A1211" s="0" t="s">
        <v>4118</v>
      </c>
    </row>
    <row r="1212" customFormat="false" ht="15" hidden="false" customHeight="false" outlineLevel="0" collapsed="false">
      <c r="A1212" s="0" t="s">
        <v>4158</v>
      </c>
    </row>
    <row r="1213" customFormat="false" ht="15" hidden="false" customHeight="false" outlineLevel="0" collapsed="false">
      <c r="A1213" s="0" t="s">
        <v>4025</v>
      </c>
    </row>
    <row r="1214" customFormat="false" ht="15" hidden="false" customHeight="false" outlineLevel="0" collapsed="false">
      <c r="A1214" s="0" t="s">
        <v>4430</v>
      </c>
    </row>
    <row r="1215" customFormat="false" ht="15" hidden="false" customHeight="false" outlineLevel="0" collapsed="false">
      <c r="A1215" s="0" t="s">
        <v>4433</v>
      </c>
    </row>
    <row r="1216" customFormat="false" ht="15" hidden="false" customHeight="false" outlineLevel="0" collapsed="false">
      <c r="A1216" s="0" t="s">
        <v>4421</v>
      </c>
    </row>
    <row r="1217" customFormat="false" ht="15" hidden="false" customHeight="false" outlineLevel="0" collapsed="false">
      <c r="A1217" s="0" t="s">
        <v>4427</v>
      </c>
    </row>
    <row r="1218" customFormat="false" ht="15" hidden="false" customHeight="false" outlineLevel="0" collapsed="false">
      <c r="A1218" s="0" t="s">
        <v>4424</v>
      </c>
    </row>
    <row r="1219" customFormat="false" ht="15" hidden="false" customHeight="false" outlineLevel="0" collapsed="false">
      <c r="A1219" s="0" t="s">
        <v>4439</v>
      </c>
    </row>
    <row r="1220" customFormat="false" ht="15" hidden="false" customHeight="false" outlineLevel="0" collapsed="false">
      <c r="A1220" s="0" t="s">
        <v>4445</v>
      </c>
    </row>
    <row r="1221" customFormat="false" ht="15" hidden="false" customHeight="false" outlineLevel="0" collapsed="false">
      <c r="A1221" s="0" t="s">
        <v>4436</v>
      </c>
    </row>
    <row r="1222" customFormat="false" ht="15" hidden="false" customHeight="false" outlineLevel="0" collapsed="false">
      <c r="A1222" s="0" t="s">
        <v>4448</v>
      </c>
    </row>
    <row r="1223" customFormat="false" ht="15" hidden="false" customHeight="false" outlineLevel="0" collapsed="false">
      <c r="A1223" s="0" t="s">
        <v>4451</v>
      </c>
    </row>
    <row r="1224" customFormat="false" ht="15" hidden="false" customHeight="false" outlineLevel="0" collapsed="false">
      <c r="A1224" s="0" t="s">
        <v>4442</v>
      </c>
    </row>
    <row r="1225" customFormat="false" ht="15" hidden="false" customHeight="false" outlineLevel="0" collapsed="false">
      <c r="A1225" s="0" t="s">
        <v>4234</v>
      </c>
    </row>
    <row r="1226" customFormat="false" ht="15" hidden="false" customHeight="false" outlineLevel="0" collapsed="false">
      <c r="A1226" s="0" t="s">
        <v>4231</v>
      </c>
    </row>
    <row r="1227" customFormat="false" ht="15" hidden="false" customHeight="false" outlineLevel="0" collapsed="false">
      <c r="A1227" s="0" t="s">
        <v>4237</v>
      </c>
    </row>
    <row r="1228" customFormat="false" ht="15" hidden="false" customHeight="false" outlineLevel="0" collapsed="false">
      <c r="A1228" s="0" t="s">
        <v>2390</v>
      </c>
    </row>
    <row r="1229" customFormat="false" ht="15" hidden="false" customHeight="false" outlineLevel="0" collapsed="false">
      <c r="A1229" s="0" t="s">
        <v>2398</v>
      </c>
    </row>
    <row r="1230" customFormat="false" ht="15" hidden="false" customHeight="false" outlineLevel="0" collapsed="false">
      <c r="A1230" s="0" t="s">
        <v>2430</v>
      </c>
    </row>
    <row r="1231" customFormat="false" ht="15" hidden="false" customHeight="false" outlineLevel="0" collapsed="false">
      <c r="A1231" s="0" t="s">
        <v>2409</v>
      </c>
    </row>
    <row r="1232" customFormat="false" ht="15" hidden="false" customHeight="false" outlineLevel="0" collapsed="false">
      <c r="A1232" s="0" t="s">
        <v>2402</v>
      </c>
    </row>
    <row r="1233" customFormat="false" ht="15" hidden="false" customHeight="false" outlineLevel="0" collapsed="false">
      <c r="A1233" s="0" t="s">
        <v>2417</v>
      </c>
    </row>
    <row r="1234" customFormat="false" ht="15" hidden="false" customHeight="false" outlineLevel="0" collapsed="false">
      <c r="A1234" s="0" t="s">
        <v>2423</v>
      </c>
    </row>
    <row r="1235" customFormat="false" ht="15" hidden="false" customHeight="false" outlineLevel="0" collapsed="false">
      <c r="A1235" s="0" t="s">
        <v>2382</v>
      </c>
    </row>
    <row r="1236" customFormat="false" ht="15" hidden="false" customHeight="false" outlineLevel="0" collapsed="false">
      <c r="A1236" s="0" t="s">
        <v>2406</v>
      </c>
    </row>
    <row r="1237" customFormat="false" ht="15" hidden="false" customHeight="false" outlineLevel="0" collapsed="false">
      <c r="A1237" s="0" t="s">
        <v>2426</v>
      </c>
    </row>
    <row r="1238" customFormat="false" ht="15" hidden="false" customHeight="false" outlineLevel="0" collapsed="false">
      <c r="A1238" s="0" t="s">
        <v>2377</v>
      </c>
    </row>
    <row r="1239" customFormat="false" ht="15" hidden="false" customHeight="false" outlineLevel="0" collapsed="false">
      <c r="A1239" s="0" t="s">
        <v>2413</v>
      </c>
    </row>
    <row r="1240" customFormat="false" ht="15" hidden="false" customHeight="false" outlineLevel="0" collapsed="false">
      <c r="A1240" s="0" t="s">
        <v>2386</v>
      </c>
    </row>
    <row r="1241" customFormat="false" ht="15" hidden="false" customHeight="false" outlineLevel="0" collapsed="false">
      <c r="A1241" s="0" t="s">
        <v>2722</v>
      </c>
    </row>
    <row r="1242" customFormat="false" ht="15" hidden="false" customHeight="false" outlineLevel="0" collapsed="false">
      <c r="A1242" s="0" t="s">
        <v>2711</v>
      </c>
    </row>
    <row r="1243" customFormat="false" ht="15" hidden="false" customHeight="false" outlineLevel="0" collapsed="false">
      <c r="A1243" s="0" t="s">
        <v>2705</v>
      </c>
    </row>
    <row r="1244" customFormat="false" ht="15" hidden="false" customHeight="false" outlineLevel="0" collapsed="false">
      <c r="A1244" s="0" t="s">
        <v>2719</v>
      </c>
    </row>
    <row r="1245" customFormat="false" ht="15" hidden="false" customHeight="false" outlineLevel="0" collapsed="false">
      <c r="A1245" s="0" t="s">
        <v>2730</v>
      </c>
    </row>
    <row r="1246" customFormat="false" ht="15" hidden="false" customHeight="false" outlineLevel="0" collapsed="false">
      <c r="A1246" s="0" t="s">
        <v>2763</v>
      </c>
    </row>
    <row r="1247" customFormat="false" ht="15" hidden="false" customHeight="false" outlineLevel="0" collapsed="false">
      <c r="A1247" s="0" t="s">
        <v>2742</v>
      </c>
    </row>
    <row r="1248" customFormat="false" ht="15" hidden="false" customHeight="false" outlineLevel="0" collapsed="false">
      <c r="A1248" s="0" t="s">
        <v>2691</v>
      </c>
    </row>
    <row r="1249" customFormat="false" ht="15" hidden="false" customHeight="false" outlineLevel="0" collapsed="false">
      <c r="A1249" s="0" t="s">
        <v>2688</v>
      </c>
    </row>
    <row r="1250" customFormat="false" ht="15" hidden="false" customHeight="false" outlineLevel="0" collapsed="false">
      <c r="A1250" s="0" t="s">
        <v>2708</v>
      </c>
    </row>
    <row r="1251" customFormat="false" ht="15" hidden="false" customHeight="false" outlineLevel="0" collapsed="false">
      <c r="A1251" s="0" t="s">
        <v>2725</v>
      </c>
    </row>
    <row r="1252" customFormat="false" ht="15" hidden="false" customHeight="false" outlineLevel="0" collapsed="false">
      <c r="A1252" s="0" t="s">
        <v>2700</v>
      </c>
    </row>
    <row r="1253" customFormat="false" ht="15" hidden="false" customHeight="false" outlineLevel="0" collapsed="false">
      <c r="A1253" s="0" t="s">
        <v>2745</v>
      </c>
    </row>
    <row r="1254" customFormat="false" ht="15" hidden="false" customHeight="false" outlineLevel="0" collapsed="false">
      <c r="A1254" s="0" t="s">
        <v>2773</v>
      </c>
    </row>
    <row r="1255" customFormat="false" ht="15" hidden="false" customHeight="false" outlineLevel="0" collapsed="false">
      <c r="A1255" s="0" t="s">
        <v>2757</v>
      </c>
    </row>
    <row r="1256" customFormat="false" ht="15" hidden="false" customHeight="false" outlineLevel="0" collapsed="false">
      <c r="A1256" s="0" t="s">
        <v>2751</v>
      </c>
    </row>
    <row r="1257" customFormat="false" ht="15" hidden="false" customHeight="false" outlineLevel="0" collapsed="false">
      <c r="A1257" s="0" t="s">
        <v>2697</v>
      </c>
    </row>
    <row r="1258" customFormat="false" ht="15" hidden="false" customHeight="false" outlineLevel="0" collapsed="false">
      <c r="A1258" s="0" t="s">
        <v>2760</v>
      </c>
    </row>
    <row r="1259" customFormat="false" ht="15" hidden="false" customHeight="false" outlineLevel="0" collapsed="false">
      <c r="A1259" s="0" t="s">
        <v>2776</v>
      </c>
    </row>
    <row r="1260" customFormat="false" ht="15" hidden="false" customHeight="false" outlineLevel="0" collapsed="false">
      <c r="A1260" s="0" t="s">
        <v>2748</v>
      </c>
    </row>
    <row r="1261" customFormat="false" ht="15" hidden="false" customHeight="false" outlineLevel="0" collapsed="false">
      <c r="A1261" s="0" t="s">
        <v>2754</v>
      </c>
    </row>
    <row r="1262" customFormat="false" ht="15" hidden="false" customHeight="false" outlineLevel="0" collapsed="false">
      <c r="A1262" s="0" t="s">
        <v>2770</v>
      </c>
    </row>
    <row r="1263" customFormat="false" ht="15" hidden="false" customHeight="false" outlineLevel="0" collapsed="false">
      <c r="A1263" s="0" t="s">
        <v>2737</v>
      </c>
    </row>
    <row r="1264" customFormat="false" ht="15" hidden="false" customHeight="false" outlineLevel="0" collapsed="false">
      <c r="A1264" s="0" t="s">
        <v>2685</v>
      </c>
    </row>
    <row r="1265" customFormat="false" ht="15" hidden="false" customHeight="false" outlineLevel="0" collapsed="false">
      <c r="A1265" s="0" t="s">
        <v>2716</v>
      </c>
    </row>
    <row r="1266" customFormat="false" ht="15" hidden="false" customHeight="false" outlineLevel="0" collapsed="false">
      <c r="A1266" s="0" t="s">
        <v>2694</v>
      </c>
    </row>
    <row r="1267" customFormat="false" ht="15" hidden="false" customHeight="false" outlineLevel="0" collapsed="false">
      <c r="A1267" s="0" t="s">
        <v>3308</v>
      </c>
    </row>
    <row r="1268" customFormat="false" ht="15" hidden="false" customHeight="false" outlineLevel="0" collapsed="false">
      <c r="A1268" s="0" t="s">
        <v>3329</v>
      </c>
    </row>
    <row r="1269" customFormat="false" ht="15" hidden="false" customHeight="false" outlineLevel="0" collapsed="false">
      <c r="A1269" s="0" t="s">
        <v>3730</v>
      </c>
    </row>
    <row r="1270" customFormat="false" ht="15" hidden="false" customHeight="false" outlineLevel="0" collapsed="false">
      <c r="A1270" s="0" t="s">
        <v>3570</v>
      </c>
    </row>
    <row r="1271" customFormat="false" ht="15" hidden="false" customHeight="false" outlineLevel="0" collapsed="false">
      <c r="A1271" s="0" t="s">
        <v>3647</v>
      </c>
    </row>
    <row r="1272" customFormat="false" ht="15" hidden="false" customHeight="false" outlineLevel="0" collapsed="false">
      <c r="A1272" s="0" t="s">
        <v>3668</v>
      </c>
    </row>
    <row r="1273" customFormat="false" ht="15" hidden="false" customHeight="false" outlineLevel="0" collapsed="false">
      <c r="A1273" s="0" t="s">
        <v>3689</v>
      </c>
    </row>
    <row r="1274" customFormat="false" ht="15" hidden="false" customHeight="false" outlineLevel="0" collapsed="false">
      <c r="A1274" s="0" t="s">
        <v>4136</v>
      </c>
    </row>
    <row r="1275" customFormat="false" ht="15" hidden="false" customHeight="false" outlineLevel="0" collapsed="false">
      <c r="A1275" s="0" t="s">
        <v>3973</v>
      </c>
    </row>
    <row r="1276" customFormat="false" ht="15" hidden="false" customHeight="false" outlineLevel="0" collapsed="false">
      <c r="A1276" s="0" t="s">
        <v>3889</v>
      </c>
    </row>
    <row r="1277" customFormat="false" ht="15" hidden="false" customHeight="false" outlineLevel="0" collapsed="false">
      <c r="A1277" s="0" t="s">
        <v>3910</v>
      </c>
    </row>
    <row r="1278" customFormat="false" ht="15" hidden="false" customHeight="false" outlineLevel="0" collapsed="false">
      <c r="A1278" s="0" t="s">
        <v>3931</v>
      </c>
    </row>
    <row r="1279" customFormat="false" ht="15" hidden="false" customHeight="false" outlineLevel="0" collapsed="false">
      <c r="A1279" s="0" t="s">
        <v>3952</v>
      </c>
    </row>
    <row r="1280" customFormat="false" ht="15" hidden="false" customHeight="false" outlineLevel="0" collapsed="false">
      <c r="A1280" s="0" t="s">
        <v>3780</v>
      </c>
    </row>
    <row r="1281" customFormat="false" ht="15" hidden="false" customHeight="false" outlineLevel="0" collapsed="false">
      <c r="A1281" s="0" t="s">
        <v>4115</v>
      </c>
    </row>
    <row r="1282" customFormat="false" ht="15" hidden="false" customHeight="false" outlineLevel="0" collapsed="false">
      <c r="A1282" s="0" t="s">
        <v>4155</v>
      </c>
    </row>
    <row r="1283" customFormat="false" ht="15" hidden="false" customHeight="false" outlineLevel="0" collapsed="false">
      <c r="A1283" s="0" t="s">
        <v>4022</v>
      </c>
    </row>
    <row r="1284" customFormat="false" ht="15" hidden="false" customHeight="false" outlineLevel="0" collapsed="false">
      <c r="A1284" s="0" t="s">
        <v>4469</v>
      </c>
    </row>
    <row r="1285" customFormat="false" ht="15" hidden="false" customHeight="false" outlineLevel="0" collapsed="false">
      <c r="A1285" s="0" t="s">
        <v>4472</v>
      </c>
    </row>
    <row r="1286" customFormat="false" ht="15" hidden="false" customHeight="false" outlineLevel="0" collapsed="false">
      <c r="A1286" s="0" t="s">
        <v>4454</v>
      </c>
    </row>
    <row r="1287" customFormat="false" ht="15" hidden="false" customHeight="false" outlineLevel="0" collapsed="false">
      <c r="A1287" s="0" t="s">
        <v>4466</v>
      </c>
    </row>
    <row r="1288" customFormat="false" ht="15" hidden="false" customHeight="false" outlineLevel="0" collapsed="false">
      <c r="A1288" s="0" t="s">
        <v>4463</v>
      </c>
    </row>
    <row r="1289" customFormat="false" ht="15" hidden="false" customHeight="false" outlineLevel="0" collapsed="false">
      <c r="A1289" s="0" t="s">
        <v>4460</v>
      </c>
    </row>
    <row r="1290" customFormat="false" ht="15" hidden="false" customHeight="false" outlineLevel="0" collapsed="false">
      <c r="A1290" s="0" t="s">
        <v>4457</v>
      </c>
    </row>
    <row r="1291" customFormat="false" ht="15" hidden="false" customHeight="false" outlineLevel="0" collapsed="false">
      <c r="A1291" s="0" t="s">
        <v>4475</v>
      </c>
    </row>
    <row r="1292" customFormat="false" ht="15" hidden="false" customHeight="false" outlineLevel="0" collapsed="false">
      <c r="A1292" s="0" t="s">
        <v>4484</v>
      </c>
    </row>
    <row r="1293" customFormat="false" ht="15" hidden="false" customHeight="false" outlineLevel="0" collapsed="false">
      <c r="A1293" s="0" t="s">
        <v>4478</v>
      </c>
    </row>
    <row r="1294" customFormat="false" ht="15" hidden="false" customHeight="false" outlineLevel="0" collapsed="false">
      <c r="A1294" s="0" t="s">
        <v>4487</v>
      </c>
    </row>
    <row r="1295" customFormat="false" ht="15" hidden="false" customHeight="false" outlineLevel="0" collapsed="false">
      <c r="A1295" s="0" t="s">
        <v>4481</v>
      </c>
    </row>
    <row r="1296" customFormat="false" ht="15" hidden="false" customHeight="false" outlineLevel="0" collapsed="false">
      <c r="A1296" s="0" t="s">
        <v>4245</v>
      </c>
    </row>
    <row r="1297" customFormat="false" ht="15" hidden="false" customHeight="false" outlineLevel="0" collapsed="false">
      <c r="A1297" s="0" t="s">
        <v>4242</v>
      </c>
    </row>
    <row r="1298" customFormat="false" ht="15" hidden="false" customHeight="false" outlineLevel="0" collapsed="false">
      <c r="A1298" s="0" t="s">
        <v>4248</v>
      </c>
    </row>
  </sheetData>
  <mergeCells count="4">
    <mergeCell ref="B1:D1"/>
    <mergeCell ref="E1:H1"/>
    <mergeCell ref="I1:L1"/>
    <mergeCell ref="M1:N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RowHeight="15"/>
  <cols>
    <col collapsed="false" hidden="false" max="1" min="1" style="0" width="30.2064777327935"/>
    <col collapsed="false" hidden="false" max="2" min="2" style="0" width="8.57085020242915"/>
    <col collapsed="false" hidden="false" max="3" min="3" style="0" width="45.5263157894737"/>
    <col collapsed="false" hidden="false" max="10" min="4" style="0" width="8.57085020242915"/>
    <col collapsed="false" hidden="false" max="11" min="11" style="0" width="130.684210526316"/>
    <col collapsed="false" hidden="false" max="12" min="12" style="0" width="26.8866396761134"/>
    <col collapsed="false" hidden="false" max="13" min="13" style="0" width="50.3441295546559"/>
    <col collapsed="false" hidden="false" max="14" min="14" style="0" width="32.1376518218623"/>
    <col collapsed="false" hidden="false" max="16" min="15" style="0" width="8.57085020242915"/>
    <col collapsed="false" hidden="false" max="17" min="17" style="0" width="23.8866396761134"/>
    <col collapsed="false" hidden="false" max="1025" min="18" style="0" width="8.57085020242915"/>
  </cols>
  <sheetData>
    <row r="1" customFormat="false" ht="15" hidden="false" customHeight="false" outlineLevel="0" collapsed="false">
      <c r="A1" s="0" t="s">
        <v>1549</v>
      </c>
      <c r="B1" s="48" t="s">
        <v>0</v>
      </c>
      <c r="C1" s="48" t="s">
        <v>1</v>
      </c>
      <c r="D1" s="49" t="s">
        <v>2</v>
      </c>
      <c r="E1" s="50" t="s">
        <v>14</v>
      </c>
      <c r="F1" s="50" t="s">
        <v>15</v>
      </c>
      <c r="G1" s="50" t="s">
        <v>6</v>
      </c>
      <c r="H1" s="50" t="s">
        <v>8</v>
      </c>
      <c r="I1" s="51" t="s">
        <v>9</v>
      </c>
      <c r="J1" s="50" t="s">
        <v>10</v>
      </c>
      <c r="K1" s="50" t="s">
        <v>22</v>
      </c>
      <c r="L1" s="50" t="s">
        <v>21</v>
      </c>
      <c r="M1" s="50" t="s">
        <v>11</v>
      </c>
      <c r="N1" s="50" t="s">
        <v>12</v>
      </c>
      <c r="O1" s="50" t="s">
        <v>1550</v>
      </c>
      <c r="P1" s="52" t="s">
        <v>1551</v>
      </c>
      <c r="Q1" s="53" t="s">
        <v>11</v>
      </c>
    </row>
    <row r="2" customFormat="false" ht="15" hidden="false" customHeight="false" outlineLevel="0" collapsed="false">
      <c r="A2" s="0" t="e">
        <f aca="false">E2&amp;K2&amp;Q2</f>
        <v>#N/A</v>
      </c>
      <c r="B2" s="0" t="s">
        <v>4490</v>
      </c>
      <c r="C2" s="0" t="s">
        <v>4491</v>
      </c>
      <c r="D2" s="0" t="s">
        <v>2385</v>
      </c>
      <c r="E2" s="0" t="n">
        <v>43285</v>
      </c>
      <c r="F2" s="0" t="s">
        <v>2380</v>
      </c>
      <c r="G2" s="0" t="n">
        <v>21358568</v>
      </c>
      <c r="H2" s="0" t="n">
        <v>720191</v>
      </c>
      <c r="I2" s="0" t="s">
        <v>34</v>
      </c>
      <c r="J2" s="0" t="s">
        <v>174</v>
      </c>
      <c r="K2" s="0" t="s">
        <v>2405</v>
      </c>
      <c r="L2" s="0" t="n">
        <v>224160774</v>
      </c>
      <c r="M2" s="0" t="s">
        <v>1979</v>
      </c>
      <c r="N2" s="0" t="n">
        <v>103186910</v>
      </c>
      <c r="O2" s="0" t="n">
        <v>5870</v>
      </c>
      <c r="P2" s="0" t="n">
        <v>65.17</v>
      </c>
      <c r="Q2" s="0" t="e">
        <f aca="false">VLOOKUP(C2,[1]'Cost Correction'!$C$6:$AJ$6767,34,0)</f>
        <v>#N/A</v>
      </c>
    </row>
    <row r="3" customFormat="false" ht="15" hidden="false" customHeight="false" outlineLevel="0" collapsed="false">
      <c r="A3" s="0" t="e">
        <f aca="false">E3&amp;K3&amp;Q3</f>
        <v>#N/A</v>
      </c>
      <c r="B3" s="0" t="s">
        <v>4492</v>
      </c>
      <c r="C3" s="0" t="s">
        <v>4493</v>
      </c>
      <c r="D3" s="0" t="s">
        <v>2385</v>
      </c>
      <c r="E3" s="0" t="n">
        <v>43288</v>
      </c>
      <c r="F3" s="0" t="s">
        <v>2380</v>
      </c>
      <c r="G3" s="0" t="n">
        <v>21358568</v>
      </c>
      <c r="H3" s="0" t="n">
        <v>720191</v>
      </c>
      <c r="I3" s="0" t="s">
        <v>34</v>
      </c>
      <c r="J3" s="0" t="s">
        <v>174</v>
      </c>
      <c r="K3" s="0" t="s">
        <v>2433</v>
      </c>
      <c r="L3" s="0" t="n">
        <v>224160780</v>
      </c>
      <c r="M3" s="0" t="s">
        <v>1975</v>
      </c>
      <c r="N3" s="0" t="n">
        <v>103186904</v>
      </c>
      <c r="O3" s="0" t="n">
        <v>1479</v>
      </c>
      <c r="P3" s="0" t="n">
        <v>14.73</v>
      </c>
      <c r="Q3" s="0" t="e">
        <f aca="false">VLOOKUP(C3,[1]'Cost Correction'!$C$6:$AJ$6767,34,0)</f>
        <v>#N/A</v>
      </c>
    </row>
    <row r="4" customFormat="false" ht="15" hidden="false" customHeight="false" outlineLevel="0" collapsed="false">
      <c r="A4" s="0" t="e">
        <f aca="false">E4&amp;K4&amp;Q4</f>
        <v>#N/A</v>
      </c>
      <c r="B4" s="0" t="s">
        <v>4494</v>
      </c>
      <c r="C4" s="0" t="s">
        <v>4495</v>
      </c>
      <c r="D4" s="0" t="s">
        <v>2385</v>
      </c>
      <c r="E4" s="0" t="n">
        <v>43288</v>
      </c>
      <c r="F4" s="0" t="s">
        <v>2380</v>
      </c>
      <c r="G4" s="0" t="n">
        <v>21358568</v>
      </c>
      <c r="H4" s="0" t="n">
        <v>720191</v>
      </c>
      <c r="I4" s="0" t="s">
        <v>34</v>
      </c>
      <c r="J4" s="0" t="s">
        <v>174</v>
      </c>
      <c r="K4" s="0" t="s">
        <v>2412</v>
      </c>
      <c r="L4" s="0" t="n">
        <v>224160777</v>
      </c>
      <c r="M4" s="0" t="s">
        <v>1977</v>
      </c>
      <c r="N4" s="0" t="n">
        <v>103048479</v>
      </c>
      <c r="O4" s="0" t="n">
        <v>5934</v>
      </c>
      <c r="P4" s="0" t="n">
        <v>103.26</v>
      </c>
      <c r="Q4" s="0" t="e">
        <f aca="false">VLOOKUP(C4,[1]'Cost Correction'!$C$6:$AJ$6767,34,0)</f>
        <v>#N/A</v>
      </c>
    </row>
    <row r="5" customFormat="false" ht="15" hidden="false" customHeight="false" outlineLevel="0" collapsed="false">
      <c r="A5" s="0" t="e">
        <f aca="false">E5&amp;K5&amp;Q5</f>
        <v>#N/A</v>
      </c>
      <c r="B5" s="0" t="s">
        <v>4496</v>
      </c>
      <c r="C5" s="0" t="s">
        <v>4497</v>
      </c>
      <c r="D5" s="0" t="s">
        <v>2385</v>
      </c>
      <c r="E5" s="0" t="n">
        <v>43288</v>
      </c>
      <c r="F5" s="0" t="s">
        <v>2380</v>
      </c>
      <c r="G5" s="0" t="n">
        <v>21358568</v>
      </c>
      <c r="H5" s="0" t="n">
        <v>720191</v>
      </c>
      <c r="I5" s="0" t="s">
        <v>34</v>
      </c>
      <c r="J5" s="0" t="s">
        <v>174</v>
      </c>
      <c r="K5" s="0" t="s">
        <v>2395</v>
      </c>
      <c r="O5" s="0" t="n">
        <v>2998</v>
      </c>
      <c r="P5" s="0" t="n">
        <v>37.91</v>
      </c>
      <c r="Q5" s="0" t="e">
        <f aca="false">VLOOKUP(C5,[1]'Cost Correction'!$C$6:$AJ$6767,34,0)</f>
        <v>#N/A</v>
      </c>
    </row>
    <row r="6" customFormat="false" ht="15" hidden="false" customHeight="false" outlineLevel="0" collapsed="false">
      <c r="A6" s="0" t="e">
        <f aca="false">E6&amp;K6&amp;Q6</f>
        <v>#N/A</v>
      </c>
      <c r="B6" s="0" t="s">
        <v>4496</v>
      </c>
      <c r="C6" s="0" t="s">
        <v>4498</v>
      </c>
      <c r="D6" s="0" t="s">
        <v>2385</v>
      </c>
      <c r="E6" s="0" t="n">
        <v>43288</v>
      </c>
      <c r="F6" s="0" t="s">
        <v>2380</v>
      </c>
      <c r="G6" s="0" t="n">
        <v>21358568</v>
      </c>
      <c r="H6" s="0" t="n">
        <v>720191</v>
      </c>
      <c r="I6" s="0" t="s">
        <v>34</v>
      </c>
      <c r="J6" s="0" t="s">
        <v>174</v>
      </c>
      <c r="K6" s="0" t="s">
        <v>2393</v>
      </c>
      <c r="O6" s="0" t="n">
        <v>781</v>
      </c>
      <c r="P6" s="0" t="n">
        <v>7.51</v>
      </c>
      <c r="Q6" s="0" t="e">
        <f aca="false">VLOOKUP(C6,[1]'Cost Correction'!$C$6:$AJ$6767,34,0)</f>
        <v>#N/A</v>
      </c>
    </row>
    <row r="7" customFormat="false" ht="15" hidden="false" customHeight="false" outlineLevel="0" collapsed="false">
      <c r="A7" s="0" t="e">
        <f aca="false">E7&amp;K7&amp;Q7</f>
        <v>#N/A</v>
      </c>
      <c r="B7" s="0" t="s">
        <v>4496</v>
      </c>
      <c r="C7" s="0" t="s">
        <v>4499</v>
      </c>
      <c r="D7" s="0" t="s">
        <v>2385</v>
      </c>
      <c r="E7" s="0" t="n">
        <v>43288</v>
      </c>
      <c r="F7" s="0" t="s">
        <v>2380</v>
      </c>
      <c r="G7" s="0" t="n">
        <v>21358568</v>
      </c>
      <c r="H7" s="0" t="n">
        <v>720191</v>
      </c>
      <c r="I7" s="0" t="s">
        <v>34</v>
      </c>
      <c r="J7" s="0" t="s">
        <v>174</v>
      </c>
      <c r="K7" s="0" t="s">
        <v>2397</v>
      </c>
      <c r="O7" s="0" t="n">
        <v>5896</v>
      </c>
      <c r="P7" s="0" t="n">
        <v>78.54</v>
      </c>
      <c r="Q7" s="0" t="e">
        <f aca="false">VLOOKUP(C7,[1]'Cost Correction'!$C$6:$AJ$6767,34,0)</f>
        <v>#N/A</v>
      </c>
    </row>
    <row r="8" customFormat="false" ht="15" hidden="false" customHeight="false" outlineLevel="0" collapsed="false">
      <c r="A8" s="0" t="e">
        <f aca="false">E8&amp;K8&amp;Q8</f>
        <v>#N/A</v>
      </c>
      <c r="B8" s="0" t="s">
        <v>4500</v>
      </c>
      <c r="C8" s="0" t="s">
        <v>4501</v>
      </c>
      <c r="D8" s="0" t="s">
        <v>2385</v>
      </c>
      <c r="E8" s="0" t="n">
        <v>43288</v>
      </c>
      <c r="F8" s="0" t="s">
        <v>2380</v>
      </c>
      <c r="G8" s="0" t="n">
        <v>21358568</v>
      </c>
      <c r="H8" s="0" t="n">
        <v>720191</v>
      </c>
      <c r="I8" s="0" t="s">
        <v>34</v>
      </c>
      <c r="J8" s="0" t="s">
        <v>174</v>
      </c>
      <c r="K8" s="0" t="s">
        <v>2420</v>
      </c>
      <c r="L8" s="0" t="n">
        <v>224160771</v>
      </c>
      <c r="M8" s="0" t="s">
        <v>1981</v>
      </c>
      <c r="N8" s="0" t="n">
        <v>103048488</v>
      </c>
      <c r="O8" s="0" t="n">
        <v>4395</v>
      </c>
      <c r="P8" s="0" t="n">
        <v>85.44</v>
      </c>
      <c r="Q8" s="0" t="e">
        <f aca="false">VLOOKUP(C8,[1]'Cost Correction'!$C$6:$AJ$6767,34,0)</f>
        <v>#N/A</v>
      </c>
    </row>
    <row r="9" customFormat="false" ht="15" hidden="false" customHeight="false" outlineLevel="0" collapsed="false">
      <c r="A9" s="0" t="e">
        <f aca="false">E9&amp;K9&amp;Q9</f>
        <v>#N/A</v>
      </c>
      <c r="B9" s="0" t="s">
        <v>4502</v>
      </c>
      <c r="C9" s="0" t="s">
        <v>4503</v>
      </c>
      <c r="D9" s="0" t="s">
        <v>2385</v>
      </c>
      <c r="E9" s="0" t="n">
        <v>43286</v>
      </c>
      <c r="F9" s="0" t="s">
        <v>2380</v>
      </c>
      <c r="G9" s="0" t="n">
        <v>21358568</v>
      </c>
      <c r="H9" s="0" t="n">
        <v>720191</v>
      </c>
      <c r="I9" s="0" t="s">
        <v>34</v>
      </c>
      <c r="J9" s="0" t="s">
        <v>174</v>
      </c>
      <c r="K9" s="0" t="s">
        <v>2401</v>
      </c>
      <c r="L9" s="0" t="n">
        <v>224160783</v>
      </c>
      <c r="M9" s="0" t="s">
        <v>1973</v>
      </c>
      <c r="N9" s="0" t="n">
        <v>103051614</v>
      </c>
      <c r="O9" s="0" t="n">
        <v>1441</v>
      </c>
      <c r="P9" s="0" t="n">
        <v>18.75</v>
      </c>
      <c r="Q9" s="0" t="e">
        <f aca="false">VLOOKUP(C9,[1]'Cost Correction'!$C$6:$AJ$6767,34,0)</f>
        <v>#N/A</v>
      </c>
    </row>
    <row r="10" customFormat="false" ht="15" hidden="false" customHeight="false" outlineLevel="0" collapsed="false">
      <c r="A10" s="0" t="e">
        <f aca="false">E10&amp;K10&amp;Q10</f>
        <v>#N/A</v>
      </c>
      <c r="B10" s="0" t="s">
        <v>4504</v>
      </c>
      <c r="C10" s="0" t="s">
        <v>4505</v>
      </c>
      <c r="D10" s="0" t="s">
        <v>2385</v>
      </c>
      <c r="E10" s="0" t="n">
        <v>43286</v>
      </c>
      <c r="F10" s="0" t="s">
        <v>2380</v>
      </c>
      <c r="G10" s="0" t="n">
        <v>21358568</v>
      </c>
      <c r="H10" s="0" t="n">
        <v>720191</v>
      </c>
      <c r="I10" s="0" t="s">
        <v>34</v>
      </c>
      <c r="J10" s="0" t="s">
        <v>174</v>
      </c>
      <c r="K10" s="0" t="s">
        <v>2405</v>
      </c>
      <c r="L10" s="0" t="n">
        <v>224160774</v>
      </c>
      <c r="M10" s="0" t="s">
        <v>1979</v>
      </c>
      <c r="N10" s="0" t="n">
        <v>103186910</v>
      </c>
      <c r="O10" s="0" t="n">
        <v>3276</v>
      </c>
      <c r="P10" s="0" t="n">
        <v>38.39</v>
      </c>
      <c r="Q10" s="0" t="e">
        <f aca="false">VLOOKUP(C10,[1]'Cost Correction'!$C$6:$AJ$6767,34,0)</f>
        <v>#N/A</v>
      </c>
    </row>
    <row r="11" customFormat="false" ht="15" hidden="false" customHeight="false" outlineLevel="0" collapsed="false">
      <c r="A11" s="0" t="e">
        <f aca="false">E11&amp;K11&amp;Q11</f>
        <v>#N/A</v>
      </c>
      <c r="B11" s="0" t="s">
        <v>4506</v>
      </c>
      <c r="C11" s="0" t="s">
        <v>4507</v>
      </c>
      <c r="D11" s="0" t="s">
        <v>2385</v>
      </c>
      <c r="E11" s="0" t="n">
        <v>43284</v>
      </c>
      <c r="F11" s="0" t="s">
        <v>2380</v>
      </c>
      <c r="G11" s="0" t="n">
        <v>21358568</v>
      </c>
      <c r="H11" s="0" t="n">
        <v>720191</v>
      </c>
      <c r="I11" s="0" t="s">
        <v>34</v>
      </c>
      <c r="J11" s="0" t="s">
        <v>174</v>
      </c>
      <c r="K11" s="0" t="s">
        <v>2433</v>
      </c>
      <c r="L11" s="0" t="n">
        <v>224160780</v>
      </c>
      <c r="M11" s="0" t="s">
        <v>1975</v>
      </c>
      <c r="N11" s="0" t="n">
        <v>103186904</v>
      </c>
      <c r="O11" s="0" t="n">
        <v>693</v>
      </c>
      <c r="P11" s="0" t="n">
        <v>15.25</v>
      </c>
      <c r="Q11" s="0" t="e">
        <f aca="false">VLOOKUP(C11,[1]'Cost Correction'!$C$6:$AJ$6767,34,0)</f>
        <v>#N/A</v>
      </c>
    </row>
    <row r="12" customFormat="false" ht="15" hidden="false" customHeight="false" outlineLevel="0" collapsed="false">
      <c r="A12" s="0" t="e">
        <f aca="false">E12&amp;K12&amp;Q12</f>
        <v>#N/A</v>
      </c>
      <c r="B12" s="0" t="s">
        <v>4508</v>
      </c>
      <c r="C12" s="0" t="s">
        <v>4509</v>
      </c>
      <c r="D12" s="0" t="s">
        <v>2385</v>
      </c>
      <c r="E12" s="0" t="n">
        <v>43284</v>
      </c>
      <c r="F12" s="0" t="s">
        <v>2380</v>
      </c>
      <c r="G12" s="0" t="n">
        <v>21358568</v>
      </c>
      <c r="H12" s="0" t="n">
        <v>720191</v>
      </c>
      <c r="I12" s="0" t="s">
        <v>34</v>
      </c>
      <c r="J12" s="0" t="s">
        <v>174</v>
      </c>
      <c r="K12" s="0" t="s">
        <v>2412</v>
      </c>
      <c r="L12" s="0" t="n">
        <v>224160777</v>
      </c>
      <c r="M12" s="0" t="s">
        <v>1977</v>
      </c>
      <c r="N12" s="0" t="n">
        <v>103048479</v>
      </c>
      <c r="O12" s="0" t="n">
        <v>2891</v>
      </c>
      <c r="P12" s="0" t="n">
        <v>79.45</v>
      </c>
      <c r="Q12" s="0" t="e">
        <f aca="false">VLOOKUP(C12,[1]'Cost Correction'!$C$6:$AJ$6767,34,0)</f>
        <v>#N/A</v>
      </c>
    </row>
    <row r="13" customFormat="false" ht="15" hidden="false" customHeight="false" outlineLevel="0" collapsed="false">
      <c r="A13" s="0" t="e">
        <f aca="false">E13&amp;K13&amp;Q13</f>
        <v>#N/A</v>
      </c>
      <c r="B13" s="0" t="s">
        <v>4510</v>
      </c>
      <c r="C13" s="0" t="s">
        <v>4511</v>
      </c>
      <c r="D13" s="0" t="s">
        <v>2385</v>
      </c>
      <c r="E13" s="0" t="n">
        <v>43287</v>
      </c>
      <c r="F13" s="0" t="s">
        <v>2380</v>
      </c>
      <c r="G13" s="0" t="n">
        <v>21358568</v>
      </c>
      <c r="H13" s="0" t="n">
        <v>720191</v>
      </c>
      <c r="I13" s="0" t="s">
        <v>34</v>
      </c>
      <c r="J13" s="0" t="s">
        <v>174</v>
      </c>
      <c r="K13" s="0" t="s">
        <v>2401</v>
      </c>
      <c r="L13" s="0" t="n">
        <v>224160783</v>
      </c>
      <c r="M13" s="0" t="s">
        <v>1973</v>
      </c>
      <c r="N13" s="0" t="n">
        <v>103051614</v>
      </c>
      <c r="O13" s="0" t="n">
        <v>1775</v>
      </c>
      <c r="P13" s="0" t="n">
        <v>19.5</v>
      </c>
      <c r="Q13" s="0" t="e">
        <f aca="false">VLOOKUP(C13,[1]'Cost Correction'!$C$6:$AJ$6767,34,0)</f>
        <v>#N/A</v>
      </c>
    </row>
    <row r="14" customFormat="false" ht="15" hidden="false" customHeight="false" outlineLevel="0" collapsed="false">
      <c r="A14" s="0" t="e">
        <f aca="false">E14&amp;K14&amp;Q14</f>
        <v>#N/A</v>
      </c>
      <c r="B14" s="0" t="s">
        <v>4512</v>
      </c>
      <c r="C14" s="0" t="s">
        <v>4513</v>
      </c>
      <c r="D14" s="0" t="s">
        <v>2385</v>
      </c>
      <c r="E14" s="0" t="n">
        <v>43284</v>
      </c>
      <c r="F14" s="0" t="s">
        <v>2380</v>
      </c>
      <c r="G14" s="0" t="n">
        <v>21358568</v>
      </c>
      <c r="H14" s="0" t="n">
        <v>720191</v>
      </c>
      <c r="I14" s="0" t="s">
        <v>34</v>
      </c>
      <c r="J14" s="0" t="s">
        <v>174</v>
      </c>
      <c r="K14" s="0" t="s">
        <v>2395</v>
      </c>
      <c r="O14" s="0" t="n">
        <v>717</v>
      </c>
      <c r="P14" s="0" t="n">
        <v>10.09</v>
      </c>
      <c r="Q14" s="0" t="e">
        <f aca="false">VLOOKUP(C14,[1]'Cost Correction'!$C$6:$AJ$6767,34,0)</f>
        <v>#N/A</v>
      </c>
    </row>
    <row r="15" customFormat="false" ht="15" hidden="false" customHeight="false" outlineLevel="0" collapsed="false">
      <c r="A15" s="0" t="e">
        <f aca="false">E15&amp;K15&amp;Q15</f>
        <v>#N/A</v>
      </c>
      <c r="B15" s="0" t="s">
        <v>4512</v>
      </c>
      <c r="C15" s="0" t="s">
        <v>4514</v>
      </c>
      <c r="D15" s="0" t="s">
        <v>2385</v>
      </c>
      <c r="E15" s="0" t="n">
        <v>43284</v>
      </c>
      <c r="F15" s="0" t="s">
        <v>2380</v>
      </c>
      <c r="G15" s="0" t="n">
        <v>21358568</v>
      </c>
      <c r="H15" s="0" t="n">
        <v>720191</v>
      </c>
      <c r="I15" s="0" t="s">
        <v>34</v>
      </c>
      <c r="J15" s="0" t="s">
        <v>174</v>
      </c>
      <c r="K15" s="0" t="s">
        <v>2393</v>
      </c>
      <c r="O15" s="0" t="n">
        <v>809</v>
      </c>
      <c r="P15" s="0" t="n">
        <v>11.79</v>
      </c>
      <c r="Q15" s="0" t="e">
        <f aca="false">VLOOKUP(C15,[1]'Cost Correction'!$C$6:$AJ$6767,34,0)</f>
        <v>#N/A</v>
      </c>
    </row>
    <row r="16" customFormat="false" ht="15" hidden="false" customHeight="false" outlineLevel="0" collapsed="false">
      <c r="A16" s="0" t="e">
        <f aca="false">E16&amp;K16&amp;Q16</f>
        <v>#N/A</v>
      </c>
      <c r="B16" s="0" t="s">
        <v>4512</v>
      </c>
      <c r="C16" s="0" t="s">
        <v>4515</v>
      </c>
      <c r="D16" s="0" t="s">
        <v>2385</v>
      </c>
      <c r="E16" s="0" t="n">
        <v>43284</v>
      </c>
      <c r="F16" s="0" t="s">
        <v>2380</v>
      </c>
      <c r="G16" s="0" t="n">
        <v>21358568</v>
      </c>
      <c r="H16" s="0" t="n">
        <v>720191</v>
      </c>
      <c r="I16" s="0" t="s">
        <v>34</v>
      </c>
      <c r="J16" s="0" t="s">
        <v>174</v>
      </c>
      <c r="K16" s="0" t="s">
        <v>2397</v>
      </c>
      <c r="O16" s="0" t="n">
        <v>3221</v>
      </c>
      <c r="P16" s="0" t="n">
        <v>42.05</v>
      </c>
      <c r="Q16" s="0" t="e">
        <f aca="false">VLOOKUP(C16,[1]'Cost Correction'!$C$6:$AJ$6767,34,0)</f>
        <v>#N/A</v>
      </c>
    </row>
    <row r="17" customFormat="false" ht="15" hidden="false" customHeight="false" outlineLevel="0" collapsed="false">
      <c r="A17" s="0" t="e">
        <f aca="false">E17&amp;K17&amp;Q17</f>
        <v>#N/A</v>
      </c>
      <c r="B17" s="0" t="s">
        <v>4516</v>
      </c>
      <c r="C17" s="0" t="s">
        <v>4517</v>
      </c>
      <c r="D17" s="0" t="s">
        <v>2385</v>
      </c>
      <c r="E17" s="0" t="n">
        <v>43284</v>
      </c>
      <c r="F17" s="0" t="s">
        <v>2380</v>
      </c>
      <c r="G17" s="0" t="n">
        <v>21358568</v>
      </c>
      <c r="H17" s="0" t="n">
        <v>720191</v>
      </c>
      <c r="I17" s="0" t="s">
        <v>34</v>
      </c>
      <c r="J17" s="0" t="s">
        <v>174</v>
      </c>
      <c r="K17" s="0" t="s">
        <v>2420</v>
      </c>
      <c r="L17" s="0" t="n">
        <v>224160771</v>
      </c>
      <c r="M17" s="0" t="s">
        <v>1981</v>
      </c>
      <c r="N17" s="0" t="n">
        <v>103048488</v>
      </c>
      <c r="O17" s="0" t="n">
        <v>1201</v>
      </c>
      <c r="P17" s="0" t="n">
        <v>25.72</v>
      </c>
      <c r="Q17" s="0" t="e">
        <f aca="false">VLOOKUP(C17,[1]'Cost Correction'!$C$6:$AJ$6767,34,0)</f>
        <v>#N/A</v>
      </c>
    </row>
    <row r="18" customFormat="false" ht="15" hidden="false" customHeight="false" outlineLevel="0" collapsed="false">
      <c r="A18" s="0" t="e">
        <f aca="false">E18&amp;K18&amp;Q18</f>
        <v>#N/A</v>
      </c>
      <c r="B18" s="0" t="s">
        <v>4518</v>
      </c>
      <c r="C18" s="0" t="s">
        <v>4519</v>
      </c>
      <c r="D18" s="0" t="s">
        <v>2385</v>
      </c>
      <c r="E18" s="0" t="n">
        <v>43287</v>
      </c>
      <c r="F18" s="0" t="s">
        <v>2380</v>
      </c>
      <c r="G18" s="0" t="n">
        <v>21358568</v>
      </c>
      <c r="H18" s="0" t="n">
        <v>720191</v>
      </c>
      <c r="I18" s="0" t="s">
        <v>34</v>
      </c>
      <c r="J18" s="0" t="s">
        <v>174</v>
      </c>
      <c r="K18" s="0" t="s">
        <v>2405</v>
      </c>
      <c r="L18" s="0" t="n">
        <v>224160774</v>
      </c>
      <c r="M18" s="0" t="s">
        <v>1979</v>
      </c>
      <c r="N18" s="0" t="n">
        <v>103186910</v>
      </c>
      <c r="O18" s="0" t="n">
        <v>501</v>
      </c>
      <c r="P18" s="0" t="n">
        <v>6.23</v>
      </c>
      <c r="Q18" s="0" t="e">
        <f aca="false">VLOOKUP(C18,[1]'Cost Correction'!$C$6:$AJ$6767,34,0)</f>
        <v>#N/A</v>
      </c>
    </row>
    <row r="19" customFormat="false" ht="15" hidden="false" customHeight="false" outlineLevel="0" collapsed="false">
      <c r="A19" s="0" t="e">
        <f aca="false">E19&amp;K19&amp;Q19</f>
        <v>#N/A</v>
      </c>
      <c r="B19" s="0" t="s">
        <v>4520</v>
      </c>
      <c r="C19" s="0" t="s">
        <v>4521</v>
      </c>
      <c r="D19" s="0" t="s">
        <v>2385</v>
      </c>
      <c r="E19" s="0" t="n">
        <v>43285</v>
      </c>
      <c r="F19" s="0" t="s">
        <v>2380</v>
      </c>
      <c r="G19" s="0" t="n">
        <v>21358568</v>
      </c>
      <c r="H19" s="0" t="n">
        <v>720191</v>
      </c>
      <c r="I19" s="0" t="s">
        <v>34</v>
      </c>
      <c r="J19" s="0" t="s">
        <v>174</v>
      </c>
      <c r="K19" s="0" t="s">
        <v>2433</v>
      </c>
      <c r="L19" s="0" t="n">
        <v>224160780</v>
      </c>
      <c r="M19" s="0" t="s">
        <v>1975</v>
      </c>
      <c r="N19" s="0" t="n">
        <v>103186904</v>
      </c>
      <c r="O19" s="0" t="n">
        <v>1459</v>
      </c>
      <c r="P19" s="0" t="n">
        <v>18.52</v>
      </c>
      <c r="Q19" s="0" t="e">
        <f aca="false">VLOOKUP(C19,[1]'Cost Correction'!$C$6:$AJ$6767,34,0)</f>
        <v>#N/A</v>
      </c>
    </row>
    <row r="20" customFormat="false" ht="15" hidden="false" customHeight="false" outlineLevel="0" collapsed="false">
      <c r="A20" s="0" t="e">
        <f aca="false">E20&amp;K20&amp;Q20</f>
        <v>#N/A</v>
      </c>
      <c r="B20" s="0" t="s">
        <v>4522</v>
      </c>
      <c r="C20" s="0" t="s">
        <v>4523</v>
      </c>
      <c r="D20" s="0" t="s">
        <v>2385</v>
      </c>
      <c r="E20" s="0" t="n">
        <v>43285</v>
      </c>
      <c r="F20" s="0" t="s">
        <v>2380</v>
      </c>
      <c r="G20" s="0" t="n">
        <v>21358568</v>
      </c>
      <c r="H20" s="0" t="n">
        <v>720191</v>
      </c>
      <c r="I20" s="0" t="s">
        <v>34</v>
      </c>
      <c r="J20" s="0" t="s">
        <v>174</v>
      </c>
      <c r="K20" s="0" t="s">
        <v>2412</v>
      </c>
      <c r="L20" s="0" t="n">
        <v>224160777</v>
      </c>
      <c r="M20" s="0" t="s">
        <v>1977</v>
      </c>
      <c r="N20" s="0" t="n">
        <v>103048479</v>
      </c>
      <c r="O20" s="0" t="n">
        <v>7019</v>
      </c>
      <c r="P20" s="0" t="n">
        <v>92.06</v>
      </c>
      <c r="Q20" s="0" t="e">
        <f aca="false">VLOOKUP(C20,[1]'Cost Correction'!$C$6:$AJ$6767,34,0)</f>
        <v>#N/A</v>
      </c>
    </row>
    <row r="21" customFormat="false" ht="15" hidden="false" customHeight="false" outlineLevel="0" collapsed="false">
      <c r="A21" s="0" t="e">
        <f aca="false">E21&amp;K21&amp;Q21</f>
        <v>#N/A</v>
      </c>
      <c r="B21" s="0" t="s">
        <v>4524</v>
      </c>
      <c r="C21" s="0" t="s">
        <v>4525</v>
      </c>
      <c r="D21" s="0" t="s">
        <v>2385</v>
      </c>
      <c r="E21" s="0" t="n">
        <v>43288</v>
      </c>
      <c r="F21" s="0" t="s">
        <v>2380</v>
      </c>
      <c r="G21" s="0" t="n">
        <v>21358568</v>
      </c>
      <c r="H21" s="0" t="n">
        <v>720191</v>
      </c>
      <c r="I21" s="0" t="s">
        <v>34</v>
      </c>
      <c r="J21" s="0" t="s">
        <v>174</v>
      </c>
      <c r="K21" s="0" t="s">
        <v>2401</v>
      </c>
      <c r="L21" s="0" t="n">
        <v>224160783</v>
      </c>
      <c r="M21" s="0" t="s">
        <v>1973</v>
      </c>
      <c r="N21" s="0" t="n">
        <v>103051614</v>
      </c>
      <c r="O21" s="0" t="n">
        <v>1149</v>
      </c>
      <c r="P21" s="0" t="n">
        <v>15.16</v>
      </c>
      <c r="Q21" s="0" t="e">
        <f aca="false">VLOOKUP(C21,[1]'Cost Correction'!$C$6:$AJ$6767,34,0)</f>
        <v>#N/A</v>
      </c>
    </row>
    <row r="22" customFormat="false" ht="15" hidden="false" customHeight="false" outlineLevel="0" collapsed="false">
      <c r="A22" s="0" t="e">
        <f aca="false">E22&amp;K22&amp;Q22</f>
        <v>#N/A</v>
      </c>
      <c r="B22" s="0" t="s">
        <v>4526</v>
      </c>
      <c r="C22" s="0" t="s">
        <v>4527</v>
      </c>
      <c r="D22" s="0" t="s">
        <v>2385</v>
      </c>
      <c r="E22" s="0" t="n">
        <v>43285</v>
      </c>
      <c r="F22" s="0" t="s">
        <v>2380</v>
      </c>
      <c r="G22" s="0" t="n">
        <v>21358568</v>
      </c>
      <c r="H22" s="0" t="n">
        <v>720191</v>
      </c>
      <c r="I22" s="0" t="s">
        <v>34</v>
      </c>
      <c r="J22" s="0" t="s">
        <v>174</v>
      </c>
      <c r="K22" s="0" t="s">
        <v>2395</v>
      </c>
      <c r="O22" s="0" t="n">
        <v>3363</v>
      </c>
      <c r="P22" s="0" t="n">
        <v>40.59</v>
      </c>
      <c r="Q22" s="0" t="e">
        <f aca="false">VLOOKUP(C22,[1]'Cost Correction'!$C$6:$AJ$6767,34,0)</f>
        <v>#N/A</v>
      </c>
    </row>
    <row r="23" customFormat="false" ht="15" hidden="false" customHeight="false" outlineLevel="0" collapsed="false">
      <c r="A23" s="0" t="e">
        <f aca="false">E23&amp;K23&amp;Q23</f>
        <v>#N/A</v>
      </c>
      <c r="B23" s="0" t="s">
        <v>4526</v>
      </c>
      <c r="C23" s="0" t="s">
        <v>4528</v>
      </c>
      <c r="D23" s="0" t="s">
        <v>2385</v>
      </c>
      <c r="E23" s="0" t="n">
        <v>43285</v>
      </c>
      <c r="F23" s="0" t="s">
        <v>2380</v>
      </c>
      <c r="G23" s="0" t="n">
        <v>21358568</v>
      </c>
      <c r="H23" s="0" t="n">
        <v>720191</v>
      </c>
      <c r="I23" s="0" t="s">
        <v>34</v>
      </c>
      <c r="J23" s="0" t="s">
        <v>174</v>
      </c>
      <c r="K23" s="0" t="s">
        <v>2393</v>
      </c>
      <c r="O23" s="0" t="n">
        <v>1474</v>
      </c>
      <c r="P23" s="0" t="n">
        <v>13.21</v>
      </c>
      <c r="Q23" s="0" t="e">
        <f aca="false">VLOOKUP(C23,[1]'Cost Correction'!$C$6:$AJ$6767,34,0)</f>
        <v>#N/A</v>
      </c>
    </row>
    <row r="24" customFormat="false" ht="15" hidden="false" customHeight="false" outlineLevel="0" collapsed="false">
      <c r="A24" s="0" t="e">
        <f aca="false">E24&amp;K24&amp;Q24</f>
        <v>#N/A</v>
      </c>
      <c r="B24" s="0" t="s">
        <v>4526</v>
      </c>
      <c r="C24" s="0" t="s">
        <v>4529</v>
      </c>
      <c r="D24" s="0" t="s">
        <v>2385</v>
      </c>
      <c r="E24" s="0" t="n">
        <v>43285</v>
      </c>
      <c r="F24" s="0" t="s">
        <v>2380</v>
      </c>
      <c r="G24" s="0" t="n">
        <v>21358568</v>
      </c>
      <c r="H24" s="0" t="n">
        <v>720191</v>
      </c>
      <c r="I24" s="0" t="s">
        <v>34</v>
      </c>
      <c r="J24" s="0" t="s">
        <v>174</v>
      </c>
      <c r="K24" s="0" t="s">
        <v>2397</v>
      </c>
      <c r="O24" s="0" t="n">
        <v>4398</v>
      </c>
      <c r="P24" s="0" t="n">
        <v>53.75</v>
      </c>
      <c r="Q24" s="0" t="e">
        <f aca="false">VLOOKUP(C24,[1]'Cost Correction'!$C$6:$AJ$6767,34,0)</f>
        <v>#N/A</v>
      </c>
    </row>
    <row r="25" customFormat="false" ht="15" hidden="false" customHeight="false" outlineLevel="0" collapsed="false">
      <c r="A25" s="0" t="e">
        <f aca="false">E25&amp;K25&amp;Q25</f>
        <v>#N/A</v>
      </c>
      <c r="B25" s="0" t="s">
        <v>4530</v>
      </c>
      <c r="C25" s="0" t="s">
        <v>4531</v>
      </c>
      <c r="D25" s="0" t="s">
        <v>2385</v>
      </c>
      <c r="E25" s="0" t="n">
        <v>43285</v>
      </c>
      <c r="F25" s="0" t="s">
        <v>2380</v>
      </c>
      <c r="G25" s="0" t="n">
        <v>21358568</v>
      </c>
      <c r="H25" s="0" t="n">
        <v>720191</v>
      </c>
      <c r="I25" s="0" t="s">
        <v>34</v>
      </c>
      <c r="J25" s="0" t="s">
        <v>174</v>
      </c>
      <c r="K25" s="0" t="s">
        <v>2420</v>
      </c>
      <c r="L25" s="0" t="n">
        <v>224160771</v>
      </c>
      <c r="M25" s="0" t="s">
        <v>1981</v>
      </c>
      <c r="N25" s="0" t="n">
        <v>103048488</v>
      </c>
      <c r="O25" s="0" t="n">
        <v>945</v>
      </c>
      <c r="P25" s="0" t="n">
        <v>18.06</v>
      </c>
      <c r="Q25" s="0" t="e">
        <f aca="false">VLOOKUP(C25,[1]'Cost Correction'!$C$6:$AJ$6767,34,0)</f>
        <v>#N/A</v>
      </c>
    </row>
    <row r="26" customFormat="false" ht="15" hidden="false" customHeight="false" outlineLevel="0" collapsed="false">
      <c r="A26" s="0" t="e">
        <f aca="false">E26&amp;K26&amp;Q26</f>
        <v>#N/A</v>
      </c>
      <c r="B26" s="0" t="s">
        <v>4532</v>
      </c>
      <c r="C26" s="0" t="s">
        <v>4533</v>
      </c>
      <c r="D26" s="0" t="s">
        <v>2385</v>
      </c>
      <c r="E26" s="0" t="n">
        <v>43288</v>
      </c>
      <c r="F26" s="0" t="s">
        <v>2380</v>
      </c>
      <c r="G26" s="0" t="n">
        <v>21358568</v>
      </c>
      <c r="H26" s="0" t="n">
        <v>720191</v>
      </c>
      <c r="I26" s="0" t="s">
        <v>34</v>
      </c>
      <c r="J26" s="0" t="s">
        <v>174</v>
      </c>
      <c r="K26" s="0" t="s">
        <v>2405</v>
      </c>
      <c r="L26" s="0" t="n">
        <v>224160774</v>
      </c>
      <c r="M26" s="0" t="s">
        <v>1979</v>
      </c>
      <c r="N26" s="0" t="n">
        <v>103186910</v>
      </c>
      <c r="O26" s="0" t="n">
        <v>1951</v>
      </c>
      <c r="P26" s="0" t="n">
        <v>28.61</v>
      </c>
      <c r="Q26" s="0" t="e">
        <f aca="false">VLOOKUP(C26,[1]'Cost Correction'!$C$6:$AJ$6767,34,0)</f>
        <v>#N/A</v>
      </c>
    </row>
    <row r="27" customFormat="false" ht="15" hidden="false" customHeight="false" outlineLevel="0" collapsed="false">
      <c r="A27" s="0" t="e">
        <f aca="false">E27&amp;K27&amp;Q27</f>
        <v>#N/A</v>
      </c>
      <c r="B27" s="0" t="s">
        <v>4534</v>
      </c>
      <c r="C27" s="0" t="s">
        <v>4535</v>
      </c>
      <c r="D27" s="0" t="s">
        <v>2385</v>
      </c>
      <c r="E27" s="0" t="n">
        <v>43286</v>
      </c>
      <c r="F27" s="0" t="s">
        <v>2380</v>
      </c>
      <c r="G27" s="0" t="n">
        <v>21358568</v>
      </c>
      <c r="H27" s="0" t="n">
        <v>720191</v>
      </c>
      <c r="I27" s="0" t="s">
        <v>34</v>
      </c>
      <c r="J27" s="0" t="s">
        <v>174</v>
      </c>
      <c r="K27" s="0" t="s">
        <v>2433</v>
      </c>
      <c r="L27" s="0" t="n">
        <v>224160780</v>
      </c>
      <c r="M27" s="0" t="s">
        <v>1975</v>
      </c>
      <c r="N27" s="0" t="n">
        <v>103186904</v>
      </c>
      <c r="O27" s="0" t="n">
        <v>1663</v>
      </c>
      <c r="P27" s="0" t="n">
        <v>16.38</v>
      </c>
      <c r="Q27" s="0" t="e">
        <f aca="false">VLOOKUP(C27,[1]'Cost Correction'!$C$6:$AJ$6767,34,0)</f>
        <v>#N/A</v>
      </c>
    </row>
    <row r="28" customFormat="false" ht="15" hidden="false" customHeight="false" outlineLevel="0" collapsed="false">
      <c r="A28" s="0" t="e">
        <f aca="false">E28&amp;K28&amp;Q28</f>
        <v>#N/A</v>
      </c>
      <c r="B28" s="0" t="s">
        <v>4536</v>
      </c>
      <c r="C28" s="0" t="s">
        <v>4537</v>
      </c>
      <c r="D28" s="0" t="s">
        <v>2385</v>
      </c>
      <c r="E28" s="0" t="n">
        <v>43286</v>
      </c>
      <c r="F28" s="0" t="s">
        <v>2380</v>
      </c>
      <c r="G28" s="0" t="n">
        <v>21358568</v>
      </c>
      <c r="H28" s="0" t="n">
        <v>720191</v>
      </c>
      <c r="I28" s="0" t="s">
        <v>34</v>
      </c>
      <c r="J28" s="0" t="s">
        <v>174</v>
      </c>
      <c r="K28" s="0" t="s">
        <v>2412</v>
      </c>
      <c r="L28" s="0" t="n">
        <v>224160777</v>
      </c>
      <c r="M28" s="0" t="s">
        <v>1977</v>
      </c>
      <c r="N28" s="0" t="n">
        <v>103048479</v>
      </c>
      <c r="O28" s="0" t="n">
        <v>5105</v>
      </c>
      <c r="P28" s="0" t="n">
        <v>80.8</v>
      </c>
      <c r="Q28" s="0" t="e">
        <f aca="false">VLOOKUP(C28,[1]'Cost Correction'!$C$6:$AJ$6767,34,0)</f>
        <v>#N/A</v>
      </c>
    </row>
    <row r="29" customFormat="false" ht="15" hidden="false" customHeight="false" outlineLevel="0" collapsed="false">
      <c r="A29" s="0" t="e">
        <f aca="false">E29&amp;K29&amp;Q29</f>
        <v>#N/A</v>
      </c>
      <c r="B29" s="0" t="s">
        <v>4538</v>
      </c>
      <c r="C29" s="0" t="s">
        <v>4539</v>
      </c>
      <c r="D29" s="0" t="s">
        <v>2385</v>
      </c>
      <c r="E29" s="0" t="n">
        <v>43286</v>
      </c>
      <c r="F29" s="0" t="s">
        <v>2380</v>
      </c>
      <c r="G29" s="0" t="n">
        <v>21358568</v>
      </c>
      <c r="H29" s="0" t="n">
        <v>720191</v>
      </c>
      <c r="I29" s="0" t="s">
        <v>34</v>
      </c>
      <c r="J29" s="0" t="s">
        <v>174</v>
      </c>
      <c r="K29" s="0" t="s">
        <v>2397</v>
      </c>
      <c r="O29" s="0" t="n">
        <v>4102</v>
      </c>
      <c r="P29" s="0" t="n">
        <v>43.86</v>
      </c>
      <c r="Q29" s="0" t="e">
        <f aca="false">VLOOKUP(C29,[1]'Cost Correction'!$C$6:$AJ$6767,34,0)</f>
        <v>#N/A</v>
      </c>
    </row>
    <row r="30" customFormat="false" ht="15" hidden="false" customHeight="false" outlineLevel="0" collapsed="false">
      <c r="A30" s="0" t="e">
        <f aca="false">E30&amp;K30&amp;Q30</f>
        <v>#N/A</v>
      </c>
      <c r="B30" s="0" t="s">
        <v>4538</v>
      </c>
      <c r="C30" s="0" t="s">
        <v>4540</v>
      </c>
      <c r="D30" s="0" t="s">
        <v>2385</v>
      </c>
      <c r="E30" s="0" t="n">
        <v>43286</v>
      </c>
      <c r="F30" s="0" t="s">
        <v>2380</v>
      </c>
      <c r="G30" s="0" t="n">
        <v>21358568</v>
      </c>
      <c r="H30" s="0" t="n">
        <v>720191</v>
      </c>
      <c r="I30" s="0" t="s">
        <v>34</v>
      </c>
      <c r="J30" s="0" t="s">
        <v>174</v>
      </c>
      <c r="K30" s="0" t="s">
        <v>2395</v>
      </c>
      <c r="O30" s="0" t="n">
        <v>3561</v>
      </c>
      <c r="P30" s="0" t="n">
        <v>44.08</v>
      </c>
      <c r="Q30" s="0" t="e">
        <f aca="false">VLOOKUP(C30,[1]'Cost Correction'!$C$6:$AJ$6767,34,0)</f>
        <v>#N/A</v>
      </c>
    </row>
    <row r="31" customFormat="false" ht="15" hidden="false" customHeight="false" outlineLevel="0" collapsed="false">
      <c r="A31" s="0" t="e">
        <f aca="false">E31&amp;K31&amp;Q31</f>
        <v>#N/A</v>
      </c>
      <c r="B31" s="0" t="s">
        <v>4538</v>
      </c>
      <c r="C31" s="0" t="s">
        <v>4541</v>
      </c>
      <c r="D31" s="0" t="s">
        <v>2385</v>
      </c>
      <c r="E31" s="0" t="n">
        <v>43286</v>
      </c>
      <c r="F31" s="0" t="s">
        <v>2380</v>
      </c>
      <c r="G31" s="0" t="n">
        <v>21358568</v>
      </c>
      <c r="H31" s="0" t="n">
        <v>720191</v>
      </c>
      <c r="I31" s="0" t="s">
        <v>34</v>
      </c>
      <c r="J31" s="0" t="s">
        <v>174</v>
      </c>
      <c r="K31" s="0" t="s">
        <v>2393</v>
      </c>
      <c r="O31" s="0" t="n">
        <v>1006</v>
      </c>
      <c r="P31" s="0" t="n">
        <v>8.79</v>
      </c>
      <c r="Q31" s="0" t="e">
        <f aca="false">VLOOKUP(C31,[1]'Cost Correction'!$C$6:$AJ$6767,34,0)</f>
        <v>#N/A</v>
      </c>
    </row>
    <row r="32" customFormat="false" ht="15" hidden="false" customHeight="false" outlineLevel="0" collapsed="false">
      <c r="A32" s="0" t="e">
        <f aca="false">E32&amp;K32&amp;Q32</f>
        <v>#N/A</v>
      </c>
      <c r="B32" s="0" t="s">
        <v>4542</v>
      </c>
      <c r="C32" s="0" t="s">
        <v>4543</v>
      </c>
      <c r="D32" s="0" t="s">
        <v>2385</v>
      </c>
      <c r="E32" s="0" t="n">
        <v>43286</v>
      </c>
      <c r="F32" s="0" t="s">
        <v>2380</v>
      </c>
      <c r="G32" s="0" t="n">
        <v>21358568</v>
      </c>
      <c r="H32" s="0" t="n">
        <v>720191</v>
      </c>
      <c r="I32" s="0" t="s">
        <v>34</v>
      </c>
      <c r="J32" s="0" t="s">
        <v>174</v>
      </c>
      <c r="K32" s="0" t="s">
        <v>2420</v>
      </c>
      <c r="L32" s="0" t="n">
        <v>224160771</v>
      </c>
      <c r="M32" s="0" t="s">
        <v>1981</v>
      </c>
      <c r="N32" s="0" t="n">
        <v>103048488</v>
      </c>
      <c r="O32" s="0" t="n">
        <v>2070</v>
      </c>
      <c r="P32" s="0" t="n">
        <v>41.93</v>
      </c>
      <c r="Q32" s="0" t="e">
        <f aca="false">VLOOKUP(C32,[1]'Cost Correction'!$C$6:$AJ$6767,34,0)</f>
        <v>#N/A</v>
      </c>
    </row>
    <row r="33" customFormat="false" ht="15" hidden="false" customHeight="false" outlineLevel="0" collapsed="false">
      <c r="A33" s="0" t="e">
        <f aca="false">E33&amp;K33&amp;Q33</f>
        <v>#N/A</v>
      </c>
      <c r="B33" s="0" t="s">
        <v>4544</v>
      </c>
      <c r="C33" s="0" t="s">
        <v>4545</v>
      </c>
      <c r="D33" s="0" t="s">
        <v>2385</v>
      </c>
      <c r="E33" s="0" t="n">
        <v>43284</v>
      </c>
      <c r="F33" s="0" t="s">
        <v>2380</v>
      </c>
      <c r="G33" s="0" t="n">
        <v>21358568</v>
      </c>
      <c r="H33" s="0" t="n">
        <v>720191</v>
      </c>
      <c r="I33" s="0" t="s">
        <v>34</v>
      </c>
      <c r="J33" s="0" t="s">
        <v>174</v>
      </c>
      <c r="K33" s="0" t="s">
        <v>2401</v>
      </c>
      <c r="L33" s="0" t="n">
        <v>224160783</v>
      </c>
      <c r="M33" s="0" t="s">
        <v>1973</v>
      </c>
      <c r="N33" s="0" t="n">
        <v>103051614</v>
      </c>
      <c r="O33" s="0" t="n">
        <v>707</v>
      </c>
      <c r="P33" s="0" t="n">
        <v>14.34</v>
      </c>
      <c r="Q33" s="0" t="e">
        <f aca="false">VLOOKUP(C33,[1]'Cost Correction'!$C$6:$AJ$6767,34,0)</f>
        <v>#N/A</v>
      </c>
    </row>
    <row r="34" customFormat="false" ht="15" hidden="false" customHeight="false" outlineLevel="0" collapsed="false">
      <c r="A34" s="0" t="e">
        <f aca="false">E34&amp;K34&amp;Q34</f>
        <v>#N/A</v>
      </c>
      <c r="B34" s="0" t="s">
        <v>4546</v>
      </c>
      <c r="C34" s="0" t="s">
        <v>4547</v>
      </c>
      <c r="D34" s="0" t="s">
        <v>2385</v>
      </c>
      <c r="E34" s="0" t="n">
        <v>43284</v>
      </c>
      <c r="F34" s="0" t="s">
        <v>2380</v>
      </c>
      <c r="G34" s="0" t="n">
        <v>21358568</v>
      </c>
      <c r="H34" s="0" t="n">
        <v>720191</v>
      </c>
      <c r="I34" s="0" t="s">
        <v>34</v>
      </c>
      <c r="J34" s="0" t="s">
        <v>174</v>
      </c>
      <c r="K34" s="0" t="s">
        <v>2405</v>
      </c>
      <c r="L34" s="0" t="n">
        <v>224160774</v>
      </c>
      <c r="M34" s="0" t="s">
        <v>1979</v>
      </c>
      <c r="N34" s="0" t="n">
        <v>103186910</v>
      </c>
      <c r="O34" s="0" t="n">
        <v>2264</v>
      </c>
      <c r="P34" s="0" t="n">
        <v>38.02</v>
      </c>
      <c r="Q34" s="0" t="e">
        <f aca="false">VLOOKUP(C34,[1]'Cost Correction'!$C$6:$AJ$6767,34,0)</f>
        <v>#N/A</v>
      </c>
    </row>
    <row r="35" customFormat="false" ht="15" hidden="false" customHeight="false" outlineLevel="0" collapsed="false">
      <c r="A35" s="0" t="e">
        <f aca="false">E35&amp;K35&amp;Q35</f>
        <v>#N/A</v>
      </c>
      <c r="B35" s="0" t="s">
        <v>4548</v>
      </c>
      <c r="C35" s="0" t="s">
        <v>4549</v>
      </c>
      <c r="D35" s="0" t="s">
        <v>2385</v>
      </c>
      <c r="E35" s="0" t="n">
        <v>43287</v>
      </c>
      <c r="F35" s="0" t="s">
        <v>2380</v>
      </c>
      <c r="G35" s="0" t="n">
        <v>21358568</v>
      </c>
      <c r="H35" s="0" t="n">
        <v>720191</v>
      </c>
      <c r="I35" s="0" t="s">
        <v>34</v>
      </c>
      <c r="J35" s="0" t="s">
        <v>174</v>
      </c>
      <c r="K35" s="0" t="s">
        <v>2433</v>
      </c>
      <c r="L35" s="0" t="n">
        <v>224160780</v>
      </c>
      <c r="M35" s="0" t="s">
        <v>1975</v>
      </c>
      <c r="N35" s="0" t="n">
        <v>103186904</v>
      </c>
      <c r="O35" s="0" t="n">
        <v>1468</v>
      </c>
      <c r="P35" s="0" t="n">
        <v>15.8</v>
      </c>
      <c r="Q35" s="0" t="e">
        <f aca="false">VLOOKUP(C35,[1]'Cost Correction'!$C$6:$AJ$6767,34,0)</f>
        <v>#N/A</v>
      </c>
    </row>
    <row r="36" customFormat="false" ht="15" hidden="false" customHeight="false" outlineLevel="0" collapsed="false">
      <c r="A36" s="0" t="e">
        <f aca="false">E36&amp;K36&amp;Q36</f>
        <v>#N/A</v>
      </c>
      <c r="B36" s="0" t="s">
        <v>4550</v>
      </c>
      <c r="C36" s="0" t="s">
        <v>4551</v>
      </c>
      <c r="D36" s="0" t="s">
        <v>2385</v>
      </c>
      <c r="E36" s="0" t="n">
        <v>43287</v>
      </c>
      <c r="F36" s="0" t="s">
        <v>2380</v>
      </c>
      <c r="G36" s="0" t="n">
        <v>21358568</v>
      </c>
      <c r="H36" s="0" t="n">
        <v>720191</v>
      </c>
      <c r="I36" s="0" t="s">
        <v>34</v>
      </c>
      <c r="J36" s="0" t="s">
        <v>174</v>
      </c>
      <c r="K36" s="0" t="s">
        <v>2412</v>
      </c>
      <c r="L36" s="0" t="n">
        <v>224160777</v>
      </c>
      <c r="M36" s="0" t="s">
        <v>1977</v>
      </c>
      <c r="N36" s="0" t="n">
        <v>103048479</v>
      </c>
      <c r="O36" s="0" t="n">
        <v>3274</v>
      </c>
      <c r="P36" s="0" t="n">
        <v>46.97</v>
      </c>
      <c r="Q36" s="0" t="e">
        <f aca="false">VLOOKUP(C36,[1]'Cost Correction'!$C$6:$AJ$6767,34,0)</f>
        <v>#N/A</v>
      </c>
    </row>
    <row r="37" customFormat="false" ht="15" hidden="false" customHeight="false" outlineLevel="0" collapsed="false">
      <c r="A37" s="0" t="e">
        <f aca="false">E37&amp;K37&amp;Q37</f>
        <v>#N/A</v>
      </c>
      <c r="B37" s="0" t="s">
        <v>4552</v>
      </c>
      <c r="C37" s="0" t="s">
        <v>4553</v>
      </c>
      <c r="D37" s="0" t="s">
        <v>2385</v>
      </c>
      <c r="E37" s="0" t="n">
        <v>43287</v>
      </c>
      <c r="F37" s="0" t="s">
        <v>2380</v>
      </c>
      <c r="G37" s="0" t="n">
        <v>21358568</v>
      </c>
      <c r="H37" s="0" t="n">
        <v>720191</v>
      </c>
      <c r="I37" s="0" t="s">
        <v>34</v>
      </c>
      <c r="J37" s="0" t="s">
        <v>174</v>
      </c>
      <c r="K37" s="0" t="s">
        <v>2397</v>
      </c>
      <c r="O37" s="0" t="n">
        <v>1313</v>
      </c>
      <c r="P37" s="0" t="n">
        <v>17.08</v>
      </c>
      <c r="Q37" s="0" t="e">
        <f aca="false">VLOOKUP(C37,[1]'Cost Correction'!$C$6:$AJ$6767,34,0)</f>
        <v>#N/A</v>
      </c>
    </row>
    <row r="38" customFormat="false" ht="15" hidden="false" customHeight="false" outlineLevel="0" collapsed="false">
      <c r="A38" s="0" t="e">
        <f aca="false">E38&amp;K38&amp;Q38</f>
        <v>#N/A</v>
      </c>
      <c r="B38" s="0" t="s">
        <v>4552</v>
      </c>
      <c r="C38" s="0" t="s">
        <v>4554</v>
      </c>
      <c r="D38" s="0" t="s">
        <v>2385</v>
      </c>
      <c r="E38" s="0" t="n">
        <v>43287</v>
      </c>
      <c r="F38" s="0" t="s">
        <v>2380</v>
      </c>
      <c r="G38" s="0" t="n">
        <v>21358568</v>
      </c>
      <c r="H38" s="0" t="n">
        <v>720191</v>
      </c>
      <c r="I38" s="0" t="s">
        <v>34</v>
      </c>
      <c r="J38" s="0" t="s">
        <v>174</v>
      </c>
      <c r="K38" s="0" t="s">
        <v>2395</v>
      </c>
      <c r="O38" s="0" t="n">
        <v>6324</v>
      </c>
      <c r="P38" s="0" t="n">
        <v>82.58</v>
      </c>
      <c r="Q38" s="0" t="e">
        <f aca="false">VLOOKUP(C38,[1]'Cost Correction'!$C$6:$AJ$6767,34,0)</f>
        <v>#N/A</v>
      </c>
    </row>
    <row r="39" customFormat="false" ht="15" hidden="false" customHeight="false" outlineLevel="0" collapsed="false">
      <c r="A39" s="0" t="e">
        <f aca="false">E39&amp;K39&amp;Q39</f>
        <v>#N/A</v>
      </c>
      <c r="B39" s="0" t="s">
        <v>4552</v>
      </c>
      <c r="C39" s="0" t="s">
        <v>4555</v>
      </c>
      <c r="D39" s="0" t="s">
        <v>2385</v>
      </c>
      <c r="E39" s="0" t="n">
        <v>43287</v>
      </c>
      <c r="F39" s="0" t="s">
        <v>2380</v>
      </c>
      <c r="G39" s="0" t="n">
        <v>21358568</v>
      </c>
      <c r="H39" s="0" t="n">
        <v>720191</v>
      </c>
      <c r="I39" s="0" t="s">
        <v>34</v>
      </c>
      <c r="J39" s="0" t="s">
        <v>174</v>
      </c>
      <c r="K39" s="0" t="s">
        <v>2393</v>
      </c>
      <c r="O39" s="0" t="n">
        <v>1762</v>
      </c>
      <c r="P39" s="0" t="n">
        <v>17.96</v>
      </c>
      <c r="Q39" s="0" t="e">
        <f aca="false">VLOOKUP(C39,[1]'Cost Correction'!$C$6:$AJ$6767,34,0)</f>
        <v>#N/A</v>
      </c>
    </row>
    <row r="40" customFormat="false" ht="15" hidden="false" customHeight="false" outlineLevel="0" collapsed="false">
      <c r="A40" s="0" t="e">
        <f aca="false">E40&amp;K40&amp;Q40</f>
        <v>#N/A</v>
      </c>
      <c r="B40" s="0" t="s">
        <v>4556</v>
      </c>
      <c r="C40" s="0" t="s">
        <v>4557</v>
      </c>
      <c r="D40" s="0" t="s">
        <v>2385</v>
      </c>
      <c r="E40" s="0" t="n">
        <v>43287</v>
      </c>
      <c r="F40" s="0" t="s">
        <v>2380</v>
      </c>
      <c r="G40" s="0" t="n">
        <v>21358568</v>
      </c>
      <c r="H40" s="0" t="n">
        <v>720191</v>
      </c>
      <c r="I40" s="0" t="s">
        <v>34</v>
      </c>
      <c r="J40" s="0" t="s">
        <v>174</v>
      </c>
      <c r="K40" s="0" t="s">
        <v>2420</v>
      </c>
      <c r="L40" s="0" t="n">
        <v>224160771</v>
      </c>
      <c r="M40" s="0" t="s">
        <v>1981</v>
      </c>
      <c r="N40" s="0" t="n">
        <v>103048488</v>
      </c>
      <c r="O40" s="0" t="n">
        <v>8333</v>
      </c>
      <c r="P40" s="0" t="n">
        <v>149.04</v>
      </c>
      <c r="Q40" s="0" t="e">
        <f aca="false">VLOOKUP(C40,[1]'Cost Correction'!$C$6:$AJ$6767,34,0)</f>
        <v>#N/A</v>
      </c>
    </row>
    <row r="41" customFormat="false" ht="15" hidden="false" customHeight="false" outlineLevel="0" collapsed="false">
      <c r="A41" s="0" t="e">
        <f aca="false">E41&amp;K41&amp;Q41</f>
        <v>#N/A</v>
      </c>
      <c r="B41" s="0" t="s">
        <v>4558</v>
      </c>
      <c r="C41" s="0" t="s">
        <v>4559</v>
      </c>
      <c r="D41" s="0" t="s">
        <v>2385</v>
      </c>
      <c r="E41" s="0" t="n">
        <v>43285</v>
      </c>
      <c r="F41" s="0" t="s">
        <v>2380</v>
      </c>
      <c r="G41" s="0" t="n">
        <v>21358568</v>
      </c>
      <c r="H41" s="0" t="n">
        <v>720191</v>
      </c>
      <c r="I41" s="0" t="s">
        <v>34</v>
      </c>
      <c r="J41" s="0" t="s">
        <v>174</v>
      </c>
      <c r="K41" s="0" t="s">
        <v>2401</v>
      </c>
      <c r="L41" s="0" t="n">
        <v>224160783</v>
      </c>
      <c r="M41" s="0" t="s">
        <v>1973</v>
      </c>
      <c r="N41" s="0" t="n">
        <v>103051614</v>
      </c>
      <c r="O41" s="0" t="n">
        <v>1631</v>
      </c>
      <c r="P41" s="0" t="n">
        <v>23.34</v>
      </c>
      <c r="Q41" s="0" t="e">
        <f aca="false">VLOOKUP(C41,[1]'Cost Correction'!$C$6:$AJ$6767,34,0)</f>
        <v>#N/A</v>
      </c>
    </row>
    <row r="42" customFormat="false" ht="15" hidden="false" customHeight="false" outlineLevel="0" collapsed="false">
      <c r="A42" s="0" t="e">
        <f aca="false">E42&amp;K42&amp;Q42</f>
        <v>#N/A</v>
      </c>
      <c r="B42" s="0" t="s">
        <v>4560</v>
      </c>
      <c r="C42" s="0" t="s">
        <v>4561</v>
      </c>
      <c r="D42" s="0" t="s">
        <v>2385</v>
      </c>
      <c r="E42" s="0" t="n">
        <v>43289</v>
      </c>
      <c r="F42" s="0" t="s">
        <v>2380</v>
      </c>
      <c r="G42" s="0" t="n">
        <v>21358568</v>
      </c>
      <c r="H42" s="0" t="n">
        <v>720191</v>
      </c>
      <c r="I42" s="0" t="s">
        <v>34</v>
      </c>
      <c r="J42" s="0" t="s">
        <v>174</v>
      </c>
      <c r="K42" s="0" t="s">
        <v>2433</v>
      </c>
      <c r="L42" s="0" t="n">
        <v>224160780</v>
      </c>
      <c r="M42" s="0" t="s">
        <v>1975</v>
      </c>
      <c r="N42" s="0" t="n">
        <v>103186904</v>
      </c>
      <c r="O42" s="0" t="n">
        <v>1259</v>
      </c>
      <c r="P42" s="0" t="n">
        <v>18.31</v>
      </c>
      <c r="Q42" s="0" t="e">
        <f aca="false">VLOOKUP(C42,[1]'Cost Correction'!$C$6:$AJ$6767,34,0)</f>
        <v>#N/A</v>
      </c>
    </row>
    <row r="43" customFormat="false" ht="15" hidden="false" customHeight="false" outlineLevel="0" collapsed="false">
      <c r="A43" s="0" t="e">
        <f aca="false">E43&amp;K43&amp;Q43</f>
        <v>#N/A</v>
      </c>
      <c r="B43" s="0" t="s">
        <v>4562</v>
      </c>
      <c r="C43" s="0" t="s">
        <v>4563</v>
      </c>
      <c r="D43" s="0" t="s">
        <v>2385</v>
      </c>
      <c r="E43" s="0" t="n">
        <v>43289</v>
      </c>
      <c r="F43" s="0" t="s">
        <v>2380</v>
      </c>
      <c r="G43" s="0" t="n">
        <v>21358568</v>
      </c>
      <c r="H43" s="0" t="n">
        <v>720191</v>
      </c>
      <c r="I43" s="0" t="s">
        <v>34</v>
      </c>
      <c r="J43" s="0" t="s">
        <v>174</v>
      </c>
      <c r="K43" s="0" t="s">
        <v>2401</v>
      </c>
      <c r="L43" s="0" t="n">
        <v>224160783</v>
      </c>
      <c r="M43" s="0" t="s">
        <v>1973</v>
      </c>
      <c r="N43" s="0" t="n">
        <v>103051614</v>
      </c>
      <c r="O43" s="0" t="n">
        <v>1354</v>
      </c>
      <c r="P43" s="0" t="n">
        <v>20.9</v>
      </c>
      <c r="Q43" s="0" t="e">
        <f aca="false">VLOOKUP(C43,[1]'Cost Correction'!$C$6:$AJ$6767,34,0)</f>
        <v>#N/A</v>
      </c>
    </row>
    <row r="44" customFormat="false" ht="15" hidden="false" customHeight="false" outlineLevel="0" collapsed="false">
      <c r="A44" s="0" t="e">
        <f aca="false">E44&amp;K44&amp;Q44</f>
        <v>#N/A</v>
      </c>
      <c r="B44" s="0" t="s">
        <v>4564</v>
      </c>
      <c r="C44" s="0" t="s">
        <v>4565</v>
      </c>
      <c r="D44" s="0" t="s">
        <v>2385</v>
      </c>
      <c r="E44" s="0" t="n">
        <v>43289</v>
      </c>
      <c r="F44" s="0" t="s">
        <v>2380</v>
      </c>
      <c r="G44" s="0" t="n">
        <v>21358568</v>
      </c>
      <c r="H44" s="0" t="n">
        <v>720191</v>
      </c>
      <c r="I44" s="0" t="s">
        <v>34</v>
      </c>
      <c r="J44" s="0" t="s">
        <v>174</v>
      </c>
      <c r="K44" s="0" t="s">
        <v>2395</v>
      </c>
      <c r="O44" s="0" t="n">
        <v>2794</v>
      </c>
      <c r="P44" s="0" t="n">
        <v>41.73</v>
      </c>
      <c r="Q44" s="0" t="e">
        <f aca="false">VLOOKUP(C44,[1]'Cost Correction'!$C$6:$AJ$6767,34,0)</f>
        <v>#N/A</v>
      </c>
    </row>
    <row r="45" customFormat="false" ht="15" hidden="false" customHeight="false" outlineLevel="0" collapsed="false">
      <c r="A45" s="0" t="e">
        <f aca="false">E45&amp;K45&amp;Q45</f>
        <v>#N/A</v>
      </c>
      <c r="B45" s="0" t="s">
        <v>4564</v>
      </c>
      <c r="C45" s="0" t="s">
        <v>4566</v>
      </c>
      <c r="D45" s="0" t="s">
        <v>2385</v>
      </c>
      <c r="E45" s="0" t="n">
        <v>43289</v>
      </c>
      <c r="F45" s="0" t="s">
        <v>2380</v>
      </c>
      <c r="G45" s="0" t="n">
        <v>21358568</v>
      </c>
      <c r="H45" s="0" t="n">
        <v>720191</v>
      </c>
      <c r="I45" s="0" t="s">
        <v>34</v>
      </c>
      <c r="J45" s="0" t="s">
        <v>174</v>
      </c>
      <c r="K45" s="0" t="s">
        <v>2393</v>
      </c>
      <c r="O45" s="0" t="n">
        <v>460</v>
      </c>
      <c r="P45" s="0" t="n">
        <v>4.06</v>
      </c>
      <c r="Q45" s="0" t="e">
        <f aca="false">VLOOKUP(C45,[1]'Cost Correction'!$C$6:$AJ$6767,34,0)</f>
        <v>#N/A</v>
      </c>
    </row>
    <row r="46" customFormat="false" ht="15" hidden="false" customHeight="false" outlineLevel="0" collapsed="false">
      <c r="A46" s="0" t="e">
        <f aca="false">E46&amp;K46&amp;Q46</f>
        <v>#N/A</v>
      </c>
      <c r="B46" s="0" t="s">
        <v>4564</v>
      </c>
      <c r="C46" s="0" t="s">
        <v>4567</v>
      </c>
      <c r="D46" s="0" t="s">
        <v>2385</v>
      </c>
      <c r="E46" s="0" t="n">
        <v>43289</v>
      </c>
      <c r="F46" s="0" t="s">
        <v>2380</v>
      </c>
      <c r="G46" s="0" t="n">
        <v>21358568</v>
      </c>
      <c r="H46" s="0" t="n">
        <v>720191</v>
      </c>
      <c r="I46" s="0" t="s">
        <v>34</v>
      </c>
      <c r="J46" s="0" t="s">
        <v>174</v>
      </c>
      <c r="K46" s="0" t="s">
        <v>2397</v>
      </c>
      <c r="O46" s="0" t="n">
        <v>5705</v>
      </c>
      <c r="P46" s="0" t="n">
        <v>70.93</v>
      </c>
      <c r="Q46" s="0" t="e">
        <f aca="false">VLOOKUP(C46,[1]'Cost Correction'!$C$6:$AJ$6767,34,0)</f>
        <v>#N/A</v>
      </c>
    </row>
    <row r="47" customFormat="false" ht="15" hidden="false" customHeight="false" outlineLevel="0" collapsed="false">
      <c r="A47" s="0" t="e">
        <f aca="false">E47&amp;K47&amp;Q47</f>
        <v>#N/A</v>
      </c>
      <c r="B47" s="0" t="s">
        <v>4568</v>
      </c>
      <c r="C47" s="0" t="s">
        <v>4569</v>
      </c>
      <c r="D47" s="0" t="s">
        <v>2385</v>
      </c>
      <c r="E47" s="0" t="n">
        <v>43289</v>
      </c>
      <c r="F47" s="0" t="s">
        <v>2380</v>
      </c>
      <c r="G47" s="0" t="n">
        <v>21358568</v>
      </c>
      <c r="H47" s="0" t="n">
        <v>720191</v>
      </c>
      <c r="I47" s="0" t="s">
        <v>34</v>
      </c>
      <c r="J47" s="0" t="s">
        <v>174</v>
      </c>
      <c r="K47" s="0" t="s">
        <v>2420</v>
      </c>
      <c r="L47" s="0" t="n">
        <v>224160771</v>
      </c>
      <c r="M47" s="0" t="s">
        <v>1981</v>
      </c>
      <c r="N47" s="0" t="n">
        <v>103048488</v>
      </c>
      <c r="O47" s="0" t="n">
        <v>433</v>
      </c>
      <c r="P47" s="0" t="n">
        <v>10.63</v>
      </c>
      <c r="Q47" s="0" t="e">
        <f aca="false">VLOOKUP(C47,[1]'Cost Correction'!$C$6:$AJ$6767,34,0)</f>
        <v>#N/A</v>
      </c>
    </row>
    <row r="48" customFormat="false" ht="15" hidden="false" customHeight="false" outlineLevel="0" collapsed="false">
      <c r="A48" s="0" t="e">
        <f aca="false">E48&amp;K48&amp;Q48</f>
        <v>#N/A</v>
      </c>
      <c r="B48" s="0" t="s">
        <v>4570</v>
      </c>
      <c r="C48" s="0" t="s">
        <v>4571</v>
      </c>
      <c r="D48" s="0" t="s">
        <v>2385</v>
      </c>
      <c r="E48" s="0" t="n">
        <v>43289</v>
      </c>
      <c r="F48" s="0" t="s">
        <v>2380</v>
      </c>
      <c r="G48" s="0" t="n">
        <v>21358568</v>
      </c>
      <c r="H48" s="0" t="n">
        <v>720191</v>
      </c>
      <c r="I48" s="0" t="s">
        <v>34</v>
      </c>
      <c r="J48" s="0" t="s">
        <v>174</v>
      </c>
      <c r="K48" s="0" t="s">
        <v>2412</v>
      </c>
      <c r="L48" s="0" t="n">
        <v>224160777</v>
      </c>
      <c r="M48" s="0" t="s">
        <v>1977</v>
      </c>
      <c r="N48" s="0" t="n">
        <v>103048479</v>
      </c>
      <c r="O48" s="0" t="n">
        <v>7929</v>
      </c>
      <c r="P48" s="0" t="n">
        <v>147.18</v>
      </c>
      <c r="Q48" s="0" t="e">
        <f aca="false">VLOOKUP(C48,[1]'Cost Correction'!$C$6:$AJ$6767,34,0)</f>
        <v>#N/A</v>
      </c>
    </row>
    <row r="49" customFormat="false" ht="15" hidden="false" customHeight="false" outlineLevel="0" collapsed="false">
      <c r="A49" s="0" t="e">
        <f aca="false">E49&amp;K49&amp;Q49</f>
        <v>#N/A</v>
      </c>
      <c r="B49" s="0" t="s">
        <v>4572</v>
      </c>
      <c r="C49" s="0" t="s">
        <v>4573</v>
      </c>
      <c r="D49" s="0" t="s">
        <v>2385</v>
      </c>
      <c r="E49" s="0" t="n">
        <v>43289</v>
      </c>
      <c r="F49" s="0" t="s">
        <v>2380</v>
      </c>
      <c r="G49" s="0" t="n">
        <v>21358568</v>
      </c>
      <c r="H49" s="0" t="n">
        <v>720191</v>
      </c>
      <c r="I49" s="0" t="s">
        <v>34</v>
      </c>
      <c r="J49" s="0" t="s">
        <v>174</v>
      </c>
      <c r="K49" s="0" t="s">
        <v>2405</v>
      </c>
      <c r="L49" s="0" t="n">
        <v>224160774</v>
      </c>
      <c r="M49" s="0" t="s">
        <v>1979</v>
      </c>
      <c r="N49" s="0" t="n">
        <v>103186910</v>
      </c>
      <c r="O49" s="0" t="n">
        <v>1930</v>
      </c>
      <c r="P49" s="0" t="n">
        <v>33.92</v>
      </c>
      <c r="Q49" s="0" t="e">
        <f aca="false">VLOOKUP(C49,[1]'Cost Correction'!$C$6:$AJ$6767,34,0)</f>
        <v>#N/A</v>
      </c>
    </row>
    <row r="50" customFormat="false" ht="15" hidden="false" customHeight="false" outlineLevel="0" collapsed="false">
      <c r="A50" s="0" t="e">
        <f aca="false">E50&amp;K50&amp;Q50</f>
        <v>#N/A</v>
      </c>
      <c r="B50" s="0" t="s">
        <v>4574</v>
      </c>
      <c r="C50" s="0" t="s">
        <v>4575</v>
      </c>
      <c r="D50" s="0" t="s">
        <v>2385</v>
      </c>
      <c r="E50" s="0" t="n">
        <v>43290</v>
      </c>
      <c r="F50" s="0" t="s">
        <v>2380</v>
      </c>
      <c r="G50" s="0" t="n">
        <v>21358568</v>
      </c>
      <c r="H50" s="0" t="n">
        <v>720191</v>
      </c>
      <c r="I50" s="0" t="s">
        <v>34</v>
      </c>
      <c r="J50" s="0" t="s">
        <v>174</v>
      </c>
      <c r="K50" s="0" t="s">
        <v>2395</v>
      </c>
      <c r="O50" s="0" t="n">
        <v>2120</v>
      </c>
      <c r="P50" s="0" t="n">
        <v>22.91</v>
      </c>
      <c r="Q50" s="0" t="e">
        <f aca="false">VLOOKUP(C50,[1]'Cost Correction'!$C$6:$AJ$6767,34,0)</f>
        <v>#N/A</v>
      </c>
    </row>
    <row r="51" customFormat="false" ht="15" hidden="false" customHeight="false" outlineLevel="0" collapsed="false">
      <c r="A51" s="0" t="e">
        <f aca="false">E51&amp;K51&amp;Q51</f>
        <v>#N/A</v>
      </c>
      <c r="B51" s="0" t="s">
        <v>4574</v>
      </c>
      <c r="C51" s="0" t="s">
        <v>4576</v>
      </c>
      <c r="D51" s="0" t="s">
        <v>2385</v>
      </c>
      <c r="E51" s="0" t="n">
        <v>43290</v>
      </c>
      <c r="F51" s="0" t="s">
        <v>2380</v>
      </c>
      <c r="G51" s="0" t="n">
        <v>21358568</v>
      </c>
      <c r="H51" s="0" t="n">
        <v>720191</v>
      </c>
      <c r="I51" s="0" t="s">
        <v>34</v>
      </c>
      <c r="J51" s="0" t="s">
        <v>174</v>
      </c>
      <c r="K51" s="0" t="s">
        <v>2393</v>
      </c>
      <c r="O51" s="0" t="n">
        <v>413</v>
      </c>
      <c r="P51" s="0" t="n">
        <v>3.65</v>
      </c>
      <c r="Q51" s="0" t="e">
        <f aca="false">VLOOKUP(C51,[1]'Cost Correction'!$C$6:$AJ$6767,34,0)</f>
        <v>#N/A</v>
      </c>
    </row>
    <row r="52" customFormat="false" ht="15" hidden="false" customHeight="false" outlineLevel="0" collapsed="false">
      <c r="A52" s="0" t="e">
        <f aca="false">E52&amp;K52&amp;Q52</f>
        <v>#N/A</v>
      </c>
      <c r="B52" s="0" t="s">
        <v>4574</v>
      </c>
      <c r="C52" s="0" t="s">
        <v>4577</v>
      </c>
      <c r="D52" s="0" t="s">
        <v>2385</v>
      </c>
      <c r="E52" s="0" t="n">
        <v>43290</v>
      </c>
      <c r="F52" s="0" t="s">
        <v>2380</v>
      </c>
      <c r="G52" s="0" t="n">
        <v>21358568</v>
      </c>
      <c r="H52" s="0" t="n">
        <v>720191</v>
      </c>
      <c r="I52" s="0" t="s">
        <v>34</v>
      </c>
      <c r="J52" s="0" t="s">
        <v>174</v>
      </c>
      <c r="K52" s="0" t="s">
        <v>2397</v>
      </c>
      <c r="O52" s="0" t="n">
        <v>7709</v>
      </c>
      <c r="P52" s="0" t="n">
        <v>85.65</v>
      </c>
      <c r="Q52" s="0" t="e">
        <f aca="false">VLOOKUP(C52,[1]'Cost Correction'!$C$6:$AJ$6767,34,0)</f>
        <v>#N/A</v>
      </c>
    </row>
    <row r="53" customFormat="false" ht="15" hidden="false" customHeight="false" outlineLevel="0" collapsed="false">
      <c r="A53" s="0" t="e">
        <f aca="false">E53&amp;K53&amp;Q53</f>
        <v>#N/A</v>
      </c>
      <c r="B53" s="0" t="s">
        <v>4578</v>
      </c>
      <c r="C53" s="0" t="s">
        <v>4579</v>
      </c>
      <c r="D53" s="0" t="s">
        <v>2385</v>
      </c>
      <c r="E53" s="0" t="n">
        <v>43290</v>
      </c>
      <c r="F53" s="0" t="s">
        <v>2380</v>
      </c>
      <c r="G53" s="0" t="n">
        <v>21358568</v>
      </c>
      <c r="H53" s="0" t="n">
        <v>720191</v>
      </c>
      <c r="I53" s="0" t="s">
        <v>34</v>
      </c>
      <c r="J53" s="0" t="s">
        <v>174</v>
      </c>
      <c r="K53" s="0" t="s">
        <v>2401</v>
      </c>
      <c r="L53" s="0" t="n">
        <v>224160783</v>
      </c>
      <c r="M53" s="0" t="s">
        <v>1973</v>
      </c>
      <c r="N53" s="0" t="n">
        <v>103051614</v>
      </c>
      <c r="O53" s="0" t="n">
        <v>2266</v>
      </c>
      <c r="P53" s="0" t="n">
        <v>26.03</v>
      </c>
      <c r="Q53" s="0" t="e">
        <f aca="false">VLOOKUP(C53,[1]'Cost Correction'!$C$6:$AJ$6767,34,0)</f>
        <v>#N/A</v>
      </c>
    </row>
    <row r="54" customFormat="false" ht="15" hidden="false" customHeight="false" outlineLevel="0" collapsed="false">
      <c r="A54" s="0" t="e">
        <f aca="false">E54&amp;K54&amp;Q54</f>
        <v>#N/A</v>
      </c>
      <c r="B54" s="0" t="s">
        <v>4580</v>
      </c>
      <c r="C54" s="0" t="s">
        <v>4581</v>
      </c>
      <c r="D54" s="0" t="s">
        <v>2385</v>
      </c>
      <c r="E54" s="0" t="n">
        <v>43290</v>
      </c>
      <c r="F54" s="0" t="s">
        <v>2380</v>
      </c>
      <c r="G54" s="0" t="n">
        <v>21358568</v>
      </c>
      <c r="H54" s="0" t="n">
        <v>720191</v>
      </c>
      <c r="I54" s="0" t="s">
        <v>34</v>
      </c>
      <c r="J54" s="0" t="s">
        <v>174</v>
      </c>
      <c r="K54" s="0" t="s">
        <v>2405</v>
      </c>
      <c r="L54" s="0" t="n">
        <v>224160774</v>
      </c>
      <c r="M54" s="0" t="s">
        <v>1979</v>
      </c>
      <c r="N54" s="0" t="n">
        <v>103186910</v>
      </c>
      <c r="O54" s="0" t="n">
        <v>985</v>
      </c>
      <c r="P54" s="0" t="n">
        <v>15.65</v>
      </c>
      <c r="Q54" s="0" t="e">
        <f aca="false">VLOOKUP(C54,[1]'Cost Correction'!$C$6:$AJ$6767,34,0)</f>
        <v>#N/A</v>
      </c>
    </row>
    <row r="55" customFormat="false" ht="15" hidden="false" customHeight="false" outlineLevel="0" collapsed="false">
      <c r="A55" s="0" t="e">
        <f aca="false">E55&amp;K55&amp;Q55</f>
        <v>#N/A</v>
      </c>
      <c r="B55" s="0" t="s">
        <v>4582</v>
      </c>
      <c r="C55" s="0" t="s">
        <v>4583</v>
      </c>
      <c r="D55" s="0" t="s">
        <v>2385</v>
      </c>
      <c r="E55" s="0" t="n">
        <v>43290</v>
      </c>
      <c r="F55" s="0" t="s">
        <v>2380</v>
      </c>
      <c r="G55" s="0" t="n">
        <v>21358568</v>
      </c>
      <c r="H55" s="0" t="n">
        <v>720191</v>
      </c>
      <c r="I55" s="0" t="s">
        <v>34</v>
      </c>
      <c r="J55" s="0" t="s">
        <v>174</v>
      </c>
      <c r="K55" s="0" t="s">
        <v>2433</v>
      </c>
      <c r="L55" s="0" t="n">
        <v>224160780</v>
      </c>
      <c r="M55" s="0" t="s">
        <v>1975</v>
      </c>
      <c r="N55" s="0" t="n">
        <v>103186904</v>
      </c>
      <c r="O55" s="0" t="n">
        <v>401</v>
      </c>
      <c r="P55" s="0" t="n">
        <v>3.93</v>
      </c>
      <c r="Q55" s="0" t="e">
        <f aca="false">VLOOKUP(C55,[1]'Cost Correction'!$C$6:$AJ$6767,34,0)</f>
        <v>#N/A</v>
      </c>
    </row>
    <row r="56" customFormat="false" ht="15" hidden="false" customHeight="false" outlineLevel="0" collapsed="false">
      <c r="A56" s="0" t="e">
        <f aca="false">E56&amp;K56&amp;Q56</f>
        <v>#N/A</v>
      </c>
      <c r="B56" s="0" t="s">
        <v>4584</v>
      </c>
      <c r="C56" s="0" t="s">
        <v>4585</v>
      </c>
      <c r="D56" s="0" t="s">
        <v>2385</v>
      </c>
      <c r="E56" s="0" t="n">
        <v>43290</v>
      </c>
      <c r="F56" s="0" t="s">
        <v>2380</v>
      </c>
      <c r="G56" s="0" t="n">
        <v>21358568</v>
      </c>
      <c r="H56" s="0" t="n">
        <v>720191</v>
      </c>
      <c r="I56" s="0" t="s">
        <v>34</v>
      </c>
      <c r="J56" s="0" t="s">
        <v>174</v>
      </c>
      <c r="K56" s="0" t="s">
        <v>2412</v>
      </c>
      <c r="L56" s="0" t="n">
        <v>224160777</v>
      </c>
      <c r="M56" s="0" t="s">
        <v>1977</v>
      </c>
      <c r="N56" s="0" t="n">
        <v>103048479</v>
      </c>
      <c r="O56" s="0" t="n">
        <v>5186</v>
      </c>
      <c r="P56" s="0" t="n">
        <v>82.75</v>
      </c>
      <c r="Q56" s="0" t="e">
        <f aca="false">VLOOKUP(C56,[1]'Cost Correction'!$C$6:$AJ$6767,34,0)</f>
        <v>#N/A</v>
      </c>
    </row>
    <row r="57" customFormat="false" ht="15" hidden="false" customHeight="false" outlineLevel="0" collapsed="false">
      <c r="A57" s="0" t="e">
        <f aca="false">E57&amp;K57&amp;Q57</f>
        <v>#N/A</v>
      </c>
      <c r="B57" s="0" t="s">
        <v>4586</v>
      </c>
      <c r="C57" s="0" t="s">
        <v>4587</v>
      </c>
      <c r="D57" s="0" t="s">
        <v>2385</v>
      </c>
      <c r="E57" s="0" t="n">
        <v>43290</v>
      </c>
      <c r="F57" s="0" t="s">
        <v>2380</v>
      </c>
      <c r="G57" s="0" t="n">
        <v>21358568</v>
      </c>
      <c r="H57" s="0" t="n">
        <v>720191</v>
      </c>
      <c r="I57" s="0" t="s">
        <v>34</v>
      </c>
      <c r="J57" s="0" t="s">
        <v>174</v>
      </c>
      <c r="K57" s="0" t="s">
        <v>2420</v>
      </c>
      <c r="L57" s="0" t="n">
        <v>224160771</v>
      </c>
      <c r="M57" s="0" t="s">
        <v>1981</v>
      </c>
      <c r="N57" s="0" t="n">
        <v>103048488</v>
      </c>
      <c r="O57" s="0" t="n">
        <v>5438</v>
      </c>
      <c r="P57" s="0" t="n">
        <v>90.92</v>
      </c>
      <c r="Q57" s="0" t="e">
        <f aca="false">VLOOKUP(C57,[1]'Cost Correction'!$C$6:$AJ$6767,34,0)</f>
        <v>#N/A</v>
      </c>
    </row>
    <row r="58" customFormat="false" ht="15" hidden="false" customHeight="false" outlineLevel="0" collapsed="false">
      <c r="A58" s="0" t="e">
        <f aca="false">E58&amp;K58&amp;Q58</f>
        <v>#N/A</v>
      </c>
      <c r="B58" s="0" t="s">
        <v>4588</v>
      </c>
      <c r="C58" s="0" t="s">
        <v>4589</v>
      </c>
      <c r="D58" s="0" t="s">
        <v>2385</v>
      </c>
      <c r="E58" s="0" t="n">
        <v>43291</v>
      </c>
      <c r="F58" s="0" t="s">
        <v>2380</v>
      </c>
      <c r="G58" s="0" t="n">
        <v>21358568</v>
      </c>
      <c r="H58" s="0" t="n">
        <v>720191</v>
      </c>
      <c r="I58" s="0" t="s">
        <v>34</v>
      </c>
      <c r="J58" s="0" t="s">
        <v>174</v>
      </c>
      <c r="K58" s="0" t="s">
        <v>2401</v>
      </c>
      <c r="L58" s="0" t="n">
        <v>224160783</v>
      </c>
      <c r="M58" s="0" t="s">
        <v>1973</v>
      </c>
      <c r="N58" s="0" t="n">
        <v>103051614</v>
      </c>
      <c r="O58" s="0" t="n">
        <v>735</v>
      </c>
      <c r="P58" s="0" t="n">
        <v>6.79</v>
      </c>
      <c r="Q58" s="0" t="e">
        <f aca="false">VLOOKUP(C58,[1]'Cost Correction'!$C$6:$AJ$6767,34,0)</f>
        <v>#N/A</v>
      </c>
    </row>
    <row r="59" customFormat="false" ht="15" hidden="false" customHeight="false" outlineLevel="0" collapsed="false">
      <c r="A59" s="0" t="e">
        <f aca="false">E59&amp;K59&amp;Q59</f>
        <v>#N/A</v>
      </c>
      <c r="B59" s="0" t="s">
        <v>4590</v>
      </c>
      <c r="C59" s="0" t="s">
        <v>4591</v>
      </c>
      <c r="D59" s="0" t="s">
        <v>2385</v>
      </c>
      <c r="E59" s="0" t="n">
        <v>43291</v>
      </c>
      <c r="F59" s="0" t="s">
        <v>2380</v>
      </c>
      <c r="G59" s="0" t="n">
        <v>21358568</v>
      </c>
      <c r="H59" s="0" t="n">
        <v>720191</v>
      </c>
      <c r="I59" s="0" t="s">
        <v>34</v>
      </c>
      <c r="J59" s="0" t="s">
        <v>174</v>
      </c>
      <c r="K59" s="0" t="s">
        <v>2393</v>
      </c>
      <c r="O59" s="0" t="n">
        <v>202</v>
      </c>
      <c r="P59" s="0" t="n">
        <v>1.54</v>
      </c>
      <c r="Q59" s="0" t="e">
        <f aca="false">VLOOKUP(C59,[1]'Cost Correction'!$C$6:$AJ$6767,34,0)</f>
        <v>#N/A</v>
      </c>
    </row>
    <row r="60" customFormat="false" ht="15" hidden="false" customHeight="false" outlineLevel="0" collapsed="false">
      <c r="A60" s="0" t="e">
        <f aca="false">E60&amp;K60&amp;Q60</f>
        <v>#N/A</v>
      </c>
      <c r="B60" s="0" t="s">
        <v>4590</v>
      </c>
      <c r="C60" s="0" t="s">
        <v>4592</v>
      </c>
      <c r="D60" s="0" t="s">
        <v>2385</v>
      </c>
      <c r="E60" s="0" t="n">
        <v>43291</v>
      </c>
      <c r="F60" s="0" t="s">
        <v>2380</v>
      </c>
      <c r="G60" s="0" t="n">
        <v>21358568</v>
      </c>
      <c r="H60" s="0" t="n">
        <v>720191</v>
      </c>
      <c r="I60" s="0" t="s">
        <v>34</v>
      </c>
      <c r="J60" s="0" t="s">
        <v>174</v>
      </c>
      <c r="K60" s="0" t="s">
        <v>2397</v>
      </c>
      <c r="O60" s="0" t="n">
        <v>4594</v>
      </c>
      <c r="P60" s="0" t="n">
        <v>49.48</v>
      </c>
      <c r="Q60" s="0" t="e">
        <f aca="false">VLOOKUP(C60,[1]'Cost Correction'!$C$6:$AJ$6767,34,0)</f>
        <v>#N/A</v>
      </c>
    </row>
    <row r="61" customFormat="false" ht="15" hidden="false" customHeight="false" outlineLevel="0" collapsed="false">
      <c r="A61" s="0" t="e">
        <f aca="false">E61&amp;K61&amp;Q61</f>
        <v>#N/A</v>
      </c>
      <c r="B61" s="0" t="s">
        <v>4590</v>
      </c>
      <c r="C61" s="0" t="s">
        <v>4593</v>
      </c>
      <c r="D61" s="0" t="s">
        <v>2385</v>
      </c>
      <c r="E61" s="0" t="n">
        <v>43291</v>
      </c>
      <c r="F61" s="0" t="s">
        <v>2380</v>
      </c>
      <c r="G61" s="0" t="n">
        <v>21358568</v>
      </c>
      <c r="H61" s="0" t="n">
        <v>720191</v>
      </c>
      <c r="I61" s="0" t="s">
        <v>34</v>
      </c>
      <c r="J61" s="0" t="s">
        <v>174</v>
      </c>
      <c r="K61" s="0" t="s">
        <v>2395</v>
      </c>
      <c r="O61" s="0" t="n">
        <v>231</v>
      </c>
      <c r="P61" s="0" t="n">
        <v>2.47</v>
      </c>
      <c r="Q61" s="0" t="e">
        <f aca="false">VLOOKUP(C61,[1]'Cost Correction'!$C$6:$AJ$6767,34,0)</f>
        <v>#N/A</v>
      </c>
    </row>
    <row r="62" customFormat="false" ht="15" hidden="false" customHeight="false" outlineLevel="0" collapsed="false">
      <c r="A62" s="0" t="e">
        <f aca="false">E62&amp;K62&amp;Q62</f>
        <v>#N/A</v>
      </c>
      <c r="B62" s="0" t="s">
        <v>4594</v>
      </c>
      <c r="C62" s="0" t="s">
        <v>4595</v>
      </c>
      <c r="D62" s="0" t="s">
        <v>2385</v>
      </c>
      <c r="E62" s="0" t="n">
        <v>43291</v>
      </c>
      <c r="F62" s="0" t="s">
        <v>2380</v>
      </c>
      <c r="G62" s="0" t="n">
        <v>21358568</v>
      </c>
      <c r="H62" s="0" t="n">
        <v>720191</v>
      </c>
      <c r="I62" s="0" t="s">
        <v>34</v>
      </c>
      <c r="J62" s="0" t="s">
        <v>174</v>
      </c>
      <c r="K62" s="0" t="s">
        <v>2433</v>
      </c>
      <c r="L62" s="0" t="n">
        <v>224160780</v>
      </c>
      <c r="M62" s="0" t="s">
        <v>1975</v>
      </c>
      <c r="N62" s="0" t="n">
        <v>103186904</v>
      </c>
      <c r="O62" s="0" t="n">
        <v>717</v>
      </c>
      <c r="P62" s="0" t="n">
        <v>8.02</v>
      </c>
      <c r="Q62" s="0" t="e">
        <f aca="false">VLOOKUP(C62,[1]'Cost Correction'!$C$6:$AJ$6767,34,0)</f>
        <v>#N/A</v>
      </c>
    </row>
    <row r="63" customFormat="false" ht="15" hidden="false" customHeight="false" outlineLevel="0" collapsed="false">
      <c r="A63" s="0" t="e">
        <f aca="false">E63&amp;K63&amp;Q63</f>
        <v>#N/A</v>
      </c>
      <c r="B63" s="0" t="s">
        <v>4596</v>
      </c>
      <c r="C63" s="0" t="s">
        <v>4597</v>
      </c>
      <c r="D63" s="0" t="s">
        <v>2385</v>
      </c>
      <c r="E63" s="0" t="n">
        <v>43291</v>
      </c>
      <c r="F63" s="0" t="s">
        <v>2380</v>
      </c>
      <c r="G63" s="0" t="n">
        <v>21358568</v>
      </c>
      <c r="H63" s="0" t="n">
        <v>720191</v>
      </c>
      <c r="I63" s="0" t="s">
        <v>34</v>
      </c>
      <c r="J63" s="0" t="s">
        <v>174</v>
      </c>
      <c r="K63" s="0" t="s">
        <v>2412</v>
      </c>
      <c r="L63" s="0" t="n">
        <v>224160777</v>
      </c>
      <c r="M63" s="0" t="s">
        <v>1977</v>
      </c>
      <c r="N63" s="0" t="n">
        <v>103048479</v>
      </c>
      <c r="O63" s="0" t="n">
        <v>2717</v>
      </c>
      <c r="P63" s="0" t="n">
        <v>43.62</v>
      </c>
      <c r="Q63" s="0" t="e">
        <f aca="false">VLOOKUP(C63,[1]'Cost Correction'!$C$6:$AJ$6767,34,0)</f>
        <v>#N/A</v>
      </c>
    </row>
    <row r="64" customFormat="false" ht="15" hidden="false" customHeight="false" outlineLevel="0" collapsed="false">
      <c r="A64" s="0" t="e">
        <f aca="false">E64&amp;K64&amp;Q64</f>
        <v>#N/A</v>
      </c>
      <c r="B64" s="0" t="s">
        <v>4598</v>
      </c>
      <c r="C64" s="0" t="s">
        <v>4599</v>
      </c>
      <c r="D64" s="0" t="s">
        <v>2385</v>
      </c>
      <c r="E64" s="0" t="n">
        <v>43291</v>
      </c>
      <c r="F64" s="0" t="s">
        <v>2380</v>
      </c>
      <c r="G64" s="0" t="n">
        <v>21358568</v>
      </c>
      <c r="H64" s="0" t="n">
        <v>720191</v>
      </c>
      <c r="I64" s="0" t="s">
        <v>34</v>
      </c>
      <c r="J64" s="0" t="s">
        <v>174</v>
      </c>
      <c r="K64" s="0" t="s">
        <v>2405</v>
      </c>
      <c r="L64" s="0" t="n">
        <v>224160774</v>
      </c>
      <c r="M64" s="0" t="s">
        <v>1979</v>
      </c>
      <c r="N64" s="0" t="n">
        <v>103186910</v>
      </c>
      <c r="O64" s="0" t="n">
        <v>498</v>
      </c>
      <c r="P64" s="0" t="n">
        <v>7.67</v>
      </c>
      <c r="Q64" s="0" t="e">
        <f aca="false">VLOOKUP(C64,[1]'Cost Correction'!$C$6:$AJ$6767,34,0)</f>
        <v>#N/A</v>
      </c>
    </row>
    <row r="65" customFormat="false" ht="15" hidden="false" customHeight="false" outlineLevel="0" collapsed="false">
      <c r="A65" s="0" t="e">
        <f aca="false">E65&amp;K65&amp;Q65</f>
        <v>#N/A</v>
      </c>
      <c r="B65" s="0" t="s">
        <v>4600</v>
      </c>
      <c r="C65" s="0" t="s">
        <v>4601</v>
      </c>
      <c r="D65" s="0" t="s">
        <v>2385</v>
      </c>
      <c r="E65" s="0" t="n">
        <v>43291</v>
      </c>
      <c r="F65" s="0" t="s">
        <v>2380</v>
      </c>
      <c r="G65" s="0" t="n">
        <v>21358568</v>
      </c>
      <c r="H65" s="0" t="n">
        <v>720191</v>
      </c>
      <c r="I65" s="0" t="s">
        <v>34</v>
      </c>
      <c r="J65" s="0" t="s">
        <v>174</v>
      </c>
      <c r="K65" s="0" t="s">
        <v>2420</v>
      </c>
      <c r="L65" s="0" t="n">
        <v>224160771</v>
      </c>
      <c r="M65" s="0" t="s">
        <v>1981</v>
      </c>
      <c r="N65" s="0" t="n">
        <v>103048488</v>
      </c>
      <c r="O65" s="0" t="n">
        <v>2653</v>
      </c>
      <c r="P65" s="0" t="n">
        <v>43.53</v>
      </c>
      <c r="Q65" s="0" t="e">
        <f aca="false">VLOOKUP(C65,[1]'Cost Correction'!$C$6:$AJ$6767,34,0)</f>
        <v>#N/A</v>
      </c>
    </row>
    <row r="66" customFormat="false" ht="15" hidden="false" customHeight="false" outlineLevel="0" collapsed="false">
      <c r="A66" s="0" t="e">
        <f aca="false">E66&amp;K66&amp;Q66</f>
        <v>#N/A</v>
      </c>
      <c r="B66" s="0" t="s">
        <v>4602</v>
      </c>
      <c r="C66" s="0" t="s">
        <v>4603</v>
      </c>
      <c r="D66" s="0" t="s">
        <v>2385</v>
      </c>
      <c r="E66" s="0" t="n">
        <v>43292</v>
      </c>
      <c r="F66" s="0" t="s">
        <v>2380</v>
      </c>
      <c r="G66" s="0" t="n">
        <v>21358568</v>
      </c>
      <c r="H66" s="0" t="n">
        <v>720191</v>
      </c>
      <c r="I66" s="0" t="s">
        <v>34</v>
      </c>
      <c r="J66" s="0" t="s">
        <v>174</v>
      </c>
      <c r="K66" s="0" t="s">
        <v>2401</v>
      </c>
      <c r="L66" s="0" t="n">
        <v>224160783</v>
      </c>
      <c r="M66" s="0" t="s">
        <v>1973</v>
      </c>
      <c r="N66" s="0" t="n">
        <v>103051614</v>
      </c>
      <c r="O66" s="0" t="n">
        <v>551</v>
      </c>
      <c r="P66" s="0" t="n">
        <v>7.54</v>
      </c>
      <c r="Q66" s="0" t="e">
        <f aca="false">VLOOKUP(C66,[1]'Cost Correction'!$C$6:$AJ$6767,34,0)</f>
        <v>#N/A</v>
      </c>
    </row>
    <row r="67" customFormat="false" ht="15" hidden="false" customHeight="false" outlineLevel="0" collapsed="false">
      <c r="A67" s="0" t="e">
        <f aca="false">E67&amp;K67&amp;Q67</f>
        <v>#N/A</v>
      </c>
      <c r="B67" s="0" t="s">
        <v>4604</v>
      </c>
      <c r="C67" s="0" t="s">
        <v>4605</v>
      </c>
      <c r="D67" s="0" t="s">
        <v>2385</v>
      </c>
      <c r="E67" s="0" t="n">
        <v>43292</v>
      </c>
      <c r="F67" s="0" t="s">
        <v>2380</v>
      </c>
      <c r="G67" s="0" t="n">
        <v>21358568</v>
      </c>
      <c r="H67" s="0" t="n">
        <v>720191</v>
      </c>
      <c r="I67" s="0" t="s">
        <v>34</v>
      </c>
      <c r="J67" s="0" t="s">
        <v>174</v>
      </c>
      <c r="K67" s="0" t="s">
        <v>2393</v>
      </c>
      <c r="O67" s="0" t="n">
        <v>3035</v>
      </c>
      <c r="P67" s="0" t="n">
        <v>34.3</v>
      </c>
      <c r="Q67" s="0" t="e">
        <f aca="false">VLOOKUP(C67,[1]'Cost Correction'!$C$6:$AJ$6767,34,0)</f>
        <v>#N/A</v>
      </c>
    </row>
    <row r="68" customFormat="false" ht="15" hidden="false" customHeight="false" outlineLevel="0" collapsed="false">
      <c r="A68" s="0" t="e">
        <f aca="false">E68&amp;K68&amp;Q68</f>
        <v>#N/A</v>
      </c>
      <c r="B68" s="0" t="s">
        <v>4604</v>
      </c>
      <c r="C68" s="0" t="s">
        <v>4606</v>
      </c>
      <c r="D68" s="0" t="s">
        <v>2385</v>
      </c>
      <c r="E68" s="0" t="n">
        <v>43292</v>
      </c>
      <c r="F68" s="0" t="s">
        <v>2380</v>
      </c>
      <c r="G68" s="0" t="n">
        <v>21358568</v>
      </c>
      <c r="H68" s="0" t="n">
        <v>720191</v>
      </c>
      <c r="I68" s="0" t="s">
        <v>34</v>
      </c>
      <c r="J68" s="0" t="s">
        <v>174</v>
      </c>
      <c r="K68" s="0" t="s">
        <v>2397</v>
      </c>
      <c r="O68" s="0" t="n">
        <v>16822</v>
      </c>
      <c r="P68" s="0" t="n">
        <v>231.67</v>
      </c>
      <c r="Q68" s="0" t="e">
        <f aca="false">VLOOKUP(C68,[1]'Cost Correction'!$C$6:$AJ$6767,34,0)</f>
        <v>#N/A</v>
      </c>
    </row>
    <row r="69" customFormat="false" ht="15" hidden="false" customHeight="false" outlineLevel="0" collapsed="false">
      <c r="A69" s="0" t="e">
        <f aca="false">E69&amp;K69&amp;Q69</f>
        <v>#N/A</v>
      </c>
      <c r="B69" s="0" t="s">
        <v>4604</v>
      </c>
      <c r="C69" s="0" t="s">
        <v>4607</v>
      </c>
      <c r="D69" s="0" t="s">
        <v>2385</v>
      </c>
      <c r="E69" s="0" t="n">
        <v>43292</v>
      </c>
      <c r="F69" s="0" t="s">
        <v>2380</v>
      </c>
      <c r="G69" s="0" t="n">
        <v>21358568</v>
      </c>
      <c r="H69" s="0" t="n">
        <v>720191</v>
      </c>
      <c r="I69" s="0" t="s">
        <v>34</v>
      </c>
      <c r="J69" s="0" t="s">
        <v>174</v>
      </c>
      <c r="K69" s="0" t="s">
        <v>2395</v>
      </c>
      <c r="O69" s="0" t="n">
        <v>4493</v>
      </c>
      <c r="P69" s="0" t="n">
        <v>69.21</v>
      </c>
      <c r="Q69" s="0" t="e">
        <f aca="false">VLOOKUP(C69,[1]'Cost Correction'!$C$6:$AJ$6767,34,0)</f>
        <v>#N/A</v>
      </c>
    </row>
    <row r="70" customFormat="false" ht="15" hidden="false" customHeight="false" outlineLevel="0" collapsed="false">
      <c r="A70" s="0" t="e">
        <f aca="false">E70&amp;K70&amp;Q70</f>
        <v>#N/A</v>
      </c>
      <c r="B70" s="0" t="s">
        <v>4608</v>
      </c>
      <c r="C70" s="0" t="s">
        <v>4609</v>
      </c>
      <c r="D70" s="0" t="s">
        <v>2385</v>
      </c>
      <c r="E70" s="0" t="n">
        <v>43292</v>
      </c>
      <c r="F70" s="0" t="s">
        <v>2380</v>
      </c>
      <c r="G70" s="0" t="n">
        <v>21358568</v>
      </c>
      <c r="H70" s="0" t="n">
        <v>720191</v>
      </c>
      <c r="I70" s="0" t="s">
        <v>34</v>
      </c>
      <c r="J70" s="0" t="s">
        <v>174</v>
      </c>
      <c r="K70" s="0" t="s">
        <v>2420</v>
      </c>
      <c r="L70" s="0" t="n">
        <v>224160771</v>
      </c>
      <c r="M70" s="0" t="s">
        <v>1981</v>
      </c>
      <c r="N70" s="0" t="n">
        <v>103048488</v>
      </c>
      <c r="O70" s="0" t="n">
        <v>416</v>
      </c>
      <c r="P70" s="0" t="n">
        <v>7.9</v>
      </c>
      <c r="Q70" s="0" t="e">
        <f aca="false">VLOOKUP(C70,[1]'Cost Correction'!$C$6:$AJ$6767,34,0)</f>
        <v>#N/A</v>
      </c>
    </row>
    <row r="71" customFormat="false" ht="15" hidden="false" customHeight="false" outlineLevel="0" collapsed="false">
      <c r="A71" s="0" t="e">
        <f aca="false">E71&amp;K71&amp;Q71</f>
        <v>#N/A</v>
      </c>
      <c r="B71" s="0" t="s">
        <v>4610</v>
      </c>
      <c r="C71" s="0" t="s">
        <v>4611</v>
      </c>
      <c r="D71" s="0" t="s">
        <v>2385</v>
      </c>
      <c r="E71" s="0" t="n">
        <v>43292</v>
      </c>
      <c r="F71" s="0" t="s">
        <v>2380</v>
      </c>
      <c r="G71" s="0" t="n">
        <v>21358568</v>
      </c>
      <c r="H71" s="0" t="n">
        <v>720191</v>
      </c>
      <c r="I71" s="0" t="s">
        <v>34</v>
      </c>
      <c r="J71" s="0" t="s">
        <v>174</v>
      </c>
      <c r="K71" s="0" t="s">
        <v>2405</v>
      </c>
      <c r="L71" s="0" t="n">
        <v>224160774</v>
      </c>
      <c r="M71" s="0" t="s">
        <v>1979</v>
      </c>
      <c r="N71" s="0" t="n">
        <v>103186910</v>
      </c>
      <c r="O71" s="0" t="n">
        <v>460</v>
      </c>
      <c r="P71" s="0" t="n">
        <v>5.99</v>
      </c>
      <c r="Q71" s="0" t="e">
        <f aca="false">VLOOKUP(C71,[1]'Cost Correction'!$C$6:$AJ$6767,34,0)</f>
        <v>#N/A</v>
      </c>
    </row>
    <row r="72" customFormat="false" ht="15" hidden="false" customHeight="false" outlineLevel="0" collapsed="false">
      <c r="A72" s="0" t="e">
        <f aca="false">E72&amp;K72&amp;Q72</f>
        <v>#N/A</v>
      </c>
      <c r="B72" s="0" t="s">
        <v>4612</v>
      </c>
      <c r="C72" s="0" t="s">
        <v>4613</v>
      </c>
      <c r="D72" s="0" t="s">
        <v>2385</v>
      </c>
      <c r="E72" s="0" t="n">
        <v>43292</v>
      </c>
      <c r="F72" s="0" t="s">
        <v>2380</v>
      </c>
      <c r="G72" s="0" t="n">
        <v>21358568</v>
      </c>
      <c r="H72" s="0" t="n">
        <v>720191</v>
      </c>
      <c r="I72" s="0" t="s">
        <v>34</v>
      </c>
      <c r="J72" s="0" t="s">
        <v>174</v>
      </c>
      <c r="K72" s="0" t="s">
        <v>2433</v>
      </c>
      <c r="L72" s="0" t="n">
        <v>224160780</v>
      </c>
      <c r="M72" s="0" t="s">
        <v>1975</v>
      </c>
      <c r="N72" s="0" t="n">
        <v>103186904</v>
      </c>
      <c r="O72" s="0" t="n">
        <v>312</v>
      </c>
      <c r="P72" s="0" t="n">
        <v>2.94</v>
      </c>
      <c r="Q72" s="0" t="e">
        <f aca="false">VLOOKUP(C72,[1]'Cost Correction'!$C$6:$AJ$6767,34,0)</f>
        <v>#N/A</v>
      </c>
    </row>
    <row r="73" customFormat="false" ht="15" hidden="false" customHeight="false" outlineLevel="0" collapsed="false">
      <c r="A73" s="0" t="e">
        <f aca="false">E73&amp;K73&amp;Q73</f>
        <v>#N/A</v>
      </c>
      <c r="B73" s="0" t="s">
        <v>4614</v>
      </c>
      <c r="C73" s="0" t="s">
        <v>4615</v>
      </c>
      <c r="D73" s="0" t="s">
        <v>2385</v>
      </c>
      <c r="E73" s="0" t="n">
        <v>43292</v>
      </c>
      <c r="F73" s="0" t="s">
        <v>2380</v>
      </c>
      <c r="G73" s="0" t="n">
        <v>21358568</v>
      </c>
      <c r="H73" s="0" t="n">
        <v>720191</v>
      </c>
      <c r="I73" s="0" t="s">
        <v>34</v>
      </c>
      <c r="J73" s="0" t="s">
        <v>174</v>
      </c>
      <c r="K73" s="0" t="s">
        <v>2412</v>
      </c>
      <c r="L73" s="0" t="n">
        <v>224160777</v>
      </c>
      <c r="M73" s="0" t="s">
        <v>1977</v>
      </c>
      <c r="N73" s="0" t="n">
        <v>103048479</v>
      </c>
      <c r="O73" s="0" t="n">
        <v>18575</v>
      </c>
      <c r="P73" s="0" t="n">
        <v>293.96</v>
      </c>
      <c r="Q73" s="0" t="e">
        <f aca="false">VLOOKUP(C73,[1]'Cost Correction'!$C$6:$AJ$6767,34,0)</f>
        <v>#N/A</v>
      </c>
    </row>
    <row r="74" customFormat="false" ht="15" hidden="false" customHeight="false" outlineLevel="0" collapsed="false">
      <c r="A74" s="0" t="e">
        <f aca="false">E74&amp;K74&amp;Q74</f>
        <v>#N/A</v>
      </c>
      <c r="B74" s="0" t="s">
        <v>4616</v>
      </c>
      <c r="C74" s="0" t="s">
        <v>4617</v>
      </c>
      <c r="D74" s="0" t="s">
        <v>2385</v>
      </c>
      <c r="E74" s="0" t="n">
        <v>43293</v>
      </c>
      <c r="F74" s="0" t="s">
        <v>2380</v>
      </c>
      <c r="G74" s="0" t="n">
        <v>21358568</v>
      </c>
      <c r="H74" s="0" t="n">
        <v>720191</v>
      </c>
      <c r="I74" s="0" t="s">
        <v>34</v>
      </c>
      <c r="J74" s="0" t="s">
        <v>174</v>
      </c>
      <c r="K74" s="0" t="s">
        <v>2393</v>
      </c>
      <c r="O74" s="0" t="n">
        <v>971</v>
      </c>
      <c r="P74" s="0" t="n">
        <v>11.57</v>
      </c>
      <c r="Q74" s="0" t="e">
        <f aca="false">VLOOKUP(C74,[1]'Cost Correction'!$C$6:$AJ$6767,34,0)</f>
        <v>#N/A</v>
      </c>
    </row>
    <row r="75" customFormat="false" ht="15" hidden="false" customHeight="false" outlineLevel="0" collapsed="false">
      <c r="A75" s="0" t="e">
        <f aca="false">E75&amp;K75&amp;Q75</f>
        <v>#N/A</v>
      </c>
      <c r="B75" s="0" t="s">
        <v>4616</v>
      </c>
      <c r="C75" s="0" t="s">
        <v>4618</v>
      </c>
      <c r="D75" s="0" t="s">
        <v>2385</v>
      </c>
      <c r="E75" s="0" t="n">
        <v>43293</v>
      </c>
      <c r="F75" s="0" t="s">
        <v>2380</v>
      </c>
      <c r="G75" s="0" t="n">
        <v>21358568</v>
      </c>
      <c r="H75" s="0" t="n">
        <v>720191</v>
      </c>
      <c r="I75" s="0" t="s">
        <v>34</v>
      </c>
      <c r="J75" s="0" t="s">
        <v>174</v>
      </c>
      <c r="K75" s="0" t="s">
        <v>2397</v>
      </c>
      <c r="O75" s="0" t="n">
        <v>6432</v>
      </c>
      <c r="P75" s="0" t="n">
        <v>99.17</v>
      </c>
      <c r="Q75" s="0" t="e">
        <f aca="false">VLOOKUP(C75,[1]'Cost Correction'!$C$6:$AJ$6767,34,0)</f>
        <v>#N/A</v>
      </c>
    </row>
    <row r="76" customFormat="false" ht="15" hidden="false" customHeight="false" outlineLevel="0" collapsed="false">
      <c r="A76" s="0" t="e">
        <f aca="false">E76&amp;K76&amp;Q76</f>
        <v>#N/A</v>
      </c>
      <c r="B76" s="0" t="s">
        <v>4616</v>
      </c>
      <c r="C76" s="0" t="s">
        <v>4619</v>
      </c>
      <c r="D76" s="0" t="s">
        <v>2385</v>
      </c>
      <c r="E76" s="0" t="n">
        <v>43293</v>
      </c>
      <c r="F76" s="0" t="s">
        <v>2380</v>
      </c>
      <c r="G76" s="0" t="n">
        <v>21358568</v>
      </c>
      <c r="H76" s="0" t="n">
        <v>720191</v>
      </c>
      <c r="I76" s="0" t="s">
        <v>34</v>
      </c>
      <c r="J76" s="0" t="s">
        <v>174</v>
      </c>
      <c r="K76" s="0" t="s">
        <v>2395</v>
      </c>
      <c r="O76" s="0" t="n">
        <v>15460</v>
      </c>
      <c r="P76" s="0" t="n">
        <v>234.52</v>
      </c>
      <c r="Q76" s="0" t="e">
        <f aca="false">VLOOKUP(C76,[1]'Cost Correction'!$C$6:$AJ$6767,34,0)</f>
        <v>#N/A</v>
      </c>
    </row>
    <row r="77" customFormat="false" ht="15" hidden="false" customHeight="false" outlineLevel="0" collapsed="false">
      <c r="A77" s="0" t="e">
        <f aca="false">E77&amp;K77&amp;Q77</f>
        <v>#N/A</v>
      </c>
      <c r="B77" s="0" t="s">
        <v>4620</v>
      </c>
      <c r="C77" s="0" t="s">
        <v>4621</v>
      </c>
      <c r="D77" s="0" t="s">
        <v>2385</v>
      </c>
      <c r="E77" s="0" t="n">
        <v>43293</v>
      </c>
      <c r="F77" s="0" t="s">
        <v>2380</v>
      </c>
      <c r="G77" s="0" t="n">
        <v>21358568</v>
      </c>
      <c r="H77" s="0" t="n">
        <v>720191</v>
      </c>
      <c r="I77" s="0" t="s">
        <v>34</v>
      </c>
      <c r="J77" s="0" t="s">
        <v>174</v>
      </c>
      <c r="K77" s="0" t="s">
        <v>2412</v>
      </c>
      <c r="L77" s="0" t="n">
        <v>224160777</v>
      </c>
      <c r="M77" s="0" t="s">
        <v>1977</v>
      </c>
      <c r="N77" s="0" t="n">
        <v>103048479</v>
      </c>
      <c r="O77" s="0" t="n">
        <v>18208</v>
      </c>
      <c r="P77" s="0" t="n">
        <v>301.85</v>
      </c>
      <c r="Q77" s="0" t="e">
        <f aca="false">VLOOKUP(C77,[1]'Cost Correction'!$C$6:$AJ$6767,34,0)</f>
        <v>#N/A</v>
      </c>
    </row>
    <row r="78" customFormat="false" ht="15" hidden="false" customHeight="false" outlineLevel="0" collapsed="false">
      <c r="A78" s="0" t="e">
        <f aca="false">E78&amp;K78&amp;Q78</f>
        <v>#N/A</v>
      </c>
      <c r="B78" s="0" t="s">
        <v>4622</v>
      </c>
      <c r="C78" s="0" t="s">
        <v>4623</v>
      </c>
      <c r="D78" s="0" t="s">
        <v>2385</v>
      </c>
      <c r="E78" s="0" t="n">
        <v>43293</v>
      </c>
      <c r="F78" s="0" t="s">
        <v>2380</v>
      </c>
      <c r="G78" s="0" t="n">
        <v>21358568</v>
      </c>
      <c r="H78" s="0" t="n">
        <v>720191</v>
      </c>
      <c r="I78" s="0" t="s">
        <v>34</v>
      </c>
      <c r="J78" s="0" t="s">
        <v>174</v>
      </c>
      <c r="K78" s="0" t="s">
        <v>2401</v>
      </c>
      <c r="L78" s="0" t="n">
        <v>224160783</v>
      </c>
      <c r="M78" s="0" t="s">
        <v>1973</v>
      </c>
      <c r="N78" s="0" t="n">
        <v>103051614</v>
      </c>
      <c r="O78" s="0" t="n">
        <v>769</v>
      </c>
      <c r="P78" s="0" t="n">
        <v>10.29</v>
      </c>
      <c r="Q78" s="0" t="e">
        <f aca="false">VLOOKUP(C78,[1]'Cost Correction'!$C$6:$AJ$6767,34,0)</f>
        <v>#N/A</v>
      </c>
    </row>
    <row r="79" customFormat="false" ht="15" hidden="false" customHeight="false" outlineLevel="0" collapsed="false">
      <c r="A79" s="0" t="e">
        <f aca="false">E79&amp;K79&amp;Q79</f>
        <v>#N/A</v>
      </c>
      <c r="B79" s="0" t="s">
        <v>4624</v>
      </c>
      <c r="C79" s="0" t="s">
        <v>4625</v>
      </c>
      <c r="D79" s="0" t="s">
        <v>2385</v>
      </c>
      <c r="E79" s="0" t="n">
        <v>43293</v>
      </c>
      <c r="F79" s="0" t="s">
        <v>2380</v>
      </c>
      <c r="G79" s="0" t="n">
        <v>21358568</v>
      </c>
      <c r="H79" s="0" t="n">
        <v>720191</v>
      </c>
      <c r="I79" s="0" t="s">
        <v>34</v>
      </c>
      <c r="J79" s="0" t="s">
        <v>174</v>
      </c>
      <c r="K79" s="0" t="s">
        <v>2405</v>
      </c>
      <c r="L79" s="0" t="n">
        <v>224160774</v>
      </c>
      <c r="M79" s="0" t="s">
        <v>1979</v>
      </c>
      <c r="N79" s="0" t="n">
        <v>103186910</v>
      </c>
      <c r="O79" s="0" t="n">
        <v>797</v>
      </c>
      <c r="P79" s="0" t="n">
        <v>12.25</v>
      </c>
      <c r="Q79" s="0" t="e">
        <f aca="false">VLOOKUP(C79,[1]'Cost Correction'!$C$6:$AJ$6767,34,0)</f>
        <v>#N/A</v>
      </c>
    </row>
    <row r="80" customFormat="false" ht="15" hidden="false" customHeight="false" outlineLevel="0" collapsed="false">
      <c r="A80" s="0" t="e">
        <f aca="false">E80&amp;K80&amp;Q80</f>
        <v>#N/A</v>
      </c>
      <c r="B80" s="0" t="s">
        <v>4626</v>
      </c>
      <c r="C80" s="0" t="s">
        <v>4627</v>
      </c>
      <c r="D80" s="0" t="s">
        <v>2385</v>
      </c>
      <c r="E80" s="0" t="n">
        <v>43293</v>
      </c>
      <c r="F80" s="0" t="s">
        <v>2380</v>
      </c>
      <c r="G80" s="0" t="n">
        <v>21358568</v>
      </c>
      <c r="H80" s="0" t="n">
        <v>720191</v>
      </c>
      <c r="I80" s="0" t="s">
        <v>34</v>
      </c>
      <c r="J80" s="0" t="s">
        <v>174</v>
      </c>
      <c r="K80" s="0" t="s">
        <v>2420</v>
      </c>
      <c r="L80" s="0" t="n">
        <v>224160771</v>
      </c>
      <c r="M80" s="0" t="s">
        <v>1981</v>
      </c>
      <c r="N80" s="0" t="n">
        <v>103048488</v>
      </c>
      <c r="O80" s="0" t="n">
        <v>248</v>
      </c>
      <c r="P80" s="0" t="n">
        <v>4.99</v>
      </c>
      <c r="Q80" s="0" t="e">
        <f aca="false">VLOOKUP(C80,[1]'Cost Correction'!$C$6:$AJ$6767,34,0)</f>
        <v>#N/A</v>
      </c>
    </row>
    <row r="81" customFormat="false" ht="15" hidden="false" customHeight="false" outlineLevel="0" collapsed="false">
      <c r="A81" s="0" t="e">
        <f aca="false">E81&amp;K81&amp;Q81</f>
        <v>#N/A</v>
      </c>
      <c r="B81" s="0" t="s">
        <v>4628</v>
      </c>
      <c r="C81" s="0" t="s">
        <v>4629</v>
      </c>
      <c r="D81" s="0" t="s">
        <v>2385</v>
      </c>
      <c r="E81" s="0" t="n">
        <v>43293</v>
      </c>
      <c r="F81" s="0" t="s">
        <v>2380</v>
      </c>
      <c r="G81" s="0" t="n">
        <v>21358568</v>
      </c>
      <c r="H81" s="0" t="n">
        <v>720191</v>
      </c>
      <c r="I81" s="0" t="s">
        <v>34</v>
      </c>
      <c r="J81" s="0" t="s">
        <v>174</v>
      </c>
      <c r="K81" s="0" t="s">
        <v>2433</v>
      </c>
      <c r="L81" s="0" t="n">
        <v>224160780</v>
      </c>
      <c r="M81" s="0" t="s">
        <v>1975</v>
      </c>
      <c r="N81" s="0" t="n">
        <v>103186904</v>
      </c>
      <c r="O81" s="0" t="n">
        <v>189</v>
      </c>
      <c r="P81" s="0" t="n">
        <v>1.8</v>
      </c>
      <c r="Q81" s="0" t="e">
        <f aca="false">VLOOKUP(C81,[1]'Cost Correction'!$C$6:$AJ$6767,34,0)</f>
        <v>#N/A</v>
      </c>
    </row>
    <row r="82" customFormat="false" ht="15" hidden="false" customHeight="false" outlineLevel="0" collapsed="false">
      <c r="A82" s="0" t="e">
        <f aca="false">E82&amp;K82&amp;Q82</f>
        <v>#N/A</v>
      </c>
      <c r="B82" s="0" t="s">
        <v>4630</v>
      </c>
      <c r="C82" s="0" t="s">
        <v>4631</v>
      </c>
      <c r="D82" s="0" t="s">
        <v>2385</v>
      </c>
      <c r="E82" s="0" t="n">
        <v>43294</v>
      </c>
      <c r="F82" s="0" t="s">
        <v>2380</v>
      </c>
      <c r="G82" s="0" t="n">
        <v>21358568</v>
      </c>
      <c r="H82" s="0" t="n">
        <v>720191</v>
      </c>
      <c r="I82" s="0" t="s">
        <v>34</v>
      </c>
      <c r="J82" s="0" t="s">
        <v>174</v>
      </c>
      <c r="K82" s="0" t="s">
        <v>2405</v>
      </c>
      <c r="L82" s="0" t="n">
        <v>224160774</v>
      </c>
      <c r="M82" s="0" t="s">
        <v>1979</v>
      </c>
      <c r="N82" s="0" t="n">
        <v>103186910</v>
      </c>
      <c r="O82" s="0" t="n">
        <v>5019</v>
      </c>
      <c r="P82" s="0" t="n">
        <v>67.07</v>
      </c>
      <c r="Q82" s="0" t="e">
        <f aca="false">VLOOKUP(C82,[1]'Cost Correction'!$C$6:$AJ$6767,34,0)</f>
        <v>#N/A</v>
      </c>
    </row>
    <row r="83" customFormat="false" ht="15" hidden="false" customHeight="false" outlineLevel="0" collapsed="false">
      <c r="A83" s="0" t="e">
        <f aca="false">E83&amp;K83&amp;Q83</f>
        <v>#N/A</v>
      </c>
      <c r="B83" s="0" t="s">
        <v>4632</v>
      </c>
      <c r="C83" s="0" t="s">
        <v>4633</v>
      </c>
      <c r="D83" s="0" t="s">
        <v>2385</v>
      </c>
      <c r="E83" s="0" t="n">
        <v>43294</v>
      </c>
      <c r="F83" s="0" t="s">
        <v>2380</v>
      </c>
      <c r="G83" s="0" t="n">
        <v>21358568</v>
      </c>
      <c r="H83" s="0" t="n">
        <v>720191</v>
      </c>
      <c r="I83" s="0" t="s">
        <v>34</v>
      </c>
      <c r="J83" s="0" t="s">
        <v>174</v>
      </c>
      <c r="K83" s="0" t="s">
        <v>2412</v>
      </c>
      <c r="L83" s="0" t="n">
        <v>224160777</v>
      </c>
      <c r="M83" s="0" t="s">
        <v>1977</v>
      </c>
      <c r="N83" s="0" t="n">
        <v>103048479</v>
      </c>
      <c r="O83" s="0" t="n">
        <v>14713</v>
      </c>
      <c r="P83" s="0" t="n">
        <v>231.62</v>
      </c>
      <c r="Q83" s="0" t="e">
        <f aca="false">VLOOKUP(C83,[1]'Cost Correction'!$C$6:$AJ$6767,34,0)</f>
        <v>#N/A</v>
      </c>
    </row>
    <row r="84" customFormat="false" ht="15" hidden="false" customHeight="false" outlineLevel="0" collapsed="false">
      <c r="A84" s="0" t="e">
        <f aca="false">E84&amp;K84&amp;Q84</f>
        <v>#N/A</v>
      </c>
      <c r="B84" s="0" t="s">
        <v>4634</v>
      </c>
      <c r="C84" s="0" t="s">
        <v>4635</v>
      </c>
      <c r="D84" s="0" t="s">
        <v>2385</v>
      </c>
      <c r="E84" s="0" t="n">
        <v>43294</v>
      </c>
      <c r="F84" s="0" t="s">
        <v>2380</v>
      </c>
      <c r="G84" s="0" t="n">
        <v>21358568</v>
      </c>
      <c r="H84" s="0" t="n">
        <v>720191</v>
      </c>
      <c r="I84" s="0" t="s">
        <v>34</v>
      </c>
      <c r="J84" s="0" t="s">
        <v>174</v>
      </c>
      <c r="K84" s="0" t="s">
        <v>2420</v>
      </c>
      <c r="L84" s="0" t="n">
        <v>224160771</v>
      </c>
      <c r="M84" s="0" t="s">
        <v>1981</v>
      </c>
      <c r="N84" s="0" t="n">
        <v>103048488</v>
      </c>
      <c r="O84" s="0" t="n">
        <v>613</v>
      </c>
      <c r="P84" s="0" t="n">
        <v>12.66</v>
      </c>
      <c r="Q84" s="0" t="e">
        <f aca="false">VLOOKUP(C84,[1]'Cost Correction'!$C$6:$AJ$6767,34,0)</f>
        <v>#N/A</v>
      </c>
    </row>
    <row r="85" customFormat="false" ht="15" hidden="false" customHeight="false" outlineLevel="0" collapsed="false">
      <c r="A85" s="0" t="e">
        <f aca="false">E85&amp;K85&amp;Q85</f>
        <v>#N/A</v>
      </c>
      <c r="B85" s="0" t="s">
        <v>4636</v>
      </c>
      <c r="C85" s="0" t="s">
        <v>4637</v>
      </c>
      <c r="D85" s="0" t="s">
        <v>2385</v>
      </c>
      <c r="E85" s="0" t="n">
        <v>43294</v>
      </c>
      <c r="F85" s="0" t="s">
        <v>2380</v>
      </c>
      <c r="G85" s="0" t="n">
        <v>21358568</v>
      </c>
      <c r="H85" s="0" t="n">
        <v>720191</v>
      </c>
      <c r="I85" s="0" t="s">
        <v>34</v>
      </c>
      <c r="J85" s="0" t="s">
        <v>174</v>
      </c>
      <c r="K85" s="0" t="s">
        <v>2433</v>
      </c>
      <c r="L85" s="0" t="n">
        <v>224160780</v>
      </c>
      <c r="M85" s="0" t="s">
        <v>1975</v>
      </c>
      <c r="N85" s="0" t="n">
        <v>103186904</v>
      </c>
      <c r="O85" s="0" t="n">
        <v>215</v>
      </c>
      <c r="P85" s="0" t="n">
        <v>2.59</v>
      </c>
      <c r="Q85" s="0" t="e">
        <f aca="false">VLOOKUP(C85,[1]'Cost Correction'!$C$6:$AJ$6767,34,0)</f>
        <v>#N/A</v>
      </c>
    </row>
    <row r="86" customFormat="false" ht="15" hidden="false" customHeight="false" outlineLevel="0" collapsed="false">
      <c r="A86" s="0" t="e">
        <f aca="false">E86&amp;K86&amp;Q86</f>
        <v>#N/A</v>
      </c>
      <c r="B86" s="0" t="s">
        <v>4638</v>
      </c>
      <c r="C86" s="0" t="s">
        <v>4639</v>
      </c>
      <c r="D86" s="0" t="s">
        <v>2385</v>
      </c>
      <c r="E86" s="0" t="n">
        <v>43294</v>
      </c>
      <c r="F86" s="0" t="s">
        <v>2380</v>
      </c>
      <c r="G86" s="0" t="n">
        <v>21358568</v>
      </c>
      <c r="H86" s="0" t="n">
        <v>720191</v>
      </c>
      <c r="I86" s="0" t="s">
        <v>34</v>
      </c>
      <c r="J86" s="0" t="s">
        <v>174</v>
      </c>
      <c r="K86" s="0" t="s">
        <v>2397</v>
      </c>
      <c r="O86" s="0" t="n">
        <v>3685</v>
      </c>
      <c r="P86" s="0" t="n">
        <v>57.54</v>
      </c>
      <c r="Q86" s="0" t="e">
        <f aca="false">VLOOKUP(C86,[1]'Cost Correction'!$C$6:$AJ$6767,34,0)</f>
        <v>#N/A</v>
      </c>
    </row>
    <row r="87" customFormat="false" ht="15" hidden="false" customHeight="false" outlineLevel="0" collapsed="false">
      <c r="A87" s="0" t="e">
        <f aca="false">E87&amp;K87&amp;Q87</f>
        <v>#N/A</v>
      </c>
      <c r="B87" s="0" t="s">
        <v>4638</v>
      </c>
      <c r="C87" s="0" t="s">
        <v>4640</v>
      </c>
      <c r="D87" s="0" t="s">
        <v>2385</v>
      </c>
      <c r="E87" s="0" t="n">
        <v>43294</v>
      </c>
      <c r="F87" s="0" t="s">
        <v>2380</v>
      </c>
      <c r="G87" s="0" t="n">
        <v>21358568</v>
      </c>
      <c r="H87" s="0" t="n">
        <v>720191</v>
      </c>
      <c r="I87" s="0" t="s">
        <v>34</v>
      </c>
      <c r="J87" s="0" t="s">
        <v>174</v>
      </c>
      <c r="K87" s="0" t="s">
        <v>2395</v>
      </c>
      <c r="O87" s="0" t="n">
        <v>17782</v>
      </c>
      <c r="P87" s="0" t="n">
        <v>276.57</v>
      </c>
      <c r="Q87" s="0" t="e">
        <f aca="false">VLOOKUP(C87,[1]'Cost Correction'!$C$6:$AJ$6767,34,0)</f>
        <v>#N/A</v>
      </c>
    </row>
    <row r="88" customFormat="false" ht="15" hidden="false" customHeight="false" outlineLevel="0" collapsed="false">
      <c r="A88" s="0" t="e">
        <f aca="false">E88&amp;K88&amp;Q88</f>
        <v>#N/A</v>
      </c>
      <c r="B88" s="0" t="s">
        <v>4638</v>
      </c>
      <c r="C88" s="0" t="s">
        <v>4641</v>
      </c>
      <c r="D88" s="0" t="s">
        <v>2385</v>
      </c>
      <c r="E88" s="0" t="n">
        <v>43294</v>
      </c>
      <c r="F88" s="0" t="s">
        <v>2380</v>
      </c>
      <c r="G88" s="0" t="n">
        <v>21358568</v>
      </c>
      <c r="H88" s="0" t="n">
        <v>720191</v>
      </c>
      <c r="I88" s="0" t="s">
        <v>34</v>
      </c>
      <c r="J88" s="0" t="s">
        <v>174</v>
      </c>
      <c r="K88" s="0" t="s">
        <v>2393</v>
      </c>
      <c r="O88" s="0" t="n">
        <v>902</v>
      </c>
      <c r="P88" s="0" t="n">
        <v>12.12</v>
      </c>
      <c r="Q88" s="0" t="e">
        <f aca="false">VLOOKUP(C88,[1]'Cost Correction'!$C$6:$AJ$6767,34,0)</f>
        <v>#N/A</v>
      </c>
    </row>
    <row r="89" customFormat="false" ht="15" hidden="false" customHeight="false" outlineLevel="0" collapsed="false">
      <c r="A89" s="0" t="e">
        <f aca="false">E89&amp;K89&amp;Q89</f>
        <v>#N/A</v>
      </c>
      <c r="B89" s="0" t="s">
        <v>4642</v>
      </c>
      <c r="C89" s="0" t="s">
        <v>4643</v>
      </c>
      <c r="D89" s="0" t="s">
        <v>2385</v>
      </c>
      <c r="E89" s="0" t="n">
        <v>43294</v>
      </c>
      <c r="F89" s="0" t="s">
        <v>2380</v>
      </c>
      <c r="G89" s="0" t="n">
        <v>21358568</v>
      </c>
      <c r="H89" s="0" t="n">
        <v>720191</v>
      </c>
      <c r="I89" s="0" t="s">
        <v>34</v>
      </c>
      <c r="J89" s="0" t="s">
        <v>174</v>
      </c>
      <c r="K89" s="0" t="s">
        <v>2401</v>
      </c>
      <c r="L89" s="0" t="n">
        <v>224160783</v>
      </c>
      <c r="M89" s="0" t="s">
        <v>1973</v>
      </c>
      <c r="N89" s="0" t="n">
        <v>103051614</v>
      </c>
      <c r="O89" s="0" t="n">
        <v>326</v>
      </c>
      <c r="P89" s="0" t="n">
        <v>4.17</v>
      </c>
      <c r="Q89" s="0" t="e">
        <f aca="false">VLOOKUP(C89,[1]'Cost Correction'!$C$6:$AJ$6767,34,0)</f>
        <v>#N/A</v>
      </c>
    </row>
    <row r="90" customFormat="false" ht="15" hidden="false" customHeight="false" outlineLevel="0" collapsed="false">
      <c r="A90" s="0" t="e">
        <f aca="false">E90&amp;K90&amp;Q90</f>
        <v>#N/A</v>
      </c>
      <c r="B90" s="0" t="s">
        <v>4644</v>
      </c>
      <c r="C90" s="0" t="s">
        <v>4645</v>
      </c>
      <c r="D90" s="0" t="s">
        <v>2385</v>
      </c>
      <c r="E90" s="0" t="n">
        <v>43295</v>
      </c>
      <c r="F90" s="0" t="s">
        <v>2380</v>
      </c>
      <c r="G90" s="0" t="n">
        <v>21358568</v>
      </c>
      <c r="H90" s="0" t="n">
        <v>720191</v>
      </c>
      <c r="I90" s="0" t="s">
        <v>34</v>
      </c>
      <c r="J90" s="0" t="s">
        <v>174</v>
      </c>
      <c r="K90" s="0" t="s">
        <v>2401</v>
      </c>
      <c r="L90" s="0" t="n">
        <v>224160783</v>
      </c>
      <c r="M90" s="0" t="s">
        <v>1973</v>
      </c>
      <c r="N90" s="0" t="n">
        <v>103051614</v>
      </c>
      <c r="O90" s="0" t="n">
        <v>6436</v>
      </c>
      <c r="P90" s="0" t="n">
        <v>82</v>
      </c>
      <c r="Q90" s="0" t="e">
        <f aca="false">VLOOKUP(C90,[1]'Cost Correction'!$C$6:$AJ$6767,34,0)</f>
        <v>#N/A</v>
      </c>
    </row>
    <row r="91" customFormat="false" ht="15" hidden="false" customHeight="false" outlineLevel="0" collapsed="false">
      <c r="A91" s="0" t="e">
        <f aca="false">E91&amp;K91&amp;Q91</f>
        <v>#N/A</v>
      </c>
      <c r="B91" s="0" t="s">
        <v>4646</v>
      </c>
      <c r="C91" s="0" t="s">
        <v>4647</v>
      </c>
      <c r="D91" s="0" t="s">
        <v>2385</v>
      </c>
      <c r="E91" s="0" t="n">
        <v>43295</v>
      </c>
      <c r="F91" s="0" t="s">
        <v>2380</v>
      </c>
      <c r="G91" s="0" t="n">
        <v>21358568</v>
      </c>
      <c r="H91" s="0" t="n">
        <v>720191</v>
      </c>
      <c r="I91" s="0" t="s">
        <v>34</v>
      </c>
      <c r="J91" s="0" t="s">
        <v>174</v>
      </c>
      <c r="K91" s="0" t="s">
        <v>2405</v>
      </c>
      <c r="L91" s="0" t="n">
        <v>224160774</v>
      </c>
      <c r="M91" s="0" t="s">
        <v>1979</v>
      </c>
      <c r="N91" s="0" t="n">
        <v>103186910</v>
      </c>
      <c r="O91" s="0" t="n">
        <v>6001</v>
      </c>
      <c r="P91" s="0" t="n">
        <v>86.25</v>
      </c>
      <c r="Q91" s="0" t="e">
        <f aca="false">VLOOKUP(C91,[1]'Cost Correction'!$C$6:$AJ$6767,34,0)</f>
        <v>#N/A</v>
      </c>
    </row>
    <row r="92" customFormat="false" ht="15" hidden="false" customHeight="false" outlineLevel="0" collapsed="false">
      <c r="A92" s="0" t="e">
        <f aca="false">E92&amp;K92&amp;Q92</f>
        <v>#N/A</v>
      </c>
      <c r="B92" s="0" t="s">
        <v>4648</v>
      </c>
      <c r="C92" s="0" t="s">
        <v>4649</v>
      </c>
      <c r="D92" s="0" t="s">
        <v>2385</v>
      </c>
      <c r="E92" s="0" t="n">
        <v>43295</v>
      </c>
      <c r="F92" s="0" t="s">
        <v>2380</v>
      </c>
      <c r="G92" s="0" t="n">
        <v>21358568</v>
      </c>
      <c r="H92" s="0" t="n">
        <v>720191</v>
      </c>
      <c r="I92" s="0" t="s">
        <v>34</v>
      </c>
      <c r="J92" s="0" t="s">
        <v>174</v>
      </c>
      <c r="K92" s="0" t="s">
        <v>2395</v>
      </c>
      <c r="O92" s="0" t="n">
        <v>9843</v>
      </c>
      <c r="P92" s="0" t="n">
        <v>167.4</v>
      </c>
      <c r="Q92" s="0" t="e">
        <f aca="false">VLOOKUP(C92,[1]'Cost Correction'!$C$6:$AJ$6767,34,0)</f>
        <v>#N/A</v>
      </c>
    </row>
    <row r="93" customFormat="false" ht="15" hidden="false" customHeight="false" outlineLevel="0" collapsed="false">
      <c r="A93" s="0" t="e">
        <f aca="false">E93&amp;K93&amp;Q93</f>
        <v>#N/A</v>
      </c>
      <c r="B93" s="0" t="s">
        <v>4648</v>
      </c>
      <c r="C93" s="0" t="s">
        <v>4650</v>
      </c>
      <c r="D93" s="0" t="s">
        <v>2385</v>
      </c>
      <c r="E93" s="0" t="n">
        <v>43295</v>
      </c>
      <c r="F93" s="0" t="s">
        <v>2380</v>
      </c>
      <c r="G93" s="0" t="n">
        <v>21358568</v>
      </c>
      <c r="H93" s="0" t="n">
        <v>720191</v>
      </c>
      <c r="I93" s="0" t="s">
        <v>34</v>
      </c>
      <c r="J93" s="0" t="s">
        <v>174</v>
      </c>
      <c r="K93" s="0" t="s">
        <v>2393</v>
      </c>
      <c r="O93" s="0" t="n">
        <v>1745</v>
      </c>
      <c r="P93" s="0" t="n">
        <v>22.15</v>
      </c>
      <c r="Q93" s="0" t="e">
        <f aca="false">VLOOKUP(C93,[1]'Cost Correction'!$C$6:$AJ$6767,34,0)</f>
        <v>#N/A</v>
      </c>
    </row>
    <row r="94" customFormat="false" ht="15" hidden="false" customHeight="false" outlineLevel="0" collapsed="false">
      <c r="A94" s="0" t="e">
        <f aca="false">E94&amp;K94&amp;Q94</f>
        <v>#N/A</v>
      </c>
      <c r="B94" s="0" t="s">
        <v>4648</v>
      </c>
      <c r="C94" s="0" t="s">
        <v>4651</v>
      </c>
      <c r="D94" s="0" t="s">
        <v>2385</v>
      </c>
      <c r="E94" s="0" t="n">
        <v>43295</v>
      </c>
      <c r="F94" s="0" t="s">
        <v>2380</v>
      </c>
      <c r="G94" s="0" t="n">
        <v>21358568</v>
      </c>
      <c r="H94" s="0" t="n">
        <v>720191</v>
      </c>
      <c r="I94" s="0" t="s">
        <v>34</v>
      </c>
      <c r="J94" s="0" t="s">
        <v>174</v>
      </c>
      <c r="K94" s="0" t="s">
        <v>2397</v>
      </c>
      <c r="O94" s="0" t="n">
        <v>11349</v>
      </c>
      <c r="P94" s="0" t="n">
        <v>174.09</v>
      </c>
      <c r="Q94" s="0" t="e">
        <f aca="false">VLOOKUP(C94,[1]'Cost Correction'!$C$6:$AJ$6767,34,0)</f>
        <v>#N/A</v>
      </c>
    </row>
    <row r="95" customFormat="false" ht="15" hidden="false" customHeight="false" outlineLevel="0" collapsed="false">
      <c r="A95" s="0" t="e">
        <f aca="false">E95&amp;K95&amp;Q95</f>
        <v>#N/A</v>
      </c>
      <c r="B95" s="0" t="s">
        <v>4652</v>
      </c>
      <c r="C95" s="0" t="s">
        <v>4653</v>
      </c>
      <c r="D95" s="0" t="s">
        <v>2385</v>
      </c>
      <c r="E95" s="0" t="n">
        <v>43295</v>
      </c>
      <c r="F95" s="0" t="s">
        <v>2380</v>
      </c>
      <c r="G95" s="0" t="n">
        <v>21358568</v>
      </c>
      <c r="H95" s="0" t="n">
        <v>720191</v>
      </c>
      <c r="I95" s="0" t="s">
        <v>34</v>
      </c>
      <c r="J95" s="0" t="s">
        <v>174</v>
      </c>
      <c r="K95" s="0" t="s">
        <v>2433</v>
      </c>
      <c r="L95" s="0" t="n">
        <v>224160780</v>
      </c>
      <c r="M95" s="0" t="s">
        <v>1975</v>
      </c>
      <c r="N95" s="0" t="n">
        <v>103186904</v>
      </c>
      <c r="O95" s="0" t="n">
        <v>242</v>
      </c>
      <c r="P95" s="0" t="n">
        <v>4.6</v>
      </c>
      <c r="Q95" s="0" t="e">
        <f aca="false">VLOOKUP(C95,[1]'Cost Correction'!$C$6:$AJ$6767,34,0)</f>
        <v>#N/A</v>
      </c>
    </row>
    <row r="96" customFormat="false" ht="15" hidden="false" customHeight="false" outlineLevel="0" collapsed="false">
      <c r="A96" s="0" t="e">
        <f aca="false">E96&amp;K96&amp;Q96</f>
        <v>#N/A</v>
      </c>
      <c r="B96" s="0" t="s">
        <v>4654</v>
      </c>
      <c r="C96" s="0" t="s">
        <v>4655</v>
      </c>
      <c r="D96" s="0" t="s">
        <v>2385</v>
      </c>
      <c r="E96" s="0" t="n">
        <v>43295</v>
      </c>
      <c r="F96" s="0" t="s">
        <v>2380</v>
      </c>
      <c r="G96" s="0" t="n">
        <v>21358568</v>
      </c>
      <c r="H96" s="0" t="n">
        <v>720191</v>
      </c>
      <c r="I96" s="0" t="s">
        <v>34</v>
      </c>
      <c r="J96" s="0" t="s">
        <v>174</v>
      </c>
      <c r="K96" s="0" t="s">
        <v>2412</v>
      </c>
      <c r="L96" s="0" t="n">
        <v>224160777</v>
      </c>
      <c r="M96" s="0" t="s">
        <v>1977</v>
      </c>
      <c r="N96" s="0" t="n">
        <v>103048479</v>
      </c>
      <c r="O96" s="0" t="n">
        <v>7502</v>
      </c>
      <c r="P96" s="0" t="n">
        <v>127.8</v>
      </c>
      <c r="Q96" s="0" t="e">
        <f aca="false">VLOOKUP(C96,[1]'Cost Correction'!$C$6:$AJ$6767,34,0)</f>
        <v>#N/A</v>
      </c>
    </row>
    <row r="97" customFormat="false" ht="15" hidden="false" customHeight="false" outlineLevel="0" collapsed="false">
      <c r="A97" s="0" t="e">
        <f aca="false">E97&amp;K97&amp;Q97</f>
        <v>#N/A</v>
      </c>
      <c r="B97" s="0" t="s">
        <v>4656</v>
      </c>
      <c r="C97" s="0" t="s">
        <v>4657</v>
      </c>
      <c r="D97" s="0" t="s">
        <v>2385</v>
      </c>
      <c r="E97" s="0" t="n">
        <v>43295</v>
      </c>
      <c r="F97" s="0" t="s">
        <v>2380</v>
      </c>
      <c r="G97" s="0" t="n">
        <v>21358568</v>
      </c>
      <c r="H97" s="0" t="n">
        <v>720191</v>
      </c>
      <c r="I97" s="0" t="s">
        <v>34</v>
      </c>
      <c r="J97" s="0" t="s">
        <v>174</v>
      </c>
      <c r="K97" s="0" t="s">
        <v>2420</v>
      </c>
      <c r="L97" s="0" t="n">
        <v>224160771</v>
      </c>
      <c r="M97" s="0" t="s">
        <v>1981</v>
      </c>
      <c r="N97" s="0" t="n">
        <v>103048488</v>
      </c>
      <c r="O97" s="0" t="n">
        <v>558</v>
      </c>
      <c r="P97" s="0" t="n">
        <v>10.9</v>
      </c>
      <c r="Q97" s="0" t="e">
        <f aca="false">VLOOKUP(C97,[1]'Cost Correction'!$C$6:$AJ$6767,34,0)</f>
        <v>#N/A</v>
      </c>
    </row>
    <row r="98" customFormat="false" ht="15" hidden="false" customHeight="false" outlineLevel="0" collapsed="false">
      <c r="A98" s="0" t="e">
        <f aca="false">E98&amp;K98&amp;Q98</f>
        <v>#N/A</v>
      </c>
      <c r="B98" s="0" t="s">
        <v>4658</v>
      </c>
      <c r="C98" s="0" t="s">
        <v>4659</v>
      </c>
      <c r="D98" s="0" t="s">
        <v>2385</v>
      </c>
      <c r="E98" s="0" t="n">
        <v>43296</v>
      </c>
      <c r="F98" s="0" t="s">
        <v>2380</v>
      </c>
      <c r="G98" s="0" t="n">
        <v>21358568</v>
      </c>
      <c r="H98" s="0" t="n">
        <v>720191</v>
      </c>
      <c r="I98" s="0" t="s">
        <v>34</v>
      </c>
      <c r="J98" s="0" t="s">
        <v>174</v>
      </c>
      <c r="K98" s="0" t="s">
        <v>2401</v>
      </c>
      <c r="L98" s="0" t="n">
        <v>224160783</v>
      </c>
      <c r="M98" s="0" t="s">
        <v>1973</v>
      </c>
      <c r="N98" s="0" t="n">
        <v>103051614</v>
      </c>
      <c r="O98" s="0" t="n">
        <v>5319</v>
      </c>
      <c r="P98" s="0" t="n">
        <v>77.8</v>
      </c>
      <c r="Q98" s="0" t="e">
        <f aca="false">VLOOKUP(C98,[1]'Cost Correction'!$C$6:$AJ$6767,34,0)</f>
        <v>#N/A</v>
      </c>
    </row>
    <row r="99" customFormat="false" ht="15" hidden="false" customHeight="false" outlineLevel="0" collapsed="false">
      <c r="A99" s="0" t="e">
        <f aca="false">E99&amp;K99&amp;Q99</f>
        <v>#N/A</v>
      </c>
      <c r="B99" s="0" t="s">
        <v>4660</v>
      </c>
      <c r="C99" s="0" t="s">
        <v>4661</v>
      </c>
      <c r="D99" s="0" t="s">
        <v>2385</v>
      </c>
      <c r="E99" s="0" t="n">
        <v>43296</v>
      </c>
      <c r="F99" s="0" t="s">
        <v>2380</v>
      </c>
      <c r="G99" s="0" t="n">
        <v>21358568</v>
      </c>
      <c r="H99" s="0" t="n">
        <v>720191</v>
      </c>
      <c r="I99" s="0" t="s">
        <v>34</v>
      </c>
      <c r="J99" s="0" t="s">
        <v>174</v>
      </c>
      <c r="K99" s="0" t="s">
        <v>2405</v>
      </c>
      <c r="L99" s="0" t="n">
        <v>224160774</v>
      </c>
      <c r="M99" s="0" t="s">
        <v>1979</v>
      </c>
      <c r="N99" s="0" t="n">
        <v>103186910</v>
      </c>
      <c r="O99" s="0" t="n">
        <v>4772</v>
      </c>
      <c r="P99" s="0" t="n">
        <v>70.18</v>
      </c>
      <c r="Q99" s="0" t="e">
        <f aca="false">VLOOKUP(C99,[1]'Cost Correction'!$C$6:$AJ$6767,34,0)</f>
        <v>#N/A</v>
      </c>
    </row>
    <row r="100" customFormat="false" ht="15" hidden="false" customHeight="false" outlineLevel="0" collapsed="false">
      <c r="A100" s="0" t="e">
        <f aca="false">E100&amp;K100&amp;Q100</f>
        <v>#N/A</v>
      </c>
      <c r="B100" s="0" t="s">
        <v>4662</v>
      </c>
      <c r="C100" s="0" t="s">
        <v>4663</v>
      </c>
      <c r="D100" s="0" t="s">
        <v>2385</v>
      </c>
      <c r="E100" s="0" t="n">
        <v>43296</v>
      </c>
      <c r="F100" s="0" t="s">
        <v>2380</v>
      </c>
      <c r="G100" s="0" t="n">
        <v>21358568</v>
      </c>
      <c r="H100" s="0" t="n">
        <v>720191</v>
      </c>
      <c r="I100" s="0" t="s">
        <v>34</v>
      </c>
      <c r="J100" s="0" t="s">
        <v>174</v>
      </c>
      <c r="K100" s="0" t="s">
        <v>2397</v>
      </c>
      <c r="O100" s="0" t="n">
        <v>13069</v>
      </c>
      <c r="P100" s="0" t="n">
        <v>178.35</v>
      </c>
      <c r="Q100" s="0" t="e">
        <f aca="false">VLOOKUP(C100,[1]'Cost Correction'!$C$6:$AJ$6767,34,0)</f>
        <v>#N/A</v>
      </c>
    </row>
    <row r="101" customFormat="false" ht="15" hidden="false" customHeight="false" outlineLevel="0" collapsed="false">
      <c r="A101" s="0" t="e">
        <f aca="false">E101&amp;K101&amp;Q101</f>
        <v>#N/A</v>
      </c>
      <c r="B101" s="0" t="s">
        <v>4662</v>
      </c>
      <c r="C101" s="0" t="s">
        <v>4664</v>
      </c>
      <c r="D101" s="0" t="s">
        <v>2385</v>
      </c>
      <c r="E101" s="0" t="n">
        <v>43296</v>
      </c>
      <c r="F101" s="0" t="s">
        <v>2380</v>
      </c>
      <c r="G101" s="0" t="n">
        <v>21358568</v>
      </c>
      <c r="H101" s="0" t="n">
        <v>720191</v>
      </c>
      <c r="I101" s="0" t="s">
        <v>34</v>
      </c>
      <c r="J101" s="0" t="s">
        <v>174</v>
      </c>
      <c r="K101" s="0" t="s">
        <v>2395</v>
      </c>
      <c r="O101" s="0" t="n">
        <v>7295</v>
      </c>
      <c r="P101" s="0" t="n">
        <v>126.2</v>
      </c>
      <c r="Q101" s="0" t="e">
        <f aca="false">VLOOKUP(C101,[1]'Cost Correction'!$C$6:$AJ$6767,34,0)</f>
        <v>#N/A</v>
      </c>
    </row>
    <row r="102" customFormat="false" ht="15" hidden="false" customHeight="false" outlineLevel="0" collapsed="false">
      <c r="A102" s="0" t="e">
        <f aca="false">E102&amp;K102&amp;Q102</f>
        <v>#N/A</v>
      </c>
      <c r="B102" s="0" t="s">
        <v>4662</v>
      </c>
      <c r="C102" s="0" t="s">
        <v>4665</v>
      </c>
      <c r="D102" s="0" t="s">
        <v>2385</v>
      </c>
      <c r="E102" s="0" t="n">
        <v>43296</v>
      </c>
      <c r="F102" s="0" t="s">
        <v>2380</v>
      </c>
      <c r="G102" s="0" t="n">
        <v>21358568</v>
      </c>
      <c r="H102" s="0" t="n">
        <v>720191</v>
      </c>
      <c r="I102" s="0" t="s">
        <v>34</v>
      </c>
      <c r="J102" s="0" t="s">
        <v>174</v>
      </c>
      <c r="K102" s="0" t="s">
        <v>2393</v>
      </c>
      <c r="O102" s="0" t="n">
        <v>3127</v>
      </c>
      <c r="P102" s="0" t="n">
        <v>40.67</v>
      </c>
      <c r="Q102" s="0" t="e">
        <f aca="false">VLOOKUP(C102,[1]'Cost Correction'!$C$6:$AJ$6767,34,0)</f>
        <v>#N/A</v>
      </c>
    </row>
    <row r="103" customFormat="false" ht="15" hidden="false" customHeight="false" outlineLevel="0" collapsed="false">
      <c r="A103" s="0" t="e">
        <f aca="false">E103&amp;K103&amp;Q103</f>
        <v>#N/A</v>
      </c>
      <c r="B103" s="0" t="s">
        <v>4666</v>
      </c>
      <c r="C103" s="0" t="s">
        <v>4667</v>
      </c>
      <c r="D103" s="0" t="s">
        <v>2385</v>
      </c>
      <c r="E103" s="0" t="n">
        <v>43296</v>
      </c>
      <c r="F103" s="0" t="s">
        <v>2380</v>
      </c>
      <c r="G103" s="0" t="n">
        <v>21358568</v>
      </c>
      <c r="H103" s="0" t="n">
        <v>720191</v>
      </c>
      <c r="I103" s="0" t="s">
        <v>34</v>
      </c>
      <c r="J103" s="0" t="s">
        <v>174</v>
      </c>
      <c r="K103" s="0" t="s">
        <v>2412</v>
      </c>
      <c r="L103" s="0" t="n">
        <v>224160777</v>
      </c>
      <c r="M103" s="0" t="s">
        <v>1977</v>
      </c>
      <c r="N103" s="0" t="n">
        <v>103048479</v>
      </c>
      <c r="O103" s="0" t="n">
        <v>6008</v>
      </c>
      <c r="P103" s="0" t="n">
        <v>100.19</v>
      </c>
      <c r="Q103" s="0" t="e">
        <f aca="false">VLOOKUP(C103,[1]'Cost Correction'!$C$6:$AJ$6767,34,0)</f>
        <v>#N/A</v>
      </c>
    </row>
    <row r="104" customFormat="false" ht="15" hidden="false" customHeight="false" outlineLevel="0" collapsed="false">
      <c r="A104" s="0" t="e">
        <f aca="false">E104&amp;K104&amp;Q104</f>
        <v>#N/A</v>
      </c>
      <c r="B104" s="0" t="s">
        <v>4668</v>
      </c>
      <c r="C104" s="0" t="s">
        <v>4669</v>
      </c>
      <c r="D104" s="0" t="s">
        <v>2385</v>
      </c>
      <c r="E104" s="0" t="n">
        <v>43296</v>
      </c>
      <c r="F104" s="0" t="s">
        <v>2380</v>
      </c>
      <c r="G104" s="0" t="n">
        <v>21358568</v>
      </c>
      <c r="H104" s="0" t="n">
        <v>720191</v>
      </c>
      <c r="I104" s="0" t="s">
        <v>34</v>
      </c>
      <c r="J104" s="0" t="s">
        <v>174</v>
      </c>
      <c r="K104" s="0" t="s">
        <v>2420</v>
      </c>
      <c r="L104" s="0" t="n">
        <v>224160771</v>
      </c>
      <c r="M104" s="0" t="s">
        <v>1981</v>
      </c>
      <c r="N104" s="0" t="n">
        <v>103048488</v>
      </c>
      <c r="O104" s="0" t="n">
        <v>1316</v>
      </c>
      <c r="P104" s="0" t="n">
        <v>27.67</v>
      </c>
      <c r="Q104" s="0" t="e">
        <f aca="false">VLOOKUP(C104,[1]'Cost Correction'!$C$6:$AJ$6767,34,0)</f>
        <v>#N/A</v>
      </c>
    </row>
    <row r="105" customFormat="false" ht="15" hidden="false" customHeight="false" outlineLevel="0" collapsed="false">
      <c r="A105" s="0" t="e">
        <f aca="false">E105&amp;K105&amp;Q105</f>
        <v>#N/A</v>
      </c>
      <c r="B105" s="0" t="s">
        <v>4670</v>
      </c>
      <c r="C105" s="0" t="s">
        <v>4671</v>
      </c>
      <c r="D105" s="0" t="s">
        <v>2385</v>
      </c>
      <c r="E105" s="0" t="n">
        <v>43296</v>
      </c>
      <c r="F105" s="0" t="s">
        <v>2380</v>
      </c>
      <c r="G105" s="0" t="n">
        <v>21358568</v>
      </c>
      <c r="H105" s="0" t="n">
        <v>720191</v>
      </c>
      <c r="I105" s="0" t="s">
        <v>34</v>
      </c>
      <c r="J105" s="0" t="s">
        <v>174</v>
      </c>
      <c r="K105" s="0" t="s">
        <v>2433</v>
      </c>
      <c r="L105" s="0" t="n">
        <v>224160780</v>
      </c>
      <c r="M105" s="0" t="s">
        <v>1975</v>
      </c>
      <c r="N105" s="0" t="n">
        <v>103186904</v>
      </c>
      <c r="O105" s="0" t="n">
        <v>1191</v>
      </c>
      <c r="P105" s="0" t="n">
        <v>11.49</v>
      </c>
      <c r="Q105" s="0" t="e">
        <f aca="false">VLOOKUP(C105,[1]'Cost Correction'!$C$6:$AJ$6767,34,0)</f>
        <v>#N/A</v>
      </c>
    </row>
    <row r="106" customFormat="false" ht="15" hidden="false" customHeight="false" outlineLevel="0" collapsed="false">
      <c r="A106" s="0" t="e">
        <f aca="false">E106&amp;K106&amp;Q106</f>
        <v>#N/A</v>
      </c>
      <c r="B106" s="0" t="s">
        <v>4672</v>
      </c>
      <c r="C106" s="0" t="s">
        <v>4673</v>
      </c>
      <c r="D106" s="0" t="s">
        <v>2385</v>
      </c>
      <c r="E106" s="0" t="n">
        <v>43297</v>
      </c>
      <c r="F106" s="0" t="s">
        <v>2380</v>
      </c>
      <c r="G106" s="0" t="n">
        <v>21358568</v>
      </c>
      <c r="H106" s="0" t="n">
        <v>720191</v>
      </c>
      <c r="I106" s="0" t="s">
        <v>34</v>
      </c>
      <c r="J106" s="0" t="s">
        <v>174</v>
      </c>
      <c r="K106" s="0" t="s">
        <v>2401</v>
      </c>
      <c r="L106" s="0" t="n">
        <v>224160783</v>
      </c>
      <c r="M106" s="0" t="s">
        <v>1973</v>
      </c>
      <c r="N106" s="0" t="n">
        <v>103051614</v>
      </c>
      <c r="O106" s="0" t="n">
        <v>6938</v>
      </c>
      <c r="P106" s="0" t="n">
        <v>96.04</v>
      </c>
      <c r="Q106" s="0" t="e">
        <f aca="false">VLOOKUP(C106,[1]'Cost Correction'!$C$6:$AJ$6767,34,0)</f>
        <v>#N/A</v>
      </c>
    </row>
    <row r="107" customFormat="false" ht="15" hidden="false" customHeight="false" outlineLevel="0" collapsed="false">
      <c r="A107" s="0" t="e">
        <f aca="false">E107&amp;K107&amp;Q107</f>
        <v>#N/A</v>
      </c>
      <c r="B107" s="0" t="s">
        <v>4674</v>
      </c>
      <c r="C107" s="0" t="s">
        <v>4675</v>
      </c>
      <c r="D107" s="0" t="s">
        <v>2385</v>
      </c>
      <c r="E107" s="0" t="n">
        <v>43297</v>
      </c>
      <c r="F107" s="0" t="s">
        <v>2380</v>
      </c>
      <c r="G107" s="0" t="n">
        <v>21358568</v>
      </c>
      <c r="H107" s="0" t="n">
        <v>720191</v>
      </c>
      <c r="I107" s="0" t="s">
        <v>34</v>
      </c>
      <c r="J107" s="0" t="s">
        <v>174</v>
      </c>
      <c r="K107" s="0" t="s">
        <v>2393</v>
      </c>
      <c r="O107" s="0" t="n">
        <v>2741</v>
      </c>
      <c r="P107" s="0" t="n">
        <v>34.52</v>
      </c>
      <c r="Q107" s="0" t="e">
        <f aca="false">VLOOKUP(C107,[1]'Cost Correction'!$C$6:$AJ$6767,34,0)</f>
        <v>#N/A</v>
      </c>
    </row>
    <row r="108" customFormat="false" ht="15" hidden="false" customHeight="false" outlineLevel="0" collapsed="false">
      <c r="A108" s="0" t="e">
        <f aca="false">E108&amp;K108&amp;Q108</f>
        <v>#N/A</v>
      </c>
      <c r="B108" s="0" t="s">
        <v>4674</v>
      </c>
      <c r="C108" s="0" t="s">
        <v>4676</v>
      </c>
      <c r="D108" s="0" t="s">
        <v>2385</v>
      </c>
      <c r="E108" s="0" t="n">
        <v>43297</v>
      </c>
      <c r="F108" s="0" t="s">
        <v>2380</v>
      </c>
      <c r="G108" s="0" t="n">
        <v>21358568</v>
      </c>
      <c r="H108" s="0" t="n">
        <v>720191</v>
      </c>
      <c r="I108" s="0" t="s">
        <v>34</v>
      </c>
      <c r="J108" s="0" t="s">
        <v>174</v>
      </c>
      <c r="K108" s="0" t="s">
        <v>2397</v>
      </c>
      <c r="O108" s="0" t="n">
        <v>15503</v>
      </c>
      <c r="P108" s="0" t="n">
        <v>182.18</v>
      </c>
      <c r="Q108" s="0" t="e">
        <f aca="false">VLOOKUP(C108,[1]'Cost Correction'!$C$6:$AJ$6767,34,0)</f>
        <v>#N/A</v>
      </c>
    </row>
    <row r="109" customFormat="false" ht="15" hidden="false" customHeight="false" outlineLevel="0" collapsed="false">
      <c r="A109" s="0" t="e">
        <f aca="false">E109&amp;K109&amp;Q109</f>
        <v>#N/A</v>
      </c>
      <c r="B109" s="0" t="s">
        <v>4674</v>
      </c>
      <c r="C109" s="0" t="s">
        <v>4677</v>
      </c>
      <c r="D109" s="0" t="s">
        <v>2385</v>
      </c>
      <c r="E109" s="0" t="n">
        <v>43297</v>
      </c>
      <c r="F109" s="0" t="s">
        <v>2380</v>
      </c>
      <c r="G109" s="0" t="n">
        <v>21358568</v>
      </c>
      <c r="H109" s="0" t="n">
        <v>720191</v>
      </c>
      <c r="I109" s="0" t="s">
        <v>34</v>
      </c>
      <c r="J109" s="0" t="s">
        <v>174</v>
      </c>
      <c r="K109" s="0" t="s">
        <v>2395</v>
      </c>
      <c r="O109" s="0" t="n">
        <v>8913</v>
      </c>
      <c r="P109" s="0" t="n">
        <v>120.43</v>
      </c>
      <c r="Q109" s="0" t="e">
        <f aca="false">VLOOKUP(C109,[1]'Cost Correction'!$C$6:$AJ$6767,34,0)</f>
        <v>#N/A</v>
      </c>
    </row>
    <row r="110" customFormat="false" ht="15" hidden="false" customHeight="false" outlineLevel="0" collapsed="false">
      <c r="A110" s="0" t="e">
        <f aca="false">E110&amp;K110&amp;Q110</f>
        <v>#N/A</v>
      </c>
      <c r="B110" s="0" t="s">
        <v>4678</v>
      </c>
      <c r="C110" s="0" t="s">
        <v>4679</v>
      </c>
      <c r="D110" s="0" t="s">
        <v>2385</v>
      </c>
      <c r="E110" s="0" t="n">
        <v>43297</v>
      </c>
      <c r="F110" s="0" t="s">
        <v>2380</v>
      </c>
      <c r="G110" s="0" t="n">
        <v>21358568</v>
      </c>
      <c r="H110" s="0" t="n">
        <v>720191</v>
      </c>
      <c r="I110" s="0" t="s">
        <v>34</v>
      </c>
      <c r="J110" s="0" t="s">
        <v>174</v>
      </c>
      <c r="K110" s="0" t="s">
        <v>2420</v>
      </c>
      <c r="L110" s="0" t="n">
        <v>224160771</v>
      </c>
      <c r="M110" s="0" t="s">
        <v>1981</v>
      </c>
      <c r="N110" s="0" t="n">
        <v>103048488</v>
      </c>
      <c r="O110" s="0" t="n">
        <v>2214</v>
      </c>
      <c r="P110" s="0" t="n">
        <v>38.21</v>
      </c>
      <c r="Q110" s="0" t="e">
        <f aca="false">VLOOKUP(C110,[1]'Cost Correction'!$C$6:$AJ$6767,34,0)</f>
        <v>#N/A</v>
      </c>
    </row>
    <row r="111" customFormat="false" ht="15" hidden="false" customHeight="false" outlineLevel="0" collapsed="false">
      <c r="A111" s="0" t="e">
        <f aca="false">E111&amp;K111&amp;Q111</f>
        <v>#N/A</v>
      </c>
      <c r="B111" s="0" t="s">
        <v>4680</v>
      </c>
      <c r="C111" s="0" t="s">
        <v>4681</v>
      </c>
      <c r="D111" s="0" t="s">
        <v>2385</v>
      </c>
      <c r="E111" s="0" t="n">
        <v>43297</v>
      </c>
      <c r="F111" s="0" t="s">
        <v>2380</v>
      </c>
      <c r="G111" s="0" t="n">
        <v>21358568</v>
      </c>
      <c r="H111" s="0" t="n">
        <v>720191</v>
      </c>
      <c r="I111" s="0" t="s">
        <v>34</v>
      </c>
      <c r="J111" s="0" t="s">
        <v>174</v>
      </c>
      <c r="K111" s="0" t="s">
        <v>2405</v>
      </c>
      <c r="L111" s="0" t="n">
        <v>224160774</v>
      </c>
      <c r="M111" s="0" t="s">
        <v>1979</v>
      </c>
      <c r="N111" s="0" t="n">
        <v>103186910</v>
      </c>
      <c r="O111" s="0" t="n">
        <v>5929</v>
      </c>
      <c r="P111" s="0" t="n">
        <v>75.38</v>
      </c>
      <c r="Q111" s="0" t="e">
        <f aca="false">VLOOKUP(C111,[1]'Cost Correction'!$C$6:$AJ$6767,34,0)</f>
        <v>#N/A</v>
      </c>
    </row>
    <row r="112" customFormat="false" ht="15" hidden="false" customHeight="false" outlineLevel="0" collapsed="false">
      <c r="A112" s="0" t="e">
        <f aca="false">E112&amp;K112&amp;Q112</f>
        <v>#N/A</v>
      </c>
      <c r="B112" s="0" t="s">
        <v>4682</v>
      </c>
      <c r="C112" s="0" t="s">
        <v>4683</v>
      </c>
      <c r="D112" s="0" t="s">
        <v>2385</v>
      </c>
      <c r="E112" s="0" t="n">
        <v>43297</v>
      </c>
      <c r="F112" s="0" t="s">
        <v>2380</v>
      </c>
      <c r="G112" s="0" t="n">
        <v>21358568</v>
      </c>
      <c r="H112" s="0" t="n">
        <v>720191</v>
      </c>
      <c r="I112" s="0" t="s">
        <v>34</v>
      </c>
      <c r="J112" s="0" t="s">
        <v>174</v>
      </c>
      <c r="K112" s="0" t="s">
        <v>2433</v>
      </c>
      <c r="L112" s="0" t="n">
        <v>224160780</v>
      </c>
      <c r="M112" s="0" t="s">
        <v>1975</v>
      </c>
      <c r="N112" s="0" t="n">
        <v>103186904</v>
      </c>
      <c r="O112" s="0" t="n">
        <v>2036</v>
      </c>
      <c r="P112" s="0" t="n">
        <v>16.57</v>
      </c>
      <c r="Q112" s="0" t="e">
        <f aca="false">VLOOKUP(C112,[1]'Cost Correction'!$C$6:$AJ$6767,34,0)</f>
        <v>#N/A</v>
      </c>
    </row>
    <row r="113" customFormat="false" ht="15" hidden="false" customHeight="false" outlineLevel="0" collapsed="false">
      <c r="A113" s="0" t="e">
        <f aca="false">E113&amp;K113&amp;Q113</f>
        <v>#N/A</v>
      </c>
      <c r="B113" s="0" t="s">
        <v>4684</v>
      </c>
      <c r="C113" s="0" t="s">
        <v>4685</v>
      </c>
      <c r="D113" s="0" t="s">
        <v>2385</v>
      </c>
      <c r="E113" s="0" t="n">
        <v>43297</v>
      </c>
      <c r="F113" s="0" t="s">
        <v>2380</v>
      </c>
      <c r="G113" s="0" t="n">
        <v>21358568</v>
      </c>
      <c r="H113" s="0" t="n">
        <v>720191</v>
      </c>
      <c r="I113" s="0" t="s">
        <v>34</v>
      </c>
      <c r="J113" s="0" t="s">
        <v>174</v>
      </c>
      <c r="K113" s="0" t="s">
        <v>2412</v>
      </c>
      <c r="L113" s="0" t="n">
        <v>224160777</v>
      </c>
      <c r="M113" s="0" t="s">
        <v>1977</v>
      </c>
      <c r="N113" s="0" t="n">
        <v>103048479</v>
      </c>
      <c r="O113" s="0" t="n">
        <v>4176</v>
      </c>
      <c r="P113" s="0" t="n">
        <v>67.34</v>
      </c>
      <c r="Q113" s="0" t="e">
        <f aca="false">VLOOKUP(C113,[1]'Cost Correction'!$C$6:$AJ$6767,34,0)</f>
        <v>#N/A</v>
      </c>
    </row>
    <row r="114" customFormat="false" ht="15" hidden="false" customHeight="false" outlineLevel="0" collapsed="false">
      <c r="A114" s="0" t="e">
        <f aca="false">E114&amp;K114&amp;Q114</f>
        <v>#N/A</v>
      </c>
      <c r="B114" s="0" t="s">
        <v>4686</v>
      </c>
      <c r="C114" s="0" t="s">
        <v>4687</v>
      </c>
      <c r="D114" s="0" t="s">
        <v>2385</v>
      </c>
      <c r="E114" s="0" t="n">
        <v>43298</v>
      </c>
      <c r="F114" s="0" t="s">
        <v>2380</v>
      </c>
      <c r="G114" s="0" t="n">
        <v>21358568</v>
      </c>
      <c r="H114" s="0" t="n">
        <v>720191</v>
      </c>
      <c r="I114" s="0" t="s">
        <v>34</v>
      </c>
      <c r="J114" s="0" t="s">
        <v>174</v>
      </c>
      <c r="K114" s="0" t="s">
        <v>2401</v>
      </c>
      <c r="L114" s="0" t="n">
        <v>224160783</v>
      </c>
      <c r="M114" s="0" t="s">
        <v>1973</v>
      </c>
      <c r="N114" s="0" t="n">
        <v>103051614</v>
      </c>
      <c r="O114" s="0" t="n">
        <v>2888</v>
      </c>
      <c r="P114" s="0" t="n">
        <v>42.83</v>
      </c>
      <c r="Q114" s="0" t="e">
        <f aca="false">VLOOKUP(C114,[1]'Cost Correction'!$C$6:$AJ$6767,34,0)</f>
        <v>#N/A</v>
      </c>
    </row>
    <row r="115" customFormat="false" ht="15" hidden="false" customHeight="false" outlineLevel="0" collapsed="false">
      <c r="A115" s="0" t="e">
        <f aca="false">E115&amp;K115&amp;Q115</f>
        <v>#N/A</v>
      </c>
      <c r="B115" s="0" t="s">
        <v>4688</v>
      </c>
      <c r="C115" s="0" t="s">
        <v>4689</v>
      </c>
      <c r="D115" s="0" t="s">
        <v>2385</v>
      </c>
      <c r="E115" s="0" t="n">
        <v>43298</v>
      </c>
      <c r="F115" s="0" t="s">
        <v>2380</v>
      </c>
      <c r="G115" s="0" t="n">
        <v>21358568</v>
      </c>
      <c r="H115" s="0" t="n">
        <v>720191</v>
      </c>
      <c r="I115" s="0" t="s">
        <v>34</v>
      </c>
      <c r="J115" s="0" t="s">
        <v>174</v>
      </c>
      <c r="K115" s="0" t="s">
        <v>2405</v>
      </c>
      <c r="L115" s="0" t="n">
        <v>224160774</v>
      </c>
      <c r="M115" s="0" t="s">
        <v>1979</v>
      </c>
      <c r="N115" s="0" t="n">
        <v>103186910</v>
      </c>
      <c r="O115" s="0" t="n">
        <v>10129</v>
      </c>
      <c r="P115" s="0" t="n">
        <v>133.35</v>
      </c>
      <c r="Q115" s="0" t="e">
        <f aca="false">VLOOKUP(C115,[1]'Cost Correction'!$C$6:$AJ$6767,34,0)</f>
        <v>#N/A</v>
      </c>
    </row>
    <row r="116" customFormat="false" ht="15" hidden="false" customHeight="false" outlineLevel="0" collapsed="false">
      <c r="A116" s="0" t="e">
        <f aca="false">E116&amp;K116&amp;Q116</f>
        <v>#N/A</v>
      </c>
      <c r="B116" s="0" t="s">
        <v>4690</v>
      </c>
      <c r="C116" s="0" t="s">
        <v>4691</v>
      </c>
      <c r="D116" s="0" t="s">
        <v>2385</v>
      </c>
      <c r="E116" s="0" t="n">
        <v>43298</v>
      </c>
      <c r="F116" s="0" t="s">
        <v>2380</v>
      </c>
      <c r="G116" s="0" t="n">
        <v>21358568</v>
      </c>
      <c r="H116" s="0" t="n">
        <v>720191</v>
      </c>
      <c r="I116" s="0" t="s">
        <v>34</v>
      </c>
      <c r="J116" s="0" t="s">
        <v>174</v>
      </c>
      <c r="K116" s="0" t="s">
        <v>2412</v>
      </c>
      <c r="L116" s="0" t="n">
        <v>224160777</v>
      </c>
      <c r="M116" s="0" t="s">
        <v>1977</v>
      </c>
      <c r="N116" s="0" t="n">
        <v>103048479</v>
      </c>
      <c r="O116" s="0" t="n">
        <v>4744</v>
      </c>
      <c r="P116" s="0" t="n">
        <v>83.03</v>
      </c>
      <c r="Q116" s="0" t="e">
        <f aca="false">VLOOKUP(C116,[1]'Cost Correction'!$C$6:$AJ$6767,34,0)</f>
        <v>#N/A</v>
      </c>
    </row>
    <row r="117" customFormat="false" ht="15" hidden="false" customHeight="false" outlineLevel="0" collapsed="false">
      <c r="A117" s="0" t="e">
        <f aca="false">E117&amp;K117&amp;Q117</f>
        <v>#N/A</v>
      </c>
      <c r="B117" s="0" t="s">
        <v>4692</v>
      </c>
      <c r="C117" s="0" t="s">
        <v>4693</v>
      </c>
      <c r="D117" s="0" t="s">
        <v>2385</v>
      </c>
      <c r="E117" s="0" t="n">
        <v>43298</v>
      </c>
      <c r="F117" s="0" t="s">
        <v>2380</v>
      </c>
      <c r="G117" s="0" t="n">
        <v>21358568</v>
      </c>
      <c r="H117" s="0" t="n">
        <v>720191</v>
      </c>
      <c r="I117" s="0" t="s">
        <v>34</v>
      </c>
      <c r="J117" s="0" t="s">
        <v>174</v>
      </c>
      <c r="K117" s="0" t="s">
        <v>2393</v>
      </c>
      <c r="O117" s="0" t="n">
        <v>3040</v>
      </c>
      <c r="P117" s="0" t="n">
        <v>39.47</v>
      </c>
      <c r="Q117" s="0" t="e">
        <f aca="false">VLOOKUP(C117,[1]'Cost Correction'!$C$6:$AJ$6767,34,0)</f>
        <v>#N/A</v>
      </c>
    </row>
    <row r="118" customFormat="false" ht="15" hidden="false" customHeight="false" outlineLevel="0" collapsed="false">
      <c r="A118" s="0" t="e">
        <f aca="false">E118&amp;K118&amp;Q118</f>
        <v>#N/A</v>
      </c>
      <c r="B118" s="0" t="s">
        <v>4692</v>
      </c>
      <c r="C118" s="0" t="s">
        <v>4694</v>
      </c>
      <c r="D118" s="0" t="s">
        <v>2385</v>
      </c>
      <c r="E118" s="0" t="n">
        <v>43298</v>
      </c>
      <c r="F118" s="0" t="s">
        <v>2380</v>
      </c>
      <c r="G118" s="0" t="n">
        <v>21358568</v>
      </c>
      <c r="H118" s="0" t="n">
        <v>720191</v>
      </c>
      <c r="I118" s="0" t="s">
        <v>34</v>
      </c>
      <c r="J118" s="0" t="s">
        <v>174</v>
      </c>
      <c r="K118" s="0" t="s">
        <v>2395</v>
      </c>
      <c r="O118" s="0" t="n">
        <v>9205</v>
      </c>
      <c r="P118" s="0" t="n">
        <v>134.38</v>
      </c>
      <c r="Q118" s="0" t="e">
        <f aca="false">VLOOKUP(C118,[1]'Cost Correction'!$C$6:$AJ$6767,34,0)</f>
        <v>#N/A</v>
      </c>
    </row>
    <row r="119" customFormat="false" ht="15" hidden="false" customHeight="false" outlineLevel="0" collapsed="false">
      <c r="A119" s="0" t="e">
        <f aca="false">E119&amp;K119&amp;Q119</f>
        <v>#N/A</v>
      </c>
      <c r="B119" s="0" t="s">
        <v>4692</v>
      </c>
      <c r="C119" s="0" t="s">
        <v>4695</v>
      </c>
      <c r="D119" s="0" t="s">
        <v>2385</v>
      </c>
      <c r="E119" s="0" t="n">
        <v>43298</v>
      </c>
      <c r="F119" s="0" t="s">
        <v>2380</v>
      </c>
      <c r="G119" s="0" t="n">
        <v>21358568</v>
      </c>
      <c r="H119" s="0" t="n">
        <v>720191</v>
      </c>
      <c r="I119" s="0" t="s">
        <v>34</v>
      </c>
      <c r="J119" s="0" t="s">
        <v>174</v>
      </c>
      <c r="K119" s="0" t="s">
        <v>2397</v>
      </c>
      <c r="O119" s="0" t="n">
        <v>12257</v>
      </c>
      <c r="P119" s="0" t="n">
        <v>162.42</v>
      </c>
      <c r="Q119" s="0" t="e">
        <f aca="false">VLOOKUP(C119,[1]'Cost Correction'!$C$6:$AJ$6767,34,0)</f>
        <v>#N/A</v>
      </c>
    </row>
    <row r="120" customFormat="false" ht="15" hidden="false" customHeight="false" outlineLevel="0" collapsed="false">
      <c r="A120" s="0" t="e">
        <f aca="false">E120&amp;K120&amp;Q120</f>
        <v>#N/A</v>
      </c>
      <c r="B120" s="0" t="s">
        <v>4696</v>
      </c>
      <c r="C120" s="0" t="s">
        <v>4697</v>
      </c>
      <c r="D120" s="0" t="s">
        <v>2385</v>
      </c>
      <c r="E120" s="0" t="n">
        <v>43298</v>
      </c>
      <c r="F120" s="0" t="s">
        <v>2380</v>
      </c>
      <c r="G120" s="0" t="n">
        <v>21358568</v>
      </c>
      <c r="H120" s="0" t="n">
        <v>720191</v>
      </c>
      <c r="I120" s="0" t="s">
        <v>34</v>
      </c>
      <c r="J120" s="0" t="s">
        <v>174</v>
      </c>
      <c r="K120" s="0" t="s">
        <v>2420</v>
      </c>
      <c r="L120" s="0" t="n">
        <v>224160771</v>
      </c>
      <c r="M120" s="0" t="s">
        <v>1981</v>
      </c>
      <c r="N120" s="0" t="n">
        <v>103048488</v>
      </c>
      <c r="O120" s="0" t="n">
        <v>2181</v>
      </c>
      <c r="P120" s="0" t="n">
        <v>36.85</v>
      </c>
      <c r="Q120" s="0" t="e">
        <f aca="false">VLOOKUP(C120,[1]'Cost Correction'!$C$6:$AJ$6767,34,0)</f>
        <v>#N/A</v>
      </c>
    </row>
    <row r="121" customFormat="false" ht="15" hidden="false" customHeight="false" outlineLevel="0" collapsed="false">
      <c r="A121" s="0" t="e">
        <f aca="false">E121&amp;K121&amp;Q121</f>
        <v>#N/A</v>
      </c>
      <c r="B121" s="0" t="s">
        <v>4698</v>
      </c>
      <c r="C121" s="0" t="s">
        <v>4699</v>
      </c>
      <c r="D121" s="0" t="s">
        <v>2385</v>
      </c>
      <c r="E121" s="0" t="n">
        <v>43298</v>
      </c>
      <c r="F121" s="0" t="s">
        <v>2380</v>
      </c>
      <c r="G121" s="0" t="n">
        <v>21358568</v>
      </c>
      <c r="H121" s="0" t="n">
        <v>720191</v>
      </c>
      <c r="I121" s="0" t="s">
        <v>34</v>
      </c>
      <c r="J121" s="0" t="s">
        <v>174</v>
      </c>
      <c r="K121" s="0" t="s">
        <v>2433</v>
      </c>
      <c r="L121" s="0" t="n">
        <v>224160780</v>
      </c>
      <c r="M121" s="0" t="s">
        <v>1975</v>
      </c>
      <c r="N121" s="0" t="n">
        <v>103186904</v>
      </c>
      <c r="O121" s="0" t="n">
        <v>1140</v>
      </c>
      <c r="P121" s="0" t="n">
        <v>12.07</v>
      </c>
      <c r="Q121" s="0" t="e">
        <f aca="false">VLOOKUP(C121,[1]'Cost Correction'!$C$6:$AJ$6767,34,0)</f>
        <v>#N/A</v>
      </c>
    </row>
    <row r="122" customFormat="false" ht="15" hidden="false" customHeight="false" outlineLevel="0" collapsed="false">
      <c r="A122" s="0" t="e">
        <f aca="false">E122&amp;K122&amp;Q122</f>
        <v>#N/A</v>
      </c>
      <c r="B122" s="0" t="s">
        <v>4700</v>
      </c>
      <c r="C122" s="0" t="s">
        <v>4701</v>
      </c>
      <c r="D122" s="0" t="s">
        <v>2385</v>
      </c>
      <c r="E122" s="0" t="n">
        <v>43299</v>
      </c>
      <c r="F122" s="0" t="s">
        <v>2380</v>
      </c>
      <c r="G122" s="0" t="n">
        <v>21358568</v>
      </c>
      <c r="H122" s="0" t="n">
        <v>720191</v>
      </c>
      <c r="I122" s="0" t="s">
        <v>34</v>
      </c>
      <c r="J122" s="0" t="s">
        <v>174</v>
      </c>
      <c r="K122" s="0" t="s">
        <v>2420</v>
      </c>
      <c r="L122" s="0" t="n">
        <v>224160771</v>
      </c>
      <c r="M122" s="0" t="s">
        <v>1981</v>
      </c>
      <c r="N122" s="0" t="n">
        <v>103048488</v>
      </c>
      <c r="O122" s="0" t="n">
        <v>1183</v>
      </c>
      <c r="P122" s="0" t="n">
        <v>21.58</v>
      </c>
      <c r="Q122" s="0" t="e">
        <f aca="false">VLOOKUP(C122,[1]'Cost Correction'!$C$6:$AJ$6767,34,0)</f>
        <v>#N/A</v>
      </c>
    </row>
    <row r="123" customFormat="false" ht="15" hidden="false" customHeight="false" outlineLevel="0" collapsed="false">
      <c r="A123" s="0" t="e">
        <f aca="false">E123&amp;K123&amp;Q123</f>
        <v>#N/A</v>
      </c>
      <c r="B123" s="0" t="s">
        <v>4702</v>
      </c>
      <c r="C123" s="0" t="s">
        <v>4703</v>
      </c>
      <c r="D123" s="0" t="s">
        <v>2385</v>
      </c>
      <c r="E123" s="0" t="n">
        <v>43299</v>
      </c>
      <c r="F123" s="0" t="s">
        <v>2380</v>
      </c>
      <c r="G123" s="0" t="n">
        <v>21358568</v>
      </c>
      <c r="H123" s="0" t="n">
        <v>720191</v>
      </c>
      <c r="I123" s="0" t="s">
        <v>34</v>
      </c>
      <c r="J123" s="0" t="s">
        <v>174</v>
      </c>
      <c r="K123" s="0" t="s">
        <v>2393</v>
      </c>
      <c r="O123" s="0" t="n">
        <v>5676</v>
      </c>
      <c r="P123" s="0" t="n">
        <v>69.23</v>
      </c>
      <c r="Q123" s="0" t="e">
        <f aca="false">VLOOKUP(C123,[1]'Cost Correction'!$C$6:$AJ$6767,34,0)</f>
        <v>#N/A</v>
      </c>
    </row>
    <row r="124" customFormat="false" ht="15" hidden="false" customHeight="false" outlineLevel="0" collapsed="false">
      <c r="A124" s="0" t="e">
        <f aca="false">E124&amp;K124&amp;Q124</f>
        <v>#N/A</v>
      </c>
      <c r="B124" s="0" t="s">
        <v>4702</v>
      </c>
      <c r="C124" s="0" t="s">
        <v>4704</v>
      </c>
      <c r="D124" s="0" t="s">
        <v>2385</v>
      </c>
      <c r="E124" s="0" t="n">
        <v>43299</v>
      </c>
      <c r="F124" s="0" t="s">
        <v>2380</v>
      </c>
      <c r="G124" s="0" t="n">
        <v>21358568</v>
      </c>
      <c r="H124" s="0" t="n">
        <v>720191</v>
      </c>
      <c r="I124" s="0" t="s">
        <v>34</v>
      </c>
      <c r="J124" s="0" t="s">
        <v>174</v>
      </c>
      <c r="K124" s="0" t="s">
        <v>2397</v>
      </c>
      <c r="O124" s="0" t="n">
        <v>4163</v>
      </c>
      <c r="P124" s="0" t="n">
        <v>59.55</v>
      </c>
      <c r="Q124" s="0" t="e">
        <f aca="false">VLOOKUP(C124,[1]'Cost Correction'!$C$6:$AJ$6767,34,0)</f>
        <v>#N/A</v>
      </c>
    </row>
    <row r="125" customFormat="false" ht="15" hidden="false" customHeight="false" outlineLevel="0" collapsed="false">
      <c r="A125" s="0" t="e">
        <f aca="false">E125&amp;K125&amp;Q125</f>
        <v>#N/A</v>
      </c>
      <c r="B125" s="0" t="s">
        <v>4702</v>
      </c>
      <c r="C125" s="0" t="s">
        <v>4705</v>
      </c>
      <c r="D125" s="0" t="s">
        <v>2385</v>
      </c>
      <c r="E125" s="0" t="n">
        <v>43299</v>
      </c>
      <c r="F125" s="0" t="s">
        <v>2380</v>
      </c>
      <c r="G125" s="0" t="n">
        <v>21358568</v>
      </c>
      <c r="H125" s="0" t="n">
        <v>720191</v>
      </c>
      <c r="I125" s="0" t="s">
        <v>34</v>
      </c>
      <c r="J125" s="0" t="s">
        <v>174</v>
      </c>
      <c r="K125" s="0" t="s">
        <v>2395</v>
      </c>
      <c r="O125" s="0" t="n">
        <v>15643</v>
      </c>
      <c r="P125" s="0" t="n">
        <v>226.01</v>
      </c>
      <c r="Q125" s="0" t="e">
        <f aca="false">VLOOKUP(C125,[1]'Cost Correction'!$C$6:$AJ$6767,34,0)</f>
        <v>#N/A</v>
      </c>
    </row>
    <row r="126" customFormat="false" ht="15" hidden="false" customHeight="false" outlineLevel="0" collapsed="false">
      <c r="A126" s="0" t="e">
        <f aca="false">E126&amp;K126&amp;Q126</f>
        <v>#N/A</v>
      </c>
      <c r="B126" s="0" t="s">
        <v>4706</v>
      </c>
      <c r="C126" s="0" t="s">
        <v>4707</v>
      </c>
      <c r="D126" s="0" t="s">
        <v>2385</v>
      </c>
      <c r="E126" s="0" t="n">
        <v>43299</v>
      </c>
      <c r="F126" s="0" t="s">
        <v>2380</v>
      </c>
      <c r="G126" s="0" t="n">
        <v>21358568</v>
      </c>
      <c r="H126" s="0" t="n">
        <v>720191</v>
      </c>
      <c r="I126" s="0" t="s">
        <v>34</v>
      </c>
      <c r="J126" s="0" t="s">
        <v>174</v>
      </c>
      <c r="K126" s="0" t="s">
        <v>2405</v>
      </c>
      <c r="L126" s="0" t="n">
        <v>224160774</v>
      </c>
      <c r="M126" s="0" t="s">
        <v>1979</v>
      </c>
      <c r="N126" s="0" t="n">
        <v>103186910</v>
      </c>
      <c r="O126" s="0" t="n">
        <v>7377</v>
      </c>
      <c r="P126" s="0" t="n">
        <v>121.82</v>
      </c>
      <c r="Q126" s="0" t="e">
        <f aca="false">VLOOKUP(C126,[1]'Cost Correction'!$C$6:$AJ$6767,34,0)</f>
        <v>#N/A</v>
      </c>
    </row>
    <row r="127" customFormat="false" ht="15" hidden="false" customHeight="false" outlineLevel="0" collapsed="false">
      <c r="A127" s="0" t="e">
        <f aca="false">E127&amp;K127&amp;Q127</f>
        <v>#N/A</v>
      </c>
      <c r="B127" s="0" t="s">
        <v>4708</v>
      </c>
      <c r="C127" s="0" t="s">
        <v>4709</v>
      </c>
      <c r="D127" s="0" t="s">
        <v>2385</v>
      </c>
      <c r="E127" s="0" t="n">
        <v>43299</v>
      </c>
      <c r="F127" s="0" t="s">
        <v>2380</v>
      </c>
      <c r="G127" s="0" t="n">
        <v>21358568</v>
      </c>
      <c r="H127" s="0" t="n">
        <v>720191</v>
      </c>
      <c r="I127" s="0" t="s">
        <v>34</v>
      </c>
      <c r="J127" s="0" t="s">
        <v>174</v>
      </c>
      <c r="K127" s="0" t="s">
        <v>2433</v>
      </c>
      <c r="L127" s="0" t="n">
        <v>224160780</v>
      </c>
      <c r="M127" s="0" t="s">
        <v>1975</v>
      </c>
      <c r="N127" s="0" t="n">
        <v>103186904</v>
      </c>
      <c r="O127" s="0" t="n">
        <v>509</v>
      </c>
      <c r="P127" s="0" t="n">
        <v>5.59</v>
      </c>
      <c r="Q127" s="0" t="e">
        <f aca="false">VLOOKUP(C127,[1]'Cost Correction'!$C$6:$AJ$6767,34,0)</f>
        <v>#N/A</v>
      </c>
    </row>
    <row r="128" customFormat="false" ht="15" hidden="false" customHeight="false" outlineLevel="0" collapsed="false">
      <c r="A128" s="0" t="e">
        <f aca="false">E128&amp;K128&amp;Q128</f>
        <v>#N/A</v>
      </c>
      <c r="B128" s="0" t="s">
        <v>4710</v>
      </c>
      <c r="C128" s="0" t="s">
        <v>4711</v>
      </c>
      <c r="D128" s="0" t="s">
        <v>2385</v>
      </c>
      <c r="E128" s="0" t="n">
        <v>43299</v>
      </c>
      <c r="F128" s="0" t="s">
        <v>2380</v>
      </c>
      <c r="G128" s="0" t="n">
        <v>21358568</v>
      </c>
      <c r="H128" s="0" t="n">
        <v>720191</v>
      </c>
      <c r="I128" s="0" t="s">
        <v>34</v>
      </c>
      <c r="J128" s="0" t="s">
        <v>174</v>
      </c>
      <c r="K128" s="0" t="s">
        <v>2412</v>
      </c>
      <c r="L128" s="0" t="n">
        <v>224160777</v>
      </c>
      <c r="M128" s="0" t="s">
        <v>1977</v>
      </c>
      <c r="N128" s="0" t="n">
        <v>103048479</v>
      </c>
      <c r="O128" s="0" t="n">
        <v>6441</v>
      </c>
      <c r="P128" s="0" t="n">
        <v>116.33</v>
      </c>
      <c r="Q128" s="0" t="e">
        <f aca="false">VLOOKUP(C128,[1]'Cost Correction'!$C$6:$AJ$6767,34,0)</f>
        <v>#N/A</v>
      </c>
    </row>
    <row r="129" customFormat="false" ht="15" hidden="false" customHeight="false" outlineLevel="0" collapsed="false">
      <c r="A129" s="0" t="e">
        <f aca="false">E129&amp;K129&amp;Q129</f>
        <v>#N/A</v>
      </c>
      <c r="B129" s="0" t="s">
        <v>4712</v>
      </c>
      <c r="C129" s="0" t="s">
        <v>4713</v>
      </c>
      <c r="D129" s="0" t="s">
        <v>2385</v>
      </c>
      <c r="E129" s="0" t="n">
        <v>43299</v>
      </c>
      <c r="F129" s="0" t="s">
        <v>2380</v>
      </c>
      <c r="G129" s="0" t="n">
        <v>21358568</v>
      </c>
      <c r="H129" s="0" t="n">
        <v>720191</v>
      </c>
      <c r="I129" s="0" t="s">
        <v>34</v>
      </c>
      <c r="J129" s="0" t="s">
        <v>174</v>
      </c>
      <c r="K129" s="0" t="s">
        <v>2401</v>
      </c>
      <c r="L129" s="0" t="n">
        <v>224160783</v>
      </c>
      <c r="M129" s="0" t="s">
        <v>1973</v>
      </c>
      <c r="N129" s="0" t="n">
        <v>103051614</v>
      </c>
      <c r="O129" s="0" t="n">
        <v>1590</v>
      </c>
      <c r="P129" s="0" t="n">
        <v>25.8</v>
      </c>
      <c r="Q129" s="0" t="e">
        <f aca="false">VLOOKUP(C129,[1]'Cost Correction'!$C$6:$AJ$6767,34,0)</f>
        <v>#N/A</v>
      </c>
    </row>
    <row r="130" customFormat="false" ht="15" hidden="false" customHeight="false" outlineLevel="0" collapsed="false">
      <c r="A130" s="0" t="e">
        <f aca="false">E130&amp;K130&amp;Q130</f>
        <v>#N/A</v>
      </c>
      <c r="B130" s="0" t="s">
        <v>4714</v>
      </c>
      <c r="C130" s="0" t="s">
        <v>4715</v>
      </c>
      <c r="D130" s="0" t="s">
        <v>2385</v>
      </c>
      <c r="E130" s="0" t="n">
        <v>43300</v>
      </c>
      <c r="F130" s="0" t="s">
        <v>2380</v>
      </c>
      <c r="G130" s="0" t="n">
        <v>21358568</v>
      </c>
      <c r="H130" s="0" t="n">
        <v>720191</v>
      </c>
      <c r="I130" s="0" t="s">
        <v>34</v>
      </c>
      <c r="J130" s="0" t="s">
        <v>174</v>
      </c>
      <c r="K130" s="0" t="s">
        <v>2412</v>
      </c>
      <c r="L130" s="0" t="n">
        <v>224160777</v>
      </c>
      <c r="M130" s="0" t="s">
        <v>1977</v>
      </c>
      <c r="N130" s="0" t="n">
        <v>103048479</v>
      </c>
      <c r="O130" s="0" t="n">
        <v>2527</v>
      </c>
      <c r="P130" s="0" t="n">
        <v>41.74</v>
      </c>
      <c r="Q130" s="0" t="e">
        <f aca="false">VLOOKUP(C130,[1]'Cost Correction'!$C$6:$AJ$6767,34,0)</f>
        <v>#N/A</v>
      </c>
    </row>
    <row r="131" customFormat="false" ht="15" hidden="false" customHeight="false" outlineLevel="0" collapsed="false">
      <c r="A131" s="0" t="e">
        <f aca="false">E131&amp;K131&amp;Q131</f>
        <v>#N/A</v>
      </c>
      <c r="B131" s="0" t="s">
        <v>4716</v>
      </c>
      <c r="C131" s="0" t="s">
        <v>4717</v>
      </c>
      <c r="D131" s="0" t="s">
        <v>2385</v>
      </c>
      <c r="E131" s="0" t="n">
        <v>43300</v>
      </c>
      <c r="F131" s="0" t="s">
        <v>2380</v>
      </c>
      <c r="G131" s="0" t="n">
        <v>21358568</v>
      </c>
      <c r="H131" s="0" t="n">
        <v>720191</v>
      </c>
      <c r="I131" s="0" t="s">
        <v>34</v>
      </c>
      <c r="J131" s="0" t="s">
        <v>174</v>
      </c>
      <c r="K131" s="0" t="s">
        <v>2397</v>
      </c>
      <c r="O131" s="0" t="n">
        <v>5821</v>
      </c>
      <c r="P131" s="0" t="n">
        <v>82.11</v>
      </c>
      <c r="Q131" s="0" t="e">
        <f aca="false">VLOOKUP(C131,[1]'Cost Correction'!$C$6:$AJ$6767,34,0)</f>
        <v>#N/A</v>
      </c>
    </row>
    <row r="132" customFormat="false" ht="15" hidden="false" customHeight="false" outlineLevel="0" collapsed="false">
      <c r="A132" s="0" t="e">
        <f aca="false">E132&amp;K132&amp;Q132</f>
        <v>#N/A</v>
      </c>
      <c r="B132" s="0" t="s">
        <v>4716</v>
      </c>
      <c r="C132" s="0" t="s">
        <v>4718</v>
      </c>
      <c r="D132" s="0" t="s">
        <v>2385</v>
      </c>
      <c r="E132" s="0" t="n">
        <v>43300</v>
      </c>
      <c r="F132" s="0" t="s">
        <v>2380</v>
      </c>
      <c r="G132" s="0" t="n">
        <v>21358568</v>
      </c>
      <c r="H132" s="0" t="n">
        <v>720191</v>
      </c>
      <c r="I132" s="0" t="s">
        <v>34</v>
      </c>
      <c r="J132" s="0" t="s">
        <v>174</v>
      </c>
      <c r="K132" s="0" t="s">
        <v>2395</v>
      </c>
      <c r="O132" s="0" t="n">
        <v>14640</v>
      </c>
      <c r="P132" s="0" t="n">
        <v>227.14</v>
      </c>
      <c r="Q132" s="0" t="e">
        <f aca="false">VLOOKUP(C132,[1]'Cost Correction'!$C$6:$AJ$6767,34,0)</f>
        <v>#N/A</v>
      </c>
    </row>
    <row r="133" customFormat="false" ht="15" hidden="false" customHeight="false" outlineLevel="0" collapsed="false">
      <c r="A133" s="0" t="e">
        <f aca="false">E133&amp;K133&amp;Q133</f>
        <v>#N/A</v>
      </c>
      <c r="B133" s="0" t="s">
        <v>4716</v>
      </c>
      <c r="C133" s="0" t="s">
        <v>4719</v>
      </c>
      <c r="D133" s="0" t="s">
        <v>2385</v>
      </c>
      <c r="E133" s="0" t="n">
        <v>43300</v>
      </c>
      <c r="F133" s="0" t="s">
        <v>2380</v>
      </c>
      <c r="G133" s="0" t="n">
        <v>21358568</v>
      </c>
      <c r="H133" s="0" t="n">
        <v>720191</v>
      </c>
      <c r="I133" s="0" t="s">
        <v>34</v>
      </c>
      <c r="J133" s="0" t="s">
        <v>174</v>
      </c>
      <c r="K133" s="0" t="s">
        <v>2393</v>
      </c>
      <c r="O133" s="0" t="n">
        <v>5375</v>
      </c>
      <c r="P133" s="0" t="n">
        <v>68.7</v>
      </c>
      <c r="Q133" s="0" t="e">
        <f aca="false">VLOOKUP(C133,[1]'Cost Correction'!$C$6:$AJ$6767,34,0)</f>
        <v>#N/A</v>
      </c>
    </row>
    <row r="134" customFormat="false" ht="15" hidden="false" customHeight="false" outlineLevel="0" collapsed="false">
      <c r="A134" s="0" t="e">
        <f aca="false">E134&amp;K134&amp;Q134</f>
        <v>#N/A</v>
      </c>
      <c r="B134" s="0" t="s">
        <v>4720</v>
      </c>
      <c r="C134" s="0" t="s">
        <v>4721</v>
      </c>
      <c r="D134" s="0" t="s">
        <v>2385</v>
      </c>
      <c r="E134" s="0" t="n">
        <v>43300</v>
      </c>
      <c r="F134" s="0" t="s">
        <v>2380</v>
      </c>
      <c r="G134" s="0" t="n">
        <v>21358568</v>
      </c>
      <c r="H134" s="0" t="n">
        <v>720191</v>
      </c>
      <c r="I134" s="0" t="s">
        <v>34</v>
      </c>
      <c r="J134" s="0" t="s">
        <v>174</v>
      </c>
      <c r="K134" s="0" t="s">
        <v>2401</v>
      </c>
      <c r="L134" s="0" t="n">
        <v>224160783</v>
      </c>
      <c r="M134" s="0" t="s">
        <v>1973</v>
      </c>
      <c r="N134" s="0" t="n">
        <v>103051614</v>
      </c>
      <c r="O134" s="0" t="n">
        <v>544</v>
      </c>
      <c r="P134" s="0" t="n">
        <v>9.94</v>
      </c>
      <c r="Q134" s="0" t="e">
        <f aca="false">VLOOKUP(C134,[1]'Cost Correction'!$C$6:$AJ$6767,34,0)</f>
        <v>#N/A</v>
      </c>
    </row>
    <row r="135" customFormat="false" ht="15" hidden="false" customHeight="false" outlineLevel="0" collapsed="false">
      <c r="A135" s="0" t="e">
        <f aca="false">E135&amp;K135&amp;Q135</f>
        <v>#N/A</v>
      </c>
      <c r="B135" s="0" t="s">
        <v>4722</v>
      </c>
      <c r="C135" s="0" t="s">
        <v>4723</v>
      </c>
      <c r="D135" s="0" t="s">
        <v>2385</v>
      </c>
      <c r="E135" s="0" t="n">
        <v>43300</v>
      </c>
      <c r="F135" s="0" t="s">
        <v>2380</v>
      </c>
      <c r="G135" s="0" t="n">
        <v>21358568</v>
      </c>
      <c r="H135" s="0" t="n">
        <v>720191</v>
      </c>
      <c r="I135" s="0" t="s">
        <v>34</v>
      </c>
      <c r="J135" s="0" t="s">
        <v>174</v>
      </c>
      <c r="K135" s="0" t="s">
        <v>2420</v>
      </c>
      <c r="L135" s="0" t="n">
        <v>224160771</v>
      </c>
      <c r="M135" s="0" t="s">
        <v>1981</v>
      </c>
      <c r="N135" s="0" t="n">
        <v>103048488</v>
      </c>
      <c r="O135" s="0" t="n">
        <v>4963</v>
      </c>
      <c r="P135" s="0" t="n">
        <v>81.29</v>
      </c>
      <c r="Q135" s="0" t="e">
        <f aca="false">VLOOKUP(C135,[1]'Cost Correction'!$C$6:$AJ$6767,34,0)</f>
        <v>#N/A</v>
      </c>
    </row>
    <row r="136" customFormat="false" ht="15" hidden="false" customHeight="false" outlineLevel="0" collapsed="false">
      <c r="A136" s="0" t="e">
        <f aca="false">E136&amp;K136&amp;Q136</f>
        <v>#N/A</v>
      </c>
      <c r="B136" s="0" t="s">
        <v>4724</v>
      </c>
      <c r="C136" s="0" t="s">
        <v>4725</v>
      </c>
      <c r="D136" s="0" t="s">
        <v>2385</v>
      </c>
      <c r="E136" s="0" t="n">
        <v>43300</v>
      </c>
      <c r="F136" s="0" t="s">
        <v>2380</v>
      </c>
      <c r="G136" s="0" t="n">
        <v>21358568</v>
      </c>
      <c r="H136" s="0" t="n">
        <v>720191</v>
      </c>
      <c r="I136" s="0" t="s">
        <v>34</v>
      </c>
      <c r="J136" s="0" t="s">
        <v>174</v>
      </c>
      <c r="K136" s="0" t="s">
        <v>2433</v>
      </c>
      <c r="L136" s="0" t="n">
        <v>224160780</v>
      </c>
      <c r="M136" s="0" t="s">
        <v>1975</v>
      </c>
      <c r="N136" s="0" t="n">
        <v>103186904</v>
      </c>
      <c r="O136" s="0" t="n">
        <v>1106</v>
      </c>
      <c r="P136" s="0" t="n">
        <v>13.25</v>
      </c>
      <c r="Q136" s="0" t="e">
        <f aca="false">VLOOKUP(C136,[1]'Cost Correction'!$C$6:$AJ$6767,34,0)</f>
        <v>#N/A</v>
      </c>
    </row>
    <row r="137" customFormat="false" ht="15" hidden="false" customHeight="false" outlineLevel="0" collapsed="false">
      <c r="A137" s="0" t="e">
        <f aca="false">E137&amp;K137&amp;Q137</f>
        <v>#N/A</v>
      </c>
      <c r="B137" s="0" t="s">
        <v>4726</v>
      </c>
      <c r="C137" s="0" t="s">
        <v>4727</v>
      </c>
      <c r="D137" s="0" t="s">
        <v>2385</v>
      </c>
      <c r="E137" s="0" t="n">
        <v>43300</v>
      </c>
      <c r="F137" s="0" t="s">
        <v>2380</v>
      </c>
      <c r="G137" s="0" t="n">
        <v>21358568</v>
      </c>
      <c r="H137" s="0" t="n">
        <v>720191</v>
      </c>
      <c r="I137" s="0" t="s">
        <v>34</v>
      </c>
      <c r="J137" s="0" t="s">
        <v>174</v>
      </c>
      <c r="K137" s="0" t="s">
        <v>2405</v>
      </c>
      <c r="L137" s="0" t="n">
        <v>224160774</v>
      </c>
      <c r="M137" s="0" t="s">
        <v>1979</v>
      </c>
      <c r="N137" s="0" t="n">
        <v>103186910</v>
      </c>
      <c r="O137" s="0" t="n">
        <v>10920</v>
      </c>
      <c r="P137" s="0" t="n">
        <v>177.45</v>
      </c>
      <c r="Q137" s="0" t="e">
        <f aca="false">VLOOKUP(C137,[1]'Cost Correction'!$C$6:$AJ$6767,34,0)</f>
        <v>#N/A</v>
      </c>
    </row>
    <row r="138" customFormat="false" ht="15" hidden="false" customHeight="false" outlineLevel="0" collapsed="false">
      <c r="A138" s="0" t="e">
        <f aca="false">E138&amp;K138&amp;Q138</f>
        <v>#N/A</v>
      </c>
      <c r="B138" s="0" t="s">
        <v>4728</v>
      </c>
      <c r="C138" s="0" t="s">
        <v>4729</v>
      </c>
      <c r="D138" s="0" t="s">
        <v>2385</v>
      </c>
      <c r="E138" s="0" t="n">
        <v>43301</v>
      </c>
      <c r="F138" s="0" t="s">
        <v>2380</v>
      </c>
      <c r="G138" s="0" t="n">
        <v>21358568</v>
      </c>
      <c r="H138" s="0" t="n">
        <v>720191</v>
      </c>
      <c r="I138" s="0" t="s">
        <v>34</v>
      </c>
      <c r="J138" s="0" t="s">
        <v>174</v>
      </c>
      <c r="K138" s="0" t="s">
        <v>2397</v>
      </c>
      <c r="O138" s="0" t="n">
        <v>6024</v>
      </c>
      <c r="P138" s="0" t="n">
        <v>91.86</v>
      </c>
      <c r="Q138" s="0" t="e">
        <f aca="false">VLOOKUP(C138,[1]'Cost Correction'!$C$6:$AJ$6767,34,0)</f>
        <v>#N/A</v>
      </c>
    </row>
    <row r="139" customFormat="false" ht="15" hidden="false" customHeight="false" outlineLevel="0" collapsed="false">
      <c r="A139" s="0" t="e">
        <f aca="false">E139&amp;K139&amp;Q139</f>
        <v>#N/A</v>
      </c>
      <c r="B139" s="0" t="s">
        <v>4728</v>
      </c>
      <c r="C139" s="0" t="s">
        <v>4730</v>
      </c>
      <c r="D139" s="0" t="s">
        <v>2385</v>
      </c>
      <c r="E139" s="0" t="n">
        <v>43301</v>
      </c>
      <c r="F139" s="0" t="s">
        <v>2380</v>
      </c>
      <c r="G139" s="0" t="n">
        <v>21358568</v>
      </c>
      <c r="H139" s="0" t="n">
        <v>720191</v>
      </c>
      <c r="I139" s="0" t="s">
        <v>34</v>
      </c>
      <c r="J139" s="0" t="s">
        <v>174</v>
      </c>
      <c r="K139" s="0" t="s">
        <v>2395</v>
      </c>
      <c r="O139" s="0" t="n">
        <v>11659</v>
      </c>
      <c r="P139" s="0" t="n">
        <v>178.61</v>
      </c>
      <c r="Q139" s="0" t="e">
        <f aca="false">VLOOKUP(C139,[1]'Cost Correction'!$C$6:$AJ$6767,34,0)</f>
        <v>#N/A</v>
      </c>
    </row>
    <row r="140" customFormat="false" ht="15" hidden="false" customHeight="false" outlineLevel="0" collapsed="false">
      <c r="A140" s="0" t="e">
        <f aca="false">E140&amp;K140&amp;Q140</f>
        <v>#N/A</v>
      </c>
      <c r="B140" s="0" t="s">
        <v>4728</v>
      </c>
      <c r="C140" s="0" t="s">
        <v>4731</v>
      </c>
      <c r="D140" s="0" t="s">
        <v>2385</v>
      </c>
      <c r="E140" s="0" t="n">
        <v>43301</v>
      </c>
      <c r="F140" s="0" t="s">
        <v>2380</v>
      </c>
      <c r="G140" s="0" t="n">
        <v>21358568</v>
      </c>
      <c r="H140" s="0" t="n">
        <v>720191</v>
      </c>
      <c r="I140" s="0" t="s">
        <v>34</v>
      </c>
      <c r="J140" s="0" t="s">
        <v>174</v>
      </c>
      <c r="K140" s="0" t="s">
        <v>2393</v>
      </c>
      <c r="O140" s="0" t="n">
        <v>5464</v>
      </c>
      <c r="P140" s="0" t="n">
        <v>81.8</v>
      </c>
      <c r="Q140" s="0" t="e">
        <f aca="false">VLOOKUP(C140,[1]'Cost Correction'!$C$6:$AJ$6767,34,0)</f>
        <v>#N/A</v>
      </c>
    </row>
    <row r="141" customFormat="false" ht="15" hidden="false" customHeight="false" outlineLevel="0" collapsed="false">
      <c r="A141" s="0" t="e">
        <f aca="false">E141&amp;K141&amp;Q141</f>
        <v>#N/A</v>
      </c>
      <c r="B141" s="0" t="s">
        <v>4732</v>
      </c>
      <c r="C141" s="0" t="s">
        <v>4733</v>
      </c>
      <c r="D141" s="0" t="s">
        <v>2385</v>
      </c>
      <c r="E141" s="0" t="n">
        <v>43301</v>
      </c>
      <c r="F141" s="0" t="s">
        <v>2380</v>
      </c>
      <c r="G141" s="0" t="n">
        <v>21358568</v>
      </c>
      <c r="H141" s="0" t="n">
        <v>720191</v>
      </c>
      <c r="I141" s="0" t="s">
        <v>34</v>
      </c>
      <c r="J141" s="0" t="s">
        <v>174</v>
      </c>
      <c r="K141" s="0" t="s">
        <v>2405</v>
      </c>
      <c r="L141" s="0" t="n">
        <v>224160774</v>
      </c>
      <c r="M141" s="0" t="s">
        <v>1979</v>
      </c>
      <c r="N141" s="0" t="n">
        <v>103186910</v>
      </c>
      <c r="O141" s="0" t="n">
        <v>11721</v>
      </c>
      <c r="P141" s="0" t="n">
        <v>227.29</v>
      </c>
      <c r="Q141" s="0" t="e">
        <f aca="false">VLOOKUP(C141,[1]'Cost Correction'!$C$6:$AJ$6767,34,0)</f>
        <v>#N/A</v>
      </c>
    </row>
    <row r="142" customFormat="false" ht="15" hidden="false" customHeight="false" outlineLevel="0" collapsed="false">
      <c r="A142" s="0" t="e">
        <f aca="false">E142&amp;K142&amp;Q142</f>
        <v>#N/A</v>
      </c>
      <c r="B142" s="0" t="s">
        <v>4734</v>
      </c>
      <c r="C142" s="0" t="s">
        <v>4735</v>
      </c>
      <c r="D142" s="0" t="s">
        <v>2385</v>
      </c>
      <c r="E142" s="0" t="n">
        <v>43301</v>
      </c>
      <c r="F142" s="0" t="s">
        <v>2380</v>
      </c>
      <c r="G142" s="0" t="n">
        <v>21358568</v>
      </c>
      <c r="H142" s="0" t="n">
        <v>720191</v>
      </c>
      <c r="I142" s="0" t="s">
        <v>34</v>
      </c>
      <c r="J142" s="0" t="s">
        <v>174</v>
      </c>
      <c r="K142" s="0" t="s">
        <v>2412</v>
      </c>
      <c r="L142" s="0" t="n">
        <v>224160777</v>
      </c>
      <c r="M142" s="0" t="s">
        <v>1977</v>
      </c>
      <c r="N142" s="0" t="n">
        <v>103048479</v>
      </c>
      <c r="O142" s="0" t="n">
        <v>525</v>
      </c>
      <c r="P142" s="0" t="n">
        <v>10.41</v>
      </c>
      <c r="Q142" s="0" t="e">
        <f aca="false">VLOOKUP(C142,[1]'Cost Correction'!$C$6:$AJ$6767,34,0)</f>
        <v>#N/A</v>
      </c>
    </row>
    <row r="143" customFormat="false" ht="15" hidden="false" customHeight="false" outlineLevel="0" collapsed="false">
      <c r="A143" s="0" t="e">
        <f aca="false">E143&amp;K143&amp;Q143</f>
        <v>#N/A</v>
      </c>
      <c r="B143" s="0" t="s">
        <v>4736</v>
      </c>
      <c r="C143" s="0" t="s">
        <v>4737</v>
      </c>
      <c r="D143" s="0" t="s">
        <v>2385</v>
      </c>
      <c r="E143" s="0" t="n">
        <v>43301</v>
      </c>
      <c r="F143" s="0" t="s">
        <v>2380</v>
      </c>
      <c r="G143" s="0" t="n">
        <v>21358568</v>
      </c>
      <c r="H143" s="0" t="n">
        <v>720191</v>
      </c>
      <c r="I143" s="0" t="s">
        <v>34</v>
      </c>
      <c r="J143" s="0" t="s">
        <v>174</v>
      </c>
      <c r="K143" s="0" t="s">
        <v>2433</v>
      </c>
      <c r="L143" s="0" t="n">
        <v>224160780</v>
      </c>
      <c r="M143" s="0" t="s">
        <v>1975</v>
      </c>
      <c r="N143" s="0" t="n">
        <v>103186904</v>
      </c>
      <c r="O143" s="0" t="n">
        <v>935</v>
      </c>
      <c r="P143" s="0" t="n">
        <v>11.2</v>
      </c>
      <c r="Q143" s="0" t="e">
        <f aca="false">VLOOKUP(C143,[1]'Cost Correction'!$C$6:$AJ$6767,34,0)</f>
        <v>#N/A</v>
      </c>
    </row>
    <row r="144" customFormat="false" ht="15" hidden="false" customHeight="false" outlineLevel="0" collapsed="false">
      <c r="A144" s="0" t="e">
        <f aca="false">E144&amp;K144&amp;Q144</f>
        <v>#N/A</v>
      </c>
      <c r="B144" s="0" t="s">
        <v>4738</v>
      </c>
      <c r="C144" s="0" t="s">
        <v>4739</v>
      </c>
      <c r="D144" s="0" t="s">
        <v>2385</v>
      </c>
      <c r="E144" s="0" t="n">
        <v>43301</v>
      </c>
      <c r="F144" s="0" t="s">
        <v>2380</v>
      </c>
      <c r="G144" s="0" t="n">
        <v>21358568</v>
      </c>
      <c r="H144" s="0" t="n">
        <v>720191</v>
      </c>
      <c r="I144" s="0" t="s">
        <v>34</v>
      </c>
      <c r="J144" s="0" t="s">
        <v>174</v>
      </c>
      <c r="K144" s="0" t="s">
        <v>2420</v>
      </c>
      <c r="L144" s="0" t="n">
        <v>224160771</v>
      </c>
      <c r="M144" s="0" t="s">
        <v>1981</v>
      </c>
      <c r="N144" s="0" t="n">
        <v>103048488</v>
      </c>
      <c r="O144" s="0" t="n">
        <v>2613</v>
      </c>
      <c r="P144" s="0" t="n">
        <v>46.24</v>
      </c>
      <c r="Q144" s="0" t="e">
        <f aca="false">VLOOKUP(C144,[1]'Cost Correction'!$C$6:$AJ$6767,34,0)</f>
        <v>#N/A</v>
      </c>
    </row>
    <row r="145" customFormat="false" ht="15" hidden="false" customHeight="false" outlineLevel="0" collapsed="false">
      <c r="A145" s="0" t="e">
        <f aca="false">E145&amp;K145&amp;Q145</f>
        <v>#N/A</v>
      </c>
      <c r="B145" s="0" t="s">
        <v>4740</v>
      </c>
      <c r="C145" s="0" t="s">
        <v>4741</v>
      </c>
      <c r="D145" s="0" t="s">
        <v>2385</v>
      </c>
      <c r="E145" s="0" t="n">
        <v>43301</v>
      </c>
      <c r="F145" s="0" t="s">
        <v>2380</v>
      </c>
      <c r="G145" s="0" t="n">
        <v>21358568</v>
      </c>
      <c r="H145" s="0" t="n">
        <v>720191</v>
      </c>
      <c r="I145" s="0" t="s">
        <v>34</v>
      </c>
      <c r="J145" s="0" t="s">
        <v>174</v>
      </c>
      <c r="K145" s="0" t="s">
        <v>2401</v>
      </c>
      <c r="L145" s="0" t="n">
        <v>224160783</v>
      </c>
      <c r="M145" s="0" t="s">
        <v>1973</v>
      </c>
      <c r="N145" s="0" t="n">
        <v>103051614</v>
      </c>
      <c r="O145" s="0" t="n">
        <v>1169</v>
      </c>
      <c r="P145" s="0" t="n">
        <v>20.15</v>
      </c>
      <c r="Q145" s="0" t="e">
        <f aca="false">VLOOKUP(C145,[1]'Cost Correction'!$C$6:$AJ$6767,34,0)</f>
        <v>#N/A</v>
      </c>
    </row>
    <row r="146" customFormat="false" ht="15" hidden="false" customHeight="false" outlineLevel="0" collapsed="false">
      <c r="A146" s="0" t="e">
        <f aca="false">E146&amp;K146&amp;Q146</f>
        <v>#N/A</v>
      </c>
      <c r="B146" s="0" t="s">
        <v>4742</v>
      </c>
      <c r="C146" s="0" t="s">
        <v>4743</v>
      </c>
      <c r="D146" s="0" t="s">
        <v>2385</v>
      </c>
      <c r="E146" s="0" t="n">
        <v>43302</v>
      </c>
      <c r="F146" s="0" t="s">
        <v>2380</v>
      </c>
      <c r="G146" s="0" t="n">
        <v>21358568</v>
      </c>
      <c r="H146" s="0" t="n">
        <v>720191</v>
      </c>
      <c r="I146" s="0" t="s">
        <v>34</v>
      </c>
      <c r="J146" s="0" t="s">
        <v>174</v>
      </c>
      <c r="K146" s="0" t="s">
        <v>2401</v>
      </c>
      <c r="L146" s="0" t="n">
        <v>224160783</v>
      </c>
      <c r="M146" s="0" t="s">
        <v>1973</v>
      </c>
      <c r="N146" s="0" t="n">
        <v>103051614</v>
      </c>
      <c r="O146" s="0" t="n">
        <v>1296</v>
      </c>
      <c r="P146" s="0" t="n">
        <v>26.56</v>
      </c>
      <c r="Q146" s="0" t="e">
        <f aca="false">VLOOKUP(C146,[1]'Cost Correction'!$C$6:$AJ$6767,34,0)</f>
        <v>#N/A</v>
      </c>
    </row>
    <row r="147" customFormat="false" ht="15" hidden="false" customHeight="false" outlineLevel="0" collapsed="false">
      <c r="A147" s="0" t="e">
        <f aca="false">E147&amp;K147&amp;Q147</f>
        <v>#N/A</v>
      </c>
      <c r="B147" s="0" t="s">
        <v>4744</v>
      </c>
      <c r="C147" s="0" t="s">
        <v>4745</v>
      </c>
      <c r="D147" s="0" t="s">
        <v>2385</v>
      </c>
      <c r="E147" s="0" t="n">
        <v>43302</v>
      </c>
      <c r="F147" s="0" t="s">
        <v>2380</v>
      </c>
      <c r="G147" s="0" t="n">
        <v>21358568</v>
      </c>
      <c r="H147" s="0" t="n">
        <v>720191</v>
      </c>
      <c r="I147" s="0" t="s">
        <v>34</v>
      </c>
      <c r="J147" s="0" t="s">
        <v>174</v>
      </c>
      <c r="K147" s="0" t="s">
        <v>2405</v>
      </c>
      <c r="L147" s="0" t="n">
        <v>224160774</v>
      </c>
      <c r="M147" s="0" t="s">
        <v>1979</v>
      </c>
      <c r="N147" s="0" t="n">
        <v>103186910</v>
      </c>
      <c r="O147" s="0" t="n">
        <v>7138</v>
      </c>
      <c r="P147" s="0" t="n">
        <v>167.93</v>
      </c>
      <c r="Q147" s="0" t="e">
        <f aca="false">VLOOKUP(C147,[1]'Cost Correction'!$C$6:$AJ$6767,34,0)</f>
        <v>#N/A</v>
      </c>
    </row>
    <row r="148" customFormat="false" ht="15" hidden="false" customHeight="false" outlineLevel="0" collapsed="false">
      <c r="A148" s="0" t="e">
        <f aca="false">E148&amp;K148&amp;Q148</f>
        <v>#N/A</v>
      </c>
      <c r="B148" s="0" t="s">
        <v>4746</v>
      </c>
      <c r="C148" s="0" t="s">
        <v>4747</v>
      </c>
      <c r="D148" s="0" t="s">
        <v>2385</v>
      </c>
      <c r="E148" s="0" t="n">
        <v>43302</v>
      </c>
      <c r="F148" s="0" t="s">
        <v>2380</v>
      </c>
      <c r="G148" s="0" t="n">
        <v>21358568</v>
      </c>
      <c r="H148" s="0" t="n">
        <v>720191</v>
      </c>
      <c r="I148" s="0" t="s">
        <v>34</v>
      </c>
      <c r="J148" s="0" t="s">
        <v>174</v>
      </c>
      <c r="K148" s="0" t="s">
        <v>2412</v>
      </c>
      <c r="L148" s="0" t="n">
        <v>224160777</v>
      </c>
      <c r="M148" s="0" t="s">
        <v>1977</v>
      </c>
      <c r="N148" s="0" t="n">
        <v>103048479</v>
      </c>
      <c r="O148" s="0" t="n">
        <v>1215</v>
      </c>
      <c r="P148" s="0" t="n">
        <v>27.63</v>
      </c>
      <c r="Q148" s="0" t="e">
        <f aca="false">VLOOKUP(C148,[1]'Cost Correction'!$C$6:$AJ$6767,34,0)</f>
        <v>#N/A</v>
      </c>
    </row>
    <row r="149" customFormat="false" ht="15" hidden="false" customHeight="false" outlineLevel="0" collapsed="false">
      <c r="A149" s="0" t="e">
        <f aca="false">E149&amp;K149&amp;Q149</f>
        <v>#N/A</v>
      </c>
      <c r="B149" s="0" t="s">
        <v>4748</v>
      </c>
      <c r="C149" s="0" t="s">
        <v>4749</v>
      </c>
      <c r="D149" s="0" t="s">
        <v>2385</v>
      </c>
      <c r="E149" s="0" t="n">
        <v>43302</v>
      </c>
      <c r="F149" s="0" t="s">
        <v>2380</v>
      </c>
      <c r="G149" s="0" t="n">
        <v>21358568</v>
      </c>
      <c r="H149" s="0" t="n">
        <v>720191</v>
      </c>
      <c r="I149" s="0" t="s">
        <v>34</v>
      </c>
      <c r="J149" s="0" t="s">
        <v>174</v>
      </c>
      <c r="K149" s="0" t="s">
        <v>2393</v>
      </c>
      <c r="O149" s="0" t="n">
        <v>2968</v>
      </c>
      <c r="P149" s="0" t="n">
        <v>53.31</v>
      </c>
      <c r="Q149" s="0" t="e">
        <f aca="false">VLOOKUP(C149,[1]'Cost Correction'!$C$6:$AJ$6767,34,0)</f>
        <v>#N/A</v>
      </c>
    </row>
    <row r="150" customFormat="false" ht="15" hidden="false" customHeight="false" outlineLevel="0" collapsed="false">
      <c r="A150" s="0" t="e">
        <f aca="false">E150&amp;K150&amp;Q150</f>
        <v>#N/A</v>
      </c>
      <c r="B150" s="0" t="s">
        <v>4748</v>
      </c>
      <c r="C150" s="0" t="s">
        <v>4750</v>
      </c>
      <c r="D150" s="0" t="s">
        <v>2385</v>
      </c>
      <c r="E150" s="0" t="n">
        <v>43302</v>
      </c>
      <c r="F150" s="0" t="s">
        <v>2380</v>
      </c>
      <c r="G150" s="0" t="n">
        <v>21358568</v>
      </c>
      <c r="H150" s="0" t="n">
        <v>720191</v>
      </c>
      <c r="I150" s="0" t="s">
        <v>34</v>
      </c>
      <c r="J150" s="0" t="s">
        <v>174</v>
      </c>
      <c r="K150" s="0" t="s">
        <v>2397</v>
      </c>
      <c r="O150" s="0" t="n">
        <v>7776</v>
      </c>
      <c r="P150" s="0" t="n">
        <v>125.24</v>
      </c>
      <c r="Q150" s="0" t="e">
        <f aca="false">VLOOKUP(C150,[1]'Cost Correction'!$C$6:$AJ$6767,34,0)</f>
        <v>#N/A</v>
      </c>
    </row>
    <row r="151" customFormat="false" ht="15" hidden="false" customHeight="false" outlineLevel="0" collapsed="false">
      <c r="A151" s="0" t="e">
        <f aca="false">E151&amp;K151&amp;Q151</f>
        <v>#N/A</v>
      </c>
      <c r="B151" s="0" t="s">
        <v>4748</v>
      </c>
      <c r="C151" s="0" t="s">
        <v>4751</v>
      </c>
      <c r="D151" s="0" t="s">
        <v>2385</v>
      </c>
      <c r="E151" s="0" t="n">
        <v>43302</v>
      </c>
      <c r="F151" s="0" t="s">
        <v>2380</v>
      </c>
      <c r="G151" s="0" t="n">
        <v>21358568</v>
      </c>
      <c r="H151" s="0" t="n">
        <v>720191</v>
      </c>
      <c r="I151" s="0" t="s">
        <v>34</v>
      </c>
      <c r="J151" s="0" t="s">
        <v>174</v>
      </c>
      <c r="K151" s="0" t="s">
        <v>2395</v>
      </c>
      <c r="O151" s="0" t="n">
        <v>8930</v>
      </c>
      <c r="P151" s="0" t="n">
        <v>132.26</v>
      </c>
      <c r="Q151" s="0" t="e">
        <f aca="false">VLOOKUP(C151,[1]'Cost Correction'!$C$6:$AJ$6767,34,0)</f>
        <v>#N/A</v>
      </c>
    </row>
    <row r="152" customFormat="false" ht="15" hidden="false" customHeight="false" outlineLevel="0" collapsed="false">
      <c r="A152" s="0" t="e">
        <f aca="false">E152&amp;K152&amp;Q152</f>
        <v>#N/A</v>
      </c>
      <c r="B152" s="0" t="s">
        <v>4752</v>
      </c>
      <c r="C152" s="0" t="s">
        <v>4753</v>
      </c>
      <c r="D152" s="0" t="s">
        <v>2385</v>
      </c>
      <c r="E152" s="0" t="n">
        <v>43302</v>
      </c>
      <c r="F152" s="0" t="s">
        <v>2380</v>
      </c>
      <c r="G152" s="0" t="n">
        <v>21358568</v>
      </c>
      <c r="H152" s="0" t="n">
        <v>720191</v>
      </c>
      <c r="I152" s="0" t="s">
        <v>34</v>
      </c>
      <c r="J152" s="0" t="s">
        <v>174</v>
      </c>
      <c r="K152" s="0" t="s">
        <v>2433</v>
      </c>
      <c r="L152" s="0" t="n">
        <v>224160780</v>
      </c>
      <c r="M152" s="0" t="s">
        <v>1975</v>
      </c>
      <c r="N152" s="0" t="n">
        <v>103186904</v>
      </c>
      <c r="O152" s="0" t="n">
        <v>333</v>
      </c>
      <c r="P152" s="0" t="n">
        <v>5.05</v>
      </c>
      <c r="Q152" s="0" t="e">
        <f aca="false">VLOOKUP(C152,[1]'Cost Correction'!$C$6:$AJ$6767,34,0)</f>
        <v>#N/A</v>
      </c>
    </row>
    <row r="153" customFormat="false" ht="15" hidden="false" customHeight="false" outlineLevel="0" collapsed="false">
      <c r="A153" s="0" t="e">
        <f aca="false">E153&amp;K153&amp;Q153</f>
        <v>#N/A</v>
      </c>
      <c r="B153" s="0" t="s">
        <v>4754</v>
      </c>
      <c r="C153" s="0" t="s">
        <v>4755</v>
      </c>
      <c r="D153" s="0" t="s">
        <v>2385</v>
      </c>
      <c r="E153" s="0" t="n">
        <v>43302</v>
      </c>
      <c r="F153" s="0" t="s">
        <v>2380</v>
      </c>
      <c r="G153" s="0" t="n">
        <v>21358568</v>
      </c>
      <c r="H153" s="0" t="n">
        <v>720191</v>
      </c>
      <c r="I153" s="0" t="s">
        <v>34</v>
      </c>
      <c r="J153" s="0" t="s">
        <v>174</v>
      </c>
      <c r="K153" s="0" t="s">
        <v>2420</v>
      </c>
      <c r="L153" s="0" t="n">
        <v>224160771</v>
      </c>
      <c r="M153" s="0" t="s">
        <v>1981</v>
      </c>
      <c r="N153" s="0" t="n">
        <v>103048488</v>
      </c>
      <c r="O153" s="0" t="n">
        <v>1475</v>
      </c>
      <c r="P153" s="0" t="n">
        <v>31.38</v>
      </c>
      <c r="Q153" s="0" t="e">
        <f aca="false">VLOOKUP(C153,[1]'Cost Correction'!$C$6:$AJ$6767,34,0)</f>
        <v>#N/A</v>
      </c>
    </row>
    <row r="154" customFormat="false" ht="15" hidden="false" customHeight="false" outlineLevel="0" collapsed="false">
      <c r="A154" s="0" t="e">
        <f aca="false">E154&amp;K154&amp;Q154</f>
        <v>#N/A</v>
      </c>
      <c r="B154" s="0" t="s">
        <v>4756</v>
      </c>
      <c r="C154" s="0" t="s">
        <v>4757</v>
      </c>
      <c r="D154" s="0" t="s">
        <v>2385</v>
      </c>
      <c r="E154" s="0" t="n">
        <v>43303</v>
      </c>
      <c r="F154" s="0" t="s">
        <v>2380</v>
      </c>
      <c r="G154" s="0" t="n">
        <v>21358568</v>
      </c>
      <c r="H154" s="0" t="n">
        <v>720191</v>
      </c>
      <c r="I154" s="0" t="s">
        <v>34</v>
      </c>
      <c r="J154" s="0" t="s">
        <v>174</v>
      </c>
      <c r="K154" s="0" t="s">
        <v>2393</v>
      </c>
      <c r="O154" s="0" t="n">
        <v>4621</v>
      </c>
      <c r="P154" s="0" t="n">
        <v>73.33</v>
      </c>
      <c r="Q154" s="0" t="e">
        <f aca="false">VLOOKUP(C154,[1]'Cost Correction'!$C$6:$AJ$6767,34,0)</f>
        <v>#N/A</v>
      </c>
    </row>
    <row r="155" customFormat="false" ht="15" hidden="false" customHeight="false" outlineLevel="0" collapsed="false">
      <c r="A155" s="0" t="e">
        <f aca="false">E155&amp;K155&amp;Q155</f>
        <v>#N/A</v>
      </c>
      <c r="B155" s="0" t="s">
        <v>4756</v>
      </c>
      <c r="C155" s="0" t="s">
        <v>4758</v>
      </c>
      <c r="D155" s="0" t="s">
        <v>2385</v>
      </c>
      <c r="E155" s="0" t="n">
        <v>43303</v>
      </c>
      <c r="F155" s="0" t="s">
        <v>2380</v>
      </c>
      <c r="G155" s="0" t="n">
        <v>21358568</v>
      </c>
      <c r="H155" s="0" t="n">
        <v>720191</v>
      </c>
      <c r="I155" s="0" t="s">
        <v>34</v>
      </c>
      <c r="J155" s="0" t="s">
        <v>174</v>
      </c>
      <c r="K155" s="0" t="s">
        <v>2397</v>
      </c>
      <c r="O155" s="0" t="n">
        <v>10068</v>
      </c>
      <c r="P155" s="0" t="n">
        <v>165.74</v>
      </c>
      <c r="Q155" s="0" t="e">
        <f aca="false">VLOOKUP(C155,[1]'Cost Correction'!$C$6:$AJ$6767,34,0)</f>
        <v>#N/A</v>
      </c>
    </row>
    <row r="156" customFormat="false" ht="15" hidden="false" customHeight="false" outlineLevel="0" collapsed="false">
      <c r="A156" s="0" t="e">
        <f aca="false">E156&amp;K156&amp;Q156</f>
        <v>#N/A</v>
      </c>
      <c r="B156" s="0" t="s">
        <v>4756</v>
      </c>
      <c r="C156" s="0" t="s">
        <v>4759</v>
      </c>
      <c r="D156" s="0" t="s">
        <v>2385</v>
      </c>
      <c r="E156" s="0" t="n">
        <v>43303</v>
      </c>
      <c r="F156" s="0" t="s">
        <v>2380</v>
      </c>
      <c r="G156" s="0" t="n">
        <v>21358568</v>
      </c>
      <c r="H156" s="0" t="n">
        <v>720191</v>
      </c>
      <c r="I156" s="0" t="s">
        <v>34</v>
      </c>
      <c r="J156" s="0" t="s">
        <v>174</v>
      </c>
      <c r="K156" s="0" t="s">
        <v>2395</v>
      </c>
      <c r="O156" s="0" t="n">
        <v>7592</v>
      </c>
      <c r="P156" s="0" t="n">
        <v>120.45</v>
      </c>
      <c r="Q156" s="0" t="e">
        <f aca="false">VLOOKUP(C156,[1]'Cost Correction'!$C$6:$AJ$6767,34,0)</f>
        <v>#N/A</v>
      </c>
    </row>
    <row r="157" customFormat="false" ht="15" hidden="false" customHeight="false" outlineLevel="0" collapsed="false">
      <c r="A157" s="0" t="e">
        <f aca="false">E157&amp;K157&amp;Q157</f>
        <v>#N/A</v>
      </c>
      <c r="B157" s="0" t="s">
        <v>4760</v>
      </c>
      <c r="C157" s="0" t="s">
        <v>4761</v>
      </c>
      <c r="D157" s="0" t="s">
        <v>2385</v>
      </c>
      <c r="E157" s="0" t="n">
        <v>43303</v>
      </c>
      <c r="F157" s="0" t="s">
        <v>2380</v>
      </c>
      <c r="G157" s="0" t="n">
        <v>21358568</v>
      </c>
      <c r="H157" s="0" t="n">
        <v>720191</v>
      </c>
      <c r="I157" s="0" t="s">
        <v>34</v>
      </c>
      <c r="J157" s="0" t="s">
        <v>174</v>
      </c>
      <c r="K157" s="0" t="s">
        <v>2401</v>
      </c>
      <c r="L157" s="0" t="n">
        <v>224160783</v>
      </c>
      <c r="M157" s="0" t="s">
        <v>1973</v>
      </c>
      <c r="N157" s="0" t="n">
        <v>103051614</v>
      </c>
      <c r="O157" s="0" t="n">
        <v>501</v>
      </c>
      <c r="P157" s="0" t="n">
        <v>9.53</v>
      </c>
      <c r="Q157" s="0" t="e">
        <f aca="false">VLOOKUP(C157,[1]'Cost Correction'!$C$6:$AJ$6767,34,0)</f>
        <v>#N/A</v>
      </c>
    </row>
    <row r="158" customFormat="false" ht="15" hidden="false" customHeight="false" outlineLevel="0" collapsed="false">
      <c r="A158" s="0" t="e">
        <f aca="false">E158&amp;K158&amp;Q158</f>
        <v>#N/A</v>
      </c>
      <c r="B158" s="0" t="s">
        <v>4762</v>
      </c>
      <c r="C158" s="0" t="s">
        <v>4763</v>
      </c>
      <c r="D158" s="0" t="s">
        <v>2385</v>
      </c>
      <c r="E158" s="0" t="n">
        <v>43303</v>
      </c>
      <c r="F158" s="0" t="s">
        <v>2380</v>
      </c>
      <c r="G158" s="0" t="n">
        <v>21358568</v>
      </c>
      <c r="H158" s="0" t="n">
        <v>720191</v>
      </c>
      <c r="I158" s="0" t="s">
        <v>34</v>
      </c>
      <c r="J158" s="0" t="s">
        <v>174</v>
      </c>
      <c r="K158" s="0" t="s">
        <v>2420</v>
      </c>
      <c r="L158" s="0" t="n">
        <v>224160771</v>
      </c>
      <c r="M158" s="0" t="s">
        <v>1981</v>
      </c>
      <c r="N158" s="0" t="n">
        <v>103048488</v>
      </c>
      <c r="O158" s="0" t="n">
        <v>2076</v>
      </c>
      <c r="P158" s="0" t="n">
        <v>34.06</v>
      </c>
      <c r="Q158" s="0" t="e">
        <f aca="false">VLOOKUP(C158,[1]'Cost Correction'!$C$6:$AJ$6767,34,0)</f>
        <v>#N/A</v>
      </c>
    </row>
    <row r="159" customFormat="false" ht="15" hidden="false" customHeight="false" outlineLevel="0" collapsed="false">
      <c r="A159" s="0" t="e">
        <f aca="false">E159&amp;K159&amp;Q159</f>
        <v>#N/A</v>
      </c>
      <c r="B159" s="0" t="s">
        <v>4764</v>
      </c>
      <c r="C159" s="0" t="s">
        <v>4765</v>
      </c>
      <c r="D159" s="0" t="s">
        <v>2385</v>
      </c>
      <c r="E159" s="0" t="n">
        <v>43303</v>
      </c>
      <c r="F159" s="0" t="s">
        <v>2380</v>
      </c>
      <c r="G159" s="0" t="n">
        <v>21358568</v>
      </c>
      <c r="H159" s="0" t="n">
        <v>720191</v>
      </c>
      <c r="I159" s="0" t="s">
        <v>34</v>
      </c>
      <c r="J159" s="0" t="s">
        <v>174</v>
      </c>
      <c r="K159" s="0" t="s">
        <v>2405</v>
      </c>
      <c r="L159" s="0" t="n">
        <v>224160774</v>
      </c>
      <c r="M159" s="0" t="s">
        <v>1979</v>
      </c>
      <c r="N159" s="0" t="n">
        <v>103186910</v>
      </c>
      <c r="O159" s="0" t="n">
        <v>11856</v>
      </c>
      <c r="P159" s="0" t="n">
        <v>240.69</v>
      </c>
      <c r="Q159" s="0" t="e">
        <f aca="false">VLOOKUP(C159,[1]'Cost Correction'!$C$6:$AJ$6767,34,0)</f>
        <v>#N/A</v>
      </c>
    </row>
    <row r="160" customFormat="false" ht="15" hidden="false" customHeight="false" outlineLevel="0" collapsed="false">
      <c r="A160" s="0" t="e">
        <f aca="false">E160&amp;K160&amp;Q160</f>
        <v>#N/A</v>
      </c>
      <c r="B160" s="0" t="s">
        <v>4766</v>
      </c>
      <c r="C160" s="0" t="s">
        <v>4767</v>
      </c>
      <c r="D160" s="0" t="s">
        <v>2385</v>
      </c>
      <c r="E160" s="0" t="n">
        <v>43303</v>
      </c>
      <c r="F160" s="0" t="s">
        <v>2380</v>
      </c>
      <c r="G160" s="0" t="n">
        <v>21358568</v>
      </c>
      <c r="H160" s="0" t="n">
        <v>720191</v>
      </c>
      <c r="I160" s="0" t="s">
        <v>34</v>
      </c>
      <c r="J160" s="0" t="s">
        <v>174</v>
      </c>
      <c r="K160" s="0" t="s">
        <v>2433</v>
      </c>
      <c r="L160" s="0" t="n">
        <v>224160780</v>
      </c>
      <c r="M160" s="0" t="s">
        <v>1975</v>
      </c>
      <c r="N160" s="0" t="n">
        <v>103186904</v>
      </c>
      <c r="O160" s="0" t="n">
        <v>503</v>
      </c>
      <c r="P160" s="0" t="n">
        <v>8.35</v>
      </c>
      <c r="Q160" s="0" t="e">
        <f aca="false">VLOOKUP(C160,[1]'Cost Correction'!$C$6:$AJ$6767,34,0)</f>
        <v>#N/A</v>
      </c>
    </row>
    <row r="161" customFormat="false" ht="15" hidden="false" customHeight="false" outlineLevel="0" collapsed="false">
      <c r="A161" s="0" t="e">
        <f aca="false">E161&amp;K161&amp;Q161</f>
        <v>#N/A</v>
      </c>
      <c r="B161" s="0" t="s">
        <v>4768</v>
      </c>
      <c r="C161" s="0" t="s">
        <v>4769</v>
      </c>
      <c r="D161" s="0" t="s">
        <v>2385</v>
      </c>
      <c r="E161" s="0" t="n">
        <v>43303</v>
      </c>
      <c r="F161" s="0" t="s">
        <v>2380</v>
      </c>
      <c r="G161" s="0" t="n">
        <v>21358568</v>
      </c>
      <c r="H161" s="0" t="n">
        <v>720191</v>
      </c>
      <c r="I161" s="0" t="s">
        <v>34</v>
      </c>
      <c r="J161" s="0" t="s">
        <v>174</v>
      </c>
      <c r="K161" s="0" t="s">
        <v>2412</v>
      </c>
      <c r="L161" s="0" t="n">
        <v>224160777</v>
      </c>
      <c r="M161" s="0" t="s">
        <v>1977</v>
      </c>
      <c r="N161" s="0" t="n">
        <v>103048479</v>
      </c>
      <c r="O161" s="0" t="n">
        <v>1159</v>
      </c>
      <c r="P161" s="0" t="n">
        <v>22.98</v>
      </c>
      <c r="Q161" s="0" t="e">
        <f aca="false">VLOOKUP(C161,[1]'Cost Correction'!$C$6:$AJ$6767,34,0)</f>
        <v>#N/A</v>
      </c>
    </row>
    <row r="162" customFormat="false" ht="15" hidden="false" customHeight="false" outlineLevel="0" collapsed="false">
      <c r="A162" s="0" t="e">
        <f aca="false">E162&amp;K162&amp;Q162</f>
        <v>#N/A</v>
      </c>
      <c r="B162" s="0" t="s">
        <v>4770</v>
      </c>
      <c r="C162" s="0" t="s">
        <v>4771</v>
      </c>
      <c r="D162" s="0" t="s">
        <v>2385</v>
      </c>
      <c r="E162" s="0" t="n">
        <v>43304</v>
      </c>
      <c r="F162" s="0" t="s">
        <v>2380</v>
      </c>
      <c r="G162" s="0" t="n">
        <v>21358568</v>
      </c>
      <c r="H162" s="0" t="n">
        <v>720191</v>
      </c>
      <c r="I162" s="0" t="s">
        <v>34</v>
      </c>
      <c r="J162" s="0" t="s">
        <v>174</v>
      </c>
      <c r="K162" s="0" t="s">
        <v>2405</v>
      </c>
      <c r="L162" s="0" t="n">
        <v>224160774</v>
      </c>
      <c r="M162" s="0" t="s">
        <v>1979</v>
      </c>
      <c r="N162" s="0" t="n">
        <v>103186910</v>
      </c>
      <c r="O162" s="0" t="n">
        <v>9402</v>
      </c>
      <c r="P162" s="0" t="n">
        <v>201.96</v>
      </c>
      <c r="Q162" s="0" t="e">
        <f aca="false">VLOOKUP(C162,[1]'Cost Correction'!$C$6:$AJ$6767,34,0)</f>
        <v>#N/A</v>
      </c>
    </row>
    <row r="163" customFormat="false" ht="15" hidden="false" customHeight="false" outlineLevel="0" collapsed="false">
      <c r="A163" s="0" t="e">
        <f aca="false">E163&amp;K163&amp;Q163</f>
        <v>#N/A</v>
      </c>
      <c r="B163" s="0" t="s">
        <v>4772</v>
      </c>
      <c r="C163" s="0" t="s">
        <v>4773</v>
      </c>
      <c r="D163" s="0" t="s">
        <v>2385</v>
      </c>
      <c r="E163" s="0" t="n">
        <v>43304</v>
      </c>
      <c r="F163" s="0" t="s">
        <v>2380</v>
      </c>
      <c r="G163" s="0" t="n">
        <v>21358568</v>
      </c>
      <c r="H163" s="0" t="n">
        <v>720191</v>
      </c>
      <c r="I163" s="0" t="s">
        <v>34</v>
      </c>
      <c r="J163" s="0" t="s">
        <v>174</v>
      </c>
      <c r="K163" s="0" t="s">
        <v>2393</v>
      </c>
      <c r="O163" s="0" t="n">
        <v>3336</v>
      </c>
      <c r="P163" s="0" t="n">
        <v>48.7</v>
      </c>
      <c r="Q163" s="0" t="e">
        <f aca="false">VLOOKUP(C163,[1]'Cost Correction'!$C$6:$AJ$6767,34,0)</f>
        <v>#N/A</v>
      </c>
    </row>
    <row r="164" customFormat="false" ht="15" hidden="false" customHeight="false" outlineLevel="0" collapsed="false">
      <c r="A164" s="0" t="e">
        <f aca="false">E164&amp;K164&amp;Q164</f>
        <v>#N/A</v>
      </c>
      <c r="B164" s="0" t="s">
        <v>4772</v>
      </c>
      <c r="C164" s="0" t="s">
        <v>4774</v>
      </c>
      <c r="D164" s="0" t="s">
        <v>2385</v>
      </c>
      <c r="E164" s="0" t="n">
        <v>43304</v>
      </c>
      <c r="F164" s="0" t="s">
        <v>2380</v>
      </c>
      <c r="G164" s="0" t="n">
        <v>21358568</v>
      </c>
      <c r="H164" s="0" t="n">
        <v>720191</v>
      </c>
      <c r="I164" s="0" t="s">
        <v>34</v>
      </c>
      <c r="J164" s="0" t="s">
        <v>174</v>
      </c>
      <c r="K164" s="0" t="s">
        <v>2395</v>
      </c>
      <c r="O164" s="0" t="n">
        <v>7203</v>
      </c>
      <c r="P164" s="0" t="n">
        <v>99.86</v>
      </c>
      <c r="Q164" s="0" t="e">
        <f aca="false">VLOOKUP(C164,[1]'Cost Correction'!$C$6:$AJ$6767,34,0)</f>
        <v>#N/A</v>
      </c>
    </row>
    <row r="165" customFormat="false" ht="15" hidden="false" customHeight="false" outlineLevel="0" collapsed="false">
      <c r="A165" s="0" t="e">
        <f aca="false">E165&amp;K165&amp;Q165</f>
        <v>#N/A</v>
      </c>
      <c r="B165" s="0" t="s">
        <v>4772</v>
      </c>
      <c r="C165" s="0" t="s">
        <v>4775</v>
      </c>
      <c r="D165" s="0" t="s">
        <v>2385</v>
      </c>
      <c r="E165" s="0" t="n">
        <v>43304</v>
      </c>
      <c r="F165" s="0" t="s">
        <v>2380</v>
      </c>
      <c r="G165" s="0" t="n">
        <v>21358568</v>
      </c>
      <c r="H165" s="0" t="n">
        <v>720191</v>
      </c>
      <c r="I165" s="0" t="s">
        <v>34</v>
      </c>
      <c r="J165" s="0" t="s">
        <v>174</v>
      </c>
      <c r="K165" s="0" t="s">
        <v>2397</v>
      </c>
      <c r="O165" s="0" t="n">
        <v>13282</v>
      </c>
      <c r="P165" s="0" t="n">
        <v>188.7</v>
      </c>
      <c r="Q165" s="0" t="e">
        <f aca="false">VLOOKUP(C165,[1]'Cost Correction'!$C$6:$AJ$6767,34,0)</f>
        <v>#N/A</v>
      </c>
    </row>
    <row r="166" customFormat="false" ht="15" hidden="false" customHeight="false" outlineLevel="0" collapsed="false">
      <c r="A166" s="0" t="e">
        <f aca="false">E166&amp;K166&amp;Q166</f>
        <v>#N/A</v>
      </c>
      <c r="B166" s="0" t="s">
        <v>4776</v>
      </c>
      <c r="C166" s="0" t="s">
        <v>4777</v>
      </c>
      <c r="D166" s="0" t="s">
        <v>2385</v>
      </c>
      <c r="E166" s="0" t="n">
        <v>43304</v>
      </c>
      <c r="F166" s="0" t="s">
        <v>2380</v>
      </c>
      <c r="G166" s="0" t="n">
        <v>21358568</v>
      </c>
      <c r="H166" s="0" t="n">
        <v>720191</v>
      </c>
      <c r="I166" s="0" t="s">
        <v>34</v>
      </c>
      <c r="J166" s="0" t="s">
        <v>174</v>
      </c>
      <c r="K166" s="0" t="s">
        <v>2433</v>
      </c>
      <c r="L166" s="0" t="n">
        <v>224160780</v>
      </c>
      <c r="M166" s="0" t="s">
        <v>1975</v>
      </c>
      <c r="N166" s="0" t="n">
        <v>103186904</v>
      </c>
      <c r="O166" s="0" t="n">
        <v>536</v>
      </c>
      <c r="P166" s="0" t="n">
        <v>8.9</v>
      </c>
      <c r="Q166" s="0" t="e">
        <f aca="false">VLOOKUP(C166,[1]'Cost Correction'!$C$6:$AJ$6767,34,0)</f>
        <v>#N/A</v>
      </c>
    </row>
    <row r="167" customFormat="false" ht="15" hidden="false" customHeight="false" outlineLevel="0" collapsed="false">
      <c r="A167" s="0" t="e">
        <f aca="false">E167&amp;K167&amp;Q167</f>
        <v>#N/A</v>
      </c>
      <c r="B167" s="0" t="s">
        <v>4778</v>
      </c>
      <c r="C167" s="0" t="s">
        <v>4779</v>
      </c>
      <c r="D167" s="0" t="s">
        <v>2385</v>
      </c>
      <c r="E167" s="0" t="n">
        <v>43304</v>
      </c>
      <c r="F167" s="0" t="s">
        <v>2380</v>
      </c>
      <c r="G167" s="0" t="n">
        <v>21358568</v>
      </c>
      <c r="H167" s="0" t="n">
        <v>720191</v>
      </c>
      <c r="I167" s="0" t="s">
        <v>34</v>
      </c>
      <c r="J167" s="0" t="s">
        <v>174</v>
      </c>
      <c r="K167" s="0" t="s">
        <v>2401</v>
      </c>
      <c r="L167" s="0" t="n">
        <v>224160783</v>
      </c>
      <c r="M167" s="0" t="s">
        <v>1973</v>
      </c>
      <c r="N167" s="0" t="n">
        <v>103051614</v>
      </c>
      <c r="O167" s="0" t="n">
        <v>772</v>
      </c>
      <c r="P167" s="0" t="n">
        <v>12.63</v>
      </c>
      <c r="Q167" s="0" t="e">
        <f aca="false">VLOOKUP(C167,[1]'Cost Correction'!$C$6:$AJ$6767,34,0)</f>
        <v>#N/A</v>
      </c>
    </row>
    <row r="168" customFormat="false" ht="15" hidden="false" customHeight="false" outlineLevel="0" collapsed="false">
      <c r="A168" s="0" t="e">
        <f aca="false">E168&amp;K168&amp;Q168</f>
        <v>#N/A</v>
      </c>
      <c r="B168" s="0" t="s">
        <v>4780</v>
      </c>
      <c r="C168" s="0" t="s">
        <v>4781</v>
      </c>
      <c r="D168" s="0" t="s">
        <v>2385</v>
      </c>
      <c r="E168" s="0" t="n">
        <v>43304</v>
      </c>
      <c r="F168" s="0" t="s">
        <v>2380</v>
      </c>
      <c r="G168" s="0" t="n">
        <v>21358568</v>
      </c>
      <c r="H168" s="0" t="n">
        <v>720191</v>
      </c>
      <c r="I168" s="0" t="s">
        <v>34</v>
      </c>
      <c r="J168" s="0" t="s">
        <v>174</v>
      </c>
      <c r="K168" s="0" t="s">
        <v>2420</v>
      </c>
      <c r="L168" s="0" t="n">
        <v>224160771</v>
      </c>
      <c r="M168" s="0" t="s">
        <v>1981</v>
      </c>
      <c r="N168" s="0" t="n">
        <v>103048488</v>
      </c>
      <c r="O168" s="0" t="n">
        <v>2673</v>
      </c>
      <c r="P168" s="0" t="n">
        <v>41.92</v>
      </c>
      <c r="Q168" s="0" t="e">
        <f aca="false">VLOOKUP(C168,[1]'Cost Correction'!$C$6:$AJ$6767,34,0)</f>
        <v>#N/A</v>
      </c>
    </row>
    <row r="169" customFormat="false" ht="15" hidden="false" customHeight="false" outlineLevel="0" collapsed="false">
      <c r="A169" s="0" t="e">
        <f aca="false">E169&amp;K169&amp;Q169</f>
        <v>#N/A</v>
      </c>
      <c r="B169" s="0" t="s">
        <v>4782</v>
      </c>
      <c r="C169" s="0" t="s">
        <v>4783</v>
      </c>
      <c r="D169" s="0" t="s">
        <v>2385</v>
      </c>
      <c r="E169" s="0" t="n">
        <v>43304</v>
      </c>
      <c r="F169" s="0" t="s">
        <v>2380</v>
      </c>
      <c r="G169" s="0" t="n">
        <v>21358568</v>
      </c>
      <c r="H169" s="0" t="n">
        <v>720191</v>
      </c>
      <c r="I169" s="0" t="s">
        <v>34</v>
      </c>
      <c r="J169" s="0" t="s">
        <v>174</v>
      </c>
      <c r="K169" s="0" t="s">
        <v>2412</v>
      </c>
      <c r="L169" s="0" t="n">
        <v>224160777</v>
      </c>
      <c r="M169" s="0" t="s">
        <v>1977</v>
      </c>
      <c r="N169" s="0" t="n">
        <v>103048479</v>
      </c>
      <c r="O169" s="0" t="n">
        <v>1016</v>
      </c>
      <c r="P169" s="0" t="n">
        <v>19.16</v>
      </c>
      <c r="Q169" s="0" t="e">
        <f aca="false">VLOOKUP(C169,[1]'Cost Correction'!$C$6:$AJ$6767,34,0)</f>
        <v>#N/A</v>
      </c>
    </row>
    <row r="170" customFormat="false" ht="15" hidden="false" customHeight="false" outlineLevel="0" collapsed="false">
      <c r="A170" s="0" t="e">
        <f aca="false">E170&amp;K170&amp;Q170</f>
        <v>#N/A</v>
      </c>
      <c r="B170" s="0" t="s">
        <v>4784</v>
      </c>
      <c r="C170" s="0" t="s">
        <v>4785</v>
      </c>
      <c r="D170" s="0" t="s">
        <v>2385</v>
      </c>
      <c r="E170" s="0" t="n">
        <v>43305</v>
      </c>
      <c r="F170" s="0" t="s">
        <v>2380</v>
      </c>
      <c r="G170" s="0" t="n">
        <v>21358568</v>
      </c>
      <c r="H170" s="0" t="n">
        <v>720191</v>
      </c>
      <c r="I170" s="0" t="s">
        <v>34</v>
      </c>
      <c r="J170" s="0" t="s">
        <v>174</v>
      </c>
      <c r="K170" s="0" t="s">
        <v>2405</v>
      </c>
      <c r="L170" s="0" t="n">
        <v>224160774</v>
      </c>
      <c r="M170" s="0" t="s">
        <v>1979</v>
      </c>
      <c r="N170" s="0" t="n">
        <v>103186910</v>
      </c>
      <c r="O170" s="0" t="n">
        <v>11045</v>
      </c>
      <c r="P170" s="0" t="n">
        <v>214.1</v>
      </c>
      <c r="Q170" s="0" t="e">
        <f aca="false">VLOOKUP(C170,[1]'Cost Correction'!$C$6:$AJ$6767,34,0)</f>
        <v>#N/A</v>
      </c>
    </row>
    <row r="171" customFormat="false" ht="15" hidden="false" customHeight="false" outlineLevel="0" collapsed="false">
      <c r="A171" s="0" t="e">
        <f aca="false">E171&amp;K171&amp;Q171</f>
        <v>#N/A</v>
      </c>
      <c r="B171" s="0" t="s">
        <v>4786</v>
      </c>
      <c r="C171" s="0" t="s">
        <v>4787</v>
      </c>
      <c r="D171" s="0" t="s">
        <v>2385</v>
      </c>
      <c r="E171" s="0" t="n">
        <v>43305</v>
      </c>
      <c r="F171" s="0" t="s">
        <v>2380</v>
      </c>
      <c r="G171" s="0" t="n">
        <v>21358568</v>
      </c>
      <c r="H171" s="0" t="n">
        <v>720191</v>
      </c>
      <c r="I171" s="0" t="s">
        <v>34</v>
      </c>
      <c r="J171" s="0" t="s">
        <v>174</v>
      </c>
      <c r="K171" s="0" t="s">
        <v>2397</v>
      </c>
      <c r="O171" s="0" t="n">
        <v>8516</v>
      </c>
      <c r="P171" s="0" t="n">
        <v>125.13</v>
      </c>
      <c r="Q171" s="0" t="e">
        <f aca="false">VLOOKUP(C171,[1]'Cost Correction'!$C$6:$AJ$6767,34,0)</f>
        <v>#N/A</v>
      </c>
    </row>
    <row r="172" customFormat="false" ht="15" hidden="false" customHeight="false" outlineLevel="0" collapsed="false">
      <c r="A172" s="0" t="e">
        <f aca="false">E172&amp;K172&amp;Q172</f>
        <v>#N/A</v>
      </c>
      <c r="B172" s="0" t="s">
        <v>4786</v>
      </c>
      <c r="C172" s="0" t="s">
        <v>4788</v>
      </c>
      <c r="D172" s="0" t="s">
        <v>2385</v>
      </c>
      <c r="E172" s="0" t="n">
        <v>43305</v>
      </c>
      <c r="F172" s="0" t="s">
        <v>2380</v>
      </c>
      <c r="G172" s="0" t="n">
        <v>21358568</v>
      </c>
      <c r="H172" s="0" t="n">
        <v>720191</v>
      </c>
      <c r="I172" s="0" t="s">
        <v>34</v>
      </c>
      <c r="J172" s="0" t="s">
        <v>174</v>
      </c>
      <c r="K172" s="0" t="s">
        <v>2393</v>
      </c>
      <c r="O172" s="0" t="n">
        <v>2388</v>
      </c>
      <c r="P172" s="0" t="n">
        <v>36.83</v>
      </c>
      <c r="Q172" s="0" t="e">
        <f aca="false">VLOOKUP(C172,[1]'Cost Correction'!$C$6:$AJ$6767,34,0)</f>
        <v>#N/A</v>
      </c>
    </row>
    <row r="173" customFormat="false" ht="15" hidden="false" customHeight="false" outlineLevel="0" collapsed="false">
      <c r="A173" s="0" t="e">
        <f aca="false">E173&amp;K173&amp;Q173</f>
        <v>#N/A</v>
      </c>
      <c r="B173" s="0" t="s">
        <v>4786</v>
      </c>
      <c r="C173" s="0" t="s">
        <v>4789</v>
      </c>
      <c r="D173" s="0" t="s">
        <v>2385</v>
      </c>
      <c r="E173" s="0" t="n">
        <v>43305</v>
      </c>
      <c r="F173" s="0" t="s">
        <v>2380</v>
      </c>
      <c r="G173" s="0" t="n">
        <v>21358568</v>
      </c>
      <c r="H173" s="0" t="n">
        <v>720191</v>
      </c>
      <c r="I173" s="0" t="s">
        <v>34</v>
      </c>
      <c r="J173" s="0" t="s">
        <v>174</v>
      </c>
      <c r="K173" s="0" t="s">
        <v>2395</v>
      </c>
      <c r="O173" s="0" t="n">
        <v>13890</v>
      </c>
      <c r="P173" s="0" t="n">
        <v>208.47</v>
      </c>
      <c r="Q173" s="0" t="e">
        <f aca="false">VLOOKUP(C173,[1]'Cost Correction'!$C$6:$AJ$6767,34,0)</f>
        <v>#N/A</v>
      </c>
    </row>
    <row r="174" customFormat="false" ht="15" hidden="false" customHeight="false" outlineLevel="0" collapsed="false">
      <c r="A174" s="0" t="e">
        <f aca="false">E174&amp;K174&amp;Q174</f>
        <v>#N/A</v>
      </c>
      <c r="B174" s="0" t="s">
        <v>4790</v>
      </c>
      <c r="C174" s="0" t="s">
        <v>4791</v>
      </c>
      <c r="D174" s="0" t="s">
        <v>2385</v>
      </c>
      <c r="E174" s="0" t="n">
        <v>43305</v>
      </c>
      <c r="F174" s="0" t="s">
        <v>2380</v>
      </c>
      <c r="G174" s="0" t="n">
        <v>21358568</v>
      </c>
      <c r="H174" s="0" t="n">
        <v>720191</v>
      </c>
      <c r="I174" s="0" t="s">
        <v>34</v>
      </c>
      <c r="J174" s="0" t="s">
        <v>174</v>
      </c>
      <c r="K174" s="0" t="s">
        <v>2420</v>
      </c>
      <c r="L174" s="0" t="n">
        <v>224160771</v>
      </c>
      <c r="M174" s="0" t="s">
        <v>1981</v>
      </c>
      <c r="N174" s="0" t="n">
        <v>103048488</v>
      </c>
      <c r="O174" s="0" t="n">
        <v>2591</v>
      </c>
      <c r="P174" s="0" t="n">
        <v>42.79</v>
      </c>
      <c r="Q174" s="0" t="e">
        <f aca="false">VLOOKUP(C174,[1]'Cost Correction'!$C$6:$AJ$6767,34,0)</f>
        <v>#N/A</v>
      </c>
    </row>
    <row r="175" customFormat="false" ht="15" hidden="false" customHeight="false" outlineLevel="0" collapsed="false">
      <c r="A175" s="0" t="e">
        <f aca="false">E175&amp;K175&amp;Q175</f>
        <v>#N/A</v>
      </c>
      <c r="B175" s="0" t="s">
        <v>4792</v>
      </c>
      <c r="C175" s="0" t="s">
        <v>4793</v>
      </c>
      <c r="D175" s="0" t="s">
        <v>2385</v>
      </c>
      <c r="E175" s="0" t="n">
        <v>43305</v>
      </c>
      <c r="F175" s="0" t="s">
        <v>2380</v>
      </c>
      <c r="G175" s="0" t="n">
        <v>21358568</v>
      </c>
      <c r="H175" s="0" t="n">
        <v>720191</v>
      </c>
      <c r="I175" s="0" t="s">
        <v>34</v>
      </c>
      <c r="J175" s="0" t="s">
        <v>174</v>
      </c>
      <c r="K175" s="0" t="s">
        <v>2412</v>
      </c>
      <c r="L175" s="0" t="n">
        <v>224160777</v>
      </c>
      <c r="M175" s="0" t="s">
        <v>1977</v>
      </c>
      <c r="N175" s="0" t="n">
        <v>103048479</v>
      </c>
      <c r="O175" s="0" t="n">
        <v>957</v>
      </c>
      <c r="P175" s="0" t="n">
        <v>22.31</v>
      </c>
      <c r="Q175" s="0" t="e">
        <f aca="false">VLOOKUP(C175,[1]'Cost Correction'!$C$6:$AJ$6767,34,0)</f>
        <v>#N/A</v>
      </c>
    </row>
    <row r="176" customFormat="false" ht="15" hidden="false" customHeight="false" outlineLevel="0" collapsed="false">
      <c r="A176" s="0" t="e">
        <f aca="false">E176&amp;K176&amp;Q176</f>
        <v>#N/A</v>
      </c>
      <c r="B176" s="0" t="s">
        <v>4794</v>
      </c>
      <c r="C176" s="0" t="s">
        <v>4795</v>
      </c>
      <c r="D176" s="0" t="s">
        <v>2385</v>
      </c>
      <c r="E176" s="0" t="n">
        <v>43305</v>
      </c>
      <c r="F176" s="0" t="s">
        <v>2380</v>
      </c>
      <c r="G176" s="0" t="n">
        <v>21358568</v>
      </c>
      <c r="H176" s="0" t="n">
        <v>720191</v>
      </c>
      <c r="I176" s="0" t="s">
        <v>34</v>
      </c>
      <c r="J176" s="0" t="s">
        <v>174</v>
      </c>
      <c r="K176" s="0" t="s">
        <v>2401</v>
      </c>
      <c r="L176" s="0" t="n">
        <v>224160783</v>
      </c>
      <c r="M176" s="0" t="s">
        <v>1973</v>
      </c>
      <c r="N176" s="0" t="n">
        <v>103051614</v>
      </c>
      <c r="O176" s="0" t="n">
        <v>1754</v>
      </c>
      <c r="P176" s="0" t="n">
        <v>27.24</v>
      </c>
      <c r="Q176" s="0" t="e">
        <f aca="false">VLOOKUP(C176,[1]'Cost Correction'!$C$6:$AJ$6767,34,0)</f>
        <v>#N/A</v>
      </c>
    </row>
    <row r="177" customFormat="false" ht="15" hidden="false" customHeight="false" outlineLevel="0" collapsed="false">
      <c r="A177" s="0" t="e">
        <f aca="false">E177&amp;K177&amp;Q177</f>
        <v>#N/A</v>
      </c>
      <c r="B177" s="0" t="s">
        <v>4796</v>
      </c>
      <c r="C177" s="0" t="s">
        <v>4797</v>
      </c>
      <c r="D177" s="0" t="s">
        <v>2385</v>
      </c>
      <c r="E177" s="0" t="n">
        <v>43305</v>
      </c>
      <c r="F177" s="0" t="s">
        <v>2380</v>
      </c>
      <c r="G177" s="0" t="n">
        <v>21358568</v>
      </c>
      <c r="H177" s="0" t="n">
        <v>720191</v>
      </c>
      <c r="I177" s="0" t="s">
        <v>34</v>
      </c>
      <c r="J177" s="0" t="s">
        <v>174</v>
      </c>
      <c r="K177" s="0" t="s">
        <v>2433</v>
      </c>
      <c r="L177" s="0" t="n">
        <v>224160780</v>
      </c>
      <c r="M177" s="0" t="s">
        <v>1975</v>
      </c>
      <c r="N177" s="0" t="n">
        <v>103186904</v>
      </c>
      <c r="O177" s="0" t="n">
        <v>446</v>
      </c>
      <c r="P177" s="0" t="n">
        <v>6.89</v>
      </c>
      <c r="Q177" s="0" t="e">
        <f aca="false">VLOOKUP(C177,[1]'Cost Correction'!$C$6:$AJ$6767,34,0)</f>
        <v>#N/A</v>
      </c>
    </row>
    <row r="178" customFormat="false" ht="15" hidden="false" customHeight="false" outlineLevel="0" collapsed="false">
      <c r="A178" s="0" t="e">
        <f aca="false">E178&amp;K178&amp;Q178</f>
        <v>#N/A</v>
      </c>
      <c r="B178" s="0" t="s">
        <v>4798</v>
      </c>
      <c r="C178" s="0" t="s">
        <v>4799</v>
      </c>
      <c r="D178" s="0" t="s">
        <v>2385</v>
      </c>
      <c r="E178" s="0" t="n">
        <v>43306</v>
      </c>
      <c r="F178" s="0" t="s">
        <v>2380</v>
      </c>
      <c r="G178" s="0" t="n">
        <v>21358568</v>
      </c>
      <c r="H178" s="0" t="n">
        <v>720191</v>
      </c>
      <c r="I178" s="0" t="s">
        <v>34</v>
      </c>
      <c r="J178" s="0" t="s">
        <v>174</v>
      </c>
      <c r="K178" s="0" t="s">
        <v>2420</v>
      </c>
      <c r="L178" s="0" t="n">
        <v>224160771</v>
      </c>
      <c r="M178" s="0" t="s">
        <v>1981</v>
      </c>
      <c r="N178" s="0" t="n">
        <v>103048488</v>
      </c>
      <c r="O178" s="0" t="n">
        <v>2054</v>
      </c>
      <c r="P178" s="0" t="n">
        <v>38.59</v>
      </c>
      <c r="Q178" s="0" t="e">
        <f aca="false">VLOOKUP(C178,[1]'Cost Correction'!$C$6:$AJ$6767,34,0)</f>
        <v>#N/A</v>
      </c>
    </row>
    <row r="179" customFormat="false" ht="15" hidden="false" customHeight="false" outlineLevel="0" collapsed="false">
      <c r="A179" s="0" t="e">
        <f aca="false">E179&amp;K179&amp;Q179</f>
        <v>#N/A</v>
      </c>
      <c r="B179" s="0" t="s">
        <v>4800</v>
      </c>
      <c r="C179" s="0" t="s">
        <v>4801</v>
      </c>
      <c r="D179" s="0" t="s">
        <v>2385</v>
      </c>
      <c r="E179" s="0" t="n">
        <v>43306</v>
      </c>
      <c r="F179" s="0" t="s">
        <v>2380</v>
      </c>
      <c r="G179" s="0" t="n">
        <v>21358568</v>
      </c>
      <c r="H179" s="0" t="n">
        <v>720191</v>
      </c>
      <c r="I179" s="0" t="s">
        <v>34</v>
      </c>
      <c r="J179" s="0" t="s">
        <v>174</v>
      </c>
      <c r="K179" s="0" t="s">
        <v>2393</v>
      </c>
      <c r="O179" s="0" t="n">
        <v>3373</v>
      </c>
      <c r="P179" s="0" t="n">
        <v>53.27</v>
      </c>
      <c r="Q179" s="0" t="e">
        <f aca="false">VLOOKUP(C179,[1]'Cost Correction'!$C$6:$AJ$6767,34,0)</f>
        <v>#N/A</v>
      </c>
    </row>
    <row r="180" customFormat="false" ht="15" hidden="false" customHeight="false" outlineLevel="0" collapsed="false">
      <c r="A180" s="0" t="e">
        <f aca="false">E180&amp;K180&amp;Q180</f>
        <v>#N/A</v>
      </c>
      <c r="B180" s="0" t="s">
        <v>4800</v>
      </c>
      <c r="C180" s="0" t="s">
        <v>4802</v>
      </c>
      <c r="D180" s="0" t="s">
        <v>2385</v>
      </c>
      <c r="E180" s="0" t="n">
        <v>43306</v>
      </c>
      <c r="F180" s="0" t="s">
        <v>2380</v>
      </c>
      <c r="G180" s="0" t="n">
        <v>21358568</v>
      </c>
      <c r="H180" s="0" t="n">
        <v>720191</v>
      </c>
      <c r="I180" s="0" t="s">
        <v>34</v>
      </c>
      <c r="J180" s="0" t="s">
        <v>174</v>
      </c>
      <c r="K180" s="0" t="s">
        <v>2397</v>
      </c>
      <c r="O180" s="0" t="n">
        <v>1553</v>
      </c>
      <c r="P180" s="0" t="n">
        <v>28.53</v>
      </c>
      <c r="Q180" s="0" t="e">
        <f aca="false">VLOOKUP(C180,[1]'Cost Correction'!$C$6:$AJ$6767,34,0)</f>
        <v>#N/A</v>
      </c>
    </row>
    <row r="181" customFormat="false" ht="15" hidden="false" customHeight="false" outlineLevel="0" collapsed="false">
      <c r="A181" s="0" t="e">
        <f aca="false">E181&amp;K181&amp;Q181</f>
        <v>#N/A</v>
      </c>
      <c r="B181" s="0" t="s">
        <v>4800</v>
      </c>
      <c r="C181" s="0" t="s">
        <v>4803</v>
      </c>
      <c r="D181" s="0" t="s">
        <v>2385</v>
      </c>
      <c r="E181" s="0" t="n">
        <v>43306</v>
      </c>
      <c r="F181" s="0" t="s">
        <v>2380</v>
      </c>
      <c r="G181" s="0" t="n">
        <v>21358568</v>
      </c>
      <c r="H181" s="0" t="n">
        <v>720191</v>
      </c>
      <c r="I181" s="0" t="s">
        <v>34</v>
      </c>
      <c r="J181" s="0" t="s">
        <v>174</v>
      </c>
      <c r="K181" s="0" t="s">
        <v>2395</v>
      </c>
      <c r="O181" s="0" t="n">
        <v>16503</v>
      </c>
      <c r="P181" s="0" t="n">
        <v>275.2</v>
      </c>
      <c r="Q181" s="0" t="e">
        <f aca="false">VLOOKUP(C181,[1]'Cost Correction'!$C$6:$AJ$6767,34,0)</f>
        <v>#N/A</v>
      </c>
    </row>
    <row r="182" customFormat="false" ht="15" hidden="false" customHeight="false" outlineLevel="0" collapsed="false">
      <c r="A182" s="0" t="e">
        <f aca="false">E182&amp;K182&amp;Q182</f>
        <v>#N/A</v>
      </c>
      <c r="B182" s="0" t="s">
        <v>4804</v>
      </c>
      <c r="C182" s="0" t="s">
        <v>4805</v>
      </c>
      <c r="D182" s="0" t="s">
        <v>2385</v>
      </c>
      <c r="E182" s="0" t="n">
        <v>43306</v>
      </c>
      <c r="F182" s="0" t="s">
        <v>2380</v>
      </c>
      <c r="G182" s="0" t="n">
        <v>21358568</v>
      </c>
      <c r="H182" s="0" t="n">
        <v>720191</v>
      </c>
      <c r="I182" s="0" t="s">
        <v>34</v>
      </c>
      <c r="J182" s="0" t="s">
        <v>174</v>
      </c>
      <c r="K182" s="0" t="s">
        <v>2405</v>
      </c>
      <c r="L182" s="0" t="n">
        <v>224160774</v>
      </c>
      <c r="M182" s="0" t="s">
        <v>1979</v>
      </c>
      <c r="N182" s="0" t="n">
        <v>103186910</v>
      </c>
      <c r="O182" s="0" t="n">
        <v>10367</v>
      </c>
      <c r="P182" s="0" t="n">
        <v>225.96</v>
      </c>
      <c r="Q182" s="0" t="e">
        <f aca="false">VLOOKUP(C182,[1]'Cost Correction'!$C$6:$AJ$6767,34,0)</f>
        <v>#N/A</v>
      </c>
    </row>
    <row r="183" customFormat="false" ht="15" hidden="false" customHeight="false" outlineLevel="0" collapsed="false">
      <c r="A183" s="0" t="e">
        <f aca="false">E183&amp;K183&amp;Q183</f>
        <v>#N/A</v>
      </c>
      <c r="B183" s="0" t="s">
        <v>4806</v>
      </c>
      <c r="C183" s="0" t="s">
        <v>4807</v>
      </c>
      <c r="D183" s="0" t="s">
        <v>2385</v>
      </c>
      <c r="E183" s="0" t="n">
        <v>43306</v>
      </c>
      <c r="F183" s="0" t="s">
        <v>2380</v>
      </c>
      <c r="G183" s="0" t="n">
        <v>21358568</v>
      </c>
      <c r="H183" s="0" t="n">
        <v>720191</v>
      </c>
      <c r="I183" s="0" t="s">
        <v>34</v>
      </c>
      <c r="J183" s="0" t="s">
        <v>174</v>
      </c>
      <c r="K183" s="0" t="s">
        <v>2412</v>
      </c>
      <c r="L183" s="0" t="n">
        <v>224160777</v>
      </c>
      <c r="M183" s="0" t="s">
        <v>1977</v>
      </c>
      <c r="N183" s="0" t="n">
        <v>103048479</v>
      </c>
      <c r="O183" s="0" t="n">
        <v>942</v>
      </c>
      <c r="P183" s="0" t="n">
        <v>20.82</v>
      </c>
      <c r="Q183" s="0" t="e">
        <f aca="false">VLOOKUP(C183,[1]'Cost Correction'!$C$6:$AJ$6767,34,0)</f>
        <v>#N/A</v>
      </c>
    </row>
    <row r="184" customFormat="false" ht="15" hidden="false" customHeight="false" outlineLevel="0" collapsed="false">
      <c r="A184" s="0" t="e">
        <f aca="false">E184&amp;K184&amp;Q184</f>
        <v>#N/A</v>
      </c>
      <c r="B184" s="0" t="s">
        <v>4808</v>
      </c>
      <c r="C184" s="0" t="s">
        <v>4809</v>
      </c>
      <c r="D184" s="0" t="s">
        <v>2385</v>
      </c>
      <c r="E184" s="0" t="n">
        <v>43306</v>
      </c>
      <c r="F184" s="0" t="s">
        <v>2380</v>
      </c>
      <c r="G184" s="0" t="n">
        <v>21358568</v>
      </c>
      <c r="H184" s="0" t="n">
        <v>720191</v>
      </c>
      <c r="I184" s="0" t="s">
        <v>34</v>
      </c>
      <c r="J184" s="0" t="s">
        <v>174</v>
      </c>
      <c r="K184" s="0" t="s">
        <v>2433</v>
      </c>
      <c r="L184" s="0" t="n">
        <v>224160780</v>
      </c>
      <c r="M184" s="0" t="s">
        <v>1975</v>
      </c>
      <c r="N184" s="0" t="n">
        <v>103186904</v>
      </c>
      <c r="O184" s="0" t="n">
        <v>883</v>
      </c>
      <c r="P184" s="0" t="n">
        <v>12.47</v>
      </c>
      <c r="Q184" s="0" t="e">
        <f aca="false">VLOOKUP(C184,[1]'Cost Correction'!$C$6:$AJ$6767,34,0)</f>
        <v>#N/A</v>
      </c>
    </row>
    <row r="185" customFormat="false" ht="15" hidden="false" customHeight="false" outlineLevel="0" collapsed="false">
      <c r="A185" s="0" t="e">
        <f aca="false">E185&amp;K185&amp;Q185</f>
        <v>#N/A</v>
      </c>
      <c r="B185" s="0" t="s">
        <v>4810</v>
      </c>
      <c r="C185" s="0" t="s">
        <v>4811</v>
      </c>
      <c r="D185" s="0" t="s">
        <v>2385</v>
      </c>
      <c r="E185" s="0" t="n">
        <v>43306</v>
      </c>
      <c r="F185" s="0" t="s">
        <v>2380</v>
      </c>
      <c r="G185" s="0" t="n">
        <v>21358568</v>
      </c>
      <c r="H185" s="0" t="n">
        <v>720191</v>
      </c>
      <c r="I185" s="0" t="s">
        <v>34</v>
      </c>
      <c r="J185" s="0" t="s">
        <v>174</v>
      </c>
      <c r="K185" s="0" t="s">
        <v>2401</v>
      </c>
      <c r="L185" s="0" t="n">
        <v>224160783</v>
      </c>
      <c r="M185" s="0" t="s">
        <v>1973</v>
      </c>
      <c r="N185" s="0" t="n">
        <v>103051614</v>
      </c>
      <c r="O185" s="0" t="n">
        <v>1852</v>
      </c>
      <c r="P185" s="0" t="n">
        <v>28.2</v>
      </c>
      <c r="Q185" s="0" t="e">
        <f aca="false">VLOOKUP(C185,[1]'Cost Correction'!$C$6:$AJ$6767,34,0)</f>
        <v>#N/A</v>
      </c>
    </row>
    <row r="186" customFormat="false" ht="15" hidden="false" customHeight="false" outlineLevel="0" collapsed="false">
      <c r="A186" s="0" t="e">
        <f aca="false">E186&amp;K186&amp;Q186</f>
        <v>#N/A</v>
      </c>
      <c r="B186" s="0" t="s">
        <v>4812</v>
      </c>
      <c r="C186" s="0" t="s">
        <v>4813</v>
      </c>
      <c r="D186" s="0" t="s">
        <v>2385</v>
      </c>
      <c r="E186" s="0" t="n">
        <v>43307</v>
      </c>
      <c r="F186" s="0" t="s">
        <v>2380</v>
      </c>
      <c r="G186" s="0" t="n">
        <v>21358568</v>
      </c>
      <c r="H186" s="0" t="n">
        <v>720191</v>
      </c>
      <c r="I186" s="0" t="s">
        <v>34</v>
      </c>
      <c r="J186" s="0" t="s">
        <v>174</v>
      </c>
      <c r="K186" s="0" t="s">
        <v>2401</v>
      </c>
      <c r="L186" s="0" t="n">
        <v>224160783</v>
      </c>
      <c r="M186" s="0" t="s">
        <v>1973</v>
      </c>
      <c r="N186" s="0" t="n">
        <v>103051614</v>
      </c>
      <c r="O186" s="0" t="n">
        <v>1934</v>
      </c>
      <c r="P186" s="0" t="n">
        <v>35.14</v>
      </c>
      <c r="Q186" s="0" t="e">
        <f aca="false">VLOOKUP(C186,[1]'Cost Correction'!$C$6:$AJ$6767,34,0)</f>
        <v>#N/A</v>
      </c>
    </row>
    <row r="187" customFormat="false" ht="15" hidden="false" customHeight="false" outlineLevel="0" collapsed="false">
      <c r="A187" s="0" t="e">
        <f aca="false">E187&amp;K187&amp;Q187</f>
        <v>#N/A</v>
      </c>
      <c r="B187" s="0" t="s">
        <v>4814</v>
      </c>
      <c r="C187" s="0" t="s">
        <v>4815</v>
      </c>
      <c r="D187" s="0" t="s">
        <v>2385</v>
      </c>
      <c r="E187" s="0" t="n">
        <v>43307</v>
      </c>
      <c r="F187" s="0" t="s">
        <v>2380</v>
      </c>
      <c r="G187" s="0" t="n">
        <v>21358568</v>
      </c>
      <c r="H187" s="0" t="n">
        <v>720191</v>
      </c>
      <c r="I187" s="0" t="s">
        <v>34</v>
      </c>
      <c r="J187" s="0" t="s">
        <v>174</v>
      </c>
      <c r="K187" s="0" t="s">
        <v>2420</v>
      </c>
      <c r="L187" s="0" t="n">
        <v>224160771</v>
      </c>
      <c r="M187" s="0" t="s">
        <v>1981</v>
      </c>
      <c r="N187" s="0" t="n">
        <v>103048488</v>
      </c>
      <c r="O187" s="0" t="n">
        <v>1680</v>
      </c>
      <c r="P187" s="0" t="n">
        <v>32.78</v>
      </c>
      <c r="Q187" s="0" t="e">
        <f aca="false">VLOOKUP(C187,[1]'Cost Correction'!$C$6:$AJ$6767,34,0)</f>
        <v>#N/A</v>
      </c>
    </row>
    <row r="188" customFormat="false" ht="15" hidden="false" customHeight="false" outlineLevel="0" collapsed="false">
      <c r="A188" s="0" t="e">
        <f aca="false">E188&amp;K188&amp;Q188</f>
        <v>#N/A</v>
      </c>
      <c r="B188" s="0" t="s">
        <v>4816</v>
      </c>
      <c r="C188" s="0" t="s">
        <v>4817</v>
      </c>
      <c r="D188" s="0" t="s">
        <v>2385</v>
      </c>
      <c r="E188" s="0" t="n">
        <v>43307</v>
      </c>
      <c r="F188" s="0" t="s">
        <v>2380</v>
      </c>
      <c r="G188" s="0" t="n">
        <v>21358568</v>
      </c>
      <c r="H188" s="0" t="n">
        <v>720191</v>
      </c>
      <c r="I188" s="0" t="s">
        <v>34</v>
      </c>
      <c r="J188" s="0" t="s">
        <v>174</v>
      </c>
      <c r="K188" s="0" t="s">
        <v>2397</v>
      </c>
      <c r="O188" s="0" t="n">
        <v>2365</v>
      </c>
      <c r="P188" s="0" t="n">
        <v>48.63</v>
      </c>
      <c r="Q188" s="0" t="e">
        <f aca="false">VLOOKUP(C188,[1]'Cost Correction'!$C$6:$AJ$6767,34,0)</f>
        <v>#N/A</v>
      </c>
    </row>
    <row r="189" customFormat="false" ht="15" hidden="false" customHeight="false" outlineLevel="0" collapsed="false">
      <c r="A189" s="0" t="e">
        <f aca="false">E189&amp;K189&amp;Q189</f>
        <v>#N/A</v>
      </c>
      <c r="B189" s="0" t="s">
        <v>4816</v>
      </c>
      <c r="C189" s="0" t="s">
        <v>4818</v>
      </c>
      <c r="D189" s="0" t="s">
        <v>2385</v>
      </c>
      <c r="E189" s="0" t="n">
        <v>43307</v>
      </c>
      <c r="F189" s="0" t="s">
        <v>2380</v>
      </c>
      <c r="G189" s="0" t="n">
        <v>21358568</v>
      </c>
      <c r="H189" s="0" t="n">
        <v>720191</v>
      </c>
      <c r="I189" s="0" t="s">
        <v>34</v>
      </c>
      <c r="J189" s="0" t="s">
        <v>174</v>
      </c>
      <c r="K189" s="0" t="s">
        <v>2395</v>
      </c>
      <c r="O189" s="0" t="n">
        <v>9567</v>
      </c>
      <c r="P189" s="0" t="n">
        <v>192.54</v>
      </c>
      <c r="Q189" s="0" t="e">
        <f aca="false">VLOOKUP(C189,[1]'Cost Correction'!$C$6:$AJ$6767,34,0)</f>
        <v>#N/A</v>
      </c>
    </row>
    <row r="190" customFormat="false" ht="15" hidden="false" customHeight="false" outlineLevel="0" collapsed="false">
      <c r="A190" s="0" t="e">
        <f aca="false">E190&amp;K190&amp;Q190</f>
        <v>#N/A</v>
      </c>
      <c r="B190" s="0" t="s">
        <v>4816</v>
      </c>
      <c r="C190" s="0" t="s">
        <v>4819</v>
      </c>
      <c r="D190" s="0" t="s">
        <v>2385</v>
      </c>
      <c r="E190" s="0" t="n">
        <v>43307</v>
      </c>
      <c r="F190" s="0" t="s">
        <v>2380</v>
      </c>
      <c r="G190" s="0" t="n">
        <v>21358568</v>
      </c>
      <c r="H190" s="0" t="n">
        <v>720191</v>
      </c>
      <c r="I190" s="0" t="s">
        <v>34</v>
      </c>
      <c r="J190" s="0" t="s">
        <v>174</v>
      </c>
      <c r="K190" s="0" t="s">
        <v>2393</v>
      </c>
      <c r="O190" s="0" t="n">
        <v>5430</v>
      </c>
      <c r="P190" s="0" t="n">
        <v>84.11</v>
      </c>
      <c r="Q190" s="0" t="e">
        <f aca="false">VLOOKUP(C190,[1]'Cost Correction'!$C$6:$AJ$6767,34,0)</f>
        <v>#N/A</v>
      </c>
    </row>
    <row r="191" customFormat="false" ht="15" hidden="false" customHeight="false" outlineLevel="0" collapsed="false">
      <c r="A191" s="0" t="e">
        <f aca="false">E191&amp;K191&amp;Q191</f>
        <v>#N/A</v>
      </c>
      <c r="B191" s="0" t="s">
        <v>4820</v>
      </c>
      <c r="C191" s="0" t="s">
        <v>4821</v>
      </c>
      <c r="D191" s="0" t="s">
        <v>2385</v>
      </c>
      <c r="E191" s="0" t="n">
        <v>43307</v>
      </c>
      <c r="F191" s="0" t="s">
        <v>2380</v>
      </c>
      <c r="G191" s="0" t="n">
        <v>21358568</v>
      </c>
      <c r="H191" s="0" t="n">
        <v>720191</v>
      </c>
      <c r="I191" s="0" t="s">
        <v>34</v>
      </c>
      <c r="J191" s="0" t="s">
        <v>174</v>
      </c>
      <c r="K191" s="0" t="s">
        <v>2405</v>
      </c>
      <c r="L191" s="0" t="n">
        <v>224160774</v>
      </c>
      <c r="M191" s="0" t="s">
        <v>1979</v>
      </c>
      <c r="N191" s="0" t="n">
        <v>103186910</v>
      </c>
      <c r="O191" s="0" t="n">
        <v>8337</v>
      </c>
      <c r="P191" s="0" t="n">
        <v>184.12</v>
      </c>
      <c r="Q191" s="0" t="e">
        <f aca="false">VLOOKUP(C191,[1]'Cost Correction'!$C$6:$AJ$6767,34,0)</f>
        <v>#N/A</v>
      </c>
    </row>
    <row r="192" customFormat="false" ht="15" hidden="false" customHeight="false" outlineLevel="0" collapsed="false">
      <c r="A192" s="0" t="e">
        <f aca="false">E192&amp;K192&amp;Q192</f>
        <v>#N/A</v>
      </c>
      <c r="B192" s="0" t="s">
        <v>4822</v>
      </c>
      <c r="C192" s="0" t="s">
        <v>4823</v>
      </c>
      <c r="D192" s="0" t="s">
        <v>2385</v>
      </c>
      <c r="E192" s="0" t="n">
        <v>43307</v>
      </c>
      <c r="F192" s="0" t="s">
        <v>2380</v>
      </c>
      <c r="G192" s="0" t="n">
        <v>21358568</v>
      </c>
      <c r="H192" s="0" t="n">
        <v>720191</v>
      </c>
      <c r="I192" s="0" t="s">
        <v>34</v>
      </c>
      <c r="J192" s="0" t="s">
        <v>174</v>
      </c>
      <c r="K192" s="0" t="s">
        <v>2412</v>
      </c>
      <c r="L192" s="0" t="n">
        <v>224160777</v>
      </c>
      <c r="M192" s="0" t="s">
        <v>1977</v>
      </c>
      <c r="N192" s="0" t="n">
        <v>103048479</v>
      </c>
      <c r="O192" s="0" t="n">
        <v>1507</v>
      </c>
      <c r="P192" s="0" t="n">
        <v>32.62</v>
      </c>
      <c r="Q192" s="0" t="e">
        <f aca="false">VLOOKUP(C192,[1]'Cost Correction'!$C$6:$AJ$6767,34,0)</f>
        <v>#N/A</v>
      </c>
    </row>
    <row r="193" customFormat="false" ht="15" hidden="false" customHeight="false" outlineLevel="0" collapsed="false">
      <c r="A193" s="0" t="e">
        <f aca="false">E193&amp;K193&amp;Q193</f>
        <v>#N/A</v>
      </c>
      <c r="B193" s="0" t="s">
        <v>4824</v>
      </c>
      <c r="C193" s="0" t="s">
        <v>4825</v>
      </c>
      <c r="D193" s="0" t="s">
        <v>2385</v>
      </c>
      <c r="E193" s="0" t="n">
        <v>43307</v>
      </c>
      <c r="F193" s="0" t="s">
        <v>2380</v>
      </c>
      <c r="G193" s="0" t="n">
        <v>21358568</v>
      </c>
      <c r="H193" s="0" t="n">
        <v>720191</v>
      </c>
      <c r="I193" s="0" t="s">
        <v>34</v>
      </c>
      <c r="J193" s="0" t="s">
        <v>174</v>
      </c>
      <c r="K193" s="0" t="s">
        <v>2433</v>
      </c>
      <c r="L193" s="0" t="n">
        <v>224160780</v>
      </c>
      <c r="M193" s="0" t="s">
        <v>1975</v>
      </c>
      <c r="N193" s="0" t="n">
        <v>103186904</v>
      </c>
      <c r="O193" s="0" t="n">
        <v>1263</v>
      </c>
      <c r="P193" s="0" t="n">
        <v>15.76</v>
      </c>
      <c r="Q193" s="0" t="e">
        <f aca="false">VLOOKUP(C193,[1]'Cost Correction'!$C$6:$AJ$6767,34,0)</f>
        <v>#N/A</v>
      </c>
    </row>
    <row r="194" customFormat="false" ht="15" hidden="false" customHeight="false" outlineLevel="0" collapsed="false">
      <c r="A194" s="0" t="e">
        <f aca="false">E194&amp;K194&amp;Q194</f>
        <v>#N/A</v>
      </c>
      <c r="B194" s="0" t="s">
        <v>4826</v>
      </c>
      <c r="C194" s="0" t="s">
        <v>4827</v>
      </c>
      <c r="D194" s="0" t="s">
        <v>2385</v>
      </c>
      <c r="E194" s="0" t="n">
        <v>43308</v>
      </c>
      <c r="F194" s="0" t="s">
        <v>2380</v>
      </c>
      <c r="G194" s="0" t="n">
        <v>21358568</v>
      </c>
      <c r="H194" s="0" t="n">
        <v>720191</v>
      </c>
      <c r="I194" s="0" t="s">
        <v>34</v>
      </c>
      <c r="J194" s="0" t="s">
        <v>174</v>
      </c>
      <c r="K194" s="0" t="s">
        <v>2405</v>
      </c>
      <c r="L194" s="0" t="n">
        <v>224160774</v>
      </c>
      <c r="M194" s="0" t="s">
        <v>1979</v>
      </c>
      <c r="N194" s="0" t="n">
        <v>103186910</v>
      </c>
      <c r="O194" s="0" t="n">
        <v>8654</v>
      </c>
      <c r="P194" s="0" t="n">
        <v>211.29</v>
      </c>
      <c r="Q194" s="0" t="e">
        <f aca="false">VLOOKUP(C194,[1]'Cost Correction'!$C$6:$AJ$6767,34,0)</f>
        <v>#N/A</v>
      </c>
    </row>
    <row r="195" customFormat="false" ht="15" hidden="false" customHeight="false" outlineLevel="0" collapsed="false">
      <c r="A195" s="0" t="e">
        <f aca="false">E195&amp;K195&amp;Q195</f>
        <v>#N/A</v>
      </c>
      <c r="B195" s="0" t="s">
        <v>4828</v>
      </c>
      <c r="C195" s="0" t="s">
        <v>4829</v>
      </c>
      <c r="D195" s="0" t="s">
        <v>2385</v>
      </c>
      <c r="E195" s="0" t="n">
        <v>43308</v>
      </c>
      <c r="F195" s="0" t="s">
        <v>2380</v>
      </c>
      <c r="G195" s="0" t="n">
        <v>21358568</v>
      </c>
      <c r="H195" s="0" t="n">
        <v>720191</v>
      </c>
      <c r="I195" s="0" t="s">
        <v>34</v>
      </c>
      <c r="J195" s="0" t="s">
        <v>174</v>
      </c>
      <c r="K195" s="0" t="s">
        <v>2412</v>
      </c>
      <c r="L195" s="0" t="n">
        <v>224160777</v>
      </c>
      <c r="M195" s="0" t="s">
        <v>1977</v>
      </c>
      <c r="N195" s="0" t="n">
        <v>103048479</v>
      </c>
      <c r="O195" s="0" t="n">
        <v>1200</v>
      </c>
      <c r="P195" s="0" t="n">
        <v>27.97</v>
      </c>
      <c r="Q195" s="0" t="e">
        <f aca="false">VLOOKUP(C195,[1]'Cost Correction'!$C$6:$AJ$6767,34,0)</f>
        <v>#N/A</v>
      </c>
    </row>
    <row r="196" customFormat="false" ht="15" hidden="false" customHeight="false" outlineLevel="0" collapsed="false">
      <c r="A196" s="0" t="e">
        <f aca="false">E196&amp;K196&amp;Q196</f>
        <v>#N/A</v>
      </c>
      <c r="B196" s="0" t="s">
        <v>4830</v>
      </c>
      <c r="C196" s="0" t="s">
        <v>4831</v>
      </c>
      <c r="D196" s="0" t="s">
        <v>2385</v>
      </c>
      <c r="E196" s="0" t="n">
        <v>43308</v>
      </c>
      <c r="F196" s="0" t="s">
        <v>2380</v>
      </c>
      <c r="G196" s="0" t="n">
        <v>21358568</v>
      </c>
      <c r="H196" s="0" t="n">
        <v>720191</v>
      </c>
      <c r="I196" s="0" t="s">
        <v>34</v>
      </c>
      <c r="J196" s="0" t="s">
        <v>174</v>
      </c>
      <c r="K196" s="0" t="s">
        <v>2433</v>
      </c>
      <c r="L196" s="0" t="n">
        <v>224160780</v>
      </c>
      <c r="M196" s="0" t="s">
        <v>1975</v>
      </c>
      <c r="N196" s="0" t="n">
        <v>103186904</v>
      </c>
      <c r="O196" s="0" t="n">
        <v>1860</v>
      </c>
      <c r="P196" s="0" t="n">
        <v>29.06</v>
      </c>
      <c r="Q196" s="0" t="e">
        <f aca="false">VLOOKUP(C196,[1]'Cost Correction'!$C$6:$AJ$6767,34,0)</f>
        <v>#N/A</v>
      </c>
    </row>
    <row r="197" customFormat="false" ht="15" hidden="false" customHeight="false" outlineLevel="0" collapsed="false">
      <c r="A197" s="0" t="e">
        <f aca="false">E197&amp;K197&amp;Q197</f>
        <v>#N/A</v>
      </c>
      <c r="B197" s="0" t="s">
        <v>4832</v>
      </c>
      <c r="C197" s="0" t="s">
        <v>4833</v>
      </c>
      <c r="D197" s="0" t="s">
        <v>2385</v>
      </c>
      <c r="E197" s="0" t="n">
        <v>43308</v>
      </c>
      <c r="F197" s="0" t="s">
        <v>2380</v>
      </c>
      <c r="G197" s="0" t="n">
        <v>21358568</v>
      </c>
      <c r="H197" s="0" t="n">
        <v>720191</v>
      </c>
      <c r="I197" s="0" t="s">
        <v>34</v>
      </c>
      <c r="J197" s="0" t="s">
        <v>174</v>
      </c>
      <c r="K197" s="0" t="s">
        <v>2397</v>
      </c>
      <c r="O197" s="0" t="n">
        <v>6606</v>
      </c>
      <c r="P197" s="0" t="n">
        <v>123.62</v>
      </c>
      <c r="Q197" s="0" t="e">
        <f aca="false">VLOOKUP(C197,[1]'Cost Correction'!$C$6:$AJ$6767,34,0)</f>
        <v>#N/A</v>
      </c>
    </row>
    <row r="198" customFormat="false" ht="15" hidden="false" customHeight="false" outlineLevel="0" collapsed="false">
      <c r="A198" s="0" t="e">
        <f aca="false">E198&amp;K198&amp;Q198</f>
        <v>#N/A</v>
      </c>
      <c r="B198" s="0" t="s">
        <v>4832</v>
      </c>
      <c r="C198" s="0" t="s">
        <v>4834</v>
      </c>
      <c r="D198" s="0" t="s">
        <v>2385</v>
      </c>
      <c r="E198" s="0" t="n">
        <v>43308</v>
      </c>
      <c r="F198" s="0" t="s">
        <v>2380</v>
      </c>
      <c r="G198" s="0" t="n">
        <v>21358568</v>
      </c>
      <c r="H198" s="0" t="n">
        <v>720191</v>
      </c>
      <c r="I198" s="0" t="s">
        <v>34</v>
      </c>
      <c r="J198" s="0" t="s">
        <v>174</v>
      </c>
      <c r="K198" s="0" t="s">
        <v>2395</v>
      </c>
      <c r="O198" s="0" t="n">
        <v>3059</v>
      </c>
      <c r="P198" s="0" t="n">
        <v>84.5</v>
      </c>
      <c r="Q198" s="0" t="e">
        <f aca="false">VLOOKUP(C198,[1]'Cost Correction'!$C$6:$AJ$6767,34,0)</f>
        <v>#N/A</v>
      </c>
    </row>
    <row r="199" customFormat="false" ht="15" hidden="false" customHeight="false" outlineLevel="0" collapsed="false">
      <c r="A199" s="0" t="e">
        <f aca="false">E199&amp;K199&amp;Q199</f>
        <v>#N/A</v>
      </c>
      <c r="B199" s="0" t="s">
        <v>4832</v>
      </c>
      <c r="C199" s="0" t="s">
        <v>4835</v>
      </c>
      <c r="D199" s="0" t="s">
        <v>2385</v>
      </c>
      <c r="E199" s="0" t="n">
        <v>43308</v>
      </c>
      <c r="F199" s="0" t="s">
        <v>2380</v>
      </c>
      <c r="G199" s="0" t="n">
        <v>21358568</v>
      </c>
      <c r="H199" s="0" t="n">
        <v>720191</v>
      </c>
      <c r="I199" s="0" t="s">
        <v>34</v>
      </c>
      <c r="J199" s="0" t="s">
        <v>174</v>
      </c>
      <c r="K199" s="0" t="s">
        <v>2393</v>
      </c>
      <c r="O199" s="0" t="n">
        <v>9327</v>
      </c>
      <c r="P199" s="0" t="n">
        <v>137.73</v>
      </c>
      <c r="Q199" s="0" t="e">
        <f aca="false">VLOOKUP(C199,[1]'Cost Correction'!$C$6:$AJ$6767,34,0)</f>
        <v>#N/A</v>
      </c>
    </row>
    <row r="200" customFormat="false" ht="15" hidden="false" customHeight="false" outlineLevel="0" collapsed="false">
      <c r="A200" s="0" t="e">
        <f aca="false">E200&amp;K200&amp;Q200</f>
        <v>#N/A</v>
      </c>
      <c r="B200" s="0" t="s">
        <v>4836</v>
      </c>
      <c r="C200" s="0" t="s">
        <v>4837</v>
      </c>
      <c r="D200" s="0" t="s">
        <v>2385</v>
      </c>
      <c r="E200" s="0" t="n">
        <v>43308</v>
      </c>
      <c r="F200" s="0" t="s">
        <v>2380</v>
      </c>
      <c r="G200" s="0" t="n">
        <v>21358568</v>
      </c>
      <c r="H200" s="0" t="n">
        <v>720191</v>
      </c>
      <c r="I200" s="0" t="s">
        <v>34</v>
      </c>
      <c r="J200" s="0" t="s">
        <v>174</v>
      </c>
      <c r="K200" s="0" t="s">
        <v>2420</v>
      </c>
      <c r="L200" s="0" t="n">
        <v>224160771</v>
      </c>
      <c r="M200" s="0" t="s">
        <v>1981</v>
      </c>
      <c r="N200" s="0" t="n">
        <v>103048488</v>
      </c>
      <c r="O200" s="0" t="n">
        <v>1365</v>
      </c>
      <c r="P200" s="0" t="n">
        <v>29.05</v>
      </c>
      <c r="Q200" s="0" t="e">
        <f aca="false">VLOOKUP(C200,[1]'Cost Correction'!$C$6:$AJ$6767,34,0)</f>
        <v>#N/A</v>
      </c>
    </row>
    <row r="201" customFormat="false" ht="15" hidden="false" customHeight="false" outlineLevel="0" collapsed="false">
      <c r="A201" s="0" t="e">
        <f aca="false">E201&amp;K201&amp;Q201</f>
        <v>#N/A</v>
      </c>
      <c r="B201" s="0" t="s">
        <v>4838</v>
      </c>
      <c r="C201" s="0" t="s">
        <v>4839</v>
      </c>
      <c r="D201" s="0" t="s">
        <v>2385</v>
      </c>
      <c r="E201" s="0" t="n">
        <v>43308</v>
      </c>
      <c r="F201" s="0" t="s">
        <v>2380</v>
      </c>
      <c r="G201" s="0" t="n">
        <v>21358568</v>
      </c>
      <c r="H201" s="0" t="n">
        <v>720191</v>
      </c>
      <c r="I201" s="0" t="s">
        <v>34</v>
      </c>
      <c r="J201" s="0" t="s">
        <v>174</v>
      </c>
      <c r="K201" s="0" t="s">
        <v>2401</v>
      </c>
      <c r="L201" s="0" t="n">
        <v>224160783</v>
      </c>
      <c r="M201" s="0" t="s">
        <v>1973</v>
      </c>
      <c r="N201" s="0" t="n">
        <v>103051614</v>
      </c>
      <c r="O201" s="0" t="n">
        <v>484</v>
      </c>
      <c r="P201" s="0" t="n">
        <v>8.79</v>
      </c>
      <c r="Q201" s="0" t="e">
        <f aca="false">VLOOKUP(C201,[1]'Cost Correction'!$C$6:$AJ$6767,34,0)</f>
        <v>#N/A</v>
      </c>
    </row>
    <row r="202" customFormat="false" ht="15" hidden="false" customHeight="false" outlineLevel="0" collapsed="false">
      <c r="A202" s="0" t="e">
        <f aca="false">E202&amp;K202&amp;Q202</f>
        <v>#N/A</v>
      </c>
      <c r="B202" s="0" t="s">
        <v>4840</v>
      </c>
      <c r="C202" s="0" t="s">
        <v>4841</v>
      </c>
      <c r="D202" s="0" t="s">
        <v>2385</v>
      </c>
      <c r="E202" s="0" t="n">
        <v>43309</v>
      </c>
      <c r="F202" s="0" t="s">
        <v>2380</v>
      </c>
      <c r="G202" s="0" t="n">
        <v>21358568</v>
      </c>
      <c r="H202" s="0" t="n">
        <v>720191</v>
      </c>
      <c r="I202" s="0" t="s">
        <v>34</v>
      </c>
      <c r="J202" s="0" t="s">
        <v>174</v>
      </c>
      <c r="K202" s="0" t="s">
        <v>2401</v>
      </c>
      <c r="L202" s="0" t="n">
        <v>224160783</v>
      </c>
      <c r="M202" s="0" t="s">
        <v>1973</v>
      </c>
      <c r="N202" s="0" t="n">
        <v>103051614</v>
      </c>
      <c r="O202" s="0" t="n">
        <v>600</v>
      </c>
      <c r="P202" s="0" t="n">
        <v>13.23</v>
      </c>
      <c r="Q202" s="0" t="e">
        <f aca="false">VLOOKUP(C202,[1]'Cost Correction'!$C$6:$AJ$6767,34,0)</f>
        <v>#N/A</v>
      </c>
    </row>
    <row r="203" customFormat="false" ht="15" hidden="false" customHeight="false" outlineLevel="0" collapsed="false">
      <c r="A203" s="0" t="e">
        <f aca="false">E203&amp;K203&amp;Q203</f>
        <v>#N/A</v>
      </c>
      <c r="B203" s="0" t="s">
        <v>4842</v>
      </c>
      <c r="C203" s="0" t="s">
        <v>4843</v>
      </c>
      <c r="D203" s="0" t="s">
        <v>2385</v>
      </c>
      <c r="E203" s="0" t="n">
        <v>43309</v>
      </c>
      <c r="F203" s="0" t="s">
        <v>2380</v>
      </c>
      <c r="G203" s="0" t="n">
        <v>21358568</v>
      </c>
      <c r="H203" s="0" t="n">
        <v>720191</v>
      </c>
      <c r="I203" s="0" t="s">
        <v>34</v>
      </c>
      <c r="J203" s="0" t="s">
        <v>174</v>
      </c>
      <c r="K203" s="0" t="s">
        <v>2395</v>
      </c>
      <c r="O203" s="0" t="n">
        <v>6030</v>
      </c>
      <c r="P203" s="0" t="n">
        <v>148.55</v>
      </c>
      <c r="Q203" s="0" t="e">
        <f aca="false">VLOOKUP(C203,[1]'Cost Correction'!$C$6:$AJ$6767,34,0)</f>
        <v>#N/A</v>
      </c>
    </row>
    <row r="204" customFormat="false" ht="15" hidden="false" customHeight="false" outlineLevel="0" collapsed="false">
      <c r="A204" s="0" t="e">
        <f aca="false">E204&amp;K204&amp;Q204</f>
        <v>#N/A</v>
      </c>
      <c r="B204" s="0" t="s">
        <v>4842</v>
      </c>
      <c r="C204" s="0" t="s">
        <v>4844</v>
      </c>
      <c r="D204" s="0" t="s">
        <v>2385</v>
      </c>
      <c r="E204" s="0" t="n">
        <v>43309</v>
      </c>
      <c r="F204" s="0" t="s">
        <v>2380</v>
      </c>
      <c r="G204" s="0" t="n">
        <v>21358568</v>
      </c>
      <c r="H204" s="0" t="n">
        <v>720191</v>
      </c>
      <c r="I204" s="0" t="s">
        <v>34</v>
      </c>
      <c r="J204" s="0" t="s">
        <v>174</v>
      </c>
      <c r="K204" s="0" t="s">
        <v>2393</v>
      </c>
      <c r="O204" s="0" t="n">
        <v>5846</v>
      </c>
      <c r="P204" s="0" t="n">
        <v>77.2</v>
      </c>
      <c r="Q204" s="0" t="e">
        <f aca="false">VLOOKUP(C204,[1]'Cost Correction'!$C$6:$AJ$6767,34,0)</f>
        <v>#N/A</v>
      </c>
    </row>
    <row r="205" customFormat="false" ht="15" hidden="false" customHeight="false" outlineLevel="0" collapsed="false">
      <c r="A205" s="0" t="e">
        <f aca="false">E205&amp;K205&amp;Q205</f>
        <v>#N/A</v>
      </c>
      <c r="B205" s="0" t="s">
        <v>4842</v>
      </c>
      <c r="C205" s="0" t="s">
        <v>4845</v>
      </c>
      <c r="D205" s="0" t="s">
        <v>2385</v>
      </c>
      <c r="E205" s="0" t="n">
        <v>43309</v>
      </c>
      <c r="F205" s="0" t="s">
        <v>2380</v>
      </c>
      <c r="G205" s="0" t="n">
        <v>21358568</v>
      </c>
      <c r="H205" s="0" t="n">
        <v>720191</v>
      </c>
      <c r="I205" s="0" t="s">
        <v>34</v>
      </c>
      <c r="J205" s="0" t="s">
        <v>174</v>
      </c>
      <c r="K205" s="0" t="s">
        <v>2397</v>
      </c>
      <c r="O205" s="0" t="n">
        <v>8739</v>
      </c>
      <c r="P205" s="0" t="n">
        <v>148.43</v>
      </c>
      <c r="Q205" s="0" t="e">
        <f aca="false">VLOOKUP(C205,[1]'Cost Correction'!$C$6:$AJ$6767,34,0)</f>
        <v>#N/A</v>
      </c>
    </row>
    <row r="206" customFormat="false" ht="15" hidden="false" customHeight="false" outlineLevel="0" collapsed="false">
      <c r="A206" s="0" t="e">
        <f aca="false">E206&amp;K206&amp;Q206</f>
        <v>#N/A</v>
      </c>
      <c r="B206" s="0" t="s">
        <v>4846</v>
      </c>
      <c r="C206" s="0" t="s">
        <v>4847</v>
      </c>
      <c r="D206" s="0" t="s">
        <v>2385</v>
      </c>
      <c r="E206" s="0" t="n">
        <v>43309</v>
      </c>
      <c r="F206" s="0" t="s">
        <v>2380</v>
      </c>
      <c r="G206" s="0" t="n">
        <v>21358568</v>
      </c>
      <c r="H206" s="0" t="n">
        <v>720191</v>
      </c>
      <c r="I206" s="0" t="s">
        <v>34</v>
      </c>
      <c r="J206" s="0" t="s">
        <v>174</v>
      </c>
      <c r="K206" s="0" t="s">
        <v>2405</v>
      </c>
      <c r="L206" s="0" t="n">
        <v>224160774</v>
      </c>
      <c r="M206" s="0" t="s">
        <v>1979</v>
      </c>
      <c r="N206" s="0" t="n">
        <v>103186910</v>
      </c>
      <c r="O206" s="0" t="n">
        <v>7663</v>
      </c>
      <c r="P206" s="0" t="n">
        <v>177.94</v>
      </c>
      <c r="Q206" s="0" t="e">
        <f aca="false">VLOOKUP(C206,[1]'Cost Correction'!$C$6:$AJ$6767,34,0)</f>
        <v>#N/A</v>
      </c>
    </row>
    <row r="207" customFormat="false" ht="15" hidden="false" customHeight="false" outlineLevel="0" collapsed="false">
      <c r="A207" s="0" t="e">
        <f aca="false">E207&amp;K207&amp;Q207</f>
        <v>#N/A</v>
      </c>
      <c r="B207" s="0" t="s">
        <v>4848</v>
      </c>
      <c r="C207" s="0" t="s">
        <v>4849</v>
      </c>
      <c r="D207" s="0" t="s">
        <v>2385</v>
      </c>
      <c r="E207" s="0" t="n">
        <v>43309</v>
      </c>
      <c r="F207" s="0" t="s">
        <v>2380</v>
      </c>
      <c r="G207" s="0" t="n">
        <v>21358568</v>
      </c>
      <c r="H207" s="0" t="n">
        <v>720191</v>
      </c>
      <c r="I207" s="0" t="s">
        <v>34</v>
      </c>
      <c r="J207" s="0" t="s">
        <v>174</v>
      </c>
      <c r="K207" s="0" t="s">
        <v>2412</v>
      </c>
      <c r="L207" s="0" t="n">
        <v>224160777</v>
      </c>
      <c r="M207" s="0" t="s">
        <v>1977</v>
      </c>
      <c r="N207" s="0" t="n">
        <v>103048479</v>
      </c>
      <c r="O207" s="0" t="n">
        <v>5232</v>
      </c>
      <c r="P207" s="0" t="n">
        <v>106.38</v>
      </c>
      <c r="Q207" s="0" t="e">
        <f aca="false">VLOOKUP(C207,[1]'Cost Correction'!$C$6:$AJ$6767,34,0)</f>
        <v>#N/A</v>
      </c>
    </row>
    <row r="208" customFormat="false" ht="15" hidden="false" customHeight="false" outlineLevel="0" collapsed="false">
      <c r="A208" s="0" t="e">
        <f aca="false">E208&amp;K208&amp;Q208</f>
        <v>#N/A</v>
      </c>
      <c r="B208" s="0" t="s">
        <v>4850</v>
      </c>
      <c r="C208" s="0" t="s">
        <v>4851</v>
      </c>
      <c r="D208" s="0" t="s">
        <v>2385</v>
      </c>
      <c r="E208" s="0" t="n">
        <v>43309</v>
      </c>
      <c r="F208" s="0" t="s">
        <v>2380</v>
      </c>
      <c r="G208" s="0" t="n">
        <v>21358568</v>
      </c>
      <c r="H208" s="0" t="n">
        <v>720191</v>
      </c>
      <c r="I208" s="0" t="s">
        <v>34</v>
      </c>
      <c r="J208" s="0" t="s">
        <v>174</v>
      </c>
      <c r="K208" s="0" t="s">
        <v>2433</v>
      </c>
      <c r="L208" s="0" t="n">
        <v>224160780</v>
      </c>
      <c r="M208" s="0" t="s">
        <v>1975</v>
      </c>
      <c r="N208" s="0" t="n">
        <v>103186904</v>
      </c>
      <c r="O208" s="0" t="n">
        <v>1676</v>
      </c>
      <c r="P208" s="0" t="n">
        <v>22.35</v>
      </c>
      <c r="Q208" s="0" t="e">
        <f aca="false">VLOOKUP(C208,[1]'Cost Correction'!$C$6:$AJ$6767,34,0)</f>
        <v>#N/A</v>
      </c>
    </row>
    <row r="209" customFormat="false" ht="15" hidden="false" customHeight="false" outlineLevel="0" collapsed="false">
      <c r="A209" s="0" t="e">
        <f aca="false">E209&amp;K209&amp;Q209</f>
        <v>#N/A</v>
      </c>
      <c r="B209" s="0" t="s">
        <v>4852</v>
      </c>
      <c r="C209" s="0" t="s">
        <v>4853</v>
      </c>
      <c r="D209" s="0" t="s">
        <v>2385</v>
      </c>
      <c r="E209" s="0" t="n">
        <v>43309</v>
      </c>
      <c r="F209" s="0" t="s">
        <v>2380</v>
      </c>
      <c r="G209" s="0" t="n">
        <v>21358568</v>
      </c>
      <c r="H209" s="0" t="n">
        <v>720191</v>
      </c>
      <c r="I209" s="0" t="s">
        <v>34</v>
      </c>
      <c r="J209" s="0" t="s">
        <v>174</v>
      </c>
      <c r="K209" s="0" t="s">
        <v>2420</v>
      </c>
      <c r="L209" s="0" t="n">
        <v>224160771</v>
      </c>
      <c r="M209" s="0" t="s">
        <v>1981</v>
      </c>
      <c r="N209" s="0" t="n">
        <v>103048488</v>
      </c>
      <c r="O209" s="0" t="n">
        <v>471</v>
      </c>
      <c r="P209" s="0" t="n">
        <v>10.69</v>
      </c>
      <c r="Q209" s="0" t="e">
        <f aca="false">VLOOKUP(C209,[1]'Cost Correction'!$C$6:$AJ$6767,34,0)</f>
        <v>#N/A</v>
      </c>
    </row>
    <row r="210" customFormat="false" ht="15" hidden="false" customHeight="false" outlineLevel="0" collapsed="false">
      <c r="A210" s="0" t="e">
        <f aca="false">E210&amp;K210&amp;Q210</f>
        <v>#N/A</v>
      </c>
      <c r="B210" s="0" t="s">
        <v>4854</v>
      </c>
      <c r="C210" s="0" t="s">
        <v>4855</v>
      </c>
      <c r="D210" s="0" t="s">
        <v>2385</v>
      </c>
      <c r="E210" s="0" t="n">
        <v>43310</v>
      </c>
      <c r="F210" s="0" t="s">
        <v>2380</v>
      </c>
      <c r="G210" s="0" t="n">
        <v>21358568</v>
      </c>
      <c r="H210" s="0" t="n">
        <v>720191</v>
      </c>
      <c r="I210" s="0" t="s">
        <v>34</v>
      </c>
      <c r="J210" s="0" t="s">
        <v>174</v>
      </c>
      <c r="K210" s="0" t="s">
        <v>2401</v>
      </c>
      <c r="L210" s="0" t="n">
        <v>224160783</v>
      </c>
      <c r="M210" s="0" t="s">
        <v>1973</v>
      </c>
      <c r="N210" s="0" t="n">
        <v>103051614</v>
      </c>
      <c r="O210" s="0" t="n">
        <v>582</v>
      </c>
      <c r="P210" s="0" t="n">
        <v>12.43</v>
      </c>
      <c r="Q210" s="0" t="e">
        <f aca="false">VLOOKUP(C210,[1]'Cost Correction'!$C$6:$AJ$6767,34,0)</f>
        <v>#N/A</v>
      </c>
    </row>
    <row r="211" customFormat="false" ht="15" hidden="false" customHeight="false" outlineLevel="0" collapsed="false">
      <c r="A211" s="0" t="e">
        <f aca="false">E211&amp;K211&amp;Q211</f>
        <v>#N/A</v>
      </c>
      <c r="B211" s="0" t="s">
        <v>4856</v>
      </c>
      <c r="C211" s="0" t="s">
        <v>4857</v>
      </c>
      <c r="D211" s="0" t="s">
        <v>2385</v>
      </c>
      <c r="E211" s="0" t="n">
        <v>43310</v>
      </c>
      <c r="F211" s="0" t="s">
        <v>2380</v>
      </c>
      <c r="G211" s="0" t="n">
        <v>21358568</v>
      </c>
      <c r="H211" s="0" t="n">
        <v>720191</v>
      </c>
      <c r="I211" s="0" t="s">
        <v>34</v>
      </c>
      <c r="J211" s="0" t="s">
        <v>174</v>
      </c>
      <c r="K211" s="0" t="s">
        <v>2420</v>
      </c>
      <c r="L211" s="0" t="n">
        <v>224160771</v>
      </c>
      <c r="M211" s="0" t="s">
        <v>1981</v>
      </c>
      <c r="N211" s="0" t="n">
        <v>103048488</v>
      </c>
      <c r="O211" s="0" t="n">
        <v>259</v>
      </c>
      <c r="P211" s="0" t="n">
        <v>5.62</v>
      </c>
      <c r="Q211" s="0" t="e">
        <f aca="false">VLOOKUP(C211,[1]'Cost Correction'!$C$6:$AJ$6767,34,0)</f>
        <v>#N/A</v>
      </c>
    </row>
    <row r="212" customFormat="false" ht="15" hidden="false" customHeight="false" outlineLevel="0" collapsed="false">
      <c r="A212" s="0" t="e">
        <f aca="false">E212&amp;K212&amp;Q212</f>
        <v>#N/A</v>
      </c>
      <c r="B212" s="0" t="s">
        <v>4858</v>
      </c>
      <c r="C212" s="0" t="s">
        <v>4859</v>
      </c>
      <c r="D212" s="0" t="s">
        <v>2385</v>
      </c>
      <c r="E212" s="0" t="n">
        <v>43310</v>
      </c>
      <c r="F212" s="0" t="s">
        <v>2380</v>
      </c>
      <c r="G212" s="0" t="n">
        <v>21358568</v>
      </c>
      <c r="H212" s="0" t="n">
        <v>720191</v>
      </c>
      <c r="I212" s="0" t="s">
        <v>34</v>
      </c>
      <c r="J212" s="0" t="s">
        <v>174</v>
      </c>
      <c r="K212" s="0" t="s">
        <v>2405</v>
      </c>
      <c r="L212" s="0" t="n">
        <v>224160774</v>
      </c>
      <c r="M212" s="0" t="s">
        <v>1979</v>
      </c>
      <c r="N212" s="0" t="n">
        <v>103186910</v>
      </c>
      <c r="O212" s="0" t="n">
        <v>2913</v>
      </c>
      <c r="P212" s="0" t="n">
        <v>81.64</v>
      </c>
      <c r="Q212" s="0" t="e">
        <f aca="false">VLOOKUP(C212,[1]'Cost Correction'!$C$6:$AJ$6767,34,0)</f>
        <v>#N/A</v>
      </c>
    </row>
    <row r="213" customFormat="false" ht="15" hidden="false" customHeight="false" outlineLevel="0" collapsed="false">
      <c r="A213" s="0" t="e">
        <f aca="false">E213&amp;K213&amp;Q213</f>
        <v>#N/A</v>
      </c>
      <c r="B213" s="0" t="s">
        <v>4860</v>
      </c>
      <c r="C213" s="0" t="s">
        <v>4861</v>
      </c>
      <c r="D213" s="0" t="s">
        <v>2385</v>
      </c>
      <c r="E213" s="0" t="n">
        <v>43310</v>
      </c>
      <c r="F213" s="0" t="s">
        <v>2380</v>
      </c>
      <c r="G213" s="0" t="n">
        <v>21358568</v>
      </c>
      <c r="H213" s="0" t="n">
        <v>720191</v>
      </c>
      <c r="I213" s="0" t="s">
        <v>34</v>
      </c>
      <c r="J213" s="0" t="s">
        <v>174</v>
      </c>
      <c r="K213" s="0" t="s">
        <v>2412</v>
      </c>
      <c r="L213" s="0" t="n">
        <v>224160777</v>
      </c>
      <c r="M213" s="0" t="s">
        <v>1977</v>
      </c>
      <c r="N213" s="0" t="n">
        <v>103048479</v>
      </c>
      <c r="O213" s="0" t="n">
        <v>8760</v>
      </c>
      <c r="P213" s="0" t="n">
        <v>170.52</v>
      </c>
      <c r="Q213" s="0" t="e">
        <f aca="false">VLOOKUP(C213,[1]'Cost Correction'!$C$6:$AJ$6767,34,0)</f>
        <v>#N/A</v>
      </c>
    </row>
    <row r="214" customFormat="false" ht="15" hidden="false" customHeight="false" outlineLevel="0" collapsed="false">
      <c r="A214" s="0" t="e">
        <f aca="false">E214&amp;K214&amp;Q214</f>
        <v>#N/A</v>
      </c>
      <c r="B214" s="0" t="s">
        <v>4862</v>
      </c>
      <c r="C214" s="0" t="s">
        <v>4863</v>
      </c>
      <c r="D214" s="0" t="s">
        <v>2385</v>
      </c>
      <c r="E214" s="0" t="n">
        <v>43310</v>
      </c>
      <c r="F214" s="0" t="s">
        <v>2380</v>
      </c>
      <c r="G214" s="0" t="n">
        <v>21358568</v>
      </c>
      <c r="H214" s="0" t="n">
        <v>720191</v>
      </c>
      <c r="I214" s="0" t="s">
        <v>34</v>
      </c>
      <c r="J214" s="0" t="s">
        <v>174</v>
      </c>
      <c r="K214" s="0" t="s">
        <v>2433</v>
      </c>
      <c r="L214" s="0" t="n">
        <v>224160780</v>
      </c>
      <c r="M214" s="0" t="s">
        <v>1975</v>
      </c>
      <c r="N214" s="0" t="n">
        <v>103186904</v>
      </c>
      <c r="O214" s="0" t="n">
        <v>910</v>
      </c>
      <c r="P214" s="0" t="n">
        <v>14.86</v>
      </c>
      <c r="Q214" s="0" t="e">
        <f aca="false">VLOOKUP(C214,[1]'Cost Correction'!$C$6:$AJ$6767,34,0)</f>
        <v>#N/A</v>
      </c>
    </row>
    <row r="215" customFormat="false" ht="15" hidden="false" customHeight="false" outlineLevel="0" collapsed="false">
      <c r="A215" s="0" t="e">
        <f aca="false">E215&amp;K215&amp;Q215</f>
        <v>#N/A</v>
      </c>
      <c r="B215" s="0" t="s">
        <v>4864</v>
      </c>
      <c r="C215" s="0" t="s">
        <v>4865</v>
      </c>
      <c r="D215" s="0" t="s">
        <v>2385</v>
      </c>
      <c r="E215" s="0" t="n">
        <v>43310</v>
      </c>
      <c r="F215" s="0" t="s">
        <v>2380</v>
      </c>
      <c r="G215" s="0" t="n">
        <v>21358568</v>
      </c>
      <c r="H215" s="0" t="n">
        <v>720191</v>
      </c>
      <c r="I215" s="0" t="s">
        <v>34</v>
      </c>
      <c r="J215" s="0" t="s">
        <v>174</v>
      </c>
      <c r="K215" s="0" t="s">
        <v>2397</v>
      </c>
      <c r="O215" s="0" t="n">
        <v>8799</v>
      </c>
      <c r="P215" s="0" t="n">
        <v>136.95</v>
      </c>
      <c r="Q215" s="0" t="e">
        <f aca="false">VLOOKUP(C215,[1]'Cost Correction'!$C$6:$AJ$6767,34,0)</f>
        <v>#N/A</v>
      </c>
    </row>
    <row r="216" customFormat="false" ht="15" hidden="false" customHeight="false" outlineLevel="0" collapsed="false">
      <c r="A216" s="0" t="e">
        <f aca="false">E216&amp;K216&amp;Q216</f>
        <v>#N/A</v>
      </c>
      <c r="B216" s="0" t="s">
        <v>4864</v>
      </c>
      <c r="C216" s="0" t="s">
        <v>4866</v>
      </c>
      <c r="D216" s="0" t="s">
        <v>2385</v>
      </c>
      <c r="E216" s="0" t="n">
        <v>43310</v>
      </c>
      <c r="F216" s="0" t="s">
        <v>2380</v>
      </c>
      <c r="G216" s="0" t="n">
        <v>21358568</v>
      </c>
      <c r="H216" s="0" t="n">
        <v>720191</v>
      </c>
      <c r="I216" s="0" t="s">
        <v>34</v>
      </c>
      <c r="J216" s="0" t="s">
        <v>174</v>
      </c>
      <c r="K216" s="0" t="s">
        <v>2395</v>
      </c>
      <c r="O216" s="0" t="n">
        <v>6095</v>
      </c>
      <c r="P216" s="0" t="n">
        <v>143.77</v>
      </c>
      <c r="Q216" s="0" t="e">
        <f aca="false">VLOOKUP(C216,[1]'Cost Correction'!$C$6:$AJ$6767,34,0)</f>
        <v>#N/A</v>
      </c>
    </row>
    <row r="217" customFormat="false" ht="15" hidden="false" customHeight="false" outlineLevel="0" collapsed="false">
      <c r="A217" s="0" t="e">
        <f aca="false">E217&amp;K217&amp;Q217</f>
        <v>#N/A</v>
      </c>
      <c r="B217" s="0" t="s">
        <v>4864</v>
      </c>
      <c r="C217" s="0" t="s">
        <v>4867</v>
      </c>
      <c r="D217" s="0" t="s">
        <v>2385</v>
      </c>
      <c r="E217" s="0" t="n">
        <v>43310</v>
      </c>
      <c r="F217" s="0" t="s">
        <v>2380</v>
      </c>
      <c r="G217" s="0" t="n">
        <v>21358568</v>
      </c>
      <c r="H217" s="0" t="n">
        <v>720191</v>
      </c>
      <c r="I217" s="0" t="s">
        <v>34</v>
      </c>
      <c r="J217" s="0" t="s">
        <v>174</v>
      </c>
      <c r="K217" s="0" t="s">
        <v>2393</v>
      </c>
      <c r="O217" s="0" t="n">
        <v>5261</v>
      </c>
      <c r="P217" s="0" t="n">
        <v>64.04</v>
      </c>
      <c r="Q217" s="0" t="e">
        <f aca="false">VLOOKUP(C217,[1]'Cost Correction'!$C$6:$AJ$6767,34,0)</f>
        <v>#N/A</v>
      </c>
    </row>
    <row r="218" customFormat="false" ht="15" hidden="false" customHeight="false" outlineLevel="0" collapsed="false">
      <c r="A218" s="0" t="e">
        <f aca="false">E218&amp;K218&amp;Q218</f>
        <v>#N/A</v>
      </c>
      <c r="B218" s="0" t="s">
        <v>4868</v>
      </c>
      <c r="C218" s="0" t="s">
        <v>4869</v>
      </c>
      <c r="D218" s="0" t="s">
        <v>2385</v>
      </c>
      <c r="E218" s="0" t="n">
        <v>43311</v>
      </c>
      <c r="F218" s="0" t="s">
        <v>2380</v>
      </c>
      <c r="G218" s="0" t="n">
        <v>21358568</v>
      </c>
      <c r="H218" s="0" t="n">
        <v>720191</v>
      </c>
      <c r="I218" s="0" t="s">
        <v>34</v>
      </c>
      <c r="J218" s="0" t="s">
        <v>174</v>
      </c>
      <c r="K218" s="0" t="s">
        <v>2412</v>
      </c>
      <c r="L218" s="0" t="n">
        <v>224160777</v>
      </c>
      <c r="M218" s="0" t="s">
        <v>1977</v>
      </c>
      <c r="N218" s="0" t="n">
        <v>103048479</v>
      </c>
      <c r="O218" s="0" t="n">
        <v>7303</v>
      </c>
      <c r="P218" s="0" t="n">
        <v>129.88</v>
      </c>
      <c r="Q218" s="0" t="e">
        <f aca="false">VLOOKUP(C218,[1]'Cost Correction'!$C$6:$AJ$6767,34,0)</f>
        <v>#N/A</v>
      </c>
    </row>
    <row r="219" customFormat="false" ht="15" hidden="false" customHeight="false" outlineLevel="0" collapsed="false">
      <c r="A219" s="0" t="e">
        <f aca="false">E219&amp;K219&amp;Q219</f>
        <v>#N/A</v>
      </c>
      <c r="B219" s="0" t="s">
        <v>4870</v>
      </c>
      <c r="C219" s="0" t="s">
        <v>4871</v>
      </c>
      <c r="D219" s="0" t="s">
        <v>2385</v>
      </c>
      <c r="E219" s="0" t="n">
        <v>43311</v>
      </c>
      <c r="F219" s="0" t="s">
        <v>2380</v>
      </c>
      <c r="G219" s="0" t="n">
        <v>21358568</v>
      </c>
      <c r="H219" s="0" t="n">
        <v>720191</v>
      </c>
      <c r="I219" s="0" t="s">
        <v>34</v>
      </c>
      <c r="J219" s="0" t="s">
        <v>174</v>
      </c>
      <c r="K219" s="0" t="s">
        <v>2420</v>
      </c>
      <c r="L219" s="0" t="n">
        <v>224160771</v>
      </c>
      <c r="M219" s="0" t="s">
        <v>1981</v>
      </c>
      <c r="N219" s="0" t="n">
        <v>103048488</v>
      </c>
      <c r="O219" s="0" t="n">
        <v>576</v>
      </c>
      <c r="P219" s="0" t="n">
        <v>10.49</v>
      </c>
      <c r="Q219" s="0" t="e">
        <f aca="false">VLOOKUP(C219,[1]'Cost Correction'!$C$6:$AJ$6767,34,0)</f>
        <v>#N/A</v>
      </c>
    </row>
    <row r="220" customFormat="false" ht="15" hidden="false" customHeight="false" outlineLevel="0" collapsed="false">
      <c r="A220" s="0" t="e">
        <f aca="false">E220&amp;K220&amp;Q220</f>
        <v>#N/A</v>
      </c>
      <c r="B220" s="0" t="s">
        <v>4872</v>
      </c>
      <c r="C220" s="0" t="s">
        <v>4873</v>
      </c>
      <c r="D220" s="0" t="s">
        <v>2385</v>
      </c>
      <c r="E220" s="0" t="n">
        <v>43311</v>
      </c>
      <c r="F220" s="0" t="s">
        <v>2380</v>
      </c>
      <c r="G220" s="0" t="n">
        <v>21358568</v>
      </c>
      <c r="H220" s="0" t="n">
        <v>720191</v>
      </c>
      <c r="I220" s="0" t="s">
        <v>34</v>
      </c>
      <c r="J220" s="0" t="s">
        <v>174</v>
      </c>
      <c r="K220" s="0" t="s">
        <v>2405</v>
      </c>
      <c r="L220" s="0" t="n">
        <v>224160774</v>
      </c>
      <c r="M220" s="0" t="s">
        <v>1979</v>
      </c>
      <c r="N220" s="0" t="n">
        <v>103186910</v>
      </c>
      <c r="O220" s="0" t="n">
        <v>4315</v>
      </c>
      <c r="P220" s="0" t="n">
        <v>87.15</v>
      </c>
      <c r="Q220" s="0" t="e">
        <f aca="false">VLOOKUP(C220,[1]'Cost Correction'!$C$6:$AJ$6767,34,0)</f>
        <v>#N/A</v>
      </c>
    </row>
    <row r="221" customFormat="false" ht="15" hidden="false" customHeight="false" outlineLevel="0" collapsed="false">
      <c r="A221" s="0" t="e">
        <f aca="false">E221&amp;K221&amp;Q221</f>
        <v>#N/A</v>
      </c>
      <c r="B221" s="0" t="s">
        <v>4874</v>
      </c>
      <c r="C221" s="0" t="s">
        <v>4875</v>
      </c>
      <c r="D221" s="0" t="s">
        <v>2385</v>
      </c>
      <c r="E221" s="0" t="n">
        <v>43311</v>
      </c>
      <c r="F221" s="0" t="s">
        <v>2380</v>
      </c>
      <c r="G221" s="0" t="n">
        <v>21358568</v>
      </c>
      <c r="H221" s="0" t="n">
        <v>720191</v>
      </c>
      <c r="I221" s="0" t="s">
        <v>34</v>
      </c>
      <c r="J221" s="0" t="s">
        <v>174</v>
      </c>
      <c r="K221" s="0" t="s">
        <v>2433</v>
      </c>
      <c r="L221" s="0" t="n">
        <v>224160780</v>
      </c>
      <c r="M221" s="0" t="s">
        <v>1975</v>
      </c>
      <c r="N221" s="0" t="n">
        <v>103186904</v>
      </c>
      <c r="O221" s="0" t="n">
        <v>62</v>
      </c>
      <c r="P221" s="0" t="n">
        <v>0.7</v>
      </c>
      <c r="Q221" s="0" t="e">
        <f aca="false">VLOOKUP(C221,[1]'Cost Correction'!$C$6:$AJ$6767,34,0)</f>
        <v>#N/A</v>
      </c>
    </row>
    <row r="222" customFormat="false" ht="15" hidden="false" customHeight="false" outlineLevel="0" collapsed="false">
      <c r="A222" s="0" t="e">
        <f aca="false">E222&amp;K222&amp;Q222</f>
        <v>#N/A</v>
      </c>
      <c r="B222" s="0" t="s">
        <v>4876</v>
      </c>
      <c r="C222" s="0" t="s">
        <v>4877</v>
      </c>
      <c r="D222" s="0" t="s">
        <v>2385</v>
      </c>
      <c r="E222" s="0" t="n">
        <v>43311</v>
      </c>
      <c r="F222" s="0" t="s">
        <v>2380</v>
      </c>
      <c r="G222" s="0" t="n">
        <v>21358568</v>
      </c>
      <c r="H222" s="0" t="n">
        <v>720191</v>
      </c>
      <c r="I222" s="0" t="s">
        <v>34</v>
      </c>
      <c r="J222" s="0" t="s">
        <v>174</v>
      </c>
      <c r="K222" s="0" t="s">
        <v>2397</v>
      </c>
      <c r="O222" s="0" t="n">
        <v>11342</v>
      </c>
      <c r="P222" s="0" t="n">
        <v>159.39</v>
      </c>
      <c r="Q222" s="0" t="e">
        <f aca="false">VLOOKUP(C222,[1]'Cost Correction'!$C$6:$AJ$6767,34,0)</f>
        <v>#N/A</v>
      </c>
    </row>
    <row r="223" customFormat="false" ht="15" hidden="false" customHeight="false" outlineLevel="0" collapsed="false">
      <c r="A223" s="0" t="e">
        <f aca="false">E223&amp;K223&amp;Q223</f>
        <v>#N/A</v>
      </c>
      <c r="B223" s="0" t="s">
        <v>4876</v>
      </c>
      <c r="C223" s="0" t="s">
        <v>4878</v>
      </c>
      <c r="D223" s="0" t="s">
        <v>2385</v>
      </c>
      <c r="E223" s="0" t="n">
        <v>43311</v>
      </c>
      <c r="F223" s="0" t="s">
        <v>2380</v>
      </c>
      <c r="G223" s="0" t="n">
        <v>21358568</v>
      </c>
      <c r="H223" s="0" t="n">
        <v>720191</v>
      </c>
      <c r="I223" s="0" t="s">
        <v>34</v>
      </c>
      <c r="J223" s="0" t="s">
        <v>174</v>
      </c>
      <c r="K223" s="0" t="s">
        <v>2395</v>
      </c>
      <c r="O223" s="0" t="n">
        <v>16207</v>
      </c>
      <c r="P223" s="0" t="n">
        <v>233.31</v>
      </c>
      <c r="Q223" s="0" t="e">
        <f aca="false">VLOOKUP(C223,[1]'Cost Correction'!$C$6:$AJ$6767,34,0)</f>
        <v>#N/A</v>
      </c>
    </row>
    <row r="224" customFormat="false" ht="15" hidden="false" customHeight="false" outlineLevel="0" collapsed="false">
      <c r="A224" s="0" t="e">
        <f aca="false">E224&amp;K224&amp;Q224</f>
        <v>#N/A</v>
      </c>
      <c r="B224" s="0" t="s">
        <v>4876</v>
      </c>
      <c r="C224" s="0" t="s">
        <v>4879</v>
      </c>
      <c r="D224" s="0" t="s">
        <v>2385</v>
      </c>
      <c r="E224" s="0" t="n">
        <v>43311</v>
      </c>
      <c r="F224" s="0" t="s">
        <v>2380</v>
      </c>
      <c r="G224" s="0" t="n">
        <v>21358568</v>
      </c>
      <c r="H224" s="0" t="n">
        <v>720191</v>
      </c>
      <c r="I224" s="0" t="s">
        <v>34</v>
      </c>
      <c r="J224" s="0" t="s">
        <v>174</v>
      </c>
      <c r="K224" s="0" t="s">
        <v>2393</v>
      </c>
      <c r="O224" s="0" t="n">
        <v>1738</v>
      </c>
      <c r="P224" s="0" t="n">
        <v>22.2</v>
      </c>
      <c r="Q224" s="0" t="e">
        <f aca="false">VLOOKUP(C224,[1]'Cost Correction'!$C$6:$AJ$6767,34,0)</f>
        <v>#N/A</v>
      </c>
    </row>
    <row r="225" customFormat="false" ht="15" hidden="false" customHeight="false" outlineLevel="0" collapsed="false">
      <c r="A225" s="0" t="e">
        <f aca="false">E225&amp;K225&amp;Q225</f>
        <v>#N/A</v>
      </c>
      <c r="B225" s="0" t="s">
        <v>4880</v>
      </c>
      <c r="C225" s="0" t="s">
        <v>4881</v>
      </c>
      <c r="D225" s="0" t="s">
        <v>2385</v>
      </c>
      <c r="E225" s="0" t="n">
        <v>43311</v>
      </c>
      <c r="F225" s="0" t="s">
        <v>2380</v>
      </c>
      <c r="G225" s="0" t="n">
        <v>21358568</v>
      </c>
      <c r="H225" s="0" t="n">
        <v>720191</v>
      </c>
      <c r="I225" s="0" t="s">
        <v>34</v>
      </c>
      <c r="J225" s="0" t="s">
        <v>174</v>
      </c>
      <c r="K225" s="0" t="s">
        <v>2401</v>
      </c>
      <c r="L225" s="0" t="n">
        <v>224160783</v>
      </c>
      <c r="M225" s="0" t="s">
        <v>1973</v>
      </c>
      <c r="N225" s="0" t="n">
        <v>103051614</v>
      </c>
      <c r="O225" s="0" t="n">
        <v>492</v>
      </c>
      <c r="P225" s="0" t="n">
        <v>10.34</v>
      </c>
      <c r="Q225" s="0" t="e">
        <f aca="false">VLOOKUP(C225,[1]'Cost Correction'!$C$6:$AJ$6767,34,0)</f>
        <v>#N/A</v>
      </c>
    </row>
    <row r="226" customFormat="false" ht="15" hidden="false" customHeight="false" outlineLevel="0" collapsed="false">
      <c r="A226" s="0" t="e">
        <f aca="false">E226&amp;K226&amp;Q226</f>
        <v>#N/A</v>
      </c>
      <c r="B226" s="0" t="s">
        <v>4882</v>
      </c>
      <c r="C226" s="0" t="s">
        <v>4883</v>
      </c>
      <c r="D226" s="0" t="s">
        <v>2385</v>
      </c>
      <c r="E226" s="0" t="n">
        <v>43312</v>
      </c>
      <c r="F226" s="0" t="s">
        <v>2380</v>
      </c>
      <c r="G226" s="0" t="n">
        <v>21358568</v>
      </c>
      <c r="H226" s="0" t="n">
        <v>720191</v>
      </c>
      <c r="I226" s="0" t="s">
        <v>34</v>
      </c>
      <c r="J226" s="0" t="s">
        <v>174</v>
      </c>
      <c r="K226" s="0" t="s">
        <v>2401</v>
      </c>
      <c r="L226" s="0" t="n">
        <v>224160783</v>
      </c>
      <c r="M226" s="0" t="s">
        <v>1973</v>
      </c>
      <c r="N226" s="0" t="n">
        <v>103051614</v>
      </c>
      <c r="O226" s="0" t="n">
        <v>229</v>
      </c>
      <c r="P226" s="0" t="n">
        <v>3.81</v>
      </c>
      <c r="Q226" s="0" t="e">
        <f aca="false">VLOOKUP(C226,[1]'Cost Correction'!$C$6:$AJ$6767,34,0)</f>
        <v>#N/A</v>
      </c>
    </row>
    <row r="227" customFormat="false" ht="15" hidden="false" customHeight="false" outlineLevel="0" collapsed="false">
      <c r="A227" s="0" t="e">
        <f aca="false">E227&amp;K227&amp;Q227</f>
        <v>#N/A</v>
      </c>
      <c r="B227" s="0" t="s">
        <v>4884</v>
      </c>
      <c r="C227" s="0" t="s">
        <v>4885</v>
      </c>
      <c r="D227" s="0" t="s">
        <v>2385</v>
      </c>
      <c r="E227" s="0" t="n">
        <v>43312</v>
      </c>
      <c r="F227" s="0" t="s">
        <v>2380</v>
      </c>
      <c r="G227" s="0" t="n">
        <v>21358568</v>
      </c>
      <c r="H227" s="0" t="n">
        <v>720191</v>
      </c>
      <c r="I227" s="0" t="s">
        <v>34</v>
      </c>
      <c r="J227" s="0" t="s">
        <v>174</v>
      </c>
      <c r="K227" s="0" t="s">
        <v>2420</v>
      </c>
      <c r="L227" s="0" t="n">
        <v>224160771</v>
      </c>
      <c r="M227" s="0" t="s">
        <v>1981</v>
      </c>
      <c r="N227" s="0" t="n">
        <v>103048488</v>
      </c>
      <c r="O227" s="0" t="n">
        <v>1055</v>
      </c>
      <c r="P227" s="0" t="n">
        <v>16.97</v>
      </c>
      <c r="Q227" s="0" t="e">
        <f aca="false">VLOOKUP(C227,[1]'Cost Correction'!$C$6:$AJ$6767,34,0)</f>
        <v>#N/A</v>
      </c>
    </row>
    <row r="228" customFormat="false" ht="15" hidden="false" customHeight="false" outlineLevel="0" collapsed="false">
      <c r="A228" s="0" t="e">
        <f aca="false">E228&amp;K228&amp;Q228</f>
        <v>#N/A</v>
      </c>
      <c r="B228" s="0" t="s">
        <v>4884</v>
      </c>
      <c r="C228" s="0" t="s">
        <v>4886</v>
      </c>
      <c r="D228" s="0" t="s">
        <v>2385</v>
      </c>
      <c r="E228" s="0" t="n">
        <v>43312</v>
      </c>
      <c r="F228" s="0" t="s">
        <v>2380</v>
      </c>
      <c r="G228" s="0" t="n">
        <v>21358568</v>
      </c>
      <c r="H228" s="0" t="n">
        <v>720191</v>
      </c>
      <c r="I228" s="0" t="s">
        <v>34</v>
      </c>
      <c r="J228" s="0" t="s">
        <v>174</v>
      </c>
      <c r="K228" s="0" t="s">
        <v>2389</v>
      </c>
      <c r="L228" s="0" t="n">
        <v>224160771</v>
      </c>
      <c r="M228" s="0" t="s">
        <v>1981</v>
      </c>
      <c r="N228" s="0" t="n">
        <v>103048488</v>
      </c>
      <c r="O228" s="0" t="n">
        <v>1214</v>
      </c>
      <c r="P228" s="0" t="n">
        <v>18.98</v>
      </c>
      <c r="Q228" s="0" t="e">
        <f aca="false">VLOOKUP(C228,[1]'Cost Correction'!$C$6:$AJ$6767,34,0)</f>
        <v>#N/A</v>
      </c>
    </row>
    <row r="229" customFormat="false" ht="15" hidden="false" customHeight="false" outlineLevel="0" collapsed="false">
      <c r="A229" s="0" t="e">
        <f aca="false">E229&amp;K229&amp;Q229</f>
        <v>#N/A</v>
      </c>
      <c r="B229" s="0" t="s">
        <v>4887</v>
      </c>
      <c r="C229" s="0" t="s">
        <v>4888</v>
      </c>
      <c r="D229" s="0" t="s">
        <v>2385</v>
      </c>
      <c r="E229" s="0" t="n">
        <v>43312</v>
      </c>
      <c r="F229" s="0" t="s">
        <v>2380</v>
      </c>
      <c r="G229" s="0" t="n">
        <v>21358568</v>
      </c>
      <c r="H229" s="0" t="n">
        <v>720191</v>
      </c>
      <c r="I229" s="0" t="s">
        <v>34</v>
      </c>
      <c r="J229" s="0" t="s">
        <v>174</v>
      </c>
      <c r="K229" s="0" t="s">
        <v>2433</v>
      </c>
      <c r="L229" s="0" t="n">
        <v>224160780</v>
      </c>
      <c r="M229" s="0" t="s">
        <v>1975</v>
      </c>
      <c r="N229" s="0" t="n">
        <v>103186904</v>
      </c>
      <c r="O229" s="0" t="n">
        <v>223</v>
      </c>
      <c r="P229" s="0" t="n">
        <v>5.4</v>
      </c>
      <c r="Q229" s="0" t="e">
        <f aca="false">VLOOKUP(C229,[1]'Cost Correction'!$C$6:$AJ$6767,34,0)</f>
        <v>#N/A</v>
      </c>
    </row>
    <row r="230" customFormat="false" ht="15" hidden="false" customHeight="false" outlineLevel="0" collapsed="false">
      <c r="A230" s="0" t="e">
        <f aca="false">E230&amp;K230&amp;Q230</f>
        <v>#N/A</v>
      </c>
      <c r="B230" s="0" t="s">
        <v>4887</v>
      </c>
      <c r="C230" s="0" t="s">
        <v>4889</v>
      </c>
      <c r="D230" s="0" t="s">
        <v>2385</v>
      </c>
      <c r="E230" s="0" t="n">
        <v>43312</v>
      </c>
      <c r="F230" s="0" t="s">
        <v>2380</v>
      </c>
      <c r="G230" s="0" t="n">
        <v>21358568</v>
      </c>
      <c r="H230" s="0" t="n">
        <v>720191</v>
      </c>
      <c r="I230" s="0" t="s">
        <v>34</v>
      </c>
      <c r="J230" s="0" t="s">
        <v>174</v>
      </c>
      <c r="K230" s="0" t="s">
        <v>2429</v>
      </c>
      <c r="L230" s="0" t="n">
        <v>224160780</v>
      </c>
      <c r="M230" s="0" t="s">
        <v>1975</v>
      </c>
      <c r="N230" s="0" t="n">
        <v>103186904</v>
      </c>
      <c r="O230" s="0" t="n">
        <v>1111</v>
      </c>
      <c r="P230" s="0" t="n">
        <v>11.73</v>
      </c>
      <c r="Q230" s="0" t="e">
        <f aca="false">VLOOKUP(C230,[1]'Cost Correction'!$C$6:$AJ$6767,34,0)</f>
        <v>#N/A</v>
      </c>
    </row>
    <row r="231" customFormat="false" ht="15" hidden="false" customHeight="false" outlineLevel="0" collapsed="false">
      <c r="A231" s="0" t="e">
        <f aca="false">E231&amp;K231&amp;Q231</f>
        <v>#N/A</v>
      </c>
      <c r="B231" s="0" t="s">
        <v>4890</v>
      </c>
      <c r="C231" s="0" t="s">
        <v>4891</v>
      </c>
      <c r="D231" s="0" t="s">
        <v>2385</v>
      </c>
      <c r="E231" s="0" t="n">
        <v>43312</v>
      </c>
      <c r="F231" s="0" t="s">
        <v>2380</v>
      </c>
      <c r="G231" s="0" t="n">
        <v>21358568</v>
      </c>
      <c r="H231" s="0" t="n">
        <v>720191</v>
      </c>
      <c r="I231" s="0" t="s">
        <v>34</v>
      </c>
      <c r="J231" s="0" t="s">
        <v>174</v>
      </c>
      <c r="K231" s="0" t="s">
        <v>2397</v>
      </c>
      <c r="O231" s="0" t="n">
        <v>2760</v>
      </c>
      <c r="P231" s="0" t="n">
        <v>48.44</v>
      </c>
      <c r="Q231" s="0" t="e">
        <f aca="false">VLOOKUP(C231,[1]'Cost Correction'!$C$6:$AJ$6767,34,0)</f>
        <v>#N/A</v>
      </c>
    </row>
    <row r="232" customFormat="false" ht="15" hidden="false" customHeight="false" outlineLevel="0" collapsed="false">
      <c r="A232" s="0" t="e">
        <f aca="false">E232&amp;K232&amp;Q232</f>
        <v>#N/A</v>
      </c>
      <c r="B232" s="0" t="s">
        <v>4890</v>
      </c>
      <c r="C232" s="0" t="s">
        <v>4892</v>
      </c>
      <c r="D232" s="0" t="s">
        <v>2385</v>
      </c>
      <c r="E232" s="0" t="n">
        <v>43312</v>
      </c>
      <c r="F232" s="0" t="s">
        <v>2380</v>
      </c>
      <c r="G232" s="0" t="n">
        <v>21358568</v>
      </c>
      <c r="H232" s="0" t="n">
        <v>720191</v>
      </c>
      <c r="I232" s="0" t="s">
        <v>34</v>
      </c>
      <c r="J232" s="0" t="s">
        <v>174</v>
      </c>
      <c r="K232" s="0" t="s">
        <v>2395</v>
      </c>
      <c r="O232" s="0" t="n">
        <v>13842</v>
      </c>
      <c r="P232" s="0" t="n">
        <v>202.57</v>
      </c>
      <c r="Q232" s="0" t="e">
        <f aca="false">VLOOKUP(C232,[1]'Cost Correction'!$C$6:$AJ$6767,34,0)</f>
        <v>#N/A</v>
      </c>
    </row>
    <row r="233" customFormat="false" ht="15" hidden="false" customHeight="false" outlineLevel="0" collapsed="false">
      <c r="A233" s="0" t="e">
        <f aca="false">E233&amp;K233&amp;Q233</f>
        <v>#N/A</v>
      </c>
      <c r="B233" s="0" t="s">
        <v>4890</v>
      </c>
      <c r="C233" s="0" t="s">
        <v>4893</v>
      </c>
      <c r="D233" s="0" t="s">
        <v>2385</v>
      </c>
      <c r="E233" s="0" t="n">
        <v>43312</v>
      </c>
      <c r="F233" s="0" t="s">
        <v>2380</v>
      </c>
      <c r="G233" s="0" t="n">
        <v>21358568</v>
      </c>
      <c r="H233" s="0" t="n">
        <v>720191</v>
      </c>
      <c r="I233" s="0" t="s">
        <v>34</v>
      </c>
      <c r="J233" s="0" t="s">
        <v>174</v>
      </c>
      <c r="K233" s="0" t="s">
        <v>2393</v>
      </c>
      <c r="O233" s="0" t="n">
        <v>1752</v>
      </c>
      <c r="P233" s="0" t="n">
        <v>26.32</v>
      </c>
      <c r="Q233" s="0" t="e">
        <f aca="false">VLOOKUP(C233,[1]'Cost Correction'!$C$6:$AJ$6767,34,0)</f>
        <v>#N/A</v>
      </c>
    </row>
    <row r="234" customFormat="false" ht="15" hidden="false" customHeight="false" outlineLevel="0" collapsed="false">
      <c r="A234" s="0" t="e">
        <f aca="false">E234&amp;K234&amp;Q234</f>
        <v>#N/A</v>
      </c>
      <c r="B234" s="0" t="s">
        <v>4894</v>
      </c>
      <c r="C234" s="0" t="s">
        <v>4895</v>
      </c>
      <c r="D234" s="0" t="s">
        <v>2385</v>
      </c>
      <c r="E234" s="0" t="n">
        <v>43312</v>
      </c>
      <c r="F234" s="0" t="s">
        <v>2380</v>
      </c>
      <c r="G234" s="0" t="n">
        <v>21358568</v>
      </c>
      <c r="H234" s="0" t="n">
        <v>720191</v>
      </c>
      <c r="I234" s="0" t="s">
        <v>34</v>
      </c>
      <c r="J234" s="0" t="s">
        <v>174</v>
      </c>
      <c r="K234" s="0" t="s">
        <v>2416</v>
      </c>
      <c r="L234" s="0" t="n">
        <v>224160774</v>
      </c>
      <c r="M234" s="0" t="s">
        <v>1979</v>
      </c>
      <c r="N234" s="0" t="n">
        <v>103186910</v>
      </c>
      <c r="O234" s="0" t="n">
        <v>5034</v>
      </c>
      <c r="P234" s="0" t="n">
        <v>54.43</v>
      </c>
      <c r="Q234" s="0" t="e">
        <f aca="false">VLOOKUP(C234,[1]'Cost Correction'!$C$6:$AJ$6767,34,0)</f>
        <v>#N/A</v>
      </c>
    </row>
    <row r="235" customFormat="false" ht="15" hidden="false" customHeight="false" outlineLevel="0" collapsed="false">
      <c r="A235" s="0" t="e">
        <f aca="false">E235&amp;K235&amp;Q235</f>
        <v>#N/A</v>
      </c>
      <c r="B235" s="0" t="s">
        <v>4894</v>
      </c>
      <c r="C235" s="0" t="s">
        <v>4896</v>
      </c>
      <c r="D235" s="0" t="s">
        <v>2385</v>
      </c>
      <c r="E235" s="0" t="n">
        <v>43312</v>
      </c>
      <c r="F235" s="0" t="s">
        <v>2380</v>
      </c>
      <c r="G235" s="0" t="n">
        <v>21358568</v>
      </c>
      <c r="H235" s="0" t="n">
        <v>720191</v>
      </c>
      <c r="I235" s="0" t="s">
        <v>34</v>
      </c>
      <c r="J235" s="0" t="s">
        <v>174</v>
      </c>
      <c r="K235" s="0" t="s">
        <v>2405</v>
      </c>
      <c r="L235" s="0" t="n">
        <v>224160774</v>
      </c>
      <c r="M235" s="0" t="s">
        <v>1979</v>
      </c>
      <c r="N235" s="0" t="n">
        <v>103186910</v>
      </c>
      <c r="O235" s="0" t="n">
        <v>676</v>
      </c>
      <c r="P235" s="0" t="n">
        <v>20.79</v>
      </c>
      <c r="Q235" s="0" t="e">
        <f aca="false">VLOOKUP(C235,[1]'Cost Correction'!$C$6:$AJ$6767,34,0)</f>
        <v>#N/A</v>
      </c>
    </row>
    <row r="236" customFormat="false" ht="15" hidden="false" customHeight="false" outlineLevel="0" collapsed="false">
      <c r="A236" s="0" t="e">
        <f aca="false">E236&amp;K236&amp;Q236</f>
        <v>#N/A</v>
      </c>
      <c r="B236" s="0" t="s">
        <v>4897</v>
      </c>
      <c r="C236" s="0" t="s">
        <v>4898</v>
      </c>
      <c r="D236" s="0" t="s">
        <v>2385</v>
      </c>
      <c r="E236" s="0" t="n">
        <v>43312</v>
      </c>
      <c r="F236" s="0" t="s">
        <v>2380</v>
      </c>
      <c r="G236" s="0" t="n">
        <v>21358568</v>
      </c>
      <c r="H236" s="0" t="n">
        <v>720191</v>
      </c>
      <c r="I236" s="0" t="s">
        <v>34</v>
      </c>
      <c r="J236" s="0" t="s">
        <v>174</v>
      </c>
      <c r="K236" s="0" t="s">
        <v>2381</v>
      </c>
      <c r="L236" s="0" t="n">
        <v>224160777</v>
      </c>
      <c r="M236" s="0" t="s">
        <v>1977</v>
      </c>
      <c r="N236" s="0" t="n">
        <v>103048479</v>
      </c>
      <c r="O236" s="0" t="n">
        <v>1322</v>
      </c>
      <c r="P236" s="0" t="n">
        <v>21.72</v>
      </c>
      <c r="Q236" s="0" t="e">
        <f aca="false">VLOOKUP(C236,[1]'Cost Correction'!$C$6:$AJ$6767,34,0)</f>
        <v>#N/A</v>
      </c>
    </row>
    <row r="237" customFormat="false" ht="15" hidden="false" customHeight="false" outlineLevel="0" collapsed="false">
      <c r="A237" s="0" t="e">
        <f aca="false">E237&amp;K237&amp;Q237</f>
        <v>#N/A</v>
      </c>
      <c r="B237" s="0" t="s">
        <v>4897</v>
      </c>
      <c r="C237" s="0" t="s">
        <v>4899</v>
      </c>
      <c r="D237" s="0" t="s">
        <v>2385</v>
      </c>
      <c r="E237" s="0" t="n">
        <v>43312</v>
      </c>
      <c r="F237" s="0" t="s">
        <v>2380</v>
      </c>
      <c r="G237" s="0" t="n">
        <v>21358568</v>
      </c>
      <c r="H237" s="0" t="n">
        <v>720191</v>
      </c>
      <c r="I237" s="0" t="s">
        <v>34</v>
      </c>
      <c r="J237" s="0" t="s">
        <v>174</v>
      </c>
      <c r="K237" s="0" t="s">
        <v>2412</v>
      </c>
      <c r="L237" s="0" t="n">
        <v>224160777</v>
      </c>
      <c r="M237" s="0" t="s">
        <v>1977</v>
      </c>
      <c r="N237" s="0" t="n">
        <v>103048479</v>
      </c>
      <c r="O237" s="0" t="n">
        <v>4945</v>
      </c>
      <c r="P237" s="0" t="n">
        <v>86.95</v>
      </c>
      <c r="Q237" s="0" t="e">
        <f aca="false">VLOOKUP(C237,[1]'Cost Correction'!$C$6:$AJ$6767,34,0)</f>
        <v>#N/A</v>
      </c>
    </row>
    <row r="238" customFormat="false" ht="15" hidden="false" customHeight="false" outlineLevel="0" collapsed="false">
      <c r="A238" s="0" t="str">
        <f aca="false">E238&amp;K238&amp;Q238</f>
        <v>43312Facebook»LAL»1x1»TextLink»SOC»DT»DYN»LAL»W»NA»SS»NA»Free Account Refresh- 200 Credit ChD103186907</v>
      </c>
      <c r="B238" s="0" t="s">
        <v>4900</v>
      </c>
      <c r="C238" s="0" t="s">
        <v>4901</v>
      </c>
      <c r="D238" s="0" t="s">
        <v>2385</v>
      </c>
      <c r="E238" s="0" t="n">
        <v>43312</v>
      </c>
      <c r="F238" s="0" t="s">
        <v>2380</v>
      </c>
      <c r="G238" s="0" t="n">
        <v>21358568</v>
      </c>
      <c r="H238" s="0" t="n">
        <v>720191</v>
      </c>
      <c r="I238" s="0" t="s">
        <v>34</v>
      </c>
      <c r="J238" s="0" t="s">
        <v>174</v>
      </c>
      <c r="K238" s="0" t="s">
        <v>2064</v>
      </c>
      <c r="L238" s="0" t="n">
        <v>224160720</v>
      </c>
      <c r="M238" s="0" t="s">
        <v>2065</v>
      </c>
      <c r="N238" s="0" t="n">
        <v>103186907</v>
      </c>
      <c r="O238" s="0" t="n">
        <v>953</v>
      </c>
      <c r="P238" s="0" t="n">
        <v>17.3</v>
      </c>
      <c r="Q238" s="0" t="n">
        <f aca="false">VLOOKUP(C238,[1]'Cost Correction'!$C$6:$AJ$6767,34,0)</f>
        <v>103186907</v>
      </c>
    </row>
    <row r="239" customFormat="false" ht="15" hidden="false" customHeight="false" outlineLevel="0" collapsed="false">
      <c r="A239" s="0" t="str">
        <f aca="false">E239&amp;K239&amp;Q239</f>
        <v>43312Facebook»LAL»1x1»TextLink»SOC»DT»DYN»LAL»W»NA»SS»NA»Free Account Refresh- Device ChB103048485</v>
      </c>
      <c r="B239" s="0" t="s">
        <v>4902</v>
      </c>
      <c r="C239" s="0" t="s">
        <v>4903</v>
      </c>
      <c r="D239" s="0" t="s">
        <v>2385</v>
      </c>
      <c r="E239" s="0" t="n">
        <v>43312</v>
      </c>
      <c r="F239" s="0" t="s">
        <v>2380</v>
      </c>
      <c r="G239" s="0" t="n">
        <v>21358568</v>
      </c>
      <c r="H239" s="0" t="n">
        <v>720191</v>
      </c>
      <c r="I239" s="0" t="s">
        <v>34</v>
      </c>
      <c r="J239" s="0" t="s">
        <v>174</v>
      </c>
      <c r="K239" s="0" t="s">
        <v>2066</v>
      </c>
      <c r="L239" s="0" t="n">
        <v>224160717</v>
      </c>
      <c r="M239" s="0" t="s">
        <v>2067</v>
      </c>
      <c r="N239" s="0" t="n">
        <v>103048485</v>
      </c>
      <c r="O239" s="0" t="n">
        <v>4795</v>
      </c>
      <c r="P239" s="0" t="n">
        <v>91.03</v>
      </c>
      <c r="Q239" s="0" t="n">
        <f aca="false">VLOOKUP(C239,[1]'Cost Correction'!$C$6:$AJ$6767,34,0)</f>
        <v>103048485</v>
      </c>
    </row>
    <row r="240" customFormat="false" ht="15" hidden="false" customHeight="false" outlineLevel="0" collapsed="false">
      <c r="A240" s="0" t="e">
        <f aca="false">E240&amp;K240&amp;Q240</f>
        <v>#N/A</v>
      </c>
      <c r="B240" s="0" t="s">
        <v>4904</v>
      </c>
      <c r="C240" s="0" t="s">
        <v>4905</v>
      </c>
      <c r="D240" s="0" t="s">
        <v>2385</v>
      </c>
      <c r="E240" s="0" t="n">
        <v>43312</v>
      </c>
      <c r="F240" s="0" t="s">
        <v>2380</v>
      </c>
      <c r="G240" s="0" t="n">
        <v>21358568</v>
      </c>
      <c r="H240" s="0" t="n">
        <v>720191</v>
      </c>
      <c r="I240" s="0" t="s">
        <v>34</v>
      </c>
      <c r="J240" s="0" t="s">
        <v>174</v>
      </c>
      <c r="K240" s="0" t="s">
        <v>2068</v>
      </c>
      <c r="L240" s="0" t="n">
        <v>224160714</v>
      </c>
      <c r="M240" s="0" t="s">
        <v>2069</v>
      </c>
      <c r="N240" s="0" t="n">
        <v>103186916</v>
      </c>
      <c r="O240" s="0" t="n">
        <v>1067</v>
      </c>
      <c r="P240" s="0" t="n">
        <v>30.11</v>
      </c>
      <c r="Q240" s="0" t="e">
        <f aca="false">VLOOKUP(C240,[1]'Cost Correction'!$C$6:$AJ$6767,34,0)</f>
        <v>#N/A</v>
      </c>
    </row>
    <row r="241" customFormat="false" ht="15" hidden="false" customHeight="false" outlineLevel="0" collapsed="false">
      <c r="A241" s="0" t="str">
        <f aca="false">E241&amp;K241&amp;Q241</f>
        <v>43312Facebook»LAL»1x1»TextLink»SOC»DT»DYN»LAL»W»NA»SS»NA»Free Account Refresh- Lifestyle ChA103048491</v>
      </c>
      <c r="B241" s="0" t="s">
        <v>4906</v>
      </c>
      <c r="C241" s="0" t="s">
        <v>4907</v>
      </c>
      <c r="D241" s="0" t="s">
        <v>2385</v>
      </c>
      <c r="E241" s="0" t="n">
        <v>43312</v>
      </c>
      <c r="F241" s="0" t="s">
        <v>2380</v>
      </c>
      <c r="G241" s="0" t="n">
        <v>21358568</v>
      </c>
      <c r="H241" s="0" t="n">
        <v>720191</v>
      </c>
      <c r="I241" s="0" t="s">
        <v>34</v>
      </c>
      <c r="J241" s="0" t="s">
        <v>174</v>
      </c>
      <c r="K241" s="0" t="s">
        <v>2070</v>
      </c>
      <c r="L241" s="0" t="n">
        <v>224160711</v>
      </c>
      <c r="M241" s="0" t="s">
        <v>2071</v>
      </c>
      <c r="N241" s="0" t="n">
        <v>103048491</v>
      </c>
      <c r="O241" s="0" t="n">
        <v>1347</v>
      </c>
      <c r="P241" s="0" t="n">
        <v>31.72</v>
      </c>
      <c r="Q241" s="0" t="n">
        <f aca="false">VLOOKUP(C241,[1]'Cost Correction'!$C$6:$AJ$6767,34,0)</f>
        <v>103048491</v>
      </c>
    </row>
    <row r="242" customFormat="false" ht="15" hidden="false" customHeight="false" outlineLevel="0" collapsed="false">
      <c r="A242" s="0" t="str">
        <f aca="false">E242&amp;K242&amp;Q242</f>
        <v>43313Facebook»LAL»1x1»TextLink»SOC»DT»DYN»LAL»W»NA»SS»NA»Free Account Refresh- Device ChB103048485</v>
      </c>
      <c r="B242" s="0" t="s">
        <v>4908</v>
      </c>
      <c r="C242" s="0" t="s">
        <v>4909</v>
      </c>
      <c r="D242" s="0" t="s">
        <v>2385</v>
      </c>
      <c r="E242" s="0" t="n">
        <v>43313</v>
      </c>
      <c r="F242" s="0" t="s">
        <v>2380</v>
      </c>
      <c r="G242" s="0" t="n">
        <v>21358568</v>
      </c>
      <c r="H242" s="0" t="n">
        <v>720191</v>
      </c>
      <c r="I242" s="0" t="s">
        <v>34</v>
      </c>
      <c r="J242" s="0" t="s">
        <v>174</v>
      </c>
      <c r="K242" s="0" t="s">
        <v>2066</v>
      </c>
      <c r="L242" s="0" t="n">
        <v>224160717</v>
      </c>
      <c r="M242" s="0" t="s">
        <v>2067</v>
      </c>
      <c r="N242" s="0" t="n">
        <v>103048485</v>
      </c>
      <c r="O242" s="0" t="n">
        <v>12042</v>
      </c>
      <c r="P242" s="0" t="n">
        <v>267.8</v>
      </c>
      <c r="Q242" s="0" t="n">
        <f aca="false">VLOOKUP(C242,[1]'Cost Correction'!$C$6:$AJ$6767,34,0)</f>
        <v>103048485</v>
      </c>
    </row>
    <row r="243" customFormat="false" ht="15" hidden="false" customHeight="false" outlineLevel="0" collapsed="false">
      <c r="A243" s="0" t="e">
        <f aca="false">E243&amp;K243&amp;Q243</f>
        <v>#N/A</v>
      </c>
      <c r="B243" s="0" t="s">
        <v>4910</v>
      </c>
      <c r="C243" s="0" t="s">
        <v>4911</v>
      </c>
      <c r="D243" s="0" t="s">
        <v>2385</v>
      </c>
      <c r="E243" s="0" t="n">
        <v>43313</v>
      </c>
      <c r="F243" s="0" t="s">
        <v>2380</v>
      </c>
      <c r="G243" s="0" t="n">
        <v>21358568</v>
      </c>
      <c r="H243" s="0" t="n">
        <v>720191</v>
      </c>
      <c r="I243" s="0" t="s">
        <v>34</v>
      </c>
      <c r="J243" s="0" t="s">
        <v>174</v>
      </c>
      <c r="K243" s="0" t="s">
        <v>2412</v>
      </c>
      <c r="L243" s="0" t="n">
        <v>224160777</v>
      </c>
      <c r="M243" s="0" t="s">
        <v>1977</v>
      </c>
      <c r="N243" s="0" t="n">
        <v>103048479</v>
      </c>
      <c r="O243" s="0" t="n">
        <v>5746</v>
      </c>
      <c r="P243" s="0" t="n">
        <v>95.48</v>
      </c>
      <c r="Q243" s="0" t="e">
        <f aca="false">VLOOKUP(C243,[1]'Cost Correction'!$C$6:$AJ$6767,34,0)</f>
        <v>#N/A</v>
      </c>
    </row>
    <row r="244" customFormat="false" ht="15" hidden="false" customHeight="false" outlineLevel="0" collapsed="false">
      <c r="A244" s="0" t="e">
        <f aca="false">E244&amp;K244&amp;Q244</f>
        <v>#N/A</v>
      </c>
      <c r="B244" s="0" t="s">
        <v>4910</v>
      </c>
      <c r="C244" s="0" t="s">
        <v>4912</v>
      </c>
      <c r="D244" s="0" t="s">
        <v>2385</v>
      </c>
      <c r="E244" s="0" t="n">
        <v>43313</v>
      </c>
      <c r="F244" s="0" t="s">
        <v>2380</v>
      </c>
      <c r="G244" s="0" t="n">
        <v>21358568</v>
      </c>
      <c r="H244" s="0" t="n">
        <v>720191</v>
      </c>
      <c r="I244" s="0" t="s">
        <v>34</v>
      </c>
      <c r="J244" s="0" t="s">
        <v>174</v>
      </c>
      <c r="K244" s="0" t="s">
        <v>2381</v>
      </c>
      <c r="L244" s="0" t="n">
        <v>224160777</v>
      </c>
      <c r="M244" s="0" t="s">
        <v>1977</v>
      </c>
      <c r="N244" s="0" t="n">
        <v>103048479</v>
      </c>
      <c r="O244" s="0" t="n">
        <v>2940</v>
      </c>
      <c r="P244" s="0" t="n">
        <v>28.06</v>
      </c>
      <c r="Q244" s="0" t="e">
        <f aca="false">VLOOKUP(C244,[1]'Cost Correction'!$C$6:$AJ$6767,34,0)</f>
        <v>#N/A</v>
      </c>
    </row>
    <row r="245" customFormat="false" ht="15" hidden="false" customHeight="false" outlineLevel="0" collapsed="false">
      <c r="A245" s="0" t="e">
        <f aca="false">E245&amp;K245&amp;Q245</f>
        <v>#N/A</v>
      </c>
      <c r="B245" s="0" t="s">
        <v>4913</v>
      </c>
      <c r="C245" s="0" t="s">
        <v>4914</v>
      </c>
      <c r="D245" s="0" t="s">
        <v>2385</v>
      </c>
      <c r="E245" s="0" t="n">
        <v>43313</v>
      </c>
      <c r="F245" s="0" t="s">
        <v>2380</v>
      </c>
      <c r="G245" s="0" t="n">
        <v>21358568</v>
      </c>
      <c r="H245" s="0" t="n">
        <v>720191</v>
      </c>
      <c r="I245" s="0" t="s">
        <v>34</v>
      </c>
      <c r="J245" s="0" t="s">
        <v>174</v>
      </c>
      <c r="K245" s="0" t="s">
        <v>2395</v>
      </c>
      <c r="O245" s="0" t="n">
        <v>27398</v>
      </c>
      <c r="P245" s="0" t="n">
        <v>360.34</v>
      </c>
      <c r="Q245" s="0" t="e">
        <f aca="false">VLOOKUP(C245,[1]'Cost Correction'!$C$6:$AJ$6767,34,0)</f>
        <v>#N/A</v>
      </c>
    </row>
    <row r="246" customFormat="false" ht="15" hidden="false" customHeight="false" outlineLevel="0" collapsed="false">
      <c r="A246" s="0" t="e">
        <f aca="false">E246&amp;K246&amp;Q246</f>
        <v>#N/A</v>
      </c>
      <c r="B246" s="0" t="s">
        <v>4913</v>
      </c>
      <c r="C246" s="0" t="s">
        <v>4915</v>
      </c>
      <c r="D246" s="0" t="s">
        <v>2385</v>
      </c>
      <c r="E246" s="0" t="n">
        <v>43313</v>
      </c>
      <c r="F246" s="0" t="s">
        <v>2380</v>
      </c>
      <c r="G246" s="0" t="n">
        <v>21358568</v>
      </c>
      <c r="H246" s="0" t="n">
        <v>720191</v>
      </c>
      <c r="I246" s="0" t="s">
        <v>34</v>
      </c>
      <c r="J246" s="0" t="s">
        <v>174</v>
      </c>
      <c r="K246" s="0" t="s">
        <v>2397</v>
      </c>
      <c r="O246" s="0" t="n">
        <v>3044</v>
      </c>
      <c r="P246" s="0" t="n">
        <v>46.44</v>
      </c>
      <c r="Q246" s="0" t="e">
        <f aca="false">VLOOKUP(C246,[1]'Cost Correction'!$C$6:$AJ$6767,34,0)</f>
        <v>#N/A</v>
      </c>
    </row>
    <row r="247" customFormat="false" ht="15" hidden="false" customHeight="false" outlineLevel="0" collapsed="false">
      <c r="A247" s="0" t="e">
        <f aca="false">E247&amp;K247&amp;Q247</f>
        <v>#N/A</v>
      </c>
      <c r="B247" s="0" t="s">
        <v>4913</v>
      </c>
      <c r="C247" s="0" t="s">
        <v>4916</v>
      </c>
      <c r="D247" s="0" t="s">
        <v>2385</v>
      </c>
      <c r="E247" s="0" t="n">
        <v>43313</v>
      </c>
      <c r="F247" s="0" t="s">
        <v>2380</v>
      </c>
      <c r="G247" s="0" t="n">
        <v>21358568</v>
      </c>
      <c r="H247" s="0" t="n">
        <v>720191</v>
      </c>
      <c r="I247" s="0" t="s">
        <v>34</v>
      </c>
      <c r="J247" s="0" t="s">
        <v>174</v>
      </c>
      <c r="K247" s="0" t="s">
        <v>2393</v>
      </c>
      <c r="O247" s="0" t="n">
        <v>7938</v>
      </c>
      <c r="P247" s="0" t="n">
        <v>108.6</v>
      </c>
      <c r="Q247" s="0" t="e">
        <f aca="false">VLOOKUP(C247,[1]'Cost Correction'!$C$6:$AJ$6767,34,0)</f>
        <v>#N/A</v>
      </c>
    </row>
    <row r="248" customFormat="false" ht="15" hidden="false" customHeight="false" outlineLevel="0" collapsed="false">
      <c r="A248" s="0" t="e">
        <f aca="false">E248&amp;K248&amp;Q248</f>
        <v>#N/A</v>
      </c>
      <c r="B248" s="0" t="s">
        <v>4917</v>
      </c>
      <c r="C248" s="0" t="s">
        <v>4918</v>
      </c>
      <c r="D248" s="0" t="s">
        <v>2385</v>
      </c>
      <c r="E248" s="0" t="n">
        <v>43313</v>
      </c>
      <c r="F248" s="0" t="s">
        <v>2380</v>
      </c>
      <c r="G248" s="0" t="n">
        <v>21358568</v>
      </c>
      <c r="H248" s="0" t="n">
        <v>720191</v>
      </c>
      <c r="I248" s="0" t="s">
        <v>34</v>
      </c>
      <c r="J248" s="0" t="s">
        <v>174</v>
      </c>
      <c r="K248" s="0" t="s">
        <v>2416</v>
      </c>
      <c r="L248" s="0" t="n">
        <v>224160774</v>
      </c>
      <c r="M248" s="0" t="s">
        <v>1979</v>
      </c>
      <c r="N248" s="0" t="n">
        <v>103186910</v>
      </c>
      <c r="O248" s="0" t="n">
        <v>14282</v>
      </c>
      <c r="P248" s="0" t="n">
        <v>206.84</v>
      </c>
      <c r="Q248" s="0" t="e">
        <f aca="false">VLOOKUP(C248,[1]'Cost Correction'!$C$6:$AJ$6767,34,0)</f>
        <v>#N/A</v>
      </c>
    </row>
    <row r="249" customFormat="false" ht="15" hidden="false" customHeight="false" outlineLevel="0" collapsed="false">
      <c r="A249" s="0" t="e">
        <f aca="false">E249&amp;K249&amp;Q249</f>
        <v>#N/A</v>
      </c>
      <c r="B249" s="0" t="s">
        <v>4917</v>
      </c>
      <c r="C249" s="0" t="s">
        <v>4919</v>
      </c>
      <c r="D249" s="0" t="s">
        <v>2385</v>
      </c>
      <c r="E249" s="0" t="n">
        <v>43313</v>
      </c>
      <c r="F249" s="0" t="s">
        <v>2380</v>
      </c>
      <c r="G249" s="0" t="n">
        <v>21358568</v>
      </c>
      <c r="H249" s="0" t="n">
        <v>720191</v>
      </c>
      <c r="I249" s="0" t="s">
        <v>34</v>
      </c>
      <c r="J249" s="0" t="s">
        <v>174</v>
      </c>
      <c r="K249" s="0" t="s">
        <v>2405</v>
      </c>
      <c r="L249" s="0" t="n">
        <v>224160774</v>
      </c>
      <c r="M249" s="0" t="s">
        <v>1979</v>
      </c>
      <c r="N249" s="0" t="n">
        <v>103186910</v>
      </c>
      <c r="O249" s="0" t="n">
        <v>2508</v>
      </c>
      <c r="P249" s="0" t="n">
        <v>68.62</v>
      </c>
      <c r="Q249" s="0" t="e">
        <f aca="false">VLOOKUP(C249,[1]'Cost Correction'!$C$6:$AJ$6767,34,0)</f>
        <v>#N/A</v>
      </c>
    </row>
    <row r="250" customFormat="false" ht="15" hidden="false" customHeight="false" outlineLevel="0" collapsed="false">
      <c r="A250" s="0" t="str">
        <f aca="false">E250&amp;K250&amp;Q250</f>
        <v>43313Facebook»LAL»1x1»TextLink»SOC»DT»DYN»LAL»W»NA»SS»NA»Free Account Refresh- 200 Credit ChD103186907</v>
      </c>
      <c r="B250" s="0" t="s">
        <v>4920</v>
      </c>
      <c r="C250" s="0" t="s">
        <v>4921</v>
      </c>
      <c r="D250" s="0" t="s">
        <v>2385</v>
      </c>
      <c r="E250" s="0" t="n">
        <v>43313</v>
      </c>
      <c r="F250" s="0" t="s">
        <v>2380</v>
      </c>
      <c r="G250" s="0" t="n">
        <v>21358568</v>
      </c>
      <c r="H250" s="0" t="n">
        <v>720191</v>
      </c>
      <c r="I250" s="0" t="s">
        <v>34</v>
      </c>
      <c r="J250" s="0" t="s">
        <v>174</v>
      </c>
      <c r="K250" s="0" t="s">
        <v>2064</v>
      </c>
      <c r="L250" s="0" t="n">
        <v>224160720</v>
      </c>
      <c r="M250" s="0" t="s">
        <v>2065</v>
      </c>
      <c r="N250" s="0" t="n">
        <v>103186907</v>
      </c>
      <c r="O250" s="0" t="n">
        <v>2656</v>
      </c>
      <c r="P250" s="0" t="n">
        <v>35.64</v>
      </c>
      <c r="Q250" s="0" t="n">
        <f aca="false">VLOOKUP(C250,[1]'Cost Correction'!$C$6:$AJ$6767,34,0)</f>
        <v>103186907</v>
      </c>
    </row>
    <row r="251" customFormat="false" ht="15" hidden="false" customHeight="false" outlineLevel="0" collapsed="false">
      <c r="A251" s="0" t="str">
        <f aca="false">E251&amp;K251&amp;Q251</f>
        <v>43313Facebook»LAL»1x1»TextLink»SOC»DT»DYN»LAL»W»NA»SS»NA»Free Account Refresh- Illustration ChC103186916</v>
      </c>
      <c r="B251" s="0" t="s">
        <v>4922</v>
      </c>
      <c r="C251" s="0" t="s">
        <v>4923</v>
      </c>
      <c r="D251" s="0" t="s">
        <v>2385</v>
      </c>
      <c r="E251" s="0" t="n">
        <v>43313</v>
      </c>
      <c r="F251" s="0" t="s">
        <v>2380</v>
      </c>
      <c r="G251" s="0" t="n">
        <v>21358568</v>
      </c>
      <c r="H251" s="0" t="n">
        <v>720191</v>
      </c>
      <c r="I251" s="0" t="s">
        <v>34</v>
      </c>
      <c r="J251" s="0" t="s">
        <v>174</v>
      </c>
      <c r="K251" s="0" t="s">
        <v>2068</v>
      </c>
      <c r="L251" s="0" t="n">
        <v>224160714</v>
      </c>
      <c r="M251" s="0" t="s">
        <v>2069</v>
      </c>
      <c r="N251" s="0" t="n">
        <v>103186916</v>
      </c>
      <c r="O251" s="0" t="n">
        <v>2386</v>
      </c>
      <c r="P251" s="0" t="n">
        <v>62.38</v>
      </c>
      <c r="Q251" s="0" t="n">
        <f aca="false">VLOOKUP(C251,[1]'Cost Correction'!$C$6:$AJ$6767,34,0)</f>
        <v>103186916</v>
      </c>
    </row>
    <row r="252" customFormat="false" ht="15" hidden="false" customHeight="false" outlineLevel="0" collapsed="false">
      <c r="A252" s="0" t="e">
        <f aca="false">E252&amp;K252&amp;Q252</f>
        <v>#N/A</v>
      </c>
      <c r="B252" s="0" t="s">
        <v>4924</v>
      </c>
      <c r="C252" s="0" t="s">
        <v>4925</v>
      </c>
      <c r="D252" s="0" t="s">
        <v>2385</v>
      </c>
      <c r="E252" s="0" t="n">
        <v>43313</v>
      </c>
      <c r="F252" s="0" t="s">
        <v>2380</v>
      </c>
      <c r="G252" s="0" t="n">
        <v>21358568</v>
      </c>
      <c r="H252" s="0" t="n">
        <v>720191</v>
      </c>
      <c r="I252" s="0" t="s">
        <v>34</v>
      </c>
      <c r="J252" s="0" t="s">
        <v>174</v>
      </c>
      <c r="K252" s="0" t="s">
        <v>2401</v>
      </c>
      <c r="L252" s="0" t="n">
        <v>224160783</v>
      </c>
      <c r="M252" s="0" t="s">
        <v>1973</v>
      </c>
      <c r="N252" s="0" t="n">
        <v>103051614</v>
      </c>
      <c r="O252" s="0" t="n">
        <v>2386</v>
      </c>
      <c r="P252" s="0" t="n">
        <v>33.8</v>
      </c>
      <c r="Q252" s="0" t="e">
        <f aca="false">VLOOKUP(C252,[1]'Cost Correction'!$C$6:$AJ$6767,34,0)</f>
        <v>#N/A</v>
      </c>
    </row>
    <row r="253" customFormat="false" ht="15" hidden="false" customHeight="false" outlineLevel="0" collapsed="false">
      <c r="A253" s="0" t="str">
        <f aca="false">E253&amp;K253&amp;Q253</f>
        <v>43313Facebook»LAL»1x1»TextLink»SOC»DT»DYN»LAL»W»NA»SS»NA»Free Account Refresh- Lifestyle ChA103048491</v>
      </c>
      <c r="B253" s="0" t="s">
        <v>4926</v>
      </c>
      <c r="C253" s="0" t="s">
        <v>4927</v>
      </c>
      <c r="D253" s="0" t="s">
        <v>2385</v>
      </c>
      <c r="E253" s="0" t="n">
        <v>43313</v>
      </c>
      <c r="F253" s="0" t="s">
        <v>2380</v>
      </c>
      <c r="G253" s="0" t="n">
        <v>21358568</v>
      </c>
      <c r="H253" s="0" t="n">
        <v>720191</v>
      </c>
      <c r="I253" s="0" t="s">
        <v>34</v>
      </c>
      <c r="J253" s="0" t="s">
        <v>174</v>
      </c>
      <c r="K253" s="0" t="s">
        <v>2070</v>
      </c>
      <c r="L253" s="0" t="n">
        <v>224160711</v>
      </c>
      <c r="M253" s="0" t="s">
        <v>2071</v>
      </c>
      <c r="N253" s="0" t="n">
        <v>103048491</v>
      </c>
      <c r="O253" s="0" t="n">
        <v>2936</v>
      </c>
      <c r="P253" s="0" t="n">
        <v>63.5</v>
      </c>
      <c r="Q253" s="0" t="n">
        <f aca="false">VLOOKUP(C253,[1]'Cost Correction'!$C$6:$AJ$6767,34,0)</f>
        <v>103048491</v>
      </c>
    </row>
    <row r="254" customFormat="false" ht="15" hidden="false" customHeight="false" outlineLevel="0" collapsed="false">
      <c r="A254" s="0" t="e">
        <f aca="false">E254&amp;K254&amp;Q254</f>
        <v>#N/A</v>
      </c>
      <c r="B254" s="0" t="s">
        <v>4928</v>
      </c>
      <c r="C254" s="0" t="s">
        <v>4929</v>
      </c>
      <c r="D254" s="0" t="s">
        <v>2385</v>
      </c>
      <c r="E254" s="0" t="n">
        <v>43313</v>
      </c>
      <c r="F254" s="0" t="s">
        <v>2380</v>
      </c>
      <c r="G254" s="0" t="n">
        <v>21358568</v>
      </c>
      <c r="H254" s="0" t="n">
        <v>720191</v>
      </c>
      <c r="I254" s="0" t="s">
        <v>34</v>
      </c>
      <c r="J254" s="0" t="s">
        <v>174</v>
      </c>
      <c r="K254" s="0" t="s">
        <v>2429</v>
      </c>
      <c r="L254" s="0" t="n">
        <v>224160780</v>
      </c>
      <c r="M254" s="0" t="s">
        <v>1975</v>
      </c>
      <c r="N254" s="0" t="n">
        <v>103186904</v>
      </c>
      <c r="O254" s="0" t="n">
        <v>2402</v>
      </c>
      <c r="P254" s="0" t="n">
        <v>29.46</v>
      </c>
      <c r="Q254" s="0" t="e">
        <f aca="false">VLOOKUP(C254,[1]'Cost Correction'!$C$6:$AJ$6767,34,0)</f>
        <v>#N/A</v>
      </c>
    </row>
    <row r="255" customFormat="false" ht="15" hidden="false" customHeight="false" outlineLevel="0" collapsed="false">
      <c r="A255" s="0" t="e">
        <f aca="false">E255&amp;K255&amp;Q255</f>
        <v>#N/A</v>
      </c>
      <c r="B255" s="0" t="s">
        <v>4928</v>
      </c>
      <c r="C255" s="0" t="s">
        <v>4930</v>
      </c>
      <c r="D255" s="0" t="s">
        <v>2385</v>
      </c>
      <c r="E255" s="0" t="n">
        <v>43313</v>
      </c>
      <c r="F255" s="0" t="s">
        <v>2380</v>
      </c>
      <c r="G255" s="0" t="n">
        <v>21358568</v>
      </c>
      <c r="H255" s="0" t="n">
        <v>720191</v>
      </c>
      <c r="I255" s="0" t="s">
        <v>34</v>
      </c>
      <c r="J255" s="0" t="s">
        <v>174</v>
      </c>
      <c r="K255" s="0" t="s">
        <v>2433</v>
      </c>
      <c r="L255" s="0" t="n">
        <v>224160780</v>
      </c>
      <c r="M255" s="0" t="s">
        <v>1975</v>
      </c>
      <c r="N255" s="0" t="n">
        <v>103186904</v>
      </c>
      <c r="O255" s="0" t="n">
        <v>584</v>
      </c>
      <c r="P255" s="0" t="n">
        <v>7.02</v>
      </c>
      <c r="Q255" s="0" t="e">
        <f aca="false">VLOOKUP(C255,[1]'Cost Correction'!$C$6:$AJ$6767,34,0)</f>
        <v>#N/A</v>
      </c>
    </row>
    <row r="256" customFormat="false" ht="15" hidden="false" customHeight="false" outlineLevel="0" collapsed="false">
      <c r="A256" s="0" t="e">
        <f aca="false">E256&amp;K256&amp;Q256</f>
        <v>#N/A</v>
      </c>
      <c r="B256" s="0" t="s">
        <v>4931</v>
      </c>
      <c r="C256" s="0" t="s">
        <v>4932</v>
      </c>
      <c r="D256" s="0" t="s">
        <v>2385</v>
      </c>
      <c r="E256" s="0" t="n">
        <v>43313</v>
      </c>
      <c r="F256" s="0" t="s">
        <v>2380</v>
      </c>
      <c r="G256" s="0" t="n">
        <v>21358568</v>
      </c>
      <c r="H256" s="0" t="n">
        <v>720191</v>
      </c>
      <c r="I256" s="0" t="s">
        <v>34</v>
      </c>
      <c r="J256" s="0" t="s">
        <v>174</v>
      </c>
      <c r="K256" s="0" t="s">
        <v>2420</v>
      </c>
      <c r="L256" s="0" t="n">
        <v>224160771</v>
      </c>
      <c r="M256" s="0" t="s">
        <v>1981</v>
      </c>
      <c r="N256" s="0" t="n">
        <v>103048488</v>
      </c>
      <c r="O256" s="0" t="n">
        <v>3732</v>
      </c>
      <c r="P256" s="0" t="n">
        <v>46.74</v>
      </c>
      <c r="Q256" s="0" t="e">
        <f aca="false">VLOOKUP(C256,[1]'Cost Correction'!$C$6:$AJ$6767,34,0)</f>
        <v>#N/A</v>
      </c>
    </row>
    <row r="257" customFormat="false" ht="15" hidden="false" customHeight="false" outlineLevel="0" collapsed="false">
      <c r="A257" s="0" t="e">
        <f aca="false">E257&amp;K257&amp;Q257</f>
        <v>#N/A</v>
      </c>
      <c r="B257" s="0" t="s">
        <v>4931</v>
      </c>
      <c r="C257" s="0" t="s">
        <v>4933</v>
      </c>
      <c r="D257" s="0" t="s">
        <v>2385</v>
      </c>
      <c r="E257" s="0" t="n">
        <v>43313</v>
      </c>
      <c r="F257" s="0" t="s">
        <v>2380</v>
      </c>
      <c r="G257" s="0" t="n">
        <v>21358568</v>
      </c>
      <c r="H257" s="0" t="n">
        <v>720191</v>
      </c>
      <c r="I257" s="0" t="s">
        <v>34</v>
      </c>
      <c r="J257" s="0" t="s">
        <v>174</v>
      </c>
      <c r="K257" s="0" t="s">
        <v>2389</v>
      </c>
      <c r="L257" s="0" t="n">
        <v>224160771</v>
      </c>
      <c r="M257" s="0" t="s">
        <v>1981</v>
      </c>
      <c r="N257" s="0" t="n">
        <v>103048488</v>
      </c>
      <c r="O257" s="0" t="n">
        <v>2084</v>
      </c>
      <c r="P257" s="0" t="n">
        <v>28.02</v>
      </c>
      <c r="Q257" s="0" t="e">
        <f aca="false">VLOOKUP(C257,[1]'Cost Correction'!$C$6:$AJ$6767,34,0)</f>
        <v>#N/A</v>
      </c>
    </row>
    <row r="258" customFormat="false" ht="15" hidden="false" customHeight="false" outlineLevel="0" collapsed="false">
      <c r="A258" s="0" t="e">
        <f aca="false">E258&amp;K258&amp;Q258</f>
        <v>#N/A</v>
      </c>
      <c r="B258" s="0" t="s">
        <v>4934</v>
      </c>
      <c r="C258" s="0" t="s">
        <v>4935</v>
      </c>
      <c r="D258" s="0" t="s">
        <v>2385</v>
      </c>
      <c r="E258" s="0" t="n">
        <v>43314</v>
      </c>
      <c r="F258" s="0" t="s">
        <v>2380</v>
      </c>
      <c r="G258" s="0" t="n">
        <v>21358568</v>
      </c>
      <c r="H258" s="0" t="n">
        <v>720191</v>
      </c>
      <c r="I258" s="0" t="s">
        <v>34</v>
      </c>
      <c r="J258" s="0" t="s">
        <v>174</v>
      </c>
      <c r="K258" s="0" t="s">
        <v>2401</v>
      </c>
      <c r="L258" s="0" t="n">
        <v>224160783</v>
      </c>
      <c r="M258" s="0" t="s">
        <v>1973</v>
      </c>
      <c r="N258" s="0" t="n">
        <v>103051614</v>
      </c>
      <c r="O258" s="0" t="n">
        <v>2048</v>
      </c>
      <c r="P258" s="0" t="n">
        <v>23.62</v>
      </c>
      <c r="Q258" s="0" t="e">
        <f aca="false">VLOOKUP(C258,[1]'Cost Correction'!$C$6:$AJ$6767,34,0)</f>
        <v>#N/A</v>
      </c>
    </row>
    <row r="259" customFormat="false" ht="15" hidden="false" customHeight="false" outlineLevel="0" collapsed="false">
      <c r="A259" s="0" t="e">
        <f aca="false">E259&amp;K259&amp;Q259</f>
        <v>#N/A</v>
      </c>
      <c r="B259" s="0" t="s">
        <v>4936</v>
      </c>
      <c r="C259" s="0" t="s">
        <v>4937</v>
      </c>
      <c r="D259" s="0" t="s">
        <v>2385</v>
      </c>
      <c r="E259" s="0" t="n">
        <v>43314</v>
      </c>
      <c r="F259" s="0" t="s">
        <v>2380</v>
      </c>
      <c r="G259" s="0" t="n">
        <v>21358568</v>
      </c>
      <c r="H259" s="0" t="n">
        <v>720191</v>
      </c>
      <c r="I259" s="0" t="s">
        <v>34</v>
      </c>
      <c r="J259" s="0" t="s">
        <v>174</v>
      </c>
      <c r="K259" s="0" t="s">
        <v>2416</v>
      </c>
      <c r="L259" s="0" t="n">
        <v>224160774</v>
      </c>
      <c r="M259" s="0" t="s">
        <v>1979</v>
      </c>
      <c r="N259" s="0" t="n">
        <v>103186910</v>
      </c>
      <c r="O259" s="0" t="n">
        <v>16178</v>
      </c>
      <c r="P259" s="0" t="n">
        <v>202.14</v>
      </c>
      <c r="Q259" s="0" t="e">
        <f aca="false">VLOOKUP(C259,[1]'Cost Correction'!$C$6:$AJ$6767,34,0)</f>
        <v>#N/A</v>
      </c>
    </row>
    <row r="260" customFormat="false" ht="15" hidden="false" customHeight="false" outlineLevel="0" collapsed="false">
      <c r="A260" s="0" t="e">
        <f aca="false">E260&amp;K260&amp;Q260</f>
        <v>#N/A</v>
      </c>
      <c r="B260" s="0" t="s">
        <v>4936</v>
      </c>
      <c r="C260" s="0" t="s">
        <v>4938</v>
      </c>
      <c r="D260" s="0" t="s">
        <v>2385</v>
      </c>
      <c r="E260" s="0" t="n">
        <v>43314</v>
      </c>
      <c r="F260" s="0" t="s">
        <v>2380</v>
      </c>
      <c r="G260" s="0" t="n">
        <v>21358568</v>
      </c>
      <c r="H260" s="0" t="n">
        <v>720191</v>
      </c>
      <c r="I260" s="0" t="s">
        <v>34</v>
      </c>
      <c r="J260" s="0" t="s">
        <v>174</v>
      </c>
      <c r="K260" s="0" t="s">
        <v>2405</v>
      </c>
      <c r="L260" s="0" t="n">
        <v>224160774</v>
      </c>
      <c r="M260" s="0" t="s">
        <v>1979</v>
      </c>
      <c r="N260" s="0" t="n">
        <v>103186910</v>
      </c>
      <c r="O260" s="0" t="n">
        <v>2512</v>
      </c>
      <c r="P260" s="0" t="n">
        <v>74.06</v>
      </c>
      <c r="Q260" s="0" t="e">
        <f aca="false">VLOOKUP(C260,[1]'Cost Correction'!$C$6:$AJ$6767,34,0)</f>
        <v>#N/A</v>
      </c>
    </row>
    <row r="261" customFormat="false" ht="15" hidden="false" customHeight="false" outlineLevel="0" collapsed="false">
      <c r="A261" s="0" t="e">
        <f aca="false">E261&amp;K261&amp;Q261</f>
        <v>#N/A</v>
      </c>
      <c r="B261" s="0" t="s">
        <v>4939</v>
      </c>
      <c r="C261" s="0" t="s">
        <v>4940</v>
      </c>
      <c r="D261" s="0" t="s">
        <v>2385</v>
      </c>
      <c r="E261" s="0" t="n">
        <v>43314</v>
      </c>
      <c r="F261" s="0" t="s">
        <v>2380</v>
      </c>
      <c r="G261" s="0" t="n">
        <v>21358568</v>
      </c>
      <c r="H261" s="0" t="n">
        <v>720191</v>
      </c>
      <c r="I261" s="0" t="s">
        <v>34</v>
      </c>
      <c r="J261" s="0" t="s">
        <v>174</v>
      </c>
      <c r="K261" s="0" t="s">
        <v>2433</v>
      </c>
      <c r="L261" s="0" t="n">
        <v>224160780</v>
      </c>
      <c r="M261" s="0" t="s">
        <v>1975</v>
      </c>
      <c r="N261" s="0" t="n">
        <v>103186904</v>
      </c>
      <c r="O261" s="0" t="n">
        <v>680</v>
      </c>
      <c r="P261" s="0" t="n">
        <v>8.4</v>
      </c>
      <c r="Q261" s="0" t="e">
        <f aca="false">VLOOKUP(C261,[1]'Cost Correction'!$C$6:$AJ$6767,34,0)</f>
        <v>#N/A</v>
      </c>
    </row>
    <row r="262" customFormat="false" ht="15" hidden="false" customHeight="false" outlineLevel="0" collapsed="false">
      <c r="A262" s="0" t="e">
        <f aca="false">E262&amp;K262&amp;Q262</f>
        <v>#N/A</v>
      </c>
      <c r="B262" s="0" t="s">
        <v>4939</v>
      </c>
      <c r="C262" s="0" t="s">
        <v>4941</v>
      </c>
      <c r="D262" s="0" t="s">
        <v>2385</v>
      </c>
      <c r="E262" s="0" t="n">
        <v>43314</v>
      </c>
      <c r="F262" s="0" t="s">
        <v>2380</v>
      </c>
      <c r="G262" s="0" t="n">
        <v>21358568</v>
      </c>
      <c r="H262" s="0" t="n">
        <v>720191</v>
      </c>
      <c r="I262" s="0" t="s">
        <v>34</v>
      </c>
      <c r="J262" s="0" t="s">
        <v>174</v>
      </c>
      <c r="K262" s="0" t="s">
        <v>2429</v>
      </c>
      <c r="L262" s="0" t="n">
        <v>224160780</v>
      </c>
      <c r="M262" s="0" t="s">
        <v>1975</v>
      </c>
      <c r="N262" s="0" t="n">
        <v>103186904</v>
      </c>
      <c r="O262" s="0" t="n">
        <v>2694</v>
      </c>
      <c r="P262" s="0" t="n">
        <v>35.06</v>
      </c>
      <c r="Q262" s="0" t="e">
        <f aca="false">VLOOKUP(C262,[1]'Cost Correction'!$C$6:$AJ$6767,34,0)</f>
        <v>#N/A</v>
      </c>
    </row>
    <row r="263" customFormat="false" ht="15" hidden="false" customHeight="false" outlineLevel="0" collapsed="false">
      <c r="A263" s="0" t="str">
        <f aca="false">E263&amp;K263&amp;Q263</f>
        <v>43314Facebook»LAL»1x1»TextLink»SOC»DT»DYN»LAL»W»NA»SS»NA»Free Account Refresh- Illustration ChC103186916</v>
      </c>
      <c r="B263" s="0" t="s">
        <v>4942</v>
      </c>
      <c r="C263" s="0" t="s">
        <v>4943</v>
      </c>
      <c r="D263" s="0" t="s">
        <v>2385</v>
      </c>
      <c r="E263" s="0" t="n">
        <v>43314</v>
      </c>
      <c r="F263" s="0" t="s">
        <v>2380</v>
      </c>
      <c r="G263" s="0" t="n">
        <v>21358568</v>
      </c>
      <c r="H263" s="0" t="n">
        <v>720191</v>
      </c>
      <c r="I263" s="0" t="s">
        <v>34</v>
      </c>
      <c r="J263" s="0" t="s">
        <v>174</v>
      </c>
      <c r="K263" s="0" t="s">
        <v>2068</v>
      </c>
      <c r="L263" s="0" t="n">
        <v>224160714</v>
      </c>
      <c r="M263" s="0" t="s">
        <v>2069</v>
      </c>
      <c r="N263" s="0" t="n">
        <v>103186916</v>
      </c>
      <c r="O263" s="0" t="n">
        <v>2854</v>
      </c>
      <c r="P263" s="0" t="n">
        <v>60.56</v>
      </c>
      <c r="Q263" s="0" t="n">
        <f aca="false">VLOOKUP(C263,[1]'Cost Correction'!$C$6:$AJ$6767,34,0)</f>
        <v>103186916</v>
      </c>
    </row>
    <row r="264" customFormat="false" ht="15" hidden="false" customHeight="false" outlineLevel="0" collapsed="false">
      <c r="A264" s="0" t="str">
        <f aca="false">E264&amp;K264&amp;Q264</f>
        <v>43314Facebook»LAL»1x1»TextLink»SOC»DT»DYN»LAL»W»NA»SS»NA»Free Account Refresh- Device ChB103048485</v>
      </c>
      <c r="B264" s="0" t="s">
        <v>4944</v>
      </c>
      <c r="C264" s="0" t="s">
        <v>4945</v>
      </c>
      <c r="D264" s="0" t="s">
        <v>2385</v>
      </c>
      <c r="E264" s="0" t="n">
        <v>43314</v>
      </c>
      <c r="F264" s="0" t="s">
        <v>2380</v>
      </c>
      <c r="G264" s="0" t="n">
        <v>21358568</v>
      </c>
      <c r="H264" s="0" t="n">
        <v>720191</v>
      </c>
      <c r="I264" s="0" t="s">
        <v>34</v>
      </c>
      <c r="J264" s="0" t="s">
        <v>174</v>
      </c>
      <c r="K264" s="0" t="s">
        <v>2066</v>
      </c>
      <c r="L264" s="0" t="n">
        <v>224160717</v>
      </c>
      <c r="M264" s="0" t="s">
        <v>2067</v>
      </c>
      <c r="N264" s="0" t="n">
        <v>103048485</v>
      </c>
      <c r="O264" s="0" t="n">
        <v>12268</v>
      </c>
      <c r="P264" s="0" t="n">
        <v>256.6</v>
      </c>
      <c r="Q264" s="0" t="n">
        <f aca="false">VLOOKUP(C264,[1]'Cost Correction'!$C$6:$AJ$6767,34,0)</f>
        <v>103048485</v>
      </c>
    </row>
    <row r="265" customFormat="false" ht="15" hidden="false" customHeight="false" outlineLevel="0" collapsed="false">
      <c r="A265" s="0" t="e">
        <f aca="false">E265&amp;K265&amp;Q265</f>
        <v>#N/A</v>
      </c>
      <c r="B265" s="0" t="s">
        <v>4946</v>
      </c>
      <c r="C265" s="0" t="s">
        <v>4947</v>
      </c>
      <c r="D265" s="0" t="s">
        <v>2385</v>
      </c>
      <c r="E265" s="0" t="n">
        <v>43314</v>
      </c>
      <c r="F265" s="0" t="s">
        <v>2380</v>
      </c>
      <c r="G265" s="0" t="n">
        <v>21358568</v>
      </c>
      <c r="H265" s="0" t="n">
        <v>720191</v>
      </c>
      <c r="I265" s="0" t="s">
        <v>34</v>
      </c>
      <c r="J265" s="0" t="s">
        <v>174</v>
      </c>
      <c r="K265" s="0" t="s">
        <v>2397</v>
      </c>
      <c r="O265" s="0" t="n">
        <v>2570</v>
      </c>
      <c r="P265" s="0" t="n">
        <v>43.24</v>
      </c>
      <c r="Q265" s="0" t="e">
        <f aca="false">VLOOKUP(C265,[1]'Cost Correction'!$C$6:$AJ$6767,34,0)</f>
        <v>#N/A</v>
      </c>
    </row>
    <row r="266" customFormat="false" ht="15" hidden="false" customHeight="false" outlineLevel="0" collapsed="false">
      <c r="A266" s="0" t="e">
        <f aca="false">E266&amp;K266&amp;Q266</f>
        <v>#N/A</v>
      </c>
      <c r="B266" s="0" t="s">
        <v>4946</v>
      </c>
      <c r="C266" s="0" t="s">
        <v>4948</v>
      </c>
      <c r="D266" s="0" t="s">
        <v>2385</v>
      </c>
      <c r="E266" s="0" t="n">
        <v>43314</v>
      </c>
      <c r="F266" s="0" t="s">
        <v>2380</v>
      </c>
      <c r="G266" s="0" t="n">
        <v>21358568</v>
      </c>
      <c r="H266" s="0" t="n">
        <v>720191</v>
      </c>
      <c r="I266" s="0" t="s">
        <v>34</v>
      </c>
      <c r="J266" s="0" t="s">
        <v>174</v>
      </c>
      <c r="K266" s="0" t="s">
        <v>2395</v>
      </c>
      <c r="O266" s="0" t="n">
        <v>18768</v>
      </c>
      <c r="P266" s="0" t="n">
        <v>265.4</v>
      </c>
      <c r="Q266" s="0" t="e">
        <f aca="false">VLOOKUP(C266,[1]'Cost Correction'!$C$6:$AJ$6767,34,0)</f>
        <v>#N/A</v>
      </c>
    </row>
    <row r="267" customFormat="false" ht="15" hidden="false" customHeight="false" outlineLevel="0" collapsed="false">
      <c r="A267" s="0" t="e">
        <f aca="false">E267&amp;K267&amp;Q267</f>
        <v>#N/A</v>
      </c>
      <c r="B267" s="0" t="s">
        <v>4946</v>
      </c>
      <c r="C267" s="0" t="s">
        <v>4949</v>
      </c>
      <c r="D267" s="0" t="s">
        <v>2385</v>
      </c>
      <c r="E267" s="0" t="n">
        <v>43314</v>
      </c>
      <c r="F267" s="0" t="s">
        <v>2380</v>
      </c>
      <c r="G267" s="0" t="n">
        <v>21358568</v>
      </c>
      <c r="H267" s="0" t="n">
        <v>720191</v>
      </c>
      <c r="I267" s="0" t="s">
        <v>34</v>
      </c>
      <c r="J267" s="0" t="s">
        <v>174</v>
      </c>
      <c r="K267" s="0" t="s">
        <v>2393</v>
      </c>
      <c r="O267" s="0" t="n">
        <v>17892</v>
      </c>
      <c r="P267" s="0" t="n">
        <v>211.64</v>
      </c>
      <c r="Q267" s="0" t="e">
        <f aca="false">VLOOKUP(C267,[1]'Cost Correction'!$C$6:$AJ$6767,34,0)</f>
        <v>#N/A</v>
      </c>
    </row>
    <row r="268" customFormat="false" ht="15" hidden="false" customHeight="false" outlineLevel="0" collapsed="false">
      <c r="A268" s="0" t="e">
        <f aca="false">E268&amp;K268&amp;Q268</f>
        <v>#N/A</v>
      </c>
      <c r="B268" s="0" t="s">
        <v>4950</v>
      </c>
      <c r="C268" s="0" t="s">
        <v>4951</v>
      </c>
      <c r="D268" s="0" t="s">
        <v>2385</v>
      </c>
      <c r="E268" s="0" t="n">
        <v>43314</v>
      </c>
      <c r="F268" s="0" t="s">
        <v>2380</v>
      </c>
      <c r="G268" s="0" t="n">
        <v>21358568</v>
      </c>
      <c r="H268" s="0" t="n">
        <v>720191</v>
      </c>
      <c r="I268" s="0" t="s">
        <v>34</v>
      </c>
      <c r="J268" s="0" t="s">
        <v>174</v>
      </c>
      <c r="K268" s="0" t="s">
        <v>2420</v>
      </c>
      <c r="L268" s="0" t="n">
        <v>224160771</v>
      </c>
      <c r="M268" s="0" t="s">
        <v>1981</v>
      </c>
      <c r="N268" s="0" t="n">
        <v>103048488</v>
      </c>
      <c r="O268" s="0" t="n">
        <v>4504</v>
      </c>
      <c r="P268" s="0" t="n">
        <v>68.28</v>
      </c>
      <c r="Q268" s="0" t="e">
        <f aca="false">VLOOKUP(C268,[1]'Cost Correction'!$C$6:$AJ$6767,34,0)</f>
        <v>#N/A</v>
      </c>
    </row>
    <row r="269" customFormat="false" ht="15" hidden="false" customHeight="false" outlineLevel="0" collapsed="false">
      <c r="A269" s="0" t="e">
        <f aca="false">E269&amp;K269&amp;Q269</f>
        <v>#N/A</v>
      </c>
      <c r="B269" s="0" t="s">
        <v>4950</v>
      </c>
      <c r="C269" s="0" t="s">
        <v>4952</v>
      </c>
      <c r="D269" s="0" t="s">
        <v>2385</v>
      </c>
      <c r="E269" s="0" t="n">
        <v>43314</v>
      </c>
      <c r="F269" s="0" t="s">
        <v>2380</v>
      </c>
      <c r="G269" s="0" t="n">
        <v>21358568</v>
      </c>
      <c r="H269" s="0" t="n">
        <v>720191</v>
      </c>
      <c r="I269" s="0" t="s">
        <v>34</v>
      </c>
      <c r="J269" s="0" t="s">
        <v>174</v>
      </c>
      <c r="K269" s="0" t="s">
        <v>2389</v>
      </c>
      <c r="L269" s="0" t="n">
        <v>224160771</v>
      </c>
      <c r="M269" s="0" t="s">
        <v>1981</v>
      </c>
      <c r="N269" s="0" t="n">
        <v>103048488</v>
      </c>
      <c r="O269" s="0" t="n">
        <v>2318</v>
      </c>
      <c r="P269" s="0" t="n">
        <v>26.08</v>
      </c>
      <c r="Q269" s="0" t="e">
        <f aca="false">VLOOKUP(C269,[1]'Cost Correction'!$C$6:$AJ$6767,34,0)</f>
        <v>#N/A</v>
      </c>
    </row>
    <row r="270" customFormat="false" ht="15" hidden="false" customHeight="false" outlineLevel="0" collapsed="false">
      <c r="A270" s="0" t="str">
        <f aca="false">E270&amp;K270&amp;Q270</f>
        <v>43314Facebook»LAL»1x1»TextLink»SOC»DT»DYN»LAL»W»NA»SS»NA»Free Account Refresh- 200 Credit ChD103186907</v>
      </c>
      <c r="B270" s="0" t="s">
        <v>4953</v>
      </c>
      <c r="C270" s="0" t="s">
        <v>4954</v>
      </c>
      <c r="D270" s="0" t="s">
        <v>2385</v>
      </c>
      <c r="E270" s="0" t="n">
        <v>43314</v>
      </c>
      <c r="F270" s="0" t="s">
        <v>2380</v>
      </c>
      <c r="G270" s="0" t="n">
        <v>21358568</v>
      </c>
      <c r="H270" s="0" t="n">
        <v>720191</v>
      </c>
      <c r="I270" s="0" t="s">
        <v>34</v>
      </c>
      <c r="J270" s="0" t="s">
        <v>174</v>
      </c>
      <c r="K270" s="0" t="s">
        <v>2064</v>
      </c>
      <c r="L270" s="0" t="n">
        <v>224160720</v>
      </c>
      <c r="M270" s="0" t="s">
        <v>2065</v>
      </c>
      <c r="N270" s="0" t="n">
        <v>103186907</v>
      </c>
      <c r="O270" s="0" t="n">
        <v>3882</v>
      </c>
      <c r="P270" s="0" t="n">
        <v>44.5</v>
      </c>
      <c r="Q270" s="0" t="n">
        <f aca="false">VLOOKUP(C270,[1]'Cost Correction'!$C$6:$AJ$6767,34,0)</f>
        <v>103186907</v>
      </c>
    </row>
    <row r="271" customFormat="false" ht="15" hidden="false" customHeight="false" outlineLevel="0" collapsed="false">
      <c r="A271" s="0" t="e">
        <f aca="false">E271&amp;K271&amp;Q271</f>
        <v>#N/A</v>
      </c>
      <c r="B271" s="0" t="s">
        <v>4955</v>
      </c>
      <c r="C271" s="0" t="s">
        <v>4956</v>
      </c>
      <c r="D271" s="0" t="s">
        <v>2385</v>
      </c>
      <c r="E271" s="0" t="n">
        <v>43314</v>
      </c>
      <c r="F271" s="0" t="s">
        <v>2380</v>
      </c>
      <c r="G271" s="0" t="n">
        <v>21358568</v>
      </c>
      <c r="H271" s="0" t="n">
        <v>720191</v>
      </c>
      <c r="I271" s="0" t="s">
        <v>34</v>
      </c>
      <c r="J271" s="0" t="s">
        <v>174</v>
      </c>
      <c r="K271" s="0" t="s">
        <v>2412</v>
      </c>
      <c r="L271" s="0" t="n">
        <v>224160777</v>
      </c>
      <c r="M271" s="0" t="s">
        <v>1977</v>
      </c>
      <c r="N271" s="0" t="n">
        <v>103048479</v>
      </c>
      <c r="O271" s="0" t="n">
        <v>3896</v>
      </c>
      <c r="P271" s="0" t="n">
        <v>77.66</v>
      </c>
      <c r="Q271" s="0" t="e">
        <f aca="false">VLOOKUP(C271,[1]'Cost Correction'!$C$6:$AJ$6767,34,0)</f>
        <v>#N/A</v>
      </c>
    </row>
    <row r="272" customFormat="false" ht="15" hidden="false" customHeight="false" outlineLevel="0" collapsed="false">
      <c r="A272" s="0" t="e">
        <f aca="false">E272&amp;K272&amp;Q272</f>
        <v>#N/A</v>
      </c>
      <c r="B272" s="0" t="s">
        <v>4955</v>
      </c>
      <c r="C272" s="0" t="s">
        <v>4957</v>
      </c>
      <c r="D272" s="0" t="s">
        <v>2385</v>
      </c>
      <c r="E272" s="0" t="n">
        <v>43314</v>
      </c>
      <c r="F272" s="0" t="s">
        <v>2380</v>
      </c>
      <c r="G272" s="0" t="n">
        <v>21358568</v>
      </c>
      <c r="H272" s="0" t="n">
        <v>720191</v>
      </c>
      <c r="I272" s="0" t="s">
        <v>34</v>
      </c>
      <c r="J272" s="0" t="s">
        <v>174</v>
      </c>
      <c r="K272" s="0" t="s">
        <v>2381</v>
      </c>
      <c r="L272" s="0" t="n">
        <v>224160777</v>
      </c>
      <c r="M272" s="0" t="s">
        <v>1977</v>
      </c>
      <c r="N272" s="0" t="n">
        <v>103048479</v>
      </c>
      <c r="O272" s="0" t="n">
        <v>2278</v>
      </c>
      <c r="P272" s="0" t="n">
        <v>13.08</v>
      </c>
      <c r="Q272" s="0" t="e">
        <f aca="false">VLOOKUP(C272,[1]'Cost Correction'!$C$6:$AJ$6767,34,0)</f>
        <v>#N/A</v>
      </c>
    </row>
    <row r="273" customFormat="false" ht="15" hidden="false" customHeight="false" outlineLevel="0" collapsed="false">
      <c r="A273" s="0" t="str">
        <f aca="false">E273&amp;K273&amp;Q273</f>
        <v>43314Facebook»LAL»1x1»TextLink»SOC»DT»DYN»LAL»W»NA»SS»NA»Free Account Refresh- Lifestyle ChA103048491</v>
      </c>
      <c r="B273" s="0" t="s">
        <v>4958</v>
      </c>
      <c r="C273" s="0" t="s">
        <v>4959</v>
      </c>
      <c r="D273" s="0" t="s">
        <v>2385</v>
      </c>
      <c r="E273" s="0" t="n">
        <v>43314</v>
      </c>
      <c r="F273" s="0" t="s">
        <v>2380</v>
      </c>
      <c r="G273" s="0" t="n">
        <v>21358568</v>
      </c>
      <c r="H273" s="0" t="n">
        <v>720191</v>
      </c>
      <c r="I273" s="0" t="s">
        <v>34</v>
      </c>
      <c r="J273" s="0" t="s">
        <v>174</v>
      </c>
      <c r="K273" s="0" t="s">
        <v>2070</v>
      </c>
      <c r="L273" s="0" t="n">
        <v>224160711</v>
      </c>
      <c r="M273" s="0" t="s">
        <v>2071</v>
      </c>
      <c r="N273" s="0" t="n">
        <v>103048491</v>
      </c>
      <c r="O273" s="0" t="n">
        <v>2794</v>
      </c>
      <c r="P273" s="0" t="n">
        <v>51.48</v>
      </c>
      <c r="Q273" s="0" t="n">
        <f aca="false">VLOOKUP(C273,[1]'Cost Correction'!$C$6:$AJ$6767,34,0)</f>
        <v>103048491</v>
      </c>
    </row>
    <row r="274" customFormat="false" ht="15" hidden="false" customHeight="false" outlineLevel="0" collapsed="false">
      <c r="A274" s="0" t="e">
        <f aca="false">E274&amp;K274&amp;Q274</f>
        <v>#N/A</v>
      </c>
      <c r="B274" s="0" t="s">
        <v>4960</v>
      </c>
      <c r="C274" s="0" t="s">
        <v>4961</v>
      </c>
      <c r="D274" s="0" t="s">
        <v>2385</v>
      </c>
      <c r="E274" s="0" t="n">
        <v>43315</v>
      </c>
      <c r="F274" s="0" t="s">
        <v>2380</v>
      </c>
      <c r="G274" s="0" t="n">
        <v>21358568</v>
      </c>
      <c r="H274" s="0" t="n">
        <v>720191</v>
      </c>
      <c r="I274" s="0" t="s">
        <v>34</v>
      </c>
      <c r="J274" s="0" t="s">
        <v>174</v>
      </c>
      <c r="K274" s="0" t="s">
        <v>2401</v>
      </c>
      <c r="L274" s="0" t="n">
        <v>224160783</v>
      </c>
      <c r="M274" s="0" t="s">
        <v>1973</v>
      </c>
      <c r="N274" s="0" t="n">
        <v>103051614</v>
      </c>
      <c r="O274" s="0" t="n">
        <v>7178</v>
      </c>
      <c r="P274" s="0" t="n">
        <v>84.22</v>
      </c>
      <c r="Q274" s="0" t="e">
        <f aca="false">VLOOKUP(C274,[1]'Cost Correction'!$C$6:$AJ$6767,34,0)</f>
        <v>#N/A</v>
      </c>
    </row>
    <row r="275" customFormat="false" ht="15" hidden="false" customHeight="false" outlineLevel="0" collapsed="false">
      <c r="A275" s="0" t="e">
        <f aca="false">E275&amp;K275&amp;Q275</f>
        <v>#N/A</v>
      </c>
      <c r="B275" s="0" t="s">
        <v>4962</v>
      </c>
      <c r="C275" s="0" t="s">
        <v>4963</v>
      </c>
      <c r="D275" s="0" t="s">
        <v>2385</v>
      </c>
      <c r="E275" s="0" t="n">
        <v>43315</v>
      </c>
      <c r="F275" s="0" t="s">
        <v>2380</v>
      </c>
      <c r="G275" s="0" t="n">
        <v>21358568</v>
      </c>
      <c r="H275" s="0" t="n">
        <v>720191</v>
      </c>
      <c r="I275" s="0" t="s">
        <v>34</v>
      </c>
      <c r="J275" s="0" t="s">
        <v>174</v>
      </c>
      <c r="K275" s="0" t="s">
        <v>2389</v>
      </c>
      <c r="L275" s="0" t="n">
        <v>224160771</v>
      </c>
      <c r="M275" s="0" t="s">
        <v>1981</v>
      </c>
      <c r="N275" s="0" t="n">
        <v>103048488</v>
      </c>
      <c r="O275" s="0" t="n">
        <v>3330</v>
      </c>
      <c r="P275" s="0" t="n">
        <v>36.5</v>
      </c>
      <c r="Q275" s="0" t="e">
        <f aca="false">VLOOKUP(C275,[1]'Cost Correction'!$C$6:$AJ$6767,34,0)</f>
        <v>#N/A</v>
      </c>
    </row>
    <row r="276" customFormat="false" ht="15" hidden="false" customHeight="false" outlineLevel="0" collapsed="false">
      <c r="A276" s="0" t="e">
        <f aca="false">E276&amp;K276&amp;Q276</f>
        <v>#N/A</v>
      </c>
      <c r="B276" s="0" t="s">
        <v>4962</v>
      </c>
      <c r="C276" s="0" t="s">
        <v>4964</v>
      </c>
      <c r="D276" s="0" t="s">
        <v>2385</v>
      </c>
      <c r="E276" s="0" t="n">
        <v>43315</v>
      </c>
      <c r="F276" s="0" t="s">
        <v>2380</v>
      </c>
      <c r="G276" s="0" t="n">
        <v>21358568</v>
      </c>
      <c r="H276" s="0" t="n">
        <v>720191</v>
      </c>
      <c r="I276" s="0" t="s">
        <v>34</v>
      </c>
      <c r="J276" s="0" t="s">
        <v>174</v>
      </c>
      <c r="K276" s="0" t="s">
        <v>2420</v>
      </c>
      <c r="L276" s="0" t="n">
        <v>224160771</v>
      </c>
      <c r="M276" s="0" t="s">
        <v>1981</v>
      </c>
      <c r="N276" s="0" t="n">
        <v>103048488</v>
      </c>
      <c r="O276" s="0" t="n">
        <v>4404</v>
      </c>
      <c r="P276" s="0" t="n">
        <v>57.82</v>
      </c>
      <c r="Q276" s="0" t="e">
        <f aca="false">VLOOKUP(C276,[1]'Cost Correction'!$C$6:$AJ$6767,34,0)</f>
        <v>#N/A</v>
      </c>
    </row>
    <row r="277" customFormat="false" ht="15" hidden="false" customHeight="false" outlineLevel="0" collapsed="false">
      <c r="A277" s="0" t="e">
        <f aca="false">E277&amp;K277&amp;Q277</f>
        <v>#N/A</v>
      </c>
      <c r="B277" s="0" t="s">
        <v>4965</v>
      </c>
      <c r="C277" s="0" t="s">
        <v>4966</v>
      </c>
      <c r="D277" s="0" t="s">
        <v>2385</v>
      </c>
      <c r="E277" s="0" t="n">
        <v>43315</v>
      </c>
      <c r="F277" s="0" t="s">
        <v>2380</v>
      </c>
      <c r="G277" s="0" t="n">
        <v>21358568</v>
      </c>
      <c r="H277" s="0" t="n">
        <v>720191</v>
      </c>
      <c r="I277" s="0" t="s">
        <v>34</v>
      </c>
      <c r="J277" s="0" t="s">
        <v>174</v>
      </c>
      <c r="K277" s="0" t="s">
        <v>2412</v>
      </c>
      <c r="L277" s="0" t="n">
        <v>224160777</v>
      </c>
      <c r="M277" s="0" t="s">
        <v>1977</v>
      </c>
      <c r="N277" s="0" t="n">
        <v>103048479</v>
      </c>
      <c r="O277" s="0" t="n">
        <v>4844</v>
      </c>
      <c r="P277" s="0" t="n">
        <v>76.68</v>
      </c>
      <c r="Q277" s="0" t="e">
        <f aca="false">VLOOKUP(C277,[1]'Cost Correction'!$C$6:$AJ$6767,34,0)</f>
        <v>#N/A</v>
      </c>
    </row>
    <row r="278" customFormat="false" ht="15" hidden="false" customHeight="false" outlineLevel="0" collapsed="false">
      <c r="A278" s="0" t="e">
        <f aca="false">E278&amp;K278&amp;Q278</f>
        <v>#N/A</v>
      </c>
      <c r="B278" s="0" t="s">
        <v>4965</v>
      </c>
      <c r="C278" s="0" t="s">
        <v>4967</v>
      </c>
      <c r="D278" s="0" t="s">
        <v>2385</v>
      </c>
      <c r="E278" s="0" t="n">
        <v>43315</v>
      </c>
      <c r="F278" s="0" t="s">
        <v>2380</v>
      </c>
      <c r="G278" s="0" t="n">
        <v>21358568</v>
      </c>
      <c r="H278" s="0" t="n">
        <v>720191</v>
      </c>
      <c r="I278" s="0" t="s">
        <v>34</v>
      </c>
      <c r="J278" s="0" t="s">
        <v>174</v>
      </c>
      <c r="K278" s="0" t="s">
        <v>2381</v>
      </c>
      <c r="L278" s="0" t="n">
        <v>224160777</v>
      </c>
      <c r="M278" s="0" t="s">
        <v>1977</v>
      </c>
      <c r="N278" s="0" t="n">
        <v>103048479</v>
      </c>
      <c r="O278" s="0" t="n">
        <v>8858</v>
      </c>
      <c r="P278" s="0" t="n">
        <v>76.68</v>
      </c>
      <c r="Q278" s="0" t="e">
        <f aca="false">VLOOKUP(C278,[1]'Cost Correction'!$C$6:$AJ$6767,34,0)</f>
        <v>#N/A</v>
      </c>
    </row>
    <row r="279" customFormat="false" ht="15" hidden="false" customHeight="false" outlineLevel="0" collapsed="false">
      <c r="A279" s="0" t="e">
        <f aca="false">E279&amp;K279&amp;Q279</f>
        <v>#N/A</v>
      </c>
      <c r="B279" s="0" t="s">
        <v>4968</v>
      </c>
      <c r="C279" s="0" t="s">
        <v>4969</v>
      </c>
      <c r="D279" s="0" t="s">
        <v>2385</v>
      </c>
      <c r="E279" s="0" t="n">
        <v>43315</v>
      </c>
      <c r="F279" s="0" t="s">
        <v>2380</v>
      </c>
      <c r="G279" s="0" t="n">
        <v>21358568</v>
      </c>
      <c r="H279" s="0" t="n">
        <v>720191</v>
      </c>
      <c r="I279" s="0" t="s">
        <v>34</v>
      </c>
      <c r="J279" s="0" t="s">
        <v>174</v>
      </c>
      <c r="K279" s="0" t="s">
        <v>2433</v>
      </c>
      <c r="L279" s="0" t="n">
        <v>224160780</v>
      </c>
      <c r="M279" s="0" t="s">
        <v>1975</v>
      </c>
      <c r="N279" s="0" t="n">
        <v>103186904</v>
      </c>
      <c r="O279" s="0" t="n">
        <v>828</v>
      </c>
      <c r="P279" s="0" t="n">
        <v>10.26</v>
      </c>
      <c r="Q279" s="0" t="e">
        <f aca="false">VLOOKUP(C279,[1]'Cost Correction'!$C$6:$AJ$6767,34,0)</f>
        <v>#N/A</v>
      </c>
    </row>
    <row r="280" customFormat="false" ht="15" hidden="false" customHeight="false" outlineLevel="0" collapsed="false">
      <c r="A280" s="0" t="e">
        <f aca="false">E280&amp;K280&amp;Q280</f>
        <v>#N/A</v>
      </c>
      <c r="B280" s="0" t="s">
        <v>4968</v>
      </c>
      <c r="C280" s="0" t="s">
        <v>4970</v>
      </c>
      <c r="D280" s="0" t="s">
        <v>2385</v>
      </c>
      <c r="E280" s="0" t="n">
        <v>43315</v>
      </c>
      <c r="F280" s="0" t="s">
        <v>2380</v>
      </c>
      <c r="G280" s="0" t="n">
        <v>21358568</v>
      </c>
      <c r="H280" s="0" t="n">
        <v>720191</v>
      </c>
      <c r="I280" s="0" t="s">
        <v>34</v>
      </c>
      <c r="J280" s="0" t="s">
        <v>174</v>
      </c>
      <c r="K280" s="0" t="s">
        <v>2429</v>
      </c>
      <c r="L280" s="0" t="n">
        <v>224160780</v>
      </c>
      <c r="M280" s="0" t="s">
        <v>1975</v>
      </c>
      <c r="N280" s="0" t="n">
        <v>103186904</v>
      </c>
      <c r="O280" s="0" t="n">
        <v>3010</v>
      </c>
      <c r="P280" s="0" t="n">
        <v>41.64</v>
      </c>
      <c r="Q280" s="0" t="e">
        <f aca="false">VLOOKUP(C280,[1]'Cost Correction'!$C$6:$AJ$6767,34,0)</f>
        <v>#N/A</v>
      </c>
    </row>
    <row r="281" customFormat="false" ht="15" hidden="false" customHeight="false" outlineLevel="0" collapsed="false">
      <c r="A281" s="0" t="e">
        <f aca="false">E281&amp;K281&amp;Q281</f>
        <v>#N/A</v>
      </c>
      <c r="B281" s="0" t="s">
        <v>4971</v>
      </c>
      <c r="C281" s="0" t="s">
        <v>4972</v>
      </c>
      <c r="D281" s="0" t="s">
        <v>2385</v>
      </c>
      <c r="E281" s="0" t="n">
        <v>43315</v>
      </c>
      <c r="F281" s="0" t="s">
        <v>2380</v>
      </c>
      <c r="G281" s="0" t="n">
        <v>21358568</v>
      </c>
      <c r="H281" s="0" t="n">
        <v>720191</v>
      </c>
      <c r="I281" s="0" t="s">
        <v>34</v>
      </c>
      <c r="J281" s="0" t="s">
        <v>174</v>
      </c>
      <c r="K281" s="0" t="s">
        <v>2397</v>
      </c>
      <c r="O281" s="0" t="n">
        <v>1808</v>
      </c>
      <c r="P281" s="0" t="n">
        <v>28.28</v>
      </c>
      <c r="Q281" s="0" t="e">
        <f aca="false">VLOOKUP(C281,[1]'Cost Correction'!$C$6:$AJ$6767,34,0)</f>
        <v>#N/A</v>
      </c>
    </row>
    <row r="282" customFormat="false" ht="15" hidden="false" customHeight="false" outlineLevel="0" collapsed="false">
      <c r="A282" s="0" t="e">
        <f aca="false">E282&amp;K282&amp;Q282</f>
        <v>#N/A</v>
      </c>
      <c r="B282" s="0" t="s">
        <v>4971</v>
      </c>
      <c r="C282" s="0" t="s">
        <v>4973</v>
      </c>
      <c r="D282" s="0" t="s">
        <v>2385</v>
      </c>
      <c r="E282" s="0" t="n">
        <v>43315</v>
      </c>
      <c r="F282" s="0" t="s">
        <v>2380</v>
      </c>
      <c r="G282" s="0" t="n">
        <v>21358568</v>
      </c>
      <c r="H282" s="0" t="n">
        <v>720191</v>
      </c>
      <c r="I282" s="0" t="s">
        <v>34</v>
      </c>
      <c r="J282" s="0" t="s">
        <v>174</v>
      </c>
      <c r="K282" s="0" t="s">
        <v>2395</v>
      </c>
      <c r="O282" s="0" t="n">
        <v>12576</v>
      </c>
      <c r="P282" s="0" t="n">
        <v>184.54</v>
      </c>
      <c r="Q282" s="0" t="e">
        <f aca="false">VLOOKUP(C282,[1]'Cost Correction'!$C$6:$AJ$6767,34,0)</f>
        <v>#N/A</v>
      </c>
    </row>
    <row r="283" customFormat="false" ht="15" hidden="false" customHeight="false" outlineLevel="0" collapsed="false">
      <c r="A283" s="0" t="e">
        <f aca="false">E283&amp;K283&amp;Q283</f>
        <v>#N/A</v>
      </c>
      <c r="B283" s="0" t="s">
        <v>4971</v>
      </c>
      <c r="C283" s="0" t="s">
        <v>4974</v>
      </c>
      <c r="D283" s="0" t="s">
        <v>2385</v>
      </c>
      <c r="E283" s="0" t="n">
        <v>43315</v>
      </c>
      <c r="F283" s="0" t="s">
        <v>2380</v>
      </c>
      <c r="G283" s="0" t="n">
        <v>21358568</v>
      </c>
      <c r="H283" s="0" t="n">
        <v>720191</v>
      </c>
      <c r="I283" s="0" t="s">
        <v>34</v>
      </c>
      <c r="J283" s="0" t="s">
        <v>174</v>
      </c>
      <c r="K283" s="0" t="s">
        <v>2393</v>
      </c>
      <c r="O283" s="0" t="n">
        <v>26076</v>
      </c>
      <c r="P283" s="0" t="n">
        <v>308</v>
      </c>
      <c r="Q283" s="0" t="e">
        <f aca="false">VLOOKUP(C283,[1]'Cost Correction'!$C$6:$AJ$6767,34,0)</f>
        <v>#N/A</v>
      </c>
    </row>
    <row r="284" customFormat="false" ht="15" hidden="false" customHeight="false" outlineLevel="0" collapsed="false">
      <c r="A284" s="0" t="str">
        <f aca="false">E284&amp;K284&amp;Q284</f>
        <v>43315Facebook»LAL»1x1»TextLink»SOC»DT»DYN»LAL»W»NA»SS»NA»Free Account Refresh- Illustration ChC103186916</v>
      </c>
      <c r="B284" s="0" t="s">
        <v>4975</v>
      </c>
      <c r="C284" s="0" t="s">
        <v>4976</v>
      </c>
      <c r="D284" s="0" t="s">
        <v>2385</v>
      </c>
      <c r="E284" s="0" t="n">
        <v>43315</v>
      </c>
      <c r="F284" s="0" t="s">
        <v>2380</v>
      </c>
      <c r="G284" s="0" t="n">
        <v>21358568</v>
      </c>
      <c r="H284" s="0" t="n">
        <v>720191</v>
      </c>
      <c r="I284" s="0" t="s">
        <v>34</v>
      </c>
      <c r="J284" s="0" t="s">
        <v>174</v>
      </c>
      <c r="K284" s="0" t="s">
        <v>2068</v>
      </c>
      <c r="L284" s="0" t="n">
        <v>224160714</v>
      </c>
      <c r="M284" s="0" t="s">
        <v>2069</v>
      </c>
      <c r="N284" s="0" t="n">
        <v>103186916</v>
      </c>
      <c r="O284" s="0" t="n">
        <v>6398</v>
      </c>
      <c r="P284" s="0" t="n">
        <v>106.08</v>
      </c>
      <c r="Q284" s="0" t="n">
        <f aca="false">VLOOKUP(C284,[1]'Cost Correction'!$C$6:$AJ$6767,34,0)</f>
        <v>103186916</v>
      </c>
    </row>
    <row r="285" customFormat="false" ht="15" hidden="false" customHeight="false" outlineLevel="0" collapsed="false">
      <c r="A285" s="0" t="e">
        <f aca="false">E285&amp;K285&amp;Q285</f>
        <v>#N/A</v>
      </c>
      <c r="B285" s="0" t="s">
        <v>4977</v>
      </c>
      <c r="C285" s="0" t="s">
        <v>4978</v>
      </c>
      <c r="D285" s="0" t="s">
        <v>2385</v>
      </c>
      <c r="E285" s="0" t="n">
        <v>43315</v>
      </c>
      <c r="F285" s="0" t="s">
        <v>2380</v>
      </c>
      <c r="G285" s="0" t="n">
        <v>21358568</v>
      </c>
      <c r="H285" s="0" t="n">
        <v>720191</v>
      </c>
      <c r="I285" s="0" t="s">
        <v>34</v>
      </c>
      <c r="J285" s="0" t="s">
        <v>174</v>
      </c>
      <c r="K285" s="0" t="s">
        <v>2416</v>
      </c>
      <c r="L285" s="0" t="n">
        <v>224160774</v>
      </c>
      <c r="M285" s="0" t="s">
        <v>1979</v>
      </c>
      <c r="N285" s="0" t="n">
        <v>103186910</v>
      </c>
      <c r="O285" s="0" t="n">
        <v>14870</v>
      </c>
      <c r="P285" s="0" t="n">
        <v>161.92</v>
      </c>
      <c r="Q285" s="0" t="e">
        <f aca="false">VLOOKUP(C285,[1]'Cost Correction'!$C$6:$AJ$6767,34,0)</f>
        <v>#N/A</v>
      </c>
    </row>
    <row r="286" customFormat="false" ht="15" hidden="false" customHeight="false" outlineLevel="0" collapsed="false">
      <c r="A286" s="0" t="e">
        <f aca="false">E286&amp;K286&amp;Q286</f>
        <v>#N/A</v>
      </c>
      <c r="B286" s="0" t="s">
        <v>4977</v>
      </c>
      <c r="C286" s="0" t="s">
        <v>4979</v>
      </c>
      <c r="D286" s="0" t="s">
        <v>2385</v>
      </c>
      <c r="E286" s="0" t="n">
        <v>43315</v>
      </c>
      <c r="F286" s="0" t="s">
        <v>2380</v>
      </c>
      <c r="G286" s="0" t="n">
        <v>21358568</v>
      </c>
      <c r="H286" s="0" t="n">
        <v>720191</v>
      </c>
      <c r="I286" s="0" t="s">
        <v>34</v>
      </c>
      <c r="J286" s="0" t="s">
        <v>174</v>
      </c>
      <c r="K286" s="0" t="s">
        <v>2405</v>
      </c>
      <c r="L286" s="0" t="n">
        <v>224160774</v>
      </c>
      <c r="M286" s="0" t="s">
        <v>1979</v>
      </c>
      <c r="N286" s="0" t="n">
        <v>103186910</v>
      </c>
      <c r="O286" s="0" t="n">
        <v>2404</v>
      </c>
      <c r="P286" s="0" t="n">
        <v>56.68</v>
      </c>
      <c r="Q286" s="0" t="e">
        <f aca="false">VLOOKUP(C286,[1]'Cost Correction'!$C$6:$AJ$6767,34,0)</f>
        <v>#N/A</v>
      </c>
    </row>
    <row r="287" customFormat="false" ht="15" hidden="false" customHeight="false" outlineLevel="0" collapsed="false">
      <c r="A287" s="0" t="str">
        <f aca="false">E287&amp;K287&amp;Q287</f>
        <v>43315Facebook»LAL»1x1»TextLink»SOC»DT»DYN»LAL»W»NA»SS»NA»Free Account Refresh- Device ChB103048485</v>
      </c>
      <c r="B287" s="0" t="s">
        <v>4980</v>
      </c>
      <c r="C287" s="0" t="s">
        <v>4981</v>
      </c>
      <c r="D287" s="0" t="s">
        <v>2385</v>
      </c>
      <c r="E287" s="0" t="n">
        <v>43315</v>
      </c>
      <c r="F287" s="0" t="s">
        <v>2380</v>
      </c>
      <c r="G287" s="0" t="n">
        <v>21358568</v>
      </c>
      <c r="H287" s="0" t="n">
        <v>720191</v>
      </c>
      <c r="I287" s="0" t="s">
        <v>34</v>
      </c>
      <c r="J287" s="0" t="s">
        <v>174</v>
      </c>
      <c r="K287" s="0" t="s">
        <v>2066</v>
      </c>
      <c r="L287" s="0" t="n">
        <v>224160717</v>
      </c>
      <c r="M287" s="0" t="s">
        <v>2067</v>
      </c>
      <c r="N287" s="0" t="n">
        <v>103048485</v>
      </c>
      <c r="O287" s="0" t="n">
        <v>10886</v>
      </c>
      <c r="P287" s="0" t="n">
        <v>189.12</v>
      </c>
      <c r="Q287" s="0" t="n">
        <f aca="false">VLOOKUP(C287,[1]'Cost Correction'!$C$6:$AJ$6767,34,0)</f>
        <v>103048485</v>
      </c>
    </row>
    <row r="288" customFormat="false" ht="15" hidden="false" customHeight="false" outlineLevel="0" collapsed="false">
      <c r="A288" s="0" t="str">
        <f aca="false">E288&amp;K288&amp;Q288</f>
        <v>43315Facebook»LAL»1x1»TextLink»SOC»DT»DYN»LAL»W»NA»SS»NA»Free Account Refresh- Lifestyle ChA103048491</v>
      </c>
      <c r="B288" s="0" t="s">
        <v>4982</v>
      </c>
      <c r="C288" s="0" t="s">
        <v>4983</v>
      </c>
      <c r="D288" s="0" t="s">
        <v>2385</v>
      </c>
      <c r="E288" s="0" t="n">
        <v>43315</v>
      </c>
      <c r="F288" s="0" t="s">
        <v>2380</v>
      </c>
      <c r="G288" s="0" t="n">
        <v>21358568</v>
      </c>
      <c r="H288" s="0" t="n">
        <v>720191</v>
      </c>
      <c r="I288" s="0" t="s">
        <v>34</v>
      </c>
      <c r="J288" s="0" t="s">
        <v>174</v>
      </c>
      <c r="K288" s="0" t="s">
        <v>2070</v>
      </c>
      <c r="L288" s="0" t="n">
        <v>224160711</v>
      </c>
      <c r="M288" s="0" t="s">
        <v>2071</v>
      </c>
      <c r="N288" s="0" t="n">
        <v>103048491</v>
      </c>
      <c r="O288" s="0" t="n">
        <v>8754</v>
      </c>
      <c r="P288" s="0" t="n">
        <v>157.2</v>
      </c>
      <c r="Q288" s="0" t="n">
        <f aca="false">VLOOKUP(C288,[1]'Cost Correction'!$C$6:$AJ$6767,34,0)</f>
        <v>103048491</v>
      </c>
    </row>
    <row r="289" customFormat="false" ht="15" hidden="false" customHeight="false" outlineLevel="0" collapsed="false">
      <c r="A289" s="0" t="str">
        <f aca="false">E289&amp;K289&amp;Q289</f>
        <v>43315Facebook»LAL»1x1»TextLink»SOC»DT»DYN»LAL»W»NA»SS»NA»Free Account Refresh- 200 Credit ChD103186907</v>
      </c>
      <c r="B289" s="0" t="s">
        <v>4984</v>
      </c>
      <c r="C289" s="0" t="s">
        <v>4985</v>
      </c>
      <c r="D289" s="0" t="s">
        <v>2385</v>
      </c>
      <c r="E289" s="0" t="n">
        <v>43315</v>
      </c>
      <c r="F289" s="0" t="s">
        <v>2380</v>
      </c>
      <c r="G289" s="0" t="n">
        <v>21358568</v>
      </c>
      <c r="H289" s="0" t="n">
        <v>720191</v>
      </c>
      <c r="I289" s="0" t="s">
        <v>34</v>
      </c>
      <c r="J289" s="0" t="s">
        <v>174</v>
      </c>
      <c r="K289" s="0" t="s">
        <v>2064</v>
      </c>
      <c r="L289" s="0" t="n">
        <v>224160720</v>
      </c>
      <c r="M289" s="0" t="s">
        <v>2065</v>
      </c>
      <c r="N289" s="0" t="n">
        <v>103186907</v>
      </c>
      <c r="O289" s="0" t="n">
        <v>2162</v>
      </c>
      <c r="P289" s="0" t="n">
        <v>26.52</v>
      </c>
      <c r="Q289" s="0" t="n">
        <f aca="false">VLOOKUP(C289,[1]'Cost Correction'!$C$6:$AJ$6767,34,0)</f>
        <v>103186907</v>
      </c>
    </row>
    <row r="290" customFormat="false" ht="15" hidden="false" customHeight="false" outlineLevel="0" collapsed="false">
      <c r="A290" s="0" t="e">
        <f aca="false">E290&amp;K290&amp;Q290</f>
        <v>#N/A</v>
      </c>
      <c r="B290" s="0" t="s">
        <v>4986</v>
      </c>
      <c r="C290" s="0" t="s">
        <v>4987</v>
      </c>
      <c r="D290" s="0" t="s">
        <v>2385</v>
      </c>
      <c r="E290" s="0" t="n">
        <v>43316</v>
      </c>
      <c r="F290" s="0" t="s">
        <v>2380</v>
      </c>
      <c r="G290" s="0" t="n">
        <v>21358568</v>
      </c>
      <c r="H290" s="0" t="n">
        <v>720191</v>
      </c>
      <c r="I290" s="0" t="s">
        <v>34</v>
      </c>
      <c r="J290" s="0" t="s">
        <v>174</v>
      </c>
      <c r="K290" s="0" t="s">
        <v>2401</v>
      </c>
      <c r="L290" s="0" t="n">
        <v>224160783</v>
      </c>
      <c r="M290" s="0" t="s">
        <v>1973</v>
      </c>
      <c r="N290" s="0" t="n">
        <v>103051614</v>
      </c>
      <c r="O290" s="0" t="n">
        <v>9792</v>
      </c>
      <c r="P290" s="0" t="n">
        <v>127.36</v>
      </c>
      <c r="Q290" s="0" t="e">
        <f aca="false">VLOOKUP(C290,[1]'Cost Correction'!$C$6:$AJ$6767,34,0)</f>
        <v>#N/A</v>
      </c>
    </row>
    <row r="291" customFormat="false" ht="15" hidden="false" customHeight="false" outlineLevel="0" collapsed="false">
      <c r="A291" s="0" t="str">
        <f aca="false">E291&amp;K291&amp;Q291</f>
        <v>43316Facebook»LAL»1x1»TextLink»SOC»DT»DYN»LAL»W»NA»SS»NA»Free Account Refresh- Device ChB103048485</v>
      </c>
      <c r="B291" s="0" t="s">
        <v>4988</v>
      </c>
      <c r="C291" s="0" t="s">
        <v>4989</v>
      </c>
      <c r="D291" s="0" t="s">
        <v>2385</v>
      </c>
      <c r="E291" s="0" t="n">
        <v>43316</v>
      </c>
      <c r="F291" s="0" t="s">
        <v>2380</v>
      </c>
      <c r="G291" s="0" t="n">
        <v>21358568</v>
      </c>
      <c r="H291" s="0" t="n">
        <v>720191</v>
      </c>
      <c r="I291" s="0" t="s">
        <v>34</v>
      </c>
      <c r="J291" s="0" t="s">
        <v>174</v>
      </c>
      <c r="K291" s="0" t="s">
        <v>2066</v>
      </c>
      <c r="L291" s="0" t="n">
        <v>224160717</v>
      </c>
      <c r="M291" s="0" t="s">
        <v>2067</v>
      </c>
      <c r="N291" s="0" t="n">
        <v>103048485</v>
      </c>
      <c r="O291" s="0" t="n">
        <v>11412</v>
      </c>
      <c r="P291" s="0" t="n">
        <v>258.2</v>
      </c>
      <c r="Q291" s="0" t="n">
        <f aca="false">VLOOKUP(C291,[1]'Cost Correction'!$C$6:$AJ$6767,34,0)</f>
        <v>103048485</v>
      </c>
    </row>
    <row r="292" customFormat="false" ht="15" hidden="false" customHeight="false" outlineLevel="0" collapsed="false">
      <c r="A292" s="0" t="e">
        <f aca="false">E292&amp;K292&amp;Q292</f>
        <v>#N/A</v>
      </c>
      <c r="B292" s="0" t="s">
        <v>4990</v>
      </c>
      <c r="C292" s="0" t="s">
        <v>4991</v>
      </c>
      <c r="D292" s="0" t="s">
        <v>2385</v>
      </c>
      <c r="E292" s="0" t="n">
        <v>43316</v>
      </c>
      <c r="F292" s="0" t="s">
        <v>2380</v>
      </c>
      <c r="G292" s="0" t="n">
        <v>21358568</v>
      </c>
      <c r="H292" s="0" t="n">
        <v>720191</v>
      </c>
      <c r="I292" s="0" t="s">
        <v>34</v>
      </c>
      <c r="J292" s="0" t="s">
        <v>174</v>
      </c>
      <c r="K292" s="0" t="s">
        <v>2412</v>
      </c>
      <c r="L292" s="0" t="n">
        <v>224160777</v>
      </c>
      <c r="M292" s="0" t="s">
        <v>1977</v>
      </c>
      <c r="N292" s="0" t="n">
        <v>103048479</v>
      </c>
      <c r="O292" s="0" t="n">
        <v>2474</v>
      </c>
      <c r="P292" s="0" t="n">
        <v>57.1</v>
      </c>
      <c r="Q292" s="0" t="e">
        <f aca="false">VLOOKUP(C292,[1]'Cost Correction'!$C$6:$AJ$6767,34,0)</f>
        <v>#N/A</v>
      </c>
    </row>
    <row r="293" customFormat="false" ht="15" hidden="false" customHeight="false" outlineLevel="0" collapsed="false">
      <c r="A293" s="0" t="e">
        <f aca="false">E293&amp;K293&amp;Q293</f>
        <v>#N/A</v>
      </c>
      <c r="B293" s="0" t="s">
        <v>4990</v>
      </c>
      <c r="C293" s="0" t="s">
        <v>4992</v>
      </c>
      <c r="D293" s="0" t="s">
        <v>2385</v>
      </c>
      <c r="E293" s="0" t="n">
        <v>43316</v>
      </c>
      <c r="F293" s="0" t="s">
        <v>2380</v>
      </c>
      <c r="G293" s="0" t="n">
        <v>21358568</v>
      </c>
      <c r="H293" s="0" t="n">
        <v>720191</v>
      </c>
      <c r="I293" s="0" t="s">
        <v>34</v>
      </c>
      <c r="J293" s="0" t="s">
        <v>174</v>
      </c>
      <c r="K293" s="0" t="s">
        <v>2381</v>
      </c>
      <c r="L293" s="0" t="n">
        <v>224160777</v>
      </c>
      <c r="M293" s="0" t="s">
        <v>1977</v>
      </c>
      <c r="N293" s="0" t="n">
        <v>103048479</v>
      </c>
      <c r="O293" s="0" t="n">
        <v>14138</v>
      </c>
      <c r="P293" s="0" t="n">
        <v>131.36</v>
      </c>
      <c r="Q293" s="0" t="e">
        <f aca="false">VLOOKUP(C293,[1]'Cost Correction'!$C$6:$AJ$6767,34,0)</f>
        <v>#N/A</v>
      </c>
    </row>
    <row r="294" customFormat="false" ht="15" hidden="false" customHeight="false" outlineLevel="0" collapsed="false">
      <c r="A294" s="0" t="e">
        <f aca="false">E294&amp;K294&amp;Q294</f>
        <v>#N/A</v>
      </c>
      <c r="B294" s="0" t="s">
        <v>4993</v>
      </c>
      <c r="C294" s="0" t="s">
        <v>4994</v>
      </c>
      <c r="D294" s="0" t="s">
        <v>2385</v>
      </c>
      <c r="E294" s="0" t="n">
        <v>43316</v>
      </c>
      <c r="F294" s="0" t="s">
        <v>2380</v>
      </c>
      <c r="G294" s="0" t="n">
        <v>21358568</v>
      </c>
      <c r="H294" s="0" t="n">
        <v>720191</v>
      </c>
      <c r="I294" s="0" t="s">
        <v>34</v>
      </c>
      <c r="J294" s="0" t="s">
        <v>174</v>
      </c>
      <c r="K294" s="0" t="s">
        <v>2433</v>
      </c>
      <c r="L294" s="0" t="n">
        <v>224160780</v>
      </c>
      <c r="M294" s="0" t="s">
        <v>1975</v>
      </c>
      <c r="N294" s="0" t="n">
        <v>103186904</v>
      </c>
      <c r="O294" s="0" t="n">
        <v>1268</v>
      </c>
      <c r="P294" s="0" t="n">
        <v>13.6</v>
      </c>
      <c r="Q294" s="0" t="e">
        <f aca="false">VLOOKUP(C294,[1]'Cost Correction'!$C$6:$AJ$6767,34,0)</f>
        <v>#N/A</v>
      </c>
    </row>
    <row r="295" customFormat="false" ht="15" hidden="false" customHeight="false" outlineLevel="0" collapsed="false">
      <c r="A295" s="0" t="e">
        <f aca="false">E295&amp;K295&amp;Q295</f>
        <v>#N/A</v>
      </c>
      <c r="B295" s="0" t="s">
        <v>4993</v>
      </c>
      <c r="C295" s="0" t="s">
        <v>4995</v>
      </c>
      <c r="D295" s="0" t="s">
        <v>2385</v>
      </c>
      <c r="E295" s="0" t="n">
        <v>43316</v>
      </c>
      <c r="F295" s="0" t="s">
        <v>2380</v>
      </c>
      <c r="G295" s="0" t="n">
        <v>21358568</v>
      </c>
      <c r="H295" s="0" t="n">
        <v>720191</v>
      </c>
      <c r="I295" s="0" t="s">
        <v>34</v>
      </c>
      <c r="J295" s="0" t="s">
        <v>174</v>
      </c>
      <c r="K295" s="0" t="s">
        <v>2429</v>
      </c>
      <c r="L295" s="0" t="n">
        <v>224160780</v>
      </c>
      <c r="M295" s="0" t="s">
        <v>1975</v>
      </c>
      <c r="N295" s="0" t="n">
        <v>103186904</v>
      </c>
      <c r="O295" s="0" t="n">
        <v>3066</v>
      </c>
      <c r="P295" s="0" t="n">
        <v>33.32</v>
      </c>
      <c r="Q295" s="0" t="e">
        <f aca="false">VLOOKUP(C295,[1]'Cost Correction'!$C$6:$AJ$6767,34,0)</f>
        <v>#N/A</v>
      </c>
    </row>
    <row r="296" customFormat="false" ht="15" hidden="false" customHeight="false" outlineLevel="0" collapsed="false">
      <c r="A296" s="0" t="e">
        <f aca="false">E296&amp;K296&amp;Q296</f>
        <v>#N/A</v>
      </c>
      <c r="B296" s="0" t="s">
        <v>4996</v>
      </c>
      <c r="C296" s="0" t="s">
        <v>4997</v>
      </c>
      <c r="D296" s="0" t="s">
        <v>2385</v>
      </c>
      <c r="E296" s="0" t="n">
        <v>43316</v>
      </c>
      <c r="F296" s="0" t="s">
        <v>2380</v>
      </c>
      <c r="G296" s="0" t="n">
        <v>21358568</v>
      </c>
      <c r="H296" s="0" t="n">
        <v>720191</v>
      </c>
      <c r="I296" s="0" t="s">
        <v>34</v>
      </c>
      <c r="J296" s="0" t="s">
        <v>174</v>
      </c>
      <c r="K296" s="0" t="s">
        <v>2397</v>
      </c>
      <c r="O296" s="0" t="n">
        <v>2040</v>
      </c>
      <c r="P296" s="0" t="n">
        <v>38.36</v>
      </c>
      <c r="Q296" s="0" t="e">
        <f aca="false">VLOOKUP(C296,[1]'Cost Correction'!$C$6:$AJ$6767,34,0)</f>
        <v>#N/A</v>
      </c>
    </row>
    <row r="297" customFormat="false" ht="15" hidden="false" customHeight="false" outlineLevel="0" collapsed="false">
      <c r="A297" s="0" t="e">
        <f aca="false">E297&amp;K297&amp;Q297</f>
        <v>#N/A</v>
      </c>
      <c r="B297" s="0" t="s">
        <v>4996</v>
      </c>
      <c r="C297" s="0" t="s">
        <v>4998</v>
      </c>
      <c r="D297" s="0" t="s">
        <v>2385</v>
      </c>
      <c r="E297" s="0" t="n">
        <v>43316</v>
      </c>
      <c r="F297" s="0" t="s">
        <v>2380</v>
      </c>
      <c r="G297" s="0" t="n">
        <v>21358568</v>
      </c>
      <c r="H297" s="0" t="n">
        <v>720191</v>
      </c>
      <c r="I297" s="0" t="s">
        <v>34</v>
      </c>
      <c r="J297" s="0" t="s">
        <v>174</v>
      </c>
      <c r="K297" s="0" t="s">
        <v>2395</v>
      </c>
      <c r="O297" s="0" t="n">
        <v>8866</v>
      </c>
      <c r="P297" s="0" t="n">
        <v>143.4</v>
      </c>
      <c r="Q297" s="0" t="e">
        <f aca="false">VLOOKUP(C297,[1]'Cost Correction'!$C$6:$AJ$6767,34,0)</f>
        <v>#N/A</v>
      </c>
    </row>
    <row r="298" customFormat="false" ht="15" hidden="false" customHeight="false" outlineLevel="0" collapsed="false">
      <c r="A298" s="0" t="e">
        <f aca="false">E298&amp;K298&amp;Q298</f>
        <v>#N/A</v>
      </c>
      <c r="B298" s="0" t="s">
        <v>4996</v>
      </c>
      <c r="C298" s="0" t="s">
        <v>4999</v>
      </c>
      <c r="D298" s="0" t="s">
        <v>2385</v>
      </c>
      <c r="E298" s="0" t="n">
        <v>43316</v>
      </c>
      <c r="F298" s="0" t="s">
        <v>2380</v>
      </c>
      <c r="G298" s="0" t="n">
        <v>21358568</v>
      </c>
      <c r="H298" s="0" t="n">
        <v>720191</v>
      </c>
      <c r="I298" s="0" t="s">
        <v>34</v>
      </c>
      <c r="J298" s="0" t="s">
        <v>174</v>
      </c>
      <c r="K298" s="0" t="s">
        <v>2393</v>
      </c>
      <c r="O298" s="0" t="n">
        <v>24012</v>
      </c>
      <c r="P298" s="0" t="n">
        <v>360.48</v>
      </c>
      <c r="Q298" s="0" t="e">
        <f aca="false">VLOOKUP(C298,[1]'Cost Correction'!$C$6:$AJ$6767,34,0)</f>
        <v>#N/A</v>
      </c>
    </row>
    <row r="299" customFormat="false" ht="15" hidden="false" customHeight="false" outlineLevel="0" collapsed="false">
      <c r="A299" s="0" t="e">
        <f aca="false">E299&amp;K299&amp;Q299</f>
        <v>#N/A</v>
      </c>
      <c r="B299" s="0" t="s">
        <v>5000</v>
      </c>
      <c r="C299" s="0" t="s">
        <v>5001</v>
      </c>
      <c r="D299" s="0" t="s">
        <v>2385</v>
      </c>
      <c r="E299" s="0" t="n">
        <v>43316</v>
      </c>
      <c r="F299" s="0" t="s">
        <v>2380</v>
      </c>
      <c r="G299" s="0" t="n">
        <v>21358568</v>
      </c>
      <c r="H299" s="0" t="n">
        <v>720191</v>
      </c>
      <c r="I299" s="0" t="s">
        <v>34</v>
      </c>
      <c r="J299" s="0" t="s">
        <v>174</v>
      </c>
      <c r="K299" s="0" t="s">
        <v>2420</v>
      </c>
      <c r="L299" s="0" t="n">
        <v>224160771</v>
      </c>
      <c r="M299" s="0" t="s">
        <v>1981</v>
      </c>
      <c r="N299" s="0" t="n">
        <v>103048488</v>
      </c>
      <c r="O299" s="0" t="n">
        <v>3632</v>
      </c>
      <c r="P299" s="0" t="n">
        <v>42.76</v>
      </c>
      <c r="Q299" s="0" t="e">
        <f aca="false">VLOOKUP(C299,[1]'Cost Correction'!$C$6:$AJ$6767,34,0)</f>
        <v>#N/A</v>
      </c>
    </row>
    <row r="300" customFormat="false" ht="15" hidden="false" customHeight="false" outlineLevel="0" collapsed="false">
      <c r="A300" s="0" t="e">
        <f aca="false">E300&amp;K300&amp;Q300</f>
        <v>#N/A</v>
      </c>
      <c r="B300" s="0" t="s">
        <v>5000</v>
      </c>
      <c r="C300" s="0" t="s">
        <v>5002</v>
      </c>
      <c r="D300" s="0" t="s">
        <v>2385</v>
      </c>
      <c r="E300" s="0" t="n">
        <v>43316</v>
      </c>
      <c r="F300" s="0" t="s">
        <v>2380</v>
      </c>
      <c r="G300" s="0" t="n">
        <v>21358568</v>
      </c>
      <c r="H300" s="0" t="n">
        <v>720191</v>
      </c>
      <c r="I300" s="0" t="s">
        <v>34</v>
      </c>
      <c r="J300" s="0" t="s">
        <v>174</v>
      </c>
      <c r="K300" s="0" t="s">
        <v>2389</v>
      </c>
      <c r="L300" s="0" t="n">
        <v>224160771</v>
      </c>
      <c r="M300" s="0" t="s">
        <v>1981</v>
      </c>
      <c r="N300" s="0" t="n">
        <v>103048488</v>
      </c>
      <c r="O300" s="0" t="n">
        <v>3200</v>
      </c>
      <c r="P300" s="0" t="n">
        <v>37.76</v>
      </c>
      <c r="Q300" s="0" t="e">
        <f aca="false">VLOOKUP(C300,[1]'Cost Correction'!$C$6:$AJ$6767,34,0)</f>
        <v>#N/A</v>
      </c>
    </row>
    <row r="301" customFormat="false" ht="15" hidden="false" customHeight="false" outlineLevel="0" collapsed="false">
      <c r="A301" s="0" t="e">
        <f aca="false">E301&amp;K301&amp;Q301</f>
        <v>#N/A</v>
      </c>
      <c r="B301" s="0" t="s">
        <v>5003</v>
      </c>
      <c r="C301" s="0" t="s">
        <v>5004</v>
      </c>
      <c r="D301" s="0" t="s">
        <v>2385</v>
      </c>
      <c r="E301" s="0" t="n">
        <v>43316</v>
      </c>
      <c r="F301" s="0" t="s">
        <v>2380</v>
      </c>
      <c r="G301" s="0" t="n">
        <v>21358568</v>
      </c>
      <c r="H301" s="0" t="n">
        <v>720191</v>
      </c>
      <c r="I301" s="0" t="s">
        <v>34</v>
      </c>
      <c r="J301" s="0" t="s">
        <v>174</v>
      </c>
      <c r="K301" s="0" t="s">
        <v>2405</v>
      </c>
      <c r="L301" s="0" t="n">
        <v>224160774</v>
      </c>
      <c r="M301" s="0" t="s">
        <v>1979</v>
      </c>
      <c r="N301" s="0" t="n">
        <v>103186910</v>
      </c>
      <c r="O301" s="0" t="n">
        <v>2204</v>
      </c>
      <c r="P301" s="0" t="n">
        <v>55.42</v>
      </c>
      <c r="Q301" s="0" t="e">
        <f aca="false">VLOOKUP(C301,[1]'Cost Correction'!$C$6:$AJ$6767,34,0)</f>
        <v>#N/A</v>
      </c>
    </row>
    <row r="302" customFormat="false" ht="15" hidden="false" customHeight="false" outlineLevel="0" collapsed="false">
      <c r="A302" s="0" t="e">
        <f aca="false">E302&amp;K302&amp;Q302</f>
        <v>#N/A</v>
      </c>
      <c r="B302" s="0" t="s">
        <v>5003</v>
      </c>
      <c r="C302" s="0" t="s">
        <v>5005</v>
      </c>
      <c r="D302" s="0" t="s">
        <v>2385</v>
      </c>
      <c r="E302" s="0" t="n">
        <v>43316</v>
      </c>
      <c r="F302" s="0" t="s">
        <v>2380</v>
      </c>
      <c r="G302" s="0" t="n">
        <v>21358568</v>
      </c>
      <c r="H302" s="0" t="n">
        <v>720191</v>
      </c>
      <c r="I302" s="0" t="s">
        <v>34</v>
      </c>
      <c r="J302" s="0" t="s">
        <v>174</v>
      </c>
      <c r="K302" s="0" t="s">
        <v>2416</v>
      </c>
      <c r="L302" s="0" t="n">
        <v>224160774</v>
      </c>
      <c r="M302" s="0" t="s">
        <v>1979</v>
      </c>
      <c r="N302" s="0" t="n">
        <v>103186910</v>
      </c>
      <c r="O302" s="0" t="n">
        <v>9388</v>
      </c>
      <c r="P302" s="0" t="n">
        <v>128.92</v>
      </c>
      <c r="Q302" s="0" t="e">
        <f aca="false">VLOOKUP(C302,[1]'Cost Correction'!$C$6:$AJ$6767,34,0)</f>
        <v>#N/A</v>
      </c>
    </row>
    <row r="303" customFormat="false" ht="15" hidden="false" customHeight="false" outlineLevel="0" collapsed="false">
      <c r="A303" s="0" t="str">
        <f aca="false">E303&amp;K303&amp;Q303</f>
        <v>43316Facebook»LAL»1x1»TextLink»SOC»DT»DYN»LAL»W»NA»SS»NA»Free Account Refresh- 200 Credit ChD103186907</v>
      </c>
      <c r="B303" s="0" t="s">
        <v>5006</v>
      </c>
      <c r="C303" s="0" t="s">
        <v>5007</v>
      </c>
      <c r="D303" s="0" t="s">
        <v>2385</v>
      </c>
      <c r="E303" s="0" t="n">
        <v>43316</v>
      </c>
      <c r="F303" s="0" t="s">
        <v>2380</v>
      </c>
      <c r="G303" s="0" t="n">
        <v>21358568</v>
      </c>
      <c r="H303" s="0" t="n">
        <v>720191</v>
      </c>
      <c r="I303" s="0" t="s">
        <v>34</v>
      </c>
      <c r="J303" s="0" t="s">
        <v>174</v>
      </c>
      <c r="K303" s="0" t="s">
        <v>2064</v>
      </c>
      <c r="L303" s="0" t="n">
        <v>224160720</v>
      </c>
      <c r="M303" s="0" t="s">
        <v>2065</v>
      </c>
      <c r="N303" s="0" t="n">
        <v>103186907</v>
      </c>
      <c r="O303" s="0" t="n">
        <v>3200</v>
      </c>
      <c r="P303" s="0" t="n">
        <v>31.84</v>
      </c>
      <c r="Q303" s="0" t="n">
        <f aca="false">VLOOKUP(C303,[1]'Cost Correction'!$C$6:$AJ$6767,34,0)</f>
        <v>103186907</v>
      </c>
    </row>
    <row r="304" customFormat="false" ht="15" hidden="false" customHeight="false" outlineLevel="0" collapsed="false">
      <c r="A304" s="0" t="str">
        <f aca="false">E304&amp;K304&amp;Q304</f>
        <v>43316Facebook»LAL»1x1»TextLink»SOC»DT»DYN»LAL»W»NA»SS»NA»Free Account Refresh- Lifestyle ChA103048491</v>
      </c>
      <c r="B304" s="0" t="s">
        <v>5008</v>
      </c>
      <c r="C304" s="0" t="s">
        <v>5009</v>
      </c>
      <c r="D304" s="0" t="s">
        <v>2385</v>
      </c>
      <c r="E304" s="0" t="n">
        <v>43316</v>
      </c>
      <c r="F304" s="0" t="s">
        <v>2380</v>
      </c>
      <c r="G304" s="0" t="n">
        <v>21358568</v>
      </c>
      <c r="H304" s="0" t="n">
        <v>720191</v>
      </c>
      <c r="I304" s="0" t="s">
        <v>34</v>
      </c>
      <c r="J304" s="0" t="s">
        <v>174</v>
      </c>
      <c r="K304" s="0" t="s">
        <v>2070</v>
      </c>
      <c r="L304" s="0" t="n">
        <v>224160711</v>
      </c>
      <c r="M304" s="0" t="s">
        <v>2071</v>
      </c>
      <c r="N304" s="0" t="n">
        <v>103048491</v>
      </c>
      <c r="O304" s="0" t="n">
        <v>6018</v>
      </c>
      <c r="P304" s="0" t="n">
        <v>106.62</v>
      </c>
      <c r="Q304" s="0" t="n">
        <f aca="false">VLOOKUP(C304,[1]'Cost Correction'!$C$6:$AJ$6767,34,0)</f>
        <v>103048491</v>
      </c>
    </row>
    <row r="305" customFormat="false" ht="15" hidden="false" customHeight="false" outlineLevel="0" collapsed="false">
      <c r="A305" s="0" t="str">
        <f aca="false">E305&amp;K305&amp;Q305</f>
        <v>43316Facebook»LAL»1x1»TextLink»SOC»DT»DYN»LAL»W»NA»SS»NA»Free Account Refresh- Illustration ChC103186916</v>
      </c>
      <c r="B305" s="0" t="s">
        <v>5010</v>
      </c>
      <c r="C305" s="0" t="s">
        <v>5011</v>
      </c>
      <c r="D305" s="0" t="s">
        <v>2385</v>
      </c>
      <c r="E305" s="0" t="n">
        <v>43316</v>
      </c>
      <c r="F305" s="0" t="s">
        <v>2380</v>
      </c>
      <c r="G305" s="0" t="n">
        <v>21358568</v>
      </c>
      <c r="H305" s="0" t="n">
        <v>720191</v>
      </c>
      <c r="I305" s="0" t="s">
        <v>34</v>
      </c>
      <c r="J305" s="0" t="s">
        <v>174</v>
      </c>
      <c r="K305" s="0" t="s">
        <v>2068</v>
      </c>
      <c r="L305" s="0" t="n">
        <v>224160714</v>
      </c>
      <c r="M305" s="0" t="s">
        <v>2069</v>
      </c>
      <c r="N305" s="0" t="n">
        <v>103186916</v>
      </c>
      <c r="O305" s="0" t="n">
        <v>5820</v>
      </c>
      <c r="P305" s="0" t="n">
        <v>108.36</v>
      </c>
      <c r="Q305" s="0" t="n">
        <f aca="false">VLOOKUP(C305,[1]'Cost Correction'!$C$6:$AJ$6767,34,0)</f>
        <v>103186916</v>
      </c>
    </row>
    <row r="306" customFormat="false" ht="15" hidden="false" customHeight="false" outlineLevel="0" collapsed="false">
      <c r="A306" s="0" t="e">
        <f aca="false">E306&amp;K306&amp;Q306</f>
        <v>#N/A</v>
      </c>
      <c r="B306" s="0" t="s">
        <v>5012</v>
      </c>
      <c r="C306" s="0" t="s">
        <v>5013</v>
      </c>
      <c r="D306" s="0" t="s">
        <v>2385</v>
      </c>
      <c r="E306" s="0" t="n">
        <v>43323</v>
      </c>
      <c r="F306" s="0" t="s">
        <v>2380</v>
      </c>
      <c r="G306" s="0" t="n">
        <v>21358568</v>
      </c>
      <c r="H306" s="0" t="n">
        <v>720191</v>
      </c>
      <c r="I306" s="0" t="s">
        <v>34</v>
      </c>
      <c r="J306" s="0" t="s">
        <v>174</v>
      </c>
      <c r="K306" s="0" t="s">
        <v>2401</v>
      </c>
      <c r="L306" s="0" t="n">
        <v>224160783</v>
      </c>
      <c r="M306" s="0" t="s">
        <v>1973</v>
      </c>
      <c r="N306" s="0" t="n">
        <v>103051614</v>
      </c>
      <c r="O306" s="0" t="n">
        <v>806</v>
      </c>
      <c r="P306" s="0" t="n">
        <v>18.29</v>
      </c>
      <c r="Q306" s="0" t="e">
        <f aca="false">VLOOKUP(C306,[1]'Cost Correction'!$C$6:$AJ$6767,34,0)</f>
        <v>#N/A</v>
      </c>
    </row>
    <row r="307" customFormat="false" ht="15" hidden="false" customHeight="false" outlineLevel="0" collapsed="false">
      <c r="A307" s="0" t="e">
        <f aca="false">E307&amp;K307&amp;Q307</f>
        <v>#N/A</v>
      </c>
      <c r="B307" s="0" t="s">
        <v>5014</v>
      </c>
      <c r="C307" s="0" t="s">
        <v>5015</v>
      </c>
      <c r="D307" s="0" t="s">
        <v>2385</v>
      </c>
      <c r="E307" s="0" t="n">
        <v>43323</v>
      </c>
      <c r="F307" s="0" t="s">
        <v>2380</v>
      </c>
      <c r="G307" s="0" t="n">
        <v>21358568</v>
      </c>
      <c r="H307" s="0" t="n">
        <v>720191</v>
      </c>
      <c r="I307" s="0" t="s">
        <v>34</v>
      </c>
      <c r="J307" s="0" t="s">
        <v>174</v>
      </c>
      <c r="K307" s="0" t="s">
        <v>2412</v>
      </c>
      <c r="L307" s="0" t="n">
        <v>224160777</v>
      </c>
      <c r="M307" s="0" t="s">
        <v>1977</v>
      </c>
      <c r="N307" s="0" t="n">
        <v>103048479</v>
      </c>
      <c r="O307" s="0" t="n">
        <v>563</v>
      </c>
      <c r="P307" s="0" t="n">
        <v>13.08</v>
      </c>
      <c r="Q307" s="0" t="e">
        <f aca="false">VLOOKUP(C307,[1]'Cost Correction'!$C$6:$AJ$6767,34,0)</f>
        <v>#N/A</v>
      </c>
    </row>
    <row r="308" customFormat="false" ht="15" hidden="false" customHeight="false" outlineLevel="0" collapsed="false">
      <c r="A308" s="0" t="e">
        <f aca="false">E308&amp;K308&amp;Q308</f>
        <v>#N/A</v>
      </c>
      <c r="B308" s="0" t="s">
        <v>5014</v>
      </c>
      <c r="C308" s="0" t="s">
        <v>5016</v>
      </c>
      <c r="D308" s="0" t="s">
        <v>2385</v>
      </c>
      <c r="E308" s="0" t="n">
        <v>43323</v>
      </c>
      <c r="F308" s="0" t="s">
        <v>2380</v>
      </c>
      <c r="G308" s="0" t="n">
        <v>21358568</v>
      </c>
      <c r="H308" s="0" t="n">
        <v>720191</v>
      </c>
      <c r="I308" s="0" t="s">
        <v>34</v>
      </c>
      <c r="J308" s="0" t="s">
        <v>174</v>
      </c>
      <c r="K308" s="0" t="s">
        <v>2381</v>
      </c>
      <c r="L308" s="0" t="n">
        <v>224160777</v>
      </c>
      <c r="M308" s="0" t="s">
        <v>1977</v>
      </c>
      <c r="N308" s="0" t="n">
        <v>103048479</v>
      </c>
      <c r="O308" s="0" t="n">
        <v>2268</v>
      </c>
      <c r="P308" s="0" t="n">
        <v>33.32</v>
      </c>
      <c r="Q308" s="0" t="e">
        <f aca="false">VLOOKUP(C308,[1]'Cost Correction'!$C$6:$AJ$6767,34,0)</f>
        <v>#N/A</v>
      </c>
    </row>
    <row r="309" customFormat="false" ht="15" hidden="false" customHeight="false" outlineLevel="0" collapsed="false">
      <c r="A309" s="0" t="e">
        <f aca="false">E309&amp;K309&amp;Q309</f>
        <v>#N/A</v>
      </c>
      <c r="B309" s="0" t="s">
        <v>5017</v>
      </c>
      <c r="C309" s="0" t="s">
        <v>5018</v>
      </c>
      <c r="D309" s="0" t="s">
        <v>2385</v>
      </c>
      <c r="E309" s="0" t="n">
        <v>43323</v>
      </c>
      <c r="F309" s="0" t="s">
        <v>2380</v>
      </c>
      <c r="G309" s="0" t="n">
        <v>21358568</v>
      </c>
      <c r="H309" s="0" t="n">
        <v>720191</v>
      </c>
      <c r="I309" s="0" t="s">
        <v>34</v>
      </c>
      <c r="J309" s="0" t="s">
        <v>174</v>
      </c>
      <c r="K309" s="0" t="s">
        <v>2416</v>
      </c>
      <c r="L309" s="0" t="n">
        <v>224160774</v>
      </c>
      <c r="M309" s="0" t="s">
        <v>1979</v>
      </c>
      <c r="N309" s="0" t="n">
        <v>103186910</v>
      </c>
      <c r="O309" s="0" t="n">
        <v>2320</v>
      </c>
      <c r="P309" s="0" t="n">
        <v>52.99</v>
      </c>
      <c r="Q309" s="0" t="e">
        <f aca="false">VLOOKUP(C309,[1]'Cost Correction'!$C$6:$AJ$6767,34,0)</f>
        <v>#N/A</v>
      </c>
    </row>
    <row r="310" customFormat="false" ht="15" hidden="false" customHeight="false" outlineLevel="0" collapsed="false">
      <c r="A310" s="0" t="e">
        <f aca="false">E310&amp;K310&amp;Q310</f>
        <v>#N/A</v>
      </c>
      <c r="B310" s="0" t="s">
        <v>5017</v>
      </c>
      <c r="C310" s="0" t="s">
        <v>5019</v>
      </c>
      <c r="D310" s="0" t="s">
        <v>2385</v>
      </c>
      <c r="E310" s="0" t="n">
        <v>43323</v>
      </c>
      <c r="F310" s="0" t="s">
        <v>2380</v>
      </c>
      <c r="G310" s="0" t="n">
        <v>21358568</v>
      </c>
      <c r="H310" s="0" t="n">
        <v>720191</v>
      </c>
      <c r="I310" s="0" t="s">
        <v>34</v>
      </c>
      <c r="J310" s="0" t="s">
        <v>174</v>
      </c>
      <c r="K310" s="0" t="s">
        <v>2405</v>
      </c>
      <c r="L310" s="0" t="n">
        <v>224160774</v>
      </c>
      <c r="M310" s="0" t="s">
        <v>1979</v>
      </c>
      <c r="N310" s="0" t="n">
        <v>103186910</v>
      </c>
      <c r="O310" s="0" t="n">
        <v>1996</v>
      </c>
      <c r="P310" s="0" t="n">
        <v>46.95</v>
      </c>
      <c r="Q310" s="0" t="e">
        <f aca="false">VLOOKUP(C310,[1]'Cost Correction'!$C$6:$AJ$6767,34,0)</f>
        <v>#N/A</v>
      </c>
    </row>
    <row r="311" customFormat="false" ht="15" hidden="false" customHeight="false" outlineLevel="0" collapsed="false">
      <c r="A311" s="0" t="e">
        <f aca="false">E311&amp;K311&amp;Q311</f>
        <v>#N/A</v>
      </c>
      <c r="B311" s="0" t="s">
        <v>5020</v>
      </c>
      <c r="C311" s="0" t="s">
        <v>5021</v>
      </c>
      <c r="D311" s="0" t="s">
        <v>2385</v>
      </c>
      <c r="E311" s="0" t="n">
        <v>43323</v>
      </c>
      <c r="F311" s="0" t="s">
        <v>2380</v>
      </c>
      <c r="G311" s="0" t="n">
        <v>21358568</v>
      </c>
      <c r="H311" s="0" t="n">
        <v>720191</v>
      </c>
      <c r="I311" s="0" t="s">
        <v>34</v>
      </c>
      <c r="J311" s="0" t="s">
        <v>174</v>
      </c>
      <c r="K311" s="0" t="s">
        <v>2429</v>
      </c>
      <c r="L311" s="0" t="n">
        <v>224160780</v>
      </c>
      <c r="M311" s="0" t="s">
        <v>1975</v>
      </c>
      <c r="N311" s="0" t="n">
        <v>103186904</v>
      </c>
      <c r="O311" s="0" t="n">
        <v>5228</v>
      </c>
      <c r="P311" s="0" t="n">
        <v>58.7</v>
      </c>
      <c r="Q311" s="0" t="e">
        <f aca="false">VLOOKUP(C311,[1]'Cost Correction'!$C$6:$AJ$6767,34,0)</f>
        <v>#N/A</v>
      </c>
    </row>
    <row r="312" customFormat="false" ht="15" hidden="false" customHeight="false" outlineLevel="0" collapsed="false">
      <c r="A312" s="0" t="e">
        <f aca="false">E312&amp;K312&amp;Q312</f>
        <v>#N/A</v>
      </c>
      <c r="B312" s="0" t="s">
        <v>5020</v>
      </c>
      <c r="C312" s="0" t="s">
        <v>5022</v>
      </c>
      <c r="D312" s="0" t="s">
        <v>2385</v>
      </c>
      <c r="E312" s="0" t="n">
        <v>43323</v>
      </c>
      <c r="F312" s="0" t="s">
        <v>2380</v>
      </c>
      <c r="G312" s="0" t="n">
        <v>21358568</v>
      </c>
      <c r="H312" s="0" t="n">
        <v>720191</v>
      </c>
      <c r="I312" s="0" t="s">
        <v>34</v>
      </c>
      <c r="J312" s="0" t="s">
        <v>174</v>
      </c>
      <c r="K312" s="0" t="s">
        <v>2433</v>
      </c>
      <c r="L312" s="0" t="n">
        <v>224160780</v>
      </c>
      <c r="M312" s="0" t="s">
        <v>1975</v>
      </c>
      <c r="N312" s="0" t="n">
        <v>103186904</v>
      </c>
      <c r="O312" s="0" t="n">
        <v>144</v>
      </c>
      <c r="P312" s="0" t="n">
        <v>2.16</v>
      </c>
      <c r="Q312" s="0" t="e">
        <f aca="false">VLOOKUP(C312,[1]'Cost Correction'!$C$6:$AJ$6767,34,0)</f>
        <v>#N/A</v>
      </c>
    </row>
    <row r="313" customFormat="false" ht="15" hidden="false" customHeight="false" outlineLevel="0" collapsed="false">
      <c r="A313" s="0" t="e">
        <f aca="false">E313&amp;K313&amp;Q313</f>
        <v>#N/A</v>
      </c>
      <c r="B313" s="0" t="s">
        <v>5023</v>
      </c>
      <c r="C313" s="0" t="s">
        <v>5024</v>
      </c>
      <c r="D313" s="0" t="s">
        <v>2385</v>
      </c>
      <c r="E313" s="0" t="n">
        <v>43323</v>
      </c>
      <c r="F313" s="0" t="s">
        <v>2380</v>
      </c>
      <c r="G313" s="0" t="n">
        <v>21358568</v>
      </c>
      <c r="H313" s="0" t="n">
        <v>720191</v>
      </c>
      <c r="I313" s="0" t="s">
        <v>34</v>
      </c>
      <c r="J313" s="0" t="s">
        <v>174</v>
      </c>
      <c r="K313" s="0" t="s">
        <v>2389</v>
      </c>
      <c r="L313" s="0" t="n">
        <v>224160771</v>
      </c>
      <c r="M313" s="0" t="s">
        <v>1981</v>
      </c>
      <c r="N313" s="0" t="n">
        <v>103048488</v>
      </c>
      <c r="O313" s="0" t="n">
        <v>3544</v>
      </c>
      <c r="P313" s="0" t="n">
        <v>57.29</v>
      </c>
      <c r="Q313" s="0" t="e">
        <f aca="false">VLOOKUP(C313,[1]'Cost Correction'!$C$6:$AJ$6767,34,0)</f>
        <v>#N/A</v>
      </c>
    </row>
    <row r="314" customFormat="false" ht="15" hidden="false" customHeight="false" outlineLevel="0" collapsed="false">
      <c r="A314" s="0" t="e">
        <f aca="false">E314&amp;K314&amp;Q314</f>
        <v>#N/A</v>
      </c>
      <c r="B314" s="0" t="s">
        <v>5023</v>
      </c>
      <c r="C314" s="0" t="s">
        <v>5025</v>
      </c>
      <c r="D314" s="0" t="s">
        <v>2385</v>
      </c>
      <c r="E314" s="0" t="n">
        <v>43323</v>
      </c>
      <c r="F314" s="0" t="s">
        <v>2380</v>
      </c>
      <c r="G314" s="0" t="n">
        <v>21358568</v>
      </c>
      <c r="H314" s="0" t="n">
        <v>720191</v>
      </c>
      <c r="I314" s="0" t="s">
        <v>34</v>
      </c>
      <c r="J314" s="0" t="s">
        <v>174</v>
      </c>
      <c r="K314" s="0" t="s">
        <v>2420</v>
      </c>
      <c r="L314" s="0" t="n">
        <v>224160771</v>
      </c>
      <c r="M314" s="0" t="s">
        <v>1981</v>
      </c>
      <c r="N314" s="0" t="n">
        <v>103048488</v>
      </c>
      <c r="O314" s="0" t="n">
        <v>910</v>
      </c>
      <c r="P314" s="0" t="n">
        <v>17.72</v>
      </c>
      <c r="Q314" s="0" t="e">
        <f aca="false">VLOOKUP(C314,[1]'Cost Correction'!$C$6:$AJ$6767,34,0)</f>
        <v>#N/A</v>
      </c>
    </row>
    <row r="315" customFormat="false" ht="15" hidden="false" customHeight="false" outlineLevel="0" collapsed="false">
      <c r="A315" s="0" t="e">
        <f aca="false">E315&amp;K315&amp;Q315</f>
        <v>#N/A</v>
      </c>
      <c r="B315" s="0" t="s">
        <v>5026</v>
      </c>
      <c r="C315" s="0" t="s">
        <v>5027</v>
      </c>
      <c r="D315" s="0" t="s">
        <v>2385</v>
      </c>
      <c r="E315" s="0" t="n">
        <v>43323</v>
      </c>
      <c r="F315" s="0" t="s">
        <v>2380</v>
      </c>
      <c r="G315" s="0" t="n">
        <v>21358568</v>
      </c>
      <c r="H315" s="0" t="n">
        <v>720191</v>
      </c>
      <c r="I315" s="0" t="s">
        <v>34</v>
      </c>
      <c r="J315" s="0" t="s">
        <v>174</v>
      </c>
      <c r="K315" s="0" t="s">
        <v>2393</v>
      </c>
      <c r="O315" s="0" t="n">
        <v>4047</v>
      </c>
      <c r="P315" s="0" t="n">
        <v>68.48</v>
      </c>
      <c r="Q315" s="0" t="e">
        <f aca="false">VLOOKUP(C315,[1]'Cost Correction'!$C$6:$AJ$6767,34,0)</f>
        <v>#N/A</v>
      </c>
    </row>
    <row r="316" customFormat="false" ht="15" hidden="false" customHeight="false" outlineLevel="0" collapsed="false">
      <c r="A316" s="0" t="e">
        <f aca="false">E316&amp;K316&amp;Q316</f>
        <v>#N/A</v>
      </c>
      <c r="B316" s="0" t="s">
        <v>5026</v>
      </c>
      <c r="C316" s="0" t="s">
        <v>5028</v>
      </c>
      <c r="D316" s="0" t="s">
        <v>2385</v>
      </c>
      <c r="E316" s="0" t="n">
        <v>43323</v>
      </c>
      <c r="F316" s="0" t="s">
        <v>2380</v>
      </c>
      <c r="G316" s="0" t="n">
        <v>21358568</v>
      </c>
      <c r="H316" s="0" t="n">
        <v>720191</v>
      </c>
      <c r="I316" s="0" t="s">
        <v>34</v>
      </c>
      <c r="J316" s="0" t="s">
        <v>174</v>
      </c>
      <c r="K316" s="0" t="s">
        <v>2395</v>
      </c>
      <c r="O316" s="0" t="n">
        <v>13284</v>
      </c>
      <c r="P316" s="0" t="n">
        <v>226.5</v>
      </c>
      <c r="Q316" s="0" t="e">
        <f aca="false">VLOOKUP(C316,[1]'Cost Correction'!$C$6:$AJ$6767,34,0)</f>
        <v>#N/A</v>
      </c>
    </row>
    <row r="317" customFormat="false" ht="15" hidden="false" customHeight="false" outlineLevel="0" collapsed="false">
      <c r="A317" s="0" t="e">
        <f aca="false">E317&amp;K317&amp;Q317</f>
        <v>#N/A</v>
      </c>
      <c r="B317" s="0" t="s">
        <v>5026</v>
      </c>
      <c r="C317" s="0" t="s">
        <v>5029</v>
      </c>
      <c r="D317" s="0" t="s">
        <v>2385</v>
      </c>
      <c r="E317" s="0" t="n">
        <v>43323</v>
      </c>
      <c r="F317" s="0" t="s">
        <v>2380</v>
      </c>
      <c r="G317" s="0" t="n">
        <v>21358568</v>
      </c>
      <c r="H317" s="0" t="n">
        <v>720191</v>
      </c>
      <c r="I317" s="0" t="s">
        <v>34</v>
      </c>
      <c r="J317" s="0" t="s">
        <v>174</v>
      </c>
      <c r="K317" s="0" t="s">
        <v>2397</v>
      </c>
      <c r="O317" s="0" t="n">
        <v>2420</v>
      </c>
      <c r="P317" s="0" t="n">
        <v>38.24</v>
      </c>
      <c r="Q317" s="0" t="e">
        <f aca="false">VLOOKUP(C317,[1]'Cost Correction'!$C$6:$AJ$6767,34,0)</f>
        <v>#N/A</v>
      </c>
    </row>
    <row r="318" customFormat="false" ht="15" hidden="false" customHeight="false" outlineLevel="0" collapsed="false">
      <c r="A318" s="0" t="e">
        <f aca="false">E318&amp;K318&amp;Q318</f>
        <v>#N/A</v>
      </c>
      <c r="B318" s="0" t="s">
        <v>5030</v>
      </c>
      <c r="C318" s="0" t="s">
        <v>5031</v>
      </c>
      <c r="D318" s="0" t="s">
        <v>2385</v>
      </c>
      <c r="E318" s="0" t="n">
        <v>43323</v>
      </c>
      <c r="F318" s="0" t="s">
        <v>2380</v>
      </c>
      <c r="G318" s="0" t="n">
        <v>21358568</v>
      </c>
      <c r="H318" s="0" t="n">
        <v>720191</v>
      </c>
      <c r="I318" s="0" t="s">
        <v>34</v>
      </c>
      <c r="J318" s="0" t="s">
        <v>174</v>
      </c>
      <c r="K318" s="0" t="s">
        <v>2064</v>
      </c>
      <c r="L318" s="0" t="n">
        <v>224160720</v>
      </c>
      <c r="M318" s="0" t="s">
        <v>2065</v>
      </c>
      <c r="N318" s="0" t="n">
        <v>103186907</v>
      </c>
      <c r="O318" s="0" t="n">
        <v>203</v>
      </c>
      <c r="P318" s="0" t="n">
        <v>1.93</v>
      </c>
      <c r="Q318" s="0" t="e">
        <f aca="false">VLOOKUP(C318,[1]'Cost Correction'!$C$6:$AJ$6767,34,0)</f>
        <v>#N/A</v>
      </c>
    </row>
    <row r="319" customFormat="false" ht="15" hidden="false" customHeight="false" outlineLevel="0" collapsed="false">
      <c r="A319" s="0" t="str">
        <f aca="false">E319&amp;K319&amp;Q319</f>
        <v>43323Facebook»LAL»1x1»TextLink»SOC»DT»DYN»LAL»W»NA»SS»NA»Free Account Refresh- Device ChB103048485</v>
      </c>
      <c r="B319" s="0" t="s">
        <v>5032</v>
      </c>
      <c r="C319" s="0" t="s">
        <v>5033</v>
      </c>
      <c r="D319" s="0" t="s">
        <v>2385</v>
      </c>
      <c r="E319" s="0" t="n">
        <v>43323</v>
      </c>
      <c r="F319" s="0" t="s">
        <v>2380</v>
      </c>
      <c r="G319" s="0" t="n">
        <v>21358568</v>
      </c>
      <c r="H319" s="0" t="n">
        <v>720191</v>
      </c>
      <c r="I319" s="0" t="s">
        <v>34</v>
      </c>
      <c r="J319" s="0" t="s">
        <v>174</v>
      </c>
      <c r="K319" s="0" t="s">
        <v>2066</v>
      </c>
      <c r="L319" s="0" t="n">
        <v>224160717</v>
      </c>
      <c r="M319" s="0" t="s">
        <v>2067</v>
      </c>
      <c r="N319" s="0" t="n">
        <v>103048485</v>
      </c>
      <c r="O319" s="0" t="n">
        <v>939</v>
      </c>
      <c r="P319" s="0" t="n">
        <v>17.3</v>
      </c>
      <c r="Q319" s="0" t="n">
        <f aca="false">VLOOKUP(C319,[1]'Cost Correction'!$C$6:$AJ$6767,34,0)</f>
        <v>103048485</v>
      </c>
    </row>
    <row r="320" customFormat="false" ht="15" hidden="false" customHeight="false" outlineLevel="0" collapsed="false">
      <c r="A320" s="0" t="str">
        <f aca="false">E320&amp;K320&amp;Q320</f>
        <v>43323Facebook»LAL»1x1»TextLink»SOC»DT»DYN»LAL»W»NA»SS»NA»Free Account Refresh- Lifestyle ChA103048491</v>
      </c>
      <c r="B320" s="0" t="s">
        <v>5034</v>
      </c>
      <c r="C320" s="0" t="s">
        <v>5035</v>
      </c>
      <c r="D320" s="0" t="s">
        <v>2385</v>
      </c>
      <c r="E320" s="0" t="n">
        <v>43323</v>
      </c>
      <c r="F320" s="0" t="s">
        <v>2380</v>
      </c>
      <c r="G320" s="0" t="n">
        <v>21358568</v>
      </c>
      <c r="H320" s="0" t="n">
        <v>720191</v>
      </c>
      <c r="I320" s="0" t="s">
        <v>34</v>
      </c>
      <c r="J320" s="0" t="s">
        <v>174</v>
      </c>
      <c r="K320" s="0" t="s">
        <v>2070</v>
      </c>
      <c r="L320" s="0" t="n">
        <v>224160711</v>
      </c>
      <c r="M320" s="0" t="s">
        <v>2071</v>
      </c>
      <c r="N320" s="0" t="n">
        <v>103048491</v>
      </c>
      <c r="O320" s="0" t="n">
        <v>544</v>
      </c>
      <c r="P320" s="0" t="n">
        <v>11.35</v>
      </c>
      <c r="Q320" s="0" t="n">
        <f aca="false">VLOOKUP(C320,[1]'Cost Correction'!$C$6:$AJ$6767,34,0)</f>
        <v>103048491</v>
      </c>
    </row>
    <row r="321" customFormat="false" ht="15" hidden="false" customHeight="false" outlineLevel="0" collapsed="false">
      <c r="A321" s="0" t="e">
        <f aca="false">E321&amp;K321&amp;Q321</f>
        <v>#N/A</v>
      </c>
      <c r="B321" s="0" t="s">
        <v>5036</v>
      </c>
      <c r="C321" s="0" t="s">
        <v>5037</v>
      </c>
      <c r="D321" s="0" t="s">
        <v>2385</v>
      </c>
      <c r="E321" s="0" t="n">
        <v>43323</v>
      </c>
      <c r="F321" s="0" t="s">
        <v>2380</v>
      </c>
      <c r="G321" s="0" t="n">
        <v>21358568</v>
      </c>
      <c r="H321" s="0" t="n">
        <v>720191</v>
      </c>
      <c r="I321" s="0" t="s">
        <v>34</v>
      </c>
      <c r="J321" s="0" t="s">
        <v>174</v>
      </c>
      <c r="K321" s="0" t="s">
        <v>2068</v>
      </c>
      <c r="L321" s="0" t="n">
        <v>224160714</v>
      </c>
      <c r="M321" s="0" t="s">
        <v>2069</v>
      </c>
      <c r="N321" s="0" t="n">
        <v>103186916</v>
      </c>
      <c r="O321" s="0" t="n">
        <v>494</v>
      </c>
      <c r="P321" s="0" t="n">
        <v>9.65</v>
      </c>
      <c r="Q321" s="0" t="e">
        <f aca="false">VLOOKUP(C321,[1]'Cost Correction'!$C$6:$AJ$6767,34,0)</f>
        <v>#N/A</v>
      </c>
    </row>
    <row r="322" customFormat="false" ht="15" hidden="false" customHeight="false" outlineLevel="0" collapsed="false">
      <c r="A322" s="0" t="e">
        <f aca="false">E322&amp;K322&amp;Q322</f>
        <v>#N/A</v>
      </c>
      <c r="B322" s="0" t="s">
        <v>5038</v>
      </c>
      <c r="C322" s="0" t="s">
        <v>5039</v>
      </c>
      <c r="D322" s="0" t="s">
        <v>2385</v>
      </c>
      <c r="E322" s="0" t="n">
        <v>43322</v>
      </c>
      <c r="F322" s="0" t="s">
        <v>2380</v>
      </c>
      <c r="G322" s="0" t="n">
        <v>21358568</v>
      </c>
      <c r="H322" s="0" t="n">
        <v>720191</v>
      </c>
      <c r="I322" s="0" t="s">
        <v>34</v>
      </c>
      <c r="J322" s="0" t="s">
        <v>174</v>
      </c>
      <c r="K322" s="0" t="s">
        <v>2420</v>
      </c>
      <c r="L322" s="0" t="n">
        <v>224160771</v>
      </c>
      <c r="M322" s="0" t="s">
        <v>1981</v>
      </c>
      <c r="N322" s="0" t="n">
        <v>103048488</v>
      </c>
      <c r="O322" s="0" t="n">
        <v>1490</v>
      </c>
      <c r="P322" s="0" t="n">
        <v>18.48</v>
      </c>
      <c r="Q322" s="0" t="e">
        <f aca="false">VLOOKUP(C322,[1]'Cost Correction'!$C$6:$AJ$6767,34,0)</f>
        <v>#N/A</v>
      </c>
    </row>
    <row r="323" customFormat="false" ht="15" hidden="false" customHeight="false" outlineLevel="0" collapsed="false">
      <c r="A323" s="0" t="e">
        <f aca="false">E323&amp;K323&amp;Q323</f>
        <v>#N/A</v>
      </c>
      <c r="B323" s="0" t="s">
        <v>5038</v>
      </c>
      <c r="C323" s="0" t="s">
        <v>5040</v>
      </c>
      <c r="D323" s="0" t="s">
        <v>2385</v>
      </c>
      <c r="E323" s="0" t="n">
        <v>43322</v>
      </c>
      <c r="F323" s="0" t="s">
        <v>2380</v>
      </c>
      <c r="G323" s="0" t="n">
        <v>21358568</v>
      </c>
      <c r="H323" s="0" t="n">
        <v>720191</v>
      </c>
      <c r="I323" s="0" t="s">
        <v>34</v>
      </c>
      <c r="J323" s="0" t="s">
        <v>174</v>
      </c>
      <c r="K323" s="0" t="s">
        <v>2389</v>
      </c>
      <c r="L323" s="0" t="n">
        <v>224160771</v>
      </c>
      <c r="M323" s="0" t="s">
        <v>1981</v>
      </c>
      <c r="N323" s="0" t="n">
        <v>103048488</v>
      </c>
      <c r="O323" s="0" t="n">
        <v>4498</v>
      </c>
      <c r="P323" s="0" t="n">
        <v>74.53</v>
      </c>
      <c r="Q323" s="0" t="e">
        <f aca="false">VLOOKUP(C323,[1]'Cost Correction'!$C$6:$AJ$6767,34,0)</f>
        <v>#N/A</v>
      </c>
    </row>
    <row r="324" customFormat="false" ht="15" hidden="false" customHeight="false" outlineLevel="0" collapsed="false">
      <c r="A324" s="0" t="str">
        <f aca="false">E324&amp;K324&amp;Q324</f>
        <v>43322Facebook»LAL»1x1»TextLink»SOC»DT»DYN»LAL»W»NA»SS»NA»Free Account Refresh- Device ChB103048485</v>
      </c>
      <c r="B324" s="0" t="s">
        <v>5041</v>
      </c>
      <c r="C324" s="0" t="s">
        <v>5042</v>
      </c>
      <c r="D324" s="0" t="s">
        <v>2385</v>
      </c>
      <c r="E324" s="0" t="n">
        <v>43322</v>
      </c>
      <c r="F324" s="0" t="s">
        <v>2380</v>
      </c>
      <c r="G324" s="0" t="n">
        <v>21358568</v>
      </c>
      <c r="H324" s="0" t="n">
        <v>720191</v>
      </c>
      <c r="I324" s="0" t="s">
        <v>34</v>
      </c>
      <c r="J324" s="0" t="s">
        <v>174</v>
      </c>
      <c r="K324" s="0" t="s">
        <v>2066</v>
      </c>
      <c r="L324" s="0" t="n">
        <v>224160717</v>
      </c>
      <c r="M324" s="0" t="s">
        <v>2067</v>
      </c>
      <c r="N324" s="0" t="n">
        <v>103048485</v>
      </c>
      <c r="O324" s="0" t="n">
        <v>682</v>
      </c>
      <c r="P324" s="0" t="n">
        <v>13.67</v>
      </c>
      <c r="Q324" s="0" t="n">
        <f aca="false">VLOOKUP(C324,[1]'Cost Correction'!$C$6:$AJ$6767,34,0)</f>
        <v>103048485</v>
      </c>
    </row>
    <row r="325" customFormat="false" ht="15" hidden="false" customHeight="false" outlineLevel="0" collapsed="false">
      <c r="A325" s="0" t="e">
        <f aca="false">E325&amp;K325&amp;Q325</f>
        <v>#N/A</v>
      </c>
      <c r="B325" s="0" t="s">
        <v>5043</v>
      </c>
      <c r="C325" s="0" t="s">
        <v>5044</v>
      </c>
      <c r="D325" s="0" t="s">
        <v>2385</v>
      </c>
      <c r="E325" s="0" t="n">
        <v>43322</v>
      </c>
      <c r="F325" s="0" t="s">
        <v>2380</v>
      </c>
      <c r="G325" s="0" t="n">
        <v>21358568</v>
      </c>
      <c r="H325" s="0" t="n">
        <v>720191</v>
      </c>
      <c r="I325" s="0" t="s">
        <v>34</v>
      </c>
      <c r="J325" s="0" t="s">
        <v>174</v>
      </c>
      <c r="K325" s="0" t="s">
        <v>2416</v>
      </c>
      <c r="L325" s="0" t="n">
        <v>224160774</v>
      </c>
      <c r="M325" s="0" t="s">
        <v>1979</v>
      </c>
      <c r="N325" s="0" t="n">
        <v>103186910</v>
      </c>
      <c r="O325" s="0" t="n">
        <v>496</v>
      </c>
      <c r="P325" s="0" t="n">
        <v>12.74</v>
      </c>
      <c r="Q325" s="0" t="e">
        <f aca="false">VLOOKUP(C325,[1]'Cost Correction'!$C$6:$AJ$6767,34,0)</f>
        <v>#N/A</v>
      </c>
    </row>
    <row r="326" customFormat="false" ht="15" hidden="false" customHeight="false" outlineLevel="0" collapsed="false">
      <c r="A326" s="0" t="e">
        <f aca="false">E326&amp;K326&amp;Q326</f>
        <v>#N/A</v>
      </c>
      <c r="B326" s="0" t="s">
        <v>5043</v>
      </c>
      <c r="C326" s="0" t="s">
        <v>5045</v>
      </c>
      <c r="D326" s="0" t="s">
        <v>2385</v>
      </c>
      <c r="E326" s="0" t="n">
        <v>43322</v>
      </c>
      <c r="F326" s="0" t="s">
        <v>2380</v>
      </c>
      <c r="G326" s="0" t="n">
        <v>21358568</v>
      </c>
      <c r="H326" s="0" t="n">
        <v>720191</v>
      </c>
      <c r="I326" s="0" t="s">
        <v>34</v>
      </c>
      <c r="J326" s="0" t="s">
        <v>174</v>
      </c>
      <c r="K326" s="0" t="s">
        <v>2405</v>
      </c>
      <c r="L326" s="0" t="n">
        <v>224160774</v>
      </c>
      <c r="M326" s="0" t="s">
        <v>1979</v>
      </c>
      <c r="N326" s="0" t="n">
        <v>103186910</v>
      </c>
      <c r="O326" s="0" t="n">
        <v>2101</v>
      </c>
      <c r="P326" s="0" t="n">
        <v>41.13</v>
      </c>
      <c r="Q326" s="0" t="e">
        <f aca="false">VLOOKUP(C326,[1]'Cost Correction'!$C$6:$AJ$6767,34,0)</f>
        <v>#N/A</v>
      </c>
    </row>
    <row r="327" customFormat="false" ht="15" hidden="false" customHeight="false" outlineLevel="0" collapsed="false">
      <c r="A327" s="0" t="e">
        <f aca="false">E327&amp;K327&amp;Q327</f>
        <v>#N/A</v>
      </c>
      <c r="B327" s="0" t="s">
        <v>5046</v>
      </c>
      <c r="C327" s="0" t="s">
        <v>5047</v>
      </c>
      <c r="D327" s="0" t="s">
        <v>2385</v>
      </c>
      <c r="E327" s="0" t="n">
        <v>43322</v>
      </c>
      <c r="F327" s="0" t="s">
        <v>2380</v>
      </c>
      <c r="G327" s="0" t="n">
        <v>21358568</v>
      </c>
      <c r="H327" s="0" t="n">
        <v>720191</v>
      </c>
      <c r="I327" s="0" t="s">
        <v>34</v>
      </c>
      <c r="J327" s="0" t="s">
        <v>174</v>
      </c>
      <c r="K327" s="0" t="s">
        <v>2381</v>
      </c>
      <c r="L327" s="0" t="n">
        <v>224160777</v>
      </c>
      <c r="M327" s="0" t="s">
        <v>1977</v>
      </c>
      <c r="N327" s="0" t="n">
        <v>103048479</v>
      </c>
      <c r="O327" s="0" t="n">
        <v>3879</v>
      </c>
      <c r="P327" s="0" t="n">
        <v>92.43</v>
      </c>
      <c r="Q327" s="0" t="e">
        <f aca="false">VLOOKUP(C327,[1]'Cost Correction'!$C$6:$AJ$6767,34,0)</f>
        <v>#N/A</v>
      </c>
    </row>
    <row r="328" customFormat="false" ht="15" hidden="false" customHeight="false" outlineLevel="0" collapsed="false">
      <c r="A328" s="0" t="e">
        <f aca="false">E328&amp;K328&amp;Q328</f>
        <v>#N/A</v>
      </c>
      <c r="B328" s="0" t="s">
        <v>5046</v>
      </c>
      <c r="C328" s="0" t="s">
        <v>5048</v>
      </c>
      <c r="D328" s="0" t="s">
        <v>2385</v>
      </c>
      <c r="E328" s="0" t="n">
        <v>43322</v>
      </c>
      <c r="F328" s="0" t="s">
        <v>2380</v>
      </c>
      <c r="G328" s="0" t="n">
        <v>21358568</v>
      </c>
      <c r="H328" s="0" t="n">
        <v>720191</v>
      </c>
      <c r="I328" s="0" t="s">
        <v>34</v>
      </c>
      <c r="J328" s="0" t="s">
        <v>174</v>
      </c>
      <c r="K328" s="0" t="s">
        <v>2412</v>
      </c>
      <c r="L328" s="0" t="n">
        <v>224160777</v>
      </c>
      <c r="M328" s="0" t="s">
        <v>1977</v>
      </c>
      <c r="N328" s="0" t="n">
        <v>103048479</v>
      </c>
      <c r="O328" s="0" t="n">
        <v>2169</v>
      </c>
      <c r="P328" s="0" t="n">
        <v>25.88</v>
      </c>
      <c r="Q328" s="0" t="e">
        <f aca="false">VLOOKUP(C328,[1]'Cost Correction'!$C$6:$AJ$6767,34,0)</f>
        <v>#N/A</v>
      </c>
    </row>
    <row r="329" customFormat="false" ht="15" hidden="false" customHeight="false" outlineLevel="0" collapsed="false">
      <c r="A329" s="0" t="e">
        <f aca="false">E329&amp;K329&amp;Q329</f>
        <v>#N/A</v>
      </c>
      <c r="B329" s="0" t="s">
        <v>5049</v>
      </c>
      <c r="C329" s="0" t="s">
        <v>5050</v>
      </c>
      <c r="D329" s="0" t="s">
        <v>2385</v>
      </c>
      <c r="E329" s="0" t="n">
        <v>43322</v>
      </c>
      <c r="F329" s="0" t="s">
        <v>2380</v>
      </c>
      <c r="G329" s="0" t="n">
        <v>21358568</v>
      </c>
      <c r="H329" s="0" t="n">
        <v>720191</v>
      </c>
      <c r="I329" s="0" t="s">
        <v>34</v>
      </c>
      <c r="J329" s="0" t="s">
        <v>174</v>
      </c>
      <c r="K329" s="0" t="s">
        <v>2429</v>
      </c>
      <c r="L329" s="0" t="n">
        <v>224160780</v>
      </c>
      <c r="M329" s="0" t="s">
        <v>1975</v>
      </c>
      <c r="N329" s="0" t="n">
        <v>103186904</v>
      </c>
      <c r="O329" s="0" t="n">
        <v>2585</v>
      </c>
      <c r="P329" s="0" t="n">
        <v>32.34</v>
      </c>
      <c r="Q329" s="0" t="e">
        <f aca="false">VLOOKUP(C329,[1]'Cost Correction'!$C$6:$AJ$6767,34,0)</f>
        <v>#N/A</v>
      </c>
    </row>
    <row r="330" customFormat="false" ht="15" hidden="false" customHeight="false" outlineLevel="0" collapsed="false">
      <c r="A330" s="0" t="e">
        <f aca="false">E330&amp;K330&amp;Q330</f>
        <v>#N/A</v>
      </c>
      <c r="B330" s="0" t="s">
        <v>5049</v>
      </c>
      <c r="C330" s="0" t="s">
        <v>5051</v>
      </c>
      <c r="D330" s="0" t="s">
        <v>2385</v>
      </c>
      <c r="E330" s="0" t="n">
        <v>43322</v>
      </c>
      <c r="F330" s="0" t="s">
        <v>2380</v>
      </c>
      <c r="G330" s="0" t="n">
        <v>21358568</v>
      </c>
      <c r="H330" s="0" t="n">
        <v>720191</v>
      </c>
      <c r="I330" s="0" t="s">
        <v>34</v>
      </c>
      <c r="J330" s="0" t="s">
        <v>174</v>
      </c>
      <c r="K330" s="0" t="s">
        <v>2433</v>
      </c>
      <c r="L330" s="0" t="n">
        <v>224160780</v>
      </c>
      <c r="M330" s="0" t="s">
        <v>1975</v>
      </c>
      <c r="N330" s="0" t="n">
        <v>103186904</v>
      </c>
      <c r="O330" s="0" t="n">
        <v>766</v>
      </c>
      <c r="P330" s="0" t="n">
        <v>9.81</v>
      </c>
      <c r="Q330" s="0" t="e">
        <f aca="false">VLOOKUP(C330,[1]'Cost Correction'!$C$6:$AJ$6767,34,0)</f>
        <v>#N/A</v>
      </c>
    </row>
    <row r="331" customFormat="false" ht="15" hidden="false" customHeight="false" outlineLevel="0" collapsed="false">
      <c r="A331" s="0" t="e">
        <f aca="false">E331&amp;K331&amp;Q331</f>
        <v>#N/A</v>
      </c>
      <c r="B331" s="0" t="s">
        <v>5052</v>
      </c>
      <c r="C331" s="0" t="s">
        <v>5053</v>
      </c>
      <c r="D331" s="0" t="s">
        <v>2385</v>
      </c>
      <c r="E331" s="0" t="n">
        <v>43322</v>
      </c>
      <c r="F331" s="0" t="s">
        <v>2380</v>
      </c>
      <c r="G331" s="0" t="n">
        <v>21358568</v>
      </c>
      <c r="H331" s="0" t="n">
        <v>720191</v>
      </c>
      <c r="I331" s="0" t="s">
        <v>34</v>
      </c>
      <c r="J331" s="0" t="s">
        <v>174</v>
      </c>
      <c r="K331" s="0" t="s">
        <v>2393</v>
      </c>
      <c r="O331" s="0" t="n">
        <v>1780</v>
      </c>
      <c r="P331" s="0" t="n">
        <v>31.28</v>
      </c>
      <c r="Q331" s="0" t="e">
        <f aca="false">VLOOKUP(C331,[1]'Cost Correction'!$C$6:$AJ$6767,34,0)</f>
        <v>#N/A</v>
      </c>
    </row>
    <row r="332" customFormat="false" ht="15" hidden="false" customHeight="false" outlineLevel="0" collapsed="false">
      <c r="A332" s="0" t="e">
        <f aca="false">E332&amp;K332&amp;Q332</f>
        <v>#N/A</v>
      </c>
      <c r="B332" s="0" t="s">
        <v>5052</v>
      </c>
      <c r="C332" s="0" t="s">
        <v>5054</v>
      </c>
      <c r="D332" s="0" t="s">
        <v>2385</v>
      </c>
      <c r="E332" s="0" t="n">
        <v>43322</v>
      </c>
      <c r="F332" s="0" t="s">
        <v>2380</v>
      </c>
      <c r="G332" s="0" t="n">
        <v>21358568</v>
      </c>
      <c r="H332" s="0" t="n">
        <v>720191</v>
      </c>
      <c r="I332" s="0" t="s">
        <v>34</v>
      </c>
      <c r="J332" s="0" t="s">
        <v>174</v>
      </c>
      <c r="K332" s="0" t="s">
        <v>2395</v>
      </c>
      <c r="O332" s="0" t="n">
        <v>9045</v>
      </c>
      <c r="P332" s="0" t="n">
        <v>156.36</v>
      </c>
      <c r="Q332" s="0" t="e">
        <f aca="false">VLOOKUP(C332,[1]'Cost Correction'!$C$6:$AJ$6767,34,0)</f>
        <v>#N/A</v>
      </c>
    </row>
    <row r="333" customFormat="false" ht="15" hidden="false" customHeight="false" outlineLevel="0" collapsed="false">
      <c r="A333" s="0" t="e">
        <f aca="false">E333&amp;K333&amp;Q333</f>
        <v>#N/A</v>
      </c>
      <c r="B333" s="0" t="s">
        <v>5052</v>
      </c>
      <c r="C333" s="0" t="s">
        <v>5055</v>
      </c>
      <c r="D333" s="0" t="s">
        <v>2385</v>
      </c>
      <c r="E333" s="0" t="n">
        <v>43322</v>
      </c>
      <c r="F333" s="0" t="s">
        <v>2380</v>
      </c>
      <c r="G333" s="0" t="n">
        <v>21358568</v>
      </c>
      <c r="H333" s="0" t="n">
        <v>720191</v>
      </c>
      <c r="I333" s="0" t="s">
        <v>34</v>
      </c>
      <c r="J333" s="0" t="s">
        <v>174</v>
      </c>
      <c r="K333" s="0" t="s">
        <v>2397</v>
      </c>
      <c r="O333" s="0" t="n">
        <v>9696</v>
      </c>
      <c r="P333" s="0" t="n">
        <v>134.93</v>
      </c>
      <c r="Q333" s="0" t="e">
        <f aca="false">VLOOKUP(C333,[1]'Cost Correction'!$C$6:$AJ$6767,34,0)</f>
        <v>#N/A</v>
      </c>
    </row>
    <row r="334" customFormat="false" ht="15" hidden="false" customHeight="false" outlineLevel="0" collapsed="false">
      <c r="A334" s="0" t="str">
        <f aca="false">E334&amp;K334&amp;Q334</f>
        <v>43322Facebook»LAL»1x1»TextLink»SOC»DT»DYN»LAL»W»NA»SS»NA»Free Account Refresh- Illustration ChC103186916</v>
      </c>
      <c r="B334" s="0" t="s">
        <v>5056</v>
      </c>
      <c r="C334" s="0" t="s">
        <v>5057</v>
      </c>
      <c r="D334" s="0" t="s">
        <v>2385</v>
      </c>
      <c r="E334" s="0" t="n">
        <v>43322</v>
      </c>
      <c r="F334" s="0" t="s">
        <v>2380</v>
      </c>
      <c r="G334" s="0" t="n">
        <v>21358568</v>
      </c>
      <c r="H334" s="0" t="n">
        <v>720191</v>
      </c>
      <c r="I334" s="0" t="s">
        <v>34</v>
      </c>
      <c r="J334" s="0" t="s">
        <v>174</v>
      </c>
      <c r="K334" s="0" t="s">
        <v>2068</v>
      </c>
      <c r="L334" s="0" t="n">
        <v>224160714</v>
      </c>
      <c r="M334" s="0" t="s">
        <v>2069</v>
      </c>
      <c r="N334" s="0" t="n">
        <v>103186916</v>
      </c>
      <c r="O334" s="0" t="n">
        <v>713</v>
      </c>
      <c r="P334" s="0" t="n">
        <v>14.63</v>
      </c>
      <c r="Q334" s="0" t="n">
        <f aca="false">VLOOKUP(C334,[1]'Cost Correction'!$C$6:$AJ$6767,34,0)</f>
        <v>103186916</v>
      </c>
    </row>
    <row r="335" customFormat="false" ht="15" hidden="false" customHeight="false" outlineLevel="0" collapsed="false">
      <c r="A335" s="0" t="str">
        <f aca="false">E335&amp;K335&amp;Q335</f>
        <v>43322Facebook»LAL»1x1»TextLink»SOC»DT»DYN»LAL»W»NA»SS»NA»Free Account Refresh- 200 Credit ChD103186907</v>
      </c>
      <c r="B335" s="0" t="s">
        <v>5058</v>
      </c>
      <c r="C335" s="0" t="s">
        <v>5059</v>
      </c>
      <c r="D335" s="0" t="s">
        <v>2385</v>
      </c>
      <c r="E335" s="0" t="n">
        <v>43322</v>
      </c>
      <c r="F335" s="0" t="s">
        <v>2380</v>
      </c>
      <c r="G335" s="0" t="n">
        <v>21358568</v>
      </c>
      <c r="H335" s="0" t="n">
        <v>720191</v>
      </c>
      <c r="I335" s="0" t="s">
        <v>34</v>
      </c>
      <c r="J335" s="0" t="s">
        <v>174</v>
      </c>
      <c r="K335" s="0" t="s">
        <v>2064</v>
      </c>
      <c r="L335" s="0" t="n">
        <v>224160720</v>
      </c>
      <c r="M335" s="0" t="s">
        <v>2065</v>
      </c>
      <c r="N335" s="0" t="n">
        <v>103186907</v>
      </c>
      <c r="O335" s="0" t="n">
        <v>291</v>
      </c>
      <c r="P335" s="0" t="n">
        <v>2.47</v>
      </c>
      <c r="Q335" s="0" t="n">
        <f aca="false">VLOOKUP(C335,[1]'Cost Correction'!$C$6:$AJ$6767,34,0)</f>
        <v>103186907</v>
      </c>
    </row>
    <row r="336" customFormat="false" ht="15" hidden="false" customHeight="false" outlineLevel="0" collapsed="false">
      <c r="A336" s="0" t="str">
        <f aca="false">E336&amp;K336&amp;Q336</f>
        <v>43322Facebook»LAL»1x1»TextLink»SOC»DT»DYN»LAL»W»NA»SS»NA»Free Account Refresh- Lifestyle ChA103048491</v>
      </c>
      <c r="B336" s="0" t="s">
        <v>5060</v>
      </c>
      <c r="C336" s="0" t="s">
        <v>5061</v>
      </c>
      <c r="D336" s="0" t="s">
        <v>2385</v>
      </c>
      <c r="E336" s="0" t="n">
        <v>43322</v>
      </c>
      <c r="F336" s="0" t="s">
        <v>2380</v>
      </c>
      <c r="G336" s="0" t="n">
        <v>21358568</v>
      </c>
      <c r="H336" s="0" t="n">
        <v>720191</v>
      </c>
      <c r="I336" s="0" t="s">
        <v>34</v>
      </c>
      <c r="J336" s="0" t="s">
        <v>174</v>
      </c>
      <c r="K336" s="0" t="s">
        <v>2070</v>
      </c>
      <c r="L336" s="0" t="n">
        <v>224160711</v>
      </c>
      <c r="M336" s="0" t="s">
        <v>2071</v>
      </c>
      <c r="N336" s="0" t="n">
        <v>103048491</v>
      </c>
      <c r="O336" s="0" t="n">
        <v>517</v>
      </c>
      <c r="P336" s="0" t="n">
        <v>11.07</v>
      </c>
      <c r="Q336" s="0" t="n">
        <f aca="false">VLOOKUP(C336,[1]'Cost Correction'!$C$6:$AJ$6767,34,0)</f>
        <v>103048491</v>
      </c>
    </row>
    <row r="337" customFormat="false" ht="15" hidden="false" customHeight="false" outlineLevel="0" collapsed="false">
      <c r="A337" s="0" t="e">
        <f aca="false">E337&amp;K337&amp;Q337</f>
        <v>#N/A</v>
      </c>
      <c r="B337" s="0" t="s">
        <v>5062</v>
      </c>
      <c r="C337" s="0" t="s">
        <v>5063</v>
      </c>
      <c r="D337" s="0" t="s">
        <v>2385</v>
      </c>
      <c r="E337" s="0" t="n">
        <v>43322</v>
      </c>
      <c r="F337" s="0" t="s">
        <v>2380</v>
      </c>
      <c r="G337" s="0" t="n">
        <v>21358568</v>
      </c>
      <c r="H337" s="0" t="n">
        <v>720191</v>
      </c>
      <c r="I337" s="0" t="s">
        <v>34</v>
      </c>
      <c r="J337" s="0" t="s">
        <v>174</v>
      </c>
      <c r="K337" s="0" t="s">
        <v>2401</v>
      </c>
      <c r="L337" s="0" t="n">
        <v>224160783</v>
      </c>
      <c r="M337" s="0" t="s">
        <v>1973</v>
      </c>
      <c r="N337" s="0" t="n">
        <v>103051614</v>
      </c>
      <c r="O337" s="0" t="n">
        <v>1404</v>
      </c>
      <c r="P337" s="0" t="n">
        <v>26.58</v>
      </c>
      <c r="Q337" s="0" t="e">
        <f aca="false">VLOOKUP(C337,[1]'Cost Correction'!$C$6:$AJ$6767,34,0)</f>
        <v>#N/A</v>
      </c>
    </row>
    <row r="338" customFormat="false" ht="15" hidden="false" customHeight="false" outlineLevel="0" collapsed="false">
      <c r="A338" s="0" t="e">
        <f aca="false">E338&amp;K338&amp;Q338</f>
        <v>#N/A</v>
      </c>
      <c r="B338" s="0" t="s">
        <v>5064</v>
      </c>
      <c r="C338" s="0" t="s">
        <v>5065</v>
      </c>
      <c r="D338" s="0" t="s">
        <v>2385</v>
      </c>
      <c r="E338" s="0" t="n">
        <v>43321</v>
      </c>
      <c r="F338" s="0" t="s">
        <v>2380</v>
      </c>
      <c r="G338" s="0" t="n">
        <v>21358568</v>
      </c>
      <c r="H338" s="0" t="n">
        <v>720191</v>
      </c>
      <c r="I338" s="0" t="s">
        <v>34</v>
      </c>
      <c r="J338" s="0" t="s">
        <v>174</v>
      </c>
      <c r="K338" s="0" t="s">
        <v>2401</v>
      </c>
      <c r="L338" s="0" t="n">
        <v>224160783</v>
      </c>
      <c r="M338" s="0" t="s">
        <v>1973</v>
      </c>
      <c r="N338" s="0" t="n">
        <v>103051614</v>
      </c>
      <c r="O338" s="0" t="n">
        <v>3496</v>
      </c>
      <c r="P338" s="0" t="n">
        <v>62.64</v>
      </c>
      <c r="Q338" s="0" t="e">
        <f aca="false">VLOOKUP(C338,[1]'Cost Correction'!$C$6:$AJ$6767,34,0)</f>
        <v>#N/A</v>
      </c>
    </row>
    <row r="339" customFormat="false" ht="15" hidden="false" customHeight="false" outlineLevel="0" collapsed="false">
      <c r="A339" s="0" t="e">
        <f aca="false">E339&amp;K339&amp;Q339</f>
        <v>#N/A</v>
      </c>
      <c r="B339" s="0" t="s">
        <v>5066</v>
      </c>
      <c r="C339" s="0" t="s">
        <v>5067</v>
      </c>
      <c r="D339" s="0" t="s">
        <v>2385</v>
      </c>
      <c r="E339" s="0" t="n">
        <v>43321</v>
      </c>
      <c r="F339" s="0" t="s">
        <v>2380</v>
      </c>
      <c r="G339" s="0" t="n">
        <v>21358568</v>
      </c>
      <c r="H339" s="0" t="n">
        <v>720191</v>
      </c>
      <c r="I339" s="0" t="s">
        <v>34</v>
      </c>
      <c r="J339" s="0" t="s">
        <v>174</v>
      </c>
      <c r="K339" s="0" t="s">
        <v>2395</v>
      </c>
      <c r="O339" s="0" t="n">
        <v>9176</v>
      </c>
      <c r="P339" s="0" t="n">
        <v>145.69</v>
      </c>
      <c r="Q339" s="0" t="e">
        <f aca="false">VLOOKUP(C339,[1]'Cost Correction'!$C$6:$AJ$6767,34,0)</f>
        <v>#N/A</v>
      </c>
    </row>
    <row r="340" customFormat="false" ht="15" hidden="false" customHeight="false" outlineLevel="0" collapsed="false">
      <c r="A340" s="0" t="e">
        <f aca="false">E340&amp;K340&amp;Q340</f>
        <v>#N/A</v>
      </c>
      <c r="B340" s="0" t="s">
        <v>5066</v>
      </c>
      <c r="C340" s="0" t="s">
        <v>5068</v>
      </c>
      <c r="D340" s="0" t="s">
        <v>2385</v>
      </c>
      <c r="E340" s="0" t="n">
        <v>43321</v>
      </c>
      <c r="F340" s="0" t="s">
        <v>2380</v>
      </c>
      <c r="G340" s="0" t="n">
        <v>21358568</v>
      </c>
      <c r="H340" s="0" t="n">
        <v>720191</v>
      </c>
      <c r="I340" s="0" t="s">
        <v>34</v>
      </c>
      <c r="J340" s="0" t="s">
        <v>174</v>
      </c>
      <c r="K340" s="0" t="s">
        <v>2393</v>
      </c>
      <c r="O340" s="0" t="n">
        <v>1655</v>
      </c>
      <c r="P340" s="0" t="n">
        <v>26.46</v>
      </c>
      <c r="Q340" s="0" t="e">
        <f aca="false">VLOOKUP(C340,[1]'Cost Correction'!$C$6:$AJ$6767,34,0)</f>
        <v>#N/A</v>
      </c>
    </row>
    <row r="341" customFormat="false" ht="15" hidden="false" customHeight="false" outlineLevel="0" collapsed="false">
      <c r="A341" s="0" t="e">
        <f aca="false">E341&amp;K341&amp;Q341</f>
        <v>#N/A</v>
      </c>
      <c r="B341" s="0" t="s">
        <v>5066</v>
      </c>
      <c r="C341" s="0" t="s">
        <v>5069</v>
      </c>
      <c r="D341" s="0" t="s">
        <v>2385</v>
      </c>
      <c r="E341" s="0" t="n">
        <v>43321</v>
      </c>
      <c r="F341" s="0" t="s">
        <v>2380</v>
      </c>
      <c r="G341" s="0" t="n">
        <v>21358568</v>
      </c>
      <c r="H341" s="0" t="n">
        <v>720191</v>
      </c>
      <c r="I341" s="0" t="s">
        <v>34</v>
      </c>
      <c r="J341" s="0" t="s">
        <v>174</v>
      </c>
      <c r="K341" s="0" t="s">
        <v>2397</v>
      </c>
      <c r="O341" s="0" t="n">
        <v>12042</v>
      </c>
      <c r="P341" s="0" t="n">
        <v>163.41</v>
      </c>
      <c r="Q341" s="0" t="e">
        <f aca="false">VLOOKUP(C341,[1]'Cost Correction'!$C$6:$AJ$6767,34,0)</f>
        <v>#N/A</v>
      </c>
    </row>
    <row r="342" customFormat="false" ht="15" hidden="false" customHeight="false" outlineLevel="0" collapsed="false">
      <c r="A342" s="0" t="e">
        <f aca="false">E342&amp;K342&amp;Q342</f>
        <v>#N/A</v>
      </c>
      <c r="B342" s="0" t="s">
        <v>5070</v>
      </c>
      <c r="C342" s="0" t="s">
        <v>5071</v>
      </c>
      <c r="D342" s="0" t="s">
        <v>2385</v>
      </c>
      <c r="E342" s="0" t="n">
        <v>43321</v>
      </c>
      <c r="F342" s="0" t="s">
        <v>2380</v>
      </c>
      <c r="G342" s="0" t="n">
        <v>21358568</v>
      </c>
      <c r="H342" s="0" t="n">
        <v>720191</v>
      </c>
      <c r="I342" s="0" t="s">
        <v>34</v>
      </c>
      <c r="J342" s="0" t="s">
        <v>174</v>
      </c>
      <c r="K342" s="0" t="s">
        <v>2412</v>
      </c>
      <c r="L342" s="0" t="n">
        <v>224160777</v>
      </c>
      <c r="M342" s="0" t="s">
        <v>1977</v>
      </c>
      <c r="N342" s="0" t="n">
        <v>103048479</v>
      </c>
      <c r="O342" s="0" t="n">
        <v>1472</v>
      </c>
      <c r="P342" s="0" t="n">
        <v>24.56</v>
      </c>
      <c r="Q342" s="0" t="e">
        <f aca="false">VLOOKUP(C342,[1]'Cost Correction'!$C$6:$AJ$6767,34,0)</f>
        <v>#N/A</v>
      </c>
    </row>
    <row r="343" customFormat="false" ht="15" hidden="false" customHeight="false" outlineLevel="0" collapsed="false">
      <c r="A343" s="0" t="e">
        <f aca="false">E343&amp;K343&amp;Q343</f>
        <v>#N/A</v>
      </c>
      <c r="B343" s="0" t="s">
        <v>5070</v>
      </c>
      <c r="C343" s="0" t="s">
        <v>5072</v>
      </c>
      <c r="D343" s="0" t="s">
        <v>2385</v>
      </c>
      <c r="E343" s="0" t="n">
        <v>43321</v>
      </c>
      <c r="F343" s="0" t="s">
        <v>2380</v>
      </c>
      <c r="G343" s="0" t="n">
        <v>21358568</v>
      </c>
      <c r="H343" s="0" t="n">
        <v>720191</v>
      </c>
      <c r="I343" s="0" t="s">
        <v>34</v>
      </c>
      <c r="J343" s="0" t="s">
        <v>174</v>
      </c>
      <c r="K343" s="0" t="s">
        <v>2381</v>
      </c>
      <c r="L343" s="0" t="n">
        <v>224160777</v>
      </c>
      <c r="M343" s="0" t="s">
        <v>1977</v>
      </c>
      <c r="N343" s="0" t="n">
        <v>103048479</v>
      </c>
      <c r="O343" s="0" t="n">
        <v>5329</v>
      </c>
      <c r="P343" s="0" t="n">
        <v>85.99</v>
      </c>
      <c r="Q343" s="0" t="e">
        <f aca="false">VLOOKUP(C343,[1]'Cost Correction'!$C$6:$AJ$6767,34,0)</f>
        <v>#N/A</v>
      </c>
    </row>
    <row r="344" customFormat="false" ht="15" hidden="false" customHeight="false" outlineLevel="0" collapsed="false">
      <c r="A344" s="0" t="e">
        <f aca="false">E344&amp;K344&amp;Q344</f>
        <v>#N/A</v>
      </c>
      <c r="B344" s="0" t="s">
        <v>5073</v>
      </c>
      <c r="C344" s="0" t="s">
        <v>5074</v>
      </c>
      <c r="D344" s="0" t="s">
        <v>2385</v>
      </c>
      <c r="E344" s="0" t="n">
        <v>43321</v>
      </c>
      <c r="F344" s="0" t="s">
        <v>2380</v>
      </c>
      <c r="G344" s="0" t="n">
        <v>21358568</v>
      </c>
      <c r="H344" s="0" t="n">
        <v>720191</v>
      </c>
      <c r="I344" s="0" t="s">
        <v>34</v>
      </c>
      <c r="J344" s="0" t="s">
        <v>174</v>
      </c>
      <c r="K344" s="0" t="s">
        <v>2420</v>
      </c>
      <c r="L344" s="0" t="n">
        <v>224160771</v>
      </c>
      <c r="M344" s="0" t="s">
        <v>1981</v>
      </c>
      <c r="N344" s="0" t="n">
        <v>103048488</v>
      </c>
      <c r="O344" s="0" t="n">
        <v>692</v>
      </c>
      <c r="P344" s="0" t="n">
        <v>9.26</v>
      </c>
      <c r="Q344" s="0" t="e">
        <f aca="false">VLOOKUP(C344,[1]'Cost Correction'!$C$6:$AJ$6767,34,0)</f>
        <v>#N/A</v>
      </c>
    </row>
    <row r="345" customFormat="false" ht="15" hidden="false" customHeight="false" outlineLevel="0" collapsed="false">
      <c r="A345" s="0" t="e">
        <f aca="false">E345&amp;K345&amp;Q345</f>
        <v>#N/A</v>
      </c>
      <c r="B345" s="0" t="s">
        <v>5073</v>
      </c>
      <c r="C345" s="0" t="s">
        <v>5075</v>
      </c>
      <c r="D345" s="0" t="s">
        <v>2385</v>
      </c>
      <c r="E345" s="0" t="n">
        <v>43321</v>
      </c>
      <c r="F345" s="0" t="s">
        <v>2380</v>
      </c>
      <c r="G345" s="0" t="n">
        <v>21358568</v>
      </c>
      <c r="H345" s="0" t="n">
        <v>720191</v>
      </c>
      <c r="I345" s="0" t="s">
        <v>34</v>
      </c>
      <c r="J345" s="0" t="s">
        <v>174</v>
      </c>
      <c r="K345" s="0" t="s">
        <v>2389</v>
      </c>
      <c r="L345" s="0" t="n">
        <v>224160771</v>
      </c>
      <c r="M345" s="0" t="s">
        <v>1981</v>
      </c>
      <c r="N345" s="0" t="n">
        <v>103048488</v>
      </c>
      <c r="O345" s="0" t="n">
        <v>5989</v>
      </c>
      <c r="P345" s="0" t="n">
        <v>100.35</v>
      </c>
      <c r="Q345" s="0" t="e">
        <f aca="false">VLOOKUP(C345,[1]'Cost Correction'!$C$6:$AJ$6767,34,0)</f>
        <v>#N/A</v>
      </c>
    </row>
    <row r="346" customFormat="false" ht="15" hidden="false" customHeight="false" outlineLevel="0" collapsed="false">
      <c r="A346" s="0" t="e">
        <f aca="false">E346&amp;K346&amp;Q346</f>
        <v>#N/A</v>
      </c>
      <c r="B346" s="0" t="s">
        <v>5076</v>
      </c>
      <c r="C346" s="0" t="s">
        <v>5077</v>
      </c>
      <c r="D346" s="0" t="s">
        <v>2385</v>
      </c>
      <c r="E346" s="0" t="n">
        <v>43321</v>
      </c>
      <c r="F346" s="0" t="s">
        <v>2380</v>
      </c>
      <c r="G346" s="0" t="n">
        <v>21358568</v>
      </c>
      <c r="H346" s="0" t="n">
        <v>720191</v>
      </c>
      <c r="I346" s="0" t="s">
        <v>34</v>
      </c>
      <c r="J346" s="0" t="s">
        <v>174</v>
      </c>
      <c r="K346" s="0" t="s">
        <v>2429</v>
      </c>
      <c r="L346" s="0" t="n">
        <v>224160780</v>
      </c>
      <c r="M346" s="0" t="s">
        <v>1975</v>
      </c>
      <c r="N346" s="0" t="n">
        <v>103186904</v>
      </c>
      <c r="O346" s="0" t="n">
        <v>1187</v>
      </c>
      <c r="P346" s="0" t="n">
        <v>8.7</v>
      </c>
      <c r="Q346" s="0" t="e">
        <f aca="false">VLOOKUP(C346,[1]'Cost Correction'!$C$6:$AJ$6767,34,0)</f>
        <v>#N/A</v>
      </c>
    </row>
    <row r="347" customFormat="false" ht="15" hidden="false" customHeight="false" outlineLevel="0" collapsed="false">
      <c r="A347" s="0" t="e">
        <f aca="false">E347&amp;K347&amp;Q347</f>
        <v>#N/A</v>
      </c>
      <c r="B347" s="0" t="s">
        <v>5076</v>
      </c>
      <c r="C347" s="0" t="s">
        <v>5078</v>
      </c>
      <c r="D347" s="0" t="s">
        <v>2385</v>
      </c>
      <c r="E347" s="0" t="n">
        <v>43321</v>
      </c>
      <c r="F347" s="0" t="s">
        <v>2380</v>
      </c>
      <c r="G347" s="0" t="n">
        <v>21358568</v>
      </c>
      <c r="H347" s="0" t="n">
        <v>720191</v>
      </c>
      <c r="I347" s="0" t="s">
        <v>34</v>
      </c>
      <c r="J347" s="0" t="s">
        <v>174</v>
      </c>
      <c r="K347" s="0" t="s">
        <v>2433</v>
      </c>
      <c r="L347" s="0" t="n">
        <v>224160780</v>
      </c>
      <c r="M347" s="0" t="s">
        <v>1975</v>
      </c>
      <c r="N347" s="0" t="n">
        <v>103186904</v>
      </c>
      <c r="O347" s="0" t="n">
        <v>449</v>
      </c>
      <c r="P347" s="0" t="n">
        <v>5.69</v>
      </c>
      <c r="Q347" s="0" t="e">
        <f aca="false">VLOOKUP(C347,[1]'Cost Correction'!$C$6:$AJ$6767,34,0)</f>
        <v>#N/A</v>
      </c>
    </row>
    <row r="348" customFormat="false" ht="15" hidden="false" customHeight="false" outlineLevel="0" collapsed="false">
      <c r="A348" s="0" t="str">
        <f aca="false">E348&amp;K348&amp;Q348</f>
        <v>43321Facebook»LAL»1x1»TextLink»SOC»DT»DYN»LAL»W»NA»SS»NA»Free Account Refresh- Lifestyle ChA103048491</v>
      </c>
      <c r="B348" s="0" t="s">
        <v>5079</v>
      </c>
      <c r="C348" s="0" t="s">
        <v>5080</v>
      </c>
      <c r="D348" s="0" t="s">
        <v>2385</v>
      </c>
      <c r="E348" s="0" t="n">
        <v>43321</v>
      </c>
      <c r="F348" s="0" t="s">
        <v>2380</v>
      </c>
      <c r="G348" s="0" t="n">
        <v>21358568</v>
      </c>
      <c r="H348" s="0" t="n">
        <v>720191</v>
      </c>
      <c r="I348" s="0" t="s">
        <v>34</v>
      </c>
      <c r="J348" s="0" t="s">
        <v>174</v>
      </c>
      <c r="K348" s="0" t="s">
        <v>2070</v>
      </c>
      <c r="L348" s="0" t="n">
        <v>224160711</v>
      </c>
      <c r="M348" s="0" t="s">
        <v>2071</v>
      </c>
      <c r="N348" s="0" t="n">
        <v>103048491</v>
      </c>
      <c r="O348" s="0" t="n">
        <v>447</v>
      </c>
      <c r="P348" s="0" t="n">
        <v>9.12</v>
      </c>
      <c r="Q348" s="0" t="n">
        <f aca="false">VLOOKUP(C348,[1]'Cost Correction'!$C$6:$AJ$6767,34,0)</f>
        <v>103048491</v>
      </c>
    </row>
    <row r="349" customFormat="false" ht="15" hidden="false" customHeight="false" outlineLevel="0" collapsed="false">
      <c r="A349" s="0" t="e">
        <f aca="false">E349&amp;K349&amp;Q349</f>
        <v>#N/A</v>
      </c>
      <c r="B349" s="0" t="s">
        <v>5081</v>
      </c>
      <c r="C349" s="0" t="s">
        <v>5082</v>
      </c>
      <c r="D349" s="0" t="s">
        <v>2385</v>
      </c>
      <c r="E349" s="0" t="n">
        <v>43321</v>
      </c>
      <c r="F349" s="0" t="s">
        <v>2380</v>
      </c>
      <c r="G349" s="0" t="n">
        <v>21358568</v>
      </c>
      <c r="H349" s="0" t="n">
        <v>720191</v>
      </c>
      <c r="I349" s="0" t="s">
        <v>34</v>
      </c>
      <c r="J349" s="0" t="s">
        <v>174</v>
      </c>
      <c r="K349" s="0" t="s">
        <v>2405</v>
      </c>
      <c r="L349" s="0" t="n">
        <v>224160774</v>
      </c>
      <c r="M349" s="0" t="s">
        <v>1979</v>
      </c>
      <c r="N349" s="0" t="n">
        <v>103186910</v>
      </c>
      <c r="O349" s="0" t="n">
        <v>1738</v>
      </c>
      <c r="P349" s="0" t="n">
        <v>36.08</v>
      </c>
      <c r="Q349" s="0" t="e">
        <f aca="false">VLOOKUP(C349,[1]'Cost Correction'!$C$6:$AJ$6767,34,0)</f>
        <v>#N/A</v>
      </c>
    </row>
    <row r="350" customFormat="false" ht="15" hidden="false" customHeight="false" outlineLevel="0" collapsed="false">
      <c r="A350" s="0" t="e">
        <f aca="false">E350&amp;K350&amp;Q350</f>
        <v>#N/A</v>
      </c>
      <c r="B350" s="0" t="s">
        <v>5081</v>
      </c>
      <c r="C350" s="0" t="s">
        <v>5083</v>
      </c>
      <c r="D350" s="0" t="s">
        <v>2385</v>
      </c>
      <c r="E350" s="0" t="n">
        <v>43321</v>
      </c>
      <c r="F350" s="0" t="s">
        <v>2380</v>
      </c>
      <c r="G350" s="0" t="n">
        <v>21358568</v>
      </c>
      <c r="H350" s="0" t="n">
        <v>720191</v>
      </c>
      <c r="I350" s="0" t="s">
        <v>34</v>
      </c>
      <c r="J350" s="0" t="s">
        <v>174</v>
      </c>
      <c r="K350" s="0" t="s">
        <v>2416</v>
      </c>
      <c r="L350" s="0" t="n">
        <v>224160774</v>
      </c>
      <c r="M350" s="0" t="s">
        <v>1979</v>
      </c>
      <c r="N350" s="0" t="n">
        <v>103186910</v>
      </c>
      <c r="O350" s="0" t="n">
        <v>2589</v>
      </c>
      <c r="P350" s="0" t="n">
        <v>49.5</v>
      </c>
      <c r="Q350" s="0" t="e">
        <f aca="false">VLOOKUP(C350,[1]'Cost Correction'!$C$6:$AJ$6767,34,0)</f>
        <v>#N/A</v>
      </c>
    </row>
    <row r="351" customFormat="false" ht="15" hidden="false" customHeight="false" outlineLevel="0" collapsed="false">
      <c r="A351" s="0" t="str">
        <f aca="false">E351&amp;K351&amp;Q351</f>
        <v>43321Facebook»LAL»1x1»TextLink»SOC»DT»DYN»LAL»W»NA»SS»NA»Free Account Refresh- Device ChB103048485</v>
      </c>
      <c r="B351" s="0" t="s">
        <v>5084</v>
      </c>
      <c r="C351" s="0" t="s">
        <v>5085</v>
      </c>
      <c r="D351" s="0" t="s">
        <v>2385</v>
      </c>
      <c r="E351" s="0" t="n">
        <v>43321</v>
      </c>
      <c r="F351" s="0" t="s">
        <v>2380</v>
      </c>
      <c r="G351" s="0" t="n">
        <v>21358568</v>
      </c>
      <c r="H351" s="0" t="n">
        <v>720191</v>
      </c>
      <c r="I351" s="0" t="s">
        <v>34</v>
      </c>
      <c r="J351" s="0" t="s">
        <v>174</v>
      </c>
      <c r="K351" s="0" t="s">
        <v>2066</v>
      </c>
      <c r="L351" s="0" t="n">
        <v>224160717</v>
      </c>
      <c r="M351" s="0" t="s">
        <v>2067</v>
      </c>
      <c r="N351" s="0" t="n">
        <v>103048485</v>
      </c>
      <c r="O351" s="0" t="n">
        <v>979</v>
      </c>
      <c r="P351" s="0" t="n">
        <v>21.67</v>
      </c>
      <c r="Q351" s="0" t="n">
        <f aca="false">VLOOKUP(C351,[1]'Cost Correction'!$C$6:$AJ$6767,34,0)</f>
        <v>103048485</v>
      </c>
    </row>
    <row r="352" customFormat="false" ht="15" hidden="false" customHeight="false" outlineLevel="0" collapsed="false">
      <c r="A352" s="0" t="str">
        <f aca="false">E352&amp;K352&amp;Q352</f>
        <v>43321Facebook»LAL»1x1»TextLink»SOC»DT»DYN»LAL»W»NA»SS»NA»Free Account Refresh- Illustration ChC103186916</v>
      </c>
      <c r="B352" s="0" t="s">
        <v>5086</v>
      </c>
      <c r="C352" s="0" t="s">
        <v>5087</v>
      </c>
      <c r="D352" s="0" t="s">
        <v>2385</v>
      </c>
      <c r="E352" s="0" t="n">
        <v>43321</v>
      </c>
      <c r="F352" s="0" t="s">
        <v>2380</v>
      </c>
      <c r="G352" s="0" t="n">
        <v>21358568</v>
      </c>
      <c r="H352" s="0" t="n">
        <v>720191</v>
      </c>
      <c r="I352" s="0" t="s">
        <v>34</v>
      </c>
      <c r="J352" s="0" t="s">
        <v>174</v>
      </c>
      <c r="K352" s="0" t="s">
        <v>2068</v>
      </c>
      <c r="L352" s="0" t="n">
        <v>224160714</v>
      </c>
      <c r="M352" s="0" t="s">
        <v>2069</v>
      </c>
      <c r="N352" s="0" t="n">
        <v>103186916</v>
      </c>
      <c r="O352" s="0" t="n">
        <v>667</v>
      </c>
      <c r="P352" s="0" t="n">
        <v>15.35</v>
      </c>
      <c r="Q352" s="0" t="n">
        <f aca="false">VLOOKUP(C352,[1]'Cost Correction'!$C$6:$AJ$6767,34,0)</f>
        <v>103186916</v>
      </c>
    </row>
    <row r="353" customFormat="false" ht="15" hidden="false" customHeight="false" outlineLevel="0" collapsed="false">
      <c r="A353" s="0" t="str">
        <f aca="false">E353&amp;K353&amp;Q353</f>
        <v>43321Facebook»LAL»1x1»TextLink»SOC»DT»DYN»LAL»W»NA»SS»NA»Free Account Refresh- 200 Credit ChD103186907</v>
      </c>
      <c r="B353" s="0" t="s">
        <v>5088</v>
      </c>
      <c r="C353" s="0" t="s">
        <v>5089</v>
      </c>
      <c r="D353" s="0" t="s">
        <v>2385</v>
      </c>
      <c r="E353" s="0" t="n">
        <v>43321</v>
      </c>
      <c r="F353" s="0" t="s">
        <v>2380</v>
      </c>
      <c r="G353" s="0" t="n">
        <v>21358568</v>
      </c>
      <c r="H353" s="0" t="n">
        <v>720191</v>
      </c>
      <c r="I353" s="0" t="s">
        <v>34</v>
      </c>
      <c r="J353" s="0" t="s">
        <v>174</v>
      </c>
      <c r="K353" s="0" t="s">
        <v>2064</v>
      </c>
      <c r="L353" s="0" t="n">
        <v>224160720</v>
      </c>
      <c r="M353" s="0" t="s">
        <v>2065</v>
      </c>
      <c r="N353" s="0" t="n">
        <v>103186907</v>
      </c>
      <c r="O353" s="0" t="n">
        <v>736</v>
      </c>
      <c r="P353" s="0" t="n">
        <v>7.78</v>
      </c>
      <c r="Q353" s="0" t="n">
        <f aca="false">VLOOKUP(C353,[1]'Cost Correction'!$C$6:$AJ$6767,34,0)</f>
        <v>103186907</v>
      </c>
    </row>
    <row r="354" customFormat="false" ht="15" hidden="false" customHeight="false" outlineLevel="0" collapsed="false">
      <c r="A354" s="0" t="str">
        <f aca="false">E354&amp;K354&amp;Q354</f>
        <v>43320Facebook»LAL»1x1»TextLink»SOC»DT»DYN»LAL»W»NA»SS»NA»Free Account Refresh- Illustration ChC103186916</v>
      </c>
      <c r="B354" s="0" t="s">
        <v>5090</v>
      </c>
      <c r="C354" s="0" t="s">
        <v>5091</v>
      </c>
      <c r="D354" s="0" t="s">
        <v>2385</v>
      </c>
      <c r="E354" s="0" t="n">
        <v>43320</v>
      </c>
      <c r="F354" s="0" t="s">
        <v>2380</v>
      </c>
      <c r="G354" s="0" t="n">
        <v>21358568</v>
      </c>
      <c r="H354" s="0" t="n">
        <v>720191</v>
      </c>
      <c r="I354" s="0" t="s">
        <v>34</v>
      </c>
      <c r="J354" s="0" t="s">
        <v>174</v>
      </c>
      <c r="K354" s="0" t="s">
        <v>2068</v>
      </c>
      <c r="L354" s="0" t="n">
        <v>224160714</v>
      </c>
      <c r="M354" s="0" t="s">
        <v>2069</v>
      </c>
      <c r="N354" s="0" t="n">
        <v>103186916</v>
      </c>
      <c r="O354" s="0" t="n">
        <v>1170</v>
      </c>
      <c r="P354" s="0" t="n">
        <v>25.55</v>
      </c>
      <c r="Q354" s="0" t="n">
        <f aca="false">VLOOKUP(C354,[1]'Cost Correction'!$C$6:$AJ$6767,34,0)</f>
        <v>103186916</v>
      </c>
    </row>
    <row r="355" customFormat="false" ht="15" hidden="false" customHeight="false" outlineLevel="0" collapsed="false">
      <c r="A355" s="0" t="e">
        <f aca="false">E355&amp;K355&amp;Q355</f>
        <v>#N/A</v>
      </c>
      <c r="B355" s="0" t="s">
        <v>5092</v>
      </c>
      <c r="C355" s="0" t="s">
        <v>5093</v>
      </c>
      <c r="D355" s="0" t="s">
        <v>2385</v>
      </c>
      <c r="E355" s="0" t="n">
        <v>43320</v>
      </c>
      <c r="F355" s="0" t="s">
        <v>2380</v>
      </c>
      <c r="G355" s="0" t="n">
        <v>21358568</v>
      </c>
      <c r="H355" s="0" t="n">
        <v>720191</v>
      </c>
      <c r="I355" s="0" t="s">
        <v>34</v>
      </c>
      <c r="J355" s="0" t="s">
        <v>174</v>
      </c>
      <c r="K355" s="0" t="s">
        <v>2433</v>
      </c>
      <c r="L355" s="0" t="n">
        <v>224160780</v>
      </c>
      <c r="M355" s="0" t="s">
        <v>1975</v>
      </c>
      <c r="N355" s="0" t="n">
        <v>103186904</v>
      </c>
      <c r="O355" s="0" t="n">
        <v>456</v>
      </c>
      <c r="P355" s="0" t="n">
        <v>4.27</v>
      </c>
      <c r="Q355" s="0" t="e">
        <f aca="false">VLOOKUP(C355,[1]'Cost Correction'!$C$6:$AJ$6767,34,0)</f>
        <v>#N/A</v>
      </c>
    </row>
    <row r="356" customFormat="false" ht="15" hidden="false" customHeight="false" outlineLevel="0" collapsed="false">
      <c r="A356" s="0" t="e">
        <f aca="false">E356&amp;K356&amp;Q356</f>
        <v>#N/A</v>
      </c>
      <c r="B356" s="0" t="s">
        <v>5092</v>
      </c>
      <c r="C356" s="0" t="s">
        <v>5094</v>
      </c>
      <c r="D356" s="0" t="s">
        <v>2385</v>
      </c>
      <c r="E356" s="0" t="n">
        <v>43320</v>
      </c>
      <c r="F356" s="0" t="s">
        <v>2380</v>
      </c>
      <c r="G356" s="0" t="n">
        <v>21358568</v>
      </c>
      <c r="H356" s="0" t="n">
        <v>720191</v>
      </c>
      <c r="I356" s="0" t="s">
        <v>34</v>
      </c>
      <c r="J356" s="0" t="s">
        <v>174</v>
      </c>
      <c r="K356" s="0" t="s">
        <v>2429</v>
      </c>
      <c r="L356" s="0" t="n">
        <v>224160780</v>
      </c>
      <c r="M356" s="0" t="s">
        <v>1975</v>
      </c>
      <c r="N356" s="0" t="n">
        <v>103186904</v>
      </c>
      <c r="O356" s="0" t="n">
        <v>453</v>
      </c>
      <c r="P356" s="0" t="n">
        <v>3.73</v>
      </c>
      <c r="Q356" s="0" t="e">
        <f aca="false">VLOOKUP(C356,[1]'Cost Correction'!$C$6:$AJ$6767,34,0)</f>
        <v>#N/A</v>
      </c>
    </row>
    <row r="357" customFormat="false" ht="15" hidden="false" customHeight="false" outlineLevel="0" collapsed="false">
      <c r="A357" s="0" t="e">
        <f aca="false">E357&amp;K357&amp;Q357</f>
        <v>#N/A</v>
      </c>
      <c r="B357" s="0" t="s">
        <v>5095</v>
      </c>
      <c r="C357" s="0" t="s">
        <v>5096</v>
      </c>
      <c r="D357" s="0" t="s">
        <v>2385</v>
      </c>
      <c r="E357" s="0" t="n">
        <v>43320</v>
      </c>
      <c r="F357" s="0" t="s">
        <v>2380</v>
      </c>
      <c r="G357" s="0" t="n">
        <v>21358568</v>
      </c>
      <c r="H357" s="0" t="n">
        <v>720191</v>
      </c>
      <c r="I357" s="0" t="s">
        <v>34</v>
      </c>
      <c r="J357" s="0" t="s">
        <v>174</v>
      </c>
      <c r="K357" s="0" t="s">
        <v>2420</v>
      </c>
      <c r="L357" s="0" t="n">
        <v>224160771</v>
      </c>
      <c r="M357" s="0" t="s">
        <v>1981</v>
      </c>
      <c r="N357" s="0" t="n">
        <v>103048488</v>
      </c>
      <c r="O357" s="0" t="n">
        <v>2006</v>
      </c>
      <c r="P357" s="0" t="n">
        <v>28.34</v>
      </c>
      <c r="Q357" s="0" t="e">
        <f aca="false">VLOOKUP(C357,[1]'Cost Correction'!$C$6:$AJ$6767,34,0)</f>
        <v>#N/A</v>
      </c>
    </row>
    <row r="358" customFormat="false" ht="15" hidden="false" customHeight="false" outlineLevel="0" collapsed="false">
      <c r="A358" s="0" t="e">
        <f aca="false">E358&amp;K358&amp;Q358</f>
        <v>#N/A</v>
      </c>
      <c r="B358" s="0" t="s">
        <v>5095</v>
      </c>
      <c r="C358" s="0" t="s">
        <v>5097</v>
      </c>
      <c r="D358" s="0" t="s">
        <v>2385</v>
      </c>
      <c r="E358" s="0" t="n">
        <v>43320</v>
      </c>
      <c r="F358" s="0" t="s">
        <v>2380</v>
      </c>
      <c r="G358" s="0" t="n">
        <v>21358568</v>
      </c>
      <c r="H358" s="0" t="n">
        <v>720191</v>
      </c>
      <c r="I358" s="0" t="s">
        <v>34</v>
      </c>
      <c r="J358" s="0" t="s">
        <v>174</v>
      </c>
      <c r="K358" s="0" t="s">
        <v>2389</v>
      </c>
      <c r="L358" s="0" t="n">
        <v>224160771</v>
      </c>
      <c r="M358" s="0" t="s">
        <v>1981</v>
      </c>
      <c r="N358" s="0" t="n">
        <v>103048488</v>
      </c>
      <c r="O358" s="0" t="n">
        <v>1302</v>
      </c>
      <c r="P358" s="0" t="n">
        <v>6.91</v>
      </c>
      <c r="Q358" s="0" t="e">
        <f aca="false">VLOOKUP(C358,[1]'Cost Correction'!$C$6:$AJ$6767,34,0)</f>
        <v>#N/A</v>
      </c>
    </row>
    <row r="359" customFormat="false" ht="15" hidden="false" customHeight="false" outlineLevel="0" collapsed="false">
      <c r="A359" s="0" t="e">
        <f aca="false">E359&amp;K359&amp;Q359</f>
        <v>#N/A</v>
      </c>
      <c r="B359" s="0" t="s">
        <v>5098</v>
      </c>
      <c r="C359" s="0" t="s">
        <v>5099</v>
      </c>
      <c r="D359" s="0" t="s">
        <v>2385</v>
      </c>
      <c r="E359" s="0" t="n">
        <v>43320</v>
      </c>
      <c r="F359" s="0" t="s">
        <v>2380</v>
      </c>
      <c r="G359" s="0" t="n">
        <v>21358568</v>
      </c>
      <c r="H359" s="0" t="n">
        <v>720191</v>
      </c>
      <c r="I359" s="0" t="s">
        <v>34</v>
      </c>
      <c r="J359" s="0" t="s">
        <v>174</v>
      </c>
      <c r="K359" s="0" t="s">
        <v>2412</v>
      </c>
      <c r="L359" s="0" t="n">
        <v>224160777</v>
      </c>
      <c r="M359" s="0" t="s">
        <v>1977</v>
      </c>
      <c r="N359" s="0" t="n">
        <v>103048479</v>
      </c>
      <c r="O359" s="0" t="n">
        <v>4353</v>
      </c>
      <c r="P359" s="0" t="n">
        <v>67.87</v>
      </c>
      <c r="Q359" s="0" t="e">
        <f aca="false">VLOOKUP(C359,[1]'Cost Correction'!$C$6:$AJ$6767,34,0)</f>
        <v>#N/A</v>
      </c>
    </row>
    <row r="360" customFormat="false" ht="15" hidden="false" customHeight="false" outlineLevel="0" collapsed="false">
      <c r="A360" s="0" t="e">
        <f aca="false">E360&amp;K360&amp;Q360</f>
        <v>#N/A</v>
      </c>
      <c r="B360" s="0" t="s">
        <v>5098</v>
      </c>
      <c r="C360" s="0" t="s">
        <v>5100</v>
      </c>
      <c r="D360" s="0" t="s">
        <v>2385</v>
      </c>
      <c r="E360" s="0" t="n">
        <v>43320</v>
      </c>
      <c r="F360" s="0" t="s">
        <v>2380</v>
      </c>
      <c r="G360" s="0" t="n">
        <v>21358568</v>
      </c>
      <c r="H360" s="0" t="n">
        <v>720191</v>
      </c>
      <c r="I360" s="0" t="s">
        <v>34</v>
      </c>
      <c r="J360" s="0" t="s">
        <v>174</v>
      </c>
      <c r="K360" s="0" t="s">
        <v>2381</v>
      </c>
      <c r="L360" s="0" t="n">
        <v>224160777</v>
      </c>
      <c r="M360" s="0" t="s">
        <v>1977</v>
      </c>
      <c r="N360" s="0" t="n">
        <v>103048479</v>
      </c>
      <c r="O360" s="0" t="n">
        <v>4161</v>
      </c>
      <c r="P360" s="0" t="n">
        <v>32.72</v>
      </c>
      <c r="Q360" s="0" t="e">
        <f aca="false">VLOOKUP(C360,[1]'Cost Correction'!$C$6:$AJ$6767,34,0)</f>
        <v>#N/A</v>
      </c>
    </row>
    <row r="361" customFormat="false" ht="15" hidden="false" customHeight="false" outlineLevel="0" collapsed="false">
      <c r="A361" s="0" t="e">
        <f aca="false">E361&amp;K361&amp;Q361</f>
        <v>#N/A</v>
      </c>
      <c r="B361" s="0" t="s">
        <v>5101</v>
      </c>
      <c r="C361" s="0" t="s">
        <v>5102</v>
      </c>
      <c r="D361" s="0" t="s">
        <v>2385</v>
      </c>
      <c r="E361" s="0" t="n">
        <v>43320</v>
      </c>
      <c r="F361" s="0" t="s">
        <v>2380</v>
      </c>
      <c r="G361" s="0" t="n">
        <v>21358568</v>
      </c>
      <c r="H361" s="0" t="n">
        <v>720191</v>
      </c>
      <c r="I361" s="0" t="s">
        <v>34</v>
      </c>
      <c r="J361" s="0" t="s">
        <v>174</v>
      </c>
      <c r="K361" s="0" t="s">
        <v>2070</v>
      </c>
      <c r="L361" s="0" t="n">
        <v>224160711</v>
      </c>
      <c r="M361" s="0" t="s">
        <v>2071</v>
      </c>
      <c r="N361" s="0" t="n">
        <v>103048491</v>
      </c>
      <c r="O361" s="0" t="n">
        <v>1338</v>
      </c>
      <c r="P361" s="0" t="n">
        <v>24.47</v>
      </c>
      <c r="Q361" s="0" t="e">
        <f aca="false">VLOOKUP(C361,[1]'Cost Correction'!$C$6:$AJ$6767,34,0)</f>
        <v>#N/A</v>
      </c>
    </row>
    <row r="362" customFormat="false" ht="15" hidden="false" customHeight="false" outlineLevel="0" collapsed="false">
      <c r="A362" s="0" t="e">
        <f aca="false">E362&amp;K362&amp;Q362</f>
        <v>#N/A</v>
      </c>
      <c r="B362" s="0" t="s">
        <v>5103</v>
      </c>
      <c r="C362" s="0" t="s">
        <v>5104</v>
      </c>
      <c r="D362" s="0" t="s">
        <v>2385</v>
      </c>
      <c r="E362" s="0" t="n">
        <v>43320</v>
      </c>
      <c r="F362" s="0" t="s">
        <v>2380</v>
      </c>
      <c r="G362" s="0" t="n">
        <v>21358568</v>
      </c>
      <c r="H362" s="0" t="n">
        <v>720191</v>
      </c>
      <c r="I362" s="0" t="s">
        <v>34</v>
      </c>
      <c r="J362" s="0" t="s">
        <v>174</v>
      </c>
      <c r="K362" s="0" t="s">
        <v>2401</v>
      </c>
      <c r="L362" s="0" t="n">
        <v>224160783</v>
      </c>
      <c r="M362" s="0" t="s">
        <v>1973</v>
      </c>
      <c r="N362" s="0" t="n">
        <v>103051614</v>
      </c>
      <c r="O362" s="0" t="n">
        <v>582</v>
      </c>
      <c r="P362" s="0" t="n">
        <v>9.65</v>
      </c>
      <c r="Q362" s="0" t="e">
        <f aca="false">VLOOKUP(C362,[1]'Cost Correction'!$C$6:$AJ$6767,34,0)</f>
        <v>#N/A</v>
      </c>
    </row>
    <row r="363" customFormat="false" ht="15" hidden="false" customHeight="false" outlineLevel="0" collapsed="false">
      <c r="A363" s="0" t="e">
        <f aca="false">E363&amp;K363&amp;Q363</f>
        <v>#N/A</v>
      </c>
      <c r="B363" s="0" t="s">
        <v>5105</v>
      </c>
      <c r="C363" s="0" t="s">
        <v>5106</v>
      </c>
      <c r="D363" s="0" t="s">
        <v>2385</v>
      </c>
      <c r="E363" s="0" t="n">
        <v>43320</v>
      </c>
      <c r="F363" s="0" t="s">
        <v>2380</v>
      </c>
      <c r="G363" s="0" t="n">
        <v>21358568</v>
      </c>
      <c r="H363" s="0" t="n">
        <v>720191</v>
      </c>
      <c r="I363" s="0" t="s">
        <v>34</v>
      </c>
      <c r="J363" s="0" t="s">
        <v>174</v>
      </c>
      <c r="K363" s="0" t="s">
        <v>2416</v>
      </c>
      <c r="L363" s="0" t="n">
        <v>224160774</v>
      </c>
      <c r="M363" s="0" t="s">
        <v>1979</v>
      </c>
      <c r="N363" s="0" t="n">
        <v>103186910</v>
      </c>
      <c r="O363" s="0" t="n">
        <v>10069</v>
      </c>
      <c r="P363" s="0" t="n">
        <v>162.42</v>
      </c>
      <c r="Q363" s="0" t="e">
        <f aca="false">VLOOKUP(C363,[1]'Cost Correction'!$C$6:$AJ$6767,34,0)</f>
        <v>#N/A</v>
      </c>
    </row>
    <row r="364" customFormat="false" ht="15" hidden="false" customHeight="false" outlineLevel="0" collapsed="false">
      <c r="A364" s="0" t="e">
        <f aca="false">E364&amp;K364&amp;Q364</f>
        <v>#N/A</v>
      </c>
      <c r="B364" s="0" t="s">
        <v>5105</v>
      </c>
      <c r="C364" s="0" t="s">
        <v>5107</v>
      </c>
      <c r="D364" s="0" t="s">
        <v>2385</v>
      </c>
      <c r="E364" s="0" t="n">
        <v>43320</v>
      </c>
      <c r="F364" s="0" t="s">
        <v>2380</v>
      </c>
      <c r="G364" s="0" t="n">
        <v>21358568</v>
      </c>
      <c r="H364" s="0" t="n">
        <v>720191</v>
      </c>
      <c r="I364" s="0" t="s">
        <v>34</v>
      </c>
      <c r="J364" s="0" t="s">
        <v>174</v>
      </c>
      <c r="K364" s="0" t="s">
        <v>2405</v>
      </c>
      <c r="L364" s="0" t="n">
        <v>224160774</v>
      </c>
      <c r="M364" s="0" t="s">
        <v>1979</v>
      </c>
      <c r="N364" s="0" t="n">
        <v>103186910</v>
      </c>
      <c r="O364" s="0" t="n">
        <v>1687</v>
      </c>
      <c r="P364" s="0" t="n">
        <v>33.56</v>
      </c>
      <c r="Q364" s="0" t="e">
        <f aca="false">VLOOKUP(C364,[1]'Cost Correction'!$C$6:$AJ$6767,34,0)</f>
        <v>#N/A</v>
      </c>
    </row>
    <row r="365" customFormat="false" ht="15" hidden="false" customHeight="false" outlineLevel="0" collapsed="false">
      <c r="A365" s="0" t="str">
        <f aca="false">E365&amp;K365&amp;Q365</f>
        <v>43320Facebook»LAL»1x1»TextLink»SOC»DT»DYN»LAL»W»NA»SS»NA»Free Account Refresh- Device ChB103048485</v>
      </c>
      <c r="B365" s="0" t="s">
        <v>5108</v>
      </c>
      <c r="C365" s="0" t="s">
        <v>5109</v>
      </c>
      <c r="D365" s="0" t="s">
        <v>2385</v>
      </c>
      <c r="E365" s="0" t="n">
        <v>43320</v>
      </c>
      <c r="F365" s="0" t="s">
        <v>2380</v>
      </c>
      <c r="G365" s="0" t="n">
        <v>21358568</v>
      </c>
      <c r="H365" s="0" t="n">
        <v>720191</v>
      </c>
      <c r="I365" s="0" t="s">
        <v>34</v>
      </c>
      <c r="J365" s="0" t="s">
        <v>174</v>
      </c>
      <c r="K365" s="0" t="s">
        <v>2066</v>
      </c>
      <c r="L365" s="0" t="n">
        <v>224160717</v>
      </c>
      <c r="M365" s="0" t="s">
        <v>2067</v>
      </c>
      <c r="N365" s="0" t="n">
        <v>103048485</v>
      </c>
      <c r="O365" s="0" t="n">
        <v>1389</v>
      </c>
      <c r="P365" s="0" t="n">
        <v>28.86</v>
      </c>
      <c r="Q365" s="0" t="n">
        <f aca="false">VLOOKUP(C365,[1]'Cost Correction'!$C$6:$AJ$6767,34,0)</f>
        <v>103048485</v>
      </c>
    </row>
    <row r="366" customFormat="false" ht="15" hidden="false" customHeight="false" outlineLevel="0" collapsed="false">
      <c r="A366" s="0" t="e">
        <f aca="false">E366&amp;K366&amp;Q366</f>
        <v>#N/A</v>
      </c>
      <c r="B366" s="0" t="s">
        <v>5110</v>
      </c>
      <c r="C366" s="0" t="s">
        <v>5111</v>
      </c>
      <c r="D366" s="0" t="s">
        <v>2385</v>
      </c>
      <c r="E366" s="0" t="n">
        <v>43320</v>
      </c>
      <c r="F366" s="0" t="s">
        <v>2380</v>
      </c>
      <c r="G366" s="0" t="n">
        <v>21358568</v>
      </c>
      <c r="H366" s="0" t="n">
        <v>720191</v>
      </c>
      <c r="I366" s="0" t="s">
        <v>34</v>
      </c>
      <c r="J366" s="0" t="s">
        <v>174</v>
      </c>
      <c r="K366" s="0" t="s">
        <v>2393</v>
      </c>
      <c r="O366" s="0" t="n">
        <v>6551</v>
      </c>
      <c r="P366" s="0" t="n">
        <v>84.37</v>
      </c>
      <c r="Q366" s="0" t="e">
        <f aca="false">VLOOKUP(C366,[1]'Cost Correction'!$C$6:$AJ$6767,34,0)</f>
        <v>#N/A</v>
      </c>
    </row>
    <row r="367" customFormat="false" ht="15" hidden="false" customHeight="false" outlineLevel="0" collapsed="false">
      <c r="A367" s="0" t="e">
        <f aca="false">E367&amp;K367&amp;Q367</f>
        <v>#N/A</v>
      </c>
      <c r="B367" s="0" t="s">
        <v>5110</v>
      </c>
      <c r="C367" s="0" t="s">
        <v>5112</v>
      </c>
      <c r="D367" s="0" t="s">
        <v>2385</v>
      </c>
      <c r="E367" s="0" t="n">
        <v>43320</v>
      </c>
      <c r="F367" s="0" t="s">
        <v>2380</v>
      </c>
      <c r="G367" s="0" t="n">
        <v>21358568</v>
      </c>
      <c r="H367" s="0" t="n">
        <v>720191</v>
      </c>
      <c r="I367" s="0" t="s">
        <v>34</v>
      </c>
      <c r="J367" s="0" t="s">
        <v>174</v>
      </c>
      <c r="K367" s="0" t="s">
        <v>2397</v>
      </c>
      <c r="O367" s="0" t="n">
        <v>4138</v>
      </c>
      <c r="P367" s="0" t="n">
        <v>61.9</v>
      </c>
      <c r="Q367" s="0" t="e">
        <f aca="false">VLOOKUP(C367,[1]'Cost Correction'!$C$6:$AJ$6767,34,0)</f>
        <v>#N/A</v>
      </c>
    </row>
    <row r="368" customFormat="false" ht="15" hidden="false" customHeight="false" outlineLevel="0" collapsed="false">
      <c r="A368" s="0" t="e">
        <f aca="false">E368&amp;K368&amp;Q368</f>
        <v>#N/A</v>
      </c>
      <c r="B368" s="0" t="s">
        <v>5110</v>
      </c>
      <c r="C368" s="0" t="s">
        <v>5113</v>
      </c>
      <c r="D368" s="0" t="s">
        <v>2385</v>
      </c>
      <c r="E368" s="0" t="n">
        <v>43320</v>
      </c>
      <c r="F368" s="0" t="s">
        <v>2380</v>
      </c>
      <c r="G368" s="0" t="n">
        <v>21358568</v>
      </c>
      <c r="H368" s="0" t="n">
        <v>720191</v>
      </c>
      <c r="I368" s="0" t="s">
        <v>34</v>
      </c>
      <c r="J368" s="0" t="s">
        <v>174</v>
      </c>
      <c r="K368" s="0" t="s">
        <v>2395</v>
      </c>
      <c r="O368" s="0" t="n">
        <v>9925</v>
      </c>
      <c r="P368" s="0" t="n">
        <v>152.73</v>
      </c>
      <c r="Q368" s="0" t="e">
        <f aca="false">VLOOKUP(C368,[1]'Cost Correction'!$C$6:$AJ$6767,34,0)</f>
        <v>#N/A</v>
      </c>
    </row>
    <row r="369" customFormat="false" ht="15" hidden="false" customHeight="false" outlineLevel="0" collapsed="false">
      <c r="A369" s="0" t="e">
        <f aca="false">E369&amp;K369&amp;Q369</f>
        <v>#N/A</v>
      </c>
      <c r="B369" s="0" t="s">
        <v>5114</v>
      </c>
      <c r="C369" s="0" t="s">
        <v>5115</v>
      </c>
      <c r="D369" s="0" t="s">
        <v>2385</v>
      </c>
      <c r="E369" s="0" t="n">
        <v>43320</v>
      </c>
      <c r="F369" s="0" t="s">
        <v>2380</v>
      </c>
      <c r="G369" s="0" t="n">
        <v>21358568</v>
      </c>
      <c r="H369" s="0" t="n">
        <v>720191</v>
      </c>
      <c r="I369" s="0" t="s">
        <v>34</v>
      </c>
      <c r="J369" s="0" t="s">
        <v>174</v>
      </c>
      <c r="K369" s="0" t="s">
        <v>2064</v>
      </c>
      <c r="L369" s="0" t="n">
        <v>224160720</v>
      </c>
      <c r="M369" s="0" t="s">
        <v>2065</v>
      </c>
      <c r="N369" s="0" t="n">
        <v>103186907</v>
      </c>
      <c r="O369" s="0" t="n">
        <v>518</v>
      </c>
      <c r="P369" s="0" t="n">
        <v>6.77</v>
      </c>
      <c r="Q369" s="0" t="e">
        <f aca="false">VLOOKUP(C369,[1]'Cost Correction'!$C$6:$AJ$6767,34,0)</f>
        <v>#N/A</v>
      </c>
    </row>
    <row r="370" customFormat="false" ht="15" hidden="false" customHeight="false" outlineLevel="0" collapsed="false">
      <c r="A370" s="0" t="e">
        <f aca="false">E370&amp;K370&amp;Q370</f>
        <v>#N/A</v>
      </c>
      <c r="B370" s="0" t="s">
        <v>5116</v>
      </c>
      <c r="C370" s="0" t="s">
        <v>5117</v>
      </c>
      <c r="D370" s="0" t="s">
        <v>2385</v>
      </c>
      <c r="E370" s="0" t="n">
        <v>43319</v>
      </c>
      <c r="F370" s="0" t="s">
        <v>2380</v>
      </c>
      <c r="G370" s="0" t="n">
        <v>21358568</v>
      </c>
      <c r="H370" s="0" t="n">
        <v>720191</v>
      </c>
      <c r="I370" s="0" t="s">
        <v>34</v>
      </c>
      <c r="J370" s="0" t="s">
        <v>174</v>
      </c>
      <c r="K370" s="0" t="s">
        <v>2412</v>
      </c>
      <c r="L370" s="0" t="n">
        <v>224160777</v>
      </c>
      <c r="M370" s="0" t="s">
        <v>1977</v>
      </c>
      <c r="N370" s="0" t="n">
        <v>103048479</v>
      </c>
      <c r="O370" s="0" t="n">
        <v>5800</v>
      </c>
      <c r="P370" s="0" t="n">
        <v>68.44</v>
      </c>
      <c r="Q370" s="0" t="e">
        <f aca="false">VLOOKUP(C370,[1]'Cost Correction'!$C$6:$AJ$6767,34,0)</f>
        <v>#N/A</v>
      </c>
    </row>
    <row r="371" customFormat="false" ht="15" hidden="false" customHeight="false" outlineLevel="0" collapsed="false">
      <c r="A371" s="0" t="e">
        <f aca="false">E371&amp;K371&amp;Q371</f>
        <v>#N/A</v>
      </c>
      <c r="B371" s="0" t="s">
        <v>5116</v>
      </c>
      <c r="C371" s="0" t="s">
        <v>5118</v>
      </c>
      <c r="D371" s="0" t="s">
        <v>2385</v>
      </c>
      <c r="E371" s="0" t="n">
        <v>43319</v>
      </c>
      <c r="F371" s="0" t="s">
        <v>2380</v>
      </c>
      <c r="G371" s="0" t="n">
        <v>21358568</v>
      </c>
      <c r="H371" s="0" t="n">
        <v>720191</v>
      </c>
      <c r="I371" s="0" t="s">
        <v>34</v>
      </c>
      <c r="J371" s="0" t="s">
        <v>174</v>
      </c>
      <c r="K371" s="0" t="s">
        <v>2381</v>
      </c>
      <c r="L371" s="0" t="n">
        <v>224160777</v>
      </c>
      <c r="M371" s="0" t="s">
        <v>1977</v>
      </c>
      <c r="N371" s="0" t="n">
        <v>103048479</v>
      </c>
      <c r="O371" s="0" t="n">
        <v>4080</v>
      </c>
      <c r="P371" s="0" t="n">
        <v>27.28</v>
      </c>
      <c r="Q371" s="0" t="e">
        <f aca="false">VLOOKUP(C371,[1]'Cost Correction'!$C$6:$AJ$6767,34,0)</f>
        <v>#N/A</v>
      </c>
    </row>
    <row r="372" customFormat="false" ht="15" hidden="false" customHeight="false" outlineLevel="0" collapsed="false">
      <c r="A372" s="0" t="e">
        <f aca="false">E372&amp;K372&amp;Q372</f>
        <v>#N/A</v>
      </c>
      <c r="B372" s="0" t="s">
        <v>5119</v>
      </c>
      <c r="C372" s="0" t="s">
        <v>5120</v>
      </c>
      <c r="D372" s="0" t="s">
        <v>2385</v>
      </c>
      <c r="E372" s="0" t="n">
        <v>43319</v>
      </c>
      <c r="F372" s="0" t="s">
        <v>2380</v>
      </c>
      <c r="G372" s="0" t="n">
        <v>21358568</v>
      </c>
      <c r="H372" s="0" t="n">
        <v>720191</v>
      </c>
      <c r="I372" s="0" t="s">
        <v>34</v>
      </c>
      <c r="J372" s="0" t="s">
        <v>174</v>
      </c>
      <c r="K372" s="0" t="s">
        <v>2433</v>
      </c>
      <c r="L372" s="0" t="n">
        <v>224160780</v>
      </c>
      <c r="M372" s="0" t="s">
        <v>1975</v>
      </c>
      <c r="N372" s="0" t="n">
        <v>103186904</v>
      </c>
      <c r="O372" s="0" t="n">
        <v>466</v>
      </c>
      <c r="P372" s="0" t="n">
        <v>3.68</v>
      </c>
      <c r="Q372" s="0" t="e">
        <f aca="false">VLOOKUP(C372,[1]'Cost Correction'!$C$6:$AJ$6767,34,0)</f>
        <v>#N/A</v>
      </c>
    </row>
    <row r="373" customFormat="false" ht="15" hidden="false" customHeight="false" outlineLevel="0" collapsed="false">
      <c r="A373" s="0" t="e">
        <f aca="false">E373&amp;K373&amp;Q373</f>
        <v>#N/A</v>
      </c>
      <c r="B373" s="0" t="s">
        <v>5119</v>
      </c>
      <c r="C373" s="0" t="s">
        <v>5121</v>
      </c>
      <c r="D373" s="0" t="s">
        <v>2385</v>
      </c>
      <c r="E373" s="0" t="n">
        <v>43319</v>
      </c>
      <c r="F373" s="0" t="s">
        <v>2380</v>
      </c>
      <c r="G373" s="0" t="n">
        <v>21358568</v>
      </c>
      <c r="H373" s="0" t="n">
        <v>720191</v>
      </c>
      <c r="I373" s="0" t="s">
        <v>34</v>
      </c>
      <c r="J373" s="0" t="s">
        <v>174</v>
      </c>
      <c r="K373" s="0" t="s">
        <v>2429</v>
      </c>
      <c r="L373" s="0" t="n">
        <v>224160780</v>
      </c>
      <c r="M373" s="0" t="s">
        <v>1975</v>
      </c>
      <c r="N373" s="0" t="n">
        <v>103186904</v>
      </c>
      <c r="O373" s="0" t="n">
        <v>417</v>
      </c>
      <c r="P373" s="0" t="n">
        <v>4.53</v>
      </c>
      <c r="Q373" s="0" t="e">
        <f aca="false">VLOOKUP(C373,[1]'Cost Correction'!$C$6:$AJ$6767,34,0)</f>
        <v>#N/A</v>
      </c>
    </row>
    <row r="374" customFormat="false" ht="15" hidden="false" customHeight="false" outlineLevel="0" collapsed="false">
      <c r="A374" s="0" t="e">
        <f aca="false">E374&amp;K374&amp;Q374</f>
        <v>#N/A</v>
      </c>
      <c r="B374" s="0" t="s">
        <v>5122</v>
      </c>
      <c r="C374" s="0" t="s">
        <v>5123</v>
      </c>
      <c r="D374" s="0" t="s">
        <v>2385</v>
      </c>
      <c r="E374" s="0" t="n">
        <v>43319</v>
      </c>
      <c r="F374" s="0" t="s">
        <v>2380</v>
      </c>
      <c r="G374" s="0" t="n">
        <v>21358568</v>
      </c>
      <c r="H374" s="0" t="n">
        <v>720191</v>
      </c>
      <c r="I374" s="0" t="s">
        <v>34</v>
      </c>
      <c r="J374" s="0" t="s">
        <v>174</v>
      </c>
      <c r="K374" s="0" t="s">
        <v>2397</v>
      </c>
      <c r="O374" s="0" t="n">
        <v>1931</v>
      </c>
      <c r="P374" s="0" t="n">
        <v>28.49</v>
      </c>
      <c r="Q374" s="0" t="e">
        <f aca="false">VLOOKUP(C374,[1]'Cost Correction'!$C$6:$AJ$6767,34,0)</f>
        <v>#N/A</v>
      </c>
    </row>
    <row r="375" customFormat="false" ht="15" hidden="false" customHeight="false" outlineLevel="0" collapsed="false">
      <c r="A375" s="0" t="e">
        <f aca="false">E375&amp;K375&amp;Q375</f>
        <v>#N/A</v>
      </c>
      <c r="B375" s="0" t="s">
        <v>5122</v>
      </c>
      <c r="C375" s="0" t="s">
        <v>5124</v>
      </c>
      <c r="D375" s="0" t="s">
        <v>2385</v>
      </c>
      <c r="E375" s="0" t="n">
        <v>43319</v>
      </c>
      <c r="F375" s="0" t="s">
        <v>2380</v>
      </c>
      <c r="G375" s="0" t="n">
        <v>21358568</v>
      </c>
      <c r="H375" s="0" t="n">
        <v>720191</v>
      </c>
      <c r="I375" s="0" t="s">
        <v>34</v>
      </c>
      <c r="J375" s="0" t="s">
        <v>174</v>
      </c>
      <c r="K375" s="0" t="s">
        <v>2395</v>
      </c>
      <c r="O375" s="0" t="n">
        <v>10285</v>
      </c>
      <c r="P375" s="0" t="n">
        <v>144.27</v>
      </c>
      <c r="Q375" s="0" t="e">
        <f aca="false">VLOOKUP(C375,[1]'Cost Correction'!$C$6:$AJ$6767,34,0)</f>
        <v>#N/A</v>
      </c>
    </row>
    <row r="376" customFormat="false" ht="15" hidden="false" customHeight="false" outlineLevel="0" collapsed="false">
      <c r="A376" s="0" t="e">
        <f aca="false">E376&amp;K376&amp;Q376</f>
        <v>#N/A</v>
      </c>
      <c r="B376" s="0" t="s">
        <v>5122</v>
      </c>
      <c r="C376" s="0" t="s">
        <v>5125</v>
      </c>
      <c r="D376" s="0" t="s">
        <v>2385</v>
      </c>
      <c r="E376" s="0" t="n">
        <v>43319</v>
      </c>
      <c r="F376" s="0" t="s">
        <v>2380</v>
      </c>
      <c r="G376" s="0" t="n">
        <v>21358568</v>
      </c>
      <c r="H376" s="0" t="n">
        <v>720191</v>
      </c>
      <c r="I376" s="0" t="s">
        <v>34</v>
      </c>
      <c r="J376" s="0" t="s">
        <v>174</v>
      </c>
      <c r="K376" s="0" t="s">
        <v>2393</v>
      </c>
      <c r="O376" s="0" t="n">
        <v>7671</v>
      </c>
      <c r="P376" s="0" t="n">
        <v>98.76</v>
      </c>
      <c r="Q376" s="0" t="e">
        <f aca="false">VLOOKUP(C376,[1]'Cost Correction'!$C$6:$AJ$6767,34,0)</f>
        <v>#N/A</v>
      </c>
    </row>
    <row r="377" customFormat="false" ht="15" hidden="false" customHeight="false" outlineLevel="0" collapsed="false">
      <c r="A377" s="0" t="e">
        <f aca="false">E377&amp;K377&amp;Q377</f>
        <v>#N/A</v>
      </c>
      <c r="B377" s="0" t="s">
        <v>5126</v>
      </c>
      <c r="C377" s="0" t="s">
        <v>5127</v>
      </c>
      <c r="D377" s="0" t="s">
        <v>2385</v>
      </c>
      <c r="E377" s="0" t="n">
        <v>43319</v>
      </c>
      <c r="F377" s="0" t="s">
        <v>2380</v>
      </c>
      <c r="G377" s="0" t="n">
        <v>21358568</v>
      </c>
      <c r="H377" s="0" t="n">
        <v>720191</v>
      </c>
      <c r="I377" s="0" t="s">
        <v>34</v>
      </c>
      <c r="J377" s="0" t="s">
        <v>174</v>
      </c>
      <c r="K377" s="0" t="s">
        <v>2405</v>
      </c>
      <c r="L377" s="0" t="n">
        <v>224160774</v>
      </c>
      <c r="M377" s="0" t="s">
        <v>1979</v>
      </c>
      <c r="N377" s="0" t="n">
        <v>103186910</v>
      </c>
      <c r="O377" s="0" t="n">
        <v>3128</v>
      </c>
      <c r="P377" s="0" t="n">
        <v>46.31</v>
      </c>
      <c r="Q377" s="0" t="e">
        <f aca="false">VLOOKUP(C377,[1]'Cost Correction'!$C$6:$AJ$6767,34,0)</f>
        <v>#N/A</v>
      </c>
    </row>
    <row r="378" customFormat="false" ht="15" hidden="false" customHeight="false" outlineLevel="0" collapsed="false">
      <c r="A378" s="0" t="e">
        <f aca="false">E378&amp;K378&amp;Q378</f>
        <v>#N/A</v>
      </c>
      <c r="B378" s="0" t="s">
        <v>5126</v>
      </c>
      <c r="C378" s="0" t="s">
        <v>5128</v>
      </c>
      <c r="D378" s="0" t="s">
        <v>2385</v>
      </c>
      <c r="E378" s="0" t="n">
        <v>43319</v>
      </c>
      <c r="F378" s="0" t="s">
        <v>2380</v>
      </c>
      <c r="G378" s="0" t="n">
        <v>21358568</v>
      </c>
      <c r="H378" s="0" t="n">
        <v>720191</v>
      </c>
      <c r="I378" s="0" t="s">
        <v>34</v>
      </c>
      <c r="J378" s="0" t="s">
        <v>174</v>
      </c>
      <c r="K378" s="0" t="s">
        <v>2416</v>
      </c>
      <c r="L378" s="0" t="n">
        <v>224160774</v>
      </c>
      <c r="M378" s="0" t="s">
        <v>1979</v>
      </c>
      <c r="N378" s="0" t="n">
        <v>103186910</v>
      </c>
      <c r="O378" s="0" t="n">
        <v>9074</v>
      </c>
      <c r="P378" s="0" t="n">
        <v>115.89</v>
      </c>
      <c r="Q378" s="0" t="e">
        <f aca="false">VLOOKUP(C378,[1]'Cost Correction'!$C$6:$AJ$6767,34,0)</f>
        <v>#N/A</v>
      </c>
    </row>
    <row r="379" customFormat="false" ht="15" hidden="false" customHeight="false" outlineLevel="0" collapsed="false">
      <c r="A379" s="0" t="e">
        <f aca="false">E379&amp;K379&amp;Q379</f>
        <v>#N/A</v>
      </c>
      <c r="B379" s="0" t="s">
        <v>5129</v>
      </c>
      <c r="C379" s="0" t="s">
        <v>5130</v>
      </c>
      <c r="D379" s="0" t="s">
        <v>2385</v>
      </c>
      <c r="E379" s="0" t="n">
        <v>43319</v>
      </c>
      <c r="F379" s="0" t="s">
        <v>2380</v>
      </c>
      <c r="G379" s="0" t="n">
        <v>21358568</v>
      </c>
      <c r="H379" s="0" t="n">
        <v>720191</v>
      </c>
      <c r="I379" s="0" t="s">
        <v>34</v>
      </c>
      <c r="J379" s="0" t="s">
        <v>174</v>
      </c>
      <c r="K379" s="0" t="s">
        <v>2420</v>
      </c>
      <c r="L379" s="0" t="n">
        <v>224160771</v>
      </c>
      <c r="M379" s="0" t="s">
        <v>1981</v>
      </c>
      <c r="N379" s="0" t="n">
        <v>103048488</v>
      </c>
      <c r="O379" s="0" t="n">
        <v>1161</v>
      </c>
      <c r="P379" s="0" t="n">
        <v>14.17</v>
      </c>
      <c r="Q379" s="0" t="e">
        <f aca="false">VLOOKUP(C379,[1]'Cost Correction'!$C$6:$AJ$6767,34,0)</f>
        <v>#N/A</v>
      </c>
    </row>
    <row r="380" customFormat="false" ht="15" hidden="false" customHeight="false" outlineLevel="0" collapsed="false">
      <c r="A380" s="0" t="e">
        <f aca="false">E380&amp;K380&amp;Q380</f>
        <v>#N/A</v>
      </c>
      <c r="B380" s="0" t="s">
        <v>5129</v>
      </c>
      <c r="C380" s="0" t="s">
        <v>5131</v>
      </c>
      <c r="D380" s="0" t="s">
        <v>2385</v>
      </c>
      <c r="E380" s="0" t="n">
        <v>43319</v>
      </c>
      <c r="F380" s="0" t="s">
        <v>2380</v>
      </c>
      <c r="G380" s="0" t="n">
        <v>21358568</v>
      </c>
      <c r="H380" s="0" t="n">
        <v>720191</v>
      </c>
      <c r="I380" s="0" t="s">
        <v>34</v>
      </c>
      <c r="J380" s="0" t="s">
        <v>174</v>
      </c>
      <c r="K380" s="0" t="s">
        <v>2389</v>
      </c>
      <c r="L380" s="0" t="n">
        <v>224160771</v>
      </c>
      <c r="M380" s="0" t="s">
        <v>1981</v>
      </c>
      <c r="N380" s="0" t="n">
        <v>103048488</v>
      </c>
      <c r="O380" s="0" t="n">
        <v>1074</v>
      </c>
      <c r="P380" s="0" t="n">
        <v>4.78</v>
      </c>
      <c r="Q380" s="0" t="e">
        <f aca="false">VLOOKUP(C380,[1]'Cost Correction'!$C$6:$AJ$6767,34,0)</f>
        <v>#N/A</v>
      </c>
    </row>
    <row r="381" customFormat="false" ht="15" hidden="false" customHeight="false" outlineLevel="0" collapsed="false">
      <c r="A381" s="0" t="str">
        <f aca="false">E381&amp;K381&amp;Q381</f>
        <v>43319Facebook»LAL»1x1»TextLink»SOC»DT»DYN»LAL»W»NA»SS»NA»Free Account Refresh- Illustration ChC103186916</v>
      </c>
      <c r="B381" s="0" t="s">
        <v>5132</v>
      </c>
      <c r="C381" s="0" t="s">
        <v>5133</v>
      </c>
      <c r="D381" s="0" t="s">
        <v>2385</v>
      </c>
      <c r="E381" s="0" t="n">
        <v>43319</v>
      </c>
      <c r="F381" s="0" t="s">
        <v>2380</v>
      </c>
      <c r="G381" s="0" t="n">
        <v>21358568</v>
      </c>
      <c r="H381" s="0" t="n">
        <v>720191</v>
      </c>
      <c r="I381" s="0" t="s">
        <v>34</v>
      </c>
      <c r="J381" s="0" t="s">
        <v>174</v>
      </c>
      <c r="K381" s="0" t="s">
        <v>2068</v>
      </c>
      <c r="L381" s="0" t="n">
        <v>224160714</v>
      </c>
      <c r="M381" s="0" t="s">
        <v>2069</v>
      </c>
      <c r="N381" s="0" t="n">
        <v>103186916</v>
      </c>
      <c r="O381" s="0" t="n">
        <v>2989</v>
      </c>
      <c r="P381" s="0" t="n">
        <v>57.87</v>
      </c>
      <c r="Q381" s="0" t="n">
        <f aca="false">VLOOKUP(C381,[1]'Cost Correction'!$C$6:$AJ$6767,34,0)</f>
        <v>103186916</v>
      </c>
    </row>
    <row r="382" customFormat="false" ht="15" hidden="false" customHeight="false" outlineLevel="0" collapsed="false">
      <c r="A382" s="0" t="str">
        <f aca="false">E382&amp;K382&amp;Q382</f>
        <v>43319Facebook»LAL»1x1»TextLink»SOC»DT»DYN»LAL»W»NA»SS»NA»Free Account Refresh- Lifestyle ChA103048491</v>
      </c>
      <c r="B382" s="0" t="s">
        <v>5134</v>
      </c>
      <c r="C382" s="0" t="s">
        <v>5135</v>
      </c>
      <c r="D382" s="0" t="s">
        <v>2385</v>
      </c>
      <c r="E382" s="0" t="n">
        <v>43319</v>
      </c>
      <c r="F382" s="0" t="s">
        <v>2380</v>
      </c>
      <c r="G382" s="0" t="n">
        <v>21358568</v>
      </c>
      <c r="H382" s="0" t="n">
        <v>720191</v>
      </c>
      <c r="I382" s="0" t="s">
        <v>34</v>
      </c>
      <c r="J382" s="0" t="s">
        <v>174</v>
      </c>
      <c r="K382" s="0" t="s">
        <v>2070</v>
      </c>
      <c r="L382" s="0" t="n">
        <v>224160711</v>
      </c>
      <c r="M382" s="0" t="s">
        <v>2071</v>
      </c>
      <c r="N382" s="0" t="n">
        <v>103048491</v>
      </c>
      <c r="O382" s="0" t="n">
        <v>6049</v>
      </c>
      <c r="P382" s="0" t="n">
        <v>100.23</v>
      </c>
      <c r="Q382" s="0" t="n">
        <f aca="false">VLOOKUP(C382,[1]'Cost Correction'!$C$6:$AJ$6767,34,0)</f>
        <v>103048491</v>
      </c>
    </row>
    <row r="383" customFormat="false" ht="15" hidden="false" customHeight="false" outlineLevel="0" collapsed="false">
      <c r="A383" s="0" t="str">
        <f aca="false">E383&amp;K383&amp;Q383</f>
        <v>43319Facebook»LAL»1x1»TextLink»SOC»DT»DYN»LAL»W»NA»SS»NA»Free Account Refresh- Device ChB103048485</v>
      </c>
      <c r="B383" s="0" t="s">
        <v>5136</v>
      </c>
      <c r="C383" s="0" t="s">
        <v>5137</v>
      </c>
      <c r="D383" s="0" t="s">
        <v>2385</v>
      </c>
      <c r="E383" s="0" t="n">
        <v>43319</v>
      </c>
      <c r="F383" s="0" t="s">
        <v>2380</v>
      </c>
      <c r="G383" s="0" t="n">
        <v>21358568</v>
      </c>
      <c r="H383" s="0" t="n">
        <v>720191</v>
      </c>
      <c r="I383" s="0" t="s">
        <v>34</v>
      </c>
      <c r="J383" s="0" t="s">
        <v>174</v>
      </c>
      <c r="K383" s="0" t="s">
        <v>2066</v>
      </c>
      <c r="L383" s="0" t="n">
        <v>224160717</v>
      </c>
      <c r="M383" s="0" t="s">
        <v>2067</v>
      </c>
      <c r="N383" s="0" t="n">
        <v>103048485</v>
      </c>
      <c r="O383" s="0" t="n">
        <v>3269</v>
      </c>
      <c r="P383" s="0" t="n">
        <v>64.67</v>
      </c>
      <c r="Q383" s="0" t="n">
        <f aca="false">VLOOKUP(C383,[1]'Cost Correction'!$C$6:$AJ$6767,34,0)</f>
        <v>103048485</v>
      </c>
    </row>
    <row r="384" customFormat="false" ht="15" hidden="false" customHeight="false" outlineLevel="0" collapsed="false">
      <c r="A384" s="0" t="e">
        <f aca="false">E384&amp;K384&amp;Q384</f>
        <v>#N/A</v>
      </c>
      <c r="B384" s="0" t="s">
        <v>5138</v>
      </c>
      <c r="C384" s="0" t="s">
        <v>5139</v>
      </c>
      <c r="D384" s="0" t="s">
        <v>2385</v>
      </c>
      <c r="E384" s="0" t="n">
        <v>43319</v>
      </c>
      <c r="F384" s="0" t="s">
        <v>2380</v>
      </c>
      <c r="G384" s="0" t="n">
        <v>21358568</v>
      </c>
      <c r="H384" s="0" t="n">
        <v>720191</v>
      </c>
      <c r="I384" s="0" t="s">
        <v>34</v>
      </c>
      <c r="J384" s="0" t="s">
        <v>174</v>
      </c>
      <c r="K384" s="0" t="s">
        <v>2401</v>
      </c>
      <c r="L384" s="0" t="n">
        <v>224160783</v>
      </c>
      <c r="M384" s="0" t="s">
        <v>1973</v>
      </c>
      <c r="N384" s="0" t="n">
        <v>103051614</v>
      </c>
      <c r="O384" s="0" t="n">
        <v>1409</v>
      </c>
      <c r="P384" s="0" t="n">
        <v>16.65</v>
      </c>
      <c r="Q384" s="0" t="e">
        <f aca="false">VLOOKUP(C384,[1]'Cost Correction'!$C$6:$AJ$6767,34,0)</f>
        <v>#N/A</v>
      </c>
    </row>
    <row r="385" customFormat="false" ht="15" hidden="false" customHeight="false" outlineLevel="0" collapsed="false">
      <c r="A385" s="0" t="str">
        <f aca="false">E385&amp;K385&amp;Q385</f>
        <v>43319Facebook»LAL»1x1»TextLink»SOC»DT»DYN»LAL»W»NA»SS»NA»Free Account Refresh- 200 Credit ChD103186907</v>
      </c>
      <c r="B385" s="0" t="s">
        <v>5140</v>
      </c>
      <c r="C385" s="0" t="s">
        <v>5141</v>
      </c>
      <c r="D385" s="0" t="s">
        <v>2385</v>
      </c>
      <c r="E385" s="0" t="n">
        <v>43319</v>
      </c>
      <c r="F385" s="0" t="s">
        <v>2380</v>
      </c>
      <c r="G385" s="0" t="n">
        <v>21358568</v>
      </c>
      <c r="H385" s="0" t="n">
        <v>720191</v>
      </c>
      <c r="I385" s="0" t="s">
        <v>34</v>
      </c>
      <c r="J385" s="0" t="s">
        <v>174</v>
      </c>
      <c r="K385" s="0" t="s">
        <v>2064</v>
      </c>
      <c r="L385" s="0" t="n">
        <v>224160720</v>
      </c>
      <c r="M385" s="0" t="s">
        <v>2065</v>
      </c>
      <c r="N385" s="0" t="n">
        <v>103186907</v>
      </c>
      <c r="O385" s="0" t="n">
        <v>2169</v>
      </c>
      <c r="P385" s="0" t="n">
        <v>24.32</v>
      </c>
      <c r="Q385" s="0" t="n">
        <f aca="false">VLOOKUP(C385,[1]'Cost Correction'!$C$6:$AJ$6767,34,0)</f>
        <v>103186907</v>
      </c>
    </row>
    <row r="386" customFormat="false" ht="15" hidden="false" customHeight="false" outlineLevel="0" collapsed="false">
      <c r="A386" s="0" t="e">
        <f aca="false">E386&amp;K386&amp;Q386</f>
        <v>#N/A</v>
      </c>
      <c r="B386" s="0" t="s">
        <v>5142</v>
      </c>
      <c r="C386" s="0" t="s">
        <v>5143</v>
      </c>
      <c r="D386" s="0" t="s">
        <v>2385</v>
      </c>
      <c r="E386" s="0" t="n">
        <v>43318</v>
      </c>
      <c r="F386" s="0" t="s">
        <v>2380</v>
      </c>
      <c r="G386" s="0" t="n">
        <v>21358568</v>
      </c>
      <c r="H386" s="0" t="n">
        <v>720191</v>
      </c>
      <c r="I386" s="0" t="s">
        <v>34</v>
      </c>
      <c r="J386" s="0" t="s">
        <v>174</v>
      </c>
      <c r="K386" s="0" t="s">
        <v>2389</v>
      </c>
      <c r="L386" s="0" t="n">
        <v>224160771</v>
      </c>
      <c r="M386" s="0" t="s">
        <v>1981</v>
      </c>
      <c r="N386" s="0" t="n">
        <v>103048488</v>
      </c>
      <c r="O386" s="0" t="n">
        <v>1198</v>
      </c>
      <c r="P386" s="0" t="n">
        <v>5.16</v>
      </c>
      <c r="Q386" s="0" t="e">
        <f aca="false">VLOOKUP(C386,[1]'Cost Correction'!$C$6:$AJ$6767,34,0)</f>
        <v>#N/A</v>
      </c>
    </row>
    <row r="387" customFormat="false" ht="15" hidden="false" customHeight="false" outlineLevel="0" collapsed="false">
      <c r="A387" s="0" t="e">
        <f aca="false">E387&amp;K387&amp;Q387</f>
        <v>#N/A</v>
      </c>
      <c r="B387" s="0" t="s">
        <v>5142</v>
      </c>
      <c r="C387" s="0" t="s">
        <v>5144</v>
      </c>
      <c r="D387" s="0" t="s">
        <v>2385</v>
      </c>
      <c r="E387" s="0" t="n">
        <v>43318</v>
      </c>
      <c r="F387" s="0" t="s">
        <v>2380</v>
      </c>
      <c r="G387" s="0" t="n">
        <v>21358568</v>
      </c>
      <c r="H387" s="0" t="n">
        <v>720191</v>
      </c>
      <c r="I387" s="0" t="s">
        <v>34</v>
      </c>
      <c r="J387" s="0" t="s">
        <v>174</v>
      </c>
      <c r="K387" s="0" t="s">
        <v>2420</v>
      </c>
      <c r="L387" s="0" t="n">
        <v>224160771</v>
      </c>
      <c r="M387" s="0" t="s">
        <v>1981</v>
      </c>
      <c r="N387" s="0" t="n">
        <v>103048488</v>
      </c>
      <c r="O387" s="0" t="n">
        <v>1681</v>
      </c>
      <c r="P387" s="0" t="n">
        <v>23.36</v>
      </c>
      <c r="Q387" s="0" t="e">
        <f aca="false">VLOOKUP(C387,[1]'Cost Correction'!$C$6:$AJ$6767,34,0)</f>
        <v>#N/A</v>
      </c>
    </row>
    <row r="388" customFormat="false" ht="15" hidden="false" customHeight="false" outlineLevel="0" collapsed="false">
      <c r="A388" s="0" t="e">
        <f aca="false">E388&amp;K388&amp;Q388</f>
        <v>#N/A</v>
      </c>
      <c r="B388" s="0" t="s">
        <v>5145</v>
      </c>
      <c r="C388" s="0" t="s">
        <v>5146</v>
      </c>
      <c r="D388" s="0" t="s">
        <v>2385</v>
      </c>
      <c r="E388" s="0" t="n">
        <v>43318</v>
      </c>
      <c r="F388" s="0" t="s">
        <v>2380</v>
      </c>
      <c r="G388" s="0" t="n">
        <v>21358568</v>
      </c>
      <c r="H388" s="0" t="n">
        <v>720191</v>
      </c>
      <c r="I388" s="0" t="s">
        <v>34</v>
      </c>
      <c r="J388" s="0" t="s">
        <v>174</v>
      </c>
      <c r="K388" s="0" t="s">
        <v>2393</v>
      </c>
      <c r="O388" s="0" t="n">
        <v>6878</v>
      </c>
      <c r="P388" s="0" t="n">
        <v>95.3</v>
      </c>
      <c r="Q388" s="0" t="e">
        <f aca="false">VLOOKUP(C388,[1]'Cost Correction'!$C$6:$AJ$6767,34,0)</f>
        <v>#N/A</v>
      </c>
    </row>
    <row r="389" customFormat="false" ht="15" hidden="false" customHeight="false" outlineLevel="0" collapsed="false">
      <c r="A389" s="0" t="e">
        <f aca="false">E389&amp;K389&amp;Q389</f>
        <v>#N/A</v>
      </c>
      <c r="B389" s="0" t="s">
        <v>5145</v>
      </c>
      <c r="C389" s="0" t="s">
        <v>5147</v>
      </c>
      <c r="D389" s="0" t="s">
        <v>2385</v>
      </c>
      <c r="E389" s="0" t="n">
        <v>43318</v>
      </c>
      <c r="F389" s="0" t="s">
        <v>2380</v>
      </c>
      <c r="G389" s="0" t="n">
        <v>21358568</v>
      </c>
      <c r="H389" s="0" t="n">
        <v>720191</v>
      </c>
      <c r="I389" s="0" t="s">
        <v>34</v>
      </c>
      <c r="J389" s="0" t="s">
        <v>174</v>
      </c>
      <c r="K389" s="0" t="s">
        <v>2397</v>
      </c>
      <c r="O389" s="0" t="n">
        <v>2560</v>
      </c>
      <c r="P389" s="0" t="n">
        <v>40.63</v>
      </c>
      <c r="Q389" s="0" t="e">
        <f aca="false">VLOOKUP(C389,[1]'Cost Correction'!$C$6:$AJ$6767,34,0)</f>
        <v>#N/A</v>
      </c>
    </row>
    <row r="390" customFormat="false" ht="15" hidden="false" customHeight="false" outlineLevel="0" collapsed="false">
      <c r="A390" s="0" t="e">
        <f aca="false">E390&amp;K390&amp;Q390</f>
        <v>#N/A</v>
      </c>
      <c r="B390" s="0" t="s">
        <v>5145</v>
      </c>
      <c r="C390" s="0" t="s">
        <v>5148</v>
      </c>
      <c r="D390" s="0" t="s">
        <v>2385</v>
      </c>
      <c r="E390" s="0" t="n">
        <v>43318</v>
      </c>
      <c r="F390" s="0" t="s">
        <v>2380</v>
      </c>
      <c r="G390" s="0" t="n">
        <v>21358568</v>
      </c>
      <c r="H390" s="0" t="n">
        <v>720191</v>
      </c>
      <c r="I390" s="0" t="s">
        <v>34</v>
      </c>
      <c r="J390" s="0" t="s">
        <v>174</v>
      </c>
      <c r="K390" s="0" t="s">
        <v>2395</v>
      </c>
      <c r="O390" s="0" t="n">
        <v>9081</v>
      </c>
      <c r="P390" s="0" t="n">
        <v>134.91</v>
      </c>
      <c r="Q390" s="0" t="e">
        <f aca="false">VLOOKUP(C390,[1]'Cost Correction'!$C$6:$AJ$6767,34,0)</f>
        <v>#N/A</v>
      </c>
    </row>
    <row r="391" customFormat="false" ht="15" hidden="false" customHeight="false" outlineLevel="0" collapsed="false">
      <c r="A391" s="0" t="str">
        <f aca="false">E391&amp;K391&amp;Q391</f>
        <v>43318Facebook»LAL»1x1»TextLink»SOC»DT»DYN»LAL»W»NA»SS»NA»Free Account Refresh- Lifestyle ChA103048491</v>
      </c>
      <c r="B391" s="0" t="s">
        <v>5149</v>
      </c>
      <c r="C391" s="0" t="s">
        <v>5150</v>
      </c>
      <c r="D391" s="0" t="s">
        <v>2385</v>
      </c>
      <c r="E391" s="0" t="n">
        <v>43318</v>
      </c>
      <c r="F391" s="0" t="s">
        <v>2380</v>
      </c>
      <c r="G391" s="0" t="n">
        <v>21358568</v>
      </c>
      <c r="H391" s="0" t="n">
        <v>720191</v>
      </c>
      <c r="I391" s="0" t="s">
        <v>34</v>
      </c>
      <c r="J391" s="0" t="s">
        <v>174</v>
      </c>
      <c r="K391" s="0" t="s">
        <v>2070</v>
      </c>
      <c r="L391" s="0" t="n">
        <v>224160711</v>
      </c>
      <c r="M391" s="0" t="s">
        <v>2071</v>
      </c>
      <c r="N391" s="0" t="n">
        <v>103048491</v>
      </c>
      <c r="O391" s="0" t="n">
        <v>6734</v>
      </c>
      <c r="P391" s="0" t="n">
        <v>115.12</v>
      </c>
      <c r="Q391" s="0" t="n">
        <f aca="false">VLOOKUP(C391,[1]'Cost Correction'!$C$6:$AJ$6767,34,0)</f>
        <v>103048491</v>
      </c>
    </row>
    <row r="392" customFormat="false" ht="15" hidden="false" customHeight="false" outlineLevel="0" collapsed="false">
      <c r="A392" s="0" t="e">
        <f aca="false">E392&amp;K392&amp;Q392</f>
        <v>#N/A</v>
      </c>
      <c r="B392" s="0" t="s">
        <v>5151</v>
      </c>
      <c r="C392" s="0" t="s">
        <v>5152</v>
      </c>
      <c r="D392" s="0" t="s">
        <v>2385</v>
      </c>
      <c r="E392" s="0" t="n">
        <v>43318</v>
      </c>
      <c r="F392" s="0" t="s">
        <v>2380</v>
      </c>
      <c r="G392" s="0" t="n">
        <v>21358568</v>
      </c>
      <c r="H392" s="0" t="n">
        <v>720191</v>
      </c>
      <c r="I392" s="0" t="s">
        <v>34</v>
      </c>
      <c r="J392" s="0" t="s">
        <v>174</v>
      </c>
      <c r="K392" s="0" t="s">
        <v>2405</v>
      </c>
      <c r="L392" s="0" t="n">
        <v>224160774</v>
      </c>
      <c r="M392" s="0" t="s">
        <v>1979</v>
      </c>
      <c r="N392" s="0" t="n">
        <v>103186910</v>
      </c>
      <c r="O392" s="0" t="n">
        <v>3911</v>
      </c>
      <c r="P392" s="0" t="n">
        <v>67.54</v>
      </c>
      <c r="Q392" s="0" t="e">
        <f aca="false">VLOOKUP(C392,[1]'Cost Correction'!$C$6:$AJ$6767,34,0)</f>
        <v>#N/A</v>
      </c>
    </row>
    <row r="393" customFormat="false" ht="15" hidden="false" customHeight="false" outlineLevel="0" collapsed="false">
      <c r="A393" s="0" t="e">
        <f aca="false">E393&amp;K393&amp;Q393</f>
        <v>#N/A</v>
      </c>
      <c r="B393" s="0" t="s">
        <v>5151</v>
      </c>
      <c r="C393" s="0" t="s">
        <v>5153</v>
      </c>
      <c r="D393" s="0" t="s">
        <v>2385</v>
      </c>
      <c r="E393" s="0" t="n">
        <v>43318</v>
      </c>
      <c r="F393" s="0" t="s">
        <v>2380</v>
      </c>
      <c r="G393" s="0" t="n">
        <v>21358568</v>
      </c>
      <c r="H393" s="0" t="n">
        <v>720191</v>
      </c>
      <c r="I393" s="0" t="s">
        <v>34</v>
      </c>
      <c r="J393" s="0" t="s">
        <v>174</v>
      </c>
      <c r="K393" s="0" t="s">
        <v>2416</v>
      </c>
      <c r="L393" s="0" t="n">
        <v>224160774</v>
      </c>
      <c r="M393" s="0" t="s">
        <v>1979</v>
      </c>
      <c r="N393" s="0" t="n">
        <v>103186910</v>
      </c>
      <c r="O393" s="0" t="n">
        <v>10913</v>
      </c>
      <c r="P393" s="0" t="n">
        <v>122.94</v>
      </c>
      <c r="Q393" s="0" t="e">
        <f aca="false">VLOOKUP(C393,[1]'Cost Correction'!$C$6:$AJ$6767,34,0)</f>
        <v>#N/A</v>
      </c>
    </row>
    <row r="394" customFormat="false" ht="15" hidden="false" customHeight="false" outlineLevel="0" collapsed="false">
      <c r="A394" s="0" t="str">
        <f aca="false">E394&amp;K394&amp;Q394</f>
        <v>43318Facebook»LAL»1x1»TextLink»SOC»DT»DYN»LAL»W»NA»SS»NA»Free Account Refresh- Illustration ChC103186916</v>
      </c>
      <c r="B394" s="0" t="s">
        <v>5154</v>
      </c>
      <c r="C394" s="0" t="s">
        <v>5155</v>
      </c>
      <c r="D394" s="0" t="s">
        <v>2385</v>
      </c>
      <c r="E394" s="0" t="n">
        <v>43318</v>
      </c>
      <c r="F394" s="0" t="s">
        <v>2380</v>
      </c>
      <c r="G394" s="0" t="n">
        <v>21358568</v>
      </c>
      <c r="H394" s="0" t="n">
        <v>720191</v>
      </c>
      <c r="I394" s="0" t="s">
        <v>34</v>
      </c>
      <c r="J394" s="0" t="s">
        <v>174</v>
      </c>
      <c r="K394" s="0" t="s">
        <v>2068</v>
      </c>
      <c r="L394" s="0" t="n">
        <v>224160714</v>
      </c>
      <c r="M394" s="0" t="s">
        <v>2069</v>
      </c>
      <c r="N394" s="0" t="n">
        <v>103186916</v>
      </c>
      <c r="O394" s="0" t="n">
        <v>2243</v>
      </c>
      <c r="P394" s="0" t="n">
        <v>52.44</v>
      </c>
      <c r="Q394" s="0" t="n">
        <f aca="false">VLOOKUP(C394,[1]'Cost Correction'!$C$6:$AJ$6767,34,0)</f>
        <v>103186916</v>
      </c>
    </row>
    <row r="395" customFormat="false" ht="15" hidden="false" customHeight="false" outlineLevel="0" collapsed="false">
      <c r="A395" s="0" t="str">
        <f aca="false">E395&amp;K395&amp;Q395</f>
        <v>43318Facebook»LAL»1x1»TextLink»SOC»DT»DYN»LAL»W»NA»SS»NA»Free Account Refresh- 200 Credit ChD103186907</v>
      </c>
      <c r="B395" s="0" t="s">
        <v>5156</v>
      </c>
      <c r="C395" s="0" t="s">
        <v>5157</v>
      </c>
      <c r="D395" s="0" t="s">
        <v>2385</v>
      </c>
      <c r="E395" s="0" t="n">
        <v>43318</v>
      </c>
      <c r="F395" s="0" t="s">
        <v>2380</v>
      </c>
      <c r="G395" s="0" t="n">
        <v>21358568</v>
      </c>
      <c r="H395" s="0" t="n">
        <v>720191</v>
      </c>
      <c r="I395" s="0" t="s">
        <v>34</v>
      </c>
      <c r="J395" s="0" t="s">
        <v>174</v>
      </c>
      <c r="K395" s="0" t="s">
        <v>2064</v>
      </c>
      <c r="L395" s="0" t="n">
        <v>224160720</v>
      </c>
      <c r="M395" s="0" t="s">
        <v>2065</v>
      </c>
      <c r="N395" s="0" t="n">
        <v>103186907</v>
      </c>
      <c r="O395" s="0" t="n">
        <v>742</v>
      </c>
      <c r="P395" s="0" t="n">
        <v>10.81</v>
      </c>
      <c r="Q395" s="0" t="n">
        <f aca="false">VLOOKUP(C395,[1]'Cost Correction'!$C$6:$AJ$6767,34,0)</f>
        <v>103186907</v>
      </c>
    </row>
    <row r="396" customFormat="false" ht="15" hidden="false" customHeight="false" outlineLevel="0" collapsed="false">
      <c r="A396" s="0" t="e">
        <f aca="false">E396&amp;K396&amp;Q396</f>
        <v>#N/A</v>
      </c>
      <c r="B396" s="0" t="s">
        <v>5158</v>
      </c>
      <c r="C396" s="0" t="s">
        <v>5159</v>
      </c>
      <c r="D396" s="0" t="s">
        <v>2385</v>
      </c>
      <c r="E396" s="0" t="n">
        <v>43318</v>
      </c>
      <c r="F396" s="0" t="s">
        <v>2380</v>
      </c>
      <c r="G396" s="0" t="n">
        <v>21358568</v>
      </c>
      <c r="H396" s="0" t="n">
        <v>720191</v>
      </c>
      <c r="I396" s="0" t="s">
        <v>34</v>
      </c>
      <c r="J396" s="0" t="s">
        <v>174</v>
      </c>
      <c r="K396" s="0" t="s">
        <v>2401</v>
      </c>
      <c r="L396" s="0" t="n">
        <v>224160783</v>
      </c>
      <c r="M396" s="0" t="s">
        <v>1973</v>
      </c>
      <c r="N396" s="0" t="n">
        <v>103051614</v>
      </c>
      <c r="O396" s="0" t="n">
        <v>393</v>
      </c>
      <c r="P396" s="0" t="n">
        <v>6.64</v>
      </c>
      <c r="Q396" s="0" t="e">
        <f aca="false">VLOOKUP(C396,[1]'Cost Correction'!$C$6:$AJ$6767,34,0)</f>
        <v>#N/A</v>
      </c>
    </row>
    <row r="397" customFormat="false" ht="15" hidden="false" customHeight="false" outlineLevel="0" collapsed="false">
      <c r="A397" s="0" t="e">
        <f aca="false">E397&amp;K397&amp;Q397</f>
        <v>#N/A</v>
      </c>
      <c r="B397" s="0" t="s">
        <v>5160</v>
      </c>
      <c r="C397" s="0" t="s">
        <v>5161</v>
      </c>
      <c r="D397" s="0" t="s">
        <v>2385</v>
      </c>
      <c r="E397" s="0" t="n">
        <v>43318</v>
      </c>
      <c r="F397" s="0" t="s">
        <v>2380</v>
      </c>
      <c r="G397" s="0" t="n">
        <v>21358568</v>
      </c>
      <c r="H397" s="0" t="n">
        <v>720191</v>
      </c>
      <c r="I397" s="0" t="s">
        <v>34</v>
      </c>
      <c r="J397" s="0" t="s">
        <v>174</v>
      </c>
      <c r="K397" s="0" t="s">
        <v>2433</v>
      </c>
      <c r="L397" s="0" t="n">
        <v>224160780</v>
      </c>
      <c r="M397" s="0" t="s">
        <v>1975</v>
      </c>
      <c r="N397" s="0" t="n">
        <v>103186904</v>
      </c>
      <c r="O397" s="0" t="n">
        <v>544</v>
      </c>
      <c r="P397" s="0" t="n">
        <v>5.89</v>
      </c>
      <c r="Q397" s="0" t="e">
        <f aca="false">VLOOKUP(C397,[1]'Cost Correction'!$C$6:$AJ$6767,34,0)</f>
        <v>#N/A</v>
      </c>
    </row>
    <row r="398" customFormat="false" ht="15" hidden="false" customHeight="false" outlineLevel="0" collapsed="false">
      <c r="A398" s="0" t="e">
        <f aca="false">E398&amp;K398&amp;Q398</f>
        <v>#N/A</v>
      </c>
      <c r="B398" s="0" t="s">
        <v>5160</v>
      </c>
      <c r="C398" s="0" t="s">
        <v>5162</v>
      </c>
      <c r="D398" s="0" t="s">
        <v>2385</v>
      </c>
      <c r="E398" s="0" t="n">
        <v>43318</v>
      </c>
      <c r="F398" s="0" t="s">
        <v>2380</v>
      </c>
      <c r="G398" s="0" t="n">
        <v>21358568</v>
      </c>
      <c r="H398" s="0" t="n">
        <v>720191</v>
      </c>
      <c r="I398" s="0" t="s">
        <v>34</v>
      </c>
      <c r="J398" s="0" t="s">
        <v>174</v>
      </c>
      <c r="K398" s="0" t="s">
        <v>2429</v>
      </c>
      <c r="L398" s="0" t="n">
        <v>224160780</v>
      </c>
      <c r="M398" s="0" t="s">
        <v>1975</v>
      </c>
      <c r="N398" s="0" t="n">
        <v>103186904</v>
      </c>
      <c r="O398" s="0" t="n">
        <v>1264</v>
      </c>
      <c r="P398" s="0" t="n">
        <v>8.16</v>
      </c>
      <c r="Q398" s="0" t="e">
        <f aca="false">VLOOKUP(C398,[1]'Cost Correction'!$C$6:$AJ$6767,34,0)</f>
        <v>#N/A</v>
      </c>
    </row>
    <row r="399" customFormat="false" ht="15" hidden="false" customHeight="false" outlineLevel="0" collapsed="false">
      <c r="A399" s="0" t="e">
        <f aca="false">E399&amp;K399&amp;Q399</f>
        <v>#N/A</v>
      </c>
      <c r="B399" s="0" t="s">
        <v>5163</v>
      </c>
      <c r="C399" s="0" t="s">
        <v>5164</v>
      </c>
      <c r="D399" s="0" t="s">
        <v>2385</v>
      </c>
      <c r="E399" s="0" t="n">
        <v>43318</v>
      </c>
      <c r="F399" s="0" t="s">
        <v>2380</v>
      </c>
      <c r="G399" s="0" t="n">
        <v>21358568</v>
      </c>
      <c r="H399" s="0" t="n">
        <v>720191</v>
      </c>
      <c r="I399" s="0" t="s">
        <v>34</v>
      </c>
      <c r="J399" s="0" t="s">
        <v>174</v>
      </c>
      <c r="K399" s="0" t="s">
        <v>2412</v>
      </c>
      <c r="L399" s="0" t="n">
        <v>224160777</v>
      </c>
      <c r="M399" s="0" t="s">
        <v>1977</v>
      </c>
      <c r="N399" s="0" t="n">
        <v>103048479</v>
      </c>
      <c r="O399" s="0" t="n">
        <v>2419</v>
      </c>
      <c r="P399" s="0" t="n">
        <v>39.48</v>
      </c>
      <c r="Q399" s="0" t="e">
        <f aca="false">VLOOKUP(C399,[1]'Cost Correction'!$C$6:$AJ$6767,34,0)</f>
        <v>#N/A</v>
      </c>
    </row>
    <row r="400" customFormat="false" ht="15" hidden="false" customHeight="false" outlineLevel="0" collapsed="false">
      <c r="A400" s="0" t="e">
        <f aca="false">E400&amp;K400&amp;Q400</f>
        <v>#N/A</v>
      </c>
      <c r="B400" s="0" t="s">
        <v>5163</v>
      </c>
      <c r="C400" s="0" t="s">
        <v>5165</v>
      </c>
      <c r="D400" s="0" t="s">
        <v>2385</v>
      </c>
      <c r="E400" s="0" t="n">
        <v>43318</v>
      </c>
      <c r="F400" s="0" t="s">
        <v>2380</v>
      </c>
      <c r="G400" s="0" t="n">
        <v>21358568</v>
      </c>
      <c r="H400" s="0" t="n">
        <v>720191</v>
      </c>
      <c r="I400" s="0" t="s">
        <v>34</v>
      </c>
      <c r="J400" s="0" t="s">
        <v>174</v>
      </c>
      <c r="K400" s="0" t="s">
        <v>2381</v>
      </c>
      <c r="L400" s="0" t="n">
        <v>224160777</v>
      </c>
      <c r="M400" s="0" t="s">
        <v>1977</v>
      </c>
      <c r="N400" s="0" t="n">
        <v>103048479</v>
      </c>
      <c r="O400" s="0" t="n">
        <v>1765</v>
      </c>
      <c r="P400" s="0" t="n">
        <v>11.17</v>
      </c>
      <c r="Q400" s="0" t="e">
        <f aca="false">VLOOKUP(C400,[1]'Cost Correction'!$C$6:$AJ$6767,34,0)</f>
        <v>#N/A</v>
      </c>
    </row>
    <row r="401" customFormat="false" ht="15" hidden="false" customHeight="false" outlineLevel="0" collapsed="false">
      <c r="A401" s="0" t="str">
        <f aca="false">E401&amp;K401&amp;Q401</f>
        <v>43318Facebook»LAL»1x1»TextLink»SOC»DT»DYN»LAL»W»NA»SS»NA»Free Account Refresh- Device ChB103048485</v>
      </c>
      <c r="B401" s="0" t="s">
        <v>5166</v>
      </c>
      <c r="C401" s="0" t="s">
        <v>5167</v>
      </c>
      <c r="D401" s="0" t="s">
        <v>2385</v>
      </c>
      <c r="E401" s="0" t="n">
        <v>43318</v>
      </c>
      <c r="F401" s="0" t="s">
        <v>2380</v>
      </c>
      <c r="G401" s="0" t="n">
        <v>21358568</v>
      </c>
      <c r="H401" s="0" t="n">
        <v>720191</v>
      </c>
      <c r="I401" s="0" t="s">
        <v>34</v>
      </c>
      <c r="J401" s="0" t="s">
        <v>174</v>
      </c>
      <c r="K401" s="0" t="s">
        <v>2066</v>
      </c>
      <c r="L401" s="0" t="n">
        <v>224160717</v>
      </c>
      <c r="M401" s="0" t="s">
        <v>2067</v>
      </c>
      <c r="N401" s="0" t="n">
        <v>103048485</v>
      </c>
      <c r="O401" s="0" t="n">
        <v>1637</v>
      </c>
      <c r="P401" s="0" t="n">
        <v>42.26</v>
      </c>
      <c r="Q401" s="0" t="n">
        <f aca="false">VLOOKUP(C401,[1]'Cost Correction'!$C$6:$AJ$6767,34,0)</f>
        <v>103048485</v>
      </c>
    </row>
    <row r="402" customFormat="false" ht="15" hidden="false" customHeight="false" outlineLevel="0" collapsed="false">
      <c r="A402" s="0" t="e">
        <f aca="false">E402&amp;K402&amp;Q402</f>
        <v>#N/A</v>
      </c>
      <c r="B402" s="0" t="s">
        <v>5168</v>
      </c>
      <c r="C402" s="0" t="s">
        <v>5169</v>
      </c>
      <c r="D402" s="0" t="s">
        <v>2385</v>
      </c>
      <c r="E402" s="0" t="n">
        <v>43317</v>
      </c>
      <c r="F402" s="0" t="s">
        <v>2380</v>
      </c>
      <c r="G402" s="0" t="n">
        <v>21358568</v>
      </c>
      <c r="H402" s="0" t="n">
        <v>720191</v>
      </c>
      <c r="I402" s="0" t="s">
        <v>34</v>
      </c>
      <c r="J402" s="0" t="s">
        <v>174</v>
      </c>
      <c r="K402" s="0" t="s">
        <v>2389</v>
      </c>
      <c r="L402" s="0" t="n">
        <v>224160771</v>
      </c>
      <c r="M402" s="0" t="s">
        <v>1981</v>
      </c>
      <c r="N402" s="0" t="n">
        <v>103048488</v>
      </c>
      <c r="O402" s="0" t="n">
        <v>1407</v>
      </c>
      <c r="P402" s="0" t="n">
        <v>15.11</v>
      </c>
      <c r="Q402" s="0" t="e">
        <f aca="false">VLOOKUP(C402,[1]'Cost Correction'!$C$6:$AJ$6767,34,0)</f>
        <v>#N/A</v>
      </c>
    </row>
    <row r="403" customFormat="false" ht="15" hidden="false" customHeight="false" outlineLevel="0" collapsed="false">
      <c r="A403" s="0" t="e">
        <f aca="false">E403&amp;K403&amp;Q403</f>
        <v>#N/A</v>
      </c>
      <c r="B403" s="0" t="s">
        <v>5168</v>
      </c>
      <c r="C403" s="0" t="s">
        <v>5170</v>
      </c>
      <c r="D403" s="0" t="s">
        <v>2385</v>
      </c>
      <c r="E403" s="0" t="n">
        <v>43317</v>
      </c>
      <c r="F403" s="0" t="s">
        <v>2380</v>
      </c>
      <c r="G403" s="0" t="n">
        <v>21358568</v>
      </c>
      <c r="H403" s="0" t="n">
        <v>720191</v>
      </c>
      <c r="I403" s="0" t="s">
        <v>34</v>
      </c>
      <c r="J403" s="0" t="s">
        <v>174</v>
      </c>
      <c r="K403" s="0" t="s">
        <v>2420</v>
      </c>
      <c r="L403" s="0" t="n">
        <v>224160771</v>
      </c>
      <c r="M403" s="0" t="s">
        <v>1981</v>
      </c>
      <c r="N403" s="0" t="n">
        <v>103048488</v>
      </c>
      <c r="O403" s="0" t="n">
        <v>1286</v>
      </c>
      <c r="P403" s="0" t="n">
        <v>17.19</v>
      </c>
      <c r="Q403" s="0" t="e">
        <f aca="false">VLOOKUP(C403,[1]'Cost Correction'!$C$6:$AJ$6767,34,0)</f>
        <v>#N/A</v>
      </c>
    </row>
    <row r="404" customFormat="false" ht="15" hidden="false" customHeight="false" outlineLevel="0" collapsed="false">
      <c r="A404" s="0" t="e">
        <f aca="false">E404&amp;K404&amp;Q404</f>
        <v>#N/A</v>
      </c>
      <c r="B404" s="0" t="s">
        <v>5171</v>
      </c>
      <c r="C404" s="0" t="s">
        <v>5172</v>
      </c>
      <c r="D404" s="0" t="s">
        <v>2385</v>
      </c>
      <c r="E404" s="0" t="n">
        <v>43317</v>
      </c>
      <c r="F404" s="0" t="s">
        <v>2380</v>
      </c>
      <c r="G404" s="0" t="n">
        <v>21358568</v>
      </c>
      <c r="H404" s="0" t="n">
        <v>720191</v>
      </c>
      <c r="I404" s="0" t="s">
        <v>34</v>
      </c>
      <c r="J404" s="0" t="s">
        <v>174</v>
      </c>
      <c r="K404" s="0" t="s">
        <v>2397</v>
      </c>
      <c r="O404" s="0" t="n">
        <v>2212</v>
      </c>
      <c r="P404" s="0" t="n">
        <v>30.58</v>
      </c>
      <c r="Q404" s="0" t="e">
        <f aca="false">VLOOKUP(C404,[1]'Cost Correction'!$C$6:$AJ$6767,34,0)</f>
        <v>#N/A</v>
      </c>
    </row>
    <row r="405" customFormat="false" ht="15" hidden="false" customHeight="false" outlineLevel="0" collapsed="false">
      <c r="A405" s="0" t="e">
        <f aca="false">E405&amp;K405&amp;Q405</f>
        <v>#N/A</v>
      </c>
      <c r="B405" s="0" t="s">
        <v>5171</v>
      </c>
      <c r="C405" s="0" t="s">
        <v>5173</v>
      </c>
      <c r="D405" s="0" t="s">
        <v>2385</v>
      </c>
      <c r="E405" s="0" t="n">
        <v>43317</v>
      </c>
      <c r="F405" s="0" t="s">
        <v>2380</v>
      </c>
      <c r="G405" s="0" t="n">
        <v>21358568</v>
      </c>
      <c r="H405" s="0" t="n">
        <v>720191</v>
      </c>
      <c r="I405" s="0" t="s">
        <v>34</v>
      </c>
      <c r="J405" s="0" t="s">
        <v>174</v>
      </c>
      <c r="K405" s="0" t="s">
        <v>2393</v>
      </c>
      <c r="O405" s="0" t="n">
        <v>6053</v>
      </c>
      <c r="P405" s="0" t="n">
        <v>87.98</v>
      </c>
      <c r="Q405" s="0" t="e">
        <f aca="false">VLOOKUP(C405,[1]'Cost Correction'!$C$6:$AJ$6767,34,0)</f>
        <v>#N/A</v>
      </c>
    </row>
    <row r="406" customFormat="false" ht="15" hidden="false" customHeight="false" outlineLevel="0" collapsed="false">
      <c r="A406" s="0" t="e">
        <f aca="false">E406&amp;K406&amp;Q406</f>
        <v>#N/A</v>
      </c>
      <c r="B406" s="0" t="s">
        <v>5171</v>
      </c>
      <c r="C406" s="0" t="s">
        <v>5174</v>
      </c>
      <c r="D406" s="0" t="s">
        <v>2385</v>
      </c>
      <c r="E406" s="0" t="n">
        <v>43317</v>
      </c>
      <c r="F406" s="0" t="s">
        <v>2380</v>
      </c>
      <c r="G406" s="0" t="n">
        <v>21358568</v>
      </c>
      <c r="H406" s="0" t="n">
        <v>720191</v>
      </c>
      <c r="I406" s="0" t="s">
        <v>34</v>
      </c>
      <c r="J406" s="0" t="s">
        <v>174</v>
      </c>
      <c r="K406" s="0" t="s">
        <v>2395</v>
      </c>
      <c r="O406" s="0" t="n">
        <v>7458</v>
      </c>
      <c r="P406" s="0" t="n">
        <v>120.21</v>
      </c>
      <c r="Q406" s="0" t="e">
        <f aca="false">VLOOKUP(C406,[1]'Cost Correction'!$C$6:$AJ$6767,34,0)</f>
        <v>#N/A</v>
      </c>
    </row>
    <row r="407" customFormat="false" ht="15" hidden="false" customHeight="false" outlineLevel="0" collapsed="false">
      <c r="A407" s="0" t="str">
        <f aca="false">E407&amp;K407&amp;Q407</f>
        <v>43317Facebook»LAL»1x1»TextLink»SOC»DT»DYN»LAL»W»NA»SS»NA»Free Account Refresh- 200 Credit ChD103186907</v>
      </c>
      <c r="B407" s="0" t="s">
        <v>5175</v>
      </c>
      <c r="C407" s="0" t="s">
        <v>5176</v>
      </c>
      <c r="D407" s="0" t="s">
        <v>2385</v>
      </c>
      <c r="E407" s="0" t="n">
        <v>43317</v>
      </c>
      <c r="F407" s="0" t="s">
        <v>2380</v>
      </c>
      <c r="G407" s="0" t="n">
        <v>21358568</v>
      </c>
      <c r="H407" s="0" t="n">
        <v>720191</v>
      </c>
      <c r="I407" s="0" t="s">
        <v>34</v>
      </c>
      <c r="J407" s="0" t="s">
        <v>174</v>
      </c>
      <c r="K407" s="0" t="s">
        <v>2064</v>
      </c>
      <c r="L407" s="0" t="n">
        <v>224160720</v>
      </c>
      <c r="M407" s="0" t="s">
        <v>2065</v>
      </c>
      <c r="N407" s="0" t="n">
        <v>103186907</v>
      </c>
      <c r="O407" s="0" t="n">
        <v>1169</v>
      </c>
      <c r="P407" s="0" t="n">
        <v>12.12</v>
      </c>
      <c r="Q407" s="0" t="n">
        <f aca="false">VLOOKUP(C407,[1]'Cost Correction'!$C$6:$AJ$6767,34,0)</f>
        <v>103186907</v>
      </c>
    </row>
    <row r="408" customFormat="false" ht="15" hidden="false" customHeight="false" outlineLevel="0" collapsed="false">
      <c r="A408" s="0" t="e">
        <f aca="false">E408&amp;K408&amp;Q408</f>
        <v>#N/A</v>
      </c>
      <c r="B408" s="0" t="s">
        <v>5177</v>
      </c>
      <c r="C408" s="0" t="s">
        <v>5178</v>
      </c>
      <c r="D408" s="0" t="s">
        <v>2385</v>
      </c>
      <c r="E408" s="0" t="n">
        <v>43317</v>
      </c>
      <c r="F408" s="0" t="s">
        <v>2380</v>
      </c>
      <c r="G408" s="0" t="n">
        <v>21358568</v>
      </c>
      <c r="H408" s="0" t="n">
        <v>720191</v>
      </c>
      <c r="I408" s="0" t="s">
        <v>34</v>
      </c>
      <c r="J408" s="0" t="s">
        <v>174</v>
      </c>
      <c r="K408" s="0" t="s">
        <v>2429</v>
      </c>
      <c r="L408" s="0" t="n">
        <v>224160780</v>
      </c>
      <c r="M408" s="0" t="s">
        <v>1975</v>
      </c>
      <c r="N408" s="0" t="n">
        <v>103186904</v>
      </c>
      <c r="O408" s="0" t="n">
        <v>1441</v>
      </c>
      <c r="P408" s="0" t="n">
        <v>13.5</v>
      </c>
      <c r="Q408" s="0" t="e">
        <f aca="false">VLOOKUP(C408,[1]'Cost Correction'!$C$6:$AJ$6767,34,0)</f>
        <v>#N/A</v>
      </c>
    </row>
    <row r="409" customFormat="false" ht="15" hidden="false" customHeight="false" outlineLevel="0" collapsed="false">
      <c r="A409" s="0" t="e">
        <f aca="false">E409&amp;K409&amp;Q409</f>
        <v>#N/A</v>
      </c>
      <c r="B409" s="0" t="s">
        <v>5177</v>
      </c>
      <c r="C409" s="0" t="s">
        <v>5179</v>
      </c>
      <c r="D409" s="0" t="s">
        <v>2385</v>
      </c>
      <c r="E409" s="0" t="n">
        <v>43317</v>
      </c>
      <c r="F409" s="0" t="s">
        <v>2380</v>
      </c>
      <c r="G409" s="0" t="n">
        <v>21358568</v>
      </c>
      <c r="H409" s="0" t="n">
        <v>720191</v>
      </c>
      <c r="I409" s="0" t="s">
        <v>34</v>
      </c>
      <c r="J409" s="0" t="s">
        <v>174</v>
      </c>
      <c r="K409" s="0" t="s">
        <v>2433</v>
      </c>
      <c r="L409" s="0" t="n">
        <v>224160780</v>
      </c>
      <c r="M409" s="0" t="s">
        <v>1975</v>
      </c>
      <c r="N409" s="0" t="n">
        <v>103186904</v>
      </c>
      <c r="O409" s="0" t="n">
        <v>559</v>
      </c>
      <c r="P409" s="0" t="n">
        <v>4.97</v>
      </c>
      <c r="Q409" s="0" t="e">
        <f aca="false">VLOOKUP(C409,[1]'Cost Correction'!$C$6:$AJ$6767,34,0)</f>
        <v>#N/A</v>
      </c>
    </row>
    <row r="410" customFormat="false" ht="15" hidden="false" customHeight="false" outlineLevel="0" collapsed="false">
      <c r="A410" s="0" t="str">
        <f aca="false">E410&amp;K410&amp;Q410</f>
        <v>43317Facebook»LAL»1x1»TextLink»SOC»DT»DYN»LAL»W»NA»SS»NA»Free Account Refresh- Lifestyle ChA103048491</v>
      </c>
      <c r="B410" s="0" t="s">
        <v>5180</v>
      </c>
      <c r="C410" s="0" t="s">
        <v>5181</v>
      </c>
      <c r="D410" s="0" t="s">
        <v>2385</v>
      </c>
      <c r="E410" s="0" t="n">
        <v>43317</v>
      </c>
      <c r="F410" s="0" t="s">
        <v>2380</v>
      </c>
      <c r="G410" s="0" t="n">
        <v>21358568</v>
      </c>
      <c r="H410" s="0" t="n">
        <v>720191</v>
      </c>
      <c r="I410" s="0" t="s">
        <v>34</v>
      </c>
      <c r="J410" s="0" t="s">
        <v>174</v>
      </c>
      <c r="K410" s="0" t="s">
        <v>2070</v>
      </c>
      <c r="L410" s="0" t="n">
        <v>224160711</v>
      </c>
      <c r="M410" s="0" t="s">
        <v>2071</v>
      </c>
      <c r="N410" s="0" t="n">
        <v>103048491</v>
      </c>
      <c r="O410" s="0" t="n">
        <v>2994</v>
      </c>
      <c r="P410" s="0" t="n">
        <v>49.58</v>
      </c>
      <c r="Q410" s="0" t="n">
        <f aca="false">VLOOKUP(C410,[1]'Cost Correction'!$C$6:$AJ$6767,34,0)</f>
        <v>103048491</v>
      </c>
    </row>
    <row r="411" customFormat="false" ht="15" hidden="false" customHeight="false" outlineLevel="0" collapsed="false">
      <c r="A411" s="0" t="e">
        <f aca="false">E411&amp;K411&amp;Q411</f>
        <v>#N/A</v>
      </c>
      <c r="B411" s="0" t="s">
        <v>5182</v>
      </c>
      <c r="C411" s="0" t="s">
        <v>5183</v>
      </c>
      <c r="D411" s="0" t="s">
        <v>2385</v>
      </c>
      <c r="E411" s="0" t="n">
        <v>43317</v>
      </c>
      <c r="F411" s="0" t="s">
        <v>2380</v>
      </c>
      <c r="G411" s="0" t="n">
        <v>21358568</v>
      </c>
      <c r="H411" s="0" t="n">
        <v>720191</v>
      </c>
      <c r="I411" s="0" t="s">
        <v>34</v>
      </c>
      <c r="J411" s="0" t="s">
        <v>174</v>
      </c>
      <c r="K411" s="0" t="s">
        <v>2401</v>
      </c>
      <c r="L411" s="0" t="n">
        <v>224160783</v>
      </c>
      <c r="M411" s="0" t="s">
        <v>1973</v>
      </c>
      <c r="N411" s="0" t="n">
        <v>103051614</v>
      </c>
      <c r="O411" s="0" t="n">
        <v>1458</v>
      </c>
      <c r="P411" s="0" t="n">
        <v>24.15</v>
      </c>
      <c r="Q411" s="0" t="e">
        <f aca="false">VLOOKUP(C411,[1]'Cost Correction'!$C$6:$AJ$6767,34,0)</f>
        <v>#N/A</v>
      </c>
    </row>
    <row r="412" customFormat="false" ht="15" hidden="false" customHeight="false" outlineLevel="0" collapsed="false">
      <c r="A412" s="0" t="e">
        <f aca="false">E412&amp;K412&amp;Q412</f>
        <v>#N/A</v>
      </c>
      <c r="B412" s="0" t="s">
        <v>5184</v>
      </c>
      <c r="C412" s="0" t="s">
        <v>5185</v>
      </c>
      <c r="D412" s="0" t="s">
        <v>2385</v>
      </c>
      <c r="E412" s="0" t="n">
        <v>43317</v>
      </c>
      <c r="F412" s="0" t="s">
        <v>2380</v>
      </c>
      <c r="G412" s="0" t="n">
        <v>21358568</v>
      </c>
      <c r="H412" s="0" t="n">
        <v>720191</v>
      </c>
      <c r="I412" s="0" t="s">
        <v>34</v>
      </c>
      <c r="J412" s="0" t="s">
        <v>174</v>
      </c>
      <c r="K412" s="0" t="s">
        <v>2405</v>
      </c>
      <c r="L412" s="0" t="n">
        <v>224160774</v>
      </c>
      <c r="M412" s="0" t="s">
        <v>1979</v>
      </c>
      <c r="N412" s="0" t="n">
        <v>103186910</v>
      </c>
      <c r="O412" s="0" t="n">
        <v>3102</v>
      </c>
      <c r="P412" s="0" t="n">
        <v>66.7</v>
      </c>
      <c r="Q412" s="0" t="e">
        <f aca="false">VLOOKUP(C412,[1]'Cost Correction'!$C$6:$AJ$6767,34,0)</f>
        <v>#N/A</v>
      </c>
    </row>
    <row r="413" customFormat="false" ht="15" hidden="false" customHeight="false" outlineLevel="0" collapsed="false">
      <c r="A413" s="0" t="e">
        <f aca="false">E413&amp;K413&amp;Q413</f>
        <v>#N/A</v>
      </c>
      <c r="B413" s="0" t="s">
        <v>5184</v>
      </c>
      <c r="C413" s="0" t="s">
        <v>5186</v>
      </c>
      <c r="D413" s="0" t="s">
        <v>2385</v>
      </c>
      <c r="E413" s="0" t="n">
        <v>43317</v>
      </c>
      <c r="F413" s="0" t="s">
        <v>2380</v>
      </c>
      <c r="G413" s="0" t="n">
        <v>21358568</v>
      </c>
      <c r="H413" s="0" t="n">
        <v>720191</v>
      </c>
      <c r="I413" s="0" t="s">
        <v>34</v>
      </c>
      <c r="J413" s="0" t="s">
        <v>174</v>
      </c>
      <c r="K413" s="0" t="s">
        <v>2416</v>
      </c>
      <c r="L413" s="0" t="n">
        <v>224160774</v>
      </c>
      <c r="M413" s="0" t="s">
        <v>1979</v>
      </c>
      <c r="N413" s="0" t="n">
        <v>103186910</v>
      </c>
      <c r="O413" s="0" t="n">
        <v>7490</v>
      </c>
      <c r="P413" s="0" t="n">
        <v>84.59</v>
      </c>
      <c r="Q413" s="0" t="e">
        <f aca="false">VLOOKUP(C413,[1]'Cost Correction'!$C$6:$AJ$6767,34,0)</f>
        <v>#N/A</v>
      </c>
    </row>
    <row r="414" customFormat="false" ht="15" hidden="false" customHeight="false" outlineLevel="0" collapsed="false">
      <c r="A414" s="0" t="e">
        <f aca="false">E414&amp;K414&amp;Q414</f>
        <v>#N/A</v>
      </c>
      <c r="B414" s="0" t="s">
        <v>5187</v>
      </c>
      <c r="C414" s="0" t="s">
        <v>5188</v>
      </c>
      <c r="D414" s="0" t="s">
        <v>2385</v>
      </c>
      <c r="E414" s="0" t="n">
        <v>43317</v>
      </c>
      <c r="F414" s="0" t="s">
        <v>2380</v>
      </c>
      <c r="G414" s="0" t="n">
        <v>21358568</v>
      </c>
      <c r="H414" s="0" t="n">
        <v>720191</v>
      </c>
      <c r="I414" s="0" t="s">
        <v>34</v>
      </c>
      <c r="J414" s="0" t="s">
        <v>174</v>
      </c>
      <c r="K414" s="0" t="s">
        <v>2412</v>
      </c>
      <c r="L414" s="0" t="n">
        <v>224160777</v>
      </c>
      <c r="M414" s="0" t="s">
        <v>1977</v>
      </c>
      <c r="N414" s="0" t="n">
        <v>103048479</v>
      </c>
      <c r="O414" s="0" t="n">
        <v>826</v>
      </c>
      <c r="P414" s="0" t="n">
        <v>18.93</v>
      </c>
      <c r="Q414" s="0" t="e">
        <f aca="false">VLOOKUP(C414,[1]'Cost Correction'!$C$6:$AJ$6767,34,0)</f>
        <v>#N/A</v>
      </c>
    </row>
    <row r="415" customFormat="false" ht="15" hidden="false" customHeight="false" outlineLevel="0" collapsed="false">
      <c r="A415" s="0" t="e">
        <f aca="false">E415&amp;K415&amp;Q415</f>
        <v>#N/A</v>
      </c>
      <c r="B415" s="0" t="s">
        <v>5187</v>
      </c>
      <c r="C415" s="0" t="s">
        <v>5189</v>
      </c>
      <c r="D415" s="0" t="s">
        <v>2385</v>
      </c>
      <c r="E415" s="0" t="n">
        <v>43317</v>
      </c>
      <c r="F415" s="0" t="s">
        <v>2380</v>
      </c>
      <c r="G415" s="0" t="n">
        <v>21358568</v>
      </c>
      <c r="H415" s="0" t="n">
        <v>720191</v>
      </c>
      <c r="I415" s="0" t="s">
        <v>34</v>
      </c>
      <c r="J415" s="0" t="s">
        <v>174</v>
      </c>
      <c r="K415" s="0" t="s">
        <v>2381</v>
      </c>
      <c r="L415" s="0" t="n">
        <v>224160777</v>
      </c>
      <c r="M415" s="0" t="s">
        <v>1977</v>
      </c>
      <c r="N415" s="0" t="n">
        <v>103048479</v>
      </c>
      <c r="O415" s="0" t="n">
        <v>4986</v>
      </c>
      <c r="P415" s="0" t="n">
        <v>37.88</v>
      </c>
      <c r="Q415" s="0" t="e">
        <f aca="false">VLOOKUP(C415,[1]'Cost Correction'!$C$6:$AJ$6767,34,0)</f>
        <v>#N/A</v>
      </c>
    </row>
    <row r="416" customFormat="false" ht="15" hidden="false" customHeight="false" outlineLevel="0" collapsed="false">
      <c r="A416" s="0" t="str">
        <f aca="false">E416&amp;K416&amp;Q416</f>
        <v>43317Facebook»LAL»1x1»TextLink»SOC»DT»DYN»LAL»W»NA»SS»NA»Free Account Refresh- Illustration ChC103186916</v>
      </c>
      <c r="B416" s="0" t="s">
        <v>5190</v>
      </c>
      <c r="C416" s="0" t="s">
        <v>5191</v>
      </c>
      <c r="D416" s="0" t="s">
        <v>2385</v>
      </c>
      <c r="E416" s="0" t="n">
        <v>43317</v>
      </c>
      <c r="F416" s="0" t="s">
        <v>2380</v>
      </c>
      <c r="G416" s="0" t="n">
        <v>21358568</v>
      </c>
      <c r="H416" s="0" t="n">
        <v>720191</v>
      </c>
      <c r="I416" s="0" t="s">
        <v>34</v>
      </c>
      <c r="J416" s="0" t="s">
        <v>174</v>
      </c>
      <c r="K416" s="0" t="s">
        <v>2068</v>
      </c>
      <c r="L416" s="0" t="n">
        <v>224160714</v>
      </c>
      <c r="M416" s="0" t="s">
        <v>2069</v>
      </c>
      <c r="N416" s="0" t="n">
        <v>103186916</v>
      </c>
      <c r="O416" s="0" t="n">
        <v>2233</v>
      </c>
      <c r="P416" s="0" t="n">
        <v>48.85</v>
      </c>
      <c r="Q416" s="0" t="n">
        <f aca="false">VLOOKUP(C416,[1]'Cost Correction'!$C$6:$AJ$6767,34,0)</f>
        <v>103186916</v>
      </c>
    </row>
    <row r="417" customFormat="false" ht="15" hidden="false" customHeight="false" outlineLevel="0" collapsed="false">
      <c r="A417" s="0" t="str">
        <f aca="false">E417&amp;K417&amp;Q417</f>
        <v>43317Facebook»LAL»1x1»TextLink»SOC»DT»DYN»LAL»W»NA»SS»NA»Free Account Refresh- Device ChB103048485</v>
      </c>
      <c r="B417" s="0" t="s">
        <v>5192</v>
      </c>
      <c r="C417" s="0" t="s">
        <v>5193</v>
      </c>
      <c r="D417" s="0" t="s">
        <v>2385</v>
      </c>
      <c r="E417" s="0" t="n">
        <v>43317</v>
      </c>
      <c r="F417" s="0" t="s">
        <v>2380</v>
      </c>
      <c r="G417" s="0" t="n">
        <v>21358568</v>
      </c>
      <c r="H417" s="0" t="n">
        <v>720191</v>
      </c>
      <c r="I417" s="0" t="s">
        <v>34</v>
      </c>
      <c r="J417" s="0" t="s">
        <v>174</v>
      </c>
      <c r="K417" s="0" t="s">
        <v>2066</v>
      </c>
      <c r="L417" s="0" t="n">
        <v>224160717</v>
      </c>
      <c r="M417" s="0" t="s">
        <v>2067</v>
      </c>
      <c r="N417" s="0" t="n">
        <v>103048485</v>
      </c>
      <c r="O417" s="0" t="n">
        <v>5662</v>
      </c>
      <c r="P417" s="0" t="n">
        <v>123.64</v>
      </c>
      <c r="Q417" s="0" t="n">
        <f aca="false">VLOOKUP(C417,[1]'Cost Correction'!$C$6:$AJ$6767,34,0)</f>
        <v>103048485</v>
      </c>
    </row>
    <row r="418" customFormat="false" ht="15" hidden="false" customHeight="false" outlineLevel="0" collapsed="false">
      <c r="A418" s="0" t="e">
        <f aca="false">E418&amp;K418&amp;Q418</f>
        <v>#N/A</v>
      </c>
      <c r="B418" s="0" t="s">
        <v>5194</v>
      </c>
      <c r="C418" s="0" t="s">
        <v>5195</v>
      </c>
      <c r="D418" s="0" t="s">
        <v>2385</v>
      </c>
      <c r="E418" s="0" t="n">
        <v>43330</v>
      </c>
      <c r="F418" s="0" t="s">
        <v>2380</v>
      </c>
      <c r="G418" s="0" t="n">
        <v>21358568</v>
      </c>
      <c r="H418" s="0" t="n">
        <v>720191</v>
      </c>
      <c r="I418" s="0" t="s">
        <v>34</v>
      </c>
      <c r="J418" s="0" t="s">
        <v>174</v>
      </c>
      <c r="K418" s="0" t="s">
        <v>2401</v>
      </c>
      <c r="L418" s="0" t="n">
        <v>224160783</v>
      </c>
      <c r="M418" s="0" t="s">
        <v>1973</v>
      </c>
      <c r="N418" s="0" t="n">
        <v>103051614</v>
      </c>
      <c r="O418" s="0" t="n">
        <v>1242</v>
      </c>
      <c r="P418" s="0" t="n">
        <v>30.61</v>
      </c>
      <c r="Q418" s="0" t="e">
        <f aca="false">VLOOKUP(C418,[1]'Cost Correction'!$C$6:$AJ$6767,34,0)</f>
        <v>#N/A</v>
      </c>
    </row>
    <row r="419" customFormat="false" ht="15" hidden="false" customHeight="false" outlineLevel="0" collapsed="false">
      <c r="A419" s="0" t="str">
        <f aca="false">E419&amp;K419&amp;Q419</f>
        <v>43330Facebook»LAL»1x1»TextLink»SOC»DT»DYN»LAL»W»NA»SS»NA»Free Account Refresh- Device ChB103048485</v>
      </c>
      <c r="B419" s="0" t="s">
        <v>5196</v>
      </c>
      <c r="C419" s="0" t="s">
        <v>5197</v>
      </c>
      <c r="D419" s="0" t="s">
        <v>2385</v>
      </c>
      <c r="E419" s="0" t="n">
        <v>43330</v>
      </c>
      <c r="F419" s="0" t="s">
        <v>2380</v>
      </c>
      <c r="G419" s="0" t="n">
        <v>21358568</v>
      </c>
      <c r="H419" s="0" t="n">
        <v>720191</v>
      </c>
      <c r="I419" s="0" t="s">
        <v>34</v>
      </c>
      <c r="J419" s="0" t="s">
        <v>174</v>
      </c>
      <c r="K419" s="0" t="s">
        <v>2066</v>
      </c>
      <c r="L419" s="0" t="n">
        <v>224160717</v>
      </c>
      <c r="M419" s="0" t="s">
        <v>2067</v>
      </c>
      <c r="N419" s="0" t="n">
        <v>103048485</v>
      </c>
      <c r="O419" s="0" t="n">
        <v>668</v>
      </c>
      <c r="P419" s="0" t="n">
        <v>16.45</v>
      </c>
      <c r="Q419" s="0" t="n">
        <f aca="false">VLOOKUP(C419,[1]'Cost Correction'!$C$6:$AJ$6767,34,0)</f>
        <v>103048485</v>
      </c>
    </row>
    <row r="420" customFormat="false" ht="15" hidden="false" customHeight="false" outlineLevel="0" collapsed="false">
      <c r="A420" s="0" t="e">
        <f aca="false">E420&amp;K420&amp;Q420</f>
        <v>#N/A</v>
      </c>
      <c r="B420" s="0" t="s">
        <v>5198</v>
      </c>
      <c r="C420" s="0" t="s">
        <v>5199</v>
      </c>
      <c r="D420" s="0" t="s">
        <v>2385</v>
      </c>
      <c r="E420" s="0" t="n">
        <v>43330</v>
      </c>
      <c r="F420" s="0" t="s">
        <v>2380</v>
      </c>
      <c r="G420" s="0" t="n">
        <v>21358568</v>
      </c>
      <c r="H420" s="0" t="n">
        <v>720191</v>
      </c>
      <c r="I420" s="0" t="s">
        <v>34</v>
      </c>
      <c r="J420" s="0" t="s">
        <v>174</v>
      </c>
      <c r="K420" s="0" t="s">
        <v>2412</v>
      </c>
      <c r="L420" s="0" t="n">
        <v>224160777</v>
      </c>
      <c r="M420" s="0" t="s">
        <v>1977</v>
      </c>
      <c r="N420" s="0" t="n">
        <v>103048479</v>
      </c>
      <c r="O420" s="0" t="n">
        <v>562</v>
      </c>
      <c r="P420" s="0" t="n">
        <v>12.19</v>
      </c>
      <c r="Q420" s="0" t="e">
        <f aca="false">VLOOKUP(C420,[1]'Cost Correction'!$C$6:$AJ$6767,34,0)</f>
        <v>#N/A</v>
      </c>
    </row>
    <row r="421" customFormat="false" ht="15" hidden="false" customHeight="false" outlineLevel="0" collapsed="false">
      <c r="A421" s="0" t="e">
        <f aca="false">E421&amp;K421&amp;Q421</f>
        <v>#N/A</v>
      </c>
      <c r="B421" s="0" t="s">
        <v>5198</v>
      </c>
      <c r="C421" s="0" t="s">
        <v>5200</v>
      </c>
      <c r="D421" s="0" t="s">
        <v>2385</v>
      </c>
      <c r="E421" s="0" t="n">
        <v>43330</v>
      </c>
      <c r="F421" s="0" t="s">
        <v>2380</v>
      </c>
      <c r="G421" s="0" t="n">
        <v>21358568</v>
      </c>
      <c r="H421" s="0" t="n">
        <v>720191</v>
      </c>
      <c r="I421" s="0" t="s">
        <v>34</v>
      </c>
      <c r="J421" s="0" t="s">
        <v>174</v>
      </c>
      <c r="K421" s="0" t="s">
        <v>2381</v>
      </c>
      <c r="L421" s="0" t="n">
        <v>224160777</v>
      </c>
      <c r="M421" s="0" t="s">
        <v>1977</v>
      </c>
      <c r="N421" s="0" t="n">
        <v>103048479</v>
      </c>
      <c r="O421" s="0" t="n">
        <v>1189</v>
      </c>
      <c r="P421" s="0" t="n">
        <v>12.81</v>
      </c>
      <c r="Q421" s="0" t="e">
        <f aca="false">VLOOKUP(C421,[1]'Cost Correction'!$C$6:$AJ$6767,34,0)</f>
        <v>#N/A</v>
      </c>
    </row>
    <row r="422" customFormat="false" ht="15" hidden="false" customHeight="false" outlineLevel="0" collapsed="false">
      <c r="A422" s="0" t="e">
        <f aca="false">E422&amp;K422&amp;Q422</f>
        <v>#N/A</v>
      </c>
      <c r="B422" s="0" t="s">
        <v>5201</v>
      </c>
      <c r="C422" s="0" t="s">
        <v>5202</v>
      </c>
      <c r="D422" s="0" t="s">
        <v>2385</v>
      </c>
      <c r="E422" s="0" t="n">
        <v>43330</v>
      </c>
      <c r="F422" s="0" t="s">
        <v>2380</v>
      </c>
      <c r="G422" s="0" t="n">
        <v>21358568</v>
      </c>
      <c r="H422" s="0" t="n">
        <v>720191</v>
      </c>
      <c r="I422" s="0" t="s">
        <v>34</v>
      </c>
      <c r="J422" s="0" t="s">
        <v>174</v>
      </c>
      <c r="K422" s="0" t="s">
        <v>2433</v>
      </c>
      <c r="L422" s="0" t="n">
        <v>224160780</v>
      </c>
      <c r="M422" s="0" t="s">
        <v>1975</v>
      </c>
      <c r="N422" s="0" t="n">
        <v>103186904</v>
      </c>
      <c r="O422" s="0" t="n">
        <v>310</v>
      </c>
      <c r="P422" s="0" t="n">
        <v>5.35</v>
      </c>
      <c r="Q422" s="0" t="e">
        <f aca="false">VLOOKUP(C422,[1]'Cost Correction'!$C$6:$AJ$6767,34,0)</f>
        <v>#N/A</v>
      </c>
    </row>
    <row r="423" customFormat="false" ht="15" hidden="false" customHeight="false" outlineLevel="0" collapsed="false">
      <c r="A423" s="0" t="e">
        <f aca="false">E423&amp;K423&amp;Q423</f>
        <v>#N/A</v>
      </c>
      <c r="B423" s="0" t="s">
        <v>5201</v>
      </c>
      <c r="C423" s="0" t="s">
        <v>5203</v>
      </c>
      <c r="D423" s="0" t="s">
        <v>2385</v>
      </c>
      <c r="E423" s="0" t="n">
        <v>43330</v>
      </c>
      <c r="F423" s="0" t="s">
        <v>2380</v>
      </c>
      <c r="G423" s="0" t="n">
        <v>21358568</v>
      </c>
      <c r="H423" s="0" t="n">
        <v>720191</v>
      </c>
      <c r="I423" s="0" t="s">
        <v>34</v>
      </c>
      <c r="J423" s="0" t="s">
        <v>174</v>
      </c>
      <c r="K423" s="0" t="s">
        <v>2429</v>
      </c>
      <c r="L423" s="0" t="n">
        <v>224160780</v>
      </c>
      <c r="M423" s="0" t="s">
        <v>1975</v>
      </c>
      <c r="N423" s="0" t="n">
        <v>103186904</v>
      </c>
      <c r="O423" s="0" t="n">
        <v>666</v>
      </c>
      <c r="P423" s="0" t="n">
        <v>7.63</v>
      </c>
      <c r="Q423" s="0" t="e">
        <f aca="false">VLOOKUP(C423,[1]'Cost Correction'!$C$6:$AJ$6767,34,0)</f>
        <v>#N/A</v>
      </c>
    </row>
    <row r="424" customFormat="false" ht="15" hidden="false" customHeight="false" outlineLevel="0" collapsed="false">
      <c r="A424" s="0" t="e">
        <f aca="false">E424&amp;K424&amp;Q424</f>
        <v>#N/A</v>
      </c>
      <c r="B424" s="0" t="s">
        <v>5204</v>
      </c>
      <c r="C424" s="0" t="s">
        <v>5205</v>
      </c>
      <c r="D424" s="0" t="s">
        <v>2385</v>
      </c>
      <c r="E424" s="0" t="n">
        <v>43330</v>
      </c>
      <c r="F424" s="0" t="s">
        <v>2380</v>
      </c>
      <c r="G424" s="0" t="n">
        <v>21358568</v>
      </c>
      <c r="H424" s="0" t="n">
        <v>720191</v>
      </c>
      <c r="I424" s="0" t="s">
        <v>34</v>
      </c>
      <c r="J424" s="0" t="s">
        <v>174</v>
      </c>
      <c r="K424" s="0" t="s">
        <v>2397</v>
      </c>
      <c r="O424" s="0" t="n">
        <v>635</v>
      </c>
      <c r="P424" s="0" t="n">
        <v>10.27</v>
      </c>
      <c r="Q424" s="0" t="e">
        <f aca="false">VLOOKUP(C424,[1]'Cost Correction'!$C$6:$AJ$6767,34,0)</f>
        <v>#N/A</v>
      </c>
    </row>
    <row r="425" customFormat="false" ht="15" hidden="false" customHeight="false" outlineLevel="0" collapsed="false">
      <c r="A425" s="0" t="e">
        <f aca="false">E425&amp;K425&amp;Q425</f>
        <v>#N/A</v>
      </c>
      <c r="B425" s="0" t="s">
        <v>5204</v>
      </c>
      <c r="C425" s="0" t="s">
        <v>5206</v>
      </c>
      <c r="D425" s="0" t="s">
        <v>2385</v>
      </c>
      <c r="E425" s="0" t="n">
        <v>43330</v>
      </c>
      <c r="F425" s="0" t="s">
        <v>2380</v>
      </c>
      <c r="G425" s="0" t="n">
        <v>21358568</v>
      </c>
      <c r="H425" s="0" t="n">
        <v>720191</v>
      </c>
      <c r="I425" s="0" t="s">
        <v>34</v>
      </c>
      <c r="J425" s="0" t="s">
        <v>174</v>
      </c>
      <c r="K425" s="0" t="s">
        <v>2395</v>
      </c>
      <c r="O425" s="0" t="n">
        <v>19310</v>
      </c>
      <c r="P425" s="0" t="n">
        <v>275.01</v>
      </c>
      <c r="Q425" s="0" t="e">
        <f aca="false">VLOOKUP(C425,[1]'Cost Correction'!$C$6:$AJ$6767,34,0)</f>
        <v>#N/A</v>
      </c>
    </row>
    <row r="426" customFormat="false" ht="15" hidden="false" customHeight="false" outlineLevel="0" collapsed="false">
      <c r="A426" s="0" t="e">
        <f aca="false">E426&amp;K426&amp;Q426</f>
        <v>#N/A</v>
      </c>
      <c r="B426" s="0" t="s">
        <v>5204</v>
      </c>
      <c r="C426" s="0" t="s">
        <v>5207</v>
      </c>
      <c r="D426" s="0" t="s">
        <v>2385</v>
      </c>
      <c r="E426" s="0" t="n">
        <v>43330</v>
      </c>
      <c r="F426" s="0" t="s">
        <v>2380</v>
      </c>
      <c r="G426" s="0" t="n">
        <v>21358568</v>
      </c>
      <c r="H426" s="0" t="n">
        <v>720191</v>
      </c>
      <c r="I426" s="0" t="s">
        <v>34</v>
      </c>
      <c r="J426" s="0" t="s">
        <v>174</v>
      </c>
      <c r="K426" s="0" t="s">
        <v>2393</v>
      </c>
      <c r="O426" s="0" t="n">
        <v>6316</v>
      </c>
      <c r="P426" s="0" t="n">
        <v>81.45</v>
      </c>
      <c r="Q426" s="0" t="e">
        <f aca="false">VLOOKUP(C426,[1]'Cost Correction'!$C$6:$AJ$6767,34,0)</f>
        <v>#N/A</v>
      </c>
    </row>
    <row r="427" customFormat="false" ht="15" hidden="false" customHeight="false" outlineLevel="0" collapsed="false">
      <c r="A427" s="0" t="e">
        <f aca="false">E427&amp;K427&amp;Q427</f>
        <v>#N/A</v>
      </c>
      <c r="B427" s="0" t="s">
        <v>5208</v>
      </c>
      <c r="C427" s="0" t="s">
        <v>5209</v>
      </c>
      <c r="D427" s="0" t="s">
        <v>2385</v>
      </c>
      <c r="E427" s="0" t="n">
        <v>43330</v>
      </c>
      <c r="F427" s="0" t="s">
        <v>2380</v>
      </c>
      <c r="G427" s="0" t="n">
        <v>21358568</v>
      </c>
      <c r="H427" s="0" t="n">
        <v>720191</v>
      </c>
      <c r="I427" s="0" t="s">
        <v>34</v>
      </c>
      <c r="J427" s="0" t="s">
        <v>174</v>
      </c>
      <c r="K427" s="0" t="s">
        <v>2420</v>
      </c>
      <c r="L427" s="0" t="n">
        <v>224160771</v>
      </c>
      <c r="M427" s="0" t="s">
        <v>1981</v>
      </c>
      <c r="N427" s="0" t="n">
        <v>103048488</v>
      </c>
      <c r="O427" s="0" t="n">
        <v>3039</v>
      </c>
      <c r="P427" s="0" t="n">
        <v>57.77</v>
      </c>
      <c r="Q427" s="0" t="e">
        <f aca="false">VLOOKUP(C427,[1]'Cost Correction'!$C$6:$AJ$6767,34,0)</f>
        <v>#N/A</v>
      </c>
    </row>
    <row r="428" customFormat="false" ht="15" hidden="false" customHeight="false" outlineLevel="0" collapsed="false">
      <c r="A428" s="0" t="e">
        <f aca="false">E428&amp;K428&amp;Q428</f>
        <v>#N/A</v>
      </c>
      <c r="B428" s="0" t="s">
        <v>5208</v>
      </c>
      <c r="C428" s="0" t="s">
        <v>5210</v>
      </c>
      <c r="D428" s="0" t="s">
        <v>2385</v>
      </c>
      <c r="E428" s="0" t="n">
        <v>43330</v>
      </c>
      <c r="F428" s="0" t="s">
        <v>2380</v>
      </c>
      <c r="G428" s="0" t="n">
        <v>21358568</v>
      </c>
      <c r="H428" s="0" t="n">
        <v>720191</v>
      </c>
      <c r="I428" s="0" t="s">
        <v>34</v>
      </c>
      <c r="J428" s="0" t="s">
        <v>174</v>
      </c>
      <c r="K428" s="0" t="s">
        <v>2389</v>
      </c>
      <c r="L428" s="0" t="n">
        <v>224160771</v>
      </c>
      <c r="M428" s="0" t="s">
        <v>1981</v>
      </c>
      <c r="N428" s="0" t="n">
        <v>103048488</v>
      </c>
      <c r="O428" s="0" t="n">
        <v>6286</v>
      </c>
      <c r="P428" s="0" t="n">
        <v>92.57</v>
      </c>
      <c r="Q428" s="0" t="e">
        <f aca="false">VLOOKUP(C428,[1]'Cost Correction'!$C$6:$AJ$6767,34,0)</f>
        <v>#N/A</v>
      </c>
    </row>
    <row r="429" customFormat="false" ht="15" hidden="false" customHeight="false" outlineLevel="0" collapsed="false">
      <c r="A429" s="0" t="e">
        <f aca="false">E429&amp;K429&amp;Q429</f>
        <v>#N/A</v>
      </c>
      <c r="B429" s="0" t="s">
        <v>5211</v>
      </c>
      <c r="C429" s="0" t="s">
        <v>5212</v>
      </c>
      <c r="D429" s="0" t="s">
        <v>2385</v>
      </c>
      <c r="E429" s="0" t="n">
        <v>43330</v>
      </c>
      <c r="F429" s="0" t="s">
        <v>2380</v>
      </c>
      <c r="G429" s="0" t="n">
        <v>21358568</v>
      </c>
      <c r="H429" s="0" t="n">
        <v>720191</v>
      </c>
      <c r="I429" s="0" t="s">
        <v>34</v>
      </c>
      <c r="J429" s="0" t="s">
        <v>174</v>
      </c>
      <c r="K429" s="0" t="s">
        <v>2405</v>
      </c>
      <c r="L429" s="0" t="n">
        <v>224160774</v>
      </c>
      <c r="M429" s="0" t="s">
        <v>1979</v>
      </c>
      <c r="N429" s="0" t="n">
        <v>103186910</v>
      </c>
      <c r="O429" s="0" t="n">
        <v>1679</v>
      </c>
      <c r="P429" s="0" t="n">
        <v>41.42</v>
      </c>
      <c r="Q429" s="0" t="e">
        <f aca="false">VLOOKUP(C429,[1]'Cost Correction'!$C$6:$AJ$6767,34,0)</f>
        <v>#N/A</v>
      </c>
    </row>
    <row r="430" customFormat="false" ht="15" hidden="false" customHeight="false" outlineLevel="0" collapsed="false">
      <c r="A430" s="0" t="e">
        <f aca="false">E430&amp;K430&amp;Q430</f>
        <v>#N/A</v>
      </c>
      <c r="B430" s="0" t="s">
        <v>5211</v>
      </c>
      <c r="C430" s="0" t="s">
        <v>5213</v>
      </c>
      <c r="D430" s="0" t="s">
        <v>2385</v>
      </c>
      <c r="E430" s="0" t="n">
        <v>43330</v>
      </c>
      <c r="F430" s="0" t="s">
        <v>2380</v>
      </c>
      <c r="G430" s="0" t="n">
        <v>21358568</v>
      </c>
      <c r="H430" s="0" t="n">
        <v>720191</v>
      </c>
      <c r="I430" s="0" t="s">
        <v>34</v>
      </c>
      <c r="J430" s="0" t="s">
        <v>174</v>
      </c>
      <c r="K430" s="0" t="s">
        <v>2416</v>
      </c>
      <c r="L430" s="0" t="n">
        <v>224160774</v>
      </c>
      <c r="M430" s="0" t="s">
        <v>1979</v>
      </c>
      <c r="N430" s="0" t="n">
        <v>103186910</v>
      </c>
      <c r="O430" s="0" t="n">
        <v>9028</v>
      </c>
      <c r="P430" s="0" t="n">
        <v>146.86</v>
      </c>
      <c r="Q430" s="0" t="e">
        <f aca="false">VLOOKUP(C430,[1]'Cost Correction'!$C$6:$AJ$6767,34,0)</f>
        <v>#N/A</v>
      </c>
    </row>
    <row r="431" customFormat="false" ht="15" hidden="false" customHeight="false" outlineLevel="0" collapsed="false">
      <c r="A431" s="0" t="str">
        <f aca="false">E431&amp;K431&amp;Q431</f>
        <v>43330Facebook»LAL»1x1»TextLink»SOC»DT»DYN»LAL»W»NA»SS»NA»Free Account Refresh- 200 Credit ChD103186907</v>
      </c>
      <c r="B431" s="0" t="s">
        <v>5214</v>
      </c>
      <c r="C431" s="0" t="s">
        <v>5215</v>
      </c>
      <c r="D431" s="0" t="s">
        <v>2385</v>
      </c>
      <c r="E431" s="0" t="n">
        <v>43330</v>
      </c>
      <c r="F431" s="0" t="s">
        <v>2380</v>
      </c>
      <c r="G431" s="0" t="n">
        <v>21358568</v>
      </c>
      <c r="H431" s="0" t="n">
        <v>720191</v>
      </c>
      <c r="I431" s="0" t="s">
        <v>34</v>
      </c>
      <c r="J431" s="0" t="s">
        <v>174</v>
      </c>
      <c r="K431" s="0" t="s">
        <v>2064</v>
      </c>
      <c r="L431" s="0" t="n">
        <v>224160720</v>
      </c>
      <c r="M431" s="0" t="s">
        <v>2065</v>
      </c>
      <c r="N431" s="0" t="n">
        <v>103186907</v>
      </c>
      <c r="O431" s="0" t="n">
        <v>525</v>
      </c>
      <c r="P431" s="0" t="n">
        <v>7.6</v>
      </c>
      <c r="Q431" s="0" t="n">
        <f aca="false">VLOOKUP(C431,[1]'Cost Correction'!$C$6:$AJ$6767,34,0)</f>
        <v>103186907</v>
      </c>
    </row>
    <row r="432" customFormat="false" ht="15" hidden="false" customHeight="false" outlineLevel="0" collapsed="false">
      <c r="A432" s="0" t="e">
        <f aca="false">E432&amp;K432&amp;Q432</f>
        <v>#N/A</v>
      </c>
      <c r="B432" s="0" t="s">
        <v>5216</v>
      </c>
      <c r="C432" s="0" t="s">
        <v>5217</v>
      </c>
      <c r="D432" s="0" t="s">
        <v>2385</v>
      </c>
      <c r="E432" s="0" t="n">
        <v>43330</v>
      </c>
      <c r="F432" s="0" t="s">
        <v>2380</v>
      </c>
      <c r="G432" s="0" t="n">
        <v>21358568</v>
      </c>
      <c r="H432" s="0" t="n">
        <v>720191</v>
      </c>
      <c r="I432" s="0" t="s">
        <v>34</v>
      </c>
      <c r="J432" s="0" t="s">
        <v>174</v>
      </c>
      <c r="K432" s="0" t="s">
        <v>2070</v>
      </c>
      <c r="L432" s="0" t="n">
        <v>224160711</v>
      </c>
      <c r="M432" s="0" t="s">
        <v>2071</v>
      </c>
      <c r="N432" s="0" t="n">
        <v>103048491</v>
      </c>
      <c r="O432" s="0" t="n">
        <v>448</v>
      </c>
      <c r="P432" s="0" t="n">
        <v>11.47</v>
      </c>
      <c r="Q432" s="0" t="e">
        <f aca="false">VLOOKUP(C432,[1]'Cost Correction'!$C$6:$AJ$6767,34,0)</f>
        <v>#N/A</v>
      </c>
    </row>
    <row r="433" customFormat="false" ht="15" hidden="false" customHeight="false" outlineLevel="0" collapsed="false">
      <c r="A433" s="0" t="str">
        <f aca="false">E433&amp;K433&amp;Q433</f>
        <v>43330Facebook»LAL»1x1»TextLink»SOC»DT»DYN»LAL»W»NA»SS»NA»Free Account Refresh- Illustration ChC103186916</v>
      </c>
      <c r="B433" s="0" t="s">
        <v>5218</v>
      </c>
      <c r="C433" s="0" t="s">
        <v>5219</v>
      </c>
      <c r="D433" s="0" t="s">
        <v>2385</v>
      </c>
      <c r="E433" s="0" t="n">
        <v>43330</v>
      </c>
      <c r="F433" s="0" t="s">
        <v>2380</v>
      </c>
      <c r="G433" s="0" t="n">
        <v>21358568</v>
      </c>
      <c r="H433" s="0" t="n">
        <v>720191</v>
      </c>
      <c r="I433" s="0" t="s">
        <v>34</v>
      </c>
      <c r="J433" s="0" t="s">
        <v>174</v>
      </c>
      <c r="K433" s="0" t="s">
        <v>2068</v>
      </c>
      <c r="L433" s="0" t="n">
        <v>224160714</v>
      </c>
      <c r="M433" s="0" t="s">
        <v>2069</v>
      </c>
      <c r="N433" s="0" t="n">
        <v>103186916</v>
      </c>
      <c r="O433" s="0" t="n">
        <v>1183</v>
      </c>
      <c r="P433" s="0" t="n">
        <v>23.27</v>
      </c>
      <c r="Q433" s="0" t="n">
        <f aca="false">VLOOKUP(C433,[1]'Cost Correction'!$C$6:$AJ$6767,34,0)</f>
        <v>103186916</v>
      </c>
    </row>
    <row r="434" customFormat="false" ht="15" hidden="false" customHeight="false" outlineLevel="0" collapsed="false">
      <c r="A434" s="0" t="e">
        <f aca="false">E434&amp;K434&amp;Q434</f>
        <v>#N/A</v>
      </c>
      <c r="B434" s="0" t="s">
        <v>5220</v>
      </c>
      <c r="C434" s="0" t="s">
        <v>5221</v>
      </c>
      <c r="D434" s="0" t="s">
        <v>2385</v>
      </c>
      <c r="E434" s="0" t="n">
        <v>43329</v>
      </c>
      <c r="F434" s="0" t="s">
        <v>2380</v>
      </c>
      <c r="G434" s="0" t="n">
        <v>21358568</v>
      </c>
      <c r="H434" s="0" t="n">
        <v>720191</v>
      </c>
      <c r="I434" s="0" t="s">
        <v>34</v>
      </c>
      <c r="J434" s="0" t="s">
        <v>174</v>
      </c>
      <c r="K434" s="0" t="s">
        <v>2401</v>
      </c>
      <c r="L434" s="0" t="n">
        <v>224160783</v>
      </c>
      <c r="M434" s="0" t="s">
        <v>1973</v>
      </c>
      <c r="N434" s="0" t="n">
        <v>103051614</v>
      </c>
      <c r="O434" s="0" t="n">
        <v>1150</v>
      </c>
      <c r="P434" s="0" t="n">
        <v>29.63</v>
      </c>
      <c r="Q434" s="0" t="e">
        <f aca="false">VLOOKUP(C434,[1]'Cost Correction'!$C$6:$AJ$6767,34,0)</f>
        <v>#N/A</v>
      </c>
    </row>
    <row r="435" customFormat="false" ht="15" hidden="false" customHeight="false" outlineLevel="0" collapsed="false">
      <c r="A435" s="0" t="e">
        <f aca="false">E435&amp;K435&amp;Q435</f>
        <v>#N/A</v>
      </c>
      <c r="B435" s="0" t="s">
        <v>5222</v>
      </c>
      <c r="C435" s="0" t="s">
        <v>5223</v>
      </c>
      <c r="D435" s="0" t="s">
        <v>2385</v>
      </c>
      <c r="E435" s="0" t="n">
        <v>43329</v>
      </c>
      <c r="F435" s="0" t="s">
        <v>2380</v>
      </c>
      <c r="G435" s="0" t="n">
        <v>21358568</v>
      </c>
      <c r="H435" s="0" t="n">
        <v>720191</v>
      </c>
      <c r="I435" s="0" t="s">
        <v>34</v>
      </c>
      <c r="J435" s="0" t="s">
        <v>174</v>
      </c>
      <c r="K435" s="0" t="s">
        <v>2389</v>
      </c>
      <c r="L435" s="0" t="n">
        <v>224160771</v>
      </c>
      <c r="M435" s="0" t="s">
        <v>1981</v>
      </c>
      <c r="N435" s="0" t="n">
        <v>103048488</v>
      </c>
      <c r="O435" s="0" t="n">
        <v>8337</v>
      </c>
      <c r="P435" s="0" t="n">
        <v>116.67</v>
      </c>
      <c r="Q435" s="0" t="e">
        <f aca="false">VLOOKUP(C435,[1]'Cost Correction'!$C$6:$AJ$6767,34,0)</f>
        <v>#N/A</v>
      </c>
    </row>
    <row r="436" customFormat="false" ht="15" hidden="false" customHeight="false" outlineLevel="0" collapsed="false">
      <c r="A436" s="0" t="e">
        <f aca="false">E436&amp;K436&amp;Q436</f>
        <v>#N/A</v>
      </c>
      <c r="B436" s="0" t="s">
        <v>5222</v>
      </c>
      <c r="C436" s="0" t="s">
        <v>5224</v>
      </c>
      <c r="D436" s="0" t="s">
        <v>2385</v>
      </c>
      <c r="E436" s="0" t="n">
        <v>43329</v>
      </c>
      <c r="F436" s="0" t="s">
        <v>2380</v>
      </c>
      <c r="G436" s="0" t="n">
        <v>21358568</v>
      </c>
      <c r="H436" s="0" t="n">
        <v>720191</v>
      </c>
      <c r="I436" s="0" t="s">
        <v>34</v>
      </c>
      <c r="J436" s="0" t="s">
        <v>174</v>
      </c>
      <c r="K436" s="0" t="s">
        <v>2420</v>
      </c>
      <c r="L436" s="0" t="n">
        <v>224160771</v>
      </c>
      <c r="M436" s="0" t="s">
        <v>1981</v>
      </c>
      <c r="N436" s="0" t="n">
        <v>103048488</v>
      </c>
      <c r="O436" s="0" t="n">
        <v>3164</v>
      </c>
      <c r="P436" s="0" t="n">
        <v>65.22</v>
      </c>
      <c r="Q436" s="0" t="e">
        <f aca="false">VLOOKUP(C436,[1]'Cost Correction'!$C$6:$AJ$6767,34,0)</f>
        <v>#N/A</v>
      </c>
    </row>
    <row r="437" customFormat="false" ht="15" hidden="false" customHeight="false" outlineLevel="0" collapsed="false">
      <c r="A437" s="0" t="e">
        <f aca="false">E437&amp;K437&amp;Q437</f>
        <v>#N/A</v>
      </c>
      <c r="B437" s="0" t="s">
        <v>5225</v>
      </c>
      <c r="C437" s="0" t="s">
        <v>5226</v>
      </c>
      <c r="D437" s="0" t="s">
        <v>2385</v>
      </c>
      <c r="E437" s="0" t="n">
        <v>43329</v>
      </c>
      <c r="F437" s="0" t="s">
        <v>2380</v>
      </c>
      <c r="G437" s="0" t="n">
        <v>21358568</v>
      </c>
      <c r="H437" s="0" t="n">
        <v>720191</v>
      </c>
      <c r="I437" s="0" t="s">
        <v>34</v>
      </c>
      <c r="J437" s="0" t="s">
        <v>174</v>
      </c>
      <c r="K437" s="0" t="s">
        <v>2412</v>
      </c>
      <c r="L437" s="0" t="n">
        <v>224160777</v>
      </c>
      <c r="M437" s="0" t="s">
        <v>1977</v>
      </c>
      <c r="N437" s="0" t="n">
        <v>103048479</v>
      </c>
      <c r="O437" s="0" t="n">
        <v>955</v>
      </c>
      <c r="P437" s="0" t="n">
        <v>21.24</v>
      </c>
      <c r="Q437" s="0" t="e">
        <f aca="false">VLOOKUP(C437,[1]'Cost Correction'!$C$6:$AJ$6767,34,0)</f>
        <v>#N/A</v>
      </c>
    </row>
    <row r="438" customFormat="false" ht="15" hidden="false" customHeight="false" outlineLevel="0" collapsed="false">
      <c r="A438" s="0" t="e">
        <f aca="false">E438&amp;K438&amp;Q438</f>
        <v>#N/A</v>
      </c>
      <c r="B438" s="0" t="s">
        <v>5225</v>
      </c>
      <c r="C438" s="0" t="s">
        <v>5227</v>
      </c>
      <c r="D438" s="0" t="s">
        <v>2385</v>
      </c>
      <c r="E438" s="0" t="n">
        <v>43329</v>
      </c>
      <c r="F438" s="0" t="s">
        <v>2380</v>
      </c>
      <c r="G438" s="0" t="n">
        <v>21358568</v>
      </c>
      <c r="H438" s="0" t="n">
        <v>720191</v>
      </c>
      <c r="I438" s="0" t="s">
        <v>34</v>
      </c>
      <c r="J438" s="0" t="s">
        <v>174</v>
      </c>
      <c r="K438" s="0" t="s">
        <v>2381</v>
      </c>
      <c r="L438" s="0" t="n">
        <v>224160777</v>
      </c>
      <c r="M438" s="0" t="s">
        <v>1977</v>
      </c>
      <c r="N438" s="0" t="n">
        <v>103048479</v>
      </c>
      <c r="O438" s="0" t="n">
        <v>1784</v>
      </c>
      <c r="P438" s="0" t="n">
        <v>24.68</v>
      </c>
      <c r="Q438" s="0" t="e">
        <f aca="false">VLOOKUP(C438,[1]'Cost Correction'!$C$6:$AJ$6767,34,0)</f>
        <v>#N/A</v>
      </c>
    </row>
    <row r="439" customFormat="false" ht="15" hidden="false" customHeight="false" outlineLevel="0" collapsed="false">
      <c r="A439" s="0" t="e">
        <f aca="false">E439&amp;K439&amp;Q439</f>
        <v>#N/A</v>
      </c>
      <c r="B439" s="0" t="s">
        <v>5228</v>
      </c>
      <c r="C439" s="0" t="s">
        <v>5229</v>
      </c>
      <c r="D439" s="0" t="s">
        <v>2385</v>
      </c>
      <c r="E439" s="0" t="n">
        <v>43329</v>
      </c>
      <c r="F439" s="0" t="s">
        <v>2380</v>
      </c>
      <c r="G439" s="0" t="n">
        <v>21358568</v>
      </c>
      <c r="H439" s="0" t="n">
        <v>720191</v>
      </c>
      <c r="I439" s="0" t="s">
        <v>34</v>
      </c>
      <c r="J439" s="0" t="s">
        <v>174</v>
      </c>
      <c r="K439" s="0" t="s">
        <v>2433</v>
      </c>
      <c r="L439" s="0" t="n">
        <v>224160780</v>
      </c>
      <c r="M439" s="0" t="s">
        <v>1975</v>
      </c>
      <c r="N439" s="0" t="n">
        <v>103186904</v>
      </c>
      <c r="O439" s="0" t="n">
        <v>234</v>
      </c>
      <c r="P439" s="0" t="n">
        <v>4.19</v>
      </c>
      <c r="Q439" s="0" t="e">
        <f aca="false">VLOOKUP(C439,[1]'Cost Correction'!$C$6:$AJ$6767,34,0)</f>
        <v>#N/A</v>
      </c>
    </row>
    <row r="440" customFormat="false" ht="15" hidden="false" customHeight="false" outlineLevel="0" collapsed="false">
      <c r="A440" s="0" t="e">
        <f aca="false">E440&amp;K440&amp;Q440</f>
        <v>#N/A</v>
      </c>
      <c r="B440" s="0" t="s">
        <v>5228</v>
      </c>
      <c r="C440" s="0" t="s">
        <v>5230</v>
      </c>
      <c r="D440" s="0" t="s">
        <v>2385</v>
      </c>
      <c r="E440" s="0" t="n">
        <v>43329</v>
      </c>
      <c r="F440" s="0" t="s">
        <v>2380</v>
      </c>
      <c r="G440" s="0" t="n">
        <v>21358568</v>
      </c>
      <c r="H440" s="0" t="n">
        <v>720191</v>
      </c>
      <c r="I440" s="0" t="s">
        <v>34</v>
      </c>
      <c r="J440" s="0" t="s">
        <v>174</v>
      </c>
      <c r="K440" s="0" t="s">
        <v>2429</v>
      </c>
      <c r="L440" s="0" t="n">
        <v>224160780</v>
      </c>
      <c r="M440" s="0" t="s">
        <v>1975</v>
      </c>
      <c r="N440" s="0" t="n">
        <v>103186904</v>
      </c>
      <c r="O440" s="0" t="n">
        <v>686</v>
      </c>
      <c r="P440" s="0" t="n">
        <v>8.21</v>
      </c>
      <c r="Q440" s="0" t="e">
        <f aca="false">VLOOKUP(C440,[1]'Cost Correction'!$C$6:$AJ$6767,34,0)</f>
        <v>#N/A</v>
      </c>
    </row>
    <row r="441" customFormat="false" ht="15" hidden="false" customHeight="false" outlineLevel="0" collapsed="false">
      <c r="A441" s="0" t="e">
        <f aca="false">E441&amp;K441&amp;Q441</f>
        <v>#N/A</v>
      </c>
      <c r="B441" s="0" t="s">
        <v>5231</v>
      </c>
      <c r="C441" s="0" t="s">
        <v>5232</v>
      </c>
      <c r="D441" s="0" t="s">
        <v>2385</v>
      </c>
      <c r="E441" s="0" t="n">
        <v>43329</v>
      </c>
      <c r="F441" s="0" t="s">
        <v>2380</v>
      </c>
      <c r="G441" s="0" t="n">
        <v>21358568</v>
      </c>
      <c r="H441" s="0" t="n">
        <v>720191</v>
      </c>
      <c r="I441" s="0" t="s">
        <v>34</v>
      </c>
      <c r="J441" s="0" t="s">
        <v>174</v>
      </c>
      <c r="K441" s="0" t="s">
        <v>2397</v>
      </c>
      <c r="O441" s="0" t="n">
        <v>1588</v>
      </c>
      <c r="P441" s="0" t="n">
        <v>25.52</v>
      </c>
      <c r="Q441" s="0" t="e">
        <f aca="false">VLOOKUP(C441,[1]'Cost Correction'!$C$6:$AJ$6767,34,0)</f>
        <v>#N/A</v>
      </c>
    </row>
    <row r="442" customFormat="false" ht="15" hidden="false" customHeight="false" outlineLevel="0" collapsed="false">
      <c r="A442" s="0" t="e">
        <f aca="false">E442&amp;K442&amp;Q442</f>
        <v>#N/A</v>
      </c>
      <c r="B442" s="0" t="s">
        <v>5231</v>
      </c>
      <c r="C442" s="0" t="s">
        <v>5233</v>
      </c>
      <c r="D442" s="0" t="s">
        <v>2385</v>
      </c>
      <c r="E442" s="0" t="n">
        <v>43329</v>
      </c>
      <c r="F442" s="0" t="s">
        <v>2380</v>
      </c>
      <c r="G442" s="0" t="n">
        <v>21358568</v>
      </c>
      <c r="H442" s="0" t="n">
        <v>720191</v>
      </c>
      <c r="I442" s="0" t="s">
        <v>34</v>
      </c>
      <c r="J442" s="0" t="s">
        <v>174</v>
      </c>
      <c r="K442" s="0" t="s">
        <v>2395</v>
      </c>
      <c r="O442" s="0" t="n">
        <v>14592</v>
      </c>
      <c r="P442" s="0" t="n">
        <v>237.88</v>
      </c>
      <c r="Q442" s="0" t="e">
        <f aca="false">VLOOKUP(C442,[1]'Cost Correction'!$C$6:$AJ$6767,34,0)</f>
        <v>#N/A</v>
      </c>
    </row>
    <row r="443" customFormat="false" ht="15" hidden="false" customHeight="false" outlineLevel="0" collapsed="false">
      <c r="A443" s="0" t="e">
        <f aca="false">E443&amp;K443&amp;Q443</f>
        <v>#N/A</v>
      </c>
      <c r="B443" s="0" t="s">
        <v>5231</v>
      </c>
      <c r="C443" s="0" t="s">
        <v>5234</v>
      </c>
      <c r="D443" s="0" t="s">
        <v>2385</v>
      </c>
      <c r="E443" s="0" t="n">
        <v>43329</v>
      </c>
      <c r="F443" s="0" t="s">
        <v>2380</v>
      </c>
      <c r="G443" s="0" t="n">
        <v>21358568</v>
      </c>
      <c r="H443" s="0" t="n">
        <v>720191</v>
      </c>
      <c r="I443" s="0" t="s">
        <v>34</v>
      </c>
      <c r="J443" s="0" t="s">
        <v>174</v>
      </c>
      <c r="K443" s="0" t="s">
        <v>2393</v>
      </c>
      <c r="O443" s="0" t="n">
        <v>6784</v>
      </c>
      <c r="P443" s="0" t="n">
        <v>88.9</v>
      </c>
      <c r="Q443" s="0" t="e">
        <f aca="false">VLOOKUP(C443,[1]'Cost Correction'!$C$6:$AJ$6767,34,0)</f>
        <v>#N/A</v>
      </c>
    </row>
    <row r="444" customFormat="false" ht="15" hidden="false" customHeight="false" outlineLevel="0" collapsed="false">
      <c r="A444" s="0" t="str">
        <f aca="false">E444&amp;K444&amp;Q444</f>
        <v>43329Facebook»LAL»1x1»TextLink»SOC»DT»DYN»LAL»W»NA»SS»NA»Free Account Refresh- Illustration ChC103186916</v>
      </c>
      <c r="B444" s="0" t="s">
        <v>5235</v>
      </c>
      <c r="C444" s="0" t="s">
        <v>5236</v>
      </c>
      <c r="D444" s="0" t="s">
        <v>2385</v>
      </c>
      <c r="E444" s="0" t="n">
        <v>43329</v>
      </c>
      <c r="F444" s="0" t="s">
        <v>2380</v>
      </c>
      <c r="G444" s="0" t="n">
        <v>21358568</v>
      </c>
      <c r="H444" s="0" t="n">
        <v>720191</v>
      </c>
      <c r="I444" s="0" t="s">
        <v>34</v>
      </c>
      <c r="J444" s="0" t="s">
        <v>174</v>
      </c>
      <c r="K444" s="0" t="s">
        <v>2068</v>
      </c>
      <c r="L444" s="0" t="n">
        <v>224160714</v>
      </c>
      <c r="M444" s="0" t="s">
        <v>2069</v>
      </c>
      <c r="N444" s="0" t="n">
        <v>103186916</v>
      </c>
      <c r="O444" s="0" t="n">
        <v>876</v>
      </c>
      <c r="P444" s="0" t="n">
        <v>15.58</v>
      </c>
      <c r="Q444" s="0" t="n">
        <f aca="false">VLOOKUP(C444,[1]'Cost Correction'!$C$6:$AJ$6767,34,0)</f>
        <v>103186916</v>
      </c>
    </row>
    <row r="445" customFormat="false" ht="15" hidden="false" customHeight="false" outlineLevel="0" collapsed="false">
      <c r="A445" s="0" t="e">
        <f aca="false">E445&amp;K445&amp;Q445</f>
        <v>#N/A</v>
      </c>
      <c r="B445" s="0" t="s">
        <v>5237</v>
      </c>
      <c r="C445" s="0" t="s">
        <v>5238</v>
      </c>
      <c r="D445" s="0" t="s">
        <v>2385</v>
      </c>
      <c r="E445" s="0" t="n">
        <v>43329</v>
      </c>
      <c r="F445" s="0" t="s">
        <v>2380</v>
      </c>
      <c r="G445" s="0" t="n">
        <v>21358568</v>
      </c>
      <c r="H445" s="0" t="n">
        <v>720191</v>
      </c>
      <c r="I445" s="0" t="s">
        <v>34</v>
      </c>
      <c r="J445" s="0" t="s">
        <v>174</v>
      </c>
      <c r="K445" s="0" t="s">
        <v>2416</v>
      </c>
      <c r="L445" s="0" t="n">
        <v>224160774</v>
      </c>
      <c r="M445" s="0" t="s">
        <v>1979</v>
      </c>
      <c r="N445" s="0" t="n">
        <v>103186910</v>
      </c>
      <c r="O445" s="0" t="n">
        <v>8327</v>
      </c>
      <c r="P445" s="0" t="n">
        <v>108.85</v>
      </c>
      <c r="Q445" s="0" t="e">
        <f aca="false">VLOOKUP(C445,[1]'Cost Correction'!$C$6:$AJ$6767,34,0)</f>
        <v>#N/A</v>
      </c>
    </row>
    <row r="446" customFormat="false" ht="15" hidden="false" customHeight="false" outlineLevel="0" collapsed="false">
      <c r="A446" s="0" t="e">
        <f aca="false">E446&amp;K446&amp;Q446</f>
        <v>#N/A</v>
      </c>
      <c r="B446" s="0" t="s">
        <v>5237</v>
      </c>
      <c r="C446" s="0" t="s">
        <v>5239</v>
      </c>
      <c r="D446" s="0" t="s">
        <v>2385</v>
      </c>
      <c r="E446" s="0" t="n">
        <v>43329</v>
      </c>
      <c r="F446" s="0" t="s">
        <v>2380</v>
      </c>
      <c r="G446" s="0" t="n">
        <v>21358568</v>
      </c>
      <c r="H446" s="0" t="n">
        <v>720191</v>
      </c>
      <c r="I446" s="0" t="s">
        <v>34</v>
      </c>
      <c r="J446" s="0" t="s">
        <v>174</v>
      </c>
      <c r="K446" s="0" t="s">
        <v>2405</v>
      </c>
      <c r="L446" s="0" t="n">
        <v>224160774</v>
      </c>
      <c r="M446" s="0" t="s">
        <v>1979</v>
      </c>
      <c r="N446" s="0" t="n">
        <v>103186910</v>
      </c>
      <c r="O446" s="0" t="n">
        <v>2439</v>
      </c>
      <c r="P446" s="0" t="n">
        <v>30.47</v>
      </c>
      <c r="Q446" s="0" t="e">
        <f aca="false">VLOOKUP(C446,[1]'Cost Correction'!$C$6:$AJ$6767,34,0)</f>
        <v>#N/A</v>
      </c>
    </row>
    <row r="447" customFormat="false" ht="15" hidden="false" customHeight="false" outlineLevel="0" collapsed="false">
      <c r="A447" s="0" t="str">
        <f aca="false">E447&amp;K447&amp;Q447</f>
        <v>43329Facebook»LAL»1x1»TextLink»SOC»DT»DYN»LAL»W»NA»SS»NA»Free Account Refresh- Device ChB103048485</v>
      </c>
      <c r="B447" s="0" t="s">
        <v>5240</v>
      </c>
      <c r="C447" s="0" t="s">
        <v>5241</v>
      </c>
      <c r="D447" s="0" t="s">
        <v>2385</v>
      </c>
      <c r="E447" s="0" t="n">
        <v>43329</v>
      </c>
      <c r="F447" s="0" t="s">
        <v>2380</v>
      </c>
      <c r="G447" s="0" t="n">
        <v>21358568</v>
      </c>
      <c r="H447" s="0" t="n">
        <v>720191</v>
      </c>
      <c r="I447" s="0" t="s">
        <v>34</v>
      </c>
      <c r="J447" s="0" t="s">
        <v>174</v>
      </c>
      <c r="K447" s="0" t="s">
        <v>2066</v>
      </c>
      <c r="L447" s="0" t="n">
        <v>224160717</v>
      </c>
      <c r="M447" s="0" t="s">
        <v>2067</v>
      </c>
      <c r="N447" s="0" t="n">
        <v>103048485</v>
      </c>
      <c r="O447" s="0" t="n">
        <v>923</v>
      </c>
      <c r="P447" s="0" t="n">
        <v>20.57</v>
      </c>
      <c r="Q447" s="0" t="n">
        <f aca="false">VLOOKUP(C447,[1]'Cost Correction'!$C$6:$AJ$6767,34,0)</f>
        <v>103048485</v>
      </c>
    </row>
    <row r="448" customFormat="false" ht="15" hidden="false" customHeight="false" outlineLevel="0" collapsed="false">
      <c r="A448" s="0" t="str">
        <f aca="false">E448&amp;K448&amp;Q448</f>
        <v>43329Facebook»LAL»1x1»TextLink»SOC»DT»DYN»LAL»W»NA»SS»NA»Free Account Refresh- Lifestyle ChA103048491</v>
      </c>
      <c r="B448" s="0" t="s">
        <v>5242</v>
      </c>
      <c r="C448" s="0" t="s">
        <v>5243</v>
      </c>
      <c r="D448" s="0" t="s">
        <v>2385</v>
      </c>
      <c r="E448" s="0" t="n">
        <v>43329</v>
      </c>
      <c r="F448" s="0" t="s">
        <v>2380</v>
      </c>
      <c r="G448" s="0" t="n">
        <v>21358568</v>
      </c>
      <c r="H448" s="0" t="n">
        <v>720191</v>
      </c>
      <c r="I448" s="0" t="s">
        <v>34</v>
      </c>
      <c r="J448" s="0" t="s">
        <v>174</v>
      </c>
      <c r="K448" s="0" t="s">
        <v>2070</v>
      </c>
      <c r="L448" s="0" t="n">
        <v>224160711</v>
      </c>
      <c r="M448" s="0" t="s">
        <v>2071</v>
      </c>
      <c r="N448" s="0" t="n">
        <v>103048491</v>
      </c>
      <c r="O448" s="0" t="n">
        <v>619</v>
      </c>
      <c r="P448" s="0" t="n">
        <v>14.61</v>
      </c>
      <c r="Q448" s="0" t="n">
        <f aca="false">VLOOKUP(C448,[1]'Cost Correction'!$C$6:$AJ$6767,34,0)</f>
        <v>103048491</v>
      </c>
    </row>
    <row r="449" customFormat="false" ht="15" hidden="false" customHeight="false" outlineLevel="0" collapsed="false">
      <c r="A449" s="0" t="str">
        <f aca="false">E449&amp;K449&amp;Q449</f>
        <v>43329Facebook»LAL»1x1»TextLink»SOC»DT»DYN»LAL»W»NA»SS»NA»Free Account Refresh- 200 Credit ChD103186907</v>
      </c>
      <c r="B449" s="0" t="s">
        <v>5244</v>
      </c>
      <c r="C449" s="0" t="s">
        <v>5245</v>
      </c>
      <c r="D449" s="0" t="s">
        <v>2385</v>
      </c>
      <c r="E449" s="0" t="n">
        <v>43329</v>
      </c>
      <c r="F449" s="0" t="s">
        <v>2380</v>
      </c>
      <c r="G449" s="0" t="n">
        <v>21358568</v>
      </c>
      <c r="H449" s="0" t="n">
        <v>720191</v>
      </c>
      <c r="I449" s="0" t="s">
        <v>34</v>
      </c>
      <c r="J449" s="0" t="s">
        <v>174</v>
      </c>
      <c r="K449" s="0" t="s">
        <v>2064</v>
      </c>
      <c r="L449" s="0" t="n">
        <v>224160720</v>
      </c>
      <c r="M449" s="0" t="s">
        <v>2065</v>
      </c>
      <c r="N449" s="0" t="n">
        <v>103186907</v>
      </c>
      <c r="O449" s="0" t="n">
        <v>456</v>
      </c>
      <c r="P449" s="0" t="n">
        <v>6.66</v>
      </c>
      <c r="Q449" s="0" t="n">
        <f aca="false">VLOOKUP(C449,[1]'Cost Correction'!$C$6:$AJ$6767,34,0)</f>
        <v>103186907</v>
      </c>
    </row>
    <row r="450" customFormat="false" ht="15" hidden="false" customHeight="false" outlineLevel="0" collapsed="false">
      <c r="A450" s="0" t="e">
        <f aca="false">E450&amp;K450&amp;Q450</f>
        <v>#N/A</v>
      </c>
      <c r="B450" s="0" t="s">
        <v>5246</v>
      </c>
      <c r="C450" s="0" t="s">
        <v>5247</v>
      </c>
      <c r="D450" s="0" t="s">
        <v>2385</v>
      </c>
      <c r="E450" s="0" t="n">
        <v>43328</v>
      </c>
      <c r="F450" s="0" t="s">
        <v>2380</v>
      </c>
      <c r="G450" s="0" t="n">
        <v>21358568</v>
      </c>
      <c r="H450" s="0" t="n">
        <v>720191</v>
      </c>
      <c r="I450" s="0" t="s">
        <v>34</v>
      </c>
      <c r="J450" s="0" t="s">
        <v>174</v>
      </c>
      <c r="K450" s="0" t="s">
        <v>2401</v>
      </c>
      <c r="L450" s="0" t="n">
        <v>224160783</v>
      </c>
      <c r="M450" s="0" t="s">
        <v>1973</v>
      </c>
      <c r="N450" s="0" t="n">
        <v>103051614</v>
      </c>
      <c r="O450" s="0" t="n">
        <v>587</v>
      </c>
      <c r="P450" s="0" t="n">
        <v>11.55</v>
      </c>
      <c r="Q450" s="0" t="e">
        <f aca="false">VLOOKUP(C450,[1]'Cost Correction'!$C$6:$AJ$6767,34,0)</f>
        <v>#N/A</v>
      </c>
    </row>
    <row r="451" customFormat="false" ht="15" hidden="false" customHeight="false" outlineLevel="0" collapsed="false">
      <c r="A451" s="0" t="e">
        <f aca="false">E451&amp;K451&amp;Q451</f>
        <v>#N/A</v>
      </c>
      <c r="B451" s="0" t="s">
        <v>5248</v>
      </c>
      <c r="C451" s="0" t="s">
        <v>5249</v>
      </c>
      <c r="D451" s="0" t="s">
        <v>2385</v>
      </c>
      <c r="E451" s="0" t="n">
        <v>43328</v>
      </c>
      <c r="F451" s="0" t="s">
        <v>2380</v>
      </c>
      <c r="G451" s="0" t="n">
        <v>21358568</v>
      </c>
      <c r="H451" s="0" t="n">
        <v>720191</v>
      </c>
      <c r="I451" s="0" t="s">
        <v>34</v>
      </c>
      <c r="J451" s="0" t="s">
        <v>174</v>
      </c>
      <c r="K451" s="0" t="s">
        <v>2416</v>
      </c>
      <c r="L451" s="0" t="n">
        <v>224160774</v>
      </c>
      <c r="M451" s="0" t="s">
        <v>1979</v>
      </c>
      <c r="N451" s="0" t="n">
        <v>103186910</v>
      </c>
      <c r="O451" s="0" t="n">
        <v>2015</v>
      </c>
      <c r="P451" s="0" t="n">
        <v>34.75</v>
      </c>
      <c r="Q451" s="0" t="e">
        <f aca="false">VLOOKUP(C451,[1]'Cost Correction'!$C$6:$AJ$6767,34,0)</f>
        <v>#N/A</v>
      </c>
    </row>
    <row r="452" customFormat="false" ht="15" hidden="false" customHeight="false" outlineLevel="0" collapsed="false">
      <c r="A452" s="0" t="e">
        <f aca="false">E452&amp;K452&amp;Q452</f>
        <v>#N/A</v>
      </c>
      <c r="B452" s="0" t="s">
        <v>5248</v>
      </c>
      <c r="C452" s="0" t="s">
        <v>5250</v>
      </c>
      <c r="D452" s="0" t="s">
        <v>2385</v>
      </c>
      <c r="E452" s="0" t="n">
        <v>43328</v>
      </c>
      <c r="F452" s="0" t="s">
        <v>2380</v>
      </c>
      <c r="G452" s="0" t="n">
        <v>21358568</v>
      </c>
      <c r="H452" s="0" t="n">
        <v>720191</v>
      </c>
      <c r="I452" s="0" t="s">
        <v>34</v>
      </c>
      <c r="J452" s="0" t="s">
        <v>174</v>
      </c>
      <c r="K452" s="0" t="s">
        <v>2405</v>
      </c>
      <c r="L452" s="0" t="n">
        <v>224160774</v>
      </c>
      <c r="M452" s="0" t="s">
        <v>1979</v>
      </c>
      <c r="N452" s="0" t="n">
        <v>103186910</v>
      </c>
      <c r="O452" s="0" t="n">
        <v>1402</v>
      </c>
      <c r="P452" s="0" t="n">
        <v>23.32</v>
      </c>
      <c r="Q452" s="0" t="e">
        <f aca="false">VLOOKUP(C452,[1]'Cost Correction'!$C$6:$AJ$6767,34,0)</f>
        <v>#N/A</v>
      </c>
    </row>
    <row r="453" customFormat="false" ht="15" hidden="false" customHeight="false" outlineLevel="0" collapsed="false">
      <c r="A453" s="0" t="e">
        <f aca="false">E453&amp;K453&amp;Q453</f>
        <v>#N/A</v>
      </c>
      <c r="B453" s="0" t="s">
        <v>5251</v>
      </c>
      <c r="C453" s="0" t="s">
        <v>5252</v>
      </c>
      <c r="D453" s="0" t="s">
        <v>2385</v>
      </c>
      <c r="E453" s="0" t="n">
        <v>43328</v>
      </c>
      <c r="F453" s="0" t="s">
        <v>2380</v>
      </c>
      <c r="G453" s="0" t="n">
        <v>21358568</v>
      </c>
      <c r="H453" s="0" t="n">
        <v>720191</v>
      </c>
      <c r="I453" s="0" t="s">
        <v>34</v>
      </c>
      <c r="J453" s="0" t="s">
        <v>174</v>
      </c>
      <c r="K453" s="0" t="s">
        <v>2433</v>
      </c>
      <c r="L453" s="0" t="n">
        <v>224160780</v>
      </c>
      <c r="M453" s="0" t="s">
        <v>1975</v>
      </c>
      <c r="N453" s="0" t="n">
        <v>103186904</v>
      </c>
      <c r="O453" s="0" t="n">
        <v>412</v>
      </c>
      <c r="P453" s="0" t="n">
        <v>4.79</v>
      </c>
      <c r="Q453" s="0" t="e">
        <f aca="false">VLOOKUP(C453,[1]'Cost Correction'!$C$6:$AJ$6767,34,0)</f>
        <v>#N/A</v>
      </c>
    </row>
    <row r="454" customFormat="false" ht="15" hidden="false" customHeight="false" outlineLevel="0" collapsed="false">
      <c r="A454" s="0" t="e">
        <f aca="false">E454&amp;K454&amp;Q454</f>
        <v>#N/A</v>
      </c>
      <c r="B454" s="0" t="s">
        <v>5251</v>
      </c>
      <c r="C454" s="0" t="s">
        <v>5253</v>
      </c>
      <c r="D454" s="0" t="s">
        <v>2385</v>
      </c>
      <c r="E454" s="0" t="n">
        <v>43328</v>
      </c>
      <c r="F454" s="0" t="s">
        <v>2380</v>
      </c>
      <c r="G454" s="0" t="n">
        <v>21358568</v>
      </c>
      <c r="H454" s="0" t="n">
        <v>720191</v>
      </c>
      <c r="I454" s="0" t="s">
        <v>34</v>
      </c>
      <c r="J454" s="0" t="s">
        <v>174</v>
      </c>
      <c r="K454" s="0" t="s">
        <v>2429</v>
      </c>
      <c r="L454" s="0" t="n">
        <v>224160780</v>
      </c>
      <c r="M454" s="0" t="s">
        <v>1975</v>
      </c>
      <c r="N454" s="0" t="n">
        <v>103186904</v>
      </c>
      <c r="O454" s="0" t="n">
        <v>2194</v>
      </c>
      <c r="P454" s="0" t="n">
        <v>38.81</v>
      </c>
      <c r="Q454" s="0" t="e">
        <f aca="false">VLOOKUP(C454,[1]'Cost Correction'!$C$6:$AJ$6767,34,0)</f>
        <v>#N/A</v>
      </c>
    </row>
    <row r="455" customFormat="false" ht="15" hidden="false" customHeight="false" outlineLevel="0" collapsed="false">
      <c r="A455" s="0" t="str">
        <f aca="false">E455&amp;K455&amp;Q455</f>
        <v>43328Facebook»LAL»1x1»TextLink»SOC»DT»DYN»LAL»W»NA»SS»NA»Free Account Refresh- Illustration ChC103186916</v>
      </c>
      <c r="B455" s="0" t="s">
        <v>5254</v>
      </c>
      <c r="C455" s="0" t="s">
        <v>5255</v>
      </c>
      <c r="D455" s="0" t="s">
        <v>2385</v>
      </c>
      <c r="E455" s="0" t="n">
        <v>43328</v>
      </c>
      <c r="F455" s="0" t="s">
        <v>2380</v>
      </c>
      <c r="G455" s="0" t="n">
        <v>21358568</v>
      </c>
      <c r="H455" s="0" t="n">
        <v>720191</v>
      </c>
      <c r="I455" s="0" t="s">
        <v>34</v>
      </c>
      <c r="J455" s="0" t="s">
        <v>174</v>
      </c>
      <c r="K455" s="0" t="s">
        <v>2068</v>
      </c>
      <c r="L455" s="0" t="n">
        <v>224160714</v>
      </c>
      <c r="M455" s="0" t="s">
        <v>2069</v>
      </c>
      <c r="N455" s="0" t="n">
        <v>103186916</v>
      </c>
      <c r="O455" s="0" t="n">
        <v>44</v>
      </c>
      <c r="P455" s="0" t="n">
        <v>1.16</v>
      </c>
      <c r="Q455" s="0" t="n">
        <f aca="false">VLOOKUP(C455,[1]'Cost Correction'!$C$6:$AJ$6767,34,0)</f>
        <v>103186916</v>
      </c>
    </row>
    <row r="456" customFormat="false" ht="15" hidden="false" customHeight="false" outlineLevel="0" collapsed="false">
      <c r="A456" s="0" t="str">
        <f aca="false">E456&amp;K456&amp;Q456</f>
        <v>43328Facebook»LAL»1x1»TextLink»SOC»DT»DYN»LAL»W»NA»SS»NA»Free Account Refresh- Device ChB103048485</v>
      </c>
      <c r="B456" s="0" t="s">
        <v>5256</v>
      </c>
      <c r="C456" s="0" t="s">
        <v>5257</v>
      </c>
      <c r="D456" s="0" t="s">
        <v>2385</v>
      </c>
      <c r="E456" s="0" t="n">
        <v>43328</v>
      </c>
      <c r="F456" s="0" t="s">
        <v>2380</v>
      </c>
      <c r="G456" s="0" t="n">
        <v>21358568</v>
      </c>
      <c r="H456" s="0" t="n">
        <v>720191</v>
      </c>
      <c r="I456" s="0" t="s">
        <v>34</v>
      </c>
      <c r="J456" s="0" t="s">
        <v>174</v>
      </c>
      <c r="K456" s="0" t="s">
        <v>2066</v>
      </c>
      <c r="L456" s="0" t="n">
        <v>224160717</v>
      </c>
      <c r="M456" s="0" t="s">
        <v>2067</v>
      </c>
      <c r="N456" s="0" t="n">
        <v>103048485</v>
      </c>
      <c r="O456" s="0" t="n">
        <v>1819</v>
      </c>
      <c r="P456" s="0" t="n">
        <v>33.11</v>
      </c>
      <c r="Q456" s="0" t="n">
        <f aca="false">VLOOKUP(C456,[1]'Cost Correction'!$C$6:$AJ$6767,34,0)</f>
        <v>103048485</v>
      </c>
    </row>
    <row r="457" customFormat="false" ht="15" hidden="false" customHeight="false" outlineLevel="0" collapsed="false">
      <c r="A457" s="0" t="e">
        <f aca="false">E457&amp;K457&amp;Q457</f>
        <v>#N/A</v>
      </c>
      <c r="B457" s="0" t="s">
        <v>5258</v>
      </c>
      <c r="C457" s="0" t="s">
        <v>5259</v>
      </c>
      <c r="D457" s="0" t="s">
        <v>2385</v>
      </c>
      <c r="E457" s="0" t="n">
        <v>43328</v>
      </c>
      <c r="F457" s="0" t="s">
        <v>2380</v>
      </c>
      <c r="G457" s="0" t="n">
        <v>21358568</v>
      </c>
      <c r="H457" s="0" t="n">
        <v>720191</v>
      </c>
      <c r="I457" s="0" t="s">
        <v>34</v>
      </c>
      <c r="J457" s="0" t="s">
        <v>174</v>
      </c>
      <c r="K457" s="0" t="s">
        <v>2397</v>
      </c>
      <c r="O457" s="0" t="n">
        <v>2122</v>
      </c>
      <c r="P457" s="0" t="n">
        <v>41.26</v>
      </c>
      <c r="Q457" s="0" t="e">
        <f aca="false">VLOOKUP(C457,[1]'Cost Correction'!$C$6:$AJ$6767,34,0)</f>
        <v>#N/A</v>
      </c>
    </row>
    <row r="458" customFormat="false" ht="15" hidden="false" customHeight="false" outlineLevel="0" collapsed="false">
      <c r="A458" s="0" t="e">
        <f aca="false">E458&amp;K458&amp;Q458</f>
        <v>#N/A</v>
      </c>
      <c r="B458" s="0" t="s">
        <v>5258</v>
      </c>
      <c r="C458" s="0" t="s">
        <v>5260</v>
      </c>
      <c r="D458" s="0" t="s">
        <v>2385</v>
      </c>
      <c r="E458" s="0" t="n">
        <v>43328</v>
      </c>
      <c r="F458" s="0" t="s">
        <v>2380</v>
      </c>
      <c r="G458" s="0" t="n">
        <v>21358568</v>
      </c>
      <c r="H458" s="0" t="n">
        <v>720191</v>
      </c>
      <c r="I458" s="0" t="s">
        <v>34</v>
      </c>
      <c r="J458" s="0" t="s">
        <v>174</v>
      </c>
      <c r="K458" s="0" t="s">
        <v>2395</v>
      </c>
      <c r="O458" s="0" t="n">
        <v>10005</v>
      </c>
      <c r="P458" s="0" t="n">
        <v>195.31</v>
      </c>
      <c r="Q458" s="0" t="e">
        <f aca="false">VLOOKUP(C458,[1]'Cost Correction'!$C$6:$AJ$6767,34,0)</f>
        <v>#N/A</v>
      </c>
    </row>
    <row r="459" customFormat="false" ht="15" hidden="false" customHeight="false" outlineLevel="0" collapsed="false">
      <c r="A459" s="0" t="e">
        <f aca="false">E459&amp;K459&amp;Q459</f>
        <v>#N/A</v>
      </c>
      <c r="B459" s="0" t="s">
        <v>5258</v>
      </c>
      <c r="C459" s="0" t="s">
        <v>5261</v>
      </c>
      <c r="D459" s="0" t="s">
        <v>2385</v>
      </c>
      <c r="E459" s="0" t="n">
        <v>43328</v>
      </c>
      <c r="F459" s="0" t="s">
        <v>2380</v>
      </c>
      <c r="G459" s="0" t="n">
        <v>21358568</v>
      </c>
      <c r="H459" s="0" t="n">
        <v>720191</v>
      </c>
      <c r="I459" s="0" t="s">
        <v>34</v>
      </c>
      <c r="J459" s="0" t="s">
        <v>174</v>
      </c>
      <c r="K459" s="0" t="s">
        <v>2393</v>
      </c>
      <c r="O459" s="0" t="n">
        <v>5582</v>
      </c>
      <c r="P459" s="0" t="n">
        <v>79.28</v>
      </c>
      <c r="Q459" s="0" t="e">
        <f aca="false">VLOOKUP(C459,[1]'Cost Correction'!$C$6:$AJ$6767,34,0)</f>
        <v>#N/A</v>
      </c>
    </row>
    <row r="460" customFormat="false" ht="15" hidden="false" customHeight="false" outlineLevel="0" collapsed="false">
      <c r="A460" s="0" t="e">
        <f aca="false">E460&amp;K460&amp;Q460</f>
        <v>#N/A</v>
      </c>
      <c r="B460" s="0" t="s">
        <v>5262</v>
      </c>
      <c r="C460" s="0" t="s">
        <v>5263</v>
      </c>
      <c r="D460" s="0" t="s">
        <v>2385</v>
      </c>
      <c r="E460" s="0" t="n">
        <v>43328</v>
      </c>
      <c r="F460" s="0" t="s">
        <v>2380</v>
      </c>
      <c r="G460" s="0" t="n">
        <v>21358568</v>
      </c>
      <c r="H460" s="0" t="n">
        <v>720191</v>
      </c>
      <c r="I460" s="0" t="s">
        <v>34</v>
      </c>
      <c r="J460" s="0" t="s">
        <v>174</v>
      </c>
      <c r="K460" s="0" t="s">
        <v>2420</v>
      </c>
      <c r="L460" s="0" t="n">
        <v>224160771</v>
      </c>
      <c r="M460" s="0" t="s">
        <v>1981</v>
      </c>
      <c r="N460" s="0" t="n">
        <v>103048488</v>
      </c>
      <c r="O460" s="0" t="n">
        <v>3028</v>
      </c>
      <c r="P460" s="0" t="n">
        <v>58.41</v>
      </c>
      <c r="Q460" s="0" t="e">
        <f aca="false">VLOOKUP(C460,[1]'Cost Correction'!$C$6:$AJ$6767,34,0)</f>
        <v>#N/A</v>
      </c>
    </row>
    <row r="461" customFormat="false" ht="15" hidden="false" customHeight="false" outlineLevel="0" collapsed="false">
      <c r="A461" s="0" t="e">
        <f aca="false">E461&amp;K461&amp;Q461</f>
        <v>#N/A</v>
      </c>
      <c r="B461" s="0" t="s">
        <v>5262</v>
      </c>
      <c r="C461" s="0" t="s">
        <v>5264</v>
      </c>
      <c r="D461" s="0" t="s">
        <v>2385</v>
      </c>
      <c r="E461" s="0" t="n">
        <v>43328</v>
      </c>
      <c r="F461" s="0" t="s">
        <v>2380</v>
      </c>
      <c r="G461" s="0" t="n">
        <v>21358568</v>
      </c>
      <c r="H461" s="0" t="n">
        <v>720191</v>
      </c>
      <c r="I461" s="0" t="s">
        <v>34</v>
      </c>
      <c r="J461" s="0" t="s">
        <v>174</v>
      </c>
      <c r="K461" s="0" t="s">
        <v>2389</v>
      </c>
      <c r="L461" s="0" t="n">
        <v>224160771</v>
      </c>
      <c r="M461" s="0" t="s">
        <v>1981</v>
      </c>
      <c r="N461" s="0" t="n">
        <v>103048488</v>
      </c>
      <c r="O461" s="0" t="n">
        <v>6709</v>
      </c>
      <c r="P461" s="0" t="n">
        <v>109.12</v>
      </c>
      <c r="Q461" s="0" t="e">
        <f aca="false">VLOOKUP(C461,[1]'Cost Correction'!$C$6:$AJ$6767,34,0)</f>
        <v>#N/A</v>
      </c>
    </row>
    <row r="462" customFormat="false" ht="15" hidden="false" customHeight="false" outlineLevel="0" collapsed="false">
      <c r="A462" s="0" t="str">
        <f aca="false">E462&amp;K462&amp;Q462</f>
        <v>43328Facebook»LAL»1x1»TextLink»SOC»DT»DYN»LAL»W»NA»SS»NA»Free Account Refresh- 200 Credit ChD103186907</v>
      </c>
      <c r="B462" s="0" t="s">
        <v>5265</v>
      </c>
      <c r="C462" s="0" t="s">
        <v>5266</v>
      </c>
      <c r="D462" s="0" t="s">
        <v>2385</v>
      </c>
      <c r="E462" s="0" t="n">
        <v>43328</v>
      </c>
      <c r="F462" s="0" t="s">
        <v>2380</v>
      </c>
      <c r="G462" s="0" t="n">
        <v>21358568</v>
      </c>
      <c r="H462" s="0" t="n">
        <v>720191</v>
      </c>
      <c r="I462" s="0" t="s">
        <v>34</v>
      </c>
      <c r="J462" s="0" t="s">
        <v>174</v>
      </c>
      <c r="K462" s="0" t="s">
        <v>2064</v>
      </c>
      <c r="L462" s="0" t="n">
        <v>224160720</v>
      </c>
      <c r="M462" s="0" t="s">
        <v>2065</v>
      </c>
      <c r="N462" s="0" t="n">
        <v>103186907</v>
      </c>
      <c r="O462" s="0" t="n">
        <v>55</v>
      </c>
      <c r="P462" s="0" t="n">
        <v>0.81</v>
      </c>
      <c r="Q462" s="0" t="n">
        <f aca="false">VLOOKUP(C462,[1]'Cost Correction'!$C$6:$AJ$6767,34,0)</f>
        <v>103186907</v>
      </c>
    </row>
    <row r="463" customFormat="false" ht="15" hidden="false" customHeight="false" outlineLevel="0" collapsed="false">
      <c r="A463" s="0" t="e">
        <f aca="false">E463&amp;K463&amp;Q463</f>
        <v>#N/A</v>
      </c>
      <c r="B463" s="0" t="s">
        <v>5267</v>
      </c>
      <c r="C463" s="0" t="s">
        <v>5268</v>
      </c>
      <c r="D463" s="0" t="s">
        <v>2385</v>
      </c>
      <c r="E463" s="0" t="n">
        <v>43328</v>
      </c>
      <c r="F463" s="0" t="s">
        <v>2380</v>
      </c>
      <c r="G463" s="0" t="n">
        <v>21358568</v>
      </c>
      <c r="H463" s="0" t="n">
        <v>720191</v>
      </c>
      <c r="I463" s="0" t="s">
        <v>34</v>
      </c>
      <c r="J463" s="0" t="s">
        <v>174</v>
      </c>
      <c r="K463" s="0" t="s">
        <v>2412</v>
      </c>
      <c r="L463" s="0" t="n">
        <v>224160777</v>
      </c>
      <c r="M463" s="0" t="s">
        <v>1977</v>
      </c>
      <c r="N463" s="0" t="n">
        <v>103048479</v>
      </c>
      <c r="O463" s="0" t="n">
        <v>1841</v>
      </c>
      <c r="P463" s="0" t="n">
        <v>25.18</v>
      </c>
      <c r="Q463" s="0" t="e">
        <f aca="false">VLOOKUP(C463,[1]'Cost Correction'!$C$6:$AJ$6767,34,0)</f>
        <v>#N/A</v>
      </c>
    </row>
    <row r="464" customFormat="false" ht="15" hidden="false" customHeight="false" outlineLevel="0" collapsed="false">
      <c r="A464" s="0" t="e">
        <f aca="false">E464&amp;K464&amp;Q464</f>
        <v>#N/A</v>
      </c>
      <c r="B464" s="0" t="s">
        <v>5267</v>
      </c>
      <c r="C464" s="0" t="s">
        <v>5269</v>
      </c>
      <c r="D464" s="0" t="s">
        <v>2385</v>
      </c>
      <c r="E464" s="0" t="n">
        <v>43328</v>
      </c>
      <c r="F464" s="0" t="s">
        <v>2380</v>
      </c>
      <c r="G464" s="0" t="n">
        <v>21358568</v>
      </c>
      <c r="H464" s="0" t="n">
        <v>720191</v>
      </c>
      <c r="I464" s="0" t="s">
        <v>34</v>
      </c>
      <c r="J464" s="0" t="s">
        <v>174</v>
      </c>
      <c r="K464" s="0" t="s">
        <v>2381</v>
      </c>
      <c r="L464" s="0" t="n">
        <v>224160777</v>
      </c>
      <c r="M464" s="0" t="s">
        <v>1977</v>
      </c>
      <c r="N464" s="0" t="n">
        <v>103048479</v>
      </c>
      <c r="O464" s="0" t="n">
        <v>1674</v>
      </c>
      <c r="P464" s="0" t="n">
        <v>27.46</v>
      </c>
      <c r="Q464" s="0" t="e">
        <f aca="false">VLOOKUP(C464,[1]'Cost Correction'!$C$6:$AJ$6767,34,0)</f>
        <v>#N/A</v>
      </c>
    </row>
    <row r="465" customFormat="false" ht="15" hidden="false" customHeight="false" outlineLevel="0" collapsed="false">
      <c r="A465" s="0" t="str">
        <f aca="false">E465&amp;K465&amp;Q465</f>
        <v>43328Facebook»LAL»1x1»TextLink»SOC»DT»DYN»LAL»W»NA»SS»NA»Free Account Refresh- Lifestyle ChA103048491</v>
      </c>
      <c r="B465" s="0" t="s">
        <v>5270</v>
      </c>
      <c r="C465" s="0" t="s">
        <v>5271</v>
      </c>
      <c r="D465" s="0" t="s">
        <v>2385</v>
      </c>
      <c r="E465" s="0" t="n">
        <v>43328</v>
      </c>
      <c r="F465" s="0" t="s">
        <v>2380</v>
      </c>
      <c r="G465" s="0" t="n">
        <v>21358568</v>
      </c>
      <c r="H465" s="0" t="n">
        <v>720191</v>
      </c>
      <c r="I465" s="0" t="s">
        <v>34</v>
      </c>
      <c r="J465" s="0" t="s">
        <v>174</v>
      </c>
      <c r="K465" s="0" t="s">
        <v>2070</v>
      </c>
      <c r="L465" s="0" t="n">
        <v>224160711</v>
      </c>
      <c r="M465" s="0" t="s">
        <v>2071</v>
      </c>
      <c r="N465" s="0" t="n">
        <v>103048491</v>
      </c>
      <c r="O465" s="0" t="n">
        <v>64</v>
      </c>
      <c r="P465" s="0" t="n">
        <v>1.65</v>
      </c>
      <c r="Q465" s="0" t="n">
        <f aca="false">VLOOKUP(C465,[1]'Cost Correction'!$C$6:$AJ$6767,34,0)</f>
        <v>103048491</v>
      </c>
    </row>
    <row r="466" customFormat="false" ht="15" hidden="false" customHeight="false" outlineLevel="0" collapsed="false">
      <c r="A466" s="0" t="str">
        <f aca="false">E466&amp;K466&amp;Q466</f>
        <v>43327Facebook»LAL»1x1»TextLink»SOC»DT»DYN»LAL»W»NA»SS»NA»Free Account Refresh- Device ChB103048485</v>
      </c>
      <c r="B466" s="0" t="s">
        <v>5272</v>
      </c>
      <c r="C466" s="0" t="s">
        <v>5273</v>
      </c>
      <c r="D466" s="0" t="s">
        <v>2385</v>
      </c>
      <c r="E466" s="0" t="n">
        <v>43327</v>
      </c>
      <c r="F466" s="0" t="s">
        <v>2380</v>
      </c>
      <c r="G466" s="0" t="n">
        <v>21358568</v>
      </c>
      <c r="H466" s="0" t="n">
        <v>720191</v>
      </c>
      <c r="I466" s="0" t="s">
        <v>34</v>
      </c>
      <c r="J466" s="0" t="s">
        <v>174</v>
      </c>
      <c r="K466" s="0" t="s">
        <v>2066</v>
      </c>
      <c r="L466" s="0" t="n">
        <v>224160717</v>
      </c>
      <c r="M466" s="0" t="s">
        <v>2067</v>
      </c>
      <c r="N466" s="0" t="n">
        <v>103048485</v>
      </c>
      <c r="O466" s="0" t="n">
        <v>2684</v>
      </c>
      <c r="P466" s="0" t="n">
        <v>44.87</v>
      </c>
      <c r="Q466" s="0" t="n">
        <f aca="false">VLOOKUP(C466,[1]'Cost Correction'!$C$6:$AJ$6767,34,0)</f>
        <v>103048485</v>
      </c>
    </row>
    <row r="467" customFormat="false" ht="15" hidden="false" customHeight="false" outlineLevel="0" collapsed="false">
      <c r="A467" s="0" t="e">
        <f aca="false">E467&amp;K467&amp;Q467</f>
        <v>#N/A</v>
      </c>
      <c r="B467" s="0" t="s">
        <v>5274</v>
      </c>
      <c r="C467" s="0" t="s">
        <v>5275</v>
      </c>
      <c r="D467" s="0" t="s">
        <v>2385</v>
      </c>
      <c r="E467" s="0" t="n">
        <v>43327</v>
      </c>
      <c r="F467" s="0" t="s">
        <v>2380</v>
      </c>
      <c r="G467" s="0" t="n">
        <v>21358568</v>
      </c>
      <c r="H467" s="0" t="n">
        <v>720191</v>
      </c>
      <c r="I467" s="0" t="s">
        <v>34</v>
      </c>
      <c r="J467" s="0" t="s">
        <v>174</v>
      </c>
      <c r="K467" s="0" t="s">
        <v>2412</v>
      </c>
      <c r="L467" s="0" t="n">
        <v>224160777</v>
      </c>
      <c r="M467" s="0" t="s">
        <v>1977</v>
      </c>
      <c r="N467" s="0" t="n">
        <v>103048479</v>
      </c>
      <c r="O467" s="0" t="n">
        <v>1346</v>
      </c>
      <c r="P467" s="0" t="n">
        <v>22.2</v>
      </c>
      <c r="Q467" s="0" t="e">
        <f aca="false">VLOOKUP(C467,[1]'Cost Correction'!$C$6:$AJ$6767,34,0)</f>
        <v>#N/A</v>
      </c>
    </row>
    <row r="468" customFormat="false" ht="15" hidden="false" customHeight="false" outlineLevel="0" collapsed="false">
      <c r="A468" s="0" t="e">
        <f aca="false">E468&amp;K468&amp;Q468</f>
        <v>#N/A</v>
      </c>
      <c r="B468" s="0" t="s">
        <v>5274</v>
      </c>
      <c r="C468" s="0" t="s">
        <v>5276</v>
      </c>
      <c r="D468" s="0" t="s">
        <v>2385</v>
      </c>
      <c r="E468" s="0" t="n">
        <v>43327</v>
      </c>
      <c r="F468" s="0" t="s">
        <v>2380</v>
      </c>
      <c r="G468" s="0" t="n">
        <v>21358568</v>
      </c>
      <c r="H468" s="0" t="n">
        <v>720191</v>
      </c>
      <c r="I468" s="0" t="s">
        <v>34</v>
      </c>
      <c r="J468" s="0" t="s">
        <v>174</v>
      </c>
      <c r="K468" s="0" t="s">
        <v>2381</v>
      </c>
      <c r="L468" s="0" t="n">
        <v>224160777</v>
      </c>
      <c r="M468" s="0" t="s">
        <v>1977</v>
      </c>
      <c r="N468" s="0" t="n">
        <v>103048479</v>
      </c>
      <c r="O468" s="0" t="n">
        <v>1484</v>
      </c>
      <c r="P468" s="0" t="n">
        <v>21.82</v>
      </c>
      <c r="Q468" s="0" t="e">
        <f aca="false">VLOOKUP(C468,[1]'Cost Correction'!$C$6:$AJ$6767,34,0)</f>
        <v>#N/A</v>
      </c>
    </row>
    <row r="469" customFormat="false" ht="15" hidden="false" customHeight="false" outlineLevel="0" collapsed="false">
      <c r="A469" s="0" t="e">
        <f aca="false">E469&amp;K469&amp;Q469</f>
        <v>#N/A</v>
      </c>
      <c r="B469" s="0" t="s">
        <v>5277</v>
      </c>
      <c r="C469" s="0" t="s">
        <v>5278</v>
      </c>
      <c r="D469" s="0" t="s">
        <v>2385</v>
      </c>
      <c r="E469" s="0" t="n">
        <v>43327</v>
      </c>
      <c r="F469" s="0" t="s">
        <v>2380</v>
      </c>
      <c r="G469" s="0" t="n">
        <v>21358568</v>
      </c>
      <c r="H469" s="0" t="n">
        <v>720191</v>
      </c>
      <c r="I469" s="0" t="s">
        <v>34</v>
      </c>
      <c r="J469" s="0" t="s">
        <v>174</v>
      </c>
      <c r="K469" s="0" t="s">
        <v>2395</v>
      </c>
      <c r="O469" s="0" t="n">
        <v>12611</v>
      </c>
      <c r="P469" s="0" t="n">
        <v>188.97</v>
      </c>
      <c r="Q469" s="0" t="e">
        <f aca="false">VLOOKUP(C469,[1]'Cost Correction'!$C$6:$AJ$6767,34,0)</f>
        <v>#N/A</v>
      </c>
    </row>
    <row r="470" customFormat="false" ht="15" hidden="false" customHeight="false" outlineLevel="0" collapsed="false">
      <c r="A470" s="0" t="e">
        <f aca="false">E470&amp;K470&amp;Q470</f>
        <v>#N/A</v>
      </c>
      <c r="B470" s="0" t="s">
        <v>5277</v>
      </c>
      <c r="C470" s="0" t="s">
        <v>5279</v>
      </c>
      <c r="D470" s="0" t="s">
        <v>2385</v>
      </c>
      <c r="E470" s="0" t="n">
        <v>43327</v>
      </c>
      <c r="F470" s="0" t="s">
        <v>2380</v>
      </c>
      <c r="G470" s="0" t="n">
        <v>21358568</v>
      </c>
      <c r="H470" s="0" t="n">
        <v>720191</v>
      </c>
      <c r="I470" s="0" t="s">
        <v>34</v>
      </c>
      <c r="J470" s="0" t="s">
        <v>174</v>
      </c>
      <c r="K470" s="0" t="s">
        <v>2397</v>
      </c>
      <c r="O470" s="0" t="n">
        <v>6741</v>
      </c>
      <c r="P470" s="0" t="n">
        <v>84.15</v>
      </c>
      <c r="Q470" s="0" t="e">
        <f aca="false">VLOOKUP(C470,[1]'Cost Correction'!$C$6:$AJ$6767,34,0)</f>
        <v>#N/A</v>
      </c>
    </row>
    <row r="471" customFormat="false" ht="15" hidden="false" customHeight="false" outlineLevel="0" collapsed="false">
      <c r="A471" s="0" t="e">
        <f aca="false">E471&amp;K471&amp;Q471</f>
        <v>#N/A</v>
      </c>
      <c r="B471" s="0" t="s">
        <v>5277</v>
      </c>
      <c r="C471" s="0" t="s">
        <v>5280</v>
      </c>
      <c r="D471" s="0" t="s">
        <v>2385</v>
      </c>
      <c r="E471" s="0" t="n">
        <v>43327</v>
      </c>
      <c r="F471" s="0" t="s">
        <v>2380</v>
      </c>
      <c r="G471" s="0" t="n">
        <v>21358568</v>
      </c>
      <c r="H471" s="0" t="n">
        <v>720191</v>
      </c>
      <c r="I471" s="0" t="s">
        <v>34</v>
      </c>
      <c r="J471" s="0" t="s">
        <v>174</v>
      </c>
      <c r="K471" s="0" t="s">
        <v>2393</v>
      </c>
      <c r="O471" s="0" t="n">
        <v>2487</v>
      </c>
      <c r="P471" s="0" t="n">
        <v>32.43</v>
      </c>
      <c r="Q471" s="0" t="e">
        <f aca="false">VLOOKUP(C471,[1]'Cost Correction'!$C$6:$AJ$6767,34,0)</f>
        <v>#N/A</v>
      </c>
    </row>
    <row r="472" customFormat="false" ht="15" hidden="false" customHeight="false" outlineLevel="0" collapsed="false">
      <c r="A472" s="0" t="e">
        <f aca="false">E472&amp;K472&amp;Q472</f>
        <v>#N/A</v>
      </c>
      <c r="B472" s="0" t="s">
        <v>5281</v>
      </c>
      <c r="C472" s="0" t="s">
        <v>5282</v>
      </c>
      <c r="D472" s="0" t="s">
        <v>2385</v>
      </c>
      <c r="E472" s="0" t="n">
        <v>43327</v>
      </c>
      <c r="F472" s="0" t="s">
        <v>2380</v>
      </c>
      <c r="G472" s="0" t="n">
        <v>21358568</v>
      </c>
      <c r="H472" s="0" t="n">
        <v>720191</v>
      </c>
      <c r="I472" s="0" t="s">
        <v>34</v>
      </c>
      <c r="J472" s="0" t="s">
        <v>174</v>
      </c>
      <c r="K472" s="0" t="s">
        <v>2416</v>
      </c>
      <c r="L472" s="0" t="n">
        <v>224160774</v>
      </c>
      <c r="M472" s="0" t="s">
        <v>1979</v>
      </c>
      <c r="N472" s="0" t="n">
        <v>103186910</v>
      </c>
      <c r="O472" s="0" t="n">
        <v>2738</v>
      </c>
      <c r="P472" s="0" t="n">
        <v>44.74</v>
      </c>
      <c r="Q472" s="0" t="e">
        <f aca="false">VLOOKUP(C472,[1]'Cost Correction'!$C$6:$AJ$6767,34,0)</f>
        <v>#N/A</v>
      </c>
    </row>
    <row r="473" customFormat="false" ht="15" hidden="false" customHeight="false" outlineLevel="0" collapsed="false">
      <c r="A473" s="0" t="e">
        <f aca="false">E473&amp;K473&amp;Q473</f>
        <v>#N/A</v>
      </c>
      <c r="B473" s="0" t="s">
        <v>5281</v>
      </c>
      <c r="C473" s="0" t="s">
        <v>5283</v>
      </c>
      <c r="D473" s="0" t="s">
        <v>2385</v>
      </c>
      <c r="E473" s="0" t="n">
        <v>43327</v>
      </c>
      <c r="F473" s="0" t="s">
        <v>2380</v>
      </c>
      <c r="G473" s="0" t="n">
        <v>21358568</v>
      </c>
      <c r="H473" s="0" t="n">
        <v>720191</v>
      </c>
      <c r="I473" s="0" t="s">
        <v>34</v>
      </c>
      <c r="J473" s="0" t="s">
        <v>174</v>
      </c>
      <c r="K473" s="0" t="s">
        <v>2405</v>
      </c>
      <c r="L473" s="0" t="n">
        <v>224160774</v>
      </c>
      <c r="M473" s="0" t="s">
        <v>1979</v>
      </c>
      <c r="N473" s="0" t="n">
        <v>103186910</v>
      </c>
      <c r="O473" s="0" t="n">
        <v>1520</v>
      </c>
      <c r="P473" s="0" t="n">
        <v>28.94</v>
      </c>
      <c r="Q473" s="0" t="e">
        <f aca="false">VLOOKUP(C473,[1]'Cost Correction'!$C$6:$AJ$6767,34,0)</f>
        <v>#N/A</v>
      </c>
    </row>
    <row r="474" customFormat="false" ht="15" hidden="false" customHeight="false" outlineLevel="0" collapsed="false">
      <c r="A474" s="0" t="e">
        <f aca="false">E474&amp;K474&amp;Q474</f>
        <v>#N/A</v>
      </c>
      <c r="B474" s="0" t="s">
        <v>5284</v>
      </c>
      <c r="C474" s="0" t="s">
        <v>5285</v>
      </c>
      <c r="D474" s="0" t="s">
        <v>2385</v>
      </c>
      <c r="E474" s="0" t="n">
        <v>43327</v>
      </c>
      <c r="F474" s="0" t="s">
        <v>2380</v>
      </c>
      <c r="G474" s="0" t="n">
        <v>21358568</v>
      </c>
      <c r="H474" s="0" t="n">
        <v>720191</v>
      </c>
      <c r="I474" s="0" t="s">
        <v>34</v>
      </c>
      <c r="J474" s="0" t="s">
        <v>174</v>
      </c>
      <c r="K474" s="0" t="s">
        <v>2064</v>
      </c>
      <c r="L474" s="0" t="n">
        <v>224160720</v>
      </c>
      <c r="M474" s="0" t="s">
        <v>2065</v>
      </c>
      <c r="N474" s="0" t="n">
        <v>103186907</v>
      </c>
      <c r="O474" s="0" t="n">
        <v>93</v>
      </c>
      <c r="P474" s="0" t="n">
        <v>1</v>
      </c>
      <c r="Q474" s="0" t="e">
        <f aca="false">VLOOKUP(C474,[1]'Cost Correction'!$C$6:$AJ$6767,34,0)</f>
        <v>#N/A</v>
      </c>
    </row>
    <row r="475" customFormat="false" ht="15" hidden="false" customHeight="false" outlineLevel="0" collapsed="false">
      <c r="A475" s="0" t="e">
        <f aca="false">E475&amp;K475&amp;Q475</f>
        <v>#N/A</v>
      </c>
      <c r="B475" s="0" t="s">
        <v>5286</v>
      </c>
      <c r="C475" s="0" t="s">
        <v>5287</v>
      </c>
      <c r="D475" s="0" t="s">
        <v>2385</v>
      </c>
      <c r="E475" s="0" t="n">
        <v>43327</v>
      </c>
      <c r="F475" s="0" t="s">
        <v>2380</v>
      </c>
      <c r="G475" s="0" t="n">
        <v>21358568</v>
      </c>
      <c r="H475" s="0" t="n">
        <v>720191</v>
      </c>
      <c r="I475" s="0" t="s">
        <v>34</v>
      </c>
      <c r="J475" s="0" t="s">
        <v>174</v>
      </c>
      <c r="K475" s="0" t="s">
        <v>2068</v>
      </c>
      <c r="L475" s="0" t="n">
        <v>224160714</v>
      </c>
      <c r="M475" s="0" t="s">
        <v>2069</v>
      </c>
      <c r="N475" s="0" t="n">
        <v>103186916</v>
      </c>
      <c r="O475" s="0" t="n">
        <v>149</v>
      </c>
      <c r="P475" s="0" t="n">
        <v>2.39</v>
      </c>
      <c r="Q475" s="0" t="e">
        <f aca="false">VLOOKUP(C475,[1]'Cost Correction'!$C$6:$AJ$6767,34,0)</f>
        <v>#N/A</v>
      </c>
    </row>
    <row r="476" customFormat="false" ht="15" hidden="false" customHeight="false" outlineLevel="0" collapsed="false">
      <c r="A476" s="0" t="e">
        <f aca="false">E476&amp;K476&amp;Q476</f>
        <v>#N/A</v>
      </c>
      <c r="B476" s="0" t="s">
        <v>5288</v>
      </c>
      <c r="C476" s="0" t="s">
        <v>5289</v>
      </c>
      <c r="D476" s="0" t="s">
        <v>2385</v>
      </c>
      <c r="E476" s="0" t="n">
        <v>43327</v>
      </c>
      <c r="F476" s="0" t="s">
        <v>2380</v>
      </c>
      <c r="G476" s="0" t="n">
        <v>21358568</v>
      </c>
      <c r="H476" s="0" t="n">
        <v>720191</v>
      </c>
      <c r="I476" s="0" t="s">
        <v>34</v>
      </c>
      <c r="J476" s="0" t="s">
        <v>174</v>
      </c>
      <c r="K476" s="0" t="s">
        <v>2401</v>
      </c>
      <c r="L476" s="0" t="n">
        <v>224160783</v>
      </c>
      <c r="M476" s="0" t="s">
        <v>1973</v>
      </c>
      <c r="N476" s="0" t="n">
        <v>103051614</v>
      </c>
      <c r="O476" s="0" t="n">
        <v>1051</v>
      </c>
      <c r="P476" s="0" t="n">
        <v>18.11</v>
      </c>
      <c r="Q476" s="0" t="e">
        <f aca="false">VLOOKUP(C476,[1]'Cost Correction'!$C$6:$AJ$6767,34,0)</f>
        <v>#N/A</v>
      </c>
    </row>
    <row r="477" customFormat="false" ht="15" hidden="false" customHeight="false" outlineLevel="0" collapsed="false">
      <c r="A477" s="0" t="e">
        <f aca="false">E477&amp;K477&amp;Q477</f>
        <v>#N/A</v>
      </c>
      <c r="B477" s="0" t="s">
        <v>5290</v>
      </c>
      <c r="C477" s="0" t="s">
        <v>5291</v>
      </c>
      <c r="D477" s="0" t="s">
        <v>2385</v>
      </c>
      <c r="E477" s="0" t="n">
        <v>43327</v>
      </c>
      <c r="F477" s="0" t="s">
        <v>2380</v>
      </c>
      <c r="G477" s="0" t="n">
        <v>21358568</v>
      </c>
      <c r="H477" s="0" t="n">
        <v>720191</v>
      </c>
      <c r="I477" s="0" t="s">
        <v>34</v>
      </c>
      <c r="J477" s="0" t="s">
        <v>174</v>
      </c>
      <c r="K477" s="0" t="s">
        <v>2070</v>
      </c>
      <c r="L477" s="0" t="n">
        <v>224160711</v>
      </c>
      <c r="M477" s="0" t="s">
        <v>2071</v>
      </c>
      <c r="N477" s="0" t="n">
        <v>103048491</v>
      </c>
      <c r="O477" s="0" t="n">
        <v>87</v>
      </c>
      <c r="P477" s="0" t="n">
        <v>0.97</v>
      </c>
      <c r="Q477" s="0" t="e">
        <f aca="false">VLOOKUP(C477,[1]'Cost Correction'!$C$6:$AJ$6767,34,0)</f>
        <v>#N/A</v>
      </c>
    </row>
    <row r="478" customFormat="false" ht="15" hidden="false" customHeight="false" outlineLevel="0" collapsed="false">
      <c r="A478" s="0" t="e">
        <f aca="false">E478&amp;K478&amp;Q478</f>
        <v>#N/A</v>
      </c>
      <c r="B478" s="0" t="s">
        <v>5292</v>
      </c>
      <c r="C478" s="0" t="s">
        <v>5293</v>
      </c>
      <c r="D478" s="0" t="s">
        <v>2385</v>
      </c>
      <c r="E478" s="0" t="n">
        <v>43327</v>
      </c>
      <c r="F478" s="0" t="s">
        <v>2380</v>
      </c>
      <c r="G478" s="0" t="n">
        <v>21358568</v>
      </c>
      <c r="H478" s="0" t="n">
        <v>720191</v>
      </c>
      <c r="I478" s="0" t="s">
        <v>34</v>
      </c>
      <c r="J478" s="0" t="s">
        <v>174</v>
      </c>
      <c r="K478" s="0" t="s">
        <v>2429</v>
      </c>
      <c r="L478" s="0" t="n">
        <v>224160780</v>
      </c>
      <c r="M478" s="0" t="s">
        <v>1975</v>
      </c>
      <c r="N478" s="0" t="n">
        <v>103186904</v>
      </c>
      <c r="O478" s="0" t="n">
        <v>5460</v>
      </c>
      <c r="P478" s="0" t="n">
        <v>72.42</v>
      </c>
      <c r="Q478" s="0" t="e">
        <f aca="false">VLOOKUP(C478,[1]'Cost Correction'!$C$6:$AJ$6767,34,0)</f>
        <v>#N/A</v>
      </c>
    </row>
    <row r="479" customFormat="false" ht="15" hidden="false" customHeight="false" outlineLevel="0" collapsed="false">
      <c r="A479" s="0" t="e">
        <f aca="false">E479&amp;K479&amp;Q479</f>
        <v>#N/A</v>
      </c>
      <c r="B479" s="0" t="s">
        <v>5292</v>
      </c>
      <c r="C479" s="0" t="s">
        <v>5294</v>
      </c>
      <c r="D479" s="0" t="s">
        <v>2385</v>
      </c>
      <c r="E479" s="0" t="n">
        <v>43327</v>
      </c>
      <c r="F479" s="0" t="s">
        <v>2380</v>
      </c>
      <c r="G479" s="0" t="n">
        <v>21358568</v>
      </c>
      <c r="H479" s="0" t="n">
        <v>720191</v>
      </c>
      <c r="I479" s="0" t="s">
        <v>34</v>
      </c>
      <c r="J479" s="0" t="s">
        <v>174</v>
      </c>
      <c r="K479" s="0" t="s">
        <v>2433</v>
      </c>
      <c r="L479" s="0" t="n">
        <v>224160780</v>
      </c>
      <c r="M479" s="0" t="s">
        <v>1975</v>
      </c>
      <c r="N479" s="0" t="n">
        <v>103186904</v>
      </c>
      <c r="O479" s="0" t="n">
        <v>344</v>
      </c>
      <c r="P479" s="0" t="n">
        <v>3.75</v>
      </c>
      <c r="Q479" s="0" t="e">
        <f aca="false">VLOOKUP(C479,[1]'Cost Correction'!$C$6:$AJ$6767,34,0)</f>
        <v>#N/A</v>
      </c>
    </row>
    <row r="480" customFormat="false" ht="15" hidden="false" customHeight="false" outlineLevel="0" collapsed="false">
      <c r="A480" s="0" t="e">
        <f aca="false">E480&amp;K480&amp;Q480</f>
        <v>#N/A</v>
      </c>
      <c r="B480" s="0" t="s">
        <v>5295</v>
      </c>
      <c r="C480" s="0" t="s">
        <v>5296</v>
      </c>
      <c r="D480" s="0" t="s">
        <v>2385</v>
      </c>
      <c r="E480" s="0" t="n">
        <v>43327</v>
      </c>
      <c r="F480" s="0" t="s">
        <v>2380</v>
      </c>
      <c r="G480" s="0" t="n">
        <v>21358568</v>
      </c>
      <c r="H480" s="0" t="n">
        <v>720191</v>
      </c>
      <c r="I480" s="0" t="s">
        <v>34</v>
      </c>
      <c r="J480" s="0" t="s">
        <v>174</v>
      </c>
      <c r="K480" s="0" t="s">
        <v>2420</v>
      </c>
      <c r="L480" s="0" t="n">
        <v>224160771</v>
      </c>
      <c r="M480" s="0" t="s">
        <v>1981</v>
      </c>
      <c r="N480" s="0" t="n">
        <v>103048488</v>
      </c>
      <c r="O480" s="0" t="n">
        <v>1867</v>
      </c>
      <c r="P480" s="0" t="n">
        <v>33.39</v>
      </c>
      <c r="Q480" s="0" t="e">
        <f aca="false">VLOOKUP(C480,[1]'Cost Correction'!$C$6:$AJ$6767,34,0)</f>
        <v>#N/A</v>
      </c>
    </row>
    <row r="481" customFormat="false" ht="15" hidden="false" customHeight="false" outlineLevel="0" collapsed="false">
      <c r="A481" s="0" t="e">
        <f aca="false">E481&amp;K481&amp;Q481</f>
        <v>#N/A</v>
      </c>
      <c r="B481" s="0" t="s">
        <v>5295</v>
      </c>
      <c r="C481" s="0" t="s">
        <v>5297</v>
      </c>
      <c r="D481" s="0" t="s">
        <v>2385</v>
      </c>
      <c r="E481" s="0" t="n">
        <v>43327</v>
      </c>
      <c r="F481" s="0" t="s">
        <v>2380</v>
      </c>
      <c r="G481" s="0" t="n">
        <v>21358568</v>
      </c>
      <c r="H481" s="0" t="n">
        <v>720191</v>
      </c>
      <c r="I481" s="0" t="s">
        <v>34</v>
      </c>
      <c r="J481" s="0" t="s">
        <v>174</v>
      </c>
      <c r="K481" s="0" t="s">
        <v>2389</v>
      </c>
      <c r="L481" s="0" t="n">
        <v>224160771</v>
      </c>
      <c r="M481" s="0" t="s">
        <v>1981</v>
      </c>
      <c r="N481" s="0" t="n">
        <v>103048488</v>
      </c>
      <c r="O481" s="0" t="n">
        <v>5004</v>
      </c>
      <c r="P481" s="0" t="n">
        <v>87.95</v>
      </c>
      <c r="Q481" s="0" t="e">
        <f aca="false">VLOOKUP(C481,[1]'Cost Correction'!$C$6:$AJ$6767,34,0)</f>
        <v>#N/A</v>
      </c>
    </row>
    <row r="482" customFormat="false" ht="15" hidden="false" customHeight="false" outlineLevel="0" collapsed="false">
      <c r="A482" s="0" t="e">
        <f aca="false">E482&amp;K482&amp;Q482</f>
        <v>#N/A</v>
      </c>
      <c r="B482" s="0" t="s">
        <v>5298</v>
      </c>
      <c r="C482" s="0" t="s">
        <v>5299</v>
      </c>
      <c r="D482" s="0" t="s">
        <v>2385</v>
      </c>
      <c r="E482" s="0" t="n">
        <v>43326</v>
      </c>
      <c r="F482" s="0" t="s">
        <v>2380</v>
      </c>
      <c r="G482" s="0" t="n">
        <v>21358568</v>
      </c>
      <c r="H482" s="0" t="n">
        <v>720191</v>
      </c>
      <c r="I482" s="0" t="s">
        <v>34</v>
      </c>
      <c r="J482" s="0" t="s">
        <v>174</v>
      </c>
      <c r="K482" s="0" t="s">
        <v>2401</v>
      </c>
      <c r="L482" s="0" t="n">
        <v>224160783</v>
      </c>
      <c r="M482" s="0" t="s">
        <v>1973</v>
      </c>
      <c r="N482" s="0" t="n">
        <v>103051614</v>
      </c>
      <c r="O482" s="0" t="n">
        <v>1304</v>
      </c>
      <c r="P482" s="0" t="n">
        <v>22.88</v>
      </c>
      <c r="Q482" s="0" t="e">
        <f aca="false">VLOOKUP(C482,[1]'Cost Correction'!$C$6:$AJ$6767,34,0)</f>
        <v>#N/A</v>
      </c>
    </row>
    <row r="483" customFormat="false" ht="15" hidden="false" customHeight="false" outlineLevel="0" collapsed="false">
      <c r="A483" s="0" t="e">
        <f aca="false">E483&amp;K483&amp;Q483</f>
        <v>#N/A</v>
      </c>
      <c r="B483" s="0" t="s">
        <v>5300</v>
      </c>
      <c r="C483" s="0" t="s">
        <v>5301</v>
      </c>
      <c r="D483" s="0" t="s">
        <v>2385</v>
      </c>
      <c r="E483" s="0" t="n">
        <v>43326</v>
      </c>
      <c r="F483" s="0" t="s">
        <v>2380</v>
      </c>
      <c r="G483" s="0" t="n">
        <v>21358568</v>
      </c>
      <c r="H483" s="0" t="n">
        <v>720191</v>
      </c>
      <c r="I483" s="0" t="s">
        <v>34</v>
      </c>
      <c r="J483" s="0" t="s">
        <v>174</v>
      </c>
      <c r="K483" s="0" t="s">
        <v>2420</v>
      </c>
      <c r="L483" s="0" t="n">
        <v>224160771</v>
      </c>
      <c r="M483" s="0" t="s">
        <v>1981</v>
      </c>
      <c r="N483" s="0" t="n">
        <v>103048488</v>
      </c>
      <c r="O483" s="0" t="n">
        <v>2352</v>
      </c>
      <c r="P483" s="0" t="n">
        <v>34.36</v>
      </c>
      <c r="Q483" s="0" t="e">
        <f aca="false">VLOOKUP(C483,[1]'Cost Correction'!$C$6:$AJ$6767,34,0)</f>
        <v>#N/A</v>
      </c>
    </row>
    <row r="484" customFormat="false" ht="15" hidden="false" customHeight="false" outlineLevel="0" collapsed="false">
      <c r="A484" s="0" t="e">
        <f aca="false">E484&amp;K484&amp;Q484</f>
        <v>#N/A</v>
      </c>
      <c r="B484" s="0" t="s">
        <v>5300</v>
      </c>
      <c r="C484" s="0" t="s">
        <v>5302</v>
      </c>
      <c r="D484" s="0" t="s">
        <v>2385</v>
      </c>
      <c r="E484" s="0" t="n">
        <v>43326</v>
      </c>
      <c r="F484" s="0" t="s">
        <v>2380</v>
      </c>
      <c r="G484" s="0" t="n">
        <v>21358568</v>
      </c>
      <c r="H484" s="0" t="n">
        <v>720191</v>
      </c>
      <c r="I484" s="0" t="s">
        <v>34</v>
      </c>
      <c r="J484" s="0" t="s">
        <v>174</v>
      </c>
      <c r="K484" s="0" t="s">
        <v>2389</v>
      </c>
      <c r="L484" s="0" t="n">
        <v>224160771</v>
      </c>
      <c r="M484" s="0" t="s">
        <v>1981</v>
      </c>
      <c r="N484" s="0" t="n">
        <v>103048488</v>
      </c>
      <c r="O484" s="0" t="n">
        <v>7136</v>
      </c>
      <c r="P484" s="0" t="n">
        <v>100.77</v>
      </c>
      <c r="Q484" s="0" t="e">
        <f aca="false">VLOOKUP(C484,[1]'Cost Correction'!$C$6:$AJ$6767,34,0)</f>
        <v>#N/A</v>
      </c>
    </row>
    <row r="485" customFormat="false" ht="15" hidden="false" customHeight="false" outlineLevel="0" collapsed="false">
      <c r="A485" s="0" t="e">
        <f aca="false">E485&amp;K485&amp;Q485</f>
        <v>#N/A</v>
      </c>
      <c r="B485" s="0" t="s">
        <v>5303</v>
      </c>
      <c r="C485" s="0" t="s">
        <v>5304</v>
      </c>
      <c r="D485" s="0" t="s">
        <v>2385</v>
      </c>
      <c r="E485" s="0" t="n">
        <v>43326</v>
      </c>
      <c r="F485" s="0" t="s">
        <v>2380</v>
      </c>
      <c r="G485" s="0" t="n">
        <v>21358568</v>
      </c>
      <c r="H485" s="0" t="n">
        <v>720191</v>
      </c>
      <c r="I485" s="0" t="s">
        <v>34</v>
      </c>
      <c r="J485" s="0" t="s">
        <v>174</v>
      </c>
      <c r="K485" s="0" t="s">
        <v>2433</v>
      </c>
      <c r="L485" s="0" t="n">
        <v>224160780</v>
      </c>
      <c r="M485" s="0" t="s">
        <v>1975</v>
      </c>
      <c r="N485" s="0" t="n">
        <v>103186904</v>
      </c>
      <c r="O485" s="0" t="n">
        <v>789</v>
      </c>
      <c r="P485" s="0" t="n">
        <v>9.2</v>
      </c>
      <c r="Q485" s="0" t="e">
        <f aca="false">VLOOKUP(C485,[1]'Cost Correction'!$C$6:$AJ$6767,34,0)</f>
        <v>#N/A</v>
      </c>
    </row>
    <row r="486" customFormat="false" ht="15" hidden="false" customHeight="false" outlineLevel="0" collapsed="false">
      <c r="A486" s="0" t="e">
        <f aca="false">E486&amp;K486&amp;Q486</f>
        <v>#N/A</v>
      </c>
      <c r="B486" s="0" t="s">
        <v>5303</v>
      </c>
      <c r="C486" s="0" t="s">
        <v>5305</v>
      </c>
      <c r="D486" s="0" t="s">
        <v>2385</v>
      </c>
      <c r="E486" s="0" t="n">
        <v>43326</v>
      </c>
      <c r="F486" s="0" t="s">
        <v>2380</v>
      </c>
      <c r="G486" s="0" t="n">
        <v>21358568</v>
      </c>
      <c r="H486" s="0" t="n">
        <v>720191</v>
      </c>
      <c r="I486" s="0" t="s">
        <v>34</v>
      </c>
      <c r="J486" s="0" t="s">
        <v>174</v>
      </c>
      <c r="K486" s="0" t="s">
        <v>2429</v>
      </c>
      <c r="L486" s="0" t="n">
        <v>224160780</v>
      </c>
      <c r="M486" s="0" t="s">
        <v>1975</v>
      </c>
      <c r="N486" s="0" t="n">
        <v>103186904</v>
      </c>
      <c r="O486" s="0" t="n">
        <v>4290</v>
      </c>
      <c r="P486" s="0" t="n">
        <v>59.13</v>
      </c>
      <c r="Q486" s="0" t="e">
        <f aca="false">VLOOKUP(C486,[1]'Cost Correction'!$C$6:$AJ$6767,34,0)</f>
        <v>#N/A</v>
      </c>
    </row>
    <row r="487" customFormat="false" ht="15" hidden="false" customHeight="false" outlineLevel="0" collapsed="false">
      <c r="A487" s="0" t="e">
        <f aca="false">E487&amp;K487&amp;Q487</f>
        <v>#N/A</v>
      </c>
      <c r="B487" s="0" t="s">
        <v>5306</v>
      </c>
      <c r="C487" s="0" t="s">
        <v>5307</v>
      </c>
      <c r="D487" s="0" t="s">
        <v>2385</v>
      </c>
      <c r="E487" s="0" t="n">
        <v>43326</v>
      </c>
      <c r="F487" s="0" t="s">
        <v>2380</v>
      </c>
      <c r="G487" s="0" t="n">
        <v>21358568</v>
      </c>
      <c r="H487" s="0" t="n">
        <v>720191</v>
      </c>
      <c r="I487" s="0" t="s">
        <v>34</v>
      </c>
      <c r="J487" s="0" t="s">
        <v>174</v>
      </c>
      <c r="K487" s="0" t="s">
        <v>2397</v>
      </c>
      <c r="O487" s="0" t="n">
        <v>13611</v>
      </c>
      <c r="P487" s="0" t="n">
        <v>172.3</v>
      </c>
      <c r="Q487" s="0" t="e">
        <f aca="false">VLOOKUP(C487,[1]'Cost Correction'!$C$6:$AJ$6767,34,0)</f>
        <v>#N/A</v>
      </c>
    </row>
    <row r="488" customFormat="false" ht="15" hidden="false" customHeight="false" outlineLevel="0" collapsed="false">
      <c r="A488" s="0" t="e">
        <f aca="false">E488&amp;K488&amp;Q488</f>
        <v>#N/A</v>
      </c>
      <c r="B488" s="0" t="s">
        <v>5306</v>
      </c>
      <c r="C488" s="0" t="s">
        <v>5308</v>
      </c>
      <c r="D488" s="0" t="s">
        <v>2385</v>
      </c>
      <c r="E488" s="0" t="n">
        <v>43326</v>
      </c>
      <c r="F488" s="0" t="s">
        <v>2380</v>
      </c>
      <c r="G488" s="0" t="n">
        <v>21358568</v>
      </c>
      <c r="H488" s="0" t="n">
        <v>720191</v>
      </c>
      <c r="I488" s="0" t="s">
        <v>34</v>
      </c>
      <c r="J488" s="0" t="s">
        <v>174</v>
      </c>
      <c r="K488" s="0" t="s">
        <v>2395</v>
      </c>
      <c r="O488" s="0" t="n">
        <v>8349</v>
      </c>
      <c r="P488" s="0" t="n">
        <v>140.32</v>
      </c>
      <c r="Q488" s="0" t="e">
        <f aca="false">VLOOKUP(C488,[1]'Cost Correction'!$C$6:$AJ$6767,34,0)</f>
        <v>#N/A</v>
      </c>
    </row>
    <row r="489" customFormat="false" ht="15" hidden="false" customHeight="false" outlineLevel="0" collapsed="false">
      <c r="A489" s="0" t="e">
        <f aca="false">E489&amp;K489&amp;Q489</f>
        <v>#N/A</v>
      </c>
      <c r="B489" s="0" t="s">
        <v>5306</v>
      </c>
      <c r="C489" s="0" t="s">
        <v>5309</v>
      </c>
      <c r="D489" s="0" t="s">
        <v>2385</v>
      </c>
      <c r="E489" s="0" t="n">
        <v>43326</v>
      </c>
      <c r="F489" s="0" t="s">
        <v>2380</v>
      </c>
      <c r="G489" s="0" t="n">
        <v>21358568</v>
      </c>
      <c r="H489" s="0" t="n">
        <v>720191</v>
      </c>
      <c r="I489" s="0" t="s">
        <v>34</v>
      </c>
      <c r="J489" s="0" t="s">
        <v>174</v>
      </c>
      <c r="K489" s="0" t="s">
        <v>2393</v>
      </c>
      <c r="O489" s="0" t="n">
        <v>2519</v>
      </c>
      <c r="P489" s="0" t="n">
        <v>40.75</v>
      </c>
      <c r="Q489" s="0" t="e">
        <f aca="false">VLOOKUP(C489,[1]'Cost Correction'!$C$6:$AJ$6767,34,0)</f>
        <v>#N/A</v>
      </c>
    </row>
    <row r="490" customFormat="false" ht="15" hidden="false" customHeight="false" outlineLevel="0" collapsed="false">
      <c r="A490" s="0" t="e">
        <f aca="false">E490&amp;K490&amp;Q490</f>
        <v>#N/A</v>
      </c>
      <c r="B490" s="0" t="s">
        <v>5310</v>
      </c>
      <c r="C490" s="0" t="s">
        <v>5311</v>
      </c>
      <c r="D490" s="0" t="s">
        <v>2385</v>
      </c>
      <c r="E490" s="0" t="n">
        <v>43326</v>
      </c>
      <c r="F490" s="0" t="s">
        <v>2380</v>
      </c>
      <c r="G490" s="0" t="n">
        <v>21358568</v>
      </c>
      <c r="H490" s="0" t="n">
        <v>720191</v>
      </c>
      <c r="I490" s="0" t="s">
        <v>34</v>
      </c>
      <c r="J490" s="0" t="s">
        <v>174</v>
      </c>
      <c r="K490" s="0" t="s">
        <v>2416</v>
      </c>
      <c r="L490" s="0" t="n">
        <v>224160774</v>
      </c>
      <c r="M490" s="0" t="s">
        <v>1979</v>
      </c>
      <c r="N490" s="0" t="n">
        <v>103186910</v>
      </c>
      <c r="O490" s="0" t="n">
        <v>2358</v>
      </c>
      <c r="P490" s="0" t="n">
        <v>33.51</v>
      </c>
      <c r="Q490" s="0" t="e">
        <f aca="false">VLOOKUP(C490,[1]'Cost Correction'!$C$6:$AJ$6767,34,0)</f>
        <v>#N/A</v>
      </c>
    </row>
    <row r="491" customFormat="false" ht="15" hidden="false" customHeight="false" outlineLevel="0" collapsed="false">
      <c r="A491" s="0" t="e">
        <f aca="false">E491&amp;K491&amp;Q491</f>
        <v>#N/A</v>
      </c>
      <c r="B491" s="0" t="s">
        <v>5310</v>
      </c>
      <c r="C491" s="0" t="s">
        <v>5312</v>
      </c>
      <c r="D491" s="0" t="s">
        <v>2385</v>
      </c>
      <c r="E491" s="0" t="n">
        <v>43326</v>
      </c>
      <c r="F491" s="0" t="s">
        <v>2380</v>
      </c>
      <c r="G491" s="0" t="n">
        <v>21358568</v>
      </c>
      <c r="H491" s="0" t="n">
        <v>720191</v>
      </c>
      <c r="I491" s="0" t="s">
        <v>34</v>
      </c>
      <c r="J491" s="0" t="s">
        <v>174</v>
      </c>
      <c r="K491" s="0" t="s">
        <v>2405</v>
      </c>
      <c r="L491" s="0" t="n">
        <v>224160774</v>
      </c>
      <c r="M491" s="0" t="s">
        <v>1979</v>
      </c>
      <c r="N491" s="0" t="n">
        <v>103186910</v>
      </c>
      <c r="O491" s="0" t="n">
        <v>2322</v>
      </c>
      <c r="P491" s="0" t="n">
        <v>44.41</v>
      </c>
      <c r="Q491" s="0" t="e">
        <f aca="false">VLOOKUP(C491,[1]'Cost Correction'!$C$6:$AJ$6767,34,0)</f>
        <v>#N/A</v>
      </c>
    </row>
    <row r="492" customFormat="false" ht="15" hidden="false" customHeight="false" outlineLevel="0" collapsed="false">
      <c r="A492" s="0" t="e">
        <f aca="false">E492&amp;K492&amp;Q492</f>
        <v>#N/A</v>
      </c>
      <c r="B492" s="0" t="s">
        <v>5313</v>
      </c>
      <c r="C492" s="0" t="s">
        <v>5314</v>
      </c>
      <c r="D492" s="0" t="s">
        <v>2385</v>
      </c>
      <c r="E492" s="0" t="n">
        <v>43326</v>
      </c>
      <c r="F492" s="0" t="s">
        <v>2380</v>
      </c>
      <c r="G492" s="0" t="n">
        <v>21358568</v>
      </c>
      <c r="H492" s="0" t="n">
        <v>720191</v>
      </c>
      <c r="I492" s="0" t="s">
        <v>34</v>
      </c>
      <c r="J492" s="0" t="s">
        <v>174</v>
      </c>
      <c r="K492" s="0" t="s">
        <v>2381</v>
      </c>
      <c r="L492" s="0" t="n">
        <v>224160777</v>
      </c>
      <c r="M492" s="0" t="s">
        <v>1977</v>
      </c>
      <c r="N492" s="0" t="n">
        <v>103048479</v>
      </c>
      <c r="O492" s="0" t="n">
        <v>3650</v>
      </c>
      <c r="P492" s="0" t="n">
        <v>56.01</v>
      </c>
      <c r="Q492" s="0" t="e">
        <f aca="false">VLOOKUP(C492,[1]'Cost Correction'!$C$6:$AJ$6767,34,0)</f>
        <v>#N/A</v>
      </c>
    </row>
    <row r="493" customFormat="false" ht="15" hidden="false" customHeight="false" outlineLevel="0" collapsed="false">
      <c r="A493" s="0" t="e">
        <f aca="false">E493&amp;K493&amp;Q493</f>
        <v>#N/A</v>
      </c>
      <c r="B493" s="0" t="s">
        <v>5313</v>
      </c>
      <c r="C493" s="0" t="s">
        <v>5315</v>
      </c>
      <c r="D493" s="0" t="s">
        <v>2385</v>
      </c>
      <c r="E493" s="0" t="n">
        <v>43326</v>
      </c>
      <c r="F493" s="0" t="s">
        <v>2380</v>
      </c>
      <c r="G493" s="0" t="n">
        <v>21358568</v>
      </c>
      <c r="H493" s="0" t="n">
        <v>720191</v>
      </c>
      <c r="I493" s="0" t="s">
        <v>34</v>
      </c>
      <c r="J493" s="0" t="s">
        <v>174</v>
      </c>
      <c r="K493" s="0" t="s">
        <v>2412</v>
      </c>
      <c r="L493" s="0" t="n">
        <v>224160777</v>
      </c>
      <c r="M493" s="0" t="s">
        <v>1977</v>
      </c>
      <c r="N493" s="0" t="n">
        <v>103048479</v>
      </c>
      <c r="O493" s="0" t="n">
        <v>1760</v>
      </c>
      <c r="P493" s="0" t="n">
        <v>29.23</v>
      </c>
      <c r="Q493" s="0" t="e">
        <f aca="false">VLOOKUP(C493,[1]'Cost Correction'!$C$6:$AJ$6767,34,0)</f>
        <v>#N/A</v>
      </c>
    </row>
    <row r="494" customFormat="false" ht="15" hidden="false" customHeight="false" outlineLevel="0" collapsed="false">
      <c r="A494" s="0" t="str">
        <f aca="false">E494&amp;K494&amp;Q494</f>
        <v>43326Facebook»LAL»1x1»TextLink»SOC»DT»DYN»LAL»W»NA»SS»NA»Free Account Refresh- 200 Credit ChD103186907</v>
      </c>
      <c r="B494" s="0" t="s">
        <v>5316</v>
      </c>
      <c r="C494" s="0" t="s">
        <v>5317</v>
      </c>
      <c r="D494" s="0" t="s">
        <v>2385</v>
      </c>
      <c r="E494" s="0" t="n">
        <v>43326</v>
      </c>
      <c r="F494" s="0" t="s">
        <v>2380</v>
      </c>
      <c r="G494" s="0" t="n">
        <v>21358568</v>
      </c>
      <c r="H494" s="0" t="n">
        <v>720191</v>
      </c>
      <c r="I494" s="0" t="s">
        <v>34</v>
      </c>
      <c r="J494" s="0" t="s">
        <v>174</v>
      </c>
      <c r="K494" s="0" t="s">
        <v>2064</v>
      </c>
      <c r="L494" s="0" t="n">
        <v>224160720</v>
      </c>
      <c r="M494" s="0" t="s">
        <v>2065</v>
      </c>
      <c r="N494" s="0" t="n">
        <v>103186907</v>
      </c>
      <c r="O494" s="0" t="n">
        <v>555</v>
      </c>
      <c r="P494" s="0" t="n">
        <v>5.2</v>
      </c>
      <c r="Q494" s="0" t="n">
        <f aca="false">VLOOKUP(C494,[1]'Cost Correction'!$C$6:$AJ$6767,34,0)</f>
        <v>103186907</v>
      </c>
    </row>
    <row r="495" customFormat="false" ht="15" hidden="false" customHeight="false" outlineLevel="0" collapsed="false">
      <c r="A495" s="0" t="str">
        <f aca="false">E495&amp;K495&amp;Q495</f>
        <v>43326Facebook»LAL»1x1»TextLink»SOC»DT»DYN»LAL»W»NA»SS»NA»Free Account Refresh- Device ChB103048485</v>
      </c>
      <c r="B495" s="0" t="s">
        <v>5318</v>
      </c>
      <c r="C495" s="0" t="s">
        <v>5319</v>
      </c>
      <c r="D495" s="0" t="s">
        <v>2385</v>
      </c>
      <c r="E495" s="0" t="n">
        <v>43326</v>
      </c>
      <c r="F495" s="0" t="s">
        <v>2380</v>
      </c>
      <c r="G495" s="0" t="n">
        <v>21358568</v>
      </c>
      <c r="H495" s="0" t="n">
        <v>720191</v>
      </c>
      <c r="I495" s="0" t="s">
        <v>34</v>
      </c>
      <c r="J495" s="0" t="s">
        <v>174</v>
      </c>
      <c r="K495" s="0" t="s">
        <v>2066</v>
      </c>
      <c r="L495" s="0" t="n">
        <v>224160717</v>
      </c>
      <c r="M495" s="0" t="s">
        <v>2067</v>
      </c>
      <c r="N495" s="0" t="n">
        <v>103048485</v>
      </c>
      <c r="O495" s="0" t="n">
        <v>1345</v>
      </c>
      <c r="P495" s="0" t="n">
        <v>25.87</v>
      </c>
      <c r="Q495" s="0" t="n">
        <f aca="false">VLOOKUP(C495,[1]'Cost Correction'!$C$6:$AJ$6767,34,0)</f>
        <v>103048485</v>
      </c>
    </row>
    <row r="496" customFormat="false" ht="15" hidden="false" customHeight="false" outlineLevel="0" collapsed="false">
      <c r="A496" s="0" t="str">
        <f aca="false">E496&amp;K496&amp;Q496</f>
        <v>43326Facebook»LAL»1x1»TextLink»SOC»DT»DYN»LAL»W»NA»SS»NA»Free Account Refresh- Illustration ChC103186916</v>
      </c>
      <c r="B496" s="0" t="s">
        <v>5320</v>
      </c>
      <c r="C496" s="0" t="s">
        <v>5321</v>
      </c>
      <c r="D496" s="0" t="s">
        <v>2385</v>
      </c>
      <c r="E496" s="0" t="n">
        <v>43326</v>
      </c>
      <c r="F496" s="0" t="s">
        <v>2380</v>
      </c>
      <c r="G496" s="0" t="n">
        <v>21358568</v>
      </c>
      <c r="H496" s="0" t="n">
        <v>720191</v>
      </c>
      <c r="I496" s="0" t="s">
        <v>34</v>
      </c>
      <c r="J496" s="0" t="s">
        <v>174</v>
      </c>
      <c r="K496" s="0" t="s">
        <v>2068</v>
      </c>
      <c r="L496" s="0" t="n">
        <v>224160714</v>
      </c>
      <c r="M496" s="0" t="s">
        <v>2069</v>
      </c>
      <c r="N496" s="0" t="n">
        <v>103186916</v>
      </c>
      <c r="O496" s="0" t="n">
        <v>698</v>
      </c>
      <c r="P496" s="0" t="n">
        <v>16.45</v>
      </c>
      <c r="Q496" s="0" t="n">
        <f aca="false">VLOOKUP(C496,[1]'Cost Correction'!$C$6:$AJ$6767,34,0)</f>
        <v>103186916</v>
      </c>
    </row>
    <row r="497" customFormat="false" ht="15" hidden="false" customHeight="false" outlineLevel="0" collapsed="false">
      <c r="A497" s="0" t="str">
        <f aca="false">E497&amp;K497&amp;Q497</f>
        <v>43326Facebook»LAL»1x1»TextLink»SOC»DT»DYN»LAL»W»NA»SS»NA»Free Account Refresh- Lifestyle ChA103048491</v>
      </c>
      <c r="B497" s="0" t="s">
        <v>5322</v>
      </c>
      <c r="C497" s="0" t="s">
        <v>5323</v>
      </c>
      <c r="D497" s="0" t="s">
        <v>2385</v>
      </c>
      <c r="E497" s="0" t="n">
        <v>43326</v>
      </c>
      <c r="F497" s="0" t="s">
        <v>2380</v>
      </c>
      <c r="G497" s="0" t="n">
        <v>21358568</v>
      </c>
      <c r="H497" s="0" t="n">
        <v>720191</v>
      </c>
      <c r="I497" s="0" t="s">
        <v>34</v>
      </c>
      <c r="J497" s="0" t="s">
        <v>174</v>
      </c>
      <c r="K497" s="0" t="s">
        <v>2070</v>
      </c>
      <c r="L497" s="0" t="n">
        <v>224160711</v>
      </c>
      <c r="M497" s="0" t="s">
        <v>2071</v>
      </c>
      <c r="N497" s="0" t="n">
        <v>103048491</v>
      </c>
      <c r="O497" s="0" t="n">
        <v>561</v>
      </c>
      <c r="P497" s="0" t="n">
        <v>8.92</v>
      </c>
      <c r="Q497" s="0" t="n">
        <f aca="false">VLOOKUP(C497,[1]'Cost Correction'!$C$6:$AJ$6767,34,0)</f>
        <v>103048491</v>
      </c>
    </row>
    <row r="498" customFormat="false" ht="15" hidden="false" customHeight="false" outlineLevel="0" collapsed="false">
      <c r="A498" s="0" t="e">
        <f aca="false">E498&amp;K498&amp;Q498</f>
        <v>#N/A</v>
      </c>
      <c r="B498" s="0" t="s">
        <v>5324</v>
      </c>
      <c r="C498" s="0" t="s">
        <v>5325</v>
      </c>
      <c r="D498" s="0" t="s">
        <v>2385</v>
      </c>
      <c r="E498" s="0" t="n">
        <v>43325</v>
      </c>
      <c r="F498" s="0" t="s">
        <v>2380</v>
      </c>
      <c r="G498" s="0" t="n">
        <v>21358568</v>
      </c>
      <c r="H498" s="0" t="n">
        <v>720191</v>
      </c>
      <c r="I498" s="0" t="s">
        <v>34</v>
      </c>
      <c r="J498" s="0" t="s">
        <v>174</v>
      </c>
      <c r="K498" s="0" t="s">
        <v>2412</v>
      </c>
      <c r="L498" s="0" t="n">
        <v>224160777</v>
      </c>
      <c r="M498" s="0" t="s">
        <v>1977</v>
      </c>
      <c r="N498" s="0" t="n">
        <v>103048479</v>
      </c>
      <c r="O498" s="0" t="n">
        <v>1835</v>
      </c>
      <c r="P498" s="0" t="n">
        <v>26.56</v>
      </c>
      <c r="Q498" s="0" t="e">
        <f aca="false">VLOOKUP(C498,[1]'Cost Correction'!$C$6:$AJ$6767,34,0)</f>
        <v>#N/A</v>
      </c>
    </row>
    <row r="499" customFormat="false" ht="15" hidden="false" customHeight="false" outlineLevel="0" collapsed="false">
      <c r="A499" s="0" t="e">
        <f aca="false">E499&amp;K499&amp;Q499</f>
        <v>#N/A</v>
      </c>
      <c r="B499" s="0" t="s">
        <v>5324</v>
      </c>
      <c r="C499" s="0" t="s">
        <v>5326</v>
      </c>
      <c r="D499" s="0" t="s">
        <v>2385</v>
      </c>
      <c r="E499" s="0" t="n">
        <v>43325</v>
      </c>
      <c r="F499" s="0" t="s">
        <v>2380</v>
      </c>
      <c r="G499" s="0" t="n">
        <v>21358568</v>
      </c>
      <c r="H499" s="0" t="n">
        <v>720191</v>
      </c>
      <c r="I499" s="0" t="s">
        <v>34</v>
      </c>
      <c r="J499" s="0" t="s">
        <v>174</v>
      </c>
      <c r="K499" s="0" t="s">
        <v>2381</v>
      </c>
      <c r="L499" s="0" t="n">
        <v>224160777</v>
      </c>
      <c r="M499" s="0" t="s">
        <v>1977</v>
      </c>
      <c r="N499" s="0" t="n">
        <v>103048479</v>
      </c>
      <c r="O499" s="0" t="n">
        <v>5594</v>
      </c>
      <c r="P499" s="0" t="n">
        <v>81.98</v>
      </c>
      <c r="Q499" s="0" t="e">
        <f aca="false">VLOOKUP(C499,[1]'Cost Correction'!$C$6:$AJ$6767,34,0)</f>
        <v>#N/A</v>
      </c>
    </row>
    <row r="500" customFormat="false" ht="15" hidden="false" customHeight="false" outlineLevel="0" collapsed="false">
      <c r="A500" s="0" t="e">
        <f aca="false">E500&amp;K500&amp;Q500</f>
        <v>#N/A</v>
      </c>
      <c r="B500" s="0" t="s">
        <v>5327</v>
      </c>
      <c r="C500" s="0" t="s">
        <v>5328</v>
      </c>
      <c r="D500" s="0" t="s">
        <v>2385</v>
      </c>
      <c r="E500" s="0" t="n">
        <v>43325</v>
      </c>
      <c r="F500" s="0" t="s">
        <v>2380</v>
      </c>
      <c r="G500" s="0" t="n">
        <v>21358568</v>
      </c>
      <c r="H500" s="0" t="n">
        <v>720191</v>
      </c>
      <c r="I500" s="0" t="s">
        <v>34</v>
      </c>
      <c r="J500" s="0" t="s">
        <v>174</v>
      </c>
      <c r="K500" s="0" t="s">
        <v>2420</v>
      </c>
      <c r="L500" s="0" t="n">
        <v>224160771</v>
      </c>
      <c r="M500" s="0" t="s">
        <v>1981</v>
      </c>
      <c r="N500" s="0" t="n">
        <v>103048488</v>
      </c>
      <c r="O500" s="0" t="n">
        <v>1194</v>
      </c>
      <c r="P500" s="0" t="n">
        <v>14.6</v>
      </c>
      <c r="Q500" s="0" t="e">
        <f aca="false">VLOOKUP(C500,[1]'Cost Correction'!$C$6:$AJ$6767,34,0)</f>
        <v>#N/A</v>
      </c>
    </row>
    <row r="501" customFormat="false" ht="15" hidden="false" customHeight="false" outlineLevel="0" collapsed="false">
      <c r="A501" s="0" t="e">
        <f aca="false">E501&amp;K501&amp;Q501</f>
        <v>#N/A</v>
      </c>
      <c r="B501" s="0" t="s">
        <v>5327</v>
      </c>
      <c r="C501" s="0" t="s">
        <v>5329</v>
      </c>
      <c r="D501" s="0" t="s">
        <v>2385</v>
      </c>
      <c r="E501" s="0" t="n">
        <v>43325</v>
      </c>
      <c r="F501" s="0" t="s">
        <v>2380</v>
      </c>
      <c r="G501" s="0" t="n">
        <v>21358568</v>
      </c>
      <c r="H501" s="0" t="n">
        <v>720191</v>
      </c>
      <c r="I501" s="0" t="s">
        <v>34</v>
      </c>
      <c r="J501" s="0" t="s">
        <v>174</v>
      </c>
      <c r="K501" s="0" t="s">
        <v>2389</v>
      </c>
      <c r="L501" s="0" t="n">
        <v>224160771</v>
      </c>
      <c r="M501" s="0" t="s">
        <v>1981</v>
      </c>
      <c r="N501" s="0" t="n">
        <v>103048488</v>
      </c>
      <c r="O501" s="0" t="n">
        <v>5227</v>
      </c>
      <c r="P501" s="0" t="n">
        <v>84.67</v>
      </c>
      <c r="Q501" s="0" t="e">
        <f aca="false">VLOOKUP(C501,[1]'Cost Correction'!$C$6:$AJ$6767,34,0)</f>
        <v>#N/A</v>
      </c>
    </row>
    <row r="502" customFormat="false" ht="15" hidden="false" customHeight="false" outlineLevel="0" collapsed="false">
      <c r="A502" s="0" t="e">
        <f aca="false">E502&amp;K502&amp;Q502</f>
        <v>#N/A</v>
      </c>
      <c r="B502" s="0" t="s">
        <v>5330</v>
      </c>
      <c r="C502" s="0" t="s">
        <v>5331</v>
      </c>
      <c r="D502" s="0" t="s">
        <v>2385</v>
      </c>
      <c r="E502" s="0" t="n">
        <v>43325</v>
      </c>
      <c r="F502" s="0" t="s">
        <v>2380</v>
      </c>
      <c r="G502" s="0" t="n">
        <v>21358568</v>
      </c>
      <c r="H502" s="0" t="n">
        <v>720191</v>
      </c>
      <c r="I502" s="0" t="s">
        <v>34</v>
      </c>
      <c r="J502" s="0" t="s">
        <v>174</v>
      </c>
      <c r="K502" s="0" t="s">
        <v>2405</v>
      </c>
      <c r="L502" s="0" t="n">
        <v>224160774</v>
      </c>
      <c r="M502" s="0" t="s">
        <v>1979</v>
      </c>
      <c r="N502" s="0" t="n">
        <v>103186910</v>
      </c>
      <c r="O502" s="0" t="n">
        <v>2833</v>
      </c>
      <c r="P502" s="0" t="n">
        <v>52.29</v>
      </c>
      <c r="Q502" s="0" t="e">
        <f aca="false">VLOOKUP(C502,[1]'Cost Correction'!$C$6:$AJ$6767,34,0)</f>
        <v>#N/A</v>
      </c>
    </row>
    <row r="503" customFormat="false" ht="15" hidden="false" customHeight="false" outlineLevel="0" collapsed="false">
      <c r="A503" s="0" t="e">
        <f aca="false">E503&amp;K503&amp;Q503</f>
        <v>#N/A</v>
      </c>
      <c r="B503" s="0" t="s">
        <v>5330</v>
      </c>
      <c r="C503" s="0" t="s">
        <v>5332</v>
      </c>
      <c r="D503" s="0" t="s">
        <v>2385</v>
      </c>
      <c r="E503" s="0" t="n">
        <v>43325</v>
      </c>
      <c r="F503" s="0" t="s">
        <v>2380</v>
      </c>
      <c r="G503" s="0" t="n">
        <v>21358568</v>
      </c>
      <c r="H503" s="0" t="n">
        <v>720191</v>
      </c>
      <c r="I503" s="0" t="s">
        <v>34</v>
      </c>
      <c r="J503" s="0" t="s">
        <v>174</v>
      </c>
      <c r="K503" s="0" t="s">
        <v>2416</v>
      </c>
      <c r="L503" s="0" t="n">
        <v>224160774</v>
      </c>
      <c r="M503" s="0" t="s">
        <v>1979</v>
      </c>
      <c r="N503" s="0" t="n">
        <v>103186910</v>
      </c>
      <c r="O503" s="0" t="n">
        <v>2437</v>
      </c>
      <c r="P503" s="0" t="n">
        <v>41.76</v>
      </c>
      <c r="Q503" s="0" t="e">
        <f aca="false">VLOOKUP(C503,[1]'Cost Correction'!$C$6:$AJ$6767,34,0)</f>
        <v>#N/A</v>
      </c>
    </row>
    <row r="504" customFormat="false" ht="15" hidden="false" customHeight="false" outlineLevel="0" collapsed="false">
      <c r="A504" s="0" t="e">
        <f aca="false">E504&amp;K504&amp;Q504</f>
        <v>#N/A</v>
      </c>
      <c r="B504" s="0" t="s">
        <v>5333</v>
      </c>
      <c r="C504" s="0" t="s">
        <v>5334</v>
      </c>
      <c r="D504" s="0" t="s">
        <v>2385</v>
      </c>
      <c r="E504" s="0" t="n">
        <v>43325</v>
      </c>
      <c r="F504" s="0" t="s">
        <v>2380</v>
      </c>
      <c r="G504" s="0" t="n">
        <v>21358568</v>
      </c>
      <c r="H504" s="0" t="n">
        <v>720191</v>
      </c>
      <c r="I504" s="0" t="s">
        <v>34</v>
      </c>
      <c r="J504" s="0" t="s">
        <v>174</v>
      </c>
      <c r="K504" s="0" t="s">
        <v>2433</v>
      </c>
      <c r="L504" s="0" t="n">
        <v>224160780</v>
      </c>
      <c r="M504" s="0" t="s">
        <v>1975</v>
      </c>
      <c r="N504" s="0" t="n">
        <v>103186904</v>
      </c>
      <c r="O504" s="0" t="n">
        <v>645</v>
      </c>
      <c r="P504" s="0" t="n">
        <v>8.01</v>
      </c>
      <c r="Q504" s="0" t="e">
        <f aca="false">VLOOKUP(C504,[1]'Cost Correction'!$C$6:$AJ$6767,34,0)</f>
        <v>#N/A</v>
      </c>
    </row>
    <row r="505" customFormat="false" ht="15" hidden="false" customHeight="false" outlineLevel="0" collapsed="false">
      <c r="A505" s="0" t="e">
        <f aca="false">E505&amp;K505&amp;Q505</f>
        <v>#N/A</v>
      </c>
      <c r="B505" s="0" t="s">
        <v>5333</v>
      </c>
      <c r="C505" s="0" t="s">
        <v>5335</v>
      </c>
      <c r="D505" s="0" t="s">
        <v>2385</v>
      </c>
      <c r="E505" s="0" t="n">
        <v>43325</v>
      </c>
      <c r="F505" s="0" t="s">
        <v>2380</v>
      </c>
      <c r="G505" s="0" t="n">
        <v>21358568</v>
      </c>
      <c r="H505" s="0" t="n">
        <v>720191</v>
      </c>
      <c r="I505" s="0" t="s">
        <v>34</v>
      </c>
      <c r="J505" s="0" t="s">
        <v>174</v>
      </c>
      <c r="K505" s="0" t="s">
        <v>2429</v>
      </c>
      <c r="L505" s="0" t="n">
        <v>224160780</v>
      </c>
      <c r="M505" s="0" t="s">
        <v>1975</v>
      </c>
      <c r="N505" s="0" t="n">
        <v>103186904</v>
      </c>
      <c r="O505" s="0" t="n">
        <v>4863</v>
      </c>
      <c r="P505" s="0" t="n">
        <v>41.2</v>
      </c>
      <c r="Q505" s="0" t="e">
        <f aca="false">VLOOKUP(C505,[1]'Cost Correction'!$C$6:$AJ$6767,34,0)</f>
        <v>#N/A</v>
      </c>
    </row>
    <row r="506" customFormat="false" ht="15" hidden="false" customHeight="false" outlineLevel="0" collapsed="false">
      <c r="A506" s="0" t="e">
        <f aca="false">E506&amp;K506&amp;Q506</f>
        <v>#N/A</v>
      </c>
      <c r="B506" s="0" t="s">
        <v>5336</v>
      </c>
      <c r="C506" s="0" t="s">
        <v>5337</v>
      </c>
      <c r="D506" s="0" t="s">
        <v>2385</v>
      </c>
      <c r="E506" s="0" t="n">
        <v>43325</v>
      </c>
      <c r="F506" s="0" t="s">
        <v>2380</v>
      </c>
      <c r="G506" s="0" t="n">
        <v>21358568</v>
      </c>
      <c r="H506" s="0" t="n">
        <v>720191</v>
      </c>
      <c r="I506" s="0" t="s">
        <v>34</v>
      </c>
      <c r="J506" s="0" t="s">
        <v>174</v>
      </c>
      <c r="K506" s="0" t="s">
        <v>2397</v>
      </c>
      <c r="O506" s="0" t="n">
        <v>14568</v>
      </c>
      <c r="P506" s="0" t="n">
        <v>177.06</v>
      </c>
      <c r="Q506" s="0" t="e">
        <f aca="false">VLOOKUP(C506,[1]'Cost Correction'!$C$6:$AJ$6767,34,0)</f>
        <v>#N/A</v>
      </c>
    </row>
    <row r="507" customFormat="false" ht="15" hidden="false" customHeight="false" outlineLevel="0" collapsed="false">
      <c r="A507" s="0" t="e">
        <f aca="false">E507&amp;K507&amp;Q507</f>
        <v>#N/A</v>
      </c>
      <c r="B507" s="0" t="s">
        <v>5336</v>
      </c>
      <c r="C507" s="0" t="s">
        <v>5338</v>
      </c>
      <c r="D507" s="0" t="s">
        <v>2385</v>
      </c>
      <c r="E507" s="0" t="n">
        <v>43325</v>
      </c>
      <c r="F507" s="0" t="s">
        <v>2380</v>
      </c>
      <c r="G507" s="0" t="n">
        <v>21358568</v>
      </c>
      <c r="H507" s="0" t="n">
        <v>720191</v>
      </c>
      <c r="I507" s="0" t="s">
        <v>34</v>
      </c>
      <c r="J507" s="0" t="s">
        <v>174</v>
      </c>
      <c r="K507" s="0" t="s">
        <v>2395</v>
      </c>
      <c r="O507" s="0" t="n">
        <v>8847</v>
      </c>
      <c r="P507" s="0" t="n">
        <v>120.45</v>
      </c>
      <c r="Q507" s="0" t="e">
        <f aca="false">VLOOKUP(C507,[1]'Cost Correction'!$C$6:$AJ$6767,34,0)</f>
        <v>#N/A</v>
      </c>
    </row>
    <row r="508" customFormat="false" ht="15" hidden="false" customHeight="false" outlineLevel="0" collapsed="false">
      <c r="A508" s="0" t="e">
        <f aca="false">E508&amp;K508&amp;Q508</f>
        <v>#N/A</v>
      </c>
      <c r="B508" s="0" t="s">
        <v>5336</v>
      </c>
      <c r="C508" s="0" t="s">
        <v>5339</v>
      </c>
      <c r="D508" s="0" t="s">
        <v>2385</v>
      </c>
      <c r="E508" s="0" t="n">
        <v>43325</v>
      </c>
      <c r="F508" s="0" t="s">
        <v>2380</v>
      </c>
      <c r="G508" s="0" t="n">
        <v>21358568</v>
      </c>
      <c r="H508" s="0" t="n">
        <v>720191</v>
      </c>
      <c r="I508" s="0" t="s">
        <v>34</v>
      </c>
      <c r="J508" s="0" t="s">
        <v>174</v>
      </c>
      <c r="K508" s="0" t="s">
        <v>2393</v>
      </c>
      <c r="O508" s="0" t="n">
        <v>3597</v>
      </c>
      <c r="P508" s="0" t="n">
        <v>52.52</v>
      </c>
      <c r="Q508" s="0" t="e">
        <f aca="false">VLOOKUP(C508,[1]'Cost Correction'!$C$6:$AJ$6767,34,0)</f>
        <v>#N/A</v>
      </c>
    </row>
    <row r="509" customFormat="false" ht="15" hidden="false" customHeight="false" outlineLevel="0" collapsed="false">
      <c r="A509" s="0" t="e">
        <f aca="false">E509&amp;K509&amp;Q509</f>
        <v>#N/A</v>
      </c>
      <c r="B509" s="0" t="s">
        <v>5340</v>
      </c>
      <c r="C509" s="0" t="s">
        <v>5341</v>
      </c>
      <c r="D509" s="0" t="s">
        <v>2385</v>
      </c>
      <c r="E509" s="0" t="n">
        <v>43325</v>
      </c>
      <c r="F509" s="0" t="s">
        <v>2380</v>
      </c>
      <c r="G509" s="0" t="n">
        <v>21358568</v>
      </c>
      <c r="H509" s="0" t="n">
        <v>720191</v>
      </c>
      <c r="I509" s="0" t="s">
        <v>34</v>
      </c>
      <c r="J509" s="0" t="s">
        <v>174</v>
      </c>
      <c r="K509" s="0" t="s">
        <v>2068</v>
      </c>
      <c r="L509" s="0" t="n">
        <v>224160714</v>
      </c>
      <c r="M509" s="0" t="s">
        <v>2069</v>
      </c>
      <c r="N509" s="0" t="n">
        <v>103186916</v>
      </c>
      <c r="O509" s="0" t="n">
        <v>678</v>
      </c>
      <c r="P509" s="0" t="n">
        <v>13.36</v>
      </c>
      <c r="Q509" s="0" t="e">
        <f aca="false">VLOOKUP(C509,[1]'Cost Correction'!$C$6:$AJ$6767,34,0)</f>
        <v>#N/A</v>
      </c>
    </row>
    <row r="510" customFormat="false" ht="15" hidden="false" customHeight="false" outlineLevel="0" collapsed="false">
      <c r="A510" s="0" t="str">
        <f aca="false">E510&amp;K510&amp;Q510</f>
        <v>43325Facebook»LAL»1x1»TextLink»SOC»DT»DYN»LAL»W»NA»SS»NA»Free Account Refresh- Device ChB103048485</v>
      </c>
      <c r="B510" s="0" t="s">
        <v>5342</v>
      </c>
      <c r="C510" s="0" t="s">
        <v>5343</v>
      </c>
      <c r="D510" s="0" t="s">
        <v>2385</v>
      </c>
      <c r="E510" s="0" t="n">
        <v>43325</v>
      </c>
      <c r="F510" s="0" t="s">
        <v>2380</v>
      </c>
      <c r="G510" s="0" t="n">
        <v>21358568</v>
      </c>
      <c r="H510" s="0" t="n">
        <v>720191</v>
      </c>
      <c r="I510" s="0" t="s">
        <v>34</v>
      </c>
      <c r="J510" s="0" t="s">
        <v>174</v>
      </c>
      <c r="K510" s="0" t="s">
        <v>2066</v>
      </c>
      <c r="L510" s="0" t="n">
        <v>224160717</v>
      </c>
      <c r="M510" s="0" t="s">
        <v>2067</v>
      </c>
      <c r="N510" s="0" t="n">
        <v>103048485</v>
      </c>
      <c r="O510" s="0" t="n">
        <v>1048</v>
      </c>
      <c r="P510" s="0" t="n">
        <v>19.07</v>
      </c>
      <c r="Q510" s="0" t="n">
        <f aca="false">VLOOKUP(C510,[1]'Cost Correction'!$C$6:$AJ$6767,34,0)</f>
        <v>103048485</v>
      </c>
    </row>
    <row r="511" customFormat="false" ht="15" hidden="false" customHeight="false" outlineLevel="0" collapsed="false">
      <c r="A511" s="0" t="str">
        <f aca="false">E511&amp;K511&amp;Q511</f>
        <v>43325Facebook»LAL»1x1»TextLink»SOC»DT»DYN»LAL»W»NA»SS»NA»Free Account Refresh- Lifestyle ChA103048491</v>
      </c>
      <c r="B511" s="0" t="s">
        <v>5344</v>
      </c>
      <c r="C511" s="0" t="s">
        <v>5345</v>
      </c>
      <c r="D511" s="0" t="s">
        <v>2385</v>
      </c>
      <c r="E511" s="0" t="n">
        <v>43325</v>
      </c>
      <c r="F511" s="0" t="s">
        <v>2380</v>
      </c>
      <c r="G511" s="0" t="n">
        <v>21358568</v>
      </c>
      <c r="H511" s="0" t="n">
        <v>720191</v>
      </c>
      <c r="I511" s="0" t="s">
        <v>34</v>
      </c>
      <c r="J511" s="0" t="s">
        <v>174</v>
      </c>
      <c r="K511" s="0" t="s">
        <v>2070</v>
      </c>
      <c r="L511" s="0" t="n">
        <v>224160711</v>
      </c>
      <c r="M511" s="0" t="s">
        <v>2071</v>
      </c>
      <c r="N511" s="0" t="n">
        <v>103048491</v>
      </c>
      <c r="O511" s="0" t="n">
        <v>650</v>
      </c>
      <c r="P511" s="0" t="n">
        <v>9.72</v>
      </c>
      <c r="Q511" s="0" t="n">
        <f aca="false">VLOOKUP(C511,[1]'Cost Correction'!$C$6:$AJ$6767,34,0)</f>
        <v>103048491</v>
      </c>
    </row>
    <row r="512" customFormat="false" ht="15" hidden="false" customHeight="false" outlineLevel="0" collapsed="false">
      <c r="A512" s="0" t="e">
        <f aca="false">E512&amp;K512&amp;Q512</f>
        <v>#N/A</v>
      </c>
      <c r="B512" s="0" t="s">
        <v>5346</v>
      </c>
      <c r="C512" s="0" t="s">
        <v>5347</v>
      </c>
      <c r="D512" s="0" t="s">
        <v>2385</v>
      </c>
      <c r="E512" s="0" t="n">
        <v>43325</v>
      </c>
      <c r="F512" s="0" t="s">
        <v>2380</v>
      </c>
      <c r="G512" s="0" t="n">
        <v>21358568</v>
      </c>
      <c r="H512" s="0" t="n">
        <v>720191</v>
      </c>
      <c r="I512" s="0" t="s">
        <v>34</v>
      </c>
      <c r="J512" s="0" t="s">
        <v>174</v>
      </c>
      <c r="K512" s="0" t="s">
        <v>2401</v>
      </c>
      <c r="L512" s="0" t="n">
        <v>224160783</v>
      </c>
      <c r="M512" s="0" t="s">
        <v>1973</v>
      </c>
      <c r="N512" s="0" t="n">
        <v>103051614</v>
      </c>
      <c r="O512" s="0" t="n">
        <v>906</v>
      </c>
      <c r="P512" s="0" t="n">
        <v>17.97</v>
      </c>
      <c r="Q512" s="0" t="e">
        <f aca="false">VLOOKUP(C512,[1]'Cost Correction'!$C$6:$AJ$6767,34,0)</f>
        <v>#N/A</v>
      </c>
    </row>
    <row r="513" customFormat="false" ht="15" hidden="false" customHeight="false" outlineLevel="0" collapsed="false">
      <c r="A513" s="0" t="str">
        <f aca="false">E513&amp;K513&amp;Q513</f>
        <v>43325Facebook»LAL»1x1»TextLink»SOC»DT»DYN»LAL»W»NA»SS»NA»Free Account Refresh- 200 Credit ChD103186907</v>
      </c>
      <c r="B513" s="0" t="s">
        <v>5348</v>
      </c>
      <c r="C513" s="0" t="s">
        <v>5349</v>
      </c>
      <c r="D513" s="0" t="s">
        <v>2385</v>
      </c>
      <c r="E513" s="0" t="n">
        <v>43325</v>
      </c>
      <c r="F513" s="0" t="s">
        <v>2380</v>
      </c>
      <c r="G513" s="0" t="n">
        <v>21358568</v>
      </c>
      <c r="H513" s="0" t="n">
        <v>720191</v>
      </c>
      <c r="I513" s="0" t="s">
        <v>34</v>
      </c>
      <c r="J513" s="0" t="s">
        <v>174</v>
      </c>
      <c r="K513" s="0" t="s">
        <v>2064</v>
      </c>
      <c r="L513" s="0" t="n">
        <v>224160720</v>
      </c>
      <c r="M513" s="0" t="s">
        <v>2065</v>
      </c>
      <c r="N513" s="0" t="n">
        <v>103186907</v>
      </c>
      <c r="O513" s="0" t="n">
        <v>1111</v>
      </c>
      <c r="P513" s="0" t="n">
        <v>10.58</v>
      </c>
      <c r="Q513" s="0" t="n">
        <f aca="false">VLOOKUP(C513,[1]'Cost Correction'!$C$6:$AJ$6767,34,0)</f>
        <v>103186907</v>
      </c>
    </row>
    <row r="514" customFormat="false" ht="15" hidden="false" customHeight="false" outlineLevel="0" collapsed="false">
      <c r="A514" s="0" t="e">
        <f aca="false">E514&amp;K514&amp;Q514</f>
        <v>#N/A</v>
      </c>
      <c r="B514" s="0" t="s">
        <v>5350</v>
      </c>
      <c r="C514" s="0" t="s">
        <v>5351</v>
      </c>
      <c r="D514" s="0" t="s">
        <v>2385</v>
      </c>
      <c r="E514" s="0" t="n">
        <v>43324</v>
      </c>
      <c r="F514" s="0" t="s">
        <v>2380</v>
      </c>
      <c r="G514" s="0" t="n">
        <v>21358568</v>
      </c>
      <c r="H514" s="0" t="n">
        <v>720191</v>
      </c>
      <c r="I514" s="0" t="s">
        <v>34</v>
      </c>
      <c r="J514" s="0" t="s">
        <v>174</v>
      </c>
      <c r="K514" s="0" t="s">
        <v>2401</v>
      </c>
      <c r="L514" s="0" t="n">
        <v>224160783</v>
      </c>
      <c r="M514" s="0" t="s">
        <v>1973</v>
      </c>
      <c r="N514" s="0" t="n">
        <v>103051614</v>
      </c>
      <c r="O514" s="0" t="n">
        <v>577</v>
      </c>
      <c r="P514" s="0" t="n">
        <v>15.04</v>
      </c>
      <c r="Q514" s="0" t="e">
        <f aca="false">VLOOKUP(C514,[1]'Cost Correction'!$C$6:$AJ$6767,34,0)</f>
        <v>#N/A</v>
      </c>
    </row>
    <row r="515" customFormat="false" ht="15" hidden="false" customHeight="false" outlineLevel="0" collapsed="false">
      <c r="A515" s="0" t="str">
        <f aca="false">E515&amp;K515&amp;Q515</f>
        <v>43324Facebook»LAL»1x1»TextLink»SOC»DT»DYN»LAL»W»NA»SS»NA»Free Account Refresh- Illustration ChC103186916</v>
      </c>
      <c r="B515" s="0" t="s">
        <v>5352</v>
      </c>
      <c r="C515" s="0" t="s">
        <v>5353</v>
      </c>
      <c r="D515" s="0" t="s">
        <v>2385</v>
      </c>
      <c r="E515" s="0" t="n">
        <v>43324</v>
      </c>
      <c r="F515" s="0" t="s">
        <v>2380</v>
      </c>
      <c r="G515" s="0" t="n">
        <v>21358568</v>
      </c>
      <c r="H515" s="0" t="n">
        <v>720191</v>
      </c>
      <c r="I515" s="0" t="s">
        <v>34</v>
      </c>
      <c r="J515" s="0" t="s">
        <v>174</v>
      </c>
      <c r="K515" s="0" t="s">
        <v>2068</v>
      </c>
      <c r="L515" s="0" t="n">
        <v>224160714</v>
      </c>
      <c r="M515" s="0" t="s">
        <v>2069</v>
      </c>
      <c r="N515" s="0" t="n">
        <v>103186916</v>
      </c>
      <c r="O515" s="0" t="n">
        <v>477</v>
      </c>
      <c r="P515" s="0" t="n">
        <v>11.06</v>
      </c>
      <c r="Q515" s="0" t="n">
        <f aca="false">VLOOKUP(C515,[1]'Cost Correction'!$C$6:$AJ$6767,34,0)</f>
        <v>103186916</v>
      </c>
    </row>
    <row r="516" customFormat="false" ht="15" hidden="false" customHeight="false" outlineLevel="0" collapsed="false">
      <c r="A516" s="0" t="e">
        <f aca="false">E516&amp;K516&amp;Q516</f>
        <v>#N/A</v>
      </c>
      <c r="B516" s="0" t="s">
        <v>5354</v>
      </c>
      <c r="C516" s="0" t="s">
        <v>5355</v>
      </c>
      <c r="D516" s="0" t="s">
        <v>2385</v>
      </c>
      <c r="E516" s="0" t="n">
        <v>43324</v>
      </c>
      <c r="F516" s="0" t="s">
        <v>2380</v>
      </c>
      <c r="G516" s="0" t="n">
        <v>21358568</v>
      </c>
      <c r="H516" s="0" t="n">
        <v>720191</v>
      </c>
      <c r="I516" s="0" t="s">
        <v>34</v>
      </c>
      <c r="J516" s="0" t="s">
        <v>174</v>
      </c>
      <c r="K516" s="0" t="s">
        <v>2420</v>
      </c>
      <c r="L516" s="0" t="n">
        <v>224160771</v>
      </c>
      <c r="M516" s="0" t="s">
        <v>1981</v>
      </c>
      <c r="N516" s="0" t="n">
        <v>103048488</v>
      </c>
      <c r="O516" s="0" t="n">
        <v>974</v>
      </c>
      <c r="P516" s="0" t="n">
        <v>18.1</v>
      </c>
      <c r="Q516" s="0" t="e">
        <f aca="false">VLOOKUP(C516,[1]'Cost Correction'!$C$6:$AJ$6767,34,0)</f>
        <v>#N/A</v>
      </c>
    </row>
    <row r="517" customFormat="false" ht="15" hidden="false" customHeight="false" outlineLevel="0" collapsed="false">
      <c r="A517" s="0" t="e">
        <f aca="false">E517&amp;K517&amp;Q517</f>
        <v>#N/A</v>
      </c>
      <c r="B517" s="0" t="s">
        <v>5354</v>
      </c>
      <c r="C517" s="0" t="s">
        <v>5356</v>
      </c>
      <c r="D517" s="0" t="s">
        <v>2385</v>
      </c>
      <c r="E517" s="0" t="n">
        <v>43324</v>
      </c>
      <c r="F517" s="0" t="s">
        <v>2380</v>
      </c>
      <c r="G517" s="0" t="n">
        <v>21358568</v>
      </c>
      <c r="H517" s="0" t="n">
        <v>720191</v>
      </c>
      <c r="I517" s="0" t="s">
        <v>34</v>
      </c>
      <c r="J517" s="0" t="s">
        <v>174</v>
      </c>
      <c r="K517" s="0" t="s">
        <v>2389</v>
      </c>
      <c r="L517" s="0" t="n">
        <v>224160771</v>
      </c>
      <c r="M517" s="0" t="s">
        <v>1981</v>
      </c>
      <c r="N517" s="0" t="n">
        <v>103048488</v>
      </c>
      <c r="O517" s="0" t="n">
        <v>3209</v>
      </c>
      <c r="P517" s="0" t="n">
        <v>54.88</v>
      </c>
      <c r="Q517" s="0" t="e">
        <f aca="false">VLOOKUP(C517,[1]'Cost Correction'!$C$6:$AJ$6767,34,0)</f>
        <v>#N/A</v>
      </c>
    </row>
    <row r="518" customFormat="false" ht="15" hidden="false" customHeight="false" outlineLevel="0" collapsed="false">
      <c r="A518" s="0" t="e">
        <f aca="false">E518&amp;K518&amp;Q518</f>
        <v>#N/A</v>
      </c>
      <c r="B518" s="0" t="s">
        <v>5357</v>
      </c>
      <c r="C518" s="0" t="s">
        <v>5358</v>
      </c>
      <c r="D518" s="0" t="s">
        <v>2385</v>
      </c>
      <c r="E518" s="0" t="n">
        <v>43324</v>
      </c>
      <c r="F518" s="0" t="s">
        <v>2380</v>
      </c>
      <c r="G518" s="0" t="n">
        <v>21358568</v>
      </c>
      <c r="H518" s="0" t="n">
        <v>720191</v>
      </c>
      <c r="I518" s="0" t="s">
        <v>34</v>
      </c>
      <c r="J518" s="0" t="s">
        <v>174</v>
      </c>
      <c r="K518" s="0" t="s">
        <v>2405</v>
      </c>
      <c r="L518" s="0" t="n">
        <v>224160774</v>
      </c>
      <c r="M518" s="0" t="s">
        <v>1979</v>
      </c>
      <c r="N518" s="0" t="n">
        <v>103186910</v>
      </c>
      <c r="O518" s="0" t="n">
        <v>3289</v>
      </c>
      <c r="P518" s="0" t="n">
        <v>73.65</v>
      </c>
      <c r="Q518" s="0" t="e">
        <f aca="false">VLOOKUP(C518,[1]'Cost Correction'!$C$6:$AJ$6767,34,0)</f>
        <v>#N/A</v>
      </c>
    </row>
    <row r="519" customFormat="false" ht="15" hidden="false" customHeight="false" outlineLevel="0" collapsed="false">
      <c r="A519" s="0" t="e">
        <f aca="false">E519&amp;K519&amp;Q519</f>
        <v>#N/A</v>
      </c>
      <c r="B519" s="0" t="s">
        <v>5357</v>
      </c>
      <c r="C519" s="0" t="s">
        <v>5359</v>
      </c>
      <c r="D519" s="0" t="s">
        <v>2385</v>
      </c>
      <c r="E519" s="0" t="n">
        <v>43324</v>
      </c>
      <c r="F519" s="0" t="s">
        <v>2380</v>
      </c>
      <c r="G519" s="0" t="n">
        <v>21358568</v>
      </c>
      <c r="H519" s="0" t="n">
        <v>720191</v>
      </c>
      <c r="I519" s="0" t="s">
        <v>34</v>
      </c>
      <c r="J519" s="0" t="s">
        <v>174</v>
      </c>
      <c r="K519" s="0" t="s">
        <v>2416</v>
      </c>
      <c r="L519" s="0" t="n">
        <v>224160774</v>
      </c>
      <c r="M519" s="0" t="s">
        <v>1979</v>
      </c>
      <c r="N519" s="0" t="n">
        <v>103186910</v>
      </c>
      <c r="O519" s="0" t="n">
        <v>3058</v>
      </c>
      <c r="P519" s="0" t="n">
        <v>64.48</v>
      </c>
      <c r="Q519" s="0" t="e">
        <f aca="false">VLOOKUP(C519,[1]'Cost Correction'!$C$6:$AJ$6767,34,0)</f>
        <v>#N/A</v>
      </c>
    </row>
    <row r="520" customFormat="false" ht="15" hidden="false" customHeight="false" outlineLevel="0" collapsed="false">
      <c r="A520" s="0" t="e">
        <f aca="false">E520&amp;K520&amp;Q520</f>
        <v>#N/A</v>
      </c>
      <c r="B520" s="0" t="s">
        <v>5360</v>
      </c>
      <c r="C520" s="0" t="s">
        <v>5361</v>
      </c>
      <c r="D520" s="0" t="s">
        <v>2385</v>
      </c>
      <c r="E520" s="0" t="n">
        <v>43324</v>
      </c>
      <c r="F520" s="0" t="s">
        <v>2380</v>
      </c>
      <c r="G520" s="0" t="n">
        <v>21358568</v>
      </c>
      <c r="H520" s="0" t="n">
        <v>720191</v>
      </c>
      <c r="I520" s="0" t="s">
        <v>34</v>
      </c>
      <c r="J520" s="0" t="s">
        <v>174</v>
      </c>
      <c r="K520" s="0" t="s">
        <v>2412</v>
      </c>
      <c r="L520" s="0" t="n">
        <v>224160777</v>
      </c>
      <c r="M520" s="0" t="s">
        <v>1977</v>
      </c>
      <c r="N520" s="0" t="n">
        <v>103048479</v>
      </c>
      <c r="O520" s="0" t="n">
        <v>1676</v>
      </c>
      <c r="P520" s="0" t="n">
        <v>24.98</v>
      </c>
      <c r="Q520" s="0" t="e">
        <f aca="false">VLOOKUP(C520,[1]'Cost Correction'!$C$6:$AJ$6767,34,0)</f>
        <v>#N/A</v>
      </c>
    </row>
    <row r="521" customFormat="false" ht="15" hidden="false" customHeight="false" outlineLevel="0" collapsed="false">
      <c r="A521" s="0" t="e">
        <f aca="false">E521&amp;K521&amp;Q521</f>
        <v>#N/A</v>
      </c>
      <c r="B521" s="0" t="s">
        <v>5360</v>
      </c>
      <c r="C521" s="0" t="s">
        <v>5362</v>
      </c>
      <c r="D521" s="0" t="s">
        <v>2385</v>
      </c>
      <c r="E521" s="0" t="n">
        <v>43324</v>
      </c>
      <c r="F521" s="0" t="s">
        <v>2380</v>
      </c>
      <c r="G521" s="0" t="n">
        <v>21358568</v>
      </c>
      <c r="H521" s="0" t="n">
        <v>720191</v>
      </c>
      <c r="I521" s="0" t="s">
        <v>34</v>
      </c>
      <c r="J521" s="0" t="s">
        <v>174</v>
      </c>
      <c r="K521" s="0" t="s">
        <v>2381</v>
      </c>
      <c r="L521" s="0" t="n">
        <v>224160777</v>
      </c>
      <c r="M521" s="0" t="s">
        <v>1977</v>
      </c>
      <c r="N521" s="0" t="n">
        <v>103048479</v>
      </c>
      <c r="O521" s="0" t="n">
        <v>5180</v>
      </c>
      <c r="P521" s="0" t="n">
        <v>65.49</v>
      </c>
      <c r="Q521" s="0" t="e">
        <f aca="false">VLOOKUP(C521,[1]'Cost Correction'!$C$6:$AJ$6767,34,0)</f>
        <v>#N/A</v>
      </c>
    </row>
    <row r="522" customFormat="false" ht="15" hidden="false" customHeight="false" outlineLevel="0" collapsed="false">
      <c r="A522" s="0" t="e">
        <f aca="false">E522&amp;K522&amp;Q522</f>
        <v>#N/A</v>
      </c>
      <c r="B522" s="0" t="s">
        <v>5363</v>
      </c>
      <c r="C522" s="0" t="s">
        <v>5364</v>
      </c>
      <c r="D522" s="0" t="s">
        <v>2385</v>
      </c>
      <c r="E522" s="0" t="n">
        <v>43324</v>
      </c>
      <c r="F522" s="0" t="s">
        <v>2380</v>
      </c>
      <c r="G522" s="0" t="n">
        <v>21358568</v>
      </c>
      <c r="H522" s="0" t="n">
        <v>720191</v>
      </c>
      <c r="I522" s="0" t="s">
        <v>34</v>
      </c>
      <c r="J522" s="0" t="s">
        <v>174</v>
      </c>
      <c r="K522" s="0" t="s">
        <v>2433</v>
      </c>
      <c r="L522" s="0" t="n">
        <v>224160780</v>
      </c>
      <c r="M522" s="0" t="s">
        <v>1975</v>
      </c>
      <c r="N522" s="0" t="n">
        <v>103186904</v>
      </c>
      <c r="O522" s="0" t="n">
        <v>280</v>
      </c>
      <c r="P522" s="0" t="n">
        <v>3.91</v>
      </c>
      <c r="Q522" s="0" t="e">
        <f aca="false">VLOOKUP(C522,[1]'Cost Correction'!$C$6:$AJ$6767,34,0)</f>
        <v>#N/A</v>
      </c>
    </row>
    <row r="523" customFormat="false" ht="15" hidden="false" customHeight="false" outlineLevel="0" collapsed="false">
      <c r="A523" s="0" t="e">
        <f aca="false">E523&amp;K523&amp;Q523</f>
        <v>#N/A</v>
      </c>
      <c r="B523" s="0" t="s">
        <v>5363</v>
      </c>
      <c r="C523" s="0" t="s">
        <v>5365</v>
      </c>
      <c r="D523" s="0" t="s">
        <v>2385</v>
      </c>
      <c r="E523" s="0" t="n">
        <v>43324</v>
      </c>
      <c r="F523" s="0" t="s">
        <v>2380</v>
      </c>
      <c r="G523" s="0" t="n">
        <v>21358568</v>
      </c>
      <c r="H523" s="0" t="n">
        <v>720191</v>
      </c>
      <c r="I523" s="0" t="s">
        <v>34</v>
      </c>
      <c r="J523" s="0" t="s">
        <v>174</v>
      </c>
      <c r="K523" s="0" t="s">
        <v>2429</v>
      </c>
      <c r="L523" s="0" t="n">
        <v>224160780</v>
      </c>
      <c r="M523" s="0" t="s">
        <v>1975</v>
      </c>
      <c r="N523" s="0" t="n">
        <v>103186904</v>
      </c>
      <c r="O523" s="0" t="n">
        <v>4978</v>
      </c>
      <c r="P523" s="0" t="n">
        <v>50.61</v>
      </c>
      <c r="Q523" s="0" t="e">
        <f aca="false">VLOOKUP(C523,[1]'Cost Correction'!$C$6:$AJ$6767,34,0)</f>
        <v>#N/A</v>
      </c>
    </row>
    <row r="524" customFormat="false" ht="15" hidden="false" customHeight="false" outlineLevel="0" collapsed="false">
      <c r="A524" s="0" t="e">
        <f aca="false">E524&amp;K524&amp;Q524</f>
        <v>#N/A</v>
      </c>
      <c r="B524" s="0" t="s">
        <v>5366</v>
      </c>
      <c r="C524" s="0" t="s">
        <v>5367</v>
      </c>
      <c r="D524" s="0" t="s">
        <v>2385</v>
      </c>
      <c r="E524" s="0" t="n">
        <v>43324</v>
      </c>
      <c r="F524" s="0" t="s">
        <v>2380</v>
      </c>
      <c r="G524" s="0" t="n">
        <v>21358568</v>
      </c>
      <c r="H524" s="0" t="n">
        <v>720191</v>
      </c>
      <c r="I524" s="0" t="s">
        <v>34</v>
      </c>
      <c r="J524" s="0" t="s">
        <v>174</v>
      </c>
      <c r="K524" s="0" t="s">
        <v>2397</v>
      </c>
      <c r="O524" s="0" t="n">
        <v>2603</v>
      </c>
      <c r="P524" s="0" t="n">
        <v>45.02</v>
      </c>
      <c r="Q524" s="0" t="e">
        <f aca="false">VLOOKUP(C524,[1]'Cost Correction'!$C$6:$AJ$6767,34,0)</f>
        <v>#N/A</v>
      </c>
    </row>
    <row r="525" customFormat="false" ht="15" hidden="false" customHeight="false" outlineLevel="0" collapsed="false">
      <c r="A525" s="0" t="e">
        <f aca="false">E525&amp;K525&amp;Q525</f>
        <v>#N/A</v>
      </c>
      <c r="B525" s="0" t="s">
        <v>5366</v>
      </c>
      <c r="C525" s="0" t="s">
        <v>5368</v>
      </c>
      <c r="D525" s="0" t="s">
        <v>2385</v>
      </c>
      <c r="E525" s="0" t="n">
        <v>43324</v>
      </c>
      <c r="F525" s="0" t="s">
        <v>2380</v>
      </c>
      <c r="G525" s="0" t="n">
        <v>21358568</v>
      </c>
      <c r="H525" s="0" t="n">
        <v>720191</v>
      </c>
      <c r="I525" s="0" t="s">
        <v>34</v>
      </c>
      <c r="J525" s="0" t="s">
        <v>174</v>
      </c>
      <c r="K525" s="0" t="s">
        <v>2395</v>
      </c>
      <c r="O525" s="0" t="n">
        <v>14598</v>
      </c>
      <c r="P525" s="0" t="n">
        <v>233.14</v>
      </c>
      <c r="Q525" s="0" t="e">
        <f aca="false">VLOOKUP(C525,[1]'Cost Correction'!$C$6:$AJ$6767,34,0)</f>
        <v>#N/A</v>
      </c>
    </row>
    <row r="526" customFormat="false" ht="15" hidden="false" customHeight="false" outlineLevel="0" collapsed="false">
      <c r="A526" s="0" t="e">
        <f aca="false">E526&amp;K526&amp;Q526</f>
        <v>#N/A</v>
      </c>
      <c r="B526" s="0" t="s">
        <v>5366</v>
      </c>
      <c r="C526" s="0" t="s">
        <v>5369</v>
      </c>
      <c r="D526" s="0" t="s">
        <v>2385</v>
      </c>
      <c r="E526" s="0" t="n">
        <v>43324</v>
      </c>
      <c r="F526" s="0" t="s">
        <v>2380</v>
      </c>
      <c r="G526" s="0" t="n">
        <v>21358568</v>
      </c>
      <c r="H526" s="0" t="n">
        <v>720191</v>
      </c>
      <c r="I526" s="0" t="s">
        <v>34</v>
      </c>
      <c r="J526" s="0" t="s">
        <v>174</v>
      </c>
      <c r="K526" s="0" t="s">
        <v>2393</v>
      </c>
      <c r="O526" s="0" t="n">
        <v>3451</v>
      </c>
      <c r="P526" s="0" t="n">
        <v>58.69</v>
      </c>
      <c r="Q526" s="0" t="e">
        <f aca="false">VLOOKUP(C526,[1]'Cost Correction'!$C$6:$AJ$6767,34,0)</f>
        <v>#N/A</v>
      </c>
    </row>
    <row r="527" customFormat="false" ht="15" hidden="false" customHeight="false" outlineLevel="0" collapsed="false">
      <c r="A527" s="0" t="e">
        <f aca="false">E527&amp;K527&amp;Q527</f>
        <v>#N/A</v>
      </c>
      <c r="B527" s="0" t="s">
        <v>5370</v>
      </c>
      <c r="C527" s="0" t="s">
        <v>5371</v>
      </c>
      <c r="D527" s="0" t="s">
        <v>2385</v>
      </c>
      <c r="E527" s="0" t="n">
        <v>43324</v>
      </c>
      <c r="F527" s="0" t="s">
        <v>2380</v>
      </c>
      <c r="G527" s="0" t="n">
        <v>21358568</v>
      </c>
      <c r="H527" s="0" t="n">
        <v>720191</v>
      </c>
      <c r="I527" s="0" t="s">
        <v>34</v>
      </c>
      <c r="J527" s="0" t="s">
        <v>174</v>
      </c>
      <c r="K527" s="0" t="s">
        <v>2064</v>
      </c>
      <c r="L527" s="0" t="n">
        <v>224160720</v>
      </c>
      <c r="M527" s="0" t="s">
        <v>2065</v>
      </c>
      <c r="N527" s="0" t="n">
        <v>103186907</v>
      </c>
      <c r="O527" s="0" t="n">
        <v>286</v>
      </c>
      <c r="P527" s="0" t="n">
        <v>2.84</v>
      </c>
      <c r="Q527" s="0" t="e">
        <f aca="false">VLOOKUP(C527,[1]'Cost Correction'!$C$6:$AJ$6767,34,0)</f>
        <v>#N/A</v>
      </c>
    </row>
    <row r="528" customFormat="false" ht="15" hidden="false" customHeight="false" outlineLevel="0" collapsed="false">
      <c r="A528" s="0" t="str">
        <f aca="false">E528&amp;K528&amp;Q528</f>
        <v>43324Facebook»LAL»1x1»TextLink»SOC»DT»DYN»LAL»W»NA»SS»NA»Free Account Refresh- Device ChB103048485</v>
      </c>
      <c r="B528" s="0" t="s">
        <v>5372</v>
      </c>
      <c r="C528" s="0" t="s">
        <v>5373</v>
      </c>
      <c r="D528" s="0" t="s">
        <v>2385</v>
      </c>
      <c r="E528" s="0" t="n">
        <v>43324</v>
      </c>
      <c r="F528" s="0" t="s">
        <v>2380</v>
      </c>
      <c r="G528" s="0" t="n">
        <v>21358568</v>
      </c>
      <c r="H528" s="0" t="n">
        <v>720191</v>
      </c>
      <c r="I528" s="0" t="s">
        <v>34</v>
      </c>
      <c r="J528" s="0" t="s">
        <v>174</v>
      </c>
      <c r="K528" s="0" t="s">
        <v>2066</v>
      </c>
      <c r="L528" s="0" t="n">
        <v>224160717</v>
      </c>
      <c r="M528" s="0" t="s">
        <v>2067</v>
      </c>
      <c r="N528" s="0" t="n">
        <v>103048485</v>
      </c>
      <c r="O528" s="0" t="n">
        <v>1025</v>
      </c>
      <c r="P528" s="0" t="n">
        <v>23.01</v>
      </c>
      <c r="Q528" s="0" t="n">
        <f aca="false">VLOOKUP(C528,[1]'Cost Correction'!$C$6:$AJ$6767,34,0)</f>
        <v>103048485</v>
      </c>
    </row>
    <row r="529" customFormat="false" ht="15" hidden="false" customHeight="false" outlineLevel="0" collapsed="false">
      <c r="A529" s="0" t="e">
        <f aca="false">E529&amp;K529&amp;Q529</f>
        <v>#N/A</v>
      </c>
      <c r="B529" s="0" t="s">
        <v>5374</v>
      </c>
      <c r="C529" s="0" t="s">
        <v>5375</v>
      </c>
      <c r="D529" s="0" t="s">
        <v>2385</v>
      </c>
      <c r="E529" s="0" t="n">
        <v>43324</v>
      </c>
      <c r="F529" s="0" t="s">
        <v>2380</v>
      </c>
      <c r="G529" s="0" t="n">
        <v>21358568</v>
      </c>
      <c r="H529" s="0" t="n">
        <v>720191</v>
      </c>
      <c r="I529" s="0" t="s">
        <v>34</v>
      </c>
      <c r="J529" s="0" t="s">
        <v>174</v>
      </c>
      <c r="K529" s="0" t="s">
        <v>2070</v>
      </c>
      <c r="L529" s="0" t="n">
        <v>224160711</v>
      </c>
      <c r="M529" s="0" t="s">
        <v>2071</v>
      </c>
      <c r="N529" s="0" t="n">
        <v>103048491</v>
      </c>
      <c r="O529" s="0" t="n">
        <v>595</v>
      </c>
      <c r="P529" s="0" t="n">
        <v>12.4</v>
      </c>
      <c r="Q529" s="0" t="e">
        <f aca="false">VLOOKUP(C529,[1]'Cost Correction'!$C$6:$AJ$6767,34,0)</f>
        <v>#N/A</v>
      </c>
    </row>
    <row r="530" customFormat="false" ht="15" hidden="false" customHeight="false" outlineLevel="0" collapsed="false">
      <c r="A530" s="0" t="s">
        <v>5376</v>
      </c>
    </row>
    <row r="531" customFormat="false" ht="15" hidden="false" customHeight="false" outlineLevel="0" collapsed="false">
      <c r="A531" s="0" t="s">
        <v>5377</v>
      </c>
    </row>
    <row r="532" customFormat="false" ht="15" hidden="false" customHeight="false" outlineLevel="0" collapsed="false">
      <c r="A532" s="0" t="s">
        <v>5378</v>
      </c>
    </row>
    <row r="533" customFormat="false" ht="15" hidden="false" customHeight="false" outlineLevel="0" collapsed="false">
      <c r="A533" s="0" t="s">
        <v>5379</v>
      </c>
    </row>
    <row r="534" customFormat="false" ht="15" hidden="false" customHeight="false" outlineLevel="0" collapsed="false">
      <c r="A534" s="0" t="s">
        <v>5380</v>
      </c>
    </row>
    <row r="535" customFormat="false" ht="15" hidden="false" customHeight="false" outlineLevel="0" collapsed="false">
      <c r="A535" s="0" t="s">
        <v>5381</v>
      </c>
    </row>
    <row r="536" customFormat="false" ht="15" hidden="false" customHeight="false" outlineLevel="0" collapsed="false">
      <c r="A536" s="0" t="s">
        <v>5382</v>
      </c>
    </row>
    <row r="537" customFormat="false" ht="15" hidden="false" customHeight="false" outlineLevel="0" collapsed="false">
      <c r="A537" s="0" t="s">
        <v>5383</v>
      </c>
    </row>
    <row r="538" customFormat="false" ht="15" hidden="false" customHeight="false" outlineLevel="0" collapsed="false">
      <c r="A538" s="0" t="s">
        <v>5384</v>
      </c>
    </row>
    <row r="539" customFormat="false" ht="15" hidden="false" customHeight="false" outlineLevel="0" collapsed="false">
      <c r="A539" s="0" t="s">
        <v>5385</v>
      </c>
    </row>
    <row r="540" customFormat="false" ht="15" hidden="false" customHeight="false" outlineLevel="0" collapsed="false">
      <c r="A540" s="0" t="s">
        <v>5386</v>
      </c>
    </row>
    <row r="541" customFormat="false" ht="15" hidden="false" customHeight="false" outlineLevel="0" collapsed="false">
      <c r="A541" s="0" t="s">
        <v>5387</v>
      </c>
    </row>
    <row r="542" customFormat="false" ht="15" hidden="false" customHeight="false" outlineLevel="0" collapsed="false">
      <c r="A542" s="0" t="s">
        <v>5388</v>
      </c>
    </row>
    <row r="543" customFormat="false" ht="15" hidden="false" customHeight="false" outlineLevel="0" collapsed="false">
      <c r="A543" s="0" t="s">
        <v>5389</v>
      </c>
    </row>
    <row r="544" customFormat="false" ht="15" hidden="false" customHeight="false" outlineLevel="0" collapsed="false">
      <c r="A544" s="0" t="s">
        <v>5390</v>
      </c>
    </row>
    <row r="545" customFormat="false" ht="15" hidden="false" customHeight="false" outlineLevel="0" collapsed="false">
      <c r="A545" s="0" t="s">
        <v>5391</v>
      </c>
    </row>
    <row r="546" customFormat="false" ht="15" hidden="false" customHeight="false" outlineLevel="0" collapsed="false">
      <c r="A546" s="0" t="s">
        <v>5392</v>
      </c>
    </row>
    <row r="547" customFormat="false" ht="15" hidden="false" customHeight="false" outlineLevel="0" collapsed="false">
      <c r="A547" s="0" t="s">
        <v>5393</v>
      </c>
    </row>
    <row r="548" customFormat="false" ht="15" hidden="false" customHeight="false" outlineLevel="0" collapsed="false">
      <c r="A548" s="0" t="s">
        <v>5394</v>
      </c>
    </row>
    <row r="549" customFormat="false" ht="15" hidden="false" customHeight="false" outlineLevel="0" collapsed="false">
      <c r="A549" s="0" t="s">
        <v>5395</v>
      </c>
    </row>
    <row r="550" customFormat="false" ht="15" hidden="false" customHeight="false" outlineLevel="0" collapsed="false">
      <c r="A550" s="0" t="s">
        <v>5396</v>
      </c>
    </row>
    <row r="551" customFormat="false" ht="15" hidden="false" customHeight="false" outlineLevel="0" collapsed="false">
      <c r="A551" s="0" t="s">
        <v>5397</v>
      </c>
    </row>
    <row r="552" customFormat="false" ht="15" hidden="false" customHeight="false" outlineLevel="0" collapsed="false">
      <c r="A552" s="0" t="s">
        <v>5398</v>
      </c>
    </row>
    <row r="553" customFormat="false" ht="15" hidden="false" customHeight="false" outlineLevel="0" collapsed="false">
      <c r="A553" s="0" t="s">
        <v>5399</v>
      </c>
    </row>
    <row r="554" customFormat="false" ht="15" hidden="false" customHeight="false" outlineLevel="0" collapsed="false">
      <c r="A554" s="0" t="s">
        <v>5400</v>
      </c>
    </row>
    <row r="555" customFormat="false" ht="15" hidden="false" customHeight="false" outlineLevel="0" collapsed="false">
      <c r="A555" s="0" t="s">
        <v>5401</v>
      </c>
    </row>
    <row r="556" customFormat="false" ht="15" hidden="false" customHeight="false" outlineLevel="0" collapsed="false">
      <c r="A556" s="0" t="s">
        <v>5402</v>
      </c>
    </row>
    <row r="557" customFormat="false" ht="15" hidden="false" customHeight="false" outlineLevel="0" collapsed="false">
      <c r="A557" s="0" t="s">
        <v>5403</v>
      </c>
    </row>
    <row r="558" customFormat="false" ht="15" hidden="false" customHeight="false" outlineLevel="0" collapsed="false">
      <c r="A558" s="0" t="s">
        <v>5404</v>
      </c>
    </row>
    <row r="559" customFormat="false" ht="15" hidden="false" customHeight="false" outlineLevel="0" collapsed="false">
      <c r="A559" s="0" t="s">
        <v>5405</v>
      </c>
    </row>
    <row r="560" customFormat="false" ht="15" hidden="false" customHeight="false" outlineLevel="0" collapsed="false">
      <c r="A560" s="0" t="s">
        <v>5406</v>
      </c>
    </row>
    <row r="561" customFormat="false" ht="15" hidden="false" customHeight="false" outlineLevel="0" collapsed="false">
      <c r="A561" s="0" t="s">
        <v>5407</v>
      </c>
    </row>
    <row r="562" customFormat="false" ht="15" hidden="false" customHeight="false" outlineLevel="0" collapsed="false">
      <c r="A562" s="0" t="s">
        <v>5408</v>
      </c>
    </row>
    <row r="563" customFormat="false" ht="15" hidden="false" customHeight="false" outlineLevel="0" collapsed="false">
      <c r="A563" s="0" t="s">
        <v>5409</v>
      </c>
    </row>
    <row r="564" customFormat="false" ht="15" hidden="false" customHeight="false" outlineLevel="0" collapsed="false">
      <c r="A564" s="0" t="s">
        <v>5410</v>
      </c>
    </row>
    <row r="565" customFormat="false" ht="15" hidden="false" customHeight="false" outlineLevel="0" collapsed="false">
      <c r="A565" s="0" t="s">
        <v>5411</v>
      </c>
    </row>
    <row r="566" customFormat="false" ht="15" hidden="false" customHeight="false" outlineLevel="0" collapsed="false">
      <c r="A566" s="0" t="s">
        <v>5412</v>
      </c>
    </row>
    <row r="567" customFormat="false" ht="15" hidden="false" customHeight="false" outlineLevel="0" collapsed="false">
      <c r="A567" s="0" t="s">
        <v>5413</v>
      </c>
    </row>
    <row r="568" customFormat="false" ht="15" hidden="false" customHeight="false" outlineLevel="0" collapsed="false">
      <c r="A568" s="0" t="s">
        <v>5414</v>
      </c>
    </row>
    <row r="569" customFormat="false" ht="15" hidden="false" customHeight="false" outlineLevel="0" collapsed="false">
      <c r="A569" s="0" t="s">
        <v>5415</v>
      </c>
    </row>
    <row r="570" customFormat="false" ht="15" hidden="false" customHeight="false" outlineLevel="0" collapsed="false">
      <c r="A570" s="0" t="s">
        <v>5416</v>
      </c>
    </row>
    <row r="571" customFormat="false" ht="15" hidden="false" customHeight="false" outlineLevel="0" collapsed="false">
      <c r="A571" s="0" t="s">
        <v>5417</v>
      </c>
    </row>
    <row r="572" customFormat="false" ht="15" hidden="false" customHeight="false" outlineLevel="0" collapsed="false">
      <c r="A572" s="0" t="s">
        <v>5418</v>
      </c>
    </row>
    <row r="573" customFormat="false" ht="15" hidden="false" customHeight="false" outlineLevel="0" collapsed="false">
      <c r="A573" s="0" t="s">
        <v>5419</v>
      </c>
    </row>
    <row r="574" customFormat="false" ht="15" hidden="false" customHeight="false" outlineLevel="0" collapsed="false">
      <c r="A574" s="0" t="s">
        <v>5420</v>
      </c>
    </row>
    <row r="575" customFormat="false" ht="15" hidden="false" customHeight="false" outlineLevel="0" collapsed="false">
      <c r="A575" s="0" t="s">
        <v>5421</v>
      </c>
    </row>
    <row r="576" customFormat="false" ht="15" hidden="false" customHeight="false" outlineLevel="0" collapsed="false">
      <c r="A576" s="0" t="s">
        <v>5422</v>
      </c>
    </row>
    <row r="577" customFormat="false" ht="15" hidden="false" customHeight="false" outlineLevel="0" collapsed="false">
      <c r="A577" s="0" t="s">
        <v>5423</v>
      </c>
    </row>
    <row r="578" customFormat="false" ht="15" hidden="false" customHeight="false" outlineLevel="0" collapsed="false">
      <c r="A578" s="0" t="s">
        <v>5424</v>
      </c>
    </row>
    <row r="579" customFormat="false" ht="15" hidden="false" customHeight="false" outlineLevel="0" collapsed="false">
      <c r="A579" s="0" t="s">
        <v>5425</v>
      </c>
    </row>
    <row r="580" customFormat="false" ht="15" hidden="false" customHeight="false" outlineLevel="0" collapsed="false">
      <c r="A580" s="0" t="s">
        <v>5426</v>
      </c>
    </row>
    <row r="581" customFormat="false" ht="15" hidden="false" customHeight="false" outlineLevel="0" collapsed="false">
      <c r="A581" s="0" t="s">
        <v>5427</v>
      </c>
    </row>
    <row r="582" customFormat="false" ht="15" hidden="false" customHeight="false" outlineLevel="0" collapsed="false">
      <c r="A582" s="0" t="s">
        <v>5428</v>
      </c>
    </row>
    <row r="583" customFormat="false" ht="15" hidden="false" customHeight="false" outlineLevel="0" collapsed="false">
      <c r="A583" s="0" t="s">
        <v>5429</v>
      </c>
    </row>
    <row r="584" customFormat="false" ht="15" hidden="false" customHeight="false" outlineLevel="0" collapsed="false">
      <c r="A584" s="0" t="s">
        <v>5430</v>
      </c>
    </row>
    <row r="585" customFormat="false" ht="15" hidden="false" customHeight="false" outlineLevel="0" collapsed="false">
      <c r="A585" s="0" t="s">
        <v>5431</v>
      </c>
    </row>
    <row r="586" customFormat="false" ht="15" hidden="false" customHeight="false" outlineLevel="0" collapsed="false">
      <c r="A586" s="0" t="s">
        <v>5432</v>
      </c>
    </row>
    <row r="587" customFormat="false" ht="15" hidden="false" customHeight="false" outlineLevel="0" collapsed="false">
      <c r="A587" s="0" t="s">
        <v>5433</v>
      </c>
    </row>
    <row r="588" customFormat="false" ht="15" hidden="false" customHeight="false" outlineLevel="0" collapsed="false">
      <c r="A588" s="0" t="s">
        <v>5434</v>
      </c>
    </row>
    <row r="589" customFormat="false" ht="15" hidden="false" customHeight="false" outlineLevel="0" collapsed="false">
      <c r="A589" s="0" t="s">
        <v>5435</v>
      </c>
    </row>
    <row r="590" customFormat="false" ht="15" hidden="false" customHeight="false" outlineLevel="0" collapsed="false">
      <c r="A590" s="0" t="s">
        <v>5436</v>
      </c>
    </row>
    <row r="591" customFormat="false" ht="15" hidden="false" customHeight="false" outlineLevel="0" collapsed="false">
      <c r="A591" s="0" t="s">
        <v>5437</v>
      </c>
    </row>
    <row r="592" customFormat="false" ht="15" hidden="false" customHeight="false" outlineLevel="0" collapsed="false">
      <c r="A592" s="0" t="s">
        <v>5438</v>
      </c>
    </row>
    <row r="593" customFormat="false" ht="15" hidden="false" customHeight="false" outlineLevel="0" collapsed="false">
      <c r="A593" s="0" t="s">
        <v>5439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2018-05-31T17:41:24Z</dcterms:created>
  <dc:creator>Christy Halim</dc:creator>
  <dc:description/>
  <dc:language>en-IN</dc:language>
  <cp:lastModifiedBy/>
  <dcterms:modified xsi:type="dcterms:W3CDTF">2018-09-29T13:26:19Z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